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tables/table8.xml" ContentType="application/vnd.openxmlformats-officedocument.spreadsheetml.table+xml"/>
  <Override PartName="/xl/worksheets/sheet18.xml" ContentType="application/vnd.openxmlformats-officedocument.spreadsheetml.worksheet+xml"/>
  <Override PartName="/xl/tables/table9.xml" ContentType="application/vnd.openxmlformats-officedocument.spreadsheetml.table+xml"/>
  <Override PartName="/xl/worksheets/sheet19.xml" ContentType="application/vnd.openxmlformats-officedocument.spreadsheetml.worksheet+xml"/>
  <Override PartName="/xl/tables/table10.xml" ContentType="application/vnd.openxmlformats-officedocument.spreadsheetml.table+xml"/>
  <Override PartName="/xl/worksheets/sheet20.xml" ContentType="application/vnd.openxmlformats-officedocument.spreadsheetml.worksheet+xml"/>
  <Override PartName="/xl/tables/table11.xml" ContentType="application/vnd.openxmlformats-officedocument.spreadsheetml.table+xml"/>
  <Override PartName="/xl/worksheets/sheet21.xml" ContentType="application/vnd.openxmlformats-officedocument.spreadsheetml.worksheet+xml"/>
  <Override PartName="/xl/tables/table12.xml" ContentType="application/vnd.openxmlformats-officedocument.spreadsheetml.table+xml"/>
  <Override PartName="/xl/worksheets/sheet22.xml" ContentType="application/vnd.openxmlformats-officedocument.spreadsheetml.worksheet+xml"/>
  <Override PartName="/xl/tables/table13.xml" ContentType="application/vnd.openxmlformats-officedocument.spreadsheetml.table+xml"/>
  <Override PartName="/xl/worksheets/sheet23.xml" ContentType="application/vnd.openxmlformats-officedocument.spreadsheetml.worksheet+xml"/>
  <Override PartName="/xl/tables/table14.xml" ContentType="application/vnd.openxmlformats-officedocument.spreadsheetml.table+xml"/>
  <Override PartName="/xl/worksheets/sheet24.xml" ContentType="application/vnd.openxmlformats-officedocument.spreadsheetml.worksheet+xml"/>
  <Override PartName="/xl/tables/table15.xml" ContentType="application/vnd.openxmlformats-officedocument.spreadsheetml.table+xml"/>
  <Override PartName="/xl/worksheets/sheet25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操作パネル" sheetId="2" state="visible" r:id="rId2"/>
    <sheet name="Dashboard" sheetId="3" state="visible" r:id="rId3"/>
    <sheet name="Material_Detail" sheetId="4" state="visible" r:id="rId4"/>
    <sheet name="PO_Draft_Chemical" sheetId="5" state="visible" r:id="rId5"/>
    <sheet name="PO_Draft_Hazardous" sheetId="6" state="visible" r:id="rId6"/>
    <sheet name="PO_Draft_Substrate" sheetId="7" state="visible" r:id="rId7"/>
    <sheet name="PO_Draft_Substrate_Poland" sheetId="8" state="visible" r:id="rId8"/>
    <sheet name="T_Shipments" sheetId="9" state="visible" r:id="rId9"/>
    <sheet name="T_OpeningStock" sheetId="10" state="visible" r:id="rId10"/>
    <sheet name="T_StockCount" sheetId="11" state="visible" r:id="rId11"/>
    <sheet name="T_SelfStock" sheetId="12" state="visible" r:id="rId12"/>
    <sheet name="T_TTAFStock" sheetId="13" state="visible" r:id="rId13"/>
    <sheet name="M_RawMaterials" sheetId="14" state="visible" r:id="rId14"/>
    <sheet name="M_BOM" sheetId="15" state="visible" r:id="rId15"/>
    <sheet name="PP_Grid" sheetId="16" state="visible" r:id="rId16"/>
    <sheet name="Cal_Weeks" sheetId="17" state="hidden" r:id="rId17"/>
    <sheet name="M_Intermediates" sheetId="18" state="hidden" r:id="rId18"/>
    <sheet name="M_ProductMap" sheetId="19" state="hidden" r:id="rId19"/>
    <sheet name="Grid_Requirement" sheetId="20" state="hidden" r:id="rId20"/>
    <sheet name="Grid_Incoming" sheetId="21" state="hidden" r:id="rId21"/>
    <sheet name="Grid_Stock" sheetId="22" state="hidden" r:id="rId22"/>
    <sheet name="Grid_TheoreticalStock" sheetId="23" state="hidden" r:id="rId23"/>
    <sheet name="T_SelfStock_Log" sheetId="24" state="hidden" r:id="rId24"/>
    <sheet name="T_TTAFStock_Log" sheetId="25" state="hidden" r:id="rId2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"/>
    <numFmt numFmtId="166" formatCode="m/d"/>
  </numFmts>
  <fonts count="12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  <font>
      <color rgb="00808080"/>
      <sz val="8"/>
    </font>
    <font>
      <b val="1"/>
      <color rgb="000563C1"/>
    </font>
    <font/>
    <font>
      <color rgb="00808080"/>
      <sz val="9"/>
    </font>
    <font>
      <i val="1"/>
      <color rgb="00808080"/>
    </font>
    <font>
      <b val="1"/>
      <sz val="14"/>
    </font>
    <font>
      <i val="1"/>
      <color rgb="00808080"/>
      <sz val="9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3" borderId="0" pivotButton="0" quotePrefix="0" xfId="0"/>
    <xf numFmtId="0" fontId="0" fillId="7" borderId="2" applyAlignment="1" pivotButton="0" quotePrefix="0" xfId="0">
      <alignment horizontal="center"/>
    </xf>
    <xf numFmtId="0" fontId="1" fillId="7" borderId="2" pivotButton="0" quotePrefix="0" xfId="0"/>
    <xf numFmtId="0" fontId="0" fillId="7" borderId="2" pivotButton="0" quotePrefix="0" xfId="0"/>
    <xf numFmtId="0" fontId="3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" fillId="4" borderId="0" pivotButton="0" quotePrefix="0" xfId="0"/>
    <xf numFmtId="0" fontId="6" fillId="4" borderId="0" pivotButton="0" quotePrefix="0" xfId="0"/>
    <xf numFmtId="166" fontId="6" fillId="4" borderId="0" pivotButton="0" quotePrefix="0" xfId="0"/>
    <xf numFmtId="0" fontId="2" fillId="3" borderId="1" pivotButton="0" quotePrefix="0" xfId="0"/>
    <xf numFmtId="0" fontId="0" fillId="5" borderId="1" pivotButton="0" quotePrefix="0" xfId="0"/>
    <xf numFmtId="0" fontId="8" fillId="5" borderId="1" pivotButton="0" quotePrefix="0" xfId="0"/>
    <xf numFmtId="0" fontId="0" fillId="0" borderId="1" pivotButton="0" quotePrefix="0" xfId="0"/>
    <xf numFmtId="0" fontId="1" fillId="0" borderId="1" pivotButton="0" quotePrefix="0" xfId="0"/>
    <xf numFmtId="0" fontId="1" fillId="6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1" fillId="4" borderId="1" pivotButton="0" quotePrefix="0" xfId="0"/>
    <xf numFmtId="165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BDD7EE"/>
        </patternFill>
      </fill>
    </dxf>
    <dxf>
      <border>
        <left style="thick">
          <color rgb="00BF8F00"/>
        </left>
        <right style="thick">
          <color rgb="00BF8F00"/>
        </righ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SOH</author>
  </authors>
  <commentList>
    <comment ref="C7" authorId="0" shapeId="0">
      <text>
        <t>MOQ(最小発注量)を入力してください（手書きでOK）</t>
      </text>
    </comment>
    <comment ref="C18" authorId="0" shapeId="0">
      <text>
        <t>MOQ(最小発注量)を入力してください（手書きでOK）</t>
      </text>
    </comment>
    <comment ref="C45" authorId="0" shapeId="0">
      <text>
        <t>MOQ(最小発注量)を入力してください（手書きでOK）</t>
      </text>
    </comment>
    <comment ref="C58" authorId="0" shapeId="0">
      <text>
        <t>MOQ(最小発注量)を入力してください（手書きでOK）</t>
      </text>
    </comment>
    <comment ref="C69" authorId="0" shapeId="0">
      <text>
        <t>MOQ(最小発注量)を入力してください（手書きでOK）</t>
      </text>
    </comment>
    <comment ref="C88" authorId="0" shapeId="0">
      <text>
        <t>MOQ(最小発注量)を入力してください（手書きでOK）</t>
      </text>
    </comment>
    <comment ref="C99" authorId="0" shapeId="0">
      <text>
        <t>MOQ(最小発注量)を入力してください（手書きでOK）</t>
      </text>
    </comment>
    <comment ref="C110" authorId="0" shapeId="0">
      <text>
        <t>MOQ(最小発注量)を入力してください（手書きでOK）</t>
      </text>
    </comment>
    <comment ref="C121" authorId="0" shapeId="0">
      <text>
        <t>MOQ(最小発注量)を入力してください（手書きでOK）</t>
      </text>
    </comment>
    <comment ref="C144" authorId="0" shapeId="0">
      <text>
        <t>MOQ(最小発注量)を入力してください（手書きでOK）</t>
      </text>
    </comment>
    <comment ref="C155" authorId="0" shapeId="0">
      <text>
        <t>MOQ(最小発注量)を入力してください（手書きでOK）</t>
      </text>
    </comment>
    <comment ref="C170" authorId="0" shapeId="0">
      <text>
        <t>MOQ(最小発注量)を入力してください（手書きでOK）</t>
      </text>
    </comment>
    <comment ref="C181" authorId="0" shapeId="0">
      <text>
        <t>MOQ(最小発注量)を入力してください（手書きでOK）</t>
      </text>
    </comment>
    <comment ref="C192" authorId="0" shapeId="0">
      <text>
        <t>MOQ(最小発注量)を入力してください（手書きでOK）</t>
      </text>
    </comment>
    <comment ref="C203" authorId="0" shapeId="0">
      <text>
        <t>MOQ(最小発注量)を入力してください（手書きでOK）</t>
      </text>
    </comment>
    <comment ref="C226" authorId="0" shapeId="0">
      <text>
        <t>MOQ(最小発注量)を入力してください（手書きでOK）</t>
      </text>
    </comment>
    <comment ref="C239" authorId="0" shapeId="0">
      <text>
        <t>MOQ(最小発注量)を入力してください（手書きでOK）</t>
      </text>
    </comment>
    <comment ref="C264" authorId="0" shapeId="0">
      <text>
        <t>MOQ(最小発注量)を入力してください（手書きでOK）</t>
      </text>
    </comment>
    <comment ref="C295" authorId="0" shapeId="0">
      <text>
        <t>MOQ(最小発注量)を入力してください（手書きでOK）</t>
      </text>
    </comment>
    <comment ref="C312" authorId="0" shapeId="0">
      <text>
        <t>MOQ(最小発注量)を入力してください（手書きでOK）</t>
      </text>
    </comment>
    <comment ref="C343" authorId="0" shapeId="0">
      <text>
        <t>MOQ(最小発注量)を入力してください（手書きでOK）</t>
      </text>
    </comment>
    <comment ref="C372" authorId="0" shapeId="0">
      <text>
        <t>MOQ(最小発注量)を入力してください（手書きでOK）</t>
      </text>
    </comment>
    <comment ref="C389" authorId="0" shapeId="0">
      <text>
        <t>MOQ(最小発注量)を入力してください（手書きでOK）</t>
      </text>
    </comment>
    <comment ref="C406" authorId="0" shapeId="0">
      <text>
        <t>MOQ(最小発注量)を入力してください（手書きでOK）</t>
      </text>
    </comment>
    <comment ref="C503" authorId="0" shapeId="0">
      <text>
        <t>MOQ(最小発注量)を入力してください（手書きでOK）</t>
      </text>
    </comment>
    <comment ref="C518" authorId="0" shapeId="0">
      <text>
        <t>MOQ(最小発注量)を入力してください（手書きでOK）</t>
      </text>
    </comment>
    <comment ref="C601" authorId="0" shapeId="0">
      <text>
        <t>MOQ(最小発注量)を入力してください（手書きでOK）</t>
      </text>
    </comment>
    <comment ref="C646" authorId="0" shapeId="0">
      <text>
        <t>MOQ(最小発注量)を入力してください（手書きでOK）</t>
      </text>
    </comment>
    <comment ref="C669" authorId="0" shapeId="0">
      <text>
        <t>MOQ(最小発注量)を入力してください（手書きでOK）</t>
      </text>
    </comment>
    <comment ref="C812" authorId="0" shapeId="0">
      <text>
        <t>MOQ(最小発注量)を入力してください（手書きでOK）</t>
      </text>
    </comment>
    <comment ref="C851" authorId="0" shapeId="0">
      <text>
        <t>MOQ(最小発注量)を入力してください（手書きでOK）</t>
      </text>
    </comment>
    <comment ref="C862" authorId="0" shapeId="0">
      <text>
        <t>MOQ(最小発注量)を入力してください（手書きでOK）</t>
      </text>
    </comment>
    <comment ref="C909" authorId="0" shapeId="0">
      <text>
        <t>MOQ(最小発注量)を入力してください（手書きでOK）</t>
      </text>
    </comment>
    <comment ref="C958" authorId="0" shapeId="0">
      <text>
        <t>MOQ(最小発注量)を入力してください（手書きでOK）</t>
      </text>
    </comment>
    <comment ref="C975" authorId="0" shapeId="0">
      <text>
        <t>MOQ(最小発注量)を入力してください（手書きでOK）</t>
      </text>
    </comment>
    <comment ref="C988" authorId="0" shapeId="0">
      <text>
        <t>MOQ(最小発注量)を入力してください（手書きでOK）</t>
      </text>
    </comment>
    <comment ref="C1069" authorId="0" shapeId="0">
      <text>
        <t>MOQ(最小発注量)を入力してください（手書きでOK）</t>
      </text>
    </comment>
    <comment ref="C1082" authorId="0" shapeId="0">
      <text>
        <t>MOQ(最小発注量)を入力してください（手書きでOK）</t>
      </text>
    </comment>
    <comment ref="C1095" authorId="0" shapeId="0">
      <text>
        <t>MOQ(最小発注量)を入力してください（手書きでOK）</t>
      </text>
    </comment>
    <comment ref="C1114" authorId="0" shapeId="0">
      <text>
        <t>MOQ(最小発注量)を入力してください（手書きでOK）</t>
      </text>
    </comment>
    <comment ref="C1127" authorId="0" shapeId="0">
      <text>
        <t>MOQ(最小発注量)を入力してください（手書きでOK）</t>
      </text>
    </comment>
    <comment ref="C1162" authorId="0" shapeId="0">
      <text>
        <t>MOQ(最小発注量)を入力してください（手書きでOK）</t>
      </text>
    </comment>
    <comment ref="C1179" authorId="0" shapeId="0">
      <text>
        <t>MOQ(最小発注量)を入力してください（手書きでOK）</t>
      </text>
    </comment>
    <comment ref="C1210" authorId="0" shapeId="0">
      <text>
        <t>MOQ(最小発注量)を入力してください（手書きでOK）</t>
      </text>
    </comment>
    <comment ref="C1221" authorId="0" shapeId="0">
      <text>
        <t>MOQ(最小発注量)を入力してください（手書きでOK）</t>
      </text>
    </comment>
    <comment ref="C1236" authorId="0" shapeId="0">
      <text>
        <t>MOQ(最小発注量)を入力してください（手書きでOK）</t>
      </text>
    </comment>
    <comment ref="C1251" authorId="0" shapeId="0">
      <text>
        <t>MOQ(最小発注量)を入力してください（手書きでOK）</t>
      </text>
    </comment>
  </commentList>
</comments>
</file>

<file path=xl/tables/table1.xml><?xml version="1.0" encoding="utf-8"?>
<table xmlns="http://schemas.openxmlformats.org/spreadsheetml/2006/main" id="1" name="T_SolutionNames" displayName="T_SolutionNames" ref="E4:F11" headerRowCount="1">
  <autoFilter ref="E4:F11"/>
  <tableColumns count="2">
    <tableColumn id="5" name="略称（Pgm Plan表記）"/>
    <tableColumn id="6" name="正式名（システム内部名）"/>
  </tableColumns>
  <tableStyleInfo name="TableStyleMedium9" showRowStripes="1"/>
</table>
</file>

<file path=xl/tables/table2.xml><?xml version="1.0" encoding="utf-8"?>
<table xmlns="http://schemas.openxmlformats.org/spreadsheetml/2006/main" id="2" name="T_Shipments" displayName="T_Shipments" ref="A1:L2" headerRowCount="1">
  <autoFilter ref="A1:L2"/>
  <tableColumns count="12">
    <tableColumn id="1" name="Part Name"/>
    <tableColumn id="2" name="PO_No"/>
    <tableColumn id="3" name="Order_Date_発注日"/>
    <tableColumn id="4" name="Confirmed_Qty"/>
    <tableColumn id="5" name="Latest_ETA"/>
    <tableColumn id="6" name="Received_Date"/>
    <tableColumn id="7" name="Status"/>
    <tableColumn id="8" name="Effective_Week"/>
    <tableColumn id="9" name="Order_Month"/>
    <tableColumn id="10" name="Vessel"/>
    <tableColumn id="11" name="Container"/>
    <tableColumn id="12" name="Original_ETD"/>
  </tableColumns>
  <tableStyleInfo name="TableStyleMedium9" showRowStripes="1"/>
</table>
</file>

<file path=xl/tables/table3.xml><?xml version="1.0" encoding="utf-8"?>
<table xmlns="http://schemas.openxmlformats.org/spreadsheetml/2006/main" id="3" name="T_OpeningStock" displayName="T_OpeningStock" ref="A1:C61" headerRowCount="1">
  <autoFilter ref="A1:C61"/>
  <tableColumns count="3">
    <tableColumn id="1" name="Part Name"/>
    <tableColumn id="2" name="Opening_Qty_要入力"/>
    <tableColumn id="3" name="AsOf"/>
  </tableColumns>
  <tableStyleInfo name="TableStyleMedium9" showRowStripes="1"/>
</table>
</file>

<file path=xl/tables/table4.xml><?xml version="1.0" encoding="utf-8"?>
<table xmlns="http://schemas.openxmlformats.org/spreadsheetml/2006/main" id="4" name="T_StockCount" displayName="T_StockCount" ref="A1:E2" headerRowCount="1">
  <autoFilter ref="A1:E2"/>
  <tableColumns count="5">
    <tableColumn id="1" name="Part Name"/>
    <tableColumn id="2" name="Date_棚卸実施日"/>
    <tableColumn id="3" name="WeekIndex"/>
    <tableColumn id="4" name="CountedQty"/>
    <tableColumn id="5" name="Notes"/>
  </tableColumns>
  <tableStyleInfo name="TableStyleMedium9" showRowStripes="1"/>
</table>
</file>

<file path=xl/tables/table5.xml><?xml version="1.0" encoding="utf-8"?>
<table xmlns="http://schemas.openxmlformats.org/spreadsheetml/2006/main" id="5" name="M_RawMaterials" displayName="M_RawMaterials" ref="A1:K61" headerRowCount="1">
  <autoFilter ref="A1:K61"/>
  <tableColumns count="11">
    <tableColumn id="1" name="Part Name"/>
    <tableColumn id="2" name="Description"/>
    <tableColumn id="3" name="Supplier"/>
    <tableColumn id="4" name="Category"/>
    <tableColumn id="5" name="UOM"/>
    <tableColumn id="6" name="基準在庫下限_要入力"/>
    <tableColumn id="7" name="基準在庫上限_要入力"/>
    <tableColumn id="8" name="LeadTime_Weeks_要入力"/>
    <tableColumn id="9" name="TTAF_Code"/>
    <tableColumn id="10" name="固定週次消費量_要入力"/>
    <tableColumn id="11" name="Origin_Country"/>
  </tableColumns>
  <tableStyleInfo name="TableStyleMedium9" showRowStripes="1"/>
</table>
</file>

<file path=xl/tables/table6.xml><?xml version="1.0" encoding="utf-8"?>
<table xmlns="http://schemas.openxmlformats.org/spreadsheetml/2006/main" id="6" name="M_BOM" displayName="M_BOM" ref="A1:D544" headerRowCount="1">
  <autoFilter ref="A1:D544"/>
  <tableColumns count="4">
    <tableColumn id="1" name="Intermediate"/>
    <tableColumn id="2" name="Part Name"/>
    <tableColumn id="3" name="RM_Qty_Per_Batch"/>
    <tableColumn id="4" name="PPGridRow"/>
  </tableColumns>
  <tableStyleInfo name="TableStyleMedium9" showRowStripes="1"/>
</table>
</file>

<file path=xl/tables/table7.xml><?xml version="1.0" encoding="utf-8"?>
<table xmlns="http://schemas.openxmlformats.org/spreadsheetml/2006/main" id="7" name="PP_Grid" displayName="PP_Grid" ref="A1:DA136" headerRowCount="1">
  <autoFilter ref="A1:DA136"/>
  <tableColumns count="105">
    <tableColumn id="1" name="Intermediate"/>
    <tableColumn id="2" name="2026-W01"/>
    <tableColumn id="3" name="2026-W02"/>
    <tableColumn id="4" name="2026-W03"/>
    <tableColumn id="5" name="2026-W04"/>
    <tableColumn id="6" name="2026-W05"/>
    <tableColumn id="7" name="2026-W06"/>
    <tableColumn id="8" name="2026-W07"/>
    <tableColumn id="9" name="2026-W08"/>
    <tableColumn id="10" name="2026-W09"/>
    <tableColumn id="11" name="2026-W10"/>
    <tableColumn id="12" name="2026-W11"/>
    <tableColumn id="13" name="2026-W12"/>
    <tableColumn id="14" name="2026-W13"/>
    <tableColumn id="15" name="2026-W14"/>
    <tableColumn id="16" name="2026-W15"/>
    <tableColumn id="17" name="2026-W16"/>
    <tableColumn id="18" name="2026-W17"/>
    <tableColumn id="19" name="2026-W18"/>
    <tableColumn id="20" name="2026-W19"/>
    <tableColumn id="21" name="2026-W20"/>
    <tableColumn id="22" name="2026-W21"/>
    <tableColumn id="23" name="2026-W22"/>
    <tableColumn id="24" name="2026-W23"/>
    <tableColumn id="25" name="2026-W24"/>
    <tableColumn id="26" name="2026-W25"/>
    <tableColumn id="27" name="2026-W26"/>
    <tableColumn id="28" name="2026-W27"/>
    <tableColumn id="29" name="2026-W28"/>
    <tableColumn id="30" name="2026-W29"/>
    <tableColumn id="31" name="2026-W30"/>
    <tableColumn id="32" name="2026-W31"/>
    <tableColumn id="33" name="2026-W32"/>
    <tableColumn id="34" name="2026-W33"/>
    <tableColumn id="35" name="2026-W34"/>
    <tableColumn id="36" name="2026-W35"/>
    <tableColumn id="37" name="2026-W36"/>
    <tableColumn id="38" name="2026-W37"/>
    <tableColumn id="39" name="2026-W38"/>
    <tableColumn id="40" name="2026-W39"/>
    <tableColumn id="41" name="2026-W40"/>
    <tableColumn id="42" name="2026-W41"/>
    <tableColumn id="43" name="2026-W42"/>
    <tableColumn id="44" name="2026-W43"/>
    <tableColumn id="45" name="2026-W44"/>
    <tableColumn id="46" name="2026-W45"/>
    <tableColumn id="47" name="2026-W46"/>
    <tableColumn id="48" name="2026-W47"/>
    <tableColumn id="49" name="2026-W48"/>
    <tableColumn id="50" name="2026-W49"/>
    <tableColumn id="51" name="2026-W50"/>
    <tableColumn id="52" name="2026-W51"/>
    <tableColumn id="53" name="2026-W52"/>
    <tableColumn id="54" name="2027-W01"/>
    <tableColumn id="55" name="2027-W02"/>
    <tableColumn id="56" name="2027-W03"/>
    <tableColumn id="57" name="2027-W04"/>
    <tableColumn id="58" name="2027-W05"/>
    <tableColumn id="59" name="2027-W06"/>
    <tableColumn id="60" name="2027-W07"/>
    <tableColumn id="61" name="2027-W08"/>
    <tableColumn id="62" name="2027-W09"/>
    <tableColumn id="63" name="2027-W10"/>
    <tableColumn id="64" name="2027-W11"/>
    <tableColumn id="65" name="2027-W12"/>
    <tableColumn id="66" name="2027-W13"/>
    <tableColumn id="67" name="2027-W14"/>
    <tableColumn id="68" name="2027-W15"/>
    <tableColumn id="69" name="2027-W16"/>
    <tableColumn id="70" name="2027-W17"/>
    <tableColumn id="71" name="2027-W18"/>
    <tableColumn id="72" name="2027-W19"/>
    <tableColumn id="73" name="2027-W20"/>
    <tableColumn id="74" name="2027-W21"/>
    <tableColumn id="75" name="2027-W22"/>
    <tableColumn id="76" name="2027-W23"/>
    <tableColumn id="77" name="2027-W24"/>
    <tableColumn id="78" name="2027-W25"/>
    <tableColumn id="79" name="2027-W26"/>
    <tableColumn id="80" name="2027-W27"/>
    <tableColumn id="81" name="2027-W28"/>
    <tableColumn id="82" name="2027-W29"/>
    <tableColumn id="83" name="2027-W30"/>
    <tableColumn id="84" name="2027-W31"/>
    <tableColumn id="85" name="2027-W32"/>
    <tableColumn id="86" name="2027-W33"/>
    <tableColumn id="87" name="2027-W34"/>
    <tableColumn id="88" name="2027-W35"/>
    <tableColumn id="89" name="2027-W36"/>
    <tableColumn id="90" name="2027-W37"/>
    <tableColumn id="91" name="2027-W38"/>
    <tableColumn id="92" name="2027-W39"/>
    <tableColumn id="93" name="2027-W40"/>
    <tableColumn id="94" name="2027-W41"/>
    <tableColumn id="95" name="2027-W42"/>
    <tableColumn id="96" name="2027-W43"/>
    <tableColumn id="97" name="2027-W44"/>
    <tableColumn id="98" name="2027-W45"/>
    <tableColumn id="99" name="2027-W46"/>
    <tableColumn id="100" name="2027-W47"/>
    <tableColumn id="101" name="2027-W48"/>
    <tableColumn id="102" name="2027-W49"/>
    <tableColumn id="103" name="2027-W50"/>
    <tableColumn id="104" name="2027-W51"/>
    <tableColumn id="105" name="2027-W52"/>
  </tableColumns>
  <tableStyleInfo name="TableStyleMedium9" showRowStripes="1"/>
</table>
</file>

<file path=xl/tables/table8.xml><?xml version="1.0" encoding="utf-8"?>
<table xmlns="http://schemas.openxmlformats.org/spreadsheetml/2006/main" id="8" name="Cal_Weeks" displayName="Cal_Weeks" ref="A3:G107" headerRowCount="1">
  <autoFilter ref="A3:G107"/>
  <tableColumns count="7">
    <tableColumn id="1" name="WeekIndex"/>
    <tableColumn id="2" name="WeekStart"/>
    <tableColumn id="3" name="Year"/>
    <tableColumn id="4" name="WeekOfYear"/>
    <tableColumn id="5" name="Label"/>
    <tableColumn id="6" name="WeekEnd"/>
    <tableColumn id="7" name="MonthYearLabel"/>
  </tableColumns>
  <tableStyleInfo name="TableStyleMedium9" showRowStripes="1"/>
</table>
</file>

<file path=xl/tables/table9.xml><?xml version="1.0" encoding="utf-8"?>
<table xmlns="http://schemas.openxmlformats.org/spreadsheetml/2006/main" id="9" name="M_Intermediates" displayName="M_Intermediates" ref="A1:D136" headerRowCount="1">
  <autoFilter ref="A1:D136"/>
  <tableColumns count="4">
    <tableColumn id="1" name="Intermediate"/>
    <tableColumn id="2" name="Type"/>
    <tableColumn id="3" name="PGM"/>
    <tableColumn id="4" name="BatchSize"/>
  </tableColumns>
  <tableStyleInfo name="TableStyleMedium9" showRowStripes="1"/>
</table>
</file>

<file path=xl/tables/table10.xml><?xml version="1.0" encoding="utf-8"?>
<table xmlns="http://schemas.openxmlformats.org/spreadsheetml/2006/main" id="10" name="M_ProductMap" displayName="M_ProductMap" ref="A1:B166" headerRowCount="1">
  <autoFilter ref="A1:B166"/>
  <tableColumns count="2">
    <tableColumn id="1" name="Intermediate"/>
    <tableColumn id="2" name="Product_Code"/>
  </tableColumns>
  <tableStyleInfo name="TableStyleMedium9" showRowStripes="1"/>
</table>
</file>

<file path=xl/tables/table11.xml><?xml version="1.0" encoding="utf-8"?>
<table xmlns="http://schemas.openxmlformats.org/spreadsheetml/2006/main" id="11" name="Grid_Requirement" displayName="Grid_Requirement" ref="A1:DA61" headerRowCount="1">
  <autoFilter ref="A1:DA61"/>
  <tableColumns count="105">
    <tableColumn id="1" name="Part Name"/>
    <tableColumn id="2" name="2026-W01"/>
    <tableColumn id="3" name="2026-W02"/>
    <tableColumn id="4" name="2026-W03"/>
    <tableColumn id="5" name="2026-W04"/>
    <tableColumn id="6" name="2026-W05"/>
    <tableColumn id="7" name="2026-W06"/>
    <tableColumn id="8" name="2026-W07"/>
    <tableColumn id="9" name="2026-W08"/>
    <tableColumn id="10" name="2026-W09"/>
    <tableColumn id="11" name="2026-W10"/>
    <tableColumn id="12" name="2026-W11"/>
    <tableColumn id="13" name="2026-W12"/>
    <tableColumn id="14" name="2026-W13"/>
    <tableColumn id="15" name="2026-W14"/>
    <tableColumn id="16" name="2026-W15"/>
    <tableColumn id="17" name="2026-W16"/>
    <tableColumn id="18" name="2026-W17"/>
    <tableColumn id="19" name="2026-W18"/>
    <tableColumn id="20" name="2026-W19"/>
    <tableColumn id="21" name="2026-W20"/>
    <tableColumn id="22" name="2026-W21"/>
    <tableColumn id="23" name="2026-W22"/>
    <tableColumn id="24" name="2026-W23"/>
    <tableColumn id="25" name="2026-W24"/>
    <tableColumn id="26" name="2026-W25"/>
    <tableColumn id="27" name="2026-W26"/>
    <tableColumn id="28" name="2026-W27"/>
    <tableColumn id="29" name="2026-W28"/>
    <tableColumn id="30" name="2026-W29"/>
    <tableColumn id="31" name="2026-W30"/>
    <tableColumn id="32" name="2026-W31"/>
    <tableColumn id="33" name="2026-W32"/>
    <tableColumn id="34" name="2026-W33"/>
    <tableColumn id="35" name="2026-W34"/>
    <tableColumn id="36" name="2026-W35"/>
    <tableColumn id="37" name="2026-W36"/>
    <tableColumn id="38" name="2026-W37"/>
    <tableColumn id="39" name="2026-W38"/>
    <tableColumn id="40" name="2026-W39"/>
    <tableColumn id="41" name="2026-W40"/>
    <tableColumn id="42" name="2026-W41"/>
    <tableColumn id="43" name="2026-W42"/>
    <tableColumn id="44" name="2026-W43"/>
    <tableColumn id="45" name="2026-W44"/>
    <tableColumn id="46" name="2026-W45"/>
    <tableColumn id="47" name="2026-W46"/>
    <tableColumn id="48" name="2026-W47"/>
    <tableColumn id="49" name="2026-W48"/>
    <tableColumn id="50" name="2026-W49"/>
    <tableColumn id="51" name="2026-W50"/>
    <tableColumn id="52" name="2026-W51"/>
    <tableColumn id="53" name="2026-W52"/>
    <tableColumn id="54" name="2027-W01"/>
    <tableColumn id="55" name="2027-W02"/>
    <tableColumn id="56" name="2027-W03"/>
    <tableColumn id="57" name="2027-W04"/>
    <tableColumn id="58" name="2027-W05"/>
    <tableColumn id="59" name="2027-W06"/>
    <tableColumn id="60" name="2027-W07"/>
    <tableColumn id="61" name="2027-W08"/>
    <tableColumn id="62" name="2027-W09"/>
    <tableColumn id="63" name="2027-W10"/>
    <tableColumn id="64" name="2027-W11"/>
    <tableColumn id="65" name="2027-W12"/>
    <tableColumn id="66" name="2027-W13"/>
    <tableColumn id="67" name="2027-W14"/>
    <tableColumn id="68" name="2027-W15"/>
    <tableColumn id="69" name="2027-W16"/>
    <tableColumn id="70" name="2027-W17"/>
    <tableColumn id="71" name="2027-W18"/>
    <tableColumn id="72" name="2027-W19"/>
    <tableColumn id="73" name="2027-W20"/>
    <tableColumn id="74" name="2027-W21"/>
    <tableColumn id="75" name="2027-W22"/>
    <tableColumn id="76" name="2027-W23"/>
    <tableColumn id="77" name="2027-W24"/>
    <tableColumn id="78" name="2027-W25"/>
    <tableColumn id="79" name="2027-W26"/>
    <tableColumn id="80" name="2027-W27"/>
    <tableColumn id="81" name="2027-W28"/>
    <tableColumn id="82" name="2027-W29"/>
    <tableColumn id="83" name="2027-W30"/>
    <tableColumn id="84" name="2027-W31"/>
    <tableColumn id="85" name="2027-W32"/>
    <tableColumn id="86" name="2027-W33"/>
    <tableColumn id="87" name="2027-W34"/>
    <tableColumn id="88" name="2027-W35"/>
    <tableColumn id="89" name="2027-W36"/>
    <tableColumn id="90" name="2027-W37"/>
    <tableColumn id="91" name="2027-W38"/>
    <tableColumn id="92" name="2027-W39"/>
    <tableColumn id="93" name="2027-W40"/>
    <tableColumn id="94" name="2027-W41"/>
    <tableColumn id="95" name="2027-W42"/>
    <tableColumn id="96" name="2027-W43"/>
    <tableColumn id="97" name="2027-W44"/>
    <tableColumn id="98" name="2027-W45"/>
    <tableColumn id="99" name="2027-W46"/>
    <tableColumn id="100" name="2027-W47"/>
    <tableColumn id="101" name="2027-W48"/>
    <tableColumn id="102" name="2027-W49"/>
    <tableColumn id="103" name="2027-W50"/>
    <tableColumn id="104" name="2027-W51"/>
    <tableColumn id="105" name="2027-W52"/>
  </tableColumns>
  <tableStyleInfo name="TableStyleMedium2" showRowStripes="1"/>
</table>
</file>

<file path=xl/tables/table12.xml><?xml version="1.0" encoding="utf-8"?>
<table xmlns="http://schemas.openxmlformats.org/spreadsheetml/2006/main" id="12" name="Grid_Incoming" displayName="Grid_Incoming" ref="A1:DA61" headerRowCount="1">
  <autoFilter ref="A1:DA61"/>
  <tableColumns count="105">
    <tableColumn id="1" name="Part Name"/>
    <tableColumn id="2" name="2026-W01"/>
    <tableColumn id="3" name="2026-W02"/>
    <tableColumn id="4" name="2026-W03"/>
    <tableColumn id="5" name="2026-W04"/>
    <tableColumn id="6" name="2026-W05"/>
    <tableColumn id="7" name="2026-W06"/>
    <tableColumn id="8" name="2026-W07"/>
    <tableColumn id="9" name="2026-W08"/>
    <tableColumn id="10" name="2026-W09"/>
    <tableColumn id="11" name="2026-W10"/>
    <tableColumn id="12" name="2026-W11"/>
    <tableColumn id="13" name="2026-W12"/>
    <tableColumn id="14" name="2026-W13"/>
    <tableColumn id="15" name="2026-W14"/>
    <tableColumn id="16" name="2026-W15"/>
    <tableColumn id="17" name="2026-W16"/>
    <tableColumn id="18" name="2026-W17"/>
    <tableColumn id="19" name="2026-W18"/>
    <tableColumn id="20" name="2026-W19"/>
    <tableColumn id="21" name="2026-W20"/>
    <tableColumn id="22" name="2026-W21"/>
    <tableColumn id="23" name="2026-W22"/>
    <tableColumn id="24" name="2026-W23"/>
    <tableColumn id="25" name="2026-W24"/>
    <tableColumn id="26" name="2026-W25"/>
    <tableColumn id="27" name="2026-W26"/>
    <tableColumn id="28" name="2026-W27"/>
    <tableColumn id="29" name="2026-W28"/>
    <tableColumn id="30" name="2026-W29"/>
    <tableColumn id="31" name="2026-W30"/>
    <tableColumn id="32" name="2026-W31"/>
    <tableColumn id="33" name="2026-W32"/>
    <tableColumn id="34" name="2026-W33"/>
    <tableColumn id="35" name="2026-W34"/>
    <tableColumn id="36" name="2026-W35"/>
    <tableColumn id="37" name="2026-W36"/>
    <tableColumn id="38" name="2026-W37"/>
    <tableColumn id="39" name="2026-W38"/>
    <tableColumn id="40" name="2026-W39"/>
    <tableColumn id="41" name="2026-W40"/>
    <tableColumn id="42" name="2026-W41"/>
    <tableColumn id="43" name="2026-W42"/>
    <tableColumn id="44" name="2026-W43"/>
    <tableColumn id="45" name="2026-W44"/>
    <tableColumn id="46" name="2026-W45"/>
    <tableColumn id="47" name="2026-W46"/>
    <tableColumn id="48" name="2026-W47"/>
    <tableColumn id="49" name="2026-W48"/>
    <tableColumn id="50" name="2026-W49"/>
    <tableColumn id="51" name="2026-W50"/>
    <tableColumn id="52" name="2026-W51"/>
    <tableColumn id="53" name="2026-W52"/>
    <tableColumn id="54" name="2027-W01"/>
    <tableColumn id="55" name="2027-W02"/>
    <tableColumn id="56" name="2027-W03"/>
    <tableColumn id="57" name="2027-W04"/>
    <tableColumn id="58" name="2027-W05"/>
    <tableColumn id="59" name="2027-W06"/>
    <tableColumn id="60" name="2027-W07"/>
    <tableColumn id="61" name="2027-W08"/>
    <tableColumn id="62" name="2027-W09"/>
    <tableColumn id="63" name="2027-W10"/>
    <tableColumn id="64" name="2027-W11"/>
    <tableColumn id="65" name="2027-W12"/>
    <tableColumn id="66" name="2027-W13"/>
    <tableColumn id="67" name="2027-W14"/>
    <tableColumn id="68" name="2027-W15"/>
    <tableColumn id="69" name="2027-W16"/>
    <tableColumn id="70" name="2027-W17"/>
    <tableColumn id="71" name="2027-W18"/>
    <tableColumn id="72" name="2027-W19"/>
    <tableColumn id="73" name="2027-W20"/>
    <tableColumn id="74" name="2027-W21"/>
    <tableColumn id="75" name="2027-W22"/>
    <tableColumn id="76" name="2027-W23"/>
    <tableColumn id="77" name="2027-W24"/>
    <tableColumn id="78" name="2027-W25"/>
    <tableColumn id="79" name="2027-W26"/>
    <tableColumn id="80" name="2027-W27"/>
    <tableColumn id="81" name="2027-W28"/>
    <tableColumn id="82" name="2027-W29"/>
    <tableColumn id="83" name="2027-W30"/>
    <tableColumn id="84" name="2027-W31"/>
    <tableColumn id="85" name="2027-W32"/>
    <tableColumn id="86" name="2027-W33"/>
    <tableColumn id="87" name="2027-W34"/>
    <tableColumn id="88" name="2027-W35"/>
    <tableColumn id="89" name="2027-W36"/>
    <tableColumn id="90" name="2027-W37"/>
    <tableColumn id="91" name="2027-W38"/>
    <tableColumn id="92" name="2027-W39"/>
    <tableColumn id="93" name="2027-W40"/>
    <tableColumn id="94" name="2027-W41"/>
    <tableColumn id="95" name="2027-W42"/>
    <tableColumn id="96" name="2027-W43"/>
    <tableColumn id="97" name="2027-W44"/>
    <tableColumn id="98" name="2027-W45"/>
    <tableColumn id="99" name="2027-W46"/>
    <tableColumn id="100" name="2027-W47"/>
    <tableColumn id="101" name="2027-W48"/>
    <tableColumn id="102" name="2027-W49"/>
    <tableColumn id="103" name="2027-W50"/>
    <tableColumn id="104" name="2027-W51"/>
    <tableColumn id="105" name="2027-W52"/>
  </tableColumns>
  <tableStyleInfo name="TableStyleMedium2" showRowStripes="1"/>
</table>
</file>

<file path=xl/tables/table13.xml><?xml version="1.0" encoding="utf-8"?>
<table xmlns="http://schemas.openxmlformats.org/spreadsheetml/2006/main" id="13" name="Grid_Stock" displayName="Grid_Stock" ref="A1:DA61" headerRowCount="1">
  <autoFilter ref="A1:DA61"/>
  <tableColumns count="105">
    <tableColumn id="1" name="Part Name"/>
    <tableColumn id="2" name="2026-W01"/>
    <tableColumn id="3" name="2026-W02"/>
    <tableColumn id="4" name="2026-W03"/>
    <tableColumn id="5" name="2026-W04"/>
    <tableColumn id="6" name="2026-W05"/>
    <tableColumn id="7" name="2026-W06"/>
    <tableColumn id="8" name="2026-W07"/>
    <tableColumn id="9" name="2026-W08"/>
    <tableColumn id="10" name="2026-W09"/>
    <tableColumn id="11" name="2026-W10"/>
    <tableColumn id="12" name="2026-W11"/>
    <tableColumn id="13" name="2026-W12"/>
    <tableColumn id="14" name="2026-W13"/>
    <tableColumn id="15" name="2026-W14"/>
    <tableColumn id="16" name="2026-W15"/>
    <tableColumn id="17" name="2026-W16"/>
    <tableColumn id="18" name="2026-W17"/>
    <tableColumn id="19" name="2026-W18"/>
    <tableColumn id="20" name="2026-W19"/>
    <tableColumn id="21" name="2026-W20"/>
    <tableColumn id="22" name="2026-W21"/>
    <tableColumn id="23" name="2026-W22"/>
    <tableColumn id="24" name="2026-W23"/>
    <tableColumn id="25" name="2026-W24"/>
    <tableColumn id="26" name="2026-W25"/>
    <tableColumn id="27" name="2026-W26"/>
    <tableColumn id="28" name="2026-W27"/>
    <tableColumn id="29" name="2026-W28"/>
    <tableColumn id="30" name="2026-W29"/>
    <tableColumn id="31" name="2026-W30"/>
    <tableColumn id="32" name="2026-W31"/>
    <tableColumn id="33" name="2026-W32"/>
    <tableColumn id="34" name="2026-W33"/>
    <tableColumn id="35" name="2026-W34"/>
    <tableColumn id="36" name="2026-W35"/>
    <tableColumn id="37" name="2026-W36"/>
    <tableColumn id="38" name="2026-W37"/>
    <tableColumn id="39" name="2026-W38"/>
    <tableColumn id="40" name="2026-W39"/>
    <tableColumn id="41" name="2026-W40"/>
    <tableColumn id="42" name="2026-W41"/>
    <tableColumn id="43" name="2026-W42"/>
    <tableColumn id="44" name="2026-W43"/>
    <tableColumn id="45" name="2026-W44"/>
    <tableColumn id="46" name="2026-W45"/>
    <tableColumn id="47" name="2026-W46"/>
    <tableColumn id="48" name="2026-W47"/>
    <tableColumn id="49" name="2026-W48"/>
    <tableColumn id="50" name="2026-W49"/>
    <tableColumn id="51" name="2026-W50"/>
    <tableColumn id="52" name="2026-W51"/>
    <tableColumn id="53" name="2026-W52"/>
    <tableColumn id="54" name="2027-W01"/>
    <tableColumn id="55" name="2027-W02"/>
    <tableColumn id="56" name="2027-W03"/>
    <tableColumn id="57" name="2027-W04"/>
    <tableColumn id="58" name="2027-W05"/>
    <tableColumn id="59" name="2027-W06"/>
    <tableColumn id="60" name="2027-W07"/>
    <tableColumn id="61" name="2027-W08"/>
    <tableColumn id="62" name="2027-W09"/>
    <tableColumn id="63" name="2027-W10"/>
    <tableColumn id="64" name="2027-W11"/>
    <tableColumn id="65" name="2027-W12"/>
    <tableColumn id="66" name="2027-W13"/>
    <tableColumn id="67" name="2027-W14"/>
    <tableColumn id="68" name="2027-W15"/>
    <tableColumn id="69" name="2027-W16"/>
    <tableColumn id="70" name="2027-W17"/>
    <tableColumn id="71" name="2027-W18"/>
    <tableColumn id="72" name="2027-W19"/>
    <tableColumn id="73" name="2027-W20"/>
    <tableColumn id="74" name="2027-W21"/>
    <tableColumn id="75" name="2027-W22"/>
    <tableColumn id="76" name="2027-W23"/>
    <tableColumn id="77" name="2027-W24"/>
    <tableColumn id="78" name="2027-W25"/>
    <tableColumn id="79" name="2027-W26"/>
    <tableColumn id="80" name="2027-W27"/>
    <tableColumn id="81" name="2027-W28"/>
    <tableColumn id="82" name="2027-W29"/>
    <tableColumn id="83" name="2027-W30"/>
    <tableColumn id="84" name="2027-W31"/>
    <tableColumn id="85" name="2027-W32"/>
    <tableColumn id="86" name="2027-W33"/>
    <tableColumn id="87" name="2027-W34"/>
    <tableColumn id="88" name="2027-W35"/>
    <tableColumn id="89" name="2027-W36"/>
    <tableColumn id="90" name="2027-W37"/>
    <tableColumn id="91" name="2027-W38"/>
    <tableColumn id="92" name="2027-W39"/>
    <tableColumn id="93" name="2027-W40"/>
    <tableColumn id="94" name="2027-W41"/>
    <tableColumn id="95" name="2027-W42"/>
    <tableColumn id="96" name="2027-W43"/>
    <tableColumn id="97" name="2027-W44"/>
    <tableColumn id="98" name="2027-W45"/>
    <tableColumn id="99" name="2027-W46"/>
    <tableColumn id="100" name="2027-W47"/>
    <tableColumn id="101" name="2027-W48"/>
    <tableColumn id="102" name="2027-W49"/>
    <tableColumn id="103" name="2027-W50"/>
    <tableColumn id="104" name="2027-W51"/>
    <tableColumn id="105" name="2027-W52"/>
  </tableColumns>
  <tableStyleInfo name="TableStyleMedium2" showRowStripes="1"/>
</table>
</file>

<file path=xl/tables/table14.xml><?xml version="1.0" encoding="utf-8"?>
<table xmlns="http://schemas.openxmlformats.org/spreadsheetml/2006/main" id="14" name="Grid_TheoreticalStock" displayName="Grid_TheoreticalStock" ref="A1:DA61" headerRowCount="1">
  <autoFilter ref="A1:DA61"/>
  <tableColumns count="105">
    <tableColumn id="1" name="Part Name"/>
    <tableColumn id="2" name="2026-W01"/>
    <tableColumn id="3" name="2026-W02"/>
    <tableColumn id="4" name="2026-W03"/>
    <tableColumn id="5" name="2026-W04"/>
    <tableColumn id="6" name="2026-W05"/>
    <tableColumn id="7" name="2026-W06"/>
    <tableColumn id="8" name="2026-W07"/>
    <tableColumn id="9" name="2026-W08"/>
    <tableColumn id="10" name="2026-W09"/>
    <tableColumn id="11" name="2026-W10"/>
    <tableColumn id="12" name="2026-W11"/>
    <tableColumn id="13" name="2026-W12"/>
    <tableColumn id="14" name="2026-W13"/>
    <tableColumn id="15" name="2026-W14"/>
    <tableColumn id="16" name="2026-W15"/>
    <tableColumn id="17" name="2026-W16"/>
    <tableColumn id="18" name="2026-W17"/>
    <tableColumn id="19" name="2026-W18"/>
    <tableColumn id="20" name="2026-W19"/>
    <tableColumn id="21" name="2026-W20"/>
    <tableColumn id="22" name="2026-W21"/>
    <tableColumn id="23" name="2026-W22"/>
    <tableColumn id="24" name="2026-W23"/>
    <tableColumn id="25" name="2026-W24"/>
    <tableColumn id="26" name="2026-W25"/>
    <tableColumn id="27" name="2026-W26"/>
    <tableColumn id="28" name="2026-W27"/>
    <tableColumn id="29" name="2026-W28"/>
    <tableColumn id="30" name="2026-W29"/>
    <tableColumn id="31" name="2026-W30"/>
    <tableColumn id="32" name="2026-W31"/>
    <tableColumn id="33" name="2026-W32"/>
    <tableColumn id="34" name="2026-W33"/>
    <tableColumn id="35" name="2026-W34"/>
    <tableColumn id="36" name="2026-W35"/>
    <tableColumn id="37" name="2026-W36"/>
    <tableColumn id="38" name="2026-W37"/>
    <tableColumn id="39" name="2026-W38"/>
    <tableColumn id="40" name="2026-W39"/>
    <tableColumn id="41" name="2026-W40"/>
    <tableColumn id="42" name="2026-W41"/>
    <tableColumn id="43" name="2026-W42"/>
    <tableColumn id="44" name="2026-W43"/>
    <tableColumn id="45" name="2026-W44"/>
    <tableColumn id="46" name="2026-W45"/>
    <tableColumn id="47" name="2026-W46"/>
    <tableColumn id="48" name="2026-W47"/>
    <tableColumn id="49" name="2026-W48"/>
    <tableColumn id="50" name="2026-W49"/>
    <tableColumn id="51" name="2026-W50"/>
    <tableColumn id="52" name="2026-W51"/>
    <tableColumn id="53" name="2026-W52"/>
    <tableColumn id="54" name="2027-W01"/>
    <tableColumn id="55" name="2027-W02"/>
    <tableColumn id="56" name="2027-W03"/>
    <tableColumn id="57" name="2027-W04"/>
    <tableColumn id="58" name="2027-W05"/>
    <tableColumn id="59" name="2027-W06"/>
    <tableColumn id="60" name="2027-W07"/>
    <tableColumn id="61" name="2027-W08"/>
    <tableColumn id="62" name="2027-W09"/>
    <tableColumn id="63" name="2027-W10"/>
    <tableColumn id="64" name="2027-W11"/>
    <tableColumn id="65" name="2027-W12"/>
    <tableColumn id="66" name="2027-W13"/>
    <tableColumn id="67" name="2027-W14"/>
    <tableColumn id="68" name="2027-W15"/>
    <tableColumn id="69" name="2027-W16"/>
    <tableColumn id="70" name="2027-W17"/>
    <tableColumn id="71" name="2027-W18"/>
    <tableColumn id="72" name="2027-W19"/>
    <tableColumn id="73" name="2027-W20"/>
    <tableColumn id="74" name="2027-W21"/>
    <tableColumn id="75" name="2027-W22"/>
    <tableColumn id="76" name="2027-W23"/>
    <tableColumn id="77" name="2027-W24"/>
    <tableColumn id="78" name="2027-W25"/>
    <tableColumn id="79" name="2027-W26"/>
    <tableColumn id="80" name="2027-W27"/>
    <tableColumn id="81" name="2027-W28"/>
    <tableColumn id="82" name="2027-W29"/>
    <tableColumn id="83" name="2027-W30"/>
    <tableColumn id="84" name="2027-W31"/>
    <tableColumn id="85" name="2027-W32"/>
    <tableColumn id="86" name="2027-W33"/>
    <tableColumn id="87" name="2027-W34"/>
    <tableColumn id="88" name="2027-W35"/>
    <tableColumn id="89" name="2027-W36"/>
    <tableColumn id="90" name="2027-W37"/>
    <tableColumn id="91" name="2027-W38"/>
    <tableColumn id="92" name="2027-W39"/>
    <tableColumn id="93" name="2027-W40"/>
    <tableColumn id="94" name="2027-W41"/>
    <tableColumn id="95" name="2027-W42"/>
    <tableColumn id="96" name="2027-W43"/>
    <tableColumn id="97" name="2027-W44"/>
    <tableColumn id="98" name="2027-W45"/>
    <tableColumn id="99" name="2027-W46"/>
    <tableColumn id="100" name="2027-W47"/>
    <tableColumn id="101" name="2027-W48"/>
    <tableColumn id="102" name="2027-W49"/>
    <tableColumn id="103" name="2027-W50"/>
    <tableColumn id="104" name="2027-W51"/>
    <tableColumn id="105" name="2027-W52"/>
  </tableColumns>
  <tableStyleInfo name="TableStyleMedium2" showRowStripes="1"/>
</table>
</file>

<file path=xl/tables/table15.xml><?xml version="1.0" encoding="utf-8"?>
<table xmlns="http://schemas.openxmlformats.org/spreadsheetml/2006/main" id="15" name="T_SelfStock_Log" displayName="T_SelfStock_Log" ref="A1:D2" headerRowCount="1">
  <autoFilter ref="A1:D2"/>
  <tableColumns count="4">
    <tableColumn id="1" name="Part Name"/>
    <tableColumn id="2" name="Date"/>
    <tableColumn id="3" name="WeekIndex"/>
    <tableColumn id="4" name="Self_Qty"/>
  </tableColumns>
  <tableStyleInfo name="TableStyleMedium9" showRowStripes="1"/>
</table>
</file>

<file path=xl/tables/table16.xml><?xml version="1.0" encoding="utf-8"?>
<table xmlns="http://schemas.openxmlformats.org/spreadsheetml/2006/main" id="16" name="T_TTAFStock_Log" displayName="T_TTAFStock_Log" ref="A1:D2" headerRowCount="1">
  <autoFilter ref="A1:D2"/>
  <tableColumns count="4">
    <tableColumn id="1" name="Part Name"/>
    <tableColumn id="2" name="Date"/>
    <tableColumn id="3" name="WeekIndex"/>
    <tableColumn id="4" name="TTAF_Qty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5805;&#20316;&#12497;&#12493;&#12523;'!A1" TargetMode="External" Id="rId1" /><Relationship Type="http://schemas.openxmlformats.org/officeDocument/2006/relationships/hyperlink" Target="#'Dashboard'!A1" TargetMode="External" Id="rId2" /><Relationship Type="http://schemas.openxmlformats.org/officeDocument/2006/relationships/hyperlink" Target="#'Material_Detail'!A1" TargetMode="External" Id="rId3" /><Relationship Type="http://schemas.openxmlformats.org/officeDocument/2006/relationships/hyperlink" Target="#'PO_Draft_Chemical'!A1" TargetMode="External" Id="rId4" /><Relationship Type="http://schemas.openxmlformats.org/officeDocument/2006/relationships/hyperlink" Target="#'PO_Draft_Hazardous'!A1" TargetMode="External" Id="rId5" /><Relationship Type="http://schemas.openxmlformats.org/officeDocument/2006/relationships/hyperlink" Target="#'PO_Draft_Substrate'!A1" TargetMode="External" Id="rId6" /><Relationship Type="http://schemas.openxmlformats.org/officeDocument/2006/relationships/hyperlink" Target="#'PO_Draft_Substrate_Poland'!A1" TargetMode="External" Id="rId7" /><Relationship Type="http://schemas.openxmlformats.org/officeDocument/2006/relationships/hyperlink" Target="#'T_Shipments'!A1" TargetMode="External" Id="rId8" /><Relationship Type="http://schemas.openxmlformats.org/officeDocument/2006/relationships/hyperlink" Target="#'T_OpeningStock'!A1" TargetMode="External" Id="rId9" /><Relationship Type="http://schemas.openxmlformats.org/officeDocument/2006/relationships/hyperlink" Target="#'T_StockCount'!A1" TargetMode="External" Id="rId10" /><Relationship Type="http://schemas.openxmlformats.org/officeDocument/2006/relationships/hyperlink" Target="#'T_SelfStock'!A1" TargetMode="External" Id="rId11" /><Relationship Type="http://schemas.openxmlformats.org/officeDocument/2006/relationships/hyperlink" Target="#'T_TTAFStock'!A1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SOH（在庫管理）シート 使い方</t>
        </is>
      </c>
    </row>
    <row r="2">
      <c r="A2" s="2" t="inlineStr">
        <is>
          <t>【ジャンプ】クリックで各シートへ移動</t>
        </is>
      </c>
    </row>
    <row r="3">
      <c r="A3" s="3" t="inlineStr">
        <is>
          <t>▶ 操作パネル - 月次の運用手順順に並んだマクロボタンの設置場所</t>
        </is>
      </c>
    </row>
    <row r="4">
      <c r="A4" s="3" t="inlineStr">
        <is>
          <t>▶ Dashboard - 原材料×週の在庫（2年分・横軸で見渡せるメイン画面。まずここ）</t>
        </is>
      </c>
    </row>
    <row r="5">
      <c r="A5" s="3" t="inlineStr">
        <is>
          <t>▶ Material_Detail - 材料ごとの使用状況（どの材料が何に使われているか）</t>
        </is>
      </c>
    </row>
    <row r="6">
      <c r="A6" s="3" t="inlineStr">
        <is>
          <t>▶ PO_Draft_Chemical - 発注書ドラフト（Chemical）</t>
        </is>
      </c>
    </row>
    <row r="7">
      <c r="A7" s="3" t="inlineStr">
        <is>
          <t>▶ PO_Draft_Hazardous - 発注書ドラフト（Hazardous Chemical）</t>
        </is>
      </c>
    </row>
    <row r="8">
      <c r="A8" s="3" t="inlineStr">
        <is>
          <t>▶ PO_Draft_Substrate - 発注書ドラフト（Substrate）</t>
        </is>
      </c>
    </row>
    <row r="9">
      <c r="A9" s="3" t="inlineStr">
        <is>
          <t>▶ PO_Draft_Substrate_Poland - 発注書ドラフト（Substrate・Poland）</t>
        </is>
      </c>
    </row>
    <row r="10">
      <c r="A10" s="3" t="inlineStr">
        <is>
          <t>▶ T_Shipments - 発注・着荷の入力（TTAF供給材料はTTAF倉庫への到着実績を表す）</t>
        </is>
      </c>
    </row>
    <row r="11">
      <c r="A11" s="3" t="inlineStr">
        <is>
          <t>▶ T_OpeningStock - 期首在庫の入力</t>
        </is>
      </c>
    </row>
    <row r="12">
      <c r="A12" s="3" t="inlineStr">
        <is>
          <t>▶ T_StockCount - 棚卸実績の入力</t>
        </is>
      </c>
    </row>
    <row r="13">
      <c r="A13" s="3" t="inlineStr">
        <is>
          <t>▶ T_SelfStock - 自社倉庫の在庫実績（材料×週。RefreshSelfStockで自動更新）</t>
        </is>
      </c>
    </row>
    <row r="14">
      <c r="A14" s="3" t="inlineStr">
        <is>
          <t>▶ T_TTAFStock - TTAF倉庫の在庫実績（材料×週。RefreshTTAFStockで自動更新）</t>
        </is>
      </c>
    </row>
    <row r="16">
      <c r="A16" t="inlineStr"/>
    </row>
    <row r="17">
      <c r="A17" t="inlineStr">
        <is>
          <t>このブックはPower BI等に読み込ませる中間テーブルではなく、これ自体が完成品です。</t>
        </is>
      </c>
    </row>
    <row r="18">
      <c r="A18" t="inlineStr">
        <is>
          <t>Dashboard と PO_Draft_* が最終的な閲覧・発注画面、それ以外は計算の土台です。</t>
        </is>
      </c>
    </row>
    <row r="19">
      <c r="A19" t="inlineStr"/>
    </row>
    <row r="20">
      <c r="A20" t="inlineStr">
        <is>
          <t>【週番号のルール】すべてExcelの数式で計算（Cal_WeeksのB1=AnchorYearを変えると全体が再計算）</t>
        </is>
      </c>
    </row>
    <row r="21">
      <c r="A21" t="inlineStr">
        <is>
          <t xml:space="preserve">  Week1=1月1日を含む月〜日の週。年が変わると再び1にリセットされます（2026-W52の次は2027-W01）。</t>
        </is>
      </c>
    </row>
    <row r="22">
      <c r="A22" t="inlineStr">
        <is>
          <t xml:space="preserve">  各シートの週見出しは3段: 1段目=月-年(Aug-26等) / 2段目=その週月曜の日付 / 3段目=週No。</t>
        </is>
      </c>
    </row>
    <row r="23">
      <c r="A23" t="inlineStr"/>
    </row>
    <row r="24">
      <c r="A24" t="inlineStr">
        <is>
          <t>【普段見るシート】</t>
        </is>
      </c>
    </row>
    <row r="25">
      <c r="A25" t="inlineStr">
        <is>
          <t xml:space="preserve">  Dashboard           : 原材料×週の在庫を2年分、横軸で見渡せるメイン画面（まずここ）。</t>
        </is>
      </c>
    </row>
    <row r="26">
      <c r="A26" t="inlineStr">
        <is>
          <t xml:space="preserve">                        自社在庫(実績)・TTAF在庫(実績)・実績週の列で内訳も確認できます。</t>
        </is>
      </c>
    </row>
    <row r="27">
      <c r="A27" t="inlineStr">
        <is>
          <t xml:space="preserve">                        基準在庫(下限/上限)を入力すると、各週のセルが赤(下限未満)/</t>
        </is>
      </c>
    </row>
    <row r="28">
      <c r="A28" t="inlineStr">
        <is>
          <t xml:space="preserve">                        緑(範囲内)/青(上限超)に自動で色分けされます。</t>
        </is>
      </c>
    </row>
    <row r="29">
      <c r="A29" t="inlineStr">
        <is>
          <t xml:space="preserve">                        C1に'W23'のように入力すると（現在年の週Noとして検索）、</t>
        </is>
      </c>
    </row>
    <row r="30">
      <c r="A30" t="inlineStr">
        <is>
          <t xml:space="preserve">                        該当する週の列が太枠でハイライトされます。VBA(JumpToSelectedWeek、</t>
        </is>
      </c>
    </row>
    <row r="31">
      <c r="A31" t="inlineStr">
        <is>
          <t xml:space="preserve">                        要ボタン設定・詳細はdocs/SOH_System_Guide.md)を導入していれば、</t>
        </is>
      </c>
    </row>
    <row r="32">
      <c r="A32" t="inlineStr">
        <is>
          <t xml:space="preserve">                        実績週のすぐ右にその週の列が来るよう自動でスクロールもされます。</t>
        </is>
      </c>
    </row>
    <row r="33">
      <c r="A33" t="inlineStr">
        <is>
          <t xml:space="preserve">  Material_Detail     : 材料ごとに「どの中間体が・何バッチ・いくら使うか」をブロック表示（トレーサビリティ）。</t>
        </is>
      </c>
    </row>
    <row r="34">
      <c r="A34" t="inlineStr">
        <is>
          <t xml:space="preserve">                        Dashboardと同様にC1に'W23'のように入力すると該当週が求まり、</t>
        </is>
      </c>
    </row>
    <row r="35">
      <c r="A35" t="inlineStr">
        <is>
          <t xml:space="preserve">                        VBA導入時はその週列のすぐ右に自動でスクロールします。</t>
        </is>
      </c>
    </row>
    <row r="36">
      <c r="A36" t="inlineStr">
        <is>
          <t xml:space="preserve">                        材料名の右のC列にMOQ(最小発注量)を手入力できます。</t>
        </is>
      </c>
    </row>
    <row r="37">
      <c r="A37" t="inlineStr">
        <is>
          <t xml:space="preserve">                        合計使用量の下にTTAF在庫実績・自社在庫実績・Order(発注予定)・</t>
        </is>
      </c>
    </row>
    <row r="38">
      <c r="A38" t="inlineStr">
        <is>
          <t xml:space="preserve">                        合計在庫(週末時点)の週次推移も表示されます。</t>
        </is>
      </c>
    </row>
    <row r="39">
      <c r="A39" t="inlineStr">
        <is>
          <t xml:space="preserve">                        HideInactiveIntermediatesマクロ(要ボタン設定)で、指定期間ずっと生産予定の無い</t>
        </is>
      </c>
    </row>
    <row r="40">
      <c r="A40" t="inlineStr">
        <is>
          <t xml:space="preserve">                        中間体の行を折りたためます（在庫関連の行は常に表示されたままです）。</t>
        </is>
      </c>
    </row>
    <row r="41">
      <c r="A41" t="inlineStr">
        <is>
          <t xml:space="preserve">  PO_Draft_*          : Material_Detailの「Order」行に手入力した発注数量を注文書ひな形に転記</t>
        </is>
      </c>
    </row>
    <row r="42">
      <c r="A42" t="inlineStr">
        <is>
          <t xml:space="preserve">                        （自動計算はしません。発注数量はMaterial_Detail側で入力してください）。</t>
        </is>
      </c>
    </row>
    <row r="43">
      <c r="A43" t="inlineStr">
        <is>
          <t xml:space="preserve">  T_Shipments         : 発注・着荷の入力。TTAF供給材料については「TTAF倉庫への到着実績」を</t>
        </is>
      </c>
    </row>
    <row r="44">
      <c r="A44" t="inlineStr">
        <is>
          <t xml:space="preserve">                        表します(TTAFは仕入先であり倉庫でもあるため)。TTAF以外の材料は</t>
        </is>
      </c>
    </row>
    <row r="45">
      <c r="A45" t="inlineStr">
        <is>
          <t xml:space="preserve">                        従来通り弊社への入庫実績です。RefreshShipmentsでCSA Reportの</t>
        </is>
      </c>
    </row>
    <row r="46">
      <c r="A46" t="inlineStr">
        <is>
          <t xml:space="preserve">                        Shipping Scheduleから一括更新できます（手入力も可）。</t>
        </is>
      </c>
    </row>
    <row r="47">
      <c r="A47" t="inlineStr">
        <is>
          <t xml:space="preserve">  T_OpeningStock/T_StockCount : 入力用</t>
        </is>
      </c>
    </row>
    <row r="48">
      <c r="A48" t="inlineStr">
        <is>
          <t xml:space="preserve">  T_SelfStock/T_TTAFStock : 材料×週のグリッドで自社/TTAF在庫実績を表示（出力・閲覧用）。</t>
        </is>
      </c>
    </row>
    <row r="49">
      <c r="A49" t="inlineStr">
        <is>
          <t xml:space="preserve">                        RefreshSelfStock/RefreshTTAFStockで更新されます。手入力はしないでください</t>
        </is>
      </c>
    </row>
    <row r="50">
      <c r="A50" t="inlineStr">
        <is>
          <t xml:space="preserve">                        （生データは非表示のT_SelfStock_Log/T_TTAFStock_Logに安全に保存されています）。</t>
        </is>
      </c>
    </row>
    <row r="51">
      <c r="A51" t="inlineStr"/>
    </row>
    <row r="52">
      <c r="A52" t="inlineStr">
        <is>
          <t xml:space="preserve">  M_RawMaterials・M_BOM・PP_Grid・Grid_Stock・その他非表示シートは内部計算用です。通常は開く必要はありません。</t>
        </is>
      </c>
    </row>
    <row r="53">
      <c r="A53" t="inlineStr"/>
    </row>
    <row r="54">
      <c r="A54" t="inlineStr">
        <is>
          <t>【重要】原単位・バッチ数・自社/TTAF在庫・発注実績はPythonを使わず、Excel(VBA)マクロだけで更新できます。</t>
        </is>
      </c>
    </row>
    <row r="55">
      <c r="A55" t="inlineStr">
        <is>
          <t xml:space="preserve">  macros/フォルダのRefreshData_*.bas(7ファイル)を導入し、RefreshWeeklyBatches / RefreshBOM / RefreshSelfStock /</t>
        </is>
      </c>
    </row>
    <row r="56">
      <c r="A56" t="inlineStr">
        <is>
          <t xml:space="preserve">  RefreshTTAFStock / RefreshShipments を実行してください（対象ファイルを選ぶだけです。</t>
        </is>
      </c>
    </row>
    <row r="57">
      <c r="A57" t="inlineStr">
        <is>
          <t xml:space="preserve">  詳細はdocs/SOH_System_Guide.md、未検証のため要動作確認）。</t>
        </is>
      </c>
    </row>
    <row r="58">
      <c r="A58" t="inlineStr">
        <is>
          <t xml:space="preserve">  T_Shipments・T_OpeningStock・T_StockCount等の入力内容は上書きされません</t>
        </is>
      </c>
    </row>
    <row r="59">
      <c r="A59" t="inlineStr">
        <is>
          <t xml:space="preserve">  （T_ShipmentsはRefreshShipmentsを実行した場合のみ更新されます）。</t>
        </is>
      </c>
    </row>
    <row r="60">
      <c r="A60" t="inlineStr">
        <is>
          <t xml:space="preserve">  Material_Detailの中間体の行を隠す/戻すHideInactiveIntermediates / ShowAllIntermediatesは、</t>
        </is>
      </c>
    </row>
    <row r="61">
      <c r="A61" t="inlineStr">
        <is>
          <t xml:space="preserve">  ボタンへの割り当てが必要な一度だけの手動設定です（詳細はdocs/SOH_System_Guide.md）。</t>
        </is>
      </c>
    </row>
    <row r="62">
      <c r="A62" t="inlineStr"/>
    </row>
    <row r="63">
      <c r="A63" t="inlineStr">
        <is>
          <t>【毎月の運用】</t>
        </is>
      </c>
    </row>
    <row r="64">
      <c r="A64" t="inlineStr">
        <is>
          <t xml:space="preserve">  1. 「Powder &amp; Slurry &amp; Pgm Plan」の新しい月版でRefreshWeeklyBatchesを実行</t>
        </is>
      </c>
    </row>
    <row r="65">
      <c r="A65" t="inlineStr">
        <is>
          <t xml:space="preserve">  2. 「Raw Material - Look Up」が更新されていればRefreshBOMを実行</t>
        </is>
      </c>
    </row>
    <row r="66">
      <c r="A66" t="inlineStr">
        <is>
          <t xml:space="preserve">  3. 自社倉庫の現物確認を毎週月曜の朝に実施したらRefreshSelfStockを実行</t>
        </is>
      </c>
    </row>
    <row r="67">
      <c r="A67" t="inlineStr">
        <is>
          <t xml:space="preserve">  4. CSA Reportが毎週月曜に届いたらRefreshTTAFStockとRefreshShipmentsを実行</t>
        </is>
      </c>
    </row>
    <row r="68">
      <c r="A68" t="inlineStr">
        <is>
          <t xml:space="preserve">  5. 発注する数量はMaterial_Detailの「Order(発注予定,kg)」行に直接入力</t>
        </is>
      </c>
    </row>
    <row r="69">
      <c r="A69" t="inlineStr">
        <is>
          <t xml:space="preserve">  6. 棚卸を実施したらT_StockCountに実測値を追記（Date列に実施日を入力。WeekIndex列は自動計算）</t>
        </is>
      </c>
    </row>
    <row r="70">
      <c r="A70" t="inlineStr">
        <is>
          <t xml:space="preserve">  7. Dashboardで赤色(基準在庫の下限未満)の週を確認し、PO_Draft_*から注文書を出力</t>
        </is>
      </c>
    </row>
    <row r="71">
      <c r="A71" t="inlineStr">
        <is>
          <t xml:space="preserve">  8. 月初は、前月最終週と当月頭のDashboardを見比べて在庫差異を確認（Plan Increase and Decrease /</t>
        </is>
      </c>
    </row>
    <row r="72">
      <c r="A72" t="inlineStr">
        <is>
          <t xml:space="preserve">     Inventory Releasesの報告フォーマットに転記）</t>
        </is>
      </c>
    </row>
    <row r="73">
      <c r="A73" t="inlineStr"/>
    </row>
    <row r="74">
      <c r="A74" t="inlineStr">
        <is>
          <t>【前提・要確認事項】詳細はdocs/SOH_System_Guide.mdを参照</t>
        </is>
      </c>
    </row>
    <row r="75">
      <c r="A75" t="inlineStr">
        <is>
          <t xml:space="preserve">  - M_RawMaterials の基準在庫(下限/上限)とLeadTime_Weeksは仮値(0)です。実際の水準に置き換えてください</t>
        </is>
      </c>
    </row>
    <row r="76">
      <c r="A76" t="inlineStr">
        <is>
          <t xml:space="preserve">    （Dashboardの週次セルの赤/緑/青の色分けに使われます）。</t>
        </is>
      </c>
    </row>
    <row r="77">
      <c r="A77" t="inlineStr">
        <is>
          <t xml:space="preserve">  - Categoryの割り当て(Chemical/Hazardous Chemical/Substrate)は入手データから機械的に推定した部分があります。要レビュー。</t>
        </is>
      </c>
    </row>
    <row r="78">
      <c r="A78" t="inlineStr">
        <is>
          <t xml:space="preserve">  - 週次バッチ数はPowder &amp; Slurry &amp; Pgm Planの実データ（約36材料シートから抽出）を使用しています。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70" customWidth="1" min="3" max="3"/>
    <col width="22" customWidth="1" min="5" max="5"/>
    <col width="22" customWidth="1" min="6" max="6"/>
  </cols>
  <sheetData>
    <row r="1">
      <c r="A1" s="1" t="inlineStr">
        <is>
          <t>操作パネル（ボタンの設置場所）</t>
        </is>
      </c>
    </row>
    <row r="2" ht="45" customHeight="1">
      <c r="A2" s="4" t="inlineStr">
        <is>
          <t>Alt+F8のマクロ一覧は常にアルファベット順になるため、このシートに月次の運用手順の順でボタンを配置します。ボタンの作成・マクロの割り当ては貴社のExcelで一度だけ手動で行ってください（下記の番号・マクロ名の行に重ねて図形を描き、「マクロの登録」で対応するマクロ名を選ぶだけです）。詳しい手順はdocs/SOH_System_Guide.mdを参照してください。</t>
        </is>
      </c>
    </row>
    <row r="3">
      <c r="E3" s="5" t="inlineStr">
        <is>
          <t>Solution名リスト（RefreshWeeklyBatchesの行判定に使用）</t>
        </is>
      </c>
    </row>
    <row r="4">
      <c r="A4" s="6" t="inlineStr">
        <is>
          <t>【毎月・毎週の定型作業】上から順に実行</t>
        </is>
      </c>
      <c r="B4" s="6" t="n"/>
      <c r="C4" s="6" t="n"/>
      <c r="E4" s="6" t="inlineStr">
        <is>
          <t>略称（Pgm Plan表記）</t>
        </is>
      </c>
      <c r="F4" s="6" t="inlineStr">
        <is>
          <t>正式名（システム内部名）</t>
        </is>
      </c>
    </row>
    <row r="5">
      <c r="A5" s="7" t="n">
        <v>1</v>
      </c>
      <c r="B5" s="8" t="inlineStr">
        <is>
          <t>RefreshWeeklyBatches</t>
        </is>
      </c>
      <c r="C5" s="9" t="inlineStr">
        <is>
          <t>「Powder &amp; Slurry &amp; Pgm Plan」の新しい月版が出たら実行</t>
        </is>
      </c>
      <c r="E5" t="inlineStr">
        <is>
          <t>20P</t>
        </is>
      </c>
      <c r="F5" t="inlineStr">
        <is>
          <t>SOL-20P</t>
        </is>
      </c>
    </row>
    <row r="6">
      <c r="A6" s="7" t="n">
        <v>2</v>
      </c>
      <c r="B6" s="8" t="inlineStr">
        <is>
          <t>RefreshBOM</t>
        </is>
      </c>
      <c r="C6" s="9" t="inlineStr">
        <is>
          <t>「Raw Material - Look Up」が更新されたら実行</t>
        </is>
      </c>
      <c r="E6" t="inlineStr">
        <is>
          <t>10H</t>
        </is>
      </c>
      <c r="F6" t="inlineStr">
        <is>
          <t>SOL-10H</t>
        </is>
      </c>
    </row>
    <row r="7">
      <c r="A7" s="7" t="n">
        <v>3</v>
      </c>
      <c r="B7" s="8" t="inlineStr">
        <is>
          <t>RefreshSelfStock</t>
        </is>
      </c>
      <c r="C7" s="9" t="inlineStr">
        <is>
          <t>自社倉庫の現物確認（daily check）を毎週月曜の朝に実施したら実行</t>
        </is>
      </c>
      <c r="E7" t="inlineStr">
        <is>
          <t>10H VW</t>
        </is>
      </c>
      <c r="F7" t="inlineStr">
        <is>
          <t>SOL-10H VW</t>
        </is>
      </c>
    </row>
    <row r="8">
      <c r="A8" s="7" t="n">
        <v>4</v>
      </c>
      <c r="B8" s="8" t="inlineStr">
        <is>
          <t>RefreshTTAFStock</t>
        </is>
      </c>
      <c r="C8" s="9" t="inlineStr">
        <is>
          <t>CSA Reportが毎週月曜に届いたら実行（TTAF在庫）</t>
        </is>
      </c>
      <c r="E8" t="inlineStr">
        <is>
          <t>250D</t>
        </is>
      </c>
      <c r="F8" t="inlineStr">
        <is>
          <t>SOL-250D</t>
        </is>
      </c>
    </row>
    <row r="9">
      <c r="A9" s="7" t="n">
        <v>5</v>
      </c>
      <c r="B9" s="8" t="inlineStr">
        <is>
          <t>RefreshShipments</t>
        </is>
      </c>
      <c r="C9" s="9" t="inlineStr">
        <is>
          <t>CSA Reportが毎週月曜に届いたら実行（発注・着荷）</t>
        </is>
      </c>
      <c r="E9" t="inlineStr">
        <is>
          <t>85D</t>
        </is>
      </c>
      <c r="F9" t="inlineStr">
        <is>
          <t>SOL-85D</t>
        </is>
      </c>
    </row>
    <row r="10">
      <c r="E10" t="inlineStr">
        <is>
          <t>SCH</t>
        </is>
      </c>
      <c r="F10" t="inlineStr">
        <is>
          <t>SOL-SCH</t>
        </is>
      </c>
    </row>
    <row r="11">
      <c r="A11" s="6" t="inlineStr">
        <is>
          <t>【任意】Material_Detailの表示調整</t>
        </is>
      </c>
      <c r="B11" s="6" t="n"/>
      <c r="C11" s="6" t="n"/>
      <c r="E11" t="inlineStr">
        <is>
          <t>SH</t>
        </is>
      </c>
      <c r="F11" t="inlineStr">
        <is>
          <t>SOL-SH</t>
        </is>
      </c>
    </row>
    <row r="12">
      <c r="A12" s="7" t="n">
        <v>6</v>
      </c>
      <c r="B12" s="8" t="inlineStr">
        <is>
          <t>HideInactiveIntermediates</t>
        </is>
      </c>
      <c r="C12" s="9" t="inlineStr">
        <is>
          <t>しばらく生産予定の無い中間体の行を折りたたむ</t>
        </is>
      </c>
    </row>
    <row r="13">
      <c r="A13" s="7" t="n">
        <v>7</v>
      </c>
      <c r="B13" s="8" t="inlineStr">
        <is>
          <t>ShowAllIntermediates</t>
        </is>
      </c>
      <c r="C13" s="9" t="inlineStr">
        <is>
          <t>折りたたんだ行をすべて再表示する</t>
        </is>
      </c>
    </row>
    <row r="15">
      <c r="A15" s="6" t="inlineStr">
        <is>
          <t>【まれに使う】材料・中間体の追加/削除（取り消せません。事前にバックアップ推奨）</t>
        </is>
      </c>
      <c r="B15" s="6" t="n"/>
      <c r="C15" s="6" t="n"/>
    </row>
    <row r="16">
      <c r="A16" s="7" t="n">
        <v>8</v>
      </c>
      <c r="B16" s="8" t="inlineStr">
        <is>
          <t>AddMaterial</t>
        </is>
      </c>
      <c r="C16" s="9" t="inlineStr">
        <is>
          <t>新しい材料(TTAF供給品)をシステムに追加する</t>
        </is>
      </c>
    </row>
    <row r="17">
      <c r="A17" s="7" t="n">
        <v>9</v>
      </c>
      <c r="B17" s="8" t="inlineStr">
        <is>
          <t>RemoveMaterial</t>
        </is>
      </c>
      <c r="C17" s="9" t="inlineStr">
        <is>
          <t>使わなくなった材料をシステムから削除する</t>
        </is>
      </c>
    </row>
    <row r="18">
      <c r="A18" s="7" t="n">
        <v>10</v>
      </c>
      <c r="B18" s="8" t="inlineStr">
        <is>
          <t>RemoveIntermediate</t>
        </is>
      </c>
      <c r="C18" s="9" t="inlineStr">
        <is>
          <t>生産中止になった中間体をシステムから削除する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J126"/>
  <sheetViews>
    <sheetView workbookViewId="0">
      <pane xSplit="10" ySplit="6" topLeftCell="K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</cols>
  <sheetData>
    <row r="1">
      <c r="A1" s="5" t="inlineStr">
        <is>
          <t>選択週を入力（例: W23。現在年の週Noで検索します）</t>
        </is>
      </c>
      <c r="C1" s="10" t="inlineStr"/>
      <c r="D1" s="11">
        <f>IF($C$1="","週Noを入力してください（例: W23）",IF($F$1="","該当週が見つかりません（今年の週Noか確認してください）",INDEX(Cal_Weeks!$E$4:$E$107,$F$1)&amp;" が該当週です（VBA導入時は自動でスクロールします）"))</f>
        <v/>
      </c>
      <c r="E1" s="12" t="inlineStr">
        <is>
          <t>→WeekIndex</t>
        </is>
      </c>
      <c r="F1" s="12">
        <f>IFERROR(IF(SUMPRODUCT((Cal_Weeks!$C$4:$C$107=Cal_Weeks!$B$1)*(Cal_Weeks!$D$4:$D$107=VALUE(SUBSTITUTE(UPPER(TRIM($C$1)),"W",""))))=0,"",SUMPRODUCT((Cal_Weeks!$C$4:$C$107=Cal_Weeks!$B$1)*(Cal_Weeks!$D$4:$D$107=VALUE(SUBSTITUTE(UPPER(TRIM($C$1)),"W","")))*(Cal_Weeks!$A$4:$A$107))),"")</f>
        <v/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>
        <f>'Cal_Weeks'!G4</f>
        <v/>
      </c>
      <c r="L3" s="13">
        <f>IF(TEXT('Cal_Weeks'!B5,"mmm-yy")&lt;&gt;TEXT('Cal_Weeks'!B4,"mmm-yy"),'Cal_Weeks'!G5,"")</f>
        <v/>
      </c>
      <c r="M3" s="13">
        <f>IF(TEXT('Cal_Weeks'!B6,"mmm-yy")&lt;&gt;TEXT('Cal_Weeks'!B5,"mmm-yy"),'Cal_Weeks'!G6,"")</f>
        <v/>
      </c>
      <c r="N3" s="13">
        <f>IF(TEXT('Cal_Weeks'!B7,"mmm-yy")&lt;&gt;TEXT('Cal_Weeks'!B6,"mmm-yy"),'Cal_Weeks'!G7,"")</f>
        <v/>
      </c>
      <c r="O3" s="13">
        <f>IF(TEXT('Cal_Weeks'!B8,"mmm-yy")&lt;&gt;TEXT('Cal_Weeks'!B7,"mmm-yy"),'Cal_Weeks'!G8,"")</f>
        <v/>
      </c>
      <c r="P3" s="13">
        <f>IF(TEXT('Cal_Weeks'!B9,"mmm-yy")&lt;&gt;TEXT('Cal_Weeks'!B8,"mmm-yy"),'Cal_Weeks'!G9,"")</f>
        <v/>
      </c>
      <c r="Q3" s="13">
        <f>IF(TEXT('Cal_Weeks'!B10,"mmm-yy")&lt;&gt;TEXT('Cal_Weeks'!B9,"mmm-yy"),'Cal_Weeks'!G10,"")</f>
        <v/>
      </c>
      <c r="R3" s="13">
        <f>IF(TEXT('Cal_Weeks'!B11,"mmm-yy")&lt;&gt;TEXT('Cal_Weeks'!B10,"mmm-yy"),'Cal_Weeks'!G11,"")</f>
        <v/>
      </c>
      <c r="S3" s="13">
        <f>IF(TEXT('Cal_Weeks'!B12,"mmm-yy")&lt;&gt;TEXT('Cal_Weeks'!B11,"mmm-yy"),'Cal_Weeks'!G12,"")</f>
        <v/>
      </c>
      <c r="T3" s="13">
        <f>IF(TEXT('Cal_Weeks'!B13,"mmm-yy")&lt;&gt;TEXT('Cal_Weeks'!B12,"mmm-yy"),'Cal_Weeks'!G13,"")</f>
        <v/>
      </c>
      <c r="U3" s="13">
        <f>IF(TEXT('Cal_Weeks'!B14,"mmm-yy")&lt;&gt;TEXT('Cal_Weeks'!B13,"mmm-yy"),'Cal_Weeks'!G14,"")</f>
        <v/>
      </c>
      <c r="V3" s="13">
        <f>IF(TEXT('Cal_Weeks'!B15,"mmm-yy")&lt;&gt;TEXT('Cal_Weeks'!B14,"mmm-yy"),'Cal_Weeks'!G15,"")</f>
        <v/>
      </c>
      <c r="W3" s="13">
        <f>IF(TEXT('Cal_Weeks'!B16,"mmm-yy")&lt;&gt;TEXT('Cal_Weeks'!B15,"mmm-yy"),'Cal_Weeks'!G16,"")</f>
        <v/>
      </c>
      <c r="X3" s="13">
        <f>IF(TEXT('Cal_Weeks'!B17,"mmm-yy")&lt;&gt;TEXT('Cal_Weeks'!B16,"mmm-yy"),'Cal_Weeks'!G17,"")</f>
        <v/>
      </c>
      <c r="Y3" s="13">
        <f>IF(TEXT('Cal_Weeks'!B18,"mmm-yy")&lt;&gt;TEXT('Cal_Weeks'!B17,"mmm-yy"),'Cal_Weeks'!G18,"")</f>
        <v/>
      </c>
      <c r="Z3" s="13">
        <f>IF(TEXT('Cal_Weeks'!B19,"mmm-yy")&lt;&gt;TEXT('Cal_Weeks'!B18,"mmm-yy"),'Cal_Weeks'!G19,"")</f>
        <v/>
      </c>
      <c r="AA3" s="13">
        <f>IF(TEXT('Cal_Weeks'!B20,"mmm-yy")&lt;&gt;TEXT('Cal_Weeks'!B19,"mmm-yy"),'Cal_Weeks'!G20,"")</f>
        <v/>
      </c>
      <c r="AB3" s="13">
        <f>IF(TEXT('Cal_Weeks'!B21,"mmm-yy")&lt;&gt;TEXT('Cal_Weeks'!B20,"mmm-yy"),'Cal_Weeks'!G21,"")</f>
        <v/>
      </c>
      <c r="AC3" s="13">
        <f>IF(TEXT('Cal_Weeks'!B22,"mmm-yy")&lt;&gt;TEXT('Cal_Weeks'!B21,"mmm-yy"),'Cal_Weeks'!G22,"")</f>
        <v/>
      </c>
      <c r="AD3" s="13">
        <f>IF(TEXT('Cal_Weeks'!B23,"mmm-yy")&lt;&gt;TEXT('Cal_Weeks'!B22,"mmm-yy"),'Cal_Weeks'!G23,"")</f>
        <v/>
      </c>
      <c r="AE3" s="13">
        <f>IF(TEXT('Cal_Weeks'!B24,"mmm-yy")&lt;&gt;TEXT('Cal_Weeks'!B23,"mmm-yy"),'Cal_Weeks'!G24,"")</f>
        <v/>
      </c>
      <c r="AF3" s="13">
        <f>IF(TEXT('Cal_Weeks'!B25,"mmm-yy")&lt;&gt;TEXT('Cal_Weeks'!B24,"mmm-yy"),'Cal_Weeks'!G25,"")</f>
        <v/>
      </c>
      <c r="AG3" s="13">
        <f>IF(TEXT('Cal_Weeks'!B26,"mmm-yy")&lt;&gt;TEXT('Cal_Weeks'!B25,"mmm-yy"),'Cal_Weeks'!G26,"")</f>
        <v/>
      </c>
      <c r="AH3" s="13">
        <f>IF(TEXT('Cal_Weeks'!B27,"mmm-yy")&lt;&gt;TEXT('Cal_Weeks'!B26,"mmm-yy"),'Cal_Weeks'!G27,"")</f>
        <v/>
      </c>
      <c r="AI3" s="13">
        <f>IF(TEXT('Cal_Weeks'!B28,"mmm-yy")&lt;&gt;TEXT('Cal_Weeks'!B27,"mmm-yy"),'Cal_Weeks'!G28,"")</f>
        <v/>
      </c>
      <c r="AJ3" s="13">
        <f>IF(TEXT('Cal_Weeks'!B29,"mmm-yy")&lt;&gt;TEXT('Cal_Weeks'!B28,"mmm-yy"),'Cal_Weeks'!G29,"")</f>
        <v/>
      </c>
      <c r="AK3" s="13">
        <f>IF(TEXT('Cal_Weeks'!B30,"mmm-yy")&lt;&gt;TEXT('Cal_Weeks'!B29,"mmm-yy"),'Cal_Weeks'!G30,"")</f>
        <v/>
      </c>
      <c r="AL3" s="13">
        <f>IF(TEXT('Cal_Weeks'!B31,"mmm-yy")&lt;&gt;TEXT('Cal_Weeks'!B30,"mmm-yy"),'Cal_Weeks'!G31,"")</f>
        <v/>
      </c>
      <c r="AM3" s="13">
        <f>IF(TEXT('Cal_Weeks'!B32,"mmm-yy")&lt;&gt;TEXT('Cal_Weeks'!B31,"mmm-yy"),'Cal_Weeks'!G32,"")</f>
        <v/>
      </c>
      <c r="AN3" s="13">
        <f>IF(TEXT('Cal_Weeks'!B33,"mmm-yy")&lt;&gt;TEXT('Cal_Weeks'!B32,"mmm-yy"),'Cal_Weeks'!G33,"")</f>
        <v/>
      </c>
      <c r="AO3" s="13">
        <f>IF(TEXT('Cal_Weeks'!B34,"mmm-yy")&lt;&gt;TEXT('Cal_Weeks'!B33,"mmm-yy"),'Cal_Weeks'!G34,"")</f>
        <v/>
      </c>
      <c r="AP3" s="13">
        <f>IF(TEXT('Cal_Weeks'!B35,"mmm-yy")&lt;&gt;TEXT('Cal_Weeks'!B34,"mmm-yy"),'Cal_Weeks'!G35,"")</f>
        <v/>
      </c>
      <c r="AQ3" s="13">
        <f>IF(TEXT('Cal_Weeks'!B36,"mmm-yy")&lt;&gt;TEXT('Cal_Weeks'!B35,"mmm-yy"),'Cal_Weeks'!G36,"")</f>
        <v/>
      </c>
      <c r="AR3" s="13">
        <f>IF(TEXT('Cal_Weeks'!B37,"mmm-yy")&lt;&gt;TEXT('Cal_Weeks'!B36,"mmm-yy"),'Cal_Weeks'!G37,"")</f>
        <v/>
      </c>
      <c r="AS3" s="13">
        <f>IF(TEXT('Cal_Weeks'!B38,"mmm-yy")&lt;&gt;TEXT('Cal_Weeks'!B37,"mmm-yy"),'Cal_Weeks'!G38,"")</f>
        <v/>
      </c>
      <c r="AT3" s="13">
        <f>IF(TEXT('Cal_Weeks'!B39,"mmm-yy")&lt;&gt;TEXT('Cal_Weeks'!B38,"mmm-yy"),'Cal_Weeks'!G39,"")</f>
        <v/>
      </c>
      <c r="AU3" s="13">
        <f>IF(TEXT('Cal_Weeks'!B40,"mmm-yy")&lt;&gt;TEXT('Cal_Weeks'!B39,"mmm-yy"),'Cal_Weeks'!G40,"")</f>
        <v/>
      </c>
      <c r="AV3" s="13">
        <f>IF(TEXT('Cal_Weeks'!B41,"mmm-yy")&lt;&gt;TEXT('Cal_Weeks'!B40,"mmm-yy"),'Cal_Weeks'!G41,"")</f>
        <v/>
      </c>
      <c r="AW3" s="13">
        <f>IF(TEXT('Cal_Weeks'!B42,"mmm-yy")&lt;&gt;TEXT('Cal_Weeks'!B41,"mmm-yy"),'Cal_Weeks'!G42,"")</f>
        <v/>
      </c>
      <c r="AX3" s="13">
        <f>IF(TEXT('Cal_Weeks'!B43,"mmm-yy")&lt;&gt;TEXT('Cal_Weeks'!B42,"mmm-yy"),'Cal_Weeks'!G43,"")</f>
        <v/>
      </c>
      <c r="AY3" s="13">
        <f>IF(TEXT('Cal_Weeks'!B44,"mmm-yy")&lt;&gt;TEXT('Cal_Weeks'!B43,"mmm-yy"),'Cal_Weeks'!G44,"")</f>
        <v/>
      </c>
      <c r="AZ3" s="13">
        <f>IF(TEXT('Cal_Weeks'!B45,"mmm-yy")&lt;&gt;TEXT('Cal_Weeks'!B44,"mmm-yy"),'Cal_Weeks'!G45,"")</f>
        <v/>
      </c>
      <c r="BA3" s="13">
        <f>IF(TEXT('Cal_Weeks'!B46,"mmm-yy")&lt;&gt;TEXT('Cal_Weeks'!B45,"mmm-yy"),'Cal_Weeks'!G46,"")</f>
        <v/>
      </c>
      <c r="BB3" s="13">
        <f>IF(TEXT('Cal_Weeks'!B47,"mmm-yy")&lt;&gt;TEXT('Cal_Weeks'!B46,"mmm-yy"),'Cal_Weeks'!G47,"")</f>
        <v/>
      </c>
      <c r="BC3" s="13">
        <f>IF(TEXT('Cal_Weeks'!B48,"mmm-yy")&lt;&gt;TEXT('Cal_Weeks'!B47,"mmm-yy"),'Cal_Weeks'!G48,"")</f>
        <v/>
      </c>
      <c r="BD3" s="13">
        <f>IF(TEXT('Cal_Weeks'!B49,"mmm-yy")&lt;&gt;TEXT('Cal_Weeks'!B48,"mmm-yy"),'Cal_Weeks'!G49,"")</f>
        <v/>
      </c>
      <c r="BE3" s="13">
        <f>IF(TEXT('Cal_Weeks'!B50,"mmm-yy")&lt;&gt;TEXT('Cal_Weeks'!B49,"mmm-yy"),'Cal_Weeks'!G50,"")</f>
        <v/>
      </c>
      <c r="BF3" s="13">
        <f>IF(TEXT('Cal_Weeks'!B51,"mmm-yy")&lt;&gt;TEXT('Cal_Weeks'!B50,"mmm-yy"),'Cal_Weeks'!G51,"")</f>
        <v/>
      </c>
      <c r="BG3" s="13">
        <f>IF(TEXT('Cal_Weeks'!B52,"mmm-yy")&lt;&gt;TEXT('Cal_Weeks'!B51,"mmm-yy"),'Cal_Weeks'!G52,"")</f>
        <v/>
      </c>
      <c r="BH3" s="13">
        <f>IF(TEXT('Cal_Weeks'!B53,"mmm-yy")&lt;&gt;TEXT('Cal_Weeks'!B52,"mmm-yy"),'Cal_Weeks'!G53,"")</f>
        <v/>
      </c>
      <c r="BI3" s="13">
        <f>IF(TEXT('Cal_Weeks'!B54,"mmm-yy")&lt;&gt;TEXT('Cal_Weeks'!B53,"mmm-yy"),'Cal_Weeks'!G54,"")</f>
        <v/>
      </c>
      <c r="BJ3" s="13">
        <f>IF(TEXT('Cal_Weeks'!B55,"mmm-yy")&lt;&gt;TEXT('Cal_Weeks'!B54,"mmm-yy"),'Cal_Weeks'!G55,"")</f>
        <v/>
      </c>
      <c r="BK3" s="13">
        <f>IF(TEXT('Cal_Weeks'!B56,"mmm-yy")&lt;&gt;TEXT('Cal_Weeks'!B55,"mmm-yy"),'Cal_Weeks'!G56,"")</f>
        <v/>
      </c>
      <c r="BL3" s="13">
        <f>IF(TEXT('Cal_Weeks'!B57,"mmm-yy")&lt;&gt;TEXT('Cal_Weeks'!B56,"mmm-yy"),'Cal_Weeks'!G57,"")</f>
        <v/>
      </c>
      <c r="BM3" s="13">
        <f>IF(TEXT('Cal_Weeks'!B58,"mmm-yy")&lt;&gt;TEXT('Cal_Weeks'!B57,"mmm-yy"),'Cal_Weeks'!G58,"")</f>
        <v/>
      </c>
      <c r="BN3" s="13">
        <f>IF(TEXT('Cal_Weeks'!B59,"mmm-yy")&lt;&gt;TEXT('Cal_Weeks'!B58,"mmm-yy"),'Cal_Weeks'!G59,"")</f>
        <v/>
      </c>
      <c r="BO3" s="13">
        <f>IF(TEXT('Cal_Weeks'!B60,"mmm-yy")&lt;&gt;TEXT('Cal_Weeks'!B59,"mmm-yy"),'Cal_Weeks'!G60,"")</f>
        <v/>
      </c>
      <c r="BP3" s="13">
        <f>IF(TEXT('Cal_Weeks'!B61,"mmm-yy")&lt;&gt;TEXT('Cal_Weeks'!B60,"mmm-yy"),'Cal_Weeks'!G61,"")</f>
        <v/>
      </c>
      <c r="BQ3" s="13">
        <f>IF(TEXT('Cal_Weeks'!B62,"mmm-yy")&lt;&gt;TEXT('Cal_Weeks'!B61,"mmm-yy"),'Cal_Weeks'!G62,"")</f>
        <v/>
      </c>
      <c r="BR3" s="13">
        <f>IF(TEXT('Cal_Weeks'!B63,"mmm-yy")&lt;&gt;TEXT('Cal_Weeks'!B62,"mmm-yy"),'Cal_Weeks'!G63,"")</f>
        <v/>
      </c>
      <c r="BS3" s="13">
        <f>IF(TEXT('Cal_Weeks'!B64,"mmm-yy")&lt;&gt;TEXT('Cal_Weeks'!B63,"mmm-yy"),'Cal_Weeks'!G64,"")</f>
        <v/>
      </c>
      <c r="BT3" s="13">
        <f>IF(TEXT('Cal_Weeks'!B65,"mmm-yy")&lt;&gt;TEXT('Cal_Weeks'!B64,"mmm-yy"),'Cal_Weeks'!G65,"")</f>
        <v/>
      </c>
      <c r="BU3" s="13">
        <f>IF(TEXT('Cal_Weeks'!B66,"mmm-yy")&lt;&gt;TEXT('Cal_Weeks'!B65,"mmm-yy"),'Cal_Weeks'!G66,"")</f>
        <v/>
      </c>
      <c r="BV3" s="13">
        <f>IF(TEXT('Cal_Weeks'!B67,"mmm-yy")&lt;&gt;TEXT('Cal_Weeks'!B66,"mmm-yy"),'Cal_Weeks'!G67,"")</f>
        <v/>
      </c>
      <c r="BW3" s="13">
        <f>IF(TEXT('Cal_Weeks'!B68,"mmm-yy")&lt;&gt;TEXT('Cal_Weeks'!B67,"mmm-yy"),'Cal_Weeks'!G68,"")</f>
        <v/>
      </c>
      <c r="BX3" s="13">
        <f>IF(TEXT('Cal_Weeks'!B69,"mmm-yy")&lt;&gt;TEXT('Cal_Weeks'!B68,"mmm-yy"),'Cal_Weeks'!G69,"")</f>
        <v/>
      </c>
      <c r="BY3" s="13">
        <f>IF(TEXT('Cal_Weeks'!B70,"mmm-yy")&lt;&gt;TEXT('Cal_Weeks'!B69,"mmm-yy"),'Cal_Weeks'!G70,"")</f>
        <v/>
      </c>
      <c r="BZ3" s="13">
        <f>IF(TEXT('Cal_Weeks'!B71,"mmm-yy")&lt;&gt;TEXT('Cal_Weeks'!B70,"mmm-yy"),'Cal_Weeks'!G71,"")</f>
        <v/>
      </c>
      <c r="CA3" s="13">
        <f>IF(TEXT('Cal_Weeks'!B72,"mmm-yy")&lt;&gt;TEXT('Cal_Weeks'!B71,"mmm-yy"),'Cal_Weeks'!G72,"")</f>
        <v/>
      </c>
      <c r="CB3" s="13">
        <f>IF(TEXT('Cal_Weeks'!B73,"mmm-yy")&lt;&gt;TEXT('Cal_Weeks'!B72,"mmm-yy"),'Cal_Weeks'!G73,"")</f>
        <v/>
      </c>
      <c r="CC3" s="13">
        <f>IF(TEXT('Cal_Weeks'!B74,"mmm-yy")&lt;&gt;TEXT('Cal_Weeks'!B73,"mmm-yy"),'Cal_Weeks'!G74,"")</f>
        <v/>
      </c>
      <c r="CD3" s="13">
        <f>IF(TEXT('Cal_Weeks'!B75,"mmm-yy")&lt;&gt;TEXT('Cal_Weeks'!B74,"mmm-yy"),'Cal_Weeks'!G75,"")</f>
        <v/>
      </c>
      <c r="CE3" s="13">
        <f>IF(TEXT('Cal_Weeks'!B76,"mmm-yy")&lt;&gt;TEXT('Cal_Weeks'!B75,"mmm-yy"),'Cal_Weeks'!G76,"")</f>
        <v/>
      </c>
      <c r="CF3" s="13">
        <f>IF(TEXT('Cal_Weeks'!B77,"mmm-yy")&lt;&gt;TEXT('Cal_Weeks'!B76,"mmm-yy"),'Cal_Weeks'!G77,"")</f>
        <v/>
      </c>
      <c r="CG3" s="13">
        <f>IF(TEXT('Cal_Weeks'!B78,"mmm-yy")&lt;&gt;TEXT('Cal_Weeks'!B77,"mmm-yy"),'Cal_Weeks'!G78,"")</f>
        <v/>
      </c>
      <c r="CH3" s="13">
        <f>IF(TEXT('Cal_Weeks'!B79,"mmm-yy")&lt;&gt;TEXT('Cal_Weeks'!B78,"mmm-yy"),'Cal_Weeks'!G79,"")</f>
        <v/>
      </c>
      <c r="CI3" s="13">
        <f>IF(TEXT('Cal_Weeks'!B80,"mmm-yy")&lt;&gt;TEXT('Cal_Weeks'!B79,"mmm-yy"),'Cal_Weeks'!G80,"")</f>
        <v/>
      </c>
      <c r="CJ3" s="13">
        <f>IF(TEXT('Cal_Weeks'!B81,"mmm-yy")&lt;&gt;TEXT('Cal_Weeks'!B80,"mmm-yy"),'Cal_Weeks'!G81,"")</f>
        <v/>
      </c>
      <c r="CK3" s="13">
        <f>IF(TEXT('Cal_Weeks'!B82,"mmm-yy")&lt;&gt;TEXT('Cal_Weeks'!B81,"mmm-yy"),'Cal_Weeks'!G82,"")</f>
        <v/>
      </c>
      <c r="CL3" s="13">
        <f>IF(TEXT('Cal_Weeks'!B83,"mmm-yy")&lt;&gt;TEXT('Cal_Weeks'!B82,"mmm-yy"),'Cal_Weeks'!G83,"")</f>
        <v/>
      </c>
      <c r="CM3" s="13">
        <f>IF(TEXT('Cal_Weeks'!B84,"mmm-yy")&lt;&gt;TEXT('Cal_Weeks'!B83,"mmm-yy"),'Cal_Weeks'!G84,"")</f>
        <v/>
      </c>
      <c r="CN3" s="13">
        <f>IF(TEXT('Cal_Weeks'!B85,"mmm-yy")&lt;&gt;TEXT('Cal_Weeks'!B84,"mmm-yy"),'Cal_Weeks'!G85,"")</f>
        <v/>
      </c>
      <c r="CO3" s="13">
        <f>IF(TEXT('Cal_Weeks'!B86,"mmm-yy")&lt;&gt;TEXT('Cal_Weeks'!B85,"mmm-yy"),'Cal_Weeks'!G86,"")</f>
        <v/>
      </c>
      <c r="CP3" s="13">
        <f>IF(TEXT('Cal_Weeks'!B87,"mmm-yy")&lt;&gt;TEXT('Cal_Weeks'!B86,"mmm-yy"),'Cal_Weeks'!G87,"")</f>
        <v/>
      </c>
      <c r="CQ3" s="13">
        <f>IF(TEXT('Cal_Weeks'!B88,"mmm-yy")&lt;&gt;TEXT('Cal_Weeks'!B87,"mmm-yy"),'Cal_Weeks'!G88,"")</f>
        <v/>
      </c>
      <c r="CR3" s="13">
        <f>IF(TEXT('Cal_Weeks'!B89,"mmm-yy")&lt;&gt;TEXT('Cal_Weeks'!B88,"mmm-yy"),'Cal_Weeks'!G89,"")</f>
        <v/>
      </c>
      <c r="CS3" s="13">
        <f>IF(TEXT('Cal_Weeks'!B90,"mmm-yy")&lt;&gt;TEXT('Cal_Weeks'!B89,"mmm-yy"),'Cal_Weeks'!G90,"")</f>
        <v/>
      </c>
      <c r="CT3" s="13">
        <f>IF(TEXT('Cal_Weeks'!B91,"mmm-yy")&lt;&gt;TEXT('Cal_Weeks'!B90,"mmm-yy"),'Cal_Weeks'!G91,"")</f>
        <v/>
      </c>
      <c r="CU3" s="13">
        <f>IF(TEXT('Cal_Weeks'!B92,"mmm-yy")&lt;&gt;TEXT('Cal_Weeks'!B91,"mmm-yy"),'Cal_Weeks'!G92,"")</f>
        <v/>
      </c>
      <c r="CV3" s="13">
        <f>IF(TEXT('Cal_Weeks'!B93,"mmm-yy")&lt;&gt;TEXT('Cal_Weeks'!B92,"mmm-yy"),'Cal_Weeks'!G93,"")</f>
        <v/>
      </c>
      <c r="CW3" s="13">
        <f>IF(TEXT('Cal_Weeks'!B94,"mmm-yy")&lt;&gt;TEXT('Cal_Weeks'!B93,"mmm-yy"),'Cal_Weeks'!G94,"")</f>
        <v/>
      </c>
      <c r="CX3" s="13">
        <f>IF(TEXT('Cal_Weeks'!B95,"mmm-yy")&lt;&gt;TEXT('Cal_Weeks'!B94,"mmm-yy"),'Cal_Weeks'!G95,"")</f>
        <v/>
      </c>
      <c r="CY3" s="13">
        <f>IF(TEXT('Cal_Weeks'!B96,"mmm-yy")&lt;&gt;TEXT('Cal_Weeks'!B95,"mmm-yy"),'Cal_Weeks'!G96,"")</f>
        <v/>
      </c>
      <c r="CZ3" s="13">
        <f>IF(TEXT('Cal_Weeks'!B97,"mmm-yy")&lt;&gt;TEXT('Cal_Weeks'!B96,"mmm-yy"),'Cal_Weeks'!G97,"")</f>
        <v/>
      </c>
      <c r="DA3" s="13">
        <f>IF(TEXT('Cal_Weeks'!B98,"mmm-yy")&lt;&gt;TEXT('Cal_Weeks'!B97,"mmm-yy"),'Cal_Weeks'!G98,"")</f>
        <v/>
      </c>
      <c r="DB3" s="13">
        <f>IF(TEXT('Cal_Weeks'!B99,"mmm-yy")&lt;&gt;TEXT('Cal_Weeks'!B98,"mmm-yy"),'Cal_Weeks'!G99,"")</f>
        <v/>
      </c>
      <c r="DC3" s="13">
        <f>IF(TEXT('Cal_Weeks'!B100,"mmm-yy")&lt;&gt;TEXT('Cal_Weeks'!B99,"mmm-yy"),'Cal_Weeks'!G100,"")</f>
        <v/>
      </c>
      <c r="DD3" s="13">
        <f>IF(TEXT('Cal_Weeks'!B101,"mmm-yy")&lt;&gt;TEXT('Cal_Weeks'!B100,"mmm-yy"),'Cal_Weeks'!G101,"")</f>
        <v/>
      </c>
      <c r="DE3" s="13">
        <f>IF(TEXT('Cal_Weeks'!B102,"mmm-yy")&lt;&gt;TEXT('Cal_Weeks'!B101,"mmm-yy"),'Cal_Weeks'!G102,"")</f>
        <v/>
      </c>
      <c r="DF3" s="13">
        <f>IF(TEXT('Cal_Weeks'!B103,"mmm-yy")&lt;&gt;TEXT('Cal_Weeks'!B102,"mmm-yy"),'Cal_Weeks'!G103,"")</f>
        <v/>
      </c>
      <c r="DG3" s="13">
        <f>IF(TEXT('Cal_Weeks'!B104,"mmm-yy")&lt;&gt;TEXT('Cal_Weeks'!B103,"mmm-yy"),'Cal_Weeks'!G104,"")</f>
        <v/>
      </c>
      <c r="DH3" s="13">
        <f>IF(TEXT('Cal_Weeks'!B105,"mmm-yy")&lt;&gt;TEXT('Cal_Weeks'!B104,"mmm-yy"),'Cal_Weeks'!G105,"")</f>
        <v/>
      </c>
      <c r="DI3" s="13">
        <f>IF(TEXT('Cal_Weeks'!B106,"mmm-yy")&lt;&gt;TEXT('Cal_Weeks'!B105,"mmm-yy"),'Cal_Weeks'!G106,"")</f>
        <v/>
      </c>
      <c r="DJ3" s="13">
        <f>IF(TEXT('Cal_Weeks'!B107,"mmm-yy")&lt;&gt;TEXT('Cal_Weeks'!B106,"mmm-yy"),'Cal_Weeks'!G107,"")</f>
        <v/>
      </c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5">
        <f>'Cal_Weeks'!B4</f>
        <v/>
      </c>
      <c r="L4" s="15">
        <f>'Cal_Weeks'!B5</f>
        <v/>
      </c>
      <c r="M4" s="15">
        <f>'Cal_Weeks'!B6</f>
        <v/>
      </c>
      <c r="N4" s="15">
        <f>'Cal_Weeks'!B7</f>
        <v/>
      </c>
      <c r="O4" s="15">
        <f>'Cal_Weeks'!B8</f>
        <v/>
      </c>
      <c r="P4" s="15">
        <f>'Cal_Weeks'!B9</f>
        <v/>
      </c>
      <c r="Q4" s="15">
        <f>'Cal_Weeks'!B10</f>
        <v/>
      </c>
      <c r="R4" s="15">
        <f>'Cal_Weeks'!B11</f>
        <v/>
      </c>
      <c r="S4" s="15">
        <f>'Cal_Weeks'!B12</f>
        <v/>
      </c>
      <c r="T4" s="15">
        <f>'Cal_Weeks'!B13</f>
        <v/>
      </c>
      <c r="U4" s="15">
        <f>'Cal_Weeks'!B14</f>
        <v/>
      </c>
      <c r="V4" s="15">
        <f>'Cal_Weeks'!B15</f>
        <v/>
      </c>
      <c r="W4" s="15">
        <f>'Cal_Weeks'!B16</f>
        <v/>
      </c>
      <c r="X4" s="15">
        <f>'Cal_Weeks'!B17</f>
        <v/>
      </c>
      <c r="Y4" s="15">
        <f>'Cal_Weeks'!B18</f>
        <v/>
      </c>
      <c r="Z4" s="15">
        <f>'Cal_Weeks'!B19</f>
        <v/>
      </c>
      <c r="AA4" s="15">
        <f>'Cal_Weeks'!B20</f>
        <v/>
      </c>
      <c r="AB4" s="15">
        <f>'Cal_Weeks'!B21</f>
        <v/>
      </c>
      <c r="AC4" s="15">
        <f>'Cal_Weeks'!B22</f>
        <v/>
      </c>
      <c r="AD4" s="15">
        <f>'Cal_Weeks'!B23</f>
        <v/>
      </c>
      <c r="AE4" s="15">
        <f>'Cal_Weeks'!B24</f>
        <v/>
      </c>
      <c r="AF4" s="15">
        <f>'Cal_Weeks'!B25</f>
        <v/>
      </c>
      <c r="AG4" s="15">
        <f>'Cal_Weeks'!B26</f>
        <v/>
      </c>
      <c r="AH4" s="15">
        <f>'Cal_Weeks'!B27</f>
        <v/>
      </c>
      <c r="AI4" s="15">
        <f>'Cal_Weeks'!B28</f>
        <v/>
      </c>
      <c r="AJ4" s="15">
        <f>'Cal_Weeks'!B29</f>
        <v/>
      </c>
      <c r="AK4" s="15">
        <f>'Cal_Weeks'!B30</f>
        <v/>
      </c>
      <c r="AL4" s="15">
        <f>'Cal_Weeks'!B31</f>
        <v/>
      </c>
      <c r="AM4" s="15">
        <f>'Cal_Weeks'!B32</f>
        <v/>
      </c>
      <c r="AN4" s="15">
        <f>'Cal_Weeks'!B33</f>
        <v/>
      </c>
      <c r="AO4" s="15">
        <f>'Cal_Weeks'!B34</f>
        <v/>
      </c>
      <c r="AP4" s="15">
        <f>'Cal_Weeks'!B35</f>
        <v/>
      </c>
      <c r="AQ4" s="15">
        <f>'Cal_Weeks'!B36</f>
        <v/>
      </c>
      <c r="AR4" s="15">
        <f>'Cal_Weeks'!B37</f>
        <v/>
      </c>
      <c r="AS4" s="15">
        <f>'Cal_Weeks'!B38</f>
        <v/>
      </c>
      <c r="AT4" s="15">
        <f>'Cal_Weeks'!B39</f>
        <v/>
      </c>
      <c r="AU4" s="15">
        <f>'Cal_Weeks'!B40</f>
        <v/>
      </c>
      <c r="AV4" s="15">
        <f>'Cal_Weeks'!B41</f>
        <v/>
      </c>
      <c r="AW4" s="15">
        <f>'Cal_Weeks'!B42</f>
        <v/>
      </c>
      <c r="AX4" s="15">
        <f>'Cal_Weeks'!B43</f>
        <v/>
      </c>
      <c r="AY4" s="15">
        <f>'Cal_Weeks'!B44</f>
        <v/>
      </c>
      <c r="AZ4" s="15">
        <f>'Cal_Weeks'!B45</f>
        <v/>
      </c>
      <c r="BA4" s="15">
        <f>'Cal_Weeks'!B46</f>
        <v/>
      </c>
      <c r="BB4" s="15">
        <f>'Cal_Weeks'!B47</f>
        <v/>
      </c>
      <c r="BC4" s="15">
        <f>'Cal_Weeks'!B48</f>
        <v/>
      </c>
      <c r="BD4" s="15">
        <f>'Cal_Weeks'!B49</f>
        <v/>
      </c>
      <c r="BE4" s="15">
        <f>'Cal_Weeks'!B50</f>
        <v/>
      </c>
      <c r="BF4" s="15">
        <f>'Cal_Weeks'!B51</f>
        <v/>
      </c>
      <c r="BG4" s="15">
        <f>'Cal_Weeks'!B52</f>
        <v/>
      </c>
      <c r="BH4" s="15">
        <f>'Cal_Weeks'!B53</f>
        <v/>
      </c>
      <c r="BI4" s="15">
        <f>'Cal_Weeks'!B54</f>
        <v/>
      </c>
      <c r="BJ4" s="15">
        <f>'Cal_Weeks'!B55</f>
        <v/>
      </c>
      <c r="BK4" s="15">
        <f>'Cal_Weeks'!B56</f>
        <v/>
      </c>
      <c r="BL4" s="15">
        <f>'Cal_Weeks'!B57</f>
        <v/>
      </c>
      <c r="BM4" s="15">
        <f>'Cal_Weeks'!B58</f>
        <v/>
      </c>
      <c r="BN4" s="15">
        <f>'Cal_Weeks'!B59</f>
        <v/>
      </c>
      <c r="BO4" s="15">
        <f>'Cal_Weeks'!B60</f>
        <v/>
      </c>
      <c r="BP4" s="15">
        <f>'Cal_Weeks'!B61</f>
        <v/>
      </c>
      <c r="BQ4" s="15">
        <f>'Cal_Weeks'!B62</f>
        <v/>
      </c>
      <c r="BR4" s="15">
        <f>'Cal_Weeks'!B63</f>
        <v/>
      </c>
      <c r="BS4" s="15">
        <f>'Cal_Weeks'!B64</f>
        <v/>
      </c>
      <c r="BT4" s="15">
        <f>'Cal_Weeks'!B65</f>
        <v/>
      </c>
      <c r="BU4" s="15">
        <f>'Cal_Weeks'!B66</f>
        <v/>
      </c>
      <c r="BV4" s="15">
        <f>'Cal_Weeks'!B67</f>
        <v/>
      </c>
      <c r="BW4" s="15">
        <f>'Cal_Weeks'!B68</f>
        <v/>
      </c>
      <c r="BX4" s="15">
        <f>'Cal_Weeks'!B69</f>
        <v/>
      </c>
      <c r="BY4" s="15">
        <f>'Cal_Weeks'!B70</f>
        <v/>
      </c>
      <c r="BZ4" s="15">
        <f>'Cal_Weeks'!B71</f>
        <v/>
      </c>
      <c r="CA4" s="15">
        <f>'Cal_Weeks'!B72</f>
        <v/>
      </c>
      <c r="CB4" s="15">
        <f>'Cal_Weeks'!B73</f>
        <v/>
      </c>
      <c r="CC4" s="15">
        <f>'Cal_Weeks'!B74</f>
        <v/>
      </c>
      <c r="CD4" s="15">
        <f>'Cal_Weeks'!B75</f>
        <v/>
      </c>
      <c r="CE4" s="15">
        <f>'Cal_Weeks'!B76</f>
        <v/>
      </c>
      <c r="CF4" s="15">
        <f>'Cal_Weeks'!B77</f>
        <v/>
      </c>
      <c r="CG4" s="15">
        <f>'Cal_Weeks'!B78</f>
        <v/>
      </c>
      <c r="CH4" s="15">
        <f>'Cal_Weeks'!B79</f>
        <v/>
      </c>
      <c r="CI4" s="15">
        <f>'Cal_Weeks'!B80</f>
        <v/>
      </c>
      <c r="CJ4" s="15">
        <f>'Cal_Weeks'!B81</f>
        <v/>
      </c>
      <c r="CK4" s="15">
        <f>'Cal_Weeks'!B82</f>
        <v/>
      </c>
      <c r="CL4" s="15">
        <f>'Cal_Weeks'!B83</f>
        <v/>
      </c>
      <c r="CM4" s="15">
        <f>'Cal_Weeks'!B84</f>
        <v/>
      </c>
      <c r="CN4" s="15">
        <f>'Cal_Weeks'!B85</f>
        <v/>
      </c>
      <c r="CO4" s="15">
        <f>'Cal_Weeks'!B86</f>
        <v/>
      </c>
      <c r="CP4" s="15">
        <f>'Cal_Weeks'!B87</f>
        <v/>
      </c>
      <c r="CQ4" s="15">
        <f>'Cal_Weeks'!B88</f>
        <v/>
      </c>
      <c r="CR4" s="15">
        <f>'Cal_Weeks'!B89</f>
        <v/>
      </c>
      <c r="CS4" s="15">
        <f>'Cal_Weeks'!B90</f>
        <v/>
      </c>
      <c r="CT4" s="15">
        <f>'Cal_Weeks'!B91</f>
        <v/>
      </c>
      <c r="CU4" s="15">
        <f>'Cal_Weeks'!B92</f>
        <v/>
      </c>
      <c r="CV4" s="15">
        <f>'Cal_Weeks'!B93</f>
        <v/>
      </c>
      <c r="CW4" s="15">
        <f>'Cal_Weeks'!B94</f>
        <v/>
      </c>
      <c r="CX4" s="15">
        <f>'Cal_Weeks'!B95</f>
        <v/>
      </c>
      <c r="CY4" s="15">
        <f>'Cal_Weeks'!B96</f>
        <v/>
      </c>
      <c r="CZ4" s="15">
        <f>'Cal_Weeks'!B97</f>
        <v/>
      </c>
      <c r="DA4" s="15">
        <f>'Cal_Weeks'!B98</f>
        <v/>
      </c>
      <c r="DB4" s="15">
        <f>'Cal_Weeks'!B99</f>
        <v/>
      </c>
      <c r="DC4" s="15">
        <f>'Cal_Weeks'!B100</f>
        <v/>
      </c>
      <c r="DD4" s="15">
        <f>'Cal_Weeks'!B101</f>
        <v/>
      </c>
      <c r="DE4" s="15">
        <f>'Cal_Weeks'!B102</f>
        <v/>
      </c>
      <c r="DF4" s="15">
        <f>'Cal_Weeks'!B103</f>
        <v/>
      </c>
      <c r="DG4" s="15">
        <f>'Cal_Weeks'!B104</f>
        <v/>
      </c>
      <c r="DH4" s="15">
        <f>'Cal_Weeks'!B105</f>
        <v/>
      </c>
      <c r="DI4" s="15">
        <f>'Cal_Weeks'!B106</f>
        <v/>
      </c>
      <c r="DJ4" s="15">
        <f>'Cal_Weeks'!B107</f>
        <v/>
      </c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>
        <f>'Cal_Weeks'!D4</f>
        <v/>
      </c>
      <c r="L5" s="14">
        <f>'Cal_Weeks'!D5</f>
        <v/>
      </c>
      <c r="M5" s="14">
        <f>'Cal_Weeks'!D6</f>
        <v/>
      </c>
      <c r="N5" s="14">
        <f>'Cal_Weeks'!D7</f>
        <v/>
      </c>
      <c r="O5" s="14">
        <f>'Cal_Weeks'!D8</f>
        <v/>
      </c>
      <c r="P5" s="14">
        <f>'Cal_Weeks'!D9</f>
        <v/>
      </c>
      <c r="Q5" s="14">
        <f>'Cal_Weeks'!D10</f>
        <v/>
      </c>
      <c r="R5" s="14">
        <f>'Cal_Weeks'!D11</f>
        <v/>
      </c>
      <c r="S5" s="14">
        <f>'Cal_Weeks'!D12</f>
        <v/>
      </c>
      <c r="T5" s="14">
        <f>'Cal_Weeks'!D13</f>
        <v/>
      </c>
      <c r="U5" s="14">
        <f>'Cal_Weeks'!D14</f>
        <v/>
      </c>
      <c r="V5" s="14">
        <f>'Cal_Weeks'!D15</f>
        <v/>
      </c>
      <c r="W5" s="14">
        <f>'Cal_Weeks'!D16</f>
        <v/>
      </c>
      <c r="X5" s="14">
        <f>'Cal_Weeks'!D17</f>
        <v/>
      </c>
      <c r="Y5" s="14">
        <f>'Cal_Weeks'!D18</f>
        <v/>
      </c>
      <c r="Z5" s="14">
        <f>'Cal_Weeks'!D19</f>
        <v/>
      </c>
      <c r="AA5" s="14">
        <f>'Cal_Weeks'!D20</f>
        <v/>
      </c>
      <c r="AB5" s="14">
        <f>'Cal_Weeks'!D21</f>
        <v/>
      </c>
      <c r="AC5" s="14">
        <f>'Cal_Weeks'!D22</f>
        <v/>
      </c>
      <c r="AD5" s="14">
        <f>'Cal_Weeks'!D23</f>
        <v/>
      </c>
      <c r="AE5" s="14">
        <f>'Cal_Weeks'!D24</f>
        <v/>
      </c>
      <c r="AF5" s="14">
        <f>'Cal_Weeks'!D25</f>
        <v/>
      </c>
      <c r="AG5" s="14">
        <f>'Cal_Weeks'!D26</f>
        <v/>
      </c>
      <c r="AH5" s="14">
        <f>'Cal_Weeks'!D27</f>
        <v/>
      </c>
      <c r="AI5" s="14">
        <f>'Cal_Weeks'!D28</f>
        <v/>
      </c>
      <c r="AJ5" s="14">
        <f>'Cal_Weeks'!D29</f>
        <v/>
      </c>
      <c r="AK5" s="14">
        <f>'Cal_Weeks'!D30</f>
        <v/>
      </c>
      <c r="AL5" s="14">
        <f>'Cal_Weeks'!D31</f>
        <v/>
      </c>
      <c r="AM5" s="14">
        <f>'Cal_Weeks'!D32</f>
        <v/>
      </c>
      <c r="AN5" s="14">
        <f>'Cal_Weeks'!D33</f>
        <v/>
      </c>
      <c r="AO5" s="14">
        <f>'Cal_Weeks'!D34</f>
        <v/>
      </c>
      <c r="AP5" s="14">
        <f>'Cal_Weeks'!D35</f>
        <v/>
      </c>
      <c r="AQ5" s="14">
        <f>'Cal_Weeks'!D36</f>
        <v/>
      </c>
      <c r="AR5" s="14">
        <f>'Cal_Weeks'!D37</f>
        <v/>
      </c>
      <c r="AS5" s="14">
        <f>'Cal_Weeks'!D38</f>
        <v/>
      </c>
      <c r="AT5" s="14">
        <f>'Cal_Weeks'!D39</f>
        <v/>
      </c>
      <c r="AU5" s="14">
        <f>'Cal_Weeks'!D40</f>
        <v/>
      </c>
      <c r="AV5" s="14">
        <f>'Cal_Weeks'!D41</f>
        <v/>
      </c>
      <c r="AW5" s="14">
        <f>'Cal_Weeks'!D42</f>
        <v/>
      </c>
      <c r="AX5" s="14">
        <f>'Cal_Weeks'!D43</f>
        <v/>
      </c>
      <c r="AY5" s="14">
        <f>'Cal_Weeks'!D44</f>
        <v/>
      </c>
      <c r="AZ5" s="14">
        <f>'Cal_Weeks'!D45</f>
        <v/>
      </c>
      <c r="BA5" s="14">
        <f>'Cal_Weeks'!D46</f>
        <v/>
      </c>
      <c r="BB5" s="14">
        <f>'Cal_Weeks'!D47</f>
        <v/>
      </c>
      <c r="BC5" s="14">
        <f>'Cal_Weeks'!D48</f>
        <v/>
      </c>
      <c r="BD5" s="14">
        <f>'Cal_Weeks'!D49</f>
        <v/>
      </c>
      <c r="BE5" s="14">
        <f>'Cal_Weeks'!D50</f>
        <v/>
      </c>
      <c r="BF5" s="14">
        <f>'Cal_Weeks'!D51</f>
        <v/>
      </c>
      <c r="BG5" s="14">
        <f>'Cal_Weeks'!D52</f>
        <v/>
      </c>
      <c r="BH5" s="14">
        <f>'Cal_Weeks'!D53</f>
        <v/>
      </c>
      <c r="BI5" s="14">
        <f>'Cal_Weeks'!D54</f>
        <v/>
      </c>
      <c r="BJ5" s="14">
        <f>'Cal_Weeks'!D55</f>
        <v/>
      </c>
      <c r="BK5" s="14">
        <f>'Cal_Weeks'!D56</f>
        <v/>
      </c>
      <c r="BL5" s="14">
        <f>'Cal_Weeks'!D57</f>
        <v/>
      </c>
      <c r="BM5" s="14">
        <f>'Cal_Weeks'!D58</f>
        <v/>
      </c>
      <c r="BN5" s="14">
        <f>'Cal_Weeks'!D59</f>
        <v/>
      </c>
      <c r="BO5" s="14">
        <f>'Cal_Weeks'!D60</f>
        <v/>
      </c>
      <c r="BP5" s="14">
        <f>'Cal_Weeks'!D61</f>
        <v/>
      </c>
      <c r="BQ5" s="14">
        <f>'Cal_Weeks'!D62</f>
        <v/>
      </c>
      <c r="BR5" s="14">
        <f>'Cal_Weeks'!D63</f>
        <v/>
      </c>
      <c r="BS5" s="14">
        <f>'Cal_Weeks'!D64</f>
        <v/>
      </c>
      <c r="BT5" s="14">
        <f>'Cal_Weeks'!D65</f>
        <v/>
      </c>
      <c r="BU5" s="14">
        <f>'Cal_Weeks'!D66</f>
        <v/>
      </c>
      <c r="BV5" s="14">
        <f>'Cal_Weeks'!D67</f>
        <v/>
      </c>
      <c r="BW5" s="14">
        <f>'Cal_Weeks'!D68</f>
        <v/>
      </c>
      <c r="BX5" s="14">
        <f>'Cal_Weeks'!D69</f>
        <v/>
      </c>
      <c r="BY5" s="14">
        <f>'Cal_Weeks'!D70</f>
        <v/>
      </c>
      <c r="BZ5" s="14">
        <f>'Cal_Weeks'!D71</f>
        <v/>
      </c>
      <c r="CA5" s="14">
        <f>'Cal_Weeks'!D72</f>
        <v/>
      </c>
      <c r="CB5" s="14">
        <f>'Cal_Weeks'!D73</f>
        <v/>
      </c>
      <c r="CC5" s="14">
        <f>'Cal_Weeks'!D74</f>
        <v/>
      </c>
      <c r="CD5" s="14">
        <f>'Cal_Weeks'!D75</f>
        <v/>
      </c>
      <c r="CE5" s="14">
        <f>'Cal_Weeks'!D76</f>
        <v/>
      </c>
      <c r="CF5" s="14">
        <f>'Cal_Weeks'!D77</f>
        <v/>
      </c>
      <c r="CG5" s="14">
        <f>'Cal_Weeks'!D78</f>
        <v/>
      </c>
      <c r="CH5" s="14">
        <f>'Cal_Weeks'!D79</f>
        <v/>
      </c>
      <c r="CI5" s="14">
        <f>'Cal_Weeks'!D80</f>
        <v/>
      </c>
      <c r="CJ5" s="14">
        <f>'Cal_Weeks'!D81</f>
        <v/>
      </c>
      <c r="CK5" s="14">
        <f>'Cal_Weeks'!D82</f>
        <v/>
      </c>
      <c r="CL5" s="14">
        <f>'Cal_Weeks'!D83</f>
        <v/>
      </c>
      <c r="CM5" s="14">
        <f>'Cal_Weeks'!D84</f>
        <v/>
      </c>
      <c r="CN5" s="14">
        <f>'Cal_Weeks'!D85</f>
        <v/>
      </c>
      <c r="CO5" s="14">
        <f>'Cal_Weeks'!D86</f>
        <v/>
      </c>
      <c r="CP5" s="14">
        <f>'Cal_Weeks'!D87</f>
        <v/>
      </c>
      <c r="CQ5" s="14">
        <f>'Cal_Weeks'!D88</f>
        <v/>
      </c>
      <c r="CR5" s="14">
        <f>'Cal_Weeks'!D89</f>
        <v/>
      </c>
      <c r="CS5" s="14">
        <f>'Cal_Weeks'!D90</f>
        <v/>
      </c>
      <c r="CT5" s="14">
        <f>'Cal_Weeks'!D91</f>
        <v/>
      </c>
      <c r="CU5" s="14">
        <f>'Cal_Weeks'!D92</f>
        <v/>
      </c>
      <c r="CV5" s="14">
        <f>'Cal_Weeks'!D93</f>
        <v/>
      </c>
      <c r="CW5" s="14">
        <f>'Cal_Weeks'!D94</f>
        <v/>
      </c>
      <c r="CX5" s="14">
        <f>'Cal_Weeks'!D95</f>
        <v/>
      </c>
      <c r="CY5" s="14">
        <f>'Cal_Weeks'!D96</f>
        <v/>
      </c>
      <c r="CZ5" s="14">
        <f>'Cal_Weeks'!D97</f>
        <v/>
      </c>
      <c r="DA5" s="14">
        <f>'Cal_Weeks'!D98</f>
        <v/>
      </c>
      <c r="DB5" s="14">
        <f>'Cal_Weeks'!D99</f>
        <v/>
      </c>
      <c r="DC5" s="14">
        <f>'Cal_Weeks'!D100</f>
        <v/>
      </c>
      <c r="DD5" s="14">
        <f>'Cal_Weeks'!D101</f>
        <v/>
      </c>
      <c r="DE5" s="14">
        <f>'Cal_Weeks'!D102</f>
        <v/>
      </c>
      <c r="DF5" s="14">
        <f>'Cal_Weeks'!D103</f>
        <v/>
      </c>
      <c r="DG5" s="14">
        <f>'Cal_Weeks'!D104</f>
        <v/>
      </c>
      <c r="DH5" s="14">
        <f>'Cal_Weeks'!D105</f>
        <v/>
      </c>
      <c r="DI5" s="14">
        <f>'Cal_Weeks'!D106</f>
        <v/>
      </c>
      <c r="DJ5" s="14">
        <f>'Cal_Weeks'!D107</f>
        <v/>
      </c>
    </row>
    <row r="6">
      <c r="A6" s="16" t="inlineStr">
        <is>
          <t>Part Name</t>
        </is>
      </c>
      <c r="B6" s="16" t="inlineStr">
        <is>
          <t>Description</t>
        </is>
      </c>
      <c r="C6" s="16" t="inlineStr">
        <is>
          <t>Category</t>
        </is>
      </c>
      <c r="D6" s="16" t="inlineStr">
        <is>
          <t>基準在庫_下限</t>
        </is>
      </c>
      <c r="E6" s="16" t="inlineStr">
        <is>
          <t>基準在庫_上限</t>
        </is>
      </c>
      <c r="F6" s="16" t="inlineStr">
        <is>
          <t>自社在庫(実績)</t>
        </is>
      </c>
      <c r="G6" s="16" t="inlineStr">
        <is>
          <t>TTAF在庫(実績)</t>
        </is>
      </c>
      <c r="H6" s="16" t="inlineStr">
        <is>
          <t>実績週</t>
        </is>
      </c>
      <c r="I6" s="16" t="inlineStr">
        <is>
          <t>行種別</t>
        </is>
      </c>
      <c r="J6" s="16" t="inlineStr">
        <is>
          <t>乖離(kg)</t>
        </is>
      </c>
      <c r="K6" s="16">
        <f>'Cal_Weeks'!E4</f>
        <v/>
      </c>
      <c r="L6" s="16">
        <f>'Cal_Weeks'!E5</f>
        <v/>
      </c>
      <c r="M6" s="16">
        <f>'Cal_Weeks'!E6</f>
        <v/>
      </c>
      <c r="N6" s="16">
        <f>'Cal_Weeks'!E7</f>
        <v/>
      </c>
      <c r="O6" s="16">
        <f>'Cal_Weeks'!E8</f>
        <v/>
      </c>
      <c r="P6" s="16">
        <f>'Cal_Weeks'!E9</f>
        <v/>
      </c>
      <c r="Q6" s="16">
        <f>'Cal_Weeks'!E10</f>
        <v/>
      </c>
      <c r="R6" s="16">
        <f>'Cal_Weeks'!E11</f>
        <v/>
      </c>
      <c r="S6" s="16">
        <f>'Cal_Weeks'!E12</f>
        <v/>
      </c>
      <c r="T6" s="16">
        <f>'Cal_Weeks'!E13</f>
        <v/>
      </c>
      <c r="U6" s="16">
        <f>'Cal_Weeks'!E14</f>
        <v/>
      </c>
      <c r="V6" s="16">
        <f>'Cal_Weeks'!E15</f>
        <v/>
      </c>
      <c r="W6" s="16">
        <f>'Cal_Weeks'!E16</f>
        <v/>
      </c>
      <c r="X6" s="16">
        <f>'Cal_Weeks'!E17</f>
        <v/>
      </c>
      <c r="Y6" s="16">
        <f>'Cal_Weeks'!E18</f>
        <v/>
      </c>
      <c r="Z6" s="16">
        <f>'Cal_Weeks'!E19</f>
        <v/>
      </c>
      <c r="AA6" s="16">
        <f>'Cal_Weeks'!E20</f>
        <v/>
      </c>
      <c r="AB6" s="16">
        <f>'Cal_Weeks'!E21</f>
        <v/>
      </c>
      <c r="AC6" s="16">
        <f>'Cal_Weeks'!E22</f>
        <v/>
      </c>
      <c r="AD6" s="16">
        <f>'Cal_Weeks'!E23</f>
        <v/>
      </c>
      <c r="AE6" s="16">
        <f>'Cal_Weeks'!E24</f>
        <v/>
      </c>
      <c r="AF6" s="16">
        <f>'Cal_Weeks'!E25</f>
        <v/>
      </c>
      <c r="AG6" s="16">
        <f>'Cal_Weeks'!E26</f>
        <v/>
      </c>
      <c r="AH6" s="16">
        <f>'Cal_Weeks'!E27</f>
        <v/>
      </c>
      <c r="AI6" s="16">
        <f>'Cal_Weeks'!E28</f>
        <v/>
      </c>
      <c r="AJ6" s="16">
        <f>'Cal_Weeks'!E29</f>
        <v/>
      </c>
      <c r="AK6" s="16">
        <f>'Cal_Weeks'!E30</f>
        <v/>
      </c>
      <c r="AL6" s="16">
        <f>'Cal_Weeks'!E31</f>
        <v/>
      </c>
      <c r="AM6" s="16">
        <f>'Cal_Weeks'!E32</f>
        <v/>
      </c>
      <c r="AN6" s="16">
        <f>'Cal_Weeks'!E33</f>
        <v/>
      </c>
      <c r="AO6" s="16">
        <f>'Cal_Weeks'!E34</f>
        <v/>
      </c>
      <c r="AP6" s="16">
        <f>'Cal_Weeks'!E35</f>
        <v/>
      </c>
      <c r="AQ6" s="16">
        <f>'Cal_Weeks'!E36</f>
        <v/>
      </c>
      <c r="AR6" s="16">
        <f>'Cal_Weeks'!E37</f>
        <v/>
      </c>
      <c r="AS6" s="16">
        <f>'Cal_Weeks'!E38</f>
        <v/>
      </c>
      <c r="AT6" s="16">
        <f>'Cal_Weeks'!E39</f>
        <v/>
      </c>
      <c r="AU6" s="16">
        <f>'Cal_Weeks'!E40</f>
        <v/>
      </c>
      <c r="AV6" s="16">
        <f>'Cal_Weeks'!E41</f>
        <v/>
      </c>
      <c r="AW6" s="16">
        <f>'Cal_Weeks'!E42</f>
        <v/>
      </c>
      <c r="AX6" s="16">
        <f>'Cal_Weeks'!E43</f>
        <v/>
      </c>
      <c r="AY6" s="16">
        <f>'Cal_Weeks'!E44</f>
        <v/>
      </c>
      <c r="AZ6" s="16">
        <f>'Cal_Weeks'!E45</f>
        <v/>
      </c>
      <c r="BA6" s="16">
        <f>'Cal_Weeks'!E46</f>
        <v/>
      </c>
      <c r="BB6" s="16">
        <f>'Cal_Weeks'!E47</f>
        <v/>
      </c>
      <c r="BC6" s="16">
        <f>'Cal_Weeks'!E48</f>
        <v/>
      </c>
      <c r="BD6" s="16">
        <f>'Cal_Weeks'!E49</f>
        <v/>
      </c>
      <c r="BE6" s="16">
        <f>'Cal_Weeks'!E50</f>
        <v/>
      </c>
      <c r="BF6" s="16">
        <f>'Cal_Weeks'!E51</f>
        <v/>
      </c>
      <c r="BG6" s="16">
        <f>'Cal_Weeks'!E52</f>
        <v/>
      </c>
      <c r="BH6" s="16">
        <f>'Cal_Weeks'!E53</f>
        <v/>
      </c>
      <c r="BI6" s="16">
        <f>'Cal_Weeks'!E54</f>
        <v/>
      </c>
      <c r="BJ6" s="16">
        <f>'Cal_Weeks'!E55</f>
        <v/>
      </c>
      <c r="BK6" s="16">
        <f>'Cal_Weeks'!E56</f>
        <v/>
      </c>
      <c r="BL6" s="16">
        <f>'Cal_Weeks'!E57</f>
        <v/>
      </c>
      <c r="BM6" s="16">
        <f>'Cal_Weeks'!E58</f>
        <v/>
      </c>
      <c r="BN6" s="16">
        <f>'Cal_Weeks'!E59</f>
        <v/>
      </c>
      <c r="BO6" s="16">
        <f>'Cal_Weeks'!E60</f>
        <v/>
      </c>
      <c r="BP6" s="16">
        <f>'Cal_Weeks'!E61</f>
        <v/>
      </c>
      <c r="BQ6" s="16">
        <f>'Cal_Weeks'!E62</f>
        <v/>
      </c>
      <c r="BR6" s="16">
        <f>'Cal_Weeks'!E63</f>
        <v/>
      </c>
      <c r="BS6" s="16">
        <f>'Cal_Weeks'!E64</f>
        <v/>
      </c>
      <c r="BT6" s="16">
        <f>'Cal_Weeks'!E65</f>
        <v/>
      </c>
      <c r="BU6" s="16">
        <f>'Cal_Weeks'!E66</f>
        <v/>
      </c>
      <c r="BV6" s="16">
        <f>'Cal_Weeks'!E67</f>
        <v/>
      </c>
      <c r="BW6" s="16">
        <f>'Cal_Weeks'!E68</f>
        <v/>
      </c>
      <c r="BX6" s="16">
        <f>'Cal_Weeks'!E69</f>
        <v/>
      </c>
      <c r="BY6" s="16">
        <f>'Cal_Weeks'!E70</f>
        <v/>
      </c>
      <c r="BZ6" s="16">
        <f>'Cal_Weeks'!E71</f>
        <v/>
      </c>
      <c r="CA6" s="16">
        <f>'Cal_Weeks'!E72</f>
        <v/>
      </c>
      <c r="CB6" s="16">
        <f>'Cal_Weeks'!E73</f>
        <v/>
      </c>
      <c r="CC6" s="16">
        <f>'Cal_Weeks'!E74</f>
        <v/>
      </c>
      <c r="CD6" s="16">
        <f>'Cal_Weeks'!E75</f>
        <v/>
      </c>
      <c r="CE6" s="16">
        <f>'Cal_Weeks'!E76</f>
        <v/>
      </c>
      <c r="CF6" s="16">
        <f>'Cal_Weeks'!E77</f>
        <v/>
      </c>
      <c r="CG6" s="16">
        <f>'Cal_Weeks'!E78</f>
        <v/>
      </c>
      <c r="CH6" s="16">
        <f>'Cal_Weeks'!E79</f>
        <v/>
      </c>
      <c r="CI6" s="16">
        <f>'Cal_Weeks'!E80</f>
        <v/>
      </c>
      <c r="CJ6" s="16">
        <f>'Cal_Weeks'!E81</f>
        <v/>
      </c>
      <c r="CK6" s="16">
        <f>'Cal_Weeks'!E82</f>
        <v/>
      </c>
      <c r="CL6" s="16">
        <f>'Cal_Weeks'!E83</f>
        <v/>
      </c>
      <c r="CM6" s="16">
        <f>'Cal_Weeks'!E84</f>
        <v/>
      </c>
      <c r="CN6" s="16">
        <f>'Cal_Weeks'!E85</f>
        <v/>
      </c>
      <c r="CO6" s="16">
        <f>'Cal_Weeks'!E86</f>
        <v/>
      </c>
      <c r="CP6" s="16">
        <f>'Cal_Weeks'!E87</f>
        <v/>
      </c>
      <c r="CQ6" s="16">
        <f>'Cal_Weeks'!E88</f>
        <v/>
      </c>
      <c r="CR6" s="16">
        <f>'Cal_Weeks'!E89</f>
        <v/>
      </c>
      <c r="CS6" s="16">
        <f>'Cal_Weeks'!E90</f>
        <v/>
      </c>
      <c r="CT6" s="16">
        <f>'Cal_Weeks'!E91</f>
        <v/>
      </c>
      <c r="CU6" s="16">
        <f>'Cal_Weeks'!E92</f>
        <v/>
      </c>
      <c r="CV6" s="16">
        <f>'Cal_Weeks'!E93</f>
        <v/>
      </c>
      <c r="CW6" s="16">
        <f>'Cal_Weeks'!E94</f>
        <v/>
      </c>
      <c r="CX6" s="16">
        <f>'Cal_Weeks'!E95</f>
        <v/>
      </c>
      <c r="CY6" s="16">
        <f>'Cal_Weeks'!E96</f>
        <v/>
      </c>
      <c r="CZ6" s="16">
        <f>'Cal_Weeks'!E97</f>
        <v/>
      </c>
      <c r="DA6" s="16">
        <f>'Cal_Weeks'!E98</f>
        <v/>
      </c>
      <c r="DB6" s="16">
        <f>'Cal_Weeks'!E99</f>
        <v/>
      </c>
      <c r="DC6" s="16">
        <f>'Cal_Weeks'!E100</f>
        <v/>
      </c>
      <c r="DD6" s="16">
        <f>'Cal_Weeks'!E101</f>
        <v/>
      </c>
      <c r="DE6" s="16">
        <f>'Cal_Weeks'!E102</f>
        <v/>
      </c>
      <c r="DF6" s="16">
        <f>'Cal_Weeks'!E103</f>
        <v/>
      </c>
      <c r="DG6" s="16">
        <f>'Cal_Weeks'!E104</f>
        <v/>
      </c>
      <c r="DH6" s="16">
        <f>'Cal_Weeks'!E105</f>
        <v/>
      </c>
      <c r="DI6" s="16">
        <f>'Cal_Weeks'!E106</f>
        <v/>
      </c>
      <c r="DJ6" s="16">
        <f>'Cal_Weeks'!E107</f>
        <v/>
      </c>
    </row>
    <row r="7">
      <c r="A7" s="17" t="inlineStr">
        <is>
          <t>7EP</t>
        </is>
      </c>
      <c r="B7" s="17">
        <f>IFERROR(INDEX(M_RawMaterials[Description],MATCH($A7,M_RawMaterials[Part Name],0)),"")</f>
        <v/>
      </c>
      <c r="C7" s="17">
        <f>IFERROR(INDEX(M_RawMaterials[Category],MATCH($A7,M_RawMaterials[Part Name],0)),"")</f>
        <v/>
      </c>
      <c r="D7" s="17">
        <f>IFERROR(INDEX(M_RawMaterials[基準在庫下限_要入力],MATCH($A7,M_RawMaterials[Part Name],0)),0)</f>
        <v/>
      </c>
      <c r="E7" s="17">
        <f>IFERROR(INDEX(M_RawMaterials[基準在庫上限_要入力],MATCH($A7,M_RawMaterials[Part Name],0)),0)</f>
        <v/>
      </c>
      <c r="F7" s="17">
        <f>IFERROR(LOOKUP(2,1/('T_SelfStock'!$B$6:$DA$6&lt;&gt;""),'T_SelfStock'!$B$6:$DA$6),"")</f>
        <v/>
      </c>
      <c r="G7" s="17">
        <f>IFERROR(LOOKUP(2,1/('T_TTAFStock'!$B$6:$DA$6&lt;&gt;""),'T_TTAFStock'!$B$6:$DA$6),"")</f>
        <v/>
      </c>
      <c r="H7" s="17">
        <f>IFERROR(LOOKUP(2,1/('T_SelfStock'!$B$6:$DA$6&lt;&gt;""),'T_SelfStock'!$B$5:$DA$5),"")</f>
        <v/>
      </c>
      <c r="I7" s="18" t="inlineStr">
        <is>
          <t>理論在庫</t>
        </is>
      </c>
      <c r="J7" s="17">
        <f>IFERROR(INDEX('Grid_Stock'!$A2:$DA2,1,LOOKUP(2,1/('T_SelfStock'!$B$6:$DA$6&lt;&gt;""),COLUMN('T_SelfStock'!$B$6:$DA$6)))-INDEX('Grid_TheoreticalStock'!$A2:$DA2,1,LOOKUP(2,1/('T_SelfStock'!$B$6:$DA$6&lt;&gt;""),COLUMN('T_SelfStock'!$B$6:$DA$6))),0)</f>
        <v/>
      </c>
      <c r="K7" s="18">
        <f>'Grid_TheoreticalStock'!B2</f>
        <v/>
      </c>
      <c r="L7" s="18">
        <f>'Grid_TheoreticalStock'!C2</f>
        <v/>
      </c>
      <c r="M7" s="18">
        <f>'Grid_TheoreticalStock'!D2</f>
        <v/>
      </c>
      <c r="N7" s="18">
        <f>'Grid_TheoreticalStock'!E2</f>
        <v/>
      </c>
      <c r="O7" s="18">
        <f>'Grid_TheoreticalStock'!F2</f>
        <v/>
      </c>
      <c r="P7" s="18">
        <f>'Grid_TheoreticalStock'!G2</f>
        <v/>
      </c>
      <c r="Q7" s="18">
        <f>'Grid_TheoreticalStock'!H2</f>
        <v/>
      </c>
      <c r="R7" s="18">
        <f>'Grid_TheoreticalStock'!I2</f>
        <v/>
      </c>
      <c r="S7" s="18">
        <f>'Grid_TheoreticalStock'!J2</f>
        <v/>
      </c>
      <c r="T7" s="18">
        <f>'Grid_TheoreticalStock'!K2</f>
        <v/>
      </c>
      <c r="U7" s="18">
        <f>'Grid_TheoreticalStock'!L2</f>
        <v/>
      </c>
      <c r="V7" s="18">
        <f>'Grid_TheoreticalStock'!M2</f>
        <v/>
      </c>
      <c r="W7" s="18">
        <f>'Grid_TheoreticalStock'!N2</f>
        <v/>
      </c>
      <c r="X7" s="18">
        <f>'Grid_TheoreticalStock'!O2</f>
        <v/>
      </c>
      <c r="Y7" s="18">
        <f>'Grid_TheoreticalStock'!P2</f>
        <v/>
      </c>
      <c r="Z7" s="18">
        <f>'Grid_TheoreticalStock'!Q2</f>
        <v/>
      </c>
      <c r="AA7" s="18">
        <f>'Grid_TheoreticalStock'!R2</f>
        <v/>
      </c>
      <c r="AB7" s="18">
        <f>'Grid_TheoreticalStock'!S2</f>
        <v/>
      </c>
      <c r="AC7" s="18">
        <f>'Grid_TheoreticalStock'!T2</f>
        <v/>
      </c>
      <c r="AD7" s="18">
        <f>'Grid_TheoreticalStock'!U2</f>
        <v/>
      </c>
      <c r="AE7" s="18">
        <f>'Grid_TheoreticalStock'!V2</f>
        <v/>
      </c>
      <c r="AF7" s="18">
        <f>'Grid_TheoreticalStock'!W2</f>
        <v/>
      </c>
      <c r="AG7" s="18">
        <f>'Grid_TheoreticalStock'!X2</f>
        <v/>
      </c>
      <c r="AH7" s="18">
        <f>'Grid_TheoreticalStock'!Y2</f>
        <v/>
      </c>
      <c r="AI7" s="18">
        <f>'Grid_TheoreticalStock'!Z2</f>
        <v/>
      </c>
      <c r="AJ7" s="18">
        <f>'Grid_TheoreticalStock'!AA2</f>
        <v/>
      </c>
      <c r="AK7" s="18">
        <f>'Grid_TheoreticalStock'!AB2</f>
        <v/>
      </c>
      <c r="AL7" s="18">
        <f>'Grid_TheoreticalStock'!AC2</f>
        <v/>
      </c>
      <c r="AM7" s="18">
        <f>'Grid_TheoreticalStock'!AD2</f>
        <v/>
      </c>
      <c r="AN7" s="18">
        <f>'Grid_TheoreticalStock'!AE2</f>
        <v/>
      </c>
      <c r="AO7" s="18">
        <f>'Grid_TheoreticalStock'!AF2</f>
        <v/>
      </c>
      <c r="AP7" s="18">
        <f>'Grid_TheoreticalStock'!AG2</f>
        <v/>
      </c>
      <c r="AQ7" s="18">
        <f>'Grid_TheoreticalStock'!AH2</f>
        <v/>
      </c>
      <c r="AR7" s="18">
        <f>'Grid_TheoreticalStock'!AI2</f>
        <v/>
      </c>
      <c r="AS7" s="18">
        <f>'Grid_TheoreticalStock'!AJ2</f>
        <v/>
      </c>
      <c r="AT7" s="18">
        <f>'Grid_TheoreticalStock'!AK2</f>
        <v/>
      </c>
      <c r="AU7" s="18">
        <f>'Grid_TheoreticalStock'!AL2</f>
        <v/>
      </c>
      <c r="AV7" s="18">
        <f>'Grid_TheoreticalStock'!AM2</f>
        <v/>
      </c>
      <c r="AW7" s="18">
        <f>'Grid_TheoreticalStock'!AN2</f>
        <v/>
      </c>
      <c r="AX7" s="18">
        <f>'Grid_TheoreticalStock'!AO2</f>
        <v/>
      </c>
      <c r="AY7" s="18">
        <f>'Grid_TheoreticalStock'!AP2</f>
        <v/>
      </c>
      <c r="AZ7" s="18">
        <f>'Grid_TheoreticalStock'!AQ2</f>
        <v/>
      </c>
      <c r="BA7" s="18">
        <f>'Grid_TheoreticalStock'!AR2</f>
        <v/>
      </c>
      <c r="BB7" s="18">
        <f>'Grid_TheoreticalStock'!AS2</f>
        <v/>
      </c>
      <c r="BC7" s="18">
        <f>'Grid_TheoreticalStock'!AT2</f>
        <v/>
      </c>
      <c r="BD7" s="18">
        <f>'Grid_TheoreticalStock'!AU2</f>
        <v/>
      </c>
      <c r="BE7" s="18">
        <f>'Grid_TheoreticalStock'!AV2</f>
        <v/>
      </c>
      <c r="BF7" s="18">
        <f>'Grid_TheoreticalStock'!AW2</f>
        <v/>
      </c>
      <c r="BG7" s="18">
        <f>'Grid_TheoreticalStock'!AX2</f>
        <v/>
      </c>
      <c r="BH7" s="18">
        <f>'Grid_TheoreticalStock'!AY2</f>
        <v/>
      </c>
      <c r="BI7" s="18">
        <f>'Grid_TheoreticalStock'!AZ2</f>
        <v/>
      </c>
      <c r="BJ7" s="18">
        <f>'Grid_TheoreticalStock'!BA2</f>
        <v/>
      </c>
      <c r="BK7" s="18">
        <f>'Grid_TheoreticalStock'!BB2</f>
        <v/>
      </c>
      <c r="BL7" s="18">
        <f>'Grid_TheoreticalStock'!BC2</f>
        <v/>
      </c>
      <c r="BM7" s="18">
        <f>'Grid_TheoreticalStock'!BD2</f>
        <v/>
      </c>
      <c r="BN7" s="18">
        <f>'Grid_TheoreticalStock'!BE2</f>
        <v/>
      </c>
      <c r="BO7" s="18">
        <f>'Grid_TheoreticalStock'!BF2</f>
        <v/>
      </c>
      <c r="BP7" s="18">
        <f>'Grid_TheoreticalStock'!BG2</f>
        <v/>
      </c>
      <c r="BQ7" s="18">
        <f>'Grid_TheoreticalStock'!BH2</f>
        <v/>
      </c>
      <c r="BR7" s="18">
        <f>'Grid_TheoreticalStock'!BI2</f>
        <v/>
      </c>
      <c r="BS7" s="18">
        <f>'Grid_TheoreticalStock'!BJ2</f>
        <v/>
      </c>
      <c r="BT7" s="18">
        <f>'Grid_TheoreticalStock'!BK2</f>
        <v/>
      </c>
      <c r="BU7" s="18">
        <f>'Grid_TheoreticalStock'!BL2</f>
        <v/>
      </c>
      <c r="BV7" s="18">
        <f>'Grid_TheoreticalStock'!BM2</f>
        <v/>
      </c>
      <c r="BW7" s="18">
        <f>'Grid_TheoreticalStock'!BN2</f>
        <v/>
      </c>
      <c r="BX7" s="18">
        <f>'Grid_TheoreticalStock'!BO2</f>
        <v/>
      </c>
      <c r="BY7" s="18">
        <f>'Grid_TheoreticalStock'!BP2</f>
        <v/>
      </c>
      <c r="BZ7" s="18">
        <f>'Grid_TheoreticalStock'!BQ2</f>
        <v/>
      </c>
      <c r="CA7" s="18">
        <f>'Grid_TheoreticalStock'!BR2</f>
        <v/>
      </c>
      <c r="CB7" s="18">
        <f>'Grid_TheoreticalStock'!BS2</f>
        <v/>
      </c>
      <c r="CC7" s="18">
        <f>'Grid_TheoreticalStock'!BT2</f>
        <v/>
      </c>
      <c r="CD7" s="18">
        <f>'Grid_TheoreticalStock'!BU2</f>
        <v/>
      </c>
      <c r="CE7" s="18">
        <f>'Grid_TheoreticalStock'!BV2</f>
        <v/>
      </c>
      <c r="CF7" s="18">
        <f>'Grid_TheoreticalStock'!BW2</f>
        <v/>
      </c>
      <c r="CG7" s="18">
        <f>'Grid_TheoreticalStock'!BX2</f>
        <v/>
      </c>
      <c r="CH7" s="18">
        <f>'Grid_TheoreticalStock'!BY2</f>
        <v/>
      </c>
      <c r="CI7" s="18">
        <f>'Grid_TheoreticalStock'!BZ2</f>
        <v/>
      </c>
      <c r="CJ7" s="18">
        <f>'Grid_TheoreticalStock'!CA2</f>
        <v/>
      </c>
      <c r="CK7" s="18">
        <f>'Grid_TheoreticalStock'!CB2</f>
        <v/>
      </c>
      <c r="CL7" s="18">
        <f>'Grid_TheoreticalStock'!CC2</f>
        <v/>
      </c>
      <c r="CM7" s="18">
        <f>'Grid_TheoreticalStock'!CD2</f>
        <v/>
      </c>
      <c r="CN7" s="18">
        <f>'Grid_TheoreticalStock'!CE2</f>
        <v/>
      </c>
      <c r="CO7" s="18">
        <f>'Grid_TheoreticalStock'!CF2</f>
        <v/>
      </c>
      <c r="CP7" s="18">
        <f>'Grid_TheoreticalStock'!CG2</f>
        <v/>
      </c>
      <c r="CQ7" s="18">
        <f>'Grid_TheoreticalStock'!CH2</f>
        <v/>
      </c>
      <c r="CR7" s="18">
        <f>'Grid_TheoreticalStock'!CI2</f>
        <v/>
      </c>
      <c r="CS7" s="18">
        <f>'Grid_TheoreticalStock'!CJ2</f>
        <v/>
      </c>
      <c r="CT7" s="18">
        <f>'Grid_TheoreticalStock'!CK2</f>
        <v/>
      </c>
      <c r="CU7" s="18">
        <f>'Grid_TheoreticalStock'!CL2</f>
        <v/>
      </c>
      <c r="CV7" s="18">
        <f>'Grid_TheoreticalStock'!CM2</f>
        <v/>
      </c>
      <c r="CW7" s="18">
        <f>'Grid_TheoreticalStock'!CN2</f>
        <v/>
      </c>
      <c r="CX7" s="18">
        <f>'Grid_TheoreticalStock'!CO2</f>
        <v/>
      </c>
      <c r="CY7" s="18">
        <f>'Grid_TheoreticalStock'!CP2</f>
        <v/>
      </c>
      <c r="CZ7" s="18">
        <f>'Grid_TheoreticalStock'!CQ2</f>
        <v/>
      </c>
      <c r="DA7" s="18">
        <f>'Grid_TheoreticalStock'!CR2</f>
        <v/>
      </c>
      <c r="DB7" s="18">
        <f>'Grid_TheoreticalStock'!CS2</f>
        <v/>
      </c>
      <c r="DC7" s="18">
        <f>'Grid_TheoreticalStock'!CT2</f>
        <v/>
      </c>
      <c r="DD7" s="18">
        <f>'Grid_TheoreticalStock'!CU2</f>
        <v/>
      </c>
      <c r="DE7" s="18">
        <f>'Grid_TheoreticalStock'!CV2</f>
        <v/>
      </c>
      <c r="DF7" s="18">
        <f>'Grid_TheoreticalStock'!CW2</f>
        <v/>
      </c>
      <c r="DG7" s="18">
        <f>'Grid_TheoreticalStock'!CX2</f>
        <v/>
      </c>
      <c r="DH7" s="18">
        <f>'Grid_TheoreticalStock'!CY2</f>
        <v/>
      </c>
      <c r="DI7" s="18">
        <f>'Grid_TheoreticalStock'!CZ2</f>
        <v/>
      </c>
      <c r="DJ7" s="18">
        <f>'Grid_TheoreticalStock'!DA2</f>
        <v/>
      </c>
    </row>
    <row r="8">
      <c r="A8" s="19" t="inlineStr">
        <is>
          <t>7EP</t>
        </is>
      </c>
      <c r="B8" s="19">
        <f>IFERROR(INDEX(M_RawMaterials[Description],MATCH($A8,M_RawMaterials[Part Name],0)),"")</f>
        <v/>
      </c>
      <c r="C8" s="19">
        <f>IFERROR(INDEX(M_RawMaterials[Category],MATCH($A8,M_RawMaterials[Part Name],0)),"")</f>
        <v/>
      </c>
      <c r="D8" s="19">
        <f>IFERROR(INDEX(M_RawMaterials[基準在庫下限_要入力],MATCH($A8,M_RawMaterials[Part Name],0)),0)</f>
        <v/>
      </c>
      <c r="E8" s="19">
        <f>IFERROR(INDEX(M_RawMaterials[基準在庫上限_要入力],MATCH($A8,M_RawMaterials[Part Name],0)),0)</f>
        <v/>
      </c>
      <c r="F8" s="19">
        <f>IFERROR(LOOKUP(2,1/('T_SelfStock'!$B$6:$DA$6&lt;&gt;""),'T_SelfStock'!$B$6:$DA$6),"")</f>
        <v/>
      </c>
      <c r="G8" s="19">
        <f>IFERROR(LOOKUP(2,1/('T_TTAFStock'!$B$6:$DA$6&lt;&gt;""),'T_TTAFStock'!$B$6:$DA$6),"")</f>
        <v/>
      </c>
      <c r="H8" s="19">
        <f>IFERROR(LOOKUP(2,1/('T_SelfStock'!$B$6:$DA$6&lt;&gt;""),'T_SelfStock'!$B$5:$DA$5),"")</f>
        <v/>
      </c>
      <c r="I8" s="20" t="inlineStr">
        <is>
          <t>実在庫</t>
        </is>
      </c>
      <c r="J8" s="19">
        <f>IFERROR(INDEX('Grid_Stock'!$A2:$DA2,1,LOOKUP(2,1/('T_SelfStock'!$B$6:$DA$6&lt;&gt;""),COLUMN('T_SelfStock'!$B$6:$DA$6)))-INDEX('Grid_TheoreticalStock'!$A2:$DA2,1,LOOKUP(2,1/('T_SelfStock'!$B$6:$DA$6&lt;&gt;""),COLUMN('T_SelfStock'!$B$6:$DA$6))),0)</f>
        <v/>
      </c>
      <c r="K8" s="19">
        <f>'Grid_Stock'!B2</f>
        <v/>
      </c>
      <c r="L8" s="19">
        <f>'Grid_Stock'!C2</f>
        <v/>
      </c>
      <c r="M8" s="19">
        <f>'Grid_Stock'!D2</f>
        <v/>
      </c>
      <c r="N8" s="19">
        <f>'Grid_Stock'!E2</f>
        <v/>
      </c>
      <c r="O8" s="19">
        <f>'Grid_Stock'!F2</f>
        <v/>
      </c>
      <c r="P8" s="19">
        <f>'Grid_Stock'!G2</f>
        <v/>
      </c>
      <c r="Q8" s="19">
        <f>'Grid_Stock'!H2</f>
        <v/>
      </c>
      <c r="R8" s="19">
        <f>'Grid_Stock'!I2</f>
        <v/>
      </c>
      <c r="S8" s="19">
        <f>'Grid_Stock'!J2</f>
        <v/>
      </c>
      <c r="T8" s="19">
        <f>'Grid_Stock'!K2</f>
        <v/>
      </c>
      <c r="U8" s="19">
        <f>'Grid_Stock'!L2</f>
        <v/>
      </c>
      <c r="V8" s="19">
        <f>'Grid_Stock'!M2</f>
        <v/>
      </c>
      <c r="W8" s="19">
        <f>'Grid_Stock'!N2</f>
        <v/>
      </c>
      <c r="X8" s="19">
        <f>'Grid_Stock'!O2</f>
        <v/>
      </c>
      <c r="Y8" s="19">
        <f>'Grid_Stock'!P2</f>
        <v/>
      </c>
      <c r="Z8" s="19">
        <f>'Grid_Stock'!Q2</f>
        <v/>
      </c>
      <c r="AA8" s="19">
        <f>'Grid_Stock'!R2</f>
        <v/>
      </c>
      <c r="AB8" s="19">
        <f>'Grid_Stock'!S2</f>
        <v/>
      </c>
      <c r="AC8" s="19">
        <f>'Grid_Stock'!T2</f>
        <v/>
      </c>
      <c r="AD8" s="19">
        <f>'Grid_Stock'!U2</f>
        <v/>
      </c>
      <c r="AE8" s="19">
        <f>'Grid_Stock'!V2</f>
        <v/>
      </c>
      <c r="AF8" s="19">
        <f>'Grid_Stock'!W2</f>
        <v/>
      </c>
      <c r="AG8" s="19">
        <f>'Grid_Stock'!X2</f>
        <v/>
      </c>
      <c r="AH8" s="19">
        <f>'Grid_Stock'!Y2</f>
        <v/>
      </c>
      <c r="AI8" s="19">
        <f>'Grid_Stock'!Z2</f>
        <v/>
      </c>
      <c r="AJ8" s="19">
        <f>'Grid_Stock'!AA2</f>
        <v/>
      </c>
      <c r="AK8" s="19">
        <f>'Grid_Stock'!AB2</f>
        <v/>
      </c>
      <c r="AL8" s="19">
        <f>'Grid_Stock'!AC2</f>
        <v/>
      </c>
      <c r="AM8" s="19">
        <f>'Grid_Stock'!AD2</f>
        <v/>
      </c>
      <c r="AN8" s="19">
        <f>'Grid_Stock'!AE2</f>
        <v/>
      </c>
      <c r="AO8" s="19">
        <f>'Grid_Stock'!AF2</f>
        <v/>
      </c>
      <c r="AP8" s="19">
        <f>'Grid_Stock'!AG2</f>
        <v/>
      </c>
      <c r="AQ8" s="19">
        <f>'Grid_Stock'!AH2</f>
        <v/>
      </c>
      <c r="AR8" s="19">
        <f>'Grid_Stock'!AI2</f>
        <v/>
      </c>
      <c r="AS8" s="19">
        <f>'Grid_Stock'!AJ2</f>
        <v/>
      </c>
      <c r="AT8" s="19">
        <f>'Grid_Stock'!AK2</f>
        <v/>
      </c>
      <c r="AU8" s="19">
        <f>'Grid_Stock'!AL2</f>
        <v/>
      </c>
      <c r="AV8" s="19">
        <f>'Grid_Stock'!AM2</f>
        <v/>
      </c>
      <c r="AW8" s="19">
        <f>'Grid_Stock'!AN2</f>
        <v/>
      </c>
      <c r="AX8" s="19">
        <f>'Grid_Stock'!AO2</f>
        <v/>
      </c>
      <c r="AY8" s="19">
        <f>'Grid_Stock'!AP2</f>
        <v/>
      </c>
      <c r="AZ8" s="19">
        <f>'Grid_Stock'!AQ2</f>
        <v/>
      </c>
      <c r="BA8" s="19">
        <f>'Grid_Stock'!AR2</f>
        <v/>
      </c>
      <c r="BB8" s="19">
        <f>'Grid_Stock'!AS2</f>
        <v/>
      </c>
      <c r="BC8" s="19">
        <f>'Grid_Stock'!AT2</f>
        <v/>
      </c>
      <c r="BD8" s="19">
        <f>'Grid_Stock'!AU2</f>
        <v/>
      </c>
      <c r="BE8" s="19">
        <f>'Grid_Stock'!AV2</f>
        <v/>
      </c>
      <c r="BF8" s="19">
        <f>'Grid_Stock'!AW2</f>
        <v/>
      </c>
      <c r="BG8" s="19">
        <f>'Grid_Stock'!AX2</f>
        <v/>
      </c>
      <c r="BH8" s="19">
        <f>'Grid_Stock'!AY2</f>
        <v/>
      </c>
      <c r="BI8" s="19">
        <f>'Grid_Stock'!AZ2</f>
        <v/>
      </c>
      <c r="BJ8" s="19">
        <f>'Grid_Stock'!BA2</f>
        <v/>
      </c>
      <c r="BK8" s="19">
        <f>'Grid_Stock'!BB2</f>
        <v/>
      </c>
      <c r="BL8" s="19">
        <f>'Grid_Stock'!BC2</f>
        <v/>
      </c>
      <c r="BM8" s="19">
        <f>'Grid_Stock'!BD2</f>
        <v/>
      </c>
      <c r="BN8" s="19">
        <f>'Grid_Stock'!BE2</f>
        <v/>
      </c>
      <c r="BO8" s="19">
        <f>'Grid_Stock'!BF2</f>
        <v/>
      </c>
      <c r="BP8" s="19">
        <f>'Grid_Stock'!BG2</f>
        <v/>
      </c>
      <c r="BQ8" s="19">
        <f>'Grid_Stock'!BH2</f>
        <v/>
      </c>
      <c r="BR8" s="19">
        <f>'Grid_Stock'!BI2</f>
        <v/>
      </c>
      <c r="BS8" s="19">
        <f>'Grid_Stock'!BJ2</f>
        <v/>
      </c>
      <c r="BT8" s="19">
        <f>'Grid_Stock'!BK2</f>
        <v/>
      </c>
      <c r="BU8" s="19">
        <f>'Grid_Stock'!BL2</f>
        <v/>
      </c>
      <c r="BV8" s="19">
        <f>'Grid_Stock'!BM2</f>
        <v/>
      </c>
      <c r="BW8" s="19">
        <f>'Grid_Stock'!BN2</f>
        <v/>
      </c>
      <c r="BX8" s="19">
        <f>'Grid_Stock'!BO2</f>
        <v/>
      </c>
      <c r="BY8" s="19">
        <f>'Grid_Stock'!BP2</f>
        <v/>
      </c>
      <c r="BZ8" s="19">
        <f>'Grid_Stock'!BQ2</f>
        <v/>
      </c>
      <c r="CA8" s="19">
        <f>'Grid_Stock'!BR2</f>
        <v/>
      </c>
      <c r="CB8" s="19">
        <f>'Grid_Stock'!BS2</f>
        <v/>
      </c>
      <c r="CC8" s="19">
        <f>'Grid_Stock'!BT2</f>
        <v/>
      </c>
      <c r="CD8" s="19">
        <f>'Grid_Stock'!BU2</f>
        <v/>
      </c>
      <c r="CE8" s="19">
        <f>'Grid_Stock'!BV2</f>
        <v/>
      </c>
      <c r="CF8" s="19">
        <f>'Grid_Stock'!BW2</f>
        <v/>
      </c>
      <c r="CG8" s="19">
        <f>'Grid_Stock'!BX2</f>
        <v/>
      </c>
      <c r="CH8" s="19">
        <f>'Grid_Stock'!BY2</f>
        <v/>
      </c>
      <c r="CI8" s="19">
        <f>'Grid_Stock'!BZ2</f>
        <v/>
      </c>
      <c r="CJ8" s="19">
        <f>'Grid_Stock'!CA2</f>
        <v/>
      </c>
      <c r="CK8" s="19">
        <f>'Grid_Stock'!CB2</f>
        <v/>
      </c>
      <c r="CL8" s="19">
        <f>'Grid_Stock'!CC2</f>
        <v/>
      </c>
      <c r="CM8" s="19">
        <f>'Grid_Stock'!CD2</f>
        <v/>
      </c>
      <c r="CN8" s="19">
        <f>'Grid_Stock'!CE2</f>
        <v/>
      </c>
      <c r="CO8" s="19">
        <f>'Grid_Stock'!CF2</f>
        <v/>
      </c>
      <c r="CP8" s="19">
        <f>'Grid_Stock'!CG2</f>
        <v/>
      </c>
      <c r="CQ8" s="19">
        <f>'Grid_Stock'!CH2</f>
        <v/>
      </c>
      <c r="CR8" s="19">
        <f>'Grid_Stock'!CI2</f>
        <v/>
      </c>
      <c r="CS8" s="19">
        <f>'Grid_Stock'!CJ2</f>
        <v/>
      </c>
      <c r="CT8" s="19">
        <f>'Grid_Stock'!CK2</f>
        <v/>
      </c>
      <c r="CU8" s="19">
        <f>'Grid_Stock'!CL2</f>
        <v/>
      </c>
      <c r="CV8" s="19">
        <f>'Grid_Stock'!CM2</f>
        <v/>
      </c>
      <c r="CW8" s="19">
        <f>'Grid_Stock'!CN2</f>
        <v/>
      </c>
      <c r="CX8" s="19">
        <f>'Grid_Stock'!CO2</f>
        <v/>
      </c>
      <c r="CY8" s="19">
        <f>'Grid_Stock'!CP2</f>
        <v/>
      </c>
      <c r="CZ8" s="19">
        <f>'Grid_Stock'!CQ2</f>
        <v/>
      </c>
      <c r="DA8" s="19">
        <f>'Grid_Stock'!CR2</f>
        <v/>
      </c>
      <c r="DB8" s="19">
        <f>'Grid_Stock'!CS2</f>
        <v/>
      </c>
      <c r="DC8" s="19">
        <f>'Grid_Stock'!CT2</f>
        <v/>
      </c>
      <c r="DD8" s="19">
        <f>'Grid_Stock'!CU2</f>
        <v/>
      </c>
      <c r="DE8" s="19">
        <f>'Grid_Stock'!CV2</f>
        <v/>
      </c>
      <c r="DF8" s="19">
        <f>'Grid_Stock'!CW2</f>
        <v/>
      </c>
      <c r="DG8" s="19">
        <f>'Grid_Stock'!CX2</f>
        <v/>
      </c>
      <c r="DH8" s="19">
        <f>'Grid_Stock'!CY2</f>
        <v/>
      </c>
      <c r="DI8" s="19">
        <f>'Grid_Stock'!CZ2</f>
        <v/>
      </c>
      <c r="DJ8" s="19">
        <f>'Grid_Stock'!DA2</f>
        <v/>
      </c>
    </row>
    <row r="9">
      <c r="A9" s="17" t="inlineStr">
        <is>
          <t>1EK</t>
        </is>
      </c>
      <c r="B9" s="17">
        <f>IFERROR(INDEX(M_RawMaterials[Description],MATCH($A9,M_RawMaterials[Part Name],0)),"")</f>
        <v/>
      </c>
      <c r="C9" s="17">
        <f>IFERROR(INDEX(M_RawMaterials[Category],MATCH($A9,M_RawMaterials[Part Name],0)),"")</f>
        <v/>
      </c>
      <c r="D9" s="17">
        <f>IFERROR(INDEX(M_RawMaterials[基準在庫下限_要入力],MATCH($A9,M_RawMaterials[Part Name],0)),0)</f>
        <v/>
      </c>
      <c r="E9" s="17">
        <f>IFERROR(INDEX(M_RawMaterials[基準在庫上限_要入力],MATCH($A9,M_RawMaterials[Part Name],0)),0)</f>
        <v/>
      </c>
      <c r="F9" s="17">
        <f>IFERROR(LOOKUP(2,1/('T_SelfStock'!$B$7:$DA$7&lt;&gt;""),'T_SelfStock'!$B$7:$DA$7),"")</f>
        <v/>
      </c>
      <c r="G9" s="17">
        <f>IFERROR(LOOKUP(2,1/('T_TTAFStock'!$B$7:$DA$7&lt;&gt;""),'T_TTAFStock'!$B$7:$DA$7),"")</f>
        <v/>
      </c>
      <c r="H9" s="17">
        <f>IFERROR(LOOKUP(2,1/('T_SelfStock'!$B$7:$DA$7&lt;&gt;""),'T_SelfStock'!$B$5:$DA$5),"")</f>
        <v/>
      </c>
      <c r="I9" s="18" t="inlineStr">
        <is>
          <t>理論在庫</t>
        </is>
      </c>
      <c r="J9" s="17">
        <f>IFERROR(INDEX('Grid_Stock'!$A3:$DA3,1,LOOKUP(2,1/('T_SelfStock'!$B$7:$DA$7&lt;&gt;""),COLUMN('T_SelfStock'!$B$7:$DA$7)))-INDEX('Grid_TheoreticalStock'!$A3:$DA3,1,LOOKUP(2,1/('T_SelfStock'!$B$7:$DA$7&lt;&gt;""),COLUMN('T_SelfStock'!$B$7:$DA$7))),0)</f>
        <v/>
      </c>
      <c r="K9" s="18">
        <f>'Grid_TheoreticalStock'!B3</f>
        <v/>
      </c>
      <c r="L9" s="18">
        <f>'Grid_TheoreticalStock'!C3</f>
        <v/>
      </c>
      <c r="M9" s="18">
        <f>'Grid_TheoreticalStock'!D3</f>
        <v/>
      </c>
      <c r="N9" s="18">
        <f>'Grid_TheoreticalStock'!E3</f>
        <v/>
      </c>
      <c r="O9" s="18">
        <f>'Grid_TheoreticalStock'!F3</f>
        <v/>
      </c>
      <c r="P9" s="18">
        <f>'Grid_TheoreticalStock'!G3</f>
        <v/>
      </c>
      <c r="Q9" s="18">
        <f>'Grid_TheoreticalStock'!H3</f>
        <v/>
      </c>
      <c r="R9" s="18">
        <f>'Grid_TheoreticalStock'!I3</f>
        <v/>
      </c>
      <c r="S9" s="18">
        <f>'Grid_TheoreticalStock'!J3</f>
        <v/>
      </c>
      <c r="T9" s="18">
        <f>'Grid_TheoreticalStock'!K3</f>
        <v/>
      </c>
      <c r="U9" s="18">
        <f>'Grid_TheoreticalStock'!L3</f>
        <v/>
      </c>
      <c r="V9" s="18">
        <f>'Grid_TheoreticalStock'!M3</f>
        <v/>
      </c>
      <c r="W9" s="18">
        <f>'Grid_TheoreticalStock'!N3</f>
        <v/>
      </c>
      <c r="X9" s="18">
        <f>'Grid_TheoreticalStock'!O3</f>
        <v/>
      </c>
      <c r="Y9" s="18">
        <f>'Grid_TheoreticalStock'!P3</f>
        <v/>
      </c>
      <c r="Z9" s="18">
        <f>'Grid_TheoreticalStock'!Q3</f>
        <v/>
      </c>
      <c r="AA9" s="18">
        <f>'Grid_TheoreticalStock'!R3</f>
        <v/>
      </c>
      <c r="AB9" s="18">
        <f>'Grid_TheoreticalStock'!S3</f>
        <v/>
      </c>
      <c r="AC9" s="18">
        <f>'Grid_TheoreticalStock'!T3</f>
        <v/>
      </c>
      <c r="AD9" s="18">
        <f>'Grid_TheoreticalStock'!U3</f>
        <v/>
      </c>
      <c r="AE9" s="18">
        <f>'Grid_TheoreticalStock'!V3</f>
        <v/>
      </c>
      <c r="AF9" s="18">
        <f>'Grid_TheoreticalStock'!W3</f>
        <v/>
      </c>
      <c r="AG9" s="18">
        <f>'Grid_TheoreticalStock'!X3</f>
        <v/>
      </c>
      <c r="AH9" s="18">
        <f>'Grid_TheoreticalStock'!Y3</f>
        <v/>
      </c>
      <c r="AI9" s="18">
        <f>'Grid_TheoreticalStock'!Z3</f>
        <v/>
      </c>
      <c r="AJ9" s="18">
        <f>'Grid_TheoreticalStock'!AA3</f>
        <v/>
      </c>
      <c r="AK9" s="18">
        <f>'Grid_TheoreticalStock'!AB3</f>
        <v/>
      </c>
      <c r="AL9" s="18">
        <f>'Grid_TheoreticalStock'!AC3</f>
        <v/>
      </c>
      <c r="AM9" s="18">
        <f>'Grid_TheoreticalStock'!AD3</f>
        <v/>
      </c>
      <c r="AN9" s="18">
        <f>'Grid_TheoreticalStock'!AE3</f>
        <v/>
      </c>
      <c r="AO9" s="18">
        <f>'Grid_TheoreticalStock'!AF3</f>
        <v/>
      </c>
      <c r="AP9" s="18">
        <f>'Grid_TheoreticalStock'!AG3</f>
        <v/>
      </c>
      <c r="AQ9" s="18">
        <f>'Grid_TheoreticalStock'!AH3</f>
        <v/>
      </c>
      <c r="AR9" s="18">
        <f>'Grid_TheoreticalStock'!AI3</f>
        <v/>
      </c>
      <c r="AS9" s="18">
        <f>'Grid_TheoreticalStock'!AJ3</f>
        <v/>
      </c>
      <c r="AT9" s="18">
        <f>'Grid_TheoreticalStock'!AK3</f>
        <v/>
      </c>
      <c r="AU9" s="18">
        <f>'Grid_TheoreticalStock'!AL3</f>
        <v/>
      </c>
      <c r="AV9" s="18">
        <f>'Grid_TheoreticalStock'!AM3</f>
        <v/>
      </c>
      <c r="AW9" s="18">
        <f>'Grid_TheoreticalStock'!AN3</f>
        <v/>
      </c>
      <c r="AX9" s="18">
        <f>'Grid_TheoreticalStock'!AO3</f>
        <v/>
      </c>
      <c r="AY9" s="18">
        <f>'Grid_TheoreticalStock'!AP3</f>
        <v/>
      </c>
      <c r="AZ9" s="18">
        <f>'Grid_TheoreticalStock'!AQ3</f>
        <v/>
      </c>
      <c r="BA9" s="18">
        <f>'Grid_TheoreticalStock'!AR3</f>
        <v/>
      </c>
      <c r="BB9" s="18">
        <f>'Grid_TheoreticalStock'!AS3</f>
        <v/>
      </c>
      <c r="BC9" s="18">
        <f>'Grid_TheoreticalStock'!AT3</f>
        <v/>
      </c>
      <c r="BD9" s="18">
        <f>'Grid_TheoreticalStock'!AU3</f>
        <v/>
      </c>
      <c r="BE9" s="18">
        <f>'Grid_TheoreticalStock'!AV3</f>
        <v/>
      </c>
      <c r="BF9" s="18">
        <f>'Grid_TheoreticalStock'!AW3</f>
        <v/>
      </c>
      <c r="BG9" s="18">
        <f>'Grid_TheoreticalStock'!AX3</f>
        <v/>
      </c>
      <c r="BH9" s="18">
        <f>'Grid_TheoreticalStock'!AY3</f>
        <v/>
      </c>
      <c r="BI9" s="18">
        <f>'Grid_TheoreticalStock'!AZ3</f>
        <v/>
      </c>
      <c r="BJ9" s="18">
        <f>'Grid_TheoreticalStock'!BA3</f>
        <v/>
      </c>
      <c r="BK9" s="18">
        <f>'Grid_TheoreticalStock'!BB3</f>
        <v/>
      </c>
      <c r="BL9" s="18">
        <f>'Grid_TheoreticalStock'!BC3</f>
        <v/>
      </c>
      <c r="BM9" s="18">
        <f>'Grid_TheoreticalStock'!BD3</f>
        <v/>
      </c>
      <c r="BN9" s="18">
        <f>'Grid_TheoreticalStock'!BE3</f>
        <v/>
      </c>
      <c r="BO9" s="18">
        <f>'Grid_TheoreticalStock'!BF3</f>
        <v/>
      </c>
      <c r="BP9" s="18">
        <f>'Grid_TheoreticalStock'!BG3</f>
        <v/>
      </c>
      <c r="BQ9" s="18">
        <f>'Grid_TheoreticalStock'!BH3</f>
        <v/>
      </c>
      <c r="BR9" s="18">
        <f>'Grid_TheoreticalStock'!BI3</f>
        <v/>
      </c>
      <c r="BS9" s="18">
        <f>'Grid_TheoreticalStock'!BJ3</f>
        <v/>
      </c>
      <c r="BT9" s="18">
        <f>'Grid_TheoreticalStock'!BK3</f>
        <v/>
      </c>
      <c r="BU9" s="18">
        <f>'Grid_TheoreticalStock'!BL3</f>
        <v/>
      </c>
      <c r="BV9" s="18">
        <f>'Grid_TheoreticalStock'!BM3</f>
        <v/>
      </c>
      <c r="BW9" s="18">
        <f>'Grid_TheoreticalStock'!BN3</f>
        <v/>
      </c>
      <c r="BX9" s="18">
        <f>'Grid_TheoreticalStock'!BO3</f>
        <v/>
      </c>
      <c r="BY9" s="18">
        <f>'Grid_TheoreticalStock'!BP3</f>
        <v/>
      </c>
      <c r="BZ9" s="18">
        <f>'Grid_TheoreticalStock'!BQ3</f>
        <v/>
      </c>
      <c r="CA9" s="18">
        <f>'Grid_TheoreticalStock'!BR3</f>
        <v/>
      </c>
      <c r="CB9" s="18">
        <f>'Grid_TheoreticalStock'!BS3</f>
        <v/>
      </c>
      <c r="CC9" s="18">
        <f>'Grid_TheoreticalStock'!BT3</f>
        <v/>
      </c>
      <c r="CD9" s="18">
        <f>'Grid_TheoreticalStock'!BU3</f>
        <v/>
      </c>
      <c r="CE9" s="18">
        <f>'Grid_TheoreticalStock'!BV3</f>
        <v/>
      </c>
      <c r="CF9" s="18">
        <f>'Grid_TheoreticalStock'!BW3</f>
        <v/>
      </c>
      <c r="CG9" s="18">
        <f>'Grid_TheoreticalStock'!BX3</f>
        <v/>
      </c>
      <c r="CH9" s="18">
        <f>'Grid_TheoreticalStock'!BY3</f>
        <v/>
      </c>
      <c r="CI9" s="18">
        <f>'Grid_TheoreticalStock'!BZ3</f>
        <v/>
      </c>
      <c r="CJ9" s="18">
        <f>'Grid_TheoreticalStock'!CA3</f>
        <v/>
      </c>
      <c r="CK9" s="18">
        <f>'Grid_TheoreticalStock'!CB3</f>
        <v/>
      </c>
      <c r="CL9" s="18">
        <f>'Grid_TheoreticalStock'!CC3</f>
        <v/>
      </c>
      <c r="CM9" s="18">
        <f>'Grid_TheoreticalStock'!CD3</f>
        <v/>
      </c>
      <c r="CN9" s="18">
        <f>'Grid_TheoreticalStock'!CE3</f>
        <v/>
      </c>
      <c r="CO9" s="18">
        <f>'Grid_TheoreticalStock'!CF3</f>
        <v/>
      </c>
      <c r="CP9" s="18">
        <f>'Grid_TheoreticalStock'!CG3</f>
        <v/>
      </c>
      <c r="CQ9" s="18">
        <f>'Grid_TheoreticalStock'!CH3</f>
        <v/>
      </c>
      <c r="CR9" s="18">
        <f>'Grid_TheoreticalStock'!CI3</f>
        <v/>
      </c>
      <c r="CS9" s="18">
        <f>'Grid_TheoreticalStock'!CJ3</f>
        <v/>
      </c>
      <c r="CT9" s="18">
        <f>'Grid_TheoreticalStock'!CK3</f>
        <v/>
      </c>
      <c r="CU9" s="18">
        <f>'Grid_TheoreticalStock'!CL3</f>
        <v/>
      </c>
      <c r="CV9" s="18">
        <f>'Grid_TheoreticalStock'!CM3</f>
        <v/>
      </c>
      <c r="CW9" s="18">
        <f>'Grid_TheoreticalStock'!CN3</f>
        <v/>
      </c>
      <c r="CX9" s="18">
        <f>'Grid_TheoreticalStock'!CO3</f>
        <v/>
      </c>
      <c r="CY9" s="18">
        <f>'Grid_TheoreticalStock'!CP3</f>
        <v/>
      </c>
      <c r="CZ9" s="18">
        <f>'Grid_TheoreticalStock'!CQ3</f>
        <v/>
      </c>
      <c r="DA9" s="18">
        <f>'Grid_TheoreticalStock'!CR3</f>
        <v/>
      </c>
      <c r="DB9" s="18">
        <f>'Grid_TheoreticalStock'!CS3</f>
        <v/>
      </c>
      <c r="DC9" s="18">
        <f>'Grid_TheoreticalStock'!CT3</f>
        <v/>
      </c>
      <c r="DD9" s="18">
        <f>'Grid_TheoreticalStock'!CU3</f>
        <v/>
      </c>
      <c r="DE9" s="18">
        <f>'Grid_TheoreticalStock'!CV3</f>
        <v/>
      </c>
      <c r="DF9" s="18">
        <f>'Grid_TheoreticalStock'!CW3</f>
        <v/>
      </c>
      <c r="DG9" s="18">
        <f>'Grid_TheoreticalStock'!CX3</f>
        <v/>
      </c>
      <c r="DH9" s="18">
        <f>'Grid_TheoreticalStock'!CY3</f>
        <v/>
      </c>
      <c r="DI9" s="18">
        <f>'Grid_TheoreticalStock'!CZ3</f>
        <v/>
      </c>
      <c r="DJ9" s="18">
        <f>'Grid_TheoreticalStock'!DA3</f>
        <v/>
      </c>
    </row>
    <row r="10">
      <c r="A10" s="19" t="inlineStr">
        <is>
          <t>1EK</t>
        </is>
      </c>
      <c r="B10" s="19">
        <f>IFERROR(INDEX(M_RawMaterials[Description],MATCH($A10,M_RawMaterials[Part Name],0)),"")</f>
        <v/>
      </c>
      <c r="C10" s="19">
        <f>IFERROR(INDEX(M_RawMaterials[Category],MATCH($A10,M_RawMaterials[Part Name],0)),"")</f>
        <v/>
      </c>
      <c r="D10" s="19">
        <f>IFERROR(INDEX(M_RawMaterials[基準在庫下限_要入力],MATCH($A10,M_RawMaterials[Part Name],0)),0)</f>
        <v/>
      </c>
      <c r="E10" s="19">
        <f>IFERROR(INDEX(M_RawMaterials[基準在庫上限_要入力],MATCH($A10,M_RawMaterials[Part Name],0)),0)</f>
        <v/>
      </c>
      <c r="F10" s="19">
        <f>IFERROR(LOOKUP(2,1/('T_SelfStock'!$B$7:$DA$7&lt;&gt;""),'T_SelfStock'!$B$7:$DA$7),"")</f>
        <v/>
      </c>
      <c r="G10" s="19">
        <f>IFERROR(LOOKUP(2,1/('T_TTAFStock'!$B$7:$DA$7&lt;&gt;""),'T_TTAFStock'!$B$7:$DA$7),"")</f>
        <v/>
      </c>
      <c r="H10" s="19">
        <f>IFERROR(LOOKUP(2,1/('T_SelfStock'!$B$7:$DA$7&lt;&gt;""),'T_SelfStock'!$B$5:$DA$5),"")</f>
        <v/>
      </c>
      <c r="I10" s="20" t="inlineStr">
        <is>
          <t>実在庫</t>
        </is>
      </c>
      <c r="J10" s="19">
        <f>IFERROR(INDEX('Grid_Stock'!$A3:$DA3,1,LOOKUP(2,1/('T_SelfStock'!$B$7:$DA$7&lt;&gt;""),COLUMN('T_SelfStock'!$B$7:$DA$7)))-INDEX('Grid_TheoreticalStock'!$A3:$DA3,1,LOOKUP(2,1/('T_SelfStock'!$B$7:$DA$7&lt;&gt;""),COLUMN('T_SelfStock'!$B$7:$DA$7))),0)</f>
        <v/>
      </c>
      <c r="K10" s="19">
        <f>'Grid_Stock'!B3</f>
        <v/>
      </c>
      <c r="L10" s="19">
        <f>'Grid_Stock'!C3</f>
        <v/>
      </c>
      <c r="M10" s="19">
        <f>'Grid_Stock'!D3</f>
        <v/>
      </c>
      <c r="N10" s="19">
        <f>'Grid_Stock'!E3</f>
        <v/>
      </c>
      <c r="O10" s="19">
        <f>'Grid_Stock'!F3</f>
        <v/>
      </c>
      <c r="P10" s="19">
        <f>'Grid_Stock'!G3</f>
        <v/>
      </c>
      <c r="Q10" s="19">
        <f>'Grid_Stock'!H3</f>
        <v/>
      </c>
      <c r="R10" s="19">
        <f>'Grid_Stock'!I3</f>
        <v/>
      </c>
      <c r="S10" s="19">
        <f>'Grid_Stock'!J3</f>
        <v/>
      </c>
      <c r="T10" s="19">
        <f>'Grid_Stock'!K3</f>
        <v/>
      </c>
      <c r="U10" s="19">
        <f>'Grid_Stock'!L3</f>
        <v/>
      </c>
      <c r="V10" s="19">
        <f>'Grid_Stock'!M3</f>
        <v/>
      </c>
      <c r="W10" s="19">
        <f>'Grid_Stock'!N3</f>
        <v/>
      </c>
      <c r="X10" s="19">
        <f>'Grid_Stock'!O3</f>
        <v/>
      </c>
      <c r="Y10" s="19">
        <f>'Grid_Stock'!P3</f>
        <v/>
      </c>
      <c r="Z10" s="19">
        <f>'Grid_Stock'!Q3</f>
        <v/>
      </c>
      <c r="AA10" s="19">
        <f>'Grid_Stock'!R3</f>
        <v/>
      </c>
      <c r="AB10" s="19">
        <f>'Grid_Stock'!S3</f>
        <v/>
      </c>
      <c r="AC10" s="19">
        <f>'Grid_Stock'!T3</f>
        <v/>
      </c>
      <c r="AD10" s="19">
        <f>'Grid_Stock'!U3</f>
        <v/>
      </c>
      <c r="AE10" s="19">
        <f>'Grid_Stock'!V3</f>
        <v/>
      </c>
      <c r="AF10" s="19">
        <f>'Grid_Stock'!W3</f>
        <v/>
      </c>
      <c r="AG10" s="19">
        <f>'Grid_Stock'!X3</f>
        <v/>
      </c>
      <c r="AH10" s="19">
        <f>'Grid_Stock'!Y3</f>
        <v/>
      </c>
      <c r="AI10" s="19">
        <f>'Grid_Stock'!Z3</f>
        <v/>
      </c>
      <c r="AJ10" s="19">
        <f>'Grid_Stock'!AA3</f>
        <v/>
      </c>
      <c r="AK10" s="19">
        <f>'Grid_Stock'!AB3</f>
        <v/>
      </c>
      <c r="AL10" s="19">
        <f>'Grid_Stock'!AC3</f>
        <v/>
      </c>
      <c r="AM10" s="19">
        <f>'Grid_Stock'!AD3</f>
        <v/>
      </c>
      <c r="AN10" s="19">
        <f>'Grid_Stock'!AE3</f>
        <v/>
      </c>
      <c r="AO10" s="19">
        <f>'Grid_Stock'!AF3</f>
        <v/>
      </c>
      <c r="AP10" s="19">
        <f>'Grid_Stock'!AG3</f>
        <v/>
      </c>
      <c r="AQ10" s="19">
        <f>'Grid_Stock'!AH3</f>
        <v/>
      </c>
      <c r="AR10" s="19">
        <f>'Grid_Stock'!AI3</f>
        <v/>
      </c>
      <c r="AS10" s="19">
        <f>'Grid_Stock'!AJ3</f>
        <v/>
      </c>
      <c r="AT10" s="19">
        <f>'Grid_Stock'!AK3</f>
        <v/>
      </c>
      <c r="AU10" s="19">
        <f>'Grid_Stock'!AL3</f>
        <v/>
      </c>
      <c r="AV10" s="19">
        <f>'Grid_Stock'!AM3</f>
        <v/>
      </c>
      <c r="AW10" s="19">
        <f>'Grid_Stock'!AN3</f>
        <v/>
      </c>
      <c r="AX10" s="19">
        <f>'Grid_Stock'!AO3</f>
        <v/>
      </c>
      <c r="AY10" s="19">
        <f>'Grid_Stock'!AP3</f>
        <v/>
      </c>
      <c r="AZ10" s="19">
        <f>'Grid_Stock'!AQ3</f>
        <v/>
      </c>
      <c r="BA10" s="19">
        <f>'Grid_Stock'!AR3</f>
        <v/>
      </c>
      <c r="BB10" s="19">
        <f>'Grid_Stock'!AS3</f>
        <v/>
      </c>
      <c r="BC10" s="19">
        <f>'Grid_Stock'!AT3</f>
        <v/>
      </c>
      <c r="BD10" s="19">
        <f>'Grid_Stock'!AU3</f>
        <v/>
      </c>
      <c r="BE10" s="19">
        <f>'Grid_Stock'!AV3</f>
        <v/>
      </c>
      <c r="BF10" s="19">
        <f>'Grid_Stock'!AW3</f>
        <v/>
      </c>
      <c r="BG10" s="19">
        <f>'Grid_Stock'!AX3</f>
        <v/>
      </c>
      <c r="BH10" s="19">
        <f>'Grid_Stock'!AY3</f>
        <v/>
      </c>
      <c r="BI10" s="19">
        <f>'Grid_Stock'!AZ3</f>
        <v/>
      </c>
      <c r="BJ10" s="19">
        <f>'Grid_Stock'!BA3</f>
        <v/>
      </c>
      <c r="BK10" s="19">
        <f>'Grid_Stock'!BB3</f>
        <v/>
      </c>
      <c r="BL10" s="19">
        <f>'Grid_Stock'!BC3</f>
        <v/>
      </c>
      <c r="BM10" s="19">
        <f>'Grid_Stock'!BD3</f>
        <v/>
      </c>
      <c r="BN10" s="19">
        <f>'Grid_Stock'!BE3</f>
        <v/>
      </c>
      <c r="BO10" s="19">
        <f>'Grid_Stock'!BF3</f>
        <v/>
      </c>
      <c r="BP10" s="19">
        <f>'Grid_Stock'!BG3</f>
        <v/>
      </c>
      <c r="BQ10" s="19">
        <f>'Grid_Stock'!BH3</f>
        <v/>
      </c>
      <c r="BR10" s="19">
        <f>'Grid_Stock'!BI3</f>
        <v/>
      </c>
      <c r="BS10" s="19">
        <f>'Grid_Stock'!BJ3</f>
        <v/>
      </c>
      <c r="BT10" s="19">
        <f>'Grid_Stock'!BK3</f>
        <v/>
      </c>
      <c r="BU10" s="19">
        <f>'Grid_Stock'!BL3</f>
        <v/>
      </c>
      <c r="BV10" s="19">
        <f>'Grid_Stock'!BM3</f>
        <v/>
      </c>
      <c r="BW10" s="19">
        <f>'Grid_Stock'!BN3</f>
        <v/>
      </c>
      <c r="BX10" s="19">
        <f>'Grid_Stock'!BO3</f>
        <v/>
      </c>
      <c r="BY10" s="19">
        <f>'Grid_Stock'!BP3</f>
        <v/>
      </c>
      <c r="BZ10" s="19">
        <f>'Grid_Stock'!BQ3</f>
        <v/>
      </c>
      <c r="CA10" s="19">
        <f>'Grid_Stock'!BR3</f>
        <v/>
      </c>
      <c r="CB10" s="19">
        <f>'Grid_Stock'!BS3</f>
        <v/>
      </c>
      <c r="CC10" s="19">
        <f>'Grid_Stock'!BT3</f>
        <v/>
      </c>
      <c r="CD10" s="19">
        <f>'Grid_Stock'!BU3</f>
        <v/>
      </c>
      <c r="CE10" s="19">
        <f>'Grid_Stock'!BV3</f>
        <v/>
      </c>
      <c r="CF10" s="19">
        <f>'Grid_Stock'!BW3</f>
        <v/>
      </c>
      <c r="CG10" s="19">
        <f>'Grid_Stock'!BX3</f>
        <v/>
      </c>
      <c r="CH10" s="19">
        <f>'Grid_Stock'!BY3</f>
        <v/>
      </c>
      <c r="CI10" s="19">
        <f>'Grid_Stock'!BZ3</f>
        <v/>
      </c>
      <c r="CJ10" s="19">
        <f>'Grid_Stock'!CA3</f>
        <v/>
      </c>
      <c r="CK10" s="19">
        <f>'Grid_Stock'!CB3</f>
        <v/>
      </c>
      <c r="CL10" s="19">
        <f>'Grid_Stock'!CC3</f>
        <v/>
      </c>
      <c r="CM10" s="19">
        <f>'Grid_Stock'!CD3</f>
        <v/>
      </c>
      <c r="CN10" s="19">
        <f>'Grid_Stock'!CE3</f>
        <v/>
      </c>
      <c r="CO10" s="19">
        <f>'Grid_Stock'!CF3</f>
        <v/>
      </c>
      <c r="CP10" s="19">
        <f>'Grid_Stock'!CG3</f>
        <v/>
      </c>
      <c r="CQ10" s="19">
        <f>'Grid_Stock'!CH3</f>
        <v/>
      </c>
      <c r="CR10" s="19">
        <f>'Grid_Stock'!CI3</f>
        <v/>
      </c>
      <c r="CS10" s="19">
        <f>'Grid_Stock'!CJ3</f>
        <v/>
      </c>
      <c r="CT10" s="19">
        <f>'Grid_Stock'!CK3</f>
        <v/>
      </c>
      <c r="CU10" s="19">
        <f>'Grid_Stock'!CL3</f>
        <v/>
      </c>
      <c r="CV10" s="19">
        <f>'Grid_Stock'!CM3</f>
        <v/>
      </c>
      <c r="CW10" s="19">
        <f>'Grid_Stock'!CN3</f>
        <v/>
      </c>
      <c r="CX10" s="19">
        <f>'Grid_Stock'!CO3</f>
        <v/>
      </c>
      <c r="CY10" s="19">
        <f>'Grid_Stock'!CP3</f>
        <v/>
      </c>
      <c r="CZ10" s="19">
        <f>'Grid_Stock'!CQ3</f>
        <v/>
      </c>
      <c r="DA10" s="19">
        <f>'Grid_Stock'!CR3</f>
        <v/>
      </c>
      <c r="DB10" s="19">
        <f>'Grid_Stock'!CS3</f>
        <v/>
      </c>
      <c r="DC10" s="19">
        <f>'Grid_Stock'!CT3</f>
        <v/>
      </c>
      <c r="DD10" s="19">
        <f>'Grid_Stock'!CU3</f>
        <v/>
      </c>
      <c r="DE10" s="19">
        <f>'Grid_Stock'!CV3</f>
        <v/>
      </c>
      <c r="DF10" s="19">
        <f>'Grid_Stock'!CW3</f>
        <v/>
      </c>
      <c r="DG10" s="19">
        <f>'Grid_Stock'!CX3</f>
        <v/>
      </c>
      <c r="DH10" s="19">
        <f>'Grid_Stock'!CY3</f>
        <v/>
      </c>
      <c r="DI10" s="19">
        <f>'Grid_Stock'!CZ3</f>
        <v/>
      </c>
      <c r="DJ10" s="19">
        <f>'Grid_Stock'!DA3</f>
        <v/>
      </c>
    </row>
    <row r="11">
      <c r="A11" s="17" t="inlineStr">
        <is>
          <t>4HL</t>
        </is>
      </c>
      <c r="B11" s="17">
        <f>IFERROR(INDEX(M_RawMaterials[Description],MATCH($A11,M_RawMaterials[Part Name],0)),"")</f>
        <v/>
      </c>
      <c r="C11" s="17">
        <f>IFERROR(INDEX(M_RawMaterials[Category],MATCH($A11,M_RawMaterials[Part Name],0)),"")</f>
        <v/>
      </c>
      <c r="D11" s="17">
        <f>IFERROR(INDEX(M_RawMaterials[基準在庫下限_要入力],MATCH($A11,M_RawMaterials[Part Name],0)),0)</f>
        <v/>
      </c>
      <c r="E11" s="17">
        <f>IFERROR(INDEX(M_RawMaterials[基準在庫上限_要入力],MATCH($A11,M_RawMaterials[Part Name],0)),0)</f>
        <v/>
      </c>
      <c r="F11" s="17">
        <f>IFERROR(LOOKUP(2,1/('T_SelfStock'!$B$8:$DA$8&lt;&gt;""),'T_SelfStock'!$B$8:$DA$8),"")</f>
        <v/>
      </c>
      <c r="G11" s="17">
        <f>IFERROR(LOOKUP(2,1/('T_TTAFStock'!$B$8:$DA$8&lt;&gt;""),'T_TTAFStock'!$B$8:$DA$8),"")</f>
        <v/>
      </c>
      <c r="H11" s="17">
        <f>IFERROR(LOOKUP(2,1/('T_SelfStock'!$B$8:$DA$8&lt;&gt;""),'T_SelfStock'!$B$5:$DA$5),"")</f>
        <v/>
      </c>
      <c r="I11" s="18" t="inlineStr">
        <is>
          <t>理論在庫</t>
        </is>
      </c>
      <c r="J11" s="17">
        <f>IFERROR(INDEX('Grid_Stock'!$A4:$DA4,1,LOOKUP(2,1/('T_SelfStock'!$B$8:$DA$8&lt;&gt;""),COLUMN('T_SelfStock'!$B$8:$DA$8)))-INDEX('Grid_TheoreticalStock'!$A4:$DA4,1,LOOKUP(2,1/('T_SelfStock'!$B$8:$DA$8&lt;&gt;""),COLUMN('T_SelfStock'!$B$8:$DA$8))),0)</f>
        <v/>
      </c>
      <c r="K11" s="18">
        <f>'Grid_TheoreticalStock'!B4</f>
        <v/>
      </c>
      <c r="L11" s="18">
        <f>'Grid_TheoreticalStock'!C4</f>
        <v/>
      </c>
      <c r="M11" s="18">
        <f>'Grid_TheoreticalStock'!D4</f>
        <v/>
      </c>
      <c r="N11" s="18">
        <f>'Grid_TheoreticalStock'!E4</f>
        <v/>
      </c>
      <c r="O11" s="18">
        <f>'Grid_TheoreticalStock'!F4</f>
        <v/>
      </c>
      <c r="P11" s="18">
        <f>'Grid_TheoreticalStock'!G4</f>
        <v/>
      </c>
      <c r="Q11" s="18">
        <f>'Grid_TheoreticalStock'!H4</f>
        <v/>
      </c>
      <c r="R11" s="18">
        <f>'Grid_TheoreticalStock'!I4</f>
        <v/>
      </c>
      <c r="S11" s="18">
        <f>'Grid_TheoreticalStock'!J4</f>
        <v/>
      </c>
      <c r="T11" s="18">
        <f>'Grid_TheoreticalStock'!K4</f>
        <v/>
      </c>
      <c r="U11" s="18">
        <f>'Grid_TheoreticalStock'!L4</f>
        <v/>
      </c>
      <c r="V11" s="18">
        <f>'Grid_TheoreticalStock'!M4</f>
        <v/>
      </c>
      <c r="W11" s="18">
        <f>'Grid_TheoreticalStock'!N4</f>
        <v/>
      </c>
      <c r="X11" s="18">
        <f>'Grid_TheoreticalStock'!O4</f>
        <v/>
      </c>
      <c r="Y11" s="18">
        <f>'Grid_TheoreticalStock'!P4</f>
        <v/>
      </c>
      <c r="Z11" s="18">
        <f>'Grid_TheoreticalStock'!Q4</f>
        <v/>
      </c>
      <c r="AA11" s="18">
        <f>'Grid_TheoreticalStock'!R4</f>
        <v/>
      </c>
      <c r="AB11" s="18">
        <f>'Grid_TheoreticalStock'!S4</f>
        <v/>
      </c>
      <c r="AC11" s="18">
        <f>'Grid_TheoreticalStock'!T4</f>
        <v/>
      </c>
      <c r="AD11" s="18">
        <f>'Grid_TheoreticalStock'!U4</f>
        <v/>
      </c>
      <c r="AE11" s="18">
        <f>'Grid_TheoreticalStock'!V4</f>
        <v/>
      </c>
      <c r="AF11" s="18">
        <f>'Grid_TheoreticalStock'!W4</f>
        <v/>
      </c>
      <c r="AG11" s="18">
        <f>'Grid_TheoreticalStock'!X4</f>
        <v/>
      </c>
      <c r="AH11" s="18">
        <f>'Grid_TheoreticalStock'!Y4</f>
        <v/>
      </c>
      <c r="AI11" s="18">
        <f>'Grid_TheoreticalStock'!Z4</f>
        <v/>
      </c>
      <c r="AJ11" s="18">
        <f>'Grid_TheoreticalStock'!AA4</f>
        <v/>
      </c>
      <c r="AK11" s="18">
        <f>'Grid_TheoreticalStock'!AB4</f>
        <v/>
      </c>
      <c r="AL11" s="18">
        <f>'Grid_TheoreticalStock'!AC4</f>
        <v/>
      </c>
      <c r="AM11" s="18">
        <f>'Grid_TheoreticalStock'!AD4</f>
        <v/>
      </c>
      <c r="AN11" s="18">
        <f>'Grid_TheoreticalStock'!AE4</f>
        <v/>
      </c>
      <c r="AO11" s="18">
        <f>'Grid_TheoreticalStock'!AF4</f>
        <v/>
      </c>
      <c r="AP11" s="18">
        <f>'Grid_TheoreticalStock'!AG4</f>
        <v/>
      </c>
      <c r="AQ11" s="18">
        <f>'Grid_TheoreticalStock'!AH4</f>
        <v/>
      </c>
      <c r="AR11" s="18">
        <f>'Grid_TheoreticalStock'!AI4</f>
        <v/>
      </c>
      <c r="AS11" s="18">
        <f>'Grid_TheoreticalStock'!AJ4</f>
        <v/>
      </c>
      <c r="AT11" s="18">
        <f>'Grid_TheoreticalStock'!AK4</f>
        <v/>
      </c>
      <c r="AU11" s="18">
        <f>'Grid_TheoreticalStock'!AL4</f>
        <v/>
      </c>
      <c r="AV11" s="18">
        <f>'Grid_TheoreticalStock'!AM4</f>
        <v/>
      </c>
      <c r="AW11" s="18">
        <f>'Grid_TheoreticalStock'!AN4</f>
        <v/>
      </c>
      <c r="AX11" s="18">
        <f>'Grid_TheoreticalStock'!AO4</f>
        <v/>
      </c>
      <c r="AY11" s="18">
        <f>'Grid_TheoreticalStock'!AP4</f>
        <v/>
      </c>
      <c r="AZ11" s="18">
        <f>'Grid_TheoreticalStock'!AQ4</f>
        <v/>
      </c>
      <c r="BA11" s="18">
        <f>'Grid_TheoreticalStock'!AR4</f>
        <v/>
      </c>
      <c r="BB11" s="18">
        <f>'Grid_TheoreticalStock'!AS4</f>
        <v/>
      </c>
      <c r="BC11" s="18">
        <f>'Grid_TheoreticalStock'!AT4</f>
        <v/>
      </c>
      <c r="BD11" s="18">
        <f>'Grid_TheoreticalStock'!AU4</f>
        <v/>
      </c>
      <c r="BE11" s="18">
        <f>'Grid_TheoreticalStock'!AV4</f>
        <v/>
      </c>
      <c r="BF11" s="18">
        <f>'Grid_TheoreticalStock'!AW4</f>
        <v/>
      </c>
      <c r="BG11" s="18">
        <f>'Grid_TheoreticalStock'!AX4</f>
        <v/>
      </c>
      <c r="BH11" s="18">
        <f>'Grid_TheoreticalStock'!AY4</f>
        <v/>
      </c>
      <c r="BI11" s="18">
        <f>'Grid_TheoreticalStock'!AZ4</f>
        <v/>
      </c>
      <c r="BJ11" s="18">
        <f>'Grid_TheoreticalStock'!BA4</f>
        <v/>
      </c>
      <c r="BK11" s="18">
        <f>'Grid_TheoreticalStock'!BB4</f>
        <v/>
      </c>
      <c r="BL11" s="18">
        <f>'Grid_TheoreticalStock'!BC4</f>
        <v/>
      </c>
      <c r="BM11" s="18">
        <f>'Grid_TheoreticalStock'!BD4</f>
        <v/>
      </c>
      <c r="BN11" s="18">
        <f>'Grid_TheoreticalStock'!BE4</f>
        <v/>
      </c>
      <c r="BO11" s="18">
        <f>'Grid_TheoreticalStock'!BF4</f>
        <v/>
      </c>
      <c r="BP11" s="18">
        <f>'Grid_TheoreticalStock'!BG4</f>
        <v/>
      </c>
      <c r="BQ11" s="18">
        <f>'Grid_TheoreticalStock'!BH4</f>
        <v/>
      </c>
      <c r="BR11" s="18">
        <f>'Grid_TheoreticalStock'!BI4</f>
        <v/>
      </c>
      <c r="BS11" s="18">
        <f>'Grid_TheoreticalStock'!BJ4</f>
        <v/>
      </c>
      <c r="BT11" s="18">
        <f>'Grid_TheoreticalStock'!BK4</f>
        <v/>
      </c>
      <c r="BU11" s="18">
        <f>'Grid_TheoreticalStock'!BL4</f>
        <v/>
      </c>
      <c r="BV11" s="18">
        <f>'Grid_TheoreticalStock'!BM4</f>
        <v/>
      </c>
      <c r="BW11" s="18">
        <f>'Grid_TheoreticalStock'!BN4</f>
        <v/>
      </c>
      <c r="BX11" s="18">
        <f>'Grid_TheoreticalStock'!BO4</f>
        <v/>
      </c>
      <c r="BY11" s="18">
        <f>'Grid_TheoreticalStock'!BP4</f>
        <v/>
      </c>
      <c r="BZ11" s="18">
        <f>'Grid_TheoreticalStock'!BQ4</f>
        <v/>
      </c>
      <c r="CA11" s="18">
        <f>'Grid_TheoreticalStock'!BR4</f>
        <v/>
      </c>
      <c r="CB11" s="18">
        <f>'Grid_TheoreticalStock'!BS4</f>
        <v/>
      </c>
      <c r="CC11" s="18">
        <f>'Grid_TheoreticalStock'!BT4</f>
        <v/>
      </c>
      <c r="CD11" s="18">
        <f>'Grid_TheoreticalStock'!BU4</f>
        <v/>
      </c>
      <c r="CE11" s="18">
        <f>'Grid_TheoreticalStock'!BV4</f>
        <v/>
      </c>
      <c r="CF11" s="18">
        <f>'Grid_TheoreticalStock'!BW4</f>
        <v/>
      </c>
      <c r="CG11" s="18">
        <f>'Grid_TheoreticalStock'!BX4</f>
        <v/>
      </c>
      <c r="CH11" s="18">
        <f>'Grid_TheoreticalStock'!BY4</f>
        <v/>
      </c>
      <c r="CI11" s="18">
        <f>'Grid_TheoreticalStock'!BZ4</f>
        <v/>
      </c>
      <c r="CJ11" s="18">
        <f>'Grid_TheoreticalStock'!CA4</f>
        <v/>
      </c>
      <c r="CK11" s="18">
        <f>'Grid_TheoreticalStock'!CB4</f>
        <v/>
      </c>
      <c r="CL11" s="18">
        <f>'Grid_TheoreticalStock'!CC4</f>
        <v/>
      </c>
      <c r="CM11" s="18">
        <f>'Grid_TheoreticalStock'!CD4</f>
        <v/>
      </c>
      <c r="CN11" s="18">
        <f>'Grid_TheoreticalStock'!CE4</f>
        <v/>
      </c>
      <c r="CO11" s="18">
        <f>'Grid_TheoreticalStock'!CF4</f>
        <v/>
      </c>
      <c r="CP11" s="18">
        <f>'Grid_TheoreticalStock'!CG4</f>
        <v/>
      </c>
      <c r="CQ11" s="18">
        <f>'Grid_TheoreticalStock'!CH4</f>
        <v/>
      </c>
      <c r="CR11" s="18">
        <f>'Grid_TheoreticalStock'!CI4</f>
        <v/>
      </c>
      <c r="CS11" s="18">
        <f>'Grid_TheoreticalStock'!CJ4</f>
        <v/>
      </c>
      <c r="CT11" s="18">
        <f>'Grid_TheoreticalStock'!CK4</f>
        <v/>
      </c>
      <c r="CU11" s="18">
        <f>'Grid_TheoreticalStock'!CL4</f>
        <v/>
      </c>
      <c r="CV11" s="18">
        <f>'Grid_TheoreticalStock'!CM4</f>
        <v/>
      </c>
      <c r="CW11" s="18">
        <f>'Grid_TheoreticalStock'!CN4</f>
        <v/>
      </c>
      <c r="CX11" s="18">
        <f>'Grid_TheoreticalStock'!CO4</f>
        <v/>
      </c>
      <c r="CY11" s="18">
        <f>'Grid_TheoreticalStock'!CP4</f>
        <v/>
      </c>
      <c r="CZ11" s="18">
        <f>'Grid_TheoreticalStock'!CQ4</f>
        <v/>
      </c>
      <c r="DA11" s="18">
        <f>'Grid_TheoreticalStock'!CR4</f>
        <v/>
      </c>
      <c r="DB11" s="18">
        <f>'Grid_TheoreticalStock'!CS4</f>
        <v/>
      </c>
      <c r="DC11" s="18">
        <f>'Grid_TheoreticalStock'!CT4</f>
        <v/>
      </c>
      <c r="DD11" s="18">
        <f>'Grid_TheoreticalStock'!CU4</f>
        <v/>
      </c>
      <c r="DE11" s="18">
        <f>'Grid_TheoreticalStock'!CV4</f>
        <v/>
      </c>
      <c r="DF11" s="18">
        <f>'Grid_TheoreticalStock'!CW4</f>
        <v/>
      </c>
      <c r="DG11" s="18">
        <f>'Grid_TheoreticalStock'!CX4</f>
        <v/>
      </c>
      <c r="DH11" s="18">
        <f>'Grid_TheoreticalStock'!CY4</f>
        <v/>
      </c>
      <c r="DI11" s="18">
        <f>'Grid_TheoreticalStock'!CZ4</f>
        <v/>
      </c>
      <c r="DJ11" s="18">
        <f>'Grid_TheoreticalStock'!DA4</f>
        <v/>
      </c>
    </row>
    <row r="12">
      <c r="A12" s="19" t="inlineStr">
        <is>
          <t>4HL</t>
        </is>
      </c>
      <c r="B12" s="19">
        <f>IFERROR(INDEX(M_RawMaterials[Description],MATCH($A12,M_RawMaterials[Part Name],0)),"")</f>
        <v/>
      </c>
      <c r="C12" s="19">
        <f>IFERROR(INDEX(M_RawMaterials[Category],MATCH($A12,M_RawMaterials[Part Name],0)),"")</f>
        <v/>
      </c>
      <c r="D12" s="19">
        <f>IFERROR(INDEX(M_RawMaterials[基準在庫下限_要入力],MATCH($A12,M_RawMaterials[Part Name],0)),0)</f>
        <v/>
      </c>
      <c r="E12" s="19">
        <f>IFERROR(INDEX(M_RawMaterials[基準在庫上限_要入力],MATCH($A12,M_RawMaterials[Part Name],0)),0)</f>
        <v/>
      </c>
      <c r="F12" s="19">
        <f>IFERROR(LOOKUP(2,1/('T_SelfStock'!$B$8:$DA$8&lt;&gt;""),'T_SelfStock'!$B$8:$DA$8),"")</f>
        <v/>
      </c>
      <c r="G12" s="19">
        <f>IFERROR(LOOKUP(2,1/('T_TTAFStock'!$B$8:$DA$8&lt;&gt;""),'T_TTAFStock'!$B$8:$DA$8),"")</f>
        <v/>
      </c>
      <c r="H12" s="19">
        <f>IFERROR(LOOKUP(2,1/('T_SelfStock'!$B$8:$DA$8&lt;&gt;""),'T_SelfStock'!$B$5:$DA$5),"")</f>
        <v/>
      </c>
      <c r="I12" s="20" t="inlineStr">
        <is>
          <t>実在庫</t>
        </is>
      </c>
      <c r="J12" s="19">
        <f>IFERROR(INDEX('Grid_Stock'!$A4:$DA4,1,LOOKUP(2,1/('T_SelfStock'!$B$8:$DA$8&lt;&gt;""),COLUMN('T_SelfStock'!$B$8:$DA$8)))-INDEX('Grid_TheoreticalStock'!$A4:$DA4,1,LOOKUP(2,1/('T_SelfStock'!$B$8:$DA$8&lt;&gt;""),COLUMN('T_SelfStock'!$B$8:$DA$8))),0)</f>
        <v/>
      </c>
      <c r="K12" s="19">
        <f>'Grid_Stock'!B4</f>
        <v/>
      </c>
      <c r="L12" s="19">
        <f>'Grid_Stock'!C4</f>
        <v/>
      </c>
      <c r="M12" s="19">
        <f>'Grid_Stock'!D4</f>
        <v/>
      </c>
      <c r="N12" s="19">
        <f>'Grid_Stock'!E4</f>
        <v/>
      </c>
      <c r="O12" s="19">
        <f>'Grid_Stock'!F4</f>
        <v/>
      </c>
      <c r="P12" s="19">
        <f>'Grid_Stock'!G4</f>
        <v/>
      </c>
      <c r="Q12" s="19">
        <f>'Grid_Stock'!H4</f>
        <v/>
      </c>
      <c r="R12" s="19">
        <f>'Grid_Stock'!I4</f>
        <v/>
      </c>
      <c r="S12" s="19">
        <f>'Grid_Stock'!J4</f>
        <v/>
      </c>
      <c r="T12" s="19">
        <f>'Grid_Stock'!K4</f>
        <v/>
      </c>
      <c r="U12" s="19">
        <f>'Grid_Stock'!L4</f>
        <v/>
      </c>
      <c r="V12" s="19">
        <f>'Grid_Stock'!M4</f>
        <v/>
      </c>
      <c r="W12" s="19">
        <f>'Grid_Stock'!N4</f>
        <v/>
      </c>
      <c r="X12" s="19">
        <f>'Grid_Stock'!O4</f>
        <v/>
      </c>
      <c r="Y12" s="19">
        <f>'Grid_Stock'!P4</f>
        <v/>
      </c>
      <c r="Z12" s="19">
        <f>'Grid_Stock'!Q4</f>
        <v/>
      </c>
      <c r="AA12" s="19">
        <f>'Grid_Stock'!R4</f>
        <v/>
      </c>
      <c r="AB12" s="19">
        <f>'Grid_Stock'!S4</f>
        <v/>
      </c>
      <c r="AC12" s="19">
        <f>'Grid_Stock'!T4</f>
        <v/>
      </c>
      <c r="AD12" s="19">
        <f>'Grid_Stock'!U4</f>
        <v/>
      </c>
      <c r="AE12" s="19">
        <f>'Grid_Stock'!V4</f>
        <v/>
      </c>
      <c r="AF12" s="19">
        <f>'Grid_Stock'!W4</f>
        <v/>
      </c>
      <c r="AG12" s="19">
        <f>'Grid_Stock'!X4</f>
        <v/>
      </c>
      <c r="AH12" s="19">
        <f>'Grid_Stock'!Y4</f>
        <v/>
      </c>
      <c r="AI12" s="19">
        <f>'Grid_Stock'!Z4</f>
        <v/>
      </c>
      <c r="AJ12" s="19">
        <f>'Grid_Stock'!AA4</f>
        <v/>
      </c>
      <c r="AK12" s="19">
        <f>'Grid_Stock'!AB4</f>
        <v/>
      </c>
      <c r="AL12" s="19">
        <f>'Grid_Stock'!AC4</f>
        <v/>
      </c>
      <c r="AM12" s="19">
        <f>'Grid_Stock'!AD4</f>
        <v/>
      </c>
      <c r="AN12" s="19">
        <f>'Grid_Stock'!AE4</f>
        <v/>
      </c>
      <c r="AO12" s="19">
        <f>'Grid_Stock'!AF4</f>
        <v/>
      </c>
      <c r="AP12" s="19">
        <f>'Grid_Stock'!AG4</f>
        <v/>
      </c>
      <c r="AQ12" s="19">
        <f>'Grid_Stock'!AH4</f>
        <v/>
      </c>
      <c r="AR12" s="19">
        <f>'Grid_Stock'!AI4</f>
        <v/>
      </c>
      <c r="AS12" s="19">
        <f>'Grid_Stock'!AJ4</f>
        <v/>
      </c>
      <c r="AT12" s="19">
        <f>'Grid_Stock'!AK4</f>
        <v/>
      </c>
      <c r="AU12" s="19">
        <f>'Grid_Stock'!AL4</f>
        <v/>
      </c>
      <c r="AV12" s="19">
        <f>'Grid_Stock'!AM4</f>
        <v/>
      </c>
      <c r="AW12" s="19">
        <f>'Grid_Stock'!AN4</f>
        <v/>
      </c>
      <c r="AX12" s="19">
        <f>'Grid_Stock'!AO4</f>
        <v/>
      </c>
      <c r="AY12" s="19">
        <f>'Grid_Stock'!AP4</f>
        <v/>
      </c>
      <c r="AZ12" s="19">
        <f>'Grid_Stock'!AQ4</f>
        <v/>
      </c>
      <c r="BA12" s="19">
        <f>'Grid_Stock'!AR4</f>
        <v/>
      </c>
      <c r="BB12" s="19">
        <f>'Grid_Stock'!AS4</f>
        <v/>
      </c>
      <c r="BC12" s="19">
        <f>'Grid_Stock'!AT4</f>
        <v/>
      </c>
      <c r="BD12" s="19">
        <f>'Grid_Stock'!AU4</f>
        <v/>
      </c>
      <c r="BE12" s="19">
        <f>'Grid_Stock'!AV4</f>
        <v/>
      </c>
      <c r="BF12" s="19">
        <f>'Grid_Stock'!AW4</f>
        <v/>
      </c>
      <c r="BG12" s="19">
        <f>'Grid_Stock'!AX4</f>
        <v/>
      </c>
      <c r="BH12" s="19">
        <f>'Grid_Stock'!AY4</f>
        <v/>
      </c>
      <c r="BI12" s="19">
        <f>'Grid_Stock'!AZ4</f>
        <v/>
      </c>
      <c r="BJ12" s="19">
        <f>'Grid_Stock'!BA4</f>
        <v/>
      </c>
      <c r="BK12" s="19">
        <f>'Grid_Stock'!BB4</f>
        <v/>
      </c>
      <c r="BL12" s="19">
        <f>'Grid_Stock'!BC4</f>
        <v/>
      </c>
      <c r="BM12" s="19">
        <f>'Grid_Stock'!BD4</f>
        <v/>
      </c>
      <c r="BN12" s="19">
        <f>'Grid_Stock'!BE4</f>
        <v/>
      </c>
      <c r="BO12" s="19">
        <f>'Grid_Stock'!BF4</f>
        <v/>
      </c>
      <c r="BP12" s="19">
        <f>'Grid_Stock'!BG4</f>
        <v/>
      </c>
      <c r="BQ12" s="19">
        <f>'Grid_Stock'!BH4</f>
        <v/>
      </c>
      <c r="BR12" s="19">
        <f>'Grid_Stock'!BI4</f>
        <v/>
      </c>
      <c r="BS12" s="19">
        <f>'Grid_Stock'!BJ4</f>
        <v/>
      </c>
      <c r="BT12" s="19">
        <f>'Grid_Stock'!BK4</f>
        <v/>
      </c>
      <c r="BU12" s="19">
        <f>'Grid_Stock'!BL4</f>
        <v/>
      </c>
      <c r="BV12" s="19">
        <f>'Grid_Stock'!BM4</f>
        <v/>
      </c>
      <c r="BW12" s="19">
        <f>'Grid_Stock'!BN4</f>
        <v/>
      </c>
      <c r="BX12" s="19">
        <f>'Grid_Stock'!BO4</f>
        <v/>
      </c>
      <c r="BY12" s="19">
        <f>'Grid_Stock'!BP4</f>
        <v/>
      </c>
      <c r="BZ12" s="19">
        <f>'Grid_Stock'!BQ4</f>
        <v/>
      </c>
      <c r="CA12" s="19">
        <f>'Grid_Stock'!BR4</f>
        <v/>
      </c>
      <c r="CB12" s="19">
        <f>'Grid_Stock'!BS4</f>
        <v/>
      </c>
      <c r="CC12" s="19">
        <f>'Grid_Stock'!BT4</f>
        <v/>
      </c>
      <c r="CD12" s="19">
        <f>'Grid_Stock'!BU4</f>
        <v/>
      </c>
      <c r="CE12" s="19">
        <f>'Grid_Stock'!BV4</f>
        <v/>
      </c>
      <c r="CF12" s="19">
        <f>'Grid_Stock'!BW4</f>
        <v/>
      </c>
      <c r="CG12" s="19">
        <f>'Grid_Stock'!BX4</f>
        <v/>
      </c>
      <c r="CH12" s="19">
        <f>'Grid_Stock'!BY4</f>
        <v/>
      </c>
      <c r="CI12" s="19">
        <f>'Grid_Stock'!BZ4</f>
        <v/>
      </c>
      <c r="CJ12" s="19">
        <f>'Grid_Stock'!CA4</f>
        <v/>
      </c>
      <c r="CK12" s="19">
        <f>'Grid_Stock'!CB4</f>
        <v/>
      </c>
      <c r="CL12" s="19">
        <f>'Grid_Stock'!CC4</f>
        <v/>
      </c>
      <c r="CM12" s="19">
        <f>'Grid_Stock'!CD4</f>
        <v/>
      </c>
      <c r="CN12" s="19">
        <f>'Grid_Stock'!CE4</f>
        <v/>
      </c>
      <c r="CO12" s="19">
        <f>'Grid_Stock'!CF4</f>
        <v/>
      </c>
      <c r="CP12" s="19">
        <f>'Grid_Stock'!CG4</f>
        <v/>
      </c>
      <c r="CQ12" s="19">
        <f>'Grid_Stock'!CH4</f>
        <v/>
      </c>
      <c r="CR12" s="19">
        <f>'Grid_Stock'!CI4</f>
        <v/>
      </c>
      <c r="CS12" s="19">
        <f>'Grid_Stock'!CJ4</f>
        <v/>
      </c>
      <c r="CT12" s="19">
        <f>'Grid_Stock'!CK4</f>
        <v/>
      </c>
      <c r="CU12" s="19">
        <f>'Grid_Stock'!CL4</f>
        <v/>
      </c>
      <c r="CV12" s="19">
        <f>'Grid_Stock'!CM4</f>
        <v/>
      </c>
      <c r="CW12" s="19">
        <f>'Grid_Stock'!CN4</f>
        <v/>
      </c>
      <c r="CX12" s="19">
        <f>'Grid_Stock'!CO4</f>
        <v/>
      </c>
      <c r="CY12" s="19">
        <f>'Grid_Stock'!CP4</f>
        <v/>
      </c>
      <c r="CZ12" s="19">
        <f>'Grid_Stock'!CQ4</f>
        <v/>
      </c>
      <c r="DA12" s="19">
        <f>'Grid_Stock'!CR4</f>
        <v/>
      </c>
      <c r="DB12" s="19">
        <f>'Grid_Stock'!CS4</f>
        <v/>
      </c>
      <c r="DC12" s="19">
        <f>'Grid_Stock'!CT4</f>
        <v/>
      </c>
      <c r="DD12" s="19">
        <f>'Grid_Stock'!CU4</f>
        <v/>
      </c>
      <c r="DE12" s="19">
        <f>'Grid_Stock'!CV4</f>
        <v/>
      </c>
      <c r="DF12" s="19">
        <f>'Grid_Stock'!CW4</f>
        <v/>
      </c>
      <c r="DG12" s="19">
        <f>'Grid_Stock'!CX4</f>
        <v/>
      </c>
      <c r="DH12" s="19">
        <f>'Grid_Stock'!CY4</f>
        <v/>
      </c>
      <c r="DI12" s="19">
        <f>'Grid_Stock'!CZ4</f>
        <v/>
      </c>
      <c r="DJ12" s="19">
        <f>'Grid_Stock'!DA4</f>
        <v/>
      </c>
    </row>
    <row r="13">
      <c r="A13" s="17" t="inlineStr">
        <is>
          <t>9RN</t>
        </is>
      </c>
      <c r="B13" s="17">
        <f>IFERROR(INDEX(M_RawMaterials[Description],MATCH($A13,M_RawMaterials[Part Name],0)),"")</f>
        <v/>
      </c>
      <c r="C13" s="17">
        <f>IFERROR(INDEX(M_RawMaterials[Category],MATCH($A13,M_RawMaterials[Part Name],0)),"")</f>
        <v/>
      </c>
      <c r="D13" s="17">
        <f>IFERROR(INDEX(M_RawMaterials[基準在庫下限_要入力],MATCH($A13,M_RawMaterials[Part Name],0)),0)</f>
        <v/>
      </c>
      <c r="E13" s="17">
        <f>IFERROR(INDEX(M_RawMaterials[基準在庫上限_要入力],MATCH($A13,M_RawMaterials[Part Name],0)),0)</f>
        <v/>
      </c>
      <c r="F13" s="17">
        <f>IFERROR(LOOKUP(2,1/('T_SelfStock'!$B$9:$DA$9&lt;&gt;""),'T_SelfStock'!$B$9:$DA$9),"")</f>
        <v/>
      </c>
      <c r="G13" s="17">
        <f>IFERROR(LOOKUP(2,1/('T_TTAFStock'!$B$9:$DA$9&lt;&gt;""),'T_TTAFStock'!$B$9:$DA$9),"")</f>
        <v/>
      </c>
      <c r="H13" s="17">
        <f>IFERROR(LOOKUP(2,1/('T_SelfStock'!$B$9:$DA$9&lt;&gt;""),'T_SelfStock'!$B$5:$DA$5),"")</f>
        <v/>
      </c>
      <c r="I13" s="18" t="inlineStr">
        <is>
          <t>理論在庫</t>
        </is>
      </c>
      <c r="J13" s="17">
        <f>IFERROR(INDEX('Grid_Stock'!$A5:$DA5,1,LOOKUP(2,1/('T_SelfStock'!$B$9:$DA$9&lt;&gt;""),COLUMN('T_SelfStock'!$B$9:$DA$9)))-INDEX('Grid_TheoreticalStock'!$A5:$DA5,1,LOOKUP(2,1/('T_SelfStock'!$B$9:$DA$9&lt;&gt;""),COLUMN('T_SelfStock'!$B$9:$DA$9))),0)</f>
        <v/>
      </c>
      <c r="K13" s="18">
        <f>'Grid_TheoreticalStock'!B5</f>
        <v/>
      </c>
      <c r="L13" s="18">
        <f>'Grid_TheoreticalStock'!C5</f>
        <v/>
      </c>
      <c r="M13" s="18">
        <f>'Grid_TheoreticalStock'!D5</f>
        <v/>
      </c>
      <c r="N13" s="18">
        <f>'Grid_TheoreticalStock'!E5</f>
        <v/>
      </c>
      <c r="O13" s="18">
        <f>'Grid_TheoreticalStock'!F5</f>
        <v/>
      </c>
      <c r="P13" s="18">
        <f>'Grid_TheoreticalStock'!G5</f>
        <v/>
      </c>
      <c r="Q13" s="18">
        <f>'Grid_TheoreticalStock'!H5</f>
        <v/>
      </c>
      <c r="R13" s="18">
        <f>'Grid_TheoreticalStock'!I5</f>
        <v/>
      </c>
      <c r="S13" s="18">
        <f>'Grid_TheoreticalStock'!J5</f>
        <v/>
      </c>
      <c r="T13" s="18">
        <f>'Grid_TheoreticalStock'!K5</f>
        <v/>
      </c>
      <c r="U13" s="18">
        <f>'Grid_TheoreticalStock'!L5</f>
        <v/>
      </c>
      <c r="V13" s="18">
        <f>'Grid_TheoreticalStock'!M5</f>
        <v/>
      </c>
      <c r="W13" s="18">
        <f>'Grid_TheoreticalStock'!N5</f>
        <v/>
      </c>
      <c r="X13" s="18">
        <f>'Grid_TheoreticalStock'!O5</f>
        <v/>
      </c>
      <c r="Y13" s="18">
        <f>'Grid_TheoreticalStock'!P5</f>
        <v/>
      </c>
      <c r="Z13" s="18">
        <f>'Grid_TheoreticalStock'!Q5</f>
        <v/>
      </c>
      <c r="AA13" s="18">
        <f>'Grid_TheoreticalStock'!R5</f>
        <v/>
      </c>
      <c r="AB13" s="18">
        <f>'Grid_TheoreticalStock'!S5</f>
        <v/>
      </c>
      <c r="AC13" s="18">
        <f>'Grid_TheoreticalStock'!T5</f>
        <v/>
      </c>
      <c r="AD13" s="18">
        <f>'Grid_TheoreticalStock'!U5</f>
        <v/>
      </c>
      <c r="AE13" s="18">
        <f>'Grid_TheoreticalStock'!V5</f>
        <v/>
      </c>
      <c r="AF13" s="18">
        <f>'Grid_TheoreticalStock'!W5</f>
        <v/>
      </c>
      <c r="AG13" s="18">
        <f>'Grid_TheoreticalStock'!X5</f>
        <v/>
      </c>
      <c r="AH13" s="18">
        <f>'Grid_TheoreticalStock'!Y5</f>
        <v/>
      </c>
      <c r="AI13" s="18">
        <f>'Grid_TheoreticalStock'!Z5</f>
        <v/>
      </c>
      <c r="AJ13" s="18">
        <f>'Grid_TheoreticalStock'!AA5</f>
        <v/>
      </c>
      <c r="AK13" s="18">
        <f>'Grid_TheoreticalStock'!AB5</f>
        <v/>
      </c>
      <c r="AL13" s="18">
        <f>'Grid_TheoreticalStock'!AC5</f>
        <v/>
      </c>
      <c r="AM13" s="18">
        <f>'Grid_TheoreticalStock'!AD5</f>
        <v/>
      </c>
      <c r="AN13" s="18">
        <f>'Grid_TheoreticalStock'!AE5</f>
        <v/>
      </c>
      <c r="AO13" s="18">
        <f>'Grid_TheoreticalStock'!AF5</f>
        <v/>
      </c>
      <c r="AP13" s="18">
        <f>'Grid_TheoreticalStock'!AG5</f>
        <v/>
      </c>
      <c r="AQ13" s="18">
        <f>'Grid_TheoreticalStock'!AH5</f>
        <v/>
      </c>
      <c r="AR13" s="18">
        <f>'Grid_TheoreticalStock'!AI5</f>
        <v/>
      </c>
      <c r="AS13" s="18">
        <f>'Grid_TheoreticalStock'!AJ5</f>
        <v/>
      </c>
      <c r="AT13" s="18">
        <f>'Grid_TheoreticalStock'!AK5</f>
        <v/>
      </c>
      <c r="AU13" s="18">
        <f>'Grid_TheoreticalStock'!AL5</f>
        <v/>
      </c>
      <c r="AV13" s="18">
        <f>'Grid_TheoreticalStock'!AM5</f>
        <v/>
      </c>
      <c r="AW13" s="18">
        <f>'Grid_TheoreticalStock'!AN5</f>
        <v/>
      </c>
      <c r="AX13" s="18">
        <f>'Grid_TheoreticalStock'!AO5</f>
        <v/>
      </c>
      <c r="AY13" s="18">
        <f>'Grid_TheoreticalStock'!AP5</f>
        <v/>
      </c>
      <c r="AZ13" s="18">
        <f>'Grid_TheoreticalStock'!AQ5</f>
        <v/>
      </c>
      <c r="BA13" s="18">
        <f>'Grid_TheoreticalStock'!AR5</f>
        <v/>
      </c>
      <c r="BB13" s="18">
        <f>'Grid_TheoreticalStock'!AS5</f>
        <v/>
      </c>
      <c r="BC13" s="18">
        <f>'Grid_TheoreticalStock'!AT5</f>
        <v/>
      </c>
      <c r="BD13" s="18">
        <f>'Grid_TheoreticalStock'!AU5</f>
        <v/>
      </c>
      <c r="BE13" s="18">
        <f>'Grid_TheoreticalStock'!AV5</f>
        <v/>
      </c>
      <c r="BF13" s="18">
        <f>'Grid_TheoreticalStock'!AW5</f>
        <v/>
      </c>
      <c r="BG13" s="18">
        <f>'Grid_TheoreticalStock'!AX5</f>
        <v/>
      </c>
      <c r="BH13" s="18">
        <f>'Grid_TheoreticalStock'!AY5</f>
        <v/>
      </c>
      <c r="BI13" s="18">
        <f>'Grid_TheoreticalStock'!AZ5</f>
        <v/>
      </c>
      <c r="BJ13" s="18">
        <f>'Grid_TheoreticalStock'!BA5</f>
        <v/>
      </c>
      <c r="BK13" s="18">
        <f>'Grid_TheoreticalStock'!BB5</f>
        <v/>
      </c>
      <c r="BL13" s="18">
        <f>'Grid_TheoreticalStock'!BC5</f>
        <v/>
      </c>
      <c r="BM13" s="18">
        <f>'Grid_TheoreticalStock'!BD5</f>
        <v/>
      </c>
      <c r="BN13" s="18">
        <f>'Grid_TheoreticalStock'!BE5</f>
        <v/>
      </c>
      <c r="BO13" s="18">
        <f>'Grid_TheoreticalStock'!BF5</f>
        <v/>
      </c>
      <c r="BP13" s="18">
        <f>'Grid_TheoreticalStock'!BG5</f>
        <v/>
      </c>
      <c r="BQ13" s="18">
        <f>'Grid_TheoreticalStock'!BH5</f>
        <v/>
      </c>
      <c r="BR13" s="18">
        <f>'Grid_TheoreticalStock'!BI5</f>
        <v/>
      </c>
      <c r="BS13" s="18">
        <f>'Grid_TheoreticalStock'!BJ5</f>
        <v/>
      </c>
      <c r="BT13" s="18">
        <f>'Grid_TheoreticalStock'!BK5</f>
        <v/>
      </c>
      <c r="BU13" s="18">
        <f>'Grid_TheoreticalStock'!BL5</f>
        <v/>
      </c>
      <c r="BV13" s="18">
        <f>'Grid_TheoreticalStock'!BM5</f>
        <v/>
      </c>
      <c r="BW13" s="18">
        <f>'Grid_TheoreticalStock'!BN5</f>
        <v/>
      </c>
      <c r="BX13" s="18">
        <f>'Grid_TheoreticalStock'!BO5</f>
        <v/>
      </c>
      <c r="BY13" s="18">
        <f>'Grid_TheoreticalStock'!BP5</f>
        <v/>
      </c>
      <c r="BZ13" s="18">
        <f>'Grid_TheoreticalStock'!BQ5</f>
        <v/>
      </c>
      <c r="CA13" s="18">
        <f>'Grid_TheoreticalStock'!BR5</f>
        <v/>
      </c>
      <c r="CB13" s="18">
        <f>'Grid_TheoreticalStock'!BS5</f>
        <v/>
      </c>
      <c r="CC13" s="18">
        <f>'Grid_TheoreticalStock'!BT5</f>
        <v/>
      </c>
      <c r="CD13" s="18">
        <f>'Grid_TheoreticalStock'!BU5</f>
        <v/>
      </c>
      <c r="CE13" s="18">
        <f>'Grid_TheoreticalStock'!BV5</f>
        <v/>
      </c>
      <c r="CF13" s="18">
        <f>'Grid_TheoreticalStock'!BW5</f>
        <v/>
      </c>
      <c r="CG13" s="18">
        <f>'Grid_TheoreticalStock'!BX5</f>
        <v/>
      </c>
      <c r="CH13" s="18">
        <f>'Grid_TheoreticalStock'!BY5</f>
        <v/>
      </c>
      <c r="CI13" s="18">
        <f>'Grid_TheoreticalStock'!BZ5</f>
        <v/>
      </c>
      <c r="CJ13" s="18">
        <f>'Grid_TheoreticalStock'!CA5</f>
        <v/>
      </c>
      <c r="CK13" s="18">
        <f>'Grid_TheoreticalStock'!CB5</f>
        <v/>
      </c>
      <c r="CL13" s="18">
        <f>'Grid_TheoreticalStock'!CC5</f>
        <v/>
      </c>
      <c r="CM13" s="18">
        <f>'Grid_TheoreticalStock'!CD5</f>
        <v/>
      </c>
      <c r="CN13" s="18">
        <f>'Grid_TheoreticalStock'!CE5</f>
        <v/>
      </c>
      <c r="CO13" s="18">
        <f>'Grid_TheoreticalStock'!CF5</f>
        <v/>
      </c>
      <c r="CP13" s="18">
        <f>'Grid_TheoreticalStock'!CG5</f>
        <v/>
      </c>
      <c r="CQ13" s="18">
        <f>'Grid_TheoreticalStock'!CH5</f>
        <v/>
      </c>
      <c r="CR13" s="18">
        <f>'Grid_TheoreticalStock'!CI5</f>
        <v/>
      </c>
      <c r="CS13" s="18">
        <f>'Grid_TheoreticalStock'!CJ5</f>
        <v/>
      </c>
      <c r="CT13" s="18">
        <f>'Grid_TheoreticalStock'!CK5</f>
        <v/>
      </c>
      <c r="CU13" s="18">
        <f>'Grid_TheoreticalStock'!CL5</f>
        <v/>
      </c>
      <c r="CV13" s="18">
        <f>'Grid_TheoreticalStock'!CM5</f>
        <v/>
      </c>
      <c r="CW13" s="18">
        <f>'Grid_TheoreticalStock'!CN5</f>
        <v/>
      </c>
      <c r="CX13" s="18">
        <f>'Grid_TheoreticalStock'!CO5</f>
        <v/>
      </c>
      <c r="CY13" s="18">
        <f>'Grid_TheoreticalStock'!CP5</f>
        <v/>
      </c>
      <c r="CZ13" s="18">
        <f>'Grid_TheoreticalStock'!CQ5</f>
        <v/>
      </c>
      <c r="DA13" s="18">
        <f>'Grid_TheoreticalStock'!CR5</f>
        <v/>
      </c>
      <c r="DB13" s="18">
        <f>'Grid_TheoreticalStock'!CS5</f>
        <v/>
      </c>
      <c r="DC13" s="18">
        <f>'Grid_TheoreticalStock'!CT5</f>
        <v/>
      </c>
      <c r="DD13" s="18">
        <f>'Grid_TheoreticalStock'!CU5</f>
        <v/>
      </c>
      <c r="DE13" s="18">
        <f>'Grid_TheoreticalStock'!CV5</f>
        <v/>
      </c>
      <c r="DF13" s="18">
        <f>'Grid_TheoreticalStock'!CW5</f>
        <v/>
      </c>
      <c r="DG13" s="18">
        <f>'Grid_TheoreticalStock'!CX5</f>
        <v/>
      </c>
      <c r="DH13" s="18">
        <f>'Grid_TheoreticalStock'!CY5</f>
        <v/>
      </c>
      <c r="DI13" s="18">
        <f>'Grid_TheoreticalStock'!CZ5</f>
        <v/>
      </c>
      <c r="DJ13" s="18">
        <f>'Grid_TheoreticalStock'!DA5</f>
        <v/>
      </c>
    </row>
    <row r="14">
      <c r="A14" s="19" t="inlineStr">
        <is>
          <t>9RN</t>
        </is>
      </c>
      <c r="B14" s="19">
        <f>IFERROR(INDEX(M_RawMaterials[Description],MATCH($A14,M_RawMaterials[Part Name],0)),"")</f>
        <v/>
      </c>
      <c r="C14" s="19">
        <f>IFERROR(INDEX(M_RawMaterials[Category],MATCH($A14,M_RawMaterials[Part Name],0)),"")</f>
        <v/>
      </c>
      <c r="D14" s="19">
        <f>IFERROR(INDEX(M_RawMaterials[基準在庫下限_要入力],MATCH($A14,M_RawMaterials[Part Name],0)),0)</f>
        <v/>
      </c>
      <c r="E14" s="19">
        <f>IFERROR(INDEX(M_RawMaterials[基準在庫上限_要入力],MATCH($A14,M_RawMaterials[Part Name],0)),0)</f>
        <v/>
      </c>
      <c r="F14" s="19">
        <f>IFERROR(LOOKUP(2,1/('T_SelfStock'!$B$9:$DA$9&lt;&gt;""),'T_SelfStock'!$B$9:$DA$9),"")</f>
        <v/>
      </c>
      <c r="G14" s="19">
        <f>IFERROR(LOOKUP(2,1/('T_TTAFStock'!$B$9:$DA$9&lt;&gt;""),'T_TTAFStock'!$B$9:$DA$9),"")</f>
        <v/>
      </c>
      <c r="H14" s="19">
        <f>IFERROR(LOOKUP(2,1/('T_SelfStock'!$B$9:$DA$9&lt;&gt;""),'T_SelfStock'!$B$5:$DA$5),"")</f>
        <v/>
      </c>
      <c r="I14" s="20" t="inlineStr">
        <is>
          <t>実在庫</t>
        </is>
      </c>
      <c r="J14" s="19">
        <f>IFERROR(INDEX('Grid_Stock'!$A5:$DA5,1,LOOKUP(2,1/('T_SelfStock'!$B$9:$DA$9&lt;&gt;""),COLUMN('T_SelfStock'!$B$9:$DA$9)))-INDEX('Grid_TheoreticalStock'!$A5:$DA5,1,LOOKUP(2,1/('T_SelfStock'!$B$9:$DA$9&lt;&gt;""),COLUMN('T_SelfStock'!$B$9:$DA$9))),0)</f>
        <v/>
      </c>
      <c r="K14" s="19">
        <f>'Grid_Stock'!B5</f>
        <v/>
      </c>
      <c r="L14" s="19">
        <f>'Grid_Stock'!C5</f>
        <v/>
      </c>
      <c r="M14" s="19">
        <f>'Grid_Stock'!D5</f>
        <v/>
      </c>
      <c r="N14" s="19">
        <f>'Grid_Stock'!E5</f>
        <v/>
      </c>
      <c r="O14" s="19">
        <f>'Grid_Stock'!F5</f>
        <v/>
      </c>
      <c r="P14" s="19">
        <f>'Grid_Stock'!G5</f>
        <v/>
      </c>
      <c r="Q14" s="19">
        <f>'Grid_Stock'!H5</f>
        <v/>
      </c>
      <c r="R14" s="19">
        <f>'Grid_Stock'!I5</f>
        <v/>
      </c>
      <c r="S14" s="19">
        <f>'Grid_Stock'!J5</f>
        <v/>
      </c>
      <c r="T14" s="19">
        <f>'Grid_Stock'!K5</f>
        <v/>
      </c>
      <c r="U14" s="19">
        <f>'Grid_Stock'!L5</f>
        <v/>
      </c>
      <c r="V14" s="19">
        <f>'Grid_Stock'!M5</f>
        <v/>
      </c>
      <c r="W14" s="19">
        <f>'Grid_Stock'!N5</f>
        <v/>
      </c>
      <c r="X14" s="19">
        <f>'Grid_Stock'!O5</f>
        <v/>
      </c>
      <c r="Y14" s="19">
        <f>'Grid_Stock'!P5</f>
        <v/>
      </c>
      <c r="Z14" s="19">
        <f>'Grid_Stock'!Q5</f>
        <v/>
      </c>
      <c r="AA14" s="19">
        <f>'Grid_Stock'!R5</f>
        <v/>
      </c>
      <c r="AB14" s="19">
        <f>'Grid_Stock'!S5</f>
        <v/>
      </c>
      <c r="AC14" s="19">
        <f>'Grid_Stock'!T5</f>
        <v/>
      </c>
      <c r="AD14" s="19">
        <f>'Grid_Stock'!U5</f>
        <v/>
      </c>
      <c r="AE14" s="19">
        <f>'Grid_Stock'!V5</f>
        <v/>
      </c>
      <c r="AF14" s="19">
        <f>'Grid_Stock'!W5</f>
        <v/>
      </c>
      <c r="AG14" s="19">
        <f>'Grid_Stock'!X5</f>
        <v/>
      </c>
      <c r="AH14" s="19">
        <f>'Grid_Stock'!Y5</f>
        <v/>
      </c>
      <c r="AI14" s="19">
        <f>'Grid_Stock'!Z5</f>
        <v/>
      </c>
      <c r="AJ14" s="19">
        <f>'Grid_Stock'!AA5</f>
        <v/>
      </c>
      <c r="AK14" s="19">
        <f>'Grid_Stock'!AB5</f>
        <v/>
      </c>
      <c r="AL14" s="19">
        <f>'Grid_Stock'!AC5</f>
        <v/>
      </c>
      <c r="AM14" s="19">
        <f>'Grid_Stock'!AD5</f>
        <v/>
      </c>
      <c r="AN14" s="19">
        <f>'Grid_Stock'!AE5</f>
        <v/>
      </c>
      <c r="AO14" s="19">
        <f>'Grid_Stock'!AF5</f>
        <v/>
      </c>
      <c r="AP14" s="19">
        <f>'Grid_Stock'!AG5</f>
        <v/>
      </c>
      <c r="AQ14" s="19">
        <f>'Grid_Stock'!AH5</f>
        <v/>
      </c>
      <c r="AR14" s="19">
        <f>'Grid_Stock'!AI5</f>
        <v/>
      </c>
      <c r="AS14" s="19">
        <f>'Grid_Stock'!AJ5</f>
        <v/>
      </c>
      <c r="AT14" s="19">
        <f>'Grid_Stock'!AK5</f>
        <v/>
      </c>
      <c r="AU14" s="19">
        <f>'Grid_Stock'!AL5</f>
        <v/>
      </c>
      <c r="AV14" s="19">
        <f>'Grid_Stock'!AM5</f>
        <v/>
      </c>
      <c r="AW14" s="19">
        <f>'Grid_Stock'!AN5</f>
        <v/>
      </c>
      <c r="AX14" s="19">
        <f>'Grid_Stock'!AO5</f>
        <v/>
      </c>
      <c r="AY14" s="19">
        <f>'Grid_Stock'!AP5</f>
        <v/>
      </c>
      <c r="AZ14" s="19">
        <f>'Grid_Stock'!AQ5</f>
        <v/>
      </c>
      <c r="BA14" s="19">
        <f>'Grid_Stock'!AR5</f>
        <v/>
      </c>
      <c r="BB14" s="19">
        <f>'Grid_Stock'!AS5</f>
        <v/>
      </c>
      <c r="BC14" s="19">
        <f>'Grid_Stock'!AT5</f>
        <v/>
      </c>
      <c r="BD14" s="19">
        <f>'Grid_Stock'!AU5</f>
        <v/>
      </c>
      <c r="BE14" s="19">
        <f>'Grid_Stock'!AV5</f>
        <v/>
      </c>
      <c r="BF14" s="19">
        <f>'Grid_Stock'!AW5</f>
        <v/>
      </c>
      <c r="BG14" s="19">
        <f>'Grid_Stock'!AX5</f>
        <v/>
      </c>
      <c r="BH14" s="19">
        <f>'Grid_Stock'!AY5</f>
        <v/>
      </c>
      <c r="BI14" s="19">
        <f>'Grid_Stock'!AZ5</f>
        <v/>
      </c>
      <c r="BJ14" s="19">
        <f>'Grid_Stock'!BA5</f>
        <v/>
      </c>
      <c r="BK14" s="19">
        <f>'Grid_Stock'!BB5</f>
        <v/>
      </c>
      <c r="BL14" s="19">
        <f>'Grid_Stock'!BC5</f>
        <v/>
      </c>
      <c r="BM14" s="19">
        <f>'Grid_Stock'!BD5</f>
        <v/>
      </c>
      <c r="BN14" s="19">
        <f>'Grid_Stock'!BE5</f>
        <v/>
      </c>
      <c r="BO14" s="19">
        <f>'Grid_Stock'!BF5</f>
        <v/>
      </c>
      <c r="BP14" s="19">
        <f>'Grid_Stock'!BG5</f>
        <v/>
      </c>
      <c r="BQ14" s="19">
        <f>'Grid_Stock'!BH5</f>
        <v/>
      </c>
      <c r="BR14" s="19">
        <f>'Grid_Stock'!BI5</f>
        <v/>
      </c>
      <c r="BS14" s="19">
        <f>'Grid_Stock'!BJ5</f>
        <v/>
      </c>
      <c r="BT14" s="19">
        <f>'Grid_Stock'!BK5</f>
        <v/>
      </c>
      <c r="BU14" s="19">
        <f>'Grid_Stock'!BL5</f>
        <v/>
      </c>
      <c r="BV14" s="19">
        <f>'Grid_Stock'!BM5</f>
        <v/>
      </c>
      <c r="BW14" s="19">
        <f>'Grid_Stock'!BN5</f>
        <v/>
      </c>
      <c r="BX14" s="19">
        <f>'Grid_Stock'!BO5</f>
        <v/>
      </c>
      <c r="BY14" s="19">
        <f>'Grid_Stock'!BP5</f>
        <v/>
      </c>
      <c r="BZ14" s="19">
        <f>'Grid_Stock'!BQ5</f>
        <v/>
      </c>
      <c r="CA14" s="19">
        <f>'Grid_Stock'!BR5</f>
        <v/>
      </c>
      <c r="CB14" s="19">
        <f>'Grid_Stock'!BS5</f>
        <v/>
      </c>
      <c r="CC14" s="19">
        <f>'Grid_Stock'!BT5</f>
        <v/>
      </c>
      <c r="CD14" s="19">
        <f>'Grid_Stock'!BU5</f>
        <v/>
      </c>
      <c r="CE14" s="19">
        <f>'Grid_Stock'!BV5</f>
        <v/>
      </c>
      <c r="CF14" s="19">
        <f>'Grid_Stock'!BW5</f>
        <v/>
      </c>
      <c r="CG14" s="19">
        <f>'Grid_Stock'!BX5</f>
        <v/>
      </c>
      <c r="CH14" s="19">
        <f>'Grid_Stock'!BY5</f>
        <v/>
      </c>
      <c r="CI14" s="19">
        <f>'Grid_Stock'!BZ5</f>
        <v/>
      </c>
      <c r="CJ14" s="19">
        <f>'Grid_Stock'!CA5</f>
        <v/>
      </c>
      <c r="CK14" s="19">
        <f>'Grid_Stock'!CB5</f>
        <v/>
      </c>
      <c r="CL14" s="19">
        <f>'Grid_Stock'!CC5</f>
        <v/>
      </c>
      <c r="CM14" s="19">
        <f>'Grid_Stock'!CD5</f>
        <v/>
      </c>
      <c r="CN14" s="19">
        <f>'Grid_Stock'!CE5</f>
        <v/>
      </c>
      <c r="CO14" s="19">
        <f>'Grid_Stock'!CF5</f>
        <v/>
      </c>
      <c r="CP14" s="19">
        <f>'Grid_Stock'!CG5</f>
        <v/>
      </c>
      <c r="CQ14" s="19">
        <f>'Grid_Stock'!CH5</f>
        <v/>
      </c>
      <c r="CR14" s="19">
        <f>'Grid_Stock'!CI5</f>
        <v/>
      </c>
      <c r="CS14" s="19">
        <f>'Grid_Stock'!CJ5</f>
        <v/>
      </c>
      <c r="CT14" s="19">
        <f>'Grid_Stock'!CK5</f>
        <v/>
      </c>
      <c r="CU14" s="19">
        <f>'Grid_Stock'!CL5</f>
        <v/>
      </c>
      <c r="CV14" s="19">
        <f>'Grid_Stock'!CM5</f>
        <v/>
      </c>
      <c r="CW14" s="19">
        <f>'Grid_Stock'!CN5</f>
        <v/>
      </c>
      <c r="CX14" s="19">
        <f>'Grid_Stock'!CO5</f>
        <v/>
      </c>
      <c r="CY14" s="19">
        <f>'Grid_Stock'!CP5</f>
        <v/>
      </c>
      <c r="CZ14" s="19">
        <f>'Grid_Stock'!CQ5</f>
        <v/>
      </c>
      <c r="DA14" s="19">
        <f>'Grid_Stock'!CR5</f>
        <v/>
      </c>
      <c r="DB14" s="19">
        <f>'Grid_Stock'!CS5</f>
        <v/>
      </c>
      <c r="DC14" s="19">
        <f>'Grid_Stock'!CT5</f>
        <v/>
      </c>
      <c r="DD14" s="19">
        <f>'Grid_Stock'!CU5</f>
        <v/>
      </c>
      <c r="DE14" s="19">
        <f>'Grid_Stock'!CV5</f>
        <v/>
      </c>
      <c r="DF14" s="19">
        <f>'Grid_Stock'!CW5</f>
        <v/>
      </c>
      <c r="DG14" s="19">
        <f>'Grid_Stock'!CX5</f>
        <v/>
      </c>
      <c r="DH14" s="19">
        <f>'Grid_Stock'!CY5</f>
        <v/>
      </c>
      <c r="DI14" s="19">
        <f>'Grid_Stock'!CZ5</f>
        <v/>
      </c>
      <c r="DJ14" s="19">
        <f>'Grid_Stock'!DA5</f>
        <v/>
      </c>
    </row>
    <row r="15">
      <c r="A15" s="17" t="inlineStr">
        <is>
          <t>7CL</t>
        </is>
      </c>
      <c r="B15" s="17">
        <f>IFERROR(INDEX(M_RawMaterials[Description],MATCH($A15,M_RawMaterials[Part Name],0)),"")</f>
        <v/>
      </c>
      <c r="C15" s="17">
        <f>IFERROR(INDEX(M_RawMaterials[Category],MATCH($A15,M_RawMaterials[Part Name],0)),"")</f>
        <v/>
      </c>
      <c r="D15" s="17">
        <f>IFERROR(INDEX(M_RawMaterials[基準在庫下限_要入力],MATCH($A15,M_RawMaterials[Part Name],0)),0)</f>
        <v/>
      </c>
      <c r="E15" s="17">
        <f>IFERROR(INDEX(M_RawMaterials[基準在庫上限_要入力],MATCH($A15,M_RawMaterials[Part Name],0)),0)</f>
        <v/>
      </c>
      <c r="F15" s="17">
        <f>IFERROR(LOOKUP(2,1/('T_SelfStock'!$B$10:$DA$10&lt;&gt;""),'T_SelfStock'!$B$10:$DA$10),"")</f>
        <v/>
      </c>
      <c r="G15" s="17">
        <f>IFERROR(LOOKUP(2,1/('T_TTAFStock'!$B$10:$DA$10&lt;&gt;""),'T_TTAFStock'!$B$10:$DA$10),"")</f>
        <v/>
      </c>
      <c r="H15" s="17">
        <f>IFERROR(LOOKUP(2,1/('T_SelfStock'!$B$10:$DA$10&lt;&gt;""),'T_SelfStock'!$B$5:$DA$5),"")</f>
        <v/>
      </c>
      <c r="I15" s="18" t="inlineStr">
        <is>
          <t>理論在庫</t>
        </is>
      </c>
      <c r="J15" s="17">
        <f>IFERROR(INDEX('Grid_Stock'!$A6:$DA6,1,LOOKUP(2,1/('T_SelfStock'!$B$10:$DA$10&lt;&gt;""),COLUMN('T_SelfStock'!$B$10:$DA$10)))-INDEX('Grid_TheoreticalStock'!$A6:$DA6,1,LOOKUP(2,1/('T_SelfStock'!$B$10:$DA$10&lt;&gt;""),COLUMN('T_SelfStock'!$B$10:$DA$10))),0)</f>
        <v/>
      </c>
      <c r="K15" s="18">
        <f>'Grid_TheoreticalStock'!B6</f>
        <v/>
      </c>
      <c r="L15" s="18">
        <f>'Grid_TheoreticalStock'!C6</f>
        <v/>
      </c>
      <c r="M15" s="18">
        <f>'Grid_TheoreticalStock'!D6</f>
        <v/>
      </c>
      <c r="N15" s="18">
        <f>'Grid_TheoreticalStock'!E6</f>
        <v/>
      </c>
      <c r="O15" s="18">
        <f>'Grid_TheoreticalStock'!F6</f>
        <v/>
      </c>
      <c r="P15" s="18">
        <f>'Grid_TheoreticalStock'!G6</f>
        <v/>
      </c>
      <c r="Q15" s="18">
        <f>'Grid_TheoreticalStock'!H6</f>
        <v/>
      </c>
      <c r="R15" s="18">
        <f>'Grid_TheoreticalStock'!I6</f>
        <v/>
      </c>
      <c r="S15" s="18">
        <f>'Grid_TheoreticalStock'!J6</f>
        <v/>
      </c>
      <c r="T15" s="18">
        <f>'Grid_TheoreticalStock'!K6</f>
        <v/>
      </c>
      <c r="U15" s="18">
        <f>'Grid_TheoreticalStock'!L6</f>
        <v/>
      </c>
      <c r="V15" s="18">
        <f>'Grid_TheoreticalStock'!M6</f>
        <v/>
      </c>
      <c r="W15" s="18">
        <f>'Grid_TheoreticalStock'!N6</f>
        <v/>
      </c>
      <c r="X15" s="18">
        <f>'Grid_TheoreticalStock'!O6</f>
        <v/>
      </c>
      <c r="Y15" s="18">
        <f>'Grid_TheoreticalStock'!P6</f>
        <v/>
      </c>
      <c r="Z15" s="18">
        <f>'Grid_TheoreticalStock'!Q6</f>
        <v/>
      </c>
      <c r="AA15" s="18">
        <f>'Grid_TheoreticalStock'!R6</f>
        <v/>
      </c>
      <c r="AB15" s="18">
        <f>'Grid_TheoreticalStock'!S6</f>
        <v/>
      </c>
      <c r="AC15" s="18">
        <f>'Grid_TheoreticalStock'!T6</f>
        <v/>
      </c>
      <c r="AD15" s="18">
        <f>'Grid_TheoreticalStock'!U6</f>
        <v/>
      </c>
      <c r="AE15" s="18">
        <f>'Grid_TheoreticalStock'!V6</f>
        <v/>
      </c>
      <c r="AF15" s="18">
        <f>'Grid_TheoreticalStock'!W6</f>
        <v/>
      </c>
      <c r="AG15" s="18">
        <f>'Grid_TheoreticalStock'!X6</f>
        <v/>
      </c>
      <c r="AH15" s="18">
        <f>'Grid_TheoreticalStock'!Y6</f>
        <v/>
      </c>
      <c r="AI15" s="18">
        <f>'Grid_TheoreticalStock'!Z6</f>
        <v/>
      </c>
      <c r="AJ15" s="18">
        <f>'Grid_TheoreticalStock'!AA6</f>
        <v/>
      </c>
      <c r="AK15" s="18">
        <f>'Grid_TheoreticalStock'!AB6</f>
        <v/>
      </c>
      <c r="AL15" s="18">
        <f>'Grid_TheoreticalStock'!AC6</f>
        <v/>
      </c>
      <c r="AM15" s="18">
        <f>'Grid_TheoreticalStock'!AD6</f>
        <v/>
      </c>
      <c r="AN15" s="18">
        <f>'Grid_TheoreticalStock'!AE6</f>
        <v/>
      </c>
      <c r="AO15" s="18">
        <f>'Grid_TheoreticalStock'!AF6</f>
        <v/>
      </c>
      <c r="AP15" s="18">
        <f>'Grid_TheoreticalStock'!AG6</f>
        <v/>
      </c>
      <c r="AQ15" s="18">
        <f>'Grid_TheoreticalStock'!AH6</f>
        <v/>
      </c>
      <c r="AR15" s="18">
        <f>'Grid_TheoreticalStock'!AI6</f>
        <v/>
      </c>
      <c r="AS15" s="18">
        <f>'Grid_TheoreticalStock'!AJ6</f>
        <v/>
      </c>
      <c r="AT15" s="18">
        <f>'Grid_TheoreticalStock'!AK6</f>
        <v/>
      </c>
      <c r="AU15" s="18">
        <f>'Grid_TheoreticalStock'!AL6</f>
        <v/>
      </c>
      <c r="AV15" s="18">
        <f>'Grid_TheoreticalStock'!AM6</f>
        <v/>
      </c>
      <c r="AW15" s="18">
        <f>'Grid_TheoreticalStock'!AN6</f>
        <v/>
      </c>
      <c r="AX15" s="18">
        <f>'Grid_TheoreticalStock'!AO6</f>
        <v/>
      </c>
      <c r="AY15" s="18">
        <f>'Grid_TheoreticalStock'!AP6</f>
        <v/>
      </c>
      <c r="AZ15" s="18">
        <f>'Grid_TheoreticalStock'!AQ6</f>
        <v/>
      </c>
      <c r="BA15" s="18">
        <f>'Grid_TheoreticalStock'!AR6</f>
        <v/>
      </c>
      <c r="BB15" s="18">
        <f>'Grid_TheoreticalStock'!AS6</f>
        <v/>
      </c>
      <c r="BC15" s="18">
        <f>'Grid_TheoreticalStock'!AT6</f>
        <v/>
      </c>
      <c r="BD15" s="18">
        <f>'Grid_TheoreticalStock'!AU6</f>
        <v/>
      </c>
      <c r="BE15" s="18">
        <f>'Grid_TheoreticalStock'!AV6</f>
        <v/>
      </c>
      <c r="BF15" s="18">
        <f>'Grid_TheoreticalStock'!AW6</f>
        <v/>
      </c>
      <c r="BG15" s="18">
        <f>'Grid_TheoreticalStock'!AX6</f>
        <v/>
      </c>
      <c r="BH15" s="18">
        <f>'Grid_TheoreticalStock'!AY6</f>
        <v/>
      </c>
      <c r="BI15" s="18">
        <f>'Grid_TheoreticalStock'!AZ6</f>
        <v/>
      </c>
      <c r="BJ15" s="18">
        <f>'Grid_TheoreticalStock'!BA6</f>
        <v/>
      </c>
      <c r="BK15" s="18">
        <f>'Grid_TheoreticalStock'!BB6</f>
        <v/>
      </c>
      <c r="BL15" s="18">
        <f>'Grid_TheoreticalStock'!BC6</f>
        <v/>
      </c>
      <c r="BM15" s="18">
        <f>'Grid_TheoreticalStock'!BD6</f>
        <v/>
      </c>
      <c r="BN15" s="18">
        <f>'Grid_TheoreticalStock'!BE6</f>
        <v/>
      </c>
      <c r="BO15" s="18">
        <f>'Grid_TheoreticalStock'!BF6</f>
        <v/>
      </c>
      <c r="BP15" s="18">
        <f>'Grid_TheoreticalStock'!BG6</f>
        <v/>
      </c>
      <c r="BQ15" s="18">
        <f>'Grid_TheoreticalStock'!BH6</f>
        <v/>
      </c>
      <c r="BR15" s="18">
        <f>'Grid_TheoreticalStock'!BI6</f>
        <v/>
      </c>
      <c r="BS15" s="18">
        <f>'Grid_TheoreticalStock'!BJ6</f>
        <v/>
      </c>
      <c r="BT15" s="18">
        <f>'Grid_TheoreticalStock'!BK6</f>
        <v/>
      </c>
      <c r="BU15" s="18">
        <f>'Grid_TheoreticalStock'!BL6</f>
        <v/>
      </c>
      <c r="BV15" s="18">
        <f>'Grid_TheoreticalStock'!BM6</f>
        <v/>
      </c>
      <c r="BW15" s="18">
        <f>'Grid_TheoreticalStock'!BN6</f>
        <v/>
      </c>
      <c r="BX15" s="18">
        <f>'Grid_TheoreticalStock'!BO6</f>
        <v/>
      </c>
      <c r="BY15" s="18">
        <f>'Grid_TheoreticalStock'!BP6</f>
        <v/>
      </c>
      <c r="BZ15" s="18">
        <f>'Grid_TheoreticalStock'!BQ6</f>
        <v/>
      </c>
      <c r="CA15" s="18">
        <f>'Grid_TheoreticalStock'!BR6</f>
        <v/>
      </c>
      <c r="CB15" s="18">
        <f>'Grid_TheoreticalStock'!BS6</f>
        <v/>
      </c>
      <c r="CC15" s="18">
        <f>'Grid_TheoreticalStock'!BT6</f>
        <v/>
      </c>
      <c r="CD15" s="18">
        <f>'Grid_TheoreticalStock'!BU6</f>
        <v/>
      </c>
      <c r="CE15" s="18">
        <f>'Grid_TheoreticalStock'!BV6</f>
        <v/>
      </c>
      <c r="CF15" s="18">
        <f>'Grid_TheoreticalStock'!BW6</f>
        <v/>
      </c>
      <c r="CG15" s="18">
        <f>'Grid_TheoreticalStock'!BX6</f>
        <v/>
      </c>
      <c r="CH15" s="18">
        <f>'Grid_TheoreticalStock'!BY6</f>
        <v/>
      </c>
      <c r="CI15" s="18">
        <f>'Grid_TheoreticalStock'!BZ6</f>
        <v/>
      </c>
      <c r="CJ15" s="18">
        <f>'Grid_TheoreticalStock'!CA6</f>
        <v/>
      </c>
      <c r="CK15" s="18">
        <f>'Grid_TheoreticalStock'!CB6</f>
        <v/>
      </c>
      <c r="CL15" s="18">
        <f>'Grid_TheoreticalStock'!CC6</f>
        <v/>
      </c>
      <c r="CM15" s="18">
        <f>'Grid_TheoreticalStock'!CD6</f>
        <v/>
      </c>
      <c r="CN15" s="18">
        <f>'Grid_TheoreticalStock'!CE6</f>
        <v/>
      </c>
      <c r="CO15" s="18">
        <f>'Grid_TheoreticalStock'!CF6</f>
        <v/>
      </c>
      <c r="CP15" s="18">
        <f>'Grid_TheoreticalStock'!CG6</f>
        <v/>
      </c>
      <c r="CQ15" s="18">
        <f>'Grid_TheoreticalStock'!CH6</f>
        <v/>
      </c>
      <c r="CR15" s="18">
        <f>'Grid_TheoreticalStock'!CI6</f>
        <v/>
      </c>
      <c r="CS15" s="18">
        <f>'Grid_TheoreticalStock'!CJ6</f>
        <v/>
      </c>
      <c r="CT15" s="18">
        <f>'Grid_TheoreticalStock'!CK6</f>
        <v/>
      </c>
      <c r="CU15" s="18">
        <f>'Grid_TheoreticalStock'!CL6</f>
        <v/>
      </c>
      <c r="CV15" s="18">
        <f>'Grid_TheoreticalStock'!CM6</f>
        <v/>
      </c>
      <c r="CW15" s="18">
        <f>'Grid_TheoreticalStock'!CN6</f>
        <v/>
      </c>
      <c r="CX15" s="18">
        <f>'Grid_TheoreticalStock'!CO6</f>
        <v/>
      </c>
      <c r="CY15" s="18">
        <f>'Grid_TheoreticalStock'!CP6</f>
        <v/>
      </c>
      <c r="CZ15" s="18">
        <f>'Grid_TheoreticalStock'!CQ6</f>
        <v/>
      </c>
      <c r="DA15" s="18">
        <f>'Grid_TheoreticalStock'!CR6</f>
        <v/>
      </c>
      <c r="DB15" s="18">
        <f>'Grid_TheoreticalStock'!CS6</f>
        <v/>
      </c>
      <c r="DC15" s="18">
        <f>'Grid_TheoreticalStock'!CT6</f>
        <v/>
      </c>
      <c r="DD15" s="18">
        <f>'Grid_TheoreticalStock'!CU6</f>
        <v/>
      </c>
      <c r="DE15" s="18">
        <f>'Grid_TheoreticalStock'!CV6</f>
        <v/>
      </c>
      <c r="DF15" s="18">
        <f>'Grid_TheoreticalStock'!CW6</f>
        <v/>
      </c>
      <c r="DG15" s="18">
        <f>'Grid_TheoreticalStock'!CX6</f>
        <v/>
      </c>
      <c r="DH15" s="18">
        <f>'Grid_TheoreticalStock'!CY6</f>
        <v/>
      </c>
      <c r="DI15" s="18">
        <f>'Grid_TheoreticalStock'!CZ6</f>
        <v/>
      </c>
      <c r="DJ15" s="18">
        <f>'Grid_TheoreticalStock'!DA6</f>
        <v/>
      </c>
    </row>
    <row r="16">
      <c r="A16" s="19" t="inlineStr">
        <is>
          <t>7CL</t>
        </is>
      </c>
      <c r="B16" s="19">
        <f>IFERROR(INDEX(M_RawMaterials[Description],MATCH($A16,M_RawMaterials[Part Name],0)),"")</f>
        <v/>
      </c>
      <c r="C16" s="19">
        <f>IFERROR(INDEX(M_RawMaterials[Category],MATCH($A16,M_RawMaterials[Part Name],0)),"")</f>
        <v/>
      </c>
      <c r="D16" s="19">
        <f>IFERROR(INDEX(M_RawMaterials[基準在庫下限_要入力],MATCH($A16,M_RawMaterials[Part Name],0)),0)</f>
        <v/>
      </c>
      <c r="E16" s="19">
        <f>IFERROR(INDEX(M_RawMaterials[基準在庫上限_要入力],MATCH($A16,M_RawMaterials[Part Name],0)),0)</f>
        <v/>
      </c>
      <c r="F16" s="19">
        <f>IFERROR(LOOKUP(2,1/('T_SelfStock'!$B$10:$DA$10&lt;&gt;""),'T_SelfStock'!$B$10:$DA$10),"")</f>
        <v/>
      </c>
      <c r="G16" s="19">
        <f>IFERROR(LOOKUP(2,1/('T_TTAFStock'!$B$10:$DA$10&lt;&gt;""),'T_TTAFStock'!$B$10:$DA$10),"")</f>
        <v/>
      </c>
      <c r="H16" s="19">
        <f>IFERROR(LOOKUP(2,1/('T_SelfStock'!$B$10:$DA$10&lt;&gt;""),'T_SelfStock'!$B$5:$DA$5),"")</f>
        <v/>
      </c>
      <c r="I16" s="20" t="inlineStr">
        <is>
          <t>実在庫</t>
        </is>
      </c>
      <c r="J16" s="19">
        <f>IFERROR(INDEX('Grid_Stock'!$A6:$DA6,1,LOOKUP(2,1/('T_SelfStock'!$B$10:$DA$10&lt;&gt;""),COLUMN('T_SelfStock'!$B$10:$DA$10)))-INDEX('Grid_TheoreticalStock'!$A6:$DA6,1,LOOKUP(2,1/('T_SelfStock'!$B$10:$DA$10&lt;&gt;""),COLUMN('T_SelfStock'!$B$10:$DA$10))),0)</f>
        <v/>
      </c>
      <c r="K16" s="19">
        <f>'Grid_Stock'!B6</f>
        <v/>
      </c>
      <c r="L16" s="19">
        <f>'Grid_Stock'!C6</f>
        <v/>
      </c>
      <c r="M16" s="19">
        <f>'Grid_Stock'!D6</f>
        <v/>
      </c>
      <c r="N16" s="19">
        <f>'Grid_Stock'!E6</f>
        <v/>
      </c>
      <c r="O16" s="19">
        <f>'Grid_Stock'!F6</f>
        <v/>
      </c>
      <c r="P16" s="19">
        <f>'Grid_Stock'!G6</f>
        <v/>
      </c>
      <c r="Q16" s="19">
        <f>'Grid_Stock'!H6</f>
        <v/>
      </c>
      <c r="R16" s="19">
        <f>'Grid_Stock'!I6</f>
        <v/>
      </c>
      <c r="S16" s="19">
        <f>'Grid_Stock'!J6</f>
        <v/>
      </c>
      <c r="T16" s="19">
        <f>'Grid_Stock'!K6</f>
        <v/>
      </c>
      <c r="U16" s="19">
        <f>'Grid_Stock'!L6</f>
        <v/>
      </c>
      <c r="V16" s="19">
        <f>'Grid_Stock'!M6</f>
        <v/>
      </c>
      <c r="W16" s="19">
        <f>'Grid_Stock'!N6</f>
        <v/>
      </c>
      <c r="X16" s="19">
        <f>'Grid_Stock'!O6</f>
        <v/>
      </c>
      <c r="Y16" s="19">
        <f>'Grid_Stock'!P6</f>
        <v/>
      </c>
      <c r="Z16" s="19">
        <f>'Grid_Stock'!Q6</f>
        <v/>
      </c>
      <c r="AA16" s="19">
        <f>'Grid_Stock'!R6</f>
        <v/>
      </c>
      <c r="AB16" s="19">
        <f>'Grid_Stock'!S6</f>
        <v/>
      </c>
      <c r="AC16" s="19">
        <f>'Grid_Stock'!T6</f>
        <v/>
      </c>
      <c r="AD16" s="19">
        <f>'Grid_Stock'!U6</f>
        <v/>
      </c>
      <c r="AE16" s="19">
        <f>'Grid_Stock'!V6</f>
        <v/>
      </c>
      <c r="AF16" s="19">
        <f>'Grid_Stock'!W6</f>
        <v/>
      </c>
      <c r="AG16" s="19">
        <f>'Grid_Stock'!X6</f>
        <v/>
      </c>
      <c r="AH16" s="19">
        <f>'Grid_Stock'!Y6</f>
        <v/>
      </c>
      <c r="AI16" s="19">
        <f>'Grid_Stock'!Z6</f>
        <v/>
      </c>
      <c r="AJ16" s="19">
        <f>'Grid_Stock'!AA6</f>
        <v/>
      </c>
      <c r="AK16" s="19">
        <f>'Grid_Stock'!AB6</f>
        <v/>
      </c>
      <c r="AL16" s="19">
        <f>'Grid_Stock'!AC6</f>
        <v/>
      </c>
      <c r="AM16" s="19">
        <f>'Grid_Stock'!AD6</f>
        <v/>
      </c>
      <c r="AN16" s="19">
        <f>'Grid_Stock'!AE6</f>
        <v/>
      </c>
      <c r="AO16" s="19">
        <f>'Grid_Stock'!AF6</f>
        <v/>
      </c>
      <c r="AP16" s="19">
        <f>'Grid_Stock'!AG6</f>
        <v/>
      </c>
      <c r="AQ16" s="19">
        <f>'Grid_Stock'!AH6</f>
        <v/>
      </c>
      <c r="AR16" s="19">
        <f>'Grid_Stock'!AI6</f>
        <v/>
      </c>
      <c r="AS16" s="19">
        <f>'Grid_Stock'!AJ6</f>
        <v/>
      </c>
      <c r="AT16" s="19">
        <f>'Grid_Stock'!AK6</f>
        <v/>
      </c>
      <c r="AU16" s="19">
        <f>'Grid_Stock'!AL6</f>
        <v/>
      </c>
      <c r="AV16" s="19">
        <f>'Grid_Stock'!AM6</f>
        <v/>
      </c>
      <c r="AW16" s="19">
        <f>'Grid_Stock'!AN6</f>
        <v/>
      </c>
      <c r="AX16" s="19">
        <f>'Grid_Stock'!AO6</f>
        <v/>
      </c>
      <c r="AY16" s="19">
        <f>'Grid_Stock'!AP6</f>
        <v/>
      </c>
      <c r="AZ16" s="19">
        <f>'Grid_Stock'!AQ6</f>
        <v/>
      </c>
      <c r="BA16" s="19">
        <f>'Grid_Stock'!AR6</f>
        <v/>
      </c>
      <c r="BB16" s="19">
        <f>'Grid_Stock'!AS6</f>
        <v/>
      </c>
      <c r="BC16" s="19">
        <f>'Grid_Stock'!AT6</f>
        <v/>
      </c>
      <c r="BD16" s="19">
        <f>'Grid_Stock'!AU6</f>
        <v/>
      </c>
      <c r="BE16" s="19">
        <f>'Grid_Stock'!AV6</f>
        <v/>
      </c>
      <c r="BF16" s="19">
        <f>'Grid_Stock'!AW6</f>
        <v/>
      </c>
      <c r="BG16" s="19">
        <f>'Grid_Stock'!AX6</f>
        <v/>
      </c>
      <c r="BH16" s="19">
        <f>'Grid_Stock'!AY6</f>
        <v/>
      </c>
      <c r="BI16" s="19">
        <f>'Grid_Stock'!AZ6</f>
        <v/>
      </c>
      <c r="BJ16" s="19">
        <f>'Grid_Stock'!BA6</f>
        <v/>
      </c>
      <c r="BK16" s="19">
        <f>'Grid_Stock'!BB6</f>
        <v/>
      </c>
      <c r="BL16" s="19">
        <f>'Grid_Stock'!BC6</f>
        <v/>
      </c>
      <c r="BM16" s="19">
        <f>'Grid_Stock'!BD6</f>
        <v/>
      </c>
      <c r="BN16" s="19">
        <f>'Grid_Stock'!BE6</f>
        <v/>
      </c>
      <c r="BO16" s="19">
        <f>'Grid_Stock'!BF6</f>
        <v/>
      </c>
      <c r="BP16" s="19">
        <f>'Grid_Stock'!BG6</f>
        <v/>
      </c>
      <c r="BQ16" s="19">
        <f>'Grid_Stock'!BH6</f>
        <v/>
      </c>
      <c r="BR16" s="19">
        <f>'Grid_Stock'!BI6</f>
        <v/>
      </c>
      <c r="BS16" s="19">
        <f>'Grid_Stock'!BJ6</f>
        <v/>
      </c>
      <c r="BT16" s="19">
        <f>'Grid_Stock'!BK6</f>
        <v/>
      </c>
      <c r="BU16" s="19">
        <f>'Grid_Stock'!BL6</f>
        <v/>
      </c>
      <c r="BV16" s="19">
        <f>'Grid_Stock'!BM6</f>
        <v/>
      </c>
      <c r="BW16" s="19">
        <f>'Grid_Stock'!BN6</f>
        <v/>
      </c>
      <c r="BX16" s="19">
        <f>'Grid_Stock'!BO6</f>
        <v/>
      </c>
      <c r="BY16" s="19">
        <f>'Grid_Stock'!BP6</f>
        <v/>
      </c>
      <c r="BZ16" s="19">
        <f>'Grid_Stock'!BQ6</f>
        <v/>
      </c>
      <c r="CA16" s="19">
        <f>'Grid_Stock'!BR6</f>
        <v/>
      </c>
      <c r="CB16" s="19">
        <f>'Grid_Stock'!BS6</f>
        <v/>
      </c>
      <c r="CC16" s="19">
        <f>'Grid_Stock'!BT6</f>
        <v/>
      </c>
      <c r="CD16" s="19">
        <f>'Grid_Stock'!BU6</f>
        <v/>
      </c>
      <c r="CE16" s="19">
        <f>'Grid_Stock'!BV6</f>
        <v/>
      </c>
      <c r="CF16" s="19">
        <f>'Grid_Stock'!BW6</f>
        <v/>
      </c>
      <c r="CG16" s="19">
        <f>'Grid_Stock'!BX6</f>
        <v/>
      </c>
      <c r="CH16" s="19">
        <f>'Grid_Stock'!BY6</f>
        <v/>
      </c>
      <c r="CI16" s="19">
        <f>'Grid_Stock'!BZ6</f>
        <v/>
      </c>
      <c r="CJ16" s="19">
        <f>'Grid_Stock'!CA6</f>
        <v/>
      </c>
      <c r="CK16" s="19">
        <f>'Grid_Stock'!CB6</f>
        <v/>
      </c>
      <c r="CL16" s="19">
        <f>'Grid_Stock'!CC6</f>
        <v/>
      </c>
      <c r="CM16" s="19">
        <f>'Grid_Stock'!CD6</f>
        <v/>
      </c>
      <c r="CN16" s="19">
        <f>'Grid_Stock'!CE6</f>
        <v/>
      </c>
      <c r="CO16" s="19">
        <f>'Grid_Stock'!CF6</f>
        <v/>
      </c>
      <c r="CP16" s="19">
        <f>'Grid_Stock'!CG6</f>
        <v/>
      </c>
      <c r="CQ16" s="19">
        <f>'Grid_Stock'!CH6</f>
        <v/>
      </c>
      <c r="CR16" s="19">
        <f>'Grid_Stock'!CI6</f>
        <v/>
      </c>
      <c r="CS16" s="19">
        <f>'Grid_Stock'!CJ6</f>
        <v/>
      </c>
      <c r="CT16" s="19">
        <f>'Grid_Stock'!CK6</f>
        <v/>
      </c>
      <c r="CU16" s="19">
        <f>'Grid_Stock'!CL6</f>
        <v/>
      </c>
      <c r="CV16" s="19">
        <f>'Grid_Stock'!CM6</f>
        <v/>
      </c>
      <c r="CW16" s="19">
        <f>'Grid_Stock'!CN6</f>
        <v/>
      </c>
      <c r="CX16" s="19">
        <f>'Grid_Stock'!CO6</f>
        <v/>
      </c>
      <c r="CY16" s="19">
        <f>'Grid_Stock'!CP6</f>
        <v/>
      </c>
      <c r="CZ16" s="19">
        <f>'Grid_Stock'!CQ6</f>
        <v/>
      </c>
      <c r="DA16" s="19">
        <f>'Grid_Stock'!CR6</f>
        <v/>
      </c>
      <c r="DB16" s="19">
        <f>'Grid_Stock'!CS6</f>
        <v/>
      </c>
      <c r="DC16" s="19">
        <f>'Grid_Stock'!CT6</f>
        <v/>
      </c>
      <c r="DD16" s="19">
        <f>'Grid_Stock'!CU6</f>
        <v/>
      </c>
      <c r="DE16" s="19">
        <f>'Grid_Stock'!CV6</f>
        <v/>
      </c>
      <c r="DF16" s="19">
        <f>'Grid_Stock'!CW6</f>
        <v/>
      </c>
      <c r="DG16" s="19">
        <f>'Grid_Stock'!CX6</f>
        <v/>
      </c>
      <c r="DH16" s="19">
        <f>'Grid_Stock'!CY6</f>
        <v/>
      </c>
      <c r="DI16" s="19">
        <f>'Grid_Stock'!CZ6</f>
        <v/>
      </c>
      <c r="DJ16" s="19">
        <f>'Grid_Stock'!DA6</f>
        <v/>
      </c>
    </row>
    <row r="17">
      <c r="A17" s="17" t="inlineStr">
        <is>
          <t>OJN</t>
        </is>
      </c>
      <c r="B17" s="17">
        <f>IFERROR(INDEX(M_RawMaterials[Description],MATCH($A17,M_RawMaterials[Part Name],0)),"")</f>
        <v/>
      </c>
      <c r="C17" s="17">
        <f>IFERROR(INDEX(M_RawMaterials[Category],MATCH($A17,M_RawMaterials[Part Name],0)),"")</f>
        <v/>
      </c>
      <c r="D17" s="17">
        <f>IFERROR(INDEX(M_RawMaterials[基準在庫下限_要入力],MATCH($A17,M_RawMaterials[Part Name],0)),0)</f>
        <v/>
      </c>
      <c r="E17" s="17">
        <f>IFERROR(INDEX(M_RawMaterials[基準在庫上限_要入力],MATCH($A17,M_RawMaterials[Part Name],0)),0)</f>
        <v/>
      </c>
      <c r="F17" s="17">
        <f>IFERROR(LOOKUP(2,1/('T_SelfStock'!$B$11:$DA$11&lt;&gt;""),'T_SelfStock'!$B$11:$DA$11),"")</f>
        <v/>
      </c>
      <c r="G17" s="17">
        <f>IFERROR(LOOKUP(2,1/('T_TTAFStock'!$B$11:$DA$11&lt;&gt;""),'T_TTAFStock'!$B$11:$DA$11),"")</f>
        <v/>
      </c>
      <c r="H17" s="17">
        <f>IFERROR(LOOKUP(2,1/('T_SelfStock'!$B$11:$DA$11&lt;&gt;""),'T_SelfStock'!$B$5:$DA$5),"")</f>
        <v/>
      </c>
      <c r="I17" s="18" t="inlineStr">
        <is>
          <t>理論在庫</t>
        </is>
      </c>
      <c r="J17" s="17">
        <f>IFERROR(INDEX('Grid_Stock'!$A7:$DA7,1,LOOKUP(2,1/('T_SelfStock'!$B$11:$DA$11&lt;&gt;""),COLUMN('T_SelfStock'!$B$11:$DA$11)))-INDEX('Grid_TheoreticalStock'!$A7:$DA7,1,LOOKUP(2,1/('T_SelfStock'!$B$11:$DA$11&lt;&gt;""),COLUMN('T_SelfStock'!$B$11:$DA$11))),0)</f>
        <v/>
      </c>
      <c r="K17" s="18">
        <f>'Grid_TheoreticalStock'!B7</f>
        <v/>
      </c>
      <c r="L17" s="18">
        <f>'Grid_TheoreticalStock'!C7</f>
        <v/>
      </c>
      <c r="M17" s="18">
        <f>'Grid_TheoreticalStock'!D7</f>
        <v/>
      </c>
      <c r="N17" s="18">
        <f>'Grid_TheoreticalStock'!E7</f>
        <v/>
      </c>
      <c r="O17" s="18">
        <f>'Grid_TheoreticalStock'!F7</f>
        <v/>
      </c>
      <c r="P17" s="18">
        <f>'Grid_TheoreticalStock'!G7</f>
        <v/>
      </c>
      <c r="Q17" s="18">
        <f>'Grid_TheoreticalStock'!H7</f>
        <v/>
      </c>
      <c r="R17" s="18">
        <f>'Grid_TheoreticalStock'!I7</f>
        <v/>
      </c>
      <c r="S17" s="18">
        <f>'Grid_TheoreticalStock'!J7</f>
        <v/>
      </c>
      <c r="T17" s="18">
        <f>'Grid_TheoreticalStock'!K7</f>
        <v/>
      </c>
      <c r="U17" s="18">
        <f>'Grid_TheoreticalStock'!L7</f>
        <v/>
      </c>
      <c r="V17" s="18">
        <f>'Grid_TheoreticalStock'!M7</f>
        <v/>
      </c>
      <c r="W17" s="18">
        <f>'Grid_TheoreticalStock'!N7</f>
        <v/>
      </c>
      <c r="X17" s="18">
        <f>'Grid_TheoreticalStock'!O7</f>
        <v/>
      </c>
      <c r="Y17" s="18">
        <f>'Grid_TheoreticalStock'!P7</f>
        <v/>
      </c>
      <c r="Z17" s="18">
        <f>'Grid_TheoreticalStock'!Q7</f>
        <v/>
      </c>
      <c r="AA17" s="18">
        <f>'Grid_TheoreticalStock'!R7</f>
        <v/>
      </c>
      <c r="AB17" s="18">
        <f>'Grid_TheoreticalStock'!S7</f>
        <v/>
      </c>
      <c r="AC17" s="18">
        <f>'Grid_TheoreticalStock'!T7</f>
        <v/>
      </c>
      <c r="AD17" s="18">
        <f>'Grid_TheoreticalStock'!U7</f>
        <v/>
      </c>
      <c r="AE17" s="18">
        <f>'Grid_TheoreticalStock'!V7</f>
        <v/>
      </c>
      <c r="AF17" s="18">
        <f>'Grid_TheoreticalStock'!W7</f>
        <v/>
      </c>
      <c r="AG17" s="18">
        <f>'Grid_TheoreticalStock'!X7</f>
        <v/>
      </c>
      <c r="AH17" s="18">
        <f>'Grid_TheoreticalStock'!Y7</f>
        <v/>
      </c>
      <c r="AI17" s="18">
        <f>'Grid_TheoreticalStock'!Z7</f>
        <v/>
      </c>
      <c r="AJ17" s="18">
        <f>'Grid_TheoreticalStock'!AA7</f>
        <v/>
      </c>
      <c r="AK17" s="18">
        <f>'Grid_TheoreticalStock'!AB7</f>
        <v/>
      </c>
      <c r="AL17" s="18">
        <f>'Grid_TheoreticalStock'!AC7</f>
        <v/>
      </c>
      <c r="AM17" s="18">
        <f>'Grid_TheoreticalStock'!AD7</f>
        <v/>
      </c>
      <c r="AN17" s="18">
        <f>'Grid_TheoreticalStock'!AE7</f>
        <v/>
      </c>
      <c r="AO17" s="18">
        <f>'Grid_TheoreticalStock'!AF7</f>
        <v/>
      </c>
      <c r="AP17" s="18">
        <f>'Grid_TheoreticalStock'!AG7</f>
        <v/>
      </c>
      <c r="AQ17" s="18">
        <f>'Grid_TheoreticalStock'!AH7</f>
        <v/>
      </c>
      <c r="AR17" s="18">
        <f>'Grid_TheoreticalStock'!AI7</f>
        <v/>
      </c>
      <c r="AS17" s="18">
        <f>'Grid_TheoreticalStock'!AJ7</f>
        <v/>
      </c>
      <c r="AT17" s="18">
        <f>'Grid_TheoreticalStock'!AK7</f>
        <v/>
      </c>
      <c r="AU17" s="18">
        <f>'Grid_TheoreticalStock'!AL7</f>
        <v/>
      </c>
      <c r="AV17" s="18">
        <f>'Grid_TheoreticalStock'!AM7</f>
        <v/>
      </c>
      <c r="AW17" s="18">
        <f>'Grid_TheoreticalStock'!AN7</f>
        <v/>
      </c>
      <c r="AX17" s="18">
        <f>'Grid_TheoreticalStock'!AO7</f>
        <v/>
      </c>
      <c r="AY17" s="18">
        <f>'Grid_TheoreticalStock'!AP7</f>
        <v/>
      </c>
      <c r="AZ17" s="18">
        <f>'Grid_TheoreticalStock'!AQ7</f>
        <v/>
      </c>
      <c r="BA17" s="18">
        <f>'Grid_TheoreticalStock'!AR7</f>
        <v/>
      </c>
      <c r="BB17" s="18">
        <f>'Grid_TheoreticalStock'!AS7</f>
        <v/>
      </c>
      <c r="BC17" s="18">
        <f>'Grid_TheoreticalStock'!AT7</f>
        <v/>
      </c>
      <c r="BD17" s="18">
        <f>'Grid_TheoreticalStock'!AU7</f>
        <v/>
      </c>
      <c r="BE17" s="18">
        <f>'Grid_TheoreticalStock'!AV7</f>
        <v/>
      </c>
      <c r="BF17" s="18">
        <f>'Grid_TheoreticalStock'!AW7</f>
        <v/>
      </c>
      <c r="BG17" s="18">
        <f>'Grid_TheoreticalStock'!AX7</f>
        <v/>
      </c>
      <c r="BH17" s="18">
        <f>'Grid_TheoreticalStock'!AY7</f>
        <v/>
      </c>
      <c r="BI17" s="18">
        <f>'Grid_TheoreticalStock'!AZ7</f>
        <v/>
      </c>
      <c r="BJ17" s="18">
        <f>'Grid_TheoreticalStock'!BA7</f>
        <v/>
      </c>
      <c r="BK17" s="18">
        <f>'Grid_TheoreticalStock'!BB7</f>
        <v/>
      </c>
      <c r="BL17" s="18">
        <f>'Grid_TheoreticalStock'!BC7</f>
        <v/>
      </c>
      <c r="BM17" s="18">
        <f>'Grid_TheoreticalStock'!BD7</f>
        <v/>
      </c>
      <c r="BN17" s="18">
        <f>'Grid_TheoreticalStock'!BE7</f>
        <v/>
      </c>
      <c r="BO17" s="18">
        <f>'Grid_TheoreticalStock'!BF7</f>
        <v/>
      </c>
      <c r="BP17" s="18">
        <f>'Grid_TheoreticalStock'!BG7</f>
        <v/>
      </c>
      <c r="BQ17" s="18">
        <f>'Grid_TheoreticalStock'!BH7</f>
        <v/>
      </c>
      <c r="BR17" s="18">
        <f>'Grid_TheoreticalStock'!BI7</f>
        <v/>
      </c>
      <c r="BS17" s="18">
        <f>'Grid_TheoreticalStock'!BJ7</f>
        <v/>
      </c>
      <c r="BT17" s="18">
        <f>'Grid_TheoreticalStock'!BK7</f>
        <v/>
      </c>
      <c r="BU17" s="18">
        <f>'Grid_TheoreticalStock'!BL7</f>
        <v/>
      </c>
      <c r="BV17" s="18">
        <f>'Grid_TheoreticalStock'!BM7</f>
        <v/>
      </c>
      <c r="BW17" s="18">
        <f>'Grid_TheoreticalStock'!BN7</f>
        <v/>
      </c>
      <c r="BX17" s="18">
        <f>'Grid_TheoreticalStock'!BO7</f>
        <v/>
      </c>
      <c r="BY17" s="18">
        <f>'Grid_TheoreticalStock'!BP7</f>
        <v/>
      </c>
      <c r="BZ17" s="18">
        <f>'Grid_TheoreticalStock'!BQ7</f>
        <v/>
      </c>
      <c r="CA17" s="18">
        <f>'Grid_TheoreticalStock'!BR7</f>
        <v/>
      </c>
      <c r="CB17" s="18">
        <f>'Grid_TheoreticalStock'!BS7</f>
        <v/>
      </c>
      <c r="CC17" s="18">
        <f>'Grid_TheoreticalStock'!BT7</f>
        <v/>
      </c>
      <c r="CD17" s="18">
        <f>'Grid_TheoreticalStock'!BU7</f>
        <v/>
      </c>
      <c r="CE17" s="18">
        <f>'Grid_TheoreticalStock'!BV7</f>
        <v/>
      </c>
      <c r="CF17" s="18">
        <f>'Grid_TheoreticalStock'!BW7</f>
        <v/>
      </c>
      <c r="CG17" s="18">
        <f>'Grid_TheoreticalStock'!BX7</f>
        <v/>
      </c>
      <c r="CH17" s="18">
        <f>'Grid_TheoreticalStock'!BY7</f>
        <v/>
      </c>
      <c r="CI17" s="18">
        <f>'Grid_TheoreticalStock'!BZ7</f>
        <v/>
      </c>
      <c r="CJ17" s="18">
        <f>'Grid_TheoreticalStock'!CA7</f>
        <v/>
      </c>
      <c r="CK17" s="18">
        <f>'Grid_TheoreticalStock'!CB7</f>
        <v/>
      </c>
      <c r="CL17" s="18">
        <f>'Grid_TheoreticalStock'!CC7</f>
        <v/>
      </c>
      <c r="CM17" s="18">
        <f>'Grid_TheoreticalStock'!CD7</f>
        <v/>
      </c>
      <c r="CN17" s="18">
        <f>'Grid_TheoreticalStock'!CE7</f>
        <v/>
      </c>
      <c r="CO17" s="18">
        <f>'Grid_TheoreticalStock'!CF7</f>
        <v/>
      </c>
      <c r="CP17" s="18">
        <f>'Grid_TheoreticalStock'!CG7</f>
        <v/>
      </c>
      <c r="CQ17" s="18">
        <f>'Grid_TheoreticalStock'!CH7</f>
        <v/>
      </c>
      <c r="CR17" s="18">
        <f>'Grid_TheoreticalStock'!CI7</f>
        <v/>
      </c>
      <c r="CS17" s="18">
        <f>'Grid_TheoreticalStock'!CJ7</f>
        <v/>
      </c>
      <c r="CT17" s="18">
        <f>'Grid_TheoreticalStock'!CK7</f>
        <v/>
      </c>
      <c r="CU17" s="18">
        <f>'Grid_TheoreticalStock'!CL7</f>
        <v/>
      </c>
      <c r="CV17" s="18">
        <f>'Grid_TheoreticalStock'!CM7</f>
        <v/>
      </c>
      <c r="CW17" s="18">
        <f>'Grid_TheoreticalStock'!CN7</f>
        <v/>
      </c>
      <c r="CX17" s="18">
        <f>'Grid_TheoreticalStock'!CO7</f>
        <v/>
      </c>
      <c r="CY17" s="18">
        <f>'Grid_TheoreticalStock'!CP7</f>
        <v/>
      </c>
      <c r="CZ17" s="18">
        <f>'Grid_TheoreticalStock'!CQ7</f>
        <v/>
      </c>
      <c r="DA17" s="18">
        <f>'Grid_TheoreticalStock'!CR7</f>
        <v/>
      </c>
      <c r="DB17" s="18">
        <f>'Grid_TheoreticalStock'!CS7</f>
        <v/>
      </c>
      <c r="DC17" s="18">
        <f>'Grid_TheoreticalStock'!CT7</f>
        <v/>
      </c>
      <c r="DD17" s="18">
        <f>'Grid_TheoreticalStock'!CU7</f>
        <v/>
      </c>
      <c r="DE17" s="18">
        <f>'Grid_TheoreticalStock'!CV7</f>
        <v/>
      </c>
      <c r="DF17" s="18">
        <f>'Grid_TheoreticalStock'!CW7</f>
        <v/>
      </c>
      <c r="DG17" s="18">
        <f>'Grid_TheoreticalStock'!CX7</f>
        <v/>
      </c>
      <c r="DH17" s="18">
        <f>'Grid_TheoreticalStock'!CY7</f>
        <v/>
      </c>
      <c r="DI17" s="18">
        <f>'Grid_TheoreticalStock'!CZ7</f>
        <v/>
      </c>
      <c r="DJ17" s="18">
        <f>'Grid_TheoreticalStock'!DA7</f>
        <v/>
      </c>
    </row>
    <row r="18">
      <c r="A18" s="19" t="inlineStr">
        <is>
          <t>OJN</t>
        </is>
      </c>
      <c r="B18" s="19">
        <f>IFERROR(INDEX(M_RawMaterials[Description],MATCH($A18,M_RawMaterials[Part Name],0)),"")</f>
        <v/>
      </c>
      <c r="C18" s="19">
        <f>IFERROR(INDEX(M_RawMaterials[Category],MATCH($A18,M_RawMaterials[Part Name],0)),"")</f>
        <v/>
      </c>
      <c r="D18" s="19">
        <f>IFERROR(INDEX(M_RawMaterials[基準在庫下限_要入力],MATCH($A18,M_RawMaterials[Part Name],0)),0)</f>
        <v/>
      </c>
      <c r="E18" s="19">
        <f>IFERROR(INDEX(M_RawMaterials[基準在庫上限_要入力],MATCH($A18,M_RawMaterials[Part Name],0)),0)</f>
        <v/>
      </c>
      <c r="F18" s="19">
        <f>IFERROR(LOOKUP(2,1/('T_SelfStock'!$B$11:$DA$11&lt;&gt;""),'T_SelfStock'!$B$11:$DA$11),"")</f>
        <v/>
      </c>
      <c r="G18" s="19">
        <f>IFERROR(LOOKUP(2,1/('T_TTAFStock'!$B$11:$DA$11&lt;&gt;""),'T_TTAFStock'!$B$11:$DA$11),"")</f>
        <v/>
      </c>
      <c r="H18" s="19">
        <f>IFERROR(LOOKUP(2,1/('T_SelfStock'!$B$11:$DA$11&lt;&gt;""),'T_SelfStock'!$B$5:$DA$5),"")</f>
        <v/>
      </c>
      <c r="I18" s="20" t="inlineStr">
        <is>
          <t>実在庫</t>
        </is>
      </c>
      <c r="J18" s="19">
        <f>IFERROR(INDEX('Grid_Stock'!$A7:$DA7,1,LOOKUP(2,1/('T_SelfStock'!$B$11:$DA$11&lt;&gt;""),COLUMN('T_SelfStock'!$B$11:$DA$11)))-INDEX('Grid_TheoreticalStock'!$A7:$DA7,1,LOOKUP(2,1/('T_SelfStock'!$B$11:$DA$11&lt;&gt;""),COLUMN('T_SelfStock'!$B$11:$DA$11))),0)</f>
        <v/>
      </c>
      <c r="K18" s="19">
        <f>'Grid_Stock'!B7</f>
        <v/>
      </c>
      <c r="L18" s="19">
        <f>'Grid_Stock'!C7</f>
        <v/>
      </c>
      <c r="M18" s="19">
        <f>'Grid_Stock'!D7</f>
        <v/>
      </c>
      <c r="N18" s="19">
        <f>'Grid_Stock'!E7</f>
        <v/>
      </c>
      <c r="O18" s="19">
        <f>'Grid_Stock'!F7</f>
        <v/>
      </c>
      <c r="P18" s="19">
        <f>'Grid_Stock'!G7</f>
        <v/>
      </c>
      <c r="Q18" s="19">
        <f>'Grid_Stock'!H7</f>
        <v/>
      </c>
      <c r="R18" s="19">
        <f>'Grid_Stock'!I7</f>
        <v/>
      </c>
      <c r="S18" s="19">
        <f>'Grid_Stock'!J7</f>
        <v/>
      </c>
      <c r="T18" s="19">
        <f>'Grid_Stock'!K7</f>
        <v/>
      </c>
      <c r="U18" s="19">
        <f>'Grid_Stock'!L7</f>
        <v/>
      </c>
      <c r="V18" s="19">
        <f>'Grid_Stock'!M7</f>
        <v/>
      </c>
      <c r="W18" s="19">
        <f>'Grid_Stock'!N7</f>
        <v/>
      </c>
      <c r="X18" s="19">
        <f>'Grid_Stock'!O7</f>
        <v/>
      </c>
      <c r="Y18" s="19">
        <f>'Grid_Stock'!P7</f>
        <v/>
      </c>
      <c r="Z18" s="19">
        <f>'Grid_Stock'!Q7</f>
        <v/>
      </c>
      <c r="AA18" s="19">
        <f>'Grid_Stock'!R7</f>
        <v/>
      </c>
      <c r="AB18" s="19">
        <f>'Grid_Stock'!S7</f>
        <v/>
      </c>
      <c r="AC18" s="19">
        <f>'Grid_Stock'!T7</f>
        <v/>
      </c>
      <c r="AD18" s="19">
        <f>'Grid_Stock'!U7</f>
        <v/>
      </c>
      <c r="AE18" s="19">
        <f>'Grid_Stock'!V7</f>
        <v/>
      </c>
      <c r="AF18" s="19">
        <f>'Grid_Stock'!W7</f>
        <v/>
      </c>
      <c r="AG18" s="19">
        <f>'Grid_Stock'!X7</f>
        <v/>
      </c>
      <c r="AH18" s="19">
        <f>'Grid_Stock'!Y7</f>
        <v/>
      </c>
      <c r="AI18" s="19">
        <f>'Grid_Stock'!Z7</f>
        <v/>
      </c>
      <c r="AJ18" s="19">
        <f>'Grid_Stock'!AA7</f>
        <v/>
      </c>
      <c r="AK18" s="19">
        <f>'Grid_Stock'!AB7</f>
        <v/>
      </c>
      <c r="AL18" s="19">
        <f>'Grid_Stock'!AC7</f>
        <v/>
      </c>
      <c r="AM18" s="19">
        <f>'Grid_Stock'!AD7</f>
        <v/>
      </c>
      <c r="AN18" s="19">
        <f>'Grid_Stock'!AE7</f>
        <v/>
      </c>
      <c r="AO18" s="19">
        <f>'Grid_Stock'!AF7</f>
        <v/>
      </c>
      <c r="AP18" s="19">
        <f>'Grid_Stock'!AG7</f>
        <v/>
      </c>
      <c r="AQ18" s="19">
        <f>'Grid_Stock'!AH7</f>
        <v/>
      </c>
      <c r="AR18" s="19">
        <f>'Grid_Stock'!AI7</f>
        <v/>
      </c>
      <c r="AS18" s="19">
        <f>'Grid_Stock'!AJ7</f>
        <v/>
      </c>
      <c r="AT18" s="19">
        <f>'Grid_Stock'!AK7</f>
        <v/>
      </c>
      <c r="AU18" s="19">
        <f>'Grid_Stock'!AL7</f>
        <v/>
      </c>
      <c r="AV18" s="19">
        <f>'Grid_Stock'!AM7</f>
        <v/>
      </c>
      <c r="AW18" s="19">
        <f>'Grid_Stock'!AN7</f>
        <v/>
      </c>
      <c r="AX18" s="19">
        <f>'Grid_Stock'!AO7</f>
        <v/>
      </c>
      <c r="AY18" s="19">
        <f>'Grid_Stock'!AP7</f>
        <v/>
      </c>
      <c r="AZ18" s="19">
        <f>'Grid_Stock'!AQ7</f>
        <v/>
      </c>
      <c r="BA18" s="19">
        <f>'Grid_Stock'!AR7</f>
        <v/>
      </c>
      <c r="BB18" s="19">
        <f>'Grid_Stock'!AS7</f>
        <v/>
      </c>
      <c r="BC18" s="19">
        <f>'Grid_Stock'!AT7</f>
        <v/>
      </c>
      <c r="BD18" s="19">
        <f>'Grid_Stock'!AU7</f>
        <v/>
      </c>
      <c r="BE18" s="19">
        <f>'Grid_Stock'!AV7</f>
        <v/>
      </c>
      <c r="BF18" s="19">
        <f>'Grid_Stock'!AW7</f>
        <v/>
      </c>
      <c r="BG18" s="19">
        <f>'Grid_Stock'!AX7</f>
        <v/>
      </c>
      <c r="BH18" s="19">
        <f>'Grid_Stock'!AY7</f>
        <v/>
      </c>
      <c r="BI18" s="19">
        <f>'Grid_Stock'!AZ7</f>
        <v/>
      </c>
      <c r="BJ18" s="19">
        <f>'Grid_Stock'!BA7</f>
        <v/>
      </c>
      <c r="BK18" s="19">
        <f>'Grid_Stock'!BB7</f>
        <v/>
      </c>
      <c r="BL18" s="19">
        <f>'Grid_Stock'!BC7</f>
        <v/>
      </c>
      <c r="BM18" s="19">
        <f>'Grid_Stock'!BD7</f>
        <v/>
      </c>
      <c r="BN18" s="19">
        <f>'Grid_Stock'!BE7</f>
        <v/>
      </c>
      <c r="BO18" s="19">
        <f>'Grid_Stock'!BF7</f>
        <v/>
      </c>
      <c r="BP18" s="19">
        <f>'Grid_Stock'!BG7</f>
        <v/>
      </c>
      <c r="BQ18" s="19">
        <f>'Grid_Stock'!BH7</f>
        <v/>
      </c>
      <c r="BR18" s="19">
        <f>'Grid_Stock'!BI7</f>
        <v/>
      </c>
      <c r="BS18" s="19">
        <f>'Grid_Stock'!BJ7</f>
        <v/>
      </c>
      <c r="BT18" s="19">
        <f>'Grid_Stock'!BK7</f>
        <v/>
      </c>
      <c r="BU18" s="19">
        <f>'Grid_Stock'!BL7</f>
        <v/>
      </c>
      <c r="BV18" s="19">
        <f>'Grid_Stock'!BM7</f>
        <v/>
      </c>
      <c r="BW18" s="19">
        <f>'Grid_Stock'!BN7</f>
        <v/>
      </c>
      <c r="BX18" s="19">
        <f>'Grid_Stock'!BO7</f>
        <v/>
      </c>
      <c r="BY18" s="19">
        <f>'Grid_Stock'!BP7</f>
        <v/>
      </c>
      <c r="BZ18" s="19">
        <f>'Grid_Stock'!BQ7</f>
        <v/>
      </c>
      <c r="CA18" s="19">
        <f>'Grid_Stock'!BR7</f>
        <v/>
      </c>
      <c r="CB18" s="19">
        <f>'Grid_Stock'!BS7</f>
        <v/>
      </c>
      <c r="CC18" s="19">
        <f>'Grid_Stock'!BT7</f>
        <v/>
      </c>
      <c r="CD18" s="19">
        <f>'Grid_Stock'!BU7</f>
        <v/>
      </c>
      <c r="CE18" s="19">
        <f>'Grid_Stock'!BV7</f>
        <v/>
      </c>
      <c r="CF18" s="19">
        <f>'Grid_Stock'!BW7</f>
        <v/>
      </c>
      <c r="CG18" s="19">
        <f>'Grid_Stock'!BX7</f>
        <v/>
      </c>
      <c r="CH18" s="19">
        <f>'Grid_Stock'!BY7</f>
        <v/>
      </c>
      <c r="CI18" s="19">
        <f>'Grid_Stock'!BZ7</f>
        <v/>
      </c>
      <c r="CJ18" s="19">
        <f>'Grid_Stock'!CA7</f>
        <v/>
      </c>
      <c r="CK18" s="19">
        <f>'Grid_Stock'!CB7</f>
        <v/>
      </c>
      <c r="CL18" s="19">
        <f>'Grid_Stock'!CC7</f>
        <v/>
      </c>
      <c r="CM18" s="19">
        <f>'Grid_Stock'!CD7</f>
        <v/>
      </c>
      <c r="CN18" s="19">
        <f>'Grid_Stock'!CE7</f>
        <v/>
      </c>
      <c r="CO18" s="19">
        <f>'Grid_Stock'!CF7</f>
        <v/>
      </c>
      <c r="CP18" s="19">
        <f>'Grid_Stock'!CG7</f>
        <v/>
      </c>
      <c r="CQ18" s="19">
        <f>'Grid_Stock'!CH7</f>
        <v/>
      </c>
      <c r="CR18" s="19">
        <f>'Grid_Stock'!CI7</f>
        <v/>
      </c>
      <c r="CS18" s="19">
        <f>'Grid_Stock'!CJ7</f>
        <v/>
      </c>
      <c r="CT18" s="19">
        <f>'Grid_Stock'!CK7</f>
        <v/>
      </c>
      <c r="CU18" s="19">
        <f>'Grid_Stock'!CL7</f>
        <v/>
      </c>
      <c r="CV18" s="19">
        <f>'Grid_Stock'!CM7</f>
        <v/>
      </c>
      <c r="CW18" s="19">
        <f>'Grid_Stock'!CN7</f>
        <v/>
      </c>
      <c r="CX18" s="19">
        <f>'Grid_Stock'!CO7</f>
        <v/>
      </c>
      <c r="CY18" s="19">
        <f>'Grid_Stock'!CP7</f>
        <v/>
      </c>
      <c r="CZ18" s="19">
        <f>'Grid_Stock'!CQ7</f>
        <v/>
      </c>
      <c r="DA18" s="19">
        <f>'Grid_Stock'!CR7</f>
        <v/>
      </c>
      <c r="DB18" s="19">
        <f>'Grid_Stock'!CS7</f>
        <v/>
      </c>
      <c r="DC18" s="19">
        <f>'Grid_Stock'!CT7</f>
        <v/>
      </c>
      <c r="DD18" s="19">
        <f>'Grid_Stock'!CU7</f>
        <v/>
      </c>
      <c r="DE18" s="19">
        <f>'Grid_Stock'!CV7</f>
        <v/>
      </c>
      <c r="DF18" s="19">
        <f>'Grid_Stock'!CW7</f>
        <v/>
      </c>
      <c r="DG18" s="19">
        <f>'Grid_Stock'!CX7</f>
        <v/>
      </c>
      <c r="DH18" s="19">
        <f>'Grid_Stock'!CY7</f>
        <v/>
      </c>
      <c r="DI18" s="19">
        <f>'Grid_Stock'!CZ7</f>
        <v/>
      </c>
      <c r="DJ18" s="19">
        <f>'Grid_Stock'!DA7</f>
        <v/>
      </c>
    </row>
    <row r="19">
      <c r="A19" s="17" t="inlineStr">
        <is>
          <t>TDJ</t>
        </is>
      </c>
      <c r="B19" s="17">
        <f>IFERROR(INDEX(M_RawMaterials[Description],MATCH($A19,M_RawMaterials[Part Name],0)),"")</f>
        <v/>
      </c>
      <c r="C19" s="17">
        <f>IFERROR(INDEX(M_RawMaterials[Category],MATCH($A19,M_RawMaterials[Part Name],0)),"")</f>
        <v/>
      </c>
      <c r="D19" s="17">
        <f>IFERROR(INDEX(M_RawMaterials[基準在庫下限_要入力],MATCH($A19,M_RawMaterials[Part Name],0)),0)</f>
        <v/>
      </c>
      <c r="E19" s="17">
        <f>IFERROR(INDEX(M_RawMaterials[基準在庫上限_要入力],MATCH($A19,M_RawMaterials[Part Name],0)),0)</f>
        <v/>
      </c>
      <c r="F19" s="17">
        <f>IFERROR(LOOKUP(2,1/('T_SelfStock'!$B$12:$DA$12&lt;&gt;""),'T_SelfStock'!$B$12:$DA$12),"")</f>
        <v/>
      </c>
      <c r="G19" s="17">
        <f>IFERROR(LOOKUP(2,1/('T_TTAFStock'!$B$12:$DA$12&lt;&gt;""),'T_TTAFStock'!$B$12:$DA$12),"")</f>
        <v/>
      </c>
      <c r="H19" s="17">
        <f>IFERROR(LOOKUP(2,1/('T_SelfStock'!$B$12:$DA$12&lt;&gt;""),'T_SelfStock'!$B$5:$DA$5),"")</f>
        <v/>
      </c>
      <c r="I19" s="18" t="inlineStr">
        <is>
          <t>理論在庫</t>
        </is>
      </c>
      <c r="J19" s="17">
        <f>IFERROR(INDEX('Grid_Stock'!$A8:$DA8,1,LOOKUP(2,1/('T_SelfStock'!$B$12:$DA$12&lt;&gt;""),COLUMN('T_SelfStock'!$B$12:$DA$12)))-INDEX('Grid_TheoreticalStock'!$A8:$DA8,1,LOOKUP(2,1/('T_SelfStock'!$B$12:$DA$12&lt;&gt;""),COLUMN('T_SelfStock'!$B$12:$DA$12))),0)</f>
        <v/>
      </c>
      <c r="K19" s="18">
        <f>'Grid_TheoreticalStock'!B8</f>
        <v/>
      </c>
      <c r="L19" s="18">
        <f>'Grid_TheoreticalStock'!C8</f>
        <v/>
      </c>
      <c r="M19" s="18">
        <f>'Grid_TheoreticalStock'!D8</f>
        <v/>
      </c>
      <c r="N19" s="18">
        <f>'Grid_TheoreticalStock'!E8</f>
        <v/>
      </c>
      <c r="O19" s="18">
        <f>'Grid_TheoreticalStock'!F8</f>
        <v/>
      </c>
      <c r="P19" s="18">
        <f>'Grid_TheoreticalStock'!G8</f>
        <v/>
      </c>
      <c r="Q19" s="18">
        <f>'Grid_TheoreticalStock'!H8</f>
        <v/>
      </c>
      <c r="R19" s="18">
        <f>'Grid_TheoreticalStock'!I8</f>
        <v/>
      </c>
      <c r="S19" s="18">
        <f>'Grid_TheoreticalStock'!J8</f>
        <v/>
      </c>
      <c r="T19" s="18">
        <f>'Grid_TheoreticalStock'!K8</f>
        <v/>
      </c>
      <c r="U19" s="18">
        <f>'Grid_TheoreticalStock'!L8</f>
        <v/>
      </c>
      <c r="V19" s="18">
        <f>'Grid_TheoreticalStock'!M8</f>
        <v/>
      </c>
      <c r="W19" s="18">
        <f>'Grid_TheoreticalStock'!N8</f>
        <v/>
      </c>
      <c r="X19" s="18">
        <f>'Grid_TheoreticalStock'!O8</f>
        <v/>
      </c>
      <c r="Y19" s="18">
        <f>'Grid_TheoreticalStock'!P8</f>
        <v/>
      </c>
      <c r="Z19" s="18">
        <f>'Grid_TheoreticalStock'!Q8</f>
        <v/>
      </c>
      <c r="AA19" s="18">
        <f>'Grid_TheoreticalStock'!R8</f>
        <v/>
      </c>
      <c r="AB19" s="18">
        <f>'Grid_TheoreticalStock'!S8</f>
        <v/>
      </c>
      <c r="AC19" s="18">
        <f>'Grid_TheoreticalStock'!T8</f>
        <v/>
      </c>
      <c r="AD19" s="18">
        <f>'Grid_TheoreticalStock'!U8</f>
        <v/>
      </c>
      <c r="AE19" s="18">
        <f>'Grid_TheoreticalStock'!V8</f>
        <v/>
      </c>
      <c r="AF19" s="18">
        <f>'Grid_TheoreticalStock'!W8</f>
        <v/>
      </c>
      <c r="AG19" s="18">
        <f>'Grid_TheoreticalStock'!X8</f>
        <v/>
      </c>
      <c r="AH19" s="18">
        <f>'Grid_TheoreticalStock'!Y8</f>
        <v/>
      </c>
      <c r="AI19" s="18">
        <f>'Grid_TheoreticalStock'!Z8</f>
        <v/>
      </c>
      <c r="AJ19" s="18">
        <f>'Grid_TheoreticalStock'!AA8</f>
        <v/>
      </c>
      <c r="AK19" s="18">
        <f>'Grid_TheoreticalStock'!AB8</f>
        <v/>
      </c>
      <c r="AL19" s="18">
        <f>'Grid_TheoreticalStock'!AC8</f>
        <v/>
      </c>
      <c r="AM19" s="18">
        <f>'Grid_TheoreticalStock'!AD8</f>
        <v/>
      </c>
      <c r="AN19" s="18">
        <f>'Grid_TheoreticalStock'!AE8</f>
        <v/>
      </c>
      <c r="AO19" s="18">
        <f>'Grid_TheoreticalStock'!AF8</f>
        <v/>
      </c>
      <c r="AP19" s="18">
        <f>'Grid_TheoreticalStock'!AG8</f>
        <v/>
      </c>
      <c r="AQ19" s="18">
        <f>'Grid_TheoreticalStock'!AH8</f>
        <v/>
      </c>
      <c r="AR19" s="18">
        <f>'Grid_TheoreticalStock'!AI8</f>
        <v/>
      </c>
      <c r="AS19" s="18">
        <f>'Grid_TheoreticalStock'!AJ8</f>
        <v/>
      </c>
      <c r="AT19" s="18">
        <f>'Grid_TheoreticalStock'!AK8</f>
        <v/>
      </c>
      <c r="AU19" s="18">
        <f>'Grid_TheoreticalStock'!AL8</f>
        <v/>
      </c>
      <c r="AV19" s="18">
        <f>'Grid_TheoreticalStock'!AM8</f>
        <v/>
      </c>
      <c r="AW19" s="18">
        <f>'Grid_TheoreticalStock'!AN8</f>
        <v/>
      </c>
      <c r="AX19" s="18">
        <f>'Grid_TheoreticalStock'!AO8</f>
        <v/>
      </c>
      <c r="AY19" s="18">
        <f>'Grid_TheoreticalStock'!AP8</f>
        <v/>
      </c>
      <c r="AZ19" s="18">
        <f>'Grid_TheoreticalStock'!AQ8</f>
        <v/>
      </c>
      <c r="BA19" s="18">
        <f>'Grid_TheoreticalStock'!AR8</f>
        <v/>
      </c>
      <c r="BB19" s="18">
        <f>'Grid_TheoreticalStock'!AS8</f>
        <v/>
      </c>
      <c r="BC19" s="18">
        <f>'Grid_TheoreticalStock'!AT8</f>
        <v/>
      </c>
      <c r="BD19" s="18">
        <f>'Grid_TheoreticalStock'!AU8</f>
        <v/>
      </c>
      <c r="BE19" s="18">
        <f>'Grid_TheoreticalStock'!AV8</f>
        <v/>
      </c>
      <c r="BF19" s="18">
        <f>'Grid_TheoreticalStock'!AW8</f>
        <v/>
      </c>
      <c r="BG19" s="18">
        <f>'Grid_TheoreticalStock'!AX8</f>
        <v/>
      </c>
      <c r="BH19" s="18">
        <f>'Grid_TheoreticalStock'!AY8</f>
        <v/>
      </c>
      <c r="BI19" s="18">
        <f>'Grid_TheoreticalStock'!AZ8</f>
        <v/>
      </c>
      <c r="BJ19" s="18">
        <f>'Grid_TheoreticalStock'!BA8</f>
        <v/>
      </c>
      <c r="BK19" s="18">
        <f>'Grid_TheoreticalStock'!BB8</f>
        <v/>
      </c>
      <c r="BL19" s="18">
        <f>'Grid_TheoreticalStock'!BC8</f>
        <v/>
      </c>
      <c r="BM19" s="18">
        <f>'Grid_TheoreticalStock'!BD8</f>
        <v/>
      </c>
      <c r="BN19" s="18">
        <f>'Grid_TheoreticalStock'!BE8</f>
        <v/>
      </c>
      <c r="BO19" s="18">
        <f>'Grid_TheoreticalStock'!BF8</f>
        <v/>
      </c>
      <c r="BP19" s="18">
        <f>'Grid_TheoreticalStock'!BG8</f>
        <v/>
      </c>
      <c r="BQ19" s="18">
        <f>'Grid_TheoreticalStock'!BH8</f>
        <v/>
      </c>
      <c r="BR19" s="18">
        <f>'Grid_TheoreticalStock'!BI8</f>
        <v/>
      </c>
      <c r="BS19" s="18">
        <f>'Grid_TheoreticalStock'!BJ8</f>
        <v/>
      </c>
      <c r="BT19" s="18">
        <f>'Grid_TheoreticalStock'!BK8</f>
        <v/>
      </c>
      <c r="BU19" s="18">
        <f>'Grid_TheoreticalStock'!BL8</f>
        <v/>
      </c>
      <c r="BV19" s="18">
        <f>'Grid_TheoreticalStock'!BM8</f>
        <v/>
      </c>
      <c r="BW19" s="18">
        <f>'Grid_TheoreticalStock'!BN8</f>
        <v/>
      </c>
      <c r="BX19" s="18">
        <f>'Grid_TheoreticalStock'!BO8</f>
        <v/>
      </c>
      <c r="BY19" s="18">
        <f>'Grid_TheoreticalStock'!BP8</f>
        <v/>
      </c>
      <c r="BZ19" s="18">
        <f>'Grid_TheoreticalStock'!BQ8</f>
        <v/>
      </c>
      <c r="CA19" s="18">
        <f>'Grid_TheoreticalStock'!BR8</f>
        <v/>
      </c>
      <c r="CB19" s="18">
        <f>'Grid_TheoreticalStock'!BS8</f>
        <v/>
      </c>
      <c r="CC19" s="18">
        <f>'Grid_TheoreticalStock'!BT8</f>
        <v/>
      </c>
      <c r="CD19" s="18">
        <f>'Grid_TheoreticalStock'!BU8</f>
        <v/>
      </c>
      <c r="CE19" s="18">
        <f>'Grid_TheoreticalStock'!BV8</f>
        <v/>
      </c>
      <c r="CF19" s="18">
        <f>'Grid_TheoreticalStock'!BW8</f>
        <v/>
      </c>
      <c r="CG19" s="18">
        <f>'Grid_TheoreticalStock'!BX8</f>
        <v/>
      </c>
      <c r="CH19" s="18">
        <f>'Grid_TheoreticalStock'!BY8</f>
        <v/>
      </c>
      <c r="CI19" s="18">
        <f>'Grid_TheoreticalStock'!BZ8</f>
        <v/>
      </c>
      <c r="CJ19" s="18">
        <f>'Grid_TheoreticalStock'!CA8</f>
        <v/>
      </c>
      <c r="CK19" s="18">
        <f>'Grid_TheoreticalStock'!CB8</f>
        <v/>
      </c>
      <c r="CL19" s="18">
        <f>'Grid_TheoreticalStock'!CC8</f>
        <v/>
      </c>
      <c r="CM19" s="18">
        <f>'Grid_TheoreticalStock'!CD8</f>
        <v/>
      </c>
      <c r="CN19" s="18">
        <f>'Grid_TheoreticalStock'!CE8</f>
        <v/>
      </c>
      <c r="CO19" s="18">
        <f>'Grid_TheoreticalStock'!CF8</f>
        <v/>
      </c>
      <c r="CP19" s="18">
        <f>'Grid_TheoreticalStock'!CG8</f>
        <v/>
      </c>
      <c r="CQ19" s="18">
        <f>'Grid_TheoreticalStock'!CH8</f>
        <v/>
      </c>
      <c r="CR19" s="18">
        <f>'Grid_TheoreticalStock'!CI8</f>
        <v/>
      </c>
      <c r="CS19" s="18">
        <f>'Grid_TheoreticalStock'!CJ8</f>
        <v/>
      </c>
      <c r="CT19" s="18">
        <f>'Grid_TheoreticalStock'!CK8</f>
        <v/>
      </c>
      <c r="CU19" s="18">
        <f>'Grid_TheoreticalStock'!CL8</f>
        <v/>
      </c>
      <c r="CV19" s="18">
        <f>'Grid_TheoreticalStock'!CM8</f>
        <v/>
      </c>
      <c r="CW19" s="18">
        <f>'Grid_TheoreticalStock'!CN8</f>
        <v/>
      </c>
      <c r="CX19" s="18">
        <f>'Grid_TheoreticalStock'!CO8</f>
        <v/>
      </c>
      <c r="CY19" s="18">
        <f>'Grid_TheoreticalStock'!CP8</f>
        <v/>
      </c>
      <c r="CZ19" s="18">
        <f>'Grid_TheoreticalStock'!CQ8</f>
        <v/>
      </c>
      <c r="DA19" s="18">
        <f>'Grid_TheoreticalStock'!CR8</f>
        <v/>
      </c>
      <c r="DB19" s="18">
        <f>'Grid_TheoreticalStock'!CS8</f>
        <v/>
      </c>
      <c r="DC19" s="18">
        <f>'Grid_TheoreticalStock'!CT8</f>
        <v/>
      </c>
      <c r="DD19" s="18">
        <f>'Grid_TheoreticalStock'!CU8</f>
        <v/>
      </c>
      <c r="DE19" s="18">
        <f>'Grid_TheoreticalStock'!CV8</f>
        <v/>
      </c>
      <c r="DF19" s="18">
        <f>'Grid_TheoreticalStock'!CW8</f>
        <v/>
      </c>
      <c r="DG19" s="18">
        <f>'Grid_TheoreticalStock'!CX8</f>
        <v/>
      </c>
      <c r="DH19" s="18">
        <f>'Grid_TheoreticalStock'!CY8</f>
        <v/>
      </c>
      <c r="DI19" s="18">
        <f>'Grid_TheoreticalStock'!CZ8</f>
        <v/>
      </c>
      <c r="DJ19" s="18">
        <f>'Grid_TheoreticalStock'!DA8</f>
        <v/>
      </c>
    </row>
    <row r="20">
      <c r="A20" s="19" t="inlineStr">
        <is>
          <t>TDJ</t>
        </is>
      </c>
      <c r="B20" s="19">
        <f>IFERROR(INDEX(M_RawMaterials[Description],MATCH($A20,M_RawMaterials[Part Name],0)),"")</f>
        <v/>
      </c>
      <c r="C20" s="19">
        <f>IFERROR(INDEX(M_RawMaterials[Category],MATCH($A20,M_RawMaterials[Part Name],0)),"")</f>
        <v/>
      </c>
      <c r="D20" s="19">
        <f>IFERROR(INDEX(M_RawMaterials[基準在庫下限_要入力],MATCH($A20,M_RawMaterials[Part Name],0)),0)</f>
        <v/>
      </c>
      <c r="E20" s="19">
        <f>IFERROR(INDEX(M_RawMaterials[基準在庫上限_要入力],MATCH($A20,M_RawMaterials[Part Name],0)),0)</f>
        <v/>
      </c>
      <c r="F20" s="19">
        <f>IFERROR(LOOKUP(2,1/('T_SelfStock'!$B$12:$DA$12&lt;&gt;""),'T_SelfStock'!$B$12:$DA$12),"")</f>
        <v/>
      </c>
      <c r="G20" s="19">
        <f>IFERROR(LOOKUP(2,1/('T_TTAFStock'!$B$12:$DA$12&lt;&gt;""),'T_TTAFStock'!$B$12:$DA$12),"")</f>
        <v/>
      </c>
      <c r="H20" s="19">
        <f>IFERROR(LOOKUP(2,1/('T_SelfStock'!$B$12:$DA$12&lt;&gt;""),'T_SelfStock'!$B$5:$DA$5),"")</f>
        <v/>
      </c>
      <c r="I20" s="20" t="inlineStr">
        <is>
          <t>実在庫</t>
        </is>
      </c>
      <c r="J20" s="19">
        <f>IFERROR(INDEX('Grid_Stock'!$A8:$DA8,1,LOOKUP(2,1/('T_SelfStock'!$B$12:$DA$12&lt;&gt;""),COLUMN('T_SelfStock'!$B$12:$DA$12)))-INDEX('Grid_TheoreticalStock'!$A8:$DA8,1,LOOKUP(2,1/('T_SelfStock'!$B$12:$DA$12&lt;&gt;""),COLUMN('T_SelfStock'!$B$12:$DA$12))),0)</f>
        <v/>
      </c>
      <c r="K20" s="19">
        <f>'Grid_Stock'!B8</f>
        <v/>
      </c>
      <c r="L20" s="19">
        <f>'Grid_Stock'!C8</f>
        <v/>
      </c>
      <c r="M20" s="19">
        <f>'Grid_Stock'!D8</f>
        <v/>
      </c>
      <c r="N20" s="19">
        <f>'Grid_Stock'!E8</f>
        <v/>
      </c>
      <c r="O20" s="19">
        <f>'Grid_Stock'!F8</f>
        <v/>
      </c>
      <c r="P20" s="19">
        <f>'Grid_Stock'!G8</f>
        <v/>
      </c>
      <c r="Q20" s="19">
        <f>'Grid_Stock'!H8</f>
        <v/>
      </c>
      <c r="R20" s="19">
        <f>'Grid_Stock'!I8</f>
        <v/>
      </c>
      <c r="S20" s="19">
        <f>'Grid_Stock'!J8</f>
        <v/>
      </c>
      <c r="T20" s="19">
        <f>'Grid_Stock'!K8</f>
        <v/>
      </c>
      <c r="U20" s="19">
        <f>'Grid_Stock'!L8</f>
        <v/>
      </c>
      <c r="V20" s="19">
        <f>'Grid_Stock'!M8</f>
        <v/>
      </c>
      <c r="W20" s="19">
        <f>'Grid_Stock'!N8</f>
        <v/>
      </c>
      <c r="X20" s="19">
        <f>'Grid_Stock'!O8</f>
        <v/>
      </c>
      <c r="Y20" s="19">
        <f>'Grid_Stock'!P8</f>
        <v/>
      </c>
      <c r="Z20" s="19">
        <f>'Grid_Stock'!Q8</f>
        <v/>
      </c>
      <c r="AA20" s="19">
        <f>'Grid_Stock'!R8</f>
        <v/>
      </c>
      <c r="AB20" s="19">
        <f>'Grid_Stock'!S8</f>
        <v/>
      </c>
      <c r="AC20" s="19">
        <f>'Grid_Stock'!T8</f>
        <v/>
      </c>
      <c r="AD20" s="19">
        <f>'Grid_Stock'!U8</f>
        <v/>
      </c>
      <c r="AE20" s="19">
        <f>'Grid_Stock'!V8</f>
        <v/>
      </c>
      <c r="AF20" s="19">
        <f>'Grid_Stock'!W8</f>
        <v/>
      </c>
      <c r="AG20" s="19">
        <f>'Grid_Stock'!X8</f>
        <v/>
      </c>
      <c r="AH20" s="19">
        <f>'Grid_Stock'!Y8</f>
        <v/>
      </c>
      <c r="AI20" s="19">
        <f>'Grid_Stock'!Z8</f>
        <v/>
      </c>
      <c r="AJ20" s="19">
        <f>'Grid_Stock'!AA8</f>
        <v/>
      </c>
      <c r="AK20" s="19">
        <f>'Grid_Stock'!AB8</f>
        <v/>
      </c>
      <c r="AL20" s="19">
        <f>'Grid_Stock'!AC8</f>
        <v/>
      </c>
      <c r="AM20" s="19">
        <f>'Grid_Stock'!AD8</f>
        <v/>
      </c>
      <c r="AN20" s="19">
        <f>'Grid_Stock'!AE8</f>
        <v/>
      </c>
      <c r="AO20" s="19">
        <f>'Grid_Stock'!AF8</f>
        <v/>
      </c>
      <c r="AP20" s="19">
        <f>'Grid_Stock'!AG8</f>
        <v/>
      </c>
      <c r="AQ20" s="19">
        <f>'Grid_Stock'!AH8</f>
        <v/>
      </c>
      <c r="AR20" s="19">
        <f>'Grid_Stock'!AI8</f>
        <v/>
      </c>
      <c r="AS20" s="19">
        <f>'Grid_Stock'!AJ8</f>
        <v/>
      </c>
      <c r="AT20" s="19">
        <f>'Grid_Stock'!AK8</f>
        <v/>
      </c>
      <c r="AU20" s="19">
        <f>'Grid_Stock'!AL8</f>
        <v/>
      </c>
      <c r="AV20" s="19">
        <f>'Grid_Stock'!AM8</f>
        <v/>
      </c>
      <c r="AW20" s="19">
        <f>'Grid_Stock'!AN8</f>
        <v/>
      </c>
      <c r="AX20" s="19">
        <f>'Grid_Stock'!AO8</f>
        <v/>
      </c>
      <c r="AY20" s="19">
        <f>'Grid_Stock'!AP8</f>
        <v/>
      </c>
      <c r="AZ20" s="19">
        <f>'Grid_Stock'!AQ8</f>
        <v/>
      </c>
      <c r="BA20" s="19">
        <f>'Grid_Stock'!AR8</f>
        <v/>
      </c>
      <c r="BB20" s="19">
        <f>'Grid_Stock'!AS8</f>
        <v/>
      </c>
      <c r="BC20" s="19">
        <f>'Grid_Stock'!AT8</f>
        <v/>
      </c>
      <c r="BD20" s="19">
        <f>'Grid_Stock'!AU8</f>
        <v/>
      </c>
      <c r="BE20" s="19">
        <f>'Grid_Stock'!AV8</f>
        <v/>
      </c>
      <c r="BF20" s="19">
        <f>'Grid_Stock'!AW8</f>
        <v/>
      </c>
      <c r="BG20" s="19">
        <f>'Grid_Stock'!AX8</f>
        <v/>
      </c>
      <c r="BH20" s="19">
        <f>'Grid_Stock'!AY8</f>
        <v/>
      </c>
      <c r="BI20" s="19">
        <f>'Grid_Stock'!AZ8</f>
        <v/>
      </c>
      <c r="BJ20" s="19">
        <f>'Grid_Stock'!BA8</f>
        <v/>
      </c>
      <c r="BK20" s="19">
        <f>'Grid_Stock'!BB8</f>
        <v/>
      </c>
      <c r="BL20" s="19">
        <f>'Grid_Stock'!BC8</f>
        <v/>
      </c>
      <c r="BM20" s="19">
        <f>'Grid_Stock'!BD8</f>
        <v/>
      </c>
      <c r="BN20" s="19">
        <f>'Grid_Stock'!BE8</f>
        <v/>
      </c>
      <c r="BO20" s="19">
        <f>'Grid_Stock'!BF8</f>
        <v/>
      </c>
      <c r="BP20" s="19">
        <f>'Grid_Stock'!BG8</f>
        <v/>
      </c>
      <c r="BQ20" s="19">
        <f>'Grid_Stock'!BH8</f>
        <v/>
      </c>
      <c r="BR20" s="19">
        <f>'Grid_Stock'!BI8</f>
        <v/>
      </c>
      <c r="BS20" s="19">
        <f>'Grid_Stock'!BJ8</f>
        <v/>
      </c>
      <c r="BT20" s="19">
        <f>'Grid_Stock'!BK8</f>
        <v/>
      </c>
      <c r="BU20" s="19">
        <f>'Grid_Stock'!BL8</f>
        <v/>
      </c>
      <c r="BV20" s="19">
        <f>'Grid_Stock'!BM8</f>
        <v/>
      </c>
      <c r="BW20" s="19">
        <f>'Grid_Stock'!BN8</f>
        <v/>
      </c>
      <c r="BX20" s="19">
        <f>'Grid_Stock'!BO8</f>
        <v/>
      </c>
      <c r="BY20" s="19">
        <f>'Grid_Stock'!BP8</f>
        <v/>
      </c>
      <c r="BZ20" s="19">
        <f>'Grid_Stock'!BQ8</f>
        <v/>
      </c>
      <c r="CA20" s="19">
        <f>'Grid_Stock'!BR8</f>
        <v/>
      </c>
      <c r="CB20" s="19">
        <f>'Grid_Stock'!BS8</f>
        <v/>
      </c>
      <c r="CC20" s="19">
        <f>'Grid_Stock'!BT8</f>
        <v/>
      </c>
      <c r="CD20" s="19">
        <f>'Grid_Stock'!BU8</f>
        <v/>
      </c>
      <c r="CE20" s="19">
        <f>'Grid_Stock'!BV8</f>
        <v/>
      </c>
      <c r="CF20" s="19">
        <f>'Grid_Stock'!BW8</f>
        <v/>
      </c>
      <c r="CG20" s="19">
        <f>'Grid_Stock'!BX8</f>
        <v/>
      </c>
      <c r="CH20" s="19">
        <f>'Grid_Stock'!BY8</f>
        <v/>
      </c>
      <c r="CI20" s="19">
        <f>'Grid_Stock'!BZ8</f>
        <v/>
      </c>
      <c r="CJ20" s="19">
        <f>'Grid_Stock'!CA8</f>
        <v/>
      </c>
      <c r="CK20" s="19">
        <f>'Grid_Stock'!CB8</f>
        <v/>
      </c>
      <c r="CL20" s="19">
        <f>'Grid_Stock'!CC8</f>
        <v/>
      </c>
      <c r="CM20" s="19">
        <f>'Grid_Stock'!CD8</f>
        <v/>
      </c>
      <c r="CN20" s="19">
        <f>'Grid_Stock'!CE8</f>
        <v/>
      </c>
      <c r="CO20" s="19">
        <f>'Grid_Stock'!CF8</f>
        <v/>
      </c>
      <c r="CP20" s="19">
        <f>'Grid_Stock'!CG8</f>
        <v/>
      </c>
      <c r="CQ20" s="19">
        <f>'Grid_Stock'!CH8</f>
        <v/>
      </c>
      <c r="CR20" s="19">
        <f>'Grid_Stock'!CI8</f>
        <v/>
      </c>
      <c r="CS20" s="19">
        <f>'Grid_Stock'!CJ8</f>
        <v/>
      </c>
      <c r="CT20" s="19">
        <f>'Grid_Stock'!CK8</f>
        <v/>
      </c>
      <c r="CU20" s="19">
        <f>'Grid_Stock'!CL8</f>
        <v/>
      </c>
      <c r="CV20" s="19">
        <f>'Grid_Stock'!CM8</f>
        <v/>
      </c>
      <c r="CW20" s="19">
        <f>'Grid_Stock'!CN8</f>
        <v/>
      </c>
      <c r="CX20" s="19">
        <f>'Grid_Stock'!CO8</f>
        <v/>
      </c>
      <c r="CY20" s="19">
        <f>'Grid_Stock'!CP8</f>
        <v/>
      </c>
      <c r="CZ20" s="19">
        <f>'Grid_Stock'!CQ8</f>
        <v/>
      </c>
      <c r="DA20" s="19">
        <f>'Grid_Stock'!CR8</f>
        <v/>
      </c>
      <c r="DB20" s="19">
        <f>'Grid_Stock'!CS8</f>
        <v/>
      </c>
      <c r="DC20" s="19">
        <f>'Grid_Stock'!CT8</f>
        <v/>
      </c>
      <c r="DD20" s="19">
        <f>'Grid_Stock'!CU8</f>
        <v/>
      </c>
      <c r="DE20" s="19">
        <f>'Grid_Stock'!CV8</f>
        <v/>
      </c>
      <c r="DF20" s="19">
        <f>'Grid_Stock'!CW8</f>
        <v/>
      </c>
      <c r="DG20" s="19">
        <f>'Grid_Stock'!CX8</f>
        <v/>
      </c>
      <c r="DH20" s="19">
        <f>'Grid_Stock'!CY8</f>
        <v/>
      </c>
      <c r="DI20" s="19">
        <f>'Grid_Stock'!CZ8</f>
        <v/>
      </c>
      <c r="DJ20" s="19">
        <f>'Grid_Stock'!DA8</f>
        <v/>
      </c>
    </row>
    <row r="21">
      <c r="A21" s="17" t="inlineStr">
        <is>
          <t>3TP</t>
        </is>
      </c>
      <c r="B21" s="17">
        <f>IFERROR(INDEX(M_RawMaterials[Description],MATCH($A21,M_RawMaterials[Part Name],0)),"")</f>
        <v/>
      </c>
      <c r="C21" s="17">
        <f>IFERROR(INDEX(M_RawMaterials[Category],MATCH($A21,M_RawMaterials[Part Name],0)),"")</f>
        <v/>
      </c>
      <c r="D21" s="17">
        <f>IFERROR(INDEX(M_RawMaterials[基準在庫下限_要入力],MATCH($A21,M_RawMaterials[Part Name],0)),0)</f>
        <v/>
      </c>
      <c r="E21" s="17">
        <f>IFERROR(INDEX(M_RawMaterials[基準在庫上限_要入力],MATCH($A21,M_RawMaterials[Part Name],0)),0)</f>
        <v/>
      </c>
      <c r="F21" s="17">
        <f>IFERROR(LOOKUP(2,1/('T_SelfStock'!$B$13:$DA$13&lt;&gt;""),'T_SelfStock'!$B$13:$DA$13),"")</f>
        <v/>
      </c>
      <c r="G21" s="17">
        <f>IFERROR(LOOKUP(2,1/('T_TTAFStock'!$B$13:$DA$13&lt;&gt;""),'T_TTAFStock'!$B$13:$DA$13),"")</f>
        <v/>
      </c>
      <c r="H21" s="17">
        <f>IFERROR(LOOKUP(2,1/('T_SelfStock'!$B$13:$DA$13&lt;&gt;""),'T_SelfStock'!$B$5:$DA$5),"")</f>
        <v/>
      </c>
      <c r="I21" s="18" t="inlineStr">
        <is>
          <t>理論在庫</t>
        </is>
      </c>
      <c r="J21" s="17">
        <f>IFERROR(INDEX('Grid_Stock'!$A9:$DA9,1,LOOKUP(2,1/('T_SelfStock'!$B$13:$DA$13&lt;&gt;""),COLUMN('T_SelfStock'!$B$13:$DA$13)))-INDEX('Grid_TheoreticalStock'!$A9:$DA9,1,LOOKUP(2,1/('T_SelfStock'!$B$13:$DA$13&lt;&gt;""),COLUMN('T_SelfStock'!$B$13:$DA$13))),0)</f>
        <v/>
      </c>
      <c r="K21" s="18">
        <f>'Grid_TheoreticalStock'!B9</f>
        <v/>
      </c>
      <c r="L21" s="18">
        <f>'Grid_TheoreticalStock'!C9</f>
        <v/>
      </c>
      <c r="M21" s="18">
        <f>'Grid_TheoreticalStock'!D9</f>
        <v/>
      </c>
      <c r="N21" s="18">
        <f>'Grid_TheoreticalStock'!E9</f>
        <v/>
      </c>
      <c r="O21" s="18">
        <f>'Grid_TheoreticalStock'!F9</f>
        <v/>
      </c>
      <c r="P21" s="18">
        <f>'Grid_TheoreticalStock'!G9</f>
        <v/>
      </c>
      <c r="Q21" s="18">
        <f>'Grid_TheoreticalStock'!H9</f>
        <v/>
      </c>
      <c r="R21" s="18">
        <f>'Grid_TheoreticalStock'!I9</f>
        <v/>
      </c>
      <c r="S21" s="18">
        <f>'Grid_TheoreticalStock'!J9</f>
        <v/>
      </c>
      <c r="T21" s="18">
        <f>'Grid_TheoreticalStock'!K9</f>
        <v/>
      </c>
      <c r="U21" s="18">
        <f>'Grid_TheoreticalStock'!L9</f>
        <v/>
      </c>
      <c r="V21" s="18">
        <f>'Grid_TheoreticalStock'!M9</f>
        <v/>
      </c>
      <c r="W21" s="18">
        <f>'Grid_TheoreticalStock'!N9</f>
        <v/>
      </c>
      <c r="X21" s="18">
        <f>'Grid_TheoreticalStock'!O9</f>
        <v/>
      </c>
      <c r="Y21" s="18">
        <f>'Grid_TheoreticalStock'!P9</f>
        <v/>
      </c>
      <c r="Z21" s="18">
        <f>'Grid_TheoreticalStock'!Q9</f>
        <v/>
      </c>
      <c r="AA21" s="18">
        <f>'Grid_TheoreticalStock'!R9</f>
        <v/>
      </c>
      <c r="AB21" s="18">
        <f>'Grid_TheoreticalStock'!S9</f>
        <v/>
      </c>
      <c r="AC21" s="18">
        <f>'Grid_TheoreticalStock'!T9</f>
        <v/>
      </c>
      <c r="AD21" s="18">
        <f>'Grid_TheoreticalStock'!U9</f>
        <v/>
      </c>
      <c r="AE21" s="18">
        <f>'Grid_TheoreticalStock'!V9</f>
        <v/>
      </c>
      <c r="AF21" s="18">
        <f>'Grid_TheoreticalStock'!W9</f>
        <v/>
      </c>
      <c r="AG21" s="18">
        <f>'Grid_TheoreticalStock'!X9</f>
        <v/>
      </c>
      <c r="AH21" s="18">
        <f>'Grid_TheoreticalStock'!Y9</f>
        <v/>
      </c>
      <c r="AI21" s="18">
        <f>'Grid_TheoreticalStock'!Z9</f>
        <v/>
      </c>
      <c r="AJ21" s="18">
        <f>'Grid_TheoreticalStock'!AA9</f>
        <v/>
      </c>
      <c r="AK21" s="18">
        <f>'Grid_TheoreticalStock'!AB9</f>
        <v/>
      </c>
      <c r="AL21" s="18">
        <f>'Grid_TheoreticalStock'!AC9</f>
        <v/>
      </c>
      <c r="AM21" s="18">
        <f>'Grid_TheoreticalStock'!AD9</f>
        <v/>
      </c>
      <c r="AN21" s="18">
        <f>'Grid_TheoreticalStock'!AE9</f>
        <v/>
      </c>
      <c r="AO21" s="18">
        <f>'Grid_TheoreticalStock'!AF9</f>
        <v/>
      </c>
      <c r="AP21" s="18">
        <f>'Grid_TheoreticalStock'!AG9</f>
        <v/>
      </c>
      <c r="AQ21" s="18">
        <f>'Grid_TheoreticalStock'!AH9</f>
        <v/>
      </c>
      <c r="AR21" s="18">
        <f>'Grid_TheoreticalStock'!AI9</f>
        <v/>
      </c>
      <c r="AS21" s="18">
        <f>'Grid_TheoreticalStock'!AJ9</f>
        <v/>
      </c>
      <c r="AT21" s="18">
        <f>'Grid_TheoreticalStock'!AK9</f>
        <v/>
      </c>
      <c r="AU21" s="18">
        <f>'Grid_TheoreticalStock'!AL9</f>
        <v/>
      </c>
      <c r="AV21" s="18">
        <f>'Grid_TheoreticalStock'!AM9</f>
        <v/>
      </c>
      <c r="AW21" s="18">
        <f>'Grid_TheoreticalStock'!AN9</f>
        <v/>
      </c>
      <c r="AX21" s="18">
        <f>'Grid_TheoreticalStock'!AO9</f>
        <v/>
      </c>
      <c r="AY21" s="18">
        <f>'Grid_TheoreticalStock'!AP9</f>
        <v/>
      </c>
      <c r="AZ21" s="18">
        <f>'Grid_TheoreticalStock'!AQ9</f>
        <v/>
      </c>
      <c r="BA21" s="18">
        <f>'Grid_TheoreticalStock'!AR9</f>
        <v/>
      </c>
      <c r="BB21" s="18">
        <f>'Grid_TheoreticalStock'!AS9</f>
        <v/>
      </c>
      <c r="BC21" s="18">
        <f>'Grid_TheoreticalStock'!AT9</f>
        <v/>
      </c>
      <c r="BD21" s="18">
        <f>'Grid_TheoreticalStock'!AU9</f>
        <v/>
      </c>
      <c r="BE21" s="18">
        <f>'Grid_TheoreticalStock'!AV9</f>
        <v/>
      </c>
      <c r="BF21" s="18">
        <f>'Grid_TheoreticalStock'!AW9</f>
        <v/>
      </c>
      <c r="BG21" s="18">
        <f>'Grid_TheoreticalStock'!AX9</f>
        <v/>
      </c>
      <c r="BH21" s="18">
        <f>'Grid_TheoreticalStock'!AY9</f>
        <v/>
      </c>
      <c r="BI21" s="18">
        <f>'Grid_TheoreticalStock'!AZ9</f>
        <v/>
      </c>
      <c r="BJ21" s="18">
        <f>'Grid_TheoreticalStock'!BA9</f>
        <v/>
      </c>
      <c r="BK21" s="18">
        <f>'Grid_TheoreticalStock'!BB9</f>
        <v/>
      </c>
      <c r="BL21" s="18">
        <f>'Grid_TheoreticalStock'!BC9</f>
        <v/>
      </c>
      <c r="BM21" s="18">
        <f>'Grid_TheoreticalStock'!BD9</f>
        <v/>
      </c>
      <c r="BN21" s="18">
        <f>'Grid_TheoreticalStock'!BE9</f>
        <v/>
      </c>
      <c r="BO21" s="18">
        <f>'Grid_TheoreticalStock'!BF9</f>
        <v/>
      </c>
      <c r="BP21" s="18">
        <f>'Grid_TheoreticalStock'!BG9</f>
        <v/>
      </c>
      <c r="BQ21" s="18">
        <f>'Grid_TheoreticalStock'!BH9</f>
        <v/>
      </c>
      <c r="BR21" s="18">
        <f>'Grid_TheoreticalStock'!BI9</f>
        <v/>
      </c>
      <c r="BS21" s="18">
        <f>'Grid_TheoreticalStock'!BJ9</f>
        <v/>
      </c>
      <c r="BT21" s="18">
        <f>'Grid_TheoreticalStock'!BK9</f>
        <v/>
      </c>
      <c r="BU21" s="18">
        <f>'Grid_TheoreticalStock'!BL9</f>
        <v/>
      </c>
      <c r="BV21" s="18">
        <f>'Grid_TheoreticalStock'!BM9</f>
        <v/>
      </c>
      <c r="BW21" s="18">
        <f>'Grid_TheoreticalStock'!BN9</f>
        <v/>
      </c>
      <c r="BX21" s="18">
        <f>'Grid_TheoreticalStock'!BO9</f>
        <v/>
      </c>
      <c r="BY21" s="18">
        <f>'Grid_TheoreticalStock'!BP9</f>
        <v/>
      </c>
      <c r="BZ21" s="18">
        <f>'Grid_TheoreticalStock'!BQ9</f>
        <v/>
      </c>
      <c r="CA21" s="18">
        <f>'Grid_TheoreticalStock'!BR9</f>
        <v/>
      </c>
      <c r="CB21" s="18">
        <f>'Grid_TheoreticalStock'!BS9</f>
        <v/>
      </c>
      <c r="CC21" s="18">
        <f>'Grid_TheoreticalStock'!BT9</f>
        <v/>
      </c>
      <c r="CD21" s="18">
        <f>'Grid_TheoreticalStock'!BU9</f>
        <v/>
      </c>
      <c r="CE21" s="18">
        <f>'Grid_TheoreticalStock'!BV9</f>
        <v/>
      </c>
      <c r="CF21" s="18">
        <f>'Grid_TheoreticalStock'!BW9</f>
        <v/>
      </c>
      <c r="CG21" s="18">
        <f>'Grid_TheoreticalStock'!BX9</f>
        <v/>
      </c>
      <c r="CH21" s="18">
        <f>'Grid_TheoreticalStock'!BY9</f>
        <v/>
      </c>
      <c r="CI21" s="18">
        <f>'Grid_TheoreticalStock'!BZ9</f>
        <v/>
      </c>
      <c r="CJ21" s="18">
        <f>'Grid_TheoreticalStock'!CA9</f>
        <v/>
      </c>
      <c r="CK21" s="18">
        <f>'Grid_TheoreticalStock'!CB9</f>
        <v/>
      </c>
      <c r="CL21" s="18">
        <f>'Grid_TheoreticalStock'!CC9</f>
        <v/>
      </c>
      <c r="CM21" s="18">
        <f>'Grid_TheoreticalStock'!CD9</f>
        <v/>
      </c>
      <c r="CN21" s="18">
        <f>'Grid_TheoreticalStock'!CE9</f>
        <v/>
      </c>
      <c r="CO21" s="18">
        <f>'Grid_TheoreticalStock'!CF9</f>
        <v/>
      </c>
      <c r="CP21" s="18">
        <f>'Grid_TheoreticalStock'!CG9</f>
        <v/>
      </c>
      <c r="CQ21" s="18">
        <f>'Grid_TheoreticalStock'!CH9</f>
        <v/>
      </c>
      <c r="CR21" s="18">
        <f>'Grid_TheoreticalStock'!CI9</f>
        <v/>
      </c>
      <c r="CS21" s="18">
        <f>'Grid_TheoreticalStock'!CJ9</f>
        <v/>
      </c>
      <c r="CT21" s="18">
        <f>'Grid_TheoreticalStock'!CK9</f>
        <v/>
      </c>
      <c r="CU21" s="18">
        <f>'Grid_TheoreticalStock'!CL9</f>
        <v/>
      </c>
      <c r="CV21" s="18">
        <f>'Grid_TheoreticalStock'!CM9</f>
        <v/>
      </c>
      <c r="CW21" s="18">
        <f>'Grid_TheoreticalStock'!CN9</f>
        <v/>
      </c>
      <c r="CX21" s="18">
        <f>'Grid_TheoreticalStock'!CO9</f>
        <v/>
      </c>
      <c r="CY21" s="18">
        <f>'Grid_TheoreticalStock'!CP9</f>
        <v/>
      </c>
      <c r="CZ21" s="18">
        <f>'Grid_TheoreticalStock'!CQ9</f>
        <v/>
      </c>
      <c r="DA21" s="18">
        <f>'Grid_TheoreticalStock'!CR9</f>
        <v/>
      </c>
      <c r="DB21" s="18">
        <f>'Grid_TheoreticalStock'!CS9</f>
        <v/>
      </c>
      <c r="DC21" s="18">
        <f>'Grid_TheoreticalStock'!CT9</f>
        <v/>
      </c>
      <c r="DD21" s="18">
        <f>'Grid_TheoreticalStock'!CU9</f>
        <v/>
      </c>
      <c r="DE21" s="18">
        <f>'Grid_TheoreticalStock'!CV9</f>
        <v/>
      </c>
      <c r="DF21" s="18">
        <f>'Grid_TheoreticalStock'!CW9</f>
        <v/>
      </c>
      <c r="DG21" s="18">
        <f>'Grid_TheoreticalStock'!CX9</f>
        <v/>
      </c>
      <c r="DH21" s="18">
        <f>'Grid_TheoreticalStock'!CY9</f>
        <v/>
      </c>
      <c r="DI21" s="18">
        <f>'Grid_TheoreticalStock'!CZ9</f>
        <v/>
      </c>
      <c r="DJ21" s="18">
        <f>'Grid_TheoreticalStock'!DA9</f>
        <v/>
      </c>
    </row>
    <row r="22">
      <c r="A22" s="19" t="inlineStr">
        <is>
          <t>3TP</t>
        </is>
      </c>
      <c r="B22" s="19">
        <f>IFERROR(INDEX(M_RawMaterials[Description],MATCH($A22,M_RawMaterials[Part Name],0)),"")</f>
        <v/>
      </c>
      <c r="C22" s="19">
        <f>IFERROR(INDEX(M_RawMaterials[Category],MATCH($A22,M_RawMaterials[Part Name],0)),"")</f>
        <v/>
      </c>
      <c r="D22" s="19">
        <f>IFERROR(INDEX(M_RawMaterials[基準在庫下限_要入力],MATCH($A22,M_RawMaterials[Part Name],0)),0)</f>
        <v/>
      </c>
      <c r="E22" s="19">
        <f>IFERROR(INDEX(M_RawMaterials[基準在庫上限_要入力],MATCH($A22,M_RawMaterials[Part Name],0)),0)</f>
        <v/>
      </c>
      <c r="F22" s="19">
        <f>IFERROR(LOOKUP(2,1/('T_SelfStock'!$B$13:$DA$13&lt;&gt;""),'T_SelfStock'!$B$13:$DA$13),"")</f>
        <v/>
      </c>
      <c r="G22" s="19">
        <f>IFERROR(LOOKUP(2,1/('T_TTAFStock'!$B$13:$DA$13&lt;&gt;""),'T_TTAFStock'!$B$13:$DA$13),"")</f>
        <v/>
      </c>
      <c r="H22" s="19">
        <f>IFERROR(LOOKUP(2,1/('T_SelfStock'!$B$13:$DA$13&lt;&gt;""),'T_SelfStock'!$B$5:$DA$5),"")</f>
        <v/>
      </c>
      <c r="I22" s="20" t="inlineStr">
        <is>
          <t>実在庫</t>
        </is>
      </c>
      <c r="J22" s="19">
        <f>IFERROR(INDEX('Grid_Stock'!$A9:$DA9,1,LOOKUP(2,1/('T_SelfStock'!$B$13:$DA$13&lt;&gt;""),COLUMN('T_SelfStock'!$B$13:$DA$13)))-INDEX('Grid_TheoreticalStock'!$A9:$DA9,1,LOOKUP(2,1/('T_SelfStock'!$B$13:$DA$13&lt;&gt;""),COLUMN('T_SelfStock'!$B$13:$DA$13))),0)</f>
        <v/>
      </c>
      <c r="K22" s="19">
        <f>'Grid_Stock'!B9</f>
        <v/>
      </c>
      <c r="L22" s="19">
        <f>'Grid_Stock'!C9</f>
        <v/>
      </c>
      <c r="M22" s="19">
        <f>'Grid_Stock'!D9</f>
        <v/>
      </c>
      <c r="N22" s="19">
        <f>'Grid_Stock'!E9</f>
        <v/>
      </c>
      <c r="O22" s="19">
        <f>'Grid_Stock'!F9</f>
        <v/>
      </c>
      <c r="P22" s="19">
        <f>'Grid_Stock'!G9</f>
        <v/>
      </c>
      <c r="Q22" s="19">
        <f>'Grid_Stock'!H9</f>
        <v/>
      </c>
      <c r="R22" s="19">
        <f>'Grid_Stock'!I9</f>
        <v/>
      </c>
      <c r="S22" s="19">
        <f>'Grid_Stock'!J9</f>
        <v/>
      </c>
      <c r="T22" s="19">
        <f>'Grid_Stock'!K9</f>
        <v/>
      </c>
      <c r="U22" s="19">
        <f>'Grid_Stock'!L9</f>
        <v/>
      </c>
      <c r="V22" s="19">
        <f>'Grid_Stock'!M9</f>
        <v/>
      </c>
      <c r="W22" s="19">
        <f>'Grid_Stock'!N9</f>
        <v/>
      </c>
      <c r="X22" s="19">
        <f>'Grid_Stock'!O9</f>
        <v/>
      </c>
      <c r="Y22" s="19">
        <f>'Grid_Stock'!P9</f>
        <v/>
      </c>
      <c r="Z22" s="19">
        <f>'Grid_Stock'!Q9</f>
        <v/>
      </c>
      <c r="AA22" s="19">
        <f>'Grid_Stock'!R9</f>
        <v/>
      </c>
      <c r="AB22" s="19">
        <f>'Grid_Stock'!S9</f>
        <v/>
      </c>
      <c r="AC22" s="19">
        <f>'Grid_Stock'!T9</f>
        <v/>
      </c>
      <c r="AD22" s="19">
        <f>'Grid_Stock'!U9</f>
        <v/>
      </c>
      <c r="AE22" s="19">
        <f>'Grid_Stock'!V9</f>
        <v/>
      </c>
      <c r="AF22" s="19">
        <f>'Grid_Stock'!W9</f>
        <v/>
      </c>
      <c r="AG22" s="19">
        <f>'Grid_Stock'!X9</f>
        <v/>
      </c>
      <c r="AH22" s="19">
        <f>'Grid_Stock'!Y9</f>
        <v/>
      </c>
      <c r="AI22" s="19">
        <f>'Grid_Stock'!Z9</f>
        <v/>
      </c>
      <c r="AJ22" s="19">
        <f>'Grid_Stock'!AA9</f>
        <v/>
      </c>
      <c r="AK22" s="19">
        <f>'Grid_Stock'!AB9</f>
        <v/>
      </c>
      <c r="AL22" s="19">
        <f>'Grid_Stock'!AC9</f>
        <v/>
      </c>
      <c r="AM22" s="19">
        <f>'Grid_Stock'!AD9</f>
        <v/>
      </c>
      <c r="AN22" s="19">
        <f>'Grid_Stock'!AE9</f>
        <v/>
      </c>
      <c r="AO22" s="19">
        <f>'Grid_Stock'!AF9</f>
        <v/>
      </c>
      <c r="AP22" s="19">
        <f>'Grid_Stock'!AG9</f>
        <v/>
      </c>
      <c r="AQ22" s="19">
        <f>'Grid_Stock'!AH9</f>
        <v/>
      </c>
      <c r="AR22" s="19">
        <f>'Grid_Stock'!AI9</f>
        <v/>
      </c>
      <c r="AS22" s="19">
        <f>'Grid_Stock'!AJ9</f>
        <v/>
      </c>
      <c r="AT22" s="19">
        <f>'Grid_Stock'!AK9</f>
        <v/>
      </c>
      <c r="AU22" s="19">
        <f>'Grid_Stock'!AL9</f>
        <v/>
      </c>
      <c r="AV22" s="19">
        <f>'Grid_Stock'!AM9</f>
        <v/>
      </c>
      <c r="AW22" s="19">
        <f>'Grid_Stock'!AN9</f>
        <v/>
      </c>
      <c r="AX22" s="19">
        <f>'Grid_Stock'!AO9</f>
        <v/>
      </c>
      <c r="AY22" s="19">
        <f>'Grid_Stock'!AP9</f>
        <v/>
      </c>
      <c r="AZ22" s="19">
        <f>'Grid_Stock'!AQ9</f>
        <v/>
      </c>
      <c r="BA22" s="19">
        <f>'Grid_Stock'!AR9</f>
        <v/>
      </c>
      <c r="BB22" s="19">
        <f>'Grid_Stock'!AS9</f>
        <v/>
      </c>
      <c r="BC22" s="19">
        <f>'Grid_Stock'!AT9</f>
        <v/>
      </c>
      <c r="BD22" s="19">
        <f>'Grid_Stock'!AU9</f>
        <v/>
      </c>
      <c r="BE22" s="19">
        <f>'Grid_Stock'!AV9</f>
        <v/>
      </c>
      <c r="BF22" s="19">
        <f>'Grid_Stock'!AW9</f>
        <v/>
      </c>
      <c r="BG22" s="19">
        <f>'Grid_Stock'!AX9</f>
        <v/>
      </c>
      <c r="BH22" s="19">
        <f>'Grid_Stock'!AY9</f>
        <v/>
      </c>
      <c r="BI22" s="19">
        <f>'Grid_Stock'!AZ9</f>
        <v/>
      </c>
      <c r="BJ22" s="19">
        <f>'Grid_Stock'!BA9</f>
        <v/>
      </c>
      <c r="BK22" s="19">
        <f>'Grid_Stock'!BB9</f>
        <v/>
      </c>
      <c r="BL22" s="19">
        <f>'Grid_Stock'!BC9</f>
        <v/>
      </c>
      <c r="BM22" s="19">
        <f>'Grid_Stock'!BD9</f>
        <v/>
      </c>
      <c r="BN22" s="19">
        <f>'Grid_Stock'!BE9</f>
        <v/>
      </c>
      <c r="BO22" s="19">
        <f>'Grid_Stock'!BF9</f>
        <v/>
      </c>
      <c r="BP22" s="19">
        <f>'Grid_Stock'!BG9</f>
        <v/>
      </c>
      <c r="BQ22" s="19">
        <f>'Grid_Stock'!BH9</f>
        <v/>
      </c>
      <c r="BR22" s="19">
        <f>'Grid_Stock'!BI9</f>
        <v/>
      </c>
      <c r="BS22" s="19">
        <f>'Grid_Stock'!BJ9</f>
        <v/>
      </c>
      <c r="BT22" s="19">
        <f>'Grid_Stock'!BK9</f>
        <v/>
      </c>
      <c r="BU22" s="19">
        <f>'Grid_Stock'!BL9</f>
        <v/>
      </c>
      <c r="BV22" s="19">
        <f>'Grid_Stock'!BM9</f>
        <v/>
      </c>
      <c r="BW22" s="19">
        <f>'Grid_Stock'!BN9</f>
        <v/>
      </c>
      <c r="BX22" s="19">
        <f>'Grid_Stock'!BO9</f>
        <v/>
      </c>
      <c r="BY22" s="19">
        <f>'Grid_Stock'!BP9</f>
        <v/>
      </c>
      <c r="BZ22" s="19">
        <f>'Grid_Stock'!BQ9</f>
        <v/>
      </c>
      <c r="CA22" s="19">
        <f>'Grid_Stock'!BR9</f>
        <v/>
      </c>
      <c r="CB22" s="19">
        <f>'Grid_Stock'!BS9</f>
        <v/>
      </c>
      <c r="CC22" s="19">
        <f>'Grid_Stock'!BT9</f>
        <v/>
      </c>
      <c r="CD22" s="19">
        <f>'Grid_Stock'!BU9</f>
        <v/>
      </c>
      <c r="CE22" s="19">
        <f>'Grid_Stock'!BV9</f>
        <v/>
      </c>
      <c r="CF22" s="19">
        <f>'Grid_Stock'!BW9</f>
        <v/>
      </c>
      <c r="CG22" s="19">
        <f>'Grid_Stock'!BX9</f>
        <v/>
      </c>
      <c r="CH22" s="19">
        <f>'Grid_Stock'!BY9</f>
        <v/>
      </c>
      <c r="CI22" s="19">
        <f>'Grid_Stock'!BZ9</f>
        <v/>
      </c>
      <c r="CJ22" s="19">
        <f>'Grid_Stock'!CA9</f>
        <v/>
      </c>
      <c r="CK22" s="19">
        <f>'Grid_Stock'!CB9</f>
        <v/>
      </c>
      <c r="CL22" s="19">
        <f>'Grid_Stock'!CC9</f>
        <v/>
      </c>
      <c r="CM22" s="19">
        <f>'Grid_Stock'!CD9</f>
        <v/>
      </c>
      <c r="CN22" s="19">
        <f>'Grid_Stock'!CE9</f>
        <v/>
      </c>
      <c r="CO22" s="19">
        <f>'Grid_Stock'!CF9</f>
        <v/>
      </c>
      <c r="CP22" s="19">
        <f>'Grid_Stock'!CG9</f>
        <v/>
      </c>
      <c r="CQ22" s="19">
        <f>'Grid_Stock'!CH9</f>
        <v/>
      </c>
      <c r="CR22" s="19">
        <f>'Grid_Stock'!CI9</f>
        <v/>
      </c>
      <c r="CS22" s="19">
        <f>'Grid_Stock'!CJ9</f>
        <v/>
      </c>
      <c r="CT22" s="19">
        <f>'Grid_Stock'!CK9</f>
        <v/>
      </c>
      <c r="CU22" s="19">
        <f>'Grid_Stock'!CL9</f>
        <v/>
      </c>
      <c r="CV22" s="19">
        <f>'Grid_Stock'!CM9</f>
        <v/>
      </c>
      <c r="CW22" s="19">
        <f>'Grid_Stock'!CN9</f>
        <v/>
      </c>
      <c r="CX22" s="19">
        <f>'Grid_Stock'!CO9</f>
        <v/>
      </c>
      <c r="CY22" s="19">
        <f>'Grid_Stock'!CP9</f>
        <v/>
      </c>
      <c r="CZ22" s="19">
        <f>'Grid_Stock'!CQ9</f>
        <v/>
      </c>
      <c r="DA22" s="19">
        <f>'Grid_Stock'!CR9</f>
        <v/>
      </c>
      <c r="DB22" s="19">
        <f>'Grid_Stock'!CS9</f>
        <v/>
      </c>
      <c r="DC22" s="19">
        <f>'Grid_Stock'!CT9</f>
        <v/>
      </c>
      <c r="DD22" s="19">
        <f>'Grid_Stock'!CU9</f>
        <v/>
      </c>
      <c r="DE22" s="19">
        <f>'Grid_Stock'!CV9</f>
        <v/>
      </c>
      <c r="DF22" s="19">
        <f>'Grid_Stock'!CW9</f>
        <v/>
      </c>
      <c r="DG22" s="19">
        <f>'Grid_Stock'!CX9</f>
        <v/>
      </c>
      <c r="DH22" s="19">
        <f>'Grid_Stock'!CY9</f>
        <v/>
      </c>
      <c r="DI22" s="19">
        <f>'Grid_Stock'!CZ9</f>
        <v/>
      </c>
      <c r="DJ22" s="19">
        <f>'Grid_Stock'!DA9</f>
        <v/>
      </c>
    </row>
    <row r="23">
      <c r="A23" s="17" t="inlineStr">
        <is>
          <t>KEJ</t>
        </is>
      </c>
      <c r="B23" s="17">
        <f>IFERROR(INDEX(M_RawMaterials[Description],MATCH($A23,M_RawMaterials[Part Name],0)),"")</f>
        <v/>
      </c>
      <c r="C23" s="17">
        <f>IFERROR(INDEX(M_RawMaterials[Category],MATCH($A23,M_RawMaterials[Part Name],0)),"")</f>
        <v/>
      </c>
      <c r="D23" s="17">
        <f>IFERROR(INDEX(M_RawMaterials[基準在庫下限_要入力],MATCH($A23,M_RawMaterials[Part Name],0)),0)</f>
        <v/>
      </c>
      <c r="E23" s="17">
        <f>IFERROR(INDEX(M_RawMaterials[基準在庫上限_要入力],MATCH($A23,M_RawMaterials[Part Name],0)),0)</f>
        <v/>
      </c>
      <c r="F23" s="17">
        <f>IFERROR(LOOKUP(2,1/('T_SelfStock'!$B$14:$DA$14&lt;&gt;""),'T_SelfStock'!$B$14:$DA$14),"")</f>
        <v/>
      </c>
      <c r="G23" s="17">
        <f>IFERROR(LOOKUP(2,1/('T_TTAFStock'!$B$14:$DA$14&lt;&gt;""),'T_TTAFStock'!$B$14:$DA$14),"")</f>
        <v/>
      </c>
      <c r="H23" s="17">
        <f>IFERROR(LOOKUP(2,1/('T_SelfStock'!$B$14:$DA$14&lt;&gt;""),'T_SelfStock'!$B$5:$DA$5),"")</f>
        <v/>
      </c>
      <c r="I23" s="18" t="inlineStr">
        <is>
          <t>理論在庫</t>
        </is>
      </c>
      <c r="J23" s="17">
        <f>IFERROR(INDEX('Grid_Stock'!$A10:$DA10,1,LOOKUP(2,1/('T_SelfStock'!$B$14:$DA$14&lt;&gt;""),COLUMN('T_SelfStock'!$B$14:$DA$14)))-INDEX('Grid_TheoreticalStock'!$A10:$DA10,1,LOOKUP(2,1/('T_SelfStock'!$B$14:$DA$14&lt;&gt;""),COLUMN('T_SelfStock'!$B$14:$DA$14))),0)</f>
        <v/>
      </c>
      <c r="K23" s="18">
        <f>'Grid_TheoreticalStock'!B10</f>
        <v/>
      </c>
      <c r="L23" s="18">
        <f>'Grid_TheoreticalStock'!C10</f>
        <v/>
      </c>
      <c r="M23" s="18">
        <f>'Grid_TheoreticalStock'!D10</f>
        <v/>
      </c>
      <c r="N23" s="18">
        <f>'Grid_TheoreticalStock'!E10</f>
        <v/>
      </c>
      <c r="O23" s="18">
        <f>'Grid_TheoreticalStock'!F10</f>
        <v/>
      </c>
      <c r="P23" s="18">
        <f>'Grid_TheoreticalStock'!G10</f>
        <v/>
      </c>
      <c r="Q23" s="18">
        <f>'Grid_TheoreticalStock'!H10</f>
        <v/>
      </c>
      <c r="R23" s="18">
        <f>'Grid_TheoreticalStock'!I10</f>
        <v/>
      </c>
      <c r="S23" s="18">
        <f>'Grid_TheoreticalStock'!J10</f>
        <v/>
      </c>
      <c r="T23" s="18">
        <f>'Grid_TheoreticalStock'!K10</f>
        <v/>
      </c>
      <c r="U23" s="18">
        <f>'Grid_TheoreticalStock'!L10</f>
        <v/>
      </c>
      <c r="V23" s="18">
        <f>'Grid_TheoreticalStock'!M10</f>
        <v/>
      </c>
      <c r="W23" s="18">
        <f>'Grid_TheoreticalStock'!N10</f>
        <v/>
      </c>
      <c r="X23" s="18">
        <f>'Grid_TheoreticalStock'!O10</f>
        <v/>
      </c>
      <c r="Y23" s="18">
        <f>'Grid_TheoreticalStock'!P10</f>
        <v/>
      </c>
      <c r="Z23" s="18">
        <f>'Grid_TheoreticalStock'!Q10</f>
        <v/>
      </c>
      <c r="AA23" s="18">
        <f>'Grid_TheoreticalStock'!R10</f>
        <v/>
      </c>
      <c r="AB23" s="18">
        <f>'Grid_TheoreticalStock'!S10</f>
        <v/>
      </c>
      <c r="AC23" s="18">
        <f>'Grid_TheoreticalStock'!T10</f>
        <v/>
      </c>
      <c r="AD23" s="18">
        <f>'Grid_TheoreticalStock'!U10</f>
        <v/>
      </c>
      <c r="AE23" s="18">
        <f>'Grid_TheoreticalStock'!V10</f>
        <v/>
      </c>
      <c r="AF23" s="18">
        <f>'Grid_TheoreticalStock'!W10</f>
        <v/>
      </c>
      <c r="AG23" s="18">
        <f>'Grid_TheoreticalStock'!X10</f>
        <v/>
      </c>
      <c r="AH23" s="18">
        <f>'Grid_TheoreticalStock'!Y10</f>
        <v/>
      </c>
      <c r="AI23" s="18">
        <f>'Grid_TheoreticalStock'!Z10</f>
        <v/>
      </c>
      <c r="AJ23" s="18">
        <f>'Grid_TheoreticalStock'!AA10</f>
        <v/>
      </c>
      <c r="AK23" s="18">
        <f>'Grid_TheoreticalStock'!AB10</f>
        <v/>
      </c>
      <c r="AL23" s="18">
        <f>'Grid_TheoreticalStock'!AC10</f>
        <v/>
      </c>
      <c r="AM23" s="18">
        <f>'Grid_TheoreticalStock'!AD10</f>
        <v/>
      </c>
      <c r="AN23" s="18">
        <f>'Grid_TheoreticalStock'!AE10</f>
        <v/>
      </c>
      <c r="AO23" s="18">
        <f>'Grid_TheoreticalStock'!AF10</f>
        <v/>
      </c>
      <c r="AP23" s="18">
        <f>'Grid_TheoreticalStock'!AG10</f>
        <v/>
      </c>
      <c r="AQ23" s="18">
        <f>'Grid_TheoreticalStock'!AH10</f>
        <v/>
      </c>
      <c r="AR23" s="18">
        <f>'Grid_TheoreticalStock'!AI10</f>
        <v/>
      </c>
      <c r="AS23" s="18">
        <f>'Grid_TheoreticalStock'!AJ10</f>
        <v/>
      </c>
      <c r="AT23" s="18">
        <f>'Grid_TheoreticalStock'!AK10</f>
        <v/>
      </c>
      <c r="AU23" s="18">
        <f>'Grid_TheoreticalStock'!AL10</f>
        <v/>
      </c>
      <c r="AV23" s="18">
        <f>'Grid_TheoreticalStock'!AM10</f>
        <v/>
      </c>
      <c r="AW23" s="18">
        <f>'Grid_TheoreticalStock'!AN10</f>
        <v/>
      </c>
      <c r="AX23" s="18">
        <f>'Grid_TheoreticalStock'!AO10</f>
        <v/>
      </c>
      <c r="AY23" s="18">
        <f>'Grid_TheoreticalStock'!AP10</f>
        <v/>
      </c>
      <c r="AZ23" s="18">
        <f>'Grid_TheoreticalStock'!AQ10</f>
        <v/>
      </c>
      <c r="BA23" s="18">
        <f>'Grid_TheoreticalStock'!AR10</f>
        <v/>
      </c>
      <c r="BB23" s="18">
        <f>'Grid_TheoreticalStock'!AS10</f>
        <v/>
      </c>
      <c r="BC23" s="18">
        <f>'Grid_TheoreticalStock'!AT10</f>
        <v/>
      </c>
      <c r="BD23" s="18">
        <f>'Grid_TheoreticalStock'!AU10</f>
        <v/>
      </c>
      <c r="BE23" s="18">
        <f>'Grid_TheoreticalStock'!AV10</f>
        <v/>
      </c>
      <c r="BF23" s="18">
        <f>'Grid_TheoreticalStock'!AW10</f>
        <v/>
      </c>
      <c r="BG23" s="18">
        <f>'Grid_TheoreticalStock'!AX10</f>
        <v/>
      </c>
      <c r="BH23" s="18">
        <f>'Grid_TheoreticalStock'!AY10</f>
        <v/>
      </c>
      <c r="BI23" s="18">
        <f>'Grid_TheoreticalStock'!AZ10</f>
        <v/>
      </c>
      <c r="BJ23" s="18">
        <f>'Grid_TheoreticalStock'!BA10</f>
        <v/>
      </c>
      <c r="BK23" s="18">
        <f>'Grid_TheoreticalStock'!BB10</f>
        <v/>
      </c>
      <c r="BL23" s="18">
        <f>'Grid_TheoreticalStock'!BC10</f>
        <v/>
      </c>
      <c r="BM23" s="18">
        <f>'Grid_TheoreticalStock'!BD10</f>
        <v/>
      </c>
      <c r="BN23" s="18">
        <f>'Grid_TheoreticalStock'!BE10</f>
        <v/>
      </c>
      <c r="BO23" s="18">
        <f>'Grid_TheoreticalStock'!BF10</f>
        <v/>
      </c>
      <c r="BP23" s="18">
        <f>'Grid_TheoreticalStock'!BG10</f>
        <v/>
      </c>
      <c r="BQ23" s="18">
        <f>'Grid_TheoreticalStock'!BH10</f>
        <v/>
      </c>
      <c r="BR23" s="18">
        <f>'Grid_TheoreticalStock'!BI10</f>
        <v/>
      </c>
      <c r="BS23" s="18">
        <f>'Grid_TheoreticalStock'!BJ10</f>
        <v/>
      </c>
      <c r="BT23" s="18">
        <f>'Grid_TheoreticalStock'!BK10</f>
        <v/>
      </c>
      <c r="BU23" s="18">
        <f>'Grid_TheoreticalStock'!BL10</f>
        <v/>
      </c>
      <c r="BV23" s="18">
        <f>'Grid_TheoreticalStock'!BM10</f>
        <v/>
      </c>
      <c r="BW23" s="18">
        <f>'Grid_TheoreticalStock'!BN10</f>
        <v/>
      </c>
      <c r="BX23" s="18">
        <f>'Grid_TheoreticalStock'!BO10</f>
        <v/>
      </c>
      <c r="BY23" s="18">
        <f>'Grid_TheoreticalStock'!BP10</f>
        <v/>
      </c>
      <c r="BZ23" s="18">
        <f>'Grid_TheoreticalStock'!BQ10</f>
        <v/>
      </c>
      <c r="CA23" s="18">
        <f>'Grid_TheoreticalStock'!BR10</f>
        <v/>
      </c>
      <c r="CB23" s="18">
        <f>'Grid_TheoreticalStock'!BS10</f>
        <v/>
      </c>
      <c r="CC23" s="18">
        <f>'Grid_TheoreticalStock'!BT10</f>
        <v/>
      </c>
      <c r="CD23" s="18">
        <f>'Grid_TheoreticalStock'!BU10</f>
        <v/>
      </c>
      <c r="CE23" s="18">
        <f>'Grid_TheoreticalStock'!BV10</f>
        <v/>
      </c>
      <c r="CF23" s="18">
        <f>'Grid_TheoreticalStock'!BW10</f>
        <v/>
      </c>
      <c r="CG23" s="18">
        <f>'Grid_TheoreticalStock'!BX10</f>
        <v/>
      </c>
      <c r="CH23" s="18">
        <f>'Grid_TheoreticalStock'!BY10</f>
        <v/>
      </c>
      <c r="CI23" s="18">
        <f>'Grid_TheoreticalStock'!BZ10</f>
        <v/>
      </c>
      <c r="CJ23" s="18">
        <f>'Grid_TheoreticalStock'!CA10</f>
        <v/>
      </c>
      <c r="CK23" s="18">
        <f>'Grid_TheoreticalStock'!CB10</f>
        <v/>
      </c>
      <c r="CL23" s="18">
        <f>'Grid_TheoreticalStock'!CC10</f>
        <v/>
      </c>
      <c r="CM23" s="18">
        <f>'Grid_TheoreticalStock'!CD10</f>
        <v/>
      </c>
      <c r="CN23" s="18">
        <f>'Grid_TheoreticalStock'!CE10</f>
        <v/>
      </c>
      <c r="CO23" s="18">
        <f>'Grid_TheoreticalStock'!CF10</f>
        <v/>
      </c>
      <c r="CP23" s="18">
        <f>'Grid_TheoreticalStock'!CG10</f>
        <v/>
      </c>
      <c r="CQ23" s="18">
        <f>'Grid_TheoreticalStock'!CH10</f>
        <v/>
      </c>
      <c r="CR23" s="18">
        <f>'Grid_TheoreticalStock'!CI10</f>
        <v/>
      </c>
      <c r="CS23" s="18">
        <f>'Grid_TheoreticalStock'!CJ10</f>
        <v/>
      </c>
      <c r="CT23" s="18">
        <f>'Grid_TheoreticalStock'!CK10</f>
        <v/>
      </c>
      <c r="CU23" s="18">
        <f>'Grid_TheoreticalStock'!CL10</f>
        <v/>
      </c>
      <c r="CV23" s="18">
        <f>'Grid_TheoreticalStock'!CM10</f>
        <v/>
      </c>
      <c r="CW23" s="18">
        <f>'Grid_TheoreticalStock'!CN10</f>
        <v/>
      </c>
      <c r="CX23" s="18">
        <f>'Grid_TheoreticalStock'!CO10</f>
        <v/>
      </c>
      <c r="CY23" s="18">
        <f>'Grid_TheoreticalStock'!CP10</f>
        <v/>
      </c>
      <c r="CZ23" s="18">
        <f>'Grid_TheoreticalStock'!CQ10</f>
        <v/>
      </c>
      <c r="DA23" s="18">
        <f>'Grid_TheoreticalStock'!CR10</f>
        <v/>
      </c>
      <c r="DB23" s="18">
        <f>'Grid_TheoreticalStock'!CS10</f>
        <v/>
      </c>
      <c r="DC23" s="18">
        <f>'Grid_TheoreticalStock'!CT10</f>
        <v/>
      </c>
      <c r="DD23" s="18">
        <f>'Grid_TheoreticalStock'!CU10</f>
        <v/>
      </c>
      <c r="DE23" s="18">
        <f>'Grid_TheoreticalStock'!CV10</f>
        <v/>
      </c>
      <c r="DF23" s="18">
        <f>'Grid_TheoreticalStock'!CW10</f>
        <v/>
      </c>
      <c r="DG23" s="18">
        <f>'Grid_TheoreticalStock'!CX10</f>
        <v/>
      </c>
      <c r="DH23" s="18">
        <f>'Grid_TheoreticalStock'!CY10</f>
        <v/>
      </c>
      <c r="DI23" s="18">
        <f>'Grid_TheoreticalStock'!CZ10</f>
        <v/>
      </c>
      <c r="DJ23" s="18">
        <f>'Grid_TheoreticalStock'!DA10</f>
        <v/>
      </c>
    </row>
    <row r="24">
      <c r="A24" s="19" t="inlineStr">
        <is>
          <t>KEJ</t>
        </is>
      </c>
      <c r="B24" s="19">
        <f>IFERROR(INDEX(M_RawMaterials[Description],MATCH($A24,M_RawMaterials[Part Name],0)),"")</f>
        <v/>
      </c>
      <c r="C24" s="19">
        <f>IFERROR(INDEX(M_RawMaterials[Category],MATCH($A24,M_RawMaterials[Part Name],0)),"")</f>
        <v/>
      </c>
      <c r="D24" s="19">
        <f>IFERROR(INDEX(M_RawMaterials[基準在庫下限_要入力],MATCH($A24,M_RawMaterials[Part Name],0)),0)</f>
        <v/>
      </c>
      <c r="E24" s="19">
        <f>IFERROR(INDEX(M_RawMaterials[基準在庫上限_要入力],MATCH($A24,M_RawMaterials[Part Name],0)),0)</f>
        <v/>
      </c>
      <c r="F24" s="19">
        <f>IFERROR(LOOKUP(2,1/('T_SelfStock'!$B$14:$DA$14&lt;&gt;""),'T_SelfStock'!$B$14:$DA$14),"")</f>
        <v/>
      </c>
      <c r="G24" s="19">
        <f>IFERROR(LOOKUP(2,1/('T_TTAFStock'!$B$14:$DA$14&lt;&gt;""),'T_TTAFStock'!$B$14:$DA$14),"")</f>
        <v/>
      </c>
      <c r="H24" s="19">
        <f>IFERROR(LOOKUP(2,1/('T_SelfStock'!$B$14:$DA$14&lt;&gt;""),'T_SelfStock'!$B$5:$DA$5),"")</f>
        <v/>
      </c>
      <c r="I24" s="20" t="inlineStr">
        <is>
          <t>実在庫</t>
        </is>
      </c>
      <c r="J24" s="19">
        <f>IFERROR(INDEX('Grid_Stock'!$A10:$DA10,1,LOOKUP(2,1/('T_SelfStock'!$B$14:$DA$14&lt;&gt;""),COLUMN('T_SelfStock'!$B$14:$DA$14)))-INDEX('Grid_TheoreticalStock'!$A10:$DA10,1,LOOKUP(2,1/('T_SelfStock'!$B$14:$DA$14&lt;&gt;""),COLUMN('T_SelfStock'!$B$14:$DA$14))),0)</f>
        <v/>
      </c>
      <c r="K24" s="19">
        <f>'Grid_Stock'!B10</f>
        <v/>
      </c>
      <c r="L24" s="19">
        <f>'Grid_Stock'!C10</f>
        <v/>
      </c>
      <c r="M24" s="19">
        <f>'Grid_Stock'!D10</f>
        <v/>
      </c>
      <c r="N24" s="19">
        <f>'Grid_Stock'!E10</f>
        <v/>
      </c>
      <c r="O24" s="19">
        <f>'Grid_Stock'!F10</f>
        <v/>
      </c>
      <c r="P24" s="19">
        <f>'Grid_Stock'!G10</f>
        <v/>
      </c>
      <c r="Q24" s="19">
        <f>'Grid_Stock'!H10</f>
        <v/>
      </c>
      <c r="R24" s="19">
        <f>'Grid_Stock'!I10</f>
        <v/>
      </c>
      <c r="S24" s="19">
        <f>'Grid_Stock'!J10</f>
        <v/>
      </c>
      <c r="T24" s="19">
        <f>'Grid_Stock'!K10</f>
        <v/>
      </c>
      <c r="U24" s="19">
        <f>'Grid_Stock'!L10</f>
        <v/>
      </c>
      <c r="V24" s="19">
        <f>'Grid_Stock'!M10</f>
        <v/>
      </c>
      <c r="W24" s="19">
        <f>'Grid_Stock'!N10</f>
        <v/>
      </c>
      <c r="X24" s="19">
        <f>'Grid_Stock'!O10</f>
        <v/>
      </c>
      <c r="Y24" s="19">
        <f>'Grid_Stock'!P10</f>
        <v/>
      </c>
      <c r="Z24" s="19">
        <f>'Grid_Stock'!Q10</f>
        <v/>
      </c>
      <c r="AA24" s="19">
        <f>'Grid_Stock'!R10</f>
        <v/>
      </c>
      <c r="AB24" s="19">
        <f>'Grid_Stock'!S10</f>
        <v/>
      </c>
      <c r="AC24" s="19">
        <f>'Grid_Stock'!T10</f>
        <v/>
      </c>
      <c r="AD24" s="19">
        <f>'Grid_Stock'!U10</f>
        <v/>
      </c>
      <c r="AE24" s="19">
        <f>'Grid_Stock'!V10</f>
        <v/>
      </c>
      <c r="AF24" s="19">
        <f>'Grid_Stock'!W10</f>
        <v/>
      </c>
      <c r="AG24" s="19">
        <f>'Grid_Stock'!X10</f>
        <v/>
      </c>
      <c r="AH24" s="19">
        <f>'Grid_Stock'!Y10</f>
        <v/>
      </c>
      <c r="AI24" s="19">
        <f>'Grid_Stock'!Z10</f>
        <v/>
      </c>
      <c r="AJ24" s="19">
        <f>'Grid_Stock'!AA10</f>
        <v/>
      </c>
      <c r="AK24" s="19">
        <f>'Grid_Stock'!AB10</f>
        <v/>
      </c>
      <c r="AL24" s="19">
        <f>'Grid_Stock'!AC10</f>
        <v/>
      </c>
      <c r="AM24" s="19">
        <f>'Grid_Stock'!AD10</f>
        <v/>
      </c>
      <c r="AN24" s="19">
        <f>'Grid_Stock'!AE10</f>
        <v/>
      </c>
      <c r="AO24" s="19">
        <f>'Grid_Stock'!AF10</f>
        <v/>
      </c>
      <c r="AP24" s="19">
        <f>'Grid_Stock'!AG10</f>
        <v/>
      </c>
      <c r="AQ24" s="19">
        <f>'Grid_Stock'!AH10</f>
        <v/>
      </c>
      <c r="AR24" s="19">
        <f>'Grid_Stock'!AI10</f>
        <v/>
      </c>
      <c r="AS24" s="19">
        <f>'Grid_Stock'!AJ10</f>
        <v/>
      </c>
      <c r="AT24" s="19">
        <f>'Grid_Stock'!AK10</f>
        <v/>
      </c>
      <c r="AU24" s="19">
        <f>'Grid_Stock'!AL10</f>
        <v/>
      </c>
      <c r="AV24" s="19">
        <f>'Grid_Stock'!AM10</f>
        <v/>
      </c>
      <c r="AW24" s="19">
        <f>'Grid_Stock'!AN10</f>
        <v/>
      </c>
      <c r="AX24" s="19">
        <f>'Grid_Stock'!AO10</f>
        <v/>
      </c>
      <c r="AY24" s="19">
        <f>'Grid_Stock'!AP10</f>
        <v/>
      </c>
      <c r="AZ24" s="19">
        <f>'Grid_Stock'!AQ10</f>
        <v/>
      </c>
      <c r="BA24" s="19">
        <f>'Grid_Stock'!AR10</f>
        <v/>
      </c>
      <c r="BB24" s="19">
        <f>'Grid_Stock'!AS10</f>
        <v/>
      </c>
      <c r="BC24" s="19">
        <f>'Grid_Stock'!AT10</f>
        <v/>
      </c>
      <c r="BD24" s="19">
        <f>'Grid_Stock'!AU10</f>
        <v/>
      </c>
      <c r="BE24" s="19">
        <f>'Grid_Stock'!AV10</f>
        <v/>
      </c>
      <c r="BF24" s="19">
        <f>'Grid_Stock'!AW10</f>
        <v/>
      </c>
      <c r="BG24" s="19">
        <f>'Grid_Stock'!AX10</f>
        <v/>
      </c>
      <c r="BH24" s="19">
        <f>'Grid_Stock'!AY10</f>
        <v/>
      </c>
      <c r="BI24" s="19">
        <f>'Grid_Stock'!AZ10</f>
        <v/>
      </c>
      <c r="BJ24" s="19">
        <f>'Grid_Stock'!BA10</f>
        <v/>
      </c>
      <c r="BK24" s="19">
        <f>'Grid_Stock'!BB10</f>
        <v/>
      </c>
      <c r="BL24" s="19">
        <f>'Grid_Stock'!BC10</f>
        <v/>
      </c>
      <c r="BM24" s="19">
        <f>'Grid_Stock'!BD10</f>
        <v/>
      </c>
      <c r="BN24" s="19">
        <f>'Grid_Stock'!BE10</f>
        <v/>
      </c>
      <c r="BO24" s="19">
        <f>'Grid_Stock'!BF10</f>
        <v/>
      </c>
      <c r="BP24" s="19">
        <f>'Grid_Stock'!BG10</f>
        <v/>
      </c>
      <c r="BQ24" s="19">
        <f>'Grid_Stock'!BH10</f>
        <v/>
      </c>
      <c r="BR24" s="19">
        <f>'Grid_Stock'!BI10</f>
        <v/>
      </c>
      <c r="BS24" s="19">
        <f>'Grid_Stock'!BJ10</f>
        <v/>
      </c>
      <c r="BT24" s="19">
        <f>'Grid_Stock'!BK10</f>
        <v/>
      </c>
      <c r="BU24" s="19">
        <f>'Grid_Stock'!BL10</f>
        <v/>
      </c>
      <c r="BV24" s="19">
        <f>'Grid_Stock'!BM10</f>
        <v/>
      </c>
      <c r="BW24" s="19">
        <f>'Grid_Stock'!BN10</f>
        <v/>
      </c>
      <c r="BX24" s="19">
        <f>'Grid_Stock'!BO10</f>
        <v/>
      </c>
      <c r="BY24" s="19">
        <f>'Grid_Stock'!BP10</f>
        <v/>
      </c>
      <c r="BZ24" s="19">
        <f>'Grid_Stock'!BQ10</f>
        <v/>
      </c>
      <c r="CA24" s="19">
        <f>'Grid_Stock'!BR10</f>
        <v/>
      </c>
      <c r="CB24" s="19">
        <f>'Grid_Stock'!BS10</f>
        <v/>
      </c>
      <c r="CC24" s="19">
        <f>'Grid_Stock'!BT10</f>
        <v/>
      </c>
      <c r="CD24" s="19">
        <f>'Grid_Stock'!BU10</f>
        <v/>
      </c>
      <c r="CE24" s="19">
        <f>'Grid_Stock'!BV10</f>
        <v/>
      </c>
      <c r="CF24" s="19">
        <f>'Grid_Stock'!BW10</f>
        <v/>
      </c>
      <c r="CG24" s="19">
        <f>'Grid_Stock'!BX10</f>
        <v/>
      </c>
      <c r="CH24" s="19">
        <f>'Grid_Stock'!BY10</f>
        <v/>
      </c>
      <c r="CI24" s="19">
        <f>'Grid_Stock'!BZ10</f>
        <v/>
      </c>
      <c r="CJ24" s="19">
        <f>'Grid_Stock'!CA10</f>
        <v/>
      </c>
      <c r="CK24" s="19">
        <f>'Grid_Stock'!CB10</f>
        <v/>
      </c>
      <c r="CL24" s="19">
        <f>'Grid_Stock'!CC10</f>
        <v/>
      </c>
      <c r="CM24" s="19">
        <f>'Grid_Stock'!CD10</f>
        <v/>
      </c>
      <c r="CN24" s="19">
        <f>'Grid_Stock'!CE10</f>
        <v/>
      </c>
      <c r="CO24" s="19">
        <f>'Grid_Stock'!CF10</f>
        <v/>
      </c>
      <c r="CP24" s="19">
        <f>'Grid_Stock'!CG10</f>
        <v/>
      </c>
      <c r="CQ24" s="19">
        <f>'Grid_Stock'!CH10</f>
        <v/>
      </c>
      <c r="CR24" s="19">
        <f>'Grid_Stock'!CI10</f>
        <v/>
      </c>
      <c r="CS24" s="19">
        <f>'Grid_Stock'!CJ10</f>
        <v/>
      </c>
      <c r="CT24" s="19">
        <f>'Grid_Stock'!CK10</f>
        <v/>
      </c>
      <c r="CU24" s="19">
        <f>'Grid_Stock'!CL10</f>
        <v/>
      </c>
      <c r="CV24" s="19">
        <f>'Grid_Stock'!CM10</f>
        <v/>
      </c>
      <c r="CW24" s="19">
        <f>'Grid_Stock'!CN10</f>
        <v/>
      </c>
      <c r="CX24" s="19">
        <f>'Grid_Stock'!CO10</f>
        <v/>
      </c>
      <c r="CY24" s="19">
        <f>'Grid_Stock'!CP10</f>
        <v/>
      </c>
      <c r="CZ24" s="19">
        <f>'Grid_Stock'!CQ10</f>
        <v/>
      </c>
      <c r="DA24" s="19">
        <f>'Grid_Stock'!CR10</f>
        <v/>
      </c>
      <c r="DB24" s="19">
        <f>'Grid_Stock'!CS10</f>
        <v/>
      </c>
      <c r="DC24" s="19">
        <f>'Grid_Stock'!CT10</f>
        <v/>
      </c>
      <c r="DD24" s="19">
        <f>'Grid_Stock'!CU10</f>
        <v/>
      </c>
      <c r="DE24" s="19">
        <f>'Grid_Stock'!CV10</f>
        <v/>
      </c>
      <c r="DF24" s="19">
        <f>'Grid_Stock'!CW10</f>
        <v/>
      </c>
      <c r="DG24" s="19">
        <f>'Grid_Stock'!CX10</f>
        <v/>
      </c>
      <c r="DH24" s="19">
        <f>'Grid_Stock'!CY10</f>
        <v/>
      </c>
      <c r="DI24" s="19">
        <f>'Grid_Stock'!CZ10</f>
        <v/>
      </c>
      <c r="DJ24" s="19">
        <f>'Grid_Stock'!DA10</f>
        <v/>
      </c>
    </row>
    <row r="25">
      <c r="A25" s="17" t="inlineStr">
        <is>
          <t>JEJ</t>
        </is>
      </c>
      <c r="B25" s="17">
        <f>IFERROR(INDEX(M_RawMaterials[Description],MATCH($A25,M_RawMaterials[Part Name],0)),"")</f>
        <v/>
      </c>
      <c r="C25" s="17">
        <f>IFERROR(INDEX(M_RawMaterials[Category],MATCH($A25,M_RawMaterials[Part Name],0)),"")</f>
        <v/>
      </c>
      <c r="D25" s="17">
        <f>IFERROR(INDEX(M_RawMaterials[基準在庫下限_要入力],MATCH($A25,M_RawMaterials[Part Name],0)),0)</f>
        <v/>
      </c>
      <c r="E25" s="17">
        <f>IFERROR(INDEX(M_RawMaterials[基準在庫上限_要入力],MATCH($A25,M_RawMaterials[Part Name],0)),0)</f>
        <v/>
      </c>
      <c r="F25" s="17">
        <f>IFERROR(LOOKUP(2,1/('T_SelfStock'!$B$15:$DA$15&lt;&gt;""),'T_SelfStock'!$B$15:$DA$15),"")</f>
        <v/>
      </c>
      <c r="G25" s="17">
        <f>IFERROR(LOOKUP(2,1/('T_TTAFStock'!$B$15:$DA$15&lt;&gt;""),'T_TTAFStock'!$B$15:$DA$15),"")</f>
        <v/>
      </c>
      <c r="H25" s="17">
        <f>IFERROR(LOOKUP(2,1/('T_SelfStock'!$B$15:$DA$15&lt;&gt;""),'T_SelfStock'!$B$5:$DA$5),"")</f>
        <v/>
      </c>
      <c r="I25" s="18" t="inlineStr">
        <is>
          <t>理論在庫</t>
        </is>
      </c>
      <c r="J25" s="17">
        <f>IFERROR(INDEX('Grid_Stock'!$A11:$DA11,1,LOOKUP(2,1/('T_SelfStock'!$B$15:$DA$15&lt;&gt;""),COLUMN('T_SelfStock'!$B$15:$DA$15)))-INDEX('Grid_TheoreticalStock'!$A11:$DA11,1,LOOKUP(2,1/('T_SelfStock'!$B$15:$DA$15&lt;&gt;""),COLUMN('T_SelfStock'!$B$15:$DA$15))),0)</f>
        <v/>
      </c>
      <c r="K25" s="18">
        <f>'Grid_TheoreticalStock'!B11</f>
        <v/>
      </c>
      <c r="L25" s="18">
        <f>'Grid_TheoreticalStock'!C11</f>
        <v/>
      </c>
      <c r="M25" s="18">
        <f>'Grid_TheoreticalStock'!D11</f>
        <v/>
      </c>
      <c r="N25" s="18">
        <f>'Grid_TheoreticalStock'!E11</f>
        <v/>
      </c>
      <c r="O25" s="18">
        <f>'Grid_TheoreticalStock'!F11</f>
        <v/>
      </c>
      <c r="P25" s="18">
        <f>'Grid_TheoreticalStock'!G11</f>
        <v/>
      </c>
      <c r="Q25" s="18">
        <f>'Grid_TheoreticalStock'!H11</f>
        <v/>
      </c>
      <c r="R25" s="18">
        <f>'Grid_TheoreticalStock'!I11</f>
        <v/>
      </c>
      <c r="S25" s="18">
        <f>'Grid_TheoreticalStock'!J11</f>
        <v/>
      </c>
      <c r="T25" s="18">
        <f>'Grid_TheoreticalStock'!K11</f>
        <v/>
      </c>
      <c r="U25" s="18">
        <f>'Grid_TheoreticalStock'!L11</f>
        <v/>
      </c>
      <c r="V25" s="18">
        <f>'Grid_TheoreticalStock'!M11</f>
        <v/>
      </c>
      <c r="W25" s="18">
        <f>'Grid_TheoreticalStock'!N11</f>
        <v/>
      </c>
      <c r="X25" s="18">
        <f>'Grid_TheoreticalStock'!O11</f>
        <v/>
      </c>
      <c r="Y25" s="18">
        <f>'Grid_TheoreticalStock'!P11</f>
        <v/>
      </c>
      <c r="Z25" s="18">
        <f>'Grid_TheoreticalStock'!Q11</f>
        <v/>
      </c>
      <c r="AA25" s="18">
        <f>'Grid_TheoreticalStock'!R11</f>
        <v/>
      </c>
      <c r="AB25" s="18">
        <f>'Grid_TheoreticalStock'!S11</f>
        <v/>
      </c>
      <c r="AC25" s="18">
        <f>'Grid_TheoreticalStock'!T11</f>
        <v/>
      </c>
      <c r="AD25" s="18">
        <f>'Grid_TheoreticalStock'!U11</f>
        <v/>
      </c>
      <c r="AE25" s="18">
        <f>'Grid_TheoreticalStock'!V11</f>
        <v/>
      </c>
      <c r="AF25" s="18">
        <f>'Grid_TheoreticalStock'!W11</f>
        <v/>
      </c>
      <c r="AG25" s="18">
        <f>'Grid_TheoreticalStock'!X11</f>
        <v/>
      </c>
      <c r="AH25" s="18">
        <f>'Grid_TheoreticalStock'!Y11</f>
        <v/>
      </c>
      <c r="AI25" s="18">
        <f>'Grid_TheoreticalStock'!Z11</f>
        <v/>
      </c>
      <c r="AJ25" s="18">
        <f>'Grid_TheoreticalStock'!AA11</f>
        <v/>
      </c>
      <c r="AK25" s="18">
        <f>'Grid_TheoreticalStock'!AB11</f>
        <v/>
      </c>
      <c r="AL25" s="18">
        <f>'Grid_TheoreticalStock'!AC11</f>
        <v/>
      </c>
      <c r="AM25" s="18">
        <f>'Grid_TheoreticalStock'!AD11</f>
        <v/>
      </c>
      <c r="AN25" s="18">
        <f>'Grid_TheoreticalStock'!AE11</f>
        <v/>
      </c>
      <c r="AO25" s="18">
        <f>'Grid_TheoreticalStock'!AF11</f>
        <v/>
      </c>
      <c r="AP25" s="18">
        <f>'Grid_TheoreticalStock'!AG11</f>
        <v/>
      </c>
      <c r="AQ25" s="18">
        <f>'Grid_TheoreticalStock'!AH11</f>
        <v/>
      </c>
      <c r="AR25" s="18">
        <f>'Grid_TheoreticalStock'!AI11</f>
        <v/>
      </c>
      <c r="AS25" s="18">
        <f>'Grid_TheoreticalStock'!AJ11</f>
        <v/>
      </c>
      <c r="AT25" s="18">
        <f>'Grid_TheoreticalStock'!AK11</f>
        <v/>
      </c>
      <c r="AU25" s="18">
        <f>'Grid_TheoreticalStock'!AL11</f>
        <v/>
      </c>
      <c r="AV25" s="18">
        <f>'Grid_TheoreticalStock'!AM11</f>
        <v/>
      </c>
      <c r="AW25" s="18">
        <f>'Grid_TheoreticalStock'!AN11</f>
        <v/>
      </c>
      <c r="AX25" s="18">
        <f>'Grid_TheoreticalStock'!AO11</f>
        <v/>
      </c>
      <c r="AY25" s="18">
        <f>'Grid_TheoreticalStock'!AP11</f>
        <v/>
      </c>
      <c r="AZ25" s="18">
        <f>'Grid_TheoreticalStock'!AQ11</f>
        <v/>
      </c>
      <c r="BA25" s="18">
        <f>'Grid_TheoreticalStock'!AR11</f>
        <v/>
      </c>
      <c r="BB25" s="18">
        <f>'Grid_TheoreticalStock'!AS11</f>
        <v/>
      </c>
      <c r="BC25" s="18">
        <f>'Grid_TheoreticalStock'!AT11</f>
        <v/>
      </c>
      <c r="BD25" s="18">
        <f>'Grid_TheoreticalStock'!AU11</f>
        <v/>
      </c>
      <c r="BE25" s="18">
        <f>'Grid_TheoreticalStock'!AV11</f>
        <v/>
      </c>
      <c r="BF25" s="18">
        <f>'Grid_TheoreticalStock'!AW11</f>
        <v/>
      </c>
      <c r="BG25" s="18">
        <f>'Grid_TheoreticalStock'!AX11</f>
        <v/>
      </c>
      <c r="BH25" s="18">
        <f>'Grid_TheoreticalStock'!AY11</f>
        <v/>
      </c>
      <c r="BI25" s="18">
        <f>'Grid_TheoreticalStock'!AZ11</f>
        <v/>
      </c>
      <c r="BJ25" s="18">
        <f>'Grid_TheoreticalStock'!BA11</f>
        <v/>
      </c>
      <c r="BK25" s="18">
        <f>'Grid_TheoreticalStock'!BB11</f>
        <v/>
      </c>
      <c r="BL25" s="18">
        <f>'Grid_TheoreticalStock'!BC11</f>
        <v/>
      </c>
      <c r="BM25" s="18">
        <f>'Grid_TheoreticalStock'!BD11</f>
        <v/>
      </c>
      <c r="BN25" s="18">
        <f>'Grid_TheoreticalStock'!BE11</f>
        <v/>
      </c>
      <c r="BO25" s="18">
        <f>'Grid_TheoreticalStock'!BF11</f>
        <v/>
      </c>
      <c r="BP25" s="18">
        <f>'Grid_TheoreticalStock'!BG11</f>
        <v/>
      </c>
      <c r="BQ25" s="18">
        <f>'Grid_TheoreticalStock'!BH11</f>
        <v/>
      </c>
      <c r="BR25" s="18">
        <f>'Grid_TheoreticalStock'!BI11</f>
        <v/>
      </c>
      <c r="BS25" s="18">
        <f>'Grid_TheoreticalStock'!BJ11</f>
        <v/>
      </c>
      <c r="BT25" s="18">
        <f>'Grid_TheoreticalStock'!BK11</f>
        <v/>
      </c>
      <c r="BU25" s="18">
        <f>'Grid_TheoreticalStock'!BL11</f>
        <v/>
      </c>
      <c r="BV25" s="18">
        <f>'Grid_TheoreticalStock'!BM11</f>
        <v/>
      </c>
      <c r="BW25" s="18">
        <f>'Grid_TheoreticalStock'!BN11</f>
        <v/>
      </c>
      <c r="BX25" s="18">
        <f>'Grid_TheoreticalStock'!BO11</f>
        <v/>
      </c>
      <c r="BY25" s="18">
        <f>'Grid_TheoreticalStock'!BP11</f>
        <v/>
      </c>
      <c r="BZ25" s="18">
        <f>'Grid_TheoreticalStock'!BQ11</f>
        <v/>
      </c>
      <c r="CA25" s="18">
        <f>'Grid_TheoreticalStock'!BR11</f>
        <v/>
      </c>
      <c r="CB25" s="18">
        <f>'Grid_TheoreticalStock'!BS11</f>
        <v/>
      </c>
      <c r="CC25" s="18">
        <f>'Grid_TheoreticalStock'!BT11</f>
        <v/>
      </c>
      <c r="CD25" s="18">
        <f>'Grid_TheoreticalStock'!BU11</f>
        <v/>
      </c>
      <c r="CE25" s="18">
        <f>'Grid_TheoreticalStock'!BV11</f>
        <v/>
      </c>
      <c r="CF25" s="18">
        <f>'Grid_TheoreticalStock'!BW11</f>
        <v/>
      </c>
      <c r="CG25" s="18">
        <f>'Grid_TheoreticalStock'!BX11</f>
        <v/>
      </c>
      <c r="CH25" s="18">
        <f>'Grid_TheoreticalStock'!BY11</f>
        <v/>
      </c>
      <c r="CI25" s="18">
        <f>'Grid_TheoreticalStock'!BZ11</f>
        <v/>
      </c>
      <c r="CJ25" s="18">
        <f>'Grid_TheoreticalStock'!CA11</f>
        <v/>
      </c>
      <c r="CK25" s="18">
        <f>'Grid_TheoreticalStock'!CB11</f>
        <v/>
      </c>
      <c r="CL25" s="18">
        <f>'Grid_TheoreticalStock'!CC11</f>
        <v/>
      </c>
      <c r="CM25" s="18">
        <f>'Grid_TheoreticalStock'!CD11</f>
        <v/>
      </c>
      <c r="CN25" s="18">
        <f>'Grid_TheoreticalStock'!CE11</f>
        <v/>
      </c>
      <c r="CO25" s="18">
        <f>'Grid_TheoreticalStock'!CF11</f>
        <v/>
      </c>
      <c r="CP25" s="18">
        <f>'Grid_TheoreticalStock'!CG11</f>
        <v/>
      </c>
      <c r="CQ25" s="18">
        <f>'Grid_TheoreticalStock'!CH11</f>
        <v/>
      </c>
      <c r="CR25" s="18">
        <f>'Grid_TheoreticalStock'!CI11</f>
        <v/>
      </c>
      <c r="CS25" s="18">
        <f>'Grid_TheoreticalStock'!CJ11</f>
        <v/>
      </c>
      <c r="CT25" s="18">
        <f>'Grid_TheoreticalStock'!CK11</f>
        <v/>
      </c>
      <c r="CU25" s="18">
        <f>'Grid_TheoreticalStock'!CL11</f>
        <v/>
      </c>
      <c r="CV25" s="18">
        <f>'Grid_TheoreticalStock'!CM11</f>
        <v/>
      </c>
      <c r="CW25" s="18">
        <f>'Grid_TheoreticalStock'!CN11</f>
        <v/>
      </c>
      <c r="CX25" s="18">
        <f>'Grid_TheoreticalStock'!CO11</f>
        <v/>
      </c>
      <c r="CY25" s="18">
        <f>'Grid_TheoreticalStock'!CP11</f>
        <v/>
      </c>
      <c r="CZ25" s="18">
        <f>'Grid_TheoreticalStock'!CQ11</f>
        <v/>
      </c>
      <c r="DA25" s="18">
        <f>'Grid_TheoreticalStock'!CR11</f>
        <v/>
      </c>
      <c r="DB25" s="18">
        <f>'Grid_TheoreticalStock'!CS11</f>
        <v/>
      </c>
      <c r="DC25" s="18">
        <f>'Grid_TheoreticalStock'!CT11</f>
        <v/>
      </c>
      <c r="DD25" s="18">
        <f>'Grid_TheoreticalStock'!CU11</f>
        <v/>
      </c>
      <c r="DE25" s="18">
        <f>'Grid_TheoreticalStock'!CV11</f>
        <v/>
      </c>
      <c r="DF25" s="18">
        <f>'Grid_TheoreticalStock'!CW11</f>
        <v/>
      </c>
      <c r="DG25" s="18">
        <f>'Grid_TheoreticalStock'!CX11</f>
        <v/>
      </c>
      <c r="DH25" s="18">
        <f>'Grid_TheoreticalStock'!CY11</f>
        <v/>
      </c>
      <c r="DI25" s="18">
        <f>'Grid_TheoreticalStock'!CZ11</f>
        <v/>
      </c>
      <c r="DJ25" s="18">
        <f>'Grid_TheoreticalStock'!DA11</f>
        <v/>
      </c>
    </row>
    <row r="26">
      <c r="A26" s="19" t="inlineStr">
        <is>
          <t>JEJ</t>
        </is>
      </c>
      <c r="B26" s="19">
        <f>IFERROR(INDEX(M_RawMaterials[Description],MATCH($A26,M_RawMaterials[Part Name],0)),"")</f>
        <v/>
      </c>
      <c r="C26" s="19">
        <f>IFERROR(INDEX(M_RawMaterials[Category],MATCH($A26,M_RawMaterials[Part Name],0)),"")</f>
        <v/>
      </c>
      <c r="D26" s="19">
        <f>IFERROR(INDEX(M_RawMaterials[基準在庫下限_要入力],MATCH($A26,M_RawMaterials[Part Name],0)),0)</f>
        <v/>
      </c>
      <c r="E26" s="19">
        <f>IFERROR(INDEX(M_RawMaterials[基準在庫上限_要入力],MATCH($A26,M_RawMaterials[Part Name],0)),0)</f>
        <v/>
      </c>
      <c r="F26" s="19">
        <f>IFERROR(LOOKUP(2,1/('T_SelfStock'!$B$15:$DA$15&lt;&gt;""),'T_SelfStock'!$B$15:$DA$15),"")</f>
        <v/>
      </c>
      <c r="G26" s="19">
        <f>IFERROR(LOOKUP(2,1/('T_TTAFStock'!$B$15:$DA$15&lt;&gt;""),'T_TTAFStock'!$B$15:$DA$15),"")</f>
        <v/>
      </c>
      <c r="H26" s="19">
        <f>IFERROR(LOOKUP(2,1/('T_SelfStock'!$B$15:$DA$15&lt;&gt;""),'T_SelfStock'!$B$5:$DA$5),"")</f>
        <v/>
      </c>
      <c r="I26" s="20" t="inlineStr">
        <is>
          <t>実在庫</t>
        </is>
      </c>
      <c r="J26" s="19">
        <f>IFERROR(INDEX('Grid_Stock'!$A11:$DA11,1,LOOKUP(2,1/('T_SelfStock'!$B$15:$DA$15&lt;&gt;""),COLUMN('T_SelfStock'!$B$15:$DA$15)))-INDEX('Grid_TheoreticalStock'!$A11:$DA11,1,LOOKUP(2,1/('T_SelfStock'!$B$15:$DA$15&lt;&gt;""),COLUMN('T_SelfStock'!$B$15:$DA$15))),0)</f>
        <v/>
      </c>
      <c r="K26" s="19">
        <f>'Grid_Stock'!B11</f>
        <v/>
      </c>
      <c r="L26" s="19">
        <f>'Grid_Stock'!C11</f>
        <v/>
      </c>
      <c r="M26" s="19">
        <f>'Grid_Stock'!D11</f>
        <v/>
      </c>
      <c r="N26" s="19">
        <f>'Grid_Stock'!E11</f>
        <v/>
      </c>
      <c r="O26" s="19">
        <f>'Grid_Stock'!F11</f>
        <v/>
      </c>
      <c r="P26" s="19">
        <f>'Grid_Stock'!G11</f>
        <v/>
      </c>
      <c r="Q26" s="19">
        <f>'Grid_Stock'!H11</f>
        <v/>
      </c>
      <c r="R26" s="19">
        <f>'Grid_Stock'!I11</f>
        <v/>
      </c>
      <c r="S26" s="19">
        <f>'Grid_Stock'!J11</f>
        <v/>
      </c>
      <c r="T26" s="19">
        <f>'Grid_Stock'!K11</f>
        <v/>
      </c>
      <c r="U26" s="19">
        <f>'Grid_Stock'!L11</f>
        <v/>
      </c>
      <c r="V26" s="19">
        <f>'Grid_Stock'!M11</f>
        <v/>
      </c>
      <c r="W26" s="19">
        <f>'Grid_Stock'!N11</f>
        <v/>
      </c>
      <c r="X26" s="19">
        <f>'Grid_Stock'!O11</f>
        <v/>
      </c>
      <c r="Y26" s="19">
        <f>'Grid_Stock'!P11</f>
        <v/>
      </c>
      <c r="Z26" s="19">
        <f>'Grid_Stock'!Q11</f>
        <v/>
      </c>
      <c r="AA26" s="19">
        <f>'Grid_Stock'!R11</f>
        <v/>
      </c>
      <c r="AB26" s="19">
        <f>'Grid_Stock'!S11</f>
        <v/>
      </c>
      <c r="AC26" s="19">
        <f>'Grid_Stock'!T11</f>
        <v/>
      </c>
      <c r="AD26" s="19">
        <f>'Grid_Stock'!U11</f>
        <v/>
      </c>
      <c r="AE26" s="19">
        <f>'Grid_Stock'!V11</f>
        <v/>
      </c>
      <c r="AF26" s="19">
        <f>'Grid_Stock'!W11</f>
        <v/>
      </c>
      <c r="AG26" s="19">
        <f>'Grid_Stock'!X11</f>
        <v/>
      </c>
      <c r="AH26" s="19">
        <f>'Grid_Stock'!Y11</f>
        <v/>
      </c>
      <c r="AI26" s="19">
        <f>'Grid_Stock'!Z11</f>
        <v/>
      </c>
      <c r="AJ26" s="19">
        <f>'Grid_Stock'!AA11</f>
        <v/>
      </c>
      <c r="AK26" s="19">
        <f>'Grid_Stock'!AB11</f>
        <v/>
      </c>
      <c r="AL26" s="19">
        <f>'Grid_Stock'!AC11</f>
        <v/>
      </c>
      <c r="AM26" s="19">
        <f>'Grid_Stock'!AD11</f>
        <v/>
      </c>
      <c r="AN26" s="19">
        <f>'Grid_Stock'!AE11</f>
        <v/>
      </c>
      <c r="AO26" s="19">
        <f>'Grid_Stock'!AF11</f>
        <v/>
      </c>
      <c r="AP26" s="19">
        <f>'Grid_Stock'!AG11</f>
        <v/>
      </c>
      <c r="AQ26" s="19">
        <f>'Grid_Stock'!AH11</f>
        <v/>
      </c>
      <c r="AR26" s="19">
        <f>'Grid_Stock'!AI11</f>
        <v/>
      </c>
      <c r="AS26" s="19">
        <f>'Grid_Stock'!AJ11</f>
        <v/>
      </c>
      <c r="AT26" s="19">
        <f>'Grid_Stock'!AK11</f>
        <v/>
      </c>
      <c r="AU26" s="19">
        <f>'Grid_Stock'!AL11</f>
        <v/>
      </c>
      <c r="AV26" s="19">
        <f>'Grid_Stock'!AM11</f>
        <v/>
      </c>
      <c r="AW26" s="19">
        <f>'Grid_Stock'!AN11</f>
        <v/>
      </c>
      <c r="AX26" s="19">
        <f>'Grid_Stock'!AO11</f>
        <v/>
      </c>
      <c r="AY26" s="19">
        <f>'Grid_Stock'!AP11</f>
        <v/>
      </c>
      <c r="AZ26" s="19">
        <f>'Grid_Stock'!AQ11</f>
        <v/>
      </c>
      <c r="BA26" s="19">
        <f>'Grid_Stock'!AR11</f>
        <v/>
      </c>
      <c r="BB26" s="19">
        <f>'Grid_Stock'!AS11</f>
        <v/>
      </c>
      <c r="BC26" s="19">
        <f>'Grid_Stock'!AT11</f>
        <v/>
      </c>
      <c r="BD26" s="19">
        <f>'Grid_Stock'!AU11</f>
        <v/>
      </c>
      <c r="BE26" s="19">
        <f>'Grid_Stock'!AV11</f>
        <v/>
      </c>
      <c r="BF26" s="19">
        <f>'Grid_Stock'!AW11</f>
        <v/>
      </c>
      <c r="BG26" s="19">
        <f>'Grid_Stock'!AX11</f>
        <v/>
      </c>
      <c r="BH26" s="19">
        <f>'Grid_Stock'!AY11</f>
        <v/>
      </c>
      <c r="BI26" s="19">
        <f>'Grid_Stock'!AZ11</f>
        <v/>
      </c>
      <c r="BJ26" s="19">
        <f>'Grid_Stock'!BA11</f>
        <v/>
      </c>
      <c r="BK26" s="19">
        <f>'Grid_Stock'!BB11</f>
        <v/>
      </c>
      <c r="BL26" s="19">
        <f>'Grid_Stock'!BC11</f>
        <v/>
      </c>
      <c r="BM26" s="19">
        <f>'Grid_Stock'!BD11</f>
        <v/>
      </c>
      <c r="BN26" s="19">
        <f>'Grid_Stock'!BE11</f>
        <v/>
      </c>
      <c r="BO26" s="19">
        <f>'Grid_Stock'!BF11</f>
        <v/>
      </c>
      <c r="BP26" s="19">
        <f>'Grid_Stock'!BG11</f>
        <v/>
      </c>
      <c r="BQ26" s="19">
        <f>'Grid_Stock'!BH11</f>
        <v/>
      </c>
      <c r="BR26" s="19">
        <f>'Grid_Stock'!BI11</f>
        <v/>
      </c>
      <c r="BS26" s="19">
        <f>'Grid_Stock'!BJ11</f>
        <v/>
      </c>
      <c r="BT26" s="19">
        <f>'Grid_Stock'!BK11</f>
        <v/>
      </c>
      <c r="BU26" s="19">
        <f>'Grid_Stock'!BL11</f>
        <v/>
      </c>
      <c r="BV26" s="19">
        <f>'Grid_Stock'!BM11</f>
        <v/>
      </c>
      <c r="BW26" s="19">
        <f>'Grid_Stock'!BN11</f>
        <v/>
      </c>
      <c r="BX26" s="19">
        <f>'Grid_Stock'!BO11</f>
        <v/>
      </c>
      <c r="BY26" s="19">
        <f>'Grid_Stock'!BP11</f>
        <v/>
      </c>
      <c r="BZ26" s="19">
        <f>'Grid_Stock'!BQ11</f>
        <v/>
      </c>
      <c r="CA26" s="19">
        <f>'Grid_Stock'!BR11</f>
        <v/>
      </c>
      <c r="CB26" s="19">
        <f>'Grid_Stock'!BS11</f>
        <v/>
      </c>
      <c r="CC26" s="19">
        <f>'Grid_Stock'!BT11</f>
        <v/>
      </c>
      <c r="CD26" s="19">
        <f>'Grid_Stock'!BU11</f>
        <v/>
      </c>
      <c r="CE26" s="19">
        <f>'Grid_Stock'!BV11</f>
        <v/>
      </c>
      <c r="CF26" s="19">
        <f>'Grid_Stock'!BW11</f>
        <v/>
      </c>
      <c r="CG26" s="19">
        <f>'Grid_Stock'!BX11</f>
        <v/>
      </c>
      <c r="CH26" s="19">
        <f>'Grid_Stock'!BY11</f>
        <v/>
      </c>
      <c r="CI26" s="19">
        <f>'Grid_Stock'!BZ11</f>
        <v/>
      </c>
      <c r="CJ26" s="19">
        <f>'Grid_Stock'!CA11</f>
        <v/>
      </c>
      <c r="CK26" s="19">
        <f>'Grid_Stock'!CB11</f>
        <v/>
      </c>
      <c r="CL26" s="19">
        <f>'Grid_Stock'!CC11</f>
        <v/>
      </c>
      <c r="CM26" s="19">
        <f>'Grid_Stock'!CD11</f>
        <v/>
      </c>
      <c r="CN26" s="19">
        <f>'Grid_Stock'!CE11</f>
        <v/>
      </c>
      <c r="CO26" s="19">
        <f>'Grid_Stock'!CF11</f>
        <v/>
      </c>
      <c r="CP26" s="19">
        <f>'Grid_Stock'!CG11</f>
        <v/>
      </c>
      <c r="CQ26" s="19">
        <f>'Grid_Stock'!CH11</f>
        <v/>
      </c>
      <c r="CR26" s="19">
        <f>'Grid_Stock'!CI11</f>
        <v/>
      </c>
      <c r="CS26" s="19">
        <f>'Grid_Stock'!CJ11</f>
        <v/>
      </c>
      <c r="CT26" s="19">
        <f>'Grid_Stock'!CK11</f>
        <v/>
      </c>
      <c r="CU26" s="19">
        <f>'Grid_Stock'!CL11</f>
        <v/>
      </c>
      <c r="CV26" s="19">
        <f>'Grid_Stock'!CM11</f>
        <v/>
      </c>
      <c r="CW26" s="19">
        <f>'Grid_Stock'!CN11</f>
        <v/>
      </c>
      <c r="CX26" s="19">
        <f>'Grid_Stock'!CO11</f>
        <v/>
      </c>
      <c r="CY26" s="19">
        <f>'Grid_Stock'!CP11</f>
        <v/>
      </c>
      <c r="CZ26" s="19">
        <f>'Grid_Stock'!CQ11</f>
        <v/>
      </c>
      <c r="DA26" s="19">
        <f>'Grid_Stock'!CR11</f>
        <v/>
      </c>
      <c r="DB26" s="19">
        <f>'Grid_Stock'!CS11</f>
        <v/>
      </c>
      <c r="DC26" s="19">
        <f>'Grid_Stock'!CT11</f>
        <v/>
      </c>
      <c r="DD26" s="19">
        <f>'Grid_Stock'!CU11</f>
        <v/>
      </c>
      <c r="DE26" s="19">
        <f>'Grid_Stock'!CV11</f>
        <v/>
      </c>
      <c r="DF26" s="19">
        <f>'Grid_Stock'!CW11</f>
        <v/>
      </c>
      <c r="DG26" s="19">
        <f>'Grid_Stock'!CX11</f>
        <v/>
      </c>
      <c r="DH26" s="19">
        <f>'Grid_Stock'!CY11</f>
        <v/>
      </c>
      <c r="DI26" s="19">
        <f>'Grid_Stock'!CZ11</f>
        <v/>
      </c>
      <c r="DJ26" s="19">
        <f>'Grid_Stock'!DA11</f>
        <v/>
      </c>
    </row>
    <row r="27">
      <c r="A27" s="17" t="inlineStr">
        <is>
          <t>YAN</t>
        </is>
      </c>
      <c r="B27" s="17">
        <f>IFERROR(INDEX(M_RawMaterials[Description],MATCH($A27,M_RawMaterials[Part Name],0)),"")</f>
        <v/>
      </c>
      <c r="C27" s="17">
        <f>IFERROR(INDEX(M_RawMaterials[Category],MATCH($A27,M_RawMaterials[Part Name],0)),"")</f>
        <v/>
      </c>
      <c r="D27" s="17">
        <f>IFERROR(INDEX(M_RawMaterials[基準在庫下限_要入力],MATCH($A27,M_RawMaterials[Part Name],0)),0)</f>
        <v/>
      </c>
      <c r="E27" s="17">
        <f>IFERROR(INDEX(M_RawMaterials[基準在庫上限_要入力],MATCH($A27,M_RawMaterials[Part Name],0)),0)</f>
        <v/>
      </c>
      <c r="F27" s="17">
        <f>IFERROR(LOOKUP(2,1/('T_SelfStock'!$B$16:$DA$16&lt;&gt;""),'T_SelfStock'!$B$16:$DA$16),"")</f>
        <v/>
      </c>
      <c r="G27" s="17">
        <f>IFERROR(LOOKUP(2,1/('T_TTAFStock'!$B$16:$DA$16&lt;&gt;""),'T_TTAFStock'!$B$16:$DA$16),"")</f>
        <v/>
      </c>
      <c r="H27" s="17">
        <f>IFERROR(LOOKUP(2,1/('T_SelfStock'!$B$16:$DA$16&lt;&gt;""),'T_SelfStock'!$B$5:$DA$5),"")</f>
        <v/>
      </c>
      <c r="I27" s="18" t="inlineStr">
        <is>
          <t>理論在庫</t>
        </is>
      </c>
      <c r="J27" s="17">
        <f>IFERROR(INDEX('Grid_Stock'!$A12:$DA12,1,LOOKUP(2,1/('T_SelfStock'!$B$16:$DA$16&lt;&gt;""),COLUMN('T_SelfStock'!$B$16:$DA$16)))-INDEX('Grid_TheoreticalStock'!$A12:$DA12,1,LOOKUP(2,1/('T_SelfStock'!$B$16:$DA$16&lt;&gt;""),COLUMN('T_SelfStock'!$B$16:$DA$16))),0)</f>
        <v/>
      </c>
      <c r="K27" s="18">
        <f>'Grid_TheoreticalStock'!B12</f>
        <v/>
      </c>
      <c r="L27" s="18">
        <f>'Grid_TheoreticalStock'!C12</f>
        <v/>
      </c>
      <c r="M27" s="18">
        <f>'Grid_TheoreticalStock'!D12</f>
        <v/>
      </c>
      <c r="N27" s="18">
        <f>'Grid_TheoreticalStock'!E12</f>
        <v/>
      </c>
      <c r="O27" s="18">
        <f>'Grid_TheoreticalStock'!F12</f>
        <v/>
      </c>
      <c r="P27" s="18">
        <f>'Grid_TheoreticalStock'!G12</f>
        <v/>
      </c>
      <c r="Q27" s="18">
        <f>'Grid_TheoreticalStock'!H12</f>
        <v/>
      </c>
      <c r="R27" s="18">
        <f>'Grid_TheoreticalStock'!I12</f>
        <v/>
      </c>
      <c r="S27" s="18">
        <f>'Grid_TheoreticalStock'!J12</f>
        <v/>
      </c>
      <c r="T27" s="18">
        <f>'Grid_TheoreticalStock'!K12</f>
        <v/>
      </c>
      <c r="U27" s="18">
        <f>'Grid_TheoreticalStock'!L12</f>
        <v/>
      </c>
      <c r="V27" s="18">
        <f>'Grid_TheoreticalStock'!M12</f>
        <v/>
      </c>
      <c r="W27" s="18">
        <f>'Grid_TheoreticalStock'!N12</f>
        <v/>
      </c>
      <c r="X27" s="18">
        <f>'Grid_TheoreticalStock'!O12</f>
        <v/>
      </c>
      <c r="Y27" s="18">
        <f>'Grid_TheoreticalStock'!P12</f>
        <v/>
      </c>
      <c r="Z27" s="18">
        <f>'Grid_TheoreticalStock'!Q12</f>
        <v/>
      </c>
      <c r="AA27" s="18">
        <f>'Grid_TheoreticalStock'!R12</f>
        <v/>
      </c>
      <c r="AB27" s="18">
        <f>'Grid_TheoreticalStock'!S12</f>
        <v/>
      </c>
      <c r="AC27" s="18">
        <f>'Grid_TheoreticalStock'!T12</f>
        <v/>
      </c>
      <c r="AD27" s="18">
        <f>'Grid_TheoreticalStock'!U12</f>
        <v/>
      </c>
      <c r="AE27" s="18">
        <f>'Grid_TheoreticalStock'!V12</f>
        <v/>
      </c>
      <c r="AF27" s="18">
        <f>'Grid_TheoreticalStock'!W12</f>
        <v/>
      </c>
      <c r="AG27" s="18">
        <f>'Grid_TheoreticalStock'!X12</f>
        <v/>
      </c>
      <c r="AH27" s="18">
        <f>'Grid_TheoreticalStock'!Y12</f>
        <v/>
      </c>
      <c r="AI27" s="18">
        <f>'Grid_TheoreticalStock'!Z12</f>
        <v/>
      </c>
      <c r="AJ27" s="18">
        <f>'Grid_TheoreticalStock'!AA12</f>
        <v/>
      </c>
      <c r="AK27" s="18">
        <f>'Grid_TheoreticalStock'!AB12</f>
        <v/>
      </c>
      <c r="AL27" s="18">
        <f>'Grid_TheoreticalStock'!AC12</f>
        <v/>
      </c>
      <c r="AM27" s="18">
        <f>'Grid_TheoreticalStock'!AD12</f>
        <v/>
      </c>
      <c r="AN27" s="18">
        <f>'Grid_TheoreticalStock'!AE12</f>
        <v/>
      </c>
      <c r="AO27" s="18">
        <f>'Grid_TheoreticalStock'!AF12</f>
        <v/>
      </c>
      <c r="AP27" s="18">
        <f>'Grid_TheoreticalStock'!AG12</f>
        <v/>
      </c>
      <c r="AQ27" s="18">
        <f>'Grid_TheoreticalStock'!AH12</f>
        <v/>
      </c>
      <c r="AR27" s="18">
        <f>'Grid_TheoreticalStock'!AI12</f>
        <v/>
      </c>
      <c r="AS27" s="18">
        <f>'Grid_TheoreticalStock'!AJ12</f>
        <v/>
      </c>
      <c r="AT27" s="18">
        <f>'Grid_TheoreticalStock'!AK12</f>
        <v/>
      </c>
      <c r="AU27" s="18">
        <f>'Grid_TheoreticalStock'!AL12</f>
        <v/>
      </c>
      <c r="AV27" s="18">
        <f>'Grid_TheoreticalStock'!AM12</f>
        <v/>
      </c>
      <c r="AW27" s="18">
        <f>'Grid_TheoreticalStock'!AN12</f>
        <v/>
      </c>
      <c r="AX27" s="18">
        <f>'Grid_TheoreticalStock'!AO12</f>
        <v/>
      </c>
      <c r="AY27" s="18">
        <f>'Grid_TheoreticalStock'!AP12</f>
        <v/>
      </c>
      <c r="AZ27" s="18">
        <f>'Grid_TheoreticalStock'!AQ12</f>
        <v/>
      </c>
      <c r="BA27" s="18">
        <f>'Grid_TheoreticalStock'!AR12</f>
        <v/>
      </c>
      <c r="BB27" s="18">
        <f>'Grid_TheoreticalStock'!AS12</f>
        <v/>
      </c>
      <c r="BC27" s="18">
        <f>'Grid_TheoreticalStock'!AT12</f>
        <v/>
      </c>
      <c r="BD27" s="18">
        <f>'Grid_TheoreticalStock'!AU12</f>
        <v/>
      </c>
      <c r="BE27" s="18">
        <f>'Grid_TheoreticalStock'!AV12</f>
        <v/>
      </c>
      <c r="BF27" s="18">
        <f>'Grid_TheoreticalStock'!AW12</f>
        <v/>
      </c>
      <c r="BG27" s="18">
        <f>'Grid_TheoreticalStock'!AX12</f>
        <v/>
      </c>
      <c r="BH27" s="18">
        <f>'Grid_TheoreticalStock'!AY12</f>
        <v/>
      </c>
      <c r="BI27" s="18">
        <f>'Grid_TheoreticalStock'!AZ12</f>
        <v/>
      </c>
      <c r="BJ27" s="18">
        <f>'Grid_TheoreticalStock'!BA12</f>
        <v/>
      </c>
      <c r="BK27" s="18">
        <f>'Grid_TheoreticalStock'!BB12</f>
        <v/>
      </c>
      <c r="BL27" s="18">
        <f>'Grid_TheoreticalStock'!BC12</f>
        <v/>
      </c>
      <c r="BM27" s="18">
        <f>'Grid_TheoreticalStock'!BD12</f>
        <v/>
      </c>
      <c r="BN27" s="18">
        <f>'Grid_TheoreticalStock'!BE12</f>
        <v/>
      </c>
      <c r="BO27" s="18">
        <f>'Grid_TheoreticalStock'!BF12</f>
        <v/>
      </c>
      <c r="BP27" s="18">
        <f>'Grid_TheoreticalStock'!BG12</f>
        <v/>
      </c>
      <c r="BQ27" s="18">
        <f>'Grid_TheoreticalStock'!BH12</f>
        <v/>
      </c>
      <c r="BR27" s="18">
        <f>'Grid_TheoreticalStock'!BI12</f>
        <v/>
      </c>
      <c r="BS27" s="18">
        <f>'Grid_TheoreticalStock'!BJ12</f>
        <v/>
      </c>
      <c r="BT27" s="18">
        <f>'Grid_TheoreticalStock'!BK12</f>
        <v/>
      </c>
      <c r="BU27" s="18">
        <f>'Grid_TheoreticalStock'!BL12</f>
        <v/>
      </c>
      <c r="BV27" s="18">
        <f>'Grid_TheoreticalStock'!BM12</f>
        <v/>
      </c>
      <c r="BW27" s="18">
        <f>'Grid_TheoreticalStock'!BN12</f>
        <v/>
      </c>
      <c r="BX27" s="18">
        <f>'Grid_TheoreticalStock'!BO12</f>
        <v/>
      </c>
      <c r="BY27" s="18">
        <f>'Grid_TheoreticalStock'!BP12</f>
        <v/>
      </c>
      <c r="BZ27" s="18">
        <f>'Grid_TheoreticalStock'!BQ12</f>
        <v/>
      </c>
      <c r="CA27" s="18">
        <f>'Grid_TheoreticalStock'!BR12</f>
        <v/>
      </c>
      <c r="CB27" s="18">
        <f>'Grid_TheoreticalStock'!BS12</f>
        <v/>
      </c>
      <c r="CC27" s="18">
        <f>'Grid_TheoreticalStock'!BT12</f>
        <v/>
      </c>
      <c r="CD27" s="18">
        <f>'Grid_TheoreticalStock'!BU12</f>
        <v/>
      </c>
      <c r="CE27" s="18">
        <f>'Grid_TheoreticalStock'!BV12</f>
        <v/>
      </c>
      <c r="CF27" s="18">
        <f>'Grid_TheoreticalStock'!BW12</f>
        <v/>
      </c>
      <c r="CG27" s="18">
        <f>'Grid_TheoreticalStock'!BX12</f>
        <v/>
      </c>
      <c r="CH27" s="18">
        <f>'Grid_TheoreticalStock'!BY12</f>
        <v/>
      </c>
      <c r="CI27" s="18">
        <f>'Grid_TheoreticalStock'!BZ12</f>
        <v/>
      </c>
      <c r="CJ27" s="18">
        <f>'Grid_TheoreticalStock'!CA12</f>
        <v/>
      </c>
      <c r="CK27" s="18">
        <f>'Grid_TheoreticalStock'!CB12</f>
        <v/>
      </c>
      <c r="CL27" s="18">
        <f>'Grid_TheoreticalStock'!CC12</f>
        <v/>
      </c>
      <c r="CM27" s="18">
        <f>'Grid_TheoreticalStock'!CD12</f>
        <v/>
      </c>
      <c r="CN27" s="18">
        <f>'Grid_TheoreticalStock'!CE12</f>
        <v/>
      </c>
      <c r="CO27" s="18">
        <f>'Grid_TheoreticalStock'!CF12</f>
        <v/>
      </c>
      <c r="CP27" s="18">
        <f>'Grid_TheoreticalStock'!CG12</f>
        <v/>
      </c>
      <c r="CQ27" s="18">
        <f>'Grid_TheoreticalStock'!CH12</f>
        <v/>
      </c>
      <c r="CR27" s="18">
        <f>'Grid_TheoreticalStock'!CI12</f>
        <v/>
      </c>
      <c r="CS27" s="18">
        <f>'Grid_TheoreticalStock'!CJ12</f>
        <v/>
      </c>
      <c r="CT27" s="18">
        <f>'Grid_TheoreticalStock'!CK12</f>
        <v/>
      </c>
      <c r="CU27" s="18">
        <f>'Grid_TheoreticalStock'!CL12</f>
        <v/>
      </c>
      <c r="CV27" s="18">
        <f>'Grid_TheoreticalStock'!CM12</f>
        <v/>
      </c>
      <c r="CW27" s="18">
        <f>'Grid_TheoreticalStock'!CN12</f>
        <v/>
      </c>
      <c r="CX27" s="18">
        <f>'Grid_TheoreticalStock'!CO12</f>
        <v/>
      </c>
      <c r="CY27" s="18">
        <f>'Grid_TheoreticalStock'!CP12</f>
        <v/>
      </c>
      <c r="CZ27" s="18">
        <f>'Grid_TheoreticalStock'!CQ12</f>
        <v/>
      </c>
      <c r="DA27" s="18">
        <f>'Grid_TheoreticalStock'!CR12</f>
        <v/>
      </c>
      <c r="DB27" s="18">
        <f>'Grid_TheoreticalStock'!CS12</f>
        <v/>
      </c>
      <c r="DC27" s="18">
        <f>'Grid_TheoreticalStock'!CT12</f>
        <v/>
      </c>
      <c r="DD27" s="18">
        <f>'Grid_TheoreticalStock'!CU12</f>
        <v/>
      </c>
      <c r="DE27" s="18">
        <f>'Grid_TheoreticalStock'!CV12</f>
        <v/>
      </c>
      <c r="DF27" s="18">
        <f>'Grid_TheoreticalStock'!CW12</f>
        <v/>
      </c>
      <c r="DG27" s="18">
        <f>'Grid_TheoreticalStock'!CX12</f>
        <v/>
      </c>
      <c r="DH27" s="18">
        <f>'Grid_TheoreticalStock'!CY12</f>
        <v/>
      </c>
      <c r="DI27" s="18">
        <f>'Grid_TheoreticalStock'!CZ12</f>
        <v/>
      </c>
      <c r="DJ27" s="18">
        <f>'Grid_TheoreticalStock'!DA12</f>
        <v/>
      </c>
    </row>
    <row r="28">
      <c r="A28" s="19" t="inlineStr">
        <is>
          <t>YAN</t>
        </is>
      </c>
      <c r="B28" s="19">
        <f>IFERROR(INDEX(M_RawMaterials[Description],MATCH($A28,M_RawMaterials[Part Name],0)),"")</f>
        <v/>
      </c>
      <c r="C28" s="19">
        <f>IFERROR(INDEX(M_RawMaterials[Category],MATCH($A28,M_RawMaterials[Part Name],0)),"")</f>
        <v/>
      </c>
      <c r="D28" s="19">
        <f>IFERROR(INDEX(M_RawMaterials[基準在庫下限_要入力],MATCH($A28,M_RawMaterials[Part Name],0)),0)</f>
        <v/>
      </c>
      <c r="E28" s="19">
        <f>IFERROR(INDEX(M_RawMaterials[基準在庫上限_要入力],MATCH($A28,M_RawMaterials[Part Name],0)),0)</f>
        <v/>
      </c>
      <c r="F28" s="19">
        <f>IFERROR(LOOKUP(2,1/('T_SelfStock'!$B$16:$DA$16&lt;&gt;""),'T_SelfStock'!$B$16:$DA$16),"")</f>
        <v/>
      </c>
      <c r="G28" s="19">
        <f>IFERROR(LOOKUP(2,1/('T_TTAFStock'!$B$16:$DA$16&lt;&gt;""),'T_TTAFStock'!$B$16:$DA$16),"")</f>
        <v/>
      </c>
      <c r="H28" s="19">
        <f>IFERROR(LOOKUP(2,1/('T_SelfStock'!$B$16:$DA$16&lt;&gt;""),'T_SelfStock'!$B$5:$DA$5),"")</f>
        <v/>
      </c>
      <c r="I28" s="20" t="inlineStr">
        <is>
          <t>実在庫</t>
        </is>
      </c>
      <c r="J28" s="19">
        <f>IFERROR(INDEX('Grid_Stock'!$A12:$DA12,1,LOOKUP(2,1/('T_SelfStock'!$B$16:$DA$16&lt;&gt;""),COLUMN('T_SelfStock'!$B$16:$DA$16)))-INDEX('Grid_TheoreticalStock'!$A12:$DA12,1,LOOKUP(2,1/('T_SelfStock'!$B$16:$DA$16&lt;&gt;""),COLUMN('T_SelfStock'!$B$16:$DA$16))),0)</f>
        <v/>
      </c>
      <c r="K28" s="19">
        <f>'Grid_Stock'!B12</f>
        <v/>
      </c>
      <c r="L28" s="19">
        <f>'Grid_Stock'!C12</f>
        <v/>
      </c>
      <c r="M28" s="19">
        <f>'Grid_Stock'!D12</f>
        <v/>
      </c>
      <c r="N28" s="19">
        <f>'Grid_Stock'!E12</f>
        <v/>
      </c>
      <c r="O28" s="19">
        <f>'Grid_Stock'!F12</f>
        <v/>
      </c>
      <c r="P28" s="19">
        <f>'Grid_Stock'!G12</f>
        <v/>
      </c>
      <c r="Q28" s="19">
        <f>'Grid_Stock'!H12</f>
        <v/>
      </c>
      <c r="R28" s="19">
        <f>'Grid_Stock'!I12</f>
        <v/>
      </c>
      <c r="S28" s="19">
        <f>'Grid_Stock'!J12</f>
        <v/>
      </c>
      <c r="T28" s="19">
        <f>'Grid_Stock'!K12</f>
        <v/>
      </c>
      <c r="U28" s="19">
        <f>'Grid_Stock'!L12</f>
        <v/>
      </c>
      <c r="V28" s="19">
        <f>'Grid_Stock'!M12</f>
        <v/>
      </c>
      <c r="W28" s="19">
        <f>'Grid_Stock'!N12</f>
        <v/>
      </c>
      <c r="X28" s="19">
        <f>'Grid_Stock'!O12</f>
        <v/>
      </c>
      <c r="Y28" s="19">
        <f>'Grid_Stock'!P12</f>
        <v/>
      </c>
      <c r="Z28" s="19">
        <f>'Grid_Stock'!Q12</f>
        <v/>
      </c>
      <c r="AA28" s="19">
        <f>'Grid_Stock'!R12</f>
        <v/>
      </c>
      <c r="AB28" s="19">
        <f>'Grid_Stock'!S12</f>
        <v/>
      </c>
      <c r="AC28" s="19">
        <f>'Grid_Stock'!T12</f>
        <v/>
      </c>
      <c r="AD28" s="19">
        <f>'Grid_Stock'!U12</f>
        <v/>
      </c>
      <c r="AE28" s="19">
        <f>'Grid_Stock'!V12</f>
        <v/>
      </c>
      <c r="AF28" s="19">
        <f>'Grid_Stock'!W12</f>
        <v/>
      </c>
      <c r="AG28" s="19">
        <f>'Grid_Stock'!X12</f>
        <v/>
      </c>
      <c r="AH28" s="19">
        <f>'Grid_Stock'!Y12</f>
        <v/>
      </c>
      <c r="AI28" s="19">
        <f>'Grid_Stock'!Z12</f>
        <v/>
      </c>
      <c r="AJ28" s="19">
        <f>'Grid_Stock'!AA12</f>
        <v/>
      </c>
      <c r="AK28" s="19">
        <f>'Grid_Stock'!AB12</f>
        <v/>
      </c>
      <c r="AL28" s="19">
        <f>'Grid_Stock'!AC12</f>
        <v/>
      </c>
      <c r="AM28" s="19">
        <f>'Grid_Stock'!AD12</f>
        <v/>
      </c>
      <c r="AN28" s="19">
        <f>'Grid_Stock'!AE12</f>
        <v/>
      </c>
      <c r="AO28" s="19">
        <f>'Grid_Stock'!AF12</f>
        <v/>
      </c>
      <c r="AP28" s="19">
        <f>'Grid_Stock'!AG12</f>
        <v/>
      </c>
      <c r="AQ28" s="19">
        <f>'Grid_Stock'!AH12</f>
        <v/>
      </c>
      <c r="AR28" s="19">
        <f>'Grid_Stock'!AI12</f>
        <v/>
      </c>
      <c r="AS28" s="19">
        <f>'Grid_Stock'!AJ12</f>
        <v/>
      </c>
      <c r="AT28" s="19">
        <f>'Grid_Stock'!AK12</f>
        <v/>
      </c>
      <c r="AU28" s="19">
        <f>'Grid_Stock'!AL12</f>
        <v/>
      </c>
      <c r="AV28" s="19">
        <f>'Grid_Stock'!AM12</f>
        <v/>
      </c>
      <c r="AW28" s="19">
        <f>'Grid_Stock'!AN12</f>
        <v/>
      </c>
      <c r="AX28" s="19">
        <f>'Grid_Stock'!AO12</f>
        <v/>
      </c>
      <c r="AY28" s="19">
        <f>'Grid_Stock'!AP12</f>
        <v/>
      </c>
      <c r="AZ28" s="19">
        <f>'Grid_Stock'!AQ12</f>
        <v/>
      </c>
      <c r="BA28" s="19">
        <f>'Grid_Stock'!AR12</f>
        <v/>
      </c>
      <c r="BB28" s="19">
        <f>'Grid_Stock'!AS12</f>
        <v/>
      </c>
      <c r="BC28" s="19">
        <f>'Grid_Stock'!AT12</f>
        <v/>
      </c>
      <c r="BD28" s="19">
        <f>'Grid_Stock'!AU12</f>
        <v/>
      </c>
      <c r="BE28" s="19">
        <f>'Grid_Stock'!AV12</f>
        <v/>
      </c>
      <c r="BF28" s="19">
        <f>'Grid_Stock'!AW12</f>
        <v/>
      </c>
      <c r="BG28" s="19">
        <f>'Grid_Stock'!AX12</f>
        <v/>
      </c>
      <c r="BH28" s="19">
        <f>'Grid_Stock'!AY12</f>
        <v/>
      </c>
      <c r="BI28" s="19">
        <f>'Grid_Stock'!AZ12</f>
        <v/>
      </c>
      <c r="BJ28" s="19">
        <f>'Grid_Stock'!BA12</f>
        <v/>
      </c>
      <c r="BK28" s="19">
        <f>'Grid_Stock'!BB12</f>
        <v/>
      </c>
      <c r="BL28" s="19">
        <f>'Grid_Stock'!BC12</f>
        <v/>
      </c>
      <c r="BM28" s="19">
        <f>'Grid_Stock'!BD12</f>
        <v/>
      </c>
      <c r="BN28" s="19">
        <f>'Grid_Stock'!BE12</f>
        <v/>
      </c>
      <c r="BO28" s="19">
        <f>'Grid_Stock'!BF12</f>
        <v/>
      </c>
      <c r="BP28" s="19">
        <f>'Grid_Stock'!BG12</f>
        <v/>
      </c>
      <c r="BQ28" s="19">
        <f>'Grid_Stock'!BH12</f>
        <v/>
      </c>
      <c r="BR28" s="19">
        <f>'Grid_Stock'!BI12</f>
        <v/>
      </c>
      <c r="BS28" s="19">
        <f>'Grid_Stock'!BJ12</f>
        <v/>
      </c>
      <c r="BT28" s="19">
        <f>'Grid_Stock'!BK12</f>
        <v/>
      </c>
      <c r="BU28" s="19">
        <f>'Grid_Stock'!BL12</f>
        <v/>
      </c>
      <c r="BV28" s="19">
        <f>'Grid_Stock'!BM12</f>
        <v/>
      </c>
      <c r="BW28" s="19">
        <f>'Grid_Stock'!BN12</f>
        <v/>
      </c>
      <c r="BX28" s="19">
        <f>'Grid_Stock'!BO12</f>
        <v/>
      </c>
      <c r="BY28" s="19">
        <f>'Grid_Stock'!BP12</f>
        <v/>
      </c>
      <c r="BZ28" s="19">
        <f>'Grid_Stock'!BQ12</f>
        <v/>
      </c>
      <c r="CA28" s="19">
        <f>'Grid_Stock'!BR12</f>
        <v/>
      </c>
      <c r="CB28" s="19">
        <f>'Grid_Stock'!BS12</f>
        <v/>
      </c>
      <c r="CC28" s="19">
        <f>'Grid_Stock'!BT12</f>
        <v/>
      </c>
      <c r="CD28" s="19">
        <f>'Grid_Stock'!BU12</f>
        <v/>
      </c>
      <c r="CE28" s="19">
        <f>'Grid_Stock'!BV12</f>
        <v/>
      </c>
      <c r="CF28" s="19">
        <f>'Grid_Stock'!BW12</f>
        <v/>
      </c>
      <c r="CG28" s="19">
        <f>'Grid_Stock'!BX12</f>
        <v/>
      </c>
      <c r="CH28" s="19">
        <f>'Grid_Stock'!BY12</f>
        <v/>
      </c>
      <c r="CI28" s="19">
        <f>'Grid_Stock'!BZ12</f>
        <v/>
      </c>
      <c r="CJ28" s="19">
        <f>'Grid_Stock'!CA12</f>
        <v/>
      </c>
      <c r="CK28" s="19">
        <f>'Grid_Stock'!CB12</f>
        <v/>
      </c>
      <c r="CL28" s="19">
        <f>'Grid_Stock'!CC12</f>
        <v/>
      </c>
      <c r="CM28" s="19">
        <f>'Grid_Stock'!CD12</f>
        <v/>
      </c>
      <c r="CN28" s="19">
        <f>'Grid_Stock'!CE12</f>
        <v/>
      </c>
      <c r="CO28" s="19">
        <f>'Grid_Stock'!CF12</f>
        <v/>
      </c>
      <c r="CP28" s="19">
        <f>'Grid_Stock'!CG12</f>
        <v/>
      </c>
      <c r="CQ28" s="19">
        <f>'Grid_Stock'!CH12</f>
        <v/>
      </c>
      <c r="CR28" s="19">
        <f>'Grid_Stock'!CI12</f>
        <v/>
      </c>
      <c r="CS28" s="19">
        <f>'Grid_Stock'!CJ12</f>
        <v/>
      </c>
      <c r="CT28" s="19">
        <f>'Grid_Stock'!CK12</f>
        <v/>
      </c>
      <c r="CU28" s="19">
        <f>'Grid_Stock'!CL12</f>
        <v/>
      </c>
      <c r="CV28" s="19">
        <f>'Grid_Stock'!CM12</f>
        <v/>
      </c>
      <c r="CW28" s="19">
        <f>'Grid_Stock'!CN12</f>
        <v/>
      </c>
      <c r="CX28" s="19">
        <f>'Grid_Stock'!CO12</f>
        <v/>
      </c>
      <c r="CY28" s="19">
        <f>'Grid_Stock'!CP12</f>
        <v/>
      </c>
      <c r="CZ28" s="19">
        <f>'Grid_Stock'!CQ12</f>
        <v/>
      </c>
      <c r="DA28" s="19">
        <f>'Grid_Stock'!CR12</f>
        <v/>
      </c>
      <c r="DB28" s="19">
        <f>'Grid_Stock'!CS12</f>
        <v/>
      </c>
      <c r="DC28" s="19">
        <f>'Grid_Stock'!CT12</f>
        <v/>
      </c>
      <c r="DD28" s="19">
        <f>'Grid_Stock'!CU12</f>
        <v/>
      </c>
      <c r="DE28" s="19">
        <f>'Grid_Stock'!CV12</f>
        <v/>
      </c>
      <c r="DF28" s="19">
        <f>'Grid_Stock'!CW12</f>
        <v/>
      </c>
      <c r="DG28" s="19">
        <f>'Grid_Stock'!CX12</f>
        <v/>
      </c>
      <c r="DH28" s="19">
        <f>'Grid_Stock'!CY12</f>
        <v/>
      </c>
      <c r="DI28" s="19">
        <f>'Grid_Stock'!CZ12</f>
        <v/>
      </c>
      <c r="DJ28" s="19">
        <f>'Grid_Stock'!DA12</f>
        <v/>
      </c>
    </row>
    <row r="29">
      <c r="A29" s="17" t="inlineStr">
        <is>
          <t>ABN</t>
        </is>
      </c>
      <c r="B29" s="17">
        <f>IFERROR(INDEX(M_RawMaterials[Description],MATCH($A29,M_RawMaterials[Part Name],0)),"")</f>
        <v/>
      </c>
      <c r="C29" s="17">
        <f>IFERROR(INDEX(M_RawMaterials[Category],MATCH($A29,M_RawMaterials[Part Name],0)),"")</f>
        <v/>
      </c>
      <c r="D29" s="17">
        <f>IFERROR(INDEX(M_RawMaterials[基準在庫下限_要入力],MATCH($A29,M_RawMaterials[Part Name],0)),0)</f>
        <v/>
      </c>
      <c r="E29" s="17">
        <f>IFERROR(INDEX(M_RawMaterials[基準在庫上限_要入力],MATCH($A29,M_RawMaterials[Part Name],0)),0)</f>
        <v/>
      </c>
      <c r="F29" s="17">
        <f>IFERROR(LOOKUP(2,1/('T_SelfStock'!$B$17:$DA$17&lt;&gt;""),'T_SelfStock'!$B$17:$DA$17),"")</f>
        <v/>
      </c>
      <c r="G29" s="17">
        <f>IFERROR(LOOKUP(2,1/('T_TTAFStock'!$B$17:$DA$17&lt;&gt;""),'T_TTAFStock'!$B$17:$DA$17),"")</f>
        <v/>
      </c>
      <c r="H29" s="17">
        <f>IFERROR(LOOKUP(2,1/('T_SelfStock'!$B$17:$DA$17&lt;&gt;""),'T_SelfStock'!$B$5:$DA$5),"")</f>
        <v/>
      </c>
      <c r="I29" s="18" t="inlineStr">
        <is>
          <t>理論在庫</t>
        </is>
      </c>
      <c r="J29" s="17">
        <f>IFERROR(INDEX('Grid_Stock'!$A13:$DA13,1,LOOKUP(2,1/('T_SelfStock'!$B$17:$DA$17&lt;&gt;""),COLUMN('T_SelfStock'!$B$17:$DA$17)))-INDEX('Grid_TheoreticalStock'!$A13:$DA13,1,LOOKUP(2,1/('T_SelfStock'!$B$17:$DA$17&lt;&gt;""),COLUMN('T_SelfStock'!$B$17:$DA$17))),0)</f>
        <v/>
      </c>
      <c r="K29" s="18">
        <f>'Grid_TheoreticalStock'!B13</f>
        <v/>
      </c>
      <c r="L29" s="18">
        <f>'Grid_TheoreticalStock'!C13</f>
        <v/>
      </c>
      <c r="M29" s="18">
        <f>'Grid_TheoreticalStock'!D13</f>
        <v/>
      </c>
      <c r="N29" s="18">
        <f>'Grid_TheoreticalStock'!E13</f>
        <v/>
      </c>
      <c r="O29" s="18">
        <f>'Grid_TheoreticalStock'!F13</f>
        <v/>
      </c>
      <c r="P29" s="18">
        <f>'Grid_TheoreticalStock'!G13</f>
        <v/>
      </c>
      <c r="Q29" s="18">
        <f>'Grid_TheoreticalStock'!H13</f>
        <v/>
      </c>
      <c r="R29" s="18">
        <f>'Grid_TheoreticalStock'!I13</f>
        <v/>
      </c>
      <c r="S29" s="18">
        <f>'Grid_TheoreticalStock'!J13</f>
        <v/>
      </c>
      <c r="T29" s="18">
        <f>'Grid_TheoreticalStock'!K13</f>
        <v/>
      </c>
      <c r="U29" s="18">
        <f>'Grid_TheoreticalStock'!L13</f>
        <v/>
      </c>
      <c r="V29" s="18">
        <f>'Grid_TheoreticalStock'!M13</f>
        <v/>
      </c>
      <c r="W29" s="18">
        <f>'Grid_TheoreticalStock'!N13</f>
        <v/>
      </c>
      <c r="X29" s="18">
        <f>'Grid_TheoreticalStock'!O13</f>
        <v/>
      </c>
      <c r="Y29" s="18">
        <f>'Grid_TheoreticalStock'!P13</f>
        <v/>
      </c>
      <c r="Z29" s="18">
        <f>'Grid_TheoreticalStock'!Q13</f>
        <v/>
      </c>
      <c r="AA29" s="18">
        <f>'Grid_TheoreticalStock'!R13</f>
        <v/>
      </c>
      <c r="AB29" s="18">
        <f>'Grid_TheoreticalStock'!S13</f>
        <v/>
      </c>
      <c r="AC29" s="18">
        <f>'Grid_TheoreticalStock'!T13</f>
        <v/>
      </c>
      <c r="AD29" s="18">
        <f>'Grid_TheoreticalStock'!U13</f>
        <v/>
      </c>
      <c r="AE29" s="18">
        <f>'Grid_TheoreticalStock'!V13</f>
        <v/>
      </c>
      <c r="AF29" s="18">
        <f>'Grid_TheoreticalStock'!W13</f>
        <v/>
      </c>
      <c r="AG29" s="18">
        <f>'Grid_TheoreticalStock'!X13</f>
        <v/>
      </c>
      <c r="AH29" s="18">
        <f>'Grid_TheoreticalStock'!Y13</f>
        <v/>
      </c>
      <c r="AI29" s="18">
        <f>'Grid_TheoreticalStock'!Z13</f>
        <v/>
      </c>
      <c r="AJ29" s="18">
        <f>'Grid_TheoreticalStock'!AA13</f>
        <v/>
      </c>
      <c r="AK29" s="18">
        <f>'Grid_TheoreticalStock'!AB13</f>
        <v/>
      </c>
      <c r="AL29" s="18">
        <f>'Grid_TheoreticalStock'!AC13</f>
        <v/>
      </c>
      <c r="AM29" s="18">
        <f>'Grid_TheoreticalStock'!AD13</f>
        <v/>
      </c>
      <c r="AN29" s="18">
        <f>'Grid_TheoreticalStock'!AE13</f>
        <v/>
      </c>
      <c r="AO29" s="18">
        <f>'Grid_TheoreticalStock'!AF13</f>
        <v/>
      </c>
      <c r="AP29" s="18">
        <f>'Grid_TheoreticalStock'!AG13</f>
        <v/>
      </c>
      <c r="AQ29" s="18">
        <f>'Grid_TheoreticalStock'!AH13</f>
        <v/>
      </c>
      <c r="AR29" s="18">
        <f>'Grid_TheoreticalStock'!AI13</f>
        <v/>
      </c>
      <c r="AS29" s="18">
        <f>'Grid_TheoreticalStock'!AJ13</f>
        <v/>
      </c>
      <c r="AT29" s="18">
        <f>'Grid_TheoreticalStock'!AK13</f>
        <v/>
      </c>
      <c r="AU29" s="18">
        <f>'Grid_TheoreticalStock'!AL13</f>
        <v/>
      </c>
      <c r="AV29" s="18">
        <f>'Grid_TheoreticalStock'!AM13</f>
        <v/>
      </c>
      <c r="AW29" s="18">
        <f>'Grid_TheoreticalStock'!AN13</f>
        <v/>
      </c>
      <c r="AX29" s="18">
        <f>'Grid_TheoreticalStock'!AO13</f>
        <v/>
      </c>
      <c r="AY29" s="18">
        <f>'Grid_TheoreticalStock'!AP13</f>
        <v/>
      </c>
      <c r="AZ29" s="18">
        <f>'Grid_TheoreticalStock'!AQ13</f>
        <v/>
      </c>
      <c r="BA29" s="18">
        <f>'Grid_TheoreticalStock'!AR13</f>
        <v/>
      </c>
      <c r="BB29" s="18">
        <f>'Grid_TheoreticalStock'!AS13</f>
        <v/>
      </c>
      <c r="BC29" s="18">
        <f>'Grid_TheoreticalStock'!AT13</f>
        <v/>
      </c>
      <c r="BD29" s="18">
        <f>'Grid_TheoreticalStock'!AU13</f>
        <v/>
      </c>
      <c r="BE29" s="18">
        <f>'Grid_TheoreticalStock'!AV13</f>
        <v/>
      </c>
      <c r="BF29" s="18">
        <f>'Grid_TheoreticalStock'!AW13</f>
        <v/>
      </c>
      <c r="BG29" s="18">
        <f>'Grid_TheoreticalStock'!AX13</f>
        <v/>
      </c>
      <c r="BH29" s="18">
        <f>'Grid_TheoreticalStock'!AY13</f>
        <v/>
      </c>
      <c r="BI29" s="18">
        <f>'Grid_TheoreticalStock'!AZ13</f>
        <v/>
      </c>
      <c r="BJ29" s="18">
        <f>'Grid_TheoreticalStock'!BA13</f>
        <v/>
      </c>
      <c r="BK29" s="18">
        <f>'Grid_TheoreticalStock'!BB13</f>
        <v/>
      </c>
      <c r="BL29" s="18">
        <f>'Grid_TheoreticalStock'!BC13</f>
        <v/>
      </c>
      <c r="BM29" s="18">
        <f>'Grid_TheoreticalStock'!BD13</f>
        <v/>
      </c>
      <c r="BN29" s="18">
        <f>'Grid_TheoreticalStock'!BE13</f>
        <v/>
      </c>
      <c r="BO29" s="18">
        <f>'Grid_TheoreticalStock'!BF13</f>
        <v/>
      </c>
      <c r="BP29" s="18">
        <f>'Grid_TheoreticalStock'!BG13</f>
        <v/>
      </c>
      <c r="BQ29" s="18">
        <f>'Grid_TheoreticalStock'!BH13</f>
        <v/>
      </c>
      <c r="BR29" s="18">
        <f>'Grid_TheoreticalStock'!BI13</f>
        <v/>
      </c>
      <c r="BS29" s="18">
        <f>'Grid_TheoreticalStock'!BJ13</f>
        <v/>
      </c>
      <c r="BT29" s="18">
        <f>'Grid_TheoreticalStock'!BK13</f>
        <v/>
      </c>
      <c r="BU29" s="18">
        <f>'Grid_TheoreticalStock'!BL13</f>
        <v/>
      </c>
      <c r="BV29" s="18">
        <f>'Grid_TheoreticalStock'!BM13</f>
        <v/>
      </c>
      <c r="BW29" s="18">
        <f>'Grid_TheoreticalStock'!BN13</f>
        <v/>
      </c>
      <c r="BX29" s="18">
        <f>'Grid_TheoreticalStock'!BO13</f>
        <v/>
      </c>
      <c r="BY29" s="18">
        <f>'Grid_TheoreticalStock'!BP13</f>
        <v/>
      </c>
      <c r="BZ29" s="18">
        <f>'Grid_TheoreticalStock'!BQ13</f>
        <v/>
      </c>
      <c r="CA29" s="18">
        <f>'Grid_TheoreticalStock'!BR13</f>
        <v/>
      </c>
      <c r="CB29" s="18">
        <f>'Grid_TheoreticalStock'!BS13</f>
        <v/>
      </c>
      <c r="CC29" s="18">
        <f>'Grid_TheoreticalStock'!BT13</f>
        <v/>
      </c>
      <c r="CD29" s="18">
        <f>'Grid_TheoreticalStock'!BU13</f>
        <v/>
      </c>
      <c r="CE29" s="18">
        <f>'Grid_TheoreticalStock'!BV13</f>
        <v/>
      </c>
      <c r="CF29" s="18">
        <f>'Grid_TheoreticalStock'!BW13</f>
        <v/>
      </c>
      <c r="CG29" s="18">
        <f>'Grid_TheoreticalStock'!BX13</f>
        <v/>
      </c>
      <c r="CH29" s="18">
        <f>'Grid_TheoreticalStock'!BY13</f>
        <v/>
      </c>
      <c r="CI29" s="18">
        <f>'Grid_TheoreticalStock'!BZ13</f>
        <v/>
      </c>
      <c r="CJ29" s="18">
        <f>'Grid_TheoreticalStock'!CA13</f>
        <v/>
      </c>
      <c r="CK29" s="18">
        <f>'Grid_TheoreticalStock'!CB13</f>
        <v/>
      </c>
      <c r="CL29" s="18">
        <f>'Grid_TheoreticalStock'!CC13</f>
        <v/>
      </c>
      <c r="CM29" s="18">
        <f>'Grid_TheoreticalStock'!CD13</f>
        <v/>
      </c>
      <c r="CN29" s="18">
        <f>'Grid_TheoreticalStock'!CE13</f>
        <v/>
      </c>
      <c r="CO29" s="18">
        <f>'Grid_TheoreticalStock'!CF13</f>
        <v/>
      </c>
      <c r="CP29" s="18">
        <f>'Grid_TheoreticalStock'!CG13</f>
        <v/>
      </c>
      <c r="CQ29" s="18">
        <f>'Grid_TheoreticalStock'!CH13</f>
        <v/>
      </c>
      <c r="CR29" s="18">
        <f>'Grid_TheoreticalStock'!CI13</f>
        <v/>
      </c>
      <c r="CS29" s="18">
        <f>'Grid_TheoreticalStock'!CJ13</f>
        <v/>
      </c>
      <c r="CT29" s="18">
        <f>'Grid_TheoreticalStock'!CK13</f>
        <v/>
      </c>
      <c r="CU29" s="18">
        <f>'Grid_TheoreticalStock'!CL13</f>
        <v/>
      </c>
      <c r="CV29" s="18">
        <f>'Grid_TheoreticalStock'!CM13</f>
        <v/>
      </c>
      <c r="CW29" s="18">
        <f>'Grid_TheoreticalStock'!CN13</f>
        <v/>
      </c>
      <c r="CX29" s="18">
        <f>'Grid_TheoreticalStock'!CO13</f>
        <v/>
      </c>
      <c r="CY29" s="18">
        <f>'Grid_TheoreticalStock'!CP13</f>
        <v/>
      </c>
      <c r="CZ29" s="18">
        <f>'Grid_TheoreticalStock'!CQ13</f>
        <v/>
      </c>
      <c r="DA29" s="18">
        <f>'Grid_TheoreticalStock'!CR13</f>
        <v/>
      </c>
      <c r="DB29" s="18">
        <f>'Grid_TheoreticalStock'!CS13</f>
        <v/>
      </c>
      <c r="DC29" s="18">
        <f>'Grid_TheoreticalStock'!CT13</f>
        <v/>
      </c>
      <c r="DD29" s="18">
        <f>'Grid_TheoreticalStock'!CU13</f>
        <v/>
      </c>
      <c r="DE29" s="18">
        <f>'Grid_TheoreticalStock'!CV13</f>
        <v/>
      </c>
      <c r="DF29" s="18">
        <f>'Grid_TheoreticalStock'!CW13</f>
        <v/>
      </c>
      <c r="DG29" s="18">
        <f>'Grid_TheoreticalStock'!CX13</f>
        <v/>
      </c>
      <c r="DH29" s="18">
        <f>'Grid_TheoreticalStock'!CY13</f>
        <v/>
      </c>
      <c r="DI29" s="18">
        <f>'Grid_TheoreticalStock'!CZ13</f>
        <v/>
      </c>
      <c r="DJ29" s="18">
        <f>'Grid_TheoreticalStock'!DA13</f>
        <v/>
      </c>
    </row>
    <row r="30">
      <c r="A30" s="19" t="inlineStr">
        <is>
          <t>ABN</t>
        </is>
      </c>
      <c r="B30" s="19">
        <f>IFERROR(INDEX(M_RawMaterials[Description],MATCH($A30,M_RawMaterials[Part Name],0)),"")</f>
        <v/>
      </c>
      <c r="C30" s="19">
        <f>IFERROR(INDEX(M_RawMaterials[Category],MATCH($A30,M_RawMaterials[Part Name],0)),"")</f>
        <v/>
      </c>
      <c r="D30" s="19">
        <f>IFERROR(INDEX(M_RawMaterials[基準在庫下限_要入力],MATCH($A30,M_RawMaterials[Part Name],0)),0)</f>
        <v/>
      </c>
      <c r="E30" s="19">
        <f>IFERROR(INDEX(M_RawMaterials[基準在庫上限_要入力],MATCH($A30,M_RawMaterials[Part Name],0)),0)</f>
        <v/>
      </c>
      <c r="F30" s="19">
        <f>IFERROR(LOOKUP(2,1/('T_SelfStock'!$B$17:$DA$17&lt;&gt;""),'T_SelfStock'!$B$17:$DA$17),"")</f>
        <v/>
      </c>
      <c r="G30" s="19">
        <f>IFERROR(LOOKUP(2,1/('T_TTAFStock'!$B$17:$DA$17&lt;&gt;""),'T_TTAFStock'!$B$17:$DA$17),"")</f>
        <v/>
      </c>
      <c r="H30" s="19">
        <f>IFERROR(LOOKUP(2,1/('T_SelfStock'!$B$17:$DA$17&lt;&gt;""),'T_SelfStock'!$B$5:$DA$5),"")</f>
        <v/>
      </c>
      <c r="I30" s="20" t="inlineStr">
        <is>
          <t>実在庫</t>
        </is>
      </c>
      <c r="J30" s="19">
        <f>IFERROR(INDEX('Grid_Stock'!$A13:$DA13,1,LOOKUP(2,1/('T_SelfStock'!$B$17:$DA$17&lt;&gt;""),COLUMN('T_SelfStock'!$B$17:$DA$17)))-INDEX('Grid_TheoreticalStock'!$A13:$DA13,1,LOOKUP(2,1/('T_SelfStock'!$B$17:$DA$17&lt;&gt;""),COLUMN('T_SelfStock'!$B$17:$DA$17))),0)</f>
        <v/>
      </c>
      <c r="K30" s="19">
        <f>'Grid_Stock'!B13</f>
        <v/>
      </c>
      <c r="L30" s="19">
        <f>'Grid_Stock'!C13</f>
        <v/>
      </c>
      <c r="M30" s="19">
        <f>'Grid_Stock'!D13</f>
        <v/>
      </c>
      <c r="N30" s="19">
        <f>'Grid_Stock'!E13</f>
        <v/>
      </c>
      <c r="O30" s="19">
        <f>'Grid_Stock'!F13</f>
        <v/>
      </c>
      <c r="P30" s="19">
        <f>'Grid_Stock'!G13</f>
        <v/>
      </c>
      <c r="Q30" s="19">
        <f>'Grid_Stock'!H13</f>
        <v/>
      </c>
      <c r="R30" s="19">
        <f>'Grid_Stock'!I13</f>
        <v/>
      </c>
      <c r="S30" s="19">
        <f>'Grid_Stock'!J13</f>
        <v/>
      </c>
      <c r="T30" s="19">
        <f>'Grid_Stock'!K13</f>
        <v/>
      </c>
      <c r="U30" s="19">
        <f>'Grid_Stock'!L13</f>
        <v/>
      </c>
      <c r="V30" s="19">
        <f>'Grid_Stock'!M13</f>
        <v/>
      </c>
      <c r="W30" s="19">
        <f>'Grid_Stock'!N13</f>
        <v/>
      </c>
      <c r="X30" s="19">
        <f>'Grid_Stock'!O13</f>
        <v/>
      </c>
      <c r="Y30" s="19">
        <f>'Grid_Stock'!P13</f>
        <v/>
      </c>
      <c r="Z30" s="19">
        <f>'Grid_Stock'!Q13</f>
        <v/>
      </c>
      <c r="AA30" s="19">
        <f>'Grid_Stock'!R13</f>
        <v/>
      </c>
      <c r="AB30" s="19">
        <f>'Grid_Stock'!S13</f>
        <v/>
      </c>
      <c r="AC30" s="19">
        <f>'Grid_Stock'!T13</f>
        <v/>
      </c>
      <c r="AD30" s="19">
        <f>'Grid_Stock'!U13</f>
        <v/>
      </c>
      <c r="AE30" s="19">
        <f>'Grid_Stock'!V13</f>
        <v/>
      </c>
      <c r="AF30" s="19">
        <f>'Grid_Stock'!W13</f>
        <v/>
      </c>
      <c r="AG30" s="19">
        <f>'Grid_Stock'!X13</f>
        <v/>
      </c>
      <c r="AH30" s="19">
        <f>'Grid_Stock'!Y13</f>
        <v/>
      </c>
      <c r="AI30" s="19">
        <f>'Grid_Stock'!Z13</f>
        <v/>
      </c>
      <c r="AJ30" s="19">
        <f>'Grid_Stock'!AA13</f>
        <v/>
      </c>
      <c r="AK30" s="19">
        <f>'Grid_Stock'!AB13</f>
        <v/>
      </c>
      <c r="AL30" s="19">
        <f>'Grid_Stock'!AC13</f>
        <v/>
      </c>
      <c r="AM30" s="19">
        <f>'Grid_Stock'!AD13</f>
        <v/>
      </c>
      <c r="AN30" s="19">
        <f>'Grid_Stock'!AE13</f>
        <v/>
      </c>
      <c r="AO30" s="19">
        <f>'Grid_Stock'!AF13</f>
        <v/>
      </c>
      <c r="AP30" s="19">
        <f>'Grid_Stock'!AG13</f>
        <v/>
      </c>
      <c r="AQ30" s="19">
        <f>'Grid_Stock'!AH13</f>
        <v/>
      </c>
      <c r="AR30" s="19">
        <f>'Grid_Stock'!AI13</f>
        <v/>
      </c>
      <c r="AS30" s="19">
        <f>'Grid_Stock'!AJ13</f>
        <v/>
      </c>
      <c r="AT30" s="19">
        <f>'Grid_Stock'!AK13</f>
        <v/>
      </c>
      <c r="AU30" s="19">
        <f>'Grid_Stock'!AL13</f>
        <v/>
      </c>
      <c r="AV30" s="19">
        <f>'Grid_Stock'!AM13</f>
        <v/>
      </c>
      <c r="AW30" s="19">
        <f>'Grid_Stock'!AN13</f>
        <v/>
      </c>
      <c r="AX30" s="19">
        <f>'Grid_Stock'!AO13</f>
        <v/>
      </c>
      <c r="AY30" s="19">
        <f>'Grid_Stock'!AP13</f>
        <v/>
      </c>
      <c r="AZ30" s="19">
        <f>'Grid_Stock'!AQ13</f>
        <v/>
      </c>
      <c r="BA30" s="19">
        <f>'Grid_Stock'!AR13</f>
        <v/>
      </c>
      <c r="BB30" s="19">
        <f>'Grid_Stock'!AS13</f>
        <v/>
      </c>
      <c r="BC30" s="19">
        <f>'Grid_Stock'!AT13</f>
        <v/>
      </c>
      <c r="BD30" s="19">
        <f>'Grid_Stock'!AU13</f>
        <v/>
      </c>
      <c r="BE30" s="19">
        <f>'Grid_Stock'!AV13</f>
        <v/>
      </c>
      <c r="BF30" s="19">
        <f>'Grid_Stock'!AW13</f>
        <v/>
      </c>
      <c r="BG30" s="19">
        <f>'Grid_Stock'!AX13</f>
        <v/>
      </c>
      <c r="BH30" s="19">
        <f>'Grid_Stock'!AY13</f>
        <v/>
      </c>
      <c r="BI30" s="19">
        <f>'Grid_Stock'!AZ13</f>
        <v/>
      </c>
      <c r="BJ30" s="19">
        <f>'Grid_Stock'!BA13</f>
        <v/>
      </c>
      <c r="BK30" s="19">
        <f>'Grid_Stock'!BB13</f>
        <v/>
      </c>
      <c r="BL30" s="19">
        <f>'Grid_Stock'!BC13</f>
        <v/>
      </c>
      <c r="BM30" s="19">
        <f>'Grid_Stock'!BD13</f>
        <v/>
      </c>
      <c r="BN30" s="19">
        <f>'Grid_Stock'!BE13</f>
        <v/>
      </c>
      <c r="BO30" s="19">
        <f>'Grid_Stock'!BF13</f>
        <v/>
      </c>
      <c r="BP30" s="19">
        <f>'Grid_Stock'!BG13</f>
        <v/>
      </c>
      <c r="BQ30" s="19">
        <f>'Grid_Stock'!BH13</f>
        <v/>
      </c>
      <c r="BR30" s="19">
        <f>'Grid_Stock'!BI13</f>
        <v/>
      </c>
      <c r="BS30" s="19">
        <f>'Grid_Stock'!BJ13</f>
        <v/>
      </c>
      <c r="BT30" s="19">
        <f>'Grid_Stock'!BK13</f>
        <v/>
      </c>
      <c r="BU30" s="19">
        <f>'Grid_Stock'!BL13</f>
        <v/>
      </c>
      <c r="BV30" s="19">
        <f>'Grid_Stock'!BM13</f>
        <v/>
      </c>
      <c r="BW30" s="19">
        <f>'Grid_Stock'!BN13</f>
        <v/>
      </c>
      <c r="BX30" s="19">
        <f>'Grid_Stock'!BO13</f>
        <v/>
      </c>
      <c r="BY30" s="19">
        <f>'Grid_Stock'!BP13</f>
        <v/>
      </c>
      <c r="BZ30" s="19">
        <f>'Grid_Stock'!BQ13</f>
        <v/>
      </c>
      <c r="CA30" s="19">
        <f>'Grid_Stock'!BR13</f>
        <v/>
      </c>
      <c r="CB30" s="19">
        <f>'Grid_Stock'!BS13</f>
        <v/>
      </c>
      <c r="CC30" s="19">
        <f>'Grid_Stock'!BT13</f>
        <v/>
      </c>
      <c r="CD30" s="19">
        <f>'Grid_Stock'!BU13</f>
        <v/>
      </c>
      <c r="CE30" s="19">
        <f>'Grid_Stock'!BV13</f>
        <v/>
      </c>
      <c r="CF30" s="19">
        <f>'Grid_Stock'!BW13</f>
        <v/>
      </c>
      <c r="CG30" s="19">
        <f>'Grid_Stock'!BX13</f>
        <v/>
      </c>
      <c r="CH30" s="19">
        <f>'Grid_Stock'!BY13</f>
        <v/>
      </c>
      <c r="CI30" s="19">
        <f>'Grid_Stock'!BZ13</f>
        <v/>
      </c>
      <c r="CJ30" s="19">
        <f>'Grid_Stock'!CA13</f>
        <v/>
      </c>
      <c r="CK30" s="19">
        <f>'Grid_Stock'!CB13</f>
        <v/>
      </c>
      <c r="CL30" s="19">
        <f>'Grid_Stock'!CC13</f>
        <v/>
      </c>
      <c r="CM30" s="19">
        <f>'Grid_Stock'!CD13</f>
        <v/>
      </c>
      <c r="CN30" s="19">
        <f>'Grid_Stock'!CE13</f>
        <v/>
      </c>
      <c r="CO30" s="19">
        <f>'Grid_Stock'!CF13</f>
        <v/>
      </c>
      <c r="CP30" s="19">
        <f>'Grid_Stock'!CG13</f>
        <v/>
      </c>
      <c r="CQ30" s="19">
        <f>'Grid_Stock'!CH13</f>
        <v/>
      </c>
      <c r="CR30" s="19">
        <f>'Grid_Stock'!CI13</f>
        <v/>
      </c>
      <c r="CS30" s="19">
        <f>'Grid_Stock'!CJ13</f>
        <v/>
      </c>
      <c r="CT30" s="19">
        <f>'Grid_Stock'!CK13</f>
        <v/>
      </c>
      <c r="CU30" s="19">
        <f>'Grid_Stock'!CL13</f>
        <v/>
      </c>
      <c r="CV30" s="19">
        <f>'Grid_Stock'!CM13</f>
        <v/>
      </c>
      <c r="CW30" s="19">
        <f>'Grid_Stock'!CN13</f>
        <v/>
      </c>
      <c r="CX30" s="19">
        <f>'Grid_Stock'!CO13</f>
        <v/>
      </c>
      <c r="CY30" s="19">
        <f>'Grid_Stock'!CP13</f>
        <v/>
      </c>
      <c r="CZ30" s="19">
        <f>'Grid_Stock'!CQ13</f>
        <v/>
      </c>
      <c r="DA30" s="19">
        <f>'Grid_Stock'!CR13</f>
        <v/>
      </c>
      <c r="DB30" s="19">
        <f>'Grid_Stock'!CS13</f>
        <v/>
      </c>
      <c r="DC30" s="19">
        <f>'Grid_Stock'!CT13</f>
        <v/>
      </c>
      <c r="DD30" s="19">
        <f>'Grid_Stock'!CU13</f>
        <v/>
      </c>
      <c r="DE30" s="19">
        <f>'Grid_Stock'!CV13</f>
        <v/>
      </c>
      <c r="DF30" s="19">
        <f>'Grid_Stock'!CW13</f>
        <v/>
      </c>
      <c r="DG30" s="19">
        <f>'Grid_Stock'!CX13</f>
        <v/>
      </c>
      <c r="DH30" s="19">
        <f>'Grid_Stock'!CY13</f>
        <v/>
      </c>
      <c r="DI30" s="19">
        <f>'Grid_Stock'!CZ13</f>
        <v/>
      </c>
      <c r="DJ30" s="19">
        <f>'Grid_Stock'!DA13</f>
        <v/>
      </c>
    </row>
    <row r="31">
      <c r="A31" s="17" t="inlineStr">
        <is>
          <t>OLJ</t>
        </is>
      </c>
      <c r="B31" s="17">
        <f>IFERROR(INDEX(M_RawMaterials[Description],MATCH($A31,M_RawMaterials[Part Name],0)),"")</f>
        <v/>
      </c>
      <c r="C31" s="17">
        <f>IFERROR(INDEX(M_RawMaterials[Category],MATCH($A31,M_RawMaterials[Part Name],0)),"")</f>
        <v/>
      </c>
      <c r="D31" s="17">
        <f>IFERROR(INDEX(M_RawMaterials[基準在庫下限_要入力],MATCH($A31,M_RawMaterials[Part Name],0)),0)</f>
        <v/>
      </c>
      <c r="E31" s="17">
        <f>IFERROR(INDEX(M_RawMaterials[基準在庫上限_要入力],MATCH($A31,M_RawMaterials[Part Name],0)),0)</f>
        <v/>
      </c>
      <c r="F31" s="17">
        <f>IFERROR(LOOKUP(2,1/('T_SelfStock'!$B$18:$DA$18&lt;&gt;""),'T_SelfStock'!$B$18:$DA$18),"")</f>
        <v/>
      </c>
      <c r="G31" s="17">
        <f>IFERROR(LOOKUP(2,1/('T_TTAFStock'!$B$18:$DA$18&lt;&gt;""),'T_TTAFStock'!$B$18:$DA$18),"")</f>
        <v/>
      </c>
      <c r="H31" s="17">
        <f>IFERROR(LOOKUP(2,1/('T_SelfStock'!$B$18:$DA$18&lt;&gt;""),'T_SelfStock'!$B$5:$DA$5),"")</f>
        <v/>
      </c>
      <c r="I31" s="18" t="inlineStr">
        <is>
          <t>理論在庫</t>
        </is>
      </c>
      <c r="J31" s="17">
        <f>IFERROR(INDEX('Grid_Stock'!$A14:$DA14,1,LOOKUP(2,1/('T_SelfStock'!$B$18:$DA$18&lt;&gt;""),COLUMN('T_SelfStock'!$B$18:$DA$18)))-INDEX('Grid_TheoreticalStock'!$A14:$DA14,1,LOOKUP(2,1/('T_SelfStock'!$B$18:$DA$18&lt;&gt;""),COLUMN('T_SelfStock'!$B$18:$DA$18))),0)</f>
        <v/>
      </c>
      <c r="K31" s="18">
        <f>'Grid_TheoreticalStock'!B14</f>
        <v/>
      </c>
      <c r="L31" s="18">
        <f>'Grid_TheoreticalStock'!C14</f>
        <v/>
      </c>
      <c r="M31" s="18">
        <f>'Grid_TheoreticalStock'!D14</f>
        <v/>
      </c>
      <c r="N31" s="18">
        <f>'Grid_TheoreticalStock'!E14</f>
        <v/>
      </c>
      <c r="O31" s="18">
        <f>'Grid_TheoreticalStock'!F14</f>
        <v/>
      </c>
      <c r="P31" s="18">
        <f>'Grid_TheoreticalStock'!G14</f>
        <v/>
      </c>
      <c r="Q31" s="18">
        <f>'Grid_TheoreticalStock'!H14</f>
        <v/>
      </c>
      <c r="R31" s="18">
        <f>'Grid_TheoreticalStock'!I14</f>
        <v/>
      </c>
      <c r="S31" s="18">
        <f>'Grid_TheoreticalStock'!J14</f>
        <v/>
      </c>
      <c r="T31" s="18">
        <f>'Grid_TheoreticalStock'!K14</f>
        <v/>
      </c>
      <c r="U31" s="18">
        <f>'Grid_TheoreticalStock'!L14</f>
        <v/>
      </c>
      <c r="V31" s="18">
        <f>'Grid_TheoreticalStock'!M14</f>
        <v/>
      </c>
      <c r="W31" s="18">
        <f>'Grid_TheoreticalStock'!N14</f>
        <v/>
      </c>
      <c r="X31" s="18">
        <f>'Grid_TheoreticalStock'!O14</f>
        <v/>
      </c>
      <c r="Y31" s="18">
        <f>'Grid_TheoreticalStock'!P14</f>
        <v/>
      </c>
      <c r="Z31" s="18">
        <f>'Grid_TheoreticalStock'!Q14</f>
        <v/>
      </c>
      <c r="AA31" s="18">
        <f>'Grid_TheoreticalStock'!R14</f>
        <v/>
      </c>
      <c r="AB31" s="18">
        <f>'Grid_TheoreticalStock'!S14</f>
        <v/>
      </c>
      <c r="AC31" s="18">
        <f>'Grid_TheoreticalStock'!T14</f>
        <v/>
      </c>
      <c r="AD31" s="18">
        <f>'Grid_TheoreticalStock'!U14</f>
        <v/>
      </c>
      <c r="AE31" s="18">
        <f>'Grid_TheoreticalStock'!V14</f>
        <v/>
      </c>
      <c r="AF31" s="18">
        <f>'Grid_TheoreticalStock'!W14</f>
        <v/>
      </c>
      <c r="AG31" s="18">
        <f>'Grid_TheoreticalStock'!X14</f>
        <v/>
      </c>
      <c r="AH31" s="18">
        <f>'Grid_TheoreticalStock'!Y14</f>
        <v/>
      </c>
      <c r="AI31" s="18">
        <f>'Grid_TheoreticalStock'!Z14</f>
        <v/>
      </c>
      <c r="AJ31" s="18">
        <f>'Grid_TheoreticalStock'!AA14</f>
        <v/>
      </c>
      <c r="AK31" s="18">
        <f>'Grid_TheoreticalStock'!AB14</f>
        <v/>
      </c>
      <c r="AL31" s="18">
        <f>'Grid_TheoreticalStock'!AC14</f>
        <v/>
      </c>
      <c r="AM31" s="18">
        <f>'Grid_TheoreticalStock'!AD14</f>
        <v/>
      </c>
      <c r="AN31" s="18">
        <f>'Grid_TheoreticalStock'!AE14</f>
        <v/>
      </c>
      <c r="AO31" s="18">
        <f>'Grid_TheoreticalStock'!AF14</f>
        <v/>
      </c>
      <c r="AP31" s="18">
        <f>'Grid_TheoreticalStock'!AG14</f>
        <v/>
      </c>
      <c r="AQ31" s="18">
        <f>'Grid_TheoreticalStock'!AH14</f>
        <v/>
      </c>
      <c r="AR31" s="18">
        <f>'Grid_TheoreticalStock'!AI14</f>
        <v/>
      </c>
      <c r="AS31" s="18">
        <f>'Grid_TheoreticalStock'!AJ14</f>
        <v/>
      </c>
      <c r="AT31" s="18">
        <f>'Grid_TheoreticalStock'!AK14</f>
        <v/>
      </c>
      <c r="AU31" s="18">
        <f>'Grid_TheoreticalStock'!AL14</f>
        <v/>
      </c>
      <c r="AV31" s="18">
        <f>'Grid_TheoreticalStock'!AM14</f>
        <v/>
      </c>
      <c r="AW31" s="18">
        <f>'Grid_TheoreticalStock'!AN14</f>
        <v/>
      </c>
      <c r="AX31" s="18">
        <f>'Grid_TheoreticalStock'!AO14</f>
        <v/>
      </c>
      <c r="AY31" s="18">
        <f>'Grid_TheoreticalStock'!AP14</f>
        <v/>
      </c>
      <c r="AZ31" s="18">
        <f>'Grid_TheoreticalStock'!AQ14</f>
        <v/>
      </c>
      <c r="BA31" s="18">
        <f>'Grid_TheoreticalStock'!AR14</f>
        <v/>
      </c>
      <c r="BB31" s="18">
        <f>'Grid_TheoreticalStock'!AS14</f>
        <v/>
      </c>
      <c r="BC31" s="18">
        <f>'Grid_TheoreticalStock'!AT14</f>
        <v/>
      </c>
      <c r="BD31" s="18">
        <f>'Grid_TheoreticalStock'!AU14</f>
        <v/>
      </c>
      <c r="BE31" s="18">
        <f>'Grid_TheoreticalStock'!AV14</f>
        <v/>
      </c>
      <c r="BF31" s="18">
        <f>'Grid_TheoreticalStock'!AW14</f>
        <v/>
      </c>
      <c r="BG31" s="18">
        <f>'Grid_TheoreticalStock'!AX14</f>
        <v/>
      </c>
      <c r="BH31" s="18">
        <f>'Grid_TheoreticalStock'!AY14</f>
        <v/>
      </c>
      <c r="BI31" s="18">
        <f>'Grid_TheoreticalStock'!AZ14</f>
        <v/>
      </c>
      <c r="BJ31" s="18">
        <f>'Grid_TheoreticalStock'!BA14</f>
        <v/>
      </c>
      <c r="BK31" s="18">
        <f>'Grid_TheoreticalStock'!BB14</f>
        <v/>
      </c>
      <c r="BL31" s="18">
        <f>'Grid_TheoreticalStock'!BC14</f>
        <v/>
      </c>
      <c r="BM31" s="18">
        <f>'Grid_TheoreticalStock'!BD14</f>
        <v/>
      </c>
      <c r="BN31" s="18">
        <f>'Grid_TheoreticalStock'!BE14</f>
        <v/>
      </c>
      <c r="BO31" s="18">
        <f>'Grid_TheoreticalStock'!BF14</f>
        <v/>
      </c>
      <c r="BP31" s="18">
        <f>'Grid_TheoreticalStock'!BG14</f>
        <v/>
      </c>
      <c r="BQ31" s="18">
        <f>'Grid_TheoreticalStock'!BH14</f>
        <v/>
      </c>
      <c r="BR31" s="18">
        <f>'Grid_TheoreticalStock'!BI14</f>
        <v/>
      </c>
      <c r="BS31" s="18">
        <f>'Grid_TheoreticalStock'!BJ14</f>
        <v/>
      </c>
      <c r="BT31" s="18">
        <f>'Grid_TheoreticalStock'!BK14</f>
        <v/>
      </c>
      <c r="BU31" s="18">
        <f>'Grid_TheoreticalStock'!BL14</f>
        <v/>
      </c>
      <c r="BV31" s="18">
        <f>'Grid_TheoreticalStock'!BM14</f>
        <v/>
      </c>
      <c r="BW31" s="18">
        <f>'Grid_TheoreticalStock'!BN14</f>
        <v/>
      </c>
      <c r="BX31" s="18">
        <f>'Grid_TheoreticalStock'!BO14</f>
        <v/>
      </c>
      <c r="BY31" s="18">
        <f>'Grid_TheoreticalStock'!BP14</f>
        <v/>
      </c>
      <c r="BZ31" s="18">
        <f>'Grid_TheoreticalStock'!BQ14</f>
        <v/>
      </c>
      <c r="CA31" s="18">
        <f>'Grid_TheoreticalStock'!BR14</f>
        <v/>
      </c>
      <c r="CB31" s="18">
        <f>'Grid_TheoreticalStock'!BS14</f>
        <v/>
      </c>
      <c r="CC31" s="18">
        <f>'Grid_TheoreticalStock'!BT14</f>
        <v/>
      </c>
      <c r="CD31" s="18">
        <f>'Grid_TheoreticalStock'!BU14</f>
        <v/>
      </c>
      <c r="CE31" s="18">
        <f>'Grid_TheoreticalStock'!BV14</f>
        <v/>
      </c>
      <c r="CF31" s="18">
        <f>'Grid_TheoreticalStock'!BW14</f>
        <v/>
      </c>
      <c r="CG31" s="18">
        <f>'Grid_TheoreticalStock'!BX14</f>
        <v/>
      </c>
      <c r="CH31" s="18">
        <f>'Grid_TheoreticalStock'!BY14</f>
        <v/>
      </c>
      <c r="CI31" s="18">
        <f>'Grid_TheoreticalStock'!BZ14</f>
        <v/>
      </c>
      <c r="CJ31" s="18">
        <f>'Grid_TheoreticalStock'!CA14</f>
        <v/>
      </c>
      <c r="CK31" s="18">
        <f>'Grid_TheoreticalStock'!CB14</f>
        <v/>
      </c>
      <c r="CL31" s="18">
        <f>'Grid_TheoreticalStock'!CC14</f>
        <v/>
      </c>
      <c r="CM31" s="18">
        <f>'Grid_TheoreticalStock'!CD14</f>
        <v/>
      </c>
      <c r="CN31" s="18">
        <f>'Grid_TheoreticalStock'!CE14</f>
        <v/>
      </c>
      <c r="CO31" s="18">
        <f>'Grid_TheoreticalStock'!CF14</f>
        <v/>
      </c>
      <c r="CP31" s="18">
        <f>'Grid_TheoreticalStock'!CG14</f>
        <v/>
      </c>
      <c r="CQ31" s="18">
        <f>'Grid_TheoreticalStock'!CH14</f>
        <v/>
      </c>
      <c r="CR31" s="18">
        <f>'Grid_TheoreticalStock'!CI14</f>
        <v/>
      </c>
      <c r="CS31" s="18">
        <f>'Grid_TheoreticalStock'!CJ14</f>
        <v/>
      </c>
      <c r="CT31" s="18">
        <f>'Grid_TheoreticalStock'!CK14</f>
        <v/>
      </c>
      <c r="CU31" s="18">
        <f>'Grid_TheoreticalStock'!CL14</f>
        <v/>
      </c>
      <c r="CV31" s="18">
        <f>'Grid_TheoreticalStock'!CM14</f>
        <v/>
      </c>
      <c r="CW31" s="18">
        <f>'Grid_TheoreticalStock'!CN14</f>
        <v/>
      </c>
      <c r="CX31" s="18">
        <f>'Grid_TheoreticalStock'!CO14</f>
        <v/>
      </c>
      <c r="CY31" s="18">
        <f>'Grid_TheoreticalStock'!CP14</f>
        <v/>
      </c>
      <c r="CZ31" s="18">
        <f>'Grid_TheoreticalStock'!CQ14</f>
        <v/>
      </c>
      <c r="DA31" s="18">
        <f>'Grid_TheoreticalStock'!CR14</f>
        <v/>
      </c>
      <c r="DB31" s="18">
        <f>'Grid_TheoreticalStock'!CS14</f>
        <v/>
      </c>
      <c r="DC31" s="18">
        <f>'Grid_TheoreticalStock'!CT14</f>
        <v/>
      </c>
      <c r="DD31" s="18">
        <f>'Grid_TheoreticalStock'!CU14</f>
        <v/>
      </c>
      <c r="DE31" s="18">
        <f>'Grid_TheoreticalStock'!CV14</f>
        <v/>
      </c>
      <c r="DF31" s="18">
        <f>'Grid_TheoreticalStock'!CW14</f>
        <v/>
      </c>
      <c r="DG31" s="18">
        <f>'Grid_TheoreticalStock'!CX14</f>
        <v/>
      </c>
      <c r="DH31" s="18">
        <f>'Grid_TheoreticalStock'!CY14</f>
        <v/>
      </c>
      <c r="DI31" s="18">
        <f>'Grid_TheoreticalStock'!CZ14</f>
        <v/>
      </c>
      <c r="DJ31" s="18">
        <f>'Grid_TheoreticalStock'!DA14</f>
        <v/>
      </c>
    </row>
    <row r="32">
      <c r="A32" s="19" t="inlineStr">
        <is>
          <t>OLJ</t>
        </is>
      </c>
      <c r="B32" s="19">
        <f>IFERROR(INDEX(M_RawMaterials[Description],MATCH($A32,M_RawMaterials[Part Name],0)),"")</f>
        <v/>
      </c>
      <c r="C32" s="19">
        <f>IFERROR(INDEX(M_RawMaterials[Category],MATCH($A32,M_RawMaterials[Part Name],0)),"")</f>
        <v/>
      </c>
      <c r="D32" s="19">
        <f>IFERROR(INDEX(M_RawMaterials[基準在庫下限_要入力],MATCH($A32,M_RawMaterials[Part Name],0)),0)</f>
        <v/>
      </c>
      <c r="E32" s="19">
        <f>IFERROR(INDEX(M_RawMaterials[基準在庫上限_要入力],MATCH($A32,M_RawMaterials[Part Name],0)),0)</f>
        <v/>
      </c>
      <c r="F32" s="19">
        <f>IFERROR(LOOKUP(2,1/('T_SelfStock'!$B$18:$DA$18&lt;&gt;""),'T_SelfStock'!$B$18:$DA$18),"")</f>
        <v/>
      </c>
      <c r="G32" s="19">
        <f>IFERROR(LOOKUP(2,1/('T_TTAFStock'!$B$18:$DA$18&lt;&gt;""),'T_TTAFStock'!$B$18:$DA$18),"")</f>
        <v/>
      </c>
      <c r="H32" s="19">
        <f>IFERROR(LOOKUP(2,1/('T_SelfStock'!$B$18:$DA$18&lt;&gt;""),'T_SelfStock'!$B$5:$DA$5),"")</f>
        <v/>
      </c>
      <c r="I32" s="20" t="inlineStr">
        <is>
          <t>実在庫</t>
        </is>
      </c>
      <c r="J32" s="19">
        <f>IFERROR(INDEX('Grid_Stock'!$A14:$DA14,1,LOOKUP(2,1/('T_SelfStock'!$B$18:$DA$18&lt;&gt;""),COLUMN('T_SelfStock'!$B$18:$DA$18)))-INDEX('Grid_TheoreticalStock'!$A14:$DA14,1,LOOKUP(2,1/('T_SelfStock'!$B$18:$DA$18&lt;&gt;""),COLUMN('T_SelfStock'!$B$18:$DA$18))),0)</f>
        <v/>
      </c>
      <c r="K32" s="19">
        <f>'Grid_Stock'!B14</f>
        <v/>
      </c>
      <c r="L32" s="19">
        <f>'Grid_Stock'!C14</f>
        <v/>
      </c>
      <c r="M32" s="19">
        <f>'Grid_Stock'!D14</f>
        <v/>
      </c>
      <c r="N32" s="19">
        <f>'Grid_Stock'!E14</f>
        <v/>
      </c>
      <c r="O32" s="19">
        <f>'Grid_Stock'!F14</f>
        <v/>
      </c>
      <c r="P32" s="19">
        <f>'Grid_Stock'!G14</f>
        <v/>
      </c>
      <c r="Q32" s="19">
        <f>'Grid_Stock'!H14</f>
        <v/>
      </c>
      <c r="R32" s="19">
        <f>'Grid_Stock'!I14</f>
        <v/>
      </c>
      <c r="S32" s="19">
        <f>'Grid_Stock'!J14</f>
        <v/>
      </c>
      <c r="T32" s="19">
        <f>'Grid_Stock'!K14</f>
        <v/>
      </c>
      <c r="U32" s="19">
        <f>'Grid_Stock'!L14</f>
        <v/>
      </c>
      <c r="V32" s="19">
        <f>'Grid_Stock'!M14</f>
        <v/>
      </c>
      <c r="W32" s="19">
        <f>'Grid_Stock'!N14</f>
        <v/>
      </c>
      <c r="X32" s="19">
        <f>'Grid_Stock'!O14</f>
        <v/>
      </c>
      <c r="Y32" s="19">
        <f>'Grid_Stock'!P14</f>
        <v/>
      </c>
      <c r="Z32" s="19">
        <f>'Grid_Stock'!Q14</f>
        <v/>
      </c>
      <c r="AA32" s="19">
        <f>'Grid_Stock'!R14</f>
        <v/>
      </c>
      <c r="AB32" s="19">
        <f>'Grid_Stock'!S14</f>
        <v/>
      </c>
      <c r="AC32" s="19">
        <f>'Grid_Stock'!T14</f>
        <v/>
      </c>
      <c r="AD32" s="19">
        <f>'Grid_Stock'!U14</f>
        <v/>
      </c>
      <c r="AE32" s="19">
        <f>'Grid_Stock'!V14</f>
        <v/>
      </c>
      <c r="AF32" s="19">
        <f>'Grid_Stock'!W14</f>
        <v/>
      </c>
      <c r="AG32" s="19">
        <f>'Grid_Stock'!X14</f>
        <v/>
      </c>
      <c r="AH32" s="19">
        <f>'Grid_Stock'!Y14</f>
        <v/>
      </c>
      <c r="AI32" s="19">
        <f>'Grid_Stock'!Z14</f>
        <v/>
      </c>
      <c r="AJ32" s="19">
        <f>'Grid_Stock'!AA14</f>
        <v/>
      </c>
      <c r="AK32" s="19">
        <f>'Grid_Stock'!AB14</f>
        <v/>
      </c>
      <c r="AL32" s="19">
        <f>'Grid_Stock'!AC14</f>
        <v/>
      </c>
      <c r="AM32" s="19">
        <f>'Grid_Stock'!AD14</f>
        <v/>
      </c>
      <c r="AN32" s="19">
        <f>'Grid_Stock'!AE14</f>
        <v/>
      </c>
      <c r="AO32" s="19">
        <f>'Grid_Stock'!AF14</f>
        <v/>
      </c>
      <c r="AP32" s="19">
        <f>'Grid_Stock'!AG14</f>
        <v/>
      </c>
      <c r="AQ32" s="19">
        <f>'Grid_Stock'!AH14</f>
        <v/>
      </c>
      <c r="AR32" s="19">
        <f>'Grid_Stock'!AI14</f>
        <v/>
      </c>
      <c r="AS32" s="19">
        <f>'Grid_Stock'!AJ14</f>
        <v/>
      </c>
      <c r="AT32" s="19">
        <f>'Grid_Stock'!AK14</f>
        <v/>
      </c>
      <c r="AU32" s="19">
        <f>'Grid_Stock'!AL14</f>
        <v/>
      </c>
      <c r="AV32" s="19">
        <f>'Grid_Stock'!AM14</f>
        <v/>
      </c>
      <c r="AW32" s="19">
        <f>'Grid_Stock'!AN14</f>
        <v/>
      </c>
      <c r="AX32" s="19">
        <f>'Grid_Stock'!AO14</f>
        <v/>
      </c>
      <c r="AY32" s="19">
        <f>'Grid_Stock'!AP14</f>
        <v/>
      </c>
      <c r="AZ32" s="19">
        <f>'Grid_Stock'!AQ14</f>
        <v/>
      </c>
      <c r="BA32" s="19">
        <f>'Grid_Stock'!AR14</f>
        <v/>
      </c>
      <c r="BB32" s="19">
        <f>'Grid_Stock'!AS14</f>
        <v/>
      </c>
      <c r="BC32" s="19">
        <f>'Grid_Stock'!AT14</f>
        <v/>
      </c>
      <c r="BD32" s="19">
        <f>'Grid_Stock'!AU14</f>
        <v/>
      </c>
      <c r="BE32" s="19">
        <f>'Grid_Stock'!AV14</f>
        <v/>
      </c>
      <c r="BF32" s="19">
        <f>'Grid_Stock'!AW14</f>
        <v/>
      </c>
      <c r="BG32" s="19">
        <f>'Grid_Stock'!AX14</f>
        <v/>
      </c>
      <c r="BH32" s="19">
        <f>'Grid_Stock'!AY14</f>
        <v/>
      </c>
      <c r="BI32" s="19">
        <f>'Grid_Stock'!AZ14</f>
        <v/>
      </c>
      <c r="BJ32" s="19">
        <f>'Grid_Stock'!BA14</f>
        <v/>
      </c>
      <c r="BK32" s="19">
        <f>'Grid_Stock'!BB14</f>
        <v/>
      </c>
      <c r="BL32" s="19">
        <f>'Grid_Stock'!BC14</f>
        <v/>
      </c>
      <c r="BM32" s="19">
        <f>'Grid_Stock'!BD14</f>
        <v/>
      </c>
      <c r="BN32" s="19">
        <f>'Grid_Stock'!BE14</f>
        <v/>
      </c>
      <c r="BO32" s="19">
        <f>'Grid_Stock'!BF14</f>
        <v/>
      </c>
      <c r="BP32" s="19">
        <f>'Grid_Stock'!BG14</f>
        <v/>
      </c>
      <c r="BQ32" s="19">
        <f>'Grid_Stock'!BH14</f>
        <v/>
      </c>
      <c r="BR32" s="19">
        <f>'Grid_Stock'!BI14</f>
        <v/>
      </c>
      <c r="BS32" s="19">
        <f>'Grid_Stock'!BJ14</f>
        <v/>
      </c>
      <c r="BT32" s="19">
        <f>'Grid_Stock'!BK14</f>
        <v/>
      </c>
      <c r="BU32" s="19">
        <f>'Grid_Stock'!BL14</f>
        <v/>
      </c>
      <c r="BV32" s="19">
        <f>'Grid_Stock'!BM14</f>
        <v/>
      </c>
      <c r="BW32" s="19">
        <f>'Grid_Stock'!BN14</f>
        <v/>
      </c>
      <c r="BX32" s="19">
        <f>'Grid_Stock'!BO14</f>
        <v/>
      </c>
      <c r="BY32" s="19">
        <f>'Grid_Stock'!BP14</f>
        <v/>
      </c>
      <c r="BZ32" s="19">
        <f>'Grid_Stock'!BQ14</f>
        <v/>
      </c>
      <c r="CA32" s="19">
        <f>'Grid_Stock'!BR14</f>
        <v/>
      </c>
      <c r="CB32" s="19">
        <f>'Grid_Stock'!BS14</f>
        <v/>
      </c>
      <c r="CC32" s="19">
        <f>'Grid_Stock'!BT14</f>
        <v/>
      </c>
      <c r="CD32" s="19">
        <f>'Grid_Stock'!BU14</f>
        <v/>
      </c>
      <c r="CE32" s="19">
        <f>'Grid_Stock'!BV14</f>
        <v/>
      </c>
      <c r="CF32" s="19">
        <f>'Grid_Stock'!BW14</f>
        <v/>
      </c>
      <c r="CG32" s="19">
        <f>'Grid_Stock'!BX14</f>
        <v/>
      </c>
      <c r="CH32" s="19">
        <f>'Grid_Stock'!BY14</f>
        <v/>
      </c>
      <c r="CI32" s="19">
        <f>'Grid_Stock'!BZ14</f>
        <v/>
      </c>
      <c r="CJ32" s="19">
        <f>'Grid_Stock'!CA14</f>
        <v/>
      </c>
      <c r="CK32" s="19">
        <f>'Grid_Stock'!CB14</f>
        <v/>
      </c>
      <c r="CL32" s="19">
        <f>'Grid_Stock'!CC14</f>
        <v/>
      </c>
      <c r="CM32" s="19">
        <f>'Grid_Stock'!CD14</f>
        <v/>
      </c>
      <c r="CN32" s="19">
        <f>'Grid_Stock'!CE14</f>
        <v/>
      </c>
      <c r="CO32" s="19">
        <f>'Grid_Stock'!CF14</f>
        <v/>
      </c>
      <c r="CP32" s="19">
        <f>'Grid_Stock'!CG14</f>
        <v/>
      </c>
      <c r="CQ32" s="19">
        <f>'Grid_Stock'!CH14</f>
        <v/>
      </c>
      <c r="CR32" s="19">
        <f>'Grid_Stock'!CI14</f>
        <v/>
      </c>
      <c r="CS32" s="19">
        <f>'Grid_Stock'!CJ14</f>
        <v/>
      </c>
      <c r="CT32" s="19">
        <f>'Grid_Stock'!CK14</f>
        <v/>
      </c>
      <c r="CU32" s="19">
        <f>'Grid_Stock'!CL14</f>
        <v/>
      </c>
      <c r="CV32" s="19">
        <f>'Grid_Stock'!CM14</f>
        <v/>
      </c>
      <c r="CW32" s="19">
        <f>'Grid_Stock'!CN14</f>
        <v/>
      </c>
      <c r="CX32" s="19">
        <f>'Grid_Stock'!CO14</f>
        <v/>
      </c>
      <c r="CY32" s="19">
        <f>'Grid_Stock'!CP14</f>
        <v/>
      </c>
      <c r="CZ32" s="19">
        <f>'Grid_Stock'!CQ14</f>
        <v/>
      </c>
      <c r="DA32" s="19">
        <f>'Grid_Stock'!CR14</f>
        <v/>
      </c>
      <c r="DB32" s="19">
        <f>'Grid_Stock'!CS14</f>
        <v/>
      </c>
      <c r="DC32" s="19">
        <f>'Grid_Stock'!CT14</f>
        <v/>
      </c>
      <c r="DD32" s="19">
        <f>'Grid_Stock'!CU14</f>
        <v/>
      </c>
      <c r="DE32" s="19">
        <f>'Grid_Stock'!CV14</f>
        <v/>
      </c>
      <c r="DF32" s="19">
        <f>'Grid_Stock'!CW14</f>
        <v/>
      </c>
      <c r="DG32" s="19">
        <f>'Grid_Stock'!CX14</f>
        <v/>
      </c>
      <c r="DH32" s="19">
        <f>'Grid_Stock'!CY14</f>
        <v/>
      </c>
      <c r="DI32" s="19">
        <f>'Grid_Stock'!CZ14</f>
        <v/>
      </c>
      <c r="DJ32" s="19">
        <f>'Grid_Stock'!DA14</f>
        <v/>
      </c>
    </row>
    <row r="33">
      <c r="A33" s="17" t="inlineStr">
        <is>
          <t>5SN</t>
        </is>
      </c>
      <c r="B33" s="17">
        <f>IFERROR(INDEX(M_RawMaterials[Description],MATCH($A33,M_RawMaterials[Part Name],0)),"")</f>
        <v/>
      </c>
      <c r="C33" s="17">
        <f>IFERROR(INDEX(M_RawMaterials[Category],MATCH($A33,M_RawMaterials[Part Name],0)),"")</f>
        <v/>
      </c>
      <c r="D33" s="17">
        <f>IFERROR(INDEX(M_RawMaterials[基準在庫下限_要入力],MATCH($A33,M_RawMaterials[Part Name],0)),0)</f>
        <v/>
      </c>
      <c r="E33" s="17">
        <f>IFERROR(INDEX(M_RawMaterials[基準在庫上限_要入力],MATCH($A33,M_RawMaterials[Part Name],0)),0)</f>
        <v/>
      </c>
      <c r="F33" s="17">
        <f>IFERROR(LOOKUP(2,1/('T_SelfStock'!$B$19:$DA$19&lt;&gt;""),'T_SelfStock'!$B$19:$DA$19),"")</f>
        <v/>
      </c>
      <c r="G33" s="17">
        <f>IFERROR(LOOKUP(2,1/('T_TTAFStock'!$B$19:$DA$19&lt;&gt;""),'T_TTAFStock'!$B$19:$DA$19),"")</f>
        <v/>
      </c>
      <c r="H33" s="17">
        <f>IFERROR(LOOKUP(2,1/('T_SelfStock'!$B$19:$DA$19&lt;&gt;""),'T_SelfStock'!$B$5:$DA$5),"")</f>
        <v/>
      </c>
      <c r="I33" s="18" t="inlineStr">
        <is>
          <t>理論在庫</t>
        </is>
      </c>
      <c r="J33" s="17">
        <f>IFERROR(INDEX('Grid_Stock'!$A15:$DA15,1,LOOKUP(2,1/('T_SelfStock'!$B$19:$DA$19&lt;&gt;""),COLUMN('T_SelfStock'!$B$19:$DA$19)))-INDEX('Grid_TheoreticalStock'!$A15:$DA15,1,LOOKUP(2,1/('T_SelfStock'!$B$19:$DA$19&lt;&gt;""),COLUMN('T_SelfStock'!$B$19:$DA$19))),0)</f>
        <v/>
      </c>
      <c r="K33" s="18">
        <f>'Grid_TheoreticalStock'!B15</f>
        <v/>
      </c>
      <c r="L33" s="18">
        <f>'Grid_TheoreticalStock'!C15</f>
        <v/>
      </c>
      <c r="M33" s="18">
        <f>'Grid_TheoreticalStock'!D15</f>
        <v/>
      </c>
      <c r="N33" s="18">
        <f>'Grid_TheoreticalStock'!E15</f>
        <v/>
      </c>
      <c r="O33" s="18">
        <f>'Grid_TheoreticalStock'!F15</f>
        <v/>
      </c>
      <c r="P33" s="18">
        <f>'Grid_TheoreticalStock'!G15</f>
        <v/>
      </c>
      <c r="Q33" s="18">
        <f>'Grid_TheoreticalStock'!H15</f>
        <v/>
      </c>
      <c r="R33" s="18">
        <f>'Grid_TheoreticalStock'!I15</f>
        <v/>
      </c>
      <c r="S33" s="18">
        <f>'Grid_TheoreticalStock'!J15</f>
        <v/>
      </c>
      <c r="T33" s="18">
        <f>'Grid_TheoreticalStock'!K15</f>
        <v/>
      </c>
      <c r="U33" s="18">
        <f>'Grid_TheoreticalStock'!L15</f>
        <v/>
      </c>
      <c r="V33" s="18">
        <f>'Grid_TheoreticalStock'!M15</f>
        <v/>
      </c>
      <c r="W33" s="18">
        <f>'Grid_TheoreticalStock'!N15</f>
        <v/>
      </c>
      <c r="X33" s="18">
        <f>'Grid_TheoreticalStock'!O15</f>
        <v/>
      </c>
      <c r="Y33" s="18">
        <f>'Grid_TheoreticalStock'!P15</f>
        <v/>
      </c>
      <c r="Z33" s="18">
        <f>'Grid_TheoreticalStock'!Q15</f>
        <v/>
      </c>
      <c r="AA33" s="18">
        <f>'Grid_TheoreticalStock'!R15</f>
        <v/>
      </c>
      <c r="AB33" s="18">
        <f>'Grid_TheoreticalStock'!S15</f>
        <v/>
      </c>
      <c r="AC33" s="18">
        <f>'Grid_TheoreticalStock'!T15</f>
        <v/>
      </c>
      <c r="AD33" s="18">
        <f>'Grid_TheoreticalStock'!U15</f>
        <v/>
      </c>
      <c r="AE33" s="18">
        <f>'Grid_TheoreticalStock'!V15</f>
        <v/>
      </c>
      <c r="AF33" s="18">
        <f>'Grid_TheoreticalStock'!W15</f>
        <v/>
      </c>
      <c r="AG33" s="18">
        <f>'Grid_TheoreticalStock'!X15</f>
        <v/>
      </c>
      <c r="AH33" s="18">
        <f>'Grid_TheoreticalStock'!Y15</f>
        <v/>
      </c>
      <c r="AI33" s="18">
        <f>'Grid_TheoreticalStock'!Z15</f>
        <v/>
      </c>
      <c r="AJ33" s="18">
        <f>'Grid_TheoreticalStock'!AA15</f>
        <v/>
      </c>
      <c r="AK33" s="18">
        <f>'Grid_TheoreticalStock'!AB15</f>
        <v/>
      </c>
      <c r="AL33" s="18">
        <f>'Grid_TheoreticalStock'!AC15</f>
        <v/>
      </c>
      <c r="AM33" s="18">
        <f>'Grid_TheoreticalStock'!AD15</f>
        <v/>
      </c>
      <c r="AN33" s="18">
        <f>'Grid_TheoreticalStock'!AE15</f>
        <v/>
      </c>
      <c r="AO33" s="18">
        <f>'Grid_TheoreticalStock'!AF15</f>
        <v/>
      </c>
      <c r="AP33" s="18">
        <f>'Grid_TheoreticalStock'!AG15</f>
        <v/>
      </c>
      <c r="AQ33" s="18">
        <f>'Grid_TheoreticalStock'!AH15</f>
        <v/>
      </c>
      <c r="AR33" s="18">
        <f>'Grid_TheoreticalStock'!AI15</f>
        <v/>
      </c>
      <c r="AS33" s="18">
        <f>'Grid_TheoreticalStock'!AJ15</f>
        <v/>
      </c>
      <c r="AT33" s="18">
        <f>'Grid_TheoreticalStock'!AK15</f>
        <v/>
      </c>
      <c r="AU33" s="18">
        <f>'Grid_TheoreticalStock'!AL15</f>
        <v/>
      </c>
      <c r="AV33" s="18">
        <f>'Grid_TheoreticalStock'!AM15</f>
        <v/>
      </c>
      <c r="AW33" s="18">
        <f>'Grid_TheoreticalStock'!AN15</f>
        <v/>
      </c>
      <c r="AX33" s="18">
        <f>'Grid_TheoreticalStock'!AO15</f>
        <v/>
      </c>
      <c r="AY33" s="18">
        <f>'Grid_TheoreticalStock'!AP15</f>
        <v/>
      </c>
      <c r="AZ33" s="18">
        <f>'Grid_TheoreticalStock'!AQ15</f>
        <v/>
      </c>
      <c r="BA33" s="18">
        <f>'Grid_TheoreticalStock'!AR15</f>
        <v/>
      </c>
      <c r="BB33" s="18">
        <f>'Grid_TheoreticalStock'!AS15</f>
        <v/>
      </c>
      <c r="BC33" s="18">
        <f>'Grid_TheoreticalStock'!AT15</f>
        <v/>
      </c>
      <c r="BD33" s="18">
        <f>'Grid_TheoreticalStock'!AU15</f>
        <v/>
      </c>
      <c r="BE33" s="18">
        <f>'Grid_TheoreticalStock'!AV15</f>
        <v/>
      </c>
      <c r="BF33" s="18">
        <f>'Grid_TheoreticalStock'!AW15</f>
        <v/>
      </c>
      <c r="BG33" s="18">
        <f>'Grid_TheoreticalStock'!AX15</f>
        <v/>
      </c>
      <c r="BH33" s="18">
        <f>'Grid_TheoreticalStock'!AY15</f>
        <v/>
      </c>
      <c r="BI33" s="18">
        <f>'Grid_TheoreticalStock'!AZ15</f>
        <v/>
      </c>
      <c r="BJ33" s="18">
        <f>'Grid_TheoreticalStock'!BA15</f>
        <v/>
      </c>
      <c r="BK33" s="18">
        <f>'Grid_TheoreticalStock'!BB15</f>
        <v/>
      </c>
      <c r="BL33" s="18">
        <f>'Grid_TheoreticalStock'!BC15</f>
        <v/>
      </c>
      <c r="BM33" s="18">
        <f>'Grid_TheoreticalStock'!BD15</f>
        <v/>
      </c>
      <c r="BN33" s="18">
        <f>'Grid_TheoreticalStock'!BE15</f>
        <v/>
      </c>
      <c r="BO33" s="18">
        <f>'Grid_TheoreticalStock'!BF15</f>
        <v/>
      </c>
      <c r="BP33" s="18">
        <f>'Grid_TheoreticalStock'!BG15</f>
        <v/>
      </c>
      <c r="BQ33" s="18">
        <f>'Grid_TheoreticalStock'!BH15</f>
        <v/>
      </c>
      <c r="BR33" s="18">
        <f>'Grid_TheoreticalStock'!BI15</f>
        <v/>
      </c>
      <c r="BS33" s="18">
        <f>'Grid_TheoreticalStock'!BJ15</f>
        <v/>
      </c>
      <c r="BT33" s="18">
        <f>'Grid_TheoreticalStock'!BK15</f>
        <v/>
      </c>
      <c r="BU33" s="18">
        <f>'Grid_TheoreticalStock'!BL15</f>
        <v/>
      </c>
      <c r="BV33" s="18">
        <f>'Grid_TheoreticalStock'!BM15</f>
        <v/>
      </c>
      <c r="BW33" s="18">
        <f>'Grid_TheoreticalStock'!BN15</f>
        <v/>
      </c>
      <c r="BX33" s="18">
        <f>'Grid_TheoreticalStock'!BO15</f>
        <v/>
      </c>
      <c r="BY33" s="18">
        <f>'Grid_TheoreticalStock'!BP15</f>
        <v/>
      </c>
      <c r="BZ33" s="18">
        <f>'Grid_TheoreticalStock'!BQ15</f>
        <v/>
      </c>
      <c r="CA33" s="18">
        <f>'Grid_TheoreticalStock'!BR15</f>
        <v/>
      </c>
      <c r="CB33" s="18">
        <f>'Grid_TheoreticalStock'!BS15</f>
        <v/>
      </c>
      <c r="CC33" s="18">
        <f>'Grid_TheoreticalStock'!BT15</f>
        <v/>
      </c>
      <c r="CD33" s="18">
        <f>'Grid_TheoreticalStock'!BU15</f>
        <v/>
      </c>
      <c r="CE33" s="18">
        <f>'Grid_TheoreticalStock'!BV15</f>
        <v/>
      </c>
      <c r="CF33" s="18">
        <f>'Grid_TheoreticalStock'!BW15</f>
        <v/>
      </c>
      <c r="CG33" s="18">
        <f>'Grid_TheoreticalStock'!BX15</f>
        <v/>
      </c>
      <c r="CH33" s="18">
        <f>'Grid_TheoreticalStock'!BY15</f>
        <v/>
      </c>
      <c r="CI33" s="18">
        <f>'Grid_TheoreticalStock'!BZ15</f>
        <v/>
      </c>
      <c r="CJ33" s="18">
        <f>'Grid_TheoreticalStock'!CA15</f>
        <v/>
      </c>
      <c r="CK33" s="18">
        <f>'Grid_TheoreticalStock'!CB15</f>
        <v/>
      </c>
      <c r="CL33" s="18">
        <f>'Grid_TheoreticalStock'!CC15</f>
        <v/>
      </c>
      <c r="CM33" s="18">
        <f>'Grid_TheoreticalStock'!CD15</f>
        <v/>
      </c>
      <c r="CN33" s="18">
        <f>'Grid_TheoreticalStock'!CE15</f>
        <v/>
      </c>
      <c r="CO33" s="18">
        <f>'Grid_TheoreticalStock'!CF15</f>
        <v/>
      </c>
      <c r="CP33" s="18">
        <f>'Grid_TheoreticalStock'!CG15</f>
        <v/>
      </c>
      <c r="CQ33" s="18">
        <f>'Grid_TheoreticalStock'!CH15</f>
        <v/>
      </c>
      <c r="CR33" s="18">
        <f>'Grid_TheoreticalStock'!CI15</f>
        <v/>
      </c>
      <c r="CS33" s="18">
        <f>'Grid_TheoreticalStock'!CJ15</f>
        <v/>
      </c>
      <c r="CT33" s="18">
        <f>'Grid_TheoreticalStock'!CK15</f>
        <v/>
      </c>
      <c r="CU33" s="18">
        <f>'Grid_TheoreticalStock'!CL15</f>
        <v/>
      </c>
      <c r="CV33" s="18">
        <f>'Grid_TheoreticalStock'!CM15</f>
        <v/>
      </c>
      <c r="CW33" s="18">
        <f>'Grid_TheoreticalStock'!CN15</f>
        <v/>
      </c>
      <c r="CX33" s="18">
        <f>'Grid_TheoreticalStock'!CO15</f>
        <v/>
      </c>
      <c r="CY33" s="18">
        <f>'Grid_TheoreticalStock'!CP15</f>
        <v/>
      </c>
      <c r="CZ33" s="18">
        <f>'Grid_TheoreticalStock'!CQ15</f>
        <v/>
      </c>
      <c r="DA33" s="18">
        <f>'Grid_TheoreticalStock'!CR15</f>
        <v/>
      </c>
      <c r="DB33" s="18">
        <f>'Grid_TheoreticalStock'!CS15</f>
        <v/>
      </c>
      <c r="DC33" s="18">
        <f>'Grid_TheoreticalStock'!CT15</f>
        <v/>
      </c>
      <c r="DD33" s="18">
        <f>'Grid_TheoreticalStock'!CU15</f>
        <v/>
      </c>
      <c r="DE33" s="18">
        <f>'Grid_TheoreticalStock'!CV15</f>
        <v/>
      </c>
      <c r="DF33" s="18">
        <f>'Grid_TheoreticalStock'!CW15</f>
        <v/>
      </c>
      <c r="DG33" s="18">
        <f>'Grid_TheoreticalStock'!CX15</f>
        <v/>
      </c>
      <c r="DH33" s="18">
        <f>'Grid_TheoreticalStock'!CY15</f>
        <v/>
      </c>
      <c r="DI33" s="18">
        <f>'Grid_TheoreticalStock'!CZ15</f>
        <v/>
      </c>
      <c r="DJ33" s="18">
        <f>'Grid_TheoreticalStock'!DA15</f>
        <v/>
      </c>
    </row>
    <row r="34">
      <c r="A34" s="19" t="inlineStr">
        <is>
          <t>5SN</t>
        </is>
      </c>
      <c r="B34" s="19">
        <f>IFERROR(INDEX(M_RawMaterials[Description],MATCH($A34,M_RawMaterials[Part Name],0)),"")</f>
        <v/>
      </c>
      <c r="C34" s="19">
        <f>IFERROR(INDEX(M_RawMaterials[Category],MATCH($A34,M_RawMaterials[Part Name],0)),"")</f>
        <v/>
      </c>
      <c r="D34" s="19">
        <f>IFERROR(INDEX(M_RawMaterials[基準在庫下限_要入力],MATCH($A34,M_RawMaterials[Part Name],0)),0)</f>
        <v/>
      </c>
      <c r="E34" s="19">
        <f>IFERROR(INDEX(M_RawMaterials[基準在庫上限_要入力],MATCH($A34,M_RawMaterials[Part Name],0)),0)</f>
        <v/>
      </c>
      <c r="F34" s="19">
        <f>IFERROR(LOOKUP(2,1/('T_SelfStock'!$B$19:$DA$19&lt;&gt;""),'T_SelfStock'!$B$19:$DA$19),"")</f>
        <v/>
      </c>
      <c r="G34" s="19">
        <f>IFERROR(LOOKUP(2,1/('T_TTAFStock'!$B$19:$DA$19&lt;&gt;""),'T_TTAFStock'!$B$19:$DA$19),"")</f>
        <v/>
      </c>
      <c r="H34" s="19">
        <f>IFERROR(LOOKUP(2,1/('T_SelfStock'!$B$19:$DA$19&lt;&gt;""),'T_SelfStock'!$B$5:$DA$5),"")</f>
        <v/>
      </c>
      <c r="I34" s="20" t="inlineStr">
        <is>
          <t>実在庫</t>
        </is>
      </c>
      <c r="J34" s="19">
        <f>IFERROR(INDEX('Grid_Stock'!$A15:$DA15,1,LOOKUP(2,1/('T_SelfStock'!$B$19:$DA$19&lt;&gt;""),COLUMN('T_SelfStock'!$B$19:$DA$19)))-INDEX('Grid_TheoreticalStock'!$A15:$DA15,1,LOOKUP(2,1/('T_SelfStock'!$B$19:$DA$19&lt;&gt;""),COLUMN('T_SelfStock'!$B$19:$DA$19))),0)</f>
        <v/>
      </c>
      <c r="K34" s="19">
        <f>'Grid_Stock'!B15</f>
        <v/>
      </c>
      <c r="L34" s="19">
        <f>'Grid_Stock'!C15</f>
        <v/>
      </c>
      <c r="M34" s="19">
        <f>'Grid_Stock'!D15</f>
        <v/>
      </c>
      <c r="N34" s="19">
        <f>'Grid_Stock'!E15</f>
        <v/>
      </c>
      <c r="O34" s="19">
        <f>'Grid_Stock'!F15</f>
        <v/>
      </c>
      <c r="P34" s="19">
        <f>'Grid_Stock'!G15</f>
        <v/>
      </c>
      <c r="Q34" s="19">
        <f>'Grid_Stock'!H15</f>
        <v/>
      </c>
      <c r="R34" s="19">
        <f>'Grid_Stock'!I15</f>
        <v/>
      </c>
      <c r="S34" s="19">
        <f>'Grid_Stock'!J15</f>
        <v/>
      </c>
      <c r="T34" s="19">
        <f>'Grid_Stock'!K15</f>
        <v/>
      </c>
      <c r="U34" s="19">
        <f>'Grid_Stock'!L15</f>
        <v/>
      </c>
      <c r="V34" s="19">
        <f>'Grid_Stock'!M15</f>
        <v/>
      </c>
      <c r="W34" s="19">
        <f>'Grid_Stock'!N15</f>
        <v/>
      </c>
      <c r="X34" s="19">
        <f>'Grid_Stock'!O15</f>
        <v/>
      </c>
      <c r="Y34" s="19">
        <f>'Grid_Stock'!P15</f>
        <v/>
      </c>
      <c r="Z34" s="19">
        <f>'Grid_Stock'!Q15</f>
        <v/>
      </c>
      <c r="AA34" s="19">
        <f>'Grid_Stock'!R15</f>
        <v/>
      </c>
      <c r="AB34" s="19">
        <f>'Grid_Stock'!S15</f>
        <v/>
      </c>
      <c r="AC34" s="19">
        <f>'Grid_Stock'!T15</f>
        <v/>
      </c>
      <c r="AD34" s="19">
        <f>'Grid_Stock'!U15</f>
        <v/>
      </c>
      <c r="AE34" s="19">
        <f>'Grid_Stock'!V15</f>
        <v/>
      </c>
      <c r="AF34" s="19">
        <f>'Grid_Stock'!W15</f>
        <v/>
      </c>
      <c r="AG34" s="19">
        <f>'Grid_Stock'!X15</f>
        <v/>
      </c>
      <c r="AH34" s="19">
        <f>'Grid_Stock'!Y15</f>
        <v/>
      </c>
      <c r="AI34" s="19">
        <f>'Grid_Stock'!Z15</f>
        <v/>
      </c>
      <c r="AJ34" s="19">
        <f>'Grid_Stock'!AA15</f>
        <v/>
      </c>
      <c r="AK34" s="19">
        <f>'Grid_Stock'!AB15</f>
        <v/>
      </c>
      <c r="AL34" s="19">
        <f>'Grid_Stock'!AC15</f>
        <v/>
      </c>
      <c r="AM34" s="19">
        <f>'Grid_Stock'!AD15</f>
        <v/>
      </c>
      <c r="AN34" s="19">
        <f>'Grid_Stock'!AE15</f>
        <v/>
      </c>
      <c r="AO34" s="19">
        <f>'Grid_Stock'!AF15</f>
        <v/>
      </c>
      <c r="AP34" s="19">
        <f>'Grid_Stock'!AG15</f>
        <v/>
      </c>
      <c r="AQ34" s="19">
        <f>'Grid_Stock'!AH15</f>
        <v/>
      </c>
      <c r="AR34" s="19">
        <f>'Grid_Stock'!AI15</f>
        <v/>
      </c>
      <c r="AS34" s="19">
        <f>'Grid_Stock'!AJ15</f>
        <v/>
      </c>
      <c r="AT34" s="19">
        <f>'Grid_Stock'!AK15</f>
        <v/>
      </c>
      <c r="AU34" s="19">
        <f>'Grid_Stock'!AL15</f>
        <v/>
      </c>
      <c r="AV34" s="19">
        <f>'Grid_Stock'!AM15</f>
        <v/>
      </c>
      <c r="AW34" s="19">
        <f>'Grid_Stock'!AN15</f>
        <v/>
      </c>
      <c r="AX34" s="19">
        <f>'Grid_Stock'!AO15</f>
        <v/>
      </c>
      <c r="AY34" s="19">
        <f>'Grid_Stock'!AP15</f>
        <v/>
      </c>
      <c r="AZ34" s="19">
        <f>'Grid_Stock'!AQ15</f>
        <v/>
      </c>
      <c r="BA34" s="19">
        <f>'Grid_Stock'!AR15</f>
        <v/>
      </c>
      <c r="BB34" s="19">
        <f>'Grid_Stock'!AS15</f>
        <v/>
      </c>
      <c r="BC34" s="19">
        <f>'Grid_Stock'!AT15</f>
        <v/>
      </c>
      <c r="BD34" s="19">
        <f>'Grid_Stock'!AU15</f>
        <v/>
      </c>
      <c r="BE34" s="19">
        <f>'Grid_Stock'!AV15</f>
        <v/>
      </c>
      <c r="BF34" s="19">
        <f>'Grid_Stock'!AW15</f>
        <v/>
      </c>
      <c r="BG34" s="19">
        <f>'Grid_Stock'!AX15</f>
        <v/>
      </c>
      <c r="BH34" s="19">
        <f>'Grid_Stock'!AY15</f>
        <v/>
      </c>
      <c r="BI34" s="19">
        <f>'Grid_Stock'!AZ15</f>
        <v/>
      </c>
      <c r="BJ34" s="19">
        <f>'Grid_Stock'!BA15</f>
        <v/>
      </c>
      <c r="BK34" s="19">
        <f>'Grid_Stock'!BB15</f>
        <v/>
      </c>
      <c r="BL34" s="19">
        <f>'Grid_Stock'!BC15</f>
        <v/>
      </c>
      <c r="BM34" s="19">
        <f>'Grid_Stock'!BD15</f>
        <v/>
      </c>
      <c r="BN34" s="19">
        <f>'Grid_Stock'!BE15</f>
        <v/>
      </c>
      <c r="BO34" s="19">
        <f>'Grid_Stock'!BF15</f>
        <v/>
      </c>
      <c r="BP34" s="19">
        <f>'Grid_Stock'!BG15</f>
        <v/>
      </c>
      <c r="BQ34" s="19">
        <f>'Grid_Stock'!BH15</f>
        <v/>
      </c>
      <c r="BR34" s="19">
        <f>'Grid_Stock'!BI15</f>
        <v/>
      </c>
      <c r="BS34" s="19">
        <f>'Grid_Stock'!BJ15</f>
        <v/>
      </c>
      <c r="BT34" s="19">
        <f>'Grid_Stock'!BK15</f>
        <v/>
      </c>
      <c r="BU34" s="19">
        <f>'Grid_Stock'!BL15</f>
        <v/>
      </c>
      <c r="BV34" s="19">
        <f>'Grid_Stock'!BM15</f>
        <v/>
      </c>
      <c r="BW34" s="19">
        <f>'Grid_Stock'!BN15</f>
        <v/>
      </c>
      <c r="BX34" s="19">
        <f>'Grid_Stock'!BO15</f>
        <v/>
      </c>
      <c r="BY34" s="19">
        <f>'Grid_Stock'!BP15</f>
        <v/>
      </c>
      <c r="BZ34" s="19">
        <f>'Grid_Stock'!BQ15</f>
        <v/>
      </c>
      <c r="CA34" s="19">
        <f>'Grid_Stock'!BR15</f>
        <v/>
      </c>
      <c r="CB34" s="19">
        <f>'Grid_Stock'!BS15</f>
        <v/>
      </c>
      <c r="CC34" s="19">
        <f>'Grid_Stock'!BT15</f>
        <v/>
      </c>
      <c r="CD34" s="19">
        <f>'Grid_Stock'!BU15</f>
        <v/>
      </c>
      <c r="CE34" s="19">
        <f>'Grid_Stock'!BV15</f>
        <v/>
      </c>
      <c r="CF34" s="19">
        <f>'Grid_Stock'!BW15</f>
        <v/>
      </c>
      <c r="CG34" s="19">
        <f>'Grid_Stock'!BX15</f>
        <v/>
      </c>
      <c r="CH34" s="19">
        <f>'Grid_Stock'!BY15</f>
        <v/>
      </c>
      <c r="CI34" s="19">
        <f>'Grid_Stock'!BZ15</f>
        <v/>
      </c>
      <c r="CJ34" s="19">
        <f>'Grid_Stock'!CA15</f>
        <v/>
      </c>
      <c r="CK34" s="19">
        <f>'Grid_Stock'!CB15</f>
        <v/>
      </c>
      <c r="CL34" s="19">
        <f>'Grid_Stock'!CC15</f>
        <v/>
      </c>
      <c r="CM34" s="19">
        <f>'Grid_Stock'!CD15</f>
        <v/>
      </c>
      <c r="CN34" s="19">
        <f>'Grid_Stock'!CE15</f>
        <v/>
      </c>
      <c r="CO34" s="19">
        <f>'Grid_Stock'!CF15</f>
        <v/>
      </c>
      <c r="CP34" s="19">
        <f>'Grid_Stock'!CG15</f>
        <v/>
      </c>
      <c r="CQ34" s="19">
        <f>'Grid_Stock'!CH15</f>
        <v/>
      </c>
      <c r="CR34" s="19">
        <f>'Grid_Stock'!CI15</f>
        <v/>
      </c>
      <c r="CS34" s="19">
        <f>'Grid_Stock'!CJ15</f>
        <v/>
      </c>
      <c r="CT34" s="19">
        <f>'Grid_Stock'!CK15</f>
        <v/>
      </c>
      <c r="CU34" s="19">
        <f>'Grid_Stock'!CL15</f>
        <v/>
      </c>
      <c r="CV34" s="19">
        <f>'Grid_Stock'!CM15</f>
        <v/>
      </c>
      <c r="CW34" s="19">
        <f>'Grid_Stock'!CN15</f>
        <v/>
      </c>
      <c r="CX34" s="19">
        <f>'Grid_Stock'!CO15</f>
        <v/>
      </c>
      <c r="CY34" s="19">
        <f>'Grid_Stock'!CP15</f>
        <v/>
      </c>
      <c r="CZ34" s="19">
        <f>'Grid_Stock'!CQ15</f>
        <v/>
      </c>
      <c r="DA34" s="19">
        <f>'Grid_Stock'!CR15</f>
        <v/>
      </c>
      <c r="DB34" s="19">
        <f>'Grid_Stock'!CS15</f>
        <v/>
      </c>
      <c r="DC34" s="19">
        <f>'Grid_Stock'!CT15</f>
        <v/>
      </c>
      <c r="DD34" s="19">
        <f>'Grid_Stock'!CU15</f>
        <v/>
      </c>
      <c r="DE34" s="19">
        <f>'Grid_Stock'!CV15</f>
        <v/>
      </c>
      <c r="DF34" s="19">
        <f>'Grid_Stock'!CW15</f>
        <v/>
      </c>
      <c r="DG34" s="19">
        <f>'Grid_Stock'!CX15</f>
        <v/>
      </c>
      <c r="DH34" s="19">
        <f>'Grid_Stock'!CY15</f>
        <v/>
      </c>
      <c r="DI34" s="19">
        <f>'Grid_Stock'!CZ15</f>
        <v/>
      </c>
      <c r="DJ34" s="19">
        <f>'Grid_Stock'!DA15</f>
        <v/>
      </c>
    </row>
    <row r="35">
      <c r="A35" s="17" t="inlineStr">
        <is>
          <t>8EN</t>
        </is>
      </c>
      <c r="B35" s="17">
        <f>IFERROR(INDEX(M_RawMaterials[Description],MATCH($A35,M_RawMaterials[Part Name],0)),"")</f>
        <v/>
      </c>
      <c r="C35" s="17">
        <f>IFERROR(INDEX(M_RawMaterials[Category],MATCH($A35,M_RawMaterials[Part Name],0)),"")</f>
        <v/>
      </c>
      <c r="D35" s="17">
        <f>IFERROR(INDEX(M_RawMaterials[基準在庫下限_要入力],MATCH($A35,M_RawMaterials[Part Name],0)),0)</f>
        <v/>
      </c>
      <c r="E35" s="17">
        <f>IFERROR(INDEX(M_RawMaterials[基準在庫上限_要入力],MATCH($A35,M_RawMaterials[Part Name],0)),0)</f>
        <v/>
      </c>
      <c r="F35" s="17">
        <f>IFERROR(LOOKUP(2,1/('T_SelfStock'!$B$20:$DA$20&lt;&gt;""),'T_SelfStock'!$B$20:$DA$20),"")</f>
        <v/>
      </c>
      <c r="G35" s="17">
        <f>IFERROR(LOOKUP(2,1/('T_TTAFStock'!$B$20:$DA$20&lt;&gt;""),'T_TTAFStock'!$B$20:$DA$20),"")</f>
        <v/>
      </c>
      <c r="H35" s="17">
        <f>IFERROR(LOOKUP(2,1/('T_SelfStock'!$B$20:$DA$20&lt;&gt;""),'T_SelfStock'!$B$5:$DA$5),"")</f>
        <v/>
      </c>
      <c r="I35" s="18" t="inlineStr">
        <is>
          <t>理論在庫</t>
        </is>
      </c>
      <c r="J35" s="17">
        <f>IFERROR(INDEX('Grid_Stock'!$A16:$DA16,1,LOOKUP(2,1/('T_SelfStock'!$B$20:$DA$20&lt;&gt;""),COLUMN('T_SelfStock'!$B$20:$DA$20)))-INDEX('Grid_TheoreticalStock'!$A16:$DA16,1,LOOKUP(2,1/('T_SelfStock'!$B$20:$DA$20&lt;&gt;""),COLUMN('T_SelfStock'!$B$20:$DA$20))),0)</f>
        <v/>
      </c>
      <c r="K35" s="18">
        <f>'Grid_TheoreticalStock'!B16</f>
        <v/>
      </c>
      <c r="L35" s="18">
        <f>'Grid_TheoreticalStock'!C16</f>
        <v/>
      </c>
      <c r="M35" s="18">
        <f>'Grid_TheoreticalStock'!D16</f>
        <v/>
      </c>
      <c r="N35" s="18">
        <f>'Grid_TheoreticalStock'!E16</f>
        <v/>
      </c>
      <c r="O35" s="18">
        <f>'Grid_TheoreticalStock'!F16</f>
        <v/>
      </c>
      <c r="P35" s="18">
        <f>'Grid_TheoreticalStock'!G16</f>
        <v/>
      </c>
      <c r="Q35" s="18">
        <f>'Grid_TheoreticalStock'!H16</f>
        <v/>
      </c>
      <c r="R35" s="18">
        <f>'Grid_TheoreticalStock'!I16</f>
        <v/>
      </c>
      <c r="S35" s="18">
        <f>'Grid_TheoreticalStock'!J16</f>
        <v/>
      </c>
      <c r="T35" s="18">
        <f>'Grid_TheoreticalStock'!K16</f>
        <v/>
      </c>
      <c r="U35" s="18">
        <f>'Grid_TheoreticalStock'!L16</f>
        <v/>
      </c>
      <c r="V35" s="18">
        <f>'Grid_TheoreticalStock'!M16</f>
        <v/>
      </c>
      <c r="W35" s="18">
        <f>'Grid_TheoreticalStock'!N16</f>
        <v/>
      </c>
      <c r="X35" s="18">
        <f>'Grid_TheoreticalStock'!O16</f>
        <v/>
      </c>
      <c r="Y35" s="18">
        <f>'Grid_TheoreticalStock'!P16</f>
        <v/>
      </c>
      <c r="Z35" s="18">
        <f>'Grid_TheoreticalStock'!Q16</f>
        <v/>
      </c>
      <c r="AA35" s="18">
        <f>'Grid_TheoreticalStock'!R16</f>
        <v/>
      </c>
      <c r="AB35" s="18">
        <f>'Grid_TheoreticalStock'!S16</f>
        <v/>
      </c>
      <c r="AC35" s="18">
        <f>'Grid_TheoreticalStock'!T16</f>
        <v/>
      </c>
      <c r="AD35" s="18">
        <f>'Grid_TheoreticalStock'!U16</f>
        <v/>
      </c>
      <c r="AE35" s="18">
        <f>'Grid_TheoreticalStock'!V16</f>
        <v/>
      </c>
      <c r="AF35" s="18">
        <f>'Grid_TheoreticalStock'!W16</f>
        <v/>
      </c>
      <c r="AG35" s="18">
        <f>'Grid_TheoreticalStock'!X16</f>
        <v/>
      </c>
      <c r="AH35" s="18">
        <f>'Grid_TheoreticalStock'!Y16</f>
        <v/>
      </c>
      <c r="AI35" s="18">
        <f>'Grid_TheoreticalStock'!Z16</f>
        <v/>
      </c>
      <c r="AJ35" s="18">
        <f>'Grid_TheoreticalStock'!AA16</f>
        <v/>
      </c>
      <c r="AK35" s="18">
        <f>'Grid_TheoreticalStock'!AB16</f>
        <v/>
      </c>
      <c r="AL35" s="18">
        <f>'Grid_TheoreticalStock'!AC16</f>
        <v/>
      </c>
      <c r="AM35" s="18">
        <f>'Grid_TheoreticalStock'!AD16</f>
        <v/>
      </c>
      <c r="AN35" s="18">
        <f>'Grid_TheoreticalStock'!AE16</f>
        <v/>
      </c>
      <c r="AO35" s="18">
        <f>'Grid_TheoreticalStock'!AF16</f>
        <v/>
      </c>
      <c r="AP35" s="18">
        <f>'Grid_TheoreticalStock'!AG16</f>
        <v/>
      </c>
      <c r="AQ35" s="18">
        <f>'Grid_TheoreticalStock'!AH16</f>
        <v/>
      </c>
      <c r="AR35" s="18">
        <f>'Grid_TheoreticalStock'!AI16</f>
        <v/>
      </c>
      <c r="AS35" s="18">
        <f>'Grid_TheoreticalStock'!AJ16</f>
        <v/>
      </c>
      <c r="AT35" s="18">
        <f>'Grid_TheoreticalStock'!AK16</f>
        <v/>
      </c>
      <c r="AU35" s="18">
        <f>'Grid_TheoreticalStock'!AL16</f>
        <v/>
      </c>
      <c r="AV35" s="18">
        <f>'Grid_TheoreticalStock'!AM16</f>
        <v/>
      </c>
      <c r="AW35" s="18">
        <f>'Grid_TheoreticalStock'!AN16</f>
        <v/>
      </c>
      <c r="AX35" s="18">
        <f>'Grid_TheoreticalStock'!AO16</f>
        <v/>
      </c>
      <c r="AY35" s="18">
        <f>'Grid_TheoreticalStock'!AP16</f>
        <v/>
      </c>
      <c r="AZ35" s="18">
        <f>'Grid_TheoreticalStock'!AQ16</f>
        <v/>
      </c>
      <c r="BA35" s="18">
        <f>'Grid_TheoreticalStock'!AR16</f>
        <v/>
      </c>
      <c r="BB35" s="18">
        <f>'Grid_TheoreticalStock'!AS16</f>
        <v/>
      </c>
      <c r="BC35" s="18">
        <f>'Grid_TheoreticalStock'!AT16</f>
        <v/>
      </c>
      <c r="BD35" s="18">
        <f>'Grid_TheoreticalStock'!AU16</f>
        <v/>
      </c>
      <c r="BE35" s="18">
        <f>'Grid_TheoreticalStock'!AV16</f>
        <v/>
      </c>
      <c r="BF35" s="18">
        <f>'Grid_TheoreticalStock'!AW16</f>
        <v/>
      </c>
      <c r="BG35" s="18">
        <f>'Grid_TheoreticalStock'!AX16</f>
        <v/>
      </c>
      <c r="BH35" s="18">
        <f>'Grid_TheoreticalStock'!AY16</f>
        <v/>
      </c>
      <c r="BI35" s="18">
        <f>'Grid_TheoreticalStock'!AZ16</f>
        <v/>
      </c>
      <c r="BJ35" s="18">
        <f>'Grid_TheoreticalStock'!BA16</f>
        <v/>
      </c>
      <c r="BK35" s="18">
        <f>'Grid_TheoreticalStock'!BB16</f>
        <v/>
      </c>
      <c r="BL35" s="18">
        <f>'Grid_TheoreticalStock'!BC16</f>
        <v/>
      </c>
      <c r="BM35" s="18">
        <f>'Grid_TheoreticalStock'!BD16</f>
        <v/>
      </c>
      <c r="BN35" s="18">
        <f>'Grid_TheoreticalStock'!BE16</f>
        <v/>
      </c>
      <c r="BO35" s="18">
        <f>'Grid_TheoreticalStock'!BF16</f>
        <v/>
      </c>
      <c r="BP35" s="18">
        <f>'Grid_TheoreticalStock'!BG16</f>
        <v/>
      </c>
      <c r="BQ35" s="18">
        <f>'Grid_TheoreticalStock'!BH16</f>
        <v/>
      </c>
      <c r="BR35" s="18">
        <f>'Grid_TheoreticalStock'!BI16</f>
        <v/>
      </c>
      <c r="BS35" s="18">
        <f>'Grid_TheoreticalStock'!BJ16</f>
        <v/>
      </c>
      <c r="BT35" s="18">
        <f>'Grid_TheoreticalStock'!BK16</f>
        <v/>
      </c>
      <c r="BU35" s="18">
        <f>'Grid_TheoreticalStock'!BL16</f>
        <v/>
      </c>
      <c r="BV35" s="18">
        <f>'Grid_TheoreticalStock'!BM16</f>
        <v/>
      </c>
      <c r="BW35" s="18">
        <f>'Grid_TheoreticalStock'!BN16</f>
        <v/>
      </c>
      <c r="BX35" s="18">
        <f>'Grid_TheoreticalStock'!BO16</f>
        <v/>
      </c>
      <c r="BY35" s="18">
        <f>'Grid_TheoreticalStock'!BP16</f>
        <v/>
      </c>
      <c r="BZ35" s="18">
        <f>'Grid_TheoreticalStock'!BQ16</f>
        <v/>
      </c>
      <c r="CA35" s="18">
        <f>'Grid_TheoreticalStock'!BR16</f>
        <v/>
      </c>
      <c r="CB35" s="18">
        <f>'Grid_TheoreticalStock'!BS16</f>
        <v/>
      </c>
      <c r="CC35" s="18">
        <f>'Grid_TheoreticalStock'!BT16</f>
        <v/>
      </c>
      <c r="CD35" s="18">
        <f>'Grid_TheoreticalStock'!BU16</f>
        <v/>
      </c>
      <c r="CE35" s="18">
        <f>'Grid_TheoreticalStock'!BV16</f>
        <v/>
      </c>
      <c r="CF35" s="18">
        <f>'Grid_TheoreticalStock'!BW16</f>
        <v/>
      </c>
      <c r="CG35" s="18">
        <f>'Grid_TheoreticalStock'!BX16</f>
        <v/>
      </c>
      <c r="CH35" s="18">
        <f>'Grid_TheoreticalStock'!BY16</f>
        <v/>
      </c>
      <c r="CI35" s="18">
        <f>'Grid_TheoreticalStock'!BZ16</f>
        <v/>
      </c>
      <c r="CJ35" s="18">
        <f>'Grid_TheoreticalStock'!CA16</f>
        <v/>
      </c>
      <c r="CK35" s="18">
        <f>'Grid_TheoreticalStock'!CB16</f>
        <v/>
      </c>
      <c r="CL35" s="18">
        <f>'Grid_TheoreticalStock'!CC16</f>
        <v/>
      </c>
      <c r="CM35" s="18">
        <f>'Grid_TheoreticalStock'!CD16</f>
        <v/>
      </c>
      <c r="CN35" s="18">
        <f>'Grid_TheoreticalStock'!CE16</f>
        <v/>
      </c>
      <c r="CO35" s="18">
        <f>'Grid_TheoreticalStock'!CF16</f>
        <v/>
      </c>
      <c r="CP35" s="18">
        <f>'Grid_TheoreticalStock'!CG16</f>
        <v/>
      </c>
      <c r="CQ35" s="18">
        <f>'Grid_TheoreticalStock'!CH16</f>
        <v/>
      </c>
      <c r="CR35" s="18">
        <f>'Grid_TheoreticalStock'!CI16</f>
        <v/>
      </c>
      <c r="CS35" s="18">
        <f>'Grid_TheoreticalStock'!CJ16</f>
        <v/>
      </c>
      <c r="CT35" s="18">
        <f>'Grid_TheoreticalStock'!CK16</f>
        <v/>
      </c>
      <c r="CU35" s="18">
        <f>'Grid_TheoreticalStock'!CL16</f>
        <v/>
      </c>
      <c r="CV35" s="18">
        <f>'Grid_TheoreticalStock'!CM16</f>
        <v/>
      </c>
      <c r="CW35" s="18">
        <f>'Grid_TheoreticalStock'!CN16</f>
        <v/>
      </c>
      <c r="CX35" s="18">
        <f>'Grid_TheoreticalStock'!CO16</f>
        <v/>
      </c>
      <c r="CY35" s="18">
        <f>'Grid_TheoreticalStock'!CP16</f>
        <v/>
      </c>
      <c r="CZ35" s="18">
        <f>'Grid_TheoreticalStock'!CQ16</f>
        <v/>
      </c>
      <c r="DA35" s="18">
        <f>'Grid_TheoreticalStock'!CR16</f>
        <v/>
      </c>
      <c r="DB35" s="18">
        <f>'Grid_TheoreticalStock'!CS16</f>
        <v/>
      </c>
      <c r="DC35" s="18">
        <f>'Grid_TheoreticalStock'!CT16</f>
        <v/>
      </c>
      <c r="DD35" s="18">
        <f>'Grid_TheoreticalStock'!CU16</f>
        <v/>
      </c>
      <c r="DE35" s="18">
        <f>'Grid_TheoreticalStock'!CV16</f>
        <v/>
      </c>
      <c r="DF35" s="18">
        <f>'Grid_TheoreticalStock'!CW16</f>
        <v/>
      </c>
      <c r="DG35" s="18">
        <f>'Grid_TheoreticalStock'!CX16</f>
        <v/>
      </c>
      <c r="DH35" s="18">
        <f>'Grid_TheoreticalStock'!CY16</f>
        <v/>
      </c>
      <c r="DI35" s="18">
        <f>'Grid_TheoreticalStock'!CZ16</f>
        <v/>
      </c>
      <c r="DJ35" s="18">
        <f>'Grid_TheoreticalStock'!DA16</f>
        <v/>
      </c>
    </row>
    <row r="36">
      <c r="A36" s="19" t="inlineStr">
        <is>
          <t>8EN</t>
        </is>
      </c>
      <c r="B36" s="19">
        <f>IFERROR(INDEX(M_RawMaterials[Description],MATCH($A36,M_RawMaterials[Part Name],0)),"")</f>
        <v/>
      </c>
      <c r="C36" s="19">
        <f>IFERROR(INDEX(M_RawMaterials[Category],MATCH($A36,M_RawMaterials[Part Name],0)),"")</f>
        <v/>
      </c>
      <c r="D36" s="19">
        <f>IFERROR(INDEX(M_RawMaterials[基準在庫下限_要入力],MATCH($A36,M_RawMaterials[Part Name],0)),0)</f>
        <v/>
      </c>
      <c r="E36" s="19">
        <f>IFERROR(INDEX(M_RawMaterials[基準在庫上限_要入力],MATCH($A36,M_RawMaterials[Part Name],0)),0)</f>
        <v/>
      </c>
      <c r="F36" s="19">
        <f>IFERROR(LOOKUP(2,1/('T_SelfStock'!$B$20:$DA$20&lt;&gt;""),'T_SelfStock'!$B$20:$DA$20),"")</f>
        <v/>
      </c>
      <c r="G36" s="19">
        <f>IFERROR(LOOKUP(2,1/('T_TTAFStock'!$B$20:$DA$20&lt;&gt;""),'T_TTAFStock'!$B$20:$DA$20),"")</f>
        <v/>
      </c>
      <c r="H36" s="19">
        <f>IFERROR(LOOKUP(2,1/('T_SelfStock'!$B$20:$DA$20&lt;&gt;""),'T_SelfStock'!$B$5:$DA$5),"")</f>
        <v/>
      </c>
      <c r="I36" s="20" t="inlineStr">
        <is>
          <t>実在庫</t>
        </is>
      </c>
      <c r="J36" s="19">
        <f>IFERROR(INDEX('Grid_Stock'!$A16:$DA16,1,LOOKUP(2,1/('T_SelfStock'!$B$20:$DA$20&lt;&gt;""),COLUMN('T_SelfStock'!$B$20:$DA$20)))-INDEX('Grid_TheoreticalStock'!$A16:$DA16,1,LOOKUP(2,1/('T_SelfStock'!$B$20:$DA$20&lt;&gt;""),COLUMN('T_SelfStock'!$B$20:$DA$20))),0)</f>
        <v/>
      </c>
      <c r="K36" s="19">
        <f>'Grid_Stock'!B16</f>
        <v/>
      </c>
      <c r="L36" s="19">
        <f>'Grid_Stock'!C16</f>
        <v/>
      </c>
      <c r="M36" s="19">
        <f>'Grid_Stock'!D16</f>
        <v/>
      </c>
      <c r="N36" s="19">
        <f>'Grid_Stock'!E16</f>
        <v/>
      </c>
      <c r="O36" s="19">
        <f>'Grid_Stock'!F16</f>
        <v/>
      </c>
      <c r="P36" s="19">
        <f>'Grid_Stock'!G16</f>
        <v/>
      </c>
      <c r="Q36" s="19">
        <f>'Grid_Stock'!H16</f>
        <v/>
      </c>
      <c r="R36" s="19">
        <f>'Grid_Stock'!I16</f>
        <v/>
      </c>
      <c r="S36" s="19">
        <f>'Grid_Stock'!J16</f>
        <v/>
      </c>
      <c r="T36" s="19">
        <f>'Grid_Stock'!K16</f>
        <v/>
      </c>
      <c r="U36" s="19">
        <f>'Grid_Stock'!L16</f>
        <v/>
      </c>
      <c r="V36" s="19">
        <f>'Grid_Stock'!M16</f>
        <v/>
      </c>
      <c r="W36" s="19">
        <f>'Grid_Stock'!N16</f>
        <v/>
      </c>
      <c r="X36" s="19">
        <f>'Grid_Stock'!O16</f>
        <v/>
      </c>
      <c r="Y36" s="19">
        <f>'Grid_Stock'!P16</f>
        <v/>
      </c>
      <c r="Z36" s="19">
        <f>'Grid_Stock'!Q16</f>
        <v/>
      </c>
      <c r="AA36" s="19">
        <f>'Grid_Stock'!R16</f>
        <v/>
      </c>
      <c r="AB36" s="19">
        <f>'Grid_Stock'!S16</f>
        <v/>
      </c>
      <c r="AC36" s="19">
        <f>'Grid_Stock'!T16</f>
        <v/>
      </c>
      <c r="AD36" s="19">
        <f>'Grid_Stock'!U16</f>
        <v/>
      </c>
      <c r="AE36" s="19">
        <f>'Grid_Stock'!V16</f>
        <v/>
      </c>
      <c r="AF36" s="19">
        <f>'Grid_Stock'!W16</f>
        <v/>
      </c>
      <c r="AG36" s="19">
        <f>'Grid_Stock'!X16</f>
        <v/>
      </c>
      <c r="AH36" s="19">
        <f>'Grid_Stock'!Y16</f>
        <v/>
      </c>
      <c r="AI36" s="19">
        <f>'Grid_Stock'!Z16</f>
        <v/>
      </c>
      <c r="AJ36" s="19">
        <f>'Grid_Stock'!AA16</f>
        <v/>
      </c>
      <c r="AK36" s="19">
        <f>'Grid_Stock'!AB16</f>
        <v/>
      </c>
      <c r="AL36" s="19">
        <f>'Grid_Stock'!AC16</f>
        <v/>
      </c>
      <c r="AM36" s="19">
        <f>'Grid_Stock'!AD16</f>
        <v/>
      </c>
      <c r="AN36" s="19">
        <f>'Grid_Stock'!AE16</f>
        <v/>
      </c>
      <c r="AO36" s="19">
        <f>'Grid_Stock'!AF16</f>
        <v/>
      </c>
      <c r="AP36" s="19">
        <f>'Grid_Stock'!AG16</f>
        <v/>
      </c>
      <c r="AQ36" s="19">
        <f>'Grid_Stock'!AH16</f>
        <v/>
      </c>
      <c r="AR36" s="19">
        <f>'Grid_Stock'!AI16</f>
        <v/>
      </c>
      <c r="AS36" s="19">
        <f>'Grid_Stock'!AJ16</f>
        <v/>
      </c>
      <c r="AT36" s="19">
        <f>'Grid_Stock'!AK16</f>
        <v/>
      </c>
      <c r="AU36" s="19">
        <f>'Grid_Stock'!AL16</f>
        <v/>
      </c>
      <c r="AV36" s="19">
        <f>'Grid_Stock'!AM16</f>
        <v/>
      </c>
      <c r="AW36" s="19">
        <f>'Grid_Stock'!AN16</f>
        <v/>
      </c>
      <c r="AX36" s="19">
        <f>'Grid_Stock'!AO16</f>
        <v/>
      </c>
      <c r="AY36" s="19">
        <f>'Grid_Stock'!AP16</f>
        <v/>
      </c>
      <c r="AZ36" s="19">
        <f>'Grid_Stock'!AQ16</f>
        <v/>
      </c>
      <c r="BA36" s="19">
        <f>'Grid_Stock'!AR16</f>
        <v/>
      </c>
      <c r="BB36" s="19">
        <f>'Grid_Stock'!AS16</f>
        <v/>
      </c>
      <c r="BC36" s="19">
        <f>'Grid_Stock'!AT16</f>
        <v/>
      </c>
      <c r="BD36" s="19">
        <f>'Grid_Stock'!AU16</f>
        <v/>
      </c>
      <c r="BE36" s="19">
        <f>'Grid_Stock'!AV16</f>
        <v/>
      </c>
      <c r="BF36" s="19">
        <f>'Grid_Stock'!AW16</f>
        <v/>
      </c>
      <c r="BG36" s="19">
        <f>'Grid_Stock'!AX16</f>
        <v/>
      </c>
      <c r="BH36" s="19">
        <f>'Grid_Stock'!AY16</f>
        <v/>
      </c>
      <c r="BI36" s="19">
        <f>'Grid_Stock'!AZ16</f>
        <v/>
      </c>
      <c r="BJ36" s="19">
        <f>'Grid_Stock'!BA16</f>
        <v/>
      </c>
      <c r="BK36" s="19">
        <f>'Grid_Stock'!BB16</f>
        <v/>
      </c>
      <c r="BL36" s="19">
        <f>'Grid_Stock'!BC16</f>
        <v/>
      </c>
      <c r="BM36" s="19">
        <f>'Grid_Stock'!BD16</f>
        <v/>
      </c>
      <c r="BN36" s="19">
        <f>'Grid_Stock'!BE16</f>
        <v/>
      </c>
      <c r="BO36" s="19">
        <f>'Grid_Stock'!BF16</f>
        <v/>
      </c>
      <c r="BP36" s="19">
        <f>'Grid_Stock'!BG16</f>
        <v/>
      </c>
      <c r="BQ36" s="19">
        <f>'Grid_Stock'!BH16</f>
        <v/>
      </c>
      <c r="BR36" s="19">
        <f>'Grid_Stock'!BI16</f>
        <v/>
      </c>
      <c r="BS36" s="19">
        <f>'Grid_Stock'!BJ16</f>
        <v/>
      </c>
      <c r="BT36" s="19">
        <f>'Grid_Stock'!BK16</f>
        <v/>
      </c>
      <c r="BU36" s="19">
        <f>'Grid_Stock'!BL16</f>
        <v/>
      </c>
      <c r="BV36" s="19">
        <f>'Grid_Stock'!BM16</f>
        <v/>
      </c>
      <c r="BW36" s="19">
        <f>'Grid_Stock'!BN16</f>
        <v/>
      </c>
      <c r="BX36" s="19">
        <f>'Grid_Stock'!BO16</f>
        <v/>
      </c>
      <c r="BY36" s="19">
        <f>'Grid_Stock'!BP16</f>
        <v/>
      </c>
      <c r="BZ36" s="19">
        <f>'Grid_Stock'!BQ16</f>
        <v/>
      </c>
      <c r="CA36" s="19">
        <f>'Grid_Stock'!BR16</f>
        <v/>
      </c>
      <c r="CB36" s="19">
        <f>'Grid_Stock'!BS16</f>
        <v/>
      </c>
      <c r="CC36" s="19">
        <f>'Grid_Stock'!BT16</f>
        <v/>
      </c>
      <c r="CD36" s="19">
        <f>'Grid_Stock'!BU16</f>
        <v/>
      </c>
      <c r="CE36" s="19">
        <f>'Grid_Stock'!BV16</f>
        <v/>
      </c>
      <c r="CF36" s="19">
        <f>'Grid_Stock'!BW16</f>
        <v/>
      </c>
      <c r="CG36" s="19">
        <f>'Grid_Stock'!BX16</f>
        <v/>
      </c>
      <c r="CH36" s="19">
        <f>'Grid_Stock'!BY16</f>
        <v/>
      </c>
      <c r="CI36" s="19">
        <f>'Grid_Stock'!BZ16</f>
        <v/>
      </c>
      <c r="CJ36" s="19">
        <f>'Grid_Stock'!CA16</f>
        <v/>
      </c>
      <c r="CK36" s="19">
        <f>'Grid_Stock'!CB16</f>
        <v/>
      </c>
      <c r="CL36" s="19">
        <f>'Grid_Stock'!CC16</f>
        <v/>
      </c>
      <c r="CM36" s="19">
        <f>'Grid_Stock'!CD16</f>
        <v/>
      </c>
      <c r="CN36" s="19">
        <f>'Grid_Stock'!CE16</f>
        <v/>
      </c>
      <c r="CO36" s="19">
        <f>'Grid_Stock'!CF16</f>
        <v/>
      </c>
      <c r="CP36" s="19">
        <f>'Grid_Stock'!CG16</f>
        <v/>
      </c>
      <c r="CQ36" s="19">
        <f>'Grid_Stock'!CH16</f>
        <v/>
      </c>
      <c r="CR36" s="19">
        <f>'Grid_Stock'!CI16</f>
        <v/>
      </c>
      <c r="CS36" s="19">
        <f>'Grid_Stock'!CJ16</f>
        <v/>
      </c>
      <c r="CT36" s="19">
        <f>'Grid_Stock'!CK16</f>
        <v/>
      </c>
      <c r="CU36" s="19">
        <f>'Grid_Stock'!CL16</f>
        <v/>
      </c>
      <c r="CV36" s="19">
        <f>'Grid_Stock'!CM16</f>
        <v/>
      </c>
      <c r="CW36" s="19">
        <f>'Grid_Stock'!CN16</f>
        <v/>
      </c>
      <c r="CX36" s="19">
        <f>'Grid_Stock'!CO16</f>
        <v/>
      </c>
      <c r="CY36" s="19">
        <f>'Grid_Stock'!CP16</f>
        <v/>
      </c>
      <c r="CZ36" s="19">
        <f>'Grid_Stock'!CQ16</f>
        <v/>
      </c>
      <c r="DA36" s="19">
        <f>'Grid_Stock'!CR16</f>
        <v/>
      </c>
      <c r="DB36" s="19">
        <f>'Grid_Stock'!CS16</f>
        <v/>
      </c>
      <c r="DC36" s="19">
        <f>'Grid_Stock'!CT16</f>
        <v/>
      </c>
      <c r="DD36" s="19">
        <f>'Grid_Stock'!CU16</f>
        <v/>
      </c>
      <c r="DE36" s="19">
        <f>'Grid_Stock'!CV16</f>
        <v/>
      </c>
      <c r="DF36" s="19">
        <f>'Grid_Stock'!CW16</f>
        <v/>
      </c>
      <c r="DG36" s="19">
        <f>'Grid_Stock'!CX16</f>
        <v/>
      </c>
      <c r="DH36" s="19">
        <f>'Grid_Stock'!CY16</f>
        <v/>
      </c>
      <c r="DI36" s="19">
        <f>'Grid_Stock'!CZ16</f>
        <v/>
      </c>
      <c r="DJ36" s="19">
        <f>'Grid_Stock'!DA16</f>
        <v/>
      </c>
    </row>
    <row r="37">
      <c r="A37" s="17" t="inlineStr">
        <is>
          <t>9RJ</t>
        </is>
      </c>
      <c r="B37" s="17">
        <f>IFERROR(INDEX(M_RawMaterials[Description],MATCH($A37,M_RawMaterials[Part Name],0)),"")</f>
        <v/>
      </c>
      <c r="C37" s="17">
        <f>IFERROR(INDEX(M_RawMaterials[Category],MATCH($A37,M_RawMaterials[Part Name],0)),"")</f>
        <v/>
      </c>
      <c r="D37" s="17">
        <f>IFERROR(INDEX(M_RawMaterials[基準在庫下限_要入力],MATCH($A37,M_RawMaterials[Part Name],0)),0)</f>
        <v/>
      </c>
      <c r="E37" s="17">
        <f>IFERROR(INDEX(M_RawMaterials[基準在庫上限_要入力],MATCH($A37,M_RawMaterials[Part Name],0)),0)</f>
        <v/>
      </c>
      <c r="F37" s="17">
        <f>IFERROR(LOOKUP(2,1/('T_SelfStock'!$B$21:$DA$21&lt;&gt;""),'T_SelfStock'!$B$21:$DA$21),"")</f>
        <v/>
      </c>
      <c r="G37" s="17">
        <f>IFERROR(LOOKUP(2,1/('T_TTAFStock'!$B$21:$DA$21&lt;&gt;""),'T_TTAFStock'!$B$21:$DA$21),"")</f>
        <v/>
      </c>
      <c r="H37" s="17">
        <f>IFERROR(LOOKUP(2,1/('T_SelfStock'!$B$21:$DA$21&lt;&gt;""),'T_SelfStock'!$B$5:$DA$5),"")</f>
        <v/>
      </c>
      <c r="I37" s="18" t="inlineStr">
        <is>
          <t>理論在庫</t>
        </is>
      </c>
      <c r="J37" s="17">
        <f>IFERROR(INDEX('Grid_Stock'!$A17:$DA17,1,LOOKUP(2,1/('T_SelfStock'!$B$21:$DA$21&lt;&gt;""),COLUMN('T_SelfStock'!$B$21:$DA$21)))-INDEX('Grid_TheoreticalStock'!$A17:$DA17,1,LOOKUP(2,1/('T_SelfStock'!$B$21:$DA$21&lt;&gt;""),COLUMN('T_SelfStock'!$B$21:$DA$21))),0)</f>
        <v/>
      </c>
      <c r="K37" s="18">
        <f>'Grid_TheoreticalStock'!B17</f>
        <v/>
      </c>
      <c r="L37" s="18">
        <f>'Grid_TheoreticalStock'!C17</f>
        <v/>
      </c>
      <c r="M37" s="18">
        <f>'Grid_TheoreticalStock'!D17</f>
        <v/>
      </c>
      <c r="N37" s="18">
        <f>'Grid_TheoreticalStock'!E17</f>
        <v/>
      </c>
      <c r="O37" s="18">
        <f>'Grid_TheoreticalStock'!F17</f>
        <v/>
      </c>
      <c r="P37" s="18">
        <f>'Grid_TheoreticalStock'!G17</f>
        <v/>
      </c>
      <c r="Q37" s="18">
        <f>'Grid_TheoreticalStock'!H17</f>
        <v/>
      </c>
      <c r="R37" s="18">
        <f>'Grid_TheoreticalStock'!I17</f>
        <v/>
      </c>
      <c r="S37" s="18">
        <f>'Grid_TheoreticalStock'!J17</f>
        <v/>
      </c>
      <c r="T37" s="18">
        <f>'Grid_TheoreticalStock'!K17</f>
        <v/>
      </c>
      <c r="U37" s="18">
        <f>'Grid_TheoreticalStock'!L17</f>
        <v/>
      </c>
      <c r="V37" s="18">
        <f>'Grid_TheoreticalStock'!M17</f>
        <v/>
      </c>
      <c r="W37" s="18">
        <f>'Grid_TheoreticalStock'!N17</f>
        <v/>
      </c>
      <c r="X37" s="18">
        <f>'Grid_TheoreticalStock'!O17</f>
        <v/>
      </c>
      <c r="Y37" s="18">
        <f>'Grid_TheoreticalStock'!P17</f>
        <v/>
      </c>
      <c r="Z37" s="18">
        <f>'Grid_TheoreticalStock'!Q17</f>
        <v/>
      </c>
      <c r="AA37" s="18">
        <f>'Grid_TheoreticalStock'!R17</f>
        <v/>
      </c>
      <c r="AB37" s="18">
        <f>'Grid_TheoreticalStock'!S17</f>
        <v/>
      </c>
      <c r="AC37" s="18">
        <f>'Grid_TheoreticalStock'!T17</f>
        <v/>
      </c>
      <c r="AD37" s="18">
        <f>'Grid_TheoreticalStock'!U17</f>
        <v/>
      </c>
      <c r="AE37" s="18">
        <f>'Grid_TheoreticalStock'!V17</f>
        <v/>
      </c>
      <c r="AF37" s="18">
        <f>'Grid_TheoreticalStock'!W17</f>
        <v/>
      </c>
      <c r="AG37" s="18">
        <f>'Grid_TheoreticalStock'!X17</f>
        <v/>
      </c>
      <c r="AH37" s="18">
        <f>'Grid_TheoreticalStock'!Y17</f>
        <v/>
      </c>
      <c r="AI37" s="18">
        <f>'Grid_TheoreticalStock'!Z17</f>
        <v/>
      </c>
      <c r="AJ37" s="18">
        <f>'Grid_TheoreticalStock'!AA17</f>
        <v/>
      </c>
      <c r="AK37" s="18">
        <f>'Grid_TheoreticalStock'!AB17</f>
        <v/>
      </c>
      <c r="AL37" s="18">
        <f>'Grid_TheoreticalStock'!AC17</f>
        <v/>
      </c>
      <c r="AM37" s="18">
        <f>'Grid_TheoreticalStock'!AD17</f>
        <v/>
      </c>
      <c r="AN37" s="18">
        <f>'Grid_TheoreticalStock'!AE17</f>
        <v/>
      </c>
      <c r="AO37" s="18">
        <f>'Grid_TheoreticalStock'!AF17</f>
        <v/>
      </c>
      <c r="AP37" s="18">
        <f>'Grid_TheoreticalStock'!AG17</f>
        <v/>
      </c>
      <c r="AQ37" s="18">
        <f>'Grid_TheoreticalStock'!AH17</f>
        <v/>
      </c>
      <c r="AR37" s="18">
        <f>'Grid_TheoreticalStock'!AI17</f>
        <v/>
      </c>
      <c r="AS37" s="18">
        <f>'Grid_TheoreticalStock'!AJ17</f>
        <v/>
      </c>
      <c r="AT37" s="18">
        <f>'Grid_TheoreticalStock'!AK17</f>
        <v/>
      </c>
      <c r="AU37" s="18">
        <f>'Grid_TheoreticalStock'!AL17</f>
        <v/>
      </c>
      <c r="AV37" s="18">
        <f>'Grid_TheoreticalStock'!AM17</f>
        <v/>
      </c>
      <c r="AW37" s="18">
        <f>'Grid_TheoreticalStock'!AN17</f>
        <v/>
      </c>
      <c r="AX37" s="18">
        <f>'Grid_TheoreticalStock'!AO17</f>
        <v/>
      </c>
      <c r="AY37" s="18">
        <f>'Grid_TheoreticalStock'!AP17</f>
        <v/>
      </c>
      <c r="AZ37" s="18">
        <f>'Grid_TheoreticalStock'!AQ17</f>
        <v/>
      </c>
      <c r="BA37" s="18">
        <f>'Grid_TheoreticalStock'!AR17</f>
        <v/>
      </c>
      <c r="BB37" s="18">
        <f>'Grid_TheoreticalStock'!AS17</f>
        <v/>
      </c>
      <c r="BC37" s="18">
        <f>'Grid_TheoreticalStock'!AT17</f>
        <v/>
      </c>
      <c r="BD37" s="18">
        <f>'Grid_TheoreticalStock'!AU17</f>
        <v/>
      </c>
      <c r="BE37" s="18">
        <f>'Grid_TheoreticalStock'!AV17</f>
        <v/>
      </c>
      <c r="BF37" s="18">
        <f>'Grid_TheoreticalStock'!AW17</f>
        <v/>
      </c>
      <c r="BG37" s="18">
        <f>'Grid_TheoreticalStock'!AX17</f>
        <v/>
      </c>
      <c r="BH37" s="18">
        <f>'Grid_TheoreticalStock'!AY17</f>
        <v/>
      </c>
      <c r="BI37" s="18">
        <f>'Grid_TheoreticalStock'!AZ17</f>
        <v/>
      </c>
      <c r="BJ37" s="18">
        <f>'Grid_TheoreticalStock'!BA17</f>
        <v/>
      </c>
      <c r="BK37" s="18">
        <f>'Grid_TheoreticalStock'!BB17</f>
        <v/>
      </c>
      <c r="BL37" s="18">
        <f>'Grid_TheoreticalStock'!BC17</f>
        <v/>
      </c>
      <c r="BM37" s="18">
        <f>'Grid_TheoreticalStock'!BD17</f>
        <v/>
      </c>
      <c r="BN37" s="18">
        <f>'Grid_TheoreticalStock'!BE17</f>
        <v/>
      </c>
      <c r="BO37" s="18">
        <f>'Grid_TheoreticalStock'!BF17</f>
        <v/>
      </c>
      <c r="BP37" s="18">
        <f>'Grid_TheoreticalStock'!BG17</f>
        <v/>
      </c>
      <c r="BQ37" s="18">
        <f>'Grid_TheoreticalStock'!BH17</f>
        <v/>
      </c>
      <c r="BR37" s="18">
        <f>'Grid_TheoreticalStock'!BI17</f>
        <v/>
      </c>
      <c r="BS37" s="18">
        <f>'Grid_TheoreticalStock'!BJ17</f>
        <v/>
      </c>
      <c r="BT37" s="18">
        <f>'Grid_TheoreticalStock'!BK17</f>
        <v/>
      </c>
      <c r="BU37" s="18">
        <f>'Grid_TheoreticalStock'!BL17</f>
        <v/>
      </c>
      <c r="BV37" s="18">
        <f>'Grid_TheoreticalStock'!BM17</f>
        <v/>
      </c>
      <c r="BW37" s="18">
        <f>'Grid_TheoreticalStock'!BN17</f>
        <v/>
      </c>
      <c r="BX37" s="18">
        <f>'Grid_TheoreticalStock'!BO17</f>
        <v/>
      </c>
      <c r="BY37" s="18">
        <f>'Grid_TheoreticalStock'!BP17</f>
        <v/>
      </c>
      <c r="BZ37" s="18">
        <f>'Grid_TheoreticalStock'!BQ17</f>
        <v/>
      </c>
      <c r="CA37" s="18">
        <f>'Grid_TheoreticalStock'!BR17</f>
        <v/>
      </c>
      <c r="CB37" s="18">
        <f>'Grid_TheoreticalStock'!BS17</f>
        <v/>
      </c>
      <c r="CC37" s="18">
        <f>'Grid_TheoreticalStock'!BT17</f>
        <v/>
      </c>
      <c r="CD37" s="18">
        <f>'Grid_TheoreticalStock'!BU17</f>
        <v/>
      </c>
      <c r="CE37" s="18">
        <f>'Grid_TheoreticalStock'!BV17</f>
        <v/>
      </c>
      <c r="CF37" s="18">
        <f>'Grid_TheoreticalStock'!BW17</f>
        <v/>
      </c>
      <c r="CG37" s="18">
        <f>'Grid_TheoreticalStock'!BX17</f>
        <v/>
      </c>
      <c r="CH37" s="18">
        <f>'Grid_TheoreticalStock'!BY17</f>
        <v/>
      </c>
      <c r="CI37" s="18">
        <f>'Grid_TheoreticalStock'!BZ17</f>
        <v/>
      </c>
      <c r="CJ37" s="18">
        <f>'Grid_TheoreticalStock'!CA17</f>
        <v/>
      </c>
      <c r="CK37" s="18">
        <f>'Grid_TheoreticalStock'!CB17</f>
        <v/>
      </c>
      <c r="CL37" s="18">
        <f>'Grid_TheoreticalStock'!CC17</f>
        <v/>
      </c>
      <c r="CM37" s="18">
        <f>'Grid_TheoreticalStock'!CD17</f>
        <v/>
      </c>
      <c r="CN37" s="18">
        <f>'Grid_TheoreticalStock'!CE17</f>
        <v/>
      </c>
      <c r="CO37" s="18">
        <f>'Grid_TheoreticalStock'!CF17</f>
        <v/>
      </c>
      <c r="CP37" s="18">
        <f>'Grid_TheoreticalStock'!CG17</f>
        <v/>
      </c>
      <c r="CQ37" s="18">
        <f>'Grid_TheoreticalStock'!CH17</f>
        <v/>
      </c>
      <c r="CR37" s="18">
        <f>'Grid_TheoreticalStock'!CI17</f>
        <v/>
      </c>
      <c r="CS37" s="18">
        <f>'Grid_TheoreticalStock'!CJ17</f>
        <v/>
      </c>
      <c r="CT37" s="18">
        <f>'Grid_TheoreticalStock'!CK17</f>
        <v/>
      </c>
      <c r="CU37" s="18">
        <f>'Grid_TheoreticalStock'!CL17</f>
        <v/>
      </c>
      <c r="CV37" s="18">
        <f>'Grid_TheoreticalStock'!CM17</f>
        <v/>
      </c>
      <c r="CW37" s="18">
        <f>'Grid_TheoreticalStock'!CN17</f>
        <v/>
      </c>
      <c r="CX37" s="18">
        <f>'Grid_TheoreticalStock'!CO17</f>
        <v/>
      </c>
      <c r="CY37" s="18">
        <f>'Grid_TheoreticalStock'!CP17</f>
        <v/>
      </c>
      <c r="CZ37" s="18">
        <f>'Grid_TheoreticalStock'!CQ17</f>
        <v/>
      </c>
      <c r="DA37" s="18">
        <f>'Grid_TheoreticalStock'!CR17</f>
        <v/>
      </c>
      <c r="DB37" s="18">
        <f>'Grid_TheoreticalStock'!CS17</f>
        <v/>
      </c>
      <c r="DC37" s="18">
        <f>'Grid_TheoreticalStock'!CT17</f>
        <v/>
      </c>
      <c r="DD37" s="18">
        <f>'Grid_TheoreticalStock'!CU17</f>
        <v/>
      </c>
      <c r="DE37" s="18">
        <f>'Grid_TheoreticalStock'!CV17</f>
        <v/>
      </c>
      <c r="DF37" s="18">
        <f>'Grid_TheoreticalStock'!CW17</f>
        <v/>
      </c>
      <c r="DG37" s="18">
        <f>'Grid_TheoreticalStock'!CX17</f>
        <v/>
      </c>
      <c r="DH37" s="18">
        <f>'Grid_TheoreticalStock'!CY17</f>
        <v/>
      </c>
      <c r="DI37" s="18">
        <f>'Grid_TheoreticalStock'!CZ17</f>
        <v/>
      </c>
      <c r="DJ37" s="18">
        <f>'Grid_TheoreticalStock'!DA17</f>
        <v/>
      </c>
    </row>
    <row r="38">
      <c r="A38" s="19" t="inlineStr">
        <is>
          <t>9RJ</t>
        </is>
      </c>
      <c r="B38" s="19">
        <f>IFERROR(INDEX(M_RawMaterials[Description],MATCH($A38,M_RawMaterials[Part Name],0)),"")</f>
        <v/>
      </c>
      <c r="C38" s="19">
        <f>IFERROR(INDEX(M_RawMaterials[Category],MATCH($A38,M_RawMaterials[Part Name],0)),"")</f>
        <v/>
      </c>
      <c r="D38" s="19">
        <f>IFERROR(INDEX(M_RawMaterials[基準在庫下限_要入力],MATCH($A38,M_RawMaterials[Part Name],0)),0)</f>
        <v/>
      </c>
      <c r="E38" s="19">
        <f>IFERROR(INDEX(M_RawMaterials[基準在庫上限_要入力],MATCH($A38,M_RawMaterials[Part Name],0)),0)</f>
        <v/>
      </c>
      <c r="F38" s="19">
        <f>IFERROR(LOOKUP(2,1/('T_SelfStock'!$B$21:$DA$21&lt;&gt;""),'T_SelfStock'!$B$21:$DA$21),"")</f>
        <v/>
      </c>
      <c r="G38" s="19">
        <f>IFERROR(LOOKUP(2,1/('T_TTAFStock'!$B$21:$DA$21&lt;&gt;""),'T_TTAFStock'!$B$21:$DA$21),"")</f>
        <v/>
      </c>
      <c r="H38" s="19">
        <f>IFERROR(LOOKUP(2,1/('T_SelfStock'!$B$21:$DA$21&lt;&gt;""),'T_SelfStock'!$B$5:$DA$5),"")</f>
        <v/>
      </c>
      <c r="I38" s="20" t="inlineStr">
        <is>
          <t>実在庫</t>
        </is>
      </c>
      <c r="J38" s="19">
        <f>IFERROR(INDEX('Grid_Stock'!$A17:$DA17,1,LOOKUP(2,1/('T_SelfStock'!$B$21:$DA$21&lt;&gt;""),COLUMN('T_SelfStock'!$B$21:$DA$21)))-INDEX('Grid_TheoreticalStock'!$A17:$DA17,1,LOOKUP(2,1/('T_SelfStock'!$B$21:$DA$21&lt;&gt;""),COLUMN('T_SelfStock'!$B$21:$DA$21))),0)</f>
        <v/>
      </c>
      <c r="K38" s="19">
        <f>'Grid_Stock'!B17</f>
        <v/>
      </c>
      <c r="L38" s="19">
        <f>'Grid_Stock'!C17</f>
        <v/>
      </c>
      <c r="M38" s="19">
        <f>'Grid_Stock'!D17</f>
        <v/>
      </c>
      <c r="N38" s="19">
        <f>'Grid_Stock'!E17</f>
        <v/>
      </c>
      <c r="O38" s="19">
        <f>'Grid_Stock'!F17</f>
        <v/>
      </c>
      <c r="P38" s="19">
        <f>'Grid_Stock'!G17</f>
        <v/>
      </c>
      <c r="Q38" s="19">
        <f>'Grid_Stock'!H17</f>
        <v/>
      </c>
      <c r="R38" s="19">
        <f>'Grid_Stock'!I17</f>
        <v/>
      </c>
      <c r="S38" s="19">
        <f>'Grid_Stock'!J17</f>
        <v/>
      </c>
      <c r="T38" s="19">
        <f>'Grid_Stock'!K17</f>
        <v/>
      </c>
      <c r="U38" s="19">
        <f>'Grid_Stock'!L17</f>
        <v/>
      </c>
      <c r="V38" s="19">
        <f>'Grid_Stock'!M17</f>
        <v/>
      </c>
      <c r="W38" s="19">
        <f>'Grid_Stock'!N17</f>
        <v/>
      </c>
      <c r="X38" s="19">
        <f>'Grid_Stock'!O17</f>
        <v/>
      </c>
      <c r="Y38" s="19">
        <f>'Grid_Stock'!P17</f>
        <v/>
      </c>
      <c r="Z38" s="19">
        <f>'Grid_Stock'!Q17</f>
        <v/>
      </c>
      <c r="AA38" s="19">
        <f>'Grid_Stock'!R17</f>
        <v/>
      </c>
      <c r="AB38" s="19">
        <f>'Grid_Stock'!S17</f>
        <v/>
      </c>
      <c r="AC38" s="19">
        <f>'Grid_Stock'!T17</f>
        <v/>
      </c>
      <c r="AD38" s="19">
        <f>'Grid_Stock'!U17</f>
        <v/>
      </c>
      <c r="AE38" s="19">
        <f>'Grid_Stock'!V17</f>
        <v/>
      </c>
      <c r="AF38" s="19">
        <f>'Grid_Stock'!W17</f>
        <v/>
      </c>
      <c r="AG38" s="19">
        <f>'Grid_Stock'!X17</f>
        <v/>
      </c>
      <c r="AH38" s="19">
        <f>'Grid_Stock'!Y17</f>
        <v/>
      </c>
      <c r="AI38" s="19">
        <f>'Grid_Stock'!Z17</f>
        <v/>
      </c>
      <c r="AJ38" s="19">
        <f>'Grid_Stock'!AA17</f>
        <v/>
      </c>
      <c r="AK38" s="19">
        <f>'Grid_Stock'!AB17</f>
        <v/>
      </c>
      <c r="AL38" s="19">
        <f>'Grid_Stock'!AC17</f>
        <v/>
      </c>
      <c r="AM38" s="19">
        <f>'Grid_Stock'!AD17</f>
        <v/>
      </c>
      <c r="AN38" s="19">
        <f>'Grid_Stock'!AE17</f>
        <v/>
      </c>
      <c r="AO38" s="19">
        <f>'Grid_Stock'!AF17</f>
        <v/>
      </c>
      <c r="AP38" s="19">
        <f>'Grid_Stock'!AG17</f>
        <v/>
      </c>
      <c r="AQ38" s="19">
        <f>'Grid_Stock'!AH17</f>
        <v/>
      </c>
      <c r="AR38" s="19">
        <f>'Grid_Stock'!AI17</f>
        <v/>
      </c>
      <c r="AS38" s="19">
        <f>'Grid_Stock'!AJ17</f>
        <v/>
      </c>
      <c r="AT38" s="19">
        <f>'Grid_Stock'!AK17</f>
        <v/>
      </c>
      <c r="AU38" s="19">
        <f>'Grid_Stock'!AL17</f>
        <v/>
      </c>
      <c r="AV38" s="19">
        <f>'Grid_Stock'!AM17</f>
        <v/>
      </c>
      <c r="AW38" s="19">
        <f>'Grid_Stock'!AN17</f>
        <v/>
      </c>
      <c r="AX38" s="19">
        <f>'Grid_Stock'!AO17</f>
        <v/>
      </c>
      <c r="AY38" s="19">
        <f>'Grid_Stock'!AP17</f>
        <v/>
      </c>
      <c r="AZ38" s="19">
        <f>'Grid_Stock'!AQ17</f>
        <v/>
      </c>
      <c r="BA38" s="19">
        <f>'Grid_Stock'!AR17</f>
        <v/>
      </c>
      <c r="BB38" s="19">
        <f>'Grid_Stock'!AS17</f>
        <v/>
      </c>
      <c r="BC38" s="19">
        <f>'Grid_Stock'!AT17</f>
        <v/>
      </c>
      <c r="BD38" s="19">
        <f>'Grid_Stock'!AU17</f>
        <v/>
      </c>
      <c r="BE38" s="19">
        <f>'Grid_Stock'!AV17</f>
        <v/>
      </c>
      <c r="BF38" s="19">
        <f>'Grid_Stock'!AW17</f>
        <v/>
      </c>
      <c r="BG38" s="19">
        <f>'Grid_Stock'!AX17</f>
        <v/>
      </c>
      <c r="BH38" s="19">
        <f>'Grid_Stock'!AY17</f>
        <v/>
      </c>
      <c r="BI38" s="19">
        <f>'Grid_Stock'!AZ17</f>
        <v/>
      </c>
      <c r="BJ38" s="19">
        <f>'Grid_Stock'!BA17</f>
        <v/>
      </c>
      <c r="BK38" s="19">
        <f>'Grid_Stock'!BB17</f>
        <v/>
      </c>
      <c r="BL38" s="19">
        <f>'Grid_Stock'!BC17</f>
        <v/>
      </c>
      <c r="BM38" s="19">
        <f>'Grid_Stock'!BD17</f>
        <v/>
      </c>
      <c r="BN38" s="19">
        <f>'Grid_Stock'!BE17</f>
        <v/>
      </c>
      <c r="BO38" s="19">
        <f>'Grid_Stock'!BF17</f>
        <v/>
      </c>
      <c r="BP38" s="19">
        <f>'Grid_Stock'!BG17</f>
        <v/>
      </c>
      <c r="BQ38" s="19">
        <f>'Grid_Stock'!BH17</f>
        <v/>
      </c>
      <c r="BR38" s="19">
        <f>'Grid_Stock'!BI17</f>
        <v/>
      </c>
      <c r="BS38" s="19">
        <f>'Grid_Stock'!BJ17</f>
        <v/>
      </c>
      <c r="BT38" s="19">
        <f>'Grid_Stock'!BK17</f>
        <v/>
      </c>
      <c r="BU38" s="19">
        <f>'Grid_Stock'!BL17</f>
        <v/>
      </c>
      <c r="BV38" s="19">
        <f>'Grid_Stock'!BM17</f>
        <v/>
      </c>
      <c r="BW38" s="19">
        <f>'Grid_Stock'!BN17</f>
        <v/>
      </c>
      <c r="BX38" s="19">
        <f>'Grid_Stock'!BO17</f>
        <v/>
      </c>
      <c r="BY38" s="19">
        <f>'Grid_Stock'!BP17</f>
        <v/>
      </c>
      <c r="BZ38" s="19">
        <f>'Grid_Stock'!BQ17</f>
        <v/>
      </c>
      <c r="CA38" s="19">
        <f>'Grid_Stock'!BR17</f>
        <v/>
      </c>
      <c r="CB38" s="19">
        <f>'Grid_Stock'!BS17</f>
        <v/>
      </c>
      <c r="CC38" s="19">
        <f>'Grid_Stock'!BT17</f>
        <v/>
      </c>
      <c r="CD38" s="19">
        <f>'Grid_Stock'!BU17</f>
        <v/>
      </c>
      <c r="CE38" s="19">
        <f>'Grid_Stock'!BV17</f>
        <v/>
      </c>
      <c r="CF38" s="19">
        <f>'Grid_Stock'!BW17</f>
        <v/>
      </c>
      <c r="CG38" s="19">
        <f>'Grid_Stock'!BX17</f>
        <v/>
      </c>
      <c r="CH38" s="19">
        <f>'Grid_Stock'!BY17</f>
        <v/>
      </c>
      <c r="CI38" s="19">
        <f>'Grid_Stock'!BZ17</f>
        <v/>
      </c>
      <c r="CJ38" s="19">
        <f>'Grid_Stock'!CA17</f>
        <v/>
      </c>
      <c r="CK38" s="19">
        <f>'Grid_Stock'!CB17</f>
        <v/>
      </c>
      <c r="CL38" s="19">
        <f>'Grid_Stock'!CC17</f>
        <v/>
      </c>
      <c r="CM38" s="19">
        <f>'Grid_Stock'!CD17</f>
        <v/>
      </c>
      <c r="CN38" s="19">
        <f>'Grid_Stock'!CE17</f>
        <v/>
      </c>
      <c r="CO38" s="19">
        <f>'Grid_Stock'!CF17</f>
        <v/>
      </c>
      <c r="CP38" s="19">
        <f>'Grid_Stock'!CG17</f>
        <v/>
      </c>
      <c r="CQ38" s="19">
        <f>'Grid_Stock'!CH17</f>
        <v/>
      </c>
      <c r="CR38" s="19">
        <f>'Grid_Stock'!CI17</f>
        <v/>
      </c>
      <c r="CS38" s="19">
        <f>'Grid_Stock'!CJ17</f>
        <v/>
      </c>
      <c r="CT38" s="19">
        <f>'Grid_Stock'!CK17</f>
        <v/>
      </c>
      <c r="CU38" s="19">
        <f>'Grid_Stock'!CL17</f>
        <v/>
      </c>
      <c r="CV38" s="19">
        <f>'Grid_Stock'!CM17</f>
        <v/>
      </c>
      <c r="CW38" s="19">
        <f>'Grid_Stock'!CN17</f>
        <v/>
      </c>
      <c r="CX38" s="19">
        <f>'Grid_Stock'!CO17</f>
        <v/>
      </c>
      <c r="CY38" s="19">
        <f>'Grid_Stock'!CP17</f>
        <v/>
      </c>
      <c r="CZ38" s="19">
        <f>'Grid_Stock'!CQ17</f>
        <v/>
      </c>
      <c r="DA38" s="19">
        <f>'Grid_Stock'!CR17</f>
        <v/>
      </c>
      <c r="DB38" s="19">
        <f>'Grid_Stock'!CS17</f>
        <v/>
      </c>
      <c r="DC38" s="19">
        <f>'Grid_Stock'!CT17</f>
        <v/>
      </c>
      <c r="DD38" s="19">
        <f>'Grid_Stock'!CU17</f>
        <v/>
      </c>
      <c r="DE38" s="19">
        <f>'Grid_Stock'!CV17</f>
        <v/>
      </c>
      <c r="DF38" s="19">
        <f>'Grid_Stock'!CW17</f>
        <v/>
      </c>
      <c r="DG38" s="19">
        <f>'Grid_Stock'!CX17</f>
        <v/>
      </c>
      <c r="DH38" s="19">
        <f>'Grid_Stock'!CY17</f>
        <v/>
      </c>
      <c r="DI38" s="19">
        <f>'Grid_Stock'!CZ17</f>
        <v/>
      </c>
      <c r="DJ38" s="19">
        <f>'Grid_Stock'!DA17</f>
        <v/>
      </c>
    </row>
    <row r="39">
      <c r="A39" s="17" t="inlineStr">
        <is>
          <t>5JK</t>
        </is>
      </c>
      <c r="B39" s="17">
        <f>IFERROR(INDEX(M_RawMaterials[Description],MATCH($A39,M_RawMaterials[Part Name],0)),"")</f>
        <v/>
      </c>
      <c r="C39" s="17">
        <f>IFERROR(INDEX(M_RawMaterials[Category],MATCH($A39,M_RawMaterials[Part Name],0)),"")</f>
        <v/>
      </c>
      <c r="D39" s="17">
        <f>IFERROR(INDEX(M_RawMaterials[基準在庫下限_要入力],MATCH($A39,M_RawMaterials[Part Name],0)),0)</f>
        <v/>
      </c>
      <c r="E39" s="17">
        <f>IFERROR(INDEX(M_RawMaterials[基準在庫上限_要入力],MATCH($A39,M_RawMaterials[Part Name],0)),0)</f>
        <v/>
      </c>
      <c r="F39" s="17">
        <f>IFERROR(LOOKUP(2,1/('T_SelfStock'!$B$22:$DA$22&lt;&gt;""),'T_SelfStock'!$B$22:$DA$22),"")</f>
        <v/>
      </c>
      <c r="G39" s="17">
        <f>IFERROR(LOOKUP(2,1/('T_TTAFStock'!$B$22:$DA$22&lt;&gt;""),'T_TTAFStock'!$B$22:$DA$22),"")</f>
        <v/>
      </c>
      <c r="H39" s="17">
        <f>IFERROR(LOOKUP(2,1/('T_SelfStock'!$B$22:$DA$22&lt;&gt;""),'T_SelfStock'!$B$5:$DA$5),"")</f>
        <v/>
      </c>
      <c r="I39" s="18" t="inlineStr">
        <is>
          <t>理論在庫</t>
        </is>
      </c>
      <c r="J39" s="17">
        <f>IFERROR(INDEX('Grid_Stock'!$A18:$DA18,1,LOOKUP(2,1/('T_SelfStock'!$B$22:$DA$22&lt;&gt;""),COLUMN('T_SelfStock'!$B$22:$DA$22)))-INDEX('Grid_TheoreticalStock'!$A18:$DA18,1,LOOKUP(2,1/('T_SelfStock'!$B$22:$DA$22&lt;&gt;""),COLUMN('T_SelfStock'!$B$22:$DA$22))),0)</f>
        <v/>
      </c>
      <c r="K39" s="18">
        <f>'Grid_TheoreticalStock'!B18</f>
        <v/>
      </c>
      <c r="L39" s="18">
        <f>'Grid_TheoreticalStock'!C18</f>
        <v/>
      </c>
      <c r="M39" s="18">
        <f>'Grid_TheoreticalStock'!D18</f>
        <v/>
      </c>
      <c r="N39" s="18">
        <f>'Grid_TheoreticalStock'!E18</f>
        <v/>
      </c>
      <c r="O39" s="18">
        <f>'Grid_TheoreticalStock'!F18</f>
        <v/>
      </c>
      <c r="P39" s="18">
        <f>'Grid_TheoreticalStock'!G18</f>
        <v/>
      </c>
      <c r="Q39" s="18">
        <f>'Grid_TheoreticalStock'!H18</f>
        <v/>
      </c>
      <c r="R39" s="18">
        <f>'Grid_TheoreticalStock'!I18</f>
        <v/>
      </c>
      <c r="S39" s="18">
        <f>'Grid_TheoreticalStock'!J18</f>
        <v/>
      </c>
      <c r="T39" s="18">
        <f>'Grid_TheoreticalStock'!K18</f>
        <v/>
      </c>
      <c r="U39" s="18">
        <f>'Grid_TheoreticalStock'!L18</f>
        <v/>
      </c>
      <c r="V39" s="18">
        <f>'Grid_TheoreticalStock'!M18</f>
        <v/>
      </c>
      <c r="W39" s="18">
        <f>'Grid_TheoreticalStock'!N18</f>
        <v/>
      </c>
      <c r="X39" s="18">
        <f>'Grid_TheoreticalStock'!O18</f>
        <v/>
      </c>
      <c r="Y39" s="18">
        <f>'Grid_TheoreticalStock'!P18</f>
        <v/>
      </c>
      <c r="Z39" s="18">
        <f>'Grid_TheoreticalStock'!Q18</f>
        <v/>
      </c>
      <c r="AA39" s="18">
        <f>'Grid_TheoreticalStock'!R18</f>
        <v/>
      </c>
      <c r="AB39" s="18">
        <f>'Grid_TheoreticalStock'!S18</f>
        <v/>
      </c>
      <c r="AC39" s="18">
        <f>'Grid_TheoreticalStock'!T18</f>
        <v/>
      </c>
      <c r="AD39" s="18">
        <f>'Grid_TheoreticalStock'!U18</f>
        <v/>
      </c>
      <c r="AE39" s="18">
        <f>'Grid_TheoreticalStock'!V18</f>
        <v/>
      </c>
      <c r="AF39" s="18">
        <f>'Grid_TheoreticalStock'!W18</f>
        <v/>
      </c>
      <c r="AG39" s="18">
        <f>'Grid_TheoreticalStock'!X18</f>
        <v/>
      </c>
      <c r="AH39" s="18">
        <f>'Grid_TheoreticalStock'!Y18</f>
        <v/>
      </c>
      <c r="AI39" s="18">
        <f>'Grid_TheoreticalStock'!Z18</f>
        <v/>
      </c>
      <c r="AJ39" s="18">
        <f>'Grid_TheoreticalStock'!AA18</f>
        <v/>
      </c>
      <c r="AK39" s="18">
        <f>'Grid_TheoreticalStock'!AB18</f>
        <v/>
      </c>
      <c r="AL39" s="18">
        <f>'Grid_TheoreticalStock'!AC18</f>
        <v/>
      </c>
      <c r="AM39" s="18">
        <f>'Grid_TheoreticalStock'!AD18</f>
        <v/>
      </c>
      <c r="AN39" s="18">
        <f>'Grid_TheoreticalStock'!AE18</f>
        <v/>
      </c>
      <c r="AO39" s="18">
        <f>'Grid_TheoreticalStock'!AF18</f>
        <v/>
      </c>
      <c r="AP39" s="18">
        <f>'Grid_TheoreticalStock'!AG18</f>
        <v/>
      </c>
      <c r="AQ39" s="18">
        <f>'Grid_TheoreticalStock'!AH18</f>
        <v/>
      </c>
      <c r="AR39" s="18">
        <f>'Grid_TheoreticalStock'!AI18</f>
        <v/>
      </c>
      <c r="AS39" s="18">
        <f>'Grid_TheoreticalStock'!AJ18</f>
        <v/>
      </c>
      <c r="AT39" s="18">
        <f>'Grid_TheoreticalStock'!AK18</f>
        <v/>
      </c>
      <c r="AU39" s="18">
        <f>'Grid_TheoreticalStock'!AL18</f>
        <v/>
      </c>
      <c r="AV39" s="18">
        <f>'Grid_TheoreticalStock'!AM18</f>
        <v/>
      </c>
      <c r="AW39" s="18">
        <f>'Grid_TheoreticalStock'!AN18</f>
        <v/>
      </c>
      <c r="AX39" s="18">
        <f>'Grid_TheoreticalStock'!AO18</f>
        <v/>
      </c>
      <c r="AY39" s="18">
        <f>'Grid_TheoreticalStock'!AP18</f>
        <v/>
      </c>
      <c r="AZ39" s="18">
        <f>'Grid_TheoreticalStock'!AQ18</f>
        <v/>
      </c>
      <c r="BA39" s="18">
        <f>'Grid_TheoreticalStock'!AR18</f>
        <v/>
      </c>
      <c r="BB39" s="18">
        <f>'Grid_TheoreticalStock'!AS18</f>
        <v/>
      </c>
      <c r="BC39" s="18">
        <f>'Grid_TheoreticalStock'!AT18</f>
        <v/>
      </c>
      <c r="BD39" s="18">
        <f>'Grid_TheoreticalStock'!AU18</f>
        <v/>
      </c>
      <c r="BE39" s="18">
        <f>'Grid_TheoreticalStock'!AV18</f>
        <v/>
      </c>
      <c r="BF39" s="18">
        <f>'Grid_TheoreticalStock'!AW18</f>
        <v/>
      </c>
      <c r="BG39" s="18">
        <f>'Grid_TheoreticalStock'!AX18</f>
        <v/>
      </c>
      <c r="BH39" s="18">
        <f>'Grid_TheoreticalStock'!AY18</f>
        <v/>
      </c>
      <c r="BI39" s="18">
        <f>'Grid_TheoreticalStock'!AZ18</f>
        <v/>
      </c>
      <c r="BJ39" s="18">
        <f>'Grid_TheoreticalStock'!BA18</f>
        <v/>
      </c>
      <c r="BK39" s="18">
        <f>'Grid_TheoreticalStock'!BB18</f>
        <v/>
      </c>
      <c r="BL39" s="18">
        <f>'Grid_TheoreticalStock'!BC18</f>
        <v/>
      </c>
      <c r="BM39" s="18">
        <f>'Grid_TheoreticalStock'!BD18</f>
        <v/>
      </c>
      <c r="BN39" s="18">
        <f>'Grid_TheoreticalStock'!BE18</f>
        <v/>
      </c>
      <c r="BO39" s="18">
        <f>'Grid_TheoreticalStock'!BF18</f>
        <v/>
      </c>
      <c r="BP39" s="18">
        <f>'Grid_TheoreticalStock'!BG18</f>
        <v/>
      </c>
      <c r="BQ39" s="18">
        <f>'Grid_TheoreticalStock'!BH18</f>
        <v/>
      </c>
      <c r="BR39" s="18">
        <f>'Grid_TheoreticalStock'!BI18</f>
        <v/>
      </c>
      <c r="BS39" s="18">
        <f>'Grid_TheoreticalStock'!BJ18</f>
        <v/>
      </c>
      <c r="BT39" s="18">
        <f>'Grid_TheoreticalStock'!BK18</f>
        <v/>
      </c>
      <c r="BU39" s="18">
        <f>'Grid_TheoreticalStock'!BL18</f>
        <v/>
      </c>
      <c r="BV39" s="18">
        <f>'Grid_TheoreticalStock'!BM18</f>
        <v/>
      </c>
      <c r="BW39" s="18">
        <f>'Grid_TheoreticalStock'!BN18</f>
        <v/>
      </c>
      <c r="BX39" s="18">
        <f>'Grid_TheoreticalStock'!BO18</f>
        <v/>
      </c>
      <c r="BY39" s="18">
        <f>'Grid_TheoreticalStock'!BP18</f>
        <v/>
      </c>
      <c r="BZ39" s="18">
        <f>'Grid_TheoreticalStock'!BQ18</f>
        <v/>
      </c>
      <c r="CA39" s="18">
        <f>'Grid_TheoreticalStock'!BR18</f>
        <v/>
      </c>
      <c r="CB39" s="18">
        <f>'Grid_TheoreticalStock'!BS18</f>
        <v/>
      </c>
      <c r="CC39" s="18">
        <f>'Grid_TheoreticalStock'!BT18</f>
        <v/>
      </c>
      <c r="CD39" s="18">
        <f>'Grid_TheoreticalStock'!BU18</f>
        <v/>
      </c>
      <c r="CE39" s="18">
        <f>'Grid_TheoreticalStock'!BV18</f>
        <v/>
      </c>
      <c r="CF39" s="18">
        <f>'Grid_TheoreticalStock'!BW18</f>
        <v/>
      </c>
      <c r="CG39" s="18">
        <f>'Grid_TheoreticalStock'!BX18</f>
        <v/>
      </c>
      <c r="CH39" s="18">
        <f>'Grid_TheoreticalStock'!BY18</f>
        <v/>
      </c>
      <c r="CI39" s="18">
        <f>'Grid_TheoreticalStock'!BZ18</f>
        <v/>
      </c>
      <c r="CJ39" s="18">
        <f>'Grid_TheoreticalStock'!CA18</f>
        <v/>
      </c>
      <c r="CK39" s="18">
        <f>'Grid_TheoreticalStock'!CB18</f>
        <v/>
      </c>
      <c r="CL39" s="18">
        <f>'Grid_TheoreticalStock'!CC18</f>
        <v/>
      </c>
      <c r="CM39" s="18">
        <f>'Grid_TheoreticalStock'!CD18</f>
        <v/>
      </c>
      <c r="CN39" s="18">
        <f>'Grid_TheoreticalStock'!CE18</f>
        <v/>
      </c>
      <c r="CO39" s="18">
        <f>'Grid_TheoreticalStock'!CF18</f>
        <v/>
      </c>
      <c r="CP39" s="18">
        <f>'Grid_TheoreticalStock'!CG18</f>
        <v/>
      </c>
      <c r="CQ39" s="18">
        <f>'Grid_TheoreticalStock'!CH18</f>
        <v/>
      </c>
      <c r="CR39" s="18">
        <f>'Grid_TheoreticalStock'!CI18</f>
        <v/>
      </c>
      <c r="CS39" s="18">
        <f>'Grid_TheoreticalStock'!CJ18</f>
        <v/>
      </c>
      <c r="CT39" s="18">
        <f>'Grid_TheoreticalStock'!CK18</f>
        <v/>
      </c>
      <c r="CU39" s="18">
        <f>'Grid_TheoreticalStock'!CL18</f>
        <v/>
      </c>
      <c r="CV39" s="18">
        <f>'Grid_TheoreticalStock'!CM18</f>
        <v/>
      </c>
      <c r="CW39" s="18">
        <f>'Grid_TheoreticalStock'!CN18</f>
        <v/>
      </c>
      <c r="CX39" s="18">
        <f>'Grid_TheoreticalStock'!CO18</f>
        <v/>
      </c>
      <c r="CY39" s="18">
        <f>'Grid_TheoreticalStock'!CP18</f>
        <v/>
      </c>
      <c r="CZ39" s="18">
        <f>'Grid_TheoreticalStock'!CQ18</f>
        <v/>
      </c>
      <c r="DA39" s="18">
        <f>'Grid_TheoreticalStock'!CR18</f>
        <v/>
      </c>
      <c r="DB39" s="18">
        <f>'Grid_TheoreticalStock'!CS18</f>
        <v/>
      </c>
      <c r="DC39" s="18">
        <f>'Grid_TheoreticalStock'!CT18</f>
        <v/>
      </c>
      <c r="DD39" s="18">
        <f>'Grid_TheoreticalStock'!CU18</f>
        <v/>
      </c>
      <c r="DE39" s="18">
        <f>'Grid_TheoreticalStock'!CV18</f>
        <v/>
      </c>
      <c r="DF39" s="18">
        <f>'Grid_TheoreticalStock'!CW18</f>
        <v/>
      </c>
      <c r="DG39" s="18">
        <f>'Grid_TheoreticalStock'!CX18</f>
        <v/>
      </c>
      <c r="DH39" s="18">
        <f>'Grid_TheoreticalStock'!CY18</f>
        <v/>
      </c>
      <c r="DI39" s="18">
        <f>'Grid_TheoreticalStock'!CZ18</f>
        <v/>
      </c>
      <c r="DJ39" s="18">
        <f>'Grid_TheoreticalStock'!DA18</f>
        <v/>
      </c>
    </row>
    <row r="40">
      <c r="A40" s="19" t="inlineStr">
        <is>
          <t>5JK</t>
        </is>
      </c>
      <c r="B40" s="19">
        <f>IFERROR(INDEX(M_RawMaterials[Description],MATCH($A40,M_RawMaterials[Part Name],0)),"")</f>
        <v/>
      </c>
      <c r="C40" s="19">
        <f>IFERROR(INDEX(M_RawMaterials[Category],MATCH($A40,M_RawMaterials[Part Name],0)),"")</f>
        <v/>
      </c>
      <c r="D40" s="19">
        <f>IFERROR(INDEX(M_RawMaterials[基準在庫下限_要入力],MATCH($A40,M_RawMaterials[Part Name],0)),0)</f>
        <v/>
      </c>
      <c r="E40" s="19">
        <f>IFERROR(INDEX(M_RawMaterials[基準在庫上限_要入力],MATCH($A40,M_RawMaterials[Part Name],0)),0)</f>
        <v/>
      </c>
      <c r="F40" s="19">
        <f>IFERROR(LOOKUP(2,1/('T_SelfStock'!$B$22:$DA$22&lt;&gt;""),'T_SelfStock'!$B$22:$DA$22),"")</f>
        <v/>
      </c>
      <c r="G40" s="19">
        <f>IFERROR(LOOKUP(2,1/('T_TTAFStock'!$B$22:$DA$22&lt;&gt;""),'T_TTAFStock'!$B$22:$DA$22),"")</f>
        <v/>
      </c>
      <c r="H40" s="19">
        <f>IFERROR(LOOKUP(2,1/('T_SelfStock'!$B$22:$DA$22&lt;&gt;""),'T_SelfStock'!$B$5:$DA$5),"")</f>
        <v/>
      </c>
      <c r="I40" s="20" t="inlineStr">
        <is>
          <t>実在庫</t>
        </is>
      </c>
      <c r="J40" s="19">
        <f>IFERROR(INDEX('Grid_Stock'!$A18:$DA18,1,LOOKUP(2,1/('T_SelfStock'!$B$22:$DA$22&lt;&gt;""),COLUMN('T_SelfStock'!$B$22:$DA$22)))-INDEX('Grid_TheoreticalStock'!$A18:$DA18,1,LOOKUP(2,1/('T_SelfStock'!$B$22:$DA$22&lt;&gt;""),COLUMN('T_SelfStock'!$B$22:$DA$22))),0)</f>
        <v/>
      </c>
      <c r="K40" s="19">
        <f>'Grid_Stock'!B18</f>
        <v/>
      </c>
      <c r="L40" s="19">
        <f>'Grid_Stock'!C18</f>
        <v/>
      </c>
      <c r="M40" s="19">
        <f>'Grid_Stock'!D18</f>
        <v/>
      </c>
      <c r="N40" s="19">
        <f>'Grid_Stock'!E18</f>
        <v/>
      </c>
      <c r="O40" s="19">
        <f>'Grid_Stock'!F18</f>
        <v/>
      </c>
      <c r="P40" s="19">
        <f>'Grid_Stock'!G18</f>
        <v/>
      </c>
      <c r="Q40" s="19">
        <f>'Grid_Stock'!H18</f>
        <v/>
      </c>
      <c r="R40" s="19">
        <f>'Grid_Stock'!I18</f>
        <v/>
      </c>
      <c r="S40" s="19">
        <f>'Grid_Stock'!J18</f>
        <v/>
      </c>
      <c r="T40" s="19">
        <f>'Grid_Stock'!K18</f>
        <v/>
      </c>
      <c r="U40" s="19">
        <f>'Grid_Stock'!L18</f>
        <v/>
      </c>
      <c r="V40" s="19">
        <f>'Grid_Stock'!M18</f>
        <v/>
      </c>
      <c r="W40" s="19">
        <f>'Grid_Stock'!N18</f>
        <v/>
      </c>
      <c r="X40" s="19">
        <f>'Grid_Stock'!O18</f>
        <v/>
      </c>
      <c r="Y40" s="19">
        <f>'Grid_Stock'!P18</f>
        <v/>
      </c>
      <c r="Z40" s="19">
        <f>'Grid_Stock'!Q18</f>
        <v/>
      </c>
      <c r="AA40" s="19">
        <f>'Grid_Stock'!R18</f>
        <v/>
      </c>
      <c r="AB40" s="19">
        <f>'Grid_Stock'!S18</f>
        <v/>
      </c>
      <c r="AC40" s="19">
        <f>'Grid_Stock'!T18</f>
        <v/>
      </c>
      <c r="AD40" s="19">
        <f>'Grid_Stock'!U18</f>
        <v/>
      </c>
      <c r="AE40" s="19">
        <f>'Grid_Stock'!V18</f>
        <v/>
      </c>
      <c r="AF40" s="19">
        <f>'Grid_Stock'!W18</f>
        <v/>
      </c>
      <c r="AG40" s="19">
        <f>'Grid_Stock'!X18</f>
        <v/>
      </c>
      <c r="AH40" s="19">
        <f>'Grid_Stock'!Y18</f>
        <v/>
      </c>
      <c r="AI40" s="19">
        <f>'Grid_Stock'!Z18</f>
        <v/>
      </c>
      <c r="AJ40" s="19">
        <f>'Grid_Stock'!AA18</f>
        <v/>
      </c>
      <c r="AK40" s="19">
        <f>'Grid_Stock'!AB18</f>
        <v/>
      </c>
      <c r="AL40" s="19">
        <f>'Grid_Stock'!AC18</f>
        <v/>
      </c>
      <c r="AM40" s="19">
        <f>'Grid_Stock'!AD18</f>
        <v/>
      </c>
      <c r="AN40" s="19">
        <f>'Grid_Stock'!AE18</f>
        <v/>
      </c>
      <c r="AO40" s="19">
        <f>'Grid_Stock'!AF18</f>
        <v/>
      </c>
      <c r="AP40" s="19">
        <f>'Grid_Stock'!AG18</f>
        <v/>
      </c>
      <c r="AQ40" s="19">
        <f>'Grid_Stock'!AH18</f>
        <v/>
      </c>
      <c r="AR40" s="19">
        <f>'Grid_Stock'!AI18</f>
        <v/>
      </c>
      <c r="AS40" s="19">
        <f>'Grid_Stock'!AJ18</f>
        <v/>
      </c>
      <c r="AT40" s="19">
        <f>'Grid_Stock'!AK18</f>
        <v/>
      </c>
      <c r="AU40" s="19">
        <f>'Grid_Stock'!AL18</f>
        <v/>
      </c>
      <c r="AV40" s="19">
        <f>'Grid_Stock'!AM18</f>
        <v/>
      </c>
      <c r="AW40" s="19">
        <f>'Grid_Stock'!AN18</f>
        <v/>
      </c>
      <c r="AX40" s="19">
        <f>'Grid_Stock'!AO18</f>
        <v/>
      </c>
      <c r="AY40" s="19">
        <f>'Grid_Stock'!AP18</f>
        <v/>
      </c>
      <c r="AZ40" s="19">
        <f>'Grid_Stock'!AQ18</f>
        <v/>
      </c>
      <c r="BA40" s="19">
        <f>'Grid_Stock'!AR18</f>
        <v/>
      </c>
      <c r="BB40" s="19">
        <f>'Grid_Stock'!AS18</f>
        <v/>
      </c>
      <c r="BC40" s="19">
        <f>'Grid_Stock'!AT18</f>
        <v/>
      </c>
      <c r="BD40" s="19">
        <f>'Grid_Stock'!AU18</f>
        <v/>
      </c>
      <c r="BE40" s="19">
        <f>'Grid_Stock'!AV18</f>
        <v/>
      </c>
      <c r="BF40" s="19">
        <f>'Grid_Stock'!AW18</f>
        <v/>
      </c>
      <c r="BG40" s="19">
        <f>'Grid_Stock'!AX18</f>
        <v/>
      </c>
      <c r="BH40" s="19">
        <f>'Grid_Stock'!AY18</f>
        <v/>
      </c>
      <c r="BI40" s="19">
        <f>'Grid_Stock'!AZ18</f>
        <v/>
      </c>
      <c r="BJ40" s="19">
        <f>'Grid_Stock'!BA18</f>
        <v/>
      </c>
      <c r="BK40" s="19">
        <f>'Grid_Stock'!BB18</f>
        <v/>
      </c>
      <c r="BL40" s="19">
        <f>'Grid_Stock'!BC18</f>
        <v/>
      </c>
      <c r="BM40" s="19">
        <f>'Grid_Stock'!BD18</f>
        <v/>
      </c>
      <c r="BN40" s="19">
        <f>'Grid_Stock'!BE18</f>
        <v/>
      </c>
      <c r="BO40" s="19">
        <f>'Grid_Stock'!BF18</f>
        <v/>
      </c>
      <c r="BP40" s="19">
        <f>'Grid_Stock'!BG18</f>
        <v/>
      </c>
      <c r="BQ40" s="19">
        <f>'Grid_Stock'!BH18</f>
        <v/>
      </c>
      <c r="BR40" s="19">
        <f>'Grid_Stock'!BI18</f>
        <v/>
      </c>
      <c r="BS40" s="19">
        <f>'Grid_Stock'!BJ18</f>
        <v/>
      </c>
      <c r="BT40" s="19">
        <f>'Grid_Stock'!BK18</f>
        <v/>
      </c>
      <c r="BU40" s="19">
        <f>'Grid_Stock'!BL18</f>
        <v/>
      </c>
      <c r="BV40" s="19">
        <f>'Grid_Stock'!BM18</f>
        <v/>
      </c>
      <c r="BW40" s="19">
        <f>'Grid_Stock'!BN18</f>
        <v/>
      </c>
      <c r="BX40" s="19">
        <f>'Grid_Stock'!BO18</f>
        <v/>
      </c>
      <c r="BY40" s="19">
        <f>'Grid_Stock'!BP18</f>
        <v/>
      </c>
      <c r="BZ40" s="19">
        <f>'Grid_Stock'!BQ18</f>
        <v/>
      </c>
      <c r="CA40" s="19">
        <f>'Grid_Stock'!BR18</f>
        <v/>
      </c>
      <c r="CB40" s="19">
        <f>'Grid_Stock'!BS18</f>
        <v/>
      </c>
      <c r="CC40" s="19">
        <f>'Grid_Stock'!BT18</f>
        <v/>
      </c>
      <c r="CD40" s="19">
        <f>'Grid_Stock'!BU18</f>
        <v/>
      </c>
      <c r="CE40" s="19">
        <f>'Grid_Stock'!BV18</f>
        <v/>
      </c>
      <c r="CF40" s="19">
        <f>'Grid_Stock'!BW18</f>
        <v/>
      </c>
      <c r="CG40" s="19">
        <f>'Grid_Stock'!BX18</f>
        <v/>
      </c>
      <c r="CH40" s="19">
        <f>'Grid_Stock'!BY18</f>
        <v/>
      </c>
      <c r="CI40" s="19">
        <f>'Grid_Stock'!BZ18</f>
        <v/>
      </c>
      <c r="CJ40" s="19">
        <f>'Grid_Stock'!CA18</f>
        <v/>
      </c>
      <c r="CK40" s="19">
        <f>'Grid_Stock'!CB18</f>
        <v/>
      </c>
      <c r="CL40" s="19">
        <f>'Grid_Stock'!CC18</f>
        <v/>
      </c>
      <c r="CM40" s="19">
        <f>'Grid_Stock'!CD18</f>
        <v/>
      </c>
      <c r="CN40" s="19">
        <f>'Grid_Stock'!CE18</f>
        <v/>
      </c>
      <c r="CO40" s="19">
        <f>'Grid_Stock'!CF18</f>
        <v/>
      </c>
      <c r="CP40" s="19">
        <f>'Grid_Stock'!CG18</f>
        <v/>
      </c>
      <c r="CQ40" s="19">
        <f>'Grid_Stock'!CH18</f>
        <v/>
      </c>
      <c r="CR40" s="19">
        <f>'Grid_Stock'!CI18</f>
        <v/>
      </c>
      <c r="CS40" s="19">
        <f>'Grid_Stock'!CJ18</f>
        <v/>
      </c>
      <c r="CT40" s="19">
        <f>'Grid_Stock'!CK18</f>
        <v/>
      </c>
      <c r="CU40" s="19">
        <f>'Grid_Stock'!CL18</f>
        <v/>
      </c>
      <c r="CV40" s="19">
        <f>'Grid_Stock'!CM18</f>
        <v/>
      </c>
      <c r="CW40" s="19">
        <f>'Grid_Stock'!CN18</f>
        <v/>
      </c>
      <c r="CX40" s="19">
        <f>'Grid_Stock'!CO18</f>
        <v/>
      </c>
      <c r="CY40" s="19">
        <f>'Grid_Stock'!CP18</f>
        <v/>
      </c>
      <c r="CZ40" s="19">
        <f>'Grid_Stock'!CQ18</f>
        <v/>
      </c>
      <c r="DA40" s="19">
        <f>'Grid_Stock'!CR18</f>
        <v/>
      </c>
      <c r="DB40" s="19">
        <f>'Grid_Stock'!CS18</f>
        <v/>
      </c>
      <c r="DC40" s="19">
        <f>'Grid_Stock'!CT18</f>
        <v/>
      </c>
      <c r="DD40" s="19">
        <f>'Grid_Stock'!CU18</f>
        <v/>
      </c>
      <c r="DE40" s="19">
        <f>'Grid_Stock'!CV18</f>
        <v/>
      </c>
      <c r="DF40" s="19">
        <f>'Grid_Stock'!CW18</f>
        <v/>
      </c>
      <c r="DG40" s="19">
        <f>'Grid_Stock'!CX18</f>
        <v/>
      </c>
      <c r="DH40" s="19">
        <f>'Grid_Stock'!CY18</f>
        <v/>
      </c>
      <c r="DI40" s="19">
        <f>'Grid_Stock'!CZ18</f>
        <v/>
      </c>
      <c r="DJ40" s="19">
        <f>'Grid_Stock'!DA18</f>
        <v/>
      </c>
    </row>
    <row r="41">
      <c r="A41" s="17" t="inlineStr">
        <is>
          <t>26F</t>
        </is>
      </c>
      <c r="B41" s="17">
        <f>IFERROR(INDEX(M_RawMaterials[Description],MATCH($A41,M_RawMaterials[Part Name],0)),"")</f>
        <v/>
      </c>
      <c r="C41" s="17">
        <f>IFERROR(INDEX(M_RawMaterials[Category],MATCH($A41,M_RawMaterials[Part Name],0)),"")</f>
        <v/>
      </c>
      <c r="D41" s="17">
        <f>IFERROR(INDEX(M_RawMaterials[基準在庫下限_要入力],MATCH($A41,M_RawMaterials[Part Name],0)),0)</f>
        <v/>
      </c>
      <c r="E41" s="17">
        <f>IFERROR(INDEX(M_RawMaterials[基準在庫上限_要入力],MATCH($A41,M_RawMaterials[Part Name],0)),0)</f>
        <v/>
      </c>
      <c r="F41" s="17">
        <f>IFERROR(LOOKUP(2,1/('T_SelfStock'!$B$23:$DA$23&lt;&gt;""),'T_SelfStock'!$B$23:$DA$23),"")</f>
        <v/>
      </c>
      <c r="G41" s="17">
        <f>IFERROR(LOOKUP(2,1/('T_TTAFStock'!$B$23:$DA$23&lt;&gt;""),'T_TTAFStock'!$B$23:$DA$23),"")</f>
        <v/>
      </c>
      <c r="H41" s="17">
        <f>IFERROR(LOOKUP(2,1/('T_SelfStock'!$B$23:$DA$23&lt;&gt;""),'T_SelfStock'!$B$5:$DA$5),"")</f>
        <v/>
      </c>
      <c r="I41" s="18" t="inlineStr">
        <is>
          <t>理論在庫</t>
        </is>
      </c>
      <c r="J41" s="17">
        <f>IFERROR(INDEX('Grid_Stock'!$A19:$DA19,1,LOOKUP(2,1/('T_SelfStock'!$B$23:$DA$23&lt;&gt;""),COLUMN('T_SelfStock'!$B$23:$DA$23)))-INDEX('Grid_TheoreticalStock'!$A19:$DA19,1,LOOKUP(2,1/('T_SelfStock'!$B$23:$DA$23&lt;&gt;""),COLUMN('T_SelfStock'!$B$23:$DA$23))),0)</f>
        <v/>
      </c>
      <c r="K41" s="18">
        <f>'Grid_TheoreticalStock'!B19</f>
        <v/>
      </c>
      <c r="L41" s="18">
        <f>'Grid_TheoreticalStock'!C19</f>
        <v/>
      </c>
      <c r="M41" s="18">
        <f>'Grid_TheoreticalStock'!D19</f>
        <v/>
      </c>
      <c r="N41" s="18">
        <f>'Grid_TheoreticalStock'!E19</f>
        <v/>
      </c>
      <c r="O41" s="18">
        <f>'Grid_TheoreticalStock'!F19</f>
        <v/>
      </c>
      <c r="P41" s="18">
        <f>'Grid_TheoreticalStock'!G19</f>
        <v/>
      </c>
      <c r="Q41" s="18">
        <f>'Grid_TheoreticalStock'!H19</f>
        <v/>
      </c>
      <c r="R41" s="18">
        <f>'Grid_TheoreticalStock'!I19</f>
        <v/>
      </c>
      <c r="S41" s="18">
        <f>'Grid_TheoreticalStock'!J19</f>
        <v/>
      </c>
      <c r="T41" s="18">
        <f>'Grid_TheoreticalStock'!K19</f>
        <v/>
      </c>
      <c r="U41" s="18">
        <f>'Grid_TheoreticalStock'!L19</f>
        <v/>
      </c>
      <c r="V41" s="18">
        <f>'Grid_TheoreticalStock'!M19</f>
        <v/>
      </c>
      <c r="W41" s="18">
        <f>'Grid_TheoreticalStock'!N19</f>
        <v/>
      </c>
      <c r="X41" s="18">
        <f>'Grid_TheoreticalStock'!O19</f>
        <v/>
      </c>
      <c r="Y41" s="18">
        <f>'Grid_TheoreticalStock'!P19</f>
        <v/>
      </c>
      <c r="Z41" s="18">
        <f>'Grid_TheoreticalStock'!Q19</f>
        <v/>
      </c>
      <c r="AA41" s="18">
        <f>'Grid_TheoreticalStock'!R19</f>
        <v/>
      </c>
      <c r="AB41" s="18">
        <f>'Grid_TheoreticalStock'!S19</f>
        <v/>
      </c>
      <c r="AC41" s="18">
        <f>'Grid_TheoreticalStock'!T19</f>
        <v/>
      </c>
      <c r="AD41" s="18">
        <f>'Grid_TheoreticalStock'!U19</f>
        <v/>
      </c>
      <c r="AE41" s="18">
        <f>'Grid_TheoreticalStock'!V19</f>
        <v/>
      </c>
      <c r="AF41" s="18">
        <f>'Grid_TheoreticalStock'!W19</f>
        <v/>
      </c>
      <c r="AG41" s="18">
        <f>'Grid_TheoreticalStock'!X19</f>
        <v/>
      </c>
      <c r="AH41" s="18">
        <f>'Grid_TheoreticalStock'!Y19</f>
        <v/>
      </c>
      <c r="AI41" s="18">
        <f>'Grid_TheoreticalStock'!Z19</f>
        <v/>
      </c>
      <c r="AJ41" s="18">
        <f>'Grid_TheoreticalStock'!AA19</f>
        <v/>
      </c>
      <c r="AK41" s="18">
        <f>'Grid_TheoreticalStock'!AB19</f>
        <v/>
      </c>
      <c r="AL41" s="18">
        <f>'Grid_TheoreticalStock'!AC19</f>
        <v/>
      </c>
      <c r="AM41" s="18">
        <f>'Grid_TheoreticalStock'!AD19</f>
        <v/>
      </c>
      <c r="AN41" s="18">
        <f>'Grid_TheoreticalStock'!AE19</f>
        <v/>
      </c>
      <c r="AO41" s="18">
        <f>'Grid_TheoreticalStock'!AF19</f>
        <v/>
      </c>
      <c r="AP41" s="18">
        <f>'Grid_TheoreticalStock'!AG19</f>
        <v/>
      </c>
      <c r="AQ41" s="18">
        <f>'Grid_TheoreticalStock'!AH19</f>
        <v/>
      </c>
      <c r="AR41" s="18">
        <f>'Grid_TheoreticalStock'!AI19</f>
        <v/>
      </c>
      <c r="AS41" s="18">
        <f>'Grid_TheoreticalStock'!AJ19</f>
        <v/>
      </c>
      <c r="AT41" s="18">
        <f>'Grid_TheoreticalStock'!AK19</f>
        <v/>
      </c>
      <c r="AU41" s="18">
        <f>'Grid_TheoreticalStock'!AL19</f>
        <v/>
      </c>
      <c r="AV41" s="18">
        <f>'Grid_TheoreticalStock'!AM19</f>
        <v/>
      </c>
      <c r="AW41" s="18">
        <f>'Grid_TheoreticalStock'!AN19</f>
        <v/>
      </c>
      <c r="AX41" s="18">
        <f>'Grid_TheoreticalStock'!AO19</f>
        <v/>
      </c>
      <c r="AY41" s="18">
        <f>'Grid_TheoreticalStock'!AP19</f>
        <v/>
      </c>
      <c r="AZ41" s="18">
        <f>'Grid_TheoreticalStock'!AQ19</f>
        <v/>
      </c>
      <c r="BA41" s="18">
        <f>'Grid_TheoreticalStock'!AR19</f>
        <v/>
      </c>
      <c r="BB41" s="18">
        <f>'Grid_TheoreticalStock'!AS19</f>
        <v/>
      </c>
      <c r="BC41" s="18">
        <f>'Grid_TheoreticalStock'!AT19</f>
        <v/>
      </c>
      <c r="BD41" s="18">
        <f>'Grid_TheoreticalStock'!AU19</f>
        <v/>
      </c>
      <c r="BE41" s="18">
        <f>'Grid_TheoreticalStock'!AV19</f>
        <v/>
      </c>
      <c r="BF41" s="18">
        <f>'Grid_TheoreticalStock'!AW19</f>
        <v/>
      </c>
      <c r="BG41" s="18">
        <f>'Grid_TheoreticalStock'!AX19</f>
        <v/>
      </c>
      <c r="BH41" s="18">
        <f>'Grid_TheoreticalStock'!AY19</f>
        <v/>
      </c>
      <c r="BI41" s="18">
        <f>'Grid_TheoreticalStock'!AZ19</f>
        <v/>
      </c>
      <c r="BJ41" s="18">
        <f>'Grid_TheoreticalStock'!BA19</f>
        <v/>
      </c>
      <c r="BK41" s="18">
        <f>'Grid_TheoreticalStock'!BB19</f>
        <v/>
      </c>
      <c r="BL41" s="18">
        <f>'Grid_TheoreticalStock'!BC19</f>
        <v/>
      </c>
      <c r="BM41" s="18">
        <f>'Grid_TheoreticalStock'!BD19</f>
        <v/>
      </c>
      <c r="BN41" s="18">
        <f>'Grid_TheoreticalStock'!BE19</f>
        <v/>
      </c>
      <c r="BO41" s="18">
        <f>'Grid_TheoreticalStock'!BF19</f>
        <v/>
      </c>
      <c r="BP41" s="18">
        <f>'Grid_TheoreticalStock'!BG19</f>
        <v/>
      </c>
      <c r="BQ41" s="18">
        <f>'Grid_TheoreticalStock'!BH19</f>
        <v/>
      </c>
      <c r="BR41" s="18">
        <f>'Grid_TheoreticalStock'!BI19</f>
        <v/>
      </c>
      <c r="BS41" s="18">
        <f>'Grid_TheoreticalStock'!BJ19</f>
        <v/>
      </c>
      <c r="BT41" s="18">
        <f>'Grid_TheoreticalStock'!BK19</f>
        <v/>
      </c>
      <c r="BU41" s="18">
        <f>'Grid_TheoreticalStock'!BL19</f>
        <v/>
      </c>
      <c r="BV41" s="18">
        <f>'Grid_TheoreticalStock'!BM19</f>
        <v/>
      </c>
      <c r="BW41" s="18">
        <f>'Grid_TheoreticalStock'!BN19</f>
        <v/>
      </c>
      <c r="BX41" s="18">
        <f>'Grid_TheoreticalStock'!BO19</f>
        <v/>
      </c>
      <c r="BY41" s="18">
        <f>'Grid_TheoreticalStock'!BP19</f>
        <v/>
      </c>
      <c r="BZ41" s="18">
        <f>'Grid_TheoreticalStock'!BQ19</f>
        <v/>
      </c>
      <c r="CA41" s="18">
        <f>'Grid_TheoreticalStock'!BR19</f>
        <v/>
      </c>
      <c r="CB41" s="18">
        <f>'Grid_TheoreticalStock'!BS19</f>
        <v/>
      </c>
      <c r="CC41" s="18">
        <f>'Grid_TheoreticalStock'!BT19</f>
        <v/>
      </c>
      <c r="CD41" s="18">
        <f>'Grid_TheoreticalStock'!BU19</f>
        <v/>
      </c>
      <c r="CE41" s="18">
        <f>'Grid_TheoreticalStock'!BV19</f>
        <v/>
      </c>
      <c r="CF41" s="18">
        <f>'Grid_TheoreticalStock'!BW19</f>
        <v/>
      </c>
      <c r="CG41" s="18">
        <f>'Grid_TheoreticalStock'!BX19</f>
        <v/>
      </c>
      <c r="CH41" s="18">
        <f>'Grid_TheoreticalStock'!BY19</f>
        <v/>
      </c>
      <c r="CI41" s="18">
        <f>'Grid_TheoreticalStock'!BZ19</f>
        <v/>
      </c>
      <c r="CJ41" s="18">
        <f>'Grid_TheoreticalStock'!CA19</f>
        <v/>
      </c>
      <c r="CK41" s="18">
        <f>'Grid_TheoreticalStock'!CB19</f>
        <v/>
      </c>
      <c r="CL41" s="18">
        <f>'Grid_TheoreticalStock'!CC19</f>
        <v/>
      </c>
      <c r="CM41" s="18">
        <f>'Grid_TheoreticalStock'!CD19</f>
        <v/>
      </c>
      <c r="CN41" s="18">
        <f>'Grid_TheoreticalStock'!CE19</f>
        <v/>
      </c>
      <c r="CO41" s="18">
        <f>'Grid_TheoreticalStock'!CF19</f>
        <v/>
      </c>
      <c r="CP41" s="18">
        <f>'Grid_TheoreticalStock'!CG19</f>
        <v/>
      </c>
      <c r="CQ41" s="18">
        <f>'Grid_TheoreticalStock'!CH19</f>
        <v/>
      </c>
      <c r="CR41" s="18">
        <f>'Grid_TheoreticalStock'!CI19</f>
        <v/>
      </c>
      <c r="CS41" s="18">
        <f>'Grid_TheoreticalStock'!CJ19</f>
        <v/>
      </c>
      <c r="CT41" s="18">
        <f>'Grid_TheoreticalStock'!CK19</f>
        <v/>
      </c>
      <c r="CU41" s="18">
        <f>'Grid_TheoreticalStock'!CL19</f>
        <v/>
      </c>
      <c r="CV41" s="18">
        <f>'Grid_TheoreticalStock'!CM19</f>
        <v/>
      </c>
      <c r="CW41" s="18">
        <f>'Grid_TheoreticalStock'!CN19</f>
        <v/>
      </c>
      <c r="CX41" s="18">
        <f>'Grid_TheoreticalStock'!CO19</f>
        <v/>
      </c>
      <c r="CY41" s="18">
        <f>'Grid_TheoreticalStock'!CP19</f>
        <v/>
      </c>
      <c r="CZ41" s="18">
        <f>'Grid_TheoreticalStock'!CQ19</f>
        <v/>
      </c>
      <c r="DA41" s="18">
        <f>'Grid_TheoreticalStock'!CR19</f>
        <v/>
      </c>
      <c r="DB41" s="18">
        <f>'Grid_TheoreticalStock'!CS19</f>
        <v/>
      </c>
      <c r="DC41" s="18">
        <f>'Grid_TheoreticalStock'!CT19</f>
        <v/>
      </c>
      <c r="DD41" s="18">
        <f>'Grid_TheoreticalStock'!CU19</f>
        <v/>
      </c>
      <c r="DE41" s="18">
        <f>'Grid_TheoreticalStock'!CV19</f>
        <v/>
      </c>
      <c r="DF41" s="18">
        <f>'Grid_TheoreticalStock'!CW19</f>
        <v/>
      </c>
      <c r="DG41" s="18">
        <f>'Grid_TheoreticalStock'!CX19</f>
        <v/>
      </c>
      <c r="DH41" s="18">
        <f>'Grid_TheoreticalStock'!CY19</f>
        <v/>
      </c>
      <c r="DI41" s="18">
        <f>'Grid_TheoreticalStock'!CZ19</f>
        <v/>
      </c>
      <c r="DJ41" s="18">
        <f>'Grid_TheoreticalStock'!DA19</f>
        <v/>
      </c>
    </row>
    <row r="42">
      <c r="A42" s="19" t="inlineStr">
        <is>
          <t>26F</t>
        </is>
      </c>
      <c r="B42" s="19">
        <f>IFERROR(INDEX(M_RawMaterials[Description],MATCH($A42,M_RawMaterials[Part Name],0)),"")</f>
        <v/>
      </c>
      <c r="C42" s="19">
        <f>IFERROR(INDEX(M_RawMaterials[Category],MATCH($A42,M_RawMaterials[Part Name],0)),"")</f>
        <v/>
      </c>
      <c r="D42" s="19">
        <f>IFERROR(INDEX(M_RawMaterials[基準在庫下限_要入力],MATCH($A42,M_RawMaterials[Part Name],0)),0)</f>
        <v/>
      </c>
      <c r="E42" s="19">
        <f>IFERROR(INDEX(M_RawMaterials[基準在庫上限_要入力],MATCH($A42,M_RawMaterials[Part Name],0)),0)</f>
        <v/>
      </c>
      <c r="F42" s="19">
        <f>IFERROR(LOOKUP(2,1/('T_SelfStock'!$B$23:$DA$23&lt;&gt;""),'T_SelfStock'!$B$23:$DA$23),"")</f>
        <v/>
      </c>
      <c r="G42" s="19">
        <f>IFERROR(LOOKUP(2,1/('T_TTAFStock'!$B$23:$DA$23&lt;&gt;""),'T_TTAFStock'!$B$23:$DA$23),"")</f>
        <v/>
      </c>
      <c r="H42" s="19">
        <f>IFERROR(LOOKUP(2,1/('T_SelfStock'!$B$23:$DA$23&lt;&gt;""),'T_SelfStock'!$B$5:$DA$5),"")</f>
        <v/>
      </c>
      <c r="I42" s="20" t="inlineStr">
        <is>
          <t>実在庫</t>
        </is>
      </c>
      <c r="J42" s="19">
        <f>IFERROR(INDEX('Grid_Stock'!$A19:$DA19,1,LOOKUP(2,1/('T_SelfStock'!$B$23:$DA$23&lt;&gt;""),COLUMN('T_SelfStock'!$B$23:$DA$23)))-INDEX('Grid_TheoreticalStock'!$A19:$DA19,1,LOOKUP(2,1/('T_SelfStock'!$B$23:$DA$23&lt;&gt;""),COLUMN('T_SelfStock'!$B$23:$DA$23))),0)</f>
        <v/>
      </c>
      <c r="K42" s="19">
        <f>'Grid_Stock'!B19</f>
        <v/>
      </c>
      <c r="L42" s="19">
        <f>'Grid_Stock'!C19</f>
        <v/>
      </c>
      <c r="M42" s="19">
        <f>'Grid_Stock'!D19</f>
        <v/>
      </c>
      <c r="N42" s="19">
        <f>'Grid_Stock'!E19</f>
        <v/>
      </c>
      <c r="O42" s="19">
        <f>'Grid_Stock'!F19</f>
        <v/>
      </c>
      <c r="P42" s="19">
        <f>'Grid_Stock'!G19</f>
        <v/>
      </c>
      <c r="Q42" s="19">
        <f>'Grid_Stock'!H19</f>
        <v/>
      </c>
      <c r="R42" s="19">
        <f>'Grid_Stock'!I19</f>
        <v/>
      </c>
      <c r="S42" s="19">
        <f>'Grid_Stock'!J19</f>
        <v/>
      </c>
      <c r="T42" s="19">
        <f>'Grid_Stock'!K19</f>
        <v/>
      </c>
      <c r="U42" s="19">
        <f>'Grid_Stock'!L19</f>
        <v/>
      </c>
      <c r="V42" s="19">
        <f>'Grid_Stock'!M19</f>
        <v/>
      </c>
      <c r="W42" s="19">
        <f>'Grid_Stock'!N19</f>
        <v/>
      </c>
      <c r="X42" s="19">
        <f>'Grid_Stock'!O19</f>
        <v/>
      </c>
      <c r="Y42" s="19">
        <f>'Grid_Stock'!P19</f>
        <v/>
      </c>
      <c r="Z42" s="19">
        <f>'Grid_Stock'!Q19</f>
        <v/>
      </c>
      <c r="AA42" s="19">
        <f>'Grid_Stock'!R19</f>
        <v/>
      </c>
      <c r="AB42" s="19">
        <f>'Grid_Stock'!S19</f>
        <v/>
      </c>
      <c r="AC42" s="19">
        <f>'Grid_Stock'!T19</f>
        <v/>
      </c>
      <c r="AD42" s="19">
        <f>'Grid_Stock'!U19</f>
        <v/>
      </c>
      <c r="AE42" s="19">
        <f>'Grid_Stock'!V19</f>
        <v/>
      </c>
      <c r="AF42" s="19">
        <f>'Grid_Stock'!W19</f>
        <v/>
      </c>
      <c r="AG42" s="19">
        <f>'Grid_Stock'!X19</f>
        <v/>
      </c>
      <c r="AH42" s="19">
        <f>'Grid_Stock'!Y19</f>
        <v/>
      </c>
      <c r="AI42" s="19">
        <f>'Grid_Stock'!Z19</f>
        <v/>
      </c>
      <c r="AJ42" s="19">
        <f>'Grid_Stock'!AA19</f>
        <v/>
      </c>
      <c r="AK42" s="19">
        <f>'Grid_Stock'!AB19</f>
        <v/>
      </c>
      <c r="AL42" s="19">
        <f>'Grid_Stock'!AC19</f>
        <v/>
      </c>
      <c r="AM42" s="19">
        <f>'Grid_Stock'!AD19</f>
        <v/>
      </c>
      <c r="AN42" s="19">
        <f>'Grid_Stock'!AE19</f>
        <v/>
      </c>
      <c r="AO42" s="19">
        <f>'Grid_Stock'!AF19</f>
        <v/>
      </c>
      <c r="AP42" s="19">
        <f>'Grid_Stock'!AG19</f>
        <v/>
      </c>
      <c r="AQ42" s="19">
        <f>'Grid_Stock'!AH19</f>
        <v/>
      </c>
      <c r="AR42" s="19">
        <f>'Grid_Stock'!AI19</f>
        <v/>
      </c>
      <c r="AS42" s="19">
        <f>'Grid_Stock'!AJ19</f>
        <v/>
      </c>
      <c r="AT42" s="19">
        <f>'Grid_Stock'!AK19</f>
        <v/>
      </c>
      <c r="AU42" s="19">
        <f>'Grid_Stock'!AL19</f>
        <v/>
      </c>
      <c r="AV42" s="19">
        <f>'Grid_Stock'!AM19</f>
        <v/>
      </c>
      <c r="AW42" s="19">
        <f>'Grid_Stock'!AN19</f>
        <v/>
      </c>
      <c r="AX42" s="19">
        <f>'Grid_Stock'!AO19</f>
        <v/>
      </c>
      <c r="AY42" s="19">
        <f>'Grid_Stock'!AP19</f>
        <v/>
      </c>
      <c r="AZ42" s="19">
        <f>'Grid_Stock'!AQ19</f>
        <v/>
      </c>
      <c r="BA42" s="19">
        <f>'Grid_Stock'!AR19</f>
        <v/>
      </c>
      <c r="BB42" s="19">
        <f>'Grid_Stock'!AS19</f>
        <v/>
      </c>
      <c r="BC42" s="19">
        <f>'Grid_Stock'!AT19</f>
        <v/>
      </c>
      <c r="BD42" s="19">
        <f>'Grid_Stock'!AU19</f>
        <v/>
      </c>
      <c r="BE42" s="19">
        <f>'Grid_Stock'!AV19</f>
        <v/>
      </c>
      <c r="BF42" s="19">
        <f>'Grid_Stock'!AW19</f>
        <v/>
      </c>
      <c r="BG42" s="19">
        <f>'Grid_Stock'!AX19</f>
        <v/>
      </c>
      <c r="BH42" s="19">
        <f>'Grid_Stock'!AY19</f>
        <v/>
      </c>
      <c r="BI42" s="19">
        <f>'Grid_Stock'!AZ19</f>
        <v/>
      </c>
      <c r="BJ42" s="19">
        <f>'Grid_Stock'!BA19</f>
        <v/>
      </c>
      <c r="BK42" s="19">
        <f>'Grid_Stock'!BB19</f>
        <v/>
      </c>
      <c r="BL42" s="19">
        <f>'Grid_Stock'!BC19</f>
        <v/>
      </c>
      <c r="BM42" s="19">
        <f>'Grid_Stock'!BD19</f>
        <v/>
      </c>
      <c r="BN42" s="19">
        <f>'Grid_Stock'!BE19</f>
        <v/>
      </c>
      <c r="BO42" s="19">
        <f>'Grid_Stock'!BF19</f>
        <v/>
      </c>
      <c r="BP42" s="19">
        <f>'Grid_Stock'!BG19</f>
        <v/>
      </c>
      <c r="BQ42" s="19">
        <f>'Grid_Stock'!BH19</f>
        <v/>
      </c>
      <c r="BR42" s="19">
        <f>'Grid_Stock'!BI19</f>
        <v/>
      </c>
      <c r="BS42" s="19">
        <f>'Grid_Stock'!BJ19</f>
        <v/>
      </c>
      <c r="BT42" s="19">
        <f>'Grid_Stock'!BK19</f>
        <v/>
      </c>
      <c r="BU42" s="19">
        <f>'Grid_Stock'!BL19</f>
        <v/>
      </c>
      <c r="BV42" s="19">
        <f>'Grid_Stock'!BM19</f>
        <v/>
      </c>
      <c r="BW42" s="19">
        <f>'Grid_Stock'!BN19</f>
        <v/>
      </c>
      <c r="BX42" s="19">
        <f>'Grid_Stock'!BO19</f>
        <v/>
      </c>
      <c r="BY42" s="19">
        <f>'Grid_Stock'!BP19</f>
        <v/>
      </c>
      <c r="BZ42" s="19">
        <f>'Grid_Stock'!BQ19</f>
        <v/>
      </c>
      <c r="CA42" s="19">
        <f>'Grid_Stock'!BR19</f>
        <v/>
      </c>
      <c r="CB42" s="19">
        <f>'Grid_Stock'!BS19</f>
        <v/>
      </c>
      <c r="CC42" s="19">
        <f>'Grid_Stock'!BT19</f>
        <v/>
      </c>
      <c r="CD42" s="19">
        <f>'Grid_Stock'!BU19</f>
        <v/>
      </c>
      <c r="CE42" s="19">
        <f>'Grid_Stock'!BV19</f>
        <v/>
      </c>
      <c r="CF42" s="19">
        <f>'Grid_Stock'!BW19</f>
        <v/>
      </c>
      <c r="CG42" s="19">
        <f>'Grid_Stock'!BX19</f>
        <v/>
      </c>
      <c r="CH42" s="19">
        <f>'Grid_Stock'!BY19</f>
        <v/>
      </c>
      <c r="CI42" s="19">
        <f>'Grid_Stock'!BZ19</f>
        <v/>
      </c>
      <c r="CJ42" s="19">
        <f>'Grid_Stock'!CA19</f>
        <v/>
      </c>
      <c r="CK42" s="19">
        <f>'Grid_Stock'!CB19</f>
        <v/>
      </c>
      <c r="CL42" s="19">
        <f>'Grid_Stock'!CC19</f>
        <v/>
      </c>
      <c r="CM42" s="19">
        <f>'Grid_Stock'!CD19</f>
        <v/>
      </c>
      <c r="CN42" s="19">
        <f>'Grid_Stock'!CE19</f>
        <v/>
      </c>
      <c r="CO42" s="19">
        <f>'Grid_Stock'!CF19</f>
        <v/>
      </c>
      <c r="CP42" s="19">
        <f>'Grid_Stock'!CG19</f>
        <v/>
      </c>
      <c r="CQ42" s="19">
        <f>'Grid_Stock'!CH19</f>
        <v/>
      </c>
      <c r="CR42" s="19">
        <f>'Grid_Stock'!CI19</f>
        <v/>
      </c>
      <c r="CS42" s="19">
        <f>'Grid_Stock'!CJ19</f>
        <v/>
      </c>
      <c r="CT42" s="19">
        <f>'Grid_Stock'!CK19</f>
        <v/>
      </c>
      <c r="CU42" s="19">
        <f>'Grid_Stock'!CL19</f>
        <v/>
      </c>
      <c r="CV42" s="19">
        <f>'Grid_Stock'!CM19</f>
        <v/>
      </c>
      <c r="CW42" s="19">
        <f>'Grid_Stock'!CN19</f>
        <v/>
      </c>
      <c r="CX42" s="19">
        <f>'Grid_Stock'!CO19</f>
        <v/>
      </c>
      <c r="CY42" s="19">
        <f>'Grid_Stock'!CP19</f>
        <v/>
      </c>
      <c r="CZ42" s="19">
        <f>'Grid_Stock'!CQ19</f>
        <v/>
      </c>
      <c r="DA42" s="19">
        <f>'Grid_Stock'!CR19</f>
        <v/>
      </c>
      <c r="DB42" s="19">
        <f>'Grid_Stock'!CS19</f>
        <v/>
      </c>
      <c r="DC42" s="19">
        <f>'Grid_Stock'!CT19</f>
        <v/>
      </c>
      <c r="DD42" s="19">
        <f>'Grid_Stock'!CU19</f>
        <v/>
      </c>
      <c r="DE42" s="19">
        <f>'Grid_Stock'!CV19</f>
        <v/>
      </c>
      <c r="DF42" s="19">
        <f>'Grid_Stock'!CW19</f>
        <v/>
      </c>
      <c r="DG42" s="19">
        <f>'Grid_Stock'!CX19</f>
        <v/>
      </c>
      <c r="DH42" s="19">
        <f>'Grid_Stock'!CY19</f>
        <v/>
      </c>
      <c r="DI42" s="19">
        <f>'Grid_Stock'!CZ19</f>
        <v/>
      </c>
      <c r="DJ42" s="19">
        <f>'Grid_Stock'!DA19</f>
        <v/>
      </c>
    </row>
    <row r="43">
      <c r="A43" s="17" t="inlineStr">
        <is>
          <t>73K</t>
        </is>
      </c>
      <c r="B43" s="17">
        <f>IFERROR(INDEX(M_RawMaterials[Description],MATCH($A43,M_RawMaterials[Part Name],0)),"")</f>
        <v/>
      </c>
      <c r="C43" s="17">
        <f>IFERROR(INDEX(M_RawMaterials[Category],MATCH($A43,M_RawMaterials[Part Name],0)),"")</f>
        <v/>
      </c>
      <c r="D43" s="17">
        <f>IFERROR(INDEX(M_RawMaterials[基準在庫下限_要入力],MATCH($A43,M_RawMaterials[Part Name],0)),0)</f>
        <v/>
      </c>
      <c r="E43" s="17">
        <f>IFERROR(INDEX(M_RawMaterials[基準在庫上限_要入力],MATCH($A43,M_RawMaterials[Part Name],0)),0)</f>
        <v/>
      </c>
      <c r="F43" s="17">
        <f>IFERROR(LOOKUP(2,1/('T_SelfStock'!$B$24:$DA$24&lt;&gt;""),'T_SelfStock'!$B$24:$DA$24),"")</f>
        <v/>
      </c>
      <c r="G43" s="17">
        <f>IFERROR(LOOKUP(2,1/('T_TTAFStock'!$B$24:$DA$24&lt;&gt;""),'T_TTAFStock'!$B$24:$DA$24),"")</f>
        <v/>
      </c>
      <c r="H43" s="17">
        <f>IFERROR(LOOKUP(2,1/('T_SelfStock'!$B$24:$DA$24&lt;&gt;""),'T_SelfStock'!$B$5:$DA$5),"")</f>
        <v/>
      </c>
      <c r="I43" s="18" t="inlineStr">
        <is>
          <t>理論在庫</t>
        </is>
      </c>
      <c r="J43" s="17">
        <f>IFERROR(INDEX('Grid_Stock'!$A20:$DA20,1,LOOKUP(2,1/('T_SelfStock'!$B$24:$DA$24&lt;&gt;""),COLUMN('T_SelfStock'!$B$24:$DA$24)))-INDEX('Grid_TheoreticalStock'!$A20:$DA20,1,LOOKUP(2,1/('T_SelfStock'!$B$24:$DA$24&lt;&gt;""),COLUMN('T_SelfStock'!$B$24:$DA$24))),0)</f>
        <v/>
      </c>
      <c r="K43" s="18">
        <f>'Grid_TheoreticalStock'!B20</f>
        <v/>
      </c>
      <c r="L43" s="18">
        <f>'Grid_TheoreticalStock'!C20</f>
        <v/>
      </c>
      <c r="M43" s="18">
        <f>'Grid_TheoreticalStock'!D20</f>
        <v/>
      </c>
      <c r="N43" s="18">
        <f>'Grid_TheoreticalStock'!E20</f>
        <v/>
      </c>
      <c r="O43" s="18">
        <f>'Grid_TheoreticalStock'!F20</f>
        <v/>
      </c>
      <c r="P43" s="18">
        <f>'Grid_TheoreticalStock'!G20</f>
        <v/>
      </c>
      <c r="Q43" s="18">
        <f>'Grid_TheoreticalStock'!H20</f>
        <v/>
      </c>
      <c r="R43" s="18">
        <f>'Grid_TheoreticalStock'!I20</f>
        <v/>
      </c>
      <c r="S43" s="18">
        <f>'Grid_TheoreticalStock'!J20</f>
        <v/>
      </c>
      <c r="T43" s="18">
        <f>'Grid_TheoreticalStock'!K20</f>
        <v/>
      </c>
      <c r="U43" s="18">
        <f>'Grid_TheoreticalStock'!L20</f>
        <v/>
      </c>
      <c r="V43" s="18">
        <f>'Grid_TheoreticalStock'!M20</f>
        <v/>
      </c>
      <c r="W43" s="18">
        <f>'Grid_TheoreticalStock'!N20</f>
        <v/>
      </c>
      <c r="X43" s="18">
        <f>'Grid_TheoreticalStock'!O20</f>
        <v/>
      </c>
      <c r="Y43" s="18">
        <f>'Grid_TheoreticalStock'!P20</f>
        <v/>
      </c>
      <c r="Z43" s="18">
        <f>'Grid_TheoreticalStock'!Q20</f>
        <v/>
      </c>
      <c r="AA43" s="18">
        <f>'Grid_TheoreticalStock'!R20</f>
        <v/>
      </c>
      <c r="AB43" s="18">
        <f>'Grid_TheoreticalStock'!S20</f>
        <v/>
      </c>
      <c r="AC43" s="18">
        <f>'Grid_TheoreticalStock'!T20</f>
        <v/>
      </c>
      <c r="AD43" s="18">
        <f>'Grid_TheoreticalStock'!U20</f>
        <v/>
      </c>
      <c r="AE43" s="18">
        <f>'Grid_TheoreticalStock'!V20</f>
        <v/>
      </c>
      <c r="AF43" s="18">
        <f>'Grid_TheoreticalStock'!W20</f>
        <v/>
      </c>
      <c r="AG43" s="18">
        <f>'Grid_TheoreticalStock'!X20</f>
        <v/>
      </c>
      <c r="AH43" s="18">
        <f>'Grid_TheoreticalStock'!Y20</f>
        <v/>
      </c>
      <c r="AI43" s="18">
        <f>'Grid_TheoreticalStock'!Z20</f>
        <v/>
      </c>
      <c r="AJ43" s="18">
        <f>'Grid_TheoreticalStock'!AA20</f>
        <v/>
      </c>
      <c r="AK43" s="18">
        <f>'Grid_TheoreticalStock'!AB20</f>
        <v/>
      </c>
      <c r="AL43" s="18">
        <f>'Grid_TheoreticalStock'!AC20</f>
        <v/>
      </c>
      <c r="AM43" s="18">
        <f>'Grid_TheoreticalStock'!AD20</f>
        <v/>
      </c>
      <c r="AN43" s="18">
        <f>'Grid_TheoreticalStock'!AE20</f>
        <v/>
      </c>
      <c r="AO43" s="18">
        <f>'Grid_TheoreticalStock'!AF20</f>
        <v/>
      </c>
      <c r="AP43" s="18">
        <f>'Grid_TheoreticalStock'!AG20</f>
        <v/>
      </c>
      <c r="AQ43" s="18">
        <f>'Grid_TheoreticalStock'!AH20</f>
        <v/>
      </c>
      <c r="AR43" s="18">
        <f>'Grid_TheoreticalStock'!AI20</f>
        <v/>
      </c>
      <c r="AS43" s="18">
        <f>'Grid_TheoreticalStock'!AJ20</f>
        <v/>
      </c>
      <c r="AT43" s="18">
        <f>'Grid_TheoreticalStock'!AK20</f>
        <v/>
      </c>
      <c r="AU43" s="18">
        <f>'Grid_TheoreticalStock'!AL20</f>
        <v/>
      </c>
      <c r="AV43" s="18">
        <f>'Grid_TheoreticalStock'!AM20</f>
        <v/>
      </c>
      <c r="AW43" s="18">
        <f>'Grid_TheoreticalStock'!AN20</f>
        <v/>
      </c>
      <c r="AX43" s="18">
        <f>'Grid_TheoreticalStock'!AO20</f>
        <v/>
      </c>
      <c r="AY43" s="18">
        <f>'Grid_TheoreticalStock'!AP20</f>
        <v/>
      </c>
      <c r="AZ43" s="18">
        <f>'Grid_TheoreticalStock'!AQ20</f>
        <v/>
      </c>
      <c r="BA43" s="18">
        <f>'Grid_TheoreticalStock'!AR20</f>
        <v/>
      </c>
      <c r="BB43" s="18">
        <f>'Grid_TheoreticalStock'!AS20</f>
        <v/>
      </c>
      <c r="BC43" s="18">
        <f>'Grid_TheoreticalStock'!AT20</f>
        <v/>
      </c>
      <c r="BD43" s="18">
        <f>'Grid_TheoreticalStock'!AU20</f>
        <v/>
      </c>
      <c r="BE43" s="18">
        <f>'Grid_TheoreticalStock'!AV20</f>
        <v/>
      </c>
      <c r="BF43" s="18">
        <f>'Grid_TheoreticalStock'!AW20</f>
        <v/>
      </c>
      <c r="BG43" s="18">
        <f>'Grid_TheoreticalStock'!AX20</f>
        <v/>
      </c>
      <c r="BH43" s="18">
        <f>'Grid_TheoreticalStock'!AY20</f>
        <v/>
      </c>
      <c r="BI43" s="18">
        <f>'Grid_TheoreticalStock'!AZ20</f>
        <v/>
      </c>
      <c r="BJ43" s="18">
        <f>'Grid_TheoreticalStock'!BA20</f>
        <v/>
      </c>
      <c r="BK43" s="18">
        <f>'Grid_TheoreticalStock'!BB20</f>
        <v/>
      </c>
      <c r="BL43" s="18">
        <f>'Grid_TheoreticalStock'!BC20</f>
        <v/>
      </c>
      <c r="BM43" s="18">
        <f>'Grid_TheoreticalStock'!BD20</f>
        <v/>
      </c>
      <c r="BN43" s="18">
        <f>'Grid_TheoreticalStock'!BE20</f>
        <v/>
      </c>
      <c r="BO43" s="18">
        <f>'Grid_TheoreticalStock'!BF20</f>
        <v/>
      </c>
      <c r="BP43" s="18">
        <f>'Grid_TheoreticalStock'!BG20</f>
        <v/>
      </c>
      <c r="BQ43" s="18">
        <f>'Grid_TheoreticalStock'!BH20</f>
        <v/>
      </c>
      <c r="BR43" s="18">
        <f>'Grid_TheoreticalStock'!BI20</f>
        <v/>
      </c>
      <c r="BS43" s="18">
        <f>'Grid_TheoreticalStock'!BJ20</f>
        <v/>
      </c>
      <c r="BT43" s="18">
        <f>'Grid_TheoreticalStock'!BK20</f>
        <v/>
      </c>
      <c r="BU43" s="18">
        <f>'Grid_TheoreticalStock'!BL20</f>
        <v/>
      </c>
      <c r="BV43" s="18">
        <f>'Grid_TheoreticalStock'!BM20</f>
        <v/>
      </c>
      <c r="BW43" s="18">
        <f>'Grid_TheoreticalStock'!BN20</f>
        <v/>
      </c>
      <c r="BX43" s="18">
        <f>'Grid_TheoreticalStock'!BO20</f>
        <v/>
      </c>
      <c r="BY43" s="18">
        <f>'Grid_TheoreticalStock'!BP20</f>
        <v/>
      </c>
      <c r="BZ43" s="18">
        <f>'Grid_TheoreticalStock'!BQ20</f>
        <v/>
      </c>
      <c r="CA43" s="18">
        <f>'Grid_TheoreticalStock'!BR20</f>
        <v/>
      </c>
      <c r="CB43" s="18">
        <f>'Grid_TheoreticalStock'!BS20</f>
        <v/>
      </c>
      <c r="CC43" s="18">
        <f>'Grid_TheoreticalStock'!BT20</f>
        <v/>
      </c>
      <c r="CD43" s="18">
        <f>'Grid_TheoreticalStock'!BU20</f>
        <v/>
      </c>
      <c r="CE43" s="18">
        <f>'Grid_TheoreticalStock'!BV20</f>
        <v/>
      </c>
      <c r="CF43" s="18">
        <f>'Grid_TheoreticalStock'!BW20</f>
        <v/>
      </c>
      <c r="CG43" s="18">
        <f>'Grid_TheoreticalStock'!BX20</f>
        <v/>
      </c>
      <c r="CH43" s="18">
        <f>'Grid_TheoreticalStock'!BY20</f>
        <v/>
      </c>
      <c r="CI43" s="18">
        <f>'Grid_TheoreticalStock'!BZ20</f>
        <v/>
      </c>
      <c r="CJ43" s="18">
        <f>'Grid_TheoreticalStock'!CA20</f>
        <v/>
      </c>
      <c r="CK43" s="18">
        <f>'Grid_TheoreticalStock'!CB20</f>
        <v/>
      </c>
      <c r="CL43" s="18">
        <f>'Grid_TheoreticalStock'!CC20</f>
        <v/>
      </c>
      <c r="CM43" s="18">
        <f>'Grid_TheoreticalStock'!CD20</f>
        <v/>
      </c>
      <c r="CN43" s="18">
        <f>'Grid_TheoreticalStock'!CE20</f>
        <v/>
      </c>
      <c r="CO43" s="18">
        <f>'Grid_TheoreticalStock'!CF20</f>
        <v/>
      </c>
      <c r="CP43" s="18">
        <f>'Grid_TheoreticalStock'!CG20</f>
        <v/>
      </c>
      <c r="CQ43" s="18">
        <f>'Grid_TheoreticalStock'!CH20</f>
        <v/>
      </c>
      <c r="CR43" s="18">
        <f>'Grid_TheoreticalStock'!CI20</f>
        <v/>
      </c>
      <c r="CS43" s="18">
        <f>'Grid_TheoreticalStock'!CJ20</f>
        <v/>
      </c>
      <c r="CT43" s="18">
        <f>'Grid_TheoreticalStock'!CK20</f>
        <v/>
      </c>
      <c r="CU43" s="18">
        <f>'Grid_TheoreticalStock'!CL20</f>
        <v/>
      </c>
      <c r="CV43" s="18">
        <f>'Grid_TheoreticalStock'!CM20</f>
        <v/>
      </c>
      <c r="CW43" s="18">
        <f>'Grid_TheoreticalStock'!CN20</f>
        <v/>
      </c>
      <c r="CX43" s="18">
        <f>'Grid_TheoreticalStock'!CO20</f>
        <v/>
      </c>
      <c r="CY43" s="18">
        <f>'Grid_TheoreticalStock'!CP20</f>
        <v/>
      </c>
      <c r="CZ43" s="18">
        <f>'Grid_TheoreticalStock'!CQ20</f>
        <v/>
      </c>
      <c r="DA43" s="18">
        <f>'Grid_TheoreticalStock'!CR20</f>
        <v/>
      </c>
      <c r="DB43" s="18">
        <f>'Grid_TheoreticalStock'!CS20</f>
        <v/>
      </c>
      <c r="DC43" s="18">
        <f>'Grid_TheoreticalStock'!CT20</f>
        <v/>
      </c>
      <c r="DD43" s="18">
        <f>'Grid_TheoreticalStock'!CU20</f>
        <v/>
      </c>
      <c r="DE43" s="18">
        <f>'Grid_TheoreticalStock'!CV20</f>
        <v/>
      </c>
      <c r="DF43" s="18">
        <f>'Grid_TheoreticalStock'!CW20</f>
        <v/>
      </c>
      <c r="DG43" s="18">
        <f>'Grid_TheoreticalStock'!CX20</f>
        <v/>
      </c>
      <c r="DH43" s="18">
        <f>'Grid_TheoreticalStock'!CY20</f>
        <v/>
      </c>
      <c r="DI43" s="18">
        <f>'Grid_TheoreticalStock'!CZ20</f>
        <v/>
      </c>
      <c r="DJ43" s="18">
        <f>'Grid_TheoreticalStock'!DA20</f>
        <v/>
      </c>
    </row>
    <row r="44">
      <c r="A44" s="19" t="inlineStr">
        <is>
          <t>73K</t>
        </is>
      </c>
      <c r="B44" s="19">
        <f>IFERROR(INDEX(M_RawMaterials[Description],MATCH($A44,M_RawMaterials[Part Name],0)),"")</f>
        <v/>
      </c>
      <c r="C44" s="19">
        <f>IFERROR(INDEX(M_RawMaterials[Category],MATCH($A44,M_RawMaterials[Part Name],0)),"")</f>
        <v/>
      </c>
      <c r="D44" s="19">
        <f>IFERROR(INDEX(M_RawMaterials[基準在庫下限_要入力],MATCH($A44,M_RawMaterials[Part Name],0)),0)</f>
        <v/>
      </c>
      <c r="E44" s="19">
        <f>IFERROR(INDEX(M_RawMaterials[基準在庫上限_要入力],MATCH($A44,M_RawMaterials[Part Name],0)),0)</f>
        <v/>
      </c>
      <c r="F44" s="19">
        <f>IFERROR(LOOKUP(2,1/('T_SelfStock'!$B$24:$DA$24&lt;&gt;""),'T_SelfStock'!$B$24:$DA$24),"")</f>
        <v/>
      </c>
      <c r="G44" s="19">
        <f>IFERROR(LOOKUP(2,1/('T_TTAFStock'!$B$24:$DA$24&lt;&gt;""),'T_TTAFStock'!$B$24:$DA$24),"")</f>
        <v/>
      </c>
      <c r="H44" s="19">
        <f>IFERROR(LOOKUP(2,1/('T_SelfStock'!$B$24:$DA$24&lt;&gt;""),'T_SelfStock'!$B$5:$DA$5),"")</f>
        <v/>
      </c>
      <c r="I44" s="20" t="inlineStr">
        <is>
          <t>実在庫</t>
        </is>
      </c>
      <c r="J44" s="19">
        <f>IFERROR(INDEX('Grid_Stock'!$A20:$DA20,1,LOOKUP(2,1/('T_SelfStock'!$B$24:$DA$24&lt;&gt;""),COLUMN('T_SelfStock'!$B$24:$DA$24)))-INDEX('Grid_TheoreticalStock'!$A20:$DA20,1,LOOKUP(2,1/('T_SelfStock'!$B$24:$DA$24&lt;&gt;""),COLUMN('T_SelfStock'!$B$24:$DA$24))),0)</f>
        <v/>
      </c>
      <c r="K44" s="19">
        <f>'Grid_Stock'!B20</f>
        <v/>
      </c>
      <c r="L44" s="19">
        <f>'Grid_Stock'!C20</f>
        <v/>
      </c>
      <c r="M44" s="19">
        <f>'Grid_Stock'!D20</f>
        <v/>
      </c>
      <c r="N44" s="19">
        <f>'Grid_Stock'!E20</f>
        <v/>
      </c>
      <c r="O44" s="19">
        <f>'Grid_Stock'!F20</f>
        <v/>
      </c>
      <c r="P44" s="19">
        <f>'Grid_Stock'!G20</f>
        <v/>
      </c>
      <c r="Q44" s="19">
        <f>'Grid_Stock'!H20</f>
        <v/>
      </c>
      <c r="R44" s="19">
        <f>'Grid_Stock'!I20</f>
        <v/>
      </c>
      <c r="S44" s="19">
        <f>'Grid_Stock'!J20</f>
        <v/>
      </c>
      <c r="T44" s="19">
        <f>'Grid_Stock'!K20</f>
        <v/>
      </c>
      <c r="U44" s="19">
        <f>'Grid_Stock'!L20</f>
        <v/>
      </c>
      <c r="V44" s="19">
        <f>'Grid_Stock'!M20</f>
        <v/>
      </c>
      <c r="W44" s="19">
        <f>'Grid_Stock'!N20</f>
        <v/>
      </c>
      <c r="X44" s="19">
        <f>'Grid_Stock'!O20</f>
        <v/>
      </c>
      <c r="Y44" s="19">
        <f>'Grid_Stock'!P20</f>
        <v/>
      </c>
      <c r="Z44" s="19">
        <f>'Grid_Stock'!Q20</f>
        <v/>
      </c>
      <c r="AA44" s="19">
        <f>'Grid_Stock'!R20</f>
        <v/>
      </c>
      <c r="AB44" s="19">
        <f>'Grid_Stock'!S20</f>
        <v/>
      </c>
      <c r="AC44" s="19">
        <f>'Grid_Stock'!T20</f>
        <v/>
      </c>
      <c r="AD44" s="19">
        <f>'Grid_Stock'!U20</f>
        <v/>
      </c>
      <c r="AE44" s="19">
        <f>'Grid_Stock'!V20</f>
        <v/>
      </c>
      <c r="AF44" s="19">
        <f>'Grid_Stock'!W20</f>
        <v/>
      </c>
      <c r="AG44" s="19">
        <f>'Grid_Stock'!X20</f>
        <v/>
      </c>
      <c r="AH44" s="19">
        <f>'Grid_Stock'!Y20</f>
        <v/>
      </c>
      <c r="AI44" s="19">
        <f>'Grid_Stock'!Z20</f>
        <v/>
      </c>
      <c r="AJ44" s="19">
        <f>'Grid_Stock'!AA20</f>
        <v/>
      </c>
      <c r="AK44" s="19">
        <f>'Grid_Stock'!AB20</f>
        <v/>
      </c>
      <c r="AL44" s="19">
        <f>'Grid_Stock'!AC20</f>
        <v/>
      </c>
      <c r="AM44" s="19">
        <f>'Grid_Stock'!AD20</f>
        <v/>
      </c>
      <c r="AN44" s="19">
        <f>'Grid_Stock'!AE20</f>
        <v/>
      </c>
      <c r="AO44" s="19">
        <f>'Grid_Stock'!AF20</f>
        <v/>
      </c>
      <c r="AP44" s="19">
        <f>'Grid_Stock'!AG20</f>
        <v/>
      </c>
      <c r="AQ44" s="19">
        <f>'Grid_Stock'!AH20</f>
        <v/>
      </c>
      <c r="AR44" s="19">
        <f>'Grid_Stock'!AI20</f>
        <v/>
      </c>
      <c r="AS44" s="19">
        <f>'Grid_Stock'!AJ20</f>
        <v/>
      </c>
      <c r="AT44" s="19">
        <f>'Grid_Stock'!AK20</f>
        <v/>
      </c>
      <c r="AU44" s="19">
        <f>'Grid_Stock'!AL20</f>
        <v/>
      </c>
      <c r="AV44" s="19">
        <f>'Grid_Stock'!AM20</f>
        <v/>
      </c>
      <c r="AW44" s="19">
        <f>'Grid_Stock'!AN20</f>
        <v/>
      </c>
      <c r="AX44" s="19">
        <f>'Grid_Stock'!AO20</f>
        <v/>
      </c>
      <c r="AY44" s="19">
        <f>'Grid_Stock'!AP20</f>
        <v/>
      </c>
      <c r="AZ44" s="19">
        <f>'Grid_Stock'!AQ20</f>
        <v/>
      </c>
      <c r="BA44" s="19">
        <f>'Grid_Stock'!AR20</f>
        <v/>
      </c>
      <c r="BB44" s="19">
        <f>'Grid_Stock'!AS20</f>
        <v/>
      </c>
      <c r="BC44" s="19">
        <f>'Grid_Stock'!AT20</f>
        <v/>
      </c>
      <c r="BD44" s="19">
        <f>'Grid_Stock'!AU20</f>
        <v/>
      </c>
      <c r="BE44" s="19">
        <f>'Grid_Stock'!AV20</f>
        <v/>
      </c>
      <c r="BF44" s="19">
        <f>'Grid_Stock'!AW20</f>
        <v/>
      </c>
      <c r="BG44" s="19">
        <f>'Grid_Stock'!AX20</f>
        <v/>
      </c>
      <c r="BH44" s="19">
        <f>'Grid_Stock'!AY20</f>
        <v/>
      </c>
      <c r="BI44" s="19">
        <f>'Grid_Stock'!AZ20</f>
        <v/>
      </c>
      <c r="BJ44" s="19">
        <f>'Grid_Stock'!BA20</f>
        <v/>
      </c>
      <c r="BK44" s="19">
        <f>'Grid_Stock'!BB20</f>
        <v/>
      </c>
      <c r="BL44" s="19">
        <f>'Grid_Stock'!BC20</f>
        <v/>
      </c>
      <c r="BM44" s="19">
        <f>'Grid_Stock'!BD20</f>
        <v/>
      </c>
      <c r="BN44" s="19">
        <f>'Grid_Stock'!BE20</f>
        <v/>
      </c>
      <c r="BO44" s="19">
        <f>'Grid_Stock'!BF20</f>
        <v/>
      </c>
      <c r="BP44" s="19">
        <f>'Grid_Stock'!BG20</f>
        <v/>
      </c>
      <c r="BQ44" s="19">
        <f>'Grid_Stock'!BH20</f>
        <v/>
      </c>
      <c r="BR44" s="19">
        <f>'Grid_Stock'!BI20</f>
        <v/>
      </c>
      <c r="BS44" s="19">
        <f>'Grid_Stock'!BJ20</f>
        <v/>
      </c>
      <c r="BT44" s="19">
        <f>'Grid_Stock'!BK20</f>
        <v/>
      </c>
      <c r="BU44" s="19">
        <f>'Grid_Stock'!BL20</f>
        <v/>
      </c>
      <c r="BV44" s="19">
        <f>'Grid_Stock'!BM20</f>
        <v/>
      </c>
      <c r="BW44" s="19">
        <f>'Grid_Stock'!BN20</f>
        <v/>
      </c>
      <c r="BX44" s="19">
        <f>'Grid_Stock'!BO20</f>
        <v/>
      </c>
      <c r="BY44" s="19">
        <f>'Grid_Stock'!BP20</f>
        <v/>
      </c>
      <c r="BZ44" s="19">
        <f>'Grid_Stock'!BQ20</f>
        <v/>
      </c>
      <c r="CA44" s="19">
        <f>'Grid_Stock'!BR20</f>
        <v/>
      </c>
      <c r="CB44" s="19">
        <f>'Grid_Stock'!BS20</f>
        <v/>
      </c>
      <c r="CC44" s="19">
        <f>'Grid_Stock'!BT20</f>
        <v/>
      </c>
      <c r="CD44" s="19">
        <f>'Grid_Stock'!BU20</f>
        <v/>
      </c>
      <c r="CE44" s="19">
        <f>'Grid_Stock'!BV20</f>
        <v/>
      </c>
      <c r="CF44" s="19">
        <f>'Grid_Stock'!BW20</f>
        <v/>
      </c>
      <c r="CG44" s="19">
        <f>'Grid_Stock'!BX20</f>
        <v/>
      </c>
      <c r="CH44" s="19">
        <f>'Grid_Stock'!BY20</f>
        <v/>
      </c>
      <c r="CI44" s="19">
        <f>'Grid_Stock'!BZ20</f>
        <v/>
      </c>
      <c r="CJ44" s="19">
        <f>'Grid_Stock'!CA20</f>
        <v/>
      </c>
      <c r="CK44" s="19">
        <f>'Grid_Stock'!CB20</f>
        <v/>
      </c>
      <c r="CL44" s="19">
        <f>'Grid_Stock'!CC20</f>
        <v/>
      </c>
      <c r="CM44" s="19">
        <f>'Grid_Stock'!CD20</f>
        <v/>
      </c>
      <c r="CN44" s="19">
        <f>'Grid_Stock'!CE20</f>
        <v/>
      </c>
      <c r="CO44" s="19">
        <f>'Grid_Stock'!CF20</f>
        <v/>
      </c>
      <c r="CP44" s="19">
        <f>'Grid_Stock'!CG20</f>
        <v/>
      </c>
      <c r="CQ44" s="19">
        <f>'Grid_Stock'!CH20</f>
        <v/>
      </c>
      <c r="CR44" s="19">
        <f>'Grid_Stock'!CI20</f>
        <v/>
      </c>
      <c r="CS44" s="19">
        <f>'Grid_Stock'!CJ20</f>
        <v/>
      </c>
      <c r="CT44" s="19">
        <f>'Grid_Stock'!CK20</f>
        <v/>
      </c>
      <c r="CU44" s="19">
        <f>'Grid_Stock'!CL20</f>
        <v/>
      </c>
      <c r="CV44" s="19">
        <f>'Grid_Stock'!CM20</f>
        <v/>
      </c>
      <c r="CW44" s="19">
        <f>'Grid_Stock'!CN20</f>
        <v/>
      </c>
      <c r="CX44" s="19">
        <f>'Grid_Stock'!CO20</f>
        <v/>
      </c>
      <c r="CY44" s="19">
        <f>'Grid_Stock'!CP20</f>
        <v/>
      </c>
      <c r="CZ44" s="19">
        <f>'Grid_Stock'!CQ20</f>
        <v/>
      </c>
      <c r="DA44" s="19">
        <f>'Grid_Stock'!CR20</f>
        <v/>
      </c>
      <c r="DB44" s="19">
        <f>'Grid_Stock'!CS20</f>
        <v/>
      </c>
      <c r="DC44" s="19">
        <f>'Grid_Stock'!CT20</f>
        <v/>
      </c>
      <c r="DD44" s="19">
        <f>'Grid_Stock'!CU20</f>
        <v/>
      </c>
      <c r="DE44" s="19">
        <f>'Grid_Stock'!CV20</f>
        <v/>
      </c>
      <c r="DF44" s="19">
        <f>'Grid_Stock'!CW20</f>
        <v/>
      </c>
      <c r="DG44" s="19">
        <f>'Grid_Stock'!CX20</f>
        <v/>
      </c>
      <c r="DH44" s="19">
        <f>'Grid_Stock'!CY20</f>
        <v/>
      </c>
      <c r="DI44" s="19">
        <f>'Grid_Stock'!CZ20</f>
        <v/>
      </c>
      <c r="DJ44" s="19">
        <f>'Grid_Stock'!DA20</f>
        <v/>
      </c>
    </row>
    <row r="45">
      <c r="A45" s="17" t="inlineStr">
        <is>
          <t>1JN</t>
        </is>
      </c>
      <c r="B45" s="17">
        <f>IFERROR(INDEX(M_RawMaterials[Description],MATCH($A45,M_RawMaterials[Part Name],0)),"")</f>
        <v/>
      </c>
      <c r="C45" s="17">
        <f>IFERROR(INDEX(M_RawMaterials[Category],MATCH($A45,M_RawMaterials[Part Name],0)),"")</f>
        <v/>
      </c>
      <c r="D45" s="17">
        <f>IFERROR(INDEX(M_RawMaterials[基準在庫下限_要入力],MATCH($A45,M_RawMaterials[Part Name],0)),0)</f>
        <v/>
      </c>
      <c r="E45" s="17">
        <f>IFERROR(INDEX(M_RawMaterials[基準在庫上限_要入力],MATCH($A45,M_RawMaterials[Part Name],0)),0)</f>
        <v/>
      </c>
      <c r="F45" s="17">
        <f>IFERROR(LOOKUP(2,1/('T_SelfStock'!$B$25:$DA$25&lt;&gt;""),'T_SelfStock'!$B$25:$DA$25),"")</f>
        <v/>
      </c>
      <c r="G45" s="17">
        <f>IFERROR(LOOKUP(2,1/('T_TTAFStock'!$B$25:$DA$25&lt;&gt;""),'T_TTAFStock'!$B$25:$DA$25),"")</f>
        <v/>
      </c>
      <c r="H45" s="17">
        <f>IFERROR(LOOKUP(2,1/('T_SelfStock'!$B$25:$DA$25&lt;&gt;""),'T_SelfStock'!$B$5:$DA$5),"")</f>
        <v/>
      </c>
      <c r="I45" s="18" t="inlineStr">
        <is>
          <t>理論在庫</t>
        </is>
      </c>
      <c r="J45" s="17">
        <f>IFERROR(INDEX('Grid_Stock'!$A21:$DA21,1,LOOKUP(2,1/('T_SelfStock'!$B$25:$DA$25&lt;&gt;""),COLUMN('T_SelfStock'!$B$25:$DA$25)))-INDEX('Grid_TheoreticalStock'!$A21:$DA21,1,LOOKUP(2,1/('T_SelfStock'!$B$25:$DA$25&lt;&gt;""),COLUMN('T_SelfStock'!$B$25:$DA$25))),0)</f>
        <v/>
      </c>
      <c r="K45" s="18">
        <f>'Grid_TheoreticalStock'!B21</f>
        <v/>
      </c>
      <c r="L45" s="18">
        <f>'Grid_TheoreticalStock'!C21</f>
        <v/>
      </c>
      <c r="M45" s="18">
        <f>'Grid_TheoreticalStock'!D21</f>
        <v/>
      </c>
      <c r="N45" s="18">
        <f>'Grid_TheoreticalStock'!E21</f>
        <v/>
      </c>
      <c r="O45" s="18">
        <f>'Grid_TheoreticalStock'!F21</f>
        <v/>
      </c>
      <c r="P45" s="18">
        <f>'Grid_TheoreticalStock'!G21</f>
        <v/>
      </c>
      <c r="Q45" s="18">
        <f>'Grid_TheoreticalStock'!H21</f>
        <v/>
      </c>
      <c r="R45" s="18">
        <f>'Grid_TheoreticalStock'!I21</f>
        <v/>
      </c>
      <c r="S45" s="18">
        <f>'Grid_TheoreticalStock'!J21</f>
        <v/>
      </c>
      <c r="T45" s="18">
        <f>'Grid_TheoreticalStock'!K21</f>
        <v/>
      </c>
      <c r="U45" s="18">
        <f>'Grid_TheoreticalStock'!L21</f>
        <v/>
      </c>
      <c r="V45" s="18">
        <f>'Grid_TheoreticalStock'!M21</f>
        <v/>
      </c>
      <c r="W45" s="18">
        <f>'Grid_TheoreticalStock'!N21</f>
        <v/>
      </c>
      <c r="X45" s="18">
        <f>'Grid_TheoreticalStock'!O21</f>
        <v/>
      </c>
      <c r="Y45" s="18">
        <f>'Grid_TheoreticalStock'!P21</f>
        <v/>
      </c>
      <c r="Z45" s="18">
        <f>'Grid_TheoreticalStock'!Q21</f>
        <v/>
      </c>
      <c r="AA45" s="18">
        <f>'Grid_TheoreticalStock'!R21</f>
        <v/>
      </c>
      <c r="AB45" s="18">
        <f>'Grid_TheoreticalStock'!S21</f>
        <v/>
      </c>
      <c r="AC45" s="18">
        <f>'Grid_TheoreticalStock'!T21</f>
        <v/>
      </c>
      <c r="AD45" s="18">
        <f>'Grid_TheoreticalStock'!U21</f>
        <v/>
      </c>
      <c r="AE45" s="18">
        <f>'Grid_TheoreticalStock'!V21</f>
        <v/>
      </c>
      <c r="AF45" s="18">
        <f>'Grid_TheoreticalStock'!W21</f>
        <v/>
      </c>
      <c r="AG45" s="18">
        <f>'Grid_TheoreticalStock'!X21</f>
        <v/>
      </c>
      <c r="AH45" s="18">
        <f>'Grid_TheoreticalStock'!Y21</f>
        <v/>
      </c>
      <c r="AI45" s="18">
        <f>'Grid_TheoreticalStock'!Z21</f>
        <v/>
      </c>
      <c r="AJ45" s="18">
        <f>'Grid_TheoreticalStock'!AA21</f>
        <v/>
      </c>
      <c r="AK45" s="18">
        <f>'Grid_TheoreticalStock'!AB21</f>
        <v/>
      </c>
      <c r="AL45" s="18">
        <f>'Grid_TheoreticalStock'!AC21</f>
        <v/>
      </c>
      <c r="AM45" s="18">
        <f>'Grid_TheoreticalStock'!AD21</f>
        <v/>
      </c>
      <c r="AN45" s="18">
        <f>'Grid_TheoreticalStock'!AE21</f>
        <v/>
      </c>
      <c r="AO45" s="18">
        <f>'Grid_TheoreticalStock'!AF21</f>
        <v/>
      </c>
      <c r="AP45" s="18">
        <f>'Grid_TheoreticalStock'!AG21</f>
        <v/>
      </c>
      <c r="AQ45" s="18">
        <f>'Grid_TheoreticalStock'!AH21</f>
        <v/>
      </c>
      <c r="AR45" s="18">
        <f>'Grid_TheoreticalStock'!AI21</f>
        <v/>
      </c>
      <c r="AS45" s="18">
        <f>'Grid_TheoreticalStock'!AJ21</f>
        <v/>
      </c>
      <c r="AT45" s="18">
        <f>'Grid_TheoreticalStock'!AK21</f>
        <v/>
      </c>
      <c r="AU45" s="18">
        <f>'Grid_TheoreticalStock'!AL21</f>
        <v/>
      </c>
      <c r="AV45" s="18">
        <f>'Grid_TheoreticalStock'!AM21</f>
        <v/>
      </c>
      <c r="AW45" s="18">
        <f>'Grid_TheoreticalStock'!AN21</f>
        <v/>
      </c>
      <c r="AX45" s="18">
        <f>'Grid_TheoreticalStock'!AO21</f>
        <v/>
      </c>
      <c r="AY45" s="18">
        <f>'Grid_TheoreticalStock'!AP21</f>
        <v/>
      </c>
      <c r="AZ45" s="18">
        <f>'Grid_TheoreticalStock'!AQ21</f>
        <v/>
      </c>
      <c r="BA45" s="18">
        <f>'Grid_TheoreticalStock'!AR21</f>
        <v/>
      </c>
      <c r="BB45" s="18">
        <f>'Grid_TheoreticalStock'!AS21</f>
        <v/>
      </c>
      <c r="BC45" s="18">
        <f>'Grid_TheoreticalStock'!AT21</f>
        <v/>
      </c>
      <c r="BD45" s="18">
        <f>'Grid_TheoreticalStock'!AU21</f>
        <v/>
      </c>
      <c r="BE45" s="18">
        <f>'Grid_TheoreticalStock'!AV21</f>
        <v/>
      </c>
      <c r="BF45" s="18">
        <f>'Grid_TheoreticalStock'!AW21</f>
        <v/>
      </c>
      <c r="BG45" s="18">
        <f>'Grid_TheoreticalStock'!AX21</f>
        <v/>
      </c>
      <c r="BH45" s="18">
        <f>'Grid_TheoreticalStock'!AY21</f>
        <v/>
      </c>
      <c r="BI45" s="18">
        <f>'Grid_TheoreticalStock'!AZ21</f>
        <v/>
      </c>
      <c r="BJ45" s="18">
        <f>'Grid_TheoreticalStock'!BA21</f>
        <v/>
      </c>
      <c r="BK45" s="18">
        <f>'Grid_TheoreticalStock'!BB21</f>
        <v/>
      </c>
      <c r="BL45" s="18">
        <f>'Grid_TheoreticalStock'!BC21</f>
        <v/>
      </c>
      <c r="BM45" s="18">
        <f>'Grid_TheoreticalStock'!BD21</f>
        <v/>
      </c>
      <c r="BN45" s="18">
        <f>'Grid_TheoreticalStock'!BE21</f>
        <v/>
      </c>
      <c r="BO45" s="18">
        <f>'Grid_TheoreticalStock'!BF21</f>
        <v/>
      </c>
      <c r="BP45" s="18">
        <f>'Grid_TheoreticalStock'!BG21</f>
        <v/>
      </c>
      <c r="BQ45" s="18">
        <f>'Grid_TheoreticalStock'!BH21</f>
        <v/>
      </c>
      <c r="BR45" s="18">
        <f>'Grid_TheoreticalStock'!BI21</f>
        <v/>
      </c>
      <c r="BS45" s="18">
        <f>'Grid_TheoreticalStock'!BJ21</f>
        <v/>
      </c>
      <c r="BT45" s="18">
        <f>'Grid_TheoreticalStock'!BK21</f>
        <v/>
      </c>
      <c r="BU45" s="18">
        <f>'Grid_TheoreticalStock'!BL21</f>
        <v/>
      </c>
      <c r="BV45" s="18">
        <f>'Grid_TheoreticalStock'!BM21</f>
        <v/>
      </c>
      <c r="BW45" s="18">
        <f>'Grid_TheoreticalStock'!BN21</f>
        <v/>
      </c>
      <c r="BX45" s="18">
        <f>'Grid_TheoreticalStock'!BO21</f>
        <v/>
      </c>
      <c r="BY45" s="18">
        <f>'Grid_TheoreticalStock'!BP21</f>
        <v/>
      </c>
      <c r="BZ45" s="18">
        <f>'Grid_TheoreticalStock'!BQ21</f>
        <v/>
      </c>
      <c r="CA45" s="18">
        <f>'Grid_TheoreticalStock'!BR21</f>
        <v/>
      </c>
      <c r="CB45" s="18">
        <f>'Grid_TheoreticalStock'!BS21</f>
        <v/>
      </c>
      <c r="CC45" s="18">
        <f>'Grid_TheoreticalStock'!BT21</f>
        <v/>
      </c>
      <c r="CD45" s="18">
        <f>'Grid_TheoreticalStock'!BU21</f>
        <v/>
      </c>
      <c r="CE45" s="18">
        <f>'Grid_TheoreticalStock'!BV21</f>
        <v/>
      </c>
      <c r="CF45" s="18">
        <f>'Grid_TheoreticalStock'!BW21</f>
        <v/>
      </c>
      <c r="CG45" s="18">
        <f>'Grid_TheoreticalStock'!BX21</f>
        <v/>
      </c>
      <c r="CH45" s="18">
        <f>'Grid_TheoreticalStock'!BY21</f>
        <v/>
      </c>
      <c r="CI45" s="18">
        <f>'Grid_TheoreticalStock'!BZ21</f>
        <v/>
      </c>
      <c r="CJ45" s="18">
        <f>'Grid_TheoreticalStock'!CA21</f>
        <v/>
      </c>
      <c r="CK45" s="18">
        <f>'Grid_TheoreticalStock'!CB21</f>
        <v/>
      </c>
      <c r="CL45" s="18">
        <f>'Grid_TheoreticalStock'!CC21</f>
        <v/>
      </c>
      <c r="CM45" s="18">
        <f>'Grid_TheoreticalStock'!CD21</f>
        <v/>
      </c>
      <c r="CN45" s="18">
        <f>'Grid_TheoreticalStock'!CE21</f>
        <v/>
      </c>
      <c r="CO45" s="18">
        <f>'Grid_TheoreticalStock'!CF21</f>
        <v/>
      </c>
      <c r="CP45" s="18">
        <f>'Grid_TheoreticalStock'!CG21</f>
        <v/>
      </c>
      <c r="CQ45" s="18">
        <f>'Grid_TheoreticalStock'!CH21</f>
        <v/>
      </c>
      <c r="CR45" s="18">
        <f>'Grid_TheoreticalStock'!CI21</f>
        <v/>
      </c>
      <c r="CS45" s="18">
        <f>'Grid_TheoreticalStock'!CJ21</f>
        <v/>
      </c>
      <c r="CT45" s="18">
        <f>'Grid_TheoreticalStock'!CK21</f>
        <v/>
      </c>
      <c r="CU45" s="18">
        <f>'Grid_TheoreticalStock'!CL21</f>
        <v/>
      </c>
      <c r="CV45" s="18">
        <f>'Grid_TheoreticalStock'!CM21</f>
        <v/>
      </c>
      <c r="CW45" s="18">
        <f>'Grid_TheoreticalStock'!CN21</f>
        <v/>
      </c>
      <c r="CX45" s="18">
        <f>'Grid_TheoreticalStock'!CO21</f>
        <v/>
      </c>
      <c r="CY45" s="18">
        <f>'Grid_TheoreticalStock'!CP21</f>
        <v/>
      </c>
      <c r="CZ45" s="18">
        <f>'Grid_TheoreticalStock'!CQ21</f>
        <v/>
      </c>
      <c r="DA45" s="18">
        <f>'Grid_TheoreticalStock'!CR21</f>
        <v/>
      </c>
      <c r="DB45" s="18">
        <f>'Grid_TheoreticalStock'!CS21</f>
        <v/>
      </c>
      <c r="DC45" s="18">
        <f>'Grid_TheoreticalStock'!CT21</f>
        <v/>
      </c>
      <c r="DD45" s="18">
        <f>'Grid_TheoreticalStock'!CU21</f>
        <v/>
      </c>
      <c r="DE45" s="18">
        <f>'Grid_TheoreticalStock'!CV21</f>
        <v/>
      </c>
      <c r="DF45" s="18">
        <f>'Grid_TheoreticalStock'!CW21</f>
        <v/>
      </c>
      <c r="DG45" s="18">
        <f>'Grid_TheoreticalStock'!CX21</f>
        <v/>
      </c>
      <c r="DH45" s="18">
        <f>'Grid_TheoreticalStock'!CY21</f>
        <v/>
      </c>
      <c r="DI45" s="18">
        <f>'Grid_TheoreticalStock'!CZ21</f>
        <v/>
      </c>
      <c r="DJ45" s="18">
        <f>'Grid_TheoreticalStock'!DA21</f>
        <v/>
      </c>
    </row>
    <row r="46">
      <c r="A46" s="19" t="inlineStr">
        <is>
          <t>1JN</t>
        </is>
      </c>
      <c r="B46" s="19">
        <f>IFERROR(INDEX(M_RawMaterials[Description],MATCH($A46,M_RawMaterials[Part Name],0)),"")</f>
        <v/>
      </c>
      <c r="C46" s="19">
        <f>IFERROR(INDEX(M_RawMaterials[Category],MATCH($A46,M_RawMaterials[Part Name],0)),"")</f>
        <v/>
      </c>
      <c r="D46" s="19">
        <f>IFERROR(INDEX(M_RawMaterials[基準在庫下限_要入力],MATCH($A46,M_RawMaterials[Part Name],0)),0)</f>
        <v/>
      </c>
      <c r="E46" s="19">
        <f>IFERROR(INDEX(M_RawMaterials[基準在庫上限_要入力],MATCH($A46,M_RawMaterials[Part Name],0)),0)</f>
        <v/>
      </c>
      <c r="F46" s="19">
        <f>IFERROR(LOOKUP(2,1/('T_SelfStock'!$B$25:$DA$25&lt;&gt;""),'T_SelfStock'!$B$25:$DA$25),"")</f>
        <v/>
      </c>
      <c r="G46" s="19">
        <f>IFERROR(LOOKUP(2,1/('T_TTAFStock'!$B$25:$DA$25&lt;&gt;""),'T_TTAFStock'!$B$25:$DA$25),"")</f>
        <v/>
      </c>
      <c r="H46" s="19">
        <f>IFERROR(LOOKUP(2,1/('T_SelfStock'!$B$25:$DA$25&lt;&gt;""),'T_SelfStock'!$B$5:$DA$5),"")</f>
        <v/>
      </c>
      <c r="I46" s="20" t="inlineStr">
        <is>
          <t>実在庫</t>
        </is>
      </c>
      <c r="J46" s="19">
        <f>IFERROR(INDEX('Grid_Stock'!$A21:$DA21,1,LOOKUP(2,1/('T_SelfStock'!$B$25:$DA$25&lt;&gt;""),COLUMN('T_SelfStock'!$B$25:$DA$25)))-INDEX('Grid_TheoreticalStock'!$A21:$DA21,1,LOOKUP(2,1/('T_SelfStock'!$B$25:$DA$25&lt;&gt;""),COLUMN('T_SelfStock'!$B$25:$DA$25))),0)</f>
        <v/>
      </c>
      <c r="K46" s="19">
        <f>'Grid_Stock'!B21</f>
        <v/>
      </c>
      <c r="L46" s="19">
        <f>'Grid_Stock'!C21</f>
        <v/>
      </c>
      <c r="M46" s="19">
        <f>'Grid_Stock'!D21</f>
        <v/>
      </c>
      <c r="N46" s="19">
        <f>'Grid_Stock'!E21</f>
        <v/>
      </c>
      <c r="O46" s="19">
        <f>'Grid_Stock'!F21</f>
        <v/>
      </c>
      <c r="P46" s="19">
        <f>'Grid_Stock'!G21</f>
        <v/>
      </c>
      <c r="Q46" s="19">
        <f>'Grid_Stock'!H21</f>
        <v/>
      </c>
      <c r="R46" s="19">
        <f>'Grid_Stock'!I21</f>
        <v/>
      </c>
      <c r="S46" s="19">
        <f>'Grid_Stock'!J21</f>
        <v/>
      </c>
      <c r="T46" s="19">
        <f>'Grid_Stock'!K21</f>
        <v/>
      </c>
      <c r="U46" s="19">
        <f>'Grid_Stock'!L21</f>
        <v/>
      </c>
      <c r="V46" s="19">
        <f>'Grid_Stock'!M21</f>
        <v/>
      </c>
      <c r="W46" s="19">
        <f>'Grid_Stock'!N21</f>
        <v/>
      </c>
      <c r="X46" s="19">
        <f>'Grid_Stock'!O21</f>
        <v/>
      </c>
      <c r="Y46" s="19">
        <f>'Grid_Stock'!P21</f>
        <v/>
      </c>
      <c r="Z46" s="19">
        <f>'Grid_Stock'!Q21</f>
        <v/>
      </c>
      <c r="AA46" s="19">
        <f>'Grid_Stock'!R21</f>
        <v/>
      </c>
      <c r="AB46" s="19">
        <f>'Grid_Stock'!S21</f>
        <v/>
      </c>
      <c r="AC46" s="19">
        <f>'Grid_Stock'!T21</f>
        <v/>
      </c>
      <c r="AD46" s="19">
        <f>'Grid_Stock'!U21</f>
        <v/>
      </c>
      <c r="AE46" s="19">
        <f>'Grid_Stock'!V21</f>
        <v/>
      </c>
      <c r="AF46" s="19">
        <f>'Grid_Stock'!W21</f>
        <v/>
      </c>
      <c r="AG46" s="19">
        <f>'Grid_Stock'!X21</f>
        <v/>
      </c>
      <c r="AH46" s="19">
        <f>'Grid_Stock'!Y21</f>
        <v/>
      </c>
      <c r="AI46" s="19">
        <f>'Grid_Stock'!Z21</f>
        <v/>
      </c>
      <c r="AJ46" s="19">
        <f>'Grid_Stock'!AA21</f>
        <v/>
      </c>
      <c r="AK46" s="19">
        <f>'Grid_Stock'!AB21</f>
        <v/>
      </c>
      <c r="AL46" s="19">
        <f>'Grid_Stock'!AC21</f>
        <v/>
      </c>
      <c r="AM46" s="19">
        <f>'Grid_Stock'!AD21</f>
        <v/>
      </c>
      <c r="AN46" s="19">
        <f>'Grid_Stock'!AE21</f>
        <v/>
      </c>
      <c r="AO46" s="19">
        <f>'Grid_Stock'!AF21</f>
        <v/>
      </c>
      <c r="AP46" s="19">
        <f>'Grid_Stock'!AG21</f>
        <v/>
      </c>
      <c r="AQ46" s="19">
        <f>'Grid_Stock'!AH21</f>
        <v/>
      </c>
      <c r="AR46" s="19">
        <f>'Grid_Stock'!AI21</f>
        <v/>
      </c>
      <c r="AS46" s="19">
        <f>'Grid_Stock'!AJ21</f>
        <v/>
      </c>
      <c r="AT46" s="19">
        <f>'Grid_Stock'!AK21</f>
        <v/>
      </c>
      <c r="AU46" s="19">
        <f>'Grid_Stock'!AL21</f>
        <v/>
      </c>
      <c r="AV46" s="19">
        <f>'Grid_Stock'!AM21</f>
        <v/>
      </c>
      <c r="AW46" s="19">
        <f>'Grid_Stock'!AN21</f>
        <v/>
      </c>
      <c r="AX46" s="19">
        <f>'Grid_Stock'!AO21</f>
        <v/>
      </c>
      <c r="AY46" s="19">
        <f>'Grid_Stock'!AP21</f>
        <v/>
      </c>
      <c r="AZ46" s="19">
        <f>'Grid_Stock'!AQ21</f>
        <v/>
      </c>
      <c r="BA46" s="19">
        <f>'Grid_Stock'!AR21</f>
        <v/>
      </c>
      <c r="BB46" s="19">
        <f>'Grid_Stock'!AS21</f>
        <v/>
      </c>
      <c r="BC46" s="19">
        <f>'Grid_Stock'!AT21</f>
        <v/>
      </c>
      <c r="BD46" s="19">
        <f>'Grid_Stock'!AU21</f>
        <v/>
      </c>
      <c r="BE46" s="19">
        <f>'Grid_Stock'!AV21</f>
        <v/>
      </c>
      <c r="BF46" s="19">
        <f>'Grid_Stock'!AW21</f>
        <v/>
      </c>
      <c r="BG46" s="19">
        <f>'Grid_Stock'!AX21</f>
        <v/>
      </c>
      <c r="BH46" s="19">
        <f>'Grid_Stock'!AY21</f>
        <v/>
      </c>
      <c r="BI46" s="19">
        <f>'Grid_Stock'!AZ21</f>
        <v/>
      </c>
      <c r="BJ46" s="19">
        <f>'Grid_Stock'!BA21</f>
        <v/>
      </c>
      <c r="BK46" s="19">
        <f>'Grid_Stock'!BB21</f>
        <v/>
      </c>
      <c r="BL46" s="19">
        <f>'Grid_Stock'!BC21</f>
        <v/>
      </c>
      <c r="BM46" s="19">
        <f>'Grid_Stock'!BD21</f>
        <v/>
      </c>
      <c r="BN46" s="19">
        <f>'Grid_Stock'!BE21</f>
        <v/>
      </c>
      <c r="BO46" s="19">
        <f>'Grid_Stock'!BF21</f>
        <v/>
      </c>
      <c r="BP46" s="19">
        <f>'Grid_Stock'!BG21</f>
        <v/>
      </c>
      <c r="BQ46" s="19">
        <f>'Grid_Stock'!BH21</f>
        <v/>
      </c>
      <c r="BR46" s="19">
        <f>'Grid_Stock'!BI21</f>
        <v/>
      </c>
      <c r="BS46" s="19">
        <f>'Grid_Stock'!BJ21</f>
        <v/>
      </c>
      <c r="BT46" s="19">
        <f>'Grid_Stock'!BK21</f>
        <v/>
      </c>
      <c r="BU46" s="19">
        <f>'Grid_Stock'!BL21</f>
        <v/>
      </c>
      <c r="BV46" s="19">
        <f>'Grid_Stock'!BM21</f>
        <v/>
      </c>
      <c r="BW46" s="19">
        <f>'Grid_Stock'!BN21</f>
        <v/>
      </c>
      <c r="BX46" s="19">
        <f>'Grid_Stock'!BO21</f>
        <v/>
      </c>
      <c r="BY46" s="19">
        <f>'Grid_Stock'!BP21</f>
        <v/>
      </c>
      <c r="BZ46" s="19">
        <f>'Grid_Stock'!BQ21</f>
        <v/>
      </c>
      <c r="CA46" s="19">
        <f>'Grid_Stock'!BR21</f>
        <v/>
      </c>
      <c r="CB46" s="19">
        <f>'Grid_Stock'!BS21</f>
        <v/>
      </c>
      <c r="CC46" s="19">
        <f>'Grid_Stock'!BT21</f>
        <v/>
      </c>
      <c r="CD46" s="19">
        <f>'Grid_Stock'!BU21</f>
        <v/>
      </c>
      <c r="CE46" s="19">
        <f>'Grid_Stock'!BV21</f>
        <v/>
      </c>
      <c r="CF46" s="19">
        <f>'Grid_Stock'!BW21</f>
        <v/>
      </c>
      <c r="CG46" s="19">
        <f>'Grid_Stock'!BX21</f>
        <v/>
      </c>
      <c r="CH46" s="19">
        <f>'Grid_Stock'!BY21</f>
        <v/>
      </c>
      <c r="CI46" s="19">
        <f>'Grid_Stock'!BZ21</f>
        <v/>
      </c>
      <c r="CJ46" s="19">
        <f>'Grid_Stock'!CA21</f>
        <v/>
      </c>
      <c r="CK46" s="19">
        <f>'Grid_Stock'!CB21</f>
        <v/>
      </c>
      <c r="CL46" s="19">
        <f>'Grid_Stock'!CC21</f>
        <v/>
      </c>
      <c r="CM46" s="19">
        <f>'Grid_Stock'!CD21</f>
        <v/>
      </c>
      <c r="CN46" s="19">
        <f>'Grid_Stock'!CE21</f>
        <v/>
      </c>
      <c r="CO46" s="19">
        <f>'Grid_Stock'!CF21</f>
        <v/>
      </c>
      <c r="CP46" s="19">
        <f>'Grid_Stock'!CG21</f>
        <v/>
      </c>
      <c r="CQ46" s="19">
        <f>'Grid_Stock'!CH21</f>
        <v/>
      </c>
      <c r="CR46" s="19">
        <f>'Grid_Stock'!CI21</f>
        <v/>
      </c>
      <c r="CS46" s="19">
        <f>'Grid_Stock'!CJ21</f>
        <v/>
      </c>
      <c r="CT46" s="19">
        <f>'Grid_Stock'!CK21</f>
        <v/>
      </c>
      <c r="CU46" s="19">
        <f>'Grid_Stock'!CL21</f>
        <v/>
      </c>
      <c r="CV46" s="19">
        <f>'Grid_Stock'!CM21</f>
        <v/>
      </c>
      <c r="CW46" s="19">
        <f>'Grid_Stock'!CN21</f>
        <v/>
      </c>
      <c r="CX46" s="19">
        <f>'Grid_Stock'!CO21</f>
        <v/>
      </c>
      <c r="CY46" s="19">
        <f>'Grid_Stock'!CP21</f>
        <v/>
      </c>
      <c r="CZ46" s="19">
        <f>'Grid_Stock'!CQ21</f>
        <v/>
      </c>
      <c r="DA46" s="19">
        <f>'Grid_Stock'!CR21</f>
        <v/>
      </c>
      <c r="DB46" s="19">
        <f>'Grid_Stock'!CS21</f>
        <v/>
      </c>
      <c r="DC46" s="19">
        <f>'Grid_Stock'!CT21</f>
        <v/>
      </c>
      <c r="DD46" s="19">
        <f>'Grid_Stock'!CU21</f>
        <v/>
      </c>
      <c r="DE46" s="19">
        <f>'Grid_Stock'!CV21</f>
        <v/>
      </c>
      <c r="DF46" s="19">
        <f>'Grid_Stock'!CW21</f>
        <v/>
      </c>
      <c r="DG46" s="19">
        <f>'Grid_Stock'!CX21</f>
        <v/>
      </c>
      <c r="DH46" s="19">
        <f>'Grid_Stock'!CY21</f>
        <v/>
      </c>
      <c r="DI46" s="19">
        <f>'Grid_Stock'!CZ21</f>
        <v/>
      </c>
      <c r="DJ46" s="19">
        <f>'Grid_Stock'!DA21</f>
        <v/>
      </c>
    </row>
    <row r="47">
      <c r="A47" s="17" t="inlineStr">
        <is>
          <t>CHEM-1670</t>
        </is>
      </c>
      <c r="B47" s="17">
        <f>IFERROR(INDEX(M_RawMaterials[Description],MATCH($A47,M_RawMaterials[Part Name],0)),"")</f>
        <v/>
      </c>
      <c r="C47" s="17">
        <f>IFERROR(INDEX(M_RawMaterials[Category],MATCH($A47,M_RawMaterials[Part Name],0)),"")</f>
        <v/>
      </c>
      <c r="D47" s="17">
        <f>IFERROR(INDEX(M_RawMaterials[基準在庫下限_要入力],MATCH($A47,M_RawMaterials[Part Name],0)),0)</f>
        <v/>
      </c>
      <c r="E47" s="17">
        <f>IFERROR(INDEX(M_RawMaterials[基準在庫上限_要入力],MATCH($A47,M_RawMaterials[Part Name],0)),0)</f>
        <v/>
      </c>
      <c r="F47" s="17">
        <f>IFERROR(LOOKUP(2,1/('T_SelfStock'!$B$26:$DA$26&lt;&gt;""),'T_SelfStock'!$B$26:$DA$26),"")</f>
        <v/>
      </c>
      <c r="G47" s="17">
        <f>IFERROR(LOOKUP(2,1/('T_TTAFStock'!$B$26:$DA$26&lt;&gt;""),'T_TTAFStock'!$B$26:$DA$26),"")</f>
        <v/>
      </c>
      <c r="H47" s="17">
        <f>IFERROR(LOOKUP(2,1/('T_SelfStock'!$B$26:$DA$26&lt;&gt;""),'T_SelfStock'!$B$5:$DA$5),"")</f>
        <v/>
      </c>
      <c r="I47" s="18" t="inlineStr">
        <is>
          <t>理論在庫</t>
        </is>
      </c>
      <c r="J47" s="17">
        <f>IFERROR(INDEX('Grid_Stock'!$A22:$DA22,1,LOOKUP(2,1/('T_SelfStock'!$B$26:$DA$26&lt;&gt;""),COLUMN('T_SelfStock'!$B$26:$DA$26)))-INDEX('Grid_TheoreticalStock'!$A22:$DA22,1,LOOKUP(2,1/('T_SelfStock'!$B$26:$DA$26&lt;&gt;""),COLUMN('T_SelfStock'!$B$26:$DA$26))),0)</f>
        <v/>
      </c>
      <c r="K47" s="18">
        <f>'Grid_TheoreticalStock'!B22</f>
        <v/>
      </c>
      <c r="L47" s="18">
        <f>'Grid_TheoreticalStock'!C22</f>
        <v/>
      </c>
      <c r="M47" s="18">
        <f>'Grid_TheoreticalStock'!D22</f>
        <v/>
      </c>
      <c r="N47" s="18">
        <f>'Grid_TheoreticalStock'!E22</f>
        <v/>
      </c>
      <c r="O47" s="18">
        <f>'Grid_TheoreticalStock'!F22</f>
        <v/>
      </c>
      <c r="P47" s="18">
        <f>'Grid_TheoreticalStock'!G22</f>
        <v/>
      </c>
      <c r="Q47" s="18">
        <f>'Grid_TheoreticalStock'!H22</f>
        <v/>
      </c>
      <c r="R47" s="18">
        <f>'Grid_TheoreticalStock'!I22</f>
        <v/>
      </c>
      <c r="S47" s="18">
        <f>'Grid_TheoreticalStock'!J22</f>
        <v/>
      </c>
      <c r="T47" s="18">
        <f>'Grid_TheoreticalStock'!K22</f>
        <v/>
      </c>
      <c r="U47" s="18">
        <f>'Grid_TheoreticalStock'!L22</f>
        <v/>
      </c>
      <c r="V47" s="18">
        <f>'Grid_TheoreticalStock'!M22</f>
        <v/>
      </c>
      <c r="W47" s="18">
        <f>'Grid_TheoreticalStock'!N22</f>
        <v/>
      </c>
      <c r="X47" s="18">
        <f>'Grid_TheoreticalStock'!O22</f>
        <v/>
      </c>
      <c r="Y47" s="18">
        <f>'Grid_TheoreticalStock'!P22</f>
        <v/>
      </c>
      <c r="Z47" s="18">
        <f>'Grid_TheoreticalStock'!Q22</f>
        <v/>
      </c>
      <c r="AA47" s="18">
        <f>'Grid_TheoreticalStock'!R22</f>
        <v/>
      </c>
      <c r="AB47" s="18">
        <f>'Grid_TheoreticalStock'!S22</f>
        <v/>
      </c>
      <c r="AC47" s="18">
        <f>'Grid_TheoreticalStock'!T22</f>
        <v/>
      </c>
      <c r="AD47" s="18">
        <f>'Grid_TheoreticalStock'!U22</f>
        <v/>
      </c>
      <c r="AE47" s="18">
        <f>'Grid_TheoreticalStock'!V22</f>
        <v/>
      </c>
      <c r="AF47" s="18">
        <f>'Grid_TheoreticalStock'!W22</f>
        <v/>
      </c>
      <c r="AG47" s="18">
        <f>'Grid_TheoreticalStock'!X22</f>
        <v/>
      </c>
      <c r="AH47" s="18">
        <f>'Grid_TheoreticalStock'!Y22</f>
        <v/>
      </c>
      <c r="AI47" s="18">
        <f>'Grid_TheoreticalStock'!Z22</f>
        <v/>
      </c>
      <c r="AJ47" s="18">
        <f>'Grid_TheoreticalStock'!AA22</f>
        <v/>
      </c>
      <c r="AK47" s="18">
        <f>'Grid_TheoreticalStock'!AB22</f>
        <v/>
      </c>
      <c r="AL47" s="18">
        <f>'Grid_TheoreticalStock'!AC22</f>
        <v/>
      </c>
      <c r="AM47" s="18">
        <f>'Grid_TheoreticalStock'!AD22</f>
        <v/>
      </c>
      <c r="AN47" s="18">
        <f>'Grid_TheoreticalStock'!AE22</f>
        <v/>
      </c>
      <c r="AO47" s="18">
        <f>'Grid_TheoreticalStock'!AF22</f>
        <v/>
      </c>
      <c r="AP47" s="18">
        <f>'Grid_TheoreticalStock'!AG22</f>
        <v/>
      </c>
      <c r="AQ47" s="18">
        <f>'Grid_TheoreticalStock'!AH22</f>
        <v/>
      </c>
      <c r="AR47" s="18">
        <f>'Grid_TheoreticalStock'!AI22</f>
        <v/>
      </c>
      <c r="AS47" s="18">
        <f>'Grid_TheoreticalStock'!AJ22</f>
        <v/>
      </c>
      <c r="AT47" s="18">
        <f>'Grid_TheoreticalStock'!AK22</f>
        <v/>
      </c>
      <c r="AU47" s="18">
        <f>'Grid_TheoreticalStock'!AL22</f>
        <v/>
      </c>
      <c r="AV47" s="18">
        <f>'Grid_TheoreticalStock'!AM22</f>
        <v/>
      </c>
      <c r="AW47" s="18">
        <f>'Grid_TheoreticalStock'!AN22</f>
        <v/>
      </c>
      <c r="AX47" s="18">
        <f>'Grid_TheoreticalStock'!AO22</f>
        <v/>
      </c>
      <c r="AY47" s="18">
        <f>'Grid_TheoreticalStock'!AP22</f>
        <v/>
      </c>
      <c r="AZ47" s="18">
        <f>'Grid_TheoreticalStock'!AQ22</f>
        <v/>
      </c>
      <c r="BA47" s="18">
        <f>'Grid_TheoreticalStock'!AR22</f>
        <v/>
      </c>
      <c r="BB47" s="18">
        <f>'Grid_TheoreticalStock'!AS22</f>
        <v/>
      </c>
      <c r="BC47" s="18">
        <f>'Grid_TheoreticalStock'!AT22</f>
        <v/>
      </c>
      <c r="BD47" s="18">
        <f>'Grid_TheoreticalStock'!AU22</f>
        <v/>
      </c>
      <c r="BE47" s="18">
        <f>'Grid_TheoreticalStock'!AV22</f>
        <v/>
      </c>
      <c r="BF47" s="18">
        <f>'Grid_TheoreticalStock'!AW22</f>
        <v/>
      </c>
      <c r="BG47" s="18">
        <f>'Grid_TheoreticalStock'!AX22</f>
        <v/>
      </c>
      <c r="BH47" s="18">
        <f>'Grid_TheoreticalStock'!AY22</f>
        <v/>
      </c>
      <c r="BI47" s="18">
        <f>'Grid_TheoreticalStock'!AZ22</f>
        <v/>
      </c>
      <c r="BJ47" s="18">
        <f>'Grid_TheoreticalStock'!BA22</f>
        <v/>
      </c>
      <c r="BK47" s="18">
        <f>'Grid_TheoreticalStock'!BB22</f>
        <v/>
      </c>
      <c r="BL47" s="18">
        <f>'Grid_TheoreticalStock'!BC22</f>
        <v/>
      </c>
      <c r="BM47" s="18">
        <f>'Grid_TheoreticalStock'!BD22</f>
        <v/>
      </c>
      <c r="BN47" s="18">
        <f>'Grid_TheoreticalStock'!BE22</f>
        <v/>
      </c>
      <c r="BO47" s="18">
        <f>'Grid_TheoreticalStock'!BF22</f>
        <v/>
      </c>
      <c r="BP47" s="18">
        <f>'Grid_TheoreticalStock'!BG22</f>
        <v/>
      </c>
      <c r="BQ47" s="18">
        <f>'Grid_TheoreticalStock'!BH22</f>
        <v/>
      </c>
      <c r="BR47" s="18">
        <f>'Grid_TheoreticalStock'!BI22</f>
        <v/>
      </c>
      <c r="BS47" s="18">
        <f>'Grid_TheoreticalStock'!BJ22</f>
        <v/>
      </c>
      <c r="BT47" s="18">
        <f>'Grid_TheoreticalStock'!BK22</f>
        <v/>
      </c>
      <c r="BU47" s="18">
        <f>'Grid_TheoreticalStock'!BL22</f>
        <v/>
      </c>
      <c r="BV47" s="18">
        <f>'Grid_TheoreticalStock'!BM22</f>
        <v/>
      </c>
      <c r="BW47" s="18">
        <f>'Grid_TheoreticalStock'!BN22</f>
        <v/>
      </c>
      <c r="BX47" s="18">
        <f>'Grid_TheoreticalStock'!BO22</f>
        <v/>
      </c>
      <c r="BY47" s="18">
        <f>'Grid_TheoreticalStock'!BP22</f>
        <v/>
      </c>
      <c r="BZ47" s="18">
        <f>'Grid_TheoreticalStock'!BQ22</f>
        <v/>
      </c>
      <c r="CA47" s="18">
        <f>'Grid_TheoreticalStock'!BR22</f>
        <v/>
      </c>
      <c r="CB47" s="18">
        <f>'Grid_TheoreticalStock'!BS22</f>
        <v/>
      </c>
      <c r="CC47" s="18">
        <f>'Grid_TheoreticalStock'!BT22</f>
        <v/>
      </c>
      <c r="CD47" s="18">
        <f>'Grid_TheoreticalStock'!BU22</f>
        <v/>
      </c>
      <c r="CE47" s="18">
        <f>'Grid_TheoreticalStock'!BV22</f>
        <v/>
      </c>
      <c r="CF47" s="18">
        <f>'Grid_TheoreticalStock'!BW22</f>
        <v/>
      </c>
      <c r="CG47" s="18">
        <f>'Grid_TheoreticalStock'!BX22</f>
        <v/>
      </c>
      <c r="CH47" s="18">
        <f>'Grid_TheoreticalStock'!BY22</f>
        <v/>
      </c>
      <c r="CI47" s="18">
        <f>'Grid_TheoreticalStock'!BZ22</f>
        <v/>
      </c>
      <c r="CJ47" s="18">
        <f>'Grid_TheoreticalStock'!CA22</f>
        <v/>
      </c>
      <c r="CK47" s="18">
        <f>'Grid_TheoreticalStock'!CB22</f>
        <v/>
      </c>
      <c r="CL47" s="18">
        <f>'Grid_TheoreticalStock'!CC22</f>
        <v/>
      </c>
      <c r="CM47" s="18">
        <f>'Grid_TheoreticalStock'!CD22</f>
        <v/>
      </c>
      <c r="CN47" s="18">
        <f>'Grid_TheoreticalStock'!CE22</f>
        <v/>
      </c>
      <c r="CO47" s="18">
        <f>'Grid_TheoreticalStock'!CF22</f>
        <v/>
      </c>
      <c r="CP47" s="18">
        <f>'Grid_TheoreticalStock'!CG22</f>
        <v/>
      </c>
      <c r="CQ47" s="18">
        <f>'Grid_TheoreticalStock'!CH22</f>
        <v/>
      </c>
      <c r="CR47" s="18">
        <f>'Grid_TheoreticalStock'!CI22</f>
        <v/>
      </c>
      <c r="CS47" s="18">
        <f>'Grid_TheoreticalStock'!CJ22</f>
        <v/>
      </c>
      <c r="CT47" s="18">
        <f>'Grid_TheoreticalStock'!CK22</f>
        <v/>
      </c>
      <c r="CU47" s="18">
        <f>'Grid_TheoreticalStock'!CL22</f>
        <v/>
      </c>
      <c r="CV47" s="18">
        <f>'Grid_TheoreticalStock'!CM22</f>
        <v/>
      </c>
      <c r="CW47" s="18">
        <f>'Grid_TheoreticalStock'!CN22</f>
        <v/>
      </c>
      <c r="CX47" s="18">
        <f>'Grid_TheoreticalStock'!CO22</f>
        <v/>
      </c>
      <c r="CY47" s="18">
        <f>'Grid_TheoreticalStock'!CP22</f>
        <v/>
      </c>
      <c r="CZ47" s="18">
        <f>'Grid_TheoreticalStock'!CQ22</f>
        <v/>
      </c>
      <c r="DA47" s="18">
        <f>'Grid_TheoreticalStock'!CR22</f>
        <v/>
      </c>
      <c r="DB47" s="18">
        <f>'Grid_TheoreticalStock'!CS22</f>
        <v/>
      </c>
      <c r="DC47" s="18">
        <f>'Grid_TheoreticalStock'!CT22</f>
        <v/>
      </c>
      <c r="DD47" s="18">
        <f>'Grid_TheoreticalStock'!CU22</f>
        <v/>
      </c>
      <c r="DE47" s="18">
        <f>'Grid_TheoreticalStock'!CV22</f>
        <v/>
      </c>
      <c r="DF47" s="18">
        <f>'Grid_TheoreticalStock'!CW22</f>
        <v/>
      </c>
      <c r="DG47" s="18">
        <f>'Grid_TheoreticalStock'!CX22</f>
        <v/>
      </c>
      <c r="DH47" s="18">
        <f>'Grid_TheoreticalStock'!CY22</f>
        <v/>
      </c>
      <c r="DI47" s="18">
        <f>'Grid_TheoreticalStock'!CZ22</f>
        <v/>
      </c>
      <c r="DJ47" s="18">
        <f>'Grid_TheoreticalStock'!DA22</f>
        <v/>
      </c>
    </row>
    <row r="48">
      <c r="A48" s="19" t="inlineStr">
        <is>
          <t>CHEM-1670</t>
        </is>
      </c>
      <c r="B48" s="19">
        <f>IFERROR(INDEX(M_RawMaterials[Description],MATCH($A48,M_RawMaterials[Part Name],0)),"")</f>
        <v/>
      </c>
      <c r="C48" s="19">
        <f>IFERROR(INDEX(M_RawMaterials[Category],MATCH($A48,M_RawMaterials[Part Name],0)),"")</f>
        <v/>
      </c>
      <c r="D48" s="19">
        <f>IFERROR(INDEX(M_RawMaterials[基準在庫下限_要入力],MATCH($A48,M_RawMaterials[Part Name],0)),0)</f>
        <v/>
      </c>
      <c r="E48" s="19">
        <f>IFERROR(INDEX(M_RawMaterials[基準在庫上限_要入力],MATCH($A48,M_RawMaterials[Part Name],0)),0)</f>
        <v/>
      </c>
      <c r="F48" s="19">
        <f>IFERROR(LOOKUP(2,1/('T_SelfStock'!$B$26:$DA$26&lt;&gt;""),'T_SelfStock'!$B$26:$DA$26),"")</f>
        <v/>
      </c>
      <c r="G48" s="19">
        <f>IFERROR(LOOKUP(2,1/('T_TTAFStock'!$B$26:$DA$26&lt;&gt;""),'T_TTAFStock'!$B$26:$DA$26),"")</f>
        <v/>
      </c>
      <c r="H48" s="19">
        <f>IFERROR(LOOKUP(2,1/('T_SelfStock'!$B$26:$DA$26&lt;&gt;""),'T_SelfStock'!$B$5:$DA$5),"")</f>
        <v/>
      </c>
      <c r="I48" s="20" t="inlineStr">
        <is>
          <t>実在庫</t>
        </is>
      </c>
      <c r="J48" s="19">
        <f>IFERROR(INDEX('Grid_Stock'!$A22:$DA22,1,LOOKUP(2,1/('T_SelfStock'!$B$26:$DA$26&lt;&gt;""),COLUMN('T_SelfStock'!$B$26:$DA$26)))-INDEX('Grid_TheoreticalStock'!$A22:$DA22,1,LOOKUP(2,1/('T_SelfStock'!$B$26:$DA$26&lt;&gt;""),COLUMN('T_SelfStock'!$B$26:$DA$26))),0)</f>
        <v/>
      </c>
      <c r="K48" s="19">
        <f>'Grid_Stock'!B22</f>
        <v/>
      </c>
      <c r="L48" s="19">
        <f>'Grid_Stock'!C22</f>
        <v/>
      </c>
      <c r="M48" s="19">
        <f>'Grid_Stock'!D22</f>
        <v/>
      </c>
      <c r="N48" s="19">
        <f>'Grid_Stock'!E22</f>
        <v/>
      </c>
      <c r="O48" s="19">
        <f>'Grid_Stock'!F22</f>
        <v/>
      </c>
      <c r="P48" s="19">
        <f>'Grid_Stock'!G22</f>
        <v/>
      </c>
      <c r="Q48" s="19">
        <f>'Grid_Stock'!H22</f>
        <v/>
      </c>
      <c r="R48" s="19">
        <f>'Grid_Stock'!I22</f>
        <v/>
      </c>
      <c r="S48" s="19">
        <f>'Grid_Stock'!J22</f>
        <v/>
      </c>
      <c r="T48" s="19">
        <f>'Grid_Stock'!K22</f>
        <v/>
      </c>
      <c r="U48" s="19">
        <f>'Grid_Stock'!L22</f>
        <v/>
      </c>
      <c r="V48" s="19">
        <f>'Grid_Stock'!M22</f>
        <v/>
      </c>
      <c r="W48" s="19">
        <f>'Grid_Stock'!N22</f>
        <v/>
      </c>
      <c r="X48" s="19">
        <f>'Grid_Stock'!O22</f>
        <v/>
      </c>
      <c r="Y48" s="19">
        <f>'Grid_Stock'!P22</f>
        <v/>
      </c>
      <c r="Z48" s="19">
        <f>'Grid_Stock'!Q22</f>
        <v/>
      </c>
      <c r="AA48" s="19">
        <f>'Grid_Stock'!R22</f>
        <v/>
      </c>
      <c r="AB48" s="19">
        <f>'Grid_Stock'!S22</f>
        <v/>
      </c>
      <c r="AC48" s="19">
        <f>'Grid_Stock'!T22</f>
        <v/>
      </c>
      <c r="AD48" s="19">
        <f>'Grid_Stock'!U22</f>
        <v/>
      </c>
      <c r="AE48" s="19">
        <f>'Grid_Stock'!V22</f>
        <v/>
      </c>
      <c r="AF48" s="19">
        <f>'Grid_Stock'!W22</f>
        <v/>
      </c>
      <c r="AG48" s="19">
        <f>'Grid_Stock'!X22</f>
        <v/>
      </c>
      <c r="AH48" s="19">
        <f>'Grid_Stock'!Y22</f>
        <v/>
      </c>
      <c r="AI48" s="19">
        <f>'Grid_Stock'!Z22</f>
        <v/>
      </c>
      <c r="AJ48" s="19">
        <f>'Grid_Stock'!AA22</f>
        <v/>
      </c>
      <c r="AK48" s="19">
        <f>'Grid_Stock'!AB22</f>
        <v/>
      </c>
      <c r="AL48" s="19">
        <f>'Grid_Stock'!AC22</f>
        <v/>
      </c>
      <c r="AM48" s="19">
        <f>'Grid_Stock'!AD22</f>
        <v/>
      </c>
      <c r="AN48" s="19">
        <f>'Grid_Stock'!AE22</f>
        <v/>
      </c>
      <c r="AO48" s="19">
        <f>'Grid_Stock'!AF22</f>
        <v/>
      </c>
      <c r="AP48" s="19">
        <f>'Grid_Stock'!AG22</f>
        <v/>
      </c>
      <c r="AQ48" s="19">
        <f>'Grid_Stock'!AH22</f>
        <v/>
      </c>
      <c r="AR48" s="19">
        <f>'Grid_Stock'!AI22</f>
        <v/>
      </c>
      <c r="AS48" s="19">
        <f>'Grid_Stock'!AJ22</f>
        <v/>
      </c>
      <c r="AT48" s="19">
        <f>'Grid_Stock'!AK22</f>
        <v/>
      </c>
      <c r="AU48" s="19">
        <f>'Grid_Stock'!AL22</f>
        <v/>
      </c>
      <c r="AV48" s="19">
        <f>'Grid_Stock'!AM22</f>
        <v/>
      </c>
      <c r="AW48" s="19">
        <f>'Grid_Stock'!AN22</f>
        <v/>
      </c>
      <c r="AX48" s="19">
        <f>'Grid_Stock'!AO22</f>
        <v/>
      </c>
      <c r="AY48" s="19">
        <f>'Grid_Stock'!AP22</f>
        <v/>
      </c>
      <c r="AZ48" s="19">
        <f>'Grid_Stock'!AQ22</f>
        <v/>
      </c>
      <c r="BA48" s="19">
        <f>'Grid_Stock'!AR22</f>
        <v/>
      </c>
      <c r="BB48" s="19">
        <f>'Grid_Stock'!AS22</f>
        <v/>
      </c>
      <c r="BC48" s="19">
        <f>'Grid_Stock'!AT22</f>
        <v/>
      </c>
      <c r="BD48" s="19">
        <f>'Grid_Stock'!AU22</f>
        <v/>
      </c>
      <c r="BE48" s="19">
        <f>'Grid_Stock'!AV22</f>
        <v/>
      </c>
      <c r="BF48" s="19">
        <f>'Grid_Stock'!AW22</f>
        <v/>
      </c>
      <c r="BG48" s="19">
        <f>'Grid_Stock'!AX22</f>
        <v/>
      </c>
      <c r="BH48" s="19">
        <f>'Grid_Stock'!AY22</f>
        <v/>
      </c>
      <c r="BI48" s="19">
        <f>'Grid_Stock'!AZ22</f>
        <v/>
      </c>
      <c r="BJ48" s="19">
        <f>'Grid_Stock'!BA22</f>
        <v/>
      </c>
      <c r="BK48" s="19">
        <f>'Grid_Stock'!BB22</f>
        <v/>
      </c>
      <c r="BL48" s="19">
        <f>'Grid_Stock'!BC22</f>
        <v/>
      </c>
      <c r="BM48" s="19">
        <f>'Grid_Stock'!BD22</f>
        <v/>
      </c>
      <c r="BN48" s="19">
        <f>'Grid_Stock'!BE22</f>
        <v/>
      </c>
      <c r="BO48" s="19">
        <f>'Grid_Stock'!BF22</f>
        <v/>
      </c>
      <c r="BP48" s="19">
        <f>'Grid_Stock'!BG22</f>
        <v/>
      </c>
      <c r="BQ48" s="19">
        <f>'Grid_Stock'!BH22</f>
        <v/>
      </c>
      <c r="BR48" s="19">
        <f>'Grid_Stock'!BI22</f>
        <v/>
      </c>
      <c r="BS48" s="19">
        <f>'Grid_Stock'!BJ22</f>
        <v/>
      </c>
      <c r="BT48" s="19">
        <f>'Grid_Stock'!BK22</f>
        <v/>
      </c>
      <c r="BU48" s="19">
        <f>'Grid_Stock'!BL22</f>
        <v/>
      </c>
      <c r="BV48" s="19">
        <f>'Grid_Stock'!BM22</f>
        <v/>
      </c>
      <c r="BW48" s="19">
        <f>'Grid_Stock'!BN22</f>
        <v/>
      </c>
      <c r="BX48" s="19">
        <f>'Grid_Stock'!BO22</f>
        <v/>
      </c>
      <c r="BY48" s="19">
        <f>'Grid_Stock'!BP22</f>
        <v/>
      </c>
      <c r="BZ48" s="19">
        <f>'Grid_Stock'!BQ22</f>
        <v/>
      </c>
      <c r="CA48" s="19">
        <f>'Grid_Stock'!BR22</f>
        <v/>
      </c>
      <c r="CB48" s="19">
        <f>'Grid_Stock'!BS22</f>
        <v/>
      </c>
      <c r="CC48" s="19">
        <f>'Grid_Stock'!BT22</f>
        <v/>
      </c>
      <c r="CD48" s="19">
        <f>'Grid_Stock'!BU22</f>
        <v/>
      </c>
      <c r="CE48" s="19">
        <f>'Grid_Stock'!BV22</f>
        <v/>
      </c>
      <c r="CF48" s="19">
        <f>'Grid_Stock'!BW22</f>
        <v/>
      </c>
      <c r="CG48" s="19">
        <f>'Grid_Stock'!BX22</f>
        <v/>
      </c>
      <c r="CH48" s="19">
        <f>'Grid_Stock'!BY22</f>
        <v/>
      </c>
      <c r="CI48" s="19">
        <f>'Grid_Stock'!BZ22</f>
        <v/>
      </c>
      <c r="CJ48" s="19">
        <f>'Grid_Stock'!CA22</f>
        <v/>
      </c>
      <c r="CK48" s="19">
        <f>'Grid_Stock'!CB22</f>
        <v/>
      </c>
      <c r="CL48" s="19">
        <f>'Grid_Stock'!CC22</f>
        <v/>
      </c>
      <c r="CM48" s="19">
        <f>'Grid_Stock'!CD22</f>
        <v/>
      </c>
      <c r="CN48" s="19">
        <f>'Grid_Stock'!CE22</f>
        <v/>
      </c>
      <c r="CO48" s="19">
        <f>'Grid_Stock'!CF22</f>
        <v/>
      </c>
      <c r="CP48" s="19">
        <f>'Grid_Stock'!CG22</f>
        <v/>
      </c>
      <c r="CQ48" s="19">
        <f>'Grid_Stock'!CH22</f>
        <v/>
      </c>
      <c r="CR48" s="19">
        <f>'Grid_Stock'!CI22</f>
        <v/>
      </c>
      <c r="CS48" s="19">
        <f>'Grid_Stock'!CJ22</f>
        <v/>
      </c>
      <c r="CT48" s="19">
        <f>'Grid_Stock'!CK22</f>
        <v/>
      </c>
      <c r="CU48" s="19">
        <f>'Grid_Stock'!CL22</f>
        <v/>
      </c>
      <c r="CV48" s="19">
        <f>'Grid_Stock'!CM22</f>
        <v/>
      </c>
      <c r="CW48" s="19">
        <f>'Grid_Stock'!CN22</f>
        <v/>
      </c>
      <c r="CX48" s="19">
        <f>'Grid_Stock'!CO22</f>
        <v/>
      </c>
      <c r="CY48" s="19">
        <f>'Grid_Stock'!CP22</f>
        <v/>
      </c>
      <c r="CZ48" s="19">
        <f>'Grid_Stock'!CQ22</f>
        <v/>
      </c>
      <c r="DA48" s="19">
        <f>'Grid_Stock'!CR22</f>
        <v/>
      </c>
      <c r="DB48" s="19">
        <f>'Grid_Stock'!CS22</f>
        <v/>
      </c>
      <c r="DC48" s="19">
        <f>'Grid_Stock'!CT22</f>
        <v/>
      </c>
      <c r="DD48" s="19">
        <f>'Grid_Stock'!CU22</f>
        <v/>
      </c>
      <c r="DE48" s="19">
        <f>'Grid_Stock'!CV22</f>
        <v/>
      </c>
      <c r="DF48" s="19">
        <f>'Grid_Stock'!CW22</f>
        <v/>
      </c>
      <c r="DG48" s="19">
        <f>'Grid_Stock'!CX22</f>
        <v/>
      </c>
      <c r="DH48" s="19">
        <f>'Grid_Stock'!CY22</f>
        <v/>
      </c>
      <c r="DI48" s="19">
        <f>'Grid_Stock'!CZ22</f>
        <v/>
      </c>
      <c r="DJ48" s="19">
        <f>'Grid_Stock'!DA22</f>
        <v/>
      </c>
    </row>
    <row r="49">
      <c r="A49" s="17" t="inlineStr">
        <is>
          <t>CHEM-1110</t>
        </is>
      </c>
      <c r="B49" s="17">
        <f>IFERROR(INDEX(M_RawMaterials[Description],MATCH($A49,M_RawMaterials[Part Name],0)),"")</f>
        <v/>
      </c>
      <c r="C49" s="17">
        <f>IFERROR(INDEX(M_RawMaterials[Category],MATCH($A49,M_RawMaterials[Part Name],0)),"")</f>
        <v/>
      </c>
      <c r="D49" s="17">
        <f>IFERROR(INDEX(M_RawMaterials[基準在庫下限_要入力],MATCH($A49,M_RawMaterials[Part Name],0)),0)</f>
        <v/>
      </c>
      <c r="E49" s="17">
        <f>IFERROR(INDEX(M_RawMaterials[基準在庫上限_要入力],MATCH($A49,M_RawMaterials[Part Name],0)),0)</f>
        <v/>
      </c>
      <c r="F49" s="17">
        <f>IFERROR(LOOKUP(2,1/('T_SelfStock'!$B$27:$DA$27&lt;&gt;""),'T_SelfStock'!$B$27:$DA$27),"")</f>
        <v/>
      </c>
      <c r="G49" s="17">
        <f>IFERROR(LOOKUP(2,1/('T_TTAFStock'!$B$27:$DA$27&lt;&gt;""),'T_TTAFStock'!$B$27:$DA$27),"")</f>
        <v/>
      </c>
      <c r="H49" s="17">
        <f>IFERROR(LOOKUP(2,1/('T_SelfStock'!$B$27:$DA$27&lt;&gt;""),'T_SelfStock'!$B$5:$DA$5),"")</f>
        <v/>
      </c>
      <c r="I49" s="18" t="inlineStr">
        <is>
          <t>理論在庫</t>
        </is>
      </c>
      <c r="J49" s="17">
        <f>IFERROR(INDEX('Grid_Stock'!$A23:$DA23,1,LOOKUP(2,1/('T_SelfStock'!$B$27:$DA$27&lt;&gt;""),COLUMN('T_SelfStock'!$B$27:$DA$27)))-INDEX('Grid_TheoreticalStock'!$A23:$DA23,1,LOOKUP(2,1/('T_SelfStock'!$B$27:$DA$27&lt;&gt;""),COLUMN('T_SelfStock'!$B$27:$DA$27))),0)</f>
        <v/>
      </c>
      <c r="K49" s="18">
        <f>'Grid_TheoreticalStock'!B23</f>
        <v/>
      </c>
      <c r="L49" s="18">
        <f>'Grid_TheoreticalStock'!C23</f>
        <v/>
      </c>
      <c r="M49" s="18">
        <f>'Grid_TheoreticalStock'!D23</f>
        <v/>
      </c>
      <c r="N49" s="18">
        <f>'Grid_TheoreticalStock'!E23</f>
        <v/>
      </c>
      <c r="O49" s="18">
        <f>'Grid_TheoreticalStock'!F23</f>
        <v/>
      </c>
      <c r="P49" s="18">
        <f>'Grid_TheoreticalStock'!G23</f>
        <v/>
      </c>
      <c r="Q49" s="18">
        <f>'Grid_TheoreticalStock'!H23</f>
        <v/>
      </c>
      <c r="R49" s="18">
        <f>'Grid_TheoreticalStock'!I23</f>
        <v/>
      </c>
      <c r="S49" s="18">
        <f>'Grid_TheoreticalStock'!J23</f>
        <v/>
      </c>
      <c r="T49" s="18">
        <f>'Grid_TheoreticalStock'!K23</f>
        <v/>
      </c>
      <c r="U49" s="18">
        <f>'Grid_TheoreticalStock'!L23</f>
        <v/>
      </c>
      <c r="V49" s="18">
        <f>'Grid_TheoreticalStock'!M23</f>
        <v/>
      </c>
      <c r="W49" s="18">
        <f>'Grid_TheoreticalStock'!N23</f>
        <v/>
      </c>
      <c r="X49" s="18">
        <f>'Grid_TheoreticalStock'!O23</f>
        <v/>
      </c>
      <c r="Y49" s="18">
        <f>'Grid_TheoreticalStock'!P23</f>
        <v/>
      </c>
      <c r="Z49" s="18">
        <f>'Grid_TheoreticalStock'!Q23</f>
        <v/>
      </c>
      <c r="AA49" s="18">
        <f>'Grid_TheoreticalStock'!R23</f>
        <v/>
      </c>
      <c r="AB49" s="18">
        <f>'Grid_TheoreticalStock'!S23</f>
        <v/>
      </c>
      <c r="AC49" s="18">
        <f>'Grid_TheoreticalStock'!T23</f>
        <v/>
      </c>
      <c r="AD49" s="18">
        <f>'Grid_TheoreticalStock'!U23</f>
        <v/>
      </c>
      <c r="AE49" s="18">
        <f>'Grid_TheoreticalStock'!V23</f>
        <v/>
      </c>
      <c r="AF49" s="18">
        <f>'Grid_TheoreticalStock'!W23</f>
        <v/>
      </c>
      <c r="AG49" s="18">
        <f>'Grid_TheoreticalStock'!X23</f>
        <v/>
      </c>
      <c r="AH49" s="18">
        <f>'Grid_TheoreticalStock'!Y23</f>
        <v/>
      </c>
      <c r="AI49" s="18">
        <f>'Grid_TheoreticalStock'!Z23</f>
        <v/>
      </c>
      <c r="AJ49" s="18">
        <f>'Grid_TheoreticalStock'!AA23</f>
        <v/>
      </c>
      <c r="AK49" s="18">
        <f>'Grid_TheoreticalStock'!AB23</f>
        <v/>
      </c>
      <c r="AL49" s="18">
        <f>'Grid_TheoreticalStock'!AC23</f>
        <v/>
      </c>
      <c r="AM49" s="18">
        <f>'Grid_TheoreticalStock'!AD23</f>
        <v/>
      </c>
      <c r="AN49" s="18">
        <f>'Grid_TheoreticalStock'!AE23</f>
        <v/>
      </c>
      <c r="AO49" s="18">
        <f>'Grid_TheoreticalStock'!AF23</f>
        <v/>
      </c>
      <c r="AP49" s="18">
        <f>'Grid_TheoreticalStock'!AG23</f>
        <v/>
      </c>
      <c r="AQ49" s="18">
        <f>'Grid_TheoreticalStock'!AH23</f>
        <v/>
      </c>
      <c r="AR49" s="18">
        <f>'Grid_TheoreticalStock'!AI23</f>
        <v/>
      </c>
      <c r="AS49" s="18">
        <f>'Grid_TheoreticalStock'!AJ23</f>
        <v/>
      </c>
      <c r="AT49" s="18">
        <f>'Grid_TheoreticalStock'!AK23</f>
        <v/>
      </c>
      <c r="AU49" s="18">
        <f>'Grid_TheoreticalStock'!AL23</f>
        <v/>
      </c>
      <c r="AV49" s="18">
        <f>'Grid_TheoreticalStock'!AM23</f>
        <v/>
      </c>
      <c r="AW49" s="18">
        <f>'Grid_TheoreticalStock'!AN23</f>
        <v/>
      </c>
      <c r="AX49" s="18">
        <f>'Grid_TheoreticalStock'!AO23</f>
        <v/>
      </c>
      <c r="AY49" s="18">
        <f>'Grid_TheoreticalStock'!AP23</f>
        <v/>
      </c>
      <c r="AZ49" s="18">
        <f>'Grid_TheoreticalStock'!AQ23</f>
        <v/>
      </c>
      <c r="BA49" s="18">
        <f>'Grid_TheoreticalStock'!AR23</f>
        <v/>
      </c>
      <c r="BB49" s="18">
        <f>'Grid_TheoreticalStock'!AS23</f>
        <v/>
      </c>
      <c r="BC49" s="18">
        <f>'Grid_TheoreticalStock'!AT23</f>
        <v/>
      </c>
      <c r="BD49" s="18">
        <f>'Grid_TheoreticalStock'!AU23</f>
        <v/>
      </c>
      <c r="BE49" s="18">
        <f>'Grid_TheoreticalStock'!AV23</f>
        <v/>
      </c>
      <c r="BF49" s="18">
        <f>'Grid_TheoreticalStock'!AW23</f>
        <v/>
      </c>
      <c r="BG49" s="18">
        <f>'Grid_TheoreticalStock'!AX23</f>
        <v/>
      </c>
      <c r="BH49" s="18">
        <f>'Grid_TheoreticalStock'!AY23</f>
        <v/>
      </c>
      <c r="BI49" s="18">
        <f>'Grid_TheoreticalStock'!AZ23</f>
        <v/>
      </c>
      <c r="BJ49" s="18">
        <f>'Grid_TheoreticalStock'!BA23</f>
        <v/>
      </c>
      <c r="BK49" s="18">
        <f>'Grid_TheoreticalStock'!BB23</f>
        <v/>
      </c>
      <c r="BL49" s="18">
        <f>'Grid_TheoreticalStock'!BC23</f>
        <v/>
      </c>
      <c r="BM49" s="18">
        <f>'Grid_TheoreticalStock'!BD23</f>
        <v/>
      </c>
      <c r="BN49" s="18">
        <f>'Grid_TheoreticalStock'!BE23</f>
        <v/>
      </c>
      <c r="BO49" s="18">
        <f>'Grid_TheoreticalStock'!BF23</f>
        <v/>
      </c>
      <c r="BP49" s="18">
        <f>'Grid_TheoreticalStock'!BG23</f>
        <v/>
      </c>
      <c r="BQ49" s="18">
        <f>'Grid_TheoreticalStock'!BH23</f>
        <v/>
      </c>
      <c r="BR49" s="18">
        <f>'Grid_TheoreticalStock'!BI23</f>
        <v/>
      </c>
      <c r="BS49" s="18">
        <f>'Grid_TheoreticalStock'!BJ23</f>
        <v/>
      </c>
      <c r="BT49" s="18">
        <f>'Grid_TheoreticalStock'!BK23</f>
        <v/>
      </c>
      <c r="BU49" s="18">
        <f>'Grid_TheoreticalStock'!BL23</f>
        <v/>
      </c>
      <c r="BV49" s="18">
        <f>'Grid_TheoreticalStock'!BM23</f>
        <v/>
      </c>
      <c r="BW49" s="18">
        <f>'Grid_TheoreticalStock'!BN23</f>
        <v/>
      </c>
      <c r="BX49" s="18">
        <f>'Grid_TheoreticalStock'!BO23</f>
        <v/>
      </c>
      <c r="BY49" s="18">
        <f>'Grid_TheoreticalStock'!BP23</f>
        <v/>
      </c>
      <c r="BZ49" s="18">
        <f>'Grid_TheoreticalStock'!BQ23</f>
        <v/>
      </c>
      <c r="CA49" s="18">
        <f>'Grid_TheoreticalStock'!BR23</f>
        <v/>
      </c>
      <c r="CB49" s="18">
        <f>'Grid_TheoreticalStock'!BS23</f>
        <v/>
      </c>
      <c r="CC49" s="18">
        <f>'Grid_TheoreticalStock'!BT23</f>
        <v/>
      </c>
      <c r="CD49" s="18">
        <f>'Grid_TheoreticalStock'!BU23</f>
        <v/>
      </c>
      <c r="CE49" s="18">
        <f>'Grid_TheoreticalStock'!BV23</f>
        <v/>
      </c>
      <c r="CF49" s="18">
        <f>'Grid_TheoreticalStock'!BW23</f>
        <v/>
      </c>
      <c r="CG49" s="18">
        <f>'Grid_TheoreticalStock'!BX23</f>
        <v/>
      </c>
      <c r="CH49" s="18">
        <f>'Grid_TheoreticalStock'!BY23</f>
        <v/>
      </c>
      <c r="CI49" s="18">
        <f>'Grid_TheoreticalStock'!BZ23</f>
        <v/>
      </c>
      <c r="CJ49" s="18">
        <f>'Grid_TheoreticalStock'!CA23</f>
        <v/>
      </c>
      <c r="CK49" s="18">
        <f>'Grid_TheoreticalStock'!CB23</f>
        <v/>
      </c>
      <c r="CL49" s="18">
        <f>'Grid_TheoreticalStock'!CC23</f>
        <v/>
      </c>
      <c r="CM49" s="18">
        <f>'Grid_TheoreticalStock'!CD23</f>
        <v/>
      </c>
      <c r="CN49" s="18">
        <f>'Grid_TheoreticalStock'!CE23</f>
        <v/>
      </c>
      <c r="CO49" s="18">
        <f>'Grid_TheoreticalStock'!CF23</f>
        <v/>
      </c>
      <c r="CP49" s="18">
        <f>'Grid_TheoreticalStock'!CG23</f>
        <v/>
      </c>
      <c r="CQ49" s="18">
        <f>'Grid_TheoreticalStock'!CH23</f>
        <v/>
      </c>
      <c r="CR49" s="18">
        <f>'Grid_TheoreticalStock'!CI23</f>
        <v/>
      </c>
      <c r="CS49" s="18">
        <f>'Grid_TheoreticalStock'!CJ23</f>
        <v/>
      </c>
      <c r="CT49" s="18">
        <f>'Grid_TheoreticalStock'!CK23</f>
        <v/>
      </c>
      <c r="CU49" s="18">
        <f>'Grid_TheoreticalStock'!CL23</f>
        <v/>
      </c>
      <c r="CV49" s="18">
        <f>'Grid_TheoreticalStock'!CM23</f>
        <v/>
      </c>
      <c r="CW49" s="18">
        <f>'Grid_TheoreticalStock'!CN23</f>
        <v/>
      </c>
      <c r="CX49" s="18">
        <f>'Grid_TheoreticalStock'!CO23</f>
        <v/>
      </c>
      <c r="CY49" s="18">
        <f>'Grid_TheoreticalStock'!CP23</f>
        <v/>
      </c>
      <c r="CZ49" s="18">
        <f>'Grid_TheoreticalStock'!CQ23</f>
        <v/>
      </c>
      <c r="DA49" s="18">
        <f>'Grid_TheoreticalStock'!CR23</f>
        <v/>
      </c>
      <c r="DB49" s="18">
        <f>'Grid_TheoreticalStock'!CS23</f>
        <v/>
      </c>
      <c r="DC49" s="18">
        <f>'Grid_TheoreticalStock'!CT23</f>
        <v/>
      </c>
      <c r="DD49" s="18">
        <f>'Grid_TheoreticalStock'!CU23</f>
        <v/>
      </c>
      <c r="DE49" s="18">
        <f>'Grid_TheoreticalStock'!CV23</f>
        <v/>
      </c>
      <c r="DF49" s="18">
        <f>'Grid_TheoreticalStock'!CW23</f>
        <v/>
      </c>
      <c r="DG49" s="18">
        <f>'Grid_TheoreticalStock'!CX23</f>
        <v/>
      </c>
      <c r="DH49" s="18">
        <f>'Grid_TheoreticalStock'!CY23</f>
        <v/>
      </c>
      <c r="DI49" s="18">
        <f>'Grid_TheoreticalStock'!CZ23</f>
        <v/>
      </c>
      <c r="DJ49" s="18">
        <f>'Grid_TheoreticalStock'!DA23</f>
        <v/>
      </c>
    </row>
    <row r="50">
      <c r="A50" s="19" t="inlineStr">
        <is>
          <t>CHEM-1110</t>
        </is>
      </c>
      <c r="B50" s="19">
        <f>IFERROR(INDEX(M_RawMaterials[Description],MATCH($A50,M_RawMaterials[Part Name],0)),"")</f>
        <v/>
      </c>
      <c r="C50" s="19">
        <f>IFERROR(INDEX(M_RawMaterials[Category],MATCH($A50,M_RawMaterials[Part Name],0)),"")</f>
        <v/>
      </c>
      <c r="D50" s="19">
        <f>IFERROR(INDEX(M_RawMaterials[基準在庫下限_要入力],MATCH($A50,M_RawMaterials[Part Name],0)),0)</f>
        <v/>
      </c>
      <c r="E50" s="19">
        <f>IFERROR(INDEX(M_RawMaterials[基準在庫上限_要入力],MATCH($A50,M_RawMaterials[Part Name],0)),0)</f>
        <v/>
      </c>
      <c r="F50" s="19">
        <f>IFERROR(LOOKUP(2,1/('T_SelfStock'!$B$27:$DA$27&lt;&gt;""),'T_SelfStock'!$B$27:$DA$27),"")</f>
        <v/>
      </c>
      <c r="G50" s="19">
        <f>IFERROR(LOOKUP(2,1/('T_TTAFStock'!$B$27:$DA$27&lt;&gt;""),'T_TTAFStock'!$B$27:$DA$27),"")</f>
        <v/>
      </c>
      <c r="H50" s="19">
        <f>IFERROR(LOOKUP(2,1/('T_SelfStock'!$B$27:$DA$27&lt;&gt;""),'T_SelfStock'!$B$5:$DA$5),"")</f>
        <v/>
      </c>
      <c r="I50" s="20" t="inlineStr">
        <is>
          <t>実在庫</t>
        </is>
      </c>
      <c r="J50" s="19">
        <f>IFERROR(INDEX('Grid_Stock'!$A23:$DA23,1,LOOKUP(2,1/('T_SelfStock'!$B$27:$DA$27&lt;&gt;""),COLUMN('T_SelfStock'!$B$27:$DA$27)))-INDEX('Grid_TheoreticalStock'!$A23:$DA23,1,LOOKUP(2,1/('T_SelfStock'!$B$27:$DA$27&lt;&gt;""),COLUMN('T_SelfStock'!$B$27:$DA$27))),0)</f>
        <v/>
      </c>
      <c r="K50" s="19">
        <f>'Grid_Stock'!B23</f>
        <v/>
      </c>
      <c r="L50" s="19">
        <f>'Grid_Stock'!C23</f>
        <v/>
      </c>
      <c r="M50" s="19">
        <f>'Grid_Stock'!D23</f>
        <v/>
      </c>
      <c r="N50" s="19">
        <f>'Grid_Stock'!E23</f>
        <v/>
      </c>
      <c r="O50" s="19">
        <f>'Grid_Stock'!F23</f>
        <v/>
      </c>
      <c r="P50" s="19">
        <f>'Grid_Stock'!G23</f>
        <v/>
      </c>
      <c r="Q50" s="19">
        <f>'Grid_Stock'!H23</f>
        <v/>
      </c>
      <c r="R50" s="19">
        <f>'Grid_Stock'!I23</f>
        <v/>
      </c>
      <c r="S50" s="19">
        <f>'Grid_Stock'!J23</f>
        <v/>
      </c>
      <c r="T50" s="19">
        <f>'Grid_Stock'!K23</f>
        <v/>
      </c>
      <c r="U50" s="19">
        <f>'Grid_Stock'!L23</f>
        <v/>
      </c>
      <c r="V50" s="19">
        <f>'Grid_Stock'!M23</f>
        <v/>
      </c>
      <c r="W50" s="19">
        <f>'Grid_Stock'!N23</f>
        <v/>
      </c>
      <c r="X50" s="19">
        <f>'Grid_Stock'!O23</f>
        <v/>
      </c>
      <c r="Y50" s="19">
        <f>'Grid_Stock'!P23</f>
        <v/>
      </c>
      <c r="Z50" s="19">
        <f>'Grid_Stock'!Q23</f>
        <v/>
      </c>
      <c r="AA50" s="19">
        <f>'Grid_Stock'!R23</f>
        <v/>
      </c>
      <c r="AB50" s="19">
        <f>'Grid_Stock'!S23</f>
        <v/>
      </c>
      <c r="AC50" s="19">
        <f>'Grid_Stock'!T23</f>
        <v/>
      </c>
      <c r="AD50" s="19">
        <f>'Grid_Stock'!U23</f>
        <v/>
      </c>
      <c r="AE50" s="19">
        <f>'Grid_Stock'!V23</f>
        <v/>
      </c>
      <c r="AF50" s="19">
        <f>'Grid_Stock'!W23</f>
        <v/>
      </c>
      <c r="AG50" s="19">
        <f>'Grid_Stock'!X23</f>
        <v/>
      </c>
      <c r="AH50" s="19">
        <f>'Grid_Stock'!Y23</f>
        <v/>
      </c>
      <c r="AI50" s="19">
        <f>'Grid_Stock'!Z23</f>
        <v/>
      </c>
      <c r="AJ50" s="19">
        <f>'Grid_Stock'!AA23</f>
        <v/>
      </c>
      <c r="AK50" s="19">
        <f>'Grid_Stock'!AB23</f>
        <v/>
      </c>
      <c r="AL50" s="19">
        <f>'Grid_Stock'!AC23</f>
        <v/>
      </c>
      <c r="AM50" s="19">
        <f>'Grid_Stock'!AD23</f>
        <v/>
      </c>
      <c r="AN50" s="19">
        <f>'Grid_Stock'!AE23</f>
        <v/>
      </c>
      <c r="AO50" s="19">
        <f>'Grid_Stock'!AF23</f>
        <v/>
      </c>
      <c r="AP50" s="19">
        <f>'Grid_Stock'!AG23</f>
        <v/>
      </c>
      <c r="AQ50" s="19">
        <f>'Grid_Stock'!AH23</f>
        <v/>
      </c>
      <c r="AR50" s="19">
        <f>'Grid_Stock'!AI23</f>
        <v/>
      </c>
      <c r="AS50" s="19">
        <f>'Grid_Stock'!AJ23</f>
        <v/>
      </c>
      <c r="AT50" s="19">
        <f>'Grid_Stock'!AK23</f>
        <v/>
      </c>
      <c r="AU50" s="19">
        <f>'Grid_Stock'!AL23</f>
        <v/>
      </c>
      <c r="AV50" s="19">
        <f>'Grid_Stock'!AM23</f>
        <v/>
      </c>
      <c r="AW50" s="19">
        <f>'Grid_Stock'!AN23</f>
        <v/>
      </c>
      <c r="AX50" s="19">
        <f>'Grid_Stock'!AO23</f>
        <v/>
      </c>
      <c r="AY50" s="19">
        <f>'Grid_Stock'!AP23</f>
        <v/>
      </c>
      <c r="AZ50" s="19">
        <f>'Grid_Stock'!AQ23</f>
        <v/>
      </c>
      <c r="BA50" s="19">
        <f>'Grid_Stock'!AR23</f>
        <v/>
      </c>
      <c r="BB50" s="19">
        <f>'Grid_Stock'!AS23</f>
        <v/>
      </c>
      <c r="BC50" s="19">
        <f>'Grid_Stock'!AT23</f>
        <v/>
      </c>
      <c r="BD50" s="19">
        <f>'Grid_Stock'!AU23</f>
        <v/>
      </c>
      <c r="BE50" s="19">
        <f>'Grid_Stock'!AV23</f>
        <v/>
      </c>
      <c r="BF50" s="19">
        <f>'Grid_Stock'!AW23</f>
        <v/>
      </c>
      <c r="BG50" s="19">
        <f>'Grid_Stock'!AX23</f>
        <v/>
      </c>
      <c r="BH50" s="19">
        <f>'Grid_Stock'!AY23</f>
        <v/>
      </c>
      <c r="BI50" s="19">
        <f>'Grid_Stock'!AZ23</f>
        <v/>
      </c>
      <c r="BJ50" s="19">
        <f>'Grid_Stock'!BA23</f>
        <v/>
      </c>
      <c r="BK50" s="19">
        <f>'Grid_Stock'!BB23</f>
        <v/>
      </c>
      <c r="BL50" s="19">
        <f>'Grid_Stock'!BC23</f>
        <v/>
      </c>
      <c r="BM50" s="19">
        <f>'Grid_Stock'!BD23</f>
        <v/>
      </c>
      <c r="BN50" s="19">
        <f>'Grid_Stock'!BE23</f>
        <v/>
      </c>
      <c r="BO50" s="19">
        <f>'Grid_Stock'!BF23</f>
        <v/>
      </c>
      <c r="BP50" s="19">
        <f>'Grid_Stock'!BG23</f>
        <v/>
      </c>
      <c r="BQ50" s="19">
        <f>'Grid_Stock'!BH23</f>
        <v/>
      </c>
      <c r="BR50" s="19">
        <f>'Grid_Stock'!BI23</f>
        <v/>
      </c>
      <c r="BS50" s="19">
        <f>'Grid_Stock'!BJ23</f>
        <v/>
      </c>
      <c r="BT50" s="19">
        <f>'Grid_Stock'!BK23</f>
        <v/>
      </c>
      <c r="BU50" s="19">
        <f>'Grid_Stock'!BL23</f>
        <v/>
      </c>
      <c r="BV50" s="19">
        <f>'Grid_Stock'!BM23</f>
        <v/>
      </c>
      <c r="BW50" s="19">
        <f>'Grid_Stock'!BN23</f>
        <v/>
      </c>
      <c r="BX50" s="19">
        <f>'Grid_Stock'!BO23</f>
        <v/>
      </c>
      <c r="BY50" s="19">
        <f>'Grid_Stock'!BP23</f>
        <v/>
      </c>
      <c r="BZ50" s="19">
        <f>'Grid_Stock'!BQ23</f>
        <v/>
      </c>
      <c r="CA50" s="19">
        <f>'Grid_Stock'!BR23</f>
        <v/>
      </c>
      <c r="CB50" s="19">
        <f>'Grid_Stock'!BS23</f>
        <v/>
      </c>
      <c r="CC50" s="19">
        <f>'Grid_Stock'!BT23</f>
        <v/>
      </c>
      <c r="CD50" s="19">
        <f>'Grid_Stock'!BU23</f>
        <v/>
      </c>
      <c r="CE50" s="19">
        <f>'Grid_Stock'!BV23</f>
        <v/>
      </c>
      <c r="CF50" s="19">
        <f>'Grid_Stock'!BW23</f>
        <v/>
      </c>
      <c r="CG50" s="19">
        <f>'Grid_Stock'!BX23</f>
        <v/>
      </c>
      <c r="CH50" s="19">
        <f>'Grid_Stock'!BY23</f>
        <v/>
      </c>
      <c r="CI50" s="19">
        <f>'Grid_Stock'!BZ23</f>
        <v/>
      </c>
      <c r="CJ50" s="19">
        <f>'Grid_Stock'!CA23</f>
        <v/>
      </c>
      <c r="CK50" s="19">
        <f>'Grid_Stock'!CB23</f>
        <v/>
      </c>
      <c r="CL50" s="19">
        <f>'Grid_Stock'!CC23</f>
        <v/>
      </c>
      <c r="CM50" s="19">
        <f>'Grid_Stock'!CD23</f>
        <v/>
      </c>
      <c r="CN50" s="19">
        <f>'Grid_Stock'!CE23</f>
        <v/>
      </c>
      <c r="CO50" s="19">
        <f>'Grid_Stock'!CF23</f>
        <v/>
      </c>
      <c r="CP50" s="19">
        <f>'Grid_Stock'!CG23</f>
        <v/>
      </c>
      <c r="CQ50" s="19">
        <f>'Grid_Stock'!CH23</f>
        <v/>
      </c>
      <c r="CR50" s="19">
        <f>'Grid_Stock'!CI23</f>
        <v/>
      </c>
      <c r="CS50" s="19">
        <f>'Grid_Stock'!CJ23</f>
        <v/>
      </c>
      <c r="CT50" s="19">
        <f>'Grid_Stock'!CK23</f>
        <v/>
      </c>
      <c r="CU50" s="19">
        <f>'Grid_Stock'!CL23</f>
        <v/>
      </c>
      <c r="CV50" s="19">
        <f>'Grid_Stock'!CM23</f>
        <v/>
      </c>
      <c r="CW50" s="19">
        <f>'Grid_Stock'!CN23</f>
        <v/>
      </c>
      <c r="CX50" s="19">
        <f>'Grid_Stock'!CO23</f>
        <v/>
      </c>
      <c r="CY50" s="19">
        <f>'Grid_Stock'!CP23</f>
        <v/>
      </c>
      <c r="CZ50" s="19">
        <f>'Grid_Stock'!CQ23</f>
        <v/>
      </c>
      <c r="DA50" s="19">
        <f>'Grid_Stock'!CR23</f>
        <v/>
      </c>
      <c r="DB50" s="19">
        <f>'Grid_Stock'!CS23</f>
        <v/>
      </c>
      <c r="DC50" s="19">
        <f>'Grid_Stock'!CT23</f>
        <v/>
      </c>
      <c r="DD50" s="19">
        <f>'Grid_Stock'!CU23</f>
        <v/>
      </c>
      <c r="DE50" s="19">
        <f>'Grid_Stock'!CV23</f>
        <v/>
      </c>
      <c r="DF50" s="19">
        <f>'Grid_Stock'!CW23</f>
        <v/>
      </c>
      <c r="DG50" s="19">
        <f>'Grid_Stock'!CX23</f>
        <v/>
      </c>
      <c r="DH50" s="19">
        <f>'Grid_Stock'!CY23</f>
        <v/>
      </c>
      <c r="DI50" s="19">
        <f>'Grid_Stock'!CZ23</f>
        <v/>
      </c>
      <c r="DJ50" s="19">
        <f>'Grid_Stock'!DA23</f>
        <v/>
      </c>
    </row>
    <row r="51">
      <c r="A51" s="17" t="inlineStr">
        <is>
          <t>CHEM-1240</t>
        </is>
      </c>
      <c r="B51" s="17">
        <f>IFERROR(INDEX(M_RawMaterials[Description],MATCH($A51,M_RawMaterials[Part Name],0)),"")</f>
        <v/>
      </c>
      <c r="C51" s="17">
        <f>IFERROR(INDEX(M_RawMaterials[Category],MATCH($A51,M_RawMaterials[Part Name],0)),"")</f>
        <v/>
      </c>
      <c r="D51" s="17">
        <f>IFERROR(INDEX(M_RawMaterials[基準在庫下限_要入力],MATCH($A51,M_RawMaterials[Part Name],0)),0)</f>
        <v/>
      </c>
      <c r="E51" s="17">
        <f>IFERROR(INDEX(M_RawMaterials[基準在庫上限_要入力],MATCH($A51,M_RawMaterials[Part Name],0)),0)</f>
        <v/>
      </c>
      <c r="F51" s="17">
        <f>IFERROR(LOOKUP(2,1/('T_SelfStock'!$B$28:$DA$28&lt;&gt;""),'T_SelfStock'!$B$28:$DA$28),"")</f>
        <v/>
      </c>
      <c r="G51" s="17">
        <f>IFERROR(LOOKUP(2,1/('T_TTAFStock'!$B$28:$DA$28&lt;&gt;""),'T_TTAFStock'!$B$28:$DA$28),"")</f>
        <v/>
      </c>
      <c r="H51" s="17">
        <f>IFERROR(LOOKUP(2,1/('T_SelfStock'!$B$28:$DA$28&lt;&gt;""),'T_SelfStock'!$B$5:$DA$5),"")</f>
        <v/>
      </c>
      <c r="I51" s="18" t="inlineStr">
        <is>
          <t>理論在庫</t>
        </is>
      </c>
      <c r="J51" s="17">
        <f>IFERROR(INDEX('Grid_Stock'!$A24:$DA24,1,LOOKUP(2,1/('T_SelfStock'!$B$28:$DA$28&lt;&gt;""),COLUMN('T_SelfStock'!$B$28:$DA$28)))-INDEX('Grid_TheoreticalStock'!$A24:$DA24,1,LOOKUP(2,1/('T_SelfStock'!$B$28:$DA$28&lt;&gt;""),COLUMN('T_SelfStock'!$B$28:$DA$28))),0)</f>
        <v/>
      </c>
      <c r="K51" s="18">
        <f>'Grid_TheoreticalStock'!B24</f>
        <v/>
      </c>
      <c r="L51" s="18">
        <f>'Grid_TheoreticalStock'!C24</f>
        <v/>
      </c>
      <c r="M51" s="18">
        <f>'Grid_TheoreticalStock'!D24</f>
        <v/>
      </c>
      <c r="N51" s="18">
        <f>'Grid_TheoreticalStock'!E24</f>
        <v/>
      </c>
      <c r="O51" s="18">
        <f>'Grid_TheoreticalStock'!F24</f>
        <v/>
      </c>
      <c r="P51" s="18">
        <f>'Grid_TheoreticalStock'!G24</f>
        <v/>
      </c>
      <c r="Q51" s="18">
        <f>'Grid_TheoreticalStock'!H24</f>
        <v/>
      </c>
      <c r="R51" s="18">
        <f>'Grid_TheoreticalStock'!I24</f>
        <v/>
      </c>
      <c r="S51" s="18">
        <f>'Grid_TheoreticalStock'!J24</f>
        <v/>
      </c>
      <c r="T51" s="18">
        <f>'Grid_TheoreticalStock'!K24</f>
        <v/>
      </c>
      <c r="U51" s="18">
        <f>'Grid_TheoreticalStock'!L24</f>
        <v/>
      </c>
      <c r="V51" s="18">
        <f>'Grid_TheoreticalStock'!M24</f>
        <v/>
      </c>
      <c r="W51" s="18">
        <f>'Grid_TheoreticalStock'!N24</f>
        <v/>
      </c>
      <c r="X51" s="18">
        <f>'Grid_TheoreticalStock'!O24</f>
        <v/>
      </c>
      <c r="Y51" s="18">
        <f>'Grid_TheoreticalStock'!P24</f>
        <v/>
      </c>
      <c r="Z51" s="18">
        <f>'Grid_TheoreticalStock'!Q24</f>
        <v/>
      </c>
      <c r="AA51" s="18">
        <f>'Grid_TheoreticalStock'!R24</f>
        <v/>
      </c>
      <c r="AB51" s="18">
        <f>'Grid_TheoreticalStock'!S24</f>
        <v/>
      </c>
      <c r="AC51" s="18">
        <f>'Grid_TheoreticalStock'!T24</f>
        <v/>
      </c>
      <c r="AD51" s="18">
        <f>'Grid_TheoreticalStock'!U24</f>
        <v/>
      </c>
      <c r="AE51" s="18">
        <f>'Grid_TheoreticalStock'!V24</f>
        <v/>
      </c>
      <c r="AF51" s="18">
        <f>'Grid_TheoreticalStock'!W24</f>
        <v/>
      </c>
      <c r="AG51" s="18">
        <f>'Grid_TheoreticalStock'!X24</f>
        <v/>
      </c>
      <c r="AH51" s="18">
        <f>'Grid_TheoreticalStock'!Y24</f>
        <v/>
      </c>
      <c r="AI51" s="18">
        <f>'Grid_TheoreticalStock'!Z24</f>
        <v/>
      </c>
      <c r="AJ51" s="18">
        <f>'Grid_TheoreticalStock'!AA24</f>
        <v/>
      </c>
      <c r="AK51" s="18">
        <f>'Grid_TheoreticalStock'!AB24</f>
        <v/>
      </c>
      <c r="AL51" s="18">
        <f>'Grid_TheoreticalStock'!AC24</f>
        <v/>
      </c>
      <c r="AM51" s="18">
        <f>'Grid_TheoreticalStock'!AD24</f>
        <v/>
      </c>
      <c r="AN51" s="18">
        <f>'Grid_TheoreticalStock'!AE24</f>
        <v/>
      </c>
      <c r="AO51" s="18">
        <f>'Grid_TheoreticalStock'!AF24</f>
        <v/>
      </c>
      <c r="AP51" s="18">
        <f>'Grid_TheoreticalStock'!AG24</f>
        <v/>
      </c>
      <c r="AQ51" s="18">
        <f>'Grid_TheoreticalStock'!AH24</f>
        <v/>
      </c>
      <c r="AR51" s="18">
        <f>'Grid_TheoreticalStock'!AI24</f>
        <v/>
      </c>
      <c r="AS51" s="18">
        <f>'Grid_TheoreticalStock'!AJ24</f>
        <v/>
      </c>
      <c r="AT51" s="18">
        <f>'Grid_TheoreticalStock'!AK24</f>
        <v/>
      </c>
      <c r="AU51" s="18">
        <f>'Grid_TheoreticalStock'!AL24</f>
        <v/>
      </c>
      <c r="AV51" s="18">
        <f>'Grid_TheoreticalStock'!AM24</f>
        <v/>
      </c>
      <c r="AW51" s="18">
        <f>'Grid_TheoreticalStock'!AN24</f>
        <v/>
      </c>
      <c r="AX51" s="18">
        <f>'Grid_TheoreticalStock'!AO24</f>
        <v/>
      </c>
      <c r="AY51" s="18">
        <f>'Grid_TheoreticalStock'!AP24</f>
        <v/>
      </c>
      <c r="AZ51" s="18">
        <f>'Grid_TheoreticalStock'!AQ24</f>
        <v/>
      </c>
      <c r="BA51" s="18">
        <f>'Grid_TheoreticalStock'!AR24</f>
        <v/>
      </c>
      <c r="BB51" s="18">
        <f>'Grid_TheoreticalStock'!AS24</f>
        <v/>
      </c>
      <c r="BC51" s="18">
        <f>'Grid_TheoreticalStock'!AT24</f>
        <v/>
      </c>
      <c r="BD51" s="18">
        <f>'Grid_TheoreticalStock'!AU24</f>
        <v/>
      </c>
      <c r="BE51" s="18">
        <f>'Grid_TheoreticalStock'!AV24</f>
        <v/>
      </c>
      <c r="BF51" s="18">
        <f>'Grid_TheoreticalStock'!AW24</f>
        <v/>
      </c>
      <c r="BG51" s="18">
        <f>'Grid_TheoreticalStock'!AX24</f>
        <v/>
      </c>
      <c r="BH51" s="18">
        <f>'Grid_TheoreticalStock'!AY24</f>
        <v/>
      </c>
      <c r="BI51" s="18">
        <f>'Grid_TheoreticalStock'!AZ24</f>
        <v/>
      </c>
      <c r="BJ51" s="18">
        <f>'Grid_TheoreticalStock'!BA24</f>
        <v/>
      </c>
      <c r="BK51" s="18">
        <f>'Grid_TheoreticalStock'!BB24</f>
        <v/>
      </c>
      <c r="BL51" s="18">
        <f>'Grid_TheoreticalStock'!BC24</f>
        <v/>
      </c>
      <c r="BM51" s="18">
        <f>'Grid_TheoreticalStock'!BD24</f>
        <v/>
      </c>
      <c r="BN51" s="18">
        <f>'Grid_TheoreticalStock'!BE24</f>
        <v/>
      </c>
      <c r="BO51" s="18">
        <f>'Grid_TheoreticalStock'!BF24</f>
        <v/>
      </c>
      <c r="BP51" s="18">
        <f>'Grid_TheoreticalStock'!BG24</f>
        <v/>
      </c>
      <c r="BQ51" s="18">
        <f>'Grid_TheoreticalStock'!BH24</f>
        <v/>
      </c>
      <c r="BR51" s="18">
        <f>'Grid_TheoreticalStock'!BI24</f>
        <v/>
      </c>
      <c r="BS51" s="18">
        <f>'Grid_TheoreticalStock'!BJ24</f>
        <v/>
      </c>
      <c r="BT51" s="18">
        <f>'Grid_TheoreticalStock'!BK24</f>
        <v/>
      </c>
      <c r="BU51" s="18">
        <f>'Grid_TheoreticalStock'!BL24</f>
        <v/>
      </c>
      <c r="BV51" s="18">
        <f>'Grid_TheoreticalStock'!BM24</f>
        <v/>
      </c>
      <c r="BW51" s="18">
        <f>'Grid_TheoreticalStock'!BN24</f>
        <v/>
      </c>
      <c r="BX51" s="18">
        <f>'Grid_TheoreticalStock'!BO24</f>
        <v/>
      </c>
      <c r="BY51" s="18">
        <f>'Grid_TheoreticalStock'!BP24</f>
        <v/>
      </c>
      <c r="BZ51" s="18">
        <f>'Grid_TheoreticalStock'!BQ24</f>
        <v/>
      </c>
      <c r="CA51" s="18">
        <f>'Grid_TheoreticalStock'!BR24</f>
        <v/>
      </c>
      <c r="CB51" s="18">
        <f>'Grid_TheoreticalStock'!BS24</f>
        <v/>
      </c>
      <c r="CC51" s="18">
        <f>'Grid_TheoreticalStock'!BT24</f>
        <v/>
      </c>
      <c r="CD51" s="18">
        <f>'Grid_TheoreticalStock'!BU24</f>
        <v/>
      </c>
      <c r="CE51" s="18">
        <f>'Grid_TheoreticalStock'!BV24</f>
        <v/>
      </c>
      <c r="CF51" s="18">
        <f>'Grid_TheoreticalStock'!BW24</f>
        <v/>
      </c>
      <c r="CG51" s="18">
        <f>'Grid_TheoreticalStock'!BX24</f>
        <v/>
      </c>
      <c r="CH51" s="18">
        <f>'Grid_TheoreticalStock'!BY24</f>
        <v/>
      </c>
      <c r="CI51" s="18">
        <f>'Grid_TheoreticalStock'!BZ24</f>
        <v/>
      </c>
      <c r="CJ51" s="18">
        <f>'Grid_TheoreticalStock'!CA24</f>
        <v/>
      </c>
      <c r="CK51" s="18">
        <f>'Grid_TheoreticalStock'!CB24</f>
        <v/>
      </c>
      <c r="CL51" s="18">
        <f>'Grid_TheoreticalStock'!CC24</f>
        <v/>
      </c>
      <c r="CM51" s="18">
        <f>'Grid_TheoreticalStock'!CD24</f>
        <v/>
      </c>
      <c r="CN51" s="18">
        <f>'Grid_TheoreticalStock'!CE24</f>
        <v/>
      </c>
      <c r="CO51" s="18">
        <f>'Grid_TheoreticalStock'!CF24</f>
        <v/>
      </c>
      <c r="CP51" s="18">
        <f>'Grid_TheoreticalStock'!CG24</f>
        <v/>
      </c>
      <c r="CQ51" s="18">
        <f>'Grid_TheoreticalStock'!CH24</f>
        <v/>
      </c>
      <c r="CR51" s="18">
        <f>'Grid_TheoreticalStock'!CI24</f>
        <v/>
      </c>
      <c r="CS51" s="18">
        <f>'Grid_TheoreticalStock'!CJ24</f>
        <v/>
      </c>
      <c r="CT51" s="18">
        <f>'Grid_TheoreticalStock'!CK24</f>
        <v/>
      </c>
      <c r="CU51" s="18">
        <f>'Grid_TheoreticalStock'!CL24</f>
        <v/>
      </c>
      <c r="CV51" s="18">
        <f>'Grid_TheoreticalStock'!CM24</f>
        <v/>
      </c>
      <c r="CW51" s="18">
        <f>'Grid_TheoreticalStock'!CN24</f>
        <v/>
      </c>
      <c r="CX51" s="18">
        <f>'Grid_TheoreticalStock'!CO24</f>
        <v/>
      </c>
      <c r="CY51" s="18">
        <f>'Grid_TheoreticalStock'!CP24</f>
        <v/>
      </c>
      <c r="CZ51" s="18">
        <f>'Grid_TheoreticalStock'!CQ24</f>
        <v/>
      </c>
      <c r="DA51" s="18">
        <f>'Grid_TheoreticalStock'!CR24</f>
        <v/>
      </c>
      <c r="DB51" s="18">
        <f>'Grid_TheoreticalStock'!CS24</f>
        <v/>
      </c>
      <c r="DC51" s="18">
        <f>'Grid_TheoreticalStock'!CT24</f>
        <v/>
      </c>
      <c r="DD51" s="18">
        <f>'Grid_TheoreticalStock'!CU24</f>
        <v/>
      </c>
      <c r="DE51" s="18">
        <f>'Grid_TheoreticalStock'!CV24</f>
        <v/>
      </c>
      <c r="DF51" s="18">
        <f>'Grid_TheoreticalStock'!CW24</f>
        <v/>
      </c>
      <c r="DG51" s="18">
        <f>'Grid_TheoreticalStock'!CX24</f>
        <v/>
      </c>
      <c r="DH51" s="18">
        <f>'Grid_TheoreticalStock'!CY24</f>
        <v/>
      </c>
      <c r="DI51" s="18">
        <f>'Grid_TheoreticalStock'!CZ24</f>
        <v/>
      </c>
      <c r="DJ51" s="18">
        <f>'Grid_TheoreticalStock'!DA24</f>
        <v/>
      </c>
    </row>
    <row r="52">
      <c r="A52" s="19" t="inlineStr">
        <is>
          <t>CHEM-1240</t>
        </is>
      </c>
      <c r="B52" s="19">
        <f>IFERROR(INDEX(M_RawMaterials[Description],MATCH($A52,M_RawMaterials[Part Name],0)),"")</f>
        <v/>
      </c>
      <c r="C52" s="19">
        <f>IFERROR(INDEX(M_RawMaterials[Category],MATCH($A52,M_RawMaterials[Part Name],0)),"")</f>
        <v/>
      </c>
      <c r="D52" s="19">
        <f>IFERROR(INDEX(M_RawMaterials[基準在庫下限_要入力],MATCH($A52,M_RawMaterials[Part Name],0)),0)</f>
        <v/>
      </c>
      <c r="E52" s="19">
        <f>IFERROR(INDEX(M_RawMaterials[基準在庫上限_要入力],MATCH($A52,M_RawMaterials[Part Name],0)),0)</f>
        <v/>
      </c>
      <c r="F52" s="19">
        <f>IFERROR(LOOKUP(2,1/('T_SelfStock'!$B$28:$DA$28&lt;&gt;""),'T_SelfStock'!$B$28:$DA$28),"")</f>
        <v/>
      </c>
      <c r="G52" s="19">
        <f>IFERROR(LOOKUP(2,1/('T_TTAFStock'!$B$28:$DA$28&lt;&gt;""),'T_TTAFStock'!$B$28:$DA$28),"")</f>
        <v/>
      </c>
      <c r="H52" s="19">
        <f>IFERROR(LOOKUP(2,1/('T_SelfStock'!$B$28:$DA$28&lt;&gt;""),'T_SelfStock'!$B$5:$DA$5),"")</f>
        <v/>
      </c>
      <c r="I52" s="20" t="inlineStr">
        <is>
          <t>実在庫</t>
        </is>
      </c>
      <c r="J52" s="19">
        <f>IFERROR(INDEX('Grid_Stock'!$A24:$DA24,1,LOOKUP(2,1/('T_SelfStock'!$B$28:$DA$28&lt;&gt;""),COLUMN('T_SelfStock'!$B$28:$DA$28)))-INDEX('Grid_TheoreticalStock'!$A24:$DA24,1,LOOKUP(2,1/('T_SelfStock'!$B$28:$DA$28&lt;&gt;""),COLUMN('T_SelfStock'!$B$28:$DA$28))),0)</f>
        <v/>
      </c>
      <c r="K52" s="19">
        <f>'Grid_Stock'!B24</f>
        <v/>
      </c>
      <c r="L52" s="19">
        <f>'Grid_Stock'!C24</f>
        <v/>
      </c>
      <c r="M52" s="19">
        <f>'Grid_Stock'!D24</f>
        <v/>
      </c>
      <c r="N52" s="19">
        <f>'Grid_Stock'!E24</f>
        <v/>
      </c>
      <c r="O52" s="19">
        <f>'Grid_Stock'!F24</f>
        <v/>
      </c>
      <c r="P52" s="19">
        <f>'Grid_Stock'!G24</f>
        <v/>
      </c>
      <c r="Q52" s="19">
        <f>'Grid_Stock'!H24</f>
        <v/>
      </c>
      <c r="R52" s="19">
        <f>'Grid_Stock'!I24</f>
        <v/>
      </c>
      <c r="S52" s="19">
        <f>'Grid_Stock'!J24</f>
        <v/>
      </c>
      <c r="T52" s="19">
        <f>'Grid_Stock'!K24</f>
        <v/>
      </c>
      <c r="U52" s="19">
        <f>'Grid_Stock'!L24</f>
        <v/>
      </c>
      <c r="V52" s="19">
        <f>'Grid_Stock'!M24</f>
        <v/>
      </c>
      <c r="W52" s="19">
        <f>'Grid_Stock'!N24</f>
        <v/>
      </c>
      <c r="X52" s="19">
        <f>'Grid_Stock'!O24</f>
        <v/>
      </c>
      <c r="Y52" s="19">
        <f>'Grid_Stock'!P24</f>
        <v/>
      </c>
      <c r="Z52" s="19">
        <f>'Grid_Stock'!Q24</f>
        <v/>
      </c>
      <c r="AA52" s="19">
        <f>'Grid_Stock'!R24</f>
        <v/>
      </c>
      <c r="AB52" s="19">
        <f>'Grid_Stock'!S24</f>
        <v/>
      </c>
      <c r="AC52" s="19">
        <f>'Grid_Stock'!T24</f>
        <v/>
      </c>
      <c r="AD52" s="19">
        <f>'Grid_Stock'!U24</f>
        <v/>
      </c>
      <c r="AE52" s="19">
        <f>'Grid_Stock'!V24</f>
        <v/>
      </c>
      <c r="AF52" s="19">
        <f>'Grid_Stock'!W24</f>
        <v/>
      </c>
      <c r="AG52" s="19">
        <f>'Grid_Stock'!X24</f>
        <v/>
      </c>
      <c r="AH52" s="19">
        <f>'Grid_Stock'!Y24</f>
        <v/>
      </c>
      <c r="AI52" s="19">
        <f>'Grid_Stock'!Z24</f>
        <v/>
      </c>
      <c r="AJ52" s="19">
        <f>'Grid_Stock'!AA24</f>
        <v/>
      </c>
      <c r="AK52" s="19">
        <f>'Grid_Stock'!AB24</f>
        <v/>
      </c>
      <c r="AL52" s="19">
        <f>'Grid_Stock'!AC24</f>
        <v/>
      </c>
      <c r="AM52" s="19">
        <f>'Grid_Stock'!AD24</f>
        <v/>
      </c>
      <c r="AN52" s="19">
        <f>'Grid_Stock'!AE24</f>
        <v/>
      </c>
      <c r="AO52" s="19">
        <f>'Grid_Stock'!AF24</f>
        <v/>
      </c>
      <c r="AP52" s="19">
        <f>'Grid_Stock'!AG24</f>
        <v/>
      </c>
      <c r="AQ52" s="19">
        <f>'Grid_Stock'!AH24</f>
        <v/>
      </c>
      <c r="AR52" s="19">
        <f>'Grid_Stock'!AI24</f>
        <v/>
      </c>
      <c r="AS52" s="19">
        <f>'Grid_Stock'!AJ24</f>
        <v/>
      </c>
      <c r="AT52" s="19">
        <f>'Grid_Stock'!AK24</f>
        <v/>
      </c>
      <c r="AU52" s="19">
        <f>'Grid_Stock'!AL24</f>
        <v/>
      </c>
      <c r="AV52" s="19">
        <f>'Grid_Stock'!AM24</f>
        <v/>
      </c>
      <c r="AW52" s="19">
        <f>'Grid_Stock'!AN24</f>
        <v/>
      </c>
      <c r="AX52" s="19">
        <f>'Grid_Stock'!AO24</f>
        <v/>
      </c>
      <c r="AY52" s="19">
        <f>'Grid_Stock'!AP24</f>
        <v/>
      </c>
      <c r="AZ52" s="19">
        <f>'Grid_Stock'!AQ24</f>
        <v/>
      </c>
      <c r="BA52" s="19">
        <f>'Grid_Stock'!AR24</f>
        <v/>
      </c>
      <c r="BB52" s="19">
        <f>'Grid_Stock'!AS24</f>
        <v/>
      </c>
      <c r="BC52" s="19">
        <f>'Grid_Stock'!AT24</f>
        <v/>
      </c>
      <c r="BD52" s="19">
        <f>'Grid_Stock'!AU24</f>
        <v/>
      </c>
      <c r="BE52" s="19">
        <f>'Grid_Stock'!AV24</f>
        <v/>
      </c>
      <c r="BF52" s="19">
        <f>'Grid_Stock'!AW24</f>
        <v/>
      </c>
      <c r="BG52" s="19">
        <f>'Grid_Stock'!AX24</f>
        <v/>
      </c>
      <c r="BH52" s="19">
        <f>'Grid_Stock'!AY24</f>
        <v/>
      </c>
      <c r="BI52" s="19">
        <f>'Grid_Stock'!AZ24</f>
        <v/>
      </c>
      <c r="BJ52" s="19">
        <f>'Grid_Stock'!BA24</f>
        <v/>
      </c>
      <c r="BK52" s="19">
        <f>'Grid_Stock'!BB24</f>
        <v/>
      </c>
      <c r="BL52" s="19">
        <f>'Grid_Stock'!BC24</f>
        <v/>
      </c>
      <c r="BM52" s="19">
        <f>'Grid_Stock'!BD24</f>
        <v/>
      </c>
      <c r="BN52" s="19">
        <f>'Grid_Stock'!BE24</f>
        <v/>
      </c>
      <c r="BO52" s="19">
        <f>'Grid_Stock'!BF24</f>
        <v/>
      </c>
      <c r="BP52" s="19">
        <f>'Grid_Stock'!BG24</f>
        <v/>
      </c>
      <c r="BQ52" s="19">
        <f>'Grid_Stock'!BH24</f>
        <v/>
      </c>
      <c r="BR52" s="19">
        <f>'Grid_Stock'!BI24</f>
        <v/>
      </c>
      <c r="BS52" s="19">
        <f>'Grid_Stock'!BJ24</f>
        <v/>
      </c>
      <c r="BT52" s="19">
        <f>'Grid_Stock'!BK24</f>
        <v/>
      </c>
      <c r="BU52" s="19">
        <f>'Grid_Stock'!BL24</f>
        <v/>
      </c>
      <c r="BV52" s="19">
        <f>'Grid_Stock'!BM24</f>
        <v/>
      </c>
      <c r="BW52" s="19">
        <f>'Grid_Stock'!BN24</f>
        <v/>
      </c>
      <c r="BX52" s="19">
        <f>'Grid_Stock'!BO24</f>
        <v/>
      </c>
      <c r="BY52" s="19">
        <f>'Grid_Stock'!BP24</f>
        <v/>
      </c>
      <c r="BZ52" s="19">
        <f>'Grid_Stock'!BQ24</f>
        <v/>
      </c>
      <c r="CA52" s="19">
        <f>'Grid_Stock'!BR24</f>
        <v/>
      </c>
      <c r="CB52" s="19">
        <f>'Grid_Stock'!BS24</f>
        <v/>
      </c>
      <c r="CC52" s="19">
        <f>'Grid_Stock'!BT24</f>
        <v/>
      </c>
      <c r="CD52" s="19">
        <f>'Grid_Stock'!BU24</f>
        <v/>
      </c>
      <c r="CE52" s="19">
        <f>'Grid_Stock'!BV24</f>
        <v/>
      </c>
      <c r="CF52" s="19">
        <f>'Grid_Stock'!BW24</f>
        <v/>
      </c>
      <c r="CG52" s="19">
        <f>'Grid_Stock'!BX24</f>
        <v/>
      </c>
      <c r="CH52" s="19">
        <f>'Grid_Stock'!BY24</f>
        <v/>
      </c>
      <c r="CI52" s="19">
        <f>'Grid_Stock'!BZ24</f>
        <v/>
      </c>
      <c r="CJ52" s="19">
        <f>'Grid_Stock'!CA24</f>
        <v/>
      </c>
      <c r="CK52" s="19">
        <f>'Grid_Stock'!CB24</f>
        <v/>
      </c>
      <c r="CL52" s="19">
        <f>'Grid_Stock'!CC24</f>
        <v/>
      </c>
      <c r="CM52" s="19">
        <f>'Grid_Stock'!CD24</f>
        <v/>
      </c>
      <c r="CN52" s="19">
        <f>'Grid_Stock'!CE24</f>
        <v/>
      </c>
      <c r="CO52" s="19">
        <f>'Grid_Stock'!CF24</f>
        <v/>
      </c>
      <c r="CP52" s="19">
        <f>'Grid_Stock'!CG24</f>
        <v/>
      </c>
      <c r="CQ52" s="19">
        <f>'Grid_Stock'!CH24</f>
        <v/>
      </c>
      <c r="CR52" s="19">
        <f>'Grid_Stock'!CI24</f>
        <v/>
      </c>
      <c r="CS52" s="19">
        <f>'Grid_Stock'!CJ24</f>
        <v/>
      </c>
      <c r="CT52" s="19">
        <f>'Grid_Stock'!CK24</f>
        <v/>
      </c>
      <c r="CU52" s="19">
        <f>'Grid_Stock'!CL24</f>
        <v/>
      </c>
      <c r="CV52" s="19">
        <f>'Grid_Stock'!CM24</f>
        <v/>
      </c>
      <c r="CW52" s="19">
        <f>'Grid_Stock'!CN24</f>
        <v/>
      </c>
      <c r="CX52" s="19">
        <f>'Grid_Stock'!CO24</f>
        <v/>
      </c>
      <c r="CY52" s="19">
        <f>'Grid_Stock'!CP24</f>
        <v/>
      </c>
      <c r="CZ52" s="19">
        <f>'Grid_Stock'!CQ24</f>
        <v/>
      </c>
      <c r="DA52" s="19">
        <f>'Grid_Stock'!CR24</f>
        <v/>
      </c>
      <c r="DB52" s="19">
        <f>'Grid_Stock'!CS24</f>
        <v/>
      </c>
      <c r="DC52" s="19">
        <f>'Grid_Stock'!CT24</f>
        <v/>
      </c>
      <c r="DD52" s="19">
        <f>'Grid_Stock'!CU24</f>
        <v/>
      </c>
      <c r="DE52" s="19">
        <f>'Grid_Stock'!CV24</f>
        <v/>
      </c>
      <c r="DF52" s="19">
        <f>'Grid_Stock'!CW24</f>
        <v/>
      </c>
      <c r="DG52" s="19">
        <f>'Grid_Stock'!CX24</f>
        <v/>
      </c>
      <c r="DH52" s="19">
        <f>'Grid_Stock'!CY24</f>
        <v/>
      </c>
      <c r="DI52" s="19">
        <f>'Grid_Stock'!CZ24</f>
        <v/>
      </c>
      <c r="DJ52" s="19">
        <f>'Grid_Stock'!DA24</f>
        <v/>
      </c>
    </row>
    <row r="53">
      <c r="A53" s="17" t="inlineStr">
        <is>
          <t>CHEM-1510</t>
        </is>
      </c>
      <c r="B53" s="17">
        <f>IFERROR(INDEX(M_RawMaterials[Description],MATCH($A53,M_RawMaterials[Part Name],0)),"")</f>
        <v/>
      </c>
      <c r="C53" s="17">
        <f>IFERROR(INDEX(M_RawMaterials[Category],MATCH($A53,M_RawMaterials[Part Name],0)),"")</f>
        <v/>
      </c>
      <c r="D53" s="17">
        <f>IFERROR(INDEX(M_RawMaterials[基準在庫下限_要入力],MATCH($A53,M_RawMaterials[Part Name],0)),0)</f>
        <v/>
      </c>
      <c r="E53" s="17">
        <f>IFERROR(INDEX(M_RawMaterials[基準在庫上限_要入力],MATCH($A53,M_RawMaterials[Part Name],0)),0)</f>
        <v/>
      </c>
      <c r="F53" s="17">
        <f>IFERROR(LOOKUP(2,1/('T_SelfStock'!$B$29:$DA$29&lt;&gt;""),'T_SelfStock'!$B$29:$DA$29),"")</f>
        <v/>
      </c>
      <c r="G53" s="17">
        <f>IFERROR(LOOKUP(2,1/('T_TTAFStock'!$B$29:$DA$29&lt;&gt;""),'T_TTAFStock'!$B$29:$DA$29),"")</f>
        <v/>
      </c>
      <c r="H53" s="17">
        <f>IFERROR(LOOKUP(2,1/('T_SelfStock'!$B$29:$DA$29&lt;&gt;""),'T_SelfStock'!$B$5:$DA$5),"")</f>
        <v/>
      </c>
      <c r="I53" s="18" t="inlineStr">
        <is>
          <t>理論在庫</t>
        </is>
      </c>
      <c r="J53" s="17">
        <f>IFERROR(INDEX('Grid_Stock'!$A25:$DA25,1,LOOKUP(2,1/('T_SelfStock'!$B$29:$DA$29&lt;&gt;""),COLUMN('T_SelfStock'!$B$29:$DA$29)))-INDEX('Grid_TheoreticalStock'!$A25:$DA25,1,LOOKUP(2,1/('T_SelfStock'!$B$29:$DA$29&lt;&gt;""),COLUMN('T_SelfStock'!$B$29:$DA$29))),0)</f>
        <v/>
      </c>
      <c r="K53" s="18">
        <f>'Grid_TheoreticalStock'!B25</f>
        <v/>
      </c>
      <c r="L53" s="18">
        <f>'Grid_TheoreticalStock'!C25</f>
        <v/>
      </c>
      <c r="M53" s="18">
        <f>'Grid_TheoreticalStock'!D25</f>
        <v/>
      </c>
      <c r="N53" s="18">
        <f>'Grid_TheoreticalStock'!E25</f>
        <v/>
      </c>
      <c r="O53" s="18">
        <f>'Grid_TheoreticalStock'!F25</f>
        <v/>
      </c>
      <c r="P53" s="18">
        <f>'Grid_TheoreticalStock'!G25</f>
        <v/>
      </c>
      <c r="Q53" s="18">
        <f>'Grid_TheoreticalStock'!H25</f>
        <v/>
      </c>
      <c r="R53" s="18">
        <f>'Grid_TheoreticalStock'!I25</f>
        <v/>
      </c>
      <c r="S53" s="18">
        <f>'Grid_TheoreticalStock'!J25</f>
        <v/>
      </c>
      <c r="T53" s="18">
        <f>'Grid_TheoreticalStock'!K25</f>
        <v/>
      </c>
      <c r="U53" s="18">
        <f>'Grid_TheoreticalStock'!L25</f>
        <v/>
      </c>
      <c r="V53" s="18">
        <f>'Grid_TheoreticalStock'!M25</f>
        <v/>
      </c>
      <c r="W53" s="18">
        <f>'Grid_TheoreticalStock'!N25</f>
        <v/>
      </c>
      <c r="X53" s="18">
        <f>'Grid_TheoreticalStock'!O25</f>
        <v/>
      </c>
      <c r="Y53" s="18">
        <f>'Grid_TheoreticalStock'!P25</f>
        <v/>
      </c>
      <c r="Z53" s="18">
        <f>'Grid_TheoreticalStock'!Q25</f>
        <v/>
      </c>
      <c r="AA53" s="18">
        <f>'Grid_TheoreticalStock'!R25</f>
        <v/>
      </c>
      <c r="AB53" s="18">
        <f>'Grid_TheoreticalStock'!S25</f>
        <v/>
      </c>
      <c r="AC53" s="18">
        <f>'Grid_TheoreticalStock'!T25</f>
        <v/>
      </c>
      <c r="AD53" s="18">
        <f>'Grid_TheoreticalStock'!U25</f>
        <v/>
      </c>
      <c r="AE53" s="18">
        <f>'Grid_TheoreticalStock'!V25</f>
        <v/>
      </c>
      <c r="AF53" s="18">
        <f>'Grid_TheoreticalStock'!W25</f>
        <v/>
      </c>
      <c r="AG53" s="18">
        <f>'Grid_TheoreticalStock'!X25</f>
        <v/>
      </c>
      <c r="AH53" s="18">
        <f>'Grid_TheoreticalStock'!Y25</f>
        <v/>
      </c>
      <c r="AI53" s="18">
        <f>'Grid_TheoreticalStock'!Z25</f>
        <v/>
      </c>
      <c r="AJ53" s="18">
        <f>'Grid_TheoreticalStock'!AA25</f>
        <v/>
      </c>
      <c r="AK53" s="18">
        <f>'Grid_TheoreticalStock'!AB25</f>
        <v/>
      </c>
      <c r="AL53" s="18">
        <f>'Grid_TheoreticalStock'!AC25</f>
        <v/>
      </c>
      <c r="AM53" s="18">
        <f>'Grid_TheoreticalStock'!AD25</f>
        <v/>
      </c>
      <c r="AN53" s="18">
        <f>'Grid_TheoreticalStock'!AE25</f>
        <v/>
      </c>
      <c r="AO53" s="18">
        <f>'Grid_TheoreticalStock'!AF25</f>
        <v/>
      </c>
      <c r="AP53" s="18">
        <f>'Grid_TheoreticalStock'!AG25</f>
        <v/>
      </c>
      <c r="AQ53" s="18">
        <f>'Grid_TheoreticalStock'!AH25</f>
        <v/>
      </c>
      <c r="AR53" s="18">
        <f>'Grid_TheoreticalStock'!AI25</f>
        <v/>
      </c>
      <c r="AS53" s="18">
        <f>'Grid_TheoreticalStock'!AJ25</f>
        <v/>
      </c>
      <c r="AT53" s="18">
        <f>'Grid_TheoreticalStock'!AK25</f>
        <v/>
      </c>
      <c r="AU53" s="18">
        <f>'Grid_TheoreticalStock'!AL25</f>
        <v/>
      </c>
      <c r="AV53" s="18">
        <f>'Grid_TheoreticalStock'!AM25</f>
        <v/>
      </c>
      <c r="AW53" s="18">
        <f>'Grid_TheoreticalStock'!AN25</f>
        <v/>
      </c>
      <c r="AX53" s="18">
        <f>'Grid_TheoreticalStock'!AO25</f>
        <v/>
      </c>
      <c r="AY53" s="18">
        <f>'Grid_TheoreticalStock'!AP25</f>
        <v/>
      </c>
      <c r="AZ53" s="18">
        <f>'Grid_TheoreticalStock'!AQ25</f>
        <v/>
      </c>
      <c r="BA53" s="18">
        <f>'Grid_TheoreticalStock'!AR25</f>
        <v/>
      </c>
      <c r="BB53" s="18">
        <f>'Grid_TheoreticalStock'!AS25</f>
        <v/>
      </c>
      <c r="BC53" s="18">
        <f>'Grid_TheoreticalStock'!AT25</f>
        <v/>
      </c>
      <c r="BD53" s="18">
        <f>'Grid_TheoreticalStock'!AU25</f>
        <v/>
      </c>
      <c r="BE53" s="18">
        <f>'Grid_TheoreticalStock'!AV25</f>
        <v/>
      </c>
      <c r="BF53" s="18">
        <f>'Grid_TheoreticalStock'!AW25</f>
        <v/>
      </c>
      <c r="BG53" s="18">
        <f>'Grid_TheoreticalStock'!AX25</f>
        <v/>
      </c>
      <c r="BH53" s="18">
        <f>'Grid_TheoreticalStock'!AY25</f>
        <v/>
      </c>
      <c r="BI53" s="18">
        <f>'Grid_TheoreticalStock'!AZ25</f>
        <v/>
      </c>
      <c r="BJ53" s="18">
        <f>'Grid_TheoreticalStock'!BA25</f>
        <v/>
      </c>
      <c r="BK53" s="18">
        <f>'Grid_TheoreticalStock'!BB25</f>
        <v/>
      </c>
      <c r="BL53" s="18">
        <f>'Grid_TheoreticalStock'!BC25</f>
        <v/>
      </c>
      <c r="BM53" s="18">
        <f>'Grid_TheoreticalStock'!BD25</f>
        <v/>
      </c>
      <c r="BN53" s="18">
        <f>'Grid_TheoreticalStock'!BE25</f>
        <v/>
      </c>
      <c r="BO53" s="18">
        <f>'Grid_TheoreticalStock'!BF25</f>
        <v/>
      </c>
      <c r="BP53" s="18">
        <f>'Grid_TheoreticalStock'!BG25</f>
        <v/>
      </c>
      <c r="BQ53" s="18">
        <f>'Grid_TheoreticalStock'!BH25</f>
        <v/>
      </c>
      <c r="BR53" s="18">
        <f>'Grid_TheoreticalStock'!BI25</f>
        <v/>
      </c>
      <c r="BS53" s="18">
        <f>'Grid_TheoreticalStock'!BJ25</f>
        <v/>
      </c>
      <c r="BT53" s="18">
        <f>'Grid_TheoreticalStock'!BK25</f>
        <v/>
      </c>
      <c r="BU53" s="18">
        <f>'Grid_TheoreticalStock'!BL25</f>
        <v/>
      </c>
      <c r="BV53" s="18">
        <f>'Grid_TheoreticalStock'!BM25</f>
        <v/>
      </c>
      <c r="BW53" s="18">
        <f>'Grid_TheoreticalStock'!BN25</f>
        <v/>
      </c>
      <c r="BX53" s="18">
        <f>'Grid_TheoreticalStock'!BO25</f>
        <v/>
      </c>
      <c r="BY53" s="18">
        <f>'Grid_TheoreticalStock'!BP25</f>
        <v/>
      </c>
      <c r="BZ53" s="18">
        <f>'Grid_TheoreticalStock'!BQ25</f>
        <v/>
      </c>
      <c r="CA53" s="18">
        <f>'Grid_TheoreticalStock'!BR25</f>
        <v/>
      </c>
      <c r="CB53" s="18">
        <f>'Grid_TheoreticalStock'!BS25</f>
        <v/>
      </c>
      <c r="CC53" s="18">
        <f>'Grid_TheoreticalStock'!BT25</f>
        <v/>
      </c>
      <c r="CD53" s="18">
        <f>'Grid_TheoreticalStock'!BU25</f>
        <v/>
      </c>
      <c r="CE53" s="18">
        <f>'Grid_TheoreticalStock'!BV25</f>
        <v/>
      </c>
      <c r="CF53" s="18">
        <f>'Grid_TheoreticalStock'!BW25</f>
        <v/>
      </c>
      <c r="CG53" s="18">
        <f>'Grid_TheoreticalStock'!BX25</f>
        <v/>
      </c>
      <c r="CH53" s="18">
        <f>'Grid_TheoreticalStock'!BY25</f>
        <v/>
      </c>
      <c r="CI53" s="18">
        <f>'Grid_TheoreticalStock'!BZ25</f>
        <v/>
      </c>
      <c r="CJ53" s="18">
        <f>'Grid_TheoreticalStock'!CA25</f>
        <v/>
      </c>
      <c r="CK53" s="18">
        <f>'Grid_TheoreticalStock'!CB25</f>
        <v/>
      </c>
      <c r="CL53" s="18">
        <f>'Grid_TheoreticalStock'!CC25</f>
        <v/>
      </c>
      <c r="CM53" s="18">
        <f>'Grid_TheoreticalStock'!CD25</f>
        <v/>
      </c>
      <c r="CN53" s="18">
        <f>'Grid_TheoreticalStock'!CE25</f>
        <v/>
      </c>
      <c r="CO53" s="18">
        <f>'Grid_TheoreticalStock'!CF25</f>
        <v/>
      </c>
      <c r="CP53" s="18">
        <f>'Grid_TheoreticalStock'!CG25</f>
        <v/>
      </c>
      <c r="CQ53" s="18">
        <f>'Grid_TheoreticalStock'!CH25</f>
        <v/>
      </c>
      <c r="CR53" s="18">
        <f>'Grid_TheoreticalStock'!CI25</f>
        <v/>
      </c>
      <c r="CS53" s="18">
        <f>'Grid_TheoreticalStock'!CJ25</f>
        <v/>
      </c>
      <c r="CT53" s="18">
        <f>'Grid_TheoreticalStock'!CK25</f>
        <v/>
      </c>
      <c r="CU53" s="18">
        <f>'Grid_TheoreticalStock'!CL25</f>
        <v/>
      </c>
      <c r="CV53" s="18">
        <f>'Grid_TheoreticalStock'!CM25</f>
        <v/>
      </c>
      <c r="CW53" s="18">
        <f>'Grid_TheoreticalStock'!CN25</f>
        <v/>
      </c>
      <c r="CX53" s="18">
        <f>'Grid_TheoreticalStock'!CO25</f>
        <v/>
      </c>
      <c r="CY53" s="18">
        <f>'Grid_TheoreticalStock'!CP25</f>
        <v/>
      </c>
      <c r="CZ53" s="18">
        <f>'Grid_TheoreticalStock'!CQ25</f>
        <v/>
      </c>
      <c r="DA53" s="18">
        <f>'Grid_TheoreticalStock'!CR25</f>
        <v/>
      </c>
      <c r="DB53" s="18">
        <f>'Grid_TheoreticalStock'!CS25</f>
        <v/>
      </c>
      <c r="DC53" s="18">
        <f>'Grid_TheoreticalStock'!CT25</f>
        <v/>
      </c>
      <c r="DD53" s="18">
        <f>'Grid_TheoreticalStock'!CU25</f>
        <v/>
      </c>
      <c r="DE53" s="18">
        <f>'Grid_TheoreticalStock'!CV25</f>
        <v/>
      </c>
      <c r="DF53" s="18">
        <f>'Grid_TheoreticalStock'!CW25</f>
        <v/>
      </c>
      <c r="DG53" s="18">
        <f>'Grid_TheoreticalStock'!CX25</f>
        <v/>
      </c>
      <c r="DH53" s="18">
        <f>'Grid_TheoreticalStock'!CY25</f>
        <v/>
      </c>
      <c r="DI53" s="18">
        <f>'Grid_TheoreticalStock'!CZ25</f>
        <v/>
      </c>
      <c r="DJ53" s="18">
        <f>'Grid_TheoreticalStock'!DA25</f>
        <v/>
      </c>
    </row>
    <row r="54">
      <c r="A54" s="19" t="inlineStr">
        <is>
          <t>CHEM-1510</t>
        </is>
      </c>
      <c r="B54" s="19">
        <f>IFERROR(INDEX(M_RawMaterials[Description],MATCH($A54,M_RawMaterials[Part Name],0)),"")</f>
        <v/>
      </c>
      <c r="C54" s="19">
        <f>IFERROR(INDEX(M_RawMaterials[Category],MATCH($A54,M_RawMaterials[Part Name],0)),"")</f>
        <v/>
      </c>
      <c r="D54" s="19">
        <f>IFERROR(INDEX(M_RawMaterials[基準在庫下限_要入力],MATCH($A54,M_RawMaterials[Part Name],0)),0)</f>
        <v/>
      </c>
      <c r="E54" s="19">
        <f>IFERROR(INDEX(M_RawMaterials[基準在庫上限_要入力],MATCH($A54,M_RawMaterials[Part Name],0)),0)</f>
        <v/>
      </c>
      <c r="F54" s="19">
        <f>IFERROR(LOOKUP(2,1/('T_SelfStock'!$B$29:$DA$29&lt;&gt;""),'T_SelfStock'!$B$29:$DA$29),"")</f>
        <v/>
      </c>
      <c r="G54" s="19">
        <f>IFERROR(LOOKUP(2,1/('T_TTAFStock'!$B$29:$DA$29&lt;&gt;""),'T_TTAFStock'!$B$29:$DA$29),"")</f>
        <v/>
      </c>
      <c r="H54" s="19">
        <f>IFERROR(LOOKUP(2,1/('T_SelfStock'!$B$29:$DA$29&lt;&gt;""),'T_SelfStock'!$B$5:$DA$5),"")</f>
        <v/>
      </c>
      <c r="I54" s="20" t="inlineStr">
        <is>
          <t>実在庫</t>
        </is>
      </c>
      <c r="J54" s="19">
        <f>IFERROR(INDEX('Grid_Stock'!$A25:$DA25,1,LOOKUP(2,1/('T_SelfStock'!$B$29:$DA$29&lt;&gt;""),COLUMN('T_SelfStock'!$B$29:$DA$29)))-INDEX('Grid_TheoreticalStock'!$A25:$DA25,1,LOOKUP(2,1/('T_SelfStock'!$B$29:$DA$29&lt;&gt;""),COLUMN('T_SelfStock'!$B$29:$DA$29))),0)</f>
        <v/>
      </c>
      <c r="K54" s="19">
        <f>'Grid_Stock'!B25</f>
        <v/>
      </c>
      <c r="L54" s="19">
        <f>'Grid_Stock'!C25</f>
        <v/>
      </c>
      <c r="M54" s="19">
        <f>'Grid_Stock'!D25</f>
        <v/>
      </c>
      <c r="N54" s="19">
        <f>'Grid_Stock'!E25</f>
        <v/>
      </c>
      <c r="O54" s="19">
        <f>'Grid_Stock'!F25</f>
        <v/>
      </c>
      <c r="P54" s="19">
        <f>'Grid_Stock'!G25</f>
        <v/>
      </c>
      <c r="Q54" s="19">
        <f>'Grid_Stock'!H25</f>
        <v/>
      </c>
      <c r="R54" s="19">
        <f>'Grid_Stock'!I25</f>
        <v/>
      </c>
      <c r="S54" s="19">
        <f>'Grid_Stock'!J25</f>
        <v/>
      </c>
      <c r="T54" s="19">
        <f>'Grid_Stock'!K25</f>
        <v/>
      </c>
      <c r="U54" s="19">
        <f>'Grid_Stock'!L25</f>
        <v/>
      </c>
      <c r="V54" s="19">
        <f>'Grid_Stock'!M25</f>
        <v/>
      </c>
      <c r="W54" s="19">
        <f>'Grid_Stock'!N25</f>
        <v/>
      </c>
      <c r="X54" s="19">
        <f>'Grid_Stock'!O25</f>
        <v/>
      </c>
      <c r="Y54" s="19">
        <f>'Grid_Stock'!P25</f>
        <v/>
      </c>
      <c r="Z54" s="19">
        <f>'Grid_Stock'!Q25</f>
        <v/>
      </c>
      <c r="AA54" s="19">
        <f>'Grid_Stock'!R25</f>
        <v/>
      </c>
      <c r="AB54" s="19">
        <f>'Grid_Stock'!S25</f>
        <v/>
      </c>
      <c r="AC54" s="19">
        <f>'Grid_Stock'!T25</f>
        <v/>
      </c>
      <c r="AD54" s="19">
        <f>'Grid_Stock'!U25</f>
        <v/>
      </c>
      <c r="AE54" s="19">
        <f>'Grid_Stock'!V25</f>
        <v/>
      </c>
      <c r="AF54" s="19">
        <f>'Grid_Stock'!W25</f>
        <v/>
      </c>
      <c r="AG54" s="19">
        <f>'Grid_Stock'!X25</f>
        <v/>
      </c>
      <c r="AH54" s="19">
        <f>'Grid_Stock'!Y25</f>
        <v/>
      </c>
      <c r="AI54" s="19">
        <f>'Grid_Stock'!Z25</f>
        <v/>
      </c>
      <c r="AJ54" s="19">
        <f>'Grid_Stock'!AA25</f>
        <v/>
      </c>
      <c r="AK54" s="19">
        <f>'Grid_Stock'!AB25</f>
        <v/>
      </c>
      <c r="AL54" s="19">
        <f>'Grid_Stock'!AC25</f>
        <v/>
      </c>
      <c r="AM54" s="19">
        <f>'Grid_Stock'!AD25</f>
        <v/>
      </c>
      <c r="AN54" s="19">
        <f>'Grid_Stock'!AE25</f>
        <v/>
      </c>
      <c r="AO54" s="19">
        <f>'Grid_Stock'!AF25</f>
        <v/>
      </c>
      <c r="AP54" s="19">
        <f>'Grid_Stock'!AG25</f>
        <v/>
      </c>
      <c r="AQ54" s="19">
        <f>'Grid_Stock'!AH25</f>
        <v/>
      </c>
      <c r="AR54" s="19">
        <f>'Grid_Stock'!AI25</f>
        <v/>
      </c>
      <c r="AS54" s="19">
        <f>'Grid_Stock'!AJ25</f>
        <v/>
      </c>
      <c r="AT54" s="19">
        <f>'Grid_Stock'!AK25</f>
        <v/>
      </c>
      <c r="AU54" s="19">
        <f>'Grid_Stock'!AL25</f>
        <v/>
      </c>
      <c r="AV54" s="19">
        <f>'Grid_Stock'!AM25</f>
        <v/>
      </c>
      <c r="AW54" s="19">
        <f>'Grid_Stock'!AN25</f>
        <v/>
      </c>
      <c r="AX54" s="19">
        <f>'Grid_Stock'!AO25</f>
        <v/>
      </c>
      <c r="AY54" s="19">
        <f>'Grid_Stock'!AP25</f>
        <v/>
      </c>
      <c r="AZ54" s="19">
        <f>'Grid_Stock'!AQ25</f>
        <v/>
      </c>
      <c r="BA54" s="19">
        <f>'Grid_Stock'!AR25</f>
        <v/>
      </c>
      <c r="BB54" s="19">
        <f>'Grid_Stock'!AS25</f>
        <v/>
      </c>
      <c r="BC54" s="19">
        <f>'Grid_Stock'!AT25</f>
        <v/>
      </c>
      <c r="BD54" s="19">
        <f>'Grid_Stock'!AU25</f>
        <v/>
      </c>
      <c r="BE54" s="19">
        <f>'Grid_Stock'!AV25</f>
        <v/>
      </c>
      <c r="BF54" s="19">
        <f>'Grid_Stock'!AW25</f>
        <v/>
      </c>
      <c r="BG54" s="19">
        <f>'Grid_Stock'!AX25</f>
        <v/>
      </c>
      <c r="BH54" s="19">
        <f>'Grid_Stock'!AY25</f>
        <v/>
      </c>
      <c r="BI54" s="19">
        <f>'Grid_Stock'!AZ25</f>
        <v/>
      </c>
      <c r="BJ54" s="19">
        <f>'Grid_Stock'!BA25</f>
        <v/>
      </c>
      <c r="BK54" s="19">
        <f>'Grid_Stock'!BB25</f>
        <v/>
      </c>
      <c r="BL54" s="19">
        <f>'Grid_Stock'!BC25</f>
        <v/>
      </c>
      <c r="BM54" s="19">
        <f>'Grid_Stock'!BD25</f>
        <v/>
      </c>
      <c r="BN54" s="19">
        <f>'Grid_Stock'!BE25</f>
        <v/>
      </c>
      <c r="BO54" s="19">
        <f>'Grid_Stock'!BF25</f>
        <v/>
      </c>
      <c r="BP54" s="19">
        <f>'Grid_Stock'!BG25</f>
        <v/>
      </c>
      <c r="BQ54" s="19">
        <f>'Grid_Stock'!BH25</f>
        <v/>
      </c>
      <c r="BR54" s="19">
        <f>'Grid_Stock'!BI25</f>
        <v/>
      </c>
      <c r="BS54" s="19">
        <f>'Grid_Stock'!BJ25</f>
        <v/>
      </c>
      <c r="BT54" s="19">
        <f>'Grid_Stock'!BK25</f>
        <v/>
      </c>
      <c r="BU54" s="19">
        <f>'Grid_Stock'!BL25</f>
        <v/>
      </c>
      <c r="BV54" s="19">
        <f>'Grid_Stock'!BM25</f>
        <v/>
      </c>
      <c r="BW54" s="19">
        <f>'Grid_Stock'!BN25</f>
        <v/>
      </c>
      <c r="BX54" s="19">
        <f>'Grid_Stock'!BO25</f>
        <v/>
      </c>
      <c r="BY54" s="19">
        <f>'Grid_Stock'!BP25</f>
        <v/>
      </c>
      <c r="BZ54" s="19">
        <f>'Grid_Stock'!BQ25</f>
        <v/>
      </c>
      <c r="CA54" s="19">
        <f>'Grid_Stock'!BR25</f>
        <v/>
      </c>
      <c r="CB54" s="19">
        <f>'Grid_Stock'!BS25</f>
        <v/>
      </c>
      <c r="CC54" s="19">
        <f>'Grid_Stock'!BT25</f>
        <v/>
      </c>
      <c r="CD54" s="19">
        <f>'Grid_Stock'!BU25</f>
        <v/>
      </c>
      <c r="CE54" s="19">
        <f>'Grid_Stock'!BV25</f>
        <v/>
      </c>
      <c r="CF54" s="19">
        <f>'Grid_Stock'!BW25</f>
        <v/>
      </c>
      <c r="CG54" s="19">
        <f>'Grid_Stock'!BX25</f>
        <v/>
      </c>
      <c r="CH54" s="19">
        <f>'Grid_Stock'!BY25</f>
        <v/>
      </c>
      <c r="CI54" s="19">
        <f>'Grid_Stock'!BZ25</f>
        <v/>
      </c>
      <c r="CJ54" s="19">
        <f>'Grid_Stock'!CA25</f>
        <v/>
      </c>
      <c r="CK54" s="19">
        <f>'Grid_Stock'!CB25</f>
        <v/>
      </c>
      <c r="CL54" s="19">
        <f>'Grid_Stock'!CC25</f>
        <v/>
      </c>
      <c r="CM54" s="19">
        <f>'Grid_Stock'!CD25</f>
        <v/>
      </c>
      <c r="CN54" s="19">
        <f>'Grid_Stock'!CE25</f>
        <v/>
      </c>
      <c r="CO54" s="19">
        <f>'Grid_Stock'!CF25</f>
        <v/>
      </c>
      <c r="CP54" s="19">
        <f>'Grid_Stock'!CG25</f>
        <v/>
      </c>
      <c r="CQ54" s="19">
        <f>'Grid_Stock'!CH25</f>
        <v/>
      </c>
      <c r="CR54" s="19">
        <f>'Grid_Stock'!CI25</f>
        <v/>
      </c>
      <c r="CS54" s="19">
        <f>'Grid_Stock'!CJ25</f>
        <v/>
      </c>
      <c r="CT54" s="19">
        <f>'Grid_Stock'!CK25</f>
        <v/>
      </c>
      <c r="CU54" s="19">
        <f>'Grid_Stock'!CL25</f>
        <v/>
      </c>
      <c r="CV54" s="19">
        <f>'Grid_Stock'!CM25</f>
        <v/>
      </c>
      <c r="CW54" s="19">
        <f>'Grid_Stock'!CN25</f>
        <v/>
      </c>
      <c r="CX54" s="19">
        <f>'Grid_Stock'!CO25</f>
        <v/>
      </c>
      <c r="CY54" s="19">
        <f>'Grid_Stock'!CP25</f>
        <v/>
      </c>
      <c r="CZ54" s="19">
        <f>'Grid_Stock'!CQ25</f>
        <v/>
      </c>
      <c r="DA54" s="19">
        <f>'Grid_Stock'!CR25</f>
        <v/>
      </c>
      <c r="DB54" s="19">
        <f>'Grid_Stock'!CS25</f>
        <v/>
      </c>
      <c r="DC54" s="19">
        <f>'Grid_Stock'!CT25</f>
        <v/>
      </c>
      <c r="DD54" s="19">
        <f>'Grid_Stock'!CU25</f>
        <v/>
      </c>
      <c r="DE54" s="19">
        <f>'Grid_Stock'!CV25</f>
        <v/>
      </c>
      <c r="DF54" s="19">
        <f>'Grid_Stock'!CW25</f>
        <v/>
      </c>
      <c r="DG54" s="19">
        <f>'Grid_Stock'!CX25</f>
        <v/>
      </c>
      <c r="DH54" s="19">
        <f>'Grid_Stock'!CY25</f>
        <v/>
      </c>
      <c r="DI54" s="19">
        <f>'Grid_Stock'!CZ25</f>
        <v/>
      </c>
      <c r="DJ54" s="19">
        <f>'Grid_Stock'!DA25</f>
        <v/>
      </c>
    </row>
    <row r="55">
      <c r="A55" s="17" t="inlineStr">
        <is>
          <t>CHEM-1580</t>
        </is>
      </c>
      <c r="B55" s="17">
        <f>IFERROR(INDEX(M_RawMaterials[Description],MATCH($A55,M_RawMaterials[Part Name],0)),"")</f>
        <v/>
      </c>
      <c r="C55" s="17">
        <f>IFERROR(INDEX(M_RawMaterials[Category],MATCH($A55,M_RawMaterials[Part Name],0)),"")</f>
        <v/>
      </c>
      <c r="D55" s="17">
        <f>IFERROR(INDEX(M_RawMaterials[基準在庫下限_要入力],MATCH($A55,M_RawMaterials[Part Name],0)),0)</f>
        <v/>
      </c>
      <c r="E55" s="17">
        <f>IFERROR(INDEX(M_RawMaterials[基準在庫上限_要入力],MATCH($A55,M_RawMaterials[Part Name],0)),0)</f>
        <v/>
      </c>
      <c r="F55" s="17">
        <f>IFERROR(LOOKUP(2,1/('T_SelfStock'!$B$30:$DA$30&lt;&gt;""),'T_SelfStock'!$B$30:$DA$30),"")</f>
        <v/>
      </c>
      <c r="G55" s="17">
        <f>IFERROR(LOOKUP(2,1/('T_TTAFStock'!$B$30:$DA$30&lt;&gt;""),'T_TTAFStock'!$B$30:$DA$30),"")</f>
        <v/>
      </c>
      <c r="H55" s="17">
        <f>IFERROR(LOOKUP(2,1/('T_SelfStock'!$B$30:$DA$30&lt;&gt;""),'T_SelfStock'!$B$5:$DA$5),"")</f>
        <v/>
      </c>
      <c r="I55" s="18" t="inlineStr">
        <is>
          <t>理論在庫</t>
        </is>
      </c>
      <c r="J55" s="17">
        <f>IFERROR(INDEX('Grid_Stock'!$A26:$DA26,1,LOOKUP(2,1/('T_SelfStock'!$B$30:$DA$30&lt;&gt;""),COLUMN('T_SelfStock'!$B$30:$DA$30)))-INDEX('Grid_TheoreticalStock'!$A26:$DA26,1,LOOKUP(2,1/('T_SelfStock'!$B$30:$DA$30&lt;&gt;""),COLUMN('T_SelfStock'!$B$30:$DA$30))),0)</f>
        <v/>
      </c>
      <c r="K55" s="18">
        <f>'Grid_TheoreticalStock'!B26</f>
        <v/>
      </c>
      <c r="L55" s="18">
        <f>'Grid_TheoreticalStock'!C26</f>
        <v/>
      </c>
      <c r="M55" s="18">
        <f>'Grid_TheoreticalStock'!D26</f>
        <v/>
      </c>
      <c r="N55" s="18">
        <f>'Grid_TheoreticalStock'!E26</f>
        <v/>
      </c>
      <c r="O55" s="18">
        <f>'Grid_TheoreticalStock'!F26</f>
        <v/>
      </c>
      <c r="P55" s="18">
        <f>'Grid_TheoreticalStock'!G26</f>
        <v/>
      </c>
      <c r="Q55" s="18">
        <f>'Grid_TheoreticalStock'!H26</f>
        <v/>
      </c>
      <c r="R55" s="18">
        <f>'Grid_TheoreticalStock'!I26</f>
        <v/>
      </c>
      <c r="S55" s="18">
        <f>'Grid_TheoreticalStock'!J26</f>
        <v/>
      </c>
      <c r="T55" s="18">
        <f>'Grid_TheoreticalStock'!K26</f>
        <v/>
      </c>
      <c r="U55" s="18">
        <f>'Grid_TheoreticalStock'!L26</f>
        <v/>
      </c>
      <c r="V55" s="18">
        <f>'Grid_TheoreticalStock'!M26</f>
        <v/>
      </c>
      <c r="W55" s="18">
        <f>'Grid_TheoreticalStock'!N26</f>
        <v/>
      </c>
      <c r="X55" s="18">
        <f>'Grid_TheoreticalStock'!O26</f>
        <v/>
      </c>
      <c r="Y55" s="18">
        <f>'Grid_TheoreticalStock'!P26</f>
        <v/>
      </c>
      <c r="Z55" s="18">
        <f>'Grid_TheoreticalStock'!Q26</f>
        <v/>
      </c>
      <c r="AA55" s="18">
        <f>'Grid_TheoreticalStock'!R26</f>
        <v/>
      </c>
      <c r="AB55" s="18">
        <f>'Grid_TheoreticalStock'!S26</f>
        <v/>
      </c>
      <c r="AC55" s="18">
        <f>'Grid_TheoreticalStock'!T26</f>
        <v/>
      </c>
      <c r="AD55" s="18">
        <f>'Grid_TheoreticalStock'!U26</f>
        <v/>
      </c>
      <c r="AE55" s="18">
        <f>'Grid_TheoreticalStock'!V26</f>
        <v/>
      </c>
      <c r="AF55" s="18">
        <f>'Grid_TheoreticalStock'!W26</f>
        <v/>
      </c>
      <c r="AG55" s="18">
        <f>'Grid_TheoreticalStock'!X26</f>
        <v/>
      </c>
      <c r="AH55" s="18">
        <f>'Grid_TheoreticalStock'!Y26</f>
        <v/>
      </c>
      <c r="AI55" s="18">
        <f>'Grid_TheoreticalStock'!Z26</f>
        <v/>
      </c>
      <c r="AJ55" s="18">
        <f>'Grid_TheoreticalStock'!AA26</f>
        <v/>
      </c>
      <c r="AK55" s="18">
        <f>'Grid_TheoreticalStock'!AB26</f>
        <v/>
      </c>
      <c r="AL55" s="18">
        <f>'Grid_TheoreticalStock'!AC26</f>
        <v/>
      </c>
      <c r="AM55" s="18">
        <f>'Grid_TheoreticalStock'!AD26</f>
        <v/>
      </c>
      <c r="AN55" s="18">
        <f>'Grid_TheoreticalStock'!AE26</f>
        <v/>
      </c>
      <c r="AO55" s="18">
        <f>'Grid_TheoreticalStock'!AF26</f>
        <v/>
      </c>
      <c r="AP55" s="18">
        <f>'Grid_TheoreticalStock'!AG26</f>
        <v/>
      </c>
      <c r="AQ55" s="18">
        <f>'Grid_TheoreticalStock'!AH26</f>
        <v/>
      </c>
      <c r="AR55" s="18">
        <f>'Grid_TheoreticalStock'!AI26</f>
        <v/>
      </c>
      <c r="AS55" s="18">
        <f>'Grid_TheoreticalStock'!AJ26</f>
        <v/>
      </c>
      <c r="AT55" s="18">
        <f>'Grid_TheoreticalStock'!AK26</f>
        <v/>
      </c>
      <c r="AU55" s="18">
        <f>'Grid_TheoreticalStock'!AL26</f>
        <v/>
      </c>
      <c r="AV55" s="18">
        <f>'Grid_TheoreticalStock'!AM26</f>
        <v/>
      </c>
      <c r="AW55" s="18">
        <f>'Grid_TheoreticalStock'!AN26</f>
        <v/>
      </c>
      <c r="AX55" s="18">
        <f>'Grid_TheoreticalStock'!AO26</f>
        <v/>
      </c>
      <c r="AY55" s="18">
        <f>'Grid_TheoreticalStock'!AP26</f>
        <v/>
      </c>
      <c r="AZ55" s="18">
        <f>'Grid_TheoreticalStock'!AQ26</f>
        <v/>
      </c>
      <c r="BA55" s="18">
        <f>'Grid_TheoreticalStock'!AR26</f>
        <v/>
      </c>
      <c r="BB55" s="18">
        <f>'Grid_TheoreticalStock'!AS26</f>
        <v/>
      </c>
      <c r="BC55" s="18">
        <f>'Grid_TheoreticalStock'!AT26</f>
        <v/>
      </c>
      <c r="BD55" s="18">
        <f>'Grid_TheoreticalStock'!AU26</f>
        <v/>
      </c>
      <c r="BE55" s="18">
        <f>'Grid_TheoreticalStock'!AV26</f>
        <v/>
      </c>
      <c r="BF55" s="18">
        <f>'Grid_TheoreticalStock'!AW26</f>
        <v/>
      </c>
      <c r="BG55" s="18">
        <f>'Grid_TheoreticalStock'!AX26</f>
        <v/>
      </c>
      <c r="BH55" s="18">
        <f>'Grid_TheoreticalStock'!AY26</f>
        <v/>
      </c>
      <c r="BI55" s="18">
        <f>'Grid_TheoreticalStock'!AZ26</f>
        <v/>
      </c>
      <c r="BJ55" s="18">
        <f>'Grid_TheoreticalStock'!BA26</f>
        <v/>
      </c>
      <c r="BK55" s="18">
        <f>'Grid_TheoreticalStock'!BB26</f>
        <v/>
      </c>
      <c r="BL55" s="18">
        <f>'Grid_TheoreticalStock'!BC26</f>
        <v/>
      </c>
      <c r="BM55" s="18">
        <f>'Grid_TheoreticalStock'!BD26</f>
        <v/>
      </c>
      <c r="BN55" s="18">
        <f>'Grid_TheoreticalStock'!BE26</f>
        <v/>
      </c>
      <c r="BO55" s="18">
        <f>'Grid_TheoreticalStock'!BF26</f>
        <v/>
      </c>
      <c r="BP55" s="18">
        <f>'Grid_TheoreticalStock'!BG26</f>
        <v/>
      </c>
      <c r="BQ55" s="18">
        <f>'Grid_TheoreticalStock'!BH26</f>
        <v/>
      </c>
      <c r="BR55" s="18">
        <f>'Grid_TheoreticalStock'!BI26</f>
        <v/>
      </c>
      <c r="BS55" s="18">
        <f>'Grid_TheoreticalStock'!BJ26</f>
        <v/>
      </c>
      <c r="BT55" s="18">
        <f>'Grid_TheoreticalStock'!BK26</f>
        <v/>
      </c>
      <c r="BU55" s="18">
        <f>'Grid_TheoreticalStock'!BL26</f>
        <v/>
      </c>
      <c r="BV55" s="18">
        <f>'Grid_TheoreticalStock'!BM26</f>
        <v/>
      </c>
      <c r="BW55" s="18">
        <f>'Grid_TheoreticalStock'!BN26</f>
        <v/>
      </c>
      <c r="BX55" s="18">
        <f>'Grid_TheoreticalStock'!BO26</f>
        <v/>
      </c>
      <c r="BY55" s="18">
        <f>'Grid_TheoreticalStock'!BP26</f>
        <v/>
      </c>
      <c r="BZ55" s="18">
        <f>'Grid_TheoreticalStock'!BQ26</f>
        <v/>
      </c>
      <c r="CA55" s="18">
        <f>'Grid_TheoreticalStock'!BR26</f>
        <v/>
      </c>
      <c r="CB55" s="18">
        <f>'Grid_TheoreticalStock'!BS26</f>
        <v/>
      </c>
      <c r="CC55" s="18">
        <f>'Grid_TheoreticalStock'!BT26</f>
        <v/>
      </c>
      <c r="CD55" s="18">
        <f>'Grid_TheoreticalStock'!BU26</f>
        <v/>
      </c>
      <c r="CE55" s="18">
        <f>'Grid_TheoreticalStock'!BV26</f>
        <v/>
      </c>
      <c r="CF55" s="18">
        <f>'Grid_TheoreticalStock'!BW26</f>
        <v/>
      </c>
      <c r="CG55" s="18">
        <f>'Grid_TheoreticalStock'!BX26</f>
        <v/>
      </c>
      <c r="CH55" s="18">
        <f>'Grid_TheoreticalStock'!BY26</f>
        <v/>
      </c>
      <c r="CI55" s="18">
        <f>'Grid_TheoreticalStock'!BZ26</f>
        <v/>
      </c>
      <c r="CJ55" s="18">
        <f>'Grid_TheoreticalStock'!CA26</f>
        <v/>
      </c>
      <c r="CK55" s="18">
        <f>'Grid_TheoreticalStock'!CB26</f>
        <v/>
      </c>
      <c r="CL55" s="18">
        <f>'Grid_TheoreticalStock'!CC26</f>
        <v/>
      </c>
      <c r="CM55" s="18">
        <f>'Grid_TheoreticalStock'!CD26</f>
        <v/>
      </c>
      <c r="CN55" s="18">
        <f>'Grid_TheoreticalStock'!CE26</f>
        <v/>
      </c>
      <c r="CO55" s="18">
        <f>'Grid_TheoreticalStock'!CF26</f>
        <v/>
      </c>
      <c r="CP55" s="18">
        <f>'Grid_TheoreticalStock'!CG26</f>
        <v/>
      </c>
      <c r="CQ55" s="18">
        <f>'Grid_TheoreticalStock'!CH26</f>
        <v/>
      </c>
      <c r="CR55" s="18">
        <f>'Grid_TheoreticalStock'!CI26</f>
        <v/>
      </c>
      <c r="CS55" s="18">
        <f>'Grid_TheoreticalStock'!CJ26</f>
        <v/>
      </c>
      <c r="CT55" s="18">
        <f>'Grid_TheoreticalStock'!CK26</f>
        <v/>
      </c>
      <c r="CU55" s="18">
        <f>'Grid_TheoreticalStock'!CL26</f>
        <v/>
      </c>
      <c r="CV55" s="18">
        <f>'Grid_TheoreticalStock'!CM26</f>
        <v/>
      </c>
      <c r="CW55" s="18">
        <f>'Grid_TheoreticalStock'!CN26</f>
        <v/>
      </c>
      <c r="CX55" s="18">
        <f>'Grid_TheoreticalStock'!CO26</f>
        <v/>
      </c>
      <c r="CY55" s="18">
        <f>'Grid_TheoreticalStock'!CP26</f>
        <v/>
      </c>
      <c r="CZ55" s="18">
        <f>'Grid_TheoreticalStock'!CQ26</f>
        <v/>
      </c>
      <c r="DA55" s="18">
        <f>'Grid_TheoreticalStock'!CR26</f>
        <v/>
      </c>
      <c r="DB55" s="18">
        <f>'Grid_TheoreticalStock'!CS26</f>
        <v/>
      </c>
      <c r="DC55" s="18">
        <f>'Grid_TheoreticalStock'!CT26</f>
        <v/>
      </c>
      <c r="DD55" s="18">
        <f>'Grid_TheoreticalStock'!CU26</f>
        <v/>
      </c>
      <c r="DE55" s="18">
        <f>'Grid_TheoreticalStock'!CV26</f>
        <v/>
      </c>
      <c r="DF55" s="18">
        <f>'Grid_TheoreticalStock'!CW26</f>
        <v/>
      </c>
      <c r="DG55" s="18">
        <f>'Grid_TheoreticalStock'!CX26</f>
        <v/>
      </c>
      <c r="DH55" s="18">
        <f>'Grid_TheoreticalStock'!CY26</f>
        <v/>
      </c>
      <c r="DI55" s="18">
        <f>'Grid_TheoreticalStock'!CZ26</f>
        <v/>
      </c>
      <c r="DJ55" s="18">
        <f>'Grid_TheoreticalStock'!DA26</f>
        <v/>
      </c>
    </row>
    <row r="56">
      <c r="A56" s="19" t="inlineStr">
        <is>
          <t>CHEM-1580</t>
        </is>
      </c>
      <c r="B56" s="19">
        <f>IFERROR(INDEX(M_RawMaterials[Description],MATCH($A56,M_RawMaterials[Part Name],0)),"")</f>
        <v/>
      </c>
      <c r="C56" s="19">
        <f>IFERROR(INDEX(M_RawMaterials[Category],MATCH($A56,M_RawMaterials[Part Name],0)),"")</f>
        <v/>
      </c>
      <c r="D56" s="19">
        <f>IFERROR(INDEX(M_RawMaterials[基準在庫下限_要入力],MATCH($A56,M_RawMaterials[Part Name],0)),0)</f>
        <v/>
      </c>
      <c r="E56" s="19">
        <f>IFERROR(INDEX(M_RawMaterials[基準在庫上限_要入力],MATCH($A56,M_RawMaterials[Part Name],0)),0)</f>
        <v/>
      </c>
      <c r="F56" s="19">
        <f>IFERROR(LOOKUP(2,1/('T_SelfStock'!$B$30:$DA$30&lt;&gt;""),'T_SelfStock'!$B$30:$DA$30),"")</f>
        <v/>
      </c>
      <c r="G56" s="19">
        <f>IFERROR(LOOKUP(2,1/('T_TTAFStock'!$B$30:$DA$30&lt;&gt;""),'T_TTAFStock'!$B$30:$DA$30),"")</f>
        <v/>
      </c>
      <c r="H56" s="19">
        <f>IFERROR(LOOKUP(2,1/('T_SelfStock'!$B$30:$DA$30&lt;&gt;""),'T_SelfStock'!$B$5:$DA$5),"")</f>
        <v/>
      </c>
      <c r="I56" s="20" t="inlineStr">
        <is>
          <t>実在庫</t>
        </is>
      </c>
      <c r="J56" s="19">
        <f>IFERROR(INDEX('Grid_Stock'!$A26:$DA26,1,LOOKUP(2,1/('T_SelfStock'!$B$30:$DA$30&lt;&gt;""),COLUMN('T_SelfStock'!$B$30:$DA$30)))-INDEX('Grid_TheoreticalStock'!$A26:$DA26,1,LOOKUP(2,1/('T_SelfStock'!$B$30:$DA$30&lt;&gt;""),COLUMN('T_SelfStock'!$B$30:$DA$30))),0)</f>
        <v/>
      </c>
      <c r="K56" s="19">
        <f>'Grid_Stock'!B26</f>
        <v/>
      </c>
      <c r="L56" s="19">
        <f>'Grid_Stock'!C26</f>
        <v/>
      </c>
      <c r="M56" s="19">
        <f>'Grid_Stock'!D26</f>
        <v/>
      </c>
      <c r="N56" s="19">
        <f>'Grid_Stock'!E26</f>
        <v/>
      </c>
      <c r="O56" s="19">
        <f>'Grid_Stock'!F26</f>
        <v/>
      </c>
      <c r="P56" s="19">
        <f>'Grid_Stock'!G26</f>
        <v/>
      </c>
      <c r="Q56" s="19">
        <f>'Grid_Stock'!H26</f>
        <v/>
      </c>
      <c r="R56" s="19">
        <f>'Grid_Stock'!I26</f>
        <v/>
      </c>
      <c r="S56" s="19">
        <f>'Grid_Stock'!J26</f>
        <v/>
      </c>
      <c r="T56" s="19">
        <f>'Grid_Stock'!K26</f>
        <v/>
      </c>
      <c r="U56" s="19">
        <f>'Grid_Stock'!L26</f>
        <v/>
      </c>
      <c r="V56" s="19">
        <f>'Grid_Stock'!M26</f>
        <v/>
      </c>
      <c r="W56" s="19">
        <f>'Grid_Stock'!N26</f>
        <v/>
      </c>
      <c r="X56" s="19">
        <f>'Grid_Stock'!O26</f>
        <v/>
      </c>
      <c r="Y56" s="19">
        <f>'Grid_Stock'!P26</f>
        <v/>
      </c>
      <c r="Z56" s="19">
        <f>'Grid_Stock'!Q26</f>
        <v/>
      </c>
      <c r="AA56" s="19">
        <f>'Grid_Stock'!R26</f>
        <v/>
      </c>
      <c r="AB56" s="19">
        <f>'Grid_Stock'!S26</f>
        <v/>
      </c>
      <c r="AC56" s="19">
        <f>'Grid_Stock'!T26</f>
        <v/>
      </c>
      <c r="AD56" s="19">
        <f>'Grid_Stock'!U26</f>
        <v/>
      </c>
      <c r="AE56" s="19">
        <f>'Grid_Stock'!V26</f>
        <v/>
      </c>
      <c r="AF56" s="19">
        <f>'Grid_Stock'!W26</f>
        <v/>
      </c>
      <c r="AG56" s="19">
        <f>'Grid_Stock'!X26</f>
        <v/>
      </c>
      <c r="AH56" s="19">
        <f>'Grid_Stock'!Y26</f>
        <v/>
      </c>
      <c r="AI56" s="19">
        <f>'Grid_Stock'!Z26</f>
        <v/>
      </c>
      <c r="AJ56" s="19">
        <f>'Grid_Stock'!AA26</f>
        <v/>
      </c>
      <c r="AK56" s="19">
        <f>'Grid_Stock'!AB26</f>
        <v/>
      </c>
      <c r="AL56" s="19">
        <f>'Grid_Stock'!AC26</f>
        <v/>
      </c>
      <c r="AM56" s="19">
        <f>'Grid_Stock'!AD26</f>
        <v/>
      </c>
      <c r="AN56" s="19">
        <f>'Grid_Stock'!AE26</f>
        <v/>
      </c>
      <c r="AO56" s="19">
        <f>'Grid_Stock'!AF26</f>
        <v/>
      </c>
      <c r="AP56" s="19">
        <f>'Grid_Stock'!AG26</f>
        <v/>
      </c>
      <c r="AQ56" s="19">
        <f>'Grid_Stock'!AH26</f>
        <v/>
      </c>
      <c r="AR56" s="19">
        <f>'Grid_Stock'!AI26</f>
        <v/>
      </c>
      <c r="AS56" s="19">
        <f>'Grid_Stock'!AJ26</f>
        <v/>
      </c>
      <c r="AT56" s="19">
        <f>'Grid_Stock'!AK26</f>
        <v/>
      </c>
      <c r="AU56" s="19">
        <f>'Grid_Stock'!AL26</f>
        <v/>
      </c>
      <c r="AV56" s="19">
        <f>'Grid_Stock'!AM26</f>
        <v/>
      </c>
      <c r="AW56" s="19">
        <f>'Grid_Stock'!AN26</f>
        <v/>
      </c>
      <c r="AX56" s="19">
        <f>'Grid_Stock'!AO26</f>
        <v/>
      </c>
      <c r="AY56" s="19">
        <f>'Grid_Stock'!AP26</f>
        <v/>
      </c>
      <c r="AZ56" s="19">
        <f>'Grid_Stock'!AQ26</f>
        <v/>
      </c>
      <c r="BA56" s="19">
        <f>'Grid_Stock'!AR26</f>
        <v/>
      </c>
      <c r="BB56" s="19">
        <f>'Grid_Stock'!AS26</f>
        <v/>
      </c>
      <c r="BC56" s="19">
        <f>'Grid_Stock'!AT26</f>
        <v/>
      </c>
      <c r="BD56" s="19">
        <f>'Grid_Stock'!AU26</f>
        <v/>
      </c>
      <c r="BE56" s="19">
        <f>'Grid_Stock'!AV26</f>
        <v/>
      </c>
      <c r="BF56" s="19">
        <f>'Grid_Stock'!AW26</f>
        <v/>
      </c>
      <c r="BG56" s="19">
        <f>'Grid_Stock'!AX26</f>
        <v/>
      </c>
      <c r="BH56" s="19">
        <f>'Grid_Stock'!AY26</f>
        <v/>
      </c>
      <c r="BI56" s="19">
        <f>'Grid_Stock'!AZ26</f>
        <v/>
      </c>
      <c r="BJ56" s="19">
        <f>'Grid_Stock'!BA26</f>
        <v/>
      </c>
      <c r="BK56" s="19">
        <f>'Grid_Stock'!BB26</f>
        <v/>
      </c>
      <c r="BL56" s="19">
        <f>'Grid_Stock'!BC26</f>
        <v/>
      </c>
      <c r="BM56" s="19">
        <f>'Grid_Stock'!BD26</f>
        <v/>
      </c>
      <c r="BN56" s="19">
        <f>'Grid_Stock'!BE26</f>
        <v/>
      </c>
      <c r="BO56" s="19">
        <f>'Grid_Stock'!BF26</f>
        <v/>
      </c>
      <c r="BP56" s="19">
        <f>'Grid_Stock'!BG26</f>
        <v/>
      </c>
      <c r="BQ56" s="19">
        <f>'Grid_Stock'!BH26</f>
        <v/>
      </c>
      <c r="BR56" s="19">
        <f>'Grid_Stock'!BI26</f>
        <v/>
      </c>
      <c r="BS56" s="19">
        <f>'Grid_Stock'!BJ26</f>
        <v/>
      </c>
      <c r="BT56" s="19">
        <f>'Grid_Stock'!BK26</f>
        <v/>
      </c>
      <c r="BU56" s="19">
        <f>'Grid_Stock'!BL26</f>
        <v/>
      </c>
      <c r="BV56" s="19">
        <f>'Grid_Stock'!BM26</f>
        <v/>
      </c>
      <c r="BW56" s="19">
        <f>'Grid_Stock'!BN26</f>
        <v/>
      </c>
      <c r="BX56" s="19">
        <f>'Grid_Stock'!BO26</f>
        <v/>
      </c>
      <c r="BY56" s="19">
        <f>'Grid_Stock'!BP26</f>
        <v/>
      </c>
      <c r="BZ56" s="19">
        <f>'Grid_Stock'!BQ26</f>
        <v/>
      </c>
      <c r="CA56" s="19">
        <f>'Grid_Stock'!BR26</f>
        <v/>
      </c>
      <c r="CB56" s="19">
        <f>'Grid_Stock'!BS26</f>
        <v/>
      </c>
      <c r="CC56" s="19">
        <f>'Grid_Stock'!BT26</f>
        <v/>
      </c>
      <c r="CD56" s="19">
        <f>'Grid_Stock'!BU26</f>
        <v/>
      </c>
      <c r="CE56" s="19">
        <f>'Grid_Stock'!BV26</f>
        <v/>
      </c>
      <c r="CF56" s="19">
        <f>'Grid_Stock'!BW26</f>
        <v/>
      </c>
      <c r="CG56" s="19">
        <f>'Grid_Stock'!BX26</f>
        <v/>
      </c>
      <c r="CH56" s="19">
        <f>'Grid_Stock'!BY26</f>
        <v/>
      </c>
      <c r="CI56" s="19">
        <f>'Grid_Stock'!BZ26</f>
        <v/>
      </c>
      <c r="CJ56" s="19">
        <f>'Grid_Stock'!CA26</f>
        <v/>
      </c>
      <c r="CK56" s="19">
        <f>'Grid_Stock'!CB26</f>
        <v/>
      </c>
      <c r="CL56" s="19">
        <f>'Grid_Stock'!CC26</f>
        <v/>
      </c>
      <c r="CM56" s="19">
        <f>'Grid_Stock'!CD26</f>
        <v/>
      </c>
      <c r="CN56" s="19">
        <f>'Grid_Stock'!CE26</f>
        <v/>
      </c>
      <c r="CO56" s="19">
        <f>'Grid_Stock'!CF26</f>
        <v/>
      </c>
      <c r="CP56" s="19">
        <f>'Grid_Stock'!CG26</f>
        <v/>
      </c>
      <c r="CQ56" s="19">
        <f>'Grid_Stock'!CH26</f>
        <v/>
      </c>
      <c r="CR56" s="19">
        <f>'Grid_Stock'!CI26</f>
        <v/>
      </c>
      <c r="CS56" s="19">
        <f>'Grid_Stock'!CJ26</f>
        <v/>
      </c>
      <c r="CT56" s="19">
        <f>'Grid_Stock'!CK26</f>
        <v/>
      </c>
      <c r="CU56" s="19">
        <f>'Grid_Stock'!CL26</f>
        <v/>
      </c>
      <c r="CV56" s="19">
        <f>'Grid_Stock'!CM26</f>
        <v/>
      </c>
      <c r="CW56" s="19">
        <f>'Grid_Stock'!CN26</f>
        <v/>
      </c>
      <c r="CX56" s="19">
        <f>'Grid_Stock'!CO26</f>
        <v/>
      </c>
      <c r="CY56" s="19">
        <f>'Grid_Stock'!CP26</f>
        <v/>
      </c>
      <c r="CZ56" s="19">
        <f>'Grid_Stock'!CQ26</f>
        <v/>
      </c>
      <c r="DA56" s="19">
        <f>'Grid_Stock'!CR26</f>
        <v/>
      </c>
      <c r="DB56" s="19">
        <f>'Grid_Stock'!CS26</f>
        <v/>
      </c>
      <c r="DC56" s="19">
        <f>'Grid_Stock'!CT26</f>
        <v/>
      </c>
      <c r="DD56" s="19">
        <f>'Grid_Stock'!CU26</f>
        <v/>
      </c>
      <c r="DE56" s="19">
        <f>'Grid_Stock'!CV26</f>
        <v/>
      </c>
      <c r="DF56" s="19">
        <f>'Grid_Stock'!CW26</f>
        <v/>
      </c>
      <c r="DG56" s="19">
        <f>'Grid_Stock'!CX26</f>
        <v/>
      </c>
      <c r="DH56" s="19">
        <f>'Grid_Stock'!CY26</f>
        <v/>
      </c>
      <c r="DI56" s="19">
        <f>'Grid_Stock'!CZ26</f>
        <v/>
      </c>
      <c r="DJ56" s="19">
        <f>'Grid_Stock'!DA26</f>
        <v/>
      </c>
    </row>
    <row r="57">
      <c r="A57" s="17" t="inlineStr">
        <is>
          <t>CHEM-1250</t>
        </is>
      </c>
      <c r="B57" s="17">
        <f>IFERROR(INDEX(M_RawMaterials[Description],MATCH($A57,M_RawMaterials[Part Name],0)),"")</f>
        <v/>
      </c>
      <c r="C57" s="17">
        <f>IFERROR(INDEX(M_RawMaterials[Category],MATCH($A57,M_RawMaterials[Part Name],0)),"")</f>
        <v/>
      </c>
      <c r="D57" s="17">
        <f>IFERROR(INDEX(M_RawMaterials[基準在庫下限_要入力],MATCH($A57,M_RawMaterials[Part Name],0)),0)</f>
        <v/>
      </c>
      <c r="E57" s="17">
        <f>IFERROR(INDEX(M_RawMaterials[基準在庫上限_要入力],MATCH($A57,M_RawMaterials[Part Name],0)),0)</f>
        <v/>
      </c>
      <c r="F57" s="17">
        <f>IFERROR(LOOKUP(2,1/('T_SelfStock'!$B$31:$DA$31&lt;&gt;""),'T_SelfStock'!$B$31:$DA$31),"")</f>
        <v/>
      </c>
      <c r="G57" s="17">
        <f>IFERROR(LOOKUP(2,1/('T_TTAFStock'!$B$31:$DA$31&lt;&gt;""),'T_TTAFStock'!$B$31:$DA$31),"")</f>
        <v/>
      </c>
      <c r="H57" s="17">
        <f>IFERROR(LOOKUP(2,1/('T_SelfStock'!$B$31:$DA$31&lt;&gt;""),'T_SelfStock'!$B$5:$DA$5),"")</f>
        <v/>
      </c>
      <c r="I57" s="18" t="inlineStr">
        <is>
          <t>理論在庫</t>
        </is>
      </c>
      <c r="J57" s="17">
        <f>IFERROR(INDEX('Grid_Stock'!$A27:$DA27,1,LOOKUP(2,1/('T_SelfStock'!$B$31:$DA$31&lt;&gt;""),COLUMN('T_SelfStock'!$B$31:$DA$31)))-INDEX('Grid_TheoreticalStock'!$A27:$DA27,1,LOOKUP(2,1/('T_SelfStock'!$B$31:$DA$31&lt;&gt;""),COLUMN('T_SelfStock'!$B$31:$DA$31))),0)</f>
        <v/>
      </c>
      <c r="K57" s="18">
        <f>'Grid_TheoreticalStock'!B27</f>
        <v/>
      </c>
      <c r="L57" s="18">
        <f>'Grid_TheoreticalStock'!C27</f>
        <v/>
      </c>
      <c r="M57" s="18">
        <f>'Grid_TheoreticalStock'!D27</f>
        <v/>
      </c>
      <c r="N57" s="18">
        <f>'Grid_TheoreticalStock'!E27</f>
        <v/>
      </c>
      <c r="O57" s="18">
        <f>'Grid_TheoreticalStock'!F27</f>
        <v/>
      </c>
      <c r="P57" s="18">
        <f>'Grid_TheoreticalStock'!G27</f>
        <v/>
      </c>
      <c r="Q57" s="18">
        <f>'Grid_TheoreticalStock'!H27</f>
        <v/>
      </c>
      <c r="R57" s="18">
        <f>'Grid_TheoreticalStock'!I27</f>
        <v/>
      </c>
      <c r="S57" s="18">
        <f>'Grid_TheoreticalStock'!J27</f>
        <v/>
      </c>
      <c r="T57" s="18">
        <f>'Grid_TheoreticalStock'!K27</f>
        <v/>
      </c>
      <c r="U57" s="18">
        <f>'Grid_TheoreticalStock'!L27</f>
        <v/>
      </c>
      <c r="V57" s="18">
        <f>'Grid_TheoreticalStock'!M27</f>
        <v/>
      </c>
      <c r="W57" s="18">
        <f>'Grid_TheoreticalStock'!N27</f>
        <v/>
      </c>
      <c r="X57" s="18">
        <f>'Grid_TheoreticalStock'!O27</f>
        <v/>
      </c>
      <c r="Y57" s="18">
        <f>'Grid_TheoreticalStock'!P27</f>
        <v/>
      </c>
      <c r="Z57" s="18">
        <f>'Grid_TheoreticalStock'!Q27</f>
        <v/>
      </c>
      <c r="AA57" s="18">
        <f>'Grid_TheoreticalStock'!R27</f>
        <v/>
      </c>
      <c r="AB57" s="18">
        <f>'Grid_TheoreticalStock'!S27</f>
        <v/>
      </c>
      <c r="AC57" s="18">
        <f>'Grid_TheoreticalStock'!T27</f>
        <v/>
      </c>
      <c r="AD57" s="18">
        <f>'Grid_TheoreticalStock'!U27</f>
        <v/>
      </c>
      <c r="AE57" s="18">
        <f>'Grid_TheoreticalStock'!V27</f>
        <v/>
      </c>
      <c r="AF57" s="18">
        <f>'Grid_TheoreticalStock'!W27</f>
        <v/>
      </c>
      <c r="AG57" s="18">
        <f>'Grid_TheoreticalStock'!X27</f>
        <v/>
      </c>
      <c r="AH57" s="18">
        <f>'Grid_TheoreticalStock'!Y27</f>
        <v/>
      </c>
      <c r="AI57" s="18">
        <f>'Grid_TheoreticalStock'!Z27</f>
        <v/>
      </c>
      <c r="AJ57" s="18">
        <f>'Grid_TheoreticalStock'!AA27</f>
        <v/>
      </c>
      <c r="AK57" s="18">
        <f>'Grid_TheoreticalStock'!AB27</f>
        <v/>
      </c>
      <c r="AL57" s="18">
        <f>'Grid_TheoreticalStock'!AC27</f>
        <v/>
      </c>
      <c r="AM57" s="18">
        <f>'Grid_TheoreticalStock'!AD27</f>
        <v/>
      </c>
      <c r="AN57" s="18">
        <f>'Grid_TheoreticalStock'!AE27</f>
        <v/>
      </c>
      <c r="AO57" s="18">
        <f>'Grid_TheoreticalStock'!AF27</f>
        <v/>
      </c>
      <c r="AP57" s="18">
        <f>'Grid_TheoreticalStock'!AG27</f>
        <v/>
      </c>
      <c r="AQ57" s="18">
        <f>'Grid_TheoreticalStock'!AH27</f>
        <v/>
      </c>
      <c r="AR57" s="18">
        <f>'Grid_TheoreticalStock'!AI27</f>
        <v/>
      </c>
      <c r="AS57" s="18">
        <f>'Grid_TheoreticalStock'!AJ27</f>
        <v/>
      </c>
      <c r="AT57" s="18">
        <f>'Grid_TheoreticalStock'!AK27</f>
        <v/>
      </c>
      <c r="AU57" s="18">
        <f>'Grid_TheoreticalStock'!AL27</f>
        <v/>
      </c>
      <c r="AV57" s="18">
        <f>'Grid_TheoreticalStock'!AM27</f>
        <v/>
      </c>
      <c r="AW57" s="18">
        <f>'Grid_TheoreticalStock'!AN27</f>
        <v/>
      </c>
      <c r="AX57" s="18">
        <f>'Grid_TheoreticalStock'!AO27</f>
        <v/>
      </c>
      <c r="AY57" s="18">
        <f>'Grid_TheoreticalStock'!AP27</f>
        <v/>
      </c>
      <c r="AZ57" s="18">
        <f>'Grid_TheoreticalStock'!AQ27</f>
        <v/>
      </c>
      <c r="BA57" s="18">
        <f>'Grid_TheoreticalStock'!AR27</f>
        <v/>
      </c>
      <c r="BB57" s="18">
        <f>'Grid_TheoreticalStock'!AS27</f>
        <v/>
      </c>
      <c r="BC57" s="18">
        <f>'Grid_TheoreticalStock'!AT27</f>
        <v/>
      </c>
      <c r="BD57" s="18">
        <f>'Grid_TheoreticalStock'!AU27</f>
        <v/>
      </c>
      <c r="BE57" s="18">
        <f>'Grid_TheoreticalStock'!AV27</f>
        <v/>
      </c>
      <c r="BF57" s="18">
        <f>'Grid_TheoreticalStock'!AW27</f>
        <v/>
      </c>
      <c r="BG57" s="18">
        <f>'Grid_TheoreticalStock'!AX27</f>
        <v/>
      </c>
      <c r="BH57" s="18">
        <f>'Grid_TheoreticalStock'!AY27</f>
        <v/>
      </c>
      <c r="BI57" s="18">
        <f>'Grid_TheoreticalStock'!AZ27</f>
        <v/>
      </c>
      <c r="BJ57" s="18">
        <f>'Grid_TheoreticalStock'!BA27</f>
        <v/>
      </c>
      <c r="BK57" s="18">
        <f>'Grid_TheoreticalStock'!BB27</f>
        <v/>
      </c>
      <c r="BL57" s="18">
        <f>'Grid_TheoreticalStock'!BC27</f>
        <v/>
      </c>
      <c r="BM57" s="18">
        <f>'Grid_TheoreticalStock'!BD27</f>
        <v/>
      </c>
      <c r="BN57" s="18">
        <f>'Grid_TheoreticalStock'!BE27</f>
        <v/>
      </c>
      <c r="BO57" s="18">
        <f>'Grid_TheoreticalStock'!BF27</f>
        <v/>
      </c>
      <c r="BP57" s="18">
        <f>'Grid_TheoreticalStock'!BG27</f>
        <v/>
      </c>
      <c r="BQ57" s="18">
        <f>'Grid_TheoreticalStock'!BH27</f>
        <v/>
      </c>
      <c r="BR57" s="18">
        <f>'Grid_TheoreticalStock'!BI27</f>
        <v/>
      </c>
      <c r="BS57" s="18">
        <f>'Grid_TheoreticalStock'!BJ27</f>
        <v/>
      </c>
      <c r="BT57" s="18">
        <f>'Grid_TheoreticalStock'!BK27</f>
        <v/>
      </c>
      <c r="BU57" s="18">
        <f>'Grid_TheoreticalStock'!BL27</f>
        <v/>
      </c>
      <c r="BV57" s="18">
        <f>'Grid_TheoreticalStock'!BM27</f>
        <v/>
      </c>
      <c r="BW57" s="18">
        <f>'Grid_TheoreticalStock'!BN27</f>
        <v/>
      </c>
      <c r="BX57" s="18">
        <f>'Grid_TheoreticalStock'!BO27</f>
        <v/>
      </c>
      <c r="BY57" s="18">
        <f>'Grid_TheoreticalStock'!BP27</f>
        <v/>
      </c>
      <c r="BZ57" s="18">
        <f>'Grid_TheoreticalStock'!BQ27</f>
        <v/>
      </c>
      <c r="CA57" s="18">
        <f>'Grid_TheoreticalStock'!BR27</f>
        <v/>
      </c>
      <c r="CB57" s="18">
        <f>'Grid_TheoreticalStock'!BS27</f>
        <v/>
      </c>
      <c r="CC57" s="18">
        <f>'Grid_TheoreticalStock'!BT27</f>
        <v/>
      </c>
      <c r="CD57" s="18">
        <f>'Grid_TheoreticalStock'!BU27</f>
        <v/>
      </c>
      <c r="CE57" s="18">
        <f>'Grid_TheoreticalStock'!BV27</f>
        <v/>
      </c>
      <c r="CF57" s="18">
        <f>'Grid_TheoreticalStock'!BW27</f>
        <v/>
      </c>
      <c r="CG57" s="18">
        <f>'Grid_TheoreticalStock'!BX27</f>
        <v/>
      </c>
      <c r="CH57" s="18">
        <f>'Grid_TheoreticalStock'!BY27</f>
        <v/>
      </c>
      <c r="CI57" s="18">
        <f>'Grid_TheoreticalStock'!BZ27</f>
        <v/>
      </c>
      <c r="CJ57" s="18">
        <f>'Grid_TheoreticalStock'!CA27</f>
        <v/>
      </c>
      <c r="CK57" s="18">
        <f>'Grid_TheoreticalStock'!CB27</f>
        <v/>
      </c>
      <c r="CL57" s="18">
        <f>'Grid_TheoreticalStock'!CC27</f>
        <v/>
      </c>
      <c r="CM57" s="18">
        <f>'Grid_TheoreticalStock'!CD27</f>
        <v/>
      </c>
      <c r="CN57" s="18">
        <f>'Grid_TheoreticalStock'!CE27</f>
        <v/>
      </c>
      <c r="CO57" s="18">
        <f>'Grid_TheoreticalStock'!CF27</f>
        <v/>
      </c>
      <c r="CP57" s="18">
        <f>'Grid_TheoreticalStock'!CG27</f>
        <v/>
      </c>
      <c r="CQ57" s="18">
        <f>'Grid_TheoreticalStock'!CH27</f>
        <v/>
      </c>
      <c r="CR57" s="18">
        <f>'Grid_TheoreticalStock'!CI27</f>
        <v/>
      </c>
      <c r="CS57" s="18">
        <f>'Grid_TheoreticalStock'!CJ27</f>
        <v/>
      </c>
      <c r="CT57" s="18">
        <f>'Grid_TheoreticalStock'!CK27</f>
        <v/>
      </c>
      <c r="CU57" s="18">
        <f>'Grid_TheoreticalStock'!CL27</f>
        <v/>
      </c>
      <c r="CV57" s="18">
        <f>'Grid_TheoreticalStock'!CM27</f>
        <v/>
      </c>
      <c r="CW57" s="18">
        <f>'Grid_TheoreticalStock'!CN27</f>
        <v/>
      </c>
      <c r="CX57" s="18">
        <f>'Grid_TheoreticalStock'!CO27</f>
        <v/>
      </c>
      <c r="CY57" s="18">
        <f>'Grid_TheoreticalStock'!CP27</f>
        <v/>
      </c>
      <c r="CZ57" s="18">
        <f>'Grid_TheoreticalStock'!CQ27</f>
        <v/>
      </c>
      <c r="DA57" s="18">
        <f>'Grid_TheoreticalStock'!CR27</f>
        <v/>
      </c>
      <c r="DB57" s="18">
        <f>'Grid_TheoreticalStock'!CS27</f>
        <v/>
      </c>
      <c r="DC57" s="18">
        <f>'Grid_TheoreticalStock'!CT27</f>
        <v/>
      </c>
      <c r="DD57" s="18">
        <f>'Grid_TheoreticalStock'!CU27</f>
        <v/>
      </c>
      <c r="DE57" s="18">
        <f>'Grid_TheoreticalStock'!CV27</f>
        <v/>
      </c>
      <c r="DF57" s="18">
        <f>'Grid_TheoreticalStock'!CW27</f>
        <v/>
      </c>
      <c r="DG57" s="18">
        <f>'Grid_TheoreticalStock'!CX27</f>
        <v/>
      </c>
      <c r="DH57" s="18">
        <f>'Grid_TheoreticalStock'!CY27</f>
        <v/>
      </c>
      <c r="DI57" s="18">
        <f>'Grid_TheoreticalStock'!CZ27</f>
        <v/>
      </c>
      <c r="DJ57" s="18">
        <f>'Grid_TheoreticalStock'!DA27</f>
        <v/>
      </c>
    </row>
    <row r="58">
      <c r="A58" s="19" t="inlineStr">
        <is>
          <t>CHEM-1250</t>
        </is>
      </c>
      <c r="B58" s="19">
        <f>IFERROR(INDEX(M_RawMaterials[Description],MATCH($A58,M_RawMaterials[Part Name],0)),"")</f>
        <v/>
      </c>
      <c r="C58" s="19">
        <f>IFERROR(INDEX(M_RawMaterials[Category],MATCH($A58,M_RawMaterials[Part Name],0)),"")</f>
        <v/>
      </c>
      <c r="D58" s="19">
        <f>IFERROR(INDEX(M_RawMaterials[基準在庫下限_要入力],MATCH($A58,M_RawMaterials[Part Name],0)),0)</f>
        <v/>
      </c>
      <c r="E58" s="19">
        <f>IFERROR(INDEX(M_RawMaterials[基準在庫上限_要入力],MATCH($A58,M_RawMaterials[Part Name],0)),0)</f>
        <v/>
      </c>
      <c r="F58" s="19">
        <f>IFERROR(LOOKUP(2,1/('T_SelfStock'!$B$31:$DA$31&lt;&gt;""),'T_SelfStock'!$B$31:$DA$31),"")</f>
        <v/>
      </c>
      <c r="G58" s="19">
        <f>IFERROR(LOOKUP(2,1/('T_TTAFStock'!$B$31:$DA$31&lt;&gt;""),'T_TTAFStock'!$B$31:$DA$31),"")</f>
        <v/>
      </c>
      <c r="H58" s="19">
        <f>IFERROR(LOOKUP(2,1/('T_SelfStock'!$B$31:$DA$31&lt;&gt;""),'T_SelfStock'!$B$5:$DA$5),"")</f>
        <v/>
      </c>
      <c r="I58" s="20" t="inlineStr">
        <is>
          <t>実在庫</t>
        </is>
      </c>
      <c r="J58" s="19">
        <f>IFERROR(INDEX('Grid_Stock'!$A27:$DA27,1,LOOKUP(2,1/('T_SelfStock'!$B$31:$DA$31&lt;&gt;""),COLUMN('T_SelfStock'!$B$31:$DA$31)))-INDEX('Grid_TheoreticalStock'!$A27:$DA27,1,LOOKUP(2,1/('T_SelfStock'!$B$31:$DA$31&lt;&gt;""),COLUMN('T_SelfStock'!$B$31:$DA$31))),0)</f>
        <v/>
      </c>
      <c r="K58" s="19">
        <f>'Grid_Stock'!B27</f>
        <v/>
      </c>
      <c r="L58" s="19">
        <f>'Grid_Stock'!C27</f>
        <v/>
      </c>
      <c r="M58" s="19">
        <f>'Grid_Stock'!D27</f>
        <v/>
      </c>
      <c r="N58" s="19">
        <f>'Grid_Stock'!E27</f>
        <v/>
      </c>
      <c r="O58" s="19">
        <f>'Grid_Stock'!F27</f>
        <v/>
      </c>
      <c r="P58" s="19">
        <f>'Grid_Stock'!G27</f>
        <v/>
      </c>
      <c r="Q58" s="19">
        <f>'Grid_Stock'!H27</f>
        <v/>
      </c>
      <c r="R58" s="19">
        <f>'Grid_Stock'!I27</f>
        <v/>
      </c>
      <c r="S58" s="19">
        <f>'Grid_Stock'!J27</f>
        <v/>
      </c>
      <c r="T58" s="19">
        <f>'Grid_Stock'!K27</f>
        <v/>
      </c>
      <c r="U58" s="19">
        <f>'Grid_Stock'!L27</f>
        <v/>
      </c>
      <c r="V58" s="19">
        <f>'Grid_Stock'!M27</f>
        <v/>
      </c>
      <c r="W58" s="19">
        <f>'Grid_Stock'!N27</f>
        <v/>
      </c>
      <c r="X58" s="19">
        <f>'Grid_Stock'!O27</f>
        <v/>
      </c>
      <c r="Y58" s="19">
        <f>'Grid_Stock'!P27</f>
        <v/>
      </c>
      <c r="Z58" s="19">
        <f>'Grid_Stock'!Q27</f>
        <v/>
      </c>
      <c r="AA58" s="19">
        <f>'Grid_Stock'!R27</f>
        <v/>
      </c>
      <c r="AB58" s="19">
        <f>'Grid_Stock'!S27</f>
        <v/>
      </c>
      <c r="AC58" s="19">
        <f>'Grid_Stock'!T27</f>
        <v/>
      </c>
      <c r="AD58" s="19">
        <f>'Grid_Stock'!U27</f>
        <v/>
      </c>
      <c r="AE58" s="19">
        <f>'Grid_Stock'!V27</f>
        <v/>
      </c>
      <c r="AF58" s="19">
        <f>'Grid_Stock'!W27</f>
        <v/>
      </c>
      <c r="AG58" s="19">
        <f>'Grid_Stock'!X27</f>
        <v/>
      </c>
      <c r="AH58" s="19">
        <f>'Grid_Stock'!Y27</f>
        <v/>
      </c>
      <c r="AI58" s="19">
        <f>'Grid_Stock'!Z27</f>
        <v/>
      </c>
      <c r="AJ58" s="19">
        <f>'Grid_Stock'!AA27</f>
        <v/>
      </c>
      <c r="AK58" s="19">
        <f>'Grid_Stock'!AB27</f>
        <v/>
      </c>
      <c r="AL58" s="19">
        <f>'Grid_Stock'!AC27</f>
        <v/>
      </c>
      <c r="AM58" s="19">
        <f>'Grid_Stock'!AD27</f>
        <v/>
      </c>
      <c r="AN58" s="19">
        <f>'Grid_Stock'!AE27</f>
        <v/>
      </c>
      <c r="AO58" s="19">
        <f>'Grid_Stock'!AF27</f>
        <v/>
      </c>
      <c r="AP58" s="19">
        <f>'Grid_Stock'!AG27</f>
        <v/>
      </c>
      <c r="AQ58" s="19">
        <f>'Grid_Stock'!AH27</f>
        <v/>
      </c>
      <c r="AR58" s="19">
        <f>'Grid_Stock'!AI27</f>
        <v/>
      </c>
      <c r="AS58" s="19">
        <f>'Grid_Stock'!AJ27</f>
        <v/>
      </c>
      <c r="AT58" s="19">
        <f>'Grid_Stock'!AK27</f>
        <v/>
      </c>
      <c r="AU58" s="19">
        <f>'Grid_Stock'!AL27</f>
        <v/>
      </c>
      <c r="AV58" s="19">
        <f>'Grid_Stock'!AM27</f>
        <v/>
      </c>
      <c r="AW58" s="19">
        <f>'Grid_Stock'!AN27</f>
        <v/>
      </c>
      <c r="AX58" s="19">
        <f>'Grid_Stock'!AO27</f>
        <v/>
      </c>
      <c r="AY58" s="19">
        <f>'Grid_Stock'!AP27</f>
        <v/>
      </c>
      <c r="AZ58" s="19">
        <f>'Grid_Stock'!AQ27</f>
        <v/>
      </c>
      <c r="BA58" s="19">
        <f>'Grid_Stock'!AR27</f>
        <v/>
      </c>
      <c r="BB58" s="19">
        <f>'Grid_Stock'!AS27</f>
        <v/>
      </c>
      <c r="BC58" s="19">
        <f>'Grid_Stock'!AT27</f>
        <v/>
      </c>
      <c r="BD58" s="19">
        <f>'Grid_Stock'!AU27</f>
        <v/>
      </c>
      <c r="BE58" s="19">
        <f>'Grid_Stock'!AV27</f>
        <v/>
      </c>
      <c r="BF58" s="19">
        <f>'Grid_Stock'!AW27</f>
        <v/>
      </c>
      <c r="BG58" s="19">
        <f>'Grid_Stock'!AX27</f>
        <v/>
      </c>
      <c r="BH58" s="19">
        <f>'Grid_Stock'!AY27</f>
        <v/>
      </c>
      <c r="BI58" s="19">
        <f>'Grid_Stock'!AZ27</f>
        <v/>
      </c>
      <c r="BJ58" s="19">
        <f>'Grid_Stock'!BA27</f>
        <v/>
      </c>
      <c r="BK58" s="19">
        <f>'Grid_Stock'!BB27</f>
        <v/>
      </c>
      <c r="BL58" s="19">
        <f>'Grid_Stock'!BC27</f>
        <v/>
      </c>
      <c r="BM58" s="19">
        <f>'Grid_Stock'!BD27</f>
        <v/>
      </c>
      <c r="BN58" s="19">
        <f>'Grid_Stock'!BE27</f>
        <v/>
      </c>
      <c r="BO58" s="19">
        <f>'Grid_Stock'!BF27</f>
        <v/>
      </c>
      <c r="BP58" s="19">
        <f>'Grid_Stock'!BG27</f>
        <v/>
      </c>
      <c r="BQ58" s="19">
        <f>'Grid_Stock'!BH27</f>
        <v/>
      </c>
      <c r="BR58" s="19">
        <f>'Grid_Stock'!BI27</f>
        <v/>
      </c>
      <c r="BS58" s="19">
        <f>'Grid_Stock'!BJ27</f>
        <v/>
      </c>
      <c r="BT58" s="19">
        <f>'Grid_Stock'!BK27</f>
        <v/>
      </c>
      <c r="BU58" s="19">
        <f>'Grid_Stock'!BL27</f>
        <v/>
      </c>
      <c r="BV58" s="19">
        <f>'Grid_Stock'!BM27</f>
        <v/>
      </c>
      <c r="BW58" s="19">
        <f>'Grid_Stock'!BN27</f>
        <v/>
      </c>
      <c r="BX58" s="19">
        <f>'Grid_Stock'!BO27</f>
        <v/>
      </c>
      <c r="BY58" s="19">
        <f>'Grid_Stock'!BP27</f>
        <v/>
      </c>
      <c r="BZ58" s="19">
        <f>'Grid_Stock'!BQ27</f>
        <v/>
      </c>
      <c r="CA58" s="19">
        <f>'Grid_Stock'!BR27</f>
        <v/>
      </c>
      <c r="CB58" s="19">
        <f>'Grid_Stock'!BS27</f>
        <v/>
      </c>
      <c r="CC58" s="19">
        <f>'Grid_Stock'!BT27</f>
        <v/>
      </c>
      <c r="CD58" s="19">
        <f>'Grid_Stock'!BU27</f>
        <v/>
      </c>
      <c r="CE58" s="19">
        <f>'Grid_Stock'!BV27</f>
        <v/>
      </c>
      <c r="CF58" s="19">
        <f>'Grid_Stock'!BW27</f>
        <v/>
      </c>
      <c r="CG58" s="19">
        <f>'Grid_Stock'!BX27</f>
        <v/>
      </c>
      <c r="CH58" s="19">
        <f>'Grid_Stock'!BY27</f>
        <v/>
      </c>
      <c r="CI58" s="19">
        <f>'Grid_Stock'!BZ27</f>
        <v/>
      </c>
      <c r="CJ58" s="19">
        <f>'Grid_Stock'!CA27</f>
        <v/>
      </c>
      <c r="CK58" s="19">
        <f>'Grid_Stock'!CB27</f>
        <v/>
      </c>
      <c r="CL58" s="19">
        <f>'Grid_Stock'!CC27</f>
        <v/>
      </c>
      <c r="CM58" s="19">
        <f>'Grid_Stock'!CD27</f>
        <v/>
      </c>
      <c r="CN58" s="19">
        <f>'Grid_Stock'!CE27</f>
        <v/>
      </c>
      <c r="CO58" s="19">
        <f>'Grid_Stock'!CF27</f>
        <v/>
      </c>
      <c r="CP58" s="19">
        <f>'Grid_Stock'!CG27</f>
        <v/>
      </c>
      <c r="CQ58" s="19">
        <f>'Grid_Stock'!CH27</f>
        <v/>
      </c>
      <c r="CR58" s="19">
        <f>'Grid_Stock'!CI27</f>
        <v/>
      </c>
      <c r="CS58" s="19">
        <f>'Grid_Stock'!CJ27</f>
        <v/>
      </c>
      <c r="CT58" s="19">
        <f>'Grid_Stock'!CK27</f>
        <v/>
      </c>
      <c r="CU58" s="19">
        <f>'Grid_Stock'!CL27</f>
        <v/>
      </c>
      <c r="CV58" s="19">
        <f>'Grid_Stock'!CM27</f>
        <v/>
      </c>
      <c r="CW58" s="19">
        <f>'Grid_Stock'!CN27</f>
        <v/>
      </c>
      <c r="CX58" s="19">
        <f>'Grid_Stock'!CO27</f>
        <v/>
      </c>
      <c r="CY58" s="19">
        <f>'Grid_Stock'!CP27</f>
        <v/>
      </c>
      <c r="CZ58" s="19">
        <f>'Grid_Stock'!CQ27</f>
        <v/>
      </c>
      <c r="DA58" s="19">
        <f>'Grid_Stock'!CR27</f>
        <v/>
      </c>
      <c r="DB58" s="19">
        <f>'Grid_Stock'!CS27</f>
        <v/>
      </c>
      <c r="DC58" s="19">
        <f>'Grid_Stock'!CT27</f>
        <v/>
      </c>
      <c r="DD58" s="19">
        <f>'Grid_Stock'!CU27</f>
        <v/>
      </c>
      <c r="DE58" s="19">
        <f>'Grid_Stock'!CV27</f>
        <v/>
      </c>
      <c r="DF58" s="19">
        <f>'Grid_Stock'!CW27</f>
        <v/>
      </c>
      <c r="DG58" s="19">
        <f>'Grid_Stock'!CX27</f>
        <v/>
      </c>
      <c r="DH58" s="19">
        <f>'Grid_Stock'!CY27</f>
        <v/>
      </c>
      <c r="DI58" s="19">
        <f>'Grid_Stock'!CZ27</f>
        <v/>
      </c>
      <c r="DJ58" s="19">
        <f>'Grid_Stock'!DA27</f>
        <v/>
      </c>
    </row>
    <row r="59">
      <c r="A59" s="17" t="inlineStr">
        <is>
          <t>CHEM-1600</t>
        </is>
      </c>
      <c r="B59" s="17">
        <f>IFERROR(INDEX(M_RawMaterials[Description],MATCH($A59,M_RawMaterials[Part Name],0)),"")</f>
        <v/>
      </c>
      <c r="C59" s="17">
        <f>IFERROR(INDEX(M_RawMaterials[Category],MATCH($A59,M_RawMaterials[Part Name],0)),"")</f>
        <v/>
      </c>
      <c r="D59" s="17">
        <f>IFERROR(INDEX(M_RawMaterials[基準在庫下限_要入力],MATCH($A59,M_RawMaterials[Part Name],0)),0)</f>
        <v/>
      </c>
      <c r="E59" s="17">
        <f>IFERROR(INDEX(M_RawMaterials[基準在庫上限_要入力],MATCH($A59,M_RawMaterials[Part Name],0)),0)</f>
        <v/>
      </c>
      <c r="F59" s="17">
        <f>IFERROR(LOOKUP(2,1/('T_SelfStock'!$B$32:$DA$32&lt;&gt;""),'T_SelfStock'!$B$32:$DA$32),"")</f>
        <v/>
      </c>
      <c r="G59" s="17">
        <f>IFERROR(LOOKUP(2,1/('T_TTAFStock'!$B$32:$DA$32&lt;&gt;""),'T_TTAFStock'!$B$32:$DA$32),"")</f>
        <v/>
      </c>
      <c r="H59" s="17">
        <f>IFERROR(LOOKUP(2,1/('T_SelfStock'!$B$32:$DA$32&lt;&gt;""),'T_SelfStock'!$B$5:$DA$5),"")</f>
        <v/>
      </c>
      <c r="I59" s="18" t="inlineStr">
        <is>
          <t>理論在庫</t>
        </is>
      </c>
      <c r="J59" s="17">
        <f>IFERROR(INDEX('Grid_Stock'!$A28:$DA28,1,LOOKUP(2,1/('T_SelfStock'!$B$32:$DA$32&lt;&gt;""),COLUMN('T_SelfStock'!$B$32:$DA$32)))-INDEX('Grid_TheoreticalStock'!$A28:$DA28,1,LOOKUP(2,1/('T_SelfStock'!$B$32:$DA$32&lt;&gt;""),COLUMN('T_SelfStock'!$B$32:$DA$32))),0)</f>
        <v/>
      </c>
      <c r="K59" s="18">
        <f>'Grid_TheoreticalStock'!B28</f>
        <v/>
      </c>
      <c r="L59" s="18">
        <f>'Grid_TheoreticalStock'!C28</f>
        <v/>
      </c>
      <c r="M59" s="18">
        <f>'Grid_TheoreticalStock'!D28</f>
        <v/>
      </c>
      <c r="N59" s="18">
        <f>'Grid_TheoreticalStock'!E28</f>
        <v/>
      </c>
      <c r="O59" s="18">
        <f>'Grid_TheoreticalStock'!F28</f>
        <v/>
      </c>
      <c r="P59" s="18">
        <f>'Grid_TheoreticalStock'!G28</f>
        <v/>
      </c>
      <c r="Q59" s="18">
        <f>'Grid_TheoreticalStock'!H28</f>
        <v/>
      </c>
      <c r="R59" s="18">
        <f>'Grid_TheoreticalStock'!I28</f>
        <v/>
      </c>
      <c r="S59" s="18">
        <f>'Grid_TheoreticalStock'!J28</f>
        <v/>
      </c>
      <c r="T59" s="18">
        <f>'Grid_TheoreticalStock'!K28</f>
        <v/>
      </c>
      <c r="U59" s="18">
        <f>'Grid_TheoreticalStock'!L28</f>
        <v/>
      </c>
      <c r="V59" s="18">
        <f>'Grid_TheoreticalStock'!M28</f>
        <v/>
      </c>
      <c r="W59" s="18">
        <f>'Grid_TheoreticalStock'!N28</f>
        <v/>
      </c>
      <c r="X59" s="18">
        <f>'Grid_TheoreticalStock'!O28</f>
        <v/>
      </c>
      <c r="Y59" s="18">
        <f>'Grid_TheoreticalStock'!P28</f>
        <v/>
      </c>
      <c r="Z59" s="18">
        <f>'Grid_TheoreticalStock'!Q28</f>
        <v/>
      </c>
      <c r="AA59" s="18">
        <f>'Grid_TheoreticalStock'!R28</f>
        <v/>
      </c>
      <c r="AB59" s="18">
        <f>'Grid_TheoreticalStock'!S28</f>
        <v/>
      </c>
      <c r="AC59" s="18">
        <f>'Grid_TheoreticalStock'!T28</f>
        <v/>
      </c>
      <c r="AD59" s="18">
        <f>'Grid_TheoreticalStock'!U28</f>
        <v/>
      </c>
      <c r="AE59" s="18">
        <f>'Grid_TheoreticalStock'!V28</f>
        <v/>
      </c>
      <c r="AF59" s="18">
        <f>'Grid_TheoreticalStock'!W28</f>
        <v/>
      </c>
      <c r="AG59" s="18">
        <f>'Grid_TheoreticalStock'!X28</f>
        <v/>
      </c>
      <c r="AH59" s="18">
        <f>'Grid_TheoreticalStock'!Y28</f>
        <v/>
      </c>
      <c r="AI59" s="18">
        <f>'Grid_TheoreticalStock'!Z28</f>
        <v/>
      </c>
      <c r="AJ59" s="18">
        <f>'Grid_TheoreticalStock'!AA28</f>
        <v/>
      </c>
      <c r="AK59" s="18">
        <f>'Grid_TheoreticalStock'!AB28</f>
        <v/>
      </c>
      <c r="AL59" s="18">
        <f>'Grid_TheoreticalStock'!AC28</f>
        <v/>
      </c>
      <c r="AM59" s="18">
        <f>'Grid_TheoreticalStock'!AD28</f>
        <v/>
      </c>
      <c r="AN59" s="18">
        <f>'Grid_TheoreticalStock'!AE28</f>
        <v/>
      </c>
      <c r="AO59" s="18">
        <f>'Grid_TheoreticalStock'!AF28</f>
        <v/>
      </c>
      <c r="AP59" s="18">
        <f>'Grid_TheoreticalStock'!AG28</f>
        <v/>
      </c>
      <c r="AQ59" s="18">
        <f>'Grid_TheoreticalStock'!AH28</f>
        <v/>
      </c>
      <c r="AR59" s="18">
        <f>'Grid_TheoreticalStock'!AI28</f>
        <v/>
      </c>
      <c r="AS59" s="18">
        <f>'Grid_TheoreticalStock'!AJ28</f>
        <v/>
      </c>
      <c r="AT59" s="18">
        <f>'Grid_TheoreticalStock'!AK28</f>
        <v/>
      </c>
      <c r="AU59" s="18">
        <f>'Grid_TheoreticalStock'!AL28</f>
        <v/>
      </c>
      <c r="AV59" s="18">
        <f>'Grid_TheoreticalStock'!AM28</f>
        <v/>
      </c>
      <c r="AW59" s="18">
        <f>'Grid_TheoreticalStock'!AN28</f>
        <v/>
      </c>
      <c r="AX59" s="18">
        <f>'Grid_TheoreticalStock'!AO28</f>
        <v/>
      </c>
      <c r="AY59" s="18">
        <f>'Grid_TheoreticalStock'!AP28</f>
        <v/>
      </c>
      <c r="AZ59" s="18">
        <f>'Grid_TheoreticalStock'!AQ28</f>
        <v/>
      </c>
      <c r="BA59" s="18">
        <f>'Grid_TheoreticalStock'!AR28</f>
        <v/>
      </c>
      <c r="BB59" s="18">
        <f>'Grid_TheoreticalStock'!AS28</f>
        <v/>
      </c>
      <c r="BC59" s="18">
        <f>'Grid_TheoreticalStock'!AT28</f>
        <v/>
      </c>
      <c r="BD59" s="18">
        <f>'Grid_TheoreticalStock'!AU28</f>
        <v/>
      </c>
      <c r="BE59" s="18">
        <f>'Grid_TheoreticalStock'!AV28</f>
        <v/>
      </c>
      <c r="BF59" s="18">
        <f>'Grid_TheoreticalStock'!AW28</f>
        <v/>
      </c>
      <c r="BG59" s="18">
        <f>'Grid_TheoreticalStock'!AX28</f>
        <v/>
      </c>
      <c r="BH59" s="18">
        <f>'Grid_TheoreticalStock'!AY28</f>
        <v/>
      </c>
      <c r="BI59" s="18">
        <f>'Grid_TheoreticalStock'!AZ28</f>
        <v/>
      </c>
      <c r="BJ59" s="18">
        <f>'Grid_TheoreticalStock'!BA28</f>
        <v/>
      </c>
      <c r="BK59" s="18">
        <f>'Grid_TheoreticalStock'!BB28</f>
        <v/>
      </c>
      <c r="BL59" s="18">
        <f>'Grid_TheoreticalStock'!BC28</f>
        <v/>
      </c>
      <c r="BM59" s="18">
        <f>'Grid_TheoreticalStock'!BD28</f>
        <v/>
      </c>
      <c r="BN59" s="18">
        <f>'Grid_TheoreticalStock'!BE28</f>
        <v/>
      </c>
      <c r="BO59" s="18">
        <f>'Grid_TheoreticalStock'!BF28</f>
        <v/>
      </c>
      <c r="BP59" s="18">
        <f>'Grid_TheoreticalStock'!BG28</f>
        <v/>
      </c>
      <c r="BQ59" s="18">
        <f>'Grid_TheoreticalStock'!BH28</f>
        <v/>
      </c>
      <c r="BR59" s="18">
        <f>'Grid_TheoreticalStock'!BI28</f>
        <v/>
      </c>
      <c r="BS59" s="18">
        <f>'Grid_TheoreticalStock'!BJ28</f>
        <v/>
      </c>
      <c r="BT59" s="18">
        <f>'Grid_TheoreticalStock'!BK28</f>
        <v/>
      </c>
      <c r="BU59" s="18">
        <f>'Grid_TheoreticalStock'!BL28</f>
        <v/>
      </c>
      <c r="BV59" s="18">
        <f>'Grid_TheoreticalStock'!BM28</f>
        <v/>
      </c>
      <c r="BW59" s="18">
        <f>'Grid_TheoreticalStock'!BN28</f>
        <v/>
      </c>
      <c r="BX59" s="18">
        <f>'Grid_TheoreticalStock'!BO28</f>
        <v/>
      </c>
      <c r="BY59" s="18">
        <f>'Grid_TheoreticalStock'!BP28</f>
        <v/>
      </c>
      <c r="BZ59" s="18">
        <f>'Grid_TheoreticalStock'!BQ28</f>
        <v/>
      </c>
      <c r="CA59" s="18">
        <f>'Grid_TheoreticalStock'!BR28</f>
        <v/>
      </c>
      <c r="CB59" s="18">
        <f>'Grid_TheoreticalStock'!BS28</f>
        <v/>
      </c>
      <c r="CC59" s="18">
        <f>'Grid_TheoreticalStock'!BT28</f>
        <v/>
      </c>
      <c r="CD59" s="18">
        <f>'Grid_TheoreticalStock'!BU28</f>
        <v/>
      </c>
      <c r="CE59" s="18">
        <f>'Grid_TheoreticalStock'!BV28</f>
        <v/>
      </c>
      <c r="CF59" s="18">
        <f>'Grid_TheoreticalStock'!BW28</f>
        <v/>
      </c>
      <c r="CG59" s="18">
        <f>'Grid_TheoreticalStock'!BX28</f>
        <v/>
      </c>
      <c r="CH59" s="18">
        <f>'Grid_TheoreticalStock'!BY28</f>
        <v/>
      </c>
      <c r="CI59" s="18">
        <f>'Grid_TheoreticalStock'!BZ28</f>
        <v/>
      </c>
      <c r="CJ59" s="18">
        <f>'Grid_TheoreticalStock'!CA28</f>
        <v/>
      </c>
      <c r="CK59" s="18">
        <f>'Grid_TheoreticalStock'!CB28</f>
        <v/>
      </c>
      <c r="CL59" s="18">
        <f>'Grid_TheoreticalStock'!CC28</f>
        <v/>
      </c>
      <c r="CM59" s="18">
        <f>'Grid_TheoreticalStock'!CD28</f>
        <v/>
      </c>
      <c r="CN59" s="18">
        <f>'Grid_TheoreticalStock'!CE28</f>
        <v/>
      </c>
      <c r="CO59" s="18">
        <f>'Grid_TheoreticalStock'!CF28</f>
        <v/>
      </c>
      <c r="CP59" s="18">
        <f>'Grid_TheoreticalStock'!CG28</f>
        <v/>
      </c>
      <c r="CQ59" s="18">
        <f>'Grid_TheoreticalStock'!CH28</f>
        <v/>
      </c>
      <c r="CR59" s="18">
        <f>'Grid_TheoreticalStock'!CI28</f>
        <v/>
      </c>
      <c r="CS59" s="18">
        <f>'Grid_TheoreticalStock'!CJ28</f>
        <v/>
      </c>
      <c r="CT59" s="18">
        <f>'Grid_TheoreticalStock'!CK28</f>
        <v/>
      </c>
      <c r="CU59" s="18">
        <f>'Grid_TheoreticalStock'!CL28</f>
        <v/>
      </c>
      <c r="CV59" s="18">
        <f>'Grid_TheoreticalStock'!CM28</f>
        <v/>
      </c>
      <c r="CW59" s="18">
        <f>'Grid_TheoreticalStock'!CN28</f>
        <v/>
      </c>
      <c r="CX59" s="18">
        <f>'Grid_TheoreticalStock'!CO28</f>
        <v/>
      </c>
      <c r="CY59" s="18">
        <f>'Grid_TheoreticalStock'!CP28</f>
        <v/>
      </c>
      <c r="CZ59" s="18">
        <f>'Grid_TheoreticalStock'!CQ28</f>
        <v/>
      </c>
      <c r="DA59" s="18">
        <f>'Grid_TheoreticalStock'!CR28</f>
        <v/>
      </c>
      <c r="DB59" s="18">
        <f>'Grid_TheoreticalStock'!CS28</f>
        <v/>
      </c>
      <c r="DC59" s="18">
        <f>'Grid_TheoreticalStock'!CT28</f>
        <v/>
      </c>
      <c r="DD59" s="18">
        <f>'Grid_TheoreticalStock'!CU28</f>
        <v/>
      </c>
      <c r="DE59" s="18">
        <f>'Grid_TheoreticalStock'!CV28</f>
        <v/>
      </c>
      <c r="DF59" s="18">
        <f>'Grid_TheoreticalStock'!CW28</f>
        <v/>
      </c>
      <c r="DG59" s="18">
        <f>'Grid_TheoreticalStock'!CX28</f>
        <v/>
      </c>
      <c r="DH59" s="18">
        <f>'Grid_TheoreticalStock'!CY28</f>
        <v/>
      </c>
      <c r="DI59" s="18">
        <f>'Grid_TheoreticalStock'!CZ28</f>
        <v/>
      </c>
      <c r="DJ59" s="18">
        <f>'Grid_TheoreticalStock'!DA28</f>
        <v/>
      </c>
    </row>
    <row r="60">
      <c r="A60" s="19" t="inlineStr">
        <is>
          <t>CHEM-1600</t>
        </is>
      </c>
      <c r="B60" s="19">
        <f>IFERROR(INDEX(M_RawMaterials[Description],MATCH($A60,M_RawMaterials[Part Name],0)),"")</f>
        <v/>
      </c>
      <c r="C60" s="19">
        <f>IFERROR(INDEX(M_RawMaterials[Category],MATCH($A60,M_RawMaterials[Part Name],0)),"")</f>
        <v/>
      </c>
      <c r="D60" s="19">
        <f>IFERROR(INDEX(M_RawMaterials[基準在庫下限_要入力],MATCH($A60,M_RawMaterials[Part Name],0)),0)</f>
        <v/>
      </c>
      <c r="E60" s="19">
        <f>IFERROR(INDEX(M_RawMaterials[基準在庫上限_要入力],MATCH($A60,M_RawMaterials[Part Name],0)),0)</f>
        <v/>
      </c>
      <c r="F60" s="19">
        <f>IFERROR(LOOKUP(2,1/('T_SelfStock'!$B$32:$DA$32&lt;&gt;""),'T_SelfStock'!$B$32:$DA$32),"")</f>
        <v/>
      </c>
      <c r="G60" s="19">
        <f>IFERROR(LOOKUP(2,1/('T_TTAFStock'!$B$32:$DA$32&lt;&gt;""),'T_TTAFStock'!$B$32:$DA$32),"")</f>
        <v/>
      </c>
      <c r="H60" s="19">
        <f>IFERROR(LOOKUP(2,1/('T_SelfStock'!$B$32:$DA$32&lt;&gt;""),'T_SelfStock'!$B$5:$DA$5),"")</f>
        <v/>
      </c>
      <c r="I60" s="20" t="inlineStr">
        <is>
          <t>実在庫</t>
        </is>
      </c>
      <c r="J60" s="19">
        <f>IFERROR(INDEX('Grid_Stock'!$A28:$DA28,1,LOOKUP(2,1/('T_SelfStock'!$B$32:$DA$32&lt;&gt;""),COLUMN('T_SelfStock'!$B$32:$DA$32)))-INDEX('Grid_TheoreticalStock'!$A28:$DA28,1,LOOKUP(2,1/('T_SelfStock'!$B$32:$DA$32&lt;&gt;""),COLUMN('T_SelfStock'!$B$32:$DA$32))),0)</f>
        <v/>
      </c>
      <c r="K60" s="19">
        <f>'Grid_Stock'!B28</f>
        <v/>
      </c>
      <c r="L60" s="19">
        <f>'Grid_Stock'!C28</f>
        <v/>
      </c>
      <c r="M60" s="19">
        <f>'Grid_Stock'!D28</f>
        <v/>
      </c>
      <c r="N60" s="19">
        <f>'Grid_Stock'!E28</f>
        <v/>
      </c>
      <c r="O60" s="19">
        <f>'Grid_Stock'!F28</f>
        <v/>
      </c>
      <c r="P60" s="19">
        <f>'Grid_Stock'!G28</f>
        <v/>
      </c>
      <c r="Q60" s="19">
        <f>'Grid_Stock'!H28</f>
        <v/>
      </c>
      <c r="R60" s="19">
        <f>'Grid_Stock'!I28</f>
        <v/>
      </c>
      <c r="S60" s="19">
        <f>'Grid_Stock'!J28</f>
        <v/>
      </c>
      <c r="T60" s="19">
        <f>'Grid_Stock'!K28</f>
        <v/>
      </c>
      <c r="U60" s="19">
        <f>'Grid_Stock'!L28</f>
        <v/>
      </c>
      <c r="V60" s="19">
        <f>'Grid_Stock'!M28</f>
        <v/>
      </c>
      <c r="W60" s="19">
        <f>'Grid_Stock'!N28</f>
        <v/>
      </c>
      <c r="X60" s="19">
        <f>'Grid_Stock'!O28</f>
        <v/>
      </c>
      <c r="Y60" s="19">
        <f>'Grid_Stock'!P28</f>
        <v/>
      </c>
      <c r="Z60" s="19">
        <f>'Grid_Stock'!Q28</f>
        <v/>
      </c>
      <c r="AA60" s="19">
        <f>'Grid_Stock'!R28</f>
        <v/>
      </c>
      <c r="AB60" s="19">
        <f>'Grid_Stock'!S28</f>
        <v/>
      </c>
      <c r="AC60" s="19">
        <f>'Grid_Stock'!T28</f>
        <v/>
      </c>
      <c r="AD60" s="19">
        <f>'Grid_Stock'!U28</f>
        <v/>
      </c>
      <c r="AE60" s="19">
        <f>'Grid_Stock'!V28</f>
        <v/>
      </c>
      <c r="AF60" s="19">
        <f>'Grid_Stock'!W28</f>
        <v/>
      </c>
      <c r="AG60" s="19">
        <f>'Grid_Stock'!X28</f>
        <v/>
      </c>
      <c r="AH60" s="19">
        <f>'Grid_Stock'!Y28</f>
        <v/>
      </c>
      <c r="AI60" s="19">
        <f>'Grid_Stock'!Z28</f>
        <v/>
      </c>
      <c r="AJ60" s="19">
        <f>'Grid_Stock'!AA28</f>
        <v/>
      </c>
      <c r="AK60" s="19">
        <f>'Grid_Stock'!AB28</f>
        <v/>
      </c>
      <c r="AL60" s="19">
        <f>'Grid_Stock'!AC28</f>
        <v/>
      </c>
      <c r="AM60" s="19">
        <f>'Grid_Stock'!AD28</f>
        <v/>
      </c>
      <c r="AN60" s="19">
        <f>'Grid_Stock'!AE28</f>
        <v/>
      </c>
      <c r="AO60" s="19">
        <f>'Grid_Stock'!AF28</f>
        <v/>
      </c>
      <c r="AP60" s="19">
        <f>'Grid_Stock'!AG28</f>
        <v/>
      </c>
      <c r="AQ60" s="19">
        <f>'Grid_Stock'!AH28</f>
        <v/>
      </c>
      <c r="AR60" s="19">
        <f>'Grid_Stock'!AI28</f>
        <v/>
      </c>
      <c r="AS60" s="19">
        <f>'Grid_Stock'!AJ28</f>
        <v/>
      </c>
      <c r="AT60" s="19">
        <f>'Grid_Stock'!AK28</f>
        <v/>
      </c>
      <c r="AU60" s="19">
        <f>'Grid_Stock'!AL28</f>
        <v/>
      </c>
      <c r="AV60" s="19">
        <f>'Grid_Stock'!AM28</f>
        <v/>
      </c>
      <c r="AW60" s="19">
        <f>'Grid_Stock'!AN28</f>
        <v/>
      </c>
      <c r="AX60" s="19">
        <f>'Grid_Stock'!AO28</f>
        <v/>
      </c>
      <c r="AY60" s="19">
        <f>'Grid_Stock'!AP28</f>
        <v/>
      </c>
      <c r="AZ60" s="19">
        <f>'Grid_Stock'!AQ28</f>
        <v/>
      </c>
      <c r="BA60" s="19">
        <f>'Grid_Stock'!AR28</f>
        <v/>
      </c>
      <c r="BB60" s="19">
        <f>'Grid_Stock'!AS28</f>
        <v/>
      </c>
      <c r="BC60" s="19">
        <f>'Grid_Stock'!AT28</f>
        <v/>
      </c>
      <c r="BD60" s="19">
        <f>'Grid_Stock'!AU28</f>
        <v/>
      </c>
      <c r="BE60" s="19">
        <f>'Grid_Stock'!AV28</f>
        <v/>
      </c>
      <c r="BF60" s="19">
        <f>'Grid_Stock'!AW28</f>
        <v/>
      </c>
      <c r="BG60" s="19">
        <f>'Grid_Stock'!AX28</f>
        <v/>
      </c>
      <c r="BH60" s="19">
        <f>'Grid_Stock'!AY28</f>
        <v/>
      </c>
      <c r="BI60" s="19">
        <f>'Grid_Stock'!AZ28</f>
        <v/>
      </c>
      <c r="BJ60" s="19">
        <f>'Grid_Stock'!BA28</f>
        <v/>
      </c>
      <c r="BK60" s="19">
        <f>'Grid_Stock'!BB28</f>
        <v/>
      </c>
      <c r="BL60" s="19">
        <f>'Grid_Stock'!BC28</f>
        <v/>
      </c>
      <c r="BM60" s="19">
        <f>'Grid_Stock'!BD28</f>
        <v/>
      </c>
      <c r="BN60" s="19">
        <f>'Grid_Stock'!BE28</f>
        <v/>
      </c>
      <c r="BO60" s="19">
        <f>'Grid_Stock'!BF28</f>
        <v/>
      </c>
      <c r="BP60" s="19">
        <f>'Grid_Stock'!BG28</f>
        <v/>
      </c>
      <c r="BQ60" s="19">
        <f>'Grid_Stock'!BH28</f>
        <v/>
      </c>
      <c r="BR60" s="19">
        <f>'Grid_Stock'!BI28</f>
        <v/>
      </c>
      <c r="BS60" s="19">
        <f>'Grid_Stock'!BJ28</f>
        <v/>
      </c>
      <c r="BT60" s="19">
        <f>'Grid_Stock'!BK28</f>
        <v/>
      </c>
      <c r="BU60" s="19">
        <f>'Grid_Stock'!BL28</f>
        <v/>
      </c>
      <c r="BV60" s="19">
        <f>'Grid_Stock'!BM28</f>
        <v/>
      </c>
      <c r="BW60" s="19">
        <f>'Grid_Stock'!BN28</f>
        <v/>
      </c>
      <c r="BX60" s="19">
        <f>'Grid_Stock'!BO28</f>
        <v/>
      </c>
      <c r="BY60" s="19">
        <f>'Grid_Stock'!BP28</f>
        <v/>
      </c>
      <c r="BZ60" s="19">
        <f>'Grid_Stock'!BQ28</f>
        <v/>
      </c>
      <c r="CA60" s="19">
        <f>'Grid_Stock'!BR28</f>
        <v/>
      </c>
      <c r="CB60" s="19">
        <f>'Grid_Stock'!BS28</f>
        <v/>
      </c>
      <c r="CC60" s="19">
        <f>'Grid_Stock'!BT28</f>
        <v/>
      </c>
      <c r="CD60" s="19">
        <f>'Grid_Stock'!BU28</f>
        <v/>
      </c>
      <c r="CE60" s="19">
        <f>'Grid_Stock'!BV28</f>
        <v/>
      </c>
      <c r="CF60" s="19">
        <f>'Grid_Stock'!BW28</f>
        <v/>
      </c>
      <c r="CG60" s="19">
        <f>'Grid_Stock'!BX28</f>
        <v/>
      </c>
      <c r="CH60" s="19">
        <f>'Grid_Stock'!BY28</f>
        <v/>
      </c>
      <c r="CI60" s="19">
        <f>'Grid_Stock'!BZ28</f>
        <v/>
      </c>
      <c r="CJ60" s="19">
        <f>'Grid_Stock'!CA28</f>
        <v/>
      </c>
      <c r="CK60" s="19">
        <f>'Grid_Stock'!CB28</f>
        <v/>
      </c>
      <c r="CL60" s="19">
        <f>'Grid_Stock'!CC28</f>
        <v/>
      </c>
      <c r="CM60" s="19">
        <f>'Grid_Stock'!CD28</f>
        <v/>
      </c>
      <c r="CN60" s="19">
        <f>'Grid_Stock'!CE28</f>
        <v/>
      </c>
      <c r="CO60" s="19">
        <f>'Grid_Stock'!CF28</f>
        <v/>
      </c>
      <c r="CP60" s="19">
        <f>'Grid_Stock'!CG28</f>
        <v/>
      </c>
      <c r="CQ60" s="19">
        <f>'Grid_Stock'!CH28</f>
        <v/>
      </c>
      <c r="CR60" s="19">
        <f>'Grid_Stock'!CI28</f>
        <v/>
      </c>
      <c r="CS60" s="19">
        <f>'Grid_Stock'!CJ28</f>
        <v/>
      </c>
      <c r="CT60" s="19">
        <f>'Grid_Stock'!CK28</f>
        <v/>
      </c>
      <c r="CU60" s="19">
        <f>'Grid_Stock'!CL28</f>
        <v/>
      </c>
      <c r="CV60" s="19">
        <f>'Grid_Stock'!CM28</f>
        <v/>
      </c>
      <c r="CW60" s="19">
        <f>'Grid_Stock'!CN28</f>
        <v/>
      </c>
      <c r="CX60" s="19">
        <f>'Grid_Stock'!CO28</f>
        <v/>
      </c>
      <c r="CY60" s="19">
        <f>'Grid_Stock'!CP28</f>
        <v/>
      </c>
      <c r="CZ60" s="19">
        <f>'Grid_Stock'!CQ28</f>
        <v/>
      </c>
      <c r="DA60" s="19">
        <f>'Grid_Stock'!CR28</f>
        <v/>
      </c>
      <c r="DB60" s="19">
        <f>'Grid_Stock'!CS28</f>
        <v/>
      </c>
      <c r="DC60" s="19">
        <f>'Grid_Stock'!CT28</f>
        <v/>
      </c>
      <c r="DD60" s="19">
        <f>'Grid_Stock'!CU28</f>
        <v/>
      </c>
      <c r="DE60" s="19">
        <f>'Grid_Stock'!CV28</f>
        <v/>
      </c>
      <c r="DF60" s="19">
        <f>'Grid_Stock'!CW28</f>
        <v/>
      </c>
      <c r="DG60" s="19">
        <f>'Grid_Stock'!CX28</f>
        <v/>
      </c>
      <c r="DH60" s="19">
        <f>'Grid_Stock'!CY28</f>
        <v/>
      </c>
      <c r="DI60" s="19">
        <f>'Grid_Stock'!CZ28</f>
        <v/>
      </c>
      <c r="DJ60" s="19">
        <f>'Grid_Stock'!DA28</f>
        <v/>
      </c>
    </row>
    <row r="61">
      <c r="A61" s="17" t="inlineStr">
        <is>
          <t>CHEM-1120</t>
        </is>
      </c>
      <c r="B61" s="17">
        <f>IFERROR(INDEX(M_RawMaterials[Description],MATCH($A61,M_RawMaterials[Part Name],0)),"")</f>
        <v/>
      </c>
      <c r="C61" s="17">
        <f>IFERROR(INDEX(M_RawMaterials[Category],MATCH($A61,M_RawMaterials[Part Name],0)),"")</f>
        <v/>
      </c>
      <c r="D61" s="17">
        <f>IFERROR(INDEX(M_RawMaterials[基準在庫下限_要入力],MATCH($A61,M_RawMaterials[Part Name],0)),0)</f>
        <v/>
      </c>
      <c r="E61" s="17">
        <f>IFERROR(INDEX(M_RawMaterials[基準在庫上限_要入力],MATCH($A61,M_RawMaterials[Part Name],0)),0)</f>
        <v/>
      </c>
      <c r="F61" s="17">
        <f>IFERROR(LOOKUP(2,1/('T_SelfStock'!$B$33:$DA$33&lt;&gt;""),'T_SelfStock'!$B$33:$DA$33),"")</f>
        <v/>
      </c>
      <c r="G61" s="17">
        <f>IFERROR(LOOKUP(2,1/('T_TTAFStock'!$B$33:$DA$33&lt;&gt;""),'T_TTAFStock'!$B$33:$DA$33),"")</f>
        <v/>
      </c>
      <c r="H61" s="17">
        <f>IFERROR(LOOKUP(2,1/('T_SelfStock'!$B$33:$DA$33&lt;&gt;""),'T_SelfStock'!$B$5:$DA$5),"")</f>
        <v/>
      </c>
      <c r="I61" s="18" t="inlineStr">
        <is>
          <t>理論在庫</t>
        </is>
      </c>
      <c r="J61" s="17">
        <f>IFERROR(INDEX('Grid_Stock'!$A29:$DA29,1,LOOKUP(2,1/('T_SelfStock'!$B$33:$DA$33&lt;&gt;""),COLUMN('T_SelfStock'!$B$33:$DA$33)))-INDEX('Grid_TheoreticalStock'!$A29:$DA29,1,LOOKUP(2,1/('T_SelfStock'!$B$33:$DA$33&lt;&gt;""),COLUMN('T_SelfStock'!$B$33:$DA$33))),0)</f>
        <v/>
      </c>
      <c r="K61" s="18">
        <f>'Grid_TheoreticalStock'!B29</f>
        <v/>
      </c>
      <c r="L61" s="18">
        <f>'Grid_TheoreticalStock'!C29</f>
        <v/>
      </c>
      <c r="M61" s="18">
        <f>'Grid_TheoreticalStock'!D29</f>
        <v/>
      </c>
      <c r="N61" s="18">
        <f>'Grid_TheoreticalStock'!E29</f>
        <v/>
      </c>
      <c r="O61" s="18">
        <f>'Grid_TheoreticalStock'!F29</f>
        <v/>
      </c>
      <c r="P61" s="18">
        <f>'Grid_TheoreticalStock'!G29</f>
        <v/>
      </c>
      <c r="Q61" s="18">
        <f>'Grid_TheoreticalStock'!H29</f>
        <v/>
      </c>
      <c r="R61" s="18">
        <f>'Grid_TheoreticalStock'!I29</f>
        <v/>
      </c>
      <c r="S61" s="18">
        <f>'Grid_TheoreticalStock'!J29</f>
        <v/>
      </c>
      <c r="T61" s="18">
        <f>'Grid_TheoreticalStock'!K29</f>
        <v/>
      </c>
      <c r="U61" s="18">
        <f>'Grid_TheoreticalStock'!L29</f>
        <v/>
      </c>
      <c r="V61" s="18">
        <f>'Grid_TheoreticalStock'!M29</f>
        <v/>
      </c>
      <c r="W61" s="18">
        <f>'Grid_TheoreticalStock'!N29</f>
        <v/>
      </c>
      <c r="X61" s="18">
        <f>'Grid_TheoreticalStock'!O29</f>
        <v/>
      </c>
      <c r="Y61" s="18">
        <f>'Grid_TheoreticalStock'!P29</f>
        <v/>
      </c>
      <c r="Z61" s="18">
        <f>'Grid_TheoreticalStock'!Q29</f>
        <v/>
      </c>
      <c r="AA61" s="18">
        <f>'Grid_TheoreticalStock'!R29</f>
        <v/>
      </c>
      <c r="AB61" s="18">
        <f>'Grid_TheoreticalStock'!S29</f>
        <v/>
      </c>
      <c r="AC61" s="18">
        <f>'Grid_TheoreticalStock'!T29</f>
        <v/>
      </c>
      <c r="AD61" s="18">
        <f>'Grid_TheoreticalStock'!U29</f>
        <v/>
      </c>
      <c r="AE61" s="18">
        <f>'Grid_TheoreticalStock'!V29</f>
        <v/>
      </c>
      <c r="AF61" s="18">
        <f>'Grid_TheoreticalStock'!W29</f>
        <v/>
      </c>
      <c r="AG61" s="18">
        <f>'Grid_TheoreticalStock'!X29</f>
        <v/>
      </c>
      <c r="AH61" s="18">
        <f>'Grid_TheoreticalStock'!Y29</f>
        <v/>
      </c>
      <c r="AI61" s="18">
        <f>'Grid_TheoreticalStock'!Z29</f>
        <v/>
      </c>
      <c r="AJ61" s="18">
        <f>'Grid_TheoreticalStock'!AA29</f>
        <v/>
      </c>
      <c r="AK61" s="18">
        <f>'Grid_TheoreticalStock'!AB29</f>
        <v/>
      </c>
      <c r="AL61" s="18">
        <f>'Grid_TheoreticalStock'!AC29</f>
        <v/>
      </c>
      <c r="AM61" s="18">
        <f>'Grid_TheoreticalStock'!AD29</f>
        <v/>
      </c>
      <c r="AN61" s="18">
        <f>'Grid_TheoreticalStock'!AE29</f>
        <v/>
      </c>
      <c r="AO61" s="18">
        <f>'Grid_TheoreticalStock'!AF29</f>
        <v/>
      </c>
      <c r="AP61" s="18">
        <f>'Grid_TheoreticalStock'!AG29</f>
        <v/>
      </c>
      <c r="AQ61" s="18">
        <f>'Grid_TheoreticalStock'!AH29</f>
        <v/>
      </c>
      <c r="AR61" s="18">
        <f>'Grid_TheoreticalStock'!AI29</f>
        <v/>
      </c>
      <c r="AS61" s="18">
        <f>'Grid_TheoreticalStock'!AJ29</f>
        <v/>
      </c>
      <c r="AT61" s="18">
        <f>'Grid_TheoreticalStock'!AK29</f>
        <v/>
      </c>
      <c r="AU61" s="18">
        <f>'Grid_TheoreticalStock'!AL29</f>
        <v/>
      </c>
      <c r="AV61" s="18">
        <f>'Grid_TheoreticalStock'!AM29</f>
        <v/>
      </c>
      <c r="AW61" s="18">
        <f>'Grid_TheoreticalStock'!AN29</f>
        <v/>
      </c>
      <c r="AX61" s="18">
        <f>'Grid_TheoreticalStock'!AO29</f>
        <v/>
      </c>
      <c r="AY61" s="18">
        <f>'Grid_TheoreticalStock'!AP29</f>
        <v/>
      </c>
      <c r="AZ61" s="18">
        <f>'Grid_TheoreticalStock'!AQ29</f>
        <v/>
      </c>
      <c r="BA61" s="18">
        <f>'Grid_TheoreticalStock'!AR29</f>
        <v/>
      </c>
      <c r="BB61" s="18">
        <f>'Grid_TheoreticalStock'!AS29</f>
        <v/>
      </c>
      <c r="BC61" s="18">
        <f>'Grid_TheoreticalStock'!AT29</f>
        <v/>
      </c>
      <c r="BD61" s="18">
        <f>'Grid_TheoreticalStock'!AU29</f>
        <v/>
      </c>
      <c r="BE61" s="18">
        <f>'Grid_TheoreticalStock'!AV29</f>
        <v/>
      </c>
      <c r="BF61" s="18">
        <f>'Grid_TheoreticalStock'!AW29</f>
        <v/>
      </c>
      <c r="BG61" s="18">
        <f>'Grid_TheoreticalStock'!AX29</f>
        <v/>
      </c>
      <c r="BH61" s="18">
        <f>'Grid_TheoreticalStock'!AY29</f>
        <v/>
      </c>
      <c r="BI61" s="18">
        <f>'Grid_TheoreticalStock'!AZ29</f>
        <v/>
      </c>
      <c r="BJ61" s="18">
        <f>'Grid_TheoreticalStock'!BA29</f>
        <v/>
      </c>
      <c r="BK61" s="18">
        <f>'Grid_TheoreticalStock'!BB29</f>
        <v/>
      </c>
      <c r="BL61" s="18">
        <f>'Grid_TheoreticalStock'!BC29</f>
        <v/>
      </c>
      <c r="BM61" s="18">
        <f>'Grid_TheoreticalStock'!BD29</f>
        <v/>
      </c>
      <c r="BN61" s="18">
        <f>'Grid_TheoreticalStock'!BE29</f>
        <v/>
      </c>
      <c r="BO61" s="18">
        <f>'Grid_TheoreticalStock'!BF29</f>
        <v/>
      </c>
      <c r="BP61" s="18">
        <f>'Grid_TheoreticalStock'!BG29</f>
        <v/>
      </c>
      <c r="BQ61" s="18">
        <f>'Grid_TheoreticalStock'!BH29</f>
        <v/>
      </c>
      <c r="BR61" s="18">
        <f>'Grid_TheoreticalStock'!BI29</f>
        <v/>
      </c>
      <c r="BS61" s="18">
        <f>'Grid_TheoreticalStock'!BJ29</f>
        <v/>
      </c>
      <c r="BT61" s="18">
        <f>'Grid_TheoreticalStock'!BK29</f>
        <v/>
      </c>
      <c r="BU61" s="18">
        <f>'Grid_TheoreticalStock'!BL29</f>
        <v/>
      </c>
      <c r="BV61" s="18">
        <f>'Grid_TheoreticalStock'!BM29</f>
        <v/>
      </c>
      <c r="BW61" s="18">
        <f>'Grid_TheoreticalStock'!BN29</f>
        <v/>
      </c>
      <c r="BX61" s="18">
        <f>'Grid_TheoreticalStock'!BO29</f>
        <v/>
      </c>
      <c r="BY61" s="18">
        <f>'Grid_TheoreticalStock'!BP29</f>
        <v/>
      </c>
      <c r="BZ61" s="18">
        <f>'Grid_TheoreticalStock'!BQ29</f>
        <v/>
      </c>
      <c r="CA61" s="18">
        <f>'Grid_TheoreticalStock'!BR29</f>
        <v/>
      </c>
      <c r="CB61" s="18">
        <f>'Grid_TheoreticalStock'!BS29</f>
        <v/>
      </c>
      <c r="CC61" s="18">
        <f>'Grid_TheoreticalStock'!BT29</f>
        <v/>
      </c>
      <c r="CD61" s="18">
        <f>'Grid_TheoreticalStock'!BU29</f>
        <v/>
      </c>
      <c r="CE61" s="18">
        <f>'Grid_TheoreticalStock'!BV29</f>
        <v/>
      </c>
      <c r="CF61" s="18">
        <f>'Grid_TheoreticalStock'!BW29</f>
        <v/>
      </c>
      <c r="CG61" s="18">
        <f>'Grid_TheoreticalStock'!BX29</f>
        <v/>
      </c>
      <c r="CH61" s="18">
        <f>'Grid_TheoreticalStock'!BY29</f>
        <v/>
      </c>
      <c r="CI61" s="18">
        <f>'Grid_TheoreticalStock'!BZ29</f>
        <v/>
      </c>
      <c r="CJ61" s="18">
        <f>'Grid_TheoreticalStock'!CA29</f>
        <v/>
      </c>
      <c r="CK61" s="18">
        <f>'Grid_TheoreticalStock'!CB29</f>
        <v/>
      </c>
      <c r="CL61" s="18">
        <f>'Grid_TheoreticalStock'!CC29</f>
        <v/>
      </c>
      <c r="CM61" s="18">
        <f>'Grid_TheoreticalStock'!CD29</f>
        <v/>
      </c>
      <c r="CN61" s="18">
        <f>'Grid_TheoreticalStock'!CE29</f>
        <v/>
      </c>
      <c r="CO61" s="18">
        <f>'Grid_TheoreticalStock'!CF29</f>
        <v/>
      </c>
      <c r="CP61" s="18">
        <f>'Grid_TheoreticalStock'!CG29</f>
        <v/>
      </c>
      <c r="CQ61" s="18">
        <f>'Grid_TheoreticalStock'!CH29</f>
        <v/>
      </c>
      <c r="CR61" s="18">
        <f>'Grid_TheoreticalStock'!CI29</f>
        <v/>
      </c>
      <c r="CS61" s="18">
        <f>'Grid_TheoreticalStock'!CJ29</f>
        <v/>
      </c>
      <c r="CT61" s="18">
        <f>'Grid_TheoreticalStock'!CK29</f>
        <v/>
      </c>
      <c r="CU61" s="18">
        <f>'Grid_TheoreticalStock'!CL29</f>
        <v/>
      </c>
      <c r="CV61" s="18">
        <f>'Grid_TheoreticalStock'!CM29</f>
        <v/>
      </c>
      <c r="CW61" s="18">
        <f>'Grid_TheoreticalStock'!CN29</f>
        <v/>
      </c>
      <c r="CX61" s="18">
        <f>'Grid_TheoreticalStock'!CO29</f>
        <v/>
      </c>
      <c r="CY61" s="18">
        <f>'Grid_TheoreticalStock'!CP29</f>
        <v/>
      </c>
      <c r="CZ61" s="18">
        <f>'Grid_TheoreticalStock'!CQ29</f>
        <v/>
      </c>
      <c r="DA61" s="18">
        <f>'Grid_TheoreticalStock'!CR29</f>
        <v/>
      </c>
      <c r="DB61" s="18">
        <f>'Grid_TheoreticalStock'!CS29</f>
        <v/>
      </c>
      <c r="DC61" s="18">
        <f>'Grid_TheoreticalStock'!CT29</f>
        <v/>
      </c>
      <c r="DD61" s="18">
        <f>'Grid_TheoreticalStock'!CU29</f>
        <v/>
      </c>
      <c r="DE61" s="18">
        <f>'Grid_TheoreticalStock'!CV29</f>
        <v/>
      </c>
      <c r="DF61" s="18">
        <f>'Grid_TheoreticalStock'!CW29</f>
        <v/>
      </c>
      <c r="DG61" s="18">
        <f>'Grid_TheoreticalStock'!CX29</f>
        <v/>
      </c>
      <c r="DH61" s="18">
        <f>'Grid_TheoreticalStock'!CY29</f>
        <v/>
      </c>
      <c r="DI61" s="18">
        <f>'Grid_TheoreticalStock'!CZ29</f>
        <v/>
      </c>
      <c r="DJ61" s="18">
        <f>'Grid_TheoreticalStock'!DA29</f>
        <v/>
      </c>
    </row>
    <row r="62">
      <c r="A62" s="19" t="inlineStr">
        <is>
          <t>CHEM-1120</t>
        </is>
      </c>
      <c r="B62" s="19">
        <f>IFERROR(INDEX(M_RawMaterials[Description],MATCH($A62,M_RawMaterials[Part Name],0)),"")</f>
        <v/>
      </c>
      <c r="C62" s="19">
        <f>IFERROR(INDEX(M_RawMaterials[Category],MATCH($A62,M_RawMaterials[Part Name],0)),"")</f>
        <v/>
      </c>
      <c r="D62" s="19">
        <f>IFERROR(INDEX(M_RawMaterials[基準在庫下限_要入力],MATCH($A62,M_RawMaterials[Part Name],0)),0)</f>
        <v/>
      </c>
      <c r="E62" s="19">
        <f>IFERROR(INDEX(M_RawMaterials[基準在庫上限_要入力],MATCH($A62,M_RawMaterials[Part Name],0)),0)</f>
        <v/>
      </c>
      <c r="F62" s="19">
        <f>IFERROR(LOOKUP(2,1/('T_SelfStock'!$B$33:$DA$33&lt;&gt;""),'T_SelfStock'!$B$33:$DA$33),"")</f>
        <v/>
      </c>
      <c r="G62" s="19">
        <f>IFERROR(LOOKUP(2,1/('T_TTAFStock'!$B$33:$DA$33&lt;&gt;""),'T_TTAFStock'!$B$33:$DA$33),"")</f>
        <v/>
      </c>
      <c r="H62" s="19">
        <f>IFERROR(LOOKUP(2,1/('T_SelfStock'!$B$33:$DA$33&lt;&gt;""),'T_SelfStock'!$B$5:$DA$5),"")</f>
        <v/>
      </c>
      <c r="I62" s="20" t="inlineStr">
        <is>
          <t>実在庫</t>
        </is>
      </c>
      <c r="J62" s="19">
        <f>IFERROR(INDEX('Grid_Stock'!$A29:$DA29,1,LOOKUP(2,1/('T_SelfStock'!$B$33:$DA$33&lt;&gt;""),COLUMN('T_SelfStock'!$B$33:$DA$33)))-INDEX('Grid_TheoreticalStock'!$A29:$DA29,1,LOOKUP(2,1/('T_SelfStock'!$B$33:$DA$33&lt;&gt;""),COLUMN('T_SelfStock'!$B$33:$DA$33))),0)</f>
        <v/>
      </c>
      <c r="K62" s="19">
        <f>'Grid_Stock'!B29</f>
        <v/>
      </c>
      <c r="L62" s="19">
        <f>'Grid_Stock'!C29</f>
        <v/>
      </c>
      <c r="M62" s="19">
        <f>'Grid_Stock'!D29</f>
        <v/>
      </c>
      <c r="N62" s="19">
        <f>'Grid_Stock'!E29</f>
        <v/>
      </c>
      <c r="O62" s="19">
        <f>'Grid_Stock'!F29</f>
        <v/>
      </c>
      <c r="P62" s="19">
        <f>'Grid_Stock'!G29</f>
        <v/>
      </c>
      <c r="Q62" s="19">
        <f>'Grid_Stock'!H29</f>
        <v/>
      </c>
      <c r="R62" s="19">
        <f>'Grid_Stock'!I29</f>
        <v/>
      </c>
      <c r="S62" s="19">
        <f>'Grid_Stock'!J29</f>
        <v/>
      </c>
      <c r="T62" s="19">
        <f>'Grid_Stock'!K29</f>
        <v/>
      </c>
      <c r="U62" s="19">
        <f>'Grid_Stock'!L29</f>
        <v/>
      </c>
      <c r="V62" s="19">
        <f>'Grid_Stock'!M29</f>
        <v/>
      </c>
      <c r="W62" s="19">
        <f>'Grid_Stock'!N29</f>
        <v/>
      </c>
      <c r="X62" s="19">
        <f>'Grid_Stock'!O29</f>
        <v/>
      </c>
      <c r="Y62" s="19">
        <f>'Grid_Stock'!P29</f>
        <v/>
      </c>
      <c r="Z62" s="19">
        <f>'Grid_Stock'!Q29</f>
        <v/>
      </c>
      <c r="AA62" s="19">
        <f>'Grid_Stock'!R29</f>
        <v/>
      </c>
      <c r="AB62" s="19">
        <f>'Grid_Stock'!S29</f>
        <v/>
      </c>
      <c r="AC62" s="19">
        <f>'Grid_Stock'!T29</f>
        <v/>
      </c>
      <c r="AD62" s="19">
        <f>'Grid_Stock'!U29</f>
        <v/>
      </c>
      <c r="AE62" s="19">
        <f>'Grid_Stock'!V29</f>
        <v/>
      </c>
      <c r="AF62" s="19">
        <f>'Grid_Stock'!W29</f>
        <v/>
      </c>
      <c r="AG62" s="19">
        <f>'Grid_Stock'!X29</f>
        <v/>
      </c>
      <c r="AH62" s="19">
        <f>'Grid_Stock'!Y29</f>
        <v/>
      </c>
      <c r="AI62" s="19">
        <f>'Grid_Stock'!Z29</f>
        <v/>
      </c>
      <c r="AJ62" s="19">
        <f>'Grid_Stock'!AA29</f>
        <v/>
      </c>
      <c r="AK62" s="19">
        <f>'Grid_Stock'!AB29</f>
        <v/>
      </c>
      <c r="AL62" s="19">
        <f>'Grid_Stock'!AC29</f>
        <v/>
      </c>
      <c r="AM62" s="19">
        <f>'Grid_Stock'!AD29</f>
        <v/>
      </c>
      <c r="AN62" s="19">
        <f>'Grid_Stock'!AE29</f>
        <v/>
      </c>
      <c r="AO62" s="19">
        <f>'Grid_Stock'!AF29</f>
        <v/>
      </c>
      <c r="AP62" s="19">
        <f>'Grid_Stock'!AG29</f>
        <v/>
      </c>
      <c r="AQ62" s="19">
        <f>'Grid_Stock'!AH29</f>
        <v/>
      </c>
      <c r="AR62" s="19">
        <f>'Grid_Stock'!AI29</f>
        <v/>
      </c>
      <c r="AS62" s="19">
        <f>'Grid_Stock'!AJ29</f>
        <v/>
      </c>
      <c r="AT62" s="19">
        <f>'Grid_Stock'!AK29</f>
        <v/>
      </c>
      <c r="AU62" s="19">
        <f>'Grid_Stock'!AL29</f>
        <v/>
      </c>
      <c r="AV62" s="19">
        <f>'Grid_Stock'!AM29</f>
        <v/>
      </c>
      <c r="AW62" s="19">
        <f>'Grid_Stock'!AN29</f>
        <v/>
      </c>
      <c r="AX62" s="19">
        <f>'Grid_Stock'!AO29</f>
        <v/>
      </c>
      <c r="AY62" s="19">
        <f>'Grid_Stock'!AP29</f>
        <v/>
      </c>
      <c r="AZ62" s="19">
        <f>'Grid_Stock'!AQ29</f>
        <v/>
      </c>
      <c r="BA62" s="19">
        <f>'Grid_Stock'!AR29</f>
        <v/>
      </c>
      <c r="BB62" s="19">
        <f>'Grid_Stock'!AS29</f>
        <v/>
      </c>
      <c r="BC62" s="19">
        <f>'Grid_Stock'!AT29</f>
        <v/>
      </c>
      <c r="BD62" s="19">
        <f>'Grid_Stock'!AU29</f>
        <v/>
      </c>
      <c r="BE62" s="19">
        <f>'Grid_Stock'!AV29</f>
        <v/>
      </c>
      <c r="BF62" s="19">
        <f>'Grid_Stock'!AW29</f>
        <v/>
      </c>
      <c r="BG62" s="19">
        <f>'Grid_Stock'!AX29</f>
        <v/>
      </c>
      <c r="BH62" s="19">
        <f>'Grid_Stock'!AY29</f>
        <v/>
      </c>
      <c r="BI62" s="19">
        <f>'Grid_Stock'!AZ29</f>
        <v/>
      </c>
      <c r="BJ62" s="19">
        <f>'Grid_Stock'!BA29</f>
        <v/>
      </c>
      <c r="BK62" s="19">
        <f>'Grid_Stock'!BB29</f>
        <v/>
      </c>
      <c r="BL62" s="19">
        <f>'Grid_Stock'!BC29</f>
        <v/>
      </c>
      <c r="BM62" s="19">
        <f>'Grid_Stock'!BD29</f>
        <v/>
      </c>
      <c r="BN62" s="19">
        <f>'Grid_Stock'!BE29</f>
        <v/>
      </c>
      <c r="BO62" s="19">
        <f>'Grid_Stock'!BF29</f>
        <v/>
      </c>
      <c r="BP62" s="19">
        <f>'Grid_Stock'!BG29</f>
        <v/>
      </c>
      <c r="BQ62" s="19">
        <f>'Grid_Stock'!BH29</f>
        <v/>
      </c>
      <c r="BR62" s="19">
        <f>'Grid_Stock'!BI29</f>
        <v/>
      </c>
      <c r="BS62" s="19">
        <f>'Grid_Stock'!BJ29</f>
        <v/>
      </c>
      <c r="BT62" s="19">
        <f>'Grid_Stock'!BK29</f>
        <v/>
      </c>
      <c r="BU62" s="19">
        <f>'Grid_Stock'!BL29</f>
        <v/>
      </c>
      <c r="BV62" s="19">
        <f>'Grid_Stock'!BM29</f>
        <v/>
      </c>
      <c r="BW62" s="19">
        <f>'Grid_Stock'!BN29</f>
        <v/>
      </c>
      <c r="BX62" s="19">
        <f>'Grid_Stock'!BO29</f>
        <v/>
      </c>
      <c r="BY62" s="19">
        <f>'Grid_Stock'!BP29</f>
        <v/>
      </c>
      <c r="BZ62" s="19">
        <f>'Grid_Stock'!BQ29</f>
        <v/>
      </c>
      <c r="CA62" s="19">
        <f>'Grid_Stock'!BR29</f>
        <v/>
      </c>
      <c r="CB62" s="19">
        <f>'Grid_Stock'!BS29</f>
        <v/>
      </c>
      <c r="CC62" s="19">
        <f>'Grid_Stock'!BT29</f>
        <v/>
      </c>
      <c r="CD62" s="19">
        <f>'Grid_Stock'!BU29</f>
        <v/>
      </c>
      <c r="CE62" s="19">
        <f>'Grid_Stock'!BV29</f>
        <v/>
      </c>
      <c r="CF62" s="19">
        <f>'Grid_Stock'!BW29</f>
        <v/>
      </c>
      <c r="CG62" s="19">
        <f>'Grid_Stock'!BX29</f>
        <v/>
      </c>
      <c r="CH62" s="19">
        <f>'Grid_Stock'!BY29</f>
        <v/>
      </c>
      <c r="CI62" s="19">
        <f>'Grid_Stock'!BZ29</f>
        <v/>
      </c>
      <c r="CJ62" s="19">
        <f>'Grid_Stock'!CA29</f>
        <v/>
      </c>
      <c r="CK62" s="19">
        <f>'Grid_Stock'!CB29</f>
        <v/>
      </c>
      <c r="CL62" s="19">
        <f>'Grid_Stock'!CC29</f>
        <v/>
      </c>
      <c r="CM62" s="19">
        <f>'Grid_Stock'!CD29</f>
        <v/>
      </c>
      <c r="CN62" s="19">
        <f>'Grid_Stock'!CE29</f>
        <v/>
      </c>
      <c r="CO62" s="19">
        <f>'Grid_Stock'!CF29</f>
        <v/>
      </c>
      <c r="CP62" s="19">
        <f>'Grid_Stock'!CG29</f>
        <v/>
      </c>
      <c r="CQ62" s="19">
        <f>'Grid_Stock'!CH29</f>
        <v/>
      </c>
      <c r="CR62" s="19">
        <f>'Grid_Stock'!CI29</f>
        <v/>
      </c>
      <c r="CS62" s="19">
        <f>'Grid_Stock'!CJ29</f>
        <v/>
      </c>
      <c r="CT62" s="19">
        <f>'Grid_Stock'!CK29</f>
        <v/>
      </c>
      <c r="CU62" s="19">
        <f>'Grid_Stock'!CL29</f>
        <v/>
      </c>
      <c r="CV62" s="19">
        <f>'Grid_Stock'!CM29</f>
        <v/>
      </c>
      <c r="CW62" s="19">
        <f>'Grid_Stock'!CN29</f>
        <v/>
      </c>
      <c r="CX62" s="19">
        <f>'Grid_Stock'!CO29</f>
        <v/>
      </c>
      <c r="CY62" s="19">
        <f>'Grid_Stock'!CP29</f>
        <v/>
      </c>
      <c r="CZ62" s="19">
        <f>'Grid_Stock'!CQ29</f>
        <v/>
      </c>
      <c r="DA62" s="19">
        <f>'Grid_Stock'!CR29</f>
        <v/>
      </c>
      <c r="DB62" s="19">
        <f>'Grid_Stock'!CS29</f>
        <v/>
      </c>
      <c r="DC62" s="19">
        <f>'Grid_Stock'!CT29</f>
        <v/>
      </c>
      <c r="DD62" s="19">
        <f>'Grid_Stock'!CU29</f>
        <v/>
      </c>
      <c r="DE62" s="19">
        <f>'Grid_Stock'!CV29</f>
        <v/>
      </c>
      <c r="DF62" s="19">
        <f>'Grid_Stock'!CW29</f>
        <v/>
      </c>
      <c r="DG62" s="19">
        <f>'Grid_Stock'!CX29</f>
        <v/>
      </c>
      <c r="DH62" s="19">
        <f>'Grid_Stock'!CY29</f>
        <v/>
      </c>
      <c r="DI62" s="19">
        <f>'Grid_Stock'!CZ29</f>
        <v/>
      </c>
      <c r="DJ62" s="19">
        <f>'Grid_Stock'!DA29</f>
        <v/>
      </c>
    </row>
    <row r="63">
      <c r="A63" s="17" t="inlineStr">
        <is>
          <t>CHEM-1550</t>
        </is>
      </c>
      <c r="B63" s="17">
        <f>IFERROR(INDEX(M_RawMaterials[Description],MATCH($A63,M_RawMaterials[Part Name],0)),"")</f>
        <v/>
      </c>
      <c r="C63" s="17">
        <f>IFERROR(INDEX(M_RawMaterials[Category],MATCH($A63,M_RawMaterials[Part Name],0)),"")</f>
        <v/>
      </c>
      <c r="D63" s="17">
        <f>IFERROR(INDEX(M_RawMaterials[基準在庫下限_要入力],MATCH($A63,M_RawMaterials[Part Name],0)),0)</f>
        <v/>
      </c>
      <c r="E63" s="17">
        <f>IFERROR(INDEX(M_RawMaterials[基準在庫上限_要入力],MATCH($A63,M_RawMaterials[Part Name],0)),0)</f>
        <v/>
      </c>
      <c r="F63" s="17">
        <f>IFERROR(LOOKUP(2,1/('T_SelfStock'!$B$34:$DA$34&lt;&gt;""),'T_SelfStock'!$B$34:$DA$34),"")</f>
        <v/>
      </c>
      <c r="G63" s="17">
        <f>IFERROR(LOOKUP(2,1/('T_TTAFStock'!$B$34:$DA$34&lt;&gt;""),'T_TTAFStock'!$B$34:$DA$34),"")</f>
        <v/>
      </c>
      <c r="H63" s="17">
        <f>IFERROR(LOOKUP(2,1/('T_SelfStock'!$B$34:$DA$34&lt;&gt;""),'T_SelfStock'!$B$5:$DA$5),"")</f>
        <v/>
      </c>
      <c r="I63" s="18" t="inlineStr">
        <is>
          <t>理論在庫</t>
        </is>
      </c>
      <c r="J63" s="17">
        <f>IFERROR(INDEX('Grid_Stock'!$A30:$DA30,1,LOOKUP(2,1/('T_SelfStock'!$B$34:$DA$34&lt;&gt;""),COLUMN('T_SelfStock'!$B$34:$DA$34)))-INDEX('Grid_TheoreticalStock'!$A30:$DA30,1,LOOKUP(2,1/('T_SelfStock'!$B$34:$DA$34&lt;&gt;""),COLUMN('T_SelfStock'!$B$34:$DA$34))),0)</f>
        <v/>
      </c>
      <c r="K63" s="18">
        <f>'Grid_TheoreticalStock'!B30</f>
        <v/>
      </c>
      <c r="L63" s="18">
        <f>'Grid_TheoreticalStock'!C30</f>
        <v/>
      </c>
      <c r="M63" s="18">
        <f>'Grid_TheoreticalStock'!D30</f>
        <v/>
      </c>
      <c r="N63" s="18">
        <f>'Grid_TheoreticalStock'!E30</f>
        <v/>
      </c>
      <c r="O63" s="18">
        <f>'Grid_TheoreticalStock'!F30</f>
        <v/>
      </c>
      <c r="P63" s="18">
        <f>'Grid_TheoreticalStock'!G30</f>
        <v/>
      </c>
      <c r="Q63" s="18">
        <f>'Grid_TheoreticalStock'!H30</f>
        <v/>
      </c>
      <c r="R63" s="18">
        <f>'Grid_TheoreticalStock'!I30</f>
        <v/>
      </c>
      <c r="S63" s="18">
        <f>'Grid_TheoreticalStock'!J30</f>
        <v/>
      </c>
      <c r="T63" s="18">
        <f>'Grid_TheoreticalStock'!K30</f>
        <v/>
      </c>
      <c r="U63" s="18">
        <f>'Grid_TheoreticalStock'!L30</f>
        <v/>
      </c>
      <c r="V63" s="18">
        <f>'Grid_TheoreticalStock'!M30</f>
        <v/>
      </c>
      <c r="W63" s="18">
        <f>'Grid_TheoreticalStock'!N30</f>
        <v/>
      </c>
      <c r="X63" s="18">
        <f>'Grid_TheoreticalStock'!O30</f>
        <v/>
      </c>
      <c r="Y63" s="18">
        <f>'Grid_TheoreticalStock'!P30</f>
        <v/>
      </c>
      <c r="Z63" s="18">
        <f>'Grid_TheoreticalStock'!Q30</f>
        <v/>
      </c>
      <c r="AA63" s="18">
        <f>'Grid_TheoreticalStock'!R30</f>
        <v/>
      </c>
      <c r="AB63" s="18">
        <f>'Grid_TheoreticalStock'!S30</f>
        <v/>
      </c>
      <c r="AC63" s="18">
        <f>'Grid_TheoreticalStock'!T30</f>
        <v/>
      </c>
      <c r="AD63" s="18">
        <f>'Grid_TheoreticalStock'!U30</f>
        <v/>
      </c>
      <c r="AE63" s="18">
        <f>'Grid_TheoreticalStock'!V30</f>
        <v/>
      </c>
      <c r="AF63" s="18">
        <f>'Grid_TheoreticalStock'!W30</f>
        <v/>
      </c>
      <c r="AG63" s="18">
        <f>'Grid_TheoreticalStock'!X30</f>
        <v/>
      </c>
      <c r="AH63" s="18">
        <f>'Grid_TheoreticalStock'!Y30</f>
        <v/>
      </c>
      <c r="AI63" s="18">
        <f>'Grid_TheoreticalStock'!Z30</f>
        <v/>
      </c>
      <c r="AJ63" s="18">
        <f>'Grid_TheoreticalStock'!AA30</f>
        <v/>
      </c>
      <c r="AK63" s="18">
        <f>'Grid_TheoreticalStock'!AB30</f>
        <v/>
      </c>
      <c r="AL63" s="18">
        <f>'Grid_TheoreticalStock'!AC30</f>
        <v/>
      </c>
      <c r="AM63" s="18">
        <f>'Grid_TheoreticalStock'!AD30</f>
        <v/>
      </c>
      <c r="AN63" s="18">
        <f>'Grid_TheoreticalStock'!AE30</f>
        <v/>
      </c>
      <c r="AO63" s="18">
        <f>'Grid_TheoreticalStock'!AF30</f>
        <v/>
      </c>
      <c r="AP63" s="18">
        <f>'Grid_TheoreticalStock'!AG30</f>
        <v/>
      </c>
      <c r="AQ63" s="18">
        <f>'Grid_TheoreticalStock'!AH30</f>
        <v/>
      </c>
      <c r="AR63" s="18">
        <f>'Grid_TheoreticalStock'!AI30</f>
        <v/>
      </c>
      <c r="AS63" s="18">
        <f>'Grid_TheoreticalStock'!AJ30</f>
        <v/>
      </c>
      <c r="AT63" s="18">
        <f>'Grid_TheoreticalStock'!AK30</f>
        <v/>
      </c>
      <c r="AU63" s="18">
        <f>'Grid_TheoreticalStock'!AL30</f>
        <v/>
      </c>
      <c r="AV63" s="18">
        <f>'Grid_TheoreticalStock'!AM30</f>
        <v/>
      </c>
      <c r="AW63" s="18">
        <f>'Grid_TheoreticalStock'!AN30</f>
        <v/>
      </c>
      <c r="AX63" s="18">
        <f>'Grid_TheoreticalStock'!AO30</f>
        <v/>
      </c>
      <c r="AY63" s="18">
        <f>'Grid_TheoreticalStock'!AP30</f>
        <v/>
      </c>
      <c r="AZ63" s="18">
        <f>'Grid_TheoreticalStock'!AQ30</f>
        <v/>
      </c>
      <c r="BA63" s="18">
        <f>'Grid_TheoreticalStock'!AR30</f>
        <v/>
      </c>
      <c r="BB63" s="18">
        <f>'Grid_TheoreticalStock'!AS30</f>
        <v/>
      </c>
      <c r="BC63" s="18">
        <f>'Grid_TheoreticalStock'!AT30</f>
        <v/>
      </c>
      <c r="BD63" s="18">
        <f>'Grid_TheoreticalStock'!AU30</f>
        <v/>
      </c>
      <c r="BE63" s="18">
        <f>'Grid_TheoreticalStock'!AV30</f>
        <v/>
      </c>
      <c r="BF63" s="18">
        <f>'Grid_TheoreticalStock'!AW30</f>
        <v/>
      </c>
      <c r="BG63" s="18">
        <f>'Grid_TheoreticalStock'!AX30</f>
        <v/>
      </c>
      <c r="BH63" s="18">
        <f>'Grid_TheoreticalStock'!AY30</f>
        <v/>
      </c>
      <c r="BI63" s="18">
        <f>'Grid_TheoreticalStock'!AZ30</f>
        <v/>
      </c>
      <c r="BJ63" s="18">
        <f>'Grid_TheoreticalStock'!BA30</f>
        <v/>
      </c>
      <c r="BK63" s="18">
        <f>'Grid_TheoreticalStock'!BB30</f>
        <v/>
      </c>
      <c r="BL63" s="18">
        <f>'Grid_TheoreticalStock'!BC30</f>
        <v/>
      </c>
      <c r="BM63" s="18">
        <f>'Grid_TheoreticalStock'!BD30</f>
        <v/>
      </c>
      <c r="BN63" s="18">
        <f>'Grid_TheoreticalStock'!BE30</f>
        <v/>
      </c>
      <c r="BO63" s="18">
        <f>'Grid_TheoreticalStock'!BF30</f>
        <v/>
      </c>
      <c r="BP63" s="18">
        <f>'Grid_TheoreticalStock'!BG30</f>
        <v/>
      </c>
      <c r="BQ63" s="18">
        <f>'Grid_TheoreticalStock'!BH30</f>
        <v/>
      </c>
      <c r="BR63" s="18">
        <f>'Grid_TheoreticalStock'!BI30</f>
        <v/>
      </c>
      <c r="BS63" s="18">
        <f>'Grid_TheoreticalStock'!BJ30</f>
        <v/>
      </c>
      <c r="BT63" s="18">
        <f>'Grid_TheoreticalStock'!BK30</f>
        <v/>
      </c>
      <c r="BU63" s="18">
        <f>'Grid_TheoreticalStock'!BL30</f>
        <v/>
      </c>
      <c r="BV63" s="18">
        <f>'Grid_TheoreticalStock'!BM30</f>
        <v/>
      </c>
      <c r="BW63" s="18">
        <f>'Grid_TheoreticalStock'!BN30</f>
        <v/>
      </c>
      <c r="BX63" s="18">
        <f>'Grid_TheoreticalStock'!BO30</f>
        <v/>
      </c>
      <c r="BY63" s="18">
        <f>'Grid_TheoreticalStock'!BP30</f>
        <v/>
      </c>
      <c r="BZ63" s="18">
        <f>'Grid_TheoreticalStock'!BQ30</f>
        <v/>
      </c>
      <c r="CA63" s="18">
        <f>'Grid_TheoreticalStock'!BR30</f>
        <v/>
      </c>
      <c r="CB63" s="18">
        <f>'Grid_TheoreticalStock'!BS30</f>
        <v/>
      </c>
      <c r="CC63" s="18">
        <f>'Grid_TheoreticalStock'!BT30</f>
        <v/>
      </c>
      <c r="CD63" s="18">
        <f>'Grid_TheoreticalStock'!BU30</f>
        <v/>
      </c>
      <c r="CE63" s="18">
        <f>'Grid_TheoreticalStock'!BV30</f>
        <v/>
      </c>
      <c r="CF63" s="18">
        <f>'Grid_TheoreticalStock'!BW30</f>
        <v/>
      </c>
      <c r="CG63" s="18">
        <f>'Grid_TheoreticalStock'!BX30</f>
        <v/>
      </c>
      <c r="CH63" s="18">
        <f>'Grid_TheoreticalStock'!BY30</f>
        <v/>
      </c>
      <c r="CI63" s="18">
        <f>'Grid_TheoreticalStock'!BZ30</f>
        <v/>
      </c>
      <c r="CJ63" s="18">
        <f>'Grid_TheoreticalStock'!CA30</f>
        <v/>
      </c>
      <c r="CK63" s="18">
        <f>'Grid_TheoreticalStock'!CB30</f>
        <v/>
      </c>
      <c r="CL63" s="18">
        <f>'Grid_TheoreticalStock'!CC30</f>
        <v/>
      </c>
      <c r="CM63" s="18">
        <f>'Grid_TheoreticalStock'!CD30</f>
        <v/>
      </c>
      <c r="CN63" s="18">
        <f>'Grid_TheoreticalStock'!CE30</f>
        <v/>
      </c>
      <c r="CO63" s="18">
        <f>'Grid_TheoreticalStock'!CF30</f>
        <v/>
      </c>
      <c r="CP63" s="18">
        <f>'Grid_TheoreticalStock'!CG30</f>
        <v/>
      </c>
      <c r="CQ63" s="18">
        <f>'Grid_TheoreticalStock'!CH30</f>
        <v/>
      </c>
      <c r="CR63" s="18">
        <f>'Grid_TheoreticalStock'!CI30</f>
        <v/>
      </c>
      <c r="CS63" s="18">
        <f>'Grid_TheoreticalStock'!CJ30</f>
        <v/>
      </c>
      <c r="CT63" s="18">
        <f>'Grid_TheoreticalStock'!CK30</f>
        <v/>
      </c>
      <c r="CU63" s="18">
        <f>'Grid_TheoreticalStock'!CL30</f>
        <v/>
      </c>
      <c r="CV63" s="18">
        <f>'Grid_TheoreticalStock'!CM30</f>
        <v/>
      </c>
      <c r="CW63" s="18">
        <f>'Grid_TheoreticalStock'!CN30</f>
        <v/>
      </c>
      <c r="CX63" s="18">
        <f>'Grid_TheoreticalStock'!CO30</f>
        <v/>
      </c>
      <c r="CY63" s="18">
        <f>'Grid_TheoreticalStock'!CP30</f>
        <v/>
      </c>
      <c r="CZ63" s="18">
        <f>'Grid_TheoreticalStock'!CQ30</f>
        <v/>
      </c>
      <c r="DA63" s="18">
        <f>'Grid_TheoreticalStock'!CR30</f>
        <v/>
      </c>
      <c r="DB63" s="18">
        <f>'Grid_TheoreticalStock'!CS30</f>
        <v/>
      </c>
      <c r="DC63" s="18">
        <f>'Grid_TheoreticalStock'!CT30</f>
        <v/>
      </c>
      <c r="DD63" s="18">
        <f>'Grid_TheoreticalStock'!CU30</f>
        <v/>
      </c>
      <c r="DE63" s="18">
        <f>'Grid_TheoreticalStock'!CV30</f>
        <v/>
      </c>
      <c r="DF63" s="18">
        <f>'Grid_TheoreticalStock'!CW30</f>
        <v/>
      </c>
      <c r="DG63" s="18">
        <f>'Grid_TheoreticalStock'!CX30</f>
        <v/>
      </c>
      <c r="DH63" s="18">
        <f>'Grid_TheoreticalStock'!CY30</f>
        <v/>
      </c>
      <c r="DI63" s="18">
        <f>'Grid_TheoreticalStock'!CZ30</f>
        <v/>
      </c>
      <c r="DJ63" s="18">
        <f>'Grid_TheoreticalStock'!DA30</f>
        <v/>
      </c>
    </row>
    <row r="64">
      <c r="A64" s="19" t="inlineStr">
        <is>
          <t>CHEM-1550</t>
        </is>
      </c>
      <c r="B64" s="19">
        <f>IFERROR(INDEX(M_RawMaterials[Description],MATCH($A64,M_RawMaterials[Part Name],0)),"")</f>
        <v/>
      </c>
      <c r="C64" s="19">
        <f>IFERROR(INDEX(M_RawMaterials[Category],MATCH($A64,M_RawMaterials[Part Name],0)),"")</f>
        <v/>
      </c>
      <c r="D64" s="19">
        <f>IFERROR(INDEX(M_RawMaterials[基準在庫下限_要入力],MATCH($A64,M_RawMaterials[Part Name],0)),0)</f>
        <v/>
      </c>
      <c r="E64" s="19">
        <f>IFERROR(INDEX(M_RawMaterials[基準在庫上限_要入力],MATCH($A64,M_RawMaterials[Part Name],0)),0)</f>
        <v/>
      </c>
      <c r="F64" s="19">
        <f>IFERROR(LOOKUP(2,1/('T_SelfStock'!$B$34:$DA$34&lt;&gt;""),'T_SelfStock'!$B$34:$DA$34),"")</f>
        <v/>
      </c>
      <c r="G64" s="19">
        <f>IFERROR(LOOKUP(2,1/('T_TTAFStock'!$B$34:$DA$34&lt;&gt;""),'T_TTAFStock'!$B$34:$DA$34),"")</f>
        <v/>
      </c>
      <c r="H64" s="19">
        <f>IFERROR(LOOKUP(2,1/('T_SelfStock'!$B$34:$DA$34&lt;&gt;""),'T_SelfStock'!$B$5:$DA$5),"")</f>
        <v/>
      </c>
      <c r="I64" s="20" t="inlineStr">
        <is>
          <t>実在庫</t>
        </is>
      </c>
      <c r="J64" s="19">
        <f>IFERROR(INDEX('Grid_Stock'!$A30:$DA30,1,LOOKUP(2,1/('T_SelfStock'!$B$34:$DA$34&lt;&gt;""),COLUMN('T_SelfStock'!$B$34:$DA$34)))-INDEX('Grid_TheoreticalStock'!$A30:$DA30,1,LOOKUP(2,1/('T_SelfStock'!$B$34:$DA$34&lt;&gt;""),COLUMN('T_SelfStock'!$B$34:$DA$34))),0)</f>
        <v/>
      </c>
      <c r="K64" s="19">
        <f>'Grid_Stock'!B30</f>
        <v/>
      </c>
      <c r="L64" s="19">
        <f>'Grid_Stock'!C30</f>
        <v/>
      </c>
      <c r="M64" s="19">
        <f>'Grid_Stock'!D30</f>
        <v/>
      </c>
      <c r="N64" s="19">
        <f>'Grid_Stock'!E30</f>
        <v/>
      </c>
      <c r="O64" s="19">
        <f>'Grid_Stock'!F30</f>
        <v/>
      </c>
      <c r="P64" s="19">
        <f>'Grid_Stock'!G30</f>
        <v/>
      </c>
      <c r="Q64" s="19">
        <f>'Grid_Stock'!H30</f>
        <v/>
      </c>
      <c r="R64" s="19">
        <f>'Grid_Stock'!I30</f>
        <v/>
      </c>
      <c r="S64" s="19">
        <f>'Grid_Stock'!J30</f>
        <v/>
      </c>
      <c r="T64" s="19">
        <f>'Grid_Stock'!K30</f>
        <v/>
      </c>
      <c r="U64" s="19">
        <f>'Grid_Stock'!L30</f>
        <v/>
      </c>
      <c r="V64" s="19">
        <f>'Grid_Stock'!M30</f>
        <v/>
      </c>
      <c r="W64" s="19">
        <f>'Grid_Stock'!N30</f>
        <v/>
      </c>
      <c r="X64" s="19">
        <f>'Grid_Stock'!O30</f>
        <v/>
      </c>
      <c r="Y64" s="19">
        <f>'Grid_Stock'!P30</f>
        <v/>
      </c>
      <c r="Z64" s="19">
        <f>'Grid_Stock'!Q30</f>
        <v/>
      </c>
      <c r="AA64" s="19">
        <f>'Grid_Stock'!R30</f>
        <v/>
      </c>
      <c r="AB64" s="19">
        <f>'Grid_Stock'!S30</f>
        <v/>
      </c>
      <c r="AC64" s="19">
        <f>'Grid_Stock'!T30</f>
        <v/>
      </c>
      <c r="AD64" s="19">
        <f>'Grid_Stock'!U30</f>
        <v/>
      </c>
      <c r="AE64" s="19">
        <f>'Grid_Stock'!V30</f>
        <v/>
      </c>
      <c r="AF64" s="19">
        <f>'Grid_Stock'!W30</f>
        <v/>
      </c>
      <c r="AG64" s="19">
        <f>'Grid_Stock'!X30</f>
        <v/>
      </c>
      <c r="AH64" s="19">
        <f>'Grid_Stock'!Y30</f>
        <v/>
      </c>
      <c r="AI64" s="19">
        <f>'Grid_Stock'!Z30</f>
        <v/>
      </c>
      <c r="AJ64" s="19">
        <f>'Grid_Stock'!AA30</f>
        <v/>
      </c>
      <c r="AK64" s="19">
        <f>'Grid_Stock'!AB30</f>
        <v/>
      </c>
      <c r="AL64" s="19">
        <f>'Grid_Stock'!AC30</f>
        <v/>
      </c>
      <c r="AM64" s="19">
        <f>'Grid_Stock'!AD30</f>
        <v/>
      </c>
      <c r="AN64" s="19">
        <f>'Grid_Stock'!AE30</f>
        <v/>
      </c>
      <c r="AO64" s="19">
        <f>'Grid_Stock'!AF30</f>
        <v/>
      </c>
      <c r="AP64" s="19">
        <f>'Grid_Stock'!AG30</f>
        <v/>
      </c>
      <c r="AQ64" s="19">
        <f>'Grid_Stock'!AH30</f>
        <v/>
      </c>
      <c r="AR64" s="19">
        <f>'Grid_Stock'!AI30</f>
        <v/>
      </c>
      <c r="AS64" s="19">
        <f>'Grid_Stock'!AJ30</f>
        <v/>
      </c>
      <c r="AT64" s="19">
        <f>'Grid_Stock'!AK30</f>
        <v/>
      </c>
      <c r="AU64" s="19">
        <f>'Grid_Stock'!AL30</f>
        <v/>
      </c>
      <c r="AV64" s="19">
        <f>'Grid_Stock'!AM30</f>
        <v/>
      </c>
      <c r="AW64" s="19">
        <f>'Grid_Stock'!AN30</f>
        <v/>
      </c>
      <c r="AX64" s="19">
        <f>'Grid_Stock'!AO30</f>
        <v/>
      </c>
      <c r="AY64" s="19">
        <f>'Grid_Stock'!AP30</f>
        <v/>
      </c>
      <c r="AZ64" s="19">
        <f>'Grid_Stock'!AQ30</f>
        <v/>
      </c>
      <c r="BA64" s="19">
        <f>'Grid_Stock'!AR30</f>
        <v/>
      </c>
      <c r="BB64" s="19">
        <f>'Grid_Stock'!AS30</f>
        <v/>
      </c>
      <c r="BC64" s="19">
        <f>'Grid_Stock'!AT30</f>
        <v/>
      </c>
      <c r="BD64" s="19">
        <f>'Grid_Stock'!AU30</f>
        <v/>
      </c>
      <c r="BE64" s="19">
        <f>'Grid_Stock'!AV30</f>
        <v/>
      </c>
      <c r="BF64" s="19">
        <f>'Grid_Stock'!AW30</f>
        <v/>
      </c>
      <c r="BG64" s="19">
        <f>'Grid_Stock'!AX30</f>
        <v/>
      </c>
      <c r="BH64" s="19">
        <f>'Grid_Stock'!AY30</f>
        <v/>
      </c>
      <c r="BI64" s="19">
        <f>'Grid_Stock'!AZ30</f>
        <v/>
      </c>
      <c r="BJ64" s="19">
        <f>'Grid_Stock'!BA30</f>
        <v/>
      </c>
      <c r="BK64" s="19">
        <f>'Grid_Stock'!BB30</f>
        <v/>
      </c>
      <c r="BL64" s="19">
        <f>'Grid_Stock'!BC30</f>
        <v/>
      </c>
      <c r="BM64" s="19">
        <f>'Grid_Stock'!BD30</f>
        <v/>
      </c>
      <c r="BN64" s="19">
        <f>'Grid_Stock'!BE30</f>
        <v/>
      </c>
      <c r="BO64" s="19">
        <f>'Grid_Stock'!BF30</f>
        <v/>
      </c>
      <c r="BP64" s="19">
        <f>'Grid_Stock'!BG30</f>
        <v/>
      </c>
      <c r="BQ64" s="19">
        <f>'Grid_Stock'!BH30</f>
        <v/>
      </c>
      <c r="BR64" s="19">
        <f>'Grid_Stock'!BI30</f>
        <v/>
      </c>
      <c r="BS64" s="19">
        <f>'Grid_Stock'!BJ30</f>
        <v/>
      </c>
      <c r="BT64" s="19">
        <f>'Grid_Stock'!BK30</f>
        <v/>
      </c>
      <c r="BU64" s="19">
        <f>'Grid_Stock'!BL30</f>
        <v/>
      </c>
      <c r="BV64" s="19">
        <f>'Grid_Stock'!BM30</f>
        <v/>
      </c>
      <c r="BW64" s="19">
        <f>'Grid_Stock'!BN30</f>
        <v/>
      </c>
      <c r="BX64" s="19">
        <f>'Grid_Stock'!BO30</f>
        <v/>
      </c>
      <c r="BY64" s="19">
        <f>'Grid_Stock'!BP30</f>
        <v/>
      </c>
      <c r="BZ64" s="19">
        <f>'Grid_Stock'!BQ30</f>
        <v/>
      </c>
      <c r="CA64" s="19">
        <f>'Grid_Stock'!BR30</f>
        <v/>
      </c>
      <c r="CB64" s="19">
        <f>'Grid_Stock'!BS30</f>
        <v/>
      </c>
      <c r="CC64" s="19">
        <f>'Grid_Stock'!BT30</f>
        <v/>
      </c>
      <c r="CD64" s="19">
        <f>'Grid_Stock'!BU30</f>
        <v/>
      </c>
      <c r="CE64" s="19">
        <f>'Grid_Stock'!BV30</f>
        <v/>
      </c>
      <c r="CF64" s="19">
        <f>'Grid_Stock'!BW30</f>
        <v/>
      </c>
      <c r="CG64" s="19">
        <f>'Grid_Stock'!BX30</f>
        <v/>
      </c>
      <c r="CH64" s="19">
        <f>'Grid_Stock'!BY30</f>
        <v/>
      </c>
      <c r="CI64" s="19">
        <f>'Grid_Stock'!BZ30</f>
        <v/>
      </c>
      <c r="CJ64" s="19">
        <f>'Grid_Stock'!CA30</f>
        <v/>
      </c>
      <c r="CK64" s="19">
        <f>'Grid_Stock'!CB30</f>
        <v/>
      </c>
      <c r="CL64" s="19">
        <f>'Grid_Stock'!CC30</f>
        <v/>
      </c>
      <c r="CM64" s="19">
        <f>'Grid_Stock'!CD30</f>
        <v/>
      </c>
      <c r="CN64" s="19">
        <f>'Grid_Stock'!CE30</f>
        <v/>
      </c>
      <c r="CO64" s="19">
        <f>'Grid_Stock'!CF30</f>
        <v/>
      </c>
      <c r="CP64" s="19">
        <f>'Grid_Stock'!CG30</f>
        <v/>
      </c>
      <c r="CQ64" s="19">
        <f>'Grid_Stock'!CH30</f>
        <v/>
      </c>
      <c r="CR64" s="19">
        <f>'Grid_Stock'!CI30</f>
        <v/>
      </c>
      <c r="CS64" s="19">
        <f>'Grid_Stock'!CJ30</f>
        <v/>
      </c>
      <c r="CT64" s="19">
        <f>'Grid_Stock'!CK30</f>
        <v/>
      </c>
      <c r="CU64" s="19">
        <f>'Grid_Stock'!CL30</f>
        <v/>
      </c>
      <c r="CV64" s="19">
        <f>'Grid_Stock'!CM30</f>
        <v/>
      </c>
      <c r="CW64" s="19">
        <f>'Grid_Stock'!CN30</f>
        <v/>
      </c>
      <c r="CX64" s="19">
        <f>'Grid_Stock'!CO30</f>
        <v/>
      </c>
      <c r="CY64" s="19">
        <f>'Grid_Stock'!CP30</f>
        <v/>
      </c>
      <c r="CZ64" s="19">
        <f>'Grid_Stock'!CQ30</f>
        <v/>
      </c>
      <c r="DA64" s="19">
        <f>'Grid_Stock'!CR30</f>
        <v/>
      </c>
      <c r="DB64" s="19">
        <f>'Grid_Stock'!CS30</f>
        <v/>
      </c>
      <c r="DC64" s="19">
        <f>'Grid_Stock'!CT30</f>
        <v/>
      </c>
      <c r="DD64" s="19">
        <f>'Grid_Stock'!CU30</f>
        <v/>
      </c>
      <c r="DE64" s="19">
        <f>'Grid_Stock'!CV30</f>
        <v/>
      </c>
      <c r="DF64" s="19">
        <f>'Grid_Stock'!CW30</f>
        <v/>
      </c>
      <c r="DG64" s="19">
        <f>'Grid_Stock'!CX30</f>
        <v/>
      </c>
      <c r="DH64" s="19">
        <f>'Grid_Stock'!CY30</f>
        <v/>
      </c>
      <c r="DI64" s="19">
        <f>'Grid_Stock'!CZ30</f>
        <v/>
      </c>
      <c r="DJ64" s="19">
        <f>'Grid_Stock'!DA30</f>
        <v/>
      </c>
    </row>
    <row r="65">
      <c r="A65" s="17" t="inlineStr">
        <is>
          <t>CHEM-1440</t>
        </is>
      </c>
      <c r="B65" s="17">
        <f>IFERROR(INDEX(M_RawMaterials[Description],MATCH($A65,M_RawMaterials[Part Name],0)),"")</f>
        <v/>
      </c>
      <c r="C65" s="17">
        <f>IFERROR(INDEX(M_RawMaterials[Category],MATCH($A65,M_RawMaterials[Part Name],0)),"")</f>
        <v/>
      </c>
      <c r="D65" s="17">
        <f>IFERROR(INDEX(M_RawMaterials[基準在庫下限_要入力],MATCH($A65,M_RawMaterials[Part Name],0)),0)</f>
        <v/>
      </c>
      <c r="E65" s="17">
        <f>IFERROR(INDEX(M_RawMaterials[基準在庫上限_要入力],MATCH($A65,M_RawMaterials[Part Name],0)),0)</f>
        <v/>
      </c>
      <c r="F65" s="17">
        <f>IFERROR(LOOKUP(2,1/('T_SelfStock'!$B$35:$DA$35&lt;&gt;""),'T_SelfStock'!$B$35:$DA$35),"")</f>
        <v/>
      </c>
      <c r="G65" s="17">
        <f>IFERROR(LOOKUP(2,1/('T_TTAFStock'!$B$35:$DA$35&lt;&gt;""),'T_TTAFStock'!$B$35:$DA$35),"")</f>
        <v/>
      </c>
      <c r="H65" s="17">
        <f>IFERROR(LOOKUP(2,1/('T_SelfStock'!$B$35:$DA$35&lt;&gt;""),'T_SelfStock'!$B$5:$DA$5),"")</f>
        <v/>
      </c>
      <c r="I65" s="18" t="inlineStr">
        <is>
          <t>理論在庫</t>
        </is>
      </c>
      <c r="J65" s="17">
        <f>IFERROR(INDEX('Grid_Stock'!$A31:$DA31,1,LOOKUP(2,1/('T_SelfStock'!$B$35:$DA$35&lt;&gt;""),COLUMN('T_SelfStock'!$B$35:$DA$35)))-INDEX('Grid_TheoreticalStock'!$A31:$DA31,1,LOOKUP(2,1/('T_SelfStock'!$B$35:$DA$35&lt;&gt;""),COLUMN('T_SelfStock'!$B$35:$DA$35))),0)</f>
        <v/>
      </c>
      <c r="K65" s="18">
        <f>'Grid_TheoreticalStock'!B31</f>
        <v/>
      </c>
      <c r="L65" s="18">
        <f>'Grid_TheoreticalStock'!C31</f>
        <v/>
      </c>
      <c r="M65" s="18">
        <f>'Grid_TheoreticalStock'!D31</f>
        <v/>
      </c>
      <c r="N65" s="18">
        <f>'Grid_TheoreticalStock'!E31</f>
        <v/>
      </c>
      <c r="O65" s="18">
        <f>'Grid_TheoreticalStock'!F31</f>
        <v/>
      </c>
      <c r="P65" s="18">
        <f>'Grid_TheoreticalStock'!G31</f>
        <v/>
      </c>
      <c r="Q65" s="18">
        <f>'Grid_TheoreticalStock'!H31</f>
        <v/>
      </c>
      <c r="R65" s="18">
        <f>'Grid_TheoreticalStock'!I31</f>
        <v/>
      </c>
      <c r="S65" s="18">
        <f>'Grid_TheoreticalStock'!J31</f>
        <v/>
      </c>
      <c r="T65" s="18">
        <f>'Grid_TheoreticalStock'!K31</f>
        <v/>
      </c>
      <c r="U65" s="18">
        <f>'Grid_TheoreticalStock'!L31</f>
        <v/>
      </c>
      <c r="V65" s="18">
        <f>'Grid_TheoreticalStock'!M31</f>
        <v/>
      </c>
      <c r="W65" s="18">
        <f>'Grid_TheoreticalStock'!N31</f>
        <v/>
      </c>
      <c r="X65" s="18">
        <f>'Grid_TheoreticalStock'!O31</f>
        <v/>
      </c>
      <c r="Y65" s="18">
        <f>'Grid_TheoreticalStock'!P31</f>
        <v/>
      </c>
      <c r="Z65" s="18">
        <f>'Grid_TheoreticalStock'!Q31</f>
        <v/>
      </c>
      <c r="AA65" s="18">
        <f>'Grid_TheoreticalStock'!R31</f>
        <v/>
      </c>
      <c r="AB65" s="18">
        <f>'Grid_TheoreticalStock'!S31</f>
        <v/>
      </c>
      <c r="AC65" s="18">
        <f>'Grid_TheoreticalStock'!T31</f>
        <v/>
      </c>
      <c r="AD65" s="18">
        <f>'Grid_TheoreticalStock'!U31</f>
        <v/>
      </c>
      <c r="AE65" s="18">
        <f>'Grid_TheoreticalStock'!V31</f>
        <v/>
      </c>
      <c r="AF65" s="18">
        <f>'Grid_TheoreticalStock'!W31</f>
        <v/>
      </c>
      <c r="AG65" s="18">
        <f>'Grid_TheoreticalStock'!X31</f>
        <v/>
      </c>
      <c r="AH65" s="18">
        <f>'Grid_TheoreticalStock'!Y31</f>
        <v/>
      </c>
      <c r="AI65" s="18">
        <f>'Grid_TheoreticalStock'!Z31</f>
        <v/>
      </c>
      <c r="AJ65" s="18">
        <f>'Grid_TheoreticalStock'!AA31</f>
        <v/>
      </c>
      <c r="AK65" s="18">
        <f>'Grid_TheoreticalStock'!AB31</f>
        <v/>
      </c>
      <c r="AL65" s="18">
        <f>'Grid_TheoreticalStock'!AC31</f>
        <v/>
      </c>
      <c r="AM65" s="18">
        <f>'Grid_TheoreticalStock'!AD31</f>
        <v/>
      </c>
      <c r="AN65" s="18">
        <f>'Grid_TheoreticalStock'!AE31</f>
        <v/>
      </c>
      <c r="AO65" s="18">
        <f>'Grid_TheoreticalStock'!AF31</f>
        <v/>
      </c>
      <c r="AP65" s="18">
        <f>'Grid_TheoreticalStock'!AG31</f>
        <v/>
      </c>
      <c r="AQ65" s="18">
        <f>'Grid_TheoreticalStock'!AH31</f>
        <v/>
      </c>
      <c r="AR65" s="18">
        <f>'Grid_TheoreticalStock'!AI31</f>
        <v/>
      </c>
      <c r="AS65" s="18">
        <f>'Grid_TheoreticalStock'!AJ31</f>
        <v/>
      </c>
      <c r="AT65" s="18">
        <f>'Grid_TheoreticalStock'!AK31</f>
        <v/>
      </c>
      <c r="AU65" s="18">
        <f>'Grid_TheoreticalStock'!AL31</f>
        <v/>
      </c>
      <c r="AV65" s="18">
        <f>'Grid_TheoreticalStock'!AM31</f>
        <v/>
      </c>
      <c r="AW65" s="18">
        <f>'Grid_TheoreticalStock'!AN31</f>
        <v/>
      </c>
      <c r="AX65" s="18">
        <f>'Grid_TheoreticalStock'!AO31</f>
        <v/>
      </c>
      <c r="AY65" s="18">
        <f>'Grid_TheoreticalStock'!AP31</f>
        <v/>
      </c>
      <c r="AZ65" s="18">
        <f>'Grid_TheoreticalStock'!AQ31</f>
        <v/>
      </c>
      <c r="BA65" s="18">
        <f>'Grid_TheoreticalStock'!AR31</f>
        <v/>
      </c>
      <c r="BB65" s="18">
        <f>'Grid_TheoreticalStock'!AS31</f>
        <v/>
      </c>
      <c r="BC65" s="18">
        <f>'Grid_TheoreticalStock'!AT31</f>
        <v/>
      </c>
      <c r="BD65" s="18">
        <f>'Grid_TheoreticalStock'!AU31</f>
        <v/>
      </c>
      <c r="BE65" s="18">
        <f>'Grid_TheoreticalStock'!AV31</f>
        <v/>
      </c>
      <c r="BF65" s="18">
        <f>'Grid_TheoreticalStock'!AW31</f>
        <v/>
      </c>
      <c r="BG65" s="18">
        <f>'Grid_TheoreticalStock'!AX31</f>
        <v/>
      </c>
      <c r="BH65" s="18">
        <f>'Grid_TheoreticalStock'!AY31</f>
        <v/>
      </c>
      <c r="BI65" s="18">
        <f>'Grid_TheoreticalStock'!AZ31</f>
        <v/>
      </c>
      <c r="BJ65" s="18">
        <f>'Grid_TheoreticalStock'!BA31</f>
        <v/>
      </c>
      <c r="BK65" s="18">
        <f>'Grid_TheoreticalStock'!BB31</f>
        <v/>
      </c>
      <c r="BL65" s="18">
        <f>'Grid_TheoreticalStock'!BC31</f>
        <v/>
      </c>
      <c r="BM65" s="18">
        <f>'Grid_TheoreticalStock'!BD31</f>
        <v/>
      </c>
      <c r="BN65" s="18">
        <f>'Grid_TheoreticalStock'!BE31</f>
        <v/>
      </c>
      <c r="BO65" s="18">
        <f>'Grid_TheoreticalStock'!BF31</f>
        <v/>
      </c>
      <c r="BP65" s="18">
        <f>'Grid_TheoreticalStock'!BG31</f>
        <v/>
      </c>
      <c r="BQ65" s="18">
        <f>'Grid_TheoreticalStock'!BH31</f>
        <v/>
      </c>
      <c r="BR65" s="18">
        <f>'Grid_TheoreticalStock'!BI31</f>
        <v/>
      </c>
      <c r="BS65" s="18">
        <f>'Grid_TheoreticalStock'!BJ31</f>
        <v/>
      </c>
      <c r="BT65" s="18">
        <f>'Grid_TheoreticalStock'!BK31</f>
        <v/>
      </c>
      <c r="BU65" s="18">
        <f>'Grid_TheoreticalStock'!BL31</f>
        <v/>
      </c>
      <c r="BV65" s="18">
        <f>'Grid_TheoreticalStock'!BM31</f>
        <v/>
      </c>
      <c r="BW65" s="18">
        <f>'Grid_TheoreticalStock'!BN31</f>
        <v/>
      </c>
      <c r="BX65" s="18">
        <f>'Grid_TheoreticalStock'!BO31</f>
        <v/>
      </c>
      <c r="BY65" s="18">
        <f>'Grid_TheoreticalStock'!BP31</f>
        <v/>
      </c>
      <c r="BZ65" s="18">
        <f>'Grid_TheoreticalStock'!BQ31</f>
        <v/>
      </c>
      <c r="CA65" s="18">
        <f>'Grid_TheoreticalStock'!BR31</f>
        <v/>
      </c>
      <c r="CB65" s="18">
        <f>'Grid_TheoreticalStock'!BS31</f>
        <v/>
      </c>
      <c r="CC65" s="18">
        <f>'Grid_TheoreticalStock'!BT31</f>
        <v/>
      </c>
      <c r="CD65" s="18">
        <f>'Grid_TheoreticalStock'!BU31</f>
        <v/>
      </c>
      <c r="CE65" s="18">
        <f>'Grid_TheoreticalStock'!BV31</f>
        <v/>
      </c>
      <c r="CF65" s="18">
        <f>'Grid_TheoreticalStock'!BW31</f>
        <v/>
      </c>
      <c r="CG65" s="18">
        <f>'Grid_TheoreticalStock'!BX31</f>
        <v/>
      </c>
      <c r="CH65" s="18">
        <f>'Grid_TheoreticalStock'!BY31</f>
        <v/>
      </c>
      <c r="CI65" s="18">
        <f>'Grid_TheoreticalStock'!BZ31</f>
        <v/>
      </c>
      <c r="CJ65" s="18">
        <f>'Grid_TheoreticalStock'!CA31</f>
        <v/>
      </c>
      <c r="CK65" s="18">
        <f>'Grid_TheoreticalStock'!CB31</f>
        <v/>
      </c>
      <c r="CL65" s="18">
        <f>'Grid_TheoreticalStock'!CC31</f>
        <v/>
      </c>
      <c r="CM65" s="18">
        <f>'Grid_TheoreticalStock'!CD31</f>
        <v/>
      </c>
      <c r="CN65" s="18">
        <f>'Grid_TheoreticalStock'!CE31</f>
        <v/>
      </c>
      <c r="CO65" s="18">
        <f>'Grid_TheoreticalStock'!CF31</f>
        <v/>
      </c>
      <c r="CP65" s="18">
        <f>'Grid_TheoreticalStock'!CG31</f>
        <v/>
      </c>
      <c r="CQ65" s="18">
        <f>'Grid_TheoreticalStock'!CH31</f>
        <v/>
      </c>
      <c r="CR65" s="18">
        <f>'Grid_TheoreticalStock'!CI31</f>
        <v/>
      </c>
      <c r="CS65" s="18">
        <f>'Grid_TheoreticalStock'!CJ31</f>
        <v/>
      </c>
      <c r="CT65" s="18">
        <f>'Grid_TheoreticalStock'!CK31</f>
        <v/>
      </c>
      <c r="CU65" s="18">
        <f>'Grid_TheoreticalStock'!CL31</f>
        <v/>
      </c>
      <c r="CV65" s="18">
        <f>'Grid_TheoreticalStock'!CM31</f>
        <v/>
      </c>
      <c r="CW65" s="18">
        <f>'Grid_TheoreticalStock'!CN31</f>
        <v/>
      </c>
      <c r="CX65" s="18">
        <f>'Grid_TheoreticalStock'!CO31</f>
        <v/>
      </c>
      <c r="CY65" s="18">
        <f>'Grid_TheoreticalStock'!CP31</f>
        <v/>
      </c>
      <c r="CZ65" s="18">
        <f>'Grid_TheoreticalStock'!CQ31</f>
        <v/>
      </c>
      <c r="DA65" s="18">
        <f>'Grid_TheoreticalStock'!CR31</f>
        <v/>
      </c>
      <c r="DB65" s="18">
        <f>'Grid_TheoreticalStock'!CS31</f>
        <v/>
      </c>
      <c r="DC65" s="18">
        <f>'Grid_TheoreticalStock'!CT31</f>
        <v/>
      </c>
      <c r="DD65" s="18">
        <f>'Grid_TheoreticalStock'!CU31</f>
        <v/>
      </c>
      <c r="DE65" s="18">
        <f>'Grid_TheoreticalStock'!CV31</f>
        <v/>
      </c>
      <c r="DF65" s="18">
        <f>'Grid_TheoreticalStock'!CW31</f>
        <v/>
      </c>
      <c r="DG65" s="18">
        <f>'Grid_TheoreticalStock'!CX31</f>
        <v/>
      </c>
      <c r="DH65" s="18">
        <f>'Grid_TheoreticalStock'!CY31</f>
        <v/>
      </c>
      <c r="DI65" s="18">
        <f>'Grid_TheoreticalStock'!CZ31</f>
        <v/>
      </c>
      <c r="DJ65" s="18">
        <f>'Grid_TheoreticalStock'!DA31</f>
        <v/>
      </c>
    </row>
    <row r="66">
      <c r="A66" s="19" t="inlineStr">
        <is>
          <t>CHEM-1440</t>
        </is>
      </c>
      <c r="B66" s="19">
        <f>IFERROR(INDEX(M_RawMaterials[Description],MATCH($A66,M_RawMaterials[Part Name],0)),"")</f>
        <v/>
      </c>
      <c r="C66" s="19">
        <f>IFERROR(INDEX(M_RawMaterials[Category],MATCH($A66,M_RawMaterials[Part Name],0)),"")</f>
        <v/>
      </c>
      <c r="D66" s="19">
        <f>IFERROR(INDEX(M_RawMaterials[基準在庫下限_要入力],MATCH($A66,M_RawMaterials[Part Name],0)),0)</f>
        <v/>
      </c>
      <c r="E66" s="19">
        <f>IFERROR(INDEX(M_RawMaterials[基準在庫上限_要入力],MATCH($A66,M_RawMaterials[Part Name],0)),0)</f>
        <v/>
      </c>
      <c r="F66" s="19">
        <f>IFERROR(LOOKUP(2,1/('T_SelfStock'!$B$35:$DA$35&lt;&gt;""),'T_SelfStock'!$B$35:$DA$35),"")</f>
        <v/>
      </c>
      <c r="G66" s="19">
        <f>IFERROR(LOOKUP(2,1/('T_TTAFStock'!$B$35:$DA$35&lt;&gt;""),'T_TTAFStock'!$B$35:$DA$35),"")</f>
        <v/>
      </c>
      <c r="H66" s="19">
        <f>IFERROR(LOOKUP(2,1/('T_SelfStock'!$B$35:$DA$35&lt;&gt;""),'T_SelfStock'!$B$5:$DA$5),"")</f>
        <v/>
      </c>
      <c r="I66" s="20" t="inlineStr">
        <is>
          <t>実在庫</t>
        </is>
      </c>
      <c r="J66" s="19">
        <f>IFERROR(INDEX('Grid_Stock'!$A31:$DA31,1,LOOKUP(2,1/('T_SelfStock'!$B$35:$DA$35&lt;&gt;""),COLUMN('T_SelfStock'!$B$35:$DA$35)))-INDEX('Grid_TheoreticalStock'!$A31:$DA31,1,LOOKUP(2,1/('T_SelfStock'!$B$35:$DA$35&lt;&gt;""),COLUMN('T_SelfStock'!$B$35:$DA$35))),0)</f>
        <v/>
      </c>
      <c r="K66" s="19">
        <f>'Grid_Stock'!B31</f>
        <v/>
      </c>
      <c r="L66" s="19">
        <f>'Grid_Stock'!C31</f>
        <v/>
      </c>
      <c r="M66" s="19">
        <f>'Grid_Stock'!D31</f>
        <v/>
      </c>
      <c r="N66" s="19">
        <f>'Grid_Stock'!E31</f>
        <v/>
      </c>
      <c r="O66" s="19">
        <f>'Grid_Stock'!F31</f>
        <v/>
      </c>
      <c r="P66" s="19">
        <f>'Grid_Stock'!G31</f>
        <v/>
      </c>
      <c r="Q66" s="19">
        <f>'Grid_Stock'!H31</f>
        <v/>
      </c>
      <c r="R66" s="19">
        <f>'Grid_Stock'!I31</f>
        <v/>
      </c>
      <c r="S66" s="19">
        <f>'Grid_Stock'!J31</f>
        <v/>
      </c>
      <c r="T66" s="19">
        <f>'Grid_Stock'!K31</f>
        <v/>
      </c>
      <c r="U66" s="19">
        <f>'Grid_Stock'!L31</f>
        <v/>
      </c>
      <c r="V66" s="19">
        <f>'Grid_Stock'!M31</f>
        <v/>
      </c>
      <c r="W66" s="19">
        <f>'Grid_Stock'!N31</f>
        <v/>
      </c>
      <c r="X66" s="19">
        <f>'Grid_Stock'!O31</f>
        <v/>
      </c>
      <c r="Y66" s="19">
        <f>'Grid_Stock'!P31</f>
        <v/>
      </c>
      <c r="Z66" s="19">
        <f>'Grid_Stock'!Q31</f>
        <v/>
      </c>
      <c r="AA66" s="19">
        <f>'Grid_Stock'!R31</f>
        <v/>
      </c>
      <c r="AB66" s="19">
        <f>'Grid_Stock'!S31</f>
        <v/>
      </c>
      <c r="AC66" s="19">
        <f>'Grid_Stock'!T31</f>
        <v/>
      </c>
      <c r="AD66" s="19">
        <f>'Grid_Stock'!U31</f>
        <v/>
      </c>
      <c r="AE66" s="19">
        <f>'Grid_Stock'!V31</f>
        <v/>
      </c>
      <c r="AF66" s="19">
        <f>'Grid_Stock'!W31</f>
        <v/>
      </c>
      <c r="AG66" s="19">
        <f>'Grid_Stock'!X31</f>
        <v/>
      </c>
      <c r="AH66" s="19">
        <f>'Grid_Stock'!Y31</f>
        <v/>
      </c>
      <c r="AI66" s="19">
        <f>'Grid_Stock'!Z31</f>
        <v/>
      </c>
      <c r="AJ66" s="19">
        <f>'Grid_Stock'!AA31</f>
        <v/>
      </c>
      <c r="AK66" s="19">
        <f>'Grid_Stock'!AB31</f>
        <v/>
      </c>
      <c r="AL66" s="19">
        <f>'Grid_Stock'!AC31</f>
        <v/>
      </c>
      <c r="AM66" s="19">
        <f>'Grid_Stock'!AD31</f>
        <v/>
      </c>
      <c r="AN66" s="19">
        <f>'Grid_Stock'!AE31</f>
        <v/>
      </c>
      <c r="AO66" s="19">
        <f>'Grid_Stock'!AF31</f>
        <v/>
      </c>
      <c r="AP66" s="19">
        <f>'Grid_Stock'!AG31</f>
        <v/>
      </c>
      <c r="AQ66" s="19">
        <f>'Grid_Stock'!AH31</f>
        <v/>
      </c>
      <c r="AR66" s="19">
        <f>'Grid_Stock'!AI31</f>
        <v/>
      </c>
      <c r="AS66" s="19">
        <f>'Grid_Stock'!AJ31</f>
        <v/>
      </c>
      <c r="AT66" s="19">
        <f>'Grid_Stock'!AK31</f>
        <v/>
      </c>
      <c r="AU66" s="19">
        <f>'Grid_Stock'!AL31</f>
        <v/>
      </c>
      <c r="AV66" s="19">
        <f>'Grid_Stock'!AM31</f>
        <v/>
      </c>
      <c r="AW66" s="19">
        <f>'Grid_Stock'!AN31</f>
        <v/>
      </c>
      <c r="AX66" s="19">
        <f>'Grid_Stock'!AO31</f>
        <v/>
      </c>
      <c r="AY66" s="19">
        <f>'Grid_Stock'!AP31</f>
        <v/>
      </c>
      <c r="AZ66" s="19">
        <f>'Grid_Stock'!AQ31</f>
        <v/>
      </c>
      <c r="BA66" s="19">
        <f>'Grid_Stock'!AR31</f>
        <v/>
      </c>
      <c r="BB66" s="19">
        <f>'Grid_Stock'!AS31</f>
        <v/>
      </c>
      <c r="BC66" s="19">
        <f>'Grid_Stock'!AT31</f>
        <v/>
      </c>
      <c r="BD66" s="19">
        <f>'Grid_Stock'!AU31</f>
        <v/>
      </c>
      <c r="BE66" s="19">
        <f>'Grid_Stock'!AV31</f>
        <v/>
      </c>
      <c r="BF66" s="19">
        <f>'Grid_Stock'!AW31</f>
        <v/>
      </c>
      <c r="BG66" s="19">
        <f>'Grid_Stock'!AX31</f>
        <v/>
      </c>
      <c r="BH66" s="19">
        <f>'Grid_Stock'!AY31</f>
        <v/>
      </c>
      <c r="BI66" s="19">
        <f>'Grid_Stock'!AZ31</f>
        <v/>
      </c>
      <c r="BJ66" s="19">
        <f>'Grid_Stock'!BA31</f>
        <v/>
      </c>
      <c r="BK66" s="19">
        <f>'Grid_Stock'!BB31</f>
        <v/>
      </c>
      <c r="BL66" s="19">
        <f>'Grid_Stock'!BC31</f>
        <v/>
      </c>
      <c r="BM66" s="19">
        <f>'Grid_Stock'!BD31</f>
        <v/>
      </c>
      <c r="BN66" s="19">
        <f>'Grid_Stock'!BE31</f>
        <v/>
      </c>
      <c r="BO66" s="19">
        <f>'Grid_Stock'!BF31</f>
        <v/>
      </c>
      <c r="BP66" s="19">
        <f>'Grid_Stock'!BG31</f>
        <v/>
      </c>
      <c r="BQ66" s="19">
        <f>'Grid_Stock'!BH31</f>
        <v/>
      </c>
      <c r="BR66" s="19">
        <f>'Grid_Stock'!BI31</f>
        <v/>
      </c>
      <c r="BS66" s="19">
        <f>'Grid_Stock'!BJ31</f>
        <v/>
      </c>
      <c r="BT66" s="19">
        <f>'Grid_Stock'!BK31</f>
        <v/>
      </c>
      <c r="BU66" s="19">
        <f>'Grid_Stock'!BL31</f>
        <v/>
      </c>
      <c r="BV66" s="19">
        <f>'Grid_Stock'!BM31</f>
        <v/>
      </c>
      <c r="BW66" s="19">
        <f>'Grid_Stock'!BN31</f>
        <v/>
      </c>
      <c r="BX66" s="19">
        <f>'Grid_Stock'!BO31</f>
        <v/>
      </c>
      <c r="BY66" s="19">
        <f>'Grid_Stock'!BP31</f>
        <v/>
      </c>
      <c r="BZ66" s="19">
        <f>'Grid_Stock'!BQ31</f>
        <v/>
      </c>
      <c r="CA66" s="19">
        <f>'Grid_Stock'!BR31</f>
        <v/>
      </c>
      <c r="CB66" s="19">
        <f>'Grid_Stock'!BS31</f>
        <v/>
      </c>
      <c r="CC66" s="19">
        <f>'Grid_Stock'!BT31</f>
        <v/>
      </c>
      <c r="CD66" s="19">
        <f>'Grid_Stock'!BU31</f>
        <v/>
      </c>
      <c r="CE66" s="19">
        <f>'Grid_Stock'!BV31</f>
        <v/>
      </c>
      <c r="CF66" s="19">
        <f>'Grid_Stock'!BW31</f>
        <v/>
      </c>
      <c r="CG66" s="19">
        <f>'Grid_Stock'!BX31</f>
        <v/>
      </c>
      <c r="CH66" s="19">
        <f>'Grid_Stock'!BY31</f>
        <v/>
      </c>
      <c r="CI66" s="19">
        <f>'Grid_Stock'!BZ31</f>
        <v/>
      </c>
      <c r="CJ66" s="19">
        <f>'Grid_Stock'!CA31</f>
        <v/>
      </c>
      <c r="CK66" s="19">
        <f>'Grid_Stock'!CB31</f>
        <v/>
      </c>
      <c r="CL66" s="19">
        <f>'Grid_Stock'!CC31</f>
        <v/>
      </c>
      <c r="CM66" s="19">
        <f>'Grid_Stock'!CD31</f>
        <v/>
      </c>
      <c r="CN66" s="19">
        <f>'Grid_Stock'!CE31</f>
        <v/>
      </c>
      <c r="CO66" s="19">
        <f>'Grid_Stock'!CF31</f>
        <v/>
      </c>
      <c r="CP66" s="19">
        <f>'Grid_Stock'!CG31</f>
        <v/>
      </c>
      <c r="CQ66" s="19">
        <f>'Grid_Stock'!CH31</f>
        <v/>
      </c>
      <c r="CR66" s="19">
        <f>'Grid_Stock'!CI31</f>
        <v/>
      </c>
      <c r="CS66" s="19">
        <f>'Grid_Stock'!CJ31</f>
        <v/>
      </c>
      <c r="CT66" s="19">
        <f>'Grid_Stock'!CK31</f>
        <v/>
      </c>
      <c r="CU66" s="19">
        <f>'Grid_Stock'!CL31</f>
        <v/>
      </c>
      <c r="CV66" s="19">
        <f>'Grid_Stock'!CM31</f>
        <v/>
      </c>
      <c r="CW66" s="19">
        <f>'Grid_Stock'!CN31</f>
        <v/>
      </c>
      <c r="CX66" s="19">
        <f>'Grid_Stock'!CO31</f>
        <v/>
      </c>
      <c r="CY66" s="19">
        <f>'Grid_Stock'!CP31</f>
        <v/>
      </c>
      <c r="CZ66" s="19">
        <f>'Grid_Stock'!CQ31</f>
        <v/>
      </c>
      <c r="DA66" s="19">
        <f>'Grid_Stock'!CR31</f>
        <v/>
      </c>
      <c r="DB66" s="19">
        <f>'Grid_Stock'!CS31</f>
        <v/>
      </c>
      <c r="DC66" s="19">
        <f>'Grid_Stock'!CT31</f>
        <v/>
      </c>
      <c r="DD66" s="19">
        <f>'Grid_Stock'!CU31</f>
        <v/>
      </c>
      <c r="DE66" s="19">
        <f>'Grid_Stock'!CV31</f>
        <v/>
      </c>
      <c r="DF66" s="19">
        <f>'Grid_Stock'!CW31</f>
        <v/>
      </c>
      <c r="DG66" s="19">
        <f>'Grid_Stock'!CX31</f>
        <v/>
      </c>
      <c r="DH66" s="19">
        <f>'Grid_Stock'!CY31</f>
        <v/>
      </c>
      <c r="DI66" s="19">
        <f>'Grid_Stock'!CZ31</f>
        <v/>
      </c>
      <c r="DJ66" s="19">
        <f>'Grid_Stock'!DA31</f>
        <v/>
      </c>
    </row>
    <row r="67">
      <c r="A67" s="17" t="inlineStr">
        <is>
          <t>CHEM-1780</t>
        </is>
      </c>
      <c r="B67" s="17">
        <f>IFERROR(INDEX(M_RawMaterials[Description],MATCH($A67,M_RawMaterials[Part Name],0)),"")</f>
        <v/>
      </c>
      <c r="C67" s="17">
        <f>IFERROR(INDEX(M_RawMaterials[Category],MATCH($A67,M_RawMaterials[Part Name],0)),"")</f>
        <v/>
      </c>
      <c r="D67" s="17">
        <f>IFERROR(INDEX(M_RawMaterials[基準在庫下限_要入力],MATCH($A67,M_RawMaterials[Part Name],0)),0)</f>
        <v/>
      </c>
      <c r="E67" s="17">
        <f>IFERROR(INDEX(M_RawMaterials[基準在庫上限_要入力],MATCH($A67,M_RawMaterials[Part Name],0)),0)</f>
        <v/>
      </c>
      <c r="F67" s="17">
        <f>IFERROR(LOOKUP(2,1/('T_SelfStock'!$B$36:$DA$36&lt;&gt;""),'T_SelfStock'!$B$36:$DA$36),"")</f>
        <v/>
      </c>
      <c r="G67" s="17">
        <f>IFERROR(LOOKUP(2,1/('T_TTAFStock'!$B$36:$DA$36&lt;&gt;""),'T_TTAFStock'!$B$36:$DA$36),"")</f>
        <v/>
      </c>
      <c r="H67" s="17">
        <f>IFERROR(LOOKUP(2,1/('T_SelfStock'!$B$36:$DA$36&lt;&gt;""),'T_SelfStock'!$B$5:$DA$5),"")</f>
        <v/>
      </c>
      <c r="I67" s="18" t="inlineStr">
        <is>
          <t>理論在庫</t>
        </is>
      </c>
      <c r="J67" s="17">
        <f>IFERROR(INDEX('Grid_Stock'!$A32:$DA32,1,LOOKUP(2,1/('T_SelfStock'!$B$36:$DA$36&lt;&gt;""),COLUMN('T_SelfStock'!$B$36:$DA$36)))-INDEX('Grid_TheoreticalStock'!$A32:$DA32,1,LOOKUP(2,1/('T_SelfStock'!$B$36:$DA$36&lt;&gt;""),COLUMN('T_SelfStock'!$B$36:$DA$36))),0)</f>
        <v/>
      </c>
      <c r="K67" s="18">
        <f>'Grid_TheoreticalStock'!B32</f>
        <v/>
      </c>
      <c r="L67" s="18">
        <f>'Grid_TheoreticalStock'!C32</f>
        <v/>
      </c>
      <c r="M67" s="18">
        <f>'Grid_TheoreticalStock'!D32</f>
        <v/>
      </c>
      <c r="N67" s="18">
        <f>'Grid_TheoreticalStock'!E32</f>
        <v/>
      </c>
      <c r="O67" s="18">
        <f>'Grid_TheoreticalStock'!F32</f>
        <v/>
      </c>
      <c r="P67" s="18">
        <f>'Grid_TheoreticalStock'!G32</f>
        <v/>
      </c>
      <c r="Q67" s="18">
        <f>'Grid_TheoreticalStock'!H32</f>
        <v/>
      </c>
      <c r="R67" s="18">
        <f>'Grid_TheoreticalStock'!I32</f>
        <v/>
      </c>
      <c r="S67" s="18">
        <f>'Grid_TheoreticalStock'!J32</f>
        <v/>
      </c>
      <c r="T67" s="18">
        <f>'Grid_TheoreticalStock'!K32</f>
        <v/>
      </c>
      <c r="U67" s="18">
        <f>'Grid_TheoreticalStock'!L32</f>
        <v/>
      </c>
      <c r="V67" s="18">
        <f>'Grid_TheoreticalStock'!M32</f>
        <v/>
      </c>
      <c r="W67" s="18">
        <f>'Grid_TheoreticalStock'!N32</f>
        <v/>
      </c>
      <c r="X67" s="18">
        <f>'Grid_TheoreticalStock'!O32</f>
        <v/>
      </c>
      <c r="Y67" s="18">
        <f>'Grid_TheoreticalStock'!P32</f>
        <v/>
      </c>
      <c r="Z67" s="18">
        <f>'Grid_TheoreticalStock'!Q32</f>
        <v/>
      </c>
      <c r="AA67" s="18">
        <f>'Grid_TheoreticalStock'!R32</f>
        <v/>
      </c>
      <c r="AB67" s="18">
        <f>'Grid_TheoreticalStock'!S32</f>
        <v/>
      </c>
      <c r="AC67" s="18">
        <f>'Grid_TheoreticalStock'!T32</f>
        <v/>
      </c>
      <c r="AD67" s="18">
        <f>'Grid_TheoreticalStock'!U32</f>
        <v/>
      </c>
      <c r="AE67" s="18">
        <f>'Grid_TheoreticalStock'!V32</f>
        <v/>
      </c>
      <c r="AF67" s="18">
        <f>'Grid_TheoreticalStock'!W32</f>
        <v/>
      </c>
      <c r="AG67" s="18">
        <f>'Grid_TheoreticalStock'!X32</f>
        <v/>
      </c>
      <c r="AH67" s="18">
        <f>'Grid_TheoreticalStock'!Y32</f>
        <v/>
      </c>
      <c r="AI67" s="18">
        <f>'Grid_TheoreticalStock'!Z32</f>
        <v/>
      </c>
      <c r="AJ67" s="18">
        <f>'Grid_TheoreticalStock'!AA32</f>
        <v/>
      </c>
      <c r="AK67" s="18">
        <f>'Grid_TheoreticalStock'!AB32</f>
        <v/>
      </c>
      <c r="AL67" s="18">
        <f>'Grid_TheoreticalStock'!AC32</f>
        <v/>
      </c>
      <c r="AM67" s="18">
        <f>'Grid_TheoreticalStock'!AD32</f>
        <v/>
      </c>
      <c r="AN67" s="18">
        <f>'Grid_TheoreticalStock'!AE32</f>
        <v/>
      </c>
      <c r="AO67" s="18">
        <f>'Grid_TheoreticalStock'!AF32</f>
        <v/>
      </c>
      <c r="AP67" s="18">
        <f>'Grid_TheoreticalStock'!AG32</f>
        <v/>
      </c>
      <c r="AQ67" s="18">
        <f>'Grid_TheoreticalStock'!AH32</f>
        <v/>
      </c>
      <c r="AR67" s="18">
        <f>'Grid_TheoreticalStock'!AI32</f>
        <v/>
      </c>
      <c r="AS67" s="18">
        <f>'Grid_TheoreticalStock'!AJ32</f>
        <v/>
      </c>
      <c r="AT67" s="18">
        <f>'Grid_TheoreticalStock'!AK32</f>
        <v/>
      </c>
      <c r="AU67" s="18">
        <f>'Grid_TheoreticalStock'!AL32</f>
        <v/>
      </c>
      <c r="AV67" s="18">
        <f>'Grid_TheoreticalStock'!AM32</f>
        <v/>
      </c>
      <c r="AW67" s="18">
        <f>'Grid_TheoreticalStock'!AN32</f>
        <v/>
      </c>
      <c r="AX67" s="18">
        <f>'Grid_TheoreticalStock'!AO32</f>
        <v/>
      </c>
      <c r="AY67" s="18">
        <f>'Grid_TheoreticalStock'!AP32</f>
        <v/>
      </c>
      <c r="AZ67" s="18">
        <f>'Grid_TheoreticalStock'!AQ32</f>
        <v/>
      </c>
      <c r="BA67" s="18">
        <f>'Grid_TheoreticalStock'!AR32</f>
        <v/>
      </c>
      <c r="BB67" s="18">
        <f>'Grid_TheoreticalStock'!AS32</f>
        <v/>
      </c>
      <c r="BC67" s="18">
        <f>'Grid_TheoreticalStock'!AT32</f>
        <v/>
      </c>
      <c r="BD67" s="18">
        <f>'Grid_TheoreticalStock'!AU32</f>
        <v/>
      </c>
      <c r="BE67" s="18">
        <f>'Grid_TheoreticalStock'!AV32</f>
        <v/>
      </c>
      <c r="BF67" s="18">
        <f>'Grid_TheoreticalStock'!AW32</f>
        <v/>
      </c>
      <c r="BG67" s="18">
        <f>'Grid_TheoreticalStock'!AX32</f>
        <v/>
      </c>
      <c r="BH67" s="18">
        <f>'Grid_TheoreticalStock'!AY32</f>
        <v/>
      </c>
      <c r="BI67" s="18">
        <f>'Grid_TheoreticalStock'!AZ32</f>
        <v/>
      </c>
      <c r="BJ67" s="18">
        <f>'Grid_TheoreticalStock'!BA32</f>
        <v/>
      </c>
      <c r="BK67" s="18">
        <f>'Grid_TheoreticalStock'!BB32</f>
        <v/>
      </c>
      <c r="BL67" s="18">
        <f>'Grid_TheoreticalStock'!BC32</f>
        <v/>
      </c>
      <c r="BM67" s="18">
        <f>'Grid_TheoreticalStock'!BD32</f>
        <v/>
      </c>
      <c r="BN67" s="18">
        <f>'Grid_TheoreticalStock'!BE32</f>
        <v/>
      </c>
      <c r="BO67" s="18">
        <f>'Grid_TheoreticalStock'!BF32</f>
        <v/>
      </c>
      <c r="BP67" s="18">
        <f>'Grid_TheoreticalStock'!BG32</f>
        <v/>
      </c>
      <c r="BQ67" s="18">
        <f>'Grid_TheoreticalStock'!BH32</f>
        <v/>
      </c>
      <c r="BR67" s="18">
        <f>'Grid_TheoreticalStock'!BI32</f>
        <v/>
      </c>
      <c r="BS67" s="18">
        <f>'Grid_TheoreticalStock'!BJ32</f>
        <v/>
      </c>
      <c r="BT67" s="18">
        <f>'Grid_TheoreticalStock'!BK32</f>
        <v/>
      </c>
      <c r="BU67" s="18">
        <f>'Grid_TheoreticalStock'!BL32</f>
        <v/>
      </c>
      <c r="BV67" s="18">
        <f>'Grid_TheoreticalStock'!BM32</f>
        <v/>
      </c>
      <c r="BW67" s="18">
        <f>'Grid_TheoreticalStock'!BN32</f>
        <v/>
      </c>
      <c r="BX67" s="18">
        <f>'Grid_TheoreticalStock'!BO32</f>
        <v/>
      </c>
      <c r="BY67" s="18">
        <f>'Grid_TheoreticalStock'!BP32</f>
        <v/>
      </c>
      <c r="BZ67" s="18">
        <f>'Grid_TheoreticalStock'!BQ32</f>
        <v/>
      </c>
      <c r="CA67" s="18">
        <f>'Grid_TheoreticalStock'!BR32</f>
        <v/>
      </c>
      <c r="CB67" s="18">
        <f>'Grid_TheoreticalStock'!BS32</f>
        <v/>
      </c>
      <c r="CC67" s="18">
        <f>'Grid_TheoreticalStock'!BT32</f>
        <v/>
      </c>
      <c r="CD67" s="18">
        <f>'Grid_TheoreticalStock'!BU32</f>
        <v/>
      </c>
      <c r="CE67" s="18">
        <f>'Grid_TheoreticalStock'!BV32</f>
        <v/>
      </c>
      <c r="CF67" s="18">
        <f>'Grid_TheoreticalStock'!BW32</f>
        <v/>
      </c>
      <c r="CG67" s="18">
        <f>'Grid_TheoreticalStock'!BX32</f>
        <v/>
      </c>
      <c r="CH67" s="18">
        <f>'Grid_TheoreticalStock'!BY32</f>
        <v/>
      </c>
      <c r="CI67" s="18">
        <f>'Grid_TheoreticalStock'!BZ32</f>
        <v/>
      </c>
      <c r="CJ67" s="18">
        <f>'Grid_TheoreticalStock'!CA32</f>
        <v/>
      </c>
      <c r="CK67" s="18">
        <f>'Grid_TheoreticalStock'!CB32</f>
        <v/>
      </c>
      <c r="CL67" s="18">
        <f>'Grid_TheoreticalStock'!CC32</f>
        <v/>
      </c>
      <c r="CM67" s="18">
        <f>'Grid_TheoreticalStock'!CD32</f>
        <v/>
      </c>
      <c r="CN67" s="18">
        <f>'Grid_TheoreticalStock'!CE32</f>
        <v/>
      </c>
      <c r="CO67" s="18">
        <f>'Grid_TheoreticalStock'!CF32</f>
        <v/>
      </c>
      <c r="CP67" s="18">
        <f>'Grid_TheoreticalStock'!CG32</f>
        <v/>
      </c>
      <c r="CQ67" s="18">
        <f>'Grid_TheoreticalStock'!CH32</f>
        <v/>
      </c>
      <c r="CR67" s="18">
        <f>'Grid_TheoreticalStock'!CI32</f>
        <v/>
      </c>
      <c r="CS67" s="18">
        <f>'Grid_TheoreticalStock'!CJ32</f>
        <v/>
      </c>
      <c r="CT67" s="18">
        <f>'Grid_TheoreticalStock'!CK32</f>
        <v/>
      </c>
      <c r="CU67" s="18">
        <f>'Grid_TheoreticalStock'!CL32</f>
        <v/>
      </c>
      <c r="CV67" s="18">
        <f>'Grid_TheoreticalStock'!CM32</f>
        <v/>
      </c>
      <c r="CW67" s="18">
        <f>'Grid_TheoreticalStock'!CN32</f>
        <v/>
      </c>
      <c r="CX67" s="18">
        <f>'Grid_TheoreticalStock'!CO32</f>
        <v/>
      </c>
      <c r="CY67" s="18">
        <f>'Grid_TheoreticalStock'!CP32</f>
        <v/>
      </c>
      <c r="CZ67" s="18">
        <f>'Grid_TheoreticalStock'!CQ32</f>
        <v/>
      </c>
      <c r="DA67" s="18">
        <f>'Grid_TheoreticalStock'!CR32</f>
        <v/>
      </c>
      <c r="DB67" s="18">
        <f>'Grid_TheoreticalStock'!CS32</f>
        <v/>
      </c>
      <c r="DC67" s="18">
        <f>'Grid_TheoreticalStock'!CT32</f>
        <v/>
      </c>
      <c r="DD67" s="18">
        <f>'Grid_TheoreticalStock'!CU32</f>
        <v/>
      </c>
      <c r="DE67" s="18">
        <f>'Grid_TheoreticalStock'!CV32</f>
        <v/>
      </c>
      <c r="DF67" s="18">
        <f>'Grid_TheoreticalStock'!CW32</f>
        <v/>
      </c>
      <c r="DG67" s="18">
        <f>'Grid_TheoreticalStock'!CX32</f>
        <v/>
      </c>
      <c r="DH67" s="18">
        <f>'Grid_TheoreticalStock'!CY32</f>
        <v/>
      </c>
      <c r="DI67" s="18">
        <f>'Grid_TheoreticalStock'!CZ32</f>
        <v/>
      </c>
      <c r="DJ67" s="18">
        <f>'Grid_TheoreticalStock'!DA32</f>
        <v/>
      </c>
    </row>
    <row r="68">
      <c r="A68" s="19" t="inlineStr">
        <is>
          <t>CHEM-1780</t>
        </is>
      </c>
      <c r="B68" s="19">
        <f>IFERROR(INDEX(M_RawMaterials[Description],MATCH($A68,M_RawMaterials[Part Name],0)),"")</f>
        <v/>
      </c>
      <c r="C68" s="19">
        <f>IFERROR(INDEX(M_RawMaterials[Category],MATCH($A68,M_RawMaterials[Part Name],0)),"")</f>
        <v/>
      </c>
      <c r="D68" s="19">
        <f>IFERROR(INDEX(M_RawMaterials[基準在庫下限_要入力],MATCH($A68,M_RawMaterials[Part Name],0)),0)</f>
        <v/>
      </c>
      <c r="E68" s="19">
        <f>IFERROR(INDEX(M_RawMaterials[基準在庫上限_要入力],MATCH($A68,M_RawMaterials[Part Name],0)),0)</f>
        <v/>
      </c>
      <c r="F68" s="19">
        <f>IFERROR(LOOKUP(2,1/('T_SelfStock'!$B$36:$DA$36&lt;&gt;""),'T_SelfStock'!$B$36:$DA$36),"")</f>
        <v/>
      </c>
      <c r="G68" s="19">
        <f>IFERROR(LOOKUP(2,1/('T_TTAFStock'!$B$36:$DA$36&lt;&gt;""),'T_TTAFStock'!$B$36:$DA$36),"")</f>
        <v/>
      </c>
      <c r="H68" s="19">
        <f>IFERROR(LOOKUP(2,1/('T_SelfStock'!$B$36:$DA$36&lt;&gt;""),'T_SelfStock'!$B$5:$DA$5),"")</f>
        <v/>
      </c>
      <c r="I68" s="20" t="inlineStr">
        <is>
          <t>実在庫</t>
        </is>
      </c>
      <c r="J68" s="19">
        <f>IFERROR(INDEX('Grid_Stock'!$A32:$DA32,1,LOOKUP(2,1/('T_SelfStock'!$B$36:$DA$36&lt;&gt;""),COLUMN('T_SelfStock'!$B$36:$DA$36)))-INDEX('Grid_TheoreticalStock'!$A32:$DA32,1,LOOKUP(2,1/('T_SelfStock'!$B$36:$DA$36&lt;&gt;""),COLUMN('T_SelfStock'!$B$36:$DA$36))),0)</f>
        <v/>
      </c>
      <c r="K68" s="19">
        <f>'Grid_Stock'!B32</f>
        <v/>
      </c>
      <c r="L68" s="19">
        <f>'Grid_Stock'!C32</f>
        <v/>
      </c>
      <c r="M68" s="19">
        <f>'Grid_Stock'!D32</f>
        <v/>
      </c>
      <c r="N68" s="19">
        <f>'Grid_Stock'!E32</f>
        <v/>
      </c>
      <c r="O68" s="19">
        <f>'Grid_Stock'!F32</f>
        <v/>
      </c>
      <c r="P68" s="19">
        <f>'Grid_Stock'!G32</f>
        <v/>
      </c>
      <c r="Q68" s="19">
        <f>'Grid_Stock'!H32</f>
        <v/>
      </c>
      <c r="R68" s="19">
        <f>'Grid_Stock'!I32</f>
        <v/>
      </c>
      <c r="S68" s="19">
        <f>'Grid_Stock'!J32</f>
        <v/>
      </c>
      <c r="T68" s="19">
        <f>'Grid_Stock'!K32</f>
        <v/>
      </c>
      <c r="U68" s="19">
        <f>'Grid_Stock'!L32</f>
        <v/>
      </c>
      <c r="V68" s="19">
        <f>'Grid_Stock'!M32</f>
        <v/>
      </c>
      <c r="W68" s="19">
        <f>'Grid_Stock'!N32</f>
        <v/>
      </c>
      <c r="X68" s="19">
        <f>'Grid_Stock'!O32</f>
        <v/>
      </c>
      <c r="Y68" s="19">
        <f>'Grid_Stock'!P32</f>
        <v/>
      </c>
      <c r="Z68" s="19">
        <f>'Grid_Stock'!Q32</f>
        <v/>
      </c>
      <c r="AA68" s="19">
        <f>'Grid_Stock'!R32</f>
        <v/>
      </c>
      <c r="AB68" s="19">
        <f>'Grid_Stock'!S32</f>
        <v/>
      </c>
      <c r="AC68" s="19">
        <f>'Grid_Stock'!T32</f>
        <v/>
      </c>
      <c r="AD68" s="19">
        <f>'Grid_Stock'!U32</f>
        <v/>
      </c>
      <c r="AE68" s="19">
        <f>'Grid_Stock'!V32</f>
        <v/>
      </c>
      <c r="AF68" s="19">
        <f>'Grid_Stock'!W32</f>
        <v/>
      </c>
      <c r="AG68" s="19">
        <f>'Grid_Stock'!X32</f>
        <v/>
      </c>
      <c r="AH68" s="19">
        <f>'Grid_Stock'!Y32</f>
        <v/>
      </c>
      <c r="AI68" s="19">
        <f>'Grid_Stock'!Z32</f>
        <v/>
      </c>
      <c r="AJ68" s="19">
        <f>'Grid_Stock'!AA32</f>
        <v/>
      </c>
      <c r="AK68" s="19">
        <f>'Grid_Stock'!AB32</f>
        <v/>
      </c>
      <c r="AL68" s="19">
        <f>'Grid_Stock'!AC32</f>
        <v/>
      </c>
      <c r="AM68" s="19">
        <f>'Grid_Stock'!AD32</f>
        <v/>
      </c>
      <c r="AN68" s="19">
        <f>'Grid_Stock'!AE32</f>
        <v/>
      </c>
      <c r="AO68" s="19">
        <f>'Grid_Stock'!AF32</f>
        <v/>
      </c>
      <c r="AP68" s="19">
        <f>'Grid_Stock'!AG32</f>
        <v/>
      </c>
      <c r="AQ68" s="19">
        <f>'Grid_Stock'!AH32</f>
        <v/>
      </c>
      <c r="AR68" s="19">
        <f>'Grid_Stock'!AI32</f>
        <v/>
      </c>
      <c r="AS68" s="19">
        <f>'Grid_Stock'!AJ32</f>
        <v/>
      </c>
      <c r="AT68" s="19">
        <f>'Grid_Stock'!AK32</f>
        <v/>
      </c>
      <c r="AU68" s="19">
        <f>'Grid_Stock'!AL32</f>
        <v/>
      </c>
      <c r="AV68" s="19">
        <f>'Grid_Stock'!AM32</f>
        <v/>
      </c>
      <c r="AW68" s="19">
        <f>'Grid_Stock'!AN32</f>
        <v/>
      </c>
      <c r="AX68" s="19">
        <f>'Grid_Stock'!AO32</f>
        <v/>
      </c>
      <c r="AY68" s="19">
        <f>'Grid_Stock'!AP32</f>
        <v/>
      </c>
      <c r="AZ68" s="19">
        <f>'Grid_Stock'!AQ32</f>
        <v/>
      </c>
      <c r="BA68" s="19">
        <f>'Grid_Stock'!AR32</f>
        <v/>
      </c>
      <c r="BB68" s="19">
        <f>'Grid_Stock'!AS32</f>
        <v/>
      </c>
      <c r="BC68" s="19">
        <f>'Grid_Stock'!AT32</f>
        <v/>
      </c>
      <c r="BD68" s="19">
        <f>'Grid_Stock'!AU32</f>
        <v/>
      </c>
      <c r="BE68" s="19">
        <f>'Grid_Stock'!AV32</f>
        <v/>
      </c>
      <c r="BF68" s="19">
        <f>'Grid_Stock'!AW32</f>
        <v/>
      </c>
      <c r="BG68" s="19">
        <f>'Grid_Stock'!AX32</f>
        <v/>
      </c>
      <c r="BH68" s="19">
        <f>'Grid_Stock'!AY32</f>
        <v/>
      </c>
      <c r="BI68" s="19">
        <f>'Grid_Stock'!AZ32</f>
        <v/>
      </c>
      <c r="BJ68" s="19">
        <f>'Grid_Stock'!BA32</f>
        <v/>
      </c>
      <c r="BK68" s="19">
        <f>'Grid_Stock'!BB32</f>
        <v/>
      </c>
      <c r="BL68" s="19">
        <f>'Grid_Stock'!BC32</f>
        <v/>
      </c>
      <c r="BM68" s="19">
        <f>'Grid_Stock'!BD32</f>
        <v/>
      </c>
      <c r="BN68" s="19">
        <f>'Grid_Stock'!BE32</f>
        <v/>
      </c>
      <c r="BO68" s="19">
        <f>'Grid_Stock'!BF32</f>
        <v/>
      </c>
      <c r="BP68" s="19">
        <f>'Grid_Stock'!BG32</f>
        <v/>
      </c>
      <c r="BQ68" s="19">
        <f>'Grid_Stock'!BH32</f>
        <v/>
      </c>
      <c r="BR68" s="19">
        <f>'Grid_Stock'!BI32</f>
        <v/>
      </c>
      <c r="BS68" s="19">
        <f>'Grid_Stock'!BJ32</f>
        <v/>
      </c>
      <c r="BT68" s="19">
        <f>'Grid_Stock'!BK32</f>
        <v/>
      </c>
      <c r="BU68" s="19">
        <f>'Grid_Stock'!BL32</f>
        <v/>
      </c>
      <c r="BV68" s="19">
        <f>'Grid_Stock'!BM32</f>
        <v/>
      </c>
      <c r="BW68" s="19">
        <f>'Grid_Stock'!BN32</f>
        <v/>
      </c>
      <c r="BX68" s="19">
        <f>'Grid_Stock'!BO32</f>
        <v/>
      </c>
      <c r="BY68" s="19">
        <f>'Grid_Stock'!BP32</f>
        <v/>
      </c>
      <c r="BZ68" s="19">
        <f>'Grid_Stock'!BQ32</f>
        <v/>
      </c>
      <c r="CA68" s="19">
        <f>'Grid_Stock'!BR32</f>
        <v/>
      </c>
      <c r="CB68" s="19">
        <f>'Grid_Stock'!BS32</f>
        <v/>
      </c>
      <c r="CC68" s="19">
        <f>'Grid_Stock'!BT32</f>
        <v/>
      </c>
      <c r="CD68" s="19">
        <f>'Grid_Stock'!BU32</f>
        <v/>
      </c>
      <c r="CE68" s="19">
        <f>'Grid_Stock'!BV32</f>
        <v/>
      </c>
      <c r="CF68" s="19">
        <f>'Grid_Stock'!BW32</f>
        <v/>
      </c>
      <c r="CG68" s="19">
        <f>'Grid_Stock'!BX32</f>
        <v/>
      </c>
      <c r="CH68" s="19">
        <f>'Grid_Stock'!BY32</f>
        <v/>
      </c>
      <c r="CI68" s="19">
        <f>'Grid_Stock'!BZ32</f>
        <v/>
      </c>
      <c r="CJ68" s="19">
        <f>'Grid_Stock'!CA32</f>
        <v/>
      </c>
      <c r="CK68" s="19">
        <f>'Grid_Stock'!CB32</f>
        <v/>
      </c>
      <c r="CL68" s="19">
        <f>'Grid_Stock'!CC32</f>
        <v/>
      </c>
      <c r="CM68" s="19">
        <f>'Grid_Stock'!CD32</f>
        <v/>
      </c>
      <c r="CN68" s="19">
        <f>'Grid_Stock'!CE32</f>
        <v/>
      </c>
      <c r="CO68" s="19">
        <f>'Grid_Stock'!CF32</f>
        <v/>
      </c>
      <c r="CP68" s="19">
        <f>'Grid_Stock'!CG32</f>
        <v/>
      </c>
      <c r="CQ68" s="19">
        <f>'Grid_Stock'!CH32</f>
        <v/>
      </c>
      <c r="CR68" s="19">
        <f>'Grid_Stock'!CI32</f>
        <v/>
      </c>
      <c r="CS68" s="19">
        <f>'Grid_Stock'!CJ32</f>
        <v/>
      </c>
      <c r="CT68" s="19">
        <f>'Grid_Stock'!CK32</f>
        <v/>
      </c>
      <c r="CU68" s="19">
        <f>'Grid_Stock'!CL32</f>
        <v/>
      </c>
      <c r="CV68" s="19">
        <f>'Grid_Stock'!CM32</f>
        <v/>
      </c>
      <c r="CW68" s="19">
        <f>'Grid_Stock'!CN32</f>
        <v/>
      </c>
      <c r="CX68" s="19">
        <f>'Grid_Stock'!CO32</f>
        <v/>
      </c>
      <c r="CY68" s="19">
        <f>'Grid_Stock'!CP32</f>
        <v/>
      </c>
      <c r="CZ68" s="19">
        <f>'Grid_Stock'!CQ32</f>
        <v/>
      </c>
      <c r="DA68" s="19">
        <f>'Grid_Stock'!CR32</f>
        <v/>
      </c>
      <c r="DB68" s="19">
        <f>'Grid_Stock'!CS32</f>
        <v/>
      </c>
      <c r="DC68" s="19">
        <f>'Grid_Stock'!CT32</f>
        <v/>
      </c>
      <c r="DD68" s="19">
        <f>'Grid_Stock'!CU32</f>
        <v/>
      </c>
      <c r="DE68" s="19">
        <f>'Grid_Stock'!CV32</f>
        <v/>
      </c>
      <c r="DF68" s="19">
        <f>'Grid_Stock'!CW32</f>
        <v/>
      </c>
      <c r="DG68" s="19">
        <f>'Grid_Stock'!CX32</f>
        <v/>
      </c>
      <c r="DH68" s="19">
        <f>'Grid_Stock'!CY32</f>
        <v/>
      </c>
      <c r="DI68" s="19">
        <f>'Grid_Stock'!CZ32</f>
        <v/>
      </c>
      <c r="DJ68" s="19">
        <f>'Grid_Stock'!DA32</f>
        <v/>
      </c>
    </row>
    <row r="69">
      <c r="A69" s="17" t="inlineStr">
        <is>
          <t>CHEM-1400</t>
        </is>
      </c>
      <c r="B69" s="17">
        <f>IFERROR(INDEX(M_RawMaterials[Description],MATCH($A69,M_RawMaterials[Part Name],0)),"")</f>
        <v/>
      </c>
      <c r="C69" s="17">
        <f>IFERROR(INDEX(M_RawMaterials[Category],MATCH($A69,M_RawMaterials[Part Name],0)),"")</f>
        <v/>
      </c>
      <c r="D69" s="17">
        <f>IFERROR(INDEX(M_RawMaterials[基準在庫下限_要入力],MATCH($A69,M_RawMaterials[Part Name],0)),0)</f>
        <v/>
      </c>
      <c r="E69" s="17">
        <f>IFERROR(INDEX(M_RawMaterials[基準在庫上限_要入力],MATCH($A69,M_RawMaterials[Part Name],0)),0)</f>
        <v/>
      </c>
      <c r="F69" s="17">
        <f>IFERROR(LOOKUP(2,1/('T_SelfStock'!$B$37:$DA$37&lt;&gt;""),'T_SelfStock'!$B$37:$DA$37),"")</f>
        <v/>
      </c>
      <c r="G69" s="17">
        <f>IFERROR(LOOKUP(2,1/('T_TTAFStock'!$B$37:$DA$37&lt;&gt;""),'T_TTAFStock'!$B$37:$DA$37),"")</f>
        <v/>
      </c>
      <c r="H69" s="17">
        <f>IFERROR(LOOKUP(2,1/('T_SelfStock'!$B$37:$DA$37&lt;&gt;""),'T_SelfStock'!$B$5:$DA$5),"")</f>
        <v/>
      </c>
      <c r="I69" s="18" t="inlineStr">
        <is>
          <t>理論在庫</t>
        </is>
      </c>
      <c r="J69" s="17">
        <f>IFERROR(INDEX('Grid_Stock'!$A33:$DA33,1,LOOKUP(2,1/('T_SelfStock'!$B$37:$DA$37&lt;&gt;""),COLUMN('T_SelfStock'!$B$37:$DA$37)))-INDEX('Grid_TheoreticalStock'!$A33:$DA33,1,LOOKUP(2,1/('T_SelfStock'!$B$37:$DA$37&lt;&gt;""),COLUMN('T_SelfStock'!$B$37:$DA$37))),0)</f>
        <v/>
      </c>
      <c r="K69" s="18">
        <f>'Grid_TheoreticalStock'!B33</f>
        <v/>
      </c>
      <c r="L69" s="18">
        <f>'Grid_TheoreticalStock'!C33</f>
        <v/>
      </c>
      <c r="M69" s="18">
        <f>'Grid_TheoreticalStock'!D33</f>
        <v/>
      </c>
      <c r="N69" s="18">
        <f>'Grid_TheoreticalStock'!E33</f>
        <v/>
      </c>
      <c r="O69" s="18">
        <f>'Grid_TheoreticalStock'!F33</f>
        <v/>
      </c>
      <c r="P69" s="18">
        <f>'Grid_TheoreticalStock'!G33</f>
        <v/>
      </c>
      <c r="Q69" s="18">
        <f>'Grid_TheoreticalStock'!H33</f>
        <v/>
      </c>
      <c r="R69" s="18">
        <f>'Grid_TheoreticalStock'!I33</f>
        <v/>
      </c>
      <c r="S69" s="18">
        <f>'Grid_TheoreticalStock'!J33</f>
        <v/>
      </c>
      <c r="T69" s="18">
        <f>'Grid_TheoreticalStock'!K33</f>
        <v/>
      </c>
      <c r="U69" s="18">
        <f>'Grid_TheoreticalStock'!L33</f>
        <v/>
      </c>
      <c r="V69" s="18">
        <f>'Grid_TheoreticalStock'!M33</f>
        <v/>
      </c>
      <c r="W69" s="18">
        <f>'Grid_TheoreticalStock'!N33</f>
        <v/>
      </c>
      <c r="X69" s="18">
        <f>'Grid_TheoreticalStock'!O33</f>
        <v/>
      </c>
      <c r="Y69" s="18">
        <f>'Grid_TheoreticalStock'!P33</f>
        <v/>
      </c>
      <c r="Z69" s="18">
        <f>'Grid_TheoreticalStock'!Q33</f>
        <v/>
      </c>
      <c r="AA69" s="18">
        <f>'Grid_TheoreticalStock'!R33</f>
        <v/>
      </c>
      <c r="AB69" s="18">
        <f>'Grid_TheoreticalStock'!S33</f>
        <v/>
      </c>
      <c r="AC69" s="18">
        <f>'Grid_TheoreticalStock'!T33</f>
        <v/>
      </c>
      <c r="AD69" s="18">
        <f>'Grid_TheoreticalStock'!U33</f>
        <v/>
      </c>
      <c r="AE69" s="18">
        <f>'Grid_TheoreticalStock'!V33</f>
        <v/>
      </c>
      <c r="AF69" s="18">
        <f>'Grid_TheoreticalStock'!W33</f>
        <v/>
      </c>
      <c r="AG69" s="18">
        <f>'Grid_TheoreticalStock'!X33</f>
        <v/>
      </c>
      <c r="AH69" s="18">
        <f>'Grid_TheoreticalStock'!Y33</f>
        <v/>
      </c>
      <c r="AI69" s="18">
        <f>'Grid_TheoreticalStock'!Z33</f>
        <v/>
      </c>
      <c r="AJ69" s="18">
        <f>'Grid_TheoreticalStock'!AA33</f>
        <v/>
      </c>
      <c r="AK69" s="18">
        <f>'Grid_TheoreticalStock'!AB33</f>
        <v/>
      </c>
      <c r="AL69" s="18">
        <f>'Grid_TheoreticalStock'!AC33</f>
        <v/>
      </c>
      <c r="AM69" s="18">
        <f>'Grid_TheoreticalStock'!AD33</f>
        <v/>
      </c>
      <c r="AN69" s="18">
        <f>'Grid_TheoreticalStock'!AE33</f>
        <v/>
      </c>
      <c r="AO69" s="18">
        <f>'Grid_TheoreticalStock'!AF33</f>
        <v/>
      </c>
      <c r="AP69" s="18">
        <f>'Grid_TheoreticalStock'!AG33</f>
        <v/>
      </c>
      <c r="AQ69" s="18">
        <f>'Grid_TheoreticalStock'!AH33</f>
        <v/>
      </c>
      <c r="AR69" s="18">
        <f>'Grid_TheoreticalStock'!AI33</f>
        <v/>
      </c>
      <c r="AS69" s="18">
        <f>'Grid_TheoreticalStock'!AJ33</f>
        <v/>
      </c>
      <c r="AT69" s="18">
        <f>'Grid_TheoreticalStock'!AK33</f>
        <v/>
      </c>
      <c r="AU69" s="18">
        <f>'Grid_TheoreticalStock'!AL33</f>
        <v/>
      </c>
      <c r="AV69" s="18">
        <f>'Grid_TheoreticalStock'!AM33</f>
        <v/>
      </c>
      <c r="AW69" s="18">
        <f>'Grid_TheoreticalStock'!AN33</f>
        <v/>
      </c>
      <c r="AX69" s="18">
        <f>'Grid_TheoreticalStock'!AO33</f>
        <v/>
      </c>
      <c r="AY69" s="18">
        <f>'Grid_TheoreticalStock'!AP33</f>
        <v/>
      </c>
      <c r="AZ69" s="18">
        <f>'Grid_TheoreticalStock'!AQ33</f>
        <v/>
      </c>
      <c r="BA69" s="18">
        <f>'Grid_TheoreticalStock'!AR33</f>
        <v/>
      </c>
      <c r="BB69" s="18">
        <f>'Grid_TheoreticalStock'!AS33</f>
        <v/>
      </c>
      <c r="BC69" s="18">
        <f>'Grid_TheoreticalStock'!AT33</f>
        <v/>
      </c>
      <c r="BD69" s="18">
        <f>'Grid_TheoreticalStock'!AU33</f>
        <v/>
      </c>
      <c r="BE69" s="18">
        <f>'Grid_TheoreticalStock'!AV33</f>
        <v/>
      </c>
      <c r="BF69" s="18">
        <f>'Grid_TheoreticalStock'!AW33</f>
        <v/>
      </c>
      <c r="BG69" s="18">
        <f>'Grid_TheoreticalStock'!AX33</f>
        <v/>
      </c>
      <c r="BH69" s="18">
        <f>'Grid_TheoreticalStock'!AY33</f>
        <v/>
      </c>
      <c r="BI69" s="18">
        <f>'Grid_TheoreticalStock'!AZ33</f>
        <v/>
      </c>
      <c r="BJ69" s="18">
        <f>'Grid_TheoreticalStock'!BA33</f>
        <v/>
      </c>
      <c r="BK69" s="18">
        <f>'Grid_TheoreticalStock'!BB33</f>
        <v/>
      </c>
      <c r="BL69" s="18">
        <f>'Grid_TheoreticalStock'!BC33</f>
        <v/>
      </c>
      <c r="BM69" s="18">
        <f>'Grid_TheoreticalStock'!BD33</f>
        <v/>
      </c>
      <c r="BN69" s="18">
        <f>'Grid_TheoreticalStock'!BE33</f>
        <v/>
      </c>
      <c r="BO69" s="18">
        <f>'Grid_TheoreticalStock'!BF33</f>
        <v/>
      </c>
      <c r="BP69" s="18">
        <f>'Grid_TheoreticalStock'!BG33</f>
        <v/>
      </c>
      <c r="BQ69" s="18">
        <f>'Grid_TheoreticalStock'!BH33</f>
        <v/>
      </c>
      <c r="BR69" s="18">
        <f>'Grid_TheoreticalStock'!BI33</f>
        <v/>
      </c>
      <c r="BS69" s="18">
        <f>'Grid_TheoreticalStock'!BJ33</f>
        <v/>
      </c>
      <c r="BT69" s="18">
        <f>'Grid_TheoreticalStock'!BK33</f>
        <v/>
      </c>
      <c r="BU69" s="18">
        <f>'Grid_TheoreticalStock'!BL33</f>
        <v/>
      </c>
      <c r="BV69" s="18">
        <f>'Grid_TheoreticalStock'!BM33</f>
        <v/>
      </c>
      <c r="BW69" s="18">
        <f>'Grid_TheoreticalStock'!BN33</f>
        <v/>
      </c>
      <c r="BX69" s="18">
        <f>'Grid_TheoreticalStock'!BO33</f>
        <v/>
      </c>
      <c r="BY69" s="18">
        <f>'Grid_TheoreticalStock'!BP33</f>
        <v/>
      </c>
      <c r="BZ69" s="18">
        <f>'Grid_TheoreticalStock'!BQ33</f>
        <v/>
      </c>
      <c r="CA69" s="18">
        <f>'Grid_TheoreticalStock'!BR33</f>
        <v/>
      </c>
      <c r="CB69" s="18">
        <f>'Grid_TheoreticalStock'!BS33</f>
        <v/>
      </c>
      <c r="CC69" s="18">
        <f>'Grid_TheoreticalStock'!BT33</f>
        <v/>
      </c>
      <c r="CD69" s="18">
        <f>'Grid_TheoreticalStock'!BU33</f>
        <v/>
      </c>
      <c r="CE69" s="18">
        <f>'Grid_TheoreticalStock'!BV33</f>
        <v/>
      </c>
      <c r="CF69" s="18">
        <f>'Grid_TheoreticalStock'!BW33</f>
        <v/>
      </c>
      <c r="CG69" s="18">
        <f>'Grid_TheoreticalStock'!BX33</f>
        <v/>
      </c>
      <c r="CH69" s="18">
        <f>'Grid_TheoreticalStock'!BY33</f>
        <v/>
      </c>
      <c r="CI69" s="18">
        <f>'Grid_TheoreticalStock'!BZ33</f>
        <v/>
      </c>
      <c r="CJ69" s="18">
        <f>'Grid_TheoreticalStock'!CA33</f>
        <v/>
      </c>
      <c r="CK69" s="18">
        <f>'Grid_TheoreticalStock'!CB33</f>
        <v/>
      </c>
      <c r="CL69" s="18">
        <f>'Grid_TheoreticalStock'!CC33</f>
        <v/>
      </c>
      <c r="CM69" s="18">
        <f>'Grid_TheoreticalStock'!CD33</f>
        <v/>
      </c>
      <c r="CN69" s="18">
        <f>'Grid_TheoreticalStock'!CE33</f>
        <v/>
      </c>
      <c r="CO69" s="18">
        <f>'Grid_TheoreticalStock'!CF33</f>
        <v/>
      </c>
      <c r="CP69" s="18">
        <f>'Grid_TheoreticalStock'!CG33</f>
        <v/>
      </c>
      <c r="CQ69" s="18">
        <f>'Grid_TheoreticalStock'!CH33</f>
        <v/>
      </c>
      <c r="CR69" s="18">
        <f>'Grid_TheoreticalStock'!CI33</f>
        <v/>
      </c>
      <c r="CS69" s="18">
        <f>'Grid_TheoreticalStock'!CJ33</f>
        <v/>
      </c>
      <c r="CT69" s="18">
        <f>'Grid_TheoreticalStock'!CK33</f>
        <v/>
      </c>
      <c r="CU69" s="18">
        <f>'Grid_TheoreticalStock'!CL33</f>
        <v/>
      </c>
      <c r="CV69" s="18">
        <f>'Grid_TheoreticalStock'!CM33</f>
        <v/>
      </c>
      <c r="CW69" s="18">
        <f>'Grid_TheoreticalStock'!CN33</f>
        <v/>
      </c>
      <c r="CX69" s="18">
        <f>'Grid_TheoreticalStock'!CO33</f>
        <v/>
      </c>
      <c r="CY69" s="18">
        <f>'Grid_TheoreticalStock'!CP33</f>
        <v/>
      </c>
      <c r="CZ69" s="18">
        <f>'Grid_TheoreticalStock'!CQ33</f>
        <v/>
      </c>
      <c r="DA69" s="18">
        <f>'Grid_TheoreticalStock'!CR33</f>
        <v/>
      </c>
      <c r="DB69" s="18">
        <f>'Grid_TheoreticalStock'!CS33</f>
        <v/>
      </c>
      <c r="DC69" s="18">
        <f>'Grid_TheoreticalStock'!CT33</f>
        <v/>
      </c>
      <c r="DD69" s="18">
        <f>'Grid_TheoreticalStock'!CU33</f>
        <v/>
      </c>
      <c r="DE69" s="18">
        <f>'Grid_TheoreticalStock'!CV33</f>
        <v/>
      </c>
      <c r="DF69" s="18">
        <f>'Grid_TheoreticalStock'!CW33</f>
        <v/>
      </c>
      <c r="DG69" s="18">
        <f>'Grid_TheoreticalStock'!CX33</f>
        <v/>
      </c>
      <c r="DH69" s="18">
        <f>'Grid_TheoreticalStock'!CY33</f>
        <v/>
      </c>
      <c r="DI69" s="18">
        <f>'Grid_TheoreticalStock'!CZ33</f>
        <v/>
      </c>
      <c r="DJ69" s="18">
        <f>'Grid_TheoreticalStock'!DA33</f>
        <v/>
      </c>
    </row>
    <row r="70">
      <c r="A70" s="19" t="inlineStr">
        <is>
          <t>CHEM-1400</t>
        </is>
      </c>
      <c r="B70" s="19">
        <f>IFERROR(INDEX(M_RawMaterials[Description],MATCH($A70,M_RawMaterials[Part Name],0)),"")</f>
        <v/>
      </c>
      <c r="C70" s="19">
        <f>IFERROR(INDEX(M_RawMaterials[Category],MATCH($A70,M_RawMaterials[Part Name],0)),"")</f>
        <v/>
      </c>
      <c r="D70" s="19">
        <f>IFERROR(INDEX(M_RawMaterials[基準在庫下限_要入力],MATCH($A70,M_RawMaterials[Part Name],0)),0)</f>
        <v/>
      </c>
      <c r="E70" s="19">
        <f>IFERROR(INDEX(M_RawMaterials[基準在庫上限_要入力],MATCH($A70,M_RawMaterials[Part Name],0)),0)</f>
        <v/>
      </c>
      <c r="F70" s="19">
        <f>IFERROR(LOOKUP(2,1/('T_SelfStock'!$B$37:$DA$37&lt;&gt;""),'T_SelfStock'!$B$37:$DA$37),"")</f>
        <v/>
      </c>
      <c r="G70" s="19">
        <f>IFERROR(LOOKUP(2,1/('T_TTAFStock'!$B$37:$DA$37&lt;&gt;""),'T_TTAFStock'!$B$37:$DA$37),"")</f>
        <v/>
      </c>
      <c r="H70" s="19">
        <f>IFERROR(LOOKUP(2,1/('T_SelfStock'!$B$37:$DA$37&lt;&gt;""),'T_SelfStock'!$B$5:$DA$5),"")</f>
        <v/>
      </c>
      <c r="I70" s="20" t="inlineStr">
        <is>
          <t>実在庫</t>
        </is>
      </c>
      <c r="J70" s="19">
        <f>IFERROR(INDEX('Grid_Stock'!$A33:$DA33,1,LOOKUP(2,1/('T_SelfStock'!$B$37:$DA$37&lt;&gt;""),COLUMN('T_SelfStock'!$B$37:$DA$37)))-INDEX('Grid_TheoreticalStock'!$A33:$DA33,1,LOOKUP(2,1/('T_SelfStock'!$B$37:$DA$37&lt;&gt;""),COLUMN('T_SelfStock'!$B$37:$DA$37))),0)</f>
        <v/>
      </c>
      <c r="K70" s="19">
        <f>'Grid_Stock'!B33</f>
        <v/>
      </c>
      <c r="L70" s="19">
        <f>'Grid_Stock'!C33</f>
        <v/>
      </c>
      <c r="M70" s="19">
        <f>'Grid_Stock'!D33</f>
        <v/>
      </c>
      <c r="N70" s="19">
        <f>'Grid_Stock'!E33</f>
        <v/>
      </c>
      <c r="O70" s="19">
        <f>'Grid_Stock'!F33</f>
        <v/>
      </c>
      <c r="P70" s="19">
        <f>'Grid_Stock'!G33</f>
        <v/>
      </c>
      <c r="Q70" s="19">
        <f>'Grid_Stock'!H33</f>
        <v/>
      </c>
      <c r="R70" s="19">
        <f>'Grid_Stock'!I33</f>
        <v/>
      </c>
      <c r="S70" s="19">
        <f>'Grid_Stock'!J33</f>
        <v/>
      </c>
      <c r="T70" s="19">
        <f>'Grid_Stock'!K33</f>
        <v/>
      </c>
      <c r="U70" s="19">
        <f>'Grid_Stock'!L33</f>
        <v/>
      </c>
      <c r="V70" s="19">
        <f>'Grid_Stock'!M33</f>
        <v/>
      </c>
      <c r="W70" s="19">
        <f>'Grid_Stock'!N33</f>
        <v/>
      </c>
      <c r="X70" s="19">
        <f>'Grid_Stock'!O33</f>
        <v/>
      </c>
      <c r="Y70" s="19">
        <f>'Grid_Stock'!P33</f>
        <v/>
      </c>
      <c r="Z70" s="19">
        <f>'Grid_Stock'!Q33</f>
        <v/>
      </c>
      <c r="AA70" s="19">
        <f>'Grid_Stock'!R33</f>
        <v/>
      </c>
      <c r="AB70" s="19">
        <f>'Grid_Stock'!S33</f>
        <v/>
      </c>
      <c r="AC70" s="19">
        <f>'Grid_Stock'!T33</f>
        <v/>
      </c>
      <c r="AD70" s="19">
        <f>'Grid_Stock'!U33</f>
        <v/>
      </c>
      <c r="AE70" s="19">
        <f>'Grid_Stock'!V33</f>
        <v/>
      </c>
      <c r="AF70" s="19">
        <f>'Grid_Stock'!W33</f>
        <v/>
      </c>
      <c r="AG70" s="19">
        <f>'Grid_Stock'!X33</f>
        <v/>
      </c>
      <c r="AH70" s="19">
        <f>'Grid_Stock'!Y33</f>
        <v/>
      </c>
      <c r="AI70" s="19">
        <f>'Grid_Stock'!Z33</f>
        <v/>
      </c>
      <c r="AJ70" s="19">
        <f>'Grid_Stock'!AA33</f>
        <v/>
      </c>
      <c r="AK70" s="19">
        <f>'Grid_Stock'!AB33</f>
        <v/>
      </c>
      <c r="AL70" s="19">
        <f>'Grid_Stock'!AC33</f>
        <v/>
      </c>
      <c r="AM70" s="19">
        <f>'Grid_Stock'!AD33</f>
        <v/>
      </c>
      <c r="AN70" s="19">
        <f>'Grid_Stock'!AE33</f>
        <v/>
      </c>
      <c r="AO70" s="19">
        <f>'Grid_Stock'!AF33</f>
        <v/>
      </c>
      <c r="AP70" s="19">
        <f>'Grid_Stock'!AG33</f>
        <v/>
      </c>
      <c r="AQ70" s="19">
        <f>'Grid_Stock'!AH33</f>
        <v/>
      </c>
      <c r="AR70" s="19">
        <f>'Grid_Stock'!AI33</f>
        <v/>
      </c>
      <c r="AS70" s="19">
        <f>'Grid_Stock'!AJ33</f>
        <v/>
      </c>
      <c r="AT70" s="19">
        <f>'Grid_Stock'!AK33</f>
        <v/>
      </c>
      <c r="AU70" s="19">
        <f>'Grid_Stock'!AL33</f>
        <v/>
      </c>
      <c r="AV70" s="19">
        <f>'Grid_Stock'!AM33</f>
        <v/>
      </c>
      <c r="AW70" s="19">
        <f>'Grid_Stock'!AN33</f>
        <v/>
      </c>
      <c r="AX70" s="19">
        <f>'Grid_Stock'!AO33</f>
        <v/>
      </c>
      <c r="AY70" s="19">
        <f>'Grid_Stock'!AP33</f>
        <v/>
      </c>
      <c r="AZ70" s="19">
        <f>'Grid_Stock'!AQ33</f>
        <v/>
      </c>
      <c r="BA70" s="19">
        <f>'Grid_Stock'!AR33</f>
        <v/>
      </c>
      <c r="BB70" s="19">
        <f>'Grid_Stock'!AS33</f>
        <v/>
      </c>
      <c r="BC70" s="19">
        <f>'Grid_Stock'!AT33</f>
        <v/>
      </c>
      <c r="BD70" s="19">
        <f>'Grid_Stock'!AU33</f>
        <v/>
      </c>
      <c r="BE70" s="19">
        <f>'Grid_Stock'!AV33</f>
        <v/>
      </c>
      <c r="BF70" s="19">
        <f>'Grid_Stock'!AW33</f>
        <v/>
      </c>
      <c r="BG70" s="19">
        <f>'Grid_Stock'!AX33</f>
        <v/>
      </c>
      <c r="BH70" s="19">
        <f>'Grid_Stock'!AY33</f>
        <v/>
      </c>
      <c r="BI70" s="19">
        <f>'Grid_Stock'!AZ33</f>
        <v/>
      </c>
      <c r="BJ70" s="19">
        <f>'Grid_Stock'!BA33</f>
        <v/>
      </c>
      <c r="BK70" s="19">
        <f>'Grid_Stock'!BB33</f>
        <v/>
      </c>
      <c r="BL70" s="19">
        <f>'Grid_Stock'!BC33</f>
        <v/>
      </c>
      <c r="BM70" s="19">
        <f>'Grid_Stock'!BD33</f>
        <v/>
      </c>
      <c r="BN70" s="19">
        <f>'Grid_Stock'!BE33</f>
        <v/>
      </c>
      <c r="BO70" s="19">
        <f>'Grid_Stock'!BF33</f>
        <v/>
      </c>
      <c r="BP70" s="19">
        <f>'Grid_Stock'!BG33</f>
        <v/>
      </c>
      <c r="BQ70" s="19">
        <f>'Grid_Stock'!BH33</f>
        <v/>
      </c>
      <c r="BR70" s="19">
        <f>'Grid_Stock'!BI33</f>
        <v/>
      </c>
      <c r="BS70" s="19">
        <f>'Grid_Stock'!BJ33</f>
        <v/>
      </c>
      <c r="BT70" s="19">
        <f>'Grid_Stock'!BK33</f>
        <v/>
      </c>
      <c r="BU70" s="19">
        <f>'Grid_Stock'!BL33</f>
        <v/>
      </c>
      <c r="BV70" s="19">
        <f>'Grid_Stock'!BM33</f>
        <v/>
      </c>
      <c r="BW70" s="19">
        <f>'Grid_Stock'!BN33</f>
        <v/>
      </c>
      <c r="BX70" s="19">
        <f>'Grid_Stock'!BO33</f>
        <v/>
      </c>
      <c r="BY70" s="19">
        <f>'Grid_Stock'!BP33</f>
        <v/>
      </c>
      <c r="BZ70" s="19">
        <f>'Grid_Stock'!BQ33</f>
        <v/>
      </c>
      <c r="CA70" s="19">
        <f>'Grid_Stock'!BR33</f>
        <v/>
      </c>
      <c r="CB70" s="19">
        <f>'Grid_Stock'!BS33</f>
        <v/>
      </c>
      <c r="CC70" s="19">
        <f>'Grid_Stock'!BT33</f>
        <v/>
      </c>
      <c r="CD70" s="19">
        <f>'Grid_Stock'!BU33</f>
        <v/>
      </c>
      <c r="CE70" s="19">
        <f>'Grid_Stock'!BV33</f>
        <v/>
      </c>
      <c r="CF70" s="19">
        <f>'Grid_Stock'!BW33</f>
        <v/>
      </c>
      <c r="CG70" s="19">
        <f>'Grid_Stock'!BX33</f>
        <v/>
      </c>
      <c r="CH70" s="19">
        <f>'Grid_Stock'!BY33</f>
        <v/>
      </c>
      <c r="CI70" s="19">
        <f>'Grid_Stock'!BZ33</f>
        <v/>
      </c>
      <c r="CJ70" s="19">
        <f>'Grid_Stock'!CA33</f>
        <v/>
      </c>
      <c r="CK70" s="19">
        <f>'Grid_Stock'!CB33</f>
        <v/>
      </c>
      <c r="CL70" s="19">
        <f>'Grid_Stock'!CC33</f>
        <v/>
      </c>
      <c r="CM70" s="19">
        <f>'Grid_Stock'!CD33</f>
        <v/>
      </c>
      <c r="CN70" s="19">
        <f>'Grid_Stock'!CE33</f>
        <v/>
      </c>
      <c r="CO70" s="19">
        <f>'Grid_Stock'!CF33</f>
        <v/>
      </c>
      <c r="CP70" s="19">
        <f>'Grid_Stock'!CG33</f>
        <v/>
      </c>
      <c r="CQ70" s="19">
        <f>'Grid_Stock'!CH33</f>
        <v/>
      </c>
      <c r="CR70" s="19">
        <f>'Grid_Stock'!CI33</f>
        <v/>
      </c>
      <c r="CS70" s="19">
        <f>'Grid_Stock'!CJ33</f>
        <v/>
      </c>
      <c r="CT70" s="19">
        <f>'Grid_Stock'!CK33</f>
        <v/>
      </c>
      <c r="CU70" s="19">
        <f>'Grid_Stock'!CL33</f>
        <v/>
      </c>
      <c r="CV70" s="19">
        <f>'Grid_Stock'!CM33</f>
        <v/>
      </c>
      <c r="CW70" s="19">
        <f>'Grid_Stock'!CN33</f>
        <v/>
      </c>
      <c r="CX70" s="19">
        <f>'Grid_Stock'!CO33</f>
        <v/>
      </c>
      <c r="CY70" s="19">
        <f>'Grid_Stock'!CP33</f>
        <v/>
      </c>
      <c r="CZ70" s="19">
        <f>'Grid_Stock'!CQ33</f>
        <v/>
      </c>
      <c r="DA70" s="19">
        <f>'Grid_Stock'!CR33</f>
        <v/>
      </c>
      <c r="DB70" s="19">
        <f>'Grid_Stock'!CS33</f>
        <v/>
      </c>
      <c r="DC70" s="19">
        <f>'Grid_Stock'!CT33</f>
        <v/>
      </c>
      <c r="DD70" s="19">
        <f>'Grid_Stock'!CU33</f>
        <v/>
      </c>
      <c r="DE70" s="19">
        <f>'Grid_Stock'!CV33</f>
        <v/>
      </c>
      <c r="DF70" s="19">
        <f>'Grid_Stock'!CW33</f>
        <v/>
      </c>
      <c r="DG70" s="19">
        <f>'Grid_Stock'!CX33</f>
        <v/>
      </c>
      <c r="DH70" s="19">
        <f>'Grid_Stock'!CY33</f>
        <v/>
      </c>
      <c r="DI70" s="19">
        <f>'Grid_Stock'!CZ33</f>
        <v/>
      </c>
      <c r="DJ70" s="19">
        <f>'Grid_Stock'!DA33</f>
        <v/>
      </c>
    </row>
    <row r="71">
      <c r="A71" s="17" t="inlineStr">
        <is>
          <t>CHEM-1650</t>
        </is>
      </c>
      <c r="B71" s="17">
        <f>IFERROR(INDEX(M_RawMaterials[Description],MATCH($A71,M_RawMaterials[Part Name],0)),"")</f>
        <v/>
      </c>
      <c r="C71" s="17">
        <f>IFERROR(INDEX(M_RawMaterials[Category],MATCH($A71,M_RawMaterials[Part Name],0)),"")</f>
        <v/>
      </c>
      <c r="D71" s="17">
        <f>IFERROR(INDEX(M_RawMaterials[基準在庫下限_要入力],MATCH($A71,M_RawMaterials[Part Name],0)),0)</f>
        <v/>
      </c>
      <c r="E71" s="17">
        <f>IFERROR(INDEX(M_RawMaterials[基準在庫上限_要入力],MATCH($A71,M_RawMaterials[Part Name],0)),0)</f>
        <v/>
      </c>
      <c r="F71" s="17">
        <f>IFERROR(LOOKUP(2,1/('T_SelfStock'!$B$38:$DA$38&lt;&gt;""),'T_SelfStock'!$B$38:$DA$38),"")</f>
        <v/>
      </c>
      <c r="G71" s="17">
        <f>IFERROR(LOOKUP(2,1/('T_TTAFStock'!$B$38:$DA$38&lt;&gt;""),'T_TTAFStock'!$B$38:$DA$38),"")</f>
        <v/>
      </c>
      <c r="H71" s="17">
        <f>IFERROR(LOOKUP(2,1/('T_SelfStock'!$B$38:$DA$38&lt;&gt;""),'T_SelfStock'!$B$5:$DA$5),"")</f>
        <v/>
      </c>
      <c r="I71" s="18" t="inlineStr">
        <is>
          <t>理論在庫</t>
        </is>
      </c>
      <c r="J71" s="17">
        <f>IFERROR(INDEX('Grid_Stock'!$A34:$DA34,1,LOOKUP(2,1/('T_SelfStock'!$B$38:$DA$38&lt;&gt;""),COLUMN('T_SelfStock'!$B$38:$DA$38)))-INDEX('Grid_TheoreticalStock'!$A34:$DA34,1,LOOKUP(2,1/('T_SelfStock'!$B$38:$DA$38&lt;&gt;""),COLUMN('T_SelfStock'!$B$38:$DA$38))),0)</f>
        <v/>
      </c>
      <c r="K71" s="18">
        <f>'Grid_TheoreticalStock'!B34</f>
        <v/>
      </c>
      <c r="L71" s="18">
        <f>'Grid_TheoreticalStock'!C34</f>
        <v/>
      </c>
      <c r="M71" s="18">
        <f>'Grid_TheoreticalStock'!D34</f>
        <v/>
      </c>
      <c r="N71" s="18">
        <f>'Grid_TheoreticalStock'!E34</f>
        <v/>
      </c>
      <c r="O71" s="18">
        <f>'Grid_TheoreticalStock'!F34</f>
        <v/>
      </c>
      <c r="P71" s="18">
        <f>'Grid_TheoreticalStock'!G34</f>
        <v/>
      </c>
      <c r="Q71" s="18">
        <f>'Grid_TheoreticalStock'!H34</f>
        <v/>
      </c>
      <c r="R71" s="18">
        <f>'Grid_TheoreticalStock'!I34</f>
        <v/>
      </c>
      <c r="S71" s="18">
        <f>'Grid_TheoreticalStock'!J34</f>
        <v/>
      </c>
      <c r="T71" s="18">
        <f>'Grid_TheoreticalStock'!K34</f>
        <v/>
      </c>
      <c r="U71" s="18">
        <f>'Grid_TheoreticalStock'!L34</f>
        <v/>
      </c>
      <c r="V71" s="18">
        <f>'Grid_TheoreticalStock'!M34</f>
        <v/>
      </c>
      <c r="W71" s="18">
        <f>'Grid_TheoreticalStock'!N34</f>
        <v/>
      </c>
      <c r="X71" s="18">
        <f>'Grid_TheoreticalStock'!O34</f>
        <v/>
      </c>
      <c r="Y71" s="18">
        <f>'Grid_TheoreticalStock'!P34</f>
        <v/>
      </c>
      <c r="Z71" s="18">
        <f>'Grid_TheoreticalStock'!Q34</f>
        <v/>
      </c>
      <c r="AA71" s="18">
        <f>'Grid_TheoreticalStock'!R34</f>
        <v/>
      </c>
      <c r="AB71" s="18">
        <f>'Grid_TheoreticalStock'!S34</f>
        <v/>
      </c>
      <c r="AC71" s="18">
        <f>'Grid_TheoreticalStock'!T34</f>
        <v/>
      </c>
      <c r="AD71" s="18">
        <f>'Grid_TheoreticalStock'!U34</f>
        <v/>
      </c>
      <c r="AE71" s="18">
        <f>'Grid_TheoreticalStock'!V34</f>
        <v/>
      </c>
      <c r="AF71" s="18">
        <f>'Grid_TheoreticalStock'!W34</f>
        <v/>
      </c>
      <c r="AG71" s="18">
        <f>'Grid_TheoreticalStock'!X34</f>
        <v/>
      </c>
      <c r="AH71" s="18">
        <f>'Grid_TheoreticalStock'!Y34</f>
        <v/>
      </c>
      <c r="AI71" s="18">
        <f>'Grid_TheoreticalStock'!Z34</f>
        <v/>
      </c>
      <c r="AJ71" s="18">
        <f>'Grid_TheoreticalStock'!AA34</f>
        <v/>
      </c>
      <c r="AK71" s="18">
        <f>'Grid_TheoreticalStock'!AB34</f>
        <v/>
      </c>
      <c r="AL71" s="18">
        <f>'Grid_TheoreticalStock'!AC34</f>
        <v/>
      </c>
      <c r="AM71" s="18">
        <f>'Grid_TheoreticalStock'!AD34</f>
        <v/>
      </c>
      <c r="AN71" s="18">
        <f>'Grid_TheoreticalStock'!AE34</f>
        <v/>
      </c>
      <c r="AO71" s="18">
        <f>'Grid_TheoreticalStock'!AF34</f>
        <v/>
      </c>
      <c r="AP71" s="18">
        <f>'Grid_TheoreticalStock'!AG34</f>
        <v/>
      </c>
      <c r="AQ71" s="18">
        <f>'Grid_TheoreticalStock'!AH34</f>
        <v/>
      </c>
      <c r="AR71" s="18">
        <f>'Grid_TheoreticalStock'!AI34</f>
        <v/>
      </c>
      <c r="AS71" s="18">
        <f>'Grid_TheoreticalStock'!AJ34</f>
        <v/>
      </c>
      <c r="AT71" s="18">
        <f>'Grid_TheoreticalStock'!AK34</f>
        <v/>
      </c>
      <c r="AU71" s="18">
        <f>'Grid_TheoreticalStock'!AL34</f>
        <v/>
      </c>
      <c r="AV71" s="18">
        <f>'Grid_TheoreticalStock'!AM34</f>
        <v/>
      </c>
      <c r="AW71" s="18">
        <f>'Grid_TheoreticalStock'!AN34</f>
        <v/>
      </c>
      <c r="AX71" s="18">
        <f>'Grid_TheoreticalStock'!AO34</f>
        <v/>
      </c>
      <c r="AY71" s="18">
        <f>'Grid_TheoreticalStock'!AP34</f>
        <v/>
      </c>
      <c r="AZ71" s="18">
        <f>'Grid_TheoreticalStock'!AQ34</f>
        <v/>
      </c>
      <c r="BA71" s="18">
        <f>'Grid_TheoreticalStock'!AR34</f>
        <v/>
      </c>
      <c r="BB71" s="18">
        <f>'Grid_TheoreticalStock'!AS34</f>
        <v/>
      </c>
      <c r="BC71" s="18">
        <f>'Grid_TheoreticalStock'!AT34</f>
        <v/>
      </c>
      <c r="BD71" s="18">
        <f>'Grid_TheoreticalStock'!AU34</f>
        <v/>
      </c>
      <c r="BE71" s="18">
        <f>'Grid_TheoreticalStock'!AV34</f>
        <v/>
      </c>
      <c r="BF71" s="18">
        <f>'Grid_TheoreticalStock'!AW34</f>
        <v/>
      </c>
      <c r="BG71" s="18">
        <f>'Grid_TheoreticalStock'!AX34</f>
        <v/>
      </c>
      <c r="BH71" s="18">
        <f>'Grid_TheoreticalStock'!AY34</f>
        <v/>
      </c>
      <c r="BI71" s="18">
        <f>'Grid_TheoreticalStock'!AZ34</f>
        <v/>
      </c>
      <c r="BJ71" s="18">
        <f>'Grid_TheoreticalStock'!BA34</f>
        <v/>
      </c>
      <c r="BK71" s="18">
        <f>'Grid_TheoreticalStock'!BB34</f>
        <v/>
      </c>
      <c r="BL71" s="18">
        <f>'Grid_TheoreticalStock'!BC34</f>
        <v/>
      </c>
      <c r="BM71" s="18">
        <f>'Grid_TheoreticalStock'!BD34</f>
        <v/>
      </c>
      <c r="BN71" s="18">
        <f>'Grid_TheoreticalStock'!BE34</f>
        <v/>
      </c>
      <c r="BO71" s="18">
        <f>'Grid_TheoreticalStock'!BF34</f>
        <v/>
      </c>
      <c r="BP71" s="18">
        <f>'Grid_TheoreticalStock'!BG34</f>
        <v/>
      </c>
      <c r="BQ71" s="18">
        <f>'Grid_TheoreticalStock'!BH34</f>
        <v/>
      </c>
      <c r="BR71" s="18">
        <f>'Grid_TheoreticalStock'!BI34</f>
        <v/>
      </c>
      <c r="BS71" s="18">
        <f>'Grid_TheoreticalStock'!BJ34</f>
        <v/>
      </c>
      <c r="BT71" s="18">
        <f>'Grid_TheoreticalStock'!BK34</f>
        <v/>
      </c>
      <c r="BU71" s="18">
        <f>'Grid_TheoreticalStock'!BL34</f>
        <v/>
      </c>
      <c r="BV71" s="18">
        <f>'Grid_TheoreticalStock'!BM34</f>
        <v/>
      </c>
      <c r="BW71" s="18">
        <f>'Grid_TheoreticalStock'!BN34</f>
        <v/>
      </c>
      <c r="BX71" s="18">
        <f>'Grid_TheoreticalStock'!BO34</f>
        <v/>
      </c>
      <c r="BY71" s="18">
        <f>'Grid_TheoreticalStock'!BP34</f>
        <v/>
      </c>
      <c r="BZ71" s="18">
        <f>'Grid_TheoreticalStock'!BQ34</f>
        <v/>
      </c>
      <c r="CA71" s="18">
        <f>'Grid_TheoreticalStock'!BR34</f>
        <v/>
      </c>
      <c r="CB71" s="18">
        <f>'Grid_TheoreticalStock'!BS34</f>
        <v/>
      </c>
      <c r="CC71" s="18">
        <f>'Grid_TheoreticalStock'!BT34</f>
        <v/>
      </c>
      <c r="CD71" s="18">
        <f>'Grid_TheoreticalStock'!BU34</f>
        <v/>
      </c>
      <c r="CE71" s="18">
        <f>'Grid_TheoreticalStock'!BV34</f>
        <v/>
      </c>
      <c r="CF71" s="18">
        <f>'Grid_TheoreticalStock'!BW34</f>
        <v/>
      </c>
      <c r="CG71" s="18">
        <f>'Grid_TheoreticalStock'!BX34</f>
        <v/>
      </c>
      <c r="CH71" s="18">
        <f>'Grid_TheoreticalStock'!BY34</f>
        <v/>
      </c>
      <c r="CI71" s="18">
        <f>'Grid_TheoreticalStock'!BZ34</f>
        <v/>
      </c>
      <c r="CJ71" s="18">
        <f>'Grid_TheoreticalStock'!CA34</f>
        <v/>
      </c>
      <c r="CK71" s="18">
        <f>'Grid_TheoreticalStock'!CB34</f>
        <v/>
      </c>
      <c r="CL71" s="18">
        <f>'Grid_TheoreticalStock'!CC34</f>
        <v/>
      </c>
      <c r="CM71" s="18">
        <f>'Grid_TheoreticalStock'!CD34</f>
        <v/>
      </c>
      <c r="CN71" s="18">
        <f>'Grid_TheoreticalStock'!CE34</f>
        <v/>
      </c>
      <c r="CO71" s="18">
        <f>'Grid_TheoreticalStock'!CF34</f>
        <v/>
      </c>
      <c r="CP71" s="18">
        <f>'Grid_TheoreticalStock'!CG34</f>
        <v/>
      </c>
      <c r="CQ71" s="18">
        <f>'Grid_TheoreticalStock'!CH34</f>
        <v/>
      </c>
      <c r="CR71" s="18">
        <f>'Grid_TheoreticalStock'!CI34</f>
        <v/>
      </c>
      <c r="CS71" s="18">
        <f>'Grid_TheoreticalStock'!CJ34</f>
        <v/>
      </c>
      <c r="CT71" s="18">
        <f>'Grid_TheoreticalStock'!CK34</f>
        <v/>
      </c>
      <c r="CU71" s="18">
        <f>'Grid_TheoreticalStock'!CL34</f>
        <v/>
      </c>
      <c r="CV71" s="18">
        <f>'Grid_TheoreticalStock'!CM34</f>
        <v/>
      </c>
      <c r="CW71" s="18">
        <f>'Grid_TheoreticalStock'!CN34</f>
        <v/>
      </c>
      <c r="CX71" s="18">
        <f>'Grid_TheoreticalStock'!CO34</f>
        <v/>
      </c>
      <c r="CY71" s="18">
        <f>'Grid_TheoreticalStock'!CP34</f>
        <v/>
      </c>
      <c r="CZ71" s="18">
        <f>'Grid_TheoreticalStock'!CQ34</f>
        <v/>
      </c>
      <c r="DA71" s="18">
        <f>'Grid_TheoreticalStock'!CR34</f>
        <v/>
      </c>
      <c r="DB71" s="18">
        <f>'Grid_TheoreticalStock'!CS34</f>
        <v/>
      </c>
      <c r="DC71" s="18">
        <f>'Grid_TheoreticalStock'!CT34</f>
        <v/>
      </c>
      <c r="DD71" s="18">
        <f>'Grid_TheoreticalStock'!CU34</f>
        <v/>
      </c>
      <c r="DE71" s="18">
        <f>'Grid_TheoreticalStock'!CV34</f>
        <v/>
      </c>
      <c r="DF71" s="18">
        <f>'Grid_TheoreticalStock'!CW34</f>
        <v/>
      </c>
      <c r="DG71" s="18">
        <f>'Grid_TheoreticalStock'!CX34</f>
        <v/>
      </c>
      <c r="DH71" s="18">
        <f>'Grid_TheoreticalStock'!CY34</f>
        <v/>
      </c>
      <c r="DI71" s="18">
        <f>'Grid_TheoreticalStock'!CZ34</f>
        <v/>
      </c>
      <c r="DJ71" s="18">
        <f>'Grid_TheoreticalStock'!DA34</f>
        <v/>
      </c>
    </row>
    <row r="72">
      <c r="A72" s="19" t="inlineStr">
        <is>
          <t>CHEM-1650</t>
        </is>
      </c>
      <c r="B72" s="19">
        <f>IFERROR(INDEX(M_RawMaterials[Description],MATCH($A72,M_RawMaterials[Part Name],0)),"")</f>
        <v/>
      </c>
      <c r="C72" s="19">
        <f>IFERROR(INDEX(M_RawMaterials[Category],MATCH($A72,M_RawMaterials[Part Name],0)),"")</f>
        <v/>
      </c>
      <c r="D72" s="19">
        <f>IFERROR(INDEX(M_RawMaterials[基準在庫下限_要入力],MATCH($A72,M_RawMaterials[Part Name],0)),0)</f>
        <v/>
      </c>
      <c r="E72" s="19">
        <f>IFERROR(INDEX(M_RawMaterials[基準在庫上限_要入力],MATCH($A72,M_RawMaterials[Part Name],0)),0)</f>
        <v/>
      </c>
      <c r="F72" s="19">
        <f>IFERROR(LOOKUP(2,1/('T_SelfStock'!$B$38:$DA$38&lt;&gt;""),'T_SelfStock'!$B$38:$DA$38),"")</f>
        <v/>
      </c>
      <c r="G72" s="19">
        <f>IFERROR(LOOKUP(2,1/('T_TTAFStock'!$B$38:$DA$38&lt;&gt;""),'T_TTAFStock'!$B$38:$DA$38),"")</f>
        <v/>
      </c>
      <c r="H72" s="19">
        <f>IFERROR(LOOKUP(2,1/('T_SelfStock'!$B$38:$DA$38&lt;&gt;""),'T_SelfStock'!$B$5:$DA$5),"")</f>
        <v/>
      </c>
      <c r="I72" s="20" t="inlineStr">
        <is>
          <t>実在庫</t>
        </is>
      </c>
      <c r="J72" s="19">
        <f>IFERROR(INDEX('Grid_Stock'!$A34:$DA34,1,LOOKUP(2,1/('T_SelfStock'!$B$38:$DA$38&lt;&gt;""),COLUMN('T_SelfStock'!$B$38:$DA$38)))-INDEX('Grid_TheoreticalStock'!$A34:$DA34,1,LOOKUP(2,1/('T_SelfStock'!$B$38:$DA$38&lt;&gt;""),COLUMN('T_SelfStock'!$B$38:$DA$38))),0)</f>
        <v/>
      </c>
      <c r="K72" s="19">
        <f>'Grid_Stock'!B34</f>
        <v/>
      </c>
      <c r="L72" s="19">
        <f>'Grid_Stock'!C34</f>
        <v/>
      </c>
      <c r="M72" s="19">
        <f>'Grid_Stock'!D34</f>
        <v/>
      </c>
      <c r="N72" s="19">
        <f>'Grid_Stock'!E34</f>
        <v/>
      </c>
      <c r="O72" s="19">
        <f>'Grid_Stock'!F34</f>
        <v/>
      </c>
      <c r="P72" s="19">
        <f>'Grid_Stock'!G34</f>
        <v/>
      </c>
      <c r="Q72" s="19">
        <f>'Grid_Stock'!H34</f>
        <v/>
      </c>
      <c r="R72" s="19">
        <f>'Grid_Stock'!I34</f>
        <v/>
      </c>
      <c r="S72" s="19">
        <f>'Grid_Stock'!J34</f>
        <v/>
      </c>
      <c r="T72" s="19">
        <f>'Grid_Stock'!K34</f>
        <v/>
      </c>
      <c r="U72" s="19">
        <f>'Grid_Stock'!L34</f>
        <v/>
      </c>
      <c r="V72" s="19">
        <f>'Grid_Stock'!M34</f>
        <v/>
      </c>
      <c r="W72" s="19">
        <f>'Grid_Stock'!N34</f>
        <v/>
      </c>
      <c r="X72" s="19">
        <f>'Grid_Stock'!O34</f>
        <v/>
      </c>
      <c r="Y72" s="19">
        <f>'Grid_Stock'!P34</f>
        <v/>
      </c>
      <c r="Z72" s="19">
        <f>'Grid_Stock'!Q34</f>
        <v/>
      </c>
      <c r="AA72" s="19">
        <f>'Grid_Stock'!R34</f>
        <v/>
      </c>
      <c r="AB72" s="19">
        <f>'Grid_Stock'!S34</f>
        <v/>
      </c>
      <c r="AC72" s="19">
        <f>'Grid_Stock'!T34</f>
        <v/>
      </c>
      <c r="AD72" s="19">
        <f>'Grid_Stock'!U34</f>
        <v/>
      </c>
      <c r="AE72" s="19">
        <f>'Grid_Stock'!V34</f>
        <v/>
      </c>
      <c r="AF72" s="19">
        <f>'Grid_Stock'!W34</f>
        <v/>
      </c>
      <c r="AG72" s="19">
        <f>'Grid_Stock'!X34</f>
        <v/>
      </c>
      <c r="AH72" s="19">
        <f>'Grid_Stock'!Y34</f>
        <v/>
      </c>
      <c r="AI72" s="19">
        <f>'Grid_Stock'!Z34</f>
        <v/>
      </c>
      <c r="AJ72" s="19">
        <f>'Grid_Stock'!AA34</f>
        <v/>
      </c>
      <c r="AK72" s="19">
        <f>'Grid_Stock'!AB34</f>
        <v/>
      </c>
      <c r="AL72" s="19">
        <f>'Grid_Stock'!AC34</f>
        <v/>
      </c>
      <c r="AM72" s="19">
        <f>'Grid_Stock'!AD34</f>
        <v/>
      </c>
      <c r="AN72" s="19">
        <f>'Grid_Stock'!AE34</f>
        <v/>
      </c>
      <c r="AO72" s="19">
        <f>'Grid_Stock'!AF34</f>
        <v/>
      </c>
      <c r="AP72" s="19">
        <f>'Grid_Stock'!AG34</f>
        <v/>
      </c>
      <c r="AQ72" s="19">
        <f>'Grid_Stock'!AH34</f>
        <v/>
      </c>
      <c r="AR72" s="19">
        <f>'Grid_Stock'!AI34</f>
        <v/>
      </c>
      <c r="AS72" s="19">
        <f>'Grid_Stock'!AJ34</f>
        <v/>
      </c>
      <c r="AT72" s="19">
        <f>'Grid_Stock'!AK34</f>
        <v/>
      </c>
      <c r="AU72" s="19">
        <f>'Grid_Stock'!AL34</f>
        <v/>
      </c>
      <c r="AV72" s="19">
        <f>'Grid_Stock'!AM34</f>
        <v/>
      </c>
      <c r="AW72" s="19">
        <f>'Grid_Stock'!AN34</f>
        <v/>
      </c>
      <c r="AX72" s="19">
        <f>'Grid_Stock'!AO34</f>
        <v/>
      </c>
      <c r="AY72" s="19">
        <f>'Grid_Stock'!AP34</f>
        <v/>
      </c>
      <c r="AZ72" s="19">
        <f>'Grid_Stock'!AQ34</f>
        <v/>
      </c>
      <c r="BA72" s="19">
        <f>'Grid_Stock'!AR34</f>
        <v/>
      </c>
      <c r="BB72" s="19">
        <f>'Grid_Stock'!AS34</f>
        <v/>
      </c>
      <c r="BC72" s="19">
        <f>'Grid_Stock'!AT34</f>
        <v/>
      </c>
      <c r="BD72" s="19">
        <f>'Grid_Stock'!AU34</f>
        <v/>
      </c>
      <c r="BE72" s="19">
        <f>'Grid_Stock'!AV34</f>
        <v/>
      </c>
      <c r="BF72" s="19">
        <f>'Grid_Stock'!AW34</f>
        <v/>
      </c>
      <c r="BG72" s="19">
        <f>'Grid_Stock'!AX34</f>
        <v/>
      </c>
      <c r="BH72" s="19">
        <f>'Grid_Stock'!AY34</f>
        <v/>
      </c>
      <c r="BI72" s="19">
        <f>'Grid_Stock'!AZ34</f>
        <v/>
      </c>
      <c r="BJ72" s="19">
        <f>'Grid_Stock'!BA34</f>
        <v/>
      </c>
      <c r="BK72" s="19">
        <f>'Grid_Stock'!BB34</f>
        <v/>
      </c>
      <c r="BL72" s="19">
        <f>'Grid_Stock'!BC34</f>
        <v/>
      </c>
      <c r="BM72" s="19">
        <f>'Grid_Stock'!BD34</f>
        <v/>
      </c>
      <c r="BN72" s="19">
        <f>'Grid_Stock'!BE34</f>
        <v/>
      </c>
      <c r="BO72" s="19">
        <f>'Grid_Stock'!BF34</f>
        <v/>
      </c>
      <c r="BP72" s="19">
        <f>'Grid_Stock'!BG34</f>
        <v/>
      </c>
      <c r="BQ72" s="19">
        <f>'Grid_Stock'!BH34</f>
        <v/>
      </c>
      <c r="BR72" s="19">
        <f>'Grid_Stock'!BI34</f>
        <v/>
      </c>
      <c r="BS72" s="19">
        <f>'Grid_Stock'!BJ34</f>
        <v/>
      </c>
      <c r="BT72" s="19">
        <f>'Grid_Stock'!BK34</f>
        <v/>
      </c>
      <c r="BU72" s="19">
        <f>'Grid_Stock'!BL34</f>
        <v/>
      </c>
      <c r="BV72" s="19">
        <f>'Grid_Stock'!BM34</f>
        <v/>
      </c>
      <c r="BW72" s="19">
        <f>'Grid_Stock'!BN34</f>
        <v/>
      </c>
      <c r="BX72" s="19">
        <f>'Grid_Stock'!BO34</f>
        <v/>
      </c>
      <c r="BY72" s="19">
        <f>'Grid_Stock'!BP34</f>
        <v/>
      </c>
      <c r="BZ72" s="19">
        <f>'Grid_Stock'!BQ34</f>
        <v/>
      </c>
      <c r="CA72" s="19">
        <f>'Grid_Stock'!BR34</f>
        <v/>
      </c>
      <c r="CB72" s="19">
        <f>'Grid_Stock'!BS34</f>
        <v/>
      </c>
      <c r="CC72" s="19">
        <f>'Grid_Stock'!BT34</f>
        <v/>
      </c>
      <c r="CD72" s="19">
        <f>'Grid_Stock'!BU34</f>
        <v/>
      </c>
      <c r="CE72" s="19">
        <f>'Grid_Stock'!BV34</f>
        <v/>
      </c>
      <c r="CF72" s="19">
        <f>'Grid_Stock'!BW34</f>
        <v/>
      </c>
      <c r="CG72" s="19">
        <f>'Grid_Stock'!BX34</f>
        <v/>
      </c>
      <c r="CH72" s="19">
        <f>'Grid_Stock'!BY34</f>
        <v/>
      </c>
      <c r="CI72" s="19">
        <f>'Grid_Stock'!BZ34</f>
        <v/>
      </c>
      <c r="CJ72" s="19">
        <f>'Grid_Stock'!CA34</f>
        <v/>
      </c>
      <c r="CK72" s="19">
        <f>'Grid_Stock'!CB34</f>
        <v/>
      </c>
      <c r="CL72" s="19">
        <f>'Grid_Stock'!CC34</f>
        <v/>
      </c>
      <c r="CM72" s="19">
        <f>'Grid_Stock'!CD34</f>
        <v/>
      </c>
      <c r="CN72" s="19">
        <f>'Grid_Stock'!CE34</f>
        <v/>
      </c>
      <c r="CO72" s="19">
        <f>'Grid_Stock'!CF34</f>
        <v/>
      </c>
      <c r="CP72" s="19">
        <f>'Grid_Stock'!CG34</f>
        <v/>
      </c>
      <c r="CQ72" s="19">
        <f>'Grid_Stock'!CH34</f>
        <v/>
      </c>
      <c r="CR72" s="19">
        <f>'Grid_Stock'!CI34</f>
        <v/>
      </c>
      <c r="CS72" s="19">
        <f>'Grid_Stock'!CJ34</f>
        <v/>
      </c>
      <c r="CT72" s="19">
        <f>'Grid_Stock'!CK34</f>
        <v/>
      </c>
      <c r="CU72" s="19">
        <f>'Grid_Stock'!CL34</f>
        <v/>
      </c>
      <c r="CV72" s="19">
        <f>'Grid_Stock'!CM34</f>
        <v/>
      </c>
      <c r="CW72" s="19">
        <f>'Grid_Stock'!CN34</f>
        <v/>
      </c>
      <c r="CX72" s="19">
        <f>'Grid_Stock'!CO34</f>
        <v/>
      </c>
      <c r="CY72" s="19">
        <f>'Grid_Stock'!CP34</f>
        <v/>
      </c>
      <c r="CZ72" s="19">
        <f>'Grid_Stock'!CQ34</f>
        <v/>
      </c>
      <c r="DA72" s="19">
        <f>'Grid_Stock'!CR34</f>
        <v/>
      </c>
      <c r="DB72" s="19">
        <f>'Grid_Stock'!CS34</f>
        <v/>
      </c>
      <c r="DC72" s="19">
        <f>'Grid_Stock'!CT34</f>
        <v/>
      </c>
      <c r="DD72" s="19">
        <f>'Grid_Stock'!CU34</f>
        <v/>
      </c>
      <c r="DE72" s="19">
        <f>'Grid_Stock'!CV34</f>
        <v/>
      </c>
      <c r="DF72" s="19">
        <f>'Grid_Stock'!CW34</f>
        <v/>
      </c>
      <c r="DG72" s="19">
        <f>'Grid_Stock'!CX34</f>
        <v/>
      </c>
      <c r="DH72" s="19">
        <f>'Grid_Stock'!CY34</f>
        <v/>
      </c>
      <c r="DI72" s="19">
        <f>'Grid_Stock'!CZ34</f>
        <v/>
      </c>
      <c r="DJ72" s="19">
        <f>'Grid_Stock'!DA34</f>
        <v/>
      </c>
    </row>
    <row r="73">
      <c r="A73" s="17" t="inlineStr">
        <is>
          <t>CHEM-1660</t>
        </is>
      </c>
      <c r="B73" s="17">
        <f>IFERROR(INDEX(M_RawMaterials[Description],MATCH($A73,M_RawMaterials[Part Name],0)),"")</f>
        <v/>
      </c>
      <c r="C73" s="17">
        <f>IFERROR(INDEX(M_RawMaterials[Category],MATCH($A73,M_RawMaterials[Part Name],0)),"")</f>
        <v/>
      </c>
      <c r="D73" s="17">
        <f>IFERROR(INDEX(M_RawMaterials[基準在庫下限_要入力],MATCH($A73,M_RawMaterials[Part Name],0)),0)</f>
        <v/>
      </c>
      <c r="E73" s="17">
        <f>IFERROR(INDEX(M_RawMaterials[基準在庫上限_要入力],MATCH($A73,M_RawMaterials[Part Name],0)),0)</f>
        <v/>
      </c>
      <c r="F73" s="17">
        <f>IFERROR(LOOKUP(2,1/('T_SelfStock'!$B$39:$DA$39&lt;&gt;""),'T_SelfStock'!$B$39:$DA$39),"")</f>
        <v/>
      </c>
      <c r="G73" s="17">
        <f>IFERROR(LOOKUP(2,1/('T_TTAFStock'!$B$39:$DA$39&lt;&gt;""),'T_TTAFStock'!$B$39:$DA$39),"")</f>
        <v/>
      </c>
      <c r="H73" s="17">
        <f>IFERROR(LOOKUP(2,1/('T_SelfStock'!$B$39:$DA$39&lt;&gt;""),'T_SelfStock'!$B$5:$DA$5),"")</f>
        <v/>
      </c>
      <c r="I73" s="18" t="inlineStr">
        <is>
          <t>理論在庫</t>
        </is>
      </c>
      <c r="J73" s="17">
        <f>IFERROR(INDEX('Grid_Stock'!$A35:$DA35,1,LOOKUP(2,1/('T_SelfStock'!$B$39:$DA$39&lt;&gt;""),COLUMN('T_SelfStock'!$B$39:$DA$39)))-INDEX('Grid_TheoreticalStock'!$A35:$DA35,1,LOOKUP(2,1/('T_SelfStock'!$B$39:$DA$39&lt;&gt;""),COLUMN('T_SelfStock'!$B$39:$DA$39))),0)</f>
        <v/>
      </c>
      <c r="K73" s="18">
        <f>'Grid_TheoreticalStock'!B35</f>
        <v/>
      </c>
      <c r="L73" s="18">
        <f>'Grid_TheoreticalStock'!C35</f>
        <v/>
      </c>
      <c r="M73" s="18">
        <f>'Grid_TheoreticalStock'!D35</f>
        <v/>
      </c>
      <c r="N73" s="18">
        <f>'Grid_TheoreticalStock'!E35</f>
        <v/>
      </c>
      <c r="O73" s="18">
        <f>'Grid_TheoreticalStock'!F35</f>
        <v/>
      </c>
      <c r="P73" s="18">
        <f>'Grid_TheoreticalStock'!G35</f>
        <v/>
      </c>
      <c r="Q73" s="18">
        <f>'Grid_TheoreticalStock'!H35</f>
        <v/>
      </c>
      <c r="R73" s="18">
        <f>'Grid_TheoreticalStock'!I35</f>
        <v/>
      </c>
      <c r="S73" s="18">
        <f>'Grid_TheoreticalStock'!J35</f>
        <v/>
      </c>
      <c r="T73" s="18">
        <f>'Grid_TheoreticalStock'!K35</f>
        <v/>
      </c>
      <c r="U73" s="18">
        <f>'Grid_TheoreticalStock'!L35</f>
        <v/>
      </c>
      <c r="V73" s="18">
        <f>'Grid_TheoreticalStock'!M35</f>
        <v/>
      </c>
      <c r="W73" s="18">
        <f>'Grid_TheoreticalStock'!N35</f>
        <v/>
      </c>
      <c r="X73" s="18">
        <f>'Grid_TheoreticalStock'!O35</f>
        <v/>
      </c>
      <c r="Y73" s="18">
        <f>'Grid_TheoreticalStock'!P35</f>
        <v/>
      </c>
      <c r="Z73" s="18">
        <f>'Grid_TheoreticalStock'!Q35</f>
        <v/>
      </c>
      <c r="AA73" s="18">
        <f>'Grid_TheoreticalStock'!R35</f>
        <v/>
      </c>
      <c r="AB73" s="18">
        <f>'Grid_TheoreticalStock'!S35</f>
        <v/>
      </c>
      <c r="AC73" s="18">
        <f>'Grid_TheoreticalStock'!T35</f>
        <v/>
      </c>
      <c r="AD73" s="18">
        <f>'Grid_TheoreticalStock'!U35</f>
        <v/>
      </c>
      <c r="AE73" s="18">
        <f>'Grid_TheoreticalStock'!V35</f>
        <v/>
      </c>
      <c r="AF73" s="18">
        <f>'Grid_TheoreticalStock'!W35</f>
        <v/>
      </c>
      <c r="AG73" s="18">
        <f>'Grid_TheoreticalStock'!X35</f>
        <v/>
      </c>
      <c r="AH73" s="18">
        <f>'Grid_TheoreticalStock'!Y35</f>
        <v/>
      </c>
      <c r="AI73" s="18">
        <f>'Grid_TheoreticalStock'!Z35</f>
        <v/>
      </c>
      <c r="AJ73" s="18">
        <f>'Grid_TheoreticalStock'!AA35</f>
        <v/>
      </c>
      <c r="AK73" s="18">
        <f>'Grid_TheoreticalStock'!AB35</f>
        <v/>
      </c>
      <c r="AL73" s="18">
        <f>'Grid_TheoreticalStock'!AC35</f>
        <v/>
      </c>
      <c r="AM73" s="18">
        <f>'Grid_TheoreticalStock'!AD35</f>
        <v/>
      </c>
      <c r="AN73" s="18">
        <f>'Grid_TheoreticalStock'!AE35</f>
        <v/>
      </c>
      <c r="AO73" s="18">
        <f>'Grid_TheoreticalStock'!AF35</f>
        <v/>
      </c>
      <c r="AP73" s="18">
        <f>'Grid_TheoreticalStock'!AG35</f>
        <v/>
      </c>
      <c r="AQ73" s="18">
        <f>'Grid_TheoreticalStock'!AH35</f>
        <v/>
      </c>
      <c r="AR73" s="18">
        <f>'Grid_TheoreticalStock'!AI35</f>
        <v/>
      </c>
      <c r="AS73" s="18">
        <f>'Grid_TheoreticalStock'!AJ35</f>
        <v/>
      </c>
      <c r="AT73" s="18">
        <f>'Grid_TheoreticalStock'!AK35</f>
        <v/>
      </c>
      <c r="AU73" s="18">
        <f>'Grid_TheoreticalStock'!AL35</f>
        <v/>
      </c>
      <c r="AV73" s="18">
        <f>'Grid_TheoreticalStock'!AM35</f>
        <v/>
      </c>
      <c r="AW73" s="18">
        <f>'Grid_TheoreticalStock'!AN35</f>
        <v/>
      </c>
      <c r="AX73" s="18">
        <f>'Grid_TheoreticalStock'!AO35</f>
        <v/>
      </c>
      <c r="AY73" s="18">
        <f>'Grid_TheoreticalStock'!AP35</f>
        <v/>
      </c>
      <c r="AZ73" s="18">
        <f>'Grid_TheoreticalStock'!AQ35</f>
        <v/>
      </c>
      <c r="BA73" s="18">
        <f>'Grid_TheoreticalStock'!AR35</f>
        <v/>
      </c>
      <c r="BB73" s="18">
        <f>'Grid_TheoreticalStock'!AS35</f>
        <v/>
      </c>
      <c r="BC73" s="18">
        <f>'Grid_TheoreticalStock'!AT35</f>
        <v/>
      </c>
      <c r="BD73" s="18">
        <f>'Grid_TheoreticalStock'!AU35</f>
        <v/>
      </c>
      <c r="BE73" s="18">
        <f>'Grid_TheoreticalStock'!AV35</f>
        <v/>
      </c>
      <c r="BF73" s="18">
        <f>'Grid_TheoreticalStock'!AW35</f>
        <v/>
      </c>
      <c r="BG73" s="18">
        <f>'Grid_TheoreticalStock'!AX35</f>
        <v/>
      </c>
      <c r="BH73" s="18">
        <f>'Grid_TheoreticalStock'!AY35</f>
        <v/>
      </c>
      <c r="BI73" s="18">
        <f>'Grid_TheoreticalStock'!AZ35</f>
        <v/>
      </c>
      <c r="BJ73" s="18">
        <f>'Grid_TheoreticalStock'!BA35</f>
        <v/>
      </c>
      <c r="BK73" s="18">
        <f>'Grid_TheoreticalStock'!BB35</f>
        <v/>
      </c>
      <c r="BL73" s="18">
        <f>'Grid_TheoreticalStock'!BC35</f>
        <v/>
      </c>
      <c r="BM73" s="18">
        <f>'Grid_TheoreticalStock'!BD35</f>
        <v/>
      </c>
      <c r="BN73" s="18">
        <f>'Grid_TheoreticalStock'!BE35</f>
        <v/>
      </c>
      <c r="BO73" s="18">
        <f>'Grid_TheoreticalStock'!BF35</f>
        <v/>
      </c>
      <c r="BP73" s="18">
        <f>'Grid_TheoreticalStock'!BG35</f>
        <v/>
      </c>
      <c r="BQ73" s="18">
        <f>'Grid_TheoreticalStock'!BH35</f>
        <v/>
      </c>
      <c r="BR73" s="18">
        <f>'Grid_TheoreticalStock'!BI35</f>
        <v/>
      </c>
      <c r="BS73" s="18">
        <f>'Grid_TheoreticalStock'!BJ35</f>
        <v/>
      </c>
      <c r="BT73" s="18">
        <f>'Grid_TheoreticalStock'!BK35</f>
        <v/>
      </c>
      <c r="BU73" s="18">
        <f>'Grid_TheoreticalStock'!BL35</f>
        <v/>
      </c>
      <c r="BV73" s="18">
        <f>'Grid_TheoreticalStock'!BM35</f>
        <v/>
      </c>
      <c r="BW73" s="18">
        <f>'Grid_TheoreticalStock'!BN35</f>
        <v/>
      </c>
      <c r="BX73" s="18">
        <f>'Grid_TheoreticalStock'!BO35</f>
        <v/>
      </c>
      <c r="BY73" s="18">
        <f>'Grid_TheoreticalStock'!BP35</f>
        <v/>
      </c>
      <c r="BZ73" s="18">
        <f>'Grid_TheoreticalStock'!BQ35</f>
        <v/>
      </c>
      <c r="CA73" s="18">
        <f>'Grid_TheoreticalStock'!BR35</f>
        <v/>
      </c>
      <c r="CB73" s="18">
        <f>'Grid_TheoreticalStock'!BS35</f>
        <v/>
      </c>
      <c r="CC73" s="18">
        <f>'Grid_TheoreticalStock'!BT35</f>
        <v/>
      </c>
      <c r="CD73" s="18">
        <f>'Grid_TheoreticalStock'!BU35</f>
        <v/>
      </c>
      <c r="CE73" s="18">
        <f>'Grid_TheoreticalStock'!BV35</f>
        <v/>
      </c>
      <c r="CF73" s="18">
        <f>'Grid_TheoreticalStock'!BW35</f>
        <v/>
      </c>
      <c r="CG73" s="18">
        <f>'Grid_TheoreticalStock'!BX35</f>
        <v/>
      </c>
      <c r="CH73" s="18">
        <f>'Grid_TheoreticalStock'!BY35</f>
        <v/>
      </c>
      <c r="CI73" s="18">
        <f>'Grid_TheoreticalStock'!BZ35</f>
        <v/>
      </c>
      <c r="CJ73" s="18">
        <f>'Grid_TheoreticalStock'!CA35</f>
        <v/>
      </c>
      <c r="CK73" s="18">
        <f>'Grid_TheoreticalStock'!CB35</f>
        <v/>
      </c>
      <c r="CL73" s="18">
        <f>'Grid_TheoreticalStock'!CC35</f>
        <v/>
      </c>
      <c r="CM73" s="18">
        <f>'Grid_TheoreticalStock'!CD35</f>
        <v/>
      </c>
      <c r="CN73" s="18">
        <f>'Grid_TheoreticalStock'!CE35</f>
        <v/>
      </c>
      <c r="CO73" s="18">
        <f>'Grid_TheoreticalStock'!CF35</f>
        <v/>
      </c>
      <c r="CP73" s="18">
        <f>'Grid_TheoreticalStock'!CG35</f>
        <v/>
      </c>
      <c r="CQ73" s="18">
        <f>'Grid_TheoreticalStock'!CH35</f>
        <v/>
      </c>
      <c r="CR73" s="18">
        <f>'Grid_TheoreticalStock'!CI35</f>
        <v/>
      </c>
      <c r="CS73" s="18">
        <f>'Grid_TheoreticalStock'!CJ35</f>
        <v/>
      </c>
      <c r="CT73" s="18">
        <f>'Grid_TheoreticalStock'!CK35</f>
        <v/>
      </c>
      <c r="CU73" s="18">
        <f>'Grid_TheoreticalStock'!CL35</f>
        <v/>
      </c>
      <c r="CV73" s="18">
        <f>'Grid_TheoreticalStock'!CM35</f>
        <v/>
      </c>
      <c r="CW73" s="18">
        <f>'Grid_TheoreticalStock'!CN35</f>
        <v/>
      </c>
      <c r="CX73" s="18">
        <f>'Grid_TheoreticalStock'!CO35</f>
        <v/>
      </c>
      <c r="CY73" s="18">
        <f>'Grid_TheoreticalStock'!CP35</f>
        <v/>
      </c>
      <c r="CZ73" s="18">
        <f>'Grid_TheoreticalStock'!CQ35</f>
        <v/>
      </c>
      <c r="DA73" s="18">
        <f>'Grid_TheoreticalStock'!CR35</f>
        <v/>
      </c>
      <c r="DB73" s="18">
        <f>'Grid_TheoreticalStock'!CS35</f>
        <v/>
      </c>
      <c r="DC73" s="18">
        <f>'Grid_TheoreticalStock'!CT35</f>
        <v/>
      </c>
      <c r="DD73" s="18">
        <f>'Grid_TheoreticalStock'!CU35</f>
        <v/>
      </c>
      <c r="DE73" s="18">
        <f>'Grid_TheoreticalStock'!CV35</f>
        <v/>
      </c>
      <c r="DF73" s="18">
        <f>'Grid_TheoreticalStock'!CW35</f>
        <v/>
      </c>
      <c r="DG73" s="18">
        <f>'Grid_TheoreticalStock'!CX35</f>
        <v/>
      </c>
      <c r="DH73" s="18">
        <f>'Grid_TheoreticalStock'!CY35</f>
        <v/>
      </c>
      <c r="DI73" s="18">
        <f>'Grid_TheoreticalStock'!CZ35</f>
        <v/>
      </c>
      <c r="DJ73" s="18">
        <f>'Grid_TheoreticalStock'!DA35</f>
        <v/>
      </c>
    </row>
    <row r="74">
      <c r="A74" s="19" t="inlineStr">
        <is>
          <t>CHEM-1660</t>
        </is>
      </c>
      <c r="B74" s="19">
        <f>IFERROR(INDEX(M_RawMaterials[Description],MATCH($A74,M_RawMaterials[Part Name],0)),"")</f>
        <v/>
      </c>
      <c r="C74" s="19">
        <f>IFERROR(INDEX(M_RawMaterials[Category],MATCH($A74,M_RawMaterials[Part Name],0)),"")</f>
        <v/>
      </c>
      <c r="D74" s="19">
        <f>IFERROR(INDEX(M_RawMaterials[基準在庫下限_要入力],MATCH($A74,M_RawMaterials[Part Name],0)),0)</f>
        <v/>
      </c>
      <c r="E74" s="19">
        <f>IFERROR(INDEX(M_RawMaterials[基準在庫上限_要入力],MATCH($A74,M_RawMaterials[Part Name],0)),0)</f>
        <v/>
      </c>
      <c r="F74" s="19">
        <f>IFERROR(LOOKUP(2,1/('T_SelfStock'!$B$39:$DA$39&lt;&gt;""),'T_SelfStock'!$B$39:$DA$39),"")</f>
        <v/>
      </c>
      <c r="G74" s="19">
        <f>IFERROR(LOOKUP(2,1/('T_TTAFStock'!$B$39:$DA$39&lt;&gt;""),'T_TTAFStock'!$B$39:$DA$39),"")</f>
        <v/>
      </c>
      <c r="H74" s="19">
        <f>IFERROR(LOOKUP(2,1/('T_SelfStock'!$B$39:$DA$39&lt;&gt;""),'T_SelfStock'!$B$5:$DA$5),"")</f>
        <v/>
      </c>
      <c r="I74" s="20" t="inlineStr">
        <is>
          <t>実在庫</t>
        </is>
      </c>
      <c r="J74" s="19">
        <f>IFERROR(INDEX('Grid_Stock'!$A35:$DA35,1,LOOKUP(2,1/('T_SelfStock'!$B$39:$DA$39&lt;&gt;""),COLUMN('T_SelfStock'!$B$39:$DA$39)))-INDEX('Grid_TheoreticalStock'!$A35:$DA35,1,LOOKUP(2,1/('T_SelfStock'!$B$39:$DA$39&lt;&gt;""),COLUMN('T_SelfStock'!$B$39:$DA$39))),0)</f>
        <v/>
      </c>
      <c r="K74" s="19">
        <f>'Grid_Stock'!B35</f>
        <v/>
      </c>
      <c r="L74" s="19">
        <f>'Grid_Stock'!C35</f>
        <v/>
      </c>
      <c r="M74" s="19">
        <f>'Grid_Stock'!D35</f>
        <v/>
      </c>
      <c r="N74" s="19">
        <f>'Grid_Stock'!E35</f>
        <v/>
      </c>
      <c r="O74" s="19">
        <f>'Grid_Stock'!F35</f>
        <v/>
      </c>
      <c r="P74" s="19">
        <f>'Grid_Stock'!G35</f>
        <v/>
      </c>
      <c r="Q74" s="19">
        <f>'Grid_Stock'!H35</f>
        <v/>
      </c>
      <c r="R74" s="19">
        <f>'Grid_Stock'!I35</f>
        <v/>
      </c>
      <c r="S74" s="19">
        <f>'Grid_Stock'!J35</f>
        <v/>
      </c>
      <c r="T74" s="19">
        <f>'Grid_Stock'!K35</f>
        <v/>
      </c>
      <c r="U74" s="19">
        <f>'Grid_Stock'!L35</f>
        <v/>
      </c>
      <c r="V74" s="19">
        <f>'Grid_Stock'!M35</f>
        <v/>
      </c>
      <c r="W74" s="19">
        <f>'Grid_Stock'!N35</f>
        <v/>
      </c>
      <c r="X74" s="19">
        <f>'Grid_Stock'!O35</f>
        <v/>
      </c>
      <c r="Y74" s="19">
        <f>'Grid_Stock'!P35</f>
        <v/>
      </c>
      <c r="Z74" s="19">
        <f>'Grid_Stock'!Q35</f>
        <v/>
      </c>
      <c r="AA74" s="19">
        <f>'Grid_Stock'!R35</f>
        <v/>
      </c>
      <c r="AB74" s="19">
        <f>'Grid_Stock'!S35</f>
        <v/>
      </c>
      <c r="AC74" s="19">
        <f>'Grid_Stock'!T35</f>
        <v/>
      </c>
      <c r="AD74" s="19">
        <f>'Grid_Stock'!U35</f>
        <v/>
      </c>
      <c r="AE74" s="19">
        <f>'Grid_Stock'!V35</f>
        <v/>
      </c>
      <c r="AF74" s="19">
        <f>'Grid_Stock'!W35</f>
        <v/>
      </c>
      <c r="AG74" s="19">
        <f>'Grid_Stock'!X35</f>
        <v/>
      </c>
      <c r="AH74" s="19">
        <f>'Grid_Stock'!Y35</f>
        <v/>
      </c>
      <c r="AI74" s="19">
        <f>'Grid_Stock'!Z35</f>
        <v/>
      </c>
      <c r="AJ74" s="19">
        <f>'Grid_Stock'!AA35</f>
        <v/>
      </c>
      <c r="AK74" s="19">
        <f>'Grid_Stock'!AB35</f>
        <v/>
      </c>
      <c r="AL74" s="19">
        <f>'Grid_Stock'!AC35</f>
        <v/>
      </c>
      <c r="AM74" s="19">
        <f>'Grid_Stock'!AD35</f>
        <v/>
      </c>
      <c r="AN74" s="19">
        <f>'Grid_Stock'!AE35</f>
        <v/>
      </c>
      <c r="AO74" s="19">
        <f>'Grid_Stock'!AF35</f>
        <v/>
      </c>
      <c r="AP74" s="19">
        <f>'Grid_Stock'!AG35</f>
        <v/>
      </c>
      <c r="AQ74" s="19">
        <f>'Grid_Stock'!AH35</f>
        <v/>
      </c>
      <c r="AR74" s="19">
        <f>'Grid_Stock'!AI35</f>
        <v/>
      </c>
      <c r="AS74" s="19">
        <f>'Grid_Stock'!AJ35</f>
        <v/>
      </c>
      <c r="AT74" s="19">
        <f>'Grid_Stock'!AK35</f>
        <v/>
      </c>
      <c r="AU74" s="19">
        <f>'Grid_Stock'!AL35</f>
        <v/>
      </c>
      <c r="AV74" s="19">
        <f>'Grid_Stock'!AM35</f>
        <v/>
      </c>
      <c r="AW74" s="19">
        <f>'Grid_Stock'!AN35</f>
        <v/>
      </c>
      <c r="AX74" s="19">
        <f>'Grid_Stock'!AO35</f>
        <v/>
      </c>
      <c r="AY74" s="19">
        <f>'Grid_Stock'!AP35</f>
        <v/>
      </c>
      <c r="AZ74" s="19">
        <f>'Grid_Stock'!AQ35</f>
        <v/>
      </c>
      <c r="BA74" s="19">
        <f>'Grid_Stock'!AR35</f>
        <v/>
      </c>
      <c r="BB74" s="19">
        <f>'Grid_Stock'!AS35</f>
        <v/>
      </c>
      <c r="BC74" s="19">
        <f>'Grid_Stock'!AT35</f>
        <v/>
      </c>
      <c r="BD74" s="19">
        <f>'Grid_Stock'!AU35</f>
        <v/>
      </c>
      <c r="BE74" s="19">
        <f>'Grid_Stock'!AV35</f>
        <v/>
      </c>
      <c r="BF74" s="19">
        <f>'Grid_Stock'!AW35</f>
        <v/>
      </c>
      <c r="BG74" s="19">
        <f>'Grid_Stock'!AX35</f>
        <v/>
      </c>
      <c r="BH74" s="19">
        <f>'Grid_Stock'!AY35</f>
        <v/>
      </c>
      <c r="BI74" s="19">
        <f>'Grid_Stock'!AZ35</f>
        <v/>
      </c>
      <c r="BJ74" s="19">
        <f>'Grid_Stock'!BA35</f>
        <v/>
      </c>
      <c r="BK74" s="19">
        <f>'Grid_Stock'!BB35</f>
        <v/>
      </c>
      <c r="BL74" s="19">
        <f>'Grid_Stock'!BC35</f>
        <v/>
      </c>
      <c r="BM74" s="19">
        <f>'Grid_Stock'!BD35</f>
        <v/>
      </c>
      <c r="BN74" s="19">
        <f>'Grid_Stock'!BE35</f>
        <v/>
      </c>
      <c r="BO74" s="19">
        <f>'Grid_Stock'!BF35</f>
        <v/>
      </c>
      <c r="BP74" s="19">
        <f>'Grid_Stock'!BG35</f>
        <v/>
      </c>
      <c r="BQ74" s="19">
        <f>'Grid_Stock'!BH35</f>
        <v/>
      </c>
      <c r="BR74" s="19">
        <f>'Grid_Stock'!BI35</f>
        <v/>
      </c>
      <c r="BS74" s="19">
        <f>'Grid_Stock'!BJ35</f>
        <v/>
      </c>
      <c r="BT74" s="19">
        <f>'Grid_Stock'!BK35</f>
        <v/>
      </c>
      <c r="BU74" s="19">
        <f>'Grid_Stock'!BL35</f>
        <v/>
      </c>
      <c r="BV74" s="19">
        <f>'Grid_Stock'!BM35</f>
        <v/>
      </c>
      <c r="BW74" s="19">
        <f>'Grid_Stock'!BN35</f>
        <v/>
      </c>
      <c r="BX74" s="19">
        <f>'Grid_Stock'!BO35</f>
        <v/>
      </c>
      <c r="BY74" s="19">
        <f>'Grid_Stock'!BP35</f>
        <v/>
      </c>
      <c r="BZ74" s="19">
        <f>'Grid_Stock'!BQ35</f>
        <v/>
      </c>
      <c r="CA74" s="19">
        <f>'Grid_Stock'!BR35</f>
        <v/>
      </c>
      <c r="CB74" s="19">
        <f>'Grid_Stock'!BS35</f>
        <v/>
      </c>
      <c r="CC74" s="19">
        <f>'Grid_Stock'!BT35</f>
        <v/>
      </c>
      <c r="CD74" s="19">
        <f>'Grid_Stock'!BU35</f>
        <v/>
      </c>
      <c r="CE74" s="19">
        <f>'Grid_Stock'!BV35</f>
        <v/>
      </c>
      <c r="CF74" s="19">
        <f>'Grid_Stock'!BW35</f>
        <v/>
      </c>
      <c r="CG74" s="19">
        <f>'Grid_Stock'!BX35</f>
        <v/>
      </c>
      <c r="CH74" s="19">
        <f>'Grid_Stock'!BY35</f>
        <v/>
      </c>
      <c r="CI74" s="19">
        <f>'Grid_Stock'!BZ35</f>
        <v/>
      </c>
      <c r="CJ74" s="19">
        <f>'Grid_Stock'!CA35</f>
        <v/>
      </c>
      <c r="CK74" s="19">
        <f>'Grid_Stock'!CB35</f>
        <v/>
      </c>
      <c r="CL74" s="19">
        <f>'Grid_Stock'!CC35</f>
        <v/>
      </c>
      <c r="CM74" s="19">
        <f>'Grid_Stock'!CD35</f>
        <v/>
      </c>
      <c r="CN74" s="19">
        <f>'Grid_Stock'!CE35</f>
        <v/>
      </c>
      <c r="CO74" s="19">
        <f>'Grid_Stock'!CF35</f>
        <v/>
      </c>
      <c r="CP74" s="19">
        <f>'Grid_Stock'!CG35</f>
        <v/>
      </c>
      <c r="CQ74" s="19">
        <f>'Grid_Stock'!CH35</f>
        <v/>
      </c>
      <c r="CR74" s="19">
        <f>'Grid_Stock'!CI35</f>
        <v/>
      </c>
      <c r="CS74" s="19">
        <f>'Grid_Stock'!CJ35</f>
        <v/>
      </c>
      <c r="CT74" s="19">
        <f>'Grid_Stock'!CK35</f>
        <v/>
      </c>
      <c r="CU74" s="19">
        <f>'Grid_Stock'!CL35</f>
        <v/>
      </c>
      <c r="CV74" s="19">
        <f>'Grid_Stock'!CM35</f>
        <v/>
      </c>
      <c r="CW74" s="19">
        <f>'Grid_Stock'!CN35</f>
        <v/>
      </c>
      <c r="CX74" s="19">
        <f>'Grid_Stock'!CO35</f>
        <v/>
      </c>
      <c r="CY74" s="19">
        <f>'Grid_Stock'!CP35</f>
        <v/>
      </c>
      <c r="CZ74" s="19">
        <f>'Grid_Stock'!CQ35</f>
        <v/>
      </c>
      <c r="DA74" s="19">
        <f>'Grid_Stock'!CR35</f>
        <v/>
      </c>
      <c r="DB74" s="19">
        <f>'Grid_Stock'!CS35</f>
        <v/>
      </c>
      <c r="DC74" s="19">
        <f>'Grid_Stock'!CT35</f>
        <v/>
      </c>
      <c r="DD74" s="19">
        <f>'Grid_Stock'!CU35</f>
        <v/>
      </c>
      <c r="DE74" s="19">
        <f>'Grid_Stock'!CV35</f>
        <v/>
      </c>
      <c r="DF74" s="19">
        <f>'Grid_Stock'!CW35</f>
        <v/>
      </c>
      <c r="DG74" s="19">
        <f>'Grid_Stock'!CX35</f>
        <v/>
      </c>
      <c r="DH74" s="19">
        <f>'Grid_Stock'!CY35</f>
        <v/>
      </c>
      <c r="DI74" s="19">
        <f>'Grid_Stock'!CZ35</f>
        <v/>
      </c>
      <c r="DJ74" s="19">
        <f>'Grid_Stock'!DA35</f>
        <v/>
      </c>
    </row>
    <row r="75">
      <c r="A75" s="17" t="inlineStr">
        <is>
          <t>CHEM-1420</t>
        </is>
      </c>
      <c r="B75" s="17">
        <f>IFERROR(INDEX(M_RawMaterials[Description],MATCH($A75,M_RawMaterials[Part Name],0)),"")</f>
        <v/>
      </c>
      <c r="C75" s="17">
        <f>IFERROR(INDEX(M_RawMaterials[Category],MATCH($A75,M_RawMaterials[Part Name],0)),"")</f>
        <v/>
      </c>
      <c r="D75" s="17">
        <f>IFERROR(INDEX(M_RawMaterials[基準在庫下限_要入力],MATCH($A75,M_RawMaterials[Part Name],0)),0)</f>
        <v/>
      </c>
      <c r="E75" s="17">
        <f>IFERROR(INDEX(M_RawMaterials[基準在庫上限_要入力],MATCH($A75,M_RawMaterials[Part Name],0)),0)</f>
        <v/>
      </c>
      <c r="F75" s="17">
        <f>IFERROR(LOOKUP(2,1/('T_SelfStock'!$B$40:$DA$40&lt;&gt;""),'T_SelfStock'!$B$40:$DA$40),"")</f>
        <v/>
      </c>
      <c r="G75" s="17">
        <f>IFERROR(LOOKUP(2,1/('T_TTAFStock'!$B$40:$DA$40&lt;&gt;""),'T_TTAFStock'!$B$40:$DA$40),"")</f>
        <v/>
      </c>
      <c r="H75" s="17">
        <f>IFERROR(LOOKUP(2,1/('T_SelfStock'!$B$40:$DA$40&lt;&gt;""),'T_SelfStock'!$B$5:$DA$5),"")</f>
        <v/>
      </c>
      <c r="I75" s="18" t="inlineStr">
        <is>
          <t>理論在庫</t>
        </is>
      </c>
      <c r="J75" s="17">
        <f>IFERROR(INDEX('Grid_Stock'!$A36:$DA36,1,LOOKUP(2,1/('T_SelfStock'!$B$40:$DA$40&lt;&gt;""),COLUMN('T_SelfStock'!$B$40:$DA$40)))-INDEX('Grid_TheoreticalStock'!$A36:$DA36,1,LOOKUP(2,1/('T_SelfStock'!$B$40:$DA$40&lt;&gt;""),COLUMN('T_SelfStock'!$B$40:$DA$40))),0)</f>
        <v/>
      </c>
      <c r="K75" s="18">
        <f>'Grid_TheoreticalStock'!B36</f>
        <v/>
      </c>
      <c r="L75" s="18">
        <f>'Grid_TheoreticalStock'!C36</f>
        <v/>
      </c>
      <c r="M75" s="18">
        <f>'Grid_TheoreticalStock'!D36</f>
        <v/>
      </c>
      <c r="N75" s="18">
        <f>'Grid_TheoreticalStock'!E36</f>
        <v/>
      </c>
      <c r="O75" s="18">
        <f>'Grid_TheoreticalStock'!F36</f>
        <v/>
      </c>
      <c r="P75" s="18">
        <f>'Grid_TheoreticalStock'!G36</f>
        <v/>
      </c>
      <c r="Q75" s="18">
        <f>'Grid_TheoreticalStock'!H36</f>
        <v/>
      </c>
      <c r="R75" s="18">
        <f>'Grid_TheoreticalStock'!I36</f>
        <v/>
      </c>
      <c r="S75" s="18">
        <f>'Grid_TheoreticalStock'!J36</f>
        <v/>
      </c>
      <c r="T75" s="18">
        <f>'Grid_TheoreticalStock'!K36</f>
        <v/>
      </c>
      <c r="U75" s="18">
        <f>'Grid_TheoreticalStock'!L36</f>
        <v/>
      </c>
      <c r="V75" s="18">
        <f>'Grid_TheoreticalStock'!M36</f>
        <v/>
      </c>
      <c r="W75" s="18">
        <f>'Grid_TheoreticalStock'!N36</f>
        <v/>
      </c>
      <c r="X75" s="18">
        <f>'Grid_TheoreticalStock'!O36</f>
        <v/>
      </c>
      <c r="Y75" s="18">
        <f>'Grid_TheoreticalStock'!P36</f>
        <v/>
      </c>
      <c r="Z75" s="18">
        <f>'Grid_TheoreticalStock'!Q36</f>
        <v/>
      </c>
      <c r="AA75" s="18">
        <f>'Grid_TheoreticalStock'!R36</f>
        <v/>
      </c>
      <c r="AB75" s="18">
        <f>'Grid_TheoreticalStock'!S36</f>
        <v/>
      </c>
      <c r="AC75" s="18">
        <f>'Grid_TheoreticalStock'!T36</f>
        <v/>
      </c>
      <c r="AD75" s="18">
        <f>'Grid_TheoreticalStock'!U36</f>
        <v/>
      </c>
      <c r="AE75" s="18">
        <f>'Grid_TheoreticalStock'!V36</f>
        <v/>
      </c>
      <c r="AF75" s="18">
        <f>'Grid_TheoreticalStock'!W36</f>
        <v/>
      </c>
      <c r="AG75" s="18">
        <f>'Grid_TheoreticalStock'!X36</f>
        <v/>
      </c>
      <c r="AH75" s="18">
        <f>'Grid_TheoreticalStock'!Y36</f>
        <v/>
      </c>
      <c r="AI75" s="18">
        <f>'Grid_TheoreticalStock'!Z36</f>
        <v/>
      </c>
      <c r="AJ75" s="18">
        <f>'Grid_TheoreticalStock'!AA36</f>
        <v/>
      </c>
      <c r="AK75" s="18">
        <f>'Grid_TheoreticalStock'!AB36</f>
        <v/>
      </c>
      <c r="AL75" s="18">
        <f>'Grid_TheoreticalStock'!AC36</f>
        <v/>
      </c>
      <c r="AM75" s="18">
        <f>'Grid_TheoreticalStock'!AD36</f>
        <v/>
      </c>
      <c r="AN75" s="18">
        <f>'Grid_TheoreticalStock'!AE36</f>
        <v/>
      </c>
      <c r="AO75" s="18">
        <f>'Grid_TheoreticalStock'!AF36</f>
        <v/>
      </c>
      <c r="AP75" s="18">
        <f>'Grid_TheoreticalStock'!AG36</f>
        <v/>
      </c>
      <c r="AQ75" s="18">
        <f>'Grid_TheoreticalStock'!AH36</f>
        <v/>
      </c>
      <c r="AR75" s="18">
        <f>'Grid_TheoreticalStock'!AI36</f>
        <v/>
      </c>
      <c r="AS75" s="18">
        <f>'Grid_TheoreticalStock'!AJ36</f>
        <v/>
      </c>
      <c r="AT75" s="18">
        <f>'Grid_TheoreticalStock'!AK36</f>
        <v/>
      </c>
      <c r="AU75" s="18">
        <f>'Grid_TheoreticalStock'!AL36</f>
        <v/>
      </c>
      <c r="AV75" s="18">
        <f>'Grid_TheoreticalStock'!AM36</f>
        <v/>
      </c>
      <c r="AW75" s="18">
        <f>'Grid_TheoreticalStock'!AN36</f>
        <v/>
      </c>
      <c r="AX75" s="18">
        <f>'Grid_TheoreticalStock'!AO36</f>
        <v/>
      </c>
      <c r="AY75" s="18">
        <f>'Grid_TheoreticalStock'!AP36</f>
        <v/>
      </c>
      <c r="AZ75" s="18">
        <f>'Grid_TheoreticalStock'!AQ36</f>
        <v/>
      </c>
      <c r="BA75" s="18">
        <f>'Grid_TheoreticalStock'!AR36</f>
        <v/>
      </c>
      <c r="BB75" s="18">
        <f>'Grid_TheoreticalStock'!AS36</f>
        <v/>
      </c>
      <c r="BC75" s="18">
        <f>'Grid_TheoreticalStock'!AT36</f>
        <v/>
      </c>
      <c r="BD75" s="18">
        <f>'Grid_TheoreticalStock'!AU36</f>
        <v/>
      </c>
      <c r="BE75" s="18">
        <f>'Grid_TheoreticalStock'!AV36</f>
        <v/>
      </c>
      <c r="BF75" s="18">
        <f>'Grid_TheoreticalStock'!AW36</f>
        <v/>
      </c>
      <c r="BG75" s="18">
        <f>'Grid_TheoreticalStock'!AX36</f>
        <v/>
      </c>
      <c r="BH75" s="18">
        <f>'Grid_TheoreticalStock'!AY36</f>
        <v/>
      </c>
      <c r="BI75" s="18">
        <f>'Grid_TheoreticalStock'!AZ36</f>
        <v/>
      </c>
      <c r="BJ75" s="18">
        <f>'Grid_TheoreticalStock'!BA36</f>
        <v/>
      </c>
      <c r="BK75" s="18">
        <f>'Grid_TheoreticalStock'!BB36</f>
        <v/>
      </c>
      <c r="BL75" s="18">
        <f>'Grid_TheoreticalStock'!BC36</f>
        <v/>
      </c>
      <c r="BM75" s="18">
        <f>'Grid_TheoreticalStock'!BD36</f>
        <v/>
      </c>
      <c r="BN75" s="18">
        <f>'Grid_TheoreticalStock'!BE36</f>
        <v/>
      </c>
      <c r="BO75" s="18">
        <f>'Grid_TheoreticalStock'!BF36</f>
        <v/>
      </c>
      <c r="BP75" s="18">
        <f>'Grid_TheoreticalStock'!BG36</f>
        <v/>
      </c>
      <c r="BQ75" s="18">
        <f>'Grid_TheoreticalStock'!BH36</f>
        <v/>
      </c>
      <c r="BR75" s="18">
        <f>'Grid_TheoreticalStock'!BI36</f>
        <v/>
      </c>
      <c r="BS75" s="18">
        <f>'Grid_TheoreticalStock'!BJ36</f>
        <v/>
      </c>
      <c r="BT75" s="18">
        <f>'Grid_TheoreticalStock'!BK36</f>
        <v/>
      </c>
      <c r="BU75" s="18">
        <f>'Grid_TheoreticalStock'!BL36</f>
        <v/>
      </c>
      <c r="BV75" s="18">
        <f>'Grid_TheoreticalStock'!BM36</f>
        <v/>
      </c>
      <c r="BW75" s="18">
        <f>'Grid_TheoreticalStock'!BN36</f>
        <v/>
      </c>
      <c r="BX75" s="18">
        <f>'Grid_TheoreticalStock'!BO36</f>
        <v/>
      </c>
      <c r="BY75" s="18">
        <f>'Grid_TheoreticalStock'!BP36</f>
        <v/>
      </c>
      <c r="BZ75" s="18">
        <f>'Grid_TheoreticalStock'!BQ36</f>
        <v/>
      </c>
      <c r="CA75" s="18">
        <f>'Grid_TheoreticalStock'!BR36</f>
        <v/>
      </c>
      <c r="CB75" s="18">
        <f>'Grid_TheoreticalStock'!BS36</f>
        <v/>
      </c>
      <c r="CC75" s="18">
        <f>'Grid_TheoreticalStock'!BT36</f>
        <v/>
      </c>
      <c r="CD75" s="18">
        <f>'Grid_TheoreticalStock'!BU36</f>
        <v/>
      </c>
      <c r="CE75" s="18">
        <f>'Grid_TheoreticalStock'!BV36</f>
        <v/>
      </c>
      <c r="CF75" s="18">
        <f>'Grid_TheoreticalStock'!BW36</f>
        <v/>
      </c>
      <c r="CG75" s="18">
        <f>'Grid_TheoreticalStock'!BX36</f>
        <v/>
      </c>
      <c r="CH75" s="18">
        <f>'Grid_TheoreticalStock'!BY36</f>
        <v/>
      </c>
      <c r="CI75" s="18">
        <f>'Grid_TheoreticalStock'!BZ36</f>
        <v/>
      </c>
      <c r="CJ75" s="18">
        <f>'Grid_TheoreticalStock'!CA36</f>
        <v/>
      </c>
      <c r="CK75" s="18">
        <f>'Grid_TheoreticalStock'!CB36</f>
        <v/>
      </c>
      <c r="CL75" s="18">
        <f>'Grid_TheoreticalStock'!CC36</f>
        <v/>
      </c>
      <c r="CM75" s="18">
        <f>'Grid_TheoreticalStock'!CD36</f>
        <v/>
      </c>
      <c r="CN75" s="18">
        <f>'Grid_TheoreticalStock'!CE36</f>
        <v/>
      </c>
      <c r="CO75" s="18">
        <f>'Grid_TheoreticalStock'!CF36</f>
        <v/>
      </c>
      <c r="CP75" s="18">
        <f>'Grid_TheoreticalStock'!CG36</f>
        <v/>
      </c>
      <c r="CQ75" s="18">
        <f>'Grid_TheoreticalStock'!CH36</f>
        <v/>
      </c>
      <c r="CR75" s="18">
        <f>'Grid_TheoreticalStock'!CI36</f>
        <v/>
      </c>
      <c r="CS75" s="18">
        <f>'Grid_TheoreticalStock'!CJ36</f>
        <v/>
      </c>
      <c r="CT75" s="18">
        <f>'Grid_TheoreticalStock'!CK36</f>
        <v/>
      </c>
      <c r="CU75" s="18">
        <f>'Grid_TheoreticalStock'!CL36</f>
        <v/>
      </c>
      <c r="CV75" s="18">
        <f>'Grid_TheoreticalStock'!CM36</f>
        <v/>
      </c>
      <c r="CW75" s="18">
        <f>'Grid_TheoreticalStock'!CN36</f>
        <v/>
      </c>
      <c r="CX75" s="18">
        <f>'Grid_TheoreticalStock'!CO36</f>
        <v/>
      </c>
      <c r="CY75" s="18">
        <f>'Grid_TheoreticalStock'!CP36</f>
        <v/>
      </c>
      <c r="CZ75" s="18">
        <f>'Grid_TheoreticalStock'!CQ36</f>
        <v/>
      </c>
      <c r="DA75" s="18">
        <f>'Grid_TheoreticalStock'!CR36</f>
        <v/>
      </c>
      <c r="DB75" s="18">
        <f>'Grid_TheoreticalStock'!CS36</f>
        <v/>
      </c>
      <c r="DC75" s="18">
        <f>'Grid_TheoreticalStock'!CT36</f>
        <v/>
      </c>
      <c r="DD75" s="18">
        <f>'Grid_TheoreticalStock'!CU36</f>
        <v/>
      </c>
      <c r="DE75" s="18">
        <f>'Grid_TheoreticalStock'!CV36</f>
        <v/>
      </c>
      <c r="DF75" s="18">
        <f>'Grid_TheoreticalStock'!CW36</f>
        <v/>
      </c>
      <c r="DG75" s="18">
        <f>'Grid_TheoreticalStock'!CX36</f>
        <v/>
      </c>
      <c r="DH75" s="18">
        <f>'Grid_TheoreticalStock'!CY36</f>
        <v/>
      </c>
      <c r="DI75" s="18">
        <f>'Grid_TheoreticalStock'!CZ36</f>
        <v/>
      </c>
      <c r="DJ75" s="18">
        <f>'Grid_TheoreticalStock'!DA36</f>
        <v/>
      </c>
    </row>
    <row r="76">
      <c r="A76" s="19" t="inlineStr">
        <is>
          <t>CHEM-1420</t>
        </is>
      </c>
      <c r="B76" s="19">
        <f>IFERROR(INDEX(M_RawMaterials[Description],MATCH($A76,M_RawMaterials[Part Name],0)),"")</f>
        <v/>
      </c>
      <c r="C76" s="19">
        <f>IFERROR(INDEX(M_RawMaterials[Category],MATCH($A76,M_RawMaterials[Part Name],0)),"")</f>
        <v/>
      </c>
      <c r="D76" s="19">
        <f>IFERROR(INDEX(M_RawMaterials[基準在庫下限_要入力],MATCH($A76,M_RawMaterials[Part Name],0)),0)</f>
        <v/>
      </c>
      <c r="E76" s="19">
        <f>IFERROR(INDEX(M_RawMaterials[基準在庫上限_要入力],MATCH($A76,M_RawMaterials[Part Name],0)),0)</f>
        <v/>
      </c>
      <c r="F76" s="19">
        <f>IFERROR(LOOKUP(2,1/('T_SelfStock'!$B$40:$DA$40&lt;&gt;""),'T_SelfStock'!$B$40:$DA$40),"")</f>
        <v/>
      </c>
      <c r="G76" s="19">
        <f>IFERROR(LOOKUP(2,1/('T_TTAFStock'!$B$40:$DA$40&lt;&gt;""),'T_TTAFStock'!$B$40:$DA$40),"")</f>
        <v/>
      </c>
      <c r="H76" s="19">
        <f>IFERROR(LOOKUP(2,1/('T_SelfStock'!$B$40:$DA$40&lt;&gt;""),'T_SelfStock'!$B$5:$DA$5),"")</f>
        <v/>
      </c>
      <c r="I76" s="20" t="inlineStr">
        <is>
          <t>実在庫</t>
        </is>
      </c>
      <c r="J76" s="19">
        <f>IFERROR(INDEX('Grid_Stock'!$A36:$DA36,1,LOOKUP(2,1/('T_SelfStock'!$B$40:$DA$40&lt;&gt;""),COLUMN('T_SelfStock'!$B$40:$DA$40)))-INDEX('Grid_TheoreticalStock'!$A36:$DA36,1,LOOKUP(2,1/('T_SelfStock'!$B$40:$DA$40&lt;&gt;""),COLUMN('T_SelfStock'!$B$40:$DA$40))),0)</f>
        <v/>
      </c>
      <c r="K76" s="19">
        <f>'Grid_Stock'!B36</f>
        <v/>
      </c>
      <c r="L76" s="19">
        <f>'Grid_Stock'!C36</f>
        <v/>
      </c>
      <c r="M76" s="19">
        <f>'Grid_Stock'!D36</f>
        <v/>
      </c>
      <c r="N76" s="19">
        <f>'Grid_Stock'!E36</f>
        <v/>
      </c>
      <c r="O76" s="19">
        <f>'Grid_Stock'!F36</f>
        <v/>
      </c>
      <c r="P76" s="19">
        <f>'Grid_Stock'!G36</f>
        <v/>
      </c>
      <c r="Q76" s="19">
        <f>'Grid_Stock'!H36</f>
        <v/>
      </c>
      <c r="R76" s="19">
        <f>'Grid_Stock'!I36</f>
        <v/>
      </c>
      <c r="S76" s="19">
        <f>'Grid_Stock'!J36</f>
        <v/>
      </c>
      <c r="T76" s="19">
        <f>'Grid_Stock'!K36</f>
        <v/>
      </c>
      <c r="U76" s="19">
        <f>'Grid_Stock'!L36</f>
        <v/>
      </c>
      <c r="V76" s="19">
        <f>'Grid_Stock'!M36</f>
        <v/>
      </c>
      <c r="W76" s="19">
        <f>'Grid_Stock'!N36</f>
        <v/>
      </c>
      <c r="X76" s="19">
        <f>'Grid_Stock'!O36</f>
        <v/>
      </c>
      <c r="Y76" s="19">
        <f>'Grid_Stock'!P36</f>
        <v/>
      </c>
      <c r="Z76" s="19">
        <f>'Grid_Stock'!Q36</f>
        <v/>
      </c>
      <c r="AA76" s="19">
        <f>'Grid_Stock'!R36</f>
        <v/>
      </c>
      <c r="AB76" s="19">
        <f>'Grid_Stock'!S36</f>
        <v/>
      </c>
      <c r="AC76" s="19">
        <f>'Grid_Stock'!T36</f>
        <v/>
      </c>
      <c r="AD76" s="19">
        <f>'Grid_Stock'!U36</f>
        <v/>
      </c>
      <c r="AE76" s="19">
        <f>'Grid_Stock'!V36</f>
        <v/>
      </c>
      <c r="AF76" s="19">
        <f>'Grid_Stock'!W36</f>
        <v/>
      </c>
      <c r="AG76" s="19">
        <f>'Grid_Stock'!X36</f>
        <v/>
      </c>
      <c r="AH76" s="19">
        <f>'Grid_Stock'!Y36</f>
        <v/>
      </c>
      <c r="AI76" s="19">
        <f>'Grid_Stock'!Z36</f>
        <v/>
      </c>
      <c r="AJ76" s="19">
        <f>'Grid_Stock'!AA36</f>
        <v/>
      </c>
      <c r="AK76" s="19">
        <f>'Grid_Stock'!AB36</f>
        <v/>
      </c>
      <c r="AL76" s="19">
        <f>'Grid_Stock'!AC36</f>
        <v/>
      </c>
      <c r="AM76" s="19">
        <f>'Grid_Stock'!AD36</f>
        <v/>
      </c>
      <c r="AN76" s="19">
        <f>'Grid_Stock'!AE36</f>
        <v/>
      </c>
      <c r="AO76" s="19">
        <f>'Grid_Stock'!AF36</f>
        <v/>
      </c>
      <c r="AP76" s="19">
        <f>'Grid_Stock'!AG36</f>
        <v/>
      </c>
      <c r="AQ76" s="19">
        <f>'Grid_Stock'!AH36</f>
        <v/>
      </c>
      <c r="AR76" s="19">
        <f>'Grid_Stock'!AI36</f>
        <v/>
      </c>
      <c r="AS76" s="19">
        <f>'Grid_Stock'!AJ36</f>
        <v/>
      </c>
      <c r="AT76" s="19">
        <f>'Grid_Stock'!AK36</f>
        <v/>
      </c>
      <c r="AU76" s="19">
        <f>'Grid_Stock'!AL36</f>
        <v/>
      </c>
      <c r="AV76" s="19">
        <f>'Grid_Stock'!AM36</f>
        <v/>
      </c>
      <c r="AW76" s="19">
        <f>'Grid_Stock'!AN36</f>
        <v/>
      </c>
      <c r="AX76" s="19">
        <f>'Grid_Stock'!AO36</f>
        <v/>
      </c>
      <c r="AY76" s="19">
        <f>'Grid_Stock'!AP36</f>
        <v/>
      </c>
      <c r="AZ76" s="19">
        <f>'Grid_Stock'!AQ36</f>
        <v/>
      </c>
      <c r="BA76" s="19">
        <f>'Grid_Stock'!AR36</f>
        <v/>
      </c>
      <c r="BB76" s="19">
        <f>'Grid_Stock'!AS36</f>
        <v/>
      </c>
      <c r="BC76" s="19">
        <f>'Grid_Stock'!AT36</f>
        <v/>
      </c>
      <c r="BD76" s="19">
        <f>'Grid_Stock'!AU36</f>
        <v/>
      </c>
      <c r="BE76" s="19">
        <f>'Grid_Stock'!AV36</f>
        <v/>
      </c>
      <c r="BF76" s="19">
        <f>'Grid_Stock'!AW36</f>
        <v/>
      </c>
      <c r="BG76" s="19">
        <f>'Grid_Stock'!AX36</f>
        <v/>
      </c>
      <c r="BH76" s="19">
        <f>'Grid_Stock'!AY36</f>
        <v/>
      </c>
      <c r="BI76" s="19">
        <f>'Grid_Stock'!AZ36</f>
        <v/>
      </c>
      <c r="BJ76" s="19">
        <f>'Grid_Stock'!BA36</f>
        <v/>
      </c>
      <c r="BK76" s="19">
        <f>'Grid_Stock'!BB36</f>
        <v/>
      </c>
      <c r="BL76" s="19">
        <f>'Grid_Stock'!BC36</f>
        <v/>
      </c>
      <c r="BM76" s="19">
        <f>'Grid_Stock'!BD36</f>
        <v/>
      </c>
      <c r="BN76" s="19">
        <f>'Grid_Stock'!BE36</f>
        <v/>
      </c>
      <c r="BO76" s="19">
        <f>'Grid_Stock'!BF36</f>
        <v/>
      </c>
      <c r="BP76" s="19">
        <f>'Grid_Stock'!BG36</f>
        <v/>
      </c>
      <c r="BQ76" s="19">
        <f>'Grid_Stock'!BH36</f>
        <v/>
      </c>
      <c r="BR76" s="19">
        <f>'Grid_Stock'!BI36</f>
        <v/>
      </c>
      <c r="BS76" s="19">
        <f>'Grid_Stock'!BJ36</f>
        <v/>
      </c>
      <c r="BT76" s="19">
        <f>'Grid_Stock'!BK36</f>
        <v/>
      </c>
      <c r="BU76" s="19">
        <f>'Grid_Stock'!BL36</f>
        <v/>
      </c>
      <c r="BV76" s="19">
        <f>'Grid_Stock'!BM36</f>
        <v/>
      </c>
      <c r="BW76" s="19">
        <f>'Grid_Stock'!BN36</f>
        <v/>
      </c>
      <c r="BX76" s="19">
        <f>'Grid_Stock'!BO36</f>
        <v/>
      </c>
      <c r="BY76" s="19">
        <f>'Grid_Stock'!BP36</f>
        <v/>
      </c>
      <c r="BZ76" s="19">
        <f>'Grid_Stock'!BQ36</f>
        <v/>
      </c>
      <c r="CA76" s="19">
        <f>'Grid_Stock'!BR36</f>
        <v/>
      </c>
      <c r="CB76" s="19">
        <f>'Grid_Stock'!BS36</f>
        <v/>
      </c>
      <c r="CC76" s="19">
        <f>'Grid_Stock'!BT36</f>
        <v/>
      </c>
      <c r="CD76" s="19">
        <f>'Grid_Stock'!BU36</f>
        <v/>
      </c>
      <c r="CE76" s="19">
        <f>'Grid_Stock'!BV36</f>
        <v/>
      </c>
      <c r="CF76" s="19">
        <f>'Grid_Stock'!BW36</f>
        <v/>
      </c>
      <c r="CG76" s="19">
        <f>'Grid_Stock'!BX36</f>
        <v/>
      </c>
      <c r="CH76" s="19">
        <f>'Grid_Stock'!BY36</f>
        <v/>
      </c>
      <c r="CI76" s="19">
        <f>'Grid_Stock'!BZ36</f>
        <v/>
      </c>
      <c r="CJ76" s="19">
        <f>'Grid_Stock'!CA36</f>
        <v/>
      </c>
      <c r="CK76" s="19">
        <f>'Grid_Stock'!CB36</f>
        <v/>
      </c>
      <c r="CL76" s="19">
        <f>'Grid_Stock'!CC36</f>
        <v/>
      </c>
      <c r="CM76" s="19">
        <f>'Grid_Stock'!CD36</f>
        <v/>
      </c>
      <c r="CN76" s="19">
        <f>'Grid_Stock'!CE36</f>
        <v/>
      </c>
      <c r="CO76" s="19">
        <f>'Grid_Stock'!CF36</f>
        <v/>
      </c>
      <c r="CP76" s="19">
        <f>'Grid_Stock'!CG36</f>
        <v/>
      </c>
      <c r="CQ76" s="19">
        <f>'Grid_Stock'!CH36</f>
        <v/>
      </c>
      <c r="CR76" s="19">
        <f>'Grid_Stock'!CI36</f>
        <v/>
      </c>
      <c r="CS76" s="19">
        <f>'Grid_Stock'!CJ36</f>
        <v/>
      </c>
      <c r="CT76" s="19">
        <f>'Grid_Stock'!CK36</f>
        <v/>
      </c>
      <c r="CU76" s="19">
        <f>'Grid_Stock'!CL36</f>
        <v/>
      </c>
      <c r="CV76" s="19">
        <f>'Grid_Stock'!CM36</f>
        <v/>
      </c>
      <c r="CW76" s="19">
        <f>'Grid_Stock'!CN36</f>
        <v/>
      </c>
      <c r="CX76" s="19">
        <f>'Grid_Stock'!CO36</f>
        <v/>
      </c>
      <c r="CY76" s="19">
        <f>'Grid_Stock'!CP36</f>
        <v/>
      </c>
      <c r="CZ76" s="19">
        <f>'Grid_Stock'!CQ36</f>
        <v/>
      </c>
      <c r="DA76" s="19">
        <f>'Grid_Stock'!CR36</f>
        <v/>
      </c>
      <c r="DB76" s="19">
        <f>'Grid_Stock'!CS36</f>
        <v/>
      </c>
      <c r="DC76" s="19">
        <f>'Grid_Stock'!CT36</f>
        <v/>
      </c>
      <c r="DD76" s="19">
        <f>'Grid_Stock'!CU36</f>
        <v/>
      </c>
      <c r="DE76" s="19">
        <f>'Grid_Stock'!CV36</f>
        <v/>
      </c>
      <c r="DF76" s="19">
        <f>'Grid_Stock'!CW36</f>
        <v/>
      </c>
      <c r="DG76" s="19">
        <f>'Grid_Stock'!CX36</f>
        <v/>
      </c>
      <c r="DH76" s="19">
        <f>'Grid_Stock'!CY36</f>
        <v/>
      </c>
      <c r="DI76" s="19">
        <f>'Grid_Stock'!CZ36</f>
        <v/>
      </c>
      <c r="DJ76" s="19">
        <f>'Grid_Stock'!DA36</f>
        <v/>
      </c>
    </row>
    <row r="77">
      <c r="A77" s="17" t="inlineStr">
        <is>
          <t>CHEM-1080</t>
        </is>
      </c>
      <c r="B77" s="17">
        <f>IFERROR(INDEX(M_RawMaterials[Description],MATCH($A77,M_RawMaterials[Part Name],0)),"")</f>
        <v/>
      </c>
      <c r="C77" s="17">
        <f>IFERROR(INDEX(M_RawMaterials[Category],MATCH($A77,M_RawMaterials[Part Name],0)),"")</f>
        <v/>
      </c>
      <c r="D77" s="17">
        <f>IFERROR(INDEX(M_RawMaterials[基準在庫下限_要入力],MATCH($A77,M_RawMaterials[Part Name],0)),0)</f>
        <v/>
      </c>
      <c r="E77" s="17">
        <f>IFERROR(INDEX(M_RawMaterials[基準在庫上限_要入力],MATCH($A77,M_RawMaterials[Part Name],0)),0)</f>
        <v/>
      </c>
      <c r="F77" s="17">
        <f>IFERROR(LOOKUP(2,1/('T_SelfStock'!$B$41:$DA$41&lt;&gt;""),'T_SelfStock'!$B$41:$DA$41),"")</f>
        <v/>
      </c>
      <c r="G77" s="17">
        <f>IFERROR(LOOKUP(2,1/('T_TTAFStock'!$B$41:$DA$41&lt;&gt;""),'T_TTAFStock'!$B$41:$DA$41),"")</f>
        <v/>
      </c>
      <c r="H77" s="17">
        <f>IFERROR(LOOKUP(2,1/('T_SelfStock'!$B$41:$DA$41&lt;&gt;""),'T_SelfStock'!$B$5:$DA$5),"")</f>
        <v/>
      </c>
      <c r="I77" s="18" t="inlineStr">
        <is>
          <t>理論在庫</t>
        </is>
      </c>
      <c r="J77" s="17">
        <f>IFERROR(INDEX('Grid_Stock'!$A37:$DA37,1,LOOKUP(2,1/('T_SelfStock'!$B$41:$DA$41&lt;&gt;""),COLUMN('T_SelfStock'!$B$41:$DA$41)))-INDEX('Grid_TheoreticalStock'!$A37:$DA37,1,LOOKUP(2,1/('T_SelfStock'!$B$41:$DA$41&lt;&gt;""),COLUMN('T_SelfStock'!$B$41:$DA$41))),0)</f>
        <v/>
      </c>
      <c r="K77" s="18">
        <f>'Grid_TheoreticalStock'!B37</f>
        <v/>
      </c>
      <c r="L77" s="18">
        <f>'Grid_TheoreticalStock'!C37</f>
        <v/>
      </c>
      <c r="M77" s="18">
        <f>'Grid_TheoreticalStock'!D37</f>
        <v/>
      </c>
      <c r="N77" s="18">
        <f>'Grid_TheoreticalStock'!E37</f>
        <v/>
      </c>
      <c r="O77" s="18">
        <f>'Grid_TheoreticalStock'!F37</f>
        <v/>
      </c>
      <c r="P77" s="18">
        <f>'Grid_TheoreticalStock'!G37</f>
        <v/>
      </c>
      <c r="Q77" s="18">
        <f>'Grid_TheoreticalStock'!H37</f>
        <v/>
      </c>
      <c r="R77" s="18">
        <f>'Grid_TheoreticalStock'!I37</f>
        <v/>
      </c>
      <c r="S77" s="18">
        <f>'Grid_TheoreticalStock'!J37</f>
        <v/>
      </c>
      <c r="T77" s="18">
        <f>'Grid_TheoreticalStock'!K37</f>
        <v/>
      </c>
      <c r="U77" s="18">
        <f>'Grid_TheoreticalStock'!L37</f>
        <v/>
      </c>
      <c r="V77" s="18">
        <f>'Grid_TheoreticalStock'!M37</f>
        <v/>
      </c>
      <c r="W77" s="18">
        <f>'Grid_TheoreticalStock'!N37</f>
        <v/>
      </c>
      <c r="X77" s="18">
        <f>'Grid_TheoreticalStock'!O37</f>
        <v/>
      </c>
      <c r="Y77" s="18">
        <f>'Grid_TheoreticalStock'!P37</f>
        <v/>
      </c>
      <c r="Z77" s="18">
        <f>'Grid_TheoreticalStock'!Q37</f>
        <v/>
      </c>
      <c r="AA77" s="18">
        <f>'Grid_TheoreticalStock'!R37</f>
        <v/>
      </c>
      <c r="AB77" s="18">
        <f>'Grid_TheoreticalStock'!S37</f>
        <v/>
      </c>
      <c r="AC77" s="18">
        <f>'Grid_TheoreticalStock'!T37</f>
        <v/>
      </c>
      <c r="AD77" s="18">
        <f>'Grid_TheoreticalStock'!U37</f>
        <v/>
      </c>
      <c r="AE77" s="18">
        <f>'Grid_TheoreticalStock'!V37</f>
        <v/>
      </c>
      <c r="AF77" s="18">
        <f>'Grid_TheoreticalStock'!W37</f>
        <v/>
      </c>
      <c r="AG77" s="18">
        <f>'Grid_TheoreticalStock'!X37</f>
        <v/>
      </c>
      <c r="AH77" s="18">
        <f>'Grid_TheoreticalStock'!Y37</f>
        <v/>
      </c>
      <c r="AI77" s="18">
        <f>'Grid_TheoreticalStock'!Z37</f>
        <v/>
      </c>
      <c r="AJ77" s="18">
        <f>'Grid_TheoreticalStock'!AA37</f>
        <v/>
      </c>
      <c r="AK77" s="18">
        <f>'Grid_TheoreticalStock'!AB37</f>
        <v/>
      </c>
      <c r="AL77" s="18">
        <f>'Grid_TheoreticalStock'!AC37</f>
        <v/>
      </c>
      <c r="AM77" s="18">
        <f>'Grid_TheoreticalStock'!AD37</f>
        <v/>
      </c>
      <c r="AN77" s="18">
        <f>'Grid_TheoreticalStock'!AE37</f>
        <v/>
      </c>
      <c r="AO77" s="18">
        <f>'Grid_TheoreticalStock'!AF37</f>
        <v/>
      </c>
      <c r="AP77" s="18">
        <f>'Grid_TheoreticalStock'!AG37</f>
        <v/>
      </c>
      <c r="AQ77" s="18">
        <f>'Grid_TheoreticalStock'!AH37</f>
        <v/>
      </c>
      <c r="AR77" s="18">
        <f>'Grid_TheoreticalStock'!AI37</f>
        <v/>
      </c>
      <c r="AS77" s="18">
        <f>'Grid_TheoreticalStock'!AJ37</f>
        <v/>
      </c>
      <c r="AT77" s="18">
        <f>'Grid_TheoreticalStock'!AK37</f>
        <v/>
      </c>
      <c r="AU77" s="18">
        <f>'Grid_TheoreticalStock'!AL37</f>
        <v/>
      </c>
      <c r="AV77" s="18">
        <f>'Grid_TheoreticalStock'!AM37</f>
        <v/>
      </c>
      <c r="AW77" s="18">
        <f>'Grid_TheoreticalStock'!AN37</f>
        <v/>
      </c>
      <c r="AX77" s="18">
        <f>'Grid_TheoreticalStock'!AO37</f>
        <v/>
      </c>
      <c r="AY77" s="18">
        <f>'Grid_TheoreticalStock'!AP37</f>
        <v/>
      </c>
      <c r="AZ77" s="18">
        <f>'Grid_TheoreticalStock'!AQ37</f>
        <v/>
      </c>
      <c r="BA77" s="18">
        <f>'Grid_TheoreticalStock'!AR37</f>
        <v/>
      </c>
      <c r="BB77" s="18">
        <f>'Grid_TheoreticalStock'!AS37</f>
        <v/>
      </c>
      <c r="BC77" s="18">
        <f>'Grid_TheoreticalStock'!AT37</f>
        <v/>
      </c>
      <c r="BD77" s="18">
        <f>'Grid_TheoreticalStock'!AU37</f>
        <v/>
      </c>
      <c r="BE77" s="18">
        <f>'Grid_TheoreticalStock'!AV37</f>
        <v/>
      </c>
      <c r="BF77" s="18">
        <f>'Grid_TheoreticalStock'!AW37</f>
        <v/>
      </c>
      <c r="BG77" s="18">
        <f>'Grid_TheoreticalStock'!AX37</f>
        <v/>
      </c>
      <c r="BH77" s="18">
        <f>'Grid_TheoreticalStock'!AY37</f>
        <v/>
      </c>
      <c r="BI77" s="18">
        <f>'Grid_TheoreticalStock'!AZ37</f>
        <v/>
      </c>
      <c r="BJ77" s="18">
        <f>'Grid_TheoreticalStock'!BA37</f>
        <v/>
      </c>
      <c r="BK77" s="18">
        <f>'Grid_TheoreticalStock'!BB37</f>
        <v/>
      </c>
      <c r="BL77" s="18">
        <f>'Grid_TheoreticalStock'!BC37</f>
        <v/>
      </c>
      <c r="BM77" s="18">
        <f>'Grid_TheoreticalStock'!BD37</f>
        <v/>
      </c>
      <c r="BN77" s="18">
        <f>'Grid_TheoreticalStock'!BE37</f>
        <v/>
      </c>
      <c r="BO77" s="18">
        <f>'Grid_TheoreticalStock'!BF37</f>
        <v/>
      </c>
      <c r="BP77" s="18">
        <f>'Grid_TheoreticalStock'!BG37</f>
        <v/>
      </c>
      <c r="BQ77" s="18">
        <f>'Grid_TheoreticalStock'!BH37</f>
        <v/>
      </c>
      <c r="BR77" s="18">
        <f>'Grid_TheoreticalStock'!BI37</f>
        <v/>
      </c>
      <c r="BS77" s="18">
        <f>'Grid_TheoreticalStock'!BJ37</f>
        <v/>
      </c>
      <c r="BT77" s="18">
        <f>'Grid_TheoreticalStock'!BK37</f>
        <v/>
      </c>
      <c r="BU77" s="18">
        <f>'Grid_TheoreticalStock'!BL37</f>
        <v/>
      </c>
      <c r="BV77" s="18">
        <f>'Grid_TheoreticalStock'!BM37</f>
        <v/>
      </c>
      <c r="BW77" s="18">
        <f>'Grid_TheoreticalStock'!BN37</f>
        <v/>
      </c>
      <c r="BX77" s="18">
        <f>'Grid_TheoreticalStock'!BO37</f>
        <v/>
      </c>
      <c r="BY77" s="18">
        <f>'Grid_TheoreticalStock'!BP37</f>
        <v/>
      </c>
      <c r="BZ77" s="18">
        <f>'Grid_TheoreticalStock'!BQ37</f>
        <v/>
      </c>
      <c r="CA77" s="18">
        <f>'Grid_TheoreticalStock'!BR37</f>
        <v/>
      </c>
      <c r="CB77" s="18">
        <f>'Grid_TheoreticalStock'!BS37</f>
        <v/>
      </c>
      <c r="CC77" s="18">
        <f>'Grid_TheoreticalStock'!BT37</f>
        <v/>
      </c>
      <c r="CD77" s="18">
        <f>'Grid_TheoreticalStock'!BU37</f>
        <v/>
      </c>
      <c r="CE77" s="18">
        <f>'Grid_TheoreticalStock'!BV37</f>
        <v/>
      </c>
      <c r="CF77" s="18">
        <f>'Grid_TheoreticalStock'!BW37</f>
        <v/>
      </c>
      <c r="CG77" s="18">
        <f>'Grid_TheoreticalStock'!BX37</f>
        <v/>
      </c>
      <c r="CH77" s="18">
        <f>'Grid_TheoreticalStock'!BY37</f>
        <v/>
      </c>
      <c r="CI77" s="18">
        <f>'Grid_TheoreticalStock'!BZ37</f>
        <v/>
      </c>
      <c r="CJ77" s="18">
        <f>'Grid_TheoreticalStock'!CA37</f>
        <v/>
      </c>
      <c r="CK77" s="18">
        <f>'Grid_TheoreticalStock'!CB37</f>
        <v/>
      </c>
      <c r="CL77" s="18">
        <f>'Grid_TheoreticalStock'!CC37</f>
        <v/>
      </c>
      <c r="CM77" s="18">
        <f>'Grid_TheoreticalStock'!CD37</f>
        <v/>
      </c>
      <c r="CN77" s="18">
        <f>'Grid_TheoreticalStock'!CE37</f>
        <v/>
      </c>
      <c r="CO77" s="18">
        <f>'Grid_TheoreticalStock'!CF37</f>
        <v/>
      </c>
      <c r="CP77" s="18">
        <f>'Grid_TheoreticalStock'!CG37</f>
        <v/>
      </c>
      <c r="CQ77" s="18">
        <f>'Grid_TheoreticalStock'!CH37</f>
        <v/>
      </c>
      <c r="CR77" s="18">
        <f>'Grid_TheoreticalStock'!CI37</f>
        <v/>
      </c>
      <c r="CS77" s="18">
        <f>'Grid_TheoreticalStock'!CJ37</f>
        <v/>
      </c>
      <c r="CT77" s="18">
        <f>'Grid_TheoreticalStock'!CK37</f>
        <v/>
      </c>
      <c r="CU77" s="18">
        <f>'Grid_TheoreticalStock'!CL37</f>
        <v/>
      </c>
      <c r="CV77" s="18">
        <f>'Grid_TheoreticalStock'!CM37</f>
        <v/>
      </c>
      <c r="CW77" s="18">
        <f>'Grid_TheoreticalStock'!CN37</f>
        <v/>
      </c>
      <c r="CX77" s="18">
        <f>'Grid_TheoreticalStock'!CO37</f>
        <v/>
      </c>
      <c r="CY77" s="18">
        <f>'Grid_TheoreticalStock'!CP37</f>
        <v/>
      </c>
      <c r="CZ77" s="18">
        <f>'Grid_TheoreticalStock'!CQ37</f>
        <v/>
      </c>
      <c r="DA77" s="18">
        <f>'Grid_TheoreticalStock'!CR37</f>
        <v/>
      </c>
      <c r="DB77" s="18">
        <f>'Grid_TheoreticalStock'!CS37</f>
        <v/>
      </c>
      <c r="DC77" s="18">
        <f>'Grid_TheoreticalStock'!CT37</f>
        <v/>
      </c>
      <c r="DD77" s="18">
        <f>'Grid_TheoreticalStock'!CU37</f>
        <v/>
      </c>
      <c r="DE77" s="18">
        <f>'Grid_TheoreticalStock'!CV37</f>
        <v/>
      </c>
      <c r="DF77" s="18">
        <f>'Grid_TheoreticalStock'!CW37</f>
        <v/>
      </c>
      <c r="DG77" s="18">
        <f>'Grid_TheoreticalStock'!CX37</f>
        <v/>
      </c>
      <c r="DH77" s="18">
        <f>'Grid_TheoreticalStock'!CY37</f>
        <v/>
      </c>
      <c r="DI77" s="18">
        <f>'Grid_TheoreticalStock'!CZ37</f>
        <v/>
      </c>
      <c r="DJ77" s="18">
        <f>'Grid_TheoreticalStock'!DA37</f>
        <v/>
      </c>
    </row>
    <row r="78">
      <c r="A78" s="19" t="inlineStr">
        <is>
          <t>CHEM-1080</t>
        </is>
      </c>
      <c r="B78" s="19">
        <f>IFERROR(INDEX(M_RawMaterials[Description],MATCH($A78,M_RawMaterials[Part Name],0)),"")</f>
        <v/>
      </c>
      <c r="C78" s="19">
        <f>IFERROR(INDEX(M_RawMaterials[Category],MATCH($A78,M_RawMaterials[Part Name],0)),"")</f>
        <v/>
      </c>
      <c r="D78" s="19">
        <f>IFERROR(INDEX(M_RawMaterials[基準在庫下限_要入力],MATCH($A78,M_RawMaterials[Part Name],0)),0)</f>
        <v/>
      </c>
      <c r="E78" s="19">
        <f>IFERROR(INDEX(M_RawMaterials[基準在庫上限_要入力],MATCH($A78,M_RawMaterials[Part Name],0)),0)</f>
        <v/>
      </c>
      <c r="F78" s="19">
        <f>IFERROR(LOOKUP(2,1/('T_SelfStock'!$B$41:$DA$41&lt;&gt;""),'T_SelfStock'!$B$41:$DA$41),"")</f>
        <v/>
      </c>
      <c r="G78" s="19">
        <f>IFERROR(LOOKUP(2,1/('T_TTAFStock'!$B$41:$DA$41&lt;&gt;""),'T_TTAFStock'!$B$41:$DA$41),"")</f>
        <v/>
      </c>
      <c r="H78" s="19">
        <f>IFERROR(LOOKUP(2,1/('T_SelfStock'!$B$41:$DA$41&lt;&gt;""),'T_SelfStock'!$B$5:$DA$5),"")</f>
        <v/>
      </c>
      <c r="I78" s="20" t="inlineStr">
        <is>
          <t>実在庫</t>
        </is>
      </c>
      <c r="J78" s="19">
        <f>IFERROR(INDEX('Grid_Stock'!$A37:$DA37,1,LOOKUP(2,1/('T_SelfStock'!$B$41:$DA$41&lt;&gt;""),COLUMN('T_SelfStock'!$B$41:$DA$41)))-INDEX('Grid_TheoreticalStock'!$A37:$DA37,1,LOOKUP(2,1/('T_SelfStock'!$B$41:$DA$41&lt;&gt;""),COLUMN('T_SelfStock'!$B$41:$DA$41))),0)</f>
        <v/>
      </c>
      <c r="K78" s="19">
        <f>'Grid_Stock'!B37</f>
        <v/>
      </c>
      <c r="L78" s="19">
        <f>'Grid_Stock'!C37</f>
        <v/>
      </c>
      <c r="M78" s="19">
        <f>'Grid_Stock'!D37</f>
        <v/>
      </c>
      <c r="N78" s="19">
        <f>'Grid_Stock'!E37</f>
        <v/>
      </c>
      <c r="O78" s="19">
        <f>'Grid_Stock'!F37</f>
        <v/>
      </c>
      <c r="P78" s="19">
        <f>'Grid_Stock'!G37</f>
        <v/>
      </c>
      <c r="Q78" s="19">
        <f>'Grid_Stock'!H37</f>
        <v/>
      </c>
      <c r="R78" s="19">
        <f>'Grid_Stock'!I37</f>
        <v/>
      </c>
      <c r="S78" s="19">
        <f>'Grid_Stock'!J37</f>
        <v/>
      </c>
      <c r="T78" s="19">
        <f>'Grid_Stock'!K37</f>
        <v/>
      </c>
      <c r="U78" s="19">
        <f>'Grid_Stock'!L37</f>
        <v/>
      </c>
      <c r="V78" s="19">
        <f>'Grid_Stock'!M37</f>
        <v/>
      </c>
      <c r="W78" s="19">
        <f>'Grid_Stock'!N37</f>
        <v/>
      </c>
      <c r="X78" s="19">
        <f>'Grid_Stock'!O37</f>
        <v/>
      </c>
      <c r="Y78" s="19">
        <f>'Grid_Stock'!P37</f>
        <v/>
      </c>
      <c r="Z78" s="19">
        <f>'Grid_Stock'!Q37</f>
        <v/>
      </c>
      <c r="AA78" s="19">
        <f>'Grid_Stock'!R37</f>
        <v/>
      </c>
      <c r="AB78" s="19">
        <f>'Grid_Stock'!S37</f>
        <v/>
      </c>
      <c r="AC78" s="19">
        <f>'Grid_Stock'!T37</f>
        <v/>
      </c>
      <c r="AD78" s="19">
        <f>'Grid_Stock'!U37</f>
        <v/>
      </c>
      <c r="AE78" s="19">
        <f>'Grid_Stock'!V37</f>
        <v/>
      </c>
      <c r="AF78" s="19">
        <f>'Grid_Stock'!W37</f>
        <v/>
      </c>
      <c r="AG78" s="19">
        <f>'Grid_Stock'!X37</f>
        <v/>
      </c>
      <c r="AH78" s="19">
        <f>'Grid_Stock'!Y37</f>
        <v/>
      </c>
      <c r="AI78" s="19">
        <f>'Grid_Stock'!Z37</f>
        <v/>
      </c>
      <c r="AJ78" s="19">
        <f>'Grid_Stock'!AA37</f>
        <v/>
      </c>
      <c r="AK78" s="19">
        <f>'Grid_Stock'!AB37</f>
        <v/>
      </c>
      <c r="AL78" s="19">
        <f>'Grid_Stock'!AC37</f>
        <v/>
      </c>
      <c r="AM78" s="19">
        <f>'Grid_Stock'!AD37</f>
        <v/>
      </c>
      <c r="AN78" s="19">
        <f>'Grid_Stock'!AE37</f>
        <v/>
      </c>
      <c r="AO78" s="19">
        <f>'Grid_Stock'!AF37</f>
        <v/>
      </c>
      <c r="AP78" s="19">
        <f>'Grid_Stock'!AG37</f>
        <v/>
      </c>
      <c r="AQ78" s="19">
        <f>'Grid_Stock'!AH37</f>
        <v/>
      </c>
      <c r="AR78" s="19">
        <f>'Grid_Stock'!AI37</f>
        <v/>
      </c>
      <c r="AS78" s="19">
        <f>'Grid_Stock'!AJ37</f>
        <v/>
      </c>
      <c r="AT78" s="19">
        <f>'Grid_Stock'!AK37</f>
        <v/>
      </c>
      <c r="AU78" s="19">
        <f>'Grid_Stock'!AL37</f>
        <v/>
      </c>
      <c r="AV78" s="19">
        <f>'Grid_Stock'!AM37</f>
        <v/>
      </c>
      <c r="AW78" s="19">
        <f>'Grid_Stock'!AN37</f>
        <v/>
      </c>
      <c r="AX78" s="19">
        <f>'Grid_Stock'!AO37</f>
        <v/>
      </c>
      <c r="AY78" s="19">
        <f>'Grid_Stock'!AP37</f>
        <v/>
      </c>
      <c r="AZ78" s="19">
        <f>'Grid_Stock'!AQ37</f>
        <v/>
      </c>
      <c r="BA78" s="19">
        <f>'Grid_Stock'!AR37</f>
        <v/>
      </c>
      <c r="BB78" s="19">
        <f>'Grid_Stock'!AS37</f>
        <v/>
      </c>
      <c r="BC78" s="19">
        <f>'Grid_Stock'!AT37</f>
        <v/>
      </c>
      <c r="BD78" s="19">
        <f>'Grid_Stock'!AU37</f>
        <v/>
      </c>
      <c r="BE78" s="19">
        <f>'Grid_Stock'!AV37</f>
        <v/>
      </c>
      <c r="BF78" s="19">
        <f>'Grid_Stock'!AW37</f>
        <v/>
      </c>
      <c r="BG78" s="19">
        <f>'Grid_Stock'!AX37</f>
        <v/>
      </c>
      <c r="BH78" s="19">
        <f>'Grid_Stock'!AY37</f>
        <v/>
      </c>
      <c r="BI78" s="19">
        <f>'Grid_Stock'!AZ37</f>
        <v/>
      </c>
      <c r="BJ78" s="19">
        <f>'Grid_Stock'!BA37</f>
        <v/>
      </c>
      <c r="BK78" s="19">
        <f>'Grid_Stock'!BB37</f>
        <v/>
      </c>
      <c r="BL78" s="19">
        <f>'Grid_Stock'!BC37</f>
        <v/>
      </c>
      <c r="BM78" s="19">
        <f>'Grid_Stock'!BD37</f>
        <v/>
      </c>
      <c r="BN78" s="19">
        <f>'Grid_Stock'!BE37</f>
        <v/>
      </c>
      <c r="BO78" s="19">
        <f>'Grid_Stock'!BF37</f>
        <v/>
      </c>
      <c r="BP78" s="19">
        <f>'Grid_Stock'!BG37</f>
        <v/>
      </c>
      <c r="BQ78" s="19">
        <f>'Grid_Stock'!BH37</f>
        <v/>
      </c>
      <c r="BR78" s="19">
        <f>'Grid_Stock'!BI37</f>
        <v/>
      </c>
      <c r="BS78" s="19">
        <f>'Grid_Stock'!BJ37</f>
        <v/>
      </c>
      <c r="BT78" s="19">
        <f>'Grid_Stock'!BK37</f>
        <v/>
      </c>
      <c r="BU78" s="19">
        <f>'Grid_Stock'!BL37</f>
        <v/>
      </c>
      <c r="BV78" s="19">
        <f>'Grid_Stock'!BM37</f>
        <v/>
      </c>
      <c r="BW78" s="19">
        <f>'Grid_Stock'!BN37</f>
        <v/>
      </c>
      <c r="BX78" s="19">
        <f>'Grid_Stock'!BO37</f>
        <v/>
      </c>
      <c r="BY78" s="19">
        <f>'Grid_Stock'!BP37</f>
        <v/>
      </c>
      <c r="BZ78" s="19">
        <f>'Grid_Stock'!BQ37</f>
        <v/>
      </c>
      <c r="CA78" s="19">
        <f>'Grid_Stock'!BR37</f>
        <v/>
      </c>
      <c r="CB78" s="19">
        <f>'Grid_Stock'!BS37</f>
        <v/>
      </c>
      <c r="CC78" s="19">
        <f>'Grid_Stock'!BT37</f>
        <v/>
      </c>
      <c r="CD78" s="19">
        <f>'Grid_Stock'!BU37</f>
        <v/>
      </c>
      <c r="CE78" s="19">
        <f>'Grid_Stock'!BV37</f>
        <v/>
      </c>
      <c r="CF78" s="19">
        <f>'Grid_Stock'!BW37</f>
        <v/>
      </c>
      <c r="CG78" s="19">
        <f>'Grid_Stock'!BX37</f>
        <v/>
      </c>
      <c r="CH78" s="19">
        <f>'Grid_Stock'!BY37</f>
        <v/>
      </c>
      <c r="CI78" s="19">
        <f>'Grid_Stock'!BZ37</f>
        <v/>
      </c>
      <c r="CJ78" s="19">
        <f>'Grid_Stock'!CA37</f>
        <v/>
      </c>
      <c r="CK78" s="19">
        <f>'Grid_Stock'!CB37</f>
        <v/>
      </c>
      <c r="CL78" s="19">
        <f>'Grid_Stock'!CC37</f>
        <v/>
      </c>
      <c r="CM78" s="19">
        <f>'Grid_Stock'!CD37</f>
        <v/>
      </c>
      <c r="CN78" s="19">
        <f>'Grid_Stock'!CE37</f>
        <v/>
      </c>
      <c r="CO78" s="19">
        <f>'Grid_Stock'!CF37</f>
        <v/>
      </c>
      <c r="CP78" s="19">
        <f>'Grid_Stock'!CG37</f>
        <v/>
      </c>
      <c r="CQ78" s="19">
        <f>'Grid_Stock'!CH37</f>
        <v/>
      </c>
      <c r="CR78" s="19">
        <f>'Grid_Stock'!CI37</f>
        <v/>
      </c>
      <c r="CS78" s="19">
        <f>'Grid_Stock'!CJ37</f>
        <v/>
      </c>
      <c r="CT78" s="19">
        <f>'Grid_Stock'!CK37</f>
        <v/>
      </c>
      <c r="CU78" s="19">
        <f>'Grid_Stock'!CL37</f>
        <v/>
      </c>
      <c r="CV78" s="19">
        <f>'Grid_Stock'!CM37</f>
        <v/>
      </c>
      <c r="CW78" s="19">
        <f>'Grid_Stock'!CN37</f>
        <v/>
      </c>
      <c r="CX78" s="19">
        <f>'Grid_Stock'!CO37</f>
        <v/>
      </c>
      <c r="CY78" s="19">
        <f>'Grid_Stock'!CP37</f>
        <v/>
      </c>
      <c r="CZ78" s="19">
        <f>'Grid_Stock'!CQ37</f>
        <v/>
      </c>
      <c r="DA78" s="19">
        <f>'Grid_Stock'!CR37</f>
        <v/>
      </c>
      <c r="DB78" s="19">
        <f>'Grid_Stock'!CS37</f>
        <v/>
      </c>
      <c r="DC78" s="19">
        <f>'Grid_Stock'!CT37</f>
        <v/>
      </c>
      <c r="DD78" s="19">
        <f>'Grid_Stock'!CU37</f>
        <v/>
      </c>
      <c r="DE78" s="19">
        <f>'Grid_Stock'!CV37</f>
        <v/>
      </c>
      <c r="DF78" s="19">
        <f>'Grid_Stock'!CW37</f>
        <v/>
      </c>
      <c r="DG78" s="19">
        <f>'Grid_Stock'!CX37</f>
        <v/>
      </c>
      <c r="DH78" s="19">
        <f>'Grid_Stock'!CY37</f>
        <v/>
      </c>
      <c r="DI78" s="19">
        <f>'Grid_Stock'!CZ37</f>
        <v/>
      </c>
      <c r="DJ78" s="19">
        <f>'Grid_Stock'!DA37</f>
        <v/>
      </c>
    </row>
    <row r="79">
      <c r="A79" s="17" t="inlineStr">
        <is>
          <t>CHEM-1530</t>
        </is>
      </c>
      <c r="B79" s="17">
        <f>IFERROR(INDEX(M_RawMaterials[Description],MATCH($A79,M_RawMaterials[Part Name],0)),"")</f>
        <v/>
      </c>
      <c r="C79" s="17">
        <f>IFERROR(INDEX(M_RawMaterials[Category],MATCH($A79,M_RawMaterials[Part Name],0)),"")</f>
        <v/>
      </c>
      <c r="D79" s="17">
        <f>IFERROR(INDEX(M_RawMaterials[基準在庫下限_要入力],MATCH($A79,M_RawMaterials[Part Name],0)),0)</f>
        <v/>
      </c>
      <c r="E79" s="17">
        <f>IFERROR(INDEX(M_RawMaterials[基準在庫上限_要入力],MATCH($A79,M_RawMaterials[Part Name],0)),0)</f>
        <v/>
      </c>
      <c r="F79" s="17">
        <f>IFERROR(LOOKUP(2,1/('T_SelfStock'!$B$42:$DA$42&lt;&gt;""),'T_SelfStock'!$B$42:$DA$42),"")</f>
        <v/>
      </c>
      <c r="G79" s="17">
        <f>IFERROR(LOOKUP(2,1/('T_TTAFStock'!$B$42:$DA$42&lt;&gt;""),'T_TTAFStock'!$B$42:$DA$42),"")</f>
        <v/>
      </c>
      <c r="H79" s="17">
        <f>IFERROR(LOOKUP(2,1/('T_SelfStock'!$B$42:$DA$42&lt;&gt;""),'T_SelfStock'!$B$5:$DA$5),"")</f>
        <v/>
      </c>
      <c r="I79" s="18" t="inlineStr">
        <is>
          <t>理論在庫</t>
        </is>
      </c>
      <c r="J79" s="17">
        <f>IFERROR(INDEX('Grid_Stock'!$A38:$DA38,1,LOOKUP(2,1/('T_SelfStock'!$B$42:$DA$42&lt;&gt;""),COLUMN('T_SelfStock'!$B$42:$DA$42)))-INDEX('Grid_TheoreticalStock'!$A38:$DA38,1,LOOKUP(2,1/('T_SelfStock'!$B$42:$DA$42&lt;&gt;""),COLUMN('T_SelfStock'!$B$42:$DA$42))),0)</f>
        <v/>
      </c>
      <c r="K79" s="18">
        <f>'Grid_TheoreticalStock'!B38</f>
        <v/>
      </c>
      <c r="L79" s="18">
        <f>'Grid_TheoreticalStock'!C38</f>
        <v/>
      </c>
      <c r="M79" s="18">
        <f>'Grid_TheoreticalStock'!D38</f>
        <v/>
      </c>
      <c r="N79" s="18">
        <f>'Grid_TheoreticalStock'!E38</f>
        <v/>
      </c>
      <c r="O79" s="18">
        <f>'Grid_TheoreticalStock'!F38</f>
        <v/>
      </c>
      <c r="P79" s="18">
        <f>'Grid_TheoreticalStock'!G38</f>
        <v/>
      </c>
      <c r="Q79" s="18">
        <f>'Grid_TheoreticalStock'!H38</f>
        <v/>
      </c>
      <c r="R79" s="18">
        <f>'Grid_TheoreticalStock'!I38</f>
        <v/>
      </c>
      <c r="S79" s="18">
        <f>'Grid_TheoreticalStock'!J38</f>
        <v/>
      </c>
      <c r="T79" s="18">
        <f>'Grid_TheoreticalStock'!K38</f>
        <v/>
      </c>
      <c r="U79" s="18">
        <f>'Grid_TheoreticalStock'!L38</f>
        <v/>
      </c>
      <c r="V79" s="18">
        <f>'Grid_TheoreticalStock'!M38</f>
        <v/>
      </c>
      <c r="W79" s="18">
        <f>'Grid_TheoreticalStock'!N38</f>
        <v/>
      </c>
      <c r="X79" s="18">
        <f>'Grid_TheoreticalStock'!O38</f>
        <v/>
      </c>
      <c r="Y79" s="18">
        <f>'Grid_TheoreticalStock'!P38</f>
        <v/>
      </c>
      <c r="Z79" s="18">
        <f>'Grid_TheoreticalStock'!Q38</f>
        <v/>
      </c>
      <c r="AA79" s="18">
        <f>'Grid_TheoreticalStock'!R38</f>
        <v/>
      </c>
      <c r="AB79" s="18">
        <f>'Grid_TheoreticalStock'!S38</f>
        <v/>
      </c>
      <c r="AC79" s="18">
        <f>'Grid_TheoreticalStock'!T38</f>
        <v/>
      </c>
      <c r="AD79" s="18">
        <f>'Grid_TheoreticalStock'!U38</f>
        <v/>
      </c>
      <c r="AE79" s="18">
        <f>'Grid_TheoreticalStock'!V38</f>
        <v/>
      </c>
      <c r="AF79" s="18">
        <f>'Grid_TheoreticalStock'!W38</f>
        <v/>
      </c>
      <c r="AG79" s="18">
        <f>'Grid_TheoreticalStock'!X38</f>
        <v/>
      </c>
      <c r="AH79" s="18">
        <f>'Grid_TheoreticalStock'!Y38</f>
        <v/>
      </c>
      <c r="AI79" s="18">
        <f>'Grid_TheoreticalStock'!Z38</f>
        <v/>
      </c>
      <c r="AJ79" s="18">
        <f>'Grid_TheoreticalStock'!AA38</f>
        <v/>
      </c>
      <c r="AK79" s="18">
        <f>'Grid_TheoreticalStock'!AB38</f>
        <v/>
      </c>
      <c r="AL79" s="18">
        <f>'Grid_TheoreticalStock'!AC38</f>
        <v/>
      </c>
      <c r="AM79" s="18">
        <f>'Grid_TheoreticalStock'!AD38</f>
        <v/>
      </c>
      <c r="AN79" s="18">
        <f>'Grid_TheoreticalStock'!AE38</f>
        <v/>
      </c>
      <c r="AO79" s="18">
        <f>'Grid_TheoreticalStock'!AF38</f>
        <v/>
      </c>
      <c r="AP79" s="18">
        <f>'Grid_TheoreticalStock'!AG38</f>
        <v/>
      </c>
      <c r="AQ79" s="18">
        <f>'Grid_TheoreticalStock'!AH38</f>
        <v/>
      </c>
      <c r="AR79" s="18">
        <f>'Grid_TheoreticalStock'!AI38</f>
        <v/>
      </c>
      <c r="AS79" s="18">
        <f>'Grid_TheoreticalStock'!AJ38</f>
        <v/>
      </c>
      <c r="AT79" s="18">
        <f>'Grid_TheoreticalStock'!AK38</f>
        <v/>
      </c>
      <c r="AU79" s="18">
        <f>'Grid_TheoreticalStock'!AL38</f>
        <v/>
      </c>
      <c r="AV79" s="18">
        <f>'Grid_TheoreticalStock'!AM38</f>
        <v/>
      </c>
      <c r="AW79" s="18">
        <f>'Grid_TheoreticalStock'!AN38</f>
        <v/>
      </c>
      <c r="AX79" s="18">
        <f>'Grid_TheoreticalStock'!AO38</f>
        <v/>
      </c>
      <c r="AY79" s="18">
        <f>'Grid_TheoreticalStock'!AP38</f>
        <v/>
      </c>
      <c r="AZ79" s="18">
        <f>'Grid_TheoreticalStock'!AQ38</f>
        <v/>
      </c>
      <c r="BA79" s="18">
        <f>'Grid_TheoreticalStock'!AR38</f>
        <v/>
      </c>
      <c r="BB79" s="18">
        <f>'Grid_TheoreticalStock'!AS38</f>
        <v/>
      </c>
      <c r="BC79" s="18">
        <f>'Grid_TheoreticalStock'!AT38</f>
        <v/>
      </c>
      <c r="BD79" s="18">
        <f>'Grid_TheoreticalStock'!AU38</f>
        <v/>
      </c>
      <c r="BE79" s="18">
        <f>'Grid_TheoreticalStock'!AV38</f>
        <v/>
      </c>
      <c r="BF79" s="18">
        <f>'Grid_TheoreticalStock'!AW38</f>
        <v/>
      </c>
      <c r="BG79" s="18">
        <f>'Grid_TheoreticalStock'!AX38</f>
        <v/>
      </c>
      <c r="BH79" s="18">
        <f>'Grid_TheoreticalStock'!AY38</f>
        <v/>
      </c>
      <c r="BI79" s="18">
        <f>'Grid_TheoreticalStock'!AZ38</f>
        <v/>
      </c>
      <c r="BJ79" s="18">
        <f>'Grid_TheoreticalStock'!BA38</f>
        <v/>
      </c>
      <c r="BK79" s="18">
        <f>'Grid_TheoreticalStock'!BB38</f>
        <v/>
      </c>
      <c r="BL79" s="18">
        <f>'Grid_TheoreticalStock'!BC38</f>
        <v/>
      </c>
      <c r="BM79" s="18">
        <f>'Grid_TheoreticalStock'!BD38</f>
        <v/>
      </c>
      <c r="BN79" s="18">
        <f>'Grid_TheoreticalStock'!BE38</f>
        <v/>
      </c>
      <c r="BO79" s="18">
        <f>'Grid_TheoreticalStock'!BF38</f>
        <v/>
      </c>
      <c r="BP79" s="18">
        <f>'Grid_TheoreticalStock'!BG38</f>
        <v/>
      </c>
      <c r="BQ79" s="18">
        <f>'Grid_TheoreticalStock'!BH38</f>
        <v/>
      </c>
      <c r="BR79" s="18">
        <f>'Grid_TheoreticalStock'!BI38</f>
        <v/>
      </c>
      <c r="BS79" s="18">
        <f>'Grid_TheoreticalStock'!BJ38</f>
        <v/>
      </c>
      <c r="BT79" s="18">
        <f>'Grid_TheoreticalStock'!BK38</f>
        <v/>
      </c>
      <c r="BU79" s="18">
        <f>'Grid_TheoreticalStock'!BL38</f>
        <v/>
      </c>
      <c r="BV79" s="18">
        <f>'Grid_TheoreticalStock'!BM38</f>
        <v/>
      </c>
      <c r="BW79" s="18">
        <f>'Grid_TheoreticalStock'!BN38</f>
        <v/>
      </c>
      <c r="BX79" s="18">
        <f>'Grid_TheoreticalStock'!BO38</f>
        <v/>
      </c>
      <c r="BY79" s="18">
        <f>'Grid_TheoreticalStock'!BP38</f>
        <v/>
      </c>
      <c r="BZ79" s="18">
        <f>'Grid_TheoreticalStock'!BQ38</f>
        <v/>
      </c>
      <c r="CA79" s="18">
        <f>'Grid_TheoreticalStock'!BR38</f>
        <v/>
      </c>
      <c r="CB79" s="18">
        <f>'Grid_TheoreticalStock'!BS38</f>
        <v/>
      </c>
      <c r="CC79" s="18">
        <f>'Grid_TheoreticalStock'!BT38</f>
        <v/>
      </c>
      <c r="CD79" s="18">
        <f>'Grid_TheoreticalStock'!BU38</f>
        <v/>
      </c>
      <c r="CE79" s="18">
        <f>'Grid_TheoreticalStock'!BV38</f>
        <v/>
      </c>
      <c r="CF79" s="18">
        <f>'Grid_TheoreticalStock'!BW38</f>
        <v/>
      </c>
      <c r="CG79" s="18">
        <f>'Grid_TheoreticalStock'!BX38</f>
        <v/>
      </c>
      <c r="CH79" s="18">
        <f>'Grid_TheoreticalStock'!BY38</f>
        <v/>
      </c>
      <c r="CI79" s="18">
        <f>'Grid_TheoreticalStock'!BZ38</f>
        <v/>
      </c>
      <c r="CJ79" s="18">
        <f>'Grid_TheoreticalStock'!CA38</f>
        <v/>
      </c>
      <c r="CK79" s="18">
        <f>'Grid_TheoreticalStock'!CB38</f>
        <v/>
      </c>
      <c r="CL79" s="18">
        <f>'Grid_TheoreticalStock'!CC38</f>
        <v/>
      </c>
      <c r="CM79" s="18">
        <f>'Grid_TheoreticalStock'!CD38</f>
        <v/>
      </c>
      <c r="CN79" s="18">
        <f>'Grid_TheoreticalStock'!CE38</f>
        <v/>
      </c>
      <c r="CO79" s="18">
        <f>'Grid_TheoreticalStock'!CF38</f>
        <v/>
      </c>
      <c r="CP79" s="18">
        <f>'Grid_TheoreticalStock'!CG38</f>
        <v/>
      </c>
      <c r="CQ79" s="18">
        <f>'Grid_TheoreticalStock'!CH38</f>
        <v/>
      </c>
      <c r="CR79" s="18">
        <f>'Grid_TheoreticalStock'!CI38</f>
        <v/>
      </c>
      <c r="CS79" s="18">
        <f>'Grid_TheoreticalStock'!CJ38</f>
        <v/>
      </c>
      <c r="CT79" s="18">
        <f>'Grid_TheoreticalStock'!CK38</f>
        <v/>
      </c>
      <c r="CU79" s="18">
        <f>'Grid_TheoreticalStock'!CL38</f>
        <v/>
      </c>
      <c r="CV79" s="18">
        <f>'Grid_TheoreticalStock'!CM38</f>
        <v/>
      </c>
      <c r="CW79" s="18">
        <f>'Grid_TheoreticalStock'!CN38</f>
        <v/>
      </c>
      <c r="CX79" s="18">
        <f>'Grid_TheoreticalStock'!CO38</f>
        <v/>
      </c>
      <c r="CY79" s="18">
        <f>'Grid_TheoreticalStock'!CP38</f>
        <v/>
      </c>
      <c r="CZ79" s="18">
        <f>'Grid_TheoreticalStock'!CQ38</f>
        <v/>
      </c>
      <c r="DA79" s="18">
        <f>'Grid_TheoreticalStock'!CR38</f>
        <v/>
      </c>
      <c r="DB79" s="18">
        <f>'Grid_TheoreticalStock'!CS38</f>
        <v/>
      </c>
      <c r="DC79" s="18">
        <f>'Grid_TheoreticalStock'!CT38</f>
        <v/>
      </c>
      <c r="DD79" s="18">
        <f>'Grid_TheoreticalStock'!CU38</f>
        <v/>
      </c>
      <c r="DE79" s="18">
        <f>'Grid_TheoreticalStock'!CV38</f>
        <v/>
      </c>
      <c r="DF79" s="18">
        <f>'Grid_TheoreticalStock'!CW38</f>
        <v/>
      </c>
      <c r="DG79" s="18">
        <f>'Grid_TheoreticalStock'!CX38</f>
        <v/>
      </c>
      <c r="DH79" s="18">
        <f>'Grid_TheoreticalStock'!CY38</f>
        <v/>
      </c>
      <c r="DI79" s="18">
        <f>'Grid_TheoreticalStock'!CZ38</f>
        <v/>
      </c>
      <c r="DJ79" s="18">
        <f>'Grid_TheoreticalStock'!DA38</f>
        <v/>
      </c>
    </row>
    <row r="80">
      <c r="A80" s="19" t="inlineStr">
        <is>
          <t>CHEM-1530</t>
        </is>
      </c>
      <c r="B80" s="19">
        <f>IFERROR(INDEX(M_RawMaterials[Description],MATCH($A80,M_RawMaterials[Part Name],0)),"")</f>
        <v/>
      </c>
      <c r="C80" s="19">
        <f>IFERROR(INDEX(M_RawMaterials[Category],MATCH($A80,M_RawMaterials[Part Name],0)),"")</f>
        <v/>
      </c>
      <c r="D80" s="19">
        <f>IFERROR(INDEX(M_RawMaterials[基準在庫下限_要入力],MATCH($A80,M_RawMaterials[Part Name],0)),0)</f>
        <v/>
      </c>
      <c r="E80" s="19">
        <f>IFERROR(INDEX(M_RawMaterials[基準在庫上限_要入力],MATCH($A80,M_RawMaterials[Part Name],0)),0)</f>
        <v/>
      </c>
      <c r="F80" s="19">
        <f>IFERROR(LOOKUP(2,1/('T_SelfStock'!$B$42:$DA$42&lt;&gt;""),'T_SelfStock'!$B$42:$DA$42),"")</f>
        <v/>
      </c>
      <c r="G80" s="19">
        <f>IFERROR(LOOKUP(2,1/('T_TTAFStock'!$B$42:$DA$42&lt;&gt;""),'T_TTAFStock'!$B$42:$DA$42),"")</f>
        <v/>
      </c>
      <c r="H80" s="19">
        <f>IFERROR(LOOKUP(2,1/('T_SelfStock'!$B$42:$DA$42&lt;&gt;""),'T_SelfStock'!$B$5:$DA$5),"")</f>
        <v/>
      </c>
      <c r="I80" s="20" t="inlineStr">
        <is>
          <t>実在庫</t>
        </is>
      </c>
      <c r="J80" s="19">
        <f>IFERROR(INDEX('Grid_Stock'!$A38:$DA38,1,LOOKUP(2,1/('T_SelfStock'!$B$42:$DA$42&lt;&gt;""),COLUMN('T_SelfStock'!$B$42:$DA$42)))-INDEX('Grid_TheoreticalStock'!$A38:$DA38,1,LOOKUP(2,1/('T_SelfStock'!$B$42:$DA$42&lt;&gt;""),COLUMN('T_SelfStock'!$B$42:$DA$42))),0)</f>
        <v/>
      </c>
      <c r="K80" s="19">
        <f>'Grid_Stock'!B38</f>
        <v/>
      </c>
      <c r="L80" s="19">
        <f>'Grid_Stock'!C38</f>
        <v/>
      </c>
      <c r="M80" s="19">
        <f>'Grid_Stock'!D38</f>
        <v/>
      </c>
      <c r="N80" s="19">
        <f>'Grid_Stock'!E38</f>
        <v/>
      </c>
      <c r="O80" s="19">
        <f>'Grid_Stock'!F38</f>
        <v/>
      </c>
      <c r="P80" s="19">
        <f>'Grid_Stock'!G38</f>
        <v/>
      </c>
      <c r="Q80" s="19">
        <f>'Grid_Stock'!H38</f>
        <v/>
      </c>
      <c r="R80" s="19">
        <f>'Grid_Stock'!I38</f>
        <v/>
      </c>
      <c r="S80" s="19">
        <f>'Grid_Stock'!J38</f>
        <v/>
      </c>
      <c r="T80" s="19">
        <f>'Grid_Stock'!K38</f>
        <v/>
      </c>
      <c r="U80" s="19">
        <f>'Grid_Stock'!L38</f>
        <v/>
      </c>
      <c r="V80" s="19">
        <f>'Grid_Stock'!M38</f>
        <v/>
      </c>
      <c r="W80" s="19">
        <f>'Grid_Stock'!N38</f>
        <v/>
      </c>
      <c r="X80" s="19">
        <f>'Grid_Stock'!O38</f>
        <v/>
      </c>
      <c r="Y80" s="19">
        <f>'Grid_Stock'!P38</f>
        <v/>
      </c>
      <c r="Z80" s="19">
        <f>'Grid_Stock'!Q38</f>
        <v/>
      </c>
      <c r="AA80" s="19">
        <f>'Grid_Stock'!R38</f>
        <v/>
      </c>
      <c r="AB80" s="19">
        <f>'Grid_Stock'!S38</f>
        <v/>
      </c>
      <c r="AC80" s="19">
        <f>'Grid_Stock'!T38</f>
        <v/>
      </c>
      <c r="AD80" s="19">
        <f>'Grid_Stock'!U38</f>
        <v/>
      </c>
      <c r="AE80" s="19">
        <f>'Grid_Stock'!V38</f>
        <v/>
      </c>
      <c r="AF80" s="19">
        <f>'Grid_Stock'!W38</f>
        <v/>
      </c>
      <c r="AG80" s="19">
        <f>'Grid_Stock'!X38</f>
        <v/>
      </c>
      <c r="AH80" s="19">
        <f>'Grid_Stock'!Y38</f>
        <v/>
      </c>
      <c r="AI80" s="19">
        <f>'Grid_Stock'!Z38</f>
        <v/>
      </c>
      <c r="AJ80" s="19">
        <f>'Grid_Stock'!AA38</f>
        <v/>
      </c>
      <c r="AK80" s="19">
        <f>'Grid_Stock'!AB38</f>
        <v/>
      </c>
      <c r="AL80" s="19">
        <f>'Grid_Stock'!AC38</f>
        <v/>
      </c>
      <c r="AM80" s="19">
        <f>'Grid_Stock'!AD38</f>
        <v/>
      </c>
      <c r="AN80" s="19">
        <f>'Grid_Stock'!AE38</f>
        <v/>
      </c>
      <c r="AO80" s="19">
        <f>'Grid_Stock'!AF38</f>
        <v/>
      </c>
      <c r="AP80" s="19">
        <f>'Grid_Stock'!AG38</f>
        <v/>
      </c>
      <c r="AQ80" s="19">
        <f>'Grid_Stock'!AH38</f>
        <v/>
      </c>
      <c r="AR80" s="19">
        <f>'Grid_Stock'!AI38</f>
        <v/>
      </c>
      <c r="AS80" s="19">
        <f>'Grid_Stock'!AJ38</f>
        <v/>
      </c>
      <c r="AT80" s="19">
        <f>'Grid_Stock'!AK38</f>
        <v/>
      </c>
      <c r="AU80" s="19">
        <f>'Grid_Stock'!AL38</f>
        <v/>
      </c>
      <c r="AV80" s="19">
        <f>'Grid_Stock'!AM38</f>
        <v/>
      </c>
      <c r="AW80" s="19">
        <f>'Grid_Stock'!AN38</f>
        <v/>
      </c>
      <c r="AX80" s="19">
        <f>'Grid_Stock'!AO38</f>
        <v/>
      </c>
      <c r="AY80" s="19">
        <f>'Grid_Stock'!AP38</f>
        <v/>
      </c>
      <c r="AZ80" s="19">
        <f>'Grid_Stock'!AQ38</f>
        <v/>
      </c>
      <c r="BA80" s="19">
        <f>'Grid_Stock'!AR38</f>
        <v/>
      </c>
      <c r="BB80" s="19">
        <f>'Grid_Stock'!AS38</f>
        <v/>
      </c>
      <c r="BC80" s="19">
        <f>'Grid_Stock'!AT38</f>
        <v/>
      </c>
      <c r="BD80" s="19">
        <f>'Grid_Stock'!AU38</f>
        <v/>
      </c>
      <c r="BE80" s="19">
        <f>'Grid_Stock'!AV38</f>
        <v/>
      </c>
      <c r="BF80" s="19">
        <f>'Grid_Stock'!AW38</f>
        <v/>
      </c>
      <c r="BG80" s="19">
        <f>'Grid_Stock'!AX38</f>
        <v/>
      </c>
      <c r="BH80" s="19">
        <f>'Grid_Stock'!AY38</f>
        <v/>
      </c>
      <c r="BI80" s="19">
        <f>'Grid_Stock'!AZ38</f>
        <v/>
      </c>
      <c r="BJ80" s="19">
        <f>'Grid_Stock'!BA38</f>
        <v/>
      </c>
      <c r="BK80" s="19">
        <f>'Grid_Stock'!BB38</f>
        <v/>
      </c>
      <c r="BL80" s="19">
        <f>'Grid_Stock'!BC38</f>
        <v/>
      </c>
      <c r="BM80" s="19">
        <f>'Grid_Stock'!BD38</f>
        <v/>
      </c>
      <c r="BN80" s="19">
        <f>'Grid_Stock'!BE38</f>
        <v/>
      </c>
      <c r="BO80" s="19">
        <f>'Grid_Stock'!BF38</f>
        <v/>
      </c>
      <c r="BP80" s="19">
        <f>'Grid_Stock'!BG38</f>
        <v/>
      </c>
      <c r="BQ80" s="19">
        <f>'Grid_Stock'!BH38</f>
        <v/>
      </c>
      <c r="BR80" s="19">
        <f>'Grid_Stock'!BI38</f>
        <v/>
      </c>
      <c r="BS80" s="19">
        <f>'Grid_Stock'!BJ38</f>
        <v/>
      </c>
      <c r="BT80" s="19">
        <f>'Grid_Stock'!BK38</f>
        <v/>
      </c>
      <c r="BU80" s="19">
        <f>'Grid_Stock'!BL38</f>
        <v/>
      </c>
      <c r="BV80" s="19">
        <f>'Grid_Stock'!BM38</f>
        <v/>
      </c>
      <c r="BW80" s="19">
        <f>'Grid_Stock'!BN38</f>
        <v/>
      </c>
      <c r="BX80" s="19">
        <f>'Grid_Stock'!BO38</f>
        <v/>
      </c>
      <c r="BY80" s="19">
        <f>'Grid_Stock'!BP38</f>
        <v/>
      </c>
      <c r="BZ80" s="19">
        <f>'Grid_Stock'!BQ38</f>
        <v/>
      </c>
      <c r="CA80" s="19">
        <f>'Grid_Stock'!BR38</f>
        <v/>
      </c>
      <c r="CB80" s="19">
        <f>'Grid_Stock'!BS38</f>
        <v/>
      </c>
      <c r="CC80" s="19">
        <f>'Grid_Stock'!BT38</f>
        <v/>
      </c>
      <c r="CD80" s="19">
        <f>'Grid_Stock'!BU38</f>
        <v/>
      </c>
      <c r="CE80" s="19">
        <f>'Grid_Stock'!BV38</f>
        <v/>
      </c>
      <c r="CF80" s="19">
        <f>'Grid_Stock'!BW38</f>
        <v/>
      </c>
      <c r="CG80" s="19">
        <f>'Grid_Stock'!BX38</f>
        <v/>
      </c>
      <c r="CH80" s="19">
        <f>'Grid_Stock'!BY38</f>
        <v/>
      </c>
      <c r="CI80" s="19">
        <f>'Grid_Stock'!BZ38</f>
        <v/>
      </c>
      <c r="CJ80" s="19">
        <f>'Grid_Stock'!CA38</f>
        <v/>
      </c>
      <c r="CK80" s="19">
        <f>'Grid_Stock'!CB38</f>
        <v/>
      </c>
      <c r="CL80" s="19">
        <f>'Grid_Stock'!CC38</f>
        <v/>
      </c>
      <c r="CM80" s="19">
        <f>'Grid_Stock'!CD38</f>
        <v/>
      </c>
      <c r="CN80" s="19">
        <f>'Grid_Stock'!CE38</f>
        <v/>
      </c>
      <c r="CO80" s="19">
        <f>'Grid_Stock'!CF38</f>
        <v/>
      </c>
      <c r="CP80" s="19">
        <f>'Grid_Stock'!CG38</f>
        <v/>
      </c>
      <c r="CQ80" s="19">
        <f>'Grid_Stock'!CH38</f>
        <v/>
      </c>
      <c r="CR80" s="19">
        <f>'Grid_Stock'!CI38</f>
        <v/>
      </c>
      <c r="CS80" s="19">
        <f>'Grid_Stock'!CJ38</f>
        <v/>
      </c>
      <c r="CT80" s="19">
        <f>'Grid_Stock'!CK38</f>
        <v/>
      </c>
      <c r="CU80" s="19">
        <f>'Grid_Stock'!CL38</f>
        <v/>
      </c>
      <c r="CV80" s="19">
        <f>'Grid_Stock'!CM38</f>
        <v/>
      </c>
      <c r="CW80" s="19">
        <f>'Grid_Stock'!CN38</f>
        <v/>
      </c>
      <c r="CX80" s="19">
        <f>'Grid_Stock'!CO38</f>
        <v/>
      </c>
      <c r="CY80" s="19">
        <f>'Grid_Stock'!CP38</f>
        <v/>
      </c>
      <c r="CZ80" s="19">
        <f>'Grid_Stock'!CQ38</f>
        <v/>
      </c>
      <c r="DA80" s="19">
        <f>'Grid_Stock'!CR38</f>
        <v/>
      </c>
      <c r="DB80" s="19">
        <f>'Grid_Stock'!CS38</f>
        <v/>
      </c>
      <c r="DC80" s="19">
        <f>'Grid_Stock'!CT38</f>
        <v/>
      </c>
      <c r="DD80" s="19">
        <f>'Grid_Stock'!CU38</f>
        <v/>
      </c>
      <c r="DE80" s="19">
        <f>'Grid_Stock'!CV38</f>
        <v/>
      </c>
      <c r="DF80" s="19">
        <f>'Grid_Stock'!CW38</f>
        <v/>
      </c>
      <c r="DG80" s="19">
        <f>'Grid_Stock'!CX38</f>
        <v/>
      </c>
      <c r="DH80" s="19">
        <f>'Grid_Stock'!CY38</f>
        <v/>
      </c>
      <c r="DI80" s="19">
        <f>'Grid_Stock'!CZ38</f>
        <v/>
      </c>
      <c r="DJ80" s="19">
        <f>'Grid_Stock'!DA38</f>
        <v/>
      </c>
    </row>
    <row r="81">
      <c r="A81" s="17" t="inlineStr">
        <is>
          <t>CHEM-1480</t>
        </is>
      </c>
      <c r="B81" s="17">
        <f>IFERROR(INDEX(M_RawMaterials[Description],MATCH($A81,M_RawMaterials[Part Name],0)),"")</f>
        <v/>
      </c>
      <c r="C81" s="17">
        <f>IFERROR(INDEX(M_RawMaterials[Category],MATCH($A81,M_RawMaterials[Part Name],0)),"")</f>
        <v/>
      </c>
      <c r="D81" s="17">
        <f>IFERROR(INDEX(M_RawMaterials[基準在庫下限_要入力],MATCH($A81,M_RawMaterials[Part Name],0)),0)</f>
        <v/>
      </c>
      <c r="E81" s="17">
        <f>IFERROR(INDEX(M_RawMaterials[基準在庫上限_要入力],MATCH($A81,M_RawMaterials[Part Name],0)),0)</f>
        <v/>
      </c>
      <c r="F81" s="17">
        <f>IFERROR(LOOKUP(2,1/('T_SelfStock'!$B$43:$DA$43&lt;&gt;""),'T_SelfStock'!$B$43:$DA$43),"")</f>
        <v/>
      </c>
      <c r="G81" s="17">
        <f>IFERROR(LOOKUP(2,1/('T_TTAFStock'!$B$43:$DA$43&lt;&gt;""),'T_TTAFStock'!$B$43:$DA$43),"")</f>
        <v/>
      </c>
      <c r="H81" s="17">
        <f>IFERROR(LOOKUP(2,1/('T_SelfStock'!$B$43:$DA$43&lt;&gt;""),'T_SelfStock'!$B$5:$DA$5),"")</f>
        <v/>
      </c>
      <c r="I81" s="18" t="inlineStr">
        <is>
          <t>理論在庫</t>
        </is>
      </c>
      <c r="J81" s="17">
        <f>IFERROR(INDEX('Grid_Stock'!$A39:$DA39,1,LOOKUP(2,1/('T_SelfStock'!$B$43:$DA$43&lt;&gt;""),COLUMN('T_SelfStock'!$B$43:$DA$43)))-INDEX('Grid_TheoreticalStock'!$A39:$DA39,1,LOOKUP(2,1/('T_SelfStock'!$B$43:$DA$43&lt;&gt;""),COLUMN('T_SelfStock'!$B$43:$DA$43))),0)</f>
        <v/>
      </c>
      <c r="K81" s="18">
        <f>'Grid_TheoreticalStock'!B39</f>
        <v/>
      </c>
      <c r="L81" s="18">
        <f>'Grid_TheoreticalStock'!C39</f>
        <v/>
      </c>
      <c r="M81" s="18">
        <f>'Grid_TheoreticalStock'!D39</f>
        <v/>
      </c>
      <c r="N81" s="18">
        <f>'Grid_TheoreticalStock'!E39</f>
        <v/>
      </c>
      <c r="O81" s="18">
        <f>'Grid_TheoreticalStock'!F39</f>
        <v/>
      </c>
      <c r="P81" s="18">
        <f>'Grid_TheoreticalStock'!G39</f>
        <v/>
      </c>
      <c r="Q81" s="18">
        <f>'Grid_TheoreticalStock'!H39</f>
        <v/>
      </c>
      <c r="R81" s="18">
        <f>'Grid_TheoreticalStock'!I39</f>
        <v/>
      </c>
      <c r="S81" s="18">
        <f>'Grid_TheoreticalStock'!J39</f>
        <v/>
      </c>
      <c r="T81" s="18">
        <f>'Grid_TheoreticalStock'!K39</f>
        <v/>
      </c>
      <c r="U81" s="18">
        <f>'Grid_TheoreticalStock'!L39</f>
        <v/>
      </c>
      <c r="V81" s="18">
        <f>'Grid_TheoreticalStock'!M39</f>
        <v/>
      </c>
      <c r="W81" s="18">
        <f>'Grid_TheoreticalStock'!N39</f>
        <v/>
      </c>
      <c r="X81" s="18">
        <f>'Grid_TheoreticalStock'!O39</f>
        <v/>
      </c>
      <c r="Y81" s="18">
        <f>'Grid_TheoreticalStock'!P39</f>
        <v/>
      </c>
      <c r="Z81" s="18">
        <f>'Grid_TheoreticalStock'!Q39</f>
        <v/>
      </c>
      <c r="AA81" s="18">
        <f>'Grid_TheoreticalStock'!R39</f>
        <v/>
      </c>
      <c r="AB81" s="18">
        <f>'Grid_TheoreticalStock'!S39</f>
        <v/>
      </c>
      <c r="AC81" s="18">
        <f>'Grid_TheoreticalStock'!T39</f>
        <v/>
      </c>
      <c r="AD81" s="18">
        <f>'Grid_TheoreticalStock'!U39</f>
        <v/>
      </c>
      <c r="AE81" s="18">
        <f>'Grid_TheoreticalStock'!V39</f>
        <v/>
      </c>
      <c r="AF81" s="18">
        <f>'Grid_TheoreticalStock'!W39</f>
        <v/>
      </c>
      <c r="AG81" s="18">
        <f>'Grid_TheoreticalStock'!X39</f>
        <v/>
      </c>
      <c r="AH81" s="18">
        <f>'Grid_TheoreticalStock'!Y39</f>
        <v/>
      </c>
      <c r="AI81" s="18">
        <f>'Grid_TheoreticalStock'!Z39</f>
        <v/>
      </c>
      <c r="AJ81" s="18">
        <f>'Grid_TheoreticalStock'!AA39</f>
        <v/>
      </c>
      <c r="AK81" s="18">
        <f>'Grid_TheoreticalStock'!AB39</f>
        <v/>
      </c>
      <c r="AL81" s="18">
        <f>'Grid_TheoreticalStock'!AC39</f>
        <v/>
      </c>
      <c r="AM81" s="18">
        <f>'Grid_TheoreticalStock'!AD39</f>
        <v/>
      </c>
      <c r="AN81" s="18">
        <f>'Grid_TheoreticalStock'!AE39</f>
        <v/>
      </c>
      <c r="AO81" s="18">
        <f>'Grid_TheoreticalStock'!AF39</f>
        <v/>
      </c>
      <c r="AP81" s="18">
        <f>'Grid_TheoreticalStock'!AG39</f>
        <v/>
      </c>
      <c r="AQ81" s="18">
        <f>'Grid_TheoreticalStock'!AH39</f>
        <v/>
      </c>
      <c r="AR81" s="18">
        <f>'Grid_TheoreticalStock'!AI39</f>
        <v/>
      </c>
      <c r="AS81" s="18">
        <f>'Grid_TheoreticalStock'!AJ39</f>
        <v/>
      </c>
      <c r="AT81" s="18">
        <f>'Grid_TheoreticalStock'!AK39</f>
        <v/>
      </c>
      <c r="AU81" s="18">
        <f>'Grid_TheoreticalStock'!AL39</f>
        <v/>
      </c>
      <c r="AV81" s="18">
        <f>'Grid_TheoreticalStock'!AM39</f>
        <v/>
      </c>
      <c r="AW81" s="18">
        <f>'Grid_TheoreticalStock'!AN39</f>
        <v/>
      </c>
      <c r="AX81" s="18">
        <f>'Grid_TheoreticalStock'!AO39</f>
        <v/>
      </c>
      <c r="AY81" s="18">
        <f>'Grid_TheoreticalStock'!AP39</f>
        <v/>
      </c>
      <c r="AZ81" s="18">
        <f>'Grid_TheoreticalStock'!AQ39</f>
        <v/>
      </c>
      <c r="BA81" s="18">
        <f>'Grid_TheoreticalStock'!AR39</f>
        <v/>
      </c>
      <c r="BB81" s="18">
        <f>'Grid_TheoreticalStock'!AS39</f>
        <v/>
      </c>
      <c r="BC81" s="18">
        <f>'Grid_TheoreticalStock'!AT39</f>
        <v/>
      </c>
      <c r="BD81" s="18">
        <f>'Grid_TheoreticalStock'!AU39</f>
        <v/>
      </c>
      <c r="BE81" s="18">
        <f>'Grid_TheoreticalStock'!AV39</f>
        <v/>
      </c>
      <c r="BF81" s="18">
        <f>'Grid_TheoreticalStock'!AW39</f>
        <v/>
      </c>
      <c r="BG81" s="18">
        <f>'Grid_TheoreticalStock'!AX39</f>
        <v/>
      </c>
      <c r="BH81" s="18">
        <f>'Grid_TheoreticalStock'!AY39</f>
        <v/>
      </c>
      <c r="BI81" s="18">
        <f>'Grid_TheoreticalStock'!AZ39</f>
        <v/>
      </c>
      <c r="BJ81" s="18">
        <f>'Grid_TheoreticalStock'!BA39</f>
        <v/>
      </c>
      <c r="BK81" s="18">
        <f>'Grid_TheoreticalStock'!BB39</f>
        <v/>
      </c>
      <c r="BL81" s="18">
        <f>'Grid_TheoreticalStock'!BC39</f>
        <v/>
      </c>
      <c r="BM81" s="18">
        <f>'Grid_TheoreticalStock'!BD39</f>
        <v/>
      </c>
      <c r="BN81" s="18">
        <f>'Grid_TheoreticalStock'!BE39</f>
        <v/>
      </c>
      <c r="BO81" s="18">
        <f>'Grid_TheoreticalStock'!BF39</f>
        <v/>
      </c>
      <c r="BP81" s="18">
        <f>'Grid_TheoreticalStock'!BG39</f>
        <v/>
      </c>
      <c r="BQ81" s="18">
        <f>'Grid_TheoreticalStock'!BH39</f>
        <v/>
      </c>
      <c r="BR81" s="18">
        <f>'Grid_TheoreticalStock'!BI39</f>
        <v/>
      </c>
      <c r="BS81" s="18">
        <f>'Grid_TheoreticalStock'!BJ39</f>
        <v/>
      </c>
      <c r="BT81" s="18">
        <f>'Grid_TheoreticalStock'!BK39</f>
        <v/>
      </c>
      <c r="BU81" s="18">
        <f>'Grid_TheoreticalStock'!BL39</f>
        <v/>
      </c>
      <c r="BV81" s="18">
        <f>'Grid_TheoreticalStock'!BM39</f>
        <v/>
      </c>
      <c r="BW81" s="18">
        <f>'Grid_TheoreticalStock'!BN39</f>
        <v/>
      </c>
      <c r="BX81" s="18">
        <f>'Grid_TheoreticalStock'!BO39</f>
        <v/>
      </c>
      <c r="BY81" s="18">
        <f>'Grid_TheoreticalStock'!BP39</f>
        <v/>
      </c>
      <c r="BZ81" s="18">
        <f>'Grid_TheoreticalStock'!BQ39</f>
        <v/>
      </c>
      <c r="CA81" s="18">
        <f>'Grid_TheoreticalStock'!BR39</f>
        <v/>
      </c>
      <c r="CB81" s="18">
        <f>'Grid_TheoreticalStock'!BS39</f>
        <v/>
      </c>
      <c r="CC81" s="18">
        <f>'Grid_TheoreticalStock'!BT39</f>
        <v/>
      </c>
      <c r="CD81" s="18">
        <f>'Grid_TheoreticalStock'!BU39</f>
        <v/>
      </c>
      <c r="CE81" s="18">
        <f>'Grid_TheoreticalStock'!BV39</f>
        <v/>
      </c>
      <c r="CF81" s="18">
        <f>'Grid_TheoreticalStock'!BW39</f>
        <v/>
      </c>
      <c r="CG81" s="18">
        <f>'Grid_TheoreticalStock'!BX39</f>
        <v/>
      </c>
      <c r="CH81" s="18">
        <f>'Grid_TheoreticalStock'!BY39</f>
        <v/>
      </c>
      <c r="CI81" s="18">
        <f>'Grid_TheoreticalStock'!BZ39</f>
        <v/>
      </c>
      <c r="CJ81" s="18">
        <f>'Grid_TheoreticalStock'!CA39</f>
        <v/>
      </c>
      <c r="CK81" s="18">
        <f>'Grid_TheoreticalStock'!CB39</f>
        <v/>
      </c>
      <c r="CL81" s="18">
        <f>'Grid_TheoreticalStock'!CC39</f>
        <v/>
      </c>
      <c r="CM81" s="18">
        <f>'Grid_TheoreticalStock'!CD39</f>
        <v/>
      </c>
      <c r="CN81" s="18">
        <f>'Grid_TheoreticalStock'!CE39</f>
        <v/>
      </c>
      <c r="CO81" s="18">
        <f>'Grid_TheoreticalStock'!CF39</f>
        <v/>
      </c>
      <c r="CP81" s="18">
        <f>'Grid_TheoreticalStock'!CG39</f>
        <v/>
      </c>
      <c r="CQ81" s="18">
        <f>'Grid_TheoreticalStock'!CH39</f>
        <v/>
      </c>
      <c r="CR81" s="18">
        <f>'Grid_TheoreticalStock'!CI39</f>
        <v/>
      </c>
      <c r="CS81" s="18">
        <f>'Grid_TheoreticalStock'!CJ39</f>
        <v/>
      </c>
      <c r="CT81" s="18">
        <f>'Grid_TheoreticalStock'!CK39</f>
        <v/>
      </c>
      <c r="CU81" s="18">
        <f>'Grid_TheoreticalStock'!CL39</f>
        <v/>
      </c>
      <c r="CV81" s="18">
        <f>'Grid_TheoreticalStock'!CM39</f>
        <v/>
      </c>
      <c r="CW81" s="18">
        <f>'Grid_TheoreticalStock'!CN39</f>
        <v/>
      </c>
      <c r="CX81" s="18">
        <f>'Grid_TheoreticalStock'!CO39</f>
        <v/>
      </c>
      <c r="CY81" s="18">
        <f>'Grid_TheoreticalStock'!CP39</f>
        <v/>
      </c>
      <c r="CZ81" s="18">
        <f>'Grid_TheoreticalStock'!CQ39</f>
        <v/>
      </c>
      <c r="DA81" s="18">
        <f>'Grid_TheoreticalStock'!CR39</f>
        <v/>
      </c>
      <c r="DB81" s="18">
        <f>'Grid_TheoreticalStock'!CS39</f>
        <v/>
      </c>
      <c r="DC81" s="18">
        <f>'Grid_TheoreticalStock'!CT39</f>
        <v/>
      </c>
      <c r="DD81" s="18">
        <f>'Grid_TheoreticalStock'!CU39</f>
        <v/>
      </c>
      <c r="DE81" s="18">
        <f>'Grid_TheoreticalStock'!CV39</f>
        <v/>
      </c>
      <c r="DF81" s="18">
        <f>'Grid_TheoreticalStock'!CW39</f>
        <v/>
      </c>
      <c r="DG81" s="18">
        <f>'Grid_TheoreticalStock'!CX39</f>
        <v/>
      </c>
      <c r="DH81" s="18">
        <f>'Grid_TheoreticalStock'!CY39</f>
        <v/>
      </c>
      <c r="DI81" s="18">
        <f>'Grid_TheoreticalStock'!CZ39</f>
        <v/>
      </c>
      <c r="DJ81" s="18">
        <f>'Grid_TheoreticalStock'!DA39</f>
        <v/>
      </c>
    </row>
    <row r="82">
      <c r="A82" s="19" t="inlineStr">
        <is>
          <t>CHEM-1480</t>
        </is>
      </c>
      <c r="B82" s="19">
        <f>IFERROR(INDEX(M_RawMaterials[Description],MATCH($A82,M_RawMaterials[Part Name],0)),"")</f>
        <v/>
      </c>
      <c r="C82" s="19">
        <f>IFERROR(INDEX(M_RawMaterials[Category],MATCH($A82,M_RawMaterials[Part Name],0)),"")</f>
        <v/>
      </c>
      <c r="D82" s="19">
        <f>IFERROR(INDEX(M_RawMaterials[基準在庫下限_要入力],MATCH($A82,M_RawMaterials[Part Name],0)),0)</f>
        <v/>
      </c>
      <c r="E82" s="19">
        <f>IFERROR(INDEX(M_RawMaterials[基準在庫上限_要入力],MATCH($A82,M_RawMaterials[Part Name],0)),0)</f>
        <v/>
      </c>
      <c r="F82" s="19">
        <f>IFERROR(LOOKUP(2,1/('T_SelfStock'!$B$43:$DA$43&lt;&gt;""),'T_SelfStock'!$B$43:$DA$43),"")</f>
        <v/>
      </c>
      <c r="G82" s="19">
        <f>IFERROR(LOOKUP(2,1/('T_TTAFStock'!$B$43:$DA$43&lt;&gt;""),'T_TTAFStock'!$B$43:$DA$43),"")</f>
        <v/>
      </c>
      <c r="H82" s="19">
        <f>IFERROR(LOOKUP(2,1/('T_SelfStock'!$B$43:$DA$43&lt;&gt;""),'T_SelfStock'!$B$5:$DA$5),"")</f>
        <v/>
      </c>
      <c r="I82" s="20" t="inlineStr">
        <is>
          <t>実在庫</t>
        </is>
      </c>
      <c r="J82" s="19">
        <f>IFERROR(INDEX('Grid_Stock'!$A39:$DA39,1,LOOKUP(2,1/('T_SelfStock'!$B$43:$DA$43&lt;&gt;""),COLUMN('T_SelfStock'!$B$43:$DA$43)))-INDEX('Grid_TheoreticalStock'!$A39:$DA39,1,LOOKUP(2,1/('T_SelfStock'!$B$43:$DA$43&lt;&gt;""),COLUMN('T_SelfStock'!$B$43:$DA$43))),0)</f>
        <v/>
      </c>
      <c r="K82" s="19">
        <f>'Grid_Stock'!B39</f>
        <v/>
      </c>
      <c r="L82" s="19">
        <f>'Grid_Stock'!C39</f>
        <v/>
      </c>
      <c r="M82" s="19">
        <f>'Grid_Stock'!D39</f>
        <v/>
      </c>
      <c r="N82" s="19">
        <f>'Grid_Stock'!E39</f>
        <v/>
      </c>
      <c r="O82" s="19">
        <f>'Grid_Stock'!F39</f>
        <v/>
      </c>
      <c r="P82" s="19">
        <f>'Grid_Stock'!G39</f>
        <v/>
      </c>
      <c r="Q82" s="19">
        <f>'Grid_Stock'!H39</f>
        <v/>
      </c>
      <c r="R82" s="19">
        <f>'Grid_Stock'!I39</f>
        <v/>
      </c>
      <c r="S82" s="19">
        <f>'Grid_Stock'!J39</f>
        <v/>
      </c>
      <c r="T82" s="19">
        <f>'Grid_Stock'!K39</f>
        <v/>
      </c>
      <c r="U82" s="19">
        <f>'Grid_Stock'!L39</f>
        <v/>
      </c>
      <c r="V82" s="19">
        <f>'Grid_Stock'!M39</f>
        <v/>
      </c>
      <c r="W82" s="19">
        <f>'Grid_Stock'!N39</f>
        <v/>
      </c>
      <c r="X82" s="19">
        <f>'Grid_Stock'!O39</f>
        <v/>
      </c>
      <c r="Y82" s="19">
        <f>'Grid_Stock'!P39</f>
        <v/>
      </c>
      <c r="Z82" s="19">
        <f>'Grid_Stock'!Q39</f>
        <v/>
      </c>
      <c r="AA82" s="19">
        <f>'Grid_Stock'!R39</f>
        <v/>
      </c>
      <c r="AB82" s="19">
        <f>'Grid_Stock'!S39</f>
        <v/>
      </c>
      <c r="AC82" s="19">
        <f>'Grid_Stock'!T39</f>
        <v/>
      </c>
      <c r="AD82" s="19">
        <f>'Grid_Stock'!U39</f>
        <v/>
      </c>
      <c r="AE82" s="19">
        <f>'Grid_Stock'!V39</f>
        <v/>
      </c>
      <c r="AF82" s="19">
        <f>'Grid_Stock'!W39</f>
        <v/>
      </c>
      <c r="AG82" s="19">
        <f>'Grid_Stock'!X39</f>
        <v/>
      </c>
      <c r="AH82" s="19">
        <f>'Grid_Stock'!Y39</f>
        <v/>
      </c>
      <c r="AI82" s="19">
        <f>'Grid_Stock'!Z39</f>
        <v/>
      </c>
      <c r="AJ82" s="19">
        <f>'Grid_Stock'!AA39</f>
        <v/>
      </c>
      <c r="AK82" s="19">
        <f>'Grid_Stock'!AB39</f>
        <v/>
      </c>
      <c r="AL82" s="19">
        <f>'Grid_Stock'!AC39</f>
        <v/>
      </c>
      <c r="AM82" s="19">
        <f>'Grid_Stock'!AD39</f>
        <v/>
      </c>
      <c r="AN82" s="19">
        <f>'Grid_Stock'!AE39</f>
        <v/>
      </c>
      <c r="AO82" s="19">
        <f>'Grid_Stock'!AF39</f>
        <v/>
      </c>
      <c r="AP82" s="19">
        <f>'Grid_Stock'!AG39</f>
        <v/>
      </c>
      <c r="AQ82" s="19">
        <f>'Grid_Stock'!AH39</f>
        <v/>
      </c>
      <c r="AR82" s="19">
        <f>'Grid_Stock'!AI39</f>
        <v/>
      </c>
      <c r="AS82" s="19">
        <f>'Grid_Stock'!AJ39</f>
        <v/>
      </c>
      <c r="AT82" s="19">
        <f>'Grid_Stock'!AK39</f>
        <v/>
      </c>
      <c r="AU82" s="19">
        <f>'Grid_Stock'!AL39</f>
        <v/>
      </c>
      <c r="AV82" s="19">
        <f>'Grid_Stock'!AM39</f>
        <v/>
      </c>
      <c r="AW82" s="19">
        <f>'Grid_Stock'!AN39</f>
        <v/>
      </c>
      <c r="AX82" s="19">
        <f>'Grid_Stock'!AO39</f>
        <v/>
      </c>
      <c r="AY82" s="19">
        <f>'Grid_Stock'!AP39</f>
        <v/>
      </c>
      <c r="AZ82" s="19">
        <f>'Grid_Stock'!AQ39</f>
        <v/>
      </c>
      <c r="BA82" s="19">
        <f>'Grid_Stock'!AR39</f>
        <v/>
      </c>
      <c r="BB82" s="19">
        <f>'Grid_Stock'!AS39</f>
        <v/>
      </c>
      <c r="BC82" s="19">
        <f>'Grid_Stock'!AT39</f>
        <v/>
      </c>
      <c r="BD82" s="19">
        <f>'Grid_Stock'!AU39</f>
        <v/>
      </c>
      <c r="BE82" s="19">
        <f>'Grid_Stock'!AV39</f>
        <v/>
      </c>
      <c r="BF82" s="19">
        <f>'Grid_Stock'!AW39</f>
        <v/>
      </c>
      <c r="BG82" s="19">
        <f>'Grid_Stock'!AX39</f>
        <v/>
      </c>
      <c r="BH82" s="19">
        <f>'Grid_Stock'!AY39</f>
        <v/>
      </c>
      <c r="BI82" s="19">
        <f>'Grid_Stock'!AZ39</f>
        <v/>
      </c>
      <c r="BJ82" s="19">
        <f>'Grid_Stock'!BA39</f>
        <v/>
      </c>
      <c r="BK82" s="19">
        <f>'Grid_Stock'!BB39</f>
        <v/>
      </c>
      <c r="BL82" s="19">
        <f>'Grid_Stock'!BC39</f>
        <v/>
      </c>
      <c r="BM82" s="19">
        <f>'Grid_Stock'!BD39</f>
        <v/>
      </c>
      <c r="BN82" s="19">
        <f>'Grid_Stock'!BE39</f>
        <v/>
      </c>
      <c r="BO82" s="19">
        <f>'Grid_Stock'!BF39</f>
        <v/>
      </c>
      <c r="BP82" s="19">
        <f>'Grid_Stock'!BG39</f>
        <v/>
      </c>
      <c r="BQ82" s="19">
        <f>'Grid_Stock'!BH39</f>
        <v/>
      </c>
      <c r="BR82" s="19">
        <f>'Grid_Stock'!BI39</f>
        <v/>
      </c>
      <c r="BS82" s="19">
        <f>'Grid_Stock'!BJ39</f>
        <v/>
      </c>
      <c r="BT82" s="19">
        <f>'Grid_Stock'!BK39</f>
        <v/>
      </c>
      <c r="BU82" s="19">
        <f>'Grid_Stock'!BL39</f>
        <v/>
      </c>
      <c r="BV82" s="19">
        <f>'Grid_Stock'!BM39</f>
        <v/>
      </c>
      <c r="BW82" s="19">
        <f>'Grid_Stock'!BN39</f>
        <v/>
      </c>
      <c r="BX82" s="19">
        <f>'Grid_Stock'!BO39</f>
        <v/>
      </c>
      <c r="BY82" s="19">
        <f>'Grid_Stock'!BP39</f>
        <v/>
      </c>
      <c r="BZ82" s="19">
        <f>'Grid_Stock'!BQ39</f>
        <v/>
      </c>
      <c r="CA82" s="19">
        <f>'Grid_Stock'!BR39</f>
        <v/>
      </c>
      <c r="CB82" s="19">
        <f>'Grid_Stock'!BS39</f>
        <v/>
      </c>
      <c r="CC82" s="19">
        <f>'Grid_Stock'!BT39</f>
        <v/>
      </c>
      <c r="CD82" s="19">
        <f>'Grid_Stock'!BU39</f>
        <v/>
      </c>
      <c r="CE82" s="19">
        <f>'Grid_Stock'!BV39</f>
        <v/>
      </c>
      <c r="CF82" s="19">
        <f>'Grid_Stock'!BW39</f>
        <v/>
      </c>
      <c r="CG82" s="19">
        <f>'Grid_Stock'!BX39</f>
        <v/>
      </c>
      <c r="CH82" s="19">
        <f>'Grid_Stock'!BY39</f>
        <v/>
      </c>
      <c r="CI82" s="19">
        <f>'Grid_Stock'!BZ39</f>
        <v/>
      </c>
      <c r="CJ82" s="19">
        <f>'Grid_Stock'!CA39</f>
        <v/>
      </c>
      <c r="CK82" s="19">
        <f>'Grid_Stock'!CB39</f>
        <v/>
      </c>
      <c r="CL82" s="19">
        <f>'Grid_Stock'!CC39</f>
        <v/>
      </c>
      <c r="CM82" s="19">
        <f>'Grid_Stock'!CD39</f>
        <v/>
      </c>
      <c r="CN82" s="19">
        <f>'Grid_Stock'!CE39</f>
        <v/>
      </c>
      <c r="CO82" s="19">
        <f>'Grid_Stock'!CF39</f>
        <v/>
      </c>
      <c r="CP82" s="19">
        <f>'Grid_Stock'!CG39</f>
        <v/>
      </c>
      <c r="CQ82" s="19">
        <f>'Grid_Stock'!CH39</f>
        <v/>
      </c>
      <c r="CR82" s="19">
        <f>'Grid_Stock'!CI39</f>
        <v/>
      </c>
      <c r="CS82" s="19">
        <f>'Grid_Stock'!CJ39</f>
        <v/>
      </c>
      <c r="CT82" s="19">
        <f>'Grid_Stock'!CK39</f>
        <v/>
      </c>
      <c r="CU82" s="19">
        <f>'Grid_Stock'!CL39</f>
        <v/>
      </c>
      <c r="CV82" s="19">
        <f>'Grid_Stock'!CM39</f>
        <v/>
      </c>
      <c r="CW82" s="19">
        <f>'Grid_Stock'!CN39</f>
        <v/>
      </c>
      <c r="CX82" s="19">
        <f>'Grid_Stock'!CO39</f>
        <v/>
      </c>
      <c r="CY82" s="19">
        <f>'Grid_Stock'!CP39</f>
        <v/>
      </c>
      <c r="CZ82" s="19">
        <f>'Grid_Stock'!CQ39</f>
        <v/>
      </c>
      <c r="DA82" s="19">
        <f>'Grid_Stock'!CR39</f>
        <v/>
      </c>
      <c r="DB82" s="19">
        <f>'Grid_Stock'!CS39</f>
        <v/>
      </c>
      <c r="DC82" s="19">
        <f>'Grid_Stock'!CT39</f>
        <v/>
      </c>
      <c r="DD82" s="19">
        <f>'Grid_Stock'!CU39</f>
        <v/>
      </c>
      <c r="DE82" s="19">
        <f>'Grid_Stock'!CV39</f>
        <v/>
      </c>
      <c r="DF82" s="19">
        <f>'Grid_Stock'!CW39</f>
        <v/>
      </c>
      <c r="DG82" s="19">
        <f>'Grid_Stock'!CX39</f>
        <v/>
      </c>
      <c r="DH82" s="19">
        <f>'Grid_Stock'!CY39</f>
        <v/>
      </c>
      <c r="DI82" s="19">
        <f>'Grid_Stock'!CZ39</f>
        <v/>
      </c>
      <c r="DJ82" s="19">
        <f>'Grid_Stock'!DA39</f>
        <v/>
      </c>
    </row>
    <row r="83">
      <c r="A83" s="17" t="inlineStr">
        <is>
          <t>CHEM-1540</t>
        </is>
      </c>
      <c r="B83" s="17">
        <f>IFERROR(INDEX(M_RawMaterials[Description],MATCH($A83,M_RawMaterials[Part Name],0)),"")</f>
        <v/>
      </c>
      <c r="C83" s="17">
        <f>IFERROR(INDEX(M_RawMaterials[Category],MATCH($A83,M_RawMaterials[Part Name],0)),"")</f>
        <v/>
      </c>
      <c r="D83" s="17">
        <f>IFERROR(INDEX(M_RawMaterials[基準在庫下限_要入力],MATCH($A83,M_RawMaterials[Part Name],0)),0)</f>
        <v/>
      </c>
      <c r="E83" s="17">
        <f>IFERROR(INDEX(M_RawMaterials[基準在庫上限_要入力],MATCH($A83,M_RawMaterials[Part Name],0)),0)</f>
        <v/>
      </c>
      <c r="F83" s="17">
        <f>IFERROR(LOOKUP(2,1/('T_SelfStock'!$B$44:$DA$44&lt;&gt;""),'T_SelfStock'!$B$44:$DA$44),"")</f>
        <v/>
      </c>
      <c r="G83" s="17">
        <f>IFERROR(LOOKUP(2,1/('T_TTAFStock'!$B$44:$DA$44&lt;&gt;""),'T_TTAFStock'!$B$44:$DA$44),"")</f>
        <v/>
      </c>
      <c r="H83" s="17">
        <f>IFERROR(LOOKUP(2,1/('T_SelfStock'!$B$44:$DA$44&lt;&gt;""),'T_SelfStock'!$B$5:$DA$5),"")</f>
        <v/>
      </c>
      <c r="I83" s="18" t="inlineStr">
        <is>
          <t>理論在庫</t>
        </is>
      </c>
      <c r="J83" s="17">
        <f>IFERROR(INDEX('Grid_Stock'!$A40:$DA40,1,LOOKUP(2,1/('T_SelfStock'!$B$44:$DA$44&lt;&gt;""),COLUMN('T_SelfStock'!$B$44:$DA$44)))-INDEX('Grid_TheoreticalStock'!$A40:$DA40,1,LOOKUP(2,1/('T_SelfStock'!$B$44:$DA$44&lt;&gt;""),COLUMN('T_SelfStock'!$B$44:$DA$44))),0)</f>
        <v/>
      </c>
      <c r="K83" s="18">
        <f>'Grid_TheoreticalStock'!B40</f>
        <v/>
      </c>
      <c r="L83" s="18">
        <f>'Grid_TheoreticalStock'!C40</f>
        <v/>
      </c>
      <c r="M83" s="18">
        <f>'Grid_TheoreticalStock'!D40</f>
        <v/>
      </c>
      <c r="N83" s="18">
        <f>'Grid_TheoreticalStock'!E40</f>
        <v/>
      </c>
      <c r="O83" s="18">
        <f>'Grid_TheoreticalStock'!F40</f>
        <v/>
      </c>
      <c r="P83" s="18">
        <f>'Grid_TheoreticalStock'!G40</f>
        <v/>
      </c>
      <c r="Q83" s="18">
        <f>'Grid_TheoreticalStock'!H40</f>
        <v/>
      </c>
      <c r="R83" s="18">
        <f>'Grid_TheoreticalStock'!I40</f>
        <v/>
      </c>
      <c r="S83" s="18">
        <f>'Grid_TheoreticalStock'!J40</f>
        <v/>
      </c>
      <c r="T83" s="18">
        <f>'Grid_TheoreticalStock'!K40</f>
        <v/>
      </c>
      <c r="U83" s="18">
        <f>'Grid_TheoreticalStock'!L40</f>
        <v/>
      </c>
      <c r="V83" s="18">
        <f>'Grid_TheoreticalStock'!M40</f>
        <v/>
      </c>
      <c r="W83" s="18">
        <f>'Grid_TheoreticalStock'!N40</f>
        <v/>
      </c>
      <c r="X83" s="18">
        <f>'Grid_TheoreticalStock'!O40</f>
        <v/>
      </c>
      <c r="Y83" s="18">
        <f>'Grid_TheoreticalStock'!P40</f>
        <v/>
      </c>
      <c r="Z83" s="18">
        <f>'Grid_TheoreticalStock'!Q40</f>
        <v/>
      </c>
      <c r="AA83" s="18">
        <f>'Grid_TheoreticalStock'!R40</f>
        <v/>
      </c>
      <c r="AB83" s="18">
        <f>'Grid_TheoreticalStock'!S40</f>
        <v/>
      </c>
      <c r="AC83" s="18">
        <f>'Grid_TheoreticalStock'!T40</f>
        <v/>
      </c>
      <c r="AD83" s="18">
        <f>'Grid_TheoreticalStock'!U40</f>
        <v/>
      </c>
      <c r="AE83" s="18">
        <f>'Grid_TheoreticalStock'!V40</f>
        <v/>
      </c>
      <c r="AF83" s="18">
        <f>'Grid_TheoreticalStock'!W40</f>
        <v/>
      </c>
      <c r="AG83" s="18">
        <f>'Grid_TheoreticalStock'!X40</f>
        <v/>
      </c>
      <c r="AH83" s="18">
        <f>'Grid_TheoreticalStock'!Y40</f>
        <v/>
      </c>
      <c r="AI83" s="18">
        <f>'Grid_TheoreticalStock'!Z40</f>
        <v/>
      </c>
      <c r="AJ83" s="18">
        <f>'Grid_TheoreticalStock'!AA40</f>
        <v/>
      </c>
      <c r="AK83" s="18">
        <f>'Grid_TheoreticalStock'!AB40</f>
        <v/>
      </c>
      <c r="AL83" s="18">
        <f>'Grid_TheoreticalStock'!AC40</f>
        <v/>
      </c>
      <c r="AM83" s="18">
        <f>'Grid_TheoreticalStock'!AD40</f>
        <v/>
      </c>
      <c r="AN83" s="18">
        <f>'Grid_TheoreticalStock'!AE40</f>
        <v/>
      </c>
      <c r="AO83" s="18">
        <f>'Grid_TheoreticalStock'!AF40</f>
        <v/>
      </c>
      <c r="AP83" s="18">
        <f>'Grid_TheoreticalStock'!AG40</f>
        <v/>
      </c>
      <c r="AQ83" s="18">
        <f>'Grid_TheoreticalStock'!AH40</f>
        <v/>
      </c>
      <c r="AR83" s="18">
        <f>'Grid_TheoreticalStock'!AI40</f>
        <v/>
      </c>
      <c r="AS83" s="18">
        <f>'Grid_TheoreticalStock'!AJ40</f>
        <v/>
      </c>
      <c r="AT83" s="18">
        <f>'Grid_TheoreticalStock'!AK40</f>
        <v/>
      </c>
      <c r="AU83" s="18">
        <f>'Grid_TheoreticalStock'!AL40</f>
        <v/>
      </c>
      <c r="AV83" s="18">
        <f>'Grid_TheoreticalStock'!AM40</f>
        <v/>
      </c>
      <c r="AW83" s="18">
        <f>'Grid_TheoreticalStock'!AN40</f>
        <v/>
      </c>
      <c r="AX83" s="18">
        <f>'Grid_TheoreticalStock'!AO40</f>
        <v/>
      </c>
      <c r="AY83" s="18">
        <f>'Grid_TheoreticalStock'!AP40</f>
        <v/>
      </c>
      <c r="AZ83" s="18">
        <f>'Grid_TheoreticalStock'!AQ40</f>
        <v/>
      </c>
      <c r="BA83" s="18">
        <f>'Grid_TheoreticalStock'!AR40</f>
        <v/>
      </c>
      <c r="BB83" s="18">
        <f>'Grid_TheoreticalStock'!AS40</f>
        <v/>
      </c>
      <c r="BC83" s="18">
        <f>'Grid_TheoreticalStock'!AT40</f>
        <v/>
      </c>
      <c r="BD83" s="18">
        <f>'Grid_TheoreticalStock'!AU40</f>
        <v/>
      </c>
      <c r="BE83" s="18">
        <f>'Grid_TheoreticalStock'!AV40</f>
        <v/>
      </c>
      <c r="BF83" s="18">
        <f>'Grid_TheoreticalStock'!AW40</f>
        <v/>
      </c>
      <c r="BG83" s="18">
        <f>'Grid_TheoreticalStock'!AX40</f>
        <v/>
      </c>
      <c r="BH83" s="18">
        <f>'Grid_TheoreticalStock'!AY40</f>
        <v/>
      </c>
      <c r="BI83" s="18">
        <f>'Grid_TheoreticalStock'!AZ40</f>
        <v/>
      </c>
      <c r="BJ83" s="18">
        <f>'Grid_TheoreticalStock'!BA40</f>
        <v/>
      </c>
      <c r="BK83" s="18">
        <f>'Grid_TheoreticalStock'!BB40</f>
        <v/>
      </c>
      <c r="BL83" s="18">
        <f>'Grid_TheoreticalStock'!BC40</f>
        <v/>
      </c>
      <c r="BM83" s="18">
        <f>'Grid_TheoreticalStock'!BD40</f>
        <v/>
      </c>
      <c r="BN83" s="18">
        <f>'Grid_TheoreticalStock'!BE40</f>
        <v/>
      </c>
      <c r="BO83" s="18">
        <f>'Grid_TheoreticalStock'!BF40</f>
        <v/>
      </c>
      <c r="BP83" s="18">
        <f>'Grid_TheoreticalStock'!BG40</f>
        <v/>
      </c>
      <c r="BQ83" s="18">
        <f>'Grid_TheoreticalStock'!BH40</f>
        <v/>
      </c>
      <c r="BR83" s="18">
        <f>'Grid_TheoreticalStock'!BI40</f>
        <v/>
      </c>
      <c r="BS83" s="18">
        <f>'Grid_TheoreticalStock'!BJ40</f>
        <v/>
      </c>
      <c r="BT83" s="18">
        <f>'Grid_TheoreticalStock'!BK40</f>
        <v/>
      </c>
      <c r="BU83" s="18">
        <f>'Grid_TheoreticalStock'!BL40</f>
        <v/>
      </c>
      <c r="BV83" s="18">
        <f>'Grid_TheoreticalStock'!BM40</f>
        <v/>
      </c>
      <c r="BW83" s="18">
        <f>'Grid_TheoreticalStock'!BN40</f>
        <v/>
      </c>
      <c r="BX83" s="18">
        <f>'Grid_TheoreticalStock'!BO40</f>
        <v/>
      </c>
      <c r="BY83" s="18">
        <f>'Grid_TheoreticalStock'!BP40</f>
        <v/>
      </c>
      <c r="BZ83" s="18">
        <f>'Grid_TheoreticalStock'!BQ40</f>
        <v/>
      </c>
      <c r="CA83" s="18">
        <f>'Grid_TheoreticalStock'!BR40</f>
        <v/>
      </c>
      <c r="CB83" s="18">
        <f>'Grid_TheoreticalStock'!BS40</f>
        <v/>
      </c>
      <c r="CC83" s="18">
        <f>'Grid_TheoreticalStock'!BT40</f>
        <v/>
      </c>
      <c r="CD83" s="18">
        <f>'Grid_TheoreticalStock'!BU40</f>
        <v/>
      </c>
      <c r="CE83" s="18">
        <f>'Grid_TheoreticalStock'!BV40</f>
        <v/>
      </c>
      <c r="CF83" s="18">
        <f>'Grid_TheoreticalStock'!BW40</f>
        <v/>
      </c>
      <c r="CG83" s="18">
        <f>'Grid_TheoreticalStock'!BX40</f>
        <v/>
      </c>
      <c r="CH83" s="18">
        <f>'Grid_TheoreticalStock'!BY40</f>
        <v/>
      </c>
      <c r="CI83" s="18">
        <f>'Grid_TheoreticalStock'!BZ40</f>
        <v/>
      </c>
      <c r="CJ83" s="18">
        <f>'Grid_TheoreticalStock'!CA40</f>
        <v/>
      </c>
      <c r="CK83" s="18">
        <f>'Grid_TheoreticalStock'!CB40</f>
        <v/>
      </c>
      <c r="CL83" s="18">
        <f>'Grid_TheoreticalStock'!CC40</f>
        <v/>
      </c>
      <c r="CM83" s="18">
        <f>'Grid_TheoreticalStock'!CD40</f>
        <v/>
      </c>
      <c r="CN83" s="18">
        <f>'Grid_TheoreticalStock'!CE40</f>
        <v/>
      </c>
      <c r="CO83" s="18">
        <f>'Grid_TheoreticalStock'!CF40</f>
        <v/>
      </c>
      <c r="CP83" s="18">
        <f>'Grid_TheoreticalStock'!CG40</f>
        <v/>
      </c>
      <c r="CQ83" s="18">
        <f>'Grid_TheoreticalStock'!CH40</f>
        <v/>
      </c>
      <c r="CR83" s="18">
        <f>'Grid_TheoreticalStock'!CI40</f>
        <v/>
      </c>
      <c r="CS83" s="18">
        <f>'Grid_TheoreticalStock'!CJ40</f>
        <v/>
      </c>
      <c r="CT83" s="18">
        <f>'Grid_TheoreticalStock'!CK40</f>
        <v/>
      </c>
      <c r="CU83" s="18">
        <f>'Grid_TheoreticalStock'!CL40</f>
        <v/>
      </c>
      <c r="CV83" s="18">
        <f>'Grid_TheoreticalStock'!CM40</f>
        <v/>
      </c>
      <c r="CW83" s="18">
        <f>'Grid_TheoreticalStock'!CN40</f>
        <v/>
      </c>
      <c r="CX83" s="18">
        <f>'Grid_TheoreticalStock'!CO40</f>
        <v/>
      </c>
      <c r="CY83" s="18">
        <f>'Grid_TheoreticalStock'!CP40</f>
        <v/>
      </c>
      <c r="CZ83" s="18">
        <f>'Grid_TheoreticalStock'!CQ40</f>
        <v/>
      </c>
      <c r="DA83" s="18">
        <f>'Grid_TheoreticalStock'!CR40</f>
        <v/>
      </c>
      <c r="DB83" s="18">
        <f>'Grid_TheoreticalStock'!CS40</f>
        <v/>
      </c>
      <c r="DC83" s="18">
        <f>'Grid_TheoreticalStock'!CT40</f>
        <v/>
      </c>
      <c r="DD83" s="18">
        <f>'Grid_TheoreticalStock'!CU40</f>
        <v/>
      </c>
      <c r="DE83" s="18">
        <f>'Grid_TheoreticalStock'!CV40</f>
        <v/>
      </c>
      <c r="DF83" s="18">
        <f>'Grid_TheoreticalStock'!CW40</f>
        <v/>
      </c>
      <c r="DG83" s="18">
        <f>'Grid_TheoreticalStock'!CX40</f>
        <v/>
      </c>
      <c r="DH83" s="18">
        <f>'Grid_TheoreticalStock'!CY40</f>
        <v/>
      </c>
      <c r="DI83" s="18">
        <f>'Grid_TheoreticalStock'!CZ40</f>
        <v/>
      </c>
      <c r="DJ83" s="18">
        <f>'Grid_TheoreticalStock'!DA40</f>
        <v/>
      </c>
    </row>
    <row r="84">
      <c r="A84" s="19" t="inlineStr">
        <is>
          <t>CHEM-1540</t>
        </is>
      </c>
      <c r="B84" s="19">
        <f>IFERROR(INDEX(M_RawMaterials[Description],MATCH($A84,M_RawMaterials[Part Name],0)),"")</f>
        <v/>
      </c>
      <c r="C84" s="19">
        <f>IFERROR(INDEX(M_RawMaterials[Category],MATCH($A84,M_RawMaterials[Part Name],0)),"")</f>
        <v/>
      </c>
      <c r="D84" s="19">
        <f>IFERROR(INDEX(M_RawMaterials[基準在庫下限_要入力],MATCH($A84,M_RawMaterials[Part Name],0)),0)</f>
        <v/>
      </c>
      <c r="E84" s="19">
        <f>IFERROR(INDEX(M_RawMaterials[基準在庫上限_要入力],MATCH($A84,M_RawMaterials[Part Name],0)),0)</f>
        <v/>
      </c>
      <c r="F84" s="19">
        <f>IFERROR(LOOKUP(2,1/('T_SelfStock'!$B$44:$DA$44&lt;&gt;""),'T_SelfStock'!$B$44:$DA$44),"")</f>
        <v/>
      </c>
      <c r="G84" s="19">
        <f>IFERROR(LOOKUP(2,1/('T_TTAFStock'!$B$44:$DA$44&lt;&gt;""),'T_TTAFStock'!$B$44:$DA$44),"")</f>
        <v/>
      </c>
      <c r="H84" s="19">
        <f>IFERROR(LOOKUP(2,1/('T_SelfStock'!$B$44:$DA$44&lt;&gt;""),'T_SelfStock'!$B$5:$DA$5),"")</f>
        <v/>
      </c>
      <c r="I84" s="20" t="inlineStr">
        <is>
          <t>実在庫</t>
        </is>
      </c>
      <c r="J84" s="19">
        <f>IFERROR(INDEX('Grid_Stock'!$A40:$DA40,1,LOOKUP(2,1/('T_SelfStock'!$B$44:$DA$44&lt;&gt;""),COLUMN('T_SelfStock'!$B$44:$DA$44)))-INDEX('Grid_TheoreticalStock'!$A40:$DA40,1,LOOKUP(2,1/('T_SelfStock'!$B$44:$DA$44&lt;&gt;""),COLUMN('T_SelfStock'!$B$44:$DA$44))),0)</f>
        <v/>
      </c>
      <c r="K84" s="19">
        <f>'Grid_Stock'!B40</f>
        <v/>
      </c>
      <c r="L84" s="19">
        <f>'Grid_Stock'!C40</f>
        <v/>
      </c>
      <c r="M84" s="19">
        <f>'Grid_Stock'!D40</f>
        <v/>
      </c>
      <c r="N84" s="19">
        <f>'Grid_Stock'!E40</f>
        <v/>
      </c>
      <c r="O84" s="19">
        <f>'Grid_Stock'!F40</f>
        <v/>
      </c>
      <c r="P84" s="19">
        <f>'Grid_Stock'!G40</f>
        <v/>
      </c>
      <c r="Q84" s="19">
        <f>'Grid_Stock'!H40</f>
        <v/>
      </c>
      <c r="R84" s="19">
        <f>'Grid_Stock'!I40</f>
        <v/>
      </c>
      <c r="S84" s="19">
        <f>'Grid_Stock'!J40</f>
        <v/>
      </c>
      <c r="T84" s="19">
        <f>'Grid_Stock'!K40</f>
        <v/>
      </c>
      <c r="U84" s="19">
        <f>'Grid_Stock'!L40</f>
        <v/>
      </c>
      <c r="V84" s="19">
        <f>'Grid_Stock'!M40</f>
        <v/>
      </c>
      <c r="W84" s="19">
        <f>'Grid_Stock'!N40</f>
        <v/>
      </c>
      <c r="X84" s="19">
        <f>'Grid_Stock'!O40</f>
        <v/>
      </c>
      <c r="Y84" s="19">
        <f>'Grid_Stock'!P40</f>
        <v/>
      </c>
      <c r="Z84" s="19">
        <f>'Grid_Stock'!Q40</f>
        <v/>
      </c>
      <c r="AA84" s="19">
        <f>'Grid_Stock'!R40</f>
        <v/>
      </c>
      <c r="AB84" s="19">
        <f>'Grid_Stock'!S40</f>
        <v/>
      </c>
      <c r="AC84" s="19">
        <f>'Grid_Stock'!T40</f>
        <v/>
      </c>
      <c r="AD84" s="19">
        <f>'Grid_Stock'!U40</f>
        <v/>
      </c>
      <c r="AE84" s="19">
        <f>'Grid_Stock'!V40</f>
        <v/>
      </c>
      <c r="AF84" s="19">
        <f>'Grid_Stock'!W40</f>
        <v/>
      </c>
      <c r="AG84" s="19">
        <f>'Grid_Stock'!X40</f>
        <v/>
      </c>
      <c r="AH84" s="19">
        <f>'Grid_Stock'!Y40</f>
        <v/>
      </c>
      <c r="AI84" s="19">
        <f>'Grid_Stock'!Z40</f>
        <v/>
      </c>
      <c r="AJ84" s="19">
        <f>'Grid_Stock'!AA40</f>
        <v/>
      </c>
      <c r="AK84" s="19">
        <f>'Grid_Stock'!AB40</f>
        <v/>
      </c>
      <c r="AL84" s="19">
        <f>'Grid_Stock'!AC40</f>
        <v/>
      </c>
      <c r="AM84" s="19">
        <f>'Grid_Stock'!AD40</f>
        <v/>
      </c>
      <c r="AN84" s="19">
        <f>'Grid_Stock'!AE40</f>
        <v/>
      </c>
      <c r="AO84" s="19">
        <f>'Grid_Stock'!AF40</f>
        <v/>
      </c>
      <c r="AP84" s="19">
        <f>'Grid_Stock'!AG40</f>
        <v/>
      </c>
      <c r="AQ84" s="19">
        <f>'Grid_Stock'!AH40</f>
        <v/>
      </c>
      <c r="AR84" s="19">
        <f>'Grid_Stock'!AI40</f>
        <v/>
      </c>
      <c r="AS84" s="19">
        <f>'Grid_Stock'!AJ40</f>
        <v/>
      </c>
      <c r="AT84" s="19">
        <f>'Grid_Stock'!AK40</f>
        <v/>
      </c>
      <c r="AU84" s="19">
        <f>'Grid_Stock'!AL40</f>
        <v/>
      </c>
      <c r="AV84" s="19">
        <f>'Grid_Stock'!AM40</f>
        <v/>
      </c>
      <c r="AW84" s="19">
        <f>'Grid_Stock'!AN40</f>
        <v/>
      </c>
      <c r="AX84" s="19">
        <f>'Grid_Stock'!AO40</f>
        <v/>
      </c>
      <c r="AY84" s="19">
        <f>'Grid_Stock'!AP40</f>
        <v/>
      </c>
      <c r="AZ84" s="19">
        <f>'Grid_Stock'!AQ40</f>
        <v/>
      </c>
      <c r="BA84" s="19">
        <f>'Grid_Stock'!AR40</f>
        <v/>
      </c>
      <c r="BB84" s="19">
        <f>'Grid_Stock'!AS40</f>
        <v/>
      </c>
      <c r="BC84" s="19">
        <f>'Grid_Stock'!AT40</f>
        <v/>
      </c>
      <c r="BD84" s="19">
        <f>'Grid_Stock'!AU40</f>
        <v/>
      </c>
      <c r="BE84" s="19">
        <f>'Grid_Stock'!AV40</f>
        <v/>
      </c>
      <c r="BF84" s="19">
        <f>'Grid_Stock'!AW40</f>
        <v/>
      </c>
      <c r="BG84" s="19">
        <f>'Grid_Stock'!AX40</f>
        <v/>
      </c>
      <c r="BH84" s="19">
        <f>'Grid_Stock'!AY40</f>
        <v/>
      </c>
      <c r="BI84" s="19">
        <f>'Grid_Stock'!AZ40</f>
        <v/>
      </c>
      <c r="BJ84" s="19">
        <f>'Grid_Stock'!BA40</f>
        <v/>
      </c>
      <c r="BK84" s="19">
        <f>'Grid_Stock'!BB40</f>
        <v/>
      </c>
      <c r="BL84" s="19">
        <f>'Grid_Stock'!BC40</f>
        <v/>
      </c>
      <c r="BM84" s="19">
        <f>'Grid_Stock'!BD40</f>
        <v/>
      </c>
      <c r="BN84" s="19">
        <f>'Grid_Stock'!BE40</f>
        <v/>
      </c>
      <c r="BO84" s="19">
        <f>'Grid_Stock'!BF40</f>
        <v/>
      </c>
      <c r="BP84" s="19">
        <f>'Grid_Stock'!BG40</f>
        <v/>
      </c>
      <c r="BQ84" s="19">
        <f>'Grid_Stock'!BH40</f>
        <v/>
      </c>
      <c r="BR84" s="19">
        <f>'Grid_Stock'!BI40</f>
        <v/>
      </c>
      <c r="BS84" s="19">
        <f>'Grid_Stock'!BJ40</f>
        <v/>
      </c>
      <c r="BT84" s="19">
        <f>'Grid_Stock'!BK40</f>
        <v/>
      </c>
      <c r="BU84" s="19">
        <f>'Grid_Stock'!BL40</f>
        <v/>
      </c>
      <c r="BV84" s="19">
        <f>'Grid_Stock'!BM40</f>
        <v/>
      </c>
      <c r="BW84" s="19">
        <f>'Grid_Stock'!BN40</f>
        <v/>
      </c>
      <c r="BX84" s="19">
        <f>'Grid_Stock'!BO40</f>
        <v/>
      </c>
      <c r="BY84" s="19">
        <f>'Grid_Stock'!BP40</f>
        <v/>
      </c>
      <c r="BZ84" s="19">
        <f>'Grid_Stock'!BQ40</f>
        <v/>
      </c>
      <c r="CA84" s="19">
        <f>'Grid_Stock'!BR40</f>
        <v/>
      </c>
      <c r="CB84" s="19">
        <f>'Grid_Stock'!BS40</f>
        <v/>
      </c>
      <c r="CC84" s="19">
        <f>'Grid_Stock'!BT40</f>
        <v/>
      </c>
      <c r="CD84" s="19">
        <f>'Grid_Stock'!BU40</f>
        <v/>
      </c>
      <c r="CE84" s="19">
        <f>'Grid_Stock'!BV40</f>
        <v/>
      </c>
      <c r="CF84" s="19">
        <f>'Grid_Stock'!BW40</f>
        <v/>
      </c>
      <c r="CG84" s="19">
        <f>'Grid_Stock'!BX40</f>
        <v/>
      </c>
      <c r="CH84" s="19">
        <f>'Grid_Stock'!BY40</f>
        <v/>
      </c>
      <c r="CI84" s="19">
        <f>'Grid_Stock'!BZ40</f>
        <v/>
      </c>
      <c r="CJ84" s="19">
        <f>'Grid_Stock'!CA40</f>
        <v/>
      </c>
      <c r="CK84" s="19">
        <f>'Grid_Stock'!CB40</f>
        <v/>
      </c>
      <c r="CL84" s="19">
        <f>'Grid_Stock'!CC40</f>
        <v/>
      </c>
      <c r="CM84" s="19">
        <f>'Grid_Stock'!CD40</f>
        <v/>
      </c>
      <c r="CN84" s="19">
        <f>'Grid_Stock'!CE40</f>
        <v/>
      </c>
      <c r="CO84" s="19">
        <f>'Grid_Stock'!CF40</f>
        <v/>
      </c>
      <c r="CP84" s="19">
        <f>'Grid_Stock'!CG40</f>
        <v/>
      </c>
      <c r="CQ84" s="19">
        <f>'Grid_Stock'!CH40</f>
        <v/>
      </c>
      <c r="CR84" s="19">
        <f>'Grid_Stock'!CI40</f>
        <v/>
      </c>
      <c r="CS84" s="19">
        <f>'Grid_Stock'!CJ40</f>
        <v/>
      </c>
      <c r="CT84" s="19">
        <f>'Grid_Stock'!CK40</f>
        <v/>
      </c>
      <c r="CU84" s="19">
        <f>'Grid_Stock'!CL40</f>
        <v/>
      </c>
      <c r="CV84" s="19">
        <f>'Grid_Stock'!CM40</f>
        <v/>
      </c>
      <c r="CW84" s="19">
        <f>'Grid_Stock'!CN40</f>
        <v/>
      </c>
      <c r="CX84" s="19">
        <f>'Grid_Stock'!CO40</f>
        <v/>
      </c>
      <c r="CY84" s="19">
        <f>'Grid_Stock'!CP40</f>
        <v/>
      </c>
      <c r="CZ84" s="19">
        <f>'Grid_Stock'!CQ40</f>
        <v/>
      </c>
      <c r="DA84" s="19">
        <f>'Grid_Stock'!CR40</f>
        <v/>
      </c>
      <c r="DB84" s="19">
        <f>'Grid_Stock'!CS40</f>
        <v/>
      </c>
      <c r="DC84" s="19">
        <f>'Grid_Stock'!CT40</f>
        <v/>
      </c>
      <c r="DD84" s="19">
        <f>'Grid_Stock'!CU40</f>
        <v/>
      </c>
      <c r="DE84" s="19">
        <f>'Grid_Stock'!CV40</f>
        <v/>
      </c>
      <c r="DF84" s="19">
        <f>'Grid_Stock'!CW40</f>
        <v/>
      </c>
      <c r="DG84" s="19">
        <f>'Grid_Stock'!CX40</f>
        <v/>
      </c>
      <c r="DH84" s="19">
        <f>'Grid_Stock'!CY40</f>
        <v/>
      </c>
      <c r="DI84" s="19">
        <f>'Grid_Stock'!CZ40</f>
        <v/>
      </c>
      <c r="DJ84" s="19">
        <f>'Grid_Stock'!DA40</f>
        <v/>
      </c>
    </row>
    <row r="85">
      <c r="A85" s="17" t="inlineStr">
        <is>
          <t>CHEM-1680</t>
        </is>
      </c>
      <c r="B85" s="17">
        <f>IFERROR(INDEX(M_RawMaterials[Description],MATCH($A85,M_RawMaterials[Part Name],0)),"")</f>
        <v/>
      </c>
      <c r="C85" s="17">
        <f>IFERROR(INDEX(M_RawMaterials[Category],MATCH($A85,M_RawMaterials[Part Name],0)),"")</f>
        <v/>
      </c>
      <c r="D85" s="17">
        <f>IFERROR(INDEX(M_RawMaterials[基準在庫下限_要入力],MATCH($A85,M_RawMaterials[Part Name],0)),0)</f>
        <v/>
      </c>
      <c r="E85" s="17">
        <f>IFERROR(INDEX(M_RawMaterials[基準在庫上限_要入力],MATCH($A85,M_RawMaterials[Part Name],0)),0)</f>
        <v/>
      </c>
      <c r="F85" s="17">
        <f>IFERROR(LOOKUP(2,1/('T_SelfStock'!$B$45:$DA$45&lt;&gt;""),'T_SelfStock'!$B$45:$DA$45),"")</f>
        <v/>
      </c>
      <c r="G85" s="17">
        <f>IFERROR(LOOKUP(2,1/('T_TTAFStock'!$B$45:$DA$45&lt;&gt;""),'T_TTAFStock'!$B$45:$DA$45),"")</f>
        <v/>
      </c>
      <c r="H85" s="17">
        <f>IFERROR(LOOKUP(2,1/('T_SelfStock'!$B$45:$DA$45&lt;&gt;""),'T_SelfStock'!$B$5:$DA$5),"")</f>
        <v/>
      </c>
      <c r="I85" s="18" t="inlineStr">
        <is>
          <t>理論在庫</t>
        </is>
      </c>
      <c r="J85" s="17">
        <f>IFERROR(INDEX('Grid_Stock'!$A41:$DA41,1,LOOKUP(2,1/('T_SelfStock'!$B$45:$DA$45&lt;&gt;""),COLUMN('T_SelfStock'!$B$45:$DA$45)))-INDEX('Grid_TheoreticalStock'!$A41:$DA41,1,LOOKUP(2,1/('T_SelfStock'!$B$45:$DA$45&lt;&gt;""),COLUMN('T_SelfStock'!$B$45:$DA$45))),0)</f>
        <v/>
      </c>
      <c r="K85" s="18">
        <f>'Grid_TheoreticalStock'!B41</f>
        <v/>
      </c>
      <c r="L85" s="18">
        <f>'Grid_TheoreticalStock'!C41</f>
        <v/>
      </c>
      <c r="M85" s="18">
        <f>'Grid_TheoreticalStock'!D41</f>
        <v/>
      </c>
      <c r="N85" s="18">
        <f>'Grid_TheoreticalStock'!E41</f>
        <v/>
      </c>
      <c r="O85" s="18">
        <f>'Grid_TheoreticalStock'!F41</f>
        <v/>
      </c>
      <c r="P85" s="18">
        <f>'Grid_TheoreticalStock'!G41</f>
        <v/>
      </c>
      <c r="Q85" s="18">
        <f>'Grid_TheoreticalStock'!H41</f>
        <v/>
      </c>
      <c r="R85" s="18">
        <f>'Grid_TheoreticalStock'!I41</f>
        <v/>
      </c>
      <c r="S85" s="18">
        <f>'Grid_TheoreticalStock'!J41</f>
        <v/>
      </c>
      <c r="T85" s="18">
        <f>'Grid_TheoreticalStock'!K41</f>
        <v/>
      </c>
      <c r="U85" s="18">
        <f>'Grid_TheoreticalStock'!L41</f>
        <v/>
      </c>
      <c r="V85" s="18">
        <f>'Grid_TheoreticalStock'!M41</f>
        <v/>
      </c>
      <c r="W85" s="18">
        <f>'Grid_TheoreticalStock'!N41</f>
        <v/>
      </c>
      <c r="X85" s="18">
        <f>'Grid_TheoreticalStock'!O41</f>
        <v/>
      </c>
      <c r="Y85" s="18">
        <f>'Grid_TheoreticalStock'!P41</f>
        <v/>
      </c>
      <c r="Z85" s="18">
        <f>'Grid_TheoreticalStock'!Q41</f>
        <v/>
      </c>
      <c r="AA85" s="18">
        <f>'Grid_TheoreticalStock'!R41</f>
        <v/>
      </c>
      <c r="AB85" s="18">
        <f>'Grid_TheoreticalStock'!S41</f>
        <v/>
      </c>
      <c r="AC85" s="18">
        <f>'Grid_TheoreticalStock'!T41</f>
        <v/>
      </c>
      <c r="AD85" s="18">
        <f>'Grid_TheoreticalStock'!U41</f>
        <v/>
      </c>
      <c r="AE85" s="18">
        <f>'Grid_TheoreticalStock'!V41</f>
        <v/>
      </c>
      <c r="AF85" s="18">
        <f>'Grid_TheoreticalStock'!W41</f>
        <v/>
      </c>
      <c r="AG85" s="18">
        <f>'Grid_TheoreticalStock'!X41</f>
        <v/>
      </c>
      <c r="AH85" s="18">
        <f>'Grid_TheoreticalStock'!Y41</f>
        <v/>
      </c>
      <c r="AI85" s="18">
        <f>'Grid_TheoreticalStock'!Z41</f>
        <v/>
      </c>
      <c r="AJ85" s="18">
        <f>'Grid_TheoreticalStock'!AA41</f>
        <v/>
      </c>
      <c r="AK85" s="18">
        <f>'Grid_TheoreticalStock'!AB41</f>
        <v/>
      </c>
      <c r="AL85" s="18">
        <f>'Grid_TheoreticalStock'!AC41</f>
        <v/>
      </c>
      <c r="AM85" s="18">
        <f>'Grid_TheoreticalStock'!AD41</f>
        <v/>
      </c>
      <c r="AN85" s="18">
        <f>'Grid_TheoreticalStock'!AE41</f>
        <v/>
      </c>
      <c r="AO85" s="18">
        <f>'Grid_TheoreticalStock'!AF41</f>
        <v/>
      </c>
      <c r="AP85" s="18">
        <f>'Grid_TheoreticalStock'!AG41</f>
        <v/>
      </c>
      <c r="AQ85" s="18">
        <f>'Grid_TheoreticalStock'!AH41</f>
        <v/>
      </c>
      <c r="AR85" s="18">
        <f>'Grid_TheoreticalStock'!AI41</f>
        <v/>
      </c>
      <c r="AS85" s="18">
        <f>'Grid_TheoreticalStock'!AJ41</f>
        <v/>
      </c>
      <c r="AT85" s="18">
        <f>'Grid_TheoreticalStock'!AK41</f>
        <v/>
      </c>
      <c r="AU85" s="18">
        <f>'Grid_TheoreticalStock'!AL41</f>
        <v/>
      </c>
      <c r="AV85" s="18">
        <f>'Grid_TheoreticalStock'!AM41</f>
        <v/>
      </c>
      <c r="AW85" s="18">
        <f>'Grid_TheoreticalStock'!AN41</f>
        <v/>
      </c>
      <c r="AX85" s="18">
        <f>'Grid_TheoreticalStock'!AO41</f>
        <v/>
      </c>
      <c r="AY85" s="18">
        <f>'Grid_TheoreticalStock'!AP41</f>
        <v/>
      </c>
      <c r="AZ85" s="18">
        <f>'Grid_TheoreticalStock'!AQ41</f>
        <v/>
      </c>
      <c r="BA85" s="18">
        <f>'Grid_TheoreticalStock'!AR41</f>
        <v/>
      </c>
      <c r="BB85" s="18">
        <f>'Grid_TheoreticalStock'!AS41</f>
        <v/>
      </c>
      <c r="BC85" s="18">
        <f>'Grid_TheoreticalStock'!AT41</f>
        <v/>
      </c>
      <c r="BD85" s="18">
        <f>'Grid_TheoreticalStock'!AU41</f>
        <v/>
      </c>
      <c r="BE85" s="18">
        <f>'Grid_TheoreticalStock'!AV41</f>
        <v/>
      </c>
      <c r="BF85" s="18">
        <f>'Grid_TheoreticalStock'!AW41</f>
        <v/>
      </c>
      <c r="BG85" s="18">
        <f>'Grid_TheoreticalStock'!AX41</f>
        <v/>
      </c>
      <c r="BH85" s="18">
        <f>'Grid_TheoreticalStock'!AY41</f>
        <v/>
      </c>
      <c r="BI85" s="18">
        <f>'Grid_TheoreticalStock'!AZ41</f>
        <v/>
      </c>
      <c r="BJ85" s="18">
        <f>'Grid_TheoreticalStock'!BA41</f>
        <v/>
      </c>
      <c r="BK85" s="18">
        <f>'Grid_TheoreticalStock'!BB41</f>
        <v/>
      </c>
      <c r="BL85" s="18">
        <f>'Grid_TheoreticalStock'!BC41</f>
        <v/>
      </c>
      <c r="BM85" s="18">
        <f>'Grid_TheoreticalStock'!BD41</f>
        <v/>
      </c>
      <c r="BN85" s="18">
        <f>'Grid_TheoreticalStock'!BE41</f>
        <v/>
      </c>
      <c r="BO85" s="18">
        <f>'Grid_TheoreticalStock'!BF41</f>
        <v/>
      </c>
      <c r="BP85" s="18">
        <f>'Grid_TheoreticalStock'!BG41</f>
        <v/>
      </c>
      <c r="BQ85" s="18">
        <f>'Grid_TheoreticalStock'!BH41</f>
        <v/>
      </c>
      <c r="BR85" s="18">
        <f>'Grid_TheoreticalStock'!BI41</f>
        <v/>
      </c>
      <c r="BS85" s="18">
        <f>'Grid_TheoreticalStock'!BJ41</f>
        <v/>
      </c>
      <c r="BT85" s="18">
        <f>'Grid_TheoreticalStock'!BK41</f>
        <v/>
      </c>
      <c r="BU85" s="18">
        <f>'Grid_TheoreticalStock'!BL41</f>
        <v/>
      </c>
      <c r="BV85" s="18">
        <f>'Grid_TheoreticalStock'!BM41</f>
        <v/>
      </c>
      <c r="BW85" s="18">
        <f>'Grid_TheoreticalStock'!BN41</f>
        <v/>
      </c>
      <c r="BX85" s="18">
        <f>'Grid_TheoreticalStock'!BO41</f>
        <v/>
      </c>
      <c r="BY85" s="18">
        <f>'Grid_TheoreticalStock'!BP41</f>
        <v/>
      </c>
      <c r="BZ85" s="18">
        <f>'Grid_TheoreticalStock'!BQ41</f>
        <v/>
      </c>
      <c r="CA85" s="18">
        <f>'Grid_TheoreticalStock'!BR41</f>
        <v/>
      </c>
      <c r="CB85" s="18">
        <f>'Grid_TheoreticalStock'!BS41</f>
        <v/>
      </c>
      <c r="CC85" s="18">
        <f>'Grid_TheoreticalStock'!BT41</f>
        <v/>
      </c>
      <c r="CD85" s="18">
        <f>'Grid_TheoreticalStock'!BU41</f>
        <v/>
      </c>
      <c r="CE85" s="18">
        <f>'Grid_TheoreticalStock'!BV41</f>
        <v/>
      </c>
      <c r="CF85" s="18">
        <f>'Grid_TheoreticalStock'!BW41</f>
        <v/>
      </c>
      <c r="CG85" s="18">
        <f>'Grid_TheoreticalStock'!BX41</f>
        <v/>
      </c>
      <c r="CH85" s="18">
        <f>'Grid_TheoreticalStock'!BY41</f>
        <v/>
      </c>
      <c r="CI85" s="18">
        <f>'Grid_TheoreticalStock'!BZ41</f>
        <v/>
      </c>
      <c r="CJ85" s="18">
        <f>'Grid_TheoreticalStock'!CA41</f>
        <v/>
      </c>
      <c r="CK85" s="18">
        <f>'Grid_TheoreticalStock'!CB41</f>
        <v/>
      </c>
      <c r="CL85" s="18">
        <f>'Grid_TheoreticalStock'!CC41</f>
        <v/>
      </c>
      <c r="CM85" s="18">
        <f>'Grid_TheoreticalStock'!CD41</f>
        <v/>
      </c>
      <c r="CN85" s="18">
        <f>'Grid_TheoreticalStock'!CE41</f>
        <v/>
      </c>
      <c r="CO85" s="18">
        <f>'Grid_TheoreticalStock'!CF41</f>
        <v/>
      </c>
      <c r="CP85" s="18">
        <f>'Grid_TheoreticalStock'!CG41</f>
        <v/>
      </c>
      <c r="CQ85" s="18">
        <f>'Grid_TheoreticalStock'!CH41</f>
        <v/>
      </c>
      <c r="CR85" s="18">
        <f>'Grid_TheoreticalStock'!CI41</f>
        <v/>
      </c>
      <c r="CS85" s="18">
        <f>'Grid_TheoreticalStock'!CJ41</f>
        <v/>
      </c>
      <c r="CT85" s="18">
        <f>'Grid_TheoreticalStock'!CK41</f>
        <v/>
      </c>
      <c r="CU85" s="18">
        <f>'Grid_TheoreticalStock'!CL41</f>
        <v/>
      </c>
      <c r="CV85" s="18">
        <f>'Grid_TheoreticalStock'!CM41</f>
        <v/>
      </c>
      <c r="CW85" s="18">
        <f>'Grid_TheoreticalStock'!CN41</f>
        <v/>
      </c>
      <c r="CX85" s="18">
        <f>'Grid_TheoreticalStock'!CO41</f>
        <v/>
      </c>
      <c r="CY85" s="18">
        <f>'Grid_TheoreticalStock'!CP41</f>
        <v/>
      </c>
      <c r="CZ85" s="18">
        <f>'Grid_TheoreticalStock'!CQ41</f>
        <v/>
      </c>
      <c r="DA85" s="18">
        <f>'Grid_TheoreticalStock'!CR41</f>
        <v/>
      </c>
      <c r="DB85" s="18">
        <f>'Grid_TheoreticalStock'!CS41</f>
        <v/>
      </c>
      <c r="DC85" s="18">
        <f>'Grid_TheoreticalStock'!CT41</f>
        <v/>
      </c>
      <c r="DD85" s="18">
        <f>'Grid_TheoreticalStock'!CU41</f>
        <v/>
      </c>
      <c r="DE85" s="18">
        <f>'Grid_TheoreticalStock'!CV41</f>
        <v/>
      </c>
      <c r="DF85" s="18">
        <f>'Grid_TheoreticalStock'!CW41</f>
        <v/>
      </c>
      <c r="DG85" s="18">
        <f>'Grid_TheoreticalStock'!CX41</f>
        <v/>
      </c>
      <c r="DH85" s="18">
        <f>'Grid_TheoreticalStock'!CY41</f>
        <v/>
      </c>
      <c r="DI85" s="18">
        <f>'Grid_TheoreticalStock'!CZ41</f>
        <v/>
      </c>
      <c r="DJ85" s="18">
        <f>'Grid_TheoreticalStock'!DA41</f>
        <v/>
      </c>
    </row>
    <row r="86">
      <c r="A86" s="19" t="inlineStr">
        <is>
          <t>CHEM-1680</t>
        </is>
      </c>
      <c r="B86" s="19">
        <f>IFERROR(INDEX(M_RawMaterials[Description],MATCH($A86,M_RawMaterials[Part Name],0)),"")</f>
        <v/>
      </c>
      <c r="C86" s="19">
        <f>IFERROR(INDEX(M_RawMaterials[Category],MATCH($A86,M_RawMaterials[Part Name],0)),"")</f>
        <v/>
      </c>
      <c r="D86" s="19">
        <f>IFERROR(INDEX(M_RawMaterials[基準在庫下限_要入力],MATCH($A86,M_RawMaterials[Part Name],0)),0)</f>
        <v/>
      </c>
      <c r="E86" s="19">
        <f>IFERROR(INDEX(M_RawMaterials[基準在庫上限_要入力],MATCH($A86,M_RawMaterials[Part Name],0)),0)</f>
        <v/>
      </c>
      <c r="F86" s="19">
        <f>IFERROR(LOOKUP(2,1/('T_SelfStock'!$B$45:$DA$45&lt;&gt;""),'T_SelfStock'!$B$45:$DA$45),"")</f>
        <v/>
      </c>
      <c r="G86" s="19">
        <f>IFERROR(LOOKUP(2,1/('T_TTAFStock'!$B$45:$DA$45&lt;&gt;""),'T_TTAFStock'!$B$45:$DA$45),"")</f>
        <v/>
      </c>
      <c r="H86" s="19">
        <f>IFERROR(LOOKUP(2,1/('T_SelfStock'!$B$45:$DA$45&lt;&gt;""),'T_SelfStock'!$B$5:$DA$5),"")</f>
        <v/>
      </c>
      <c r="I86" s="20" t="inlineStr">
        <is>
          <t>実在庫</t>
        </is>
      </c>
      <c r="J86" s="19">
        <f>IFERROR(INDEX('Grid_Stock'!$A41:$DA41,1,LOOKUP(2,1/('T_SelfStock'!$B$45:$DA$45&lt;&gt;""),COLUMN('T_SelfStock'!$B$45:$DA$45)))-INDEX('Grid_TheoreticalStock'!$A41:$DA41,1,LOOKUP(2,1/('T_SelfStock'!$B$45:$DA$45&lt;&gt;""),COLUMN('T_SelfStock'!$B$45:$DA$45))),0)</f>
        <v/>
      </c>
      <c r="K86" s="19">
        <f>'Grid_Stock'!B41</f>
        <v/>
      </c>
      <c r="L86" s="19">
        <f>'Grid_Stock'!C41</f>
        <v/>
      </c>
      <c r="M86" s="19">
        <f>'Grid_Stock'!D41</f>
        <v/>
      </c>
      <c r="N86" s="19">
        <f>'Grid_Stock'!E41</f>
        <v/>
      </c>
      <c r="O86" s="19">
        <f>'Grid_Stock'!F41</f>
        <v/>
      </c>
      <c r="P86" s="19">
        <f>'Grid_Stock'!G41</f>
        <v/>
      </c>
      <c r="Q86" s="19">
        <f>'Grid_Stock'!H41</f>
        <v/>
      </c>
      <c r="R86" s="19">
        <f>'Grid_Stock'!I41</f>
        <v/>
      </c>
      <c r="S86" s="19">
        <f>'Grid_Stock'!J41</f>
        <v/>
      </c>
      <c r="T86" s="19">
        <f>'Grid_Stock'!K41</f>
        <v/>
      </c>
      <c r="U86" s="19">
        <f>'Grid_Stock'!L41</f>
        <v/>
      </c>
      <c r="V86" s="19">
        <f>'Grid_Stock'!M41</f>
        <v/>
      </c>
      <c r="W86" s="19">
        <f>'Grid_Stock'!N41</f>
        <v/>
      </c>
      <c r="X86" s="19">
        <f>'Grid_Stock'!O41</f>
        <v/>
      </c>
      <c r="Y86" s="19">
        <f>'Grid_Stock'!P41</f>
        <v/>
      </c>
      <c r="Z86" s="19">
        <f>'Grid_Stock'!Q41</f>
        <v/>
      </c>
      <c r="AA86" s="19">
        <f>'Grid_Stock'!R41</f>
        <v/>
      </c>
      <c r="AB86" s="19">
        <f>'Grid_Stock'!S41</f>
        <v/>
      </c>
      <c r="AC86" s="19">
        <f>'Grid_Stock'!T41</f>
        <v/>
      </c>
      <c r="AD86" s="19">
        <f>'Grid_Stock'!U41</f>
        <v/>
      </c>
      <c r="AE86" s="19">
        <f>'Grid_Stock'!V41</f>
        <v/>
      </c>
      <c r="AF86" s="19">
        <f>'Grid_Stock'!W41</f>
        <v/>
      </c>
      <c r="AG86" s="19">
        <f>'Grid_Stock'!X41</f>
        <v/>
      </c>
      <c r="AH86" s="19">
        <f>'Grid_Stock'!Y41</f>
        <v/>
      </c>
      <c r="AI86" s="19">
        <f>'Grid_Stock'!Z41</f>
        <v/>
      </c>
      <c r="AJ86" s="19">
        <f>'Grid_Stock'!AA41</f>
        <v/>
      </c>
      <c r="AK86" s="19">
        <f>'Grid_Stock'!AB41</f>
        <v/>
      </c>
      <c r="AL86" s="19">
        <f>'Grid_Stock'!AC41</f>
        <v/>
      </c>
      <c r="AM86" s="19">
        <f>'Grid_Stock'!AD41</f>
        <v/>
      </c>
      <c r="AN86" s="19">
        <f>'Grid_Stock'!AE41</f>
        <v/>
      </c>
      <c r="AO86" s="19">
        <f>'Grid_Stock'!AF41</f>
        <v/>
      </c>
      <c r="AP86" s="19">
        <f>'Grid_Stock'!AG41</f>
        <v/>
      </c>
      <c r="AQ86" s="19">
        <f>'Grid_Stock'!AH41</f>
        <v/>
      </c>
      <c r="AR86" s="19">
        <f>'Grid_Stock'!AI41</f>
        <v/>
      </c>
      <c r="AS86" s="19">
        <f>'Grid_Stock'!AJ41</f>
        <v/>
      </c>
      <c r="AT86" s="19">
        <f>'Grid_Stock'!AK41</f>
        <v/>
      </c>
      <c r="AU86" s="19">
        <f>'Grid_Stock'!AL41</f>
        <v/>
      </c>
      <c r="AV86" s="19">
        <f>'Grid_Stock'!AM41</f>
        <v/>
      </c>
      <c r="AW86" s="19">
        <f>'Grid_Stock'!AN41</f>
        <v/>
      </c>
      <c r="AX86" s="19">
        <f>'Grid_Stock'!AO41</f>
        <v/>
      </c>
      <c r="AY86" s="19">
        <f>'Grid_Stock'!AP41</f>
        <v/>
      </c>
      <c r="AZ86" s="19">
        <f>'Grid_Stock'!AQ41</f>
        <v/>
      </c>
      <c r="BA86" s="19">
        <f>'Grid_Stock'!AR41</f>
        <v/>
      </c>
      <c r="BB86" s="19">
        <f>'Grid_Stock'!AS41</f>
        <v/>
      </c>
      <c r="BC86" s="19">
        <f>'Grid_Stock'!AT41</f>
        <v/>
      </c>
      <c r="BD86" s="19">
        <f>'Grid_Stock'!AU41</f>
        <v/>
      </c>
      <c r="BE86" s="19">
        <f>'Grid_Stock'!AV41</f>
        <v/>
      </c>
      <c r="BF86" s="19">
        <f>'Grid_Stock'!AW41</f>
        <v/>
      </c>
      <c r="BG86" s="19">
        <f>'Grid_Stock'!AX41</f>
        <v/>
      </c>
      <c r="BH86" s="19">
        <f>'Grid_Stock'!AY41</f>
        <v/>
      </c>
      <c r="BI86" s="19">
        <f>'Grid_Stock'!AZ41</f>
        <v/>
      </c>
      <c r="BJ86" s="19">
        <f>'Grid_Stock'!BA41</f>
        <v/>
      </c>
      <c r="BK86" s="19">
        <f>'Grid_Stock'!BB41</f>
        <v/>
      </c>
      <c r="BL86" s="19">
        <f>'Grid_Stock'!BC41</f>
        <v/>
      </c>
      <c r="BM86" s="19">
        <f>'Grid_Stock'!BD41</f>
        <v/>
      </c>
      <c r="BN86" s="19">
        <f>'Grid_Stock'!BE41</f>
        <v/>
      </c>
      <c r="BO86" s="19">
        <f>'Grid_Stock'!BF41</f>
        <v/>
      </c>
      <c r="BP86" s="19">
        <f>'Grid_Stock'!BG41</f>
        <v/>
      </c>
      <c r="BQ86" s="19">
        <f>'Grid_Stock'!BH41</f>
        <v/>
      </c>
      <c r="BR86" s="19">
        <f>'Grid_Stock'!BI41</f>
        <v/>
      </c>
      <c r="BS86" s="19">
        <f>'Grid_Stock'!BJ41</f>
        <v/>
      </c>
      <c r="BT86" s="19">
        <f>'Grid_Stock'!BK41</f>
        <v/>
      </c>
      <c r="BU86" s="19">
        <f>'Grid_Stock'!BL41</f>
        <v/>
      </c>
      <c r="BV86" s="19">
        <f>'Grid_Stock'!BM41</f>
        <v/>
      </c>
      <c r="BW86" s="19">
        <f>'Grid_Stock'!BN41</f>
        <v/>
      </c>
      <c r="BX86" s="19">
        <f>'Grid_Stock'!BO41</f>
        <v/>
      </c>
      <c r="BY86" s="19">
        <f>'Grid_Stock'!BP41</f>
        <v/>
      </c>
      <c r="BZ86" s="19">
        <f>'Grid_Stock'!BQ41</f>
        <v/>
      </c>
      <c r="CA86" s="19">
        <f>'Grid_Stock'!BR41</f>
        <v/>
      </c>
      <c r="CB86" s="19">
        <f>'Grid_Stock'!BS41</f>
        <v/>
      </c>
      <c r="CC86" s="19">
        <f>'Grid_Stock'!BT41</f>
        <v/>
      </c>
      <c r="CD86" s="19">
        <f>'Grid_Stock'!BU41</f>
        <v/>
      </c>
      <c r="CE86" s="19">
        <f>'Grid_Stock'!BV41</f>
        <v/>
      </c>
      <c r="CF86" s="19">
        <f>'Grid_Stock'!BW41</f>
        <v/>
      </c>
      <c r="CG86" s="19">
        <f>'Grid_Stock'!BX41</f>
        <v/>
      </c>
      <c r="CH86" s="19">
        <f>'Grid_Stock'!BY41</f>
        <v/>
      </c>
      <c r="CI86" s="19">
        <f>'Grid_Stock'!BZ41</f>
        <v/>
      </c>
      <c r="CJ86" s="19">
        <f>'Grid_Stock'!CA41</f>
        <v/>
      </c>
      <c r="CK86" s="19">
        <f>'Grid_Stock'!CB41</f>
        <v/>
      </c>
      <c r="CL86" s="19">
        <f>'Grid_Stock'!CC41</f>
        <v/>
      </c>
      <c r="CM86" s="19">
        <f>'Grid_Stock'!CD41</f>
        <v/>
      </c>
      <c r="CN86" s="19">
        <f>'Grid_Stock'!CE41</f>
        <v/>
      </c>
      <c r="CO86" s="19">
        <f>'Grid_Stock'!CF41</f>
        <v/>
      </c>
      <c r="CP86" s="19">
        <f>'Grid_Stock'!CG41</f>
        <v/>
      </c>
      <c r="CQ86" s="19">
        <f>'Grid_Stock'!CH41</f>
        <v/>
      </c>
      <c r="CR86" s="19">
        <f>'Grid_Stock'!CI41</f>
        <v/>
      </c>
      <c r="CS86" s="19">
        <f>'Grid_Stock'!CJ41</f>
        <v/>
      </c>
      <c r="CT86" s="19">
        <f>'Grid_Stock'!CK41</f>
        <v/>
      </c>
      <c r="CU86" s="19">
        <f>'Grid_Stock'!CL41</f>
        <v/>
      </c>
      <c r="CV86" s="19">
        <f>'Grid_Stock'!CM41</f>
        <v/>
      </c>
      <c r="CW86" s="19">
        <f>'Grid_Stock'!CN41</f>
        <v/>
      </c>
      <c r="CX86" s="19">
        <f>'Grid_Stock'!CO41</f>
        <v/>
      </c>
      <c r="CY86" s="19">
        <f>'Grid_Stock'!CP41</f>
        <v/>
      </c>
      <c r="CZ86" s="19">
        <f>'Grid_Stock'!CQ41</f>
        <v/>
      </c>
      <c r="DA86" s="19">
        <f>'Grid_Stock'!CR41</f>
        <v/>
      </c>
      <c r="DB86" s="19">
        <f>'Grid_Stock'!CS41</f>
        <v/>
      </c>
      <c r="DC86" s="19">
        <f>'Grid_Stock'!CT41</f>
        <v/>
      </c>
      <c r="DD86" s="19">
        <f>'Grid_Stock'!CU41</f>
        <v/>
      </c>
      <c r="DE86" s="19">
        <f>'Grid_Stock'!CV41</f>
        <v/>
      </c>
      <c r="DF86" s="19">
        <f>'Grid_Stock'!CW41</f>
        <v/>
      </c>
      <c r="DG86" s="19">
        <f>'Grid_Stock'!CX41</f>
        <v/>
      </c>
      <c r="DH86" s="19">
        <f>'Grid_Stock'!CY41</f>
        <v/>
      </c>
      <c r="DI86" s="19">
        <f>'Grid_Stock'!CZ41</f>
        <v/>
      </c>
      <c r="DJ86" s="19">
        <f>'Grid_Stock'!DA41</f>
        <v/>
      </c>
    </row>
    <row r="87">
      <c r="A87" s="17" t="inlineStr">
        <is>
          <t>CHEM-1730</t>
        </is>
      </c>
      <c r="B87" s="17">
        <f>IFERROR(INDEX(M_RawMaterials[Description],MATCH($A87,M_RawMaterials[Part Name],0)),"")</f>
        <v/>
      </c>
      <c r="C87" s="17">
        <f>IFERROR(INDEX(M_RawMaterials[Category],MATCH($A87,M_RawMaterials[Part Name],0)),"")</f>
        <v/>
      </c>
      <c r="D87" s="17">
        <f>IFERROR(INDEX(M_RawMaterials[基準在庫下限_要入力],MATCH($A87,M_RawMaterials[Part Name],0)),0)</f>
        <v/>
      </c>
      <c r="E87" s="17">
        <f>IFERROR(INDEX(M_RawMaterials[基準在庫上限_要入力],MATCH($A87,M_RawMaterials[Part Name],0)),0)</f>
        <v/>
      </c>
      <c r="F87" s="17">
        <f>IFERROR(LOOKUP(2,1/('T_SelfStock'!$B$46:$DA$46&lt;&gt;""),'T_SelfStock'!$B$46:$DA$46),"")</f>
        <v/>
      </c>
      <c r="G87" s="17">
        <f>IFERROR(LOOKUP(2,1/('T_TTAFStock'!$B$46:$DA$46&lt;&gt;""),'T_TTAFStock'!$B$46:$DA$46),"")</f>
        <v/>
      </c>
      <c r="H87" s="17">
        <f>IFERROR(LOOKUP(2,1/('T_SelfStock'!$B$46:$DA$46&lt;&gt;""),'T_SelfStock'!$B$5:$DA$5),"")</f>
        <v/>
      </c>
      <c r="I87" s="18" t="inlineStr">
        <is>
          <t>理論在庫</t>
        </is>
      </c>
      <c r="J87" s="17">
        <f>IFERROR(INDEX('Grid_Stock'!$A42:$DA42,1,LOOKUP(2,1/('T_SelfStock'!$B$46:$DA$46&lt;&gt;""),COLUMN('T_SelfStock'!$B$46:$DA$46)))-INDEX('Grid_TheoreticalStock'!$A42:$DA42,1,LOOKUP(2,1/('T_SelfStock'!$B$46:$DA$46&lt;&gt;""),COLUMN('T_SelfStock'!$B$46:$DA$46))),0)</f>
        <v/>
      </c>
      <c r="K87" s="18">
        <f>'Grid_TheoreticalStock'!B42</f>
        <v/>
      </c>
      <c r="L87" s="18">
        <f>'Grid_TheoreticalStock'!C42</f>
        <v/>
      </c>
      <c r="M87" s="18">
        <f>'Grid_TheoreticalStock'!D42</f>
        <v/>
      </c>
      <c r="N87" s="18">
        <f>'Grid_TheoreticalStock'!E42</f>
        <v/>
      </c>
      <c r="O87" s="18">
        <f>'Grid_TheoreticalStock'!F42</f>
        <v/>
      </c>
      <c r="P87" s="18">
        <f>'Grid_TheoreticalStock'!G42</f>
        <v/>
      </c>
      <c r="Q87" s="18">
        <f>'Grid_TheoreticalStock'!H42</f>
        <v/>
      </c>
      <c r="R87" s="18">
        <f>'Grid_TheoreticalStock'!I42</f>
        <v/>
      </c>
      <c r="S87" s="18">
        <f>'Grid_TheoreticalStock'!J42</f>
        <v/>
      </c>
      <c r="T87" s="18">
        <f>'Grid_TheoreticalStock'!K42</f>
        <v/>
      </c>
      <c r="U87" s="18">
        <f>'Grid_TheoreticalStock'!L42</f>
        <v/>
      </c>
      <c r="V87" s="18">
        <f>'Grid_TheoreticalStock'!M42</f>
        <v/>
      </c>
      <c r="W87" s="18">
        <f>'Grid_TheoreticalStock'!N42</f>
        <v/>
      </c>
      <c r="X87" s="18">
        <f>'Grid_TheoreticalStock'!O42</f>
        <v/>
      </c>
      <c r="Y87" s="18">
        <f>'Grid_TheoreticalStock'!P42</f>
        <v/>
      </c>
      <c r="Z87" s="18">
        <f>'Grid_TheoreticalStock'!Q42</f>
        <v/>
      </c>
      <c r="AA87" s="18">
        <f>'Grid_TheoreticalStock'!R42</f>
        <v/>
      </c>
      <c r="AB87" s="18">
        <f>'Grid_TheoreticalStock'!S42</f>
        <v/>
      </c>
      <c r="AC87" s="18">
        <f>'Grid_TheoreticalStock'!T42</f>
        <v/>
      </c>
      <c r="AD87" s="18">
        <f>'Grid_TheoreticalStock'!U42</f>
        <v/>
      </c>
      <c r="AE87" s="18">
        <f>'Grid_TheoreticalStock'!V42</f>
        <v/>
      </c>
      <c r="AF87" s="18">
        <f>'Grid_TheoreticalStock'!W42</f>
        <v/>
      </c>
      <c r="AG87" s="18">
        <f>'Grid_TheoreticalStock'!X42</f>
        <v/>
      </c>
      <c r="AH87" s="18">
        <f>'Grid_TheoreticalStock'!Y42</f>
        <v/>
      </c>
      <c r="AI87" s="18">
        <f>'Grid_TheoreticalStock'!Z42</f>
        <v/>
      </c>
      <c r="AJ87" s="18">
        <f>'Grid_TheoreticalStock'!AA42</f>
        <v/>
      </c>
      <c r="AK87" s="18">
        <f>'Grid_TheoreticalStock'!AB42</f>
        <v/>
      </c>
      <c r="AL87" s="18">
        <f>'Grid_TheoreticalStock'!AC42</f>
        <v/>
      </c>
      <c r="AM87" s="18">
        <f>'Grid_TheoreticalStock'!AD42</f>
        <v/>
      </c>
      <c r="AN87" s="18">
        <f>'Grid_TheoreticalStock'!AE42</f>
        <v/>
      </c>
      <c r="AO87" s="18">
        <f>'Grid_TheoreticalStock'!AF42</f>
        <v/>
      </c>
      <c r="AP87" s="18">
        <f>'Grid_TheoreticalStock'!AG42</f>
        <v/>
      </c>
      <c r="AQ87" s="18">
        <f>'Grid_TheoreticalStock'!AH42</f>
        <v/>
      </c>
      <c r="AR87" s="18">
        <f>'Grid_TheoreticalStock'!AI42</f>
        <v/>
      </c>
      <c r="AS87" s="18">
        <f>'Grid_TheoreticalStock'!AJ42</f>
        <v/>
      </c>
      <c r="AT87" s="18">
        <f>'Grid_TheoreticalStock'!AK42</f>
        <v/>
      </c>
      <c r="AU87" s="18">
        <f>'Grid_TheoreticalStock'!AL42</f>
        <v/>
      </c>
      <c r="AV87" s="18">
        <f>'Grid_TheoreticalStock'!AM42</f>
        <v/>
      </c>
      <c r="AW87" s="18">
        <f>'Grid_TheoreticalStock'!AN42</f>
        <v/>
      </c>
      <c r="AX87" s="18">
        <f>'Grid_TheoreticalStock'!AO42</f>
        <v/>
      </c>
      <c r="AY87" s="18">
        <f>'Grid_TheoreticalStock'!AP42</f>
        <v/>
      </c>
      <c r="AZ87" s="18">
        <f>'Grid_TheoreticalStock'!AQ42</f>
        <v/>
      </c>
      <c r="BA87" s="18">
        <f>'Grid_TheoreticalStock'!AR42</f>
        <v/>
      </c>
      <c r="BB87" s="18">
        <f>'Grid_TheoreticalStock'!AS42</f>
        <v/>
      </c>
      <c r="BC87" s="18">
        <f>'Grid_TheoreticalStock'!AT42</f>
        <v/>
      </c>
      <c r="BD87" s="18">
        <f>'Grid_TheoreticalStock'!AU42</f>
        <v/>
      </c>
      <c r="BE87" s="18">
        <f>'Grid_TheoreticalStock'!AV42</f>
        <v/>
      </c>
      <c r="BF87" s="18">
        <f>'Grid_TheoreticalStock'!AW42</f>
        <v/>
      </c>
      <c r="BG87" s="18">
        <f>'Grid_TheoreticalStock'!AX42</f>
        <v/>
      </c>
      <c r="BH87" s="18">
        <f>'Grid_TheoreticalStock'!AY42</f>
        <v/>
      </c>
      <c r="BI87" s="18">
        <f>'Grid_TheoreticalStock'!AZ42</f>
        <v/>
      </c>
      <c r="BJ87" s="18">
        <f>'Grid_TheoreticalStock'!BA42</f>
        <v/>
      </c>
      <c r="BK87" s="18">
        <f>'Grid_TheoreticalStock'!BB42</f>
        <v/>
      </c>
      <c r="BL87" s="18">
        <f>'Grid_TheoreticalStock'!BC42</f>
        <v/>
      </c>
      <c r="BM87" s="18">
        <f>'Grid_TheoreticalStock'!BD42</f>
        <v/>
      </c>
      <c r="BN87" s="18">
        <f>'Grid_TheoreticalStock'!BE42</f>
        <v/>
      </c>
      <c r="BO87" s="18">
        <f>'Grid_TheoreticalStock'!BF42</f>
        <v/>
      </c>
      <c r="BP87" s="18">
        <f>'Grid_TheoreticalStock'!BG42</f>
        <v/>
      </c>
      <c r="BQ87" s="18">
        <f>'Grid_TheoreticalStock'!BH42</f>
        <v/>
      </c>
      <c r="BR87" s="18">
        <f>'Grid_TheoreticalStock'!BI42</f>
        <v/>
      </c>
      <c r="BS87" s="18">
        <f>'Grid_TheoreticalStock'!BJ42</f>
        <v/>
      </c>
      <c r="BT87" s="18">
        <f>'Grid_TheoreticalStock'!BK42</f>
        <v/>
      </c>
      <c r="BU87" s="18">
        <f>'Grid_TheoreticalStock'!BL42</f>
        <v/>
      </c>
      <c r="BV87" s="18">
        <f>'Grid_TheoreticalStock'!BM42</f>
        <v/>
      </c>
      <c r="BW87" s="18">
        <f>'Grid_TheoreticalStock'!BN42</f>
        <v/>
      </c>
      <c r="BX87" s="18">
        <f>'Grid_TheoreticalStock'!BO42</f>
        <v/>
      </c>
      <c r="BY87" s="18">
        <f>'Grid_TheoreticalStock'!BP42</f>
        <v/>
      </c>
      <c r="BZ87" s="18">
        <f>'Grid_TheoreticalStock'!BQ42</f>
        <v/>
      </c>
      <c r="CA87" s="18">
        <f>'Grid_TheoreticalStock'!BR42</f>
        <v/>
      </c>
      <c r="CB87" s="18">
        <f>'Grid_TheoreticalStock'!BS42</f>
        <v/>
      </c>
      <c r="CC87" s="18">
        <f>'Grid_TheoreticalStock'!BT42</f>
        <v/>
      </c>
      <c r="CD87" s="18">
        <f>'Grid_TheoreticalStock'!BU42</f>
        <v/>
      </c>
      <c r="CE87" s="18">
        <f>'Grid_TheoreticalStock'!BV42</f>
        <v/>
      </c>
      <c r="CF87" s="18">
        <f>'Grid_TheoreticalStock'!BW42</f>
        <v/>
      </c>
      <c r="CG87" s="18">
        <f>'Grid_TheoreticalStock'!BX42</f>
        <v/>
      </c>
      <c r="CH87" s="18">
        <f>'Grid_TheoreticalStock'!BY42</f>
        <v/>
      </c>
      <c r="CI87" s="18">
        <f>'Grid_TheoreticalStock'!BZ42</f>
        <v/>
      </c>
      <c r="CJ87" s="18">
        <f>'Grid_TheoreticalStock'!CA42</f>
        <v/>
      </c>
      <c r="CK87" s="18">
        <f>'Grid_TheoreticalStock'!CB42</f>
        <v/>
      </c>
      <c r="CL87" s="18">
        <f>'Grid_TheoreticalStock'!CC42</f>
        <v/>
      </c>
      <c r="CM87" s="18">
        <f>'Grid_TheoreticalStock'!CD42</f>
        <v/>
      </c>
      <c r="CN87" s="18">
        <f>'Grid_TheoreticalStock'!CE42</f>
        <v/>
      </c>
      <c r="CO87" s="18">
        <f>'Grid_TheoreticalStock'!CF42</f>
        <v/>
      </c>
      <c r="CP87" s="18">
        <f>'Grid_TheoreticalStock'!CG42</f>
        <v/>
      </c>
      <c r="CQ87" s="18">
        <f>'Grid_TheoreticalStock'!CH42</f>
        <v/>
      </c>
      <c r="CR87" s="18">
        <f>'Grid_TheoreticalStock'!CI42</f>
        <v/>
      </c>
      <c r="CS87" s="18">
        <f>'Grid_TheoreticalStock'!CJ42</f>
        <v/>
      </c>
      <c r="CT87" s="18">
        <f>'Grid_TheoreticalStock'!CK42</f>
        <v/>
      </c>
      <c r="CU87" s="18">
        <f>'Grid_TheoreticalStock'!CL42</f>
        <v/>
      </c>
      <c r="CV87" s="18">
        <f>'Grid_TheoreticalStock'!CM42</f>
        <v/>
      </c>
      <c r="CW87" s="18">
        <f>'Grid_TheoreticalStock'!CN42</f>
        <v/>
      </c>
      <c r="CX87" s="18">
        <f>'Grid_TheoreticalStock'!CO42</f>
        <v/>
      </c>
      <c r="CY87" s="18">
        <f>'Grid_TheoreticalStock'!CP42</f>
        <v/>
      </c>
      <c r="CZ87" s="18">
        <f>'Grid_TheoreticalStock'!CQ42</f>
        <v/>
      </c>
      <c r="DA87" s="18">
        <f>'Grid_TheoreticalStock'!CR42</f>
        <v/>
      </c>
      <c r="DB87" s="18">
        <f>'Grid_TheoreticalStock'!CS42</f>
        <v/>
      </c>
      <c r="DC87" s="18">
        <f>'Grid_TheoreticalStock'!CT42</f>
        <v/>
      </c>
      <c r="DD87" s="18">
        <f>'Grid_TheoreticalStock'!CU42</f>
        <v/>
      </c>
      <c r="DE87" s="18">
        <f>'Grid_TheoreticalStock'!CV42</f>
        <v/>
      </c>
      <c r="DF87" s="18">
        <f>'Grid_TheoreticalStock'!CW42</f>
        <v/>
      </c>
      <c r="DG87" s="18">
        <f>'Grid_TheoreticalStock'!CX42</f>
        <v/>
      </c>
      <c r="DH87" s="18">
        <f>'Grid_TheoreticalStock'!CY42</f>
        <v/>
      </c>
      <c r="DI87" s="18">
        <f>'Grid_TheoreticalStock'!CZ42</f>
        <v/>
      </c>
      <c r="DJ87" s="18">
        <f>'Grid_TheoreticalStock'!DA42</f>
        <v/>
      </c>
    </row>
    <row r="88">
      <c r="A88" s="19" t="inlineStr">
        <is>
          <t>CHEM-1730</t>
        </is>
      </c>
      <c r="B88" s="19">
        <f>IFERROR(INDEX(M_RawMaterials[Description],MATCH($A88,M_RawMaterials[Part Name],0)),"")</f>
        <v/>
      </c>
      <c r="C88" s="19">
        <f>IFERROR(INDEX(M_RawMaterials[Category],MATCH($A88,M_RawMaterials[Part Name],0)),"")</f>
        <v/>
      </c>
      <c r="D88" s="19">
        <f>IFERROR(INDEX(M_RawMaterials[基準在庫下限_要入力],MATCH($A88,M_RawMaterials[Part Name],0)),0)</f>
        <v/>
      </c>
      <c r="E88" s="19">
        <f>IFERROR(INDEX(M_RawMaterials[基準在庫上限_要入力],MATCH($A88,M_RawMaterials[Part Name],0)),0)</f>
        <v/>
      </c>
      <c r="F88" s="19">
        <f>IFERROR(LOOKUP(2,1/('T_SelfStock'!$B$46:$DA$46&lt;&gt;""),'T_SelfStock'!$B$46:$DA$46),"")</f>
        <v/>
      </c>
      <c r="G88" s="19">
        <f>IFERROR(LOOKUP(2,1/('T_TTAFStock'!$B$46:$DA$46&lt;&gt;""),'T_TTAFStock'!$B$46:$DA$46),"")</f>
        <v/>
      </c>
      <c r="H88" s="19">
        <f>IFERROR(LOOKUP(2,1/('T_SelfStock'!$B$46:$DA$46&lt;&gt;""),'T_SelfStock'!$B$5:$DA$5),"")</f>
        <v/>
      </c>
      <c r="I88" s="20" t="inlineStr">
        <is>
          <t>実在庫</t>
        </is>
      </c>
      <c r="J88" s="19">
        <f>IFERROR(INDEX('Grid_Stock'!$A42:$DA42,1,LOOKUP(2,1/('T_SelfStock'!$B$46:$DA$46&lt;&gt;""),COLUMN('T_SelfStock'!$B$46:$DA$46)))-INDEX('Grid_TheoreticalStock'!$A42:$DA42,1,LOOKUP(2,1/('T_SelfStock'!$B$46:$DA$46&lt;&gt;""),COLUMN('T_SelfStock'!$B$46:$DA$46))),0)</f>
        <v/>
      </c>
      <c r="K88" s="19">
        <f>'Grid_Stock'!B42</f>
        <v/>
      </c>
      <c r="L88" s="19">
        <f>'Grid_Stock'!C42</f>
        <v/>
      </c>
      <c r="M88" s="19">
        <f>'Grid_Stock'!D42</f>
        <v/>
      </c>
      <c r="N88" s="19">
        <f>'Grid_Stock'!E42</f>
        <v/>
      </c>
      <c r="O88" s="19">
        <f>'Grid_Stock'!F42</f>
        <v/>
      </c>
      <c r="P88" s="19">
        <f>'Grid_Stock'!G42</f>
        <v/>
      </c>
      <c r="Q88" s="19">
        <f>'Grid_Stock'!H42</f>
        <v/>
      </c>
      <c r="R88" s="19">
        <f>'Grid_Stock'!I42</f>
        <v/>
      </c>
      <c r="S88" s="19">
        <f>'Grid_Stock'!J42</f>
        <v/>
      </c>
      <c r="T88" s="19">
        <f>'Grid_Stock'!K42</f>
        <v/>
      </c>
      <c r="U88" s="19">
        <f>'Grid_Stock'!L42</f>
        <v/>
      </c>
      <c r="V88" s="19">
        <f>'Grid_Stock'!M42</f>
        <v/>
      </c>
      <c r="W88" s="19">
        <f>'Grid_Stock'!N42</f>
        <v/>
      </c>
      <c r="X88" s="19">
        <f>'Grid_Stock'!O42</f>
        <v/>
      </c>
      <c r="Y88" s="19">
        <f>'Grid_Stock'!P42</f>
        <v/>
      </c>
      <c r="Z88" s="19">
        <f>'Grid_Stock'!Q42</f>
        <v/>
      </c>
      <c r="AA88" s="19">
        <f>'Grid_Stock'!R42</f>
        <v/>
      </c>
      <c r="AB88" s="19">
        <f>'Grid_Stock'!S42</f>
        <v/>
      </c>
      <c r="AC88" s="19">
        <f>'Grid_Stock'!T42</f>
        <v/>
      </c>
      <c r="AD88" s="19">
        <f>'Grid_Stock'!U42</f>
        <v/>
      </c>
      <c r="AE88" s="19">
        <f>'Grid_Stock'!V42</f>
        <v/>
      </c>
      <c r="AF88" s="19">
        <f>'Grid_Stock'!W42</f>
        <v/>
      </c>
      <c r="AG88" s="19">
        <f>'Grid_Stock'!X42</f>
        <v/>
      </c>
      <c r="AH88" s="19">
        <f>'Grid_Stock'!Y42</f>
        <v/>
      </c>
      <c r="AI88" s="19">
        <f>'Grid_Stock'!Z42</f>
        <v/>
      </c>
      <c r="AJ88" s="19">
        <f>'Grid_Stock'!AA42</f>
        <v/>
      </c>
      <c r="AK88" s="19">
        <f>'Grid_Stock'!AB42</f>
        <v/>
      </c>
      <c r="AL88" s="19">
        <f>'Grid_Stock'!AC42</f>
        <v/>
      </c>
      <c r="AM88" s="19">
        <f>'Grid_Stock'!AD42</f>
        <v/>
      </c>
      <c r="AN88" s="19">
        <f>'Grid_Stock'!AE42</f>
        <v/>
      </c>
      <c r="AO88" s="19">
        <f>'Grid_Stock'!AF42</f>
        <v/>
      </c>
      <c r="AP88" s="19">
        <f>'Grid_Stock'!AG42</f>
        <v/>
      </c>
      <c r="AQ88" s="19">
        <f>'Grid_Stock'!AH42</f>
        <v/>
      </c>
      <c r="AR88" s="19">
        <f>'Grid_Stock'!AI42</f>
        <v/>
      </c>
      <c r="AS88" s="19">
        <f>'Grid_Stock'!AJ42</f>
        <v/>
      </c>
      <c r="AT88" s="19">
        <f>'Grid_Stock'!AK42</f>
        <v/>
      </c>
      <c r="AU88" s="19">
        <f>'Grid_Stock'!AL42</f>
        <v/>
      </c>
      <c r="AV88" s="19">
        <f>'Grid_Stock'!AM42</f>
        <v/>
      </c>
      <c r="AW88" s="19">
        <f>'Grid_Stock'!AN42</f>
        <v/>
      </c>
      <c r="AX88" s="19">
        <f>'Grid_Stock'!AO42</f>
        <v/>
      </c>
      <c r="AY88" s="19">
        <f>'Grid_Stock'!AP42</f>
        <v/>
      </c>
      <c r="AZ88" s="19">
        <f>'Grid_Stock'!AQ42</f>
        <v/>
      </c>
      <c r="BA88" s="19">
        <f>'Grid_Stock'!AR42</f>
        <v/>
      </c>
      <c r="BB88" s="19">
        <f>'Grid_Stock'!AS42</f>
        <v/>
      </c>
      <c r="BC88" s="19">
        <f>'Grid_Stock'!AT42</f>
        <v/>
      </c>
      <c r="BD88" s="19">
        <f>'Grid_Stock'!AU42</f>
        <v/>
      </c>
      <c r="BE88" s="19">
        <f>'Grid_Stock'!AV42</f>
        <v/>
      </c>
      <c r="BF88" s="19">
        <f>'Grid_Stock'!AW42</f>
        <v/>
      </c>
      <c r="BG88" s="19">
        <f>'Grid_Stock'!AX42</f>
        <v/>
      </c>
      <c r="BH88" s="19">
        <f>'Grid_Stock'!AY42</f>
        <v/>
      </c>
      <c r="BI88" s="19">
        <f>'Grid_Stock'!AZ42</f>
        <v/>
      </c>
      <c r="BJ88" s="19">
        <f>'Grid_Stock'!BA42</f>
        <v/>
      </c>
      <c r="BK88" s="19">
        <f>'Grid_Stock'!BB42</f>
        <v/>
      </c>
      <c r="BL88" s="19">
        <f>'Grid_Stock'!BC42</f>
        <v/>
      </c>
      <c r="BM88" s="19">
        <f>'Grid_Stock'!BD42</f>
        <v/>
      </c>
      <c r="BN88" s="19">
        <f>'Grid_Stock'!BE42</f>
        <v/>
      </c>
      <c r="BO88" s="19">
        <f>'Grid_Stock'!BF42</f>
        <v/>
      </c>
      <c r="BP88" s="19">
        <f>'Grid_Stock'!BG42</f>
        <v/>
      </c>
      <c r="BQ88" s="19">
        <f>'Grid_Stock'!BH42</f>
        <v/>
      </c>
      <c r="BR88" s="19">
        <f>'Grid_Stock'!BI42</f>
        <v/>
      </c>
      <c r="BS88" s="19">
        <f>'Grid_Stock'!BJ42</f>
        <v/>
      </c>
      <c r="BT88" s="19">
        <f>'Grid_Stock'!BK42</f>
        <v/>
      </c>
      <c r="BU88" s="19">
        <f>'Grid_Stock'!BL42</f>
        <v/>
      </c>
      <c r="BV88" s="19">
        <f>'Grid_Stock'!BM42</f>
        <v/>
      </c>
      <c r="BW88" s="19">
        <f>'Grid_Stock'!BN42</f>
        <v/>
      </c>
      <c r="BX88" s="19">
        <f>'Grid_Stock'!BO42</f>
        <v/>
      </c>
      <c r="BY88" s="19">
        <f>'Grid_Stock'!BP42</f>
        <v/>
      </c>
      <c r="BZ88" s="19">
        <f>'Grid_Stock'!BQ42</f>
        <v/>
      </c>
      <c r="CA88" s="19">
        <f>'Grid_Stock'!BR42</f>
        <v/>
      </c>
      <c r="CB88" s="19">
        <f>'Grid_Stock'!BS42</f>
        <v/>
      </c>
      <c r="CC88" s="19">
        <f>'Grid_Stock'!BT42</f>
        <v/>
      </c>
      <c r="CD88" s="19">
        <f>'Grid_Stock'!BU42</f>
        <v/>
      </c>
      <c r="CE88" s="19">
        <f>'Grid_Stock'!BV42</f>
        <v/>
      </c>
      <c r="CF88" s="19">
        <f>'Grid_Stock'!BW42</f>
        <v/>
      </c>
      <c r="CG88" s="19">
        <f>'Grid_Stock'!BX42</f>
        <v/>
      </c>
      <c r="CH88" s="19">
        <f>'Grid_Stock'!BY42</f>
        <v/>
      </c>
      <c r="CI88" s="19">
        <f>'Grid_Stock'!BZ42</f>
        <v/>
      </c>
      <c r="CJ88" s="19">
        <f>'Grid_Stock'!CA42</f>
        <v/>
      </c>
      <c r="CK88" s="19">
        <f>'Grid_Stock'!CB42</f>
        <v/>
      </c>
      <c r="CL88" s="19">
        <f>'Grid_Stock'!CC42</f>
        <v/>
      </c>
      <c r="CM88" s="19">
        <f>'Grid_Stock'!CD42</f>
        <v/>
      </c>
      <c r="CN88" s="19">
        <f>'Grid_Stock'!CE42</f>
        <v/>
      </c>
      <c r="CO88" s="19">
        <f>'Grid_Stock'!CF42</f>
        <v/>
      </c>
      <c r="CP88" s="19">
        <f>'Grid_Stock'!CG42</f>
        <v/>
      </c>
      <c r="CQ88" s="19">
        <f>'Grid_Stock'!CH42</f>
        <v/>
      </c>
      <c r="CR88" s="19">
        <f>'Grid_Stock'!CI42</f>
        <v/>
      </c>
      <c r="CS88" s="19">
        <f>'Grid_Stock'!CJ42</f>
        <v/>
      </c>
      <c r="CT88" s="19">
        <f>'Grid_Stock'!CK42</f>
        <v/>
      </c>
      <c r="CU88" s="19">
        <f>'Grid_Stock'!CL42</f>
        <v/>
      </c>
      <c r="CV88" s="19">
        <f>'Grid_Stock'!CM42</f>
        <v/>
      </c>
      <c r="CW88" s="19">
        <f>'Grid_Stock'!CN42</f>
        <v/>
      </c>
      <c r="CX88" s="19">
        <f>'Grid_Stock'!CO42</f>
        <v/>
      </c>
      <c r="CY88" s="19">
        <f>'Grid_Stock'!CP42</f>
        <v/>
      </c>
      <c r="CZ88" s="19">
        <f>'Grid_Stock'!CQ42</f>
        <v/>
      </c>
      <c r="DA88" s="19">
        <f>'Grid_Stock'!CR42</f>
        <v/>
      </c>
      <c r="DB88" s="19">
        <f>'Grid_Stock'!CS42</f>
        <v/>
      </c>
      <c r="DC88" s="19">
        <f>'Grid_Stock'!CT42</f>
        <v/>
      </c>
      <c r="DD88" s="19">
        <f>'Grid_Stock'!CU42</f>
        <v/>
      </c>
      <c r="DE88" s="19">
        <f>'Grid_Stock'!CV42</f>
        <v/>
      </c>
      <c r="DF88" s="19">
        <f>'Grid_Stock'!CW42</f>
        <v/>
      </c>
      <c r="DG88" s="19">
        <f>'Grid_Stock'!CX42</f>
        <v/>
      </c>
      <c r="DH88" s="19">
        <f>'Grid_Stock'!CY42</f>
        <v/>
      </c>
      <c r="DI88" s="19">
        <f>'Grid_Stock'!CZ42</f>
        <v/>
      </c>
      <c r="DJ88" s="19">
        <f>'Grid_Stock'!DA42</f>
        <v/>
      </c>
    </row>
    <row r="89">
      <c r="A89" s="17" t="inlineStr">
        <is>
          <t>CHEM-1280</t>
        </is>
      </c>
      <c r="B89" s="17">
        <f>IFERROR(INDEX(M_RawMaterials[Description],MATCH($A89,M_RawMaterials[Part Name],0)),"")</f>
        <v/>
      </c>
      <c r="C89" s="17">
        <f>IFERROR(INDEX(M_RawMaterials[Category],MATCH($A89,M_RawMaterials[Part Name],0)),"")</f>
        <v/>
      </c>
      <c r="D89" s="17">
        <f>IFERROR(INDEX(M_RawMaterials[基準在庫下限_要入力],MATCH($A89,M_RawMaterials[Part Name],0)),0)</f>
        <v/>
      </c>
      <c r="E89" s="17">
        <f>IFERROR(INDEX(M_RawMaterials[基準在庫上限_要入力],MATCH($A89,M_RawMaterials[Part Name],0)),0)</f>
        <v/>
      </c>
      <c r="F89" s="17">
        <f>IFERROR(LOOKUP(2,1/('T_SelfStock'!$B$47:$DA$47&lt;&gt;""),'T_SelfStock'!$B$47:$DA$47),"")</f>
        <v/>
      </c>
      <c r="G89" s="17">
        <f>IFERROR(LOOKUP(2,1/('T_TTAFStock'!$B$47:$DA$47&lt;&gt;""),'T_TTAFStock'!$B$47:$DA$47),"")</f>
        <v/>
      </c>
      <c r="H89" s="17">
        <f>IFERROR(LOOKUP(2,1/('T_SelfStock'!$B$47:$DA$47&lt;&gt;""),'T_SelfStock'!$B$5:$DA$5),"")</f>
        <v/>
      </c>
      <c r="I89" s="18" t="inlineStr">
        <is>
          <t>理論在庫</t>
        </is>
      </c>
      <c r="J89" s="17">
        <f>IFERROR(INDEX('Grid_Stock'!$A43:$DA43,1,LOOKUP(2,1/('T_SelfStock'!$B$47:$DA$47&lt;&gt;""),COLUMN('T_SelfStock'!$B$47:$DA$47)))-INDEX('Grid_TheoreticalStock'!$A43:$DA43,1,LOOKUP(2,1/('T_SelfStock'!$B$47:$DA$47&lt;&gt;""),COLUMN('T_SelfStock'!$B$47:$DA$47))),0)</f>
        <v/>
      </c>
      <c r="K89" s="18">
        <f>'Grid_TheoreticalStock'!B43</f>
        <v/>
      </c>
      <c r="L89" s="18">
        <f>'Grid_TheoreticalStock'!C43</f>
        <v/>
      </c>
      <c r="M89" s="18">
        <f>'Grid_TheoreticalStock'!D43</f>
        <v/>
      </c>
      <c r="N89" s="18">
        <f>'Grid_TheoreticalStock'!E43</f>
        <v/>
      </c>
      <c r="O89" s="18">
        <f>'Grid_TheoreticalStock'!F43</f>
        <v/>
      </c>
      <c r="P89" s="18">
        <f>'Grid_TheoreticalStock'!G43</f>
        <v/>
      </c>
      <c r="Q89" s="18">
        <f>'Grid_TheoreticalStock'!H43</f>
        <v/>
      </c>
      <c r="R89" s="18">
        <f>'Grid_TheoreticalStock'!I43</f>
        <v/>
      </c>
      <c r="S89" s="18">
        <f>'Grid_TheoreticalStock'!J43</f>
        <v/>
      </c>
      <c r="T89" s="18">
        <f>'Grid_TheoreticalStock'!K43</f>
        <v/>
      </c>
      <c r="U89" s="18">
        <f>'Grid_TheoreticalStock'!L43</f>
        <v/>
      </c>
      <c r="V89" s="18">
        <f>'Grid_TheoreticalStock'!M43</f>
        <v/>
      </c>
      <c r="W89" s="18">
        <f>'Grid_TheoreticalStock'!N43</f>
        <v/>
      </c>
      <c r="X89" s="18">
        <f>'Grid_TheoreticalStock'!O43</f>
        <v/>
      </c>
      <c r="Y89" s="18">
        <f>'Grid_TheoreticalStock'!P43</f>
        <v/>
      </c>
      <c r="Z89" s="18">
        <f>'Grid_TheoreticalStock'!Q43</f>
        <v/>
      </c>
      <c r="AA89" s="18">
        <f>'Grid_TheoreticalStock'!R43</f>
        <v/>
      </c>
      <c r="AB89" s="18">
        <f>'Grid_TheoreticalStock'!S43</f>
        <v/>
      </c>
      <c r="AC89" s="18">
        <f>'Grid_TheoreticalStock'!T43</f>
        <v/>
      </c>
      <c r="AD89" s="18">
        <f>'Grid_TheoreticalStock'!U43</f>
        <v/>
      </c>
      <c r="AE89" s="18">
        <f>'Grid_TheoreticalStock'!V43</f>
        <v/>
      </c>
      <c r="AF89" s="18">
        <f>'Grid_TheoreticalStock'!W43</f>
        <v/>
      </c>
      <c r="AG89" s="18">
        <f>'Grid_TheoreticalStock'!X43</f>
        <v/>
      </c>
      <c r="AH89" s="18">
        <f>'Grid_TheoreticalStock'!Y43</f>
        <v/>
      </c>
      <c r="AI89" s="18">
        <f>'Grid_TheoreticalStock'!Z43</f>
        <v/>
      </c>
      <c r="AJ89" s="18">
        <f>'Grid_TheoreticalStock'!AA43</f>
        <v/>
      </c>
      <c r="AK89" s="18">
        <f>'Grid_TheoreticalStock'!AB43</f>
        <v/>
      </c>
      <c r="AL89" s="18">
        <f>'Grid_TheoreticalStock'!AC43</f>
        <v/>
      </c>
      <c r="AM89" s="18">
        <f>'Grid_TheoreticalStock'!AD43</f>
        <v/>
      </c>
      <c r="AN89" s="18">
        <f>'Grid_TheoreticalStock'!AE43</f>
        <v/>
      </c>
      <c r="AO89" s="18">
        <f>'Grid_TheoreticalStock'!AF43</f>
        <v/>
      </c>
      <c r="AP89" s="18">
        <f>'Grid_TheoreticalStock'!AG43</f>
        <v/>
      </c>
      <c r="AQ89" s="18">
        <f>'Grid_TheoreticalStock'!AH43</f>
        <v/>
      </c>
      <c r="AR89" s="18">
        <f>'Grid_TheoreticalStock'!AI43</f>
        <v/>
      </c>
      <c r="AS89" s="18">
        <f>'Grid_TheoreticalStock'!AJ43</f>
        <v/>
      </c>
      <c r="AT89" s="18">
        <f>'Grid_TheoreticalStock'!AK43</f>
        <v/>
      </c>
      <c r="AU89" s="18">
        <f>'Grid_TheoreticalStock'!AL43</f>
        <v/>
      </c>
      <c r="AV89" s="18">
        <f>'Grid_TheoreticalStock'!AM43</f>
        <v/>
      </c>
      <c r="AW89" s="18">
        <f>'Grid_TheoreticalStock'!AN43</f>
        <v/>
      </c>
      <c r="AX89" s="18">
        <f>'Grid_TheoreticalStock'!AO43</f>
        <v/>
      </c>
      <c r="AY89" s="18">
        <f>'Grid_TheoreticalStock'!AP43</f>
        <v/>
      </c>
      <c r="AZ89" s="18">
        <f>'Grid_TheoreticalStock'!AQ43</f>
        <v/>
      </c>
      <c r="BA89" s="18">
        <f>'Grid_TheoreticalStock'!AR43</f>
        <v/>
      </c>
      <c r="BB89" s="18">
        <f>'Grid_TheoreticalStock'!AS43</f>
        <v/>
      </c>
      <c r="BC89" s="18">
        <f>'Grid_TheoreticalStock'!AT43</f>
        <v/>
      </c>
      <c r="BD89" s="18">
        <f>'Grid_TheoreticalStock'!AU43</f>
        <v/>
      </c>
      <c r="BE89" s="18">
        <f>'Grid_TheoreticalStock'!AV43</f>
        <v/>
      </c>
      <c r="BF89" s="18">
        <f>'Grid_TheoreticalStock'!AW43</f>
        <v/>
      </c>
      <c r="BG89" s="18">
        <f>'Grid_TheoreticalStock'!AX43</f>
        <v/>
      </c>
      <c r="BH89" s="18">
        <f>'Grid_TheoreticalStock'!AY43</f>
        <v/>
      </c>
      <c r="BI89" s="18">
        <f>'Grid_TheoreticalStock'!AZ43</f>
        <v/>
      </c>
      <c r="BJ89" s="18">
        <f>'Grid_TheoreticalStock'!BA43</f>
        <v/>
      </c>
      <c r="BK89" s="18">
        <f>'Grid_TheoreticalStock'!BB43</f>
        <v/>
      </c>
      <c r="BL89" s="18">
        <f>'Grid_TheoreticalStock'!BC43</f>
        <v/>
      </c>
      <c r="BM89" s="18">
        <f>'Grid_TheoreticalStock'!BD43</f>
        <v/>
      </c>
      <c r="BN89" s="18">
        <f>'Grid_TheoreticalStock'!BE43</f>
        <v/>
      </c>
      <c r="BO89" s="18">
        <f>'Grid_TheoreticalStock'!BF43</f>
        <v/>
      </c>
      <c r="BP89" s="18">
        <f>'Grid_TheoreticalStock'!BG43</f>
        <v/>
      </c>
      <c r="BQ89" s="18">
        <f>'Grid_TheoreticalStock'!BH43</f>
        <v/>
      </c>
      <c r="BR89" s="18">
        <f>'Grid_TheoreticalStock'!BI43</f>
        <v/>
      </c>
      <c r="BS89" s="18">
        <f>'Grid_TheoreticalStock'!BJ43</f>
        <v/>
      </c>
      <c r="BT89" s="18">
        <f>'Grid_TheoreticalStock'!BK43</f>
        <v/>
      </c>
      <c r="BU89" s="18">
        <f>'Grid_TheoreticalStock'!BL43</f>
        <v/>
      </c>
      <c r="BV89" s="18">
        <f>'Grid_TheoreticalStock'!BM43</f>
        <v/>
      </c>
      <c r="BW89" s="18">
        <f>'Grid_TheoreticalStock'!BN43</f>
        <v/>
      </c>
      <c r="BX89" s="18">
        <f>'Grid_TheoreticalStock'!BO43</f>
        <v/>
      </c>
      <c r="BY89" s="18">
        <f>'Grid_TheoreticalStock'!BP43</f>
        <v/>
      </c>
      <c r="BZ89" s="18">
        <f>'Grid_TheoreticalStock'!BQ43</f>
        <v/>
      </c>
      <c r="CA89" s="18">
        <f>'Grid_TheoreticalStock'!BR43</f>
        <v/>
      </c>
      <c r="CB89" s="18">
        <f>'Grid_TheoreticalStock'!BS43</f>
        <v/>
      </c>
      <c r="CC89" s="18">
        <f>'Grid_TheoreticalStock'!BT43</f>
        <v/>
      </c>
      <c r="CD89" s="18">
        <f>'Grid_TheoreticalStock'!BU43</f>
        <v/>
      </c>
      <c r="CE89" s="18">
        <f>'Grid_TheoreticalStock'!BV43</f>
        <v/>
      </c>
      <c r="CF89" s="18">
        <f>'Grid_TheoreticalStock'!BW43</f>
        <v/>
      </c>
      <c r="CG89" s="18">
        <f>'Grid_TheoreticalStock'!BX43</f>
        <v/>
      </c>
      <c r="CH89" s="18">
        <f>'Grid_TheoreticalStock'!BY43</f>
        <v/>
      </c>
      <c r="CI89" s="18">
        <f>'Grid_TheoreticalStock'!BZ43</f>
        <v/>
      </c>
      <c r="CJ89" s="18">
        <f>'Grid_TheoreticalStock'!CA43</f>
        <v/>
      </c>
      <c r="CK89" s="18">
        <f>'Grid_TheoreticalStock'!CB43</f>
        <v/>
      </c>
      <c r="CL89" s="18">
        <f>'Grid_TheoreticalStock'!CC43</f>
        <v/>
      </c>
      <c r="CM89" s="18">
        <f>'Grid_TheoreticalStock'!CD43</f>
        <v/>
      </c>
      <c r="CN89" s="18">
        <f>'Grid_TheoreticalStock'!CE43</f>
        <v/>
      </c>
      <c r="CO89" s="18">
        <f>'Grid_TheoreticalStock'!CF43</f>
        <v/>
      </c>
      <c r="CP89" s="18">
        <f>'Grid_TheoreticalStock'!CG43</f>
        <v/>
      </c>
      <c r="CQ89" s="18">
        <f>'Grid_TheoreticalStock'!CH43</f>
        <v/>
      </c>
      <c r="CR89" s="18">
        <f>'Grid_TheoreticalStock'!CI43</f>
        <v/>
      </c>
      <c r="CS89" s="18">
        <f>'Grid_TheoreticalStock'!CJ43</f>
        <v/>
      </c>
      <c r="CT89" s="18">
        <f>'Grid_TheoreticalStock'!CK43</f>
        <v/>
      </c>
      <c r="CU89" s="18">
        <f>'Grid_TheoreticalStock'!CL43</f>
        <v/>
      </c>
      <c r="CV89" s="18">
        <f>'Grid_TheoreticalStock'!CM43</f>
        <v/>
      </c>
      <c r="CW89" s="18">
        <f>'Grid_TheoreticalStock'!CN43</f>
        <v/>
      </c>
      <c r="CX89" s="18">
        <f>'Grid_TheoreticalStock'!CO43</f>
        <v/>
      </c>
      <c r="CY89" s="18">
        <f>'Grid_TheoreticalStock'!CP43</f>
        <v/>
      </c>
      <c r="CZ89" s="18">
        <f>'Grid_TheoreticalStock'!CQ43</f>
        <v/>
      </c>
      <c r="DA89" s="18">
        <f>'Grid_TheoreticalStock'!CR43</f>
        <v/>
      </c>
      <c r="DB89" s="18">
        <f>'Grid_TheoreticalStock'!CS43</f>
        <v/>
      </c>
      <c r="DC89" s="18">
        <f>'Grid_TheoreticalStock'!CT43</f>
        <v/>
      </c>
      <c r="DD89" s="18">
        <f>'Grid_TheoreticalStock'!CU43</f>
        <v/>
      </c>
      <c r="DE89" s="18">
        <f>'Grid_TheoreticalStock'!CV43</f>
        <v/>
      </c>
      <c r="DF89" s="18">
        <f>'Grid_TheoreticalStock'!CW43</f>
        <v/>
      </c>
      <c r="DG89" s="18">
        <f>'Grid_TheoreticalStock'!CX43</f>
        <v/>
      </c>
      <c r="DH89" s="18">
        <f>'Grid_TheoreticalStock'!CY43</f>
        <v/>
      </c>
      <c r="DI89" s="18">
        <f>'Grid_TheoreticalStock'!CZ43</f>
        <v/>
      </c>
      <c r="DJ89" s="18">
        <f>'Grid_TheoreticalStock'!DA43</f>
        <v/>
      </c>
    </row>
    <row r="90">
      <c r="A90" s="19" t="inlineStr">
        <is>
          <t>CHEM-1280</t>
        </is>
      </c>
      <c r="B90" s="19">
        <f>IFERROR(INDEX(M_RawMaterials[Description],MATCH($A90,M_RawMaterials[Part Name],0)),"")</f>
        <v/>
      </c>
      <c r="C90" s="19">
        <f>IFERROR(INDEX(M_RawMaterials[Category],MATCH($A90,M_RawMaterials[Part Name],0)),"")</f>
        <v/>
      </c>
      <c r="D90" s="19">
        <f>IFERROR(INDEX(M_RawMaterials[基準在庫下限_要入力],MATCH($A90,M_RawMaterials[Part Name],0)),0)</f>
        <v/>
      </c>
      <c r="E90" s="19">
        <f>IFERROR(INDEX(M_RawMaterials[基準在庫上限_要入力],MATCH($A90,M_RawMaterials[Part Name],0)),0)</f>
        <v/>
      </c>
      <c r="F90" s="19">
        <f>IFERROR(LOOKUP(2,1/('T_SelfStock'!$B$47:$DA$47&lt;&gt;""),'T_SelfStock'!$B$47:$DA$47),"")</f>
        <v/>
      </c>
      <c r="G90" s="19">
        <f>IFERROR(LOOKUP(2,1/('T_TTAFStock'!$B$47:$DA$47&lt;&gt;""),'T_TTAFStock'!$B$47:$DA$47),"")</f>
        <v/>
      </c>
      <c r="H90" s="19">
        <f>IFERROR(LOOKUP(2,1/('T_SelfStock'!$B$47:$DA$47&lt;&gt;""),'T_SelfStock'!$B$5:$DA$5),"")</f>
        <v/>
      </c>
      <c r="I90" s="20" t="inlineStr">
        <is>
          <t>実在庫</t>
        </is>
      </c>
      <c r="J90" s="19">
        <f>IFERROR(INDEX('Grid_Stock'!$A43:$DA43,1,LOOKUP(2,1/('T_SelfStock'!$B$47:$DA$47&lt;&gt;""),COLUMN('T_SelfStock'!$B$47:$DA$47)))-INDEX('Grid_TheoreticalStock'!$A43:$DA43,1,LOOKUP(2,1/('T_SelfStock'!$B$47:$DA$47&lt;&gt;""),COLUMN('T_SelfStock'!$B$47:$DA$47))),0)</f>
        <v/>
      </c>
      <c r="K90" s="19">
        <f>'Grid_Stock'!B43</f>
        <v/>
      </c>
      <c r="L90" s="19">
        <f>'Grid_Stock'!C43</f>
        <v/>
      </c>
      <c r="M90" s="19">
        <f>'Grid_Stock'!D43</f>
        <v/>
      </c>
      <c r="N90" s="19">
        <f>'Grid_Stock'!E43</f>
        <v/>
      </c>
      <c r="O90" s="19">
        <f>'Grid_Stock'!F43</f>
        <v/>
      </c>
      <c r="P90" s="19">
        <f>'Grid_Stock'!G43</f>
        <v/>
      </c>
      <c r="Q90" s="19">
        <f>'Grid_Stock'!H43</f>
        <v/>
      </c>
      <c r="R90" s="19">
        <f>'Grid_Stock'!I43</f>
        <v/>
      </c>
      <c r="S90" s="19">
        <f>'Grid_Stock'!J43</f>
        <v/>
      </c>
      <c r="T90" s="19">
        <f>'Grid_Stock'!K43</f>
        <v/>
      </c>
      <c r="U90" s="19">
        <f>'Grid_Stock'!L43</f>
        <v/>
      </c>
      <c r="V90" s="19">
        <f>'Grid_Stock'!M43</f>
        <v/>
      </c>
      <c r="W90" s="19">
        <f>'Grid_Stock'!N43</f>
        <v/>
      </c>
      <c r="X90" s="19">
        <f>'Grid_Stock'!O43</f>
        <v/>
      </c>
      <c r="Y90" s="19">
        <f>'Grid_Stock'!P43</f>
        <v/>
      </c>
      <c r="Z90" s="19">
        <f>'Grid_Stock'!Q43</f>
        <v/>
      </c>
      <c r="AA90" s="19">
        <f>'Grid_Stock'!R43</f>
        <v/>
      </c>
      <c r="AB90" s="19">
        <f>'Grid_Stock'!S43</f>
        <v/>
      </c>
      <c r="AC90" s="19">
        <f>'Grid_Stock'!T43</f>
        <v/>
      </c>
      <c r="AD90" s="19">
        <f>'Grid_Stock'!U43</f>
        <v/>
      </c>
      <c r="AE90" s="19">
        <f>'Grid_Stock'!V43</f>
        <v/>
      </c>
      <c r="AF90" s="19">
        <f>'Grid_Stock'!W43</f>
        <v/>
      </c>
      <c r="AG90" s="19">
        <f>'Grid_Stock'!X43</f>
        <v/>
      </c>
      <c r="AH90" s="19">
        <f>'Grid_Stock'!Y43</f>
        <v/>
      </c>
      <c r="AI90" s="19">
        <f>'Grid_Stock'!Z43</f>
        <v/>
      </c>
      <c r="AJ90" s="19">
        <f>'Grid_Stock'!AA43</f>
        <v/>
      </c>
      <c r="AK90" s="19">
        <f>'Grid_Stock'!AB43</f>
        <v/>
      </c>
      <c r="AL90" s="19">
        <f>'Grid_Stock'!AC43</f>
        <v/>
      </c>
      <c r="AM90" s="19">
        <f>'Grid_Stock'!AD43</f>
        <v/>
      </c>
      <c r="AN90" s="19">
        <f>'Grid_Stock'!AE43</f>
        <v/>
      </c>
      <c r="AO90" s="19">
        <f>'Grid_Stock'!AF43</f>
        <v/>
      </c>
      <c r="AP90" s="19">
        <f>'Grid_Stock'!AG43</f>
        <v/>
      </c>
      <c r="AQ90" s="19">
        <f>'Grid_Stock'!AH43</f>
        <v/>
      </c>
      <c r="AR90" s="19">
        <f>'Grid_Stock'!AI43</f>
        <v/>
      </c>
      <c r="AS90" s="19">
        <f>'Grid_Stock'!AJ43</f>
        <v/>
      </c>
      <c r="AT90" s="19">
        <f>'Grid_Stock'!AK43</f>
        <v/>
      </c>
      <c r="AU90" s="19">
        <f>'Grid_Stock'!AL43</f>
        <v/>
      </c>
      <c r="AV90" s="19">
        <f>'Grid_Stock'!AM43</f>
        <v/>
      </c>
      <c r="AW90" s="19">
        <f>'Grid_Stock'!AN43</f>
        <v/>
      </c>
      <c r="AX90" s="19">
        <f>'Grid_Stock'!AO43</f>
        <v/>
      </c>
      <c r="AY90" s="19">
        <f>'Grid_Stock'!AP43</f>
        <v/>
      </c>
      <c r="AZ90" s="19">
        <f>'Grid_Stock'!AQ43</f>
        <v/>
      </c>
      <c r="BA90" s="19">
        <f>'Grid_Stock'!AR43</f>
        <v/>
      </c>
      <c r="BB90" s="19">
        <f>'Grid_Stock'!AS43</f>
        <v/>
      </c>
      <c r="BC90" s="19">
        <f>'Grid_Stock'!AT43</f>
        <v/>
      </c>
      <c r="BD90" s="19">
        <f>'Grid_Stock'!AU43</f>
        <v/>
      </c>
      <c r="BE90" s="19">
        <f>'Grid_Stock'!AV43</f>
        <v/>
      </c>
      <c r="BF90" s="19">
        <f>'Grid_Stock'!AW43</f>
        <v/>
      </c>
      <c r="BG90" s="19">
        <f>'Grid_Stock'!AX43</f>
        <v/>
      </c>
      <c r="BH90" s="19">
        <f>'Grid_Stock'!AY43</f>
        <v/>
      </c>
      <c r="BI90" s="19">
        <f>'Grid_Stock'!AZ43</f>
        <v/>
      </c>
      <c r="BJ90" s="19">
        <f>'Grid_Stock'!BA43</f>
        <v/>
      </c>
      <c r="BK90" s="19">
        <f>'Grid_Stock'!BB43</f>
        <v/>
      </c>
      <c r="BL90" s="19">
        <f>'Grid_Stock'!BC43</f>
        <v/>
      </c>
      <c r="BM90" s="19">
        <f>'Grid_Stock'!BD43</f>
        <v/>
      </c>
      <c r="BN90" s="19">
        <f>'Grid_Stock'!BE43</f>
        <v/>
      </c>
      <c r="BO90" s="19">
        <f>'Grid_Stock'!BF43</f>
        <v/>
      </c>
      <c r="BP90" s="19">
        <f>'Grid_Stock'!BG43</f>
        <v/>
      </c>
      <c r="BQ90" s="19">
        <f>'Grid_Stock'!BH43</f>
        <v/>
      </c>
      <c r="BR90" s="19">
        <f>'Grid_Stock'!BI43</f>
        <v/>
      </c>
      <c r="BS90" s="19">
        <f>'Grid_Stock'!BJ43</f>
        <v/>
      </c>
      <c r="BT90" s="19">
        <f>'Grid_Stock'!BK43</f>
        <v/>
      </c>
      <c r="BU90" s="19">
        <f>'Grid_Stock'!BL43</f>
        <v/>
      </c>
      <c r="BV90" s="19">
        <f>'Grid_Stock'!BM43</f>
        <v/>
      </c>
      <c r="BW90" s="19">
        <f>'Grid_Stock'!BN43</f>
        <v/>
      </c>
      <c r="BX90" s="19">
        <f>'Grid_Stock'!BO43</f>
        <v/>
      </c>
      <c r="BY90" s="19">
        <f>'Grid_Stock'!BP43</f>
        <v/>
      </c>
      <c r="BZ90" s="19">
        <f>'Grid_Stock'!BQ43</f>
        <v/>
      </c>
      <c r="CA90" s="19">
        <f>'Grid_Stock'!BR43</f>
        <v/>
      </c>
      <c r="CB90" s="19">
        <f>'Grid_Stock'!BS43</f>
        <v/>
      </c>
      <c r="CC90" s="19">
        <f>'Grid_Stock'!BT43</f>
        <v/>
      </c>
      <c r="CD90" s="19">
        <f>'Grid_Stock'!BU43</f>
        <v/>
      </c>
      <c r="CE90" s="19">
        <f>'Grid_Stock'!BV43</f>
        <v/>
      </c>
      <c r="CF90" s="19">
        <f>'Grid_Stock'!BW43</f>
        <v/>
      </c>
      <c r="CG90" s="19">
        <f>'Grid_Stock'!BX43</f>
        <v/>
      </c>
      <c r="CH90" s="19">
        <f>'Grid_Stock'!BY43</f>
        <v/>
      </c>
      <c r="CI90" s="19">
        <f>'Grid_Stock'!BZ43</f>
        <v/>
      </c>
      <c r="CJ90" s="19">
        <f>'Grid_Stock'!CA43</f>
        <v/>
      </c>
      <c r="CK90" s="19">
        <f>'Grid_Stock'!CB43</f>
        <v/>
      </c>
      <c r="CL90" s="19">
        <f>'Grid_Stock'!CC43</f>
        <v/>
      </c>
      <c r="CM90" s="19">
        <f>'Grid_Stock'!CD43</f>
        <v/>
      </c>
      <c r="CN90" s="19">
        <f>'Grid_Stock'!CE43</f>
        <v/>
      </c>
      <c r="CO90" s="19">
        <f>'Grid_Stock'!CF43</f>
        <v/>
      </c>
      <c r="CP90" s="19">
        <f>'Grid_Stock'!CG43</f>
        <v/>
      </c>
      <c r="CQ90" s="19">
        <f>'Grid_Stock'!CH43</f>
        <v/>
      </c>
      <c r="CR90" s="19">
        <f>'Grid_Stock'!CI43</f>
        <v/>
      </c>
      <c r="CS90" s="19">
        <f>'Grid_Stock'!CJ43</f>
        <v/>
      </c>
      <c r="CT90" s="19">
        <f>'Grid_Stock'!CK43</f>
        <v/>
      </c>
      <c r="CU90" s="19">
        <f>'Grid_Stock'!CL43</f>
        <v/>
      </c>
      <c r="CV90" s="19">
        <f>'Grid_Stock'!CM43</f>
        <v/>
      </c>
      <c r="CW90" s="19">
        <f>'Grid_Stock'!CN43</f>
        <v/>
      </c>
      <c r="CX90" s="19">
        <f>'Grid_Stock'!CO43</f>
        <v/>
      </c>
      <c r="CY90" s="19">
        <f>'Grid_Stock'!CP43</f>
        <v/>
      </c>
      <c r="CZ90" s="19">
        <f>'Grid_Stock'!CQ43</f>
        <v/>
      </c>
      <c r="DA90" s="19">
        <f>'Grid_Stock'!CR43</f>
        <v/>
      </c>
      <c r="DB90" s="19">
        <f>'Grid_Stock'!CS43</f>
        <v/>
      </c>
      <c r="DC90" s="19">
        <f>'Grid_Stock'!CT43</f>
        <v/>
      </c>
      <c r="DD90" s="19">
        <f>'Grid_Stock'!CU43</f>
        <v/>
      </c>
      <c r="DE90" s="19">
        <f>'Grid_Stock'!CV43</f>
        <v/>
      </c>
      <c r="DF90" s="19">
        <f>'Grid_Stock'!CW43</f>
        <v/>
      </c>
      <c r="DG90" s="19">
        <f>'Grid_Stock'!CX43</f>
        <v/>
      </c>
      <c r="DH90" s="19">
        <f>'Grid_Stock'!CY43</f>
        <v/>
      </c>
      <c r="DI90" s="19">
        <f>'Grid_Stock'!CZ43</f>
        <v/>
      </c>
      <c r="DJ90" s="19">
        <f>'Grid_Stock'!DA43</f>
        <v/>
      </c>
    </row>
    <row r="91">
      <c r="A91" s="17" t="inlineStr">
        <is>
          <t>CHEM-1570</t>
        </is>
      </c>
      <c r="B91" s="17">
        <f>IFERROR(INDEX(M_RawMaterials[Description],MATCH($A91,M_RawMaterials[Part Name],0)),"")</f>
        <v/>
      </c>
      <c r="C91" s="17">
        <f>IFERROR(INDEX(M_RawMaterials[Category],MATCH($A91,M_RawMaterials[Part Name],0)),"")</f>
        <v/>
      </c>
      <c r="D91" s="17">
        <f>IFERROR(INDEX(M_RawMaterials[基準在庫下限_要入力],MATCH($A91,M_RawMaterials[Part Name],0)),0)</f>
        <v/>
      </c>
      <c r="E91" s="17">
        <f>IFERROR(INDEX(M_RawMaterials[基準在庫上限_要入力],MATCH($A91,M_RawMaterials[Part Name],0)),0)</f>
        <v/>
      </c>
      <c r="F91" s="17">
        <f>IFERROR(LOOKUP(2,1/('T_SelfStock'!$B$48:$DA$48&lt;&gt;""),'T_SelfStock'!$B$48:$DA$48),"")</f>
        <v/>
      </c>
      <c r="G91" s="17">
        <f>IFERROR(LOOKUP(2,1/('T_TTAFStock'!$B$48:$DA$48&lt;&gt;""),'T_TTAFStock'!$B$48:$DA$48),"")</f>
        <v/>
      </c>
      <c r="H91" s="17">
        <f>IFERROR(LOOKUP(2,1/('T_SelfStock'!$B$48:$DA$48&lt;&gt;""),'T_SelfStock'!$B$5:$DA$5),"")</f>
        <v/>
      </c>
      <c r="I91" s="18" t="inlineStr">
        <is>
          <t>理論在庫</t>
        </is>
      </c>
      <c r="J91" s="17">
        <f>IFERROR(INDEX('Grid_Stock'!$A44:$DA44,1,LOOKUP(2,1/('T_SelfStock'!$B$48:$DA$48&lt;&gt;""),COLUMN('T_SelfStock'!$B$48:$DA$48)))-INDEX('Grid_TheoreticalStock'!$A44:$DA44,1,LOOKUP(2,1/('T_SelfStock'!$B$48:$DA$48&lt;&gt;""),COLUMN('T_SelfStock'!$B$48:$DA$48))),0)</f>
        <v/>
      </c>
      <c r="K91" s="18">
        <f>'Grid_TheoreticalStock'!B44</f>
        <v/>
      </c>
      <c r="L91" s="18">
        <f>'Grid_TheoreticalStock'!C44</f>
        <v/>
      </c>
      <c r="M91" s="18">
        <f>'Grid_TheoreticalStock'!D44</f>
        <v/>
      </c>
      <c r="N91" s="18">
        <f>'Grid_TheoreticalStock'!E44</f>
        <v/>
      </c>
      <c r="O91" s="18">
        <f>'Grid_TheoreticalStock'!F44</f>
        <v/>
      </c>
      <c r="P91" s="18">
        <f>'Grid_TheoreticalStock'!G44</f>
        <v/>
      </c>
      <c r="Q91" s="18">
        <f>'Grid_TheoreticalStock'!H44</f>
        <v/>
      </c>
      <c r="R91" s="18">
        <f>'Grid_TheoreticalStock'!I44</f>
        <v/>
      </c>
      <c r="S91" s="18">
        <f>'Grid_TheoreticalStock'!J44</f>
        <v/>
      </c>
      <c r="T91" s="18">
        <f>'Grid_TheoreticalStock'!K44</f>
        <v/>
      </c>
      <c r="U91" s="18">
        <f>'Grid_TheoreticalStock'!L44</f>
        <v/>
      </c>
      <c r="V91" s="18">
        <f>'Grid_TheoreticalStock'!M44</f>
        <v/>
      </c>
      <c r="W91" s="18">
        <f>'Grid_TheoreticalStock'!N44</f>
        <v/>
      </c>
      <c r="X91" s="18">
        <f>'Grid_TheoreticalStock'!O44</f>
        <v/>
      </c>
      <c r="Y91" s="18">
        <f>'Grid_TheoreticalStock'!P44</f>
        <v/>
      </c>
      <c r="Z91" s="18">
        <f>'Grid_TheoreticalStock'!Q44</f>
        <v/>
      </c>
      <c r="AA91" s="18">
        <f>'Grid_TheoreticalStock'!R44</f>
        <v/>
      </c>
      <c r="AB91" s="18">
        <f>'Grid_TheoreticalStock'!S44</f>
        <v/>
      </c>
      <c r="AC91" s="18">
        <f>'Grid_TheoreticalStock'!T44</f>
        <v/>
      </c>
      <c r="AD91" s="18">
        <f>'Grid_TheoreticalStock'!U44</f>
        <v/>
      </c>
      <c r="AE91" s="18">
        <f>'Grid_TheoreticalStock'!V44</f>
        <v/>
      </c>
      <c r="AF91" s="18">
        <f>'Grid_TheoreticalStock'!W44</f>
        <v/>
      </c>
      <c r="AG91" s="18">
        <f>'Grid_TheoreticalStock'!X44</f>
        <v/>
      </c>
      <c r="AH91" s="18">
        <f>'Grid_TheoreticalStock'!Y44</f>
        <v/>
      </c>
      <c r="AI91" s="18">
        <f>'Grid_TheoreticalStock'!Z44</f>
        <v/>
      </c>
      <c r="AJ91" s="18">
        <f>'Grid_TheoreticalStock'!AA44</f>
        <v/>
      </c>
      <c r="AK91" s="18">
        <f>'Grid_TheoreticalStock'!AB44</f>
        <v/>
      </c>
      <c r="AL91" s="18">
        <f>'Grid_TheoreticalStock'!AC44</f>
        <v/>
      </c>
      <c r="AM91" s="18">
        <f>'Grid_TheoreticalStock'!AD44</f>
        <v/>
      </c>
      <c r="AN91" s="18">
        <f>'Grid_TheoreticalStock'!AE44</f>
        <v/>
      </c>
      <c r="AO91" s="18">
        <f>'Grid_TheoreticalStock'!AF44</f>
        <v/>
      </c>
      <c r="AP91" s="18">
        <f>'Grid_TheoreticalStock'!AG44</f>
        <v/>
      </c>
      <c r="AQ91" s="18">
        <f>'Grid_TheoreticalStock'!AH44</f>
        <v/>
      </c>
      <c r="AR91" s="18">
        <f>'Grid_TheoreticalStock'!AI44</f>
        <v/>
      </c>
      <c r="AS91" s="18">
        <f>'Grid_TheoreticalStock'!AJ44</f>
        <v/>
      </c>
      <c r="AT91" s="18">
        <f>'Grid_TheoreticalStock'!AK44</f>
        <v/>
      </c>
      <c r="AU91" s="18">
        <f>'Grid_TheoreticalStock'!AL44</f>
        <v/>
      </c>
      <c r="AV91" s="18">
        <f>'Grid_TheoreticalStock'!AM44</f>
        <v/>
      </c>
      <c r="AW91" s="18">
        <f>'Grid_TheoreticalStock'!AN44</f>
        <v/>
      </c>
      <c r="AX91" s="18">
        <f>'Grid_TheoreticalStock'!AO44</f>
        <v/>
      </c>
      <c r="AY91" s="18">
        <f>'Grid_TheoreticalStock'!AP44</f>
        <v/>
      </c>
      <c r="AZ91" s="18">
        <f>'Grid_TheoreticalStock'!AQ44</f>
        <v/>
      </c>
      <c r="BA91" s="18">
        <f>'Grid_TheoreticalStock'!AR44</f>
        <v/>
      </c>
      <c r="BB91" s="18">
        <f>'Grid_TheoreticalStock'!AS44</f>
        <v/>
      </c>
      <c r="BC91" s="18">
        <f>'Grid_TheoreticalStock'!AT44</f>
        <v/>
      </c>
      <c r="BD91" s="18">
        <f>'Grid_TheoreticalStock'!AU44</f>
        <v/>
      </c>
      <c r="BE91" s="18">
        <f>'Grid_TheoreticalStock'!AV44</f>
        <v/>
      </c>
      <c r="BF91" s="18">
        <f>'Grid_TheoreticalStock'!AW44</f>
        <v/>
      </c>
      <c r="BG91" s="18">
        <f>'Grid_TheoreticalStock'!AX44</f>
        <v/>
      </c>
      <c r="BH91" s="18">
        <f>'Grid_TheoreticalStock'!AY44</f>
        <v/>
      </c>
      <c r="BI91" s="18">
        <f>'Grid_TheoreticalStock'!AZ44</f>
        <v/>
      </c>
      <c r="BJ91" s="18">
        <f>'Grid_TheoreticalStock'!BA44</f>
        <v/>
      </c>
      <c r="BK91" s="18">
        <f>'Grid_TheoreticalStock'!BB44</f>
        <v/>
      </c>
      <c r="BL91" s="18">
        <f>'Grid_TheoreticalStock'!BC44</f>
        <v/>
      </c>
      <c r="BM91" s="18">
        <f>'Grid_TheoreticalStock'!BD44</f>
        <v/>
      </c>
      <c r="BN91" s="18">
        <f>'Grid_TheoreticalStock'!BE44</f>
        <v/>
      </c>
      <c r="BO91" s="18">
        <f>'Grid_TheoreticalStock'!BF44</f>
        <v/>
      </c>
      <c r="BP91" s="18">
        <f>'Grid_TheoreticalStock'!BG44</f>
        <v/>
      </c>
      <c r="BQ91" s="18">
        <f>'Grid_TheoreticalStock'!BH44</f>
        <v/>
      </c>
      <c r="BR91" s="18">
        <f>'Grid_TheoreticalStock'!BI44</f>
        <v/>
      </c>
      <c r="BS91" s="18">
        <f>'Grid_TheoreticalStock'!BJ44</f>
        <v/>
      </c>
      <c r="BT91" s="18">
        <f>'Grid_TheoreticalStock'!BK44</f>
        <v/>
      </c>
      <c r="BU91" s="18">
        <f>'Grid_TheoreticalStock'!BL44</f>
        <v/>
      </c>
      <c r="BV91" s="18">
        <f>'Grid_TheoreticalStock'!BM44</f>
        <v/>
      </c>
      <c r="BW91" s="18">
        <f>'Grid_TheoreticalStock'!BN44</f>
        <v/>
      </c>
      <c r="BX91" s="18">
        <f>'Grid_TheoreticalStock'!BO44</f>
        <v/>
      </c>
      <c r="BY91" s="18">
        <f>'Grid_TheoreticalStock'!BP44</f>
        <v/>
      </c>
      <c r="BZ91" s="18">
        <f>'Grid_TheoreticalStock'!BQ44</f>
        <v/>
      </c>
      <c r="CA91" s="18">
        <f>'Grid_TheoreticalStock'!BR44</f>
        <v/>
      </c>
      <c r="CB91" s="18">
        <f>'Grid_TheoreticalStock'!BS44</f>
        <v/>
      </c>
      <c r="CC91" s="18">
        <f>'Grid_TheoreticalStock'!BT44</f>
        <v/>
      </c>
      <c r="CD91" s="18">
        <f>'Grid_TheoreticalStock'!BU44</f>
        <v/>
      </c>
      <c r="CE91" s="18">
        <f>'Grid_TheoreticalStock'!BV44</f>
        <v/>
      </c>
      <c r="CF91" s="18">
        <f>'Grid_TheoreticalStock'!BW44</f>
        <v/>
      </c>
      <c r="CG91" s="18">
        <f>'Grid_TheoreticalStock'!BX44</f>
        <v/>
      </c>
      <c r="CH91" s="18">
        <f>'Grid_TheoreticalStock'!BY44</f>
        <v/>
      </c>
      <c r="CI91" s="18">
        <f>'Grid_TheoreticalStock'!BZ44</f>
        <v/>
      </c>
      <c r="CJ91" s="18">
        <f>'Grid_TheoreticalStock'!CA44</f>
        <v/>
      </c>
      <c r="CK91" s="18">
        <f>'Grid_TheoreticalStock'!CB44</f>
        <v/>
      </c>
      <c r="CL91" s="18">
        <f>'Grid_TheoreticalStock'!CC44</f>
        <v/>
      </c>
      <c r="CM91" s="18">
        <f>'Grid_TheoreticalStock'!CD44</f>
        <v/>
      </c>
      <c r="CN91" s="18">
        <f>'Grid_TheoreticalStock'!CE44</f>
        <v/>
      </c>
      <c r="CO91" s="18">
        <f>'Grid_TheoreticalStock'!CF44</f>
        <v/>
      </c>
      <c r="CP91" s="18">
        <f>'Grid_TheoreticalStock'!CG44</f>
        <v/>
      </c>
      <c r="CQ91" s="18">
        <f>'Grid_TheoreticalStock'!CH44</f>
        <v/>
      </c>
      <c r="CR91" s="18">
        <f>'Grid_TheoreticalStock'!CI44</f>
        <v/>
      </c>
      <c r="CS91" s="18">
        <f>'Grid_TheoreticalStock'!CJ44</f>
        <v/>
      </c>
      <c r="CT91" s="18">
        <f>'Grid_TheoreticalStock'!CK44</f>
        <v/>
      </c>
      <c r="CU91" s="18">
        <f>'Grid_TheoreticalStock'!CL44</f>
        <v/>
      </c>
      <c r="CV91" s="18">
        <f>'Grid_TheoreticalStock'!CM44</f>
        <v/>
      </c>
      <c r="CW91" s="18">
        <f>'Grid_TheoreticalStock'!CN44</f>
        <v/>
      </c>
      <c r="CX91" s="18">
        <f>'Grid_TheoreticalStock'!CO44</f>
        <v/>
      </c>
      <c r="CY91" s="18">
        <f>'Grid_TheoreticalStock'!CP44</f>
        <v/>
      </c>
      <c r="CZ91" s="18">
        <f>'Grid_TheoreticalStock'!CQ44</f>
        <v/>
      </c>
      <c r="DA91" s="18">
        <f>'Grid_TheoreticalStock'!CR44</f>
        <v/>
      </c>
      <c r="DB91" s="18">
        <f>'Grid_TheoreticalStock'!CS44</f>
        <v/>
      </c>
      <c r="DC91" s="18">
        <f>'Grid_TheoreticalStock'!CT44</f>
        <v/>
      </c>
      <c r="DD91" s="18">
        <f>'Grid_TheoreticalStock'!CU44</f>
        <v/>
      </c>
      <c r="DE91" s="18">
        <f>'Grid_TheoreticalStock'!CV44</f>
        <v/>
      </c>
      <c r="DF91" s="18">
        <f>'Grid_TheoreticalStock'!CW44</f>
        <v/>
      </c>
      <c r="DG91" s="18">
        <f>'Grid_TheoreticalStock'!CX44</f>
        <v/>
      </c>
      <c r="DH91" s="18">
        <f>'Grid_TheoreticalStock'!CY44</f>
        <v/>
      </c>
      <c r="DI91" s="18">
        <f>'Grid_TheoreticalStock'!CZ44</f>
        <v/>
      </c>
      <c r="DJ91" s="18">
        <f>'Grid_TheoreticalStock'!DA44</f>
        <v/>
      </c>
    </row>
    <row r="92">
      <c r="A92" s="19" t="inlineStr">
        <is>
          <t>CHEM-1570</t>
        </is>
      </c>
      <c r="B92" s="19">
        <f>IFERROR(INDEX(M_RawMaterials[Description],MATCH($A92,M_RawMaterials[Part Name],0)),"")</f>
        <v/>
      </c>
      <c r="C92" s="19">
        <f>IFERROR(INDEX(M_RawMaterials[Category],MATCH($A92,M_RawMaterials[Part Name],0)),"")</f>
        <v/>
      </c>
      <c r="D92" s="19">
        <f>IFERROR(INDEX(M_RawMaterials[基準在庫下限_要入力],MATCH($A92,M_RawMaterials[Part Name],0)),0)</f>
        <v/>
      </c>
      <c r="E92" s="19">
        <f>IFERROR(INDEX(M_RawMaterials[基準在庫上限_要入力],MATCH($A92,M_RawMaterials[Part Name],0)),0)</f>
        <v/>
      </c>
      <c r="F92" s="19">
        <f>IFERROR(LOOKUP(2,1/('T_SelfStock'!$B$48:$DA$48&lt;&gt;""),'T_SelfStock'!$B$48:$DA$48),"")</f>
        <v/>
      </c>
      <c r="G92" s="19">
        <f>IFERROR(LOOKUP(2,1/('T_TTAFStock'!$B$48:$DA$48&lt;&gt;""),'T_TTAFStock'!$B$48:$DA$48),"")</f>
        <v/>
      </c>
      <c r="H92" s="19">
        <f>IFERROR(LOOKUP(2,1/('T_SelfStock'!$B$48:$DA$48&lt;&gt;""),'T_SelfStock'!$B$5:$DA$5),"")</f>
        <v/>
      </c>
      <c r="I92" s="20" t="inlineStr">
        <is>
          <t>実在庫</t>
        </is>
      </c>
      <c r="J92" s="19">
        <f>IFERROR(INDEX('Grid_Stock'!$A44:$DA44,1,LOOKUP(2,1/('T_SelfStock'!$B$48:$DA$48&lt;&gt;""),COLUMN('T_SelfStock'!$B$48:$DA$48)))-INDEX('Grid_TheoreticalStock'!$A44:$DA44,1,LOOKUP(2,1/('T_SelfStock'!$B$48:$DA$48&lt;&gt;""),COLUMN('T_SelfStock'!$B$48:$DA$48))),0)</f>
        <v/>
      </c>
      <c r="K92" s="19">
        <f>'Grid_Stock'!B44</f>
        <v/>
      </c>
      <c r="L92" s="19">
        <f>'Grid_Stock'!C44</f>
        <v/>
      </c>
      <c r="M92" s="19">
        <f>'Grid_Stock'!D44</f>
        <v/>
      </c>
      <c r="N92" s="19">
        <f>'Grid_Stock'!E44</f>
        <v/>
      </c>
      <c r="O92" s="19">
        <f>'Grid_Stock'!F44</f>
        <v/>
      </c>
      <c r="P92" s="19">
        <f>'Grid_Stock'!G44</f>
        <v/>
      </c>
      <c r="Q92" s="19">
        <f>'Grid_Stock'!H44</f>
        <v/>
      </c>
      <c r="R92" s="19">
        <f>'Grid_Stock'!I44</f>
        <v/>
      </c>
      <c r="S92" s="19">
        <f>'Grid_Stock'!J44</f>
        <v/>
      </c>
      <c r="T92" s="19">
        <f>'Grid_Stock'!K44</f>
        <v/>
      </c>
      <c r="U92" s="19">
        <f>'Grid_Stock'!L44</f>
        <v/>
      </c>
      <c r="V92" s="19">
        <f>'Grid_Stock'!M44</f>
        <v/>
      </c>
      <c r="W92" s="19">
        <f>'Grid_Stock'!N44</f>
        <v/>
      </c>
      <c r="X92" s="19">
        <f>'Grid_Stock'!O44</f>
        <v/>
      </c>
      <c r="Y92" s="19">
        <f>'Grid_Stock'!P44</f>
        <v/>
      </c>
      <c r="Z92" s="19">
        <f>'Grid_Stock'!Q44</f>
        <v/>
      </c>
      <c r="AA92" s="19">
        <f>'Grid_Stock'!R44</f>
        <v/>
      </c>
      <c r="AB92" s="19">
        <f>'Grid_Stock'!S44</f>
        <v/>
      </c>
      <c r="AC92" s="19">
        <f>'Grid_Stock'!T44</f>
        <v/>
      </c>
      <c r="AD92" s="19">
        <f>'Grid_Stock'!U44</f>
        <v/>
      </c>
      <c r="AE92" s="19">
        <f>'Grid_Stock'!V44</f>
        <v/>
      </c>
      <c r="AF92" s="19">
        <f>'Grid_Stock'!W44</f>
        <v/>
      </c>
      <c r="AG92" s="19">
        <f>'Grid_Stock'!X44</f>
        <v/>
      </c>
      <c r="AH92" s="19">
        <f>'Grid_Stock'!Y44</f>
        <v/>
      </c>
      <c r="AI92" s="19">
        <f>'Grid_Stock'!Z44</f>
        <v/>
      </c>
      <c r="AJ92" s="19">
        <f>'Grid_Stock'!AA44</f>
        <v/>
      </c>
      <c r="AK92" s="19">
        <f>'Grid_Stock'!AB44</f>
        <v/>
      </c>
      <c r="AL92" s="19">
        <f>'Grid_Stock'!AC44</f>
        <v/>
      </c>
      <c r="AM92" s="19">
        <f>'Grid_Stock'!AD44</f>
        <v/>
      </c>
      <c r="AN92" s="19">
        <f>'Grid_Stock'!AE44</f>
        <v/>
      </c>
      <c r="AO92" s="19">
        <f>'Grid_Stock'!AF44</f>
        <v/>
      </c>
      <c r="AP92" s="19">
        <f>'Grid_Stock'!AG44</f>
        <v/>
      </c>
      <c r="AQ92" s="19">
        <f>'Grid_Stock'!AH44</f>
        <v/>
      </c>
      <c r="AR92" s="19">
        <f>'Grid_Stock'!AI44</f>
        <v/>
      </c>
      <c r="AS92" s="19">
        <f>'Grid_Stock'!AJ44</f>
        <v/>
      </c>
      <c r="AT92" s="19">
        <f>'Grid_Stock'!AK44</f>
        <v/>
      </c>
      <c r="AU92" s="19">
        <f>'Grid_Stock'!AL44</f>
        <v/>
      </c>
      <c r="AV92" s="19">
        <f>'Grid_Stock'!AM44</f>
        <v/>
      </c>
      <c r="AW92" s="19">
        <f>'Grid_Stock'!AN44</f>
        <v/>
      </c>
      <c r="AX92" s="19">
        <f>'Grid_Stock'!AO44</f>
        <v/>
      </c>
      <c r="AY92" s="19">
        <f>'Grid_Stock'!AP44</f>
        <v/>
      </c>
      <c r="AZ92" s="19">
        <f>'Grid_Stock'!AQ44</f>
        <v/>
      </c>
      <c r="BA92" s="19">
        <f>'Grid_Stock'!AR44</f>
        <v/>
      </c>
      <c r="BB92" s="19">
        <f>'Grid_Stock'!AS44</f>
        <v/>
      </c>
      <c r="BC92" s="19">
        <f>'Grid_Stock'!AT44</f>
        <v/>
      </c>
      <c r="BD92" s="19">
        <f>'Grid_Stock'!AU44</f>
        <v/>
      </c>
      <c r="BE92" s="19">
        <f>'Grid_Stock'!AV44</f>
        <v/>
      </c>
      <c r="BF92" s="19">
        <f>'Grid_Stock'!AW44</f>
        <v/>
      </c>
      <c r="BG92" s="19">
        <f>'Grid_Stock'!AX44</f>
        <v/>
      </c>
      <c r="BH92" s="19">
        <f>'Grid_Stock'!AY44</f>
        <v/>
      </c>
      <c r="BI92" s="19">
        <f>'Grid_Stock'!AZ44</f>
        <v/>
      </c>
      <c r="BJ92" s="19">
        <f>'Grid_Stock'!BA44</f>
        <v/>
      </c>
      <c r="BK92" s="19">
        <f>'Grid_Stock'!BB44</f>
        <v/>
      </c>
      <c r="BL92" s="19">
        <f>'Grid_Stock'!BC44</f>
        <v/>
      </c>
      <c r="BM92" s="19">
        <f>'Grid_Stock'!BD44</f>
        <v/>
      </c>
      <c r="BN92" s="19">
        <f>'Grid_Stock'!BE44</f>
        <v/>
      </c>
      <c r="BO92" s="19">
        <f>'Grid_Stock'!BF44</f>
        <v/>
      </c>
      <c r="BP92" s="19">
        <f>'Grid_Stock'!BG44</f>
        <v/>
      </c>
      <c r="BQ92" s="19">
        <f>'Grid_Stock'!BH44</f>
        <v/>
      </c>
      <c r="BR92" s="19">
        <f>'Grid_Stock'!BI44</f>
        <v/>
      </c>
      <c r="BS92" s="19">
        <f>'Grid_Stock'!BJ44</f>
        <v/>
      </c>
      <c r="BT92" s="19">
        <f>'Grid_Stock'!BK44</f>
        <v/>
      </c>
      <c r="BU92" s="19">
        <f>'Grid_Stock'!BL44</f>
        <v/>
      </c>
      <c r="BV92" s="19">
        <f>'Grid_Stock'!BM44</f>
        <v/>
      </c>
      <c r="BW92" s="19">
        <f>'Grid_Stock'!BN44</f>
        <v/>
      </c>
      <c r="BX92" s="19">
        <f>'Grid_Stock'!BO44</f>
        <v/>
      </c>
      <c r="BY92" s="19">
        <f>'Grid_Stock'!BP44</f>
        <v/>
      </c>
      <c r="BZ92" s="19">
        <f>'Grid_Stock'!BQ44</f>
        <v/>
      </c>
      <c r="CA92" s="19">
        <f>'Grid_Stock'!BR44</f>
        <v/>
      </c>
      <c r="CB92" s="19">
        <f>'Grid_Stock'!BS44</f>
        <v/>
      </c>
      <c r="CC92" s="19">
        <f>'Grid_Stock'!BT44</f>
        <v/>
      </c>
      <c r="CD92" s="19">
        <f>'Grid_Stock'!BU44</f>
        <v/>
      </c>
      <c r="CE92" s="19">
        <f>'Grid_Stock'!BV44</f>
        <v/>
      </c>
      <c r="CF92" s="19">
        <f>'Grid_Stock'!BW44</f>
        <v/>
      </c>
      <c r="CG92" s="19">
        <f>'Grid_Stock'!BX44</f>
        <v/>
      </c>
      <c r="CH92" s="19">
        <f>'Grid_Stock'!BY44</f>
        <v/>
      </c>
      <c r="CI92" s="19">
        <f>'Grid_Stock'!BZ44</f>
        <v/>
      </c>
      <c r="CJ92" s="19">
        <f>'Grid_Stock'!CA44</f>
        <v/>
      </c>
      <c r="CK92" s="19">
        <f>'Grid_Stock'!CB44</f>
        <v/>
      </c>
      <c r="CL92" s="19">
        <f>'Grid_Stock'!CC44</f>
        <v/>
      </c>
      <c r="CM92" s="19">
        <f>'Grid_Stock'!CD44</f>
        <v/>
      </c>
      <c r="CN92" s="19">
        <f>'Grid_Stock'!CE44</f>
        <v/>
      </c>
      <c r="CO92" s="19">
        <f>'Grid_Stock'!CF44</f>
        <v/>
      </c>
      <c r="CP92" s="19">
        <f>'Grid_Stock'!CG44</f>
        <v/>
      </c>
      <c r="CQ92" s="19">
        <f>'Grid_Stock'!CH44</f>
        <v/>
      </c>
      <c r="CR92" s="19">
        <f>'Grid_Stock'!CI44</f>
        <v/>
      </c>
      <c r="CS92" s="19">
        <f>'Grid_Stock'!CJ44</f>
        <v/>
      </c>
      <c r="CT92" s="19">
        <f>'Grid_Stock'!CK44</f>
        <v/>
      </c>
      <c r="CU92" s="19">
        <f>'Grid_Stock'!CL44</f>
        <v/>
      </c>
      <c r="CV92" s="19">
        <f>'Grid_Stock'!CM44</f>
        <v/>
      </c>
      <c r="CW92" s="19">
        <f>'Grid_Stock'!CN44</f>
        <v/>
      </c>
      <c r="CX92" s="19">
        <f>'Grid_Stock'!CO44</f>
        <v/>
      </c>
      <c r="CY92" s="19">
        <f>'Grid_Stock'!CP44</f>
        <v/>
      </c>
      <c r="CZ92" s="19">
        <f>'Grid_Stock'!CQ44</f>
        <v/>
      </c>
      <c r="DA92" s="19">
        <f>'Grid_Stock'!CR44</f>
        <v/>
      </c>
      <c r="DB92" s="19">
        <f>'Grid_Stock'!CS44</f>
        <v/>
      </c>
      <c r="DC92" s="19">
        <f>'Grid_Stock'!CT44</f>
        <v/>
      </c>
      <c r="DD92" s="19">
        <f>'Grid_Stock'!CU44</f>
        <v/>
      </c>
      <c r="DE92" s="19">
        <f>'Grid_Stock'!CV44</f>
        <v/>
      </c>
      <c r="DF92" s="19">
        <f>'Grid_Stock'!CW44</f>
        <v/>
      </c>
      <c r="DG92" s="19">
        <f>'Grid_Stock'!CX44</f>
        <v/>
      </c>
      <c r="DH92" s="19">
        <f>'Grid_Stock'!CY44</f>
        <v/>
      </c>
      <c r="DI92" s="19">
        <f>'Grid_Stock'!CZ44</f>
        <v/>
      </c>
      <c r="DJ92" s="19">
        <f>'Grid_Stock'!DA44</f>
        <v/>
      </c>
    </row>
    <row r="93">
      <c r="A93" s="17" t="inlineStr">
        <is>
          <t>CHEM-1450</t>
        </is>
      </c>
      <c r="B93" s="17">
        <f>IFERROR(INDEX(M_RawMaterials[Description],MATCH($A93,M_RawMaterials[Part Name],0)),"")</f>
        <v/>
      </c>
      <c r="C93" s="17">
        <f>IFERROR(INDEX(M_RawMaterials[Category],MATCH($A93,M_RawMaterials[Part Name],0)),"")</f>
        <v/>
      </c>
      <c r="D93" s="17">
        <f>IFERROR(INDEX(M_RawMaterials[基準在庫下限_要入力],MATCH($A93,M_RawMaterials[Part Name],0)),0)</f>
        <v/>
      </c>
      <c r="E93" s="17">
        <f>IFERROR(INDEX(M_RawMaterials[基準在庫上限_要入力],MATCH($A93,M_RawMaterials[Part Name],0)),0)</f>
        <v/>
      </c>
      <c r="F93" s="17">
        <f>IFERROR(LOOKUP(2,1/('T_SelfStock'!$B$49:$DA$49&lt;&gt;""),'T_SelfStock'!$B$49:$DA$49),"")</f>
        <v/>
      </c>
      <c r="G93" s="17">
        <f>IFERROR(LOOKUP(2,1/('T_TTAFStock'!$B$49:$DA$49&lt;&gt;""),'T_TTAFStock'!$B$49:$DA$49),"")</f>
        <v/>
      </c>
      <c r="H93" s="17">
        <f>IFERROR(LOOKUP(2,1/('T_SelfStock'!$B$49:$DA$49&lt;&gt;""),'T_SelfStock'!$B$5:$DA$5),"")</f>
        <v/>
      </c>
      <c r="I93" s="18" t="inlineStr">
        <is>
          <t>理論在庫</t>
        </is>
      </c>
      <c r="J93" s="17">
        <f>IFERROR(INDEX('Grid_Stock'!$A45:$DA45,1,LOOKUP(2,1/('T_SelfStock'!$B$49:$DA$49&lt;&gt;""),COLUMN('T_SelfStock'!$B$49:$DA$49)))-INDEX('Grid_TheoreticalStock'!$A45:$DA45,1,LOOKUP(2,1/('T_SelfStock'!$B$49:$DA$49&lt;&gt;""),COLUMN('T_SelfStock'!$B$49:$DA$49))),0)</f>
        <v/>
      </c>
      <c r="K93" s="18">
        <f>'Grid_TheoreticalStock'!B45</f>
        <v/>
      </c>
      <c r="L93" s="18">
        <f>'Grid_TheoreticalStock'!C45</f>
        <v/>
      </c>
      <c r="M93" s="18">
        <f>'Grid_TheoreticalStock'!D45</f>
        <v/>
      </c>
      <c r="N93" s="18">
        <f>'Grid_TheoreticalStock'!E45</f>
        <v/>
      </c>
      <c r="O93" s="18">
        <f>'Grid_TheoreticalStock'!F45</f>
        <v/>
      </c>
      <c r="P93" s="18">
        <f>'Grid_TheoreticalStock'!G45</f>
        <v/>
      </c>
      <c r="Q93" s="18">
        <f>'Grid_TheoreticalStock'!H45</f>
        <v/>
      </c>
      <c r="R93" s="18">
        <f>'Grid_TheoreticalStock'!I45</f>
        <v/>
      </c>
      <c r="S93" s="18">
        <f>'Grid_TheoreticalStock'!J45</f>
        <v/>
      </c>
      <c r="T93" s="18">
        <f>'Grid_TheoreticalStock'!K45</f>
        <v/>
      </c>
      <c r="U93" s="18">
        <f>'Grid_TheoreticalStock'!L45</f>
        <v/>
      </c>
      <c r="V93" s="18">
        <f>'Grid_TheoreticalStock'!M45</f>
        <v/>
      </c>
      <c r="W93" s="18">
        <f>'Grid_TheoreticalStock'!N45</f>
        <v/>
      </c>
      <c r="X93" s="18">
        <f>'Grid_TheoreticalStock'!O45</f>
        <v/>
      </c>
      <c r="Y93" s="18">
        <f>'Grid_TheoreticalStock'!P45</f>
        <v/>
      </c>
      <c r="Z93" s="18">
        <f>'Grid_TheoreticalStock'!Q45</f>
        <v/>
      </c>
      <c r="AA93" s="18">
        <f>'Grid_TheoreticalStock'!R45</f>
        <v/>
      </c>
      <c r="AB93" s="18">
        <f>'Grid_TheoreticalStock'!S45</f>
        <v/>
      </c>
      <c r="AC93" s="18">
        <f>'Grid_TheoreticalStock'!T45</f>
        <v/>
      </c>
      <c r="AD93" s="18">
        <f>'Grid_TheoreticalStock'!U45</f>
        <v/>
      </c>
      <c r="AE93" s="18">
        <f>'Grid_TheoreticalStock'!V45</f>
        <v/>
      </c>
      <c r="AF93" s="18">
        <f>'Grid_TheoreticalStock'!W45</f>
        <v/>
      </c>
      <c r="AG93" s="18">
        <f>'Grid_TheoreticalStock'!X45</f>
        <v/>
      </c>
      <c r="AH93" s="18">
        <f>'Grid_TheoreticalStock'!Y45</f>
        <v/>
      </c>
      <c r="AI93" s="18">
        <f>'Grid_TheoreticalStock'!Z45</f>
        <v/>
      </c>
      <c r="AJ93" s="18">
        <f>'Grid_TheoreticalStock'!AA45</f>
        <v/>
      </c>
      <c r="AK93" s="18">
        <f>'Grid_TheoreticalStock'!AB45</f>
        <v/>
      </c>
      <c r="AL93" s="18">
        <f>'Grid_TheoreticalStock'!AC45</f>
        <v/>
      </c>
      <c r="AM93" s="18">
        <f>'Grid_TheoreticalStock'!AD45</f>
        <v/>
      </c>
      <c r="AN93" s="18">
        <f>'Grid_TheoreticalStock'!AE45</f>
        <v/>
      </c>
      <c r="AO93" s="18">
        <f>'Grid_TheoreticalStock'!AF45</f>
        <v/>
      </c>
      <c r="AP93" s="18">
        <f>'Grid_TheoreticalStock'!AG45</f>
        <v/>
      </c>
      <c r="AQ93" s="18">
        <f>'Grid_TheoreticalStock'!AH45</f>
        <v/>
      </c>
      <c r="AR93" s="18">
        <f>'Grid_TheoreticalStock'!AI45</f>
        <v/>
      </c>
      <c r="AS93" s="18">
        <f>'Grid_TheoreticalStock'!AJ45</f>
        <v/>
      </c>
      <c r="AT93" s="18">
        <f>'Grid_TheoreticalStock'!AK45</f>
        <v/>
      </c>
      <c r="AU93" s="18">
        <f>'Grid_TheoreticalStock'!AL45</f>
        <v/>
      </c>
      <c r="AV93" s="18">
        <f>'Grid_TheoreticalStock'!AM45</f>
        <v/>
      </c>
      <c r="AW93" s="18">
        <f>'Grid_TheoreticalStock'!AN45</f>
        <v/>
      </c>
      <c r="AX93" s="18">
        <f>'Grid_TheoreticalStock'!AO45</f>
        <v/>
      </c>
      <c r="AY93" s="18">
        <f>'Grid_TheoreticalStock'!AP45</f>
        <v/>
      </c>
      <c r="AZ93" s="18">
        <f>'Grid_TheoreticalStock'!AQ45</f>
        <v/>
      </c>
      <c r="BA93" s="18">
        <f>'Grid_TheoreticalStock'!AR45</f>
        <v/>
      </c>
      <c r="BB93" s="18">
        <f>'Grid_TheoreticalStock'!AS45</f>
        <v/>
      </c>
      <c r="BC93" s="18">
        <f>'Grid_TheoreticalStock'!AT45</f>
        <v/>
      </c>
      <c r="BD93" s="18">
        <f>'Grid_TheoreticalStock'!AU45</f>
        <v/>
      </c>
      <c r="BE93" s="18">
        <f>'Grid_TheoreticalStock'!AV45</f>
        <v/>
      </c>
      <c r="BF93" s="18">
        <f>'Grid_TheoreticalStock'!AW45</f>
        <v/>
      </c>
      <c r="BG93" s="18">
        <f>'Grid_TheoreticalStock'!AX45</f>
        <v/>
      </c>
      <c r="BH93" s="18">
        <f>'Grid_TheoreticalStock'!AY45</f>
        <v/>
      </c>
      <c r="BI93" s="18">
        <f>'Grid_TheoreticalStock'!AZ45</f>
        <v/>
      </c>
      <c r="BJ93" s="18">
        <f>'Grid_TheoreticalStock'!BA45</f>
        <v/>
      </c>
      <c r="BK93" s="18">
        <f>'Grid_TheoreticalStock'!BB45</f>
        <v/>
      </c>
      <c r="BL93" s="18">
        <f>'Grid_TheoreticalStock'!BC45</f>
        <v/>
      </c>
      <c r="BM93" s="18">
        <f>'Grid_TheoreticalStock'!BD45</f>
        <v/>
      </c>
      <c r="BN93" s="18">
        <f>'Grid_TheoreticalStock'!BE45</f>
        <v/>
      </c>
      <c r="BO93" s="18">
        <f>'Grid_TheoreticalStock'!BF45</f>
        <v/>
      </c>
      <c r="BP93" s="18">
        <f>'Grid_TheoreticalStock'!BG45</f>
        <v/>
      </c>
      <c r="BQ93" s="18">
        <f>'Grid_TheoreticalStock'!BH45</f>
        <v/>
      </c>
      <c r="BR93" s="18">
        <f>'Grid_TheoreticalStock'!BI45</f>
        <v/>
      </c>
      <c r="BS93" s="18">
        <f>'Grid_TheoreticalStock'!BJ45</f>
        <v/>
      </c>
      <c r="BT93" s="18">
        <f>'Grid_TheoreticalStock'!BK45</f>
        <v/>
      </c>
      <c r="BU93" s="18">
        <f>'Grid_TheoreticalStock'!BL45</f>
        <v/>
      </c>
      <c r="BV93" s="18">
        <f>'Grid_TheoreticalStock'!BM45</f>
        <v/>
      </c>
      <c r="BW93" s="18">
        <f>'Grid_TheoreticalStock'!BN45</f>
        <v/>
      </c>
      <c r="BX93" s="18">
        <f>'Grid_TheoreticalStock'!BO45</f>
        <v/>
      </c>
      <c r="BY93" s="18">
        <f>'Grid_TheoreticalStock'!BP45</f>
        <v/>
      </c>
      <c r="BZ93" s="18">
        <f>'Grid_TheoreticalStock'!BQ45</f>
        <v/>
      </c>
      <c r="CA93" s="18">
        <f>'Grid_TheoreticalStock'!BR45</f>
        <v/>
      </c>
      <c r="CB93" s="18">
        <f>'Grid_TheoreticalStock'!BS45</f>
        <v/>
      </c>
      <c r="CC93" s="18">
        <f>'Grid_TheoreticalStock'!BT45</f>
        <v/>
      </c>
      <c r="CD93" s="18">
        <f>'Grid_TheoreticalStock'!BU45</f>
        <v/>
      </c>
      <c r="CE93" s="18">
        <f>'Grid_TheoreticalStock'!BV45</f>
        <v/>
      </c>
      <c r="CF93" s="18">
        <f>'Grid_TheoreticalStock'!BW45</f>
        <v/>
      </c>
      <c r="CG93" s="18">
        <f>'Grid_TheoreticalStock'!BX45</f>
        <v/>
      </c>
      <c r="CH93" s="18">
        <f>'Grid_TheoreticalStock'!BY45</f>
        <v/>
      </c>
      <c r="CI93" s="18">
        <f>'Grid_TheoreticalStock'!BZ45</f>
        <v/>
      </c>
      <c r="CJ93" s="18">
        <f>'Grid_TheoreticalStock'!CA45</f>
        <v/>
      </c>
      <c r="CK93" s="18">
        <f>'Grid_TheoreticalStock'!CB45</f>
        <v/>
      </c>
      <c r="CL93" s="18">
        <f>'Grid_TheoreticalStock'!CC45</f>
        <v/>
      </c>
      <c r="CM93" s="18">
        <f>'Grid_TheoreticalStock'!CD45</f>
        <v/>
      </c>
      <c r="CN93" s="18">
        <f>'Grid_TheoreticalStock'!CE45</f>
        <v/>
      </c>
      <c r="CO93" s="18">
        <f>'Grid_TheoreticalStock'!CF45</f>
        <v/>
      </c>
      <c r="CP93" s="18">
        <f>'Grid_TheoreticalStock'!CG45</f>
        <v/>
      </c>
      <c r="CQ93" s="18">
        <f>'Grid_TheoreticalStock'!CH45</f>
        <v/>
      </c>
      <c r="CR93" s="18">
        <f>'Grid_TheoreticalStock'!CI45</f>
        <v/>
      </c>
      <c r="CS93" s="18">
        <f>'Grid_TheoreticalStock'!CJ45</f>
        <v/>
      </c>
      <c r="CT93" s="18">
        <f>'Grid_TheoreticalStock'!CK45</f>
        <v/>
      </c>
      <c r="CU93" s="18">
        <f>'Grid_TheoreticalStock'!CL45</f>
        <v/>
      </c>
      <c r="CV93" s="18">
        <f>'Grid_TheoreticalStock'!CM45</f>
        <v/>
      </c>
      <c r="CW93" s="18">
        <f>'Grid_TheoreticalStock'!CN45</f>
        <v/>
      </c>
      <c r="CX93" s="18">
        <f>'Grid_TheoreticalStock'!CO45</f>
        <v/>
      </c>
      <c r="CY93" s="18">
        <f>'Grid_TheoreticalStock'!CP45</f>
        <v/>
      </c>
      <c r="CZ93" s="18">
        <f>'Grid_TheoreticalStock'!CQ45</f>
        <v/>
      </c>
      <c r="DA93" s="18">
        <f>'Grid_TheoreticalStock'!CR45</f>
        <v/>
      </c>
      <c r="DB93" s="18">
        <f>'Grid_TheoreticalStock'!CS45</f>
        <v/>
      </c>
      <c r="DC93" s="18">
        <f>'Grid_TheoreticalStock'!CT45</f>
        <v/>
      </c>
      <c r="DD93" s="18">
        <f>'Grid_TheoreticalStock'!CU45</f>
        <v/>
      </c>
      <c r="DE93" s="18">
        <f>'Grid_TheoreticalStock'!CV45</f>
        <v/>
      </c>
      <c r="DF93" s="18">
        <f>'Grid_TheoreticalStock'!CW45</f>
        <v/>
      </c>
      <c r="DG93" s="18">
        <f>'Grid_TheoreticalStock'!CX45</f>
        <v/>
      </c>
      <c r="DH93" s="18">
        <f>'Grid_TheoreticalStock'!CY45</f>
        <v/>
      </c>
      <c r="DI93" s="18">
        <f>'Grid_TheoreticalStock'!CZ45</f>
        <v/>
      </c>
      <c r="DJ93" s="18">
        <f>'Grid_TheoreticalStock'!DA45</f>
        <v/>
      </c>
    </row>
    <row r="94">
      <c r="A94" s="19" t="inlineStr">
        <is>
          <t>CHEM-1450</t>
        </is>
      </c>
      <c r="B94" s="19">
        <f>IFERROR(INDEX(M_RawMaterials[Description],MATCH($A94,M_RawMaterials[Part Name],0)),"")</f>
        <v/>
      </c>
      <c r="C94" s="19">
        <f>IFERROR(INDEX(M_RawMaterials[Category],MATCH($A94,M_RawMaterials[Part Name],0)),"")</f>
        <v/>
      </c>
      <c r="D94" s="19">
        <f>IFERROR(INDEX(M_RawMaterials[基準在庫下限_要入力],MATCH($A94,M_RawMaterials[Part Name],0)),0)</f>
        <v/>
      </c>
      <c r="E94" s="19">
        <f>IFERROR(INDEX(M_RawMaterials[基準在庫上限_要入力],MATCH($A94,M_RawMaterials[Part Name],0)),0)</f>
        <v/>
      </c>
      <c r="F94" s="19">
        <f>IFERROR(LOOKUP(2,1/('T_SelfStock'!$B$49:$DA$49&lt;&gt;""),'T_SelfStock'!$B$49:$DA$49),"")</f>
        <v/>
      </c>
      <c r="G94" s="19">
        <f>IFERROR(LOOKUP(2,1/('T_TTAFStock'!$B$49:$DA$49&lt;&gt;""),'T_TTAFStock'!$B$49:$DA$49),"")</f>
        <v/>
      </c>
      <c r="H94" s="19">
        <f>IFERROR(LOOKUP(2,1/('T_SelfStock'!$B$49:$DA$49&lt;&gt;""),'T_SelfStock'!$B$5:$DA$5),"")</f>
        <v/>
      </c>
      <c r="I94" s="20" t="inlineStr">
        <is>
          <t>実在庫</t>
        </is>
      </c>
      <c r="J94" s="19">
        <f>IFERROR(INDEX('Grid_Stock'!$A45:$DA45,1,LOOKUP(2,1/('T_SelfStock'!$B$49:$DA$49&lt;&gt;""),COLUMN('T_SelfStock'!$B$49:$DA$49)))-INDEX('Grid_TheoreticalStock'!$A45:$DA45,1,LOOKUP(2,1/('T_SelfStock'!$B$49:$DA$49&lt;&gt;""),COLUMN('T_SelfStock'!$B$49:$DA$49))),0)</f>
        <v/>
      </c>
      <c r="K94" s="19">
        <f>'Grid_Stock'!B45</f>
        <v/>
      </c>
      <c r="L94" s="19">
        <f>'Grid_Stock'!C45</f>
        <v/>
      </c>
      <c r="M94" s="19">
        <f>'Grid_Stock'!D45</f>
        <v/>
      </c>
      <c r="N94" s="19">
        <f>'Grid_Stock'!E45</f>
        <v/>
      </c>
      <c r="O94" s="19">
        <f>'Grid_Stock'!F45</f>
        <v/>
      </c>
      <c r="P94" s="19">
        <f>'Grid_Stock'!G45</f>
        <v/>
      </c>
      <c r="Q94" s="19">
        <f>'Grid_Stock'!H45</f>
        <v/>
      </c>
      <c r="R94" s="19">
        <f>'Grid_Stock'!I45</f>
        <v/>
      </c>
      <c r="S94" s="19">
        <f>'Grid_Stock'!J45</f>
        <v/>
      </c>
      <c r="T94" s="19">
        <f>'Grid_Stock'!K45</f>
        <v/>
      </c>
      <c r="U94" s="19">
        <f>'Grid_Stock'!L45</f>
        <v/>
      </c>
      <c r="V94" s="19">
        <f>'Grid_Stock'!M45</f>
        <v/>
      </c>
      <c r="W94" s="19">
        <f>'Grid_Stock'!N45</f>
        <v/>
      </c>
      <c r="X94" s="19">
        <f>'Grid_Stock'!O45</f>
        <v/>
      </c>
      <c r="Y94" s="19">
        <f>'Grid_Stock'!P45</f>
        <v/>
      </c>
      <c r="Z94" s="19">
        <f>'Grid_Stock'!Q45</f>
        <v/>
      </c>
      <c r="AA94" s="19">
        <f>'Grid_Stock'!R45</f>
        <v/>
      </c>
      <c r="AB94" s="19">
        <f>'Grid_Stock'!S45</f>
        <v/>
      </c>
      <c r="AC94" s="19">
        <f>'Grid_Stock'!T45</f>
        <v/>
      </c>
      <c r="AD94" s="19">
        <f>'Grid_Stock'!U45</f>
        <v/>
      </c>
      <c r="AE94" s="19">
        <f>'Grid_Stock'!V45</f>
        <v/>
      </c>
      <c r="AF94" s="19">
        <f>'Grid_Stock'!W45</f>
        <v/>
      </c>
      <c r="AG94" s="19">
        <f>'Grid_Stock'!X45</f>
        <v/>
      </c>
      <c r="AH94" s="19">
        <f>'Grid_Stock'!Y45</f>
        <v/>
      </c>
      <c r="AI94" s="19">
        <f>'Grid_Stock'!Z45</f>
        <v/>
      </c>
      <c r="AJ94" s="19">
        <f>'Grid_Stock'!AA45</f>
        <v/>
      </c>
      <c r="AK94" s="19">
        <f>'Grid_Stock'!AB45</f>
        <v/>
      </c>
      <c r="AL94" s="19">
        <f>'Grid_Stock'!AC45</f>
        <v/>
      </c>
      <c r="AM94" s="19">
        <f>'Grid_Stock'!AD45</f>
        <v/>
      </c>
      <c r="AN94" s="19">
        <f>'Grid_Stock'!AE45</f>
        <v/>
      </c>
      <c r="AO94" s="19">
        <f>'Grid_Stock'!AF45</f>
        <v/>
      </c>
      <c r="AP94" s="19">
        <f>'Grid_Stock'!AG45</f>
        <v/>
      </c>
      <c r="AQ94" s="19">
        <f>'Grid_Stock'!AH45</f>
        <v/>
      </c>
      <c r="AR94" s="19">
        <f>'Grid_Stock'!AI45</f>
        <v/>
      </c>
      <c r="AS94" s="19">
        <f>'Grid_Stock'!AJ45</f>
        <v/>
      </c>
      <c r="AT94" s="19">
        <f>'Grid_Stock'!AK45</f>
        <v/>
      </c>
      <c r="AU94" s="19">
        <f>'Grid_Stock'!AL45</f>
        <v/>
      </c>
      <c r="AV94" s="19">
        <f>'Grid_Stock'!AM45</f>
        <v/>
      </c>
      <c r="AW94" s="19">
        <f>'Grid_Stock'!AN45</f>
        <v/>
      </c>
      <c r="AX94" s="19">
        <f>'Grid_Stock'!AO45</f>
        <v/>
      </c>
      <c r="AY94" s="19">
        <f>'Grid_Stock'!AP45</f>
        <v/>
      </c>
      <c r="AZ94" s="19">
        <f>'Grid_Stock'!AQ45</f>
        <v/>
      </c>
      <c r="BA94" s="19">
        <f>'Grid_Stock'!AR45</f>
        <v/>
      </c>
      <c r="BB94" s="19">
        <f>'Grid_Stock'!AS45</f>
        <v/>
      </c>
      <c r="BC94" s="19">
        <f>'Grid_Stock'!AT45</f>
        <v/>
      </c>
      <c r="BD94" s="19">
        <f>'Grid_Stock'!AU45</f>
        <v/>
      </c>
      <c r="BE94" s="19">
        <f>'Grid_Stock'!AV45</f>
        <v/>
      </c>
      <c r="BF94" s="19">
        <f>'Grid_Stock'!AW45</f>
        <v/>
      </c>
      <c r="BG94" s="19">
        <f>'Grid_Stock'!AX45</f>
        <v/>
      </c>
      <c r="BH94" s="19">
        <f>'Grid_Stock'!AY45</f>
        <v/>
      </c>
      <c r="BI94" s="19">
        <f>'Grid_Stock'!AZ45</f>
        <v/>
      </c>
      <c r="BJ94" s="19">
        <f>'Grid_Stock'!BA45</f>
        <v/>
      </c>
      <c r="BK94" s="19">
        <f>'Grid_Stock'!BB45</f>
        <v/>
      </c>
      <c r="BL94" s="19">
        <f>'Grid_Stock'!BC45</f>
        <v/>
      </c>
      <c r="BM94" s="19">
        <f>'Grid_Stock'!BD45</f>
        <v/>
      </c>
      <c r="BN94" s="19">
        <f>'Grid_Stock'!BE45</f>
        <v/>
      </c>
      <c r="BO94" s="19">
        <f>'Grid_Stock'!BF45</f>
        <v/>
      </c>
      <c r="BP94" s="19">
        <f>'Grid_Stock'!BG45</f>
        <v/>
      </c>
      <c r="BQ94" s="19">
        <f>'Grid_Stock'!BH45</f>
        <v/>
      </c>
      <c r="BR94" s="19">
        <f>'Grid_Stock'!BI45</f>
        <v/>
      </c>
      <c r="BS94" s="19">
        <f>'Grid_Stock'!BJ45</f>
        <v/>
      </c>
      <c r="BT94" s="19">
        <f>'Grid_Stock'!BK45</f>
        <v/>
      </c>
      <c r="BU94" s="19">
        <f>'Grid_Stock'!BL45</f>
        <v/>
      </c>
      <c r="BV94" s="19">
        <f>'Grid_Stock'!BM45</f>
        <v/>
      </c>
      <c r="BW94" s="19">
        <f>'Grid_Stock'!BN45</f>
        <v/>
      </c>
      <c r="BX94" s="19">
        <f>'Grid_Stock'!BO45</f>
        <v/>
      </c>
      <c r="BY94" s="19">
        <f>'Grid_Stock'!BP45</f>
        <v/>
      </c>
      <c r="BZ94" s="19">
        <f>'Grid_Stock'!BQ45</f>
        <v/>
      </c>
      <c r="CA94" s="19">
        <f>'Grid_Stock'!BR45</f>
        <v/>
      </c>
      <c r="CB94" s="19">
        <f>'Grid_Stock'!BS45</f>
        <v/>
      </c>
      <c r="CC94" s="19">
        <f>'Grid_Stock'!BT45</f>
        <v/>
      </c>
      <c r="CD94" s="19">
        <f>'Grid_Stock'!BU45</f>
        <v/>
      </c>
      <c r="CE94" s="19">
        <f>'Grid_Stock'!BV45</f>
        <v/>
      </c>
      <c r="CF94" s="19">
        <f>'Grid_Stock'!BW45</f>
        <v/>
      </c>
      <c r="CG94" s="19">
        <f>'Grid_Stock'!BX45</f>
        <v/>
      </c>
      <c r="CH94" s="19">
        <f>'Grid_Stock'!BY45</f>
        <v/>
      </c>
      <c r="CI94" s="19">
        <f>'Grid_Stock'!BZ45</f>
        <v/>
      </c>
      <c r="CJ94" s="19">
        <f>'Grid_Stock'!CA45</f>
        <v/>
      </c>
      <c r="CK94" s="19">
        <f>'Grid_Stock'!CB45</f>
        <v/>
      </c>
      <c r="CL94" s="19">
        <f>'Grid_Stock'!CC45</f>
        <v/>
      </c>
      <c r="CM94" s="19">
        <f>'Grid_Stock'!CD45</f>
        <v/>
      </c>
      <c r="CN94" s="19">
        <f>'Grid_Stock'!CE45</f>
        <v/>
      </c>
      <c r="CO94" s="19">
        <f>'Grid_Stock'!CF45</f>
        <v/>
      </c>
      <c r="CP94" s="19">
        <f>'Grid_Stock'!CG45</f>
        <v/>
      </c>
      <c r="CQ94" s="19">
        <f>'Grid_Stock'!CH45</f>
        <v/>
      </c>
      <c r="CR94" s="19">
        <f>'Grid_Stock'!CI45</f>
        <v/>
      </c>
      <c r="CS94" s="19">
        <f>'Grid_Stock'!CJ45</f>
        <v/>
      </c>
      <c r="CT94" s="19">
        <f>'Grid_Stock'!CK45</f>
        <v/>
      </c>
      <c r="CU94" s="19">
        <f>'Grid_Stock'!CL45</f>
        <v/>
      </c>
      <c r="CV94" s="19">
        <f>'Grid_Stock'!CM45</f>
        <v/>
      </c>
      <c r="CW94" s="19">
        <f>'Grid_Stock'!CN45</f>
        <v/>
      </c>
      <c r="CX94" s="19">
        <f>'Grid_Stock'!CO45</f>
        <v/>
      </c>
      <c r="CY94" s="19">
        <f>'Grid_Stock'!CP45</f>
        <v/>
      </c>
      <c r="CZ94" s="19">
        <f>'Grid_Stock'!CQ45</f>
        <v/>
      </c>
      <c r="DA94" s="19">
        <f>'Grid_Stock'!CR45</f>
        <v/>
      </c>
      <c r="DB94" s="19">
        <f>'Grid_Stock'!CS45</f>
        <v/>
      </c>
      <c r="DC94" s="19">
        <f>'Grid_Stock'!CT45</f>
        <v/>
      </c>
      <c r="DD94" s="19">
        <f>'Grid_Stock'!CU45</f>
        <v/>
      </c>
      <c r="DE94" s="19">
        <f>'Grid_Stock'!CV45</f>
        <v/>
      </c>
      <c r="DF94" s="19">
        <f>'Grid_Stock'!CW45</f>
        <v/>
      </c>
      <c r="DG94" s="19">
        <f>'Grid_Stock'!CX45</f>
        <v/>
      </c>
      <c r="DH94" s="19">
        <f>'Grid_Stock'!CY45</f>
        <v/>
      </c>
      <c r="DI94" s="19">
        <f>'Grid_Stock'!CZ45</f>
        <v/>
      </c>
      <c r="DJ94" s="19">
        <f>'Grid_Stock'!DA45</f>
        <v/>
      </c>
    </row>
    <row r="95">
      <c r="A95" s="17" t="inlineStr">
        <is>
          <t>CHEM-1770</t>
        </is>
      </c>
      <c r="B95" s="17">
        <f>IFERROR(INDEX(M_RawMaterials[Description],MATCH($A95,M_RawMaterials[Part Name],0)),"")</f>
        <v/>
      </c>
      <c r="C95" s="17">
        <f>IFERROR(INDEX(M_RawMaterials[Category],MATCH($A95,M_RawMaterials[Part Name],0)),"")</f>
        <v/>
      </c>
      <c r="D95" s="17">
        <f>IFERROR(INDEX(M_RawMaterials[基準在庫下限_要入力],MATCH($A95,M_RawMaterials[Part Name],0)),0)</f>
        <v/>
      </c>
      <c r="E95" s="17">
        <f>IFERROR(INDEX(M_RawMaterials[基準在庫上限_要入力],MATCH($A95,M_RawMaterials[Part Name],0)),0)</f>
        <v/>
      </c>
      <c r="F95" s="17">
        <f>IFERROR(LOOKUP(2,1/('T_SelfStock'!$B$50:$DA$50&lt;&gt;""),'T_SelfStock'!$B$50:$DA$50),"")</f>
        <v/>
      </c>
      <c r="G95" s="17">
        <f>IFERROR(LOOKUP(2,1/('T_TTAFStock'!$B$50:$DA$50&lt;&gt;""),'T_TTAFStock'!$B$50:$DA$50),"")</f>
        <v/>
      </c>
      <c r="H95" s="17">
        <f>IFERROR(LOOKUP(2,1/('T_SelfStock'!$B$50:$DA$50&lt;&gt;""),'T_SelfStock'!$B$5:$DA$5),"")</f>
        <v/>
      </c>
      <c r="I95" s="18" t="inlineStr">
        <is>
          <t>理論在庫</t>
        </is>
      </c>
      <c r="J95" s="17">
        <f>IFERROR(INDEX('Grid_Stock'!$A46:$DA46,1,LOOKUP(2,1/('T_SelfStock'!$B$50:$DA$50&lt;&gt;""),COLUMN('T_SelfStock'!$B$50:$DA$50)))-INDEX('Grid_TheoreticalStock'!$A46:$DA46,1,LOOKUP(2,1/('T_SelfStock'!$B$50:$DA$50&lt;&gt;""),COLUMN('T_SelfStock'!$B$50:$DA$50))),0)</f>
        <v/>
      </c>
      <c r="K95" s="18">
        <f>'Grid_TheoreticalStock'!B46</f>
        <v/>
      </c>
      <c r="L95" s="18">
        <f>'Grid_TheoreticalStock'!C46</f>
        <v/>
      </c>
      <c r="M95" s="18">
        <f>'Grid_TheoreticalStock'!D46</f>
        <v/>
      </c>
      <c r="N95" s="18">
        <f>'Grid_TheoreticalStock'!E46</f>
        <v/>
      </c>
      <c r="O95" s="18">
        <f>'Grid_TheoreticalStock'!F46</f>
        <v/>
      </c>
      <c r="P95" s="18">
        <f>'Grid_TheoreticalStock'!G46</f>
        <v/>
      </c>
      <c r="Q95" s="18">
        <f>'Grid_TheoreticalStock'!H46</f>
        <v/>
      </c>
      <c r="R95" s="18">
        <f>'Grid_TheoreticalStock'!I46</f>
        <v/>
      </c>
      <c r="S95" s="18">
        <f>'Grid_TheoreticalStock'!J46</f>
        <v/>
      </c>
      <c r="T95" s="18">
        <f>'Grid_TheoreticalStock'!K46</f>
        <v/>
      </c>
      <c r="U95" s="18">
        <f>'Grid_TheoreticalStock'!L46</f>
        <v/>
      </c>
      <c r="V95" s="18">
        <f>'Grid_TheoreticalStock'!M46</f>
        <v/>
      </c>
      <c r="W95" s="18">
        <f>'Grid_TheoreticalStock'!N46</f>
        <v/>
      </c>
      <c r="X95" s="18">
        <f>'Grid_TheoreticalStock'!O46</f>
        <v/>
      </c>
      <c r="Y95" s="18">
        <f>'Grid_TheoreticalStock'!P46</f>
        <v/>
      </c>
      <c r="Z95" s="18">
        <f>'Grid_TheoreticalStock'!Q46</f>
        <v/>
      </c>
      <c r="AA95" s="18">
        <f>'Grid_TheoreticalStock'!R46</f>
        <v/>
      </c>
      <c r="AB95" s="18">
        <f>'Grid_TheoreticalStock'!S46</f>
        <v/>
      </c>
      <c r="AC95" s="18">
        <f>'Grid_TheoreticalStock'!T46</f>
        <v/>
      </c>
      <c r="AD95" s="18">
        <f>'Grid_TheoreticalStock'!U46</f>
        <v/>
      </c>
      <c r="AE95" s="18">
        <f>'Grid_TheoreticalStock'!V46</f>
        <v/>
      </c>
      <c r="AF95" s="18">
        <f>'Grid_TheoreticalStock'!W46</f>
        <v/>
      </c>
      <c r="AG95" s="18">
        <f>'Grid_TheoreticalStock'!X46</f>
        <v/>
      </c>
      <c r="AH95" s="18">
        <f>'Grid_TheoreticalStock'!Y46</f>
        <v/>
      </c>
      <c r="AI95" s="18">
        <f>'Grid_TheoreticalStock'!Z46</f>
        <v/>
      </c>
      <c r="AJ95" s="18">
        <f>'Grid_TheoreticalStock'!AA46</f>
        <v/>
      </c>
      <c r="AK95" s="18">
        <f>'Grid_TheoreticalStock'!AB46</f>
        <v/>
      </c>
      <c r="AL95" s="18">
        <f>'Grid_TheoreticalStock'!AC46</f>
        <v/>
      </c>
      <c r="AM95" s="18">
        <f>'Grid_TheoreticalStock'!AD46</f>
        <v/>
      </c>
      <c r="AN95" s="18">
        <f>'Grid_TheoreticalStock'!AE46</f>
        <v/>
      </c>
      <c r="AO95" s="18">
        <f>'Grid_TheoreticalStock'!AF46</f>
        <v/>
      </c>
      <c r="AP95" s="18">
        <f>'Grid_TheoreticalStock'!AG46</f>
        <v/>
      </c>
      <c r="AQ95" s="18">
        <f>'Grid_TheoreticalStock'!AH46</f>
        <v/>
      </c>
      <c r="AR95" s="18">
        <f>'Grid_TheoreticalStock'!AI46</f>
        <v/>
      </c>
      <c r="AS95" s="18">
        <f>'Grid_TheoreticalStock'!AJ46</f>
        <v/>
      </c>
      <c r="AT95" s="18">
        <f>'Grid_TheoreticalStock'!AK46</f>
        <v/>
      </c>
      <c r="AU95" s="18">
        <f>'Grid_TheoreticalStock'!AL46</f>
        <v/>
      </c>
      <c r="AV95" s="18">
        <f>'Grid_TheoreticalStock'!AM46</f>
        <v/>
      </c>
      <c r="AW95" s="18">
        <f>'Grid_TheoreticalStock'!AN46</f>
        <v/>
      </c>
      <c r="AX95" s="18">
        <f>'Grid_TheoreticalStock'!AO46</f>
        <v/>
      </c>
      <c r="AY95" s="18">
        <f>'Grid_TheoreticalStock'!AP46</f>
        <v/>
      </c>
      <c r="AZ95" s="18">
        <f>'Grid_TheoreticalStock'!AQ46</f>
        <v/>
      </c>
      <c r="BA95" s="18">
        <f>'Grid_TheoreticalStock'!AR46</f>
        <v/>
      </c>
      <c r="BB95" s="18">
        <f>'Grid_TheoreticalStock'!AS46</f>
        <v/>
      </c>
      <c r="BC95" s="18">
        <f>'Grid_TheoreticalStock'!AT46</f>
        <v/>
      </c>
      <c r="BD95" s="18">
        <f>'Grid_TheoreticalStock'!AU46</f>
        <v/>
      </c>
      <c r="BE95" s="18">
        <f>'Grid_TheoreticalStock'!AV46</f>
        <v/>
      </c>
      <c r="BF95" s="18">
        <f>'Grid_TheoreticalStock'!AW46</f>
        <v/>
      </c>
      <c r="BG95" s="18">
        <f>'Grid_TheoreticalStock'!AX46</f>
        <v/>
      </c>
      <c r="BH95" s="18">
        <f>'Grid_TheoreticalStock'!AY46</f>
        <v/>
      </c>
      <c r="BI95" s="18">
        <f>'Grid_TheoreticalStock'!AZ46</f>
        <v/>
      </c>
      <c r="BJ95" s="18">
        <f>'Grid_TheoreticalStock'!BA46</f>
        <v/>
      </c>
      <c r="BK95" s="18">
        <f>'Grid_TheoreticalStock'!BB46</f>
        <v/>
      </c>
      <c r="BL95" s="18">
        <f>'Grid_TheoreticalStock'!BC46</f>
        <v/>
      </c>
      <c r="BM95" s="18">
        <f>'Grid_TheoreticalStock'!BD46</f>
        <v/>
      </c>
      <c r="BN95" s="18">
        <f>'Grid_TheoreticalStock'!BE46</f>
        <v/>
      </c>
      <c r="BO95" s="18">
        <f>'Grid_TheoreticalStock'!BF46</f>
        <v/>
      </c>
      <c r="BP95" s="18">
        <f>'Grid_TheoreticalStock'!BG46</f>
        <v/>
      </c>
      <c r="BQ95" s="18">
        <f>'Grid_TheoreticalStock'!BH46</f>
        <v/>
      </c>
      <c r="BR95" s="18">
        <f>'Grid_TheoreticalStock'!BI46</f>
        <v/>
      </c>
      <c r="BS95" s="18">
        <f>'Grid_TheoreticalStock'!BJ46</f>
        <v/>
      </c>
      <c r="BT95" s="18">
        <f>'Grid_TheoreticalStock'!BK46</f>
        <v/>
      </c>
      <c r="BU95" s="18">
        <f>'Grid_TheoreticalStock'!BL46</f>
        <v/>
      </c>
      <c r="BV95" s="18">
        <f>'Grid_TheoreticalStock'!BM46</f>
        <v/>
      </c>
      <c r="BW95" s="18">
        <f>'Grid_TheoreticalStock'!BN46</f>
        <v/>
      </c>
      <c r="BX95" s="18">
        <f>'Grid_TheoreticalStock'!BO46</f>
        <v/>
      </c>
      <c r="BY95" s="18">
        <f>'Grid_TheoreticalStock'!BP46</f>
        <v/>
      </c>
      <c r="BZ95" s="18">
        <f>'Grid_TheoreticalStock'!BQ46</f>
        <v/>
      </c>
      <c r="CA95" s="18">
        <f>'Grid_TheoreticalStock'!BR46</f>
        <v/>
      </c>
      <c r="CB95" s="18">
        <f>'Grid_TheoreticalStock'!BS46</f>
        <v/>
      </c>
      <c r="CC95" s="18">
        <f>'Grid_TheoreticalStock'!BT46</f>
        <v/>
      </c>
      <c r="CD95" s="18">
        <f>'Grid_TheoreticalStock'!BU46</f>
        <v/>
      </c>
      <c r="CE95" s="18">
        <f>'Grid_TheoreticalStock'!BV46</f>
        <v/>
      </c>
      <c r="CF95" s="18">
        <f>'Grid_TheoreticalStock'!BW46</f>
        <v/>
      </c>
      <c r="CG95" s="18">
        <f>'Grid_TheoreticalStock'!BX46</f>
        <v/>
      </c>
      <c r="CH95" s="18">
        <f>'Grid_TheoreticalStock'!BY46</f>
        <v/>
      </c>
      <c r="CI95" s="18">
        <f>'Grid_TheoreticalStock'!BZ46</f>
        <v/>
      </c>
      <c r="CJ95" s="18">
        <f>'Grid_TheoreticalStock'!CA46</f>
        <v/>
      </c>
      <c r="CK95" s="18">
        <f>'Grid_TheoreticalStock'!CB46</f>
        <v/>
      </c>
      <c r="CL95" s="18">
        <f>'Grid_TheoreticalStock'!CC46</f>
        <v/>
      </c>
      <c r="CM95" s="18">
        <f>'Grid_TheoreticalStock'!CD46</f>
        <v/>
      </c>
      <c r="CN95" s="18">
        <f>'Grid_TheoreticalStock'!CE46</f>
        <v/>
      </c>
      <c r="CO95" s="18">
        <f>'Grid_TheoreticalStock'!CF46</f>
        <v/>
      </c>
      <c r="CP95" s="18">
        <f>'Grid_TheoreticalStock'!CG46</f>
        <v/>
      </c>
      <c r="CQ95" s="18">
        <f>'Grid_TheoreticalStock'!CH46</f>
        <v/>
      </c>
      <c r="CR95" s="18">
        <f>'Grid_TheoreticalStock'!CI46</f>
        <v/>
      </c>
      <c r="CS95" s="18">
        <f>'Grid_TheoreticalStock'!CJ46</f>
        <v/>
      </c>
      <c r="CT95" s="18">
        <f>'Grid_TheoreticalStock'!CK46</f>
        <v/>
      </c>
      <c r="CU95" s="18">
        <f>'Grid_TheoreticalStock'!CL46</f>
        <v/>
      </c>
      <c r="CV95" s="18">
        <f>'Grid_TheoreticalStock'!CM46</f>
        <v/>
      </c>
      <c r="CW95" s="18">
        <f>'Grid_TheoreticalStock'!CN46</f>
        <v/>
      </c>
      <c r="CX95" s="18">
        <f>'Grid_TheoreticalStock'!CO46</f>
        <v/>
      </c>
      <c r="CY95" s="18">
        <f>'Grid_TheoreticalStock'!CP46</f>
        <v/>
      </c>
      <c r="CZ95" s="18">
        <f>'Grid_TheoreticalStock'!CQ46</f>
        <v/>
      </c>
      <c r="DA95" s="18">
        <f>'Grid_TheoreticalStock'!CR46</f>
        <v/>
      </c>
      <c r="DB95" s="18">
        <f>'Grid_TheoreticalStock'!CS46</f>
        <v/>
      </c>
      <c r="DC95" s="18">
        <f>'Grid_TheoreticalStock'!CT46</f>
        <v/>
      </c>
      <c r="DD95" s="18">
        <f>'Grid_TheoreticalStock'!CU46</f>
        <v/>
      </c>
      <c r="DE95" s="18">
        <f>'Grid_TheoreticalStock'!CV46</f>
        <v/>
      </c>
      <c r="DF95" s="18">
        <f>'Grid_TheoreticalStock'!CW46</f>
        <v/>
      </c>
      <c r="DG95" s="18">
        <f>'Grid_TheoreticalStock'!CX46</f>
        <v/>
      </c>
      <c r="DH95" s="18">
        <f>'Grid_TheoreticalStock'!CY46</f>
        <v/>
      </c>
      <c r="DI95" s="18">
        <f>'Grid_TheoreticalStock'!CZ46</f>
        <v/>
      </c>
      <c r="DJ95" s="18">
        <f>'Grid_TheoreticalStock'!DA46</f>
        <v/>
      </c>
    </row>
    <row r="96">
      <c r="A96" s="19" t="inlineStr">
        <is>
          <t>CHEM-1770</t>
        </is>
      </c>
      <c r="B96" s="19">
        <f>IFERROR(INDEX(M_RawMaterials[Description],MATCH($A96,M_RawMaterials[Part Name],0)),"")</f>
        <v/>
      </c>
      <c r="C96" s="19">
        <f>IFERROR(INDEX(M_RawMaterials[Category],MATCH($A96,M_RawMaterials[Part Name],0)),"")</f>
        <v/>
      </c>
      <c r="D96" s="19">
        <f>IFERROR(INDEX(M_RawMaterials[基準在庫下限_要入力],MATCH($A96,M_RawMaterials[Part Name],0)),0)</f>
        <v/>
      </c>
      <c r="E96" s="19">
        <f>IFERROR(INDEX(M_RawMaterials[基準在庫上限_要入力],MATCH($A96,M_RawMaterials[Part Name],0)),0)</f>
        <v/>
      </c>
      <c r="F96" s="19">
        <f>IFERROR(LOOKUP(2,1/('T_SelfStock'!$B$50:$DA$50&lt;&gt;""),'T_SelfStock'!$B$50:$DA$50),"")</f>
        <v/>
      </c>
      <c r="G96" s="19">
        <f>IFERROR(LOOKUP(2,1/('T_TTAFStock'!$B$50:$DA$50&lt;&gt;""),'T_TTAFStock'!$B$50:$DA$50),"")</f>
        <v/>
      </c>
      <c r="H96" s="19">
        <f>IFERROR(LOOKUP(2,1/('T_SelfStock'!$B$50:$DA$50&lt;&gt;""),'T_SelfStock'!$B$5:$DA$5),"")</f>
        <v/>
      </c>
      <c r="I96" s="20" t="inlineStr">
        <is>
          <t>実在庫</t>
        </is>
      </c>
      <c r="J96" s="19">
        <f>IFERROR(INDEX('Grid_Stock'!$A46:$DA46,1,LOOKUP(2,1/('T_SelfStock'!$B$50:$DA$50&lt;&gt;""),COLUMN('T_SelfStock'!$B$50:$DA$50)))-INDEX('Grid_TheoreticalStock'!$A46:$DA46,1,LOOKUP(2,1/('T_SelfStock'!$B$50:$DA$50&lt;&gt;""),COLUMN('T_SelfStock'!$B$50:$DA$50))),0)</f>
        <v/>
      </c>
      <c r="K96" s="19">
        <f>'Grid_Stock'!B46</f>
        <v/>
      </c>
      <c r="L96" s="19">
        <f>'Grid_Stock'!C46</f>
        <v/>
      </c>
      <c r="M96" s="19">
        <f>'Grid_Stock'!D46</f>
        <v/>
      </c>
      <c r="N96" s="19">
        <f>'Grid_Stock'!E46</f>
        <v/>
      </c>
      <c r="O96" s="19">
        <f>'Grid_Stock'!F46</f>
        <v/>
      </c>
      <c r="P96" s="19">
        <f>'Grid_Stock'!G46</f>
        <v/>
      </c>
      <c r="Q96" s="19">
        <f>'Grid_Stock'!H46</f>
        <v/>
      </c>
      <c r="R96" s="19">
        <f>'Grid_Stock'!I46</f>
        <v/>
      </c>
      <c r="S96" s="19">
        <f>'Grid_Stock'!J46</f>
        <v/>
      </c>
      <c r="T96" s="19">
        <f>'Grid_Stock'!K46</f>
        <v/>
      </c>
      <c r="U96" s="19">
        <f>'Grid_Stock'!L46</f>
        <v/>
      </c>
      <c r="V96" s="19">
        <f>'Grid_Stock'!M46</f>
        <v/>
      </c>
      <c r="W96" s="19">
        <f>'Grid_Stock'!N46</f>
        <v/>
      </c>
      <c r="X96" s="19">
        <f>'Grid_Stock'!O46</f>
        <v/>
      </c>
      <c r="Y96" s="19">
        <f>'Grid_Stock'!P46</f>
        <v/>
      </c>
      <c r="Z96" s="19">
        <f>'Grid_Stock'!Q46</f>
        <v/>
      </c>
      <c r="AA96" s="19">
        <f>'Grid_Stock'!R46</f>
        <v/>
      </c>
      <c r="AB96" s="19">
        <f>'Grid_Stock'!S46</f>
        <v/>
      </c>
      <c r="AC96" s="19">
        <f>'Grid_Stock'!T46</f>
        <v/>
      </c>
      <c r="AD96" s="19">
        <f>'Grid_Stock'!U46</f>
        <v/>
      </c>
      <c r="AE96" s="19">
        <f>'Grid_Stock'!V46</f>
        <v/>
      </c>
      <c r="AF96" s="19">
        <f>'Grid_Stock'!W46</f>
        <v/>
      </c>
      <c r="AG96" s="19">
        <f>'Grid_Stock'!X46</f>
        <v/>
      </c>
      <c r="AH96" s="19">
        <f>'Grid_Stock'!Y46</f>
        <v/>
      </c>
      <c r="AI96" s="19">
        <f>'Grid_Stock'!Z46</f>
        <v/>
      </c>
      <c r="AJ96" s="19">
        <f>'Grid_Stock'!AA46</f>
        <v/>
      </c>
      <c r="AK96" s="19">
        <f>'Grid_Stock'!AB46</f>
        <v/>
      </c>
      <c r="AL96" s="19">
        <f>'Grid_Stock'!AC46</f>
        <v/>
      </c>
      <c r="AM96" s="19">
        <f>'Grid_Stock'!AD46</f>
        <v/>
      </c>
      <c r="AN96" s="19">
        <f>'Grid_Stock'!AE46</f>
        <v/>
      </c>
      <c r="AO96" s="19">
        <f>'Grid_Stock'!AF46</f>
        <v/>
      </c>
      <c r="AP96" s="19">
        <f>'Grid_Stock'!AG46</f>
        <v/>
      </c>
      <c r="AQ96" s="19">
        <f>'Grid_Stock'!AH46</f>
        <v/>
      </c>
      <c r="AR96" s="19">
        <f>'Grid_Stock'!AI46</f>
        <v/>
      </c>
      <c r="AS96" s="19">
        <f>'Grid_Stock'!AJ46</f>
        <v/>
      </c>
      <c r="AT96" s="19">
        <f>'Grid_Stock'!AK46</f>
        <v/>
      </c>
      <c r="AU96" s="19">
        <f>'Grid_Stock'!AL46</f>
        <v/>
      </c>
      <c r="AV96" s="19">
        <f>'Grid_Stock'!AM46</f>
        <v/>
      </c>
      <c r="AW96" s="19">
        <f>'Grid_Stock'!AN46</f>
        <v/>
      </c>
      <c r="AX96" s="19">
        <f>'Grid_Stock'!AO46</f>
        <v/>
      </c>
      <c r="AY96" s="19">
        <f>'Grid_Stock'!AP46</f>
        <v/>
      </c>
      <c r="AZ96" s="19">
        <f>'Grid_Stock'!AQ46</f>
        <v/>
      </c>
      <c r="BA96" s="19">
        <f>'Grid_Stock'!AR46</f>
        <v/>
      </c>
      <c r="BB96" s="19">
        <f>'Grid_Stock'!AS46</f>
        <v/>
      </c>
      <c r="BC96" s="19">
        <f>'Grid_Stock'!AT46</f>
        <v/>
      </c>
      <c r="BD96" s="19">
        <f>'Grid_Stock'!AU46</f>
        <v/>
      </c>
      <c r="BE96" s="19">
        <f>'Grid_Stock'!AV46</f>
        <v/>
      </c>
      <c r="BF96" s="19">
        <f>'Grid_Stock'!AW46</f>
        <v/>
      </c>
      <c r="BG96" s="19">
        <f>'Grid_Stock'!AX46</f>
        <v/>
      </c>
      <c r="BH96" s="19">
        <f>'Grid_Stock'!AY46</f>
        <v/>
      </c>
      <c r="BI96" s="19">
        <f>'Grid_Stock'!AZ46</f>
        <v/>
      </c>
      <c r="BJ96" s="19">
        <f>'Grid_Stock'!BA46</f>
        <v/>
      </c>
      <c r="BK96" s="19">
        <f>'Grid_Stock'!BB46</f>
        <v/>
      </c>
      <c r="BL96" s="19">
        <f>'Grid_Stock'!BC46</f>
        <v/>
      </c>
      <c r="BM96" s="19">
        <f>'Grid_Stock'!BD46</f>
        <v/>
      </c>
      <c r="BN96" s="19">
        <f>'Grid_Stock'!BE46</f>
        <v/>
      </c>
      <c r="BO96" s="19">
        <f>'Grid_Stock'!BF46</f>
        <v/>
      </c>
      <c r="BP96" s="19">
        <f>'Grid_Stock'!BG46</f>
        <v/>
      </c>
      <c r="BQ96" s="19">
        <f>'Grid_Stock'!BH46</f>
        <v/>
      </c>
      <c r="BR96" s="19">
        <f>'Grid_Stock'!BI46</f>
        <v/>
      </c>
      <c r="BS96" s="19">
        <f>'Grid_Stock'!BJ46</f>
        <v/>
      </c>
      <c r="BT96" s="19">
        <f>'Grid_Stock'!BK46</f>
        <v/>
      </c>
      <c r="BU96" s="19">
        <f>'Grid_Stock'!BL46</f>
        <v/>
      </c>
      <c r="BV96" s="19">
        <f>'Grid_Stock'!BM46</f>
        <v/>
      </c>
      <c r="BW96" s="19">
        <f>'Grid_Stock'!BN46</f>
        <v/>
      </c>
      <c r="BX96" s="19">
        <f>'Grid_Stock'!BO46</f>
        <v/>
      </c>
      <c r="BY96" s="19">
        <f>'Grid_Stock'!BP46</f>
        <v/>
      </c>
      <c r="BZ96" s="19">
        <f>'Grid_Stock'!BQ46</f>
        <v/>
      </c>
      <c r="CA96" s="19">
        <f>'Grid_Stock'!BR46</f>
        <v/>
      </c>
      <c r="CB96" s="19">
        <f>'Grid_Stock'!BS46</f>
        <v/>
      </c>
      <c r="CC96" s="19">
        <f>'Grid_Stock'!BT46</f>
        <v/>
      </c>
      <c r="CD96" s="19">
        <f>'Grid_Stock'!BU46</f>
        <v/>
      </c>
      <c r="CE96" s="19">
        <f>'Grid_Stock'!BV46</f>
        <v/>
      </c>
      <c r="CF96" s="19">
        <f>'Grid_Stock'!BW46</f>
        <v/>
      </c>
      <c r="CG96" s="19">
        <f>'Grid_Stock'!BX46</f>
        <v/>
      </c>
      <c r="CH96" s="19">
        <f>'Grid_Stock'!BY46</f>
        <v/>
      </c>
      <c r="CI96" s="19">
        <f>'Grid_Stock'!BZ46</f>
        <v/>
      </c>
      <c r="CJ96" s="19">
        <f>'Grid_Stock'!CA46</f>
        <v/>
      </c>
      <c r="CK96" s="19">
        <f>'Grid_Stock'!CB46</f>
        <v/>
      </c>
      <c r="CL96" s="19">
        <f>'Grid_Stock'!CC46</f>
        <v/>
      </c>
      <c r="CM96" s="19">
        <f>'Grid_Stock'!CD46</f>
        <v/>
      </c>
      <c r="CN96" s="19">
        <f>'Grid_Stock'!CE46</f>
        <v/>
      </c>
      <c r="CO96" s="19">
        <f>'Grid_Stock'!CF46</f>
        <v/>
      </c>
      <c r="CP96" s="19">
        <f>'Grid_Stock'!CG46</f>
        <v/>
      </c>
      <c r="CQ96" s="19">
        <f>'Grid_Stock'!CH46</f>
        <v/>
      </c>
      <c r="CR96" s="19">
        <f>'Grid_Stock'!CI46</f>
        <v/>
      </c>
      <c r="CS96" s="19">
        <f>'Grid_Stock'!CJ46</f>
        <v/>
      </c>
      <c r="CT96" s="19">
        <f>'Grid_Stock'!CK46</f>
        <v/>
      </c>
      <c r="CU96" s="19">
        <f>'Grid_Stock'!CL46</f>
        <v/>
      </c>
      <c r="CV96" s="19">
        <f>'Grid_Stock'!CM46</f>
        <v/>
      </c>
      <c r="CW96" s="19">
        <f>'Grid_Stock'!CN46</f>
        <v/>
      </c>
      <c r="CX96" s="19">
        <f>'Grid_Stock'!CO46</f>
        <v/>
      </c>
      <c r="CY96" s="19">
        <f>'Grid_Stock'!CP46</f>
        <v/>
      </c>
      <c r="CZ96" s="19">
        <f>'Grid_Stock'!CQ46</f>
        <v/>
      </c>
      <c r="DA96" s="19">
        <f>'Grid_Stock'!CR46</f>
        <v/>
      </c>
      <c r="DB96" s="19">
        <f>'Grid_Stock'!CS46</f>
        <v/>
      </c>
      <c r="DC96" s="19">
        <f>'Grid_Stock'!CT46</f>
        <v/>
      </c>
      <c r="DD96" s="19">
        <f>'Grid_Stock'!CU46</f>
        <v/>
      </c>
      <c r="DE96" s="19">
        <f>'Grid_Stock'!CV46</f>
        <v/>
      </c>
      <c r="DF96" s="19">
        <f>'Grid_Stock'!CW46</f>
        <v/>
      </c>
      <c r="DG96" s="19">
        <f>'Grid_Stock'!CX46</f>
        <v/>
      </c>
      <c r="DH96" s="19">
        <f>'Grid_Stock'!CY46</f>
        <v/>
      </c>
      <c r="DI96" s="19">
        <f>'Grid_Stock'!CZ46</f>
        <v/>
      </c>
      <c r="DJ96" s="19">
        <f>'Grid_Stock'!DA46</f>
        <v/>
      </c>
    </row>
    <row r="97">
      <c r="A97" s="17" t="inlineStr">
        <is>
          <t>CHEM-1430</t>
        </is>
      </c>
      <c r="B97" s="17">
        <f>IFERROR(INDEX(M_RawMaterials[Description],MATCH($A97,M_RawMaterials[Part Name],0)),"")</f>
        <v/>
      </c>
      <c r="C97" s="17">
        <f>IFERROR(INDEX(M_RawMaterials[Category],MATCH($A97,M_RawMaterials[Part Name],0)),"")</f>
        <v/>
      </c>
      <c r="D97" s="17">
        <f>IFERROR(INDEX(M_RawMaterials[基準在庫下限_要入力],MATCH($A97,M_RawMaterials[Part Name],0)),0)</f>
        <v/>
      </c>
      <c r="E97" s="17">
        <f>IFERROR(INDEX(M_RawMaterials[基準在庫上限_要入力],MATCH($A97,M_RawMaterials[Part Name],0)),0)</f>
        <v/>
      </c>
      <c r="F97" s="17">
        <f>IFERROR(LOOKUP(2,1/('T_SelfStock'!$B$51:$DA$51&lt;&gt;""),'T_SelfStock'!$B$51:$DA$51),"")</f>
        <v/>
      </c>
      <c r="G97" s="17">
        <f>IFERROR(LOOKUP(2,1/('T_TTAFStock'!$B$51:$DA$51&lt;&gt;""),'T_TTAFStock'!$B$51:$DA$51),"")</f>
        <v/>
      </c>
      <c r="H97" s="17">
        <f>IFERROR(LOOKUP(2,1/('T_SelfStock'!$B$51:$DA$51&lt;&gt;""),'T_SelfStock'!$B$5:$DA$5),"")</f>
        <v/>
      </c>
      <c r="I97" s="18" t="inlineStr">
        <is>
          <t>理論在庫</t>
        </is>
      </c>
      <c r="J97" s="17">
        <f>IFERROR(INDEX('Grid_Stock'!$A47:$DA47,1,LOOKUP(2,1/('T_SelfStock'!$B$51:$DA$51&lt;&gt;""),COLUMN('T_SelfStock'!$B$51:$DA$51)))-INDEX('Grid_TheoreticalStock'!$A47:$DA47,1,LOOKUP(2,1/('T_SelfStock'!$B$51:$DA$51&lt;&gt;""),COLUMN('T_SelfStock'!$B$51:$DA$51))),0)</f>
        <v/>
      </c>
      <c r="K97" s="18">
        <f>'Grid_TheoreticalStock'!B47</f>
        <v/>
      </c>
      <c r="L97" s="18">
        <f>'Grid_TheoreticalStock'!C47</f>
        <v/>
      </c>
      <c r="M97" s="18">
        <f>'Grid_TheoreticalStock'!D47</f>
        <v/>
      </c>
      <c r="N97" s="18">
        <f>'Grid_TheoreticalStock'!E47</f>
        <v/>
      </c>
      <c r="O97" s="18">
        <f>'Grid_TheoreticalStock'!F47</f>
        <v/>
      </c>
      <c r="P97" s="18">
        <f>'Grid_TheoreticalStock'!G47</f>
        <v/>
      </c>
      <c r="Q97" s="18">
        <f>'Grid_TheoreticalStock'!H47</f>
        <v/>
      </c>
      <c r="R97" s="18">
        <f>'Grid_TheoreticalStock'!I47</f>
        <v/>
      </c>
      <c r="S97" s="18">
        <f>'Grid_TheoreticalStock'!J47</f>
        <v/>
      </c>
      <c r="T97" s="18">
        <f>'Grid_TheoreticalStock'!K47</f>
        <v/>
      </c>
      <c r="U97" s="18">
        <f>'Grid_TheoreticalStock'!L47</f>
        <v/>
      </c>
      <c r="V97" s="18">
        <f>'Grid_TheoreticalStock'!M47</f>
        <v/>
      </c>
      <c r="W97" s="18">
        <f>'Grid_TheoreticalStock'!N47</f>
        <v/>
      </c>
      <c r="X97" s="18">
        <f>'Grid_TheoreticalStock'!O47</f>
        <v/>
      </c>
      <c r="Y97" s="18">
        <f>'Grid_TheoreticalStock'!P47</f>
        <v/>
      </c>
      <c r="Z97" s="18">
        <f>'Grid_TheoreticalStock'!Q47</f>
        <v/>
      </c>
      <c r="AA97" s="18">
        <f>'Grid_TheoreticalStock'!R47</f>
        <v/>
      </c>
      <c r="AB97" s="18">
        <f>'Grid_TheoreticalStock'!S47</f>
        <v/>
      </c>
      <c r="AC97" s="18">
        <f>'Grid_TheoreticalStock'!T47</f>
        <v/>
      </c>
      <c r="AD97" s="18">
        <f>'Grid_TheoreticalStock'!U47</f>
        <v/>
      </c>
      <c r="AE97" s="18">
        <f>'Grid_TheoreticalStock'!V47</f>
        <v/>
      </c>
      <c r="AF97" s="18">
        <f>'Grid_TheoreticalStock'!W47</f>
        <v/>
      </c>
      <c r="AG97" s="18">
        <f>'Grid_TheoreticalStock'!X47</f>
        <v/>
      </c>
      <c r="AH97" s="18">
        <f>'Grid_TheoreticalStock'!Y47</f>
        <v/>
      </c>
      <c r="AI97" s="18">
        <f>'Grid_TheoreticalStock'!Z47</f>
        <v/>
      </c>
      <c r="AJ97" s="18">
        <f>'Grid_TheoreticalStock'!AA47</f>
        <v/>
      </c>
      <c r="AK97" s="18">
        <f>'Grid_TheoreticalStock'!AB47</f>
        <v/>
      </c>
      <c r="AL97" s="18">
        <f>'Grid_TheoreticalStock'!AC47</f>
        <v/>
      </c>
      <c r="AM97" s="18">
        <f>'Grid_TheoreticalStock'!AD47</f>
        <v/>
      </c>
      <c r="AN97" s="18">
        <f>'Grid_TheoreticalStock'!AE47</f>
        <v/>
      </c>
      <c r="AO97" s="18">
        <f>'Grid_TheoreticalStock'!AF47</f>
        <v/>
      </c>
      <c r="AP97" s="18">
        <f>'Grid_TheoreticalStock'!AG47</f>
        <v/>
      </c>
      <c r="AQ97" s="18">
        <f>'Grid_TheoreticalStock'!AH47</f>
        <v/>
      </c>
      <c r="AR97" s="18">
        <f>'Grid_TheoreticalStock'!AI47</f>
        <v/>
      </c>
      <c r="AS97" s="18">
        <f>'Grid_TheoreticalStock'!AJ47</f>
        <v/>
      </c>
      <c r="AT97" s="18">
        <f>'Grid_TheoreticalStock'!AK47</f>
        <v/>
      </c>
      <c r="AU97" s="18">
        <f>'Grid_TheoreticalStock'!AL47</f>
        <v/>
      </c>
      <c r="AV97" s="18">
        <f>'Grid_TheoreticalStock'!AM47</f>
        <v/>
      </c>
      <c r="AW97" s="18">
        <f>'Grid_TheoreticalStock'!AN47</f>
        <v/>
      </c>
      <c r="AX97" s="18">
        <f>'Grid_TheoreticalStock'!AO47</f>
        <v/>
      </c>
      <c r="AY97" s="18">
        <f>'Grid_TheoreticalStock'!AP47</f>
        <v/>
      </c>
      <c r="AZ97" s="18">
        <f>'Grid_TheoreticalStock'!AQ47</f>
        <v/>
      </c>
      <c r="BA97" s="18">
        <f>'Grid_TheoreticalStock'!AR47</f>
        <v/>
      </c>
      <c r="BB97" s="18">
        <f>'Grid_TheoreticalStock'!AS47</f>
        <v/>
      </c>
      <c r="BC97" s="18">
        <f>'Grid_TheoreticalStock'!AT47</f>
        <v/>
      </c>
      <c r="BD97" s="18">
        <f>'Grid_TheoreticalStock'!AU47</f>
        <v/>
      </c>
      <c r="BE97" s="18">
        <f>'Grid_TheoreticalStock'!AV47</f>
        <v/>
      </c>
      <c r="BF97" s="18">
        <f>'Grid_TheoreticalStock'!AW47</f>
        <v/>
      </c>
      <c r="BG97" s="18">
        <f>'Grid_TheoreticalStock'!AX47</f>
        <v/>
      </c>
      <c r="BH97" s="18">
        <f>'Grid_TheoreticalStock'!AY47</f>
        <v/>
      </c>
      <c r="BI97" s="18">
        <f>'Grid_TheoreticalStock'!AZ47</f>
        <v/>
      </c>
      <c r="BJ97" s="18">
        <f>'Grid_TheoreticalStock'!BA47</f>
        <v/>
      </c>
      <c r="BK97" s="18">
        <f>'Grid_TheoreticalStock'!BB47</f>
        <v/>
      </c>
      <c r="BL97" s="18">
        <f>'Grid_TheoreticalStock'!BC47</f>
        <v/>
      </c>
      <c r="BM97" s="18">
        <f>'Grid_TheoreticalStock'!BD47</f>
        <v/>
      </c>
      <c r="BN97" s="18">
        <f>'Grid_TheoreticalStock'!BE47</f>
        <v/>
      </c>
      <c r="BO97" s="18">
        <f>'Grid_TheoreticalStock'!BF47</f>
        <v/>
      </c>
      <c r="BP97" s="18">
        <f>'Grid_TheoreticalStock'!BG47</f>
        <v/>
      </c>
      <c r="BQ97" s="18">
        <f>'Grid_TheoreticalStock'!BH47</f>
        <v/>
      </c>
      <c r="BR97" s="18">
        <f>'Grid_TheoreticalStock'!BI47</f>
        <v/>
      </c>
      <c r="BS97" s="18">
        <f>'Grid_TheoreticalStock'!BJ47</f>
        <v/>
      </c>
      <c r="BT97" s="18">
        <f>'Grid_TheoreticalStock'!BK47</f>
        <v/>
      </c>
      <c r="BU97" s="18">
        <f>'Grid_TheoreticalStock'!BL47</f>
        <v/>
      </c>
      <c r="BV97" s="18">
        <f>'Grid_TheoreticalStock'!BM47</f>
        <v/>
      </c>
      <c r="BW97" s="18">
        <f>'Grid_TheoreticalStock'!BN47</f>
        <v/>
      </c>
      <c r="BX97" s="18">
        <f>'Grid_TheoreticalStock'!BO47</f>
        <v/>
      </c>
      <c r="BY97" s="18">
        <f>'Grid_TheoreticalStock'!BP47</f>
        <v/>
      </c>
      <c r="BZ97" s="18">
        <f>'Grid_TheoreticalStock'!BQ47</f>
        <v/>
      </c>
      <c r="CA97" s="18">
        <f>'Grid_TheoreticalStock'!BR47</f>
        <v/>
      </c>
      <c r="CB97" s="18">
        <f>'Grid_TheoreticalStock'!BS47</f>
        <v/>
      </c>
      <c r="CC97" s="18">
        <f>'Grid_TheoreticalStock'!BT47</f>
        <v/>
      </c>
      <c r="CD97" s="18">
        <f>'Grid_TheoreticalStock'!BU47</f>
        <v/>
      </c>
      <c r="CE97" s="18">
        <f>'Grid_TheoreticalStock'!BV47</f>
        <v/>
      </c>
      <c r="CF97" s="18">
        <f>'Grid_TheoreticalStock'!BW47</f>
        <v/>
      </c>
      <c r="CG97" s="18">
        <f>'Grid_TheoreticalStock'!BX47</f>
        <v/>
      </c>
      <c r="CH97" s="18">
        <f>'Grid_TheoreticalStock'!BY47</f>
        <v/>
      </c>
      <c r="CI97" s="18">
        <f>'Grid_TheoreticalStock'!BZ47</f>
        <v/>
      </c>
      <c r="CJ97" s="18">
        <f>'Grid_TheoreticalStock'!CA47</f>
        <v/>
      </c>
      <c r="CK97" s="18">
        <f>'Grid_TheoreticalStock'!CB47</f>
        <v/>
      </c>
      <c r="CL97" s="18">
        <f>'Grid_TheoreticalStock'!CC47</f>
        <v/>
      </c>
      <c r="CM97" s="18">
        <f>'Grid_TheoreticalStock'!CD47</f>
        <v/>
      </c>
      <c r="CN97" s="18">
        <f>'Grid_TheoreticalStock'!CE47</f>
        <v/>
      </c>
      <c r="CO97" s="18">
        <f>'Grid_TheoreticalStock'!CF47</f>
        <v/>
      </c>
      <c r="CP97" s="18">
        <f>'Grid_TheoreticalStock'!CG47</f>
        <v/>
      </c>
      <c r="CQ97" s="18">
        <f>'Grid_TheoreticalStock'!CH47</f>
        <v/>
      </c>
      <c r="CR97" s="18">
        <f>'Grid_TheoreticalStock'!CI47</f>
        <v/>
      </c>
      <c r="CS97" s="18">
        <f>'Grid_TheoreticalStock'!CJ47</f>
        <v/>
      </c>
      <c r="CT97" s="18">
        <f>'Grid_TheoreticalStock'!CK47</f>
        <v/>
      </c>
      <c r="CU97" s="18">
        <f>'Grid_TheoreticalStock'!CL47</f>
        <v/>
      </c>
      <c r="CV97" s="18">
        <f>'Grid_TheoreticalStock'!CM47</f>
        <v/>
      </c>
      <c r="CW97" s="18">
        <f>'Grid_TheoreticalStock'!CN47</f>
        <v/>
      </c>
      <c r="CX97" s="18">
        <f>'Grid_TheoreticalStock'!CO47</f>
        <v/>
      </c>
      <c r="CY97" s="18">
        <f>'Grid_TheoreticalStock'!CP47</f>
        <v/>
      </c>
      <c r="CZ97" s="18">
        <f>'Grid_TheoreticalStock'!CQ47</f>
        <v/>
      </c>
      <c r="DA97" s="18">
        <f>'Grid_TheoreticalStock'!CR47</f>
        <v/>
      </c>
      <c r="DB97" s="18">
        <f>'Grid_TheoreticalStock'!CS47</f>
        <v/>
      </c>
      <c r="DC97" s="18">
        <f>'Grid_TheoreticalStock'!CT47</f>
        <v/>
      </c>
      <c r="DD97" s="18">
        <f>'Grid_TheoreticalStock'!CU47</f>
        <v/>
      </c>
      <c r="DE97" s="18">
        <f>'Grid_TheoreticalStock'!CV47</f>
        <v/>
      </c>
      <c r="DF97" s="18">
        <f>'Grid_TheoreticalStock'!CW47</f>
        <v/>
      </c>
      <c r="DG97" s="18">
        <f>'Grid_TheoreticalStock'!CX47</f>
        <v/>
      </c>
      <c r="DH97" s="18">
        <f>'Grid_TheoreticalStock'!CY47</f>
        <v/>
      </c>
      <c r="DI97" s="18">
        <f>'Grid_TheoreticalStock'!CZ47</f>
        <v/>
      </c>
      <c r="DJ97" s="18">
        <f>'Grid_TheoreticalStock'!DA47</f>
        <v/>
      </c>
    </row>
    <row r="98">
      <c r="A98" s="19" t="inlineStr">
        <is>
          <t>CHEM-1430</t>
        </is>
      </c>
      <c r="B98" s="19">
        <f>IFERROR(INDEX(M_RawMaterials[Description],MATCH($A98,M_RawMaterials[Part Name],0)),"")</f>
        <v/>
      </c>
      <c r="C98" s="19">
        <f>IFERROR(INDEX(M_RawMaterials[Category],MATCH($A98,M_RawMaterials[Part Name],0)),"")</f>
        <v/>
      </c>
      <c r="D98" s="19">
        <f>IFERROR(INDEX(M_RawMaterials[基準在庫下限_要入力],MATCH($A98,M_RawMaterials[Part Name],0)),0)</f>
        <v/>
      </c>
      <c r="E98" s="19">
        <f>IFERROR(INDEX(M_RawMaterials[基準在庫上限_要入力],MATCH($A98,M_RawMaterials[Part Name],0)),0)</f>
        <v/>
      </c>
      <c r="F98" s="19">
        <f>IFERROR(LOOKUP(2,1/('T_SelfStock'!$B$51:$DA$51&lt;&gt;""),'T_SelfStock'!$B$51:$DA$51),"")</f>
        <v/>
      </c>
      <c r="G98" s="19">
        <f>IFERROR(LOOKUP(2,1/('T_TTAFStock'!$B$51:$DA$51&lt;&gt;""),'T_TTAFStock'!$B$51:$DA$51),"")</f>
        <v/>
      </c>
      <c r="H98" s="19">
        <f>IFERROR(LOOKUP(2,1/('T_SelfStock'!$B$51:$DA$51&lt;&gt;""),'T_SelfStock'!$B$5:$DA$5),"")</f>
        <v/>
      </c>
      <c r="I98" s="20" t="inlineStr">
        <is>
          <t>実在庫</t>
        </is>
      </c>
      <c r="J98" s="19">
        <f>IFERROR(INDEX('Grid_Stock'!$A47:$DA47,1,LOOKUP(2,1/('T_SelfStock'!$B$51:$DA$51&lt;&gt;""),COLUMN('T_SelfStock'!$B$51:$DA$51)))-INDEX('Grid_TheoreticalStock'!$A47:$DA47,1,LOOKUP(2,1/('T_SelfStock'!$B$51:$DA$51&lt;&gt;""),COLUMN('T_SelfStock'!$B$51:$DA$51))),0)</f>
        <v/>
      </c>
      <c r="K98" s="19">
        <f>'Grid_Stock'!B47</f>
        <v/>
      </c>
      <c r="L98" s="19">
        <f>'Grid_Stock'!C47</f>
        <v/>
      </c>
      <c r="M98" s="19">
        <f>'Grid_Stock'!D47</f>
        <v/>
      </c>
      <c r="N98" s="19">
        <f>'Grid_Stock'!E47</f>
        <v/>
      </c>
      <c r="O98" s="19">
        <f>'Grid_Stock'!F47</f>
        <v/>
      </c>
      <c r="P98" s="19">
        <f>'Grid_Stock'!G47</f>
        <v/>
      </c>
      <c r="Q98" s="19">
        <f>'Grid_Stock'!H47</f>
        <v/>
      </c>
      <c r="R98" s="19">
        <f>'Grid_Stock'!I47</f>
        <v/>
      </c>
      <c r="S98" s="19">
        <f>'Grid_Stock'!J47</f>
        <v/>
      </c>
      <c r="T98" s="19">
        <f>'Grid_Stock'!K47</f>
        <v/>
      </c>
      <c r="U98" s="19">
        <f>'Grid_Stock'!L47</f>
        <v/>
      </c>
      <c r="V98" s="19">
        <f>'Grid_Stock'!M47</f>
        <v/>
      </c>
      <c r="W98" s="19">
        <f>'Grid_Stock'!N47</f>
        <v/>
      </c>
      <c r="X98" s="19">
        <f>'Grid_Stock'!O47</f>
        <v/>
      </c>
      <c r="Y98" s="19">
        <f>'Grid_Stock'!P47</f>
        <v/>
      </c>
      <c r="Z98" s="19">
        <f>'Grid_Stock'!Q47</f>
        <v/>
      </c>
      <c r="AA98" s="19">
        <f>'Grid_Stock'!R47</f>
        <v/>
      </c>
      <c r="AB98" s="19">
        <f>'Grid_Stock'!S47</f>
        <v/>
      </c>
      <c r="AC98" s="19">
        <f>'Grid_Stock'!T47</f>
        <v/>
      </c>
      <c r="AD98" s="19">
        <f>'Grid_Stock'!U47</f>
        <v/>
      </c>
      <c r="AE98" s="19">
        <f>'Grid_Stock'!V47</f>
        <v/>
      </c>
      <c r="AF98" s="19">
        <f>'Grid_Stock'!W47</f>
        <v/>
      </c>
      <c r="AG98" s="19">
        <f>'Grid_Stock'!X47</f>
        <v/>
      </c>
      <c r="AH98" s="19">
        <f>'Grid_Stock'!Y47</f>
        <v/>
      </c>
      <c r="AI98" s="19">
        <f>'Grid_Stock'!Z47</f>
        <v/>
      </c>
      <c r="AJ98" s="19">
        <f>'Grid_Stock'!AA47</f>
        <v/>
      </c>
      <c r="AK98" s="19">
        <f>'Grid_Stock'!AB47</f>
        <v/>
      </c>
      <c r="AL98" s="19">
        <f>'Grid_Stock'!AC47</f>
        <v/>
      </c>
      <c r="AM98" s="19">
        <f>'Grid_Stock'!AD47</f>
        <v/>
      </c>
      <c r="AN98" s="19">
        <f>'Grid_Stock'!AE47</f>
        <v/>
      </c>
      <c r="AO98" s="19">
        <f>'Grid_Stock'!AF47</f>
        <v/>
      </c>
      <c r="AP98" s="19">
        <f>'Grid_Stock'!AG47</f>
        <v/>
      </c>
      <c r="AQ98" s="19">
        <f>'Grid_Stock'!AH47</f>
        <v/>
      </c>
      <c r="AR98" s="19">
        <f>'Grid_Stock'!AI47</f>
        <v/>
      </c>
      <c r="AS98" s="19">
        <f>'Grid_Stock'!AJ47</f>
        <v/>
      </c>
      <c r="AT98" s="19">
        <f>'Grid_Stock'!AK47</f>
        <v/>
      </c>
      <c r="AU98" s="19">
        <f>'Grid_Stock'!AL47</f>
        <v/>
      </c>
      <c r="AV98" s="19">
        <f>'Grid_Stock'!AM47</f>
        <v/>
      </c>
      <c r="AW98" s="19">
        <f>'Grid_Stock'!AN47</f>
        <v/>
      </c>
      <c r="AX98" s="19">
        <f>'Grid_Stock'!AO47</f>
        <v/>
      </c>
      <c r="AY98" s="19">
        <f>'Grid_Stock'!AP47</f>
        <v/>
      </c>
      <c r="AZ98" s="19">
        <f>'Grid_Stock'!AQ47</f>
        <v/>
      </c>
      <c r="BA98" s="19">
        <f>'Grid_Stock'!AR47</f>
        <v/>
      </c>
      <c r="BB98" s="19">
        <f>'Grid_Stock'!AS47</f>
        <v/>
      </c>
      <c r="BC98" s="19">
        <f>'Grid_Stock'!AT47</f>
        <v/>
      </c>
      <c r="BD98" s="19">
        <f>'Grid_Stock'!AU47</f>
        <v/>
      </c>
      <c r="BE98" s="19">
        <f>'Grid_Stock'!AV47</f>
        <v/>
      </c>
      <c r="BF98" s="19">
        <f>'Grid_Stock'!AW47</f>
        <v/>
      </c>
      <c r="BG98" s="19">
        <f>'Grid_Stock'!AX47</f>
        <v/>
      </c>
      <c r="BH98" s="19">
        <f>'Grid_Stock'!AY47</f>
        <v/>
      </c>
      <c r="BI98" s="19">
        <f>'Grid_Stock'!AZ47</f>
        <v/>
      </c>
      <c r="BJ98" s="19">
        <f>'Grid_Stock'!BA47</f>
        <v/>
      </c>
      <c r="BK98" s="19">
        <f>'Grid_Stock'!BB47</f>
        <v/>
      </c>
      <c r="BL98" s="19">
        <f>'Grid_Stock'!BC47</f>
        <v/>
      </c>
      <c r="BM98" s="19">
        <f>'Grid_Stock'!BD47</f>
        <v/>
      </c>
      <c r="BN98" s="19">
        <f>'Grid_Stock'!BE47</f>
        <v/>
      </c>
      <c r="BO98" s="19">
        <f>'Grid_Stock'!BF47</f>
        <v/>
      </c>
      <c r="BP98" s="19">
        <f>'Grid_Stock'!BG47</f>
        <v/>
      </c>
      <c r="BQ98" s="19">
        <f>'Grid_Stock'!BH47</f>
        <v/>
      </c>
      <c r="BR98" s="19">
        <f>'Grid_Stock'!BI47</f>
        <v/>
      </c>
      <c r="BS98" s="19">
        <f>'Grid_Stock'!BJ47</f>
        <v/>
      </c>
      <c r="BT98" s="19">
        <f>'Grid_Stock'!BK47</f>
        <v/>
      </c>
      <c r="BU98" s="19">
        <f>'Grid_Stock'!BL47</f>
        <v/>
      </c>
      <c r="BV98" s="19">
        <f>'Grid_Stock'!BM47</f>
        <v/>
      </c>
      <c r="BW98" s="19">
        <f>'Grid_Stock'!BN47</f>
        <v/>
      </c>
      <c r="BX98" s="19">
        <f>'Grid_Stock'!BO47</f>
        <v/>
      </c>
      <c r="BY98" s="19">
        <f>'Grid_Stock'!BP47</f>
        <v/>
      </c>
      <c r="BZ98" s="19">
        <f>'Grid_Stock'!BQ47</f>
        <v/>
      </c>
      <c r="CA98" s="19">
        <f>'Grid_Stock'!BR47</f>
        <v/>
      </c>
      <c r="CB98" s="19">
        <f>'Grid_Stock'!BS47</f>
        <v/>
      </c>
      <c r="CC98" s="19">
        <f>'Grid_Stock'!BT47</f>
        <v/>
      </c>
      <c r="CD98" s="19">
        <f>'Grid_Stock'!BU47</f>
        <v/>
      </c>
      <c r="CE98" s="19">
        <f>'Grid_Stock'!BV47</f>
        <v/>
      </c>
      <c r="CF98" s="19">
        <f>'Grid_Stock'!BW47</f>
        <v/>
      </c>
      <c r="CG98" s="19">
        <f>'Grid_Stock'!BX47</f>
        <v/>
      </c>
      <c r="CH98" s="19">
        <f>'Grid_Stock'!BY47</f>
        <v/>
      </c>
      <c r="CI98" s="19">
        <f>'Grid_Stock'!BZ47</f>
        <v/>
      </c>
      <c r="CJ98" s="19">
        <f>'Grid_Stock'!CA47</f>
        <v/>
      </c>
      <c r="CK98" s="19">
        <f>'Grid_Stock'!CB47</f>
        <v/>
      </c>
      <c r="CL98" s="19">
        <f>'Grid_Stock'!CC47</f>
        <v/>
      </c>
      <c r="CM98" s="19">
        <f>'Grid_Stock'!CD47</f>
        <v/>
      </c>
      <c r="CN98" s="19">
        <f>'Grid_Stock'!CE47</f>
        <v/>
      </c>
      <c r="CO98" s="19">
        <f>'Grid_Stock'!CF47</f>
        <v/>
      </c>
      <c r="CP98" s="19">
        <f>'Grid_Stock'!CG47</f>
        <v/>
      </c>
      <c r="CQ98" s="19">
        <f>'Grid_Stock'!CH47</f>
        <v/>
      </c>
      <c r="CR98" s="19">
        <f>'Grid_Stock'!CI47</f>
        <v/>
      </c>
      <c r="CS98" s="19">
        <f>'Grid_Stock'!CJ47</f>
        <v/>
      </c>
      <c r="CT98" s="19">
        <f>'Grid_Stock'!CK47</f>
        <v/>
      </c>
      <c r="CU98" s="19">
        <f>'Grid_Stock'!CL47</f>
        <v/>
      </c>
      <c r="CV98" s="19">
        <f>'Grid_Stock'!CM47</f>
        <v/>
      </c>
      <c r="CW98" s="19">
        <f>'Grid_Stock'!CN47</f>
        <v/>
      </c>
      <c r="CX98" s="19">
        <f>'Grid_Stock'!CO47</f>
        <v/>
      </c>
      <c r="CY98" s="19">
        <f>'Grid_Stock'!CP47</f>
        <v/>
      </c>
      <c r="CZ98" s="19">
        <f>'Grid_Stock'!CQ47</f>
        <v/>
      </c>
      <c r="DA98" s="19">
        <f>'Grid_Stock'!CR47</f>
        <v/>
      </c>
      <c r="DB98" s="19">
        <f>'Grid_Stock'!CS47</f>
        <v/>
      </c>
      <c r="DC98" s="19">
        <f>'Grid_Stock'!CT47</f>
        <v/>
      </c>
      <c r="DD98" s="19">
        <f>'Grid_Stock'!CU47</f>
        <v/>
      </c>
      <c r="DE98" s="19">
        <f>'Grid_Stock'!CV47</f>
        <v/>
      </c>
      <c r="DF98" s="19">
        <f>'Grid_Stock'!CW47</f>
        <v/>
      </c>
      <c r="DG98" s="19">
        <f>'Grid_Stock'!CX47</f>
        <v/>
      </c>
      <c r="DH98" s="19">
        <f>'Grid_Stock'!CY47</f>
        <v/>
      </c>
      <c r="DI98" s="19">
        <f>'Grid_Stock'!CZ47</f>
        <v/>
      </c>
      <c r="DJ98" s="19">
        <f>'Grid_Stock'!DA47</f>
        <v/>
      </c>
    </row>
    <row r="99">
      <c r="A99" s="17" t="inlineStr">
        <is>
          <t>CHEM-1470</t>
        </is>
      </c>
      <c r="B99" s="17">
        <f>IFERROR(INDEX(M_RawMaterials[Description],MATCH($A99,M_RawMaterials[Part Name],0)),"")</f>
        <v/>
      </c>
      <c r="C99" s="17">
        <f>IFERROR(INDEX(M_RawMaterials[Category],MATCH($A99,M_RawMaterials[Part Name],0)),"")</f>
        <v/>
      </c>
      <c r="D99" s="17">
        <f>IFERROR(INDEX(M_RawMaterials[基準在庫下限_要入力],MATCH($A99,M_RawMaterials[Part Name],0)),0)</f>
        <v/>
      </c>
      <c r="E99" s="17">
        <f>IFERROR(INDEX(M_RawMaterials[基準在庫上限_要入力],MATCH($A99,M_RawMaterials[Part Name],0)),0)</f>
        <v/>
      </c>
      <c r="F99" s="17">
        <f>IFERROR(LOOKUP(2,1/('T_SelfStock'!$B$52:$DA$52&lt;&gt;""),'T_SelfStock'!$B$52:$DA$52),"")</f>
        <v/>
      </c>
      <c r="G99" s="17">
        <f>IFERROR(LOOKUP(2,1/('T_TTAFStock'!$B$52:$DA$52&lt;&gt;""),'T_TTAFStock'!$B$52:$DA$52),"")</f>
        <v/>
      </c>
      <c r="H99" s="17">
        <f>IFERROR(LOOKUP(2,1/('T_SelfStock'!$B$52:$DA$52&lt;&gt;""),'T_SelfStock'!$B$5:$DA$5),"")</f>
        <v/>
      </c>
      <c r="I99" s="18" t="inlineStr">
        <is>
          <t>理論在庫</t>
        </is>
      </c>
      <c r="J99" s="17">
        <f>IFERROR(INDEX('Grid_Stock'!$A48:$DA48,1,LOOKUP(2,1/('T_SelfStock'!$B$52:$DA$52&lt;&gt;""),COLUMN('T_SelfStock'!$B$52:$DA$52)))-INDEX('Grid_TheoreticalStock'!$A48:$DA48,1,LOOKUP(2,1/('T_SelfStock'!$B$52:$DA$52&lt;&gt;""),COLUMN('T_SelfStock'!$B$52:$DA$52))),0)</f>
        <v/>
      </c>
      <c r="K99" s="18">
        <f>'Grid_TheoreticalStock'!B48</f>
        <v/>
      </c>
      <c r="L99" s="18">
        <f>'Grid_TheoreticalStock'!C48</f>
        <v/>
      </c>
      <c r="M99" s="18">
        <f>'Grid_TheoreticalStock'!D48</f>
        <v/>
      </c>
      <c r="N99" s="18">
        <f>'Grid_TheoreticalStock'!E48</f>
        <v/>
      </c>
      <c r="O99" s="18">
        <f>'Grid_TheoreticalStock'!F48</f>
        <v/>
      </c>
      <c r="P99" s="18">
        <f>'Grid_TheoreticalStock'!G48</f>
        <v/>
      </c>
      <c r="Q99" s="18">
        <f>'Grid_TheoreticalStock'!H48</f>
        <v/>
      </c>
      <c r="R99" s="18">
        <f>'Grid_TheoreticalStock'!I48</f>
        <v/>
      </c>
      <c r="S99" s="18">
        <f>'Grid_TheoreticalStock'!J48</f>
        <v/>
      </c>
      <c r="T99" s="18">
        <f>'Grid_TheoreticalStock'!K48</f>
        <v/>
      </c>
      <c r="U99" s="18">
        <f>'Grid_TheoreticalStock'!L48</f>
        <v/>
      </c>
      <c r="V99" s="18">
        <f>'Grid_TheoreticalStock'!M48</f>
        <v/>
      </c>
      <c r="W99" s="18">
        <f>'Grid_TheoreticalStock'!N48</f>
        <v/>
      </c>
      <c r="X99" s="18">
        <f>'Grid_TheoreticalStock'!O48</f>
        <v/>
      </c>
      <c r="Y99" s="18">
        <f>'Grid_TheoreticalStock'!P48</f>
        <v/>
      </c>
      <c r="Z99" s="18">
        <f>'Grid_TheoreticalStock'!Q48</f>
        <v/>
      </c>
      <c r="AA99" s="18">
        <f>'Grid_TheoreticalStock'!R48</f>
        <v/>
      </c>
      <c r="AB99" s="18">
        <f>'Grid_TheoreticalStock'!S48</f>
        <v/>
      </c>
      <c r="AC99" s="18">
        <f>'Grid_TheoreticalStock'!T48</f>
        <v/>
      </c>
      <c r="AD99" s="18">
        <f>'Grid_TheoreticalStock'!U48</f>
        <v/>
      </c>
      <c r="AE99" s="18">
        <f>'Grid_TheoreticalStock'!V48</f>
        <v/>
      </c>
      <c r="AF99" s="18">
        <f>'Grid_TheoreticalStock'!W48</f>
        <v/>
      </c>
      <c r="AG99" s="18">
        <f>'Grid_TheoreticalStock'!X48</f>
        <v/>
      </c>
      <c r="AH99" s="18">
        <f>'Grid_TheoreticalStock'!Y48</f>
        <v/>
      </c>
      <c r="AI99" s="18">
        <f>'Grid_TheoreticalStock'!Z48</f>
        <v/>
      </c>
      <c r="AJ99" s="18">
        <f>'Grid_TheoreticalStock'!AA48</f>
        <v/>
      </c>
      <c r="AK99" s="18">
        <f>'Grid_TheoreticalStock'!AB48</f>
        <v/>
      </c>
      <c r="AL99" s="18">
        <f>'Grid_TheoreticalStock'!AC48</f>
        <v/>
      </c>
      <c r="AM99" s="18">
        <f>'Grid_TheoreticalStock'!AD48</f>
        <v/>
      </c>
      <c r="AN99" s="18">
        <f>'Grid_TheoreticalStock'!AE48</f>
        <v/>
      </c>
      <c r="AO99" s="18">
        <f>'Grid_TheoreticalStock'!AF48</f>
        <v/>
      </c>
      <c r="AP99" s="18">
        <f>'Grid_TheoreticalStock'!AG48</f>
        <v/>
      </c>
      <c r="AQ99" s="18">
        <f>'Grid_TheoreticalStock'!AH48</f>
        <v/>
      </c>
      <c r="AR99" s="18">
        <f>'Grid_TheoreticalStock'!AI48</f>
        <v/>
      </c>
      <c r="AS99" s="18">
        <f>'Grid_TheoreticalStock'!AJ48</f>
        <v/>
      </c>
      <c r="AT99" s="18">
        <f>'Grid_TheoreticalStock'!AK48</f>
        <v/>
      </c>
      <c r="AU99" s="18">
        <f>'Grid_TheoreticalStock'!AL48</f>
        <v/>
      </c>
      <c r="AV99" s="18">
        <f>'Grid_TheoreticalStock'!AM48</f>
        <v/>
      </c>
      <c r="AW99" s="18">
        <f>'Grid_TheoreticalStock'!AN48</f>
        <v/>
      </c>
      <c r="AX99" s="18">
        <f>'Grid_TheoreticalStock'!AO48</f>
        <v/>
      </c>
      <c r="AY99" s="18">
        <f>'Grid_TheoreticalStock'!AP48</f>
        <v/>
      </c>
      <c r="AZ99" s="18">
        <f>'Grid_TheoreticalStock'!AQ48</f>
        <v/>
      </c>
      <c r="BA99" s="18">
        <f>'Grid_TheoreticalStock'!AR48</f>
        <v/>
      </c>
      <c r="BB99" s="18">
        <f>'Grid_TheoreticalStock'!AS48</f>
        <v/>
      </c>
      <c r="BC99" s="18">
        <f>'Grid_TheoreticalStock'!AT48</f>
        <v/>
      </c>
      <c r="BD99" s="18">
        <f>'Grid_TheoreticalStock'!AU48</f>
        <v/>
      </c>
      <c r="BE99" s="18">
        <f>'Grid_TheoreticalStock'!AV48</f>
        <v/>
      </c>
      <c r="BF99" s="18">
        <f>'Grid_TheoreticalStock'!AW48</f>
        <v/>
      </c>
      <c r="BG99" s="18">
        <f>'Grid_TheoreticalStock'!AX48</f>
        <v/>
      </c>
      <c r="BH99" s="18">
        <f>'Grid_TheoreticalStock'!AY48</f>
        <v/>
      </c>
      <c r="BI99" s="18">
        <f>'Grid_TheoreticalStock'!AZ48</f>
        <v/>
      </c>
      <c r="BJ99" s="18">
        <f>'Grid_TheoreticalStock'!BA48</f>
        <v/>
      </c>
      <c r="BK99" s="18">
        <f>'Grid_TheoreticalStock'!BB48</f>
        <v/>
      </c>
      <c r="BL99" s="18">
        <f>'Grid_TheoreticalStock'!BC48</f>
        <v/>
      </c>
      <c r="BM99" s="18">
        <f>'Grid_TheoreticalStock'!BD48</f>
        <v/>
      </c>
      <c r="BN99" s="18">
        <f>'Grid_TheoreticalStock'!BE48</f>
        <v/>
      </c>
      <c r="BO99" s="18">
        <f>'Grid_TheoreticalStock'!BF48</f>
        <v/>
      </c>
      <c r="BP99" s="18">
        <f>'Grid_TheoreticalStock'!BG48</f>
        <v/>
      </c>
      <c r="BQ99" s="18">
        <f>'Grid_TheoreticalStock'!BH48</f>
        <v/>
      </c>
      <c r="BR99" s="18">
        <f>'Grid_TheoreticalStock'!BI48</f>
        <v/>
      </c>
      <c r="BS99" s="18">
        <f>'Grid_TheoreticalStock'!BJ48</f>
        <v/>
      </c>
      <c r="BT99" s="18">
        <f>'Grid_TheoreticalStock'!BK48</f>
        <v/>
      </c>
      <c r="BU99" s="18">
        <f>'Grid_TheoreticalStock'!BL48</f>
        <v/>
      </c>
      <c r="BV99" s="18">
        <f>'Grid_TheoreticalStock'!BM48</f>
        <v/>
      </c>
      <c r="BW99" s="18">
        <f>'Grid_TheoreticalStock'!BN48</f>
        <v/>
      </c>
      <c r="BX99" s="18">
        <f>'Grid_TheoreticalStock'!BO48</f>
        <v/>
      </c>
      <c r="BY99" s="18">
        <f>'Grid_TheoreticalStock'!BP48</f>
        <v/>
      </c>
      <c r="BZ99" s="18">
        <f>'Grid_TheoreticalStock'!BQ48</f>
        <v/>
      </c>
      <c r="CA99" s="18">
        <f>'Grid_TheoreticalStock'!BR48</f>
        <v/>
      </c>
      <c r="CB99" s="18">
        <f>'Grid_TheoreticalStock'!BS48</f>
        <v/>
      </c>
      <c r="CC99" s="18">
        <f>'Grid_TheoreticalStock'!BT48</f>
        <v/>
      </c>
      <c r="CD99" s="18">
        <f>'Grid_TheoreticalStock'!BU48</f>
        <v/>
      </c>
      <c r="CE99" s="18">
        <f>'Grid_TheoreticalStock'!BV48</f>
        <v/>
      </c>
      <c r="CF99" s="18">
        <f>'Grid_TheoreticalStock'!BW48</f>
        <v/>
      </c>
      <c r="CG99" s="18">
        <f>'Grid_TheoreticalStock'!BX48</f>
        <v/>
      </c>
      <c r="CH99" s="18">
        <f>'Grid_TheoreticalStock'!BY48</f>
        <v/>
      </c>
      <c r="CI99" s="18">
        <f>'Grid_TheoreticalStock'!BZ48</f>
        <v/>
      </c>
      <c r="CJ99" s="18">
        <f>'Grid_TheoreticalStock'!CA48</f>
        <v/>
      </c>
      <c r="CK99" s="18">
        <f>'Grid_TheoreticalStock'!CB48</f>
        <v/>
      </c>
      <c r="CL99" s="18">
        <f>'Grid_TheoreticalStock'!CC48</f>
        <v/>
      </c>
      <c r="CM99" s="18">
        <f>'Grid_TheoreticalStock'!CD48</f>
        <v/>
      </c>
      <c r="CN99" s="18">
        <f>'Grid_TheoreticalStock'!CE48</f>
        <v/>
      </c>
      <c r="CO99" s="18">
        <f>'Grid_TheoreticalStock'!CF48</f>
        <v/>
      </c>
      <c r="CP99" s="18">
        <f>'Grid_TheoreticalStock'!CG48</f>
        <v/>
      </c>
      <c r="CQ99" s="18">
        <f>'Grid_TheoreticalStock'!CH48</f>
        <v/>
      </c>
      <c r="CR99" s="18">
        <f>'Grid_TheoreticalStock'!CI48</f>
        <v/>
      </c>
      <c r="CS99" s="18">
        <f>'Grid_TheoreticalStock'!CJ48</f>
        <v/>
      </c>
      <c r="CT99" s="18">
        <f>'Grid_TheoreticalStock'!CK48</f>
        <v/>
      </c>
      <c r="CU99" s="18">
        <f>'Grid_TheoreticalStock'!CL48</f>
        <v/>
      </c>
      <c r="CV99" s="18">
        <f>'Grid_TheoreticalStock'!CM48</f>
        <v/>
      </c>
      <c r="CW99" s="18">
        <f>'Grid_TheoreticalStock'!CN48</f>
        <v/>
      </c>
      <c r="CX99" s="18">
        <f>'Grid_TheoreticalStock'!CO48</f>
        <v/>
      </c>
      <c r="CY99" s="18">
        <f>'Grid_TheoreticalStock'!CP48</f>
        <v/>
      </c>
      <c r="CZ99" s="18">
        <f>'Grid_TheoreticalStock'!CQ48</f>
        <v/>
      </c>
      <c r="DA99" s="18">
        <f>'Grid_TheoreticalStock'!CR48</f>
        <v/>
      </c>
      <c r="DB99" s="18">
        <f>'Grid_TheoreticalStock'!CS48</f>
        <v/>
      </c>
      <c r="DC99" s="18">
        <f>'Grid_TheoreticalStock'!CT48</f>
        <v/>
      </c>
      <c r="DD99" s="18">
        <f>'Grid_TheoreticalStock'!CU48</f>
        <v/>
      </c>
      <c r="DE99" s="18">
        <f>'Grid_TheoreticalStock'!CV48</f>
        <v/>
      </c>
      <c r="DF99" s="18">
        <f>'Grid_TheoreticalStock'!CW48</f>
        <v/>
      </c>
      <c r="DG99" s="18">
        <f>'Grid_TheoreticalStock'!CX48</f>
        <v/>
      </c>
      <c r="DH99" s="18">
        <f>'Grid_TheoreticalStock'!CY48</f>
        <v/>
      </c>
      <c r="DI99" s="18">
        <f>'Grid_TheoreticalStock'!CZ48</f>
        <v/>
      </c>
      <c r="DJ99" s="18">
        <f>'Grid_TheoreticalStock'!DA48</f>
        <v/>
      </c>
    </row>
    <row r="100">
      <c r="A100" s="19" t="inlineStr">
        <is>
          <t>CHEM-1470</t>
        </is>
      </c>
      <c r="B100" s="19">
        <f>IFERROR(INDEX(M_RawMaterials[Description],MATCH($A100,M_RawMaterials[Part Name],0)),"")</f>
        <v/>
      </c>
      <c r="C100" s="19">
        <f>IFERROR(INDEX(M_RawMaterials[Category],MATCH($A100,M_RawMaterials[Part Name],0)),"")</f>
        <v/>
      </c>
      <c r="D100" s="19">
        <f>IFERROR(INDEX(M_RawMaterials[基準在庫下限_要入力],MATCH($A100,M_RawMaterials[Part Name],0)),0)</f>
        <v/>
      </c>
      <c r="E100" s="19">
        <f>IFERROR(INDEX(M_RawMaterials[基準在庫上限_要入力],MATCH($A100,M_RawMaterials[Part Name],0)),0)</f>
        <v/>
      </c>
      <c r="F100" s="19">
        <f>IFERROR(LOOKUP(2,1/('T_SelfStock'!$B$52:$DA$52&lt;&gt;""),'T_SelfStock'!$B$52:$DA$52),"")</f>
        <v/>
      </c>
      <c r="G100" s="19">
        <f>IFERROR(LOOKUP(2,1/('T_TTAFStock'!$B$52:$DA$52&lt;&gt;""),'T_TTAFStock'!$B$52:$DA$52),"")</f>
        <v/>
      </c>
      <c r="H100" s="19">
        <f>IFERROR(LOOKUP(2,1/('T_SelfStock'!$B$52:$DA$52&lt;&gt;""),'T_SelfStock'!$B$5:$DA$5),"")</f>
        <v/>
      </c>
      <c r="I100" s="20" t="inlineStr">
        <is>
          <t>実在庫</t>
        </is>
      </c>
      <c r="J100" s="19">
        <f>IFERROR(INDEX('Grid_Stock'!$A48:$DA48,1,LOOKUP(2,1/('T_SelfStock'!$B$52:$DA$52&lt;&gt;""),COLUMN('T_SelfStock'!$B$52:$DA$52)))-INDEX('Grid_TheoreticalStock'!$A48:$DA48,1,LOOKUP(2,1/('T_SelfStock'!$B$52:$DA$52&lt;&gt;""),COLUMN('T_SelfStock'!$B$52:$DA$52))),0)</f>
        <v/>
      </c>
      <c r="K100" s="19">
        <f>'Grid_Stock'!B48</f>
        <v/>
      </c>
      <c r="L100" s="19">
        <f>'Grid_Stock'!C48</f>
        <v/>
      </c>
      <c r="M100" s="19">
        <f>'Grid_Stock'!D48</f>
        <v/>
      </c>
      <c r="N100" s="19">
        <f>'Grid_Stock'!E48</f>
        <v/>
      </c>
      <c r="O100" s="19">
        <f>'Grid_Stock'!F48</f>
        <v/>
      </c>
      <c r="P100" s="19">
        <f>'Grid_Stock'!G48</f>
        <v/>
      </c>
      <c r="Q100" s="19">
        <f>'Grid_Stock'!H48</f>
        <v/>
      </c>
      <c r="R100" s="19">
        <f>'Grid_Stock'!I48</f>
        <v/>
      </c>
      <c r="S100" s="19">
        <f>'Grid_Stock'!J48</f>
        <v/>
      </c>
      <c r="T100" s="19">
        <f>'Grid_Stock'!K48</f>
        <v/>
      </c>
      <c r="U100" s="19">
        <f>'Grid_Stock'!L48</f>
        <v/>
      </c>
      <c r="V100" s="19">
        <f>'Grid_Stock'!M48</f>
        <v/>
      </c>
      <c r="W100" s="19">
        <f>'Grid_Stock'!N48</f>
        <v/>
      </c>
      <c r="X100" s="19">
        <f>'Grid_Stock'!O48</f>
        <v/>
      </c>
      <c r="Y100" s="19">
        <f>'Grid_Stock'!P48</f>
        <v/>
      </c>
      <c r="Z100" s="19">
        <f>'Grid_Stock'!Q48</f>
        <v/>
      </c>
      <c r="AA100" s="19">
        <f>'Grid_Stock'!R48</f>
        <v/>
      </c>
      <c r="AB100" s="19">
        <f>'Grid_Stock'!S48</f>
        <v/>
      </c>
      <c r="AC100" s="19">
        <f>'Grid_Stock'!T48</f>
        <v/>
      </c>
      <c r="AD100" s="19">
        <f>'Grid_Stock'!U48</f>
        <v/>
      </c>
      <c r="AE100" s="19">
        <f>'Grid_Stock'!V48</f>
        <v/>
      </c>
      <c r="AF100" s="19">
        <f>'Grid_Stock'!W48</f>
        <v/>
      </c>
      <c r="AG100" s="19">
        <f>'Grid_Stock'!X48</f>
        <v/>
      </c>
      <c r="AH100" s="19">
        <f>'Grid_Stock'!Y48</f>
        <v/>
      </c>
      <c r="AI100" s="19">
        <f>'Grid_Stock'!Z48</f>
        <v/>
      </c>
      <c r="AJ100" s="19">
        <f>'Grid_Stock'!AA48</f>
        <v/>
      </c>
      <c r="AK100" s="19">
        <f>'Grid_Stock'!AB48</f>
        <v/>
      </c>
      <c r="AL100" s="19">
        <f>'Grid_Stock'!AC48</f>
        <v/>
      </c>
      <c r="AM100" s="19">
        <f>'Grid_Stock'!AD48</f>
        <v/>
      </c>
      <c r="AN100" s="19">
        <f>'Grid_Stock'!AE48</f>
        <v/>
      </c>
      <c r="AO100" s="19">
        <f>'Grid_Stock'!AF48</f>
        <v/>
      </c>
      <c r="AP100" s="19">
        <f>'Grid_Stock'!AG48</f>
        <v/>
      </c>
      <c r="AQ100" s="19">
        <f>'Grid_Stock'!AH48</f>
        <v/>
      </c>
      <c r="AR100" s="19">
        <f>'Grid_Stock'!AI48</f>
        <v/>
      </c>
      <c r="AS100" s="19">
        <f>'Grid_Stock'!AJ48</f>
        <v/>
      </c>
      <c r="AT100" s="19">
        <f>'Grid_Stock'!AK48</f>
        <v/>
      </c>
      <c r="AU100" s="19">
        <f>'Grid_Stock'!AL48</f>
        <v/>
      </c>
      <c r="AV100" s="19">
        <f>'Grid_Stock'!AM48</f>
        <v/>
      </c>
      <c r="AW100" s="19">
        <f>'Grid_Stock'!AN48</f>
        <v/>
      </c>
      <c r="AX100" s="19">
        <f>'Grid_Stock'!AO48</f>
        <v/>
      </c>
      <c r="AY100" s="19">
        <f>'Grid_Stock'!AP48</f>
        <v/>
      </c>
      <c r="AZ100" s="19">
        <f>'Grid_Stock'!AQ48</f>
        <v/>
      </c>
      <c r="BA100" s="19">
        <f>'Grid_Stock'!AR48</f>
        <v/>
      </c>
      <c r="BB100" s="19">
        <f>'Grid_Stock'!AS48</f>
        <v/>
      </c>
      <c r="BC100" s="19">
        <f>'Grid_Stock'!AT48</f>
        <v/>
      </c>
      <c r="BD100" s="19">
        <f>'Grid_Stock'!AU48</f>
        <v/>
      </c>
      <c r="BE100" s="19">
        <f>'Grid_Stock'!AV48</f>
        <v/>
      </c>
      <c r="BF100" s="19">
        <f>'Grid_Stock'!AW48</f>
        <v/>
      </c>
      <c r="BG100" s="19">
        <f>'Grid_Stock'!AX48</f>
        <v/>
      </c>
      <c r="BH100" s="19">
        <f>'Grid_Stock'!AY48</f>
        <v/>
      </c>
      <c r="BI100" s="19">
        <f>'Grid_Stock'!AZ48</f>
        <v/>
      </c>
      <c r="BJ100" s="19">
        <f>'Grid_Stock'!BA48</f>
        <v/>
      </c>
      <c r="BK100" s="19">
        <f>'Grid_Stock'!BB48</f>
        <v/>
      </c>
      <c r="BL100" s="19">
        <f>'Grid_Stock'!BC48</f>
        <v/>
      </c>
      <c r="BM100" s="19">
        <f>'Grid_Stock'!BD48</f>
        <v/>
      </c>
      <c r="BN100" s="19">
        <f>'Grid_Stock'!BE48</f>
        <v/>
      </c>
      <c r="BO100" s="19">
        <f>'Grid_Stock'!BF48</f>
        <v/>
      </c>
      <c r="BP100" s="19">
        <f>'Grid_Stock'!BG48</f>
        <v/>
      </c>
      <c r="BQ100" s="19">
        <f>'Grid_Stock'!BH48</f>
        <v/>
      </c>
      <c r="BR100" s="19">
        <f>'Grid_Stock'!BI48</f>
        <v/>
      </c>
      <c r="BS100" s="19">
        <f>'Grid_Stock'!BJ48</f>
        <v/>
      </c>
      <c r="BT100" s="19">
        <f>'Grid_Stock'!BK48</f>
        <v/>
      </c>
      <c r="BU100" s="19">
        <f>'Grid_Stock'!BL48</f>
        <v/>
      </c>
      <c r="BV100" s="19">
        <f>'Grid_Stock'!BM48</f>
        <v/>
      </c>
      <c r="BW100" s="19">
        <f>'Grid_Stock'!BN48</f>
        <v/>
      </c>
      <c r="BX100" s="19">
        <f>'Grid_Stock'!BO48</f>
        <v/>
      </c>
      <c r="BY100" s="19">
        <f>'Grid_Stock'!BP48</f>
        <v/>
      </c>
      <c r="BZ100" s="19">
        <f>'Grid_Stock'!BQ48</f>
        <v/>
      </c>
      <c r="CA100" s="19">
        <f>'Grid_Stock'!BR48</f>
        <v/>
      </c>
      <c r="CB100" s="19">
        <f>'Grid_Stock'!BS48</f>
        <v/>
      </c>
      <c r="CC100" s="19">
        <f>'Grid_Stock'!BT48</f>
        <v/>
      </c>
      <c r="CD100" s="19">
        <f>'Grid_Stock'!BU48</f>
        <v/>
      </c>
      <c r="CE100" s="19">
        <f>'Grid_Stock'!BV48</f>
        <v/>
      </c>
      <c r="CF100" s="19">
        <f>'Grid_Stock'!BW48</f>
        <v/>
      </c>
      <c r="CG100" s="19">
        <f>'Grid_Stock'!BX48</f>
        <v/>
      </c>
      <c r="CH100" s="19">
        <f>'Grid_Stock'!BY48</f>
        <v/>
      </c>
      <c r="CI100" s="19">
        <f>'Grid_Stock'!BZ48</f>
        <v/>
      </c>
      <c r="CJ100" s="19">
        <f>'Grid_Stock'!CA48</f>
        <v/>
      </c>
      <c r="CK100" s="19">
        <f>'Grid_Stock'!CB48</f>
        <v/>
      </c>
      <c r="CL100" s="19">
        <f>'Grid_Stock'!CC48</f>
        <v/>
      </c>
      <c r="CM100" s="19">
        <f>'Grid_Stock'!CD48</f>
        <v/>
      </c>
      <c r="CN100" s="19">
        <f>'Grid_Stock'!CE48</f>
        <v/>
      </c>
      <c r="CO100" s="19">
        <f>'Grid_Stock'!CF48</f>
        <v/>
      </c>
      <c r="CP100" s="19">
        <f>'Grid_Stock'!CG48</f>
        <v/>
      </c>
      <c r="CQ100" s="19">
        <f>'Grid_Stock'!CH48</f>
        <v/>
      </c>
      <c r="CR100" s="19">
        <f>'Grid_Stock'!CI48</f>
        <v/>
      </c>
      <c r="CS100" s="19">
        <f>'Grid_Stock'!CJ48</f>
        <v/>
      </c>
      <c r="CT100" s="19">
        <f>'Grid_Stock'!CK48</f>
        <v/>
      </c>
      <c r="CU100" s="19">
        <f>'Grid_Stock'!CL48</f>
        <v/>
      </c>
      <c r="CV100" s="19">
        <f>'Grid_Stock'!CM48</f>
        <v/>
      </c>
      <c r="CW100" s="19">
        <f>'Grid_Stock'!CN48</f>
        <v/>
      </c>
      <c r="CX100" s="19">
        <f>'Grid_Stock'!CO48</f>
        <v/>
      </c>
      <c r="CY100" s="19">
        <f>'Grid_Stock'!CP48</f>
        <v/>
      </c>
      <c r="CZ100" s="19">
        <f>'Grid_Stock'!CQ48</f>
        <v/>
      </c>
      <c r="DA100" s="19">
        <f>'Grid_Stock'!CR48</f>
        <v/>
      </c>
      <c r="DB100" s="19">
        <f>'Grid_Stock'!CS48</f>
        <v/>
      </c>
      <c r="DC100" s="19">
        <f>'Grid_Stock'!CT48</f>
        <v/>
      </c>
      <c r="DD100" s="19">
        <f>'Grid_Stock'!CU48</f>
        <v/>
      </c>
      <c r="DE100" s="19">
        <f>'Grid_Stock'!CV48</f>
        <v/>
      </c>
      <c r="DF100" s="19">
        <f>'Grid_Stock'!CW48</f>
        <v/>
      </c>
      <c r="DG100" s="19">
        <f>'Grid_Stock'!CX48</f>
        <v/>
      </c>
      <c r="DH100" s="19">
        <f>'Grid_Stock'!CY48</f>
        <v/>
      </c>
      <c r="DI100" s="19">
        <f>'Grid_Stock'!CZ48</f>
        <v/>
      </c>
      <c r="DJ100" s="19">
        <f>'Grid_Stock'!DA48</f>
        <v/>
      </c>
    </row>
    <row r="101">
      <c r="A101" s="17" t="inlineStr">
        <is>
          <t>CHEM-1010</t>
        </is>
      </c>
      <c r="B101" s="17">
        <f>IFERROR(INDEX(M_RawMaterials[Description],MATCH($A101,M_RawMaterials[Part Name],0)),"")</f>
        <v/>
      </c>
      <c r="C101" s="17">
        <f>IFERROR(INDEX(M_RawMaterials[Category],MATCH($A101,M_RawMaterials[Part Name],0)),"")</f>
        <v/>
      </c>
      <c r="D101" s="17">
        <f>IFERROR(INDEX(M_RawMaterials[基準在庫下限_要入力],MATCH($A101,M_RawMaterials[Part Name],0)),0)</f>
        <v/>
      </c>
      <c r="E101" s="17">
        <f>IFERROR(INDEX(M_RawMaterials[基準在庫上限_要入力],MATCH($A101,M_RawMaterials[Part Name],0)),0)</f>
        <v/>
      </c>
      <c r="F101" s="17">
        <f>IFERROR(LOOKUP(2,1/('T_SelfStock'!$B$53:$DA$53&lt;&gt;""),'T_SelfStock'!$B$53:$DA$53),"")</f>
        <v/>
      </c>
      <c r="G101" s="17">
        <f>IFERROR(LOOKUP(2,1/('T_TTAFStock'!$B$53:$DA$53&lt;&gt;""),'T_TTAFStock'!$B$53:$DA$53),"")</f>
        <v/>
      </c>
      <c r="H101" s="17">
        <f>IFERROR(LOOKUP(2,1/('T_SelfStock'!$B$53:$DA$53&lt;&gt;""),'T_SelfStock'!$B$5:$DA$5),"")</f>
        <v/>
      </c>
      <c r="I101" s="18" t="inlineStr">
        <is>
          <t>理論在庫</t>
        </is>
      </c>
      <c r="J101" s="17">
        <f>IFERROR(INDEX('Grid_Stock'!$A49:$DA49,1,LOOKUP(2,1/('T_SelfStock'!$B$53:$DA$53&lt;&gt;""),COLUMN('T_SelfStock'!$B$53:$DA$53)))-INDEX('Grid_TheoreticalStock'!$A49:$DA49,1,LOOKUP(2,1/('T_SelfStock'!$B$53:$DA$53&lt;&gt;""),COLUMN('T_SelfStock'!$B$53:$DA$53))),0)</f>
        <v/>
      </c>
      <c r="K101" s="18">
        <f>'Grid_TheoreticalStock'!B49</f>
        <v/>
      </c>
      <c r="L101" s="18">
        <f>'Grid_TheoreticalStock'!C49</f>
        <v/>
      </c>
      <c r="M101" s="18">
        <f>'Grid_TheoreticalStock'!D49</f>
        <v/>
      </c>
      <c r="N101" s="18">
        <f>'Grid_TheoreticalStock'!E49</f>
        <v/>
      </c>
      <c r="O101" s="18">
        <f>'Grid_TheoreticalStock'!F49</f>
        <v/>
      </c>
      <c r="P101" s="18">
        <f>'Grid_TheoreticalStock'!G49</f>
        <v/>
      </c>
      <c r="Q101" s="18">
        <f>'Grid_TheoreticalStock'!H49</f>
        <v/>
      </c>
      <c r="R101" s="18">
        <f>'Grid_TheoreticalStock'!I49</f>
        <v/>
      </c>
      <c r="S101" s="18">
        <f>'Grid_TheoreticalStock'!J49</f>
        <v/>
      </c>
      <c r="T101" s="18">
        <f>'Grid_TheoreticalStock'!K49</f>
        <v/>
      </c>
      <c r="U101" s="18">
        <f>'Grid_TheoreticalStock'!L49</f>
        <v/>
      </c>
      <c r="V101" s="18">
        <f>'Grid_TheoreticalStock'!M49</f>
        <v/>
      </c>
      <c r="W101" s="18">
        <f>'Grid_TheoreticalStock'!N49</f>
        <v/>
      </c>
      <c r="X101" s="18">
        <f>'Grid_TheoreticalStock'!O49</f>
        <v/>
      </c>
      <c r="Y101" s="18">
        <f>'Grid_TheoreticalStock'!P49</f>
        <v/>
      </c>
      <c r="Z101" s="18">
        <f>'Grid_TheoreticalStock'!Q49</f>
        <v/>
      </c>
      <c r="AA101" s="18">
        <f>'Grid_TheoreticalStock'!R49</f>
        <v/>
      </c>
      <c r="AB101" s="18">
        <f>'Grid_TheoreticalStock'!S49</f>
        <v/>
      </c>
      <c r="AC101" s="18">
        <f>'Grid_TheoreticalStock'!T49</f>
        <v/>
      </c>
      <c r="AD101" s="18">
        <f>'Grid_TheoreticalStock'!U49</f>
        <v/>
      </c>
      <c r="AE101" s="18">
        <f>'Grid_TheoreticalStock'!V49</f>
        <v/>
      </c>
      <c r="AF101" s="18">
        <f>'Grid_TheoreticalStock'!W49</f>
        <v/>
      </c>
      <c r="AG101" s="18">
        <f>'Grid_TheoreticalStock'!X49</f>
        <v/>
      </c>
      <c r="AH101" s="18">
        <f>'Grid_TheoreticalStock'!Y49</f>
        <v/>
      </c>
      <c r="AI101" s="18">
        <f>'Grid_TheoreticalStock'!Z49</f>
        <v/>
      </c>
      <c r="AJ101" s="18">
        <f>'Grid_TheoreticalStock'!AA49</f>
        <v/>
      </c>
      <c r="AK101" s="18">
        <f>'Grid_TheoreticalStock'!AB49</f>
        <v/>
      </c>
      <c r="AL101" s="18">
        <f>'Grid_TheoreticalStock'!AC49</f>
        <v/>
      </c>
      <c r="AM101" s="18">
        <f>'Grid_TheoreticalStock'!AD49</f>
        <v/>
      </c>
      <c r="AN101" s="18">
        <f>'Grid_TheoreticalStock'!AE49</f>
        <v/>
      </c>
      <c r="AO101" s="18">
        <f>'Grid_TheoreticalStock'!AF49</f>
        <v/>
      </c>
      <c r="AP101" s="18">
        <f>'Grid_TheoreticalStock'!AG49</f>
        <v/>
      </c>
      <c r="AQ101" s="18">
        <f>'Grid_TheoreticalStock'!AH49</f>
        <v/>
      </c>
      <c r="AR101" s="18">
        <f>'Grid_TheoreticalStock'!AI49</f>
        <v/>
      </c>
      <c r="AS101" s="18">
        <f>'Grid_TheoreticalStock'!AJ49</f>
        <v/>
      </c>
      <c r="AT101" s="18">
        <f>'Grid_TheoreticalStock'!AK49</f>
        <v/>
      </c>
      <c r="AU101" s="18">
        <f>'Grid_TheoreticalStock'!AL49</f>
        <v/>
      </c>
      <c r="AV101" s="18">
        <f>'Grid_TheoreticalStock'!AM49</f>
        <v/>
      </c>
      <c r="AW101" s="18">
        <f>'Grid_TheoreticalStock'!AN49</f>
        <v/>
      </c>
      <c r="AX101" s="18">
        <f>'Grid_TheoreticalStock'!AO49</f>
        <v/>
      </c>
      <c r="AY101" s="18">
        <f>'Grid_TheoreticalStock'!AP49</f>
        <v/>
      </c>
      <c r="AZ101" s="18">
        <f>'Grid_TheoreticalStock'!AQ49</f>
        <v/>
      </c>
      <c r="BA101" s="18">
        <f>'Grid_TheoreticalStock'!AR49</f>
        <v/>
      </c>
      <c r="BB101" s="18">
        <f>'Grid_TheoreticalStock'!AS49</f>
        <v/>
      </c>
      <c r="BC101" s="18">
        <f>'Grid_TheoreticalStock'!AT49</f>
        <v/>
      </c>
      <c r="BD101" s="18">
        <f>'Grid_TheoreticalStock'!AU49</f>
        <v/>
      </c>
      <c r="BE101" s="18">
        <f>'Grid_TheoreticalStock'!AV49</f>
        <v/>
      </c>
      <c r="BF101" s="18">
        <f>'Grid_TheoreticalStock'!AW49</f>
        <v/>
      </c>
      <c r="BG101" s="18">
        <f>'Grid_TheoreticalStock'!AX49</f>
        <v/>
      </c>
      <c r="BH101" s="18">
        <f>'Grid_TheoreticalStock'!AY49</f>
        <v/>
      </c>
      <c r="BI101" s="18">
        <f>'Grid_TheoreticalStock'!AZ49</f>
        <v/>
      </c>
      <c r="BJ101" s="18">
        <f>'Grid_TheoreticalStock'!BA49</f>
        <v/>
      </c>
      <c r="BK101" s="18">
        <f>'Grid_TheoreticalStock'!BB49</f>
        <v/>
      </c>
      <c r="BL101" s="18">
        <f>'Grid_TheoreticalStock'!BC49</f>
        <v/>
      </c>
      <c r="BM101" s="18">
        <f>'Grid_TheoreticalStock'!BD49</f>
        <v/>
      </c>
      <c r="BN101" s="18">
        <f>'Grid_TheoreticalStock'!BE49</f>
        <v/>
      </c>
      <c r="BO101" s="18">
        <f>'Grid_TheoreticalStock'!BF49</f>
        <v/>
      </c>
      <c r="BP101" s="18">
        <f>'Grid_TheoreticalStock'!BG49</f>
        <v/>
      </c>
      <c r="BQ101" s="18">
        <f>'Grid_TheoreticalStock'!BH49</f>
        <v/>
      </c>
      <c r="BR101" s="18">
        <f>'Grid_TheoreticalStock'!BI49</f>
        <v/>
      </c>
      <c r="BS101" s="18">
        <f>'Grid_TheoreticalStock'!BJ49</f>
        <v/>
      </c>
      <c r="BT101" s="18">
        <f>'Grid_TheoreticalStock'!BK49</f>
        <v/>
      </c>
      <c r="BU101" s="18">
        <f>'Grid_TheoreticalStock'!BL49</f>
        <v/>
      </c>
      <c r="BV101" s="18">
        <f>'Grid_TheoreticalStock'!BM49</f>
        <v/>
      </c>
      <c r="BW101" s="18">
        <f>'Grid_TheoreticalStock'!BN49</f>
        <v/>
      </c>
      <c r="BX101" s="18">
        <f>'Grid_TheoreticalStock'!BO49</f>
        <v/>
      </c>
      <c r="BY101" s="18">
        <f>'Grid_TheoreticalStock'!BP49</f>
        <v/>
      </c>
      <c r="BZ101" s="18">
        <f>'Grid_TheoreticalStock'!BQ49</f>
        <v/>
      </c>
      <c r="CA101" s="18">
        <f>'Grid_TheoreticalStock'!BR49</f>
        <v/>
      </c>
      <c r="CB101" s="18">
        <f>'Grid_TheoreticalStock'!BS49</f>
        <v/>
      </c>
      <c r="CC101" s="18">
        <f>'Grid_TheoreticalStock'!BT49</f>
        <v/>
      </c>
      <c r="CD101" s="18">
        <f>'Grid_TheoreticalStock'!BU49</f>
        <v/>
      </c>
      <c r="CE101" s="18">
        <f>'Grid_TheoreticalStock'!BV49</f>
        <v/>
      </c>
      <c r="CF101" s="18">
        <f>'Grid_TheoreticalStock'!BW49</f>
        <v/>
      </c>
      <c r="CG101" s="18">
        <f>'Grid_TheoreticalStock'!BX49</f>
        <v/>
      </c>
      <c r="CH101" s="18">
        <f>'Grid_TheoreticalStock'!BY49</f>
        <v/>
      </c>
      <c r="CI101" s="18">
        <f>'Grid_TheoreticalStock'!BZ49</f>
        <v/>
      </c>
      <c r="CJ101" s="18">
        <f>'Grid_TheoreticalStock'!CA49</f>
        <v/>
      </c>
      <c r="CK101" s="18">
        <f>'Grid_TheoreticalStock'!CB49</f>
        <v/>
      </c>
      <c r="CL101" s="18">
        <f>'Grid_TheoreticalStock'!CC49</f>
        <v/>
      </c>
      <c r="CM101" s="18">
        <f>'Grid_TheoreticalStock'!CD49</f>
        <v/>
      </c>
      <c r="CN101" s="18">
        <f>'Grid_TheoreticalStock'!CE49</f>
        <v/>
      </c>
      <c r="CO101" s="18">
        <f>'Grid_TheoreticalStock'!CF49</f>
        <v/>
      </c>
      <c r="CP101" s="18">
        <f>'Grid_TheoreticalStock'!CG49</f>
        <v/>
      </c>
      <c r="CQ101" s="18">
        <f>'Grid_TheoreticalStock'!CH49</f>
        <v/>
      </c>
      <c r="CR101" s="18">
        <f>'Grid_TheoreticalStock'!CI49</f>
        <v/>
      </c>
      <c r="CS101" s="18">
        <f>'Grid_TheoreticalStock'!CJ49</f>
        <v/>
      </c>
      <c r="CT101" s="18">
        <f>'Grid_TheoreticalStock'!CK49</f>
        <v/>
      </c>
      <c r="CU101" s="18">
        <f>'Grid_TheoreticalStock'!CL49</f>
        <v/>
      </c>
      <c r="CV101" s="18">
        <f>'Grid_TheoreticalStock'!CM49</f>
        <v/>
      </c>
      <c r="CW101" s="18">
        <f>'Grid_TheoreticalStock'!CN49</f>
        <v/>
      </c>
      <c r="CX101" s="18">
        <f>'Grid_TheoreticalStock'!CO49</f>
        <v/>
      </c>
      <c r="CY101" s="18">
        <f>'Grid_TheoreticalStock'!CP49</f>
        <v/>
      </c>
      <c r="CZ101" s="18">
        <f>'Grid_TheoreticalStock'!CQ49</f>
        <v/>
      </c>
      <c r="DA101" s="18">
        <f>'Grid_TheoreticalStock'!CR49</f>
        <v/>
      </c>
      <c r="DB101" s="18">
        <f>'Grid_TheoreticalStock'!CS49</f>
        <v/>
      </c>
      <c r="DC101" s="18">
        <f>'Grid_TheoreticalStock'!CT49</f>
        <v/>
      </c>
      <c r="DD101" s="18">
        <f>'Grid_TheoreticalStock'!CU49</f>
        <v/>
      </c>
      <c r="DE101" s="18">
        <f>'Grid_TheoreticalStock'!CV49</f>
        <v/>
      </c>
      <c r="DF101" s="18">
        <f>'Grid_TheoreticalStock'!CW49</f>
        <v/>
      </c>
      <c r="DG101" s="18">
        <f>'Grid_TheoreticalStock'!CX49</f>
        <v/>
      </c>
      <c r="DH101" s="18">
        <f>'Grid_TheoreticalStock'!CY49</f>
        <v/>
      </c>
      <c r="DI101" s="18">
        <f>'Grid_TheoreticalStock'!CZ49</f>
        <v/>
      </c>
      <c r="DJ101" s="18">
        <f>'Grid_TheoreticalStock'!DA49</f>
        <v/>
      </c>
    </row>
    <row r="102">
      <c r="A102" s="19" t="inlineStr">
        <is>
          <t>CHEM-1010</t>
        </is>
      </c>
      <c r="B102" s="19">
        <f>IFERROR(INDEX(M_RawMaterials[Description],MATCH($A102,M_RawMaterials[Part Name],0)),"")</f>
        <v/>
      </c>
      <c r="C102" s="19">
        <f>IFERROR(INDEX(M_RawMaterials[Category],MATCH($A102,M_RawMaterials[Part Name],0)),"")</f>
        <v/>
      </c>
      <c r="D102" s="19">
        <f>IFERROR(INDEX(M_RawMaterials[基準在庫下限_要入力],MATCH($A102,M_RawMaterials[Part Name],0)),0)</f>
        <v/>
      </c>
      <c r="E102" s="19">
        <f>IFERROR(INDEX(M_RawMaterials[基準在庫上限_要入力],MATCH($A102,M_RawMaterials[Part Name],0)),0)</f>
        <v/>
      </c>
      <c r="F102" s="19">
        <f>IFERROR(LOOKUP(2,1/('T_SelfStock'!$B$53:$DA$53&lt;&gt;""),'T_SelfStock'!$B$53:$DA$53),"")</f>
        <v/>
      </c>
      <c r="G102" s="19">
        <f>IFERROR(LOOKUP(2,1/('T_TTAFStock'!$B$53:$DA$53&lt;&gt;""),'T_TTAFStock'!$B$53:$DA$53),"")</f>
        <v/>
      </c>
      <c r="H102" s="19">
        <f>IFERROR(LOOKUP(2,1/('T_SelfStock'!$B$53:$DA$53&lt;&gt;""),'T_SelfStock'!$B$5:$DA$5),"")</f>
        <v/>
      </c>
      <c r="I102" s="20" t="inlineStr">
        <is>
          <t>実在庫</t>
        </is>
      </c>
      <c r="J102" s="19">
        <f>IFERROR(INDEX('Grid_Stock'!$A49:$DA49,1,LOOKUP(2,1/('T_SelfStock'!$B$53:$DA$53&lt;&gt;""),COLUMN('T_SelfStock'!$B$53:$DA$53)))-INDEX('Grid_TheoreticalStock'!$A49:$DA49,1,LOOKUP(2,1/('T_SelfStock'!$B$53:$DA$53&lt;&gt;""),COLUMN('T_SelfStock'!$B$53:$DA$53))),0)</f>
        <v/>
      </c>
      <c r="K102" s="19">
        <f>'Grid_Stock'!B49</f>
        <v/>
      </c>
      <c r="L102" s="19">
        <f>'Grid_Stock'!C49</f>
        <v/>
      </c>
      <c r="M102" s="19">
        <f>'Grid_Stock'!D49</f>
        <v/>
      </c>
      <c r="N102" s="19">
        <f>'Grid_Stock'!E49</f>
        <v/>
      </c>
      <c r="O102" s="19">
        <f>'Grid_Stock'!F49</f>
        <v/>
      </c>
      <c r="P102" s="19">
        <f>'Grid_Stock'!G49</f>
        <v/>
      </c>
      <c r="Q102" s="19">
        <f>'Grid_Stock'!H49</f>
        <v/>
      </c>
      <c r="R102" s="19">
        <f>'Grid_Stock'!I49</f>
        <v/>
      </c>
      <c r="S102" s="19">
        <f>'Grid_Stock'!J49</f>
        <v/>
      </c>
      <c r="T102" s="19">
        <f>'Grid_Stock'!K49</f>
        <v/>
      </c>
      <c r="U102" s="19">
        <f>'Grid_Stock'!L49</f>
        <v/>
      </c>
      <c r="V102" s="19">
        <f>'Grid_Stock'!M49</f>
        <v/>
      </c>
      <c r="W102" s="19">
        <f>'Grid_Stock'!N49</f>
        <v/>
      </c>
      <c r="X102" s="19">
        <f>'Grid_Stock'!O49</f>
        <v/>
      </c>
      <c r="Y102" s="19">
        <f>'Grid_Stock'!P49</f>
        <v/>
      </c>
      <c r="Z102" s="19">
        <f>'Grid_Stock'!Q49</f>
        <v/>
      </c>
      <c r="AA102" s="19">
        <f>'Grid_Stock'!R49</f>
        <v/>
      </c>
      <c r="AB102" s="19">
        <f>'Grid_Stock'!S49</f>
        <v/>
      </c>
      <c r="AC102" s="19">
        <f>'Grid_Stock'!T49</f>
        <v/>
      </c>
      <c r="AD102" s="19">
        <f>'Grid_Stock'!U49</f>
        <v/>
      </c>
      <c r="AE102" s="19">
        <f>'Grid_Stock'!V49</f>
        <v/>
      </c>
      <c r="AF102" s="19">
        <f>'Grid_Stock'!W49</f>
        <v/>
      </c>
      <c r="AG102" s="19">
        <f>'Grid_Stock'!X49</f>
        <v/>
      </c>
      <c r="AH102" s="19">
        <f>'Grid_Stock'!Y49</f>
        <v/>
      </c>
      <c r="AI102" s="19">
        <f>'Grid_Stock'!Z49</f>
        <v/>
      </c>
      <c r="AJ102" s="19">
        <f>'Grid_Stock'!AA49</f>
        <v/>
      </c>
      <c r="AK102" s="19">
        <f>'Grid_Stock'!AB49</f>
        <v/>
      </c>
      <c r="AL102" s="19">
        <f>'Grid_Stock'!AC49</f>
        <v/>
      </c>
      <c r="AM102" s="19">
        <f>'Grid_Stock'!AD49</f>
        <v/>
      </c>
      <c r="AN102" s="19">
        <f>'Grid_Stock'!AE49</f>
        <v/>
      </c>
      <c r="AO102" s="19">
        <f>'Grid_Stock'!AF49</f>
        <v/>
      </c>
      <c r="AP102" s="19">
        <f>'Grid_Stock'!AG49</f>
        <v/>
      </c>
      <c r="AQ102" s="19">
        <f>'Grid_Stock'!AH49</f>
        <v/>
      </c>
      <c r="AR102" s="19">
        <f>'Grid_Stock'!AI49</f>
        <v/>
      </c>
      <c r="AS102" s="19">
        <f>'Grid_Stock'!AJ49</f>
        <v/>
      </c>
      <c r="AT102" s="19">
        <f>'Grid_Stock'!AK49</f>
        <v/>
      </c>
      <c r="AU102" s="19">
        <f>'Grid_Stock'!AL49</f>
        <v/>
      </c>
      <c r="AV102" s="19">
        <f>'Grid_Stock'!AM49</f>
        <v/>
      </c>
      <c r="AW102" s="19">
        <f>'Grid_Stock'!AN49</f>
        <v/>
      </c>
      <c r="AX102" s="19">
        <f>'Grid_Stock'!AO49</f>
        <v/>
      </c>
      <c r="AY102" s="19">
        <f>'Grid_Stock'!AP49</f>
        <v/>
      </c>
      <c r="AZ102" s="19">
        <f>'Grid_Stock'!AQ49</f>
        <v/>
      </c>
      <c r="BA102" s="19">
        <f>'Grid_Stock'!AR49</f>
        <v/>
      </c>
      <c r="BB102" s="19">
        <f>'Grid_Stock'!AS49</f>
        <v/>
      </c>
      <c r="BC102" s="19">
        <f>'Grid_Stock'!AT49</f>
        <v/>
      </c>
      <c r="BD102" s="19">
        <f>'Grid_Stock'!AU49</f>
        <v/>
      </c>
      <c r="BE102" s="19">
        <f>'Grid_Stock'!AV49</f>
        <v/>
      </c>
      <c r="BF102" s="19">
        <f>'Grid_Stock'!AW49</f>
        <v/>
      </c>
      <c r="BG102" s="19">
        <f>'Grid_Stock'!AX49</f>
        <v/>
      </c>
      <c r="BH102" s="19">
        <f>'Grid_Stock'!AY49</f>
        <v/>
      </c>
      <c r="BI102" s="19">
        <f>'Grid_Stock'!AZ49</f>
        <v/>
      </c>
      <c r="BJ102" s="19">
        <f>'Grid_Stock'!BA49</f>
        <v/>
      </c>
      <c r="BK102" s="19">
        <f>'Grid_Stock'!BB49</f>
        <v/>
      </c>
      <c r="BL102" s="19">
        <f>'Grid_Stock'!BC49</f>
        <v/>
      </c>
      <c r="BM102" s="19">
        <f>'Grid_Stock'!BD49</f>
        <v/>
      </c>
      <c r="BN102" s="19">
        <f>'Grid_Stock'!BE49</f>
        <v/>
      </c>
      <c r="BO102" s="19">
        <f>'Grid_Stock'!BF49</f>
        <v/>
      </c>
      <c r="BP102" s="19">
        <f>'Grid_Stock'!BG49</f>
        <v/>
      </c>
      <c r="BQ102" s="19">
        <f>'Grid_Stock'!BH49</f>
        <v/>
      </c>
      <c r="BR102" s="19">
        <f>'Grid_Stock'!BI49</f>
        <v/>
      </c>
      <c r="BS102" s="19">
        <f>'Grid_Stock'!BJ49</f>
        <v/>
      </c>
      <c r="BT102" s="19">
        <f>'Grid_Stock'!BK49</f>
        <v/>
      </c>
      <c r="BU102" s="19">
        <f>'Grid_Stock'!BL49</f>
        <v/>
      </c>
      <c r="BV102" s="19">
        <f>'Grid_Stock'!BM49</f>
        <v/>
      </c>
      <c r="BW102" s="19">
        <f>'Grid_Stock'!BN49</f>
        <v/>
      </c>
      <c r="BX102" s="19">
        <f>'Grid_Stock'!BO49</f>
        <v/>
      </c>
      <c r="BY102" s="19">
        <f>'Grid_Stock'!BP49</f>
        <v/>
      </c>
      <c r="BZ102" s="19">
        <f>'Grid_Stock'!BQ49</f>
        <v/>
      </c>
      <c r="CA102" s="19">
        <f>'Grid_Stock'!BR49</f>
        <v/>
      </c>
      <c r="CB102" s="19">
        <f>'Grid_Stock'!BS49</f>
        <v/>
      </c>
      <c r="CC102" s="19">
        <f>'Grid_Stock'!BT49</f>
        <v/>
      </c>
      <c r="CD102" s="19">
        <f>'Grid_Stock'!BU49</f>
        <v/>
      </c>
      <c r="CE102" s="19">
        <f>'Grid_Stock'!BV49</f>
        <v/>
      </c>
      <c r="CF102" s="19">
        <f>'Grid_Stock'!BW49</f>
        <v/>
      </c>
      <c r="CG102" s="19">
        <f>'Grid_Stock'!BX49</f>
        <v/>
      </c>
      <c r="CH102" s="19">
        <f>'Grid_Stock'!BY49</f>
        <v/>
      </c>
      <c r="CI102" s="19">
        <f>'Grid_Stock'!BZ49</f>
        <v/>
      </c>
      <c r="CJ102" s="19">
        <f>'Grid_Stock'!CA49</f>
        <v/>
      </c>
      <c r="CK102" s="19">
        <f>'Grid_Stock'!CB49</f>
        <v/>
      </c>
      <c r="CL102" s="19">
        <f>'Grid_Stock'!CC49</f>
        <v/>
      </c>
      <c r="CM102" s="19">
        <f>'Grid_Stock'!CD49</f>
        <v/>
      </c>
      <c r="CN102" s="19">
        <f>'Grid_Stock'!CE49</f>
        <v/>
      </c>
      <c r="CO102" s="19">
        <f>'Grid_Stock'!CF49</f>
        <v/>
      </c>
      <c r="CP102" s="19">
        <f>'Grid_Stock'!CG49</f>
        <v/>
      </c>
      <c r="CQ102" s="19">
        <f>'Grid_Stock'!CH49</f>
        <v/>
      </c>
      <c r="CR102" s="19">
        <f>'Grid_Stock'!CI49</f>
        <v/>
      </c>
      <c r="CS102" s="19">
        <f>'Grid_Stock'!CJ49</f>
        <v/>
      </c>
      <c r="CT102" s="19">
        <f>'Grid_Stock'!CK49</f>
        <v/>
      </c>
      <c r="CU102" s="19">
        <f>'Grid_Stock'!CL49</f>
        <v/>
      </c>
      <c r="CV102" s="19">
        <f>'Grid_Stock'!CM49</f>
        <v/>
      </c>
      <c r="CW102" s="19">
        <f>'Grid_Stock'!CN49</f>
        <v/>
      </c>
      <c r="CX102" s="19">
        <f>'Grid_Stock'!CO49</f>
        <v/>
      </c>
      <c r="CY102" s="19">
        <f>'Grid_Stock'!CP49</f>
        <v/>
      </c>
      <c r="CZ102" s="19">
        <f>'Grid_Stock'!CQ49</f>
        <v/>
      </c>
      <c r="DA102" s="19">
        <f>'Grid_Stock'!CR49</f>
        <v/>
      </c>
      <c r="DB102" s="19">
        <f>'Grid_Stock'!CS49</f>
        <v/>
      </c>
      <c r="DC102" s="19">
        <f>'Grid_Stock'!CT49</f>
        <v/>
      </c>
      <c r="DD102" s="19">
        <f>'Grid_Stock'!CU49</f>
        <v/>
      </c>
      <c r="DE102" s="19">
        <f>'Grid_Stock'!CV49</f>
        <v/>
      </c>
      <c r="DF102" s="19">
        <f>'Grid_Stock'!CW49</f>
        <v/>
      </c>
      <c r="DG102" s="19">
        <f>'Grid_Stock'!CX49</f>
        <v/>
      </c>
      <c r="DH102" s="19">
        <f>'Grid_Stock'!CY49</f>
        <v/>
      </c>
      <c r="DI102" s="19">
        <f>'Grid_Stock'!CZ49</f>
        <v/>
      </c>
      <c r="DJ102" s="19">
        <f>'Grid_Stock'!DA49</f>
        <v/>
      </c>
    </row>
    <row r="103">
      <c r="A103" s="17" t="inlineStr">
        <is>
          <t>CHEM-1760</t>
        </is>
      </c>
      <c r="B103" s="17">
        <f>IFERROR(INDEX(M_RawMaterials[Description],MATCH($A103,M_RawMaterials[Part Name],0)),"")</f>
        <v/>
      </c>
      <c r="C103" s="17">
        <f>IFERROR(INDEX(M_RawMaterials[Category],MATCH($A103,M_RawMaterials[Part Name],0)),"")</f>
        <v/>
      </c>
      <c r="D103" s="17">
        <f>IFERROR(INDEX(M_RawMaterials[基準在庫下限_要入力],MATCH($A103,M_RawMaterials[Part Name],0)),0)</f>
        <v/>
      </c>
      <c r="E103" s="17">
        <f>IFERROR(INDEX(M_RawMaterials[基準在庫上限_要入力],MATCH($A103,M_RawMaterials[Part Name],0)),0)</f>
        <v/>
      </c>
      <c r="F103" s="17">
        <f>IFERROR(LOOKUP(2,1/('T_SelfStock'!$B$54:$DA$54&lt;&gt;""),'T_SelfStock'!$B$54:$DA$54),"")</f>
        <v/>
      </c>
      <c r="G103" s="17">
        <f>IFERROR(LOOKUP(2,1/('T_TTAFStock'!$B$54:$DA$54&lt;&gt;""),'T_TTAFStock'!$B$54:$DA$54),"")</f>
        <v/>
      </c>
      <c r="H103" s="17">
        <f>IFERROR(LOOKUP(2,1/('T_SelfStock'!$B$54:$DA$54&lt;&gt;""),'T_SelfStock'!$B$5:$DA$5),"")</f>
        <v/>
      </c>
      <c r="I103" s="18" t="inlineStr">
        <is>
          <t>理論在庫</t>
        </is>
      </c>
      <c r="J103" s="17">
        <f>IFERROR(INDEX('Grid_Stock'!$A50:$DA50,1,LOOKUP(2,1/('T_SelfStock'!$B$54:$DA$54&lt;&gt;""),COLUMN('T_SelfStock'!$B$54:$DA$54)))-INDEX('Grid_TheoreticalStock'!$A50:$DA50,1,LOOKUP(2,1/('T_SelfStock'!$B$54:$DA$54&lt;&gt;""),COLUMN('T_SelfStock'!$B$54:$DA$54))),0)</f>
        <v/>
      </c>
      <c r="K103" s="18">
        <f>'Grid_TheoreticalStock'!B50</f>
        <v/>
      </c>
      <c r="L103" s="18">
        <f>'Grid_TheoreticalStock'!C50</f>
        <v/>
      </c>
      <c r="M103" s="18">
        <f>'Grid_TheoreticalStock'!D50</f>
        <v/>
      </c>
      <c r="N103" s="18">
        <f>'Grid_TheoreticalStock'!E50</f>
        <v/>
      </c>
      <c r="O103" s="18">
        <f>'Grid_TheoreticalStock'!F50</f>
        <v/>
      </c>
      <c r="P103" s="18">
        <f>'Grid_TheoreticalStock'!G50</f>
        <v/>
      </c>
      <c r="Q103" s="18">
        <f>'Grid_TheoreticalStock'!H50</f>
        <v/>
      </c>
      <c r="R103" s="18">
        <f>'Grid_TheoreticalStock'!I50</f>
        <v/>
      </c>
      <c r="S103" s="18">
        <f>'Grid_TheoreticalStock'!J50</f>
        <v/>
      </c>
      <c r="T103" s="18">
        <f>'Grid_TheoreticalStock'!K50</f>
        <v/>
      </c>
      <c r="U103" s="18">
        <f>'Grid_TheoreticalStock'!L50</f>
        <v/>
      </c>
      <c r="V103" s="18">
        <f>'Grid_TheoreticalStock'!M50</f>
        <v/>
      </c>
      <c r="W103" s="18">
        <f>'Grid_TheoreticalStock'!N50</f>
        <v/>
      </c>
      <c r="X103" s="18">
        <f>'Grid_TheoreticalStock'!O50</f>
        <v/>
      </c>
      <c r="Y103" s="18">
        <f>'Grid_TheoreticalStock'!P50</f>
        <v/>
      </c>
      <c r="Z103" s="18">
        <f>'Grid_TheoreticalStock'!Q50</f>
        <v/>
      </c>
      <c r="AA103" s="18">
        <f>'Grid_TheoreticalStock'!R50</f>
        <v/>
      </c>
      <c r="AB103" s="18">
        <f>'Grid_TheoreticalStock'!S50</f>
        <v/>
      </c>
      <c r="AC103" s="18">
        <f>'Grid_TheoreticalStock'!T50</f>
        <v/>
      </c>
      <c r="AD103" s="18">
        <f>'Grid_TheoreticalStock'!U50</f>
        <v/>
      </c>
      <c r="AE103" s="18">
        <f>'Grid_TheoreticalStock'!V50</f>
        <v/>
      </c>
      <c r="AF103" s="18">
        <f>'Grid_TheoreticalStock'!W50</f>
        <v/>
      </c>
      <c r="AG103" s="18">
        <f>'Grid_TheoreticalStock'!X50</f>
        <v/>
      </c>
      <c r="AH103" s="18">
        <f>'Grid_TheoreticalStock'!Y50</f>
        <v/>
      </c>
      <c r="AI103" s="18">
        <f>'Grid_TheoreticalStock'!Z50</f>
        <v/>
      </c>
      <c r="AJ103" s="18">
        <f>'Grid_TheoreticalStock'!AA50</f>
        <v/>
      </c>
      <c r="AK103" s="18">
        <f>'Grid_TheoreticalStock'!AB50</f>
        <v/>
      </c>
      <c r="AL103" s="18">
        <f>'Grid_TheoreticalStock'!AC50</f>
        <v/>
      </c>
      <c r="AM103" s="18">
        <f>'Grid_TheoreticalStock'!AD50</f>
        <v/>
      </c>
      <c r="AN103" s="18">
        <f>'Grid_TheoreticalStock'!AE50</f>
        <v/>
      </c>
      <c r="AO103" s="18">
        <f>'Grid_TheoreticalStock'!AF50</f>
        <v/>
      </c>
      <c r="AP103" s="18">
        <f>'Grid_TheoreticalStock'!AG50</f>
        <v/>
      </c>
      <c r="AQ103" s="18">
        <f>'Grid_TheoreticalStock'!AH50</f>
        <v/>
      </c>
      <c r="AR103" s="18">
        <f>'Grid_TheoreticalStock'!AI50</f>
        <v/>
      </c>
      <c r="AS103" s="18">
        <f>'Grid_TheoreticalStock'!AJ50</f>
        <v/>
      </c>
      <c r="AT103" s="18">
        <f>'Grid_TheoreticalStock'!AK50</f>
        <v/>
      </c>
      <c r="AU103" s="18">
        <f>'Grid_TheoreticalStock'!AL50</f>
        <v/>
      </c>
      <c r="AV103" s="18">
        <f>'Grid_TheoreticalStock'!AM50</f>
        <v/>
      </c>
      <c r="AW103" s="18">
        <f>'Grid_TheoreticalStock'!AN50</f>
        <v/>
      </c>
      <c r="AX103" s="18">
        <f>'Grid_TheoreticalStock'!AO50</f>
        <v/>
      </c>
      <c r="AY103" s="18">
        <f>'Grid_TheoreticalStock'!AP50</f>
        <v/>
      </c>
      <c r="AZ103" s="18">
        <f>'Grid_TheoreticalStock'!AQ50</f>
        <v/>
      </c>
      <c r="BA103" s="18">
        <f>'Grid_TheoreticalStock'!AR50</f>
        <v/>
      </c>
      <c r="BB103" s="18">
        <f>'Grid_TheoreticalStock'!AS50</f>
        <v/>
      </c>
      <c r="BC103" s="18">
        <f>'Grid_TheoreticalStock'!AT50</f>
        <v/>
      </c>
      <c r="BD103" s="18">
        <f>'Grid_TheoreticalStock'!AU50</f>
        <v/>
      </c>
      <c r="BE103" s="18">
        <f>'Grid_TheoreticalStock'!AV50</f>
        <v/>
      </c>
      <c r="BF103" s="18">
        <f>'Grid_TheoreticalStock'!AW50</f>
        <v/>
      </c>
      <c r="BG103" s="18">
        <f>'Grid_TheoreticalStock'!AX50</f>
        <v/>
      </c>
      <c r="BH103" s="18">
        <f>'Grid_TheoreticalStock'!AY50</f>
        <v/>
      </c>
      <c r="BI103" s="18">
        <f>'Grid_TheoreticalStock'!AZ50</f>
        <v/>
      </c>
      <c r="BJ103" s="18">
        <f>'Grid_TheoreticalStock'!BA50</f>
        <v/>
      </c>
      <c r="BK103" s="18">
        <f>'Grid_TheoreticalStock'!BB50</f>
        <v/>
      </c>
      <c r="BL103" s="18">
        <f>'Grid_TheoreticalStock'!BC50</f>
        <v/>
      </c>
      <c r="BM103" s="18">
        <f>'Grid_TheoreticalStock'!BD50</f>
        <v/>
      </c>
      <c r="BN103" s="18">
        <f>'Grid_TheoreticalStock'!BE50</f>
        <v/>
      </c>
      <c r="BO103" s="18">
        <f>'Grid_TheoreticalStock'!BF50</f>
        <v/>
      </c>
      <c r="BP103" s="18">
        <f>'Grid_TheoreticalStock'!BG50</f>
        <v/>
      </c>
      <c r="BQ103" s="18">
        <f>'Grid_TheoreticalStock'!BH50</f>
        <v/>
      </c>
      <c r="BR103" s="18">
        <f>'Grid_TheoreticalStock'!BI50</f>
        <v/>
      </c>
      <c r="BS103" s="18">
        <f>'Grid_TheoreticalStock'!BJ50</f>
        <v/>
      </c>
      <c r="BT103" s="18">
        <f>'Grid_TheoreticalStock'!BK50</f>
        <v/>
      </c>
      <c r="BU103" s="18">
        <f>'Grid_TheoreticalStock'!BL50</f>
        <v/>
      </c>
      <c r="BV103" s="18">
        <f>'Grid_TheoreticalStock'!BM50</f>
        <v/>
      </c>
      <c r="BW103" s="18">
        <f>'Grid_TheoreticalStock'!BN50</f>
        <v/>
      </c>
      <c r="BX103" s="18">
        <f>'Grid_TheoreticalStock'!BO50</f>
        <v/>
      </c>
      <c r="BY103" s="18">
        <f>'Grid_TheoreticalStock'!BP50</f>
        <v/>
      </c>
      <c r="BZ103" s="18">
        <f>'Grid_TheoreticalStock'!BQ50</f>
        <v/>
      </c>
      <c r="CA103" s="18">
        <f>'Grid_TheoreticalStock'!BR50</f>
        <v/>
      </c>
      <c r="CB103" s="18">
        <f>'Grid_TheoreticalStock'!BS50</f>
        <v/>
      </c>
      <c r="CC103" s="18">
        <f>'Grid_TheoreticalStock'!BT50</f>
        <v/>
      </c>
      <c r="CD103" s="18">
        <f>'Grid_TheoreticalStock'!BU50</f>
        <v/>
      </c>
      <c r="CE103" s="18">
        <f>'Grid_TheoreticalStock'!BV50</f>
        <v/>
      </c>
      <c r="CF103" s="18">
        <f>'Grid_TheoreticalStock'!BW50</f>
        <v/>
      </c>
      <c r="CG103" s="18">
        <f>'Grid_TheoreticalStock'!BX50</f>
        <v/>
      </c>
      <c r="CH103" s="18">
        <f>'Grid_TheoreticalStock'!BY50</f>
        <v/>
      </c>
      <c r="CI103" s="18">
        <f>'Grid_TheoreticalStock'!BZ50</f>
        <v/>
      </c>
      <c r="CJ103" s="18">
        <f>'Grid_TheoreticalStock'!CA50</f>
        <v/>
      </c>
      <c r="CK103" s="18">
        <f>'Grid_TheoreticalStock'!CB50</f>
        <v/>
      </c>
      <c r="CL103" s="18">
        <f>'Grid_TheoreticalStock'!CC50</f>
        <v/>
      </c>
      <c r="CM103" s="18">
        <f>'Grid_TheoreticalStock'!CD50</f>
        <v/>
      </c>
      <c r="CN103" s="18">
        <f>'Grid_TheoreticalStock'!CE50</f>
        <v/>
      </c>
      <c r="CO103" s="18">
        <f>'Grid_TheoreticalStock'!CF50</f>
        <v/>
      </c>
      <c r="CP103" s="18">
        <f>'Grid_TheoreticalStock'!CG50</f>
        <v/>
      </c>
      <c r="CQ103" s="18">
        <f>'Grid_TheoreticalStock'!CH50</f>
        <v/>
      </c>
      <c r="CR103" s="18">
        <f>'Grid_TheoreticalStock'!CI50</f>
        <v/>
      </c>
      <c r="CS103" s="18">
        <f>'Grid_TheoreticalStock'!CJ50</f>
        <v/>
      </c>
      <c r="CT103" s="18">
        <f>'Grid_TheoreticalStock'!CK50</f>
        <v/>
      </c>
      <c r="CU103" s="18">
        <f>'Grid_TheoreticalStock'!CL50</f>
        <v/>
      </c>
      <c r="CV103" s="18">
        <f>'Grid_TheoreticalStock'!CM50</f>
        <v/>
      </c>
      <c r="CW103" s="18">
        <f>'Grid_TheoreticalStock'!CN50</f>
        <v/>
      </c>
      <c r="CX103" s="18">
        <f>'Grid_TheoreticalStock'!CO50</f>
        <v/>
      </c>
      <c r="CY103" s="18">
        <f>'Grid_TheoreticalStock'!CP50</f>
        <v/>
      </c>
      <c r="CZ103" s="18">
        <f>'Grid_TheoreticalStock'!CQ50</f>
        <v/>
      </c>
      <c r="DA103" s="18">
        <f>'Grid_TheoreticalStock'!CR50</f>
        <v/>
      </c>
      <c r="DB103" s="18">
        <f>'Grid_TheoreticalStock'!CS50</f>
        <v/>
      </c>
      <c r="DC103" s="18">
        <f>'Grid_TheoreticalStock'!CT50</f>
        <v/>
      </c>
      <c r="DD103" s="18">
        <f>'Grid_TheoreticalStock'!CU50</f>
        <v/>
      </c>
      <c r="DE103" s="18">
        <f>'Grid_TheoreticalStock'!CV50</f>
        <v/>
      </c>
      <c r="DF103" s="18">
        <f>'Grid_TheoreticalStock'!CW50</f>
        <v/>
      </c>
      <c r="DG103" s="18">
        <f>'Grid_TheoreticalStock'!CX50</f>
        <v/>
      </c>
      <c r="DH103" s="18">
        <f>'Grid_TheoreticalStock'!CY50</f>
        <v/>
      </c>
      <c r="DI103" s="18">
        <f>'Grid_TheoreticalStock'!CZ50</f>
        <v/>
      </c>
      <c r="DJ103" s="18">
        <f>'Grid_TheoreticalStock'!DA50</f>
        <v/>
      </c>
    </row>
    <row r="104">
      <c r="A104" s="19" t="inlineStr">
        <is>
          <t>CHEM-1760</t>
        </is>
      </c>
      <c r="B104" s="19">
        <f>IFERROR(INDEX(M_RawMaterials[Description],MATCH($A104,M_RawMaterials[Part Name],0)),"")</f>
        <v/>
      </c>
      <c r="C104" s="19">
        <f>IFERROR(INDEX(M_RawMaterials[Category],MATCH($A104,M_RawMaterials[Part Name],0)),"")</f>
        <v/>
      </c>
      <c r="D104" s="19">
        <f>IFERROR(INDEX(M_RawMaterials[基準在庫下限_要入力],MATCH($A104,M_RawMaterials[Part Name],0)),0)</f>
        <v/>
      </c>
      <c r="E104" s="19">
        <f>IFERROR(INDEX(M_RawMaterials[基準在庫上限_要入力],MATCH($A104,M_RawMaterials[Part Name],0)),0)</f>
        <v/>
      </c>
      <c r="F104" s="19">
        <f>IFERROR(LOOKUP(2,1/('T_SelfStock'!$B$54:$DA$54&lt;&gt;""),'T_SelfStock'!$B$54:$DA$54),"")</f>
        <v/>
      </c>
      <c r="G104" s="19">
        <f>IFERROR(LOOKUP(2,1/('T_TTAFStock'!$B$54:$DA$54&lt;&gt;""),'T_TTAFStock'!$B$54:$DA$54),"")</f>
        <v/>
      </c>
      <c r="H104" s="19">
        <f>IFERROR(LOOKUP(2,1/('T_SelfStock'!$B$54:$DA$54&lt;&gt;""),'T_SelfStock'!$B$5:$DA$5),"")</f>
        <v/>
      </c>
      <c r="I104" s="20" t="inlineStr">
        <is>
          <t>実在庫</t>
        </is>
      </c>
      <c r="J104" s="19">
        <f>IFERROR(INDEX('Grid_Stock'!$A50:$DA50,1,LOOKUP(2,1/('T_SelfStock'!$B$54:$DA$54&lt;&gt;""),COLUMN('T_SelfStock'!$B$54:$DA$54)))-INDEX('Grid_TheoreticalStock'!$A50:$DA50,1,LOOKUP(2,1/('T_SelfStock'!$B$54:$DA$54&lt;&gt;""),COLUMN('T_SelfStock'!$B$54:$DA$54))),0)</f>
        <v/>
      </c>
      <c r="K104" s="19">
        <f>'Grid_Stock'!B50</f>
        <v/>
      </c>
      <c r="L104" s="19">
        <f>'Grid_Stock'!C50</f>
        <v/>
      </c>
      <c r="M104" s="19">
        <f>'Grid_Stock'!D50</f>
        <v/>
      </c>
      <c r="N104" s="19">
        <f>'Grid_Stock'!E50</f>
        <v/>
      </c>
      <c r="O104" s="19">
        <f>'Grid_Stock'!F50</f>
        <v/>
      </c>
      <c r="P104" s="19">
        <f>'Grid_Stock'!G50</f>
        <v/>
      </c>
      <c r="Q104" s="19">
        <f>'Grid_Stock'!H50</f>
        <v/>
      </c>
      <c r="R104" s="19">
        <f>'Grid_Stock'!I50</f>
        <v/>
      </c>
      <c r="S104" s="19">
        <f>'Grid_Stock'!J50</f>
        <v/>
      </c>
      <c r="T104" s="19">
        <f>'Grid_Stock'!K50</f>
        <v/>
      </c>
      <c r="U104" s="19">
        <f>'Grid_Stock'!L50</f>
        <v/>
      </c>
      <c r="V104" s="19">
        <f>'Grid_Stock'!M50</f>
        <v/>
      </c>
      <c r="W104" s="19">
        <f>'Grid_Stock'!N50</f>
        <v/>
      </c>
      <c r="X104" s="19">
        <f>'Grid_Stock'!O50</f>
        <v/>
      </c>
      <c r="Y104" s="19">
        <f>'Grid_Stock'!P50</f>
        <v/>
      </c>
      <c r="Z104" s="19">
        <f>'Grid_Stock'!Q50</f>
        <v/>
      </c>
      <c r="AA104" s="19">
        <f>'Grid_Stock'!R50</f>
        <v/>
      </c>
      <c r="AB104" s="19">
        <f>'Grid_Stock'!S50</f>
        <v/>
      </c>
      <c r="AC104" s="19">
        <f>'Grid_Stock'!T50</f>
        <v/>
      </c>
      <c r="AD104" s="19">
        <f>'Grid_Stock'!U50</f>
        <v/>
      </c>
      <c r="AE104" s="19">
        <f>'Grid_Stock'!V50</f>
        <v/>
      </c>
      <c r="AF104" s="19">
        <f>'Grid_Stock'!W50</f>
        <v/>
      </c>
      <c r="AG104" s="19">
        <f>'Grid_Stock'!X50</f>
        <v/>
      </c>
      <c r="AH104" s="19">
        <f>'Grid_Stock'!Y50</f>
        <v/>
      </c>
      <c r="AI104" s="19">
        <f>'Grid_Stock'!Z50</f>
        <v/>
      </c>
      <c r="AJ104" s="19">
        <f>'Grid_Stock'!AA50</f>
        <v/>
      </c>
      <c r="AK104" s="19">
        <f>'Grid_Stock'!AB50</f>
        <v/>
      </c>
      <c r="AL104" s="19">
        <f>'Grid_Stock'!AC50</f>
        <v/>
      </c>
      <c r="AM104" s="19">
        <f>'Grid_Stock'!AD50</f>
        <v/>
      </c>
      <c r="AN104" s="19">
        <f>'Grid_Stock'!AE50</f>
        <v/>
      </c>
      <c r="AO104" s="19">
        <f>'Grid_Stock'!AF50</f>
        <v/>
      </c>
      <c r="AP104" s="19">
        <f>'Grid_Stock'!AG50</f>
        <v/>
      </c>
      <c r="AQ104" s="19">
        <f>'Grid_Stock'!AH50</f>
        <v/>
      </c>
      <c r="AR104" s="19">
        <f>'Grid_Stock'!AI50</f>
        <v/>
      </c>
      <c r="AS104" s="19">
        <f>'Grid_Stock'!AJ50</f>
        <v/>
      </c>
      <c r="AT104" s="19">
        <f>'Grid_Stock'!AK50</f>
        <v/>
      </c>
      <c r="AU104" s="19">
        <f>'Grid_Stock'!AL50</f>
        <v/>
      </c>
      <c r="AV104" s="19">
        <f>'Grid_Stock'!AM50</f>
        <v/>
      </c>
      <c r="AW104" s="19">
        <f>'Grid_Stock'!AN50</f>
        <v/>
      </c>
      <c r="AX104" s="19">
        <f>'Grid_Stock'!AO50</f>
        <v/>
      </c>
      <c r="AY104" s="19">
        <f>'Grid_Stock'!AP50</f>
        <v/>
      </c>
      <c r="AZ104" s="19">
        <f>'Grid_Stock'!AQ50</f>
        <v/>
      </c>
      <c r="BA104" s="19">
        <f>'Grid_Stock'!AR50</f>
        <v/>
      </c>
      <c r="BB104" s="19">
        <f>'Grid_Stock'!AS50</f>
        <v/>
      </c>
      <c r="BC104" s="19">
        <f>'Grid_Stock'!AT50</f>
        <v/>
      </c>
      <c r="BD104" s="19">
        <f>'Grid_Stock'!AU50</f>
        <v/>
      </c>
      <c r="BE104" s="19">
        <f>'Grid_Stock'!AV50</f>
        <v/>
      </c>
      <c r="BF104" s="19">
        <f>'Grid_Stock'!AW50</f>
        <v/>
      </c>
      <c r="BG104" s="19">
        <f>'Grid_Stock'!AX50</f>
        <v/>
      </c>
      <c r="BH104" s="19">
        <f>'Grid_Stock'!AY50</f>
        <v/>
      </c>
      <c r="BI104" s="19">
        <f>'Grid_Stock'!AZ50</f>
        <v/>
      </c>
      <c r="BJ104" s="19">
        <f>'Grid_Stock'!BA50</f>
        <v/>
      </c>
      <c r="BK104" s="19">
        <f>'Grid_Stock'!BB50</f>
        <v/>
      </c>
      <c r="BL104" s="19">
        <f>'Grid_Stock'!BC50</f>
        <v/>
      </c>
      <c r="BM104" s="19">
        <f>'Grid_Stock'!BD50</f>
        <v/>
      </c>
      <c r="BN104" s="19">
        <f>'Grid_Stock'!BE50</f>
        <v/>
      </c>
      <c r="BO104" s="19">
        <f>'Grid_Stock'!BF50</f>
        <v/>
      </c>
      <c r="BP104" s="19">
        <f>'Grid_Stock'!BG50</f>
        <v/>
      </c>
      <c r="BQ104" s="19">
        <f>'Grid_Stock'!BH50</f>
        <v/>
      </c>
      <c r="BR104" s="19">
        <f>'Grid_Stock'!BI50</f>
        <v/>
      </c>
      <c r="BS104" s="19">
        <f>'Grid_Stock'!BJ50</f>
        <v/>
      </c>
      <c r="BT104" s="19">
        <f>'Grid_Stock'!BK50</f>
        <v/>
      </c>
      <c r="BU104" s="19">
        <f>'Grid_Stock'!BL50</f>
        <v/>
      </c>
      <c r="BV104" s="19">
        <f>'Grid_Stock'!BM50</f>
        <v/>
      </c>
      <c r="BW104" s="19">
        <f>'Grid_Stock'!BN50</f>
        <v/>
      </c>
      <c r="BX104" s="19">
        <f>'Grid_Stock'!BO50</f>
        <v/>
      </c>
      <c r="BY104" s="19">
        <f>'Grid_Stock'!BP50</f>
        <v/>
      </c>
      <c r="BZ104" s="19">
        <f>'Grid_Stock'!BQ50</f>
        <v/>
      </c>
      <c r="CA104" s="19">
        <f>'Grid_Stock'!BR50</f>
        <v/>
      </c>
      <c r="CB104" s="19">
        <f>'Grid_Stock'!BS50</f>
        <v/>
      </c>
      <c r="CC104" s="19">
        <f>'Grid_Stock'!BT50</f>
        <v/>
      </c>
      <c r="CD104" s="19">
        <f>'Grid_Stock'!BU50</f>
        <v/>
      </c>
      <c r="CE104" s="19">
        <f>'Grid_Stock'!BV50</f>
        <v/>
      </c>
      <c r="CF104" s="19">
        <f>'Grid_Stock'!BW50</f>
        <v/>
      </c>
      <c r="CG104" s="19">
        <f>'Grid_Stock'!BX50</f>
        <v/>
      </c>
      <c r="CH104" s="19">
        <f>'Grid_Stock'!BY50</f>
        <v/>
      </c>
      <c r="CI104" s="19">
        <f>'Grid_Stock'!BZ50</f>
        <v/>
      </c>
      <c r="CJ104" s="19">
        <f>'Grid_Stock'!CA50</f>
        <v/>
      </c>
      <c r="CK104" s="19">
        <f>'Grid_Stock'!CB50</f>
        <v/>
      </c>
      <c r="CL104" s="19">
        <f>'Grid_Stock'!CC50</f>
        <v/>
      </c>
      <c r="CM104" s="19">
        <f>'Grid_Stock'!CD50</f>
        <v/>
      </c>
      <c r="CN104" s="19">
        <f>'Grid_Stock'!CE50</f>
        <v/>
      </c>
      <c r="CO104" s="19">
        <f>'Grid_Stock'!CF50</f>
        <v/>
      </c>
      <c r="CP104" s="19">
        <f>'Grid_Stock'!CG50</f>
        <v/>
      </c>
      <c r="CQ104" s="19">
        <f>'Grid_Stock'!CH50</f>
        <v/>
      </c>
      <c r="CR104" s="19">
        <f>'Grid_Stock'!CI50</f>
        <v/>
      </c>
      <c r="CS104" s="19">
        <f>'Grid_Stock'!CJ50</f>
        <v/>
      </c>
      <c r="CT104" s="19">
        <f>'Grid_Stock'!CK50</f>
        <v/>
      </c>
      <c r="CU104" s="19">
        <f>'Grid_Stock'!CL50</f>
        <v/>
      </c>
      <c r="CV104" s="19">
        <f>'Grid_Stock'!CM50</f>
        <v/>
      </c>
      <c r="CW104" s="19">
        <f>'Grid_Stock'!CN50</f>
        <v/>
      </c>
      <c r="CX104" s="19">
        <f>'Grid_Stock'!CO50</f>
        <v/>
      </c>
      <c r="CY104" s="19">
        <f>'Grid_Stock'!CP50</f>
        <v/>
      </c>
      <c r="CZ104" s="19">
        <f>'Grid_Stock'!CQ50</f>
        <v/>
      </c>
      <c r="DA104" s="19">
        <f>'Grid_Stock'!CR50</f>
        <v/>
      </c>
      <c r="DB104" s="19">
        <f>'Grid_Stock'!CS50</f>
        <v/>
      </c>
      <c r="DC104" s="19">
        <f>'Grid_Stock'!CT50</f>
        <v/>
      </c>
      <c r="DD104" s="19">
        <f>'Grid_Stock'!CU50</f>
        <v/>
      </c>
      <c r="DE104" s="19">
        <f>'Grid_Stock'!CV50</f>
        <v/>
      </c>
      <c r="DF104" s="19">
        <f>'Grid_Stock'!CW50</f>
        <v/>
      </c>
      <c r="DG104" s="19">
        <f>'Grid_Stock'!CX50</f>
        <v/>
      </c>
      <c r="DH104" s="19">
        <f>'Grid_Stock'!CY50</f>
        <v/>
      </c>
      <c r="DI104" s="19">
        <f>'Grid_Stock'!CZ50</f>
        <v/>
      </c>
      <c r="DJ104" s="19">
        <f>'Grid_Stock'!DA50</f>
        <v/>
      </c>
    </row>
    <row r="105">
      <c r="A105" s="17" t="inlineStr">
        <is>
          <t>CHEM-1700</t>
        </is>
      </c>
      <c r="B105" s="17">
        <f>IFERROR(INDEX(M_RawMaterials[Description],MATCH($A105,M_RawMaterials[Part Name],0)),"")</f>
        <v/>
      </c>
      <c r="C105" s="17">
        <f>IFERROR(INDEX(M_RawMaterials[Category],MATCH($A105,M_RawMaterials[Part Name],0)),"")</f>
        <v/>
      </c>
      <c r="D105" s="17">
        <f>IFERROR(INDEX(M_RawMaterials[基準在庫下限_要入力],MATCH($A105,M_RawMaterials[Part Name],0)),0)</f>
        <v/>
      </c>
      <c r="E105" s="17">
        <f>IFERROR(INDEX(M_RawMaterials[基準在庫上限_要入力],MATCH($A105,M_RawMaterials[Part Name],0)),0)</f>
        <v/>
      </c>
      <c r="F105" s="17">
        <f>IFERROR(LOOKUP(2,1/('T_SelfStock'!$B$55:$DA$55&lt;&gt;""),'T_SelfStock'!$B$55:$DA$55),"")</f>
        <v/>
      </c>
      <c r="G105" s="17">
        <f>IFERROR(LOOKUP(2,1/('T_TTAFStock'!$B$55:$DA$55&lt;&gt;""),'T_TTAFStock'!$B$55:$DA$55),"")</f>
        <v/>
      </c>
      <c r="H105" s="17">
        <f>IFERROR(LOOKUP(2,1/('T_SelfStock'!$B$55:$DA$55&lt;&gt;""),'T_SelfStock'!$B$5:$DA$5),"")</f>
        <v/>
      </c>
      <c r="I105" s="18" t="inlineStr">
        <is>
          <t>理論在庫</t>
        </is>
      </c>
      <c r="J105" s="17">
        <f>IFERROR(INDEX('Grid_Stock'!$A51:$DA51,1,LOOKUP(2,1/('T_SelfStock'!$B$55:$DA$55&lt;&gt;""),COLUMN('T_SelfStock'!$B$55:$DA$55)))-INDEX('Grid_TheoreticalStock'!$A51:$DA51,1,LOOKUP(2,1/('T_SelfStock'!$B$55:$DA$55&lt;&gt;""),COLUMN('T_SelfStock'!$B$55:$DA$55))),0)</f>
        <v/>
      </c>
      <c r="K105" s="18">
        <f>'Grid_TheoreticalStock'!B51</f>
        <v/>
      </c>
      <c r="L105" s="18">
        <f>'Grid_TheoreticalStock'!C51</f>
        <v/>
      </c>
      <c r="M105" s="18">
        <f>'Grid_TheoreticalStock'!D51</f>
        <v/>
      </c>
      <c r="N105" s="18">
        <f>'Grid_TheoreticalStock'!E51</f>
        <v/>
      </c>
      <c r="O105" s="18">
        <f>'Grid_TheoreticalStock'!F51</f>
        <v/>
      </c>
      <c r="P105" s="18">
        <f>'Grid_TheoreticalStock'!G51</f>
        <v/>
      </c>
      <c r="Q105" s="18">
        <f>'Grid_TheoreticalStock'!H51</f>
        <v/>
      </c>
      <c r="R105" s="18">
        <f>'Grid_TheoreticalStock'!I51</f>
        <v/>
      </c>
      <c r="S105" s="18">
        <f>'Grid_TheoreticalStock'!J51</f>
        <v/>
      </c>
      <c r="T105" s="18">
        <f>'Grid_TheoreticalStock'!K51</f>
        <v/>
      </c>
      <c r="U105" s="18">
        <f>'Grid_TheoreticalStock'!L51</f>
        <v/>
      </c>
      <c r="V105" s="18">
        <f>'Grid_TheoreticalStock'!M51</f>
        <v/>
      </c>
      <c r="W105" s="18">
        <f>'Grid_TheoreticalStock'!N51</f>
        <v/>
      </c>
      <c r="X105" s="18">
        <f>'Grid_TheoreticalStock'!O51</f>
        <v/>
      </c>
      <c r="Y105" s="18">
        <f>'Grid_TheoreticalStock'!P51</f>
        <v/>
      </c>
      <c r="Z105" s="18">
        <f>'Grid_TheoreticalStock'!Q51</f>
        <v/>
      </c>
      <c r="AA105" s="18">
        <f>'Grid_TheoreticalStock'!R51</f>
        <v/>
      </c>
      <c r="AB105" s="18">
        <f>'Grid_TheoreticalStock'!S51</f>
        <v/>
      </c>
      <c r="AC105" s="18">
        <f>'Grid_TheoreticalStock'!T51</f>
        <v/>
      </c>
      <c r="AD105" s="18">
        <f>'Grid_TheoreticalStock'!U51</f>
        <v/>
      </c>
      <c r="AE105" s="18">
        <f>'Grid_TheoreticalStock'!V51</f>
        <v/>
      </c>
      <c r="AF105" s="18">
        <f>'Grid_TheoreticalStock'!W51</f>
        <v/>
      </c>
      <c r="AG105" s="18">
        <f>'Grid_TheoreticalStock'!X51</f>
        <v/>
      </c>
      <c r="AH105" s="18">
        <f>'Grid_TheoreticalStock'!Y51</f>
        <v/>
      </c>
      <c r="AI105" s="18">
        <f>'Grid_TheoreticalStock'!Z51</f>
        <v/>
      </c>
      <c r="AJ105" s="18">
        <f>'Grid_TheoreticalStock'!AA51</f>
        <v/>
      </c>
      <c r="AK105" s="18">
        <f>'Grid_TheoreticalStock'!AB51</f>
        <v/>
      </c>
      <c r="AL105" s="18">
        <f>'Grid_TheoreticalStock'!AC51</f>
        <v/>
      </c>
      <c r="AM105" s="18">
        <f>'Grid_TheoreticalStock'!AD51</f>
        <v/>
      </c>
      <c r="AN105" s="18">
        <f>'Grid_TheoreticalStock'!AE51</f>
        <v/>
      </c>
      <c r="AO105" s="18">
        <f>'Grid_TheoreticalStock'!AF51</f>
        <v/>
      </c>
      <c r="AP105" s="18">
        <f>'Grid_TheoreticalStock'!AG51</f>
        <v/>
      </c>
      <c r="AQ105" s="18">
        <f>'Grid_TheoreticalStock'!AH51</f>
        <v/>
      </c>
      <c r="AR105" s="18">
        <f>'Grid_TheoreticalStock'!AI51</f>
        <v/>
      </c>
      <c r="AS105" s="18">
        <f>'Grid_TheoreticalStock'!AJ51</f>
        <v/>
      </c>
      <c r="AT105" s="18">
        <f>'Grid_TheoreticalStock'!AK51</f>
        <v/>
      </c>
      <c r="AU105" s="18">
        <f>'Grid_TheoreticalStock'!AL51</f>
        <v/>
      </c>
      <c r="AV105" s="18">
        <f>'Grid_TheoreticalStock'!AM51</f>
        <v/>
      </c>
      <c r="AW105" s="18">
        <f>'Grid_TheoreticalStock'!AN51</f>
        <v/>
      </c>
      <c r="AX105" s="18">
        <f>'Grid_TheoreticalStock'!AO51</f>
        <v/>
      </c>
      <c r="AY105" s="18">
        <f>'Grid_TheoreticalStock'!AP51</f>
        <v/>
      </c>
      <c r="AZ105" s="18">
        <f>'Grid_TheoreticalStock'!AQ51</f>
        <v/>
      </c>
      <c r="BA105" s="18">
        <f>'Grid_TheoreticalStock'!AR51</f>
        <v/>
      </c>
      <c r="BB105" s="18">
        <f>'Grid_TheoreticalStock'!AS51</f>
        <v/>
      </c>
      <c r="BC105" s="18">
        <f>'Grid_TheoreticalStock'!AT51</f>
        <v/>
      </c>
      <c r="BD105" s="18">
        <f>'Grid_TheoreticalStock'!AU51</f>
        <v/>
      </c>
      <c r="BE105" s="18">
        <f>'Grid_TheoreticalStock'!AV51</f>
        <v/>
      </c>
      <c r="BF105" s="18">
        <f>'Grid_TheoreticalStock'!AW51</f>
        <v/>
      </c>
      <c r="BG105" s="18">
        <f>'Grid_TheoreticalStock'!AX51</f>
        <v/>
      </c>
      <c r="BH105" s="18">
        <f>'Grid_TheoreticalStock'!AY51</f>
        <v/>
      </c>
      <c r="BI105" s="18">
        <f>'Grid_TheoreticalStock'!AZ51</f>
        <v/>
      </c>
      <c r="BJ105" s="18">
        <f>'Grid_TheoreticalStock'!BA51</f>
        <v/>
      </c>
      <c r="BK105" s="18">
        <f>'Grid_TheoreticalStock'!BB51</f>
        <v/>
      </c>
      <c r="BL105" s="18">
        <f>'Grid_TheoreticalStock'!BC51</f>
        <v/>
      </c>
      <c r="BM105" s="18">
        <f>'Grid_TheoreticalStock'!BD51</f>
        <v/>
      </c>
      <c r="BN105" s="18">
        <f>'Grid_TheoreticalStock'!BE51</f>
        <v/>
      </c>
      <c r="BO105" s="18">
        <f>'Grid_TheoreticalStock'!BF51</f>
        <v/>
      </c>
      <c r="BP105" s="18">
        <f>'Grid_TheoreticalStock'!BG51</f>
        <v/>
      </c>
      <c r="BQ105" s="18">
        <f>'Grid_TheoreticalStock'!BH51</f>
        <v/>
      </c>
      <c r="BR105" s="18">
        <f>'Grid_TheoreticalStock'!BI51</f>
        <v/>
      </c>
      <c r="BS105" s="18">
        <f>'Grid_TheoreticalStock'!BJ51</f>
        <v/>
      </c>
      <c r="BT105" s="18">
        <f>'Grid_TheoreticalStock'!BK51</f>
        <v/>
      </c>
      <c r="BU105" s="18">
        <f>'Grid_TheoreticalStock'!BL51</f>
        <v/>
      </c>
      <c r="BV105" s="18">
        <f>'Grid_TheoreticalStock'!BM51</f>
        <v/>
      </c>
      <c r="BW105" s="18">
        <f>'Grid_TheoreticalStock'!BN51</f>
        <v/>
      </c>
      <c r="BX105" s="18">
        <f>'Grid_TheoreticalStock'!BO51</f>
        <v/>
      </c>
      <c r="BY105" s="18">
        <f>'Grid_TheoreticalStock'!BP51</f>
        <v/>
      </c>
      <c r="BZ105" s="18">
        <f>'Grid_TheoreticalStock'!BQ51</f>
        <v/>
      </c>
      <c r="CA105" s="18">
        <f>'Grid_TheoreticalStock'!BR51</f>
        <v/>
      </c>
      <c r="CB105" s="18">
        <f>'Grid_TheoreticalStock'!BS51</f>
        <v/>
      </c>
      <c r="CC105" s="18">
        <f>'Grid_TheoreticalStock'!BT51</f>
        <v/>
      </c>
      <c r="CD105" s="18">
        <f>'Grid_TheoreticalStock'!BU51</f>
        <v/>
      </c>
      <c r="CE105" s="18">
        <f>'Grid_TheoreticalStock'!BV51</f>
        <v/>
      </c>
      <c r="CF105" s="18">
        <f>'Grid_TheoreticalStock'!BW51</f>
        <v/>
      </c>
      <c r="CG105" s="18">
        <f>'Grid_TheoreticalStock'!BX51</f>
        <v/>
      </c>
      <c r="CH105" s="18">
        <f>'Grid_TheoreticalStock'!BY51</f>
        <v/>
      </c>
      <c r="CI105" s="18">
        <f>'Grid_TheoreticalStock'!BZ51</f>
        <v/>
      </c>
      <c r="CJ105" s="18">
        <f>'Grid_TheoreticalStock'!CA51</f>
        <v/>
      </c>
      <c r="CK105" s="18">
        <f>'Grid_TheoreticalStock'!CB51</f>
        <v/>
      </c>
      <c r="CL105" s="18">
        <f>'Grid_TheoreticalStock'!CC51</f>
        <v/>
      </c>
      <c r="CM105" s="18">
        <f>'Grid_TheoreticalStock'!CD51</f>
        <v/>
      </c>
      <c r="CN105" s="18">
        <f>'Grid_TheoreticalStock'!CE51</f>
        <v/>
      </c>
      <c r="CO105" s="18">
        <f>'Grid_TheoreticalStock'!CF51</f>
        <v/>
      </c>
      <c r="CP105" s="18">
        <f>'Grid_TheoreticalStock'!CG51</f>
        <v/>
      </c>
      <c r="CQ105" s="18">
        <f>'Grid_TheoreticalStock'!CH51</f>
        <v/>
      </c>
      <c r="CR105" s="18">
        <f>'Grid_TheoreticalStock'!CI51</f>
        <v/>
      </c>
      <c r="CS105" s="18">
        <f>'Grid_TheoreticalStock'!CJ51</f>
        <v/>
      </c>
      <c r="CT105" s="18">
        <f>'Grid_TheoreticalStock'!CK51</f>
        <v/>
      </c>
      <c r="CU105" s="18">
        <f>'Grid_TheoreticalStock'!CL51</f>
        <v/>
      </c>
      <c r="CV105" s="18">
        <f>'Grid_TheoreticalStock'!CM51</f>
        <v/>
      </c>
      <c r="CW105" s="18">
        <f>'Grid_TheoreticalStock'!CN51</f>
        <v/>
      </c>
      <c r="CX105" s="18">
        <f>'Grid_TheoreticalStock'!CO51</f>
        <v/>
      </c>
      <c r="CY105" s="18">
        <f>'Grid_TheoreticalStock'!CP51</f>
        <v/>
      </c>
      <c r="CZ105" s="18">
        <f>'Grid_TheoreticalStock'!CQ51</f>
        <v/>
      </c>
      <c r="DA105" s="18">
        <f>'Grid_TheoreticalStock'!CR51</f>
        <v/>
      </c>
      <c r="DB105" s="18">
        <f>'Grid_TheoreticalStock'!CS51</f>
        <v/>
      </c>
      <c r="DC105" s="18">
        <f>'Grid_TheoreticalStock'!CT51</f>
        <v/>
      </c>
      <c r="DD105" s="18">
        <f>'Grid_TheoreticalStock'!CU51</f>
        <v/>
      </c>
      <c r="DE105" s="18">
        <f>'Grid_TheoreticalStock'!CV51</f>
        <v/>
      </c>
      <c r="DF105" s="18">
        <f>'Grid_TheoreticalStock'!CW51</f>
        <v/>
      </c>
      <c r="DG105" s="18">
        <f>'Grid_TheoreticalStock'!CX51</f>
        <v/>
      </c>
      <c r="DH105" s="18">
        <f>'Grid_TheoreticalStock'!CY51</f>
        <v/>
      </c>
      <c r="DI105" s="18">
        <f>'Grid_TheoreticalStock'!CZ51</f>
        <v/>
      </c>
      <c r="DJ105" s="18">
        <f>'Grid_TheoreticalStock'!DA51</f>
        <v/>
      </c>
    </row>
    <row r="106">
      <c r="A106" s="19" t="inlineStr">
        <is>
          <t>CHEM-1700</t>
        </is>
      </c>
      <c r="B106" s="19">
        <f>IFERROR(INDEX(M_RawMaterials[Description],MATCH($A106,M_RawMaterials[Part Name],0)),"")</f>
        <v/>
      </c>
      <c r="C106" s="19">
        <f>IFERROR(INDEX(M_RawMaterials[Category],MATCH($A106,M_RawMaterials[Part Name],0)),"")</f>
        <v/>
      </c>
      <c r="D106" s="19">
        <f>IFERROR(INDEX(M_RawMaterials[基準在庫下限_要入力],MATCH($A106,M_RawMaterials[Part Name],0)),0)</f>
        <v/>
      </c>
      <c r="E106" s="19">
        <f>IFERROR(INDEX(M_RawMaterials[基準在庫上限_要入力],MATCH($A106,M_RawMaterials[Part Name],0)),0)</f>
        <v/>
      </c>
      <c r="F106" s="19">
        <f>IFERROR(LOOKUP(2,1/('T_SelfStock'!$B$55:$DA$55&lt;&gt;""),'T_SelfStock'!$B$55:$DA$55),"")</f>
        <v/>
      </c>
      <c r="G106" s="19">
        <f>IFERROR(LOOKUP(2,1/('T_TTAFStock'!$B$55:$DA$55&lt;&gt;""),'T_TTAFStock'!$B$55:$DA$55),"")</f>
        <v/>
      </c>
      <c r="H106" s="19">
        <f>IFERROR(LOOKUP(2,1/('T_SelfStock'!$B$55:$DA$55&lt;&gt;""),'T_SelfStock'!$B$5:$DA$5),"")</f>
        <v/>
      </c>
      <c r="I106" s="20" t="inlineStr">
        <is>
          <t>実在庫</t>
        </is>
      </c>
      <c r="J106" s="19">
        <f>IFERROR(INDEX('Grid_Stock'!$A51:$DA51,1,LOOKUP(2,1/('T_SelfStock'!$B$55:$DA$55&lt;&gt;""),COLUMN('T_SelfStock'!$B$55:$DA$55)))-INDEX('Grid_TheoreticalStock'!$A51:$DA51,1,LOOKUP(2,1/('T_SelfStock'!$B$55:$DA$55&lt;&gt;""),COLUMN('T_SelfStock'!$B$55:$DA$55))),0)</f>
        <v/>
      </c>
      <c r="K106" s="19">
        <f>'Grid_Stock'!B51</f>
        <v/>
      </c>
      <c r="L106" s="19">
        <f>'Grid_Stock'!C51</f>
        <v/>
      </c>
      <c r="M106" s="19">
        <f>'Grid_Stock'!D51</f>
        <v/>
      </c>
      <c r="N106" s="19">
        <f>'Grid_Stock'!E51</f>
        <v/>
      </c>
      <c r="O106" s="19">
        <f>'Grid_Stock'!F51</f>
        <v/>
      </c>
      <c r="P106" s="19">
        <f>'Grid_Stock'!G51</f>
        <v/>
      </c>
      <c r="Q106" s="19">
        <f>'Grid_Stock'!H51</f>
        <v/>
      </c>
      <c r="R106" s="19">
        <f>'Grid_Stock'!I51</f>
        <v/>
      </c>
      <c r="S106" s="19">
        <f>'Grid_Stock'!J51</f>
        <v/>
      </c>
      <c r="T106" s="19">
        <f>'Grid_Stock'!K51</f>
        <v/>
      </c>
      <c r="U106" s="19">
        <f>'Grid_Stock'!L51</f>
        <v/>
      </c>
      <c r="V106" s="19">
        <f>'Grid_Stock'!M51</f>
        <v/>
      </c>
      <c r="W106" s="19">
        <f>'Grid_Stock'!N51</f>
        <v/>
      </c>
      <c r="X106" s="19">
        <f>'Grid_Stock'!O51</f>
        <v/>
      </c>
      <c r="Y106" s="19">
        <f>'Grid_Stock'!P51</f>
        <v/>
      </c>
      <c r="Z106" s="19">
        <f>'Grid_Stock'!Q51</f>
        <v/>
      </c>
      <c r="AA106" s="19">
        <f>'Grid_Stock'!R51</f>
        <v/>
      </c>
      <c r="AB106" s="19">
        <f>'Grid_Stock'!S51</f>
        <v/>
      </c>
      <c r="AC106" s="19">
        <f>'Grid_Stock'!T51</f>
        <v/>
      </c>
      <c r="AD106" s="19">
        <f>'Grid_Stock'!U51</f>
        <v/>
      </c>
      <c r="AE106" s="19">
        <f>'Grid_Stock'!V51</f>
        <v/>
      </c>
      <c r="AF106" s="19">
        <f>'Grid_Stock'!W51</f>
        <v/>
      </c>
      <c r="AG106" s="19">
        <f>'Grid_Stock'!X51</f>
        <v/>
      </c>
      <c r="AH106" s="19">
        <f>'Grid_Stock'!Y51</f>
        <v/>
      </c>
      <c r="AI106" s="19">
        <f>'Grid_Stock'!Z51</f>
        <v/>
      </c>
      <c r="AJ106" s="19">
        <f>'Grid_Stock'!AA51</f>
        <v/>
      </c>
      <c r="AK106" s="19">
        <f>'Grid_Stock'!AB51</f>
        <v/>
      </c>
      <c r="AL106" s="19">
        <f>'Grid_Stock'!AC51</f>
        <v/>
      </c>
      <c r="AM106" s="19">
        <f>'Grid_Stock'!AD51</f>
        <v/>
      </c>
      <c r="AN106" s="19">
        <f>'Grid_Stock'!AE51</f>
        <v/>
      </c>
      <c r="AO106" s="19">
        <f>'Grid_Stock'!AF51</f>
        <v/>
      </c>
      <c r="AP106" s="19">
        <f>'Grid_Stock'!AG51</f>
        <v/>
      </c>
      <c r="AQ106" s="19">
        <f>'Grid_Stock'!AH51</f>
        <v/>
      </c>
      <c r="AR106" s="19">
        <f>'Grid_Stock'!AI51</f>
        <v/>
      </c>
      <c r="AS106" s="19">
        <f>'Grid_Stock'!AJ51</f>
        <v/>
      </c>
      <c r="AT106" s="19">
        <f>'Grid_Stock'!AK51</f>
        <v/>
      </c>
      <c r="AU106" s="19">
        <f>'Grid_Stock'!AL51</f>
        <v/>
      </c>
      <c r="AV106" s="19">
        <f>'Grid_Stock'!AM51</f>
        <v/>
      </c>
      <c r="AW106" s="19">
        <f>'Grid_Stock'!AN51</f>
        <v/>
      </c>
      <c r="AX106" s="19">
        <f>'Grid_Stock'!AO51</f>
        <v/>
      </c>
      <c r="AY106" s="19">
        <f>'Grid_Stock'!AP51</f>
        <v/>
      </c>
      <c r="AZ106" s="19">
        <f>'Grid_Stock'!AQ51</f>
        <v/>
      </c>
      <c r="BA106" s="19">
        <f>'Grid_Stock'!AR51</f>
        <v/>
      </c>
      <c r="BB106" s="19">
        <f>'Grid_Stock'!AS51</f>
        <v/>
      </c>
      <c r="BC106" s="19">
        <f>'Grid_Stock'!AT51</f>
        <v/>
      </c>
      <c r="BD106" s="19">
        <f>'Grid_Stock'!AU51</f>
        <v/>
      </c>
      <c r="BE106" s="19">
        <f>'Grid_Stock'!AV51</f>
        <v/>
      </c>
      <c r="BF106" s="19">
        <f>'Grid_Stock'!AW51</f>
        <v/>
      </c>
      <c r="BG106" s="19">
        <f>'Grid_Stock'!AX51</f>
        <v/>
      </c>
      <c r="BH106" s="19">
        <f>'Grid_Stock'!AY51</f>
        <v/>
      </c>
      <c r="BI106" s="19">
        <f>'Grid_Stock'!AZ51</f>
        <v/>
      </c>
      <c r="BJ106" s="19">
        <f>'Grid_Stock'!BA51</f>
        <v/>
      </c>
      <c r="BK106" s="19">
        <f>'Grid_Stock'!BB51</f>
        <v/>
      </c>
      <c r="BL106" s="19">
        <f>'Grid_Stock'!BC51</f>
        <v/>
      </c>
      <c r="BM106" s="19">
        <f>'Grid_Stock'!BD51</f>
        <v/>
      </c>
      <c r="BN106" s="19">
        <f>'Grid_Stock'!BE51</f>
        <v/>
      </c>
      <c r="BO106" s="19">
        <f>'Grid_Stock'!BF51</f>
        <v/>
      </c>
      <c r="BP106" s="19">
        <f>'Grid_Stock'!BG51</f>
        <v/>
      </c>
      <c r="BQ106" s="19">
        <f>'Grid_Stock'!BH51</f>
        <v/>
      </c>
      <c r="BR106" s="19">
        <f>'Grid_Stock'!BI51</f>
        <v/>
      </c>
      <c r="BS106" s="19">
        <f>'Grid_Stock'!BJ51</f>
        <v/>
      </c>
      <c r="BT106" s="19">
        <f>'Grid_Stock'!BK51</f>
        <v/>
      </c>
      <c r="BU106" s="19">
        <f>'Grid_Stock'!BL51</f>
        <v/>
      </c>
      <c r="BV106" s="19">
        <f>'Grid_Stock'!BM51</f>
        <v/>
      </c>
      <c r="BW106" s="19">
        <f>'Grid_Stock'!BN51</f>
        <v/>
      </c>
      <c r="BX106" s="19">
        <f>'Grid_Stock'!BO51</f>
        <v/>
      </c>
      <c r="BY106" s="19">
        <f>'Grid_Stock'!BP51</f>
        <v/>
      </c>
      <c r="BZ106" s="19">
        <f>'Grid_Stock'!BQ51</f>
        <v/>
      </c>
      <c r="CA106" s="19">
        <f>'Grid_Stock'!BR51</f>
        <v/>
      </c>
      <c r="CB106" s="19">
        <f>'Grid_Stock'!BS51</f>
        <v/>
      </c>
      <c r="CC106" s="19">
        <f>'Grid_Stock'!BT51</f>
        <v/>
      </c>
      <c r="CD106" s="19">
        <f>'Grid_Stock'!BU51</f>
        <v/>
      </c>
      <c r="CE106" s="19">
        <f>'Grid_Stock'!BV51</f>
        <v/>
      </c>
      <c r="CF106" s="19">
        <f>'Grid_Stock'!BW51</f>
        <v/>
      </c>
      <c r="CG106" s="19">
        <f>'Grid_Stock'!BX51</f>
        <v/>
      </c>
      <c r="CH106" s="19">
        <f>'Grid_Stock'!BY51</f>
        <v/>
      </c>
      <c r="CI106" s="19">
        <f>'Grid_Stock'!BZ51</f>
        <v/>
      </c>
      <c r="CJ106" s="19">
        <f>'Grid_Stock'!CA51</f>
        <v/>
      </c>
      <c r="CK106" s="19">
        <f>'Grid_Stock'!CB51</f>
        <v/>
      </c>
      <c r="CL106" s="19">
        <f>'Grid_Stock'!CC51</f>
        <v/>
      </c>
      <c r="CM106" s="19">
        <f>'Grid_Stock'!CD51</f>
        <v/>
      </c>
      <c r="CN106" s="19">
        <f>'Grid_Stock'!CE51</f>
        <v/>
      </c>
      <c r="CO106" s="19">
        <f>'Grid_Stock'!CF51</f>
        <v/>
      </c>
      <c r="CP106" s="19">
        <f>'Grid_Stock'!CG51</f>
        <v/>
      </c>
      <c r="CQ106" s="19">
        <f>'Grid_Stock'!CH51</f>
        <v/>
      </c>
      <c r="CR106" s="19">
        <f>'Grid_Stock'!CI51</f>
        <v/>
      </c>
      <c r="CS106" s="19">
        <f>'Grid_Stock'!CJ51</f>
        <v/>
      </c>
      <c r="CT106" s="19">
        <f>'Grid_Stock'!CK51</f>
        <v/>
      </c>
      <c r="CU106" s="19">
        <f>'Grid_Stock'!CL51</f>
        <v/>
      </c>
      <c r="CV106" s="19">
        <f>'Grid_Stock'!CM51</f>
        <v/>
      </c>
      <c r="CW106" s="19">
        <f>'Grid_Stock'!CN51</f>
        <v/>
      </c>
      <c r="CX106" s="19">
        <f>'Grid_Stock'!CO51</f>
        <v/>
      </c>
      <c r="CY106" s="19">
        <f>'Grid_Stock'!CP51</f>
        <v/>
      </c>
      <c r="CZ106" s="19">
        <f>'Grid_Stock'!CQ51</f>
        <v/>
      </c>
      <c r="DA106" s="19">
        <f>'Grid_Stock'!CR51</f>
        <v/>
      </c>
      <c r="DB106" s="19">
        <f>'Grid_Stock'!CS51</f>
        <v/>
      </c>
      <c r="DC106" s="19">
        <f>'Grid_Stock'!CT51</f>
        <v/>
      </c>
      <c r="DD106" s="19">
        <f>'Grid_Stock'!CU51</f>
        <v/>
      </c>
      <c r="DE106" s="19">
        <f>'Grid_Stock'!CV51</f>
        <v/>
      </c>
      <c r="DF106" s="19">
        <f>'Grid_Stock'!CW51</f>
        <v/>
      </c>
      <c r="DG106" s="19">
        <f>'Grid_Stock'!CX51</f>
        <v/>
      </c>
      <c r="DH106" s="19">
        <f>'Grid_Stock'!CY51</f>
        <v/>
      </c>
      <c r="DI106" s="19">
        <f>'Grid_Stock'!CZ51</f>
        <v/>
      </c>
      <c r="DJ106" s="19">
        <f>'Grid_Stock'!DA51</f>
        <v/>
      </c>
    </row>
    <row r="107">
      <c r="A107" s="17" t="inlineStr">
        <is>
          <t>CHEM-1850</t>
        </is>
      </c>
      <c r="B107" s="17">
        <f>IFERROR(INDEX(M_RawMaterials[Description],MATCH($A107,M_RawMaterials[Part Name],0)),"")</f>
        <v/>
      </c>
      <c r="C107" s="17">
        <f>IFERROR(INDEX(M_RawMaterials[Category],MATCH($A107,M_RawMaterials[Part Name],0)),"")</f>
        <v/>
      </c>
      <c r="D107" s="17">
        <f>IFERROR(INDEX(M_RawMaterials[基準在庫下限_要入力],MATCH($A107,M_RawMaterials[Part Name],0)),0)</f>
        <v/>
      </c>
      <c r="E107" s="17">
        <f>IFERROR(INDEX(M_RawMaterials[基準在庫上限_要入力],MATCH($A107,M_RawMaterials[Part Name],0)),0)</f>
        <v/>
      </c>
      <c r="F107" s="17">
        <f>IFERROR(LOOKUP(2,1/('T_SelfStock'!$B$56:$DA$56&lt;&gt;""),'T_SelfStock'!$B$56:$DA$56),"")</f>
        <v/>
      </c>
      <c r="G107" s="17">
        <f>IFERROR(LOOKUP(2,1/('T_TTAFStock'!$B$56:$DA$56&lt;&gt;""),'T_TTAFStock'!$B$56:$DA$56),"")</f>
        <v/>
      </c>
      <c r="H107" s="17">
        <f>IFERROR(LOOKUP(2,1/('T_SelfStock'!$B$56:$DA$56&lt;&gt;""),'T_SelfStock'!$B$5:$DA$5),"")</f>
        <v/>
      </c>
      <c r="I107" s="18" t="inlineStr">
        <is>
          <t>理論在庫</t>
        </is>
      </c>
      <c r="J107" s="17">
        <f>IFERROR(INDEX('Grid_Stock'!$A52:$DA52,1,LOOKUP(2,1/('T_SelfStock'!$B$56:$DA$56&lt;&gt;""),COLUMN('T_SelfStock'!$B$56:$DA$56)))-INDEX('Grid_TheoreticalStock'!$A52:$DA52,1,LOOKUP(2,1/('T_SelfStock'!$B$56:$DA$56&lt;&gt;""),COLUMN('T_SelfStock'!$B$56:$DA$56))),0)</f>
        <v/>
      </c>
      <c r="K107" s="18">
        <f>'Grid_TheoreticalStock'!B52</f>
        <v/>
      </c>
      <c r="L107" s="18">
        <f>'Grid_TheoreticalStock'!C52</f>
        <v/>
      </c>
      <c r="M107" s="18">
        <f>'Grid_TheoreticalStock'!D52</f>
        <v/>
      </c>
      <c r="N107" s="18">
        <f>'Grid_TheoreticalStock'!E52</f>
        <v/>
      </c>
      <c r="O107" s="18">
        <f>'Grid_TheoreticalStock'!F52</f>
        <v/>
      </c>
      <c r="P107" s="18">
        <f>'Grid_TheoreticalStock'!G52</f>
        <v/>
      </c>
      <c r="Q107" s="18">
        <f>'Grid_TheoreticalStock'!H52</f>
        <v/>
      </c>
      <c r="R107" s="18">
        <f>'Grid_TheoreticalStock'!I52</f>
        <v/>
      </c>
      <c r="S107" s="18">
        <f>'Grid_TheoreticalStock'!J52</f>
        <v/>
      </c>
      <c r="T107" s="18">
        <f>'Grid_TheoreticalStock'!K52</f>
        <v/>
      </c>
      <c r="U107" s="18">
        <f>'Grid_TheoreticalStock'!L52</f>
        <v/>
      </c>
      <c r="V107" s="18">
        <f>'Grid_TheoreticalStock'!M52</f>
        <v/>
      </c>
      <c r="W107" s="18">
        <f>'Grid_TheoreticalStock'!N52</f>
        <v/>
      </c>
      <c r="X107" s="18">
        <f>'Grid_TheoreticalStock'!O52</f>
        <v/>
      </c>
      <c r="Y107" s="18">
        <f>'Grid_TheoreticalStock'!P52</f>
        <v/>
      </c>
      <c r="Z107" s="18">
        <f>'Grid_TheoreticalStock'!Q52</f>
        <v/>
      </c>
      <c r="AA107" s="18">
        <f>'Grid_TheoreticalStock'!R52</f>
        <v/>
      </c>
      <c r="AB107" s="18">
        <f>'Grid_TheoreticalStock'!S52</f>
        <v/>
      </c>
      <c r="AC107" s="18">
        <f>'Grid_TheoreticalStock'!T52</f>
        <v/>
      </c>
      <c r="AD107" s="18">
        <f>'Grid_TheoreticalStock'!U52</f>
        <v/>
      </c>
      <c r="AE107" s="18">
        <f>'Grid_TheoreticalStock'!V52</f>
        <v/>
      </c>
      <c r="AF107" s="18">
        <f>'Grid_TheoreticalStock'!W52</f>
        <v/>
      </c>
      <c r="AG107" s="18">
        <f>'Grid_TheoreticalStock'!X52</f>
        <v/>
      </c>
      <c r="AH107" s="18">
        <f>'Grid_TheoreticalStock'!Y52</f>
        <v/>
      </c>
      <c r="AI107" s="18">
        <f>'Grid_TheoreticalStock'!Z52</f>
        <v/>
      </c>
      <c r="AJ107" s="18">
        <f>'Grid_TheoreticalStock'!AA52</f>
        <v/>
      </c>
      <c r="AK107" s="18">
        <f>'Grid_TheoreticalStock'!AB52</f>
        <v/>
      </c>
      <c r="AL107" s="18">
        <f>'Grid_TheoreticalStock'!AC52</f>
        <v/>
      </c>
      <c r="AM107" s="18">
        <f>'Grid_TheoreticalStock'!AD52</f>
        <v/>
      </c>
      <c r="AN107" s="18">
        <f>'Grid_TheoreticalStock'!AE52</f>
        <v/>
      </c>
      <c r="AO107" s="18">
        <f>'Grid_TheoreticalStock'!AF52</f>
        <v/>
      </c>
      <c r="AP107" s="18">
        <f>'Grid_TheoreticalStock'!AG52</f>
        <v/>
      </c>
      <c r="AQ107" s="18">
        <f>'Grid_TheoreticalStock'!AH52</f>
        <v/>
      </c>
      <c r="AR107" s="18">
        <f>'Grid_TheoreticalStock'!AI52</f>
        <v/>
      </c>
      <c r="AS107" s="18">
        <f>'Grid_TheoreticalStock'!AJ52</f>
        <v/>
      </c>
      <c r="AT107" s="18">
        <f>'Grid_TheoreticalStock'!AK52</f>
        <v/>
      </c>
      <c r="AU107" s="18">
        <f>'Grid_TheoreticalStock'!AL52</f>
        <v/>
      </c>
      <c r="AV107" s="18">
        <f>'Grid_TheoreticalStock'!AM52</f>
        <v/>
      </c>
      <c r="AW107" s="18">
        <f>'Grid_TheoreticalStock'!AN52</f>
        <v/>
      </c>
      <c r="AX107" s="18">
        <f>'Grid_TheoreticalStock'!AO52</f>
        <v/>
      </c>
      <c r="AY107" s="18">
        <f>'Grid_TheoreticalStock'!AP52</f>
        <v/>
      </c>
      <c r="AZ107" s="18">
        <f>'Grid_TheoreticalStock'!AQ52</f>
        <v/>
      </c>
      <c r="BA107" s="18">
        <f>'Grid_TheoreticalStock'!AR52</f>
        <v/>
      </c>
      <c r="BB107" s="18">
        <f>'Grid_TheoreticalStock'!AS52</f>
        <v/>
      </c>
      <c r="BC107" s="18">
        <f>'Grid_TheoreticalStock'!AT52</f>
        <v/>
      </c>
      <c r="BD107" s="18">
        <f>'Grid_TheoreticalStock'!AU52</f>
        <v/>
      </c>
      <c r="BE107" s="18">
        <f>'Grid_TheoreticalStock'!AV52</f>
        <v/>
      </c>
      <c r="BF107" s="18">
        <f>'Grid_TheoreticalStock'!AW52</f>
        <v/>
      </c>
      <c r="BG107" s="18">
        <f>'Grid_TheoreticalStock'!AX52</f>
        <v/>
      </c>
      <c r="BH107" s="18">
        <f>'Grid_TheoreticalStock'!AY52</f>
        <v/>
      </c>
      <c r="BI107" s="18">
        <f>'Grid_TheoreticalStock'!AZ52</f>
        <v/>
      </c>
      <c r="BJ107" s="18">
        <f>'Grid_TheoreticalStock'!BA52</f>
        <v/>
      </c>
      <c r="BK107" s="18">
        <f>'Grid_TheoreticalStock'!BB52</f>
        <v/>
      </c>
      <c r="BL107" s="18">
        <f>'Grid_TheoreticalStock'!BC52</f>
        <v/>
      </c>
      <c r="BM107" s="18">
        <f>'Grid_TheoreticalStock'!BD52</f>
        <v/>
      </c>
      <c r="BN107" s="18">
        <f>'Grid_TheoreticalStock'!BE52</f>
        <v/>
      </c>
      <c r="BO107" s="18">
        <f>'Grid_TheoreticalStock'!BF52</f>
        <v/>
      </c>
      <c r="BP107" s="18">
        <f>'Grid_TheoreticalStock'!BG52</f>
        <v/>
      </c>
      <c r="BQ107" s="18">
        <f>'Grid_TheoreticalStock'!BH52</f>
        <v/>
      </c>
      <c r="BR107" s="18">
        <f>'Grid_TheoreticalStock'!BI52</f>
        <v/>
      </c>
      <c r="BS107" s="18">
        <f>'Grid_TheoreticalStock'!BJ52</f>
        <v/>
      </c>
      <c r="BT107" s="18">
        <f>'Grid_TheoreticalStock'!BK52</f>
        <v/>
      </c>
      <c r="BU107" s="18">
        <f>'Grid_TheoreticalStock'!BL52</f>
        <v/>
      </c>
      <c r="BV107" s="18">
        <f>'Grid_TheoreticalStock'!BM52</f>
        <v/>
      </c>
      <c r="BW107" s="18">
        <f>'Grid_TheoreticalStock'!BN52</f>
        <v/>
      </c>
      <c r="BX107" s="18">
        <f>'Grid_TheoreticalStock'!BO52</f>
        <v/>
      </c>
      <c r="BY107" s="18">
        <f>'Grid_TheoreticalStock'!BP52</f>
        <v/>
      </c>
      <c r="BZ107" s="18">
        <f>'Grid_TheoreticalStock'!BQ52</f>
        <v/>
      </c>
      <c r="CA107" s="18">
        <f>'Grid_TheoreticalStock'!BR52</f>
        <v/>
      </c>
      <c r="CB107" s="18">
        <f>'Grid_TheoreticalStock'!BS52</f>
        <v/>
      </c>
      <c r="CC107" s="18">
        <f>'Grid_TheoreticalStock'!BT52</f>
        <v/>
      </c>
      <c r="CD107" s="18">
        <f>'Grid_TheoreticalStock'!BU52</f>
        <v/>
      </c>
      <c r="CE107" s="18">
        <f>'Grid_TheoreticalStock'!BV52</f>
        <v/>
      </c>
      <c r="CF107" s="18">
        <f>'Grid_TheoreticalStock'!BW52</f>
        <v/>
      </c>
      <c r="CG107" s="18">
        <f>'Grid_TheoreticalStock'!BX52</f>
        <v/>
      </c>
      <c r="CH107" s="18">
        <f>'Grid_TheoreticalStock'!BY52</f>
        <v/>
      </c>
      <c r="CI107" s="18">
        <f>'Grid_TheoreticalStock'!BZ52</f>
        <v/>
      </c>
      <c r="CJ107" s="18">
        <f>'Grid_TheoreticalStock'!CA52</f>
        <v/>
      </c>
      <c r="CK107" s="18">
        <f>'Grid_TheoreticalStock'!CB52</f>
        <v/>
      </c>
      <c r="CL107" s="18">
        <f>'Grid_TheoreticalStock'!CC52</f>
        <v/>
      </c>
      <c r="CM107" s="18">
        <f>'Grid_TheoreticalStock'!CD52</f>
        <v/>
      </c>
      <c r="CN107" s="18">
        <f>'Grid_TheoreticalStock'!CE52</f>
        <v/>
      </c>
      <c r="CO107" s="18">
        <f>'Grid_TheoreticalStock'!CF52</f>
        <v/>
      </c>
      <c r="CP107" s="18">
        <f>'Grid_TheoreticalStock'!CG52</f>
        <v/>
      </c>
      <c r="CQ107" s="18">
        <f>'Grid_TheoreticalStock'!CH52</f>
        <v/>
      </c>
      <c r="CR107" s="18">
        <f>'Grid_TheoreticalStock'!CI52</f>
        <v/>
      </c>
      <c r="CS107" s="18">
        <f>'Grid_TheoreticalStock'!CJ52</f>
        <v/>
      </c>
      <c r="CT107" s="18">
        <f>'Grid_TheoreticalStock'!CK52</f>
        <v/>
      </c>
      <c r="CU107" s="18">
        <f>'Grid_TheoreticalStock'!CL52</f>
        <v/>
      </c>
      <c r="CV107" s="18">
        <f>'Grid_TheoreticalStock'!CM52</f>
        <v/>
      </c>
      <c r="CW107" s="18">
        <f>'Grid_TheoreticalStock'!CN52</f>
        <v/>
      </c>
      <c r="CX107" s="18">
        <f>'Grid_TheoreticalStock'!CO52</f>
        <v/>
      </c>
      <c r="CY107" s="18">
        <f>'Grid_TheoreticalStock'!CP52</f>
        <v/>
      </c>
      <c r="CZ107" s="18">
        <f>'Grid_TheoreticalStock'!CQ52</f>
        <v/>
      </c>
      <c r="DA107" s="18">
        <f>'Grid_TheoreticalStock'!CR52</f>
        <v/>
      </c>
      <c r="DB107" s="18">
        <f>'Grid_TheoreticalStock'!CS52</f>
        <v/>
      </c>
      <c r="DC107" s="18">
        <f>'Grid_TheoreticalStock'!CT52</f>
        <v/>
      </c>
      <c r="DD107" s="18">
        <f>'Grid_TheoreticalStock'!CU52</f>
        <v/>
      </c>
      <c r="DE107" s="18">
        <f>'Grid_TheoreticalStock'!CV52</f>
        <v/>
      </c>
      <c r="DF107" s="18">
        <f>'Grid_TheoreticalStock'!CW52</f>
        <v/>
      </c>
      <c r="DG107" s="18">
        <f>'Grid_TheoreticalStock'!CX52</f>
        <v/>
      </c>
      <c r="DH107" s="18">
        <f>'Grid_TheoreticalStock'!CY52</f>
        <v/>
      </c>
      <c r="DI107" s="18">
        <f>'Grid_TheoreticalStock'!CZ52</f>
        <v/>
      </c>
      <c r="DJ107" s="18">
        <f>'Grid_TheoreticalStock'!DA52</f>
        <v/>
      </c>
    </row>
    <row r="108">
      <c r="A108" s="19" t="inlineStr">
        <is>
          <t>CHEM-1850</t>
        </is>
      </c>
      <c r="B108" s="19">
        <f>IFERROR(INDEX(M_RawMaterials[Description],MATCH($A108,M_RawMaterials[Part Name],0)),"")</f>
        <v/>
      </c>
      <c r="C108" s="19">
        <f>IFERROR(INDEX(M_RawMaterials[Category],MATCH($A108,M_RawMaterials[Part Name],0)),"")</f>
        <v/>
      </c>
      <c r="D108" s="19">
        <f>IFERROR(INDEX(M_RawMaterials[基準在庫下限_要入力],MATCH($A108,M_RawMaterials[Part Name],0)),0)</f>
        <v/>
      </c>
      <c r="E108" s="19">
        <f>IFERROR(INDEX(M_RawMaterials[基準在庫上限_要入力],MATCH($A108,M_RawMaterials[Part Name],0)),0)</f>
        <v/>
      </c>
      <c r="F108" s="19">
        <f>IFERROR(LOOKUP(2,1/('T_SelfStock'!$B$56:$DA$56&lt;&gt;""),'T_SelfStock'!$B$56:$DA$56),"")</f>
        <v/>
      </c>
      <c r="G108" s="19">
        <f>IFERROR(LOOKUP(2,1/('T_TTAFStock'!$B$56:$DA$56&lt;&gt;""),'T_TTAFStock'!$B$56:$DA$56),"")</f>
        <v/>
      </c>
      <c r="H108" s="19">
        <f>IFERROR(LOOKUP(2,1/('T_SelfStock'!$B$56:$DA$56&lt;&gt;""),'T_SelfStock'!$B$5:$DA$5),"")</f>
        <v/>
      </c>
      <c r="I108" s="20" t="inlineStr">
        <is>
          <t>実在庫</t>
        </is>
      </c>
      <c r="J108" s="19">
        <f>IFERROR(INDEX('Grid_Stock'!$A52:$DA52,1,LOOKUP(2,1/('T_SelfStock'!$B$56:$DA$56&lt;&gt;""),COLUMN('T_SelfStock'!$B$56:$DA$56)))-INDEX('Grid_TheoreticalStock'!$A52:$DA52,1,LOOKUP(2,1/('T_SelfStock'!$B$56:$DA$56&lt;&gt;""),COLUMN('T_SelfStock'!$B$56:$DA$56))),0)</f>
        <v/>
      </c>
      <c r="K108" s="19">
        <f>'Grid_Stock'!B52</f>
        <v/>
      </c>
      <c r="L108" s="19">
        <f>'Grid_Stock'!C52</f>
        <v/>
      </c>
      <c r="M108" s="19">
        <f>'Grid_Stock'!D52</f>
        <v/>
      </c>
      <c r="N108" s="19">
        <f>'Grid_Stock'!E52</f>
        <v/>
      </c>
      <c r="O108" s="19">
        <f>'Grid_Stock'!F52</f>
        <v/>
      </c>
      <c r="P108" s="19">
        <f>'Grid_Stock'!G52</f>
        <v/>
      </c>
      <c r="Q108" s="19">
        <f>'Grid_Stock'!H52</f>
        <v/>
      </c>
      <c r="R108" s="19">
        <f>'Grid_Stock'!I52</f>
        <v/>
      </c>
      <c r="S108" s="19">
        <f>'Grid_Stock'!J52</f>
        <v/>
      </c>
      <c r="T108" s="19">
        <f>'Grid_Stock'!K52</f>
        <v/>
      </c>
      <c r="U108" s="19">
        <f>'Grid_Stock'!L52</f>
        <v/>
      </c>
      <c r="V108" s="19">
        <f>'Grid_Stock'!M52</f>
        <v/>
      </c>
      <c r="W108" s="19">
        <f>'Grid_Stock'!N52</f>
        <v/>
      </c>
      <c r="X108" s="19">
        <f>'Grid_Stock'!O52</f>
        <v/>
      </c>
      <c r="Y108" s="19">
        <f>'Grid_Stock'!P52</f>
        <v/>
      </c>
      <c r="Z108" s="19">
        <f>'Grid_Stock'!Q52</f>
        <v/>
      </c>
      <c r="AA108" s="19">
        <f>'Grid_Stock'!R52</f>
        <v/>
      </c>
      <c r="AB108" s="19">
        <f>'Grid_Stock'!S52</f>
        <v/>
      </c>
      <c r="AC108" s="19">
        <f>'Grid_Stock'!T52</f>
        <v/>
      </c>
      <c r="AD108" s="19">
        <f>'Grid_Stock'!U52</f>
        <v/>
      </c>
      <c r="AE108" s="19">
        <f>'Grid_Stock'!V52</f>
        <v/>
      </c>
      <c r="AF108" s="19">
        <f>'Grid_Stock'!W52</f>
        <v/>
      </c>
      <c r="AG108" s="19">
        <f>'Grid_Stock'!X52</f>
        <v/>
      </c>
      <c r="AH108" s="19">
        <f>'Grid_Stock'!Y52</f>
        <v/>
      </c>
      <c r="AI108" s="19">
        <f>'Grid_Stock'!Z52</f>
        <v/>
      </c>
      <c r="AJ108" s="19">
        <f>'Grid_Stock'!AA52</f>
        <v/>
      </c>
      <c r="AK108" s="19">
        <f>'Grid_Stock'!AB52</f>
        <v/>
      </c>
      <c r="AL108" s="19">
        <f>'Grid_Stock'!AC52</f>
        <v/>
      </c>
      <c r="AM108" s="19">
        <f>'Grid_Stock'!AD52</f>
        <v/>
      </c>
      <c r="AN108" s="19">
        <f>'Grid_Stock'!AE52</f>
        <v/>
      </c>
      <c r="AO108" s="19">
        <f>'Grid_Stock'!AF52</f>
        <v/>
      </c>
      <c r="AP108" s="19">
        <f>'Grid_Stock'!AG52</f>
        <v/>
      </c>
      <c r="AQ108" s="19">
        <f>'Grid_Stock'!AH52</f>
        <v/>
      </c>
      <c r="AR108" s="19">
        <f>'Grid_Stock'!AI52</f>
        <v/>
      </c>
      <c r="AS108" s="19">
        <f>'Grid_Stock'!AJ52</f>
        <v/>
      </c>
      <c r="AT108" s="19">
        <f>'Grid_Stock'!AK52</f>
        <v/>
      </c>
      <c r="AU108" s="19">
        <f>'Grid_Stock'!AL52</f>
        <v/>
      </c>
      <c r="AV108" s="19">
        <f>'Grid_Stock'!AM52</f>
        <v/>
      </c>
      <c r="AW108" s="19">
        <f>'Grid_Stock'!AN52</f>
        <v/>
      </c>
      <c r="AX108" s="19">
        <f>'Grid_Stock'!AO52</f>
        <v/>
      </c>
      <c r="AY108" s="19">
        <f>'Grid_Stock'!AP52</f>
        <v/>
      </c>
      <c r="AZ108" s="19">
        <f>'Grid_Stock'!AQ52</f>
        <v/>
      </c>
      <c r="BA108" s="19">
        <f>'Grid_Stock'!AR52</f>
        <v/>
      </c>
      <c r="BB108" s="19">
        <f>'Grid_Stock'!AS52</f>
        <v/>
      </c>
      <c r="BC108" s="19">
        <f>'Grid_Stock'!AT52</f>
        <v/>
      </c>
      <c r="BD108" s="19">
        <f>'Grid_Stock'!AU52</f>
        <v/>
      </c>
      <c r="BE108" s="19">
        <f>'Grid_Stock'!AV52</f>
        <v/>
      </c>
      <c r="BF108" s="19">
        <f>'Grid_Stock'!AW52</f>
        <v/>
      </c>
      <c r="BG108" s="19">
        <f>'Grid_Stock'!AX52</f>
        <v/>
      </c>
      <c r="BH108" s="19">
        <f>'Grid_Stock'!AY52</f>
        <v/>
      </c>
      <c r="BI108" s="19">
        <f>'Grid_Stock'!AZ52</f>
        <v/>
      </c>
      <c r="BJ108" s="19">
        <f>'Grid_Stock'!BA52</f>
        <v/>
      </c>
      <c r="BK108" s="19">
        <f>'Grid_Stock'!BB52</f>
        <v/>
      </c>
      <c r="BL108" s="19">
        <f>'Grid_Stock'!BC52</f>
        <v/>
      </c>
      <c r="BM108" s="19">
        <f>'Grid_Stock'!BD52</f>
        <v/>
      </c>
      <c r="BN108" s="19">
        <f>'Grid_Stock'!BE52</f>
        <v/>
      </c>
      <c r="BO108" s="19">
        <f>'Grid_Stock'!BF52</f>
        <v/>
      </c>
      <c r="BP108" s="19">
        <f>'Grid_Stock'!BG52</f>
        <v/>
      </c>
      <c r="BQ108" s="19">
        <f>'Grid_Stock'!BH52</f>
        <v/>
      </c>
      <c r="BR108" s="19">
        <f>'Grid_Stock'!BI52</f>
        <v/>
      </c>
      <c r="BS108" s="19">
        <f>'Grid_Stock'!BJ52</f>
        <v/>
      </c>
      <c r="BT108" s="19">
        <f>'Grid_Stock'!BK52</f>
        <v/>
      </c>
      <c r="BU108" s="19">
        <f>'Grid_Stock'!BL52</f>
        <v/>
      </c>
      <c r="BV108" s="19">
        <f>'Grid_Stock'!BM52</f>
        <v/>
      </c>
      <c r="BW108" s="19">
        <f>'Grid_Stock'!BN52</f>
        <v/>
      </c>
      <c r="BX108" s="19">
        <f>'Grid_Stock'!BO52</f>
        <v/>
      </c>
      <c r="BY108" s="19">
        <f>'Grid_Stock'!BP52</f>
        <v/>
      </c>
      <c r="BZ108" s="19">
        <f>'Grid_Stock'!BQ52</f>
        <v/>
      </c>
      <c r="CA108" s="19">
        <f>'Grid_Stock'!BR52</f>
        <v/>
      </c>
      <c r="CB108" s="19">
        <f>'Grid_Stock'!BS52</f>
        <v/>
      </c>
      <c r="CC108" s="19">
        <f>'Grid_Stock'!BT52</f>
        <v/>
      </c>
      <c r="CD108" s="19">
        <f>'Grid_Stock'!BU52</f>
        <v/>
      </c>
      <c r="CE108" s="19">
        <f>'Grid_Stock'!BV52</f>
        <v/>
      </c>
      <c r="CF108" s="19">
        <f>'Grid_Stock'!BW52</f>
        <v/>
      </c>
      <c r="CG108" s="19">
        <f>'Grid_Stock'!BX52</f>
        <v/>
      </c>
      <c r="CH108" s="19">
        <f>'Grid_Stock'!BY52</f>
        <v/>
      </c>
      <c r="CI108" s="19">
        <f>'Grid_Stock'!BZ52</f>
        <v/>
      </c>
      <c r="CJ108" s="19">
        <f>'Grid_Stock'!CA52</f>
        <v/>
      </c>
      <c r="CK108" s="19">
        <f>'Grid_Stock'!CB52</f>
        <v/>
      </c>
      <c r="CL108" s="19">
        <f>'Grid_Stock'!CC52</f>
        <v/>
      </c>
      <c r="CM108" s="19">
        <f>'Grid_Stock'!CD52</f>
        <v/>
      </c>
      <c r="CN108" s="19">
        <f>'Grid_Stock'!CE52</f>
        <v/>
      </c>
      <c r="CO108" s="19">
        <f>'Grid_Stock'!CF52</f>
        <v/>
      </c>
      <c r="CP108" s="19">
        <f>'Grid_Stock'!CG52</f>
        <v/>
      </c>
      <c r="CQ108" s="19">
        <f>'Grid_Stock'!CH52</f>
        <v/>
      </c>
      <c r="CR108" s="19">
        <f>'Grid_Stock'!CI52</f>
        <v/>
      </c>
      <c r="CS108" s="19">
        <f>'Grid_Stock'!CJ52</f>
        <v/>
      </c>
      <c r="CT108" s="19">
        <f>'Grid_Stock'!CK52</f>
        <v/>
      </c>
      <c r="CU108" s="19">
        <f>'Grid_Stock'!CL52</f>
        <v/>
      </c>
      <c r="CV108" s="19">
        <f>'Grid_Stock'!CM52</f>
        <v/>
      </c>
      <c r="CW108" s="19">
        <f>'Grid_Stock'!CN52</f>
        <v/>
      </c>
      <c r="CX108" s="19">
        <f>'Grid_Stock'!CO52</f>
        <v/>
      </c>
      <c r="CY108" s="19">
        <f>'Grid_Stock'!CP52</f>
        <v/>
      </c>
      <c r="CZ108" s="19">
        <f>'Grid_Stock'!CQ52</f>
        <v/>
      </c>
      <c r="DA108" s="19">
        <f>'Grid_Stock'!CR52</f>
        <v/>
      </c>
      <c r="DB108" s="19">
        <f>'Grid_Stock'!CS52</f>
        <v/>
      </c>
      <c r="DC108" s="19">
        <f>'Grid_Stock'!CT52</f>
        <v/>
      </c>
      <c r="DD108" s="19">
        <f>'Grid_Stock'!CU52</f>
        <v/>
      </c>
      <c r="DE108" s="19">
        <f>'Grid_Stock'!CV52</f>
        <v/>
      </c>
      <c r="DF108" s="19">
        <f>'Grid_Stock'!CW52</f>
        <v/>
      </c>
      <c r="DG108" s="19">
        <f>'Grid_Stock'!CX52</f>
        <v/>
      </c>
      <c r="DH108" s="19">
        <f>'Grid_Stock'!CY52</f>
        <v/>
      </c>
      <c r="DI108" s="19">
        <f>'Grid_Stock'!CZ52</f>
        <v/>
      </c>
      <c r="DJ108" s="19">
        <f>'Grid_Stock'!DA52</f>
        <v/>
      </c>
    </row>
    <row r="109">
      <c r="A109" s="17" t="inlineStr">
        <is>
          <t>18456-50041</t>
        </is>
      </c>
      <c r="B109" s="17">
        <f>IFERROR(INDEX(M_RawMaterials[Description],MATCH($A109,M_RawMaterials[Part Name],0)),"")</f>
        <v/>
      </c>
      <c r="C109" s="17">
        <f>IFERROR(INDEX(M_RawMaterials[Category],MATCH($A109,M_RawMaterials[Part Name],0)),"")</f>
        <v/>
      </c>
      <c r="D109" s="17">
        <f>IFERROR(INDEX(M_RawMaterials[基準在庫下限_要入力],MATCH($A109,M_RawMaterials[Part Name],0)),0)</f>
        <v/>
      </c>
      <c r="E109" s="17">
        <f>IFERROR(INDEX(M_RawMaterials[基準在庫上限_要入力],MATCH($A109,M_RawMaterials[Part Name],0)),0)</f>
        <v/>
      </c>
      <c r="F109" s="17">
        <f>IFERROR(LOOKUP(2,1/('T_SelfStock'!$B$57:$DA$57&lt;&gt;""),'T_SelfStock'!$B$57:$DA$57),"")</f>
        <v/>
      </c>
      <c r="G109" s="17">
        <f>IFERROR(LOOKUP(2,1/('T_TTAFStock'!$B$57:$DA$57&lt;&gt;""),'T_TTAFStock'!$B$57:$DA$57),"")</f>
        <v/>
      </c>
      <c r="H109" s="17">
        <f>IFERROR(LOOKUP(2,1/('T_SelfStock'!$B$57:$DA$57&lt;&gt;""),'T_SelfStock'!$B$5:$DA$5),"")</f>
        <v/>
      </c>
      <c r="I109" s="18" t="inlineStr">
        <is>
          <t>理論在庫</t>
        </is>
      </c>
      <c r="J109" s="17">
        <f>IFERROR(INDEX('Grid_Stock'!$A53:$DA53,1,LOOKUP(2,1/('T_SelfStock'!$B$57:$DA$57&lt;&gt;""),COLUMN('T_SelfStock'!$B$57:$DA$57)))-INDEX('Grid_TheoreticalStock'!$A53:$DA53,1,LOOKUP(2,1/('T_SelfStock'!$B$57:$DA$57&lt;&gt;""),COLUMN('T_SelfStock'!$B$57:$DA$57))),0)</f>
        <v/>
      </c>
      <c r="K109" s="18">
        <f>'Grid_TheoreticalStock'!B53</f>
        <v/>
      </c>
      <c r="L109" s="18">
        <f>'Grid_TheoreticalStock'!C53</f>
        <v/>
      </c>
      <c r="M109" s="18">
        <f>'Grid_TheoreticalStock'!D53</f>
        <v/>
      </c>
      <c r="N109" s="18">
        <f>'Grid_TheoreticalStock'!E53</f>
        <v/>
      </c>
      <c r="O109" s="18">
        <f>'Grid_TheoreticalStock'!F53</f>
        <v/>
      </c>
      <c r="P109" s="18">
        <f>'Grid_TheoreticalStock'!G53</f>
        <v/>
      </c>
      <c r="Q109" s="18">
        <f>'Grid_TheoreticalStock'!H53</f>
        <v/>
      </c>
      <c r="R109" s="18">
        <f>'Grid_TheoreticalStock'!I53</f>
        <v/>
      </c>
      <c r="S109" s="18">
        <f>'Grid_TheoreticalStock'!J53</f>
        <v/>
      </c>
      <c r="T109" s="18">
        <f>'Grid_TheoreticalStock'!K53</f>
        <v/>
      </c>
      <c r="U109" s="18">
        <f>'Grid_TheoreticalStock'!L53</f>
        <v/>
      </c>
      <c r="V109" s="18">
        <f>'Grid_TheoreticalStock'!M53</f>
        <v/>
      </c>
      <c r="W109" s="18">
        <f>'Grid_TheoreticalStock'!N53</f>
        <v/>
      </c>
      <c r="X109" s="18">
        <f>'Grid_TheoreticalStock'!O53</f>
        <v/>
      </c>
      <c r="Y109" s="18">
        <f>'Grid_TheoreticalStock'!P53</f>
        <v/>
      </c>
      <c r="Z109" s="18">
        <f>'Grid_TheoreticalStock'!Q53</f>
        <v/>
      </c>
      <c r="AA109" s="18">
        <f>'Grid_TheoreticalStock'!R53</f>
        <v/>
      </c>
      <c r="AB109" s="18">
        <f>'Grid_TheoreticalStock'!S53</f>
        <v/>
      </c>
      <c r="AC109" s="18">
        <f>'Grid_TheoreticalStock'!T53</f>
        <v/>
      </c>
      <c r="AD109" s="18">
        <f>'Grid_TheoreticalStock'!U53</f>
        <v/>
      </c>
      <c r="AE109" s="18">
        <f>'Grid_TheoreticalStock'!V53</f>
        <v/>
      </c>
      <c r="AF109" s="18">
        <f>'Grid_TheoreticalStock'!W53</f>
        <v/>
      </c>
      <c r="AG109" s="18">
        <f>'Grid_TheoreticalStock'!X53</f>
        <v/>
      </c>
      <c r="AH109" s="18">
        <f>'Grid_TheoreticalStock'!Y53</f>
        <v/>
      </c>
      <c r="AI109" s="18">
        <f>'Grid_TheoreticalStock'!Z53</f>
        <v/>
      </c>
      <c r="AJ109" s="18">
        <f>'Grid_TheoreticalStock'!AA53</f>
        <v/>
      </c>
      <c r="AK109" s="18">
        <f>'Grid_TheoreticalStock'!AB53</f>
        <v/>
      </c>
      <c r="AL109" s="18">
        <f>'Grid_TheoreticalStock'!AC53</f>
        <v/>
      </c>
      <c r="AM109" s="18">
        <f>'Grid_TheoreticalStock'!AD53</f>
        <v/>
      </c>
      <c r="AN109" s="18">
        <f>'Grid_TheoreticalStock'!AE53</f>
        <v/>
      </c>
      <c r="AO109" s="18">
        <f>'Grid_TheoreticalStock'!AF53</f>
        <v/>
      </c>
      <c r="AP109" s="18">
        <f>'Grid_TheoreticalStock'!AG53</f>
        <v/>
      </c>
      <c r="AQ109" s="18">
        <f>'Grid_TheoreticalStock'!AH53</f>
        <v/>
      </c>
      <c r="AR109" s="18">
        <f>'Grid_TheoreticalStock'!AI53</f>
        <v/>
      </c>
      <c r="AS109" s="18">
        <f>'Grid_TheoreticalStock'!AJ53</f>
        <v/>
      </c>
      <c r="AT109" s="18">
        <f>'Grid_TheoreticalStock'!AK53</f>
        <v/>
      </c>
      <c r="AU109" s="18">
        <f>'Grid_TheoreticalStock'!AL53</f>
        <v/>
      </c>
      <c r="AV109" s="18">
        <f>'Grid_TheoreticalStock'!AM53</f>
        <v/>
      </c>
      <c r="AW109" s="18">
        <f>'Grid_TheoreticalStock'!AN53</f>
        <v/>
      </c>
      <c r="AX109" s="18">
        <f>'Grid_TheoreticalStock'!AO53</f>
        <v/>
      </c>
      <c r="AY109" s="18">
        <f>'Grid_TheoreticalStock'!AP53</f>
        <v/>
      </c>
      <c r="AZ109" s="18">
        <f>'Grid_TheoreticalStock'!AQ53</f>
        <v/>
      </c>
      <c r="BA109" s="18">
        <f>'Grid_TheoreticalStock'!AR53</f>
        <v/>
      </c>
      <c r="BB109" s="18">
        <f>'Grid_TheoreticalStock'!AS53</f>
        <v/>
      </c>
      <c r="BC109" s="18">
        <f>'Grid_TheoreticalStock'!AT53</f>
        <v/>
      </c>
      <c r="BD109" s="18">
        <f>'Grid_TheoreticalStock'!AU53</f>
        <v/>
      </c>
      <c r="BE109" s="18">
        <f>'Grid_TheoreticalStock'!AV53</f>
        <v/>
      </c>
      <c r="BF109" s="18">
        <f>'Grid_TheoreticalStock'!AW53</f>
        <v/>
      </c>
      <c r="BG109" s="18">
        <f>'Grid_TheoreticalStock'!AX53</f>
        <v/>
      </c>
      <c r="BH109" s="18">
        <f>'Grid_TheoreticalStock'!AY53</f>
        <v/>
      </c>
      <c r="BI109" s="18">
        <f>'Grid_TheoreticalStock'!AZ53</f>
        <v/>
      </c>
      <c r="BJ109" s="18">
        <f>'Grid_TheoreticalStock'!BA53</f>
        <v/>
      </c>
      <c r="BK109" s="18">
        <f>'Grid_TheoreticalStock'!BB53</f>
        <v/>
      </c>
      <c r="BL109" s="18">
        <f>'Grid_TheoreticalStock'!BC53</f>
        <v/>
      </c>
      <c r="BM109" s="18">
        <f>'Grid_TheoreticalStock'!BD53</f>
        <v/>
      </c>
      <c r="BN109" s="18">
        <f>'Grid_TheoreticalStock'!BE53</f>
        <v/>
      </c>
      <c r="BO109" s="18">
        <f>'Grid_TheoreticalStock'!BF53</f>
        <v/>
      </c>
      <c r="BP109" s="18">
        <f>'Grid_TheoreticalStock'!BG53</f>
        <v/>
      </c>
      <c r="BQ109" s="18">
        <f>'Grid_TheoreticalStock'!BH53</f>
        <v/>
      </c>
      <c r="BR109" s="18">
        <f>'Grid_TheoreticalStock'!BI53</f>
        <v/>
      </c>
      <c r="BS109" s="18">
        <f>'Grid_TheoreticalStock'!BJ53</f>
        <v/>
      </c>
      <c r="BT109" s="18">
        <f>'Grid_TheoreticalStock'!BK53</f>
        <v/>
      </c>
      <c r="BU109" s="18">
        <f>'Grid_TheoreticalStock'!BL53</f>
        <v/>
      </c>
      <c r="BV109" s="18">
        <f>'Grid_TheoreticalStock'!BM53</f>
        <v/>
      </c>
      <c r="BW109" s="18">
        <f>'Grid_TheoreticalStock'!BN53</f>
        <v/>
      </c>
      <c r="BX109" s="18">
        <f>'Grid_TheoreticalStock'!BO53</f>
        <v/>
      </c>
      <c r="BY109" s="18">
        <f>'Grid_TheoreticalStock'!BP53</f>
        <v/>
      </c>
      <c r="BZ109" s="18">
        <f>'Grid_TheoreticalStock'!BQ53</f>
        <v/>
      </c>
      <c r="CA109" s="18">
        <f>'Grid_TheoreticalStock'!BR53</f>
        <v/>
      </c>
      <c r="CB109" s="18">
        <f>'Grid_TheoreticalStock'!BS53</f>
        <v/>
      </c>
      <c r="CC109" s="18">
        <f>'Grid_TheoreticalStock'!BT53</f>
        <v/>
      </c>
      <c r="CD109" s="18">
        <f>'Grid_TheoreticalStock'!BU53</f>
        <v/>
      </c>
      <c r="CE109" s="18">
        <f>'Grid_TheoreticalStock'!BV53</f>
        <v/>
      </c>
      <c r="CF109" s="18">
        <f>'Grid_TheoreticalStock'!BW53</f>
        <v/>
      </c>
      <c r="CG109" s="18">
        <f>'Grid_TheoreticalStock'!BX53</f>
        <v/>
      </c>
      <c r="CH109" s="18">
        <f>'Grid_TheoreticalStock'!BY53</f>
        <v/>
      </c>
      <c r="CI109" s="18">
        <f>'Grid_TheoreticalStock'!BZ53</f>
        <v/>
      </c>
      <c r="CJ109" s="18">
        <f>'Grid_TheoreticalStock'!CA53</f>
        <v/>
      </c>
      <c r="CK109" s="18">
        <f>'Grid_TheoreticalStock'!CB53</f>
        <v/>
      </c>
      <c r="CL109" s="18">
        <f>'Grid_TheoreticalStock'!CC53</f>
        <v/>
      </c>
      <c r="CM109" s="18">
        <f>'Grid_TheoreticalStock'!CD53</f>
        <v/>
      </c>
      <c r="CN109" s="18">
        <f>'Grid_TheoreticalStock'!CE53</f>
        <v/>
      </c>
      <c r="CO109" s="18">
        <f>'Grid_TheoreticalStock'!CF53</f>
        <v/>
      </c>
      <c r="CP109" s="18">
        <f>'Grid_TheoreticalStock'!CG53</f>
        <v/>
      </c>
      <c r="CQ109" s="18">
        <f>'Grid_TheoreticalStock'!CH53</f>
        <v/>
      </c>
      <c r="CR109" s="18">
        <f>'Grid_TheoreticalStock'!CI53</f>
        <v/>
      </c>
      <c r="CS109" s="18">
        <f>'Grid_TheoreticalStock'!CJ53</f>
        <v/>
      </c>
      <c r="CT109" s="18">
        <f>'Grid_TheoreticalStock'!CK53</f>
        <v/>
      </c>
      <c r="CU109" s="18">
        <f>'Grid_TheoreticalStock'!CL53</f>
        <v/>
      </c>
      <c r="CV109" s="18">
        <f>'Grid_TheoreticalStock'!CM53</f>
        <v/>
      </c>
      <c r="CW109" s="18">
        <f>'Grid_TheoreticalStock'!CN53</f>
        <v/>
      </c>
      <c r="CX109" s="18">
        <f>'Grid_TheoreticalStock'!CO53</f>
        <v/>
      </c>
      <c r="CY109" s="18">
        <f>'Grid_TheoreticalStock'!CP53</f>
        <v/>
      </c>
      <c r="CZ109" s="18">
        <f>'Grid_TheoreticalStock'!CQ53</f>
        <v/>
      </c>
      <c r="DA109" s="18">
        <f>'Grid_TheoreticalStock'!CR53</f>
        <v/>
      </c>
      <c r="DB109" s="18">
        <f>'Grid_TheoreticalStock'!CS53</f>
        <v/>
      </c>
      <c r="DC109" s="18">
        <f>'Grid_TheoreticalStock'!CT53</f>
        <v/>
      </c>
      <c r="DD109" s="18">
        <f>'Grid_TheoreticalStock'!CU53</f>
        <v/>
      </c>
      <c r="DE109" s="18">
        <f>'Grid_TheoreticalStock'!CV53</f>
        <v/>
      </c>
      <c r="DF109" s="18">
        <f>'Grid_TheoreticalStock'!CW53</f>
        <v/>
      </c>
      <c r="DG109" s="18">
        <f>'Grid_TheoreticalStock'!CX53</f>
        <v/>
      </c>
      <c r="DH109" s="18">
        <f>'Grid_TheoreticalStock'!CY53</f>
        <v/>
      </c>
      <c r="DI109" s="18">
        <f>'Grid_TheoreticalStock'!CZ53</f>
        <v/>
      </c>
      <c r="DJ109" s="18">
        <f>'Grid_TheoreticalStock'!DA53</f>
        <v/>
      </c>
    </row>
    <row r="110">
      <c r="A110" s="19" t="inlineStr">
        <is>
          <t>18456-50041</t>
        </is>
      </c>
      <c r="B110" s="19">
        <f>IFERROR(INDEX(M_RawMaterials[Description],MATCH($A110,M_RawMaterials[Part Name],0)),"")</f>
        <v/>
      </c>
      <c r="C110" s="19">
        <f>IFERROR(INDEX(M_RawMaterials[Category],MATCH($A110,M_RawMaterials[Part Name],0)),"")</f>
        <v/>
      </c>
      <c r="D110" s="19">
        <f>IFERROR(INDEX(M_RawMaterials[基準在庫下限_要入力],MATCH($A110,M_RawMaterials[Part Name],0)),0)</f>
        <v/>
      </c>
      <c r="E110" s="19">
        <f>IFERROR(INDEX(M_RawMaterials[基準在庫上限_要入力],MATCH($A110,M_RawMaterials[Part Name],0)),0)</f>
        <v/>
      </c>
      <c r="F110" s="19">
        <f>IFERROR(LOOKUP(2,1/('T_SelfStock'!$B$57:$DA$57&lt;&gt;""),'T_SelfStock'!$B$57:$DA$57),"")</f>
        <v/>
      </c>
      <c r="G110" s="19">
        <f>IFERROR(LOOKUP(2,1/('T_TTAFStock'!$B$57:$DA$57&lt;&gt;""),'T_TTAFStock'!$B$57:$DA$57),"")</f>
        <v/>
      </c>
      <c r="H110" s="19">
        <f>IFERROR(LOOKUP(2,1/('T_SelfStock'!$B$57:$DA$57&lt;&gt;""),'T_SelfStock'!$B$5:$DA$5),"")</f>
        <v/>
      </c>
      <c r="I110" s="20" t="inlineStr">
        <is>
          <t>実在庫</t>
        </is>
      </c>
      <c r="J110" s="19">
        <f>IFERROR(INDEX('Grid_Stock'!$A53:$DA53,1,LOOKUP(2,1/('T_SelfStock'!$B$57:$DA$57&lt;&gt;""),COLUMN('T_SelfStock'!$B$57:$DA$57)))-INDEX('Grid_TheoreticalStock'!$A53:$DA53,1,LOOKUP(2,1/('T_SelfStock'!$B$57:$DA$57&lt;&gt;""),COLUMN('T_SelfStock'!$B$57:$DA$57))),0)</f>
        <v/>
      </c>
      <c r="K110" s="19">
        <f>'Grid_Stock'!B53</f>
        <v/>
      </c>
      <c r="L110" s="19">
        <f>'Grid_Stock'!C53</f>
        <v/>
      </c>
      <c r="M110" s="19">
        <f>'Grid_Stock'!D53</f>
        <v/>
      </c>
      <c r="N110" s="19">
        <f>'Grid_Stock'!E53</f>
        <v/>
      </c>
      <c r="O110" s="19">
        <f>'Grid_Stock'!F53</f>
        <v/>
      </c>
      <c r="P110" s="19">
        <f>'Grid_Stock'!G53</f>
        <v/>
      </c>
      <c r="Q110" s="19">
        <f>'Grid_Stock'!H53</f>
        <v/>
      </c>
      <c r="R110" s="19">
        <f>'Grid_Stock'!I53</f>
        <v/>
      </c>
      <c r="S110" s="19">
        <f>'Grid_Stock'!J53</f>
        <v/>
      </c>
      <c r="T110" s="19">
        <f>'Grid_Stock'!K53</f>
        <v/>
      </c>
      <c r="U110" s="19">
        <f>'Grid_Stock'!L53</f>
        <v/>
      </c>
      <c r="V110" s="19">
        <f>'Grid_Stock'!M53</f>
        <v/>
      </c>
      <c r="W110" s="19">
        <f>'Grid_Stock'!N53</f>
        <v/>
      </c>
      <c r="X110" s="19">
        <f>'Grid_Stock'!O53</f>
        <v/>
      </c>
      <c r="Y110" s="19">
        <f>'Grid_Stock'!P53</f>
        <v/>
      </c>
      <c r="Z110" s="19">
        <f>'Grid_Stock'!Q53</f>
        <v/>
      </c>
      <c r="AA110" s="19">
        <f>'Grid_Stock'!R53</f>
        <v/>
      </c>
      <c r="AB110" s="19">
        <f>'Grid_Stock'!S53</f>
        <v/>
      </c>
      <c r="AC110" s="19">
        <f>'Grid_Stock'!T53</f>
        <v/>
      </c>
      <c r="AD110" s="19">
        <f>'Grid_Stock'!U53</f>
        <v/>
      </c>
      <c r="AE110" s="19">
        <f>'Grid_Stock'!V53</f>
        <v/>
      </c>
      <c r="AF110" s="19">
        <f>'Grid_Stock'!W53</f>
        <v/>
      </c>
      <c r="AG110" s="19">
        <f>'Grid_Stock'!X53</f>
        <v/>
      </c>
      <c r="AH110" s="19">
        <f>'Grid_Stock'!Y53</f>
        <v/>
      </c>
      <c r="AI110" s="19">
        <f>'Grid_Stock'!Z53</f>
        <v/>
      </c>
      <c r="AJ110" s="19">
        <f>'Grid_Stock'!AA53</f>
        <v/>
      </c>
      <c r="AK110" s="19">
        <f>'Grid_Stock'!AB53</f>
        <v/>
      </c>
      <c r="AL110" s="19">
        <f>'Grid_Stock'!AC53</f>
        <v/>
      </c>
      <c r="AM110" s="19">
        <f>'Grid_Stock'!AD53</f>
        <v/>
      </c>
      <c r="AN110" s="19">
        <f>'Grid_Stock'!AE53</f>
        <v/>
      </c>
      <c r="AO110" s="19">
        <f>'Grid_Stock'!AF53</f>
        <v/>
      </c>
      <c r="AP110" s="19">
        <f>'Grid_Stock'!AG53</f>
        <v/>
      </c>
      <c r="AQ110" s="19">
        <f>'Grid_Stock'!AH53</f>
        <v/>
      </c>
      <c r="AR110" s="19">
        <f>'Grid_Stock'!AI53</f>
        <v/>
      </c>
      <c r="AS110" s="19">
        <f>'Grid_Stock'!AJ53</f>
        <v/>
      </c>
      <c r="AT110" s="19">
        <f>'Grid_Stock'!AK53</f>
        <v/>
      </c>
      <c r="AU110" s="19">
        <f>'Grid_Stock'!AL53</f>
        <v/>
      </c>
      <c r="AV110" s="19">
        <f>'Grid_Stock'!AM53</f>
        <v/>
      </c>
      <c r="AW110" s="19">
        <f>'Grid_Stock'!AN53</f>
        <v/>
      </c>
      <c r="AX110" s="19">
        <f>'Grid_Stock'!AO53</f>
        <v/>
      </c>
      <c r="AY110" s="19">
        <f>'Grid_Stock'!AP53</f>
        <v/>
      </c>
      <c r="AZ110" s="19">
        <f>'Grid_Stock'!AQ53</f>
        <v/>
      </c>
      <c r="BA110" s="19">
        <f>'Grid_Stock'!AR53</f>
        <v/>
      </c>
      <c r="BB110" s="19">
        <f>'Grid_Stock'!AS53</f>
        <v/>
      </c>
      <c r="BC110" s="19">
        <f>'Grid_Stock'!AT53</f>
        <v/>
      </c>
      <c r="BD110" s="19">
        <f>'Grid_Stock'!AU53</f>
        <v/>
      </c>
      <c r="BE110" s="19">
        <f>'Grid_Stock'!AV53</f>
        <v/>
      </c>
      <c r="BF110" s="19">
        <f>'Grid_Stock'!AW53</f>
        <v/>
      </c>
      <c r="BG110" s="19">
        <f>'Grid_Stock'!AX53</f>
        <v/>
      </c>
      <c r="BH110" s="19">
        <f>'Grid_Stock'!AY53</f>
        <v/>
      </c>
      <c r="BI110" s="19">
        <f>'Grid_Stock'!AZ53</f>
        <v/>
      </c>
      <c r="BJ110" s="19">
        <f>'Grid_Stock'!BA53</f>
        <v/>
      </c>
      <c r="BK110" s="19">
        <f>'Grid_Stock'!BB53</f>
        <v/>
      </c>
      <c r="BL110" s="19">
        <f>'Grid_Stock'!BC53</f>
        <v/>
      </c>
      <c r="BM110" s="19">
        <f>'Grid_Stock'!BD53</f>
        <v/>
      </c>
      <c r="BN110" s="19">
        <f>'Grid_Stock'!BE53</f>
        <v/>
      </c>
      <c r="BO110" s="19">
        <f>'Grid_Stock'!BF53</f>
        <v/>
      </c>
      <c r="BP110" s="19">
        <f>'Grid_Stock'!BG53</f>
        <v/>
      </c>
      <c r="BQ110" s="19">
        <f>'Grid_Stock'!BH53</f>
        <v/>
      </c>
      <c r="BR110" s="19">
        <f>'Grid_Stock'!BI53</f>
        <v/>
      </c>
      <c r="BS110" s="19">
        <f>'Grid_Stock'!BJ53</f>
        <v/>
      </c>
      <c r="BT110" s="19">
        <f>'Grid_Stock'!BK53</f>
        <v/>
      </c>
      <c r="BU110" s="19">
        <f>'Grid_Stock'!BL53</f>
        <v/>
      </c>
      <c r="BV110" s="19">
        <f>'Grid_Stock'!BM53</f>
        <v/>
      </c>
      <c r="BW110" s="19">
        <f>'Grid_Stock'!BN53</f>
        <v/>
      </c>
      <c r="BX110" s="19">
        <f>'Grid_Stock'!BO53</f>
        <v/>
      </c>
      <c r="BY110" s="19">
        <f>'Grid_Stock'!BP53</f>
        <v/>
      </c>
      <c r="BZ110" s="19">
        <f>'Grid_Stock'!BQ53</f>
        <v/>
      </c>
      <c r="CA110" s="19">
        <f>'Grid_Stock'!BR53</f>
        <v/>
      </c>
      <c r="CB110" s="19">
        <f>'Grid_Stock'!BS53</f>
        <v/>
      </c>
      <c r="CC110" s="19">
        <f>'Grid_Stock'!BT53</f>
        <v/>
      </c>
      <c r="CD110" s="19">
        <f>'Grid_Stock'!BU53</f>
        <v/>
      </c>
      <c r="CE110" s="19">
        <f>'Grid_Stock'!BV53</f>
        <v/>
      </c>
      <c r="CF110" s="19">
        <f>'Grid_Stock'!BW53</f>
        <v/>
      </c>
      <c r="CG110" s="19">
        <f>'Grid_Stock'!BX53</f>
        <v/>
      </c>
      <c r="CH110" s="19">
        <f>'Grid_Stock'!BY53</f>
        <v/>
      </c>
      <c r="CI110" s="19">
        <f>'Grid_Stock'!BZ53</f>
        <v/>
      </c>
      <c r="CJ110" s="19">
        <f>'Grid_Stock'!CA53</f>
        <v/>
      </c>
      <c r="CK110" s="19">
        <f>'Grid_Stock'!CB53</f>
        <v/>
      </c>
      <c r="CL110" s="19">
        <f>'Grid_Stock'!CC53</f>
        <v/>
      </c>
      <c r="CM110" s="19">
        <f>'Grid_Stock'!CD53</f>
        <v/>
      </c>
      <c r="CN110" s="19">
        <f>'Grid_Stock'!CE53</f>
        <v/>
      </c>
      <c r="CO110" s="19">
        <f>'Grid_Stock'!CF53</f>
        <v/>
      </c>
      <c r="CP110" s="19">
        <f>'Grid_Stock'!CG53</f>
        <v/>
      </c>
      <c r="CQ110" s="19">
        <f>'Grid_Stock'!CH53</f>
        <v/>
      </c>
      <c r="CR110" s="19">
        <f>'Grid_Stock'!CI53</f>
        <v/>
      </c>
      <c r="CS110" s="19">
        <f>'Grid_Stock'!CJ53</f>
        <v/>
      </c>
      <c r="CT110" s="19">
        <f>'Grid_Stock'!CK53</f>
        <v/>
      </c>
      <c r="CU110" s="19">
        <f>'Grid_Stock'!CL53</f>
        <v/>
      </c>
      <c r="CV110" s="19">
        <f>'Grid_Stock'!CM53</f>
        <v/>
      </c>
      <c r="CW110" s="19">
        <f>'Grid_Stock'!CN53</f>
        <v/>
      </c>
      <c r="CX110" s="19">
        <f>'Grid_Stock'!CO53</f>
        <v/>
      </c>
      <c r="CY110" s="19">
        <f>'Grid_Stock'!CP53</f>
        <v/>
      </c>
      <c r="CZ110" s="19">
        <f>'Grid_Stock'!CQ53</f>
        <v/>
      </c>
      <c r="DA110" s="19">
        <f>'Grid_Stock'!CR53</f>
        <v/>
      </c>
      <c r="DB110" s="19">
        <f>'Grid_Stock'!CS53</f>
        <v/>
      </c>
      <c r="DC110" s="19">
        <f>'Grid_Stock'!CT53</f>
        <v/>
      </c>
      <c r="DD110" s="19">
        <f>'Grid_Stock'!CU53</f>
        <v/>
      </c>
      <c r="DE110" s="19">
        <f>'Grid_Stock'!CV53</f>
        <v/>
      </c>
      <c r="DF110" s="19">
        <f>'Grid_Stock'!CW53</f>
        <v/>
      </c>
      <c r="DG110" s="19">
        <f>'Grid_Stock'!CX53</f>
        <v/>
      </c>
      <c r="DH110" s="19">
        <f>'Grid_Stock'!CY53</f>
        <v/>
      </c>
      <c r="DI110" s="19">
        <f>'Grid_Stock'!CZ53</f>
        <v/>
      </c>
      <c r="DJ110" s="19">
        <f>'Grid_Stock'!DA53</f>
        <v/>
      </c>
    </row>
    <row r="111">
      <c r="A111" s="17" t="inlineStr">
        <is>
          <t>18456-50061</t>
        </is>
      </c>
      <c r="B111" s="17">
        <f>IFERROR(INDEX(M_RawMaterials[Description],MATCH($A111,M_RawMaterials[Part Name],0)),"")</f>
        <v/>
      </c>
      <c r="C111" s="17">
        <f>IFERROR(INDEX(M_RawMaterials[Category],MATCH($A111,M_RawMaterials[Part Name],0)),"")</f>
        <v/>
      </c>
      <c r="D111" s="17">
        <f>IFERROR(INDEX(M_RawMaterials[基準在庫下限_要入力],MATCH($A111,M_RawMaterials[Part Name],0)),0)</f>
        <v/>
      </c>
      <c r="E111" s="17">
        <f>IFERROR(INDEX(M_RawMaterials[基準在庫上限_要入力],MATCH($A111,M_RawMaterials[Part Name],0)),0)</f>
        <v/>
      </c>
      <c r="F111" s="17">
        <f>IFERROR(LOOKUP(2,1/('T_SelfStock'!$B$58:$DA$58&lt;&gt;""),'T_SelfStock'!$B$58:$DA$58),"")</f>
        <v/>
      </c>
      <c r="G111" s="17">
        <f>IFERROR(LOOKUP(2,1/('T_TTAFStock'!$B$58:$DA$58&lt;&gt;""),'T_TTAFStock'!$B$58:$DA$58),"")</f>
        <v/>
      </c>
      <c r="H111" s="17">
        <f>IFERROR(LOOKUP(2,1/('T_SelfStock'!$B$58:$DA$58&lt;&gt;""),'T_SelfStock'!$B$5:$DA$5),"")</f>
        <v/>
      </c>
      <c r="I111" s="18" t="inlineStr">
        <is>
          <t>理論在庫</t>
        </is>
      </c>
      <c r="J111" s="17">
        <f>IFERROR(INDEX('Grid_Stock'!$A54:$DA54,1,LOOKUP(2,1/('T_SelfStock'!$B$58:$DA$58&lt;&gt;""),COLUMN('T_SelfStock'!$B$58:$DA$58)))-INDEX('Grid_TheoreticalStock'!$A54:$DA54,1,LOOKUP(2,1/('T_SelfStock'!$B$58:$DA$58&lt;&gt;""),COLUMN('T_SelfStock'!$B$58:$DA$58))),0)</f>
        <v/>
      </c>
      <c r="K111" s="18">
        <f>'Grid_TheoreticalStock'!B54</f>
        <v/>
      </c>
      <c r="L111" s="18">
        <f>'Grid_TheoreticalStock'!C54</f>
        <v/>
      </c>
      <c r="M111" s="18">
        <f>'Grid_TheoreticalStock'!D54</f>
        <v/>
      </c>
      <c r="N111" s="18">
        <f>'Grid_TheoreticalStock'!E54</f>
        <v/>
      </c>
      <c r="O111" s="18">
        <f>'Grid_TheoreticalStock'!F54</f>
        <v/>
      </c>
      <c r="P111" s="18">
        <f>'Grid_TheoreticalStock'!G54</f>
        <v/>
      </c>
      <c r="Q111" s="18">
        <f>'Grid_TheoreticalStock'!H54</f>
        <v/>
      </c>
      <c r="R111" s="18">
        <f>'Grid_TheoreticalStock'!I54</f>
        <v/>
      </c>
      <c r="S111" s="18">
        <f>'Grid_TheoreticalStock'!J54</f>
        <v/>
      </c>
      <c r="T111" s="18">
        <f>'Grid_TheoreticalStock'!K54</f>
        <v/>
      </c>
      <c r="U111" s="18">
        <f>'Grid_TheoreticalStock'!L54</f>
        <v/>
      </c>
      <c r="V111" s="18">
        <f>'Grid_TheoreticalStock'!M54</f>
        <v/>
      </c>
      <c r="W111" s="18">
        <f>'Grid_TheoreticalStock'!N54</f>
        <v/>
      </c>
      <c r="X111" s="18">
        <f>'Grid_TheoreticalStock'!O54</f>
        <v/>
      </c>
      <c r="Y111" s="18">
        <f>'Grid_TheoreticalStock'!P54</f>
        <v/>
      </c>
      <c r="Z111" s="18">
        <f>'Grid_TheoreticalStock'!Q54</f>
        <v/>
      </c>
      <c r="AA111" s="18">
        <f>'Grid_TheoreticalStock'!R54</f>
        <v/>
      </c>
      <c r="AB111" s="18">
        <f>'Grid_TheoreticalStock'!S54</f>
        <v/>
      </c>
      <c r="AC111" s="18">
        <f>'Grid_TheoreticalStock'!T54</f>
        <v/>
      </c>
      <c r="AD111" s="18">
        <f>'Grid_TheoreticalStock'!U54</f>
        <v/>
      </c>
      <c r="AE111" s="18">
        <f>'Grid_TheoreticalStock'!V54</f>
        <v/>
      </c>
      <c r="AF111" s="18">
        <f>'Grid_TheoreticalStock'!W54</f>
        <v/>
      </c>
      <c r="AG111" s="18">
        <f>'Grid_TheoreticalStock'!X54</f>
        <v/>
      </c>
      <c r="AH111" s="18">
        <f>'Grid_TheoreticalStock'!Y54</f>
        <v/>
      </c>
      <c r="AI111" s="18">
        <f>'Grid_TheoreticalStock'!Z54</f>
        <v/>
      </c>
      <c r="AJ111" s="18">
        <f>'Grid_TheoreticalStock'!AA54</f>
        <v/>
      </c>
      <c r="AK111" s="18">
        <f>'Grid_TheoreticalStock'!AB54</f>
        <v/>
      </c>
      <c r="AL111" s="18">
        <f>'Grid_TheoreticalStock'!AC54</f>
        <v/>
      </c>
      <c r="AM111" s="18">
        <f>'Grid_TheoreticalStock'!AD54</f>
        <v/>
      </c>
      <c r="AN111" s="18">
        <f>'Grid_TheoreticalStock'!AE54</f>
        <v/>
      </c>
      <c r="AO111" s="18">
        <f>'Grid_TheoreticalStock'!AF54</f>
        <v/>
      </c>
      <c r="AP111" s="18">
        <f>'Grid_TheoreticalStock'!AG54</f>
        <v/>
      </c>
      <c r="AQ111" s="18">
        <f>'Grid_TheoreticalStock'!AH54</f>
        <v/>
      </c>
      <c r="AR111" s="18">
        <f>'Grid_TheoreticalStock'!AI54</f>
        <v/>
      </c>
      <c r="AS111" s="18">
        <f>'Grid_TheoreticalStock'!AJ54</f>
        <v/>
      </c>
      <c r="AT111" s="18">
        <f>'Grid_TheoreticalStock'!AK54</f>
        <v/>
      </c>
      <c r="AU111" s="18">
        <f>'Grid_TheoreticalStock'!AL54</f>
        <v/>
      </c>
      <c r="AV111" s="18">
        <f>'Grid_TheoreticalStock'!AM54</f>
        <v/>
      </c>
      <c r="AW111" s="18">
        <f>'Grid_TheoreticalStock'!AN54</f>
        <v/>
      </c>
      <c r="AX111" s="18">
        <f>'Grid_TheoreticalStock'!AO54</f>
        <v/>
      </c>
      <c r="AY111" s="18">
        <f>'Grid_TheoreticalStock'!AP54</f>
        <v/>
      </c>
      <c r="AZ111" s="18">
        <f>'Grid_TheoreticalStock'!AQ54</f>
        <v/>
      </c>
      <c r="BA111" s="18">
        <f>'Grid_TheoreticalStock'!AR54</f>
        <v/>
      </c>
      <c r="BB111" s="18">
        <f>'Grid_TheoreticalStock'!AS54</f>
        <v/>
      </c>
      <c r="BC111" s="18">
        <f>'Grid_TheoreticalStock'!AT54</f>
        <v/>
      </c>
      <c r="BD111" s="18">
        <f>'Grid_TheoreticalStock'!AU54</f>
        <v/>
      </c>
      <c r="BE111" s="18">
        <f>'Grid_TheoreticalStock'!AV54</f>
        <v/>
      </c>
      <c r="BF111" s="18">
        <f>'Grid_TheoreticalStock'!AW54</f>
        <v/>
      </c>
      <c r="BG111" s="18">
        <f>'Grid_TheoreticalStock'!AX54</f>
        <v/>
      </c>
      <c r="BH111" s="18">
        <f>'Grid_TheoreticalStock'!AY54</f>
        <v/>
      </c>
      <c r="BI111" s="18">
        <f>'Grid_TheoreticalStock'!AZ54</f>
        <v/>
      </c>
      <c r="BJ111" s="18">
        <f>'Grid_TheoreticalStock'!BA54</f>
        <v/>
      </c>
      <c r="BK111" s="18">
        <f>'Grid_TheoreticalStock'!BB54</f>
        <v/>
      </c>
      <c r="BL111" s="18">
        <f>'Grid_TheoreticalStock'!BC54</f>
        <v/>
      </c>
      <c r="BM111" s="18">
        <f>'Grid_TheoreticalStock'!BD54</f>
        <v/>
      </c>
      <c r="BN111" s="18">
        <f>'Grid_TheoreticalStock'!BE54</f>
        <v/>
      </c>
      <c r="BO111" s="18">
        <f>'Grid_TheoreticalStock'!BF54</f>
        <v/>
      </c>
      <c r="BP111" s="18">
        <f>'Grid_TheoreticalStock'!BG54</f>
        <v/>
      </c>
      <c r="BQ111" s="18">
        <f>'Grid_TheoreticalStock'!BH54</f>
        <v/>
      </c>
      <c r="BR111" s="18">
        <f>'Grid_TheoreticalStock'!BI54</f>
        <v/>
      </c>
      <c r="BS111" s="18">
        <f>'Grid_TheoreticalStock'!BJ54</f>
        <v/>
      </c>
      <c r="BT111" s="18">
        <f>'Grid_TheoreticalStock'!BK54</f>
        <v/>
      </c>
      <c r="BU111" s="18">
        <f>'Grid_TheoreticalStock'!BL54</f>
        <v/>
      </c>
      <c r="BV111" s="18">
        <f>'Grid_TheoreticalStock'!BM54</f>
        <v/>
      </c>
      <c r="BW111" s="18">
        <f>'Grid_TheoreticalStock'!BN54</f>
        <v/>
      </c>
      <c r="BX111" s="18">
        <f>'Grid_TheoreticalStock'!BO54</f>
        <v/>
      </c>
      <c r="BY111" s="18">
        <f>'Grid_TheoreticalStock'!BP54</f>
        <v/>
      </c>
      <c r="BZ111" s="18">
        <f>'Grid_TheoreticalStock'!BQ54</f>
        <v/>
      </c>
      <c r="CA111" s="18">
        <f>'Grid_TheoreticalStock'!BR54</f>
        <v/>
      </c>
      <c r="CB111" s="18">
        <f>'Grid_TheoreticalStock'!BS54</f>
        <v/>
      </c>
      <c r="CC111" s="18">
        <f>'Grid_TheoreticalStock'!BT54</f>
        <v/>
      </c>
      <c r="CD111" s="18">
        <f>'Grid_TheoreticalStock'!BU54</f>
        <v/>
      </c>
      <c r="CE111" s="18">
        <f>'Grid_TheoreticalStock'!BV54</f>
        <v/>
      </c>
      <c r="CF111" s="18">
        <f>'Grid_TheoreticalStock'!BW54</f>
        <v/>
      </c>
      <c r="CG111" s="18">
        <f>'Grid_TheoreticalStock'!BX54</f>
        <v/>
      </c>
      <c r="CH111" s="18">
        <f>'Grid_TheoreticalStock'!BY54</f>
        <v/>
      </c>
      <c r="CI111" s="18">
        <f>'Grid_TheoreticalStock'!BZ54</f>
        <v/>
      </c>
      <c r="CJ111" s="18">
        <f>'Grid_TheoreticalStock'!CA54</f>
        <v/>
      </c>
      <c r="CK111" s="18">
        <f>'Grid_TheoreticalStock'!CB54</f>
        <v/>
      </c>
      <c r="CL111" s="18">
        <f>'Grid_TheoreticalStock'!CC54</f>
        <v/>
      </c>
      <c r="CM111" s="18">
        <f>'Grid_TheoreticalStock'!CD54</f>
        <v/>
      </c>
      <c r="CN111" s="18">
        <f>'Grid_TheoreticalStock'!CE54</f>
        <v/>
      </c>
      <c r="CO111" s="18">
        <f>'Grid_TheoreticalStock'!CF54</f>
        <v/>
      </c>
      <c r="CP111" s="18">
        <f>'Grid_TheoreticalStock'!CG54</f>
        <v/>
      </c>
      <c r="CQ111" s="18">
        <f>'Grid_TheoreticalStock'!CH54</f>
        <v/>
      </c>
      <c r="CR111" s="18">
        <f>'Grid_TheoreticalStock'!CI54</f>
        <v/>
      </c>
      <c r="CS111" s="18">
        <f>'Grid_TheoreticalStock'!CJ54</f>
        <v/>
      </c>
      <c r="CT111" s="18">
        <f>'Grid_TheoreticalStock'!CK54</f>
        <v/>
      </c>
      <c r="CU111" s="18">
        <f>'Grid_TheoreticalStock'!CL54</f>
        <v/>
      </c>
      <c r="CV111" s="18">
        <f>'Grid_TheoreticalStock'!CM54</f>
        <v/>
      </c>
      <c r="CW111" s="18">
        <f>'Grid_TheoreticalStock'!CN54</f>
        <v/>
      </c>
      <c r="CX111" s="18">
        <f>'Grid_TheoreticalStock'!CO54</f>
        <v/>
      </c>
      <c r="CY111" s="18">
        <f>'Grid_TheoreticalStock'!CP54</f>
        <v/>
      </c>
      <c r="CZ111" s="18">
        <f>'Grid_TheoreticalStock'!CQ54</f>
        <v/>
      </c>
      <c r="DA111" s="18">
        <f>'Grid_TheoreticalStock'!CR54</f>
        <v/>
      </c>
      <c r="DB111" s="18">
        <f>'Grid_TheoreticalStock'!CS54</f>
        <v/>
      </c>
      <c r="DC111" s="18">
        <f>'Grid_TheoreticalStock'!CT54</f>
        <v/>
      </c>
      <c r="DD111" s="18">
        <f>'Grid_TheoreticalStock'!CU54</f>
        <v/>
      </c>
      <c r="DE111" s="18">
        <f>'Grid_TheoreticalStock'!CV54</f>
        <v/>
      </c>
      <c r="DF111" s="18">
        <f>'Grid_TheoreticalStock'!CW54</f>
        <v/>
      </c>
      <c r="DG111" s="18">
        <f>'Grid_TheoreticalStock'!CX54</f>
        <v/>
      </c>
      <c r="DH111" s="18">
        <f>'Grid_TheoreticalStock'!CY54</f>
        <v/>
      </c>
      <c r="DI111" s="18">
        <f>'Grid_TheoreticalStock'!CZ54</f>
        <v/>
      </c>
      <c r="DJ111" s="18">
        <f>'Grid_TheoreticalStock'!DA54</f>
        <v/>
      </c>
    </row>
    <row r="112">
      <c r="A112" s="19" t="inlineStr">
        <is>
          <t>18456-50061</t>
        </is>
      </c>
      <c r="B112" s="19">
        <f>IFERROR(INDEX(M_RawMaterials[Description],MATCH($A112,M_RawMaterials[Part Name],0)),"")</f>
        <v/>
      </c>
      <c r="C112" s="19">
        <f>IFERROR(INDEX(M_RawMaterials[Category],MATCH($A112,M_RawMaterials[Part Name],0)),"")</f>
        <v/>
      </c>
      <c r="D112" s="19">
        <f>IFERROR(INDEX(M_RawMaterials[基準在庫下限_要入力],MATCH($A112,M_RawMaterials[Part Name],0)),0)</f>
        <v/>
      </c>
      <c r="E112" s="19">
        <f>IFERROR(INDEX(M_RawMaterials[基準在庫上限_要入力],MATCH($A112,M_RawMaterials[Part Name],0)),0)</f>
        <v/>
      </c>
      <c r="F112" s="19">
        <f>IFERROR(LOOKUP(2,1/('T_SelfStock'!$B$58:$DA$58&lt;&gt;""),'T_SelfStock'!$B$58:$DA$58),"")</f>
        <v/>
      </c>
      <c r="G112" s="19">
        <f>IFERROR(LOOKUP(2,1/('T_TTAFStock'!$B$58:$DA$58&lt;&gt;""),'T_TTAFStock'!$B$58:$DA$58),"")</f>
        <v/>
      </c>
      <c r="H112" s="19">
        <f>IFERROR(LOOKUP(2,1/('T_SelfStock'!$B$58:$DA$58&lt;&gt;""),'T_SelfStock'!$B$5:$DA$5),"")</f>
        <v/>
      </c>
      <c r="I112" s="20" t="inlineStr">
        <is>
          <t>実在庫</t>
        </is>
      </c>
      <c r="J112" s="19">
        <f>IFERROR(INDEX('Grid_Stock'!$A54:$DA54,1,LOOKUP(2,1/('T_SelfStock'!$B$58:$DA$58&lt;&gt;""),COLUMN('T_SelfStock'!$B$58:$DA$58)))-INDEX('Grid_TheoreticalStock'!$A54:$DA54,1,LOOKUP(2,1/('T_SelfStock'!$B$58:$DA$58&lt;&gt;""),COLUMN('T_SelfStock'!$B$58:$DA$58))),0)</f>
        <v/>
      </c>
      <c r="K112" s="19">
        <f>'Grid_Stock'!B54</f>
        <v/>
      </c>
      <c r="L112" s="19">
        <f>'Grid_Stock'!C54</f>
        <v/>
      </c>
      <c r="M112" s="19">
        <f>'Grid_Stock'!D54</f>
        <v/>
      </c>
      <c r="N112" s="19">
        <f>'Grid_Stock'!E54</f>
        <v/>
      </c>
      <c r="O112" s="19">
        <f>'Grid_Stock'!F54</f>
        <v/>
      </c>
      <c r="P112" s="19">
        <f>'Grid_Stock'!G54</f>
        <v/>
      </c>
      <c r="Q112" s="19">
        <f>'Grid_Stock'!H54</f>
        <v/>
      </c>
      <c r="R112" s="19">
        <f>'Grid_Stock'!I54</f>
        <v/>
      </c>
      <c r="S112" s="19">
        <f>'Grid_Stock'!J54</f>
        <v/>
      </c>
      <c r="T112" s="19">
        <f>'Grid_Stock'!K54</f>
        <v/>
      </c>
      <c r="U112" s="19">
        <f>'Grid_Stock'!L54</f>
        <v/>
      </c>
      <c r="V112" s="19">
        <f>'Grid_Stock'!M54</f>
        <v/>
      </c>
      <c r="W112" s="19">
        <f>'Grid_Stock'!N54</f>
        <v/>
      </c>
      <c r="X112" s="19">
        <f>'Grid_Stock'!O54</f>
        <v/>
      </c>
      <c r="Y112" s="19">
        <f>'Grid_Stock'!P54</f>
        <v/>
      </c>
      <c r="Z112" s="19">
        <f>'Grid_Stock'!Q54</f>
        <v/>
      </c>
      <c r="AA112" s="19">
        <f>'Grid_Stock'!R54</f>
        <v/>
      </c>
      <c r="AB112" s="19">
        <f>'Grid_Stock'!S54</f>
        <v/>
      </c>
      <c r="AC112" s="19">
        <f>'Grid_Stock'!T54</f>
        <v/>
      </c>
      <c r="AD112" s="19">
        <f>'Grid_Stock'!U54</f>
        <v/>
      </c>
      <c r="AE112" s="19">
        <f>'Grid_Stock'!V54</f>
        <v/>
      </c>
      <c r="AF112" s="19">
        <f>'Grid_Stock'!W54</f>
        <v/>
      </c>
      <c r="AG112" s="19">
        <f>'Grid_Stock'!X54</f>
        <v/>
      </c>
      <c r="AH112" s="19">
        <f>'Grid_Stock'!Y54</f>
        <v/>
      </c>
      <c r="AI112" s="19">
        <f>'Grid_Stock'!Z54</f>
        <v/>
      </c>
      <c r="AJ112" s="19">
        <f>'Grid_Stock'!AA54</f>
        <v/>
      </c>
      <c r="AK112" s="19">
        <f>'Grid_Stock'!AB54</f>
        <v/>
      </c>
      <c r="AL112" s="19">
        <f>'Grid_Stock'!AC54</f>
        <v/>
      </c>
      <c r="AM112" s="19">
        <f>'Grid_Stock'!AD54</f>
        <v/>
      </c>
      <c r="AN112" s="19">
        <f>'Grid_Stock'!AE54</f>
        <v/>
      </c>
      <c r="AO112" s="19">
        <f>'Grid_Stock'!AF54</f>
        <v/>
      </c>
      <c r="AP112" s="19">
        <f>'Grid_Stock'!AG54</f>
        <v/>
      </c>
      <c r="AQ112" s="19">
        <f>'Grid_Stock'!AH54</f>
        <v/>
      </c>
      <c r="AR112" s="19">
        <f>'Grid_Stock'!AI54</f>
        <v/>
      </c>
      <c r="AS112" s="19">
        <f>'Grid_Stock'!AJ54</f>
        <v/>
      </c>
      <c r="AT112" s="19">
        <f>'Grid_Stock'!AK54</f>
        <v/>
      </c>
      <c r="AU112" s="19">
        <f>'Grid_Stock'!AL54</f>
        <v/>
      </c>
      <c r="AV112" s="19">
        <f>'Grid_Stock'!AM54</f>
        <v/>
      </c>
      <c r="AW112" s="19">
        <f>'Grid_Stock'!AN54</f>
        <v/>
      </c>
      <c r="AX112" s="19">
        <f>'Grid_Stock'!AO54</f>
        <v/>
      </c>
      <c r="AY112" s="19">
        <f>'Grid_Stock'!AP54</f>
        <v/>
      </c>
      <c r="AZ112" s="19">
        <f>'Grid_Stock'!AQ54</f>
        <v/>
      </c>
      <c r="BA112" s="19">
        <f>'Grid_Stock'!AR54</f>
        <v/>
      </c>
      <c r="BB112" s="19">
        <f>'Grid_Stock'!AS54</f>
        <v/>
      </c>
      <c r="BC112" s="19">
        <f>'Grid_Stock'!AT54</f>
        <v/>
      </c>
      <c r="BD112" s="19">
        <f>'Grid_Stock'!AU54</f>
        <v/>
      </c>
      <c r="BE112" s="19">
        <f>'Grid_Stock'!AV54</f>
        <v/>
      </c>
      <c r="BF112" s="19">
        <f>'Grid_Stock'!AW54</f>
        <v/>
      </c>
      <c r="BG112" s="19">
        <f>'Grid_Stock'!AX54</f>
        <v/>
      </c>
      <c r="BH112" s="19">
        <f>'Grid_Stock'!AY54</f>
        <v/>
      </c>
      <c r="BI112" s="19">
        <f>'Grid_Stock'!AZ54</f>
        <v/>
      </c>
      <c r="BJ112" s="19">
        <f>'Grid_Stock'!BA54</f>
        <v/>
      </c>
      <c r="BK112" s="19">
        <f>'Grid_Stock'!BB54</f>
        <v/>
      </c>
      <c r="BL112" s="19">
        <f>'Grid_Stock'!BC54</f>
        <v/>
      </c>
      <c r="BM112" s="19">
        <f>'Grid_Stock'!BD54</f>
        <v/>
      </c>
      <c r="BN112" s="19">
        <f>'Grid_Stock'!BE54</f>
        <v/>
      </c>
      <c r="BO112" s="19">
        <f>'Grid_Stock'!BF54</f>
        <v/>
      </c>
      <c r="BP112" s="19">
        <f>'Grid_Stock'!BG54</f>
        <v/>
      </c>
      <c r="BQ112" s="19">
        <f>'Grid_Stock'!BH54</f>
        <v/>
      </c>
      <c r="BR112" s="19">
        <f>'Grid_Stock'!BI54</f>
        <v/>
      </c>
      <c r="BS112" s="19">
        <f>'Grid_Stock'!BJ54</f>
        <v/>
      </c>
      <c r="BT112" s="19">
        <f>'Grid_Stock'!BK54</f>
        <v/>
      </c>
      <c r="BU112" s="19">
        <f>'Grid_Stock'!BL54</f>
        <v/>
      </c>
      <c r="BV112" s="19">
        <f>'Grid_Stock'!BM54</f>
        <v/>
      </c>
      <c r="BW112" s="19">
        <f>'Grid_Stock'!BN54</f>
        <v/>
      </c>
      <c r="BX112" s="19">
        <f>'Grid_Stock'!BO54</f>
        <v/>
      </c>
      <c r="BY112" s="19">
        <f>'Grid_Stock'!BP54</f>
        <v/>
      </c>
      <c r="BZ112" s="19">
        <f>'Grid_Stock'!BQ54</f>
        <v/>
      </c>
      <c r="CA112" s="19">
        <f>'Grid_Stock'!BR54</f>
        <v/>
      </c>
      <c r="CB112" s="19">
        <f>'Grid_Stock'!BS54</f>
        <v/>
      </c>
      <c r="CC112" s="19">
        <f>'Grid_Stock'!BT54</f>
        <v/>
      </c>
      <c r="CD112" s="19">
        <f>'Grid_Stock'!BU54</f>
        <v/>
      </c>
      <c r="CE112" s="19">
        <f>'Grid_Stock'!BV54</f>
        <v/>
      </c>
      <c r="CF112" s="19">
        <f>'Grid_Stock'!BW54</f>
        <v/>
      </c>
      <c r="CG112" s="19">
        <f>'Grid_Stock'!BX54</f>
        <v/>
      </c>
      <c r="CH112" s="19">
        <f>'Grid_Stock'!BY54</f>
        <v/>
      </c>
      <c r="CI112" s="19">
        <f>'Grid_Stock'!BZ54</f>
        <v/>
      </c>
      <c r="CJ112" s="19">
        <f>'Grid_Stock'!CA54</f>
        <v/>
      </c>
      <c r="CK112" s="19">
        <f>'Grid_Stock'!CB54</f>
        <v/>
      </c>
      <c r="CL112" s="19">
        <f>'Grid_Stock'!CC54</f>
        <v/>
      </c>
      <c r="CM112" s="19">
        <f>'Grid_Stock'!CD54</f>
        <v/>
      </c>
      <c r="CN112" s="19">
        <f>'Grid_Stock'!CE54</f>
        <v/>
      </c>
      <c r="CO112" s="19">
        <f>'Grid_Stock'!CF54</f>
        <v/>
      </c>
      <c r="CP112" s="19">
        <f>'Grid_Stock'!CG54</f>
        <v/>
      </c>
      <c r="CQ112" s="19">
        <f>'Grid_Stock'!CH54</f>
        <v/>
      </c>
      <c r="CR112" s="19">
        <f>'Grid_Stock'!CI54</f>
        <v/>
      </c>
      <c r="CS112" s="19">
        <f>'Grid_Stock'!CJ54</f>
        <v/>
      </c>
      <c r="CT112" s="19">
        <f>'Grid_Stock'!CK54</f>
        <v/>
      </c>
      <c r="CU112" s="19">
        <f>'Grid_Stock'!CL54</f>
        <v/>
      </c>
      <c r="CV112" s="19">
        <f>'Grid_Stock'!CM54</f>
        <v/>
      </c>
      <c r="CW112" s="19">
        <f>'Grid_Stock'!CN54</f>
        <v/>
      </c>
      <c r="CX112" s="19">
        <f>'Grid_Stock'!CO54</f>
        <v/>
      </c>
      <c r="CY112" s="19">
        <f>'Grid_Stock'!CP54</f>
        <v/>
      </c>
      <c r="CZ112" s="19">
        <f>'Grid_Stock'!CQ54</f>
        <v/>
      </c>
      <c r="DA112" s="19">
        <f>'Grid_Stock'!CR54</f>
        <v/>
      </c>
      <c r="DB112" s="19">
        <f>'Grid_Stock'!CS54</f>
        <v/>
      </c>
      <c r="DC112" s="19">
        <f>'Grid_Stock'!CT54</f>
        <v/>
      </c>
      <c r="DD112" s="19">
        <f>'Grid_Stock'!CU54</f>
        <v/>
      </c>
      <c r="DE112" s="19">
        <f>'Grid_Stock'!CV54</f>
        <v/>
      </c>
      <c r="DF112" s="19">
        <f>'Grid_Stock'!CW54</f>
        <v/>
      </c>
      <c r="DG112" s="19">
        <f>'Grid_Stock'!CX54</f>
        <v/>
      </c>
      <c r="DH112" s="19">
        <f>'Grid_Stock'!CY54</f>
        <v/>
      </c>
      <c r="DI112" s="19">
        <f>'Grid_Stock'!CZ54</f>
        <v/>
      </c>
      <c r="DJ112" s="19">
        <f>'Grid_Stock'!DA54</f>
        <v/>
      </c>
    </row>
    <row r="113">
      <c r="A113" s="17" t="inlineStr">
        <is>
          <t>Original Towel</t>
        </is>
      </c>
      <c r="B113" s="17">
        <f>IFERROR(INDEX(M_RawMaterials[Description],MATCH($A113,M_RawMaterials[Part Name],0)),"")</f>
        <v/>
      </c>
      <c r="C113" s="17">
        <f>IFERROR(INDEX(M_RawMaterials[Category],MATCH($A113,M_RawMaterials[Part Name],0)),"")</f>
        <v/>
      </c>
      <c r="D113" s="17">
        <f>IFERROR(INDEX(M_RawMaterials[基準在庫下限_要入力],MATCH($A113,M_RawMaterials[Part Name],0)),0)</f>
        <v/>
      </c>
      <c r="E113" s="17">
        <f>IFERROR(INDEX(M_RawMaterials[基準在庫上限_要入力],MATCH($A113,M_RawMaterials[Part Name],0)),0)</f>
        <v/>
      </c>
      <c r="F113" s="17">
        <f>IFERROR(LOOKUP(2,1/('T_SelfStock'!$B$59:$DA$59&lt;&gt;""),'T_SelfStock'!$B$59:$DA$59),"")</f>
        <v/>
      </c>
      <c r="G113" s="17">
        <f>IFERROR(LOOKUP(2,1/('T_TTAFStock'!$B$59:$DA$59&lt;&gt;""),'T_TTAFStock'!$B$59:$DA$59),"")</f>
        <v/>
      </c>
      <c r="H113" s="17">
        <f>IFERROR(LOOKUP(2,1/('T_SelfStock'!$B$59:$DA$59&lt;&gt;""),'T_SelfStock'!$B$5:$DA$5),"")</f>
        <v/>
      </c>
      <c r="I113" s="18" t="inlineStr">
        <is>
          <t>理論在庫</t>
        </is>
      </c>
      <c r="J113" s="17">
        <f>IFERROR(INDEX('Grid_Stock'!$A55:$DA55,1,LOOKUP(2,1/('T_SelfStock'!$B$59:$DA$59&lt;&gt;""),COLUMN('T_SelfStock'!$B$59:$DA$59)))-INDEX('Grid_TheoreticalStock'!$A55:$DA55,1,LOOKUP(2,1/('T_SelfStock'!$B$59:$DA$59&lt;&gt;""),COLUMN('T_SelfStock'!$B$59:$DA$59))),0)</f>
        <v/>
      </c>
      <c r="K113" s="18">
        <f>'Grid_TheoreticalStock'!B55</f>
        <v/>
      </c>
      <c r="L113" s="18">
        <f>'Grid_TheoreticalStock'!C55</f>
        <v/>
      </c>
      <c r="M113" s="18">
        <f>'Grid_TheoreticalStock'!D55</f>
        <v/>
      </c>
      <c r="N113" s="18">
        <f>'Grid_TheoreticalStock'!E55</f>
        <v/>
      </c>
      <c r="O113" s="18">
        <f>'Grid_TheoreticalStock'!F55</f>
        <v/>
      </c>
      <c r="P113" s="18">
        <f>'Grid_TheoreticalStock'!G55</f>
        <v/>
      </c>
      <c r="Q113" s="18">
        <f>'Grid_TheoreticalStock'!H55</f>
        <v/>
      </c>
      <c r="R113" s="18">
        <f>'Grid_TheoreticalStock'!I55</f>
        <v/>
      </c>
      <c r="S113" s="18">
        <f>'Grid_TheoreticalStock'!J55</f>
        <v/>
      </c>
      <c r="T113" s="18">
        <f>'Grid_TheoreticalStock'!K55</f>
        <v/>
      </c>
      <c r="U113" s="18">
        <f>'Grid_TheoreticalStock'!L55</f>
        <v/>
      </c>
      <c r="V113" s="18">
        <f>'Grid_TheoreticalStock'!M55</f>
        <v/>
      </c>
      <c r="W113" s="18">
        <f>'Grid_TheoreticalStock'!N55</f>
        <v/>
      </c>
      <c r="X113" s="18">
        <f>'Grid_TheoreticalStock'!O55</f>
        <v/>
      </c>
      <c r="Y113" s="18">
        <f>'Grid_TheoreticalStock'!P55</f>
        <v/>
      </c>
      <c r="Z113" s="18">
        <f>'Grid_TheoreticalStock'!Q55</f>
        <v/>
      </c>
      <c r="AA113" s="18">
        <f>'Grid_TheoreticalStock'!R55</f>
        <v/>
      </c>
      <c r="AB113" s="18">
        <f>'Grid_TheoreticalStock'!S55</f>
        <v/>
      </c>
      <c r="AC113" s="18">
        <f>'Grid_TheoreticalStock'!T55</f>
        <v/>
      </c>
      <c r="AD113" s="18">
        <f>'Grid_TheoreticalStock'!U55</f>
        <v/>
      </c>
      <c r="AE113" s="18">
        <f>'Grid_TheoreticalStock'!V55</f>
        <v/>
      </c>
      <c r="AF113" s="18">
        <f>'Grid_TheoreticalStock'!W55</f>
        <v/>
      </c>
      <c r="AG113" s="18">
        <f>'Grid_TheoreticalStock'!X55</f>
        <v/>
      </c>
      <c r="AH113" s="18">
        <f>'Grid_TheoreticalStock'!Y55</f>
        <v/>
      </c>
      <c r="AI113" s="18">
        <f>'Grid_TheoreticalStock'!Z55</f>
        <v/>
      </c>
      <c r="AJ113" s="18">
        <f>'Grid_TheoreticalStock'!AA55</f>
        <v/>
      </c>
      <c r="AK113" s="18">
        <f>'Grid_TheoreticalStock'!AB55</f>
        <v/>
      </c>
      <c r="AL113" s="18">
        <f>'Grid_TheoreticalStock'!AC55</f>
        <v/>
      </c>
      <c r="AM113" s="18">
        <f>'Grid_TheoreticalStock'!AD55</f>
        <v/>
      </c>
      <c r="AN113" s="18">
        <f>'Grid_TheoreticalStock'!AE55</f>
        <v/>
      </c>
      <c r="AO113" s="18">
        <f>'Grid_TheoreticalStock'!AF55</f>
        <v/>
      </c>
      <c r="AP113" s="18">
        <f>'Grid_TheoreticalStock'!AG55</f>
        <v/>
      </c>
      <c r="AQ113" s="18">
        <f>'Grid_TheoreticalStock'!AH55</f>
        <v/>
      </c>
      <c r="AR113" s="18">
        <f>'Grid_TheoreticalStock'!AI55</f>
        <v/>
      </c>
      <c r="AS113" s="18">
        <f>'Grid_TheoreticalStock'!AJ55</f>
        <v/>
      </c>
      <c r="AT113" s="18">
        <f>'Grid_TheoreticalStock'!AK55</f>
        <v/>
      </c>
      <c r="AU113" s="18">
        <f>'Grid_TheoreticalStock'!AL55</f>
        <v/>
      </c>
      <c r="AV113" s="18">
        <f>'Grid_TheoreticalStock'!AM55</f>
        <v/>
      </c>
      <c r="AW113" s="18">
        <f>'Grid_TheoreticalStock'!AN55</f>
        <v/>
      </c>
      <c r="AX113" s="18">
        <f>'Grid_TheoreticalStock'!AO55</f>
        <v/>
      </c>
      <c r="AY113" s="18">
        <f>'Grid_TheoreticalStock'!AP55</f>
        <v/>
      </c>
      <c r="AZ113" s="18">
        <f>'Grid_TheoreticalStock'!AQ55</f>
        <v/>
      </c>
      <c r="BA113" s="18">
        <f>'Grid_TheoreticalStock'!AR55</f>
        <v/>
      </c>
      <c r="BB113" s="18">
        <f>'Grid_TheoreticalStock'!AS55</f>
        <v/>
      </c>
      <c r="BC113" s="18">
        <f>'Grid_TheoreticalStock'!AT55</f>
        <v/>
      </c>
      <c r="BD113" s="18">
        <f>'Grid_TheoreticalStock'!AU55</f>
        <v/>
      </c>
      <c r="BE113" s="18">
        <f>'Grid_TheoreticalStock'!AV55</f>
        <v/>
      </c>
      <c r="BF113" s="18">
        <f>'Grid_TheoreticalStock'!AW55</f>
        <v/>
      </c>
      <c r="BG113" s="18">
        <f>'Grid_TheoreticalStock'!AX55</f>
        <v/>
      </c>
      <c r="BH113" s="18">
        <f>'Grid_TheoreticalStock'!AY55</f>
        <v/>
      </c>
      <c r="BI113" s="18">
        <f>'Grid_TheoreticalStock'!AZ55</f>
        <v/>
      </c>
      <c r="BJ113" s="18">
        <f>'Grid_TheoreticalStock'!BA55</f>
        <v/>
      </c>
      <c r="BK113" s="18">
        <f>'Grid_TheoreticalStock'!BB55</f>
        <v/>
      </c>
      <c r="BL113" s="18">
        <f>'Grid_TheoreticalStock'!BC55</f>
        <v/>
      </c>
      <c r="BM113" s="18">
        <f>'Grid_TheoreticalStock'!BD55</f>
        <v/>
      </c>
      <c r="BN113" s="18">
        <f>'Grid_TheoreticalStock'!BE55</f>
        <v/>
      </c>
      <c r="BO113" s="18">
        <f>'Grid_TheoreticalStock'!BF55</f>
        <v/>
      </c>
      <c r="BP113" s="18">
        <f>'Grid_TheoreticalStock'!BG55</f>
        <v/>
      </c>
      <c r="BQ113" s="18">
        <f>'Grid_TheoreticalStock'!BH55</f>
        <v/>
      </c>
      <c r="BR113" s="18">
        <f>'Grid_TheoreticalStock'!BI55</f>
        <v/>
      </c>
      <c r="BS113" s="18">
        <f>'Grid_TheoreticalStock'!BJ55</f>
        <v/>
      </c>
      <c r="BT113" s="18">
        <f>'Grid_TheoreticalStock'!BK55</f>
        <v/>
      </c>
      <c r="BU113" s="18">
        <f>'Grid_TheoreticalStock'!BL55</f>
        <v/>
      </c>
      <c r="BV113" s="18">
        <f>'Grid_TheoreticalStock'!BM55</f>
        <v/>
      </c>
      <c r="BW113" s="18">
        <f>'Grid_TheoreticalStock'!BN55</f>
        <v/>
      </c>
      <c r="BX113" s="18">
        <f>'Grid_TheoreticalStock'!BO55</f>
        <v/>
      </c>
      <c r="BY113" s="18">
        <f>'Grid_TheoreticalStock'!BP55</f>
        <v/>
      </c>
      <c r="BZ113" s="18">
        <f>'Grid_TheoreticalStock'!BQ55</f>
        <v/>
      </c>
      <c r="CA113" s="18">
        <f>'Grid_TheoreticalStock'!BR55</f>
        <v/>
      </c>
      <c r="CB113" s="18">
        <f>'Grid_TheoreticalStock'!BS55</f>
        <v/>
      </c>
      <c r="CC113" s="18">
        <f>'Grid_TheoreticalStock'!BT55</f>
        <v/>
      </c>
      <c r="CD113" s="18">
        <f>'Grid_TheoreticalStock'!BU55</f>
        <v/>
      </c>
      <c r="CE113" s="18">
        <f>'Grid_TheoreticalStock'!BV55</f>
        <v/>
      </c>
      <c r="CF113" s="18">
        <f>'Grid_TheoreticalStock'!BW55</f>
        <v/>
      </c>
      <c r="CG113" s="18">
        <f>'Grid_TheoreticalStock'!BX55</f>
        <v/>
      </c>
      <c r="CH113" s="18">
        <f>'Grid_TheoreticalStock'!BY55</f>
        <v/>
      </c>
      <c r="CI113" s="18">
        <f>'Grid_TheoreticalStock'!BZ55</f>
        <v/>
      </c>
      <c r="CJ113" s="18">
        <f>'Grid_TheoreticalStock'!CA55</f>
        <v/>
      </c>
      <c r="CK113" s="18">
        <f>'Grid_TheoreticalStock'!CB55</f>
        <v/>
      </c>
      <c r="CL113" s="18">
        <f>'Grid_TheoreticalStock'!CC55</f>
        <v/>
      </c>
      <c r="CM113" s="18">
        <f>'Grid_TheoreticalStock'!CD55</f>
        <v/>
      </c>
      <c r="CN113" s="18">
        <f>'Grid_TheoreticalStock'!CE55</f>
        <v/>
      </c>
      <c r="CO113" s="18">
        <f>'Grid_TheoreticalStock'!CF55</f>
        <v/>
      </c>
      <c r="CP113" s="18">
        <f>'Grid_TheoreticalStock'!CG55</f>
        <v/>
      </c>
      <c r="CQ113" s="18">
        <f>'Grid_TheoreticalStock'!CH55</f>
        <v/>
      </c>
      <c r="CR113" s="18">
        <f>'Grid_TheoreticalStock'!CI55</f>
        <v/>
      </c>
      <c r="CS113" s="18">
        <f>'Grid_TheoreticalStock'!CJ55</f>
        <v/>
      </c>
      <c r="CT113" s="18">
        <f>'Grid_TheoreticalStock'!CK55</f>
        <v/>
      </c>
      <c r="CU113" s="18">
        <f>'Grid_TheoreticalStock'!CL55</f>
        <v/>
      </c>
      <c r="CV113" s="18">
        <f>'Grid_TheoreticalStock'!CM55</f>
        <v/>
      </c>
      <c r="CW113" s="18">
        <f>'Grid_TheoreticalStock'!CN55</f>
        <v/>
      </c>
      <c r="CX113" s="18">
        <f>'Grid_TheoreticalStock'!CO55</f>
        <v/>
      </c>
      <c r="CY113" s="18">
        <f>'Grid_TheoreticalStock'!CP55</f>
        <v/>
      </c>
      <c r="CZ113" s="18">
        <f>'Grid_TheoreticalStock'!CQ55</f>
        <v/>
      </c>
      <c r="DA113" s="18">
        <f>'Grid_TheoreticalStock'!CR55</f>
        <v/>
      </c>
      <c r="DB113" s="18">
        <f>'Grid_TheoreticalStock'!CS55</f>
        <v/>
      </c>
      <c r="DC113" s="18">
        <f>'Grid_TheoreticalStock'!CT55</f>
        <v/>
      </c>
      <c r="DD113" s="18">
        <f>'Grid_TheoreticalStock'!CU55</f>
        <v/>
      </c>
      <c r="DE113" s="18">
        <f>'Grid_TheoreticalStock'!CV55</f>
        <v/>
      </c>
      <c r="DF113" s="18">
        <f>'Grid_TheoreticalStock'!CW55</f>
        <v/>
      </c>
      <c r="DG113" s="18">
        <f>'Grid_TheoreticalStock'!CX55</f>
        <v/>
      </c>
      <c r="DH113" s="18">
        <f>'Grid_TheoreticalStock'!CY55</f>
        <v/>
      </c>
      <c r="DI113" s="18">
        <f>'Grid_TheoreticalStock'!CZ55</f>
        <v/>
      </c>
      <c r="DJ113" s="18">
        <f>'Grid_TheoreticalStock'!DA55</f>
        <v/>
      </c>
    </row>
    <row r="114">
      <c r="A114" s="19" t="inlineStr">
        <is>
          <t>Original Towel</t>
        </is>
      </c>
      <c r="B114" s="19">
        <f>IFERROR(INDEX(M_RawMaterials[Description],MATCH($A114,M_RawMaterials[Part Name],0)),"")</f>
        <v/>
      </c>
      <c r="C114" s="19">
        <f>IFERROR(INDEX(M_RawMaterials[Category],MATCH($A114,M_RawMaterials[Part Name],0)),"")</f>
        <v/>
      </c>
      <c r="D114" s="19">
        <f>IFERROR(INDEX(M_RawMaterials[基準在庫下限_要入力],MATCH($A114,M_RawMaterials[Part Name],0)),0)</f>
        <v/>
      </c>
      <c r="E114" s="19">
        <f>IFERROR(INDEX(M_RawMaterials[基準在庫上限_要入力],MATCH($A114,M_RawMaterials[Part Name],0)),0)</f>
        <v/>
      </c>
      <c r="F114" s="19">
        <f>IFERROR(LOOKUP(2,1/('T_SelfStock'!$B$59:$DA$59&lt;&gt;""),'T_SelfStock'!$B$59:$DA$59),"")</f>
        <v/>
      </c>
      <c r="G114" s="19">
        <f>IFERROR(LOOKUP(2,1/('T_TTAFStock'!$B$59:$DA$59&lt;&gt;""),'T_TTAFStock'!$B$59:$DA$59),"")</f>
        <v/>
      </c>
      <c r="H114" s="19">
        <f>IFERROR(LOOKUP(2,1/('T_SelfStock'!$B$59:$DA$59&lt;&gt;""),'T_SelfStock'!$B$5:$DA$5),"")</f>
        <v/>
      </c>
      <c r="I114" s="20" t="inlineStr">
        <is>
          <t>実在庫</t>
        </is>
      </c>
      <c r="J114" s="19">
        <f>IFERROR(INDEX('Grid_Stock'!$A55:$DA55,1,LOOKUP(2,1/('T_SelfStock'!$B$59:$DA$59&lt;&gt;""),COLUMN('T_SelfStock'!$B$59:$DA$59)))-INDEX('Grid_TheoreticalStock'!$A55:$DA55,1,LOOKUP(2,1/('T_SelfStock'!$B$59:$DA$59&lt;&gt;""),COLUMN('T_SelfStock'!$B$59:$DA$59))),0)</f>
        <v/>
      </c>
      <c r="K114" s="19">
        <f>'Grid_Stock'!B55</f>
        <v/>
      </c>
      <c r="L114" s="19">
        <f>'Grid_Stock'!C55</f>
        <v/>
      </c>
      <c r="M114" s="19">
        <f>'Grid_Stock'!D55</f>
        <v/>
      </c>
      <c r="N114" s="19">
        <f>'Grid_Stock'!E55</f>
        <v/>
      </c>
      <c r="O114" s="19">
        <f>'Grid_Stock'!F55</f>
        <v/>
      </c>
      <c r="P114" s="19">
        <f>'Grid_Stock'!G55</f>
        <v/>
      </c>
      <c r="Q114" s="19">
        <f>'Grid_Stock'!H55</f>
        <v/>
      </c>
      <c r="R114" s="19">
        <f>'Grid_Stock'!I55</f>
        <v/>
      </c>
      <c r="S114" s="19">
        <f>'Grid_Stock'!J55</f>
        <v/>
      </c>
      <c r="T114" s="19">
        <f>'Grid_Stock'!K55</f>
        <v/>
      </c>
      <c r="U114" s="19">
        <f>'Grid_Stock'!L55</f>
        <v/>
      </c>
      <c r="V114" s="19">
        <f>'Grid_Stock'!M55</f>
        <v/>
      </c>
      <c r="W114" s="19">
        <f>'Grid_Stock'!N55</f>
        <v/>
      </c>
      <c r="X114" s="19">
        <f>'Grid_Stock'!O55</f>
        <v/>
      </c>
      <c r="Y114" s="19">
        <f>'Grid_Stock'!P55</f>
        <v/>
      </c>
      <c r="Z114" s="19">
        <f>'Grid_Stock'!Q55</f>
        <v/>
      </c>
      <c r="AA114" s="19">
        <f>'Grid_Stock'!R55</f>
        <v/>
      </c>
      <c r="AB114" s="19">
        <f>'Grid_Stock'!S55</f>
        <v/>
      </c>
      <c r="AC114" s="19">
        <f>'Grid_Stock'!T55</f>
        <v/>
      </c>
      <c r="AD114" s="19">
        <f>'Grid_Stock'!U55</f>
        <v/>
      </c>
      <c r="AE114" s="19">
        <f>'Grid_Stock'!V55</f>
        <v/>
      </c>
      <c r="AF114" s="19">
        <f>'Grid_Stock'!W55</f>
        <v/>
      </c>
      <c r="AG114" s="19">
        <f>'Grid_Stock'!X55</f>
        <v/>
      </c>
      <c r="AH114" s="19">
        <f>'Grid_Stock'!Y55</f>
        <v/>
      </c>
      <c r="AI114" s="19">
        <f>'Grid_Stock'!Z55</f>
        <v/>
      </c>
      <c r="AJ114" s="19">
        <f>'Grid_Stock'!AA55</f>
        <v/>
      </c>
      <c r="AK114" s="19">
        <f>'Grid_Stock'!AB55</f>
        <v/>
      </c>
      <c r="AL114" s="19">
        <f>'Grid_Stock'!AC55</f>
        <v/>
      </c>
      <c r="AM114" s="19">
        <f>'Grid_Stock'!AD55</f>
        <v/>
      </c>
      <c r="AN114" s="19">
        <f>'Grid_Stock'!AE55</f>
        <v/>
      </c>
      <c r="AO114" s="19">
        <f>'Grid_Stock'!AF55</f>
        <v/>
      </c>
      <c r="AP114" s="19">
        <f>'Grid_Stock'!AG55</f>
        <v/>
      </c>
      <c r="AQ114" s="19">
        <f>'Grid_Stock'!AH55</f>
        <v/>
      </c>
      <c r="AR114" s="19">
        <f>'Grid_Stock'!AI55</f>
        <v/>
      </c>
      <c r="AS114" s="19">
        <f>'Grid_Stock'!AJ55</f>
        <v/>
      </c>
      <c r="AT114" s="19">
        <f>'Grid_Stock'!AK55</f>
        <v/>
      </c>
      <c r="AU114" s="19">
        <f>'Grid_Stock'!AL55</f>
        <v/>
      </c>
      <c r="AV114" s="19">
        <f>'Grid_Stock'!AM55</f>
        <v/>
      </c>
      <c r="AW114" s="19">
        <f>'Grid_Stock'!AN55</f>
        <v/>
      </c>
      <c r="AX114" s="19">
        <f>'Grid_Stock'!AO55</f>
        <v/>
      </c>
      <c r="AY114" s="19">
        <f>'Grid_Stock'!AP55</f>
        <v/>
      </c>
      <c r="AZ114" s="19">
        <f>'Grid_Stock'!AQ55</f>
        <v/>
      </c>
      <c r="BA114" s="19">
        <f>'Grid_Stock'!AR55</f>
        <v/>
      </c>
      <c r="BB114" s="19">
        <f>'Grid_Stock'!AS55</f>
        <v/>
      </c>
      <c r="BC114" s="19">
        <f>'Grid_Stock'!AT55</f>
        <v/>
      </c>
      <c r="BD114" s="19">
        <f>'Grid_Stock'!AU55</f>
        <v/>
      </c>
      <c r="BE114" s="19">
        <f>'Grid_Stock'!AV55</f>
        <v/>
      </c>
      <c r="BF114" s="19">
        <f>'Grid_Stock'!AW55</f>
        <v/>
      </c>
      <c r="BG114" s="19">
        <f>'Grid_Stock'!AX55</f>
        <v/>
      </c>
      <c r="BH114" s="19">
        <f>'Grid_Stock'!AY55</f>
        <v/>
      </c>
      <c r="BI114" s="19">
        <f>'Grid_Stock'!AZ55</f>
        <v/>
      </c>
      <c r="BJ114" s="19">
        <f>'Grid_Stock'!BA55</f>
        <v/>
      </c>
      <c r="BK114" s="19">
        <f>'Grid_Stock'!BB55</f>
        <v/>
      </c>
      <c r="BL114" s="19">
        <f>'Grid_Stock'!BC55</f>
        <v/>
      </c>
      <c r="BM114" s="19">
        <f>'Grid_Stock'!BD55</f>
        <v/>
      </c>
      <c r="BN114" s="19">
        <f>'Grid_Stock'!BE55</f>
        <v/>
      </c>
      <c r="BO114" s="19">
        <f>'Grid_Stock'!BF55</f>
        <v/>
      </c>
      <c r="BP114" s="19">
        <f>'Grid_Stock'!BG55</f>
        <v/>
      </c>
      <c r="BQ114" s="19">
        <f>'Grid_Stock'!BH55</f>
        <v/>
      </c>
      <c r="BR114" s="19">
        <f>'Grid_Stock'!BI55</f>
        <v/>
      </c>
      <c r="BS114" s="19">
        <f>'Grid_Stock'!BJ55</f>
        <v/>
      </c>
      <c r="BT114" s="19">
        <f>'Grid_Stock'!BK55</f>
        <v/>
      </c>
      <c r="BU114" s="19">
        <f>'Grid_Stock'!BL55</f>
        <v/>
      </c>
      <c r="BV114" s="19">
        <f>'Grid_Stock'!BM55</f>
        <v/>
      </c>
      <c r="BW114" s="19">
        <f>'Grid_Stock'!BN55</f>
        <v/>
      </c>
      <c r="BX114" s="19">
        <f>'Grid_Stock'!BO55</f>
        <v/>
      </c>
      <c r="BY114" s="19">
        <f>'Grid_Stock'!BP55</f>
        <v/>
      </c>
      <c r="BZ114" s="19">
        <f>'Grid_Stock'!BQ55</f>
        <v/>
      </c>
      <c r="CA114" s="19">
        <f>'Grid_Stock'!BR55</f>
        <v/>
      </c>
      <c r="CB114" s="19">
        <f>'Grid_Stock'!BS55</f>
        <v/>
      </c>
      <c r="CC114" s="19">
        <f>'Grid_Stock'!BT55</f>
        <v/>
      </c>
      <c r="CD114" s="19">
        <f>'Grid_Stock'!BU55</f>
        <v/>
      </c>
      <c r="CE114" s="19">
        <f>'Grid_Stock'!BV55</f>
        <v/>
      </c>
      <c r="CF114" s="19">
        <f>'Grid_Stock'!BW55</f>
        <v/>
      </c>
      <c r="CG114" s="19">
        <f>'Grid_Stock'!BX55</f>
        <v/>
      </c>
      <c r="CH114" s="19">
        <f>'Grid_Stock'!BY55</f>
        <v/>
      </c>
      <c r="CI114" s="19">
        <f>'Grid_Stock'!BZ55</f>
        <v/>
      </c>
      <c r="CJ114" s="19">
        <f>'Grid_Stock'!CA55</f>
        <v/>
      </c>
      <c r="CK114" s="19">
        <f>'Grid_Stock'!CB55</f>
        <v/>
      </c>
      <c r="CL114" s="19">
        <f>'Grid_Stock'!CC55</f>
        <v/>
      </c>
      <c r="CM114" s="19">
        <f>'Grid_Stock'!CD55</f>
        <v/>
      </c>
      <c r="CN114" s="19">
        <f>'Grid_Stock'!CE55</f>
        <v/>
      </c>
      <c r="CO114" s="19">
        <f>'Grid_Stock'!CF55</f>
        <v/>
      </c>
      <c r="CP114" s="19">
        <f>'Grid_Stock'!CG55</f>
        <v/>
      </c>
      <c r="CQ114" s="19">
        <f>'Grid_Stock'!CH55</f>
        <v/>
      </c>
      <c r="CR114" s="19">
        <f>'Grid_Stock'!CI55</f>
        <v/>
      </c>
      <c r="CS114" s="19">
        <f>'Grid_Stock'!CJ55</f>
        <v/>
      </c>
      <c r="CT114" s="19">
        <f>'Grid_Stock'!CK55</f>
        <v/>
      </c>
      <c r="CU114" s="19">
        <f>'Grid_Stock'!CL55</f>
        <v/>
      </c>
      <c r="CV114" s="19">
        <f>'Grid_Stock'!CM55</f>
        <v/>
      </c>
      <c r="CW114" s="19">
        <f>'Grid_Stock'!CN55</f>
        <v/>
      </c>
      <c r="CX114" s="19">
        <f>'Grid_Stock'!CO55</f>
        <v/>
      </c>
      <c r="CY114" s="19">
        <f>'Grid_Stock'!CP55</f>
        <v/>
      </c>
      <c r="CZ114" s="19">
        <f>'Grid_Stock'!CQ55</f>
        <v/>
      </c>
      <c r="DA114" s="19">
        <f>'Grid_Stock'!CR55</f>
        <v/>
      </c>
      <c r="DB114" s="19">
        <f>'Grid_Stock'!CS55</f>
        <v/>
      </c>
      <c r="DC114" s="19">
        <f>'Grid_Stock'!CT55</f>
        <v/>
      </c>
      <c r="DD114" s="19">
        <f>'Grid_Stock'!CU55</f>
        <v/>
      </c>
      <c r="DE114" s="19">
        <f>'Grid_Stock'!CV55</f>
        <v/>
      </c>
      <c r="DF114" s="19">
        <f>'Grid_Stock'!CW55</f>
        <v/>
      </c>
      <c r="DG114" s="19">
        <f>'Grid_Stock'!CX55</f>
        <v/>
      </c>
      <c r="DH114" s="19">
        <f>'Grid_Stock'!CY55</f>
        <v/>
      </c>
      <c r="DI114" s="19">
        <f>'Grid_Stock'!CZ55</f>
        <v/>
      </c>
      <c r="DJ114" s="19">
        <f>'Grid_Stock'!DA55</f>
        <v/>
      </c>
    </row>
    <row r="115">
      <c r="A115" s="17" t="inlineStr">
        <is>
          <t>PP Film</t>
        </is>
      </c>
      <c r="B115" s="17">
        <f>IFERROR(INDEX(M_RawMaterials[Description],MATCH($A115,M_RawMaterials[Part Name],0)),"")</f>
        <v/>
      </c>
      <c r="C115" s="17">
        <f>IFERROR(INDEX(M_RawMaterials[Category],MATCH($A115,M_RawMaterials[Part Name],0)),"")</f>
        <v/>
      </c>
      <c r="D115" s="17">
        <f>IFERROR(INDEX(M_RawMaterials[基準在庫下限_要入力],MATCH($A115,M_RawMaterials[Part Name],0)),0)</f>
        <v/>
      </c>
      <c r="E115" s="17">
        <f>IFERROR(INDEX(M_RawMaterials[基準在庫上限_要入力],MATCH($A115,M_RawMaterials[Part Name],0)),0)</f>
        <v/>
      </c>
      <c r="F115" s="17">
        <f>IFERROR(LOOKUP(2,1/('T_SelfStock'!$B$60:$DA$60&lt;&gt;""),'T_SelfStock'!$B$60:$DA$60),"")</f>
        <v/>
      </c>
      <c r="G115" s="17">
        <f>IFERROR(LOOKUP(2,1/('T_TTAFStock'!$B$60:$DA$60&lt;&gt;""),'T_TTAFStock'!$B$60:$DA$60),"")</f>
        <v/>
      </c>
      <c r="H115" s="17">
        <f>IFERROR(LOOKUP(2,1/('T_SelfStock'!$B$60:$DA$60&lt;&gt;""),'T_SelfStock'!$B$5:$DA$5),"")</f>
        <v/>
      </c>
      <c r="I115" s="18" t="inlineStr">
        <is>
          <t>理論在庫</t>
        </is>
      </c>
      <c r="J115" s="17">
        <f>IFERROR(INDEX('Grid_Stock'!$A56:$DA56,1,LOOKUP(2,1/('T_SelfStock'!$B$60:$DA$60&lt;&gt;""),COLUMN('T_SelfStock'!$B$60:$DA$60)))-INDEX('Grid_TheoreticalStock'!$A56:$DA56,1,LOOKUP(2,1/('T_SelfStock'!$B$60:$DA$60&lt;&gt;""),COLUMN('T_SelfStock'!$B$60:$DA$60))),0)</f>
        <v/>
      </c>
      <c r="K115" s="18">
        <f>'Grid_TheoreticalStock'!B56</f>
        <v/>
      </c>
      <c r="L115" s="18">
        <f>'Grid_TheoreticalStock'!C56</f>
        <v/>
      </c>
      <c r="M115" s="18">
        <f>'Grid_TheoreticalStock'!D56</f>
        <v/>
      </c>
      <c r="N115" s="18">
        <f>'Grid_TheoreticalStock'!E56</f>
        <v/>
      </c>
      <c r="O115" s="18">
        <f>'Grid_TheoreticalStock'!F56</f>
        <v/>
      </c>
      <c r="P115" s="18">
        <f>'Grid_TheoreticalStock'!G56</f>
        <v/>
      </c>
      <c r="Q115" s="18">
        <f>'Grid_TheoreticalStock'!H56</f>
        <v/>
      </c>
      <c r="R115" s="18">
        <f>'Grid_TheoreticalStock'!I56</f>
        <v/>
      </c>
      <c r="S115" s="18">
        <f>'Grid_TheoreticalStock'!J56</f>
        <v/>
      </c>
      <c r="T115" s="18">
        <f>'Grid_TheoreticalStock'!K56</f>
        <v/>
      </c>
      <c r="U115" s="18">
        <f>'Grid_TheoreticalStock'!L56</f>
        <v/>
      </c>
      <c r="V115" s="18">
        <f>'Grid_TheoreticalStock'!M56</f>
        <v/>
      </c>
      <c r="W115" s="18">
        <f>'Grid_TheoreticalStock'!N56</f>
        <v/>
      </c>
      <c r="X115" s="18">
        <f>'Grid_TheoreticalStock'!O56</f>
        <v/>
      </c>
      <c r="Y115" s="18">
        <f>'Grid_TheoreticalStock'!P56</f>
        <v/>
      </c>
      <c r="Z115" s="18">
        <f>'Grid_TheoreticalStock'!Q56</f>
        <v/>
      </c>
      <c r="AA115" s="18">
        <f>'Grid_TheoreticalStock'!R56</f>
        <v/>
      </c>
      <c r="AB115" s="18">
        <f>'Grid_TheoreticalStock'!S56</f>
        <v/>
      </c>
      <c r="AC115" s="18">
        <f>'Grid_TheoreticalStock'!T56</f>
        <v/>
      </c>
      <c r="AD115" s="18">
        <f>'Grid_TheoreticalStock'!U56</f>
        <v/>
      </c>
      <c r="AE115" s="18">
        <f>'Grid_TheoreticalStock'!V56</f>
        <v/>
      </c>
      <c r="AF115" s="18">
        <f>'Grid_TheoreticalStock'!W56</f>
        <v/>
      </c>
      <c r="AG115" s="18">
        <f>'Grid_TheoreticalStock'!X56</f>
        <v/>
      </c>
      <c r="AH115" s="18">
        <f>'Grid_TheoreticalStock'!Y56</f>
        <v/>
      </c>
      <c r="AI115" s="18">
        <f>'Grid_TheoreticalStock'!Z56</f>
        <v/>
      </c>
      <c r="AJ115" s="18">
        <f>'Grid_TheoreticalStock'!AA56</f>
        <v/>
      </c>
      <c r="AK115" s="18">
        <f>'Grid_TheoreticalStock'!AB56</f>
        <v/>
      </c>
      <c r="AL115" s="18">
        <f>'Grid_TheoreticalStock'!AC56</f>
        <v/>
      </c>
      <c r="AM115" s="18">
        <f>'Grid_TheoreticalStock'!AD56</f>
        <v/>
      </c>
      <c r="AN115" s="18">
        <f>'Grid_TheoreticalStock'!AE56</f>
        <v/>
      </c>
      <c r="AO115" s="18">
        <f>'Grid_TheoreticalStock'!AF56</f>
        <v/>
      </c>
      <c r="AP115" s="18">
        <f>'Grid_TheoreticalStock'!AG56</f>
        <v/>
      </c>
      <c r="AQ115" s="18">
        <f>'Grid_TheoreticalStock'!AH56</f>
        <v/>
      </c>
      <c r="AR115" s="18">
        <f>'Grid_TheoreticalStock'!AI56</f>
        <v/>
      </c>
      <c r="AS115" s="18">
        <f>'Grid_TheoreticalStock'!AJ56</f>
        <v/>
      </c>
      <c r="AT115" s="18">
        <f>'Grid_TheoreticalStock'!AK56</f>
        <v/>
      </c>
      <c r="AU115" s="18">
        <f>'Grid_TheoreticalStock'!AL56</f>
        <v/>
      </c>
      <c r="AV115" s="18">
        <f>'Grid_TheoreticalStock'!AM56</f>
        <v/>
      </c>
      <c r="AW115" s="18">
        <f>'Grid_TheoreticalStock'!AN56</f>
        <v/>
      </c>
      <c r="AX115" s="18">
        <f>'Grid_TheoreticalStock'!AO56</f>
        <v/>
      </c>
      <c r="AY115" s="18">
        <f>'Grid_TheoreticalStock'!AP56</f>
        <v/>
      </c>
      <c r="AZ115" s="18">
        <f>'Grid_TheoreticalStock'!AQ56</f>
        <v/>
      </c>
      <c r="BA115" s="18">
        <f>'Grid_TheoreticalStock'!AR56</f>
        <v/>
      </c>
      <c r="BB115" s="18">
        <f>'Grid_TheoreticalStock'!AS56</f>
        <v/>
      </c>
      <c r="BC115" s="18">
        <f>'Grid_TheoreticalStock'!AT56</f>
        <v/>
      </c>
      <c r="BD115" s="18">
        <f>'Grid_TheoreticalStock'!AU56</f>
        <v/>
      </c>
      <c r="BE115" s="18">
        <f>'Grid_TheoreticalStock'!AV56</f>
        <v/>
      </c>
      <c r="BF115" s="18">
        <f>'Grid_TheoreticalStock'!AW56</f>
        <v/>
      </c>
      <c r="BG115" s="18">
        <f>'Grid_TheoreticalStock'!AX56</f>
        <v/>
      </c>
      <c r="BH115" s="18">
        <f>'Grid_TheoreticalStock'!AY56</f>
        <v/>
      </c>
      <c r="BI115" s="18">
        <f>'Grid_TheoreticalStock'!AZ56</f>
        <v/>
      </c>
      <c r="BJ115" s="18">
        <f>'Grid_TheoreticalStock'!BA56</f>
        <v/>
      </c>
      <c r="BK115" s="18">
        <f>'Grid_TheoreticalStock'!BB56</f>
        <v/>
      </c>
      <c r="BL115" s="18">
        <f>'Grid_TheoreticalStock'!BC56</f>
        <v/>
      </c>
      <c r="BM115" s="18">
        <f>'Grid_TheoreticalStock'!BD56</f>
        <v/>
      </c>
      <c r="BN115" s="18">
        <f>'Grid_TheoreticalStock'!BE56</f>
        <v/>
      </c>
      <c r="BO115" s="18">
        <f>'Grid_TheoreticalStock'!BF56</f>
        <v/>
      </c>
      <c r="BP115" s="18">
        <f>'Grid_TheoreticalStock'!BG56</f>
        <v/>
      </c>
      <c r="BQ115" s="18">
        <f>'Grid_TheoreticalStock'!BH56</f>
        <v/>
      </c>
      <c r="BR115" s="18">
        <f>'Grid_TheoreticalStock'!BI56</f>
        <v/>
      </c>
      <c r="BS115" s="18">
        <f>'Grid_TheoreticalStock'!BJ56</f>
        <v/>
      </c>
      <c r="BT115" s="18">
        <f>'Grid_TheoreticalStock'!BK56</f>
        <v/>
      </c>
      <c r="BU115" s="18">
        <f>'Grid_TheoreticalStock'!BL56</f>
        <v/>
      </c>
      <c r="BV115" s="18">
        <f>'Grid_TheoreticalStock'!BM56</f>
        <v/>
      </c>
      <c r="BW115" s="18">
        <f>'Grid_TheoreticalStock'!BN56</f>
        <v/>
      </c>
      <c r="BX115" s="18">
        <f>'Grid_TheoreticalStock'!BO56</f>
        <v/>
      </c>
      <c r="BY115" s="18">
        <f>'Grid_TheoreticalStock'!BP56</f>
        <v/>
      </c>
      <c r="BZ115" s="18">
        <f>'Grid_TheoreticalStock'!BQ56</f>
        <v/>
      </c>
      <c r="CA115" s="18">
        <f>'Grid_TheoreticalStock'!BR56</f>
        <v/>
      </c>
      <c r="CB115" s="18">
        <f>'Grid_TheoreticalStock'!BS56</f>
        <v/>
      </c>
      <c r="CC115" s="18">
        <f>'Grid_TheoreticalStock'!BT56</f>
        <v/>
      </c>
      <c r="CD115" s="18">
        <f>'Grid_TheoreticalStock'!BU56</f>
        <v/>
      </c>
      <c r="CE115" s="18">
        <f>'Grid_TheoreticalStock'!BV56</f>
        <v/>
      </c>
      <c r="CF115" s="18">
        <f>'Grid_TheoreticalStock'!BW56</f>
        <v/>
      </c>
      <c r="CG115" s="18">
        <f>'Grid_TheoreticalStock'!BX56</f>
        <v/>
      </c>
      <c r="CH115" s="18">
        <f>'Grid_TheoreticalStock'!BY56</f>
        <v/>
      </c>
      <c r="CI115" s="18">
        <f>'Grid_TheoreticalStock'!BZ56</f>
        <v/>
      </c>
      <c r="CJ115" s="18">
        <f>'Grid_TheoreticalStock'!CA56</f>
        <v/>
      </c>
      <c r="CK115" s="18">
        <f>'Grid_TheoreticalStock'!CB56</f>
        <v/>
      </c>
      <c r="CL115" s="18">
        <f>'Grid_TheoreticalStock'!CC56</f>
        <v/>
      </c>
      <c r="CM115" s="18">
        <f>'Grid_TheoreticalStock'!CD56</f>
        <v/>
      </c>
      <c r="CN115" s="18">
        <f>'Grid_TheoreticalStock'!CE56</f>
        <v/>
      </c>
      <c r="CO115" s="18">
        <f>'Grid_TheoreticalStock'!CF56</f>
        <v/>
      </c>
      <c r="CP115" s="18">
        <f>'Grid_TheoreticalStock'!CG56</f>
        <v/>
      </c>
      <c r="CQ115" s="18">
        <f>'Grid_TheoreticalStock'!CH56</f>
        <v/>
      </c>
      <c r="CR115" s="18">
        <f>'Grid_TheoreticalStock'!CI56</f>
        <v/>
      </c>
      <c r="CS115" s="18">
        <f>'Grid_TheoreticalStock'!CJ56</f>
        <v/>
      </c>
      <c r="CT115" s="18">
        <f>'Grid_TheoreticalStock'!CK56</f>
        <v/>
      </c>
      <c r="CU115" s="18">
        <f>'Grid_TheoreticalStock'!CL56</f>
        <v/>
      </c>
      <c r="CV115" s="18">
        <f>'Grid_TheoreticalStock'!CM56</f>
        <v/>
      </c>
      <c r="CW115" s="18">
        <f>'Grid_TheoreticalStock'!CN56</f>
        <v/>
      </c>
      <c r="CX115" s="18">
        <f>'Grid_TheoreticalStock'!CO56</f>
        <v/>
      </c>
      <c r="CY115" s="18">
        <f>'Grid_TheoreticalStock'!CP56</f>
        <v/>
      </c>
      <c r="CZ115" s="18">
        <f>'Grid_TheoreticalStock'!CQ56</f>
        <v/>
      </c>
      <c r="DA115" s="18">
        <f>'Grid_TheoreticalStock'!CR56</f>
        <v/>
      </c>
      <c r="DB115" s="18">
        <f>'Grid_TheoreticalStock'!CS56</f>
        <v/>
      </c>
      <c r="DC115" s="18">
        <f>'Grid_TheoreticalStock'!CT56</f>
        <v/>
      </c>
      <c r="DD115" s="18">
        <f>'Grid_TheoreticalStock'!CU56</f>
        <v/>
      </c>
      <c r="DE115" s="18">
        <f>'Grid_TheoreticalStock'!CV56</f>
        <v/>
      </c>
      <c r="DF115" s="18">
        <f>'Grid_TheoreticalStock'!CW56</f>
        <v/>
      </c>
      <c r="DG115" s="18">
        <f>'Grid_TheoreticalStock'!CX56</f>
        <v/>
      </c>
      <c r="DH115" s="18">
        <f>'Grid_TheoreticalStock'!CY56</f>
        <v/>
      </c>
      <c r="DI115" s="18">
        <f>'Grid_TheoreticalStock'!CZ56</f>
        <v/>
      </c>
      <c r="DJ115" s="18">
        <f>'Grid_TheoreticalStock'!DA56</f>
        <v/>
      </c>
    </row>
    <row r="116">
      <c r="A116" s="19" t="inlineStr">
        <is>
          <t>PP Film</t>
        </is>
      </c>
      <c r="B116" s="19">
        <f>IFERROR(INDEX(M_RawMaterials[Description],MATCH($A116,M_RawMaterials[Part Name],0)),"")</f>
        <v/>
      </c>
      <c r="C116" s="19">
        <f>IFERROR(INDEX(M_RawMaterials[Category],MATCH($A116,M_RawMaterials[Part Name],0)),"")</f>
        <v/>
      </c>
      <c r="D116" s="19">
        <f>IFERROR(INDEX(M_RawMaterials[基準在庫下限_要入力],MATCH($A116,M_RawMaterials[Part Name],0)),0)</f>
        <v/>
      </c>
      <c r="E116" s="19">
        <f>IFERROR(INDEX(M_RawMaterials[基準在庫上限_要入力],MATCH($A116,M_RawMaterials[Part Name],0)),0)</f>
        <v/>
      </c>
      <c r="F116" s="19">
        <f>IFERROR(LOOKUP(2,1/('T_SelfStock'!$B$60:$DA$60&lt;&gt;""),'T_SelfStock'!$B$60:$DA$60),"")</f>
        <v/>
      </c>
      <c r="G116" s="19">
        <f>IFERROR(LOOKUP(2,1/('T_TTAFStock'!$B$60:$DA$60&lt;&gt;""),'T_TTAFStock'!$B$60:$DA$60),"")</f>
        <v/>
      </c>
      <c r="H116" s="19">
        <f>IFERROR(LOOKUP(2,1/('T_SelfStock'!$B$60:$DA$60&lt;&gt;""),'T_SelfStock'!$B$5:$DA$5),"")</f>
        <v/>
      </c>
      <c r="I116" s="20" t="inlineStr">
        <is>
          <t>実在庫</t>
        </is>
      </c>
      <c r="J116" s="19">
        <f>IFERROR(INDEX('Grid_Stock'!$A56:$DA56,1,LOOKUP(2,1/('T_SelfStock'!$B$60:$DA$60&lt;&gt;""),COLUMN('T_SelfStock'!$B$60:$DA$60)))-INDEX('Grid_TheoreticalStock'!$A56:$DA56,1,LOOKUP(2,1/('T_SelfStock'!$B$60:$DA$60&lt;&gt;""),COLUMN('T_SelfStock'!$B$60:$DA$60))),0)</f>
        <v/>
      </c>
      <c r="K116" s="19">
        <f>'Grid_Stock'!B56</f>
        <v/>
      </c>
      <c r="L116" s="19">
        <f>'Grid_Stock'!C56</f>
        <v/>
      </c>
      <c r="M116" s="19">
        <f>'Grid_Stock'!D56</f>
        <v/>
      </c>
      <c r="N116" s="19">
        <f>'Grid_Stock'!E56</f>
        <v/>
      </c>
      <c r="O116" s="19">
        <f>'Grid_Stock'!F56</f>
        <v/>
      </c>
      <c r="P116" s="19">
        <f>'Grid_Stock'!G56</f>
        <v/>
      </c>
      <c r="Q116" s="19">
        <f>'Grid_Stock'!H56</f>
        <v/>
      </c>
      <c r="R116" s="19">
        <f>'Grid_Stock'!I56</f>
        <v/>
      </c>
      <c r="S116" s="19">
        <f>'Grid_Stock'!J56</f>
        <v/>
      </c>
      <c r="T116" s="19">
        <f>'Grid_Stock'!K56</f>
        <v/>
      </c>
      <c r="U116" s="19">
        <f>'Grid_Stock'!L56</f>
        <v/>
      </c>
      <c r="V116" s="19">
        <f>'Grid_Stock'!M56</f>
        <v/>
      </c>
      <c r="W116" s="19">
        <f>'Grid_Stock'!N56</f>
        <v/>
      </c>
      <c r="X116" s="19">
        <f>'Grid_Stock'!O56</f>
        <v/>
      </c>
      <c r="Y116" s="19">
        <f>'Grid_Stock'!P56</f>
        <v/>
      </c>
      <c r="Z116" s="19">
        <f>'Grid_Stock'!Q56</f>
        <v/>
      </c>
      <c r="AA116" s="19">
        <f>'Grid_Stock'!R56</f>
        <v/>
      </c>
      <c r="AB116" s="19">
        <f>'Grid_Stock'!S56</f>
        <v/>
      </c>
      <c r="AC116" s="19">
        <f>'Grid_Stock'!T56</f>
        <v/>
      </c>
      <c r="AD116" s="19">
        <f>'Grid_Stock'!U56</f>
        <v/>
      </c>
      <c r="AE116" s="19">
        <f>'Grid_Stock'!V56</f>
        <v/>
      </c>
      <c r="AF116" s="19">
        <f>'Grid_Stock'!W56</f>
        <v/>
      </c>
      <c r="AG116" s="19">
        <f>'Grid_Stock'!X56</f>
        <v/>
      </c>
      <c r="AH116" s="19">
        <f>'Grid_Stock'!Y56</f>
        <v/>
      </c>
      <c r="AI116" s="19">
        <f>'Grid_Stock'!Z56</f>
        <v/>
      </c>
      <c r="AJ116" s="19">
        <f>'Grid_Stock'!AA56</f>
        <v/>
      </c>
      <c r="AK116" s="19">
        <f>'Grid_Stock'!AB56</f>
        <v/>
      </c>
      <c r="AL116" s="19">
        <f>'Grid_Stock'!AC56</f>
        <v/>
      </c>
      <c r="AM116" s="19">
        <f>'Grid_Stock'!AD56</f>
        <v/>
      </c>
      <c r="AN116" s="19">
        <f>'Grid_Stock'!AE56</f>
        <v/>
      </c>
      <c r="AO116" s="19">
        <f>'Grid_Stock'!AF56</f>
        <v/>
      </c>
      <c r="AP116" s="19">
        <f>'Grid_Stock'!AG56</f>
        <v/>
      </c>
      <c r="AQ116" s="19">
        <f>'Grid_Stock'!AH56</f>
        <v/>
      </c>
      <c r="AR116" s="19">
        <f>'Grid_Stock'!AI56</f>
        <v/>
      </c>
      <c r="AS116" s="19">
        <f>'Grid_Stock'!AJ56</f>
        <v/>
      </c>
      <c r="AT116" s="19">
        <f>'Grid_Stock'!AK56</f>
        <v/>
      </c>
      <c r="AU116" s="19">
        <f>'Grid_Stock'!AL56</f>
        <v/>
      </c>
      <c r="AV116" s="19">
        <f>'Grid_Stock'!AM56</f>
        <v/>
      </c>
      <c r="AW116" s="19">
        <f>'Grid_Stock'!AN56</f>
        <v/>
      </c>
      <c r="AX116" s="19">
        <f>'Grid_Stock'!AO56</f>
        <v/>
      </c>
      <c r="AY116" s="19">
        <f>'Grid_Stock'!AP56</f>
        <v/>
      </c>
      <c r="AZ116" s="19">
        <f>'Grid_Stock'!AQ56</f>
        <v/>
      </c>
      <c r="BA116" s="19">
        <f>'Grid_Stock'!AR56</f>
        <v/>
      </c>
      <c r="BB116" s="19">
        <f>'Grid_Stock'!AS56</f>
        <v/>
      </c>
      <c r="BC116" s="19">
        <f>'Grid_Stock'!AT56</f>
        <v/>
      </c>
      <c r="BD116" s="19">
        <f>'Grid_Stock'!AU56</f>
        <v/>
      </c>
      <c r="BE116" s="19">
        <f>'Grid_Stock'!AV56</f>
        <v/>
      </c>
      <c r="BF116" s="19">
        <f>'Grid_Stock'!AW56</f>
        <v/>
      </c>
      <c r="BG116" s="19">
        <f>'Grid_Stock'!AX56</f>
        <v/>
      </c>
      <c r="BH116" s="19">
        <f>'Grid_Stock'!AY56</f>
        <v/>
      </c>
      <c r="BI116" s="19">
        <f>'Grid_Stock'!AZ56</f>
        <v/>
      </c>
      <c r="BJ116" s="19">
        <f>'Grid_Stock'!BA56</f>
        <v/>
      </c>
      <c r="BK116" s="19">
        <f>'Grid_Stock'!BB56</f>
        <v/>
      </c>
      <c r="BL116" s="19">
        <f>'Grid_Stock'!BC56</f>
        <v/>
      </c>
      <c r="BM116" s="19">
        <f>'Grid_Stock'!BD56</f>
        <v/>
      </c>
      <c r="BN116" s="19">
        <f>'Grid_Stock'!BE56</f>
        <v/>
      </c>
      <c r="BO116" s="19">
        <f>'Grid_Stock'!BF56</f>
        <v/>
      </c>
      <c r="BP116" s="19">
        <f>'Grid_Stock'!BG56</f>
        <v/>
      </c>
      <c r="BQ116" s="19">
        <f>'Grid_Stock'!BH56</f>
        <v/>
      </c>
      <c r="BR116" s="19">
        <f>'Grid_Stock'!BI56</f>
        <v/>
      </c>
      <c r="BS116" s="19">
        <f>'Grid_Stock'!BJ56</f>
        <v/>
      </c>
      <c r="BT116" s="19">
        <f>'Grid_Stock'!BK56</f>
        <v/>
      </c>
      <c r="BU116" s="19">
        <f>'Grid_Stock'!BL56</f>
        <v/>
      </c>
      <c r="BV116" s="19">
        <f>'Grid_Stock'!BM56</f>
        <v/>
      </c>
      <c r="BW116" s="19">
        <f>'Grid_Stock'!BN56</f>
        <v/>
      </c>
      <c r="BX116" s="19">
        <f>'Grid_Stock'!BO56</f>
        <v/>
      </c>
      <c r="BY116" s="19">
        <f>'Grid_Stock'!BP56</f>
        <v/>
      </c>
      <c r="BZ116" s="19">
        <f>'Grid_Stock'!BQ56</f>
        <v/>
      </c>
      <c r="CA116" s="19">
        <f>'Grid_Stock'!BR56</f>
        <v/>
      </c>
      <c r="CB116" s="19">
        <f>'Grid_Stock'!BS56</f>
        <v/>
      </c>
      <c r="CC116" s="19">
        <f>'Grid_Stock'!BT56</f>
        <v/>
      </c>
      <c r="CD116" s="19">
        <f>'Grid_Stock'!BU56</f>
        <v/>
      </c>
      <c r="CE116" s="19">
        <f>'Grid_Stock'!BV56</f>
        <v/>
      </c>
      <c r="CF116" s="19">
        <f>'Grid_Stock'!BW56</f>
        <v/>
      </c>
      <c r="CG116" s="19">
        <f>'Grid_Stock'!BX56</f>
        <v/>
      </c>
      <c r="CH116" s="19">
        <f>'Grid_Stock'!BY56</f>
        <v/>
      </c>
      <c r="CI116" s="19">
        <f>'Grid_Stock'!BZ56</f>
        <v/>
      </c>
      <c r="CJ116" s="19">
        <f>'Grid_Stock'!CA56</f>
        <v/>
      </c>
      <c r="CK116" s="19">
        <f>'Grid_Stock'!CB56</f>
        <v/>
      </c>
      <c r="CL116" s="19">
        <f>'Grid_Stock'!CC56</f>
        <v/>
      </c>
      <c r="CM116" s="19">
        <f>'Grid_Stock'!CD56</f>
        <v/>
      </c>
      <c r="CN116" s="19">
        <f>'Grid_Stock'!CE56</f>
        <v/>
      </c>
      <c r="CO116" s="19">
        <f>'Grid_Stock'!CF56</f>
        <v/>
      </c>
      <c r="CP116" s="19">
        <f>'Grid_Stock'!CG56</f>
        <v/>
      </c>
      <c r="CQ116" s="19">
        <f>'Grid_Stock'!CH56</f>
        <v/>
      </c>
      <c r="CR116" s="19">
        <f>'Grid_Stock'!CI56</f>
        <v/>
      </c>
      <c r="CS116" s="19">
        <f>'Grid_Stock'!CJ56</f>
        <v/>
      </c>
      <c r="CT116" s="19">
        <f>'Grid_Stock'!CK56</f>
        <v/>
      </c>
      <c r="CU116" s="19">
        <f>'Grid_Stock'!CL56</f>
        <v/>
      </c>
      <c r="CV116" s="19">
        <f>'Grid_Stock'!CM56</f>
        <v/>
      </c>
      <c r="CW116" s="19">
        <f>'Grid_Stock'!CN56</f>
        <v/>
      </c>
      <c r="CX116" s="19">
        <f>'Grid_Stock'!CO56</f>
        <v/>
      </c>
      <c r="CY116" s="19">
        <f>'Grid_Stock'!CP56</f>
        <v/>
      </c>
      <c r="CZ116" s="19">
        <f>'Grid_Stock'!CQ56</f>
        <v/>
      </c>
      <c r="DA116" s="19">
        <f>'Grid_Stock'!CR56</f>
        <v/>
      </c>
      <c r="DB116" s="19">
        <f>'Grid_Stock'!CS56</f>
        <v/>
      </c>
      <c r="DC116" s="19">
        <f>'Grid_Stock'!CT56</f>
        <v/>
      </c>
      <c r="DD116" s="19">
        <f>'Grid_Stock'!CU56</f>
        <v/>
      </c>
      <c r="DE116" s="19">
        <f>'Grid_Stock'!CV56</f>
        <v/>
      </c>
      <c r="DF116" s="19">
        <f>'Grid_Stock'!CW56</f>
        <v/>
      </c>
      <c r="DG116" s="19">
        <f>'Grid_Stock'!CX56</f>
        <v/>
      </c>
      <c r="DH116" s="19">
        <f>'Grid_Stock'!CY56</f>
        <v/>
      </c>
      <c r="DI116" s="19">
        <f>'Grid_Stock'!CZ56</f>
        <v/>
      </c>
      <c r="DJ116" s="19">
        <f>'Grid_Stock'!DA56</f>
        <v/>
      </c>
    </row>
    <row r="117">
      <c r="A117" s="17" t="inlineStr">
        <is>
          <t>Ester Film</t>
        </is>
      </c>
      <c r="B117" s="17">
        <f>IFERROR(INDEX(M_RawMaterials[Description],MATCH($A117,M_RawMaterials[Part Name],0)),"")</f>
        <v/>
      </c>
      <c r="C117" s="17">
        <f>IFERROR(INDEX(M_RawMaterials[Category],MATCH($A117,M_RawMaterials[Part Name],0)),"")</f>
        <v/>
      </c>
      <c r="D117" s="17">
        <f>IFERROR(INDEX(M_RawMaterials[基準在庫下限_要入力],MATCH($A117,M_RawMaterials[Part Name],0)),0)</f>
        <v/>
      </c>
      <c r="E117" s="17">
        <f>IFERROR(INDEX(M_RawMaterials[基準在庫上限_要入力],MATCH($A117,M_RawMaterials[Part Name],0)),0)</f>
        <v/>
      </c>
      <c r="F117" s="17">
        <f>IFERROR(LOOKUP(2,1/('T_SelfStock'!$B$61:$DA$61&lt;&gt;""),'T_SelfStock'!$B$61:$DA$61),"")</f>
        <v/>
      </c>
      <c r="G117" s="17">
        <f>IFERROR(LOOKUP(2,1/('T_TTAFStock'!$B$61:$DA$61&lt;&gt;""),'T_TTAFStock'!$B$61:$DA$61),"")</f>
        <v/>
      </c>
      <c r="H117" s="17">
        <f>IFERROR(LOOKUP(2,1/('T_SelfStock'!$B$61:$DA$61&lt;&gt;""),'T_SelfStock'!$B$5:$DA$5),"")</f>
        <v/>
      </c>
      <c r="I117" s="18" t="inlineStr">
        <is>
          <t>理論在庫</t>
        </is>
      </c>
      <c r="J117" s="17">
        <f>IFERROR(INDEX('Grid_Stock'!$A57:$DA57,1,LOOKUP(2,1/('T_SelfStock'!$B$61:$DA$61&lt;&gt;""),COLUMN('T_SelfStock'!$B$61:$DA$61)))-INDEX('Grid_TheoreticalStock'!$A57:$DA57,1,LOOKUP(2,1/('T_SelfStock'!$B$61:$DA$61&lt;&gt;""),COLUMN('T_SelfStock'!$B$61:$DA$61))),0)</f>
        <v/>
      </c>
      <c r="K117" s="18">
        <f>'Grid_TheoreticalStock'!B57</f>
        <v/>
      </c>
      <c r="L117" s="18">
        <f>'Grid_TheoreticalStock'!C57</f>
        <v/>
      </c>
      <c r="M117" s="18">
        <f>'Grid_TheoreticalStock'!D57</f>
        <v/>
      </c>
      <c r="N117" s="18">
        <f>'Grid_TheoreticalStock'!E57</f>
        <v/>
      </c>
      <c r="O117" s="18">
        <f>'Grid_TheoreticalStock'!F57</f>
        <v/>
      </c>
      <c r="P117" s="18">
        <f>'Grid_TheoreticalStock'!G57</f>
        <v/>
      </c>
      <c r="Q117" s="18">
        <f>'Grid_TheoreticalStock'!H57</f>
        <v/>
      </c>
      <c r="R117" s="18">
        <f>'Grid_TheoreticalStock'!I57</f>
        <v/>
      </c>
      <c r="S117" s="18">
        <f>'Grid_TheoreticalStock'!J57</f>
        <v/>
      </c>
      <c r="T117" s="18">
        <f>'Grid_TheoreticalStock'!K57</f>
        <v/>
      </c>
      <c r="U117" s="18">
        <f>'Grid_TheoreticalStock'!L57</f>
        <v/>
      </c>
      <c r="V117" s="18">
        <f>'Grid_TheoreticalStock'!M57</f>
        <v/>
      </c>
      <c r="W117" s="18">
        <f>'Grid_TheoreticalStock'!N57</f>
        <v/>
      </c>
      <c r="X117" s="18">
        <f>'Grid_TheoreticalStock'!O57</f>
        <v/>
      </c>
      <c r="Y117" s="18">
        <f>'Grid_TheoreticalStock'!P57</f>
        <v/>
      </c>
      <c r="Z117" s="18">
        <f>'Grid_TheoreticalStock'!Q57</f>
        <v/>
      </c>
      <c r="AA117" s="18">
        <f>'Grid_TheoreticalStock'!R57</f>
        <v/>
      </c>
      <c r="AB117" s="18">
        <f>'Grid_TheoreticalStock'!S57</f>
        <v/>
      </c>
      <c r="AC117" s="18">
        <f>'Grid_TheoreticalStock'!T57</f>
        <v/>
      </c>
      <c r="AD117" s="18">
        <f>'Grid_TheoreticalStock'!U57</f>
        <v/>
      </c>
      <c r="AE117" s="18">
        <f>'Grid_TheoreticalStock'!V57</f>
        <v/>
      </c>
      <c r="AF117" s="18">
        <f>'Grid_TheoreticalStock'!W57</f>
        <v/>
      </c>
      <c r="AG117" s="18">
        <f>'Grid_TheoreticalStock'!X57</f>
        <v/>
      </c>
      <c r="AH117" s="18">
        <f>'Grid_TheoreticalStock'!Y57</f>
        <v/>
      </c>
      <c r="AI117" s="18">
        <f>'Grid_TheoreticalStock'!Z57</f>
        <v/>
      </c>
      <c r="AJ117" s="18">
        <f>'Grid_TheoreticalStock'!AA57</f>
        <v/>
      </c>
      <c r="AK117" s="18">
        <f>'Grid_TheoreticalStock'!AB57</f>
        <v/>
      </c>
      <c r="AL117" s="18">
        <f>'Grid_TheoreticalStock'!AC57</f>
        <v/>
      </c>
      <c r="AM117" s="18">
        <f>'Grid_TheoreticalStock'!AD57</f>
        <v/>
      </c>
      <c r="AN117" s="18">
        <f>'Grid_TheoreticalStock'!AE57</f>
        <v/>
      </c>
      <c r="AO117" s="18">
        <f>'Grid_TheoreticalStock'!AF57</f>
        <v/>
      </c>
      <c r="AP117" s="18">
        <f>'Grid_TheoreticalStock'!AG57</f>
        <v/>
      </c>
      <c r="AQ117" s="18">
        <f>'Grid_TheoreticalStock'!AH57</f>
        <v/>
      </c>
      <c r="AR117" s="18">
        <f>'Grid_TheoreticalStock'!AI57</f>
        <v/>
      </c>
      <c r="AS117" s="18">
        <f>'Grid_TheoreticalStock'!AJ57</f>
        <v/>
      </c>
      <c r="AT117" s="18">
        <f>'Grid_TheoreticalStock'!AK57</f>
        <v/>
      </c>
      <c r="AU117" s="18">
        <f>'Grid_TheoreticalStock'!AL57</f>
        <v/>
      </c>
      <c r="AV117" s="18">
        <f>'Grid_TheoreticalStock'!AM57</f>
        <v/>
      </c>
      <c r="AW117" s="18">
        <f>'Grid_TheoreticalStock'!AN57</f>
        <v/>
      </c>
      <c r="AX117" s="18">
        <f>'Grid_TheoreticalStock'!AO57</f>
        <v/>
      </c>
      <c r="AY117" s="18">
        <f>'Grid_TheoreticalStock'!AP57</f>
        <v/>
      </c>
      <c r="AZ117" s="18">
        <f>'Grid_TheoreticalStock'!AQ57</f>
        <v/>
      </c>
      <c r="BA117" s="18">
        <f>'Grid_TheoreticalStock'!AR57</f>
        <v/>
      </c>
      <c r="BB117" s="18">
        <f>'Grid_TheoreticalStock'!AS57</f>
        <v/>
      </c>
      <c r="BC117" s="18">
        <f>'Grid_TheoreticalStock'!AT57</f>
        <v/>
      </c>
      <c r="BD117" s="18">
        <f>'Grid_TheoreticalStock'!AU57</f>
        <v/>
      </c>
      <c r="BE117" s="18">
        <f>'Grid_TheoreticalStock'!AV57</f>
        <v/>
      </c>
      <c r="BF117" s="18">
        <f>'Grid_TheoreticalStock'!AW57</f>
        <v/>
      </c>
      <c r="BG117" s="18">
        <f>'Grid_TheoreticalStock'!AX57</f>
        <v/>
      </c>
      <c r="BH117" s="18">
        <f>'Grid_TheoreticalStock'!AY57</f>
        <v/>
      </c>
      <c r="BI117" s="18">
        <f>'Grid_TheoreticalStock'!AZ57</f>
        <v/>
      </c>
      <c r="BJ117" s="18">
        <f>'Grid_TheoreticalStock'!BA57</f>
        <v/>
      </c>
      <c r="BK117" s="18">
        <f>'Grid_TheoreticalStock'!BB57</f>
        <v/>
      </c>
      <c r="BL117" s="18">
        <f>'Grid_TheoreticalStock'!BC57</f>
        <v/>
      </c>
      <c r="BM117" s="18">
        <f>'Grid_TheoreticalStock'!BD57</f>
        <v/>
      </c>
      <c r="BN117" s="18">
        <f>'Grid_TheoreticalStock'!BE57</f>
        <v/>
      </c>
      <c r="BO117" s="18">
        <f>'Grid_TheoreticalStock'!BF57</f>
        <v/>
      </c>
      <c r="BP117" s="18">
        <f>'Grid_TheoreticalStock'!BG57</f>
        <v/>
      </c>
      <c r="BQ117" s="18">
        <f>'Grid_TheoreticalStock'!BH57</f>
        <v/>
      </c>
      <c r="BR117" s="18">
        <f>'Grid_TheoreticalStock'!BI57</f>
        <v/>
      </c>
      <c r="BS117" s="18">
        <f>'Grid_TheoreticalStock'!BJ57</f>
        <v/>
      </c>
      <c r="BT117" s="18">
        <f>'Grid_TheoreticalStock'!BK57</f>
        <v/>
      </c>
      <c r="BU117" s="18">
        <f>'Grid_TheoreticalStock'!BL57</f>
        <v/>
      </c>
      <c r="BV117" s="18">
        <f>'Grid_TheoreticalStock'!BM57</f>
        <v/>
      </c>
      <c r="BW117" s="18">
        <f>'Grid_TheoreticalStock'!BN57</f>
        <v/>
      </c>
      <c r="BX117" s="18">
        <f>'Grid_TheoreticalStock'!BO57</f>
        <v/>
      </c>
      <c r="BY117" s="18">
        <f>'Grid_TheoreticalStock'!BP57</f>
        <v/>
      </c>
      <c r="BZ117" s="18">
        <f>'Grid_TheoreticalStock'!BQ57</f>
        <v/>
      </c>
      <c r="CA117" s="18">
        <f>'Grid_TheoreticalStock'!BR57</f>
        <v/>
      </c>
      <c r="CB117" s="18">
        <f>'Grid_TheoreticalStock'!BS57</f>
        <v/>
      </c>
      <c r="CC117" s="18">
        <f>'Grid_TheoreticalStock'!BT57</f>
        <v/>
      </c>
      <c r="CD117" s="18">
        <f>'Grid_TheoreticalStock'!BU57</f>
        <v/>
      </c>
      <c r="CE117" s="18">
        <f>'Grid_TheoreticalStock'!BV57</f>
        <v/>
      </c>
      <c r="CF117" s="18">
        <f>'Grid_TheoreticalStock'!BW57</f>
        <v/>
      </c>
      <c r="CG117" s="18">
        <f>'Grid_TheoreticalStock'!BX57</f>
        <v/>
      </c>
      <c r="CH117" s="18">
        <f>'Grid_TheoreticalStock'!BY57</f>
        <v/>
      </c>
      <c r="CI117" s="18">
        <f>'Grid_TheoreticalStock'!BZ57</f>
        <v/>
      </c>
      <c r="CJ117" s="18">
        <f>'Grid_TheoreticalStock'!CA57</f>
        <v/>
      </c>
      <c r="CK117" s="18">
        <f>'Grid_TheoreticalStock'!CB57</f>
        <v/>
      </c>
      <c r="CL117" s="18">
        <f>'Grid_TheoreticalStock'!CC57</f>
        <v/>
      </c>
      <c r="CM117" s="18">
        <f>'Grid_TheoreticalStock'!CD57</f>
        <v/>
      </c>
      <c r="CN117" s="18">
        <f>'Grid_TheoreticalStock'!CE57</f>
        <v/>
      </c>
      <c r="CO117" s="18">
        <f>'Grid_TheoreticalStock'!CF57</f>
        <v/>
      </c>
      <c r="CP117" s="18">
        <f>'Grid_TheoreticalStock'!CG57</f>
        <v/>
      </c>
      <c r="CQ117" s="18">
        <f>'Grid_TheoreticalStock'!CH57</f>
        <v/>
      </c>
      <c r="CR117" s="18">
        <f>'Grid_TheoreticalStock'!CI57</f>
        <v/>
      </c>
      <c r="CS117" s="18">
        <f>'Grid_TheoreticalStock'!CJ57</f>
        <v/>
      </c>
      <c r="CT117" s="18">
        <f>'Grid_TheoreticalStock'!CK57</f>
        <v/>
      </c>
      <c r="CU117" s="18">
        <f>'Grid_TheoreticalStock'!CL57</f>
        <v/>
      </c>
      <c r="CV117" s="18">
        <f>'Grid_TheoreticalStock'!CM57</f>
        <v/>
      </c>
      <c r="CW117" s="18">
        <f>'Grid_TheoreticalStock'!CN57</f>
        <v/>
      </c>
      <c r="CX117" s="18">
        <f>'Grid_TheoreticalStock'!CO57</f>
        <v/>
      </c>
      <c r="CY117" s="18">
        <f>'Grid_TheoreticalStock'!CP57</f>
        <v/>
      </c>
      <c r="CZ117" s="18">
        <f>'Grid_TheoreticalStock'!CQ57</f>
        <v/>
      </c>
      <c r="DA117" s="18">
        <f>'Grid_TheoreticalStock'!CR57</f>
        <v/>
      </c>
      <c r="DB117" s="18">
        <f>'Grid_TheoreticalStock'!CS57</f>
        <v/>
      </c>
      <c r="DC117" s="18">
        <f>'Grid_TheoreticalStock'!CT57</f>
        <v/>
      </c>
      <c r="DD117" s="18">
        <f>'Grid_TheoreticalStock'!CU57</f>
        <v/>
      </c>
      <c r="DE117" s="18">
        <f>'Grid_TheoreticalStock'!CV57</f>
        <v/>
      </c>
      <c r="DF117" s="18">
        <f>'Grid_TheoreticalStock'!CW57</f>
        <v/>
      </c>
      <c r="DG117" s="18">
        <f>'Grid_TheoreticalStock'!CX57</f>
        <v/>
      </c>
      <c r="DH117" s="18">
        <f>'Grid_TheoreticalStock'!CY57</f>
        <v/>
      </c>
      <c r="DI117" s="18">
        <f>'Grid_TheoreticalStock'!CZ57</f>
        <v/>
      </c>
      <c r="DJ117" s="18">
        <f>'Grid_TheoreticalStock'!DA57</f>
        <v/>
      </c>
    </row>
    <row r="118">
      <c r="A118" s="19" t="inlineStr">
        <is>
          <t>Ester Film</t>
        </is>
      </c>
      <c r="B118" s="19">
        <f>IFERROR(INDEX(M_RawMaterials[Description],MATCH($A118,M_RawMaterials[Part Name],0)),"")</f>
        <v/>
      </c>
      <c r="C118" s="19">
        <f>IFERROR(INDEX(M_RawMaterials[Category],MATCH($A118,M_RawMaterials[Part Name],0)),"")</f>
        <v/>
      </c>
      <c r="D118" s="19">
        <f>IFERROR(INDEX(M_RawMaterials[基準在庫下限_要入力],MATCH($A118,M_RawMaterials[Part Name],0)),0)</f>
        <v/>
      </c>
      <c r="E118" s="19">
        <f>IFERROR(INDEX(M_RawMaterials[基準在庫上限_要入力],MATCH($A118,M_RawMaterials[Part Name],0)),0)</f>
        <v/>
      </c>
      <c r="F118" s="19">
        <f>IFERROR(LOOKUP(2,1/('T_SelfStock'!$B$61:$DA$61&lt;&gt;""),'T_SelfStock'!$B$61:$DA$61),"")</f>
        <v/>
      </c>
      <c r="G118" s="19">
        <f>IFERROR(LOOKUP(2,1/('T_TTAFStock'!$B$61:$DA$61&lt;&gt;""),'T_TTAFStock'!$B$61:$DA$61),"")</f>
        <v/>
      </c>
      <c r="H118" s="19">
        <f>IFERROR(LOOKUP(2,1/('T_SelfStock'!$B$61:$DA$61&lt;&gt;""),'T_SelfStock'!$B$5:$DA$5),"")</f>
        <v/>
      </c>
      <c r="I118" s="20" t="inlineStr">
        <is>
          <t>実在庫</t>
        </is>
      </c>
      <c r="J118" s="19">
        <f>IFERROR(INDEX('Grid_Stock'!$A57:$DA57,1,LOOKUP(2,1/('T_SelfStock'!$B$61:$DA$61&lt;&gt;""),COLUMN('T_SelfStock'!$B$61:$DA$61)))-INDEX('Grid_TheoreticalStock'!$A57:$DA57,1,LOOKUP(2,1/('T_SelfStock'!$B$61:$DA$61&lt;&gt;""),COLUMN('T_SelfStock'!$B$61:$DA$61))),0)</f>
        <v/>
      </c>
      <c r="K118" s="19">
        <f>'Grid_Stock'!B57</f>
        <v/>
      </c>
      <c r="L118" s="19">
        <f>'Grid_Stock'!C57</f>
        <v/>
      </c>
      <c r="M118" s="19">
        <f>'Grid_Stock'!D57</f>
        <v/>
      </c>
      <c r="N118" s="19">
        <f>'Grid_Stock'!E57</f>
        <v/>
      </c>
      <c r="O118" s="19">
        <f>'Grid_Stock'!F57</f>
        <v/>
      </c>
      <c r="P118" s="19">
        <f>'Grid_Stock'!G57</f>
        <v/>
      </c>
      <c r="Q118" s="19">
        <f>'Grid_Stock'!H57</f>
        <v/>
      </c>
      <c r="R118" s="19">
        <f>'Grid_Stock'!I57</f>
        <v/>
      </c>
      <c r="S118" s="19">
        <f>'Grid_Stock'!J57</f>
        <v/>
      </c>
      <c r="T118" s="19">
        <f>'Grid_Stock'!K57</f>
        <v/>
      </c>
      <c r="U118" s="19">
        <f>'Grid_Stock'!L57</f>
        <v/>
      </c>
      <c r="V118" s="19">
        <f>'Grid_Stock'!M57</f>
        <v/>
      </c>
      <c r="W118" s="19">
        <f>'Grid_Stock'!N57</f>
        <v/>
      </c>
      <c r="X118" s="19">
        <f>'Grid_Stock'!O57</f>
        <v/>
      </c>
      <c r="Y118" s="19">
        <f>'Grid_Stock'!P57</f>
        <v/>
      </c>
      <c r="Z118" s="19">
        <f>'Grid_Stock'!Q57</f>
        <v/>
      </c>
      <c r="AA118" s="19">
        <f>'Grid_Stock'!R57</f>
        <v/>
      </c>
      <c r="AB118" s="19">
        <f>'Grid_Stock'!S57</f>
        <v/>
      </c>
      <c r="AC118" s="19">
        <f>'Grid_Stock'!T57</f>
        <v/>
      </c>
      <c r="AD118" s="19">
        <f>'Grid_Stock'!U57</f>
        <v/>
      </c>
      <c r="AE118" s="19">
        <f>'Grid_Stock'!V57</f>
        <v/>
      </c>
      <c r="AF118" s="19">
        <f>'Grid_Stock'!W57</f>
        <v/>
      </c>
      <c r="AG118" s="19">
        <f>'Grid_Stock'!X57</f>
        <v/>
      </c>
      <c r="AH118" s="19">
        <f>'Grid_Stock'!Y57</f>
        <v/>
      </c>
      <c r="AI118" s="19">
        <f>'Grid_Stock'!Z57</f>
        <v/>
      </c>
      <c r="AJ118" s="19">
        <f>'Grid_Stock'!AA57</f>
        <v/>
      </c>
      <c r="AK118" s="19">
        <f>'Grid_Stock'!AB57</f>
        <v/>
      </c>
      <c r="AL118" s="19">
        <f>'Grid_Stock'!AC57</f>
        <v/>
      </c>
      <c r="AM118" s="19">
        <f>'Grid_Stock'!AD57</f>
        <v/>
      </c>
      <c r="AN118" s="19">
        <f>'Grid_Stock'!AE57</f>
        <v/>
      </c>
      <c r="AO118" s="19">
        <f>'Grid_Stock'!AF57</f>
        <v/>
      </c>
      <c r="AP118" s="19">
        <f>'Grid_Stock'!AG57</f>
        <v/>
      </c>
      <c r="AQ118" s="19">
        <f>'Grid_Stock'!AH57</f>
        <v/>
      </c>
      <c r="AR118" s="19">
        <f>'Grid_Stock'!AI57</f>
        <v/>
      </c>
      <c r="AS118" s="19">
        <f>'Grid_Stock'!AJ57</f>
        <v/>
      </c>
      <c r="AT118" s="19">
        <f>'Grid_Stock'!AK57</f>
        <v/>
      </c>
      <c r="AU118" s="19">
        <f>'Grid_Stock'!AL57</f>
        <v/>
      </c>
      <c r="AV118" s="19">
        <f>'Grid_Stock'!AM57</f>
        <v/>
      </c>
      <c r="AW118" s="19">
        <f>'Grid_Stock'!AN57</f>
        <v/>
      </c>
      <c r="AX118" s="19">
        <f>'Grid_Stock'!AO57</f>
        <v/>
      </c>
      <c r="AY118" s="19">
        <f>'Grid_Stock'!AP57</f>
        <v/>
      </c>
      <c r="AZ118" s="19">
        <f>'Grid_Stock'!AQ57</f>
        <v/>
      </c>
      <c r="BA118" s="19">
        <f>'Grid_Stock'!AR57</f>
        <v/>
      </c>
      <c r="BB118" s="19">
        <f>'Grid_Stock'!AS57</f>
        <v/>
      </c>
      <c r="BC118" s="19">
        <f>'Grid_Stock'!AT57</f>
        <v/>
      </c>
      <c r="BD118" s="19">
        <f>'Grid_Stock'!AU57</f>
        <v/>
      </c>
      <c r="BE118" s="19">
        <f>'Grid_Stock'!AV57</f>
        <v/>
      </c>
      <c r="BF118" s="19">
        <f>'Grid_Stock'!AW57</f>
        <v/>
      </c>
      <c r="BG118" s="19">
        <f>'Grid_Stock'!AX57</f>
        <v/>
      </c>
      <c r="BH118" s="19">
        <f>'Grid_Stock'!AY57</f>
        <v/>
      </c>
      <c r="BI118" s="19">
        <f>'Grid_Stock'!AZ57</f>
        <v/>
      </c>
      <c r="BJ118" s="19">
        <f>'Grid_Stock'!BA57</f>
        <v/>
      </c>
      <c r="BK118" s="19">
        <f>'Grid_Stock'!BB57</f>
        <v/>
      </c>
      <c r="BL118" s="19">
        <f>'Grid_Stock'!BC57</f>
        <v/>
      </c>
      <c r="BM118" s="19">
        <f>'Grid_Stock'!BD57</f>
        <v/>
      </c>
      <c r="BN118" s="19">
        <f>'Grid_Stock'!BE57</f>
        <v/>
      </c>
      <c r="BO118" s="19">
        <f>'Grid_Stock'!BF57</f>
        <v/>
      </c>
      <c r="BP118" s="19">
        <f>'Grid_Stock'!BG57</f>
        <v/>
      </c>
      <c r="BQ118" s="19">
        <f>'Grid_Stock'!BH57</f>
        <v/>
      </c>
      <c r="BR118" s="19">
        <f>'Grid_Stock'!BI57</f>
        <v/>
      </c>
      <c r="BS118" s="19">
        <f>'Grid_Stock'!BJ57</f>
        <v/>
      </c>
      <c r="BT118" s="19">
        <f>'Grid_Stock'!BK57</f>
        <v/>
      </c>
      <c r="BU118" s="19">
        <f>'Grid_Stock'!BL57</f>
        <v/>
      </c>
      <c r="BV118" s="19">
        <f>'Grid_Stock'!BM57</f>
        <v/>
      </c>
      <c r="BW118" s="19">
        <f>'Grid_Stock'!BN57</f>
        <v/>
      </c>
      <c r="BX118" s="19">
        <f>'Grid_Stock'!BO57</f>
        <v/>
      </c>
      <c r="BY118" s="19">
        <f>'Grid_Stock'!BP57</f>
        <v/>
      </c>
      <c r="BZ118" s="19">
        <f>'Grid_Stock'!BQ57</f>
        <v/>
      </c>
      <c r="CA118" s="19">
        <f>'Grid_Stock'!BR57</f>
        <v/>
      </c>
      <c r="CB118" s="19">
        <f>'Grid_Stock'!BS57</f>
        <v/>
      </c>
      <c r="CC118" s="19">
        <f>'Grid_Stock'!BT57</f>
        <v/>
      </c>
      <c r="CD118" s="19">
        <f>'Grid_Stock'!BU57</f>
        <v/>
      </c>
      <c r="CE118" s="19">
        <f>'Grid_Stock'!BV57</f>
        <v/>
      </c>
      <c r="CF118" s="19">
        <f>'Grid_Stock'!BW57</f>
        <v/>
      </c>
      <c r="CG118" s="19">
        <f>'Grid_Stock'!BX57</f>
        <v/>
      </c>
      <c r="CH118" s="19">
        <f>'Grid_Stock'!BY57</f>
        <v/>
      </c>
      <c r="CI118" s="19">
        <f>'Grid_Stock'!BZ57</f>
        <v/>
      </c>
      <c r="CJ118" s="19">
        <f>'Grid_Stock'!CA57</f>
        <v/>
      </c>
      <c r="CK118" s="19">
        <f>'Grid_Stock'!CB57</f>
        <v/>
      </c>
      <c r="CL118" s="19">
        <f>'Grid_Stock'!CC57</f>
        <v/>
      </c>
      <c r="CM118" s="19">
        <f>'Grid_Stock'!CD57</f>
        <v/>
      </c>
      <c r="CN118" s="19">
        <f>'Grid_Stock'!CE57</f>
        <v/>
      </c>
      <c r="CO118" s="19">
        <f>'Grid_Stock'!CF57</f>
        <v/>
      </c>
      <c r="CP118" s="19">
        <f>'Grid_Stock'!CG57</f>
        <v/>
      </c>
      <c r="CQ118" s="19">
        <f>'Grid_Stock'!CH57</f>
        <v/>
      </c>
      <c r="CR118" s="19">
        <f>'Grid_Stock'!CI57</f>
        <v/>
      </c>
      <c r="CS118" s="19">
        <f>'Grid_Stock'!CJ57</f>
        <v/>
      </c>
      <c r="CT118" s="19">
        <f>'Grid_Stock'!CK57</f>
        <v/>
      </c>
      <c r="CU118" s="19">
        <f>'Grid_Stock'!CL57</f>
        <v/>
      </c>
      <c r="CV118" s="19">
        <f>'Grid_Stock'!CM57</f>
        <v/>
      </c>
      <c r="CW118" s="19">
        <f>'Grid_Stock'!CN57</f>
        <v/>
      </c>
      <c r="CX118" s="19">
        <f>'Grid_Stock'!CO57</f>
        <v/>
      </c>
      <c r="CY118" s="19">
        <f>'Grid_Stock'!CP57</f>
        <v/>
      </c>
      <c r="CZ118" s="19">
        <f>'Grid_Stock'!CQ57</f>
        <v/>
      </c>
      <c r="DA118" s="19">
        <f>'Grid_Stock'!CR57</f>
        <v/>
      </c>
      <c r="DB118" s="19">
        <f>'Grid_Stock'!CS57</f>
        <v/>
      </c>
      <c r="DC118" s="19">
        <f>'Grid_Stock'!CT57</f>
        <v/>
      </c>
      <c r="DD118" s="19">
        <f>'Grid_Stock'!CU57</f>
        <v/>
      </c>
      <c r="DE118" s="19">
        <f>'Grid_Stock'!CV57</f>
        <v/>
      </c>
      <c r="DF118" s="19">
        <f>'Grid_Stock'!CW57</f>
        <v/>
      </c>
      <c r="DG118" s="19">
        <f>'Grid_Stock'!CX57</f>
        <v/>
      </c>
      <c r="DH118" s="19">
        <f>'Grid_Stock'!CY57</f>
        <v/>
      </c>
      <c r="DI118" s="19">
        <f>'Grid_Stock'!CZ57</f>
        <v/>
      </c>
      <c r="DJ118" s="19">
        <f>'Grid_Stock'!DA57</f>
        <v/>
      </c>
    </row>
    <row r="119">
      <c r="A119" s="17" t="inlineStr">
        <is>
          <t>CHEM-1870</t>
        </is>
      </c>
      <c r="B119" s="17">
        <f>IFERROR(INDEX(M_RawMaterials[Description],MATCH($A119,M_RawMaterials[Part Name],0)),"")</f>
        <v/>
      </c>
      <c r="C119" s="17">
        <f>IFERROR(INDEX(M_RawMaterials[Category],MATCH($A119,M_RawMaterials[Part Name],0)),"")</f>
        <v/>
      </c>
      <c r="D119" s="17">
        <f>IFERROR(INDEX(M_RawMaterials[基準在庫下限_要入力],MATCH($A119,M_RawMaterials[Part Name],0)),0)</f>
        <v/>
      </c>
      <c r="E119" s="17">
        <f>IFERROR(INDEX(M_RawMaterials[基準在庫上限_要入力],MATCH($A119,M_RawMaterials[Part Name],0)),0)</f>
        <v/>
      </c>
      <c r="F119" s="17">
        <f>IFERROR(LOOKUP(2,1/('T_SelfStock'!$B$62:$DA$62&lt;&gt;""),'T_SelfStock'!$B$62:$DA$62),"")</f>
        <v/>
      </c>
      <c r="G119" s="17">
        <f>IFERROR(LOOKUP(2,1/('T_TTAFStock'!$B$62:$DA$62&lt;&gt;""),'T_TTAFStock'!$B$62:$DA$62),"")</f>
        <v/>
      </c>
      <c r="H119" s="17">
        <f>IFERROR(LOOKUP(2,1/('T_SelfStock'!$B$62:$DA$62&lt;&gt;""),'T_SelfStock'!$B$5:$DA$5),"")</f>
        <v/>
      </c>
      <c r="I119" s="18" t="inlineStr">
        <is>
          <t>理論在庫</t>
        </is>
      </c>
      <c r="J119" s="17">
        <f>IFERROR(INDEX('Grid_Stock'!$A58:$DA58,1,LOOKUP(2,1/('T_SelfStock'!$B$62:$DA$62&lt;&gt;""),COLUMN('T_SelfStock'!$B$62:$DA$62)))-INDEX('Grid_TheoreticalStock'!$A58:$DA58,1,LOOKUP(2,1/('T_SelfStock'!$B$62:$DA$62&lt;&gt;""),COLUMN('T_SelfStock'!$B$62:$DA$62))),0)</f>
        <v/>
      </c>
      <c r="K119" s="18">
        <f>'Grid_TheoreticalStock'!B58</f>
        <v/>
      </c>
      <c r="L119" s="18">
        <f>'Grid_TheoreticalStock'!C58</f>
        <v/>
      </c>
      <c r="M119" s="18">
        <f>'Grid_TheoreticalStock'!D58</f>
        <v/>
      </c>
      <c r="N119" s="18">
        <f>'Grid_TheoreticalStock'!E58</f>
        <v/>
      </c>
      <c r="O119" s="18">
        <f>'Grid_TheoreticalStock'!F58</f>
        <v/>
      </c>
      <c r="P119" s="18">
        <f>'Grid_TheoreticalStock'!G58</f>
        <v/>
      </c>
      <c r="Q119" s="18">
        <f>'Grid_TheoreticalStock'!H58</f>
        <v/>
      </c>
      <c r="R119" s="18">
        <f>'Grid_TheoreticalStock'!I58</f>
        <v/>
      </c>
      <c r="S119" s="18">
        <f>'Grid_TheoreticalStock'!J58</f>
        <v/>
      </c>
      <c r="T119" s="18">
        <f>'Grid_TheoreticalStock'!K58</f>
        <v/>
      </c>
      <c r="U119" s="18">
        <f>'Grid_TheoreticalStock'!L58</f>
        <v/>
      </c>
      <c r="V119" s="18">
        <f>'Grid_TheoreticalStock'!M58</f>
        <v/>
      </c>
      <c r="W119" s="18">
        <f>'Grid_TheoreticalStock'!N58</f>
        <v/>
      </c>
      <c r="X119" s="18">
        <f>'Grid_TheoreticalStock'!O58</f>
        <v/>
      </c>
      <c r="Y119" s="18">
        <f>'Grid_TheoreticalStock'!P58</f>
        <v/>
      </c>
      <c r="Z119" s="18">
        <f>'Grid_TheoreticalStock'!Q58</f>
        <v/>
      </c>
      <c r="AA119" s="18">
        <f>'Grid_TheoreticalStock'!R58</f>
        <v/>
      </c>
      <c r="AB119" s="18">
        <f>'Grid_TheoreticalStock'!S58</f>
        <v/>
      </c>
      <c r="AC119" s="18">
        <f>'Grid_TheoreticalStock'!T58</f>
        <v/>
      </c>
      <c r="AD119" s="18">
        <f>'Grid_TheoreticalStock'!U58</f>
        <v/>
      </c>
      <c r="AE119" s="18">
        <f>'Grid_TheoreticalStock'!V58</f>
        <v/>
      </c>
      <c r="AF119" s="18">
        <f>'Grid_TheoreticalStock'!W58</f>
        <v/>
      </c>
      <c r="AG119" s="18">
        <f>'Grid_TheoreticalStock'!X58</f>
        <v/>
      </c>
      <c r="AH119" s="18">
        <f>'Grid_TheoreticalStock'!Y58</f>
        <v/>
      </c>
      <c r="AI119" s="18">
        <f>'Grid_TheoreticalStock'!Z58</f>
        <v/>
      </c>
      <c r="AJ119" s="18">
        <f>'Grid_TheoreticalStock'!AA58</f>
        <v/>
      </c>
      <c r="AK119" s="18">
        <f>'Grid_TheoreticalStock'!AB58</f>
        <v/>
      </c>
      <c r="AL119" s="18">
        <f>'Grid_TheoreticalStock'!AC58</f>
        <v/>
      </c>
      <c r="AM119" s="18">
        <f>'Grid_TheoreticalStock'!AD58</f>
        <v/>
      </c>
      <c r="AN119" s="18">
        <f>'Grid_TheoreticalStock'!AE58</f>
        <v/>
      </c>
      <c r="AO119" s="18">
        <f>'Grid_TheoreticalStock'!AF58</f>
        <v/>
      </c>
      <c r="AP119" s="18">
        <f>'Grid_TheoreticalStock'!AG58</f>
        <v/>
      </c>
      <c r="AQ119" s="18">
        <f>'Grid_TheoreticalStock'!AH58</f>
        <v/>
      </c>
      <c r="AR119" s="18">
        <f>'Grid_TheoreticalStock'!AI58</f>
        <v/>
      </c>
      <c r="AS119" s="18">
        <f>'Grid_TheoreticalStock'!AJ58</f>
        <v/>
      </c>
      <c r="AT119" s="18">
        <f>'Grid_TheoreticalStock'!AK58</f>
        <v/>
      </c>
      <c r="AU119" s="18">
        <f>'Grid_TheoreticalStock'!AL58</f>
        <v/>
      </c>
      <c r="AV119" s="18">
        <f>'Grid_TheoreticalStock'!AM58</f>
        <v/>
      </c>
      <c r="AW119" s="18">
        <f>'Grid_TheoreticalStock'!AN58</f>
        <v/>
      </c>
      <c r="AX119" s="18">
        <f>'Grid_TheoreticalStock'!AO58</f>
        <v/>
      </c>
      <c r="AY119" s="18">
        <f>'Grid_TheoreticalStock'!AP58</f>
        <v/>
      </c>
      <c r="AZ119" s="18">
        <f>'Grid_TheoreticalStock'!AQ58</f>
        <v/>
      </c>
      <c r="BA119" s="18">
        <f>'Grid_TheoreticalStock'!AR58</f>
        <v/>
      </c>
      <c r="BB119" s="18">
        <f>'Grid_TheoreticalStock'!AS58</f>
        <v/>
      </c>
      <c r="BC119" s="18">
        <f>'Grid_TheoreticalStock'!AT58</f>
        <v/>
      </c>
      <c r="BD119" s="18">
        <f>'Grid_TheoreticalStock'!AU58</f>
        <v/>
      </c>
      <c r="BE119" s="18">
        <f>'Grid_TheoreticalStock'!AV58</f>
        <v/>
      </c>
      <c r="BF119" s="18">
        <f>'Grid_TheoreticalStock'!AW58</f>
        <v/>
      </c>
      <c r="BG119" s="18">
        <f>'Grid_TheoreticalStock'!AX58</f>
        <v/>
      </c>
      <c r="BH119" s="18">
        <f>'Grid_TheoreticalStock'!AY58</f>
        <v/>
      </c>
      <c r="BI119" s="18">
        <f>'Grid_TheoreticalStock'!AZ58</f>
        <v/>
      </c>
      <c r="BJ119" s="18">
        <f>'Grid_TheoreticalStock'!BA58</f>
        <v/>
      </c>
      <c r="BK119" s="18">
        <f>'Grid_TheoreticalStock'!BB58</f>
        <v/>
      </c>
      <c r="BL119" s="18">
        <f>'Grid_TheoreticalStock'!BC58</f>
        <v/>
      </c>
      <c r="BM119" s="18">
        <f>'Grid_TheoreticalStock'!BD58</f>
        <v/>
      </c>
      <c r="BN119" s="18">
        <f>'Grid_TheoreticalStock'!BE58</f>
        <v/>
      </c>
      <c r="BO119" s="18">
        <f>'Grid_TheoreticalStock'!BF58</f>
        <v/>
      </c>
      <c r="BP119" s="18">
        <f>'Grid_TheoreticalStock'!BG58</f>
        <v/>
      </c>
      <c r="BQ119" s="18">
        <f>'Grid_TheoreticalStock'!BH58</f>
        <v/>
      </c>
      <c r="BR119" s="18">
        <f>'Grid_TheoreticalStock'!BI58</f>
        <v/>
      </c>
      <c r="BS119" s="18">
        <f>'Grid_TheoreticalStock'!BJ58</f>
        <v/>
      </c>
      <c r="BT119" s="18">
        <f>'Grid_TheoreticalStock'!BK58</f>
        <v/>
      </c>
      <c r="BU119" s="18">
        <f>'Grid_TheoreticalStock'!BL58</f>
        <v/>
      </c>
      <c r="BV119" s="18">
        <f>'Grid_TheoreticalStock'!BM58</f>
        <v/>
      </c>
      <c r="BW119" s="18">
        <f>'Grid_TheoreticalStock'!BN58</f>
        <v/>
      </c>
      <c r="BX119" s="18">
        <f>'Grid_TheoreticalStock'!BO58</f>
        <v/>
      </c>
      <c r="BY119" s="18">
        <f>'Grid_TheoreticalStock'!BP58</f>
        <v/>
      </c>
      <c r="BZ119" s="18">
        <f>'Grid_TheoreticalStock'!BQ58</f>
        <v/>
      </c>
      <c r="CA119" s="18">
        <f>'Grid_TheoreticalStock'!BR58</f>
        <v/>
      </c>
      <c r="CB119" s="18">
        <f>'Grid_TheoreticalStock'!BS58</f>
        <v/>
      </c>
      <c r="CC119" s="18">
        <f>'Grid_TheoreticalStock'!BT58</f>
        <v/>
      </c>
      <c r="CD119" s="18">
        <f>'Grid_TheoreticalStock'!BU58</f>
        <v/>
      </c>
      <c r="CE119" s="18">
        <f>'Grid_TheoreticalStock'!BV58</f>
        <v/>
      </c>
      <c r="CF119" s="18">
        <f>'Grid_TheoreticalStock'!BW58</f>
        <v/>
      </c>
      <c r="CG119" s="18">
        <f>'Grid_TheoreticalStock'!BX58</f>
        <v/>
      </c>
      <c r="CH119" s="18">
        <f>'Grid_TheoreticalStock'!BY58</f>
        <v/>
      </c>
      <c r="CI119" s="18">
        <f>'Grid_TheoreticalStock'!BZ58</f>
        <v/>
      </c>
      <c r="CJ119" s="18">
        <f>'Grid_TheoreticalStock'!CA58</f>
        <v/>
      </c>
      <c r="CK119" s="18">
        <f>'Grid_TheoreticalStock'!CB58</f>
        <v/>
      </c>
      <c r="CL119" s="18">
        <f>'Grid_TheoreticalStock'!CC58</f>
        <v/>
      </c>
      <c r="CM119" s="18">
        <f>'Grid_TheoreticalStock'!CD58</f>
        <v/>
      </c>
      <c r="CN119" s="18">
        <f>'Grid_TheoreticalStock'!CE58</f>
        <v/>
      </c>
      <c r="CO119" s="18">
        <f>'Grid_TheoreticalStock'!CF58</f>
        <v/>
      </c>
      <c r="CP119" s="18">
        <f>'Grid_TheoreticalStock'!CG58</f>
        <v/>
      </c>
      <c r="CQ119" s="18">
        <f>'Grid_TheoreticalStock'!CH58</f>
        <v/>
      </c>
      <c r="CR119" s="18">
        <f>'Grid_TheoreticalStock'!CI58</f>
        <v/>
      </c>
      <c r="CS119" s="18">
        <f>'Grid_TheoreticalStock'!CJ58</f>
        <v/>
      </c>
      <c r="CT119" s="18">
        <f>'Grid_TheoreticalStock'!CK58</f>
        <v/>
      </c>
      <c r="CU119" s="18">
        <f>'Grid_TheoreticalStock'!CL58</f>
        <v/>
      </c>
      <c r="CV119" s="18">
        <f>'Grid_TheoreticalStock'!CM58</f>
        <v/>
      </c>
      <c r="CW119" s="18">
        <f>'Grid_TheoreticalStock'!CN58</f>
        <v/>
      </c>
      <c r="CX119" s="18">
        <f>'Grid_TheoreticalStock'!CO58</f>
        <v/>
      </c>
      <c r="CY119" s="18">
        <f>'Grid_TheoreticalStock'!CP58</f>
        <v/>
      </c>
      <c r="CZ119" s="18">
        <f>'Grid_TheoreticalStock'!CQ58</f>
        <v/>
      </c>
      <c r="DA119" s="18">
        <f>'Grid_TheoreticalStock'!CR58</f>
        <v/>
      </c>
      <c r="DB119" s="18">
        <f>'Grid_TheoreticalStock'!CS58</f>
        <v/>
      </c>
      <c r="DC119" s="18">
        <f>'Grid_TheoreticalStock'!CT58</f>
        <v/>
      </c>
      <c r="DD119" s="18">
        <f>'Grid_TheoreticalStock'!CU58</f>
        <v/>
      </c>
      <c r="DE119" s="18">
        <f>'Grid_TheoreticalStock'!CV58</f>
        <v/>
      </c>
      <c r="DF119" s="18">
        <f>'Grid_TheoreticalStock'!CW58</f>
        <v/>
      </c>
      <c r="DG119" s="18">
        <f>'Grid_TheoreticalStock'!CX58</f>
        <v/>
      </c>
      <c r="DH119" s="18">
        <f>'Grid_TheoreticalStock'!CY58</f>
        <v/>
      </c>
      <c r="DI119" s="18">
        <f>'Grid_TheoreticalStock'!CZ58</f>
        <v/>
      </c>
      <c r="DJ119" s="18">
        <f>'Grid_TheoreticalStock'!DA58</f>
        <v/>
      </c>
    </row>
    <row r="120">
      <c r="A120" s="19" t="inlineStr">
        <is>
          <t>CHEM-1870</t>
        </is>
      </c>
      <c r="B120" s="19">
        <f>IFERROR(INDEX(M_RawMaterials[Description],MATCH($A120,M_RawMaterials[Part Name],0)),"")</f>
        <v/>
      </c>
      <c r="C120" s="19">
        <f>IFERROR(INDEX(M_RawMaterials[Category],MATCH($A120,M_RawMaterials[Part Name],0)),"")</f>
        <v/>
      </c>
      <c r="D120" s="19">
        <f>IFERROR(INDEX(M_RawMaterials[基準在庫下限_要入力],MATCH($A120,M_RawMaterials[Part Name],0)),0)</f>
        <v/>
      </c>
      <c r="E120" s="19">
        <f>IFERROR(INDEX(M_RawMaterials[基準在庫上限_要入力],MATCH($A120,M_RawMaterials[Part Name],0)),0)</f>
        <v/>
      </c>
      <c r="F120" s="19">
        <f>IFERROR(LOOKUP(2,1/('T_SelfStock'!$B$62:$DA$62&lt;&gt;""),'T_SelfStock'!$B$62:$DA$62),"")</f>
        <v/>
      </c>
      <c r="G120" s="19">
        <f>IFERROR(LOOKUP(2,1/('T_TTAFStock'!$B$62:$DA$62&lt;&gt;""),'T_TTAFStock'!$B$62:$DA$62),"")</f>
        <v/>
      </c>
      <c r="H120" s="19">
        <f>IFERROR(LOOKUP(2,1/('T_SelfStock'!$B$62:$DA$62&lt;&gt;""),'T_SelfStock'!$B$5:$DA$5),"")</f>
        <v/>
      </c>
      <c r="I120" s="20" t="inlineStr">
        <is>
          <t>実在庫</t>
        </is>
      </c>
      <c r="J120" s="19">
        <f>IFERROR(INDEX('Grid_Stock'!$A58:$DA58,1,LOOKUP(2,1/('T_SelfStock'!$B$62:$DA$62&lt;&gt;""),COLUMN('T_SelfStock'!$B$62:$DA$62)))-INDEX('Grid_TheoreticalStock'!$A58:$DA58,1,LOOKUP(2,1/('T_SelfStock'!$B$62:$DA$62&lt;&gt;""),COLUMN('T_SelfStock'!$B$62:$DA$62))),0)</f>
        <v/>
      </c>
      <c r="K120" s="19">
        <f>'Grid_Stock'!B58</f>
        <v/>
      </c>
      <c r="L120" s="19">
        <f>'Grid_Stock'!C58</f>
        <v/>
      </c>
      <c r="M120" s="19">
        <f>'Grid_Stock'!D58</f>
        <v/>
      </c>
      <c r="N120" s="19">
        <f>'Grid_Stock'!E58</f>
        <v/>
      </c>
      <c r="O120" s="19">
        <f>'Grid_Stock'!F58</f>
        <v/>
      </c>
      <c r="P120" s="19">
        <f>'Grid_Stock'!G58</f>
        <v/>
      </c>
      <c r="Q120" s="19">
        <f>'Grid_Stock'!H58</f>
        <v/>
      </c>
      <c r="R120" s="19">
        <f>'Grid_Stock'!I58</f>
        <v/>
      </c>
      <c r="S120" s="19">
        <f>'Grid_Stock'!J58</f>
        <v/>
      </c>
      <c r="T120" s="19">
        <f>'Grid_Stock'!K58</f>
        <v/>
      </c>
      <c r="U120" s="19">
        <f>'Grid_Stock'!L58</f>
        <v/>
      </c>
      <c r="V120" s="19">
        <f>'Grid_Stock'!M58</f>
        <v/>
      </c>
      <c r="W120" s="19">
        <f>'Grid_Stock'!N58</f>
        <v/>
      </c>
      <c r="X120" s="19">
        <f>'Grid_Stock'!O58</f>
        <v/>
      </c>
      <c r="Y120" s="19">
        <f>'Grid_Stock'!P58</f>
        <v/>
      </c>
      <c r="Z120" s="19">
        <f>'Grid_Stock'!Q58</f>
        <v/>
      </c>
      <c r="AA120" s="19">
        <f>'Grid_Stock'!R58</f>
        <v/>
      </c>
      <c r="AB120" s="19">
        <f>'Grid_Stock'!S58</f>
        <v/>
      </c>
      <c r="AC120" s="19">
        <f>'Grid_Stock'!T58</f>
        <v/>
      </c>
      <c r="AD120" s="19">
        <f>'Grid_Stock'!U58</f>
        <v/>
      </c>
      <c r="AE120" s="19">
        <f>'Grid_Stock'!V58</f>
        <v/>
      </c>
      <c r="AF120" s="19">
        <f>'Grid_Stock'!W58</f>
        <v/>
      </c>
      <c r="AG120" s="19">
        <f>'Grid_Stock'!X58</f>
        <v/>
      </c>
      <c r="AH120" s="19">
        <f>'Grid_Stock'!Y58</f>
        <v/>
      </c>
      <c r="AI120" s="19">
        <f>'Grid_Stock'!Z58</f>
        <v/>
      </c>
      <c r="AJ120" s="19">
        <f>'Grid_Stock'!AA58</f>
        <v/>
      </c>
      <c r="AK120" s="19">
        <f>'Grid_Stock'!AB58</f>
        <v/>
      </c>
      <c r="AL120" s="19">
        <f>'Grid_Stock'!AC58</f>
        <v/>
      </c>
      <c r="AM120" s="19">
        <f>'Grid_Stock'!AD58</f>
        <v/>
      </c>
      <c r="AN120" s="19">
        <f>'Grid_Stock'!AE58</f>
        <v/>
      </c>
      <c r="AO120" s="19">
        <f>'Grid_Stock'!AF58</f>
        <v/>
      </c>
      <c r="AP120" s="19">
        <f>'Grid_Stock'!AG58</f>
        <v/>
      </c>
      <c r="AQ120" s="19">
        <f>'Grid_Stock'!AH58</f>
        <v/>
      </c>
      <c r="AR120" s="19">
        <f>'Grid_Stock'!AI58</f>
        <v/>
      </c>
      <c r="AS120" s="19">
        <f>'Grid_Stock'!AJ58</f>
        <v/>
      </c>
      <c r="AT120" s="19">
        <f>'Grid_Stock'!AK58</f>
        <v/>
      </c>
      <c r="AU120" s="19">
        <f>'Grid_Stock'!AL58</f>
        <v/>
      </c>
      <c r="AV120" s="19">
        <f>'Grid_Stock'!AM58</f>
        <v/>
      </c>
      <c r="AW120" s="19">
        <f>'Grid_Stock'!AN58</f>
        <v/>
      </c>
      <c r="AX120" s="19">
        <f>'Grid_Stock'!AO58</f>
        <v/>
      </c>
      <c r="AY120" s="19">
        <f>'Grid_Stock'!AP58</f>
        <v/>
      </c>
      <c r="AZ120" s="19">
        <f>'Grid_Stock'!AQ58</f>
        <v/>
      </c>
      <c r="BA120" s="19">
        <f>'Grid_Stock'!AR58</f>
        <v/>
      </c>
      <c r="BB120" s="19">
        <f>'Grid_Stock'!AS58</f>
        <v/>
      </c>
      <c r="BC120" s="19">
        <f>'Grid_Stock'!AT58</f>
        <v/>
      </c>
      <c r="BD120" s="19">
        <f>'Grid_Stock'!AU58</f>
        <v/>
      </c>
      <c r="BE120" s="19">
        <f>'Grid_Stock'!AV58</f>
        <v/>
      </c>
      <c r="BF120" s="19">
        <f>'Grid_Stock'!AW58</f>
        <v/>
      </c>
      <c r="BG120" s="19">
        <f>'Grid_Stock'!AX58</f>
        <v/>
      </c>
      <c r="BH120" s="19">
        <f>'Grid_Stock'!AY58</f>
        <v/>
      </c>
      <c r="BI120" s="19">
        <f>'Grid_Stock'!AZ58</f>
        <v/>
      </c>
      <c r="BJ120" s="19">
        <f>'Grid_Stock'!BA58</f>
        <v/>
      </c>
      <c r="BK120" s="19">
        <f>'Grid_Stock'!BB58</f>
        <v/>
      </c>
      <c r="BL120" s="19">
        <f>'Grid_Stock'!BC58</f>
        <v/>
      </c>
      <c r="BM120" s="19">
        <f>'Grid_Stock'!BD58</f>
        <v/>
      </c>
      <c r="BN120" s="19">
        <f>'Grid_Stock'!BE58</f>
        <v/>
      </c>
      <c r="BO120" s="19">
        <f>'Grid_Stock'!BF58</f>
        <v/>
      </c>
      <c r="BP120" s="19">
        <f>'Grid_Stock'!BG58</f>
        <v/>
      </c>
      <c r="BQ120" s="19">
        <f>'Grid_Stock'!BH58</f>
        <v/>
      </c>
      <c r="BR120" s="19">
        <f>'Grid_Stock'!BI58</f>
        <v/>
      </c>
      <c r="BS120" s="19">
        <f>'Grid_Stock'!BJ58</f>
        <v/>
      </c>
      <c r="BT120" s="19">
        <f>'Grid_Stock'!BK58</f>
        <v/>
      </c>
      <c r="BU120" s="19">
        <f>'Grid_Stock'!BL58</f>
        <v/>
      </c>
      <c r="BV120" s="19">
        <f>'Grid_Stock'!BM58</f>
        <v/>
      </c>
      <c r="BW120" s="19">
        <f>'Grid_Stock'!BN58</f>
        <v/>
      </c>
      <c r="BX120" s="19">
        <f>'Grid_Stock'!BO58</f>
        <v/>
      </c>
      <c r="BY120" s="19">
        <f>'Grid_Stock'!BP58</f>
        <v/>
      </c>
      <c r="BZ120" s="19">
        <f>'Grid_Stock'!BQ58</f>
        <v/>
      </c>
      <c r="CA120" s="19">
        <f>'Grid_Stock'!BR58</f>
        <v/>
      </c>
      <c r="CB120" s="19">
        <f>'Grid_Stock'!BS58</f>
        <v/>
      </c>
      <c r="CC120" s="19">
        <f>'Grid_Stock'!BT58</f>
        <v/>
      </c>
      <c r="CD120" s="19">
        <f>'Grid_Stock'!BU58</f>
        <v/>
      </c>
      <c r="CE120" s="19">
        <f>'Grid_Stock'!BV58</f>
        <v/>
      </c>
      <c r="CF120" s="19">
        <f>'Grid_Stock'!BW58</f>
        <v/>
      </c>
      <c r="CG120" s="19">
        <f>'Grid_Stock'!BX58</f>
        <v/>
      </c>
      <c r="CH120" s="19">
        <f>'Grid_Stock'!BY58</f>
        <v/>
      </c>
      <c r="CI120" s="19">
        <f>'Grid_Stock'!BZ58</f>
        <v/>
      </c>
      <c r="CJ120" s="19">
        <f>'Grid_Stock'!CA58</f>
        <v/>
      </c>
      <c r="CK120" s="19">
        <f>'Grid_Stock'!CB58</f>
        <v/>
      </c>
      <c r="CL120" s="19">
        <f>'Grid_Stock'!CC58</f>
        <v/>
      </c>
      <c r="CM120" s="19">
        <f>'Grid_Stock'!CD58</f>
        <v/>
      </c>
      <c r="CN120" s="19">
        <f>'Grid_Stock'!CE58</f>
        <v/>
      </c>
      <c r="CO120" s="19">
        <f>'Grid_Stock'!CF58</f>
        <v/>
      </c>
      <c r="CP120" s="19">
        <f>'Grid_Stock'!CG58</f>
        <v/>
      </c>
      <c r="CQ120" s="19">
        <f>'Grid_Stock'!CH58</f>
        <v/>
      </c>
      <c r="CR120" s="19">
        <f>'Grid_Stock'!CI58</f>
        <v/>
      </c>
      <c r="CS120" s="19">
        <f>'Grid_Stock'!CJ58</f>
        <v/>
      </c>
      <c r="CT120" s="19">
        <f>'Grid_Stock'!CK58</f>
        <v/>
      </c>
      <c r="CU120" s="19">
        <f>'Grid_Stock'!CL58</f>
        <v/>
      </c>
      <c r="CV120" s="19">
        <f>'Grid_Stock'!CM58</f>
        <v/>
      </c>
      <c r="CW120" s="19">
        <f>'Grid_Stock'!CN58</f>
        <v/>
      </c>
      <c r="CX120" s="19">
        <f>'Grid_Stock'!CO58</f>
        <v/>
      </c>
      <c r="CY120" s="19">
        <f>'Grid_Stock'!CP58</f>
        <v/>
      </c>
      <c r="CZ120" s="19">
        <f>'Grid_Stock'!CQ58</f>
        <v/>
      </c>
      <c r="DA120" s="19">
        <f>'Grid_Stock'!CR58</f>
        <v/>
      </c>
      <c r="DB120" s="19">
        <f>'Grid_Stock'!CS58</f>
        <v/>
      </c>
      <c r="DC120" s="19">
        <f>'Grid_Stock'!CT58</f>
        <v/>
      </c>
      <c r="DD120" s="19">
        <f>'Grid_Stock'!CU58</f>
        <v/>
      </c>
      <c r="DE120" s="19">
        <f>'Grid_Stock'!CV58</f>
        <v/>
      </c>
      <c r="DF120" s="19">
        <f>'Grid_Stock'!CW58</f>
        <v/>
      </c>
      <c r="DG120" s="19">
        <f>'Grid_Stock'!CX58</f>
        <v/>
      </c>
      <c r="DH120" s="19">
        <f>'Grid_Stock'!CY58</f>
        <v/>
      </c>
      <c r="DI120" s="19">
        <f>'Grid_Stock'!CZ58</f>
        <v/>
      </c>
      <c r="DJ120" s="19">
        <f>'Grid_Stock'!DA58</f>
        <v/>
      </c>
    </row>
    <row r="121">
      <c r="A121" s="17" t="inlineStr">
        <is>
          <t>CHEM-1560</t>
        </is>
      </c>
      <c r="B121" s="17">
        <f>IFERROR(INDEX(M_RawMaterials[Description],MATCH($A121,M_RawMaterials[Part Name],0)),"")</f>
        <v/>
      </c>
      <c r="C121" s="17">
        <f>IFERROR(INDEX(M_RawMaterials[Category],MATCH($A121,M_RawMaterials[Part Name],0)),"")</f>
        <v/>
      </c>
      <c r="D121" s="17">
        <f>IFERROR(INDEX(M_RawMaterials[基準在庫下限_要入力],MATCH($A121,M_RawMaterials[Part Name],0)),0)</f>
        <v/>
      </c>
      <c r="E121" s="17">
        <f>IFERROR(INDEX(M_RawMaterials[基準在庫上限_要入力],MATCH($A121,M_RawMaterials[Part Name],0)),0)</f>
        <v/>
      </c>
      <c r="F121" s="17">
        <f>IFERROR(LOOKUP(2,1/('T_SelfStock'!$B$63:$DA$63&lt;&gt;""),'T_SelfStock'!$B$63:$DA$63),"")</f>
        <v/>
      </c>
      <c r="G121" s="17">
        <f>IFERROR(LOOKUP(2,1/('T_TTAFStock'!$B$63:$DA$63&lt;&gt;""),'T_TTAFStock'!$B$63:$DA$63),"")</f>
        <v/>
      </c>
      <c r="H121" s="17">
        <f>IFERROR(LOOKUP(2,1/('T_SelfStock'!$B$63:$DA$63&lt;&gt;""),'T_SelfStock'!$B$5:$DA$5),"")</f>
        <v/>
      </c>
      <c r="I121" s="18" t="inlineStr">
        <is>
          <t>理論在庫</t>
        </is>
      </c>
      <c r="J121" s="17">
        <f>IFERROR(INDEX('Grid_Stock'!$A59:$DA59,1,LOOKUP(2,1/('T_SelfStock'!$B$63:$DA$63&lt;&gt;""),COLUMN('T_SelfStock'!$B$63:$DA$63)))-INDEX('Grid_TheoreticalStock'!$A59:$DA59,1,LOOKUP(2,1/('T_SelfStock'!$B$63:$DA$63&lt;&gt;""),COLUMN('T_SelfStock'!$B$63:$DA$63))),0)</f>
        <v/>
      </c>
      <c r="K121" s="18">
        <f>'Grid_TheoreticalStock'!B59</f>
        <v/>
      </c>
      <c r="L121" s="18">
        <f>'Grid_TheoreticalStock'!C59</f>
        <v/>
      </c>
      <c r="M121" s="18">
        <f>'Grid_TheoreticalStock'!D59</f>
        <v/>
      </c>
      <c r="N121" s="18">
        <f>'Grid_TheoreticalStock'!E59</f>
        <v/>
      </c>
      <c r="O121" s="18">
        <f>'Grid_TheoreticalStock'!F59</f>
        <v/>
      </c>
      <c r="P121" s="18">
        <f>'Grid_TheoreticalStock'!G59</f>
        <v/>
      </c>
      <c r="Q121" s="18">
        <f>'Grid_TheoreticalStock'!H59</f>
        <v/>
      </c>
      <c r="R121" s="18">
        <f>'Grid_TheoreticalStock'!I59</f>
        <v/>
      </c>
      <c r="S121" s="18">
        <f>'Grid_TheoreticalStock'!J59</f>
        <v/>
      </c>
      <c r="T121" s="18">
        <f>'Grid_TheoreticalStock'!K59</f>
        <v/>
      </c>
      <c r="U121" s="18">
        <f>'Grid_TheoreticalStock'!L59</f>
        <v/>
      </c>
      <c r="V121" s="18">
        <f>'Grid_TheoreticalStock'!M59</f>
        <v/>
      </c>
      <c r="W121" s="18">
        <f>'Grid_TheoreticalStock'!N59</f>
        <v/>
      </c>
      <c r="X121" s="18">
        <f>'Grid_TheoreticalStock'!O59</f>
        <v/>
      </c>
      <c r="Y121" s="18">
        <f>'Grid_TheoreticalStock'!P59</f>
        <v/>
      </c>
      <c r="Z121" s="18">
        <f>'Grid_TheoreticalStock'!Q59</f>
        <v/>
      </c>
      <c r="AA121" s="18">
        <f>'Grid_TheoreticalStock'!R59</f>
        <v/>
      </c>
      <c r="AB121" s="18">
        <f>'Grid_TheoreticalStock'!S59</f>
        <v/>
      </c>
      <c r="AC121" s="18">
        <f>'Grid_TheoreticalStock'!T59</f>
        <v/>
      </c>
      <c r="AD121" s="18">
        <f>'Grid_TheoreticalStock'!U59</f>
        <v/>
      </c>
      <c r="AE121" s="18">
        <f>'Grid_TheoreticalStock'!V59</f>
        <v/>
      </c>
      <c r="AF121" s="18">
        <f>'Grid_TheoreticalStock'!W59</f>
        <v/>
      </c>
      <c r="AG121" s="18">
        <f>'Grid_TheoreticalStock'!X59</f>
        <v/>
      </c>
      <c r="AH121" s="18">
        <f>'Grid_TheoreticalStock'!Y59</f>
        <v/>
      </c>
      <c r="AI121" s="18">
        <f>'Grid_TheoreticalStock'!Z59</f>
        <v/>
      </c>
      <c r="AJ121" s="18">
        <f>'Grid_TheoreticalStock'!AA59</f>
        <v/>
      </c>
      <c r="AK121" s="18">
        <f>'Grid_TheoreticalStock'!AB59</f>
        <v/>
      </c>
      <c r="AL121" s="18">
        <f>'Grid_TheoreticalStock'!AC59</f>
        <v/>
      </c>
      <c r="AM121" s="18">
        <f>'Grid_TheoreticalStock'!AD59</f>
        <v/>
      </c>
      <c r="AN121" s="18">
        <f>'Grid_TheoreticalStock'!AE59</f>
        <v/>
      </c>
      <c r="AO121" s="18">
        <f>'Grid_TheoreticalStock'!AF59</f>
        <v/>
      </c>
      <c r="AP121" s="18">
        <f>'Grid_TheoreticalStock'!AG59</f>
        <v/>
      </c>
      <c r="AQ121" s="18">
        <f>'Grid_TheoreticalStock'!AH59</f>
        <v/>
      </c>
      <c r="AR121" s="18">
        <f>'Grid_TheoreticalStock'!AI59</f>
        <v/>
      </c>
      <c r="AS121" s="18">
        <f>'Grid_TheoreticalStock'!AJ59</f>
        <v/>
      </c>
      <c r="AT121" s="18">
        <f>'Grid_TheoreticalStock'!AK59</f>
        <v/>
      </c>
      <c r="AU121" s="18">
        <f>'Grid_TheoreticalStock'!AL59</f>
        <v/>
      </c>
      <c r="AV121" s="18">
        <f>'Grid_TheoreticalStock'!AM59</f>
        <v/>
      </c>
      <c r="AW121" s="18">
        <f>'Grid_TheoreticalStock'!AN59</f>
        <v/>
      </c>
      <c r="AX121" s="18">
        <f>'Grid_TheoreticalStock'!AO59</f>
        <v/>
      </c>
      <c r="AY121" s="18">
        <f>'Grid_TheoreticalStock'!AP59</f>
        <v/>
      </c>
      <c r="AZ121" s="18">
        <f>'Grid_TheoreticalStock'!AQ59</f>
        <v/>
      </c>
      <c r="BA121" s="18">
        <f>'Grid_TheoreticalStock'!AR59</f>
        <v/>
      </c>
      <c r="BB121" s="18">
        <f>'Grid_TheoreticalStock'!AS59</f>
        <v/>
      </c>
      <c r="BC121" s="18">
        <f>'Grid_TheoreticalStock'!AT59</f>
        <v/>
      </c>
      <c r="BD121" s="18">
        <f>'Grid_TheoreticalStock'!AU59</f>
        <v/>
      </c>
      <c r="BE121" s="18">
        <f>'Grid_TheoreticalStock'!AV59</f>
        <v/>
      </c>
      <c r="BF121" s="18">
        <f>'Grid_TheoreticalStock'!AW59</f>
        <v/>
      </c>
      <c r="BG121" s="18">
        <f>'Grid_TheoreticalStock'!AX59</f>
        <v/>
      </c>
      <c r="BH121" s="18">
        <f>'Grid_TheoreticalStock'!AY59</f>
        <v/>
      </c>
      <c r="BI121" s="18">
        <f>'Grid_TheoreticalStock'!AZ59</f>
        <v/>
      </c>
      <c r="BJ121" s="18">
        <f>'Grid_TheoreticalStock'!BA59</f>
        <v/>
      </c>
      <c r="BK121" s="18">
        <f>'Grid_TheoreticalStock'!BB59</f>
        <v/>
      </c>
      <c r="BL121" s="18">
        <f>'Grid_TheoreticalStock'!BC59</f>
        <v/>
      </c>
      <c r="BM121" s="18">
        <f>'Grid_TheoreticalStock'!BD59</f>
        <v/>
      </c>
      <c r="BN121" s="18">
        <f>'Grid_TheoreticalStock'!BE59</f>
        <v/>
      </c>
      <c r="BO121" s="18">
        <f>'Grid_TheoreticalStock'!BF59</f>
        <v/>
      </c>
      <c r="BP121" s="18">
        <f>'Grid_TheoreticalStock'!BG59</f>
        <v/>
      </c>
      <c r="BQ121" s="18">
        <f>'Grid_TheoreticalStock'!BH59</f>
        <v/>
      </c>
      <c r="BR121" s="18">
        <f>'Grid_TheoreticalStock'!BI59</f>
        <v/>
      </c>
      <c r="BS121" s="18">
        <f>'Grid_TheoreticalStock'!BJ59</f>
        <v/>
      </c>
      <c r="BT121" s="18">
        <f>'Grid_TheoreticalStock'!BK59</f>
        <v/>
      </c>
      <c r="BU121" s="18">
        <f>'Grid_TheoreticalStock'!BL59</f>
        <v/>
      </c>
      <c r="BV121" s="18">
        <f>'Grid_TheoreticalStock'!BM59</f>
        <v/>
      </c>
      <c r="BW121" s="18">
        <f>'Grid_TheoreticalStock'!BN59</f>
        <v/>
      </c>
      <c r="BX121" s="18">
        <f>'Grid_TheoreticalStock'!BO59</f>
        <v/>
      </c>
      <c r="BY121" s="18">
        <f>'Grid_TheoreticalStock'!BP59</f>
        <v/>
      </c>
      <c r="BZ121" s="18">
        <f>'Grid_TheoreticalStock'!BQ59</f>
        <v/>
      </c>
      <c r="CA121" s="18">
        <f>'Grid_TheoreticalStock'!BR59</f>
        <v/>
      </c>
      <c r="CB121" s="18">
        <f>'Grid_TheoreticalStock'!BS59</f>
        <v/>
      </c>
      <c r="CC121" s="18">
        <f>'Grid_TheoreticalStock'!BT59</f>
        <v/>
      </c>
      <c r="CD121" s="18">
        <f>'Grid_TheoreticalStock'!BU59</f>
        <v/>
      </c>
      <c r="CE121" s="18">
        <f>'Grid_TheoreticalStock'!BV59</f>
        <v/>
      </c>
      <c r="CF121" s="18">
        <f>'Grid_TheoreticalStock'!BW59</f>
        <v/>
      </c>
      <c r="CG121" s="18">
        <f>'Grid_TheoreticalStock'!BX59</f>
        <v/>
      </c>
      <c r="CH121" s="18">
        <f>'Grid_TheoreticalStock'!BY59</f>
        <v/>
      </c>
      <c r="CI121" s="18">
        <f>'Grid_TheoreticalStock'!BZ59</f>
        <v/>
      </c>
      <c r="CJ121" s="18">
        <f>'Grid_TheoreticalStock'!CA59</f>
        <v/>
      </c>
      <c r="CK121" s="18">
        <f>'Grid_TheoreticalStock'!CB59</f>
        <v/>
      </c>
      <c r="CL121" s="18">
        <f>'Grid_TheoreticalStock'!CC59</f>
        <v/>
      </c>
      <c r="CM121" s="18">
        <f>'Grid_TheoreticalStock'!CD59</f>
        <v/>
      </c>
      <c r="CN121" s="18">
        <f>'Grid_TheoreticalStock'!CE59</f>
        <v/>
      </c>
      <c r="CO121" s="18">
        <f>'Grid_TheoreticalStock'!CF59</f>
        <v/>
      </c>
      <c r="CP121" s="18">
        <f>'Grid_TheoreticalStock'!CG59</f>
        <v/>
      </c>
      <c r="CQ121" s="18">
        <f>'Grid_TheoreticalStock'!CH59</f>
        <v/>
      </c>
      <c r="CR121" s="18">
        <f>'Grid_TheoreticalStock'!CI59</f>
        <v/>
      </c>
      <c r="CS121" s="18">
        <f>'Grid_TheoreticalStock'!CJ59</f>
        <v/>
      </c>
      <c r="CT121" s="18">
        <f>'Grid_TheoreticalStock'!CK59</f>
        <v/>
      </c>
      <c r="CU121" s="18">
        <f>'Grid_TheoreticalStock'!CL59</f>
        <v/>
      </c>
      <c r="CV121" s="18">
        <f>'Grid_TheoreticalStock'!CM59</f>
        <v/>
      </c>
      <c r="CW121" s="18">
        <f>'Grid_TheoreticalStock'!CN59</f>
        <v/>
      </c>
      <c r="CX121" s="18">
        <f>'Grid_TheoreticalStock'!CO59</f>
        <v/>
      </c>
      <c r="CY121" s="18">
        <f>'Grid_TheoreticalStock'!CP59</f>
        <v/>
      </c>
      <c r="CZ121" s="18">
        <f>'Grid_TheoreticalStock'!CQ59</f>
        <v/>
      </c>
      <c r="DA121" s="18">
        <f>'Grid_TheoreticalStock'!CR59</f>
        <v/>
      </c>
      <c r="DB121" s="18">
        <f>'Grid_TheoreticalStock'!CS59</f>
        <v/>
      </c>
      <c r="DC121" s="18">
        <f>'Grid_TheoreticalStock'!CT59</f>
        <v/>
      </c>
      <c r="DD121" s="18">
        <f>'Grid_TheoreticalStock'!CU59</f>
        <v/>
      </c>
      <c r="DE121" s="18">
        <f>'Grid_TheoreticalStock'!CV59</f>
        <v/>
      </c>
      <c r="DF121" s="18">
        <f>'Grid_TheoreticalStock'!CW59</f>
        <v/>
      </c>
      <c r="DG121" s="18">
        <f>'Grid_TheoreticalStock'!CX59</f>
        <v/>
      </c>
      <c r="DH121" s="18">
        <f>'Grid_TheoreticalStock'!CY59</f>
        <v/>
      </c>
      <c r="DI121" s="18">
        <f>'Grid_TheoreticalStock'!CZ59</f>
        <v/>
      </c>
      <c r="DJ121" s="18">
        <f>'Grid_TheoreticalStock'!DA59</f>
        <v/>
      </c>
    </row>
    <row r="122">
      <c r="A122" s="19" t="inlineStr">
        <is>
          <t>CHEM-1560</t>
        </is>
      </c>
      <c r="B122" s="19">
        <f>IFERROR(INDEX(M_RawMaterials[Description],MATCH($A122,M_RawMaterials[Part Name],0)),"")</f>
        <v/>
      </c>
      <c r="C122" s="19">
        <f>IFERROR(INDEX(M_RawMaterials[Category],MATCH($A122,M_RawMaterials[Part Name],0)),"")</f>
        <v/>
      </c>
      <c r="D122" s="19">
        <f>IFERROR(INDEX(M_RawMaterials[基準在庫下限_要入力],MATCH($A122,M_RawMaterials[Part Name],0)),0)</f>
        <v/>
      </c>
      <c r="E122" s="19">
        <f>IFERROR(INDEX(M_RawMaterials[基準在庫上限_要入力],MATCH($A122,M_RawMaterials[Part Name],0)),0)</f>
        <v/>
      </c>
      <c r="F122" s="19">
        <f>IFERROR(LOOKUP(2,1/('T_SelfStock'!$B$63:$DA$63&lt;&gt;""),'T_SelfStock'!$B$63:$DA$63),"")</f>
        <v/>
      </c>
      <c r="G122" s="19">
        <f>IFERROR(LOOKUP(2,1/('T_TTAFStock'!$B$63:$DA$63&lt;&gt;""),'T_TTAFStock'!$B$63:$DA$63),"")</f>
        <v/>
      </c>
      <c r="H122" s="19">
        <f>IFERROR(LOOKUP(2,1/('T_SelfStock'!$B$63:$DA$63&lt;&gt;""),'T_SelfStock'!$B$5:$DA$5),"")</f>
        <v/>
      </c>
      <c r="I122" s="20" t="inlineStr">
        <is>
          <t>実在庫</t>
        </is>
      </c>
      <c r="J122" s="19">
        <f>IFERROR(INDEX('Grid_Stock'!$A59:$DA59,1,LOOKUP(2,1/('T_SelfStock'!$B$63:$DA$63&lt;&gt;""),COLUMN('T_SelfStock'!$B$63:$DA$63)))-INDEX('Grid_TheoreticalStock'!$A59:$DA59,1,LOOKUP(2,1/('T_SelfStock'!$B$63:$DA$63&lt;&gt;""),COLUMN('T_SelfStock'!$B$63:$DA$63))),0)</f>
        <v/>
      </c>
      <c r="K122" s="19">
        <f>'Grid_Stock'!B59</f>
        <v/>
      </c>
      <c r="L122" s="19">
        <f>'Grid_Stock'!C59</f>
        <v/>
      </c>
      <c r="M122" s="19">
        <f>'Grid_Stock'!D59</f>
        <v/>
      </c>
      <c r="N122" s="19">
        <f>'Grid_Stock'!E59</f>
        <v/>
      </c>
      <c r="O122" s="19">
        <f>'Grid_Stock'!F59</f>
        <v/>
      </c>
      <c r="P122" s="19">
        <f>'Grid_Stock'!G59</f>
        <v/>
      </c>
      <c r="Q122" s="19">
        <f>'Grid_Stock'!H59</f>
        <v/>
      </c>
      <c r="R122" s="19">
        <f>'Grid_Stock'!I59</f>
        <v/>
      </c>
      <c r="S122" s="19">
        <f>'Grid_Stock'!J59</f>
        <v/>
      </c>
      <c r="T122" s="19">
        <f>'Grid_Stock'!K59</f>
        <v/>
      </c>
      <c r="U122" s="19">
        <f>'Grid_Stock'!L59</f>
        <v/>
      </c>
      <c r="V122" s="19">
        <f>'Grid_Stock'!M59</f>
        <v/>
      </c>
      <c r="W122" s="19">
        <f>'Grid_Stock'!N59</f>
        <v/>
      </c>
      <c r="X122" s="19">
        <f>'Grid_Stock'!O59</f>
        <v/>
      </c>
      <c r="Y122" s="19">
        <f>'Grid_Stock'!P59</f>
        <v/>
      </c>
      <c r="Z122" s="19">
        <f>'Grid_Stock'!Q59</f>
        <v/>
      </c>
      <c r="AA122" s="19">
        <f>'Grid_Stock'!R59</f>
        <v/>
      </c>
      <c r="AB122" s="19">
        <f>'Grid_Stock'!S59</f>
        <v/>
      </c>
      <c r="AC122" s="19">
        <f>'Grid_Stock'!T59</f>
        <v/>
      </c>
      <c r="AD122" s="19">
        <f>'Grid_Stock'!U59</f>
        <v/>
      </c>
      <c r="AE122" s="19">
        <f>'Grid_Stock'!V59</f>
        <v/>
      </c>
      <c r="AF122" s="19">
        <f>'Grid_Stock'!W59</f>
        <v/>
      </c>
      <c r="AG122" s="19">
        <f>'Grid_Stock'!X59</f>
        <v/>
      </c>
      <c r="AH122" s="19">
        <f>'Grid_Stock'!Y59</f>
        <v/>
      </c>
      <c r="AI122" s="19">
        <f>'Grid_Stock'!Z59</f>
        <v/>
      </c>
      <c r="AJ122" s="19">
        <f>'Grid_Stock'!AA59</f>
        <v/>
      </c>
      <c r="AK122" s="19">
        <f>'Grid_Stock'!AB59</f>
        <v/>
      </c>
      <c r="AL122" s="19">
        <f>'Grid_Stock'!AC59</f>
        <v/>
      </c>
      <c r="AM122" s="19">
        <f>'Grid_Stock'!AD59</f>
        <v/>
      </c>
      <c r="AN122" s="19">
        <f>'Grid_Stock'!AE59</f>
        <v/>
      </c>
      <c r="AO122" s="19">
        <f>'Grid_Stock'!AF59</f>
        <v/>
      </c>
      <c r="AP122" s="19">
        <f>'Grid_Stock'!AG59</f>
        <v/>
      </c>
      <c r="AQ122" s="19">
        <f>'Grid_Stock'!AH59</f>
        <v/>
      </c>
      <c r="AR122" s="19">
        <f>'Grid_Stock'!AI59</f>
        <v/>
      </c>
      <c r="AS122" s="19">
        <f>'Grid_Stock'!AJ59</f>
        <v/>
      </c>
      <c r="AT122" s="19">
        <f>'Grid_Stock'!AK59</f>
        <v/>
      </c>
      <c r="AU122" s="19">
        <f>'Grid_Stock'!AL59</f>
        <v/>
      </c>
      <c r="AV122" s="19">
        <f>'Grid_Stock'!AM59</f>
        <v/>
      </c>
      <c r="AW122" s="19">
        <f>'Grid_Stock'!AN59</f>
        <v/>
      </c>
      <c r="AX122" s="19">
        <f>'Grid_Stock'!AO59</f>
        <v/>
      </c>
      <c r="AY122" s="19">
        <f>'Grid_Stock'!AP59</f>
        <v/>
      </c>
      <c r="AZ122" s="19">
        <f>'Grid_Stock'!AQ59</f>
        <v/>
      </c>
      <c r="BA122" s="19">
        <f>'Grid_Stock'!AR59</f>
        <v/>
      </c>
      <c r="BB122" s="19">
        <f>'Grid_Stock'!AS59</f>
        <v/>
      </c>
      <c r="BC122" s="19">
        <f>'Grid_Stock'!AT59</f>
        <v/>
      </c>
      <c r="BD122" s="19">
        <f>'Grid_Stock'!AU59</f>
        <v/>
      </c>
      <c r="BE122" s="19">
        <f>'Grid_Stock'!AV59</f>
        <v/>
      </c>
      <c r="BF122" s="19">
        <f>'Grid_Stock'!AW59</f>
        <v/>
      </c>
      <c r="BG122" s="19">
        <f>'Grid_Stock'!AX59</f>
        <v/>
      </c>
      <c r="BH122" s="19">
        <f>'Grid_Stock'!AY59</f>
        <v/>
      </c>
      <c r="BI122" s="19">
        <f>'Grid_Stock'!AZ59</f>
        <v/>
      </c>
      <c r="BJ122" s="19">
        <f>'Grid_Stock'!BA59</f>
        <v/>
      </c>
      <c r="BK122" s="19">
        <f>'Grid_Stock'!BB59</f>
        <v/>
      </c>
      <c r="BL122" s="19">
        <f>'Grid_Stock'!BC59</f>
        <v/>
      </c>
      <c r="BM122" s="19">
        <f>'Grid_Stock'!BD59</f>
        <v/>
      </c>
      <c r="BN122" s="19">
        <f>'Grid_Stock'!BE59</f>
        <v/>
      </c>
      <c r="BO122" s="19">
        <f>'Grid_Stock'!BF59</f>
        <v/>
      </c>
      <c r="BP122" s="19">
        <f>'Grid_Stock'!BG59</f>
        <v/>
      </c>
      <c r="BQ122" s="19">
        <f>'Grid_Stock'!BH59</f>
        <v/>
      </c>
      <c r="BR122" s="19">
        <f>'Grid_Stock'!BI59</f>
        <v/>
      </c>
      <c r="BS122" s="19">
        <f>'Grid_Stock'!BJ59</f>
        <v/>
      </c>
      <c r="BT122" s="19">
        <f>'Grid_Stock'!BK59</f>
        <v/>
      </c>
      <c r="BU122" s="19">
        <f>'Grid_Stock'!BL59</f>
        <v/>
      </c>
      <c r="BV122" s="19">
        <f>'Grid_Stock'!BM59</f>
        <v/>
      </c>
      <c r="BW122" s="19">
        <f>'Grid_Stock'!BN59</f>
        <v/>
      </c>
      <c r="BX122" s="19">
        <f>'Grid_Stock'!BO59</f>
        <v/>
      </c>
      <c r="BY122" s="19">
        <f>'Grid_Stock'!BP59</f>
        <v/>
      </c>
      <c r="BZ122" s="19">
        <f>'Grid_Stock'!BQ59</f>
        <v/>
      </c>
      <c r="CA122" s="19">
        <f>'Grid_Stock'!BR59</f>
        <v/>
      </c>
      <c r="CB122" s="19">
        <f>'Grid_Stock'!BS59</f>
        <v/>
      </c>
      <c r="CC122" s="19">
        <f>'Grid_Stock'!BT59</f>
        <v/>
      </c>
      <c r="CD122" s="19">
        <f>'Grid_Stock'!BU59</f>
        <v/>
      </c>
      <c r="CE122" s="19">
        <f>'Grid_Stock'!BV59</f>
        <v/>
      </c>
      <c r="CF122" s="19">
        <f>'Grid_Stock'!BW59</f>
        <v/>
      </c>
      <c r="CG122" s="19">
        <f>'Grid_Stock'!BX59</f>
        <v/>
      </c>
      <c r="CH122" s="19">
        <f>'Grid_Stock'!BY59</f>
        <v/>
      </c>
      <c r="CI122" s="19">
        <f>'Grid_Stock'!BZ59</f>
        <v/>
      </c>
      <c r="CJ122" s="19">
        <f>'Grid_Stock'!CA59</f>
        <v/>
      </c>
      <c r="CK122" s="19">
        <f>'Grid_Stock'!CB59</f>
        <v/>
      </c>
      <c r="CL122" s="19">
        <f>'Grid_Stock'!CC59</f>
        <v/>
      </c>
      <c r="CM122" s="19">
        <f>'Grid_Stock'!CD59</f>
        <v/>
      </c>
      <c r="CN122" s="19">
        <f>'Grid_Stock'!CE59</f>
        <v/>
      </c>
      <c r="CO122" s="19">
        <f>'Grid_Stock'!CF59</f>
        <v/>
      </c>
      <c r="CP122" s="19">
        <f>'Grid_Stock'!CG59</f>
        <v/>
      </c>
      <c r="CQ122" s="19">
        <f>'Grid_Stock'!CH59</f>
        <v/>
      </c>
      <c r="CR122" s="19">
        <f>'Grid_Stock'!CI59</f>
        <v/>
      </c>
      <c r="CS122" s="19">
        <f>'Grid_Stock'!CJ59</f>
        <v/>
      </c>
      <c r="CT122" s="19">
        <f>'Grid_Stock'!CK59</f>
        <v/>
      </c>
      <c r="CU122" s="19">
        <f>'Grid_Stock'!CL59</f>
        <v/>
      </c>
      <c r="CV122" s="19">
        <f>'Grid_Stock'!CM59</f>
        <v/>
      </c>
      <c r="CW122" s="19">
        <f>'Grid_Stock'!CN59</f>
        <v/>
      </c>
      <c r="CX122" s="19">
        <f>'Grid_Stock'!CO59</f>
        <v/>
      </c>
      <c r="CY122" s="19">
        <f>'Grid_Stock'!CP59</f>
        <v/>
      </c>
      <c r="CZ122" s="19">
        <f>'Grid_Stock'!CQ59</f>
        <v/>
      </c>
      <c r="DA122" s="19">
        <f>'Grid_Stock'!CR59</f>
        <v/>
      </c>
      <c r="DB122" s="19">
        <f>'Grid_Stock'!CS59</f>
        <v/>
      </c>
      <c r="DC122" s="19">
        <f>'Grid_Stock'!CT59</f>
        <v/>
      </c>
      <c r="DD122" s="19">
        <f>'Grid_Stock'!CU59</f>
        <v/>
      </c>
      <c r="DE122" s="19">
        <f>'Grid_Stock'!CV59</f>
        <v/>
      </c>
      <c r="DF122" s="19">
        <f>'Grid_Stock'!CW59</f>
        <v/>
      </c>
      <c r="DG122" s="19">
        <f>'Grid_Stock'!CX59</f>
        <v/>
      </c>
      <c r="DH122" s="19">
        <f>'Grid_Stock'!CY59</f>
        <v/>
      </c>
      <c r="DI122" s="19">
        <f>'Grid_Stock'!CZ59</f>
        <v/>
      </c>
      <c r="DJ122" s="19">
        <f>'Grid_Stock'!DA59</f>
        <v/>
      </c>
    </row>
    <row r="123">
      <c r="A123" s="17" t="inlineStr">
        <is>
          <t>CHEM-1690</t>
        </is>
      </c>
      <c r="B123" s="17">
        <f>IFERROR(INDEX(M_RawMaterials[Description],MATCH($A123,M_RawMaterials[Part Name],0)),"")</f>
        <v/>
      </c>
      <c r="C123" s="17">
        <f>IFERROR(INDEX(M_RawMaterials[Category],MATCH($A123,M_RawMaterials[Part Name],0)),"")</f>
        <v/>
      </c>
      <c r="D123" s="17">
        <f>IFERROR(INDEX(M_RawMaterials[基準在庫下限_要入力],MATCH($A123,M_RawMaterials[Part Name],0)),0)</f>
        <v/>
      </c>
      <c r="E123" s="17">
        <f>IFERROR(INDEX(M_RawMaterials[基準在庫上限_要入力],MATCH($A123,M_RawMaterials[Part Name],0)),0)</f>
        <v/>
      </c>
      <c r="F123" s="17">
        <f>IFERROR(LOOKUP(2,1/('T_SelfStock'!$B$64:$DA$64&lt;&gt;""),'T_SelfStock'!$B$64:$DA$64),"")</f>
        <v/>
      </c>
      <c r="G123" s="17">
        <f>IFERROR(LOOKUP(2,1/('T_TTAFStock'!$B$64:$DA$64&lt;&gt;""),'T_TTAFStock'!$B$64:$DA$64),"")</f>
        <v/>
      </c>
      <c r="H123" s="17">
        <f>IFERROR(LOOKUP(2,1/('T_SelfStock'!$B$64:$DA$64&lt;&gt;""),'T_SelfStock'!$B$5:$DA$5),"")</f>
        <v/>
      </c>
      <c r="I123" s="18" t="inlineStr">
        <is>
          <t>理論在庫</t>
        </is>
      </c>
      <c r="J123" s="17">
        <f>IFERROR(INDEX('Grid_Stock'!$A60:$DA60,1,LOOKUP(2,1/('T_SelfStock'!$B$64:$DA$64&lt;&gt;""),COLUMN('T_SelfStock'!$B$64:$DA$64)))-INDEX('Grid_TheoreticalStock'!$A60:$DA60,1,LOOKUP(2,1/('T_SelfStock'!$B$64:$DA$64&lt;&gt;""),COLUMN('T_SelfStock'!$B$64:$DA$64))),0)</f>
        <v/>
      </c>
      <c r="K123" s="18">
        <f>'Grid_TheoreticalStock'!B60</f>
        <v/>
      </c>
      <c r="L123" s="18">
        <f>'Grid_TheoreticalStock'!C60</f>
        <v/>
      </c>
      <c r="M123" s="18">
        <f>'Grid_TheoreticalStock'!D60</f>
        <v/>
      </c>
      <c r="N123" s="18">
        <f>'Grid_TheoreticalStock'!E60</f>
        <v/>
      </c>
      <c r="O123" s="18">
        <f>'Grid_TheoreticalStock'!F60</f>
        <v/>
      </c>
      <c r="P123" s="18">
        <f>'Grid_TheoreticalStock'!G60</f>
        <v/>
      </c>
      <c r="Q123" s="18">
        <f>'Grid_TheoreticalStock'!H60</f>
        <v/>
      </c>
      <c r="R123" s="18">
        <f>'Grid_TheoreticalStock'!I60</f>
        <v/>
      </c>
      <c r="S123" s="18">
        <f>'Grid_TheoreticalStock'!J60</f>
        <v/>
      </c>
      <c r="T123" s="18">
        <f>'Grid_TheoreticalStock'!K60</f>
        <v/>
      </c>
      <c r="U123" s="18">
        <f>'Grid_TheoreticalStock'!L60</f>
        <v/>
      </c>
      <c r="V123" s="18">
        <f>'Grid_TheoreticalStock'!M60</f>
        <v/>
      </c>
      <c r="W123" s="18">
        <f>'Grid_TheoreticalStock'!N60</f>
        <v/>
      </c>
      <c r="X123" s="18">
        <f>'Grid_TheoreticalStock'!O60</f>
        <v/>
      </c>
      <c r="Y123" s="18">
        <f>'Grid_TheoreticalStock'!P60</f>
        <v/>
      </c>
      <c r="Z123" s="18">
        <f>'Grid_TheoreticalStock'!Q60</f>
        <v/>
      </c>
      <c r="AA123" s="18">
        <f>'Grid_TheoreticalStock'!R60</f>
        <v/>
      </c>
      <c r="AB123" s="18">
        <f>'Grid_TheoreticalStock'!S60</f>
        <v/>
      </c>
      <c r="AC123" s="18">
        <f>'Grid_TheoreticalStock'!T60</f>
        <v/>
      </c>
      <c r="AD123" s="18">
        <f>'Grid_TheoreticalStock'!U60</f>
        <v/>
      </c>
      <c r="AE123" s="18">
        <f>'Grid_TheoreticalStock'!V60</f>
        <v/>
      </c>
      <c r="AF123" s="18">
        <f>'Grid_TheoreticalStock'!W60</f>
        <v/>
      </c>
      <c r="AG123" s="18">
        <f>'Grid_TheoreticalStock'!X60</f>
        <v/>
      </c>
      <c r="AH123" s="18">
        <f>'Grid_TheoreticalStock'!Y60</f>
        <v/>
      </c>
      <c r="AI123" s="18">
        <f>'Grid_TheoreticalStock'!Z60</f>
        <v/>
      </c>
      <c r="AJ123" s="18">
        <f>'Grid_TheoreticalStock'!AA60</f>
        <v/>
      </c>
      <c r="AK123" s="18">
        <f>'Grid_TheoreticalStock'!AB60</f>
        <v/>
      </c>
      <c r="AL123" s="18">
        <f>'Grid_TheoreticalStock'!AC60</f>
        <v/>
      </c>
      <c r="AM123" s="18">
        <f>'Grid_TheoreticalStock'!AD60</f>
        <v/>
      </c>
      <c r="AN123" s="18">
        <f>'Grid_TheoreticalStock'!AE60</f>
        <v/>
      </c>
      <c r="AO123" s="18">
        <f>'Grid_TheoreticalStock'!AF60</f>
        <v/>
      </c>
      <c r="AP123" s="18">
        <f>'Grid_TheoreticalStock'!AG60</f>
        <v/>
      </c>
      <c r="AQ123" s="18">
        <f>'Grid_TheoreticalStock'!AH60</f>
        <v/>
      </c>
      <c r="AR123" s="18">
        <f>'Grid_TheoreticalStock'!AI60</f>
        <v/>
      </c>
      <c r="AS123" s="18">
        <f>'Grid_TheoreticalStock'!AJ60</f>
        <v/>
      </c>
      <c r="AT123" s="18">
        <f>'Grid_TheoreticalStock'!AK60</f>
        <v/>
      </c>
      <c r="AU123" s="18">
        <f>'Grid_TheoreticalStock'!AL60</f>
        <v/>
      </c>
      <c r="AV123" s="18">
        <f>'Grid_TheoreticalStock'!AM60</f>
        <v/>
      </c>
      <c r="AW123" s="18">
        <f>'Grid_TheoreticalStock'!AN60</f>
        <v/>
      </c>
      <c r="AX123" s="18">
        <f>'Grid_TheoreticalStock'!AO60</f>
        <v/>
      </c>
      <c r="AY123" s="18">
        <f>'Grid_TheoreticalStock'!AP60</f>
        <v/>
      </c>
      <c r="AZ123" s="18">
        <f>'Grid_TheoreticalStock'!AQ60</f>
        <v/>
      </c>
      <c r="BA123" s="18">
        <f>'Grid_TheoreticalStock'!AR60</f>
        <v/>
      </c>
      <c r="BB123" s="18">
        <f>'Grid_TheoreticalStock'!AS60</f>
        <v/>
      </c>
      <c r="BC123" s="18">
        <f>'Grid_TheoreticalStock'!AT60</f>
        <v/>
      </c>
      <c r="BD123" s="18">
        <f>'Grid_TheoreticalStock'!AU60</f>
        <v/>
      </c>
      <c r="BE123" s="18">
        <f>'Grid_TheoreticalStock'!AV60</f>
        <v/>
      </c>
      <c r="BF123" s="18">
        <f>'Grid_TheoreticalStock'!AW60</f>
        <v/>
      </c>
      <c r="BG123" s="18">
        <f>'Grid_TheoreticalStock'!AX60</f>
        <v/>
      </c>
      <c r="BH123" s="18">
        <f>'Grid_TheoreticalStock'!AY60</f>
        <v/>
      </c>
      <c r="BI123" s="18">
        <f>'Grid_TheoreticalStock'!AZ60</f>
        <v/>
      </c>
      <c r="BJ123" s="18">
        <f>'Grid_TheoreticalStock'!BA60</f>
        <v/>
      </c>
      <c r="BK123" s="18">
        <f>'Grid_TheoreticalStock'!BB60</f>
        <v/>
      </c>
      <c r="BL123" s="18">
        <f>'Grid_TheoreticalStock'!BC60</f>
        <v/>
      </c>
      <c r="BM123" s="18">
        <f>'Grid_TheoreticalStock'!BD60</f>
        <v/>
      </c>
      <c r="BN123" s="18">
        <f>'Grid_TheoreticalStock'!BE60</f>
        <v/>
      </c>
      <c r="BO123" s="18">
        <f>'Grid_TheoreticalStock'!BF60</f>
        <v/>
      </c>
      <c r="BP123" s="18">
        <f>'Grid_TheoreticalStock'!BG60</f>
        <v/>
      </c>
      <c r="BQ123" s="18">
        <f>'Grid_TheoreticalStock'!BH60</f>
        <v/>
      </c>
      <c r="BR123" s="18">
        <f>'Grid_TheoreticalStock'!BI60</f>
        <v/>
      </c>
      <c r="BS123" s="18">
        <f>'Grid_TheoreticalStock'!BJ60</f>
        <v/>
      </c>
      <c r="BT123" s="18">
        <f>'Grid_TheoreticalStock'!BK60</f>
        <v/>
      </c>
      <c r="BU123" s="18">
        <f>'Grid_TheoreticalStock'!BL60</f>
        <v/>
      </c>
      <c r="BV123" s="18">
        <f>'Grid_TheoreticalStock'!BM60</f>
        <v/>
      </c>
      <c r="BW123" s="18">
        <f>'Grid_TheoreticalStock'!BN60</f>
        <v/>
      </c>
      <c r="BX123" s="18">
        <f>'Grid_TheoreticalStock'!BO60</f>
        <v/>
      </c>
      <c r="BY123" s="18">
        <f>'Grid_TheoreticalStock'!BP60</f>
        <v/>
      </c>
      <c r="BZ123" s="18">
        <f>'Grid_TheoreticalStock'!BQ60</f>
        <v/>
      </c>
      <c r="CA123" s="18">
        <f>'Grid_TheoreticalStock'!BR60</f>
        <v/>
      </c>
      <c r="CB123" s="18">
        <f>'Grid_TheoreticalStock'!BS60</f>
        <v/>
      </c>
      <c r="CC123" s="18">
        <f>'Grid_TheoreticalStock'!BT60</f>
        <v/>
      </c>
      <c r="CD123" s="18">
        <f>'Grid_TheoreticalStock'!BU60</f>
        <v/>
      </c>
      <c r="CE123" s="18">
        <f>'Grid_TheoreticalStock'!BV60</f>
        <v/>
      </c>
      <c r="CF123" s="18">
        <f>'Grid_TheoreticalStock'!BW60</f>
        <v/>
      </c>
      <c r="CG123" s="18">
        <f>'Grid_TheoreticalStock'!BX60</f>
        <v/>
      </c>
      <c r="CH123" s="18">
        <f>'Grid_TheoreticalStock'!BY60</f>
        <v/>
      </c>
      <c r="CI123" s="18">
        <f>'Grid_TheoreticalStock'!BZ60</f>
        <v/>
      </c>
      <c r="CJ123" s="18">
        <f>'Grid_TheoreticalStock'!CA60</f>
        <v/>
      </c>
      <c r="CK123" s="18">
        <f>'Grid_TheoreticalStock'!CB60</f>
        <v/>
      </c>
      <c r="CL123" s="18">
        <f>'Grid_TheoreticalStock'!CC60</f>
        <v/>
      </c>
      <c r="CM123" s="18">
        <f>'Grid_TheoreticalStock'!CD60</f>
        <v/>
      </c>
      <c r="CN123" s="18">
        <f>'Grid_TheoreticalStock'!CE60</f>
        <v/>
      </c>
      <c r="CO123" s="18">
        <f>'Grid_TheoreticalStock'!CF60</f>
        <v/>
      </c>
      <c r="CP123" s="18">
        <f>'Grid_TheoreticalStock'!CG60</f>
        <v/>
      </c>
      <c r="CQ123" s="18">
        <f>'Grid_TheoreticalStock'!CH60</f>
        <v/>
      </c>
      <c r="CR123" s="18">
        <f>'Grid_TheoreticalStock'!CI60</f>
        <v/>
      </c>
      <c r="CS123" s="18">
        <f>'Grid_TheoreticalStock'!CJ60</f>
        <v/>
      </c>
      <c r="CT123" s="18">
        <f>'Grid_TheoreticalStock'!CK60</f>
        <v/>
      </c>
      <c r="CU123" s="18">
        <f>'Grid_TheoreticalStock'!CL60</f>
        <v/>
      </c>
      <c r="CV123" s="18">
        <f>'Grid_TheoreticalStock'!CM60</f>
        <v/>
      </c>
      <c r="CW123" s="18">
        <f>'Grid_TheoreticalStock'!CN60</f>
        <v/>
      </c>
      <c r="CX123" s="18">
        <f>'Grid_TheoreticalStock'!CO60</f>
        <v/>
      </c>
      <c r="CY123" s="18">
        <f>'Grid_TheoreticalStock'!CP60</f>
        <v/>
      </c>
      <c r="CZ123" s="18">
        <f>'Grid_TheoreticalStock'!CQ60</f>
        <v/>
      </c>
      <c r="DA123" s="18">
        <f>'Grid_TheoreticalStock'!CR60</f>
        <v/>
      </c>
      <c r="DB123" s="18">
        <f>'Grid_TheoreticalStock'!CS60</f>
        <v/>
      </c>
      <c r="DC123" s="18">
        <f>'Grid_TheoreticalStock'!CT60</f>
        <v/>
      </c>
      <c r="DD123" s="18">
        <f>'Grid_TheoreticalStock'!CU60</f>
        <v/>
      </c>
      <c r="DE123" s="18">
        <f>'Grid_TheoreticalStock'!CV60</f>
        <v/>
      </c>
      <c r="DF123" s="18">
        <f>'Grid_TheoreticalStock'!CW60</f>
        <v/>
      </c>
      <c r="DG123" s="18">
        <f>'Grid_TheoreticalStock'!CX60</f>
        <v/>
      </c>
      <c r="DH123" s="18">
        <f>'Grid_TheoreticalStock'!CY60</f>
        <v/>
      </c>
      <c r="DI123" s="18">
        <f>'Grid_TheoreticalStock'!CZ60</f>
        <v/>
      </c>
      <c r="DJ123" s="18">
        <f>'Grid_TheoreticalStock'!DA60</f>
        <v/>
      </c>
    </row>
    <row r="124">
      <c r="A124" s="19" t="inlineStr">
        <is>
          <t>CHEM-1690</t>
        </is>
      </c>
      <c r="B124" s="19">
        <f>IFERROR(INDEX(M_RawMaterials[Description],MATCH($A124,M_RawMaterials[Part Name],0)),"")</f>
        <v/>
      </c>
      <c r="C124" s="19">
        <f>IFERROR(INDEX(M_RawMaterials[Category],MATCH($A124,M_RawMaterials[Part Name],0)),"")</f>
        <v/>
      </c>
      <c r="D124" s="19">
        <f>IFERROR(INDEX(M_RawMaterials[基準在庫下限_要入力],MATCH($A124,M_RawMaterials[Part Name],0)),0)</f>
        <v/>
      </c>
      <c r="E124" s="19">
        <f>IFERROR(INDEX(M_RawMaterials[基準在庫上限_要入力],MATCH($A124,M_RawMaterials[Part Name],0)),0)</f>
        <v/>
      </c>
      <c r="F124" s="19">
        <f>IFERROR(LOOKUP(2,1/('T_SelfStock'!$B$64:$DA$64&lt;&gt;""),'T_SelfStock'!$B$64:$DA$64),"")</f>
        <v/>
      </c>
      <c r="G124" s="19">
        <f>IFERROR(LOOKUP(2,1/('T_TTAFStock'!$B$64:$DA$64&lt;&gt;""),'T_TTAFStock'!$B$64:$DA$64),"")</f>
        <v/>
      </c>
      <c r="H124" s="19">
        <f>IFERROR(LOOKUP(2,1/('T_SelfStock'!$B$64:$DA$64&lt;&gt;""),'T_SelfStock'!$B$5:$DA$5),"")</f>
        <v/>
      </c>
      <c r="I124" s="20" t="inlineStr">
        <is>
          <t>実在庫</t>
        </is>
      </c>
      <c r="J124" s="19">
        <f>IFERROR(INDEX('Grid_Stock'!$A60:$DA60,1,LOOKUP(2,1/('T_SelfStock'!$B$64:$DA$64&lt;&gt;""),COLUMN('T_SelfStock'!$B$64:$DA$64)))-INDEX('Grid_TheoreticalStock'!$A60:$DA60,1,LOOKUP(2,1/('T_SelfStock'!$B$64:$DA$64&lt;&gt;""),COLUMN('T_SelfStock'!$B$64:$DA$64))),0)</f>
        <v/>
      </c>
      <c r="K124" s="19">
        <f>'Grid_Stock'!B60</f>
        <v/>
      </c>
      <c r="L124" s="19">
        <f>'Grid_Stock'!C60</f>
        <v/>
      </c>
      <c r="M124" s="19">
        <f>'Grid_Stock'!D60</f>
        <v/>
      </c>
      <c r="N124" s="19">
        <f>'Grid_Stock'!E60</f>
        <v/>
      </c>
      <c r="O124" s="19">
        <f>'Grid_Stock'!F60</f>
        <v/>
      </c>
      <c r="P124" s="19">
        <f>'Grid_Stock'!G60</f>
        <v/>
      </c>
      <c r="Q124" s="19">
        <f>'Grid_Stock'!H60</f>
        <v/>
      </c>
      <c r="R124" s="19">
        <f>'Grid_Stock'!I60</f>
        <v/>
      </c>
      <c r="S124" s="19">
        <f>'Grid_Stock'!J60</f>
        <v/>
      </c>
      <c r="T124" s="19">
        <f>'Grid_Stock'!K60</f>
        <v/>
      </c>
      <c r="U124" s="19">
        <f>'Grid_Stock'!L60</f>
        <v/>
      </c>
      <c r="V124" s="19">
        <f>'Grid_Stock'!M60</f>
        <v/>
      </c>
      <c r="W124" s="19">
        <f>'Grid_Stock'!N60</f>
        <v/>
      </c>
      <c r="X124" s="19">
        <f>'Grid_Stock'!O60</f>
        <v/>
      </c>
      <c r="Y124" s="19">
        <f>'Grid_Stock'!P60</f>
        <v/>
      </c>
      <c r="Z124" s="19">
        <f>'Grid_Stock'!Q60</f>
        <v/>
      </c>
      <c r="AA124" s="19">
        <f>'Grid_Stock'!R60</f>
        <v/>
      </c>
      <c r="AB124" s="19">
        <f>'Grid_Stock'!S60</f>
        <v/>
      </c>
      <c r="AC124" s="19">
        <f>'Grid_Stock'!T60</f>
        <v/>
      </c>
      <c r="AD124" s="19">
        <f>'Grid_Stock'!U60</f>
        <v/>
      </c>
      <c r="AE124" s="19">
        <f>'Grid_Stock'!V60</f>
        <v/>
      </c>
      <c r="AF124" s="19">
        <f>'Grid_Stock'!W60</f>
        <v/>
      </c>
      <c r="AG124" s="19">
        <f>'Grid_Stock'!X60</f>
        <v/>
      </c>
      <c r="AH124" s="19">
        <f>'Grid_Stock'!Y60</f>
        <v/>
      </c>
      <c r="AI124" s="19">
        <f>'Grid_Stock'!Z60</f>
        <v/>
      </c>
      <c r="AJ124" s="19">
        <f>'Grid_Stock'!AA60</f>
        <v/>
      </c>
      <c r="AK124" s="19">
        <f>'Grid_Stock'!AB60</f>
        <v/>
      </c>
      <c r="AL124" s="19">
        <f>'Grid_Stock'!AC60</f>
        <v/>
      </c>
      <c r="AM124" s="19">
        <f>'Grid_Stock'!AD60</f>
        <v/>
      </c>
      <c r="AN124" s="19">
        <f>'Grid_Stock'!AE60</f>
        <v/>
      </c>
      <c r="AO124" s="19">
        <f>'Grid_Stock'!AF60</f>
        <v/>
      </c>
      <c r="AP124" s="19">
        <f>'Grid_Stock'!AG60</f>
        <v/>
      </c>
      <c r="AQ124" s="19">
        <f>'Grid_Stock'!AH60</f>
        <v/>
      </c>
      <c r="AR124" s="19">
        <f>'Grid_Stock'!AI60</f>
        <v/>
      </c>
      <c r="AS124" s="19">
        <f>'Grid_Stock'!AJ60</f>
        <v/>
      </c>
      <c r="AT124" s="19">
        <f>'Grid_Stock'!AK60</f>
        <v/>
      </c>
      <c r="AU124" s="19">
        <f>'Grid_Stock'!AL60</f>
        <v/>
      </c>
      <c r="AV124" s="19">
        <f>'Grid_Stock'!AM60</f>
        <v/>
      </c>
      <c r="AW124" s="19">
        <f>'Grid_Stock'!AN60</f>
        <v/>
      </c>
      <c r="AX124" s="19">
        <f>'Grid_Stock'!AO60</f>
        <v/>
      </c>
      <c r="AY124" s="19">
        <f>'Grid_Stock'!AP60</f>
        <v/>
      </c>
      <c r="AZ124" s="19">
        <f>'Grid_Stock'!AQ60</f>
        <v/>
      </c>
      <c r="BA124" s="19">
        <f>'Grid_Stock'!AR60</f>
        <v/>
      </c>
      <c r="BB124" s="19">
        <f>'Grid_Stock'!AS60</f>
        <v/>
      </c>
      <c r="BC124" s="19">
        <f>'Grid_Stock'!AT60</f>
        <v/>
      </c>
      <c r="BD124" s="19">
        <f>'Grid_Stock'!AU60</f>
        <v/>
      </c>
      <c r="BE124" s="19">
        <f>'Grid_Stock'!AV60</f>
        <v/>
      </c>
      <c r="BF124" s="19">
        <f>'Grid_Stock'!AW60</f>
        <v/>
      </c>
      <c r="BG124" s="19">
        <f>'Grid_Stock'!AX60</f>
        <v/>
      </c>
      <c r="BH124" s="19">
        <f>'Grid_Stock'!AY60</f>
        <v/>
      </c>
      <c r="BI124" s="19">
        <f>'Grid_Stock'!AZ60</f>
        <v/>
      </c>
      <c r="BJ124" s="19">
        <f>'Grid_Stock'!BA60</f>
        <v/>
      </c>
      <c r="BK124" s="19">
        <f>'Grid_Stock'!BB60</f>
        <v/>
      </c>
      <c r="BL124" s="19">
        <f>'Grid_Stock'!BC60</f>
        <v/>
      </c>
      <c r="BM124" s="19">
        <f>'Grid_Stock'!BD60</f>
        <v/>
      </c>
      <c r="BN124" s="19">
        <f>'Grid_Stock'!BE60</f>
        <v/>
      </c>
      <c r="BO124" s="19">
        <f>'Grid_Stock'!BF60</f>
        <v/>
      </c>
      <c r="BP124" s="19">
        <f>'Grid_Stock'!BG60</f>
        <v/>
      </c>
      <c r="BQ124" s="19">
        <f>'Grid_Stock'!BH60</f>
        <v/>
      </c>
      <c r="BR124" s="19">
        <f>'Grid_Stock'!BI60</f>
        <v/>
      </c>
      <c r="BS124" s="19">
        <f>'Grid_Stock'!BJ60</f>
        <v/>
      </c>
      <c r="BT124" s="19">
        <f>'Grid_Stock'!BK60</f>
        <v/>
      </c>
      <c r="BU124" s="19">
        <f>'Grid_Stock'!BL60</f>
        <v/>
      </c>
      <c r="BV124" s="19">
        <f>'Grid_Stock'!BM60</f>
        <v/>
      </c>
      <c r="BW124" s="19">
        <f>'Grid_Stock'!BN60</f>
        <v/>
      </c>
      <c r="BX124" s="19">
        <f>'Grid_Stock'!BO60</f>
        <v/>
      </c>
      <c r="BY124" s="19">
        <f>'Grid_Stock'!BP60</f>
        <v/>
      </c>
      <c r="BZ124" s="19">
        <f>'Grid_Stock'!BQ60</f>
        <v/>
      </c>
      <c r="CA124" s="19">
        <f>'Grid_Stock'!BR60</f>
        <v/>
      </c>
      <c r="CB124" s="19">
        <f>'Grid_Stock'!BS60</f>
        <v/>
      </c>
      <c r="CC124" s="19">
        <f>'Grid_Stock'!BT60</f>
        <v/>
      </c>
      <c r="CD124" s="19">
        <f>'Grid_Stock'!BU60</f>
        <v/>
      </c>
      <c r="CE124" s="19">
        <f>'Grid_Stock'!BV60</f>
        <v/>
      </c>
      <c r="CF124" s="19">
        <f>'Grid_Stock'!BW60</f>
        <v/>
      </c>
      <c r="CG124" s="19">
        <f>'Grid_Stock'!BX60</f>
        <v/>
      </c>
      <c r="CH124" s="19">
        <f>'Grid_Stock'!BY60</f>
        <v/>
      </c>
      <c r="CI124" s="19">
        <f>'Grid_Stock'!BZ60</f>
        <v/>
      </c>
      <c r="CJ124" s="19">
        <f>'Grid_Stock'!CA60</f>
        <v/>
      </c>
      <c r="CK124" s="19">
        <f>'Grid_Stock'!CB60</f>
        <v/>
      </c>
      <c r="CL124" s="19">
        <f>'Grid_Stock'!CC60</f>
        <v/>
      </c>
      <c r="CM124" s="19">
        <f>'Grid_Stock'!CD60</f>
        <v/>
      </c>
      <c r="CN124" s="19">
        <f>'Grid_Stock'!CE60</f>
        <v/>
      </c>
      <c r="CO124" s="19">
        <f>'Grid_Stock'!CF60</f>
        <v/>
      </c>
      <c r="CP124" s="19">
        <f>'Grid_Stock'!CG60</f>
        <v/>
      </c>
      <c r="CQ124" s="19">
        <f>'Grid_Stock'!CH60</f>
        <v/>
      </c>
      <c r="CR124" s="19">
        <f>'Grid_Stock'!CI60</f>
        <v/>
      </c>
      <c r="CS124" s="19">
        <f>'Grid_Stock'!CJ60</f>
        <v/>
      </c>
      <c r="CT124" s="19">
        <f>'Grid_Stock'!CK60</f>
        <v/>
      </c>
      <c r="CU124" s="19">
        <f>'Grid_Stock'!CL60</f>
        <v/>
      </c>
      <c r="CV124" s="19">
        <f>'Grid_Stock'!CM60</f>
        <v/>
      </c>
      <c r="CW124" s="19">
        <f>'Grid_Stock'!CN60</f>
        <v/>
      </c>
      <c r="CX124" s="19">
        <f>'Grid_Stock'!CO60</f>
        <v/>
      </c>
      <c r="CY124" s="19">
        <f>'Grid_Stock'!CP60</f>
        <v/>
      </c>
      <c r="CZ124" s="19">
        <f>'Grid_Stock'!CQ60</f>
        <v/>
      </c>
      <c r="DA124" s="19">
        <f>'Grid_Stock'!CR60</f>
        <v/>
      </c>
      <c r="DB124" s="19">
        <f>'Grid_Stock'!CS60</f>
        <v/>
      </c>
      <c r="DC124" s="19">
        <f>'Grid_Stock'!CT60</f>
        <v/>
      </c>
      <c r="DD124" s="19">
        <f>'Grid_Stock'!CU60</f>
        <v/>
      </c>
      <c r="DE124" s="19">
        <f>'Grid_Stock'!CV60</f>
        <v/>
      </c>
      <c r="DF124" s="19">
        <f>'Grid_Stock'!CW60</f>
        <v/>
      </c>
      <c r="DG124" s="19">
        <f>'Grid_Stock'!CX60</f>
        <v/>
      </c>
      <c r="DH124" s="19">
        <f>'Grid_Stock'!CY60</f>
        <v/>
      </c>
      <c r="DI124" s="19">
        <f>'Grid_Stock'!CZ60</f>
        <v/>
      </c>
      <c r="DJ124" s="19">
        <f>'Grid_Stock'!DA60</f>
        <v/>
      </c>
    </row>
    <row r="125">
      <c r="A125" s="17" t="inlineStr">
        <is>
          <t>CHEM-1720</t>
        </is>
      </c>
      <c r="B125" s="17">
        <f>IFERROR(INDEX(M_RawMaterials[Description],MATCH($A125,M_RawMaterials[Part Name],0)),"")</f>
        <v/>
      </c>
      <c r="C125" s="17">
        <f>IFERROR(INDEX(M_RawMaterials[Category],MATCH($A125,M_RawMaterials[Part Name],0)),"")</f>
        <v/>
      </c>
      <c r="D125" s="17">
        <f>IFERROR(INDEX(M_RawMaterials[基準在庫下限_要入力],MATCH($A125,M_RawMaterials[Part Name],0)),0)</f>
        <v/>
      </c>
      <c r="E125" s="17">
        <f>IFERROR(INDEX(M_RawMaterials[基準在庫上限_要入力],MATCH($A125,M_RawMaterials[Part Name],0)),0)</f>
        <v/>
      </c>
      <c r="F125" s="17">
        <f>IFERROR(LOOKUP(2,1/('T_SelfStock'!$B$65:$DA$65&lt;&gt;""),'T_SelfStock'!$B$65:$DA$65),"")</f>
        <v/>
      </c>
      <c r="G125" s="17">
        <f>IFERROR(LOOKUP(2,1/('T_TTAFStock'!$B$65:$DA$65&lt;&gt;""),'T_TTAFStock'!$B$65:$DA$65),"")</f>
        <v/>
      </c>
      <c r="H125" s="17">
        <f>IFERROR(LOOKUP(2,1/('T_SelfStock'!$B$65:$DA$65&lt;&gt;""),'T_SelfStock'!$B$5:$DA$5),"")</f>
        <v/>
      </c>
      <c r="I125" s="18" t="inlineStr">
        <is>
          <t>理論在庫</t>
        </is>
      </c>
      <c r="J125" s="17">
        <f>IFERROR(INDEX('Grid_Stock'!$A61:$DA61,1,LOOKUP(2,1/('T_SelfStock'!$B$65:$DA$65&lt;&gt;""),COLUMN('T_SelfStock'!$B$65:$DA$65)))-INDEX('Grid_TheoreticalStock'!$A61:$DA61,1,LOOKUP(2,1/('T_SelfStock'!$B$65:$DA$65&lt;&gt;""),COLUMN('T_SelfStock'!$B$65:$DA$65))),0)</f>
        <v/>
      </c>
      <c r="K125" s="18">
        <f>'Grid_TheoreticalStock'!B61</f>
        <v/>
      </c>
      <c r="L125" s="18">
        <f>'Grid_TheoreticalStock'!C61</f>
        <v/>
      </c>
      <c r="M125" s="18">
        <f>'Grid_TheoreticalStock'!D61</f>
        <v/>
      </c>
      <c r="N125" s="18">
        <f>'Grid_TheoreticalStock'!E61</f>
        <v/>
      </c>
      <c r="O125" s="18">
        <f>'Grid_TheoreticalStock'!F61</f>
        <v/>
      </c>
      <c r="P125" s="18">
        <f>'Grid_TheoreticalStock'!G61</f>
        <v/>
      </c>
      <c r="Q125" s="18">
        <f>'Grid_TheoreticalStock'!H61</f>
        <v/>
      </c>
      <c r="R125" s="18">
        <f>'Grid_TheoreticalStock'!I61</f>
        <v/>
      </c>
      <c r="S125" s="18">
        <f>'Grid_TheoreticalStock'!J61</f>
        <v/>
      </c>
      <c r="T125" s="18">
        <f>'Grid_TheoreticalStock'!K61</f>
        <v/>
      </c>
      <c r="U125" s="18">
        <f>'Grid_TheoreticalStock'!L61</f>
        <v/>
      </c>
      <c r="V125" s="18">
        <f>'Grid_TheoreticalStock'!M61</f>
        <v/>
      </c>
      <c r="W125" s="18">
        <f>'Grid_TheoreticalStock'!N61</f>
        <v/>
      </c>
      <c r="X125" s="18">
        <f>'Grid_TheoreticalStock'!O61</f>
        <v/>
      </c>
      <c r="Y125" s="18">
        <f>'Grid_TheoreticalStock'!P61</f>
        <v/>
      </c>
      <c r="Z125" s="18">
        <f>'Grid_TheoreticalStock'!Q61</f>
        <v/>
      </c>
      <c r="AA125" s="18">
        <f>'Grid_TheoreticalStock'!R61</f>
        <v/>
      </c>
      <c r="AB125" s="18">
        <f>'Grid_TheoreticalStock'!S61</f>
        <v/>
      </c>
      <c r="AC125" s="18">
        <f>'Grid_TheoreticalStock'!T61</f>
        <v/>
      </c>
      <c r="AD125" s="18">
        <f>'Grid_TheoreticalStock'!U61</f>
        <v/>
      </c>
      <c r="AE125" s="18">
        <f>'Grid_TheoreticalStock'!V61</f>
        <v/>
      </c>
      <c r="AF125" s="18">
        <f>'Grid_TheoreticalStock'!W61</f>
        <v/>
      </c>
      <c r="AG125" s="18">
        <f>'Grid_TheoreticalStock'!X61</f>
        <v/>
      </c>
      <c r="AH125" s="18">
        <f>'Grid_TheoreticalStock'!Y61</f>
        <v/>
      </c>
      <c r="AI125" s="18">
        <f>'Grid_TheoreticalStock'!Z61</f>
        <v/>
      </c>
      <c r="AJ125" s="18">
        <f>'Grid_TheoreticalStock'!AA61</f>
        <v/>
      </c>
      <c r="AK125" s="18">
        <f>'Grid_TheoreticalStock'!AB61</f>
        <v/>
      </c>
      <c r="AL125" s="18">
        <f>'Grid_TheoreticalStock'!AC61</f>
        <v/>
      </c>
      <c r="AM125" s="18">
        <f>'Grid_TheoreticalStock'!AD61</f>
        <v/>
      </c>
      <c r="AN125" s="18">
        <f>'Grid_TheoreticalStock'!AE61</f>
        <v/>
      </c>
      <c r="AO125" s="18">
        <f>'Grid_TheoreticalStock'!AF61</f>
        <v/>
      </c>
      <c r="AP125" s="18">
        <f>'Grid_TheoreticalStock'!AG61</f>
        <v/>
      </c>
      <c r="AQ125" s="18">
        <f>'Grid_TheoreticalStock'!AH61</f>
        <v/>
      </c>
      <c r="AR125" s="18">
        <f>'Grid_TheoreticalStock'!AI61</f>
        <v/>
      </c>
      <c r="AS125" s="18">
        <f>'Grid_TheoreticalStock'!AJ61</f>
        <v/>
      </c>
      <c r="AT125" s="18">
        <f>'Grid_TheoreticalStock'!AK61</f>
        <v/>
      </c>
      <c r="AU125" s="18">
        <f>'Grid_TheoreticalStock'!AL61</f>
        <v/>
      </c>
      <c r="AV125" s="18">
        <f>'Grid_TheoreticalStock'!AM61</f>
        <v/>
      </c>
      <c r="AW125" s="18">
        <f>'Grid_TheoreticalStock'!AN61</f>
        <v/>
      </c>
      <c r="AX125" s="18">
        <f>'Grid_TheoreticalStock'!AO61</f>
        <v/>
      </c>
      <c r="AY125" s="18">
        <f>'Grid_TheoreticalStock'!AP61</f>
        <v/>
      </c>
      <c r="AZ125" s="18">
        <f>'Grid_TheoreticalStock'!AQ61</f>
        <v/>
      </c>
      <c r="BA125" s="18">
        <f>'Grid_TheoreticalStock'!AR61</f>
        <v/>
      </c>
      <c r="BB125" s="18">
        <f>'Grid_TheoreticalStock'!AS61</f>
        <v/>
      </c>
      <c r="BC125" s="18">
        <f>'Grid_TheoreticalStock'!AT61</f>
        <v/>
      </c>
      <c r="BD125" s="18">
        <f>'Grid_TheoreticalStock'!AU61</f>
        <v/>
      </c>
      <c r="BE125" s="18">
        <f>'Grid_TheoreticalStock'!AV61</f>
        <v/>
      </c>
      <c r="BF125" s="18">
        <f>'Grid_TheoreticalStock'!AW61</f>
        <v/>
      </c>
      <c r="BG125" s="18">
        <f>'Grid_TheoreticalStock'!AX61</f>
        <v/>
      </c>
      <c r="BH125" s="18">
        <f>'Grid_TheoreticalStock'!AY61</f>
        <v/>
      </c>
      <c r="BI125" s="18">
        <f>'Grid_TheoreticalStock'!AZ61</f>
        <v/>
      </c>
      <c r="BJ125" s="18">
        <f>'Grid_TheoreticalStock'!BA61</f>
        <v/>
      </c>
      <c r="BK125" s="18">
        <f>'Grid_TheoreticalStock'!BB61</f>
        <v/>
      </c>
      <c r="BL125" s="18">
        <f>'Grid_TheoreticalStock'!BC61</f>
        <v/>
      </c>
      <c r="BM125" s="18">
        <f>'Grid_TheoreticalStock'!BD61</f>
        <v/>
      </c>
      <c r="BN125" s="18">
        <f>'Grid_TheoreticalStock'!BE61</f>
        <v/>
      </c>
      <c r="BO125" s="18">
        <f>'Grid_TheoreticalStock'!BF61</f>
        <v/>
      </c>
      <c r="BP125" s="18">
        <f>'Grid_TheoreticalStock'!BG61</f>
        <v/>
      </c>
      <c r="BQ125" s="18">
        <f>'Grid_TheoreticalStock'!BH61</f>
        <v/>
      </c>
      <c r="BR125" s="18">
        <f>'Grid_TheoreticalStock'!BI61</f>
        <v/>
      </c>
      <c r="BS125" s="18">
        <f>'Grid_TheoreticalStock'!BJ61</f>
        <v/>
      </c>
      <c r="BT125" s="18">
        <f>'Grid_TheoreticalStock'!BK61</f>
        <v/>
      </c>
      <c r="BU125" s="18">
        <f>'Grid_TheoreticalStock'!BL61</f>
        <v/>
      </c>
      <c r="BV125" s="18">
        <f>'Grid_TheoreticalStock'!BM61</f>
        <v/>
      </c>
      <c r="BW125" s="18">
        <f>'Grid_TheoreticalStock'!BN61</f>
        <v/>
      </c>
      <c r="BX125" s="18">
        <f>'Grid_TheoreticalStock'!BO61</f>
        <v/>
      </c>
      <c r="BY125" s="18">
        <f>'Grid_TheoreticalStock'!BP61</f>
        <v/>
      </c>
      <c r="BZ125" s="18">
        <f>'Grid_TheoreticalStock'!BQ61</f>
        <v/>
      </c>
      <c r="CA125" s="18">
        <f>'Grid_TheoreticalStock'!BR61</f>
        <v/>
      </c>
      <c r="CB125" s="18">
        <f>'Grid_TheoreticalStock'!BS61</f>
        <v/>
      </c>
      <c r="CC125" s="18">
        <f>'Grid_TheoreticalStock'!BT61</f>
        <v/>
      </c>
      <c r="CD125" s="18">
        <f>'Grid_TheoreticalStock'!BU61</f>
        <v/>
      </c>
      <c r="CE125" s="18">
        <f>'Grid_TheoreticalStock'!BV61</f>
        <v/>
      </c>
      <c r="CF125" s="18">
        <f>'Grid_TheoreticalStock'!BW61</f>
        <v/>
      </c>
      <c r="CG125" s="18">
        <f>'Grid_TheoreticalStock'!BX61</f>
        <v/>
      </c>
      <c r="CH125" s="18">
        <f>'Grid_TheoreticalStock'!BY61</f>
        <v/>
      </c>
      <c r="CI125" s="18">
        <f>'Grid_TheoreticalStock'!BZ61</f>
        <v/>
      </c>
      <c r="CJ125" s="18">
        <f>'Grid_TheoreticalStock'!CA61</f>
        <v/>
      </c>
      <c r="CK125" s="18">
        <f>'Grid_TheoreticalStock'!CB61</f>
        <v/>
      </c>
      <c r="CL125" s="18">
        <f>'Grid_TheoreticalStock'!CC61</f>
        <v/>
      </c>
      <c r="CM125" s="18">
        <f>'Grid_TheoreticalStock'!CD61</f>
        <v/>
      </c>
      <c r="CN125" s="18">
        <f>'Grid_TheoreticalStock'!CE61</f>
        <v/>
      </c>
      <c r="CO125" s="18">
        <f>'Grid_TheoreticalStock'!CF61</f>
        <v/>
      </c>
      <c r="CP125" s="18">
        <f>'Grid_TheoreticalStock'!CG61</f>
        <v/>
      </c>
      <c r="CQ125" s="18">
        <f>'Grid_TheoreticalStock'!CH61</f>
        <v/>
      </c>
      <c r="CR125" s="18">
        <f>'Grid_TheoreticalStock'!CI61</f>
        <v/>
      </c>
      <c r="CS125" s="18">
        <f>'Grid_TheoreticalStock'!CJ61</f>
        <v/>
      </c>
      <c r="CT125" s="18">
        <f>'Grid_TheoreticalStock'!CK61</f>
        <v/>
      </c>
      <c r="CU125" s="18">
        <f>'Grid_TheoreticalStock'!CL61</f>
        <v/>
      </c>
      <c r="CV125" s="18">
        <f>'Grid_TheoreticalStock'!CM61</f>
        <v/>
      </c>
      <c r="CW125" s="18">
        <f>'Grid_TheoreticalStock'!CN61</f>
        <v/>
      </c>
      <c r="CX125" s="18">
        <f>'Grid_TheoreticalStock'!CO61</f>
        <v/>
      </c>
      <c r="CY125" s="18">
        <f>'Grid_TheoreticalStock'!CP61</f>
        <v/>
      </c>
      <c r="CZ125" s="18">
        <f>'Grid_TheoreticalStock'!CQ61</f>
        <v/>
      </c>
      <c r="DA125" s="18">
        <f>'Grid_TheoreticalStock'!CR61</f>
        <v/>
      </c>
      <c r="DB125" s="18">
        <f>'Grid_TheoreticalStock'!CS61</f>
        <v/>
      </c>
      <c r="DC125" s="18">
        <f>'Grid_TheoreticalStock'!CT61</f>
        <v/>
      </c>
      <c r="DD125" s="18">
        <f>'Grid_TheoreticalStock'!CU61</f>
        <v/>
      </c>
      <c r="DE125" s="18">
        <f>'Grid_TheoreticalStock'!CV61</f>
        <v/>
      </c>
      <c r="DF125" s="18">
        <f>'Grid_TheoreticalStock'!CW61</f>
        <v/>
      </c>
      <c r="DG125" s="18">
        <f>'Grid_TheoreticalStock'!CX61</f>
        <v/>
      </c>
      <c r="DH125" s="18">
        <f>'Grid_TheoreticalStock'!CY61</f>
        <v/>
      </c>
      <c r="DI125" s="18">
        <f>'Grid_TheoreticalStock'!CZ61</f>
        <v/>
      </c>
      <c r="DJ125" s="18">
        <f>'Grid_TheoreticalStock'!DA61</f>
        <v/>
      </c>
    </row>
    <row r="126">
      <c r="A126" s="19" t="inlineStr">
        <is>
          <t>CHEM-1720</t>
        </is>
      </c>
      <c r="B126" s="19">
        <f>IFERROR(INDEX(M_RawMaterials[Description],MATCH($A126,M_RawMaterials[Part Name],0)),"")</f>
        <v/>
      </c>
      <c r="C126" s="19">
        <f>IFERROR(INDEX(M_RawMaterials[Category],MATCH($A126,M_RawMaterials[Part Name],0)),"")</f>
        <v/>
      </c>
      <c r="D126" s="19">
        <f>IFERROR(INDEX(M_RawMaterials[基準在庫下限_要入力],MATCH($A126,M_RawMaterials[Part Name],0)),0)</f>
        <v/>
      </c>
      <c r="E126" s="19">
        <f>IFERROR(INDEX(M_RawMaterials[基準在庫上限_要入力],MATCH($A126,M_RawMaterials[Part Name],0)),0)</f>
        <v/>
      </c>
      <c r="F126" s="19">
        <f>IFERROR(LOOKUP(2,1/('T_SelfStock'!$B$65:$DA$65&lt;&gt;""),'T_SelfStock'!$B$65:$DA$65),"")</f>
        <v/>
      </c>
      <c r="G126" s="19">
        <f>IFERROR(LOOKUP(2,1/('T_TTAFStock'!$B$65:$DA$65&lt;&gt;""),'T_TTAFStock'!$B$65:$DA$65),"")</f>
        <v/>
      </c>
      <c r="H126" s="19">
        <f>IFERROR(LOOKUP(2,1/('T_SelfStock'!$B$65:$DA$65&lt;&gt;""),'T_SelfStock'!$B$5:$DA$5),"")</f>
        <v/>
      </c>
      <c r="I126" s="20" t="inlineStr">
        <is>
          <t>実在庫</t>
        </is>
      </c>
      <c r="J126" s="19">
        <f>IFERROR(INDEX('Grid_Stock'!$A61:$DA61,1,LOOKUP(2,1/('T_SelfStock'!$B$65:$DA$65&lt;&gt;""),COLUMN('T_SelfStock'!$B$65:$DA$65)))-INDEX('Grid_TheoreticalStock'!$A61:$DA61,1,LOOKUP(2,1/('T_SelfStock'!$B$65:$DA$65&lt;&gt;""),COLUMN('T_SelfStock'!$B$65:$DA$65))),0)</f>
        <v/>
      </c>
      <c r="K126" s="19">
        <f>'Grid_Stock'!B61</f>
        <v/>
      </c>
      <c r="L126" s="19">
        <f>'Grid_Stock'!C61</f>
        <v/>
      </c>
      <c r="M126" s="19">
        <f>'Grid_Stock'!D61</f>
        <v/>
      </c>
      <c r="N126" s="19">
        <f>'Grid_Stock'!E61</f>
        <v/>
      </c>
      <c r="O126" s="19">
        <f>'Grid_Stock'!F61</f>
        <v/>
      </c>
      <c r="P126" s="19">
        <f>'Grid_Stock'!G61</f>
        <v/>
      </c>
      <c r="Q126" s="19">
        <f>'Grid_Stock'!H61</f>
        <v/>
      </c>
      <c r="R126" s="19">
        <f>'Grid_Stock'!I61</f>
        <v/>
      </c>
      <c r="S126" s="19">
        <f>'Grid_Stock'!J61</f>
        <v/>
      </c>
      <c r="T126" s="19">
        <f>'Grid_Stock'!K61</f>
        <v/>
      </c>
      <c r="U126" s="19">
        <f>'Grid_Stock'!L61</f>
        <v/>
      </c>
      <c r="V126" s="19">
        <f>'Grid_Stock'!M61</f>
        <v/>
      </c>
      <c r="W126" s="19">
        <f>'Grid_Stock'!N61</f>
        <v/>
      </c>
      <c r="X126" s="19">
        <f>'Grid_Stock'!O61</f>
        <v/>
      </c>
      <c r="Y126" s="19">
        <f>'Grid_Stock'!P61</f>
        <v/>
      </c>
      <c r="Z126" s="19">
        <f>'Grid_Stock'!Q61</f>
        <v/>
      </c>
      <c r="AA126" s="19">
        <f>'Grid_Stock'!R61</f>
        <v/>
      </c>
      <c r="AB126" s="19">
        <f>'Grid_Stock'!S61</f>
        <v/>
      </c>
      <c r="AC126" s="19">
        <f>'Grid_Stock'!T61</f>
        <v/>
      </c>
      <c r="AD126" s="19">
        <f>'Grid_Stock'!U61</f>
        <v/>
      </c>
      <c r="AE126" s="19">
        <f>'Grid_Stock'!V61</f>
        <v/>
      </c>
      <c r="AF126" s="19">
        <f>'Grid_Stock'!W61</f>
        <v/>
      </c>
      <c r="AG126" s="19">
        <f>'Grid_Stock'!X61</f>
        <v/>
      </c>
      <c r="AH126" s="19">
        <f>'Grid_Stock'!Y61</f>
        <v/>
      </c>
      <c r="AI126" s="19">
        <f>'Grid_Stock'!Z61</f>
        <v/>
      </c>
      <c r="AJ126" s="19">
        <f>'Grid_Stock'!AA61</f>
        <v/>
      </c>
      <c r="AK126" s="19">
        <f>'Grid_Stock'!AB61</f>
        <v/>
      </c>
      <c r="AL126" s="19">
        <f>'Grid_Stock'!AC61</f>
        <v/>
      </c>
      <c r="AM126" s="19">
        <f>'Grid_Stock'!AD61</f>
        <v/>
      </c>
      <c r="AN126" s="19">
        <f>'Grid_Stock'!AE61</f>
        <v/>
      </c>
      <c r="AO126" s="19">
        <f>'Grid_Stock'!AF61</f>
        <v/>
      </c>
      <c r="AP126" s="19">
        <f>'Grid_Stock'!AG61</f>
        <v/>
      </c>
      <c r="AQ126" s="19">
        <f>'Grid_Stock'!AH61</f>
        <v/>
      </c>
      <c r="AR126" s="19">
        <f>'Grid_Stock'!AI61</f>
        <v/>
      </c>
      <c r="AS126" s="19">
        <f>'Grid_Stock'!AJ61</f>
        <v/>
      </c>
      <c r="AT126" s="19">
        <f>'Grid_Stock'!AK61</f>
        <v/>
      </c>
      <c r="AU126" s="19">
        <f>'Grid_Stock'!AL61</f>
        <v/>
      </c>
      <c r="AV126" s="19">
        <f>'Grid_Stock'!AM61</f>
        <v/>
      </c>
      <c r="AW126" s="19">
        <f>'Grid_Stock'!AN61</f>
        <v/>
      </c>
      <c r="AX126" s="19">
        <f>'Grid_Stock'!AO61</f>
        <v/>
      </c>
      <c r="AY126" s="19">
        <f>'Grid_Stock'!AP61</f>
        <v/>
      </c>
      <c r="AZ126" s="19">
        <f>'Grid_Stock'!AQ61</f>
        <v/>
      </c>
      <c r="BA126" s="19">
        <f>'Grid_Stock'!AR61</f>
        <v/>
      </c>
      <c r="BB126" s="19">
        <f>'Grid_Stock'!AS61</f>
        <v/>
      </c>
      <c r="BC126" s="19">
        <f>'Grid_Stock'!AT61</f>
        <v/>
      </c>
      <c r="BD126" s="19">
        <f>'Grid_Stock'!AU61</f>
        <v/>
      </c>
      <c r="BE126" s="19">
        <f>'Grid_Stock'!AV61</f>
        <v/>
      </c>
      <c r="BF126" s="19">
        <f>'Grid_Stock'!AW61</f>
        <v/>
      </c>
      <c r="BG126" s="19">
        <f>'Grid_Stock'!AX61</f>
        <v/>
      </c>
      <c r="BH126" s="19">
        <f>'Grid_Stock'!AY61</f>
        <v/>
      </c>
      <c r="BI126" s="19">
        <f>'Grid_Stock'!AZ61</f>
        <v/>
      </c>
      <c r="BJ126" s="19">
        <f>'Grid_Stock'!BA61</f>
        <v/>
      </c>
      <c r="BK126" s="19">
        <f>'Grid_Stock'!BB61</f>
        <v/>
      </c>
      <c r="BL126" s="19">
        <f>'Grid_Stock'!BC61</f>
        <v/>
      </c>
      <c r="BM126" s="19">
        <f>'Grid_Stock'!BD61</f>
        <v/>
      </c>
      <c r="BN126" s="19">
        <f>'Grid_Stock'!BE61</f>
        <v/>
      </c>
      <c r="BO126" s="19">
        <f>'Grid_Stock'!BF61</f>
        <v/>
      </c>
      <c r="BP126" s="19">
        <f>'Grid_Stock'!BG61</f>
        <v/>
      </c>
      <c r="BQ126" s="19">
        <f>'Grid_Stock'!BH61</f>
        <v/>
      </c>
      <c r="BR126" s="19">
        <f>'Grid_Stock'!BI61</f>
        <v/>
      </c>
      <c r="BS126" s="19">
        <f>'Grid_Stock'!BJ61</f>
        <v/>
      </c>
      <c r="BT126" s="19">
        <f>'Grid_Stock'!BK61</f>
        <v/>
      </c>
      <c r="BU126" s="19">
        <f>'Grid_Stock'!BL61</f>
        <v/>
      </c>
      <c r="BV126" s="19">
        <f>'Grid_Stock'!BM61</f>
        <v/>
      </c>
      <c r="BW126" s="19">
        <f>'Grid_Stock'!BN61</f>
        <v/>
      </c>
      <c r="BX126" s="19">
        <f>'Grid_Stock'!BO61</f>
        <v/>
      </c>
      <c r="BY126" s="19">
        <f>'Grid_Stock'!BP61</f>
        <v/>
      </c>
      <c r="BZ126" s="19">
        <f>'Grid_Stock'!BQ61</f>
        <v/>
      </c>
      <c r="CA126" s="19">
        <f>'Grid_Stock'!BR61</f>
        <v/>
      </c>
      <c r="CB126" s="19">
        <f>'Grid_Stock'!BS61</f>
        <v/>
      </c>
      <c r="CC126" s="19">
        <f>'Grid_Stock'!BT61</f>
        <v/>
      </c>
      <c r="CD126" s="19">
        <f>'Grid_Stock'!BU61</f>
        <v/>
      </c>
      <c r="CE126" s="19">
        <f>'Grid_Stock'!BV61</f>
        <v/>
      </c>
      <c r="CF126" s="19">
        <f>'Grid_Stock'!BW61</f>
        <v/>
      </c>
      <c r="CG126" s="19">
        <f>'Grid_Stock'!BX61</f>
        <v/>
      </c>
      <c r="CH126" s="19">
        <f>'Grid_Stock'!BY61</f>
        <v/>
      </c>
      <c r="CI126" s="19">
        <f>'Grid_Stock'!BZ61</f>
        <v/>
      </c>
      <c r="CJ126" s="19">
        <f>'Grid_Stock'!CA61</f>
        <v/>
      </c>
      <c r="CK126" s="19">
        <f>'Grid_Stock'!CB61</f>
        <v/>
      </c>
      <c r="CL126" s="19">
        <f>'Grid_Stock'!CC61</f>
        <v/>
      </c>
      <c r="CM126" s="19">
        <f>'Grid_Stock'!CD61</f>
        <v/>
      </c>
      <c r="CN126" s="19">
        <f>'Grid_Stock'!CE61</f>
        <v/>
      </c>
      <c r="CO126" s="19">
        <f>'Grid_Stock'!CF61</f>
        <v/>
      </c>
      <c r="CP126" s="19">
        <f>'Grid_Stock'!CG61</f>
        <v/>
      </c>
      <c r="CQ126" s="19">
        <f>'Grid_Stock'!CH61</f>
        <v/>
      </c>
      <c r="CR126" s="19">
        <f>'Grid_Stock'!CI61</f>
        <v/>
      </c>
      <c r="CS126" s="19">
        <f>'Grid_Stock'!CJ61</f>
        <v/>
      </c>
      <c r="CT126" s="19">
        <f>'Grid_Stock'!CK61</f>
        <v/>
      </c>
      <c r="CU126" s="19">
        <f>'Grid_Stock'!CL61</f>
        <v/>
      </c>
      <c r="CV126" s="19">
        <f>'Grid_Stock'!CM61</f>
        <v/>
      </c>
      <c r="CW126" s="19">
        <f>'Grid_Stock'!CN61</f>
        <v/>
      </c>
      <c r="CX126" s="19">
        <f>'Grid_Stock'!CO61</f>
        <v/>
      </c>
      <c r="CY126" s="19">
        <f>'Grid_Stock'!CP61</f>
        <v/>
      </c>
      <c r="CZ126" s="19">
        <f>'Grid_Stock'!CQ61</f>
        <v/>
      </c>
      <c r="DA126" s="19">
        <f>'Grid_Stock'!CR61</f>
        <v/>
      </c>
      <c r="DB126" s="19">
        <f>'Grid_Stock'!CS61</f>
        <v/>
      </c>
      <c r="DC126" s="19">
        <f>'Grid_Stock'!CT61</f>
        <v/>
      </c>
      <c r="DD126" s="19">
        <f>'Grid_Stock'!CU61</f>
        <v/>
      </c>
      <c r="DE126" s="19">
        <f>'Grid_Stock'!CV61</f>
        <v/>
      </c>
      <c r="DF126" s="19">
        <f>'Grid_Stock'!CW61</f>
        <v/>
      </c>
      <c r="DG126" s="19">
        <f>'Grid_Stock'!CX61</f>
        <v/>
      </c>
      <c r="DH126" s="19">
        <f>'Grid_Stock'!CY61</f>
        <v/>
      </c>
      <c r="DI126" s="19">
        <f>'Grid_Stock'!CZ61</f>
        <v/>
      </c>
      <c r="DJ126" s="19">
        <f>'Grid_Stock'!DA61</f>
        <v/>
      </c>
    </row>
  </sheetData>
  <conditionalFormatting sqref="K7:DJ126">
    <cfRule type="expression" priority="1" dxfId="0">
      <formula>AND($I7="実在庫",K7&lt;$D7)</formula>
    </cfRule>
    <cfRule type="expression" priority="2" dxfId="1">
      <formula>AND($I7="実在庫",K7&gt;=$D7,K7&lt;=$E7)</formula>
    </cfRule>
    <cfRule type="expression" priority="3" dxfId="2">
      <formula>AND($I7="実在庫",K7&gt;$E7)</formula>
    </cfRule>
  </conditionalFormatting>
  <conditionalFormatting sqref="K6:DJ126">
    <cfRule type="expression" priority="4" dxfId="3">
      <formula>(COLUMN()-COLUMN($K$1)+1)=$F$1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1288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10" customWidth="1" min="108" max="108"/>
    <col width="14" customWidth="1" min="109" max="109"/>
  </cols>
  <sheetData>
    <row r="1">
      <c r="A1" s="5" t="inlineStr">
        <is>
          <t>選択週を入力（例: W23。現在年の週Noで検索します）</t>
        </is>
      </c>
      <c r="C1" s="10" t="inlineStr"/>
      <c r="D1" s="11">
        <f>IF($C$1="","週Noを入力してください（例: W23）",IF($F$1="","該当週が見つかりません（今年の週Noか確認してください）",INDEX(Cal_Weeks!$E$4:$E$107,$F$1)&amp;" が該当週です（VBA導入時は自動でスクロールします）"))</f>
        <v/>
      </c>
      <c r="E1" s="12" t="inlineStr">
        <is>
          <t>→WeekIndex</t>
        </is>
      </c>
      <c r="F1" s="12">
        <f>IFERROR(IF(SUMPRODUCT((Cal_Weeks!$C$4:$C$107=Cal_Weeks!$B$1)*(Cal_Weeks!$D$4:$D$107=VALUE(SUBSTITUTE(UPPER(TRIM($C$1)),"W",""))))=0,"",SUMPRODUCT((Cal_Weeks!$C$4:$C$107=Cal_Weeks!$B$1)*(Cal_Weeks!$D$4:$D$107=VALUE(SUBSTITUTE(UPPER(TRIM($C$1)),"W","")))*(Cal_Weeks!$A$4:$A$107))),"")</f>
        <v/>
      </c>
    </row>
    <row r="3">
      <c r="A3" s="13" t="n"/>
      <c r="B3" s="13" t="n"/>
      <c r="C3" s="13" t="n"/>
      <c r="D3" s="13">
        <f>'Cal_Weeks'!G4</f>
        <v/>
      </c>
      <c r="E3" s="13">
        <f>IF(TEXT('Cal_Weeks'!B5,"mmm-yy")&lt;&gt;TEXT('Cal_Weeks'!B4,"mmm-yy"),'Cal_Weeks'!G5,"")</f>
        <v/>
      </c>
      <c r="F3" s="13">
        <f>IF(TEXT('Cal_Weeks'!B6,"mmm-yy")&lt;&gt;TEXT('Cal_Weeks'!B5,"mmm-yy"),'Cal_Weeks'!G6,"")</f>
        <v/>
      </c>
      <c r="G3" s="13">
        <f>IF(TEXT('Cal_Weeks'!B7,"mmm-yy")&lt;&gt;TEXT('Cal_Weeks'!B6,"mmm-yy"),'Cal_Weeks'!G7,"")</f>
        <v/>
      </c>
      <c r="H3" s="13">
        <f>IF(TEXT('Cal_Weeks'!B8,"mmm-yy")&lt;&gt;TEXT('Cal_Weeks'!B7,"mmm-yy"),'Cal_Weeks'!G8,"")</f>
        <v/>
      </c>
      <c r="I3" s="13">
        <f>IF(TEXT('Cal_Weeks'!B9,"mmm-yy")&lt;&gt;TEXT('Cal_Weeks'!B8,"mmm-yy"),'Cal_Weeks'!G9,"")</f>
        <v/>
      </c>
      <c r="J3" s="13">
        <f>IF(TEXT('Cal_Weeks'!B10,"mmm-yy")&lt;&gt;TEXT('Cal_Weeks'!B9,"mmm-yy"),'Cal_Weeks'!G10,"")</f>
        <v/>
      </c>
      <c r="K3" s="13">
        <f>IF(TEXT('Cal_Weeks'!B11,"mmm-yy")&lt;&gt;TEXT('Cal_Weeks'!B10,"mmm-yy"),'Cal_Weeks'!G11,"")</f>
        <v/>
      </c>
      <c r="L3" s="13">
        <f>IF(TEXT('Cal_Weeks'!B12,"mmm-yy")&lt;&gt;TEXT('Cal_Weeks'!B11,"mmm-yy"),'Cal_Weeks'!G12,"")</f>
        <v/>
      </c>
      <c r="M3" s="13">
        <f>IF(TEXT('Cal_Weeks'!B13,"mmm-yy")&lt;&gt;TEXT('Cal_Weeks'!B12,"mmm-yy"),'Cal_Weeks'!G13,"")</f>
        <v/>
      </c>
      <c r="N3" s="13">
        <f>IF(TEXT('Cal_Weeks'!B14,"mmm-yy")&lt;&gt;TEXT('Cal_Weeks'!B13,"mmm-yy"),'Cal_Weeks'!G14,"")</f>
        <v/>
      </c>
      <c r="O3" s="13">
        <f>IF(TEXT('Cal_Weeks'!B15,"mmm-yy")&lt;&gt;TEXT('Cal_Weeks'!B14,"mmm-yy"),'Cal_Weeks'!G15,"")</f>
        <v/>
      </c>
      <c r="P3" s="13">
        <f>IF(TEXT('Cal_Weeks'!B16,"mmm-yy")&lt;&gt;TEXT('Cal_Weeks'!B15,"mmm-yy"),'Cal_Weeks'!G16,"")</f>
        <v/>
      </c>
      <c r="Q3" s="13">
        <f>IF(TEXT('Cal_Weeks'!B17,"mmm-yy")&lt;&gt;TEXT('Cal_Weeks'!B16,"mmm-yy"),'Cal_Weeks'!G17,"")</f>
        <v/>
      </c>
      <c r="R3" s="13">
        <f>IF(TEXT('Cal_Weeks'!B18,"mmm-yy")&lt;&gt;TEXT('Cal_Weeks'!B17,"mmm-yy"),'Cal_Weeks'!G18,"")</f>
        <v/>
      </c>
      <c r="S3" s="13">
        <f>IF(TEXT('Cal_Weeks'!B19,"mmm-yy")&lt;&gt;TEXT('Cal_Weeks'!B18,"mmm-yy"),'Cal_Weeks'!G19,"")</f>
        <v/>
      </c>
      <c r="T3" s="13">
        <f>IF(TEXT('Cal_Weeks'!B20,"mmm-yy")&lt;&gt;TEXT('Cal_Weeks'!B19,"mmm-yy"),'Cal_Weeks'!G20,"")</f>
        <v/>
      </c>
      <c r="U3" s="13">
        <f>IF(TEXT('Cal_Weeks'!B21,"mmm-yy")&lt;&gt;TEXT('Cal_Weeks'!B20,"mmm-yy"),'Cal_Weeks'!G21,"")</f>
        <v/>
      </c>
      <c r="V3" s="13">
        <f>IF(TEXT('Cal_Weeks'!B22,"mmm-yy")&lt;&gt;TEXT('Cal_Weeks'!B21,"mmm-yy"),'Cal_Weeks'!G22,"")</f>
        <v/>
      </c>
      <c r="W3" s="13">
        <f>IF(TEXT('Cal_Weeks'!B23,"mmm-yy")&lt;&gt;TEXT('Cal_Weeks'!B22,"mmm-yy"),'Cal_Weeks'!G23,"")</f>
        <v/>
      </c>
      <c r="X3" s="13">
        <f>IF(TEXT('Cal_Weeks'!B24,"mmm-yy")&lt;&gt;TEXT('Cal_Weeks'!B23,"mmm-yy"),'Cal_Weeks'!G24,"")</f>
        <v/>
      </c>
      <c r="Y3" s="13">
        <f>IF(TEXT('Cal_Weeks'!B25,"mmm-yy")&lt;&gt;TEXT('Cal_Weeks'!B24,"mmm-yy"),'Cal_Weeks'!G25,"")</f>
        <v/>
      </c>
      <c r="Z3" s="13">
        <f>IF(TEXT('Cal_Weeks'!B26,"mmm-yy")&lt;&gt;TEXT('Cal_Weeks'!B25,"mmm-yy"),'Cal_Weeks'!G26,"")</f>
        <v/>
      </c>
      <c r="AA3" s="13">
        <f>IF(TEXT('Cal_Weeks'!B27,"mmm-yy")&lt;&gt;TEXT('Cal_Weeks'!B26,"mmm-yy"),'Cal_Weeks'!G27,"")</f>
        <v/>
      </c>
      <c r="AB3" s="13">
        <f>IF(TEXT('Cal_Weeks'!B28,"mmm-yy")&lt;&gt;TEXT('Cal_Weeks'!B27,"mmm-yy"),'Cal_Weeks'!G28,"")</f>
        <v/>
      </c>
      <c r="AC3" s="13">
        <f>IF(TEXT('Cal_Weeks'!B29,"mmm-yy")&lt;&gt;TEXT('Cal_Weeks'!B28,"mmm-yy"),'Cal_Weeks'!G29,"")</f>
        <v/>
      </c>
      <c r="AD3" s="13">
        <f>IF(TEXT('Cal_Weeks'!B30,"mmm-yy")&lt;&gt;TEXT('Cal_Weeks'!B29,"mmm-yy"),'Cal_Weeks'!G30,"")</f>
        <v/>
      </c>
      <c r="AE3" s="13">
        <f>IF(TEXT('Cal_Weeks'!B31,"mmm-yy")&lt;&gt;TEXT('Cal_Weeks'!B30,"mmm-yy"),'Cal_Weeks'!G31,"")</f>
        <v/>
      </c>
      <c r="AF3" s="13">
        <f>IF(TEXT('Cal_Weeks'!B32,"mmm-yy")&lt;&gt;TEXT('Cal_Weeks'!B31,"mmm-yy"),'Cal_Weeks'!G32,"")</f>
        <v/>
      </c>
      <c r="AG3" s="13">
        <f>IF(TEXT('Cal_Weeks'!B33,"mmm-yy")&lt;&gt;TEXT('Cal_Weeks'!B32,"mmm-yy"),'Cal_Weeks'!G33,"")</f>
        <v/>
      </c>
      <c r="AH3" s="13">
        <f>IF(TEXT('Cal_Weeks'!B34,"mmm-yy")&lt;&gt;TEXT('Cal_Weeks'!B33,"mmm-yy"),'Cal_Weeks'!G34,"")</f>
        <v/>
      </c>
      <c r="AI3" s="13">
        <f>IF(TEXT('Cal_Weeks'!B35,"mmm-yy")&lt;&gt;TEXT('Cal_Weeks'!B34,"mmm-yy"),'Cal_Weeks'!G35,"")</f>
        <v/>
      </c>
      <c r="AJ3" s="13">
        <f>IF(TEXT('Cal_Weeks'!B36,"mmm-yy")&lt;&gt;TEXT('Cal_Weeks'!B35,"mmm-yy"),'Cal_Weeks'!G36,"")</f>
        <v/>
      </c>
      <c r="AK3" s="13">
        <f>IF(TEXT('Cal_Weeks'!B37,"mmm-yy")&lt;&gt;TEXT('Cal_Weeks'!B36,"mmm-yy"),'Cal_Weeks'!G37,"")</f>
        <v/>
      </c>
      <c r="AL3" s="13">
        <f>IF(TEXT('Cal_Weeks'!B38,"mmm-yy")&lt;&gt;TEXT('Cal_Weeks'!B37,"mmm-yy"),'Cal_Weeks'!G38,"")</f>
        <v/>
      </c>
      <c r="AM3" s="13">
        <f>IF(TEXT('Cal_Weeks'!B39,"mmm-yy")&lt;&gt;TEXT('Cal_Weeks'!B38,"mmm-yy"),'Cal_Weeks'!G39,"")</f>
        <v/>
      </c>
      <c r="AN3" s="13">
        <f>IF(TEXT('Cal_Weeks'!B40,"mmm-yy")&lt;&gt;TEXT('Cal_Weeks'!B39,"mmm-yy"),'Cal_Weeks'!G40,"")</f>
        <v/>
      </c>
      <c r="AO3" s="13">
        <f>IF(TEXT('Cal_Weeks'!B41,"mmm-yy")&lt;&gt;TEXT('Cal_Weeks'!B40,"mmm-yy"),'Cal_Weeks'!G41,"")</f>
        <v/>
      </c>
      <c r="AP3" s="13">
        <f>IF(TEXT('Cal_Weeks'!B42,"mmm-yy")&lt;&gt;TEXT('Cal_Weeks'!B41,"mmm-yy"),'Cal_Weeks'!G42,"")</f>
        <v/>
      </c>
      <c r="AQ3" s="13">
        <f>IF(TEXT('Cal_Weeks'!B43,"mmm-yy")&lt;&gt;TEXT('Cal_Weeks'!B42,"mmm-yy"),'Cal_Weeks'!G43,"")</f>
        <v/>
      </c>
      <c r="AR3" s="13">
        <f>IF(TEXT('Cal_Weeks'!B44,"mmm-yy")&lt;&gt;TEXT('Cal_Weeks'!B43,"mmm-yy"),'Cal_Weeks'!G44,"")</f>
        <v/>
      </c>
      <c r="AS3" s="13">
        <f>IF(TEXT('Cal_Weeks'!B45,"mmm-yy")&lt;&gt;TEXT('Cal_Weeks'!B44,"mmm-yy"),'Cal_Weeks'!G45,"")</f>
        <v/>
      </c>
      <c r="AT3" s="13">
        <f>IF(TEXT('Cal_Weeks'!B46,"mmm-yy")&lt;&gt;TEXT('Cal_Weeks'!B45,"mmm-yy"),'Cal_Weeks'!G46,"")</f>
        <v/>
      </c>
      <c r="AU3" s="13">
        <f>IF(TEXT('Cal_Weeks'!B47,"mmm-yy")&lt;&gt;TEXT('Cal_Weeks'!B46,"mmm-yy"),'Cal_Weeks'!G47,"")</f>
        <v/>
      </c>
      <c r="AV3" s="13">
        <f>IF(TEXT('Cal_Weeks'!B48,"mmm-yy")&lt;&gt;TEXT('Cal_Weeks'!B47,"mmm-yy"),'Cal_Weeks'!G48,"")</f>
        <v/>
      </c>
      <c r="AW3" s="13">
        <f>IF(TEXT('Cal_Weeks'!B49,"mmm-yy")&lt;&gt;TEXT('Cal_Weeks'!B48,"mmm-yy"),'Cal_Weeks'!G49,"")</f>
        <v/>
      </c>
      <c r="AX3" s="13">
        <f>IF(TEXT('Cal_Weeks'!B50,"mmm-yy")&lt;&gt;TEXT('Cal_Weeks'!B49,"mmm-yy"),'Cal_Weeks'!G50,"")</f>
        <v/>
      </c>
      <c r="AY3" s="13">
        <f>IF(TEXT('Cal_Weeks'!B51,"mmm-yy")&lt;&gt;TEXT('Cal_Weeks'!B50,"mmm-yy"),'Cal_Weeks'!G51,"")</f>
        <v/>
      </c>
      <c r="AZ3" s="13">
        <f>IF(TEXT('Cal_Weeks'!B52,"mmm-yy")&lt;&gt;TEXT('Cal_Weeks'!B51,"mmm-yy"),'Cal_Weeks'!G52,"")</f>
        <v/>
      </c>
      <c r="BA3" s="13">
        <f>IF(TEXT('Cal_Weeks'!B53,"mmm-yy")&lt;&gt;TEXT('Cal_Weeks'!B52,"mmm-yy"),'Cal_Weeks'!G53,"")</f>
        <v/>
      </c>
      <c r="BB3" s="13">
        <f>IF(TEXT('Cal_Weeks'!B54,"mmm-yy")&lt;&gt;TEXT('Cal_Weeks'!B53,"mmm-yy"),'Cal_Weeks'!G54,"")</f>
        <v/>
      </c>
      <c r="BC3" s="13">
        <f>IF(TEXT('Cal_Weeks'!B55,"mmm-yy")&lt;&gt;TEXT('Cal_Weeks'!B54,"mmm-yy"),'Cal_Weeks'!G55,"")</f>
        <v/>
      </c>
      <c r="BD3" s="13">
        <f>IF(TEXT('Cal_Weeks'!B56,"mmm-yy")&lt;&gt;TEXT('Cal_Weeks'!B55,"mmm-yy"),'Cal_Weeks'!G56,"")</f>
        <v/>
      </c>
      <c r="BE3" s="13">
        <f>IF(TEXT('Cal_Weeks'!B57,"mmm-yy")&lt;&gt;TEXT('Cal_Weeks'!B56,"mmm-yy"),'Cal_Weeks'!G57,"")</f>
        <v/>
      </c>
      <c r="BF3" s="13">
        <f>IF(TEXT('Cal_Weeks'!B58,"mmm-yy")&lt;&gt;TEXT('Cal_Weeks'!B57,"mmm-yy"),'Cal_Weeks'!G58,"")</f>
        <v/>
      </c>
      <c r="BG3" s="13">
        <f>IF(TEXT('Cal_Weeks'!B59,"mmm-yy")&lt;&gt;TEXT('Cal_Weeks'!B58,"mmm-yy"),'Cal_Weeks'!G59,"")</f>
        <v/>
      </c>
      <c r="BH3" s="13">
        <f>IF(TEXT('Cal_Weeks'!B60,"mmm-yy")&lt;&gt;TEXT('Cal_Weeks'!B59,"mmm-yy"),'Cal_Weeks'!G60,"")</f>
        <v/>
      </c>
      <c r="BI3" s="13">
        <f>IF(TEXT('Cal_Weeks'!B61,"mmm-yy")&lt;&gt;TEXT('Cal_Weeks'!B60,"mmm-yy"),'Cal_Weeks'!G61,"")</f>
        <v/>
      </c>
      <c r="BJ3" s="13">
        <f>IF(TEXT('Cal_Weeks'!B62,"mmm-yy")&lt;&gt;TEXT('Cal_Weeks'!B61,"mmm-yy"),'Cal_Weeks'!G62,"")</f>
        <v/>
      </c>
      <c r="BK3" s="13">
        <f>IF(TEXT('Cal_Weeks'!B63,"mmm-yy")&lt;&gt;TEXT('Cal_Weeks'!B62,"mmm-yy"),'Cal_Weeks'!G63,"")</f>
        <v/>
      </c>
      <c r="BL3" s="13">
        <f>IF(TEXT('Cal_Weeks'!B64,"mmm-yy")&lt;&gt;TEXT('Cal_Weeks'!B63,"mmm-yy"),'Cal_Weeks'!G64,"")</f>
        <v/>
      </c>
      <c r="BM3" s="13">
        <f>IF(TEXT('Cal_Weeks'!B65,"mmm-yy")&lt;&gt;TEXT('Cal_Weeks'!B64,"mmm-yy"),'Cal_Weeks'!G65,"")</f>
        <v/>
      </c>
      <c r="BN3" s="13">
        <f>IF(TEXT('Cal_Weeks'!B66,"mmm-yy")&lt;&gt;TEXT('Cal_Weeks'!B65,"mmm-yy"),'Cal_Weeks'!G66,"")</f>
        <v/>
      </c>
      <c r="BO3" s="13">
        <f>IF(TEXT('Cal_Weeks'!B67,"mmm-yy")&lt;&gt;TEXT('Cal_Weeks'!B66,"mmm-yy"),'Cal_Weeks'!G67,"")</f>
        <v/>
      </c>
      <c r="BP3" s="13">
        <f>IF(TEXT('Cal_Weeks'!B68,"mmm-yy")&lt;&gt;TEXT('Cal_Weeks'!B67,"mmm-yy"),'Cal_Weeks'!G68,"")</f>
        <v/>
      </c>
      <c r="BQ3" s="13">
        <f>IF(TEXT('Cal_Weeks'!B69,"mmm-yy")&lt;&gt;TEXT('Cal_Weeks'!B68,"mmm-yy"),'Cal_Weeks'!G69,"")</f>
        <v/>
      </c>
      <c r="BR3" s="13">
        <f>IF(TEXT('Cal_Weeks'!B70,"mmm-yy")&lt;&gt;TEXT('Cal_Weeks'!B69,"mmm-yy"),'Cal_Weeks'!G70,"")</f>
        <v/>
      </c>
      <c r="BS3" s="13">
        <f>IF(TEXT('Cal_Weeks'!B71,"mmm-yy")&lt;&gt;TEXT('Cal_Weeks'!B70,"mmm-yy"),'Cal_Weeks'!G71,"")</f>
        <v/>
      </c>
      <c r="BT3" s="13">
        <f>IF(TEXT('Cal_Weeks'!B72,"mmm-yy")&lt;&gt;TEXT('Cal_Weeks'!B71,"mmm-yy"),'Cal_Weeks'!G72,"")</f>
        <v/>
      </c>
      <c r="BU3" s="13">
        <f>IF(TEXT('Cal_Weeks'!B73,"mmm-yy")&lt;&gt;TEXT('Cal_Weeks'!B72,"mmm-yy"),'Cal_Weeks'!G73,"")</f>
        <v/>
      </c>
      <c r="BV3" s="13">
        <f>IF(TEXT('Cal_Weeks'!B74,"mmm-yy")&lt;&gt;TEXT('Cal_Weeks'!B73,"mmm-yy"),'Cal_Weeks'!G74,"")</f>
        <v/>
      </c>
      <c r="BW3" s="13">
        <f>IF(TEXT('Cal_Weeks'!B75,"mmm-yy")&lt;&gt;TEXT('Cal_Weeks'!B74,"mmm-yy"),'Cal_Weeks'!G75,"")</f>
        <v/>
      </c>
      <c r="BX3" s="13">
        <f>IF(TEXT('Cal_Weeks'!B76,"mmm-yy")&lt;&gt;TEXT('Cal_Weeks'!B75,"mmm-yy"),'Cal_Weeks'!G76,"")</f>
        <v/>
      </c>
      <c r="BY3" s="13">
        <f>IF(TEXT('Cal_Weeks'!B77,"mmm-yy")&lt;&gt;TEXT('Cal_Weeks'!B76,"mmm-yy"),'Cal_Weeks'!G77,"")</f>
        <v/>
      </c>
      <c r="BZ3" s="13">
        <f>IF(TEXT('Cal_Weeks'!B78,"mmm-yy")&lt;&gt;TEXT('Cal_Weeks'!B77,"mmm-yy"),'Cal_Weeks'!G78,"")</f>
        <v/>
      </c>
      <c r="CA3" s="13">
        <f>IF(TEXT('Cal_Weeks'!B79,"mmm-yy")&lt;&gt;TEXT('Cal_Weeks'!B78,"mmm-yy"),'Cal_Weeks'!G79,"")</f>
        <v/>
      </c>
      <c r="CB3" s="13">
        <f>IF(TEXT('Cal_Weeks'!B80,"mmm-yy")&lt;&gt;TEXT('Cal_Weeks'!B79,"mmm-yy"),'Cal_Weeks'!G80,"")</f>
        <v/>
      </c>
      <c r="CC3" s="13">
        <f>IF(TEXT('Cal_Weeks'!B81,"mmm-yy")&lt;&gt;TEXT('Cal_Weeks'!B80,"mmm-yy"),'Cal_Weeks'!G81,"")</f>
        <v/>
      </c>
      <c r="CD3" s="13">
        <f>IF(TEXT('Cal_Weeks'!B82,"mmm-yy")&lt;&gt;TEXT('Cal_Weeks'!B81,"mmm-yy"),'Cal_Weeks'!G82,"")</f>
        <v/>
      </c>
      <c r="CE3" s="13">
        <f>IF(TEXT('Cal_Weeks'!B83,"mmm-yy")&lt;&gt;TEXT('Cal_Weeks'!B82,"mmm-yy"),'Cal_Weeks'!G83,"")</f>
        <v/>
      </c>
      <c r="CF3" s="13">
        <f>IF(TEXT('Cal_Weeks'!B84,"mmm-yy")&lt;&gt;TEXT('Cal_Weeks'!B83,"mmm-yy"),'Cal_Weeks'!G84,"")</f>
        <v/>
      </c>
      <c r="CG3" s="13">
        <f>IF(TEXT('Cal_Weeks'!B85,"mmm-yy")&lt;&gt;TEXT('Cal_Weeks'!B84,"mmm-yy"),'Cal_Weeks'!G85,"")</f>
        <v/>
      </c>
      <c r="CH3" s="13">
        <f>IF(TEXT('Cal_Weeks'!B86,"mmm-yy")&lt;&gt;TEXT('Cal_Weeks'!B85,"mmm-yy"),'Cal_Weeks'!G86,"")</f>
        <v/>
      </c>
      <c r="CI3" s="13">
        <f>IF(TEXT('Cal_Weeks'!B87,"mmm-yy")&lt;&gt;TEXT('Cal_Weeks'!B86,"mmm-yy"),'Cal_Weeks'!G87,"")</f>
        <v/>
      </c>
      <c r="CJ3" s="13">
        <f>IF(TEXT('Cal_Weeks'!B88,"mmm-yy")&lt;&gt;TEXT('Cal_Weeks'!B87,"mmm-yy"),'Cal_Weeks'!G88,"")</f>
        <v/>
      </c>
      <c r="CK3" s="13">
        <f>IF(TEXT('Cal_Weeks'!B89,"mmm-yy")&lt;&gt;TEXT('Cal_Weeks'!B88,"mmm-yy"),'Cal_Weeks'!G89,"")</f>
        <v/>
      </c>
      <c r="CL3" s="13">
        <f>IF(TEXT('Cal_Weeks'!B90,"mmm-yy")&lt;&gt;TEXT('Cal_Weeks'!B89,"mmm-yy"),'Cal_Weeks'!G90,"")</f>
        <v/>
      </c>
      <c r="CM3" s="13">
        <f>IF(TEXT('Cal_Weeks'!B91,"mmm-yy")&lt;&gt;TEXT('Cal_Weeks'!B90,"mmm-yy"),'Cal_Weeks'!G91,"")</f>
        <v/>
      </c>
      <c r="CN3" s="13">
        <f>IF(TEXT('Cal_Weeks'!B92,"mmm-yy")&lt;&gt;TEXT('Cal_Weeks'!B91,"mmm-yy"),'Cal_Weeks'!G92,"")</f>
        <v/>
      </c>
      <c r="CO3" s="13">
        <f>IF(TEXT('Cal_Weeks'!B93,"mmm-yy")&lt;&gt;TEXT('Cal_Weeks'!B92,"mmm-yy"),'Cal_Weeks'!G93,"")</f>
        <v/>
      </c>
      <c r="CP3" s="13">
        <f>IF(TEXT('Cal_Weeks'!B94,"mmm-yy")&lt;&gt;TEXT('Cal_Weeks'!B93,"mmm-yy"),'Cal_Weeks'!G94,"")</f>
        <v/>
      </c>
      <c r="CQ3" s="13">
        <f>IF(TEXT('Cal_Weeks'!B95,"mmm-yy")&lt;&gt;TEXT('Cal_Weeks'!B94,"mmm-yy"),'Cal_Weeks'!G95,"")</f>
        <v/>
      </c>
      <c r="CR3" s="13">
        <f>IF(TEXT('Cal_Weeks'!B96,"mmm-yy")&lt;&gt;TEXT('Cal_Weeks'!B95,"mmm-yy"),'Cal_Weeks'!G96,"")</f>
        <v/>
      </c>
      <c r="CS3" s="13">
        <f>IF(TEXT('Cal_Weeks'!B97,"mmm-yy")&lt;&gt;TEXT('Cal_Weeks'!B96,"mmm-yy"),'Cal_Weeks'!G97,"")</f>
        <v/>
      </c>
      <c r="CT3" s="13">
        <f>IF(TEXT('Cal_Weeks'!B98,"mmm-yy")&lt;&gt;TEXT('Cal_Weeks'!B97,"mmm-yy"),'Cal_Weeks'!G98,"")</f>
        <v/>
      </c>
      <c r="CU3" s="13">
        <f>IF(TEXT('Cal_Weeks'!B99,"mmm-yy")&lt;&gt;TEXT('Cal_Weeks'!B98,"mmm-yy"),'Cal_Weeks'!G99,"")</f>
        <v/>
      </c>
      <c r="CV3" s="13">
        <f>IF(TEXT('Cal_Weeks'!B100,"mmm-yy")&lt;&gt;TEXT('Cal_Weeks'!B99,"mmm-yy"),'Cal_Weeks'!G100,"")</f>
        <v/>
      </c>
      <c r="CW3" s="13">
        <f>IF(TEXT('Cal_Weeks'!B101,"mmm-yy")&lt;&gt;TEXT('Cal_Weeks'!B100,"mmm-yy"),'Cal_Weeks'!G101,"")</f>
        <v/>
      </c>
      <c r="CX3" s="13">
        <f>IF(TEXT('Cal_Weeks'!B102,"mmm-yy")&lt;&gt;TEXT('Cal_Weeks'!B101,"mmm-yy"),'Cal_Weeks'!G102,"")</f>
        <v/>
      </c>
      <c r="CY3" s="13">
        <f>IF(TEXT('Cal_Weeks'!B103,"mmm-yy")&lt;&gt;TEXT('Cal_Weeks'!B102,"mmm-yy"),'Cal_Weeks'!G103,"")</f>
        <v/>
      </c>
      <c r="CZ3" s="13">
        <f>IF(TEXT('Cal_Weeks'!B104,"mmm-yy")&lt;&gt;TEXT('Cal_Weeks'!B103,"mmm-yy"),'Cal_Weeks'!G104,"")</f>
        <v/>
      </c>
      <c r="DA3" s="13">
        <f>IF(TEXT('Cal_Weeks'!B105,"mmm-yy")&lt;&gt;TEXT('Cal_Weeks'!B104,"mmm-yy"),'Cal_Weeks'!G105,"")</f>
        <v/>
      </c>
      <c r="DB3" s="13">
        <f>IF(TEXT('Cal_Weeks'!B106,"mmm-yy")&lt;&gt;TEXT('Cal_Weeks'!B105,"mmm-yy"),'Cal_Weeks'!G106,"")</f>
        <v/>
      </c>
      <c r="DC3" s="13">
        <f>IF(TEXT('Cal_Weeks'!B107,"mmm-yy")&lt;&gt;TEXT('Cal_Weeks'!B106,"mmm-yy"),'Cal_Weeks'!G107,"")</f>
        <v/>
      </c>
    </row>
    <row r="4">
      <c r="A4" s="14" t="n"/>
      <c r="B4" s="14" t="n"/>
      <c r="C4" s="14" t="n"/>
      <c r="D4" s="15">
        <f>'Cal_Weeks'!B4</f>
        <v/>
      </c>
      <c r="E4" s="15">
        <f>'Cal_Weeks'!B5</f>
        <v/>
      </c>
      <c r="F4" s="15">
        <f>'Cal_Weeks'!B6</f>
        <v/>
      </c>
      <c r="G4" s="15">
        <f>'Cal_Weeks'!B7</f>
        <v/>
      </c>
      <c r="H4" s="15">
        <f>'Cal_Weeks'!B8</f>
        <v/>
      </c>
      <c r="I4" s="15">
        <f>'Cal_Weeks'!B9</f>
        <v/>
      </c>
      <c r="J4" s="15">
        <f>'Cal_Weeks'!B10</f>
        <v/>
      </c>
      <c r="K4" s="15">
        <f>'Cal_Weeks'!B11</f>
        <v/>
      </c>
      <c r="L4" s="15">
        <f>'Cal_Weeks'!B12</f>
        <v/>
      </c>
      <c r="M4" s="15">
        <f>'Cal_Weeks'!B13</f>
        <v/>
      </c>
      <c r="N4" s="15">
        <f>'Cal_Weeks'!B14</f>
        <v/>
      </c>
      <c r="O4" s="15">
        <f>'Cal_Weeks'!B15</f>
        <v/>
      </c>
      <c r="P4" s="15">
        <f>'Cal_Weeks'!B16</f>
        <v/>
      </c>
      <c r="Q4" s="15">
        <f>'Cal_Weeks'!B17</f>
        <v/>
      </c>
      <c r="R4" s="15">
        <f>'Cal_Weeks'!B18</f>
        <v/>
      </c>
      <c r="S4" s="15">
        <f>'Cal_Weeks'!B19</f>
        <v/>
      </c>
      <c r="T4" s="15">
        <f>'Cal_Weeks'!B20</f>
        <v/>
      </c>
      <c r="U4" s="15">
        <f>'Cal_Weeks'!B21</f>
        <v/>
      </c>
      <c r="V4" s="15">
        <f>'Cal_Weeks'!B22</f>
        <v/>
      </c>
      <c r="W4" s="15">
        <f>'Cal_Weeks'!B23</f>
        <v/>
      </c>
      <c r="X4" s="15">
        <f>'Cal_Weeks'!B24</f>
        <v/>
      </c>
      <c r="Y4" s="15">
        <f>'Cal_Weeks'!B25</f>
        <v/>
      </c>
      <c r="Z4" s="15">
        <f>'Cal_Weeks'!B26</f>
        <v/>
      </c>
      <c r="AA4" s="15">
        <f>'Cal_Weeks'!B27</f>
        <v/>
      </c>
      <c r="AB4" s="15">
        <f>'Cal_Weeks'!B28</f>
        <v/>
      </c>
      <c r="AC4" s="15">
        <f>'Cal_Weeks'!B29</f>
        <v/>
      </c>
      <c r="AD4" s="15">
        <f>'Cal_Weeks'!B30</f>
        <v/>
      </c>
      <c r="AE4" s="15">
        <f>'Cal_Weeks'!B31</f>
        <v/>
      </c>
      <c r="AF4" s="15">
        <f>'Cal_Weeks'!B32</f>
        <v/>
      </c>
      <c r="AG4" s="15">
        <f>'Cal_Weeks'!B33</f>
        <v/>
      </c>
      <c r="AH4" s="15">
        <f>'Cal_Weeks'!B34</f>
        <v/>
      </c>
      <c r="AI4" s="15">
        <f>'Cal_Weeks'!B35</f>
        <v/>
      </c>
      <c r="AJ4" s="15">
        <f>'Cal_Weeks'!B36</f>
        <v/>
      </c>
      <c r="AK4" s="15">
        <f>'Cal_Weeks'!B37</f>
        <v/>
      </c>
      <c r="AL4" s="15">
        <f>'Cal_Weeks'!B38</f>
        <v/>
      </c>
      <c r="AM4" s="15">
        <f>'Cal_Weeks'!B39</f>
        <v/>
      </c>
      <c r="AN4" s="15">
        <f>'Cal_Weeks'!B40</f>
        <v/>
      </c>
      <c r="AO4" s="15">
        <f>'Cal_Weeks'!B41</f>
        <v/>
      </c>
      <c r="AP4" s="15">
        <f>'Cal_Weeks'!B42</f>
        <v/>
      </c>
      <c r="AQ4" s="15">
        <f>'Cal_Weeks'!B43</f>
        <v/>
      </c>
      <c r="AR4" s="15">
        <f>'Cal_Weeks'!B44</f>
        <v/>
      </c>
      <c r="AS4" s="15">
        <f>'Cal_Weeks'!B45</f>
        <v/>
      </c>
      <c r="AT4" s="15">
        <f>'Cal_Weeks'!B46</f>
        <v/>
      </c>
      <c r="AU4" s="15">
        <f>'Cal_Weeks'!B47</f>
        <v/>
      </c>
      <c r="AV4" s="15">
        <f>'Cal_Weeks'!B48</f>
        <v/>
      </c>
      <c r="AW4" s="15">
        <f>'Cal_Weeks'!B49</f>
        <v/>
      </c>
      <c r="AX4" s="15">
        <f>'Cal_Weeks'!B50</f>
        <v/>
      </c>
      <c r="AY4" s="15">
        <f>'Cal_Weeks'!B51</f>
        <v/>
      </c>
      <c r="AZ4" s="15">
        <f>'Cal_Weeks'!B52</f>
        <v/>
      </c>
      <c r="BA4" s="15">
        <f>'Cal_Weeks'!B53</f>
        <v/>
      </c>
      <c r="BB4" s="15">
        <f>'Cal_Weeks'!B54</f>
        <v/>
      </c>
      <c r="BC4" s="15">
        <f>'Cal_Weeks'!B55</f>
        <v/>
      </c>
      <c r="BD4" s="15">
        <f>'Cal_Weeks'!B56</f>
        <v/>
      </c>
      <c r="BE4" s="15">
        <f>'Cal_Weeks'!B57</f>
        <v/>
      </c>
      <c r="BF4" s="15">
        <f>'Cal_Weeks'!B58</f>
        <v/>
      </c>
      <c r="BG4" s="15">
        <f>'Cal_Weeks'!B59</f>
        <v/>
      </c>
      <c r="BH4" s="15">
        <f>'Cal_Weeks'!B60</f>
        <v/>
      </c>
      <c r="BI4" s="15">
        <f>'Cal_Weeks'!B61</f>
        <v/>
      </c>
      <c r="BJ4" s="15">
        <f>'Cal_Weeks'!B62</f>
        <v/>
      </c>
      <c r="BK4" s="15">
        <f>'Cal_Weeks'!B63</f>
        <v/>
      </c>
      <c r="BL4" s="15">
        <f>'Cal_Weeks'!B64</f>
        <v/>
      </c>
      <c r="BM4" s="15">
        <f>'Cal_Weeks'!B65</f>
        <v/>
      </c>
      <c r="BN4" s="15">
        <f>'Cal_Weeks'!B66</f>
        <v/>
      </c>
      <c r="BO4" s="15">
        <f>'Cal_Weeks'!B67</f>
        <v/>
      </c>
      <c r="BP4" s="15">
        <f>'Cal_Weeks'!B68</f>
        <v/>
      </c>
      <c r="BQ4" s="15">
        <f>'Cal_Weeks'!B69</f>
        <v/>
      </c>
      <c r="BR4" s="15">
        <f>'Cal_Weeks'!B70</f>
        <v/>
      </c>
      <c r="BS4" s="15">
        <f>'Cal_Weeks'!B71</f>
        <v/>
      </c>
      <c r="BT4" s="15">
        <f>'Cal_Weeks'!B72</f>
        <v/>
      </c>
      <c r="BU4" s="15">
        <f>'Cal_Weeks'!B73</f>
        <v/>
      </c>
      <c r="BV4" s="15">
        <f>'Cal_Weeks'!B74</f>
        <v/>
      </c>
      <c r="BW4" s="15">
        <f>'Cal_Weeks'!B75</f>
        <v/>
      </c>
      <c r="BX4" s="15">
        <f>'Cal_Weeks'!B76</f>
        <v/>
      </c>
      <c r="BY4" s="15">
        <f>'Cal_Weeks'!B77</f>
        <v/>
      </c>
      <c r="BZ4" s="15">
        <f>'Cal_Weeks'!B78</f>
        <v/>
      </c>
      <c r="CA4" s="15">
        <f>'Cal_Weeks'!B79</f>
        <v/>
      </c>
      <c r="CB4" s="15">
        <f>'Cal_Weeks'!B80</f>
        <v/>
      </c>
      <c r="CC4" s="15">
        <f>'Cal_Weeks'!B81</f>
        <v/>
      </c>
      <c r="CD4" s="15">
        <f>'Cal_Weeks'!B82</f>
        <v/>
      </c>
      <c r="CE4" s="15">
        <f>'Cal_Weeks'!B83</f>
        <v/>
      </c>
      <c r="CF4" s="15">
        <f>'Cal_Weeks'!B84</f>
        <v/>
      </c>
      <c r="CG4" s="15">
        <f>'Cal_Weeks'!B85</f>
        <v/>
      </c>
      <c r="CH4" s="15">
        <f>'Cal_Weeks'!B86</f>
        <v/>
      </c>
      <c r="CI4" s="15">
        <f>'Cal_Weeks'!B87</f>
        <v/>
      </c>
      <c r="CJ4" s="15">
        <f>'Cal_Weeks'!B88</f>
        <v/>
      </c>
      <c r="CK4" s="15">
        <f>'Cal_Weeks'!B89</f>
        <v/>
      </c>
      <c r="CL4" s="15">
        <f>'Cal_Weeks'!B90</f>
        <v/>
      </c>
      <c r="CM4" s="15">
        <f>'Cal_Weeks'!B91</f>
        <v/>
      </c>
      <c r="CN4" s="15">
        <f>'Cal_Weeks'!B92</f>
        <v/>
      </c>
      <c r="CO4" s="15">
        <f>'Cal_Weeks'!B93</f>
        <v/>
      </c>
      <c r="CP4" s="15">
        <f>'Cal_Weeks'!B94</f>
        <v/>
      </c>
      <c r="CQ4" s="15">
        <f>'Cal_Weeks'!B95</f>
        <v/>
      </c>
      <c r="CR4" s="15">
        <f>'Cal_Weeks'!B96</f>
        <v/>
      </c>
      <c r="CS4" s="15">
        <f>'Cal_Weeks'!B97</f>
        <v/>
      </c>
      <c r="CT4" s="15">
        <f>'Cal_Weeks'!B98</f>
        <v/>
      </c>
      <c r="CU4" s="15">
        <f>'Cal_Weeks'!B99</f>
        <v/>
      </c>
      <c r="CV4" s="15">
        <f>'Cal_Weeks'!B100</f>
        <v/>
      </c>
      <c r="CW4" s="15">
        <f>'Cal_Weeks'!B101</f>
        <v/>
      </c>
      <c r="CX4" s="15">
        <f>'Cal_Weeks'!B102</f>
        <v/>
      </c>
      <c r="CY4" s="15">
        <f>'Cal_Weeks'!B103</f>
        <v/>
      </c>
      <c r="CZ4" s="15">
        <f>'Cal_Weeks'!B104</f>
        <v/>
      </c>
      <c r="DA4" s="15">
        <f>'Cal_Weeks'!B105</f>
        <v/>
      </c>
      <c r="DB4" s="15">
        <f>'Cal_Weeks'!B106</f>
        <v/>
      </c>
      <c r="DC4" s="15">
        <f>'Cal_Weeks'!B107</f>
        <v/>
      </c>
    </row>
    <row r="5">
      <c r="A5" s="14" t="n"/>
      <c r="B5" s="14" t="n"/>
      <c r="C5" s="14" t="n"/>
      <c r="D5" s="14">
        <f>'Cal_Weeks'!D4</f>
        <v/>
      </c>
      <c r="E5" s="14">
        <f>'Cal_Weeks'!D5</f>
        <v/>
      </c>
      <c r="F5" s="14">
        <f>'Cal_Weeks'!D6</f>
        <v/>
      </c>
      <c r="G5" s="14">
        <f>'Cal_Weeks'!D7</f>
        <v/>
      </c>
      <c r="H5" s="14">
        <f>'Cal_Weeks'!D8</f>
        <v/>
      </c>
      <c r="I5" s="14">
        <f>'Cal_Weeks'!D9</f>
        <v/>
      </c>
      <c r="J5" s="14">
        <f>'Cal_Weeks'!D10</f>
        <v/>
      </c>
      <c r="K5" s="14">
        <f>'Cal_Weeks'!D11</f>
        <v/>
      </c>
      <c r="L5" s="14">
        <f>'Cal_Weeks'!D12</f>
        <v/>
      </c>
      <c r="M5" s="14">
        <f>'Cal_Weeks'!D13</f>
        <v/>
      </c>
      <c r="N5" s="14">
        <f>'Cal_Weeks'!D14</f>
        <v/>
      </c>
      <c r="O5" s="14">
        <f>'Cal_Weeks'!D15</f>
        <v/>
      </c>
      <c r="P5" s="14">
        <f>'Cal_Weeks'!D16</f>
        <v/>
      </c>
      <c r="Q5" s="14">
        <f>'Cal_Weeks'!D17</f>
        <v/>
      </c>
      <c r="R5" s="14">
        <f>'Cal_Weeks'!D18</f>
        <v/>
      </c>
      <c r="S5" s="14">
        <f>'Cal_Weeks'!D19</f>
        <v/>
      </c>
      <c r="T5" s="14">
        <f>'Cal_Weeks'!D20</f>
        <v/>
      </c>
      <c r="U5" s="14">
        <f>'Cal_Weeks'!D21</f>
        <v/>
      </c>
      <c r="V5" s="14">
        <f>'Cal_Weeks'!D22</f>
        <v/>
      </c>
      <c r="W5" s="14">
        <f>'Cal_Weeks'!D23</f>
        <v/>
      </c>
      <c r="X5" s="14">
        <f>'Cal_Weeks'!D24</f>
        <v/>
      </c>
      <c r="Y5" s="14">
        <f>'Cal_Weeks'!D25</f>
        <v/>
      </c>
      <c r="Z5" s="14">
        <f>'Cal_Weeks'!D26</f>
        <v/>
      </c>
      <c r="AA5" s="14">
        <f>'Cal_Weeks'!D27</f>
        <v/>
      </c>
      <c r="AB5" s="14">
        <f>'Cal_Weeks'!D28</f>
        <v/>
      </c>
      <c r="AC5" s="14">
        <f>'Cal_Weeks'!D29</f>
        <v/>
      </c>
      <c r="AD5" s="14">
        <f>'Cal_Weeks'!D30</f>
        <v/>
      </c>
      <c r="AE5" s="14">
        <f>'Cal_Weeks'!D31</f>
        <v/>
      </c>
      <c r="AF5" s="14">
        <f>'Cal_Weeks'!D32</f>
        <v/>
      </c>
      <c r="AG5" s="14">
        <f>'Cal_Weeks'!D33</f>
        <v/>
      </c>
      <c r="AH5" s="14">
        <f>'Cal_Weeks'!D34</f>
        <v/>
      </c>
      <c r="AI5" s="14">
        <f>'Cal_Weeks'!D35</f>
        <v/>
      </c>
      <c r="AJ5" s="14">
        <f>'Cal_Weeks'!D36</f>
        <v/>
      </c>
      <c r="AK5" s="14">
        <f>'Cal_Weeks'!D37</f>
        <v/>
      </c>
      <c r="AL5" s="14">
        <f>'Cal_Weeks'!D38</f>
        <v/>
      </c>
      <c r="AM5" s="14">
        <f>'Cal_Weeks'!D39</f>
        <v/>
      </c>
      <c r="AN5" s="14">
        <f>'Cal_Weeks'!D40</f>
        <v/>
      </c>
      <c r="AO5" s="14">
        <f>'Cal_Weeks'!D41</f>
        <v/>
      </c>
      <c r="AP5" s="14">
        <f>'Cal_Weeks'!D42</f>
        <v/>
      </c>
      <c r="AQ5" s="14">
        <f>'Cal_Weeks'!D43</f>
        <v/>
      </c>
      <c r="AR5" s="14">
        <f>'Cal_Weeks'!D44</f>
        <v/>
      </c>
      <c r="AS5" s="14">
        <f>'Cal_Weeks'!D45</f>
        <v/>
      </c>
      <c r="AT5" s="14">
        <f>'Cal_Weeks'!D46</f>
        <v/>
      </c>
      <c r="AU5" s="14">
        <f>'Cal_Weeks'!D47</f>
        <v/>
      </c>
      <c r="AV5" s="14">
        <f>'Cal_Weeks'!D48</f>
        <v/>
      </c>
      <c r="AW5" s="14">
        <f>'Cal_Weeks'!D49</f>
        <v/>
      </c>
      <c r="AX5" s="14">
        <f>'Cal_Weeks'!D50</f>
        <v/>
      </c>
      <c r="AY5" s="14">
        <f>'Cal_Weeks'!D51</f>
        <v/>
      </c>
      <c r="AZ5" s="14">
        <f>'Cal_Weeks'!D52</f>
        <v/>
      </c>
      <c r="BA5" s="14">
        <f>'Cal_Weeks'!D53</f>
        <v/>
      </c>
      <c r="BB5" s="14">
        <f>'Cal_Weeks'!D54</f>
        <v/>
      </c>
      <c r="BC5" s="14">
        <f>'Cal_Weeks'!D55</f>
        <v/>
      </c>
      <c r="BD5" s="14">
        <f>'Cal_Weeks'!D56</f>
        <v/>
      </c>
      <c r="BE5" s="14">
        <f>'Cal_Weeks'!D57</f>
        <v/>
      </c>
      <c r="BF5" s="14">
        <f>'Cal_Weeks'!D58</f>
        <v/>
      </c>
      <c r="BG5" s="14">
        <f>'Cal_Weeks'!D59</f>
        <v/>
      </c>
      <c r="BH5" s="14">
        <f>'Cal_Weeks'!D60</f>
        <v/>
      </c>
      <c r="BI5" s="14">
        <f>'Cal_Weeks'!D61</f>
        <v/>
      </c>
      <c r="BJ5" s="14">
        <f>'Cal_Weeks'!D62</f>
        <v/>
      </c>
      <c r="BK5" s="14">
        <f>'Cal_Weeks'!D63</f>
        <v/>
      </c>
      <c r="BL5" s="14">
        <f>'Cal_Weeks'!D64</f>
        <v/>
      </c>
      <c r="BM5" s="14">
        <f>'Cal_Weeks'!D65</f>
        <v/>
      </c>
      <c r="BN5" s="14">
        <f>'Cal_Weeks'!D66</f>
        <v/>
      </c>
      <c r="BO5" s="14">
        <f>'Cal_Weeks'!D67</f>
        <v/>
      </c>
      <c r="BP5" s="14">
        <f>'Cal_Weeks'!D68</f>
        <v/>
      </c>
      <c r="BQ5" s="14">
        <f>'Cal_Weeks'!D69</f>
        <v/>
      </c>
      <c r="BR5" s="14">
        <f>'Cal_Weeks'!D70</f>
        <v/>
      </c>
      <c r="BS5" s="14">
        <f>'Cal_Weeks'!D71</f>
        <v/>
      </c>
      <c r="BT5" s="14">
        <f>'Cal_Weeks'!D72</f>
        <v/>
      </c>
      <c r="BU5" s="14">
        <f>'Cal_Weeks'!D73</f>
        <v/>
      </c>
      <c r="BV5" s="14">
        <f>'Cal_Weeks'!D74</f>
        <v/>
      </c>
      <c r="BW5" s="14">
        <f>'Cal_Weeks'!D75</f>
        <v/>
      </c>
      <c r="BX5" s="14">
        <f>'Cal_Weeks'!D76</f>
        <v/>
      </c>
      <c r="BY5" s="14">
        <f>'Cal_Weeks'!D77</f>
        <v/>
      </c>
      <c r="BZ5" s="14">
        <f>'Cal_Weeks'!D78</f>
        <v/>
      </c>
      <c r="CA5" s="14">
        <f>'Cal_Weeks'!D79</f>
        <v/>
      </c>
      <c r="CB5" s="14">
        <f>'Cal_Weeks'!D80</f>
        <v/>
      </c>
      <c r="CC5" s="14">
        <f>'Cal_Weeks'!D81</f>
        <v/>
      </c>
      <c r="CD5" s="14">
        <f>'Cal_Weeks'!D82</f>
        <v/>
      </c>
      <c r="CE5" s="14">
        <f>'Cal_Weeks'!D83</f>
        <v/>
      </c>
      <c r="CF5" s="14">
        <f>'Cal_Weeks'!D84</f>
        <v/>
      </c>
      <c r="CG5" s="14">
        <f>'Cal_Weeks'!D85</f>
        <v/>
      </c>
      <c r="CH5" s="14">
        <f>'Cal_Weeks'!D86</f>
        <v/>
      </c>
      <c r="CI5" s="14">
        <f>'Cal_Weeks'!D87</f>
        <v/>
      </c>
      <c r="CJ5" s="14">
        <f>'Cal_Weeks'!D88</f>
        <v/>
      </c>
      <c r="CK5" s="14">
        <f>'Cal_Weeks'!D89</f>
        <v/>
      </c>
      <c r="CL5" s="14">
        <f>'Cal_Weeks'!D90</f>
        <v/>
      </c>
      <c r="CM5" s="14">
        <f>'Cal_Weeks'!D91</f>
        <v/>
      </c>
      <c r="CN5" s="14">
        <f>'Cal_Weeks'!D92</f>
        <v/>
      </c>
      <c r="CO5" s="14">
        <f>'Cal_Weeks'!D93</f>
        <v/>
      </c>
      <c r="CP5" s="14">
        <f>'Cal_Weeks'!D94</f>
        <v/>
      </c>
      <c r="CQ5" s="14">
        <f>'Cal_Weeks'!D95</f>
        <v/>
      </c>
      <c r="CR5" s="14">
        <f>'Cal_Weeks'!D96</f>
        <v/>
      </c>
      <c r="CS5" s="14">
        <f>'Cal_Weeks'!D97</f>
        <v/>
      </c>
      <c r="CT5" s="14">
        <f>'Cal_Weeks'!D98</f>
        <v/>
      </c>
      <c r="CU5" s="14">
        <f>'Cal_Weeks'!D99</f>
        <v/>
      </c>
      <c r="CV5" s="14">
        <f>'Cal_Weeks'!D100</f>
        <v/>
      </c>
      <c r="CW5" s="14">
        <f>'Cal_Weeks'!D101</f>
        <v/>
      </c>
      <c r="CX5" s="14">
        <f>'Cal_Weeks'!D102</f>
        <v/>
      </c>
      <c r="CY5" s="14">
        <f>'Cal_Weeks'!D103</f>
        <v/>
      </c>
      <c r="CZ5" s="14">
        <f>'Cal_Weeks'!D104</f>
        <v/>
      </c>
      <c r="DA5" s="14">
        <f>'Cal_Weeks'!D105</f>
        <v/>
      </c>
      <c r="DB5" s="14">
        <f>'Cal_Weeks'!D106</f>
        <v/>
      </c>
      <c r="DC5" s="14">
        <f>'Cal_Weeks'!D107</f>
        <v/>
      </c>
    </row>
    <row r="6">
      <c r="A6" s="13" t="inlineStr">
        <is>
          <t>Part Name</t>
        </is>
      </c>
      <c r="B6" s="13" t="inlineStr">
        <is>
          <t>項目</t>
        </is>
      </c>
      <c r="C6" s="13" t="inlineStr">
        <is>
          <t>1バッチ使用量(kg)</t>
        </is>
      </c>
      <c r="D6" s="13">
        <f>'Cal_Weeks'!E4</f>
        <v/>
      </c>
      <c r="E6" s="13">
        <f>'Cal_Weeks'!E5</f>
        <v/>
      </c>
      <c r="F6" s="13">
        <f>'Cal_Weeks'!E6</f>
        <v/>
      </c>
      <c r="G6" s="13">
        <f>'Cal_Weeks'!E7</f>
        <v/>
      </c>
      <c r="H6" s="13">
        <f>'Cal_Weeks'!E8</f>
        <v/>
      </c>
      <c r="I6" s="13">
        <f>'Cal_Weeks'!E9</f>
        <v/>
      </c>
      <c r="J6" s="13">
        <f>'Cal_Weeks'!E10</f>
        <v/>
      </c>
      <c r="K6" s="13">
        <f>'Cal_Weeks'!E11</f>
        <v/>
      </c>
      <c r="L6" s="13">
        <f>'Cal_Weeks'!E12</f>
        <v/>
      </c>
      <c r="M6" s="13">
        <f>'Cal_Weeks'!E13</f>
        <v/>
      </c>
      <c r="N6" s="13">
        <f>'Cal_Weeks'!E14</f>
        <v/>
      </c>
      <c r="O6" s="13">
        <f>'Cal_Weeks'!E15</f>
        <v/>
      </c>
      <c r="P6" s="13">
        <f>'Cal_Weeks'!E16</f>
        <v/>
      </c>
      <c r="Q6" s="13">
        <f>'Cal_Weeks'!E17</f>
        <v/>
      </c>
      <c r="R6" s="13">
        <f>'Cal_Weeks'!E18</f>
        <v/>
      </c>
      <c r="S6" s="13">
        <f>'Cal_Weeks'!E19</f>
        <v/>
      </c>
      <c r="T6" s="13">
        <f>'Cal_Weeks'!E20</f>
        <v/>
      </c>
      <c r="U6" s="13">
        <f>'Cal_Weeks'!E21</f>
        <v/>
      </c>
      <c r="V6" s="13">
        <f>'Cal_Weeks'!E22</f>
        <v/>
      </c>
      <c r="W6" s="13">
        <f>'Cal_Weeks'!E23</f>
        <v/>
      </c>
      <c r="X6" s="13">
        <f>'Cal_Weeks'!E24</f>
        <v/>
      </c>
      <c r="Y6" s="13">
        <f>'Cal_Weeks'!E25</f>
        <v/>
      </c>
      <c r="Z6" s="13">
        <f>'Cal_Weeks'!E26</f>
        <v/>
      </c>
      <c r="AA6" s="13">
        <f>'Cal_Weeks'!E27</f>
        <v/>
      </c>
      <c r="AB6" s="13">
        <f>'Cal_Weeks'!E28</f>
        <v/>
      </c>
      <c r="AC6" s="13">
        <f>'Cal_Weeks'!E29</f>
        <v/>
      </c>
      <c r="AD6" s="13">
        <f>'Cal_Weeks'!E30</f>
        <v/>
      </c>
      <c r="AE6" s="13">
        <f>'Cal_Weeks'!E31</f>
        <v/>
      </c>
      <c r="AF6" s="13">
        <f>'Cal_Weeks'!E32</f>
        <v/>
      </c>
      <c r="AG6" s="13">
        <f>'Cal_Weeks'!E33</f>
        <v/>
      </c>
      <c r="AH6" s="13">
        <f>'Cal_Weeks'!E34</f>
        <v/>
      </c>
      <c r="AI6" s="13">
        <f>'Cal_Weeks'!E35</f>
        <v/>
      </c>
      <c r="AJ6" s="13">
        <f>'Cal_Weeks'!E36</f>
        <v/>
      </c>
      <c r="AK6" s="13">
        <f>'Cal_Weeks'!E37</f>
        <v/>
      </c>
      <c r="AL6" s="13">
        <f>'Cal_Weeks'!E38</f>
        <v/>
      </c>
      <c r="AM6" s="13">
        <f>'Cal_Weeks'!E39</f>
        <v/>
      </c>
      <c r="AN6" s="13">
        <f>'Cal_Weeks'!E40</f>
        <v/>
      </c>
      <c r="AO6" s="13">
        <f>'Cal_Weeks'!E41</f>
        <v/>
      </c>
      <c r="AP6" s="13">
        <f>'Cal_Weeks'!E42</f>
        <v/>
      </c>
      <c r="AQ6" s="13">
        <f>'Cal_Weeks'!E43</f>
        <v/>
      </c>
      <c r="AR6" s="13">
        <f>'Cal_Weeks'!E44</f>
        <v/>
      </c>
      <c r="AS6" s="13">
        <f>'Cal_Weeks'!E45</f>
        <v/>
      </c>
      <c r="AT6" s="13">
        <f>'Cal_Weeks'!E46</f>
        <v/>
      </c>
      <c r="AU6" s="13">
        <f>'Cal_Weeks'!E47</f>
        <v/>
      </c>
      <c r="AV6" s="13">
        <f>'Cal_Weeks'!E48</f>
        <v/>
      </c>
      <c r="AW6" s="13">
        <f>'Cal_Weeks'!E49</f>
        <v/>
      </c>
      <c r="AX6" s="13">
        <f>'Cal_Weeks'!E50</f>
        <v/>
      </c>
      <c r="AY6" s="13">
        <f>'Cal_Weeks'!E51</f>
        <v/>
      </c>
      <c r="AZ6" s="13">
        <f>'Cal_Weeks'!E52</f>
        <v/>
      </c>
      <c r="BA6" s="13">
        <f>'Cal_Weeks'!E53</f>
        <v/>
      </c>
      <c r="BB6" s="13">
        <f>'Cal_Weeks'!E54</f>
        <v/>
      </c>
      <c r="BC6" s="13">
        <f>'Cal_Weeks'!E55</f>
        <v/>
      </c>
      <c r="BD6" s="13">
        <f>'Cal_Weeks'!E56</f>
        <v/>
      </c>
      <c r="BE6" s="13">
        <f>'Cal_Weeks'!E57</f>
        <v/>
      </c>
      <c r="BF6" s="13">
        <f>'Cal_Weeks'!E58</f>
        <v/>
      </c>
      <c r="BG6" s="13">
        <f>'Cal_Weeks'!E59</f>
        <v/>
      </c>
      <c r="BH6" s="13">
        <f>'Cal_Weeks'!E60</f>
        <v/>
      </c>
      <c r="BI6" s="13">
        <f>'Cal_Weeks'!E61</f>
        <v/>
      </c>
      <c r="BJ6" s="13">
        <f>'Cal_Weeks'!E62</f>
        <v/>
      </c>
      <c r="BK6" s="13">
        <f>'Cal_Weeks'!E63</f>
        <v/>
      </c>
      <c r="BL6" s="13">
        <f>'Cal_Weeks'!E64</f>
        <v/>
      </c>
      <c r="BM6" s="13">
        <f>'Cal_Weeks'!E65</f>
        <v/>
      </c>
      <c r="BN6" s="13">
        <f>'Cal_Weeks'!E66</f>
        <v/>
      </c>
      <c r="BO6" s="13">
        <f>'Cal_Weeks'!E67</f>
        <v/>
      </c>
      <c r="BP6" s="13">
        <f>'Cal_Weeks'!E68</f>
        <v/>
      </c>
      <c r="BQ6" s="13">
        <f>'Cal_Weeks'!E69</f>
        <v/>
      </c>
      <c r="BR6" s="13">
        <f>'Cal_Weeks'!E70</f>
        <v/>
      </c>
      <c r="BS6" s="13">
        <f>'Cal_Weeks'!E71</f>
        <v/>
      </c>
      <c r="BT6" s="13">
        <f>'Cal_Weeks'!E72</f>
        <v/>
      </c>
      <c r="BU6" s="13">
        <f>'Cal_Weeks'!E73</f>
        <v/>
      </c>
      <c r="BV6" s="13">
        <f>'Cal_Weeks'!E74</f>
        <v/>
      </c>
      <c r="BW6" s="13">
        <f>'Cal_Weeks'!E75</f>
        <v/>
      </c>
      <c r="BX6" s="13">
        <f>'Cal_Weeks'!E76</f>
        <v/>
      </c>
      <c r="BY6" s="13">
        <f>'Cal_Weeks'!E77</f>
        <v/>
      </c>
      <c r="BZ6" s="13">
        <f>'Cal_Weeks'!E78</f>
        <v/>
      </c>
      <c r="CA6" s="13">
        <f>'Cal_Weeks'!E79</f>
        <v/>
      </c>
      <c r="CB6" s="13">
        <f>'Cal_Weeks'!E80</f>
        <v/>
      </c>
      <c r="CC6" s="13">
        <f>'Cal_Weeks'!E81</f>
        <v/>
      </c>
      <c r="CD6" s="13">
        <f>'Cal_Weeks'!E82</f>
        <v/>
      </c>
      <c r="CE6" s="13">
        <f>'Cal_Weeks'!E83</f>
        <v/>
      </c>
      <c r="CF6" s="13">
        <f>'Cal_Weeks'!E84</f>
        <v/>
      </c>
      <c r="CG6" s="13">
        <f>'Cal_Weeks'!E85</f>
        <v/>
      </c>
      <c r="CH6" s="13">
        <f>'Cal_Weeks'!E86</f>
        <v/>
      </c>
      <c r="CI6" s="13">
        <f>'Cal_Weeks'!E87</f>
        <v/>
      </c>
      <c r="CJ6" s="13">
        <f>'Cal_Weeks'!E88</f>
        <v/>
      </c>
      <c r="CK6" s="13">
        <f>'Cal_Weeks'!E89</f>
        <v/>
      </c>
      <c r="CL6" s="13">
        <f>'Cal_Weeks'!E90</f>
        <v/>
      </c>
      <c r="CM6" s="13">
        <f>'Cal_Weeks'!E91</f>
        <v/>
      </c>
      <c r="CN6" s="13">
        <f>'Cal_Weeks'!E92</f>
        <v/>
      </c>
      <c r="CO6" s="13">
        <f>'Cal_Weeks'!E93</f>
        <v/>
      </c>
      <c r="CP6" s="13">
        <f>'Cal_Weeks'!E94</f>
        <v/>
      </c>
      <c r="CQ6" s="13">
        <f>'Cal_Weeks'!E95</f>
        <v/>
      </c>
      <c r="CR6" s="13">
        <f>'Cal_Weeks'!E96</f>
        <v/>
      </c>
      <c r="CS6" s="13">
        <f>'Cal_Weeks'!E97</f>
        <v/>
      </c>
      <c r="CT6" s="13">
        <f>'Cal_Weeks'!E98</f>
        <v/>
      </c>
      <c r="CU6" s="13">
        <f>'Cal_Weeks'!E99</f>
        <v/>
      </c>
      <c r="CV6" s="13">
        <f>'Cal_Weeks'!E100</f>
        <v/>
      </c>
      <c r="CW6" s="13">
        <f>'Cal_Weeks'!E101</f>
        <v/>
      </c>
      <c r="CX6" s="13">
        <f>'Cal_Weeks'!E102</f>
        <v/>
      </c>
      <c r="CY6" s="13">
        <f>'Cal_Weeks'!E103</f>
        <v/>
      </c>
      <c r="CZ6" s="13">
        <f>'Cal_Weeks'!E104</f>
        <v/>
      </c>
      <c r="DA6" s="13">
        <f>'Cal_Weeks'!E105</f>
        <v/>
      </c>
      <c r="DB6" s="13">
        <f>'Cal_Weeks'!E106</f>
        <v/>
      </c>
      <c r="DC6" s="13">
        <f>'Cal_Weeks'!E107</f>
        <v/>
      </c>
    </row>
    <row r="7">
      <c r="A7" s="21" t="inlineStr">
        <is>
          <t>7EP</t>
        </is>
      </c>
      <c r="B7" s="21" t="inlineStr">
        <is>
          <t>TTAF 44FK13093100</t>
        </is>
      </c>
      <c r="C7" s="22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21" t="n"/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1" t="n"/>
      <c r="CL7" s="21" t="n"/>
      <c r="CM7" s="21" t="n"/>
      <c r="CN7" s="21" t="n"/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</row>
    <row r="8">
      <c r="B8" t="inlineStr">
        <is>
          <t>0Q120</t>
        </is>
      </c>
      <c r="C8" t="inlineStr">
        <is>
          <t>No. of batches</t>
        </is>
      </c>
      <c r="D8">
        <f>IFERROR(INDEX(PP_Grid[#Data],$DD8,2),0)</f>
        <v/>
      </c>
      <c r="E8">
        <f>IFERROR(INDEX(PP_Grid[#Data],$DD8,3),0)</f>
        <v/>
      </c>
      <c r="F8">
        <f>IFERROR(INDEX(PP_Grid[#Data],$DD8,4),0)</f>
        <v/>
      </c>
      <c r="G8">
        <f>IFERROR(INDEX(PP_Grid[#Data],$DD8,5),0)</f>
        <v/>
      </c>
      <c r="H8">
        <f>IFERROR(INDEX(PP_Grid[#Data],$DD8,6),0)</f>
        <v/>
      </c>
      <c r="I8">
        <f>IFERROR(INDEX(PP_Grid[#Data],$DD8,7),0)</f>
        <v/>
      </c>
      <c r="J8">
        <f>IFERROR(INDEX(PP_Grid[#Data],$DD8,8),0)</f>
        <v/>
      </c>
      <c r="K8">
        <f>IFERROR(INDEX(PP_Grid[#Data],$DD8,9),0)</f>
        <v/>
      </c>
      <c r="L8">
        <f>IFERROR(INDEX(PP_Grid[#Data],$DD8,10),0)</f>
        <v/>
      </c>
      <c r="M8">
        <f>IFERROR(INDEX(PP_Grid[#Data],$DD8,11),0)</f>
        <v/>
      </c>
      <c r="N8">
        <f>IFERROR(INDEX(PP_Grid[#Data],$DD8,12),0)</f>
        <v/>
      </c>
      <c r="O8">
        <f>IFERROR(INDEX(PP_Grid[#Data],$DD8,13),0)</f>
        <v/>
      </c>
      <c r="P8">
        <f>IFERROR(INDEX(PP_Grid[#Data],$DD8,14),0)</f>
        <v/>
      </c>
      <c r="Q8">
        <f>IFERROR(INDEX(PP_Grid[#Data],$DD8,15),0)</f>
        <v/>
      </c>
      <c r="R8">
        <f>IFERROR(INDEX(PP_Grid[#Data],$DD8,16),0)</f>
        <v/>
      </c>
      <c r="S8">
        <f>IFERROR(INDEX(PP_Grid[#Data],$DD8,17),0)</f>
        <v/>
      </c>
      <c r="T8">
        <f>IFERROR(INDEX(PP_Grid[#Data],$DD8,18),0)</f>
        <v/>
      </c>
      <c r="U8">
        <f>IFERROR(INDEX(PP_Grid[#Data],$DD8,19),0)</f>
        <v/>
      </c>
      <c r="V8">
        <f>IFERROR(INDEX(PP_Grid[#Data],$DD8,20),0)</f>
        <v/>
      </c>
      <c r="W8">
        <f>IFERROR(INDEX(PP_Grid[#Data],$DD8,21),0)</f>
        <v/>
      </c>
      <c r="X8">
        <f>IFERROR(INDEX(PP_Grid[#Data],$DD8,22),0)</f>
        <v/>
      </c>
      <c r="Y8">
        <f>IFERROR(INDEX(PP_Grid[#Data],$DD8,23),0)</f>
        <v/>
      </c>
      <c r="Z8">
        <f>IFERROR(INDEX(PP_Grid[#Data],$DD8,24),0)</f>
        <v/>
      </c>
      <c r="AA8">
        <f>IFERROR(INDEX(PP_Grid[#Data],$DD8,25),0)</f>
        <v/>
      </c>
      <c r="AB8">
        <f>IFERROR(INDEX(PP_Grid[#Data],$DD8,26),0)</f>
        <v/>
      </c>
      <c r="AC8">
        <f>IFERROR(INDEX(PP_Grid[#Data],$DD8,27),0)</f>
        <v/>
      </c>
      <c r="AD8">
        <f>IFERROR(INDEX(PP_Grid[#Data],$DD8,28),0)</f>
        <v/>
      </c>
      <c r="AE8">
        <f>IFERROR(INDEX(PP_Grid[#Data],$DD8,29),0)</f>
        <v/>
      </c>
      <c r="AF8">
        <f>IFERROR(INDEX(PP_Grid[#Data],$DD8,30),0)</f>
        <v/>
      </c>
      <c r="AG8">
        <f>IFERROR(INDEX(PP_Grid[#Data],$DD8,31),0)</f>
        <v/>
      </c>
      <c r="AH8">
        <f>IFERROR(INDEX(PP_Grid[#Data],$DD8,32),0)</f>
        <v/>
      </c>
      <c r="AI8">
        <f>IFERROR(INDEX(PP_Grid[#Data],$DD8,33),0)</f>
        <v/>
      </c>
      <c r="AJ8">
        <f>IFERROR(INDEX(PP_Grid[#Data],$DD8,34),0)</f>
        <v/>
      </c>
      <c r="AK8">
        <f>IFERROR(INDEX(PP_Grid[#Data],$DD8,35),0)</f>
        <v/>
      </c>
      <c r="AL8">
        <f>IFERROR(INDEX(PP_Grid[#Data],$DD8,36),0)</f>
        <v/>
      </c>
      <c r="AM8">
        <f>IFERROR(INDEX(PP_Grid[#Data],$DD8,37),0)</f>
        <v/>
      </c>
      <c r="AN8">
        <f>IFERROR(INDEX(PP_Grid[#Data],$DD8,38),0)</f>
        <v/>
      </c>
      <c r="AO8">
        <f>IFERROR(INDEX(PP_Grid[#Data],$DD8,39),0)</f>
        <v/>
      </c>
      <c r="AP8">
        <f>IFERROR(INDEX(PP_Grid[#Data],$DD8,40),0)</f>
        <v/>
      </c>
      <c r="AQ8">
        <f>IFERROR(INDEX(PP_Grid[#Data],$DD8,41),0)</f>
        <v/>
      </c>
      <c r="AR8">
        <f>IFERROR(INDEX(PP_Grid[#Data],$DD8,42),0)</f>
        <v/>
      </c>
      <c r="AS8">
        <f>IFERROR(INDEX(PP_Grid[#Data],$DD8,43),0)</f>
        <v/>
      </c>
      <c r="AT8">
        <f>IFERROR(INDEX(PP_Grid[#Data],$DD8,44),0)</f>
        <v/>
      </c>
      <c r="AU8">
        <f>IFERROR(INDEX(PP_Grid[#Data],$DD8,45),0)</f>
        <v/>
      </c>
      <c r="AV8">
        <f>IFERROR(INDEX(PP_Grid[#Data],$DD8,46),0)</f>
        <v/>
      </c>
      <c r="AW8">
        <f>IFERROR(INDEX(PP_Grid[#Data],$DD8,47),0)</f>
        <v/>
      </c>
      <c r="AX8">
        <f>IFERROR(INDEX(PP_Grid[#Data],$DD8,48),0)</f>
        <v/>
      </c>
      <c r="AY8">
        <f>IFERROR(INDEX(PP_Grid[#Data],$DD8,49),0)</f>
        <v/>
      </c>
      <c r="AZ8">
        <f>IFERROR(INDEX(PP_Grid[#Data],$DD8,50),0)</f>
        <v/>
      </c>
      <c r="BA8">
        <f>IFERROR(INDEX(PP_Grid[#Data],$DD8,51),0)</f>
        <v/>
      </c>
      <c r="BB8">
        <f>IFERROR(INDEX(PP_Grid[#Data],$DD8,52),0)</f>
        <v/>
      </c>
      <c r="BC8">
        <f>IFERROR(INDEX(PP_Grid[#Data],$DD8,53),0)</f>
        <v/>
      </c>
      <c r="BD8">
        <f>IFERROR(INDEX(PP_Grid[#Data],$DD8,54),0)</f>
        <v/>
      </c>
      <c r="BE8">
        <f>IFERROR(INDEX(PP_Grid[#Data],$DD8,55),0)</f>
        <v/>
      </c>
      <c r="BF8">
        <f>IFERROR(INDEX(PP_Grid[#Data],$DD8,56),0)</f>
        <v/>
      </c>
      <c r="BG8">
        <f>IFERROR(INDEX(PP_Grid[#Data],$DD8,57),0)</f>
        <v/>
      </c>
      <c r="BH8">
        <f>IFERROR(INDEX(PP_Grid[#Data],$DD8,58),0)</f>
        <v/>
      </c>
      <c r="BI8">
        <f>IFERROR(INDEX(PP_Grid[#Data],$DD8,59),0)</f>
        <v/>
      </c>
      <c r="BJ8">
        <f>IFERROR(INDEX(PP_Grid[#Data],$DD8,60),0)</f>
        <v/>
      </c>
      <c r="BK8">
        <f>IFERROR(INDEX(PP_Grid[#Data],$DD8,61),0)</f>
        <v/>
      </c>
      <c r="BL8">
        <f>IFERROR(INDEX(PP_Grid[#Data],$DD8,62),0)</f>
        <v/>
      </c>
      <c r="BM8">
        <f>IFERROR(INDEX(PP_Grid[#Data],$DD8,63),0)</f>
        <v/>
      </c>
      <c r="BN8">
        <f>IFERROR(INDEX(PP_Grid[#Data],$DD8,64),0)</f>
        <v/>
      </c>
      <c r="BO8">
        <f>IFERROR(INDEX(PP_Grid[#Data],$DD8,65),0)</f>
        <v/>
      </c>
      <c r="BP8">
        <f>IFERROR(INDEX(PP_Grid[#Data],$DD8,66),0)</f>
        <v/>
      </c>
      <c r="BQ8">
        <f>IFERROR(INDEX(PP_Grid[#Data],$DD8,67),0)</f>
        <v/>
      </c>
      <c r="BR8">
        <f>IFERROR(INDEX(PP_Grid[#Data],$DD8,68),0)</f>
        <v/>
      </c>
      <c r="BS8">
        <f>IFERROR(INDEX(PP_Grid[#Data],$DD8,69),0)</f>
        <v/>
      </c>
      <c r="BT8">
        <f>IFERROR(INDEX(PP_Grid[#Data],$DD8,70),0)</f>
        <v/>
      </c>
      <c r="BU8">
        <f>IFERROR(INDEX(PP_Grid[#Data],$DD8,71),0)</f>
        <v/>
      </c>
      <c r="BV8">
        <f>IFERROR(INDEX(PP_Grid[#Data],$DD8,72),0)</f>
        <v/>
      </c>
      <c r="BW8">
        <f>IFERROR(INDEX(PP_Grid[#Data],$DD8,73),0)</f>
        <v/>
      </c>
      <c r="BX8">
        <f>IFERROR(INDEX(PP_Grid[#Data],$DD8,74),0)</f>
        <v/>
      </c>
      <c r="BY8">
        <f>IFERROR(INDEX(PP_Grid[#Data],$DD8,75),0)</f>
        <v/>
      </c>
      <c r="BZ8">
        <f>IFERROR(INDEX(PP_Grid[#Data],$DD8,76),0)</f>
        <v/>
      </c>
      <c r="CA8">
        <f>IFERROR(INDEX(PP_Grid[#Data],$DD8,77),0)</f>
        <v/>
      </c>
      <c r="CB8">
        <f>IFERROR(INDEX(PP_Grid[#Data],$DD8,78),0)</f>
        <v/>
      </c>
      <c r="CC8">
        <f>IFERROR(INDEX(PP_Grid[#Data],$DD8,79),0)</f>
        <v/>
      </c>
      <c r="CD8">
        <f>IFERROR(INDEX(PP_Grid[#Data],$DD8,80),0)</f>
        <v/>
      </c>
      <c r="CE8">
        <f>IFERROR(INDEX(PP_Grid[#Data],$DD8,81),0)</f>
        <v/>
      </c>
      <c r="CF8">
        <f>IFERROR(INDEX(PP_Grid[#Data],$DD8,82),0)</f>
        <v/>
      </c>
      <c r="CG8">
        <f>IFERROR(INDEX(PP_Grid[#Data],$DD8,83),0)</f>
        <v/>
      </c>
      <c r="CH8">
        <f>IFERROR(INDEX(PP_Grid[#Data],$DD8,84),0)</f>
        <v/>
      </c>
      <c r="CI8">
        <f>IFERROR(INDEX(PP_Grid[#Data],$DD8,85),0)</f>
        <v/>
      </c>
      <c r="CJ8">
        <f>IFERROR(INDEX(PP_Grid[#Data],$DD8,86),0)</f>
        <v/>
      </c>
      <c r="CK8">
        <f>IFERROR(INDEX(PP_Grid[#Data],$DD8,87),0)</f>
        <v/>
      </c>
      <c r="CL8">
        <f>IFERROR(INDEX(PP_Grid[#Data],$DD8,88),0)</f>
        <v/>
      </c>
      <c r="CM8">
        <f>IFERROR(INDEX(PP_Grid[#Data],$DD8,89),0)</f>
        <v/>
      </c>
      <c r="CN8">
        <f>IFERROR(INDEX(PP_Grid[#Data],$DD8,90),0)</f>
        <v/>
      </c>
      <c r="CO8">
        <f>IFERROR(INDEX(PP_Grid[#Data],$DD8,91),0)</f>
        <v/>
      </c>
      <c r="CP8">
        <f>IFERROR(INDEX(PP_Grid[#Data],$DD8,92),0)</f>
        <v/>
      </c>
      <c r="CQ8">
        <f>IFERROR(INDEX(PP_Grid[#Data],$DD8,93),0)</f>
        <v/>
      </c>
      <c r="CR8">
        <f>IFERROR(INDEX(PP_Grid[#Data],$DD8,94),0)</f>
        <v/>
      </c>
      <c r="CS8">
        <f>IFERROR(INDEX(PP_Grid[#Data],$DD8,95),0)</f>
        <v/>
      </c>
      <c r="CT8">
        <f>IFERROR(INDEX(PP_Grid[#Data],$DD8,96),0)</f>
        <v/>
      </c>
      <c r="CU8">
        <f>IFERROR(INDEX(PP_Grid[#Data],$DD8,97),0)</f>
        <v/>
      </c>
      <c r="CV8">
        <f>IFERROR(INDEX(PP_Grid[#Data],$DD8,98),0)</f>
        <v/>
      </c>
      <c r="CW8">
        <f>IFERROR(INDEX(PP_Grid[#Data],$DD8,99),0)</f>
        <v/>
      </c>
      <c r="CX8">
        <f>IFERROR(INDEX(PP_Grid[#Data],$DD8,100),0)</f>
        <v/>
      </c>
      <c r="CY8">
        <f>IFERROR(INDEX(PP_Grid[#Data],$DD8,101),0)</f>
        <v/>
      </c>
      <c r="CZ8">
        <f>IFERROR(INDEX(PP_Grid[#Data],$DD8,102),0)</f>
        <v/>
      </c>
      <c r="DA8">
        <f>IFERROR(INDEX(PP_Grid[#Data],$DD8,103),0)</f>
        <v/>
      </c>
      <c r="DB8">
        <f>IFERROR(INDEX(PP_Grid[#Data],$DD8,104),0)</f>
        <v/>
      </c>
      <c r="DC8">
        <f>IFERROR(INDEX(PP_Grid[#Data],$DD8,105),0)</f>
        <v/>
      </c>
      <c r="DD8" s="12">
        <f>IFERROR(MATCH($B8,PP_Grid[Intermediate],0),99999)</f>
        <v/>
      </c>
    </row>
    <row r="9">
      <c r="B9" t="inlineStr">
        <is>
          <t>使用量(kg)</t>
        </is>
      </c>
      <c r="C9">
        <f>SUMIFS(M_BOM[RM_Qty_Per_Batch],M_BOM[Intermediate],$B8,M_BOM[Part Name],$A7)</f>
        <v/>
      </c>
      <c r="D9">
        <f>$C9*D8</f>
        <v/>
      </c>
      <c r="E9">
        <f>$C9*E8</f>
        <v/>
      </c>
      <c r="F9">
        <f>$C9*F8</f>
        <v/>
      </c>
      <c r="G9">
        <f>$C9*G8</f>
        <v/>
      </c>
      <c r="H9">
        <f>$C9*H8</f>
        <v/>
      </c>
      <c r="I9">
        <f>$C9*I8</f>
        <v/>
      </c>
      <c r="J9">
        <f>$C9*J8</f>
        <v/>
      </c>
      <c r="K9">
        <f>$C9*K8</f>
        <v/>
      </c>
      <c r="L9">
        <f>$C9*L8</f>
        <v/>
      </c>
      <c r="M9">
        <f>$C9*M8</f>
        <v/>
      </c>
      <c r="N9">
        <f>$C9*N8</f>
        <v/>
      </c>
      <c r="O9">
        <f>$C9*O8</f>
        <v/>
      </c>
      <c r="P9">
        <f>$C9*P8</f>
        <v/>
      </c>
      <c r="Q9">
        <f>$C9*Q8</f>
        <v/>
      </c>
      <c r="R9">
        <f>$C9*R8</f>
        <v/>
      </c>
      <c r="S9">
        <f>$C9*S8</f>
        <v/>
      </c>
      <c r="T9">
        <f>$C9*T8</f>
        <v/>
      </c>
      <c r="U9">
        <f>$C9*U8</f>
        <v/>
      </c>
      <c r="V9">
        <f>$C9*V8</f>
        <v/>
      </c>
      <c r="W9">
        <f>$C9*W8</f>
        <v/>
      </c>
      <c r="X9">
        <f>$C9*X8</f>
        <v/>
      </c>
      <c r="Y9">
        <f>$C9*Y8</f>
        <v/>
      </c>
      <c r="Z9">
        <f>$C9*Z8</f>
        <v/>
      </c>
      <c r="AA9">
        <f>$C9*AA8</f>
        <v/>
      </c>
      <c r="AB9">
        <f>$C9*AB8</f>
        <v/>
      </c>
      <c r="AC9">
        <f>$C9*AC8</f>
        <v/>
      </c>
      <c r="AD9">
        <f>$C9*AD8</f>
        <v/>
      </c>
      <c r="AE9">
        <f>$C9*AE8</f>
        <v/>
      </c>
      <c r="AF9">
        <f>$C9*AF8</f>
        <v/>
      </c>
      <c r="AG9">
        <f>$C9*AG8</f>
        <v/>
      </c>
      <c r="AH9">
        <f>$C9*AH8</f>
        <v/>
      </c>
      <c r="AI9">
        <f>$C9*AI8</f>
        <v/>
      </c>
      <c r="AJ9">
        <f>$C9*AJ8</f>
        <v/>
      </c>
      <c r="AK9">
        <f>$C9*AK8</f>
        <v/>
      </c>
      <c r="AL9">
        <f>$C9*AL8</f>
        <v/>
      </c>
      <c r="AM9">
        <f>$C9*AM8</f>
        <v/>
      </c>
      <c r="AN9">
        <f>$C9*AN8</f>
        <v/>
      </c>
      <c r="AO9">
        <f>$C9*AO8</f>
        <v/>
      </c>
      <c r="AP9">
        <f>$C9*AP8</f>
        <v/>
      </c>
      <c r="AQ9">
        <f>$C9*AQ8</f>
        <v/>
      </c>
      <c r="AR9">
        <f>$C9*AR8</f>
        <v/>
      </c>
      <c r="AS9">
        <f>$C9*AS8</f>
        <v/>
      </c>
      <c r="AT9">
        <f>$C9*AT8</f>
        <v/>
      </c>
      <c r="AU9">
        <f>$C9*AU8</f>
        <v/>
      </c>
      <c r="AV9">
        <f>$C9*AV8</f>
        <v/>
      </c>
      <c r="AW9">
        <f>$C9*AW8</f>
        <v/>
      </c>
      <c r="AX9">
        <f>$C9*AX8</f>
        <v/>
      </c>
      <c r="AY9">
        <f>$C9*AY8</f>
        <v/>
      </c>
      <c r="AZ9">
        <f>$C9*AZ8</f>
        <v/>
      </c>
      <c r="BA9">
        <f>$C9*BA8</f>
        <v/>
      </c>
      <c r="BB9">
        <f>$C9*BB8</f>
        <v/>
      </c>
      <c r="BC9">
        <f>$C9*BC8</f>
        <v/>
      </c>
      <c r="BD9">
        <f>$C9*BD8</f>
        <v/>
      </c>
      <c r="BE9">
        <f>$C9*BE8</f>
        <v/>
      </c>
      <c r="BF9">
        <f>$C9*BF8</f>
        <v/>
      </c>
      <c r="BG9">
        <f>$C9*BG8</f>
        <v/>
      </c>
      <c r="BH9">
        <f>$C9*BH8</f>
        <v/>
      </c>
      <c r="BI9">
        <f>$C9*BI8</f>
        <v/>
      </c>
      <c r="BJ9">
        <f>$C9*BJ8</f>
        <v/>
      </c>
      <c r="BK9">
        <f>$C9*BK8</f>
        <v/>
      </c>
      <c r="BL9">
        <f>$C9*BL8</f>
        <v/>
      </c>
      <c r="BM9">
        <f>$C9*BM8</f>
        <v/>
      </c>
      <c r="BN9">
        <f>$C9*BN8</f>
        <v/>
      </c>
      <c r="BO9">
        <f>$C9*BO8</f>
        <v/>
      </c>
      <c r="BP9">
        <f>$C9*BP8</f>
        <v/>
      </c>
      <c r="BQ9">
        <f>$C9*BQ8</f>
        <v/>
      </c>
      <c r="BR9">
        <f>$C9*BR8</f>
        <v/>
      </c>
      <c r="BS9">
        <f>$C9*BS8</f>
        <v/>
      </c>
      <c r="BT9">
        <f>$C9*BT8</f>
        <v/>
      </c>
      <c r="BU9">
        <f>$C9*BU8</f>
        <v/>
      </c>
      <c r="BV9">
        <f>$C9*BV8</f>
        <v/>
      </c>
      <c r="BW9">
        <f>$C9*BW8</f>
        <v/>
      </c>
      <c r="BX9">
        <f>$C9*BX8</f>
        <v/>
      </c>
      <c r="BY9">
        <f>$C9*BY8</f>
        <v/>
      </c>
      <c r="BZ9">
        <f>$C9*BZ8</f>
        <v/>
      </c>
      <c r="CA9">
        <f>$C9*CA8</f>
        <v/>
      </c>
      <c r="CB9">
        <f>$C9*CB8</f>
        <v/>
      </c>
      <c r="CC9">
        <f>$C9*CC8</f>
        <v/>
      </c>
      <c r="CD9">
        <f>$C9*CD8</f>
        <v/>
      </c>
      <c r="CE9">
        <f>$C9*CE8</f>
        <v/>
      </c>
      <c r="CF9">
        <f>$C9*CF8</f>
        <v/>
      </c>
      <c r="CG9">
        <f>$C9*CG8</f>
        <v/>
      </c>
      <c r="CH9">
        <f>$C9*CH8</f>
        <v/>
      </c>
      <c r="CI9">
        <f>$C9*CI8</f>
        <v/>
      </c>
      <c r="CJ9">
        <f>$C9*CJ8</f>
        <v/>
      </c>
      <c r="CK9">
        <f>$C9*CK8</f>
        <v/>
      </c>
      <c r="CL9">
        <f>$C9*CL8</f>
        <v/>
      </c>
      <c r="CM9">
        <f>$C9*CM8</f>
        <v/>
      </c>
      <c r="CN9">
        <f>$C9*CN8</f>
        <v/>
      </c>
      <c r="CO9">
        <f>$C9*CO8</f>
        <v/>
      </c>
      <c r="CP9">
        <f>$C9*CP8</f>
        <v/>
      </c>
      <c r="CQ9">
        <f>$C9*CQ8</f>
        <v/>
      </c>
      <c r="CR9">
        <f>$C9*CR8</f>
        <v/>
      </c>
      <c r="CS9">
        <f>$C9*CS8</f>
        <v/>
      </c>
      <c r="CT9">
        <f>$C9*CT8</f>
        <v/>
      </c>
      <c r="CU9">
        <f>$C9*CU8</f>
        <v/>
      </c>
      <c r="CV9">
        <f>$C9*CV8</f>
        <v/>
      </c>
      <c r="CW9">
        <f>$C9*CW8</f>
        <v/>
      </c>
      <c r="CX9">
        <f>$C9*CX8</f>
        <v/>
      </c>
      <c r="CY9">
        <f>$C9*CY8</f>
        <v/>
      </c>
      <c r="CZ9">
        <f>$C9*CZ8</f>
        <v/>
      </c>
      <c r="DA9">
        <f>$C9*DA8</f>
        <v/>
      </c>
      <c r="DB9">
        <f>$C9*DB8</f>
        <v/>
      </c>
      <c r="DC9">
        <f>$C9*DC8</f>
        <v/>
      </c>
    </row>
    <row r="10">
      <c r="B10" s="5" t="inlineStr">
        <is>
          <t>合計使用量(kg)/週</t>
        </is>
      </c>
      <c r="D10">
        <f>'Grid_Requirement'!B2</f>
        <v/>
      </c>
      <c r="E10">
        <f>'Grid_Requirement'!C2</f>
        <v/>
      </c>
      <c r="F10">
        <f>'Grid_Requirement'!D2</f>
        <v/>
      </c>
      <c r="G10">
        <f>'Grid_Requirement'!E2</f>
        <v/>
      </c>
      <c r="H10">
        <f>'Grid_Requirement'!F2</f>
        <v/>
      </c>
      <c r="I10">
        <f>'Grid_Requirement'!G2</f>
        <v/>
      </c>
      <c r="J10">
        <f>'Grid_Requirement'!H2</f>
        <v/>
      </c>
      <c r="K10">
        <f>'Grid_Requirement'!I2</f>
        <v/>
      </c>
      <c r="L10">
        <f>'Grid_Requirement'!J2</f>
        <v/>
      </c>
      <c r="M10">
        <f>'Grid_Requirement'!K2</f>
        <v/>
      </c>
      <c r="N10">
        <f>'Grid_Requirement'!L2</f>
        <v/>
      </c>
      <c r="O10">
        <f>'Grid_Requirement'!M2</f>
        <v/>
      </c>
      <c r="P10">
        <f>'Grid_Requirement'!N2</f>
        <v/>
      </c>
      <c r="Q10">
        <f>'Grid_Requirement'!O2</f>
        <v/>
      </c>
      <c r="R10">
        <f>'Grid_Requirement'!P2</f>
        <v/>
      </c>
      <c r="S10">
        <f>'Grid_Requirement'!Q2</f>
        <v/>
      </c>
      <c r="T10">
        <f>'Grid_Requirement'!R2</f>
        <v/>
      </c>
      <c r="U10">
        <f>'Grid_Requirement'!S2</f>
        <v/>
      </c>
      <c r="V10">
        <f>'Grid_Requirement'!T2</f>
        <v/>
      </c>
      <c r="W10">
        <f>'Grid_Requirement'!U2</f>
        <v/>
      </c>
      <c r="X10">
        <f>'Grid_Requirement'!V2</f>
        <v/>
      </c>
      <c r="Y10">
        <f>'Grid_Requirement'!W2</f>
        <v/>
      </c>
      <c r="Z10">
        <f>'Grid_Requirement'!X2</f>
        <v/>
      </c>
      <c r="AA10">
        <f>'Grid_Requirement'!Y2</f>
        <v/>
      </c>
      <c r="AB10">
        <f>'Grid_Requirement'!Z2</f>
        <v/>
      </c>
      <c r="AC10">
        <f>'Grid_Requirement'!AA2</f>
        <v/>
      </c>
      <c r="AD10">
        <f>'Grid_Requirement'!AB2</f>
        <v/>
      </c>
      <c r="AE10">
        <f>'Grid_Requirement'!AC2</f>
        <v/>
      </c>
      <c r="AF10">
        <f>'Grid_Requirement'!AD2</f>
        <v/>
      </c>
      <c r="AG10">
        <f>'Grid_Requirement'!AE2</f>
        <v/>
      </c>
      <c r="AH10">
        <f>'Grid_Requirement'!AF2</f>
        <v/>
      </c>
      <c r="AI10">
        <f>'Grid_Requirement'!AG2</f>
        <v/>
      </c>
      <c r="AJ10">
        <f>'Grid_Requirement'!AH2</f>
        <v/>
      </c>
      <c r="AK10">
        <f>'Grid_Requirement'!AI2</f>
        <v/>
      </c>
      <c r="AL10">
        <f>'Grid_Requirement'!AJ2</f>
        <v/>
      </c>
      <c r="AM10">
        <f>'Grid_Requirement'!AK2</f>
        <v/>
      </c>
      <c r="AN10">
        <f>'Grid_Requirement'!AL2</f>
        <v/>
      </c>
      <c r="AO10">
        <f>'Grid_Requirement'!AM2</f>
        <v/>
      </c>
      <c r="AP10">
        <f>'Grid_Requirement'!AN2</f>
        <v/>
      </c>
      <c r="AQ10">
        <f>'Grid_Requirement'!AO2</f>
        <v/>
      </c>
      <c r="AR10">
        <f>'Grid_Requirement'!AP2</f>
        <v/>
      </c>
      <c r="AS10">
        <f>'Grid_Requirement'!AQ2</f>
        <v/>
      </c>
      <c r="AT10">
        <f>'Grid_Requirement'!AR2</f>
        <v/>
      </c>
      <c r="AU10">
        <f>'Grid_Requirement'!AS2</f>
        <v/>
      </c>
      <c r="AV10">
        <f>'Grid_Requirement'!AT2</f>
        <v/>
      </c>
      <c r="AW10">
        <f>'Grid_Requirement'!AU2</f>
        <v/>
      </c>
      <c r="AX10">
        <f>'Grid_Requirement'!AV2</f>
        <v/>
      </c>
      <c r="AY10">
        <f>'Grid_Requirement'!AW2</f>
        <v/>
      </c>
      <c r="AZ10">
        <f>'Grid_Requirement'!AX2</f>
        <v/>
      </c>
      <c r="BA10">
        <f>'Grid_Requirement'!AY2</f>
        <v/>
      </c>
      <c r="BB10">
        <f>'Grid_Requirement'!AZ2</f>
        <v/>
      </c>
      <c r="BC10">
        <f>'Grid_Requirement'!BA2</f>
        <v/>
      </c>
      <c r="BD10">
        <f>'Grid_Requirement'!BB2</f>
        <v/>
      </c>
      <c r="BE10">
        <f>'Grid_Requirement'!BC2</f>
        <v/>
      </c>
      <c r="BF10">
        <f>'Grid_Requirement'!BD2</f>
        <v/>
      </c>
      <c r="BG10">
        <f>'Grid_Requirement'!BE2</f>
        <v/>
      </c>
      <c r="BH10">
        <f>'Grid_Requirement'!BF2</f>
        <v/>
      </c>
      <c r="BI10">
        <f>'Grid_Requirement'!BG2</f>
        <v/>
      </c>
      <c r="BJ10">
        <f>'Grid_Requirement'!BH2</f>
        <v/>
      </c>
      <c r="BK10">
        <f>'Grid_Requirement'!BI2</f>
        <v/>
      </c>
      <c r="BL10">
        <f>'Grid_Requirement'!BJ2</f>
        <v/>
      </c>
      <c r="BM10">
        <f>'Grid_Requirement'!BK2</f>
        <v/>
      </c>
      <c r="BN10">
        <f>'Grid_Requirement'!BL2</f>
        <v/>
      </c>
      <c r="BO10">
        <f>'Grid_Requirement'!BM2</f>
        <v/>
      </c>
      <c r="BP10">
        <f>'Grid_Requirement'!BN2</f>
        <v/>
      </c>
      <c r="BQ10">
        <f>'Grid_Requirement'!BO2</f>
        <v/>
      </c>
      <c r="BR10">
        <f>'Grid_Requirement'!BP2</f>
        <v/>
      </c>
      <c r="BS10">
        <f>'Grid_Requirement'!BQ2</f>
        <v/>
      </c>
      <c r="BT10">
        <f>'Grid_Requirement'!BR2</f>
        <v/>
      </c>
      <c r="BU10">
        <f>'Grid_Requirement'!BS2</f>
        <v/>
      </c>
      <c r="BV10">
        <f>'Grid_Requirement'!BT2</f>
        <v/>
      </c>
      <c r="BW10">
        <f>'Grid_Requirement'!BU2</f>
        <v/>
      </c>
      <c r="BX10">
        <f>'Grid_Requirement'!BV2</f>
        <v/>
      </c>
      <c r="BY10">
        <f>'Grid_Requirement'!BW2</f>
        <v/>
      </c>
      <c r="BZ10">
        <f>'Grid_Requirement'!BX2</f>
        <v/>
      </c>
      <c r="CA10">
        <f>'Grid_Requirement'!BY2</f>
        <v/>
      </c>
      <c r="CB10">
        <f>'Grid_Requirement'!BZ2</f>
        <v/>
      </c>
      <c r="CC10">
        <f>'Grid_Requirement'!CA2</f>
        <v/>
      </c>
      <c r="CD10">
        <f>'Grid_Requirement'!CB2</f>
        <v/>
      </c>
      <c r="CE10">
        <f>'Grid_Requirement'!CC2</f>
        <v/>
      </c>
      <c r="CF10">
        <f>'Grid_Requirement'!CD2</f>
        <v/>
      </c>
      <c r="CG10">
        <f>'Grid_Requirement'!CE2</f>
        <v/>
      </c>
      <c r="CH10">
        <f>'Grid_Requirement'!CF2</f>
        <v/>
      </c>
      <c r="CI10">
        <f>'Grid_Requirement'!CG2</f>
        <v/>
      </c>
      <c r="CJ10">
        <f>'Grid_Requirement'!CH2</f>
        <v/>
      </c>
      <c r="CK10">
        <f>'Grid_Requirement'!CI2</f>
        <v/>
      </c>
      <c r="CL10">
        <f>'Grid_Requirement'!CJ2</f>
        <v/>
      </c>
      <c r="CM10">
        <f>'Grid_Requirement'!CK2</f>
        <v/>
      </c>
      <c r="CN10">
        <f>'Grid_Requirement'!CL2</f>
        <v/>
      </c>
      <c r="CO10">
        <f>'Grid_Requirement'!CM2</f>
        <v/>
      </c>
      <c r="CP10">
        <f>'Grid_Requirement'!CN2</f>
        <v/>
      </c>
      <c r="CQ10">
        <f>'Grid_Requirement'!CO2</f>
        <v/>
      </c>
      <c r="CR10">
        <f>'Grid_Requirement'!CP2</f>
        <v/>
      </c>
      <c r="CS10">
        <f>'Grid_Requirement'!CQ2</f>
        <v/>
      </c>
      <c r="CT10">
        <f>'Grid_Requirement'!CR2</f>
        <v/>
      </c>
      <c r="CU10">
        <f>'Grid_Requirement'!CS2</f>
        <v/>
      </c>
      <c r="CV10">
        <f>'Grid_Requirement'!CT2</f>
        <v/>
      </c>
      <c r="CW10">
        <f>'Grid_Requirement'!CU2</f>
        <v/>
      </c>
      <c r="CX10">
        <f>'Grid_Requirement'!CV2</f>
        <v/>
      </c>
      <c r="CY10">
        <f>'Grid_Requirement'!CW2</f>
        <v/>
      </c>
      <c r="CZ10">
        <f>'Grid_Requirement'!CX2</f>
        <v/>
      </c>
      <c r="DA10">
        <f>'Grid_Requirement'!CY2</f>
        <v/>
      </c>
      <c r="DB10">
        <f>'Grid_Requirement'!CZ2</f>
        <v/>
      </c>
      <c r="DC10">
        <f>'Grid_Requirement'!DA2</f>
        <v/>
      </c>
    </row>
    <row r="11">
      <c r="B11" t="inlineStr">
        <is>
          <t>TTAF在庫(実績,kg)</t>
        </is>
      </c>
      <c r="D11">
        <f>'T_TTAFStock'!B6</f>
        <v/>
      </c>
      <c r="E11">
        <f>'T_TTAFStock'!C6</f>
        <v/>
      </c>
      <c r="F11">
        <f>'T_TTAFStock'!D6</f>
        <v/>
      </c>
      <c r="G11">
        <f>'T_TTAFStock'!E6</f>
        <v/>
      </c>
      <c r="H11">
        <f>'T_TTAFStock'!F6</f>
        <v/>
      </c>
      <c r="I11">
        <f>'T_TTAFStock'!G6</f>
        <v/>
      </c>
      <c r="J11">
        <f>'T_TTAFStock'!H6</f>
        <v/>
      </c>
      <c r="K11">
        <f>'T_TTAFStock'!I6</f>
        <v/>
      </c>
      <c r="L11">
        <f>'T_TTAFStock'!J6</f>
        <v/>
      </c>
      <c r="M11">
        <f>'T_TTAFStock'!K6</f>
        <v/>
      </c>
      <c r="N11">
        <f>'T_TTAFStock'!L6</f>
        <v/>
      </c>
      <c r="O11">
        <f>'T_TTAFStock'!M6</f>
        <v/>
      </c>
      <c r="P11">
        <f>'T_TTAFStock'!N6</f>
        <v/>
      </c>
      <c r="Q11">
        <f>'T_TTAFStock'!O6</f>
        <v/>
      </c>
      <c r="R11">
        <f>'T_TTAFStock'!P6</f>
        <v/>
      </c>
      <c r="S11">
        <f>'T_TTAFStock'!Q6</f>
        <v/>
      </c>
      <c r="T11">
        <f>'T_TTAFStock'!R6</f>
        <v/>
      </c>
      <c r="U11">
        <f>'T_TTAFStock'!S6</f>
        <v/>
      </c>
      <c r="V11">
        <f>'T_TTAFStock'!T6</f>
        <v/>
      </c>
      <c r="W11">
        <f>'T_TTAFStock'!U6</f>
        <v/>
      </c>
      <c r="X11">
        <f>'T_TTAFStock'!V6</f>
        <v/>
      </c>
      <c r="Y11">
        <f>'T_TTAFStock'!W6</f>
        <v/>
      </c>
      <c r="Z11">
        <f>'T_TTAFStock'!X6</f>
        <v/>
      </c>
      <c r="AA11">
        <f>'T_TTAFStock'!Y6</f>
        <v/>
      </c>
      <c r="AB11">
        <f>'T_TTAFStock'!Z6</f>
        <v/>
      </c>
      <c r="AC11">
        <f>'T_TTAFStock'!AA6</f>
        <v/>
      </c>
      <c r="AD11">
        <f>'T_TTAFStock'!AB6</f>
        <v/>
      </c>
      <c r="AE11">
        <f>'T_TTAFStock'!AC6</f>
        <v/>
      </c>
      <c r="AF11">
        <f>'T_TTAFStock'!AD6</f>
        <v/>
      </c>
      <c r="AG11">
        <f>'T_TTAFStock'!AE6</f>
        <v/>
      </c>
      <c r="AH11">
        <f>'T_TTAFStock'!AF6</f>
        <v/>
      </c>
      <c r="AI11">
        <f>'T_TTAFStock'!AG6</f>
        <v/>
      </c>
      <c r="AJ11">
        <f>'T_TTAFStock'!AH6</f>
        <v/>
      </c>
      <c r="AK11">
        <f>'T_TTAFStock'!AI6</f>
        <v/>
      </c>
      <c r="AL11">
        <f>'T_TTAFStock'!AJ6</f>
        <v/>
      </c>
      <c r="AM11">
        <f>'T_TTAFStock'!AK6</f>
        <v/>
      </c>
      <c r="AN11">
        <f>'T_TTAFStock'!AL6</f>
        <v/>
      </c>
      <c r="AO11">
        <f>'T_TTAFStock'!AM6</f>
        <v/>
      </c>
      <c r="AP11">
        <f>'T_TTAFStock'!AN6</f>
        <v/>
      </c>
      <c r="AQ11">
        <f>'T_TTAFStock'!AO6</f>
        <v/>
      </c>
      <c r="AR11">
        <f>'T_TTAFStock'!AP6</f>
        <v/>
      </c>
      <c r="AS11">
        <f>'T_TTAFStock'!AQ6</f>
        <v/>
      </c>
      <c r="AT11">
        <f>'T_TTAFStock'!AR6</f>
        <v/>
      </c>
      <c r="AU11">
        <f>'T_TTAFStock'!AS6</f>
        <v/>
      </c>
      <c r="AV11">
        <f>'T_TTAFStock'!AT6</f>
        <v/>
      </c>
      <c r="AW11">
        <f>'T_TTAFStock'!AU6</f>
        <v/>
      </c>
      <c r="AX11">
        <f>'T_TTAFStock'!AV6</f>
        <v/>
      </c>
      <c r="AY11">
        <f>'T_TTAFStock'!AW6</f>
        <v/>
      </c>
      <c r="AZ11">
        <f>'T_TTAFStock'!AX6</f>
        <v/>
      </c>
      <c r="BA11">
        <f>'T_TTAFStock'!AY6</f>
        <v/>
      </c>
      <c r="BB11">
        <f>'T_TTAFStock'!AZ6</f>
        <v/>
      </c>
      <c r="BC11">
        <f>'T_TTAFStock'!BA6</f>
        <v/>
      </c>
      <c r="BD11">
        <f>'T_TTAFStock'!BB6</f>
        <v/>
      </c>
      <c r="BE11">
        <f>'T_TTAFStock'!BC6</f>
        <v/>
      </c>
      <c r="BF11">
        <f>'T_TTAFStock'!BD6</f>
        <v/>
      </c>
      <c r="BG11">
        <f>'T_TTAFStock'!BE6</f>
        <v/>
      </c>
      <c r="BH11">
        <f>'T_TTAFStock'!BF6</f>
        <v/>
      </c>
      <c r="BI11">
        <f>'T_TTAFStock'!BG6</f>
        <v/>
      </c>
      <c r="BJ11">
        <f>'T_TTAFStock'!BH6</f>
        <v/>
      </c>
      <c r="BK11">
        <f>'T_TTAFStock'!BI6</f>
        <v/>
      </c>
      <c r="BL11">
        <f>'T_TTAFStock'!BJ6</f>
        <v/>
      </c>
      <c r="BM11">
        <f>'T_TTAFStock'!BK6</f>
        <v/>
      </c>
      <c r="BN11">
        <f>'T_TTAFStock'!BL6</f>
        <v/>
      </c>
      <c r="BO11">
        <f>'T_TTAFStock'!BM6</f>
        <v/>
      </c>
      <c r="BP11">
        <f>'T_TTAFStock'!BN6</f>
        <v/>
      </c>
      <c r="BQ11">
        <f>'T_TTAFStock'!BO6</f>
        <v/>
      </c>
      <c r="BR11">
        <f>'T_TTAFStock'!BP6</f>
        <v/>
      </c>
      <c r="BS11">
        <f>'T_TTAFStock'!BQ6</f>
        <v/>
      </c>
      <c r="BT11">
        <f>'T_TTAFStock'!BR6</f>
        <v/>
      </c>
      <c r="BU11">
        <f>'T_TTAFStock'!BS6</f>
        <v/>
      </c>
      <c r="BV11">
        <f>'T_TTAFStock'!BT6</f>
        <v/>
      </c>
      <c r="BW11">
        <f>'T_TTAFStock'!BU6</f>
        <v/>
      </c>
      <c r="BX11">
        <f>'T_TTAFStock'!BV6</f>
        <v/>
      </c>
      <c r="BY11">
        <f>'T_TTAFStock'!BW6</f>
        <v/>
      </c>
      <c r="BZ11">
        <f>'T_TTAFStock'!BX6</f>
        <v/>
      </c>
      <c r="CA11">
        <f>'T_TTAFStock'!BY6</f>
        <v/>
      </c>
      <c r="CB11">
        <f>'T_TTAFStock'!BZ6</f>
        <v/>
      </c>
      <c r="CC11">
        <f>'T_TTAFStock'!CA6</f>
        <v/>
      </c>
      <c r="CD11">
        <f>'T_TTAFStock'!CB6</f>
        <v/>
      </c>
      <c r="CE11">
        <f>'T_TTAFStock'!CC6</f>
        <v/>
      </c>
      <c r="CF11">
        <f>'T_TTAFStock'!CD6</f>
        <v/>
      </c>
      <c r="CG11">
        <f>'T_TTAFStock'!CE6</f>
        <v/>
      </c>
      <c r="CH11">
        <f>'T_TTAFStock'!CF6</f>
        <v/>
      </c>
      <c r="CI11">
        <f>'T_TTAFStock'!CG6</f>
        <v/>
      </c>
      <c r="CJ11">
        <f>'T_TTAFStock'!CH6</f>
        <v/>
      </c>
      <c r="CK11">
        <f>'T_TTAFStock'!CI6</f>
        <v/>
      </c>
      <c r="CL11">
        <f>'T_TTAFStock'!CJ6</f>
        <v/>
      </c>
      <c r="CM11">
        <f>'T_TTAFStock'!CK6</f>
        <v/>
      </c>
      <c r="CN11">
        <f>'T_TTAFStock'!CL6</f>
        <v/>
      </c>
      <c r="CO11">
        <f>'T_TTAFStock'!CM6</f>
        <v/>
      </c>
      <c r="CP11">
        <f>'T_TTAFStock'!CN6</f>
        <v/>
      </c>
      <c r="CQ11">
        <f>'T_TTAFStock'!CO6</f>
        <v/>
      </c>
      <c r="CR11">
        <f>'T_TTAFStock'!CP6</f>
        <v/>
      </c>
      <c r="CS11">
        <f>'T_TTAFStock'!CQ6</f>
        <v/>
      </c>
      <c r="CT11">
        <f>'T_TTAFStock'!CR6</f>
        <v/>
      </c>
      <c r="CU11">
        <f>'T_TTAFStock'!CS6</f>
        <v/>
      </c>
      <c r="CV11">
        <f>'T_TTAFStock'!CT6</f>
        <v/>
      </c>
      <c r="CW11">
        <f>'T_TTAFStock'!CU6</f>
        <v/>
      </c>
      <c r="CX11">
        <f>'T_TTAFStock'!CV6</f>
        <v/>
      </c>
      <c r="CY11">
        <f>'T_TTAFStock'!CW6</f>
        <v/>
      </c>
      <c r="CZ11">
        <f>'T_TTAFStock'!CX6</f>
        <v/>
      </c>
      <c r="DA11">
        <f>'T_TTAFStock'!CY6</f>
        <v/>
      </c>
      <c r="DB11">
        <f>'T_TTAFStock'!CZ6</f>
        <v/>
      </c>
      <c r="DC11">
        <f>'T_TTAFStock'!DA6</f>
        <v/>
      </c>
    </row>
    <row r="12">
      <c r="B12" t="inlineStr">
        <is>
          <t>自社在庫(実績,kg)</t>
        </is>
      </c>
      <c r="D12">
        <f>'T_SelfStock'!B6</f>
        <v/>
      </c>
      <c r="E12">
        <f>'T_SelfStock'!C6</f>
        <v/>
      </c>
      <c r="F12">
        <f>'T_SelfStock'!D6</f>
        <v/>
      </c>
      <c r="G12">
        <f>'T_SelfStock'!E6</f>
        <v/>
      </c>
      <c r="H12">
        <f>'T_SelfStock'!F6</f>
        <v/>
      </c>
      <c r="I12">
        <f>'T_SelfStock'!G6</f>
        <v/>
      </c>
      <c r="J12">
        <f>'T_SelfStock'!H6</f>
        <v/>
      </c>
      <c r="K12">
        <f>'T_SelfStock'!I6</f>
        <v/>
      </c>
      <c r="L12">
        <f>'T_SelfStock'!J6</f>
        <v/>
      </c>
      <c r="M12">
        <f>'T_SelfStock'!K6</f>
        <v/>
      </c>
      <c r="N12">
        <f>'T_SelfStock'!L6</f>
        <v/>
      </c>
      <c r="O12">
        <f>'T_SelfStock'!M6</f>
        <v/>
      </c>
      <c r="P12">
        <f>'T_SelfStock'!N6</f>
        <v/>
      </c>
      <c r="Q12">
        <f>'T_SelfStock'!O6</f>
        <v/>
      </c>
      <c r="R12">
        <f>'T_SelfStock'!P6</f>
        <v/>
      </c>
      <c r="S12">
        <f>'T_SelfStock'!Q6</f>
        <v/>
      </c>
      <c r="T12">
        <f>'T_SelfStock'!R6</f>
        <v/>
      </c>
      <c r="U12">
        <f>'T_SelfStock'!S6</f>
        <v/>
      </c>
      <c r="V12">
        <f>'T_SelfStock'!T6</f>
        <v/>
      </c>
      <c r="W12">
        <f>'T_SelfStock'!U6</f>
        <v/>
      </c>
      <c r="X12">
        <f>'T_SelfStock'!V6</f>
        <v/>
      </c>
      <c r="Y12">
        <f>'T_SelfStock'!W6</f>
        <v/>
      </c>
      <c r="Z12">
        <f>'T_SelfStock'!X6</f>
        <v/>
      </c>
      <c r="AA12">
        <f>'T_SelfStock'!Y6</f>
        <v/>
      </c>
      <c r="AB12">
        <f>'T_SelfStock'!Z6</f>
        <v/>
      </c>
      <c r="AC12">
        <f>'T_SelfStock'!AA6</f>
        <v/>
      </c>
      <c r="AD12">
        <f>'T_SelfStock'!AB6</f>
        <v/>
      </c>
      <c r="AE12">
        <f>'T_SelfStock'!AC6</f>
        <v/>
      </c>
      <c r="AF12">
        <f>'T_SelfStock'!AD6</f>
        <v/>
      </c>
      <c r="AG12">
        <f>'T_SelfStock'!AE6</f>
        <v/>
      </c>
      <c r="AH12">
        <f>'T_SelfStock'!AF6</f>
        <v/>
      </c>
      <c r="AI12">
        <f>'T_SelfStock'!AG6</f>
        <v/>
      </c>
      <c r="AJ12">
        <f>'T_SelfStock'!AH6</f>
        <v/>
      </c>
      <c r="AK12">
        <f>'T_SelfStock'!AI6</f>
        <v/>
      </c>
      <c r="AL12">
        <f>'T_SelfStock'!AJ6</f>
        <v/>
      </c>
      <c r="AM12">
        <f>'T_SelfStock'!AK6</f>
        <v/>
      </c>
      <c r="AN12">
        <f>'T_SelfStock'!AL6</f>
        <v/>
      </c>
      <c r="AO12">
        <f>'T_SelfStock'!AM6</f>
        <v/>
      </c>
      <c r="AP12">
        <f>'T_SelfStock'!AN6</f>
        <v/>
      </c>
      <c r="AQ12">
        <f>'T_SelfStock'!AO6</f>
        <v/>
      </c>
      <c r="AR12">
        <f>'T_SelfStock'!AP6</f>
        <v/>
      </c>
      <c r="AS12">
        <f>'T_SelfStock'!AQ6</f>
        <v/>
      </c>
      <c r="AT12">
        <f>'T_SelfStock'!AR6</f>
        <v/>
      </c>
      <c r="AU12">
        <f>'T_SelfStock'!AS6</f>
        <v/>
      </c>
      <c r="AV12">
        <f>'T_SelfStock'!AT6</f>
        <v/>
      </c>
      <c r="AW12">
        <f>'T_SelfStock'!AU6</f>
        <v/>
      </c>
      <c r="AX12">
        <f>'T_SelfStock'!AV6</f>
        <v/>
      </c>
      <c r="AY12">
        <f>'T_SelfStock'!AW6</f>
        <v/>
      </c>
      <c r="AZ12">
        <f>'T_SelfStock'!AX6</f>
        <v/>
      </c>
      <c r="BA12">
        <f>'T_SelfStock'!AY6</f>
        <v/>
      </c>
      <c r="BB12">
        <f>'T_SelfStock'!AZ6</f>
        <v/>
      </c>
      <c r="BC12">
        <f>'T_SelfStock'!BA6</f>
        <v/>
      </c>
      <c r="BD12">
        <f>'T_SelfStock'!BB6</f>
        <v/>
      </c>
      <c r="BE12">
        <f>'T_SelfStock'!BC6</f>
        <v/>
      </c>
      <c r="BF12">
        <f>'T_SelfStock'!BD6</f>
        <v/>
      </c>
      <c r="BG12">
        <f>'T_SelfStock'!BE6</f>
        <v/>
      </c>
      <c r="BH12">
        <f>'T_SelfStock'!BF6</f>
        <v/>
      </c>
      <c r="BI12">
        <f>'T_SelfStock'!BG6</f>
        <v/>
      </c>
      <c r="BJ12">
        <f>'T_SelfStock'!BH6</f>
        <v/>
      </c>
      <c r="BK12">
        <f>'T_SelfStock'!BI6</f>
        <v/>
      </c>
      <c r="BL12">
        <f>'T_SelfStock'!BJ6</f>
        <v/>
      </c>
      <c r="BM12">
        <f>'T_SelfStock'!BK6</f>
        <v/>
      </c>
      <c r="BN12">
        <f>'T_SelfStock'!BL6</f>
        <v/>
      </c>
      <c r="BO12">
        <f>'T_SelfStock'!BM6</f>
        <v/>
      </c>
      <c r="BP12">
        <f>'T_SelfStock'!BN6</f>
        <v/>
      </c>
      <c r="BQ12">
        <f>'T_SelfStock'!BO6</f>
        <v/>
      </c>
      <c r="BR12">
        <f>'T_SelfStock'!BP6</f>
        <v/>
      </c>
      <c r="BS12">
        <f>'T_SelfStock'!BQ6</f>
        <v/>
      </c>
      <c r="BT12">
        <f>'T_SelfStock'!BR6</f>
        <v/>
      </c>
      <c r="BU12">
        <f>'T_SelfStock'!BS6</f>
        <v/>
      </c>
      <c r="BV12">
        <f>'T_SelfStock'!BT6</f>
        <v/>
      </c>
      <c r="BW12">
        <f>'T_SelfStock'!BU6</f>
        <v/>
      </c>
      <c r="BX12">
        <f>'T_SelfStock'!BV6</f>
        <v/>
      </c>
      <c r="BY12">
        <f>'T_SelfStock'!BW6</f>
        <v/>
      </c>
      <c r="BZ12">
        <f>'T_SelfStock'!BX6</f>
        <v/>
      </c>
      <c r="CA12">
        <f>'T_SelfStock'!BY6</f>
        <v/>
      </c>
      <c r="CB12">
        <f>'T_SelfStock'!BZ6</f>
        <v/>
      </c>
      <c r="CC12">
        <f>'T_SelfStock'!CA6</f>
        <v/>
      </c>
      <c r="CD12">
        <f>'T_SelfStock'!CB6</f>
        <v/>
      </c>
      <c r="CE12">
        <f>'T_SelfStock'!CC6</f>
        <v/>
      </c>
      <c r="CF12">
        <f>'T_SelfStock'!CD6</f>
        <v/>
      </c>
      <c r="CG12">
        <f>'T_SelfStock'!CE6</f>
        <v/>
      </c>
      <c r="CH12">
        <f>'T_SelfStock'!CF6</f>
        <v/>
      </c>
      <c r="CI12">
        <f>'T_SelfStock'!CG6</f>
        <v/>
      </c>
      <c r="CJ12">
        <f>'T_SelfStock'!CH6</f>
        <v/>
      </c>
      <c r="CK12">
        <f>'T_SelfStock'!CI6</f>
        <v/>
      </c>
      <c r="CL12">
        <f>'T_SelfStock'!CJ6</f>
        <v/>
      </c>
      <c r="CM12">
        <f>'T_SelfStock'!CK6</f>
        <v/>
      </c>
      <c r="CN12">
        <f>'T_SelfStock'!CL6</f>
        <v/>
      </c>
      <c r="CO12">
        <f>'T_SelfStock'!CM6</f>
        <v/>
      </c>
      <c r="CP12">
        <f>'T_SelfStock'!CN6</f>
        <v/>
      </c>
      <c r="CQ12">
        <f>'T_SelfStock'!CO6</f>
        <v/>
      </c>
      <c r="CR12">
        <f>'T_SelfStock'!CP6</f>
        <v/>
      </c>
      <c r="CS12">
        <f>'T_SelfStock'!CQ6</f>
        <v/>
      </c>
      <c r="CT12">
        <f>'T_SelfStock'!CR6</f>
        <v/>
      </c>
      <c r="CU12">
        <f>'T_SelfStock'!CS6</f>
        <v/>
      </c>
      <c r="CV12">
        <f>'T_SelfStock'!CT6</f>
        <v/>
      </c>
      <c r="CW12">
        <f>'T_SelfStock'!CU6</f>
        <v/>
      </c>
      <c r="CX12">
        <f>'T_SelfStock'!CV6</f>
        <v/>
      </c>
      <c r="CY12">
        <f>'T_SelfStock'!CW6</f>
        <v/>
      </c>
      <c r="CZ12">
        <f>'T_SelfStock'!CX6</f>
        <v/>
      </c>
      <c r="DA12">
        <f>'T_SelfStock'!CY6</f>
        <v/>
      </c>
      <c r="DB12">
        <f>'T_SelfStock'!CZ6</f>
        <v/>
      </c>
      <c r="DC12">
        <f>'T_SelfStock'!DA6</f>
        <v/>
      </c>
    </row>
    <row r="13">
      <c r="B13" t="inlineStr">
        <is>
          <t>Order(発注予定,kg)</t>
        </is>
      </c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  <c r="AW13" s="23" t="n"/>
      <c r="AX13" s="23" t="n"/>
      <c r="AY13" s="23" t="n"/>
      <c r="AZ13" s="23" t="n"/>
      <c r="BA13" s="23" t="n"/>
      <c r="BB13" s="23" t="n"/>
      <c r="BC13" s="23" t="n"/>
      <c r="BD13" s="23" t="n"/>
      <c r="BE13" s="23" t="n"/>
      <c r="BF13" s="23" t="n"/>
      <c r="BG13" s="23" t="n"/>
      <c r="BH13" s="23" t="n"/>
      <c r="BI13" s="23" t="n"/>
      <c r="BJ13" s="23" t="n"/>
      <c r="BK13" s="23" t="n"/>
      <c r="BL13" s="23" t="n"/>
      <c r="BM13" s="23" t="n"/>
      <c r="BN13" s="23" t="n"/>
      <c r="BO13" s="23" t="n"/>
      <c r="BP13" s="23" t="n"/>
      <c r="BQ13" s="23" t="n"/>
      <c r="BR13" s="23" t="n"/>
      <c r="BS13" s="23" t="n"/>
      <c r="BT13" s="23" t="n"/>
      <c r="BU13" s="23" t="n"/>
      <c r="BV13" s="23" t="n"/>
      <c r="BW13" s="23" t="n"/>
      <c r="BX13" s="23" t="n"/>
      <c r="BY13" s="23" t="n"/>
      <c r="BZ13" s="23" t="n"/>
      <c r="CA13" s="23" t="n"/>
      <c r="CB13" s="23" t="n"/>
      <c r="CC13" s="23" t="n"/>
      <c r="CD13" s="23" t="n"/>
      <c r="CE13" s="23" t="n"/>
      <c r="CF13" s="23" t="n"/>
      <c r="CG13" s="23" t="n"/>
      <c r="CH13" s="23" t="n"/>
      <c r="CI13" s="23" t="n"/>
      <c r="CJ13" s="23" t="n"/>
      <c r="CK13" s="23" t="n"/>
      <c r="CL13" s="23" t="n"/>
      <c r="CM13" s="23" t="n"/>
      <c r="CN13" s="23" t="n"/>
      <c r="CO13" s="23" t="n"/>
      <c r="CP13" s="23" t="n"/>
      <c r="CQ13" s="23" t="n"/>
      <c r="CR13" s="23" t="n"/>
      <c r="CS13" s="23" t="n"/>
      <c r="CT13" s="23" t="n"/>
      <c r="CU13" s="23" t="n"/>
      <c r="CV13" s="23" t="n"/>
      <c r="CW13" s="23" t="n"/>
      <c r="CX13" s="23" t="n"/>
      <c r="CY13" s="23" t="n"/>
      <c r="CZ13" s="23" t="n"/>
      <c r="DA13" s="23" t="n"/>
      <c r="DB13" s="23" t="n"/>
      <c r="DC13" s="23" t="n"/>
      <c r="DE13" s="12" t="inlineStr">
        <is>
          <t>7EP</t>
        </is>
      </c>
    </row>
    <row r="14">
      <c r="B14" s="24" t="inlineStr">
        <is>
          <t>PO_No</t>
        </is>
      </c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25" t="n"/>
      <c r="BX14" s="25" t="n"/>
      <c r="BY14" s="25" t="n"/>
      <c r="BZ14" s="25" t="n"/>
      <c r="CA14" s="25" t="n"/>
      <c r="CB14" s="25" t="n"/>
      <c r="CC14" s="25" t="n"/>
      <c r="CD14" s="25" t="n"/>
      <c r="CE14" s="25" t="n"/>
      <c r="CF14" s="25" t="n"/>
      <c r="CG14" s="25" t="n"/>
      <c r="CH14" s="25" t="n"/>
      <c r="CI14" s="25" t="n"/>
      <c r="CJ14" s="25" t="n"/>
      <c r="CK14" s="25" t="n"/>
      <c r="CL14" s="25" t="n"/>
      <c r="CM14" s="25" t="n"/>
      <c r="CN14" s="25" t="n"/>
      <c r="CO14" s="25" t="n"/>
      <c r="CP14" s="25" t="n"/>
      <c r="CQ14" s="25" t="n"/>
      <c r="CR14" s="25" t="n"/>
      <c r="CS14" s="25" t="n"/>
      <c r="CT14" s="25" t="n"/>
      <c r="CU14" s="25" t="n"/>
      <c r="CV14" s="25" t="n"/>
      <c r="CW14" s="25" t="n"/>
      <c r="CX14" s="25" t="n"/>
      <c r="CY14" s="25" t="n"/>
      <c r="CZ14" s="25" t="n"/>
      <c r="DA14" s="25" t="n"/>
      <c r="DB14" s="25" t="n"/>
      <c r="DC14" s="25" t="n"/>
    </row>
    <row r="15">
      <c r="B15" s="5" t="inlineStr">
        <is>
          <t>合計在庫(週末時点,kg)</t>
        </is>
      </c>
      <c r="D15">
        <f>'Grid_Stock'!B2</f>
        <v/>
      </c>
      <c r="E15">
        <f>'Grid_Stock'!C2</f>
        <v/>
      </c>
      <c r="F15">
        <f>'Grid_Stock'!D2</f>
        <v/>
      </c>
      <c r="G15">
        <f>'Grid_Stock'!E2</f>
        <v/>
      </c>
      <c r="H15">
        <f>'Grid_Stock'!F2</f>
        <v/>
      </c>
      <c r="I15">
        <f>'Grid_Stock'!G2</f>
        <v/>
      </c>
      <c r="J15">
        <f>'Grid_Stock'!H2</f>
        <v/>
      </c>
      <c r="K15">
        <f>'Grid_Stock'!I2</f>
        <v/>
      </c>
      <c r="L15">
        <f>'Grid_Stock'!J2</f>
        <v/>
      </c>
      <c r="M15">
        <f>'Grid_Stock'!K2</f>
        <v/>
      </c>
      <c r="N15">
        <f>'Grid_Stock'!L2</f>
        <v/>
      </c>
      <c r="O15">
        <f>'Grid_Stock'!M2</f>
        <v/>
      </c>
      <c r="P15">
        <f>'Grid_Stock'!N2</f>
        <v/>
      </c>
      <c r="Q15">
        <f>'Grid_Stock'!O2</f>
        <v/>
      </c>
      <c r="R15">
        <f>'Grid_Stock'!P2</f>
        <v/>
      </c>
      <c r="S15">
        <f>'Grid_Stock'!Q2</f>
        <v/>
      </c>
      <c r="T15">
        <f>'Grid_Stock'!R2</f>
        <v/>
      </c>
      <c r="U15">
        <f>'Grid_Stock'!S2</f>
        <v/>
      </c>
      <c r="V15">
        <f>'Grid_Stock'!T2</f>
        <v/>
      </c>
      <c r="W15">
        <f>'Grid_Stock'!U2</f>
        <v/>
      </c>
      <c r="X15">
        <f>'Grid_Stock'!V2</f>
        <v/>
      </c>
      <c r="Y15">
        <f>'Grid_Stock'!W2</f>
        <v/>
      </c>
      <c r="Z15">
        <f>'Grid_Stock'!X2</f>
        <v/>
      </c>
      <c r="AA15">
        <f>'Grid_Stock'!Y2</f>
        <v/>
      </c>
      <c r="AB15">
        <f>'Grid_Stock'!Z2</f>
        <v/>
      </c>
      <c r="AC15">
        <f>'Grid_Stock'!AA2</f>
        <v/>
      </c>
      <c r="AD15">
        <f>'Grid_Stock'!AB2</f>
        <v/>
      </c>
      <c r="AE15">
        <f>'Grid_Stock'!AC2</f>
        <v/>
      </c>
      <c r="AF15">
        <f>'Grid_Stock'!AD2</f>
        <v/>
      </c>
      <c r="AG15">
        <f>'Grid_Stock'!AE2</f>
        <v/>
      </c>
      <c r="AH15">
        <f>'Grid_Stock'!AF2</f>
        <v/>
      </c>
      <c r="AI15">
        <f>'Grid_Stock'!AG2</f>
        <v/>
      </c>
      <c r="AJ15">
        <f>'Grid_Stock'!AH2</f>
        <v/>
      </c>
      <c r="AK15">
        <f>'Grid_Stock'!AI2</f>
        <v/>
      </c>
      <c r="AL15">
        <f>'Grid_Stock'!AJ2</f>
        <v/>
      </c>
      <c r="AM15">
        <f>'Grid_Stock'!AK2</f>
        <v/>
      </c>
      <c r="AN15">
        <f>'Grid_Stock'!AL2</f>
        <v/>
      </c>
      <c r="AO15">
        <f>'Grid_Stock'!AM2</f>
        <v/>
      </c>
      <c r="AP15">
        <f>'Grid_Stock'!AN2</f>
        <v/>
      </c>
      <c r="AQ15">
        <f>'Grid_Stock'!AO2</f>
        <v/>
      </c>
      <c r="AR15">
        <f>'Grid_Stock'!AP2</f>
        <v/>
      </c>
      <c r="AS15">
        <f>'Grid_Stock'!AQ2</f>
        <v/>
      </c>
      <c r="AT15">
        <f>'Grid_Stock'!AR2</f>
        <v/>
      </c>
      <c r="AU15">
        <f>'Grid_Stock'!AS2</f>
        <v/>
      </c>
      <c r="AV15">
        <f>'Grid_Stock'!AT2</f>
        <v/>
      </c>
      <c r="AW15">
        <f>'Grid_Stock'!AU2</f>
        <v/>
      </c>
      <c r="AX15">
        <f>'Grid_Stock'!AV2</f>
        <v/>
      </c>
      <c r="AY15">
        <f>'Grid_Stock'!AW2</f>
        <v/>
      </c>
      <c r="AZ15">
        <f>'Grid_Stock'!AX2</f>
        <v/>
      </c>
      <c r="BA15">
        <f>'Grid_Stock'!AY2</f>
        <v/>
      </c>
      <c r="BB15">
        <f>'Grid_Stock'!AZ2</f>
        <v/>
      </c>
      <c r="BC15">
        <f>'Grid_Stock'!BA2</f>
        <v/>
      </c>
      <c r="BD15">
        <f>'Grid_Stock'!BB2</f>
        <v/>
      </c>
      <c r="BE15">
        <f>'Grid_Stock'!BC2</f>
        <v/>
      </c>
      <c r="BF15">
        <f>'Grid_Stock'!BD2</f>
        <v/>
      </c>
      <c r="BG15">
        <f>'Grid_Stock'!BE2</f>
        <v/>
      </c>
      <c r="BH15">
        <f>'Grid_Stock'!BF2</f>
        <v/>
      </c>
      <c r="BI15">
        <f>'Grid_Stock'!BG2</f>
        <v/>
      </c>
      <c r="BJ15">
        <f>'Grid_Stock'!BH2</f>
        <v/>
      </c>
      <c r="BK15">
        <f>'Grid_Stock'!BI2</f>
        <v/>
      </c>
      <c r="BL15">
        <f>'Grid_Stock'!BJ2</f>
        <v/>
      </c>
      <c r="BM15">
        <f>'Grid_Stock'!BK2</f>
        <v/>
      </c>
      <c r="BN15">
        <f>'Grid_Stock'!BL2</f>
        <v/>
      </c>
      <c r="BO15">
        <f>'Grid_Stock'!BM2</f>
        <v/>
      </c>
      <c r="BP15">
        <f>'Grid_Stock'!BN2</f>
        <v/>
      </c>
      <c r="BQ15">
        <f>'Grid_Stock'!BO2</f>
        <v/>
      </c>
      <c r="BR15">
        <f>'Grid_Stock'!BP2</f>
        <v/>
      </c>
      <c r="BS15">
        <f>'Grid_Stock'!BQ2</f>
        <v/>
      </c>
      <c r="BT15">
        <f>'Grid_Stock'!BR2</f>
        <v/>
      </c>
      <c r="BU15">
        <f>'Grid_Stock'!BS2</f>
        <v/>
      </c>
      <c r="BV15">
        <f>'Grid_Stock'!BT2</f>
        <v/>
      </c>
      <c r="BW15">
        <f>'Grid_Stock'!BU2</f>
        <v/>
      </c>
      <c r="BX15">
        <f>'Grid_Stock'!BV2</f>
        <v/>
      </c>
      <c r="BY15">
        <f>'Grid_Stock'!BW2</f>
        <v/>
      </c>
      <c r="BZ15">
        <f>'Grid_Stock'!BX2</f>
        <v/>
      </c>
      <c r="CA15">
        <f>'Grid_Stock'!BY2</f>
        <v/>
      </c>
      <c r="CB15">
        <f>'Grid_Stock'!BZ2</f>
        <v/>
      </c>
      <c r="CC15">
        <f>'Grid_Stock'!CA2</f>
        <v/>
      </c>
      <c r="CD15">
        <f>'Grid_Stock'!CB2</f>
        <v/>
      </c>
      <c r="CE15">
        <f>'Grid_Stock'!CC2</f>
        <v/>
      </c>
      <c r="CF15">
        <f>'Grid_Stock'!CD2</f>
        <v/>
      </c>
      <c r="CG15">
        <f>'Grid_Stock'!CE2</f>
        <v/>
      </c>
      <c r="CH15">
        <f>'Grid_Stock'!CF2</f>
        <v/>
      </c>
      <c r="CI15">
        <f>'Grid_Stock'!CG2</f>
        <v/>
      </c>
      <c r="CJ15">
        <f>'Grid_Stock'!CH2</f>
        <v/>
      </c>
      <c r="CK15">
        <f>'Grid_Stock'!CI2</f>
        <v/>
      </c>
      <c r="CL15">
        <f>'Grid_Stock'!CJ2</f>
        <v/>
      </c>
      <c r="CM15">
        <f>'Grid_Stock'!CK2</f>
        <v/>
      </c>
      <c r="CN15">
        <f>'Grid_Stock'!CL2</f>
        <v/>
      </c>
      <c r="CO15">
        <f>'Grid_Stock'!CM2</f>
        <v/>
      </c>
      <c r="CP15">
        <f>'Grid_Stock'!CN2</f>
        <v/>
      </c>
      <c r="CQ15">
        <f>'Grid_Stock'!CO2</f>
        <v/>
      </c>
      <c r="CR15">
        <f>'Grid_Stock'!CP2</f>
        <v/>
      </c>
      <c r="CS15">
        <f>'Grid_Stock'!CQ2</f>
        <v/>
      </c>
      <c r="CT15">
        <f>'Grid_Stock'!CR2</f>
        <v/>
      </c>
      <c r="CU15">
        <f>'Grid_Stock'!CS2</f>
        <v/>
      </c>
      <c r="CV15">
        <f>'Grid_Stock'!CT2</f>
        <v/>
      </c>
      <c r="CW15">
        <f>'Grid_Stock'!CU2</f>
        <v/>
      </c>
      <c r="CX15">
        <f>'Grid_Stock'!CV2</f>
        <v/>
      </c>
      <c r="CY15">
        <f>'Grid_Stock'!CW2</f>
        <v/>
      </c>
      <c r="CZ15">
        <f>'Grid_Stock'!CX2</f>
        <v/>
      </c>
      <c r="DA15">
        <f>'Grid_Stock'!CY2</f>
        <v/>
      </c>
      <c r="DB15">
        <f>'Grid_Stock'!CZ2</f>
        <v/>
      </c>
      <c r="DC15">
        <f>'Grid_Stock'!DA2</f>
        <v/>
      </c>
    </row>
    <row r="16">
      <c r="B16" s="26" t="inlineStr">
        <is>
          <t>（発注の目安はDashboardの基準在庫[下限/上限]と色分けを参照）</t>
        </is>
      </c>
    </row>
    <row r="18">
      <c r="A18" s="21" t="inlineStr">
        <is>
          <t>1EK</t>
        </is>
      </c>
      <c r="B18" s="21" t="inlineStr">
        <is>
          <t>Substrate NGK TP166-103-105xT1</t>
        </is>
      </c>
      <c r="C18" s="22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  <c r="CA18" s="21" t="n"/>
      <c r="CB18" s="21" t="n"/>
      <c r="CC18" s="21" t="n"/>
      <c r="CD18" s="21" t="n"/>
      <c r="CE18" s="21" t="n"/>
      <c r="CF18" s="21" t="n"/>
      <c r="CG18" s="21" t="n"/>
      <c r="CH18" s="21" t="n"/>
      <c r="CI18" s="21" t="n"/>
      <c r="CJ18" s="21" t="n"/>
      <c r="CK18" s="21" t="n"/>
      <c r="CL18" s="21" t="n"/>
      <c r="CM18" s="21" t="n"/>
      <c r="CN18" s="21" t="n"/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</row>
    <row r="19">
      <c r="B19" t="inlineStr">
        <is>
          <t>0T480</t>
        </is>
      </c>
      <c r="C19" t="inlineStr">
        <is>
          <t>No. of batches</t>
        </is>
      </c>
      <c r="D19">
        <f>IFERROR(INDEX(PP_Grid[#Data],$DD19,2),0)</f>
        <v/>
      </c>
      <c r="E19">
        <f>IFERROR(INDEX(PP_Grid[#Data],$DD19,3),0)</f>
        <v/>
      </c>
      <c r="F19">
        <f>IFERROR(INDEX(PP_Grid[#Data],$DD19,4),0)</f>
        <v/>
      </c>
      <c r="G19">
        <f>IFERROR(INDEX(PP_Grid[#Data],$DD19,5),0)</f>
        <v/>
      </c>
      <c r="H19">
        <f>IFERROR(INDEX(PP_Grid[#Data],$DD19,6),0)</f>
        <v/>
      </c>
      <c r="I19">
        <f>IFERROR(INDEX(PP_Grid[#Data],$DD19,7),0)</f>
        <v/>
      </c>
      <c r="J19">
        <f>IFERROR(INDEX(PP_Grid[#Data],$DD19,8),0)</f>
        <v/>
      </c>
      <c r="K19">
        <f>IFERROR(INDEX(PP_Grid[#Data],$DD19,9),0)</f>
        <v/>
      </c>
      <c r="L19">
        <f>IFERROR(INDEX(PP_Grid[#Data],$DD19,10),0)</f>
        <v/>
      </c>
      <c r="M19">
        <f>IFERROR(INDEX(PP_Grid[#Data],$DD19,11),0)</f>
        <v/>
      </c>
      <c r="N19">
        <f>IFERROR(INDEX(PP_Grid[#Data],$DD19,12),0)</f>
        <v/>
      </c>
      <c r="O19">
        <f>IFERROR(INDEX(PP_Grid[#Data],$DD19,13),0)</f>
        <v/>
      </c>
      <c r="P19">
        <f>IFERROR(INDEX(PP_Grid[#Data],$DD19,14),0)</f>
        <v/>
      </c>
      <c r="Q19">
        <f>IFERROR(INDEX(PP_Grid[#Data],$DD19,15),0)</f>
        <v/>
      </c>
      <c r="R19">
        <f>IFERROR(INDEX(PP_Grid[#Data],$DD19,16),0)</f>
        <v/>
      </c>
      <c r="S19">
        <f>IFERROR(INDEX(PP_Grid[#Data],$DD19,17),0)</f>
        <v/>
      </c>
      <c r="T19">
        <f>IFERROR(INDEX(PP_Grid[#Data],$DD19,18),0)</f>
        <v/>
      </c>
      <c r="U19">
        <f>IFERROR(INDEX(PP_Grid[#Data],$DD19,19),0)</f>
        <v/>
      </c>
      <c r="V19">
        <f>IFERROR(INDEX(PP_Grid[#Data],$DD19,20),0)</f>
        <v/>
      </c>
      <c r="W19">
        <f>IFERROR(INDEX(PP_Grid[#Data],$DD19,21),0)</f>
        <v/>
      </c>
      <c r="X19">
        <f>IFERROR(INDEX(PP_Grid[#Data],$DD19,22),0)</f>
        <v/>
      </c>
      <c r="Y19">
        <f>IFERROR(INDEX(PP_Grid[#Data],$DD19,23),0)</f>
        <v/>
      </c>
      <c r="Z19">
        <f>IFERROR(INDEX(PP_Grid[#Data],$DD19,24),0)</f>
        <v/>
      </c>
      <c r="AA19">
        <f>IFERROR(INDEX(PP_Grid[#Data],$DD19,25),0)</f>
        <v/>
      </c>
      <c r="AB19">
        <f>IFERROR(INDEX(PP_Grid[#Data],$DD19,26),0)</f>
        <v/>
      </c>
      <c r="AC19">
        <f>IFERROR(INDEX(PP_Grid[#Data],$DD19,27),0)</f>
        <v/>
      </c>
      <c r="AD19">
        <f>IFERROR(INDEX(PP_Grid[#Data],$DD19,28),0)</f>
        <v/>
      </c>
      <c r="AE19">
        <f>IFERROR(INDEX(PP_Grid[#Data],$DD19,29),0)</f>
        <v/>
      </c>
      <c r="AF19">
        <f>IFERROR(INDEX(PP_Grid[#Data],$DD19,30),0)</f>
        <v/>
      </c>
      <c r="AG19">
        <f>IFERROR(INDEX(PP_Grid[#Data],$DD19,31),0)</f>
        <v/>
      </c>
      <c r="AH19">
        <f>IFERROR(INDEX(PP_Grid[#Data],$DD19,32),0)</f>
        <v/>
      </c>
      <c r="AI19">
        <f>IFERROR(INDEX(PP_Grid[#Data],$DD19,33),0)</f>
        <v/>
      </c>
      <c r="AJ19">
        <f>IFERROR(INDEX(PP_Grid[#Data],$DD19,34),0)</f>
        <v/>
      </c>
      <c r="AK19">
        <f>IFERROR(INDEX(PP_Grid[#Data],$DD19,35),0)</f>
        <v/>
      </c>
      <c r="AL19">
        <f>IFERROR(INDEX(PP_Grid[#Data],$DD19,36),0)</f>
        <v/>
      </c>
      <c r="AM19">
        <f>IFERROR(INDEX(PP_Grid[#Data],$DD19,37),0)</f>
        <v/>
      </c>
      <c r="AN19">
        <f>IFERROR(INDEX(PP_Grid[#Data],$DD19,38),0)</f>
        <v/>
      </c>
      <c r="AO19">
        <f>IFERROR(INDEX(PP_Grid[#Data],$DD19,39),0)</f>
        <v/>
      </c>
      <c r="AP19">
        <f>IFERROR(INDEX(PP_Grid[#Data],$DD19,40),0)</f>
        <v/>
      </c>
      <c r="AQ19">
        <f>IFERROR(INDEX(PP_Grid[#Data],$DD19,41),0)</f>
        <v/>
      </c>
      <c r="AR19">
        <f>IFERROR(INDEX(PP_Grid[#Data],$DD19,42),0)</f>
        <v/>
      </c>
      <c r="AS19">
        <f>IFERROR(INDEX(PP_Grid[#Data],$DD19,43),0)</f>
        <v/>
      </c>
      <c r="AT19">
        <f>IFERROR(INDEX(PP_Grid[#Data],$DD19,44),0)</f>
        <v/>
      </c>
      <c r="AU19">
        <f>IFERROR(INDEX(PP_Grid[#Data],$DD19,45),0)</f>
        <v/>
      </c>
      <c r="AV19">
        <f>IFERROR(INDEX(PP_Grid[#Data],$DD19,46),0)</f>
        <v/>
      </c>
      <c r="AW19">
        <f>IFERROR(INDEX(PP_Grid[#Data],$DD19,47),0)</f>
        <v/>
      </c>
      <c r="AX19">
        <f>IFERROR(INDEX(PP_Grid[#Data],$DD19,48),0)</f>
        <v/>
      </c>
      <c r="AY19">
        <f>IFERROR(INDEX(PP_Grid[#Data],$DD19,49),0)</f>
        <v/>
      </c>
      <c r="AZ19">
        <f>IFERROR(INDEX(PP_Grid[#Data],$DD19,50),0)</f>
        <v/>
      </c>
      <c r="BA19">
        <f>IFERROR(INDEX(PP_Grid[#Data],$DD19,51),0)</f>
        <v/>
      </c>
      <c r="BB19">
        <f>IFERROR(INDEX(PP_Grid[#Data],$DD19,52),0)</f>
        <v/>
      </c>
      <c r="BC19">
        <f>IFERROR(INDEX(PP_Grid[#Data],$DD19,53),0)</f>
        <v/>
      </c>
      <c r="BD19">
        <f>IFERROR(INDEX(PP_Grid[#Data],$DD19,54),0)</f>
        <v/>
      </c>
      <c r="BE19">
        <f>IFERROR(INDEX(PP_Grid[#Data],$DD19,55),0)</f>
        <v/>
      </c>
      <c r="BF19">
        <f>IFERROR(INDEX(PP_Grid[#Data],$DD19,56),0)</f>
        <v/>
      </c>
      <c r="BG19">
        <f>IFERROR(INDEX(PP_Grid[#Data],$DD19,57),0)</f>
        <v/>
      </c>
      <c r="BH19">
        <f>IFERROR(INDEX(PP_Grid[#Data],$DD19,58),0)</f>
        <v/>
      </c>
      <c r="BI19">
        <f>IFERROR(INDEX(PP_Grid[#Data],$DD19,59),0)</f>
        <v/>
      </c>
      <c r="BJ19">
        <f>IFERROR(INDEX(PP_Grid[#Data],$DD19,60),0)</f>
        <v/>
      </c>
      <c r="BK19">
        <f>IFERROR(INDEX(PP_Grid[#Data],$DD19,61),0)</f>
        <v/>
      </c>
      <c r="BL19">
        <f>IFERROR(INDEX(PP_Grid[#Data],$DD19,62),0)</f>
        <v/>
      </c>
      <c r="BM19">
        <f>IFERROR(INDEX(PP_Grid[#Data],$DD19,63),0)</f>
        <v/>
      </c>
      <c r="BN19">
        <f>IFERROR(INDEX(PP_Grid[#Data],$DD19,64),0)</f>
        <v/>
      </c>
      <c r="BO19">
        <f>IFERROR(INDEX(PP_Grid[#Data],$DD19,65),0)</f>
        <v/>
      </c>
      <c r="BP19">
        <f>IFERROR(INDEX(PP_Grid[#Data],$DD19,66),0)</f>
        <v/>
      </c>
      <c r="BQ19">
        <f>IFERROR(INDEX(PP_Grid[#Data],$DD19,67),0)</f>
        <v/>
      </c>
      <c r="BR19">
        <f>IFERROR(INDEX(PP_Grid[#Data],$DD19,68),0)</f>
        <v/>
      </c>
      <c r="BS19">
        <f>IFERROR(INDEX(PP_Grid[#Data],$DD19,69),0)</f>
        <v/>
      </c>
      <c r="BT19">
        <f>IFERROR(INDEX(PP_Grid[#Data],$DD19,70),0)</f>
        <v/>
      </c>
      <c r="BU19">
        <f>IFERROR(INDEX(PP_Grid[#Data],$DD19,71),0)</f>
        <v/>
      </c>
      <c r="BV19">
        <f>IFERROR(INDEX(PP_Grid[#Data],$DD19,72),0)</f>
        <v/>
      </c>
      <c r="BW19">
        <f>IFERROR(INDEX(PP_Grid[#Data],$DD19,73),0)</f>
        <v/>
      </c>
      <c r="BX19">
        <f>IFERROR(INDEX(PP_Grid[#Data],$DD19,74),0)</f>
        <v/>
      </c>
      <c r="BY19">
        <f>IFERROR(INDEX(PP_Grid[#Data],$DD19,75),0)</f>
        <v/>
      </c>
      <c r="BZ19">
        <f>IFERROR(INDEX(PP_Grid[#Data],$DD19,76),0)</f>
        <v/>
      </c>
      <c r="CA19">
        <f>IFERROR(INDEX(PP_Grid[#Data],$DD19,77),0)</f>
        <v/>
      </c>
      <c r="CB19">
        <f>IFERROR(INDEX(PP_Grid[#Data],$DD19,78),0)</f>
        <v/>
      </c>
      <c r="CC19">
        <f>IFERROR(INDEX(PP_Grid[#Data],$DD19,79),0)</f>
        <v/>
      </c>
      <c r="CD19">
        <f>IFERROR(INDEX(PP_Grid[#Data],$DD19,80),0)</f>
        <v/>
      </c>
      <c r="CE19">
        <f>IFERROR(INDEX(PP_Grid[#Data],$DD19,81),0)</f>
        <v/>
      </c>
      <c r="CF19">
        <f>IFERROR(INDEX(PP_Grid[#Data],$DD19,82),0)</f>
        <v/>
      </c>
      <c r="CG19">
        <f>IFERROR(INDEX(PP_Grid[#Data],$DD19,83),0)</f>
        <v/>
      </c>
      <c r="CH19">
        <f>IFERROR(INDEX(PP_Grid[#Data],$DD19,84),0)</f>
        <v/>
      </c>
      <c r="CI19">
        <f>IFERROR(INDEX(PP_Grid[#Data],$DD19,85),0)</f>
        <v/>
      </c>
      <c r="CJ19">
        <f>IFERROR(INDEX(PP_Grid[#Data],$DD19,86),0)</f>
        <v/>
      </c>
      <c r="CK19">
        <f>IFERROR(INDEX(PP_Grid[#Data],$DD19,87),0)</f>
        <v/>
      </c>
      <c r="CL19">
        <f>IFERROR(INDEX(PP_Grid[#Data],$DD19,88),0)</f>
        <v/>
      </c>
      <c r="CM19">
        <f>IFERROR(INDEX(PP_Grid[#Data],$DD19,89),0)</f>
        <v/>
      </c>
      <c r="CN19">
        <f>IFERROR(INDEX(PP_Grid[#Data],$DD19,90),0)</f>
        <v/>
      </c>
      <c r="CO19">
        <f>IFERROR(INDEX(PP_Grid[#Data],$DD19,91),0)</f>
        <v/>
      </c>
      <c r="CP19">
        <f>IFERROR(INDEX(PP_Grid[#Data],$DD19,92),0)</f>
        <v/>
      </c>
      <c r="CQ19">
        <f>IFERROR(INDEX(PP_Grid[#Data],$DD19,93),0)</f>
        <v/>
      </c>
      <c r="CR19">
        <f>IFERROR(INDEX(PP_Grid[#Data],$DD19,94),0)</f>
        <v/>
      </c>
      <c r="CS19">
        <f>IFERROR(INDEX(PP_Grid[#Data],$DD19,95),0)</f>
        <v/>
      </c>
      <c r="CT19">
        <f>IFERROR(INDEX(PP_Grid[#Data],$DD19,96),0)</f>
        <v/>
      </c>
      <c r="CU19">
        <f>IFERROR(INDEX(PP_Grid[#Data],$DD19,97),0)</f>
        <v/>
      </c>
      <c r="CV19">
        <f>IFERROR(INDEX(PP_Grid[#Data],$DD19,98),0)</f>
        <v/>
      </c>
      <c r="CW19">
        <f>IFERROR(INDEX(PP_Grid[#Data],$DD19,99),0)</f>
        <v/>
      </c>
      <c r="CX19">
        <f>IFERROR(INDEX(PP_Grid[#Data],$DD19,100),0)</f>
        <v/>
      </c>
      <c r="CY19">
        <f>IFERROR(INDEX(PP_Grid[#Data],$DD19,101),0)</f>
        <v/>
      </c>
      <c r="CZ19">
        <f>IFERROR(INDEX(PP_Grid[#Data],$DD19,102),0)</f>
        <v/>
      </c>
      <c r="DA19">
        <f>IFERROR(INDEX(PP_Grid[#Data],$DD19,103),0)</f>
        <v/>
      </c>
      <c r="DB19">
        <f>IFERROR(INDEX(PP_Grid[#Data],$DD19,104),0)</f>
        <v/>
      </c>
      <c r="DC19">
        <f>IFERROR(INDEX(PP_Grid[#Data],$DD19,105),0)</f>
        <v/>
      </c>
      <c r="DD19" s="12">
        <f>IFERROR(MATCH($B19,PP_Grid[Intermediate],0),99999)</f>
        <v/>
      </c>
    </row>
    <row r="20">
      <c r="B20" t="inlineStr">
        <is>
          <t>使用量(kg)</t>
        </is>
      </c>
      <c r="C20">
        <f>SUMIFS(M_BOM[RM_Qty_Per_Batch],M_BOM[Intermediate],$B19,M_BOM[Part Name],$A18)</f>
        <v/>
      </c>
      <c r="D20">
        <f>$C20*D19</f>
        <v/>
      </c>
      <c r="E20">
        <f>$C20*E19</f>
        <v/>
      </c>
      <c r="F20">
        <f>$C20*F19</f>
        <v/>
      </c>
      <c r="G20">
        <f>$C20*G19</f>
        <v/>
      </c>
      <c r="H20">
        <f>$C20*H19</f>
        <v/>
      </c>
      <c r="I20">
        <f>$C20*I19</f>
        <v/>
      </c>
      <c r="J20">
        <f>$C20*J19</f>
        <v/>
      </c>
      <c r="K20">
        <f>$C20*K19</f>
        <v/>
      </c>
      <c r="L20">
        <f>$C20*L19</f>
        <v/>
      </c>
      <c r="M20">
        <f>$C20*M19</f>
        <v/>
      </c>
      <c r="N20">
        <f>$C20*N19</f>
        <v/>
      </c>
      <c r="O20">
        <f>$C20*O19</f>
        <v/>
      </c>
      <c r="P20">
        <f>$C20*P19</f>
        <v/>
      </c>
      <c r="Q20">
        <f>$C20*Q19</f>
        <v/>
      </c>
      <c r="R20">
        <f>$C20*R19</f>
        <v/>
      </c>
      <c r="S20">
        <f>$C20*S19</f>
        <v/>
      </c>
      <c r="T20">
        <f>$C20*T19</f>
        <v/>
      </c>
      <c r="U20">
        <f>$C20*U19</f>
        <v/>
      </c>
      <c r="V20">
        <f>$C20*V19</f>
        <v/>
      </c>
      <c r="W20">
        <f>$C20*W19</f>
        <v/>
      </c>
      <c r="X20">
        <f>$C20*X19</f>
        <v/>
      </c>
      <c r="Y20">
        <f>$C20*Y19</f>
        <v/>
      </c>
      <c r="Z20">
        <f>$C20*Z19</f>
        <v/>
      </c>
      <c r="AA20">
        <f>$C20*AA19</f>
        <v/>
      </c>
      <c r="AB20">
        <f>$C20*AB19</f>
        <v/>
      </c>
      <c r="AC20">
        <f>$C20*AC19</f>
        <v/>
      </c>
      <c r="AD20">
        <f>$C20*AD19</f>
        <v/>
      </c>
      <c r="AE20">
        <f>$C20*AE19</f>
        <v/>
      </c>
      <c r="AF20">
        <f>$C20*AF19</f>
        <v/>
      </c>
      <c r="AG20">
        <f>$C20*AG19</f>
        <v/>
      </c>
      <c r="AH20">
        <f>$C20*AH19</f>
        <v/>
      </c>
      <c r="AI20">
        <f>$C20*AI19</f>
        <v/>
      </c>
      <c r="AJ20">
        <f>$C20*AJ19</f>
        <v/>
      </c>
      <c r="AK20">
        <f>$C20*AK19</f>
        <v/>
      </c>
      <c r="AL20">
        <f>$C20*AL19</f>
        <v/>
      </c>
      <c r="AM20">
        <f>$C20*AM19</f>
        <v/>
      </c>
      <c r="AN20">
        <f>$C20*AN19</f>
        <v/>
      </c>
      <c r="AO20">
        <f>$C20*AO19</f>
        <v/>
      </c>
      <c r="AP20">
        <f>$C20*AP19</f>
        <v/>
      </c>
      <c r="AQ20">
        <f>$C20*AQ19</f>
        <v/>
      </c>
      <c r="AR20">
        <f>$C20*AR19</f>
        <v/>
      </c>
      <c r="AS20">
        <f>$C20*AS19</f>
        <v/>
      </c>
      <c r="AT20">
        <f>$C20*AT19</f>
        <v/>
      </c>
      <c r="AU20">
        <f>$C20*AU19</f>
        <v/>
      </c>
      <c r="AV20">
        <f>$C20*AV19</f>
        <v/>
      </c>
      <c r="AW20">
        <f>$C20*AW19</f>
        <v/>
      </c>
      <c r="AX20">
        <f>$C20*AX19</f>
        <v/>
      </c>
      <c r="AY20">
        <f>$C20*AY19</f>
        <v/>
      </c>
      <c r="AZ20">
        <f>$C20*AZ19</f>
        <v/>
      </c>
      <c r="BA20">
        <f>$C20*BA19</f>
        <v/>
      </c>
      <c r="BB20">
        <f>$C20*BB19</f>
        <v/>
      </c>
      <c r="BC20">
        <f>$C20*BC19</f>
        <v/>
      </c>
      <c r="BD20">
        <f>$C20*BD19</f>
        <v/>
      </c>
      <c r="BE20">
        <f>$C20*BE19</f>
        <v/>
      </c>
      <c r="BF20">
        <f>$C20*BF19</f>
        <v/>
      </c>
      <c r="BG20">
        <f>$C20*BG19</f>
        <v/>
      </c>
      <c r="BH20">
        <f>$C20*BH19</f>
        <v/>
      </c>
      <c r="BI20">
        <f>$C20*BI19</f>
        <v/>
      </c>
      <c r="BJ20">
        <f>$C20*BJ19</f>
        <v/>
      </c>
      <c r="BK20">
        <f>$C20*BK19</f>
        <v/>
      </c>
      <c r="BL20">
        <f>$C20*BL19</f>
        <v/>
      </c>
      <c r="BM20">
        <f>$C20*BM19</f>
        <v/>
      </c>
      <c r="BN20">
        <f>$C20*BN19</f>
        <v/>
      </c>
      <c r="BO20">
        <f>$C20*BO19</f>
        <v/>
      </c>
      <c r="BP20">
        <f>$C20*BP19</f>
        <v/>
      </c>
      <c r="BQ20">
        <f>$C20*BQ19</f>
        <v/>
      </c>
      <c r="BR20">
        <f>$C20*BR19</f>
        <v/>
      </c>
      <c r="BS20">
        <f>$C20*BS19</f>
        <v/>
      </c>
      <c r="BT20">
        <f>$C20*BT19</f>
        <v/>
      </c>
      <c r="BU20">
        <f>$C20*BU19</f>
        <v/>
      </c>
      <c r="BV20">
        <f>$C20*BV19</f>
        <v/>
      </c>
      <c r="BW20">
        <f>$C20*BW19</f>
        <v/>
      </c>
      <c r="BX20">
        <f>$C20*BX19</f>
        <v/>
      </c>
      <c r="BY20">
        <f>$C20*BY19</f>
        <v/>
      </c>
      <c r="BZ20">
        <f>$C20*BZ19</f>
        <v/>
      </c>
      <c r="CA20">
        <f>$C20*CA19</f>
        <v/>
      </c>
      <c r="CB20">
        <f>$C20*CB19</f>
        <v/>
      </c>
      <c r="CC20">
        <f>$C20*CC19</f>
        <v/>
      </c>
      <c r="CD20">
        <f>$C20*CD19</f>
        <v/>
      </c>
      <c r="CE20">
        <f>$C20*CE19</f>
        <v/>
      </c>
      <c r="CF20">
        <f>$C20*CF19</f>
        <v/>
      </c>
      <c r="CG20">
        <f>$C20*CG19</f>
        <v/>
      </c>
      <c r="CH20">
        <f>$C20*CH19</f>
        <v/>
      </c>
      <c r="CI20">
        <f>$C20*CI19</f>
        <v/>
      </c>
      <c r="CJ20">
        <f>$C20*CJ19</f>
        <v/>
      </c>
      <c r="CK20">
        <f>$C20*CK19</f>
        <v/>
      </c>
      <c r="CL20">
        <f>$C20*CL19</f>
        <v/>
      </c>
      <c r="CM20">
        <f>$C20*CM19</f>
        <v/>
      </c>
      <c r="CN20">
        <f>$C20*CN19</f>
        <v/>
      </c>
      <c r="CO20">
        <f>$C20*CO19</f>
        <v/>
      </c>
      <c r="CP20">
        <f>$C20*CP19</f>
        <v/>
      </c>
      <c r="CQ20">
        <f>$C20*CQ19</f>
        <v/>
      </c>
      <c r="CR20">
        <f>$C20*CR19</f>
        <v/>
      </c>
      <c r="CS20">
        <f>$C20*CS19</f>
        <v/>
      </c>
      <c r="CT20">
        <f>$C20*CT19</f>
        <v/>
      </c>
      <c r="CU20">
        <f>$C20*CU19</f>
        <v/>
      </c>
      <c r="CV20">
        <f>$C20*CV19</f>
        <v/>
      </c>
      <c r="CW20">
        <f>$C20*CW19</f>
        <v/>
      </c>
      <c r="CX20">
        <f>$C20*CX19</f>
        <v/>
      </c>
      <c r="CY20">
        <f>$C20*CY19</f>
        <v/>
      </c>
      <c r="CZ20">
        <f>$C20*CZ19</f>
        <v/>
      </c>
      <c r="DA20">
        <f>$C20*DA19</f>
        <v/>
      </c>
      <c r="DB20">
        <f>$C20*DB19</f>
        <v/>
      </c>
      <c r="DC20">
        <f>$C20*DC19</f>
        <v/>
      </c>
    </row>
    <row r="21">
      <c r="B21" t="inlineStr">
        <is>
          <t>0T690</t>
        </is>
      </c>
      <c r="C21" t="inlineStr">
        <is>
          <t>No. of batches</t>
        </is>
      </c>
      <c r="D21">
        <f>IFERROR(INDEX(PP_Grid[#Data],$DD21,2),0)</f>
        <v/>
      </c>
      <c r="E21">
        <f>IFERROR(INDEX(PP_Grid[#Data],$DD21,3),0)</f>
        <v/>
      </c>
      <c r="F21">
        <f>IFERROR(INDEX(PP_Grid[#Data],$DD21,4),0)</f>
        <v/>
      </c>
      <c r="G21">
        <f>IFERROR(INDEX(PP_Grid[#Data],$DD21,5),0)</f>
        <v/>
      </c>
      <c r="H21">
        <f>IFERROR(INDEX(PP_Grid[#Data],$DD21,6),0)</f>
        <v/>
      </c>
      <c r="I21">
        <f>IFERROR(INDEX(PP_Grid[#Data],$DD21,7),0)</f>
        <v/>
      </c>
      <c r="J21">
        <f>IFERROR(INDEX(PP_Grid[#Data],$DD21,8),0)</f>
        <v/>
      </c>
      <c r="K21">
        <f>IFERROR(INDEX(PP_Grid[#Data],$DD21,9),0)</f>
        <v/>
      </c>
      <c r="L21">
        <f>IFERROR(INDEX(PP_Grid[#Data],$DD21,10),0)</f>
        <v/>
      </c>
      <c r="M21">
        <f>IFERROR(INDEX(PP_Grid[#Data],$DD21,11),0)</f>
        <v/>
      </c>
      <c r="N21">
        <f>IFERROR(INDEX(PP_Grid[#Data],$DD21,12),0)</f>
        <v/>
      </c>
      <c r="O21">
        <f>IFERROR(INDEX(PP_Grid[#Data],$DD21,13),0)</f>
        <v/>
      </c>
      <c r="P21">
        <f>IFERROR(INDEX(PP_Grid[#Data],$DD21,14),0)</f>
        <v/>
      </c>
      <c r="Q21">
        <f>IFERROR(INDEX(PP_Grid[#Data],$DD21,15),0)</f>
        <v/>
      </c>
      <c r="R21">
        <f>IFERROR(INDEX(PP_Grid[#Data],$DD21,16),0)</f>
        <v/>
      </c>
      <c r="S21">
        <f>IFERROR(INDEX(PP_Grid[#Data],$DD21,17),0)</f>
        <v/>
      </c>
      <c r="T21">
        <f>IFERROR(INDEX(PP_Grid[#Data],$DD21,18),0)</f>
        <v/>
      </c>
      <c r="U21">
        <f>IFERROR(INDEX(PP_Grid[#Data],$DD21,19),0)</f>
        <v/>
      </c>
      <c r="V21">
        <f>IFERROR(INDEX(PP_Grid[#Data],$DD21,20),0)</f>
        <v/>
      </c>
      <c r="W21">
        <f>IFERROR(INDEX(PP_Grid[#Data],$DD21,21),0)</f>
        <v/>
      </c>
      <c r="X21">
        <f>IFERROR(INDEX(PP_Grid[#Data],$DD21,22),0)</f>
        <v/>
      </c>
      <c r="Y21">
        <f>IFERROR(INDEX(PP_Grid[#Data],$DD21,23),0)</f>
        <v/>
      </c>
      <c r="Z21">
        <f>IFERROR(INDEX(PP_Grid[#Data],$DD21,24),0)</f>
        <v/>
      </c>
      <c r="AA21">
        <f>IFERROR(INDEX(PP_Grid[#Data],$DD21,25),0)</f>
        <v/>
      </c>
      <c r="AB21">
        <f>IFERROR(INDEX(PP_Grid[#Data],$DD21,26),0)</f>
        <v/>
      </c>
      <c r="AC21">
        <f>IFERROR(INDEX(PP_Grid[#Data],$DD21,27),0)</f>
        <v/>
      </c>
      <c r="AD21">
        <f>IFERROR(INDEX(PP_Grid[#Data],$DD21,28),0)</f>
        <v/>
      </c>
      <c r="AE21">
        <f>IFERROR(INDEX(PP_Grid[#Data],$DD21,29),0)</f>
        <v/>
      </c>
      <c r="AF21">
        <f>IFERROR(INDEX(PP_Grid[#Data],$DD21,30),0)</f>
        <v/>
      </c>
      <c r="AG21">
        <f>IFERROR(INDEX(PP_Grid[#Data],$DD21,31),0)</f>
        <v/>
      </c>
      <c r="AH21">
        <f>IFERROR(INDEX(PP_Grid[#Data],$DD21,32),0)</f>
        <v/>
      </c>
      <c r="AI21">
        <f>IFERROR(INDEX(PP_Grid[#Data],$DD21,33),0)</f>
        <v/>
      </c>
      <c r="AJ21">
        <f>IFERROR(INDEX(PP_Grid[#Data],$DD21,34),0)</f>
        <v/>
      </c>
      <c r="AK21">
        <f>IFERROR(INDEX(PP_Grid[#Data],$DD21,35),0)</f>
        <v/>
      </c>
      <c r="AL21">
        <f>IFERROR(INDEX(PP_Grid[#Data],$DD21,36),0)</f>
        <v/>
      </c>
      <c r="AM21">
        <f>IFERROR(INDEX(PP_Grid[#Data],$DD21,37),0)</f>
        <v/>
      </c>
      <c r="AN21">
        <f>IFERROR(INDEX(PP_Grid[#Data],$DD21,38),0)</f>
        <v/>
      </c>
      <c r="AO21">
        <f>IFERROR(INDEX(PP_Grid[#Data],$DD21,39),0)</f>
        <v/>
      </c>
      <c r="AP21">
        <f>IFERROR(INDEX(PP_Grid[#Data],$DD21,40),0)</f>
        <v/>
      </c>
      <c r="AQ21">
        <f>IFERROR(INDEX(PP_Grid[#Data],$DD21,41),0)</f>
        <v/>
      </c>
      <c r="AR21">
        <f>IFERROR(INDEX(PP_Grid[#Data],$DD21,42),0)</f>
        <v/>
      </c>
      <c r="AS21">
        <f>IFERROR(INDEX(PP_Grid[#Data],$DD21,43),0)</f>
        <v/>
      </c>
      <c r="AT21">
        <f>IFERROR(INDEX(PP_Grid[#Data],$DD21,44),0)</f>
        <v/>
      </c>
      <c r="AU21">
        <f>IFERROR(INDEX(PP_Grid[#Data],$DD21,45),0)</f>
        <v/>
      </c>
      <c r="AV21">
        <f>IFERROR(INDEX(PP_Grid[#Data],$DD21,46),0)</f>
        <v/>
      </c>
      <c r="AW21">
        <f>IFERROR(INDEX(PP_Grid[#Data],$DD21,47),0)</f>
        <v/>
      </c>
      <c r="AX21">
        <f>IFERROR(INDEX(PP_Grid[#Data],$DD21,48),0)</f>
        <v/>
      </c>
      <c r="AY21">
        <f>IFERROR(INDEX(PP_Grid[#Data],$DD21,49),0)</f>
        <v/>
      </c>
      <c r="AZ21">
        <f>IFERROR(INDEX(PP_Grid[#Data],$DD21,50),0)</f>
        <v/>
      </c>
      <c r="BA21">
        <f>IFERROR(INDEX(PP_Grid[#Data],$DD21,51),0)</f>
        <v/>
      </c>
      <c r="BB21">
        <f>IFERROR(INDEX(PP_Grid[#Data],$DD21,52),0)</f>
        <v/>
      </c>
      <c r="BC21">
        <f>IFERROR(INDEX(PP_Grid[#Data],$DD21,53),0)</f>
        <v/>
      </c>
      <c r="BD21">
        <f>IFERROR(INDEX(PP_Grid[#Data],$DD21,54),0)</f>
        <v/>
      </c>
      <c r="BE21">
        <f>IFERROR(INDEX(PP_Grid[#Data],$DD21,55),0)</f>
        <v/>
      </c>
      <c r="BF21">
        <f>IFERROR(INDEX(PP_Grid[#Data],$DD21,56),0)</f>
        <v/>
      </c>
      <c r="BG21">
        <f>IFERROR(INDEX(PP_Grid[#Data],$DD21,57),0)</f>
        <v/>
      </c>
      <c r="BH21">
        <f>IFERROR(INDEX(PP_Grid[#Data],$DD21,58),0)</f>
        <v/>
      </c>
      <c r="BI21">
        <f>IFERROR(INDEX(PP_Grid[#Data],$DD21,59),0)</f>
        <v/>
      </c>
      <c r="BJ21">
        <f>IFERROR(INDEX(PP_Grid[#Data],$DD21,60),0)</f>
        <v/>
      </c>
      <c r="BK21">
        <f>IFERROR(INDEX(PP_Grid[#Data],$DD21,61),0)</f>
        <v/>
      </c>
      <c r="BL21">
        <f>IFERROR(INDEX(PP_Grid[#Data],$DD21,62),0)</f>
        <v/>
      </c>
      <c r="BM21">
        <f>IFERROR(INDEX(PP_Grid[#Data],$DD21,63),0)</f>
        <v/>
      </c>
      <c r="BN21">
        <f>IFERROR(INDEX(PP_Grid[#Data],$DD21,64),0)</f>
        <v/>
      </c>
      <c r="BO21">
        <f>IFERROR(INDEX(PP_Grid[#Data],$DD21,65),0)</f>
        <v/>
      </c>
      <c r="BP21">
        <f>IFERROR(INDEX(PP_Grid[#Data],$DD21,66),0)</f>
        <v/>
      </c>
      <c r="BQ21">
        <f>IFERROR(INDEX(PP_Grid[#Data],$DD21,67),0)</f>
        <v/>
      </c>
      <c r="BR21">
        <f>IFERROR(INDEX(PP_Grid[#Data],$DD21,68),0)</f>
        <v/>
      </c>
      <c r="BS21">
        <f>IFERROR(INDEX(PP_Grid[#Data],$DD21,69),0)</f>
        <v/>
      </c>
      <c r="BT21">
        <f>IFERROR(INDEX(PP_Grid[#Data],$DD21,70),0)</f>
        <v/>
      </c>
      <c r="BU21">
        <f>IFERROR(INDEX(PP_Grid[#Data],$DD21,71),0)</f>
        <v/>
      </c>
      <c r="BV21">
        <f>IFERROR(INDEX(PP_Grid[#Data],$DD21,72),0)</f>
        <v/>
      </c>
      <c r="BW21">
        <f>IFERROR(INDEX(PP_Grid[#Data],$DD21,73),0)</f>
        <v/>
      </c>
      <c r="BX21">
        <f>IFERROR(INDEX(PP_Grid[#Data],$DD21,74),0)</f>
        <v/>
      </c>
      <c r="BY21">
        <f>IFERROR(INDEX(PP_Grid[#Data],$DD21,75),0)</f>
        <v/>
      </c>
      <c r="BZ21">
        <f>IFERROR(INDEX(PP_Grid[#Data],$DD21,76),0)</f>
        <v/>
      </c>
      <c r="CA21">
        <f>IFERROR(INDEX(PP_Grid[#Data],$DD21,77),0)</f>
        <v/>
      </c>
      <c r="CB21">
        <f>IFERROR(INDEX(PP_Grid[#Data],$DD21,78),0)</f>
        <v/>
      </c>
      <c r="CC21">
        <f>IFERROR(INDEX(PP_Grid[#Data],$DD21,79),0)</f>
        <v/>
      </c>
      <c r="CD21">
        <f>IFERROR(INDEX(PP_Grid[#Data],$DD21,80),0)</f>
        <v/>
      </c>
      <c r="CE21">
        <f>IFERROR(INDEX(PP_Grid[#Data],$DD21,81),0)</f>
        <v/>
      </c>
      <c r="CF21">
        <f>IFERROR(INDEX(PP_Grid[#Data],$DD21,82),0)</f>
        <v/>
      </c>
      <c r="CG21">
        <f>IFERROR(INDEX(PP_Grid[#Data],$DD21,83),0)</f>
        <v/>
      </c>
      <c r="CH21">
        <f>IFERROR(INDEX(PP_Grid[#Data],$DD21,84),0)</f>
        <v/>
      </c>
      <c r="CI21">
        <f>IFERROR(INDEX(PP_Grid[#Data],$DD21,85),0)</f>
        <v/>
      </c>
      <c r="CJ21">
        <f>IFERROR(INDEX(PP_Grid[#Data],$DD21,86),0)</f>
        <v/>
      </c>
      <c r="CK21">
        <f>IFERROR(INDEX(PP_Grid[#Data],$DD21,87),0)</f>
        <v/>
      </c>
      <c r="CL21">
        <f>IFERROR(INDEX(PP_Grid[#Data],$DD21,88),0)</f>
        <v/>
      </c>
      <c r="CM21">
        <f>IFERROR(INDEX(PP_Grid[#Data],$DD21,89),0)</f>
        <v/>
      </c>
      <c r="CN21">
        <f>IFERROR(INDEX(PP_Grid[#Data],$DD21,90),0)</f>
        <v/>
      </c>
      <c r="CO21">
        <f>IFERROR(INDEX(PP_Grid[#Data],$DD21,91),0)</f>
        <v/>
      </c>
      <c r="CP21">
        <f>IFERROR(INDEX(PP_Grid[#Data],$DD21,92),0)</f>
        <v/>
      </c>
      <c r="CQ21">
        <f>IFERROR(INDEX(PP_Grid[#Data],$DD21,93),0)</f>
        <v/>
      </c>
      <c r="CR21">
        <f>IFERROR(INDEX(PP_Grid[#Data],$DD21,94),0)</f>
        <v/>
      </c>
      <c r="CS21">
        <f>IFERROR(INDEX(PP_Grid[#Data],$DD21,95),0)</f>
        <v/>
      </c>
      <c r="CT21">
        <f>IFERROR(INDEX(PP_Grid[#Data],$DD21,96),0)</f>
        <v/>
      </c>
      <c r="CU21">
        <f>IFERROR(INDEX(PP_Grid[#Data],$DD21,97),0)</f>
        <v/>
      </c>
      <c r="CV21">
        <f>IFERROR(INDEX(PP_Grid[#Data],$DD21,98),0)</f>
        <v/>
      </c>
      <c r="CW21">
        <f>IFERROR(INDEX(PP_Grid[#Data],$DD21,99),0)</f>
        <v/>
      </c>
      <c r="CX21">
        <f>IFERROR(INDEX(PP_Grid[#Data],$DD21,100),0)</f>
        <v/>
      </c>
      <c r="CY21">
        <f>IFERROR(INDEX(PP_Grid[#Data],$DD21,101),0)</f>
        <v/>
      </c>
      <c r="CZ21">
        <f>IFERROR(INDEX(PP_Grid[#Data],$DD21,102),0)</f>
        <v/>
      </c>
      <c r="DA21">
        <f>IFERROR(INDEX(PP_Grid[#Data],$DD21,103),0)</f>
        <v/>
      </c>
      <c r="DB21">
        <f>IFERROR(INDEX(PP_Grid[#Data],$DD21,104),0)</f>
        <v/>
      </c>
      <c r="DC21">
        <f>IFERROR(INDEX(PP_Grid[#Data],$DD21,105),0)</f>
        <v/>
      </c>
      <c r="DD21" s="12">
        <f>IFERROR(MATCH($B21,PP_Grid[Intermediate],0),99999)</f>
        <v/>
      </c>
    </row>
    <row r="22">
      <c r="B22" t="inlineStr">
        <is>
          <t>使用量(kg)</t>
        </is>
      </c>
      <c r="C22">
        <f>SUMIFS(M_BOM[RM_Qty_Per_Batch],M_BOM[Intermediate],$B21,M_BOM[Part Name],$A18)</f>
        <v/>
      </c>
      <c r="D22">
        <f>$C22*D21</f>
        <v/>
      </c>
      <c r="E22">
        <f>$C22*E21</f>
        <v/>
      </c>
      <c r="F22">
        <f>$C22*F21</f>
        <v/>
      </c>
      <c r="G22">
        <f>$C22*G21</f>
        <v/>
      </c>
      <c r="H22">
        <f>$C22*H21</f>
        <v/>
      </c>
      <c r="I22">
        <f>$C22*I21</f>
        <v/>
      </c>
      <c r="J22">
        <f>$C22*J21</f>
        <v/>
      </c>
      <c r="K22">
        <f>$C22*K21</f>
        <v/>
      </c>
      <c r="L22">
        <f>$C22*L21</f>
        <v/>
      </c>
      <c r="M22">
        <f>$C22*M21</f>
        <v/>
      </c>
      <c r="N22">
        <f>$C22*N21</f>
        <v/>
      </c>
      <c r="O22">
        <f>$C22*O21</f>
        <v/>
      </c>
      <c r="P22">
        <f>$C22*P21</f>
        <v/>
      </c>
      <c r="Q22">
        <f>$C22*Q21</f>
        <v/>
      </c>
      <c r="R22">
        <f>$C22*R21</f>
        <v/>
      </c>
      <c r="S22">
        <f>$C22*S21</f>
        <v/>
      </c>
      <c r="T22">
        <f>$C22*T21</f>
        <v/>
      </c>
      <c r="U22">
        <f>$C22*U21</f>
        <v/>
      </c>
      <c r="V22">
        <f>$C22*V21</f>
        <v/>
      </c>
      <c r="W22">
        <f>$C22*W21</f>
        <v/>
      </c>
      <c r="X22">
        <f>$C22*X21</f>
        <v/>
      </c>
      <c r="Y22">
        <f>$C22*Y21</f>
        <v/>
      </c>
      <c r="Z22">
        <f>$C22*Z21</f>
        <v/>
      </c>
      <c r="AA22">
        <f>$C22*AA21</f>
        <v/>
      </c>
      <c r="AB22">
        <f>$C22*AB21</f>
        <v/>
      </c>
      <c r="AC22">
        <f>$C22*AC21</f>
        <v/>
      </c>
      <c r="AD22">
        <f>$C22*AD21</f>
        <v/>
      </c>
      <c r="AE22">
        <f>$C22*AE21</f>
        <v/>
      </c>
      <c r="AF22">
        <f>$C22*AF21</f>
        <v/>
      </c>
      <c r="AG22">
        <f>$C22*AG21</f>
        <v/>
      </c>
      <c r="AH22">
        <f>$C22*AH21</f>
        <v/>
      </c>
      <c r="AI22">
        <f>$C22*AI21</f>
        <v/>
      </c>
      <c r="AJ22">
        <f>$C22*AJ21</f>
        <v/>
      </c>
      <c r="AK22">
        <f>$C22*AK21</f>
        <v/>
      </c>
      <c r="AL22">
        <f>$C22*AL21</f>
        <v/>
      </c>
      <c r="AM22">
        <f>$C22*AM21</f>
        <v/>
      </c>
      <c r="AN22">
        <f>$C22*AN21</f>
        <v/>
      </c>
      <c r="AO22">
        <f>$C22*AO21</f>
        <v/>
      </c>
      <c r="AP22">
        <f>$C22*AP21</f>
        <v/>
      </c>
      <c r="AQ22">
        <f>$C22*AQ21</f>
        <v/>
      </c>
      <c r="AR22">
        <f>$C22*AR21</f>
        <v/>
      </c>
      <c r="AS22">
        <f>$C22*AS21</f>
        <v/>
      </c>
      <c r="AT22">
        <f>$C22*AT21</f>
        <v/>
      </c>
      <c r="AU22">
        <f>$C22*AU21</f>
        <v/>
      </c>
      <c r="AV22">
        <f>$C22*AV21</f>
        <v/>
      </c>
      <c r="AW22">
        <f>$C22*AW21</f>
        <v/>
      </c>
      <c r="AX22">
        <f>$C22*AX21</f>
        <v/>
      </c>
      <c r="AY22">
        <f>$C22*AY21</f>
        <v/>
      </c>
      <c r="AZ22">
        <f>$C22*AZ21</f>
        <v/>
      </c>
      <c r="BA22">
        <f>$C22*BA21</f>
        <v/>
      </c>
      <c r="BB22">
        <f>$C22*BB21</f>
        <v/>
      </c>
      <c r="BC22">
        <f>$C22*BC21</f>
        <v/>
      </c>
      <c r="BD22">
        <f>$C22*BD21</f>
        <v/>
      </c>
      <c r="BE22">
        <f>$C22*BE21</f>
        <v/>
      </c>
      <c r="BF22">
        <f>$C22*BF21</f>
        <v/>
      </c>
      <c r="BG22">
        <f>$C22*BG21</f>
        <v/>
      </c>
      <c r="BH22">
        <f>$C22*BH21</f>
        <v/>
      </c>
      <c r="BI22">
        <f>$C22*BI21</f>
        <v/>
      </c>
      <c r="BJ22">
        <f>$C22*BJ21</f>
        <v/>
      </c>
      <c r="BK22">
        <f>$C22*BK21</f>
        <v/>
      </c>
      <c r="BL22">
        <f>$C22*BL21</f>
        <v/>
      </c>
      <c r="BM22">
        <f>$C22*BM21</f>
        <v/>
      </c>
      <c r="BN22">
        <f>$C22*BN21</f>
        <v/>
      </c>
      <c r="BO22">
        <f>$C22*BO21</f>
        <v/>
      </c>
      <c r="BP22">
        <f>$C22*BP21</f>
        <v/>
      </c>
      <c r="BQ22">
        <f>$C22*BQ21</f>
        <v/>
      </c>
      <c r="BR22">
        <f>$C22*BR21</f>
        <v/>
      </c>
      <c r="BS22">
        <f>$C22*BS21</f>
        <v/>
      </c>
      <c r="BT22">
        <f>$C22*BT21</f>
        <v/>
      </c>
      <c r="BU22">
        <f>$C22*BU21</f>
        <v/>
      </c>
      <c r="BV22">
        <f>$C22*BV21</f>
        <v/>
      </c>
      <c r="BW22">
        <f>$C22*BW21</f>
        <v/>
      </c>
      <c r="BX22">
        <f>$C22*BX21</f>
        <v/>
      </c>
      <c r="BY22">
        <f>$C22*BY21</f>
        <v/>
      </c>
      <c r="BZ22">
        <f>$C22*BZ21</f>
        <v/>
      </c>
      <c r="CA22">
        <f>$C22*CA21</f>
        <v/>
      </c>
      <c r="CB22">
        <f>$C22*CB21</f>
        <v/>
      </c>
      <c r="CC22">
        <f>$C22*CC21</f>
        <v/>
      </c>
      <c r="CD22">
        <f>$C22*CD21</f>
        <v/>
      </c>
      <c r="CE22">
        <f>$C22*CE21</f>
        <v/>
      </c>
      <c r="CF22">
        <f>$C22*CF21</f>
        <v/>
      </c>
      <c r="CG22">
        <f>$C22*CG21</f>
        <v/>
      </c>
      <c r="CH22">
        <f>$C22*CH21</f>
        <v/>
      </c>
      <c r="CI22">
        <f>$C22*CI21</f>
        <v/>
      </c>
      <c r="CJ22">
        <f>$C22*CJ21</f>
        <v/>
      </c>
      <c r="CK22">
        <f>$C22*CK21</f>
        <v/>
      </c>
      <c r="CL22">
        <f>$C22*CL21</f>
        <v/>
      </c>
      <c r="CM22">
        <f>$C22*CM21</f>
        <v/>
      </c>
      <c r="CN22">
        <f>$C22*CN21</f>
        <v/>
      </c>
      <c r="CO22">
        <f>$C22*CO21</f>
        <v/>
      </c>
      <c r="CP22">
        <f>$C22*CP21</f>
        <v/>
      </c>
      <c r="CQ22">
        <f>$C22*CQ21</f>
        <v/>
      </c>
      <c r="CR22">
        <f>$C22*CR21</f>
        <v/>
      </c>
      <c r="CS22">
        <f>$C22*CS21</f>
        <v/>
      </c>
      <c r="CT22">
        <f>$C22*CT21</f>
        <v/>
      </c>
      <c r="CU22">
        <f>$C22*CU21</f>
        <v/>
      </c>
      <c r="CV22">
        <f>$C22*CV21</f>
        <v/>
      </c>
      <c r="CW22">
        <f>$C22*CW21</f>
        <v/>
      </c>
      <c r="CX22">
        <f>$C22*CX21</f>
        <v/>
      </c>
      <c r="CY22">
        <f>$C22*CY21</f>
        <v/>
      </c>
      <c r="CZ22">
        <f>$C22*CZ21</f>
        <v/>
      </c>
      <c r="DA22">
        <f>$C22*DA21</f>
        <v/>
      </c>
      <c r="DB22">
        <f>$C22*DB21</f>
        <v/>
      </c>
      <c r="DC22">
        <f>$C22*DC21</f>
        <v/>
      </c>
    </row>
    <row r="23">
      <c r="B23" t="inlineStr">
        <is>
          <t>0T720</t>
        </is>
      </c>
      <c r="C23" t="inlineStr">
        <is>
          <t>No. of batches</t>
        </is>
      </c>
      <c r="D23">
        <f>IFERROR(INDEX(PP_Grid[#Data],$DD23,2),0)</f>
        <v/>
      </c>
      <c r="E23">
        <f>IFERROR(INDEX(PP_Grid[#Data],$DD23,3),0)</f>
        <v/>
      </c>
      <c r="F23">
        <f>IFERROR(INDEX(PP_Grid[#Data],$DD23,4),0)</f>
        <v/>
      </c>
      <c r="G23">
        <f>IFERROR(INDEX(PP_Grid[#Data],$DD23,5),0)</f>
        <v/>
      </c>
      <c r="H23">
        <f>IFERROR(INDEX(PP_Grid[#Data],$DD23,6),0)</f>
        <v/>
      </c>
      <c r="I23">
        <f>IFERROR(INDEX(PP_Grid[#Data],$DD23,7),0)</f>
        <v/>
      </c>
      <c r="J23">
        <f>IFERROR(INDEX(PP_Grid[#Data],$DD23,8),0)</f>
        <v/>
      </c>
      <c r="K23">
        <f>IFERROR(INDEX(PP_Grid[#Data],$DD23,9),0)</f>
        <v/>
      </c>
      <c r="L23">
        <f>IFERROR(INDEX(PP_Grid[#Data],$DD23,10),0)</f>
        <v/>
      </c>
      <c r="M23">
        <f>IFERROR(INDEX(PP_Grid[#Data],$DD23,11),0)</f>
        <v/>
      </c>
      <c r="N23">
        <f>IFERROR(INDEX(PP_Grid[#Data],$DD23,12),0)</f>
        <v/>
      </c>
      <c r="O23">
        <f>IFERROR(INDEX(PP_Grid[#Data],$DD23,13),0)</f>
        <v/>
      </c>
      <c r="P23">
        <f>IFERROR(INDEX(PP_Grid[#Data],$DD23,14),0)</f>
        <v/>
      </c>
      <c r="Q23">
        <f>IFERROR(INDEX(PP_Grid[#Data],$DD23,15),0)</f>
        <v/>
      </c>
      <c r="R23">
        <f>IFERROR(INDEX(PP_Grid[#Data],$DD23,16),0)</f>
        <v/>
      </c>
      <c r="S23">
        <f>IFERROR(INDEX(PP_Grid[#Data],$DD23,17),0)</f>
        <v/>
      </c>
      <c r="T23">
        <f>IFERROR(INDEX(PP_Grid[#Data],$DD23,18),0)</f>
        <v/>
      </c>
      <c r="U23">
        <f>IFERROR(INDEX(PP_Grid[#Data],$DD23,19),0)</f>
        <v/>
      </c>
      <c r="V23">
        <f>IFERROR(INDEX(PP_Grid[#Data],$DD23,20),0)</f>
        <v/>
      </c>
      <c r="W23">
        <f>IFERROR(INDEX(PP_Grid[#Data],$DD23,21),0)</f>
        <v/>
      </c>
      <c r="X23">
        <f>IFERROR(INDEX(PP_Grid[#Data],$DD23,22),0)</f>
        <v/>
      </c>
      <c r="Y23">
        <f>IFERROR(INDEX(PP_Grid[#Data],$DD23,23),0)</f>
        <v/>
      </c>
      <c r="Z23">
        <f>IFERROR(INDEX(PP_Grid[#Data],$DD23,24),0)</f>
        <v/>
      </c>
      <c r="AA23">
        <f>IFERROR(INDEX(PP_Grid[#Data],$DD23,25),0)</f>
        <v/>
      </c>
      <c r="AB23">
        <f>IFERROR(INDEX(PP_Grid[#Data],$DD23,26),0)</f>
        <v/>
      </c>
      <c r="AC23">
        <f>IFERROR(INDEX(PP_Grid[#Data],$DD23,27),0)</f>
        <v/>
      </c>
      <c r="AD23">
        <f>IFERROR(INDEX(PP_Grid[#Data],$DD23,28),0)</f>
        <v/>
      </c>
      <c r="AE23">
        <f>IFERROR(INDEX(PP_Grid[#Data],$DD23,29),0)</f>
        <v/>
      </c>
      <c r="AF23">
        <f>IFERROR(INDEX(PP_Grid[#Data],$DD23,30),0)</f>
        <v/>
      </c>
      <c r="AG23">
        <f>IFERROR(INDEX(PP_Grid[#Data],$DD23,31),0)</f>
        <v/>
      </c>
      <c r="AH23">
        <f>IFERROR(INDEX(PP_Grid[#Data],$DD23,32),0)</f>
        <v/>
      </c>
      <c r="AI23">
        <f>IFERROR(INDEX(PP_Grid[#Data],$DD23,33),0)</f>
        <v/>
      </c>
      <c r="AJ23">
        <f>IFERROR(INDEX(PP_Grid[#Data],$DD23,34),0)</f>
        <v/>
      </c>
      <c r="AK23">
        <f>IFERROR(INDEX(PP_Grid[#Data],$DD23,35),0)</f>
        <v/>
      </c>
      <c r="AL23">
        <f>IFERROR(INDEX(PP_Grid[#Data],$DD23,36),0)</f>
        <v/>
      </c>
      <c r="AM23">
        <f>IFERROR(INDEX(PP_Grid[#Data],$DD23,37),0)</f>
        <v/>
      </c>
      <c r="AN23">
        <f>IFERROR(INDEX(PP_Grid[#Data],$DD23,38),0)</f>
        <v/>
      </c>
      <c r="AO23">
        <f>IFERROR(INDEX(PP_Grid[#Data],$DD23,39),0)</f>
        <v/>
      </c>
      <c r="AP23">
        <f>IFERROR(INDEX(PP_Grid[#Data],$DD23,40),0)</f>
        <v/>
      </c>
      <c r="AQ23">
        <f>IFERROR(INDEX(PP_Grid[#Data],$DD23,41),0)</f>
        <v/>
      </c>
      <c r="AR23">
        <f>IFERROR(INDEX(PP_Grid[#Data],$DD23,42),0)</f>
        <v/>
      </c>
      <c r="AS23">
        <f>IFERROR(INDEX(PP_Grid[#Data],$DD23,43),0)</f>
        <v/>
      </c>
      <c r="AT23">
        <f>IFERROR(INDEX(PP_Grid[#Data],$DD23,44),0)</f>
        <v/>
      </c>
      <c r="AU23">
        <f>IFERROR(INDEX(PP_Grid[#Data],$DD23,45),0)</f>
        <v/>
      </c>
      <c r="AV23">
        <f>IFERROR(INDEX(PP_Grid[#Data],$DD23,46),0)</f>
        <v/>
      </c>
      <c r="AW23">
        <f>IFERROR(INDEX(PP_Grid[#Data],$DD23,47),0)</f>
        <v/>
      </c>
      <c r="AX23">
        <f>IFERROR(INDEX(PP_Grid[#Data],$DD23,48),0)</f>
        <v/>
      </c>
      <c r="AY23">
        <f>IFERROR(INDEX(PP_Grid[#Data],$DD23,49),0)</f>
        <v/>
      </c>
      <c r="AZ23">
        <f>IFERROR(INDEX(PP_Grid[#Data],$DD23,50),0)</f>
        <v/>
      </c>
      <c r="BA23">
        <f>IFERROR(INDEX(PP_Grid[#Data],$DD23,51),0)</f>
        <v/>
      </c>
      <c r="BB23">
        <f>IFERROR(INDEX(PP_Grid[#Data],$DD23,52),0)</f>
        <v/>
      </c>
      <c r="BC23">
        <f>IFERROR(INDEX(PP_Grid[#Data],$DD23,53),0)</f>
        <v/>
      </c>
      <c r="BD23">
        <f>IFERROR(INDEX(PP_Grid[#Data],$DD23,54),0)</f>
        <v/>
      </c>
      <c r="BE23">
        <f>IFERROR(INDEX(PP_Grid[#Data],$DD23,55),0)</f>
        <v/>
      </c>
      <c r="BF23">
        <f>IFERROR(INDEX(PP_Grid[#Data],$DD23,56),0)</f>
        <v/>
      </c>
      <c r="BG23">
        <f>IFERROR(INDEX(PP_Grid[#Data],$DD23,57),0)</f>
        <v/>
      </c>
      <c r="BH23">
        <f>IFERROR(INDEX(PP_Grid[#Data],$DD23,58),0)</f>
        <v/>
      </c>
      <c r="BI23">
        <f>IFERROR(INDEX(PP_Grid[#Data],$DD23,59),0)</f>
        <v/>
      </c>
      <c r="BJ23">
        <f>IFERROR(INDEX(PP_Grid[#Data],$DD23,60),0)</f>
        <v/>
      </c>
      <c r="BK23">
        <f>IFERROR(INDEX(PP_Grid[#Data],$DD23,61),0)</f>
        <v/>
      </c>
      <c r="BL23">
        <f>IFERROR(INDEX(PP_Grid[#Data],$DD23,62),0)</f>
        <v/>
      </c>
      <c r="BM23">
        <f>IFERROR(INDEX(PP_Grid[#Data],$DD23,63),0)</f>
        <v/>
      </c>
      <c r="BN23">
        <f>IFERROR(INDEX(PP_Grid[#Data],$DD23,64),0)</f>
        <v/>
      </c>
      <c r="BO23">
        <f>IFERROR(INDEX(PP_Grid[#Data],$DD23,65),0)</f>
        <v/>
      </c>
      <c r="BP23">
        <f>IFERROR(INDEX(PP_Grid[#Data],$DD23,66),0)</f>
        <v/>
      </c>
      <c r="BQ23">
        <f>IFERROR(INDEX(PP_Grid[#Data],$DD23,67),0)</f>
        <v/>
      </c>
      <c r="BR23">
        <f>IFERROR(INDEX(PP_Grid[#Data],$DD23,68),0)</f>
        <v/>
      </c>
      <c r="BS23">
        <f>IFERROR(INDEX(PP_Grid[#Data],$DD23,69),0)</f>
        <v/>
      </c>
      <c r="BT23">
        <f>IFERROR(INDEX(PP_Grid[#Data],$DD23,70),0)</f>
        <v/>
      </c>
      <c r="BU23">
        <f>IFERROR(INDEX(PP_Grid[#Data],$DD23,71),0)</f>
        <v/>
      </c>
      <c r="BV23">
        <f>IFERROR(INDEX(PP_Grid[#Data],$DD23,72),0)</f>
        <v/>
      </c>
      <c r="BW23">
        <f>IFERROR(INDEX(PP_Grid[#Data],$DD23,73),0)</f>
        <v/>
      </c>
      <c r="BX23">
        <f>IFERROR(INDEX(PP_Grid[#Data],$DD23,74),0)</f>
        <v/>
      </c>
      <c r="BY23">
        <f>IFERROR(INDEX(PP_Grid[#Data],$DD23,75),0)</f>
        <v/>
      </c>
      <c r="BZ23">
        <f>IFERROR(INDEX(PP_Grid[#Data],$DD23,76),0)</f>
        <v/>
      </c>
      <c r="CA23">
        <f>IFERROR(INDEX(PP_Grid[#Data],$DD23,77),0)</f>
        <v/>
      </c>
      <c r="CB23">
        <f>IFERROR(INDEX(PP_Grid[#Data],$DD23,78),0)</f>
        <v/>
      </c>
      <c r="CC23">
        <f>IFERROR(INDEX(PP_Grid[#Data],$DD23,79),0)</f>
        <v/>
      </c>
      <c r="CD23">
        <f>IFERROR(INDEX(PP_Grid[#Data],$DD23,80),0)</f>
        <v/>
      </c>
      <c r="CE23">
        <f>IFERROR(INDEX(PP_Grid[#Data],$DD23,81),0)</f>
        <v/>
      </c>
      <c r="CF23">
        <f>IFERROR(INDEX(PP_Grid[#Data],$DD23,82),0)</f>
        <v/>
      </c>
      <c r="CG23">
        <f>IFERROR(INDEX(PP_Grid[#Data],$DD23,83),0)</f>
        <v/>
      </c>
      <c r="CH23">
        <f>IFERROR(INDEX(PP_Grid[#Data],$DD23,84),0)</f>
        <v/>
      </c>
      <c r="CI23">
        <f>IFERROR(INDEX(PP_Grid[#Data],$DD23,85),0)</f>
        <v/>
      </c>
      <c r="CJ23">
        <f>IFERROR(INDEX(PP_Grid[#Data],$DD23,86),0)</f>
        <v/>
      </c>
      <c r="CK23">
        <f>IFERROR(INDEX(PP_Grid[#Data],$DD23,87),0)</f>
        <v/>
      </c>
      <c r="CL23">
        <f>IFERROR(INDEX(PP_Grid[#Data],$DD23,88),0)</f>
        <v/>
      </c>
      <c r="CM23">
        <f>IFERROR(INDEX(PP_Grid[#Data],$DD23,89),0)</f>
        <v/>
      </c>
      <c r="CN23">
        <f>IFERROR(INDEX(PP_Grid[#Data],$DD23,90),0)</f>
        <v/>
      </c>
      <c r="CO23">
        <f>IFERROR(INDEX(PP_Grid[#Data],$DD23,91),0)</f>
        <v/>
      </c>
      <c r="CP23">
        <f>IFERROR(INDEX(PP_Grid[#Data],$DD23,92),0)</f>
        <v/>
      </c>
      <c r="CQ23">
        <f>IFERROR(INDEX(PP_Grid[#Data],$DD23,93),0)</f>
        <v/>
      </c>
      <c r="CR23">
        <f>IFERROR(INDEX(PP_Grid[#Data],$DD23,94),0)</f>
        <v/>
      </c>
      <c r="CS23">
        <f>IFERROR(INDEX(PP_Grid[#Data],$DD23,95),0)</f>
        <v/>
      </c>
      <c r="CT23">
        <f>IFERROR(INDEX(PP_Grid[#Data],$DD23,96),0)</f>
        <v/>
      </c>
      <c r="CU23">
        <f>IFERROR(INDEX(PP_Grid[#Data],$DD23,97),0)</f>
        <v/>
      </c>
      <c r="CV23">
        <f>IFERROR(INDEX(PP_Grid[#Data],$DD23,98),0)</f>
        <v/>
      </c>
      <c r="CW23">
        <f>IFERROR(INDEX(PP_Grid[#Data],$DD23,99),0)</f>
        <v/>
      </c>
      <c r="CX23">
        <f>IFERROR(INDEX(PP_Grid[#Data],$DD23,100),0)</f>
        <v/>
      </c>
      <c r="CY23">
        <f>IFERROR(INDEX(PP_Grid[#Data],$DD23,101),0)</f>
        <v/>
      </c>
      <c r="CZ23">
        <f>IFERROR(INDEX(PP_Grid[#Data],$DD23,102),0)</f>
        <v/>
      </c>
      <c r="DA23">
        <f>IFERROR(INDEX(PP_Grid[#Data],$DD23,103),0)</f>
        <v/>
      </c>
      <c r="DB23">
        <f>IFERROR(INDEX(PP_Grid[#Data],$DD23,104),0)</f>
        <v/>
      </c>
      <c r="DC23">
        <f>IFERROR(INDEX(PP_Grid[#Data],$DD23,105),0)</f>
        <v/>
      </c>
      <c r="DD23" s="12">
        <f>IFERROR(MATCH($B23,PP_Grid[Intermediate],0),99999)</f>
        <v/>
      </c>
    </row>
    <row r="24">
      <c r="B24" t="inlineStr">
        <is>
          <t>使用量(kg)</t>
        </is>
      </c>
      <c r="C24">
        <f>SUMIFS(M_BOM[RM_Qty_Per_Batch],M_BOM[Intermediate],$B23,M_BOM[Part Name],$A18)</f>
        <v/>
      </c>
      <c r="D24">
        <f>$C24*D23</f>
        <v/>
      </c>
      <c r="E24">
        <f>$C24*E23</f>
        <v/>
      </c>
      <c r="F24">
        <f>$C24*F23</f>
        <v/>
      </c>
      <c r="G24">
        <f>$C24*G23</f>
        <v/>
      </c>
      <c r="H24">
        <f>$C24*H23</f>
        <v/>
      </c>
      <c r="I24">
        <f>$C24*I23</f>
        <v/>
      </c>
      <c r="J24">
        <f>$C24*J23</f>
        <v/>
      </c>
      <c r="K24">
        <f>$C24*K23</f>
        <v/>
      </c>
      <c r="L24">
        <f>$C24*L23</f>
        <v/>
      </c>
      <c r="M24">
        <f>$C24*M23</f>
        <v/>
      </c>
      <c r="N24">
        <f>$C24*N23</f>
        <v/>
      </c>
      <c r="O24">
        <f>$C24*O23</f>
        <v/>
      </c>
      <c r="P24">
        <f>$C24*P23</f>
        <v/>
      </c>
      <c r="Q24">
        <f>$C24*Q23</f>
        <v/>
      </c>
      <c r="R24">
        <f>$C24*R23</f>
        <v/>
      </c>
      <c r="S24">
        <f>$C24*S23</f>
        <v/>
      </c>
      <c r="T24">
        <f>$C24*T23</f>
        <v/>
      </c>
      <c r="U24">
        <f>$C24*U23</f>
        <v/>
      </c>
      <c r="V24">
        <f>$C24*V23</f>
        <v/>
      </c>
      <c r="W24">
        <f>$C24*W23</f>
        <v/>
      </c>
      <c r="X24">
        <f>$C24*X23</f>
        <v/>
      </c>
      <c r="Y24">
        <f>$C24*Y23</f>
        <v/>
      </c>
      <c r="Z24">
        <f>$C24*Z23</f>
        <v/>
      </c>
      <c r="AA24">
        <f>$C24*AA23</f>
        <v/>
      </c>
      <c r="AB24">
        <f>$C24*AB23</f>
        <v/>
      </c>
      <c r="AC24">
        <f>$C24*AC23</f>
        <v/>
      </c>
      <c r="AD24">
        <f>$C24*AD23</f>
        <v/>
      </c>
      <c r="AE24">
        <f>$C24*AE23</f>
        <v/>
      </c>
      <c r="AF24">
        <f>$C24*AF23</f>
        <v/>
      </c>
      <c r="AG24">
        <f>$C24*AG23</f>
        <v/>
      </c>
      <c r="AH24">
        <f>$C24*AH23</f>
        <v/>
      </c>
      <c r="AI24">
        <f>$C24*AI23</f>
        <v/>
      </c>
      <c r="AJ24">
        <f>$C24*AJ23</f>
        <v/>
      </c>
      <c r="AK24">
        <f>$C24*AK23</f>
        <v/>
      </c>
      <c r="AL24">
        <f>$C24*AL23</f>
        <v/>
      </c>
      <c r="AM24">
        <f>$C24*AM23</f>
        <v/>
      </c>
      <c r="AN24">
        <f>$C24*AN23</f>
        <v/>
      </c>
      <c r="AO24">
        <f>$C24*AO23</f>
        <v/>
      </c>
      <c r="AP24">
        <f>$C24*AP23</f>
        <v/>
      </c>
      <c r="AQ24">
        <f>$C24*AQ23</f>
        <v/>
      </c>
      <c r="AR24">
        <f>$C24*AR23</f>
        <v/>
      </c>
      <c r="AS24">
        <f>$C24*AS23</f>
        <v/>
      </c>
      <c r="AT24">
        <f>$C24*AT23</f>
        <v/>
      </c>
      <c r="AU24">
        <f>$C24*AU23</f>
        <v/>
      </c>
      <c r="AV24">
        <f>$C24*AV23</f>
        <v/>
      </c>
      <c r="AW24">
        <f>$C24*AW23</f>
        <v/>
      </c>
      <c r="AX24">
        <f>$C24*AX23</f>
        <v/>
      </c>
      <c r="AY24">
        <f>$C24*AY23</f>
        <v/>
      </c>
      <c r="AZ24">
        <f>$C24*AZ23</f>
        <v/>
      </c>
      <c r="BA24">
        <f>$C24*BA23</f>
        <v/>
      </c>
      <c r="BB24">
        <f>$C24*BB23</f>
        <v/>
      </c>
      <c r="BC24">
        <f>$C24*BC23</f>
        <v/>
      </c>
      <c r="BD24">
        <f>$C24*BD23</f>
        <v/>
      </c>
      <c r="BE24">
        <f>$C24*BE23</f>
        <v/>
      </c>
      <c r="BF24">
        <f>$C24*BF23</f>
        <v/>
      </c>
      <c r="BG24">
        <f>$C24*BG23</f>
        <v/>
      </c>
      <c r="BH24">
        <f>$C24*BH23</f>
        <v/>
      </c>
      <c r="BI24">
        <f>$C24*BI23</f>
        <v/>
      </c>
      <c r="BJ24">
        <f>$C24*BJ23</f>
        <v/>
      </c>
      <c r="BK24">
        <f>$C24*BK23</f>
        <v/>
      </c>
      <c r="BL24">
        <f>$C24*BL23</f>
        <v/>
      </c>
      <c r="BM24">
        <f>$C24*BM23</f>
        <v/>
      </c>
      <c r="BN24">
        <f>$C24*BN23</f>
        <v/>
      </c>
      <c r="BO24">
        <f>$C24*BO23</f>
        <v/>
      </c>
      <c r="BP24">
        <f>$C24*BP23</f>
        <v/>
      </c>
      <c r="BQ24">
        <f>$C24*BQ23</f>
        <v/>
      </c>
      <c r="BR24">
        <f>$C24*BR23</f>
        <v/>
      </c>
      <c r="BS24">
        <f>$C24*BS23</f>
        <v/>
      </c>
      <c r="BT24">
        <f>$C24*BT23</f>
        <v/>
      </c>
      <c r="BU24">
        <f>$C24*BU23</f>
        <v/>
      </c>
      <c r="BV24">
        <f>$C24*BV23</f>
        <v/>
      </c>
      <c r="BW24">
        <f>$C24*BW23</f>
        <v/>
      </c>
      <c r="BX24">
        <f>$C24*BX23</f>
        <v/>
      </c>
      <c r="BY24">
        <f>$C24*BY23</f>
        <v/>
      </c>
      <c r="BZ24">
        <f>$C24*BZ23</f>
        <v/>
      </c>
      <c r="CA24">
        <f>$C24*CA23</f>
        <v/>
      </c>
      <c r="CB24">
        <f>$C24*CB23</f>
        <v/>
      </c>
      <c r="CC24">
        <f>$C24*CC23</f>
        <v/>
      </c>
      <c r="CD24">
        <f>$C24*CD23</f>
        <v/>
      </c>
      <c r="CE24">
        <f>$C24*CE23</f>
        <v/>
      </c>
      <c r="CF24">
        <f>$C24*CF23</f>
        <v/>
      </c>
      <c r="CG24">
        <f>$C24*CG23</f>
        <v/>
      </c>
      <c r="CH24">
        <f>$C24*CH23</f>
        <v/>
      </c>
      <c r="CI24">
        <f>$C24*CI23</f>
        <v/>
      </c>
      <c r="CJ24">
        <f>$C24*CJ23</f>
        <v/>
      </c>
      <c r="CK24">
        <f>$C24*CK23</f>
        <v/>
      </c>
      <c r="CL24">
        <f>$C24*CL23</f>
        <v/>
      </c>
      <c r="CM24">
        <f>$C24*CM23</f>
        <v/>
      </c>
      <c r="CN24">
        <f>$C24*CN23</f>
        <v/>
      </c>
      <c r="CO24">
        <f>$C24*CO23</f>
        <v/>
      </c>
      <c r="CP24">
        <f>$C24*CP23</f>
        <v/>
      </c>
      <c r="CQ24">
        <f>$C24*CQ23</f>
        <v/>
      </c>
      <c r="CR24">
        <f>$C24*CR23</f>
        <v/>
      </c>
      <c r="CS24">
        <f>$C24*CS23</f>
        <v/>
      </c>
      <c r="CT24">
        <f>$C24*CT23</f>
        <v/>
      </c>
      <c r="CU24">
        <f>$C24*CU23</f>
        <v/>
      </c>
      <c r="CV24">
        <f>$C24*CV23</f>
        <v/>
      </c>
      <c r="CW24">
        <f>$C24*CW23</f>
        <v/>
      </c>
      <c r="CX24">
        <f>$C24*CX23</f>
        <v/>
      </c>
      <c r="CY24">
        <f>$C24*CY23</f>
        <v/>
      </c>
      <c r="CZ24">
        <f>$C24*CZ23</f>
        <v/>
      </c>
      <c r="DA24">
        <f>$C24*DA23</f>
        <v/>
      </c>
      <c r="DB24">
        <f>$C24*DB23</f>
        <v/>
      </c>
      <c r="DC24">
        <f>$C24*DC23</f>
        <v/>
      </c>
    </row>
    <row r="25">
      <c r="B25" t="inlineStr">
        <is>
          <t>0T740</t>
        </is>
      </c>
      <c r="C25" t="inlineStr">
        <is>
          <t>No. of batches</t>
        </is>
      </c>
      <c r="D25">
        <f>IFERROR(INDEX(PP_Grid[#Data],$DD25,2),0)</f>
        <v/>
      </c>
      <c r="E25">
        <f>IFERROR(INDEX(PP_Grid[#Data],$DD25,3),0)</f>
        <v/>
      </c>
      <c r="F25">
        <f>IFERROR(INDEX(PP_Grid[#Data],$DD25,4),0)</f>
        <v/>
      </c>
      <c r="G25">
        <f>IFERROR(INDEX(PP_Grid[#Data],$DD25,5),0)</f>
        <v/>
      </c>
      <c r="H25">
        <f>IFERROR(INDEX(PP_Grid[#Data],$DD25,6),0)</f>
        <v/>
      </c>
      <c r="I25">
        <f>IFERROR(INDEX(PP_Grid[#Data],$DD25,7),0)</f>
        <v/>
      </c>
      <c r="J25">
        <f>IFERROR(INDEX(PP_Grid[#Data],$DD25,8),0)</f>
        <v/>
      </c>
      <c r="K25">
        <f>IFERROR(INDEX(PP_Grid[#Data],$DD25,9),0)</f>
        <v/>
      </c>
      <c r="L25">
        <f>IFERROR(INDEX(PP_Grid[#Data],$DD25,10),0)</f>
        <v/>
      </c>
      <c r="M25">
        <f>IFERROR(INDEX(PP_Grid[#Data],$DD25,11),0)</f>
        <v/>
      </c>
      <c r="N25">
        <f>IFERROR(INDEX(PP_Grid[#Data],$DD25,12),0)</f>
        <v/>
      </c>
      <c r="O25">
        <f>IFERROR(INDEX(PP_Grid[#Data],$DD25,13),0)</f>
        <v/>
      </c>
      <c r="P25">
        <f>IFERROR(INDEX(PP_Grid[#Data],$DD25,14),0)</f>
        <v/>
      </c>
      <c r="Q25">
        <f>IFERROR(INDEX(PP_Grid[#Data],$DD25,15),0)</f>
        <v/>
      </c>
      <c r="R25">
        <f>IFERROR(INDEX(PP_Grid[#Data],$DD25,16),0)</f>
        <v/>
      </c>
      <c r="S25">
        <f>IFERROR(INDEX(PP_Grid[#Data],$DD25,17),0)</f>
        <v/>
      </c>
      <c r="T25">
        <f>IFERROR(INDEX(PP_Grid[#Data],$DD25,18),0)</f>
        <v/>
      </c>
      <c r="U25">
        <f>IFERROR(INDEX(PP_Grid[#Data],$DD25,19),0)</f>
        <v/>
      </c>
      <c r="V25">
        <f>IFERROR(INDEX(PP_Grid[#Data],$DD25,20),0)</f>
        <v/>
      </c>
      <c r="W25">
        <f>IFERROR(INDEX(PP_Grid[#Data],$DD25,21),0)</f>
        <v/>
      </c>
      <c r="X25">
        <f>IFERROR(INDEX(PP_Grid[#Data],$DD25,22),0)</f>
        <v/>
      </c>
      <c r="Y25">
        <f>IFERROR(INDEX(PP_Grid[#Data],$DD25,23),0)</f>
        <v/>
      </c>
      <c r="Z25">
        <f>IFERROR(INDEX(PP_Grid[#Data],$DD25,24),0)</f>
        <v/>
      </c>
      <c r="AA25">
        <f>IFERROR(INDEX(PP_Grid[#Data],$DD25,25),0)</f>
        <v/>
      </c>
      <c r="AB25">
        <f>IFERROR(INDEX(PP_Grid[#Data],$DD25,26),0)</f>
        <v/>
      </c>
      <c r="AC25">
        <f>IFERROR(INDEX(PP_Grid[#Data],$DD25,27),0)</f>
        <v/>
      </c>
      <c r="AD25">
        <f>IFERROR(INDEX(PP_Grid[#Data],$DD25,28),0)</f>
        <v/>
      </c>
      <c r="AE25">
        <f>IFERROR(INDEX(PP_Grid[#Data],$DD25,29),0)</f>
        <v/>
      </c>
      <c r="AF25">
        <f>IFERROR(INDEX(PP_Grid[#Data],$DD25,30),0)</f>
        <v/>
      </c>
      <c r="AG25">
        <f>IFERROR(INDEX(PP_Grid[#Data],$DD25,31),0)</f>
        <v/>
      </c>
      <c r="AH25">
        <f>IFERROR(INDEX(PP_Grid[#Data],$DD25,32),0)</f>
        <v/>
      </c>
      <c r="AI25">
        <f>IFERROR(INDEX(PP_Grid[#Data],$DD25,33),0)</f>
        <v/>
      </c>
      <c r="AJ25">
        <f>IFERROR(INDEX(PP_Grid[#Data],$DD25,34),0)</f>
        <v/>
      </c>
      <c r="AK25">
        <f>IFERROR(INDEX(PP_Grid[#Data],$DD25,35),0)</f>
        <v/>
      </c>
      <c r="AL25">
        <f>IFERROR(INDEX(PP_Grid[#Data],$DD25,36),0)</f>
        <v/>
      </c>
      <c r="AM25">
        <f>IFERROR(INDEX(PP_Grid[#Data],$DD25,37),0)</f>
        <v/>
      </c>
      <c r="AN25">
        <f>IFERROR(INDEX(PP_Grid[#Data],$DD25,38),0)</f>
        <v/>
      </c>
      <c r="AO25">
        <f>IFERROR(INDEX(PP_Grid[#Data],$DD25,39),0)</f>
        <v/>
      </c>
      <c r="AP25">
        <f>IFERROR(INDEX(PP_Grid[#Data],$DD25,40),0)</f>
        <v/>
      </c>
      <c r="AQ25">
        <f>IFERROR(INDEX(PP_Grid[#Data],$DD25,41),0)</f>
        <v/>
      </c>
      <c r="AR25">
        <f>IFERROR(INDEX(PP_Grid[#Data],$DD25,42),0)</f>
        <v/>
      </c>
      <c r="AS25">
        <f>IFERROR(INDEX(PP_Grid[#Data],$DD25,43),0)</f>
        <v/>
      </c>
      <c r="AT25">
        <f>IFERROR(INDEX(PP_Grid[#Data],$DD25,44),0)</f>
        <v/>
      </c>
      <c r="AU25">
        <f>IFERROR(INDEX(PP_Grid[#Data],$DD25,45),0)</f>
        <v/>
      </c>
      <c r="AV25">
        <f>IFERROR(INDEX(PP_Grid[#Data],$DD25,46),0)</f>
        <v/>
      </c>
      <c r="AW25">
        <f>IFERROR(INDEX(PP_Grid[#Data],$DD25,47),0)</f>
        <v/>
      </c>
      <c r="AX25">
        <f>IFERROR(INDEX(PP_Grid[#Data],$DD25,48),0)</f>
        <v/>
      </c>
      <c r="AY25">
        <f>IFERROR(INDEX(PP_Grid[#Data],$DD25,49),0)</f>
        <v/>
      </c>
      <c r="AZ25">
        <f>IFERROR(INDEX(PP_Grid[#Data],$DD25,50),0)</f>
        <v/>
      </c>
      <c r="BA25">
        <f>IFERROR(INDEX(PP_Grid[#Data],$DD25,51),0)</f>
        <v/>
      </c>
      <c r="BB25">
        <f>IFERROR(INDEX(PP_Grid[#Data],$DD25,52),0)</f>
        <v/>
      </c>
      <c r="BC25">
        <f>IFERROR(INDEX(PP_Grid[#Data],$DD25,53),0)</f>
        <v/>
      </c>
      <c r="BD25">
        <f>IFERROR(INDEX(PP_Grid[#Data],$DD25,54),0)</f>
        <v/>
      </c>
      <c r="BE25">
        <f>IFERROR(INDEX(PP_Grid[#Data],$DD25,55),0)</f>
        <v/>
      </c>
      <c r="BF25">
        <f>IFERROR(INDEX(PP_Grid[#Data],$DD25,56),0)</f>
        <v/>
      </c>
      <c r="BG25">
        <f>IFERROR(INDEX(PP_Grid[#Data],$DD25,57),0)</f>
        <v/>
      </c>
      <c r="BH25">
        <f>IFERROR(INDEX(PP_Grid[#Data],$DD25,58),0)</f>
        <v/>
      </c>
      <c r="BI25">
        <f>IFERROR(INDEX(PP_Grid[#Data],$DD25,59),0)</f>
        <v/>
      </c>
      <c r="BJ25">
        <f>IFERROR(INDEX(PP_Grid[#Data],$DD25,60),0)</f>
        <v/>
      </c>
      <c r="BK25">
        <f>IFERROR(INDEX(PP_Grid[#Data],$DD25,61),0)</f>
        <v/>
      </c>
      <c r="BL25">
        <f>IFERROR(INDEX(PP_Grid[#Data],$DD25,62),0)</f>
        <v/>
      </c>
      <c r="BM25">
        <f>IFERROR(INDEX(PP_Grid[#Data],$DD25,63),0)</f>
        <v/>
      </c>
      <c r="BN25">
        <f>IFERROR(INDEX(PP_Grid[#Data],$DD25,64),0)</f>
        <v/>
      </c>
      <c r="BO25">
        <f>IFERROR(INDEX(PP_Grid[#Data],$DD25,65),0)</f>
        <v/>
      </c>
      <c r="BP25">
        <f>IFERROR(INDEX(PP_Grid[#Data],$DD25,66),0)</f>
        <v/>
      </c>
      <c r="BQ25">
        <f>IFERROR(INDEX(PP_Grid[#Data],$DD25,67),0)</f>
        <v/>
      </c>
      <c r="BR25">
        <f>IFERROR(INDEX(PP_Grid[#Data],$DD25,68),0)</f>
        <v/>
      </c>
      <c r="BS25">
        <f>IFERROR(INDEX(PP_Grid[#Data],$DD25,69),0)</f>
        <v/>
      </c>
      <c r="BT25">
        <f>IFERROR(INDEX(PP_Grid[#Data],$DD25,70),0)</f>
        <v/>
      </c>
      <c r="BU25">
        <f>IFERROR(INDEX(PP_Grid[#Data],$DD25,71),0)</f>
        <v/>
      </c>
      <c r="BV25">
        <f>IFERROR(INDEX(PP_Grid[#Data],$DD25,72),0)</f>
        <v/>
      </c>
      <c r="BW25">
        <f>IFERROR(INDEX(PP_Grid[#Data],$DD25,73),0)</f>
        <v/>
      </c>
      <c r="BX25">
        <f>IFERROR(INDEX(PP_Grid[#Data],$DD25,74),0)</f>
        <v/>
      </c>
      <c r="BY25">
        <f>IFERROR(INDEX(PP_Grid[#Data],$DD25,75),0)</f>
        <v/>
      </c>
      <c r="BZ25">
        <f>IFERROR(INDEX(PP_Grid[#Data],$DD25,76),0)</f>
        <v/>
      </c>
      <c r="CA25">
        <f>IFERROR(INDEX(PP_Grid[#Data],$DD25,77),0)</f>
        <v/>
      </c>
      <c r="CB25">
        <f>IFERROR(INDEX(PP_Grid[#Data],$DD25,78),0)</f>
        <v/>
      </c>
      <c r="CC25">
        <f>IFERROR(INDEX(PP_Grid[#Data],$DD25,79),0)</f>
        <v/>
      </c>
      <c r="CD25">
        <f>IFERROR(INDEX(PP_Grid[#Data],$DD25,80),0)</f>
        <v/>
      </c>
      <c r="CE25">
        <f>IFERROR(INDEX(PP_Grid[#Data],$DD25,81),0)</f>
        <v/>
      </c>
      <c r="CF25">
        <f>IFERROR(INDEX(PP_Grid[#Data],$DD25,82),0)</f>
        <v/>
      </c>
      <c r="CG25">
        <f>IFERROR(INDEX(PP_Grid[#Data],$DD25,83),0)</f>
        <v/>
      </c>
      <c r="CH25">
        <f>IFERROR(INDEX(PP_Grid[#Data],$DD25,84),0)</f>
        <v/>
      </c>
      <c r="CI25">
        <f>IFERROR(INDEX(PP_Grid[#Data],$DD25,85),0)</f>
        <v/>
      </c>
      <c r="CJ25">
        <f>IFERROR(INDEX(PP_Grid[#Data],$DD25,86),0)</f>
        <v/>
      </c>
      <c r="CK25">
        <f>IFERROR(INDEX(PP_Grid[#Data],$DD25,87),0)</f>
        <v/>
      </c>
      <c r="CL25">
        <f>IFERROR(INDEX(PP_Grid[#Data],$DD25,88),0)</f>
        <v/>
      </c>
      <c r="CM25">
        <f>IFERROR(INDEX(PP_Grid[#Data],$DD25,89),0)</f>
        <v/>
      </c>
      <c r="CN25">
        <f>IFERROR(INDEX(PP_Grid[#Data],$DD25,90),0)</f>
        <v/>
      </c>
      <c r="CO25">
        <f>IFERROR(INDEX(PP_Grid[#Data],$DD25,91),0)</f>
        <v/>
      </c>
      <c r="CP25">
        <f>IFERROR(INDEX(PP_Grid[#Data],$DD25,92),0)</f>
        <v/>
      </c>
      <c r="CQ25">
        <f>IFERROR(INDEX(PP_Grid[#Data],$DD25,93),0)</f>
        <v/>
      </c>
      <c r="CR25">
        <f>IFERROR(INDEX(PP_Grid[#Data],$DD25,94),0)</f>
        <v/>
      </c>
      <c r="CS25">
        <f>IFERROR(INDEX(PP_Grid[#Data],$DD25,95),0)</f>
        <v/>
      </c>
      <c r="CT25">
        <f>IFERROR(INDEX(PP_Grid[#Data],$DD25,96),0)</f>
        <v/>
      </c>
      <c r="CU25">
        <f>IFERROR(INDEX(PP_Grid[#Data],$DD25,97),0)</f>
        <v/>
      </c>
      <c r="CV25">
        <f>IFERROR(INDEX(PP_Grid[#Data],$DD25,98),0)</f>
        <v/>
      </c>
      <c r="CW25">
        <f>IFERROR(INDEX(PP_Grid[#Data],$DD25,99),0)</f>
        <v/>
      </c>
      <c r="CX25">
        <f>IFERROR(INDEX(PP_Grid[#Data],$DD25,100),0)</f>
        <v/>
      </c>
      <c r="CY25">
        <f>IFERROR(INDEX(PP_Grid[#Data],$DD25,101),0)</f>
        <v/>
      </c>
      <c r="CZ25">
        <f>IFERROR(INDEX(PP_Grid[#Data],$DD25,102),0)</f>
        <v/>
      </c>
      <c r="DA25">
        <f>IFERROR(INDEX(PP_Grid[#Data],$DD25,103),0)</f>
        <v/>
      </c>
      <c r="DB25">
        <f>IFERROR(INDEX(PP_Grid[#Data],$DD25,104),0)</f>
        <v/>
      </c>
      <c r="DC25">
        <f>IFERROR(INDEX(PP_Grid[#Data],$DD25,105),0)</f>
        <v/>
      </c>
      <c r="DD25" s="12">
        <f>IFERROR(MATCH($B25,PP_Grid[Intermediate],0),99999)</f>
        <v/>
      </c>
    </row>
    <row r="26">
      <c r="B26" t="inlineStr">
        <is>
          <t>使用量(kg)</t>
        </is>
      </c>
      <c r="C26">
        <f>SUMIFS(M_BOM[RM_Qty_Per_Batch],M_BOM[Intermediate],$B25,M_BOM[Part Name],$A18)</f>
        <v/>
      </c>
      <c r="D26">
        <f>$C26*D25</f>
        <v/>
      </c>
      <c r="E26">
        <f>$C26*E25</f>
        <v/>
      </c>
      <c r="F26">
        <f>$C26*F25</f>
        <v/>
      </c>
      <c r="G26">
        <f>$C26*G25</f>
        <v/>
      </c>
      <c r="H26">
        <f>$C26*H25</f>
        <v/>
      </c>
      <c r="I26">
        <f>$C26*I25</f>
        <v/>
      </c>
      <c r="J26">
        <f>$C26*J25</f>
        <v/>
      </c>
      <c r="K26">
        <f>$C26*K25</f>
        <v/>
      </c>
      <c r="L26">
        <f>$C26*L25</f>
        <v/>
      </c>
      <c r="M26">
        <f>$C26*M25</f>
        <v/>
      </c>
      <c r="N26">
        <f>$C26*N25</f>
        <v/>
      </c>
      <c r="O26">
        <f>$C26*O25</f>
        <v/>
      </c>
      <c r="P26">
        <f>$C26*P25</f>
        <v/>
      </c>
      <c r="Q26">
        <f>$C26*Q25</f>
        <v/>
      </c>
      <c r="R26">
        <f>$C26*R25</f>
        <v/>
      </c>
      <c r="S26">
        <f>$C26*S25</f>
        <v/>
      </c>
      <c r="T26">
        <f>$C26*T25</f>
        <v/>
      </c>
      <c r="U26">
        <f>$C26*U25</f>
        <v/>
      </c>
      <c r="V26">
        <f>$C26*V25</f>
        <v/>
      </c>
      <c r="W26">
        <f>$C26*W25</f>
        <v/>
      </c>
      <c r="X26">
        <f>$C26*X25</f>
        <v/>
      </c>
      <c r="Y26">
        <f>$C26*Y25</f>
        <v/>
      </c>
      <c r="Z26">
        <f>$C26*Z25</f>
        <v/>
      </c>
      <c r="AA26">
        <f>$C26*AA25</f>
        <v/>
      </c>
      <c r="AB26">
        <f>$C26*AB25</f>
        <v/>
      </c>
      <c r="AC26">
        <f>$C26*AC25</f>
        <v/>
      </c>
      <c r="AD26">
        <f>$C26*AD25</f>
        <v/>
      </c>
      <c r="AE26">
        <f>$C26*AE25</f>
        <v/>
      </c>
      <c r="AF26">
        <f>$C26*AF25</f>
        <v/>
      </c>
      <c r="AG26">
        <f>$C26*AG25</f>
        <v/>
      </c>
      <c r="AH26">
        <f>$C26*AH25</f>
        <v/>
      </c>
      <c r="AI26">
        <f>$C26*AI25</f>
        <v/>
      </c>
      <c r="AJ26">
        <f>$C26*AJ25</f>
        <v/>
      </c>
      <c r="AK26">
        <f>$C26*AK25</f>
        <v/>
      </c>
      <c r="AL26">
        <f>$C26*AL25</f>
        <v/>
      </c>
      <c r="AM26">
        <f>$C26*AM25</f>
        <v/>
      </c>
      <c r="AN26">
        <f>$C26*AN25</f>
        <v/>
      </c>
      <c r="AO26">
        <f>$C26*AO25</f>
        <v/>
      </c>
      <c r="AP26">
        <f>$C26*AP25</f>
        <v/>
      </c>
      <c r="AQ26">
        <f>$C26*AQ25</f>
        <v/>
      </c>
      <c r="AR26">
        <f>$C26*AR25</f>
        <v/>
      </c>
      <c r="AS26">
        <f>$C26*AS25</f>
        <v/>
      </c>
      <c r="AT26">
        <f>$C26*AT25</f>
        <v/>
      </c>
      <c r="AU26">
        <f>$C26*AU25</f>
        <v/>
      </c>
      <c r="AV26">
        <f>$C26*AV25</f>
        <v/>
      </c>
      <c r="AW26">
        <f>$C26*AW25</f>
        <v/>
      </c>
      <c r="AX26">
        <f>$C26*AX25</f>
        <v/>
      </c>
      <c r="AY26">
        <f>$C26*AY25</f>
        <v/>
      </c>
      <c r="AZ26">
        <f>$C26*AZ25</f>
        <v/>
      </c>
      <c r="BA26">
        <f>$C26*BA25</f>
        <v/>
      </c>
      <c r="BB26">
        <f>$C26*BB25</f>
        <v/>
      </c>
      <c r="BC26">
        <f>$C26*BC25</f>
        <v/>
      </c>
      <c r="BD26">
        <f>$C26*BD25</f>
        <v/>
      </c>
      <c r="BE26">
        <f>$C26*BE25</f>
        <v/>
      </c>
      <c r="BF26">
        <f>$C26*BF25</f>
        <v/>
      </c>
      <c r="BG26">
        <f>$C26*BG25</f>
        <v/>
      </c>
      <c r="BH26">
        <f>$C26*BH25</f>
        <v/>
      </c>
      <c r="BI26">
        <f>$C26*BI25</f>
        <v/>
      </c>
      <c r="BJ26">
        <f>$C26*BJ25</f>
        <v/>
      </c>
      <c r="BK26">
        <f>$C26*BK25</f>
        <v/>
      </c>
      <c r="BL26">
        <f>$C26*BL25</f>
        <v/>
      </c>
      <c r="BM26">
        <f>$C26*BM25</f>
        <v/>
      </c>
      <c r="BN26">
        <f>$C26*BN25</f>
        <v/>
      </c>
      <c r="BO26">
        <f>$C26*BO25</f>
        <v/>
      </c>
      <c r="BP26">
        <f>$C26*BP25</f>
        <v/>
      </c>
      <c r="BQ26">
        <f>$C26*BQ25</f>
        <v/>
      </c>
      <c r="BR26">
        <f>$C26*BR25</f>
        <v/>
      </c>
      <c r="BS26">
        <f>$C26*BS25</f>
        <v/>
      </c>
      <c r="BT26">
        <f>$C26*BT25</f>
        <v/>
      </c>
      <c r="BU26">
        <f>$C26*BU25</f>
        <v/>
      </c>
      <c r="BV26">
        <f>$C26*BV25</f>
        <v/>
      </c>
      <c r="BW26">
        <f>$C26*BW25</f>
        <v/>
      </c>
      <c r="BX26">
        <f>$C26*BX25</f>
        <v/>
      </c>
      <c r="BY26">
        <f>$C26*BY25</f>
        <v/>
      </c>
      <c r="BZ26">
        <f>$C26*BZ25</f>
        <v/>
      </c>
      <c r="CA26">
        <f>$C26*CA25</f>
        <v/>
      </c>
      <c r="CB26">
        <f>$C26*CB25</f>
        <v/>
      </c>
      <c r="CC26">
        <f>$C26*CC25</f>
        <v/>
      </c>
      <c r="CD26">
        <f>$C26*CD25</f>
        <v/>
      </c>
      <c r="CE26">
        <f>$C26*CE25</f>
        <v/>
      </c>
      <c r="CF26">
        <f>$C26*CF25</f>
        <v/>
      </c>
      <c r="CG26">
        <f>$C26*CG25</f>
        <v/>
      </c>
      <c r="CH26">
        <f>$C26*CH25</f>
        <v/>
      </c>
      <c r="CI26">
        <f>$C26*CI25</f>
        <v/>
      </c>
      <c r="CJ26">
        <f>$C26*CJ25</f>
        <v/>
      </c>
      <c r="CK26">
        <f>$C26*CK25</f>
        <v/>
      </c>
      <c r="CL26">
        <f>$C26*CL25</f>
        <v/>
      </c>
      <c r="CM26">
        <f>$C26*CM25</f>
        <v/>
      </c>
      <c r="CN26">
        <f>$C26*CN25</f>
        <v/>
      </c>
      <c r="CO26">
        <f>$C26*CO25</f>
        <v/>
      </c>
      <c r="CP26">
        <f>$C26*CP25</f>
        <v/>
      </c>
      <c r="CQ26">
        <f>$C26*CQ25</f>
        <v/>
      </c>
      <c r="CR26">
        <f>$C26*CR25</f>
        <v/>
      </c>
      <c r="CS26">
        <f>$C26*CS25</f>
        <v/>
      </c>
      <c r="CT26">
        <f>$C26*CT25</f>
        <v/>
      </c>
      <c r="CU26">
        <f>$C26*CU25</f>
        <v/>
      </c>
      <c r="CV26">
        <f>$C26*CV25</f>
        <v/>
      </c>
      <c r="CW26">
        <f>$C26*CW25</f>
        <v/>
      </c>
      <c r="CX26">
        <f>$C26*CX25</f>
        <v/>
      </c>
      <c r="CY26">
        <f>$C26*CY25</f>
        <v/>
      </c>
      <c r="CZ26">
        <f>$C26*CZ25</f>
        <v/>
      </c>
      <c r="DA26">
        <f>$C26*DA25</f>
        <v/>
      </c>
      <c r="DB26">
        <f>$C26*DB25</f>
        <v/>
      </c>
      <c r="DC26">
        <f>$C26*DC25</f>
        <v/>
      </c>
    </row>
    <row r="27">
      <c r="B27" t="inlineStr">
        <is>
          <t>0T750</t>
        </is>
      </c>
      <c r="C27" t="inlineStr">
        <is>
          <t>No. of batches</t>
        </is>
      </c>
      <c r="D27">
        <f>IFERROR(INDEX(PP_Grid[#Data],$DD27,2),0)</f>
        <v/>
      </c>
      <c r="E27">
        <f>IFERROR(INDEX(PP_Grid[#Data],$DD27,3),0)</f>
        <v/>
      </c>
      <c r="F27">
        <f>IFERROR(INDEX(PP_Grid[#Data],$DD27,4),0)</f>
        <v/>
      </c>
      <c r="G27">
        <f>IFERROR(INDEX(PP_Grid[#Data],$DD27,5),0)</f>
        <v/>
      </c>
      <c r="H27">
        <f>IFERROR(INDEX(PP_Grid[#Data],$DD27,6),0)</f>
        <v/>
      </c>
      <c r="I27">
        <f>IFERROR(INDEX(PP_Grid[#Data],$DD27,7),0)</f>
        <v/>
      </c>
      <c r="J27">
        <f>IFERROR(INDEX(PP_Grid[#Data],$DD27,8),0)</f>
        <v/>
      </c>
      <c r="K27">
        <f>IFERROR(INDEX(PP_Grid[#Data],$DD27,9),0)</f>
        <v/>
      </c>
      <c r="L27">
        <f>IFERROR(INDEX(PP_Grid[#Data],$DD27,10),0)</f>
        <v/>
      </c>
      <c r="M27">
        <f>IFERROR(INDEX(PP_Grid[#Data],$DD27,11),0)</f>
        <v/>
      </c>
      <c r="N27">
        <f>IFERROR(INDEX(PP_Grid[#Data],$DD27,12),0)</f>
        <v/>
      </c>
      <c r="O27">
        <f>IFERROR(INDEX(PP_Grid[#Data],$DD27,13),0)</f>
        <v/>
      </c>
      <c r="P27">
        <f>IFERROR(INDEX(PP_Grid[#Data],$DD27,14),0)</f>
        <v/>
      </c>
      <c r="Q27">
        <f>IFERROR(INDEX(PP_Grid[#Data],$DD27,15),0)</f>
        <v/>
      </c>
      <c r="R27">
        <f>IFERROR(INDEX(PP_Grid[#Data],$DD27,16),0)</f>
        <v/>
      </c>
      <c r="S27">
        <f>IFERROR(INDEX(PP_Grid[#Data],$DD27,17),0)</f>
        <v/>
      </c>
      <c r="T27">
        <f>IFERROR(INDEX(PP_Grid[#Data],$DD27,18),0)</f>
        <v/>
      </c>
      <c r="U27">
        <f>IFERROR(INDEX(PP_Grid[#Data],$DD27,19),0)</f>
        <v/>
      </c>
      <c r="V27">
        <f>IFERROR(INDEX(PP_Grid[#Data],$DD27,20),0)</f>
        <v/>
      </c>
      <c r="W27">
        <f>IFERROR(INDEX(PP_Grid[#Data],$DD27,21),0)</f>
        <v/>
      </c>
      <c r="X27">
        <f>IFERROR(INDEX(PP_Grid[#Data],$DD27,22),0)</f>
        <v/>
      </c>
      <c r="Y27">
        <f>IFERROR(INDEX(PP_Grid[#Data],$DD27,23),0)</f>
        <v/>
      </c>
      <c r="Z27">
        <f>IFERROR(INDEX(PP_Grid[#Data],$DD27,24),0)</f>
        <v/>
      </c>
      <c r="AA27">
        <f>IFERROR(INDEX(PP_Grid[#Data],$DD27,25),0)</f>
        <v/>
      </c>
      <c r="AB27">
        <f>IFERROR(INDEX(PP_Grid[#Data],$DD27,26),0)</f>
        <v/>
      </c>
      <c r="AC27">
        <f>IFERROR(INDEX(PP_Grid[#Data],$DD27,27),0)</f>
        <v/>
      </c>
      <c r="AD27">
        <f>IFERROR(INDEX(PP_Grid[#Data],$DD27,28),0)</f>
        <v/>
      </c>
      <c r="AE27">
        <f>IFERROR(INDEX(PP_Grid[#Data],$DD27,29),0)</f>
        <v/>
      </c>
      <c r="AF27">
        <f>IFERROR(INDEX(PP_Grid[#Data],$DD27,30),0)</f>
        <v/>
      </c>
      <c r="AG27">
        <f>IFERROR(INDEX(PP_Grid[#Data],$DD27,31),0)</f>
        <v/>
      </c>
      <c r="AH27">
        <f>IFERROR(INDEX(PP_Grid[#Data],$DD27,32),0)</f>
        <v/>
      </c>
      <c r="AI27">
        <f>IFERROR(INDEX(PP_Grid[#Data],$DD27,33),0)</f>
        <v/>
      </c>
      <c r="AJ27">
        <f>IFERROR(INDEX(PP_Grid[#Data],$DD27,34),0)</f>
        <v/>
      </c>
      <c r="AK27">
        <f>IFERROR(INDEX(PP_Grid[#Data],$DD27,35),0)</f>
        <v/>
      </c>
      <c r="AL27">
        <f>IFERROR(INDEX(PP_Grid[#Data],$DD27,36),0)</f>
        <v/>
      </c>
      <c r="AM27">
        <f>IFERROR(INDEX(PP_Grid[#Data],$DD27,37),0)</f>
        <v/>
      </c>
      <c r="AN27">
        <f>IFERROR(INDEX(PP_Grid[#Data],$DD27,38),0)</f>
        <v/>
      </c>
      <c r="AO27">
        <f>IFERROR(INDEX(PP_Grid[#Data],$DD27,39),0)</f>
        <v/>
      </c>
      <c r="AP27">
        <f>IFERROR(INDEX(PP_Grid[#Data],$DD27,40),0)</f>
        <v/>
      </c>
      <c r="AQ27">
        <f>IFERROR(INDEX(PP_Grid[#Data],$DD27,41),0)</f>
        <v/>
      </c>
      <c r="AR27">
        <f>IFERROR(INDEX(PP_Grid[#Data],$DD27,42),0)</f>
        <v/>
      </c>
      <c r="AS27">
        <f>IFERROR(INDEX(PP_Grid[#Data],$DD27,43),0)</f>
        <v/>
      </c>
      <c r="AT27">
        <f>IFERROR(INDEX(PP_Grid[#Data],$DD27,44),0)</f>
        <v/>
      </c>
      <c r="AU27">
        <f>IFERROR(INDEX(PP_Grid[#Data],$DD27,45),0)</f>
        <v/>
      </c>
      <c r="AV27">
        <f>IFERROR(INDEX(PP_Grid[#Data],$DD27,46),0)</f>
        <v/>
      </c>
      <c r="AW27">
        <f>IFERROR(INDEX(PP_Grid[#Data],$DD27,47),0)</f>
        <v/>
      </c>
      <c r="AX27">
        <f>IFERROR(INDEX(PP_Grid[#Data],$DD27,48),0)</f>
        <v/>
      </c>
      <c r="AY27">
        <f>IFERROR(INDEX(PP_Grid[#Data],$DD27,49),0)</f>
        <v/>
      </c>
      <c r="AZ27">
        <f>IFERROR(INDEX(PP_Grid[#Data],$DD27,50),0)</f>
        <v/>
      </c>
      <c r="BA27">
        <f>IFERROR(INDEX(PP_Grid[#Data],$DD27,51),0)</f>
        <v/>
      </c>
      <c r="BB27">
        <f>IFERROR(INDEX(PP_Grid[#Data],$DD27,52),0)</f>
        <v/>
      </c>
      <c r="BC27">
        <f>IFERROR(INDEX(PP_Grid[#Data],$DD27,53),0)</f>
        <v/>
      </c>
      <c r="BD27">
        <f>IFERROR(INDEX(PP_Grid[#Data],$DD27,54),0)</f>
        <v/>
      </c>
      <c r="BE27">
        <f>IFERROR(INDEX(PP_Grid[#Data],$DD27,55),0)</f>
        <v/>
      </c>
      <c r="BF27">
        <f>IFERROR(INDEX(PP_Grid[#Data],$DD27,56),0)</f>
        <v/>
      </c>
      <c r="BG27">
        <f>IFERROR(INDEX(PP_Grid[#Data],$DD27,57),0)</f>
        <v/>
      </c>
      <c r="BH27">
        <f>IFERROR(INDEX(PP_Grid[#Data],$DD27,58),0)</f>
        <v/>
      </c>
      <c r="BI27">
        <f>IFERROR(INDEX(PP_Grid[#Data],$DD27,59),0)</f>
        <v/>
      </c>
      <c r="BJ27">
        <f>IFERROR(INDEX(PP_Grid[#Data],$DD27,60),0)</f>
        <v/>
      </c>
      <c r="BK27">
        <f>IFERROR(INDEX(PP_Grid[#Data],$DD27,61),0)</f>
        <v/>
      </c>
      <c r="BL27">
        <f>IFERROR(INDEX(PP_Grid[#Data],$DD27,62),0)</f>
        <v/>
      </c>
      <c r="BM27">
        <f>IFERROR(INDEX(PP_Grid[#Data],$DD27,63),0)</f>
        <v/>
      </c>
      <c r="BN27">
        <f>IFERROR(INDEX(PP_Grid[#Data],$DD27,64),0)</f>
        <v/>
      </c>
      <c r="BO27">
        <f>IFERROR(INDEX(PP_Grid[#Data],$DD27,65),0)</f>
        <v/>
      </c>
      <c r="BP27">
        <f>IFERROR(INDEX(PP_Grid[#Data],$DD27,66),0)</f>
        <v/>
      </c>
      <c r="BQ27">
        <f>IFERROR(INDEX(PP_Grid[#Data],$DD27,67),0)</f>
        <v/>
      </c>
      <c r="BR27">
        <f>IFERROR(INDEX(PP_Grid[#Data],$DD27,68),0)</f>
        <v/>
      </c>
      <c r="BS27">
        <f>IFERROR(INDEX(PP_Grid[#Data],$DD27,69),0)</f>
        <v/>
      </c>
      <c r="BT27">
        <f>IFERROR(INDEX(PP_Grid[#Data],$DD27,70),0)</f>
        <v/>
      </c>
      <c r="BU27">
        <f>IFERROR(INDEX(PP_Grid[#Data],$DD27,71),0)</f>
        <v/>
      </c>
      <c r="BV27">
        <f>IFERROR(INDEX(PP_Grid[#Data],$DD27,72),0)</f>
        <v/>
      </c>
      <c r="BW27">
        <f>IFERROR(INDEX(PP_Grid[#Data],$DD27,73),0)</f>
        <v/>
      </c>
      <c r="BX27">
        <f>IFERROR(INDEX(PP_Grid[#Data],$DD27,74),0)</f>
        <v/>
      </c>
      <c r="BY27">
        <f>IFERROR(INDEX(PP_Grid[#Data],$DD27,75),0)</f>
        <v/>
      </c>
      <c r="BZ27">
        <f>IFERROR(INDEX(PP_Grid[#Data],$DD27,76),0)</f>
        <v/>
      </c>
      <c r="CA27">
        <f>IFERROR(INDEX(PP_Grid[#Data],$DD27,77),0)</f>
        <v/>
      </c>
      <c r="CB27">
        <f>IFERROR(INDEX(PP_Grid[#Data],$DD27,78),0)</f>
        <v/>
      </c>
      <c r="CC27">
        <f>IFERROR(INDEX(PP_Grid[#Data],$DD27,79),0)</f>
        <v/>
      </c>
      <c r="CD27">
        <f>IFERROR(INDEX(PP_Grid[#Data],$DD27,80),0)</f>
        <v/>
      </c>
      <c r="CE27">
        <f>IFERROR(INDEX(PP_Grid[#Data],$DD27,81),0)</f>
        <v/>
      </c>
      <c r="CF27">
        <f>IFERROR(INDEX(PP_Grid[#Data],$DD27,82),0)</f>
        <v/>
      </c>
      <c r="CG27">
        <f>IFERROR(INDEX(PP_Grid[#Data],$DD27,83),0)</f>
        <v/>
      </c>
      <c r="CH27">
        <f>IFERROR(INDEX(PP_Grid[#Data],$DD27,84),0)</f>
        <v/>
      </c>
      <c r="CI27">
        <f>IFERROR(INDEX(PP_Grid[#Data],$DD27,85),0)</f>
        <v/>
      </c>
      <c r="CJ27">
        <f>IFERROR(INDEX(PP_Grid[#Data],$DD27,86),0)</f>
        <v/>
      </c>
      <c r="CK27">
        <f>IFERROR(INDEX(PP_Grid[#Data],$DD27,87),0)</f>
        <v/>
      </c>
      <c r="CL27">
        <f>IFERROR(INDEX(PP_Grid[#Data],$DD27,88),0)</f>
        <v/>
      </c>
      <c r="CM27">
        <f>IFERROR(INDEX(PP_Grid[#Data],$DD27,89),0)</f>
        <v/>
      </c>
      <c r="CN27">
        <f>IFERROR(INDEX(PP_Grid[#Data],$DD27,90),0)</f>
        <v/>
      </c>
      <c r="CO27">
        <f>IFERROR(INDEX(PP_Grid[#Data],$DD27,91),0)</f>
        <v/>
      </c>
      <c r="CP27">
        <f>IFERROR(INDEX(PP_Grid[#Data],$DD27,92),0)</f>
        <v/>
      </c>
      <c r="CQ27">
        <f>IFERROR(INDEX(PP_Grid[#Data],$DD27,93),0)</f>
        <v/>
      </c>
      <c r="CR27">
        <f>IFERROR(INDEX(PP_Grid[#Data],$DD27,94),0)</f>
        <v/>
      </c>
      <c r="CS27">
        <f>IFERROR(INDEX(PP_Grid[#Data],$DD27,95),0)</f>
        <v/>
      </c>
      <c r="CT27">
        <f>IFERROR(INDEX(PP_Grid[#Data],$DD27,96),0)</f>
        <v/>
      </c>
      <c r="CU27">
        <f>IFERROR(INDEX(PP_Grid[#Data],$DD27,97),0)</f>
        <v/>
      </c>
      <c r="CV27">
        <f>IFERROR(INDEX(PP_Grid[#Data],$DD27,98),0)</f>
        <v/>
      </c>
      <c r="CW27">
        <f>IFERROR(INDEX(PP_Grid[#Data],$DD27,99),0)</f>
        <v/>
      </c>
      <c r="CX27">
        <f>IFERROR(INDEX(PP_Grid[#Data],$DD27,100),0)</f>
        <v/>
      </c>
      <c r="CY27">
        <f>IFERROR(INDEX(PP_Grid[#Data],$DD27,101),0)</f>
        <v/>
      </c>
      <c r="CZ27">
        <f>IFERROR(INDEX(PP_Grid[#Data],$DD27,102),0)</f>
        <v/>
      </c>
      <c r="DA27">
        <f>IFERROR(INDEX(PP_Grid[#Data],$DD27,103),0)</f>
        <v/>
      </c>
      <c r="DB27">
        <f>IFERROR(INDEX(PP_Grid[#Data],$DD27,104),0)</f>
        <v/>
      </c>
      <c r="DC27">
        <f>IFERROR(INDEX(PP_Grid[#Data],$DD27,105),0)</f>
        <v/>
      </c>
      <c r="DD27" s="12">
        <f>IFERROR(MATCH($B27,PP_Grid[Intermediate],0),99999)</f>
        <v/>
      </c>
    </row>
    <row r="28">
      <c r="B28" t="inlineStr">
        <is>
          <t>使用量(kg)</t>
        </is>
      </c>
      <c r="C28">
        <f>SUMIFS(M_BOM[RM_Qty_Per_Batch],M_BOM[Intermediate],$B27,M_BOM[Part Name],$A18)</f>
        <v/>
      </c>
      <c r="D28">
        <f>$C28*D27</f>
        <v/>
      </c>
      <c r="E28">
        <f>$C28*E27</f>
        <v/>
      </c>
      <c r="F28">
        <f>$C28*F27</f>
        <v/>
      </c>
      <c r="G28">
        <f>$C28*G27</f>
        <v/>
      </c>
      <c r="H28">
        <f>$C28*H27</f>
        <v/>
      </c>
      <c r="I28">
        <f>$C28*I27</f>
        <v/>
      </c>
      <c r="J28">
        <f>$C28*J27</f>
        <v/>
      </c>
      <c r="K28">
        <f>$C28*K27</f>
        <v/>
      </c>
      <c r="L28">
        <f>$C28*L27</f>
        <v/>
      </c>
      <c r="M28">
        <f>$C28*M27</f>
        <v/>
      </c>
      <c r="N28">
        <f>$C28*N27</f>
        <v/>
      </c>
      <c r="O28">
        <f>$C28*O27</f>
        <v/>
      </c>
      <c r="P28">
        <f>$C28*P27</f>
        <v/>
      </c>
      <c r="Q28">
        <f>$C28*Q27</f>
        <v/>
      </c>
      <c r="R28">
        <f>$C28*R27</f>
        <v/>
      </c>
      <c r="S28">
        <f>$C28*S27</f>
        <v/>
      </c>
      <c r="T28">
        <f>$C28*T27</f>
        <v/>
      </c>
      <c r="U28">
        <f>$C28*U27</f>
        <v/>
      </c>
      <c r="V28">
        <f>$C28*V27</f>
        <v/>
      </c>
      <c r="W28">
        <f>$C28*W27</f>
        <v/>
      </c>
      <c r="X28">
        <f>$C28*X27</f>
        <v/>
      </c>
      <c r="Y28">
        <f>$C28*Y27</f>
        <v/>
      </c>
      <c r="Z28">
        <f>$C28*Z27</f>
        <v/>
      </c>
      <c r="AA28">
        <f>$C28*AA27</f>
        <v/>
      </c>
      <c r="AB28">
        <f>$C28*AB27</f>
        <v/>
      </c>
      <c r="AC28">
        <f>$C28*AC27</f>
        <v/>
      </c>
      <c r="AD28">
        <f>$C28*AD27</f>
        <v/>
      </c>
      <c r="AE28">
        <f>$C28*AE27</f>
        <v/>
      </c>
      <c r="AF28">
        <f>$C28*AF27</f>
        <v/>
      </c>
      <c r="AG28">
        <f>$C28*AG27</f>
        <v/>
      </c>
      <c r="AH28">
        <f>$C28*AH27</f>
        <v/>
      </c>
      <c r="AI28">
        <f>$C28*AI27</f>
        <v/>
      </c>
      <c r="AJ28">
        <f>$C28*AJ27</f>
        <v/>
      </c>
      <c r="AK28">
        <f>$C28*AK27</f>
        <v/>
      </c>
      <c r="AL28">
        <f>$C28*AL27</f>
        <v/>
      </c>
      <c r="AM28">
        <f>$C28*AM27</f>
        <v/>
      </c>
      <c r="AN28">
        <f>$C28*AN27</f>
        <v/>
      </c>
      <c r="AO28">
        <f>$C28*AO27</f>
        <v/>
      </c>
      <c r="AP28">
        <f>$C28*AP27</f>
        <v/>
      </c>
      <c r="AQ28">
        <f>$C28*AQ27</f>
        <v/>
      </c>
      <c r="AR28">
        <f>$C28*AR27</f>
        <v/>
      </c>
      <c r="AS28">
        <f>$C28*AS27</f>
        <v/>
      </c>
      <c r="AT28">
        <f>$C28*AT27</f>
        <v/>
      </c>
      <c r="AU28">
        <f>$C28*AU27</f>
        <v/>
      </c>
      <c r="AV28">
        <f>$C28*AV27</f>
        <v/>
      </c>
      <c r="AW28">
        <f>$C28*AW27</f>
        <v/>
      </c>
      <c r="AX28">
        <f>$C28*AX27</f>
        <v/>
      </c>
      <c r="AY28">
        <f>$C28*AY27</f>
        <v/>
      </c>
      <c r="AZ28">
        <f>$C28*AZ27</f>
        <v/>
      </c>
      <c r="BA28">
        <f>$C28*BA27</f>
        <v/>
      </c>
      <c r="BB28">
        <f>$C28*BB27</f>
        <v/>
      </c>
      <c r="BC28">
        <f>$C28*BC27</f>
        <v/>
      </c>
      <c r="BD28">
        <f>$C28*BD27</f>
        <v/>
      </c>
      <c r="BE28">
        <f>$C28*BE27</f>
        <v/>
      </c>
      <c r="BF28">
        <f>$C28*BF27</f>
        <v/>
      </c>
      <c r="BG28">
        <f>$C28*BG27</f>
        <v/>
      </c>
      <c r="BH28">
        <f>$C28*BH27</f>
        <v/>
      </c>
      <c r="BI28">
        <f>$C28*BI27</f>
        <v/>
      </c>
      <c r="BJ28">
        <f>$C28*BJ27</f>
        <v/>
      </c>
      <c r="BK28">
        <f>$C28*BK27</f>
        <v/>
      </c>
      <c r="BL28">
        <f>$C28*BL27</f>
        <v/>
      </c>
      <c r="BM28">
        <f>$C28*BM27</f>
        <v/>
      </c>
      <c r="BN28">
        <f>$C28*BN27</f>
        <v/>
      </c>
      <c r="BO28">
        <f>$C28*BO27</f>
        <v/>
      </c>
      <c r="BP28">
        <f>$C28*BP27</f>
        <v/>
      </c>
      <c r="BQ28">
        <f>$C28*BQ27</f>
        <v/>
      </c>
      <c r="BR28">
        <f>$C28*BR27</f>
        <v/>
      </c>
      <c r="BS28">
        <f>$C28*BS27</f>
        <v/>
      </c>
      <c r="BT28">
        <f>$C28*BT27</f>
        <v/>
      </c>
      <c r="BU28">
        <f>$C28*BU27</f>
        <v/>
      </c>
      <c r="BV28">
        <f>$C28*BV27</f>
        <v/>
      </c>
      <c r="BW28">
        <f>$C28*BW27</f>
        <v/>
      </c>
      <c r="BX28">
        <f>$C28*BX27</f>
        <v/>
      </c>
      <c r="BY28">
        <f>$C28*BY27</f>
        <v/>
      </c>
      <c r="BZ28">
        <f>$C28*BZ27</f>
        <v/>
      </c>
      <c r="CA28">
        <f>$C28*CA27</f>
        <v/>
      </c>
      <c r="CB28">
        <f>$C28*CB27</f>
        <v/>
      </c>
      <c r="CC28">
        <f>$C28*CC27</f>
        <v/>
      </c>
      <c r="CD28">
        <f>$C28*CD27</f>
        <v/>
      </c>
      <c r="CE28">
        <f>$C28*CE27</f>
        <v/>
      </c>
      <c r="CF28">
        <f>$C28*CF27</f>
        <v/>
      </c>
      <c r="CG28">
        <f>$C28*CG27</f>
        <v/>
      </c>
      <c r="CH28">
        <f>$C28*CH27</f>
        <v/>
      </c>
      <c r="CI28">
        <f>$C28*CI27</f>
        <v/>
      </c>
      <c r="CJ28">
        <f>$C28*CJ27</f>
        <v/>
      </c>
      <c r="CK28">
        <f>$C28*CK27</f>
        <v/>
      </c>
      <c r="CL28">
        <f>$C28*CL27</f>
        <v/>
      </c>
      <c r="CM28">
        <f>$C28*CM27</f>
        <v/>
      </c>
      <c r="CN28">
        <f>$C28*CN27</f>
        <v/>
      </c>
      <c r="CO28">
        <f>$C28*CO27</f>
        <v/>
      </c>
      <c r="CP28">
        <f>$C28*CP27</f>
        <v/>
      </c>
      <c r="CQ28">
        <f>$C28*CQ27</f>
        <v/>
      </c>
      <c r="CR28">
        <f>$C28*CR27</f>
        <v/>
      </c>
      <c r="CS28">
        <f>$C28*CS27</f>
        <v/>
      </c>
      <c r="CT28">
        <f>$C28*CT27</f>
        <v/>
      </c>
      <c r="CU28">
        <f>$C28*CU27</f>
        <v/>
      </c>
      <c r="CV28">
        <f>$C28*CV27</f>
        <v/>
      </c>
      <c r="CW28">
        <f>$C28*CW27</f>
        <v/>
      </c>
      <c r="CX28">
        <f>$C28*CX27</f>
        <v/>
      </c>
      <c r="CY28">
        <f>$C28*CY27</f>
        <v/>
      </c>
      <c r="CZ28">
        <f>$C28*CZ27</f>
        <v/>
      </c>
      <c r="DA28">
        <f>$C28*DA27</f>
        <v/>
      </c>
      <c r="DB28">
        <f>$C28*DB27</f>
        <v/>
      </c>
      <c r="DC28">
        <f>$C28*DC27</f>
        <v/>
      </c>
    </row>
    <row r="29">
      <c r="B29" t="inlineStr">
        <is>
          <t>0T860</t>
        </is>
      </c>
      <c r="C29" t="inlineStr">
        <is>
          <t>No. of batches</t>
        </is>
      </c>
      <c r="D29">
        <f>IFERROR(INDEX(PP_Grid[#Data],$DD29,2),0)</f>
        <v/>
      </c>
      <c r="E29">
        <f>IFERROR(INDEX(PP_Grid[#Data],$DD29,3),0)</f>
        <v/>
      </c>
      <c r="F29">
        <f>IFERROR(INDEX(PP_Grid[#Data],$DD29,4),0)</f>
        <v/>
      </c>
      <c r="G29">
        <f>IFERROR(INDEX(PP_Grid[#Data],$DD29,5),0)</f>
        <v/>
      </c>
      <c r="H29">
        <f>IFERROR(INDEX(PP_Grid[#Data],$DD29,6),0)</f>
        <v/>
      </c>
      <c r="I29">
        <f>IFERROR(INDEX(PP_Grid[#Data],$DD29,7),0)</f>
        <v/>
      </c>
      <c r="J29">
        <f>IFERROR(INDEX(PP_Grid[#Data],$DD29,8),0)</f>
        <v/>
      </c>
      <c r="K29">
        <f>IFERROR(INDEX(PP_Grid[#Data],$DD29,9),0)</f>
        <v/>
      </c>
      <c r="L29">
        <f>IFERROR(INDEX(PP_Grid[#Data],$DD29,10),0)</f>
        <v/>
      </c>
      <c r="M29">
        <f>IFERROR(INDEX(PP_Grid[#Data],$DD29,11),0)</f>
        <v/>
      </c>
      <c r="N29">
        <f>IFERROR(INDEX(PP_Grid[#Data],$DD29,12),0)</f>
        <v/>
      </c>
      <c r="O29">
        <f>IFERROR(INDEX(PP_Grid[#Data],$DD29,13),0)</f>
        <v/>
      </c>
      <c r="P29">
        <f>IFERROR(INDEX(PP_Grid[#Data],$DD29,14),0)</f>
        <v/>
      </c>
      <c r="Q29">
        <f>IFERROR(INDEX(PP_Grid[#Data],$DD29,15),0)</f>
        <v/>
      </c>
      <c r="R29">
        <f>IFERROR(INDEX(PP_Grid[#Data],$DD29,16),0)</f>
        <v/>
      </c>
      <c r="S29">
        <f>IFERROR(INDEX(PP_Grid[#Data],$DD29,17),0)</f>
        <v/>
      </c>
      <c r="T29">
        <f>IFERROR(INDEX(PP_Grid[#Data],$DD29,18),0)</f>
        <v/>
      </c>
      <c r="U29">
        <f>IFERROR(INDEX(PP_Grid[#Data],$DD29,19),0)</f>
        <v/>
      </c>
      <c r="V29">
        <f>IFERROR(INDEX(PP_Grid[#Data],$DD29,20),0)</f>
        <v/>
      </c>
      <c r="W29">
        <f>IFERROR(INDEX(PP_Grid[#Data],$DD29,21),0)</f>
        <v/>
      </c>
      <c r="X29">
        <f>IFERROR(INDEX(PP_Grid[#Data],$DD29,22),0)</f>
        <v/>
      </c>
      <c r="Y29">
        <f>IFERROR(INDEX(PP_Grid[#Data],$DD29,23),0)</f>
        <v/>
      </c>
      <c r="Z29">
        <f>IFERROR(INDEX(PP_Grid[#Data],$DD29,24),0)</f>
        <v/>
      </c>
      <c r="AA29">
        <f>IFERROR(INDEX(PP_Grid[#Data],$DD29,25),0)</f>
        <v/>
      </c>
      <c r="AB29">
        <f>IFERROR(INDEX(PP_Grid[#Data],$DD29,26),0)</f>
        <v/>
      </c>
      <c r="AC29">
        <f>IFERROR(INDEX(PP_Grid[#Data],$DD29,27),0)</f>
        <v/>
      </c>
      <c r="AD29">
        <f>IFERROR(INDEX(PP_Grid[#Data],$DD29,28),0)</f>
        <v/>
      </c>
      <c r="AE29">
        <f>IFERROR(INDEX(PP_Grid[#Data],$DD29,29),0)</f>
        <v/>
      </c>
      <c r="AF29">
        <f>IFERROR(INDEX(PP_Grid[#Data],$DD29,30),0)</f>
        <v/>
      </c>
      <c r="AG29">
        <f>IFERROR(INDEX(PP_Grid[#Data],$DD29,31),0)</f>
        <v/>
      </c>
      <c r="AH29">
        <f>IFERROR(INDEX(PP_Grid[#Data],$DD29,32),0)</f>
        <v/>
      </c>
      <c r="AI29">
        <f>IFERROR(INDEX(PP_Grid[#Data],$DD29,33),0)</f>
        <v/>
      </c>
      <c r="AJ29">
        <f>IFERROR(INDEX(PP_Grid[#Data],$DD29,34),0)</f>
        <v/>
      </c>
      <c r="AK29">
        <f>IFERROR(INDEX(PP_Grid[#Data],$DD29,35),0)</f>
        <v/>
      </c>
      <c r="AL29">
        <f>IFERROR(INDEX(PP_Grid[#Data],$DD29,36),0)</f>
        <v/>
      </c>
      <c r="AM29">
        <f>IFERROR(INDEX(PP_Grid[#Data],$DD29,37),0)</f>
        <v/>
      </c>
      <c r="AN29">
        <f>IFERROR(INDEX(PP_Grid[#Data],$DD29,38),0)</f>
        <v/>
      </c>
      <c r="AO29">
        <f>IFERROR(INDEX(PP_Grid[#Data],$DD29,39),0)</f>
        <v/>
      </c>
      <c r="AP29">
        <f>IFERROR(INDEX(PP_Grid[#Data],$DD29,40),0)</f>
        <v/>
      </c>
      <c r="AQ29">
        <f>IFERROR(INDEX(PP_Grid[#Data],$DD29,41),0)</f>
        <v/>
      </c>
      <c r="AR29">
        <f>IFERROR(INDEX(PP_Grid[#Data],$DD29,42),0)</f>
        <v/>
      </c>
      <c r="AS29">
        <f>IFERROR(INDEX(PP_Grid[#Data],$DD29,43),0)</f>
        <v/>
      </c>
      <c r="AT29">
        <f>IFERROR(INDEX(PP_Grid[#Data],$DD29,44),0)</f>
        <v/>
      </c>
      <c r="AU29">
        <f>IFERROR(INDEX(PP_Grid[#Data],$DD29,45),0)</f>
        <v/>
      </c>
      <c r="AV29">
        <f>IFERROR(INDEX(PP_Grid[#Data],$DD29,46),0)</f>
        <v/>
      </c>
      <c r="AW29">
        <f>IFERROR(INDEX(PP_Grid[#Data],$DD29,47),0)</f>
        <v/>
      </c>
      <c r="AX29">
        <f>IFERROR(INDEX(PP_Grid[#Data],$DD29,48),0)</f>
        <v/>
      </c>
      <c r="AY29">
        <f>IFERROR(INDEX(PP_Grid[#Data],$DD29,49),0)</f>
        <v/>
      </c>
      <c r="AZ29">
        <f>IFERROR(INDEX(PP_Grid[#Data],$DD29,50),0)</f>
        <v/>
      </c>
      <c r="BA29">
        <f>IFERROR(INDEX(PP_Grid[#Data],$DD29,51),0)</f>
        <v/>
      </c>
      <c r="BB29">
        <f>IFERROR(INDEX(PP_Grid[#Data],$DD29,52),0)</f>
        <v/>
      </c>
      <c r="BC29">
        <f>IFERROR(INDEX(PP_Grid[#Data],$DD29,53),0)</f>
        <v/>
      </c>
      <c r="BD29">
        <f>IFERROR(INDEX(PP_Grid[#Data],$DD29,54),0)</f>
        <v/>
      </c>
      <c r="BE29">
        <f>IFERROR(INDEX(PP_Grid[#Data],$DD29,55),0)</f>
        <v/>
      </c>
      <c r="BF29">
        <f>IFERROR(INDEX(PP_Grid[#Data],$DD29,56),0)</f>
        <v/>
      </c>
      <c r="BG29">
        <f>IFERROR(INDEX(PP_Grid[#Data],$DD29,57),0)</f>
        <v/>
      </c>
      <c r="BH29">
        <f>IFERROR(INDEX(PP_Grid[#Data],$DD29,58),0)</f>
        <v/>
      </c>
      <c r="BI29">
        <f>IFERROR(INDEX(PP_Grid[#Data],$DD29,59),0)</f>
        <v/>
      </c>
      <c r="BJ29">
        <f>IFERROR(INDEX(PP_Grid[#Data],$DD29,60),0)</f>
        <v/>
      </c>
      <c r="BK29">
        <f>IFERROR(INDEX(PP_Grid[#Data],$DD29,61),0)</f>
        <v/>
      </c>
      <c r="BL29">
        <f>IFERROR(INDEX(PP_Grid[#Data],$DD29,62),0)</f>
        <v/>
      </c>
      <c r="BM29">
        <f>IFERROR(INDEX(PP_Grid[#Data],$DD29,63),0)</f>
        <v/>
      </c>
      <c r="BN29">
        <f>IFERROR(INDEX(PP_Grid[#Data],$DD29,64),0)</f>
        <v/>
      </c>
      <c r="BO29">
        <f>IFERROR(INDEX(PP_Grid[#Data],$DD29,65),0)</f>
        <v/>
      </c>
      <c r="BP29">
        <f>IFERROR(INDEX(PP_Grid[#Data],$DD29,66),0)</f>
        <v/>
      </c>
      <c r="BQ29">
        <f>IFERROR(INDEX(PP_Grid[#Data],$DD29,67),0)</f>
        <v/>
      </c>
      <c r="BR29">
        <f>IFERROR(INDEX(PP_Grid[#Data],$DD29,68),0)</f>
        <v/>
      </c>
      <c r="BS29">
        <f>IFERROR(INDEX(PP_Grid[#Data],$DD29,69),0)</f>
        <v/>
      </c>
      <c r="BT29">
        <f>IFERROR(INDEX(PP_Grid[#Data],$DD29,70),0)</f>
        <v/>
      </c>
      <c r="BU29">
        <f>IFERROR(INDEX(PP_Grid[#Data],$DD29,71),0)</f>
        <v/>
      </c>
      <c r="BV29">
        <f>IFERROR(INDEX(PP_Grid[#Data],$DD29,72),0)</f>
        <v/>
      </c>
      <c r="BW29">
        <f>IFERROR(INDEX(PP_Grid[#Data],$DD29,73),0)</f>
        <v/>
      </c>
      <c r="BX29">
        <f>IFERROR(INDEX(PP_Grid[#Data],$DD29,74),0)</f>
        <v/>
      </c>
      <c r="BY29">
        <f>IFERROR(INDEX(PP_Grid[#Data],$DD29,75),0)</f>
        <v/>
      </c>
      <c r="BZ29">
        <f>IFERROR(INDEX(PP_Grid[#Data],$DD29,76),0)</f>
        <v/>
      </c>
      <c r="CA29">
        <f>IFERROR(INDEX(PP_Grid[#Data],$DD29,77),0)</f>
        <v/>
      </c>
      <c r="CB29">
        <f>IFERROR(INDEX(PP_Grid[#Data],$DD29,78),0)</f>
        <v/>
      </c>
      <c r="CC29">
        <f>IFERROR(INDEX(PP_Grid[#Data],$DD29,79),0)</f>
        <v/>
      </c>
      <c r="CD29">
        <f>IFERROR(INDEX(PP_Grid[#Data],$DD29,80),0)</f>
        <v/>
      </c>
      <c r="CE29">
        <f>IFERROR(INDEX(PP_Grid[#Data],$DD29,81),0)</f>
        <v/>
      </c>
      <c r="CF29">
        <f>IFERROR(INDEX(PP_Grid[#Data],$DD29,82),0)</f>
        <v/>
      </c>
      <c r="CG29">
        <f>IFERROR(INDEX(PP_Grid[#Data],$DD29,83),0)</f>
        <v/>
      </c>
      <c r="CH29">
        <f>IFERROR(INDEX(PP_Grid[#Data],$DD29,84),0)</f>
        <v/>
      </c>
      <c r="CI29">
        <f>IFERROR(INDEX(PP_Grid[#Data],$DD29,85),0)</f>
        <v/>
      </c>
      <c r="CJ29">
        <f>IFERROR(INDEX(PP_Grid[#Data],$DD29,86),0)</f>
        <v/>
      </c>
      <c r="CK29">
        <f>IFERROR(INDEX(PP_Grid[#Data],$DD29,87),0)</f>
        <v/>
      </c>
      <c r="CL29">
        <f>IFERROR(INDEX(PP_Grid[#Data],$DD29,88),0)</f>
        <v/>
      </c>
      <c r="CM29">
        <f>IFERROR(INDEX(PP_Grid[#Data],$DD29,89),0)</f>
        <v/>
      </c>
      <c r="CN29">
        <f>IFERROR(INDEX(PP_Grid[#Data],$DD29,90),0)</f>
        <v/>
      </c>
      <c r="CO29">
        <f>IFERROR(INDEX(PP_Grid[#Data],$DD29,91),0)</f>
        <v/>
      </c>
      <c r="CP29">
        <f>IFERROR(INDEX(PP_Grid[#Data],$DD29,92),0)</f>
        <v/>
      </c>
      <c r="CQ29">
        <f>IFERROR(INDEX(PP_Grid[#Data],$DD29,93),0)</f>
        <v/>
      </c>
      <c r="CR29">
        <f>IFERROR(INDEX(PP_Grid[#Data],$DD29,94),0)</f>
        <v/>
      </c>
      <c r="CS29">
        <f>IFERROR(INDEX(PP_Grid[#Data],$DD29,95),0)</f>
        <v/>
      </c>
      <c r="CT29">
        <f>IFERROR(INDEX(PP_Grid[#Data],$DD29,96),0)</f>
        <v/>
      </c>
      <c r="CU29">
        <f>IFERROR(INDEX(PP_Grid[#Data],$DD29,97),0)</f>
        <v/>
      </c>
      <c r="CV29">
        <f>IFERROR(INDEX(PP_Grid[#Data],$DD29,98),0)</f>
        <v/>
      </c>
      <c r="CW29">
        <f>IFERROR(INDEX(PP_Grid[#Data],$DD29,99),0)</f>
        <v/>
      </c>
      <c r="CX29">
        <f>IFERROR(INDEX(PP_Grid[#Data],$DD29,100),0)</f>
        <v/>
      </c>
      <c r="CY29">
        <f>IFERROR(INDEX(PP_Grid[#Data],$DD29,101),0)</f>
        <v/>
      </c>
      <c r="CZ29">
        <f>IFERROR(INDEX(PP_Grid[#Data],$DD29,102),0)</f>
        <v/>
      </c>
      <c r="DA29">
        <f>IFERROR(INDEX(PP_Grid[#Data],$DD29,103),0)</f>
        <v/>
      </c>
      <c r="DB29">
        <f>IFERROR(INDEX(PP_Grid[#Data],$DD29,104),0)</f>
        <v/>
      </c>
      <c r="DC29">
        <f>IFERROR(INDEX(PP_Grid[#Data],$DD29,105),0)</f>
        <v/>
      </c>
      <c r="DD29" s="12">
        <f>IFERROR(MATCH($B29,PP_Grid[Intermediate],0),99999)</f>
        <v/>
      </c>
    </row>
    <row r="30">
      <c r="B30" t="inlineStr">
        <is>
          <t>使用量(kg)</t>
        </is>
      </c>
      <c r="C30">
        <f>SUMIFS(M_BOM[RM_Qty_Per_Batch],M_BOM[Intermediate],$B29,M_BOM[Part Name],$A18)</f>
        <v/>
      </c>
      <c r="D30">
        <f>$C30*D29</f>
        <v/>
      </c>
      <c r="E30">
        <f>$C30*E29</f>
        <v/>
      </c>
      <c r="F30">
        <f>$C30*F29</f>
        <v/>
      </c>
      <c r="G30">
        <f>$C30*G29</f>
        <v/>
      </c>
      <c r="H30">
        <f>$C30*H29</f>
        <v/>
      </c>
      <c r="I30">
        <f>$C30*I29</f>
        <v/>
      </c>
      <c r="J30">
        <f>$C30*J29</f>
        <v/>
      </c>
      <c r="K30">
        <f>$C30*K29</f>
        <v/>
      </c>
      <c r="L30">
        <f>$C30*L29</f>
        <v/>
      </c>
      <c r="M30">
        <f>$C30*M29</f>
        <v/>
      </c>
      <c r="N30">
        <f>$C30*N29</f>
        <v/>
      </c>
      <c r="O30">
        <f>$C30*O29</f>
        <v/>
      </c>
      <c r="P30">
        <f>$C30*P29</f>
        <v/>
      </c>
      <c r="Q30">
        <f>$C30*Q29</f>
        <v/>
      </c>
      <c r="R30">
        <f>$C30*R29</f>
        <v/>
      </c>
      <c r="S30">
        <f>$C30*S29</f>
        <v/>
      </c>
      <c r="T30">
        <f>$C30*T29</f>
        <v/>
      </c>
      <c r="U30">
        <f>$C30*U29</f>
        <v/>
      </c>
      <c r="V30">
        <f>$C30*V29</f>
        <v/>
      </c>
      <c r="W30">
        <f>$C30*W29</f>
        <v/>
      </c>
      <c r="X30">
        <f>$C30*X29</f>
        <v/>
      </c>
      <c r="Y30">
        <f>$C30*Y29</f>
        <v/>
      </c>
      <c r="Z30">
        <f>$C30*Z29</f>
        <v/>
      </c>
      <c r="AA30">
        <f>$C30*AA29</f>
        <v/>
      </c>
      <c r="AB30">
        <f>$C30*AB29</f>
        <v/>
      </c>
      <c r="AC30">
        <f>$C30*AC29</f>
        <v/>
      </c>
      <c r="AD30">
        <f>$C30*AD29</f>
        <v/>
      </c>
      <c r="AE30">
        <f>$C30*AE29</f>
        <v/>
      </c>
      <c r="AF30">
        <f>$C30*AF29</f>
        <v/>
      </c>
      <c r="AG30">
        <f>$C30*AG29</f>
        <v/>
      </c>
      <c r="AH30">
        <f>$C30*AH29</f>
        <v/>
      </c>
      <c r="AI30">
        <f>$C30*AI29</f>
        <v/>
      </c>
      <c r="AJ30">
        <f>$C30*AJ29</f>
        <v/>
      </c>
      <c r="AK30">
        <f>$C30*AK29</f>
        <v/>
      </c>
      <c r="AL30">
        <f>$C30*AL29</f>
        <v/>
      </c>
      <c r="AM30">
        <f>$C30*AM29</f>
        <v/>
      </c>
      <c r="AN30">
        <f>$C30*AN29</f>
        <v/>
      </c>
      <c r="AO30">
        <f>$C30*AO29</f>
        <v/>
      </c>
      <c r="AP30">
        <f>$C30*AP29</f>
        <v/>
      </c>
      <c r="AQ30">
        <f>$C30*AQ29</f>
        <v/>
      </c>
      <c r="AR30">
        <f>$C30*AR29</f>
        <v/>
      </c>
      <c r="AS30">
        <f>$C30*AS29</f>
        <v/>
      </c>
      <c r="AT30">
        <f>$C30*AT29</f>
        <v/>
      </c>
      <c r="AU30">
        <f>$C30*AU29</f>
        <v/>
      </c>
      <c r="AV30">
        <f>$C30*AV29</f>
        <v/>
      </c>
      <c r="AW30">
        <f>$C30*AW29</f>
        <v/>
      </c>
      <c r="AX30">
        <f>$C30*AX29</f>
        <v/>
      </c>
      <c r="AY30">
        <f>$C30*AY29</f>
        <v/>
      </c>
      <c r="AZ30">
        <f>$C30*AZ29</f>
        <v/>
      </c>
      <c r="BA30">
        <f>$C30*BA29</f>
        <v/>
      </c>
      <c r="BB30">
        <f>$C30*BB29</f>
        <v/>
      </c>
      <c r="BC30">
        <f>$C30*BC29</f>
        <v/>
      </c>
      <c r="BD30">
        <f>$C30*BD29</f>
        <v/>
      </c>
      <c r="BE30">
        <f>$C30*BE29</f>
        <v/>
      </c>
      <c r="BF30">
        <f>$C30*BF29</f>
        <v/>
      </c>
      <c r="BG30">
        <f>$C30*BG29</f>
        <v/>
      </c>
      <c r="BH30">
        <f>$C30*BH29</f>
        <v/>
      </c>
      <c r="BI30">
        <f>$C30*BI29</f>
        <v/>
      </c>
      <c r="BJ30">
        <f>$C30*BJ29</f>
        <v/>
      </c>
      <c r="BK30">
        <f>$C30*BK29</f>
        <v/>
      </c>
      <c r="BL30">
        <f>$C30*BL29</f>
        <v/>
      </c>
      <c r="BM30">
        <f>$C30*BM29</f>
        <v/>
      </c>
      <c r="BN30">
        <f>$C30*BN29</f>
        <v/>
      </c>
      <c r="BO30">
        <f>$C30*BO29</f>
        <v/>
      </c>
      <c r="BP30">
        <f>$C30*BP29</f>
        <v/>
      </c>
      <c r="BQ30">
        <f>$C30*BQ29</f>
        <v/>
      </c>
      <c r="BR30">
        <f>$C30*BR29</f>
        <v/>
      </c>
      <c r="BS30">
        <f>$C30*BS29</f>
        <v/>
      </c>
      <c r="BT30">
        <f>$C30*BT29</f>
        <v/>
      </c>
      <c r="BU30">
        <f>$C30*BU29</f>
        <v/>
      </c>
      <c r="BV30">
        <f>$C30*BV29</f>
        <v/>
      </c>
      <c r="BW30">
        <f>$C30*BW29</f>
        <v/>
      </c>
      <c r="BX30">
        <f>$C30*BX29</f>
        <v/>
      </c>
      <c r="BY30">
        <f>$C30*BY29</f>
        <v/>
      </c>
      <c r="BZ30">
        <f>$C30*BZ29</f>
        <v/>
      </c>
      <c r="CA30">
        <f>$C30*CA29</f>
        <v/>
      </c>
      <c r="CB30">
        <f>$C30*CB29</f>
        <v/>
      </c>
      <c r="CC30">
        <f>$C30*CC29</f>
        <v/>
      </c>
      <c r="CD30">
        <f>$C30*CD29</f>
        <v/>
      </c>
      <c r="CE30">
        <f>$C30*CE29</f>
        <v/>
      </c>
      <c r="CF30">
        <f>$C30*CF29</f>
        <v/>
      </c>
      <c r="CG30">
        <f>$C30*CG29</f>
        <v/>
      </c>
      <c r="CH30">
        <f>$C30*CH29</f>
        <v/>
      </c>
      <c r="CI30">
        <f>$C30*CI29</f>
        <v/>
      </c>
      <c r="CJ30">
        <f>$C30*CJ29</f>
        <v/>
      </c>
      <c r="CK30">
        <f>$C30*CK29</f>
        <v/>
      </c>
      <c r="CL30">
        <f>$C30*CL29</f>
        <v/>
      </c>
      <c r="CM30">
        <f>$C30*CM29</f>
        <v/>
      </c>
      <c r="CN30">
        <f>$C30*CN29</f>
        <v/>
      </c>
      <c r="CO30">
        <f>$C30*CO29</f>
        <v/>
      </c>
      <c r="CP30">
        <f>$C30*CP29</f>
        <v/>
      </c>
      <c r="CQ30">
        <f>$C30*CQ29</f>
        <v/>
      </c>
      <c r="CR30">
        <f>$C30*CR29</f>
        <v/>
      </c>
      <c r="CS30">
        <f>$C30*CS29</f>
        <v/>
      </c>
      <c r="CT30">
        <f>$C30*CT29</f>
        <v/>
      </c>
      <c r="CU30">
        <f>$C30*CU29</f>
        <v/>
      </c>
      <c r="CV30">
        <f>$C30*CV29</f>
        <v/>
      </c>
      <c r="CW30">
        <f>$C30*CW29</f>
        <v/>
      </c>
      <c r="CX30">
        <f>$C30*CX29</f>
        <v/>
      </c>
      <c r="CY30">
        <f>$C30*CY29</f>
        <v/>
      </c>
      <c r="CZ30">
        <f>$C30*CZ29</f>
        <v/>
      </c>
      <c r="DA30">
        <f>$C30*DA29</f>
        <v/>
      </c>
      <c r="DB30">
        <f>$C30*DB29</f>
        <v/>
      </c>
      <c r="DC30">
        <f>$C30*DC29</f>
        <v/>
      </c>
    </row>
    <row r="31">
      <c r="B31" t="inlineStr">
        <is>
          <t>0T870</t>
        </is>
      </c>
      <c r="C31" t="inlineStr">
        <is>
          <t>No. of batches</t>
        </is>
      </c>
      <c r="D31">
        <f>IFERROR(INDEX(PP_Grid[#Data],$DD31,2),0)</f>
        <v/>
      </c>
      <c r="E31">
        <f>IFERROR(INDEX(PP_Grid[#Data],$DD31,3),0)</f>
        <v/>
      </c>
      <c r="F31">
        <f>IFERROR(INDEX(PP_Grid[#Data],$DD31,4),0)</f>
        <v/>
      </c>
      <c r="G31">
        <f>IFERROR(INDEX(PP_Grid[#Data],$DD31,5),0)</f>
        <v/>
      </c>
      <c r="H31">
        <f>IFERROR(INDEX(PP_Grid[#Data],$DD31,6),0)</f>
        <v/>
      </c>
      <c r="I31">
        <f>IFERROR(INDEX(PP_Grid[#Data],$DD31,7),0)</f>
        <v/>
      </c>
      <c r="J31">
        <f>IFERROR(INDEX(PP_Grid[#Data],$DD31,8),0)</f>
        <v/>
      </c>
      <c r="K31">
        <f>IFERROR(INDEX(PP_Grid[#Data],$DD31,9),0)</f>
        <v/>
      </c>
      <c r="L31">
        <f>IFERROR(INDEX(PP_Grid[#Data],$DD31,10),0)</f>
        <v/>
      </c>
      <c r="M31">
        <f>IFERROR(INDEX(PP_Grid[#Data],$DD31,11),0)</f>
        <v/>
      </c>
      <c r="N31">
        <f>IFERROR(INDEX(PP_Grid[#Data],$DD31,12),0)</f>
        <v/>
      </c>
      <c r="O31">
        <f>IFERROR(INDEX(PP_Grid[#Data],$DD31,13),0)</f>
        <v/>
      </c>
      <c r="P31">
        <f>IFERROR(INDEX(PP_Grid[#Data],$DD31,14),0)</f>
        <v/>
      </c>
      <c r="Q31">
        <f>IFERROR(INDEX(PP_Grid[#Data],$DD31,15),0)</f>
        <v/>
      </c>
      <c r="R31">
        <f>IFERROR(INDEX(PP_Grid[#Data],$DD31,16),0)</f>
        <v/>
      </c>
      <c r="S31">
        <f>IFERROR(INDEX(PP_Grid[#Data],$DD31,17),0)</f>
        <v/>
      </c>
      <c r="T31">
        <f>IFERROR(INDEX(PP_Grid[#Data],$DD31,18),0)</f>
        <v/>
      </c>
      <c r="U31">
        <f>IFERROR(INDEX(PP_Grid[#Data],$DD31,19),0)</f>
        <v/>
      </c>
      <c r="V31">
        <f>IFERROR(INDEX(PP_Grid[#Data],$DD31,20),0)</f>
        <v/>
      </c>
      <c r="W31">
        <f>IFERROR(INDEX(PP_Grid[#Data],$DD31,21),0)</f>
        <v/>
      </c>
      <c r="X31">
        <f>IFERROR(INDEX(PP_Grid[#Data],$DD31,22),0)</f>
        <v/>
      </c>
      <c r="Y31">
        <f>IFERROR(INDEX(PP_Grid[#Data],$DD31,23),0)</f>
        <v/>
      </c>
      <c r="Z31">
        <f>IFERROR(INDEX(PP_Grid[#Data],$DD31,24),0)</f>
        <v/>
      </c>
      <c r="AA31">
        <f>IFERROR(INDEX(PP_Grid[#Data],$DD31,25),0)</f>
        <v/>
      </c>
      <c r="AB31">
        <f>IFERROR(INDEX(PP_Grid[#Data],$DD31,26),0)</f>
        <v/>
      </c>
      <c r="AC31">
        <f>IFERROR(INDEX(PP_Grid[#Data],$DD31,27),0)</f>
        <v/>
      </c>
      <c r="AD31">
        <f>IFERROR(INDEX(PP_Grid[#Data],$DD31,28),0)</f>
        <v/>
      </c>
      <c r="AE31">
        <f>IFERROR(INDEX(PP_Grid[#Data],$DD31,29),0)</f>
        <v/>
      </c>
      <c r="AF31">
        <f>IFERROR(INDEX(PP_Grid[#Data],$DD31,30),0)</f>
        <v/>
      </c>
      <c r="AG31">
        <f>IFERROR(INDEX(PP_Grid[#Data],$DD31,31),0)</f>
        <v/>
      </c>
      <c r="AH31">
        <f>IFERROR(INDEX(PP_Grid[#Data],$DD31,32),0)</f>
        <v/>
      </c>
      <c r="AI31">
        <f>IFERROR(INDEX(PP_Grid[#Data],$DD31,33),0)</f>
        <v/>
      </c>
      <c r="AJ31">
        <f>IFERROR(INDEX(PP_Grid[#Data],$DD31,34),0)</f>
        <v/>
      </c>
      <c r="AK31">
        <f>IFERROR(INDEX(PP_Grid[#Data],$DD31,35),0)</f>
        <v/>
      </c>
      <c r="AL31">
        <f>IFERROR(INDEX(PP_Grid[#Data],$DD31,36),0)</f>
        <v/>
      </c>
      <c r="AM31">
        <f>IFERROR(INDEX(PP_Grid[#Data],$DD31,37),0)</f>
        <v/>
      </c>
      <c r="AN31">
        <f>IFERROR(INDEX(PP_Grid[#Data],$DD31,38),0)</f>
        <v/>
      </c>
      <c r="AO31">
        <f>IFERROR(INDEX(PP_Grid[#Data],$DD31,39),0)</f>
        <v/>
      </c>
      <c r="AP31">
        <f>IFERROR(INDEX(PP_Grid[#Data],$DD31,40),0)</f>
        <v/>
      </c>
      <c r="AQ31">
        <f>IFERROR(INDEX(PP_Grid[#Data],$DD31,41),0)</f>
        <v/>
      </c>
      <c r="AR31">
        <f>IFERROR(INDEX(PP_Grid[#Data],$DD31,42),0)</f>
        <v/>
      </c>
      <c r="AS31">
        <f>IFERROR(INDEX(PP_Grid[#Data],$DD31,43),0)</f>
        <v/>
      </c>
      <c r="AT31">
        <f>IFERROR(INDEX(PP_Grid[#Data],$DD31,44),0)</f>
        <v/>
      </c>
      <c r="AU31">
        <f>IFERROR(INDEX(PP_Grid[#Data],$DD31,45),0)</f>
        <v/>
      </c>
      <c r="AV31">
        <f>IFERROR(INDEX(PP_Grid[#Data],$DD31,46),0)</f>
        <v/>
      </c>
      <c r="AW31">
        <f>IFERROR(INDEX(PP_Grid[#Data],$DD31,47),0)</f>
        <v/>
      </c>
      <c r="AX31">
        <f>IFERROR(INDEX(PP_Grid[#Data],$DD31,48),0)</f>
        <v/>
      </c>
      <c r="AY31">
        <f>IFERROR(INDEX(PP_Grid[#Data],$DD31,49),0)</f>
        <v/>
      </c>
      <c r="AZ31">
        <f>IFERROR(INDEX(PP_Grid[#Data],$DD31,50),0)</f>
        <v/>
      </c>
      <c r="BA31">
        <f>IFERROR(INDEX(PP_Grid[#Data],$DD31,51),0)</f>
        <v/>
      </c>
      <c r="BB31">
        <f>IFERROR(INDEX(PP_Grid[#Data],$DD31,52),0)</f>
        <v/>
      </c>
      <c r="BC31">
        <f>IFERROR(INDEX(PP_Grid[#Data],$DD31,53),0)</f>
        <v/>
      </c>
      <c r="BD31">
        <f>IFERROR(INDEX(PP_Grid[#Data],$DD31,54),0)</f>
        <v/>
      </c>
      <c r="BE31">
        <f>IFERROR(INDEX(PP_Grid[#Data],$DD31,55),0)</f>
        <v/>
      </c>
      <c r="BF31">
        <f>IFERROR(INDEX(PP_Grid[#Data],$DD31,56),0)</f>
        <v/>
      </c>
      <c r="BG31">
        <f>IFERROR(INDEX(PP_Grid[#Data],$DD31,57),0)</f>
        <v/>
      </c>
      <c r="BH31">
        <f>IFERROR(INDEX(PP_Grid[#Data],$DD31,58),0)</f>
        <v/>
      </c>
      <c r="BI31">
        <f>IFERROR(INDEX(PP_Grid[#Data],$DD31,59),0)</f>
        <v/>
      </c>
      <c r="BJ31">
        <f>IFERROR(INDEX(PP_Grid[#Data],$DD31,60),0)</f>
        <v/>
      </c>
      <c r="BK31">
        <f>IFERROR(INDEX(PP_Grid[#Data],$DD31,61),0)</f>
        <v/>
      </c>
      <c r="BL31">
        <f>IFERROR(INDEX(PP_Grid[#Data],$DD31,62),0)</f>
        <v/>
      </c>
      <c r="BM31">
        <f>IFERROR(INDEX(PP_Grid[#Data],$DD31,63),0)</f>
        <v/>
      </c>
      <c r="BN31">
        <f>IFERROR(INDEX(PP_Grid[#Data],$DD31,64),0)</f>
        <v/>
      </c>
      <c r="BO31">
        <f>IFERROR(INDEX(PP_Grid[#Data],$DD31,65),0)</f>
        <v/>
      </c>
      <c r="BP31">
        <f>IFERROR(INDEX(PP_Grid[#Data],$DD31,66),0)</f>
        <v/>
      </c>
      <c r="BQ31">
        <f>IFERROR(INDEX(PP_Grid[#Data],$DD31,67),0)</f>
        <v/>
      </c>
      <c r="BR31">
        <f>IFERROR(INDEX(PP_Grid[#Data],$DD31,68),0)</f>
        <v/>
      </c>
      <c r="BS31">
        <f>IFERROR(INDEX(PP_Grid[#Data],$DD31,69),0)</f>
        <v/>
      </c>
      <c r="BT31">
        <f>IFERROR(INDEX(PP_Grid[#Data],$DD31,70),0)</f>
        <v/>
      </c>
      <c r="BU31">
        <f>IFERROR(INDEX(PP_Grid[#Data],$DD31,71),0)</f>
        <v/>
      </c>
      <c r="BV31">
        <f>IFERROR(INDEX(PP_Grid[#Data],$DD31,72),0)</f>
        <v/>
      </c>
      <c r="BW31">
        <f>IFERROR(INDEX(PP_Grid[#Data],$DD31,73),0)</f>
        <v/>
      </c>
      <c r="BX31">
        <f>IFERROR(INDEX(PP_Grid[#Data],$DD31,74),0)</f>
        <v/>
      </c>
      <c r="BY31">
        <f>IFERROR(INDEX(PP_Grid[#Data],$DD31,75),0)</f>
        <v/>
      </c>
      <c r="BZ31">
        <f>IFERROR(INDEX(PP_Grid[#Data],$DD31,76),0)</f>
        <v/>
      </c>
      <c r="CA31">
        <f>IFERROR(INDEX(PP_Grid[#Data],$DD31,77),0)</f>
        <v/>
      </c>
      <c r="CB31">
        <f>IFERROR(INDEX(PP_Grid[#Data],$DD31,78),0)</f>
        <v/>
      </c>
      <c r="CC31">
        <f>IFERROR(INDEX(PP_Grid[#Data],$DD31,79),0)</f>
        <v/>
      </c>
      <c r="CD31">
        <f>IFERROR(INDEX(PP_Grid[#Data],$DD31,80),0)</f>
        <v/>
      </c>
      <c r="CE31">
        <f>IFERROR(INDEX(PP_Grid[#Data],$DD31,81),0)</f>
        <v/>
      </c>
      <c r="CF31">
        <f>IFERROR(INDEX(PP_Grid[#Data],$DD31,82),0)</f>
        <v/>
      </c>
      <c r="CG31">
        <f>IFERROR(INDEX(PP_Grid[#Data],$DD31,83),0)</f>
        <v/>
      </c>
      <c r="CH31">
        <f>IFERROR(INDEX(PP_Grid[#Data],$DD31,84),0)</f>
        <v/>
      </c>
      <c r="CI31">
        <f>IFERROR(INDEX(PP_Grid[#Data],$DD31,85),0)</f>
        <v/>
      </c>
      <c r="CJ31">
        <f>IFERROR(INDEX(PP_Grid[#Data],$DD31,86),0)</f>
        <v/>
      </c>
      <c r="CK31">
        <f>IFERROR(INDEX(PP_Grid[#Data],$DD31,87),0)</f>
        <v/>
      </c>
      <c r="CL31">
        <f>IFERROR(INDEX(PP_Grid[#Data],$DD31,88),0)</f>
        <v/>
      </c>
      <c r="CM31">
        <f>IFERROR(INDEX(PP_Grid[#Data],$DD31,89),0)</f>
        <v/>
      </c>
      <c r="CN31">
        <f>IFERROR(INDEX(PP_Grid[#Data],$DD31,90),0)</f>
        <v/>
      </c>
      <c r="CO31">
        <f>IFERROR(INDEX(PP_Grid[#Data],$DD31,91),0)</f>
        <v/>
      </c>
      <c r="CP31">
        <f>IFERROR(INDEX(PP_Grid[#Data],$DD31,92),0)</f>
        <v/>
      </c>
      <c r="CQ31">
        <f>IFERROR(INDEX(PP_Grid[#Data],$DD31,93),0)</f>
        <v/>
      </c>
      <c r="CR31">
        <f>IFERROR(INDEX(PP_Grid[#Data],$DD31,94),0)</f>
        <v/>
      </c>
      <c r="CS31">
        <f>IFERROR(INDEX(PP_Grid[#Data],$DD31,95),0)</f>
        <v/>
      </c>
      <c r="CT31">
        <f>IFERROR(INDEX(PP_Grid[#Data],$DD31,96),0)</f>
        <v/>
      </c>
      <c r="CU31">
        <f>IFERROR(INDEX(PP_Grid[#Data],$DD31,97),0)</f>
        <v/>
      </c>
      <c r="CV31">
        <f>IFERROR(INDEX(PP_Grid[#Data],$DD31,98),0)</f>
        <v/>
      </c>
      <c r="CW31">
        <f>IFERROR(INDEX(PP_Grid[#Data],$DD31,99),0)</f>
        <v/>
      </c>
      <c r="CX31">
        <f>IFERROR(INDEX(PP_Grid[#Data],$DD31,100),0)</f>
        <v/>
      </c>
      <c r="CY31">
        <f>IFERROR(INDEX(PP_Grid[#Data],$DD31,101),0)</f>
        <v/>
      </c>
      <c r="CZ31">
        <f>IFERROR(INDEX(PP_Grid[#Data],$DD31,102),0)</f>
        <v/>
      </c>
      <c r="DA31">
        <f>IFERROR(INDEX(PP_Grid[#Data],$DD31,103),0)</f>
        <v/>
      </c>
      <c r="DB31">
        <f>IFERROR(INDEX(PP_Grid[#Data],$DD31,104),0)</f>
        <v/>
      </c>
      <c r="DC31">
        <f>IFERROR(INDEX(PP_Grid[#Data],$DD31,105),0)</f>
        <v/>
      </c>
      <c r="DD31" s="12">
        <f>IFERROR(MATCH($B31,PP_Grid[Intermediate],0),99999)</f>
        <v/>
      </c>
    </row>
    <row r="32">
      <c r="B32" t="inlineStr">
        <is>
          <t>使用量(kg)</t>
        </is>
      </c>
      <c r="C32">
        <f>SUMIFS(M_BOM[RM_Qty_Per_Batch],M_BOM[Intermediate],$B31,M_BOM[Part Name],$A18)</f>
        <v/>
      </c>
      <c r="D32">
        <f>$C32*D31</f>
        <v/>
      </c>
      <c r="E32">
        <f>$C32*E31</f>
        <v/>
      </c>
      <c r="F32">
        <f>$C32*F31</f>
        <v/>
      </c>
      <c r="G32">
        <f>$C32*G31</f>
        <v/>
      </c>
      <c r="H32">
        <f>$C32*H31</f>
        <v/>
      </c>
      <c r="I32">
        <f>$C32*I31</f>
        <v/>
      </c>
      <c r="J32">
        <f>$C32*J31</f>
        <v/>
      </c>
      <c r="K32">
        <f>$C32*K31</f>
        <v/>
      </c>
      <c r="L32">
        <f>$C32*L31</f>
        <v/>
      </c>
      <c r="M32">
        <f>$C32*M31</f>
        <v/>
      </c>
      <c r="N32">
        <f>$C32*N31</f>
        <v/>
      </c>
      <c r="O32">
        <f>$C32*O31</f>
        <v/>
      </c>
      <c r="P32">
        <f>$C32*P31</f>
        <v/>
      </c>
      <c r="Q32">
        <f>$C32*Q31</f>
        <v/>
      </c>
      <c r="R32">
        <f>$C32*R31</f>
        <v/>
      </c>
      <c r="S32">
        <f>$C32*S31</f>
        <v/>
      </c>
      <c r="T32">
        <f>$C32*T31</f>
        <v/>
      </c>
      <c r="U32">
        <f>$C32*U31</f>
        <v/>
      </c>
      <c r="V32">
        <f>$C32*V31</f>
        <v/>
      </c>
      <c r="W32">
        <f>$C32*W31</f>
        <v/>
      </c>
      <c r="X32">
        <f>$C32*X31</f>
        <v/>
      </c>
      <c r="Y32">
        <f>$C32*Y31</f>
        <v/>
      </c>
      <c r="Z32">
        <f>$C32*Z31</f>
        <v/>
      </c>
      <c r="AA32">
        <f>$C32*AA31</f>
        <v/>
      </c>
      <c r="AB32">
        <f>$C32*AB31</f>
        <v/>
      </c>
      <c r="AC32">
        <f>$C32*AC31</f>
        <v/>
      </c>
      <c r="AD32">
        <f>$C32*AD31</f>
        <v/>
      </c>
      <c r="AE32">
        <f>$C32*AE31</f>
        <v/>
      </c>
      <c r="AF32">
        <f>$C32*AF31</f>
        <v/>
      </c>
      <c r="AG32">
        <f>$C32*AG31</f>
        <v/>
      </c>
      <c r="AH32">
        <f>$C32*AH31</f>
        <v/>
      </c>
      <c r="AI32">
        <f>$C32*AI31</f>
        <v/>
      </c>
      <c r="AJ32">
        <f>$C32*AJ31</f>
        <v/>
      </c>
      <c r="AK32">
        <f>$C32*AK31</f>
        <v/>
      </c>
      <c r="AL32">
        <f>$C32*AL31</f>
        <v/>
      </c>
      <c r="AM32">
        <f>$C32*AM31</f>
        <v/>
      </c>
      <c r="AN32">
        <f>$C32*AN31</f>
        <v/>
      </c>
      <c r="AO32">
        <f>$C32*AO31</f>
        <v/>
      </c>
      <c r="AP32">
        <f>$C32*AP31</f>
        <v/>
      </c>
      <c r="AQ32">
        <f>$C32*AQ31</f>
        <v/>
      </c>
      <c r="AR32">
        <f>$C32*AR31</f>
        <v/>
      </c>
      <c r="AS32">
        <f>$C32*AS31</f>
        <v/>
      </c>
      <c r="AT32">
        <f>$C32*AT31</f>
        <v/>
      </c>
      <c r="AU32">
        <f>$C32*AU31</f>
        <v/>
      </c>
      <c r="AV32">
        <f>$C32*AV31</f>
        <v/>
      </c>
      <c r="AW32">
        <f>$C32*AW31</f>
        <v/>
      </c>
      <c r="AX32">
        <f>$C32*AX31</f>
        <v/>
      </c>
      <c r="AY32">
        <f>$C32*AY31</f>
        <v/>
      </c>
      <c r="AZ32">
        <f>$C32*AZ31</f>
        <v/>
      </c>
      <c r="BA32">
        <f>$C32*BA31</f>
        <v/>
      </c>
      <c r="BB32">
        <f>$C32*BB31</f>
        <v/>
      </c>
      <c r="BC32">
        <f>$C32*BC31</f>
        <v/>
      </c>
      <c r="BD32">
        <f>$C32*BD31</f>
        <v/>
      </c>
      <c r="BE32">
        <f>$C32*BE31</f>
        <v/>
      </c>
      <c r="BF32">
        <f>$C32*BF31</f>
        <v/>
      </c>
      <c r="BG32">
        <f>$C32*BG31</f>
        <v/>
      </c>
      <c r="BH32">
        <f>$C32*BH31</f>
        <v/>
      </c>
      <c r="BI32">
        <f>$C32*BI31</f>
        <v/>
      </c>
      <c r="BJ32">
        <f>$C32*BJ31</f>
        <v/>
      </c>
      <c r="BK32">
        <f>$C32*BK31</f>
        <v/>
      </c>
      <c r="BL32">
        <f>$C32*BL31</f>
        <v/>
      </c>
      <c r="BM32">
        <f>$C32*BM31</f>
        <v/>
      </c>
      <c r="BN32">
        <f>$C32*BN31</f>
        <v/>
      </c>
      <c r="BO32">
        <f>$C32*BO31</f>
        <v/>
      </c>
      <c r="BP32">
        <f>$C32*BP31</f>
        <v/>
      </c>
      <c r="BQ32">
        <f>$C32*BQ31</f>
        <v/>
      </c>
      <c r="BR32">
        <f>$C32*BR31</f>
        <v/>
      </c>
      <c r="BS32">
        <f>$C32*BS31</f>
        <v/>
      </c>
      <c r="BT32">
        <f>$C32*BT31</f>
        <v/>
      </c>
      <c r="BU32">
        <f>$C32*BU31</f>
        <v/>
      </c>
      <c r="BV32">
        <f>$C32*BV31</f>
        <v/>
      </c>
      <c r="BW32">
        <f>$C32*BW31</f>
        <v/>
      </c>
      <c r="BX32">
        <f>$C32*BX31</f>
        <v/>
      </c>
      <c r="BY32">
        <f>$C32*BY31</f>
        <v/>
      </c>
      <c r="BZ32">
        <f>$C32*BZ31</f>
        <v/>
      </c>
      <c r="CA32">
        <f>$C32*CA31</f>
        <v/>
      </c>
      <c r="CB32">
        <f>$C32*CB31</f>
        <v/>
      </c>
      <c r="CC32">
        <f>$C32*CC31</f>
        <v/>
      </c>
      <c r="CD32">
        <f>$C32*CD31</f>
        <v/>
      </c>
      <c r="CE32">
        <f>$C32*CE31</f>
        <v/>
      </c>
      <c r="CF32">
        <f>$C32*CF31</f>
        <v/>
      </c>
      <c r="CG32">
        <f>$C32*CG31</f>
        <v/>
      </c>
      <c r="CH32">
        <f>$C32*CH31</f>
        <v/>
      </c>
      <c r="CI32">
        <f>$C32*CI31</f>
        <v/>
      </c>
      <c r="CJ32">
        <f>$C32*CJ31</f>
        <v/>
      </c>
      <c r="CK32">
        <f>$C32*CK31</f>
        <v/>
      </c>
      <c r="CL32">
        <f>$C32*CL31</f>
        <v/>
      </c>
      <c r="CM32">
        <f>$C32*CM31</f>
        <v/>
      </c>
      <c r="CN32">
        <f>$C32*CN31</f>
        <v/>
      </c>
      <c r="CO32">
        <f>$C32*CO31</f>
        <v/>
      </c>
      <c r="CP32">
        <f>$C32*CP31</f>
        <v/>
      </c>
      <c r="CQ32">
        <f>$C32*CQ31</f>
        <v/>
      </c>
      <c r="CR32">
        <f>$C32*CR31</f>
        <v/>
      </c>
      <c r="CS32">
        <f>$C32*CS31</f>
        <v/>
      </c>
      <c r="CT32">
        <f>$C32*CT31</f>
        <v/>
      </c>
      <c r="CU32">
        <f>$C32*CU31</f>
        <v/>
      </c>
      <c r="CV32">
        <f>$C32*CV31</f>
        <v/>
      </c>
      <c r="CW32">
        <f>$C32*CW31</f>
        <v/>
      </c>
      <c r="CX32">
        <f>$C32*CX31</f>
        <v/>
      </c>
      <c r="CY32">
        <f>$C32*CY31</f>
        <v/>
      </c>
      <c r="CZ32">
        <f>$C32*CZ31</f>
        <v/>
      </c>
      <c r="DA32">
        <f>$C32*DA31</f>
        <v/>
      </c>
      <c r="DB32">
        <f>$C32*DB31</f>
        <v/>
      </c>
      <c r="DC32">
        <f>$C32*DC31</f>
        <v/>
      </c>
    </row>
    <row r="33">
      <c r="B33" t="inlineStr">
        <is>
          <t>0T880</t>
        </is>
      </c>
      <c r="C33" t="inlineStr">
        <is>
          <t>No. of batches</t>
        </is>
      </c>
      <c r="D33">
        <f>IFERROR(INDEX(PP_Grid[#Data],$DD33,2),0)</f>
        <v/>
      </c>
      <c r="E33">
        <f>IFERROR(INDEX(PP_Grid[#Data],$DD33,3),0)</f>
        <v/>
      </c>
      <c r="F33">
        <f>IFERROR(INDEX(PP_Grid[#Data],$DD33,4),0)</f>
        <v/>
      </c>
      <c r="G33">
        <f>IFERROR(INDEX(PP_Grid[#Data],$DD33,5),0)</f>
        <v/>
      </c>
      <c r="H33">
        <f>IFERROR(INDEX(PP_Grid[#Data],$DD33,6),0)</f>
        <v/>
      </c>
      <c r="I33">
        <f>IFERROR(INDEX(PP_Grid[#Data],$DD33,7),0)</f>
        <v/>
      </c>
      <c r="J33">
        <f>IFERROR(INDEX(PP_Grid[#Data],$DD33,8),0)</f>
        <v/>
      </c>
      <c r="K33">
        <f>IFERROR(INDEX(PP_Grid[#Data],$DD33,9),0)</f>
        <v/>
      </c>
      <c r="L33">
        <f>IFERROR(INDEX(PP_Grid[#Data],$DD33,10),0)</f>
        <v/>
      </c>
      <c r="M33">
        <f>IFERROR(INDEX(PP_Grid[#Data],$DD33,11),0)</f>
        <v/>
      </c>
      <c r="N33">
        <f>IFERROR(INDEX(PP_Grid[#Data],$DD33,12),0)</f>
        <v/>
      </c>
      <c r="O33">
        <f>IFERROR(INDEX(PP_Grid[#Data],$DD33,13),0)</f>
        <v/>
      </c>
      <c r="P33">
        <f>IFERROR(INDEX(PP_Grid[#Data],$DD33,14),0)</f>
        <v/>
      </c>
      <c r="Q33">
        <f>IFERROR(INDEX(PP_Grid[#Data],$DD33,15),0)</f>
        <v/>
      </c>
      <c r="R33">
        <f>IFERROR(INDEX(PP_Grid[#Data],$DD33,16),0)</f>
        <v/>
      </c>
      <c r="S33">
        <f>IFERROR(INDEX(PP_Grid[#Data],$DD33,17),0)</f>
        <v/>
      </c>
      <c r="T33">
        <f>IFERROR(INDEX(PP_Grid[#Data],$DD33,18),0)</f>
        <v/>
      </c>
      <c r="U33">
        <f>IFERROR(INDEX(PP_Grid[#Data],$DD33,19),0)</f>
        <v/>
      </c>
      <c r="V33">
        <f>IFERROR(INDEX(PP_Grid[#Data],$DD33,20),0)</f>
        <v/>
      </c>
      <c r="W33">
        <f>IFERROR(INDEX(PP_Grid[#Data],$DD33,21),0)</f>
        <v/>
      </c>
      <c r="X33">
        <f>IFERROR(INDEX(PP_Grid[#Data],$DD33,22),0)</f>
        <v/>
      </c>
      <c r="Y33">
        <f>IFERROR(INDEX(PP_Grid[#Data],$DD33,23),0)</f>
        <v/>
      </c>
      <c r="Z33">
        <f>IFERROR(INDEX(PP_Grid[#Data],$DD33,24),0)</f>
        <v/>
      </c>
      <c r="AA33">
        <f>IFERROR(INDEX(PP_Grid[#Data],$DD33,25),0)</f>
        <v/>
      </c>
      <c r="AB33">
        <f>IFERROR(INDEX(PP_Grid[#Data],$DD33,26),0)</f>
        <v/>
      </c>
      <c r="AC33">
        <f>IFERROR(INDEX(PP_Grid[#Data],$DD33,27),0)</f>
        <v/>
      </c>
      <c r="AD33">
        <f>IFERROR(INDEX(PP_Grid[#Data],$DD33,28),0)</f>
        <v/>
      </c>
      <c r="AE33">
        <f>IFERROR(INDEX(PP_Grid[#Data],$DD33,29),0)</f>
        <v/>
      </c>
      <c r="AF33">
        <f>IFERROR(INDEX(PP_Grid[#Data],$DD33,30),0)</f>
        <v/>
      </c>
      <c r="AG33">
        <f>IFERROR(INDEX(PP_Grid[#Data],$DD33,31),0)</f>
        <v/>
      </c>
      <c r="AH33">
        <f>IFERROR(INDEX(PP_Grid[#Data],$DD33,32),0)</f>
        <v/>
      </c>
      <c r="AI33">
        <f>IFERROR(INDEX(PP_Grid[#Data],$DD33,33),0)</f>
        <v/>
      </c>
      <c r="AJ33">
        <f>IFERROR(INDEX(PP_Grid[#Data],$DD33,34),0)</f>
        <v/>
      </c>
      <c r="AK33">
        <f>IFERROR(INDEX(PP_Grid[#Data],$DD33,35),0)</f>
        <v/>
      </c>
      <c r="AL33">
        <f>IFERROR(INDEX(PP_Grid[#Data],$DD33,36),0)</f>
        <v/>
      </c>
      <c r="AM33">
        <f>IFERROR(INDEX(PP_Grid[#Data],$DD33,37),0)</f>
        <v/>
      </c>
      <c r="AN33">
        <f>IFERROR(INDEX(PP_Grid[#Data],$DD33,38),0)</f>
        <v/>
      </c>
      <c r="AO33">
        <f>IFERROR(INDEX(PP_Grid[#Data],$DD33,39),0)</f>
        <v/>
      </c>
      <c r="AP33">
        <f>IFERROR(INDEX(PP_Grid[#Data],$DD33,40),0)</f>
        <v/>
      </c>
      <c r="AQ33">
        <f>IFERROR(INDEX(PP_Grid[#Data],$DD33,41),0)</f>
        <v/>
      </c>
      <c r="AR33">
        <f>IFERROR(INDEX(PP_Grid[#Data],$DD33,42),0)</f>
        <v/>
      </c>
      <c r="AS33">
        <f>IFERROR(INDEX(PP_Grid[#Data],$DD33,43),0)</f>
        <v/>
      </c>
      <c r="AT33">
        <f>IFERROR(INDEX(PP_Grid[#Data],$DD33,44),0)</f>
        <v/>
      </c>
      <c r="AU33">
        <f>IFERROR(INDEX(PP_Grid[#Data],$DD33,45),0)</f>
        <v/>
      </c>
      <c r="AV33">
        <f>IFERROR(INDEX(PP_Grid[#Data],$DD33,46),0)</f>
        <v/>
      </c>
      <c r="AW33">
        <f>IFERROR(INDEX(PP_Grid[#Data],$DD33,47),0)</f>
        <v/>
      </c>
      <c r="AX33">
        <f>IFERROR(INDEX(PP_Grid[#Data],$DD33,48),0)</f>
        <v/>
      </c>
      <c r="AY33">
        <f>IFERROR(INDEX(PP_Grid[#Data],$DD33,49),0)</f>
        <v/>
      </c>
      <c r="AZ33">
        <f>IFERROR(INDEX(PP_Grid[#Data],$DD33,50),0)</f>
        <v/>
      </c>
      <c r="BA33">
        <f>IFERROR(INDEX(PP_Grid[#Data],$DD33,51),0)</f>
        <v/>
      </c>
      <c r="BB33">
        <f>IFERROR(INDEX(PP_Grid[#Data],$DD33,52),0)</f>
        <v/>
      </c>
      <c r="BC33">
        <f>IFERROR(INDEX(PP_Grid[#Data],$DD33,53),0)</f>
        <v/>
      </c>
      <c r="BD33">
        <f>IFERROR(INDEX(PP_Grid[#Data],$DD33,54),0)</f>
        <v/>
      </c>
      <c r="BE33">
        <f>IFERROR(INDEX(PP_Grid[#Data],$DD33,55),0)</f>
        <v/>
      </c>
      <c r="BF33">
        <f>IFERROR(INDEX(PP_Grid[#Data],$DD33,56),0)</f>
        <v/>
      </c>
      <c r="BG33">
        <f>IFERROR(INDEX(PP_Grid[#Data],$DD33,57),0)</f>
        <v/>
      </c>
      <c r="BH33">
        <f>IFERROR(INDEX(PP_Grid[#Data],$DD33,58),0)</f>
        <v/>
      </c>
      <c r="BI33">
        <f>IFERROR(INDEX(PP_Grid[#Data],$DD33,59),0)</f>
        <v/>
      </c>
      <c r="BJ33">
        <f>IFERROR(INDEX(PP_Grid[#Data],$DD33,60),0)</f>
        <v/>
      </c>
      <c r="BK33">
        <f>IFERROR(INDEX(PP_Grid[#Data],$DD33,61),0)</f>
        <v/>
      </c>
      <c r="BL33">
        <f>IFERROR(INDEX(PP_Grid[#Data],$DD33,62),0)</f>
        <v/>
      </c>
      <c r="BM33">
        <f>IFERROR(INDEX(PP_Grid[#Data],$DD33,63),0)</f>
        <v/>
      </c>
      <c r="BN33">
        <f>IFERROR(INDEX(PP_Grid[#Data],$DD33,64),0)</f>
        <v/>
      </c>
      <c r="BO33">
        <f>IFERROR(INDEX(PP_Grid[#Data],$DD33,65),0)</f>
        <v/>
      </c>
      <c r="BP33">
        <f>IFERROR(INDEX(PP_Grid[#Data],$DD33,66),0)</f>
        <v/>
      </c>
      <c r="BQ33">
        <f>IFERROR(INDEX(PP_Grid[#Data],$DD33,67),0)</f>
        <v/>
      </c>
      <c r="BR33">
        <f>IFERROR(INDEX(PP_Grid[#Data],$DD33,68),0)</f>
        <v/>
      </c>
      <c r="BS33">
        <f>IFERROR(INDEX(PP_Grid[#Data],$DD33,69),0)</f>
        <v/>
      </c>
      <c r="BT33">
        <f>IFERROR(INDEX(PP_Grid[#Data],$DD33,70),0)</f>
        <v/>
      </c>
      <c r="BU33">
        <f>IFERROR(INDEX(PP_Grid[#Data],$DD33,71),0)</f>
        <v/>
      </c>
      <c r="BV33">
        <f>IFERROR(INDEX(PP_Grid[#Data],$DD33,72),0)</f>
        <v/>
      </c>
      <c r="BW33">
        <f>IFERROR(INDEX(PP_Grid[#Data],$DD33,73),0)</f>
        <v/>
      </c>
      <c r="BX33">
        <f>IFERROR(INDEX(PP_Grid[#Data],$DD33,74),0)</f>
        <v/>
      </c>
      <c r="BY33">
        <f>IFERROR(INDEX(PP_Grid[#Data],$DD33,75),0)</f>
        <v/>
      </c>
      <c r="BZ33">
        <f>IFERROR(INDEX(PP_Grid[#Data],$DD33,76),0)</f>
        <v/>
      </c>
      <c r="CA33">
        <f>IFERROR(INDEX(PP_Grid[#Data],$DD33,77),0)</f>
        <v/>
      </c>
      <c r="CB33">
        <f>IFERROR(INDEX(PP_Grid[#Data],$DD33,78),0)</f>
        <v/>
      </c>
      <c r="CC33">
        <f>IFERROR(INDEX(PP_Grid[#Data],$DD33,79),0)</f>
        <v/>
      </c>
      <c r="CD33">
        <f>IFERROR(INDEX(PP_Grid[#Data],$DD33,80),0)</f>
        <v/>
      </c>
      <c r="CE33">
        <f>IFERROR(INDEX(PP_Grid[#Data],$DD33,81),0)</f>
        <v/>
      </c>
      <c r="CF33">
        <f>IFERROR(INDEX(PP_Grid[#Data],$DD33,82),0)</f>
        <v/>
      </c>
      <c r="CG33">
        <f>IFERROR(INDEX(PP_Grid[#Data],$DD33,83),0)</f>
        <v/>
      </c>
      <c r="CH33">
        <f>IFERROR(INDEX(PP_Grid[#Data],$DD33,84),0)</f>
        <v/>
      </c>
      <c r="CI33">
        <f>IFERROR(INDEX(PP_Grid[#Data],$DD33,85),0)</f>
        <v/>
      </c>
      <c r="CJ33">
        <f>IFERROR(INDEX(PP_Grid[#Data],$DD33,86),0)</f>
        <v/>
      </c>
      <c r="CK33">
        <f>IFERROR(INDEX(PP_Grid[#Data],$DD33,87),0)</f>
        <v/>
      </c>
      <c r="CL33">
        <f>IFERROR(INDEX(PP_Grid[#Data],$DD33,88),0)</f>
        <v/>
      </c>
      <c r="CM33">
        <f>IFERROR(INDEX(PP_Grid[#Data],$DD33,89),0)</f>
        <v/>
      </c>
      <c r="CN33">
        <f>IFERROR(INDEX(PP_Grid[#Data],$DD33,90),0)</f>
        <v/>
      </c>
      <c r="CO33">
        <f>IFERROR(INDEX(PP_Grid[#Data],$DD33,91),0)</f>
        <v/>
      </c>
      <c r="CP33">
        <f>IFERROR(INDEX(PP_Grid[#Data],$DD33,92),0)</f>
        <v/>
      </c>
      <c r="CQ33">
        <f>IFERROR(INDEX(PP_Grid[#Data],$DD33,93),0)</f>
        <v/>
      </c>
      <c r="CR33">
        <f>IFERROR(INDEX(PP_Grid[#Data],$DD33,94),0)</f>
        <v/>
      </c>
      <c r="CS33">
        <f>IFERROR(INDEX(PP_Grid[#Data],$DD33,95),0)</f>
        <v/>
      </c>
      <c r="CT33">
        <f>IFERROR(INDEX(PP_Grid[#Data],$DD33,96),0)</f>
        <v/>
      </c>
      <c r="CU33">
        <f>IFERROR(INDEX(PP_Grid[#Data],$DD33,97),0)</f>
        <v/>
      </c>
      <c r="CV33">
        <f>IFERROR(INDEX(PP_Grid[#Data],$DD33,98),0)</f>
        <v/>
      </c>
      <c r="CW33">
        <f>IFERROR(INDEX(PP_Grid[#Data],$DD33,99),0)</f>
        <v/>
      </c>
      <c r="CX33">
        <f>IFERROR(INDEX(PP_Grid[#Data],$DD33,100),0)</f>
        <v/>
      </c>
      <c r="CY33">
        <f>IFERROR(INDEX(PP_Grid[#Data],$DD33,101),0)</f>
        <v/>
      </c>
      <c r="CZ33">
        <f>IFERROR(INDEX(PP_Grid[#Data],$DD33,102),0)</f>
        <v/>
      </c>
      <c r="DA33">
        <f>IFERROR(INDEX(PP_Grid[#Data],$DD33,103),0)</f>
        <v/>
      </c>
      <c r="DB33">
        <f>IFERROR(INDEX(PP_Grid[#Data],$DD33,104),0)</f>
        <v/>
      </c>
      <c r="DC33">
        <f>IFERROR(INDEX(PP_Grid[#Data],$DD33,105),0)</f>
        <v/>
      </c>
      <c r="DD33" s="12">
        <f>IFERROR(MATCH($B33,PP_Grid[Intermediate],0),99999)</f>
        <v/>
      </c>
    </row>
    <row r="34">
      <c r="B34" t="inlineStr">
        <is>
          <t>使用量(kg)</t>
        </is>
      </c>
      <c r="C34">
        <f>SUMIFS(M_BOM[RM_Qty_Per_Batch],M_BOM[Intermediate],$B33,M_BOM[Part Name],$A18)</f>
        <v/>
      </c>
      <c r="D34">
        <f>$C34*D33</f>
        <v/>
      </c>
      <c r="E34">
        <f>$C34*E33</f>
        <v/>
      </c>
      <c r="F34">
        <f>$C34*F33</f>
        <v/>
      </c>
      <c r="G34">
        <f>$C34*G33</f>
        <v/>
      </c>
      <c r="H34">
        <f>$C34*H33</f>
        <v/>
      </c>
      <c r="I34">
        <f>$C34*I33</f>
        <v/>
      </c>
      <c r="J34">
        <f>$C34*J33</f>
        <v/>
      </c>
      <c r="K34">
        <f>$C34*K33</f>
        <v/>
      </c>
      <c r="L34">
        <f>$C34*L33</f>
        <v/>
      </c>
      <c r="M34">
        <f>$C34*M33</f>
        <v/>
      </c>
      <c r="N34">
        <f>$C34*N33</f>
        <v/>
      </c>
      <c r="O34">
        <f>$C34*O33</f>
        <v/>
      </c>
      <c r="P34">
        <f>$C34*P33</f>
        <v/>
      </c>
      <c r="Q34">
        <f>$C34*Q33</f>
        <v/>
      </c>
      <c r="R34">
        <f>$C34*R33</f>
        <v/>
      </c>
      <c r="S34">
        <f>$C34*S33</f>
        <v/>
      </c>
      <c r="T34">
        <f>$C34*T33</f>
        <v/>
      </c>
      <c r="U34">
        <f>$C34*U33</f>
        <v/>
      </c>
      <c r="V34">
        <f>$C34*V33</f>
        <v/>
      </c>
      <c r="W34">
        <f>$C34*W33</f>
        <v/>
      </c>
      <c r="X34">
        <f>$C34*X33</f>
        <v/>
      </c>
      <c r="Y34">
        <f>$C34*Y33</f>
        <v/>
      </c>
      <c r="Z34">
        <f>$C34*Z33</f>
        <v/>
      </c>
      <c r="AA34">
        <f>$C34*AA33</f>
        <v/>
      </c>
      <c r="AB34">
        <f>$C34*AB33</f>
        <v/>
      </c>
      <c r="AC34">
        <f>$C34*AC33</f>
        <v/>
      </c>
      <c r="AD34">
        <f>$C34*AD33</f>
        <v/>
      </c>
      <c r="AE34">
        <f>$C34*AE33</f>
        <v/>
      </c>
      <c r="AF34">
        <f>$C34*AF33</f>
        <v/>
      </c>
      <c r="AG34">
        <f>$C34*AG33</f>
        <v/>
      </c>
      <c r="AH34">
        <f>$C34*AH33</f>
        <v/>
      </c>
      <c r="AI34">
        <f>$C34*AI33</f>
        <v/>
      </c>
      <c r="AJ34">
        <f>$C34*AJ33</f>
        <v/>
      </c>
      <c r="AK34">
        <f>$C34*AK33</f>
        <v/>
      </c>
      <c r="AL34">
        <f>$C34*AL33</f>
        <v/>
      </c>
      <c r="AM34">
        <f>$C34*AM33</f>
        <v/>
      </c>
      <c r="AN34">
        <f>$C34*AN33</f>
        <v/>
      </c>
      <c r="AO34">
        <f>$C34*AO33</f>
        <v/>
      </c>
      <c r="AP34">
        <f>$C34*AP33</f>
        <v/>
      </c>
      <c r="AQ34">
        <f>$C34*AQ33</f>
        <v/>
      </c>
      <c r="AR34">
        <f>$C34*AR33</f>
        <v/>
      </c>
      <c r="AS34">
        <f>$C34*AS33</f>
        <v/>
      </c>
      <c r="AT34">
        <f>$C34*AT33</f>
        <v/>
      </c>
      <c r="AU34">
        <f>$C34*AU33</f>
        <v/>
      </c>
      <c r="AV34">
        <f>$C34*AV33</f>
        <v/>
      </c>
      <c r="AW34">
        <f>$C34*AW33</f>
        <v/>
      </c>
      <c r="AX34">
        <f>$C34*AX33</f>
        <v/>
      </c>
      <c r="AY34">
        <f>$C34*AY33</f>
        <v/>
      </c>
      <c r="AZ34">
        <f>$C34*AZ33</f>
        <v/>
      </c>
      <c r="BA34">
        <f>$C34*BA33</f>
        <v/>
      </c>
      <c r="BB34">
        <f>$C34*BB33</f>
        <v/>
      </c>
      <c r="BC34">
        <f>$C34*BC33</f>
        <v/>
      </c>
      <c r="BD34">
        <f>$C34*BD33</f>
        <v/>
      </c>
      <c r="BE34">
        <f>$C34*BE33</f>
        <v/>
      </c>
      <c r="BF34">
        <f>$C34*BF33</f>
        <v/>
      </c>
      <c r="BG34">
        <f>$C34*BG33</f>
        <v/>
      </c>
      <c r="BH34">
        <f>$C34*BH33</f>
        <v/>
      </c>
      <c r="BI34">
        <f>$C34*BI33</f>
        <v/>
      </c>
      <c r="BJ34">
        <f>$C34*BJ33</f>
        <v/>
      </c>
      <c r="BK34">
        <f>$C34*BK33</f>
        <v/>
      </c>
      <c r="BL34">
        <f>$C34*BL33</f>
        <v/>
      </c>
      <c r="BM34">
        <f>$C34*BM33</f>
        <v/>
      </c>
      <c r="BN34">
        <f>$C34*BN33</f>
        <v/>
      </c>
      <c r="BO34">
        <f>$C34*BO33</f>
        <v/>
      </c>
      <c r="BP34">
        <f>$C34*BP33</f>
        <v/>
      </c>
      <c r="BQ34">
        <f>$C34*BQ33</f>
        <v/>
      </c>
      <c r="BR34">
        <f>$C34*BR33</f>
        <v/>
      </c>
      <c r="BS34">
        <f>$C34*BS33</f>
        <v/>
      </c>
      <c r="BT34">
        <f>$C34*BT33</f>
        <v/>
      </c>
      <c r="BU34">
        <f>$C34*BU33</f>
        <v/>
      </c>
      <c r="BV34">
        <f>$C34*BV33</f>
        <v/>
      </c>
      <c r="BW34">
        <f>$C34*BW33</f>
        <v/>
      </c>
      <c r="BX34">
        <f>$C34*BX33</f>
        <v/>
      </c>
      <c r="BY34">
        <f>$C34*BY33</f>
        <v/>
      </c>
      <c r="BZ34">
        <f>$C34*BZ33</f>
        <v/>
      </c>
      <c r="CA34">
        <f>$C34*CA33</f>
        <v/>
      </c>
      <c r="CB34">
        <f>$C34*CB33</f>
        <v/>
      </c>
      <c r="CC34">
        <f>$C34*CC33</f>
        <v/>
      </c>
      <c r="CD34">
        <f>$C34*CD33</f>
        <v/>
      </c>
      <c r="CE34">
        <f>$C34*CE33</f>
        <v/>
      </c>
      <c r="CF34">
        <f>$C34*CF33</f>
        <v/>
      </c>
      <c r="CG34">
        <f>$C34*CG33</f>
        <v/>
      </c>
      <c r="CH34">
        <f>$C34*CH33</f>
        <v/>
      </c>
      <c r="CI34">
        <f>$C34*CI33</f>
        <v/>
      </c>
      <c r="CJ34">
        <f>$C34*CJ33</f>
        <v/>
      </c>
      <c r="CK34">
        <f>$C34*CK33</f>
        <v/>
      </c>
      <c r="CL34">
        <f>$C34*CL33</f>
        <v/>
      </c>
      <c r="CM34">
        <f>$C34*CM33</f>
        <v/>
      </c>
      <c r="CN34">
        <f>$C34*CN33</f>
        <v/>
      </c>
      <c r="CO34">
        <f>$C34*CO33</f>
        <v/>
      </c>
      <c r="CP34">
        <f>$C34*CP33</f>
        <v/>
      </c>
      <c r="CQ34">
        <f>$C34*CQ33</f>
        <v/>
      </c>
      <c r="CR34">
        <f>$C34*CR33</f>
        <v/>
      </c>
      <c r="CS34">
        <f>$C34*CS33</f>
        <v/>
      </c>
      <c r="CT34">
        <f>$C34*CT33</f>
        <v/>
      </c>
      <c r="CU34">
        <f>$C34*CU33</f>
        <v/>
      </c>
      <c r="CV34">
        <f>$C34*CV33</f>
        <v/>
      </c>
      <c r="CW34">
        <f>$C34*CW33</f>
        <v/>
      </c>
      <c r="CX34">
        <f>$C34*CX33</f>
        <v/>
      </c>
      <c r="CY34">
        <f>$C34*CY33</f>
        <v/>
      </c>
      <c r="CZ34">
        <f>$C34*CZ33</f>
        <v/>
      </c>
      <c r="DA34">
        <f>$C34*DA33</f>
        <v/>
      </c>
      <c r="DB34">
        <f>$C34*DB33</f>
        <v/>
      </c>
      <c r="DC34">
        <f>$C34*DC33</f>
        <v/>
      </c>
    </row>
    <row r="35">
      <c r="B35" t="inlineStr">
        <is>
          <t>0TA40</t>
        </is>
      </c>
      <c r="C35" t="inlineStr">
        <is>
          <t>No. of batches</t>
        </is>
      </c>
      <c r="D35">
        <f>IFERROR(INDEX(PP_Grid[#Data],$DD35,2),0)</f>
        <v/>
      </c>
      <c r="E35">
        <f>IFERROR(INDEX(PP_Grid[#Data],$DD35,3),0)</f>
        <v/>
      </c>
      <c r="F35">
        <f>IFERROR(INDEX(PP_Grid[#Data],$DD35,4),0)</f>
        <v/>
      </c>
      <c r="G35">
        <f>IFERROR(INDEX(PP_Grid[#Data],$DD35,5),0)</f>
        <v/>
      </c>
      <c r="H35">
        <f>IFERROR(INDEX(PP_Grid[#Data],$DD35,6),0)</f>
        <v/>
      </c>
      <c r="I35">
        <f>IFERROR(INDEX(PP_Grid[#Data],$DD35,7),0)</f>
        <v/>
      </c>
      <c r="J35">
        <f>IFERROR(INDEX(PP_Grid[#Data],$DD35,8),0)</f>
        <v/>
      </c>
      <c r="K35">
        <f>IFERROR(INDEX(PP_Grid[#Data],$DD35,9),0)</f>
        <v/>
      </c>
      <c r="L35">
        <f>IFERROR(INDEX(PP_Grid[#Data],$DD35,10),0)</f>
        <v/>
      </c>
      <c r="M35">
        <f>IFERROR(INDEX(PP_Grid[#Data],$DD35,11),0)</f>
        <v/>
      </c>
      <c r="N35">
        <f>IFERROR(INDEX(PP_Grid[#Data],$DD35,12),0)</f>
        <v/>
      </c>
      <c r="O35">
        <f>IFERROR(INDEX(PP_Grid[#Data],$DD35,13),0)</f>
        <v/>
      </c>
      <c r="P35">
        <f>IFERROR(INDEX(PP_Grid[#Data],$DD35,14),0)</f>
        <v/>
      </c>
      <c r="Q35">
        <f>IFERROR(INDEX(PP_Grid[#Data],$DD35,15),0)</f>
        <v/>
      </c>
      <c r="R35">
        <f>IFERROR(INDEX(PP_Grid[#Data],$DD35,16),0)</f>
        <v/>
      </c>
      <c r="S35">
        <f>IFERROR(INDEX(PP_Grid[#Data],$DD35,17),0)</f>
        <v/>
      </c>
      <c r="T35">
        <f>IFERROR(INDEX(PP_Grid[#Data],$DD35,18),0)</f>
        <v/>
      </c>
      <c r="U35">
        <f>IFERROR(INDEX(PP_Grid[#Data],$DD35,19),0)</f>
        <v/>
      </c>
      <c r="V35">
        <f>IFERROR(INDEX(PP_Grid[#Data],$DD35,20),0)</f>
        <v/>
      </c>
      <c r="W35">
        <f>IFERROR(INDEX(PP_Grid[#Data],$DD35,21),0)</f>
        <v/>
      </c>
      <c r="X35">
        <f>IFERROR(INDEX(PP_Grid[#Data],$DD35,22),0)</f>
        <v/>
      </c>
      <c r="Y35">
        <f>IFERROR(INDEX(PP_Grid[#Data],$DD35,23),0)</f>
        <v/>
      </c>
      <c r="Z35">
        <f>IFERROR(INDEX(PP_Grid[#Data],$DD35,24),0)</f>
        <v/>
      </c>
      <c r="AA35">
        <f>IFERROR(INDEX(PP_Grid[#Data],$DD35,25),0)</f>
        <v/>
      </c>
      <c r="AB35">
        <f>IFERROR(INDEX(PP_Grid[#Data],$DD35,26),0)</f>
        <v/>
      </c>
      <c r="AC35">
        <f>IFERROR(INDEX(PP_Grid[#Data],$DD35,27),0)</f>
        <v/>
      </c>
      <c r="AD35">
        <f>IFERROR(INDEX(PP_Grid[#Data],$DD35,28),0)</f>
        <v/>
      </c>
      <c r="AE35">
        <f>IFERROR(INDEX(PP_Grid[#Data],$DD35,29),0)</f>
        <v/>
      </c>
      <c r="AF35">
        <f>IFERROR(INDEX(PP_Grid[#Data],$DD35,30),0)</f>
        <v/>
      </c>
      <c r="AG35">
        <f>IFERROR(INDEX(PP_Grid[#Data],$DD35,31),0)</f>
        <v/>
      </c>
      <c r="AH35">
        <f>IFERROR(INDEX(PP_Grid[#Data],$DD35,32),0)</f>
        <v/>
      </c>
      <c r="AI35">
        <f>IFERROR(INDEX(PP_Grid[#Data],$DD35,33),0)</f>
        <v/>
      </c>
      <c r="AJ35">
        <f>IFERROR(INDEX(PP_Grid[#Data],$DD35,34),0)</f>
        <v/>
      </c>
      <c r="AK35">
        <f>IFERROR(INDEX(PP_Grid[#Data],$DD35,35),0)</f>
        <v/>
      </c>
      <c r="AL35">
        <f>IFERROR(INDEX(PP_Grid[#Data],$DD35,36),0)</f>
        <v/>
      </c>
      <c r="AM35">
        <f>IFERROR(INDEX(PP_Grid[#Data],$DD35,37),0)</f>
        <v/>
      </c>
      <c r="AN35">
        <f>IFERROR(INDEX(PP_Grid[#Data],$DD35,38),0)</f>
        <v/>
      </c>
      <c r="AO35">
        <f>IFERROR(INDEX(PP_Grid[#Data],$DD35,39),0)</f>
        <v/>
      </c>
      <c r="AP35">
        <f>IFERROR(INDEX(PP_Grid[#Data],$DD35,40),0)</f>
        <v/>
      </c>
      <c r="AQ35">
        <f>IFERROR(INDEX(PP_Grid[#Data],$DD35,41),0)</f>
        <v/>
      </c>
      <c r="AR35">
        <f>IFERROR(INDEX(PP_Grid[#Data],$DD35,42),0)</f>
        <v/>
      </c>
      <c r="AS35">
        <f>IFERROR(INDEX(PP_Grid[#Data],$DD35,43),0)</f>
        <v/>
      </c>
      <c r="AT35">
        <f>IFERROR(INDEX(PP_Grid[#Data],$DD35,44),0)</f>
        <v/>
      </c>
      <c r="AU35">
        <f>IFERROR(INDEX(PP_Grid[#Data],$DD35,45),0)</f>
        <v/>
      </c>
      <c r="AV35">
        <f>IFERROR(INDEX(PP_Grid[#Data],$DD35,46),0)</f>
        <v/>
      </c>
      <c r="AW35">
        <f>IFERROR(INDEX(PP_Grid[#Data],$DD35,47),0)</f>
        <v/>
      </c>
      <c r="AX35">
        <f>IFERROR(INDEX(PP_Grid[#Data],$DD35,48),0)</f>
        <v/>
      </c>
      <c r="AY35">
        <f>IFERROR(INDEX(PP_Grid[#Data],$DD35,49),0)</f>
        <v/>
      </c>
      <c r="AZ35">
        <f>IFERROR(INDEX(PP_Grid[#Data],$DD35,50),0)</f>
        <v/>
      </c>
      <c r="BA35">
        <f>IFERROR(INDEX(PP_Grid[#Data],$DD35,51),0)</f>
        <v/>
      </c>
      <c r="BB35">
        <f>IFERROR(INDEX(PP_Grid[#Data],$DD35,52),0)</f>
        <v/>
      </c>
      <c r="BC35">
        <f>IFERROR(INDEX(PP_Grid[#Data],$DD35,53),0)</f>
        <v/>
      </c>
      <c r="BD35">
        <f>IFERROR(INDEX(PP_Grid[#Data],$DD35,54),0)</f>
        <v/>
      </c>
      <c r="BE35">
        <f>IFERROR(INDEX(PP_Grid[#Data],$DD35,55),0)</f>
        <v/>
      </c>
      <c r="BF35">
        <f>IFERROR(INDEX(PP_Grid[#Data],$DD35,56),0)</f>
        <v/>
      </c>
      <c r="BG35">
        <f>IFERROR(INDEX(PP_Grid[#Data],$DD35,57),0)</f>
        <v/>
      </c>
      <c r="BH35">
        <f>IFERROR(INDEX(PP_Grid[#Data],$DD35,58),0)</f>
        <v/>
      </c>
      <c r="BI35">
        <f>IFERROR(INDEX(PP_Grid[#Data],$DD35,59),0)</f>
        <v/>
      </c>
      <c r="BJ35">
        <f>IFERROR(INDEX(PP_Grid[#Data],$DD35,60),0)</f>
        <v/>
      </c>
      <c r="BK35">
        <f>IFERROR(INDEX(PP_Grid[#Data],$DD35,61),0)</f>
        <v/>
      </c>
      <c r="BL35">
        <f>IFERROR(INDEX(PP_Grid[#Data],$DD35,62),0)</f>
        <v/>
      </c>
      <c r="BM35">
        <f>IFERROR(INDEX(PP_Grid[#Data],$DD35,63),0)</f>
        <v/>
      </c>
      <c r="BN35">
        <f>IFERROR(INDEX(PP_Grid[#Data],$DD35,64),0)</f>
        <v/>
      </c>
      <c r="BO35">
        <f>IFERROR(INDEX(PP_Grid[#Data],$DD35,65),0)</f>
        <v/>
      </c>
      <c r="BP35">
        <f>IFERROR(INDEX(PP_Grid[#Data],$DD35,66),0)</f>
        <v/>
      </c>
      <c r="BQ35">
        <f>IFERROR(INDEX(PP_Grid[#Data],$DD35,67),0)</f>
        <v/>
      </c>
      <c r="BR35">
        <f>IFERROR(INDEX(PP_Grid[#Data],$DD35,68),0)</f>
        <v/>
      </c>
      <c r="BS35">
        <f>IFERROR(INDEX(PP_Grid[#Data],$DD35,69),0)</f>
        <v/>
      </c>
      <c r="BT35">
        <f>IFERROR(INDEX(PP_Grid[#Data],$DD35,70),0)</f>
        <v/>
      </c>
      <c r="BU35">
        <f>IFERROR(INDEX(PP_Grid[#Data],$DD35,71),0)</f>
        <v/>
      </c>
      <c r="BV35">
        <f>IFERROR(INDEX(PP_Grid[#Data],$DD35,72),0)</f>
        <v/>
      </c>
      <c r="BW35">
        <f>IFERROR(INDEX(PP_Grid[#Data],$DD35,73),0)</f>
        <v/>
      </c>
      <c r="BX35">
        <f>IFERROR(INDEX(PP_Grid[#Data],$DD35,74),0)</f>
        <v/>
      </c>
      <c r="BY35">
        <f>IFERROR(INDEX(PP_Grid[#Data],$DD35,75),0)</f>
        <v/>
      </c>
      <c r="BZ35">
        <f>IFERROR(INDEX(PP_Grid[#Data],$DD35,76),0)</f>
        <v/>
      </c>
      <c r="CA35">
        <f>IFERROR(INDEX(PP_Grid[#Data],$DD35,77),0)</f>
        <v/>
      </c>
      <c r="CB35">
        <f>IFERROR(INDEX(PP_Grid[#Data],$DD35,78),0)</f>
        <v/>
      </c>
      <c r="CC35">
        <f>IFERROR(INDEX(PP_Grid[#Data],$DD35,79),0)</f>
        <v/>
      </c>
      <c r="CD35">
        <f>IFERROR(INDEX(PP_Grid[#Data],$DD35,80),0)</f>
        <v/>
      </c>
      <c r="CE35">
        <f>IFERROR(INDEX(PP_Grid[#Data],$DD35,81),0)</f>
        <v/>
      </c>
      <c r="CF35">
        <f>IFERROR(INDEX(PP_Grid[#Data],$DD35,82),0)</f>
        <v/>
      </c>
      <c r="CG35">
        <f>IFERROR(INDEX(PP_Grid[#Data],$DD35,83),0)</f>
        <v/>
      </c>
      <c r="CH35">
        <f>IFERROR(INDEX(PP_Grid[#Data],$DD35,84),0)</f>
        <v/>
      </c>
      <c r="CI35">
        <f>IFERROR(INDEX(PP_Grid[#Data],$DD35,85),0)</f>
        <v/>
      </c>
      <c r="CJ35">
        <f>IFERROR(INDEX(PP_Grid[#Data],$DD35,86),0)</f>
        <v/>
      </c>
      <c r="CK35">
        <f>IFERROR(INDEX(PP_Grid[#Data],$DD35,87),0)</f>
        <v/>
      </c>
      <c r="CL35">
        <f>IFERROR(INDEX(PP_Grid[#Data],$DD35,88),0)</f>
        <v/>
      </c>
      <c r="CM35">
        <f>IFERROR(INDEX(PP_Grid[#Data],$DD35,89),0)</f>
        <v/>
      </c>
      <c r="CN35">
        <f>IFERROR(INDEX(PP_Grid[#Data],$DD35,90),0)</f>
        <v/>
      </c>
      <c r="CO35">
        <f>IFERROR(INDEX(PP_Grid[#Data],$DD35,91),0)</f>
        <v/>
      </c>
      <c r="CP35">
        <f>IFERROR(INDEX(PP_Grid[#Data],$DD35,92),0)</f>
        <v/>
      </c>
      <c r="CQ35">
        <f>IFERROR(INDEX(PP_Grid[#Data],$DD35,93),0)</f>
        <v/>
      </c>
      <c r="CR35">
        <f>IFERROR(INDEX(PP_Grid[#Data],$DD35,94),0)</f>
        <v/>
      </c>
      <c r="CS35">
        <f>IFERROR(INDEX(PP_Grid[#Data],$DD35,95),0)</f>
        <v/>
      </c>
      <c r="CT35">
        <f>IFERROR(INDEX(PP_Grid[#Data],$DD35,96),0)</f>
        <v/>
      </c>
      <c r="CU35">
        <f>IFERROR(INDEX(PP_Grid[#Data],$DD35,97),0)</f>
        <v/>
      </c>
      <c r="CV35">
        <f>IFERROR(INDEX(PP_Grid[#Data],$DD35,98),0)</f>
        <v/>
      </c>
      <c r="CW35">
        <f>IFERROR(INDEX(PP_Grid[#Data],$DD35,99),0)</f>
        <v/>
      </c>
      <c r="CX35">
        <f>IFERROR(INDEX(PP_Grid[#Data],$DD35,100),0)</f>
        <v/>
      </c>
      <c r="CY35">
        <f>IFERROR(INDEX(PP_Grid[#Data],$DD35,101),0)</f>
        <v/>
      </c>
      <c r="CZ35">
        <f>IFERROR(INDEX(PP_Grid[#Data],$DD35,102),0)</f>
        <v/>
      </c>
      <c r="DA35">
        <f>IFERROR(INDEX(PP_Grid[#Data],$DD35,103),0)</f>
        <v/>
      </c>
      <c r="DB35">
        <f>IFERROR(INDEX(PP_Grid[#Data],$DD35,104),0)</f>
        <v/>
      </c>
      <c r="DC35">
        <f>IFERROR(INDEX(PP_Grid[#Data],$DD35,105),0)</f>
        <v/>
      </c>
      <c r="DD35" s="12">
        <f>IFERROR(MATCH($B35,PP_Grid[Intermediate],0),99999)</f>
        <v/>
      </c>
    </row>
    <row r="36">
      <c r="B36" t="inlineStr">
        <is>
          <t>使用量(kg)</t>
        </is>
      </c>
      <c r="C36">
        <f>SUMIFS(M_BOM[RM_Qty_Per_Batch],M_BOM[Intermediate],$B35,M_BOM[Part Name],$A18)</f>
        <v/>
      </c>
      <c r="D36">
        <f>$C36*D35</f>
        <v/>
      </c>
      <c r="E36">
        <f>$C36*E35</f>
        <v/>
      </c>
      <c r="F36">
        <f>$C36*F35</f>
        <v/>
      </c>
      <c r="G36">
        <f>$C36*G35</f>
        <v/>
      </c>
      <c r="H36">
        <f>$C36*H35</f>
        <v/>
      </c>
      <c r="I36">
        <f>$C36*I35</f>
        <v/>
      </c>
      <c r="J36">
        <f>$C36*J35</f>
        <v/>
      </c>
      <c r="K36">
        <f>$C36*K35</f>
        <v/>
      </c>
      <c r="L36">
        <f>$C36*L35</f>
        <v/>
      </c>
      <c r="M36">
        <f>$C36*M35</f>
        <v/>
      </c>
      <c r="N36">
        <f>$C36*N35</f>
        <v/>
      </c>
      <c r="O36">
        <f>$C36*O35</f>
        <v/>
      </c>
      <c r="P36">
        <f>$C36*P35</f>
        <v/>
      </c>
      <c r="Q36">
        <f>$C36*Q35</f>
        <v/>
      </c>
      <c r="R36">
        <f>$C36*R35</f>
        <v/>
      </c>
      <c r="S36">
        <f>$C36*S35</f>
        <v/>
      </c>
      <c r="T36">
        <f>$C36*T35</f>
        <v/>
      </c>
      <c r="U36">
        <f>$C36*U35</f>
        <v/>
      </c>
      <c r="V36">
        <f>$C36*V35</f>
        <v/>
      </c>
      <c r="W36">
        <f>$C36*W35</f>
        <v/>
      </c>
      <c r="X36">
        <f>$C36*X35</f>
        <v/>
      </c>
      <c r="Y36">
        <f>$C36*Y35</f>
        <v/>
      </c>
      <c r="Z36">
        <f>$C36*Z35</f>
        <v/>
      </c>
      <c r="AA36">
        <f>$C36*AA35</f>
        <v/>
      </c>
      <c r="AB36">
        <f>$C36*AB35</f>
        <v/>
      </c>
      <c r="AC36">
        <f>$C36*AC35</f>
        <v/>
      </c>
      <c r="AD36">
        <f>$C36*AD35</f>
        <v/>
      </c>
      <c r="AE36">
        <f>$C36*AE35</f>
        <v/>
      </c>
      <c r="AF36">
        <f>$C36*AF35</f>
        <v/>
      </c>
      <c r="AG36">
        <f>$C36*AG35</f>
        <v/>
      </c>
      <c r="AH36">
        <f>$C36*AH35</f>
        <v/>
      </c>
      <c r="AI36">
        <f>$C36*AI35</f>
        <v/>
      </c>
      <c r="AJ36">
        <f>$C36*AJ35</f>
        <v/>
      </c>
      <c r="AK36">
        <f>$C36*AK35</f>
        <v/>
      </c>
      <c r="AL36">
        <f>$C36*AL35</f>
        <v/>
      </c>
      <c r="AM36">
        <f>$C36*AM35</f>
        <v/>
      </c>
      <c r="AN36">
        <f>$C36*AN35</f>
        <v/>
      </c>
      <c r="AO36">
        <f>$C36*AO35</f>
        <v/>
      </c>
      <c r="AP36">
        <f>$C36*AP35</f>
        <v/>
      </c>
      <c r="AQ36">
        <f>$C36*AQ35</f>
        <v/>
      </c>
      <c r="AR36">
        <f>$C36*AR35</f>
        <v/>
      </c>
      <c r="AS36">
        <f>$C36*AS35</f>
        <v/>
      </c>
      <c r="AT36">
        <f>$C36*AT35</f>
        <v/>
      </c>
      <c r="AU36">
        <f>$C36*AU35</f>
        <v/>
      </c>
      <c r="AV36">
        <f>$C36*AV35</f>
        <v/>
      </c>
      <c r="AW36">
        <f>$C36*AW35</f>
        <v/>
      </c>
      <c r="AX36">
        <f>$C36*AX35</f>
        <v/>
      </c>
      <c r="AY36">
        <f>$C36*AY35</f>
        <v/>
      </c>
      <c r="AZ36">
        <f>$C36*AZ35</f>
        <v/>
      </c>
      <c r="BA36">
        <f>$C36*BA35</f>
        <v/>
      </c>
      <c r="BB36">
        <f>$C36*BB35</f>
        <v/>
      </c>
      <c r="BC36">
        <f>$C36*BC35</f>
        <v/>
      </c>
      <c r="BD36">
        <f>$C36*BD35</f>
        <v/>
      </c>
      <c r="BE36">
        <f>$C36*BE35</f>
        <v/>
      </c>
      <c r="BF36">
        <f>$C36*BF35</f>
        <v/>
      </c>
      <c r="BG36">
        <f>$C36*BG35</f>
        <v/>
      </c>
      <c r="BH36">
        <f>$C36*BH35</f>
        <v/>
      </c>
      <c r="BI36">
        <f>$C36*BI35</f>
        <v/>
      </c>
      <c r="BJ36">
        <f>$C36*BJ35</f>
        <v/>
      </c>
      <c r="BK36">
        <f>$C36*BK35</f>
        <v/>
      </c>
      <c r="BL36">
        <f>$C36*BL35</f>
        <v/>
      </c>
      <c r="BM36">
        <f>$C36*BM35</f>
        <v/>
      </c>
      <c r="BN36">
        <f>$C36*BN35</f>
        <v/>
      </c>
      <c r="BO36">
        <f>$C36*BO35</f>
        <v/>
      </c>
      <c r="BP36">
        <f>$C36*BP35</f>
        <v/>
      </c>
      <c r="BQ36">
        <f>$C36*BQ35</f>
        <v/>
      </c>
      <c r="BR36">
        <f>$C36*BR35</f>
        <v/>
      </c>
      <c r="BS36">
        <f>$C36*BS35</f>
        <v/>
      </c>
      <c r="BT36">
        <f>$C36*BT35</f>
        <v/>
      </c>
      <c r="BU36">
        <f>$C36*BU35</f>
        <v/>
      </c>
      <c r="BV36">
        <f>$C36*BV35</f>
        <v/>
      </c>
      <c r="BW36">
        <f>$C36*BW35</f>
        <v/>
      </c>
      <c r="BX36">
        <f>$C36*BX35</f>
        <v/>
      </c>
      <c r="BY36">
        <f>$C36*BY35</f>
        <v/>
      </c>
      <c r="BZ36">
        <f>$C36*BZ35</f>
        <v/>
      </c>
      <c r="CA36">
        <f>$C36*CA35</f>
        <v/>
      </c>
      <c r="CB36">
        <f>$C36*CB35</f>
        <v/>
      </c>
      <c r="CC36">
        <f>$C36*CC35</f>
        <v/>
      </c>
      <c r="CD36">
        <f>$C36*CD35</f>
        <v/>
      </c>
      <c r="CE36">
        <f>$C36*CE35</f>
        <v/>
      </c>
      <c r="CF36">
        <f>$C36*CF35</f>
        <v/>
      </c>
      <c r="CG36">
        <f>$C36*CG35</f>
        <v/>
      </c>
      <c r="CH36">
        <f>$C36*CH35</f>
        <v/>
      </c>
      <c r="CI36">
        <f>$C36*CI35</f>
        <v/>
      </c>
      <c r="CJ36">
        <f>$C36*CJ35</f>
        <v/>
      </c>
      <c r="CK36">
        <f>$C36*CK35</f>
        <v/>
      </c>
      <c r="CL36">
        <f>$C36*CL35</f>
        <v/>
      </c>
      <c r="CM36">
        <f>$C36*CM35</f>
        <v/>
      </c>
      <c r="CN36">
        <f>$C36*CN35</f>
        <v/>
      </c>
      <c r="CO36">
        <f>$C36*CO35</f>
        <v/>
      </c>
      <c r="CP36">
        <f>$C36*CP35</f>
        <v/>
      </c>
      <c r="CQ36">
        <f>$C36*CQ35</f>
        <v/>
      </c>
      <c r="CR36">
        <f>$C36*CR35</f>
        <v/>
      </c>
      <c r="CS36">
        <f>$C36*CS35</f>
        <v/>
      </c>
      <c r="CT36">
        <f>$C36*CT35</f>
        <v/>
      </c>
      <c r="CU36">
        <f>$C36*CU35</f>
        <v/>
      </c>
      <c r="CV36">
        <f>$C36*CV35</f>
        <v/>
      </c>
      <c r="CW36">
        <f>$C36*CW35</f>
        <v/>
      </c>
      <c r="CX36">
        <f>$C36*CX35</f>
        <v/>
      </c>
      <c r="CY36">
        <f>$C36*CY35</f>
        <v/>
      </c>
      <c r="CZ36">
        <f>$C36*CZ35</f>
        <v/>
      </c>
      <c r="DA36">
        <f>$C36*DA35</f>
        <v/>
      </c>
      <c r="DB36">
        <f>$C36*DB35</f>
        <v/>
      </c>
      <c r="DC36">
        <f>$C36*DC35</f>
        <v/>
      </c>
    </row>
    <row r="37">
      <c r="B37" s="5" t="inlineStr">
        <is>
          <t>合計使用量(kg)/週</t>
        </is>
      </c>
      <c r="D37">
        <f>'Grid_Requirement'!B3</f>
        <v/>
      </c>
      <c r="E37">
        <f>'Grid_Requirement'!C3</f>
        <v/>
      </c>
      <c r="F37">
        <f>'Grid_Requirement'!D3</f>
        <v/>
      </c>
      <c r="G37">
        <f>'Grid_Requirement'!E3</f>
        <v/>
      </c>
      <c r="H37">
        <f>'Grid_Requirement'!F3</f>
        <v/>
      </c>
      <c r="I37">
        <f>'Grid_Requirement'!G3</f>
        <v/>
      </c>
      <c r="J37">
        <f>'Grid_Requirement'!H3</f>
        <v/>
      </c>
      <c r="K37">
        <f>'Grid_Requirement'!I3</f>
        <v/>
      </c>
      <c r="L37">
        <f>'Grid_Requirement'!J3</f>
        <v/>
      </c>
      <c r="M37">
        <f>'Grid_Requirement'!K3</f>
        <v/>
      </c>
      <c r="N37">
        <f>'Grid_Requirement'!L3</f>
        <v/>
      </c>
      <c r="O37">
        <f>'Grid_Requirement'!M3</f>
        <v/>
      </c>
      <c r="P37">
        <f>'Grid_Requirement'!N3</f>
        <v/>
      </c>
      <c r="Q37">
        <f>'Grid_Requirement'!O3</f>
        <v/>
      </c>
      <c r="R37">
        <f>'Grid_Requirement'!P3</f>
        <v/>
      </c>
      <c r="S37">
        <f>'Grid_Requirement'!Q3</f>
        <v/>
      </c>
      <c r="T37">
        <f>'Grid_Requirement'!R3</f>
        <v/>
      </c>
      <c r="U37">
        <f>'Grid_Requirement'!S3</f>
        <v/>
      </c>
      <c r="V37">
        <f>'Grid_Requirement'!T3</f>
        <v/>
      </c>
      <c r="W37">
        <f>'Grid_Requirement'!U3</f>
        <v/>
      </c>
      <c r="X37">
        <f>'Grid_Requirement'!V3</f>
        <v/>
      </c>
      <c r="Y37">
        <f>'Grid_Requirement'!W3</f>
        <v/>
      </c>
      <c r="Z37">
        <f>'Grid_Requirement'!X3</f>
        <v/>
      </c>
      <c r="AA37">
        <f>'Grid_Requirement'!Y3</f>
        <v/>
      </c>
      <c r="AB37">
        <f>'Grid_Requirement'!Z3</f>
        <v/>
      </c>
      <c r="AC37">
        <f>'Grid_Requirement'!AA3</f>
        <v/>
      </c>
      <c r="AD37">
        <f>'Grid_Requirement'!AB3</f>
        <v/>
      </c>
      <c r="AE37">
        <f>'Grid_Requirement'!AC3</f>
        <v/>
      </c>
      <c r="AF37">
        <f>'Grid_Requirement'!AD3</f>
        <v/>
      </c>
      <c r="AG37">
        <f>'Grid_Requirement'!AE3</f>
        <v/>
      </c>
      <c r="AH37">
        <f>'Grid_Requirement'!AF3</f>
        <v/>
      </c>
      <c r="AI37">
        <f>'Grid_Requirement'!AG3</f>
        <v/>
      </c>
      <c r="AJ37">
        <f>'Grid_Requirement'!AH3</f>
        <v/>
      </c>
      <c r="AK37">
        <f>'Grid_Requirement'!AI3</f>
        <v/>
      </c>
      <c r="AL37">
        <f>'Grid_Requirement'!AJ3</f>
        <v/>
      </c>
      <c r="AM37">
        <f>'Grid_Requirement'!AK3</f>
        <v/>
      </c>
      <c r="AN37">
        <f>'Grid_Requirement'!AL3</f>
        <v/>
      </c>
      <c r="AO37">
        <f>'Grid_Requirement'!AM3</f>
        <v/>
      </c>
      <c r="AP37">
        <f>'Grid_Requirement'!AN3</f>
        <v/>
      </c>
      <c r="AQ37">
        <f>'Grid_Requirement'!AO3</f>
        <v/>
      </c>
      <c r="AR37">
        <f>'Grid_Requirement'!AP3</f>
        <v/>
      </c>
      <c r="AS37">
        <f>'Grid_Requirement'!AQ3</f>
        <v/>
      </c>
      <c r="AT37">
        <f>'Grid_Requirement'!AR3</f>
        <v/>
      </c>
      <c r="AU37">
        <f>'Grid_Requirement'!AS3</f>
        <v/>
      </c>
      <c r="AV37">
        <f>'Grid_Requirement'!AT3</f>
        <v/>
      </c>
      <c r="AW37">
        <f>'Grid_Requirement'!AU3</f>
        <v/>
      </c>
      <c r="AX37">
        <f>'Grid_Requirement'!AV3</f>
        <v/>
      </c>
      <c r="AY37">
        <f>'Grid_Requirement'!AW3</f>
        <v/>
      </c>
      <c r="AZ37">
        <f>'Grid_Requirement'!AX3</f>
        <v/>
      </c>
      <c r="BA37">
        <f>'Grid_Requirement'!AY3</f>
        <v/>
      </c>
      <c r="BB37">
        <f>'Grid_Requirement'!AZ3</f>
        <v/>
      </c>
      <c r="BC37">
        <f>'Grid_Requirement'!BA3</f>
        <v/>
      </c>
      <c r="BD37">
        <f>'Grid_Requirement'!BB3</f>
        <v/>
      </c>
      <c r="BE37">
        <f>'Grid_Requirement'!BC3</f>
        <v/>
      </c>
      <c r="BF37">
        <f>'Grid_Requirement'!BD3</f>
        <v/>
      </c>
      <c r="BG37">
        <f>'Grid_Requirement'!BE3</f>
        <v/>
      </c>
      <c r="BH37">
        <f>'Grid_Requirement'!BF3</f>
        <v/>
      </c>
      <c r="BI37">
        <f>'Grid_Requirement'!BG3</f>
        <v/>
      </c>
      <c r="BJ37">
        <f>'Grid_Requirement'!BH3</f>
        <v/>
      </c>
      <c r="BK37">
        <f>'Grid_Requirement'!BI3</f>
        <v/>
      </c>
      <c r="BL37">
        <f>'Grid_Requirement'!BJ3</f>
        <v/>
      </c>
      <c r="BM37">
        <f>'Grid_Requirement'!BK3</f>
        <v/>
      </c>
      <c r="BN37">
        <f>'Grid_Requirement'!BL3</f>
        <v/>
      </c>
      <c r="BO37">
        <f>'Grid_Requirement'!BM3</f>
        <v/>
      </c>
      <c r="BP37">
        <f>'Grid_Requirement'!BN3</f>
        <v/>
      </c>
      <c r="BQ37">
        <f>'Grid_Requirement'!BO3</f>
        <v/>
      </c>
      <c r="BR37">
        <f>'Grid_Requirement'!BP3</f>
        <v/>
      </c>
      <c r="BS37">
        <f>'Grid_Requirement'!BQ3</f>
        <v/>
      </c>
      <c r="BT37">
        <f>'Grid_Requirement'!BR3</f>
        <v/>
      </c>
      <c r="BU37">
        <f>'Grid_Requirement'!BS3</f>
        <v/>
      </c>
      <c r="BV37">
        <f>'Grid_Requirement'!BT3</f>
        <v/>
      </c>
      <c r="BW37">
        <f>'Grid_Requirement'!BU3</f>
        <v/>
      </c>
      <c r="BX37">
        <f>'Grid_Requirement'!BV3</f>
        <v/>
      </c>
      <c r="BY37">
        <f>'Grid_Requirement'!BW3</f>
        <v/>
      </c>
      <c r="BZ37">
        <f>'Grid_Requirement'!BX3</f>
        <v/>
      </c>
      <c r="CA37">
        <f>'Grid_Requirement'!BY3</f>
        <v/>
      </c>
      <c r="CB37">
        <f>'Grid_Requirement'!BZ3</f>
        <v/>
      </c>
      <c r="CC37">
        <f>'Grid_Requirement'!CA3</f>
        <v/>
      </c>
      <c r="CD37">
        <f>'Grid_Requirement'!CB3</f>
        <v/>
      </c>
      <c r="CE37">
        <f>'Grid_Requirement'!CC3</f>
        <v/>
      </c>
      <c r="CF37">
        <f>'Grid_Requirement'!CD3</f>
        <v/>
      </c>
      <c r="CG37">
        <f>'Grid_Requirement'!CE3</f>
        <v/>
      </c>
      <c r="CH37">
        <f>'Grid_Requirement'!CF3</f>
        <v/>
      </c>
      <c r="CI37">
        <f>'Grid_Requirement'!CG3</f>
        <v/>
      </c>
      <c r="CJ37">
        <f>'Grid_Requirement'!CH3</f>
        <v/>
      </c>
      <c r="CK37">
        <f>'Grid_Requirement'!CI3</f>
        <v/>
      </c>
      <c r="CL37">
        <f>'Grid_Requirement'!CJ3</f>
        <v/>
      </c>
      <c r="CM37">
        <f>'Grid_Requirement'!CK3</f>
        <v/>
      </c>
      <c r="CN37">
        <f>'Grid_Requirement'!CL3</f>
        <v/>
      </c>
      <c r="CO37">
        <f>'Grid_Requirement'!CM3</f>
        <v/>
      </c>
      <c r="CP37">
        <f>'Grid_Requirement'!CN3</f>
        <v/>
      </c>
      <c r="CQ37">
        <f>'Grid_Requirement'!CO3</f>
        <v/>
      </c>
      <c r="CR37">
        <f>'Grid_Requirement'!CP3</f>
        <v/>
      </c>
      <c r="CS37">
        <f>'Grid_Requirement'!CQ3</f>
        <v/>
      </c>
      <c r="CT37">
        <f>'Grid_Requirement'!CR3</f>
        <v/>
      </c>
      <c r="CU37">
        <f>'Grid_Requirement'!CS3</f>
        <v/>
      </c>
      <c r="CV37">
        <f>'Grid_Requirement'!CT3</f>
        <v/>
      </c>
      <c r="CW37">
        <f>'Grid_Requirement'!CU3</f>
        <v/>
      </c>
      <c r="CX37">
        <f>'Grid_Requirement'!CV3</f>
        <v/>
      </c>
      <c r="CY37">
        <f>'Grid_Requirement'!CW3</f>
        <v/>
      </c>
      <c r="CZ37">
        <f>'Grid_Requirement'!CX3</f>
        <v/>
      </c>
      <c r="DA37">
        <f>'Grid_Requirement'!CY3</f>
        <v/>
      </c>
      <c r="DB37">
        <f>'Grid_Requirement'!CZ3</f>
        <v/>
      </c>
      <c r="DC37">
        <f>'Grid_Requirement'!DA3</f>
        <v/>
      </c>
    </row>
    <row r="38">
      <c r="B38" t="inlineStr">
        <is>
          <t>TTAF在庫(実績,kg)</t>
        </is>
      </c>
      <c r="D38">
        <f>'T_TTAFStock'!B7</f>
        <v/>
      </c>
      <c r="E38">
        <f>'T_TTAFStock'!C7</f>
        <v/>
      </c>
      <c r="F38">
        <f>'T_TTAFStock'!D7</f>
        <v/>
      </c>
      <c r="G38">
        <f>'T_TTAFStock'!E7</f>
        <v/>
      </c>
      <c r="H38">
        <f>'T_TTAFStock'!F7</f>
        <v/>
      </c>
      <c r="I38">
        <f>'T_TTAFStock'!G7</f>
        <v/>
      </c>
      <c r="J38">
        <f>'T_TTAFStock'!H7</f>
        <v/>
      </c>
      <c r="K38">
        <f>'T_TTAFStock'!I7</f>
        <v/>
      </c>
      <c r="L38">
        <f>'T_TTAFStock'!J7</f>
        <v/>
      </c>
      <c r="M38">
        <f>'T_TTAFStock'!K7</f>
        <v/>
      </c>
      <c r="N38">
        <f>'T_TTAFStock'!L7</f>
        <v/>
      </c>
      <c r="O38">
        <f>'T_TTAFStock'!M7</f>
        <v/>
      </c>
      <c r="P38">
        <f>'T_TTAFStock'!N7</f>
        <v/>
      </c>
      <c r="Q38">
        <f>'T_TTAFStock'!O7</f>
        <v/>
      </c>
      <c r="R38">
        <f>'T_TTAFStock'!P7</f>
        <v/>
      </c>
      <c r="S38">
        <f>'T_TTAFStock'!Q7</f>
        <v/>
      </c>
      <c r="T38">
        <f>'T_TTAFStock'!R7</f>
        <v/>
      </c>
      <c r="U38">
        <f>'T_TTAFStock'!S7</f>
        <v/>
      </c>
      <c r="V38">
        <f>'T_TTAFStock'!T7</f>
        <v/>
      </c>
      <c r="W38">
        <f>'T_TTAFStock'!U7</f>
        <v/>
      </c>
      <c r="X38">
        <f>'T_TTAFStock'!V7</f>
        <v/>
      </c>
      <c r="Y38">
        <f>'T_TTAFStock'!W7</f>
        <v/>
      </c>
      <c r="Z38">
        <f>'T_TTAFStock'!X7</f>
        <v/>
      </c>
      <c r="AA38">
        <f>'T_TTAFStock'!Y7</f>
        <v/>
      </c>
      <c r="AB38">
        <f>'T_TTAFStock'!Z7</f>
        <v/>
      </c>
      <c r="AC38">
        <f>'T_TTAFStock'!AA7</f>
        <v/>
      </c>
      <c r="AD38">
        <f>'T_TTAFStock'!AB7</f>
        <v/>
      </c>
      <c r="AE38">
        <f>'T_TTAFStock'!AC7</f>
        <v/>
      </c>
      <c r="AF38">
        <f>'T_TTAFStock'!AD7</f>
        <v/>
      </c>
      <c r="AG38">
        <f>'T_TTAFStock'!AE7</f>
        <v/>
      </c>
      <c r="AH38">
        <f>'T_TTAFStock'!AF7</f>
        <v/>
      </c>
      <c r="AI38">
        <f>'T_TTAFStock'!AG7</f>
        <v/>
      </c>
      <c r="AJ38">
        <f>'T_TTAFStock'!AH7</f>
        <v/>
      </c>
      <c r="AK38">
        <f>'T_TTAFStock'!AI7</f>
        <v/>
      </c>
      <c r="AL38">
        <f>'T_TTAFStock'!AJ7</f>
        <v/>
      </c>
      <c r="AM38">
        <f>'T_TTAFStock'!AK7</f>
        <v/>
      </c>
      <c r="AN38">
        <f>'T_TTAFStock'!AL7</f>
        <v/>
      </c>
      <c r="AO38">
        <f>'T_TTAFStock'!AM7</f>
        <v/>
      </c>
      <c r="AP38">
        <f>'T_TTAFStock'!AN7</f>
        <v/>
      </c>
      <c r="AQ38">
        <f>'T_TTAFStock'!AO7</f>
        <v/>
      </c>
      <c r="AR38">
        <f>'T_TTAFStock'!AP7</f>
        <v/>
      </c>
      <c r="AS38">
        <f>'T_TTAFStock'!AQ7</f>
        <v/>
      </c>
      <c r="AT38">
        <f>'T_TTAFStock'!AR7</f>
        <v/>
      </c>
      <c r="AU38">
        <f>'T_TTAFStock'!AS7</f>
        <v/>
      </c>
      <c r="AV38">
        <f>'T_TTAFStock'!AT7</f>
        <v/>
      </c>
      <c r="AW38">
        <f>'T_TTAFStock'!AU7</f>
        <v/>
      </c>
      <c r="AX38">
        <f>'T_TTAFStock'!AV7</f>
        <v/>
      </c>
      <c r="AY38">
        <f>'T_TTAFStock'!AW7</f>
        <v/>
      </c>
      <c r="AZ38">
        <f>'T_TTAFStock'!AX7</f>
        <v/>
      </c>
      <c r="BA38">
        <f>'T_TTAFStock'!AY7</f>
        <v/>
      </c>
      <c r="BB38">
        <f>'T_TTAFStock'!AZ7</f>
        <v/>
      </c>
      <c r="BC38">
        <f>'T_TTAFStock'!BA7</f>
        <v/>
      </c>
      <c r="BD38">
        <f>'T_TTAFStock'!BB7</f>
        <v/>
      </c>
      <c r="BE38">
        <f>'T_TTAFStock'!BC7</f>
        <v/>
      </c>
      <c r="BF38">
        <f>'T_TTAFStock'!BD7</f>
        <v/>
      </c>
      <c r="BG38">
        <f>'T_TTAFStock'!BE7</f>
        <v/>
      </c>
      <c r="BH38">
        <f>'T_TTAFStock'!BF7</f>
        <v/>
      </c>
      <c r="BI38">
        <f>'T_TTAFStock'!BG7</f>
        <v/>
      </c>
      <c r="BJ38">
        <f>'T_TTAFStock'!BH7</f>
        <v/>
      </c>
      <c r="BK38">
        <f>'T_TTAFStock'!BI7</f>
        <v/>
      </c>
      <c r="BL38">
        <f>'T_TTAFStock'!BJ7</f>
        <v/>
      </c>
      <c r="BM38">
        <f>'T_TTAFStock'!BK7</f>
        <v/>
      </c>
      <c r="BN38">
        <f>'T_TTAFStock'!BL7</f>
        <v/>
      </c>
      <c r="BO38">
        <f>'T_TTAFStock'!BM7</f>
        <v/>
      </c>
      <c r="BP38">
        <f>'T_TTAFStock'!BN7</f>
        <v/>
      </c>
      <c r="BQ38">
        <f>'T_TTAFStock'!BO7</f>
        <v/>
      </c>
      <c r="BR38">
        <f>'T_TTAFStock'!BP7</f>
        <v/>
      </c>
      <c r="BS38">
        <f>'T_TTAFStock'!BQ7</f>
        <v/>
      </c>
      <c r="BT38">
        <f>'T_TTAFStock'!BR7</f>
        <v/>
      </c>
      <c r="BU38">
        <f>'T_TTAFStock'!BS7</f>
        <v/>
      </c>
      <c r="BV38">
        <f>'T_TTAFStock'!BT7</f>
        <v/>
      </c>
      <c r="BW38">
        <f>'T_TTAFStock'!BU7</f>
        <v/>
      </c>
      <c r="BX38">
        <f>'T_TTAFStock'!BV7</f>
        <v/>
      </c>
      <c r="BY38">
        <f>'T_TTAFStock'!BW7</f>
        <v/>
      </c>
      <c r="BZ38">
        <f>'T_TTAFStock'!BX7</f>
        <v/>
      </c>
      <c r="CA38">
        <f>'T_TTAFStock'!BY7</f>
        <v/>
      </c>
      <c r="CB38">
        <f>'T_TTAFStock'!BZ7</f>
        <v/>
      </c>
      <c r="CC38">
        <f>'T_TTAFStock'!CA7</f>
        <v/>
      </c>
      <c r="CD38">
        <f>'T_TTAFStock'!CB7</f>
        <v/>
      </c>
      <c r="CE38">
        <f>'T_TTAFStock'!CC7</f>
        <v/>
      </c>
      <c r="CF38">
        <f>'T_TTAFStock'!CD7</f>
        <v/>
      </c>
      <c r="CG38">
        <f>'T_TTAFStock'!CE7</f>
        <v/>
      </c>
      <c r="CH38">
        <f>'T_TTAFStock'!CF7</f>
        <v/>
      </c>
      <c r="CI38">
        <f>'T_TTAFStock'!CG7</f>
        <v/>
      </c>
      <c r="CJ38">
        <f>'T_TTAFStock'!CH7</f>
        <v/>
      </c>
      <c r="CK38">
        <f>'T_TTAFStock'!CI7</f>
        <v/>
      </c>
      <c r="CL38">
        <f>'T_TTAFStock'!CJ7</f>
        <v/>
      </c>
      <c r="CM38">
        <f>'T_TTAFStock'!CK7</f>
        <v/>
      </c>
      <c r="CN38">
        <f>'T_TTAFStock'!CL7</f>
        <v/>
      </c>
      <c r="CO38">
        <f>'T_TTAFStock'!CM7</f>
        <v/>
      </c>
      <c r="CP38">
        <f>'T_TTAFStock'!CN7</f>
        <v/>
      </c>
      <c r="CQ38">
        <f>'T_TTAFStock'!CO7</f>
        <v/>
      </c>
      <c r="CR38">
        <f>'T_TTAFStock'!CP7</f>
        <v/>
      </c>
      <c r="CS38">
        <f>'T_TTAFStock'!CQ7</f>
        <v/>
      </c>
      <c r="CT38">
        <f>'T_TTAFStock'!CR7</f>
        <v/>
      </c>
      <c r="CU38">
        <f>'T_TTAFStock'!CS7</f>
        <v/>
      </c>
      <c r="CV38">
        <f>'T_TTAFStock'!CT7</f>
        <v/>
      </c>
      <c r="CW38">
        <f>'T_TTAFStock'!CU7</f>
        <v/>
      </c>
      <c r="CX38">
        <f>'T_TTAFStock'!CV7</f>
        <v/>
      </c>
      <c r="CY38">
        <f>'T_TTAFStock'!CW7</f>
        <v/>
      </c>
      <c r="CZ38">
        <f>'T_TTAFStock'!CX7</f>
        <v/>
      </c>
      <c r="DA38">
        <f>'T_TTAFStock'!CY7</f>
        <v/>
      </c>
      <c r="DB38">
        <f>'T_TTAFStock'!CZ7</f>
        <v/>
      </c>
      <c r="DC38">
        <f>'T_TTAFStock'!DA7</f>
        <v/>
      </c>
    </row>
    <row r="39">
      <c r="B39" t="inlineStr">
        <is>
          <t>自社在庫(実績,kg)</t>
        </is>
      </c>
      <c r="D39">
        <f>'T_SelfStock'!B7</f>
        <v/>
      </c>
      <c r="E39">
        <f>'T_SelfStock'!C7</f>
        <v/>
      </c>
      <c r="F39">
        <f>'T_SelfStock'!D7</f>
        <v/>
      </c>
      <c r="G39">
        <f>'T_SelfStock'!E7</f>
        <v/>
      </c>
      <c r="H39">
        <f>'T_SelfStock'!F7</f>
        <v/>
      </c>
      <c r="I39">
        <f>'T_SelfStock'!G7</f>
        <v/>
      </c>
      <c r="J39">
        <f>'T_SelfStock'!H7</f>
        <v/>
      </c>
      <c r="K39">
        <f>'T_SelfStock'!I7</f>
        <v/>
      </c>
      <c r="L39">
        <f>'T_SelfStock'!J7</f>
        <v/>
      </c>
      <c r="M39">
        <f>'T_SelfStock'!K7</f>
        <v/>
      </c>
      <c r="N39">
        <f>'T_SelfStock'!L7</f>
        <v/>
      </c>
      <c r="O39">
        <f>'T_SelfStock'!M7</f>
        <v/>
      </c>
      <c r="P39">
        <f>'T_SelfStock'!N7</f>
        <v/>
      </c>
      <c r="Q39">
        <f>'T_SelfStock'!O7</f>
        <v/>
      </c>
      <c r="R39">
        <f>'T_SelfStock'!P7</f>
        <v/>
      </c>
      <c r="S39">
        <f>'T_SelfStock'!Q7</f>
        <v/>
      </c>
      <c r="T39">
        <f>'T_SelfStock'!R7</f>
        <v/>
      </c>
      <c r="U39">
        <f>'T_SelfStock'!S7</f>
        <v/>
      </c>
      <c r="V39">
        <f>'T_SelfStock'!T7</f>
        <v/>
      </c>
      <c r="W39">
        <f>'T_SelfStock'!U7</f>
        <v/>
      </c>
      <c r="X39">
        <f>'T_SelfStock'!V7</f>
        <v/>
      </c>
      <c r="Y39">
        <f>'T_SelfStock'!W7</f>
        <v/>
      </c>
      <c r="Z39">
        <f>'T_SelfStock'!X7</f>
        <v/>
      </c>
      <c r="AA39">
        <f>'T_SelfStock'!Y7</f>
        <v/>
      </c>
      <c r="AB39">
        <f>'T_SelfStock'!Z7</f>
        <v/>
      </c>
      <c r="AC39">
        <f>'T_SelfStock'!AA7</f>
        <v/>
      </c>
      <c r="AD39">
        <f>'T_SelfStock'!AB7</f>
        <v/>
      </c>
      <c r="AE39">
        <f>'T_SelfStock'!AC7</f>
        <v/>
      </c>
      <c r="AF39">
        <f>'T_SelfStock'!AD7</f>
        <v/>
      </c>
      <c r="AG39">
        <f>'T_SelfStock'!AE7</f>
        <v/>
      </c>
      <c r="AH39">
        <f>'T_SelfStock'!AF7</f>
        <v/>
      </c>
      <c r="AI39">
        <f>'T_SelfStock'!AG7</f>
        <v/>
      </c>
      <c r="AJ39">
        <f>'T_SelfStock'!AH7</f>
        <v/>
      </c>
      <c r="AK39">
        <f>'T_SelfStock'!AI7</f>
        <v/>
      </c>
      <c r="AL39">
        <f>'T_SelfStock'!AJ7</f>
        <v/>
      </c>
      <c r="AM39">
        <f>'T_SelfStock'!AK7</f>
        <v/>
      </c>
      <c r="AN39">
        <f>'T_SelfStock'!AL7</f>
        <v/>
      </c>
      <c r="AO39">
        <f>'T_SelfStock'!AM7</f>
        <v/>
      </c>
      <c r="AP39">
        <f>'T_SelfStock'!AN7</f>
        <v/>
      </c>
      <c r="AQ39">
        <f>'T_SelfStock'!AO7</f>
        <v/>
      </c>
      <c r="AR39">
        <f>'T_SelfStock'!AP7</f>
        <v/>
      </c>
      <c r="AS39">
        <f>'T_SelfStock'!AQ7</f>
        <v/>
      </c>
      <c r="AT39">
        <f>'T_SelfStock'!AR7</f>
        <v/>
      </c>
      <c r="AU39">
        <f>'T_SelfStock'!AS7</f>
        <v/>
      </c>
      <c r="AV39">
        <f>'T_SelfStock'!AT7</f>
        <v/>
      </c>
      <c r="AW39">
        <f>'T_SelfStock'!AU7</f>
        <v/>
      </c>
      <c r="AX39">
        <f>'T_SelfStock'!AV7</f>
        <v/>
      </c>
      <c r="AY39">
        <f>'T_SelfStock'!AW7</f>
        <v/>
      </c>
      <c r="AZ39">
        <f>'T_SelfStock'!AX7</f>
        <v/>
      </c>
      <c r="BA39">
        <f>'T_SelfStock'!AY7</f>
        <v/>
      </c>
      <c r="BB39">
        <f>'T_SelfStock'!AZ7</f>
        <v/>
      </c>
      <c r="BC39">
        <f>'T_SelfStock'!BA7</f>
        <v/>
      </c>
      <c r="BD39">
        <f>'T_SelfStock'!BB7</f>
        <v/>
      </c>
      <c r="BE39">
        <f>'T_SelfStock'!BC7</f>
        <v/>
      </c>
      <c r="BF39">
        <f>'T_SelfStock'!BD7</f>
        <v/>
      </c>
      <c r="BG39">
        <f>'T_SelfStock'!BE7</f>
        <v/>
      </c>
      <c r="BH39">
        <f>'T_SelfStock'!BF7</f>
        <v/>
      </c>
      <c r="BI39">
        <f>'T_SelfStock'!BG7</f>
        <v/>
      </c>
      <c r="BJ39">
        <f>'T_SelfStock'!BH7</f>
        <v/>
      </c>
      <c r="BK39">
        <f>'T_SelfStock'!BI7</f>
        <v/>
      </c>
      <c r="BL39">
        <f>'T_SelfStock'!BJ7</f>
        <v/>
      </c>
      <c r="BM39">
        <f>'T_SelfStock'!BK7</f>
        <v/>
      </c>
      <c r="BN39">
        <f>'T_SelfStock'!BL7</f>
        <v/>
      </c>
      <c r="BO39">
        <f>'T_SelfStock'!BM7</f>
        <v/>
      </c>
      <c r="BP39">
        <f>'T_SelfStock'!BN7</f>
        <v/>
      </c>
      <c r="BQ39">
        <f>'T_SelfStock'!BO7</f>
        <v/>
      </c>
      <c r="BR39">
        <f>'T_SelfStock'!BP7</f>
        <v/>
      </c>
      <c r="BS39">
        <f>'T_SelfStock'!BQ7</f>
        <v/>
      </c>
      <c r="BT39">
        <f>'T_SelfStock'!BR7</f>
        <v/>
      </c>
      <c r="BU39">
        <f>'T_SelfStock'!BS7</f>
        <v/>
      </c>
      <c r="BV39">
        <f>'T_SelfStock'!BT7</f>
        <v/>
      </c>
      <c r="BW39">
        <f>'T_SelfStock'!BU7</f>
        <v/>
      </c>
      <c r="BX39">
        <f>'T_SelfStock'!BV7</f>
        <v/>
      </c>
      <c r="BY39">
        <f>'T_SelfStock'!BW7</f>
        <v/>
      </c>
      <c r="BZ39">
        <f>'T_SelfStock'!BX7</f>
        <v/>
      </c>
      <c r="CA39">
        <f>'T_SelfStock'!BY7</f>
        <v/>
      </c>
      <c r="CB39">
        <f>'T_SelfStock'!BZ7</f>
        <v/>
      </c>
      <c r="CC39">
        <f>'T_SelfStock'!CA7</f>
        <v/>
      </c>
      <c r="CD39">
        <f>'T_SelfStock'!CB7</f>
        <v/>
      </c>
      <c r="CE39">
        <f>'T_SelfStock'!CC7</f>
        <v/>
      </c>
      <c r="CF39">
        <f>'T_SelfStock'!CD7</f>
        <v/>
      </c>
      <c r="CG39">
        <f>'T_SelfStock'!CE7</f>
        <v/>
      </c>
      <c r="CH39">
        <f>'T_SelfStock'!CF7</f>
        <v/>
      </c>
      <c r="CI39">
        <f>'T_SelfStock'!CG7</f>
        <v/>
      </c>
      <c r="CJ39">
        <f>'T_SelfStock'!CH7</f>
        <v/>
      </c>
      <c r="CK39">
        <f>'T_SelfStock'!CI7</f>
        <v/>
      </c>
      <c r="CL39">
        <f>'T_SelfStock'!CJ7</f>
        <v/>
      </c>
      <c r="CM39">
        <f>'T_SelfStock'!CK7</f>
        <v/>
      </c>
      <c r="CN39">
        <f>'T_SelfStock'!CL7</f>
        <v/>
      </c>
      <c r="CO39">
        <f>'T_SelfStock'!CM7</f>
        <v/>
      </c>
      <c r="CP39">
        <f>'T_SelfStock'!CN7</f>
        <v/>
      </c>
      <c r="CQ39">
        <f>'T_SelfStock'!CO7</f>
        <v/>
      </c>
      <c r="CR39">
        <f>'T_SelfStock'!CP7</f>
        <v/>
      </c>
      <c r="CS39">
        <f>'T_SelfStock'!CQ7</f>
        <v/>
      </c>
      <c r="CT39">
        <f>'T_SelfStock'!CR7</f>
        <v/>
      </c>
      <c r="CU39">
        <f>'T_SelfStock'!CS7</f>
        <v/>
      </c>
      <c r="CV39">
        <f>'T_SelfStock'!CT7</f>
        <v/>
      </c>
      <c r="CW39">
        <f>'T_SelfStock'!CU7</f>
        <v/>
      </c>
      <c r="CX39">
        <f>'T_SelfStock'!CV7</f>
        <v/>
      </c>
      <c r="CY39">
        <f>'T_SelfStock'!CW7</f>
        <v/>
      </c>
      <c r="CZ39">
        <f>'T_SelfStock'!CX7</f>
        <v/>
      </c>
      <c r="DA39">
        <f>'T_SelfStock'!CY7</f>
        <v/>
      </c>
      <c r="DB39">
        <f>'T_SelfStock'!CZ7</f>
        <v/>
      </c>
      <c r="DC39">
        <f>'T_SelfStock'!DA7</f>
        <v/>
      </c>
    </row>
    <row r="40">
      <c r="B40" t="inlineStr">
        <is>
          <t>Order(発注予定,kg)</t>
        </is>
      </c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 t="n"/>
      <c r="AT40" s="23" t="n"/>
      <c r="AU40" s="23" t="n"/>
      <c r="AV40" s="23" t="n"/>
      <c r="AW40" s="23" t="n"/>
      <c r="AX40" s="23" t="n"/>
      <c r="AY40" s="23" t="n"/>
      <c r="AZ40" s="23" t="n"/>
      <c r="BA40" s="23" t="n"/>
      <c r="BB40" s="23" t="n"/>
      <c r="BC40" s="23" t="n"/>
      <c r="BD40" s="23" t="n"/>
      <c r="BE40" s="23" t="n"/>
      <c r="BF40" s="23" t="n"/>
      <c r="BG40" s="23" t="n"/>
      <c r="BH40" s="23" t="n"/>
      <c r="BI40" s="23" t="n"/>
      <c r="BJ40" s="23" t="n"/>
      <c r="BK40" s="23" t="n"/>
      <c r="BL40" s="23" t="n"/>
      <c r="BM40" s="23" t="n"/>
      <c r="BN40" s="23" t="n"/>
      <c r="BO40" s="23" t="n"/>
      <c r="BP40" s="23" t="n"/>
      <c r="BQ40" s="23" t="n"/>
      <c r="BR40" s="23" t="n"/>
      <c r="BS40" s="23" t="n"/>
      <c r="BT40" s="23" t="n"/>
      <c r="BU40" s="23" t="n"/>
      <c r="BV40" s="23" t="n"/>
      <c r="BW40" s="23" t="n"/>
      <c r="BX40" s="23" t="n"/>
      <c r="BY40" s="23" t="n"/>
      <c r="BZ40" s="23" t="n"/>
      <c r="CA40" s="23" t="n"/>
      <c r="CB40" s="23" t="n"/>
      <c r="CC40" s="23" t="n"/>
      <c r="CD40" s="23" t="n"/>
      <c r="CE40" s="23" t="n"/>
      <c r="CF40" s="23" t="n"/>
      <c r="CG40" s="23" t="n"/>
      <c r="CH40" s="23" t="n"/>
      <c r="CI40" s="23" t="n"/>
      <c r="CJ40" s="23" t="n"/>
      <c r="CK40" s="23" t="n"/>
      <c r="CL40" s="23" t="n"/>
      <c r="CM40" s="23" t="n"/>
      <c r="CN40" s="23" t="n"/>
      <c r="CO40" s="23" t="n"/>
      <c r="CP40" s="23" t="n"/>
      <c r="CQ40" s="23" t="n"/>
      <c r="CR40" s="23" t="n"/>
      <c r="CS40" s="23" t="n"/>
      <c r="CT40" s="23" t="n"/>
      <c r="CU40" s="23" t="n"/>
      <c r="CV40" s="23" t="n"/>
      <c r="CW40" s="23" t="n"/>
      <c r="CX40" s="23" t="n"/>
      <c r="CY40" s="23" t="n"/>
      <c r="CZ40" s="23" t="n"/>
      <c r="DA40" s="23" t="n"/>
      <c r="DB40" s="23" t="n"/>
      <c r="DC40" s="23" t="n"/>
      <c r="DE40" s="12" t="inlineStr">
        <is>
          <t>1EK</t>
        </is>
      </c>
    </row>
    <row r="41">
      <c r="B41" s="24" t="inlineStr">
        <is>
          <t>PO_No</t>
        </is>
      </c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  <c r="CQ41" s="25" t="n"/>
      <c r="CR41" s="25" t="n"/>
      <c r="CS41" s="25" t="n"/>
      <c r="CT41" s="25" t="n"/>
      <c r="CU41" s="25" t="n"/>
      <c r="CV41" s="25" t="n"/>
      <c r="CW41" s="25" t="n"/>
      <c r="CX41" s="25" t="n"/>
      <c r="CY41" s="25" t="n"/>
      <c r="CZ41" s="25" t="n"/>
      <c r="DA41" s="25" t="n"/>
      <c r="DB41" s="25" t="n"/>
      <c r="DC41" s="25" t="n"/>
    </row>
    <row r="42">
      <c r="B42" s="5" t="inlineStr">
        <is>
          <t>合計在庫(週末時点,kg)</t>
        </is>
      </c>
      <c r="D42">
        <f>'Grid_Stock'!B3</f>
        <v/>
      </c>
      <c r="E42">
        <f>'Grid_Stock'!C3</f>
        <v/>
      </c>
      <c r="F42">
        <f>'Grid_Stock'!D3</f>
        <v/>
      </c>
      <c r="G42">
        <f>'Grid_Stock'!E3</f>
        <v/>
      </c>
      <c r="H42">
        <f>'Grid_Stock'!F3</f>
        <v/>
      </c>
      <c r="I42">
        <f>'Grid_Stock'!G3</f>
        <v/>
      </c>
      <c r="J42">
        <f>'Grid_Stock'!H3</f>
        <v/>
      </c>
      <c r="K42">
        <f>'Grid_Stock'!I3</f>
        <v/>
      </c>
      <c r="L42">
        <f>'Grid_Stock'!J3</f>
        <v/>
      </c>
      <c r="M42">
        <f>'Grid_Stock'!K3</f>
        <v/>
      </c>
      <c r="N42">
        <f>'Grid_Stock'!L3</f>
        <v/>
      </c>
      <c r="O42">
        <f>'Grid_Stock'!M3</f>
        <v/>
      </c>
      <c r="P42">
        <f>'Grid_Stock'!N3</f>
        <v/>
      </c>
      <c r="Q42">
        <f>'Grid_Stock'!O3</f>
        <v/>
      </c>
      <c r="R42">
        <f>'Grid_Stock'!P3</f>
        <v/>
      </c>
      <c r="S42">
        <f>'Grid_Stock'!Q3</f>
        <v/>
      </c>
      <c r="T42">
        <f>'Grid_Stock'!R3</f>
        <v/>
      </c>
      <c r="U42">
        <f>'Grid_Stock'!S3</f>
        <v/>
      </c>
      <c r="V42">
        <f>'Grid_Stock'!T3</f>
        <v/>
      </c>
      <c r="W42">
        <f>'Grid_Stock'!U3</f>
        <v/>
      </c>
      <c r="X42">
        <f>'Grid_Stock'!V3</f>
        <v/>
      </c>
      <c r="Y42">
        <f>'Grid_Stock'!W3</f>
        <v/>
      </c>
      <c r="Z42">
        <f>'Grid_Stock'!X3</f>
        <v/>
      </c>
      <c r="AA42">
        <f>'Grid_Stock'!Y3</f>
        <v/>
      </c>
      <c r="AB42">
        <f>'Grid_Stock'!Z3</f>
        <v/>
      </c>
      <c r="AC42">
        <f>'Grid_Stock'!AA3</f>
        <v/>
      </c>
      <c r="AD42">
        <f>'Grid_Stock'!AB3</f>
        <v/>
      </c>
      <c r="AE42">
        <f>'Grid_Stock'!AC3</f>
        <v/>
      </c>
      <c r="AF42">
        <f>'Grid_Stock'!AD3</f>
        <v/>
      </c>
      <c r="AG42">
        <f>'Grid_Stock'!AE3</f>
        <v/>
      </c>
      <c r="AH42">
        <f>'Grid_Stock'!AF3</f>
        <v/>
      </c>
      <c r="AI42">
        <f>'Grid_Stock'!AG3</f>
        <v/>
      </c>
      <c r="AJ42">
        <f>'Grid_Stock'!AH3</f>
        <v/>
      </c>
      <c r="AK42">
        <f>'Grid_Stock'!AI3</f>
        <v/>
      </c>
      <c r="AL42">
        <f>'Grid_Stock'!AJ3</f>
        <v/>
      </c>
      <c r="AM42">
        <f>'Grid_Stock'!AK3</f>
        <v/>
      </c>
      <c r="AN42">
        <f>'Grid_Stock'!AL3</f>
        <v/>
      </c>
      <c r="AO42">
        <f>'Grid_Stock'!AM3</f>
        <v/>
      </c>
      <c r="AP42">
        <f>'Grid_Stock'!AN3</f>
        <v/>
      </c>
      <c r="AQ42">
        <f>'Grid_Stock'!AO3</f>
        <v/>
      </c>
      <c r="AR42">
        <f>'Grid_Stock'!AP3</f>
        <v/>
      </c>
      <c r="AS42">
        <f>'Grid_Stock'!AQ3</f>
        <v/>
      </c>
      <c r="AT42">
        <f>'Grid_Stock'!AR3</f>
        <v/>
      </c>
      <c r="AU42">
        <f>'Grid_Stock'!AS3</f>
        <v/>
      </c>
      <c r="AV42">
        <f>'Grid_Stock'!AT3</f>
        <v/>
      </c>
      <c r="AW42">
        <f>'Grid_Stock'!AU3</f>
        <v/>
      </c>
      <c r="AX42">
        <f>'Grid_Stock'!AV3</f>
        <v/>
      </c>
      <c r="AY42">
        <f>'Grid_Stock'!AW3</f>
        <v/>
      </c>
      <c r="AZ42">
        <f>'Grid_Stock'!AX3</f>
        <v/>
      </c>
      <c r="BA42">
        <f>'Grid_Stock'!AY3</f>
        <v/>
      </c>
      <c r="BB42">
        <f>'Grid_Stock'!AZ3</f>
        <v/>
      </c>
      <c r="BC42">
        <f>'Grid_Stock'!BA3</f>
        <v/>
      </c>
      <c r="BD42">
        <f>'Grid_Stock'!BB3</f>
        <v/>
      </c>
      <c r="BE42">
        <f>'Grid_Stock'!BC3</f>
        <v/>
      </c>
      <c r="BF42">
        <f>'Grid_Stock'!BD3</f>
        <v/>
      </c>
      <c r="BG42">
        <f>'Grid_Stock'!BE3</f>
        <v/>
      </c>
      <c r="BH42">
        <f>'Grid_Stock'!BF3</f>
        <v/>
      </c>
      <c r="BI42">
        <f>'Grid_Stock'!BG3</f>
        <v/>
      </c>
      <c r="BJ42">
        <f>'Grid_Stock'!BH3</f>
        <v/>
      </c>
      <c r="BK42">
        <f>'Grid_Stock'!BI3</f>
        <v/>
      </c>
      <c r="BL42">
        <f>'Grid_Stock'!BJ3</f>
        <v/>
      </c>
      <c r="BM42">
        <f>'Grid_Stock'!BK3</f>
        <v/>
      </c>
      <c r="BN42">
        <f>'Grid_Stock'!BL3</f>
        <v/>
      </c>
      <c r="BO42">
        <f>'Grid_Stock'!BM3</f>
        <v/>
      </c>
      <c r="BP42">
        <f>'Grid_Stock'!BN3</f>
        <v/>
      </c>
      <c r="BQ42">
        <f>'Grid_Stock'!BO3</f>
        <v/>
      </c>
      <c r="BR42">
        <f>'Grid_Stock'!BP3</f>
        <v/>
      </c>
      <c r="BS42">
        <f>'Grid_Stock'!BQ3</f>
        <v/>
      </c>
      <c r="BT42">
        <f>'Grid_Stock'!BR3</f>
        <v/>
      </c>
      <c r="BU42">
        <f>'Grid_Stock'!BS3</f>
        <v/>
      </c>
      <c r="BV42">
        <f>'Grid_Stock'!BT3</f>
        <v/>
      </c>
      <c r="BW42">
        <f>'Grid_Stock'!BU3</f>
        <v/>
      </c>
      <c r="BX42">
        <f>'Grid_Stock'!BV3</f>
        <v/>
      </c>
      <c r="BY42">
        <f>'Grid_Stock'!BW3</f>
        <v/>
      </c>
      <c r="BZ42">
        <f>'Grid_Stock'!BX3</f>
        <v/>
      </c>
      <c r="CA42">
        <f>'Grid_Stock'!BY3</f>
        <v/>
      </c>
      <c r="CB42">
        <f>'Grid_Stock'!BZ3</f>
        <v/>
      </c>
      <c r="CC42">
        <f>'Grid_Stock'!CA3</f>
        <v/>
      </c>
      <c r="CD42">
        <f>'Grid_Stock'!CB3</f>
        <v/>
      </c>
      <c r="CE42">
        <f>'Grid_Stock'!CC3</f>
        <v/>
      </c>
      <c r="CF42">
        <f>'Grid_Stock'!CD3</f>
        <v/>
      </c>
      <c r="CG42">
        <f>'Grid_Stock'!CE3</f>
        <v/>
      </c>
      <c r="CH42">
        <f>'Grid_Stock'!CF3</f>
        <v/>
      </c>
      <c r="CI42">
        <f>'Grid_Stock'!CG3</f>
        <v/>
      </c>
      <c r="CJ42">
        <f>'Grid_Stock'!CH3</f>
        <v/>
      </c>
      <c r="CK42">
        <f>'Grid_Stock'!CI3</f>
        <v/>
      </c>
      <c r="CL42">
        <f>'Grid_Stock'!CJ3</f>
        <v/>
      </c>
      <c r="CM42">
        <f>'Grid_Stock'!CK3</f>
        <v/>
      </c>
      <c r="CN42">
        <f>'Grid_Stock'!CL3</f>
        <v/>
      </c>
      <c r="CO42">
        <f>'Grid_Stock'!CM3</f>
        <v/>
      </c>
      <c r="CP42">
        <f>'Grid_Stock'!CN3</f>
        <v/>
      </c>
      <c r="CQ42">
        <f>'Grid_Stock'!CO3</f>
        <v/>
      </c>
      <c r="CR42">
        <f>'Grid_Stock'!CP3</f>
        <v/>
      </c>
      <c r="CS42">
        <f>'Grid_Stock'!CQ3</f>
        <v/>
      </c>
      <c r="CT42">
        <f>'Grid_Stock'!CR3</f>
        <v/>
      </c>
      <c r="CU42">
        <f>'Grid_Stock'!CS3</f>
        <v/>
      </c>
      <c r="CV42">
        <f>'Grid_Stock'!CT3</f>
        <v/>
      </c>
      <c r="CW42">
        <f>'Grid_Stock'!CU3</f>
        <v/>
      </c>
      <c r="CX42">
        <f>'Grid_Stock'!CV3</f>
        <v/>
      </c>
      <c r="CY42">
        <f>'Grid_Stock'!CW3</f>
        <v/>
      </c>
      <c r="CZ42">
        <f>'Grid_Stock'!CX3</f>
        <v/>
      </c>
      <c r="DA42">
        <f>'Grid_Stock'!CY3</f>
        <v/>
      </c>
      <c r="DB42">
        <f>'Grid_Stock'!CZ3</f>
        <v/>
      </c>
      <c r="DC42">
        <f>'Grid_Stock'!DA3</f>
        <v/>
      </c>
    </row>
    <row r="43">
      <c r="B43" s="26" t="inlineStr">
        <is>
          <t>（発注の目安はDashboardの基準在庫[下限/上限]と色分けを参照）</t>
        </is>
      </c>
    </row>
    <row r="45">
      <c r="A45" s="21" t="inlineStr">
        <is>
          <t>4HL</t>
        </is>
      </c>
      <c r="B45" s="21" t="inlineStr">
        <is>
          <t>NGK - 4HL</t>
        </is>
      </c>
      <c r="C45" s="22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/>
      <c r="BL45" s="21" t="n"/>
      <c r="BM45" s="21" t="n"/>
      <c r="BN45" s="21" t="n"/>
      <c r="BO45" s="21" t="n"/>
      <c r="BP45" s="21" t="n"/>
      <c r="BQ45" s="21" t="n"/>
      <c r="BR45" s="21" t="n"/>
      <c r="BS45" s="21" t="n"/>
      <c r="BT45" s="21" t="n"/>
      <c r="BU45" s="21" t="n"/>
      <c r="BV45" s="21" t="n"/>
      <c r="BW45" s="21" t="n"/>
      <c r="BX45" s="21" t="n"/>
      <c r="BY45" s="21" t="n"/>
      <c r="BZ45" s="21" t="n"/>
      <c r="CA45" s="21" t="n"/>
      <c r="CB45" s="21" t="n"/>
      <c r="CC45" s="21" t="n"/>
      <c r="CD45" s="21" t="n"/>
      <c r="CE45" s="21" t="n"/>
      <c r="CF45" s="21" t="n"/>
      <c r="CG45" s="21" t="n"/>
      <c r="CH45" s="21" t="n"/>
      <c r="CI45" s="21" t="n"/>
      <c r="CJ45" s="21" t="n"/>
      <c r="CK45" s="21" t="n"/>
      <c r="CL45" s="21" t="n"/>
      <c r="CM45" s="21" t="n"/>
      <c r="CN45" s="21" t="n"/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</row>
    <row r="46">
      <c r="B46" t="inlineStr">
        <is>
          <t>F3060</t>
        </is>
      </c>
      <c r="C46" t="inlineStr">
        <is>
          <t>No. of batches</t>
        </is>
      </c>
      <c r="D46">
        <f>IFERROR(INDEX(PP_Grid[#Data],$DD46,2),0)</f>
        <v/>
      </c>
      <c r="E46">
        <f>IFERROR(INDEX(PP_Grid[#Data],$DD46,3),0)</f>
        <v/>
      </c>
      <c r="F46">
        <f>IFERROR(INDEX(PP_Grid[#Data],$DD46,4),0)</f>
        <v/>
      </c>
      <c r="G46">
        <f>IFERROR(INDEX(PP_Grid[#Data],$DD46,5),0)</f>
        <v/>
      </c>
      <c r="H46">
        <f>IFERROR(INDEX(PP_Grid[#Data],$DD46,6),0)</f>
        <v/>
      </c>
      <c r="I46">
        <f>IFERROR(INDEX(PP_Grid[#Data],$DD46,7),0)</f>
        <v/>
      </c>
      <c r="J46">
        <f>IFERROR(INDEX(PP_Grid[#Data],$DD46,8),0)</f>
        <v/>
      </c>
      <c r="K46">
        <f>IFERROR(INDEX(PP_Grid[#Data],$DD46,9),0)</f>
        <v/>
      </c>
      <c r="L46">
        <f>IFERROR(INDEX(PP_Grid[#Data],$DD46,10),0)</f>
        <v/>
      </c>
      <c r="M46">
        <f>IFERROR(INDEX(PP_Grid[#Data],$DD46,11),0)</f>
        <v/>
      </c>
      <c r="N46">
        <f>IFERROR(INDEX(PP_Grid[#Data],$DD46,12),0)</f>
        <v/>
      </c>
      <c r="O46">
        <f>IFERROR(INDEX(PP_Grid[#Data],$DD46,13),0)</f>
        <v/>
      </c>
      <c r="P46">
        <f>IFERROR(INDEX(PP_Grid[#Data],$DD46,14),0)</f>
        <v/>
      </c>
      <c r="Q46">
        <f>IFERROR(INDEX(PP_Grid[#Data],$DD46,15),0)</f>
        <v/>
      </c>
      <c r="R46">
        <f>IFERROR(INDEX(PP_Grid[#Data],$DD46,16),0)</f>
        <v/>
      </c>
      <c r="S46">
        <f>IFERROR(INDEX(PP_Grid[#Data],$DD46,17),0)</f>
        <v/>
      </c>
      <c r="T46">
        <f>IFERROR(INDEX(PP_Grid[#Data],$DD46,18),0)</f>
        <v/>
      </c>
      <c r="U46">
        <f>IFERROR(INDEX(PP_Grid[#Data],$DD46,19),0)</f>
        <v/>
      </c>
      <c r="V46">
        <f>IFERROR(INDEX(PP_Grid[#Data],$DD46,20),0)</f>
        <v/>
      </c>
      <c r="W46">
        <f>IFERROR(INDEX(PP_Grid[#Data],$DD46,21),0)</f>
        <v/>
      </c>
      <c r="X46">
        <f>IFERROR(INDEX(PP_Grid[#Data],$DD46,22),0)</f>
        <v/>
      </c>
      <c r="Y46">
        <f>IFERROR(INDEX(PP_Grid[#Data],$DD46,23),0)</f>
        <v/>
      </c>
      <c r="Z46">
        <f>IFERROR(INDEX(PP_Grid[#Data],$DD46,24),0)</f>
        <v/>
      </c>
      <c r="AA46">
        <f>IFERROR(INDEX(PP_Grid[#Data],$DD46,25),0)</f>
        <v/>
      </c>
      <c r="AB46">
        <f>IFERROR(INDEX(PP_Grid[#Data],$DD46,26),0)</f>
        <v/>
      </c>
      <c r="AC46">
        <f>IFERROR(INDEX(PP_Grid[#Data],$DD46,27),0)</f>
        <v/>
      </c>
      <c r="AD46">
        <f>IFERROR(INDEX(PP_Grid[#Data],$DD46,28),0)</f>
        <v/>
      </c>
      <c r="AE46">
        <f>IFERROR(INDEX(PP_Grid[#Data],$DD46,29),0)</f>
        <v/>
      </c>
      <c r="AF46">
        <f>IFERROR(INDEX(PP_Grid[#Data],$DD46,30),0)</f>
        <v/>
      </c>
      <c r="AG46">
        <f>IFERROR(INDEX(PP_Grid[#Data],$DD46,31),0)</f>
        <v/>
      </c>
      <c r="AH46">
        <f>IFERROR(INDEX(PP_Grid[#Data],$DD46,32),0)</f>
        <v/>
      </c>
      <c r="AI46">
        <f>IFERROR(INDEX(PP_Grid[#Data],$DD46,33),0)</f>
        <v/>
      </c>
      <c r="AJ46">
        <f>IFERROR(INDEX(PP_Grid[#Data],$DD46,34),0)</f>
        <v/>
      </c>
      <c r="AK46">
        <f>IFERROR(INDEX(PP_Grid[#Data],$DD46,35),0)</f>
        <v/>
      </c>
      <c r="AL46">
        <f>IFERROR(INDEX(PP_Grid[#Data],$DD46,36),0)</f>
        <v/>
      </c>
      <c r="AM46">
        <f>IFERROR(INDEX(PP_Grid[#Data],$DD46,37),0)</f>
        <v/>
      </c>
      <c r="AN46">
        <f>IFERROR(INDEX(PP_Grid[#Data],$DD46,38),0)</f>
        <v/>
      </c>
      <c r="AO46">
        <f>IFERROR(INDEX(PP_Grid[#Data],$DD46,39),0)</f>
        <v/>
      </c>
      <c r="AP46">
        <f>IFERROR(INDEX(PP_Grid[#Data],$DD46,40),0)</f>
        <v/>
      </c>
      <c r="AQ46">
        <f>IFERROR(INDEX(PP_Grid[#Data],$DD46,41),0)</f>
        <v/>
      </c>
      <c r="AR46">
        <f>IFERROR(INDEX(PP_Grid[#Data],$DD46,42),0)</f>
        <v/>
      </c>
      <c r="AS46">
        <f>IFERROR(INDEX(PP_Grid[#Data],$DD46,43),0)</f>
        <v/>
      </c>
      <c r="AT46">
        <f>IFERROR(INDEX(PP_Grid[#Data],$DD46,44),0)</f>
        <v/>
      </c>
      <c r="AU46">
        <f>IFERROR(INDEX(PP_Grid[#Data],$DD46,45),0)</f>
        <v/>
      </c>
      <c r="AV46">
        <f>IFERROR(INDEX(PP_Grid[#Data],$DD46,46),0)</f>
        <v/>
      </c>
      <c r="AW46">
        <f>IFERROR(INDEX(PP_Grid[#Data],$DD46,47),0)</f>
        <v/>
      </c>
      <c r="AX46">
        <f>IFERROR(INDEX(PP_Grid[#Data],$DD46,48),0)</f>
        <v/>
      </c>
      <c r="AY46">
        <f>IFERROR(INDEX(PP_Grid[#Data],$DD46,49),0)</f>
        <v/>
      </c>
      <c r="AZ46">
        <f>IFERROR(INDEX(PP_Grid[#Data],$DD46,50),0)</f>
        <v/>
      </c>
      <c r="BA46">
        <f>IFERROR(INDEX(PP_Grid[#Data],$DD46,51),0)</f>
        <v/>
      </c>
      <c r="BB46">
        <f>IFERROR(INDEX(PP_Grid[#Data],$DD46,52),0)</f>
        <v/>
      </c>
      <c r="BC46">
        <f>IFERROR(INDEX(PP_Grid[#Data],$DD46,53),0)</f>
        <v/>
      </c>
      <c r="BD46">
        <f>IFERROR(INDEX(PP_Grid[#Data],$DD46,54),0)</f>
        <v/>
      </c>
      <c r="BE46">
        <f>IFERROR(INDEX(PP_Grid[#Data],$DD46,55),0)</f>
        <v/>
      </c>
      <c r="BF46">
        <f>IFERROR(INDEX(PP_Grid[#Data],$DD46,56),0)</f>
        <v/>
      </c>
      <c r="BG46">
        <f>IFERROR(INDEX(PP_Grid[#Data],$DD46,57),0)</f>
        <v/>
      </c>
      <c r="BH46">
        <f>IFERROR(INDEX(PP_Grid[#Data],$DD46,58),0)</f>
        <v/>
      </c>
      <c r="BI46">
        <f>IFERROR(INDEX(PP_Grid[#Data],$DD46,59),0)</f>
        <v/>
      </c>
      <c r="BJ46">
        <f>IFERROR(INDEX(PP_Grid[#Data],$DD46,60),0)</f>
        <v/>
      </c>
      <c r="BK46">
        <f>IFERROR(INDEX(PP_Grid[#Data],$DD46,61),0)</f>
        <v/>
      </c>
      <c r="BL46">
        <f>IFERROR(INDEX(PP_Grid[#Data],$DD46,62),0)</f>
        <v/>
      </c>
      <c r="BM46">
        <f>IFERROR(INDEX(PP_Grid[#Data],$DD46,63),0)</f>
        <v/>
      </c>
      <c r="BN46">
        <f>IFERROR(INDEX(PP_Grid[#Data],$DD46,64),0)</f>
        <v/>
      </c>
      <c r="BO46">
        <f>IFERROR(INDEX(PP_Grid[#Data],$DD46,65),0)</f>
        <v/>
      </c>
      <c r="BP46">
        <f>IFERROR(INDEX(PP_Grid[#Data],$DD46,66),0)</f>
        <v/>
      </c>
      <c r="BQ46">
        <f>IFERROR(INDEX(PP_Grid[#Data],$DD46,67),0)</f>
        <v/>
      </c>
      <c r="BR46">
        <f>IFERROR(INDEX(PP_Grid[#Data],$DD46,68),0)</f>
        <v/>
      </c>
      <c r="BS46">
        <f>IFERROR(INDEX(PP_Grid[#Data],$DD46,69),0)</f>
        <v/>
      </c>
      <c r="BT46">
        <f>IFERROR(INDEX(PP_Grid[#Data],$DD46,70),0)</f>
        <v/>
      </c>
      <c r="BU46">
        <f>IFERROR(INDEX(PP_Grid[#Data],$DD46,71),0)</f>
        <v/>
      </c>
      <c r="BV46">
        <f>IFERROR(INDEX(PP_Grid[#Data],$DD46,72),0)</f>
        <v/>
      </c>
      <c r="BW46">
        <f>IFERROR(INDEX(PP_Grid[#Data],$DD46,73),0)</f>
        <v/>
      </c>
      <c r="BX46">
        <f>IFERROR(INDEX(PP_Grid[#Data],$DD46,74),0)</f>
        <v/>
      </c>
      <c r="BY46">
        <f>IFERROR(INDEX(PP_Grid[#Data],$DD46,75),0)</f>
        <v/>
      </c>
      <c r="BZ46">
        <f>IFERROR(INDEX(PP_Grid[#Data],$DD46,76),0)</f>
        <v/>
      </c>
      <c r="CA46">
        <f>IFERROR(INDEX(PP_Grid[#Data],$DD46,77),0)</f>
        <v/>
      </c>
      <c r="CB46">
        <f>IFERROR(INDEX(PP_Grid[#Data],$DD46,78),0)</f>
        <v/>
      </c>
      <c r="CC46">
        <f>IFERROR(INDEX(PP_Grid[#Data],$DD46,79),0)</f>
        <v/>
      </c>
      <c r="CD46">
        <f>IFERROR(INDEX(PP_Grid[#Data],$DD46,80),0)</f>
        <v/>
      </c>
      <c r="CE46">
        <f>IFERROR(INDEX(PP_Grid[#Data],$DD46,81),0)</f>
        <v/>
      </c>
      <c r="CF46">
        <f>IFERROR(INDEX(PP_Grid[#Data],$DD46,82),0)</f>
        <v/>
      </c>
      <c r="CG46">
        <f>IFERROR(INDEX(PP_Grid[#Data],$DD46,83),0)</f>
        <v/>
      </c>
      <c r="CH46">
        <f>IFERROR(INDEX(PP_Grid[#Data],$DD46,84),0)</f>
        <v/>
      </c>
      <c r="CI46">
        <f>IFERROR(INDEX(PP_Grid[#Data],$DD46,85),0)</f>
        <v/>
      </c>
      <c r="CJ46">
        <f>IFERROR(INDEX(PP_Grid[#Data],$DD46,86),0)</f>
        <v/>
      </c>
      <c r="CK46">
        <f>IFERROR(INDEX(PP_Grid[#Data],$DD46,87),0)</f>
        <v/>
      </c>
      <c r="CL46">
        <f>IFERROR(INDEX(PP_Grid[#Data],$DD46,88),0)</f>
        <v/>
      </c>
      <c r="CM46">
        <f>IFERROR(INDEX(PP_Grid[#Data],$DD46,89),0)</f>
        <v/>
      </c>
      <c r="CN46">
        <f>IFERROR(INDEX(PP_Grid[#Data],$DD46,90),0)</f>
        <v/>
      </c>
      <c r="CO46">
        <f>IFERROR(INDEX(PP_Grid[#Data],$DD46,91),0)</f>
        <v/>
      </c>
      <c r="CP46">
        <f>IFERROR(INDEX(PP_Grid[#Data],$DD46,92),0)</f>
        <v/>
      </c>
      <c r="CQ46">
        <f>IFERROR(INDEX(PP_Grid[#Data],$DD46,93),0)</f>
        <v/>
      </c>
      <c r="CR46">
        <f>IFERROR(INDEX(PP_Grid[#Data],$DD46,94),0)</f>
        <v/>
      </c>
      <c r="CS46">
        <f>IFERROR(INDEX(PP_Grid[#Data],$DD46,95),0)</f>
        <v/>
      </c>
      <c r="CT46">
        <f>IFERROR(INDEX(PP_Grid[#Data],$DD46,96),0)</f>
        <v/>
      </c>
      <c r="CU46">
        <f>IFERROR(INDEX(PP_Grid[#Data],$DD46,97),0)</f>
        <v/>
      </c>
      <c r="CV46">
        <f>IFERROR(INDEX(PP_Grid[#Data],$DD46,98),0)</f>
        <v/>
      </c>
      <c r="CW46">
        <f>IFERROR(INDEX(PP_Grid[#Data],$DD46,99),0)</f>
        <v/>
      </c>
      <c r="CX46">
        <f>IFERROR(INDEX(PP_Grid[#Data],$DD46,100),0)</f>
        <v/>
      </c>
      <c r="CY46">
        <f>IFERROR(INDEX(PP_Grid[#Data],$DD46,101),0)</f>
        <v/>
      </c>
      <c r="CZ46">
        <f>IFERROR(INDEX(PP_Grid[#Data],$DD46,102),0)</f>
        <v/>
      </c>
      <c r="DA46">
        <f>IFERROR(INDEX(PP_Grid[#Data],$DD46,103),0)</f>
        <v/>
      </c>
      <c r="DB46">
        <f>IFERROR(INDEX(PP_Grid[#Data],$DD46,104),0)</f>
        <v/>
      </c>
      <c r="DC46">
        <f>IFERROR(INDEX(PP_Grid[#Data],$DD46,105),0)</f>
        <v/>
      </c>
      <c r="DD46" s="12">
        <f>IFERROR(MATCH($B46,PP_Grid[Intermediate],0),99999)</f>
        <v/>
      </c>
    </row>
    <row r="47">
      <c r="B47" t="inlineStr">
        <is>
          <t>使用量(kg)</t>
        </is>
      </c>
      <c r="C47">
        <f>SUMIFS(M_BOM[RM_Qty_Per_Batch],M_BOM[Intermediate],$B46,M_BOM[Part Name],$A45)</f>
        <v/>
      </c>
      <c r="D47">
        <f>$C47*D46</f>
        <v/>
      </c>
      <c r="E47">
        <f>$C47*E46</f>
        <v/>
      </c>
      <c r="F47">
        <f>$C47*F46</f>
        <v/>
      </c>
      <c r="G47">
        <f>$C47*G46</f>
        <v/>
      </c>
      <c r="H47">
        <f>$C47*H46</f>
        <v/>
      </c>
      <c r="I47">
        <f>$C47*I46</f>
        <v/>
      </c>
      <c r="J47">
        <f>$C47*J46</f>
        <v/>
      </c>
      <c r="K47">
        <f>$C47*K46</f>
        <v/>
      </c>
      <c r="L47">
        <f>$C47*L46</f>
        <v/>
      </c>
      <c r="M47">
        <f>$C47*M46</f>
        <v/>
      </c>
      <c r="N47">
        <f>$C47*N46</f>
        <v/>
      </c>
      <c r="O47">
        <f>$C47*O46</f>
        <v/>
      </c>
      <c r="P47">
        <f>$C47*P46</f>
        <v/>
      </c>
      <c r="Q47">
        <f>$C47*Q46</f>
        <v/>
      </c>
      <c r="R47">
        <f>$C47*R46</f>
        <v/>
      </c>
      <c r="S47">
        <f>$C47*S46</f>
        <v/>
      </c>
      <c r="T47">
        <f>$C47*T46</f>
        <v/>
      </c>
      <c r="U47">
        <f>$C47*U46</f>
        <v/>
      </c>
      <c r="V47">
        <f>$C47*V46</f>
        <v/>
      </c>
      <c r="W47">
        <f>$C47*W46</f>
        <v/>
      </c>
      <c r="X47">
        <f>$C47*X46</f>
        <v/>
      </c>
      <c r="Y47">
        <f>$C47*Y46</f>
        <v/>
      </c>
      <c r="Z47">
        <f>$C47*Z46</f>
        <v/>
      </c>
      <c r="AA47">
        <f>$C47*AA46</f>
        <v/>
      </c>
      <c r="AB47">
        <f>$C47*AB46</f>
        <v/>
      </c>
      <c r="AC47">
        <f>$C47*AC46</f>
        <v/>
      </c>
      <c r="AD47">
        <f>$C47*AD46</f>
        <v/>
      </c>
      <c r="AE47">
        <f>$C47*AE46</f>
        <v/>
      </c>
      <c r="AF47">
        <f>$C47*AF46</f>
        <v/>
      </c>
      <c r="AG47">
        <f>$C47*AG46</f>
        <v/>
      </c>
      <c r="AH47">
        <f>$C47*AH46</f>
        <v/>
      </c>
      <c r="AI47">
        <f>$C47*AI46</f>
        <v/>
      </c>
      <c r="AJ47">
        <f>$C47*AJ46</f>
        <v/>
      </c>
      <c r="AK47">
        <f>$C47*AK46</f>
        <v/>
      </c>
      <c r="AL47">
        <f>$C47*AL46</f>
        <v/>
      </c>
      <c r="AM47">
        <f>$C47*AM46</f>
        <v/>
      </c>
      <c r="AN47">
        <f>$C47*AN46</f>
        <v/>
      </c>
      <c r="AO47">
        <f>$C47*AO46</f>
        <v/>
      </c>
      <c r="AP47">
        <f>$C47*AP46</f>
        <v/>
      </c>
      <c r="AQ47">
        <f>$C47*AQ46</f>
        <v/>
      </c>
      <c r="AR47">
        <f>$C47*AR46</f>
        <v/>
      </c>
      <c r="AS47">
        <f>$C47*AS46</f>
        <v/>
      </c>
      <c r="AT47">
        <f>$C47*AT46</f>
        <v/>
      </c>
      <c r="AU47">
        <f>$C47*AU46</f>
        <v/>
      </c>
      <c r="AV47">
        <f>$C47*AV46</f>
        <v/>
      </c>
      <c r="AW47">
        <f>$C47*AW46</f>
        <v/>
      </c>
      <c r="AX47">
        <f>$C47*AX46</f>
        <v/>
      </c>
      <c r="AY47">
        <f>$C47*AY46</f>
        <v/>
      </c>
      <c r="AZ47">
        <f>$C47*AZ46</f>
        <v/>
      </c>
      <c r="BA47">
        <f>$C47*BA46</f>
        <v/>
      </c>
      <c r="BB47">
        <f>$C47*BB46</f>
        <v/>
      </c>
      <c r="BC47">
        <f>$C47*BC46</f>
        <v/>
      </c>
      <c r="BD47">
        <f>$C47*BD46</f>
        <v/>
      </c>
      <c r="BE47">
        <f>$C47*BE46</f>
        <v/>
      </c>
      <c r="BF47">
        <f>$C47*BF46</f>
        <v/>
      </c>
      <c r="BG47">
        <f>$C47*BG46</f>
        <v/>
      </c>
      <c r="BH47">
        <f>$C47*BH46</f>
        <v/>
      </c>
      <c r="BI47">
        <f>$C47*BI46</f>
        <v/>
      </c>
      <c r="BJ47">
        <f>$C47*BJ46</f>
        <v/>
      </c>
      <c r="BK47">
        <f>$C47*BK46</f>
        <v/>
      </c>
      <c r="BL47">
        <f>$C47*BL46</f>
        <v/>
      </c>
      <c r="BM47">
        <f>$C47*BM46</f>
        <v/>
      </c>
      <c r="BN47">
        <f>$C47*BN46</f>
        <v/>
      </c>
      <c r="BO47">
        <f>$C47*BO46</f>
        <v/>
      </c>
      <c r="BP47">
        <f>$C47*BP46</f>
        <v/>
      </c>
      <c r="BQ47">
        <f>$C47*BQ46</f>
        <v/>
      </c>
      <c r="BR47">
        <f>$C47*BR46</f>
        <v/>
      </c>
      <c r="BS47">
        <f>$C47*BS46</f>
        <v/>
      </c>
      <c r="BT47">
        <f>$C47*BT46</f>
        <v/>
      </c>
      <c r="BU47">
        <f>$C47*BU46</f>
        <v/>
      </c>
      <c r="BV47">
        <f>$C47*BV46</f>
        <v/>
      </c>
      <c r="BW47">
        <f>$C47*BW46</f>
        <v/>
      </c>
      <c r="BX47">
        <f>$C47*BX46</f>
        <v/>
      </c>
      <c r="BY47">
        <f>$C47*BY46</f>
        <v/>
      </c>
      <c r="BZ47">
        <f>$C47*BZ46</f>
        <v/>
      </c>
      <c r="CA47">
        <f>$C47*CA46</f>
        <v/>
      </c>
      <c r="CB47">
        <f>$C47*CB46</f>
        <v/>
      </c>
      <c r="CC47">
        <f>$C47*CC46</f>
        <v/>
      </c>
      <c r="CD47">
        <f>$C47*CD46</f>
        <v/>
      </c>
      <c r="CE47">
        <f>$C47*CE46</f>
        <v/>
      </c>
      <c r="CF47">
        <f>$C47*CF46</f>
        <v/>
      </c>
      <c r="CG47">
        <f>$C47*CG46</f>
        <v/>
      </c>
      <c r="CH47">
        <f>$C47*CH46</f>
        <v/>
      </c>
      <c r="CI47">
        <f>$C47*CI46</f>
        <v/>
      </c>
      <c r="CJ47">
        <f>$C47*CJ46</f>
        <v/>
      </c>
      <c r="CK47">
        <f>$C47*CK46</f>
        <v/>
      </c>
      <c r="CL47">
        <f>$C47*CL46</f>
        <v/>
      </c>
      <c r="CM47">
        <f>$C47*CM46</f>
        <v/>
      </c>
      <c r="CN47">
        <f>$C47*CN46</f>
        <v/>
      </c>
      <c r="CO47">
        <f>$C47*CO46</f>
        <v/>
      </c>
      <c r="CP47">
        <f>$C47*CP46</f>
        <v/>
      </c>
      <c r="CQ47">
        <f>$C47*CQ46</f>
        <v/>
      </c>
      <c r="CR47">
        <f>$C47*CR46</f>
        <v/>
      </c>
      <c r="CS47">
        <f>$C47*CS46</f>
        <v/>
      </c>
      <c r="CT47">
        <f>$C47*CT46</f>
        <v/>
      </c>
      <c r="CU47">
        <f>$C47*CU46</f>
        <v/>
      </c>
      <c r="CV47">
        <f>$C47*CV46</f>
        <v/>
      </c>
      <c r="CW47">
        <f>$C47*CW46</f>
        <v/>
      </c>
      <c r="CX47">
        <f>$C47*CX46</f>
        <v/>
      </c>
      <c r="CY47">
        <f>$C47*CY46</f>
        <v/>
      </c>
      <c r="CZ47">
        <f>$C47*CZ46</f>
        <v/>
      </c>
      <c r="DA47">
        <f>$C47*DA46</f>
        <v/>
      </c>
      <c r="DB47">
        <f>$C47*DB46</f>
        <v/>
      </c>
      <c r="DC47">
        <f>$C47*DC46</f>
        <v/>
      </c>
    </row>
    <row r="48">
      <c r="B48" t="inlineStr">
        <is>
          <t>K0030</t>
        </is>
      </c>
      <c r="C48" t="inlineStr">
        <is>
          <t>No. of batches</t>
        </is>
      </c>
      <c r="D48">
        <f>IFERROR(INDEX(PP_Grid[#Data],$DD48,2),0)</f>
        <v/>
      </c>
      <c r="E48">
        <f>IFERROR(INDEX(PP_Grid[#Data],$DD48,3),0)</f>
        <v/>
      </c>
      <c r="F48">
        <f>IFERROR(INDEX(PP_Grid[#Data],$DD48,4),0)</f>
        <v/>
      </c>
      <c r="G48">
        <f>IFERROR(INDEX(PP_Grid[#Data],$DD48,5),0)</f>
        <v/>
      </c>
      <c r="H48">
        <f>IFERROR(INDEX(PP_Grid[#Data],$DD48,6),0)</f>
        <v/>
      </c>
      <c r="I48">
        <f>IFERROR(INDEX(PP_Grid[#Data],$DD48,7),0)</f>
        <v/>
      </c>
      <c r="J48">
        <f>IFERROR(INDEX(PP_Grid[#Data],$DD48,8),0)</f>
        <v/>
      </c>
      <c r="K48">
        <f>IFERROR(INDEX(PP_Grid[#Data],$DD48,9),0)</f>
        <v/>
      </c>
      <c r="L48">
        <f>IFERROR(INDEX(PP_Grid[#Data],$DD48,10),0)</f>
        <v/>
      </c>
      <c r="M48">
        <f>IFERROR(INDEX(PP_Grid[#Data],$DD48,11),0)</f>
        <v/>
      </c>
      <c r="N48">
        <f>IFERROR(INDEX(PP_Grid[#Data],$DD48,12),0)</f>
        <v/>
      </c>
      <c r="O48">
        <f>IFERROR(INDEX(PP_Grid[#Data],$DD48,13),0)</f>
        <v/>
      </c>
      <c r="P48">
        <f>IFERROR(INDEX(PP_Grid[#Data],$DD48,14),0)</f>
        <v/>
      </c>
      <c r="Q48">
        <f>IFERROR(INDEX(PP_Grid[#Data],$DD48,15),0)</f>
        <v/>
      </c>
      <c r="R48">
        <f>IFERROR(INDEX(PP_Grid[#Data],$DD48,16),0)</f>
        <v/>
      </c>
      <c r="S48">
        <f>IFERROR(INDEX(PP_Grid[#Data],$DD48,17),0)</f>
        <v/>
      </c>
      <c r="T48">
        <f>IFERROR(INDEX(PP_Grid[#Data],$DD48,18),0)</f>
        <v/>
      </c>
      <c r="U48">
        <f>IFERROR(INDEX(PP_Grid[#Data],$DD48,19),0)</f>
        <v/>
      </c>
      <c r="V48">
        <f>IFERROR(INDEX(PP_Grid[#Data],$DD48,20),0)</f>
        <v/>
      </c>
      <c r="W48">
        <f>IFERROR(INDEX(PP_Grid[#Data],$DD48,21),0)</f>
        <v/>
      </c>
      <c r="X48">
        <f>IFERROR(INDEX(PP_Grid[#Data],$DD48,22),0)</f>
        <v/>
      </c>
      <c r="Y48">
        <f>IFERROR(INDEX(PP_Grid[#Data],$DD48,23),0)</f>
        <v/>
      </c>
      <c r="Z48">
        <f>IFERROR(INDEX(PP_Grid[#Data],$DD48,24),0)</f>
        <v/>
      </c>
      <c r="AA48">
        <f>IFERROR(INDEX(PP_Grid[#Data],$DD48,25),0)</f>
        <v/>
      </c>
      <c r="AB48">
        <f>IFERROR(INDEX(PP_Grid[#Data],$DD48,26),0)</f>
        <v/>
      </c>
      <c r="AC48">
        <f>IFERROR(INDEX(PP_Grid[#Data],$DD48,27),0)</f>
        <v/>
      </c>
      <c r="AD48">
        <f>IFERROR(INDEX(PP_Grid[#Data],$DD48,28),0)</f>
        <v/>
      </c>
      <c r="AE48">
        <f>IFERROR(INDEX(PP_Grid[#Data],$DD48,29),0)</f>
        <v/>
      </c>
      <c r="AF48">
        <f>IFERROR(INDEX(PP_Grid[#Data],$DD48,30),0)</f>
        <v/>
      </c>
      <c r="AG48">
        <f>IFERROR(INDEX(PP_Grid[#Data],$DD48,31),0)</f>
        <v/>
      </c>
      <c r="AH48">
        <f>IFERROR(INDEX(PP_Grid[#Data],$DD48,32),0)</f>
        <v/>
      </c>
      <c r="AI48">
        <f>IFERROR(INDEX(PP_Grid[#Data],$DD48,33),0)</f>
        <v/>
      </c>
      <c r="AJ48">
        <f>IFERROR(INDEX(PP_Grid[#Data],$DD48,34),0)</f>
        <v/>
      </c>
      <c r="AK48">
        <f>IFERROR(INDEX(PP_Grid[#Data],$DD48,35),0)</f>
        <v/>
      </c>
      <c r="AL48">
        <f>IFERROR(INDEX(PP_Grid[#Data],$DD48,36),0)</f>
        <v/>
      </c>
      <c r="AM48">
        <f>IFERROR(INDEX(PP_Grid[#Data],$DD48,37),0)</f>
        <v/>
      </c>
      <c r="AN48">
        <f>IFERROR(INDEX(PP_Grid[#Data],$DD48,38),0)</f>
        <v/>
      </c>
      <c r="AO48">
        <f>IFERROR(INDEX(PP_Grid[#Data],$DD48,39),0)</f>
        <v/>
      </c>
      <c r="AP48">
        <f>IFERROR(INDEX(PP_Grid[#Data],$DD48,40),0)</f>
        <v/>
      </c>
      <c r="AQ48">
        <f>IFERROR(INDEX(PP_Grid[#Data],$DD48,41),0)</f>
        <v/>
      </c>
      <c r="AR48">
        <f>IFERROR(INDEX(PP_Grid[#Data],$DD48,42),0)</f>
        <v/>
      </c>
      <c r="AS48">
        <f>IFERROR(INDEX(PP_Grid[#Data],$DD48,43),0)</f>
        <v/>
      </c>
      <c r="AT48">
        <f>IFERROR(INDEX(PP_Grid[#Data],$DD48,44),0)</f>
        <v/>
      </c>
      <c r="AU48">
        <f>IFERROR(INDEX(PP_Grid[#Data],$DD48,45),0)</f>
        <v/>
      </c>
      <c r="AV48">
        <f>IFERROR(INDEX(PP_Grid[#Data],$DD48,46),0)</f>
        <v/>
      </c>
      <c r="AW48">
        <f>IFERROR(INDEX(PP_Grid[#Data],$DD48,47),0)</f>
        <v/>
      </c>
      <c r="AX48">
        <f>IFERROR(INDEX(PP_Grid[#Data],$DD48,48),0)</f>
        <v/>
      </c>
      <c r="AY48">
        <f>IFERROR(INDEX(PP_Grid[#Data],$DD48,49),0)</f>
        <v/>
      </c>
      <c r="AZ48">
        <f>IFERROR(INDEX(PP_Grid[#Data],$DD48,50),0)</f>
        <v/>
      </c>
      <c r="BA48">
        <f>IFERROR(INDEX(PP_Grid[#Data],$DD48,51),0)</f>
        <v/>
      </c>
      <c r="BB48">
        <f>IFERROR(INDEX(PP_Grid[#Data],$DD48,52),0)</f>
        <v/>
      </c>
      <c r="BC48">
        <f>IFERROR(INDEX(PP_Grid[#Data],$DD48,53),0)</f>
        <v/>
      </c>
      <c r="BD48">
        <f>IFERROR(INDEX(PP_Grid[#Data],$DD48,54),0)</f>
        <v/>
      </c>
      <c r="BE48">
        <f>IFERROR(INDEX(PP_Grid[#Data],$DD48,55),0)</f>
        <v/>
      </c>
      <c r="BF48">
        <f>IFERROR(INDEX(PP_Grid[#Data],$DD48,56),0)</f>
        <v/>
      </c>
      <c r="BG48">
        <f>IFERROR(INDEX(PP_Grid[#Data],$DD48,57),0)</f>
        <v/>
      </c>
      <c r="BH48">
        <f>IFERROR(INDEX(PP_Grid[#Data],$DD48,58),0)</f>
        <v/>
      </c>
      <c r="BI48">
        <f>IFERROR(INDEX(PP_Grid[#Data],$DD48,59),0)</f>
        <v/>
      </c>
      <c r="BJ48">
        <f>IFERROR(INDEX(PP_Grid[#Data],$DD48,60),0)</f>
        <v/>
      </c>
      <c r="BK48">
        <f>IFERROR(INDEX(PP_Grid[#Data],$DD48,61),0)</f>
        <v/>
      </c>
      <c r="BL48">
        <f>IFERROR(INDEX(PP_Grid[#Data],$DD48,62),0)</f>
        <v/>
      </c>
      <c r="BM48">
        <f>IFERROR(INDEX(PP_Grid[#Data],$DD48,63),0)</f>
        <v/>
      </c>
      <c r="BN48">
        <f>IFERROR(INDEX(PP_Grid[#Data],$DD48,64),0)</f>
        <v/>
      </c>
      <c r="BO48">
        <f>IFERROR(INDEX(PP_Grid[#Data],$DD48,65),0)</f>
        <v/>
      </c>
      <c r="BP48">
        <f>IFERROR(INDEX(PP_Grid[#Data],$DD48,66),0)</f>
        <v/>
      </c>
      <c r="BQ48">
        <f>IFERROR(INDEX(PP_Grid[#Data],$DD48,67),0)</f>
        <v/>
      </c>
      <c r="BR48">
        <f>IFERROR(INDEX(PP_Grid[#Data],$DD48,68),0)</f>
        <v/>
      </c>
      <c r="BS48">
        <f>IFERROR(INDEX(PP_Grid[#Data],$DD48,69),0)</f>
        <v/>
      </c>
      <c r="BT48">
        <f>IFERROR(INDEX(PP_Grid[#Data],$DD48,70),0)</f>
        <v/>
      </c>
      <c r="BU48">
        <f>IFERROR(INDEX(PP_Grid[#Data],$DD48,71),0)</f>
        <v/>
      </c>
      <c r="BV48">
        <f>IFERROR(INDEX(PP_Grid[#Data],$DD48,72),0)</f>
        <v/>
      </c>
      <c r="BW48">
        <f>IFERROR(INDEX(PP_Grid[#Data],$DD48,73),0)</f>
        <v/>
      </c>
      <c r="BX48">
        <f>IFERROR(INDEX(PP_Grid[#Data],$DD48,74),0)</f>
        <v/>
      </c>
      <c r="BY48">
        <f>IFERROR(INDEX(PP_Grid[#Data],$DD48,75),0)</f>
        <v/>
      </c>
      <c r="BZ48">
        <f>IFERROR(INDEX(PP_Grid[#Data],$DD48,76),0)</f>
        <v/>
      </c>
      <c r="CA48">
        <f>IFERROR(INDEX(PP_Grid[#Data],$DD48,77),0)</f>
        <v/>
      </c>
      <c r="CB48">
        <f>IFERROR(INDEX(PP_Grid[#Data],$DD48,78),0)</f>
        <v/>
      </c>
      <c r="CC48">
        <f>IFERROR(INDEX(PP_Grid[#Data],$DD48,79),0)</f>
        <v/>
      </c>
      <c r="CD48">
        <f>IFERROR(INDEX(PP_Grid[#Data],$DD48,80),0)</f>
        <v/>
      </c>
      <c r="CE48">
        <f>IFERROR(INDEX(PP_Grid[#Data],$DD48,81),0)</f>
        <v/>
      </c>
      <c r="CF48">
        <f>IFERROR(INDEX(PP_Grid[#Data],$DD48,82),0)</f>
        <v/>
      </c>
      <c r="CG48">
        <f>IFERROR(INDEX(PP_Grid[#Data],$DD48,83),0)</f>
        <v/>
      </c>
      <c r="CH48">
        <f>IFERROR(INDEX(PP_Grid[#Data],$DD48,84),0)</f>
        <v/>
      </c>
      <c r="CI48">
        <f>IFERROR(INDEX(PP_Grid[#Data],$DD48,85),0)</f>
        <v/>
      </c>
      <c r="CJ48">
        <f>IFERROR(INDEX(PP_Grid[#Data],$DD48,86),0)</f>
        <v/>
      </c>
      <c r="CK48">
        <f>IFERROR(INDEX(PP_Grid[#Data],$DD48,87),0)</f>
        <v/>
      </c>
      <c r="CL48">
        <f>IFERROR(INDEX(PP_Grid[#Data],$DD48,88),0)</f>
        <v/>
      </c>
      <c r="CM48">
        <f>IFERROR(INDEX(PP_Grid[#Data],$DD48,89),0)</f>
        <v/>
      </c>
      <c r="CN48">
        <f>IFERROR(INDEX(PP_Grid[#Data],$DD48,90),0)</f>
        <v/>
      </c>
      <c r="CO48">
        <f>IFERROR(INDEX(PP_Grid[#Data],$DD48,91),0)</f>
        <v/>
      </c>
      <c r="CP48">
        <f>IFERROR(INDEX(PP_Grid[#Data],$DD48,92),0)</f>
        <v/>
      </c>
      <c r="CQ48">
        <f>IFERROR(INDEX(PP_Grid[#Data],$DD48,93),0)</f>
        <v/>
      </c>
      <c r="CR48">
        <f>IFERROR(INDEX(PP_Grid[#Data],$DD48,94),0)</f>
        <v/>
      </c>
      <c r="CS48">
        <f>IFERROR(INDEX(PP_Grid[#Data],$DD48,95),0)</f>
        <v/>
      </c>
      <c r="CT48">
        <f>IFERROR(INDEX(PP_Grid[#Data],$DD48,96),0)</f>
        <v/>
      </c>
      <c r="CU48">
        <f>IFERROR(INDEX(PP_Grid[#Data],$DD48,97),0)</f>
        <v/>
      </c>
      <c r="CV48">
        <f>IFERROR(INDEX(PP_Grid[#Data],$DD48,98),0)</f>
        <v/>
      </c>
      <c r="CW48">
        <f>IFERROR(INDEX(PP_Grid[#Data],$DD48,99),0)</f>
        <v/>
      </c>
      <c r="CX48">
        <f>IFERROR(INDEX(PP_Grid[#Data],$DD48,100),0)</f>
        <v/>
      </c>
      <c r="CY48">
        <f>IFERROR(INDEX(PP_Grid[#Data],$DD48,101),0)</f>
        <v/>
      </c>
      <c r="CZ48">
        <f>IFERROR(INDEX(PP_Grid[#Data],$DD48,102),0)</f>
        <v/>
      </c>
      <c r="DA48">
        <f>IFERROR(INDEX(PP_Grid[#Data],$DD48,103),0)</f>
        <v/>
      </c>
      <c r="DB48">
        <f>IFERROR(INDEX(PP_Grid[#Data],$DD48,104),0)</f>
        <v/>
      </c>
      <c r="DC48">
        <f>IFERROR(INDEX(PP_Grid[#Data],$DD48,105),0)</f>
        <v/>
      </c>
      <c r="DD48" s="12">
        <f>IFERROR(MATCH($B48,PP_Grid[Intermediate],0),99999)</f>
        <v/>
      </c>
    </row>
    <row r="49">
      <c r="B49" t="inlineStr">
        <is>
          <t>使用量(kg)</t>
        </is>
      </c>
      <c r="C49">
        <f>SUMIFS(M_BOM[RM_Qty_Per_Batch],M_BOM[Intermediate],$B48,M_BOM[Part Name],$A45)</f>
        <v/>
      </c>
      <c r="D49">
        <f>$C49*D48</f>
        <v/>
      </c>
      <c r="E49">
        <f>$C49*E48</f>
        <v/>
      </c>
      <c r="F49">
        <f>$C49*F48</f>
        <v/>
      </c>
      <c r="G49">
        <f>$C49*G48</f>
        <v/>
      </c>
      <c r="H49">
        <f>$C49*H48</f>
        <v/>
      </c>
      <c r="I49">
        <f>$C49*I48</f>
        <v/>
      </c>
      <c r="J49">
        <f>$C49*J48</f>
        <v/>
      </c>
      <c r="K49">
        <f>$C49*K48</f>
        <v/>
      </c>
      <c r="L49">
        <f>$C49*L48</f>
        <v/>
      </c>
      <c r="M49">
        <f>$C49*M48</f>
        <v/>
      </c>
      <c r="N49">
        <f>$C49*N48</f>
        <v/>
      </c>
      <c r="O49">
        <f>$C49*O48</f>
        <v/>
      </c>
      <c r="P49">
        <f>$C49*P48</f>
        <v/>
      </c>
      <c r="Q49">
        <f>$C49*Q48</f>
        <v/>
      </c>
      <c r="R49">
        <f>$C49*R48</f>
        <v/>
      </c>
      <c r="S49">
        <f>$C49*S48</f>
        <v/>
      </c>
      <c r="T49">
        <f>$C49*T48</f>
        <v/>
      </c>
      <c r="U49">
        <f>$C49*U48</f>
        <v/>
      </c>
      <c r="V49">
        <f>$C49*V48</f>
        <v/>
      </c>
      <c r="W49">
        <f>$C49*W48</f>
        <v/>
      </c>
      <c r="X49">
        <f>$C49*X48</f>
        <v/>
      </c>
      <c r="Y49">
        <f>$C49*Y48</f>
        <v/>
      </c>
      <c r="Z49">
        <f>$C49*Z48</f>
        <v/>
      </c>
      <c r="AA49">
        <f>$C49*AA48</f>
        <v/>
      </c>
      <c r="AB49">
        <f>$C49*AB48</f>
        <v/>
      </c>
      <c r="AC49">
        <f>$C49*AC48</f>
        <v/>
      </c>
      <c r="AD49">
        <f>$C49*AD48</f>
        <v/>
      </c>
      <c r="AE49">
        <f>$C49*AE48</f>
        <v/>
      </c>
      <c r="AF49">
        <f>$C49*AF48</f>
        <v/>
      </c>
      <c r="AG49">
        <f>$C49*AG48</f>
        <v/>
      </c>
      <c r="AH49">
        <f>$C49*AH48</f>
        <v/>
      </c>
      <c r="AI49">
        <f>$C49*AI48</f>
        <v/>
      </c>
      <c r="AJ49">
        <f>$C49*AJ48</f>
        <v/>
      </c>
      <c r="AK49">
        <f>$C49*AK48</f>
        <v/>
      </c>
      <c r="AL49">
        <f>$C49*AL48</f>
        <v/>
      </c>
      <c r="AM49">
        <f>$C49*AM48</f>
        <v/>
      </c>
      <c r="AN49">
        <f>$C49*AN48</f>
        <v/>
      </c>
      <c r="AO49">
        <f>$C49*AO48</f>
        <v/>
      </c>
      <c r="AP49">
        <f>$C49*AP48</f>
        <v/>
      </c>
      <c r="AQ49">
        <f>$C49*AQ48</f>
        <v/>
      </c>
      <c r="AR49">
        <f>$C49*AR48</f>
        <v/>
      </c>
      <c r="AS49">
        <f>$C49*AS48</f>
        <v/>
      </c>
      <c r="AT49">
        <f>$C49*AT48</f>
        <v/>
      </c>
      <c r="AU49">
        <f>$C49*AU48</f>
        <v/>
      </c>
      <c r="AV49">
        <f>$C49*AV48</f>
        <v/>
      </c>
      <c r="AW49">
        <f>$C49*AW48</f>
        <v/>
      </c>
      <c r="AX49">
        <f>$C49*AX48</f>
        <v/>
      </c>
      <c r="AY49">
        <f>$C49*AY48</f>
        <v/>
      </c>
      <c r="AZ49">
        <f>$C49*AZ48</f>
        <v/>
      </c>
      <c r="BA49">
        <f>$C49*BA48</f>
        <v/>
      </c>
      <c r="BB49">
        <f>$C49*BB48</f>
        <v/>
      </c>
      <c r="BC49">
        <f>$C49*BC48</f>
        <v/>
      </c>
      <c r="BD49">
        <f>$C49*BD48</f>
        <v/>
      </c>
      <c r="BE49">
        <f>$C49*BE48</f>
        <v/>
      </c>
      <c r="BF49">
        <f>$C49*BF48</f>
        <v/>
      </c>
      <c r="BG49">
        <f>$C49*BG48</f>
        <v/>
      </c>
      <c r="BH49">
        <f>$C49*BH48</f>
        <v/>
      </c>
      <c r="BI49">
        <f>$C49*BI48</f>
        <v/>
      </c>
      <c r="BJ49">
        <f>$C49*BJ48</f>
        <v/>
      </c>
      <c r="BK49">
        <f>$C49*BK48</f>
        <v/>
      </c>
      <c r="BL49">
        <f>$C49*BL48</f>
        <v/>
      </c>
      <c r="BM49">
        <f>$C49*BM48</f>
        <v/>
      </c>
      <c r="BN49">
        <f>$C49*BN48</f>
        <v/>
      </c>
      <c r="BO49">
        <f>$C49*BO48</f>
        <v/>
      </c>
      <c r="BP49">
        <f>$C49*BP48</f>
        <v/>
      </c>
      <c r="BQ49">
        <f>$C49*BQ48</f>
        <v/>
      </c>
      <c r="BR49">
        <f>$C49*BR48</f>
        <v/>
      </c>
      <c r="BS49">
        <f>$C49*BS48</f>
        <v/>
      </c>
      <c r="BT49">
        <f>$C49*BT48</f>
        <v/>
      </c>
      <c r="BU49">
        <f>$C49*BU48</f>
        <v/>
      </c>
      <c r="BV49">
        <f>$C49*BV48</f>
        <v/>
      </c>
      <c r="BW49">
        <f>$C49*BW48</f>
        <v/>
      </c>
      <c r="BX49">
        <f>$C49*BX48</f>
        <v/>
      </c>
      <c r="BY49">
        <f>$C49*BY48</f>
        <v/>
      </c>
      <c r="BZ49">
        <f>$C49*BZ48</f>
        <v/>
      </c>
      <c r="CA49">
        <f>$C49*CA48</f>
        <v/>
      </c>
      <c r="CB49">
        <f>$C49*CB48</f>
        <v/>
      </c>
      <c r="CC49">
        <f>$C49*CC48</f>
        <v/>
      </c>
      <c r="CD49">
        <f>$C49*CD48</f>
        <v/>
      </c>
      <c r="CE49">
        <f>$C49*CE48</f>
        <v/>
      </c>
      <c r="CF49">
        <f>$C49*CF48</f>
        <v/>
      </c>
      <c r="CG49">
        <f>$C49*CG48</f>
        <v/>
      </c>
      <c r="CH49">
        <f>$C49*CH48</f>
        <v/>
      </c>
      <c r="CI49">
        <f>$C49*CI48</f>
        <v/>
      </c>
      <c r="CJ49">
        <f>$C49*CJ48</f>
        <v/>
      </c>
      <c r="CK49">
        <f>$C49*CK48</f>
        <v/>
      </c>
      <c r="CL49">
        <f>$C49*CL48</f>
        <v/>
      </c>
      <c r="CM49">
        <f>$C49*CM48</f>
        <v/>
      </c>
      <c r="CN49">
        <f>$C49*CN48</f>
        <v/>
      </c>
      <c r="CO49">
        <f>$C49*CO48</f>
        <v/>
      </c>
      <c r="CP49">
        <f>$C49*CP48</f>
        <v/>
      </c>
      <c r="CQ49">
        <f>$C49*CQ48</f>
        <v/>
      </c>
      <c r="CR49">
        <f>$C49*CR48</f>
        <v/>
      </c>
      <c r="CS49">
        <f>$C49*CS48</f>
        <v/>
      </c>
      <c r="CT49">
        <f>$C49*CT48</f>
        <v/>
      </c>
      <c r="CU49">
        <f>$C49*CU48</f>
        <v/>
      </c>
      <c r="CV49">
        <f>$C49*CV48</f>
        <v/>
      </c>
      <c r="CW49">
        <f>$C49*CW48</f>
        <v/>
      </c>
      <c r="CX49">
        <f>$C49*CX48</f>
        <v/>
      </c>
      <c r="CY49">
        <f>$C49*CY48</f>
        <v/>
      </c>
      <c r="CZ49">
        <f>$C49*CZ48</f>
        <v/>
      </c>
      <c r="DA49">
        <f>$C49*DA48</f>
        <v/>
      </c>
      <c r="DB49">
        <f>$C49*DB48</f>
        <v/>
      </c>
      <c r="DC49">
        <f>$C49*DC48</f>
        <v/>
      </c>
    </row>
    <row r="50">
      <c r="B50" s="5" t="inlineStr">
        <is>
          <t>合計使用量(kg)/週</t>
        </is>
      </c>
      <c r="D50">
        <f>'Grid_Requirement'!B4</f>
        <v/>
      </c>
      <c r="E50">
        <f>'Grid_Requirement'!C4</f>
        <v/>
      </c>
      <c r="F50">
        <f>'Grid_Requirement'!D4</f>
        <v/>
      </c>
      <c r="G50">
        <f>'Grid_Requirement'!E4</f>
        <v/>
      </c>
      <c r="H50">
        <f>'Grid_Requirement'!F4</f>
        <v/>
      </c>
      <c r="I50">
        <f>'Grid_Requirement'!G4</f>
        <v/>
      </c>
      <c r="J50">
        <f>'Grid_Requirement'!H4</f>
        <v/>
      </c>
      <c r="K50">
        <f>'Grid_Requirement'!I4</f>
        <v/>
      </c>
      <c r="L50">
        <f>'Grid_Requirement'!J4</f>
        <v/>
      </c>
      <c r="M50">
        <f>'Grid_Requirement'!K4</f>
        <v/>
      </c>
      <c r="N50">
        <f>'Grid_Requirement'!L4</f>
        <v/>
      </c>
      <c r="O50">
        <f>'Grid_Requirement'!M4</f>
        <v/>
      </c>
      <c r="P50">
        <f>'Grid_Requirement'!N4</f>
        <v/>
      </c>
      <c r="Q50">
        <f>'Grid_Requirement'!O4</f>
        <v/>
      </c>
      <c r="R50">
        <f>'Grid_Requirement'!P4</f>
        <v/>
      </c>
      <c r="S50">
        <f>'Grid_Requirement'!Q4</f>
        <v/>
      </c>
      <c r="T50">
        <f>'Grid_Requirement'!R4</f>
        <v/>
      </c>
      <c r="U50">
        <f>'Grid_Requirement'!S4</f>
        <v/>
      </c>
      <c r="V50">
        <f>'Grid_Requirement'!T4</f>
        <v/>
      </c>
      <c r="W50">
        <f>'Grid_Requirement'!U4</f>
        <v/>
      </c>
      <c r="X50">
        <f>'Grid_Requirement'!V4</f>
        <v/>
      </c>
      <c r="Y50">
        <f>'Grid_Requirement'!W4</f>
        <v/>
      </c>
      <c r="Z50">
        <f>'Grid_Requirement'!X4</f>
        <v/>
      </c>
      <c r="AA50">
        <f>'Grid_Requirement'!Y4</f>
        <v/>
      </c>
      <c r="AB50">
        <f>'Grid_Requirement'!Z4</f>
        <v/>
      </c>
      <c r="AC50">
        <f>'Grid_Requirement'!AA4</f>
        <v/>
      </c>
      <c r="AD50">
        <f>'Grid_Requirement'!AB4</f>
        <v/>
      </c>
      <c r="AE50">
        <f>'Grid_Requirement'!AC4</f>
        <v/>
      </c>
      <c r="AF50">
        <f>'Grid_Requirement'!AD4</f>
        <v/>
      </c>
      <c r="AG50">
        <f>'Grid_Requirement'!AE4</f>
        <v/>
      </c>
      <c r="AH50">
        <f>'Grid_Requirement'!AF4</f>
        <v/>
      </c>
      <c r="AI50">
        <f>'Grid_Requirement'!AG4</f>
        <v/>
      </c>
      <c r="AJ50">
        <f>'Grid_Requirement'!AH4</f>
        <v/>
      </c>
      <c r="AK50">
        <f>'Grid_Requirement'!AI4</f>
        <v/>
      </c>
      <c r="AL50">
        <f>'Grid_Requirement'!AJ4</f>
        <v/>
      </c>
      <c r="AM50">
        <f>'Grid_Requirement'!AK4</f>
        <v/>
      </c>
      <c r="AN50">
        <f>'Grid_Requirement'!AL4</f>
        <v/>
      </c>
      <c r="AO50">
        <f>'Grid_Requirement'!AM4</f>
        <v/>
      </c>
      <c r="AP50">
        <f>'Grid_Requirement'!AN4</f>
        <v/>
      </c>
      <c r="AQ50">
        <f>'Grid_Requirement'!AO4</f>
        <v/>
      </c>
      <c r="AR50">
        <f>'Grid_Requirement'!AP4</f>
        <v/>
      </c>
      <c r="AS50">
        <f>'Grid_Requirement'!AQ4</f>
        <v/>
      </c>
      <c r="AT50">
        <f>'Grid_Requirement'!AR4</f>
        <v/>
      </c>
      <c r="AU50">
        <f>'Grid_Requirement'!AS4</f>
        <v/>
      </c>
      <c r="AV50">
        <f>'Grid_Requirement'!AT4</f>
        <v/>
      </c>
      <c r="AW50">
        <f>'Grid_Requirement'!AU4</f>
        <v/>
      </c>
      <c r="AX50">
        <f>'Grid_Requirement'!AV4</f>
        <v/>
      </c>
      <c r="AY50">
        <f>'Grid_Requirement'!AW4</f>
        <v/>
      </c>
      <c r="AZ50">
        <f>'Grid_Requirement'!AX4</f>
        <v/>
      </c>
      <c r="BA50">
        <f>'Grid_Requirement'!AY4</f>
        <v/>
      </c>
      <c r="BB50">
        <f>'Grid_Requirement'!AZ4</f>
        <v/>
      </c>
      <c r="BC50">
        <f>'Grid_Requirement'!BA4</f>
        <v/>
      </c>
      <c r="BD50">
        <f>'Grid_Requirement'!BB4</f>
        <v/>
      </c>
      <c r="BE50">
        <f>'Grid_Requirement'!BC4</f>
        <v/>
      </c>
      <c r="BF50">
        <f>'Grid_Requirement'!BD4</f>
        <v/>
      </c>
      <c r="BG50">
        <f>'Grid_Requirement'!BE4</f>
        <v/>
      </c>
      <c r="BH50">
        <f>'Grid_Requirement'!BF4</f>
        <v/>
      </c>
      <c r="BI50">
        <f>'Grid_Requirement'!BG4</f>
        <v/>
      </c>
      <c r="BJ50">
        <f>'Grid_Requirement'!BH4</f>
        <v/>
      </c>
      <c r="BK50">
        <f>'Grid_Requirement'!BI4</f>
        <v/>
      </c>
      <c r="BL50">
        <f>'Grid_Requirement'!BJ4</f>
        <v/>
      </c>
      <c r="BM50">
        <f>'Grid_Requirement'!BK4</f>
        <v/>
      </c>
      <c r="BN50">
        <f>'Grid_Requirement'!BL4</f>
        <v/>
      </c>
      <c r="BO50">
        <f>'Grid_Requirement'!BM4</f>
        <v/>
      </c>
      <c r="BP50">
        <f>'Grid_Requirement'!BN4</f>
        <v/>
      </c>
      <c r="BQ50">
        <f>'Grid_Requirement'!BO4</f>
        <v/>
      </c>
      <c r="BR50">
        <f>'Grid_Requirement'!BP4</f>
        <v/>
      </c>
      <c r="BS50">
        <f>'Grid_Requirement'!BQ4</f>
        <v/>
      </c>
      <c r="BT50">
        <f>'Grid_Requirement'!BR4</f>
        <v/>
      </c>
      <c r="BU50">
        <f>'Grid_Requirement'!BS4</f>
        <v/>
      </c>
      <c r="BV50">
        <f>'Grid_Requirement'!BT4</f>
        <v/>
      </c>
      <c r="BW50">
        <f>'Grid_Requirement'!BU4</f>
        <v/>
      </c>
      <c r="BX50">
        <f>'Grid_Requirement'!BV4</f>
        <v/>
      </c>
      <c r="BY50">
        <f>'Grid_Requirement'!BW4</f>
        <v/>
      </c>
      <c r="BZ50">
        <f>'Grid_Requirement'!BX4</f>
        <v/>
      </c>
      <c r="CA50">
        <f>'Grid_Requirement'!BY4</f>
        <v/>
      </c>
      <c r="CB50">
        <f>'Grid_Requirement'!BZ4</f>
        <v/>
      </c>
      <c r="CC50">
        <f>'Grid_Requirement'!CA4</f>
        <v/>
      </c>
      <c r="CD50">
        <f>'Grid_Requirement'!CB4</f>
        <v/>
      </c>
      <c r="CE50">
        <f>'Grid_Requirement'!CC4</f>
        <v/>
      </c>
      <c r="CF50">
        <f>'Grid_Requirement'!CD4</f>
        <v/>
      </c>
      <c r="CG50">
        <f>'Grid_Requirement'!CE4</f>
        <v/>
      </c>
      <c r="CH50">
        <f>'Grid_Requirement'!CF4</f>
        <v/>
      </c>
      <c r="CI50">
        <f>'Grid_Requirement'!CG4</f>
        <v/>
      </c>
      <c r="CJ50">
        <f>'Grid_Requirement'!CH4</f>
        <v/>
      </c>
      <c r="CK50">
        <f>'Grid_Requirement'!CI4</f>
        <v/>
      </c>
      <c r="CL50">
        <f>'Grid_Requirement'!CJ4</f>
        <v/>
      </c>
      <c r="CM50">
        <f>'Grid_Requirement'!CK4</f>
        <v/>
      </c>
      <c r="CN50">
        <f>'Grid_Requirement'!CL4</f>
        <v/>
      </c>
      <c r="CO50">
        <f>'Grid_Requirement'!CM4</f>
        <v/>
      </c>
      <c r="CP50">
        <f>'Grid_Requirement'!CN4</f>
        <v/>
      </c>
      <c r="CQ50">
        <f>'Grid_Requirement'!CO4</f>
        <v/>
      </c>
      <c r="CR50">
        <f>'Grid_Requirement'!CP4</f>
        <v/>
      </c>
      <c r="CS50">
        <f>'Grid_Requirement'!CQ4</f>
        <v/>
      </c>
      <c r="CT50">
        <f>'Grid_Requirement'!CR4</f>
        <v/>
      </c>
      <c r="CU50">
        <f>'Grid_Requirement'!CS4</f>
        <v/>
      </c>
      <c r="CV50">
        <f>'Grid_Requirement'!CT4</f>
        <v/>
      </c>
      <c r="CW50">
        <f>'Grid_Requirement'!CU4</f>
        <v/>
      </c>
      <c r="CX50">
        <f>'Grid_Requirement'!CV4</f>
        <v/>
      </c>
      <c r="CY50">
        <f>'Grid_Requirement'!CW4</f>
        <v/>
      </c>
      <c r="CZ50">
        <f>'Grid_Requirement'!CX4</f>
        <v/>
      </c>
      <c r="DA50">
        <f>'Grid_Requirement'!CY4</f>
        <v/>
      </c>
      <c r="DB50">
        <f>'Grid_Requirement'!CZ4</f>
        <v/>
      </c>
      <c r="DC50">
        <f>'Grid_Requirement'!DA4</f>
        <v/>
      </c>
    </row>
    <row r="51">
      <c r="B51" t="inlineStr">
        <is>
          <t>TTAF在庫(実績,kg)</t>
        </is>
      </c>
      <c r="D51">
        <f>'T_TTAFStock'!B8</f>
        <v/>
      </c>
      <c r="E51">
        <f>'T_TTAFStock'!C8</f>
        <v/>
      </c>
      <c r="F51">
        <f>'T_TTAFStock'!D8</f>
        <v/>
      </c>
      <c r="G51">
        <f>'T_TTAFStock'!E8</f>
        <v/>
      </c>
      <c r="H51">
        <f>'T_TTAFStock'!F8</f>
        <v/>
      </c>
      <c r="I51">
        <f>'T_TTAFStock'!G8</f>
        <v/>
      </c>
      <c r="J51">
        <f>'T_TTAFStock'!H8</f>
        <v/>
      </c>
      <c r="K51">
        <f>'T_TTAFStock'!I8</f>
        <v/>
      </c>
      <c r="L51">
        <f>'T_TTAFStock'!J8</f>
        <v/>
      </c>
      <c r="M51">
        <f>'T_TTAFStock'!K8</f>
        <v/>
      </c>
      <c r="N51">
        <f>'T_TTAFStock'!L8</f>
        <v/>
      </c>
      <c r="O51">
        <f>'T_TTAFStock'!M8</f>
        <v/>
      </c>
      <c r="P51">
        <f>'T_TTAFStock'!N8</f>
        <v/>
      </c>
      <c r="Q51">
        <f>'T_TTAFStock'!O8</f>
        <v/>
      </c>
      <c r="R51">
        <f>'T_TTAFStock'!P8</f>
        <v/>
      </c>
      <c r="S51">
        <f>'T_TTAFStock'!Q8</f>
        <v/>
      </c>
      <c r="T51">
        <f>'T_TTAFStock'!R8</f>
        <v/>
      </c>
      <c r="U51">
        <f>'T_TTAFStock'!S8</f>
        <v/>
      </c>
      <c r="V51">
        <f>'T_TTAFStock'!T8</f>
        <v/>
      </c>
      <c r="W51">
        <f>'T_TTAFStock'!U8</f>
        <v/>
      </c>
      <c r="X51">
        <f>'T_TTAFStock'!V8</f>
        <v/>
      </c>
      <c r="Y51">
        <f>'T_TTAFStock'!W8</f>
        <v/>
      </c>
      <c r="Z51">
        <f>'T_TTAFStock'!X8</f>
        <v/>
      </c>
      <c r="AA51">
        <f>'T_TTAFStock'!Y8</f>
        <v/>
      </c>
      <c r="AB51">
        <f>'T_TTAFStock'!Z8</f>
        <v/>
      </c>
      <c r="AC51">
        <f>'T_TTAFStock'!AA8</f>
        <v/>
      </c>
      <c r="AD51">
        <f>'T_TTAFStock'!AB8</f>
        <v/>
      </c>
      <c r="AE51">
        <f>'T_TTAFStock'!AC8</f>
        <v/>
      </c>
      <c r="AF51">
        <f>'T_TTAFStock'!AD8</f>
        <v/>
      </c>
      <c r="AG51">
        <f>'T_TTAFStock'!AE8</f>
        <v/>
      </c>
      <c r="AH51">
        <f>'T_TTAFStock'!AF8</f>
        <v/>
      </c>
      <c r="AI51">
        <f>'T_TTAFStock'!AG8</f>
        <v/>
      </c>
      <c r="AJ51">
        <f>'T_TTAFStock'!AH8</f>
        <v/>
      </c>
      <c r="AK51">
        <f>'T_TTAFStock'!AI8</f>
        <v/>
      </c>
      <c r="AL51">
        <f>'T_TTAFStock'!AJ8</f>
        <v/>
      </c>
      <c r="AM51">
        <f>'T_TTAFStock'!AK8</f>
        <v/>
      </c>
      <c r="AN51">
        <f>'T_TTAFStock'!AL8</f>
        <v/>
      </c>
      <c r="AO51">
        <f>'T_TTAFStock'!AM8</f>
        <v/>
      </c>
      <c r="AP51">
        <f>'T_TTAFStock'!AN8</f>
        <v/>
      </c>
      <c r="AQ51">
        <f>'T_TTAFStock'!AO8</f>
        <v/>
      </c>
      <c r="AR51">
        <f>'T_TTAFStock'!AP8</f>
        <v/>
      </c>
      <c r="AS51">
        <f>'T_TTAFStock'!AQ8</f>
        <v/>
      </c>
      <c r="AT51">
        <f>'T_TTAFStock'!AR8</f>
        <v/>
      </c>
      <c r="AU51">
        <f>'T_TTAFStock'!AS8</f>
        <v/>
      </c>
      <c r="AV51">
        <f>'T_TTAFStock'!AT8</f>
        <v/>
      </c>
      <c r="AW51">
        <f>'T_TTAFStock'!AU8</f>
        <v/>
      </c>
      <c r="AX51">
        <f>'T_TTAFStock'!AV8</f>
        <v/>
      </c>
      <c r="AY51">
        <f>'T_TTAFStock'!AW8</f>
        <v/>
      </c>
      <c r="AZ51">
        <f>'T_TTAFStock'!AX8</f>
        <v/>
      </c>
      <c r="BA51">
        <f>'T_TTAFStock'!AY8</f>
        <v/>
      </c>
      <c r="BB51">
        <f>'T_TTAFStock'!AZ8</f>
        <v/>
      </c>
      <c r="BC51">
        <f>'T_TTAFStock'!BA8</f>
        <v/>
      </c>
      <c r="BD51">
        <f>'T_TTAFStock'!BB8</f>
        <v/>
      </c>
      <c r="BE51">
        <f>'T_TTAFStock'!BC8</f>
        <v/>
      </c>
      <c r="BF51">
        <f>'T_TTAFStock'!BD8</f>
        <v/>
      </c>
      <c r="BG51">
        <f>'T_TTAFStock'!BE8</f>
        <v/>
      </c>
      <c r="BH51">
        <f>'T_TTAFStock'!BF8</f>
        <v/>
      </c>
      <c r="BI51">
        <f>'T_TTAFStock'!BG8</f>
        <v/>
      </c>
      <c r="BJ51">
        <f>'T_TTAFStock'!BH8</f>
        <v/>
      </c>
      <c r="BK51">
        <f>'T_TTAFStock'!BI8</f>
        <v/>
      </c>
      <c r="BL51">
        <f>'T_TTAFStock'!BJ8</f>
        <v/>
      </c>
      <c r="BM51">
        <f>'T_TTAFStock'!BK8</f>
        <v/>
      </c>
      <c r="BN51">
        <f>'T_TTAFStock'!BL8</f>
        <v/>
      </c>
      <c r="BO51">
        <f>'T_TTAFStock'!BM8</f>
        <v/>
      </c>
      <c r="BP51">
        <f>'T_TTAFStock'!BN8</f>
        <v/>
      </c>
      <c r="BQ51">
        <f>'T_TTAFStock'!BO8</f>
        <v/>
      </c>
      <c r="BR51">
        <f>'T_TTAFStock'!BP8</f>
        <v/>
      </c>
      <c r="BS51">
        <f>'T_TTAFStock'!BQ8</f>
        <v/>
      </c>
      <c r="BT51">
        <f>'T_TTAFStock'!BR8</f>
        <v/>
      </c>
      <c r="BU51">
        <f>'T_TTAFStock'!BS8</f>
        <v/>
      </c>
      <c r="BV51">
        <f>'T_TTAFStock'!BT8</f>
        <v/>
      </c>
      <c r="BW51">
        <f>'T_TTAFStock'!BU8</f>
        <v/>
      </c>
      <c r="BX51">
        <f>'T_TTAFStock'!BV8</f>
        <v/>
      </c>
      <c r="BY51">
        <f>'T_TTAFStock'!BW8</f>
        <v/>
      </c>
      <c r="BZ51">
        <f>'T_TTAFStock'!BX8</f>
        <v/>
      </c>
      <c r="CA51">
        <f>'T_TTAFStock'!BY8</f>
        <v/>
      </c>
      <c r="CB51">
        <f>'T_TTAFStock'!BZ8</f>
        <v/>
      </c>
      <c r="CC51">
        <f>'T_TTAFStock'!CA8</f>
        <v/>
      </c>
      <c r="CD51">
        <f>'T_TTAFStock'!CB8</f>
        <v/>
      </c>
      <c r="CE51">
        <f>'T_TTAFStock'!CC8</f>
        <v/>
      </c>
      <c r="CF51">
        <f>'T_TTAFStock'!CD8</f>
        <v/>
      </c>
      <c r="CG51">
        <f>'T_TTAFStock'!CE8</f>
        <v/>
      </c>
      <c r="CH51">
        <f>'T_TTAFStock'!CF8</f>
        <v/>
      </c>
      <c r="CI51">
        <f>'T_TTAFStock'!CG8</f>
        <v/>
      </c>
      <c r="CJ51">
        <f>'T_TTAFStock'!CH8</f>
        <v/>
      </c>
      <c r="CK51">
        <f>'T_TTAFStock'!CI8</f>
        <v/>
      </c>
      <c r="CL51">
        <f>'T_TTAFStock'!CJ8</f>
        <v/>
      </c>
      <c r="CM51">
        <f>'T_TTAFStock'!CK8</f>
        <v/>
      </c>
      <c r="CN51">
        <f>'T_TTAFStock'!CL8</f>
        <v/>
      </c>
      <c r="CO51">
        <f>'T_TTAFStock'!CM8</f>
        <v/>
      </c>
      <c r="CP51">
        <f>'T_TTAFStock'!CN8</f>
        <v/>
      </c>
      <c r="CQ51">
        <f>'T_TTAFStock'!CO8</f>
        <v/>
      </c>
      <c r="CR51">
        <f>'T_TTAFStock'!CP8</f>
        <v/>
      </c>
      <c r="CS51">
        <f>'T_TTAFStock'!CQ8</f>
        <v/>
      </c>
      <c r="CT51">
        <f>'T_TTAFStock'!CR8</f>
        <v/>
      </c>
      <c r="CU51">
        <f>'T_TTAFStock'!CS8</f>
        <v/>
      </c>
      <c r="CV51">
        <f>'T_TTAFStock'!CT8</f>
        <v/>
      </c>
      <c r="CW51">
        <f>'T_TTAFStock'!CU8</f>
        <v/>
      </c>
      <c r="CX51">
        <f>'T_TTAFStock'!CV8</f>
        <v/>
      </c>
      <c r="CY51">
        <f>'T_TTAFStock'!CW8</f>
        <v/>
      </c>
      <c r="CZ51">
        <f>'T_TTAFStock'!CX8</f>
        <v/>
      </c>
      <c r="DA51">
        <f>'T_TTAFStock'!CY8</f>
        <v/>
      </c>
      <c r="DB51">
        <f>'T_TTAFStock'!CZ8</f>
        <v/>
      </c>
      <c r="DC51">
        <f>'T_TTAFStock'!DA8</f>
        <v/>
      </c>
    </row>
    <row r="52">
      <c r="B52" t="inlineStr">
        <is>
          <t>自社在庫(実績,kg)</t>
        </is>
      </c>
      <c r="D52">
        <f>'T_SelfStock'!B8</f>
        <v/>
      </c>
      <c r="E52">
        <f>'T_SelfStock'!C8</f>
        <v/>
      </c>
      <c r="F52">
        <f>'T_SelfStock'!D8</f>
        <v/>
      </c>
      <c r="G52">
        <f>'T_SelfStock'!E8</f>
        <v/>
      </c>
      <c r="H52">
        <f>'T_SelfStock'!F8</f>
        <v/>
      </c>
      <c r="I52">
        <f>'T_SelfStock'!G8</f>
        <v/>
      </c>
      <c r="J52">
        <f>'T_SelfStock'!H8</f>
        <v/>
      </c>
      <c r="K52">
        <f>'T_SelfStock'!I8</f>
        <v/>
      </c>
      <c r="L52">
        <f>'T_SelfStock'!J8</f>
        <v/>
      </c>
      <c r="M52">
        <f>'T_SelfStock'!K8</f>
        <v/>
      </c>
      <c r="N52">
        <f>'T_SelfStock'!L8</f>
        <v/>
      </c>
      <c r="O52">
        <f>'T_SelfStock'!M8</f>
        <v/>
      </c>
      <c r="P52">
        <f>'T_SelfStock'!N8</f>
        <v/>
      </c>
      <c r="Q52">
        <f>'T_SelfStock'!O8</f>
        <v/>
      </c>
      <c r="R52">
        <f>'T_SelfStock'!P8</f>
        <v/>
      </c>
      <c r="S52">
        <f>'T_SelfStock'!Q8</f>
        <v/>
      </c>
      <c r="T52">
        <f>'T_SelfStock'!R8</f>
        <v/>
      </c>
      <c r="U52">
        <f>'T_SelfStock'!S8</f>
        <v/>
      </c>
      <c r="V52">
        <f>'T_SelfStock'!T8</f>
        <v/>
      </c>
      <c r="W52">
        <f>'T_SelfStock'!U8</f>
        <v/>
      </c>
      <c r="X52">
        <f>'T_SelfStock'!V8</f>
        <v/>
      </c>
      <c r="Y52">
        <f>'T_SelfStock'!W8</f>
        <v/>
      </c>
      <c r="Z52">
        <f>'T_SelfStock'!X8</f>
        <v/>
      </c>
      <c r="AA52">
        <f>'T_SelfStock'!Y8</f>
        <v/>
      </c>
      <c r="AB52">
        <f>'T_SelfStock'!Z8</f>
        <v/>
      </c>
      <c r="AC52">
        <f>'T_SelfStock'!AA8</f>
        <v/>
      </c>
      <c r="AD52">
        <f>'T_SelfStock'!AB8</f>
        <v/>
      </c>
      <c r="AE52">
        <f>'T_SelfStock'!AC8</f>
        <v/>
      </c>
      <c r="AF52">
        <f>'T_SelfStock'!AD8</f>
        <v/>
      </c>
      <c r="AG52">
        <f>'T_SelfStock'!AE8</f>
        <v/>
      </c>
      <c r="AH52">
        <f>'T_SelfStock'!AF8</f>
        <v/>
      </c>
      <c r="AI52">
        <f>'T_SelfStock'!AG8</f>
        <v/>
      </c>
      <c r="AJ52">
        <f>'T_SelfStock'!AH8</f>
        <v/>
      </c>
      <c r="AK52">
        <f>'T_SelfStock'!AI8</f>
        <v/>
      </c>
      <c r="AL52">
        <f>'T_SelfStock'!AJ8</f>
        <v/>
      </c>
      <c r="AM52">
        <f>'T_SelfStock'!AK8</f>
        <v/>
      </c>
      <c r="AN52">
        <f>'T_SelfStock'!AL8</f>
        <v/>
      </c>
      <c r="AO52">
        <f>'T_SelfStock'!AM8</f>
        <v/>
      </c>
      <c r="AP52">
        <f>'T_SelfStock'!AN8</f>
        <v/>
      </c>
      <c r="AQ52">
        <f>'T_SelfStock'!AO8</f>
        <v/>
      </c>
      <c r="AR52">
        <f>'T_SelfStock'!AP8</f>
        <v/>
      </c>
      <c r="AS52">
        <f>'T_SelfStock'!AQ8</f>
        <v/>
      </c>
      <c r="AT52">
        <f>'T_SelfStock'!AR8</f>
        <v/>
      </c>
      <c r="AU52">
        <f>'T_SelfStock'!AS8</f>
        <v/>
      </c>
      <c r="AV52">
        <f>'T_SelfStock'!AT8</f>
        <v/>
      </c>
      <c r="AW52">
        <f>'T_SelfStock'!AU8</f>
        <v/>
      </c>
      <c r="AX52">
        <f>'T_SelfStock'!AV8</f>
        <v/>
      </c>
      <c r="AY52">
        <f>'T_SelfStock'!AW8</f>
        <v/>
      </c>
      <c r="AZ52">
        <f>'T_SelfStock'!AX8</f>
        <v/>
      </c>
      <c r="BA52">
        <f>'T_SelfStock'!AY8</f>
        <v/>
      </c>
      <c r="BB52">
        <f>'T_SelfStock'!AZ8</f>
        <v/>
      </c>
      <c r="BC52">
        <f>'T_SelfStock'!BA8</f>
        <v/>
      </c>
      <c r="BD52">
        <f>'T_SelfStock'!BB8</f>
        <v/>
      </c>
      <c r="BE52">
        <f>'T_SelfStock'!BC8</f>
        <v/>
      </c>
      <c r="BF52">
        <f>'T_SelfStock'!BD8</f>
        <v/>
      </c>
      <c r="BG52">
        <f>'T_SelfStock'!BE8</f>
        <v/>
      </c>
      <c r="BH52">
        <f>'T_SelfStock'!BF8</f>
        <v/>
      </c>
      <c r="BI52">
        <f>'T_SelfStock'!BG8</f>
        <v/>
      </c>
      <c r="BJ52">
        <f>'T_SelfStock'!BH8</f>
        <v/>
      </c>
      <c r="BK52">
        <f>'T_SelfStock'!BI8</f>
        <v/>
      </c>
      <c r="BL52">
        <f>'T_SelfStock'!BJ8</f>
        <v/>
      </c>
      <c r="BM52">
        <f>'T_SelfStock'!BK8</f>
        <v/>
      </c>
      <c r="BN52">
        <f>'T_SelfStock'!BL8</f>
        <v/>
      </c>
      <c r="BO52">
        <f>'T_SelfStock'!BM8</f>
        <v/>
      </c>
      <c r="BP52">
        <f>'T_SelfStock'!BN8</f>
        <v/>
      </c>
      <c r="BQ52">
        <f>'T_SelfStock'!BO8</f>
        <v/>
      </c>
      <c r="BR52">
        <f>'T_SelfStock'!BP8</f>
        <v/>
      </c>
      <c r="BS52">
        <f>'T_SelfStock'!BQ8</f>
        <v/>
      </c>
      <c r="BT52">
        <f>'T_SelfStock'!BR8</f>
        <v/>
      </c>
      <c r="BU52">
        <f>'T_SelfStock'!BS8</f>
        <v/>
      </c>
      <c r="BV52">
        <f>'T_SelfStock'!BT8</f>
        <v/>
      </c>
      <c r="BW52">
        <f>'T_SelfStock'!BU8</f>
        <v/>
      </c>
      <c r="BX52">
        <f>'T_SelfStock'!BV8</f>
        <v/>
      </c>
      <c r="BY52">
        <f>'T_SelfStock'!BW8</f>
        <v/>
      </c>
      <c r="BZ52">
        <f>'T_SelfStock'!BX8</f>
        <v/>
      </c>
      <c r="CA52">
        <f>'T_SelfStock'!BY8</f>
        <v/>
      </c>
      <c r="CB52">
        <f>'T_SelfStock'!BZ8</f>
        <v/>
      </c>
      <c r="CC52">
        <f>'T_SelfStock'!CA8</f>
        <v/>
      </c>
      <c r="CD52">
        <f>'T_SelfStock'!CB8</f>
        <v/>
      </c>
      <c r="CE52">
        <f>'T_SelfStock'!CC8</f>
        <v/>
      </c>
      <c r="CF52">
        <f>'T_SelfStock'!CD8</f>
        <v/>
      </c>
      <c r="CG52">
        <f>'T_SelfStock'!CE8</f>
        <v/>
      </c>
      <c r="CH52">
        <f>'T_SelfStock'!CF8</f>
        <v/>
      </c>
      <c r="CI52">
        <f>'T_SelfStock'!CG8</f>
        <v/>
      </c>
      <c r="CJ52">
        <f>'T_SelfStock'!CH8</f>
        <v/>
      </c>
      <c r="CK52">
        <f>'T_SelfStock'!CI8</f>
        <v/>
      </c>
      <c r="CL52">
        <f>'T_SelfStock'!CJ8</f>
        <v/>
      </c>
      <c r="CM52">
        <f>'T_SelfStock'!CK8</f>
        <v/>
      </c>
      <c r="CN52">
        <f>'T_SelfStock'!CL8</f>
        <v/>
      </c>
      <c r="CO52">
        <f>'T_SelfStock'!CM8</f>
        <v/>
      </c>
      <c r="CP52">
        <f>'T_SelfStock'!CN8</f>
        <v/>
      </c>
      <c r="CQ52">
        <f>'T_SelfStock'!CO8</f>
        <v/>
      </c>
      <c r="CR52">
        <f>'T_SelfStock'!CP8</f>
        <v/>
      </c>
      <c r="CS52">
        <f>'T_SelfStock'!CQ8</f>
        <v/>
      </c>
      <c r="CT52">
        <f>'T_SelfStock'!CR8</f>
        <v/>
      </c>
      <c r="CU52">
        <f>'T_SelfStock'!CS8</f>
        <v/>
      </c>
      <c r="CV52">
        <f>'T_SelfStock'!CT8</f>
        <v/>
      </c>
      <c r="CW52">
        <f>'T_SelfStock'!CU8</f>
        <v/>
      </c>
      <c r="CX52">
        <f>'T_SelfStock'!CV8</f>
        <v/>
      </c>
      <c r="CY52">
        <f>'T_SelfStock'!CW8</f>
        <v/>
      </c>
      <c r="CZ52">
        <f>'T_SelfStock'!CX8</f>
        <v/>
      </c>
      <c r="DA52">
        <f>'T_SelfStock'!CY8</f>
        <v/>
      </c>
      <c r="DB52">
        <f>'T_SelfStock'!CZ8</f>
        <v/>
      </c>
      <c r="DC52">
        <f>'T_SelfStock'!DA8</f>
        <v/>
      </c>
    </row>
    <row r="53">
      <c r="B53" t="inlineStr">
        <is>
          <t>Order(発注予定,kg)</t>
        </is>
      </c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  <c r="AS53" s="23" t="n"/>
      <c r="AT53" s="23" t="n"/>
      <c r="AU53" s="23" t="n"/>
      <c r="AV53" s="23" t="n"/>
      <c r="AW53" s="23" t="n"/>
      <c r="AX53" s="23" t="n"/>
      <c r="AY53" s="23" t="n"/>
      <c r="AZ53" s="23" t="n"/>
      <c r="BA53" s="23" t="n"/>
      <c r="BB53" s="23" t="n"/>
      <c r="BC53" s="23" t="n"/>
      <c r="BD53" s="23" t="n"/>
      <c r="BE53" s="23" t="n"/>
      <c r="BF53" s="23" t="n"/>
      <c r="BG53" s="23" t="n"/>
      <c r="BH53" s="23" t="n"/>
      <c r="BI53" s="23" t="n"/>
      <c r="BJ53" s="23" t="n"/>
      <c r="BK53" s="23" t="n"/>
      <c r="BL53" s="23" t="n"/>
      <c r="BM53" s="23" t="n"/>
      <c r="BN53" s="23" t="n"/>
      <c r="BO53" s="23" t="n"/>
      <c r="BP53" s="23" t="n"/>
      <c r="BQ53" s="23" t="n"/>
      <c r="BR53" s="23" t="n"/>
      <c r="BS53" s="23" t="n"/>
      <c r="BT53" s="23" t="n"/>
      <c r="BU53" s="23" t="n"/>
      <c r="BV53" s="23" t="n"/>
      <c r="BW53" s="23" t="n"/>
      <c r="BX53" s="23" t="n"/>
      <c r="BY53" s="23" t="n"/>
      <c r="BZ53" s="23" t="n"/>
      <c r="CA53" s="23" t="n"/>
      <c r="CB53" s="23" t="n"/>
      <c r="CC53" s="23" t="n"/>
      <c r="CD53" s="23" t="n"/>
      <c r="CE53" s="23" t="n"/>
      <c r="CF53" s="23" t="n"/>
      <c r="CG53" s="23" t="n"/>
      <c r="CH53" s="23" t="n"/>
      <c r="CI53" s="23" t="n"/>
      <c r="CJ53" s="23" t="n"/>
      <c r="CK53" s="23" t="n"/>
      <c r="CL53" s="23" t="n"/>
      <c r="CM53" s="23" t="n"/>
      <c r="CN53" s="23" t="n"/>
      <c r="CO53" s="23" t="n"/>
      <c r="CP53" s="23" t="n"/>
      <c r="CQ53" s="23" t="n"/>
      <c r="CR53" s="23" t="n"/>
      <c r="CS53" s="23" t="n"/>
      <c r="CT53" s="23" t="n"/>
      <c r="CU53" s="23" t="n"/>
      <c r="CV53" s="23" t="n"/>
      <c r="CW53" s="23" t="n"/>
      <c r="CX53" s="23" t="n"/>
      <c r="CY53" s="23" t="n"/>
      <c r="CZ53" s="23" t="n"/>
      <c r="DA53" s="23" t="n"/>
      <c r="DB53" s="23" t="n"/>
      <c r="DC53" s="23" t="n"/>
      <c r="DE53" s="12" t="inlineStr">
        <is>
          <t>4HL</t>
        </is>
      </c>
    </row>
    <row r="54">
      <c r="B54" s="24" t="inlineStr">
        <is>
          <t>PO_No</t>
        </is>
      </c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  <c r="AL54" s="25" t="n"/>
      <c r="AM54" s="25" t="n"/>
      <c r="AN54" s="25" t="n"/>
      <c r="AO54" s="25" t="n"/>
      <c r="AP54" s="25" t="n"/>
      <c r="AQ54" s="25" t="n"/>
      <c r="AR54" s="25" t="n"/>
      <c r="AS54" s="25" t="n"/>
      <c r="AT54" s="25" t="n"/>
      <c r="AU54" s="25" t="n"/>
      <c r="AV54" s="25" t="n"/>
      <c r="AW54" s="25" t="n"/>
      <c r="AX54" s="25" t="n"/>
      <c r="AY54" s="25" t="n"/>
      <c r="AZ54" s="25" t="n"/>
      <c r="BA54" s="25" t="n"/>
      <c r="BB54" s="25" t="n"/>
      <c r="BC54" s="25" t="n"/>
      <c r="BD54" s="25" t="n"/>
      <c r="BE54" s="25" t="n"/>
      <c r="BF54" s="25" t="n"/>
      <c r="BG54" s="25" t="n"/>
      <c r="BH54" s="25" t="n"/>
      <c r="BI54" s="25" t="n"/>
      <c r="BJ54" s="25" t="n"/>
      <c r="BK54" s="25" t="n"/>
      <c r="BL54" s="25" t="n"/>
      <c r="BM54" s="25" t="n"/>
      <c r="BN54" s="25" t="n"/>
      <c r="BO54" s="25" t="n"/>
      <c r="BP54" s="25" t="n"/>
      <c r="BQ54" s="25" t="n"/>
      <c r="BR54" s="25" t="n"/>
      <c r="BS54" s="25" t="n"/>
      <c r="BT54" s="25" t="n"/>
      <c r="BU54" s="25" t="n"/>
      <c r="BV54" s="25" t="n"/>
      <c r="BW54" s="25" t="n"/>
      <c r="BX54" s="25" t="n"/>
      <c r="BY54" s="25" t="n"/>
      <c r="BZ54" s="25" t="n"/>
      <c r="CA54" s="25" t="n"/>
      <c r="CB54" s="25" t="n"/>
      <c r="CC54" s="25" t="n"/>
      <c r="CD54" s="25" t="n"/>
      <c r="CE54" s="25" t="n"/>
      <c r="CF54" s="25" t="n"/>
      <c r="CG54" s="25" t="n"/>
      <c r="CH54" s="25" t="n"/>
      <c r="CI54" s="25" t="n"/>
      <c r="CJ54" s="25" t="n"/>
      <c r="CK54" s="25" t="n"/>
      <c r="CL54" s="25" t="n"/>
      <c r="CM54" s="25" t="n"/>
      <c r="CN54" s="25" t="n"/>
      <c r="CO54" s="25" t="n"/>
      <c r="CP54" s="25" t="n"/>
      <c r="CQ54" s="25" t="n"/>
      <c r="CR54" s="25" t="n"/>
      <c r="CS54" s="25" t="n"/>
      <c r="CT54" s="25" t="n"/>
      <c r="CU54" s="25" t="n"/>
      <c r="CV54" s="25" t="n"/>
      <c r="CW54" s="25" t="n"/>
      <c r="CX54" s="25" t="n"/>
      <c r="CY54" s="25" t="n"/>
      <c r="CZ54" s="25" t="n"/>
      <c r="DA54" s="25" t="n"/>
      <c r="DB54" s="25" t="n"/>
      <c r="DC54" s="25" t="n"/>
    </row>
    <row r="55">
      <c r="B55" s="5" t="inlineStr">
        <is>
          <t>合計在庫(週末時点,kg)</t>
        </is>
      </c>
      <c r="D55">
        <f>'Grid_Stock'!B4</f>
        <v/>
      </c>
      <c r="E55">
        <f>'Grid_Stock'!C4</f>
        <v/>
      </c>
      <c r="F55">
        <f>'Grid_Stock'!D4</f>
        <v/>
      </c>
      <c r="G55">
        <f>'Grid_Stock'!E4</f>
        <v/>
      </c>
      <c r="H55">
        <f>'Grid_Stock'!F4</f>
        <v/>
      </c>
      <c r="I55">
        <f>'Grid_Stock'!G4</f>
        <v/>
      </c>
      <c r="J55">
        <f>'Grid_Stock'!H4</f>
        <v/>
      </c>
      <c r="K55">
        <f>'Grid_Stock'!I4</f>
        <v/>
      </c>
      <c r="L55">
        <f>'Grid_Stock'!J4</f>
        <v/>
      </c>
      <c r="M55">
        <f>'Grid_Stock'!K4</f>
        <v/>
      </c>
      <c r="N55">
        <f>'Grid_Stock'!L4</f>
        <v/>
      </c>
      <c r="O55">
        <f>'Grid_Stock'!M4</f>
        <v/>
      </c>
      <c r="P55">
        <f>'Grid_Stock'!N4</f>
        <v/>
      </c>
      <c r="Q55">
        <f>'Grid_Stock'!O4</f>
        <v/>
      </c>
      <c r="R55">
        <f>'Grid_Stock'!P4</f>
        <v/>
      </c>
      <c r="S55">
        <f>'Grid_Stock'!Q4</f>
        <v/>
      </c>
      <c r="T55">
        <f>'Grid_Stock'!R4</f>
        <v/>
      </c>
      <c r="U55">
        <f>'Grid_Stock'!S4</f>
        <v/>
      </c>
      <c r="V55">
        <f>'Grid_Stock'!T4</f>
        <v/>
      </c>
      <c r="W55">
        <f>'Grid_Stock'!U4</f>
        <v/>
      </c>
      <c r="X55">
        <f>'Grid_Stock'!V4</f>
        <v/>
      </c>
      <c r="Y55">
        <f>'Grid_Stock'!W4</f>
        <v/>
      </c>
      <c r="Z55">
        <f>'Grid_Stock'!X4</f>
        <v/>
      </c>
      <c r="AA55">
        <f>'Grid_Stock'!Y4</f>
        <v/>
      </c>
      <c r="AB55">
        <f>'Grid_Stock'!Z4</f>
        <v/>
      </c>
      <c r="AC55">
        <f>'Grid_Stock'!AA4</f>
        <v/>
      </c>
      <c r="AD55">
        <f>'Grid_Stock'!AB4</f>
        <v/>
      </c>
      <c r="AE55">
        <f>'Grid_Stock'!AC4</f>
        <v/>
      </c>
      <c r="AF55">
        <f>'Grid_Stock'!AD4</f>
        <v/>
      </c>
      <c r="AG55">
        <f>'Grid_Stock'!AE4</f>
        <v/>
      </c>
      <c r="AH55">
        <f>'Grid_Stock'!AF4</f>
        <v/>
      </c>
      <c r="AI55">
        <f>'Grid_Stock'!AG4</f>
        <v/>
      </c>
      <c r="AJ55">
        <f>'Grid_Stock'!AH4</f>
        <v/>
      </c>
      <c r="AK55">
        <f>'Grid_Stock'!AI4</f>
        <v/>
      </c>
      <c r="AL55">
        <f>'Grid_Stock'!AJ4</f>
        <v/>
      </c>
      <c r="AM55">
        <f>'Grid_Stock'!AK4</f>
        <v/>
      </c>
      <c r="AN55">
        <f>'Grid_Stock'!AL4</f>
        <v/>
      </c>
      <c r="AO55">
        <f>'Grid_Stock'!AM4</f>
        <v/>
      </c>
      <c r="AP55">
        <f>'Grid_Stock'!AN4</f>
        <v/>
      </c>
      <c r="AQ55">
        <f>'Grid_Stock'!AO4</f>
        <v/>
      </c>
      <c r="AR55">
        <f>'Grid_Stock'!AP4</f>
        <v/>
      </c>
      <c r="AS55">
        <f>'Grid_Stock'!AQ4</f>
        <v/>
      </c>
      <c r="AT55">
        <f>'Grid_Stock'!AR4</f>
        <v/>
      </c>
      <c r="AU55">
        <f>'Grid_Stock'!AS4</f>
        <v/>
      </c>
      <c r="AV55">
        <f>'Grid_Stock'!AT4</f>
        <v/>
      </c>
      <c r="AW55">
        <f>'Grid_Stock'!AU4</f>
        <v/>
      </c>
      <c r="AX55">
        <f>'Grid_Stock'!AV4</f>
        <v/>
      </c>
      <c r="AY55">
        <f>'Grid_Stock'!AW4</f>
        <v/>
      </c>
      <c r="AZ55">
        <f>'Grid_Stock'!AX4</f>
        <v/>
      </c>
      <c r="BA55">
        <f>'Grid_Stock'!AY4</f>
        <v/>
      </c>
      <c r="BB55">
        <f>'Grid_Stock'!AZ4</f>
        <v/>
      </c>
      <c r="BC55">
        <f>'Grid_Stock'!BA4</f>
        <v/>
      </c>
      <c r="BD55">
        <f>'Grid_Stock'!BB4</f>
        <v/>
      </c>
      <c r="BE55">
        <f>'Grid_Stock'!BC4</f>
        <v/>
      </c>
      <c r="BF55">
        <f>'Grid_Stock'!BD4</f>
        <v/>
      </c>
      <c r="BG55">
        <f>'Grid_Stock'!BE4</f>
        <v/>
      </c>
      <c r="BH55">
        <f>'Grid_Stock'!BF4</f>
        <v/>
      </c>
      <c r="BI55">
        <f>'Grid_Stock'!BG4</f>
        <v/>
      </c>
      <c r="BJ55">
        <f>'Grid_Stock'!BH4</f>
        <v/>
      </c>
      <c r="BK55">
        <f>'Grid_Stock'!BI4</f>
        <v/>
      </c>
      <c r="BL55">
        <f>'Grid_Stock'!BJ4</f>
        <v/>
      </c>
      <c r="BM55">
        <f>'Grid_Stock'!BK4</f>
        <v/>
      </c>
      <c r="BN55">
        <f>'Grid_Stock'!BL4</f>
        <v/>
      </c>
      <c r="BO55">
        <f>'Grid_Stock'!BM4</f>
        <v/>
      </c>
      <c r="BP55">
        <f>'Grid_Stock'!BN4</f>
        <v/>
      </c>
      <c r="BQ55">
        <f>'Grid_Stock'!BO4</f>
        <v/>
      </c>
      <c r="BR55">
        <f>'Grid_Stock'!BP4</f>
        <v/>
      </c>
      <c r="BS55">
        <f>'Grid_Stock'!BQ4</f>
        <v/>
      </c>
      <c r="BT55">
        <f>'Grid_Stock'!BR4</f>
        <v/>
      </c>
      <c r="BU55">
        <f>'Grid_Stock'!BS4</f>
        <v/>
      </c>
      <c r="BV55">
        <f>'Grid_Stock'!BT4</f>
        <v/>
      </c>
      <c r="BW55">
        <f>'Grid_Stock'!BU4</f>
        <v/>
      </c>
      <c r="BX55">
        <f>'Grid_Stock'!BV4</f>
        <v/>
      </c>
      <c r="BY55">
        <f>'Grid_Stock'!BW4</f>
        <v/>
      </c>
      <c r="BZ55">
        <f>'Grid_Stock'!BX4</f>
        <v/>
      </c>
      <c r="CA55">
        <f>'Grid_Stock'!BY4</f>
        <v/>
      </c>
      <c r="CB55">
        <f>'Grid_Stock'!BZ4</f>
        <v/>
      </c>
      <c r="CC55">
        <f>'Grid_Stock'!CA4</f>
        <v/>
      </c>
      <c r="CD55">
        <f>'Grid_Stock'!CB4</f>
        <v/>
      </c>
      <c r="CE55">
        <f>'Grid_Stock'!CC4</f>
        <v/>
      </c>
      <c r="CF55">
        <f>'Grid_Stock'!CD4</f>
        <v/>
      </c>
      <c r="CG55">
        <f>'Grid_Stock'!CE4</f>
        <v/>
      </c>
      <c r="CH55">
        <f>'Grid_Stock'!CF4</f>
        <v/>
      </c>
      <c r="CI55">
        <f>'Grid_Stock'!CG4</f>
        <v/>
      </c>
      <c r="CJ55">
        <f>'Grid_Stock'!CH4</f>
        <v/>
      </c>
      <c r="CK55">
        <f>'Grid_Stock'!CI4</f>
        <v/>
      </c>
      <c r="CL55">
        <f>'Grid_Stock'!CJ4</f>
        <v/>
      </c>
      <c r="CM55">
        <f>'Grid_Stock'!CK4</f>
        <v/>
      </c>
      <c r="CN55">
        <f>'Grid_Stock'!CL4</f>
        <v/>
      </c>
      <c r="CO55">
        <f>'Grid_Stock'!CM4</f>
        <v/>
      </c>
      <c r="CP55">
        <f>'Grid_Stock'!CN4</f>
        <v/>
      </c>
      <c r="CQ55">
        <f>'Grid_Stock'!CO4</f>
        <v/>
      </c>
      <c r="CR55">
        <f>'Grid_Stock'!CP4</f>
        <v/>
      </c>
      <c r="CS55">
        <f>'Grid_Stock'!CQ4</f>
        <v/>
      </c>
      <c r="CT55">
        <f>'Grid_Stock'!CR4</f>
        <v/>
      </c>
      <c r="CU55">
        <f>'Grid_Stock'!CS4</f>
        <v/>
      </c>
      <c r="CV55">
        <f>'Grid_Stock'!CT4</f>
        <v/>
      </c>
      <c r="CW55">
        <f>'Grid_Stock'!CU4</f>
        <v/>
      </c>
      <c r="CX55">
        <f>'Grid_Stock'!CV4</f>
        <v/>
      </c>
      <c r="CY55">
        <f>'Grid_Stock'!CW4</f>
        <v/>
      </c>
      <c r="CZ55">
        <f>'Grid_Stock'!CX4</f>
        <v/>
      </c>
      <c r="DA55">
        <f>'Grid_Stock'!CY4</f>
        <v/>
      </c>
      <c r="DB55">
        <f>'Grid_Stock'!CZ4</f>
        <v/>
      </c>
      <c r="DC55">
        <f>'Grid_Stock'!DA4</f>
        <v/>
      </c>
    </row>
    <row r="56">
      <c r="B56" s="26" t="inlineStr">
        <is>
          <t>（発注の目安はDashboardの基準在庫[下限/上限]と色分けを参照）</t>
        </is>
      </c>
    </row>
    <row r="58">
      <c r="A58" s="21" t="inlineStr">
        <is>
          <t>9RN</t>
        </is>
      </c>
      <c r="B58" s="21" t="inlineStr">
        <is>
          <t>TTAF 4FK13117080</t>
        </is>
      </c>
      <c r="C58" s="22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  <c r="BF58" s="21" t="n"/>
      <c r="BG58" s="21" t="n"/>
      <c r="BH58" s="21" t="n"/>
      <c r="BI58" s="21" t="n"/>
      <c r="BJ58" s="21" t="n"/>
      <c r="BK58" s="21" t="n"/>
      <c r="BL58" s="21" t="n"/>
      <c r="BM58" s="21" t="n"/>
      <c r="BN58" s="21" t="n"/>
      <c r="BO58" s="21" t="n"/>
      <c r="BP58" s="21" t="n"/>
      <c r="BQ58" s="21" t="n"/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  <c r="CA58" s="21" t="n"/>
      <c r="CB58" s="21" t="n"/>
      <c r="CC58" s="21" t="n"/>
      <c r="CD58" s="21" t="n"/>
      <c r="CE58" s="21" t="n"/>
      <c r="CF58" s="21" t="n"/>
      <c r="CG58" s="21" t="n"/>
      <c r="CH58" s="21" t="n"/>
      <c r="CI58" s="21" t="n"/>
      <c r="CJ58" s="21" t="n"/>
      <c r="CK58" s="21" t="n"/>
      <c r="CL58" s="21" t="n"/>
      <c r="CM58" s="21" t="n"/>
      <c r="CN58" s="21" t="n"/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</row>
    <row r="59">
      <c r="B59" t="inlineStr">
        <is>
          <t>K0050</t>
        </is>
      </c>
      <c r="C59" t="inlineStr">
        <is>
          <t>No. of batches</t>
        </is>
      </c>
      <c r="D59">
        <f>IFERROR(INDEX(PP_Grid[#Data],$DD59,2),0)</f>
        <v/>
      </c>
      <c r="E59">
        <f>IFERROR(INDEX(PP_Grid[#Data],$DD59,3),0)</f>
        <v/>
      </c>
      <c r="F59">
        <f>IFERROR(INDEX(PP_Grid[#Data],$DD59,4),0)</f>
        <v/>
      </c>
      <c r="G59">
        <f>IFERROR(INDEX(PP_Grid[#Data],$DD59,5),0)</f>
        <v/>
      </c>
      <c r="H59">
        <f>IFERROR(INDEX(PP_Grid[#Data],$DD59,6),0)</f>
        <v/>
      </c>
      <c r="I59">
        <f>IFERROR(INDEX(PP_Grid[#Data],$DD59,7),0)</f>
        <v/>
      </c>
      <c r="J59">
        <f>IFERROR(INDEX(PP_Grid[#Data],$DD59,8),0)</f>
        <v/>
      </c>
      <c r="K59">
        <f>IFERROR(INDEX(PP_Grid[#Data],$DD59,9),0)</f>
        <v/>
      </c>
      <c r="L59">
        <f>IFERROR(INDEX(PP_Grid[#Data],$DD59,10),0)</f>
        <v/>
      </c>
      <c r="M59">
        <f>IFERROR(INDEX(PP_Grid[#Data],$DD59,11),0)</f>
        <v/>
      </c>
      <c r="N59">
        <f>IFERROR(INDEX(PP_Grid[#Data],$DD59,12),0)</f>
        <v/>
      </c>
      <c r="O59">
        <f>IFERROR(INDEX(PP_Grid[#Data],$DD59,13),0)</f>
        <v/>
      </c>
      <c r="P59">
        <f>IFERROR(INDEX(PP_Grid[#Data],$DD59,14),0)</f>
        <v/>
      </c>
      <c r="Q59">
        <f>IFERROR(INDEX(PP_Grid[#Data],$DD59,15),0)</f>
        <v/>
      </c>
      <c r="R59">
        <f>IFERROR(INDEX(PP_Grid[#Data],$DD59,16),0)</f>
        <v/>
      </c>
      <c r="S59">
        <f>IFERROR(INDEX(PP_Grid[#Data],$DD59,17),0)</f>
        <v/>
      </c>
      <c r="T59">
        <f>IFERROR(INDEX(PP_Grid[#Data],$DD59,18),0)</f>
        <v/>
      </c>
      <c r="U59">
        <f>IFERROR(INDEX(PP_Grid[#Data],$DD59,19),0)</f>
        <v/>
      </c>
      <c r="V59">
        <f>IFERROR(INDEX(PP_Grid[#Data],$DD59,20),0)</f>
        <v/>
      </c>
      <c r="W59">
        <f>IFERROR(INDEX(PP_Grid[#Data],$DD59,21),0)</f>
        <v/>
      </c>
      <c r="X59">
        <f>IFERROR(INDEX(PP_Grid[#Data],$DD59,22),0)</f>
        <v/>
      </c>
      <c r="Y59">
        <f>IFERROR(INDEX(PP_Grid[#Data],$DD59,23),0)</f>
        <v/>
      </c>
      <c r="Z59">
        <f>IFERROR(INDEX(PP_Grid[#Data],$DD59,24),0)</f>
        <v/>
      </c>
      <c r="AA59">
        <f>IFERROR(INDEX(PP_Grid[#Data],$DD59,25),0)</f>
        <v/>
      </c>
      <c r="AB59">
        <f>IFERROR(INDEX(PP_Grid[#Data],$DD59,26),0)</f>
        <v/>
      </c>
      <c r="AC59">
        <f>IFERROR(INDEX(PP_Grid[#Data],$DD59,27),0)</f>
        <v/>
      </c>
      <c r="AD59">
        <f>IFERROR(INDEX(PP_Grid[#Data],$DD59,28),0)</f>
        <v/>
      </c>
      <c r="AE59">
        <f>IFERROR(INDEX(PP_Grid[#Data],$DD59,29),0)</f>
        <v/>
      </c>
      <c r="AF59">
        <f>IFERROR(INDEX(PP_Grid[#Data],$DD59,30),0)</f>
        <v/>
      </c>
      <c r="AG59">
        <f>IFERROR(INDEX(PP_Grid[#Data],$DD59,31),0)</f>
        <v/>
      </c>
      <c r="AH59">
        <f>IFERROR(INDEX(PP_Grid[#Data],$DD59,32),0)</f>
        <v/>
      </c>
      <c r="AI59">
        <f>IFERROR(INDEX(PP_Grid[#Data],$DD59,33),0)</f>
        <v/>
      </c>
      <c r="AJ59">
        <f>IFERROR(INDEX(PP_Grid[#Data],$DD59,34),0)</f>
        <v/>
      </c>
      <c r="AK59">
        <f>IFERROR(INDEX(PP_Grid[#Data],$DD59,35),0)</f>
        <v/>
      </c>
      <c r="AL59">
        <f>IFERROR(INDEX(PP_Grid[#Data],$DD59,36),0)</f>
        <v/>
      </c>
      <c r="AM59">
        <f>IFERROR(INDEX(PP_Grid[#Data],$DD59,37),0)</f>
        <v/>
      </c>
      <c r="AN59">
        <f>IFERROR(INDEX(PP_Grid[#Data],$DD59,38),0)</f>
        <v/>
      </c>
      <c r="AO59">
        <f>IFERROR(INDEX(PP_Grid[#Data],$DD59,39),0)</f>
        <v/>
      </c>
      <c r="AP59">
        <f>IFERROR(INDEX(PP_Grid[#Data],$DD59,40),0)</f>
        <v/>
      </c>
      <c r="AQ59">
        <f>IFERROR(INDEX(PP_Grid[#Data],$DD59,41),0)</f>
        <v/>
      </c>
      <c r="AR59">
        <f>IFERROR(INDEX(PP_Grid[#Data],$DD59,42),0)</f>
        <v/>
      </c>
      <c r="AS59">
        <f>IFERROR(INDEX(PP_Grid[#Data],$DD59,43),0)</f>
        <v/>
      </c>
      <c r="AT59">
        <f>IFERROR(INDEX(PP_Grid[#Data],$DD59,44),0)</f>
        <v/>
      </c>
      <c r="AU59">
        <f>IFERROR(INDEX(PP_Grid[#Data],$DD59,45),0)</f>
        <v/>
      </c>
      <c r="AV59">
        <f>IFERROR(INDEX(PP_Grid[#Data],$DD59,46),0)</f>
        <v/>
      </c>
      <c r="AW59">
        <f>IFERROR(INDEX(PP_Grid[#Data],$DD59,47),0)</f>
        <v/>
      </c>
      <c r="AX59">
        <f>IFERROR(INDEX(PP_Grid[#Data],$DD59,48),0)</f>
        <v/>
      </c>
      <c r="AY59">
        <f>IFERROR(INDEX(PP_Grid[#Data],$DD59,49),0)</f>
        <v/>
      </c>
      <c r="AZ59">
        <f>IFERROR(INDEX(PP_Grid[#Data],$DD59,50),0)</f>
        <v/>
      </c>
      <c r="BA59">
        <f>IFERROR(INDEX(PP_Grid[#Data],$DD59,51),0)</f>
        <v/>
      </c>
      <c r="BB59">
        <f>IFERROR(INDEX(PP_Grid[#Data],$DD59,52),0)</f>
        <v/>
      </c>
      <c r="BC59">
        <f>IFERROR(INDEX(PP_Grid[#Data],$DD59,53),0)</f>
        <v/>
      </c>
      <c r="BD59">
        <f>IFERROR(INDEX(PP_Grid[#Data],$DD59,54),0)</f>
        <v/>
      </c>
      <c r="BE59">
        <f>IFERROR(INDEX(PP_Grid[#Data],$DD59,55),0)</f>
        <v/>
      </c>
      <c r="BF59">
        <f>IFERROR(INDEX(PP_Grid[#Data],$DD59,56),0)</f>
        <v/>
      </c>
      <c r="BG59">
        <f>IFERROR(INDEX(PP_Grid[#Data],$DD59,57),0)</f>
        <v/>
      </c>
      <c r="BH59">
        <f>IFERROR(INDEX(PP_Grid[#Data],$DD59,58),0)</f>
        <v/>
      </c>
      <c r="BI59">
        <f>IFERROR(INDEX(PP_Grid[#Data],$DD59,59),0)</f>
        <v/>
      </c>
      <c r="BJ59">
        <f>IFERROR(INDEX(PP_Grid[#Data],$DD59,60),0)</f>
        <v/>
      </c>
      <c r="BK59">
        <f>IFERROR(INDEX(PP_Grid[#Data],$DD59,61),0)</f>
        <v/>
      </c>
      <c r="BL59">
        <f>IFERROR(INDEX(PP_Grid[#Data],$DD59,62),0)</f>
        <v/>
      </c>
      <c r="BM59">
        <f>IFERROR(INDEX(PP_Grid[#Data],$DD59,63),0)</f>
        <v/>
      </c>
      <c r="BN59">
        <f>IFERROR(INDEX(PP_Grid[#Data],$DD59,64),0)</f>
        <v/>
      </c>
      <c r="BO59">
        <f>IFERROR(INDEX(PP_Grid[#Data],$DD59,65),0)</f>
        <v/>
      </c>
      <c r="BP59">
        <f>IFERROR(INDEX(PP_Grid[#Data],$DD59,66),0)</f>
        <v/>
      </c>
      <c r="BQ59">
        <f>IFERROR(INDEX(PP_Grid[#Data],$DD59,67),0)</f>
        <v/>
      </c>
      <c r="BR59">
        <f>IFERROR(INDEX(PP_Grid[#Data],$DD59,68),0)</f>
        <v/>
      </c>
      <c r="BS59">
        <f>IFERROR(INDEX(PP_Grid[#Data],$DD59,69),0)</f>
        <v/>
      </c>
      <c r="BT59">
        <f>IFERROR(INDEX(PP_Grid[#Data],$DD59,70),0)</f>
        <v/>
      </c>
      <c r="BU59">
        <f>IFERROR(INDEX(PP_Grid[#Data],$DD59,71),0)</f>
        <v/>
      </c>
      <c r="BV59">
        <f>IFERROR(INDEX(PP_Grid[#Data],$DD59,72),0)</f>
        <v/>
      </c>
      <c r="BW59">
        <f>IFERROR(INDEX(PP_Grid[#Data],$DD59,73),0)</f>
        <v/>
      </c>
      <c r="BX59">
        <f>IFERROR(INDEX(PP_Grid[#Data],$DD59,74),0)</f>
        <v/>
      </c>
      <c r="BY59">
        <f>IFERROR(INDEX(PP_Grid[#Data],$DD59,75),0)</f>
        <v/>
      </c>
      <c r="BZ59">
        <f>IFERROR(INDEX(PP_Grid[#Data],$DD59,76),0)</f>
        <v/>
      </c>
      <c r="CA59">
        <f>IFERROR(INDEX(PP_Grid[#Data],$DD59,77),0)</f>
        <v/>
      </c>
      <c r="CB59">
        <f>IFERROR(INDEX(PP_Grid[#Data],$DD59,78),0)</f>
        <v/>
      </c>
      <c r="CC59">
        <f>IFERROR(INDEX(PP_Grid[#Data],$DD59,79),0)</f>
        <v/>
      </c>
      <c r="CD59">
        <f>IFERROR(INDEX(PP_Grid[#Data],$DD59,80),0)</f>
        <v/>
      </c>
      <c r="CE59">
        <f>IFERROR(INDEX(PP_Grid[#Data],$DD59,81),0)</f>
        <v/>
      </c>
      <c r="CF59">
        <f>IFERROR(INDEX(PP_Grid[#Data],$DD59,82),0)</f>
        <v/>
      </c>
      <c r="CG59">
        <f>IFERROR(INDEX(PP_Grid[#Data],$DD59,83),0)</f>
        <v/>
      </c>
      <c r="CH59">
        <f>IFERROR(INDEX(PP_Grid[#Data],$DD59,84),0)</f>
        <v/>
      </c>
      <c r="CI59">
        <f>IFERROR(INDEX(PP_Grid[#Data],$DD59,85),0)</f>
        <v/>
      </c>
      <c r="CJ59">
        <f>IFERROR(INDEX(PP_Grid[#Data],$DD59,86),0)</f>
        <v/>
      </c>
      <c r="CK59">
        <f>IFERROR(INDEX(PP_Grid[#Data],$DD59,87),0)</f>
        <v/>
      </c>
      <c r="CL59">
        <f>IFERROR(INDEX(PP_Grid[#Data],$DD59,88),0)</f>
        <v/>
      </c>
      <c r="CM59">
        <f>IFERROR(INDEX(PP_Grid[#Data],$DD59,89),0)</f>
        <v/>
      </c>
      <c r="CN59">
        <f>IFERROR(INDEX(PP_Grid[#Data],$DD59,90),0)</f>
        <v/>
      </c>
      <c r="CO59">
        <f>IFERROR(INDEX(PP_Grid[#Data],$DD59,91),0)</f>
        <v/>
      </c>
      <c r="CP59">
        <f>IFERROR(INDEX(PP_Grid[#Data],$DD59,92),0)</f>
        <v/>
      </c>
      <c r="CQ59">
        <f>IFERROR(INDEX(PP_Grid[#Data],$DD59,93),0)</f>
        <v/>
      </c>
      <c r="CR59">
        <f>IFERROR(INDEX(PP_Grid[#Data],$DD59,94),0)</f>
        <v/>
      </c>
      <c r="CS59">
        <f>IFERROR(INDEX(PP_Grid[#Data],$DD59,95),0)</f>
        <v/>
      </c>
      <c r="CT59">
        <f>IFERROR(INDEX(PP_Grid[#Data],$DD59,96),0)</f>
        <v/>
      </c>
      <c r="CU59">
        <f>IFERROR(INDEX(PP_Grid[#Data],$DD59,97),0)</f>
        <v/>
      </c>
      <c r="CV59">
        <f>IFERROR(INDEX(PP_Grid[#Data],$DD59,98),0)</f>
        <v/>
      </c>
      <c r="CW59">
        <f>IFERROR(INDEX(PP_Grid[#Data],$DD59,99),0)</f>
        <v/>
      </c>
      <c r="CX59">
        <f>IFERROR(INDEX(PP_Grid[#Data],$DD59,100),0)</f>
        <v/>
      </c>
      <c r="CY59">
        <f>IFERROR(INDEX(PP_Grid[#Data],$DD59,101),0)</f>
        <v/>
      </c>
      <c r="CZ59">
        <f>IFERROR(INDEX(PP_Grid[#Data],$DD59,102),0)</f>
        <v/>
      </c>
      <c r="DA59">
        <f>IFERROR(INDEX(PP_Grid[#Data],$DD59,103),0)</f>
        <v/>
      </c>
      <c r="DB59">
        <f>IFERROR(INDEX(PP_Grid[#Data],$DD59,104),0)</f>
        <v/>
      </c>
      <c r="DC59">
        <f>IFERROR(INDEX(PP_Grid[#Data],$DD59,105),0)</f>
        <v/>
      </c>
      <c r="DD59" s="12">
        <f>IFERROR(MATCH($B59,PP_Grid[Intermediate],0),99999)</f>
        <v/>
      </c>
    </row>
    <row r="60">
      <c r="B60" t="inlineStr">
        <is>
          <t>使用量(kg)</t>
        </is>
      </c>
      <c r="C60">
        <f>SUMIFS(M_BOM[RM_Qty_Per_Batch],M_BOM[Intermediate],$B59,M_BOM[Part Name],$A58)</f>
        <v/>
      </c>
      <c r="D60">
        <f>$C60*D59</f>
        <v/>
      </c>
      <c r="E60">
        <f>$C60*E59</f>
        <v/>
      </c>
      <c r="F60">
        <f>$C60*F59</f>
        <v/>
      </c>
      <c r="G60">
        <f>$C60*G59</f>
        <v/>
      </c>
      <c r="H60">
        <f>$C60*H59</f>
        <v/>
      </c>
      <c r="I60">
        <f>$C60*I59</f>
        <v/>
      </c>
      <c r="J60">
        <f>$C60*J59</f>
        <v/>
      </c>
      <c r="K60">
        <f>$C60*K59</f>
        <v/>
      </c>
      <c r="L60">
        <f>$C60*L59</f>
        <v/>
      </c>
      <c r="M60">
        <f>$C60*M59</f>
        <v/>
      </c>
      <c r="N60">
        <f>$C60*N59</f>
        <v/>
      </c>
      <c r="O60">
        <f>$C60*O59</f>
        <v/>
      </c>
      <c r="P60">
        <f>$C60*P59</f>
        <v/>
      </c>
      <c r="Q60">
        <f>$C60*Q59</f>
        <v/>
      </c>
      <c r="R60">
        <f>$C60*R59</f>
        <v/>
      </c>
      <c r="S60">
        <f>$C60*S59</f>
        <v/>
      </c>
      <c r="T60">
        <f>$C60*T59</f>
        <v/>
      </c>
      <c r="U60">
        <f>$C60*U59</f>
        <v/>
      </c>
      <c r="V60">
        <f>$C60*V59</f>
        <v/>
      </c>
      <c r="W60">
        <f>$C60*W59</f>
        <v/>
      </c>
      <c r="X60">
        <f>$C60*X59</f>
        <v/>
      </c>
      <c r="Y60">
        <f>$C60*Y59</f>
        <v/>
      </c>
      <c r="Z60">
        <f>$C60*Z59</f>
        <v/>
      </c>
      <c r="AA60">
        <f>$C60*AA59</f>
        <v/>
      </c>
      <c r="AB60">
        <f>$C60*AB59</f>
        <v/>
      </c>
      <c r="AC60">
        <f>$C60*AC59</f>
        <v/>
      </c>
      <c r="AD60">
        <f>$C60*AD59</f>
        <v/>
      </c>
      <c r="AE60">
        <f>$C60*AE59</f>
        <v/>
      </c>
      <c r="AF60">
        <f>$C60*AF59</f>
        <v/>
      </c>
      <c r="AG60">
        <f>$C60*AG59</f>
        <v/>
      </c>
      <c r="AH60">
        <f>$C60*AH59</f>
        <v/>
      </c>
      <c r="AI60">
        <f>$C60*AI59</f>
        <v/>
      </c>
      <c r="AJ60">
        <f>$C60*AJ59</f>
        <v/>
      </c>
      <c r="AK60">
        <f>$C60*AK59</f>
        <v/>
      </c>
      <c r="AL60">
        <f>$C60*AL59</f>
        <v/>
      </c>
      <c r="AM60">
        <f>$C60*AM59</f>
        <v/>
      </c>
      <c r="AN60">
        <f>$C60*AN59</f>
        <v/>
      </c>
      <c r="AO60">
        <f>$C60*AO59</f>
        <v/>
      </c>
      <c r="AP60">
        <f>$C60*AP59</f>
        <v/>
      </c>
      <c r="AQ60">
        <f>$C60*AQ59</f>
        <v/>
      </c>
      <c r="AR60">
        <f>$C60*AR59</f>
        <v/>
      </c>
      <c r="AS60">
        <f>$C60*AS59</f>
        <v/>
      </c>
      <c r="AT60">
        <f>$C60*AT59</f>
        <v/>
      </c>
      <c r="AU60">
        <f>$C60*AU59</f>
        <v/>
      </c>
      <c r="AV60">
        <f>$C60*AV59</f>
        <v/>
      </c>
      <c r="AW60">
        <f>$C60*AW59</f>
        <v/>
      </c>
      <c r="AX60">
        <f>$C60*AX59</f>
        <v/>
      </c>
      <c r="AY60">
        <f>$C60*AY59</f>
        <v/>
      </c>
      <c r="AZ60">
        <f>$C60*AZ59</f>
        <v/>
      </c>
      <c r="BA60">
        <f>$C60*BA59</f>
        <v/>
      </c>
      <c r="BB60">
        <f>$C60*BB59</f>
        <v/>
      </c>
      <c r="BC60">
        <f>$C60*BC59</f>
        <v/>
      </c>
      <c r="BD60">
        <f>$C60*BD59</f>
        <v/>
      </c>
      <c r="BE60">
        <f>$C60*BE59</f>
        <v/>
      </c>
      <c r="BF60">
        <f>$C60*BF59</f>
        <v/>
      </c>
      <c r="BG60">
        <f>$C60*BG59</f>
        <v/>
      </c>
      <c r="BH60">
        <f>$C60*BH59</f>
        <v/>
      </c>
      <c r="BI60">
        <f>$C60*BI59</f>
        <v/>
      </c>
      <c r="BJ60">
        <f>$C60*BJ59</f>
        <v/>
      </c>
      <c r="BK60">
        <f>$C60*BK59</f>
        <v/>
      </c>
      <c r="BL60">
        <f>$C60*BL59</f>
        <v/>
      </c>
      <c r="BM60">
        <f>$C60*BM59</f>
        <v/>
      </c>
      <c r="BN60">
        <f>$C60*BN59</f>
        <v/>
      </c>
      <c r="BO60">
        <f>$C60*BO59</f>
        <v/>
      </c>
      <c r="BP60">
        <f>$C60*BP59</f>
        <v/>
      </c>
      <c r="BQ60">
        <f>$C60*BQ59</f>
        <v/>
      </c>
      <c r="BR60">
        <f>$C60*BR59</f>
        <v/>
      </c>
      <c r="BS60">
        <f>$C60*BS59</f>
        <v/>
      </c>
      <c r="BT60">
        <f>$C60*BT59</f>
        <v/>
      </c>
      <c r="BU60">
        <f>$C60*BU59</f>
        <v/>
      </c>
      <c r="BV60">
        <f>$C60*BV59</f>
        <v/>
      </c>
      <c r="BW60">
        <f>$C60*BW59</f>
        <v/>
      </c>
      <c r="BX60">
        <f>$C60*BX59</f>
        <v/>
      </c>
      <c r="BY60">
        <f>$C60*BY59</f>
        <v/>
      </c>
      <c r="BZ60">
        <f>$C60*BZ59</f>
        <v/>
      </c>
      <c r="CA60">
        <f>$C60*CA59</f>
        <v/>
      </c>
      <c r="CB60">
        <f>$C60*CB59</f>
        <v/>
      </c>
      <c r="CC60">
        <f>$C60*CC59</f>
        <v/>
      </c>
      <c r="CD60">
        <f>$C60*CD59</f>
        <v/>
      </c>
      <c r="CE60">
        <f>$C60*CE59</f>
        <v/>
      </c>
      <c r="CF60">
        <f>$C60*CF59</f>
        <v/>
      </c>
      <c r="CG60">
        <f>$C60*CG59</f>
        <v/>
      </c>
      <c r="CH60">
        <f>$C60*CH59</f>
        <v/>
      </c>
      <c r="CI60">
        <f>$C60*CI59</f>
        <v/>
      </c>
      <c r="CJ60">
        <f>$C60*CJ59</f>
        <v/>
      </c>
      <c r="CK60">
        <f>$C60*CK59</f>
        <v/>
      </c>
      <c r="CL60">
        <f>$C60*CL59</f>
        <v/>
      </c>
      <c r="CM60">
        <f>$C60*CM59</f>
        <v/>
      </c>
      <c r="CN60">
        <f>$C60*CN59</f>
        <v/>
      </c>
      <c r="CO60">
        <f>$C60*CO59</f>
        <v/>
      </c>
      <c r="CP60">
        <f>$C60*CP59</f>
        <v/>
      </c>
      <c r="CQ60">
        <f>$C60*CQ59</f>
        <v/>
      </c>
      <c r="CR60">
        <f>$C60*CR59</f>
        <v/>
      </c>
      <c r="CS60">
        <f>$C60*CS59</f>
        <v/>
      </c>
      <c r="CT60">
        <f>$C60*CT59</f>
        <v/>
      </c>
      <c r="CU60">
        <f>$C60*CU59</f>
        <v/>
      </c>
      <c r="CV60">
        <f>$C60*CV59</f>
        <v/>
      </c>
      <c r="CW60">
        <f>$C60*CW59</f>
        <v/>
      </c>
      <c r="CX60">
        <f>$C60*CX59</f>
        <v/>
      </c>
      <c r="CY60">
        <f>$C60*CY59</f>
        <v/>
      </c>
      <c r="CZ60">
        <f>$C60*CZ59</f>
        <v/>
      </c>
      <c r="DA60">
        <f>$C60*DA59</f>
        <v/>
      </c>
      <c r="DB60">
        <f>$C60*DB59</f>
        <v/>
      </c>
      <c r="DC60">
        <f>$C60*DC59</f>
        <v/>
      </c>
    </row>
    <row r="61">
      <c r="B61" s="5" t="inlineStr">
        <is>
          <t>合計使用量(kg)/週</t>
        </is>
      </c>
      <c r="D61">
        <f>'Grid_Requirement'!B5</f>
        <v/>
      </c>
      <c r="E61">
        <f>'Grid_Requirement'!C5</f>
        <v/>
      </c>
      <c r="F61">
        <f>'Grid_Requirement'!D5</f>
        <v/>
      </c>
      <c r="G61">
        <f>'Grid_Requirement'!E5</f>
        <v/>
      </c>
      <c r="H61">
        <f>'Grid_Requirement'!F5</f>
        <v/>
      </c>
      <c r="I61">
        <f>'Grid_Requirement'!G5</f>
        <v/>
      </c>
      <c r="J61">
        <f>'Grid_Requirement'!H5</f>
        <v/>
      </c>
      <c r="K61">
        <f>'Grid_Requirement'!I5</f>
        <v/>
      </c>
      <c r="L61">
        <f>'Grid_Requirement'!J5</f>
        <v/>
      </c>
      <c r="M61">
        <f>'Grid_Requirement'!K5</f>
        <v/>
      </c>
      <c r="N61">
        <f>'Grid_Requirement'!L5</f>
        <v/>
      </c>
      <c r="O61">
        <f>'Grid_Requirement'!M5</f>
        <v/>
      </c>
      <c r="P61">
        <f>'Grid_Requirement'!N5</f>
        <v/>
      </c>
      <c r="Q61">
        <f>'Grid_Requirement'!O5</f>
        <v/>
      </c>
      <c r="R61">
        <f>'Grid_Requirement'!P5</f>
        <v/>
      </c>
      <c r="S61">
        <f>'Grid_Requirement'!Q5</f>
        <v/>
      </c>
      <c r="T61">
        <f>'Grid_Requirement'!R5</f>
        <v/>
      </c>
      <c r="U61">
        <f>'Grid_Requirement'!S5</f>
        <v/>
      </c>
      <c r="V61">
        <f>'Grid_Requirement'!T5</f>
        <v/>
      </c>
      <c r="W61">
        <f>'Grid_Requirement'!U5</f>
        <v/>
      </c>
      <c r="X61">
        <f>'Grid_Requirement'!V5</f>
        <v/>
      </c>
      <c r="Y61">
        <f>'Grid_Requirement'!W5</f>
        <v/>
      </c>
      <c r="Z61">
        <f>'Grid_Requirement'!X5</f>
        <v/>
      </c>
      <c r="AA61">
        <f>'Grid_Requirement'!Y5</f>
        <v/>
      </c>
      <c r="AB61">
        <f>'Grid_Requirement'!Z5</f>
        <v/>
      </c>
      <c r="AC61">
        <f>'Grid_Requirement'!AA5</f>
        <v/>
      </c>
      <c r="AD61">
        <f>'Grid_Requirement'!AB5</f>
        <v/>
      </c>
      <c r="AE61">
        <f>'Grid_Requirement'!AC5</f>
        <v/>
      </c>
      <c r="AF61">
        <f>'Grid_Requirement'!AD5</f>
        <v/>
      </c>
      <c r="AG61">
        <f>'Grid_Requirement'!AE5</f>
        <v/>
      </c>
      <c r="AH61">
        <f>'Grid_Requirement'!AF5</f>
        <v/>
      </c>
      <c r="AI61">
        <f>'Grid_Requirement'!AG5</f>
        <v/>
      </c>
      <c r="AJ61">
        <f>'Grid_Requirement'!AH5</f>
        <v/>
      </c>
      <c r="AK61">
        <f>'Grid_Requirement'!AI5</f>
        <v/>
      </c>
      <c r="AL61">
        <f>'Grid_Requirement'!AJ5</f>
        <v/>
      </c>
      <c r="AM61">
        <f>'Grid_Requirement'!AK5</f>
        <v/>
      </c>
      <c r="AN61">
        <f>'Grid_Requirement'!AL5</f>
        <v/>
      </c>
      <c r="AO61">
        <f>'Grid_Requirement'!AM5</f>
        <v/>
      </c>
      <c r="AP61">
        <f>'Grid_Requirement'!AN5</f>
        <v/>
      </c>
      <c r="AQ61">
        <f>'Grid_Requirement'!AO5</f>
        <v/>
      </c>
      <c r="AR61">
        <f>'Grid_Requirement'!AP5</f>
        <v/>
      </c>
      <c r="AS61">
        <f>'Grid_Requirement'!AQ5</f>
        <v/>
      </c>
      <c r="AT61">
        <f>'Grid_Requirement'!AR5</f>
        <v/>
      </c>
      <c r="AU61">
        <f>'Grid_Requirement'!AS5</f>
        <v/>
      </c>
      <c r="AV61">
        <f>'Grid_Requirement'!AT5</f>
        <v/>
      </c>
      <c r="AW61">
        <f>'Grid_Requirement'!AU5</f>
        <v/>
      </c>
      <c r="AX61">
        <f>'Grid_Requirement'!AV5</f>
        <v/>
      </c>
      <c r="AY61">
        <f>'Grid_Requirement'!AW5</f>
        <v/>
      </c>
      <c r="AZ61">
        <f>'Grid_Requirement'!AX5</f>
        <v/>
      </c>
      <c r="BA61">
        <f>'Grid_Requirement'!AY5</f>
        <v/>
      </c>
      <c r="BB61">
        <f>'Grid_Requirement'!AZ5</f>
        <v/>
      </c>
      <c r="BC61">
        <f>'Grid_Requirement'!BA5</f>
        <v/>
      </c>
      <c r="BD61">
        <f>'Grid_Requirement'!BB5</f>
        <v/>
      </c>
      <c r="BE61">
        <f>'Grid_Requirement'!BC5</f>
        <v/>
      </c>
      <c r="BF61">
        <f>'Grid_Requirement'!BD5</f>
        <v/>
      </c>
      <c r="BG61">
        <f>'Grid_Requirement'!BE5</f>
        <v/>
      </c>
      <c r="BH61">
        <f>'Grid_Requirement'!BF5</f>
        <v/>
      </c>
      <c r="BI61">
        <f>'Grid_Requirement'!BG5</f>
        <v/>
      </c>
      <c r="BJ61">
        <f>'Grid_Requirement'!BH5</f>
        <v/>
      </c>
      <c r="BK61">
        <f>'Grid_Requirement'!BI5</f>
        <v/>
      </c>
      <c r="BL61">
        <f>'Grid_Requirement'!BJ5</f>
        <v/>
      </c>
      <c r="BM61">
        <f>'Grid_Requirement'!BK5</f>
        <v/>
      </c>
      <c r="BN61">
        <f>'Grid_Requirement'!BL5</f>
        <v/>
      </c>
      <c r="BO61">
        <f>'Grid_Requirement'!BM5</f>
        <v/>
      </c>
      <c r="BP61">
        <f>'Grid_Requirement'!BN5</f>
        <v/>
      </c>
      <c r="BQ61">
        <f>'Grid_Requirement'!BO5</f>
        <v/>
      </c>
      <c r="BR61">
        <f>'Grid_Requirement'!BP5</f>
        <v/>
      </c>
      <c r="BS61">
        <f>'Grid_Requirement'!BQ5</f>
        <v/>
      </c>
      <c r="BT61">
        <f>'Grid_Requirement'!BR5</f>
        <v/>
      </c>
      <c r="BU61">
        <f>'Grid_Requirement'!BS5</f>
        <v/>
      </c>
      <c r="BV61">
        <f>'Grid_Requirement'!BT5</f>
        <v/>
      </c>
      <c r="BW61">
        <f>'Grid_Requirement'!BU5</f>
        <v/>
      </c>
      <c r="BX61">
        <f>'Grid_Requirement'!BV5</f>
        <v/>
      </c>
      <c r="BY61">
        <f>'Grid_Requirement'!BW5</f>
        <v/>
      </c>
      <c r="BZ61">
        <f>'Grid_Requirement'!BX5</f>
        <v/>
      </c>
      <c r="CA61">
        <f>'Grid_Requirement'!BY5</f>
        <v/>
      </c>
      <c r="CB61">
        <f>'Grid_Requirement'!BZ5</f>
        <v/>
      </c>
      <c r="CC61">
        <f>'Grid_Requirement'!CA5</f>
        <v/>
      </c>
      <c r="CD61">
        <f>'Grid_Requirement'!CB5</f>
        <v/>
      </c>
      <c r="CE61">
        <f>'Grid_Requirement'!CC5</f>
        <v/>
      </c>
      <c r="CF61">
        <f>'Grid_Requirement'!CD5</f>
        <v/>
      </c>
      <c r="CG61">
        <f>'Grid_Requirement'!CE5</f>
        <v/>
      </c>
      <c r="CH61">
        <f>'Grid_Requirement'!CF5</f>
        <v/>
      </c>
      <c r="CI61">
        <f>'Grid_Requirement'!CG5</f>
        <v/>
      </c>
      <c r="CJ61">
        <f>'Grid_Requirement'!CH5</f>
        <v/>
      </c>
      <c r="CK61">
        <f>'Grid_Requirement'!CI5</f>
        <v/>
      </c>
      <c r="CL61">
        <f>'Grid_Requirement'!CJ5</f>
        <v/>
      </c>
      <c r="CM61">
        <f>'Grid_Requirement'!CK5</f>
        <v/>
      </c>
      <c r="CN61">
        <f>'Grid_Requirement'!CL5</f>
        <v/>
      </c>
      <c r="CO61">
        <f>'Grid_Requirement'!CM5</f>
        <v/>
      </c>
      <c r="CP61">
        <f>'Grid_Requirement'!CN5</f>
        <v/>
      </c>
      <c r="CQ61">
        <f>'Grid_Requirement'!CO5</f>
        <v/>
      </c>
      <c r="CR61">
        <f>'Grid_Requirement'!CP5</f>
        <v/>
      </c>
      <c r="CS61">
        <f>'Grid_Requirement'!CQ5</f>
        <v/>
      </c>
      <c r="CT61">
        <f>'Grid_Requirement'!CR5</f>
        <v/>
      </c>
      <c r="CU61">
        <f>'Grid_Requirement'!CS5</f>
        <v/>
      </c>
      <c r="CV61">
        <f>'Grid_Requirement'!CT5</f>
        <v/>
      </c>
      <c r="CW61">
        <f>'Grid_Requirement'!CU5</f>
        <v/>
      </c>
      <c r="CX61">
        <f>'Grid_Requirement'!CV5</f>
        <v/>
      </c>
      <c r="CY61">
        <f>'Grid_Requirement'!CW5</f>
        <v/>
      </c>
      <c r="CZ61">
        <f>'Grid_Requirement'!CX5</f>
        <v/>
      </c>
      <c r="DA61">
        <f>'Grid_Requirement'!CY5</f>
        <v/>
      </c>
      <c r="DB61">
        <f>'Grid_Requirement'!CZ5</f>
        <v/>
      </c>
      <c r="DC61">
        <f>'Grid_Requirement'!DA5</f>
        <v/>
      </c>
    </row>
    <row r="62">
      <c r="B62" t="inlineStr">
        <is>
          <t>TTAF在庫(実績,kg)</t>
        </is>
      </c>
      <c r="D62">
        <f>'T_TTAFStock'!B9</f>
        <v/>
      </c>
      <c r="E62">
        <f>'T_TTAFStock'!C9</f>
        <v/>
      </c>
      <c r="F62">
        <f>'T_TTAFStock'!D9</f>
        <v/>
      </c>
      <c r="G62">
        <f>'T_TTAFStock'!E9</f>
        <v/>
      </c>
      <c r="H62">
        <f>'T_TTAFStock'!F9</f>
        <v/>
      </c>
      <c r="I62">
        <f>'T_TTAFStock'!G9</f>
        <v/>
      </c>
      <c r="J62">
        <f>'T_TTAFStock'!H9</f>
        <v/>
      </c>
      <c r="K62">
        <f>'T_TTAFStock'!I9</f>
        <v/>
      </c>
      <c r="L62">
        <f>'T_TTAFStock'!J9</f>
        <v/>
      </c>
      <c r="M62">
        <f>'T_TTAFStock'!K9</f>
        <v/>
      </c>
      <c r="N62">
        <f>'T_TTAFStock'!L9</f>
        <v/>
      </c>
      <c r="O62">
        <f>'T_TTAFStock'!M9</f>
        <v/>
      </c>
      <c r="P62">
        <f>'T_TTAFStock'!N9</f>
        <v/>
      </c>
      <c r="Q62">
        <f>'T_TTAFStock'!O9</f>
        <v/>
      </c>
      <c r="R62">
        <f>'T_TTAFStock'!P9</f>
        <v/>
      </c>
      <c r="S62">
        <f>'T_TTAFStock'!Q9</f>
        <v/>
      </c>
      <c r="T62">
        <f>'T_TTAFStock'!R9</f>
        <v/>
      </c>
      <c r="U62">
        <f>'T_TTAFStock'!S9</f>
        <v/>
      </c>
      <c r="V62">
        <f>'T_TTAFStock'!T9</f>
        <v/>
      </c>
      <c r="W62">
        <f>'T_TTAFStock'!U9</f>
        <v/>
      </c>
      <c r="X62">
        <f>'T_TTAFStock'!V9</f>
        <v/>
      </c>
      <c r="Y62">
        <f>'T_TTAFStock'!W9</f>
        <v/>
      </c>
      <c r="Z62">
        <f>'T_TTAFStock'!X9</f>
        <v/>
      </c>
      <c r="AA62">
        <f>'T_TTAFStock'!Y9</f>
        <v/>
      </c>
      <c r="AB62">
        <f>'T_TTAFStock'!Z9</f>
        <v/>
      </c>
      <c r="AC62">
        <f>'T_TTAFStock'!AA9</f>
        <v/>
      </c>
      <c r="AD62">
        <f>'T_TTAFStock'!AB9</f>
        <v/>
      </c>
      <c r="AE62">
        <f>'T_TTAFStock'!AC9</f>
        <v/>
      </c>
      <c r="AF62">
        <f>'T_TTAFStock'!AD9</f>
        <v/>
      </c>
      <c r="AG62">
        <f>'T_TTAFStock'!AE9</f>
        <v/>
      </c>
      <c r="AH62">
        <f>'T_TTAFStock'!AF9</f>
        <v/>
      </c>
      <c r="AI62">
        <f>'T_TTAFStock'!AG9</f>
        <v/>
      </c>
      <c r="AJ62">
        <f>'T_TTAFStock'!AH9</f>
        <v/>
      </c>
      <c r="AK62">
        <f>'T_TTAFStock'!AI9</f>
        <v/>
      </c>
      <c r="AL62">
        <f>'T_TTAFStock'!AJ9</f>
        <v/>
      </c>
      <c r="AM62">
        <f>'T_TTAFStock'!AK9</f>
        <v/>
      </c>
      <c r="AN62">
        <f>'T_TTAFStock'!AL9</f>
        <v/>
      </c>
      <c r="AO62">
        <f>'T_TTAFStock'!AM9</f>
        <v/>
      </c>
      <c r="AP62">
        <f>'T_TTAFStock'!AN9</f>
        <v/>
      </c>
      <c r="AQ62">
        <f>'T_TTAFStock'!AO9</f>
        <v/>
      </c>
      <c r="AR62">
        <f>'T_TTAFStock'!AP9</f>
        <v/>
      </c>
      <c r="AS62">
        <f>'T_TTAFStock'!AQ9</f>
        <v/>
      </c>
      <c r="AT62">
        <f>'T_TTAFStock'!AR9</f>
        <v/>
      </c>
      <c r="AU62">
        <f>'T_TTAFStock'!AS9</f>
        <v/>
      </c>
      <c r="AV62">
        <f>'T_TTAFStock'!AT9</f>
        <v/>
      </c>
      <c r="AW62">
        <f>'T_TTAFStock'!AU9</f>
        <v/>
      </c>
      <c r="AX62">
        <f>'T_TTAFStock'!AV9</f>
        <v/>
      </c>
      <c r="AY62">
        <f>'T_TTAFStock'!AW9</f>
        <v/>
      </c>
      <c r="AZ62">
        <f>'T_TTAFStock'!AX9</f>
        <v/>
      </c>
      <c r="BA62">
        <f>'T_TTAFStock'!AY9</f>
        <v/>
      </c>
      <c r="BB62">
        <f>'T_TTAFStock'!AZ9</f>
        <v/>
      </c>
      <c r="BC62">
        <f>'T_TTAFStock'!BA9</f>
        <v/>
      </c>
      <c r="BD62">
        <f>'T_TTAFStock'!BB9</f>
        <v/>
      </c>
      <c r="BE62">
        <f>'T_TTAFStock'!BC9</f>
        <v/>
      </c>
      <c r="BF62">
        <f>'T_TTAFStock'!BD9</f>
        <v/>
      </c>
      <c r="BG62">
        <f>'T_TTAFStock'!BE9</f>
        <v/>
      </c>
      <c r="BH62">
        <f>'T_TTAFStock'!BF9</f>
        <v/>
      </c>
      <c r="BI62">
        <f>'T_TTAFStock'!BG9</f>
        <v/>
      </c>
      <c r="BJ62">
        <f>'T_TTAFStock'!BH9</f>
        <v/>
      </c>
      <c r="BK62">
        <f>'T_TTAFStock'!BI9</f>
        <v/>
      </c>
      <c r="BL62">
        <f>'T_TTAFStock'!BJ9</f>
        <v/>
      </c>
      <c r="BM62">
        <f>'T_TTAFStock'!BK9</f>
        <v/>
      </c>
      <c r="BN62">
        <f>'T_TTAFStock'!BL9</f>
        <v/>
      </c>
      <c r="BO62">
        <f>'T_TTAFStock'!BM9</f>
        <v/>
      </c>
      <c r="BP62">
        <f>'T_TTAFStock'!BN9</f>
        <v/>
      </c>
      <c r="BQ62">
        <f>'T_TTAFStock'!BO9</f>
        <v/>
      </c>
      <c r="BR62">
        <f>'T_TTAFStock'!BP9</f>
        <v/>
      </c>
      <c r="BS62">
        <f>'T_TTAFStock'!BQ9</f>
        <v/>
      </c>
      <c r="BT62">
        <f>'T_TTAFStock'!BR9</f>
        <v/>
      </c>
      <c r="BU62">
        <f>'T_TTAFStock'!BS9</f>
        <v/>
      </c>
      <c r="BV62">
        <f>'T_TTAFStock'!BT9</f>
        <v/>
      </c>
      <c r="BW62">
        <f>'T_TTAFStock'!BU9</f>
        <v/>
      </c>
      <c r="BX62">
        <f>'T_TTAFStock'!BV9</f>
        <v/>
      </c>
      <c r="BY62">
        <f>'T_TTAFStock'!BW9</f>
        <v/>
      </c>
      <c r="BZ62">
        <f>'T_TTAFStock'!BX9</f>
        <v/>
      </c>
      <c r="CA62">
        <f>'T_TTAFStock'!BY9</f>
        <v/>
      </c>
      <c r="CB62">
        <f>'T_TTAFStock'!BZ9</f>
        <v/>
      </c>
      <c r="CC62">
        <f>'T_TTAFStock'!CA9</f>
        <v/>
      </c>
      <c r="CD62">
        <f>'T_TTAFStock'!CB9</f>
        <v/>
      </c>
      <c r="CE62">
        <f>'T_TTAFStock'!CC9</f>
        <v/>
      </c>
      <c r="CF62">
        <f>'T_TTAFStock'!CD9</f>
        <v/>
      </c>
      <c r="CG62">
        <f>'T_TTAFStock'!CE9</f>
        <v/>
      </c>
      <c r="CH62">
        <f>'T_TTAFStock'!CF9</f>
        <v/>
      </c>
      <c r="CI62">
        <f>'T_TTAFStock'!CG9</f>
        <v/>
      </c>
      <c r="CJ62">
        <f>'T_TTAFStock'!CH9</f>
        <v/>
      </c>
      <c r="CK62">
        <f>'T_TTAFStock'!CI9</f>
        <v/>
      </c>
      <c r="CL62">
        <f>'T_TTAFStock'!CJ9</f>
        <v/>
      </c>
      <c r="CM62">
        <f>'T_TTAFStock'!CK9</f>
        <v/>
      </c>
      <c r="CN62">
        <f>'T_TTAFStock'!CL9</f>
        <v/>
      </c>
      <c r="CO62">
        <f>'T_TTAFStock'!CM9</f>
        <v/>
      </c>
      <c r="CP62">
        <f>'T_TTAFStock'!CN9</f>
        <v/>
      </c>
      <c r="CQ62">
        <f>'T_TTAFStock'!CO9</f>
        <v/>
      </c>
      <c r="CR62">
        <f>'T_TTAFStock'!CP9</f>
        <v/>
      </c>
      <c r="CS62">
        <f>'T_TTAFStock'!CQ9</f>
        <v/>
      </c>
      <c r="CT62">
        <f>'T_TTAFStock'!CR9</f>
        <v/>
      </c>
      <c r="CU62">
        <f>'T_TTAFStock'!CS9</f>
        <v/>
      </c>
      <c r="CV62">
        <f>'T_TTAFStock'!CT9</f>
        <v/>
      </c>
      <c r="CW62">
        <f>'T_TTAFStock'!CU9</f>
        <v/>
      </c>
      <c r="CX62">
        <f>'T_TTAFStock'!CV9</f>
        <v/>
      </c>
      <c r="CY62">
        <f>'T_TTAFStock'!CW9</f>
        <v/>
      </c>
      <c r="CZ62">
        <f>'T_TTAFStock'!CX9</f>
        <v/>
      </c>
      <c r="DA62">
        <f>'T_TTAFStock'!CY9</f>
        <v/>
      </c>
      <c r="DB62">
        <f>'T_TTAFStock'!CZ9</f>
        <v/>
      </c>
      <c r="DC62">
        <f>'T_TTAFStock'!DA9</f>
        <v/>
      </c>
    </row>
    <row r="63">
      <c r="B63" t="inlineStr">
        <is>
          <t>自社在庫(実績,kg)</t>
        </is>
      </c>
      <c r="D63">
        <f>'T_SelfStock'!B9</f>
        <v/>
      </c>
      <c r="E63">
        <f>'T_SelfStock'!C9</f>
        <v/>
      </c>
      <c r="F63">
        <f>'T_SelfStock'!D9</f>
        <v/>
      </c>
      <c r="G63">
        <f>'T_SelfStock'!E9</f>
        <v/>
      </c>
      <c r="H63">
        <f>'T_SelfStock'!F9</f>
        <v/>
      </c>
      <c r="I63">
        <f>'T_SelfStock'!G9</f>
        <v/>
      </c>
      <c r="J63">
        <f>'T_SelfStock'!H9</f>
        <v/>
      </c>
      <c r="K63">
        <f>'T_SelfStock'!I9</f>
        <v/>
      </c>
      <c r="L63">
        <f>'T_SelfStock'!J9</f>
        <v/>
      </c>
      <c r="M63">
        <f>'T_SelfStock'!K9</f>
        <v/>
      </c>
      <c r="N63">
        <f>'T_SelfStock'!L9</f>
        <v/>
      </c>
      <c r="O63">
        <f>'T_SelfStock'!M9</f>
        <v/>
      </c>
      <c r="P63">
        <f>'T_SelfStock'!N9</f>
        <v/>
      </c>
      <c r="Q63">
        <f>'T_SelfStock'!O9</f>
        <v/>
      </c>
      <c r="R63">
        <f>'T_SelfStock'!P9</f>
        <v/>
      </c>
      <c r="S63">
        <f>'T_SelfStock'!Q9</f>
        <v/>
      </c>
      <c r="T63">
        <f>'T_SelfStock'!R9</f>
        <v/>
      </c>
      <c r="U63">
        <f>'T_SelfStock'!S9</f>
        <v/>
      </c>
      <c r="V63">
        <f>'T_SelfStock'!T9</f>
        <v/>
      </c>
      <c r="W63">
        <f>'T_SelfStock'!U9</f>
        <v/>
      </c>
      <c r="X63">
        <f>'T_SelfStock'!V9</f>
        <v/>
      </c>
      <c r="Y63">
        <f>'T_SelfStock'!W9</f>
        <v/>
      </c>
      <c r="Z63">
        <f>'T_SelfStock'!X9</f>
        <v/>
      </c>
      <c r="AA63">
        <f>'T_SelfStock'!Y9</f>
        <v/>
      </c>
      <c r="AB63">
        <f>'T_SelfStock'!Z9</f>
        <v/>
      </c>
      <c r="AC63">
        <f>'T_SelfStock'!AA9</f>
        <v/>
      </c>
      <c r="AD63">
        <f>'T_SelfStock'!AB9</f>
        <v/>
      </c>
      <c r="AE63">
        <f>'T_SelfStock'!AC9</f>
        <v/>
      </c>
      <c r="AF63">
        <f>'T_SelfStock'!AD9</f>
        <v/>
      </c>
      <c r="AG63">
        <f>'T_SelfStock'!AE9</f>
        <v/>
      </c>
      <c r="AH63">
        <f>'T_SelfStock'!AF9</f>
        <v/>
      </c>
      <c r="AI63">
        <f>'T_SelfStock'!AG9</f>
        <v/>
      </c>
      <c r="AJ63">
        <f>'T_SelfStock'!AH9</f>
        <v/>
      </c>
      <c r="AK63">
        <f>'T_SelfStock'!AI9</f>
        <v/>
      </c>
      <c r="AL63">
        <f>'T_SelfStock'!AJ9</f>
        <v/>
      </c>
      <c r="AM63">
        <f>'T_SelfStock'!AK9</f>
        <v/>
      </c>
      <c r="AN63">
        <f>'T_SelfStock'!AL9</f>
        <v/>
      </c>
      <c r="AO63">
        <f>'T_SelfStock'!AM9</f>
        <v/>
      </c>
      <c r="AP63">
        <f>'T_SelfStock'!AN9</f>
        <v/>
      </c>
      <c r="AQ63">
        <f>'T_SelfStock'!AO9</f>
        <v/>
      </c>
      <c r="AR63">
        <f>'T_SelfStock'!AP9</f>
        <v/>
      </c>
      <c r="AS63">
        <f>'T_SelfStock'!AQ9</f>
        <v/>
      </c>
      <c r="AT63">
        <f>'T_SelfStock'!AR9</f>
        <v/>
      </c>
      <c r="AU63">
        <f>'T_SelfStock'!AS9</f>
        <v/>
      </c>
      <c r="AV63">
        <f>'T_SelfStock'!AT9</f>
        <v/>
      </c>
      <c r="AW63">
        <f>'T_SelfStock'!AU9</f>
        <v/>
      </c>
      <c r="AX63">
        <f>'T_SelfStock'!AV9</f>
        <v/>
      </c>
      <c r="AY63">
        <f>'T_SelfStock'!AW9</f>
        <v/>
      </c>
      <c r="AZ63">
        <f>'T_SelfStock'!AX9</f>
        <v/>
      </c>
      <c r="BA63">
        <f>'T_SelfStock'!AY9</f>
        <v/>
      </c>
      <c r="BB63">
        <f>'T_SelfStock'!AZ9</f>
        <v/>
      </c>
      <c r="BC63">
        <f>'T_SelfStock'!BA9</f>
        <v/>
      </c>
      <c r="BD63">
        <f>'T_SelfStock'!BB9</f>
        <v/>
      </c>
      <c r="BE63">
        <f>'T_SelfStock'!BC9</f>
        <v/>
      </c>
      <c r="BF63">
        <f>'T_SelfStock'!BD9</f>
        <v/>
      </c>
      <c r="BG63">
        <f>'T_SelfStock'!BE9</f>
        <v/>
      </c>
      <c r="BH63">
        <f>'T_SelfStock'!BF9</f>
        <v/>
      </c>
      <c r="BI63">
        <f>'T_SelfStock'!BG9</f>
        <v/>
      </c>
      <c r="BJ63">
        <f>'T_SelfStock'!BH9</f>
        <v/>
      </c>
      <c r="BK63">
        <f>'T_SelfStock'!BI9</f>
        <v/>
      </c>
      <c r="BL63">
        <f>'T_SelfStock'!BJ9</f>
        <v/>
      </c>
      <c r="BM63">
        <f>'T_SelfStock'!BK9</f>
        <v/>
      </c>
      <c r="BN63">
        <f>'T_SelfStock'!BL9</f>
        <v/>
      </c>
      <c r="BO63">
        <f>'T_SelfStock'!BM9</f>
        <v/>
      </c>
      <c r="BP63">
        <f>'T_SelfStock'!BN9</f>
        <v/>
      </c>
      <c r="BQ63">
        <f>'T_SelfStock'!BO9</f>
        <v/>
      </c>
      <c r="BR63">
        <f>'T_SelfStock'!BP9</f>
        <v/>
      </c>
      <c r="BS63">
        <f>'T_SelfStock'!BQ9</f>
        <v/>
      </c>
      <c r="BT63">
        <f>'T_SelfStock'!BR9</f>
        <v/>
      </c>
      <c r="BU63">
        <f>'T_SelfStock'!BS9</f>
        <v/>
      </c>
      <c r="BV63">
        <f>'T_SelfStock'!BT9</f>
        <v/>
      </c>
      <c r="BW63">
        <f>'T_SelfStock'!BU9</f>
        <v/>
      </c>
      <c r="BX63">
        <f>'T_SelfStock'!BV9</f>
        <v/>
      </c>
      <c r="BY63">
        <f>'T_SelfStock'!BW9</f>
        <v/>
      </c>
      <c r="BZ63">
        <f>'T_SelfStock'!BX9</f>
        <v/>
      </c>
      <c r="CA63">
        <f>'T_SelfStock'!BY9</f>
        <v/>
      </c>
      <c r="CB63">
        <f>'T_SelfStock'!BZ9</f>
        <v/>
      </c>
      <c r="CC63">
        <f>'T_SelfStock'!CA9</f>
        <v/>
      </c>
      <c r="CD63">
        <f>'T_SelfStock'!CB9</f>
        <v/>
      </c>
      <c r="CE63">
        <f>'T_SelfStock'!CC9</f>
        <v/>
      </c>
      <c r="CF63">
        <f>'T_SelfStock'!CD9</f>
        <v/>
      </c>
      <c r="CG63">
        <f>'T_SelfStock'!CE9</f>
        <v/>
      </c>
      <c r="CH63">
        <f>'T_SelfStock'!CF9</f>
        <v/>
      </c>
      <c r="CI63">
        <f>'T_SelfStock'!CG9</f>
        <v/>
      </c>
      <c r="CJ63">
        <f>'T_SelfStock'!CH9</f>
        <v/>
      </c>
      <c r="CK63">
        <f>'T_SelfStock'!CI9</f>
        <v/>
      </c>
      <c r="CL63">
        <f>'T_SelfStock'!CJ9</f>
        <v/>
      </c>
      <c r="CM63">
        <f>'T_SelfStock'!CK9</f>
        <v/>
      </c>
      <c r="CN63">
        <f>'T_SelfStock'!CL9</f>
        <v/>
      </c>
      <c r="CO63">
        <f>'T_SelfStock'!CM9</f>
        <v/>
      </c>
      <c r="CP63">
        <f>'T_SelfStock'!CN9</f>
        <v/>
      </c>
      <c r="CQ63">
        <f>'T_SelfStock'!CO9</f>
        <v/>
      </c>
      <c r="CR63">
        <f>'T_SelfStock'!CP9</f>
        <v/>
      </c>
      <c r="CS63">
        <f>'T_SelfStock'!CQ9</f>
        <v/>
      </c>
      <c r="CT63">
        <f>'T_SelfStock'!CR9</f>
        <v/>
      </c>
      <c r="CU63">
        <f>'T_SelfStock'!CS9</f>
        <v/>
      </c>
      <c r="CV63">
        <f>'T_SelfStock'!CT9</f>
        <v/>
      </c>
      <c r="CW63">
        <f>'T_SelfStock'!CU9</f>
        <v/>
      </c>
      <c r="CX63">
        <f>'T_SelfStock'!CV9</f>
        <v/>
      </c>
      <c r="CY63">
        <f>'T_SelfStock'!CW9</f>
        <v/>
      </c>
      <c r="CZ63">
        <f>'T_SelfStock'!CX9</f>
        <v/>
      </c>
      <c r="DA63">
        <f>'T_SelfStock'!CY9</f>
        <v/>
      </c>
      <c r="DB63">
        <f>'T_SelfStock'!CZ9</f>
        <v/>
      </c>
      <c r="DC63">
        <f>'T_SelfStock'!DA9</f>
        <v/>
      </c>
    </row>
    <row r="64">
      <c r="B64" t="inlineStr">
        <is>
          <t>Order(発注予定,kg)</t>
        </is>
      </c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  <c r="AQ64" s="23" t="n"/>
      <c r="AR64" s="23" t="n"/>
      <c r="AS64" s="23" t="n"/>
      <c r="AT64" s="23" t="n"/>
      <c r="AU64" s="23" t="n"/>
      <c r="AV64" s="23" t="n"/>
      <c r="AW64" s="23" t="n"/>
      <c r="AX64" s="23" t="n"/>
      <c r="AY64" s="23" t="n"/>
      <c r="AZ64" s="23" t="n"/>
      <c r="BA64" s="23" t="n"/>
      <c r="BB64" s="23" t="n"/>
      <c r="BC64" s="23" t="n"/>
      <c r="BD64" s="23" t="n"/>
      <c r="BE64" s="23" t="n"/>
      <c r="BF64" s="23" t="n"/>
      <c r="BG64" s="23" t="n"/>
      <c r="BH64" s="23" t="n"/>
      <c r="BI64" s="23" t="n"/>
      <c r="BJ64" s="23" t="n"/>
      <c r="BK64" s="23" t="n"/>
      <c r="BL64" s="23" t="n"/>
      <c r="BM64" s="23" t="n"/>
      <c r="BN64" s="23" t="n"/>
      <c r="BO64" s="23" t="n"/>
      <c r="BP64" s="23" t="n"/>
      <c r="BQ64" s="23" t="n"/>
      <c r="BR64" s="23" t="n"/>
      <c r="BS64" s="23" t="n"/>
      <c r="BT64" s="23" t="n"/>
      <c r="BU64" s="23" t="n"/>
      <c r="BV64" s="23" t="n"/>
      <c r="BW64" s="23" t="n"/>
      <c r="BX64" s="23" t="n"/>
      <c r="BY64" s="23" t="n"/>
      <c r="BZ64" s="23" t="n"/>
      <c r="CA64" s="23" t="n"/>
      <c r="CB64" s="23" t="n"/>
      <c r="CC64" s="23" t="n"/>
      <c r="CD64" s="23" t="n"/>
      <c r="CE64" s="23" t="n"/>
      <c r="CF64" s="23" t="n"/>
      <c r="CG64" s="23" t="n"/>
      <c r="CH64" s="23" t="n"/>
      <c r="CI64" s="23" t="n"/>
      <c r="CJ64" s="23" t="n"/>
      <c r="CK64" s="23" t="n"/>
      <c r="CL64" s="23" t="n"/>
      <c r="CM64" s="23" t="n"/>
      <c r="CN64" s="23" t="n"/>
      <c r="CO64" s="23" t="n"/>
      <c r="CP64" s="23" t="n"/>
      <c r="CQ64" s="23" t="n"/>
      <c r="CR64" s="23" t="n"/>
      <c r="CS64" s="23" t="n"/>
      <c r="CT64" s="23" t="n"/>
      <c r="CU64" s="23" t="n"/>
      <c r="CV64" s="23" t="n"/>
      <c r="CW64" s="23" t="n"/>
      <c r="CX64" s="23" t="n"/>
      <c r="CY64" s="23" t="n"/>
      <c r="CZ64" s="23" t="n"/>
      <c r="DA64" s="23" t="n"/>
      <c r="DB64" s="23" t="n"/>
      <c r="DC64" s="23" t="n"/>
      <c r="DE64" s="12" t="inlineStr">
        <is>
          <t>9RN</t>
        </is>
      </c>
    </row>
    <row r="65">
      <c r="B65" s="24" t="inlineStr">
        <is>
          <t>PO_No</t>
        </is>
      </c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  <c r="AJ65" s="25" t="n"/>
      <c r="AK65" s="25" t="n"/>
      <c r="AL65" s="25" t="n"/>
      <c r="AM65" s="25" t="n"/>
      <c r="AN65" s="25" t="n"/>
      <c r="AO65" s="25" t="n"/>
      <c r="AP65" s="25" t="n"/>
      <c r="AQ65" s="25" t="n"/>
      <c r="AR65" s="25" t="n"/>
      <c r="AS65" s="25" t="n"/>
      <c r="AT65" s="25" t="n"/>
      <c r="AU65" s="25" t="n"/>
      <c r="AV65" s="25" t="n"/>
      <c r="AW65" s="25" t="n"/>
      <c r="AX65" s="25" t="n"/>
      <c r="AY65" s="25" t="n"/>
      <c r="AZ65" s="25" t="n"/>
      <c r="BA65" s="25" t="n"/>
      <c r="BB65" s="25" t="n"/>
      <c r="BC65" s="25" t="n"/>
      <c r="BD65" s="25" t="n"/>
      <c r="BE65" s="25" t="n"/>
      <c r="BF65" s="25" t="n"/>
      <c r="BG65" s="25" t="n"/>
      <c r="BH65" s="25" t="n"/>
      <c r="BI65" s="25" t="n"/>
      <c r="BJ65" s="25" t="n"/>
      <c r="BK65" s="25" t="n"/>
      <c r="BL65" s="25" t="n"/>
      <c r="BM65" s="25" t="n"/>
      <c r="BN65" s="25" t="n"/>
      <c r="BO65" s="25" t="n"/>
      <c r="BP65" s="25" t="n"/>
      <c r="BQ65" s="25" t="n"/>
      <c r="BR65" s="25" t="n"/>
      <c r="BS65" s="25" t="n"/>
      <c r="BT65" s="25" t="n"/>
      <c r="BU65" s="25" t="n"/>
      <c r="BV65" s="25" t="n"/>
      <c r="BW65" s="25" t="n"/>
      <c r="BX65" s="25" t="n"/>
      <c r="BY65" s="25" t="n"/>
      <c r="BZ65" s="25" t="n"/>
      <c r="CA65" s="25" t="n"/>
      <c r="CB65" s="25" t="n"/>
      <c r="CC65" s="25" t="n"/>
      <c r="CD65" s="25" t="n"/>
      <c r="CE65" s="25" t="n"/>
      <c r="CF65" s="25" t="n"/>
      <c r="CG65" s="25" t="n"/>
      <c r="CH65" s="25" t="n"/>
      <c r="CI65" s="25" t="n"/>
      <c r="CJ65" s="25" t="n"/>
      <c r="CK65" s="25" t="n"/>
      <c r="CL65" s="25" t="n"/>
      <c r="CM65" s="25" t="n"/>
      <c r="CN65" s="25" t="n"/>
      <c r="CO65" s="25" t="n"/>
      <c r="CP65" s="25" t="n"/>
      <c r="CQ65" s="25" t="n"/>
      <c r="CR65" s="25" t="n"/>
      <c r="CS65" s="25" t="n"/>
      <c r="CT65" s="25" t="n"/>
      <c r="CU65" s="25" t="n"/>
      <c r="CV65" s="25" t="n"/>
      <c r="CW65" s="25" t="n"/>
      <c r="CX65" s="25" t="n"/>
      <c r="CY65" s="25" t="n"/>
      <c r="CZ65" s="25" t="n"/>
      <c r="DA65" s="25" t="n"/>
      <c r="DB65" s="25" t="n"/>
      <c r="DC65" s="25" t="n"/>
    </row>
    <row r="66">
      <c r="B66" s="5" t="inlineStr">
        <is>
          <t>合計在庫(週末時点,kg)</t>
        </is>
      </c>
      <c r="D66">
        <f>'Grid_Stock'!B5</f>
        <v/>
      </c>
      <c r="E66">
        <f>'Grid_Stock'!C5</f>
        <v/>
      </c>
      <c r="F66">
        <f>'Grid_Stock'!D5</f>
        <v/>
      </c>
      <c r="G66">
        <f>'Grid_Stock'!E5</f>
        <v/>
      </c>
      <c r="H66">
        <f>'Grid_Stock'!F5</f>
        <v/>
      </c>
      <c r="I66">
        <f>'Grid_Stock'!G5</f>
        <v/>
      </c>
      <c r="J66">
        <f>'Grid_Stock'!H5</f>
        <v/>
      </c>
      <c r="K66">
        <f>'Grid_Stock'!I5</f>
        <v/>
      </c>
      <c r="L66">
        <f>'Grid_Stock'!J5</f>
        <v/>
      </c>
      <c r="M66">
        <f>'Grid_Stock'!K5</f>
        <v/>
      </c>
      <c r="N66">
        <f>'Grid_Stock'!L5</f>
        <v/>
      </c>
      <c r="O66">
        <f>'Grid_Stock'!M5</f>
        <v/>
      </c>
      <c r="P66">
        <f>'Grid_Stock'!N5</f>
        <v/>
      </c>
      <c r="Q66">
        <f>'Grid_Stock'!O5</f>
        <v/>
      </c>
      <c r="R66">
        <f>'Grid_Stock'!P5</f>
        <v/>
      </c>
      <c r="S66">
        <f>'Grid_Stock'!Q5</f>
        <v/>
      </c>
      <c r="T66">
        <f>'Grid_Stock'!R5</f>
        <v/>
      </c>
      <c r="U66">
        <f>'Grid_Stock'!S5</f>
        <v/>
      </c>
      <c r="V66">
        <f>'Grid_Stock'!T5</f>
        <v/>
      </c>
      <c r="W66">
        <f>'Grid_Stock'!U5</f>
        <v/>
      </c>
      <c r="X66">
        <f>'Grid_Stock'!V5</f>
        <v/>
      </c>
      <c r="Y66">
        <f>'Grid_Stock'!W5</f>
        <v/>
      </c>
      <c r="Z66">
        <f>'Grid_Stock'!X5</f>
        <v/>
      </c>
      <c r="AA66">
        <f>'Grid_Stock'!Y5</f>
        <v/>
      </c>
      <c r="AB66">
        <f>'Grid_Stock'!Z5</f>
        <v/>
      </c>
      <c r="AC66">
        <f>'Grid_Stock'!AA5</f>
        <v/>
      </c>
      <c r="AD66">
        <f>'Grid_Stock'!AB5</f>
        <v/>
      </c>
      <c r="AE66">
        <f>'Grid_Stock'!AC5</f>
        <v/>
      </c>
      <c r="AF66">
        <f>'Grid_Stock'!AD5</f>
        <v/>
      </c>
      <c r="AG66">
        <f>'Grid_Stock'!AE5</f>
        <v/>
      </c>
      <c r="AH66">
        <f>'Grid_Stock'!AF5</f>
        <v/>
      </c>
      <c r="AI66">
        <f>'Grid_Stock'!AG5</f>
        <v/>
      </c>
      <c r="AJ66">
        <f>'Grid_Stock'!AH5</f>
        <v/>
      </c>
      <c r="AK66">
        <f>'Grid_Stock'!AI5</f>
        <v/>
      </c>
      <c r="AL66">
        <f>'Grid_Stock'!AJ5</f>
        <v/>
      </c>
      <c r="AM66">
        <f>'Grid_Stock'!AK5</f>
        <v/>
      </c>
      <c r="AN66">
        <f>'Grid_Stock'!AL5</f>
        <v/>
      </c>
      <c r="AO66">
        <f>'Grid_Stock'!AM5</f>
        <v/>
      </c>
      <c r="AP66">
        <f>'Grid_Stock'!AN5</f>
        <v/>
      </c>
      <c r="AQ66">
        <f>'Grid_Stock'!AO5</f>
        <v/>
      </c>
      <c r="AR66">
        <f>'Grid_Stock'!AP5</f>
        <v/>
      </c>
      <c r="AS66">
        <f>'Grid_Stock'!AQ5</f>
        <v/>
      </c>
      <c r="AT66">
        <f>'Grid_Stock'!AR5</f>
        <v/>
      </c>
      <c r="AU66">
        <f>'Grid_Stock'!AS5</f>
        <v/>
      </c>
      <c r="AV66">
        <f>'Grid_Stock'!AT5</f>
        <v/>
      </c>
      <c r="AW66">
        <f>'Grid_Stock'!AU5</f>
        <v/>
      </c>
      <c r="AX66">
        <f>'Grid_Stock'!AV5</f>
        <v/>
      </c>
      <c r="AY66">
        <f>'Grid_Stock'!AW5</f>
        <v/>
      </c>
      <c r="AZ66">
        <f>'Grid_Stock'!AX5</f>
        <v/>
      </c>
      <c r="BA66">
        <f>'Grid_Stock'!AY5</f>
        <v/>
      </c>
      <c r="BB66">
        <f>'Grid_Stock'!AZ5</f>
        <v/>
      </c>
      <c r="BC66">
        <f>'Grid_Stock'!BA5</f>
        <v/>
      </c>
      <c r="BD66">
        <f>'Grid_Stock'!BB5</f>
        <v/>
      </c>
      <c r="BE66">
        <f>'Grid_Stock'!BC5</f>
        <v/>
      </c>
      <c r="BF66">
        <f>'Grid_Stock'!BD5</f>
        <v/>
      </c>
      <c r="BG66">
        <f>'Grid_Stock'!BE5</f>
        <v/>
      </c>
      <c r="BH66">
        <f>'Grid_Stock'!BF5</f>
        <v/>
      </c>
      <c r="BI66">
        <f>'Grid_Stock'!BG5</f>
        <v/>
      </c>
      <c r="BJ66">
        <f>'Grid_Stock'!BH5</f>
        <v/>
      </c>
      <c r="BK66">
        <f>'Grid_Stock'!BI5</f>
        <v/>
      </c>
      <c r="BL66">
        <f>'Grid_Stock'!BJ5</f>
        <v/>
      </c>
      <c r="BM66">
        <f>'Grid_Stock'!BK5</f>
        <v/>
      </c>
      <c r="BN66">
        <f>'Grid_Stock'!BL5</f>
        <v/>
      </c>
      <c r="BO66">
        <f>'Grid_Stock'!BM5</f>
        <v/>
      </c>
      <c r="BP66">
        <f>'Grid_Stock'!BN5</f>
        <v/>
      </c>
      <c r="BQ66">
        <f>'Grid_Stock'!BO5</f>
        <v/>
      </c>
      <c r="BR66">
        <f>'Grid_Stock'!BP5</f>
        <v/>
      </c>
      <c r="BS66">
        <f>'Grid_Stock'!BQ5</f>
        <v/>
      </c>
      <c r="BT66">
        <f>'Grid_Stock'!BR5</f>
        <v/>
      </c>
      <c r="BU66">
        <f>'Grid_Stock'!BS5</f>
        <v/>
      </c>
      <c r="BV66">
        <f>'Grid_Stock'!BT5</f>
        <v/>
      </c>
      <c r="BW66">
        <f>'Grid_Stock'!BU5</f>
        <v/>
      </c>
      <c r="BX66">
        <f>'Grid_Stock'!BV5</f>
        <v/>
      </c>
      <c r="BY66">
        <f>'Grid_Stock'!BW5</f>
        <v/>
      </c>
      <c r="BZ66">
        <f>'Grid_Stock'!BX5</f>
        <v/>
      </c>
      <c r="CA66">
        <f>'Grid_Stock'!BY5</f>
        <v/>
      </c>
      <c r="CB66">
        <f>'Grid_Stock'!BZ5</f>
        <v/>
      </c>
      <c r="CC66">
        <f>'Grid_Stock'!CA5</f>
        <v/>
      </c>
      <c r="CD66">
        <f>'Grid_Stock'!CB5</f>
        <v/>
      </c>
      <c r="CE66">
        <f>'Grid_Stock'!CC5</f>
        <v/>
      </c>
      <c r="CF66">
        <f>'Grid_Stock'!CD5</f>
        <v/>
      </c>
      <c r="CG66">
        <f>'Grid_Stock'!CE5</f>
        <v/>
      </c>
      <c r="CH66">
        <f>'Grid_Stock'!CF5</f>
        <v/>
      </c>
      <c r="CI66">
        <f>'Grid_Stock'!CG5</f>
        <v/>
      </c>
      <c r="CJ66">
        <f>'Grid_Stock'!CH5</f>
        <v/>
      </c>
      <c r="CK66">
        <f>'Grid_Stock'!CI5</f>
        <v/>
      </c>
      <c r="CL66">
        <f>'Grid_Stock'!CJ5</f>
        <v/>
      </c>
      <c r="CM66">
        <f>'Grid_Stock'!CK5</f>
        <v/>
      </c>
      <c r="CN66">
        <f>'Grid_Stock'!CL5</f>
        <v/>
      </c>
      <c r="CO66">
        <f>'Grid_Stock'!CM5</f>
        <v/>
      </c>
      <c r="CP66">
        <f>'Grid_Stock'!CN5</f>
        <v/>
      </c>
      <c r="CQ66">
        <f>'Grid_Stock'!CO5</f>
        <v/>
      </c>
      <c r="CR66">
        <f>'Grid_Stock'!CP5</f>
        <v/>
      </c>
      <c r="CS66">
        <f>'Grid_Stock'!CQ5</f>
        <v/>
      </c>
      <c r="CT66">
        <f>'Grid_Stock'!CR5</f>
        <v/>
      </c>
      <c r="CU66">
        <f>'Grid_Stock'!CS5</f>
        <v/>
      </c>
      <c r="CV66">
        <f>'Grid_Stock'!CT5</f>
        <v/>
      </c>
      <c r="CW66">
        <f>'Grid_Stock'!CU5</f>
        <v/>
      </c>
      <c r="CX66">
        <f>'Grid_Stock'!CV5</f>
        <v/>
      </c>
      <c r="CY66">
        <f>'Grid_Stock'!CW5</f>
        <v/>
      </c>
      <c r="CZ66">
        <f>'Grid_Stock'!CX5</f>
        <v/>
      </c>
      <c r="DA66">
        <f>'Grid_Stock'!CY5</f>
        <v/>
      </c>
      <c r="DB66">
        <f>'Grid_Stock'!CZ5</f>
        <v/>
      </c>
      <c r="DC66">
        <f>'Grid_Stock'!DA5</f>
        <v/>
      </c>
    </row>
    <row r="67">
      <c r="B67" s="26" t="inlineStr">
        <is>
          <t>（発注の目安はDashboardの基準在庫[下限/上限]と色分けを参照）</t>
        </is>
      </c>
    </row>
    <row r="69">
      <c r="A69" s="21" t="inlineStr">
        <is>
          <t>7CL</t>
        </is>
      </c>
      <c r="B69" s="21" t="inlineStr">
        <is>
          <t>Substrate NGK TP167-103-096xT4</t>
        </is>
      </c>
      <c r="C69" s="22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  <c r="AR69" s="21" t="n"/>
      <c r="AS69" s="21" t="n"/>
      <c r="AT69" s="21" t="n"/>
      <c r="AU69" s="21" t="n"/>
      <c r="AV69" s="21" t="n"/>
      <c r="AW69" s="21" t="n"/>
      <c r="AX69" s="21" t="n"/>
      <c r="AY69" s="21" t="n"/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21" t="n"/>
      <c r="BK69" s="21" t="n"/>
      <c r="BL69" s="21" t="n"/>
      <c r="BM69" s="21" t="n"/>
      <c r="BN69" s="21" t="n"/>
      <c r="BO69" s="21" t="n"/>
      <c r="BP69" s="21" t="n"/>
      <c r="BQ69" s="21" t="n"/>
      <c r="BR69" s="21" t="n"/>
      <c r="BS69" s="21" t="n"/>
      <c r="BT69" s="21" t="n"/>
      <c r="BU69" s="21" t="n"/>
      <c r="BV69" s="21" t="n"/>
      <c r="BW69" s="21" t="n"/>
      <c r="BX69" s="21" t="n"/>
      <c r="BY69" s="21" t="n"/>
      <c r="BZ69" s="21" t="n"/>
      <c r="CA69" s="21" t="n"/>
      <c r="CB69" s="21" t="n"/>
      <c r="CC69" s="21" t="n"/>
      <c r="CD69" s="21" t="n"/>
      <c r="CE69" s="21" t="n"/>
      <c r="CF69" s="21" t="n"/>
      <c r="CG69" s="21" t="n"/>
      <c r="CH69" s="21" t="n"/>
      <c r="CI69" s="21" t="n"/>
      <c r="CJ69" s="21" t="n"/>
      <c r="CK69" s="21" t="n"/>
      <c r="CL69" s="21" t="n"/>
      <c r="CM69" s="21" t="n"/>
      <c r="CN69" s="21" t="n"/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</row>
    <row r="70">
      <c r="B70" t="inlineStr">
        <is>
          <t>F0220</t>
        </is>
      </c>
      <c r="C70" t="inlineStr">
        <is>
          <t>No. of batches</t>
        </is>
      </c>
      <c r="D70">
        <f>IFERROR(INDEX(PP_Grid[#Data],$DD70,2),0)</f>
        <v/>
      </c>
      <c r="E70">
        <f>IFERROR(INDEX(PP_Grid[#Data],$DD70,3),0)</f>
        <v/>
      </c>
      <c r="F70">
        <f>IFERROR(INDEX(PP_Grid[#Data],$DD70,4),0)</f>
        <v/>
      </c>
      <c r="G70">
        <f>IFERROR(INDEX(PP_Grid[#Data],$DD70,5),0)</f>
        <v/>
      </c>
      <c r="H70">
        <f>IFERROR(INDEX(PP_Grid[#Data],$DD70,6),0)</f>
        <v/>
      </c>
      <c r="I70">
        <f>IFERROR(INDEX(PP_Grid[#Data],$DD70,7),0)</f>
        <v/>
      </c>
      <c r="J70">
        <f>IFERROR(INDEX(PP_Grid[#Data],$DD70,8),0)</f>
        <v/>
      </c>
      <c r="K70">
        <f>IFERROR(INDEX(PP_Grid[#Data],$DD70,9),0)</f>
        <v/>
      </c>
      <c r="L70">
        <f>IFERROR(INDEX(PP_Grid[#Data],$DD70,10),0)</f>
        <v/>
      </c>
      <c r="M70">
        <f>IFERROR(INDEX(PP_Grid[#Data],$DD70,11),0)</f>
        <v/>
      </c>
      <c r="N70">
        <f>IFERROR(INDEX(PP_Grid[#Data],$DD70,12),0)</f>
        <v/>
      </c>
      <c r="O70">
        <f>IFERROR(INDEX(PP_Grid[#Data],$DD70,13),0)</f>
        <v/>
      </c>
      <c r="P70">
        <f>IFERROR(INDEX(PP_Grid[#Data],$DD70,14),0)</f>
        <v/>
      </c>
      <c r="Q70">
        <f>IFERROR(INDEX(PP_Grid[#Data],$DD70,15),0)</f>
        <v/>
      </c>
      <c r="R70">
        <f>IFERROR(INDEX(PP_Grid[#Data],$DD70,16),0)</f>
        <v/>
      </c>
      <c r="S70">
        <f>IFERROR(INDEX(PP_Grid[#Data],$DD70,17),0)</f>
        <v/>
      </c>
      <c r="T70">
        <f>IFERROR(INDEX(PP_Grid[#Data],$DD70,18),0)</f>
        <v/>
      </c>
      <c r="U70">
        <f>IFERROR(INDEX(PP_Grid[#Data],$DD70,19),0)</f>
        <v/>
      </c>
      <c r="V70">
        <f>IFERROR(INDEX(PP_Grid[#Data],$DD70,20),0)</f>
        <v/>
      </c>
      <c r="W70">
        <f>IFERROR(INDEX(PP_Grid[#Data],$DD70,21),0)</f>
        <v/>
      </c>
      <c r="X70">
        <f>IFERROR(INDEX(PP_Grid[#Data],$DD70,22),0)</f>
        <v/>
      </c>
      <c r="Y70">
        <f>IFERROR(INDEX(PP_Grid[#Data],$DD70,23),0)</f>
        <v/>
      </c>
      <c r="Z70">
        <f>IFERROR(INDEX(PP_Grid[#Data],$DD70,24),0)</f>
        <v/>
      </c>
      <c r="AA70">
        <f>IFERROR(INDEX(PP_Grid[#Data],$DD70,25),0)</f>
        <v/>
      </c>
      <c r="AB70">
        <f>IFERROR(INDEX(PP_Grid[#Data],$DD70,26),0)</f>
        <v/>
      </c>
      <c r="AC70">
        <f>IFERROR(INDEX(PP_Grid[#Data],$DD70,27),0)</f>
        <v/>
      </c>
      <c r="AD70">
        <f>IFERROR(INDEX(PP_Grid[#Data],$DD70,28),0)</f>
        <v/>
      </c>
      <c r="AE70">
        <f>IFERROR(INDEX(PP_Grid[#Data],$DD70,29),0)</f>
        <v/>
      </c>
      <c r="AF70">
        <f>IFERROR(INDEX(PP_Grid[#Data],$DD70,30),0)</f>
        <v/>
      </c>
      <c r="AG70">
        <f>IFERROR(INDEX(PP_Grid[#Data],$DD70,31),0)</f>
        <v/>
      </c>
      <c r="AH70">
        <f>IFERROR(INDEX(PP_Grid[#Data],$DD70,32),0)</f>
        <v/>
      </c>
      <c r="AI70">
        <f>IFERROR(INDEX(PP_Grid[#Data],$DD70,33),0)</f>
        <v/>
      </c>
      <c r="AJ70">
        <f>IFERROR(INDEX(PP_Grid[#Data],$DD70,34),0)</f>
        <v/>
      </c>
      <c r="AK70">
        <f>IFERROR(INDEX(PP_Grid[#Data],$DD70,35),0)</f>
        <v/>
      </c>
      <c r="AL70">
        <f>IFERROR(INDEX(PP_Grid[#Data],$DD70,36),0)</f>
        <v/>
      </c>
      <c r="AM70">
        <f>IFERROR(INDEX(PP_Grid[#Data],$DD70,37),0)</f>
        <v/>
      </c>
      <c r="AN70">
        <f>IFERROR(INDEX(PP_Grid[#Data],$DD70,38),0)</f>
        <v/>
      </c>
      <c r="AO70">
        <f>IFERROR(INDEX(PP_Grid[#Data],$DD70,39),0)</f>
        <v/>
      </c>
      <c r="AP70">
        <f>IFERROR(INDEX(PP_Grid[#Data],$DD70,40),0)</f>
        <v/>
      </c>
      <c r="AQ70">
        <f>IFERROR(INDEX(PP_Grid[#Data],$DD70,41),0)</f>
        <v/>
      </c>
      <c r="AR70">
        <f>IFERROR(INDEX(PP_Grid[#Data],$DD70,42),0)</f>
        <v/>
      </c>
      <c r="AS70">
        <f>IFERROR(INDEX(PP_Grid[#Data],$DD70,43),0)</f>
        <v/>
      </c>
      <c r="AT70">
        <f>IFERROR(INDEX(PP_Grid[#Data],$DD70,44),0)</f>
        <v/>
      </c>
      <c r="AU70">
        <f>IFERROR(INDEX(PP_Grid[#Data],$DD70,45),0)</f>
        <v/>
      </c>
      <c r="AV70">
        <f>IFERROR(INDEX(PP_Grid[#Data],$DD70,46),0)</f>
        <v/>
      </c>
      <c r="AW70">
        <f>IFERROR(INDEX(PP_Grid[#Data],$DD70,47),0)</f>
        <v/>
      </c>
      <c r="AX70">
        <f>IFERROR(INDEX(PP_Grid[#Data],$DD70,48),0)</f>
        <v/>
      </c>
      <c r="AY70">
        <f>IFERROR(INDEX(PP_Grid[#Data],$DD70,49),0)</f>
        <v/>
      </c>
      <c r="AZ70">
        <f>IFERROR(INDEX(PP_Grid[#Data],$DD70,50),0)</f>
        <v/>
      </c>
      <c r="BA70">
        <f>IFERROR(INDEX(PP_Grid[#Data],$DD70,51),0)</f>
        <v/>
      </c>
      <c r="BB70">
        <f>IFERROR(INDEX(PP_Grid[#Data],$DD70,52),0)</f>
        <v/>
      </c>
      <c r="BC70">
        <f>IFERROR(INDEX(PP_Grid[#Data],$DD70,53),0)</f>
        <v/>
      </c>
      <c r="BD70">
        <f>IFERROR(INDEX(PP_Grid[#Data],$DD70,54),0)</f>
        <v/>
      </c>
      <c r="BE70">
        <f>IFERROR(INDEX(PP_Grid[#Data],$DD70,55),0)</f>
        <v/>
      </c>
      <c r="BF70">
        <f>IFERROR(INDEX(PP_Grid[#Data],$DD70,56),0)</f>
        <v/>
      </c>
      <c r="BG70">
        <f>IFERROR(INDEX(PP_Grid[#Data],$DD70,57),0)</f>
        <v/>
      </c>
      <c r="BH70">
        <f>IFERROR(INDEX(PP_Grid[#Data],$DD70,58),0)</f>
        <v/>
      </c>
      <c r="BI70">
        <f>IFERROR(INDEX(PP_Grid[#Data],$DD70,59),0)</f>
        <v/>
      </c>
      <c r="BJ70">
        <f>IFERROR(INDEX(PP_Grid[#Data],$DD70,60),0)</f>
        <v/>
      </c>
      <c r="BK70">
        <f>IFERROR(INDEX(PP_Grid[#Data],$DD70,61),0)</f>
        <v/>
      </c>
      <c r="BL70">
        <f>IFERROR(INDEX(PP_Grid[#Data],$DD70,62),0)</f>
        <v/>
      </c>
      <c r="BM70">
        <f>IFERROR(INDEX(PP_Grid[#Data],$DD70,63),0)</f>
        <v/>
      </c>
      <c r="BN70">
        <f>IFERROR(INDEX(PP_Grid[#Data],$DD70,64),0)</f>
        <v/>
      </c>
      <c r="BO70">
        <f>IFERROR(INDEX(PP_Grid[#Data],$DD70,65),0)</f>
        <v/>
      </c>
      <c r="BP70">
        <f>IFERROR(INDEX(PP_Grid[#Data],$DD70,66),0)</f>
        <v/>
      </c>
      <c r="BQ70">
        <f>IFERROR(INDEX(PP_Grid[#Data],$DD70,67),0)</f>
        <v/>
      </c>
      <c r="BR70">
        <f>IFERROR(INDEX(PP_Grid[#Data],$DD70,68),0)</f>
        <v/>
      </c>
      <c r="BS70">
        <f>IFERROR(INDEX(PP_Grid[#Data],$DD70,69),0)</f>
        <v/>
      </c>
      <c r="BT70">
        <f>IFERROR(INDEX(PP_Grid[#Data],$DD70,70),0)</f>
        <v/>
      </c>
      <c r="BU70">
        <f>IFERROR(INDEX(PP_Grid[#Data],$DD70,71),0)</f>
        <v/>
      </c>
      <c r="BV70">
        <f>IFERROR(INDEX(PP_Grid[#Data],$DD70,72),0)</f>
        <v/>
      </c>
      <c r="BW70">
        <f>IFERROR(INDEX(PP_Grid[#Data],$DD70,73),0)</f>
        <v/>
      </c>
      <c r="BX70">
        <f>IFERROR(INDEX(PP_Grid[#Data],$DD70,74),0)</f>
        <v/>
      </c>
      <c r="BY70">
        <f>IFERROR(INDEX(PP_Grid[#Data],$DD70,75),0)</f>
        <v/>
      </c>
      <c r="BZ70">
        <f>IFERROR(INDEX(PP_Grid[#Data],$DD70,76),0)</f>
        <v/>
      </c>
      <c r="CA70">
        <f>IFERROR(INDEX(PP_Grid[#Data],$DD70,77),0)</f>
        <v/>
      </c>
      <c r="CB70">
        <f>IFERROR(INDEX(PP_Grid[#Data],$DD70,78),0)</f>
        <v/>
      </c>
      <c r="CC70">
        <f>IFERROR(INDEX(PP_Grid[#Data],$DD70,79),0)</f>
        <v/>
      </c>
      <c r="CD70">
        <f>IFERROR(INDEX(PP_Grid[#Data],$DD70,80),0)</f>
        <v/>
      </c>
      <c r="CE70">
        <f>IFERROR(INDEX(PP_Grid[#Data],$DD70,81),0)</f>
        <v/>
      </c>
      <c r="CF70">
        <f>IFERROR(INDEX(PP_Grid[#Data],$DD70,82),0)</f>
        <v/>
      </c>
      <c r="CG70">
        <f>IFERROR(INDEX(PP_Grid[#Data],$DD70,83),0)</f>
        <v/>
      </c>
      <c r="CH70">
        <f>IFERROR(INDEX(PP_Grid[#Data],$DD70,84),0)</f>
        <v/>
      </c>
      <c r="CI70">
        <f>IFERROR(INDEX(PP_Grid[#Data],$DD70,85),0)</f>
        <v/>
      </c>
      <c r="CJ70">
        <f>IFERROR(INDEX(PP_Grid[#Data],$DD70,86),0)</f>
        <v/>
      </c>
      <c r="CK70">
        <f>IFERROR(INDEX(PP_Grid[#Data],$DD70,87),0)</f>
        <v/>
      </c>
      <c r="CL70">
        <f>IFERROR(INDEX(PP_Grid[#Data],$DD70,88),0)</f>
        <v/>
      </c>
      <c r="CM70">
        <f>IFERROR(INDEX(PP_Grid[#Data],$DD70,89),0)</f>
        <v/>
      </c>
      <c r="CN70">
        <f>IFERROR(INDEX(PP_Grid[#Data],$DD70,90),0)</f>
        <v/>
      </c>
      <c r="CO70">
        <f>IFERROR(INDEX(PP_Grid[#Data],$DD70,91),0)</f>
        <v/>
      </c>
      <c r="CP70">
        <f>IFERROR(INDEX(PP_Grid[#Data],$DD70,92),0)</f>
        <v/>
      </c>
      <c r="CQ70">
        <f>IFERROR(INDEX(PP_Grid[#Data],$DD70,93),0)</f>
        <v/>
      </c>
      <c r="CR70">
        <f>IFERROR(INDEX(PP_Grid[#Data],$DD70,94),0)</f>
        <v/>
      </c>
      <c r="CS70">
        <f>IFERROR(INDEX(PP_Grid[#Data],$DD70,95),0)</f>
        <v/>
      </c>
      <c r="CT70">
        <f>IFERROR(INDEX(PP_Grid[#Data],$DD70,96),0)</f>
        <v/>
      </c>
      <c r="CU70">
        <f>IFERROR(INDEX(PP_Grid[#Data],$DD70,97),0)</f>
        <v/>
      </c>
      <c r="CV70">
        <f>IFERROR(INDEX(PP_Grid[#Data],$DD70,98),0)</f>
        <v/>
      </c>
      <c r="CW70">
        <f>IFERROR(INDEX(PP_Grid[#Data],$DD70,99),0)</f>
        <v/>
      </c>
      <c r="CX70">
        <f>IFERROR(INDEX(PP_Grid[#Data],$DD70,100),0)</f>
        <v/>
      </c>
      <c r="CY70">
        <f>IFERROR(INDEX(PP_Grid[#Data],$DD70,101),0)</f>
        <v/>
      </c>
      <c r="CZ70">
        <f>IFERROR(INDEX(PP_Grid[#Data],$DD70,102),0)</f>
        <v/>
      </c>
      <c r="DA70">
        <f>IFERROR(INDEX(PP_Grid[#Data],$DD70,103),0)</f>
        <v/>
      </c>
      <c r="DB70">
        <f>IFERROR(INDEX(PP_Grid[#Data],$DD70,104),0)</f>
        <v/>
      </c>
      <c r="DC70">
        <f>IFERROR(INDEX(PP_Grid[#Data],$DD70,105),0)</f>
        <v/>
      </c>
      <c r="DD70" s="12">
        <f>IFERROR(MATCH($B70,PP_Grid[Intermediate],0),99999)</f>
        <v/>
      </c>
    </row>
    <row r="71">
      <c r="B71" t="inlineStr">
        <is>
          <t>使用量(kg)</t>
        </is>
      </c>
      <c r="C71">
        <f>SUMIFS(M_BOM[RM_Qty_Per_Batch],M_BOM[Intermediate],$B70,M_BOM[Part Name],$A69)</f>
        <v/>
      </c>
      <c r="D71">
        <f>$C71*D70</f>
        <v/>
      </c>
      <c r="E71">
        <f>$C71*E70</f>
        <v/>
      </c>
      <c r="F71">
        <f>$C71*F70</f>
        <v/>
      </c>
      <c r="G71">
        <f>$C71*G70</f>
        <v/>
      </c>
      <c r="H71">
        <f>$C71*H70</f>
        <v/>
      </c>
      <c r="I71">
        <f>$C71*I70</f>
        <v/>
      </c>
      <c r="J71">
        <f>$C71*J70</f>
        <v/>
      </c>
      <c r="K71">
        <f>$C71*K70</f>
        <v/>
      </c>
      <c r="L71">
        <f>$C71*L70</f>
        <v/>
      </c>
      <c r="M71">
        <f>$C71*M70</f>
        <v/>
      </c>
      <c r="N71">
        <f>$C71*N70</f>
        <v/>
      </c>
      <c r="O71">
        <f>$C71*O70</f>
        <v/>
      </c>
      <c r="P71">
        <f>$C71*P70</f>
        <v/>
      </c>
      <c r="Q71">
        <f>$C71*Q70</f>
        <v/>
      </c>
      <c r="R71">
        <f>$C71*R70</f>
        <v/>
      </c>
      <c r="S71">
        <f>$C71*S70</f>
        <v/>
      </c>
      <c r="T71">
        <f>$C71*T70</f>
        <v/>
      </c>
      <c r="U71">
        <f>$C71*U70</f>
        <v/>
      </c>
      <c r="V71">
        <f>$C71*V70</f>
        <v/>
      </c>
      <c r="W71">
        <f>$C71*W70</f>
        <v/>
      </c>
      <c r="X71">
        <f>$C71*X70</f>
        <v/>
      </c>
      <c r="Y71">
        <f>$C71*Y70</f>
        <v/>
      </c>
      <c r="Z71">
        <f>$C71*Z70</f>
        <v/>
      </c>
      <c r="AA71">
        <f>$C71*AA70</f>
        <v/>
      </c>
      <c r="AB71">
        <f>$C71*AB70</f>
        <v/>
      </c>
      <c r="AC71">
        <f>$C71*AC70</f>
        <v/>
      </c>
      <c r="AD71">
        <f>$C71*AD70</f>
        <v/>
      </c>
      <c r="AE71">
        <f>$C71*AE70</f>
        <v/>
      </c>
      <c r="AF71">
        <f>$C71*AF70</f>
        <v/>
      </c>
      <c r="AG71">
        <f>$C71*AG70</f>
        <v/>
      </c>
      <c r="AH71">
        <f>$C71*AH70</f>
        <v/>
      </c>
      <c r="AI71">
        <f>$C71*AI70</f>
        <v/>
      </c>
      <c r="AJ71">
        <f>$C71*AJ70</f>
        <v/>
      </c>
      <c r="AK71">
        <f>$C71*AK70</f>
        <v/>
      </c>
      <c r="AL71">
        <f>$C71*AL70</f>
        <v/>
      </c>
      <c r="AM71">
        <f>$C71*AM70</f>
        <v/>
      </c>
      <c r="AN71">
        <f>$C71*AN70</f>
        <v/>
      </c>
      <c r="AO71">
        <f>$C71*AO70</f>
        <v/>
      </c>
      <c r="AP71">
        <f>$C71*AP70</f>
        <v/>
      </c>
      <c r="AQ71">
        <f>$C71*AQ70</f>
        <v/>
      </c>
      <c r="AR71">
        <f>$C71*AR70</f>
        <v/>
      </c>
      <c r="AS71">
        <f>$C71*AS70</f>
        <v/>
      </c>
      <c r="AT71">
        <f>$C71*AT70</f>
        <v/>
      </c>
      <c r="AU71">
        <f>$C71*AU70</f>
        <v/>
      </c>
      <c r="AV71">
        <f>$C71*AV70</f>
        <v/>
      </c>
      <c r="AW71">
        <f>$C71*AW70</f>
        <v/>
      </c>
      <c r="AX71">
        <f>$C71*AX70</f>
        <v/>
      </c>
      <c r="AY71">
        <f>$C71*AY70</f>
        <v/>
      </c>
      <c r="AZ71">
        <f>$C71*AZ70</f>
        <v/>
      </c>
      <c r="BA71">
        <f>$C71*BA70</f>
        <v/>
      </c>
      <c r="BB71">
        <f>$C71*BB70</f>
        <v/>
      </c>
      <c r="BC71">
        <f>$C71*BC70</f>
        <v/>
      </c>
      <c r="BD71">
        <f>$C71*BD70</f>
        <v/>
      </c>
      <c r="BE71">
        <f>$C71*BE70</f>
        <v/>
      </c>
      <c r="BF71">
        <f>$C71*BF70</f>
        <v/>
      </c>
      <c r="BG71">
        <f>$C71*BG70</f>
        <v/>
      </c>
      <c r="BH71">
        <f>$C71*BH70</f>
        <v/>
      </c>
      <c r="BI71">
        <f>$C71*BI70</f>
        <v/>
      </c>
      <c r="BJ71">
        <f>$C71*BJ70</f>
        <v/>
      </c>
      <c r="BK71">
        <f>$C71*BK70</f>
        <v/>
      </c>
      <c r="BL71">
        <f>$C71*BL70</f>
        <v/>
      </c>
      <c r="BM71">
        <f>$C71*BM70</f>
        <v/>
      </c>
      <c r="BN71">
        <f>$C71*BN70</f>
        <v/>
      </c>
      <c r="BO71">
        <f>$C71*BO70</f>
        <v/>
      </c>
      <c r="BP71">
        <f>$C71*BP70</f>
        <v/>
      </c>
      <c r="BQ71">
        <f>$C71*BQ70</f>
        <v/>
      </c>
      <c r="BR71">
        <f>$C71*BR70</f>
        <v/>
      </c>
      <c r="BS71">
        <f>$C71*BS70</f>
        <v/>
      </c>
      <c r="BT71">
        <f>$C71*BT70</f>
        <v/>
      </c>
      <c r="BU71">
        <f>$C71*BU70</f>
        <v/>
      </c>
      <c r="BV71">
        <f>$C71*BV70</f>
        <v/>
      </c>
      <c r="BW71">
        <f>$C71*BW70</f>
        <v/>
      </c>
      <c r="BX71">
        <f>$C71*BX70</f>
        <v/>
      </c>
      <c r="BY71">
        <f>$C71*BY70</f>
        <v/>
      </c>
      <c r="BZ71">
        <f>$C71*BZ70</f>
        <v/>
      </c>
      <c r="CA71">
        <f>$C71*CA70</f>
        <v/>
      </c>
      <c r="CB71">
        <f>$C71*CB70</f>
        <v/>
      </c>
      <c r="CC71">
        <f>$C71*CC70</f>
        <v/>
      </c>
      <c r="CD71">
        <f>$C71*CD70</f>
        <v/>
      </c>
      <c r="CE71">
        <f>$C71*CE70</f>
        <v/>
      </c>
      <c r="CF71">
        <f>$C71*CF70</f>
        <v/>
      </c>
      <c r="CG71">
        <f>$C71*CG70</f>
        <v/>
      </c>
      <c r="CH71">
        <f>$C71*CH70</f>
        <v/>
      </c>
      <c r="CI71">
        <f>$C71*CI70</f>
        <v/>
      </c>
      <c r="CJ71">
        <f>$C71*CJ70</f>
        <v/>
      </c>
      <c r="CK71">
        <f>$C71*CK70</f>
        <v/>
      </c>
      <c r="CL71">
        <f>$C71*CL70</f>
        <v/>
      </c>
      <c r="CM71">
        <f>$C71*CM70</f>
        <v/>
      </c>
      <c r="CN71">
        <f>$C71*CN70</f>
        <v/>
      </c>
      <c r="CO71">
        <f>$C71*CO70</f>
        <v/>
      </c>
      <c r="CP71">
        <f>$C71*CP70</f>
        <v/>
      </c>
      <c r="CQ71">
        <f>$C71*CQ70</f>
        <v/>
      </c>
      <c r="CR71">
        <f>$C71*CR70</f>
        <v/>
      </c>
      <c r="CS71">
        <f>$C71*CS70</f>
        <v/>
      </c>
      <c r="CT71">
        <f>$C71*CT70</f>
        <v/>
      </c>
      <c r="CU71">
        <f>$C71*CU70</f>
        <v/>
      </c>
      <c r="CV71">
        <f>$C71*CV70</f>
        <v/>
      </c>
      <c r="CW71">
        <f>$C71*CW70</f>
        <v/>
      </c>
      <c r="CX71">
        <f>$C71*CX70</f>
        <v/>
      </c>
      <c r="CY71">
        <f>$C71*CY70</f>
        <v/>
      </c>
      <c r="CZ71">
        <f>$C71*CZ70</f>
        <v/>
      </c>
      <c r="DA71">
        <f>$C71*DA70</f>
        <v/>
      </c>
      <c r="DB71">
        <f>$C71*DB70</f>
        <v/>
      </c>
      <c r="DC71">
        <f>$C71*DC70</f>
        <v/>
      </c>
    </row>
    <row r="72">
      <c r="B72" t="inlineStr">
        <is>
          <t>F2100</t>
        </is>
      </c>
      <c r="C72" t="inlineStr">
        <is>
          <t>No. of batches</t>
        </is>
      </c>
      <c r="D72">
        <f>IFERROR(INDEX(PP_Grid[#Data],$DD72,2),0)</f>
        <v/>
      </c>
      <c r="E72">
        <f>IFERROR(INDEX(PP_Grid[#Data],$DD72,3),0)</f>
        <v/>
      </c>
      <c r="F72">
        <f>IFERROR(INDEX(PP_Grid[#Data],$DD72,4),0)</f>
        <v/>
      </c>
      <c r="G72">
        <f>IFERROR(INDEX(PP_Grid[#Data],$DD72,5),0)</f>
        <v/>
      </c>
      <c r="H72">
        <f>IFERROR(INDEX(PP_Grid[#Data],$DD72,6),0)</f>
        <v/>
      </c>
      <c r="I72">
        <f>IFERROR(INDEX(PP_Grid[#Data],$DD72,7),0)</f>
        <v/>
      </c>
      <c r="J72">
        <f>IFERROR(INDEX(PP_Grid[#Data],$DD72,8),0)</f>
        <v/>
      </c>
      <c r="K72">
        <f>IFERROR(INDEX(PP_Grid[#Data],$DD72,9),0)</f>
        <v/>
      </c>
      <c r="L72">
        <f>IFERROR(INDEX(PP_Grid[#Data],$DD72,10),0)</f>
        <v/>
      </c>
      <c r="M72">
        <f>IFERROR(INDEX(PP_Grid[#Data],$DD72,11),0)</f>
        <v/>
      </c>
      <c r="N72">
        <f>IFERROR(INDEX(PP_Grid[#Data],$DD72,12),0)</f>
        <v/>
      </c>
      <c r="O72">
        <f>IFERROR(INDEX(PP_Grid[#Data],$DD72,13),0)</f>
        <v/>
      </c>
      <c r="P72">
        <f>IFERROR(INDEX(PP_Grid[#Data],$DD72,14),0)</f>
        <v/>
      </c>
      <c r="Q72">
        <f>IFERROR(INDEX(PP_Grid[#Data],$DD72,15),0)</f>
        <v/>
      </c>
      <c r="R72">
        <f>IFERROR(INDEX(PP_Grid[#Data],$DD72,16),0)</f>
        <v/>
      </c>
      <c r="S72">
        <f>IFERROR(INDEX(PP_Grid[#Data],$DD72,17),0)</f>
        <v/>
      </c>
      <c r="T72">
        <f>IFERROR(INDEX(PP_Grid[#Data],$DD72,18),0)</f>
        <v/>
      </c>
      <c r="U72">
        <f>IFERROR(INDEX(PP_Grid[#Data],$DD72,19),0)</f>
        <v/>
      </c>
      <c r="V72">
        <f>IFERROR(INDEX(PP_Grid[#Data],$DD72,20),0)</f>
        <v/>
      </c>
      <c r="W72">
        <f>IFERROR(INDEX(PP_Grid[#Data],$DD72,21),0)</f>
        <v/>
      </c>
      <c r="X72">
        <f>IFERROR(INDEX(PP_Grid[#Data],$DD72,22),0)</f>
        <v/>
      </c>
      <c r="Y72">
        <f>IFERROR(INDEX(PP_Grid[#Data],$DD72,23),0)</f>
        <v/>
      </c>
      <c r="Z72">
        <f>IFERROR(INDEX(PP_Grid[#Data],$DD72,24),0)</f>
        <v/>
      </c>
      <c r="AA72">
        <f>IFERROR(INDEX(PP_Grid[#Data],$DD72,25),0)</f>
        <v/>
      </c>
      <c r="AB72">
        <f>IFERROR(INDEX(PP_Grid[#Data],$DD72,26),0)</f>
        <v/>
      </c>
      <c r="AC72">
        <f>IFERROR(INDEX(PP_Grid[#Data],$DD72,27),0)</f>
        <v/>
      </c>
      <c r="AD72">
        <f>IFERROR(INDEX(PP_Grid[#Data],$DD72,28),0)</f>
        <v/>
      </c>
      <c r="AE72">
        <f>IFERROR(INDEX(PP_Grid[#Data],$DD72,29),0)</f>
        <v/>
      </c>
      <c r="AF72">
        <f>IFERROR(INDEX(PP_Grid[#Data],$DD72,30),0)</f>
        <v/>
      </c>
      <c r="AG72">
        <f>IFERROR(INDEX(PP_Grid[#Data],$DD72,31),0)</f>
        <v/>
      </c>
      <c r="AH72">
        <f>IFERROR(INDEX(PP_Grid[#Data],$DD72,32),0)</f>
        <v/>
      </c>
      <c r="AI72">
        <f>IFERROR(INDEX(PP_Grid[#Data],$DD72,33),0)</f>
        <v/>
      </c>
      <c r="AJ72">
        <f>IFERROR(INDEX(PP_Grid[#Data],$DD72,34),0)</f>
        <v/>
      </c>
      <c r="AK72">
        <f>IFERROR(INDEX(PP_Grid[#Data],$DD72,35),0)</f>
        <v/>
      </c>
      <c r="AL72">
        <f>IFERROR(INDEX(PP_Grid[#Data],$DD72,36),0)</f>
        <v/>
      </c>
      <c r="AM72">
        <f>IFERROR(INDEX(PP_Grid[#Data],$DD72,37),0)</f>
        <v/>
      </c>
      <c r="AN72">
        <f>IFERROR(INDEX(PP_Grid[#Data],$DD72,38),0)</f>
        <v/>
      </c>
      <c r="AO72">
        <f>IFERROR(INDEX(PP_Grid[#Data],$DD72,39),0)</f>
        <v/>
      </c>
      <c r="AP72">
        <f>IFERROR(INDEX(PP_Grid[#Data],$DD72,40),0)</f>
        <v/>
      </c>
      <c r="AQ72">
        <f>IFERROR(INDEX(PP_Grid[#Data],$DD72,41),0)</f>
        <v/>
      </c>
      <c r="AR72">
        <f>IFERROR(INDEX(PP_Grid[#Data],$DD72,42),0)</f>
        <v/>
      </c>
      <c r="AS72">
        <f>IFERROR(INDEX(PP_Grid[#Data],$DD72,43),0)</f>
        <v/>
      </c>
      <c r="AT72">
        <f>IFERROR(INDEX(PP_Grid[#Data],$DD72,44),0)</f>
        <v/>
      </c>
      <c r="AU72">
        <f>IFERROR(INDEX(PP_Grid[#Data],$DD72,45),0)</f>
        <v/>
      </c>
      <c r="AV72">
        <f>IFERROR(INDEX(PP_Grid[#Data],$DD72,46),0)</f>
        <v/>
      </c>
      <c r="AW72">
        <f>IFERROR(INDEX(PP_Grid[#Data],$DD72,47),0)</f>
        <v/>
      </c>
      <c r="AX72">
        <f>IFERROR(INDEX(PP_Grid[#Data],$DD72,48),0)</f>
        <v/>
      </c>
      <c r="AY72">
        <f>IFERROR(INDEX(PP_Grid[#Data],$DD72,49),0)</f>
        <v/>
      </c>
      <c r="AZ72">
        <f>IFERROR(INDEX(PP_Grid[#Data],$DD72,50),0)</f>
        <v/>
      </c>
      <c r="BA72">
        <f>IFERROR(INDEX(PP_Grid[#Data],$DD72,51),0)</f>
        <v/>
      </c>
      <c r="BB72">
        <f>IFERROR(INDEX(PP_Grid[#Data],$DD72,52),0)</f>
        <v/>
      </c>
      <c r="BC72">
        <f>IFERROR(INDEX(PP_Grid[#Data],$DD72,53),0)</f>
        <v/>
      </c>
      <c r="BD72">
        <f>IFERROR(INDEX(PP_Grid[#Data],$DD72,54),0)</f>
        <v/>
      </c>
      <c r="BE72">
        <f>IFERROR(INDEX(PP_Grid[#Data],$DD72,55),0)</f>
        <v/>
      </c>
      <c r="BF72">
        <f>IFERROR(INDEX(PP_Grid[#Data],$DD72,56),0)</f>
        <v/>
      </c>
      <c r="BG72">
        <f>IFERROR(INDEX(PP_Grid[#Data],$DD72,57),0)</f>
        <v/>
      </c>
      <c r="BH72">
        <f>IFERROR(INDEX(PP_Grid[#Data],$DD72,58),0)</f>
        <v/>
      </c>
      <c r="BI72">
        <f>IFERROR(INDEX(PP_Grid[#Data],$DD72,59),0)</f>
        <v/>
      </c>
      <c r="BJ72">
        <f>IFERROR(INDEX(PP_Grid[#Data],$DD72,60),0)</f>
        <v/>
      </c>
      <c r="BK72">
        <f>IFERROR(INDEX(PP_Grid[#Data],$DD72,61),0)</f>
        <v/>
      </c>
      <c r="BL72">
        <f>IFERROR(INDEX(PP_Grid[#Data],$DD72,62),0)</f>
        <v/>
      </c>
      <c r="BM72">
        <f>IFERROR(INDEX(PP_Grid[#Data],$DD72,63),0)</f>
        <v/>
      </c>
      <c r="BN72">
        <f>IFERROR(INDEX(PP_Grid[#Data],$DD72,64),0)</f>
        <v/>
      </c>
      <c r="BO72">
        <f>IFERROR(INDEX(PP_Grid[#Data],$DD72,65),0)</f>
        <v/>
      </c>
      <c r="BP72">
        <f>IFERROR(INDEX(PP_Grid[#Data],$DD72,66),0)</f>
        <v/>
      </c>
      <c r="BQ72">
        <f>IFERROR(INDEX(PP_Grid[#Data],$DD72,67),0)</f>
        <v/>
      </c>
      <c r="BR72">
        <f>IFERROR(INDEX(PP_Grid[#Data],$DD72,68),0)</f>
        <v/>
      </c>
      <c r="BS72">
        <f>IFERROR(INDEX(PP_Grid[#Data],$DD72,69),0)</f>
        <v/>
      </c>
      <c r="BT72">
        <f>IFERROR(INDEX(PP_Grid[#Data],$DD72,70),0)</f>
        <v/>
      </c>
      <c r="BU72">
        <f>IFERROR(INDEX(PP_Grid[#Data],$DD72,71),0)</f>
        <v/>
      </c>
      <c r="BV72">
        <f>IFERROR(INDEX(PP_Grid[#Data],$DD72,72),0)</f>
        <v/>
      </c>
      <c r="BW72">
        <f>IFERROR(INDEX(PP_Grid[#Data],$DD72,73),0)</f>
        <v/>
      </c>
      <c r="BX72">
        <f>IFERROR(INDEX(PP_Grid[#Data],$DD72,74),0)</f>
        <v/>
      </c>
      <c r="BY72">
        <f>IFERROR(INDEX(PP_Grid[#Data],$DD72,75),0)</f>
        <v/>
      </c>
      <c r="BZ72">
        <f>IFERROR(INDEX(PP_Grid[#Data],$DD72,76),0)</f>
        <v/>
      </c>
      <c r="CA72">
        <f>IFERROR(INDEX(PP_Grid[#Data],$DD72,77),0)</f>
        <v/>
      </c>
      <c r="CB72">
        <f>IFERROR(INDEX(PP_Grid[#Data],$DD72,78),0)</f>
        <v/>
      </c>
      <c r="CC72">
        <f>IFERROR(INDEX(PP_Grid[#Data],$DD72,79),0)</f>
        <v/>
      </c>
      <c r="CD72">
        <f>IFERROR(INDEX(PP_Grid[#Data],$DD72,80),0)</f>
        <v/>
      </c>
      <c r="CE72">
        <f>IFERROR(INDEX(PP_Grid[#Data],$DD72,81),0)</f>
        <v/>
      </c>
      <c r="CF72">
        <f>IFERROR(INDEX(PP_Grid[#Data],$DD72,82),0)</f>
        <v/>
      </c>
      <c r="CG72">
        <f>IFERROR(INDEX(PP_Grid[#Data],$DD72,83),0)</f>
        <v/>
      </c>
      <c r="CH72">
        <f>IFERROR(INDEX(PP_Grid[#Data],$DD72,84),0)</f>
        <v/>
      </c>
      <c r="CI72">
        <f>IFERROR(INDEX(PP_Grid[#Data],$DD72,85),0)</f>
        <v/>
      </c>
      <c r="CJ72">
        <f>IFERROR(INDEX(PP_Grid[#Data],$DD72,86),0)</f>
        <v/>
      </c>
      <c r="CK72">
        <f>IFERROR(INDEX(PP_Grid[#Data],$DD72,87),0)</f>
        <v/>
      </c>
      <c r="CL72">
        <f>IFERROR(INDEX(PP_Grid[#Data],$DD72,88),0)</f>
        <v/>
      </c>
      <c r="CM72">
        <f>IFERROR(INDEX(PP_Grid[#Data],$DD72,89),0)</f>
        <v/>
      </c>
      <c r="CN72">
        <f>IFERROR(INDEX(PP_Grid[#Data],$DD72,90),0)</f>
        <v/>
      </c>
      <c r="CO72">
        <f>IFERROR(INDEX(PP_Grid[#Data],$DD72,91),0)</f>
        <v/>
      </c>
      <c r="CP72">
        <f>IFERROR(INDEX(PP_Grid[#Data],$DD72,92),0)</f>
        <v/>
      </c>
      <c r="CQ72">
        <f>IFERROR(INDEX(PP_Grid[#Data],$DD72,93),0)</f>
        <v/>
      </c>
      <c r="CR72">
        <f>IFERROR(INDEX(PP_Grid[#Data],$DD72,94),0)</f>
        <v/>
      </c>
      <c r="CS72">
        <f>IFERROR(INDEX(PP_Grid[#Data],$DD72,95),0)</f>
        <v/>
      </c>
      <c r="CT72">
        <f>IFERROR(INDEX(PP_Grid[#Data],$DD72,96),0)</f>
        <v/>
      </c>
      <c r="CU72">
        <f>IFERROR(INDEX(PP_Grid[#Data],$DD72,97),0)</f>
        <v/>
      </c>
      <c r="CV72">
        <f>IFERROR(INDEX(PP_Grid[#Data],$DD72,98),0)</f>
        <v/>
      </c>
      <c r="CW72">
        <f>IFERROR(INDEX(PP_Grid[#Data],$DD72,99),0)</f>
        <v/>
      </c>
      <c r="CX72">
        <f>IFERROR(INDEX(PP_Grid[#Data],$DD72,100),0)</f>
        <v/>
      </c>
      <c r="CY72">
        <f>IFERROR(INDEX(PP_Grid[#Data],$DD72,101),0)</f>
        <v/>
      </c>
      <c r="CZ72">
        <f>IFERROR(INDEX(PP_Grid[#Data],$DD72,102),0)</f>
        <v/>
      </c>
      <c r="DA72">
        <f>IFERROR(INDEX(PP_Grid[#Data],$DD72,103),0)</f>
        <v/>
      </c>
      <c r="DB72">
        <f>IFERROR(INDEX(PP_Grid[#Data],$DD72,104),0)</f>
        <v/>
      </c>
      <c r="DC72">
        <f>IFERROR(INDEX(PP_Grid[#Data],$DD72,105),0)</f>
        <v/>
      </c>
      <c r="DD72" s="12">
        <f>IFERROR(MATCH($B72,PP_Grid[Intermediate],0),99999)</f>
        <v/>
      </c>
    </row>
    <row r="73">
      <c r="B73" t="inlineStr">
        <is>
          <t>使用量(kg)</t>
        </is>
      </c>
      <c r="C73">
        <f>SUMIFS(M_BOM[RM_Qty_Per_Batch],M_BOM[Intermediate],$B72,M_BOM[Part Name],$A69)</f>
        <v/>
      </c>
      <c r="D73">
        <f>$C73*D72</f>
        <v/>
      </c>
      <c r="E73">
        <f>$C73*E72</f>
        <v/>
      </c>
      <c r="F73">
        <f>$C73*F72</f>
        <v/>
      </c>
      <c r="G73">
        <f>$C73*G72</f>
        <v/>
      </c>
      <c r="H73">
        <f>$C73*H72</f>
        <v/>
      </c>
      <c r="I73">
        <f>$C73*I72</f>
        <v/>
      </c>
      <c r="J73">
        <f>$C73*J72</f>
        <v/>
      </c>
      <c r="K73">
        <f>$C73*K72</f>
        <v/>
      </c>
      <c r="L73">
        <f>$C73*L72</f>
        <v/>
      </c>
      <c r="M73">
        <f>$C73*M72</f>
        <v/>
      </c>
      <c r="N73">
        <f>$C73*N72</f>
        <v/>
      </c>
      <c r="O73">
        <f>$C73*O72</f>
        <v/>
      </c>
      <c r="P73">
        <f>$C73*P72</f>
        <v/>
      </c>
      <c r="Q73">
        <f>$C73*Q72</f>
        <v/>
      </c>
      <c r="R73">
        <f>$C73*R72</f>
        <v/>
      </c>
      <c r="S73">
        <f>$C73*S72</f>
        <v/>
      </c>
      <c r="T73">
        <f>$C73*T72</f>
        <v/>
      </c>
      <c r="U73">
        <f>$C73*U72</f>
        <v/>
      </c>
      <c r="V73">
        <f>$C73*V72</f>
        <v/>
      </c>
      <c r="W73">
        <f>$C73*W72</f>
        <v/>
      </c>
      <c r="X73">
        <f>$C73*X72</f>
        <v/>
      </c>
      <c r="Y73">
        <f>$C73*Y72</f>
        <v/>
      </c>
      <c r="Z73">
        <f>$C73*Z72</f>
        <v/>
      </c>
      <c r="AA73">
        <f>$C73*AA72</f>
        <v/>
      </c>
      <c r="AB73">
        <f>$C73*AB72</f>
        <v/>
      </c>
      <c r="AC73">
        <f>$C73*AC72</f>
        <v/>
      </c>
      <c r="AD73">
        <f>$C73*AD72</f>
        <v/>
      </c>
      <c r="AE73">
        <f>$C73*AE72</f>
        <v/>
      </c>
      <c r="AF73">
        <f>$C73*AF72</f>
        <v/>
      </c>
      <c r="AG73">
        <f>$C73*AG72</f>
        <v/>
      </c>
      <c r="AH73">
        <f>$C73*AH72</f>
        <v/>
      </c>
      <c r="AI73">
        <f>$C73*AI72</f>
        <v/>
      </c>
      <c r="AJ73">
        <f>$C73*AJ72</f>
        <v/>
      </c>
      <c r="AK73">
        <f>$C73*AK72</f>
        <v/>
      </c>
      <c r="AL73">
        <f>$C73*AL72</f>
        <v/>
      </c>
      <c r="AM73">
        <f>$C73*AM72</f>
        <v/>
      </c>
      <c r="AN73">
        <f>$C73*AN72</f>
        <v/>
      </c>
      <c r="AO73">
        <f>$C73*AO72</f>
        <v/>
      </c>
      <c r="AP73">
        <f>$C73*AP72</f>
        <v/>
      </c>
      <c r="AQ73">
        <f>$C73*AQ72</f>
        <v/>
      </c>
      <c r="AR73">
        <f>$C73*AR72</f>
        <v/>
      </c>
      <c r="AS73">
        <f>$C73*AS72</f>
        <v/>
      </c>
      <c r="AT73">
        <f>$C73*AT72</f>
        <v/>
      </c>
      <c r="AU73">
        <f>$C73*AU72</f>
        <v/>
      </c>
      <c r="AV73">
        <f>$C73*AV72</f>
        <v/>
      </c>
      <c r="AW73">
        <f>$C73*AW72</f>
        <v/>
      </c>
      <c r="AX73">
        <f>$C73*AX72</f>
        <v/>
      </c>
      <c r="AY73">
        <f>$C73*AY72</f>
        <v/>
      </c>
      <c r="AZ73">
        <f>$C73*AZ72</f>
        <v/>
      </c>
      <c r="BA73">
        <f>$C73*BA72</f>
        <v/>
      </c>
      <c r="BB73">
        <f>$C73*BB72</f>
        <v/>
      </c>
      <c r="BC73">
        <f>$C73*BC72</f>
        <v/>
      </c>
      <c r="BD73">
        <f>$C73*BD72</f>
        <v/>
      </c>
      <c r="BE73">
        <f>$C73*BE72</f>
        <v/>
      </c>
      <c r="BF73">
        <f>$C73*BF72</f>
        <v/>
      </c>
      <c r="BG73">
        <f>$C73*BG72</f>
        <v/>
      </c>
      <c r="BH73">
        <f>$C73*BH72</f>
        <v/>
      </c>
      <c r="BI73">
        <f>$C73*BI72</f>
        <v/>
      </c>
      <c r="BJ73">
        <f>$C73*BJ72</f>
        <v/>
      </c>
      <c r="BK73">
        <f>$C73*BK72</f>
        <v/>
      </c>
      <c r="BL73">
        <f>$C73*BL72</f>
        <v/>
      </c>
      <c r="BM73">
        <f>$C73*BM72</f>
        <v/>
      </c>
      <c r="BN73">
        <f>$C73*BN72</f>
        <v/>
      </c>
      <c r="BO73">
        <f>$C73*BO72</f>
        <v/>
      </c>
      <c r="BP73">
        <f>$C73*BP72</f>
        <v/>
      </c>
      <c r="BQ73">
        <f>$C73*BQ72</f>
        <v/>
      </c>
      <c r="BR73">
        <f>$C73*BR72</f>
        <v/>
      </c>
      <c r="BS73">
        <f>$C73*BS72</f>
        <v/>
      </c>
      <c r="BT73">
        <f>$C73*BT72</f>
        <v/>
      </c>
      <c r="BU73">
        <f>$C73*BU72</f>
        <v/>
      </c>
      <c r="BV73">
        <f>$C73*BV72</f>
        <v/>
      </c>
      <c r="BW73">
        <f>$C73*BW72</f>
        <v/>
      </c>
      <c r="BX73">
        <f>$C73*BX72</f>
        <v/>
      </c>
      <c r="BY73">
        <f>$C73*BY72</f>
        <v/>
      </c>
      <c r="BZ73">
        <f>$C73*BZ72</f>
        <v/>
      </c>
      <c r="CA73">
        <f>$C73*CA72</f>
        <v/>
      </c>
      <c r="CB73">
        <f>$C73*CB72</f>
        <v/>
      </c>
      <c r="CC73">
        <f>$C73*CC72</f>
        <v/>
      </c>
      <c r="CD73">
        <f>$C73*CD72</f>
        <v/>
      </c>
      <c r="CE73">
        <f>$C73*CE72</f>
        <v/>
      </c>
      <c r="CF73">
        <f>$C73*CF72</f>
        <v/>
      </c>
      <c r="CG73">
        <f>$C73*CG72</f>
        <v/>
      </c>
      <c r="CH73">
        <f>$C73*CH72</f>
        <v/>
      </c>
      <c r="CI73">
        <f>$C73*CI72</f>
        <v/>
      </c>
      <c r="CJ73">
        <f>$C73*CJ72</f>
        <v/>
      </c>
      <c r="CK73">
        <f>$C73*CK72</f>
        <v/>
      </c>
      <c r="CL73">
        <f>$C73*CL72</f>
        <v/>
      </c>
      <c r="CM73">
        <f>$C73*CM72</f>
        <v/>
      </c>
      <c r="CN73">
        <f>$C73*CN72</f>
        <v/>
      </c>
      <c r="CO73">
        <f>$C73*CO72</f>
        <v/>
      </c>
      <c r="CP73">
        <f>$C73*CP72</f>
        <v/>
      </c>
      <c r="CQ73">
        <f>$C73*CQ72</f>
        <v/>
      </c>
      <c r="CR73">
        <f>$C73*CR72</f>
        <v/>
      </c>
      <c r="CS73">
        <f>$C73*CS72</f>
        <v/>
      </c>
      <c r="CT73">
        <f>$C73*CT72</f>
        <v/>
      </c>
      <c r="CU73">
        <f>$C73*CU72</f>
        <v/>
      </c>
      <c r="CV73">
        <f>$C73*CV72</f>
        <v/>
      </c>
      <c r="CW73">
        <f>$C73*CW72</f>
        <v/>
      </c>
      <c r="CX73">
        <f>$C73*CX72</f>
        <v/>
      </c>
      <c r="CY73">
        <f>$C73*CY72</f>
        <v/>
      </c>
      <c r="CZ73">
        <f>$C73*CZ72</f>
        <v/>
      </c>
      <c r="DA73">
        <f>$C73*DA72</f>
        <v/>
      </c>
      <c r="DB73">
        <f>$C73*DB72</f>
        <v/>
      </c>
      <c r="DC73">
        <f>$C73*DC72</f>
        <v/>
      </c>
    </row>
    <row r="74">
      <c r="B74" t="inlineStr">
        <is>
          <t>F2180</t>
        </is>
      </c>
      <c r="C74" t="inlineStr">
        <is>
          <t>No. of batches</t>
        </is>
      </c>
      <c r="D74">
        <f>IFERROR(INDEX(PP_Grid[#Data],$DD74,2),0)</f>
        <v/>
      </c>
      <c r="E74">
        <f>IFERROR(INDEX(PP_Grid[#Data],$DD74,3),0)</f>
        <v/>
      </c>
      <c r="F74">
        <f>IFERROR(INDEX(PP_Grid[#Data],$DD74,4),0)</f>
        <v/>
      </c>
      <c r="G74">
        <f>IFERROR(INDEX(PP_Grid[#Data],$DD74,5),0)</f>
        <v/>
      </c>
      <c r="H74">
        <f>IFERROR(INDEX(PP_Grid[#Data],$DD74,6),0)</f>
        <v/>
      </c>
      <c r="I74">
        <f>IFERROR(INDEX(PP_Grid[#Data],$DD74,7),0)</f>
        <v/>
      </c>
      <c r="J74">
        <f>IFERROR(INDEX(PP_Grid[#Data],$DD74,8),0)</f>
        <v/>
      </c>
      <c r="K74">
        <f>IFERROR(INDEX(PP_Grid[#Data],$DD74,9),0)</f>
        <v/>
      </c>
      <c r="L74">
        <f>IFERROR(INDEX(PP_Grid[#Data],$DD74,10),0)</f>
        <v/>
      </c>
      <c r="M74">
        <f>IFERROR(INDEX(PP_Grid[#Data],$DD74,11),0)</f>
        <v/>
      </c>
      <c r="N74">
        <f>IFERROR(INDEX(PP_Grid[#Data],$DD74,12),0)</f>
        <v/>
      </c>
      <c r="O74">
        <f>IFERROR(INDEX(PP_Grid[#Data],$DD74,13),0)</f>
        <v/>
      </c>
      <c r="P74">
        <f>IFERROR(INDEX(PP_Grid[#Data],$DD74,14),0)</f>
        <v/>
      </c>
      <c r="Q74">
        <f>IFERROR(INDEX(PP_Grid[#Data],$DD74,15),0)</f>
        <v/>
      </c>
      <c r="R74">
        <f>IFERROR(INDEX(PP_Grid[#Data],$DD74,16),0)</f>
        <v/>
      </c>
      <c r="S74">
        <f>IFERROR(INDEX(PP_Grid[#Data],$DD74,17),0)</f>
        <v/>
      </c>
      <c r="T74">
        <f>IFERROR(INDEX(PP_Grid[#Data],$DD74,18),0)</f>
        <v/>
      </c>
      <c r="U74">
        <f>IFERROR(INDEX(PP_Grid[#Data],$DD74,19),0)</f>
        <v/>
      </c>
      <c r="V74">
        <f>IFERROR(INDEX(PP_Grid[#Data],$DD74,20),0)</f>
        <v/>
      </c>
      <c r="W74">
        <f>IFERROR(INDEX(PP_Grid[#Data],$DD74,21),0)</f>
        <v/>
      </c>
      <c r="X74">
        <f>IFERROR(INDEX(PP_Grid[#Data],$DD74,22),0)</f>
        <v/>
      </c>
      <c r="Y74">
        <f>IFERROR(INDEX(PP_Grid[#Data],$DD74,23),0)</f>
        <v/>
      </c>
      <c r="Z74">
        <f>IFERROR(INDEX(PP_Grid[#Data],$DD74,24),0)</f>
        <v/>
      </c>
      <c r="AA74">
        <f>IFERROR(INDEX(PP_Grid[#Data],$DD74,25),0)</f>
        <v/>
      </c>
      <c r="AB74">
        <f>IFERROR(INDEX(PP_Grid[#Data],$DD74,26),0)</f>
        <v/>
      </c>
      <c r="AC74">
        <f>IFERROR(INDEX(PP_Grid[#Data],$DD74,27),0)</f>
        <v/>
      </c>
      <c r="AD74">
        <f>IFERROR(INDEX(PP_Grid[#Data],$DD74,28),0)</f>
        <v/>
      </c>
      <c r="AE74">
        <f>IFERROR(INDEX(PP_Grid[#Data],$DD74,29),0)</f>
        <v/>
      </c>
      <c r="AF74">
        <f>IFERROR(INDEX(PP_Grid[#Data],$DD74,30),0)</f>
        <v/>
      </c>
      <c r="AG74">
        <f>IFERROR(INDEX(PP_Grid[#Data],$DD74,31),0)</f>
        <v/>
      </c>
      <c r="AH74">
        <f>IFERROR(INDEX(PP_Grid[#Data],$DD74,32),0)</f>
        <v/>
      </c>
      <c r="AI74">
        <f>IFERROR(INDEX(PP_Grid[#Data],$DD74,33),0)</f>
        <v/>
      </c>
      <c r="AJ74">
        <f>IFERROR(INDEX(PP_Grid[#Data],$DD74,34),0)</f>
        <v/>
      </c>
      <c r="AK74">
        <f>IFERROR(INDEX(PP_Grid[#Data],$DD74,35),0)</f>
        <v/>
      </c>
      <c r="AL74">
        <f>IFERROR(INDEX(PP_Grid[#Data],$DD74,36),0)</f>
        <v/>
      </c>
      <c r="AM74">
        <f>IFERROR(INDEX(PP_Grid[#Data],$DD74,37),0)</f>
        <v/>
      </c>
      <c r="AN74">
        <f>IFERROR(INDEX(PP_Grid[#Data],$DD74,38),0)</f>
        <v/>
      </c>
      <c r="AO74">
        <f>IFERROR(INDEX(PP_Grid[#Data],$DD74,39),0)</f>
        <v/>
      </c>
      <c r="AP74">
        <f>IFERROR(INDEX(PP_Grid[#Data],$DD74,40),0)</f>
        <v/>
      </c>
      <c r="AQ74">
        <f>IFERROR(INDEX(PP_Grid[#Data],$DD74,41),0)</f>
        <v/>
      </c>
      <c r="AR74">
        <f>IFERROR(INDEX(PP_Grid[#Data],$DD74,42),0)</f>
        <v/>
      </c>
      <c r="AS74">
        <f>IFERROR(INDEX(PP_Grid[#Data],$DD74,43),0)</f>
        <v/>
      </c>
      <c r="AT74">
        <f>IFERROR(INDEX(PP_Grid[#Data],$DD74,44),0)</f>
        <v/>
      </c>
      <c r="AU74">
        <f>IFERROR(INDEX(PP_Grid[#Data],$DD74,45),0)</f>
        <v/>
      </c>
      <c r="AV74">
        <f>IFERROR(INDEX(PP_Grid[#Data],$DD74,46),0)</f>
        <v/>
      </c>
      <c r="AW74">
        <f>IFERROR(INDEX(PP_Grid[#Data],$DD74,47),0)</f>
        <v/>
      </c>
      <c r="AX74">
        <f>IFERROR(INDEX(PP_Grid[#Data],$DD74,48),0)</f>
        <v/>
      </c>
      <c r="AY74">
        <f>IFERROR(INDEX(PP_Grid[#Data],$DD74,49),0)</f>
        <v/>
      </c>
      <c r="AZ74">
        <f>IFERROR(INDEX(PP_Grid[#Data],$DD74,50),0)</f>
        <v/>
      </c>
      <c r="BA74">
        <f>IFERROR(INDEX(PP_Grid[#Data],$DD74,51),0)</f>
        <v/>
      </c>
      <c r="BB74">
        <f>IFERROR(INDEX(PP_Grid[#Data],$DD74,52),0)</f>
        <v/>
      </c>
      <c r="BC74">
        <f>IFERROR(INDEX(PP_Grid[#Data],$DD74,53),0)</f>
        <v/>
      </c>
      <c r="BD74">
        <f>IFERROR(INDEX(PP_Grid[#Data],$DD74,54),0)</f>
        <v/>
      </c>
      <c r="BE74">
        <f>IFERROR(INDEX(PP_Grid[#Data],$DD74,55),0)</f>
        <v/>
      </c>
      <c r="BF74">
        <f>IFERROR(INDEX(PP_Grid[#Data],$DD74,56),0)</f>
        <v/>
      </c>
      <c r="BG74">
        <f>IFERROR(INDEX(PP_Grid[#Data],$DD74,57),0)</f>
        <v/>
      </c>
      <c r="BH74">
        <f>IFERROR(INDEX(PP_Grid[#Data],$DD74,58),0)</f>
        <v/>
      </c>
      <c r="BI74">
        <f>IFERROR(INDEX(PP_Grid[#Data],$DD74,59),0)</f>
        <v/>
      </c>
      <c r="BJ74">
        <f>IFERROR(INDEX(PP_Grid[#Data],$DD74,60),0)</f>
        <v/>
      </c>
      <c r="BK74">
        <f>IFERROR(INDEX(PP_Grid[#Data],$DD74,61),0)</f>
        <v/>
      </c>
      <c r="BL74">
        <f>IFERROR(INDEX(PP_Grid[#Data],$DD74,62),0)</f>
        <v/>
      </c>
      <c r="BM74">
        <f>IFERROR(INDEX(PP_Grid[#Data],$DD74,63),0)</f>
        <v/>
      </c>
      <c r="BN74">
        <f>IFERROR(INDEX(PP_Grid[#Data],$DD74,64),0)</f>
        <v/>
      </c>
      <c r="BO74">
        <f>IFERROR(INDEX(PP_Grid[#Data],$DD74,65),0)</f>
        <v/>
      </c>
      <c r="BP74">
        <f>IFERROR(INDEX(PP_Grid[#Data],$DD74,66),0)</f>
        <v/>
      </c>
      <c r="BQ74">
        <f>IFERROR(INDEX(PP_Grid[#Data],$DD74,67),0)</f>
        <v/>
      </c>
      <c r="BR74">
        <f>IFERROR(INDEX(PP_Grid[#Data],$DD74,68),0)</f>
        <v/>
      </c>
      <c r="BS74">
        <f>IFERROR(INDEX(PP_Grid[#Data],$DD74,69),0)</f>
        <v/>
      </c>
      <c r="BT74">
        <f>IFERROR(INDEX(PP_Grid[#Data],$DD74,70),0)</f>
        <v/>
      </c>
      <c r="BU74">
        <f>IFERROR(INDEX(PP_Grid[#Data],$DD74,71),0)</f>
        <v/>
      </c>
      <c r="BV74">
        <f>IFERROR(INDEX(PP_Grid[#Data],$DD74,72),0)</f>
        <v/>
      </c>
      <c r="BW74">
        <f>IFERROR(INDEX(PP_Grid[#Data],$DD74,73),0)</f>
        <v/>
      </c>
      <c r="BX74">
        <f>IFERROR(INDEX(PP_Grid[#Data],$DD74,74),0)</f>
        <v/>
      </c>
      <c r="BY74">
        <f>IFERROR(INDEX(PP_Grid[#Data],$DD74,75),0)</f>
        <v/>
      </c>
      <c r="BZ74">
        <f>IFERROR(INDEX(PP_Grid[#Data],$DD74,76),0)</f>
        <v/>
      </c>
      <c r="CA74">
        <f>IFERROR(INDEX(PP_Grid[#Data],$DD74,77),0)</f>
        <v/>
      </c>
      <c r="CB74">
        <f>IFERROR(INDEX(PP_Grid[#Data],$DD74,78),0)</f>
        <v/>
      </c>
      <c r="CC74">
        <f>IFERROR(INDEX(PP_Grid[#Data],$DD74,79),0)</f>
        <v/>
      </c>
      <c r="CD74">
        <f>IFERROR(INDEX(PP_Grid[#Data],$DD74,80),0)</f>
        <v/>
      </c>
      <c r="CE74">
        <f>IFERROR(INDEX(PP_Grid[#Data],$DD74,81),0)</f>
        <v/>
      </c>
      <c r="CF74">
        <f>IFERROR(INDEX(PP_Grid[#Data],$DD74,82),0)</f>
        <v/>
      </c>
      <c r="CG74">
        <f>IFERROR(INDEX(PP_Grid[#Data],$DD74,83),0)</f>
        <v/>
      </c>
      <c r="CH74">
        <f>IFERROR(INDEX(PP_Grid[#Data],$DD74,84),0)</f>
        <v/>
      </c>
      <c r="CI74">
        <f>IFERROR(INDEX(PP_Grid[#Data],$DD74,85),0)</f>
        <v/>
      </c>
      <c r="CJ74">
        <f>IFERROR(INDEX(PP_Grid[#Data],$DD74,86),0)</f>
        <v/>
      </c>
      <c r="CK74">
        <f>IFERROR(INDEX(PP_Grid[#Data],$DD74,87),0)</f>
        <v/>
      </c>
      <c r="CL74">
        <f>IFERROR(INDEX(PP_Grid[#Data],$DD74,88),0)</f>
        <v/>
      </c>
      <c r="CM74">
        <f>IFERROR(INDEX(PP_Grid[#Data],$DD74,89),0)</f>
        <v/>
      </c>
      <c r="CN74">
        <f>IFERROR(INDEX(PP_Grid[#Data],$DD74,90),0)</f>
        <v/>
      </c>
      <c r="CO74">
        <f>IFERROR(INDEX(PP_Grid[#Data],$DD74,91),0)</f>
        <v/>
      </c>
      <c r="CP74">
        <f>IFERROR(INDEX(PP_Grid[#Data],$DD74,92),0)</f>
        <v/>
      </c>
      <c r="CQ74">
        <f>IFERROR(INDEX(PP_Grid[#Data],$DD74,93),0)</f>
        <v/>
      </c>
      <c r="CR74">
        <f>IFERROR(INDEX(PP_Grid[#Data],$DD74,94),0)</f>
        <v/>
      </c>
      <c r="CS74">
        <f>IFERROR(INDEX(PP_Grid[#Data],$DD74,95),0)</f>
        <v/>
      </c>
      <c r="CT74">
        <f>IFERROR(INDEX(PP_Grid[#Data],$DD74,96),0)</f>
        <v/>
      </c>
      <c r="CU74">
        <f>IFERROR(INDEX(PP_Grid[#Data],$DD74,97),0)</f>
        <v/>
      </c>
      <c r="CV74">
        <f>IFERROR(INDEX(PP_Grid[#Data],$DD74,98),0)</f>
        <v/>
      </c>
      <c r="CW74">
        <f>IFERROR(INDEX(PP_Grid[#Data],$DD74,99),0)</f>
        <v/>
      </c>
      <c r="CX74">
        <f>IFERROR(INDEX(PP_Grid[#Data],$DD74,100),0)</f>
        <v/>
      </c>
      <c r="CY74">
        <f>IFERROR(INDEX(PP_Grid[#Data],$DD74,101),0)</f>
        <v/>
      </c>
      <c r="CZ74">
        <f>IFERROR(INDEX(PP_Grid[#Data],$DD74,102),0)</f>
        <v/>
      </c>
      <c r="DA74">
        <f>IFERROR(INDEX(PP_Grid[#Data],$DD74,103),0)</f>
        <v/>
      </c>
      <c r="DB74">
        <f>IFERROR(INDEX(PP_Grid[#Data],$DD74,104),0)</f>
        <v/>
      </c>
      <c r="DC74">
        <f>IFERROR(INDEX(PP_Grid[#Data],$DD74,105),0)</f>
        <v/>
      </c>
      <c r="DD74" s="12">
        <f>IFERROR(MATCH($B74,PP_Grid[Intermediate],0),99999)</f>
        <v/>
      </c>
    </row>
    <row r="75">
      <c r="B75" t="inlineStr">
        <is>
          <t>使用量(kg)</t>
        </is>
      </c>
      <c r="C75">
        <f>SUMIFS(M_BOM[RM_Qty_Per_Batch],M_BOM[Intermediate],$B74,M_BOM[Part Name],$A69)</f>
        <v/>
      </c>
      <c r="D75">
        <f>$C75*D74</f>
        <v/>
      </c>
      <c r="E75">
        <f>$C75*E74</f>
        <v/>
      </c>
      <c r="F75">
        <f>$C75*F74</f>
        <v/>
      </c>
      <c r="G75">
        <f>$C75*G74</f>
        <v/>
      </c>
      <c r="H75">
        <f>$C75*H74</f>
        <v/>
      </c>
      <c r="I75">
        <f>$C75*I74</f>
        <v/>
      </c>
      <c r="J75">
        <f>$C75*J74</f>
        <v/>
      </c>
      <c r="K75">
        <f>$C75*K74</f>
        <v/>
      </c>
      <c r="L75">
        <f>$C75*L74</f>
        <v/>
      </c>
      <c r="M75">
        <f>$C75*M74</f>
        <v/>
      </c>
      <c r="N75">
        <f>$C75*N74</f>
        <v/>
      </c>
      <c r="O75">
        <f>$C75*O74</f>
        <v/>
      </c>
      <c r="P75">
        <f>$C75*P74</f>
        <v/>
      </c>
      <c r="Q75">
        <f>$C75*Q74</f>
        <v/>
      </c>
      <c r="R75">
        <f>$C75*R74</f>
        <v/>
      </c>
      <c r="S75">
        <f>$C75*S74</f>
        <v/>
      </c>
      <c r="T75">
        <f>$C75*T74</f>
        <v/>
      </c>
      <c r="U75">
        <f>$C75*U74</f>
        <v/>
      </c>
      <c r="V75">
        <f>$C75*V74</f>
        <v/>
      </c>
      <c r="W75">
        <f>$C75*W74</f>
        <v/>
      </c>
      <c r="X75">
        <f>$C75*X74</f>
        <v/>
      </c>
      <c r="Y75">
        <f>$C75*Y74</f>
        <v/>
      </c>
      <c r="Z75">
        <f>$C75*Z74</f>
        <v/>
      </c>
      <c r="AA75">
        <f>$C75*AA74</f>
        <v/>
      </c>
      <c r="AB75">
        <f>$C75*AB74</f>
        <v/>
      </c>
      <c r="AC75">
        <f>$C75*AC74</f>
        <v/>
      </c>
      <c r="AD75">
        <f>$C75*AD74</f>
        <v/>
      </c>
      <c r="AE75">
        <f>$C75*AE74</f>
        <v/>
      </c>
      <c r="AF75">
        <f>$C75*AF74</f>
        <v/>
      </c>
      <c r="AG75">
        <f>$C75*AG74</f>
        <v/>
      </c>
      <c r="AH75">
        <f>$C75*AH74</f>
        <v/>
      </c>
      <c r="AI75">
        <f>$C75*AI74</f>
        <v/>
      </c>
      <c r="AJ75">
        <f>$C75*AJ74</f>
        <v/>
      </c>
      <c r="AK75">
        <f>$C75*AK74</f>
        <v/>
      </c>
      <c r="AL75">
        <f>$C75*AL74</f>
        <v/>
      </c>
      <c r="AM75">
        <f>$C75*AM74</f>
        <v/>
      </c>
      <c r="AN75">
        <f>$C75*AN74</f>
        <v/>
      </c>
      <c r="AO75">
        <f>$C75*AO74</f>
        <v/>
      </c>
      <c r="AP75">
        <f>$C75*AP74</f>
        <v/>
      </c>
      <c r="AQ75">
        <f>$C75*AQ74</f>
        <v/>
      </c>
      <c r="AR75">
        <f>$C75*AR74</f>
        <v/>
      </c>
      <c r="AS75">
        <f>$C75*AS74</f>
        <v/>
      </c>
      <c r="AT75">
        <f>$C75*AT74</f>
        <v/>
      </c>
      <c r="AU75">
        <f>$C75*AU74</f>
        <v/>
      </c>
      <c r="AV75">
        <f>$C75*AV74</f>
        <v/>
      </c>
      <c r="AW75">
        <f>$C75*AW74</f>
        <v/>
      </c>
      <c r="AX75">
        <f>$C75*AX74</f>
        <v/>
      </c>
      <c r="AY75">
        <f>$C75*AY74</f>
        <v/>
      </c>
      <c r="AZ75">
        <f>$C75*AZ74</f>
        <v/>
      </c>
      <c r="BA75">
        <f>$C75*BA74</f>
        <v/>
      </c>
      <c r="BB75">
        <f>$C75*BB74</f>
        <v/>
      </c>
      <c r="BC75">
        <f>$C75*BC74</f>
        <v/>
      </c>
      <c r="BD75">
        <f>$C75*BD74</f>
        <v/>
      </c>
      <c r="BE75">
        <f>$C75*BE74</f>
        <v/>
      </c>
      <c r="BF75">
        <f>$C75*BF74</f>
        <v/>
      </c>
      <c r="BG75">
        <f>$C75*BG74</f>
        <v/>
      </c>
      <c r="BH75">
        <f>$C75*BH74</f>
        <v/>
      </c>
      <c r="BI75">
        <f>$C75*BI74</f>
        <v/>
      </c>
      <c r="BJ75">
        <f>$C75*BJ74</f>
        <v/>
      </c>
      <c r="BK75">
        <f>$C75*BK74</f>
        <v/>
      </c>
      <c r="BL75">
        <f>$C75*BL74</f>
        <v/>
      </c>
      <c r="BM75">
        <f>$C75*BM74</f>
        <v/>
      </c>
      <c r="BN75">
        <f>$C75*BN74</f>
        <v/>
      </c>
      <c r="BO75">
        <f>$C75*BO74</f>
        <v/>
      </c>
      <c r="BP75">
        <f>$C75*BP74</f>
        <v/>
      </c>
      <c r="BQ75">
        <f>$C75*BQ74</f>
        <v/>
      </c>
      <c r="BR75">
        <f>$C75*BR74</f>
        <v/>
      </c>
      <c r="BS75">
        <f>$C75*BS74</f>
        <v/>
      </c>
      <c r="BT75">
        <f>$C75*BT74</f>
        <v/>
      </c>
      <c r="BU75">
        <f>$C75*BU74</f>
        <v/>
      </c>
      <c r="BV75">
        <f>$C75*BV74</f>
        <v/>
      </c>
      <c r="BW75">
        <f>$C75*BW74</f>
        <v/>
      </c>
      <c r="BX75">
        <f>$C75*BX74</f>
        <v/>
      </c>
      <c r="BY75">
        <f>$C75*BY74</f>
        <v/>
      </c>
      <c r="BZ75">
        <f>$C75*BZ74</f>
        <v/>
      </c>
      <c r="CA75">
        <f>$C75*CA74</f>
        <v/>
      </c>
      <c r="CB75">
        <f>$C75*CB74</f>
        <v/>
      </c>
      <c r="CC75">
        <f>$C75*CC74</f>
        <v/>
      </c>
      <c r="CD75">
        <f>$C75*CD74</f>
        <v/>
      </c>
      <c r="CE75">
        <f>$C75*CE74</f>
        <v/>
      </c>
      <c r="CF75">
        <f>$C75*CF74</f>
        <v/>
      </c>
      <c r="CG75">
        <f>$C75*CG74</f>
        <v/>
      </c>
      <c r="CH75">
        <f>$C75*CH74</f>
        <v/>
      </c>
      <c r="CI75">
        <f>$C75*CI74</f>
        <v/>
      </c>
      <c r="CJ75">
        <f>$C75*CJ74</f>
        <v/>
      </c>
      <c r="CK75">
        <f>$C75*CK74</f>
        <v/>
      </c>
      <c r="CL75">
        <f>$C75*CL74</f>
        <v/>
      </c>
      <c r="CM75">
        <f>$C75*CM74</f>
        <v/>
      </c>
      <c r="CN75">
        <f>$C75*CN74</f>
        <v/>
      </c>
      <c r="CO75">
        <f>$C75*CO74</f>
        <v/>
      </c>
      <c r="CP75">
        <f>$C75*CP74</f>
        <v/>
      </c>
      <c r="CQ75">
        <f>$C75*CQ74</f>
        <v/>
      </c>
      <c r="CR75">
        <f>$C75*CR74</f>
        <v/>
      </c>
      <c r="CS75">
        <f>$C75*CS74</f>
        <v/>
      </c>
      <c r="CT75">
        <f>$C75*CT74</f>
        <v/>
      </c>
      <c r="CU75">
        <f>$C75*CU74</f>
        <v/>
      </c>
      <c r="CV75">
        <f>$C75*CV74</f>
        <v/>
      </c>
      <c r="CW75">
        <f>$C75*CW74</f>
        <v/>
      </c>
      <c r="CX75">
        <f>$C75*CX74</f>
        <v/>
      </c>
      <c r="CY75">
        <f>$C75*CY74</f>
        <v/>
      </c>
      <c r="CZ75">
        <f>$C75*CZ74</f>
        <v/>
      </c>
      <c r="DA75">
        <f>$C75*DA74</f>
        <v/>
      </c>
      <c r="DB75">
        <f>$C75*DB74</f>
        <v/>
      </c>
      <c r="DC75">
        <f>$C75*DC74</f>
        <v/>
      </c>
    </row>
    <row r="76">
      <c r="B76" t="inlineStr">
        <is>
          <t>F2210</t>
        </is>
      </c>
      <c r="C76" t="inlineStr">
        <is>
          <t>No. of batches</t>
        </is>
      </c>
      <c r="D76">
        <f>IFERROR(INDEX(PP_Grid[#Data],$DD76,2),0)</f>
        <v/>
      </c>
      <c r="E76">
        <f>IFERROR(INDEX(PP_Grid[#Data],$DD76,3),0)</f>
        <v/>
      </c>
      <c r="F76">
        <f>IFERROR(INDEX(PP_Grid[#Data],$DD76,4),0)</f>
        <v/>
      </c>
      <c r="G76">
        <f>IFERROR(INDEX(PP_Grid[#Data],$DD76,5),0)</f>
        <v/>
      </c>
      <c r="H76">
        <f>IFERROR(INDEX(PP_Grid[#Data],$DD76,6),0)</f>
        <v/>
      </c>
      <c r="I76">
        <f>IFERROR(INDEX(PP_Grid[#Data],$DD76,7),0)</f>
        <v/>
      </c>
      <c r="J76">
        <f>IFERROR(INDEX(PP_Grid[#Data],$DD76,8),0)</f>
        <v/>
      </c>
      <c r="K76">
        <f>IFERROR(INDEX(PP_Grid[#Data],$DD76,9),0)</f>
        <v/>
      </c>
      <c r="L76">
        <f>IFERROR(INDEX(PP_Grid[#Data],$DD76,10),0)</f>
        <v/>
      </c>
      <c r="M76">
        <f>IFERROR(INDEX(PP_Grid[#Data],$DD76,11),0)</f>
        <v/>
      </c>
      <c r="N76">
        <f>IFERROR(INDEX(PP_Grid[#Data],$DD76,12),0)</f>
        <v/>
      </c>
      <c r="O76">
        <f>IFERROR(INDEX(PP_Grid[#Data],$DD76,13),0)</f>
        <v/>
      </c>
      <c r="P76">
        <f>IFERROR(INDEX(PP_Grid[#Data],$DD76,14),0)</f>
        <v/>
      </c>
      <c r="Q76">
        <f>IFERROR(INDEX(PP_Grid[#Data],$DD76,15),0)</f>
        <v/>
      </c>
      <c r="R76">
        <f>IFERROR(INDEX(PP_Grid[#Data],$DD76,16),0)</f>
        <v/>
      </c>
      <c r="S76">
        <f>IFERROR(INDEX(PP_Grid[#Data],$DD76,17),0)</f>
        <v/>
      </c>
      <c r="T76">
        <f>IFERROR(INDEX(PP_Grid[#Data],$DD76,18),0)</f>
        <v/>
      </c>
      <c r="U76">
        <f>IFERROR(INDEX(PP_Grid[#Data],$DD76,19),0)</f>
        <v/>
      </c>
      <c r="V76">
        <f>IFERROR(INDEX(PP_Grid[#Data],$DD76,20),0)</f>
        <v/>
      </c>
      <c r="W76">
        <f>IFERROR(INDEX(PP_Grid[#Data],$DD76,21),0)</f>
        <v/>
      </c>
      <c r="X76">
        <f>IFERROR(INDEX(PP_Grid[#Data],$DD76,22),0)</f>
        <v/>
      </c>
      <c r="Y76">
        <f>IFERROR(INDEX(PP_Grid[#Data],$DD76,23),0)</f>
        <v/>
      </c>
      <c r="Z76">
        <f>IFERROR(INDEX(PP_Grid[#Data],$DD76,24),0)</f>
        <v/>
      </c>
      <c r="AA76">
        <f>IFERROR(INDEX(PP_Grid[#Data],$DD76,25),0)</f>
        <v/>
      </c>
      <c r="AB76">
        <f>IFERROR(INDEX(PP_Grid[#Data],$DD76,26),0)</f>
        <v/>
      </c>
      <c r="AC76">
        <f>IFERROR(INDEX(PP_Grid[#Data],$DD76,27),0)</f>
        <v/>
      </c>
      <c r="AD76">
        <f>IFERROR(INDEX(PP_Grid[#Data],$DD76,28),0)</f>
        <v/>
      </c>
      <c r="AE76">
        <f>IFERROR(INDEX(PP_Grid[#Data],$DD76,29),0)</f>
        <v/>
      </c>
      <c r="AF76">
        <f>IFERROR(INDEX(PP_Grid[#Data],$DD76,30),0)</f>
        <v/>
      </c>
      <c r="AG76">
        <f>IFERROR(INDEX(PP_Grid[#Data],$DD76,31),0)</f>
        <v/>
      </c>
      <c r="AH76">
        <f>IFERROR(INDEX(PP_Grid[#Data],$DD76,32),0)</f>
        <v/>
      </c>
      <c r="AI76">
        <f>IFERROR(INDEX(PP_Grid[#Data],$DD76,33),0)</f>
        <v/>
      </c>
      <c r="AJ76">
        <f>IFERROR(INDEX(PP_Grid[#Data],$DD76,34),0)</f>
        <v/>
      </c>
      <c r="AK76">
        <f>IFERROR(INDEX(PP_Grid[#Data],$DD76,35),0)</f>
        <v/>
      </c>
      <c r="AL76">
        <f>IFERROR(INDEX(PP_Grid[#Data],$DD76,36),0)</f>
        <v/>
      </c>
      <c r="AM76">
        <f>IFERROR(INDEX(PP_Grid[#Data],$DD76,37),0)</f>
        <v/>
      </c>
      <c r="AN76">
        <f>IFERROR(INDEX(PP_Grid[#Data],$DD76,38),0)</f>
        <v/>
      </c>
      <c r="AO76">
        <f>IFERROR(INDEX(PP_Grid[#Data],$DD76,39),0)</f>
        <v/>
      </c>
      <c r="AP76">
        <f>IFERROR(INDEX(PP_Grid[#Data],$DD76,40),0)</f>
        <v/>
      </c>
      <c r="AQ76">
        <f>IFERROR(INDEX(PP_Grid[#Data],$DD76,41),0)</f>
        <v/>
      </c>
      <c r="AR76">
        <f>IFERROR(INDEX(PP_Grid[#Data],$DD76,42),0)</f>
        <v/>
      </c>
      <c r="AS76">
        <f>IFERROR(INDEX(PP_Grid[#Data],$DD76,43),0)</f>
        <v/>
      </c>
      <c r="AT76">
        <f>IFERROR(INDEX(PP_Grid[#Data],$DD76,44),0)</f>
        <v/>
      </c>
      <c r="AU76">
        <f>IFERROR(INDEX(PP_Grid[#Data],$DD76,45),0)</f>
        <v/>
      </c>
      <c r="AV76">
        <f>IFERROR(INDEX(PP_Grid[#Data],$DD76,46),0)</f>
        <v/>
      </c>
      <c r="AW76">
        <f>IFERROR(INDEX(PP_Grid[#Data],$DD76,47),0)</f>
        <v/>
      </c>
      <c r="AX76">
        <f>IFERROR(INDEX(PP_Grid[#Data],$DD76,48),0)</f>
        <v/>
      </c>
      <c r="AY76">
        <f>IFERROR(INDEX(PP_Grid[#Data],$DD76,49),0)</f>
        <v/>
      </c>
      <c r="AZ76">
        <f>IFERROR(INDEX(PP_Grid[#Data],$DD76,50),0)</f>
        <v/>
      </c>
      <c r="BA76">
        <f>IFERROR(INDEX(PP_Grid[#Data],$DD76,51),0)</f>
        <v/>
      </c>
      <c r="BB76">
        <f>IFERROR(INDEX(PP_Grid[#Data],$DD76,52),0)</f>
        <v/>
      </c>
      <c r="BC76">
        <f>IFERROR(INDEX(PP_Grid[#Data],$DD76,53),0)</f>
        <v/>
      </c>
      <c r="BD76">
        <f>IFERROR(INDEX(PP_Grid[#Data],$DD76,54),0)</f>
        <v/>
      </c>
      <c r="BE76">
        <f>IFERROR(INDEX(PP_Grid[#Data],$DD76,55),0)</f>
        <v/>
      </c>
      <c r="BF76">
        <f>IFERROR(INDEX(PP_Grid[#Data],$DD76,56),0)</f>
        <v/>
      </c>
      <c r="BG76">
        <f>IFERROR(INDEX(PP_Grid[#Data],$DD76,57),0)</f>
        <v/>
      </c>
      <c r="BH76">
        <f>IFERROR(INDEX(PP_Grid[#Data],$DD76,58),0)</f>
        <v/>
      </c>
      <c r="BI76">
        <f>IFERROR(INDEX(PP_Grid[#Data],$DD76,59),0)</f>
        <v/>
      </c>
      <c r="BJ76">
        <f>IFERROR(INDEX(PP_Grid[#Data],$DD76,60),0)</f>
        <v/>
      </c>
      <c r="BK76">
        <f>IFERROR(INDEX(PP_Grid[#Data],$DD76,61),0)</f>
        <v/>
      </c>
      <c r="BL76">
        <f>IFERROR(INDEX(PP_Grid[#Data],$DD76,62),0)</f>
        <v/>
      </c>
      <c r="BM76">
        <f>IFERROR(INDEX(PP_Grid[#Data],$DD76,63),0)</f>
        <v/>
      </c>
      <c r="BN76">
        <f>IFERROR(INDEX(PP_Grid[#Data],$DD76,64),0)</f>
        <v/>
      </c>
      <c r="BO76">
        <f>IFERROR(INDEX(PP_Grid[#Data],$DD76,65),0)</f>
        <v/>
      </c>
      <c r="BP76">
        <f>IFERROR(INDEX(PP_Grid[#Data],$DD76,66),0)</f>
        <v/>
      </c>
      <c r="BQ76">
        <f>IFERROR(INDEX(PP_Grid[#Data],$DD76,67),0)</f>
        <v/>
      </c>
      <c r="BR76">
        <f>IFERROR(INDEX(PP_Grid[#Data],$DD76,68),0)</f>
        <v/>
      </c>
      <c r="BS76">
        <f>IFERROR(INDEX(PP_Grid[#Data],$DD76,69),0)</f>
        <v/>
      </c>
      <c r="BT76">
        <f>IFERROR(INDEX(PP_Grid[#Data],$DD76,70),0)</f>
        <v/>
      </c>
      <c r="BU76">
        <f>IFERROR(INDEX(PP_Grid[#Data],$DD76,71),0)</f>
        <v/>
      </c>
      <c r="BV76">
        <f>IFERROR(INDEX(PP_Grid[#Data],$DD76,72),0)</f>
        <v/>
      </c>
      <c r="BW76">
        <f>IFERROR(INDEX(PP_Grid[#Data],$DD76,73),0)</f>
        <v/>
      </c>
      <c r="BX76">
        <f>IFERROR(INDEX(PP_Grid[#Data],$DD76,74),0)</f>
        <v/>
      </c>
      <c r="BY76">
        <f>IFERROR(INDEX(PP_Grid[#Data],$DD76,75),0)</f>
        <v/>
      </c>
      <c r="BZ76">
        <f>IFERROR(INDEX(PP_Grid[#Data],$DD76,76),0)</f>
        <v/>
      </c>
      <c r="CA76">
        <f>IFERROR(INDEX(PP_Grid[#Data],$DD76,77),0)</f>
        <v/>
      </c>
      <c r="CB76">
        <f>IFERROR(INDEX(PP_Grid[#Data],$DD76,78),0)</f>
        <v/>
      </c>
      <c r="CC76">
        <f>IFERROR(INDEX(PP_Grid[#Data],$DD76,79),0)</f>
        <v/>
      </c>
      <c r="CD76">
        <f>IFERROR(INDEX(PP_Grid[#Data],$DD76,80),0)</f>
        <v/>
      </c>
      <c r="CE76">
        <f>IFERROR(INDEX(PP_Grid[#Data],$DD76,81),0)</f>
        <v/>
      </c>
      <c r="CF76">
        <f>IFERROR(INDEX(PP_Grid[#Data],$DD76,82),0)</f>
        <v/>
      </c>
      <c r="CG76">
        <f>IFERROR(INDEX(PP_Grid[#Data],$DD76,83),0)</f>
        <v/>
      </c>
      <c r="CH76">
        <f>IFERROR(INDEX(PP_Grid[#Data],$DD76,84),0)</f>
        <v/>
      </c>
      <c r="CI76">
        <f>IFERROR(INDEX(PP_Grid[#Data],$DD76,85),0)</f>
        <v/>
      </c>
      <c r="CJ76">
        <f>IFERROR(INDEX(PP_Grid[#Data],$DD76,86),0)</f>
        <v/>
      </c>
      <c r="CK76">
        <f>IFERROR(INDEX(PP_Grid[#Data],$DD76,87),0)</f>
        <v/>
      </c>
      <c r="CL76">
        <f>IFERROR(INDEX(PP_Grid[#Data],$DD76,88),0)</f>
        <v/>
      </c>
      <c r="CM76">
        <f>IFERROR(INDEX(PP_Grid[#Data],$DD76,89),0)</f>
        <v/>
      </c>
      <c r="CN76">
        <f>IFERROR(INDEX(PP_Grid[#Data],$DD76,90),0)</f>
        <v/>
      </c>
      <c r="CO76">
        <f>IFERROR(INDEX(PP_Grid[#Data],$DD76,91),0)</f>
        <v/>
      </c>
      <c r="CP76">
        <f>IFERROR(INDEX(PP_Grid[#Data],$DD76,92),0)</f>
        <v/>
      </c>
      <c r="CQ76">
        <f>IFERROR(INDEX(PP_Grid[#Data],$DD76,93),0)</f>
        <v/>
      </c>
      <c r="CR76">
        <f>IFERROR(INDEX(PP_Grid[#Data],$DD76,94),0)</f>
        <v/>
      </c>
      <c r="CS76">
        <f>IFERROR(INDEX(PP_Grid[#Data],$DD76,95),0)</f>
        <v/>
      </c>
      <c r="CT76">
        <f>IFERROR(INDEX(PP_Grid[#Data],$DD76,96),0)</f>
        <v/>
      </c>
      <c r="CU76">
        <f>IFERROR(INDEX(PP_Grid[#Data],$DD76,97),0)</f>
        <v/>
      </c>
      <c r="CV76">
        <f>IFERROR(INDEX(PP_Grid[#Data],$DD76,98),0)</f>
        <v/>
      </c>
      <c r="CW76">
        <f>IFERROR(INDEX(PP_Grid[#Data],$DD76,99),0)</f>
        <v/>
      </c>
      <c r="CX76">
        <f>IFERROR(INDEX(PP_Grid[#Data],$DD76,100),0)</f>
        <v/>
      </c>
      <c r="CY76">
        <f>IFERROR(INDEX(PP_Grid[#Data],$DD76,101),0)</f>
        <v/>
      </c>
      <c r="CZ76">
        <f>IFERROR(INDEX(PP_Grid[#Data],$DD76,102),0)</f>
        <v/>
      </c>
      <c r="DA76">
        <f>IFERROR(INDEX(PP_Grid[#Data],$DD76,103),0)</f>
        <v/>
      </c>
      <c r="DB76">
        <f>IFERROR(INDEX(PP_Grid[#Data],$DD76,104),0)</f>
        <v/>
      </c>
      <c r="DC76">
        <f>IFERROR(INDEX(PP_Grid[#Data],$DD76,105),0)</f>
        <v/>
      </c>
      <c r="DD76" s="12">
        <f>IFERROR(MATCH($B76,PP_Grid[Intermediate],0),99999)</f>
        <v/>
      </c>
    </row>
    <row r="77">
      <c r="B77" t="inlineStr">
        <is>
          <t>使用量(kg)</t>
        </is>
      </c>
      <c r="C77">
        <f>SUMIFS(M_BOM[RM_Qty_Per_Batch],M_BOM[Intermediate],$B76,M_BOM[Part Name],$A69)</f>
        <v/>
      </c>
      <c r="D77">
        <f>$C77*D76</f>
        <v/>
      </c>
      <c r="E77">
        <f>$C77*E76</f>
        <v/>
      </c>
      <c r="F77">
        <f>$C77*F76</f>
        <v/>
      </c>
      <c r="G77">
        <f>$C77*G76</f>
        <v/>
      </c>
      <c r="H77">
        <f>$C77*H76</f>
        <v/>
      </c>
      <c r="I77">
        <f>$C77*I76</f>
        <v/>
      </c>
      <c r="J77">
        <f>$C77*J76</f>
        <v/>
      </c>
      <c r="K77">
        <f>$C77*K76</f>
        <v/>
      </c>
      <c r="L77">
        <f>$C77*L76</f>
        <v/>
      </c>
      <c r="M77">
        <f>$C77*M76</f>
        <v/>
      </c>
      <c r="N77">
        <f>$C77*N76</f>
        <v/>
      </c>
      <c r="O77">
        <f>$C77*O76</f>
        <v/>
      </c>
      <c r="P77">
        <f>$C77*P76</f>
        <v/>
      </c>
      <c r="Q77">
        <f>$C77*Q76</f>
        <v/>
      </c>
      <c r="R77">
        <f>$C77*R76</f>
        <v/>
      </c>
      <c r="S77">
        <f>$C77*S76</f>
        <v/>
      </c>
      <c r="T77">
        <f>$C77*T76</f>
        <v/>
      </c>
      <c r="U77">
        <f>$C77*U76</f>
        <v/>
      </c>
      <c r="V77">
        <f>$C77*V76</f>
        <v/>
      </c>
      <c r="W77">
        <f>$C77*W76</f>
        <v/>
      </c>
      <c r="X77">
        <f>$C77*X76</f>
        <v/>
      </c>
      <c r="Y77">
        <f>$C77*Y76</f>
        <v/>
      </c>
      <c r="Z77">
        <f>$C77*Z76</f>
        <v/>
      </c>
      <c r="AA77">
        <f>$C77*AA76</f>
        <v/>
      </c>
      <c r="AB77">
        <f>$C77*AB76</f>
        <v/>
      </c>
      <c r="AC77">
        <f>$C77*AC76</f>
        <v/>
      </c>
      <c r="AD77">
        <f>$C77*AD76</f>
        <v/>
      </c>
      <c r="AE77">
        <f>$C77*AE76</f>
        <v/>
      </c>
      <c r="AF77">
        <f>$C77*AF76</f>
        <v/>
      </c>
      <c r="AG77">
        <f>$C77*AG76</f>
        <v/>
      </c>
      <c r="AH77">
        <f>$C77*AH76</f>
        <v/>
      </c>
      <c r="AI77">
        <f>$C77*AI76</f>
        <v/>
      </c>
      <c r="AJ77">
        <f>$C77*AJ76</f>
        <v/>
      </c>
      <c r="AK77">
        <f>$C77*AK76</f>
        <v/>
      </c>
      <c r="AL77">
        <f>$C77*AL76</f>
        <v/>
      </c>
      <c r="AM77">
        <f>$C77*AM76</f>
        <v/>
      </c>
      <c r="AN77">
        <f>$C77*AN76</f>
        <v/>
      </c>
      <c r="AO77">
        <f>$C77*AO76</f>
        <v/>
      </c>
      <c r="AP77">
        <f>$C77*AP76</f>
        <v/>
      </c>
      <c r="AQ77">
        <f>$C77*AQ76</f>
        <v/>
      </c>
      <c r="AR77">
        <f>$C77*AR76</f>
        <v/>
      </c>
      <c r="AS77">
        <f>$C77*AS76</f>
        <v/>
      </c>
      <c r="AT77">
        <f>$C77*AT76</f>
        <v/>
      </c>
      <c r="AU77">
        <f>$C77*AU76</f>
        <v/>
      </c>
      <c r="AV77">
        <f>$C77*AV76</f>
        <v/>
      </c>
      <c r="AW77">
        <f>$C77*AW76</f>
        <v/>
      </c>
      <c r="AX77">
        <f>$C77*AX76</f>
        <v/>
      </c>
      <c r="AY77">
        <f>$C77*AY76</f>
        <v/>
      </c>
      <c r="AZ77">
        <f>$C77*AZ76</f>
        <v/>
      </c>
      <c r="BA77">
        <f>$C77*BA76</f>
        <v/>
      </c>
      <c r="BB77">
        <f>$C77*BB76</f>
        <v/>
      </c>
      <c r="BC77">
        <f>$C77*BC76</f>
        <v/>
      </c>
      <c r="BD77">
        <f>$C77*BD76</f>
        <v/>
      </c>
      <c r="BE77">
        <f>$C77*BE76</f>
        <v/>
      </c>
      <c r="BF77">
        <f>$C77*BF76</f>
        <v/>
      </c>
      <c r="BG77">
        <f>$C77*BG76</f>
        <v/>
      </c>
      <c r="BH77">
        <f>$C77*BH76</f>
        <v/>
      </c>
      <c r="BI77">
        <f>$C77*BI76</f>
        <v/>
      </c>
      <c r="BJ77">
        <f>$C77*BJ76</f>
        <v/>
      </c>
      <c r="BK77">
        <f>$C77*BK76</f>
        <v/>
      </c>
      <c r="BL77">
        <f>$C77*BL76</f>
        <v/>
      </c>
      <c r="BM77">
        <f>$C77*BM76</f>
        <v/>
      </c>
      <c r="BN77">
        <f>$C77*BN76</f>
        <v/>
      </c>
      <c r="BO77">
        <f>$C77*BO76</f>
        <v/>
      </c>
      <c r="BP77">
        <f>$C77*BP76</f>
        <v/>
      </c>
      <c r="BQ77">
        <f>$C77*BQ76</f>
        <v/>
      </c>
      <c r="BR77">
        <f>$C77*BR76</f>
        <v/>
      </c>
      <c r="BS77">
        <f>$C77*BS76</f>
        <v/>
      </c>
      <c r="BT77">
        <f>$C77*BT76</f>
        <v/>
      </c>
      <c r="BU77">
        <f>$C77*BU76</f>
        <v/>
      </c>
      <c r="BV77">
        <f>$C77*BV76</f>
        <v/>
      </c>
      <c r="BW77">
        <f>$C77*BW76</f>
        <v/>
      </c>
      <c r="BX77">
        <f>$C77*BX76</f>
        <v/>
      </c>
      <c r="BY77">
        <f>$C77*BY76</f>
        <v/>
      </c>
      <c r="BZ77">
        <f>$C77*BZ76</f>
        <v/>
      </c>
      <c r="CA77">
        <f>$C77*CA76</f>
        <v/>
      </c>
      <c r="CB77">
        <f>$C77*CB76</f>
        <v/>
      </c>
      <c r="CC77">
        <f>$C77*CC76</f>
        <v/>
      </c>
      <c r="CD77">
        <f>$C77*CD76</f>
        <v/>
      </c>
      <c r="CE77">
        <f>$C77*CE76</f>
        <v/>
      </c>
      <c r="CF77">
        <f>$C77*CF76</f>
        <v/>
      </c>
      <c r="CG77">
        <f>$C77*CG76</f>
        <v/>
      </c>
      <c r="CH77">
        <f>$C77*CH76</f>
        <v/>
      </c>
      <c r="CI77">
        <f>$C77*CI76</f>
        <v/>
      </c>
      <c r="CJ77">
        <f>$C77*CJ76</f>
        <v/>
      </c>
      <c r="CK77">
        <f>$C77*CK76</f>
        <v/>
      </c>
      <c r="CL77">
        <f>$C77*CL76</f>
        <v/>
      </c>
      <c r="CM77">
        <f>$C77*CM76</f>
        <v/>
      </c>
      <c r="CN77">
        <f>$C77*CN76</f>
        <v/>
      </c>
      <c r="CO77">
        <f>$C77*CO76</f>
        <v/>
      </c>
      <c r="CP77">
        <f>$C77*CP76</f>
        <v/>
      </c>
      <c r="CQ77">
        <f>$C77*CQ76</f>
        <v/>
      </c>
      <c r="CR77">
        <f>$C77*CR76</f>
        <v/>
      </c>
      <c r="CS77">
        <f>$C77*CS76</f>
        <v/>
      </c>
      <c r="CT77">
        <f>$C77*CT76</f>
        <v/>
      </c>
      <c r="CU77">
        <f>$C77*CU76</f>
        <v/>
      </c>
      <c r="CV77">
        <f>$C77*CV76</f>
        <v/>
      </c>
      <c r="CW77">
        <f>$C77*CW76</f>
        <v/>
      </c>
      <c r="CX77">
        <f>$C77*CX76</f>
        <v/>
      </c>
      <c r="CY77">
        <f>$C77*CY76</f>
        <v/>
      </c>
      <c r="CZ77">
        <f>$C77*CZ76</f>
        <v/>
      </c>
      <c r="DA77">
        <f>$C77*DA76</f>
        <v/>
      </c>
      <c r="DB77">
        <f>$C77*DB76</f>
        <v/>
      </c>
      <c r="DC77">
        <f>$C77*DC76</f>
        <v/>
      </c>
    </row>
    <row r="78">
      <c r="B78" t="inlineStr">
        <is>
          <t>F2350</t>
        </is>
      </c>
      <c r="C78" t="inlineStr">
        <is>
          <t>No. of batches</t>
        </is>
      </c>
      <c r="D78">
        <f>IFERROR(INDEX(PP_Grid[#Data],$DD78,2),0)</f>
        <v/>
      </c>
      <c r="E78">
        <f>IFERROR(INDEX(PP_Grid[#Data],$DD78,3),0)</f>
        <v/>
      </c>
      <c r="F78">
        <f>IFERROR(INDEX(PP_Grid[#Data],$DD78,4),0)</f>
        <v/>
      </c>
      <c r="G78">
        <f>IFERROR(INDEX(PP_Grid[#Data],$DD78,5),0)</f>
        <v/>
      </c>
      <c r="H78">
        <f>IFERROR(INDEX(PP_Grid[#Data],$DD78,6),0)</f>
        <v/>
      </c>
      <c r="I78">
        <f>IFERROR(INDEX(PP_Grid[#Data],$DD78,7),0)</f>
        <v/>
      </c>
      <c r="J78">
        <f>IFERROR(INDEX(PP_Grid[#Data],$DD78,8),0)</f>
        <v/>
      </c>
      <c r="K78">
        <f>IFERROR(INDEX(PP_Grid[#Data],$DD78,9),0)</f>
        <v/>
      </c>
      <c r="L78">
        <f>IFERROR(INDEX(PP_Grid[#Data],$DD78,10),0)</f>
        <v/>
      </c>
      <c r="M78">
        <f>IFERROR(INDEX(PP_Grid[#Data],$DD78,11),0)</f>
        <v/>
      </c>
      <c r="N78">
        <f>IFERROR(INDEX(PP_Grid[#Data],$DD78,12),0)</f>
        <v/>
      </c>
      <c r="O78">
        <f>IFERROR(INDEX(PP_Grid[#Data],$DD78,13),0)</f>
        <v/>
      </c>
      <c r="P78">
        <f>IFERROR(INDEX(PP_Grid[#Data],$DD78,14),0)</f>
        <v/>
      </c>
      <c r="Q78">
        <f>IFERROR(INDEX(PP_Grid[#Data],$DD78,15),0)</f>
        <v/>
      </c>
      <c r="R78">
        <f>IFERROR(INDEX(PP_Grid[#Data],$DD78,16),0)</f>
        <v/>
      </c>
      <c r="S78">
        <f>IFERROR(INDEX(PP_Grid[#Data],$DD78,17),0)</f>
        <v/>
      </c>
      <c r="T78">
        <f>IFERROR(INDEX(PP_Grid[#Data],$DD78,18),0)</f>
        <v/>
      </c>
      <c r="U78">
        <f>IFERROR(INDEX(PP_Grid[#Data],$DD78,19),0)</f>
        <v/>
      </c>
      <c r="V78">
        <f>IFERROR(INDEX(PP_Grid[#Data],$DD78,20),0)</f>
        <v/>
      </c>
      <c r="W78">
        <f>IFERROR(INDEX(PP_Grid[#Data],$DD78,21),0)</f>
        <v/>
      </c>
      <c r="X78">
        <f>IFERROR(INDEX(PP_Grid[#Data],$DD78,22),0)</f>
        <v/>
      </c>
      <c r="Y78">
        <f>IFERROR(INDEX(PP_Grid[#Data],$DD78,23),0)</f>
        <v/>
      </c>
      <c r="Z78">
        <f>IFERROR(INDEX(PP_Grid[#Data],$DD78,24),0)</f>
        <v/>
      </c>
      <c r="AA78">
        <f>IFERROR(INDEX(PP_Grid[#Data],$DD78,25),0)</f>
        <v/>
      </c>
      <c r="AB78">
        <f>IFERROR(INDEX(PP_Grid[#Data],$DD78,26),0)</f>
        <v/>
      </c>
      <c r="AC78">
        <f>IFERROR(INDEX(PP_Grid[#Data],$DD78,27),0)</f>
        <v/>
      </c>
      <c r="AD78">
        <f>IFERROR(INDEX(PP_Grid[#Data],$DD78,28),0)</f>
        <v/>
      </c>
      <c r="AE78">
        <f>IFERROR(INDEX(PP_Grid[#Data],$DD78,29),0)</f>
        <v/>
      </c>
      <c r="AF78">
        <f>IFERROR(INDEX(PP_Grid[#Data],$DD78,30),0)</f>
        <v/>
      </c>
      <c r="AG78">
        <f>IFERROR(INDEX(PP_Grid[#Data],$DD78,31),0)</f>
        <v/>
      </c>
      <c r="AH78">
        <f>IFERROR(INDEX(PP_Grid[#Data],$DD78,32),0)</f>
        <v/>
      </c>
      <c r="AI78">
        <f>IFERROR(INDEX(PP_Grid[#Data],$DD78,33),0)</f>
        <v/>
      </c>
      <c r="AJ78">
        <f>IFERROR(INDEX(PP_Grid[#Data],$DD78,34),0)</f>
        <v/>
      </c>
      <c r="AK78">
        <f>IFERROR(INDEX(PP_Grid[#Data],$DD78,35),0)</f>
        <v/>
      </c>
      <c r="AL78">
        <f>IFERROR(INDEX(PP_Grid[#Data],$DD78,36),0)</f>
        <v/>
      </c>
      <c r="AM78">
        <f>IFERROR(INDEX(PP_Grid[#Data],$DD78,37),0)</f>
        <v/>
      </c>
      <c r="AN78">
        <f>IFERROR(INDEX(PP_Grid[#Data],$DD78,38),0)</f>
        <v/>
      </c>
      <c r="AO78">
        <f>IFERROR(INDEX(PP_Grid[#Data],$DD78,39),0)</f>
        <v/>
      </c>
      <c r="AP78">
        <f>IFERROR(INDEX(PP_Grid[#Data],$DD78,40),0)</f>
        <v/>
      </c>
      <c r="AQ78">
        <f>IFERROR(INDEX(PP_Grid[#Data],$DD78,41),0)</f>
        <v/>
      </c>
      <c r="AR78">
        <f>IFERROR(INDEX(PP_Grid[#Data],$DD78,42),0)</f>
        <v/>
      </c>
      <c r="AS78">
        <f>IFERROR(INDEX(PP_Grid[#Data],$DD78,43),0)</f>
        <v/>
      </c>
      <c r="AT78">
        <f>IFERROR(INDEX(PP_Grid[#Data],$DD78,44),0)</f>
        <v/>
      </c>
      <c r="AU78">
        <f>IFERROR(INDEX(PP_Grid[#Data],$DD78,45),0)</f>
        <v/>
      </c>
      <c r="AV78">
        <f>IFERROR(INDEX(PP_Grid[#Data],$DD78,46),0)</f>
        <v/>
      </c>
      <c r="AW78">
        <f>IFERROR(INDEX(PP_Grid[#Data],$DD78,47),0)</f>
        <v/>
      </c>
      <c r="AX78">
        <f>IFERROR(INDEX(PP_Grid[#Data],$DD78,48),0)</f>
        <v/>
      </c>
      <c r="AY78">
        <f>IFERROR(INDEX(PP_Grid[#Data],$DD78,49),0)</f>
        <v/>
      </c>
      <c r="AZ78">
        <f>IFERROR(INDEX(PP_Grid[#Data],$DD78,50),0)</f>
        <v/>
      </c>
      <c r="BA78">
        <f>IFERROR(INDEX(PP_Grid[#Data],$DD78,51),0)</f>
        <v/>
      </c>
      <c r="BB78">
        <f>IFERROR(INDEX(PP_Grid[#Data],$DD78,52),0)</f>
        <v/>
      </c>
      <c r="BC78">
        <f>IFERROR(INDEX(PP_Grid[#Data],$DD78,53),0)</f>
        <v/>
      </c>
      <c r="BD78">
        <f>IFERROR(INDEX(PP_Grid[#Data],$DD78,54),0)</f>
        <v/>
      </c>
      <c r="BE78">
        <f>IFERROR(INDEX(PP_Grid[#Data],$DD78,55),0)</f>
        <v/>
      </c>
      <c r="BF78">
        <f>IFERROR(INDEX(PP_Grid[#Data],$DD78,56),0)</f>
        <v/>
      </c>
      <c r="BG78">
        <f>IFERROR(INDEX(PP_Grid[#Data],$DD78,57),0)</f>
        <v/>
      </c>
      <c r="BH78">
        <f>IFERROR(INDEX(PP_Grid[#Data],$DD78,58),0)</f>
        <v/>
      </c>
      <c r="BI78">
        <f>IFERROR(INDEX(PP_Grid[#Data],$DD78,59),0)</f>
        <v/>
      </c>
      <c r="BJ78">
        <f>IFERROR(INDEX(PP_Grid[#Data],$DD78,60),0)</f>
        <v/>
      </c>
      <c r="BK78">
        <f>IFERROR(INDEX(PP_Grid[#Data],$DD78,61),0)</f>
        <v/>
      </c>
      <c r="BL78">
        <f>IFERROR(INDEX(PP_Grid[#Data],$DD78,62),0)</f>
        <v/>
      </c>
      <c r="BM78">
        <f>IFERROR(INDEX(PP_Grid[#Data],$DD78,63),0)</f>
        <v/>
      </c>
      <c r="BN78">
        <f>IFERROR(INDEX(PP_Grid[#Data],$DD78,64),0)</f>
        <v/>
      </c>
      <c r="BO78">
        <f>IFERROR(INDEX(PP_Grid[#Data],$DD78,65),0)</f>
        <v/>
      </c>
      <c r="BP78">
        <f>IFERROR(INDEX(PP_Grid[#Data],$DD78,66),0)</f>
        <v/>
      </c>
      <c r="BQ78">
        <f>IFERROR(INDEX(PP_Grid[#Data],$DD78,67),0)</f>
        <v/>
      </c>
      <c r="BR78">
        <f>IFERROR(INDEX(PP_Grid[#Data],$DD78,68),0)</f>
        <v/>
      </c>
      <c r="BS78">
        <f>IFERROR(INDEX(PP_Grid[#Data],$DD78,69),0)</f>
        <v/>
      </c>
      <c r="BT78">
        <f>IFERROR(INDEX(PP_Grid[#Data],$DD78,70),0)</f>
        <v/>
      </c>
      <c r="BU78">
        <f>IFERROR(INDEX(PP_Grid[#Data],$DD78,71),0)</f>
        <v/>
      </c>
      <c r="BV78">
        <f>IFERROR(INDEX(PP_Grid[#Data],$DD78,72),0)</f>
        <v/>
      </c>
      <c r="BW78">
        <f>IFERROR(INDEX(PP_Grid[#Data],$DD78,73),0)</f>
        <v/>
      </c>
      <c r="BX78">
        <f>IFERROR(INDEX(PP_Grid[#Data],$DD78,74),0)</f>
        <v/>
      </c>
      <c r="BY78">
        <f>IFERROR(INDEX(PP_Grid[#Data],$DD78,75),0)</f>
        <v/>
      </c>
      <c r="BZ78">
        <f>IFERROR(INDEX(PP_Grid[#Data],$DD78,76),0)</f>
        <v/>
      </c>
      <c r="CA78">
        <f>IFERROR(INDEX(PP_Grid[#Data],$DD78,77),0)</f>
        <v/>
      </c>
      <c r="CB78">
        <f>IFERROR(INDEX(PP_Grid[#Data],$DD78,78),0)</f>
        <v/>
      </c>
      <c r="CC78">
        <f>IFERROR(INDEX(PP_Grid[#Data],$DD78,79),0)</f>
        <v/>
      </c>
      <c r="CD78">
        <f>IFERROR(INDEX(PP_Grid[#Data],$DD78,80),0)</f>
        <v/>
      </c>
      <c r="CE78">
        <f>IFERROR(INDEX(PP_Grid[#Data],$DD78,81),0)</f>
        <v/>
      </c>
      <c r="CF78">
        <f>IFERROR(INDEX(PP_Grid[#Data],$DD78,82),0)</f>
        <v/>
      </c>
      <c r="CG78">
        <f>IFERROR(INDEX(PP_Grid[#Data],$DD78,83),0)</f>
        <v/>
      </c>
      <c r="CH78">
        <f>IFERROR(INDEX(PP_Grid[#Data],$DD78,84),0)</f>
        <v/>
      </c>
      <c r="CI78">
        <f>IFERROR(INDEX(PP_Grid[#Data],$DD78,85),0)</f>
        <v/>
      </c>
      <c r="CJ78">
        <f>IFERROR(INDEX(PP_Grid[#Data],$DD78,86),0)</f>
        <v/>
      </c>
      <c r="CK78">
        <f>IFERROR(INDEX(PP_Grid[#Data],$DD78,87),0)</f>
        <v/>
      </c>
      <c r="CL78">
        <f>IFERROR(INDEX(PP_Grid[#Data],$DD78,88),0)</f>
        <v/>
      </c>
      <c r="CM78">
        <f>IFERROR(INDEX(PP_Grid[#Data],$DD78,89),0)</f>
        <v/>
      </c>
      <c r="CN78">
        <f>IFERROR(INDEX(PP_Grid[#Data],$DD78,90),0)</f>
        <v/>
      </c>
      <c r="CO78">
        <f>IFERROR(INDEX(PP_Grid[#Data],$DD78,91),0)</f>
        <v/>
      </c>
      <c r="CP78">
        <f>IFERROR(INDEX(PP_Grid[#Data],$DD78,92),0)</f>
        <v/>
      </c>
      <c r="CQ78">
        <f>IFERROR(INDEX(PP_Grid[#Data],$DD78,93),0)</f>
        <v/>
      </c>
      <c r="CR78">
        <f>IFERROR(INDEX(PP_Grid[#Data],$DD78,94),0)</f>
        <v/>
      </c>
      <c r="CS78">
        <f>IFERROR(INDEX(PP_Grid[#Data],$DD78,95),0)</f>
        <v/>
      </c>
      <c r="CT78">
        <f>IFERROR(INDEX(PP_Grid[#Data],$DD78,96),0)</f>
        <v/>
      </c>
      <c r="CU78">
        <f>IFERROR(INDEX(PP_Grid[#Data],$DD78,97),0)</f>
        <v/>
      </c>
      <c r="CV78">
        <f>IFERROR(INDEX(PP_Grid[#Data],$DD78,98),0)</f>
        <v/>
      </c>
      <c r="CW78">
        <f>IFERROR(INDEX(PP_Grid[#Data],$DD78,99),0)</f>
        <v/>
      </c>
      <c r="CX78">
        <f>IFERROR(INDEX(PP_Grid[#Data],$DD78,100),0)</f>
        <v/>
      </c>
      <c r="CY78">
        <f>IFERROR(INDEX(PP_Grid[#Data],$DD78,101),0)</f>
        <v/>
      </c>
      <c r="CZ78">
        <f>IFERROR(INDEX(PP_Grid[#Data],$DD78,102),0)</f>
        <v/>
      </c>
      <c r="DA78">
        <f>IFERROR(INDEX(PP_Grid[#Data],$DD78,103),0)</f>
        <v/>
      </c>
      <c r="DB78">
        <f>IFERROR(INDEX(PP_Grid[#Data],$DD78,104),0)</f>
        <v/>
      </c>
      <c r="DC78">
        <f>IFERROR(INDEX(PP_Grid[#Data],$DD78,105),0)</f>
        <v/>
      </c>
      <c r="DD78" s="12">
        <f>IFERROR(MATCH($B78,PP_Grid[Intermediate],0),99999)</f>
        <v/>
      </c>
    </row>
    <row r="79">
      <c r="B79" t="inlineStr">
        <is>
          <t>使用量(kg)</t>
        </is>
      </c>
      <c r="C79">
        <f>SUMIFS(M_BOM[RM_Qty_Per_Batch],M_BOM[Intermediate],$B78,M_BOM[Part Name],$A69)</f>
        <v/>
      </c>
      <c r="D79">
        <f>$C79*D78</f>
        <v/>
      </c>
      <c r="E79">
        <f>$C79*E78</f>
        <v/>
      </c>
      <c r="F79">
        <f>$C79*F78</f>
        <v/>
      </c>
      <c r="G79">
        <f>$C79*G78</f>
        <v/>
      </c>
      <c r="H79">
        <f>$C79*H78</f>
        <v/>
      </c>
      <c r="I79">
        <f>$C79*I78</f>
        <v/>
      </c>
      <c r="J79">
        <f>$C79*J78</f>
        <v/>
      </c>
      <c r="K79">
        <f>$C79*K78</f>
        <v/>
      </c>
      <c r="L79">
        <f>$C79*L78</f>
        <v/>
      </c>
      <c r="M79">
        <f>$C79*M78</f>
        <v/>
      </c>
      <c r="N79">
        <f>$C79*N78</f>
        <v/>
      </c>
      <c r="O79">
        <f>$C79*O78</f>
        <v/>
      </c>
      <c r="P79">
        <f>$C79*P78</f>
        <v/>
      </c>
      <c r="Q79">
        <f>$C79*Q78</f>
        <v/>
      </c>
      <c r="R79">
        <f>$C79*R78</f>
        <v/>
      </c>
      <c r="S79">
        <f>$C79*S78</f>
        <v/>
      </c>
      <c r="T79">
        <f>$C79*T78</f>
        <v/>
      </c>
      <c r="U79">
        <f>$C79*U78</f>
        <v/>
      </c>
      <c r="V79">
        <f>$C79*V78</f>
        <v/>
      </c>
      <c r="W79">
        <f>$C79*W78</f>
        <v/>
      </c>
      <c r="X79">
        <f>$C79*X78</f>
        <v/>
      </c>
      <c r="Y79">
        <f>$C79*Y78</f>
        <v/>
      </c>
      <c r="Z79">
        <f>$C79*Z78</f>
        <v/>
      </c>
      <c r="AA79">
        <f>$C79*AA78</f>
        <v/>
      </c>
      <c r="AB79">
        <f>$C79*AB78</f>
        <v/>
      </c>
      <c r="AC79">
        <f>$C79*AC78</f>
        <v/>
      </c>
      <c r="AD79">
        <f>$C79*AD78</f>
        <v/>
      </c>
      <c r="AE79">
        <f>$C79*AE78</f>
        <v/>
      </c>
      <c r="AF79">
        <f>$C79*AF78</f>
        <v/>
      </c>
      <c r="AG79">
        <f>$C79*AG78</f>
        <v/>
      </c>
      <c r="AH79">
        <f>$C79*AH78</f>
        <v/>
      </c>
      <c r="AI79">
        <f>$C79*AI78</f>
        <v/>
      </c>
      <c r="AJ79">
        <f>$C79*AJ78</f>
        <v/>
      </c>
      <c r="AK79">
        <f>$C79*AK78</f>
        <v/>
      </c>
      <c r="AL79">
        <f>$C79*AL78</f>
        <v/>
      </c>
      <c r="AM79">
        <f>$C79*AM78</f>
        <v/>
      </c>
      <c r="AN79">
        <f>$C79*AN78</f>
        <v/>
      </c>
      <c r="AO79">
        <f>$C79*AO78</f>
        <v/>
      </c>
      <c r="AP79">
        <f>$C79*AP78</f>
        <v/>
      </c>
      <c r="AQ79">
        <f>$C79*AQ78</f>
        <v/>
      </c>
      <c r="AR79">
        <f>$C79*AR78</f>
        <v/>
      </c>
      <c r="AS79">
        <f>$C79*AS78</f>
        <v/>
      </c>
      <c r="AT79">
        <f>$C79*AT78</f>
        <v/>
      </c>
      <c r="AU79">
        <f>$C79*AU78</f>
        <v/>
      </c>
      <c r="AV79">
        <f>$C79*AV78</f>
        <v/>
      </c>
      <c r="AW79">
        <f>$C79*AW78</f>
        <v/>
      </c>
      <c r="AX79">
        <f>$C79*AX78</f>
        <v/>
      </c>
      <c r="AY79">
        <f>$C79*AY78</f>
        <v/>
      </c>
      <c r="AZ79">
        <f>$C79*AZ78</f>
        <v/>
      </c>
      <c r="BA79">
        <f>$C79*BA78</f>
        <v/>
      </c>
      <c r="BB79">
        <f>$C79*BB78</f>
        <v/>
      </c>
      <c r="BC79">
        <f>$C79*BC78</f>
        <v/>
      </c>
      <c r="BD79">
        <f>$C79*BD78</f>
        <v/>
      </c>
      <c r="BE79">
        <f>$C79*BE78</f>
        <v/>
      </c>
      <c r="BF79">
        <f>$C79*BF78</f>
        <v/>
      </c>
      <c r="BG79">
        <f>$C79*BG78</f>
        <v/>
      </c>
      <c r="BH79">
        <f>$C79*BH78</f>
        <v/>
      </c>
      <c r="BI79">
        <f>$C79*BI78</f>
        <v/>
      </c>
      <c r="BJ79">
        <f>$C79*BJ78</f>
        <v/>
      </c>
      <c r="BK79">
        <f>$C79*BK78</f>
        <v/>
      </c>
      <c r="BL79">
        <f>$C79*BL78</f>
        <v/>
      </c>
      <c r="BM79">
        <f>$C79*BM78</f>
        <v/>
      </c>
      <c r="BN79">
        <f>$C79*BN78</f>
        <v/>
      </c>
      <c r="BO79">
        <f>$C79*BO78</f>
        <v/>
      </c>
      <c r="BP79">
        <f>$C79*BP78</f>
        <v/>
      </c>
      <c r="BQ79">
        <f>$C79*BQ78</f>
        <v/>
      </c>
      <c r="BR79">
        <f>$C79*BR78</f>
        <v/>
      </c>
      <c r="BS79">
        <f>$C79*BS78</f>
        <v/>
      </c>
      <c r="BT79">
        <f>$C79*BT78</f>
        <v/>
      </c>
      <c r="BU79">
        <f>$C79*BU78</f>
        <v/>
      </c>
      <c r="BV79">
        <f>$C79*BV78</f>
        <v/>
      </c>
      <c r="BW79">
        <f>$C79*BW78</f>
        <v/>
      </c>
      <c r="BX79">
        <f>$C79*BX78</f>
        <v/>
      </c>
      <c r="BY79">
        <f>$C79*BY78</f>
        <v/>
      </c>
      <c r="BZ79">
        <f>$C79*BZ78</f>
        <v/>
      </c>
      <c r="CA79">
        <f>$C79*CA78</f>
        <v/>
      </c>
      <c r="CB79">
        <f>$C79*CB78</f>
        <v/>
      </c>
      <c r="CC79">
        <f>$C79*CC78</f>
        <v/>
      </c>
      <c r="CD79">
        <f>$C79*CD78</f>
        <v/>
      </c>
      <c r="CE79">
        <f>$C79*CE78</f>
        <v/>
      </c>
      <c r="CF79">
        <f>$C79*CF78</f>
        <v/>
      </c>
      <c r="CG79">
        <f>$C79*CG78</f>
        <v/>
      </c>
      <c r="CH79">
        <f>$C79*CH78</f>
        <v/>
      </c>
      <c r="CI79">
        <f>$C79*CI78</f>
        <v/>
      </c>
      <c r="CJ79">
        <f>$C79*CJ78</f>
        <v/>
      </c>
      <c r="CK79">
        <f>$C79*CK78</f>
        <v/>
      </c>
      <c r="CL79">
        <f>$C79*CL78</f>
        <v/>
      </c>
      <c r="CM79">
        <f>$C79*CM78</f>
        <v/>
      </c>
      <c r="CN79">
        <f>$C79*CN78</f>
        <v/>
      </c>
      <c r="CO79">
        <f>$C79*CO78</f>
        <v/>
      </c>
      <c r="CP79">
        <f>$C79*CP78</f>
        <v/>
      </c>
      <c r="CQ79">
        <f>$C79*CQ78</f>
        <v/>
      </c>
      <c r="CR79">
        <f>$C79*CR78</f>
        <v/>
      </c>
      <c r="CS79">
        <f>$C79*CS78</f>
        <v/>
      </c>
      <c r="CT79">
        <f>$C79*CT78</f>
        <v/>
      </c>
      <c r="CU79">
        <f>$C79*CU78</f>
        <v/>
      </c>
      <c r="CV79">
        <f>$C79*CV78</f>
        <v/>
      </c>
      <c r="CW79">
        <f>$C79*CW78</f>
        <v/>
      </c>
      <c r="CX79">
        <f>$C79*CX78</f>
        <v/>
      </c>
      <c r="CY79">
        <f>$C79*CY78</f>
        <v/>
      </c>
      <c r="CZ79">
        <f>$C79*CZ78</f>
        <v/>
      </c>
      <c r="DA79">
        <f>$C79*DA78</f>
        <v/>
      </c>
      <c r="DB79">
        <f>$C79*DB78</f>
        <v/>
      </c>
      <c r="DC79">
        <f>$C79*DC78</f>
        <v/>
      </c>
    </row>
    <row r="80">
      <c r="B80" s="5" t="inlineStr">
        <is>
          <t>合計使用量(kg)/週</t>
        </is>
      </c>
      <c r="D80">
        <f>'Grid_Requirement'!B6</f>
        <v/>
      </c>
      <c r="E80">
        <f>'Grid_Requirement'!C6</f>
        <v/>
      </c>
      <c r="F80">
        <f>'Grid_Requirement'!D6</f>
        <v/>
      </c>
      <c r="G80">
        <f>'Grid_Requirement'!E6</f>
        <v/>
      </c>
      <c r="H80">
        <f>'Grid_Requirement'!F6</f>
        <v/>
      </c>
      <c r="I80">
        <f>'Grid_Requirement'!G6</f>
        <v/>
      </c>
      <c r="J80">
        <f>'Grid_Requirement'!H6</f>
        <v/>
      </c>
      <c r="K80">
        <f>'Grid_Requirement'!I6</f>
        <v/>
      </c>
      <c r="L80">
        <f>'Grid_Requirement'!J6</f>
        <v/>
      </c>
      <c r="M80">
        <f>'Grid_Requirement'!K6</f>
        <v/>
      </c>
      <c r="N80">
        <f>'Grid_Requirement'!L6</f>
        <v/>
      </c>
      <c r="O80">
        <f>'Grid_Requirement'!M6</f>
        <v/>
      </c>
      <c r="P80">
        <f>'Grid_Requirement'!N6</f>
        <v/>
      </c>
      <c r="Q80">
        <f>'Grid_Requirement'!O6</f>
        <v/>
      </c>
      <c r="R80">
        <f>'Grid_Requirement'!P6</f>
        <v/>
      </c>
      <c r="S80">
        <f>'Grid_Requirement'!Q6</f>
        <v/>
      </c>
      <c r="T80">
        <f>'Grid_Requirement'!R6</f>
        <v/>
      </c>
      <c r="U80">
        <f>'Grid_Requirement'!S6</f>
        <v/>
      </c>
      <c r="V80">
        <f>'Grid_Requirement'!T6</f>
        <v/>
      </c>
      <c r="W80">
        <f>'Grid_Requirement'!U6</f>
        <v/>
      </c>
      <c r="X80">
        <f>'Grid_Requirement'!V6</f>
        <v/>
      </c>
      <c r="Y80">
        <f>'Grid_Requirement'!W6</f>
        <v/>
      </c>
      <c r="Z80">
        <f>'Grid_Requirement'!X6</f>
        <v/>
      </c>
      <c r="AA80">
        <f>'Grid_Requirement'!Y6</f>
        <v/>
      </c>
      <c r="AB80">
        <f>'Grid_Requirement'!Z6</f>
        <v/>
      </c>
      <c r="AC80">
        <f>'Grid_Requirement'!AA6</f>
        <v/>
      </c>
      <c r="AD80">
        <f>'Grid_Requirement'!AB6</f>
        <v/>
      </c>
      <c r="AE80">
        <f>'Grid_Requirement'!AC6</f>
        <v/>
      </c>
      <c r="AF80">
        <f>'Grid_Requirement'!AD6</f>
        <v/>
      </c>
      <c r="AG80">
        <f>'Grid_Requirement'!AE6</f>
        <v/>
      </c>
      <c r="AH80">
        <f>'Grid_Requirement'!AF6</f>
        <v/>
      </c>
      <c r="AI80">
        <f>'Grid_Requirement'!AG6</f>
        <v/>
      </c>
      <c r="AJ80">
        <f>'Grid_Requirement'!AH6</f>
        <v/>
      </c>
      <c r="AK80">
        <f>'Grid_Requirement'!AI6</f>
        <v/>
      </c>
      <c r="AL80">
        <f>'Grid_Requirement'!AJ6</f>
        <v/>
      </c>
      <c r="AM80">
        <f>'Grid_Requirement'!AK6</f>
        <v/>
      </c>
      <c r="AN80">
        <f>'Grid_Requirement'!AL6</f>
        <v/>
      </c>
      <c r="AO80">
        <f>'Grid_Requirement'!AM6</f>
        <v/>
      </c>
      <c r="AP80">
        <f>'Grid_Requirement'!AN6</f>
        <v/>
      </c>
      <c r="AQ80">
        <f>'Grid_Requirement'!AO6</f>
        <v/>
      </c>
      <c r="AR80">
        <f>'Grid_Requirement'!AP6</f>
        <v/>
      </c>
      <c r="AS80">
        <f>'Grid_Requirement'!AQ6</f>
        <v/>
      </c>
      <c r="AT80">
        <f>'Grid_Requirement'!AR6</f>
        <v/>
      </c>
      <c r="AU80">
        <f>'Grid_Requirement'!AS6</f>
        <v/>
      </c>
      <c r="AV80">
        <f>'Grid_Requirement'!AT6</f>
        <v/>
      </c>
      <c r="AW80">
        <f>'Grid_Requirement'!AU6</f>
        <v/>
      </c>
      <c r="AX80">
        <f>'Grid_Requirement'!AV6</f>
        <v/>
      </c>
      <c r="AY80">
        <f>'Grid_Requirement'!AW6</f>
        <v/>
      </c>
      <c r="AZ80">
        <f>'Grid_Requirement'!AX6</f>
        <v/>
      </c>
      <c r="BA80">
        <f>'Grid_Requirement'!AY6</f>
        <v/>
      </c>
      <c r="BB80">
        <f>'Grid_Requirement'!AZ6</f>
        <v/>
      </c>
      <c r="BC80">
        <f>'Grid_Requirement'!BA6</f>
        <v/>
      </c>
      <c r="BD80">
        <f>'Grid_Requirement'!BB6</f>
        <v/>
      </c>
      <c r="BE80">
        <f>'Grid_Requirement'!BC6</f>
        <v/>
      </c>
      <c r="BF80">
        <f>'Grid_Requirement'!BD6</f>
        <v/>
      </c>
      <c r="BG80">
        <f>'Grid_Requirement'!BE6</f>
        <v/>
      </c>
      <c r="BH80">
        <f>'Grid_Requirement'!BF6</f>
        <v/>
      </c>
      <c r="BI80">
        <f>'Grid_Requirement'!BG6</f>
        <v/>
      </c>
      <c r="BJ80">
        <f>'Grid_Requirement'!BH6</f>
        <v/>
      </c>
      <c r="BK80">
        <f>'Grid_Requirement'!BI6</f>
        <v/>
      </c>
      <c r="BL80">
        <f>'Grid_Requirement'!BJ6</f>
        <v/>
      </c>
      <c r="BM80">
        <f>'Grid_Requirement'!BK6</f>
        <v/>
      </c>
      <c r="BN80">
        <f>'Grid_Requirement'!BL6</f>
        <v/>
      </c>
      <c r="BO80">
        <f>'Grid_Requirement'!BM6</f>
        <v/>
      </c>
      <c r="BP80">
        <f>'Grid_Requirement'!BN6</f>
        <v/>
      </c>
      <c r="BQ80">
        <f>'Grid_Requirement'!BO6</f>
        <v/>
      </c>
      <c r="BR80">
        <f>'Grid_Requirement'!BP6</f>
        <v/>
      </c>
      <c r="BS80">
        <f>'Grid_Requirement'!BQ6</f>
        <v/>
      </c>
      <c r="BT80">
        <f>'Grid_Requirement'!BR6</f>
        <v/>
      </c>
      <c r="BU80">
        <f>'Grid_Requirement'!BS6</f>
        <v/>
      </c>
      <c r="BV80">
        <f>'Grid_Requirement'!BT6</f>
        <v/>
      </c>
      <c r="BW80">
        <f>'Grid_Requirement'!BU6</f>
        <v/>
      </c>
      <c r="BX80">
        <f>'Grid_Requirement'!BV6</f>
        <v/>
      </c>
      <c r="BY80">
        <f>'Grid_Requirement'!BW6</f>
        <v/>
      </c>
      <c r="BZ80">
        <f>'Grid_Requirement'!BX6</f>
        <v/>
      </c>
      <c r="CA80">
        <f>'Grid_Requirement'!BY6</f>
        <v/>
      </c>
      <c r="CB80">
        <f>'Grid_Requirement'!BZ6</f>
        <v/>
      </c>
      <c r="CC80">
        <f>'Grid_Requirement'!CA6</f>
        <v/>
      </c>
      <c r="CD80">
        <f>'Grid_Requirement'!CB6</f>
        <v/>
      </c>
      <c r="CE80">
        <f>'Grid_Requirement'!CC6</f>
        <v/>
      </c>
      <c r="CF80">
        <f>'Grid_Requirement'!CD6</f>
        <v/>
      </c>
      <c r="CG80">
        <f>'Grid_Requirement'!CE6</f>
        <v/>
      </c>
      <c r="CH80">
        <f>'Grid_Requirement'!CF6</f>
        <v/>
      </c>
      <c r="CI80">
        <f>'Grid_Requirement'!CG6</f>
        <v/>
      </c>
      <c r="CJ80">
        <f>'Grid_Requirement'!CH6</f>
        <v/>
      </c>
      <c r="CK80">
        <f>'Grid_Requirement'!CI6</f>
        <v/>
      </c>
      <c r="CL80">
        <f>'Grid_Requirement'!CJ6</f>
        <v/>
      </c>
      <c r="CM80">
        <f>'Grid_Requirement'!CK6</f>
        <v/>
      </c>
      <c r="CN80">
        <f>'Grid_Requirement'!CL6</f>
        <v/>
      </c>
      <c r="CO80">
        <f>'Grid_Requirement'!CM6</f>
        <v/>
      </c>
      <c r="CP80">
        <f>'Grid_Requirement'!CN6</f>
        <v/>
      </c>
      <c r="CQ80">
        <f>'Grid_Requirement'!CO6</f>
        <v/>
      </c>
      <c r="CR80">
        <f>'Grid_Requirement'!CP6</f>
        <v/>
      </c>
      <c r="CS80">
        <f>'Grid_Requirement'!CQ6</f>
        <v/>
      </c>
      <c r="CT80">
        <f>'Grid_Requirement'!CR6</f>
        <v/>
      </c>
      <c r="CU80">
        <f>'Grid_Requirement'!CS6</f>
        <v/>
      </c>
      <c r="CV80">
        <f>'Grid_Requirement'!CT6</f>
        <v/>
      </c>
      <c r="CW80">
        <f>'Grid_Requirement'!CU6</f>
        <v/>
      </c>
      <c r="CX80">
        <f>'Grid_Requirement'!CV6</f>
        <v/>
      </c>
      <c r="CY80">
        <f>'Grid_Requirement'!CW6</f>
        <v/>
      </c>
      <c r="CZ80">
        <f>'Grid_Requirement'!CX6</f>
        <v/>
      </c>
      <c r="DA80">
        <f>'Grid_Requirement'!CY6</f>
        <v/>
      </c>
      <c r="DB80">
        <f>'Grid_Requirement'!CZ6</f>
        <v/>
      </c>
      <c r="DC80">
        <f>'Grid_Requirement'!DA6</f>
        <v/>
      </c>
    </row>
    <row r="81">
      <c r="B81" t="inlineStr">
        <is>
          <t>TTAF在庫(実績,kg)</t>
        </is>
      </c>
      <c r="D81">
        <f>'T_TTAFStock'!B10</f>
        <v/>
      </c>
      <c r="E81">
        <f>'T_TTAFStock'!C10</f>
        <v/>
      </c>
      <c r="F81">
        <f>'T_TTAFStock'!D10</f>
        <v/>
      </c>
      <c r="G81">
        <f>'T_TTAFStock'!E10</f>
        <v/>
      </c>
      <c r="H81">
        <f>'T_TTAFStock'!F10</f>
        <v/>
      </c>
      <c r="I81">
        <f>'T_TTAFStock'!G10</f>
        <v/>
      </c>
      <c r="J81">
        <f>'T_TTAFStock'!H10</f>
        <v/>
      </c>
      <c r="K81">
        <f>'T_TTAFStock'!I10</f>
        <v/>
      </c>
      <c r="L81">
        <f>'T_TTAFStock'!J10</f>
        <v/>
      </c>
      <c r="M81">
        <f>'T_TTAFStock'!K10</f>
        <v/>
      </c>
      <c r="N81">
        <f>'T_TTAFStock'!L10</f>
        <v/>
      </c>
      <c r="O81">
        <f>'T_TTAFStock'!M10</f>
        <v/>
      </c>
      <c r="P81">
        <f>'T_TTAFStock'!N10</f>
        <v/>
      </c>
      <c r="Q81">
        <f>'T_TTAFStock'!O10</f>
        <v/>
      </c>
      <c r="R81">
        <f>'T_TTAFStock'!P10</f>
        <v/>
      </c>
      <c r="S81">
        <f>'T_TTAFStock'!Q10</f>
        <v/>
      </c>
      <c r="T81">
        <f>'T_TTAFStock'!R10</f>
        <v/>
      </c>
      <c r="U81">
        <f>'T_TTAFStock'!S10</f>
        <v/>
      </c>
      <c r="V81">
        <f>'T_TTAFStock'!T10</f>
        <v/>
      </c>
      <c r="W81">
        <f>'T_TTAFStock'!U10</f>
        <v/>
      </c>
      <c r="X81">
        <f>'T_TTAFStock'!V10</f>
        <v/>
      </c>
      <c r="Y81">
        <f>'T_TTAFStock'!W10</f>
        <v/>
      </c>
      <c r="Z81">
        <f>'T_TTAFStock'!X10</f>
        <v/>
      </c>
      <c r="AA81">
        <f>'T_TTAFStock'!Y10</f>
        <v/>
      </c>
      <c r="AB81">
        <f>'T_TTAFStock'!Z10</f>
        <v/>
      </c>
      <c r="AC81">
        <f>'T_TTAFStock'!AA10</f>
        <v/>
      </c>
      <c r="AD81">
        <f>'T_TTAFStock'!AB10</f>
        <v/>
      </c>
      <c r="AE81">
        <f>'T_TTAFStock'!AC10</f>
        <v/>
      </c>
      <c r="AF81">
        <f>'T_TTAFStock'!AD10</f>
        <v/>
      </c>
      <c r="AG81">
        <f>'T_TTAFStock'!AE10</f>
        <v/>
      </c>
      <c r="AH81">
        <f>'T_TTAFStock'!AF10</f>
        <v/>
      </c>
      <c r="AI81">
        <f>'T_TTAFStock'!AG10</f>
        <v/>
      </c>
      <c r="AJ81">
        <f>'T_TTAFStock'!AH10</f>
        <v/>
      </c>
      <c r="AK81">
        <f>'T_TTAFStock'!AI10</f>
        <v/>
      </c>
      <c r="AL81">
        <f>'T_TTAFStock'!AJ10</f>
        <v/>
      </c>
      <c r="AM81">
        <f>'T_TTAFStock'!AK10</f>
        <v/>
      </c>
      <c r="AN81">
        <f>'T_TTAFStock'!AL10</f>
        <v/>
      </c>
      <c r="AO81">
        <f>'T_TTAFStock'!AM10</f>
        <v/>
      </c>
      <c r="AP81">
        <f>'T_TTAFStock'!AN10</f>
        <v/>
      </c>
      <c r="AQ81">
        <f>'T_TTAFStock'!AO10</f>
        <v/>
      </c>
      <c r="AR81">
        <f>'T_TTAFStock'!AP10</f>
        <v/>
      </c>
      <c r="AS81">
        <f>'T_TTAFStock'!AQ10</f>
        <v/>
      </c>
      <c r="AT81">
        <f>'T_TTAFStock'!AR10</f>
        <v/>
      </c>
      <c r="AU81">
        <f>'T_TTAFStock'!AS10</f>
        <v/>
      </c>
      <c r="AV81">
        <f>'T_TTAFStock'!AT10</f>
        <v/>
      </c>
      <c r="AW81">
        <f>'T_TTAFStock'!AU10</f>
        <v/>
      </c>
      <c r="AX81">
        <f>'T_TTAFStock'!AV10</f>
        <v/>
      </c>
      <c r="AY81">
        <f>'T_TTAFStock'!AW10</f>
        <v/>
      </c>
      <c r="AZ81">
        <f>'T_TTAFStock'!AX10</f>
        <v/>
      </c>
      <c r="BA81">
        <f>'T_TTAFStock'!AY10</f>
        <v/>
      </c>
      <c r="BB81">
        <f>'T_TTAFStock'!AZ10</f>
        <v/>
      </c>
      <c r="BC81">
        <f>'T_TTAFStock'!BA10</f>
        <v/>
      </c>
      <c r="BD81">
        <f>'T_TTAFStock'!BB10</f>
        <v/>
      </c>
      <c r="BE81">
        <f>'T_TTAFStock'!BC10</f>
        <v/>
      </c>
      <c r="BF81">
        <f>'T_TTAFStock'!BD10</f>
        <v/>
      </c>
      <c r="BG81">
        <f>'T_TTAFStock'!BE10</f>
        <v/>
      </c>
      <c r="BH81">
        <f>'T_TTAFStock'!BF10</f>
        <v/>
      </c>
      <c r="BI81">
        <f>'T_TTAFStock'!BG10</f>
        <v/>
      </c>
      <c r="BJ81">
        <f>'T_TTAFStock'!BH10</f>
        <v/>
      </c>
      <c r="BK81">
        <f>'T_TTAFStock'!BI10</f>
        <v/>
      </c>
      <c r="BL81">
        <f>'T_TTAFStock'!BJ10</f>
        <v/>
      </c>
      <c r="BM81">
        <f>'T_TTAFStock'!BK10</f>
        <v/>
      </c>
      <c r="BN81">
        <f>'T_TTAFStock'!BL10</f>
        <v/>
      </c>
      <c r="BO81">
        <f>'T_TTAFStock'!BM10</f>
        <v/>
      </c>
      <c r="BP81">
        <f>'T_TTAFStock'!BN10</f>
        <v/>
      </c>
      <c r="BQ81">
        <f>'T_TTAFStock'!BO10</f>
        <v/>
      </c>
      <c r="BR81">
        <f>'T_TTAFStock'!BP10</f>
        <v/>
      </c>
      <c r="BS81">
        <f>'T_TTAFStock'!BQ10</f>
        <v/>
      </c>
      <c r="BT81">
        <f>'T_TTAFStock'!BR10</f>
        <v/>
      </c>
      <c r="BU81">
        <f>'T_TTAFStock'!BS10</f>
        <v/>
      </c>
      <c r="BV81">
        <f>'T_TTAFStock'!BT10</f>
        <v/>
      </c>
      <c r="BW81">
        <f>'T_TTAFStock'!BU10</f>
        <v/>
      </c>
      <c r="BX81">
        <f>'T_TTAFStock'!BV10</f>
        <v/>
      </c>
      <c r="BY81">
        <f>'T_TTAFStock'!BW10</f>
        <v/>
      </c>
      <c r="BZ81">
        <f>'T_TTAFStock'!BX10</f>
        <v/>
      </c>
      <c r="CA81">
        <f>'T_TTAFStock'!BY10</f>
        <v/>
      </c>
      <c r="CB81">
        <f>'T_TTAFStock'!BZ10</f>
        <v/>
      </c>
      <c r="CC81">
        <f>'T_TTAFStock'!CA10</f>
        <v/>
      </c>
      <c r="CD81">
        <f>'T_TTAFStock'!CB10</f>
        <v/>
      </c>
      <c r="CE81">
        <f>'T_TTAFStock'!CC10</f>
        <v/>
      </c>
      <c r="CF81">
        <f>'T_TTAFStock'!CD10</f>
        <v/>
      </c>
      <c r="CG81">
        <f>'T_TTAFStock'!CE10</f>
        <v/>
      </c>
      <c r="CH81">
        <f>'T_TTAFStock'!CF10</f>
        <v/>
      </c>
      <c r="CI81">
        <f>'T_TTAFStock'!CG10</f>
        <v/>
      </c>
      <c r="CJ81">
        <f>'T_TTAFStock'!CH10</f>
        <v/>
      </c>
      <c r="CK81">
        <f>'T_TTAFStock'!CI10</f>
        <v/>
      </c>
      <c r="CL81">
        <f>'T_TTAFStock'!CJ10</f>
        <v/>
      </c>
      <c r="CM81">
        <f>'T_TTAFStock'!CK10</f>
        <v/>
      </c>
      <c r="CN81">
        <f>'T_TTAFStock'!CL10</f>
        <v/>
      </c>
      <c r="CO81">
        <f>'T_TTAFStock'!CM10</f>
        <v/>
      </c>
      <c r="CP81">
        <f>'T_TTAFStock'!CN10</f>
        <v/>
      </c>
      <c r="CQ81">
        <f>'T_TTAFStock'!CO10</f>
        <v/>
      </c>
      <c r="CR81">
        <f>'T_TTAFStock'!CP10</f>
        <v/>
      </c>
      <c r="CS81">
        <f>'T_TTAFStock'!CQ10</f>
        <v/>
      </c>
      <c r="CT81">
        <f>'T_TTAFStock'!CR10</f>
        <v/>
      </c>
      <c r="CU81">
        <f>'T_TTAFStock'!CS10</f>
        <v/>
      </c>
      <c r="CV81">
        <f>'T_TTAFStock'!CT10</f>
        <v/>
      </c>
      <c r="CW81">
        <f>'T_TTAFStock'!CU10</f>
        <v/>
      </c>
      <c r="CX81">
        <f>'T_TTAFStock'!CV10</f>
        <v/>
      </c>
      <c r="CY81">
        <f>'T_TTAFStock'!CW10</f>
        <v/>
      </c>
      <c r="CZ81">
        <f>'T_TTAFStock'!CX10</f>
        <v/>
      </c>
      <c r="DA81">
        <f>'T_TTAFStock'!CY10</f>
        <v/>
      </c>
      <c r="DB81">
        <f>'T_TTAFStock'!CZ10</f>
        <v/>
      </c>
      <c r="DC81">
        <f>'T_TTAFStock'!DA10</f>
        <v/>
      </c>
    </row>
    <row r="82">
      <c r="B82" t="inlineStr">
        <is>
          <t>自社在庫(実績,kg)</t>
        </is>
      </c>
      <c r="D82">
        <f>'T_SelfStock'!B10</f>
        <v/>
      </c>
      <c r="E82">
        <f>'T_SelfStock'!C10</f>
        <v/>
      </c>
      <c r="F82">
        <f>'T_SelfStock'!D10</f>
        <v/>
      </c>
      <c r="G82">
        <f>'T_SelfStock'!E10</f>
        <v/>
      </c>
      <c r="H82">
        <f>'T_SelfStock'!F10</f>
        <v/>
      </c>
      <c r="I82">
        <f>'T_SelfStock'!G10</f>
        <v/>
      </c>
      <c r="J82">
        <f>'T_SelfStock'!H10</f>
        <v/>
      </c>
      <c r="K82">
        <f>'T_SelfStock'!I10</f>
        <v/>
      </c>
      <c r="L82">
        <f>'T_SelfStock'!J10</f>
        <v/>
      </c>
      <c r="M82">
        <f>'T_SelfStock'!K10</f>
        <v/>
      </c>
      <c r="N82">
        <f>'T_SelfStock'!L10</f>
        <v/>
      </c>
      <c r="O82">
        <f>'T_SelfStock'!M10</f>
        <v/>
      </c>
      <c r="P82">
        <f>'T_SelfStock'!N10</f>
        <v/>
      </c>
      <c r="Q82">
        <f>'T_SelfStock'!O10</f>
        <v/>
      </c>
      <c r="R82">
        <f>'T_SelfStock'!P10</f>
        <v/>
      </c>
      <c r="S82">
        <f>'T_SelfStock'!Q10</f>
        <v/>
      </c>
      <c r="T82">
        <f>'T_SelfStock'!R10</f>
        <v/>
      </c>
      <c r="U82">
        <f>'T_SelfStock'!S10</f>
        <v/>
      </c>
      <c r="V82">
        <f>'T_SelfStock'!T10</f>
        <v/>
      </c>
      <c r="W82">
        <f>'T_SelfStock'!U10</f>
        <v/>
      </c>
      <c r="X82">
        <f>'T_SelfStock'!V10</f>
        <v/>
      </c>
      <c r="Y82">
        <f>'T_SelfStock'!W10</f>
        <v/>
      </c>
      <c r="Z82">
        <f>'T_SelfStock'!X10</f>
        <v/>
      </c>
      <c r="AA82">
        <f>'T_SelfStock'!Y10</f>
        <v/>
      </c>
      <c r="AB82">
        <f>'T_SelfStock'!Z10</f>
        <v/>
      </c>
      <c r="AC82">
        <f>'T_SelfStock'!AA10</f>
        <v/>
      </c>
      <c r="AD82">
        <f>'T_SelfStock'!AB10</f>
        <v/>
      </c>
      <c r="AE82">
        <f>'T_SelfStock'!AC10</f>
        <v/>
      </c>
      <c r="AF82">
        <f>'T_SelfStock'!AD10</f>
        <v/>
      </c>
      <c r="AG82">
        <f>'T_SelfStock'!AE10</f>
        <v/>
      </c>
      <c r="AH82">
        <f>'T_SelfStock'!AF10</f>
        <v/>
      </c>
      <c r="AI82">
        <f>'T_SelfStock'!AG10</f>
        <v/>
      </c>
      <c r="AJ82">
        <f>'T_SelfStock'!AH10</f>
        <v/>
      </c>
      <c r="AK82">
        <f>'T_SelfStock'!AI10</f>
        <v/>
      </c>
      <c r="AL82">
        <f>'T_SelfStock'!AJ10</f>
        <v/>
      </c>
      <c r="AM82">
        <f>'T_SelfStock'!AK10</f>
        <v/>
      </c>
      <c r="AN82">
        <f>'T_SelfStock'!AL10</f>
        <v/>
      </c>
      <c r="AO82">
        <f>'T_SelfStock'!AM10</f>
        <v/>
      </c>
      <c r="AP82">
        <f>'T_SelfStock'!AN10</f>
        <v/>
      </c>
      <c r="AQ82">
        <f>'T_SelfStock'!AO10</f>
        <v/>
      </c>
      <c r="AR82">
        <f>'T_SelfStock'!AP10</f>
        <v/>
      </c>
      <c r="AS82">
        <f>'T_SelfStock'!AQ10</f>
        <v/>
      </c>
      <c r="AT82">
        <f>'T_SelfStock'!AR10</f>
        <v/>
      </c>
      <c r="AU82">
        <f>'T_SelfStock'!AS10</f>
        <v/>
      </c>
      <c r="AV82">
        <f>'T_SelfStock'!AT10</f>
        <v/>
      </c>
      <c r="AW82">
        <f>'T_SelfStock'!AU10</f>
        <v/>
      </c>
      <c r="AX82">
        <f>'T_SelfStock'!AV10</f>
        <v/>
      </c>
      <c r="AY82">
        <f>'T_SelfStock'!AW10</f>
        <v/>
      </c>
      <c r="AZ82">
        <f>'T_SelfStock'!AX10</f>
        <v/>
      </c>
      <c r="BA82">
        <f>'T_SelfStock'!AY10</f>
        <v/>
      </c>
      <c r="BB82">
        <f>'T_SelfStock'!AZ10</f>
        <v/>
      </c>
      <c r="BC82">
        <f>'T_SelfStock'!BA10</f>
        <v/>
      </c>
      <c r="BD82">
        <f>'T_SelfStock'!BB10</f>
        <v/>
      </c>
      <c r="BE82">
        <f>'T_SelfStock'!BC10</f>
        <v/>
      </c>
      <c r="BF82">
        <f>'T_SelfStock'!BD10</f>
        <v/>
      </c>
      <c r="BG82">
        <f>'T_SelfStock'!BE10</f>
        <v/>
      </c>
      <c r="BH82">
        <f>'T_SelfStock'!BF10</f>
        <v/>
      </c>
      <c r="BI82">
        <f>'T_SelfStock'!BG10</f>
        <v/>
      </c>
      <c r="BJ82">
        <f>'T_SelfStock'!BH10</f>
        <v/>
      </c>
      <c r="BK82">
        <f>'T_SelfStock'!BI10</f>
        <v/>
      </c>
      <c r="BL82">
        <f>'T_SelfStock'!BJ10</f>
        <v/>
      </c>
      <c r="BM82">
        <f>'T_SelfStock'!BK10</f>
        <v/>
      </c>
      <c r="BN82">
        <f>'T_SelfStock'!BL10</f>
        <v/>
      </c>
      <c r="BO82">
        <f>'T_SelfStock'!BM10</f>
        <v/>
      </c>
      <c r="BP82">
        <f>'T_SelfStock'!BN10</f>
        <v/>
      </c>
      <c r="BQ82">
        <f>'T_SelfStock'!BO10</f>
        <v/>
      </c>
      <c r="BR82">
        <f>'T_SelfStock'!BP10</f>
        <v/>
      </c>
      <c r="BS82">
        <f>'T_SelfStock'!BQ10</f>
        <v/>
      </c>
      <c r="BT82">
        <f>'T_SelfStock'!BR10</f>
        <v/>
      </c>
      <c r="BU82">
        <f>'T_SelfStock'!BS10</f>
        <v/>
      </c>
      <c r="BV82">
        <f>'T_SelfStock'!BT10</f>
        <v/>
      </c>
      <c r="BW82">
        <f>'T_SelfStock'!BU10</f>
        <v/>
      </c>
      <c r="BX82">
        <f>'T_SelfStock'!BV10</f>
        <v/>
      </c>
      <c r="BY82">
        <f>'T_SelfStock'!BW10</f>
        <v/>
      </c>
      <c r="BZ82">
        <f>'T_SelfStock'!BX10</f>
        <v/>
      </c>
      <c r="CA82">
        <f>'T_SelfStock'!BY10</f>
        <v/>
      </c>
      <c r="CB82">
        <f>'T_SelfStock'!BZ10</f>
        <v/>
      </c>
      <c r="CC82">
        <f>'T_SelfStock'!CA10</f>
        <v/>
      </c>
      <c r="CD82">
        <f>'T_SelfStock'!CB10</f>
        <v/>
      </c>
      <c r="CE82">
        <f>'T_SelfStock'!CC10</f>
        <v/>
      </c>
      <c r="CF82">
        <f>'T_SelfStock'!CD10</f>
        <v/>
      </c>
      <c r="CG82">
        <f>'T_SelfStock'!CE10</f>
        <v/>
      </c>
      <c r="CH82">
        <f>'T_SelfStock'!CF10</f>
        <v/>
      </c>
      <c r="CI82">
        <f>'T_SelfStock'!CG10</f>
        <v/>
      </c>
      <c r="CJ82">
        <f>'T_SelfStock'!CH10</f>
        <v/>
      </c>
      <c r="CK82">
        <f>'T_SelfStock'!CI10</f>
        <v/>
      </c>
      <c r="CL82">
        <f>'T_SelfStock'!CJ10</f>
        <v/>
      </c>
      <c r="CM82">
        <f>'T_SelfStock'!CK10</f>
        <v/>
      </c>
      <c r="CN82">
        <f>'T_SelfStock'!CL10</f>
        <v/>
      </c>
      <c r="CO82">
        <f>'T_SelfStock'!CM10</f>
        <v/>
      </c>
      <c r="CP82">
        <f>'T_SelfStock'!CN10</f>
        <v/>
      </c>
      <c r="CQ82">
        <f>'T_SelfStock'!CO10</f>
        <v/>
      </c>
      <c r="CR82">
        <f>'T_SelfStock'!CP10</f>
        <v/>
      </c>
      <c r="CS82">
        <f>'T_SelfStock'!CQ10</f>
        <v/>
      </c>
      <c r="CT82">
        <f>'T_SelfStock'!CR10</f>
        <v/>
      </c>
      <c r="CU82">
        <f>'T_SelfStock'!CS10</f>
        <v/>
      </c>
      <c r="CV82">
        <f>'T_SelfStock'!CT10</f>
        <v/>
      </c>
      <c r="CW82">
        <f>'T_SelfStock'!CU10</f>
        <v/>
      </c>
      <c r="CX82">
        <f>'T_SelfStock'!CV10</f>
        <v/>
      </c>
      <c r="CY82">
        <f>'T_SelfStock'!CW10</f>
        <v/>
      </c>
      <c r="CZ82">
        <f>'T_SelfStock'!CX10</f>
        <v/>
      </c>
      <c r="DA82">
        <f>'T_SelfStock'!CY10</f>
        <v/>
      </c>
      <c r="DB82">
        <f>'T_SelfStock'!CZ10</f>
        <v/>
      </c>
      <c r="DC82">
        <f>'T_SelfStock'!DA10</f>
        <v/>
      </c>
    </row>
    <row r="83">
      <c r="B83" t="inlineStr">
        <is>
          <t>Order(発注予定,kg)</t>
        </is>
      </c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 t="n"/>
      <c r="AT83" s="23" t="n"/>
      <c r="AU83" s="23" t="n"/>
      <c r="AV83" s="23" t="n"/>
      <c r="AW83" s="23" t="n"/>
      <c r="AX83" s="23" t="n"/>
      <c r="AY83" s="23" t="n"/>
      <c r="AZ83" s="23" t="n"/>
      <c r="BA83" s="23" t="n"/>
      <c r="BB83" s="23" t="n"/>
      <c r="BC83" s="23" t="n"/>
      <c r="BD83" s="23" t="n"/>
      <c r="BE83" s="23" t="n"/>
      <c r="BF83" s="23" t="n"/>
      <c r="BG83" s="23" t="n"/>
      <c r="BH83" s="23" t="n"/>
      <c r="BI83" s="23" t="n"/>
      <c r="BJ83" s="23" t="n"/>
      <c r="BK83" s="23" t="n"/>
      <c r="BL83" s="23" t="n"/>
      <c r="BM83" s="23" t="n"/>
      <c r="BN83" s="23" t="n"/>
      <c r="BO83" s="23" t="n"/>
      <c r="BP83" s="23" t="n"/>
      <c r="BQ83" s="23" t="n"/>
      <c r="BR83" s="23" t="n"/>
      <c r="BS83" s="23" t="n"/>
      <c r="BT83" s="23" t="n"/>
      <c r="BU83" s="23" t="n"/>
      <c r="BV83" s="23" t="n"/>
      <c r="BW83" s="23" t="n"/>
      <c r="BX83" s="23" t="n"/>
      <c r="BY83" s="23" t="n"/>
      <c r="BZ83" s="23" t="n"/>
      <c r="CA83" s="23" t="n"/>
      <c r="CB83" s="23" t="n"/>
      <c r="CC83" s="23" t="n"/>
      <c r="CD83" s="23" t="n"/>
      <c r="CE83" s="23" t="n"/>
      <c r="CF83" s="23" t="n"/>
      <c r="CG83" s="23" t="n"/>
      <c r="CH83" s="23" t="n"/>
      <c r="CI83" s="23" t="n"/>
      <c r="CJ83" s="23" t="n"/>
      <c r="CK83" s="23" t="n"/>
      <c r="CL83" s="23" t="n"/>
      <c r="CM83" s="23" t="n"/>
      <c r="CN83" s="23" t="n"/>
      <c r="CO83" s="23" t="n"/>
      <c r="CP83" s="23" t="n"/>
      <c r="CQ83" s="23" t="n"/>
      <c r="CR83" s="23" t="n"/>
      <c r="CS83" s="23" t="n"/>
      <c r="CT83" s="23" t="n"/>
      <c r="CU83" s="23" t="n"/>
      <c r="CV83" s="23" t="n"/>
      <c r="CW83" s="23" t="n"/>
      <c r="CX83" s="23" t="n"/>
      <c r="CY83" s="23" t="n"/>
      <c r="CZ83" s="23" t="n"/>
      <c r="DA83" s="23" t="n"/>
      <c r="DB83" s="23" t="n"/>
      <c r="DC83" s="23" t="n"/>
      <c r="DE83" s="12" t="inlineStr">
        <is>
          <t>7CL</t>
        </is>
      </c>
    </row>
    <row r="84">
      <c r="B84" s="24" t="inlineStr">
        <is>
          <t>PO_No</t>
        </is>
      </c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  <c r="AD84" s="25" t="n"/>
      <c r="AE84" s="25" t="n"/>
      <c r="AF84" s="25" t="n"/>
      <c r="AG84" s="25" t="n"/>
      <c r="AH84" s="25" t="n"/>
      <c r="AI84" s="25" t="n"/>
      <c r="AJ84" s="25" t="n"/>
      <c r="AK84" s="25" t="n"/>
      <c r="AL84" s="25" t="n"/>
      <c r="AM84" s="25" t="n"/>
      <c r="AN84" s="25" t="n"/>
      <c r="AO84" s="25" t="n"/>
      <c r="AP84" s="25" t="n"/>
      <c r="AQ84" s="25" t="n"/>
      <c r="AR84" s="25" t="n"/>
      <c r="AS84" s="25" t="n"/>
      <c r="AT84" s="25" t="n"/>
      <c r="AU84" s="25" t="n"/>
      <c r="AV84" s="25" t="n"/>
      <c r="AW84" s="25" t="n"/>
      <c r="AX84" s="25" t="n"/>
      <c r="AY84" s="25" t="n"/>
      <c r="AZ84" s="25" t="n"/>
      <c r="BA84" s="25" t="n"/>
      <c r="BB84" s="25" t="n"/>
      <c r="BC84" s="25" t="n"/>
      <c r="BD84" s="25" t="n"/>
      <c r="BE84" s="25" t="n"/>
      <c r="BF84" s="25" t="n"/>
      <c r="BG84" s="25" t="n"/>
      <c r="BH84" s="25" t="n"/>
      <c r="BI84" s="25" t="n"/>
      <c r="BJ84" s="25" t="n"/>
      <c r="BK84" s="25" t="n"/>
      <c r="BL84" s="25" t="n"/>
      <c r="BM84" s="25" t="n"/>
      <c r="BN84" s="25" t="n"/>
      <c r="BO84" s="25" t="n"/>
      <c r="BP84" s="25" t="n"/>
      <c r="BQ84" s="25" t="n"/>
      <c r="BR84" s="25" t="n"/>
      <c r="BS84" s="25" t="n"/>
      <c r="BT84" s="25" t="n"/>
      <c r="BU84" s="25" t="n"/>
      <c r="BV84" s="25" t="n"/>
      <c r="BW84" s="25" t="n"/>
      <c r="BX84" s="25" t="n"/>
      <c r="BY84" s="25" t="n"/>
      <c r="BZ84" s="25" t="n"/>
      <c r="CA84" s="25" t="n"/>
      <c r="CB84" s="25" t="n"/>
      <c r="CC84" s="25" t="n"/>
      <c r="CD84" s="25" t="n"/>
      <c r="CE84" s="25" t="n"/>
      <c r="CF84" s="25" t="n"/>
      <c r="CG84" s="25" t="n"/>
      <c r="CH84" s="25" t="n"/>
      <c r="CI84" s="25" t="n"/>
      <c r="CJ84" s="25" t="n"/>
      <c r="CK84" s="25" t="n"/>
      <c r="CL84" s="25" t="n"/>
      <c r="CM84" s="25" t="n"/>
      <c r="CN84" s="25" t="n"/>
      <c r="CO84" s="25" t="n"/>
      <c r="CP84" s="25" t="n"/>
      <c r="CQ84" s="25" t="n"/>
      <c r="CR84" s="25" t="n"/>
      <c r="CS84" s="25" t="n"/>
      <c r="CT84" s="25" t="n"/>
      <c r="CU84" s="25" t="n"/>
      <c r="CV84" s="25" t="n"/>
      <c r="CW84" s="25" t="n"/>
      <c r="CX84" s="25" t="n"/>
      <c r="CY84" s="25" t="n"/>
      <c r="CZ84" s="25" t="n"/>
      <c r="DA84" s="25" t="n"/>
      <c r="DB84" s="25" t="n"/>
      <c r="DC84" s="25" t="n"/>
    </row>
    <row r="85">
      <c r="B85" s="5" t="inlineStr">
        <is>
          <t>合計在庫(週末時点,kg)</t>
        </is>
      </c>
      <c r="D85">
        <f>'Grid_Stock'!B6</f>
        <v/>
      </c>
      <c r="E85">
        <f>'Grid_Stock'!C6</f>
        <v/>
      </c>
      <c r="F85">
        <f>'Grid_Stock'!D6</f>
        <v/>
      </c>
      <c r="G85">
        <f>'Grid_Stock'!E6</f>
        <v/>
      </c>
      <c r="H85">
        <f>'Grid_Stock'!F6</f>
        <v/>
      </c>
      <c r="I85">
        <f>'Grid_Stock'!G6</f>
        <v/>
      </c>
      <c r="J85">
        <f>'Grid_Stock'!H6</f>
        <v/>
      </c>
      <c r="K85">
        <f>'Grid_Stock'!I6</f>
        <v/>
      </c>
      <c r="L85">
        <f>'Grid_Stock'!J6</f>
        <v/>
      </c>
      <c r="M85">
        <f>'Grid_Stock'!K6</f>
        <v/>
      </c>
      <c r="N85">
        <f>'Grid_Stock'!L6</f>
        <v/>
      </c>
      <c r="O85">
        <f>'Grid_Stock'!M6</f>
        <v/>
      </c>
      <c r="P85">
        <f>'Grid_Stock'!N6</f>
        <v/>
      </c>
      <c r="Q85">
        <f>'Grid_Stock'!O6</f>
        <v/>
      </c>
      <c r="R85">
        <f>'Grid_Stock'!P6</f>
        <v/>
      </c>
      <c r="S85">
        <f>'Grid_Stock'!Q6</f>
        <v/>
      </c>
      <c r="T85">
        <f>'Grid_Stock'!R6</f>
        <v/>
      </c>
      <c r="U85">
        <f>'Grid_Stock'!S6</f>
        <v/>
      </c>
      <c r="V85">
        <f>'Grid_Stock'!T6</f>
        <v/>
      </c>
      <c r="W85">
        <f>'Grid_Stock'!U6</f>
        <v/>
      </c>
      <c r="X85">
        <f>'Grid_Stock'!V6</f>
        <v/>
      </c>
      <c r="Y85">
        <f>'Grid_Stock'!W6</f>
        <v/>
      </c>
      <c r="Z85">
        <f>'Grid_Stock'!X6</f>
        <v/>
      </c>
      <c r="AA85">
        <f>'Grid_Stock'!Y6</f>
        <v/>
      </c>
      <c r="AB85">
        <f>'Grid_Stock'!Z6</f>
        <v/>
      </c>
      <c r="AC85">
        <f>'Grid_Stock'!AA6</f>
        <v/>
      </c>
      <c r="AD85">
        <f>'Grid_Stock'!AB6</f>
        <v/>
      </c>
      <c r="AE85">
        <f>'Grid_Stock'!AC6</f>
        <v/>
      </c>
      <c r="AF85">
        <f>'Grid_Stock'!AD6</f>
        <v/>
      </c>
      <c r="AG85">
        <f>'Grid_Stock'!AE6</f>
        <v/>
      </c>
      <c r="AH85">
        <f>'Grid_Stock'!AF6</f>
        <v/>
      </c>
      <c r="AI85">
        <f>'Grid_Stock'!AG6</f>
        <v/>
      </c>
      <c r="AJ85">
        <f>'Grid_Stock'!AH6</f>
        <v/>
      </c>
      <c r="AK85">
        <f>'Grid_Stock'!AI6</f>
        <v/>
      </c>
      <c r="AL85">
        <f>'Grid_Stock'!AJ6</f>
        <v/>
      </c>
      <c r="AM85">
        <f>'Grid_Stock'!AK6</f>
        <v/>
      </c>
      <c r="AN85">
        <f>'Grid_Stock'!AL6</f>
        <v/>
      </c>
      <c r="AO85">
        <f>'Grid_Stock'!AM6</f>
        <v/>
      </c>
      <c r="AP85">
        <f>'Grid_Stock'!AN6</f>
        <v/>
      </c>
      <c r="AQ85">
        <f>'Grid_Stock'!AO6</f>
        <v/>
      </c>
      <c r="AR85">
        <f>'Grid_Stock'!AP6</f>
        <v/>
      </c>
      <c r="AS85">
        <f>'Grid_Stock'!AQ6</f>
        <v/>
      </c>
      <c r="AT85">
        <f>'Grid_Stock'!AR6</f>
        <v/>
      </c>
      <c r="AU85">
        <f>'Grid_Stock'!AS6</f>
        <v/>
      </c>
      <c r="AV85">
        <f>'Grid_Stock'!AT6</f>
        <v/>
      </c>
      <c r="AW85">
        <f>'Grid_Stock'!AU6</f>
        <v/>
      </c>
      <c r="AX85">
        <f>'Grid_Stock'!AV6</f>
        <v/>
      </c>
      <c r="AY85">
        <f>'Grid_Stock'!AW6</f>
        <v/>
      </c>
      <c r="AZ85">
        <f>'Grid_Stock'!AX6</f>
        <v/>
      </c>
      <c r="BA85">
        <f>'Grid_Stock'!AY6</f>
        <v/>
      </c>
      <c r="BB85">
        <f>'Grid_Stock'!AZ6</f>
        <v/>
      </c>
      <c r="BC85">
        <f>'Grid_Stock'!BA6</f>
        <v/>
      </c>
      <c r="BD85">
        <f>'Grid_Stock'!BB6</f>
        <v/>
      </c>
      <c r="BE85">
        <f>'Grid_Stock'!BC6</f>
        <v/>
      </c>
      <c r="BF85">
        <f>'Grid_Stock'!BD6</f>
        <v/>
      </c>
      <c r="BG85">
        <f>'Grid_Stock'!BE6</f>
        <v/>
      </c>
      <c r="BH85">
        <f>'Grid_Stock'!BF6</f>
        <v/>
      </c>
      <c r="BI85">
        <f>'Grid_Stock'!BG6</f>
        <v/>
      </c>
      <c r="BJ85">
        <f>'Grid_Stock'!BH6</f>
        <v/>
      </c>
      <c r="BK85">
        <f>'Grid_Stock'!BI6</f>
        <v/>
      </c>
      <c r="BL85">
        <f>'Grid_Stock'!BJ6</f>
        <v/>
      </c>
      <c r="BM85">
        <f>'Grid_Stock'!BK6</f>
        <v/>
      </c>
      <c r="BN85">
        <f>'Grid_Stock'!BL6</f>
        <v/>
      </c>
      <c r="BO85">
        <f>'Grid_Stock'!BM6</f>
        <v/>
      </c>
      <c r="BP85">
        <f>'Grid_Stock'!BN6</f>
        <v/>
      </c>
      <c r="BQ85">
        <f>'Grid_Stock'!BO6</f>
        <v/>
      </c>
      <c r="BR85">
        <f>'Grid_Stock'!BP6</f>
        <v/>
      </c>
      <c r="BS85">
        <f>'Grid_Stock'!BQ6</f>
        <v/>
      </c>
      <c r="BT85">
        <f>'Grid_Stock'!BR6</f>
        <v/>
      </c>
      <c r="BU85">
        <f>'Grid_Stock'!BS6</f>
        <v/>
      </c>
      <c r="BV85">
        <f>'Grid_Stock'!BT6</f>
        <v/>
      </c>
      <c r="BW85">
        <f>'Grid_Stock'!BU6</f>
        <v/>
      </c>
      <c r="BX85">
        <f>'Grid_Stock'!BV6</f>
        <v/>
      </c>
      <c r="BY85">
        <f>'Grid_Stock'!BW6</f>
        <v/>
      </c>
      <c r="BZ85">
        <f>'Grid_Stock'!BX6</f>
        <v/>
      </c>
      <c r="CA85">
        <f>'Grid_Stock'!BY6</f>
        <v/>
      </c>
      <c r="CB85">
        <f>'Grid_Stock'!BZ6</f>
        <v/>
      </c>
      <c r="CC85">
        <f>'Grid_Stock'!CA6</f>
        <v/>
      </c>
      <c r="CD85">
        <f>'Grid_Stock'!CB6</f>
        <v/>
      </c>
      <c r="CE85">
        <f>'Grid_Stock'!CC6</f>
        <v/>
      </c>
      <c r="CF85">
        <f>'Grid_Stock'!CD6</f>
        <v/>
      </c>
      <c r="CG85">
        <f>'Grid_Stock'!CE6</f>
        <v/>
      </c>
      <c r="CH85">
        <f>'Grid_Stock'!CF6</f>
        <v/>
      </c>
      <c r="CI85">
        <f>'Grid_Stock'!CG6</f>
        <v/>
      </c>
      <c r="CJ85">
        <f>'Grid_Stock'!CH6</f>
        <v/>
      </c>
      <c r="CK85">
        <f>'Grid_Stock'!CI6</f>
        <v/>
      </c>
      <c r="CL85">
        <f>'Grid_Stock'!CJ6</f>
        <v/>
      </c>
      <c r="CM85">
        <f>'Grid_Stock'!CK6</f>
        <v/>
      </c>
      <c r="CN85">
        <f>'Grid_Stock'!CL6</f>
        <v/>
      </c>
      <c r="CO85">
        <f>'Grid_Stock'!CM6</f>
        <v/>
      </c>
      <c r="CP85">
        <f>'Grid_Stock'!CN6</f>
        <v/>
      </c>
      <c r="CQ85">
        <f>'Grid_Stock'!CO6</f>
        <v/>
      </c>
      <c r="CR85">
        <f>'Grid_Stock'!CP6</f>
        <v/>
      </c>
      <c r="CS85">
        <f>'Grid_Stock'!CQ6</f>
        <v/>
      </c>
      <c r="CT85">
        <f>'Grid_Stock'!CR6</f>
        <v/>
      </c>
      <c r="CU85">
        <f>'Grid_Stock'!CS6</f>
        <v/>
      </c>
      <c r="CV85">
        <f>'Grid_Stock'!CT6</f>
        <v/>
      </c>
      <c r="CW85">
        <f>'Grid_Stock'!CU6</f>
        <v/>
      </c>
      <c r="CX85">
        <f>'Grid_Stock'!CV6</f>
        <v/>
      </c>
      <c r="CY85">
        <f>'Grid_Stock'!CW6</f>
        <v/>
      </c>
      <c r="CZ85">
        <f>'Grid_Stock'!CX6</f>
        <v/>
      </c>
      <c r="DA85">
        <f>'Grid_Stock'!CY6</f>
        <v/>
      </c>
      <c r="DB85">
        <f>'Grid_Stock'!CZ6</f>
        <v/>
      </c>
      <c r="DC85">
        <f>'Grid_Stock'!DA6</f>
        <v/>
      </c>
    </row>
    <row r="86">
      <c r="B86" s="26" t="inlineStr">
        <is>
          <t>（発注の目安はDashboardの基準在庫[下限/上限]と色分けを参照）</t>
        </is>
      </c>
    </row>
    <row r="88">
      <c r="A88" s="21" t="inlineStr">
        <is>
          <t>OJN</t>
        </is>
      </c>
      <c r="B88" s="21" t="inlineStr">
        <is>
          <t>Substrate TTAF WF6</t>
        </is>
      </c>
      <c r="C88" s="22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  <c r="AO88" s="21" t="n"/>
      <c r="AP88" s="21" t="n"/>
      <c r="AQ88" s="21" t="n"/>
      <c r="AR88" s="21" t="n"/>
      <c r="AS88" s="21" t="n"/>
      <c r="AT88" s="21" t="n"/>
      <c r="AU88" s="21" t="n"/>
      <c r="AV88" s="21" t="n"/>
      <c r="AW88" s="21" t="n"/>
      <c r="AX88" s="21" t="n"/>
      <c r="AY88" s="21" t="n"/>
      <c r="AZ88" s="21" t="n"/>
      <c r="BA88" s="21" t="n"/>
      <c r="BB88" s="21" t="n"/>
      <c r="BC88" s="21" t="n"/>
      <c r="BD88" s="21" t="n"/>
      <c r="BE88" s="21" t="n"/>
      <c r="BF88" s="21" t="n"/>
      <c r="BG88" s="21" t="n"/>
      <c r="BH88" s="21" t="n"/>
      <c r="BI88" s="21" t="n"/>
      <c r="BJ88" s="21" t="n"/>
      <c r="BK88" s="21" t="n"/>
      <c r="BL88" s="21" t="n"/>
      <c r="BM88" s="21" t="n"/>
      <c r="BN88" s="21" t="n"/>
      <c r="BO88" s="21" t="n"/>
      <c r="BP88" s="21" t="n"/>
      <c r="BQ88" s="21" t="n"/>
      <c r="BR88" s="21" t="n"/>
      <c r="BS88" s="21" t="n"/>
      <c r="BT88" s="21" t="n"/>
      <c r="BU88" s="21" t="n"/>
      <c r="BV88" s="21" t="n"/>
      <c r="BW88" s="21" t="n"/>
      <c r="BX88" s="21" t="n"/>
      <c r="BY88" s="21" t="n"/>
      <c r="BZ88" s="21" t="n"/>
      <c r="CA88" s="21" t="n"/>
      <c r="CB88" s="21" t="n"/>
      <c r="CC88" s="21" t="n"/>
      <c r="CD88" s="21" t="n"/>
      <c r="CE88" s="21" t="n"/>
      <c r="CF88" s="21" t="n"/>
      <c r="CG88" s="21" t="n"/>
      <c r="CH88" s="21" t="n"/>
      <c r="CI88" s="21" t="n"/>
      <c r="CJ88" s="21" t="n"/>
      <c r="CK88" s="21" t="n"/>
      <c r="CL88" s="21" t="n"/>
      <c r="CM88" s="21" t="n"/>
      <c r="CN88" s="21" t="n"/>
      <c r="CO88" s="21" t="n"/>
      <c r="CP88" s="21" t="n"/>
      <c r="CQ88" s="21" t="n"/>
      <c r="CR88" s="21" t="n"/>
      <c r="CS88" s="21" t="n"/>
      <c r="CT88" s="21" t="n"/>
      <c r="CU88" s="21" t="n"/>
      <c r="CV88" s="21" t="n"/>
      <c r="CW88" s="21" t="n"/>
      <c r="CX88" s="21" t="n"/>
      <c r="CY88" s="21" t="n"/>
      <c r="CZ88" s="21" t="n"/>
      <c r="DA88" s="21" t="n"/>
      <c r="DB88" s="21" t="n"/>
      <c r="DC88" s="21" t="n"/>
    </row>
    <row r="89">
      <c r="B89" t="inlineStr">
        <is>
          <t>F2090</t>
        </is>
      </c>
      <c r="C89" t="inlineStr">
        <is>
          <t>No. of batches</t>
        </is>
      </c>
      <c r="D89">
        <f>IFERROR(INDEX(PP_Grid[#Data],$DD89,2),0)</f>
        <v/>
      </c>
      <c r="E89">
        <f>IFERROR(INDEX(PP_Grid[#Data],$DD89,3),0)</f>
        <v/>
      </c>
      <c r="F89">
        <f>IFERROR(INDEX(PP_Grid[#Data],$DD89,4),0)</f>
        <v/>
      </c>
      <c r="G89">
        <f>IFERROR(INDEX(PP_Grid[#Data],$DD89,5),0)</f>
        <v/>
      </c>
      <c r="H89">
        <f>IFERROR(INDEX(PP_Grid[#Data],$DD89,6),0)</f>
        <v/>
      </c>
      <c r="I89">
        <f>IFERROR(INDEX(PP_Grid[#Data],$DD89,7),0)</f>
        <v/>
      </c>
      <c r="J89">
        <f>IFERROR(INDEX(PP_Grid[#Data],$DD89,8),0)</f>
        <v/>
      </c>
      <c r="K89">
        <f>IFERROR(INDEX(PP_Grid[#Data],$DD89,9),0)</f>
        <v/>
      </c>
      <c r="L89">
        <f>IFERROR(INDEX(PP_Grid[#Data],$DD89,10),0)</f>
        <v/>
      </c>
      <c r="M89">
        <f>IFERROR(INDEX(PP_Grid[#Data],$DD89,11),0)</f>
        <v/>
      </c>
      <c r="N89">
        <f>IFERROR(INDEX(PP_Grid[#Data],$DD89,12),0)</f>
        <v/>
      </c>
      <c r="O89">
        <f>IFERROR(INDEX(PP_Grid[#Data],$DD89,13),0)</f>
        <v/>
      </c>
      <c r="P89">
        <f>IFERROR(INDEX(PP_Grid[#Data],$DD89,14),0)</f>
        <v/>
      </c>
      <c r="Q89">
        <f>IFERROR(INDEX(PP_Grid[#Data],$DD89,15),0)</f>
        <v/>
      </c>
      <c r="R89">
        <f>IFERROR(INDEX(PP_Grid[#Data],$DD89,16),0)</f>
        <v/>
      </c>
      <c r="S89">
        <f>IFERROR(INDEX(PP_Grid[#Data],$DD89,17),0)</f>
        <v/>
      </c>
      <c r="T89">
        <f>IFERROR(INDEX(PP_Grid[#Data],$DD89,18),0)</f>
        <v/>
      </c>
      <c r="U89">
        <f>IFERROR(INDEX(PP_Grid[#Data],$DD89,19),0)</f>
        <v/>
      </c>
      <c r="V89">
        <f>IFERROR(INDEX(PP_Grid[#Data],$DD89,20),0)</f>
        <v/>
      </c>
      <c r="W89">
        <f>IFERROR(INDEX(PP_Grid[#Data],$DD89,21),0)</f>
        <v/>
      </c>
      <c r="X89">
        <f>IFERROR(INDEX(PP_Grid[#Data],$DD89,22),0)</f>
        <v/>
      </c>
      <c r="Y89">
        <f>IFERROR(INDEX(PP_Grid[#Data],$DD89,23),0)</f>
        <v/>
      </c>
      <c r="Z89">
        <f>IFERROR(INDEX(PP_Grid[#Data],$DD89,24),0)</f>
        <v/>
      </c>
      <c r="AA89">
        <f>IFERROR(INDEX(PP_Grid[#Data],$DD89,25),0)</f>
        <v/>
      </c>
      <c r="AB89">
        <f>IFERROR(INDEX(PP_Grid[#Data],$DD89,26),0)</f>
        <v/>
      </c>
      <c r="AC89">
        <f>IFERROR(INDEX(PP_Grid[#Data],$DD89,27),0)</f>
        <v/>
      </c>
      <c r="AD89">
        <f>IFERROR(INDEX(PP_Grid[#Data],$DD89,28),0)</f>
        <v/>
      </c>
      <c r="AE89">
        <f>IFERROR(INDEX(PP_Grid[#Data],$DD89,29),0)</f>
        <v/>
      </c>
      <c r="AF89">
        <f>IFERROR(INDEX(PP_Grid[#Data],$DD89,30),0)</f>
        <v/>
      </c>
      <c r="AG89">
        <f>IFERROR(INDEX(PP_Grid[#Data],$DD89,31),0)</f>
        <v/>
      </c>
      <c r="AH89">
        <f>IFERROR(INDEX(PP_Grid[#Data],$DD89,32),0)</f>
        <v/>
      </c>
      <c r="AI89">
        <f>IFERROR(INDEX(PP_Grid[#Data],$DD89,33),0)</f>
        <v/>
      </c>
      <c r="AJ89">
        <f>IFERROR(INDEX(PP_Grid[#Data],$DD89,34),0)</f>
        <v/>
      </c>
      <c r="AK89">
        <f>IFERROR(INDEX(PP_Grid[#Data],$DD89,35),0)</f>
        <v/>
      </c>
      <c r="AL89">
        <f>IFERROR(INDEX(PP_Grid[#Data],$DD89,36),0)</f>
        <v/>
      </c>
      <c r="AM89">
        <f>IFERROR(INDEX(PP_Grid[#Data],$DD89,37),0)</f>
        <v/>
      </c>
      <c r="AN89">
        <f>IFERROR(INDEX(PP_Grid[#Data],$DD89,38),0)</f>
        <v/>
      </c>
      <c r="AO89">
        <f>IFERROR(INDEX(PP_Grid[#Data],$DD89,39),0)</f>
        <v/>
      </c>
      <c r="AP89">
        <f>IFERROR(INDEX(PP_Grid[#Data],$DD89,40),0)</f>
        <v/>
      </c>
      <c r="AQ89">
        <f>IFERROR(INDEX(PP_Grid[#Data],$DD89,41),0)</f>
        <v/>
      </c>
      <c r="AR89">
        <f>IFERROR(INDEX(PP_Grid[#Data],$DD89,42),0)</f>
        <v/>
      </c>
      <c r="AS89">
        <f>IFERROR(INDEX(PP_Grid[#Data],$DD89,43),0)</f>
        <v/>
      </c>
      <c r="AT89">
        <f>IFERROR(INDEX(PP_Grid[#Data],$DD89,44),0)</f>
        <v/>
      </c>
      <c r="AU89">
        <f>IFERROR(INDEX(PP_Grid[#Data],$DD89,45),0)</f>
        <v/>
      </c>
      <c r="AV89">
        <f>IFERROR(INDEX(PP_Grid[#Data],$DD89,46),0)</f>
        <v/>
      </c>
      <c r="AW89">
        <f>IFERROR(INDEX(PP_Grid[#Data],$DD89,47),0)</f>
        <v/>
      </c>
      <c r="AX89">
        <f>IFERROR(INDEX(PP_Grid[#Data],$DD89,48),0)</f>
        <v/>
      </c>
      <c r="AY89">
        <f>IFERROR(INDEX(PP_Grid[#Data],$DD89,49),0)</f>
        <v/>
      </c>
      <c r="AZ89">
        <f>IFERROR(INDEX(PP_Grid[#Data],$DD89,50),0)</f>
        <v/>
      </c>
      <c r="BA89">
        <f>IFERROR(INDEX(PP_Grid[#Data],$DD89,51),0)</f>
        <v/>
      </c>
      <c r="BB89">
        <f>IFERROR(INDEX(PP_Grid[#Data],$DD89,52),0)</f>
        <v/>
      </c>
      <c r="BC89">
        <f>IFERROR(INDEX(PP_Grid[#Data],$DD89,53),0)</f>
        <v/>
      </c>
      <c r="BD89">
        <f>IFERROR(INDEX(PP_Grid[#Data],$DD89,54),0)</f>
        <v/>
      </c>
      <c r="BE89">
        <f>IFERROR(INDEX(PP_Grid[#Data],$DD89,55),0)</f>
        <v/>
      </c>
      <c r="BF89">
        <f>IFERROR(INDEX(PP_Grid[#Data],$DD89,56),0)</f>
        <v/>
      </c>
      <c r="BG89">
        <f>IFERROR(INDEX(PP_Grid[#Data],$DD89,57),0)</f>
        <v/>
      </c>
      <c r="BH89">
        <f>IFERROR(INDEX(PP_Grid[#Data],$DD89,58),0)</f>
        <v/>
      </c>
      <c r="BI89">
        <f>IFERROR(INDEX(PP_Grid[#Data],$DD89,59),0)</f>
        <v/>
      </c>
      <c r="BJ89">
        <f>IFERROR(INDEX(PP_Grid[#Data],$DD89,60),0)</f>
        <v/>
      </c>
      <c r="BK89">
        <f>IFERROR(INDEX(PP_Grid[#Data],$DD89,61),0)</f>
        <v/>
      </c>
      <c r="BL89">
        <f>IFERROR(INDEX(PP_Grid[#Data],$DD89,62),0)</f>
        <v/>
      </c>
      <c r="BM89">
        <f>IFERROR(INDEX(PP_Grid[#Data],$DD89,63),0)</f>
        <v/>
      </c>
      <c r="BN89">
        <f>IFERROR(INDEX(PP_Grid[#Data],$DD89,64),0)</f>
        <v/>
      </c>
      <c r="BO89">
        <f>IFERROR(INDEX(PP_Grid[#Data],$DD89,65),0)</f>
        <v/>
      </c>
      <c r="BP89">
        <f>IFERROR(INDEX(PP_Grid[#Data],$DD89,66),0)</f>
        <v/>
      </c>
      <c r="BQ89">
        <f>IFERROR(INDEX(PP_Grid[#Data],$DD89,67),0)</f>
        <v/>
      </c>
      <c r="BR89">
        <f>IFERROR(INDEX(PP_Grid[#Data],$DD89,68),0)</f>
        <v/>
      </c>
      <c r="BS89">
        <f>IFERROR(INDEX(PP_Grid[#Data],$DD89,69),0)</f>
        <v/>
      </c>
      <c r="BT89">
        <f>IFERROR(INDEX(PP_Grid[#Data],$DD89,70),0)</f>
        <v/>
      </c>
      <c r="BU89">
        <f>IFERROR(INDEX(PP_Grid[#Data],$DD89,71),0)</f>
        <v/>
      </c>
      <c r="BV89">
        <f>IFERROR(INDEX(PP_Grid[#Data],$DD89,72),0)</f>
        <v/>
      </c>
      <c r="BW89">
        <f>IFERROR(INDEX(PP_Grid[#Data],$DD89,73),0)</f>
        <v/>
      </c>
      <c r="BX89">
        <f>IFERROR(INDEX(PP_Grid[#Data],$DD89,74),0)</f>
        <v/>
      </c>
      <c r="BY89">
        <f>IFERROR(INDEX(PP_Grid[#Data],$DD89,75),0)</f>
        <v/>
      </c>
      <c r="BZ89">
        <f>IFERROR(INDEX(PP_Grid[#Data],$DD89,76),0)</f>
        <v/>
      </c>
      <c r="CA89">
        <f>IFERROR(INDEX(PP_Grid[#Data],$DD89,77),0)</f>
        <v/>
      </c>
      <c r="CB89">
        <f>IFERROR(INDEX(PP_Grid[#Data],$DD89,78),0)</f>
        <v/>
      </c>
      <c r="CC89">
        <f>IFERROR(INDEX(PP_Grid[#Data],$DD89,79),0)</f>
        <v/>
      </c>
      <c r="CD89">
        <f>IFERROR(INDEX(PP_Grid[#Data],$DD89,80),0)</f>
        <v/>
      </c>
      <c r="CE89">
        <f>IFERROR(INDEX(PP_Grid[#Data],$DD89,81),0)</f>
        <v/>
      </c>
      <c r="CF89">
        <f>IFERROR(INDEX(PP_Grid[#Data],$DD89,82),0)</f>
        <v/>
      </c>
      <c r="CG89">
        <f>IFERROR(INDEX(PP_Grid[#Data],$DD89,83),0)</f>
        <v/>
      </c>
      <c r="CH89">
        <f>IFERROR(INDEX(PP_Grid[#Data],$DD89,84),0)</f>
        <v/>
      </c>
      <c r="CI89">
        <f>IFERROR(INDEX(PP_Grid[#Data],$DD89,85),0)</f>
        <v/>
      </c>
      <c r="CJ89">
        <f>IFERROR(INDEX(PP_Grid[#Data],$DD89,86),0)</f>
        <v/>
      </c>
      <c r="CK89">
        <f>IFERROR(INDEX(PP_Grid[#Data],$DD89,87),0)</f>
        <v/>
      </c>
      <c r="CL89">
        <f>IFERROR(INDEX(PP_Grid[#Data],$DD89,88),0)</f>
        <v/>
      </c>
      <c r="CM89">
        <f>IFERROR(INDEX(PP_Grid[#Data],$DD89,89),0)</f>
        <v/>
      </c>
      <c r="CN89">
        <f>IFERROR(INDEX(PP_Grid[#Data],$DD89,90),0)</f>
        <v/>
      </c>
      <c r="CO89">
        <f>IFERROR(INDEX(PP_Grid[#Data],$DD89,91),0)</f>
        <v/>
      </c>
      <c r="CP89">
        <f>IFERROR(INDEX(PP_Grid[#Data],$DD89,92),0)</f>
        <v/>
      </c>
      <c r="CQ89">
        <f>IFERROR(INDEX(PP_Grid[#Data],$DD89,93),0)</f>
        <v/>
      </c>
      <c r="CR89">
        <f>IFERROR(INDEX(PP_Grid[#Data],$DD89,94),0)</f>
        <v/>
      </c>
      <c r="CS89">
        <f>IFERROR(INDEX(PP_Grid[#Data],$DD89,95),0)</f>
        <v/>
      </c>
      <c r="CT89">
        <f>IFERROR(INDEX(PP_Grid[#Data],$DD89,96),0)</f>
        <v/>
      </c>
      <c r="CU89">
        <f>IFERROR(INDEX(PP_Grid[#Data],$DD89,97),0)</f>
        <v/>
      </c>
      <c r="CV89">
        <f>IFERROR(INDEX(PP_Grid[#Data],$DD89,98),0)</f>
        <v/>
      </c>
      <c r="CW89">
        <f>IFERROR(INDEX(PP_Grid[#Data],$DD89,99),0)</f>
        <v/>
      </c>
      <c r="CX89">
        <f>IFERROR(INDEX(PP_Grid[#Data],$DD89,100),0)</f>
        <v/>
      </c>
      <c r="CY89">
        <f>IFERROR(INDEX(PP_Grid[#Data],$DD89,101),0)</f>
        <v/>
      </c>
      <c r="CZ89">
        <f>IFERROR(INDEX(PP_Grid[#Data],$DD89,102),0)</f>
        <v/>
      </c>
      <c r="DA89">
        <f>IFERROR(INDEX(PP_Grid[#Data],$DD89,103),0)</f>
        <v/>
      </c>
      <c r="DB89">
        <f>IFERROR(INDEX(PP_Grid[#Data],$DD89,104),0)</f>
        <v/>
      </c>
      <c r="DC89">
        <f>IFERROR(INDEX(PP_Grid[#Data],$DD89,105),0)</f>
        <v/>
      </c>
      <c r="DD89" s="12">
        <f>IFERROR(MATCH($B89,PP_Grid[Intermediate],0),99999)</f>
        <v/>
      </c>
    </row>
    <row r="90">
      <c r="B90" t="inlineStr">
        <is>
          <t>使用量(kg)</t>
        </is>
      </c>
      <c r="C90">
        <f>SUMIFS(M_BOM[RM_Qty_Per_Batch],M_BOM[Intermediate],$B89,M_BOM[Part Name],$A88)</f>
        <v/>
      </c>
      <c r="D90">
        <f>$C90*D89</f>
        <v/>
      </c>
      <c r="E90">
        <f>$C90*E89</f>
        <v/>
      </c>
      <c r="F90">
        <f>$C90*F89</f>
        <v/>
      </c>
      <c r="G90">
        <f>$C90*G89</f>
        <v/>
      </c>
      <c r="H90">
        <f>$C90*H89</f>
        <v/>
      </c>
      <c r="I90">
        <f>$C90*I89</f>
        <v/>
      </c>
      <c r="J90">
        <f>$C90*J89</f>
        <v/>
      </c>
      <c r="K90">
        <f>$C90*K89</f>
        <v/>
      </c>
      <c r="L90">
        <f>$C90*L89</f>
        <v/>
      </c>
      <c r="M90">
        <f>$C90*M89</f>
        <v/>
      </c>
      <c r="N90">
        <f>$C90*N89</f>
        <v/>
      </c>
      <c r="O90">
        <f>$C90*O89</f>
        <v/>
      </c>
      <c r="P90">
        <f>$C90*P89</f>
        <v/>
      </c>
      <c r="Q90">
        <f>$C90*Q89</f>
        <v/>
      </c>
      <c r="R90">
        <f>$C90*R89</f>
        <v/>
      </c>
      <c r="S90">
        <f>$C90*S89</f>
        <v/>
      </c>
      <c r="T90">
        <f>$C90*T89</f>
        <v/>
      </c>
      <c r="U90">
        <f>$C90*U89</f>
        <v/>
      </c>
      <c r="V90">
        <f>$C90*V89</f>
        <v/>
      </c>
      <c r="W90">
        <f>$C90*W89</f>
        <v/>
      </c>
      <c r="X90">
        <f>$C90*X89</f>
        <v/>
      </c>
      <c r="Y90">
        <f>$C90*Y89</f>
        <v/>
      </c>
      <c r="Z90">
        <f>$C90*Z89</f>
        <v/>
      </c>
      <c r="AA90">
        <f>$C90*AA89</f>
        <v/>
      </c>
      <c r="AB90">
        <f>$C90*AB89</f>
        <v/>
      </c>
      <c r="AC90">
        <f>$C90*AC89</f>
        <v/>
      </c>
      <c r="AD90">
        <f>$C90*AD89</f>
        <v/>
      </c>
      <c r="AE90">
        <f>$C90*AE89</f>
        <v/>
      </c>
      <c r="AF90">
        <f>$C90*AF89</f>
        <v/>
      </c>
      <c r="AG90">
        <f>$C90*AG89</f>
        <v/>
      </c>
      <c r="AH90">
        <f>$C90*AH89</f>
        <v/>
      </c>
      <c r="AI90">
        <f>$C90*AI89</f>
        <v/>
      </c>
      <c r="AJ90">
        <f>$C90*AJ89</f>
        <v/>
      </c>
      <c r="AK90">
        <f>$C90*AK89</f>
        <v/>
      </c>
      <c r="AL90">
        <f>$C90*AL89</f>
        <v/>
      </c>
      <c r="AM90">
        <f>$C90*AM89</f>
        <v/>
      </c>
      <c r="AN90">
        <f>$C90*AN89</f>
        <v/>
      </c>
      <c r="AO90">
        <f>$C90*AO89</f>
        <v/>
      </c>
      <c r="AP90">
        <f>$C90*AP89</f>
        <v/>
      </c>
      <c r="AQ90">
        <f>$C90*AQ89</f>
        <v/>
      </c>
      <c r="AR90">
        <f>$C90*AR89</f>
        <v/>
      </c>
      <c r="AS90">
        <f>$C90*AS89</f>
        <v/>
      </c>
      <c r="AT90">
        <f>$C90*AT89</f>
        <v/>
      </c>
      <c r="AU90">
        <f>$C90*AU89</f>
        <v/>
      </c>
      <c r="AV90">
        <f>$C90*AV89</f>
        <v/>
      </c>
      <c r="AW90">
        <f>$C90*AW89</f>
        <v/>
      </c>
      <c r="AX90">
        <f>$C90*AX89</f>
        <v/>
      </c>
      <c r="AY90">
        <f>$C90*AY89</f>
        <v/>
      </c>
      <c r="AZ90">
        <f>$C90*AZ89</f>
        <v/>
      </c>
      <c r="BA90">
        <f>$C90*BA89</f>
        <v/>
      </c>
      <c r="BB90">
        <f>$C90*BB89</f>
        <v/>
      </c>
      <c r="BC90">
        <f>$C90*BC89</f>
        <v/>
      </c>
      <c r="BD90">
        <f>$C90*BD89</f>
        <v/>
      </c>
      <c r="BE90">
        <f>$C90*BE89</f>
        <v/>
      </c>
      <c r="BF90">
        <f>$C90*BF89</f>
        <v/>
      </c>
      <c r="BG90">
        <f>$C90*BG89</f>
        <v/>
      </c>
      <c r="BH90">
        <f>$C90*BH89</f>
        <v/>
      </c>
      <c r="BI90">
        <f>$C90*BI89</f>
        <v/>
      </c>
      <c r="BJ90">
        <f>$C90*BJ89</f>
        <v/>
      </c>
      <c r="BK90">
        <f>$C90*BK89</f>
        <v/>
      </c>
      <c r="BL90">
        <f>$C90*BL89</f>
        <v/>
      </c>
      <c r="BM90">
        <f>$C90*BM89</f>
        <v/>
      </c>
      <c r="BN90">
        <f>$C90*BN89</f>
        <v/>
      </c>
      <c r="BO90">
        <f>$C90*BO89</f>
        <v/>
      </c>
      <c r="BP90">
        <f>$C90*BP89</f>
        <v/>
      </c>
      <c r="BQ90">
        <f>$C90*BQ89</f>
        <v/>
      </c>
      <c r="BR90">
        <f>$C90*BR89</f>
        <v/>
      </c>
      <c r="BS90">
        <f>$C90*BS89</f>
        <v/>
      </c>
      <c r="BT90">
        <f>$C90*BT89</f>
        <v/>
      </c>
      <c r="BU90">
        <f>$C90*BU89</f>
        <v/>
      </c>
      <c r="BV90">
        <f>$C90*BV89</f>
        <v/>
      </c>
      <c r="BW90">
        <f>$C90*BW89</f>
        <v/>
      </c>
      <c r="BX90">
        <f>$C90*BX89</f>
        <v/>
      </c>
      <c r="BY90">
        <f>$C90*BY89</f>
        <v/>
      </c>
      <c r="BZ90">
        <f>$C90*BZ89</f>
        <v/>
      </c>
      <c r="CA90">
        <f>$C90*CA89</f>
        <v/>
      </c>
      <c r="CB90">
        <f>$C90*CB89</f>
        <v/>
      </c>
      <c r="CC90">
        <f>$C90*CC89</f>
        <v/>
      </c>
      <c r="CD90">
        <f>$C90*CD89</f>
        <v/>
      </c>
      <c r="CE90">
        <f>$C90*CE89</f>
        <v/>
      </c>
      <c r="CF90">
        <f>$C90*CF89</f>
        <v/>
      </c>
      <c r="CG90">
        <f>$C90*CG89</f>
        <v/>
      </c>
      <c r="CH90">
        <f>$C90*CH89</f>
        <v/>
      </c>
      <c r="CI90">
        <f>$C90*CI89</f>
        <v/>
      </c>
      <c r="CJ90">
        <f>$C90*CJ89</f>
        <v/>
      </c>
      <c r="CK90">
        <f>$C90*CK89</f>
        <v/>
      </c>
      <c r="CL90">
        <f>$C90*CL89</f>
        <v/>
      </c>
      <c r="CM90">
        <f>$C90*CM89</f>
        <v/>
      </c>
      <c r="CN90">
        <f>$C90*CN89</f>
        <v/>
      </c>
      <c r="CO90">
        <f>$C90*CO89</f>
        <v/>
      </c>
      <c r="CP90">
        <f>$C90*CP89</f>
        <v/>
      </c>
      <c r="CQ90">
        <f>$C90*CQ89</f>
        <v/>
      </c>
      <c r="CR90">
        <f>$C90*CR89</f>
        <v/>
      </c>
      <c r="CS90">
        <f>$C90*CS89</f>
        <v/>
      </c>
      <c r="CT90">
        <f>$C90*CT89</f>
        <v/>
      </c>
      <c r="CU90">
        <f>$C90*CU89</f>
        <v/>
      </c>
      <c r="CV90">
        <f>$C90*CV89</f>
        <v/>
      </c>
      <c r="CW90">
        <f>$C90*CW89</f>
        <v/>
      </c>
      <c r="CX90">
        <f>$C90*CX89</f>
        <v/>
      </c>
      <c r="CY90">
        <f>$C90*CY89</f>
        <v/>
      </c>
      <c r="CZ90">
        <f>$C90*CZ89</f>
        <v/>
      </c>
      <c r="DA90">
        <f>$C90*DA89</f>
        <v/>
      </c>
      <c r="DB90">
        <f>$C90*DB89</f>
        <v/>
      </c>
      <c r="DC90">
        <f>$C90*DC89</f>
        <v/>
      </c>
    </row>
    <row r="91">
      <c r="B91" s="5" t="inlineStr">
        <is>
          <t>合計使用量(kg)/週</t>
        </is>
      </c>
      <c r="D91">
        <f>'Grid_Requirement'!B7</f>
        <v/>
      </c>
      <c r="E91">
        <f>'Grid_Requirement'!C7</f>
        <v/>
      </c>
      <c r="F91">
        <f>'Grid_Requirement'!D7</f>
        <v/>
      </c>
      <c r="G91">
        <f>'Grid_Requirement'!E7</f>
        <v/>
      </c>
      <c r="H91">
        <f>'Grid_Requirement'!F7</f>
        <v/>
      </c>
      <c r="I91">
        <f>'Grid_Requirement'!G7</f>
        <v/>
      </c>
      <c r="J91">
        <f>'Grid_Requirement'!H7</f>
        <v/>
      </c>
      <c r="K91">
        <f>'Grid_Requirement'!I7</f>
        <v/>
      </c>
      <c r="L91">
        <f>'Grid_Requirement'!J7</f>
        <v/>
      </c>
      <c r="M91">
        <f>'Grid_Requirement'!K7</f>
        <v/>
      </c>
      <c r="N91">
        <f>'Grid_Requirement'!L7</f>
        <v/>
      </c>
      <c r="O91">
        <f>'Grid_Requirement'!M7</f>
        <v/>
      </c>
      <c r="P91">
        <f>'Grid_Requirement'!N7</f>
        <v/>
      </c>
      <c r="Q91">
        <f>'Grid_Requirement'!O7</f>
        <v/>
      </c>
      <c r="R91">
        <f>'Grid_Requirement'!P7</f>
        <v/>
      </c>
      <c r="S91">
        <f>'Grid_Requirement'!Q7</f>
        <v/>
      </c>
      <c r="T91">
        <f>'Grid_Requirement'!R7</f>
        <v/>
      </c>
      <c r="U91">
        <f>'Grid_Requirement'!S7</f>
        <v/>
      </c>
      <c r="V91">
        <f>'Grid_Requirement'!T7</f>
        <v/>
      </c>
      <c r="W91">
        <f>'Grid_Requirement'!U7</f>
        <v/>
      </c>
      <c r="X91">
        <f>'Grid_Requirement'!V7</f>
        <v/>
      </c>
      <c r="Y91">
        <f>'Grid_Requirement'!W7</f>
        <v/>
      </c>
      <c r="Z91">
        <f>'Grid_Requirement'!X7</f>
        <v/>
      </c>
      <c r="AA91">
        <f>'Grid_Requirement'!Y7</f>
        <v/>
      </c>
      <c r="AB91">
        <f>'Grid_Requirement'!Z7</f>
        <v/>
      </c>
      <c r="AC91">
        <f>'Grid_Requirement'!AA7</f>
        <v/>
      </c>
      <c r="AD91">
        <f>'Grid_Requirement'!AB7</f>
        <v/>
      </c>
      <c r="AE91">
        <f>'Grid_Requirement'!AC7</f>
        <v/>
      </c>
      <c r="AF91">
        <f>'Grid_Requirement'!AD7</f>
        <v/>
      </c>
      <c r="AG91">
        <f>'Grid_Requirement'!AE7</f>
        <v/>
      </c>
      <c r="AH91">
        <f>'Grid_Requirement'!AF7</f>
        <v/>
      </c>
      <c r="AI91">
        <f>'Grid_Requirement'!AG7</f>
        <v/>
      </c>
      <c r="AJ91">
        <f>'Grid_Requirement'!AH7</f>
        <v/>
      </c>
      <c r="AK91">
        <f>'Grid_Requirement'!AI7</f>
        <v/>
      </c>
      <c r="AL91">
        <f>'Grid_Requirement'!AJ7</f>
        <v/>
      </c>
      <c r="AM91">
        <f>'Grid_Requirement'!AK7</f>
        <v/>
      </c>
      <c r="AN91">
        <f>'Grid_Requirement'!AL7</f>
        <v/>
      </c>
      <c r="AO91">
        <f>'Grid_Requirement'!AM7</f>
        <v/>
      </c>
      <c r="AP91">
        <f>'Grid_Requirement'!AN7</f>
        <v/>
      </c>
      <c r="AQ91">
        <f>'Grid_Requirement'!AO7</f>
        <v/>
      </c>
      <c r="AR91">
        <f>'Grid_Requirement'!AP7</f>
        <v/>
      </c>
      <c r="AS91">
        <f>'Grid_Requirement'!AQ7</f>
        <v/>
      </c>
      <c r="AT91">
        <f>'Grid_Requirement'!AR7</f>
        <v/>
      </c>
      <c r="AU91">
        <f>'Grid_Requirement'!AS7</f>
        <v/>
      </c>
      <c r="AV91">
        <f>'Grid_Requirement'!AT7</f>
        <v/>
      </c>
      <c r="AW91">
        <f>'Grid_Requirement'!AU7</f>
        <v/>
      </c>
      <c r="AX91">
        <f>'Grid_Requirement'!AV7</f>
        <v/>
      </c>
      <c r="AY91">
        <f>'Grid_Requirement'!AW7</f>
        <v/>
      </c>
      <c r="AZ91">
        <f>'Grid_Requirement'!AX7</f>
        <v/>
      </c>
      <c r="BA91">
        <f>'Grid_Requirement'!AY7</f>
        <v/>
      </c>
      <c r="BB91">
        <f>'Grid_Requirement'!AZ7</f>
        <v/>
      </c>
      <c r="BC91">
        <f>'Grid_Requirement'!BA7</f>
        <v/>
      </c>
      <c r="BD91">
        <f>'Grid_Requirement'!BB7</f>
        <v/>
      </c>
      <c r="BE91">
        <f>'Grid_Requirement'!BC7</f>
        <v/>
      </c>
      <c r="BF91">
        <f>'Grid_Requirement'!BD7</f>
        <v/>
      </c>
      <c r="BG91">
        <f>'Grid_Requirement'!BE7</f>
        <v/>
      </c>
      <c r="BH91">
        <f>'Grid_Requirement'!BF7</f>
        <v/>
      </c>
      <c r="BI91">
        <f>'Grid_Requirement'!BG7</f>
        <v/>
      </c>
      <c r="BJ91">
        <f>'Grid_Requirement'!BH7</f>
        <v/>
      </c>
      <c r="BK91">
        <f>'Grid_Requirement'!BI7</f>
        <v/>
      </c>
      <c r="BL91">
        <f>'Grid_Requirement'!BJ7</f>
        <v/>
      </c>
      <c r="BM91">
        <f>'Grid_Requirement'!BK7</f>
        <v/>
      </c>
      <c r="BN91">
        <f>'Grid_Requirement'!BL7</f>
        <v/>
      </c>
      <c r="BO91">
        <f>'Grid_Requirement'!BM7</f>
        <v/>
      </c>
      <c r="BP91">
        <f>'Grid_Requirement'!BN7</f>
        <v/>
      </c>
      <c r="BQ91">
        <f>'Grid_Requirement'!BO7</f>
        <v/>
      </c>
      <c r="BR91">
        <f>'Grid_Requirement'!BP7</f>
        <v/>
      </c>
      <c r="BS91">
        <f>'Grid_Requirement'!BQ7</f>
        <v/>
      </c>
      <c r="BT91">
        <f>'Grid_Requirement'!BR7</f>
        <v/>
      </c>
      <c r="BU91">
        <f>'Grid_Requirement'!BS7</f>
        <v/>
      </c>
      <c r="BV91">
        <f>'Grid_Requirement'!BT7</f>
        <v/>
      </c>
      <c r="BW91">
        <f>'Grid_Requirement'!BU7</f>
        <v/>
      </c>
      <c r="BX91">
        <f>'Grid_Requirement'!BV7</f>
        <v/>
      </c>
      <c r="BY91">
        <f>'Grid_Requirement'!BW7</f>
        <v/>
      </c>
      <c r="BZ91">
        <f>'Grid_Requirement'!BX7</f>
        <v/>
      </c>
      <c r="CA91">
        <f>'Grid_Requirement'!BY7</f>
        <v/>
      </c>
      <c r="CB91">
        <f>'Grid_Requirement'!BZ7</f>
        <v/>
      </c>
      <c r="CC91">
        <f>'Grid_Requirement'!CA7</f>
        <v/>
      </c>
      <c r="CD91">
        <f>'Grid_Requirement'!CB7</f>
        <v/>
      </c>
      <c r="CE91">
        <f>'Grid_Requirement'!CC7</f>
        <v/>
      </c>
      <c r="CF91">
        <f>'Grid_Requirement'!CD7</f>
        <v/>
      </c>
      <c r="CG91">
        <f>'Grid_Requirement'!CE7</f>
        <v/>
      </c>
      <c r="CH91">
        <f>'Grid_Requirement'!CF7</f>
        <v/>
      </c>
      <c r="CI91">
        <f>'Grid_Requirement'!CG7</f>
        <v/>
      </c>
      <c r="CJ91">
        <f>'Grid_Requirement'!CH7</f>
        <v/>
      </c>
      <c r="CK91">
        <f>'Grid_Requirement'!CI7</f>
        <v/>
      </c>
      <c r="CL91">
        <f>'Grid_Requirement'!CJ7</f>
        <v/>
      </c>
      <c r="CM91">
        <f>'Grid_Requirement'!CK7</f>
        <v/>
      </c>
      <c r="CN91">
        <f>'Grid_Requirement'!CL7</f>
        <v/>
      </c>
      <c r="CO91">
        <f>'Grid_Requirement'!CM7</f>
        <v/>
      </c>
      <c r="CP91">
        <f>'Grid_Requirement'!CN7</f>
        <v/>
      </c>
      <c r="CQ91">
        <f>'Grid_Requirement'!CO7</f>
        <v/>
      </c>
      <c r="CR91">
        <f>'Grid_Requirement'!CP7</f>
        <v/>
      </c>
      <c r="CS91">
        <f>'Grid_Requirement'!CQ7</f>
        <v/>
      </c>
      <c r="CT91">
        <f>'Grid_Requirement'!CR7</f>
        <v/>
      </c>
      <c r="CU91">
        <f>'Grid_Requirement'!CS7</f>
        <v/>
      </c>
      <c r="CV91">
        <f>'Grid_Requirement'!CT7</f>
        <v/>
      </c>
      <c r="CW91">
        <f>'Grid_Requirement'!CU7</f>
        <v/>
      </c>
      <c r="CX91">
        <f>'Grid_Requirement'!CV7</f>
        <v/>
      </c>
      <c r="CY91">
        <f>'Grid_Requirement'!CW7</f>
        <v/>
      </c>
      <c r="CZ91">
        <f>'Grid_Requirement'!CX7</f>
        <v/>
      </c>
      <c r="DA91">
        <f>'Grid_Requirement'!CY7</f>
        <v/>
      </c>
      <c r="DB91">
        <f>'Grid_Requirement'!CZ7</f>
        <v/>
      </c>
      <c r="DC91">
        <f>'Grid_Requirement'!DA7</f>
        <v/>
      </c>
    </row>
    <row r="92">
      <c r="B92" t="inlineStr">
        <is>
          <t>TTAF在庫(実績,kg)</t>
        </is>
      </c>
      <c r="D92">
        <f>'T_TTAFStock'!B11</f>
        <v/>
      </c>
      <c r="E92">
        <f>'T_TTAFStock'!C11</f>
        <v/>
      </c>
      <c r="F92">
        <f>'T_TTAFStock'!D11</f>
        <v/>
      </c>
      <c r="G92">
        <f>'T_TTAFStock'!E11</f>
        <v/>
      </c>
      <c r="H92">
        <f>'T_TTAFStock'!F11</f>
        <v/>
      </c>
      <c r="I92">
        <f>'T_TTAFStock'!G11</f>
        <v/>
      </c>
      <c r="J92">
        <f>'T_TTAFStock'!H11</f>
        <v/>
      </c>
      <c r="K92">
        <f>'T_TTAFStock'!I11</f>
        <v/>
      </c>
      <c r="L92">
        <f>'T_TTAFStock'!J11</f>
        <v/>
      </c>
      <c r="M92">
        <f>'T_TTAFStock'!K11</f>
        <v/>
      </c>
      <c r="N92">
        <f>'T_TTAFStock'!L11</f>
        <v/>
      </c>
      <c r="O92">
        <f>'T_TTAFStock'!M11</f>
        <v/>
      </c>
      <c r="P92">
        <f>'T_TTAFStock'!N11</f>
        <v/>
      </c>
      <c r="Q92">
        <f>'T_TTAFStock'!O11</f>
        <v/>
      </c>
      <c r="R92">
        <f>'T_TTAFStock'!P11</f>
        <v/>
      </c>
      <c r="S92">
        <f>'T_TTAFStock'!Q11</f>
        <v/>
      </c>
      <c r="T92">
        <f>'T_TTAFStock'!R11</f>
        <v/>
      </c>
      <c r="U92">
        <f>'T_TTAFStock'!S11</f>
        <v/>
      </c>
      <c r="V92">
        <f>'T_TTAFStock'!T11</f>
        <v/>
      </c>
      <c r="W92">
        <f>'T_TTAFStock'!U11</f>
        <v/>
      </c>
      <c r="X92">
        <f>'T_TTAFStock'!V11</f>
        <v/>
      </c>
      <c r="Y92">
        <f>'T_TTAFStock'!W11</f>
        <v/>
      </c>
      <c r="Z92">
        <f>'T_TTAFStock'!X11</f>
        <v/>
      </c>
      <c r="AA92">
        <f>'T_TTAFStock'!Y11</f>
        <v/>
      </c>
      <c r="AB92">
        <f>'T_TTAFStock'!Z11</f>
        <v/>
      </c>
      <c r="AC92">
        <f>'T_TTAFStock'!AA11</f>
        <v/>
      </c>
      <c r="AD92">
        <f>'T_TTAFStock'!AB11</f>
        <v/>
      </c>
      <c r="AE92">
        <f>'T_TTAFStock'!AC11</f>
        <v/>
      </c>
      <c r="AF92">
        <f>'T_TTAFStock'!AD11</f>
        <v/>
      </c>
      <c r="AG92">
        <f>'T_TTAFStock'!AE11</f>
        <v/>
      </c>
      <c r="AH92">
        <f>'T_TTAFStock'!AF11</f>
        <v/>
      </c>
      <c r="AI92">
        <f>'T_TTAFStock'!AG11</f>
        <v/>
      </c>
      <c r="AJ92">
        <f>'T_TTAFStock'!AH11</f>
        <v/>
      </c>
      <c r="AK92">
        <f>'T_TTAFStock'!AI11</f>
        <v/>
      </c>
      <c r="AL92">
        <f>'T_TTAFStock'!AJ11</f>
        <v/>
      </c>
      <c r="AM92">
        <f>'T_TTAFStock'!AK11</f>
        <v/>
      </c>
      <c r="AN92">
        <f>'T_TTAFStock'!AL11</f>
        <v/>
      </c>
      <c r="AO92">
        <f>'T_TTAFStock'!AM11</f>
        <v/>
      </c>
      <c r="AP92">
        <f>'T_TTAFStock'!AN11</f>
        <v/>
      </c>
      <c r="AQ92">
        <f>'T_TTAFStock'!AO11</f>
        <v/>
      </c>
      <c r="AR92">
        <f>'T_TTAFStock'!AP11</f>
        <v/>
      </c>
      <c r="AS92">
        <f>'T_TTAFStock'!AQ11</f>
        <v/>
      </c>
      <c r="AT92">
        <f>'T_TTAFStock'!AR11</f>
        <v/>
      </c>
      <c r="AU92">
        <f>'T_TTAFStock'!AS11</f>
        <v/>
      </c>
      <c r="AV92">
        <f>'T_TTAFStock'!AT11</f>
        <v/>
      </c>
      <c r="AW92">
        <f>'T_TTAFStock'!AU11</f>
        <v/>
      </c>
      <c r="AX92">
        <f>'T_TTAFStock'!AV11</f>
        <v/>
      </c>
      <c r="AY92">
        <f>'T_TTAFStock'!AW11</f>
        <v/>
      </c>
      <c r="AZ92">
        <f>'T_TTAFStock'!AX11</f>
        <v/>
      </c>
      <c r="BA92">
        <f>'T_TTAFStock'!AY11</f>
        <v/>
      </c>
      <c r="BB92">
        <f>'T_TTAFStock'!AZ11</f>
        <v/>
      </c>
      <c r="BC92">
        <f>'T_TTAFStock'!BA11</f>
        <v/>
      </c>
      <c r="BD92">
        <f>'T_TTAFStock'!BB11</f>
        <v/>
      </c>
      <c r="BE92">
        <f>'T_TTAFStock'!BC11</f>
        <v/>
      </c>
      <c r="BF92">
        <f>'T_TTAFStock'!BD11</f>
        <v/>
      </c>
      <c r="BG92">
        <f>'T_TTAFStock'!BE11</f>
        <v/>
      </c>
      <c r="BH92">
        <f>'T_TTAFStock'!BF11</f>
        <v/>
      </c>
      <c r="BI92">
        <f>'T_TTAFStock'!BG11</f>
        <v/>
      </c>
      <c r="BJ92">
        <f>'T_TTAFStock'!BH11</f>
        <v/>
      </c>
      <c r="BK92">
        <f>'T_TTAFStock'!BI11</f>
        <v/>
      </c>
      <c r="BL92">
        <f>'T_TTAFStock'!BJ11</f>
        <v/>
      </c>
      <c r="BM92">
        <f>'T_TTAFStock'!BK11</f>
        <v/>
      </c>
      <c r="BN92">
        <f>'T_TTAFStock'!BL11</f>
        <v/>
      </c>
      <c r="BO92">
        <f>'T_TTAFStock'!BM11</f>
        <v/>
      </c>
      <c r="BP92">
        <f>'T_TTAFStock'!BN11</f>
        <v/>
      </c>
      <c r="BQ92">
        <f>'T_TTAFStock'!BO11</f>
        <v/>
      </c>
      <c r="BR92">
        <f>'T_TTAFStock'!BP11</f>
        <v/>
      </c>
      <c r="BS92">
        <f>'T_TTAFStock'!BQ11</f>
        <v/>
      </c>
      <c r="BT92">
        <f>'T_TTAFStock'!BR11</f>
        <v/>
      </c>
      <c r="BU92">
        <f>'T_TTAFStock'!BS11</f>
        <v/>
      </c>
      <c r="BV92">
        <f>'T_TTAFStock'!BT11</f>
        <v/>
      </c>
      <c r="BW92">
        <f>'T_TTAFStock'!BU11</f>
        <v/>
      </c>
      <c r="BX92">
        <f>'T_TTAFStock'!BV11</f>
        <v/>
      </c>
      <c r="BY92">
        <f>'T_TTAFStock'!BW11</f>
        <v/>
      </c>
      <c r="BZ92">
        <f>'T_TTAFStock'!BX11</f>
        <v/>
      </c>
      <c r="CA92">
        <f>'T_TTAFStock'!BY11</f>
        <v/>
      </c>
      <c r="CB92">
        <f>'T_TTAFStock'!BZ11</f>
        <v/>
      </c>
      <c r="CC92">
        <f>'T_TTAFStock'!CA11</f>
        <v/>
      </c>
      <c r="CD92">
        <f>'T_TTAFStock'!CB11</f>
        <v/>
      </c>
      <c r="CE92">
        <f>'T_TTAFStock'!CC11</f>
        <v/>
      </c>
      <c r="CF92">
        <f>'T_TTAFStock'!CD11</f>
        <v/>
      </c>
      <c r="CG92">
        <f>'T_TTAFStock'!CE11</f>
        <v/>
      </c>
      <c r="CH92">
        <f>'T_TTAFStock'!CF11</f>
        <v/>
      </c>
      <c r="CI92">
        <f>'T_TTAFStock'!CG11</f>
        <v/>
      </c>
      <c r="CJ92">
        <f>'T_TTAFStock'!CH11</f>
        <v/>
      </c>
      <c r="CK92">
        <f>'T_TTAFStock'!CI11</f>
        <v/>
      </c>
      <c r="CL92">
        <f>'T_TTAFStock'!CJ11</f>
        <v/>
      </c>
      <c r="CM92">
        <f>'T_TTAFStock'!CK11</f>
        <v/>
      </c>
      <c r="CN92">
        <f>'T_TTAFStock'!CL11</f>
        <v/>
      </c>
      <c r="CO92">
        <f>'T_TTAFStock'!CM11</f>
        <v/>
      </c>
      <c r="CP92">
        <f>'T_TTAFStock'!CN11</f>
        <v/>
      </c>
      <c r="CQ92">
        <f>'T_TTAFStock'!CO11</f>
        <v/>
      </c>
      <c r="CR92">
        <f>'T_TTAFStock'!CP11</f>
        <v/>
      </c>
      <c r="CS92">
        <f>'T_TTAFStock'!CQ11</f>
        <v/>
      </c>
      <c r="CT92">
        <f>'T_TTAFStock'!CR11</f>
        <v/>
      </c>
      <c r="CU92">
        <f>'T_TTAFStock'!CS11</f>
        <v/>
      </c>
      <c r="CV92">
        <f>'T_TTAFStock'!CT11</f>
        <v/>
      </c>
      <c r="CW92">
        <f>'T_TTAFStock'!CU11</f>
        <v/>
      </c>
      <c r="CX92">
        <f>'T_TTAFStock'!CV11</f>
        <v/>
      </c>
      <c r="CY92">
        <f>'T_TTAFStock'!CW11</f>
        <v/>
      </c>
      <c r="CZ92">
        <f>'T_TTAFStock'!CX11</f>
        <v/>
      </c>
      <c r="DA92">
        <f>'T_TTAFStock'!CY11</f>
        <v/>
      </c>
      <c r="DB92">
        <f>'T_TTAFStock'!CZ11</f>
        <v/>
      </c>
      <c r="DC92">
        <f>'T_TTAFStock'!DA11</f>
        <v/>
      </c>
    </row>
    <row r="93">
      <c r="B93" t="inlineStr">
        <is>
          <t>自社在庫(実績,kg)</t>
        </is>
      </c>
      <c r="D93">
        <f>'T_SelfStock'!B11</f>
        <v/>
      </c>
      <c r="E93">
        <f>'T_SelfStock'!C11</f>
        <v/>
      </c>
      <c r="F93">
        <f>'T_SelfStock'!D11</f>
        <v/>
      </c>
      <c r="G93">
        <f>'T_SelfStock'!E11</f>
        <v/>
      </c>
      <c r="H93">
        <f>'T_SelfStock'!F11</f>
        <v/>
      </c>
      <c r="I93">
        <f>'T_SelfStock'!G11</f>
        <v/>
      </c>
      <c r="J93">
        <f>'T_SelfStock'!H11</f>
        <v/>
      </c>
      <c r="K93">
        <f>'T_SelfStock'!I11</f>
        <v/>
      </c>
      <c r="L93">
        <f>'T_SelfStock'!J11</f>
        <v/>
      </c>
      <c r="M93">
        <f>'T_SelfStock'!K11</f>
        <v/>
      </c>
      <c r="N93">
        <f>'T_SelfStock'!L11</f>
        <v/>
      </c>
      <c r="O93">
        <f>'T_SelfStock'!M11</f>
        <v/>
      </c>
      <c r="P93">
        <f>'T_SelfStock'!N11</f>
        <v/>
      </c>
      <c r="Q93">
        <f>'T_SelfStock'!O11</f>
        <v/>
      </c>
      <c r="R93">
        <f>'T_SelfStock'!P11</f>
        <v/>
      </c>
      <c r="S93">
        <f>'T_SelfStock'!Q11</f>
        <v/>
      </c>
      <c r="T93">
        <f>'T_SelfStock'!R11</f>
        <v/>
      </c>
      <c r="U93">
        <f>'T_SelfStock'!S11</f>
        <v/>
      </c>
      <c r="V93">
        <f>'T_SelfStock'!T11</f>
        <v/>
      </c>
      <c r="W93">
        <f>'T_SelfStock'!U11</f>
        <v/>
      </c>
      <c r="X93">
        <f>'T_SelfStock'!V11</f>
        <v/>
      </c>
      <c r="Y93">
        <f>'T_SelfStock'!W11</f>
        <v/>
      </c>
      <c r="Z93">
        <f>'T_SelfStock'!X11</f>
        <v/>
      </c>
      <c r="AA93">
        <f>'T_SelfStock'!Y11</f>
        <v/>
      </c>
      <c r="AB93">
        <f>'T_SelfStock'!Z11</f>
        <v/>
      </c>
      <c r="AC93">
        <f>'T_SelfStock'!AA11</f>
        <v/>
      </c>
      <c r="AD93">
        <f>'T_SelfStock'!AB11</f>
        <v/>
      </c>
      <c r="AE93">
        <f>'T_SelfStock'!AC11</f>
        <v/>
      </c>
      <c r="AF93">
        <f>'T_SelfStock'!AD11</f>
        <v/>
      </c>
      <c r="AG93">
        <f>'T_SelfStock'!AE11</f>
        <v/>
      </c>
      <c r="AH93">
        <f>'T_SelfStock'!AF11</f>
        <v/>
      </c>
      <c r="AI93">
        <f>'T_SelfStock'!AG11</f>
        <v/>
      </c>
      <c r="AJ93">
        <f>'T_SelfStock'!AH11</f>
        <v/>
      </c>
      <c r="AK93">
        <f>'T_SelfStock'!AI11</f>
        <v/>
      </c>
      <c r="AL93">
        <f>'T_SelfStock'!AJ11</f>
        <v/>
      </c>
      <c r="AM93">
        <f>'T_SelfStock'!AK11</f>
        <v/>
      </c>
      <c r="AN93">
        <f>'T_SelfStock'!AL11</f>
        <v/>
      </c>
      <c r="AO93">
        <f>'T_SelfStock'!AM11</f>
        <v/>
      </c>
      <c r="AP93">
        <f>'T_SelfStock'!AN11</f>
        <v/>
      </c>
      <c r="AQ93">
        <f>'T_SelfStock'!AO11</f>
        <v/>
      </c>
      <c r="AR93">
        <f>'T_SelfStock'!AP11</f>
        <v/>
      </c>
      <c r="AS93">
        <f>'T_SelfStock'!AQ11</f>
        <v/>
      </c>
      <c r="AT93">
        <f>'T_SelfStock'!AR11</f>
        <v/>
      </c>
      <c r="AU93">
        <f>'T_SelfStock'!AS11</f>
        <v/>
      </c>
      <c r="AV93">
        <f>'T_SelfStock'!AT11</f>
        <v/>
      </c>
      <c r="AW93">
        <f>'T_SelfStock'!AU11</f>
        <v/>
      </c>
      <c r="AX93">
        <f>'T_SelfStock'!AV11</f>
        <v/>
      </c>
      <c r="AY93">
        <f>'T_SelfStock'!AW11</f>
        <v/>
      </c>
      <c r="AZ93">
        <f>'T_SelfStock'!AX11</f>
        <v/>
      </c>
      <c r="BA93">
        <f>'T_SelfStock'!AY11</f>
        <v/>
      </c>
      <c r="BB93">
        <f>'T_SelfStock'!AZ11</f>
        <v/>
      </c>
      <c r="BC93">
        <f>'T_SelfStock'!BA11</f>
        <v/>
      </c>
      <c r="BD93">
        <f>'T_SelfStock'!BB11</f>
        <v/>
      </c>
      <c r="BE93">
        <f>'T_SelfStock'!BC11</f>
        <v/>
      </c>
      <c r="BF93">
        <f>'T_SelfStock'!BD11</f>
        <v/>
      </c>
      <c r="BG93">
        <f>'T_SelfStock'!BE11</f>
        <v/>
      </c>
      <c r="BH93">
        <f>'T_SelfStock'!BF11</f>
        <v/>
      </c>
      <c r="BI93">
        <f>'T_SelfStock'!BG11</f>
        <v/>
      </c>
      <c r="BJ93">
        <f>'T_SelfStock'!BH11</f>
        <v/>
      </c>
      <c r="BK93">
        <f>'T_SelfStock'!BI11</f>
        <v/>
      </c>
      <c r="BL93">
        <f>'T_SelfStock'!BJ11</f>
        <v/>
      </c>
      <c r="BM93">
        <f>'T_SelfStock'!BK11</f>
        <v/>
      </c>
      <c r="BN93">
        <f>'T_SelfStock'!BL11</f>
        <v/>
      </c>
      <c r="BO93">
        <f>'T_SelfStock'!BM11</f>
        <v/>
      </c>
      <c r="BP93">
        <f>'T_SelfStock'!BN11</f>
        <v/>
      </c>
      <c r="BQ93">
        <f>'T_SelfStock'!BO11</f>
        <v/>
      </c>
      <c r="BR93">
        <f>'T_SelfStock'!BP11</f>
        <v/>
      </c>
      <c r="BS93">
        <f>'T_SelfStock'!BQ11</f>
        <v/>
      </c>
      <c r="BT93">
        <f>'T_SelfStock'!BR11</f>
        <v/>
      </c>
      <c r="BU93">
        <f>'T_SelfStock'!BS11</f>
        <v/>
      </c>
      <c r="BV93">
        <f>'T_SelfStock'!BT11</f>
        <v/>
      </c>
      <c r="BW93">
        <f>'T_SelfStock'!BU11</f>
        <v/>
      </c>
      <c r="BX93">
        <f>'T_SelfStock'!BV11</f>
        <v/>
      </c>
      <c r="BY93">
        <f>'T_SelfStock'!BW11</f>
        <v/>
      </c>
      <c r="BZ93">
        <f>'T_SelfStock'!BX11</f>
        <v/>
      </c>
      <c r="CA93">
        <f>'T_SelfStock'!BY11</f>
        <v/>
      </c>
      <c r="CB93">
        <f>'T_SelfStock'!BZ11</f>
        <v/>
      </c>
      <c r="CC93">
        <f>'T_SelfStock'!CA11</f>
        <v/>
      </c>
      <c r="CD93">
        <f>'T_SelfStock'!CB11</f>
        <v/>
      </c>
      <c r="CE93">
        <f>'T_SelfStock'!CC11</f>
        <v/>
      </c>
      <c r="CF93">
        <f>'T_SelfStock'!CD11</f>
        <v/>
      </c>
      <c r="CG93">
        <f>'T_SelfStock'!CE11</f>
        <v/>
      </c>
      <c r="CH93">
        <f>'T_SelfStock'!CF11</f>
        <v/>
      </c>
      <c r="CI93">
        <f>'T_SelfStock'!CG11</f>
        <v/>
      </c>
      <c r="CJ93">
        <f>'T_SelfStock'!CH11</f>
        <v/>
      </c>
      <c r="CK93">
        <f>'T_SelfStock'!CI11</f>
        <v/>
      </c>
      <c r="CL93">
        <f>'T_SelfStock'!CJ11</f>
        <v/>
      </c>
      <c r="CM93">
        <f>'T_SelfStock'!CK11</f>
        <v/>
      </c>
      <c r="CN93">
        <f>'T_SelfStock'!CL11</f>
        <v/>
      </c>
      <c r="CO93">
        <f>'T_SelfStock'!CM11</f>
        <v/>
      </c>
      <c r="CP93">
        <f>'T_SelfStock'!CN11</f>
        <v/>
      </c>
      <c r="CQ93">
        <f>'T_SelfStock'!CO11</f>
        <v/>
      </c>
      <c r="CR93">
        <f>'T_SelfStock'!CP11</f>
        <v/>
      </c>
      <c r="CS93">
        <f>'T_SelfStock'!CQ11</f>
        <v/>
      </c>
      <c r="CT93">
        <f>'T_SelfStock'!CR11</f>
        <v/>
      </c>
      <c r="CU93">
        <f>'T_SelfStock'!CS11</f>
        <v/>
      </c>
      <c r="CV93">
        <f>'T_SelfStock'!CT11</f>
        <v/>
      </c>
      <c r="CW93">
        <f>'T_SelfStock'!CU11</f>
        <v/>
      </c>
      <c r="CX93">
        <f>'T_SelfStock'!CV11</f>
        <v/>
      </c>
      <c r="CY93">
        <f>'T_SelfStock'!CW11</f>
        <v/>
      </c>
      <c r="CZ93">
        <f>'T_SelfStock'!CX11</f>
        <v/>
      </c>
      <c r="DA93">
        <f>'T_SelfStock'!CY11</f>
        <v/>
      </c>
      <c r="DB93">
        <f>'T_SelfStock'!CZ11</f>
        <v/>
      </c>
      <c r="DC93">
        <f>'T_SelfStock'!DA11</f>
        <v/>
      </c>
    </row>
    <row r="94">
      <c r="B94" t="inlineStr">
        <is>
          <t>Order(発注予定,kg)</t>
        </is>
      </c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  <c r="AH94" s="23" t="n"/>
      <c r="AI94" s="23" t="n"/>
      <c r="AJ94" s="23" t="n"/>
      <c r="AK94" s="23" t="n"/>
      <c r="AL94" s="23" t="n"/>
      <c r="AM94" s="23" t="n"/>
      <c r="AN94" s="23" t="n"/>
      <c r="AO94" s="23" t="n"/>
      <c r="AP94" s="23" t="n"/>
      <c r="AQ94" s="23" t="n"/>
      <c r="AR94" s="23" t="n"/>
      <c r="AS94" s="23" t="n"/>
      <c r="AT94" s="23" t="n"/>
      <c r="AU94" s="23" t="n"/>
      <c r="AV94" s="23" t="n"/>
      <c r="AW94" s="23" t="n"/>
      <c r="AX94" s="23" t="n"/>
      <c r="AY94" s="23" t="n"/>
      <c r="AZ94" s="23" t="n"/>
      <c r="BA94" s="23" t="n"/>
      <c r="BB94" s="23" t="n"/>
      <c r="BC94" s="23" t="n"/>
      <c r="BD94" s="23" t="n"/>
      <c r="BE94" s="23" t="n"/>
      <c r="BF94" s="23" t="n"/>
      <c r="BG94" s="23" t="n"/>
      <c r="BH94" s="23" t="n"/>
      <c r="BI94" s="23" t="n"/>
      <c r="BJ94" s="23" t="n"/>
      <c r="BK94" s="23" t="n"/>
      <c r="BL94" s="23" t="n"/>
      <c r="BM94" s="23" t="n"/>
      <c r="BN94" s="23" t="n"/>
      <c r="BO94" s="23" t="n"/>
      <c r="BP94" s="23" t="n"/>
      <c r="BQ94" s="23" t="n"/>
      <c r="BR94" s="23" t="n"/>
      <c r="BS94" s="23" t="n"/>
      <c r="BT94" s="23" t="n"/>
      <c r="BU94" s="23" t="n"/>
      <c r="BV94" s="23" t="n"/>
      <c r="BW94" s="23" t="n"/>
      <c r="BX94" s="23" t="n"/>
      <c r="BY94" s="23" t="n"/>
      <c r="BZ94" s="23" t="n"/>
      <c r="CA94" s="23" t="n"/>
      <c r="CB94" s="23" t="n"/>
      <c r="CC94" s="23" t="n"/>
      <c r="CD94" s="23" t="n"/>
      <c r="CE94" s="23" t="n"/>
      <c r="CF94" s="23" t="n"/>
      <c r="CG94" s="23" t="n"/>
      <c r="CH94" s="23" t="n"/>
      <c r="CI94" s="23" t="n"/>
      <c r="CJ94" s="23" t="n"/>
      <c r="CK94" s="23" t="n"/>
      <c r="CL94" s="23" t="n"/>
      <c r="CM94" s="23" t="n"/>
      <c r="CN94" s="23" t="n"/>
      <c r="CO94" s="23" t="n"/>
      <c r="CP94" s="23" t="n"/>
      <c r="CQ94" s="23" t="n"/>
      <c r="CR94" s="23" t="n"/>
      <c r="CS94" s="23" t="n"/>
      <c r="CT94" s="23" t="n"/>
      <c r="CU94" s="23" t="n"/>
      <c r="CV94" s="23" t="n"/>
      <c r="CW94" s="23" t="n"/>
      <c r="CX94" s="23" t="n"/>
      <c r="CY94" s="23" t="n"/>
      <c r="CZ94" s="23" t="n"/>
      <c r="DA94" s="23" t="n"/>
      <c r="DB94" s="23" t="n"/>
      <c r="DC94" s="23" t="n"/>
      <c r="DE94" s="12" t="inlineStr">
        <is>
          <t>OJN</t>
        </is>
      </c>
    </row>
    <row r="95">
      <c r="B95" s="24" t="inlineStr">
        <is>
          <t>PO_No</t>
        </is>
      </c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  <c r="AD95" s="25" t="n"/>
      <c r="AE95" s="25" t="n"/>
      <c r="AF95" s="25" t="n"/>
      <c r="AG95" s="25" t="n"/>
      <c r="AH95" s="25" t="n"/>
      <c r="AI95" s="25" t="n"/>
      <c r="AJ95" s="25" t="n"/>
      <c r="AK95" s="25" t="n"/>
      <c r="AL95" s="25" t="n"/>
      <c r="AM95" s="25" t="n"/>
      <c r="AN95" s="25" t="n"/>
      <c r="AO95" s="25" t="n"/>
      <c r="AP95" s="25" t="n"/>
      <c r="AQ95" s="25" t="n"/>
      <c r="AR95" s="25" t="n"/>
      <c r="AS95" s="25" t="n"/>
      <c r="AT95" s="25" t="n"/>
      <c r="AU95" s="25" t="n"/>
      <c r="AV95" s="25" t="n"/>
      <c r="AW95" s="25" t="n"/>
      <c r="AX95" s="25" t="n"/>
      <c r="AY95" s="25" t="n"/>
      <c r="AZ95" s="25" t="n"/>
      <c r="BA95" s="25" t="n"/>
      <c r="BB95" s="25" t="n"/>
      <c r="BC95" s="25" t="n"/>
      <c r="BD95" s="25" t="n"/>
      <c r="BE95" s="25" t="n"/>
      <c r="BF95" s="25" t="n"/>
      <c r="BG95" s="25" t="n"/>
      <c r="BH95" s="25" t="n"/>
      <c r="BI95" s="25" t="n"/>
      <c r="BJ95" s="25" t="n"/>
      <c r="BK95" s="25" t="n"/>
      <c r="BL95" s="25" t="n"/>
      <c r="BM95" s="25" t="n"/>
      <c r="BN95" s="25" t="n"/>
      <c r="BO95" s="25" t="n"/>
      <c r="BP95" s="25" t="n"/>
      <c r="BQ95" s="25" t="n"/>
      <c r="BR95" s="25" t="n"/>
      <c r="BS95" s="25" t="n"/>
      <c r="BT95" s="25" t="n"/>
      <c r="BU95" s="25" t="n"/>
      <c r="BV95" s="25" t="n"/>
      <c r="BW95" s="25" t="n"/>
      <c r="BX95" s="25" t="n"/>
      <c r="BY95" s="25" t="n"/>
      <c r="BZ95" s="25" t="n"/>
      <c r="CA95" s="25" t="n"/>
      <c r="CB95" s="25" t="n"/>
      <c r="CC95" s="25" t="n"/>
      <c r="CD95" s="25" t="n"/>
      <c r="CE95" s="25" t="n"/>
      <c r="CF95" s="25" t="n"/>
      <c r="CG95" s="25" t="n"/>
      <c r="CH95" s="25" t="n"/>
      <c r="CI95" s="25" t="n"/>
      <c r="CJ95" s="25" t="n"/>
      <c r="CK95" s="25" t="n"/>
      <c r="CL95" s="25" t="n"/>
      <c r="CM95" s="25" t="n"/>
      <c r="CN95" s="25" t="n"/>
      <c r="CO95" s="25" t="n"/>
      <c r="CP95" s="25" t="n"/>
      <c r="CQ95" s="25" t="n"/>
      <c r="CR95" s="25" t="n"/>
      <c r="CS95" s="25" t="n"/>
      <c r="CT95" s="25" t="n"/>
      <c r="CU95" s="25" t="n"/>
      <c r="CV95" s="25" t="n"/>
      <c r="CW95" s="25" t="n"/>
      <c r="CX95" s="25" t="n"/>
      <c r="CY95" s="25" t="n"/>
      <c r="CZ95" s="25" t="n"/>
      <c r="DA95" s="25" t="n"/>
      <c r="DB95" s="25" t="n"/>
      <c r="DC95" s="25" t="n"/>
    </row>
    <row r="96">
      <c r="B96" s="5" t="inlineStr">
        <is>
          <t>合計在庫(週末時点,kg)</t>
        </is>
      </c>
      <c r="D96">
        <f>'Grid_Stock'!B7</f>
        <v/>
      </c>
      <c r="E96">
        <f>'Grid_Stock'!C7</f>
        <v/>
      </c>
      <c r="F96">
        <f>'Grid_Stock'!D7</f>
        <v/>
      </c>
      <c r="G96">
        <f>'Grid_Stock'!E7</f>
        <v/>
      </c>
      <c r="H96">
        <f>'Grid_Stock'!F7</f>
        <v/>
      </c>
      <c r="I96">
        <f>'Grid_Stock'!G7</f>
        <v/>
      </c>
      <c r="J96">
        <f>'Grid_Stock'!H7</f>
        <v/>
      </c>
      <c r="K96">
        <f>'Grid_Stock'!I7</f>
        <v/>
      </c>
      <c r="L96">
        <f>'Grid_Stock'!J7</f>
        <v/>
      </c>
      <c r="M96">
        <f>'Grid_Stock'!K7</f>
        <v/>
      </c>
      <c r="N96">
        <f>'Grid_Stock'!L7</f>
        <v/>
      </c>
      <c r="O96">
        <f>'Grid_Stock'!M7</f>
        <v/>
      </c>
      <c r="P96">
        <f>'Grid_Stock'!N7</f>
        <v/>
      </c>
      <c r="Q96">
        <f>'Grid_Stock'!O7</f>
        <v/>
      </c>
      <c r="R96">
        <f>'Grid_Stock'!P7</f>
        <v/>
      </c>
      <c r="S96">
        <f>'Grid_Stock'!Q7</f>
        <v/>
      </c>
      <c r="T96">
        <f>'Grid_Stock'!R7</f>
        <v/>
      </c>
      <c r="U96">
        <f>'Grid_Stock'!S7</f>
        <v/>
      </c>
      <c r="V96">
        <f>'Grid_Stock'!T7</f>
        <v/>
      </c>
      <c r="W96">
        <f>'Grid_Stock'!U7</f>
        <v/>
      </c>
      <c r="X96">
        <f>'Grid_Stock'!V7</f>
        <v/>
      </c>
      <c r="Y96">
        <f>'Grid_Stock'!W7</f>
        <v/>
      </c>
      <c r="Z96">
        <f>'Grid_Stock'!X7</f>
        <v/>
      </c>
      <c r="AA96">
        <f>'Grid_Stock'!Y7</f>
        <v/>
      </c>
      <c r="AB96">
        <f>'Grid_Stock'!Z7</f>
        <v/>
      </c>
      <c r="AC96">
        <f>'Grid_Stock'!AA7</f>
        <v/>
      </c>
      <c r="AD96">
        <f>'Grid_Stock'!AB7</f>
        <v/>
      </c>
      <c r="AE96">
        <f>'Grid_Stock'!AC7</f>
        <v/>
      </c>
      <c r="AF96">
        <f>'Grid_Stock'!AD7</f>
        <v/>
      </c>
      <c r="AG96">
        <f>'Grid_Stock'!AE7</f>
        <v/>
      </c>
      <c r="AH96">
        <f>'Grid_Stock'!AF7</f>
        <v/>
      </c>
      <c r="AI96">
        <f>'Grid_Stock'!AG7</f>
        <v/>
      </c>
      <c r="AJ96">
        <f>'Grid_Stock'!AH7</f>
        <v/>
      </c>
      <c r="AK96">
        <f>'Grid_Stock'!AI7</f>
        <v/>
      </c>
      <c r="AL96">
        <f>'Grid_Stock'!AJ7</f>
        <v/>
      </c>
      <c r="AM96">
        <f>'Grid_Stock'!AK7</f>
        <v/>
      </c>
      <c r="AN96">
        <f>'Grid_Stock'!AL7</f>
        <v/>
      </c>
      <c r="AO96">
        <f>'Grid_Stock'!AM7</f>
        <v/>
      </c>
      <c r="AP96">
        <f>'Grid_Stock'!AN7</f>
        <v/>
      </c>
      <c r="AQ96">
        <f>'Grid_Stock'!AO7</f>
        <v/>
      </c>
      <c r="AR96">
        <f>'Grid_Stock'!AP7</f>
        <v/>
      </c>
      <c r="AS96">
        <f>'Grid_Stock'!AQ7</f>
        <v/>
      </c>
      <c r="AT96">
        <f>'Grid_Stock'!AR7</f>
        <v/>
      </c>
      <c r="AU96">
        <f>'Grid_Stock'!AS7</f>
        <v/>
      </c>
      <c r="AV96">
        <f>'Grid_Stock'!AT7</f>
        <v/>
      </c>
      <c r="AW96">
        <f>'Grid_Stock'!AU7</f>
        <v/>
      </c>
      <c r="AX96">
        <f>'Grid_Stock'!AV7</f>
        <v/>
      </c>
      <c r="AY96">
        <f>'Grid_Stock'!AW7</f>
        <v/>
      </c>
      <c r="AZ96">
        <f>'Grid_Stock'!AX7</f>
        <v/>
      </c>
      <c r="BA96">
        <f>'Grid_Stock'!AY7</f>
        <v/>
      </c>
      <c r="BB96">
        <f>'Grid_Stock'!AZ7</f>
        <v/>
      </c>
      <c r="BC96">
        <f>'Grid_Stock'!BA7</f>
        <v/>
      </c>
      <c r="BD96">
        <f>'Grid_Stock'!BB7</f>
        <v/>
      </c>
      <c r="BE96">
        <f>'Grid_Stock'!BC7</f>
        <v/>
      </c>
      <c r="BF96">
        <f>'Grid_Stock'!BD7</f>
        <v/>
      </c>
      <c r="BG96">
        <f>'Grid_Stock'!BE7</f>
        <v/>
      </c>
      <c r="BH96">
        <f>'Grid_Stock'!BF7</f>
        <v/>
      </c>
      <c r="BI96">
        <f>'Grid_Stock'!BG7</f>
        <v/>
      </c>
      <c r="BJ96">
        <f>'Grid_Stock'!BH7</f>
        <v/>
      </c>
      <c r="BK96">
        <f>'Grid_Stock'!BI7</f>
        <v/>
      </c>
      <c r="BL96">
        <f>'Grid_Stock'!BJ7</f>
        <v/>
      </c>
      <c r="BM96">
        <f>'Grid_Stock'!BK7</f>
        <v/>
      </c>
      <c r="BN96">
        <f>'Grid_Stock'!BL7</f>
        <v/>
      </c>
      <c r="BO96">
        <f>'Grid_Stock'!BM7</f>
        <v/>
      </c>
      <c r="BP96">
        <f>'Grid_Stock'!BN7</f>
        <v/>
      </c>
      <c r="BQ96">
        <f>'Grid_Stock'!BO7</f>
        <v/>
      </c>
      <c r="BR96">
        <f>'Grid_Stock'!BP7</f>
        <v/>
      </c>
      <c r="BS96">
        <f>'Grid_Stock'!BQ7</f>
        <v/>
      </c>
      <c r="BT96">
        <f>'Grid_Stock'!BR7</f>
        <v/>
      </c>
      <c r="BU96">
        <f>'Grid_Stock'!BS7</f>
        <v/>
      </c>
      <c r="BV96">
        <f>'Grid_Stock'!BT7</f>
        <v/>
      </c>
      <c r="BW96">
        <f>'Grid_Stock'!BU7</f>
        <v/>
      </c>
      <c r="BX96">
        <f>'Grid_Stock'!BV7</f>
        <v/>
      </c>
      <c r="BY96">
        <f>'Grid_Stock'!BW7</f>
        <v/>
      </c>
      <c r="BZ96">
        <f>'Grid_Stock'!BX7</f>
        <v/>
      </c>
      <c r="CA96">
        <f>'Grid_Stock'!BY7</f>
        <v/>
      </c>
      <c r="CB96">
        <f>'Grid_Stock'!BZ7</f>
        <v/>
      </c>
      <c r="CC96">
        <f>'Grid_Stock'!CA7</f>
        <v/>
      </c>
      <c r="CD96">
        <f>'Grid_Stock'!CB7</f>
        <v/>
      </c>
      <c r="CE96">
        <f>'Grid_Stock'!CC7</f>
        <v/>
      </c>
      <c r="CF96">
        <f>'Grid_Stock'!CD7</f>
        <v/>
      </c>
      <c r="CG96">
        <f>'Grid_Stock'!CE7</f>
        <v/>
      </c>
      <c r="CH96">
        <f>'Grid_Stock'!CF7</f>
        <v/>
      </c>
      <c r="CI96">
        <f>'Grid_Stock'!CG7</f>
        <v/>
      </c>
      <c r="CJ96">
        <f>'Grid_Stock'!CH7</f>
        <v/>
      </c>
      <c r="CK96">
        <f>'Grid_Stock'!CI7</f>
        <v/>
      </c>
      <c r="CL96">
        <f>'Grid_Stock'!CJ7</f>
        <v/>
      </c>
      <c r="CM96">
        <f>'Grid_Stock'!CK7</f>
        <v/>
      </c>
      <c r="CN96">
        <f>'Grid_Stock'!CL7</f>
        <v/>
      </c>
      <c r="CO96">
        <f>'Grid_Stock'!CM7</f>
        <v/>
      </c>
      <c r="CP96">
        <f>'Grid_Stock'!CN7</f>
        <v/>
      </c>
      <c r="CQ96">
        <f>'Grid_Stock'!CO7</f>
        <v/>
      </c>
      <c r="CR96">
        <f>'Grid_Stock'!CP7</f>
        <v/>
      </c>
      <c r="CS96">
        <f>'Grid_Stock'!CQ7</f>
        <v/>
      </c>
      <c r="CT96">
        <f>'Grid_Stock'!CR7</f>
        <v/>
      </c>
      <c r="CU96">
        <f>'Grid_Stock'!CS7</f>
        <v/>
      </c>
      <c r="CV96">
        <f>'Grid_Stock'!CT7</f>
        <v/>
      </c>
      <c r="CW96">
        <f>'Grid_Stock'!CU7</f>
        <v/>
      </c>
      <c r="CX96">
        <f>'Grid_Stock'!CV7</f>
        <v/>
      </c>
      <c r="CY96">
        <f>'Grid_Stock'!CW7</f>
        <v/>
      </c>
      <c r="CZ96">
        <f>'Grid_Stock'!CX7</f>
        <v/>
      </c>
      <c r="DA96">
        <f>'Grid_Stock'!CY7</f>
        <v/>
      </c>
      <c r="DB96">
        <f>'Grid_Stock'!CZ7</f>
        <v/>
      </c>
      <c r="DC96">
        <f>'Grid_Stock'!DA7</f>
        <v/>
      </c>
    </row>
    <row r="97">
      <c r="B97" s="26" t="inlineStr">
        <is>
          <t>（発注の目安はDashboardの基準在庫[下限/上限]と色分けを参照）</t>
        </is>
      </c>
    </row>
    <row r="99">
      <c r="A99" s="21" t="inlineStr">
        <is>
          <t>TDJ</t>
        </is>
      </c>
      <c r="B99" s="21" t="inlineStr">
        <is>
          <t>N60S/2-11R08 TTAF</t>
        </is>
      </c>
      <c r="C99" s="22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/>
      <c r="BB99" s="21" t="n"/>
      <c r="BC99" s="21" t="n"/>
      <c r="BD99" s="21" t="n"/>
      <c r="BE99" s="21" t="n"/>
      <c r="BF99" s="21" t="n"/>
      <c r="BG99" s="21" t="n"/>
      <c r="BH99" s="21" t="n"/>
      <c r="BI99" s="21" t="n"/>
      <c r="BJ99" s="21" t="n"/>
      <c r="BK99" s="21" t="n"/>
      <c r="BL99" s="21" t="n"/>
      <c r="BM99" s="21" t="n"/>
      <c r="BN99" s="21" t="n"/>
      <c r="BO99" s="21" t="n"/>
      <c r="BP99" s="21" t="n"/>
      <c r="BQ99" s="21" t="n"/>
      <c r="BR99" s="21" t="n"/>
      <c r="BS99" s="21" t="n"/>
      <c r="BT99" s="21" t="n"/>
      <c r="BU99" s="21" t="n"/>
      <c r="BV99" s="21" t="n"/>
      <c r="BW99" s="21" t="n"/>
      <c r="BX99" s="21" t="n"/>
      <c r="BY99" s="21" t="n"/>
      <c r="BZ99" s="21" t="n"/>
      <c r="CA99" s="21" t="n"/>
      <c r="CB99" s="21" t="n"/>
      <c r="CC99" s="21" t="n"/>
      <c r="CD99" s="21" t="n"/>
      <c r="CE99" s="21" t="n"/>
      <c r="CF99" s="21" t="n"/>
      <c r="CG99" s="21" t="n"/>
      <c r="CH99" s="21" t="n"/>
      <c r="CI99" s="21" t="n"/>
      <c r="CJ99" s="21" t="n"/>
      <c r="CK99" s="21" t="n"/>
      <c r="CL99" s="21" t="n"/>
      <c r="CM99" s="21" t="n"/>
      <c r="CN99" s="21" t="n"/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</row>
    <row r="100">
      <c r="B100" t="inlineStr">
        <is>
          <t>0TA30</t>
        </is>
      </c>
      <c r="C100" t="inlineStr">
        <is>
          <t>No. of batches</t>
        </is>
      </c>
      <c r="D100">
        <f>IFERROR(INDEX(PP_Grid[#Data],$DD100,2),0)</f>
        <v/>
      </c>
      <c r="E100">
        <f>IFERROR(INDEX(PP_Grid[#Data],$DD100,3),0)</f>
        <v/>
      </c>
      <c r="F100">
        <f>IFERROR(INDEX(PP_Grid[#Data],$DD100,4),0)</f>
        <v/>
      </c>
      <c r="G100">
        <f>IFERROR(INDEX(PP_Grid[#Data],$DD100,5),0)</f>
        <v/>
      </c>
      <c r="H100">
        <f>IFERROR(INDEX(PP_Grid[#Data],$DD100,6),0)</f>
        <v/>
      </c>
      <c r="I100">
        <f>IFERROR(INDEX(PP_Grid[#Data],$DD100,7),0)</f>
        <v/>
      </c>
      <c r="J100">
        <f>IFERROR(INDEX(PP_Grid[#Data],$DD100,8),0)</f>
        <v/>
      </c>
      <c r="K100">
        <f>IFERROR(INDEX(PP_Grid[#Data],$DD100,9),0)</f>
        <v/>
      </c>
      <c r="L100">
        <f>IFERROR(INDEX(PP_Grid[#Data],$DD100,10),0)</f>
        <v/>
      </c>
      <c r="M100">
        <f>IFERROR(INDEX(PP_Grid[#Data],$DD100,11),0)</f>
        <v/>
      </c>
      <c r="N100">
        <f>IFERROR(INDEX(PP_Grid[#Data],$DD100,12),0)</f>
        <v/>
      </c>
      <c r="O100">
        <f>IFERROR(INDEX(PP_Grid[#Data],$DD100,13),0)</f>
        <v/>
      </c>
      <c r="P100">
        <f>IFERROR(INDEX(PP_Grid[#Data],$DD100,14),0)</f>
        <v/>
      </c>
      <c r="Q100">
        <f>IFERROR(INDEX(PP_Grid[#Data],$DD100,15),0)</f>
        <v/>
      </c>
      <c r="R100">
        <f>IFERROR(INDEX(PP_Grid[#Data],$DD100,16),0)</f>
        <v/>
      </c>
      <c r="S100">
        <f>IFERROR(INDEX(PP_Grid[#Data],$DD100,17),0)</f>
        <v/>
      </c>
      <c r="T100">
        <f>IFERROR(INDEX(PP_Grid[#Data],$DD100,18),0)</f>
        <v/>
      </c>
      <c r="U100">
        <f>IFERROR(INDEX(PP_Grid[#Data],$DD100,19),0)</f>
        <v/>
      </c>
      <c r="V100">
        <f>IFERROR(INDEX(PP_Grid[#Data],$DD100,20),0)</f>
        <v/>
      </c>
      <c r="W100">
        <f>IFERROR(INDEX(PP_Grid[#Data],$DD100,21),0)</f>
        <v/>
      </c>
      <c r="X100">
        <f>IFERROR(INDEX(PP_Grid[#Data],$DD100,22),0)</f>
        <v/>
      </c>
      <c r="Y100">
        <f>IFERROR(INDEX(PP_Grid[#Data],$DD100,23),0)</f>
        <v/>
      </c>
      <c r="Z100">
        <f>IFERROR(INDEX(PP_Grid[#Data],$DD100,24),0)</f>
        <v/>
      </c>
      <c r="AA100">
        <f>IFERROR(INDEX(PP_Grid[#Data],$DD100,25),0)</f>
        <v/>
      </c>
      <c r="AB100">
        <f>IFERROR(INDEX(PP_Grid[#Data],$DD100,26),0)</f>
        <v/>
      </c>
      <c r="AC100">
        <f>IFERROR(INDEX(PP_Grid[#Data],$DD100,27),0)</f>
        <v/>
      </c>
      <c r="AD100">
        <f>IFERROR(INDEX(PP_Grid[#Data],$DD100,28),0)</f>
        <v/>
      </c>
      <c r="AE100">
        <f>IFERROR(INDEX(PP_Grid[#Data],$DD100,29),0)</f>
        <v/>
      </c>
      <c r="AF100">
        <f>IFERROR(INDEX(PP_Grid[#Data],$DD100,30),0)</f>
        <v/>
      </c>
      <c r="AG100">
        <f>IFERROR(INDEX(PP_Grid[#Data],$DD100,31),0)</f>
        <v/>
      </c>
      <c r="AH100">
        <f>IFERROR(INDEX(PP_Grid[#Data],$DD100,32),0)</f>
        <v/>
      </c>
      <c r="AI100">
        <f>IFERROR(INDEX(PP_Grid[#Data],$DD100,33),0)</f>
        <v/>
      </c>
      <c r="AJ100">
        <f>IFERROR(INDEX(PP_Grid[#Data],$DD100,34),0)</f>
        <v/>
      </c>
      <c r="AK100">
        <f>IFERROR(INDEX(PP_Grid[#Data],$DD100,35),0)</f>
        <v/>
      </c>
      <c r="AL100">
        <f>IFERROR(INDEX(PP_Grid[#Data],$DD100,36),0)</f>
        <v/>
      </c>
      <c r="AM100">
        <f>IFERROR(INDEX(PP_Grid[#Data],$DD100,37),0)</f>
        <v/>
      </c>
      <c r="AN100">
        <f>IFERROR(INDEX(PP_Grid[#Data],$DD100,38),0)</f>
        <v/>
      </c>
      <c r="AO100">
        <f>IFERROR(INDEX(PP_Grid[#Data],$DD100,39),0)</f>
        <v/>
      </c>
      <c r="AP100">
        <f>IFERROR(INDEX(PP_Grid[#Data],$DD100,40),0)</f>
        <v/>
      </c>
      <c r="AQ100">
        <f>IFERROR(INDEX(PP_Grid[#Data],$DD100,41),0)</f>
        <v/>
      </c>
      <c r="AR100">
        <f>IFERROR(INDEX(PP_Grid[#Data],$DD100,42),0)</f>
        <v/>
      </c>
      <c r="AS100">
        <f>IFERROR(INDEX(PP_Grid[#Data],$DD100,43),0)</f>
        <v/>
      </c>
      <c r="AT100">
        <f>IFERROR(INDEX(PP_Grid[#Data],$DD100,44),0)</f>
        <v/>
      </c>
      <c r="AU100">
        <f>IFERROR(INDEX(PP_Grid[#Data],$DD100,45),0)</f>
        <v/>
      </c>
      <c r="AV100">
        <f>IFERROR(INDEX(PP_Grid[#Data],$DD100,46),0)</f>
        <v/>
      </c>
      <c r="AW100">
        <f>IFERROR(INDEX(PP_Grid[#Data],$DD100,47),0)</f>
        <v/>
      </c>
      <c r="AX100">
        <f>IFERROR(INDEX(PP_Grid[#Data],$DD100,48),0)</f>
        <v/>
      </c>
      <c r="AY100">
        <f>IFERROR(INDEX(PP_Grid[#Data],$DD100,49),0)</f>
        <v/>
      </c>
      <c r="AZ100">
        <f>IFERROR(INDEX(PP_Grid[#Data],$DD100,50),0)</f>
        <v/>
      </c>
      <c r="BA100">
        <f>IFERROR(INDEX(PP_Grid[#Data],$DD100,51),0)</f>
        <v/>
      </c>
      <c r="BB100">
        <f>IFERROR(INDEX(PP_Grid[#Data],$DD100,52),0)</f>
        <v/>
      </c>
      <c r="BC100">
        <f>IFERROR(INDEX(PP_Grid[#Data],$DD100,53),0)</f>
        <v/>
      </c>
      <c r="BD100">
        <f>IFERROR(INDEX(PP_Grid[#Data],$DD100,54),0)</f>
        <v/>
      </c>
      <c r="BE100">
        <f>IFERROR(INDEX(PP_Grid[#Data],$DD100,55),0)</f>
        <v/>
      </c>
      <c r="BF100">
        <f>IFERROR(INDEX(PP_Grid[#Data],$DD100,56),0)</f>
        <v/>
      </c>
      <c r="BG100">
        <f>IFERROR(INDEX(PP_Grid[#Data],$DD100,57),0)</f>
        <v/>
      </c>
      <c r="BH100">
        <f>IFERROR(INDEX(PP_Grid[#Data],$DD100,58),0)</f>
        <v/>
      </c>
      <c r="BI100">
        <f>IFERROR(INDEX(PP_Grid[#Data],$DD100,59),0)</f>
        <v/>
      </c>
      <c r="BJ100">
        <f>IFERROR(INDEX(PP_Grid[#Data],$DD100,60),0)</f>
        <v/>
      </c>
      <c r="BK100">
        <f>IFERROR(INDEX(PP_Grid[#Data],$DD100,61),0)</f>
        <v/>
      </c>
      <c r="BL100">
        <f>IFERROR(INDEX(PP_Grid[#Data],$DD100,62),0)</f>
        <v/>
      </c>
      <c r="BM100">
        <f>IFERROR(INDEX(PP_Grid[#Data],$DD100,63),0)</f>
        <v/>
      </c>
      <c r="BN100">
        <f>IFERROR(INDEX(PP_Grid[#Data],$DD100,64),0)</f>
        <v/>
      </c>
      <c r="BO100">
        <f>IFERROR(INDEX(PP_Grid[#Data],$DD100,65),0)</f>
        <v/>
      </c>
      <c r="BP100">
        <f>IFERROR(INDEX(PP_Grid[#Data],$DD100,66),0)</f>
        <v/>
      </c>
      <c r="BQ100">
        <f>IFERROR(INDEX(PP_Grid[#Data],$DD100,67),0)</f>
        <v/>
      </c>
      <c r="BR100">
        <f>IFERROR(INDEX(PP_Grid[#Data],$DD100,68),0)</f>
        <v/>
      </c>
      <c r="BS100">
        <f>IFERROR(INDEX(PP_Grid[#Data],$DD100,69),0)</f>
        <v/>
      </c>
      <c r="BT100">
        <f>IFERROR(INDEX(PP_Grid[#Data],$DD100,70),0)</f>
        <v/>
      </c>
      <c r="BU100">
        <f>IFERROR(INDEX(PP_Grid[#Data],$DD100,71),0)</f>
        <v/>
      </c>
      <c r="BV100">
        <f>IFERROR(INDEX(PP_Grid[#Data],$DD100,72),0)</f>
        <v/>
      </c>
      <c r="BW100">
        <f>IFERROR(INDEX(PP_Grid[#Data],$DD100,73),0)</f>
        <v/>
      </c>
      <c r="BX100">
        <f>IFERROR(INDEX(PP_Grid[#Data],$DD100,74),0)</f>
        <v/>
      </c>
      <c r="BY100">
        <f>IFERROR(INDEX(PP_Grid[#Data],$DD100,75),0)</f>
        <v/>
      </c>
      <c r="BZ100">
        <f>IFERROR(INDEX(PP_Grid[#Data],$DD100,76),0)</f>
        <v/>
      </c>
      <c r="CA100">
        <f>IFERROR(INDEX(PP_Grid[#Data],$DD100,77),0)</f>
        <v/>
      </c>
      <c r="CB100">
        <f>IFERROR(INDEX(PP_Grid[#Data],$DD100,78),0)</f>
        <v/>
      </c>
      <c r="CC100">
        <f>IFERROR(INDEX(PP_Grid[#Data],$DD100,79),0)</f>
        <v/>
      </c>
      <c r="CD100">
        <f>IFERROR(INDEX(PP_Grid[#Data],$DD100,80),0)</f>
        <v/>
      </c>
      <c r="CE100">
        <f>IFERROR(INDEX(PP_Grid[#Data],$DD100,81),0)</f>
        <v/>
      </c>
      <c r="CF100">
        <f>IFERROR(INDEX(PP_Grid[#Data],$DD100,82),0)</f>
        <v/>
      </c>
      <c r="CG100">
        <f>IFERROR(INDEX(PP_Grid[#Data],$DD100,83),0)</f>
        <v/>
      </c>
      <c r="CH100">
        <f>IFERROR(INDEX(PP_Grid[#Data],$DD100,84),0)</f>
        <v/>
      </c>
      <c r="CI100">
        <f>IFERROR(INDEX(PP_Grid[#Data],$DD100,85),0)</f>
        <v/>
      </c>
      <c r="CJ100">
        <f>IFERROR(INDEX(PP_Grid[#Data],$DD100,86),0)</f>
        <v/>
      </c>
      <c r="CK100">
        <f>IFERROR(INDEX(PP_Grid[#Data],$DD100,87),0)</f>
        <v/>
      </c>
      <c r="CL100">
        <f>IFERROR(INDEX(PP_Grid[#Data],$DD100,88),0)</f>
        <v/>
      </c>
      <c r="CM100">
        <f>IFERROR(INDEX(PP_Grid[#Data],$DD100,89),0)</f>
        <v/>
      </c>
      <c r="CN100">
        <f>IFERROR(INDEX(PP_Grid[#Data],$DD100,90),0)</f>
        <v/>
      </c>
      <c r="CO100">
        <f>IFERROR(INDEX(PP_Grid[#Data],$DD100,91),0)</f>
        <v/>
      </c>
      <c r="CP100">
        <f>IFERROR(INDEX(PP_Grid[#Data],$DD100,92),0)</f>
        <v/>
      </c>
      <c r="CQ100">
        <f>IFERROR(INDEX(PP_Grid[#Data],$DD100,93),0)</f>
        <v/>
      </c>
      <c r="CR100">
        <f>IFERROR(INDEX(PP_Grid[#Data],$DD100,94),0)</f>
        <v/>
      </c>
      <c r="CS100">
        <f>IFERROR(INDEX(PP_Grid[#Data],$DD100,95),0)</f>
        <v/>
      </c>
      <c r="CT100">
        <f>IFERROR(INDEX(PP_Grid[#Data],$DD100,96),0)</f>
        <v/>
      </c>
      <c r="CU100">
        <f>IFERROR(INDEX(PP_Grid[#Data],$DD100,97),0)</f>
        <v/>
      </c>
      <c r="CV100">
        <f>IFERROR(INDEX(PP_Grid[#Data],$DD100,98),0)</f>
        <v/>
      </c>
      <c r="CW100">
        <f>IFERROR(INDEX(PP_Grid[#Data],$DD100,99),0)</f>
        <v/>
      </c>
      <c r="CX100">
        <f>IFERROR(INDEX(PP_Grid[#Data],$DD100,100),0)</f>
        <v/>
      </c>
      <c r="CY100">
        <f>IFERROR(INDEX(PP_Grid[#Data],$DD100,101),0)</f>
        <v/>
      </c>
      <c r="CZ100">
        <f>IFERROR(INDEX(PP_Grid[#Data],$DD100,102),0)</f>
        <v/>
      </c>
      <c r="DA100">
        <f>IFERROR(INDEX(PP_Grid[#Data],$DD100,103),0)</f>
        <v/>
      </c>
      <c r="DB100">
        <f>IFERROR(INDEX(PP_Grid[#Data],$DD100,104),0)</f>
        <v/>
      </c>
      <c r="DC100">
        <f>IFERROR(INDEX(PP_Grid[#Data],$DD100,105),0)</f>
        <v/>
      </c>
      <c r="DD100" s="12">
        <f>IFERROR(MATCH($B100,PP_Grid[Intermediate],0),99999)</f>
        <v/>
      </c>
    </row>
    <row r="101">
      <c r="B101" t="inlineStr">
        <is>
          <t>使用量(kg)</t>
        </is>
      </c>
      <c r="C101">
        <f>SUMIFS(M_BOM[RM_Qty_Per_Batch],M_BOM[Intermediate],$B100,M_BOM[Part Name],$A99)</f>
        <v/>
      </c>
      <c r="D101">
        <f>$C101*D100</f>
        <v/>
      </c>
      <c r="E101">
        <f>$C101*E100</f>
        <v/>
      </c>
      <c r="F101">
        <f>$C101*F100</f>
        <v/>
      </c>
      <c r="G101">
        <f>$C101*G100</f>
        <v/>
      </c>
      <c r="H101">
        <f>$C101*H100</f>
        <v/>
      </c>
      <c r="I101">
        <f>$C101*I100</f>
        <v/>
      </c>
      <c r="J101">
        <f>$C101*J100</f>
        <v/>
      </c>
      <c r="K101">
        <f>$C101*K100</f>
        <v/>
      </c>
      <c r="L101">
        <f>$C101*L100</f>
        <v/>
      </c>
      <c r="M101">
        <f>$C101*M100</f>
        <v/>
      </c>
      <c r="N101">
        <f>$C101*N100</f>
        <v/>
      </c>
      <c r="O101">
        <f>$C101*O100</f>
        <v/>
      </c>
      <c r="P101">
        <f>$C101*P100</f>
        <v/>
      </c>
      <c r="Q101">
        <f>$C101*Q100</f>
        <v/>
      </c>
      <c r="R101">
        <f>$C101*R100</f>
        <v/>
      </c>
      <c r="S101">
        <f>$C101*S100</f>
        <v/>
      </c>
      <c r="T101">
        <f>$C101*T100</f>
        <v/>
      </c>
      <c r="U101">
        <f>$C101*U100</f>
        <v/>
      </c>
      <c r="V101">
        <f>$C101*V100</f>
        <v/>
      </c>
      <c r="W101">
        <f>$C101*W100</f>
        <v/>
      </c>
      <c r="X101">
        <f>$C101*X100</f>
        <v/>
      </c>
      <c r="Y101">
        <f>$C101*Y100</f>
        <v/>
      </c>
      <c r="Z101">
        <f>$C101*Z100</f>
        <v/>
      </c>
      <c r="AA101">
        <f>$C101*AA100</f>
        <v/>
      </c>
      <c r="AB101">
        <f>$C101*AB100</f>
        <v/>
      </c>
      <c r="AC101">
        <f>$C101*AC100</f>
        <v/>
      </c>
      <c r="AD101">
        <f>$C101*AD100</f>
        <v/>
      </c>
      <c r="AE101">
        <f>$C101*AE100</f>
        <v/>
      </c>
      <c r="AF101">
        <f>$C101*AF100</f>
        <v/>
      </c>
      <c r="AG101">
        <f>$C101*AG100</f>
        <v/>
      </c>
      <c r="AH101">
        <f>$C101*AH100</f>
        <v/>
      </c>
      <c r="AI101">
        <f>$C101*AI100</f>
        <v/>
      </c>
      <c r="AJ101">
        <f>$C101*AJ100</f>
        <v/>
      </c>
      <c r="AK101">
        <f>$C101*AK100</f>
        <v/>
      </c>
      <c r="AL101">
        <f>$C101*AL100</f>
        <v/>
      </c>
      <c r="AM101">
        <f>$C101*AM100</f>
        <v/>
      </c>
      <c r="AN101">
        <f>$C101*AN100</f>
        <v/>
      </c>
      <c r="AO101">
        <f>$C101*AO100</f>
        <v/>
      </c>
      <c r="AP101">
        <f>$C101*AP100</f>
        <v/>
      </c>
      <c r="AQ101">
        <f>$C101*AQ100</f>
        <v/>
      </c>
      <c r="AR101">
        <f>$C101*AR100</f>
        <v/>
      </c>
      <c r="AS101">
        <f>$C101*AS100</f>
        <v/>
      </c>
      <c r="AT101">
        <f>$C101*AT100</f>
        <v/>
      </c>
      <c r="AU101">
        <f>$C101*AU100</f>
        <v/>
      </c>
      <c r="AV101">
        <f>$C101*AV100</f>
        <v/>
      </c>
      <c r="AW101">
        <f>$C101*AW100</f>
        <v/>
      </c>
      <c r="AX101">
        <f>$C101*AX100</f>
        <v/>
      </c>
      <c r="AY101">
        <f>$C101*AY100</f>
        <v/>
      </c>
      <c r="AZ101">
        <f>$C101*AZ100</f>
        <v/>
      </c>
      <c r="BA101">
        <f>$C101*BA100</f>
        <v/>
      </c>
      <c r="BB101">
        <f>$C101*BB100</f>
        <v/>
      </c>
      <c r="BC101">
        <f>$C101*BC100</f>
        <v/>
      </c>
      <c r="BD101">
        <f>$C101*BD100</f>
        <v/>
      </c>
      <c r="BE101">
        <f>$C101*BE100</f>
        <v/>
      </c>
      <c r="BF101">
        <f>$C101*BF100</f>
        <v/>
      </c>
      <c r="BG101">
        <f>$C101*BG100</f>
        <v/>
      </c>
      <c r="BH101">
        <f>$C101*BH100</f>
        <v/>
      </c>
      <c r="BI101">
        <f>$C101*BI100</f>
        <v/>
      </c>
      <c r="BJ101">
        <f>$C101*BJ100</f>
        <v/>
      </c>
      <c r="BK101">
        <f>$C101*BK100</f>
        <v/>
      </c>
      <c r="BL101">
        <f>$C101*BL100</f>
        <v/>
      </c>
      <c r="BM101">
        <f>$C101*BM100</f>
        <v/>
      </c>
      <c r="BN101">
        <f>$C101*BN100</f>
        <v/>
      </c>
      <c r="BO101">
        <f>$C101*BO100</f>
        <v/>
      </c>
      <c r="BP101">
        <f>$C101*BP100</f>
        <v/>
      </c>
      <c r="BQ101">
        <f>$C101*BQ100</f>
        <v/>
      </c>
      <c r="BR101">
        <f>$C101*BR100</f>
        <v/>
      </c>
      <c r="BS101">
        <f>$C101*BS100</f>
        <v/>
      </c>
      <c r="BT101">
        <f>$C101*BT100</f>
        <v/>
      </c>
      <c r="BU101">
        <f>$C101*BU100</f>
        <v/>
      </c>
      <c r="BV101">
        <f>$C101*BV100</f>
        <v/>
      </c>
      <c r="BW101">
        <f>$C101*BW100</f>
        <v/>
      </c>
      <c r="BX101">
        <f>$C101*BX100</f>
        <v/>
      </c>
      <c r="BY101">
        <f>$C101*BY100</f>
        <v/>
      </c>
      <c r="BZ101">
        <f>$C101*BZ100</f>
        <v/>
      </c>
      <c r="CA101">
        <f>$C101*CA100</f>
        <v/>
      </c>
      <c r="CB101">
        <f>$C101*CB100</f>
        <v/>
      </c>
      <c r="CC101">
        <f>$C101*CC100</f>
        <v/>
      </c>
      <c r="CD101">
        <f>$C101*CD100</f>
        <v/>
      </c>
      <c r="CE101">
        <f>$C101*CE100</f>
        <v/>
      </c>
      <c r="CF101">
        <f>$C101*CF100</f>
        <v/>
      </c>
      <c r="CG101">
        <f>$C101*CG100</f>
        <v/>
      </c>
      <c r="CH101">
        <f>$C101*CH100</f>
        <v/>
      </c>
      <c r="CI101">
        <f>$C101*CI100</f>
        <v/>
      </c>
      <c r="CJ101">
        <f>$C101*CJ100</f>
        <v/>
      </c>
      <c r="CK101">
        <f>$C101*CK100</f>
        <v/>
      </c>
      <c r="CL101">
        <f>$C101*CL100</f>
        <v/>
      </c>
      <c r="CM101">
        <f>$C101*CM100</f>
        <v/>
      </c>
      <c r="CN101">
        <f>$C101*CN100</f>
        <v/>
      </c>
      <c r="CO101">
        <f>$C101*CO100</f>
        <v/>
      </c>
      <c r="CP101">
        <f>$C101*CP100</f>
        <v/>
      </c>
      <c r="CQ101">
        <f>$C101*CQ100</f>
        <v/>
      </c>
      <c r="CR101">
        <f>$C101*CR100</f>
        <v/>
      </c>
      <c r="CS101">
        <f>$C101*CS100</f>
        <v/>
      </c>
      <c r="CT101">
        <f>$C101*CT100</f>
        <v/>
      </c>
      <c r="CU101">
        <f>$C101*CU100</f>
        <v/>
      </c>
      <c r="CV101">
        <f>$C101*CV100</f>
        <v/>
      </c>
      <c r="CW101">
        <f>$C101*CW100</f>
        <v/>
      </c>
      <c r="CX101">
        <f>$C101*CX100</f>
        <v/>
      </c>
      <c r="CY101">
        <f>$C101*CY100</f>
        <v/>
      </c>
      <c r="CZ101">
        <f>$C101*CZ100</f>
        <v/>
      </c>
      <c r="DA101">
        <f>$C101*DA100</f>
        <v/>
      </c>
      <c r="DB101">
        <f>$C101*DB100</f>
        <v/>
      </c>
      <c r="DC101">
        <f>$C101*DC100</f>
        <v/>
      </c>
    </row>
    <row r="102">
      <c r="B102" s="5" t="inlineStr">
        <is>
          <t>合計使用量(kg)/週</t>
        </is>
      </c>
      <c r="D102">
        <f>'Grid_Requirement'!B8</f>
        <v/>
      </c>
      <c r="E102">
        <f>'Grid_Requirement'!C8</f>
        <v/>
      </c>
      <c r="F102">
        <f>'Grid_Requirement'!D8</f>
        <v/>
      </c>
      <c r="G102">
        <f>'Grid_Requirement'!E8</f>
        <v/>
      </c>
      <c r="H102">
        <f>'Grid_Requirement'!F8</f>
        <v/>
      </c>
      <c r="I102">
        <f>'Grid_Requirement'!G8</f>
        <v/>
      </c>
      <c r="J102">
        <f>'Grid_Requirement'!H8</f>
        <v/>
      </c>
      <c r="K102">
        <f>'Grid_Requirement'!I8</f>
        <v/>
      </c>
      <c r="L102">
        <f>'Grid_Requirement'!J8</f>
        <v/>
      </c>
      <c r="M102">
        <f>'Grid_Requirement'!K8</f>
        <v/>
      </c>
      <c r="N102">
        <f>'Grid_Requirement'!L8</f>
        <v/>
      </c>
      <c r="O102">
        <f>'Grid_Requirement'!M8</f>
        <v/>
      </c>
      <c r="P102">
        <f>'Grid_Requirement'!N8</f>
        <v/>
      </c>
      <c r="Q102">
        <f>'Grid_Requirement'!O8</f>
        <v/>
      </c>
      <c r="R102">
        <f>'Grid_Requirement'!P8</f>
        <v/>
      </c>
      <c r="S102">
        <f>'Grid_Requirement'!Q8</f>
        <v/>
      </c>
      <c r="T102">
        <f>'Grid_Requirement'!R8</f>
        <v/>
      </c>
      <c r="U102">
        <f>'Grid_Requirement'!S8</f>
        <v/>
      </c>
      <c r="V102">
        <f>'Grid_Requirement'!T8</f>
        <v/>
      </c>
      <c r="W102">
        <f>'Grid_Requirement'!U8</f>
        <v/>
      </c>
      <c r="X102">
        <f>'Grid_Requirement'!V8</f>
        <v/>
      </c>
      <c r="Y102">
        <f>'Grid_Requirement'!W8</f>
        <v/>
      </c>
      <c r="Z102">
        <f>'Grid_Requirement'!X8</f>
        <v/>
      </c>
      <c r="AA102">
        <f>'Grid_Requirement'!Y8</f>
        <v/>
      </c>
      <c r="AB102">
        <f>'Grid_Requirement'!Z8</f>
        <v/>
      </c>
      <c r="AC102">
        <f>'Grid_Requirement'!AA8</f>
        <v/>
      </c>
      <c r="AD102">
        <f>'Grid_Requirement'!AB8</f>
        <v/>
      </c>
      <c r="AE102">
        <f>'Grid_Requirement'!AC8</f>
        <v/>
      </c>
      <c r="AF102">
        <f>'Grid_Requirement'!AD8</f>
        <v/>
      </c>
      <c r="AG102">
        <f>'Grid_Requirement'!AE8</f>
        <v/>
      </c>
      <c r="AH102">
        <f>'Grid_Requirement'!AF8</f>
        <v/>
      </c>
      <c r="AI102">
        <f>'Grid_Requirement'!AG8</f>
        <v/>
      </c>
      <c r="AJ102">
        <f>'Grid_Requirement'!AH8</f>
        <v/>
      </c>
      <c r="AK102">
        <f>'Grid_Requirement'!AI8</f>
        <v/>
      </c>
      <c r="AL102">
        <f>'Grid_Requirement'!AJ8</f>
        <v/>
      </c>
      <c r="AM102">
        <f>'Grid_Requirement'!AK8</f>
        <v/>
      </c>
      <c r="AN102">
        <f>'Grid_Requirement'!AL8</f>
        <v/>
      </c>
      <c r="AO102">
        <f>'Grid_Requirement'!AM8</f>
        <v/>
      </c>
      <c r="AP102">
        <f>'Grid_Requirement'!AN8</f>
        <v/>
      </c>
      <c r="AQ102">
        <f>'Grid_Requirement'!AO8</f>
        <v/>
      </c>
      <c r="AR102">
        <f>'Grid_Requirement'!AP8</f>
        <v/>
      </c>
      <c r="AS102">
        <f>'Grid_Requirement'!AQ8</f>
        <v/>
      </c>
      <c r="AT102">
        <f>'Grid_Requirement'!AR8</f>
        <v/>
      </c>
      <c r="AU102">
        <f>'Grid_Requirement'!AS8</f>
        <v/>
      </c>
      <c r="AV102">
        <f>'Grid_Requirement'!AT8</f>
        <v/>
      </c>
      <c r="AW102">
        <f>'Grid_Requirement'!AU8</f>
        <v/>
      </c>
      <c r="AX102">
        <f>'Grid_Requirement'!AV8</f>
        <v/>
      </c>
      <c r="AY102">
        <f>'Grid_Requirement'!AW8</f>
        <v/>
      </c>
      <c r="AZ102">
        <f>'Grid_Requirement'!AX8</f>
        <v/>
      </c>
      <c r="BA102">
        <f>'Grid_Requirement'!AY8</f>
        <v/>
      </c>
      <c r="BB102">
        <f>'Grid_Requirement'!AZ8</f>
        <v/>
      </c>
      <c r="BC102">
        <f>'Grid_Requirement'!BA8</f>
        <v/>
      </c>
      <c r="BD102">
        <f>'Grid_Requirement'!BB8</f>
        <v/>
      </c>
      <c r="BE102">
        <f>'Grid_Requirement'!BC8</f>
        <v/>
      </c>
      <c r="BF102">
        <f>'Grid_Requirement'!BD8</f>
        <v/>
      </c>
      <c r="BG102">
        <f>'Grid_Requirement'!BE8</f>
        <v/>
      </c>
      <c r="BH102">
        <f>'Grid_Requirement'!BF8</f>
        <v/>
      </c>
      <c r="BI102">
        <f>'Grid_Requirement'!BG8</f>
        <v/>
      </c>
      <c r="BJ102">
        <f>'Grid_Requirement'!BH8</f>
        <v/>
      </c>
      <c r="BK102">
        <f>'Grid_Requirement'!BI8</f>
        <v/>
      </c>
      <c r="BL102">
        <f>'Grid_Requirement'!BJ8</f>
        <v/>
      </c>
      <c r="BM102">
        <f>'Grid_Requirement'!BK8</f>
        <v/>
      </c>
      <c r="BN102">
        <f>'Grid_Requirement'!BL8</f>
        <v/>
      </c>
      <c r="BO102">
        <f>'Grid_Requirement'!BM8</f>
        <v/>
      </c>
      <c r="BP102">
        <f>'Grid_Requirement'!BN8</f>
        <v/>
      </c>
      <c r="BQ102">
        <f>'Grid_Requirement'!BO8</f>
        <v/>
      </c>
      <c r="BR102">
        <f>'Grid_Requirement'!BP8</f>
        <v/>
      </c>
      <c r="BS102">
        <f>'Grid_Requirement'!BQ8</f>
        <v/>
      </c>
      <c r="BT102">
        <f>'Grid_Requirement'!BR8</f>
        <v/>
      </c>
      <c r="BU102">
        <f>'Grid_Requirement'!BS8</f>
        <v/>
      </c>
      <c r="BV102">
        <f>'Grid_Requirement'!BT8</f>
        <v/>
      </c>
      <c r="BW102">
        <f>'Grid_Requirement'!BU8</f>
        <v/>
      </c>
      <c r="BX102">
        <f>'Grid_Requirement'!BV8</f>
        <v/>
      </c>
      <c r="BY102">
        <f>'Grid_Requirement'!BW8</f>
        <v/>
      </c>
      <c r="BZ102">
        <f>'Grid_Requirement'!BX8</f>
        <v/>
      </c>
      <c r="CA102">
        <f>'Grid_Requirement'!BY8</f>
        <v/>
      </c>
      <c r="CB102">
        <f>'Grid_Requirement'!BZ8</f>
        <v/>
      </c>
      <c r="CC102">
        <f>'Grid_Requirement'!CA8</f>
        <v/>
      </c>
      <c r="CD102">
        <f>'Grid_Requirement'!CB8</f>
        <v/>
      </c>
      <c r="CE102">
        <f>'Grid_Requirement'!CC8</f>
        <v/>
      </c>
      <c r="CF102">
        <f>'Grid_Requirement'!CD8</f>
        <v/>
      </c>
      <c r="CG102">
        <f>'Grid_Requirement'!CE8</f>
        <v/>
      </c>
      <c r="CH102">
        <f>'Grid_Requirement'!CF8</f>
        <v/>
      </c>
      <c r="CI102">
        <f>'Grid_Requirement'!CG8</f>
        <v/>
      </c>
      <c r="CJ102">
        <f>'Grid_Requirement'!CH8</f>
        <v/>
      </c>
      <c r="CK102">
        <f>'Grid_Requirement'!CI8</f>
        <v/>
      </c>
      <c r="CL102">
        <f>'Grid_Requirement'!CJ8</f>
        <v/>
      </c>
      <c r="CM102">
        <f>'Grid_Requirement'!CK8</f>
        <v/>
      </c>
      <c r="CN102">
        <f>'Grid_Requirement'!CL8</f>
        <v/>
      </c>
      <c r="CO102">
        <f>'Grid_Requirement'!CM8</f>
        <v/>
      </c>
      <c r="CP102">
        <f>'Grid_Requirement'!CN8</f>
        <v/>
      </c>
      <c r="CQ102">
        <f>'Grid_Requirement'!CO8</f>
        <v/>
      </c>
      <c r="CR102">
        <f>'Grid_Requirement'!CP8</f>
        <v/>
      </c>
      <c r="CS102">
        <f>'Grid_Requirement'!CQ8</f>
        <v/>
      </c>
      <c r="CT102">
        <f>'Grid_Requirement'!CR8</f>
        <v/>
      </c>
      <c r="CU102">
        <f>'Grid_Requirement'!CS8</f>
        <v/>
      </c>
      <c r="CV102">
        <f>'Grid_Requirement'!CT8</f>
        <v/>
      </c>
      <c r="CW102">
        <f>'Grid_Requirement'!CU8</f>
        <v/>
      </c>
      <c r="CX102">
        <f>'Grid_Requirement'!CV8</f>
        <v/>
      </c>
      <c r="CY102">
        <f>'Grid_Requirement'!CW8</f>
        <v/>
      </c>
      <c r="CZ102">
        <f>'Grid_Requirement'!CX8</f>
        <v/>
      </c>
      <c r="DA102">
        <f>'Grid_Requirement'!CY8</f>
        <v/>
      </c>
      <c r="DB102">
        <f>'Grid_Requirement'!CZ8</f>
        <v/>
      </c>
      <c r="DC102">
        <f>'Grid_Requirement'!DA8</f>
        <v/>
      </c>
    </row>
    <row r="103">
      <c r="B103" t="inlineStr">
        <is>
          <t>TTAF在庫(実績,kg)</t>
        </is>
      </c>
      <c r="D103">
        <f>'T_TTAFStock'!B12</f>
        <v/>
      </c>
      <c r="E103">
        <f>'T_TTAFStock'!C12</f>
        <v/>
      </c>
      <c r="F103">
        <f>'T_TTAFStock'!D12</f>
        <v/>
      </c>
      <c r="G103">
        <f>'T_TTAFStock'!E12</f>
        <v/>
      </c>
      <c r="H103">
        <f>'T_TTAFStock'!F12</f>
        <v/>
      </c>
      <c r="I103">
        <f>'T_TTAFStock'!G12</f>
        <v/>
      </c>
      <c r="J103">
        <f>'T_TTAFStock'!H12</f>
        <v/>
      </c>
      <c r="K103">
        <f>'T_TTAFStock'!I12</f>
        <v/>
      </c>
      <c r="L103">
        <f>'T_TTAFStock'!J12</f>
        <v/>
      </c>
      <c r="M103">
        <f>'T_TTAFStock'!K12</f>
        <v/>
      </c>
      <c r="N103">
        <f>'T_TTAFStock'!L12</f>
        <v/>
      </c>
      <c r="O103">
        <f>'T_TTAFStock'!M12</f>
        <v/>
      </c>
      <c r="P103">
        <f>'T_TTAFStock'!N12</f>
        <v/>
      </c>
      <c r="Q103">
        <f>'T_TTAFStock'!O12</f>
        <v/>
      </c>
      <c r="R103">
        <f>'T_TTAFStock'!P12</f>
        <v/>
      </c>
      <c r="S103">
        <f>'T_TTAFStock'!Q12</f>
        <v/>
      </c>
      <c r="T103">
        <f>'T_TTAFStock'!R12</f>
        <v/>
      </c>
      <c r="U103">
        <f>'T_TTAFStock'!S12</f>
        <v/>
      </c>
      <c r="V103">
        <f>'T_TTAFStock'!T12</f>
        <v/>
      </c>
      <c r="W103">
        <f>'T_TTAFStock'!U12</f>
        <v/>
      </c>
      <c r="X103">
        <f>'T_TTAFStock'!V12</f>
        <v/>
      </c>
      <c r="Y103">
        <f>'T_TTAFStock'!W12</f>
        <v/>
      </c>
      <c r="Z103">
        <f>'T_TTAFStock'!X12</f>
        <v/>
      </c>
      <c r="AA103">
        <f>'T_TTAFStock'!Y12</f>
        <v/>
      </c>
      <c r="AB103">
        <f>'T_TTAFStock'!Z12</f>
        <v/>
      </c>
      <c r="AC103">
        <f>'T_TTAFStock'!AA12</f>
        <v/>
      </c>
      <c r="AD103">
        <f>'T_TTAFStock'!AB12</f>
        <v/>
      </c>
      <c r="AE103">
        <f>'T_TTAFStock'!AC12</f>
        <v/>
      </c>
      <c r="AF103">
        <f>'T_TTAFStock'!AD12</f>
        <v/>
      </c>
      <c r="AG103">
        <f>'T_TTAFStock'!AE12</f>
        <v/>
      </c>
      <c r="AH103">
        <f>'T_TTAFStock'!AF12</f>
        <v/>
      </c>
      <c r="AI103">
        <f>'T_TTAFStock'!AG12</f>
        <v/>
      </c>
      <c r="AJ103">
        <f>'T_TTAFStock'!AH12</f>
        <v/>
      </c>
      <c r="AK103">
        <f>'T_TTAFStock'!AI12</f>
        <v/>
      </c>
      <c r="AL103">
        <f>'T_TTAFStock'!AJ12</f>
        <v/>
      </c>
      <c r="AM103">
        <f>'T_TTAFStock'!AK12</f>
        <v/>
      </c>
      <c r="AN103">
        <f>'T_TTAFStock'!AL12</f>
        <v/>
      </c>
      <c r="AO103">
        <f>'T_TTAFStock'!AM12</f>
        <v/>
      </c>
      <c r="AP103">
        <f>'T_TTAFStock'!AN12</f>
        <v/>
      </c>
      <c r="AQ103">
        <f>'T_TTAFStock'!AO12</f>
        <v/>
      </c>
      <c r="AR103">
        <f>'T_TTAFStock'!AP12</f>
        <v/>
      </c>
      <c r="AS103">
        <f>'T_TTAFStock'!AQ12</f>
        <v/>
      </c>
      <c r="AT103">
        <f>'T_TTAFStock'!AR12</f>
        <v/>
      </c>
      <c r="AU103">
        <f>'T_TTAFStock'!AS12</f>
        <v/>
      </c>
      <c r="AV103">
        <f>'T_TTAFStock'!AT12</f>
        <v/>
      </c>
      <c r="AW103">
        <f>'T_TTAFStock'!AU12</f>
        <v/>
      </c>
      <c r="AX103">
        <f>'T_TTAFStock'!AV12</f>
        <v/>
      </c>
      <c r="AY103">
        <f>'T_TTAFStock'!AW12</f>
        <v/>
      </c>
      <c r="AZ103">
        <f>'T_TTAFStock'!AX12</f>
        <v/>
      </c>
      <c r="BA103">
        <f>'T_TTAFStock'!AY12</f>
        <v/>
      </c>
      <c r="BB103">
        <f>'T_TTAFStock'!AZ12</f>
        <v/>
      </c>
      <c r="BC103">
        <f>'T_TTAFStock'!BA12</f>
        <v/>
      </c>
      <c r="BD103">
        <f>'T_TTAFStock'!BB12</f>
        <v/>
      </c>
      <c r="BE103">
        <f>'T_TTAFStock'!BC12</f>
        <v/>
      </c>
      <c r="BF103">
        <f>'T_TTAFStock'!BD12</f>
        <v/>
      </c>
      <c r="BG103">
        <f>'T_TTAFStock'!BE12</f>
        <v/>
      </c>
      <c r="BH103">
        <f>'T_TTAFStock'!BF12</f>
        <v/>
      </c>
      <c r="BI103">
        <f>'T_TTAFStock'!BG12</f>
        <v/>
      </c>
      <c r="BJ103">
        <f>'T_TTAFStock'!BH12</f>
        <v/>
      </c>
      <c r="BK103">
        <f>'T_TTAFStock'!BI12</f>
        <v/>
      </c>
      <c r="BL103">
        <f>'T_TTAFStock'!BJ12</f>
        <v/>
      </c>
      <c r="BM103">
        <f>'T_TTAFStock'!BK12</f>
        <v/>
      </c>
      <c r="BN103">
        <f>'T_TTAFStock'!BL12</f>
        <v/>
      </c>
      <c r="BO103">
        <f>'T_TTAFStock'!BM12</f>
        <v/>
      </c>
      <c r="BP103">
        <f>'T_TTAFStock'!BN12</f>
        <v/>
      </c>
      <c r="BQ103">
        <f>'T_TTAFStock'!BO12</f>
        <v/>
      </c>
      <c r="BR103">
        <f>'T_TTAFStock'!BP12</f>
        <v/>
      </c>
      <c r="BS103">
        <f>'T_TTAFStock'!BQ12</f>
        <v/>
      </c>
      <c r="BT103">
        <f>'T_TTAFStock'!BR12</f>
        <v/>
      </c>
      <c r="BU103">
        <f>'T_TTAFStock'!BS12</f>
        <v/>
      </c>
      <c r="BV103">
        <f>'T_TTAFStock'!BT12</f>
        <v/>
      </c>
      <c r="BW103">
        <f>'T_TTAFStock'!BU12</f>
        <v/>
      </c>
      <c r="BX103">
        <f>'T_TTAFStock'!BV12</f>
        <v/>
      </c>
      <c r="BY103">
        <f>'T_TTAFStock'!BW12</f>
        <v/>
      </c>
      <c r="BZ103">
        <f>'T_TTAFStock'!BX12</f>
        <v/>
      </c>
      <c r="CA103">
        <f>'T_TTAFStock'!BY12</f>
        <v/>
      </c>
      <c r="CB103">
        <f>'T_TTAFStock'!BZ12</f>
        <v/>
      </c>
      <c r="CC103">
        <f>'T_TTAFStock'!CA12</f>
        <v/>
      </c>
      <c r="CD103">
        <f>'T_TTAFStock'!CB12</f>
        <v/>
      </c>
      <c r="CE103">
        <f>'T_TTAFStock'!CC12</f>
        <v/>
      </c>
      <c r="CF103">
        <f>'T_TTAFStock'!CD12</f>
        <v/>
      </c>
      <c r="CG103">
        <f>'T_TTAFStock'!CE12</f>
        <v/>
      </c>
      <c r="CH103">
        <f>'T_TTAFStock'!CF12</f>
        <v/>
      </c>
      <c r="CI103">
        <f>'T_TTAFStock'!CG12</f>
        <v/>
      </c>
      <c r="CJ103">
        <f>'T_TTAFStock'!CH12</f>
        <v/>
      </c>
      <c r="CK103">
        <f>'T_TTAFStock'!CI12</f>
        <v/>
      </c>
      <c r="CL103">
        <f>'T_TTAFStock'!CJ12</f>
        <v/>
      </c>
      <c r="CM103">
        <f>'T_TTAFStock'!CK12</f>
        <v/>
      </c>
      <c r="CN103">
        <f>'T_TTAFStock'!CL12</f>
        <v/>
      </c>
      <c r="CO103">
        <f>'T_TTAFStock'!CM12</f>
        <v/>
      </c>
      <c r="CP103">
        <f>'T_TTAFStock'!CN12</f>
        <v/>
      </c>
      <c r="CQ103">
        <f>'T_TTAFStock'!CO12</f>
        <v/>
      </c>
      <c r="CR103">
        <f>'T_TTAFStock'!CP12</f>
        <v/>
      </c>
      <c r="CS103">
        <f>'T_TTAFStock'!CQ12</f>
        <v/>
      </c>
      <c r="CT103">
        <f>'T_TTAFStock'!CR12</f>
        <v/>
      </c>
      <c r="CU103">
        <f>'T_TTAFStock'!CS12</f>
        <v/>
      </c>
      <c r="CV103">
        <f>'T_TTAFStock'!CT12</f>
        <v/>
      </c>
      <c r="CW103">
        <f>'T_TTAFStock'!CU12</f>
        <v/>
      </c>
      <c r="CX103">
        <f>'T_TTAFStock'!CV12</f>
        <v/>
      </c>
      <c r="CY103">
        <f>'T_TTAFStock'!CW12</f>
        <v/>
      </c>
      <c r="CZ103">
        <f>'T_TTAFStock'!CX12</f>
        <v/>
      </c>
      <c r="DA103">
        <f>'T_TTAFStock'!CY12</f>
        <v/>
      </c>
      <c r="DB103">
        <f>'T_TTAFStock'!CZ12</f>
        <v/>
      </c>
      <c r="DC103">
        <f>'T_TTAFStock'!DA12</f>
        <v/>
      </c>
    </row>
    <row r="104">
      <c r="B104" t="inlineStr">
        <is>
          <t>自社在庫(実績,kg)</t>
        </is>
      </c>
      <c r="D104">
        <f>'T_SelfStock'!B12</f>
        <v/>
      </c>
      <c r="E104">
        <f>'T_SelfStock'!C12</f>
        <v/>
      </c>
      <c r="F104">
        <f>'T_SelfStock'!D12</f>
        <v/>
      </c>
      <c r="G104">
        <f>'T_SelfStock'!E12</f>
        <v/>
      </c>
      <c r="H104">
        <f>'T_SelfStock'!F12</f>
        <v/>
      </c>
      <c r="I104">
        <f>'T_SelfStock'!G12</f>
        <v/>
      </c>
      <c r="J104">
        <f>'T_SelfStock'!H12</f>
        <v/>
      </c>
      <c r="K104">
        <f>'T_SelfStock'!I12</f>
        <v/>
      </c>
      <c r="L104">
        <f>'T_SelfStock'!J12</f>
        <v/>
      </c>
      <c r="M104">
        <f>'T_SelfStock'!K12</f>
        <v/>
      </c>
      <c r="N104">
        <f>'T_SelfStock'!L12</f>
        <v/>
      </c>
      <c r="O104">
        <f>'T_SelfStock'!M12</f>
        <v/>
      </c>
      <c r="P104">
        <f>'T_SelfStock'!N12</f>
        <v/>
      </c>
      <c r="Q104">
        <f>'T_SelfStock'!O12</f>
        <v/>
      </c>
      <c r="R104">
        <f>'T_SelfStock'!P12</f>
        <v/>
      </c>
      <c r="S104">
        <f>'T_SelfStock'!Q12</f>
        <v/>
      </c>
      <c r="T104">
        <f>'T_SelfStock'!R12</f>
        <v/>
      </c>
      <c r="U104">
        <f>'T_SelfStock'!S12</f>
        <v/>
      </c>
      <c r="V104">
        <f>'T_SelfStock'!T12</f>
        <v/>
      </c>
      <c r="W104">
        <f>'T_SelfStock'!U12</f>
        <v/>
      </c>
      <c r="X104">
        <f>'T_SelfStock'!V12</f>
        <v/>
      </c>
      <c r="Y104">
        <f>'T_SelfStock'!W12</f>
        <v/>
      </c>
      <c r="Z104">
        <f>'T_SelfStock'!X12</f>
        <v/>
      </c>
      <c r="AA104">
        <f>'T_SelfStock'!Y12</f>
        <v/>
      </c>
      <c r="AB104">
        <f>'T_SelfStock'!Z12</f>
        <v/>
      </c>
      <c r="AC104">
        <f>'T_SelfStock'!AA12</f>
        <v/>
      </c>
      <c r="AD104">
        <f>'T_SelfStock'!AB12</f>
        <v/>
      </c>
      <c r="AE104">
        <f>'T_SelfStock'!AC12</f>
        <v/>
      </c>
      <c r="AF104">
        <f>'T_SelfStock'!AD12</f>
        <v/>
      </c>
      <c r="AG104">
        <f>'T_SelfStock'!AE12</f>
        <v/>
      </c>
      <c r="AH104">
        <f>'T_SelfStock'!AF12</f>
        <v/>
      </c>
      <c r="AI104">
        <f>'T_SelfStock'!AG12</f>
        <v/>
      </c>
      <c r="AJ104">
        <f>'T_SelfStock'!AH12</f>
        <v/>
      </c>
      <c r="AK104">
        <f>'T_SelfStock'!AI12</f>
        <v/>
      </c>
      <c r="AL104">
        <f>'T_SelfStock'!AJ12</f>
        <v/>
      </c>
      <c r="AM104">
        <f>'T_SelfStock'!AK12</f>
        <v/>
      </c>
      <c r="AN104">
        <f>'T_SelfStock'!AL12</f>
        <v/>
      </c>
      <c r="AO104">
        <f>'T_SelfStock'!AM12</f>
        <v/>
      </c>
      <c r="AP104">
        <f>'T_SelfStock'!AN12</f>
        <v/>
      </c>
      <c r="AQ104">
        <f>'T_SelfStock'!AO12</f>
        <v/>
      </c>
      <c r="AR104">
        <f>'T_SelfStock'!AP12</f>
        <v/>
      </c>
      <c r="AS104">
        <f>'T_SelfStock'!AQ12</f>
        <v/>
      </c>
      <c r="AT104">
        <f>'T_SelfStock'!AR12</f>
        <v/>
      </c>
      <c r="AU104">
        <f>'T_SelfStock'!AS12</f>
        <v/>
      </c>
      <c r="AV104">
        <f>'T_SelfStock'!AT12</f>
        <v/>
      </c>
      <c r="AW104">
        <f>'T_SelfStock'!AU12</f>
        <v/>
      </c>
      <c r="AX104">
        <f>'T_SelfStock'!AV12</f>
        <v/>
      </c>
      <c r="AY104">
        <f>'T_SelfStock'!AW12</f>
        <v/>
      </c>
      <c r="AZ104">
        <f>'T_SelfStock'!AX12</f>
        <v/>
      </c>
      <c r="BA104">
        <f>'T_SelfStock'!AY12</f>
        <v/>
      </c>
      <c r="BB104">
        <f>'T_SelfStock'!AZ12</f>
        <v/>
      </c>
      <c r="BC104">
        <f>'T_SelfStock'!BA12</f>
        <v/>
      </c>
      <c r="BD104">
        <f>'T_SelfStock'!BB12</f>
        <v/>
      </c>
      <c r="BE104">
        <f>'T_SelfStock'!BC12</f>
        <v/>
      </c>
      <c r="BF104">
        <f>'T_SelfStock'!BD12</f>
        <v/>
      </c>
      <c r="BG104">
        <f>'T_SelfStock'!BE12</f>
        <v/>
      </c>
      <c r="BH104">
        <f>'T_SelfStock'!BF12</f>
        <v/>
      </c>
      <c r="BI104">
        <f>'T_SelfStock'!BG12</f>
        <v/>
      </c>
      <c r="BJ104">
        <f>'T_SelfStock'!BH12</f>
        <v/>
      </c>
      <c r="BK104">
        <f>'T_SelfStock'!BI12</f>
        <v/>
      </c>
      <c r="BL104">
        <f>'T_SelfStock'!BJ12</f>
        <v/>
      </c>
      <c r="BM104">
        <f>'T_SelfStock'!BK12</f>
        <v/>
      </c>
      <c r="BN104">
        <f>'T_SelfStock'!BL12</f>
        <v/>
      </c>
      <c r="BO104">
        <f>'T_SelfStock'!BM12</f>
        <v/>
      </c>
      <c r="BP104">
        <f>'T_SelfStock'!BN12</f>
        <v/>
      </c>
      <c r="BQ104">
        <f>'T_SelfStock'!BO12</f>
        <v/>
      </c>
      <c r="BR104">
        <f>'T_SelfStock'!BP12</f>
        <v/>
      </c>
      <c r="BS104">
        <f>'T_SelfStock'!BQ12</f>
        <v/>
      </c>
      <c r="BT104">
        <f>'T_SelfStock'!BR12</f>
        <v/>
      </c>
      <c r="BU104">
        <f>'T_SelfStock'!BS12</f>
        <v/>
      </c>
      <c r="BV104">
        <f>'T_SelfStock'!BT12</f>
        <v/>
      </c>
      <c r="BW104">
        <f>'T_SelfStock'!BU12</f>
        <v/>
      </c>
      <c r="BX104">
        <f>'T_SelfStock'!BV12</f>
        <v/>
      </c>
      <c r="BY104">
        <f>'T_SelfStock'!BW12</f>
        <v/>
      </c>
      <c r="BZ104">
        <f>'T_SelfStock'!BX12</f>
        <v/>
      </c>
      <c r="CA104">
        <f>'T_SelfStock'!BY12</f>
        <v/>
      </c>
      <c r="CB104">
        <f>'T_SelfStock'!BZ12</f>
        <v/>
      </c>
      <c r="CC104">
        <f>'T_SelfStock'!CA12</f>
        <v/>
      </c>
      <c r="CD104">
        <f>'T_SelfStock'!CB12</f>
        <v/>
      </c>
      <c r="CE104">
        <f>'T_SelfStock'!CC12</f>
        <v/>
      </c>
      <c r="CF104">
        <f>'T_SelfStock'!CD12</f>
        <v/>
      </c>
      <c r="CG104">
        <f>'T_SelfStock'!CE12</f>
        <v/>
      </c>
      <c r="CH104">
        <f>'T_SelfStock'!CF12</f>
        <v/>
      </c>
      <c r="CI104">
        <f>'T_SelfStock'!CG12</f>
        <v/>
      </c>
      <c r="CJ104">
        <f>'T_SelfStock'!CH12</f>
        <v/>
      </c>
      <c r="CK104">
        <f>'T_SelfStock'!CI12</f>
        <v/>
      </c>
      <c r="CL104">
        <f>'T_SelfStock'!CJ12</f>
        <v/>
      </c>
      <c r="CM104">
        <f>'T_SelfStock'!CK12</f>
        <v/>
      </c>
      <c r="CN104">
        <f>'T_SelfStock'!CL12</f>
        <v/>
      </c>
      <c r="CO104">
        <f>'T_SelfStock'!CM12</f>
        <v/>
      </c>
      <c r="CP104">
        <f>'T_SelfStock'!CN12</f>
        <v/>
      </c>
      <c r="CQ104">
        <f>'T_SelfStock'!CO12</f>
        <v/>
      </c>
      <c r="CR104">
        <f>'T_SelfStock'!CP12</f>
        <v/>
      </c>
      <c r="CS104">
        <f>'T_SelfStock'!CQ12</f>
        <v/>
      </c>
      <c r="CT104">
        <f>'T_SelfStock'!CR12</f>
        <v/>
      </c>
      <c r="CU104">
        <f>'T_SelfStock'!CS12</f>
        <v/>
      </c>
      <c r="CV104">
        <f>'T_SelfStock'!CT12</f>
        <v/>
      </c>
      <c r="CW104">
        <f>'T_SelfStock'!CU12</f>
        <v/>
      </c>
      <c r="CX104">
        <f>'T_SelfStock'!CV12</f>
        <v/>
      </c>
      <c r="CY104">
        <f>'T_SelfStock'!CW12</f>
        <v/>
      </c>
      <c r="CZ104">
        <f>'T_SelfStock'!CX12</f>
        <v/>
      </c>
      <c r="DA104">
        <f>'T_SelfStock'!CY12</f>
        <v/>
      </c>
      <c r="DB104">
        <f>'T_SelfStock'!CZ12</f>
        <v/>
      </c>
      <c r="DC104">
        <f>'T_SelfStock'!DA12</f>
        <v/>
      </c>
    </row>
    <row r="105">
      <c r="B105" t="inlineStr">
        <is>
          <t>Order(発注予定,kg)</t>
        </is>
      </c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  <c r="AL105" s="23" t="n"/>
      <c r="AM105" s="23" t="n"/>
      <c r="AN105" s="23" t="n"/>
      <c r="AO105" s="23" t="n"/>
      <c r="AP105" s="23" t="n"/>
      <c r="AQ105" s="23" t="n"/>
      <c r="AR105" s="23" t="n"/>
      <c r="AS105" s="23" t="n"/>
      <c r="AT105" s="23" t="n"/>
      <c r="AU105" s="23" t="n"/>
      <c r="AV105" s="23" t="n"/>
      <c r="AW105" s="23" t="n"/>
      <c r="AX105" s="23" t="n"/>
      <c r="AY105" s="23" t="n"/>
      <c r="AZ105" s="23" t="n"/>
      <c r="BA105" s="23" t="n"/>
      <c r="BB105" s="23" t="n"/>
      <c r="BC105" s="23" t="n"/>
      <c r="BD105" s="23" t="n"/>
      <c r="BE105" s="23" t="n"/>
      <c r="BF105" s="23" t="n"/>
      <c r="BG105" s="23" t="n"/>
      <c r="BH105" s="23" t="n"/>
      <c r="BI105" s="23" t="n"/>
      <c r="BJ105" s="23" t="n"/>
      <c r="BK105" s="23" t="n"/>
      <c r="BL105" s="23" t="n"/>
      <c r="BM105" s="23" t="n"/>
      <c r="BN105" s="23" t="n"/>
      <c r="BO105" s="23" t="n"/>
      <c r="BP105" s="23" t="n"/>
      <c r="BQ105" s="23" t="n"/>
      <c r="BR105" s="23" t="n"/>
      <c r="BS105" s="23" t="n"/>
      <c r="BT105" s="23" t="n"/>
      <c r="BU105" s="23" t="n"/>
      <c r="BV105" s="23" t="n"/>
      <c r="BW105" s="23" t="n"/>
      <c r="BX105" s="23" t="n"/>
      <c r="BY105" s="23" t="n"/>
      <c r="BZ105" s="23" t="n"/>
      <c r="CA105" s="23" t="n"/>
      <c r="CB105" s="23" t="n"/>
      <c r="CC105" s="23" t="n"/>
      <c r="CD105" s="23" t="n"/>
      <c r="CE105" s="23" t="n"/>
      <c r="CF105" s="23" t="n"/>
      <c r="CG105" s="23" t="n"/>
      <c r="CH105" s="23" t="n"/>
      <c r="CI105" s="23" t="n"/>
      <c r="CJ105" s="23" t="n"/>
      <c r="CK105" s="23" t="n"/>
      <c r="CL105" s="23" t="n"/>
      <c r="CM105" s="23" t="n"/>
      <c r="CN105" s="23" t="n"/>
      <c r="CO105" s="23" t="n"/>
      <c r="CP105" s="23" t="n"/>
      <c r="CQ105" s="23" t="n"/>
      <c r="CR105" s="23" t="n"/>
      <c r="CS105" s="23" t="n"/>
      <c r="CT105" s="23" t="n"/>
      <c r="CU105" s="23" t="n"/>
      <c r="CV105" s="23" t="n"/>
      <c r="CW105" s="23" t="n"/>
      <c r="CX105" s="23" t="n"/>
      <c r="CY105" s="23" t="n"/>
      <c r="CZ105" s="23" t="n"/>
      <c r="DA105" s="23" t="n"/>
      <c r="DB105" s="23" t="n"/>
      <c r="DC105" s="23" t="n"/>
      <c r="DE105" s="12" t="inlineStr">
        <is>
          <t>TDJ</t>
        </is>
      </c>
    </row>
    <row r="106">
      <c r="B106" s="24" t="inlineStr">
        <is>
          <t>PO_No</t>
        </is>
      </c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  <c r="AD106" s="25" t="n"/>
      <c r="AE106" s="25" t="n"/>
      <c r="AF106" s="25" t="n"/>
      <c r="AG106" s="25" t="n"/>
      <c r="AH106" s="25" t="n"/>
      <c r="AI106" s="25" t="n"/>
      <c r="AJ106" s="25" t="n"/>
      <c r="AK106" s="25" t="n"/>
      <c r="AL106" s="25" t="n"/>
      <c r="AM106" s="25" t="n"/>
      <c r="AN106" s="25" t="n"/>
      <c r="AO106" s="25" t="n"/>
      <c r="AP106" s="25" t="n"/>
      <c r="AQ106" s="25" t="n"/>
      <c r="AR106" s="25" t="n"/>
      <c r="AS106" s="25" t="n"/>
      <c r="AT106" s="25" t="n"/>
      <c r="AU106" s="25" t="n"/>
      <c r="AV106" s="25" t="n"/>
      <c r="AW106" s="25" t="n"/>
      <c r="AX106" s="25" t="n"/>
      <c r="AY106" s="25" t="n"/>
      <c r="AZ106" s="25" t="n"/>
      <c r="BA106" s="25" t="n"/>
      <c r="BB106" s="25" t="n"/>
      <c r="BC106" s="25" t="n"/>
      <c r="BD106" s="25" t="n"/>
      <c r="BE106" s="25" t="n"/>
      <c r="BF106" s="25" t="n"/>
      <c r="BG106" s="25" t="n"/>
      <c r="BH106" s="25" t="n"/>
      <c r="BI106" s="25" t="n"/>
      <c r="BJ106" s="25" t="n"/>
      <c r="BK106" s="25" t="n"/>
      <c r="BL106" s="25" t="n"/>
      <c r="BM106" s="25" t="n"/>
      <c r="BN106" s="25" t="n"/>
      <c r="BO106" s="25" t="n"/>
      <c r="BP106" s="25" t="n"/>
      <c r="BQ106" s="25" t="n"/>
      <c r="BR106" s="25" t="n"/>
      <c r="BS106" s="25" t="n"/>
      <c r="BT106" s="25" t="n"/>
      <c r="BU106" s="25" t="n"/>
      <c r="BV106" s="25" t="n"/>
      <c r="BW106" s="25" t="n"/>
      <c r="BX106" s="25" t="n"/>
      <c r="BY106" s="25" t="n"/>
      <c r="BZ106" s="25" t="n"/>
      <c r="CA106" s="25" t="n"/>
      <c r="CB106" s="25" t="n"/>
      <c r="CC106" s="25" t="n"/>
      <c r="CD106" s="25" t="n"/>
      <c r="CE106" s="25" t="n"/>
      <c r="CF106" s="25" t="n"/>
      <c r="CG106" s="25" t="n"/>
      <c r="CH106" s="25" t="n"/>
      <c r="CI106" s="25" t="n"/>
      <c r="CJ106" s="25" t="n"/>
      <c r="CK106" s="25" t="n"/>
      <c r="CL106" s="25" t="n"/>
      <c r="CM106" s="25" t="n"/>
      <c r="CN106" s="25" t="n"/>
      <c r="CO106" s="25" t="n"/>
      <c r="CP106" s="25" t="n"/>
      <c r="CQ106" s="25" t="n"/>
      <c r="CR106" s="25" t="n"/>
      <c r="CS106" s="25" t="n"/>
      <c r="CT106" s="25" t="n"/>
      <c r="CU106" s="25" t="n"/>
      <c r="CV106" s="25" t="n"/>
      <c r="CW106" s="25" t="n"/>
      <c r="CX106" s="25" t="n"/>
      <c r="CY106" s="25" t="n"/>
      <c r="CZ106" s="25" t="n"/>
      <c r="DA106" s="25" t="n"/>
      <c r="DB106" s="25" t="n"/>
      <c r="DC106" s="25" t="n"/>
    </row>
    <row r="107">
      <c r="B107" s="5" t="inlineStr">
        <is>
          <t>合計在庫(週末時点,kg)</t>
        </is>
      </c>
      <c r="D107">
        <f>'Grid_Stock'!B8</f>
        <v/>
      </c>
      <c r="E107">
        <f>'Grid_Stock'!C8</f>
        <v/>
      </c>
      <c r="F107">
        <f>'Grid_Stock'!D8</f>
        <v/>
      </c>
      <c r="G107">
        <f>'Grid_Stock'!E8</f>
        <v/>
      </c>
      <c r="H107">
        <f>'Grid_Stock'!F8</f>
        <v/>
      </c>
      <c r="I107">
        <f>'Grid_Stock'!G8</f>
        <v/>
      </c>
      <c r="J107">
        <f>'Grid_Stock'!H8</f>
        <v/>
      </c>
      <c r="K107">
        <f>'Grid_Stock'!I8</f>
        <v/>
      </c>
      <c r="L107">
        <f>'Grid_Stock'!J8</f>
        <v/>
      </c>
      <c r="M107">
        <f>'Grid_Stock'!K8</f>
        <v/>
      </c>
      <c r="N107">
        <f>'Grid_Stock'!L8</f>
        <v/>
      </c>
      <c r="O107">
        <f>'Grid_Stock'!M8</f>
        <v/>
      </c>
      <c r="P107">
        <f>'Grid_Stock'!N8</f>
        <v/>
      </c>
      <c r="Q107">
        <f>'Grid_Stock'!O8</f>
        <v/>
      </c>
      <c r="R107">
        <f>'Grid_Stock'!P8</f>
        <v/>
      </c>
      <c r="S107">
        <f>'Grid_Stock'!Q8</f>
        <v/>
      </c>
      <c r="T107">
        <f>'Grid_Stock'!R8</f>
        <v/>
      </c>
      <c r="U107">
        <f>'Grid_Stock'!S8</f>
        <v/>
      </c>
      <c r="V107">
        <f>'Grid_Stock'!T8</f>
        <v/>
      </c>
      <c r="W107">
        <f>'Grid_Stock'!U8</f>
        <v/>
      </c>
      <c r="X107">
        <f>'Grid_Stock'!V8</f>
        <v/>
      </c>
      <c r="Y107">
        <f>'Grid_Stock'!W8</f>
        <v/>
      </c>
      <c r="Z107">
        <f>'Grid_Stock'!X8</f>
        <v/>
      </c>
      <c r="AA107">
        <f>'Grid_Stock'!Y8</f>
        <v/>
      </c>
      <c r="AB107">
        <f>'Grid_Stock'!Z8</f>
        <v/>
      </c>
      <c r="AC107">
        <f>'Grid_Stock'!AA8</f>
        <v/>
      </c>
      <c r="AD107">
        <f>'Grid_Stock'!AB8</f>
        <v/>
      </c>
      <c r="AE107">
        <f>'Grid_Stock'!AC8</f>
        <v/>
      </c>
      <c r="AF107">
        <f>'Grid_Stock'!AD8</f>
        <v/>
      </c>
      <c r="AG107">
        <f>'Grid_Stock'!AE8</f>
        <v/>
      </c>
      <c r="AH107">
        <f>'Grid_Stock'!AF8</f>
        <v/>
      </c>
      <c r="AI107">
        <f>'Grid_Stock'!AG8</f>
        <v/>
      </c>
      <c r="AJ107">
        <f>'Grid_Stock'!AH8</f>
        <v/>
      </c>
      <c r="AK107">
        <f>'Grid_Stock'!AI8</f>
        <v/>
      </c>
      <c r="AL107">
        <f>'Grid_Stock'!AJ8</f>
        <v/>
      </c>
      <c r="AM107">
        <f>'Grid_Stock'!AK8</f>
        <v/>
      </c>
      <c r="AN107">
        <f>'Grid_Stock'!AL8</f>
        <v/>
      </c>
      <c r="AO107">
        <f>'Grid_Stock'!AM8</f>
        <v/>
      </c>
      <c r="AP107">
        <f>'Grid_Stock'!AN8</f>
        <v/>
      </c>
      <c r="AQ107">
        <f>'Grid_Stock'!AO8</f>
        <v/>
      </c>
      <c r="AR107">
        <f>'Grid_Stock'!AP8</f>
        <v/>
      </c>
      <c r="AS107">
        <f>'Grid_Stock'!AQ8</f>
        <v/>
      </c>
      <c r="AT107">
        <f>'Grid_Stock'!AR8</f>
        <v/>
      </c>
      <c r="AU107">
        <f>'Grid_Stock'!AS8</f>
        <v/>
      </c>
      <c r="AV107">
        <f>'Grid_Stock'!AT8</f>
        <v/>
      </c>
      <c r="AW107">
        <f>'Grid_Stock'!AU8</f>
        <v/>
      </c>
      <c r="AX107">
        <f>'Grid_Stock'!AV8</f>
        <v/>
      </c>
      <c r="AY107">
        <f>'Grid_Stock'!AW8</f>
        <v/>
      </c>
      <c r="AZ107">
        <f>'Grid_Stock'!AX8</f>
        <v/>
      </c>
      <c r="BA107">
        <f>'Grid_Stock'!AY8</f>
        <v/>
      </c>
      <c r="BB107">
        <f>'Grid_Stock'!AZ8</f>
        <v/>
      </c>
      <c r="BC107">
        <f>'Grid_Stock'!BA8</f>
        <v/>
      </c>
      <c r="BD107">
        <f>'Grid_Stock'!BB8</f>
        <v/>
      </c>
      <c r="BE107">
        <f>'Grid_Stock'!BC8</f>
        <v/>
      </c>
      <c r="BF107">
        <f>'Grid_Stock'!BD8</f>
        <v/>
      </c>
      <c r="BG107">
        <f>'Grid_Stock'!BE8</f>
        <v/>
      </c>
      <c r="BH107">
        <f>'Grid_Stock'!BF8</f>
        <v/>
      </c>
      <c r="BI107">
        <f>'Grid_Stock'!BG8</f>
        <v/>
      </c>
      <c r="BJ107">
        <f>'Grid_Stock'!BH8</f>
        <v/>
      </c>
      <c r="BK107">
        <f>'Grid_Stock'!BI8</f>
        <v/>
      </c>
      <c r="BL107">
        <f>'Grid_Stock'!BJ8</f>
        <v/>
      </c>
      <c r="BM107">
        <f>'Grid_Stock'!BK8</f>
        <v/>
      </c>
      <c r="BN107">
        <f>'Grid_Stock'!BL8</f>
        <v/>
      </c>
      <c r="BO107">
        <f>'Grid_Stock'!BM8</f>
        <v/>
      </c>
      <c r="BP107">
        <f>'Grid_Stock'!BN8</f>
        <v/>
      </c>
      <c r="BQ107">
        <f>'Grid_Stock'!BO8</f>
        <v/>
      </c>
      <c r="BR107">
        <f>'Grid_Stock'!BP8</f>
        <v/>
      </c>
      <c r="BS107">
        <f>'Grid_Stock'!BQ8</f>
        <v/>
      </c>
      <c r="BT107">
        <f>'Grid_Stock'!BR8</f>
        <v/>
      </c>
      <c r="BU107">
        <f>'Grid_Stock'!BS8</f>
        <v/>
      </c>
      <c r="BV107">
        <f>'Grid_Stock'!BT8</f>
        <v/>
      </c>
      <c r="BW107">
        <f>'Grid_Stock'!BU8</f>
        <v/>
      </c>
      <c r="BX107">
        <f>'Grid_Stock'!BV8</f>
        <v/>
      </c>
      <c r="BY107">
        <f>'Grid_Stock'!BW8</f>
        <v/>
      </c>
      <c r="BZ107">
        <f>'Grid_Stock'!BX8</f>
        <v/>
      </c>
      <c r="CA107">
        <f>'Grid_Stock'!BY8</f>
        <v/>
      </c>
      <c r="CB107">
        <f>'Grid_Stock'!BZ8</f>
        <v/>
      </c>
      <c r="CC107">
        <f>'Grid_Stock'!CA8</f>
        <v/>
      </c>
      <c r="CD107">
        <f>'Grid_Stock'!CB8</f>
        <v/>
      </c>
      <c r="CE107">
        <f>'Grid_Stock'!CC8</f>
        <v/>
      </c>
      <c r="CF107">
        <f>'Grid_Stock'!CD8</f>
        <v/>
      </c>
      <c r="CG107">
        <f>'Grid_Stock'!CE8</f>
        <v/>
      </c>
      <c r="CH107">
        <f>'Grid_Stock'!CF8</f>
        <v/>
      </c>
      <c r="CI107">
        <f>'Grid_Stock'!CG8</f>
        <v/>
      </c>
      <c r="CJ107">
        <f>'Grid_Stock'!CH8</f>
        <v/>
      </c>
      <c r="CK107">
        <f>'Grid_Stock'!CI8</f>
        <v/>
      </c>
      <c r="CL107">
        <f>'Grid_Stock'!CJ8</f>
        <v/>
      </c>
      <c r="CM107">
        <f>'Grid_Stock'!CK8</f>
        <v/>
      </c>
      <c r="CN107">
        <f>'Grid_Stock'!CL8</f>
        <v/>
      </c>
      <c r="CO107">
        <f>'Grid_Stock'!CM8</f>
        <v/>
      </c>
      <c r="CP107">
        <f>'Grid_Stock'!CN8</f>
        <v/>
      </c>
      <c r="CQ107">
        <f>'Grid_Stock'!CO8</f>
        <v/>
      </c>
      <c r="CR107">
        <f>'Grid_Stock'!CP8</f>
        <v/>
      </c>
      <c r="CS107">
        <f>'Grid_Stock'!CQ8</f>
        <v/>
      </c>
      <c r="CT107">
        <f>'Grid_Stock'!CR8</f>
        <v/>
      </c>
      <c r="CU107">
        <f>'Grid_Stock'!CS8</f>
        <v/>
      </c>
      <c r="CV107">
        <f>'Grid_Stock'!CT8</f>
        <v/>
      </c>
      <c r="CW107">
        <f>'Grid_Stock'!CU8</f>
        <v/>
      </c>
      <c r="CX107">
        <f>'Grid_Stock'!CV8</f>
        <v/>
      </c>
      <c r="CY107">
        <f>'Grid_Stock'!CW8</f>
        <v/>
      </c>
      <c r="CZ107">
        <f>'Grid_Stock'!CX8</f>
        <v/>
      </c>
      <c r="DA107">
        <f>'Grid_Stock'!CY8</f>
        <v/>
      </c>
      <c r="DB107">
        <f>'Grid_Stock'!CZ8</f>
        <v/>
      </c>
      <c r="DC107">
        <f>'Grid_Stock'!DA8</f>
        <v/>
      </c>
    </row>
    <row r="108">
      <c r="B108" s="26" t="inlineStr">
        <is>
          <t>（発注の目安はDashboardの基準在庫[下限/上限]と色分けを参照）</t>
        </is>
      </c>
    </row>
    <row r="110">
      <c r="A110" s="21" t="inlineStr">
        <is>
          <t>3TP</t>
        </is>
      </c>
      <c r="B110" s="21" t="inlineStr">
        <is>
          <t>Substrate TTAF WF7</t>
        </is>
      </c>
      <c r="C110" s="22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  <c r="AO110" s="21" t="n"/>
      <c r="AP110" s="21" t="n"/>
      <c r="AQ110" s="21" t="n"/>
      <c r="AR110" s="21" t="n"/>
      <c r="AS110" s="21" t="n"/>
      <c r="AT110" s="21" t="n"/>
      <c r="AU110" s="21" t="n"/>
      <c r="AV110" s="21" t="n"/>
      <c r="AW110" s="21" t="n"/>
      <c r="AX110" s="21" t="n"/>
      <c r="AY110" s="21" t="n"/>
      <c r="AZ110" s="21" t="n"/>
      <c r="BA110" s="21" t="n"/>
      <c r="BB110" s="21" t="n"/>
      <c r="BC110" s="21" t="n"/>
      <c r="BD110" s="21" t="n"/>
      <c r="BE110" s="21" t="n"/>
      <c r="BF110" s="21" t="n"/>
      <c r="BG110" s="21" t="n"/>
      <c r="BH110" s="21" t="n"/>
      <c r="BI110" s="21" t="n"/>
      <c r="BJ110" s="21" t="n"/>
      <c r="BK110" s="21" t="n"/>
      <c r="BL110" s="21" t="n"/>
      <c r="BM110" s="21" t="n"/>
      <c r="BN110" s="21" t="n"/>
      <c r="BO110" s="21" t="n"/>
      <c r="BP110" s="21" t="n"/>
      <c r="BQ110" s="21" t="n"/>
      <c r="BR110" s="21" t="n"/>
      <c r="BS110" s="21" t="n"/>
      <c r="BT110" s="21" t="n"/>
      <c r="BU110" s="21" t="n"/>
      <c r="BV110" s="21" t="n"/>
      <c r="BW110" s="21" t="n"/>
      <c r="BX110" s="21" t="n"/>
      <c r="BY110" s="21" t="n"/>
      <c r="BZ110" s="21" t="n"/>
      <c r="CA110" s="21" t="n"/>
      <c r="CB110" s="21" t="n"/>
      <c r="CC110" s="21" t="n"/>
      <c r="CD110" s="21" t="n"/>
      <c r="CE110" s="21" t="n"/>
      <c r="CF110" s="21" t="n"/>
      <c r="CG110" s="21" t="n"/>
      <c r="CH110" s="21" t="n"/>
      <c r="CI110" s="21" t="n"/>
      <c r="CJ110" s="21" t="n"/>
      <c r="CK110" s="21" t="n"/>
      <c r="CL110" s="21" t="n"/>
      <c r="CM110" s="21" t="n"/>
      <c r="CN110" s="21" t="n"/>
      <c r="CO110" s="21" t="n"/>
      <c r="CP110" s="21" t="n"/>
      <c r="CQ110" s="21" t="n"/>
      <c r="CR110" s="21" t="n"/>
      <c r="CS110" s="21" t="n"/>
      <c r="CT110" s="21" t="n"/>
      <c r="CU110" s="21" t="n"/>
      <c r="CV110" s="21" t="n"/>
      <c r="CW110" s="21" t="n"/>
      <c r="CX110" s="21" t="n"/>
      <c r="CY110" s="21" t="n"/>
      <c r="CZ110" s="21" t="n"/>
      <c r="DA110" s="21" t="n"/>
      <c r="DB110" s="21" t="n"/>
      <c r="DC110" s="21" t="n"/>
    </row>
    <row r="111">
      <c r="B111" t="inlineStr">
        <is>
          <t>F2290</t>
        </is>
      </c>
      <c r="C111" t="inlineStr">
        <is>
          <t>No. of batches</t>
        </is>
      </c>
      <c r="D111">
        <f>IFERROR(INDEX(PP_Grid[#Data],$DD111,2),0)</f>
        <v/>
      </c>
      <c r="E111">
        <f>IFERROR(INDEX(PP_Grid[#Data],$DD111,3),0)</f>
        <v/>
      </c>
      <c r="F111">
        <f>IFERROR(INDEX(PP_Grid[#Data],$DD111,4),0)</f>
        <v/>
      </c>
      <c r="G111">
        <f>IFERROR(INDEX(PP_Grid[#Data],$DD111,5),0)</f>
        <v/>
      </c>
      <c r="H111">
        <f>IFERROR(INDEX(PP_Grid[#Data],$DD111,6),0)</f>
        <v/>
      </c>
      <c r="I111">
        <f>IFERROR(INDEX(PP_Grid[#Data],$DD111,7),0)</f>
        <v/>
      </c>
      <c r="J111">
        <f>IFERROR(INDEX(PP_Grid[#Data],$DD111,8),0)</f>
        <v/>
      </c>
      <c r="K111">
        <f>IFERROR(INDEX(PP_Grid[#Data],$DD111,9),0)</f>
        <v/>
      </c>
      <c r="L111">
        <f>IFERROR(INDEX(PP_Grid[#Data],$DD111,10),0)</f>
        <v/>
      </c>
      <c r="M111">
        <f>IFERROR(INDEX(PP_Grid[#Data],$DD111,11),0)</f>
        <v/>
      </c>
      <c r="N111">
        <f>IFERROR(INDEX(PP_Grid[#Data],$DD111,12),0)</f>
        <v/>
      </c>
      <c r="O111">
        <f>IFERROR(INDEX(PP_Grid[#Data],$DD111,13),0)</f>
        <v/>
      </c>
      <c r="P111">
        <f>IFERROR(INDEX(PP_Grid[#Data],$DD111,14),0)</f>
        <v/>
      </c>
      <c r="Q111">
        <f>IFERROR(INDEX(PP_Grid[#Data],$DD111,15),0)</f>
        <v/>
      </c>
      <c r="R111">
        <f>IFERROR(INDEX(PP_Grid[#Data],$DD111,16),0)</f>
        <v/>
      </c>
      <c r="S111">
        <f>IFERROR(INDEX(PP_Grid[#Data],$DD111,17),0)</f>
        <v/>
      </c>
      <c r="T111">
        <f>IFERROR(INDEX(PP_Grid[#Data],$DD111,18),0)</f>
        <v/>
      </c>
      <c r="U111">
        <f>IFERROR(INDEX(PP_Grid[#Data],$DD111,19),0)</f>
        <v/>
      </c>
      <c r="V111">
        <f>IFERROR(INDEX(PP_Grid[#Data],$DD111,20),0)</f>
        <v/>
      </c>
      <c r="W111">
        <f>IFERROR(INDEX(PP_Grid[#Data],$DD111,21),0)</f>
        <v/>
      </c>
      <c r="X111">
        <f>IFERROR(INDEX(PP_Grid[#Data],$DD111,22),0)</f>
        <v/>
      </c>
      <c r="Y111">
        <f>IFERROR(INDEX(PP_Grid[#Data],$DD111,23),0)</f>
        <v/>
      </c>
      <c r="Z111">
        <f>IFERROR(INDEX(PP_Grid[#Data],$DD111,24),0)</f>
        <v/>
      </c>
      <c r="AA111">
        <f>IFERROR(INDEX(PP_Grid[#Data],$DD111,25),0)</f>
        <v/>
      </c>
      <c r="AB111">
        <f>IFERROR(INDEX(PP_Grid[#Data],$DD111,26),0)</f>
        <v/>
      </c>
      <c r="AC111">
        <f>IFERROR(INDEX(PP_Grid[#Data],$DD111,27),0)</f>
        <v/>
      </c>
      <c r="AD111">
        <f>IFERROR(INDEX(PP_Grid[#Data],$DD111,28),0)</f>
        <v/>
      </c>
      <c r="AE111">
        <f>IFERROR(INDEX(PP_Grid[#Data],$DD111,29),0)</f>
        <v/>
      </c>
      <c r="AF111">
        <f>IFERROR(INDEX(PP_Grid[#Data],$DD111,30),0)</f>
        <v/>
      </c>
      <c r="AG111">
        <f>IFERROR(INDEX(PP_Grid[#Data],$DD111,31),0)</f>
        <v/>
      </c>
      <c r="AH111">
        <f>IFERROR(INDEX(PP_Grid[#Data],$DD111,32),0)</f>
        <v/>
      </c>
      <c r="AI111">
        <f>IFERROR(INDEX(PP_Grid[#Data],$DD111,33),0)</f>
        <v/>
      </c>
      <c r="AJ111">
        <f>IFERROR(INDEX(PP_Grid[#Data],$DD111,34),0)</f>
        <v/>
      </c>
      <c r="AK111">
        <f>IFERROR(INDEX(PP_Grid[#Data],$DD111,35),0)</f>
        <v/>
      </c>
      <c r="AL111">
        <f>IFERROR(INDEX(PP_Grid[#Data],$DD111,36),0)</f>
        <v/>
      </c>
      <c r="AM111">
        <f>IFERROR(INDEX(PP_Grid[#Data],$DD111,37),0)</f>
        <v/>
      </c>
      <c r="AN111">
        <f>IFERROR(INDEX(PP_Grid[#Data],$DD111,38),0)</f>
        <v/>
      </c>
      <c r="AO111">
        <f>IFERROR(INDEX(PP_Grid[#Data],$DD111,39),0)</f>
        <v/>
      </c>
      <c r="AP111">
        <f>IFERROR(INDEX(PP_Grid[#Data],$DD111,40),0)</f>
        <v/>
      </c>
      <c r="AQ111">
        <f>IFERROR(INDEX(PP_Grid[#Data],$DD111,41),0)</f>
        <v/>
      </c>
      <c r="AR111">
        <f>IFERROR(INDEX(PP_Grid[#Data],$DD111,42),0)</f>
        <v/>
      </c>
      <c r="AS111">
        <f>IFERROR(INDEX(PP_Grid[#Data],$DD111,43),0)</f>
        <v/>
      </c>
      <c r="AT111">
        <f>IFERROR(INDEX(PP_Grid[#Data],$DD111,44),0)</f>
        <v/>
      </c>
      <c r="AU111">
        <f>IFERROR(INDEX(PP_Grid[#Data],$DD111,45),0)</f>
        <v/>
      </c>
      <c r="AV111">
        <f>IFERROR(INDEX(PP_Grid[#Data],$DD111,46),0)</f>
        <v/>
      </c>
      <c r="AW111">
        <f>IFERROR(INDEX(PP_Grid[#Data],$DD111,47),0)</f>
        <v/>
      </c>
      <c r="AX111">
        <f>IFERROR(INDEX(PP_Grid[#Data],$DD111,48),0)</f>
        <v/>
      </c>
      <c r="AY111">
        <f>IFERROR(INDEX(PP_Grid[#Data],$DD111,49),0)</f>
        <v/>
      </c>
      <c r="AZ111">
        <f>IFERROR(INDEX(PP_Grid[#Data],$DD111,50),0)</f>
        <v/>
      </c>
      <c r="BA111">
        <f>IFERROR(INDEX(PP_Grid[#Data],$DD111,51),0)</f>
        <v/>
      </c>
      <c r="BB111">
        <f>IFERROR(INDEX(PP_Grid[#Data],$DD111,52),0)</f>
        <v/>
      </c>
      <c r="BC111">
        <f>IFERROR(INDEX(PP_Grid[#Data],$DD111,53),0)</f>
        <v/>
      </c>
      <c r="BD111">
        <f>IFERROR(INDEX(PP_Grid[#Data],$DD111,54),0)</f>
        <v/>
      </c>
      <c r="BE111">
        <f>IFERROR(INDEX(PP_Grid[#Data],$DD111,55),0)</f>
        <v/>
      </c>
      <c r="BF111">
        <f>IFERROR(INDEX(PP_Grid[#Data],$DD111,56),0)</f>
        <v/>
      </c>
      <c r="BG111">
        <f>IFERROR(INDEX(PP_Grid[#Data],$DD111,57),0)</f>
        <v/>
      </c>
      <c r="BH111">
        <f>IFERROR(INDEX(PP_Grid[#Data],$DD111,58),0)</f>
        <v/>
      </c>
      <c r="BI111">
        <f>IFERROR(INDEX(PP_Grid[#Data],$DD111,59),0)</f>
        <v/>
      </c>
      <c r="BJ111">
        <f>IFERROR(INDEX(PP_Grid[#Data],$DD111,60),0)</f>
        <v/>
      </c>
      <c r="BK111">
        <f>IFERROR(INDEX(PP_Grid[#Data],$DD111,61),0)</f>
        <v/>
      </c>
      <c r="BL111">
        <f>IFERROR(INDEX(PP_Grid[#Data],$DD111,62),0)</f>
        <v/>
      </c>
      <c r="BM111">
        <f>IFERROR(INDEX(PP_Grid[#Data],$DD111,63),0)</f>
        <v/>
      </c>
      <c r="BN111">
        <f>IFERROR(INDEX(PP_Grid[#Data],$DD111,64),0)</f>
        <v/>
      </c>
      <c r="BO111">
        <f>IFERROR(INDEX(PP_Grid[#Data],$DD111,65),0)</f>
        <v/>
      </c>
      <c r="BP111">
        <f>IFERROR(INDEX(PP_Grid[#Data],$DD111,66),0)</f>
        <v/>
      </c>
      <c r="BQ111">
        <f>IFERROR(INDEX(PP_Grid[#Data],$DD111,67),0)</f>
        <v/>
      </c>
      <c r="BR111">
        <f>IFERROR(INDEX(PP_Grid[#Data],$DD111,68),0)</f>
        <v/>
      </c>
      <c r="BS111">
        <f>IFERROR(INDEX(PP_Grid[#Data],$DD111,69),0)</f>
        <v/>
      </c>
      <c r="BT111">
        <f>IFERROR(INDEX(PP_Grid[#Data],$DD111,70),0)</f>
        <v/>
      </c>
      <c r="BU111">
        <f>IFERROR(INDEX(PP_Grid[#Data],$DD111,71),0)</f>
        <v/>
      </c>
      <c r="BV111">
        <f>IFERROR(INDEX(PP_Grid[#Data],$DD111,72),0)</f>
        <v/>
      </c>
      <c r="BW111">
        <f>IFERROR(INDEX(PP_Grid[#Data],$DD111,73),0)</f>
        <v/>
      </c>
      <c r="BX111">
        <f>IFERROR(INDEX(PP_Grid[#Data],$DD111,74),0)</f>
        <v/>
      </c>
      <c r="BY111">
        <f>IFERROR(INDEX(PP_Grid[#Data],$DD111,75),0)</f>
        <v/>
      </c>
      <c r="BZ111">
        <f>IFERROR(INDEX(PP_Grid[#Data],$DD111,76),0)</f>
        <v/>
      </c>
      <c r="CA111">
        <f>IFERROR(INDEX(PP_Grid[#Data],$DD111,77),0)</f>
        <v/>
      </c>
      <c r="CB111">
        <f>IFERROR(INDEX(PP_Grid[#Data],$DD111,78),0)</f>
        <v/>
      </c>
      <c r="CC111">
        <f>IFERROR(INDEX(PP_Grid[#Data],$DD111,79),0)</f>
        <v/>
      </c>
      <c r="CD111">
        <f>IFERROR(INDEX(PP_Grid[#Data],$DD111,80),0)</f>
        <v/>
      </c>
      <c r="CE111">
        <f>IFERROR(INDEX(PP_Grid[#Data],$DD111,81),0)</f>
        <v/>
      </c>
      <c r="CF111">
        <f>IFERROR(INDEX(PP_Grid[#Data],$DD111,82),0)</f>
        <v/>
      </c>
      <c r="CG111">
        <f>IFERROR(INDEX(PP_Grid[#Data],$DD111,83),0)</f>
        <v/>
      </c>
      <c r="CH111">
        <f>IFERROR(INDEX(PP_Grid[#Data],$DD111,84),0)</f>
        <v/>
      </c>
      <c r="CI111">
        <f>IFERROR(INDEX(PP_Grid[#Data],$DD111,85),0)</f>
        <v/>
      </c>
      <c r="CJ111">
        <f>IFERROR(INDEX(PP_Grid[#Data],$DD111,86),0)</f>
        <v/>
      </c>
      <c r="CK111">
        <f>IFERROR(INDEX(PP_Grid[#Data],$DD111,87),0)</f>
        <v/>
      </c>
      <c r="CL111">
        <f>IFERROR(INDEX(PP_Grid[#Data],$DD111,88),0)</f>
        <v/>
      </c>
      <c r="CM111">
        <f>IFERROR(INDEX(PP_Grid[#Data],$DD111,89),0)</f>
        <v/>
      </c>
      <c r="CN111">
        <f>IFERROR(INDEX(PP_Grid[#Data],$DD111,90),0)</f>
        <v/>
      </c>
      <c r="CO111">
        <f>IFERROR(INDEX(PP_Grid[#Data],$DD111,91),0)</f>
        <v/>
      </c>
      <c r="CP111">
        <f>IFERROR(INDEX(PP_Grid[#Data],$DD111,92),0)</f>
        <v/>
      </c>
      <c r="CQ111">
        <f>IFERROR(INDEX(PP_Grid[#Data],$DD111,93),0)</f>
        <v/>
      </c>
      <c r="CR111">
        <f>IFERROR(INDEX(PP_Grid[#Data],$DD111,94),0)</f>
        <v/>
      </c>
      <c r="CS111">
        <f>IFERROR(INDEX(PP_Grid[#Data],$DD111,95),0)</f>
        <v/>
      </c>
      <c r="CT111">
        <f>IFERROR(INDEX(PP_Grid[#Data],$DD111,96),0)</f>
        <v/>
      </c>
      <c r="CU111">
        <f>IFERROR(INDEX(PP_Grid[#Data],$DD111,97),0)</f>
        <v/>
      </c>
      <c r="CV111">
        <f>IFERROR(INDEX(PP_Grid[#Data],$DD111,98),0)</f>
        <v/>
      </c>
      <c r="CW111">
        <f>IFERROR(INDEX(PP_Grid[#Data],$DD111,99),0)</f>
        <v/>
      </c>
      <c r="CX111">
        <f>IFERROR(INDEX(PP_Grid[#Data],$DD111,100),0)</f>
        <v/>
      </c>
      <c r="CY111">
        <f>IFERROR(INDEX(PP_Grid[#Data],$DD111,101),0)</f>
        <v/>
      </c>
      <c r="CZ111">
        <f>IFERROR(INDEX(PP_Grid[#Data],$DD111,102),0)</f>
        <v/>
      </c>
      <c r="DA111">
        <f>IFERROR(INDEX(PP_Grid[#Data],$DD111,103),0)</f>
        <v/>
      </c>
      <c r="DB111">
        <f>IFERROR(INDEX(PP_Grid[#Data],$DD111,104),0)</f>
        <v/>
      </c>
      <c r="DC111">
        <f>IFERROR(INDEX(PP_Grid[#Data],$DD111,105),0)</f>
        <v/>
      </c>
      <c r="DD111" s="12">
        <f>IFERROR(MATCH($B111,PP_Grid[Intermediate],0),99999)</f>
        <v/>
      </c>
    </row>
    <row r="112">
      <c r="B112" t="inlineStr">
        <is>
          <t>使用量(kg)</t>
        </is>
      </c>
      <c r="C112">
        <f>SUMIFS(M_BOM[RM_Qty_Per_Batch],M_BOM[Intermediate],$B111,M_BOM[Part Name],$A110)</f>
        <v/>
      </c>
      <c r="D112">
        <f>$C112*D111</f>
        <v/>
      </c>
      <c r="E112">
        <f>$C112*E111</f>
        <v/>
      </c>
      <c r="F112">
        <f>$C112*F111</f>
        <v/>
      </c>
      <c r="G112">
        <f>$C112*G111</f>
        <v/>
      </c>
      <c r="H112">
        <f>$C112*H111</f>
        <v/>
      </c>
      <c r="I112">
        <f>$C112*I111</f>
        <v/>
      </c>
      <c r="J112">
        <f>$C112*J111</f>
        <v/>
      </c>
      <c r="K112">
        <f>$C112*K111</f>
        <v/>
      </c>
      <c r="L112">
        <f>$C112*L111</f>
        <v/>
      </c>
      <c r="M112">
        <f>$C112*M111</f>
        <v/>
      </c>
      <c r="N112">
        <f>$C112*N111</f>
        <v/>
      </c>
      <c r="O112">
        <f>$C112*O111</f>
        <v/>
      </c>
      <c r="P112">
        <f>$C112*P111</f>
        <v/>
      </c>
      <c r="Q112">
        <f>$C112*Q111</f>
        <v/>
      </c>
      <c r="R112">
        <f>$C112*R111</f>
        <v/>
      </c>
      <c r="S112">
        <f>$C112*S111</f>
        <v/>
      </c>
      <c r="T112">
        <f>$C112*T111</f>
        <v/>
      </c>
      <c r="U112">
        <f>$C112*U111</f>
        <v/>
      </c>
      <c r="V112">
        <f>$C112*V111</f>
        <v/>
      </c>
      <c r="W112">
        <f>$C112*W111</f>
        <v/>
      </c>
      <c r="X112">
        <f>$C112*X111</f>
        <v/>
      </c>
      <c r="Y112">
        <f>$C112*Y111</f>
        <v/>
      </c>
      <c r="Z112">
        <f>$C112*Z111</f>
        <v/>
      </c>
      <c r="AA112">
        <f>$C112*AA111</f>
        <v/>
      </c>
      <c r="AB112">
        <f>$C112*AB111</f>
        <v/>
      </c>
      <c r="AC112">
        <f>$C112*AC111</f>
        <v/>
      </c>
      <c r="AD112">
        <f>$C112*AD111</f>
        <v/>
      </c>
      <c r="AE112">
        <f>$C112*AE111</f>
        <v/>
      </c>
      <c r="AF112">
        <f>$C112*AF111</f>
        <v/>
      </c>
      <c r="AG112">
        <f>$C112*AG111</f>
        <v/>
      </c>
      <c r="AH112">
        <f>$C112*AH111</f>
        <v/>
      </c>
      <c r="AI112">
        <f>$C112*AI111</f>
        <v/>
      </c>
      <c r="AJ112">
        <f>$C112*AJ111</f>
        <v/>
      </c>
      <c r="AK112">
        <f>$C112*AK111</f>
        <v/>
      </c>
      <c r="AL112">
        <f>$C112*AL111</f>
        <v/>
      </c>
      <c r="AM112">
        <f>$C112*AM111</f>
        <v/>
      </c>
      <c r="AN112">
        <f>$C112*AN111</f>
        <v/>
      </c>
      <c r="AO112">
        <f>$C112*AO111</f>
        <v/>
      </c>
      <c r="AP112">
        <f>$C112*AP111</f>
        <v/>
      </c>
      <c r="AQ112">
        <f>$C112*AQ111</f>
        <v/>
      </c>
      <c r="AR112">
        <f>$C112*AR111</f>
        <v/>
      </c>
      <c r="AS112">
        <f>$C112*AS111</f>
        <v/>
      </c>
      <c r="AT112">
        <f>$C112*AT111</f>
        <v/>
      </c>
      <c r="AU112">
        <f>$C112*AU111</f>
        <v/>
      </c>
      <c r="AV112">
        <f>$C112*AV111</f>
        <v/>
      </c>
      <c r="AW112">
        <f>$C112*AW111</f>
        <v/>
      </c>
      <c r="AX112">
        <f>$C112*AX111</f>
        <v/>
      </c>
      <c r="AY112">
        <f>$C112*AY111</f>
        <v/>
      </c>
      <c r="AZ112">
        <f>$C112*AZ111</f>
        <v/>
      </c>
      <c r="BA112">
        <f>$C112*BA111</f>
        <v/>
      </c>
      <c r="BB112">
        <f>$C112*BB111</f>
        <v/>
      </c>
      <c r="BC112">
        <f>$C112*BC111</f>
        <v/>
      </c>
      <c r="BD112">
        <f>$C112*BD111</f>
        <v/>
      </c>
      <c r="BE112">
        <f>$C112*BE111</f>
        <v/>
      </c>
      <c r="BF112">
        <f>$C112*BF111</f>
        <v/>
      </c>
      <c r="BG112">
        <f>$C112*BG111</f>
        <v/>
      </c>
      <c r="BH112">
        <f>$C112*BH111</f>
        <v/>
      </c>
      <c r="BI112">
        <f>$C112*BI111</f>
        <v/>
      </c>
      <c r="BJ112">
        <f>$C112*BJ111</f>
        <v/>
      </c>
      <c r="BK112">
        <f>$C112*BK111</f>
        <v/>
      </c>
      <c r="BL112">
        <f>$C112*BL111</f>
        <v/>
      </c>
      <c r="BM112">
        <f>$C112*BM111</f>
        <v/>
      </c>
      <c r="BN112">
        <f>$C112*BN111</f>
        <v/>
      </c>
      <c r="BO112">
        <f>$C112*BO111</f>
        <v/>
      </c>
      <c r="BP112">
        <f>$C112*BP111</f>
        <v/>
      </c>
      <c r="BQ112">
        <f>$C112*BQ111</f>
        <v/>
      </c>
      <c r="BR112">
        <f>$C112*BR111</f>
        <v/>
      </c>
      <c r="BS112">
        <f>$C112*BS111</f>
        <v/>
      </c>
      <c r="BT112">
        <f>$C112*BT111</f>
        <v/>
      </c>
      <c r="BU112">
        <f>$C112*BU111</f>
        <v/>
      </c>
      <c r="BV112">
        <f>$C112*BV111</f>
        <v/>
      </c>
      <c r="BW112">
        <f>$C112*BW111</f>
        <v/>
      </c>
      <c r="BX112">
        <f>$C112*BX111</f>
        <v/>
      </c>
      <c r="BY112">
        <f>$C112*BY111</f>
        <v/>
      </c>
      <c r="BZ112">
        <f>$C112*BZ111</f>
        <v/>
      </c>
      <c r="CA112">
        <f>$C112*CA111</f>
        <v/>
      </c>
      <c r="CB112">
        <f>$C112*CB111</f>
        <v/>
      </c>
      <c r="CC112">
        <f>$C112*CC111</f>
        <v/>
      </c>
      <c r="CD112">
        <f>$C112*CD111</f>
        <v/>
      </c>
      <c r="CE112">
        <f>$C112*CE111</f>
        <v/>
      </c>
      <c r="CF112">
        <f>$C112*CF111</f>
        <v/>
      </c>
      <c r="CG112">
        <f>$C112*CG111</f>
        <v/>
      </c>
      <c r="CH112">
        <f>$C112*CH111</f>
        <v/>
      </c>
      <c r="CI112">
        <f>$C112*CI111</f>
        <v/>
      </c>
      <c r="CJ112">
        <f>$C112*CJ111</f>
        <v/>
      </c>
      <c r="CK112">
        <f>$C112*CK111</f>
        <v/>
      </c>
      <c r="CL112">
        <f>$C112*CL111</f>
        <v/>
      </c>
      <c r="CM112">
        <f>$C112*CM111</f>
        <v/>
      </c>
      <c r="CN112">
        <f>$C112*CN111</f>
        <v/>
      </c>
      <c r="CO112">
        <f>$C112*CO111</f>
        <v/>
      </c>
      <c r="CP112">
        <f>$C112*CP111</f>
        <v/>
      </c>
      <c r="CQ112">
        <f>$C112*CQ111</f>
        <v/>
      </c>
      <c r="CR112">
        <f>$C112*CR111</f>
        <v/>
      </c>
      <c r="CS112">
        <f>$C112*CS111</f>
        <v/>
      </c>
      <c r="CT112">
        <f>$C112*CT111</f>
        <v/>
      </c>
      <c r="CU112">
        <f>$C112*CU111</f>
        <v/>
      </c>
      <c r="CV112">
        <f>$C112*CV111</f>
        <v/>
      </c>
      <c r="CW112">
        <f>$C112*CW111</f>
        <v/>
      </c>
      <c r="CX112">
        <f>$C112*CX111</f>
        <v/>
      </c>
      <c r="CY112">
        <f>$C112*CY111</f>
        <v/>
      </c>
      <c r="CZ112">
        <f>$C112*CZ111</f>
        <v/>
      </c>
      <c r="DA112">
        <f>$C112*DA111</f>
        <v/>
      </c>
      <c r="DB112">
        <f>$C112*DB111</f>
        <v/>
      </c>
      <c r="DC112">
        <f>$C112*DC111</f>
        <v/>
      </c>
    </row>
    <row r="113">
      <c r="B113" s="5" t="inlineStr">
        <is>
          <t>合計使用量(kg)/週</t>
        </is>
      </c>
      <c r="D113">
        <f>'Grid_Requirement'!B9</f>
        <v/>
      </c>
      <c r="E113">
        <f>'Grid_Requirement'!C9</f>
        <v/>
      </c>
      <c r="F113">
        <f>'Grid_Requirement'!D9</f>
        <v/>
      </c>
      <c r="G113">
        <f>'Grid_Requirement'!E9</f>
        <v/>
      </c>
      <c r="H113">
        <f>'Grid_Requirement'!F9</f>
        <v/>
      </c>
      <c r="I113">
        <f>'Grid_Requirement'!G9</f>
        <v/>
      </c>
      <c r="J113">
        <f>'Grid_Requirement'!H9</f>
        <v/>
      </c>
      <c r="K113">
        <f>'Grid_Requirement'!I9</f>
        <v/>
      </c>
      <c r="L113">
        <f>'Grid_Requirement'!J9</f>
        <v/>
      </c>
      <c r="M113">
        <f>'Grid_Requirement'!K9</f>
        <v/>
      </c>
      <c r="N113">
        <f>'Grid_Requirement'!L9</f>
        <v/>
      </c>
      <c r="O113">
        <f>'Grid_Requirement'!M9</f>
        <v/>
      </c>
      <c r="P113">
        <f>'Grid_Requirement'!N9</f>
        <v/>
      </c>
      <c r="Q113">
        <f>'Grid_Requirement'!O9</f>
        <v/>
      </c>
      <c r="R113">
        <f>'Grid_Requirement'!P9</f>
        <v/>
      </c>
      <c r="S113">
        <f>'Grid_Requirement'!Q9</f>
        <v/>
      </c>
      <c r="T113">
        <f>'Grid_Requirement'!R9</f>
        <v/>
      </c>
      <c r="U113">
        <f>'Grid_Requirement'!S9</f>
        <v/>
      </c>
      <c r="V113">
        <f>'Grid_Requirement'!T9</f>
        <v/>
      </c>
      <c r="W113">
        <f>'Grid_Requirement'!U9</f>
        <v/>
      </c>
      <c r="X113">
        <f>'Grid_Requirement'!V9</f>
        <v/>
      </c>
      <c r="Y113">
        <f>'Grid_Requirement'!W9</f>
        <v/>
      </c>
      <c r="Z113">
        <f>'Grid_Requirement'!X9</f>
        <v/>
      </c>
      <c r="AA113">
        <f>'Grid_Requirement'!Y9</f>
        <v/>
      </c>
      <c r="AB113">
        <f>'Grid_Requirement'!Z9</f>
        <v/>
      </c>
      <c r="AC113">
        <f>'Grid_Requirement'!AA9</f>
        <v/>
      </c>
      <c r="AD113">
        <f>'Grid_Requirement'!AB9</f>
        <v/>
      </c>
      <c r="AE113">
        <f>'Grid_Requirement'!AC9</f>
        <v/>
      </c>
      <c r="AF113">
        <f>'Grid_Requirement'!AD9</f>
        <v/>
      </c>
      <c r="AG113">
        <f>'Grid_Requirement'!AE9</f>
        <v/>
      </c>
      <c r="AH113">
        <f>'Grid_Requirement'!AF9</f>
        <v/>
      </c>
      <c r="AI113">
        <f>'Grid_Requirement'!AG9</f>
        <v/>
      </c>
      <c r="AJ113">
        <f>'Grid_Requirement'!AH9</f>
        <v/>
      </c>
      <c r="AK113">
        <f>'Grid_Requirement'!AI9</f>
        <v/>
      </c>
      <c r="AL113">
        <f>'Grid_Requirement'!AJ9</f>
        <v/>
      </c>
      <c r="AM113">
        <f>'Grid_Requirement'!AK9</f>
        <v/>
      </c>
      <c r="AN113">
        <f>'Grid_Requirement'!AL9</f>
        <v/>
      </c>
      <c r="AO113">
        <f>'Grid_Requirement'!AM9</f>
        <v/>
      </c>
      <c r="AP113">
        <f>'Grid_Requirement'!AN9</f>
        <v/>
      </c>
      <c r="AQ113">
        <f>'Grid_Requirement'!AO9</f>
        <v/>
      </c>
      <c r="AR113">
        <f>'Grid_Requirement'!AP9</f>
        <v/>
      </c>
      <c r="AS113">
        <f>'Grid_Requirement'!AQ9</f>
        <v/>
      </c>
      <c r="AT113">
        <f>'Grid_Requirement'!AR9</f>
        <v/>
      </c>
      <c r="AU113">
        <f>'Grid_Requirement'!AS9</f>
        <v/>
      </c>
      <c r="AV113">
        <f>'Grid_Requirement'!AT9</f>
        <v/>
      </c>
      <c r="AW113">
        <f>'Grid_Requirement'!AU9</f>
        <v/>
      </c>
      <c r="AX113">
        <f>'Grid_Requirement'!AV9</f>
        <v/>
      </c>
      <c r="AY113">
        <f>'Grid_Requirement'!AW9</f>
        <v/>
      </c>
      <c r="AZ113">
        <f>'Grid_Requirement'!AX9</f>
        <v/>
      </c>
      <c r="BA113">
        <f>'Grid_Requirement'!AY9</f>
        <v/>
      </c>
      <c r="BB113">
        <f>'Grid_Requirement'!AZ9</f>
        <v/>
      </c>
      <c r="BC113">
        <f>'Grid_Requirement'!BA9</f>
        <v/>
      </c>
      <c r="BD113">
        <f>'Grid_Requirement'!BB9</f>
        <v/>
      </c>
      <c r="BE113">
        <f>'Grid_Requirement'!BC9</f>
        <v/>
      </c>
      <c r="BF113">
        <f>'Grid_Requirement'!BD9</f>
        <v/>
      </c>
      <c r="BG113">
        <f>'Grid_Requirement'!BE9</f>
        <v/>
      </c>
      <c r="BH113">
        <f>'Grid_Requirement'!BF9</f>
        <v/>
      </c>
      <c r="BI113">
        <f>'Grid_Requirement'!BG9</f>
        <v/>
      </c>
      <c r="BJ113">
        <f>'Grid_Requirement'!BH9</f>
        <v/>
      </c>
      <c r="BK113">
        <f>'Grid_Requirement'!BI9</f>
        <v/>
      </c>
      <c r="BL113">
        <f>'Grid_Requirement'!BJ9</f>
        <v/>
      </c>
      <c r="BM113">
        <f>'Grid_Requirement'!BK9</f>
        <v/>
      </c>
      <c r="BN113">
        <f>'Grid_Requirement'!BL9</f>
        <v/>
      </c>
      <c r="BO113">
        <f>'Grid_Requirement'!BM9</f>
        <v/>
      </c>
      <c r="BP113">
        <f>'Grid_Requirement'!BN9</f>
        <v/>
      </c>
      <c r="BQ113">
        <f>'Grid_Requirement'!BO9</f>
        <v/>
      </c>
      <c r="BR113">
        <f>'Grid_Requirement'!BP9</f>
        <v/>
      </c>
      <c r="BS113">
        <f>'Grid_Requirement'!BQ9</f>
        <v/>
      </c>
      <c r="BT113">
        <f>'Grid_Requirement'!BR9</f>
        <v/>
      </c>
      <c r="BU113">
        <f>'Grid_Requirement'!BS9</f>
        <v/>
      </c>
      <c r="BV113">
        <f>'Grid_Requirement'!BT9</f>
        <v/>
      </c>
      <c r="BW113">
        <f>'Grid_Requirement'!BU9</f>
        <v/>
      </c>
      <c r="BX113">
        <f>'Grid_Requirement'!BV9</f>
        <v/>
      </c>
      <c r="BY113">
        <f>'Grid_Requirement'!BW9</f>
        <v/>
      </c>
      <c r="BZ113">
        <f>'Grid_Requirement'!BX9</f>
        <v/>
      </c>
      <c r="CA113">
        <f>'Grid_Requirement'!BY9</f>
        <v/>
      </c>
      <c r="CB113">
        <f>'Grid_Requirement'!BZ9</f>
        <v/>
      </c>
      <c r="CC113">
        <f>'Grid_Requirement'!CA9</f>
        <v/>
      </c>
      <c r="CD113">
        <f>'Grid_Requirement'!CB9</f>
        <v/>
      </c>
      <c r="CE113">
        <f>'Grid_Requirement'!CC9</f>
        <v/>
      </c>
      <c r="CF113">
        <f>'Grid_Requirement'!CD9</f>
        <v/>
      </c>
      <c r="CG113">
        <f>'Grid_Requirement'!CE9</f>
        <v/>
      </c>
      <c r="CH113">
        <f>'Grid_Requirement'!CF9</f>
        <v/>
      </c>
      <c r="CI113">
        <f>'Grid_Requirement'!CG9</f>
        <v/>
      </c>
      <c r="CJ113">
        <f>'Grid_Requirement'!CH9</f>
        <v/>
      </c>
      <c r="CK113">
        <f>'Grid_Requirement'!CI9</f>
        <v/>
      </c>
      <c r="CL113">
        <f>'Grid_Requirement'!CJ9</f>
        <v/>
      </c>
      <c r="CM113">
        <f>'Grid_Requirement'!CK9</f>
        <v/>
      </c>
      <c r="CN113">
        <f>'Grid_Requirement'!CL9</f>
        <v/>
      </c>
      <c r="CO113">
        <f>'Grid_Requirement'!CM9</f>
        <v/>
      </c>
      <c r="CP113">
        <f>'Grid_Requirement'!CN9</f>
        <v/>
      </c>
      <c r="CQ113">
        <f>'Grid_Requirement'!CO9</f>
        <v/>
      </c>
      <c r="CR113">
        <f>'Grid_Requirement'!CP9</f>
        <v/>
      </c>
      <c r="CS113">
        <f>'Grid_Requirement'!CQ9</f>
        <v/>
      </c>
      <c r="CT113">
        <f>'Grid_Requirement'!CR9</f>
        <v/>
      </c>
      <c r="CU113">
        <f>'Grid_Requirement'!CS9</f>
        <v/>
      </c>
      <c r="CV113">
        <f>'Grid_Requirement'!CT9</f>
        <v/>
      </c>
      <c r="CW113">
        <f>'Grid_Requirement'!CU9</f>
        <v/>
      </c>
      <c r="CX113">
        <f>'Grid_Requirement'!CV9</f>
        <v/>
      </c>
      <c r="CY113">
        <f>'Grid_Requirement'!CW9</f>
        <v/>
      </c>
      <c r="CZ113">
        <f>'Grid_Requirement'!CX9</f>
        <v/>
      </c>
      <c r="DA113">
        <f>'Grid_Requirement'!CY9</f>
        <v/>
      </c>
      <c r="DB113">
        <f>'Grid_Requirement'!CZ9</f>
        <v/>
      </c>
      <c r="DC113">
        <f>'Grid_Requirement'!DA9</f>
        <v/>
      </c>
    </row>
    <row r="114">
      <c r="B114" t="inlineStr">
        <is>
          <t>TTAF在庫(実績,kg)</t>
        </is>
      </c>
      <c r="D114">
        <f>'T_TTAFStock'!B13</f>
        <v/>
      </c>
      <c r="E114">
        <f>'T_TTAFStock'!C13</f>
        <v/>
      </c>
      <c r="F114">
        <f>'T_TTAFStock'!D13</f>
        <v/>
      </c>
      <c r="G114">
        <f>'T_TTAFStock'!E13</f>
        <v/>
      </c>
      <c r="H114">
        <f>'T_TTAFStock'!F13</f>
        <v/>
      </c>
      <c r="I114">
        <f>'T_TTAFStock'!G13</f>
        <v/>
      </c>
      <c r="J114">
        <f>'T_TTAFStock'!H13</f>
        <v/>
      </c>
      <c r="K114">
        <f>'T_TTAFStock'!I13</f>
        <v/>
      </c>
      <c r="L114">
        <f>'T_TTAFStock'!J13</f>
        <v/>
      </c>
      <c r="M114">
        <f>'T_TTAFStock'!K13</f>
        <v/>
      </c>
      <c r="N114">
        <f>'T_TTAFStock'!L13</f>
        <v/>
      </c>
      <c r="O114">
        <f>'T_TTAFStock'!M13</f>
        <v/>
      </c>
      <c r="P114">
        <f>'T_TTAFStock'!N13</f>
        <v/>
      </c>
      <c r="Q114">
        <f>'T_TTAFStock'!O13</f>
        <v/>
      </c>
      <c r="R114">
        <f>'T_TTAFStock'!P13</f>
        <v/>
      </c>
      <c r="S114">
        <f>'T_TTAFStock'!Q13</f>
        <v/>
      </c>
      <c r="T114">
        <f>'T_TTAFStock'!R13</f>
        <v/>
      </c>
      <c r="U114">
        <f>'T_TTAFStock'!S13</f>
        <v/>
      </c>
      <c r="V114">
        <f>'T_TTAFStock'!T13</f>
        <v/>
      </c>
      <c r="W114">
        <f>'T_TTAFStock'!U13</f>
        <v/>
      </c>
      <c r="X114">
        <f>'T_TTAFStock'!V13</f>
        <v/>
      </c>
      <c r="Y114">
        <f>'T_TTAFStock'!W13</f>
        <v/>
      </c>
      <c r="Z114">
        <f>'T_TTAFStock'!X13</f>
        <v/>
      </c>
      <c r="AA114">
        <f>'T_TTAFStock'!Y13</f>
        <v/>
      </c>
      <c r="AB114">
        <f>'T_TTAFStock'!Z13</f>
        <v/>
      </c>
      <c r="AC114">
        <f>'T_TTAFStock'!AA13</f>
        <v/>
      </c>
      <c r="AD114">
        <f>'T_TTAFStock'!AB13</f>
        <v/>
      </c>
      <c r="AE114">
        <f>'T_TTAFStock'!AC13</f>
        <v/>
      </c>
      <c r="AF114">
        <f>'T_TTAFStock'!AD13</f>
        <v/>
      </c>
      <c r="AG114">
        <f>'T_TTAFStock'!AE13</f>
        <v/>
      </c>
      <c r="AH114">
        <f>'T_TTAFStock'!AF13</f>
        <v/>
      </c>
      <c r="AI114">
        <f>'T_TTAFStock'!AG13</f>
        <v/>
      </c>
      <c r="AJ114">
        <f>'T_TTAFStock'!AH13</f>
        <v/>
      </c>
      <c r="AK114">
        <f>'T_TTAFStock'!AI13</f>
        <v/>
      </c>
      <c r="AL114">
        <f>'T_TTAFStock'!AJ13</f>
        <v/>
      </c>
      <c r="AM114">
        <f>'T_TTAFStock'!AK13</f>
        <v/>
      </c>
      <c r="AN114">
        <f>'T_TTAFStock'!AL13</f>
        <v/>
      </c>
      <c r="AO114">
        <f>'T_TTAFStock'!AM13</f>
        <v/>
      </c>
      <c r="AP114">
        <f>'T_TTAFStock'!AN13</f>
        <v/>
      </c>
      <c r="AQ114">
        <f>'T_TTAFStock'!AO13</f>
        <v/>
      </c>
      <c r="AR114">
        <f>'T_TTAFStock'!AP13</f>
        <v/>
      </c>
      <c r="AS114">
        <f>'T_TTAFStock'!AQ13</f>
        <v/>
      </c>
      <c r="AT114">
        <f>'T_TTAFStock'!AR13</f>
        <v/>
      </c>
      <c r="AU114">
        <f>'T_TTAFStock'!AS13</f>
        <v/>
      </c>
      <c r="AV114">
        <f>'T_TTAFStock'!AT13</f>
        <v/>
      </c>
      <c r="AW114">
        <f>'T_TTAFStock'!AU13</f>
        <v/>
      </c>
      <c r="AX114">
        <f>'T_TTAFStock'!AV13</f>
        <v/>
      </c>
      <c r="AY114">
        <f>'T_TTAFStock'!AW13</f>
        <v/>
      </c>
      <c r="AZ114">
        <f>'T_TTAFStock'!AX13</f>
        <v/>
      </c>
      <c r="BA114">
        <f>'T_TTAFStock'!AY13</f>
        <v/>
      </c>
      <c r="BB114">
        <f>'T_TTAFStock'!AZ13</f>
        <v/>
      </c>
      <c r="BC114">
        <f>'T_TTAFStock'!BA13</f>
        <v/>
      </c>
      <c r="BD114">
        <f>'T_TTAFStock'!BB13</f>
        <v/>
      </c>
      <c r="BE114">
        <f>'T_TTAFStock'!BC13</f>
        <v/>
      </c>
      <c r="BF114">
        <f>'T_TTAFStock'!BD13</f>
        <v/>
      </c>
      <c r="BG114">
        <f>'T_TTAFStock'!BE13</f>
        <v/>
      </c>
      <c r="BH114">
        <f>'T_TTAFStock'!BF13</f>
        <v/>
      </c>
      <c r="BI114">
        <f>'T_TTAFStock'!BG13</f>
        <v/>
      </c>
      <c r="BJ114">
        <f>'T_TTAFStock'!BH13</f>
        <v/>
      </c>
      <c r="BK114">
        <f>'T_TTAFStock'!BI13</f>
        <v/>
      </c>
      <c r="BL114">
        <f>'T_TTAFStock'!BJ13</f>
        <v/>
      </c>
      <c r="BM114">
        <f>'T_TTAFStock'!BK13</f>
        <v/>
      </c>
      <c r="BN114">
        <f>'T_TTAFStock'!BL13</f>
        <v/>
      </c>
      <c r="BO114">
        <f>'T_TTAFStock'!BM13</f>
        <v/>
      </c>
      <c r="BP114">
        <f>'T_TTAFStock'!BN13</f>
        <v/>
      </c>
      <c r="BQ114">
        <f>'T_TTAFStock'!BO13</f>
        <v/>
      </c>
      <c r="BR114">
        <f>'T_TTAFStock'!BP13</f>
        <v/>
      </c>
      <c r="BS114">
        <f>'T_TTAFStock'!BQ13</f>
        <v/>
      </c>
      <c r="BT114">
        <f>'T_TTAFStock'!BR13</f>
        <v/>
      </c>
      <c r="BU114">
        <f>'T_TTAFStock'!BS13</f>
        <v/>
      </c>
      <c r="BV114">
        <f>'T_TTAFStock'!BT13</f>
        <v/>
      </c>
      <c r="BW114">
        <f>'T_TTAFStock'!BU13</f>
        <v/>
      </c>
      <c r="BX114">
        <f>'T_TTAFStock'!BV13</f>
        <v/>
      </c>
      <c r="BY114">
        <f>'T_TTAFStock'!BW13</f>
        <v/>
      </c>
      <c r="BZ114">
        <f>'T_TTAFStock'!BX13</f>
        <v/>
      </c>
      <c r="CA114">
        <f>'T_TTAFStock'!BY13</f>
        <v/>
      </c>
      <c r="CB114">
        <f>'T_TTAFStock'!BZ13</f>
        <v/>
      </c>
      <c r="CC114">
        <f>'T_TTAFStock'!CA13</f>
        <v/>
      </c>
      <c r="CD114">
        <f>'T_TTAFStock'!CB13</f>
        <v/>
      </c>
      <c r="CE114">
        <f>'T_TTAFStock'!CC13</f>
        <v/>
      </c>
      <c r="CF114">
        <f>'T_TTAFStock'!CD13</f>
        <v/>
      </c>
      <c r="CG114">
        <f>'T_TTAFStock'!CE13</f>
        <v/>
      </c>
      <c r="CH114">
        <f>'T_TTAFStock'!CF13</f>
        <v/>
      </c>
      <c r="CI114">
        <f>'T_TTAFStock'!CG13</f>
        <v/>
      </c>
      <c r="CJ114">
        <f>'T_TTAFStock'!CH13</f>
        <v/>
      </c>
      <c r="CK114">
        <f>'T_TTAFStock'!CI13</f>
        <v/>
      </c>
      <c r="CL114">
        <f>'T_TTAFStock'!CJ13</f>
        <v/>
      </c>
      <c r="CM114">
        <f>'T_TTAFStock'!CK13</f>
        <v/>
      </c>
      <c r="CN114">
        <f>'T_TTAFStock'!CL13</f>
        <v/>
      </c>
      <c r="CO114">
        <f>'T_TTAFStock'!CM13</f>
        <v/>
      </c>
      <c r="CP114">
        <f>'T_TTAFStock'!CN13</f>
        <v/>
      </c>
      <c r="CQ114">
        <f>'T_TTAFStock'!CO13</f>
        <v/>
      </c>
      <c r="CR114">
        <f>'T_TTAFStock'!CP13</f>
        <v/>
      </c>
      <c r="CS114">
        <f>'T_TTAFStock'!CQ13</f>
        <v/>
      </c>
      <c r="CT114">
        <f>'T_TTAFStock'!CR13</f>
        <v/>
      </c>
      <c r="CU114">
        <f>'T_TTAFStock'!CS13</f>
        <v/>
      </c>
      <c r="CV114">
        <f>'T_TTAFStock'!CT13</f>
        <v/>
      </c>
      <c r="CW114">
        <f>'T_TTAFStock'!CU13</f>
        <v/>
      </c>
      <c r="CX114">
        <f>'T_TTAFStock'!CV13</f>
        <v/>
      </c>
      <c r="CY114">
        <f>'T_TTAFStock'!CW13</f>
        <v/>
      </c>
      <c r="CZ114">
        <f>'T_TTAFStock'!CX13</f>
        <v/>
      </c>
      <c r="DA114">
        <f>'T_TTAFStock'!CY13</f>
        <v/>
      </c>
      <c r="DB114">
        <f>'T_TTAFStock'!CZ13</f>
        <v/>
      </c>
      <c r="DC114">
        <f>'T_TTAFStock'!DA13</f>
        <v/>
      </c>
    </row>
    <row r="115">
      <c r="B115" t="inlineStr">
        <is>
          <t>自社在庫(実績,kg)</t>
        </is>
      </c>
      <c r="D115">
        <f>'T_SelfStock'!B13</f>
        <v/>
      </c>
      <c r="E115">
        <f>'T_SelfStock'!C13</f>
        <v/>
      </c>
      <c r="F115">
        <f>'T_SelfStock'!D13</f>
        <v/>
      </c>
      <c r="G115">
        <f>'T_SelfStock'!E13</f>
        <v/>
      </c>
      <c r="H115">
        <f>'T_SelfStock'!F13</f>
        <v/>
      </c>
      <c r="I115">
        <f>'T_SelfStock'!G13</f>
        <v/>
      </c>
      <c r="J115">
        <f>'T_SelfStock'!H13</f>
        <v/>
      </c>
      <c r="K115">
        <f>'T_SelfStock'!I13</f>
        <v/>
      </c>
      <c r="L115">
        <f>'T_SelfStock'!J13</f>
        <v/>
      </c>
      <c r="M115">
        <f>'T_SelfStock'!K13</f>
        <v/>
      </c>
      <c r="N115">
        <f>'T_SelfStock'!L13</f>
        <v/>
      </c>
      <c r="O115">
        <f>'T_SelfStock'!M13</f>
        <v/>
      </c>
      <c r="P115">
        <f>'T_SelfStock'!N13</f>
        <v/>
      </c>
      <c r="Q115">
        <f>'T_SelfStock'!O13</f>
        <v/>
      </c>
      <c r="R115">
        <f>'T_SelfStock'!P13</f>
        <v/>
      </c>
      <c r="S115">
        <f>'T_SelfStock'!Q13</f>
        <v/>
      </c>
      <c r="T115">
        <f>'T_SelfStock'!R13</f>
        <v/>
      </c>
      <c r="U115">
        <f>'T_SelfStock'!S13</f>
        <v/>
      </c>
      <c r="V115">
        <f>'T_SelfStock'!T13</f>
        <v/>
      </c>
      <c r="W115">
        <f>'T_SelfStock'!U13</f>
        <v/>
      </c>
      <c r="X115">
        <f>'T_SelfStock'!V13</f>
        <v/>
      </c>
      <c r="Y115">
        <f>'T_SelfStock'!W13</f>
        <v/>
      </c>
      <c r="Z115">
        <f>'T_SelfStock'!X13</f>
        <v/>
      </c>
      <c r="AA115">
        <f>'T_SelfStock'!Y13</f>
        <v/>
      </c>
      <c r="AB115">
        <f>'T_SelfStock'!Z13</f>
        <v/>
      </c>
      <c r="AC115">
        <f>'T_SelfStock'!AA13</f>
        <v/>
      </c>
      <c r="AD115">
        <f>'T_SelfStock'!AB13</f>
        <v/>
      </c>
      <c r="AE115">
        <f>'T_SelfStock'!AC13</f>
        <v/>
      </c>
      <c r="AF115">
        <f>'T_SelfStock'!AD13</f>
        <v/>
      </c>
      <c r="AG115">
        <f>'T_SelfStock'!AE13</f>
        <v/>
      </c>
      <c r="AH115">
        <f>'T_SelfStock'!AF13</f>
        <v/>
      </c>
      <c r="AI115">
        <f>'T_SelfStock'!AG13</f>
        <v/>
      </c>
      <c r="AJ115">
        <f>'T_SelfStock'!AH13</f>
        <v/>
      </c>
      <c r="AK115">
        <f>'T_SelfStock'!AI13</f>
        <v/>
      </c>
      <c r="AL115">
        <f>'T_SelfStock'!AJ13</f>
        <v/>
      </c>
      <c r="AM115">
        <f>'T_SelfStock'!AK13</f>
        <v/>
      </c>
      <c r="AN115">
        <f>'T_SelfStock'!AL13</f>
        <v/>
      </c>
      <c r="AO115">
        <f>'T_SelfStock'!AM13</f>
        <v/>
      </c>
      <c r="AP115">
        <f>'T_SelfStock'!AN13</f>
        <v/>
      </c>
      <c r="AQ115">
        <f>'T_SelfStock'!AO13</f>
        <v/>
      </c>
      <c r="AR115">
        <f>'T_SelfStock'!AP13</f>
        <v/>
      </c>
      <c r="AS115">
        <f>'T_SelfStock'!AQ13</f>
        <v/>
      </c>
      <c r="AT115">
        <f>'T_SelfStock'!AR13</f>
        <v/>
      </c>
      <c r="AU115">
        <f>'T_SelfStock'!AS13</f>
        <v/>
      </c>
      <c r="AV115">
        <f>'T_SelfStock'!AT13</f>
        <v/>
      </c>
      <c r="AW115">
        <f>'T_SelfStock'!AU13</f>
        <v/>
      </c>
      <c r="AX115">
        <f>'T_SelfStock'!AV13</f>
        <v/>
      </c>
      <c r="AY115">
        <f>'T_SelfStock'!AW13</f>
        <v/>
      </c>
      <c r="AZ115">
        <f>'T_SelfStock'!AX13</f>
        <v/>
      </c>
      <c r="BA115">
        <f>'T_SelfStock'!AY13</f>
        <v/>
      </c>
      <c r="BB115">
        <f>'T_SelfStock'!AZ13</f>
        <v/>
      </c>
      <c r="BC115">
        <f>'T_SelfStock'!BA13</f>
        <v/>
      </c>
      <c r="BD115">
        <f>'T_SelfStock'!BB13</f>
        <v/>
      </c>
      <c r="BE115">
        <f>'T_SelfStock'!BC13</f>
        <v/>
      </c>
      <c r="BF115">
        <f>'T_SelfStock'!BD13</f>
        <v/>
      </c>
      <c r="BG115">
        <f>'T_SelfStock'!BE13</f>
        <v/>
      </c>
      <c r="BH115">
        <f>'T_SelfStock'!BF13</f>
        <v/>
      </c>
      <c r="BI115">
        <f>'T_SelfStock'!BG13</f>
        <v/>
      </c>
      <c r="BJ115">
        <f>'T_SelfStock'!BH13</f>
        <v/>
      </c>
      <c r="BK115">
        <f>'T_SelfStock'!BI13</f>
        <v/>
      </c>
      <c r="BL115">
        <f>'T_SelfStock'!BJ13</f>
        <v/>
      </c>
      <c r="BM115">
        <f>'T_SelfStock'!BK13</f>
        <v/>
      </c>
      <c r="BN115">
        <f>'T_SelfStock'!BL13</f>
        <v/>
      </c>
      <c r="BO115">
        <f>'T_SelfStock'!BM13</f>
        <v/>
      </c>
      <c r="BP115">
        <f>'T_SelfStock'!BN13</f>
        <v/>
      </c>
      <c r="BQ115">
        <f>'T_SelfStock'!BO13</f>
        <v/>
      </c>
      <c r="BR115">
        <f>'T_SelfStock'!BP13</f>
        <v/>
      </c>
      <c r="BS115">
        <f>'T_SelfStock'!BQ13</f>
        <v/>
      </c>
      <c r="BT115">
        <f>'T_SelfStock'!BR13</f>
        <v/>
      </c>
      <c r="BU115">
        <f>'T_SelfStock'!BS13</f>
        <v/>
      </c>
      <c r="BV115">
        <f>'T_SelfStock'!BT13</f>
        <v/>
      </c>
      <c r="BW115">
        <f>'T_SelfStock'!BU13</f>
        <v/>
      </c>
      <c r="BX115">
        <f>'T_SelfStock'!BV13</f>
        <v/>
      </c>
      <c r="BY115">
        <f>'T_SelfStock'!BW13</f>
        <v/>
      </c>
      <c r="BZ115">
        <f>'T_SelfStock'!BX13</f>
        <v/>
      </c>
      <c r="CA115">
        <f>'T_SelfStock'!BY13</f>
        <v/>
      </c>
      <c r="CB115">
        <f>'T_SelfStock'!BZ13</f>
        <v/>
      </c>
      <c r="CC115">
        <f>'T_SelfStock'!CA13</f>
        <v/>
      </c>
      <c r="CD115">
        <f>'T_SelfStock'!CB13</f>
        <v/>
      </c>
      <c r="CE115">
        <f>'T_SelfStock'!CC13</f>
        <v/>
      </c>
      <c r="CF115">
        <f>'T_SelfStock'!CD13</f>
        <v/>
      </c>
      <c r="CG115">
        <f>'T_SelfStock'!CE13</f>
        <v/>
      </c>
      <c r="CH115">
        <f>'T_SelfStock'!CF13</f>
        <v/>
      </c>
      <c r="CI115">
        <f>'T_SelfStock'!CG13</f>
        <v/>
      </c>
      <c r="CJ115">
        <f>'T_SelfStock'!CH13</f>
        <v/>
      </c>
      <c r="CK115">
        <f>'T_SelfStock'!CI13</f>
        <v/>
      </c>
      <c r="CL115">
        <f>'T_SelfStock'!CJ13</f>
        <v/>
      </c>
      <c r="CM115">
        <f>'T_SelfStock'!CK13</f>
        <v/>
      </c>
      <c r="CN115">
        <f>'T_SelfStock'!CL13</f>
        <v/>
      </c>
      <c r="CO115">
        <f>'T_SelfStock'!CM13</f>
        <v/>
      </c>
      <c r="CP115">
        <f>'T_SelfStock'!CN13</f>
        <v/>
      </c>
      <c r="CQ115">
        <f>'T_SelfStock'!CO13</f>
        <v/>
      </c>
      <c r="CR115">
        <f>'T_SelfStock'!CP13</f>
        <v/>
      </c>
      <c r="CS115">
        <f>'T_SelfStock'!CQ13</f>
        <v/>
      </c>
      <c r="CT115">
        <f>'T_SelfStock'!CR13</f>
        <v/>
      </c>
      <c r="CU115">
        <f>'T_SelfStock'!CS13</f>
        <v/>
      </c>
      <c r="CV115">
        <f>'T_SelfStock'!CT13</f>
        <v/>
      </c>
      <c r="CW115">
        <f>'T_SelfStock'!CU13</f>
        <v/>
      </c>
      <c r="CX115">
        <f>'T_SelfStock'!CV13</f>
        <v/>
      </c>
      <c r="CY115">
        <f>'T_SelfStock'!CW13</f>
        <v/>
      </c>
      <c r="CZ115">
        <f>'T_SelfStock'!CX13</f>
        <v/>
      </c>
      <c r="DA115">
        <f>'T_SelfStock'!CY13</f>
        <v/>
      </c>
      <c r="DB115">
        <f>'T_SelfStock'!CZ13</f>
        <v/>
      </c>
      <c r="DC115">
        <f>'T_SelfStock'!DA13</f>
        <v/>
      </c>
    </row>
    <row r="116">
      <c r="B116" t="inlineStr">
        <is>
          <t>Order(発注予定,kg)</t>
        </is>
      </c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  <c r="AH116" s="23" t="n"/>
      <c r="AI116" s="23" t="n"/>
      <c r="AJ116" s="23" t="n"/>
      <c r="AK116" s="23" t="n"/>
      <c r="AL116" s="23" t="n"/>
      <c r="AM116" s="23" t="n"/>
      <c r="AN116" s="23" t="n"/>
      <c r="AO116" s="23" t="n"/>
      <c r="AP116" s="23" t="n"/>
      <c r="AQ116" s="23" t="n"/>
      <c r="AR116" s="23" t="n"/>
      <c r="AS116" s="23" t="n"/>
      <c r="AT116" s="23" t="n"/>
      <c r="AU116" s="23" t="n"/>
      <c r="AV116" s="23" t="n"/>
      <c r="AW116" s="23" t="n"/>
      <c r="AX116" s="23" t="n"/>
      <c r="AY116" s="23" t="n"/>
      <c r="AZ116" s="23" t="n"/>
      <c r="BA116" s="23" t="n"/>
      <c r="BB116" s="23" t="n"/>
      <c r="BC116" s="23" t="n"/>
      <c r="BD116" s="23" t="n"/>
      <c r="BE116" s="23" t="n"/>
      <c r="BF116" s="23" t="n"/>
      <c r="BG116" s="23" t="n"/>
      <c r="BH116" s="23" t="n"/>
      <c r="BI116" s="23" t="n"/>
      <c r="BJ116" s="23" t="n"/>
      <c r="BK116" s="23" t="n"/>
      <c r="BL116" s="23" t="n"/>
      <c r="BM116" s="23" t="n"/>
      <c r="BN116" s="23" t="n"/>
      <c r="BO116" s="23" t="n"/>
      <c r="BP116" s="23" t="n"/>
      <c r="BQ116" s="23" t="n"/>
      <c r="BR116" s="23" t="n"/>
      <c r="BS116" s="23" t="n"/>
      <c r="BT116" s="23" t="n"/>
      <c r="BU116" s="23" t="n"/>
      <c r="BV116" s="23" t="n"/>
      <c r="BW116" s="23" t="n"/>
      <c r="BX116" s="23" t="n"/>
      <c r="BY116" s="23" t="n"/>
      <c r="BZ116" s="23" t="n"/>
      <c r="CA116" s="23" t="n"/>
      <c r="CB116" s="23" t="n"/>
      <c r="CC116" s="23" t="n"/>
      <c r="CD116" s="23" t="n"/>
      <c r="CE116" s="23" t="n"/>
      <c r="CF116" s="23" t="n"/>
      <c r="CG116" s="23" t="n"/>
      <c r="CH116" s="23" t="n"/>
      <c r="CI116" s="23" t="n"/>
      <c r="CJ116" s="23" t="n"/>
      <c r="CK116" s="23" t="n"/>
      <c r="CL116" s="23" t="n"/>
      <c r="CM116" s="23" t="n"/>
      <c r="CN116" s="23" t="n"/>
      <c r="CO116" s="23" t="n"/>
      <c r="CP116" s="23" t="n"/>
      <c r="CQ116" s="23" t="n"/>
      <c r="CR116" s="23" t="n"/>
      <c r="CS116" s="23" t="n"/>
      <c r="CT116" s="23" t="n"/>
      <c r="CU116" s="23" t="n"/>
      <c r="CV116" s="23" t="n"/>
      <c r="CW116" s="23" t="n"/>
      <c r="CX116" s="23" t="n"/>
      <c r="CY116" s="23" t="n"/>
      <c r="CZ116" s="23" t="n"/>
      <c r="DA116" s="23" t="n"/>
      <c r="DB116" s="23" t="n"/>
      <c r="DC116" s="23" t="n"/>
      <c r="DE116" s="12" t="inlineStr">
        <is>
          <t>3TP</t>
        </is>
      </c>
    </row>
    <row r="117">
      <c r="B117" s="24" t="inlineStr">
        <is>
          <t>PO_No</t>
        </is>
      </c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  <c r="AD117" s="25" t="n"/>
      <c r="AE117" s="25" t="n"/>
      <c r="AF117" s="25" t="n"/>
      <c r="AG117" s="25" t="n"/>
      <c r="AH117" s="25" t="n"/>
      <c r="AI117" s="25" t="n"/>
      <c r="AJ117" s="25" t="n"/>
      <c r="AK117" s="25" t="n"/>
      <c r="AL117" s="25" t="n"/>
      <c r="AM117" s="25" t="n"/>
      <c r="AN117" s="25" t="n"/>
      <c r="AO117" s="25" t="n"/>
      <c r="AP117" s="25" t="n"/>
      <c r="AQ117" s="25" t="n"/>
      <c r="AR117" s="25" t="n"/>
      <c r="AS117" s="25" t="n"/>
      <c r="AT117" s="25" t="n"/>
      <c r="AU117" s="25" t="n"/>
      <c r="AV117" s="25" t="n"/>
      <c r="AW117" s="25" t="n"/>
      <c r="AX117" s="25" t="n"/>
      <c r="AY117" s="25" t="n"/>
      <c r="AZ117" s="25" t="n"/>
      <c r="BA117" s="25" t="n"/>
      <c r="BB117" s="25" t="n"/>
      <c r="BC117" s="25" t="n"/>
      <c r="BD117" s="25" t="n"/>
      <c r="BE117" s="25" t="n"/>
      <c r="BF117" s="25" t="n"/>
      <c r="BG117" s="25" t="n"/>
      <c r="BH117" s="25" t="n"/>
      <c r="BI117" s="25" t="n"/>
      <c r="BJ117" s="25" t="n"/>
      <c r="BK117" s="25" t="n"/>
      <c r="BL117" s="25" t="n"/>
      <c r="BM117" s="25" t="n"/>
      <c r="BN117" s="25" t="n"/>
      <c r="BO117" s="25" t="n"/>
      <c r="BP117" s="25" t="n"/>
      <c r="BQ117" s="25" t="n"/>
      <c r="BR117" s="25" t="n"/>
      <c r="BS117" s="25" t="n"/>
      <c r="BT117" s="25" t="n"/>
      <c r="BU117" s="25" t="n"/>
      <c r="BV117" s="25" t="n"/>
      <c r="BW117" s="25" t="n"/>
      <c r="BX117" s="25" t="n"/>
      <c r="BY117" s="25" t="n"/>
      <c r="BZ117" s="25" t="n"/>
      <c r="CA117" s="25" t="n"/>
      <c r="CB117" s="25" t="n"/>
      <c r="CC117" s="25" t="n"/>
      <c r="CD117" s="25" t="n"/>
      <c r="CE117" s="25" t="n"/>
      <c r="CF117" s="25" t="n"/>
      <c r="CG117" s="25" t="n"/>
      <c r="CH117" s="25" t="n"/>
      <c r="CI117" s="25" t="n"/>
      <c r="CJ117" s="25" t="n"/>
      <c r="CK117" s="25" t="n"/>
      <c r="CL117" s="25" t="n"/>
      <c r="CM117" s="25" t="n"/>
      <c r="CN117" s="25" t="n"/>
      <c r="CO117" s="25" t="n"/>
      <c r="CP117" s="25" t="n"/>
      <c r="CQ117" s="25" t="n"/>
      <c r="CR117" s="25" t="n"/>
      <c r="CS117" s="25" t="n"/>
      <c r="CT117" s="25" t="n"/>
      <c r="CU117" s="25" t="n"/>
      <c r="CV117" s="25" t="n"/>
      <c r="CW117" s="25" t="n"/>
      <c r="CX117" s="25" t="n"/>
      <c r="CY117" s="25" t="n"/>
      <c r="CZ117" s="25" t="n"/>
      <c r="DA117" s="25" t="n"/>
      <c r="DB117" s="25" t="n"/>
      <c r="DC117" s="25" t="n"/>
    </row>
    <row r="118">
      <c r="B118" s="5" t="inlineStr">
        <is>
          <t>合計在庫(週末時点,kg)</t>
        </is>
      </c>
      <c r="D118">
        <f>'Grid_Stock'!B9</f>
        <v/>
      </c>
      <c r="E118">
        <f>'Grid_Stock'!C9</f>
        <v/>
      </c>
      <c r="F118">
        <f>'Grid_Stock'!D9</f>
        <v/>
      </c>
      <c r="G118">
        <f>'Grid_Stock'!E9</f>
        <v/>
      </c>
      <c r="H118">
        <f>'Grid_Stock'!F9</f>
        <v/>
      </c>
      <c r="I118">
        <f>'Grid_Stock'!G9</f>
        <v/>
      </c>
      <c r="J118">
        <f>'Grid_Stock'!H9</f>
        <v/>
      </c>
      <c r="K118">
        <f>'Grid_Stock'!I9</f>
        <v/>
      </c>
      <c r="L118">
        <f>'Grid_Stock'!J9</f>
        <v/>
      </c>
      <c r="M118">
        <f>'Grid_Stock'!K9</f>
        <v/>
      </c>
      <c r="N118">
        <f>'Grid_Stock'!L9</f>
        <v/>
      </c>
      <c r="O118">
        <f>'Grid_Stock'!M9</f>
        <v/>
      </c>
      <c r="P118">
        <f>'Grid_Stock'!N9</f>
        <v/>
      </c>
      <c r="Q118">
        <f>'Grid_Stock'!O9</f>
        <v/>
      </c>
      <c r="R118">
        <f>'Grid_Stock'!P9</f>
        <v/>
      </c>
      <c r="S118">
        <f>'Grid_Stock'!Q9</f>
        <v/>
      </c>
      <c r="T118">
        <f>'Grid_Stock'!R9</f>
        <v/>
      </c>
      <c r="U118">
        <f>'Grid_Stock'!S9</f>
        <v/>
      </c>
      <c r="V118">
        <f>'Grid_Stock'!T9</f>
        <v/>
      </c>
      <c r="W118">
        <f>'Grid_Stock'!U9</f>
        <v/>
      </c>
      <c r="X118">
        <f>'Grid_Stock'!V9</f>
        <v/>
      </c>
      <c r="Y118">
        <f>'Grid_Stock'!W9</f>
        <v/>
      </c>
      <c r="Z118">
        <f>'Grid_Stock'!X9</f>
        <v/>
      </c>
      <c r="AA118">
        <f>'Grid_Stock'!Y9</f>
        <v/>
      </c>
      <c r="AB118">
        <f>'Grid_Stock'!Z9</f>
        <v/>
      </c>
      <c r="AC118">
        <f>'Grid_Stock'!AA9</f>
        <v/>
      </c>
      <c r="AD118">
        <f>'Grid_Stock'!AB9</f>
        <v/>
      </c>
      <c r="AE118">
        <f>'Grid_Stock'!AC9</f>
        <v/>
      </c>
      <c r="AF118">
        <f>'Grid_Stock'!AD9</f>
        <v/>
      </c>
      <c r="AG118">
        <f>'Grid_Stock'!AE9</f>
        <v/>
      </c>
      <c r="AH118">
        <f>'Grid_Stock'!AF9</f>
        <v/>
      </c>
      <c r="AI118">
        <f>'Grid_Stock'!AG9</f>
        <v/>
      </c>
      <c r="AJ118">
        <f>'Grid_Stock'!AH9</f>
        <v/>
      </c>
      <c r="AK118">
        <f>'Grid_Stock'!AI9</f>
        <v/>
      </c>
      <c r="AL118">
        <f>'Grid_Stock'!AJ9</f>
        <v/>
      </c>
      <c r="AM118">
        <f>'Grid_Stock'!AK9</f>
        <v/>
      </c>
      <c r="AN118">
        <f>'Grid_Stock'!AL9</f>
        <v/>
      </c>
      <c r="AO118">
        <f>'Grid_Stock'!AM9</f>
        <v/>
      </c>
      <c r="AP118">
        <f>'Grid_Stock'!AN9</f>
        <v/>
      </c>
      <c r="AQ118">
        <f>'Grid_Stock'!AO9</f>
        <v/>
      </c>
      <c r="AR118">
        <f>'Grid_Stock'!AP9</f>
        <v/>
      </c>
      <c r="AS118">
        <f>'Grid_Stock'!AQ9</f>
        <v/>
      </c>
      <c r="AT118">
        <f>'Grid_Stock'!AR9</f>
        <v/>
      </c>
      <c r="AU118">
        <f>'Grid_Stock'!AS9</f>
        <v/>
      </c>
      <c r="AV118">
        <f>'Grid_Stock'!AT9</f>
        <v/>
      </c>
      <c r="AW118">
        <f>'Grid_Stock'!AU9</f>
        <v/>
      </c>
      <c r="AX118">
        <f>'Grid_Stock'!AV9</f>
        <v/>
      </c>
      <c r="AY118">
        <f>'Grid_Stock'!AW9</f>
        <v/>
      </c>
      <c r="AZ118">
        <f>'Grid_Stock'!AX9</f>
        <v/>
      </c>
      <c r="BA118">
        <f>'Grid_Stock'!AY9</f>
        <v/>
      </c>
      <c r="BB118">
        <f>'Grid_Stock'!AZ9</f>
        <v/>
      </c>
      <c r="BC118">
        <f>'Grid_Stock'!BA9</f>
        <v/>
      </c>
      <c r="BD118">
        <f>'Grid_Stock'!BB9</f>
        <v/>
      </c>
      <c r="BE118">
        <f>'Grid_Stock'!BC9</f>
        <v/>
      </c>
      <c r="BF118">
        <f>'Grid_Stock'!BD9</f>
        <v/>
      </c>
      <c r="BG118">
        <f>'Grid_Stock'!BE9</f>
        <v/>
      </c>
      <c r="BH118">
        <f>'Grid_Stock'!BF9</f>
        <v/>
      </c>
      <c r="BI118">
        <f>'Grid_Stock'!BG9</f>
        <v/>
      </c>
      <c r="BJ118">
        <f>'Grid_Stock'!BH9</f>
        <v/>
      </c>
      <c r="BK118">
        <f>'Grid_Stock'!BI9</f>
        <v/>
      </c>
      <c r="BL118">
        <f>'Grid_Stock'!BJ9</f>
        <v/>
      </c>
      <c r="BM118">
        <f>'Grid_Stock'!BK9</f>
        <v/>
      </c>
      <c r="BN118">
        <f>'Grid_Stock'!BL9</f>
        <v/>
      </c>
      <c r="BO118">
        <f>'Grid_Stock'!BM9</f>
        <v/>
      </c>
      <c r="BP118">
        <f>'Grid_Stock'!BN9</f>
        <v/>
      </c>
      <c r="BQ118">
        <f>'Grid_Stock'!BO9</f>
        <v/>
      </c>
      <c r="BR118">
        <f>'Grid_Stock'!BP9</f>
        <v/>
      </c>
      <c r="BS118">
        <f>'Grid_Stock'!BQ9</f>
        <v/>
      </c>
      <c r="BT118">
        <f>'Grid_Stock'!BR9</f>
        <v/>
      </c>
      <c r="BU118">
        <f>'Grid_Stock'!BS9</f>
        <v/>
      </c>
      <c r="BV118">
        <f>'Grid_Stock'!BT9</f>
        <v/>
      </c>
      <c r="BW118">
        <f>'Grid_Stock'!BU9</f>
        <v/>
      </c>
      <c r="BX118">
        <f>'Grid_Stock'!BV9</f>
        <v/>
      </c>
      <c r="BY118">
        <f>'Grid_Stock'!BW9</f>
        <v/>
      </c>
      <c r="BZ118">
        <f>'Grid_Stock'!BX9</f>
        <v/>
      </c>
      <c r="CA118">
        <f>'Grid_Stock'!BY9</f>
        <v/>
      </c>
      <c r="CB118">
        <f>'Grid_Stock'!BZ9</f>
        <v/>
      </c>
      <c r="CC118">
        <f>'Grid_Stock'!CA9</f>
        <v/>
      </c>
      <c r="CD118">
        <f>'Grid_Stock'!CB9</f>
        <v/>
      </c>
      <c r="CE118">
        <f>'Grid_Stock'!CC9</f>
        <v/>
      </c>
      <c r="CF118">
        <f>'Grid_Stock'!CD9</f>
        <v/>
      </c>
      <c r="CG118">
        <f>'Grid_Stock'!CE9</f>
        <v/>
      </c>
      <c r="CH118">
        <f>'Grid_Stock'!CF9</f>
        <v/>
      </c>
      <c r="CI118">
        <f>'Grid_Stock'!CG9</f>
        <v/>
      </c>
      <c r="CJ118">
        <f>'Grid_Stock'!CH9</f>
        <v/>
      </c>
      <c r="CK118">
        <f>'Grid_Stock'!CI9</f>
        <v/>
      </c>
      <c r="CL118">
        <f>'Grid_Stock'!CJ9</f>
        <v/>
      </c>
      <c r="CM118">
        <f>'Grid_Stock'!CK9</f>
        <v/>
      </c>
      <c r="CN118">
        <f>'Grid_Stock'!CL9</f>
        <v/>
      </c>
      <c r="CO118">
        <f>'Grid_Stock'!CM9</f>
        <v/>
      </c>
      <c r="CP118">
        <f>'Grid_Stock'!CN9</f>
        <v/>
      </c>
      <c r="CQ118">
        <f>'Grid_Stock'!CO9</f>
        <v/>
      </c>
      <c r="CR118">
        <f>'Grid_Stock'!CP9</f>
        <v/>
      </c>
      <c r="CS118">
        <f>'Grid_Stock'!CQ9</f>
        <v/>
      </c>
      <c r="CT118">
        <f>'Grid_Stock'!CR9</f>
        <v/>
      </c>
      <c r="CU118">
        <f>'Grid_Stock'!CS9</f>
        <v/>
      </c>
      <c r="CV118">
        <f>'Grid_Stock'!CT9</f>
        <v/>
      </c>
      <c r="CW118">
        <f>'Grid_Stock'!CU9</f>
        <v/>
      </c>
      <c r="CX118">
        <f>'Grid_Stock'!CV9</f>
        <v/>
      </c>
      <c r="CY118">
        <f>'Grid_Stock'!CW9</f>
        <v/>
      </c>
      <c r="CZ118">
        <f>'Grid_Stock'!CX9</f>
        <v/>
      </c>
      <c r="DA118">
        <f>'Grid_Stock'!CY9</f>
        <v/>
      </c>
      <c r="DB118">
        <f>'Grid_Stock'!CZ9</f>
        <v/>
      </c>
      <c r="DC118">
        <f>'Grid_Stock'!DA9</f>
        <v/>
      </c>
    </row>
    <row r="119">
      <c r="B119" s="26" t="inlineStr">
        <is>
          <t>（発注の目安はDashboardの基準在庫[下限/上限]と色分けを参照）</t>
        </is>
      </c>
    </row>
    <row r="121">
      <c r="A121" s="21" t="inlineStr">
        <is>
          <t>OLJ</t>
        </is>
      </c>
      <c r="B121" s="21" t="inlineStr">
        <is>
          <t>Substrate NGK N126-103-105xT5</t>
        </is>
      </c>
      <c r="C121" s="22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  <c r="AO121" s="21" t="n"/>
      <c r="AP121" s="21" t="n"/>
      <c r="AQ121" s="21" t="n"/>
      <c r="AR121" s="21" t="n"/>
      <c r="AS121" s="21" t="n"/>
      <c r="AT121" s="21" t="n"/>
      <c r="AU121" s="21" t="n"/>
      <c r="AV121" s="21" t="n"/>
      <c r="AW121" s="21" t="n"/>
      <c r="AX121" s="21" t="n"/>
      <c r="AY121" s="21" t="n"/>
      <c r="AZ121" s="21" t="n"/>
      <c r="BA121" s="21" t="n"/>
      <c r="BB121" s="21" t="n"/>
      <c r="BC121" s="21" t="n"/>
      <c r="BD121" s="21" t="n"/>
      <c r="BE121" s="21" t="n"/>
      <c r="BF121" s="21" t="n"/>
      <c r="BG121" s="21" t="n"/>
      <c r="BH121" s="21" t="n"/>
      <c r="BI121" s="21" t="n"/>
      <c r="BJ121" s="21" t="n"/>
      <c r="BK121" s="21" t="n"/>
      <c r="BL121" s="21" t="n"/>
      <c r="BM121" s="21" t="n"/>
      <c r="BN121" s="21" t="n"/>
      <c r="BO121" s="21" t="n"/>
      <c r="BP121" s="21" t="n"/>
      <c r="BQ121" s="21" t="n"/>
      <c r="BR121" s="21" t="n"/>
      <c r="BS121" s="21" t="n"/>
      <c r="BT121" s="21" t="n"/>
      <c r="BU121" s="21" t="n"/>
      <c r="BV121" s="21" t="n"/>
      <c r="BW121" s="21" t="n"/>
      <c r="BX121" s="21" t="n"/>
      <c r="BY121" s="21" t="n"/>
      <c r="BZ121" s="21" t="n"/>
      <c r="CA121" s="21" t="n"/>
      <c r="CB121" s="21" t="n"/>
      <c r="CC121" s="21" t="n"/>
      <c r="CD121" s="21" t="n"/>
      <c r="CE121" s="21" t="n"/>
      <c r="CF121" s="21" t="n"/>
      <c r="CG121" s="21" t="n"/>
      <c r="CH121" s="21" t="n"/>
      <c r="CI121" s="21" t="n"/>
      <c r="CJ121" s="21" t="n"/>
      <c r="CK121" s="21" t="n"/>
      <c r="CL121" s="21" t="n"/>
      <c r="CM121" s="21" t="n"/>
      <c r="CN121" s="21" t="n"/>
      <c r="CO121" s="21" t="n"/>
      <c r="CP121" s="21" t="n"/>
      <c r="CQ121" s="21" t="n"/>
      <c r="CR121" s="21" t="n"/>
      <c r="CS121" s="21" t="n"/>
      <c r="CT121" s="21" t="n"/>
      <c r="CU121" s="21" t="n"/>
      <c r="CV121" s="21" t="n"/>
      <c r="CW121" s="21" t="n"/>
      <c r="CX121" s="21" t="n"/>
      <c r="CY121" s="21" t="n"/>
      <c r="CZ121" s="21" t="n"/>
      <c r="DA121" s="21" t="n"/>
      <c r="DB121" s="21" t="n"/>
      <c r="DC121" s="21" t="n"/>
    </row>
    <row r="122">
      <c r="B122" t="inlineStr">
        <is>
          <t>0T150</t>
        </is>
      </c>
      <c r="C122" t="inlineStr">
        <is>
          <t>No. of batches</t>
        </is>
      </c>
      <c r="D122">
        <f>IFERROR(INDEX(PP_Grid[#Data],$DD122,2),0)</f>
        <v/>
      </c>
      <c r="E122">
        <f>IFERROR(INDEX(PP_Grid[#Data],$DD122,3),0)</f>
        <v/>
      </c>
      <c r="F122">
        <f>IFERROR(INDEX(PP_Grid[#Data],$DD122,4),0)</f>
        <v/>
      </c>
      <c r="G122">
        <f>IFERROR(INDEX(PP_Grid[#Data],$DD122,5),0)</f>
        <v/>
      </c>
      <c r="H122">
        <f>IFERROR(INDEX(PP_Grid[#Data],$DD122,6),0)</f>
        <v/>
      </c>
      <c r="I122">
        <f>IFERROR(INDEX(PP_Grid[#Data],$DD122,7),0)</f>
        <v/>
      </c>
      <c r="J122">
        <f>IFERROR(INDEX(PP_Grid[#Data],$DD122,8),0)</f>
        <v/>
      </c>
      <c r="K122">
        <f>IFERROR(INDEX(PP_Grid[#Data],$DD122,9),0)</f>
        <v/>
      </c>
      <c r="L122">
        <f>IFERROR(INDEX(PP_Grid[#Data],$DD122,10),0)</f>
        <v/>
      </c>
      <c r="M122">
        <f>IFERROR(INDEX(PP_Grid[#Data],$DD122,11),0)</f>
        <v/>
      </c>
      <c r="N122">
        <f>IFERROR(INDEX(PP_Grid[#Data],$DD122,12),0)</f>
        <v/>
      </c>
      <c r="O122">
        <f>IFERROR(INDEX(PP_Grid[#Data],$DD122,13),0)</f>
        <v/>
      </c>
      <c r="P122">
        <f>IFERROR(INDEX(PP_Grid[#Data],$DD122,14),0)</f>
        <v/>
      </c>
      <c r="Q122">
        <f>IFERROR(INDEX(PP_Grid[#Data],$DD122,15),0)</f>
        <v/>
      </c>
      <c r="R122">
        <f>IFERROR(INDEX(PP_Grid[#Data],$DD122,16),0)</f>
        <v/>
      </c>
      <c r="S122">
        <f>IFERROR(INDEX(PP_Grid[#Data],$DD122,17),0)</f>
        <v/>
      </c>
      <c r="T122">
        <f>IFERROR(INDEX(PP_Grid[#Data],$DD122,18),0)</f>
        <v/>
      </c>
      <c r="U122">
        <f>IFERROR(INDEX(PP_Grid[#Data],$DD122,19),0)</f>
        <v/>
      </c>
      <c r="V122">
        <f>IFERROR(INDEX(PP_Grid[#Data],$DD122,20),0)</f>
        <v/>
      </c>
      <c r="W122">
        <f>IFERROR(INDEX(PP_Grid[#Data],$DD122,21),0)</f>
        <v/>
      </c>
      <c r="X122">
        <f>IFERROR(INDEX(PP_Grid[#Data],$DD122,22),0)</f>
        <v/>
      </c>
      <c r="Y122">
        <f>IFERROR(INDEX(PP_Grid[#Data],$DD122,23),0)</f>
        <v/>
      </c>
      <c r="Z122">
        <f>IFERROR(INDEX(PP_Grid[#Data],$DD122,24),0)</f>
        <v/>
      </c>
      <c r="AA122">
        <f>IFERROR(INDEX(PP_Grid[#Data],$DD122,25),0)</f>
        <v/>
      </c>
      <c r="AB122">
        <f>IFERROR(INDEX(PP_Grid[#Data],$DD122,26),0)</f>
        <v/>
      </c>
      <c r="AC122">
        <f>IFERROR(INDEX(PP_Grid[#Data],$DD122,27),0)</f>
        <v/>
      </c>
      <c r="AD122">
        <f>IFERROR(INDEX(PP_Grid[#Data],$DD122,28),0)</f>
        <v/>
      </c>
      <c r="AE122">
        <f>IFERROR(INDEX(PP_Grid[#Data],$DD122,29),0)</f>
        <v/>
      </c>
      <c r="AF122">
        <f>IFERROR(INDEX(PP_Grid[#Data],$DD122,30),0)</f>
        <v/>
      </c>
      <c r="AG122">
        <f>IFERROR(INDEX(PP_Grid[#Data],$DD122,31),0)</f>
        <v/>
      </c>
      <c r="AH122">
        <f>IFERROR(INDEX(PP_Grid[#Data],$DD122,32),0)</f>
        <v/>
      </c>
      <c r="AI122">
        <f>IFERROR(INDEX(PP_Grid[#Data],$DD122,33),0)</f>
        <v/>
      </c>
      <c r="AJ122">
        <f>IFERROR(INDEX(PP_Grid[#Data],$DD122,34),0)</f>
        <v/>
      </c>
      <c r="AK122">
        <f>IFERROR(INDEX(PP_Grid[#Data],$DD122,35),0)</f>
        <v/>
      </c>
      <c r="AL122">
        <f>IFERROR(INDEX(PP_Grid[#Data],$DD122,36),0)</f>
        <v/>
      </c>
      <c r="AM122">
        <f>IFERROR(INDEX(PP_Grid[#Data],$DD122,37),0)</f>
        <v/>
      </c>
      <c r="AN122">
        <f>IFERROR(INDEX(PP_Grid[#Data],$DD122,38),0)</f>
        <v/>
      </c>
      <c r="AO122">
        <f>IFERROR(INDEX(PP_Grid[#Data],$DD122,39),0)</f>
        <v/>
      </c>
      <c r="AP122">
        <f>IFERROR(INDEX(PP_Grid[#Data],$DD122,40),0)</f>
        <v/>
      </c>
      <c r="AQ122">
        <f>IFERROR(INDEX(PP_Grid[#Data],$DD122,41),0)</f>
        <v/>
      </c>
      <c r="AR122">
        <f>IFERROR(INDEX(PP_Grid[#Data],$DD122,42),0)</f>
        <v/>
      </c>
      <c r="AS122">
        <f>IFERROR(INDEX(PP_Grid[#Data],$DD122,43),0)</f>
        <v/>
      </c>
      <c r="AT122">
        <f>IFERROR(INDEX(PP_Grid[#Data],$DD122,44),0)</f>
        <v/>
      </c>
      <c r="AU122">
        <f>IFERROR(INDEX(PP_Grid[#Data],$DD122,45),0)</f>
        <v/>
      </c>
      <c r="AV122">
        <f>IFERROR(INDEX(PP_Grid[#Data],$DD122,46),0)</f>
        <v/>
      </c>
      <c r="AW122">
        <f>IFERROR(INDEX(PP_Grid[#Data],$DD122,47),0)</f>
        <v/>
      </c>
      <c r="AX122">
        <f>IFERROR(INDEX(PP_Grid[#Data],$DD122,48),0)</f>
        <v/>
      </c>
      <c r="AY122">
        <f>IFERROR(INDEX(PP_Grid[#Data],$DD122,49),0)</f>
        <v/>
      </c>
      <c r="AZ122">
        <f>IFERROR(INDEX(PP_Grid[#Data],$DD122,50),0)</f>
        <v/>
      </c>
      <c r="BA122">
        <f>IFERROR(INDEX(PP_Grid[#Data],$DD122,51),0)</f>
        <v/>
      </c>
      <c r="BB122">
        <f>IFERROR(INDEX(PP_Grid[#Data],$DD122,52),0)</f>
        <v/>
      </c>
      <c r="BC122">
        <f>IFERROR(INDEX(PP_Grid[#Data],$DD122,53),0)</f>
        <v/>
      </c>
      <c r="BD122">
        <f>IFERROR(INDEX(PP_Grid[#Data],$DD122,54),0)</f>
        <v/>
      </c>
      <c r="BE122">
        <f>IFERROR(INDEX(PP_Grid[#Data],$DD122,55),0)</f>
        <v/>
      </c>
      <c r="BF122">
        <f>IFERROR(INDEX(PP_Grid[#Data],$DD122,56),0)</f>
        <v/>
      </c>
      <c r="BG122">
        <f>IFERROR(INDEX(PP_Grid[#Data],$DD122,57),0)</f>
        <v/>
      </c>
      <c r="BH122">
        <f>IFERROR(INDEX(PP_Grid[#Data],$DD122,58),0)</f>
        <v/>
      </c>
      <c r="BI122">
        <f>IFERROR(INDEX(PP_Grid[#Data],$DD122,59),0)</f>
        <v/>
      </c>
      <c r="BJ122">
        <f>IFERROR(INDEX(PP_Grid[#Data],$DD122,60),0)</f>
        <v/>
      </c>
      <c r="BK122">
        <f>IFERROR(INDEX(PP_Grid[#Data],$DD122,61),0)</f>
        <v/>
      </c>
      <c r="BL122">
        <f>IFERROR(INDEX(PP_Grid[#Data],$DD122,62),0)</f>
        <v/>
      </c>
      <c r="BM122">
        <f>IFERROR(INDEX(PP_Grid[#Data],$DD122,63),0)</f>
        <v/>
      </c>
      <c r="BN122">
        <f>IFERROR(INDEX(PP_Grid[#Data],$DD122,64),0)</f>
        <v/>
      </c>
      <c r="BO122">
        <f>IFERROR(INDEX(PP_Grid[#Data],$DD122,65),0)</f>
        <v/>
      </c>
      <c r="BP122">
        <f>IFERROR(INDEX(PP_Grid[#Data],$DD122,66),0)</f>
        <v/>
      </c>
      <c r="BQ122">
        <f>IFERROR(INDEX(PP_Grid[#Data],$DD122,67),0)</f>
        <v/>
      </c>
      <c r="BR122">
        <f>IFERROR(INDEX(PP_Grid[#Data],$DD122,68),0)</f>
        <v/>
      </c>
      <c r="BS122">
        <f>IFERROR(INDEX(PP_Grid[#Data],$DD122,69),0)</f>
        <v/>
      </c>
      <c r="BT122">
        <f>IFERROR(INDEX(PP_Grid[#Data],$DD122,70),0)</f>
        <v/>
      </c>
      <c r="BU122">
        <f>IFERROR(INDEX(PP_Grid[#Data],$DD122,71),0)</f>
        <v/>
      </c>
      <c r="BV122">
        <f>IFERROR(INDEX(PP_Grid[#Data],$DD122,72),0)</f>
        <v/>
      </c>
      <c r="BW122">
        <f>IFERROR(INDEX(PP_Grid[#Data],$DD122,73),0)</f>
        <v/>
      </c>
      <c r="BX122">
        <f>IFERROR(INDEX(PP_Grid[#Data],$DD122,74),0)</f>
        <v/>
      </c>
      <c r="BY122">
        <f>IFERROR(INDEX(PP_Grid[#Data],$DD122,75),0)</f>
        <v/>
      </c>
      <c r="BZ122">
        <f>IFERROR(INDEX(PP_Grid[#Data],$DD122,76),0)</f>
        <v/>
      </c>
      <c r="CA122">
        <f>IFERROR(INDEX(PP_Grid[#Data],$DD122,77),0)</f>
        <v/>
      </c>
      <c r="CB122">
        <f>IFERROR(INDEX(PP_Grid[#Data],$DD122,78),0)</f>
        <v/>
      </c>
      <c r="CC122">
        <f>IFERROR(INDEX(PP_Grid[#Data],$DD122,79),0)</f>
        <v/>
      </c>
      <c r="CD122">
        <f>IFERROR(INDEX(PP_Grid[#Data],$DD122,80),0)</f>
        <v/>
      </c>
      <c r="CE122">
        <f>IFERROR(INDEX(PP_Grid[#Data],$DD122,81),0)</f>
        <v/>
      </c>
      <c r="CF122">
        <f>IFERROR(INDEX(PP_Grid[#Data],$DD122,82),0)</f>
        <v/>
      </c>
      <c r="CG122">
        <f>IFERROR(INDEX(PP_Grid[#Data],$DD122,83),0)</f>
        <v/>
      </c>
      <c r="CH122">
        <f>IFERROR(INDEX(PP_Grid[#Data],$DD122,84),0)</f>
        <v/>
      </c>
      <c r="CI122">
        <f>IFERROR(INDEX(PP_Grid[#Data],$DD122,85),0)</f>
        <v/>
      </c>
      <c r="CJ122">
        <f>IFERROR(INDEX(PP_Grid[#Data],$DD122,86),0)</f>
        <v/>
      </c>
      <c r="CK122">
        <f>IFERROR(INDEX(PP_Grid[#Data],$DD122,87),0)</f>
        <v/>
      </c>
      <c r="CL122">
        <f>IFERROR(INDEX(PP_Grid[#Data],$DD122,88),0)</f>
        <v/>
      </c>
      <c r="CM122">
        <f>IFERROR(INDEX(PP_Grid[#Data],$DD122,89),0)</f>
        <v/>
      </c>
      <c r="CN122">
        <f>IFERROR(INDEX(PP_Grid[#Data],$DD122,90),0)</f>
        <v/>
      </c>
      <c r="CO122">
        <f>IFERROR(INDEX(PP_Grid[#Data],$DD122,91),0)</f>
        <v/>
      </c>
      <c r="CP122">
        <f>IFERROR(INDEX(PP_Grid[#Data],$DD122,92),0)</f>
        <v/>
      </c>
      <c r="CQ122">
        <f>IFERROR(INDEX(PP_Grid[#Data],$DD122,93),0)</f>
        <v/>
      </c>
      <c r="CR122">
        <f>IFERROR(INDEX(PP_Grid[#Data],$DD122,94),0)</f>
        <v/>
      </c>
      <c r="CS122">
        <f>IFERROR(INDEX(PP_Grid[#Data],$DD122,95),0)</f>
        <v/>
      </c>
      <c r="CT122">
        <f>IFERROR(INDEX(PP_Grid[#Data],$DD122,96),0)</f>
        <v/>
      </c>
      <c r="CU122">
        <f>IFERROR(INDEX(PP_Grid[#Data],$DD122,97),0)</f>
        <v/>
      </c>
      <c r="CV122">
        <f>IFERROR(INDEX(PP_Grid[#Data],$DD122,98),0)</f>
        <v/>
      </c>
      <c r="CW122">
        <f>IFERROR(INDEX(PP_Grid[#Data],$DD122,99),0)</f>
        <v/>
      </c>
      <c r="CX122">
        <f>IFERROR(INDEX(PP_Grid[#Data],$DD122,100),0)</f>
        <v/>
      </c>
      <c r="CY122">
        <f>IFERROR(INDEX(PP_Grid[#Data],$DD122,101),0)</f>
        <v/>
      </c>
      <c r="CZ122">
        <f>IFERROR(INDEX(PP_Grid[#Data],$DD122,102),0)</f>
        <v/>
      </c>
      <c r="DA122">
        <f>IFERROR(INDEX(PP_Grid[#Data],$DD122,103),0)</f>
        <v/>
      </c>
      <c r="DB122">
        <f>IFERROR(INDEX(PP_Grid[#Data],$DD122,104),0)</f>
        <v/>
      </c>
      <c r="DC122">
        <f>IFERROR(INDEX(PP_Grid[#Data],$DD122,105),0)</f>
        <v/>
      </c>
      <c r="DD122" s="12">
        <f>IFERROR(MATCH($B122,PP_Grid[Intermediate],0),99999)</f>
        <v/>
      </c>
    </row>
    <row r="123">
      <c r="B123" t="inlineStr">
        <is>
          <t>使用量(kg)</t>
        </is>
      </c>
      <c r="C123">
        <f>SUMIFS(M_BOM[RM_Qty_Per_Batch],M_BOM[Intermediate],$B122,M_BOM[Part Name],$A121)</f>
        <v/>
      </c>
      <c r="D123">
        <f>$C123*D122</f>
        <v/>
      </c>
      <c r="E123">
        <f>$C123*E122</f>
        <v/>
      </c>
      <c r="F123">
        <f>$C123*F122</f>
        <v/>
      </c>
      <c r="G123">
        <f>$C123*G122</f>
        <v/>
      </c>
      <c r="H123">
        <f>$C123*H122</f>
        <v/>
      </c>
      <c r="I123">
        <f>$C123*I122</f>
        <v/>
      </c>
      <c r="J123">
        <f>$C123*J122</f>
        <v/>
      </c>
      <c r="K123">
        <f>$C123*K122</f>
        <v/>
      </c>
      <c r="L123">
        <f>$C123*L122</f>
        <v/>
      </c>
      <c r="M123">
        <f>$C123*M122</f>
        <v/>
      </c>
      <c r="N123">
        <f>$C123*N122</f>
        <v/>
      </c>
      <c r="O123">
        <f>$C123*O122</f>
        <v/>
      </c>
      <c r="P123">
        <f>$C123*P122</f>
        <v/>
      </c>
      <c r="Q123">
        <f>$C123*Q122</f>
        <v/>
      </c>
      <c r="R123">
        <f>$C123*R122</f>
        <v/>
      </c>
      <c r="S123">
        <f>$C123*S122</f>
        <v/>
      </c>
      <c r="T123">
        <f>$C123*T122</f>
        <v/>
      </c>
      <c r="U123">
        <f>$C123*U122</f>
        <v/>
      </c>
      <c r="V123">
        <f>$C123*V122</f>
        <v/>
      </c>
      <c r="W123">
        <f>$C123*W122</f>
        <v/>
      </c>
      <c r="X123">
        <f>$C123*X122</f>
        <v/>
      </c>
      <c r="Y123">
        <f>$C123*Y122</f>
        <v/>
      </c>
      <c r="Z123">
        <f>$C123*Z122</f>
        <v/>
      </c>
      <c r="AA123">
        <f>$C123*AA122</f>
        <v/>
      </c>
      <c r="AB123">
        <f>$C123*AB122</f>
        <v/>
      </c>
      <c r="AC123">
        <f>$C123*AC122</f>
        <v/>
      </c>
      <c r="AD123">
        <f>$C123*AD122</f>
        <v/>
      </c>
      <c r="AE123">
        <f>$C123*AE122</f>
        <v/>
      </c>
      <c r="AF123">
        <f>$C123*AF122</f>
        <v/>
      </c>
      <c r="AG123">
        <f>$C123*AG122</f>
        <v/>
      </c>
      <c r="AH123">
        <f>$C123*AH122</f>
        <v/>
      </c>
      <c r="AI123">
        <f>$C123*AI122</f>
        <v/>
      </c>
      <c r="AJ123">
        <f>$C123*AJ122</f>
        <v/>
      </c>
      <c r="AK123">
        <f>$C123*AK122</f>
        <v/>
      </c>
      <c r="AL123">
        <f>$C123*AL122</f>
        <v/>
      </c>
      <c r="AM123">
        <f>$C123*AM122</f>
        <v/>
      </c>
      <c r="AN123">
        <f>$C123*AN122</f>
        <v/>
      </c>
      <c r="AO123">
        <f>$C123*AO122</f>
        <v/>
      </c>
      <c r="AP123">
        <f>$C123*AP122</f>
        <v/>
      </c>
      <c r="AQ123">
        <f>$C123*AQ122</f>
        <v/>
      </c>
      <c r="AR123">
        <f>$C123*AR122</f>
        <v/>
      </c>
      <c r="AS123">
        <f>$C123*AS122</f>
        <v/>
      </c>
      <c r="AT123">
        <f>$C123*AT122</f>
        <v/>
      </c>
      <c r="AU123">
        <f>$C123*AU122</f>
        <v/>
      </c>
      <c r="AV123">
        <f>$C123*AV122</f>
        <v/>
      </c>
      <c r="AW123">
        <f>$C123*AW122</f>
        <v/>
      </c>
      <c r="AX123">
        <f>$C123*AX122</f>
        <v/>
      </c>
      <c r="AY123">
        <f>$C123*AY122</f>
        <v/>
      </c>
      <c r="AZ123">
        <f>$C123*AZ122</f>
        <v/>
      </c>
      <c r="BA123">
        <f>$C123*BA122</f>
        <v/>
      </c>
      <c r="BB123">
        <f>$C123*BB122</f>
        <v/>
      </c>
      <c r="BC123">
        <f>$C123*BC122</f>
        <v/>
      </c>
      <c r="BD123">
        <f>$C123*BD122</f>
        <v/>
      </c>
      <c r="BE123">
        <f>$C123*BE122</f>
        <v/>
      </c>
      <c r="BF123">
        <f>$C123*BF122</f>
        <v/>
      </c>
      <c r="BG123">
        <f>$C123*BG122</f>
        <v/>
      </c>
      <c r="BH123">
        <f>$C123*BH122</f>
        <v/>
      </c>
      <c r="BI123">
        <f>$C123*BI122</f>
        <v/>
      </c>
      <c r="BJ123">
        <f>$C123*BJ122</f>
        <v/>
      </c>
      <c r="BK123">
        <f>$C123*BK122</f>
        <v/>
      </c>
      <c r="BL123">
        <f>$C123*BL122</f>
        <v/>
      </c>
      <c r="BM123">
        <f>$C123*BM122</f>
        <v/>
      </c>
      <c r="BN123">
        <f>$C123*BN122</f>
        <v/>
      </c>
      <c r="BO123">
        <f>$C123*BO122</f>
        <v/>
      </c>
      <c r="BP123">
        <f>$C123*BP122</f>
        <v/>
      </c>
      <c r="BQ123">
        <f>$C123*BQ122</f>
        <v/>
      </c>
      <c r="BR123">
        <f>$C123*BR122</f>
        <v/>
      </c>
      <c r="BS123">
        <f>$C123*BS122</f>
        <v/>
      </c>
      <c r="BT123">
        <f>$C123*BT122</f>
        <v/>
      </c>
      <c r="BU123">
        <f>$C123*BU122</f>
        <v/>
      </c>
      <c r="BV123">
        <f>$C123*BV122</f>
        <v/>
      </c>
      <c r="BW123">
        <f>$C123*BW122</f>
        <v/>
      </c>
      <c r="BX123">
        <f>$C123*BX122</f>
        <v/>
      </c>
      <c r="BY123">
        <f>$C123*BY122</f>
        <v/>
      </c>
      <c r="BZ123">
        <f>$C123*BZ122</f>
        <v/>
      </c>
      <c r="CA123">
        <f>$C123*CA122</f>
        <v/>
      </c>
      <c r="CB123">
        <f>$C123*CB122</f>
        <v/>
      </c>
      <c r="CC123">
        <f>$C123*CC122</f>
        <v/>
      </c>
      <c r="CD123">
        <f>$C123*CD122</f>
        <v/>
      </c>
      <c r="CE123">
        <f>$C123*CE122</f>
        <v/>
      </c>
      <c r="CF123">
        <f>$C123*CF122</f>
        <v/>
      </c>
      <c r="CG123">
        <f>$C123*CG122</f>
        <v/>
      </c>
      <c r="CH123">
        <f>$C123*CH122</f>
        <v/>
      </c>
      <c r="CI123">
        <f>$C123*CI122</f>
        <v/>
      </c>
      <c r="CJ123">
        <f>$C123*CJ122</f>
        <v/>
      </c>
      <c r="CK123">
        <f>$C123*CK122</f>
        <v/>
      </c>
      <c r="CL123">
        <f>$C123*CL122</f>
        <v/>
      </c>
      <c r="CM123">
        <f>$C123*CM122</f>
        <v/>
      </c>
      <c r="CN123">
        <f>$C123*CN122</f>
        <v/>
      </c>
      <c r="CO123">
        <f>$C123*CO122</f>
        <v/>
      </c>
      <c r="CP123">
        <f>$C123*CP122</f>
        <v/>
      </c>
      <c r="CQ123">
        <f>$C123*CQ122</f>
        <v/>
      </c>
      <c r="CR123">
        <f>$C123*CR122</f>
        <v/>
      </c>
      <c r="CS123">
        <f>$C123*CS122</f>
        <v/>
      </c>
      <c r="CT123">
        <f>$C123*CT122</f>
        <v/>
      </c>
      <c r="CU123">
        <f>$C123*CU122</f>
        <v/>
      </c>
      <c r="CV123">
        <f>$C123*CV122</f>
        <v/>
      </c>
      <c r="CW123">
        <f>$C123*CW122</f>
        <v/>
      </c>
      <c r="CX123">
        <f>$C123*CX122</f>
        <v/>
      </c>
      <c r="CY123">
        <f>$C123*CY122</f>
        <v/>
      </c>
      <c r="CZ123">
        <f>$C123*CZ122</f>
        <v/>
      </c>
      <c r="DA123">
        <f>$C123*DA122</f>
        <v/>
      </c>
      <c r="DB123">
        <f>$C123*DB122</f>
        <v/>
      </c>
      <c r="DC123">
        <f>$C123*DC122</f>
        <v/>
      </c>
    </row>
    <row r="124">
      <c r="B124" t="inlineStr">
        <is>
          <t>0T410</t>
        </is>
      </c>
      <c r="C124" t="inlineStr">
        <is>
          <t>No. of batches</t>
        </is>
      </c>
      <c r="D124">
        <f>IFERROR(INDEX(PP_Grid[#Data],$DD124,2),0)</f>
        <v/>
      </c>
      <c r="E124">
        <f>IFERROR(INDEX(PP_Grid[#Data],$DD124,3),0)</f>
        <v/>
      </c>
      <c r="F124">
        <f>IFERROR(INDEX(PP_Grid[#Data],$DD124,4),0)</f>
        <v/>
      </c>
      <c r="G124">
        <f>IFERROR(INDEX(PP_Grid[#Data],$DD124,5),0)</f>
        <v/>
      </c>
      <c r="H124">
        <f>IFERROR(INDEX(PP_Grid[#Data],$DD124,6),0)</f>
        <v/>
      </c>
      <c r="I124">
        <f>IFERROR(INDEX(PP_Grid[#Data],$DD124,7),0)</f>
        <v/>
      </c>
      <c r="J124">
        <f>IFERROR(INDEX(PP_Grid[#Data],$DD124,8),0)</f>
        <v/>
      </c>
      <c r="K124">
        <f>IFERROR(INDEX(PP_Grid[#Data],$DD124,9),0)</f>
        <v/>
      </c>
      <c r="L124">
        <f>IFERROR(INDEX(PP_Grid[#Data],$DD124,10),0)</f>
        <v/>
      </c>
      <c r="M124">
        <f>IFERROR(INDEX(PP_Grid[#Data],$DD124,11),0)</f>
        <v/>
      </c>
      <c r="N124">
        <f>IFERROR(INDEX(PP_Grid[#Data],$DD124,12),0)</f>
        <v/>
      </c>
      <c r="O124">
        <f>IFERROR(INDEX(PP_Grid[#Data],$DD124,13),0)</f>
        <v/>
      </c>
      <c r="P124">
        <f>IFERROR(INDEX(PP_Grid[#Data],$DD124,14),0)</f>
        <v/>
      </c>
      <c r="Q124">
        <f>IFERROR(INDEX(PP_Grid[#Data],$DD124,15),0)</f>
        <v/>
      </c>
      <c r="R124">
        <f>IFERROR(INDEX(PP_Grid[#Data],$DD124,16),0)</f>
        <v/>
      </c>
      <c r="S124">
        <f>IFERROR(INDEX(PP_Grid[#Data],$DD124,17),0)</f>
        <v/>
      </c>
      <c r="T124">
        <f>IFERROR(INDEX(PP_Grid[#Data],$DD124,18),0)</f>
        <v/>
      </c>
      <c r="U124">
        <f>IFERROR(INDEX(PP_Grid[#Data],$DD124,19),0)</f>
        <v/>
      </c>
      <c r="V124">
        <f>IFERROR(INDEX(PP_Grid[#Data],$DD124,20),0)</f>
        <v/>
      </c>
      <c r="W124">
        <f>IFERROR(INDEX(PP_Grid[#Data],$DD124,21),0)</f>
        <v/>
      </c>
      <c r="X124">
        <f>IFERROR(INDEX(PP_Grid[#Data],$DD124,22),0)</f>
        <v/>
      </c>
      <c r="Y124">
        <f>IFERROR(INDEX(PP_Grid[#Data],$DD124,23),0)</f>
        <v/>
      </c>
      <c r="Z124">
        <f>IFERROR(INDEX(PP_Grid[#Data],$DD124,24),0)</f>
        <v/>
      </c>
      <c r="AA124">
        <f>IFERROR(INDEX(PP_Grid[#Data],$DD124,25),0)</f>
        <v/>
      </c>
      <c r="AB124">
        <f>IFERROR(INDEX(PP_Grid[#Data],$DD124,26),0)</f>
        <v/>
      </c>
      <c r="AC124">
        <f>IFERROR(INDEX(PP_Grid[#Data],$DD124,27),0)</f>
        <v/>
      </c>
      <c r="AD124">
        <f>IFERROR(INDEX(PP_Grid[#Data],$DD124,28),0)</f>
        <v/>
      </c>
      <c r="AE124">
        <f>IFERROR(INDEX(PP_Grid[#Data],$DD124,29),0)</f>
        <v/>
      </c>
      <c r="AF124">
        <f>IFERROR(INDEX(PP_Grid[#Data],$DD124,30),0)</f>
        <v/>
      </c>
      <c r="AG124">
        <f>IFERROR(INDEX(PP_Grid[#Data],$DD124,31),0)</f>
        <v/>
      </c>
      <c r="AH124">
        <f>IFERROR(INDEX(PP_Grid[#Data],$DD124,32),0)</f>
        <v/>
      </c>
      <c r="AI124">
        <f>IFERROR(INDEX(PP_Grid[#Data],$DD124,33),0)</f>
        <v/>
      </c>
      <c r="AJ124">
        <f>IFERROR(INDEX(PP_Grid[#Data],$DD124,34),0)</f>
        <v/>
      </c>
      <c r="AK124">
        <f>IFERROR(INDEX(PP_Grid[#Data],$DD124,35),0)</f>
        <v/>
      </c>
      <c r="AL124">
        <f>IFERROR(INDEX(PP_Grid[#Data],$DD124,36),0)</f>
        <v/>
      </c>
      <c r="AM124">
        <f>IFERROR(INDEX(PP_Grid[#Data],$DD124,37),0)</f>
        <v/>
      </c>
      <c r="AN124">
        <f>IFERROR(INDEX(PP_Grid[#Data],$DD124,38),0)</f>
        <v/>
      </c>
      <c r="AO124">
        <f>IFERROR(INDEX(PP_Grid[#Data],$DD124,39),0)</f>
        <v/>
      </c>
      <c r="AP124">
        <f>IFERROR(INDEX(PP_Grid[#Data],$DD124,40),0)</f>
        <v/>
      </c>
      <c r="AQ124">
        <f>IFERROR(INDEX(PP_Grid[#Data],$DD124,41),0)</f>
        <v/>
      </c>
      <c r="AR124">
        <f>IFERROR(INDEX(PP_Grid[#Data],$DD124,42),0)</f>
        <v/>
      </c>
      <c r="AS124">
        <f>IFERROR(INDEX(PP_Grid[#Data],$DD124,43),0)</f>
        <v/>
      </c>
      <c r="AT124">
        <f>IFERROR(INDEX(PP_Grid[#Data],$DD124,44),0)</f>
        <v/>
      </c>
      <c r="AU124">
        <f>IFERROR(INDEX(PP_Grid[#Data],$DD124,45),0)</f>
        <v/>
      </c>
      <c r="AV124">
        <f>IFERROR(INDEX(PP_Grid[#Data],$DD124,46),0)</f>
        <v/>
      </c>
      <c r="AW124">
        <f>IFERROR(INDEX(PP_Grid[#Data],$DD124,47),0)</f>
        <v/>
      </c>
      <c r="AX124">
        <f>IFERROR(INDEX(PP_Grid[#Data],$DD124,48),0)</f>
        <v/>
      </c>
      <c r="AY124">
        <f>IFERROR(INDEX(PP_Grid[#Data],$DD124,49),0)</f>
        <v/>
      </c>
      <c r="AZ124">
        <f>IFERROR(INDEX(PP_Grid[#Data],$DD124,50),0)</f>
        <v/>
      </c>
      <c r="BA124">
        <f>IFERROR(INDEX(PP_Grid[#Data],$DD124,51),0)</f>
        <v/>
      </c>
      <c r="BB124">
        <f>IFERROR(INDEX(PP_Grid[#Data],$DD124,52),0)</f>
        <v/>
      </c>
      <c r="BC124">
        <f>IFERROR(INDEX(PP_Grid[#Data],$DD124,53),0)</f>
        <v/>
      </c>
      <c r="BD124">
        <f>IFERROR(INDEX(PP_Grid[#Data],$DD124,54),0)</f>
        <v/>
      </c>
      <c r="BE124">
        <f>IFERROR(INDEX(PP_Grid[#Data],$DD124,55),0)</f>
        <v/>
      </c>
      <c r="BF124">
        <f>IFERROR(INDEX(PP_Grid[#Data],$DD124,56),0)</f>
        <v/>
      </c>
      <c r="BG124">
        <f>IFERROR(INDEX(PP_Grid[#Data],$DD124,57),0)</f>
        <v/>
      </c>
      <c r="BH124">
        <f>IFERROR(INDEX(PP_Grid[#Data],$DD124,58),0)</f>
        <v/>
      </c>
      <c r="BI124">
        <f>IFERROR(INDEX(PP_Grid[#Data],$DD124,59),0)</f>
        <v/>
      </c>
      <c r="BJ124">
        <f>IFERROR(INDEX(PP_Grid[#Data],$DD124,60),0)</f>
        <v/>
      </c>
      <c r="BK124">
        <f>IFERROR(INDEX(PP_Grid[#Data],$DD124,61),0)</f>
        <v/>
      </c>
      <c r="BL124">
        <f>IFERROR(INDEX(PP_Grid[#Data],$DD124,62),0)</f>
        <v/>
      </c>
      <c r="BM124">
        <f>IFERROR(INDEX(PP_Grid[#Data],$DD124,63),0)</f>
        <v/>
      </c>
      <c r="BN124">
        <f>IFERROR(INDEX(PP_Grid[#Data],$DD124,64),0)</f>
        <v/>
      </c>
      <c r="BO124">
        <f>IFERROR(INDEX(PP_Grid[#Data],$DD124,65),0)</f>
        <v/>
      </c>
      <c r="BP124">
        <f>IFERROR(INDEX(PP_Grid[#Data],$DD124,66),0)</f>
        <v/>
      </c>
      <c r="BQ124">
        <f>IFERROR(INDEX(PP_Grid[#Data],$DD124,67),0)</f>
        <v/>
      </c>
      <c r="BR124">
        <f>IFERROR(INDEX(PP_Grid[#Data],$DD124,68),0)</f>
        <v/>
      </c>
      <c r="BS124">
        <f>IFERROR(INDEX(PP_Grid[#Data],$DD124,69),0)</f>
        <v/>
      </c>
      <c r="BT124">
        <f>IFERROR(INDEX(PP_Grid[#Data],$DD124,70),0)</f>
        <v/>
      </c>
      <c r="BU124">
        <f>IFERROR(INDEX(PP_Grid[#Data],$DD124,71),0)</f>
        <v/>
      </c>
      <c r="BV124">
        <f>IFERROR(INDEX(PP_Grid[#Data],$DD124,72),0)</f>
        <v/>
      </c>
      <c r="BW124">
        <f>IFERROR(INDEX(PP_Grid[#Data],$DD124,73),0)</f>
        <v/>
      </c>
      <c r="BX124">
        <f>IFERROR(INDEX(PP_Grid[#Data],$DD124,74),0)</f>
        <v/>
      </c>
      <c r="BY124">
        <f>IFERROR(INDEX(PP_Grid[#Data],$DD124,75),0)</f>
        <v/>
      </c>
      <c r="BZ124">
        <f>IFERROR(INDEX(PP_Grid[#Data],$DD124,76),0)</f>
        <v/>
      </c>
      <c r="CA124">
        <f>IFERROR(INDEX(PP_Grid[#Data],$DD124,77),0)</f>
        <v/>
      </c>
      <c r="CB124">
        <f>IFERROR(INDEX(PP_Grid[#Data],$DD124,78),0)</f>
        <v/>
      </c>
      <c r="CC124">
        <f>IFERROR(INDEX(PP_Grid[#Data],$DD124,79),0)</f>
        <v/>
      </c>
      <c r="CD124">
        <f>IFERROR(INDEX(PP_Grid[#Data],$DD124,80),0)</f>
        <v/>
      </c>
      <c r="CE124">
        <f>IFERROR(INDEX(PP_Grid[#Data],$DD124,81),0)</f>
        <v/>
      </c>
      <c r="CF124">
        <f>IFERROR(INDEX(PP_Grid[#Data],$DD124,82),0)</f>
        <v/>
      </c>
      <c r="CG124">
        <f>IFERROR(INDEX(PP_Grid[#Data],$DD124,83),0)</f>
        <v/>
      </c>
      <c r="CH124">
        <f>IFERROR(INDEX(PP_Grid[#Data],$DD124,84),0)</f>
        <v/>
      </c>
      <c r="CI124">
        <f>IFERROR(INDEX(PP_Grid[#Data],$DD124,85),0)</f>
        <v/>
      </c>
      <c r="CJ124">
        <f>IFERROR(INDEX(PP_Grid[#Data],$DD124,86),0)</f>
        <v/>
      </c>
      <c r="CK124">
        <f>IFERROR(INDEX(PP_Grid[#Data],$DD124,87),0)</f>
        <v/>
      </c>
      <c r="CL124">
        <f>IFERROR(INDEX(PP_Grid[#Data],$DD124,88),0)</f>
        <v/>
      </c>
      <c r="CM124">
        <f>IFERROR(INDEX(PP_Grid[#Data],$DD124,89),0)</f>
        <v/>
      </c>
      <c r="CN124">
        <f>IFERROR(INDEX(PP_Grid[#Data],$DD124,90),0)</f>
        <v/>
      </c>
      <c r="CO124">
        <f>IFERROR(INDEX(PP_Grid[#Data],$DD124,91),0)</f>
        <v/>
      </c>
      <c r="CP124">
        <f>IFERROR(INDEX(PP_Grid[#Data],$DD124,92),0)</f>
        <v/>
      </c>
      <c r="CQ124">
        <f>IFERROR(INDEX(PP_Grid[#Data],$DD124,93),0)</f>
        <v/>
      </c>
      <c r="CR124">
        <f>IFERROR(INDEX(PP_Grid[#Data],$DD124,94),0)</f>
        <v/>
      </c>
      <c r="CS124">
        <f>IFERROR(INDEX(PP_Grid[#Data],$DD124,95),0)</f>
        <v/>
      </c>
      <c r="CT124">
        <f>IFERROR(INDEX(PP_Grid[#Data],$DD124,96),0)</f>
        <v/>
      </c>
      <c r="CU124">
        <f>IFERROR(INDEX(PP_Grid[#Data],$DD124,97),0)</f>
        <v/>
      </c>
      <c r="CV124">
        <f>IFERROR(INDEX(PP_Grid[#Data],$DD124,98),0)</f>
        <v/>
      </c>
      <c r="CW124">
        <f>IFERROR(INDEX(PP_Grid[#Data],$DD124,99),0)</f>
        <v/>
      </c>
      <c r="CX124">
        <f>IFERROR(INDEX(PP_Grid[#Data],$DD124,100),0)</f>
        <v/>
      </c>
      <c r="CY124">
        <f>IFERROR(INDEX(PP_Grid[#Data],$DD124,101),0)</f>
        <v/>
      </c>
      <c r="CZ124">
        <f>IFERROR(INDEX(PP_Grid[#Data],$DD124,102),0)</f>
        <v/>
      </c>
      <c r="DA124">
        <f>IFERROR(INDEX(PP_Grid[#Data],$DD124,103),0)</f>
        <v/>
      </c>
      <c r="DB124">
        <f>IFERROR(INDEX(PP_Grid[#Data],$DD124,104),0)</f>
        <v/>
      </c>
      <c r="DC124">
        <f>IFERROR(INDEX(PP_Grid[#Data],$DD124,105),0)</f>
        <v/>
      </c>
      <c r="DD124" s="12">
        <f>IFERROR(MATCH($B124,PP_Grid[Intermediate],0),99999)</f>
        <v/>
      </c>
    </row>
    <row r="125">
      <c r="B125" t="inlineStr">
        <is>
          <t>使用量(kg)</t>
        </is>
      </c>
      <c r="C125">
        <f>SUMIFS(M_BOM[RM_Qty_Per_Batch],M_BOM[Intermediate],$B124,M_BOM[Part Name],$A121)</f>
        <v/>
      </c>
      <c r="D125">
        <f>$C125*D124</f>
        <v/>
      </c>
      <c r="E125">
        <f>$C125*E124</f>
        <v/>
      </c>
      <c r="F125">
        <f>$C125*F124</f>
        <v/>
      </c>
      <c r="G125">
        <f>$C125*G124</f>
        <v/>
      </c>
      <c r="H125">
        <f>$C125*H124</f>
        <v/>
      </c>
      <c r="I125">
        <f>$C125*I124</f>
        <v/>
      </c>
      <c r="J125">
        <f>$C125*J124</f>
        <v/>
      </c>
      <c r="K125">
        <f>$C125*K124</f>
        <v/>
      </c>
      <c r="L125">
        <f>$C125*L124</f>
        <v/>
      </c>
      <c r="M125">
        <f>$C125*M124</f>
        <v/>
      </c>
      <c r="N125">
        <f>$C125*N124</f>
        <v/>
      </c>
      <c r="O125">
        <f>$C125*O124</f>
        <v/>
      </c>
      <c r="P125">
        <f>$C125*P124</f>
        <v/>
      </c>
      <c r="Q125">
        <f>$C125*Q124</f>
        <v/>
      </c>
      <c r="R125">
        <f>$C125*R124</f>
        <v/>
      </c>
      <c r="S125">
        <f>$C125*S124</f>
        <v/>
      </c>
      <c r="T125">
        <f>$C125*T124</f>
        <v/>
      </c>
      <c r="U125">
        <f>$C125*U124</f>
        <v/>
      </c>
      <c r="V125">
        <f>$C125*V124</f>
        <v/>
      </c>
      <c r="W125">
        <f>$C125*W124</f>
        <v/>
      </c>
      <c r="X125">
        <f>$C125*X124</f>
        <v/>
      </c>
      <c r="Y125">
        <f>$C125*Y124</f>
        <v/>
      </c>
      <c r="Z125">
        <f>$C125*Z124</f>
        <v/>
      </c>
      <c r="AA125">
        <f>$C125*AA124</f>
        <v/>
      </c>
      <c r="AB125">
        <f>$C125*AB124</f>
        <v/>
      </c>
      <c r="AC125">
        <f>$C125*AC124</f>
        <v/>
      </c>
      <c r="AD125">
        <f>$C125*AD124</f>
        <v/>
      </c>
      <c r="AE125">
        <f>$C125*AE124</f>
        <v/>
      </c>
      <c r="AF125">
        <f>$C125*AF124</f>
        <v/>
      </c>
      <c r="AG125">
        <f>$C125*AG124</f>
        <v/>
      </c>
      <c r="AH125">
        <f>$C125*AH124</f>
        <v/>
      </c>
      <c r="AI125">
        <f>$C125*AI124</f>
        <v/>
      </c>
      <c r="AJ125">
        <f>$C125*AJ124</f>
        <v/>
      </c>
      <c r="AK125">
        <f>$C125*AK124</f>
        <v/>
      </c>
      <c r="AL125">
        <f>$C125*AL124</f>
        <v/>
      </c>
      <c r="AM125">
        <f>$C125*AM124</f>
        <v/>
      </c>
      <c r="AN125">
        <f>$C125*AN124</f>
        <v/>
      </c>
      <c r="AO125">
        <f>$C125*AO124</f>
        <v/>
      </c>
      <c r="AP125">
        <f>$C125*AP124</f>
        <v/>
      </c>
      <c r="AQ125">
        <f>$C125*AQ124</f>
        <v/>
      </c>
      <c r="AR125">
        <f>$C125*AR124</f>
        <v/>
      </c>
      <c r="AS125">
        <f>$C125*AS124</f>
        <v/>
      </c>
      <c r="AT125">
        <f>$C125*AT124</f>
        <v/>
      </c>
      <c r="AU125">
        <f>$C125*AU124</f>
        <v/>
      </c>
      <c r="AV125">
        <f>$C125*AV124</f>
        <v/>
      </c>
      <c r="AW125">
        <f>$C125*AW124</f>
        <v/>
      </c>
      <c r="AX125">
        <f>$C125*AX124</f>
        <v/>
      </c>
      <c r="AY125">
        <f>$C125*AY124</f>
        <v/>
      </c>
      <c r="AZ125">
        <f>$C125*AZ124</f>
        <v/>
      </c>
      <c r="BA125">
        <f>$C125*BA124</f>
        <v/>
      </c>
      <c r="BB125">
        <f>$C125*BB124</f>
        <v/>
      </c>
      <c r="BC125">
        <f>$C125*BC124</f>
        <v/>
      </c>
      <c r="BD125">
        <f>$C125*BD124</f>
        <v/>
      </c>
      <c r="BE125">
        <f>$C125*BE124</f>
        <v/>
      </c>
      <c r="BF125">
        <f>$C125*BF124</f>
        <v/>
      </c>
      <c r="BG125">
        <f>$C125*BG124</f>
        <v/>
      </c>
      <c r="BH125">
        <f>$C125*BH124</f>
        <v/>
      </c>
      <c r="BI125">
        <f>$C125*BI124</f>
        <v/>
      </c>
      <c r="BJ125">
        <f>$C125*BJ124</f>
        <v/>
      </c>
      <c r="BK125">
        <f>$C125*BK124</f>
        <v/>
      </c>
      <c r="BL125">
        <f>$C125*BL124</f>
        <v/>
      </c>
      <c r="BM125">
        <f>$C125*BM124</f>
        <v/>
      </c>
      <c r="BN125">
        <f>$C125*BN124</f>
        <v/>
      </c>
      <c r="BO125">
        <f>$C125*BO124</f>
        <v/>
      </c>
      <c r="BP125">
        <f>$C125*BP124</f>
        <v/>
      </c>
      <c r="BQ125">
        <f>$C125*BQ124</f>
        <v/>
      </c>
      <c r="BR125">
        <f>$C125*BR124</f>
        <v/>
      </c>
      <c r="BS125">
        <f>$C125*BS124</f>
        <v/>
      </c>
      <c r="BT125">
        <f>$C125*BT124</f>
        <v/>
      </c>
      <c r="BU125">
        <f>$C125*BU124</f>
        <v/>
      </c>
      <c r="BV125">
        <f>$C125*BV124</f>
        <v/>
      </c>
      <c r="BW125">
        <f>$C125*BW124</f>
        <v/>
      </c>
      <c r="BX125">
        <f>$C125*BX124</f>
        <v/>
      </c>
      <c r="BY125">
        <f>$C125*BY124</f>
        <v/>
      </c>
      <c r="BZ125">
        <f>$C125*BZ124</f>
        <v/>
      </c>
      <c r="CA125">
        <f>$C125*CA124</f>
        <v/>
      </c>
      <c r="CB125">
        <f>$C125*CB124</f>
        <v/>
      </c>
      <c r="CC125">
        <f>$C125*CC124</f>
        <v/>
      </c>
      <c r="CD125">
        <f>$C125*CD124</f>
        <v/>
      </c>
      <c r="CE125">
        <f>$C125*CE124</f>
        <v/>
      </c>
      <c r="CF125">
        <f>$C125*CF124</f>
        <v/>
      </c>
      <c r="CG125">
        <f>$C125*CG124</f>
        <v/>
      </c>
      <c r="CH125">
        <f>$C125*CH124</f>
        <v/>
      </c>
      <c r="CI125">
        <f>$C125*CI124</f>
        <v/>
      </c>
      <c r="CJ125">
        <f>$C125*CJ124</f>
        <v/>
      </c>
      <c r="CK125">
        <f>$C125*CK124</f>
        <v/>
      </c>
      <c r="CL125">
        <f>$C125*CL124</f>
        <v/>
      </c>
      <c r="CM125">
        <f>$C125*CM124</f>
        <v/>
      </c>
      <c r="CN125">
        <f>$C125*CN124</f>
        <v/>
      </c>
      <c r="CO125">
        <f>$C125*CO124</f>
        <v/>
      </c>
      <c r="CP125">
        <f>$C125*CP124</f>
        <v/>
      </c>
      <c r="CQ125">
        <f>$C125*CQ124</f>
        <v/>
      </c>
      <c r="CR125">
        <f>$C125*CR124</f>
        <v/>
      </c>
      <c r="CS125">
        <f>$C125*CS124</f>
        <v/>
      </c>
      <c r="CT125">
        <f>$C125*CT124</f>
        <v/>
      </c>
      <c r="CU125">
        <f>$C125*CU124</f>
        <v/>
      </c>
      <c r="CV125">
        <f>$C125*CV124</f>
        <v/>
      </c>
      <c r="CW125">
        <f>$C125*CW124</f>
        <v/>
      </c>
      <c r="CX125">
        <f>$C125*CX124</f>
        <v/>
      </c>
      <c r="CY125">
        <f>$C125*CY124</f>
        <v/>
      </c>
      <c r="CZ125">
        <f>$C125*CZ124</f>
        <v/>
      </c>
      <c r="DA125">
        <f>$C125*DA124</f>
        <v/>
      </c>
      <c r="DB125">
        <f>$C125*DB124</f>
        <v/>
      </c>
      <c r="DC125">
        <f>$C125*DC124</f>
        <v/>
      </c>
    </row>
    <row r="126">
      <c r="B126" t="inlineStr">
        <is>
          <t>0T420</t>
        </is>
      </c>
      <c r="C126" t="inlineStr">
        <is>
          <t>No. of batches</t>
        </is>
      </c>
      <c r="D126">
        <f>IFERROR(INDEX(PP_Grid[#Data],$DD126,2),0)</f>
        <v/>
      </c>
      <c r="E126">
        <f>IFERROR(INDEX(PP_Grid[#Data],$DD126,3),0)</f>
        <v/>
      </c>
      <c r="F126">
        <f>IFERROR(INDEX(PP_Grid[#Data],$DD126,4),0)</f>
        <v/>
      </c>
      <c r="G126">
        <f>IFERROR(INDEX(PP_Grid[#Data],$DD126,5),0)</f>
        <v/>
      </c>
      <c r="H126">
        <f>IFERROR(INDEX(PP_Grid[#Data],$DD126,6),0)</f>
        <v/>
      </c>
      <c r="I126">
        <f>IFERROR(INDEX(PP_Grid[#Data],$DD126,7),0)</f>
        <v/>
      </c>
      <c r="J126">
        <f>IFERROR(INDEX(PP_Grid[#Data],$DD126,8),0)</f>
        <v/>
      </c>
      <c r="K126">
        <f>IFERROR(INDEX(PP_Grid[#Data],$DD126,9),0)</f>
        <v/>
      </c>
      <c r="L126">
        <f>IFERROR(INDEX(PP_Grid[#Data],$DD126,10),0)</f>
        <v/>
      </c>
      <c r="M126">
        <f>IFERROR(INDEX(PP_Grid[#Data],$DD126,11),0)</f>
        <v/>
      </c>
      <c r="N126">
        <f>IFERROR(INDEX(PP_Grid[#Data],$DD126,12),0)</f>
        <v/>
      </c>
      <c r="O126">
        <f>IFERROR(INDEX(PP_Grid[#Data],$DD126,13),0)</f>
        <v/>
      </c>
      <c r="P126">
        <f>IFERROR(INDEX(PP_Grid[#Data],$DD126,14),0)</f>
        <v/>
      </c>
      <c r="Q126">
        <f>IFERROR(INDEX(PP_Grid[#Data],$DD126,15),0)</f>
        <v/>
      </c>
      <c r="R126">
        <f>IFERROR(INDEX(PP_Grid[#Data],$DD126,16),0)</f>
        <v/>
      </c>
      <c r="S126">
        <f>IFERROR(INDEX(PP_Grid[#Data],$DD126,17),0)</f>
        <v/>
      </c>
      <c r="T126">
        <f>IFERROR(INDEX(PP_Grid[#Data],$DD126,18),0)</f>
        <v/>
      </c>
      <c r="U126">
        <f>IFERROR(INDEX(PP_Grid[#Data],$DD126,19),0)</f>
        <v/>
      </c>
      <c r="V126">
        <f>IFERROR(INDEX(PP_Grid[#Data],$DD126,20),0)</f>
        <v/>
      </c>
      <c r="W126">
        <f>IFERROR(INDEX(PP_Grid[#Data],$DD126,21),0)</f>
        <v/>
      </c>
      <c r="X126">
        <f>IFERROR(INDEX(PP_Grid[#Data],$DD126,22),0)</f>
        <v/>
      </c>
      <c r="Y126">
        <f>IFERROR(INDEX(PP_Grid[#Data],$DD126,23),0)</f>
        <v/>
      </c>
      <c r="Z126">
        <f>IFERROR(INDEX(PP_Grid[#Data],$DD126,24),0)</f>
        <v/>
      </c>
      <c r="AA126">
        <f>IFERROR(INDEX(PP_Grid[#Data],$DD126,25),0)</f>
        <v/>
      </c>
      <c r="AB126">
        <f>IFERROR(INDEX(PP_Grid[#Data],$DD126,26),0)</f>
        <v/>
      </c>
      <c r="AC126">
        <f>IFERROR(INDEX(PP_Grid[#Data],$DD126,27),0)</f>
        <v/>
      </c>
      <c r="AD126">
        <f>IFERROR(INDEX(PP_Grid[#Data],$DD126,28),0)</f>
        <v/>
      </c>
      <c r="AE126">
        <f>IFERROR(INDEX(PP_Grid[#Data],$DD126,29),0)</f>
        <v/>
      </c>
      <c r="AF126">
        <f>IFERROR(INDEX(PP_Grid[#Data],$DD126,30),0)</f>
        <v/>
      </c>
      <c r="AG126">
        <f>IFERROR(INDEX(PP_Grid[#Data],$DD126,31),0)</f>
        <v/>
      </c>
      <c r="AH126">
        <f>IFERROR(INDEX(PP_Grid[#Data],$DD126,32),0)</f>
        <v/>
      </c>
      <c r="AI126">
        <f>IFERROR(INDEX(PP_Grid[#Data],$DD126,33),0)</f>
        <v/>
      </c>
      <c r="AJ126">
        <f>IFERROR(INDEX(PP_Grid[#Data],$DD126,34),0)</f>
        <v/>
      </c>
      <c r="AK126">
        <f>IFERROR(INDEX(PP_Grid[#Data],$DD126,35),0)</f>
        <v/>
      </c>
      <c r="AL126">
        <f>IFERROR(INDEX(PP_Grid[#Data],$DD126,36),0)</f>
        <v/>
      </c>
      <c r="AM126">
        <f>IFERROR(INDEX(PP_Grid[#Data],$DD126,37),0)</f>
        <v/>
      </c>
      <c r="AN126">
        <f>IFERROR(INDEX(PP_Grid[#Data],$DD126,38),0)</f>
        <v/>
      </c>
      <c r="AO126">
        <f>IFERROR(INDEX(PP_Grid[#Data],$DD126,39),0)</f>
        <v/>
      </c>
      <c r="AP126">
        <f>IFERROR(INDEX(PP_Grid[#Data],$DD126,40),0)</f>
        <v/>
      </c>
      <c r="AQ126">
        <f>IFERROR(INDEX(PP_Grid[#Data],$DD126,41),0)</f>
        <v/>
      </c>
      <c r="AR126">
        <f>IFERROR(INDEX(PP_Grid[#Data],$DD126,42),0)</f>
        <v/>
      </c>
      <c r="AS126">
        <f>IFERROR(INDEX(PP_Grid[#Data],$DD126,43),0)</f>
        <v/>
      </c>
      <c r="AT126">
        <f>IFERROR(INDEX(PP_Grid[#Data],$DD126,44),0)</f>
        <v/>
      </c>
      <c r="AU126">
        <f>IFERROR(INDEX(PP_Grid[#Data],$DD126,45),0)</f>
        <v/>
      </c>
      <c r="AV126">
        <f>IFERROR(INDEX(PP_Grid[#Data],$DD126,46),0)</f>
        <v/>
      </c>
      <c r="AW126">
        <f>IFERROR(INDEX(PP_Grid[#Data],$DD126,47),0)</f>
        <v/>
      </c>
      <c r="AX126">
        <f>IFERROR(INDEX(PP_Grid[#Data],$DD126,48),0)</f>
        <v/>
      </c>
      <c r="AY126">
        <f>IFERROR(INDEX(PP_Grid[#Data],$DD126,49),0)</f>
        <v/>
      </c>
      <c r="AZ126">
        <f>IFERROR(INDEX(PP_Grid[#Data],$DD126,50),0)</f>
        <v/>
      </c>
      <c r="BA126">
        <f>IFERROR(INDEX(PP_Grid[#Data],$DD126,51),0)</f>
        <v/>
      </c>
      <c r="BB126">
        <f>IFERROR(INDEX(PP_Grid[#Data],$DD126,52),0)</f>
        <v/>
      </c>
      <c r="BC126">
        <f>IFERROR(INDEX(PP_Grid[#Data],$DD126,53),0)</f>
        <v/>
      </c>
      <c r="BD126">
        <f>IFERROR(INDEX(PP_Grid[#Data],$DD126,54),0)</f>
        <v/>
      </c>
      <c r="BE126">
        <f>IFERROR(INDEX(PP_Grid[#Data],$DD126,55),0)</f>
        <v/>
      </c>
      <c r="BF126">
        <f>IFERROR(INDEX(PP_Grid[#Data],$DD126,56),0)</f>
        <v/>
      </c>
      <c r="BG126">
        <f>IFERROR(INDEX(PP_Grid[#Data],$DD126,57),0)</f>
        <v/>
      </c>
      <c r="BH126">
        <f>IFERROR(INDEX(PP_Grid[#Data],$DD126,58),0)</f>
        <v/>
      </c>
      <c r="BI126">
        <f>IFERROR(INDEX(PP_Grid[#Data],$DD126,59),0)</f>
        <v/>
      </c>
      <c r="BJ126">
        <f>IFERROR(INDEX(PP_Grid[#Data],$DD126,60),0)</f>
        <v/>
      </c>
      <c r="BK126">
        <f>IFERROR(INDEX(PP_Grid[#Data],$DD126,61),0)</f>
        <v/>
      </c>
      <c r="BL126">
        <f>IFERROR(INDEX(PP_Grid[#Data],$DD126,62),0)</f>
        <v/>
      </c>
      <c r="BM126">
        <f>IFERROR(INDEX(PP_Grid[#Data],$DD126,63),0)</f>
        <v/>
      </c>
      <c r="BN126">
        <f>IFERROR(INDEX(PP_Grid[#Data],$DD126,64),0)</f>
        <v/>
      </c>
      <c r="BO126">
        <f>IFERROR(INDEX(PP_Grid[#Data],$DD126,65),0)</f>
        <v/>
      </c>
      <c r="BP126">
        <f>IFERROR(INDEX(PP_Grid[#Data],$DD126,66),0)</f>
        <v/>
      </c>
      <c r="BQ126">
        <f>IFERROR(INDEX(PP_Grid[#Data],$DD126,67),0)</f>
        <v/>
      </c>
      <c r="BR126">
        <f>IFERROR(INDEX(PP_Grid[#Data],$DD126,68),0)</f>
        <v/>
      </c>
      <c r="BS126">
        <f>IFERROR(INDEX(PP_Grid[#Data],$DD126,69),0)</f>
        <v/>
      </c>
      <c r="BT126">
        <f>IFERROR(INDEX(PP_Grid[#Data],$DD126,70),0)</f>
        <v/>
      </c>
      <c r="BU126">
        <f>IFERROR(INDEX(PP_Grid[#Data],$DD126,71),0)</f>
        <v/>
      </c>
      <c r="BV126">
        <f>IFERROR(INDEX(PP_Grid[#Data],$DD126,72),0)</f>
        <v/>
      </c>
      <c r="BW126">
        <f>IFERROR(INDEX(PP_Grid[#Data],$DD126,73),0)</f>
        <v/>
      </c>
      <c r="BX126">
        <f>IFERROR(INDEX(PP_Grid[#Data],$DD126,74),0)</f>
        <v/>
      </c>
      <c r="BY126">
        <f>IFERROR(INDEX(PP_Grid[#Data],$DD126,75),0)</f>
        <v/>
      </c>
      <c r="BZ126">
        <f>IFERROR(INDEX(PP_Grid[#Data],$DD126,76),0)</f>
        <v/>
      </c>
      <c r="CA126">
        <f>IFERROR(INDEX(PP_Grid[#Data],$DD126,77),0)</f>
        <v/>
      </c>
      <c r="CB126">
        <f>IFERROR(INDEX(PP_Grid[#Data],$DD126,78),0)</f>
        <v/>
      </c>
      <c r="CC126">
        <f>IFERROR(INDEX(PP_Grid[#Data],$DD126,79),0)</f>
        <v/>
      </c>
      <c r="CD126">
        <f>IFERROR(INDEX(PP_Grid[#Data],$DD126,80),0)</f>
        <v/>
      </c>
      <c r="CE126">
        <f>IFERROR(INDEX(PP_Grid[#Data],$DD126,81),0)</f>
        <v/>
      </c>
      <c r="CF126">
        <f>IFERROR(INDEX(PP_Grid[#Data],$DD126,82),0)</f>
        <v/>
      </c>
      <c r="CG126">
        <f>IFERROR(INDEX(PP_Grid[#Data],$DD126,83),0)</f>
        <v/>
      </c>
      <c r="CH126">
        <f>IFERROR(INDEX(PP_Grid[#Data],$DD126,84),0)</f>
        <v/>
      </c>
      <c r="CI126">
        <f>IFERROR(INDEX(PP_Grid[#Data],$DD126,85),0)</f>
        <v/>
      </c>
      <c r="CJ126">
        <f>IFERROR(INDEX(PP_Grid[#Data],$DD126,86),0)</f>
        <v/>
      </c>
      <c r="CK126">
        <f>IFERROR(INDEX(PP_Grid[#Data],$DD126,87),0)</f>
        <v/>
      </c>
      <c r="CL126">
        <f>IFERROR(INDEX(PP_Grid[#Data],$DD126,88),0)</f>
        <v/>
      </c>
      <c r="CM126">
        <f>IFERROR(INDEX(PP_Grid[#Data],$DD126,89),0)</f>
        <v/>
      </c>
      <c r="CN126">
        <f>IFERROR(INDEX(PP_Grid[#Data],$DD126,90),0)</f>
        <v/>
      </c>
      <c r="CO126">
        <f>IFERROR(INDEX(PP_Grid[#Data],$DD126,91),0)</f>
        <v/>
      </c>
      <c r="CP126">
        <f>IFERROR(INDEX(PP_Grid[#Data],$DD126,92),0)</f>
        <v/>
      </c>
      <c r="CQ126">
        <f>IFERROR(INDEX(PP_Grid[#Data],$DD126,93),0)</f>
        <v/>
      </c>
      <c r="CR126">
        <f>IFERROR(INDEX(PP_Grid[#Data],$DD126,94),0)</f>
        <v/>
      </c>
      <c r="CS126">
        <f>IFERROR(INDEX(PP_Grid[#Data],$DD126,95),0)</f>
        <v/>
      </c>
      <c r="CT126">
        <f>IFERROR(INDEX(PP_Grid[#Data],$DD126,96),0)</f>
        <v/>
      </c>
      <c r="CU126">
        <f>IFERROR(INDEX(PP_Grid[#Data],$DD126,97),0)</f>
        <v/>
      </c>
      <c r="CV126">
        <f>IFERROR(INDEX(PP_Grid[#Data],$DD126,98),0)</f>
        <v/>
      </c>
      <c r="CW126">
        <f>IFERROR(INDEX(PP_Grid[#Data],$DD126,99),0)</f>
        <v/>
      </c>
      <c r="CX126">
        <f>IFERROR(INDEX(PP_Grid[#Data],$DD126,100),0)</f>
        <v/>
      </c>
      <c r="CY126">
        <f>IFERROR(INDEX(PP_Grid[#Data],$DD126,101),0)</f>
        <v/>
      </c>
      <c r="CZ126">
        <f>IFERROR(INDEX(PP_Grid[#Data],$DD126,102),0)</f>
        <v/>
      </c>
      <c r="DA126">
        <f>IFERROR(INDEX(PP_Grid[#Data],$DD126,103),0)</f>
        <v/>
      </c>
      <c r="DB126">
        <f>IFERROR(INDEX(PP_Grid[#Data],$DD126,104),0)</f>
        <v/>
      </c>
      <c r="DC126">
        <f>IFERROR(INDEX(PP_Grid[#Data],$DD126,105),0)</f>
        <v/>
      </c>
      <c r="DD126" s="12">
        <f>IFERROR(MATCH($B126,PP_Grid[Intermediate],0),99999)</f>
        <v/>
      </c>
    </row>
    <row r="127">
      <c r="B127" t="inlineStr">
        <is>
          <t>使用量(kg)</t>
        </is>
      </c>
      <c r="C127">
        <f>SUMIFS(M_BOM[RM_Qty_Per_Batch],M_BOM[Intermediate],$B126,M_BOM[Part Name],$A121)</f>
        <v/>
      </c>
      <c r="D127">
        <f>$C127*D126</f>
        <v/>
      </c>
      <c r="E127">
        <f>$C127*E126</f>
        <v/>
      </c>
      <c r="F127">
        <f>$C127*F126</f>
        <v/>
      </c>
      <c r="G127">
        <f>$C127*G126</f>
        <v/>
      </c>
      <c r="H127">
        <f>$C127*H126</f>
        <v/>
      </c>
      <c r="I127">
        <f>$C127*I126</f>
        <v/>
      </c>
      <c r="J127">
        <f>$C127*J126</f>
        <v/>
      </c>
      <c r="K127">
        <f>$C127*K126</f>
        <v/>
      </c>
      <c r="L127">
        <f>$C127*L126</f>
        <v/>
      </c>
      <c r="M127">
        <f>$C127*M126</f>
        <v/>
      </c>
      <c r="N127">
        <f>$C127*N126</f>
        <v/>
      </c>
      <c r="O127">
        <f>$C127*O126</f>
        <v/>
      </c>
      <c r="P127">
        <f>$C127*P126</f>
        <v/>
      </c>
      <c r="Q127">
        <f>$C127*Q126</f>
        <v/>
      </c>
      <c r="R127">
        <f>$C127*R126</f>
        <v/>
      </c>
      <c r="S127">
        <f>$C127*S126</f>
        <v/>
      </c>
      <c r="T127">
        <f>$C127*T126</f>
        <v/>
      </c>
      <c r="U127">
        <f>$C127*U126</f>
        <v/>
      </c>
      <c r="V127">
        <f>$C127*V126</f>
        <v/>
      </c>
      <c r="W127">
        <f>$C127*W126</f>
        <v/>
      </c>
      <c r="X127">
        <f>$C127*X126</f>
        <v/>
      </c>
      <c r="Y127">
        <f>$C127*Y126</f>
        <v/>
      </c>
      <c r="Z127">
        <f>$C127*Z126</f>
        <v/>
      </c>
      <c r="AA127">
        <f>$C127*AA126</f>
        <v/>
      </c>
      <c r="AB127">
        <f>$C127*AB126</f>
        <v/>
      </c>
      <c r="AC127">
        <f>$C127*AC126</f>
        <v/>
      </c>
      <c r="AD127">
        <f>$C127*AD126</f>
        <v/>
      </c>
      <c r="AE127">
        <f>$C127*AE126</f>
        <v/>
      </c>
      <c r="AF127">
        <f>$C127*AF126</f>
        <v/>
      </c>
      <c r="AG127">
        <f>$C127*AG126</f>
        <v/>
      </c>
      <c r="AH127">
        <f>$C127*AH126</f>
        <v/>
      </c>
      <c r="AI127">
        <f>$C127*AI126</f>
        <v/>
      </c>
      <c r="AJ127">
        <f>$C127*AJ126</f>
        <v/>
      </c>
      <c r="AK127">
        <f>$C127*AK126</f>
        <v/>
      </c>
      <c r="AL127">
        <f>$C127*AL126</f>
        <v/>
      </c>
      <c r="AM127">
        <f>$C127*AM126</f>
        <v/>
      </c>
      <c r="AN127">
        <f>$C127*AN126</f>
        <v/>
      </c>
      <c r="AO127">
        <f>$C127*AO126</f>
        <v/>
      </c>
      <c r="AP127">
        <f>$C127*AP126</f>
        <v/>
      </c>
      <c r="AQ127">
        <f>$C127*AQ126</f>
        <v/>
      </c>
      <c r="AR127">
        <f>$C127*AR126</f>
        <v/>
      </c>
      <c r="AS127">
        <f>$C127*AS126</f>
        <v/>
      </c>
      <c r="AT127">
        <f>$C127*AT126</f>
        <v/>
      </c>
      <c r="AU127">
        <f>$C127*AU126</f>
        <v/>
      </c>
      <c r="AV127">
        <f>$C127*AV126</f>
        <v/>
      </c>
      <c r="AW127">
        <f>$C127*AW126</f>
        <v/>
      </c>
      <c r="AX127">
        <f>$C127*AX126</f>
        <v/>
      </c>
      <c r="AY127">
        <f>$C127*AY126</f>
        <v/>
      </c>
      <c r="AZ127">
        <f>$C127*AZ126</f>
        <v/>
      </c>
      <c r="BA127">
        <f>$C127*BA126</f>
        <v/>
      </c>
      <c r="BB127">
        <f>$C127*BB126</f>
        <v/>
      </c>
      <c r="BC127">
        <f>$C127*BC126</f>
        <v/>
      </c>
      <c r="BD127">
        <f>$C127*BD126</f>
        <v/>
      </c>
      <c r="BE127">
        <f>$C127*BE126</f>
        <v/>
      </c>
      <c r="BF127">
        <f>$C127*BF126</f>
        <v/>
      </c>
      <c r="BG127">
        <f>$C127*BG126</f>
        <v/>
      </c>
      <c r="BH127">
        <f>$C127*BH126</f>
        <v/>
      </c>
      <c r="BI127">
        <f>$C127*BI126</f>
        <v/>
      </c>
      <c r="BJ127">
        <f>$C127*BJ126</f>
        <v/>
      </c>
      <c r="BK127">
        <f>$C127*BK126</f>
        <v/>
      </c>
      <c r="BL127">
        <f>$C127*BL126</f>
        <v/>
      </c>
      <c r="BM127">
        <f>$C127*BM126</f>
        <v/>
      </c>
      <c r="BN127">
        <f>$C127*BN126</f>
        <v/>
      </c>
      <c r="BO127">
        <f>$C127*BO126</f>
        <v/>
      </c>
      <c r="BP127">
        <f>$C127*BP126</f>
        <v/>
      </c>
      <c r="BQ127">
        <f>$C127*BQ126</f>
        <v/>
      </c>
      <c r="BR127">
        <f>$C127*BR126</f>
        <v/>
      </c>
      <c r="BS127">
        <f>$C127*BS126</f>
        <v/>
      </c>
      <c r="BT127">
        <f>$C127*BT126</f>
        <v/>
      </c>
      <c r="BU127">
        <f>$C127*BU126</f>
        <v/>
      </c>
      <c r="BV127">
        <f>$C127*BV126</f>
        <v/>
      </c>
      <c r="BW127">
        <f>$C127*BW126</f>
        <v/>
      </c>
      <c r="BX127">
        <f>$C127*BX126</f>
        <v/>
      </c>
      <c r="BY127">
        <f>$C127*BY126</f>
        <v/>
      </c>
      <c r="BZ127">
        <f>$C127*BZ126</f>
        <v/>
      </c>
      <c r="CA127">
        <f>$C127*CA126</f>
        <v/>
      </c>
      <c r="CB127">
        <f>$C127*CB126</f>
        <v/>
      </c>
      <c r="CC127">
        <f>$C127*CC126</f>
        <v/>
      </c>
      <c r="CD127">
        <f>$C127*CD126</f>
        <v/>
      </c>
      <c r="CE127">
        <f>$C127*CE126</f>
        <v/>
      </c>
      <c r="CF127">
        <f>$C127*CF126</f>
        <v/>
      </c>
      <c r="CG127">
        <f>$C127*CG126</f>
        <v/>
      </c>
      <c r="CH127">
        <f>$C127*CH126</f>
        <v/>
      </c>
      <c r="CI127">
        <f>$C127*CI126</f>
        <v/>
      </c>
      <c r="CJ127">
        <f>$C127*CJ126</f>
        <v/>
      </c>
      <c r="CK127">
        <f>$C127*CK126</f>
        <v/>
      </c>
      <c r="CL127">
        <f>$C127*CL126</f>
        <v/>
      </c>
      <c r="CM127">
        <f>$C127*CM126</f>
        <v/>
      </c>
      <c r="CN127">
        <f>$C127*CN126</f>
        <v/>
      </c>
      <c r="CO127">
        <f>$C127*CO126</f>
        <v/>
      </c>
      <c r="CP127">
        <f>$C127*CP126</f>
        <v/>
      </c>
      <c r="CQ127">
        <f>$C127*CQ126</f>
        <v/>
      </c>
      <c r="CR127">
        <f>$C127*CR126</f>
        <v/>
      </c>
      <c r="CS127">
        <f>$C127*CS126</f>
        <v/>
      </c>
      <c r="CT127">
        <f>$C127*CT126</f>
        <v/>
      </c>
      <c r="CU127">
        <f>$C127*CU126</f>
        <v/>
      </c>
      <c r="CV127">
        <f>$C127*CV126</f>
        <v/>
      </c>
      <c r="CW127">
        <f>$C127*CW126</f>
        <v/>
      </c>
      <c r="CX127">
        <f>$C127*CX126</f>
        <v/>
      </c>
      <c r="CY127">
        <f>$C127*CY126</f>
        <v/>
      </c>
      <c r="CZ127">
        <f>$C127*CZ126</f>
        <v/>
      </c>
      <c r="DA127">
        <f>$C127*DA126</f>
        <v/>
      </c>
      <c r="DB127">
        <f>$C127*DB126</f>
        <v/>
      </c>
      <c r="DC127">
        <f>$C127*DC126</f>
        <v/>
      </c>
    </row>
    <row r="128">
      <c r="B128" t="inlineStr">
        <is>
          <t>0T470</t>
        </is>
      </c>
      <c r="C128" t="inlineStr">
        <is>
          <t>No. of batches</t>
        </is>
      </c>
      <c r="D128">
        <f>IFERROR(INDEX(PP_Grid[#Data],$DD128,2),0)</f>
        <v/>
      </c>
      <c r="E128">
        <f>IFERROR(INDEX(PP_Grid[#Data],$DD128,3),0)</f>
        <v/>
      </c>
      <c r="F128">
        <f>IFERROR(INDEX(PP_Grid[#Data],$DD128,4),0)</f>
        <v/>
      </c>
      <c r="G128">
        <f>IFERROR(INDEX(PP_Grid[#Data],$DD128,5),0)</f>
        <v/>
      </c>
      <c r="H128">
        <f>IFERROR(INDEX(PP_Grid[#Data],$DD128,6),0)</f>
        <v/>
      </c>
      <c r="I128">
        <f>IFERROR(INDEX(PP_Grid[#Data],$DD128,7),0)</f>
        <v/>
      </c>
      <c r="J128">
        <f>IFERROR(INDEX(PP_Grid[#Data],$DD128,8),0)</f>
        <v/>
      </c>
      <c r="K128">
        <f>IFERROR(INDEX(PP_Grid[#Data],$DD128,9),0)</f>
        <v/>
      </c>
      <c r="L128">
        <f>IFERROR(INDEX(PP_Grid[#Data],$DD128,10),0)</f>
        <v/>
      </c>
      <c r="M128">
        <f>IFERROR(INDEX(PP_Grid[#Data],$DD128,11),0)</f>
        <v/>
      </c>
      <c r="N128">
        <f>IFERROR(INDEX(PP_Grid[#Data],$DD128,12),0)</f>
        <v/>
      </c>
      <c r="O128">
        <f>IFERROR(INDEX(PP_Grid[#Data],$DD128,13),0)</f>
        <v/>
      </c>
      <c r="P128">
        <f>IFERROR(INDEX(PP_Grid[#Data],$DD128,14),0)</f>
        <v/>
      </c>
      <c r="Q128">
        <f>IFERROR(INDEX(PP_Grid[#Data],$DD128,15),0)</f>
        <v/>
      </c>
      <c r="R128">
        <f>IFERROR(INDEX(PP_Grid[#Data],$DD128,16),0)</f>
        <v/>
      </c>
      <c r="S128">
        <f>IFERROR(INDEX(PP_Grid[#Data],$DD128,17),0)</f>
        <v/>
      </c>
      <c r="T128">
        <f>IFERROR(INDEX(PP_Grid[#Data],$DD128,18),0)</f>
        <v/>
      </c>
      <c r="U128">
        <f>IFERROR(INDEX(PP_Grid[#Data],$DD128,19),0)</f>
        <v/>
      </c>
      <c r="V128">
        <f>IFERROR(INDEX(PP_Grid[#Data],$DD128,20),0)</f>
        <v/>
      </c>
      <c r="W128">
        <f>IFERROR(INDEX(PP_Grid[#Data],$DD128,21),0)</f>
        <v/>
      </c>
      <c r="X128">
        <f>IFERROR(INDEX(PP_Grid[#Data],$DD128,22),0)</f>
        <v/>
      </c>
      <c r="Y128">
        <f>IFERROR(INDEX(PP_Grid[#Data],$DD128,23),0)</f>
        <v/>
      </c>
      <c r="Z128">
        <f>IFERROR(INDEX(PP_Grid[#Data],$DD128,24),0)</f>
        <v/>
      </c>
      <c r="AA128">
        <f>IFERROR(INDEX(PP_Grid[#Data],$DD128,25),0)</f>
        <v/>
      </c>
      <c r="AB128">
        <f>IFERROR(INDEX(PP_Grid[#Data],$DD128,26),0)</f>
        <v/>
      </c>
      <c r="AC128">
        <f>IFERROR(INDEX(PP_Grid[#Data],$DD128,27),0)</f>
        <v/>
      </c>
      <c r="AD128">
        <f>IFERROR(INDEX(PP_Grid[#Data],$DD128,28),0)</f>
        <v/>
      </c>
      <c r="AE128">
        <f>IFERROR(INDEX(PP_Grid[#Data],$DD128,29),0)</f>
        <v/>
      </c>
      <c r="AF128">
        <f>IFERROR(INDEX(PP_Grid[#Data],$DD128,30),0)</f>
        <v/>
      </c>
      <c r="AG128">
        <f>IFERROR(INDEX(PP_Grid[#Data],$DD128,31),0)</f>
        <v/>
      </c>
      <c r="AH128">
        <f>IFERROR(INDEX(PP_Grid[#Data],$DD128,32),0)</f>
        <v/>
      </c>
      <c r="AI128">
        <f>IFERROR(INDEX(PP_Grid[#Data],$DD128,33),0)</f>
        <v/>
      </c>
      <c r="AJ128">
        <f>IFERROR(INDEX(PP_Grid[#Data],$DD128,34),0)</f>
        <v/>
      </c>
      <c r="AK128">
        <f>IFERROR(INDEX(PP_Grid[#Data],$DD128,35),0)</f>
        <v/>
      </c>
      <c r="AL128">
        <f>IFERROR(INDEX(PP_Grid[#Data],$DD128,36),0)</f>
        <v/>
      </c>
      <c r="AM128">
        <f>IFERROR(INDEX(PP_Grid[#Data],$DD128,37),0)</f>
        <v/>
      </c>
      <c r="AN128">
        <f>IFERROR(INDEX(PP_Grid[#Data],$DD128,38),0)</f>
        <v/>
      </c>
      <c r="AO128">
        <f>IFERROR(INDEX(PP_Grid[#Data],$DD128,39),0)</f>
        <v/>
      </c>
      <c r="AP128">
        <f>IFERROR(INDEX(PP_Grid[#Data],$DD128,40),0)</f>
        <v/>
      </c>
      <c r="AQ128">
        <f>IFERROR(INDEX(PP_Grid[#Data],$DD128,41),0)</f>
        <v/>
      </c>
      <c r="AR128">
        <f>IFERROR(INDEX(PP_Grid[#Data],$DD128,42),0)</f>
        <v/>
      </c>
      <c r="AS128">
        <f>IFERROR(INDEX(PP_Grid[#Data],$DD128,43),0)</f>
        <v/>
      </c>
      <c r="AT128">
        <f>IFERROR(INDEX(PP_Grid[#Data],$DD128,44),0)</f>
        <v/>
      </c>
      <c r="AU128">
        <f>IFERROR(INDEX(PP_Grid[#Data],$DD128,45),0)</f>
        <v/>
      </c>
      <c r="AV128">
        <f>IFERROR(INDEX(PP_Grid[#Data],$DD128,46),0)</f>
        <v/>
      </c>
      <c r="AW128">
        <f>IFERROR(INDEX(PP_Grid[#Data],$DD128,47),0)</f>
        <v/>
      </c>
      <c r="AX128">
        <f>IFERROR(INDEX(PP_Grid[#Data],$DD128,48),0)</f>
        <v/>
      </c>
      <c r="AY128">
        <f>IFERROR(INDEX(PP_Grid[#Data],$DD128,49),0)</f>
        <v/>
      </c>
      <c r="AZ128">
        <f>IFERROR(INDEX(PP_Grid[#Data],$DD128,50),0)</f>
        <v/>
      </c>
      <c r="BA128">
        <f>IFERROR(INDEX(PP_Grid[#Data],$DD128,51),0)</f>
        <v/>
      </c>
      <c r="BB128">
        <f>IFERROR(INDEX(PP_Grid[#Data],$DD128,52),0)</f>
        <v/>
      </c>
      <c r="BC128">
        <f>IFERROR(INDEX(PP_Grid[#Data],$DD128,53),0)</f>
        <v/>
      </c>
      <c r="BD128">
        <f>IFERROR(INDEX(PP_Grid[#Data],$DD128,54),0)</f>
        <v/>
      </c>
      <c r="BE128">
        <f>IFERROR(INDEX(PP_Grid[#Data],$DD128,55),0)</f>
        <v/>
      </c>
      <c r="BF128">
        <f>IFERROR(INDEX(PP_Grid[#Data],$DD128,56),0)</f>
        <v/>
      </c>
      <c r="BG128">
        <f>IFERROR(INDEX(PP_Grid[#Data],$DD128,57),0)</f>
        <v/>
      </c>
      <c r="BH128">
        <f>IFERROR(INDEX(PP_Grid[#Data],$DD128,58),0)</f>
        <v/>
      </c>
      <c r="BI128">
        <f>IFERROR(INDEX(PP_Grid[#Data],$DD128,59),0)</f>
        <v/>
      </c>
      <c r="BJ128">
        <f>IFERROR(INDEX(PP_Grid[#Data],$DD128,60),0)</f>
        <v/>
      </c>
      <c r="BK128">
        <f>IFERROR(INDEX(PP_Grid[#Data],$DD128,61),0)</f>
        <v/>
      </c>
      <c r="BL128">
        <f>IFERROR(INDEX(PP_Grid[#Data],$DD128,62),0)</f>
        <v/>
      </c>
      <c r="BM128">
        <f>IFERROR(INDEX(PP_Grid[#Data],$DD128,63),0)</f>
        <v/>
      </c>
      <c r="BN128">
        <f>IFERROR(INDEX(PP_Grid[#Data],$DD128,64),0)</f>
        <v/>
      </c>
      <c r="BO128">
        <f>IFERROR(INDEX(PP_Grid[#Data],$DD128,65),0)</f>
        <v/>
      </c>
      <c r="BP128">
        <f>IFERROR(INDEX(PP_Grid[#Data],$DD128,66),0)</f>
        <v/>
      </c>
      <c r="BQ128">
        <f>IFERROR(INDEX(PP_Grid[#Data],$DD128,67),0)</f>
        <v/>
      </c>
      <c r="BR128">
        <f>IFERROR(INDEX(PP_Grid[#Data],$DD128,68),0)</f>
        <v/>
      </c>
      <c r="BS128">
        <f>IFERROR(INDEX(PP_Grid[#Data],$DD128,69),0)</f>
        <v/>
      </c>
      <c r="BT128">
        <f>IFERROR(INDEX(PP_Grid[#Data],$DD128,70),0)</f>
        <v/>
      </c>
      <c r="BU128">
        <f>IFERROR(INDEX(PP_Grid[#Data],$DD128,71),0)</f>
        <v/>
      </c>
      <c r="BV128">
        <f>IFERROR(INDEX(PP_Grid[#Data],$DD128,72),0)</f>
        <v/>
      </c>
      <c r="BW128">
        <f>IFERROR(INDEX(PP_Grid[#Data],$DD128,73),0)</f>
        <v/>
      </c>
      <c r="BX128">
        <f>IFERROR(INDEX(PP_Grid[#Data],$DD128,74),0)</f>
        <v/>
      </c>
      <c r="BY128">
        <f>IFERROR(INDEX(PP_Grid[#Data],$DD128,75),0)</f>
        <v/>
      </c>
      <c r="BZ128">
        <f>IFERROR(INDEX(PP_Grid[#Data],$DD128,76),0)</f>
        <v/>
      </c>
      <c r="CA128">
        <f>IFERROR(INDEX(PP_Grid[#Data],$DD128,77),0)</f>
        <v/>
      </c>
      <c r="CB128">
        <f>IFERROR(INDEX(PP_Grid[#Data],$DD128,78),0)</f>
        <v/>
      </c>
      <c r="CC128">
        <f>IFERROR(INDEX(PP_Grid[#Data],$DD128,79),0)</f>
        <v/>
      </c>
      <c r="CD128">
        <f>IFERROR(INDEX(PP_Grid[#Data],$DD128,80),0)</f>
        <v/>
      </c>
      <c r="CE128">
        <f>IFERROR(INDEX(PP_Grid[#Data],$DD128,81),0)</f>
        <v/>
      </c>
      <c r="CF128">
        <f>IFERROR(INDEX(PP_Grid[#Data],$DD128,82),0)</f>
        <v/>
      </c>
      <c r="CG128">
        <f>IFERROR(INDEX(PP_Grid[#Data],$DD128,83),0)</f>
        <v/>
      </c>
      <c r="CH128">
        <f>IFERROR(INDEX(PP_Grid[#Data],$DD128,84),0)</f>
        <v/>
      </c>
      <c r="CI128">
        <f>IFERROR(INDEX(PP_Grid[#Data],$DD128,85),0)</f>
        <v/>
      </c>
      <c r="CJ128">
        <f>IFERROR(INDEX(PP_Grid[#Data],$DD128,86),0)</f>
        <v/>
      </c>
      <c r="CK128">
        <f>IFERROR(INDEX(PP_Grid[#Data],$DD128,87),0)</f>
        <v/>
      </c>
      <c r="CL128">
        <f>IFERROR(INDEX(PP_Grid[#Data],$DD128,88),0)</f>
        <v/>
      </c>
      <c r="CM128">
        <f>IFERROR(INDEX(PP_Grid[#Data],$DD128,89),0)</f>
        <v/>
      </c>
      <c r="CN128">
        <f>IFERROR(INDEX(PP_Grid[#Data],$DD128,90),0)</f>
        <v/>
      </c>
      <c r="CO128">
        <f>IFERROR(INDEX(PP_Grid[#Data],$DD128,91),0)</f>
        <v/>
      </c>
      <c r="CP128">
        <f>IFERROR(INDEX(PP_Grid[#Data],$DD128,92),0)</f>
        <v/>
      </c>
      <c r="CQ128">
        <f>IFERROR(INDEX(PP_Grid[#Data],$DD128,93),0)</f>
        <v/>
      </c>
      <c r="CR128">
        <f>IFERROR(INDEX(PP_Grid[#Data],$DD128,94),0)</f>
        <v/>
      </c>
      <c r="CS128">
        <f>IFERROR(INDEX(PP_Grid[#Data],$DD128,95),0)</f>
        <v/>
      </c>
      <c r="CT128">
        <f>IFERROR(INDEX(PP_Grid[#Data],$DD128,96),0)</f>
        <v/>
      </c>
      <c r="CU128">
        <f>IFERROR(INDEX(PP_Grid[#Data],$DD128,97),0)</f>
        <v/>
      </c>
      <c r="CV128">
        <f>IFERROR(INDEX(PP_Grid[#Data],$DD128,98),0)</f>
        <v/>
      </c>
      <c r="CW128">
        <f>IFERROR(INDEX(PP_Grid[#Data],$DD128,99),0)</f>
        <v/>
      </c>
      <c r="CX128">
        <f>IFERROR(INDEX(PP_Grid[#Data],$DD128,100),0)</f>
        <v/>
      </c>
      <c r="CY128">
        <f>IFERROR(INDEX(PP_Grid[#Data],$DD128,101),0)</f>
        <v/>
      </c>
      <c r="CZ128">
        <f>IFERROR(INDEX(PP_Grid[#Data],$DD128,102),0)</f>
        <v/>
      </c>
      <c r="DA128">
        <f>IFERROR(INDEX(PP_Grid[#Data],$DD128,103),0)</f>
        <v/>
      </c>
      <c r="DB128">
        <f>IFERROR(INDEX(PP_Grid[#Data],$DD128,104),0)</f>
        <v/>
      </c>
      <c r="DC128">
        <f>IFERROR(INDEX(PP_Grid[#Data],$DD128,105),0)</f>
        <v/>
      </c>
      <c r="DD128" s="12">
        <f>IFERROR(MATCH($B128,PP_Grid[Intermediate],0),99999)</f>
        <v/>
      </c>
    </row>
    <row r="129">
      <c r="B129" t="inlineStr">
        <is>
          <t>使用量(kg)</t>
        </is>
      </c>
      <c r="C129">
        <f>SUMIFS(M_BOM[RM_Qty_Per_Batch],M_BOM[Intermediate],$B128,M_BOM[Part Name],$A121)</f>
        <v/>
      </c>
      <c r="D129">
        <f>$C129*D128</f>
        <v/>
      </c>
      <c r="E129">
        <f>$C129*E128</f>
        <v/>
      </c>
      <c r="F129">
        <f>$C129*F128</f>
        <v/>
      </c>
      <c r="G129">
        <f>$C129*G128</f>
        <v/>
      </c>
      <c r="H129">
        <f>$C129*H128</f>
        <v/>
      </c>
      <c r="I129">
        <f>$C129*I128</f>
        <v/>
      </c>
      <c r="J129">
        <f>$C129*J128</f>
        <v/>
      </c>
      <c r="K129">
        <f>$C129*K128</f>
        <v/>
      </c>
      <c r="L129">
        <f>$C129*L128</f>
        <v/>
      </c>
      <c r="M129">
        <f>$C129*M128</f>
        <v/>
      </c>
      <c r="N129">
        <f>$C129*N128</f>
        <v/>
      </c>
      <c r="O129">
        <f>$C129*O128</f>
        <v/>
      </c>
      <c r="P129">
        <f>$C129*P128</f>
        <v/>
      </c>
      <c r="Q129">
        <f>$C129*Q128</f>
        <v/>
      </c>
      <c r="R129">
        <f>$C129*R128</f>
        <v/>
      </c>
      <c r="S129">
        <f>$C129*S128</f>
        <v/>
      </c>
      <c r="T129">
        <f>$C129*T128</f>
        <v/>
      </c>
      <c r="U129">
        <f>$C129*U128</f>
        <v/>
      </c>
      <c r="V129">
        <f>$C129*V128</f>
        <v/>
      </c>
      <c r="W129">
        <f>$C129*W128</f>
        <v/>
      </c>
      <c r="X129">
        <f>$C129*X128</f>
        <v/>
      </c>
      <c r="Y129">
        <f>$C129*Y128</f>
        <v/>
      </c>
      <c r="Z129">
        <f>$C129*Z128</f>
        <v/>
      </c>
      <c r="AA129">
        <f>$C129*AA128</f>
        <v/>
      </c>
      <c r="AB129">
        <f>$C129*AB128</f>
        <v/>
      </c>
      <c r="AC129">
        <f>$C129*AC128</f>
        <v/>
      </c>
      <c r="AD129">
        <f>$C129*AD128</f>
        <v/>
      </c>
      <c r="AE129">
        <f>$C129*AE128</f>
        <v/>
      </c>
      <c r="AF129">
        <f>$C129*AF128</f>
        <v/>
      </c>
      <c r="AG129">
        <f>$C129*AG128</f>
        <v/>
      </c>
      <c r="AH129">
        <f>$C129*AH128</f>
        <v/>
      </c>
      <c r="AI129">
        <f>$C129*AI128</f>
        <v/>
      </c>
      <c r="AJ129">
        <f>$C129*AJ128</f>
        <v/>
      </c>
      <c r="AK129">
        <f>$C129*AK128</f>
        <v/>
      </c>
      <c r="AL129">
        <f>$C129*AL128</f>
        <v/>
      </c>
      <c r="AM129">
        <f>$C129*AM128</f>
        <v/>
      </c>
      <c r="AN129">
        <f>$C129*AN128</f>
        <v/>
      </c>
      <c r="AO129">
        <f>$C129*AO128</f>
        <v/>
      </c>
      <c r="AP129">
        <f>$C129*AP128</f>
        <v/>
      </c>
      <c r="AQ129">
        <f>$C129*AQ128</f>
        <v/>
      </c>
      <c r="AR129">
        <f>$C129*AR128</f>
        <v/>
      </c>
      <c r="AS129">
        <f>$C129*AS128</f>
        <v/>
      </c>
      <c r="AT129">
        <f>$C129*AT128</f>
        <v/>
      </c>
      <c r="AU129">
        <f>$C129*AU128</f>
        <v/>
      </c>
      <c r="AV129">
        <f>$C129*AV128</f>
        <v/>
      </c>
      <c r="AW129">
        <f>$C129*AW128</f>
        <v/>
      </c>
      <c r="AX129">
        <f>$C129*AX128</f>
        <v/>
      </c>
      <c r="AY129">
        <f>$C129*AY128</f>
        <v/>
      </c>
      <c r="AZ129">
        <f>$C129*AZ128</f>
        <v/>
      </c>
      <c r="BA129">
        <f>$C129*BA128</f>
        <v/>
      </c>
      <c r="BB129">
        <f>$C129*BB128</f>
        <v/>
      </c>
      <c r="BC129">
        <f>$C129*BC128</f>
        <v/>
      </c>
      <c r="BD129">
        <f>$C129*BD128</f>
        <v/>
      </c>
      <c r="BE129">
        <f>$C129*BE128</f>
        <v/>
      </c>
      <c r="BF129">
        <f>$C129*BF128</f>
        <v/>
      </c>
      <c r="BG129">
        <f>$C129*BG128</f>
        <v/>
      </c>
      <c r="BH129">
        <f>$C129*BH128</f>
        <v/>
      </c>
      <c r="BI129">
        <f>$C129*BI128</f>
        <v/>
      </c>
      <c r="BJ129">
        <f>$C129*BJ128</f>
        <v/>
      </c>
      <c r="BK129">
        <f>$C129*BK128</f>
        <v/>
      </c>
      <c r="BL129">
        <f>$C129*BL128</f>
        <v/>
      </c>
      <c r="BM129">
        <f>$C129*BM128</f>
        <v/>
      </c>
      <c r="BN129">
        <f>$C129*BN128</f>
        <v/>
      </c>
      <c r="BO129">
        <f>$C129*BO128</f>
        <v/>
      </c>
      <c r="BP129">
        <f>$C129*BP128</f>
        <v/>
      </c>
      <c r="BQ129">
        <f>$C129*BQ128</f>
        <v/>
      </c>
      <c r="BR129">
        <f>$C129*BR128</f>
        <v/>
      </c>
      <c r="BS129">
        <f>$C129*BS128</f>
        <v/>
      </c>
      <c r="BT129">
        <f>$C129*BT128</f>
        <v/>
      </c>
      <c r="BU129">
        <f>$C129*BU128</f>
        <v/>
      </c>
      <c r="BV129">
        <f>$C129*BV128</f>
        <v/>
      </c>
      <c r="BW129">
        <f>$C129*BW128</f>
        <v/>
      </c>
      <c r="BX129">
        <f>$C129*BX128</f>
        <v/>
      </c>
      <c r="BY129">
        <f>$C129*BY128</f>
        <v/>
      </c>
      <c r="BZ129">
        <f>$C129*BZ128</f>
        <v/>
      </c>
      <c r="CA129">
        <f>$C129*CA128</f>
        <v/>
      </c>
      <c r="CB129">
        <f>$C129*CB128</f>
        <v/>
      </c>
      <c r="CC129">
        <f>$C129*CC128</f>
        <v/>
      </c>
      <c r="CD129">
        <f>$C129*CD128</f>
        <v/>
      </c>
      <c r="CE129">
        <f>$C129*CE128</f>
        <v/>
      </c>
      <c r="CF129">
        <f>$C129*CF128</f>
        <v/>
      </c>
      <c r="CG129">
        <f>$C129*CG128</f>
        <v/>
      </c>
      <c r="CH129">
        <f>$C129*CH128</f>
        <v/>
      </c>
      <c r="CI129">
        <f>$C129*CI128</f>
        <v/>
      </c>
      <c r="CJ129">
        <f>$C129*CJ128</f>
        <v/>
      </c>
      <c r="CK129">
        <f>$C129*CK128</f>
        <v/>
      </c>
      <c r="CL129">
        <f>$C129*CL128</f>
        <v/>
      </c>
      <c r="CM129">
        <f>$C129*CM128</f>
        <v/>
      </c>
      <c r="CN129">
        <f>$C129*CN128</f>
        <v/>
      </c>
      <c r="CO129">
        <f>$C129*CO128</f>
        <v/>
      </c>
      <c r="CP129">
        <f>$C129*CP128</f>
        <v/>
      </c>
      <c r="CQ129">
        <f>$C129*CQ128</f>
        <v/>
      </c>
      <c r="CR129">
        <f>$C129*CR128</f>
        <v/>
      </c>
      <c r="CS129">
        <f>$C129*CS128</f>
        <v/>
      </c>
      <c r="CT129">
        <f>$C129*CT128</f>
        <v/>
      </c>
      <c r="CU129">
        <f>$C129*CU128</f>
        <v/>
      </c>
      <c r="CV129">
        <f>$C129*CV128</f>
        <v/>
      </c>
      <c r="CW129">
        <f>$C129*CW128</f>
        <v/>
      </c>
      <c r="CX129">
        <f>$C129*CX128</f>
        <v/>
      </c>
      <c r="CY129">
        <f>$C129*CY128</f>
        <v/>
      </c>
      <c r="CZ129">
        <f>$C129*CZ128</f>
        <v/>
      </c>
      <c r="DA129">
        <f>$C129*DA128</f>
        <v/>
      </c>
      <c r="DB129">
        <f>$C129*DB128</f>
        <v/>
      </c>
      <c r="DC129">
        <f>$C129*DC128</f>
        <v/>
      </c>
    </row>
    <row r="130">
      <c r="B130" t="inlineStr">
        <is>
          <t>0T490</t>
        </is>
      </c>
      <c r="C130" t="inlineStr">
        <is>
          <t>No. of batches</t>
        </is>
      </c>
      <c r="D130">
        <f>IFERROR(INDEX(PP_Grid[#Data],$DD130,2),0)</f>
        <v/>
      </c>
      <c r="E130">
        <f>IFERROR(INDEX(PP_Grid[#Data],$DD130,3),0)</f>
        <v/>
      </c>
      <c r="F130">
        <f>IFERROR(INDEX(PP_Grid[#Data],$DD130,4),0)</f>
        <v/>
      </c>
      <c r="G130">
        <f>IFERROR(INDEX(PP_Grid[#Data],$DD130,5),0)</f>
        <v/>
      </c>
      <c r="H130">
        <f>IFERROR(INDEX(PP_Grid[#Data],$DD130,6),0)</f>
        <v/>
      </c>
      <c r="I130">
        <f>IFERROR(INDEX(PP_Grid[#Data],$DD130,7),0)</f>
        <v/>
      </c>
      <c r="J130">
        <f>IFERROR(INDEX(PP_Grid[#Data],$DD130,8),0)</f>
        <v/>
      </c>
      <c r="K130">
        <f>IFERROR(INDEX(PP_Grid[#Data],$DD130,9),0)</f>
        <v/>
      </c>
      <c r="L130">
        <f>IFERROR(INDEX(PP_Grid[#Data],$DD130,10),0)</f>
        <v/>
      </c>
      <c r="M130">
        <f>IFERROR(INDEX(PP_Grid[#Data],$DD130,11),0)</f>
        <v/>
      </c>
      <c r="N130">
        <f>IFERROR(INDEX(PP_Grid[#Data],$DD130,12),0)</f>
        <v/>
      </c>
      <c r="O130">
        <f>IFERROR(INDEX(PP_Grid[#Data],$DD130,13),0)</f>
        <v/>
      </c>
      <c r="P130">
        <f>IFERROR(INDEX(PP_Grid[#Data],$DD130,14),0)</f>
        <v/>
      </c>
      <c r="Q130">
        <f>IFERROR(INDEX(PP_Grid[#Data],$DD130,15),0)</f>
        <v/>
      </c>
      <c r="R130">
        <f>IFERROR(INDEX(PP_Grid[#Data],$DD130,16),0)</f>
        <v/>
      </c>
      <c r="S130">
        <f>IFERROR(INDEX(PP_Grid[#Data],$DD130,17),0)</f>
        <v/>
      </c>
      <c r="T130">
        <f>IFERROR(INDEX(PP_Grid[#Data],$DD130,18),0)</f>
        <v/>
      </c>
      <c r="U130">
        <f>IFERROR(INDEX(PP_Grid[#Data],$DD130,19),0)</f>
        <v/>
      </c>
      <c r="V130">
        <f>IFERROR(INDEX(PP_Grid[#Data],$DD130,20),0)</f>
        <v/>
      </c>
      <c r="W130">
        <f>IFERROR(INDEX(PP_Grid[#Data],$DD130,21),0)</f>
        <v/>
      </c>
      <c r="X130">
        <f>IFERROR(INDEX(PP_Grid[#Data],$DD130,22),0)</f>
        <v/>
      </c>
      <c r="Y130">
        <f>IFERROR(INDEX(PP_Grid[#Data],$DD130,23),0)</f>
        <v/>
      </c>
      <c r="Z130">
        <f>IFERROR(INDEX(PP_Grid[#Data],$DD130,24),0)</f>
        <v/>
      </c>
      <c r="AA130">
        <f>IFERROR(INDEX(PP_Grid[#Data],$DD130,25),0)</f>
        <v/>
      </c>
      <c r="AB130">
        <f>IFERROR(INDEX(PP_Grid[#Data],$DD130,26),0)</f>
        <v/>
      </c>
      <c r="AC130">
        <f>IFERROR(INDEX(PP_Grid[#Data],$DD130,27),0)</f>
        <v/>
      </c>
      <c r="AD130">
        <f>IFERROR(INDEX(PP_Grid[#Data],$DD130,28),0)</f>
        <v/>
      </c>
      <c r="AE130">
        <f>IFERROR(INDEX(PP_Grid[#Data],$DD130,29),0)</f>
        <v/>
      </c>
      <c r="AF130">
        <f>IFERROR(INDEX(PP_Grid[#Data],$DD130,30),0)</f>
        <v/>
      </c>
      <c r="AG130">
        <f>IFERROR(INDEX(PP_Grid[#Data],$DD130,31),0)</f>
        <v/>
      </c>
      <c r="AH130">
        <f>IFERROR(INDEX(PP_Grid[#Data],$DD130,32),0)</f>
        <v/>
      </c>
      <c r="AI130">
        <f>IFERROR(INDEX(PP_Grid[#Data],$DD130,33),0)</f>
        <v/>
      </c>
      <c r="AJ130">
        <f>IFERROR(INDEX(PP_Grid[#Data],$DD130,34),0)</f>
        <v/>
      </c>
      <c r="AK130">
        <f>IFERROR(INDEX(PP_Grid[#Data],$DD130,35),0)</f>
        <v/>
      </c>
      <c r="AL130">
        <f>IFERROR(INDEX(PP_Grid[#Data],$DD130,36),0)</f>
        <v/>
      </c>
      <c r="AM130">
        <f>IFERROR(INDEX(PP_Grid[#Data],$DD130,37),0)</f>
        <v/>
      </c>
      <c r="AN130">
        <f>IFERROR(INDEX(PP_Grid[#Data],$DD130,38),0)</f>
        <v/>
      </c>
      <c r="AO130">
        <f>IFERROR(INDEX(PP_Grid[#Data],$DD130,39),0)</f>
        <v/>
      </c>
      <c r="AP130">
        <f>IFERROR(INDEX(PP_Grid[#Data],$DD130,40),0)</f>
        <v/>
      </c>
      <c r="AQ130">
        <f>IFERROR(INDEX(PP_Grid[#Data],$DD130,41),0)</f>
        <v/>
      </c>
      <c r="AR130">
        <f>IFERROR(INDEX(PP_Grid[#Data],$DD130,42),0)</f>
        <v/>
      </c>
      <c r="AS130">
        <f>IFERROR(INDEX(PP_Grid[#Data],$DD130,43),0)</f>
        <v/>
      </c>
      <c r="AT130">
        <f>IFERROR(INDEX(PP_Grid[#Data],$DD130,44),0)</f>
        <v/>
      </c>
      <c r="AU130">
        <f>IFERROR(INDEX(PP_Grid[#Data],$DD130,45),0)</f>
        <v/>
      </c>
      <c r="AV130">
        <f>IFERROR(INDEX(PP_Grid[#Data],$DD130,46),0)</f>
        <v/>
      </c>
      <c r="AW130">
        <f>IFERROR(INDEX(PP_Grid[#Data],$DD130,47),0)</f>
        <v/>
      </c>
      <c r="AX130">
        <f>IFERROR(INDEX(PP_Grid[#Data],$DD130,48),0)</f>
        <v/>
      </c>
      <c r="AY130">
        <f>IFERROR(INDEX(PP_Grid[#Data],$DD130,49),0)</f>
        <v/>
      </c>
      <c r="AZ130">
        <f>IFERROR(INDEX(PP_Grid[#Data],$DD130,50),0)</f>
        <v/>
      </c>
      <c r="BA130">
        <f>IFERROR(INDEX(PP_Grid[#Data],$DD130,51),0)</f>
        <v/>
      </c>
      <c r="BB130">
        <f>IFERROR(INDEX(PP_Grid[#Data],$DD130,52),0)</f>
        <v/>
      </c>
      <c r="BC130">
        <f>IFERROR(INDEX(PP_Grid[#Data],$DD130,53),0)</f>
        <v/>
      </c>
      <c r="BD130">
        <f>IFERROR(INDEX(PP_Grid[#Data],$DD130,54),0)</f>
        <v/>
      </c>
      <c r="BE130">
        <f>IFERROR(INDEX(PP_Grid[#Data],$DD130,55),0)</f>
        <v/>
      </c>
      <c r="BF130">
        <f>IFERROR(INDEX(PP_Grid[#Data],$DD130,56),0)</f>
        <v/>
      </c>
      <c r="BG130">
        <f>IFERROR(INDEX(PP_Grid[#Data],$DD130,57),0)</f>
        <v/>
      </c>
      <c r="BH130">
        <f>IFERROR(INDEX(PP_Grid[#Data],$DD130,58),0)</f>
        <v/>
      </c>
      <c r="BI130">
        <f>IFERROR(INDEX(PP_Grid[#Data],$DD130,59),0)</f>
        <v/>
      </c>
      <c r="BJ130">
        <f>IFERROR(INDEX(PP_Grid[#Data],$DD130,60),0)</f>
        <v/>
      </c>
      <c r="BK130">
        <f>IFERROR(INDEX(PP_Grid[#Data],$DD130,61),0)</f>
        <v/>
      </c>
      <c r="BL130">
        <f>IFERROR(INDEX(PP_Grid[#Data],$DD130,62),0)</f>
        <v/>
      </c>
      <c r="BM130">
        <f>IFERROR(INDEX(PP_Grid[#Data],$DD130,63),0)</f>
        <v/>
      </c>
      <c r="BN130">
        <f>IFERROR(INDEX(PP_Grid[#Data],$DD130,64),0)</f>
        <v/>
      </c>
      <c r="BO130">
        <f>IFERROR(INDEX(PP_Grid[#Data],$DD130,65),0)</f>
        <v/>
      </c>
      <c r="BP130">
        <f>IFERROR(INDEX(PP_Grid[#Data],$DD130,66),0)</f>
        <v/>
      </c>
      <c r="BQ130">
        <f>IFERROR(INDEX(PP_Grid[#Data],$DD130,67),0)</f>
        <v/>
      </c>
      <c r="BR130">
        <f>IFERROR(INDEX(PP_Grid[#Data],$DD130,68),0)</f>
        <v/>
      </c>
      <c r="BS130">
        <f>IFERROR(INDEX(PP_Grid[#Data],$DD130,69),0)</f>
        <v/>
      </c>
      <c r="BT130">
        <f>IFERROR(INDEX(PP_Grid[#Data],$DD130,70),0)</f>
        <v/>
      </c>
      <c r="BU130">
        <f>IFERROR(INDEX(PP_Grid[#Data],$DD130,71),0)</f>
        <v/>
      </c>
      <c r="BV130">
        <f>IFERROR(INDEX(PP_Grid[#Data],$DD130,72),0)</f>
        <v/>
      </c>
      <c r="BW130">
        <f>IFERROR(INDEX(PP_Grid[#Data],$DD130,73),0)</f>
        <v/>
      </c>
      <c r="BX130">
        <f>IFERROR(INDEX(PP_Grid[#Data],$DD130,74),0)</f>
        <v/>
      </c>
      <c r="BY130">
        <f>IFERROR(INDEX(PP_Grid[#Data],$DD130,75),0)</f>
        <v/>
      </c>
      <c r="BZ130">
        <f>IFERROR(INDEX(PP_Grid[#Data],$DD130,76),0)</f>
        <v/>
      </c>
      <c r="CA130">
        <f>IFERROR(INDEX(PP_Grid[#Data],$DD130,77),0)</f>
        <v/>
      </c>
      <c r="CB130">
        <f>IFERROR(INDEX(PP_Grid[#Data],$DD130,78),0)</f>
        <v/>
      </c>
      <c r="CC130">
        <f>IFERROR(INDEX(PP_Grid[#Data],$DD130,79),0)</f>
        <v/>
      </c>
      <c r="CD130">
        <f>IFERROR(INDEX(PP_Grid[#Data],$DD130,80),0)</f>
        <v/>
      </c>
      <c r="CE130">
        <f>IFERROR(INDEX(PP_Grid[#Data],$DD130,81),0)</f>
        <v/>
      </c>
      <c r="CF130">
        <f>IFERROR(INDEX(PP_Grid[#Data],$DD130,82),0)</f>
        <v/>
      </c>
      <c r="CG130">
        <f>IFERROR(INDEX(PP_Grid[#Data],$DD130,83),0)</f>
        <v/>
      </c>
      <c r="CH130">
        <f>IFERROR(INDEX(PP_Grid[#Data],$DD130,84),0)</f>
        <v/>
      </c>
      <c r="CI130">
        <f>IFERROR(INDEX(PP_Grid[#Data],$DD130,85),0)</f>
        <v/>
      </c>
      <c r="CJ130">
        <f>IFERROR(INDEX(PP_Grid[#Data],$DD130,86),0)</f>
        <v/>
      </c>
      <c r="CK130">
        <f>IFERROR(INDEX(PP_Grid[#Data],$DD130,87),0)</f>
        <v/>
      </c>
      <c r="CL130">
        <f>IFERROR(INDEX(PP_Grid[#Data],$DD130,88),0)</f>
        <v/>
      </c>
      <c r="CM130">
        <f>IFERROR(INDEX(PP_Grid[#Data],$DD130,89),0)</f>
        <v/>
      </c>
      <c r="CN130">
        <f>IFERROR(INDEX(PP_Grid[#Data],$DD130,90),0)</f>
        <v/>
      </c>
      <c r="CO130">
        <f>IFERROR(INDEX(PP_Grid[#Data],$DD130,91),0)</f>
        <v/>
      </c>
      <c r="CP130">
        <f>IFERROR(INDEX(PP_Grid[#Data],$DD130,92),0)</f>
        <v/>
      </c>
      <c r="CQ130">
        <f>IFERROR(INDEX(PP_Grid[#Data],$DD130,93),0)</f>
        <v/>
      </c>
      <c r="CR130">
        <f>IFERROR(INDEX(PP_Grid[#Data],$DD130,94),0)</f>
        <v/>
      </c>
      <c r="CS130">
        <f>IFERROR(INDEX(PP_Grid[#Data],$DD130,95),0)</f>
        <v/>
      </c>
      <c r="CT130">
        <f>IFERROR(INDEX(PP_Grid[#Data],$DD130,96),0)</f>
        <v/>
      </c>
      <c r="CU130">
        <f>IFERROR(INDEX(PP_Grid[#Data],$DD130,97),0)</f>
        <v/>
      </c>
      <c r="CV130">
        <f>IFERROR(INDEX(PP_Grid[#Data],$DD130,98),0)</f>
        <v/>
      </c>
      <c r="CW130">
        <f>IFERROR(INDEX(PP_Grid[#Data],$DD130,99),0)</f>
        <v/>
      </c>
      <c r="CX130">
        <f>IFERROR(INDEX(PP_Grid[#Data],$DD130,100),0)</f>
        <v/>
      </c>
      <c r="CY130">
        <f>IFERROR(INDEX(PP_Grid[#Data],$DD130,101),0)</f>
        <v/>
      </c>
      <c r="CZ130">
        <f>IFERROR(INDEX(PP_Grid[#Data],$DD130,102),0)</f>
        <v/>
      </c>
      <c r="DA130">
        <f>IFERROR(INDEX(PP_Grid[#Data],$DD130,103),0)</f>
        <v/>
      </c>
      <c r="DB130">
        <f>IFERROR(INDEX(PP_Grid[#Data],$DD130,104),0)</f>
        <v/>
      </c>
      <c r="DC130">
        <f>IFERROR(INDEX(PP_Grid[#Data],$DD130,105),0)</f>
        <v/>
      </c>
      <c r="DD130" s="12">
        <f>IFERROR(MATCH($B130,PP_Grid[Intermediate],0),99999)</f>
        <v/>
      </c>
    </row>
    <row r="131">
      <c r="B131" t="inlineStr">
        <is>
          <t>使用量(kg)</t>
        </is>
      </c>
      <c r="C131">
        <f>SUMIFS(M_BOM[RM_Qty_Per_Batch],M_BOM[Intermediate],$B130,M_BOM[Part Name],$A121)</f>
        <v/>
      </c>
      <c r="D131">
        <f>$C131*D130</f>
        <v/>
      </c>
      <c r="E131">
        <f>$C131*E130</f>
        <v/>
      </c>
      <c r="F131">
        <f>$C131*F130</f>
        <v/>
      </c>
      <c r="G131">
        <f>$C131*G130</f>
        <v/>
      </c>
      <c r="H131">
        <f>$C131*H130</f>
        <v/>
      </c>
      <c r="I131">
        <f>$C131*I130</f>
        <v/>
      </c>
      <c r="J131">
        <f>$C131*J130</f>
        <v/>
      </c>
      <c r="K131">
        <f>$C131*K130</f>
        <v/>
      </c>
      <c r="L131">
        <f>$C131*L130</f>
        <v/>
      </c>
      <c r="M131">
        <f>$C131*M130</f>
        <v/>
      </c>
      <c r="N131">
        <f>$C131*N130</f>
        <v/>
      </c>
      <c r="O131">
        <f>$C131*O130</f>
        <v/>
      </c>
      <c r="P131">
        <f>$C131*P130</f>
        <v/>
      </c>
      <c r="Q131">
        <f>$C131*Q130</f>
        <v/>
      </c>
      <c r="R131">
        <f>$C131*R130</f>
        <v/>
      </c>
      <c r="S131">
        <f>$C131*S130</f>
        <v/>
      </c>
      <c r="T131">
        <f>$C131*T130</f>
        <v/>
      </c>
      <c r="U131">
        <f>$C131*U130</f>
        <v/>
      </c>
      <c r="V131">
        <f>$C131*V130</f>
        <v/>
      </c>
      <c r="W131">
        <f>$C131*W130</f>
        <v/>
      </c>
      <c r="X131">
        <f>$C131*X130</f>
        <v/>
      </c>
      <c r="Y131">
        <f>$C131*Y130</f>
        <v/>
      </c>
      <c r="Z131">
        <f>$C131*Z130</f>
        <v/>
      </c>
      <c r="AA131">
        <f>$C131*AA130</f>
        <v/>
      </c>
      <c r="AB131">
        <f>$C131*AB130</f>
        <v/>
      </c>
      <c r="AC131">
        <f>$C131*AC130</f>
        <v/>
      </c>
      <c r="AD131">
        <f>$C131*AD130</f>
        <v/>
      </c>
      <c r="AE131">
        <f>$C131*AE130</f>
        <v/>
      </c>
      <c r="AF131">
        <f>$C131*AF130</f>
        <v/>
      </c>
      <c r="AG131">
        <f>$C131*AG130</f>
        <v/>
      </c>
      <c r="AH131">
        <f>$C131*AH130</f>
        <v/>
      </c>
      <c r="AI131">
        <f>$C131*AI130</f>
        <v/>
      </c>
      <c r="AJ131">
        <f>$C131*AJ130</f>
        <v/>
      </c>
      <c r="AK131">
        <f>$C131*AK130</f>
        <v/>
      </c>
      <c r="AL131">
        <f>$C131*AL130</f>
        <v/>
      </c>
      <c r="AM131">
        <f>$C131*AM130</f>
        <v/>
      </c>
      <c r="AN131">
        <f>$C131*AN130</f>
        <v/>
      </c>
      <c r="AO131">
        <f>$C131*AO130</f>
        <v/>
      </c>
      <c r="AP131">
        <f>$C131*AP130</f>
        <v/>
      </c>
      <c r="AQ131">
        <f>$C131*AQ130</f>
        <v/>
      </c>
      <c r="AR131">
        <f>$C131*AR130</f>
        <v/>
      </c>
      <c r="AS131">
        <f>$C131*AS130</f>
        <v/>
      </c>
      <c r="AT131">
        <f>$C131*AT130</f>
        <v/>
      </c>
      <c r="AU131">
        <f>$C131*AU130</f>
        <v/>
      </c>
      <c r="AV131">
        <f>$C131*AV130</f>
        <v/>
      </c>
      <c r="AW131">
        <f>$C131*AW130</f>
        <v/>
      </c>
      <c r="AX131">
        <f>$C131*AX130</f>
        <v/>
      </c>
      <c r="AY131">
        <f>$C131*AY130</f>
        <v/>
      </c>
      <c r="AZ131">
        <f>$C131*AZ130</f>
        <v/>
      </c>
      <c r="BA131">
        <f>$C131*BA130</f>
        <v/>
      </c>
      <c r="BB131">
        <f>$C131*BB130</f>
        <v/>
      </c>
      <c r="BC131">
        <f>$C131*BC130</f>
        <v/>
      </c>
      <c r="BD131">
        <f>$C131*BD130</f>
        <v/>
      </c>
      <c r="BE131">
        <f>$C131*BE130</f>
        <v/>
      </c>
      <c r="BF131">
        <f>$C131*BF130</f>
        <v/>
      </c>
      <c r="BG131">
        <f>$C131*BG130</f>
        <v/>
      </c>
      <c r="BH131">
        <f>$C131*BH130</f>
        <v/>
      </c>
      <c r="BI131">
        <f>$C131*BI130</f>
        <v/>
      </c>
      <c r="BJ131">
        <f>$C131*BJ130</f>
        <v/>
      </c>
      <c r="BK131">
        <f>$C131*BK130</f>
        <v/>
      </c>
      <c r="BL131">
        <f>$C131*BL130</f>
        <v/>
      </c>
      <c r="BM131">
        <f>$C131*BM130</f>
        <v/>
      </c>
      <c r="BN131">
        <f>$C131*BN130</f>
        <v/>
      </c>
      <c r="BO131">
        <f>$C131*BO130</f>
        <v/>
      </c>
      <c r="BP131">
        <f>$C131*BP130</f>
        <v/>
      </c>
      <c r="BQ131">
        <f>$C131*BQ130</f>
        <v/>
      </c>
      <c r="BR131">
        <f>$C131*BR130</f>
        <v/>
      </c>
      <c r="BS131">
        <f>$C131*BS130</f>
        <v/>
      </c>
      <c r="BT131">
        <f>$C131*BT130</f>
        <v/>
      </c>
      <c r="BU131">
        <f>$C131*BU130</f>
        <v/>
      </c>
      <c r="BV131">
        <f>$C131*BV130</f>
        <v/>
      </c>
      <c r="BW131">
        <f>$C131*BW130</f>
        <v/>
      </c>
      <c r="BX131">
        <f>$C131*BX130</f>
        <v/>
      </c>
      <c r="BY131">
        <f>$C131*BY130</f>
        <v/>
      </c>
      <c r="BZ131">
        <f>$C131*BZ130</f>
        <v/>
      </c>
      <c r="CA131">
        <f>$C131*CA130</f>
        <v/>
      </c>
      <c r="CB131">
        <f>$C131*CB130</f>
        <v/>
      </c>
      <c r="CC131">
        <f>$C131*CC130</f>
        <v/>
      </c>
      <c r="CD131">
        <f>$C131*CD130</f>
        <v/>
      </c>
      <c r="CE131">
        <f>$C131*CE130</f>
        <v/>
      </c>
      <c r="CF131">
        <f>$C131*CF130</f>
        <v/>
      </c>
      <c r="CG131">
        <f>$C131*CG130</f>
        <v/>
      </c>
      <c r="CH131">
        <f>$C131*CH130</f>
        <v/>
      </c>
      <c r="CI131">
        <f>$C131*CI130</f>
        <v/>
      </c>
      <c r="CJ131">
        <f>$C131*CJ130</f>
        <v/>
      </c>
      <c r="CK131">
        <f>$C131*CK130</f>
        <v/>
      </c>
      <c r="CL131">
        <f>$C131*CL130</f>
        <v/>
      </c>
      <c r="CM131">
        <f>$C131*CM130</f>
        <v/>
      </c>
      <c r="CN131">
        <f>$C131*CN130</f>
        <v/>
      </c>
      <c r="CO131">
        <f>$C131*CO130</f>
        <v/>
      </c>
      <c r="CP131">
        <f>$C131*CP130</f>
        <v/>
      </c>
      <c r="CQ131">
        <f>$C131*CQ130</f>
        <v/>
      </c>
      <c r="CR131">
        <f>$C131*CR130</f>
        <v/>
      </c>
      <c r="CS131">
        <f>$C131*CS130</f>
        <v/>
      </c>
      <c r="CT131">
        <f>$C131*CT130</f>
        <v/>
      </c>
      <c r="CU131">
        <f>$C131*CU130</f>
        <v/>
      </c>
      <c r="CV131">
        <f>$C131*CV130</f>
        <v/>
      </c>
      <c r="CW131">
        <f>$C131*CW130</f>
        <v/>
      </c>
      <c r="CX131">
        <f>$C131*CX130</f>
        <v/>
      </c>
      <c r="CY131">
        <f>$C131*CY130</f>
        <v/>
      </c>
      <c r="CZ131">
        <f>$C131*CZ130</f>
        <v/>
      </c>
      <c r="DA131">
        <f>$C131*DA130</f>
        <v/>
      </c>
      <c r="DB131">
        <f>$C131*DB130</f>
        <v/>
      </c>
      <c r="DC131">
        <f>$C131*DC130</f>
        <v/>
      </c>
    </row>
    <row r="132">
      <c r="B132" t="inlineStr">
        <is>
          <t>0W750</t>
        </is>
      </c>
      <c r="C132" t="inlineStr">
        <is>
          <t>No. of batches</t>
        </is>
      </c>
      <c r="D132">
        <f>IFERROR(INDEX(PP_Grid[#Data],$DD132,2),0)</f>
        <v/>
      </c>
      <c r="E132">
        <f>IFERROR(INDEX(PP_Grid[#Data],$DD132,3),0)</f>
        <v/>
      </c>
      <c r="F132">
        <f>IFERROR(INDEX(PP_Grid[#Data],$DD132,4),0)</f>
        <v/>
      </c>
      <c r="G132">
        <f>IFERROR(INDEX(PP_Grid[#Data],$DD132,5),0)</f>
        <v/>
      </c>
      <c r="H132">
        <f>IFERROR(INDEX(PP_Grid[#Data],$DD132,6),0)</f>
        <v/>
      </c>
      <c r="I132">
        <f>IFERROR(INDEX(PP_Grid[#Data],$DD132,7),0)</f>
        <v/>
      </c>
      <c r="J132">
        <f>IFERROR(INDEX(PP_Grid[#Data],$DD132,8),0)</f>
        <v/>
      </c>
      <c r="K132">
        <f>IFERROR(INDEX(PP_Grid[#Data],$DD132,9),0)</f>
        <v/>
      </c>
      <c r="L132">
        <f>IFERROR(INDEX(PP_Grid[#Data],$DD132,10),0)</f>
        <v/>
      </c>
      <c r="M132">
        <f>IFERROR(INDEX(PP_Grid[#Data],$DD132,11),0)</f>
        <v/>
      </c>
      <c r="N132">
        <f>IFERROR(INDEX(PP_Grid[#Data],$DD132,12),0)</f>
        <v/>
      </c>
      <c r="O132">
        <f>IFERROR(INDEX(PP_Grid[#Data],$DD132,13),0)</f>
        <v/>
      </c>
      <c r="P132">
        <f>IFERROR(INDEX(PP_Grid[#Data],$DD132,14),0)</f>
        <v/>
      </c>
      <c r="Q132">
        <f>IFERROR(INDEX(PP_Grid[#Data],$DD132,15),0)</f>
        <v/>
      </c>
      <c r="R132">
        <f>IFERROR(INDEX(PP_Grid[#Data],$DD132,16),0)</f>
        <v/>
      </c>
      <c r="S132">
        <f>IFERROR(INDEX(PP_Grid[#Data],$DD132,17),0)</f>
        <v/>
      </c>
      <c r="T132">
        <f>IFERROR(INDEX(PP_Grid[#Data],$DD132,18),0)</f>
        <v/>
      </c>
      <c r="U132">
        <f>IFERROR(INDEX(PP_Grid[#Data],$DD132,19),0)</f>
        <v/>
      </c>
      <c r="V132">
        <f>IFERROR(INDEX(PP_Grid[#Data],$DD132,20),0)</f>
        <v/>
      </c>
      <c r="W132">
        <f>IFERROR(INDEX(PP_Grid[#Data],$DD132,21),0)</f>
        <v/>
      </c>
      <c r="X132">
        <f>IFERROR(INDEX(PP_Grid[#Data],$DD132,22),0)</f>
        <v/>
      </c>
      <c r="Y132">
        <f>IFERROR(INDEX(PP_Grid[#Data],$DD132,23),0)</f>
        <v/>
      </c>
      <c r="Z132">
        <f>IFERROR(INDEX(PP_Grid[#Data],$DD132,24),0)</f>
        <v/>
      </c>
      <c r="AA132">
        <f>IFERROR(INDEX(PP_Grid[#Data],$DD132,25),0)</f>
        <v/>
      </c>
      <c r="AB132">
        <f>IFERROR(INDEX(PP_Grid[#Data],$DD132,26),0)</f>
        <v/>
      </c>
      <c r="AC132">
        <f>IFERROR(INDEX(PP_Grid[#Data],$DD132,27),0)</f>
        <v/>
      </c>
      <c r="AD132">
        <f>IFERROR(INDEX(PP_Grid[#Data],$DD132,28),0)</f>
        <v/>
      </c>
      <c r="AE132">
        <f>IFERROR(INDEX(PP_Grid[#Data],$DD132,29),0)</f>
        <v/>
      </c>
      <c r="AF132">
        <f>IFERROR(INDEX(PP_Grid[#Data],$DD132,30),0)</f>
        <v/>
      </c>
      <c r="AG132">
        <f>IFERROR(INDEX(PP_Grid[#Data],$DD132,31),0)</f>
        <v/>
      </c>
      <c r="AH132">
        <f>IFERROR(INDEX(PP_Grid[#Data],$DD132,32),0)</f>
        <v/>
      </c>
      <c r="AI132">
        <f>IFERROR(INDEX(PP_Grid[#Data],$DD132,33),0)</f>
        <v/>
      </c>
      <c r="AJ132">
        <f>IFERROR(INDEX(PP_Grid[#Data],$DD132,34),0)</f>
        <v/>
      </c>
      <c r="AK132">
        <f>IFERROR(INDEX(PP_Grid[#Data],$DD132,35),0)</f>
        <v/>
      </c>
      <c r="AL132">
        <f>IFERROR(INDEX(PP_Grid[#Data],$DD132,36),0)</f>
        <v/>
      </c>
      <c r="AM132">
        <f>IFERROR(INDEX(PP_Grid[#Data],$DD132,37),0)</f>
        <v/>
      </c>
      <c r="AN132">
        <f>IFERROR(INDEX(PP_Grid[#Data],$DD132,38),0)</f>
        <v/>
      </c>
      <c r="AO132">
        <f>IFERROR(INDEX(PP_Grid[#Data],$DD132,39),0)</f>
        <v/>
      </c>
      <c r="AP132">
        <f>IFERROR(INDEX(PP_Grid[#Data],$DD132,40),0)</f>
        <v/>
      </c>
      <c r="AQ132">
        <f>IFERROR(INDEX(PP_Grid[#Data],$DD132,41),0)</f>
        <v/>
      </c>
      <c r="AR132">
        <f>IFERROR(INDEX(PP_Grid[#Data],$DD132,42),0)</f>
        <v/>
      </c>
      <c r="AS132">
        <f>IFERROR(INDEX(PP_Grid[#Data],$DD132,43),0)</f>
        <v/>
      </c>
      <c r="AT132">
        <f>IFERROR(INDEX(PP_Grid[#Data],$DD132,44),0)</f>
        <v/>
      </c>
      <c r="AU132">
        <f>IFERROR(INDEX(PP_Grid[#Data],$DD132,45),0)</f>
        <v/>
      </c>
      <c r="AV132">
        <f>IFERROR(INDEX(PP_Grid[#Data],$DD132,46),0)</f>
        <v/>
      </c>
      <c r="AW132">
        <f>IFERROR(INDEX(PP_Grid[#Data],$DD132,47),0)</f>
        <v/>
      </c>
      <c r="AX132">
        <f>IFERROR(INDEX(PP_Grid[#Data],$DD132,48),0)</f>
        <v/>
      </c>
      <c r="AY132">
        <f>IFERROR(INDEX(PP_Grid[#Data],$DD132,49),0)</f>
        <v/>
      </c>
      <c r="AZ132">
        <f>IFERROR(INDEX(PP_Grid[#Data],$DD132,50),0)</f>
        <v/>
      </c>
      <c r="BA132">
        <f>IFERROR(INDEX(PP_Grid[#Data],$DD132,51),0)</f>
        <v/>
      </c>
      <c r="BB132">
        <f>IFERROR(INDEX(PP_Grid[#Data],$DD132,52),0)</f>
        <v/>
      </c>
      <c r="BC132">
        <f>IFERROR(INDEX(PP_Grid[#Data],$DD132,53),0)</f>
        <v/>
      </c>
      <c r="BD132">
        <f>IFERROR(INDEX(PP_Grid[#Data],$DD132,54),0)</f>
        <v/>
      </c>
      <c r="BE132">
        <f>IFERROR(INDEX(PP_Grid[#Data],$DD132,55),0)</f>
        <v/>
      </c>
      <c r="BF132">
        <f>IFERROR(INDEX(PP_Grid[#Data],$DD132,56),0)</f>
        <v/>
      </c>
      <c r="BG132">
        <f>IFERROR(INDEX(PP_Grid[#Data],$DD132,57),0)</f>
        <v/>
      </c>
      <c r="BH132">
        <f>IFERROR(INDEX(PP_Grid[#Data],$DD132,58),0)</f>
        <v/>
      </c>
      <c r="BI132">
        <f>IFERROR(INDEX(PP_Grid[#Data],$DD132,59),0)</f>
        <v/>
      </c>
      <c r="BJ132">
        <f>IFERROR(INDEX(PP_Grid[#Data],$DD132,60),0)</f>
        <v/>
      </c>
      <c r="BK132">
        <f>IFERROR(INDEX(PP_Grid[#Data],$DD132,61),0)</f>
        <v/>
      </c>
      <c r="BL132">
        <f>IFERROR(INDEX(PP_Grid[#Data],$DD132,62),0)</f>
        <v/>
      </c>
      <c r="BM132">
        <f>IFERROR(INDEX(PP_Grid[#Data],$DD132,63),0)</f>
        <v/>
      </c>
      <c r="BN132">
        <f>IFERROR(INDEX(PP_Grid[#Data],$DD132,64),0)</f>
        <v/>
      </c>
      <c r="BO132">
        <f>IFERROR(INDEX(PP_Grid[#Data],$DD132,65),0)</f>
        <v/>
      </c>
      <c r="BP132">
        <f>IFERROR(INDEX(PP_Grid[#Data],$DD132,66),0)</f>
        <v/>
      </c>
      <c r="BQ132">
        <f>IFERROR(INDEX(PP_Grid[#Data],$DD132,67),0)</f>
        <v/>
      </c>
      <c r="BR132">
        <f>IFERROR(INDEX(PP_Grid[#Data],$DD132,68),0)</f>
        <v/>
      </c>
      <c r="BS132">
        <f>IFERROR(INDEX(PP_Grid[#Data],$DD132,69),0)</f>
        <v/>
      </c>
      <c r="BT132">
        <f>IFERROR(INDEX(PP_Grid[#Data],$DD132,70),0)</f>
        <v/>
      </c>
      <c r="BU132">
        <f>IFERROR(INDEX(PP_Grid[#Data],$DD132,71),0)</f>
        <v/>
      </c>
      <c r="BV132">
        <f>IFERROR(INDEX(PP_Grid[#Data],$DD132,72),0)</f>
        <v/>
      </c>
      <c r="BW132">
        <f>IFERROR(INDEX(PP_Grid[#Data],$DD132,73),0)</f>
        <v/>
      </c>
      <c r="BX132">
        <f>IFERROR(INDEX(PP_Grid[#Data],$DD132,74),0)</f>
        <v/>
      </c>
      <c r="BY132">
        <f>IFERROR(INDEX(PP_Grid[#Data],$DD132,75),0)</f>
        <v/>
      </c>
      <c r="BZ132">
        <f>IFERROR(INDEX(PP_Grid[#Data],$DD132,76),0)</f>
        <v/>
      </c>
      <c r="CA132">
        <f>IFERROR(INDEX(PP_Grid[#Data],$DD132,77),0)</f>
        <v/>
      </c>
      <c r="CB132">
        <f>IFERROR(INDEX(PP_Grid[#Data],$DD132,78),0)</f>
        <v/>
      </c>
      <c r="CC132">
        <f>IFERROR(INDEX(PP_Grid[#Data],$DD132,79),0)</f>
        <v/>
      </c>
      <c r="CD132">
        <f>IFERROR(INDEX(PP_Grid[#Data],$DD132,80),0)</f>
        <v/>
      </c>
      <c r="CE132">
        <f>IFERROR(INDEX(PP_Grid[#Data],$DD132,81),0)</f>
        <v/>
      </c>
      <c r="CF132">
        <f>IFERROR(INDEX(PP_Grid[#Data],$DD132,82),0)</f>
        <v/>
      </c>
      <c r="CG132">
        <f>IFERROR(INDEX(PP_Grid[#Data],$DD132,83),0)</f>
        <v/>
      </c>
      <c r="CH132">
        <f>IFERROR(INDEX(PP_Grid[#Data],$DD132,84),0)</f>
        <v/>
      </c>
      <c r="CI132">
        <f>IFERROR(INDEX(PP_Grid[#Data],$DD132,85),0)</f>
        <v/>
      </c>
      <c r="CJ132">
        <f>IFERROR(INDEX(PP_Grid[#Data],$DD132,86),0)</f>
        <v/>
      </c>
      <c r="CK132">
        <f>IFERROR(INDEX(PP_Grid[#Data],$DD132,87),0)</f>
        <v/>
      </c>
      <c r="CL132">
        <f>IFERROR(INDEX(PP_Grid[#Data],$DD132,88),0)</f>
        <v/>
      </c>
      <c r="CM132">
        <f>IFERROR(INDEX(PP_Grid[#Data],$DD132,89),0)</f>
        <v/>
      </c>
      <c r="CN132">
        <f>IFERROR(INDEX(PP_Grid[#Data],$DD132,90),0)</f>
        <v/>
      </c>
      <c r="CO132">
        <f>IFERROR(INDEX(PP_Grid[#Data],$DD132,91),0)</f>
        <v/>
      </c>
      <c r="CP132">
        <f>IFERROR(INDEX(PP_Grid[#Data],$DD132,92),0)</f>
        <v/>
      </c>
      <c r="CQ132">
        <f>IFERROR(INDEX(PP_Grid[#Data],$DD132,93),0)</f>
        <v/>
      </c>
      <c r="CR132">
        <f>IFERROR(INDEX(PP_Grid[#Data],$DD132,94),0)</f>
        <v/>
      </c>
      <c r="CS132">
        <f>IFERROR(INDEX(PP_Grid[#Data],$DD132,95),0)</f>
        <v/>
      </c>
      <c r="CT132">
        <f>IFERROR(INDEX(PP_Grid[#Data],$DD132,96),0)</f>
        <v/>
      </c>
      <c r="CU132">
        <f>IFERROR(INDEX(PP_Grid[#Data],$DD132,97),0)</f>
        <v/>
      </c>
      <c r="CV132">
        <f>IFERROR(INDEX(PP_Grid[#Data],$DD132,98),0)</f>
        <v/>
      </c>
      <c r="CW132">
        <f>IFERROR(INDEX(PP_Grid[#Data],$DD132,99),0)</f>
        <v/>
      </c>
      <c r="CX132">
        <f>IFERROR(INDEX(PP_Grid[#Data],$DD132,100),0)</f>
        <v/>
      </c>
      <c r="CY132">
        <f>IFERROR(INDEX(PP_Grid[#Data],$DD132,101),0)</f>
        <v/>
      </c>
      <c r="CZ132">
        <f>IFERROR(INDEX(PP_Grid[#Data],$DD132,102),0)</f>
        <v/>
      </c>
      <c r="DA132">
        <f>IFERROR(INDEX(PP_Grid[#Data],$DD132,103),0)</f>
        <v/>
      </c>
      <c r="DB132">
        <f>IFERROR(INDEX(PP_Grid[#Data],$DD132,104),0)</f>
        <v/>
      </c>
      <c r="DC132">
        <f>IFERROR(INDEX(PP_Grid[#Data],$DD132,105),0)</f>
        <v/>
      </c>
      <c r="DD132" s="12">
        <f>IFERROR(MATCH($B132,PP_Grid[Intermediate],0),99999)</f>
        <v/>
      </c>
    </row>
    <row r="133">
      <c r="B133" t="inlineStr">
        <is>
          <t>使用量(kg)</t>
        </is>
      </c>
      <c r="C133">
        <f>SUMIFS(M_BOM[RM_Qty_Per_Batch],M_BOM[Intermediate],$B132,M_BOM[Part Name],$A121)</f>
        <v/>
      </c>
      <c r="D133">
        <f>$C133*D132</f>
        <v/>
      </c>
      <c r="E133">
        <f>$C133*E132</f>
        <v/>
      </c>
      <c r="F133">
        <f>$C133*F132</f>
        <v/>
      </c>
      <c r="G133">
        <f>$C133*G132</f>
        <v/>
      </c>
      <c r="H133">
        <f>$C133*H132</f>
        <v/>
      </c>
      <c r="I133">
        <f>$C133*I132</f>
        <v/>
      </c>
      <c r="J133">
        <f>$C133*J132</f>
        <v/>
      </c>
      <c r="K133">
        <f>$C133*K132</f>
        <v/>
      </c>
      <c r="L133">
        <f>$C133*L132</f>
        <v/>
      </c>
      <c r="M133">
        <f>$C133*M132</f>
        <v/>
      </c>
      <c r="N133">
        <f>$C133*N132</f>
        <v/>
      </c>
      <c r="O133">
        <f>$C133*O132</f>
        <v/>
      </c>
      <c r="P133">
        <f>$C133*P132</f>
        <v/>
      </c>
      <c r="Q133">
        <f>$C133*Q132</f>
        <v/>
      </c>
      <c r="R133">
        <f>$C133*R132</f>
        <v/>
      </c>
      <c r="S133">
        <f>$C133*S132</f>
        <v/>
      </c>
      <c r="T133">
        <f>$C133*T132</f>
        <v/>
      </c>
      <c r="U133">
        <f>$C133*U132</f>
        <v/>
      </c>
      <c r="V133">
        <f>$C133*V132</f>
        <v/>
      </c>
      <c r="W133">
        <f>$C133*W132</f>
        <v/>
      </c>
      <c r="X133">
        <f>$C133*X132</f>
        <v/>
      </c>
      <c r="Y133">
        <f>$C133*Y132</f>
        <v/>
      </c>
      <c r="Z133">
        <f>$C133*Z132</f>
        <v/>
      </c>
      <c r="AA133">
        <f>$C133*AA132</f>
        <v/>
      </c>
      <c r="AB133">
        <f>$C133*AB132</f>
        <v/>
      </c>
      <c r="AC133">
        <f>$C133*AC132</f>
        <v/>
      </c>
      <c r="AD133">
        <f>$C133*AD132</f>
        <v/>
      </c>
      <c r="AE133">
        <f>$C133*AE132</f>
        <v/>
      </c>
      <c r="AF133">
        <f>$C133*AF132</f>
        <v/>
      </c>
      <c r="AG133">
        <f>$C133*AG132</f>
        <v/>
      </c>
      <c r="AH133">
        <f>$C133*AH132</f>
        <v/>
      </c>
      <c r="AI133">
        <f>$C133*AI132</f>
        <v/>
      </c>
      <c r="AJ133">
        <f>$C133*AJ132</f>
        <v/>
      </c>
      <c r="AK133">
        <f>$C133*AK132</f>
        <v/>
      </c>
      <c r="AL133">
        <f>$C133*AL132</f>
        <v/>
      </c>
      <c r="AM133">
        <f>$C133*AM132</f>
        <v/>
      </c>
      <c r="AN133">
        <f>$C133*AN132</f>
        <v/>
      </c>
      <c r="AO133">
        <f>$C133*AO132</f>
        <v/>
      </c>
      <c r="AP133">
        <f>$C133*AP132</f>
        <v/>
      </c>
      <c r="AQ133">
        <f>$C133*AQ132</f>
        <v/>
      </c>
      <c r="AR133">
        <f>$C133*AR132</f>
        <v/>
      </c>
      <c r="AS133">
        <f>$C133*AS132</f>
        <v/>
      </c>
      <c r="AT133">
        <f>$C133*AT132</f>
        <v/>
      </c>
      <c r="AU133">
        <f>$C133*AU132</f>
        <v/>
      </c>
      <c r="AV133">
        <f>$C133*AV132</f>
        <v/>
      </c>
      <c r="AW133">
        <f>$C133*AW132</f>
        <v/>
      </c>
      <c r="AX133">
        <f>$C133*AX132</f>
        <v/>
      </c>
      <c r="AY133">
        <f>$C133*AY132</f>
        <v/>
      </c>
      <c r="AZ133">
        <f>$C133*AZ132</f>
        <v/>
      </c>
      <c r="BA133">
        <f>$C133*BA132</f>
        <v/>
      </c>
      <c r="BB133">
        <f>$C133*BB132</f>
        <v/>
      </c>
      <c r="BC133">
        <f>$C133*BC132</f>
        <v/>
      </c>
      <c r="BD133">
        <f>$C133*BD132</f>
        <v/>
      </c>
      <c r="BE133">
        <f>$C133*BE132</f>
        <v/>
      </c>
      <c r="BF133">
        <f>$C133*BF132</f>
        <v/>
      </c>
      <c r="BG133">
        <f>$C133*BG132</f>
        <v/>
      </c>
      <c r="BH133">
        <f>$C133*BH132</f>
        <v/>
      </c>
      <c r="BI133">
        <f>$C133*BI132</f>
        <v/>
      </c>
      <c r="BJ133">
        <f>$C133*BJ132</f>
        <v/>
      </c>
      <c r="BK133">
        <f>$C133*BK132</f>
        <v/>
      </c>
      <c r="BL133">
        <f>$C133*BL132</f>
        <v/>
      </c>
      <c r="BM133">
        <f>$C133*BM132</f>
        <v/>
      </c>
      <c r="BN133">
        <f>$C133*BN132</f>
        <v/>
      </c>
      <c r="BO133">
        <f>$C133*BO132</f>
        <v/>
      </c>
      <c r="BP133">
        <f>$C133*BP132</f>
        <v/>
      </c>
      <c r="BQ133">
        <f>$C133*BQ132</f>
        <v/>
      </c>
      <c r="BR133">
        <f>$C133*BR132</f>
        <v/>
      </c>
      <c r="BS133">
        <f>$C133*BS132</f>
        <v/>
      </c>
      <c r="BT133">
        <f>$C133*BT132</f>
        <v/>
      </c>
      <c r="BU133">
        <f>$C133*BU132</f>
        <v/>
      </c>
      <c r="BV133">
        <f>$C133*BV132</f>
        <v/>
      </c>
      <c r="BW133">
        <f>$C133*BW132</f>
        <v/>
      </c>
      <c r="BX133">
        <f>$C133*BX132</f>
        <v/>
      </c>
      <c r="BY133">
        <f>$C133*BY132</f>
        <v/>
      </c>
      <c r="BZ133">
        <f>$C133*BZ132</f>
        <v/>
      </c>
      <c r="CA133">
        <f>$C133*CA132</f>
        <v/>
      </c>
      <c r="CB133">
        <f>$C133*CB132</f>
        <v/>
      </c>
      <c r="CC133">
        <f>$C133*CC132</f>
        <v/>
      </c>
      <c r="CD133">
        <f>$C133*CD132</f>
        <v/>
      </c>
      <c r="CE133">
        <f>$C133*CE132</f>
        <v/>
      </c>
      <c r="CF133">
        <f>$C133*CF132</f>
        <v/>
      </c>
      <c r="CG133">
        <f>$C133*CG132</f>
        <v/>
      </c>
      <c r="CH133">
        <f>$C133*CH132</f>
        <v/>
      </c>
      <c r="CI133">
        <f>$C133*CI132</f>
        <v/>
      </c>
      <c r="CJ133">
        <f>$C133*CJ132</f>
        <v/>
      </c>
      <c r="CK133">
        <f>$C133*CK132</f>
        <v/>
      </c>
      <c r="CL133">
        <f>$C133*CL132</f>
        <v/>
      </c>
      <c r="CM133">
        <f>$C133*CM132</f>
        <v/>
      </c>
      <c r="CN133">
        <f>$C133*CN132</f>
        <v/>
      </c>
      <c r="CO133">
        <f>$C133*CO132</f>
        <v/>
      </c>
      <c r="CP133">
        <f>$C133*CP132</f>
        <v/>
      </c>
      <c r="CQ133">
        <f>$C133*CQ132</f>
        <v/>
      </c>
      <c r="CR133">
        <f>$C133*CR132</f>
        <v/>
      </c>
      <c r="CS133">
        <f>$C133*CS132</f>
        <v/>
      </c>
      <c r="CT133">
        <f>$C133*CT132</f>
        <v/>
      </c>
      <c r="CU133">
        <f>$C133*CU132</f>
        <v/>
      </c>
      <c r="CV133">
        <f>$C133*CV132</f>
        <v/>
      </c>
      <c r="CW133">
        <f>$C133*CW132</f>
        <v/>
      </c>
      <c r="CX133">
        <f>$C133*CX132</f>
        <v/>
      </c>
      <c r="CY133">
        <f>$C133*CY132</f>
        <v/>
      </c>
      <c r="CZ133">
        <f>$C133*CZ132</f>
        <v/>
      </c>
      <c r="DA133">
        <f>$C133*DA132</f>
        <v/>
      </c>
      <c r="DB133">
        <f>$C133*DB132</f>
        <v/>
      </c>
      <c r="DC133">
        <f>$C133*DC132</f>
        <v/>
      </c>
    </row>
    <row r="134">
      <c r="B134" t="inlineStr">
        <is>
          <t>0W780</t>
        </is>
      </c>
      <c r="C134" t="inlineStr">
        <is>
          <t>No. of batches</t>
        </is>
      </c>
      <c r="D134">
        <f>IFERROR(INDEX(PP_Grid[#Data],$DD134,2),0)</f>
        <v/>
      </c>
      <c r="E134">
        <f>IFERROR(INDEX(PP_Grid[#Data],$DD134,3),0)</f>
        <v/>
      </c>
      <c r="F134">
        <f>IFERROR(INDEX(PP_Grid[#Data],$DD134,4),0)</f>
        <v/>
      </c>
      <c r="G134">
        <f>IFERROR(INDEX(PP_Grid[#Data],$DD134,5),0)</f>
        <v/>
      </c>
      <c r="H134">
        <f>IFERROR(INDEX(PP_Grid[#Data],$DD134,6),0)</f>
        <v/>
      </c>
      <c r="I134">
        <f>IFERROR(INDEX(PP_Grid[#Data],$DD134,7),0)</f>
        <v/>
      </c>
      <c r="J134">
        <f>IFERROR(INDEX(PP_Grid[#Data],$DD134,8),0)</f>
        <v/>
      </c>
      <c r="K134">
        <f>IFERROR(INDEX(PP_Grid[#Data],$DD134,9),0)</f>
        <v/>
      </c>
      <c r="L134">
        <f>IFERROR(INDEX(PP_Grid[#Data],$DD134,10),0)</f>
        <v/>
      </c>
      <c r="M134">
        <f>IFERROR(INDEX(PP_Grid[#Data],$DD134,11),0)</f>
        <v/>
      </c>
      <c r="N134">
        <f>IFERROR(INDEX(PP_Grid[#Data],$DD134,12),0)</f>
        <v/>
      </c>
      <c r="O134">
        <f>IFERROR(INDEX(PP_Grid[#Data],$DD134,13),0)</f>
        <v/>
      </c>
      <c r="P134">
        <f>IFERROR(INDEX(PP_Grid[#Data],$DD134,14),0)</f>
        <v/>
      </c>
      <c r="Q134">
        <f>IFERROR(INDEX(PP_Grid[#Data],$DD134,15),0)</f>
        <v/>
      </c>
      <c r="R134">
        <f>IFERROR(INDEX(PP_Grid[#Data],$DD134,16),0)</f>
        <v/>
      </c>
      <c r="S134">
        <f>IFERROR(INDEX(PP_Grid[#Data],$DD134,17),0)</f>
        <v/>
      </c>
      <c r="T134">
        <f>IFERROR(INDEX(PP_Grid[#Data],$DD134,18),0)</f>
        <v/>
      </c>
      <c r="U134">
        <f>IFERROR(INDEX(PP_Grid[#Data],$DD134,19),0)</f>
        <v/>
      </c>
      <c r="V134">
        <f>IFERROR(INDEX(PP_Grid[#Data],$DD134,20),0)</f>
        <v/>
      </c>
      <c r="W134">
        <f>IFERROR(INDEX(PP_Grid[#Data],$DD134,21),0)</f>
        <v/>
      </c>
      <c r="X134">
        <f>IFERROR(INDEX(PP_Grid[#Data],$DD134,22),0)</f>
        <v/>
      </c>
      <c r="Y134">
        <f>IFERROR(INDEX(PP_Grid[#Data],$DD134,23),0)</f>
        <v/>
      </c>
      <c r="Z134">
        <f>IFERROR(INDEX(PP_Grid[#Data],$DD134,24),0)</f>
        <v/>
      </c>
      <c r="AA134">
        <f>IFERROR(INDEX(PP_Grid[#Data],$DD134,25),0)</f>
        <v/>
      </c>
      <c r="AB134">
        <f>IFERROR(INDEX(PP_Grid[#Data],$DD134,26),0)</f>
        <v/>
      </c>
      <c r="AC134">
        <f>IFERROR(INDEX(PP_Grid[#Data],$DD134,27),0)</f>
        <v/>
      </c>
      <c r="AD134">
        <f>IFERROR(INDEX(PP_Grid[#Data],$DD134,28),0)</f>
        <v/>
      </c>
      <c r="AE134">
        <f>IFERROR(INDEX(PP_Grid[#Data],$DD134,29),0)</f>
        <v/>
      </c>
      <c r="AF134">
        <f>IFERROR(INDEX(PP_Grid[#Data],$DD134,30),0)</f>
        <v/>
      </c>
      <c r="AG134">
        <f>IFERROR(INDEX(PP_Grid[#Data],$DD134,31),0)</f>
        <v/>
      </c>
      <c r="AH134">
        <f>IFERROR(INDEX(PP_Grid[#Data],$DD134,32),0)</f>
        <v/>
      </c>
      <c r="AI134">
        <f>IFERROR(INDEX(PP_Grid[#Data],$DD134,33),0)</f>
        <v/>
      </c>
      <c r="AJ134">
        <f>IFERROR(INDEX(PP_Grid[#Data],$DD134,34),0)</f>
        <v/>
      </c>
      <c r="AK134">
        <f>IFERROR(INDEX(PP_Grid[#Data],$DD134,35),0)</f>
        <v/>
      </c>
      <c r="AL134">
        <f>IFERROR(INDEX(PP_Grid[#Data],$DD134,36),0)</f>
        <v/>
      </c>
      <c r="AM134">
        <f>IFERROR(INDEX(PP_Grid[#Data],$DD134,37),0)</f>
        <v/>
      </c>
      <c r="AN134">
        <f>IFERROR(INDEX(PP_Grid[#Data],$DD134,38),0)</f>
        <v/>
      </c>
      <c r="AO134">
        <f>IFERROR(INDEX(PP_Grid[#Data],$DD134,39),0)</f>
        <v/>
      </c>
      <c r="AP134">
        <f>IFERROR(INDEX(PP_Grid[#Data],$DD134,40),0)</f>
        <v/>
      </c>
      <c r="AQ134">
        <f>IFERROR(INDEX(PP_Grid[#Data],$DD134,41),0)</f>
        <v/>
      </c>
      <c r="AR134">
        <f>IFERROR(INDEX(PP_Grid[#Data],$DD134,42),0)</f>
        <v/>
      </c>
      <c r="AS134">
        <f>IFERROR(INDEX(PP_Grid[#Data],$DD134,43),0)</f>
        <v/>
      </c>
      <c r="AT134">
        <f>IFERROR(INDEX(PP_Grid[#Data],$DD134,44),0)</f>
        <v/>
      </c>
      <c r="AU134">
        <f>IFERROR(INDEX(PP_Grid[#Data],$DD134,45),0)</f>
        <v/>
      </c>
      <c r="AV134">
        <f>IFERROR(INDEX(PP_Grid[#Data],$DD134,46),0)</f>
        <v/>
      </c>
      <c r="AW134">
        <f>IFERROR(INDEX(PP_Grid[#Data],$DD134,47),0)</f>
        <v/>
      </c>
      <c r="AX134">
        <f>IFERROR(INDEX(PP_Grid[#Data],$DD134,48),0)</f>
        <v/>
      </c>
      <c r="AY134">
        <f>IFERROR(INDEX(PP_Grid[#Data],$DD134,49),0)</f>
        <v/>
      </c>
      <c r="AZ134">
        <f>IFERROR(INDEX(PP_Grid[#Data],$DD134,50),0)</f>
        <v/>
      </c>
      <c r="BA134">
        <f>IFERROR(INDEX(PP_Grid[#Data],$DD134,51),0)</f>
        <v/>
      </c>
      <c r="BB134">
        <f>IFERROR(INDEX(PP_Grid[#Data],$DD134,52),0)</f>
        <v/>
      </c>
      <c r="BC134">
        <f>IFERROR(INDEX(PP_Grid[#Data],$DD134,53),0)</f>
        <v/>
      </c>
      <c r="BD134">
        <f>IFERROR(INDEX(PP_Grid[#Data],$DD134,54),0)</f>
        <v/>
      </c>
      <c r="BE134">
        <f>IFERROR(INDEX(PP_Grid[#Data],$DD134,55),0)</f>
        <v/>
      </c>
      <c r="BF134">
        <f>IFERROR(INDEX(PP_Grid[#Data],$DD134,56),0)</f>
        <v/>
      </c>
      <c r="BG134">
        <f>IFERROR(INDEX(PP_Grid[#Data],$DD134,57),0)</f>
        <v/>
      </c>
      <c r="BH134">
        <f>IFERROR(INDEX(PP_Grid[#Data],$DD134,58),0)</f>
        <v/>
      </c>
      <c r="BI134">
        <f>IFERROR(INDEX(PP_Grid[#Data],$DD134,59),0)</f>
        <v/>
      </c>
      <c r="BJ134">
        <f>IFERROR(INDEX(PP_Grid[#Data],$DD134,60),0)</f>
        <v/>
      </c>
      <c r="BK134">
        <f>IFERROR(INDEX(PP_Grid[#Data],$DD134,61),0)</f>
        <v/>
      </c>
      <c r="BL134">
        <f>IFERROR(INDEX(PP_Grid[#Data],$DD134,62),0)</f>
        <v/>
      </c>
      <c r="BM134">
        <f>IFERROR(INDEX(PP_Grid[#Data],$DD134,63),0)</f>
        <v/>
      </c>
      <c r="BN134">
        <f>IFERROR(INDEX(PP_Grid[#Data],$DD134,64),0)</f>
        <v/>
      </c>
      <c r="BO134">
        <f>IFERROR(INDEX(PP_Grid[#Data],$DD134,65),0)</f>
        <v/>
      </c>
      <c r="BP134">
        <f>IFERROR(INDEX(PP_Grid[#Data],$DD134,66),0)</f>
        <v/>
      </c>
      <c r="BQ134">
        <f>IFERROR(INDEX(PP_Grid[#Data],$DD134,67),0)</f>
        <v/>
      </c>
      <c r="BR134">
        <f>IFERROR(INDEX(PP_Grid[#Data],$DD134,68),0)</f>
        <v/>
      </c>
      <c r="BS134">
        <f>IFERROR(INDEX(PP_Grid[#Data],$DD134,69),0)</f>
        <v/>
      </c>
      <c r="BT134">
        <f>IFERROR(INDEX(PP_Grid[#Data],$DD134,70),0)</f>
        <v/>
      </c>
      <c r="BU134">
        <f>IFERROR(INDEX(PP_Grid[#Data],$DD134,71),0)</f>
        <v/>
      </c>
      <c r="BV134">
        <f>IFERROR(INDEX(PP_Grid[#Data],$DD134,72),0)</f>
        <v/>
      </c>
      <c r="BW134">
        <f>IFERROR(INDEX(PP_Grid[#Data],$DD134,73),0)</f>
        <v/>
      </c>
      <c r="BX134">
        <f>IFERROR(INDEX(PP_Grid[#Data],$DD134,74),0)</f>
        <v/>
      </c>
      <c r="BY134">
        <f>IFERROR(INDEX(PP_Grid[#Data],$DD134,75),0)</f>
        <v/>
      </c>
      <c r="BZ134">
        <f>IFERROR(INDEX(PP_Grid[#Data],$DD134,76),0)</f>
        <v/>
      </c>
      <c r="CA134">
        <f>IFERROR(INDEX(PP_Grid[#Data],$DD134,77),0)</f>
        <v/>
      </c>
      <c r="CB134">
        <f>IFERROR(INDEX(PP_Grid[#Data],$DD134,78),0)</f>
        <v/>
      </c>
      <c r="CC134">
        <f>IFERROR(INDEX(PP_Grid[#Data],$DD134,79),0)</f>
        <v/>
      </c>
      <c r="CD134">
        <f>IFERROR(INDEX(PP_Grid[#Data],$DD134,80),0)</f>
        <v/>
      </c>
      <c r="CE134">
        <f>IFERROR(INDEX(PP_Grid[#Data],$DD134,81),0)</f>
        <v/>
      </c>
      <c r="CF134">
        <f>IFERROR(INDEX(PP_Grid[#Data],$DD134,82),0)</f>
        <v/>
      </c>
      <c r="CG134">
        <f>IFERROR(INDEX(PP_Grid[#Data],$DD134,83),0)</f>
        <v/>
      </c>
      <c r="CH134">
        <f>IFERROR(INDEX(PP_Grid[#Data],$DD134,84),0)</f>
        <v/>
      </c>
      <c r="CI134">
        <f>IFERROR(INDEX(PP_Grid[#Data],$DD134,85),0)</f>
        <v/>
      </c>
      <c r="CJ134">
        <f>IFERROR(INDEX(PP_Grid[#Data],$DD134,86),0)</f>
        <v/>
      </c>
      <c r="CK134">
        <f>IFERROR(INDEX(PP_Grid[#Data],$DD134,87),0)</f>
        <v/>
      </c>
      <c r="CL134">
        <f>IFERROR(INDEX(PP_Grid[#Data],$DD134,88),0)</f>
        <v/>
      </c>
      <c r="CM134">
        <f>IFERROR(INDEX(PP_Grid[#Data],$DD134,89),0)</f>
        <v/>
      </c>
      <c r="CN134">
        <f>IFERROR(INDEX(PP_Grid[#Data],$DD134,90),0)</f>
        <v/>
      </c>
      <c r="CO134">
        <f>IFERROR(INDEX(PP_Grid[#Data],$DD134,91),0)</f>
        <v/>
      </c>
      <c r="CP134">
        <f>IFERROR(INDEX(PP_Grid[#Data],$DD134,92),0)</f>
        <v/>
      </c>
      <c r="CQ134">
        <f>IFERROR(INDEX(PP_Grid[#Data],$DD134,93),0)</f>
        <v/>
      </c>
      <c r="CR134">
        <f>IFERROR(INDEX(PP_Grid[#Data],$DD134,94),0)</f>
        <v/>
      </c>
      <c r="CS134">
        <f>IFERROR(INDEX(PP_Grid[#Data],$DD134,95),0)</f>
        <v/>
      </c>
      <c r="CT134">
        <f>IFERROR(INDEX(PP_Grid[#Data],$DD134,96),0)</f>
        <v/>
      </c>
      <c r="CU134">
        <f>IFERROR(INDEX(PP_Grid[#Data],$DD134,97),0)</f>
        <v/>
      </c>
      <c r="CV134">
        <f>IFERROR(INDEX(PP_Grid[#Data],$DD134,98),0)</f>
        <v/>
      </c>
      <c r="CW134">
        <f>IFERROR(INDEX(PP_Grid[#Data],$DD134,99),0)</f>
        <v/>
      </c>
      <c r="CX134">
        <f>IFERROR(INDEX(PP_Grid[#Data],$DD134,100),0)</f>
        <v/>
      </c>
      <c r="CY134">
        <f>IFERROR(INDEX(PP_Grid[#Data],$DD134,101),0)</f>
        <v/>
      </c>
      <c r="CZ134">
        <f>IFERROR(INDEX(PP_Grid[#Data],$DD134,102),0)</f>
        <v/>
      </c>
      <c r="DA134">
        <f>IFERROR(INDEX(PP_Grid[#Data],$DD134,103),0)</f>
        <v/>
      </c>
      <c r="DB134">
        <f>IFERROR(INDEX(PP_Grid[#Data],$DD134,104),0)</f>
        <v/>
      </c>
      <c r="DC134">
        <f>IFERROR(INDEX(PP_Grid[#Data],$DD134,105),0)</f>
        <v/>
      </c>
      <c r="DD134" s="12">
        <f>IFERROR(MATCH($B134,PP_Grid[Intermediate],0),99999)</f>
        <v/>
      </c>
    </row>
    <row r="135">
      <c r="B135" t="inlineStr">
        <is>
          <t>使用量(kg)</t>
        </is>
      </c>
      <c r="C135">
        <f>SUMIFS(M_BOM[RM_Qty_Per_Batch],M_BOM[Intermediate],$B134,M_BOM[Part Name],$A121)</f>
        <v/>
      </c>
      <c r="D135">
        <f>$C135*D134</f>
        <v/>
      </c>
      <c r="E135">
        <f>$C135*E134</f>
        <v/>
      </c>
      <c r="F135">
        <f>$C135*F134</f>
        <v/>
      </c>
      <c r="G135">
        <f>$C135*G134</f>
        <v/>
      </c>
      <c r="H135">
        <f>$C135*H134</f>
        <v/>
      </c>
      <c r="I135">
        <f>$C135*I134</f>
        <v/>
      </c>
      <c r="J135">
        <f>$C135*J134</f>
        <v/>
      </c>
      <c r="K135">
        <f>$C135*K134</f>
        <v/>
      </c>
      <c r="L135">
        <f>$C135*L134</f>
        <v/>
      </c>
      <c r="M135">
        <f>$C135*M134</f>
        <v/>
      </c>
      <c r="N135">
        <f>$C135*N134</f>
        <v/>
      </c>
      <c r="O135">
        <f>$C135*O134</f>
        <v/>
      </c>
      <c r="P135">
        <f>$C135*P134</f>
        <v/>
      </c>
      <c r="Q135">
        <f>$C135*Q134</f>
        <v/>
      </c>
      <c r="R135">
        <f>$C135*R134</f>
        <v/>
      </c>
      <c r="S135">
        <f>$C135*S134</f>
        <v/>
      </c>
      <c r="T135">
        <f>$C135*T134</f>
        <v/>
      </c>
      <c r="U135">
        <f>$C135*U134</f>
        <v/>
      </c>
      <c r="V135">
        <f>$C135*V134</f>
        <v/>
      </c>
      <c r="W135">
        <f>$C135*W134</f>
        <v/>
      </c>
      <c r="X135">
        <f>$C135*X134</f>
        <v/>
      </c>
      <c r="Y135">
        <f>$C135*Y134</f>
        <v/>
      </c>
      <c r="Z135">
        <f>$C135*Z134</f>
        <v/>
      </c>
      <c r="AA135">
        <f>$C135*AA134</f>
        <v/>
      </c>
      <c r="AB135">
        <f>$C135*AB134</f>
        <v/>
      </c>
      <c r="AC135">
        <f>$C135*AC134</f>
        <v/>
      </c>
      <c r="AD135">
        <f>$C135*AD134</f>
        <v/>
      </c>
      <c r="AE135">
        <f>$C135*AE134</f>
        <v/>
      </c>
      <c r="AF135">
        <f>$C135*AF134</f>
        <v/>
      </c>
      <c r="AG135">
        <f>$C135*AG134</f>
        <v/>
      </c>
      <c r="AH135">
        <f>$C135*AH134</f>
        <v/>
      </c>
      <c r="AI135">
        <f>$C135*AI134</f>
        <v/>
      </c>
      <c r="AJ135">
        <f>$C135*AJ134</f>
        <v/>
      </c>
      <c r="AK135">
        <f>$C135*AK134</f>
        <v/>
      </c>
      <c r="AL135">
        <f>$C135*AL134</f>
        <v/>
      </c>
      <c r="AM135">
        <f>$C135*AM134</f>
        <v/>
      </c>
      <c r="AN135">
        <f>$C135*AN134</f>
        <v/>
      </c>
      <c r="AO135">
        <f>$C135*AO134</f>
        <v/>
      </c>
      <c r="AP135">
        <f>$C135*AP134</f>
        <v/>
      </c>
      <c r="AQ135">
        <f>$C135*AQ134</f>
        <v/>
      </c>
      <c r="AR135">
        <f>$C135*AR134</f>
        <v/>
      </c>
      <c r="AS135">
        <f>$C135*AS134</f>
        <v/>
      </c>
      <c r="AT135">
        <f>$C135*AT134</f>
        <v/>
      </c>
      <c r="AU135">
        <f>$C135*AU134</f>
        <v/>
      </c>
      <c r="AV135">
        <f>$C135*AV134</f>
        <v/>
      </c>
      <c r="AW135">
        <f>$C135*AW134</f>
        <v/>
      </c>
      <c r="AX135">
        <f>$C135*AX134</f>
        <v/>
      </c>
      <c r="AY135">
        <f>$C135*AY134</f>
        <v/>
      </c>
      <c r="AZ135">
        <f>$C135*AZ134</f>
        <v/>
      </c>
      <c r="BA135">
        <f>$C135*BA134</f>
        <v/>
      </c>
      <c r="BB135">
        <f>$C135*BB134</f>
        <v/>
      </c>
      <c r="BC135">
        <f>$C135*BC134</f>
        <v/>
      </c>
      <c r="BD135">
        <f>$C135*BD134</f>
        <v/>
      </c>
      <c r="BE135">
        <f>$C135*BE134</f>
        <v/>
      </c>
      <c r="BF135">
        <f>$C135*BF134</f>
        <v/>
      </c>
      <c r="BG135">
        <f>$C135*BG134</f>
        <v/>
      </c>
      <c r="BH135">
        <f>$C135*BH134</f>
        <v/>
      </c>
      <c r="BI135">
        <f>$C135*BI134</f>
        <v/>
      </c>
      <c r="BJ135">
        <f>$C135*BJ134</f>
        <v/>
      </c>
      <c r="BK135">
        <f>$C135*BK134</f>
        <v/>
      </c>
      <c r="BL135">
        <f>$C135*BL134</f>
        <v/>
      </c>
      <c r="BM135">
        <f>$C135*BM134</f>
        <v/>
      </c>
      <c r="BN135">
        <f>$C135*BN134</f>
        <v/>
      </c>
      <c r="BO135">
        <f>$C135*BO134</f>
        <v/>
      </c>
      <c r="BP135">
        <f>$C135*BP134</f>
        <v/>
      </c>
      <c r="BQ135">
        <f>$C135*BQ134</f>
        <v/>
      </c>
      <c r="BR135">
        <f>$C135*BR134</f>
        <v/>
      </c>
      <c r="BS135">
        <f>$C135*BS134</f>
        <v/>
      </c>
      <c r="BT135">
        <f>$C135*BT134</f>
        <v/>
      </c>
      <c r="BU135">
        <f>$C135*BU134</f>
        <v/>
      </c>
      <c r="BV135">
        <f>$C135*BV134</f>
        <v/>
      </c>
      <c r="BW135">
        <f>$C135*BW134</f>
        <v/>
      </c>
      <c r="BX135">
        <f>$C135*BX134</f>
        <v/>
      </c>
      <c r="BY135">
        <f>$C135*BY134</f>
        <v/>
      </c>
      <c r="BZ135">
        <f>$C135*BZ134</f>
        <v/>
      </c>
      <c r="CA135">
        <f>$C135*CA134</f>
        <v/>
      </c>
      <c r="CB135">
        <f>$C135*CB134</f>
        <v/>
      </c>
      <c r="CC135">
        <f>$C135*CC134</f>
        <v/>
      </c>
      <c r="CD135">
        <f>$C135*CD134</f>
        <v/>
      </c>
      <c r="CE135">
        <f>$C135*CE134</f>
        <v/>
      </c>
      <c r="CF135">
        <f>$C135*CF134</f>
        <v/>
      </c>
      <c r="CG135">
        <f>$C135*CG134</f>
        <v/>
      </c>
      <c r="CH135">
        <f>$C135*CH134</f>
        <v/>
      </c>
      <c r="CI135">
        <f>$C135*CI134</f>
        <v/>
      </c>
      <c r="CJ135">
        <f>$C135*CJ134</f>
        <v/>
      </c>
      <c r="CK135">
        <f>$C135*CK134</f>
        <v/>
      </c>
      <c r="CL135">
        <f>$C135*CL134</f>
        <v/>
      </c>
      <c r="CM135">
        <f>$C135*CM134</f>
        <v/>
      </c>
      <c r="CN135">
        <f>$C135*CN134</f>
        <v/>
      </c>
      <c r="CO135">
        <f>$C135*CO134</f>
        <v/>
      </c>
      <c r="CP135">
        <f>$C135*CP134</f>
        <v/>
      </c>
      <c r="CQ135">
        <f>$C135*CQ134</f>
        <v/>
      </c>
      <c r="CR135">
        <f>$C135*CR134</f>
        <v/>
      </c>
      <c r="CS135">
        <f>$C135*CS134</f>
        <v/>
      </c>
      <c r="CT135">
        <f>$C135*CT134</f>
        <v/>
      </c>
      <c r="CU135">
        <f>$C135*CU134</f>
        <v/>
      </c>
      <c r="CV135">
        <f>$C135*CV134</f>
        <v/>
      </c>
      <c r="CW135">
        <f>$C135*CW134</f>
        <v/>
      </c>
      <c r="CX135">
        <f>$C135*CX134</f>
        <v/>
      </c>
      <c r="CY135">
        <f>$C135*CY134</f>
        <v/>
      </c>
      <c r="CZ135">
        <f>$C135*CZ134</f>
        <v/>
      </c>
      <c r="DA135">
        <f>$C135*DA134</f>
        <v/>
      </c>
      <c r="DB135">
        <f>$C135*DB134</f>
        <v/>
      </c>
      <c r="DC135">
        <f>$C135*DC134</f>
        <v/>
      </c>
    </row>
    <row r="136">
      <c r="B136" s="5" t="inlineStr">
        <is>
          <t>合計使用量(kg)/週</t>
        </is>
      </c>
      <c r="D136">
        <f>'Grid_Requirement'!B14</f>
        <v/>
      </c>
      <c r="E136">
        <f>'Grid_Requirement'!C14</f>
        <v/>
      </c>
      <c r="F136">
        <f>'Grid_Requirement'!D14</f>
        <v/>
      </c>
      <c r="G136">
        <f>'Grid_Requirement'!E14</f>
        <v/>
      </c>
      <c r="H136">
        <f>'Grid_Requirement'!F14</f>
        <v/>
      </c>
      <c r="I136">
        <f>'Grid_Requirement'!G14</f>
        <v/>
      </c>
      <c r="J136">
        <f>'Grid_Requirement'!H14</f>
        <v/>
      </c>
      <c r="K136">
        <f>'Grid_Requirement'!I14</f>
        <v/>
      </c>
      <c r="L136">
        <f>'Grid_Requirement'!J14</f>
        <v/>
      </c>
      <c r="M136">
        <f>'Grid_Requirement'!K14</f>
        <v/>
      </c>
      <c r="N136">
        <f>'Grid_Requirement'!L14</f>
        <v/>
      </c>
      <c r="O136">
        <f>'Grid_Requirement'!M14</f>
        <v/>
      </c>
      <c r="P136">
        <f>'Grid_Requirement'!N14</f>
        <v/>
      </c>
      <c r="Q136">
        <f>'Grid_Requirement'!O14</f>
        <v/>
      </c>
      <c r="R136">
        <f>'Grid_Requirement'!P14</f>
        <v/>
      </c>
      <c r="S136">
        <f>'Grid_Requirement'!Q14</f>
        <v/>
      </c>
      <c r="T136">
        <f>'Grid_Requirement'!R14</f>
        <v/>
      </c>
      <c r="U136">
        <f>'Grid_Requirement'!S14</f>
        <v/>
      </c>
      <c r="V136">
        <f>'Grid_Requirement'!T14</f>
        <v/>
      </c>
      <c r="W136">
        <f>'Grid_Requirement'!U14</f>
        <v/>
      </c>
      <c r="X136">
        <f>'Grid_Requirement'!V14</f>
        <v/>
      </c>
      <c r="Y136">
        <f>'Grid_Requirement'!W14</f>
        <v/>
      </c>
      <c r="Z136">
        <f>'Grid_Requirement'!X14</f>
        <v/>
      </c>
      <c r="AA136">
        <f>'Grid_Requirement'!Y14</f>
        <v/>
      </c>
      <c r="AB136">
        <f>'Grid_Requirement'!Z14</f>
        <v/>
      </c>
      <c r="AC136">
        <f>'Grid_Requirement'!AA14</f>
        <v/>
      </c>
      <c r="AD136">
        <f>'Grid_Requirement'!AB14</f>
        <v/>
      </c>
      <c r="AE136">
        <f>'Grid_Requirement'!AC14</f>
        <v/>
      </c>
      <c r="AF136">
        <f>'Grid_Requirement'!AD14</f>
        <v/>
      </c>
      <c r="AG136">
        <f>'Grid_Requirement'!AE14</f>
        <v/>
      </c>
      <c r="AH136">
        <f>'Grid_Requirement'!AF14</f>
        <v/>
      </c>
      <c r="AI136">
        <f>'Grid_Requirement'!AG14</f>
        <v/>
      </c>
      <c r="AJ136">
        <f>'Grid_Requirement'!AH14</f>
        <v/>
      </c>
      <c r="AK136">
        <f>'Grid_Requirement'!AI14</f>
        <v/>
      </c>
      <c r="AL136">
        <f>'Grid_Requirement'!AJ14</f>
        <v/>
      </c>
      <c r="AM136">
        <f>'Grid_Requirement'!AK14</f>
        <v/>
      </c>
      <c r="AN136">
        <f>'Grid_Requirement'!AL14</f>
        <v/>
      </c>
      <c r="AO136">
        <f>'Grid_Requirement'!AM14</f>
        <v/>
      </c>
      <c r="AP136">
        <f>'Grid_Requirement'!AN14</f>
        <v/>
      </c>
      <c r="AQ136">
        <f>'Grid_Requirement'!AO14</f>
        <v/>
      </c>
      <c r="AR136">
        <f>'Grid_Requirement'!AP14</f>
        <v/>
      </c>
      <c r="AS136">
        <f>'Grid_Requirement'!AQ14</f>
        <v/>
      </c>
      <c r="AT136">
        <f>'Grid_Requirement'!AR14</f>
        <v/>
      </c>
      <c r="AU136">
        <f>'Grid_Requirement'!AS14</f>
        <v/>
      </c>
      <c r="AV136">
        <f>'Grid_Requirement'!AT14</f>
        <v/>
      </c>
      <c r="AW136">
        <f>'Grid_Requirement'!AU14</f>
        <v/>
      </c>
      <c r="AX136">
        <f>'Grid_Requirement'!AV14</f>
        <v/>
      </c>
      <c r="AY136">
        <f>'Grid_Requirement'!AW14</f>
        <v/>
      </c>
      <c r="AZ136">
        <f>'Grid_Requirement'!AX14</f>
        <v/>
      </c>
      <c r="BA136">
        <f>'Grid_Requirement'!AY14</f>
        <v/>
      </c>
      <c r="BB136">
        <f>'Grid_Requirement'!AZ14</f>
        <v/>
      </c>
      <c r="BC136">
        <f>'Grid_Requirement'!BA14</f>
        <v/>
      </c>
      <c r="BD136">
        <f>'Grid_Requirement'!BB14</f>
        <v/>
      </c>
      <c r="BE136">
        <f>'Grid_Requirement'!BC14</f>
        <v/>
      </c>
      <c r="BF136">
        <f>'Grid_Requirement'!BD14</f>
        <v/>
      </c>
      <c r="BG136">
        <f>'Grid_Requirement'!BE14</f>
        <v/>
      </c>
      <c r="BH136">
        <f>'Grid_Requirement'!BF14</f>
        <v/>
      </c>
      <c r="BI136">
        <f>'Grid_Requirement'!BG14</f>
        <v/>
      </c>
      <c r="BJ136">
        <f>'Grid_Requirement'!BH14</f>
        <v/>
      </c>
      <c r="BK136">
        <f>'Grid_Requirement'!BI14</f>
        <v/>
      </c>
      <c r="BL136">
        <f>'Grid_Requirement'!BJ14</f>
        <v/>
      </c>
      <c r="BM136">
        <f>'Grid_Requirement'!BK14</f>
        <v/>
      </c>
      <c r="BN136">
        <f>'Grid_Requirement'!BL14</f>
        <v/>
      </c>
      <c r="BO136">
        <f>'Grid_Requirement'!BM14</f>
        <v/>
      </c>
      <c r="BP136">
        <f>'Grid_Requirement'!BN14</f>
        <v/>
      </c>
      <c r="BQ136">
        <f>'Grid_Requirement'!BO14</f>
        <v/>
      </c>
      <c r="BR136">
        <f>'Grid_Requirement'!BP14</f>
        <v/>
      </c>
      <c r="BS136">
        <f>'Grid_Requirement'!BQ14</f>
        <v/>
      </c>
      <c r="BT136">
        <f>'Grid_Requirement'!BR14</f>
        <v/>
      </c>
      <c r="BU136">
        <f>'Grid_Requirement'!BS14</f>
        <v/>
      </c>
      <c r="BV136">
        <f>'Grid_Requirement'!BT14</f>
        <v/>
      </c>
      <c r="BW136">
        <f>'Grid_Requirement'!BU14</f>
        <v/>
      </c>
      <c r="BX136">
        <f>'Grid_Requirement'!BV14</f>
        <v/>
      </c>
      <c r="BY136">
        <f>'Grid_Requirement'!BW14</f>
        <v/>
      </c>
      <c r="BZ136">
        <f>'Grid_Requirement'!BX14</f>
        <v/>
      </c>
      <c r="CA136">
        <f>'Grid_Requirement'!BY14</f>
        <v/>
      </c>
      <c r="CB136">
        <f>'Grid_Requirement'!BZ14</f>
        <v/>
      </c>
      <c r="CC136">
        <f>'Grid_Requirement'!CA14</f>
        <v/>
      </c>
      <c r="CD136">
        <f>'Grid_Requirement'!CB14</f>
        <v/>
      </c>
      <c r="CE136">
        <f>'Grid_Requirement'!CC14</f>
        <v/>
      </c>
      <c r="CF136">
        <f>'Grid_Requirement'!CD14</f>
        <v/>
      </c>
      <c r="CG136">
        <f>'Grid_Requirement'!CE14</f>
        <v/>
      </c>
      <c r="CH136">
        <f>'Grid_Requirement'!CF14</f>
        <v/>
      </c>
      <c r="CI136">
        <f>'Grid_Requirement'!CG14</f>
        <v/>
      </c>
      <c r="CJ136">
        <f>'Grid_Requirement'!CH14</f>
        <v/>
      </c>
      <c r="CK136">
        <f>'Grid_Requirement'!CI14</f>
        <v/>
      </c>
      <c r="CL136">
        <f>'Grid_Requirement'!CJ14</f>
        <v/>
      </c>
      <c r="CM136">
        <f>'Grid_Requirement'!CK14</f>
        <v/>
      </c>
      <c r="CN136">
        <f>'Grid_Requirement'!CL14</f>
        <v/>
      </c>
      <c r="CO136">
        <f>'Grid_Requirement'!CM14</f>
        <v/>
      </c>
      <c r="CP136">
        <f>'Grid_Requirement'!CN14</f>
        <v/>
      </c>
      <c r="CQ136">
        <f>'Grid_Requirement'!CO14</f>
        <v/>
      </c>
      <c r="CR136">
        <f>'Grid_Requirement'!CP14</f>
        <v/>
      </c>
      <c r="CS136">
        <f>'Grid_Requirement'!CQ14</f>
        <v/>
      </c>
      <c r="CT136">
        <f>'Grid_Requirement'!CR14</f>
        <v/>
      </c>
      <c r="CU136">
        <f>'Grid_Requirement'!CS14</f>
        <v/>
      </c>
      <c r="CV136">
        <f>'Grid_Requirement'!CT14</f>
        <v/>
      </c>
      <c r="CW136">
        <f>'Grid_Requirement'!CU14</f>
        <v/>
      </c>
      <c r="CX136">
        <f>'Grid_Requirement'!CV14</f>
        <v/>
      </c>
      <c r="CY136">
        <f>'Grid_Requirement'!CW14</f>
        <v/>
      </c>
      <c r="CZ136">
        <f>'Grid_Requirement'!CX14</f>
        <v/>
      </c>
      <c r="DA136">
        <f>'Grid_Requirement'!CY14</f>
        <v/>
      </c>
      <c r="DB136">
        <f>'Grid_Requirement'!CZ14</f>
        <v/>
      </c>
      <c r="DC136">
        <f>'Grid_Requirement'!DA14</f>
        <v/>
      </c>
    </row>
    <row r="137">
      <c r="B137" t="inlineStr">
        <is>
          <t>TTAF在庫(実績,kg)</t>
        </is>
      </c>
      <c r="D137">
        <f>'T_TTAFStock'!B18</f>
        <v/>
      </c>
      <c r="E137">
        <f>'T_TTAFStock'!C18</f>
        <v/>
      </c>
      <c r="F137">
        <f>'T_TTAFStock'!D18</f>
        <v/>
      </c>
      <c r="G137">
        <f>'T_TTAFStock'!E18</f>
        <v/>
      </c>
      <c r="H137">
        <f>'T_TTAFStock'!F18</f>
        <v/>
      </c>
      <c r="I137">
        <f>'T_TTAFStock'!G18</f>
        <v/>
      </c>
      <c r="J137">
        <f>'T_TTAFStock'!H18</f>
        <v/>
      </c>
      <c r="K137">
        <f>'T_TTAFStock'!I18</f>
        <v/>
      </c>
      <c r="L137">
        <f>'T_TTAFStock'!J18</f>
        <v/>
      </c>
      <c r="M137">
        <f>'T_TTAFStock'!K18</f>
        <v/>
      </c>
      <c r="N137">
        <f>'T_TTAFStock'!L18</f>
        <v/>
      </c>
      <c r="O137">
        <f>'T_TTAFStock'!M18</f>
        <v/>
      </c>
      <c r="P137">
        <f>'T_TTAFStock'!N18</f>
        <v/>
      </c>
      <c r="Q137">
        <f>'T_TTAFStock'!O18</f>
        <v/>
      </c>
      <c r="R137">
        <f>'T_TTAFStock'!P18</f>
        <v/>
      </c>
      <c r="S137">
        <f>'T_TTAFStock'!Q18</f>
        <v/>
      </c>
      <c r="T137">
        <f>'T_TTAFStock'!R18</f>
        <v/>
      </c>
      <c r="U137">
        <f>'T_TTAFStock'!S18</f>
        <v/>
      </c>
      <c r="V137">
        <f>'T_TTAFStock'!T18</f>
        <v/>
      </c>
      <c r="W137">
        <f>'T_TTAFStock'!U18</f>
        <v/>
      </c>
      <c r="X137">
        <f>'T_TTAFStock'!V18</f>
        <v/>
      </c>
      <c r="Y137">
        <f>'T_TTAFStock'!W18</f>
        <v/>
      </c>
      <c r="Z137">
        <f>'T_TTAFStock'!X18</f>
        <v/>
      </c>
      <c r="AA137">
        <f>'T_TTAFStock'!Y18</f>
        <v/>
      </c>
      <c r="AB137">
        <f>'T_TTAFStock'!Z18</f>
        <v/>
      </c>
      <c r="AC137">
        <f>'T_TTAFStock'!AA18</f>
        <v/>
      </c>
      <c r="AD137">
        <f>'T_TTAFStock'!AB18</f>
        <v/>
      </c>
      <c r="AE137">
        <f>'T_TTAFStock'!AC18</f>
        <v/>
      </c>
      <c r="AF137">
        <f>'T_TTAFStock'!AD18</f>
        <v/>
      </c>
      <c r="AG137">
        <f>'T_TTAFStock'!AE18</f>
        <v/>
      </c>
      <c r="AH137">
        <f>'T_TTAFStock'!AF18</f>
        <v/>
      </c>
      <c r="AI137">
        <f>'T_TTAFStock'!AG18</f>
        <v/>
      </c>
      <c r="AJ137">
        <f>'T_TTAFStock'!AH18</f>
        <v/>
      </c>
      <c r="AK137">
        <f>'T_TTAFStock'!AI18</f>
        <v/>
      </c>
      <c r="AL137">
        <f>'T_TTAFStock'!AJ18</f>
        <v/>
      </c>
      <c r="AM137">
        <f>'T_TTAFStock'!AK18</f>
        <v/>
      </c>
      <c r="AN137">
        <f>'T_TTAFStock'!AL18</f>
        <v/>
      </c>
      <c r="AO137">
        <f>'T_TTAFStock'!AM18</f>
        <v/>
      </c>
      <c r="AP137">
        <f>'T_TTAFStock'!AN18</f>
        <v/>
      </c>
      <c r="AQ137">
        <f>'T_TTAFStock'!AO18</f>
        <v/>
      </c>
      <c r="AR137">
        <f>'T_TTAFStock'!AP18</f>
        <v/>
      </c>
      <c r="AS137">
        <f>'T_TTAFStock'!AQ18</f>
        <v/>
      </c>
      <c r="AT137">
        <f>'T_TTAFStock'!AR18</f>
        <v/>
      </c>
      <c r="AU137">
        <f>'T_TTAFStock'!AS18</f>
        <v/>
      </c>
      <c r="AV137">
        <f>'T_TTAFStock'!AT18</f>
        <v/>
      </c>
      <c r="AW137">
        <f>'T_TTAFStock'!AU18</f>
        <v/>
      </c>
      <c r="AX137">
        <f>'T_TTAFStock'!AV18</f>
        <v/>
      </c>
      <c r="AY137">
        <f>'T_TTAFStock'!AW18</f>
        <v/>
      </c>
      <c r="AZ137">
        <f>'T_TTAFStock'!AX18</f>
        <v/>
      </c>
      <c r="BA137">
        <f>'T_TTAFStock'!AY18</f>
        <v/>
      </c>
      <c r="BB137">
        <f>'T_TTAFStock'!AZ18</f>
        <v/>
      </c>
      <c r="BC137">
        <f>'T_TTAFStock'!BA18</f>
        <v/>
      </c>
      <c r="BD137">
        <f>'T_TTAFStock'!BB18</f>
        <v/>
      </c>
      <c r="BE137">
        <f>'T_TTAFStock'!BC18</f>
        <v/>
      </c>
      <c r="BF137">
        <f>'T_TTAFStock'!BD18</f>
        <v/>
      </c>
      <c r="BG137">
        <f>'T_TTAFStock'!BE18</f>
        <v/>
      </c>
      <c r="BH137">
        <f>'T_TTAFStock'!BF18</f>
        <v/>
      </c>
      <c r="BI137">
        <f>'T_TTAFStock'!BG18</f>
        <v/>
      </c>
      <c r="BJ137">
        <f>'T_TTAFStock'!BH18</f>
        <v/>
      </c>
      <c r="BK137">
        <f>'T_TTAFStock'!BI18</f>
        <v/>
      </c>
      <c r="BL137">
        <f>'T_TTAFStock'!BJ18</f>
        <v/>
      </c>
      <c r="BM137">
        <f>'T_TTAFStock'!BK18</f>
        <v/>
      </c>
      <c r="BN137">
        <f>'T_TTAFStock'!BL18</f>
        <v/>
      </c>
      <c r="BO137">
        <f>'T_TTAFStock'!BM18</f>
        <v/>
      </c>
      <c r="BP137">
        <f>'T_TTAFStock'!BN18</f>
        <v/>
      </c>
      <c r="BQ137">
        <f>'T_TTAFStock'!BO18</f>
        <v/>
      </c>
      <c r="BR137">
        <f>'T_TTAFStock'!BP18</f>
        <v/>
      </c>
      <c r="BS137">
        <f>'T_TTAFStock'!BQ18</f>
        <v/>
      </c>
      <c r="BT137">
        <f>'T_TTAFStock'!BR18</f>
        <v/>
      </c>
      <c r="BU137">
        <f>'T_TTAFStock'!BS18</f>
        <v/>
      </c>
      <c r="BV137">
        <f>'T_TTAFStock'!BT18</f>
        <v/>
      </c>
      <c r="BW137">
        <f>'T_TTAFStock'!BU18</f>
        <v/>
      </c>
      <c r="BX137">
        <f>'T_TTAFStock'!BV18</f>
        <v/>
      </c>
      <c r="BY137">
        <f>'T_TTAFStock'!BW18</f>
        <v/>
      </c>
      <c r="BZ137">
        <f>'T_TTAFStock'!BX18</f>
        <v/>
      </c>
      <c r="CA137">
        <f>'T_TTAFStock'!BY18</f>
        <v/>
      </c>
      <c r="CB137">
        <f>'T_TTAFStock'!BZ18</f>
        <v/>
      </c>
      <c r="CC137">
        <f>'T_TTAFStock'!CA18</f>
        <v/>
      </c>
      <c r="CD137">
        <f>'T_TTAFStock'!CB18</f>
        <v/>
      </c>
      <c r="CE137">
        <f>'T_TTAFStock'!CC18</f>
        <v/>
      </c>
      <c r="CF137">
        <f>'T_TTAFStock'!CD18</f>
        <v/>
      </c>
      <c r="CG137">
        <f>'T_TTAFStock'!CE18</f>
        <v/>
      </c>
      <c r="CH137">
        <f>'T_TTAFStock'!CF18</f>
        <v/>
      </c>
      <c r="CI137">
        <f>'T_TTAFStock'!CG18</f>
        <v/>
      </c>
      <c r="CJ137">
        <f>'T_TTAFStock'!CH18</f>
        <v/>
      </c>
      <c r="CK137">
        <f>'T_TTAFStock'!CI18</f>
        <v/>
      </c>
      <c r="CL137">
        <f>'T_TTAFStock'!CJ18</f>
        <v/>
      </c>
      <c r="CM137">
        <f>'T_TTAFStock'!CK18</f>
        <v/>
      </c>
      <c r="CN137">
        <f>'T_TTAFStock'!CL18</f>
        <v/>
      </c>
      <c r="CO137">
        <f>'T_TTAFStock'!CM18</f>
        <v/>
      </c>
      <c r="CP137">
        <f>'T_TTAFStock'!CN18</f>
        <v/>
      </c>
      <c r="CQ137">
        <f>'T_TTAFStock'!CO18</f>
        <v/>
      </c>
      <c r="CR137">
        <f>'T_TTAFStock'!CP18</f>
        <v/>
      </c>
      <c r="CS137">
        <f>'T_TTAFStock'!CQ18</f>
        <v/>
      </c>
      <c r="CT137">
        <f>'T_TTAFStock'!CR18</f>
        <v/>
      </c>
      <c r="CU137">
        <f>'T_TTAFStock'!CS18</f>
        <v/>
      </c>
      <c r="CV137">
        <f>'T_TTAFStock'!CT18</f>
        <v/>
      </c>
      <c r="CW137">
        <f>'T_TTAFStock'!CU18</f>
        <v/>
      </c>
      <c r="CX137">
        <f>'T_TTAFStock'!CV18</f>
        <v/>
      </c>
      <c r="CY137">
        <f>'T_TTAFStock'!CW18</f>
        <v/>
      </c>
      <c r="CZ137">
        <f>'T_TTAFStock'!CX18</f>
        <v/>
      </c>
      <c r="DA137">
        <f>'T_TTAFStock'!CY18</f>
        <v/>
      </c>
      <c r="DB137">
        <f>'T_TTAFStock'!CZ18</f>
        <v/>
      </c>
      <c r="DC137">
        <f>'T_TTAFStock'!DA18</f>
        <v/>
      </c>
    </row>
    <row r="138">
      <c r="B138" t="inlineStr">
        <is>
          <t>自社在庫(実績,kg)</t>
        </is>
      </c>
      <c r="D138">
        <f>'T_SelfStock'!B18</f>
        <v/>
      </c>
      <c r="E138">
        <f>'T_SelfStock'!C18</f>
        <v/>
      </c>
      <c r="F138">
        <f>'T_SelfStock'!D18</f>
        <v/>
      </c>
      <c r="G138">
        <f>'T_SelfStock'!E18</f>
        <v/>
      </c>
      <c r="H138">
        <f>'T_SelfStock'!F18</f>
        <v/>
      </c>
      <c r="I138">
        <f>'T_SelfStock'!G18</f>
        <v/>
      </c>
      <c r="J138">
        <f>'T_SelfStock'!H18</f>
        <v/>
      </c>
      <c r="K138">
        <f>'T_SelfStock'!I18</f>
        <v/>
      </c>
      <c r="L138">
        <f>'T_SelfStock'!J18</f>
        <v/>
      </c>
      <c r="M138">
        <f>'T_SelfStock'!K18</f>
        <v/>
      </c>
      <c r="N138">
        <f>'T_SelfStock'!L18</f>
        <v/>
      </c>
      <c r="O138">
        <f>'T_SelfStock'!M18</f>
        <v/>
      </c>
      <c r="P138">
        <f>'T_SelfStock'!N18</f>
        <v/>
      </c>
      <c r="Q138">
        <f>'T_SelfStock'!O18</f>
        <v/>
      </c>
      <c r="R138">
        <f>'T_SelfStock'!P18</f>
        <v/>
      </c>
      <c r="S138">
        <f>'T_SelfStock'!Q18</f>
        <v/>
      </c>
      <c r="T138">
        <f>'T_SelfStock'!R18</f>
        <v/>
      </c>
      <c r="U138">
        <f>'T_SelfStock'!S18</f>
        <v/>
      </c>
      <c r="V138">
        <f>'T_SelfStock'!T18</f>
        <v/>
      </c>
      <c r="W138">
        <f>'T_SelfStock'!U18</f>
        <v/>
      </c>
      <c r="X138">
        <f>'T_SelfStock'!V18</f>
        <v/>
      </c>
      <c r="Y138">
        <f>'T_SelfStock'!W18</f>
        <v/>
      </c>
      <c r="Z138">
        <f>'T_SelfStock'!X18</f>
        <v/>
      </c>
      <c r="AA138">
        <f>'T_SelfStock'!Y18</f>
        <v/>
      </c>
      <c r="AB138">
        <f>'T_SelfStock'!Z18</f>
        <v/>
      </c>
      <c r="AC138">
        <f>'T_SelfStock'!AA18</f>
        <v/>
      </c>
      <c r="AD138">
        <f>'T_SelfStock'!AB18</f>
        <v/>
      </c>
      <c r="AE138">
        <f>'T_SelfStock'!AC18</f>
        <v/>
      </c>
      <c r="AF138">
        <f>'T_SelfStock'!AD18</f>
        <v/>
      </c>
      <c r="AG138">
        <f>'T_SelfStock'!AE18</f>
        <v/>
      </c>
      <c r="AH138">
        <f>'T_SelfStock'!AF18</f>
        <v/>
      </c>
      <c r="AI138">
        <f>'T_SelfStock'!AG18</f>
        <v/>
      </c>
      <c r="AJ138">
        <f>'T_SelfStock'!AH18</f>
        <v/>
      </c>
      <c r="AK138">
        <f>'T_SelfStock'!AI18</f>
        <v/>
      </c>
      <c r="AL138">
        <f>'T_SelfStock'!AJ18</f>
        <v/>
      </c>
      <c r="AM138">
        <f>'T_SelfStock'!AK18</f>
        <v/>
      </c>
      <c r="AN138">
        <f>'T_SelfStock'!AL18</f>
        <v/>
      </c>
      <c r="AO138">
        <f>'T_SelfStock'!AM18</f>
        <v/>
      </c>
      <c r="AP138">
        <f>'T_SelfStock'!AN18</f>
        <v/>
      </c>
      <c r="AQ138">
        <f>'T_SelfStock'!AO18</f>
        <v/>
      </c>
      <c r="AR138">
        <f>'T_SelfStock'!AP18</f>
        <v/>
      </c>
      <c r="AS138">
        <f>'T_SelfStock'!AQ18</f>
        <v/>
      </c>
      <c r="AT138">
        <f>'T_SelfStock'!AR18</f>
        <v/>
      </c>
      <c r="AU138">
        <f>'T_SelfStock'!AS18</f>
        <v/>
      </c>
      <c r="AV138">
        <f>'T_SelfStock'!AT18</f>
        <v/>
      </c>
      <c r="AW138">
        <f>'T_SelfStock'!AU18</f>
        <v/>
      </c>
      <c r="AX138">
        <f>'T_SelfStock'!AV18</f>
        <v/>
      </c>
      <c r="AY138">
        <f>'T_SelfStock'!AW18</f>
        <v/>
      </c>
      <c r="AZ138">
        <f>'T_SelfStock'!AX18</f>
        <v/>
      </c>
      <c r="BA138">
        <f>'T_SelfStock'!AY18</f>
        <v/>
      </c>
      <c r="BB138">
        <f>'T_SelfStock'!AZ18</f>
        <v/>
      </c>
      <c r="BC138">
        <f>'T_SelfStock'!BA18</f>
        <v/>
      </c>
      <c r="BD138">
        <f>'T_SelfStock'!BB18</f>
        <v/>
      </c>
      <c r="BE138">
        <f>'T_SelfStock'!BC18</f>
        <v/>
      </c>
      <c r="BF138">
        <f>'T_SelfStock'!BD18</f>
        <v/>
      </c>
      <c r="BG138">
        <f>'T_SelfStock'!BE18</f>
        <v/>
      </c>
      <c r="BH138">
        <f>'T_SelfStock'!BF18</f>
        <v/>
      </c>
      <c r="BI138">
        <f>'T_SelfStock'!BG18</f>
        <v/>
      </c>
      <c r="BJ138">
        <f>'T_SelfStock'!BH18</f>
        <v/>
      </c>
      <c r="BK138">
        <f>'T_SelfStock'!BI18</f>
        <v/>
      </c>
      <c r="BL138">
        <f>'T_SelfStock'!BJ18</f>
        <v/>
      </c>
      <c r="BM138">
        <f>'T_SelfStock'!BK18</f>
        <v/>
      </c>
      <c r="BN138">
        <f>'T_SelfStock'!BL18</f>
        <v/>
      </c>
      <c r="BO138">
        <f>'T_SelfStock'!BM18</f>
        <v/>
      </c>
      <c r="BP138">
        <f>'T_SelfStock'!BN18</f>
        <v/>
      </c>
      <c r="BQ138">
        <f>'T_SelfStock'!BO18</f>
        <v/>
      </c>
      <c r="BR138">
        <f>'T_SelfStock'!BP18</f>
        <v/>
      </c>
      <c r="BS138">
        <f>'T_SelfStock'!BQ18</f>
        <v/>
      </c>
      <c r="BT138">
        <f>'T_SelfStock'!BR18</f>
        <v/>
      </c>
      <c r="BU138">
        <f>'T_SelfStock'!BS18</f>
        <v/>
      </c>
      <c r="BV138">
        <f>'T_SelfStock'!BT18</f>
        <v/>
      </c>
      <c r="BW138">
        <f>'T_SelfStock'!BU18</f>
        <v/>
      </c>
      <c r="BX138">
        <f>'T_SelfStock'!BV18</f>
        <v/>
      </c>
      <c r="BY138">
        <f>'T_SelfStock'!BW18</f>
        <v/>
      </c>
      <c r="BZ138">
        <f>'T_SelfStock'!BX18</f>
        <v/>
      </c>
      <c r="CA138">
        <f>'T_SelfStock'!BY18</f>
        <v/>
      </c>
      <c r="CB138">
        <f>'T_SelfStock'!BZ18</f>
        <v/>
      </c>
      <c r="CC138">
        <f>'T_SelfStock'!CA18</f>
        <v/>
      </c>
      <c r="CD138">
        <f>'T_SelfStock'!CB18</f>
        <v/>
      </c>
      <c r="CE138">
        <f>'T_SelfStock'!CC18</f>
        <v/>
      </c>
      <c r="CF138">
        <f>'T_SelfStock'!CD18</f>
        <v/>
      </c>
      <c r="CG138">
        <f>'T_SelfStock'!CE18</f>
        <v/>
      </c>
      <c r="CH138">
        <f>'T_SelfStock'!CF18</f>
        <v/>
      </c>
      <c r="CI138">
        <f>'T_SelfStock'!CG18</f>
        <v/>
      </c>
      <c r="CJ138">
        <f>'T_SelfStock'!CH18</f>
        <v/>
      </c>
      <c r="CK138">
        <f>'T_SelfStock'!CI18</f>
        <v/>
      </c>
      <c r="CL138">
        <f>'T_SelfStock'!CJ18</f>
        <v/>
      </c>
      <c r="CM138">
        <f>'T_SelfStock'!CK18</f>
        <v/>
      </c>
      <c r="CN138">
        <f>'T_SelfStock'!CL18</f>
        <v/>
      </c>
      <c r="CO138">
        <f>'T_SelfStock'!CM18</f>
        <v/>
      </c>
      <c r="CP138">
        <f>'T_SelfStock'!CN18</f>
        <v/>
      </c>
      <c r="CQ138">
        <f>'T_SelfStock'!CO18</f>
        <v/>
      </c>
      <c r="CR138">
        <f>'T_SelfStock'!CP18</f>
        <v/>
      </c>
      <c r="CS138">
        <f>'T_SelfStock'!CQ18</f>
        <v/>
      </c>
      <c r="CT138">
        <f>'T_SelfStock'!CR18</f>
        <v/>
      </c>
      <c r="CU138">
        <f>'T_SelfStock'!CS18</f>
        <v/>
      </c>
      <c r="CV138">
        <f>'T_SelfStock'!CT18</f>
        <v/>
      </c>
      <c r="CW138">
        <f>'T_SelfStock'!CU18</f>
        <v/>
      </c>
      <c r="CX138">
        <f>'T_SelfStock'!CV18</f>
        <v/>
      </c>
      <c r="CY138">
        <f>'T_SelfStock'!CW18</f>
        <v/>
      </c>
      <c r="CZ138">
        <f>'T_SelfStock'!CX18</f>
        <v/>
      </c>
      <c r="DA138">
        <f>'T_SelfStock'!CY18</f>
        <v/>
      </c>
      <c r="DB138">
        <f>'T_SelfStock'!CZ18</f>
        <v/>
      </c>
      <c r="DC138">
        <f>'T_SelfStock'!DA18</f>
        <v/>
      </c>
    </row>
    <row r="139">
      <c r="B139" t="inlineStr">
        <is>
          <t>Order(発注予定,kg)</t>
        </is>
      </c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  <c r="AA139" s="23" t="n"/>
      <c r="AB139" s="23" t="n"/>
      <c r="AC139" s="23" t="n"/>
      <c r="AD139" s="23" t="n"/>
      <c r="AE139" s="23" t="n"/>
      <c r="AF139" s="23" t="n"/>
      <c r="AG139" s="23" t="n"/>
      <c r="AH139" s="23" t="n"/>
      <c r="AI139" s="23" t="n"/>
      <c r="AJ139" s="23" t="n"/>
      <c r="AK139" s="23" t="n"/>
      <c r="AL139" s="23" t="n"/>
      <c r="AM139" s="23" t="n"/>
      <c r="AN139" s="23" t="n"/>
      <c r="AO139" s="23" t="n"/>
      <c r="AP139" s="23" t="n"/>
      <c r="AQ139" s="23" t="n"/>
      <c r="AR139" s="23" t="n"/>
      <c r="AS139" s="23" t="n"/>
      <c r="AT139" s="23" t="n"/>
      <c r="AU139" s="23" t="n"/>
      <c r="AV139" s="23" t="n"/>
      <c r="AW139" s="23" t="n"/>
      <c r="AX139" s="23" t="n"/>
      <c r="AY139" s="23" t="n"/>
      <c r="AZ139" s="23" t="n"/>
      <c r="BA139" s="23" t="n"/>
      <c r="BB139" s="23" t="n"/>
      <c r="BC139" s="23" t="n"/>
      <c r="BD139" s="23" t="n"/>
      <c r="BE139" s="23" t="n"/>
      <c r="BF139" s="23" t="n"/>
      <c r="BG139" s="23" t="n"/>
      <c r="BH139" s="23" t="n"/>
      <c r="BI139" s="23" t="n"/>
      <c r="BJ139" s="23" t="n"/>
      <c r="BK139" s="23" t="n"/>
      <c r="BL139" s="23" t="n"/>
      <c r="BM139" s="23" t="n"/>
      <c r="BN139" s="23" t="n"/>
      <c r="BO139" s="23" t="n"/>
      <c r="BP139" s="23" t="n"/>
      <c r="BQ139" s="23" t="n"/>
      <c r="BR139" s="23" t="n"/>
      <c r="BS139" s="23" t="n"/>
      <c r="BT139" s="23" t="n"/>
      <c r="BU139" s="23" t="n"/>
      <c r="BV139" s="23" t="n"/>
      <c r="BW139" s="23" t="n"/>
      <c r="BX139" s="23" t="n"/>
      <c r="BY139" s="23" t="n"/>
      <c r="BZ139" s="23" t="n"/>
      <c r="CA139" s="23" t="n"/>
      <c r="CB139" s="23" t="n"/>
      <c r="CC139" s="23" t="n"/>
      <c r="CD139" s="23" t="n"/>
      <c r="CE139" s="23" t="n"/>
      <c r="CF139" s="23" t="n"/>
      <c r="CG139" s="23" t="n"/>
      <c r="CH139" s="23" t="n"/>
      <c r="CI139" s="23" t="n"/>
      <c r="CJ139" s="23" t="n"/>
      <c r="CK139" s="23" t="n"/>
      <c r="CL139" s="23" t="n"/>
      <c r="CM139" s="23" t="n"/>
      <c r="CN139" s="23" t="n"/>
      <c r="CO139" s="23" t="n"/>
      <c r="CP139" s="23" t="n"/>
      <c r="CQ139" s="23" t="n"/>
      <c r="CR139" s="23" t="n"/>
      <c r="CS139" s="23" t="n"/>
      <c r="CT139" s="23" t="n"/>
      <c r="CU139" s="23" t="n"/>
      <c r="CV139" s="23" t="n"/>
      <c r="CW139" s="23" t="n"/>
      <c r="CX139" s="23" t="n"/>
      <c r="CY139" s="23" t="n"/>
      <c r="CZ139" s="23" t="n"/>
      <c r="DA139" s="23" t="n"/>
      <c r="DB139" s="23" t="n"/>
      <c r="DC139" s="23" t="n"/>
      <c r="DE139" s="12" t="inlineStr">
        <is>
          <t>OLJ</t>
        </is>
      </c>
    </row>
    <row r="140">
      <c r="B140" s="24" t="inlineStr">
        <is>
          <t>PO_No</t>
        </is>
      </c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  <c r="AD140" s="25" t="n"/>
      <c r="AE140" s="25" t="n"/>
      <c r="AF140" s="25" t="n"/>
      <c r="AG140" s="25" t="n"/>
      <c r="AH140" s="25" t="n"/>
      <c r="AI140" s="25" t="n"/>
      <c r="AJ140" s="25" t="n"/>
      <c r="AK140" s="25" t="n"/>
      <c r="AL140" s="25" t="n"/>
      <c r="AM140" s="25" t="n"/>
      <c r="AN140" s="25" t="n"/>
      <c r="AO140" s="25" t="n"/>
      <c r="AP140" s="25" t="n"/>
      <c r="AQ140" s="25" t="n"/>
      <c r="AR140" s="25" t="n"/>
      <c r="AS140" s="25" t="n"/>
      <c r="AT140" s="25" t="n"/>
      <c r="AU140" s="25" t="n"/>
      <c r="AV140" s="25" t="n"/>
      <c r="AW140" s="25" t="n"/>
      <c r="AX140" s="25" t="n"/>
      <c r="AY140" s="25" t="n"/>
      <c r="AZ140" s="25" t="n"/>
      <c r="BA140" s="25" t="n"/>
      <c r="BB140" s="25" t="n"/>
      <c r="BC140" s="25" t="n"/>
      <c r="BD140" s="25" t="n"/>
      <c r="BE140" s="25" t="n"/>
      <c r="BF140" s="25" t="n"/>
      <c r="BG140" s="25" t="n"/>
      <c r="BH140" s="25" t="n"/>
      <c r="BI140" s="25" t="n"/>
      <c r="BJ140" s="25" t="n"/>
      <c r="BK140" s="25" t="n"/>
      <c r="BL140" s="25" t="n"/>
      <c r="BM140" s="25" t="n"/>
      <c r="BN140" s="25" t="n"/>
      <c r="BO140" s="25" t="n"/>
      <c r="BP140" s="25" t="n"/>
      <c r="BQ140" s="25" t="n"/>
      <c r="BR140" s="25" t="n"/>
      <c r="BS140" s="25" t="n"/>
      <c r="BT140" s="25" t="n"/>
      <c r="BU140" s="25" t="n"/>
      <c r="BV140" s="25" t="n"/>
      <c r="BW140" s="25" t="n"/>
      <c r="BX140" s="25" t="n"/>
      <c r="BY140" s="25" t="n"/>
      <c r="BZ140" s="25" t="n"/>
      <c r="CA140" s="25" t="n"/>
      <c r="CB140" s="25" t="n"/>
      <c r="CC140" s="25" t="n"/>
      <c r="CD140" s="25" t="n"/>
      <c r="CE140" s="25" t="n"/>
      <c r="CF140" s="25" t="n"/>
      <c r="CG140" s="25" t="n"/>
      <c r="CH140" s="25" t="n"/>
      <c r="CI140" s="25" t="n"/>
      <c r="CJ140" s="25" t="n"/>
      <c r="CK140" s="25" t="n"/>
      <c r="CL140" s="25" t="n"/>
      <c r="CM140" s="25" t="n"/>
      <c r="CN140" s="25" t="n"/>
      <c r="CO140" s="25" t="n"/>
      <c r="CP140" s="25" t="n"/>
      <c r="CQ140" s="25" t="n"/>
      <c r="CR140" s="25" t="n"/>
      <c r="CS140" s="25" t="n"/>
      <c r="CT140" s="25" t="n"/>
      <c r="CU140" s="25" t="n"/>
      <c r="CV140" s="25" t="n"/>
      <c r="CW140" s="25" t="n"/>
      <c r="CX140" s="25" t="n"/>
      <c r="CY140" s="25" t="n"/>
      <c r="CZ140" s="25" t="n"/>
      <c r="DA140" s="25" t="n"/>
      <c r="DB140" s="25" t="n"/>
      <c r="DC140" s="25" t="n"/>
    </row>
    <row r="141">
      <c r="B141" s="5" t="inlineStr">
        <is>
          <t>合計在庫(週末時点,kg)</t>
        </is>
      </c>
      <c r="D141">
        <f>'Grid_Stock'!B14</f>
        <v/>
      </c>
      <c r="E141">
        <f>'Grid_Stock'!C14</f>
        <v/>
      </c>
      <c r="F141">
        <f>'Grid_Stock'!D14</f>
        <v/>
      </c>
      <c r="G141">
        <f>'Grid_Stock'!E14</f>
        <v/>
      </c>
      <c r="H141">
        <f>'Grid_Stock'!F14</f>
        <v/>
      </c>
      <c r="I141">
        <f>'Grid_Stock'!G14</f>
        <v/>
      </c>
      <c r="J141">
        <f>'Grid_Stock'!H14</f>
        <v/>
      </c>
      <c r="K141">
        <f>'Grid_Stock'!I14</f>
        <v/>
      </c>
      <c r="L141">
        <f>'Grid_Stock'!J14</f>
        <v/>
      </c>
      <c r="M141">
        <f>'Grid_Stock'!K14</f>
        <v/>
      </c>
      <c r="N141">
        <f>'Grid_Stock'!L14</f>
        <v/>
      </c>
      <c r="O141">
        <f>'Grid_Stock'!M14</f>
        <v/>
      </c>
      <c r="P141">
        <f>'Grid_Stock'!N14</f>
        <v/>
      </c>
      <c r="Q141">
        <f>'Grid_Stock'!O14</f>
        <v/>
      </c>
      <c r="R141">
        <f>'Grid_Stock'!P14</f>
        <v/>
      </c>
      <c r="S141">
        <f>'Grid_Stock'!Q14</f>
        <v/>
      </c>
      <c r="T141">
        <f>'Grid_Stock'!R14</f>
        <v/>
      </c>
      <c r="U141">
        <f>'Grid_Stock'!S14</f>
        <v/>
      </c>
      <c r="V141">
        <f>'Grid_Stock'!T14</f>
        <v/>
      </c>
      <c r="W141">
        <f>'Grid_Stock'!U14</f>
        <v/>
      </c>
      <c r="X141">
        <f>'Grid_Stock'!V14</f>
        <v/>
      </c>
      <c r="Y141">
        <f>'Grid_Stock'!W14</f>
        <v/>
      </c>
      <c r="Z141">
        <f>'Grid_Stock'!X14</f>
        <v/>
      </c>
      <c r="AA141">
        <f>'Grid_Stock'!Y14</f>
        <v/>
      </c>
      <c r="AB141">
        <f>'Grid_Stock'!Z14</f>
        <v/>
      </c>
      <c r="AC141">
        <f>'Grid_Stock'!AA14</f>
        <v/>
      </c>
      <c r="AD141">
        <f>'Grid_Stock'!AB14</f>
        <v/>
      </c>
      <c r="AE141">
        <f>'Grid_Stock'!AC14</f>
        <v/>
      </c>
      <c r="AF141">
        <f>'Grid_Stock'!AD14</f>
        <v/>
      </c>
      <c r="AG141">
        <f>'Grid_Stock'!AE14</f>
        <v/>
      </c>
      <c r="AH141">
        <f>'Grid_Stock'!AF14</f>
        <v/>
      </c>
      <c r="AI141">
        <f>'Grid_Stock'!AG14</f>
        <v/>
      </c>
      <c r="AJ141">
        <f>'Grid_Stock'!AH14</f>
        <v/>
      </c>
      <c r="AK141">
        <f>'Grid_Stock'!AI14</f>
        <v/>
      </c>
      <c r="AL141">
        <f>'Grid_Stock'!AJ14</f>
        <v/>
      </c>
      <c r="AM141">
        <f>'Grid_Stock'!AK14</f>
        <v/>
      </c>
      <c r="AN141">
        <f>'Grid_Stock'!AL14</f>
        <v/>
      </c>
      <c r="AO141">
        <f>'Grid_Stock'!AM14</f>
        <v/>
      </c>
      <c r="AP141">
        <f>'Grid_Stock'!AN14</f>
        <v/>
      </c>
      <c r="AQ141">
        <f>'Grid_Stock'!AO14</f>
        <v/>
      </c>
      <c r="AR141">
        <f>'Grid_Stock'!AP14</f>
        <v/>
      </c>
      <c r="AS141">
        <f>'Grid_Stock'!AQ14</f>
        <v/>
      </c>
      <c r="AT141">
        <f>'Grid_Stock'!AR14</f>
        <v/>
      </c>
      <c r="AU141">
        <f>'Grid_Stock'!AS14</f>
        <v/>
      </c>
      <c r="AV141">
        <f>'Grid_Stock'!AT14</f>
        <v/>
      </c>
      <c r="AW141">
        <f>'Grid_Stock'!AU14</f>
        <v/>
      </c>
      <c r="AX141">
        <f>'Grid_Stock'!AV14</f>
        <v/>
      </c>
      <c r="AY141">
        <f>'Grid_Stock'!AW14</f>
        <v/>
      </c>
      <c r="AZ141">
        <f>'Grid_Stock'!AX14</f>
        <v/>
      </c>
      <c r="BA141">
        <f>'Grid_Stock'!AY14</f>
        <v/>
      </c>
      <c r="BB141">
        <f>'Grid_Stock'!AZ14</f>
        <v/>
      </c>
      <c r="BC141">
        <f>'Grid_Stock'!BA14</f>
        <v/>
      </c>
      <c r="BD141">
        <f>'Grid_Stock'!BB14</f>
        <v/>
      </c>
      <c r="BE141">
        <f>'Grid_Stock'!BC14</f>
        <v/>
      </c>
      <c r="BF141">
        <f>'Grid_Stock'!BD14</f>
        <v/>
      </c>
      <c r="BG141">
        <f>'Grid_Stock'!BE14</f>
        <v/>
      </c>
      <c r="BH141">
        <f>'Grid_Stock'!BF14</f>
        <v/>
      </c>
      <c r="BI141">
        <f>'Grid_Stock'!BG14</f>
        <v/>
      </c>
      <c r="BJ141">
        <f>'Grid_Stock'!BH14</f>
        <v/>
      </c>
      <c r="BK141">
        <f>'Grid_Stock'!BI14</f>
        <v/>
      </c>
      <c r="BL141">
        <f>'Grid_Stock'!BJ14</f>
        <v/>
      </c>
      <c r="BM141">
        <f>'Grid_Stock'!BK14</f>
        <v/>
      </c>
      <c r="BN141">
        <f>'Grid_Stock'!BL14</f>
        <v/>
      </c>
      <c r="BO141">
        <f>'Grid_Stock'!BM14</f>
        <v/>
      </c>
      <c r="BP141">
        <f>'Grid_Stock'!BN14</f>
        <v/>
      </c>
      <c r="BQ141">
        <f>'Grid_Stock'!BO14</f>
        <v/>
      </c>
      <c r="BR141">
        <f>'Grid_Stock'!BP14</f>
        <v/>
      </c>
      <c r="BS141">
        <f>'Grid_Stock'!BQ14</f>
        <v/>
      </c>
      <c r="BT141">
        <f>'Grid_Stock'!BR14</f>
        <v/>
      </c>
      <c r="BU141">
        <f>'Grid_Stock'!BS14</f>
        <v/>
      </c>
      <c r="BV141">
        <f>'Grid_Stock'!BT14</f>
        <v/>
      </c>
      <c r="BW141">
        <f>'Grid_Stock'!BU14</f>
        <v/>
      </c>
      <c r="BX141">
        <f>'Grid_Stock'!BV14</f>
        <v/>
      </c>
      <c r="BY141">
        <f>'Grid_Stock'!BW14</f>
        <v/>
      </c>
      <c r="BZ141">
        <f>'Grid_Stock'!BX14</f>
        <v/>
      </c>
      <c r="CA141">
        <f>'Grid_Stock'!BY14</f>
        <v/>
      </c>
      <c r="CB141">
        <f>'Grid_Stock'!BZ14</f>
        <v/>
      </c>
      <c r="CC141">
        <f>'Grid_Stock'!CA14</f>
        <v/>
      </c>
      <c r="CD141">
        <f>'Grid_Stock'!CB14</f>
        <v/>
      </c>
      <c r="CE141">
        <f>'Grid_Stock'!CC14</f>
        <v/>
      </c>
      <c r="CF141">
        <f>'Grid_Stock'!CD14</f>
        <v/>
      </c>
      <c r="CG141">
        <f>'Grid_Stock'!CE14</f>
        <v/>
      </c>
      <c r="CH141">
        <f>'Grid_Stock'!CF14</f>
        <v/>
      </c>
      <c r="CI141">
        <f>'Grid_Stock'!CG14</f>
        <v/>
      </c>
      <c r="CJ141">
        <f>'Grid_Stock'!CH14</f>
        <v/>
      </c>
      <c r="CK141">
        <f>'Grid_Stock'!CI14</f>
        <v/>
      </c>
      <c r="CL141">
        <f>'Grid_Stock'!CJ14</f>
        <v/>
      </c>
      <c r="CM141">
        <f>'Grid_Stock'!CK14</f>
        <v/>
      </c>
      <c r="CN141">
        <f>'Grid_Stock'!CL14</f>
        <v/>
      </c>
      <c r="CO141">
        <f>'Grid_Stock'!CM14</f>
        <v/>
      </c>
      <c r="CP141">
        <f>'Grid_Stock'!CN14</f>
        <v/>
      </c>
      <c r="CQ141">
        <f>'Grid_Stock'!CO14</f>
        <v/>
      </c>
      <c r="CR141">
        <f>'Grid_Stock'!CP14</f>
        <v/>
      </c>
      <c r="CS141">
        <f>'Grid_Stock'!CQ14</f>
        <v/>
      </c>
      <c r="CT141">
        <f>'Grid_Stock'!CR14</f>
        <v/>
      </c>
      <c r="CU141">
        <f>'Grid_Stock'!CS14</f>
        <v/>
      </c>
      <c r="CV141">
        <f>'Grid_Stock'!CT14</f>
        <v/>
      </c>
      <c r="CW141">
        <f>'Grid_Stock'!CU14</f>
        <v/>
      </c>
      <c r="CX141">
        <f>'Grid_Stock'!CV14</f>
        <v/>
      </c>
      <c r="CY141">
        <f>'Grid_Stock'!CW14</f>
        <v/>
      </c>
      <c r="CZ141">
        <f>'Grid_Stock'!CX14</f>
        <v/>
      </c>
      <c r="DA141">
        <f>'Grid_Stock'!CY14</f>
        <v/>
      </c>
      <c r="DB141">
        <f>'Grid_Stock'!CZ14</f>
        <v/>
      </c>
      <c r="DC141">
        <f>'Grid_Stock'!DA14</f>
        <v/>
      </c>
    </row>
    <row r="142">
      <c r="B142" s="26" t="inlineStr">
        <is>
          <t>（発注の目安はDashboardの基準在庫[下限/上限]と色分けを参照）</t>
        </is>
      </c>
    </row>
    <row r="144">
      <c r="A144" s="21" t="inlineStr">
        <is>
          <t>5SN</t>
        </is>
      </c>
      <c r="B144" s="21" t="inlineStr">
        <is>
          <t>Substrate NGK WF6</t>
        </is>
      </c>
      <c r="C144" s="22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21" t="n"/>
      <c r="AP144" s="21" t="n"/>
      <c r="AQ144" s="21" t="n"/>
      <c r="AR144" s="21" t="n"/>
      <c r="AS144" s="21" t="n"/>
      <c r="AT144" s="21" t="n"/>
      <c r="AU144" s="21" t="n"/>
      <c r="AV144" s="21" t="n"/>
      <c r="AW144" s="21" t="n"/>
      <c r="AX144" s="21" t="n"/>
      <c r="AY144" s="21" t="n"/>
      <c r="AZ144" s="21" t="n"/>
      <c r="BA144" s="21" t="n"/>
      <c r="BB144" s="21" t="n"/>
      <c r="BC144" s="21" t="n"/>
      <c r="BD144" s="21" t="n"/>
      <c r="BE144" s="21" t="n"/>
      <c r="BF144" s="21" t="n"/>
      <c r="BG144" s="21" t="n"/>
      <c r="BH144" s="21" t="n"/>
      <c r="BI144" s="21" t="n"/>
      <c r="BJ144" s="21" t="n"/>
      <c r="BK144" s="21" t="n"/>
      <c r="BL144" s="21" t="n"/>
      <c r="BM144" s="21" t="n"/>
      <c r="BN144" s="21" t="n"/>
      <c r="BO144" s="21" t="n"/>
      <c r="BP144" s="21" t="n"/>
      <c r="BQ144" s="21" t="n"/>
      <c r="BR144" s="21" t="n"/>
      <c r="BS144" s="21" t="n"/>
      <c r="BT144" s="21" t="n"/>
      <c r="BU144" s="21" t="n"/>
      <c r="BV144" s="21" t="n"/>
      <c r="BW144" s="21" t="n"/>
      <c r="BX144" s="21" t="n"/>
      <c r="BY144" s="21" t="n"/>
      <c r="BZ144" s="21" t="n"/>
      <c r="CA144" s="21" t="n"/>
      <c r="CB144" s="21" t="n"/>
      <c r="CC144" s="21" t="n"/>
      <c r="CD144" s="21" t="n"/>
      <c r="CE144" s="21" t="n"/>
      <c r="CF144" s="21" t="n"/>
      <c r="CG144" s="21" t="n"/>
      <c r="CH144" s="21" t="n"/>
      <c r="CI144" s="21" t="n"/>
      <c r="CJ144" s="21" t="n"/>
      <c r="CK144" s="21" t="n"/>
      <c r="CL144" s="21" t="n"/>
      <c r="CM144" s="21" t="n"/>
      <c r="CN144" s="21" t="n"/>
      <c r="CO144" s="21" t="n"/>
      <c r="CP144" s="21" t="n"/>
      <c r="CQ144" s="21" t="n"/>
      <c r="CR144" s="21" t="n"/>
      <c r="CS144" s="21" t="n"/>
      <c r="CT144" s="21" t="n"/>
      <c r="CU144" s="21" t="n"/>
      <c r="CV144" s="21" t="n"/>
      <c r="CW144" s="21" t="n"/>
      <c r="CX144" s="21" t="n"/>
      <c r="CY144" s="21" t="n"/>
      <c r="CZ144" s="21" t="n"/>
      <c r="DA144" s="21" t="n"/>
      <c r="DB144" s="21" t="n"/>
      <c r="DC144" s="21" t="n"/>
    </row>
    <row r="145">
      <c r="B145" t="inlineStr">
        <is>
          <t>0Q110</t>
        </is>
      </c>
      <c r="C145" t="inlineStr">
        <is>
          <t>No. of batches</t>
        </is>
      </c>
      <c r="D145">
        <f>IFERROR(INDEX(PP_Grid[#Data],$DD145,2),0)</f>
        <v/>
      </c>
      <c r="E145">
        <f>IFERROR(INDEX(PP_Grid[#Data],$DD145,3),0)</f>
        <v/>
      </c>
      <c r="F145">
        <f>IFERROR(INDEX(PP_Grid[#Data],$DD145,4),0)</f>
        <v/>
      </c>
      <c r="G145">
        <f>IFERROR(INDEX(PP_Grid[#Data],$DD145,5),0)</f>
        <v/>
      </c>
      <c r="H145">
        <f>IFERROR(INDEX(PP_Grid[#Data],$DD145,6),0)</f>
        <v/>
      </c>
      <c r="I145">
        <f>IFERROR(INDEX(PP_Grid[#Data],$DD145,7),0)</f>
        <v/>
      </c>
      <c r="J145">
        <f>IFERROR(INDEX(PP_Grid[#Data],$DD145,8),0)</f>
        <v/>
      </c>
      <c r="K145">
        <f>IFERROR(INDEX(PP_Grid[#Data],$DD145,9),0)</f>
        <v/>
      </c>
      <c r="L145">
        <f>IFERROR(INDEX(PP_Grid[#Data],$DD145,10),0)</f>
        <v/>
      </c>
      <c r="M145">
        <f>IFERROR(INDEX(PP_Grid[#Data],$DD145,11),0)</f>
        <v/>
      </c>
      <c r="N145">
        <f>IFERROR(INDEX(PP_Grid[#Data],$DD145,12),0)</f>
        <v/>
      </c>
      <c r="O145">
        <f>IFERROR(INDEX(PP_Grid[#Data],$DD145,13),0)</f>
        <v/>
      </c>
      <c r="P145">
        <f>IFERROR(INDEX(PP_Grid[#Data],$DD145,14),0)</f>
        <v/>
      </c>
      <c r="Q145">
        <f>IFERROR(INDEX(PP_Grid[#Data],$DD145,15),0)</f>
        <v/>
      </c>
      <c r="R145">
        <f>IFERROR(INDEX(PP_Grid[#Data],$DD145,16),0)</f>
        <v/>
      </c>
      <c r="S145">
        <f>IFERROR(INDEX(PP_Grid[#Data],$DD145,17),0)</f>
        <v/>
      </c>
      <c r="T145">
        <f>IFERROR(INDEX(PP_Grid[#Data],$DD145,18),0)</f>
        <v/>
      </c>
      <c r="U145">
        <f>IFERROR(INDEX(PP_Grid[#Data],$DD145,19),0)</f>
        <v/>
      </c>
      <c r="V145">
        <f>IFERROR(INDEX(PP_Grid[#Data],$DD145,20),0)</f>
        <v/>
      </c>
      <c r="W145">
        <f>IFERROR(INDEX(PP_Grid[#Data],$DD145,21),0)</f>
        <v/>
      </c>
      <c r="X145">
        <f>IFERROR(INDEX(PP_Grid[#Data],$DD145,22),0)</f>
        <v/>
      </c>
      <c r="Y145">
        <f>IFERROR(INDEX(PP_Grid[#Data],$DD145,23),0)</f>
        <v/>
      </c>
      <c r="Z145">
        <f>IFERROR(INDEX(PP_Grid[#Data],$DD145,24),0)</f>
        <v/>
      </c>
      <c r="AA145">
        <f>IFERROR(INDEX(PP_Grid[#Data],$DD145,25),0)</f>
        <v/>
      </c>
      <c r="AB145">
        <f>IFERROR(INDEX(PP_Grid[#Data],$DD145,26),0)</f>
        <v/>
      </c>
      <c r="AC145">
        <f>IFERROR(INDEX(PP_Grid[#Data],$DD145,27),0)</f>
        <v/>
      </c>
      <c r="AD145">
        <f>IFERROR(INDEX(PP_Grid[#Data],$DD145,28),0)</f>
        <v/>
      </c>
      <c r="AE145">
        <f>IFERROR(INDEX(PP_Grid[#Data],$DD145,29),0)</f>
        <v/>
      </c>
      <c r="AF145">
        <f>IFERROR(INDEX(PP_Grid[#Data],$DD145,30),0)</f>
        <v/>
      </c>
      <c r="AG145">
        <f>IFERROR(INDEX(PP_Grid[#Data],$DD145,31),0)</f>
        <v/>
      </c>
      <c r="AH145">
        <f>IFERROR(INDEX(PP_Grid[#Data],$DD145,32),0)</f>
        <v/>
      </c>
      <c r="AI145">
        <f>IFERROR(INDEX(PP_Grid[#Data],$DD145,33),0)</f>
        <v/>
      </c>
      <c r="AJ145">
        <f>IFERROR(INDEX(PP_Grid[#Data],$DD145,34),0)</f>
        <v/>
      </c>
      <c r="AK145">
        <f>IFERROR(INDEX(PP_Grid[#Data],$DD145,35),0)</f>
        <v/>
      </c>
      <c r="AL145">
        <f>IFERROR(INDEX(PP_Grid[#Data],$DD145,36),0)</f>
        <v/>
      </c>
      <c r="AM145">
        <f>IFERROR(INDEX(PP_Grid[#Data],$DD145,37),0)</f>
        <v/>
      </c>
      <c r="AN145">
        <f>IFERROR(INDEX(PP_Grid[#Data],$DD145,38),0)</f>
        <v/>
      </c>
      <c r="AO145">
        <f>IFERROR(INDEX(PP_Grid[#Data],$DD145,39),0)</f>
        <v/>
      </c>
      <c r="AP145">
        <f>IFERROR(INDEX(PP_Grid[#Data],$DD145,40),0)</f>
        <v/>
      </c>
      <c r="AQ145">
        <f>IFERROR(INDEX(PP_Grid[#Data],$DD145,41),0)</f>
        <v/>
      </c>
      <c r="AR145">
        <f>IFERROR(INDEX(PP_Grid[#Data],$DD145,42),0)</f>
        <v/>
      </c>
      <c r="AS145">
        <f>IFERROR(INDEX(PP_Grid[#Data],$DD145,43),0)</f>
        <v/>
      </c>
      <c r="AT145">
        <f>IFERROR(INDEX(PP_Grid[#Data],$DD145,44),0)</f>
        <v/>
      </c>
      <c r="AU145">
        <f>IFERROR(INDEX(PP_Grid[#Data],$DD145,45),0)</f>
        <v/>
      </c>
      <c r="AV145">
        <f>IFERROR(INDEX(PP_Grid[#Data],$DD145,46),0)</f>
        <v/>
      </c>
      <c r="AW145">
        <f>IFERROR(INDEX(PP_Grid[#Data],$DD145,47),0)</f>
        <v/>
      </c>
      <c r="AX145">
        <f>IFERROR(INDEX(PP_Grid[#Data],$DD145,48),0)</f>
        <v/>
      </c>
      <c r="AY145">
        <f>IFERROR(INDEX(PP_Grid[#Data],$DD145,49),0)</f>
        <v/>
      </c>
      <c r="AZ145">
        <f>IFERROR(INDEX(PP_Grid[#Data],$DD145,50),0)</f>
        <v/>
      </c>
      <c r="BA145">
        <f>IFERROR(INDEX(PP_Grid[#Data],$DD145,51),0)</f>
        <v/>
      </c>
      <c r="BB145">
        <f>IFERROR(INDEX(PP_Grid[#Data],$DD145,52),0)</f>
        <v/>
      </c>
      <c r="BC145">
        <f>IFERROR(INDEX(PP_Grid[#Data],$DD145,53),0)</f>
        <v/>
      </c>
      <c r="BD145">
        <f>IFERROR(INDEX(PP_Grid[#Data],$DD145,54),0)</f>
        <v/>
      </c>
      <c r="BE145">
        <f>IFERROR(INDEX(PP_Grid[#Data],$DD145,55),0)</f>
        <v/>
      </c>
      <c r="BF145">
        <f>IFERROR(INDEX(PP_Grid[#Data],$DD145,56),0)</f>
        <v/>
      </c>
      <c r="BG145">
        <f>IFERROR(INDEX(PP_Grid[#Data],$DD145,57),0)</f>
        <v/>
      </c>
      <c r="BH145">
        <f>IFERROR(INDEX(PP_Grid[#Data],$DD145,58),0)</f>
        <v/>
      </c>
      <c r="BI145">
        <f>IFERROR(INDEX(PP_Grid[#Data],$DD145,59),0)</f>
        <v/>
      </c>
      <c r="BJ145">
        <f>IFERROR(INDEX(PP_Grid[#Data],$DD145,60),0)</f>
        <v/>
      </c>
      <c r="BK145">
        <f>IFERROR(INDEX(PP_Grid[#Data],$DD145,61),0)</f>
        <v/>
      </c>
      <c r="BL145">
        <f>IFERROR(INDEX(PP_Grid[#Data],$DD145,62),0)</f>
        <v/>
      </c>
      <c r="BM145">
        <f>IFERROR(INDEX(PP_Grid[#Data],$DD145,63),0)</f>
        <v/>
      </c>
      <c r="BN145">
        <f>IFERROR(INDEX(PP_Grid[#Data],$DD145,64),0)</f>
        <v/>
      </c>
      <c r="BO145">
        <f>IFERROR(INDEX(PP_Grid[#Data],$DD145,65),0)</f>
        <v/>
      </c>
      <c r="BP145">
        <f>IFERROR(INDEX(PP_Grid[#Data],$DD145,66),0)</f>
        <v/>
      </c>
      <c r="BQ145">
        <f>IFERROR(INDEX(PP_Grid[#Data],$DD145,67),0)</f>
        <v/>
      </c>
      <c r="BR145">
        <f>IFERROR(INDEX(PP_Grid[#Data],$DD145,68),0)</f>
        <v/>
      </c>
      <c r="BS145">
        <f>IFERROR(INDEX(PP_Grid[#Data],$DD145,69),0)</f>
        <v/>
      </c>
      <c r="BT145">
        <f>IFERROR(INDEX(PP_Grid[#Data],$DD145,70),0)</f>
        <v/>
      </c>
      <c r="BU145">
        <f>IFERROR(INDEX(PP_Grid[#Data],$DD145,71),0)</f>
        <v/>
      </c>
      <c r="BV145">
        <f>IFERROR(INDEX(PP_Grid[#Data],$DD145,72),0)</f>
        <v/>
      </c>
      <c r="BW145">
        <f>IFERROR(INDEX(PP_Grid[#Data],$DD145,73),0)</f>
        <v/>
      </c>
      <c r="BX145">
        <f>IFERROR(INDEX(PP_Grid[#Data],$DD145,74),0)</f>
        <v/>
      </c>
      <c r="BY145">
        <f>IFERROR(INDEX(PP_Grid[#Data],$DD145,75),0)</f>
        <v/>
      </c>
      <c r="BZ145">
        <f>IFERROR(INDEX(PP_Grid[#Data],$DD145,76),0)</f>
        <v/>
      </c>
      <c r="CA145">
        <f>IFERROR(INDEX(PP_Grid[#Data],$DD145,77),0)</f>
        <v/>
      </c>
      <c r="CB145">
        <f>IFERROR(INDEX(PP_Grid[#Data],$DD145,78),0)</f>
        <v/>
      </c>
      <c r="CC145">
        <f>IFERROR(INDEX(PP_Grid[#Data],$DD145,79),0)</f>
        <v/>
      </c>
      <c r="CD145">
        <f>IFERROR(INDEX(PP_Grid[#Data],$DD145,80),0)</f>
        <v/>
      </c>
      <c r="CE145">
        <f>IFERROR(INDEX(PP_Grid[#Data],$DD145,81),0)</f>
        <v/>
      </c>
      <c r="CF145">
        <f>IFERROR(INDEX(PP_Grid[#Data],$DD145,82),0)</f>
        <v/>
      </c>
      <c r="CG145">
        <f>IFERROR(INDEX(PP_Grid[#Data],$DD145,83),0)</f>
        <v/>
      </c>
      <c r="CH145">
        <f>IFERROR(INDEX(PP_Grid[#Data],$DD145,84),0)</f>
        <v/>
      </c>
      <c r="CI145">
        <f>IFERROR(INDEX(PP_Grid[#Data],$DD145,85),0)</f>
        <v/>
      </c>
      <c r="CJ145">
        <f>IFERROR(INDEX(PP_Grid[#Data],$DD145,86),0)</f>
        <v/>
      </c>
      <c r="CK145">
        <f>IFERROR(INDEX(PP_Grid[#Data],$DD145,87),0)</f>
        <v/>
      </c>
      <c r="CL145">
        <f>IFERROR(INDEX(PP_Grid[#Data],$DD145,88),0)</f>
        <v/>
      </c>
      <c r="CM145">
        <f>IFERROR(INDEX(PP_Grid[#Data],$DD145,89),0)</f>
        <v/>
      </c>
      <c r="CN145">
        <f>IFERROR(INDEX(PP_Grid[#Data],$DD145,90),0)</f>
        <v/>
      </c>
      <c r="CO145">
        <f>IFERROR(INDEX(PP_Grid[#Data],$DD145,91),0)</f>
        <v/>
      </c>
      <c r="CP145">
        <f>IFERROR(INDEX(PP_Grid[#Data],$DD145,92),0)</f>
        <v/>
      </c>
      <c r="CQ145">
        <f>IFERROR(INDEX(PP_Grid[#Data],$DD145,93),0)</f>
        <v/>
      </c>
      <c r="CR145">
        <f>IFERROR(INDEX(PP_Grid[#Data],$DD145,94),0)</f>
        <v/>
      </c>
      <c r="CS145">
        <f>IFERROR(INDEX(PP_Grid[#Data],$DD145,95),0)</f>
        <v/>
      </c>
      <c r="CT145">
        <f>IFERROR(INDEX(PP_Grid[#Data],$DD145,96),0)</f>
        <v/>
      </c>
      <c r="CU145">
        <f>IFERROR(INDEX(PP_Grid[#Data],$DD145,97),0)</f>
        <v/>
      </c>
      <c r="CV145">
        <f>IFERROR(INDEX(PP_Grid[#Data],$DD145,98),0)</f>
        <v/>
      </c>
      <c r="CW145">
        <f>IFERROR(INDEX(PP_Grid[#Data],$DD145,99),0)</f>
        <v/>
      </c>
      <c r="CX145">
        <f>IFERROR(INDEX(PP_Grid[#Data],$DD145,100),0)</f>
        <v/>
      </c>
      <c r="CY145">
        <f>IFERROR(INDEX(PP_Grid[#Data],$DD145,101),0)</f>
        <v/>
      </c>
      <c r="CZ145">
        <f>IFERROR(INDEX(PP_Grid[#Data],$DD145,102),0)</f>
        <v/>
      </c>
      <c r="DA145">
        <f>IFERROR(INDEX(PP_Grid[#Data],$DD145,103),0)</f>
        <v/>
      </c>
      <c r="DB145">
        <f>IFERROR(INDEX(PP_Grid[#Data],$DD145,104),0)</f>
        <v/>
      </c>
      <c r="DC145">
        <f>IFERROR(INDEX(PP_Grid[#Data],$DD145,105),0)</f>
        <v/>
      </c>
      <c r="DD145" s="12">
        <f>IFERROR(MATCH($B145,PP_Grid[Intermediate],0),99999)</f>
        <v/>
      </c>
    </row>
    <row r="146">
      <c r="B146" t="inlineStr">
        <is>
          <t>使用量(kg)</t>
        </is>
      </c>
      <c r="C146">
        <f>SUMIFS(M_BOM[RM_Qty_Per_Batch],M_BOM[Intermediate],$B145,M_BOM[Part Name],$A144)</f>
        <v/>
      </c>
      <c r="D146">
        <f>$C146*D145</f>
        <v/>
      </c>
      <c r="E146">
        <f>$C146*E145</f>
        <v/>
      </c>
      <c r="F146">
        <f>$C146*F145</f>
        <v/>
      </c>
      <c r="G146">
        <f>$C146*G145</f>
        <v/>
      </c>
      <c r="H146">
        <f>$C146*H145</f>
        <v/>
      </c>
      <c r="I146">
        <f>$C146*I145</f>
        <v/>
      </c>
      <c r="J146">
        <f>$C146*J145</f>
        <v/>
      </c>
      <c r="K146">
        <f>$C146*K145</f>
        <v/>
      </c>
      <c r="L146">
        <f>$C146*L145</f>
        <v/>
      </c>
      <c r="M146">
        <f>$C146*M145</f>
        <v/>
      </c>
      <c r="N146">
        <f>$C146*N145</f>
        <v/>
      </c>
      <c r="O146">
        <f>$C146*O145</f>
        <v/>
      </c>
      <c r="P146">
        <f>$C146*P145</f>
        <v/>
      </c>
      <c r="Q146">
        <f>$C146*Q145</f>
        <v/>
      </c>
      <c r="R146">
        <f>$C146*R145</f>
        <v/>
      </c>
      <c r="S146">
        <f>$C146*S145</f>
        <v/>
      </c>
      <c r="T146">
        <f>$C146*T145</f>
        <v/>
      </c>
      <c r="U146">
        <f>$C146*U145</f>
        <v/>
      </c>
      <c r="V146">
        <f>$C146*V145</f>
        <v/>
      </c>
      <c r="W146">
        <f>$C146*W145</f>
        <v/>
      </c>
      <c r="X146">
        <f>$C146*X145</f>
        <v/>
      </c>
      <c r="Y146">
        <f>$C146*Y145</f>
        <v/>
      </c>
      <c r="Z146">
        <f>$C146*Z145</f>
        <v/>
      </c>
      <c r="AA146">
        <f>$C146*AA145</f>
        <v/>
      </c>
      <c r="AB146">
        <f>$C146*AB145</f>
        <v/>
      </c>
      <c r="AC146">
        <f>$C146*AC145</f>
        <v/>
      </c>
      <c r="AD146">
        <f>$C146*AD145</f>
        <v/>
      </c>
      <c r="AE146">
        <f>$C146*AE145</f>
        <v/>
      </c>
      <c r="AF146">
        <f>$C146*AF145</f>
        <v/>
      </c>
      <c r="AG146">
        <f>$C146*AG145</f>
        <v/>
      </c>
      <c r="AH146">
        <f>$C146*AH145</f>
        <v/>
      </c>
      <c r="AI146">
        <f>$C146*AI145</f>
        <v/>
      </c>
      <c r="AJ146">
        <f>$C146*AJ145</f>
        <v/>
      </c>
      <c r="AK146">
        <f>$C146*AK145</f>
        <v/>
      </c>
      <c r="AL146">
        <f>$C146*AL145</f>
        <v/>
      </c>
      <c r="AM146">
        <f>$C146*AM145</f>
        <v/>
      </c>
      <c r="AN146">
        <f>$C146*AN145</f>
        <v/>
      </c>
      <c r="AO146">
        <f>$C146*AO145</f>
        <v/>
      </c>
      <c r="AP146">
        <f>$C146*AP145</f>
        <v/>
      </c>
      <c r="AQ146">
        <f>$C146*AQ145</f>
        <v/>
      </c>
      <c r="AR146">
        <f>$C146*AR145</f>
        <v/>
      </c>
      <c r="AS146">
        <f>$C146*AS145</f>
        <v/>
      </c>
      <c r="AT146">
        <f>$C146*AT145</f>
        <v/>
      </c>
      <c r="AU146">
        <f>$C146*AU145</f>
        <v/>
      </c>
      <c r="AV146">
        <f>$C146*AV145</f>
        <v/>
      </c>
      <c r="AW146">
        <f>$C146*AW145</f>
        <v/>
      </c>
      <c r="AX146">
        <f>$C146*AX145</f>
        <v/>
      </c>
      <c r="AY146">
        <f>$C146*AY145</f>
        <v/>
      </c>
      <c r="AZ146">
        <f>$C146*AZ145</f>
        <v/>
      </c>
      <c r="BA146">
        <f>$C146*BA145</f>
        <v/>
      </c>
      <c r="BB146">
        <f>$C146*BB145</f>
        <v/>
      </c>
      <c r="BC146">
        <f>$C146*BC145</f>
        <v/>
      </c>
      <c r="BD146">
        <f>$C146*BD145</f>
        <v/>
      </c>
      <c r="BE146">
        <f>$C146*BE145</f>
        <v/>
      </c>
      <c r="BF146">
        <f>$C146*BF145</f>
        <v/>
      </c>
      <c r="BG146">
        <f>$C146*BG145</f>
        <v/>
      </c>
      <c r="BH146">
        <f>$C146*BH145</f>
        <v/>
      </c>
      <c r="BI146">
        <f>$C146*BI145</f>
        <v/>
      </c>
      <c r="BJ146">
        <f>$C146*BJ145</f>
        <v/>
      </c>
      <c r="BK146">
        <f>$C146*BK145</f>
        <v/>
      </c>
      <c r="BL146">
        <f>$C146*BL145</f>
        <v/>
      </c>
      <c r="BM146">
        <f>$C146*BM145</f>
        <v/>
      </c>
      <c r="BN146">
        <f>$C146*BN145</f>
        <v/>
      </c>
      <c r="BO146">
        <f>$C146*BO145</f>
        <v/>
      </c>
      <c r="BP146">
        <f>$C146*BP145</f>
        <v/>
      </c>
      <c r="BQ146">
        <f>$C146*BQ145</f>
        <v/>
      </c>
      <c r="BR146">
        <f>$C146*BR145</f>
        <v/>
      </c>
      <c r="BS146">
        <f>$C146*BS145</f>
        <v/>
      </c>
      <c r="BT146">
        <f>$C146*BT145</f>
        <v/>
      </c>
      <c r="BU146">
        <f>$C146*BU145</f>
        <v/>
      </c>
      <c r="BV146">
        <f>$C146*BV145</f>
        <v/>
      </c>
      <c r="BW146">
        <f>$C146*BW145</f>
        <v/>
      </c>
      <c r="BX146">
        <f>$C146*BX145</f>
        <v/>
      </c>
      <c r="BY146">
        <f>$C146*BY145</f>
        <v/>
      </c>
      <c r="BZ146">
        <f>$C146*BZ145</f>
        <v/>
      </c>
      <c r="CA146">
        <f>$C146*CA145</f>
        <v/>
      </c>
      <c r="CB146">
        <f>$C146*CB145</f>
        <v/>
      </c>
      <c r="CC146">
        <f>$C146*CC145</f>
        <v/>
      </c>
      <c r="CD146">
        <f>$C146*CD145</f>
        <v/>
      </c>
      <c r="CE146">
        <f>$C146*CE145</f>
        <v/>
      </c>
      <c r="CF146">
        <f>$C146*CF145</f>
        <v/>
      </c>
      <c r="CG146">
        <f>$C146*CG145</f>
        <v/>
      </c>
      <c r="CH146">
        <f>$C146*CH145</f>
        <v/>
      </c>
      <c r="CI146">
        <f>$C146*CI145</f>
        <v/>
      </c>
      <c r="CJ146">
        <f>$C146*CJ145</f>
        <v/>
      </c>
      <c r="CK146">
        <f>$C146*CK145</f>
        <v/>
      </c>
      <c r="CL146">
        <f>$C146*CL145</f>
        <v/>
      </c>
      <c r="CM146">
        <f>$C146*CM145</f>
        <v/>
      </c>
      <c r="CN146">
        <f>$C146*CN145</f>
        <v/>
      </c>
      <c r="CO146">
        <f>$C146*CO145</f>
        <v/>
      </c>
      <c r="CP146">
        <f>$C146*CP145</f>
        <v/>
      </c>
      <c r="CQ146">
        <f>$C146*CQ145</f>
        <v/>
      </c>
      <c r="CR146">
        <f>$C146*CR145</f>
        <v/>
      </c>
      <c r="CS146">
        <f>$C146*CS145</f>
        <v/>
      </c>
      <c r="CT146">
        <f>$C146*CT145</f>
        <v/>
      </c>
      <c r="CU146">
        <f>$C146*CU145</f>
        <v/>
      </c>
      <c r="CV146">
        <f>$C146*CV145</f>
        <v/>
      </c>
      <c r="CW146">
        <f>$C146*CW145</f>
        <v/>
      </c>
      <c r="CX146">
        <f>$C146*CX145</f>
        <v/>
      </c>
      <c r="CY146">
        <f>$C146*CY145</f>
        <v/>
      </c>
      <c r="CZ146">
        <f>$C146*CZ145</f>
        <v/>
      </c>
      <c r="DA146">
        <f>$C146*DA145</f>
        <v/>
      </c>
      <c r="DB146">
        <f>$C146*DB145</f>
        <v/>
      </c>
      <c r="DC146">
        <f>$C146*DC145</f>
        <v/>
      </c>
    </row>
    <row r="147">
      <c r="B147" s="5" t="inlineStr">
        <is>
          <t>合計使用量(kg)/週</t>
        </is>
      </c>
      <c r="D147">
        <f>'Grid_Requirement'!B15</f>
        <v/>
      </c>
      <c r="E147">
        <f>'Grid_Requirement'!C15</f>
        <v/>
      </c>
      <c r="F147">
        <f>'Grid_Requirement'!D15</f>
        <v/>
      </c>
      <c r="G147">
        <f>'Grid_Requirement'!E15</f>
        <v/>
      </c>
      <c r="H147">
        <f>'Grid_Requirement'!F15</f>
        <v/>
      </c>
      <c r="I147">
        <f>'Grid_Requirement'!G15</f>
        <v/>
      </c>
      <c r="J147">
        <f>'Grid_Requirement'!H15</f>
        <v/>
      </c>
      <c r="K147">
        <f>'Grid_Requirement'!I15</f>
        <v/>
      </c>
      <c r="L147">
        <f>'Grid_Requirement'!J15</f>
        <v/>
      </c>
      <c r="M147">
        <f>'Grid_Requirement'!K15</f>
        <v/>
      </c>
      <c r="N147">
        <f>'Grid_Requirement'!L15</f>
        <v/>
      </c>
      <c r="O147">
        <f>'Grid_Requirement'!M15</f>
        <v/>
      </c>
      <c r="P147">
        <f>'Grid_Requirement'!N15</f>
        <v/>
      </c>
      <c r="Q147">
        <f>'Grid_Requirement'!O15</f>
        <v/>
      </c>
      <c r="R147">
        <f>'Grid_Requirement'!P15</f>
        <v/>
      </c>
      <c r="S147">
        <f>'Grid_Requirement'!Q15</f>
        <v/>
      </c>
      <c r="T147">
        <f>'Grid_Requirement'!R15</f>
        <v/>
      </c>
      <c r="U147">
        <f>'Grid_Requirement'!S15</f>
        <v/>
      </c>
      <c r="V147">
        <f>'Grid_Requirement'!T15</f>
        <v/>
      </c>
      <c r="W147">
        <f>'Grid_Requirement'!U15</f>
        <v/>
      </c>
      <c r="X147">
        <f>'Grid_Requirement'!V15</f>
        <v/>
      </c>
      <c r="Y147">
        <f>'Grid_Requirement'!W15</f>
        <v/>
      </c>
      <c r="Z147">
        <f>'Grid_Requirement'!X15</f>
        <v/>
      </c>
      <c r="AA147">
        <f>'Grid_Requirement'!Y15</f>
        <v/>
      </c>
      <c r="AB147">
        <f>'Grid_Requirement'!Z15</f>
        <v/>
      </c>
      <c r="AC147">
        <f>'Grid_Requirement'!AA15</f>
        <v/>
      </c>
      <c r="AD147">
        <f>'Grid_Requirement'!AB15</f>
        <v/>
      </c>
      <c r="AE147">
        <f>'Grid_Requirement'!AC15</f>
        <v/>
      </c>
      <c r="AF147">
        <f>'Grid_Requirement'!AD15</f>
        <v/>
      </c>
      <c r="AG147">
        <f>'Grid_Requirement'!AE15</f>
        <v/>
      </c>
      <c r="AH147">
        <f>'Grid_Requirement'!AF15</f>
        <v/>
      </c>
      <c r="AI147">
        <f>'Grid_Requirement'!AG15</f>
        <v/>
      </c>
      <c r="AJ147">
        <f>'Grid_Requirement'!AH15</f>
        <v/>
      </c>
      <c r="AK147">
        <f>'Grid_Requirement'!AI15</f>
        <v/>
      </c>
      <c r="AL147">
        <f>'Grid_Requirement'!AJ15</f>
        <v/>
      </c>
      <c r="AM147">
        <f>'Grid_Requirement'!AK15</f>
        <v/>
      </c>
      <c r="AN147">
        <f>'Grid_Requirement'!AL15</f>
        <v/>
      </c>
      <c r="AO147">
        <f>'Grid_Requirement'!AM15</f>
        <v/>
      </c>
      <c r="AP147">
        <f>'Grid_Requirement'!AN15</f>
        <v/>
      </c>
      <c r="AQ147">
        <f>'Grid_Requirement'!AO15</f>
        <v/>
      </c>
      <c r="AR147">
        <f>'Grid_Requirement'!AP15</f>
        <v/>
      </c>
      <c r="AS147">
        <f>'Grid_Requirement'!AQ15</f>
        <v/>
      </c>
      <c r="AT147">
        <f>'Grid_Requirement'!AR15</f>
        <v/>
      </c>
      <c r="AU147">
        <f>'Grid_Requirement'!AS15</f>
        <v/>
      </c>
      <c r="AV147">
        <f>'Grid_Requirement'!AT15</f>
        <v/>
      </c>
      <c r="AW147">
        <f>'Grid_Requirement'!AU15</f>
        <v/>
      </c>
      <c r="AX147">
        <f>'Grid_Requirement'!AV15</f>
        <v/>
      </c>
      <c r="AY147">
        <f>'Grid_Requirement'!AW15</f>
        <v/>
      </c>
      <c r="AZ147">
        <f>'Grid_Requirement'!AX15</f>
        <v/>
      </c>
      <c r="BA147">
        <f>'Grid_Requirement'!AY15</f>
        <v/>
      </c>
      <c r="BB147">
        <f>'Grid_Requirement'!AZ15</f>
        <v/>
      </c>
      <c r="BC147">
        <f>'Grid_Requirement'!BA15</f>
        <v/>
      </c>
      <c r="BD147">
        <f>'Grid_Requirement'!BB15</f>
        <v/>
      </c>
      <c r="BE147">
        <f>'Grid_Requirement'!BC15</f>
        <v/>
      </c>
      <c r="BF147">
        <f>'Grid_Requirement'!BD15</f>
        <v/>
      </c>
      <c r="BG147">
        <f>'Grid_Requirement'!BE15</f>
        <v/>
      </c>
      <c r="BH147">
        <f>'Grid_Requirement'!BF15</f>
        <v/>
      </c>
      <c r="BI147">
        <f>'Grid_Requirement'!BG15</f>
        <v/>
      </c>
      <c r="BJ147">
        <f>'Grid_Requirement'!BH15</f>
        <v/>
      </c>
      <c r="BK147">
        <f>'Grid_Requirement'!BI15</f>
        <v/>
      </c>
      <c r="BL147">
        <f>'Grid_Requirement'!BJ15</f>
        <v/>
      </c>
      <c r="BM147">
        <f>'Grid_Requirement'!BK15</f>
        <v/>
      </c>
      <c r="BN147">
        <f>'Grid_Requirement'!BL15</f>
        <v/>
      </c>
      <c r="BO147">
        <f>'Grid_Requirement'!BM15</f>
        <v/>
      </c>
      <c r="BP147">
        <f>'Grid_Requirement'!BN15</f>
        <v/>
      </c>
      <c r="BQ147">
        <f>'Grid_Requirement'!BO15</f>
        <v/>
      </c>
      <c r="BR147">
        <f>'Grid_Requirement'!BP15</f>
        <v/>
      </c>
      <c r="BS147">
        <f>'Grid_Requirement'!BQ15</f>
        <v/>
      </c>
      <c r="BT147">
        <f>'Grid_Requirement'!BR15</f>
        <v/>
      </c>
      <c r="BU147">
        <f>'Grid_Requirement'!BS15</f>
        <v/>
      </c>
      <c r="BV147">
        <f>'Grid_Requirement'!BT15</f>
        <v/>
      </c>
      <c r="BW147">
        <f>'Grid_Requirement'!BU15</f>
        <v/>
      </c>
      <c r="BX147">
        <f>'Grid_Requirement'!BV15</f>
        <v/>
      </c>
      <c r="BY147">
        <f>'Grid_Requirement'!BW15</f>
        <v/>
      </c>
      <c r="BZ147">
        <f>'Grid_Requirement'!BX15</f>
        <v/>
      </c>
      <c r="CA147">
        <f>'Grid_Requirement'!BY15</f>
        <v/>
      </c>
      <c r="CB147">
        <f>'Grid_Requirement'!BZ15</f>
        <v/>
      </c>
      <c r="CC147">
        <f>'Grid_Requirement'!CA15</f>
        <v/>
      </c>
      <c r="CD147">
        <f>'Grid_Requirement'!CB15</f>
        <v/>
      </c>
      <c r="CE147">
        <f>'Grid_Requirement'!CC15</f>
        <v/>
      </c>
      <c r="CF147">
        <f>'Grid_Requirement'!CD15</f>
        <v/>
      </c>
      <c r="CG147">
        <f>'Grid_Requirement'!CE15</f>
        <v/>
      </c>
      <c r="CH147">
        <f>'Grid_Requirement'!CF15</f>
        <v/>
      </c>
      <c r="CI147">
        <f>'Grid_Requirement'!CG15</f>
        <v/>
      </c>
      <c r="CJ147">
        <f>'Grid_Requirement'!CH15</f>
        <v/>
      </c>
      <c r="CK147">
        <f>'Grid_Requirement'!CI15</f>
        <v/>
      </c>
      <c r="CL147">
        <f>'Grid_Requirement'!CJ15</f>
        <v/>
      </c>
      <c r="CM147">
        <f>'Grid_Requirement'!CK15</f>
        <v/>
      </c>
      <c r="CN147">
        <f>'Grid_Requirement'!CL15</f>
        <v/>
      </c>
      <c r="CO147">
        <f>'Grid_Requirement'!CM15</f>
        <v/>
      </c>
      <c r="CP147">
        <f>'Grid_Requirement'!CN15</f>
        <v/>
      </c>
      <c r="CQ147">
        <f>'Grid_Requirement'!CO15</f>
        <v/>
      </c>
      <c r="CR147">
        <f>'Grid_Requirement'!CP15</f>
        <v/>
      </c>
      <c r="CS147">
        <f>'Grid_Requirement'!CQ15</f>
        <v/>
      </c>
      <c r="CT147">
        <f>'Grid_Requirement'!CR15</f>
        <v/>
      </c>
      <c r="CU147">
        <f>'Grid_Requirement'!CS15</f>
        <v/>
      </c>
      <c r="CV147">
        <f>'Grid_Requirement'!CT15</f>
        <v/>
      </c>
      <c r="CW147">
        <f>'Grid_Requirement'!CU15</f>
        <v/>
      </c>
      <c r="CX147">
        <f>'Grid_Requirement'!CV15</f>
        <v/>
      </c>
      <c r="CY147">
        <f>'Grid_Requirement'!CW15</f>
        <v/>
      </c>
      <c r="CZ147">
        <f>'Grid_Requirement'!CX15</f>
        <v/>
      </c>
      <c r="DA147">
        <f>'Grid_Requirement'!CY15</f>
        <v/>
      </c>
      <c r="DB147">
        <f>'Grid_Requirement'!CZ15</f>
        <v/>
      </c>
      <c r="DC147">
        <f>'Grid_Requirement'!DA15</f>
        <v/>
      </c>
    </row>
    <row r="148">
      <c r="B148" t="inlineStr">
        <is>
          <t>TTAF在庫(実績,kg)</t>
        </is>
      </c>
      <c r="D148">
        <f>'T_TTAFStock'!B19</f>
        <v/>
      </c>
      <c r="E148">
        <f>'T_TTAFStock'!C19</f>
        <v/>
      </c>
      <c r="F148">
        <f>'T_TTAFStock'!D19</f>
        <v/>
      </c>
      <c r="G148">
        <f>'T_TTAFStock'!E19</f>
        <v/>
      </c>
      <c r="H148">
        <f>'T_TTAFStock'!F19</f>
        <v/>
      </c>
      <c r="I148">
        <f>'T_TTAFStock'!G19</f>
        <v/>
      </c>
      <c r="J148">
        <f>'T_TTAFStock'!H19</f>
        <v/>
      </c>
      <c r="K148">
        <f>'T_TTAFStock'!I19</f>
        <v/>
      </c>
      <c r="L148">
        <f>'T_TTAFStock'!J19</f>
        <v/>
      </c>
      <c r="M148">
        <f>'T_TTAFStock'!K19</f>
        <v/>
      </c>
      <c r="N148">
        <f>'T_TTAFStock'!L19</f>
        <v/>
      </c>
      <c r="O148">
        <f>'T_TTAFStock'!M19</f>
        <v/>
      </c>
      <c r="P148">
        <f>'T_TTAFStock'!N19</f>
        <v/>
      </c>
      <c r="Q148">
        <f>'T_TTAFStock'!O19</f>
        <v/>
      </c>
      <c r="R148">
        <f>'T_TTAFStock'!P19</f>
        <v/>
      </c>
      <c r="S148">
        <f>'T_TTAFStock'!Q19</f>
        <v/>
      </c>
      <c r="T148">
        <f>'T_TTAFStock'!R19</f>
        <v/>
      </c>
      <c r="U148">
        <f>'T_TTAFStock'!S19</f>
        <v/>
      </c>
      <c r="V148">
        <f>'T_TTAFStock'!T19</f>
        <v/>
      </c>
      <c r="W148">
        <f>'T_TTAFStock'!U19</f>
        <v/>
      </c>
      <c r="X148">
        <f>'T_TTAFStock'!V19</f>
        <v/>
      </c>
      <c r="Y148">
        <f>'T_TTAFStock'!W19</f>
        <v/>
      </c>
      <c r="Z148">
        <f>'T_TTAFStock'!X19</f>
        <v/>
      </c>
      <c r="AA148">
        <f>'T_TTAFStock'!Y19</f>
        <v/>
      </c>
      <c r="AB148">
        <f>'T_TTAFStock'!Z19</f>
        <v/>
      </c>
      <c r="AC148">
        <f>'T_TTAFStock'!AA19</f>
        <v/>
      </c>
      <c r="AD148">
        <f>'T_TTAFStock'!AB19</f>
        <v/>
      </c>
      <c r="AE148">
        <f>'T_TTAFStock'!AC19</f>
        <v/>
      </c>
      <c r="AF148">
        <f>'T_TTAFStock'!AD19</f>
        <v/>
      </c>
      <c r="AG148">
        <f>'T_TTAFStock'!AE19</f>
        <v/>
      </c>
      <c r="AH148">
        <f>'T_TTAFStock'!AF19</f>
        <v/>
      </c>
      <c r="AI148">
        <f>'T_TTAFStock'!AG19</f>
        <v/>
      </c>
      <c r="AJ148">
        <f>'T_TTAFStock'!AH19</f>
        <v/>
      </c>
      <c r="AK148">
        <f>'T_TTAFStock'!AI19</f>
        <v/>
      </c>
      <c r="AL148">
        <f>'T_TTAFStock'!AJ19</f>
        <v/>
      </c>
      <c r="AM148">
        <f>'T_TTAFStock'!AK19</f>
        <v/>
      </c>
      <c r="AN148">
        <f>'T_TTAFStock'!AL19</f>
        <v/>
      </c>
      <c r="AO148">
        <f>'T_TTAFStock'!AM19</f>
        <v/>
      </c>
      <c r="AP148">
        <f>'T_TTAFStock'!AN19</f>
        <v/>
      </c>
      <c r="AQ148">
        <f>'T_TTAFStock'!AO19</f>
        <v/>
      </c>
      <c r="AR148">
        <f>'T_TTAFStock'!AP19</f>
        <v/>
      </c>
      <c r="AS148">
        <f>'T_TTAFStock'!AQ19</f>
        <v/>
      </c>
      <c r="AT148">
        <f>'T_TTAFStock'!AR19</f>
        <v/>
      </c>
      <c r="AU148">
        <f>'T_TTAFStock'!AS19</f>
        <v/>
      </c>
      <c r="AV148">
        <f>'T_TTAFStock'!AT19</f>
        <v/>
      </c>
      <c r="AW148">
        <f>'T_TTAFStock'!AU19</f>
        <v/>
      </c>
      <c r="AX148">
        <f>'T_TTAFStock'!AV19</f>
        <v/>
      </c>
      <c r="AY148">
        <f>'T_TTAFStock'!AW19</f>
        <v/>
      </c>
      <c r="AZ148">
        <f>'T_TTAFStock'!AX19</f>
        <v/>
      </c>
      <c r="BA148">
        <f>'T_TTAFStock'!AY19</f>
        <v/>
      </c>
      <c r="BB148">
        <f>'T_TTAFStock'!AZ19</f>
        <v/>
      </c>
      <c r="BC148">
        <f>'T_TTAFStock'!BA19</f>
        <v/>
      </c>
      <c r="BD148">
        <f>'T_TTAFStock'!BB19</f>
        <v/>
      </c>
      <c r="BE148">
        <f>'T_TTAFStock'!BC19</f>
        <v/>
      </c>
      <c r="BF148">
        <f>'T_TTAFStock'!BD19</f>
        <v/>
      </c>
      <c r="BG148">
        <f>'T_TTAFStock'!BE19</f>
        <v/>
      </c>
      <c r="BH148">
        <f>'T_TTAFStock'!BF19</f>
        <v/>
      </c>
      <c r="BI148">
        <f>'T_TTAFStock'!BG19</f>
        <v/>
      </c>
      <c r="BJ148">
        <f>'T_TTAFStock'!BH19</f>
        <v/>
      </c>
      <c r="BK148">
        <f>'T_TTAFStock'!BI19</f>
        <v/>
      </c>
      <c r="BL148">
        <f>'T_TTAFStock'!BJ19</f>
        <v/>
      </c>
      <c r="BM148">
        <f>'T_TTAFStock'!BK19</f>
        <v/>
      </c>
      <c r="BN148">
        <f>'T_TTAFStock'!BL19</f>
        <v/>
      </c>
      <c r="BO148">
        <f>'T_TTAFStock'!BM19</f>
        <v/>
      </c>
      <c r="BP148">
        <f>'T_TTAFStock'!BN19</f>
        <v/>
      </c>
      <c r="BQ148">
        <f>'T_TTAFStock'!BO19</f>
        <v/>
      </c>
      <c r="BR148">
        <f>'T_TTAFStock'!BP19</f>
        <v/>
      </c>
      <c r="BS148">
        <f>'T_TTAFStock'!BQ19</f>
        <v/>
      </c>
      <c r="BT148">
        <f>'T_TTAFStock'!BR19</f>
        <v/>
      </c>
      <c r="BU148">
        <f>'T_TTAFStock'!BS19</f>
        <v/>
      </c>
      <c r="BV148">
        <f>'T_TTAFStock'!BT19</f>
        <v/>
      </c>
      <c r="BW148">
        <f>'T_TTAFStock'!BU19</f>
        <v/>
      </c>
      <c r="BX148">
        <f>'T_TTAFStock'!BV19</f>
        <v/>
      </c>
      <c r="BY148">
        <f>'T_TTAFStock'!BW19</f>
        <v/>
      </c>
      <c r="BZ148">
        <f>'T_TTAFStock'!BX19</f>
        <v/>
      </c>
      <c r="CA148">
        <f>'T_TTAFStock'!BY19</f>
        <v/>
      </c>
      <c r="CB148">
        <f>'T_TTAFStock'!BZ19</f>
        <v/>
      </c>
      <c r="CC148">
        <f>'T_TTAFStock'!CA19</f>
        <v/>
      </c>
      <c r="CD148">
        <f>'T_TTAFStock'!CB19</f>
        <v/>
      </c>
      <c r="CE148">
        <f>'T_TTAFStock'!CC19</f>
        <v/>
      </c>
      <c r="CF148">
        <f>'T_TTAFStock'!CD19</f>
        <v/>
      </c>
      <c r="CG148">
        <f>'T_TTAFStock'!CE19</f>
        <v/>
      </c>
      <c r="CH148">
        <f>'T_TTAFStock'!CF19</f>
        <v/>
      </c>
      <c r="CI148">
        <f>'T_TTAFStock'!CG19</f>
        <v/>
      </c>
      <c r="CJ148">
        <f>'T_TTAFStock'!CH19</f>
        <v/>
      </c>
      <c r="CK148">
        <f>'T_TTAFStock'!CI19</f>
        <v/>
      </c>
      <c r="CL148">
        <f>'T_TTAFStock'!CJ19</f>
        <v/>
      </c>
      <c r="CM148">
        <f>'T_TTAFStock'!CK19</f>
        <v/>
      </c>
      <c r="CN148">
        <f>'T_TTAFStock'!CL19</f>
        <v/>
      </c>
      <c r="CO148">
        <f>'T_TTAFStock'!CM19</f>
        <v/>
      </c>
      <c r="CP148">
        <f>'T_TTAFStock'!CN19</f>
        <v/>
      </c>
      <c r="CQ148">
        <f>'T_TTAFStock'!CO19</f>
        <v/>
      </c>
      <c r="CR148">
        <f>'T_TTAFStock'!CP19</f>
        <v/>
      </c>
      <c r="CS148">
        <f>'T_TTAFStock'!CQ19</f>
        <v/>
      </c>
      <c r="CT148">
        <f>'T_TTAFStock'!CR19</f>
        <v/>
      </c>
      <c r="CU148">
        <f>'T_TTAFStock'!CS19</f>
        <v/>
      </c>
      <c r="CV148">
        <f>'T_TTAFStock'!CT19</f>
        <v/>
      </c>
      <c r="CW148">
        <f>'T_TTAFStock'!CU19</f>
        <v/>
      </c>
      <c r="CX148">
        <f>'T_TTAFStock'!CV19</f>
        <v/>
      </c>
      <c r="CY148">
        <f>'T_TTAFStock'!CW19</f>
        <v/>
      </c>
      <c r="CZ148">
        <f>'T_TTAFStock'!CX19</f>
        <v/>
      </c>
      <c r="DA148">
        <f>'T_TTAFStock'!CY19</f>
        <v/>
      </c>
      <c r="DB148">
        <f>'T_TTAFStock'!CZ19</f>
        <v/>
      </c>
      <c r="DC148">
        <f>'T_TTAFStock'!DA19</f>
        <v/>
      </c>
    </row>
    <row r="149">
      <c r="B149" t="inlineStr">
        <is>
          <t>自社在庫(実績,kg)</t>
        </is>
      </c>
      <c r="D149">
        <f>'T_SelfStock'!B19</f>
        <v/>
      </c>
      <c r="E149">
        <f>'T_SelfStock'!C19</f>
        <v/>
      </c>
      <c r="F149">
        <f>'T_SelfStock'!D19</f>
        <v/>
      </c>
      <c r="G149">
        <f>'T_SelfStock'!E19</f>
        <v/>
      </c>
      <c r="H149">
        <f>'T_SelfStock'!F19</f>
        <v/>
      </c>
      <c r="I149">
        <f>'T_SelfStock'!G19</f>
        <v/>
      </c>
      <c r="J149">
        <f>'T_SelfStock'!H19</f>
        <v/>
      </c>
      <c r="K149">
        <f>'T_SelfStock'!I19</f>
        <v/>
      </c>
      <c r="L149">
        <f>'T_SelfStock'!J19</f>
        <v/>
      </c>
      <c r="M149">
        <f>'T_SelfStock'!K19</f>
        <v/>
      </c>
      <c r="N149">
        <f>'T_SelfStock'!L19</f>
        <v/>
      </c>
      <c r="O149">
        <f>'T_SelfStock'!M19</f>
        <v/>
      </c>
      <c r="P149">
        <f>'T_SelfStock'!N19</f>
        <v/>
      </c>
      <c r="Q149">
        <f>'T_SelfStock'!O19</f>
        <v/>
      </c>
      <c r="R149">
        <f>'T_SelfStock'!P19</f>
        <v/>
      </c>
      <c r="S149">
        <f>'T_SelfStock'!Q19</f>
        <v/>
      </c>
      <c r="T149">
        <f>'T_SelfStock'!R19</f>
        <v/>
      </c>
      <c r="U149">
        <f>'T_SelfStock'!S19</f>
        <v/>
      </c>
      <c r="V149">
        <f>'T_SelfStock'!T19</f>
        <v/>
      </c>
      <c r="W149">
        <f>'T_SelfStock'!U19</f>
        <v/>
      </c>
      <c r="X149">
        <f>'T_SelfStock'!V19</f>
        <v/>
      </c>
      <c r="Y149">
        <f>'T_SelfStock'!W19</f>
        <v/>
      </c>
      <c r="Z149">
        <f>'T_SelfStock'!X19</f>
        <v/>
      </c>
      <c r="AA149">
        <f>'T_SelfStock'!Y19</f>
        <v/>
      </c>
      <c r="AB149">
        <f>'T_SelfStock'!Z19</f>
        <v/>
      </c>
      <c r="AC149">
        <f>'T_SelfStock'!AA19</f>
        <v/>
      </c>
      <c r="AD149">
        <f>'T_SelfStock'!AB19</f>
        <v/>
      </c>
      <c r="AE149">
        <f>'T_SelfStock'!AC19</f>
        <v/>
      </c>
      <c r="AF149">
        <f>'T_SelfStock'!AD19</f>
        <v/>
      </c>
      <c r="AG149">
        <f>'T_SelfStock'!AE19</f>
        <v/>
      </c>
      <c r="AH149">
        <f>'T_SelfStock'!AF19</f>
        <v/>
      </c>
      <c r="AI149">
        <f>'T_SelfStock'!AG19</f>
        <v/>
      </c>
      <c r="AJ149">
        <f>'T_SelfStock'!AH19</f>
        <v/>
      </c>
      <c r="AK149">
        <f>'T_SelfStock'!AI19</f>
        <v/>
      </c>
      <c r="AL149">
        <f>'T_SelfStock'!AJ19</f>
        <v/>
      </c>
      <c r="AM149">
        <f>'T_SelfStock'!AK19</f>
        <v/>
      </c>
      <c r="AN149">
        <f>'T_SelfStock'!AL19</f>
        <v/>
      </c>
      <c r="AO149">
        <f>'T_SelfStock'!AM19</f>
        <v/>
      </c>
      <c r="AP149">
        <f>'T_SelfStock'!AN19</f>
        <v/>
      </c>
      <c r="AQ149">
        <f>'T_SelfStock'!AO19</f>
        <v/>
      </c>
      <c r="AR149">
        <f>'T_SelfStock'!AP19</f>
        <v/>
      </c>
      <c r="AS149">
        <f>'T_SelfStock'!AQ19</f>
        <v/>
      </c>
      <c r="AT149">
        <f>'T_SelfStock'!AR19</f>
        <v/>
      </c>
      <c r="AU149">
        <f>'T_SelfStock'!AS19</f>
        <v/>
      </c>
      <c r="AV149">
        <f>'T_SelfStock'!AT19</f>
        <v/>
      </c>
      <c r="AW149">
        <f>'T_SelfStock'!AU19</f>
        <v/>
      </c>
      <c r="AX149">
        <f>'T_SelfStock'!AV19</f>
        <v/>
      </c>
      <c r="AY149">
        <f>'T_SelfStock'!AW19</f>
        <v/>
      </c>
      <c r="AZ149">
        <f>'T_SelfStock'!AX19</f>
        <v/>
      </c>
      <c r="BA149">
        <f>'T_SelfStock'!AY19</f>
        <v/>
      </c>
      <c r="BB149">
        <f>'T_SelfStock'!AZ19</f>
        <v/>
      </c>
      <c r="BC149">
        <f>'T_SelfStock'!BA19</f>
        <v/>
      </c>
      <c r="BD149">
        <f>'T_SelfStock'!BB19</f>
        <v/>
      </c>
      <c r="BE149">
        <f>'T_SelfStock'!BC19</f>
        <v/>
      </c>
      <c r="BF149">
        <f>'T_SelfStock'!BD19</f>
        <v/>
      </c>
      <c r="BG149">
        <f>'T_SelfStock'!BE19</f>
        <v/>
      </c>
      <c r="BH149">
        <f>'T_SelfStock'!BF19</f>
        <v/>
      </c>
      <c r="BI149">
        <f>'T_SelfStock'!BG19</f>
        <v/>
      </c>
      <c r="BJ149">
        <f>'T_SelfStock'!BH19</f>
        <v/>
      </c>
      <c r="BK149">
        <f>'T_SelfStock'!BI19</f>
        <v/>
      </c>
      <c r="BL149">
        <f>'T_SelfStock'!BJ19</f>
        <v/>
      </c>
      <c r="BM149">
        <f>'T_SelfStock'!BK19</f>
        <v/>
      </c>
      <c r="BN149">
        <f>'T_SelfStock'!BL19</f>
        <v/>
      </c>
      <c r="BO149">
        <f>'T_SelfStock'!BM19</f>
        <v/>
      </c>
      <c r="BP149">
        <f>'T_SelfStock'!BN19</f>
        <v/>
      </c>
      <c r="BQ149">
        <f>'T_SelfStock'!BO19</f>
        <v/>
      </c>
      <c r="BR149">
        <f>'T_SelfStock'!BP19</f>
        <v/>
      </c>
      <c r="BS149">
        <f>'T_SelfStock'!BQ19</f>
        <v/>
      </c>
      <c r="BT149">
        <f>'T_SelfStock'!BR19</f>
        <v/>
      </c>
      <c r="BU149">
        <f>'T_SelfStock'!BS19</f>
        <v/>
      </c>
      <c r="BV149">
        <f>'T_SelfStock'!BT19</f>
        <v/>
      </c>
      <c r="BW149">
        <f>'T_SelfStock'!BU19</f>
        <v/>
      </c>
      <c r="BX149">
        <f>'T_SelfStock'!BV19</f>
        <v/>
      </c>
      <c r="BY149">
        <f>'T_SelfStock'!BW19</f>
        <v/>
      </c>
      <c r="BZ149">
        <f>'T_SelfStock'!BX19</f>
        <v/>
      </c>
      <c r="CA149">
        <f>'T_SelfStock'!BY19</f>
        <v/>
      </c>
      <c r="CB149">
        <f>'T_SelfStock'!BZ19</f>
        <v/>
      </c>
      <c r="CC149">
        <f>'T_SelfStock'!CA19</f>
        <v/>
      </c>
      <c r="CD149">
        <f>'T_SelfStock'!CB19</f>
        <v/>
      </c>
      <c r="CE149">
        <f>'T_SelfStock'!CC19</f>
        <v/>
      </c>
      <c r="CF149">
        <f>'T_SelfStock'!CD19</f>
        <v/>
      </c>
      <c r="CG149">
        <f>'T_SelfStock'!CE19</f>
        <v/>
      </c>
      <c r="CH149">
        <f>'T_SelfStock'!CF19</f>
        <v/>
      </c>
      <c r="CI149">
        <f>'T_SelfStock'!CG19</f>
        <v/>
      </c>
      <c r="CJ149">
        <f>'T_SelfStock'!CH19</f>
        <v/>
      </c>
      <c r="CK149">
        <f>'T_SelfStock'!CI19</f>
        <v/>
      </c>
      <c r="CL149">
        <f>'T_SelfStock'!CJ19</f>
        <v/>
      </c>
      <c r="CM149">
        <f>'T_SelfStock'!CK19</f>
        <v/>
      </c>
      <c r="CN149">
        <f>'T_SelfStock'!CL19</f>
        <v/>
      </c>
      <c r="CO149">
        <f>'T_SelfStock'!CM19</f>
        <v/>
      </c>
      <c r="CP149">
        <f>'T_SelfStock'!CN19</f>
        <v/>
      </c>
      <c r="CQ149">
        <f>'T_SelfStock'!CO19</f>
        <v/>
      </c>
      <c r="CR149">
        <f>'T_SelfStock'!CP19</f>
        <v/>
      </c>
      <c r="CS149">
        <f>'T_SelfStock'!CQ19</f>
        <v/>
      </c>
      <c r="CT149">
        <f>'T_SelfStock'!CR19</f>
        <v/>
      </c>
      <c r="CU149">
        <f>'T_SelfStock'!CS19</f>
        <v/>
      </c>
      <c r="CV149">
        <f>'T_SelfStock'!CT19</f>
        <v/>
      </c>
      <c r="CW149">
        <f>'T_SelfStock'!CU19</f>
        <v/>
      </c>
      <c r="CX149">
        <f>'T_SelfStock'!CV19</f>
        <v/>
      </c>
      <c r="CY149">
        <f>'T_SelfStock'!CW19</f>
        <v/>
      </c>
      <c r="CZ149">
        <f>'T_SelfStock'!CX19</f>
        <v/>
      </c>
      <c r="DA149">
        <f>'T_SelfStock'!CY19</f>
        <v/>
      </c>
      <c r="DB149">
        <f>'T_SelfStock'!CZ19</f>
        <v/>
      </c>
      <c r="DC149">
        <f>'T_SelfStock'!DA19</f>
        <v/>
      </c>
    </row>
    <row r="150">
      <c r="B150" t="inlineStr">
        <is>
          <t>Order(発注予定,kg)</t>
        </is>
      </c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  <c r="AD150" s="23" t="n"/>
      <c r="AE150" s="23" t="n"/>
      <c r="AF150" s="23" t="n"/>
      <c r="AG150" s="23" t="n"/>
      <c r="AH150" s="23" t="n"/>
      <c r="AI150" s="23" t="n"/>
      <c r="AJ150" s="23" t="n"/>
      <c r="AK150" s="23" t="n"/>
      <c r="AL150" s="23" t="n"/>
      <c r="AM150" s="23" t="n"/>
      <c r="AN150" s="23" t="n"/>
      <c r="AO150" s="23" t="n"/>
      <c r="AP150" s="23" t="n"/>
      <c r="AQ150" s="23" t="n"/>
      <c r="AR150" s="23" t="n"/>
      <c r="AS150" s="23" t="n"/>
      <c r="AT150" s="23" t="n"/>
      <c r="AU150" s="23" t="n"/>
      <c r="AV150" s="23" t="n"/>
      <c r="AW150" s="23" t="n"/>
      <c r="AX150" s="23" t="n"/>
      <c r="AY150" s="23" t="n"/>
      <c r="AZ150" s="23" t="n"/>
      <c r="BA150" s="23" t="n"/>
      <c r="BB150" s="23" t="n"/>
      <c r="BC150" s="23" t="n"/>
      <c r="BD150" s="23" t="n"/>
      <c r="BE150" s="23" t="n"/>
      <c r="BF150" s="23" t="n"/>
      <c r="BG150" s="23" t="n"/>
      <c r="BH150" s="23" t="n"/>
      <c r="BI150" s="23" t="n"/>
      <c r="BJ150" s="23" t="n"/>
      <c r="BK150" s="23" t="n"/>
      <c r="BL150" s="23" t="n"/>
      <c r="BM150" s="23" t="n"/>
      <c r="BN150" s="23" t="n"/>
      <c r="BO150" s="23" t="n"/>
      <c r="BP150" s="23" t="n"/>
      <c r="BQ150" s="23" t="n"/>
      <c r="BR150" s="23" t="n"/>
      <c r="BS150" s="23" t="n"/>
      <c r="BT150" s="23" t="n"/>
      <c r="BU150" s="23" t="n"/>
      <c r="BV150" s="23" t="n"/>
      <c r="BW150" s="23" t="n"/>
      <c r="BX150" s="23" t="n"/>
      <c r="BY150" s="23" t="n"/>
      <c r="BZ150" s="23" t="n"/>
      <c r="CA150" s="23" t="n"/>
      <c r="CB150" s="23" t="n"/>
      <c r="CC150" s="23" t="n"/>
      <c r="CD150" s="23" t="n"/>
      <c r="CE150" s="23" t="n"/>
      <c r="CF150" s="23" t="n"/>
      <c r="CG150" s="23" t="n"/>
      <c r="CH150" s="23" t="n"/>
      <c r="CI150" s="23" t="n"/>
      <c r="CJ150" s="23" t="n"/>
      <c r="CK150" s="23" t="n"/>
      <c r="CL150" s="23" t="n"/>
      <c r="CM150" s="23" t="n"/>
      <c r="CN150" s="23" t="n"/>
      <c r="CO150" s="23" t="n"/>
      <c r="CP150" s="23" t="n"/>
      <c r="CQ150" s="23" t="n"/>
      <c r="CR150" s="23" t="n"/>
      <c r="CS150" s="23" t="n"/>
      <c r="CT150" s="23" t="n"/>
      <c r="CU150" s="23" t="n"/>
      <c r="CV150" s="23" t="n"/>
      <c r="CW150" s="23" t="n"/>
      <c r="CX150" s="23" t="n"/>
      <c r="CY150" s="23" t="n"/>
      <c r="CZ150" s="23" t="n"/>
      <c r="DA150" s="23" t="n"/>
      <c r="DB150" s="23" t="n"/>
      <c r="DC150" s="23" t="n"/>
      <c r="DE150" s="12" t="inlineStr">
        <is>
          <t>5SN</t>
        </is>
      </c>
    </row>
    <row r="151">
      <c r="B151" s="24" t="inlineStr">
        <is>
          <t>PO_No</t>
        </is>
      </c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  <c r="AD151" s="25" t="n"/>
      <c r="AE151" s="25" t="n"/>
      <c r="AF151" s="25" t="n"/>
      <c r="AG151" s="25" t="n"/>
      <c r="AH151" s="25" t="n"/>
      <c r="AI151" s="25" t="n"/>
      <c r="AJ151" s="25" t="n"/>
      <c r="AK151" s="25" t="n"/>
      <c r="AL151" s="25" t="n"/>
      <c r="AM151" s="25" t="n"/>
      <c r="AN151" s="25" t="n"/>
      <c r="AO151" s="25" t="n"/>
      <c r="AP151" s="25" t="n"/>
      <c r="AQ151" s="25" t="n"/>
      <c r="AR151" s="25" t="n"/>
      <c r="AS151" s="25" t="n"/>
      <c r="AT151" s="25" t="n"/>
      <c r="AU151" s="25" t="n"/>
      <c r="AV151" s="25" t="n"/>
      <c r="AW151" s="25" t="n"/>
      <c r="AX151" s="25" t="n"/>
      <c r="AY151" s="25" t="n"/>
      <c r="AZ151" s="25" t="n"/>
      <c r="BA151" s="25" t="n"/>
      <c r="BB151" s="25" t="n"/>
      <c r="BC151" s="25" t="n"/>
      <c r="BD151" s="25" t="n"/>
      <c r="BE151" s="25" t="n"/>
      <c r="BF151" s="25" t="n"/>
      <c r="BG151" s="25" t="n"/>
      <c r="BH151" s="25" t="n"/>
      <c r="BI151" s="25" t="n"/>
      <c r="BJ151" s="25" t="n"/>
      <c r="BK151" s="25" t="n"/>
      <c r="BL151" s="25" t="n"/>
      <c r="BM151" s="25" t="n"/>
      <c r="BN151" s="25" t="n"/>
      <c r="BO151" s="25" t="n"/>
      <c r="BP151" s="25" t="n"/>
      <c r="BQ151" s="25" t="n"/>
      <c r="BR151" s="25" t="n"/>
      <c r="BS151" s="25" t="n"/>
      <c r="BT151" s="25" t="n"/>
      <c r="BU151" s="25" t="n"/>
      <c r="BV151" s="25" t="n"/>
      <c r="BW151" s="25" t="n"/>
      <c r="BX151" s="25" t="n"/>
      <c r="BY151" s="25" t="n"/>
      <c r="BZ151" s="25" t="n"/>
      <c r="CA151" s="25" t="n"/>
      <c r="CB151" s="25" t="n"/>
      <c r="CC151" s="25" t="n"/>
      <c r="CD151" s="25" t="n"/>
      <c r="CE151" s="25" t="n"/>
      <c r="CF151" s="25" t="n"/>
      <c r="CG151" s="25" t="n"/>
      <c r="CH151" s="25" t="n"/>
      <c r="CI151" s="25" t="n"/>
      <c r="CJ151" s="25" t="n"/>
      <c r="CK151" s="25" t="n"/>
      <c r="CL151" s="25" t="n"/>
      <c r="CM151" s="25" t="n"/>
      <c r="CN151" s="25" t="n"/>
      <c r="CO151" s="25" t="n"/>
      <c r="CP151" s="25" t="n"/>
      <c r="CQ151" s="25" t="n"/>
      <c r="CR151" s="25" t="n"/>
      <c r="CS151" s="25" t="n"/>
      <c r="CT151" s="25" t="n"/>
      <c r="CU151" s="25" t="n"/>
      <c r="CV151" s="25" t="n"/>
      <c r="CW151" s="25" t="n"/>
      <c r="CX151" s="25" t="n"/>
      <c r="CY151" s="25" t="n"/>
      <c r="CZ151" s="25" t="n"/>
      <c r="DA151" s="25" t="n"/>
      <c r="DB151" s="25" t="n"/>
      <c r="DC151" s="25" t="n"/>
    </row>
    <row r="152">
      <c r="B152" s="5" t="inlineStr">
        <is>
          <t>合計在庫(週末時点,kg)</t>
        </is>
      </c>
      <c r="D152">
        <f>'Grid_Stock'!B15</f>
        <v/>
      </c>
      <c r="E152">
        <f>'Grid_Stock'!C15</f>
        <v/>
      </c>
      <c r="F152">
        <f>'Grid_Stock'!D15</f>
        <v/>
      </c>
      <c r="G152">
        <f>'Grid_Stock'!E15</f>
        <v/>
      </c>
      <c r="H152">
        <f>'Grid_Stock'!F15</f>
        <v/>
      </c>
      <c r="I152">
        <f>'Grid_Stock'!G15</f>
        <v/>
      </c>
      <c r="J152">
        <f>'Grid_Stock'!H15</f>
        <v/>
      </c>
      <c r="K152">
        <f>'Grid_Stock'!I15</f>
        <v/>
      </c>
      <c r="L152">
        <f>'Grid_Stock'!J15</f>
        <v/>
      </c>
      <c r="M152">
        <f>'Grid_Stock'!K15</f>
        <v/>
      </c>
      <c r="N152">
        <f>'Grid_Stock'!L15</f>
        <v/>
      </c>
      <c r="O152">
        <f>'Grid_Stock'!M15</f>
        <v/>
      </c>
      <c r="P152">
        <f>'Grid_Stock'!N15</f>
        <v/>
      </c>
      <c r="Q152">
        <f>'Grid_Stock'!O15</f>
        <v/>
      </c>
      <c r="R152">
        <f>'Grid_Stock'!P15</f>
        <v/>
      </c>
      <c r="S152">
        <f>'Grid_Stock'!Q15</f>
        <v/>
      </c>
      <c r="T152">
        <f>'Grid_Stock'!R15</f>
        <v/>
      </c>
      <c r="U152">
        <f>'Grid_Stock'!S15</f>
        <v/>
      </c>
      <c r="V152">
        <f>'Grid_Stock'!T15</f>
        <v/>
      </c>
      <c r="W152">
        <f>'Grid_Stock'!U15</f>
        <v/>
      </c>
      <c r="X152">
        <f>'Grid_Stock'!V15</f>
        <v/>
      </c>
      <c r="Y152">
        <f>'Grid_Stock'!W15</f>
        <v/>
      </c>
      <c r="Z152">
        <f>'Grid_Stock'!X15</f>
        <v/>
      </c>
      <c r="AA152">
        <f>'Grid_Stock'!Y15</f>
        <v/>
      </c>
      <c r="AB152">
        <f>'Grid_Stock'!Z15</f>
        <v/>
      </c>
      <c r="AC152">
        <f>'Grid_Stock'!AA15</f>
        <v/>
      </c>
      <c r="AD152">
        <f>'Grid_Stock'!AB15</f>
        <v/>
      </c>
      <c r="AE152">
        <f>'Grid_Stock'!AC15</f>
        <v/>
      </c>
      <c r="AF152">
        <f>'Grid_Stock'!AD15</f>
        <v/>
      </c>
      <c r="AG152">
        <f>'Grid_Stock'!AE15</f>
        <v/>
      </c>
      <c r="AH152">
        <f>'Grid_Stock'!AF15</f>
        <v/>
      </c>
      <c r="AI152">
        <f>'Grid_Stock'!AG15</f>
        <v/>
      </c>
      <c r="AJ152">
        <f>'Grid_Stock'!AH15</f>
        <v/>
      </c>
      <c r="AK152">
        <f>'Grid_Stock'!AI15</f>
        <v/>
      </c>
      <c r="AL152">
        <f>'Grid_Stock'!AJ15</f>
        <v/>
      </c>
      <c r="AM152">
        <f>'Grid_Stock'!AK15</f>
        <v/>
      </c>
      <c r="AN152">
        <f>'Grid_Stock'!AL15</f>
        <v/>
      </c>
      <c r="AO152">
        <f>'Grid_Stock'!AM15</f>
        <v/>
      </c>
      <c r="AP152">
        <f>'Grid_Stock'!AN15</f>
        <v/>
      </c>
      <c r="AQ152">
        <f>'Grid_Stock'!AO15</f>
        <v/>
      </c>
      <c r="AR152">
        <f>'Grid_Stock'!AP15</f>
        <v/>
      </c>
      <c r="AS152">
        <f>'Grid_Stock'!AQ15</f>
        <v/>
      </c>
      <c r="AT152">
        <f>'Grid_Stock'!AR15</f>
        <v/>
      </c>
      <c r="AU152">
        <f>'Grid_Stock'!AS15</f>
        <v/>
      </c>
      <c r="AV152">
        <f>'Grid_Stock'!AT15</f>
        <v/>
      </c>
      <c r="AW152">
        <f>'Grid_Stock'!AU15</f>
        <v/>
      </c>
      <c r="AX152">
        <f>'Grid_Stock'!AV15</f>
        <v/>
      </c>
      <c r="AY152">
        <f>'Grid_Stock'!AW15</f>
        <v/>
      </c>
      <c r="AZ152">
        <f>'Grid_Stock'!AX15</f>
        <v/>
      </c>
      <c r="BA152">
        <f>'Grid_Stock'!AY15</f>
        <v/>
      </c>
      <c r="BB152">
        <f>'Grid_Stock'!AZ15</f>
        <v/>
      </c>
      <c r="BC152">
        <f>'Grid_Stock'!BA15</f>
        <v/>
      </c>
      <c r="BD152">
        <f>'Grid_Stock'!BB15</f>
        <v/>
      </c>
      <c r="BE152">
        <f>'Grid_Stock'!BC15</f>
        <v/>
      </c>
      <c r="BF152">
        <f>'Grid_Stock'!BD15</f>
        <v/>
      </c>
      <c r="BG152">
        <f>'Grid_Stock'!BE15</f>
        <v/>
      </c>
      <c r="BH152">
        <f>'Grid_Stock'!BF15</f>
        <v/>
      </c>
      <c r="BI152">
        <f>'Grid_Stock'!BG15</f>
        <v/>
      </c>
      <c r="BJ152">
        <f>'Grid_Stock'!BH15</f>
        <v/>
      </c>
      <c r="BK152">
        <f>'Grid_Stock'!BI15</f>
        <v/>
      </c>
      <c r="BL152">
        <f>'Grid_Stock'!BJ15</f>
        <v/>
      </c>
      <c r="BM152">
        <f>'Grid_Stock'!BK15</f>
        <v/>
      </c>
      <c r="BN152">
        <f>'Grid_Stock'!BL15</f>
        <v/>
      </c>
      <c r="BO152">
        <f>'Grid_Stock'!BM15</f>
        <v/>
      </c>
      <c r="BP152">
        <f>'Grid_Stock'!BN15</f>
        <v/>
      </c>
      <c r="BQ152">
        <f>'Grid_Stock'!BO15</f>
        <v/>
      </c>
      <c r="BR152">
        <f>'Grid_Stock'!BP15</f>
        <v/>
      </c>
      <c r="BS152">
        <f>'Grid_Stock'!BQ15</f>
        <v/>
      </c>
      <c r="BT152">
        <f>'Grid_Stock'!BR15</f>
        <v/>
      </c>
      <c r="BU152">
        <f>'Grid_Stock'!BS15</f>
        <v/>
      </c>
      <c r="BV152">
        <f>'Grid_Stock'!BT15</f>
        <v/>
      </c>
      <c r="BW152">
        <f>'Grid_Stock'!BU15</f>
        <v/>
      </c>
      <c r="BX152">
        <f>'Grid_Stock'!BV15</f>
        <v/>
      </c>
      <c r="BY152">
        <f>'Grid_Stock'!BW15</f>
        <v/>
      </c>
      <c r="BZ152">
        <f>'Grid_Stock'!BX15</f>
        <v/>
      </c>
      <c r="CA152">
        <f>'Grid_Stock'!BY15</f>
        <v/>
      </c>
      <c r="CB152">
        <f>'Grid_Stock'!BZ15</f>
        <v/>
      </c>
      <c r="CC152">
        <f>'Grid_Stock'!CA15</f>
        <v/>
      </c>
      <c r="CD152">
        <f>'Grid_Stock'!CB15</f>
        <v/>
      </c>
      <c r="CE152">
        <f>'Grid_Stock'!CC15</f>
        <v/>
      </c>
      <c r="CF152">
        <f>'Grid_Stock'!CD15</f>
        <v/>
      </c>
      <c r="CG152">
        <f>'Grid_Stock'!CE15</f>
        <v/>
      </c>
      <c r="CH152">
        <f>'Grid_Stock'!CF15</f>
        <v/>
      </c>
      <c r="CI152">
        <f>'Grid_Stock'!CG15</f>
        <v/>
      </c>
      <c r="CJ152">
        <f>'Grid_Stock'!CH15</f>
        <v/>
      </c>
      <c r="CK152">
        <f>'Grid_Stock'!CI15</f>
        <v/>
      </c>
      <c r="CL152">
        <f>'Grid_Stock'!CJ15</f>
        <v/>
      </c>
      <c r="CM152">
        <f>'Grid_Stock'!CK15</f>
        <v/>
      </c>
      <c r="CN152">
        <f>'Grid_Stock'!CL15</f>
        <v/>
      </c>
      <c r="CO152">
        <f>'Grid_Stock'!CM15</f>
        <v/>
      </c>
      <c r="CP152">
        <f>'Grid_Stock'!CN15</f>
        <v/>
      </c>
      <c r="CQ152">
        <f>'Grid_Stock'!CO15</f>
        <v/>
      </c>
      <c r="CR152">
        <f>'Grid_Stock'!CP15</f>
        <v/>
      </c>
      <c r="CS152">
        <f>'Grid_Stock'!CQ15</f>
        <v/>
      </c>
      <c r="CT152">
        <f>'Grid_Stock'!CR15</f>
        <v/>
      </c>
      <c r="CU152">
        <f>'Grid_Stock'!CS15</f>
        <v/>
      </c>
      <c r="CV152">
        <f>'Grid_Stock'!CT15</f>
        <v/>
      </c>
      <c r="CW152">
        <f>'Grid_Stock'!CU15</f>
        <v/>
      </c>
      <c r="CX152">
        <f>'Grid_Stock'!CV15</f>
        <v/>
      </c>
      <c r="CY152">
        <f>'Grid_Stock'!CW15</f>
        <v/>
      </c>
      <c r="CZ152">
        <f>'Grid_Stock'!CX15</f>
        <v/>
      </c>
      <c r="DA152">
        <f>'Grid_Stock'!CY15</f>
        <v/>
      </c>
      <c r="DB152">
        <f>'Grid_Stock'!CZ15</f>
        <v/>
      </c>
      <c r="DC152">
        <f>'Grid_Stock'!DA15</f>
        <v/>
      </c>
    </row>
    <row r="153">
      <c r="B153" s="26" t="inlineStr">
        <is>
          <t>（発注の目安はDashboardの基準在庫[下限/上限]と色分けを参照）</t>
        </is>
      </c>
    </row>
    <row r="155">
      <c r="A155" s="21" t="inlineStr">
        <is>
          <t>8EN</t>
        </is>
      </c>
      <c r="B155" s="21" t="inlineStr">
        <is>
          <t>Substrate NGK KFK1D118-152xX1</t>
        </is>
      </c>
      <c r="C155" s="22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  <c r="AO155" s="21" t="n"/>
      <c r="AP155" s="21" t="n"/>
      <c r="AQ155" s="21" t="n"/>
      <c r="AR155" s="21" t="n"/>
      <c r="AS155" s="21" t="n"/>
      <c r="AT155" s="21" t="n"/>
      <c r="AU155" s="21" t="n"/>
      <c r="AV155" s="21" t="n"/>
      <c r="AW155" s="21" t="n"/>
      <c r="AX155" s="21" t="n"/>
      <c r="AY155" s="21" t="n"/>
      <c r="AZ155" s="21" t="n"/>
      <c r="BA155" s="21" t="n"/>
      <c r="BB155" s="21" t="n"/>
      <c r="BC155" s="21" t="n"/>
      <c r="BD155" s="21" t="n"/>
      <c r="BE155" s="21" t="n"/>
      <c r="BF155" s="21" t="n"/>
      <c r="BG155" s="21" t="n"/>
      <c r="BH155" s="21" t="n"/>
      <c r="BI155" s="21" t="n"/>
      <c r="BJ155" s="21" t="n"/>
      <c r="BK155" s="21" t="n"/>
      <c r="BL155" s="21" t="n"/>
      <c r="BM155" s="21" t="n"/>
      <c r="BN155" s="21" t="n"/>
      <c r="BO155" s="21" t="n"/>
      <c r="BP155" s="21" t="n"/>
      <c r="BQ155" s="21" t="n"/>
      <c r="BR155" s="21" t="n"/>
      <c r="BS155" s="21" t="n"/>
      <c r="BT155" s="21" t="n"/>
      <c r="BU155" s="21" t="n"/>
      <c r="BV155" s="21" t="n"/>
      <c r="BW155" s="21" t="n"/>
      <c r="BX155" s="21" t="n"/>
      <c r="BY155" s="21" t="n"/>
      <c r="BZ155" s="21" t="n"/>
      <c r="CA155" s="21" t="n"/>
      <c r="CB155" s="21" t="n"/>
      <c r="CC155" s="21" t="n"/>
      <c r="CD155" s="21" t="n"/>
      <c r="CE155" s="21" t="n"/>
      <c r="CF155" s="21" t="n"/>
      <c r="CG155" s="21" t="n"/>
      <c r="CH155" s="21" t="n"/>
      <c r="CI155" s="21" t="n"/>
      <c r="CJ155" s="21" t="n"/>
      <c r="CK155" s="21" t="n"/>
      <c r="CL155" s="21" t="n"/>
      <c r="CM155" s="21" t="n"/>
      <c r="CN155" s="21" t="n"/>
      <c r="CO155" s="21" t="n"/>
      <c r="CP155" s="21" t="n"/>
      <c r="CQ155" s="21" t="n"/>
      <c r="CR155" s="21" t="n"/>
      <c r="CS155" s="21" t="n"/>
      <c r="CT155" s="21" t="n"/>
      <c r="CU155" s="21" t="n"/>
      <c r="CV155" s="21" t="n"/>
      <c r="CW155" s="21" t="n"/>
      <c r="CX155" s="21" t="n"/>
      <c r="CY155" s="21" t="n"/>
      <c r="CZ155" s="21" t="n"/>
      <c r="DA155" s="21" t="n"/>
      <c r="DB155" s="21" t="n"/>
      <c r="DC155" s="21" t="n"/>
    </row>
    <row r="156">
      <c r="B156" t="inlineStr">
        <is>
          <t>V14</t>
        </is>
      </c>
      <c r="C156" t="inlineStr">
        <is>
          <t>No. of batches</t>
        </is>
      </c>
      <c r="D156">
        <f>IFERROR(INDEX(PP_Grid[#Data],$DD156,2),0)</f>
        <v/>
      </c>
      <c r="E156">
        <f>IFERROR(INDEX(PP_Grid[#Data],$DD156,3),0)</f>
        <v/>
      </c>
      <c r="F156">
        <f>IFERROR(INDEX(PP_Grid[#Data],$DD156,4),0)</f>
        <v/>
      </c>
      <c r="G156">
        <f>IFERROR(INDEX(PP_Grid[#Data],$DD156,5),0)</f>
        <v/>
      </c>
      <c r="H156">
        <f>IFERROR(INDEX(PP_Grid[#Data],$DD156,6),0)</f>
        <v/>
      </c>
      <c r="I156">
        <f>IFERROR(INDEX(PP_Grid[#Data],$DD156,7),0)</f>
        <v/>
      </c>
      <c r="J156">
        <f>IFERROR(INDEX(PP_Grid[#Data],$DD156,8),0)</f>
        <v/>
      </c>
      <c r="K156">
        <f>IFERROR(INDEX(PP_Grid[#Data],$DD156,9),0)</f>
        <v/>
      </c>
      <c r="L156">
        <f>IFERROR(INDEX(PP_Grid[#Data],$DD156,10),0)</f>
        <v/>
      </c>
      <c r="M156">
        <f>IFERROR(INDEX(PP_Grid[#Data],$DD156,11),0)</f>
        <v/>
      </c>
      <c r="N156">
        <f>IFERROR(INDEX(PP_Grid[#Data],$DD156,12),0)</f>
        <v/>
      </c>
      <c r="O156">
        <f>IFERROR(INDEX(PP_Grid[#Data],$DD156,13),0)</f>
        <v/>
      </c>
      <c r="P156">
        <f>IFERROR(INDEX(PP_Grid[#Data],$DD156,14),0)</f>
        <v/>
      </c>
      <c r="Q156">
        <f>IFERROR(INDEX(PP_Grid[#Data],$DD156,15),0)</f>
        <v/>
      </c>
      <c r="R156">
        <f>IFERROR(INDEX(PP_Grid[#Data],$DD156,16),0)</f>
        <v/>
      </c>
      <c r="S156">
        <f>IFERROR(INDEX(PP_Grid[#Data],$DD156,17),0)</f>
        <v/>
      </c>
      <c r="T156">
        <f>IFERROR(INDEX(PP_Grid[#Data],$DD156,18),0)</f>
        <v/>
      </c>
      <c r="U156">
        <f>IFERROR(INDEX(PP_Grid[#Data],$DD156,19),0)</f>
        <v/>
      </c>
      <c r="V156">
        <f>IFERROR(INDEX(PP_Grid[#Data],$DD156,20),0)</f>
        <v/>
      </c>
      <c r="W156">
        <f>IFERROR(INDEX(PP_Grid[#Data],$DD156,21),0)</f>
        <v/>
      </c>
      <c r="X156">
        <f>IFERROR(INDEX(PP_Grid[#Data],$DD156,22),0)</f>
        <v/>
      </c>
      <c r="Y156">
        <f>IFERROR(INDEX(PP_Grid[#Data],$DD156,23),0)</f>
        <v/>
      </c>
      <c r="Z156">
        <f>IFERROR(INDEX(PP_Grid[#Data],$DD156,24),0)</f>
        <v/>
      </c>
      <c r="AA156">
        <f>IFERROR(INDEX(PP_Grid[#Data],$DD156,25),0)</f>
        <v/>
      </c>
      <c r="AB156">
        <f>IFERROR(INDEX(PP_Grid[#Data],$DD156,26),0)</f>
        <v/>
      </c>
      <c r="AC156">
        <f>IFERROR(INDEX(PP_Grid[#Data],$DD156,27),0)</f>
        <v/>
      </c>
      <c r="AD156">
        <f>IFERROR(INDEX(PP_Grid[#Data],$DD156,28),0)</f>
        <v/>
      </c>
      <c r="AE156">
        <f>IFERROR(INDEX(PP_Grid[#Data],$DD156,29),0)</f>
        <v/>
      </c>
      <c r="AF156">
        <f>IFERROR(INDEX(PP_Grid[#Data],$DD156,30),0)</f>
        <v/>
      </c>
      <c r="AG156">
        <f>IFERROR(INDEX(PP_Grid[#Data],$DD156,31),0)</f>
        <v/>
      </c>
      <c r="AH156">
        <f>IFERROR(INDEX(PP_Grid[#Data],$DD156,32),0)</f>
        <v/>
      </c>
      <c r="AI156">
        <f>IFERROR(INDEX(PP_Grid[#Data],$DD156,33),0)</f>
        <v/>
      </c>
      <c r="AJ156">
        <f>IFERROR(INDEX(PP_Grid[#Data],$DD156,34),0)</f>
        <v/>
      </c>
      <c r="AK156">
        <f>IFERROR(INDEX(PP_Grid[#Data],$DD156,35),0)</f>
        <v/>
      </c>
      <c r="AL156">
        <f>IFERROR(INDEX(PP_Grid[#Data],$DD156,36),0)</f>
        <v/>
      </c>
      <c r="AM156">
        <f>IFERROR(INDEX(PP_Grid[#Data],$DD156,37),0)</f>
        <v/>
      </c>
      <c r="AN156">
        <f>IFERROR(INDEX(PP_Grid[#Data],$DD156,38),0)</f>
        <v/>
      </c>
      <c r="AO156">
        <f>IFERROR(INDEX(PP_Grid[#Data],$DD156,39),0)</f>
        <v/>
      </c>
      <c r="AP156">
        <f>IFERROR(INDEX(PP_Grid[#Data],$DD156,40),0)</f>
        <v/>
      </c>
      <c r="AQ156">
        <f>IFERROR(INDEX(PP_Grid[#Data],$DD156,41),0)</f>
        <v/>
      </c>
      <c r="AR156">
        <f>IFERROR(INDEX(PP_Grid[#Data],$DD156,42),0)</f>
        <v/>
      </c>
      <c r="AS156">
        <f>IFERROR(INDEX(PP_Grid[#Data],$DD156,43),0)</f>
        <v/>
      </c>
      <c r="AT156">
        <f>IFERROR(INDEX(PP_Grid[#Data],$DD156,44),0)</f>
        <v/>
      </c>
      <c r="AU156">
        <f>IFERROR(INDEX(PP_Grid[#Data],$DD156,45),0)</f>
        <v/>
      </c>
      <c r="AV156">
        <f>IFERROR(INDEX(PP_Grid[#Data],$DD156,46),0)</f>
        <v/>
      </c>
      <c r="AW156">
        <f>IFERROR(INDEX(PP_Grid[#Data],$DD156,47),0)</f>
        <v/>
      </c>
      <c r="AX156">
        <f>IFERROR(INDEX(PP_Grid[#Data],$DD156,48),0)</f>
        <v/>
      </c>
      <c r="AY156">
        <f>IFERROR(INDEX(PP_Grid[#Data],$DD156,49),0)</f>
        <v/>
      </c>
      <c r="AZ156">
        <f>IFERROR(INDEX(PP_Grid[#Data],$DD156,50),0)</f>
        <v/>
      </c>
      <c r="BA156">
        <f>IFERROR(INDEX(PP_Grid[#Data],$DD156,51),0)</f>
        <v/>
      </c>
      <c r="BB156">
        <f>IFERROR(INDEX(PP_Grid[#Data],$DD156,52),0)</f>
        <v/>
      </c>
      <c r="BC156">
        <f>IFERROR(INDEX(PP_Grid[#Data],$DD156,53),0)</f>
        <v/>
      </c>
      <c r="BD156">
        <f>IFERROR(INDEX(PP_Grid[#Data],$DD156,54),0)</f>
        <v/>
      </c>
      <c r="BE156">
        <f>IFERROR(INDEX(PP_Grid[#Data],$DD156,55),0)</f>
        <v/>
      </c>
      <c r="BF156">
        <f>IFERROR(INDEX(PP_Grid[#Data],$DD156,56),0)</f>
        <v/>
      </c>
      <c r="BG156">
        <f>IFERROR(INDEX(PP_Grid[#Data],$DD156,57),0)</f>
        <v/>
      </c>
      <c r="BH156">
        <f>IFERROR(INDEX(PP_Grid[#Data],$DD156,58),0)</f>
        <v/>
      </c>
      <c r="BI156">
        <f>IFERROR(INDEX(PP_Grid[#Data],$DD156,59),0)</f>
        <v/>
      </c>
      <c r="BJ156">
        <f>IFERROR(INDEX(PP_Grid[#Data],$DD156,60),0)</f>
        <v/>
      </c>
      <c r="BK156">
        <f>IFERROR(INDEX(PP_Grid[#Data],$DD156,61),0)</f>
        <v/>
      </c>
      <c r="BL156">
        <f>IFERROR(INDEX(PP_Grid[#Data],$DD156,62),0)</f>
        <v/>
      </c>
      <c r="BM156">
        <f>IFERROR(INDEX(PP_Grid[#Data],$DD156,63),0)</f>
        <v/>
      </c>
      <c r="BN156">
        <f>IFERROR(INDEX(PP_Grid[#Data],$DD156,64),0)</f>
        <v/>
      </c>
      <c r="BO156">
        <f>IFERROR(INDEX(PP_Grid[#Data],$DD156,65),0)</f>
        <v/>
      </c>
      <c r="BP156">
        <f>IFERROR(INDEX(PP_Grid[#Data],$DD156,66),0)</f>
        <v/>
      </c>
      <c r="BQ156">
        <f>IFERROR(INDEX(PP_Grid[#Data],$DD156,67),0)</f>
        <v/>
      </c>
      <c r="BR156">
        <f>IFERROR(INDEX(PP_Grid[#Data],$DD156,68),0)</f>
        <v/>
      </c>
      <c r="BS156">
        <f>IFERROR(INDEX(PP_Grid[#Data],$DD156,69),0)</f>
        <v/>
      </c>
      <c r="BT156">
        <f>IFERROR(INDEX(PP_Grid[#Data],$DD156,70),0)</f>
        <v/>
      </c>
      <c r="BU156">
        <f>IFERROR(INDEX(PP_Grid[#Data],$DD156,71),0)</f>
        <v/>
      </c>
      <c r="BV156">
        <f>IFERROR(INDEX(PP_Grid[#Data],$DD156,72),0)</f>
        <v/>
      </c>
      <c r="BW156">
        <f>IFERROR(INDEX(PP_Grid[#Data],$DD156,73),0)</f>
        <v/>
      </c>
      <c r="BX156">
        <f>IFERROR(INDEX(PP_Grid[#Data],$DD156,74),0)</f>
        <v/>
      </c>
      <c r="BY156">
        <f>IFERROR(INDEX(PP_Grid[#Data],$DD156,75),0)</f>
        <v/>
      </c>
      <c r="BZ156">
        <f>IFERROR(INDEX(PP_Grid[#Data],$DD156,76),0)</f>
        <v/>
      </c>
      <c r="CA156">
        <f>IFERROR(INDEX(PP_Grid[#Data],$DD156,77),0)</f>
        <v/>
      </c>
      <c r="CB156">
        <f>IFERROR(INDEX(PP_Grid[#Data],$DD156,78),0)</f>
        <v/>
      </c>
      <c r="CC156">
        <f>IFERROR(INDEX(PP_Grid[#Data],$DD156,79),0)</f>
        <v/>
      </c>
      <c r="CD156">
        <f>IFERROR(INDEX(PP_Grid[#Data],$DD156,80),0)</f>
        <v/>
      </c>
      <c r="CE156">
        <f>IFERROR(INDEX(PP_Grid[#Data],$DD156,81),0)</f>
        <v/>
      </c>
      <c r="CF156">
        <f>IFERROR(INDEX(PP_Grid[#Data],$DD156,82),0)</f>
        <v/>
      </c>
      <c r="CG156">
        <f>IFERROR(INDEX(PP_Grid[#Data],$DD156,83),0)</f>
        <v/>
      </c>
      <c r="CH156">
        <f>IFERROR(INDEX(PP_Grid[#Data],$DD156,84),0)</f>
        <v/>
      </c>
      <c r="CI156">
        <f>IFERROR(INDEX(PP_Grid[#Data],$DD156,85),0)</f>
        <v/>
      </c>
      <c r="CJ156">
        <f>IFERROR(INDEX(PP_Grid[#Data],$DD156,86),0)</f>
        <v/>
      </c>
      <c r="CK156">
        <f>IFERROR(INDEX(PP_Grid[#Data],$DD156,87),0)</f>
        <v/>
      </c>
      <c r="CL156">
        <f>IFERROR(INDEX(PP_Grid[#Data],$DD156,88),0)</f>
        <v/>
      </c>
      <c r="CM156">
        <f>IFERROR(INDEX(PP_Grid[#Data],$DD156,89),0)</f>
        <v/>
      </c>
      <c r="CN156">
        <f>IFERROR(INDEX(PP_Grid[#Data],$DD156,90),0)</f>
        <v/>
      </c>
      <c r="CO156">
        <f>IFERROR(INDEX(PP_Grid[#Data],$DD156,91),0)</f>
        <v/>
      </c>
      <c r="CP156">
        <f>IFERROR(INDEX(PP_Grid[#Data],$DD156,92),0)</f>
        <v/>
      </c>
      <c r="CQ156">
        <f>IFERROR(INDEX(PP_Grid[#Data],$DD156,93),0)</f>
        <v/>
      </c>
      <c r="CR156">
        <f>IFERROR(INDEX(PP_Grid[#Data],$DD156,94),0)</f>
        <v/>
      </c>
      <c r="CS156">
        <f>IFERROR(INDEX(PP_Grid[#Data],$DD156,95),0)</f>
        <v/>
      </c>
      <c r="CT156">
        <f>IFERROR(INDEX(PP_Grid[#Data],$DD156,96),0)</f>
        <v/>
      </c>
      <c r="CU156">
        <f>IFERROR(INDEX(PP_Grid[#Data],$DD156,97),0)</f>
        <v/>
      </c>
      <c r="CV156">
        <f>IFERROR(INDEX(PP_Grid[#Data],$DD156,98),0)</f>
        <v/>
      </c>
      <c r="CW156">
        <f>IFERROR(INDEX(PP_Grid[#Data],$DD156,99),0)</f>
        <v/>
      </c>
      <c r="CX156">
        <f>IFERROR(INDEX(PP_Grid[#Data],$DD156,100),0)</f>
        <v/>
      </c>
      <c r="CY156">
        <f>IFERROR(INDEX(PP_Grid[#Data],$DD156,101),0)</f>
        <v/>
      </c>
      <c r="CZ156">
        <f>IFERROR(INDEX(PP_Grid[#Data],$DD156,102),0)</f>
        <v/>
      </c>
      <c r="DA156">
        <f>IFERROR(INDEX(PP_Grid[#Data],$DD156,103),0)</f>
        <v/>
      </c>
      <c r="DB156">
        <f>IFERROR(INDEX(PP_Grid[#Data],$DD156,104),0)</f>
        <v/>
      </c>
      <c r="DC156">
        <f>IFERROR(INDEX(PP_Grid[#Data],$DD156,105),0)</f>
        <v/>
      </c>
      <c r="DD156" s="12">
        <f>IFERROR(MATCH($B156,PP_Grid[Intermediate],0),99999)</f>
        <v/>
      </c>
    </row>
    <row r="157">
      <c r="B157" t="inlineStr">
        <is>
          <t>使用量(kg)</t>
        </is>
      </c>
      <c r="C157">
        <f>SUMIFS(M_BOM[RM_Qty_Per_Batch],M_BOM[Intermediate],$B156,M_BOM[Part Name],$A155)</f>
        <v/>
      </c>
      <c r="D157">
        <f>$C157*D156</f>
        <v/>
      </c>
      <c r="E157">
        <f>$C157*E156</f>
        <v/>
      </c>
      <c r="F157">
        <f>$C157*F156</f>
        <v/>
      </c>
      <c r="G157">
        <f>$C157*G156</f>
        <v/>
      </c>
      <c r="H157">
        <f>$C157*H156</f>
        <v/>
      </c>
      <c r="I157">
        <f>$C157*I156</f>
        <v/>
      </c>
      <c r="J157">
        <f>$C157*J156</f>
        <v/>
      </c>
      <c r="K157">
        <f>$C157*K156</f>
        <v/>
      </c>
      <c r="L157">
        <f>$C157*L156</f>
        <v/>
      </c>
      <c r="M157">
        <f>$C157*M156</f>
        <v/>
      </c>
      <c r="N157">
        <f>$C157*N156</f>
        <v/>
      </c>
      <c r="O157">
        <f>$C157*O156</f>
        <v/>
      </c>
      <c r="P157">
        <f>$C157*P156</f>
        <v/>
      </c>
      <c r="Q157">
        <f>$C157*Q156</f>
        <v/>
      </c>
      <c r="R157">
        <f>$C157*R156</f>
        <v/>
      </c>
      <c r="S157">
        <f>$C157*S156</f>
        <v/>
      </c>
      <c r="T157">
        <f>$C157*T156</f>
        <v/>
      </c>
      <c r="U157">
        <f>$C157*U156</f>
        <v/>
      </c>
      <c r="V157">
        <f>$C157*V156</f>
        <v/>
      </c>
      <c r="W157">
        <f>$C157*W156</f>
        <v/>
      </c>
      <c r="X157">
        <f>$C157*X156</f>
        <v/>
      </c>
      <c r="Y157">
        <f>$C157*Y156</f>
        <v/>
      </c>
      <c r="Z157">
        <f>$C157*Z156</f>
        <v/>
      </c>
      <c r="AA157">
        <f>$C157*AA156</f>
        <v/>
      </c>
      <c r="AB157">
        <f>$C157*AB156</f>
        <v/>
      </c>
      <c r="AC157">
        <f>$C157*AC156</f>
        <v/>
      </c>
      <c r="AD157">
        <f>$C157*AD156</f>
        <v/>
      </c>
      <c r="AE157">
        <f>$C157*AE156</f>
        <v/>
      </c>
      <c r="AF157">
        <f>$C157*AF156</f>
        <v/>
      </c>
      <c r="AG157">
        <f>$C157*AG156</f>
        <v/>
      </c>
      <c r="AH157">
        <f>$C157*AH156</f>
        <v/>
      </c>
      <c r="AI157">
        <f>$C157*AI156</f>
        <v/>
      </c>
      <c r="AJ157">
        <f>$C157*AJ156</f>
        <v/>
      </c>
      <c r="AK157">
        <f>$C157*AK156</f>
        <v/>
      </c>
      <c r="AL157">
        <f>$C157*AL156</f>
        <v/>
      </c>
      <c r="AM157">
        <f>$C157*AM156</f>
        <v/>
      </c>
      <c r="AN157">
        <f>$C157*AN156</f>
        <v/>
      </c>
      <c r="AO157">
        <f>$C157*AO156</f>
        <v/>
      </c>
      <c r="AP157">
        <f>$C157*AP156</f>
        <v/>
      </c>
      <c r="AQ157">
        <f>$C157*AQ156</f>
        <v/>
      </c>
      <c r="AR157">
        <f>$C157*AR156</f>
        <v/>
      </c>
      <c r="AS157">
        <f>$C157*AS156</f>
        <v/>
      </c>
      <c r="AT157">
        <f>$C157*AT156</f>
        <v/>
      </c>
      <c r="AU157">
        <f>$C157*AU156</f>
        <v/>
      </c>
      <c r="AV157">
        <f>$C157*AV156</f>
        <v/>
      </c>
      <c r="AW157">
        <f>$C157*AW156</f>
        <v/>
      </c>
      <c r="AX157">
        <f>$C157*AX156</f>
        <v/>
      </c>
      <c r="AY157">
        <f>$C157*AY156</f>
        <v/>
      </c>
      <c r="AZ157">
        <f>$C157*AZ156</f>
        <v/>
      </c>
      <c r="BA157">
        <f>$C157*BA156</f>
        <v/>
      </c>
      <c r="BB157">
        <f>$C157*BB156</f>
        <v/>
      </c>
      <c r="BC157">
        <f>$C157*BC156</f>
        <v/>
      </c>
      <c r="BD157">
        <f>$C157*BD156</f>
        <v/>
      </c>
      <c r="BE157">
        <f>$C157*BE156</f>
        <v/>
      </c>
      <c r="BF157">
        <f>$C157*BF156</f>
        <v/>
      </c>
      <c r="BG157">
        <f>$C157*BG156</f>
        <v/>
      </c>
      <c r="BH157">
        <f>$C157*BH156</f>
        <v/>
      </c>
      <c r="BI157">
        <f>$C157*BI156</f>
        <v/>
      </c>
      <c r="BJ157">
        <f>$C157*BJ156</f>
        <v/>
      </c>
      <c r="BK157">
        <f>$C157*BK156</f>
        <v/>
      </c>
      <c r="BL157">
        <f>$C157*BL156</f>
        <v/>
      </c>
      <c r="BM157">
        <f>$C157*BM156</f>
        <v/>
      </c>
      <c r="BN157">
        <f>$C157*BN156</f>
        <v/>
      </c>
      <c r="BO157">
        <f>$C157*BO156</f>
        <v/>
      </c>
      <c r="BP157">
        <f>$C157*BP156</f>
        <v/>
      </c>
      <c r="BQ157">
        <f>$C157*BQ156</f>
        <v/>
      </c>
      <c r="BR157">
        <f>$C157*BR156</f>
        <v/>
      </c>
      <c r="BS157">
        <f>$C157*BS156</f>
        <v/>
      </c>
      <c r="BT157">
        <f>$C157*BT156</f>
        <v/>
      </c>
      <c r="BU157">
        <f>$C157*BU156</f>
        <v/>
      </c>
      <c r="BV157">
        <f>$C157*BV156</f>
        <v/>
      </c>
      <c r="BW157">
        <f>$C157*BW156</f>
        <v/>
      </c>
      <c r="BX157">
        <f>$C157*BX156</f>
        <v/>
      </c>
      <c r="BY157">
        <f>$C157*BY156</f>
        <v/>
      </c>
      <c r="BZ157">
        <f>$C157*BZ156</f>
        <v/>
      </c>
      <c r="CA157">
        <f>$C157*CA156</f>
        <v/>
      </c>
      <c r="CB157">
        <f>$C157*CB156</f>
        <v/>
      </c>
      <c r="CC157">
        <f>$C157*CC156</f>
        <v/>
      </c>
      <c r="CD157">
        <f>$C157*CD156</f>
        <v/>
      </c>
      <c r="CE157">
        <f>$C157*CE156</f>
        <v/>
      </c>
      <c r="CF157">
        <f>$C157*CF156</f>
        <v/>
      </c>
      <c r="CG157">
        <f>$C157*CG156</f>
        <v/>
      </c>
      <c r="CH157">
        <f>$C157*CH156</f>
        <v/>
      </c>
      <c r="CI157">
        <f>$C157*CI156</f>
        <v/>
      </c>
      <c r="CJ157">
        <f>$C157*CJ156</f>
        <v/>
      </c>
      <c r="CK157">
        <f>$C157*CK156</f>
        <v/>
      </c>
      <c r="CL157">
        <f>$C157*CL156</f>
        <v/>
      </c>
      <c r="CM157">
        <f>$C157*CM156</f>
        <v/>
      </c>
      <c r="CN157">
        <f>$C157*CN156</f>
        <v/>
      </c>
      <c r="CO157">
        <f>$C157*CO156</f>
        <v/>
      </c>
      <c r="CP157">
        <f>$C157*CP156</f>
        <v/>
      </c>
      <c r="CQ157">
        <f>$C157*CQ156</f>
        <v/>
      </c>
      <c r="CR157">
        <f>$C157*CR156</f>
        <v/>
      </c>
      <c r="CS157">
        <f>$C157*CS156</f>
        <v/>
      </c>
      <c r="CT157">
        <f>$C157*CT156</f>
        <v/>
      </c>
      <c r="CU157">
        <f>$C157*CU156</f>
        <v/>
      </c>
      <c r="CV157">
        <f>$C157*CV156</f>
        <v/>
      </c>
      <c r="CW157">
        <f>$C157*CW156</f>
        <v/>
      </c>
      <c r="CX157">
        <f>$C157*CX156</f>
        <v/>
      </c>
      <c r="CY157">
        <f>$C157*CY156</f>
        <v/>
      </c>
      <c r="CZ157">
        <f>$C157*CZ156</f>
        <v/>
      </c>
      <c r="DA157">
        <f>$C157*DA156</f>
        <v/>
      </c>
      <c r="DB157">
        <f>$C157*DB156</f>
        <v/>
      </c>
      <c r="DC157">
        <f>$C157*DC156</f>
        <v/>
      </c>
    </row>
    <row r="158">
      <c r="B158" t="inlineStr">
        <is>
          <t>V17</t>
        </is>
      </c>
      <c r="C158" t="inlineStr">
        <is>
          <t>No. of batches</t>
        </is>
      </c>
      <c r="D158">
        <f>IFERROR(INDEX(PP_Grid[#Data],$DD158,2),0)</f>
        <v/>
      </c>
      <c r="E158">
        <f>IFERROR(INDEX(PP_Grid[#Data],$DD158,3),0)</f>
        <v/>
      </c>
      <c r="F158">
        <f>IFERROR(INDEX(PP_Grid[#Data],$DD158,4),0)</f>
        <v/>
      </c>
      <c r="G158">
        <f>IFERROR(INDEX(PP_Grid[#Data],$DD158,5),0)</f>
        <v/>
      </c>
      <c r="H158">
        <f>IFERROR(INDEX(PP_Grid[#Data],$DD158,6),0)</f>
        <v/>
      </c>
      <c r="I158">
        <f>IFERROR(INDEX(PP_Grid[#Data],$DD158,7),0)</f>
        <v/>
      </c>
      <c r="J158">
        <f>IFERROR(INDEX(PP_Grid[#Data],$DD158,8),0)</f>
        <v/>
      </c>
      <c r="K158">
        <f>IFERROR(INDEX(PP_Grid[#Data],$DD158,9),0)</f>
        <v/>
      </c>
      <c r="L158">
        <f>IFERROR(INDEX(PP_Grid[#Data],$DD158,10),0)</f>
        <v/>
      </c>
      <c r="M158">
        <f>IFERROR(INDEX(PP_Grid[#Data],$DD158,11),0)</f>
        <v/>
      </c>
      <c r="N158">
        <f>IFERROR(INDEX(PP_Grid[#Data],$DD158,12),0)</f>
        <v/>
      </c>
      <c r="O158">
        <f>IFERROR(INDEX(PP_Grid[#Data],$DD158,13),0)</f>
        <v/>
      </c>
      <c r="P158">
        <f>IFERROR(INDEX(PP_Grid[#Data],$DD158,14),0)</f>
        <v/>
      </c>
      <c r="Q158">
        <f>IFERROR(INDEX(PP_Grid[#Data],$DD158,15),0)</f>
        <v/>
      </c>
      <c r="R158">
        <f>IFERROR(INDEX(PP_Grid[#Data],$DD158,16),0)</f>
        <v/>
      </c>
      <c r="S158">
        <f>IFERROR(INDEX(PP_Grid[#Data],$DD158,17),0)</f>
        <v/>
      </c>
      <c r="T158">
        <f>IFERROR(INDEX(PP_Grid[#Data],$DD158,18),0)</f>
        <v/>
      </c>
      <c r="U158">
        <f>IFERROR(INDEX(PP_Grid[#Data],$DD158,19),0)</f>
        <v/>
      </c>
      <c r="V158">
        <f>IFERROR(INDEX(PP_Grid[#Data],$DD158,20),0)</f>
        <v/>
      </c>
      <c r="W158">
        <f>IFERROR(INDEX(PP_Grid[#Data],$DD158,21),0)</f>
        <v/>
      </c>
      <c r="X158">
        <f>IFERROR(INDEX(PP_Grid[#Data],$DD158,22),0)</f>
        <v/>
      </c>
      <c r="Y158">
        <f>IFERROR(INDEX(PP_Grid[#Data],$DD158,23),0)</f>
        <v/>
      </c>
      <c r="Z158">
        <f>IFERROR(INDEX(PP_Grid[#Data],$DD158,24),0)</f>
        <v/>
      </c>
      <c r="AA158">
        <f>IFERROR(INDEX(PP_Grid[#Data],$DD158,25),0)</f>
        <v/>
      </c>
      <c r="AB158">
        <f>IFERROR(INDEX(PP_Grid[#Data],$DD158,26),0)</f>
        <v/>
      </c>
      <c r="AC158">
        <f>IFERROR(INDEX(PP_Grid[#Data],$DD158,27),0)</f>
        <v/>
      </c>
      <c r="AD158">
        <f>IFERROR(INDEX(PP_Grid[#Data],$DD158,28),0)</f>
        <v/>
      </c>
      <c r="AE158">
        <f>IFERROR(INDEX(PP_Grid[#Data],$DD158,29),0)</f>
        <v/>
      </c>
      <c r="AF158">
        <f>IFERROR(INDEX(PP_Grid[#Data],$DD158,30),0)</f>
        <v/>
      </c>
      <c r="AG158">
        <f>IFERROR(INDEX(PP_Grid[#Data],$DD158,31),0)</f>
        <v/>
      </c>
      <c r="AH158">
        <f>IFERROR(INDEX(PP_Grid[#Data],$DD158,32),0)</f>
        <v/>
      </c>
      <c r="AI158">
        <f>IFERROR(INDEX(PP_Grid[#Data],$DD158,33),0)</f>
        <v/>
      </c>
      <c r="AJ158">
        <f>IFERROR(INDEX(PP_Grid[#Data],$DD158,34),0)</f>
        <v/>
      </c>
      <c r="AK158">
        <f>IFERROR(INDEX(PP_Grid[#Data],$DD158,35),0)</f>
        <v/>
      </c>
      <c r="AL158">
        <f>IFERROR(INDEX(PP_Grid[#Data],$DD158,36),0)</f>
        <v/>
      </c>
      <c r="AM158">
        <f>IFERROR(INDEX(PP_Grid[#Data],$DD158,37),0)</f>
        <v/>
      </c>
      <c r="AN158">
        <f>IFERROR(INDEX(PP_Grid[#Data],$DD158,38),0)</f>
        <v/>
      </c>
      <c r="AO158">
        <f>IFERROR(INDEX(PP_Grid[#Data],$DD158,39),0)</f>
        <v/>
      </c>
      <c r="AP158">
        <f>IFERROR(INDEX(PP_Grid[#Data],$DD158,40),0)</f>
        <v/>
      </c>
      <c r="AQ158">
        <f>IFERROR(INDEX(PP_Grid[#Data],$DD158,41),0)</f>
        <v/>
      </c>
      <c r="AR158">
        <f>IFERROR(INDEX(PP_Grid[#Data],$DD158,42),0)</f>
        <v/>
      </c>
      <c r="AS158">
        <f>IFERROR(INDEX(PP_Grid[#Data],$DD158,43),0)</f>
        <v/>
      </c>
      <c r="AT158">
        <f>IFERROR(INDEX(PP_Grid[#Data],$DD158,44),0)</f>
        <v/>
      </c>
      <c r="AU158">
        <f>IFERROR(INDEX(PP_Grid[#Data],$DD158,45),0)</f>
        <v/>
      </c>
      <c r="AV158">
        <f>IFERROR(INDEX(PP_Grid[#Data],$DD158,46),0)</f>
        <v/>
      </c>
      <c r="AW158">
        <f>IFERROR(INDEX(PP_Grid[#Data],$DD158,47),0)</f>
        <v/>
      </c>
      <c r="AX158">
        <f>IFERROR(INDEX(PP_Grid[#Data],$DD158,48),0)</f>
        <v/>
      </c>
      <c r="AY158">
        <f>IFERROR(INDEX(PP_Grid[#Data],$DD158,49),0)</f>
        <v/>
      </c>
      <c r="AZ158">
        <f>IFERROR(INDEX(PP_Grid[#Data],$DD158,50),0)</f>
        <v/>
      </c>
      <c r="BA158">
        <f>IFERROR(INDEX(PP_Grid[#Data],$DD158,51),0)</f>
        <v/>
      </c>
      <c r="BB158">
        <f>IFERROR(INDEX(PP_Grid[#Data],$DD158,52),0)</f>
        <v/>
      </c>
      <c r="BC158">
        <f>IFERROR(INDEX(PP_Grid[#Data],$DD158,53),0)</f>
        <v/>
      </c>
      <c r="BD158">
        <f>IFERROR(INDEX(PP_Grid[#Data],$DD158,54),0)</f>
        <v/>
      </c>
      <c r="BE158">
        <f>IFERROR(INDEX(PP_Grid[#Data],$DD158,55),0)</f>
        <v/>
      </c>
      <c r="BF158">
        <f>IFERROR(INDEX(PP_Grid[#Data],$DD158,56),0)</f>
        <v/>
      </c>
      <c r="BG158">
        <f>IFERROR(INDEX(PP_Grid[#Data],$DD158,57),0)</f>
        <v/>
      </c>
      <c r="BH158">
        <f>IFERROR(INDEX(PP_Grid[#Data],$DD158,58),0)</f>
        <v/>
      </c>
      <c r="BI158">
        <f>IFERROR(INDEX(PP_Grid[#Data],$DD158,59),0)</f>
        <v/>
      </c>
      <c r="BJ158">
        <f>IFERROR(INDEX(PP_Grid[#Data],$DD158,60),0)</f>
        <v/>
      </c>
      <c r="BK158">
        <f>IFERROR(INDEX(PP_Grid[#Data],$DD158,61),0)</f>
        <v/>
      </c>
      <c r="BL158">
        <f>IFERROR(INDEX(PP_Grid[#Data],$DD158,62),0)</f>
        <v/>
      </c>
      <c r="BM158">
        <f>IFERROR(INDEX(PP_Grid[#Data],$DD158,63),0)</f>
        <v/>
      </c>
      <c r="BN158">
        <f>IFERROR(INDEX(PP_Grid[#Data],$DD158,64),0)</f>
        <v/>
      </c>
      <c r="BO158">
        <f>IFERROR(INDEX(PP_Grid[#Data],$DD158,65),0)</f>
        <v/>
      </c>
      <c r="BP158">
        <f>IFERROR(INDEX(PP_Grid[#Data],$DD158,66),0)</f>
        <v/>
      </c>
      <c r="BQ158">
        <f>IFERROR(INDEX(PP_Grid[#Data],$DD158,67),0)</f>
        <v/>
      </c>
      <c r="BR158">
        <f>IFERROR(INDEX(PP_Grid[#Data],$DD158,68),0)</f>
        <v/>
      </c>
      <c r="BS158">
        <f>IFERROR(INDEX(PP_Grid[#Data],$DD158,69),0)</f>
        <v/>
      </c>
      <c r="BT158">
        <f>IFERROR(INDEX(PP_Grid[#Data],$DD158,70),0)</f>
        <v/>
      </c>
      <c r="BU158">
        <f>IFERROR(INDEX(PP_Grid[#Data],$DD158,71),0)</f>
        <v/>
      </c>
      <c r="BV158">
        <f>IFERROR(INDEX(PP_Grid[#Data],$DD158,72),0)</f>
        <v/>
      </c>
      <c r="BW158">
        <f>IFERROR(INDEX(PP_Grid[#Data],$DD158,73),0)</f>
        <v/>
      </c>
      <c r="BX158">
        <f>IFERROR(INDEX(PP_Grid[#Data],$DD158,74),0)</f>
        <v/>
      </c>
      <c r="BY158">
        <f>IFERROR(INDEX(PP_Grid[#Data],$DD158,75),0)</f>
        <v/>
      </c>
      <c r="BZ158">
        <f>IFERROR(INDEX(PP_Grid[#Data],$DD158,76),0)</f>
        <v/>
      </c>
      <c r="CA158">
        <f>IFERROR(INDEX(PP_Grid[#Data],$DD158,77),0)</f>
        <v/>
      </c>
      <c r="CB158">
        <f>IFERROR(INDEX(PP_Grid[#Data],$DD158,78),0)</f>
        <v/>
      </c>
      <c r="CC158">
        <f>IFERROR(INDEX(PP_Grid[#Data],$DD158,79),0)</f>
        <v/>
      </c>
      <c r="CD158">
        <f>IFERROR(INDEX(PP_Grid[#Data],$DD158,80),0)</f>
        <v/>
      </c>
      <c r="CE158">
        <f>IFERROR(INDEX(PP_Grid[#Data],$DD158,81),0)</f>
        <v/>
      </c>
      <c r="CF158">
        <f>IFERROR(INDEX(PP_Grid[#Data],$DD158,82),0)</f>
        <v/>
      </c>
      <c r="CG158">
        <f>IFERROR(INDEX(PP_Grid[#Data],$DD158,83),0)</f>
        <v/>
      </c>
      <c r="CH158">
        <f>IFERROR(INDEX(PP_Grid[#Data],$DD158,84),0)</f>
        <v/>
      </c>
      <c r="CI158">
        <f>IFERROR(INDEX(PP_Grid[#Data],$DD158,85),0)</f>
        <v/>
      </c>
      <c r="CJ158">
        <f>IFERROR(INDEX(PP_Grid[#Data],$DD158,86),0)</f>
        <v/>
      </c>
      <c r="CK158">
        <f>IFERROR(INDEX(PP_Grid[#Data],$DD158,87),0)</f>
        <v/>
      </c>
      <c r="CL158">
        <f>IFERROR(INDEX(PP_Grid[#Data],$DD158,88),0)</f>
        <v/>
      </c>
      <c r="CM158">
        <f>IFERROR(INDEX(PP_Grid[#Data],$DD158,89),0)</f>
        <v/>
      </c>
      <c r="CN158">
        <f>IFERROR(INDEX(PP_Grid[#Data],$DD158,90),0)</f>
        <v/>
      </c>
      <c r="CO158">
        <f>IFERROR(INDEX(PP_Grid[#Data],$DD158,91),0)</f>
        <v/>
      </c>
      <c r="CP158">
        <f>IFERROR(INDEX(PP_Grid[#Data],$DD158,92),0)</f>
        <v/>
      </c>
      <c r="CQ158">
        <f>IFERROR(INDEX(PP_Grid[#Data],$DD158,93),0)</f>
        <v/>
      </c>
      <c r="CR158">
        <f>IFERROR(INDEX(PP_Grid[#Data],$DD158,94),0)</f>
        <v/>
      </c>
      <c r="CS158">
        <f>IFERROR(INDEX(PP_Grid[#Data],$DD158,95),0)</f>
        <v/>
      </c>
      <c r="CT158">
        <f>IFERROR(INDEX(PP_Grid[#Data],$DD158,96),0)</f>
        <v/>
      </c>
      <c r="CU158">
        <f>IFERROR(INDEX(PP_Grid[#Data],$DD158,97),0)</f>
        <v/>
      </c>
      <c r="CV158">
        <f>IFERROR(INDEX(PP_Grid[#Data],$DD158,98),0)</f>
        <v/>
      </c>
      <c r="CW158">
        <f>IFERROR(INDEX(PP_Grid[#Data],$DD158,99),0)</f>
        <v/>
      </c>
      <c r="CX158">
        <f>IFERROR(INDEX(PP_Grid[#Data],$DD158,100),0)</f>
        <v/>
      </c>
      <c r="CY158">
        <f>IFERROR(INDEX(PP_Grid[#Data],$DD158,101),0)</f>
        <v/>
      </c>
      <c r="CZ158">
        <f>IFERROR(INDEX(PP_Grid[#Data],$DD158,102),0)</f>
        <v/>
      </c>
      <c r="DA158">
        <f>IFERROR(INDEX(PP_Grid[#Data],$DD158,103),0)</f>
        <v/>
      </c>
      <c r="DB158">
        <f>IFERROR(INDEX(PP_Grid[#Data],$DD158,104),0)</f>
        <v/>
      </c>
      <c r="DC158">
        <f>IFERROR(INDEX(PP_Grid[#Data],$DD158,105),0)</f>
        <v/>
      </c>
      <c r="DD158" s="12">
        <f>IFERROR(MATCH($B158,PP_Grid[Intermediate],0),99999)</f>
        <v/>
      </c>
    </row>
    <row r="159">
      <c r="B159" t="inlineStr">
        <is>
          <t>使用量(kg)</t>
        </is>
      </c>
      <c r="C159">
        <f>SUMIFS(M_BOM[RM_Qty_Per_Batch],M_BOM[Intermediate],$B158,M_BOM[Part Name],$A155)</f>
        <v/>
      </c>
      <c r="D159">
        <f>$C159*D158</f>
        <v/>
      </c>
      <c r="E159">
        <f>$C159*E158</f>
        <v/>
      </c>
      <c r="F159">
        <f>$C159*F158</f>
        <v/>
      </c>
      <c r="G159">
        <f>$C159*G158</f>
        <v/>
      </c>
      <c r="H159">
        <f>$C159*H158</f>
        <v/>
      </c>
      <c r="I159">
        <f>$C159*I158</f>
        <v/>
      </c>
      <c r="J159">
        <f>$C159*J158</f>
        <v/>
      </c>
      <c r="K159">
        <f>$C159*K158</f>
        <v/>
      </c>
      <c r="L159">
        <f>$C159*L158</f>
        <v/>
      </c>
      <c r="M159">
        <f>$C159*M158</f>
        <v/>
      </c>
      <c r="N159">
        <f>$C159*N158</f>
        <v/>
      </c>
      <c r="O159">
        <f>$C159*O158</f>
        <v/>
      </c>
      <c r="P159">
        <f>$C159*P158</f>
        <v/>
      </c>
      <c r="Q159">
        <f>$C159*Q158</f>
        <v/>
      </c>
      <c r="R159">
        <f>$C159*R158</f>
        <v/>
      </c>
      <c r="S159">
        <f>$C159*S158</f>
        <v/>
      </c>
      <c r="T159">
        <f>$C159*T158</f>
        <v/>
      </c>
      <c r="U159">
        <f>$C159*U158</f>
        <v/>
      </c>
      <c r="V159">
        <f>$C159*V158</f>
        <v/>
      </c>
      <c r="W159">
        <f>$C159*W158</f>
        <v/>
      </c>
      <c r="X159">
        <f>$C159*X158</f>
        <v/>
      </c>
      <c r="Y159">
        <f>$C159*Y158</f>
        <v/>
      </c>
      <c r="Z159">
        <f>$C159*Z158</f>
        <v/>
      </c>
      <c r="AA159">
        <f>$C159*AA158</f>
        <v/>
      </c>
      <c r="AB159">
        <f>$C159*AB158</f>
        <v/>
      </c>
      <c r="AC159">
        <f>$C159*AC158</f>
        <v/>
      </c>
      <c r="AD159">
        <f>$C159*AD158</f>
        <v/>
      </c>
      <c r="AE159">
        <f>$C159*AE158</f>
        <v/>
      </c>
      <c r="AF159">
        <f>$C159*AF158</f>
        <v/>
      </c>
      <c r="AG159">
        <f>$C159*AG158</f>
        <v/>
      </c>
      <c r="AH159">
        <f>$C159*AH158</f>
        <v/>
      </c>
      <c r="AI159">
        <f>$C159*AI158</f>
        <v/>
      </c>
      <c r="AJ159">
        <f>$C159*AJ158</f>
        <v/>
      </c>
      <c r="AK159">
        <f>$C159*AK158</f>
        <v/>
      </c>
      <c r="AL159">
        <f>$C159*AL158</f>
        <v/>
      </c>
      <c r="AM159">
        <f>$C159*AM158</f>
        <v/>
      </c>
      <c r="AN159">
        <f>$C159*AN158</f>
        <v/>
      </c>
      <c r="AO159">
        <f>$C159*AO158</f>
        <v/>
      </c>
      <c r="AP159">
        <f>$C159*AP158</f>
        <v/>
      </c>
      <c r="AQ159">
        <f>$C159*AQ158</f>
        <v/>
      </c>
      <c r="AR159">
        <f>$C159*AR158</f>
        <v/>
      </c>
      <c r="AS159">
        <f>$C159*AS158</f>
        <v/>
      </c>
      <c r="AT159">
        <f>$C159*AT158</f>
        <v/>
      </c>
      <c r="AU159">
        <f>$C159*AU158</f>
        <v/>
      </c>
      <c r="AV159">
        <f>$C159*AV158</f>
        <v/>
      </c>
      <c r="AW159">
        <f>$C159*AW158</f>
        <v/>
      </c>
      <c r="AX159">
        <f>$C159*AX158</f>
        <v/>
      </c>
      <c r="AY159">
        <f>$C159*AY158</f>
        <v/>
      </c>
      <c r="AZ159">
        <f>$C159*AZ158</f>
        <v/>
      </c>
      <c r="BA159">
        <f>$C159*BA158</f>
        <v/>
      </c>
      <c r="BB159">
        <f>$C159*BB158</f>
        <v/>
      </c>
      <c r="BC159">
        <f>$C159*BC158</f>
        <v/>
      </c>
      <c r="BD159">
        <f>$C159*BD158</f>
        <v/>
      </c>
      <c r="BE159">
        <f>$C159*BE158</f>
        <v/>
      </c>
      <c r="BF159">
        <f>$C159*BF158</f>
        <v/>
      </c>
      <c r="BG159">
        <f>$C159*BG158</f>
        <v/>
      </c>
      <c r="BH159">
        <f>$C159*BH158</f>
        <v/>
      </c>
      <c r="BI159">
        <f>$C159*BI158</f>
        <v/>
      </c>
      <c r="BJ159">
        <f>$C159*BJ158</f>
        <v/>
      </c>
      <c r="BK159">
        <f>$C159*BK158</f>
        <v/>
      </c>
      <c r="BL159">
        <f>$C159*BL158</f>
        <v/>
      </c>
      <c r="BM159">
        <f>$C159*BM158</f>
        <v/>
      </c>
      <c r="BN159">
        <f>$C159*BN158</f>
        <v/>
      </c>
      <c r="BO159">
        <f>$C159*BO158</f>
        <v/>
      </c>
      <c r="BP159">
        <f>$C159*BP158</f>
        <v/>
      </c>
      <c r="BQ159">
        <f>$C159*BQ158</f>
        <v/>
      </c>
      <c r="BR159">
        <f>$C159*BR158</f>
        <v/>
      </c>
      <c r="BS159">
        <f>$C159*BS158</f>
        <v/>
      </c>
      <c r="BT159">
        <f>$C159*BT158</f>
        <v/>
      </c>
      <c r="BU159">
        <f>$C159*BU158</f>
        <v/>
      </c>
      <c r="BV159">
        <f>$C159*BV158</f>
        <v/>
      </c>
      <c r="BW159">
        <f>$C159*BW158</f>
        <v/>
      </c>
      <c r="BX159">
        <f>$C159*BX158</f>
        <v/>
      </c>
      <c r="BY159">
        <f>$C159*BY158</f>
        <v/>
      </c>
      <c r="BZ159">
        <f>$C159*BZ158</f>
        <v/>
      </c>
      <c r="CA159">
        <f>$C159*CA158</f>
        <v/>
      </c>
      <c r="CB159">
        <f>$C159*CB158</f>
        <v/>
      </c>
      <c r="CC159">
        <f>$C159*CC158</f>
        <v/>
      </c>
      <c r="CD159">
        <f>$C159*CD158</f>
        <v/>
      </c>
      <c r="CE159">
        <f>$C159*CE158</f>
        <v/>
      </c>
      <c r="CF159">
        <f>$C159*CF158</f>
        <v/>
      </c>
      <c r="CG159">
        <f>$C159*CG158</f>
        <v/>
      </c>
      <c r="CH159">
        <f>$C159*CH158</f>
        <v/>
      </c>
      <c r="CI159">
        <f>$C159*CI158</f>
        <v/>
      </c>
      <c r="CJ159">
        <f>$C159*CJ158</f>
        <v/>
      </c>
      <c r="CK159">
        <f>$C159*CK158</f>
        <v/>
      </c>
      <c r="CL159">
        <f>$C159*CL158</f>
        <v/>
      </c>
      <c r="CM159">
        <f>$C159*CM158</f>
        <v/>
      </c>
      <c r="CN159">
        <f>$C159*CN158</f>
        <v/>
      </c>
      <c r="CO159">
        <f>$C159*CO158</f>
        <v/>
      </c>
      <c r="CP159">
        <f>$C159*CP158</f>
        <v/>
      </c>
      <c r="CQ159">
        <f>$C159*CQ158</f>
        <v/>
      </c>
      <c r="CR159">
        <f>$C159*CR158</f>
        <v/>
      </c>
      <c r="CS159">
        <f>$C159*CS158</f>
        <v/>
      </c>
      <c r="CT159">
        <f>$C159*CT158</f>
        <v/>
      </c>
      <c r="CU159">
        <f>$C159*CU158</f>
        <v/>
      </c>
      <c r="CV159">
        <f>$C159*CV158</f>
        <v/>
      </c>
      <c r="CW159">
        <f>$C159*CW158</f>
        <v/>
      </c>
      <c r="CX159">
        <f>$C159*CX158</f>
        <v/>
      </c>
      <c r="CY159">
        <f>$C159*CY158</f>
        <v/>
      </c>
      <c r="CZ159">
        <f>$C159*CZ158</f>
        <v/>
      </c>
      <c r="DA159">
        <f>$C159*DA158</f>
        <v/>
      </c>
      <c r="DB159">
        <f>$C159*DB158</f>
        <v/>
      </c>
      <c r="DC159">
        <f>$C159*DC158</f>
        <v/>
      </c>
    </row>
    <row r="160">
      <c r="B160" t="inlineStr">
        <is>
          <t>V18</t>
        </is>
      </c>
      <c r="C160" t="inlineStr">
        <is>
          <t>No. of batches</t>
        </is>
      </c>
      <c r="D160">
        <f>IFERROR(INDEX(PP_Grid[#Data],$DD160,2),0)</f>
        <v/>
      </c>
      <c r="E160">
        <f>IFERROR(INDEX(PP_Grid[#Data],$DD160,3),0)</f>
        <v/>
      </c>
      <c r="F160">
        <f>IFERROR(INDEX(PP_Grid[#Data],$DD160,4),0)</f>
        <v/>
      </c>
      <c r="G160">
        <f>IFERROR(INDEX(PP_Grid[#Data],$DD160,5),0)</f>
        <v/>
      </c>
      <c r="H160">
        <f>IFERROR(INDEX(PP_Grid[#Data],$DD160,6),0)</f>
        <v/>
      </c>
      <c r="I160">
        <f>IFERROR(INDEX(PP_Grid[#Data],$DD160,7),0)</f>
        <v/>
      </c>
      <c r="J160">
        <f>IFERROR(INDEX(PP_Grid[#Data],$DD160,8),0)</f>
        <v/>
      </c>
      <c r="K160">
        <f>IFERROR(INDEX(PP_Grid[#Data],$DD160,9),0)</f>
        <v/>
      </c>
      <c r="L160">
        <f>IFERROR(INDEX(PP_Grid[#Data],$DD160,10),0)</f>
        <v/>
      </c>
      <c r="M160">
        <f>IFERROR(INDEX(PP_Grid[#Data],$DD160,11),0)</f>
        <v/>
      </c>
      <c r="N160">
        <f>IFERROR(INDEX(PP_Grid[#Data],$DD160,12),0)</f>
        <v/>
      </c>
      <c r="O160">
        <f>IFERROR(INDEX(PP_Grid[#Data],$DD160,13),0)</f>
        <v/>
      </c>
      <c r="P160">
        <f>IFERROR(INDEX(PP_Grid[#Data],$DD160,14),0)</f>
        <v/>
      </c>
      <c r="Q160">
        <f>IFERROR(INDEX(PP_Grid[#Data],$DD160,15),0)</f>
        <v/>
      </c>
      <c r="R160">
        <f>IFERROR(INDEX(PP_Grid[#Data],$DD160,16),0)</f>
        <v/>
      </c>
      <c r="S160">
        <f>IFERROR(INDEX(PP_Grid[#Data],$DD160,17),0)</f>
        <v/>
      </c>
      <c r="T160">
        <f>IFERROR(INDEX(PP_Grid[#Data],$DD160,18),0)</f>
        <v/>
      </c>
      <c r="U160">
        <f>IFERROR(INDEX(PP_Grid[#Data],$DD160,19),0)</f>
        <v/>
      </c>
      <c r="V160">
        <f>IFERROR(INDEX(PP_Grid[#Data],$DD160,20),0)</f>
        <v/>
      </c>
      <c r="W160">
        <f>IFERROR(INDEX(PP_Grid[#Data],$DD160,21),0)</f>
        <v/>
      </c>
      <c r="X160">
        <f>IFERROR(INDEX(PP_Grid[#Data],$DD160,22),0)</f>
        <v/>
      </c>
      <c r="Y160">
        <f>IFERROR(INDEX(PP_Grid[#Data],$DD160,23),0)</f>
        <v/>
      </c>
      <c r="Z160">
        <f>IFERROR(INDEX(PP_Grid[#Data],$DD160,24),0)</f>
        <v/>
      </c>
      <c r="AA160">
        <f>IFERROR(INDEX(PP_Grid[#Data],$DD160,25),0)</f>
        <v/>
      </c>
      <c r="AB160">
        <f>IFERROR(INDEX(PP_Grid[#Data],$DD160,26),0)</f>
        <v/>
      </c>
      <c r="AC160">
        <f>IFERROR(INDEX(PP_Grid[#Data],$DD160,27),0)</f>
        <v/>
      </c>
      <c r="AD160">
        <f>IFERROR(INDEX(PP_Grid[#Data],$DD160,28),0)</f>
        <v/>
      </c>
      <c r="AE160">
        <f>IFERROR(INDEX(PP_Grid[#Data],$DD160,29),0)</f>
        <v/>
      </c>
      <c r="AF160">
        <f>IFERROR(INDEX(PP_Grid[#Data],$DD160,30),0)</f>
        <v/>
      </c>
      <c r="AG160">
        <f>IFERROR(INDEX(PP_Grid[#Data],$DD160,31),0)</f>
        <v/>
      </c>
      <c r="AH160">
        <f>IFERROR(INDEX(PP_Grid[#Data],$DD160,32),0)</f>
        <v/>
      </c>
      <c r="AI160">
        <f>IFERROR(INDEX(PP_Grid[#Data],$DD160,33),0)</f>
        <v/>
      </c>
      <c r="AJ160">
        <f>IFERROR(INDEX(PP_Grid[#Data],$DD160,34),0)</f>
        <v/>
      </c>
      <c r="AK160">
        <f>IFERROR(INDEX(PP_Grid[#Data],$DD160,35),0)</f>
        <v/>
      </c>
      <c r="AL160">
        <f>IFERROR(INDEX(PP_Grid[#Data],$DD160,36),0)</f>
        <v/>
      </c>
      <c r="AM160">
        <f>IFERROR(INDEX(PP_Grid[#Data],$DD160,37),0)</f>
        <v/>
      </c>
      <c r="AN160">
        <f>IFERROR(INDEX(PP_Grid[#Data],$DD160,38),0)</f>
        <v/>
      </c>
      <c r="AO160">
        <f>IFERROR(INDEX(PP_Grid[#Data],$DD160,39),0)</f>
        <v/>
      </c>
      <c r="AP160">
        <f>IFERROR(INDEX(PP_Grid[#Data],$DD160,40),0)</f>
        <v/>
      </c>
      <c r="AQ160">
        <f>IFERROR(INDEX(PP_Grid[#Data],$DD160,41),0)</f>
        <v/>
      </c>
      <c r="AR160">
        <f>IFERROR(INDEX(PP_Grid[#Data],$DD160,42),0)</f>
        <v/>
      </c>
      <c r="AS160">
        <f>IFERROR(INDEX(PP_Grid[#Data],$DD160,43),0)</f>
        <v/>
      </c>
      <c r="AT160">
        <f>IFERROR(INDEX(PP_Grid[#Data],$DD160,44),0)</f>
        <v/>
      </c>
      <c r="AU160">
        <f>IFERROR(INDEX(PP_Grid[#Data],$DD160,45),0)</f>
        <v/>
      </c>
      <c r="AV160">
        <f>IFERROR(INDEX(PP_Grid[#Data],$DD160,46),0)</f>
        <v/>
      </c>
      <c r="AW160">
        <f>IFERROR(INDEX(PP_Grid[#Data],$DD160,47),0)</f>
        <v/>
      </c>
      <c r="AX160">
        <f>IFERROR(INDEX(PP_Grid[#Data],$DD160,48),0)</f>
        <v/>
      </c>
      <c r="AY160">
        <f>IFERROR(INDEX(PP_Grid[#Data],$DD160,49),0)</f>
        <v/>
      </c>
      <c r="AZ160">
        <f>IFERROR(INDEX(PP_Grid[#Data],$DD160,50),0)</f>
        <v/>
      </c>
      <c r="BA160">
        <f>IFERROR(INDEX(PP_Grid[#Data],$DD160,51),0)</f>
        <v/>
      </c>
      <c r="BB160">
        <f>IFERROR(INDEX(PP_Grid[#Data],$DD160,52),0)</f>
        <v/>
      </c>
      <c r="BC160">
        <f>IFERROR(INDEX(PP_Grid[#Data],$DD160,53),0)</f>
        <v/>
      </c>
      <c r="BD160">
        <f>IFERROR(INDEX(PP_Grid[#Data],$DD160,54),0)</f>
        <v/>
      </c>
      <c r="BE160">
        <f>IFERROR(INDEX(PP_Grid[#Data],$DD160,55),0)</f>
        <v/>
      </c>
      <c r="BF160">
        <f>IFERROR(INDEX(PP_Grid[#Data],$DD160,56),0)</f>
        <v/>
      </c>
      <c r="BG160">
        <f>IFERROR(INDEX(PP_Grid[#Data],$DD160,57),0)</f>
        <v/>
      </c>
      <c r="BH160">
        <f>IFERROR(INDEX(PP_Grid[#Data],$DD160,58),0)</f>
        <v/>
      </c>
      <c r="BI160">
        <f>IFERROR(INDEX(PP_Grid[#Data],$DD160,59),0)</f>
        <v/>
      </c>
      <c r="BJ160">
        <f>IFERROR(INDEX(PP_Grid[#Data],$DD160,60),0)</f>
        <v/>
      </c>
      <c r="BK160">
        <f>IFERROR(INDEX(PP_Grid[#Data],$DD160,61),0)</f>
        <v/>
      </c>
      <c r="BL160">
        <f>IFERROR(INDEX(PP_Grid[#Data],$DD160,62),0)</f>
        <v/>
      </c>
      <c r="BM160">
        <f>IFERROR(INDEX(PP_Grid[#Data],$DD160,63),0)</f>
        <v/>
      </c>
      <c r="BN160">
        <f>IFERROR(INDEX(PP_Grid[#Data],$DD160,64),0)</f>
        <v/>
      </c>
      <c r="BO160">
        <f>IFERROR(INDEX(PP_Grid[#Data],$DD160,65),0)</f>
        <v/>
      </c>
      <c r="BP160">
        <f>IFERROR(INDEX(PP_Grid[#Data],$DD160,66),0)</f>
        <v/>
      </c>
      <c r="BQ160">
        <f>IFERROR(INDEX(PP_Grid[#Data],$DD160,67),0)</f>
        <v/>
      </c>
      <c r="BR160">
        <f>IFERROR(INDEX(PP_Grid[#Data],$DD160,68),0)</f>
        <v/>
      </c>
      <c r="BS160">
        <f>IFERROR(INDEX(PP_Grid[#Data],$DD160,69),0)</f>
        <v/>
      </c>
      <c r="BT160">
        <f>IFERROR(INDEX(PP_Grid[#Data],$DD160,70),0)</f>
        <v/>
      </c>
      <c r="BU160">
        <f>IFERROR(INDEX(PP_Grid[#Data],$DD160,71),0)</f>
        <v/>
      </c>
      <c r="BV160">
        <f>IFERROR(INDEX(PP_Grid[#Data],$DD160,72),0)</f>
        <v/>
      </c>
      <c r="BW160">
        <f>IFERROR(INDEX(PP_Grid[#Data],$DD160,73),0)</f>
        <v/>
      </c>
      <c r="BX160">
        <f>IFERROR(INDEX(PP_Grid[#Data],$DD160,74),0)</f>
        <v/>
      </c>
      <c r="BY160">
        <f>IFERROR(INDEX(PP_Grid[#Data],$DD160,75),0)</f>
        <v/>
      </c>
      <c r="BZ160">
        <f>IFERROR(INDEX(PP_Grid[#Data],$DD160,76),0)</f>
        <v/>
      </c>
      <c r="CA160">
        <f>IFERROR(INDEX(PP_Grid[#Data],$DD160,77),0)</f>
        <v/>
      </c>
      <c r="CB160">
        <f>IFERROR(INDEX(PP_Grid[#Data],$DD160,78),0)</f>
        <v/>
      </c>
      <c r="CC160">
        <f>IFERROR(INDEX(PP_Grid[#Data],$DD160,79),0)</f>
        <v/>
      </c>
      <c r="CD160">
        <f>IFERROR(INDEX(PP_Grid[#Data],$DD160,80),0)</f>
        <v/>
      </c>
      <c r="CE160">
        <f>IFERROR(INDEX(PP_Grid[#Data],$DD160,81),0)</f>
        <v/>
      </c>
      <c r="CF160">
        <f>IFERROR(INDEX(PP_Grid[#Data],$DD160,82),0)</f>
        <v/>
      </c>
      <c r="CG160">
        <f>IFERROR(INDEX(PP_Grid[#Data],$DD160,83),0)</f>
        <v/>
      </c>
      <c r="CH160">
        <f>IFERROR(INDEX(PP_Grid[#Data],$DD160,84),0)</f>
        <v/>
      </c>
      <c r="CI160">
        <f>IFERROR(INDEX(PP_Grid[#Data],$DD160,85),0)</f>
        <v/>
      </c>
      <c r="CJ160">
        <f>IFERROR(INDEX(PP_Grid[#Data],$DD160,86),0)</f>
        <v/>
      </c>
      <c r="CK160">
        <f>IFERROR(INDEX(PP_Grid[#Data],$DD160,87),0)</f>
        <v/>
      </c>
      <c r="CL160">
        <f>IFERROR(INDEX(PP_Grid[#Data],$DD160,88),0)</f>
        <v/>
      </c>
      <c r="CM160">
        <f>IFERROR(INDEX(PP_Grid[#Data],$DD160,89),0)</f>
        <v/>
      </c>
      <c r="CN160">
        <f>IFERROR(INDEX(PP_Grid[#Data],$DD160,90),0)</f>
        <v/>
      </c>
      <c r="CO160">
        <f>IFERROR(INDEX(PP_Grid[#Data],$DD160,91),0)</f>
        <v/>
      </c>
      <c r="CP160">
        <f>IFERROR(INDEX(PP_Grid[#Data],$DD160,92),0)</f>
        <v/>
      </c>
      <c r="CQ160">
        <f>IFERROR(INDEX(PP_Grid[#Data],$DD160,93),0)</f>
        <v/>
      </c>
      <c r="CR160">
        <f>IFERROR(INDEX(PP_Grid[#Data],$DD160,94),0)</f>
        <v/>
      </c>
      <c r="CS160">
        <f>IFERROR(INDEX(PP_Grid[#Data],$DD160,95),0)</f>
        <v/>
      </c>
      <c r="CT160">
        <f>IFERROR(INDEX(PP_Grid[#Data],$DD160,96),0)</f>
        <v/>
      </c>
      <c r="CU160">
        <f>IFERROR(INDEX(PP_Grid[#Data],$DD160,97),0)</f>
        <v/>
      </c>
      <c r="CV160">
        <f>IFERROR(INDEX(PP_Grid[#Data],$DD160,98),0)</f>
        <v/>
      </c>
      <c r="CW160">
        <f>IFERROR(INDEX(PP_Grid[#Data],$DD160,99),0)</f>
        <v/>
      </c>
      <c r="CX160">
        <f>IFERROR(INDEX(PP_Grid[#Data],$DD160,100),0)</f>
        <v/>
      </c>
      <c r="CY160">
        <f>IFERROR(INDEX(PP_Grid[#Data],$DD160,101),0)</f>
        <v/>
      </c>
      <c r="CZ160">
        <f>IFERROR(INDEX(PP_Grid[#Data],$DD160,102),0)</f>
        <v/>
      </c>
      <c r="DA160">
        <f>IFERROR(INDEX(PP_Grid[#Data],$DD160,103),0)</f>
        <v/>
      </c>
      <c r="DB160">
        <f>IFERROR(INDEX(PP_Grid[#Data],$DD160,104),0)</f>
        <v/>
      </c>
      <c r="DC160">
        <f>IFERROR(INDEX(PP_Grid[#Data],$DD160,105),0)</f>
        <v/>
      </c>
      <c r="DD160" s="12">
        <f>IFERROR(MATCH($B160,PP_Grid[Intermediate],0),99999)</f>
        <v/>
      </c>
    </row>
    <row r="161">
      <c r="B161" t="inlineStr">
        <is>
          <t>使用量(kg)</t>
        </is>
      </c>
      <c r="C161">
        <f>SUMIFS(M_BOM[RM_Qty_Per_Batch],M_BOM[Intermediate],$B160,M_BOM[Part Name],$A155)</f>
        <v/>
      </c>
      <c r="D161">
        <f>$C161*D160</f>
        <v/>
      </c>
      <c r="E161">
        <f>$C161*E160</f>
        <v/>
      </c>
      <c r="F161">
        <f>$C161*F160</f>
        <v/>
      </c>
      <c r="G161">
        <f>$C161*G160</f>
        <v/>
      </c>
      <c r="H161">
        <f>$C161*H160</f>
        <v/>
      </c>
      <c r="I161">
        <f>$C161*I160</f>
        <v/>
      </c>
      <c r="J161">
        <f>$C161*J160</f>
        <v/>
      </c>
      <c r="K161">
        <f>$C161*K160</f>
        <v/>
      </c>
      <c r="L161">
        <f>$C161*L160</f>
        <v/>
      </c>
      <c r="M161">
        <f>$C161*M160</f>
        <v/>
      </c>
      <c r="N161">
        <f>$C161*N160</f>
        <v/>
      </c>
      <c r="O161">
        <f>$C161*O160</f>
        <v/>
      </c>
      <c r="P161">
        <f>$C161*P160</f>
        <v/>
      </c>
      <c r="Q161">
        <f>$C161*Q160</f>
        <v/>
      </c>
      <c r="R161">
        <f>$C161*R160</f>
        <v/>
      </c>
      <c r="S161">
        <f>$C161*S160</f>
        <v/>
      </c>
      <c r="T161">
        <f>$C161*T160</f>
        <v/>
      </c>
      <c r="U161">
        <f>$C161*U160</f>
        <v/>
      </c>
      <c r="V161">
        <f>$C161*V160</f>
        <v/>
      </c>
      <c r="W161">
        <f>$C161*W160</f>
        <v/>
      </c>
      <c r="X161">
        <f>$C161*X160</f>
        <v/>
      </c>
      <c r="Y161">
        <f>$C161*Y160</f>
        <v/>
      </c>
      <c r="Z161">
        <f>$C161*Z160</f>
        <v/>
      </c>
      <c r="AA161">
        <f>$C161*AA160</f>
        <v/>
      </c>
      <c r="AB161">
        <f>$C161*AB160</f>
        <v/>
      </c>
      <c r="AC161">
        <f>$C161*AC160</f>
        <v/>
      </c>
      <c r="AD161">
        <f>$C161*AD160</f>
        <v/>
      </c>
      <c r="AE161">
        <f>$C161*AE160</f>
        <v/>
      </c>
      <c r="AF161">
        <f>$C161*AF160</f>
        <v/>
      </c>
      <c r="AG161">
        <f>$C161*AG160</f>
        <v/>
      </c>
      <c r="AH161">
        <f>$C161*AH160</f>
        <v/>
      </c>
      <c r="AI161">
        <f>$C161*AI160</f>
        <v/>
      </c>
      <c r="AJ161">
        <f>$C161*AJ160</f>
        <v/>
      </c>
      <c r="AK161">
        <f>$C161*AK160</f>
        <v/>
      </c>
      <c r="AL161">
        <f>$C161*AL160</f>
        <v/>
      </c>
      <c r="AM161">
        <f>$C161*AM160</f>
        <v/>
      </c>
      <c r="AN161">
        <f>$C161*AN160</f>
        <v/>
      </c>
      <c r="AO161">
        <f>$C161*AO160</f>
        <v/>
      </c>
      <c r="AP161">
        <f>$C161*AP160</f>
        <v/>
      </c>
      <c r="AQ161">
        <f>$C161*AQ160</f>
        <v/>
      </c>
      <c r="AR161">
        <f>$C161*AR160</f>
        <v/>
      </c>
      <c r="AS161">
        <f>$C161*AS160</f>
        <v/>
      </c>
      <c r="AT161">
        <f>$C161*AT160</f>
        <v/>
      </c>
      <c r="AU161">
        <f>$C161*AU160</f>
        <v/>
      </c>
      <c r="AV161">
        <f>$C161*AV160</f>
        <v/>
      </c>
      <c r="AW161">
        <f>$C161*AW160</f>
        <v/>
      </c>
      <c r="AX161">
        <f>$C161*AX160</f>
        <v/>
      </c>
      <c r="AY161">
        <f>$C161*AY160</f>
        <v/>
      </c>
      <c r="AZ161">
        <f>$C161*AZ160</f>
        <v/>
      </c>
      <c r="BA161">
        <f>$C161*BA160</f>
        <v/>
      </c>
      <c r="BB161">
        <f>$C161*BB160</f>
        <v/>
      </c>
      <c r="BC161">
        <f>$C161*BC160</f>
        <v/>
      </c>
      <c r="BD161">
        <f>$C161*BD160</f>
        <v/>
      </c>
      <c r="BE161">
        <f>$C161*BE160</f>
        <v/>
      </c>
      <c r="BF161">
        <f>$C161*BF160</f>
        <v/>
      </c>
      <c r="BG161">
        <f>$C161*BG160</f>
        <v/>
      </c>
      <c r="BH161">
        <f>$C161*BH160</f>
        <v/>
      </c>
      <c r="BI161">
        <f>$C161*BI160</f>
        <v/>
      </c>
      <c r="BJ161">
        <f>$C161*BJ160</f>
        <v/>
      </c>
      <c r="BK161">
        <f>$C161*BK160</f>
        <v/>
      </c>
      <c r="BL161">
        <f>$C161*BL160</f>
        <v/>
      </c>
      <c r="BM161">
        <f>$C161*BM160</f>
        <v/>
      </c>
      <c r="BN161">
        <f>$C161*BN160</f>
        <v/>
      </c>
      <c r="BO161">
        <f>$C161*BO160</f>
        <v/>
      </c>
      <c r="BP161">
        <f>$C161*BP160</f>
        <v/>
      </c>
      <c r="BQ161">
        <f>$C161*BQ160</f>
        <v/>
      </c>
      <c r="BR161">
        <f>$C161*BR160</f>
        <v/>
      </c>
      <c r="BS161">
        <f>$C161*BS160</f>
        <v/>
      </c>
      <c r="BT161">
        <f>$C161*BT160</f>
        <v/>
      </c>
      <c r="BU161">
        <f>$C161*BU160</f>
        <v/>
      </c>
      <c r="BV161">
        <f>$C161*BV160</f>
        <v/>
      </c>
      <c r="BW161">
        <f>$C161*BW160</f>
        <v/>
      </c>
      <c r="BX161">
        <f>$C161*BX160</f>
        <v/>
      </c>
      <c r="BY161">
        <f>$C161*BY160</f>
        <v/>
      </c>
      <c r="BZ161">
        <f>$C161*BZ160</f>
        <v/>
      </c>
      <c r="CA161">
        <f>$C161*CA160</f>
        <v/>
      </c>
      <c r="CB161">
        <f>$C161*CB160</f>
        <v/>
      </c>
      <c r="CC161">
        <f>$C161*CC160</f>
        <v/>
      </c>
      <c r="CD161">
        <f>$C161*CD160</f>
        <v/>
      </c>
      <c r="CE161">
        <f>$C161*CE160</f>
        <v/>
      </c>
      <c r="CF161">
        <f>$C161*CF160</f>
        <v/>
      </c>
      <c r="CG161">
        <f>$C161*CG160</f>
        <v/>
      </c>
      <c r="CH161">
        <f>$C161*CH160</f>
        <v/>
      </c>
      <c r="CI161">
        <f>$C161*CI160</f>
        <v/>
      </c>
      <c r="CJ161">
        <f>$C161*CJ160</f>
        <v/>
      </c>
      <c r="CK161">
        <f>$C161*CK160</f>
        <v/>
      </c>
      <c r="CL161">
        <f>$C161*CL160</f>
        <v/>
      </c>
      <c r="CM161">
        <f>$C161*CM160</f>
        <v/>
      </c>
      <c r="CN161">
        <f>$C161*CN160</f>
        <v/>
      </c>
      <c r="CO161">
        <f>$C161*CO160</f>
        <v/>
      </c>
      <c r="CP161">
        <f>$C161*CP160</f>
        <v/>
      </c>
      <c r="CQ161">
        <f>$C161*CQ160</f>
        <v/>
      </c>
      <c r="CR161">
        <f>$C161*CR160</f>
        <v/>
      </c>
      <c r="CS161">
        <f>$C161*CS160</f>
        <v/>
      </c>
      <c r="CT161">
        <f>$C161*CT160</f>
        <v/>
      </c>
      <c r="CU161">
        <f>$C161*CU160</f>
        <v/>
      </c>
      <c r="CV161">
        <f>$C161*CV160</f>
        <v/>
      </c>
      <c r="CW161">
        <f>$C161*CW160</f>
        <v/>
      </c>
      <c r="CX161">
        <f>$C161*CX160</f>
        <v/>
      </c>
      <c r="CY161">
        <f>$C161*CY160</f>
        <v/>
      </c>
      <c r="CZ161">
        <f>$C161*CZ160</f>
        <v/>
      </c>
      <c r="DA161">
        <f>$C161*DA160</f>
        <v/>
      </c>
      <c r="DB161">
        <f>$C161*DB160</f>
        <v/>
      </c>
      <c r="DC161">
        <f>$C161*DC160</f>
        <v/>
      </c>
    </row>
    <row r="162">
      <c r="B162" s="5" t="inlineStr">
        <is>
          <t>合計使用量(kg)/週</t>
        </is>
      </c>
      <c r="D162">
        <f>'Grid_Requirement'!B16</f>
        <v/>
      </c>
      <c r="E162">
        <f>'Grid_Requirement'!C16</f>
        <v/>
      </c>
      <c r="F162">
        <f>'Grid_Requirement'!D16</f>
        <v/>
      </c>
      <c r="G162">
        <f>'Grid_Requirement'!E16</f>
        <v/>
      </c>
      <c r="H162">
        <f>'Grid_Requirement'!F16</f>
        <v/>
      </c>
      <c r="I162">
        <f>'Grid_Requirement'!G16</f>
        <v/>
      </c>
      <c r="J162">
        <f>'Grid_Requirement'!H16</f>
        <v/>
      </c>
      <c r="K162">
        <f>'Grid_Requirement'!I16</f>
        <v/>
      </c>
      <c r="L162">
        <f>'Grid_Requirement'!J16</f>
        <v/>
      </c>
      <c r="M162">
        <f>'Grid_Requirement'!K16</f>
        <v/>
      </c>
      <c r="N162">
        <f>'Grid_Requirement'!L16</f>
        <v/>
      </c>
      <c r="O162">
        <f>'Grid_Requirement'!M16</f>
        <v/>
      </c>
      <c r="P162">
        <f>'Grid_Requirement'!N16</f>
        <v/>
      </c>
      <c r="Q162">
        <f>'Grid_Requirement'!O16</f>
        <v/>
      </c>
      <c r="R162">
        <f>'Grid_Requirement'!P16</f>
        <v/>
      </c>
      <c r="S162">
        <f>'Grid_Requirement'!Q16</f>
        <v/>
      </c>
      <c r="T162">
        <f>'Grid_Requirement'!R16</f>
        <v/>
      </c>
      <c r="U162">
        <f>'Grid_Requirement'!S16</f>
        <v/>
      </c>
      <c r="V162">
        <f>'Grid_Requirement'!T16</f>
        <v/>
      </c>
      <c r="W162">
        <f>'Grid_Requirement'!U16</f>
        <v/>
      </c>
      <c r="X162">
        <f>'Grid_Requirement'!V16</f>
        <v/>
      </c>
      <c r="Y162">
        <f>'Grid_Requirement'!W16</f>
        <v/>
      </c>
      <c r="Z162">
        <f>'Grid_Requirement'!X16</f>
        <v/>
      </c>
      <c r="AA162">
        <f>'Grid_Requirement'!Y16</f>
        <v/>
      </c>
      <c r="AB162">
        <f>'Grid_Requirement'!Z16</f>
        <v/>
      </c>
      <c r="AC162">
        <f>'Grid_Requirement'!AA16</f>
        <v/>
      </c>
      <c r="AD162">
        <f>'Grid_Requirement'!AB16</f>
        <v/>
      </c>
      <c r="AE162">
        <f>'Grid_Requirement'!AC16</f>
        <v/>
      </c>
      <c r="AF162">
        <f>'Grid_Requirement'!AD16</f>
        <v/>
      </c>
      <c r="AG162">
        <f>'Grid_Requirement'!AE16</f>
        <v/>
      </c>
      <c r="AH162">
        <f>'Grid_Requirement'!AF16</f>
        <v/>
      </c>
      <c r="AI162">
        <f>'Grid_Requirement'!AG16</f>
        <v/>
      </c>
      <c r="AJ162">
        <f>'Grid_Requirement'!AH16</f>
        <v/>
      </c>
      <c r="AK162">
        <f>'Grid_Requirement'!AI16</f>
        <v/>
      </c>
      <c r="AL162">
        <f>'Grid_Requirement'!AJ16</f>
        <v/>
      </c>
      <c r="AM162">
        <f>'Grid_Requirement'!AK16</f>
        <v/>
      </c>
      <c r="AN162">
        <f>'Grid_Requirement'!AL16</f>
        <v/>
      </c>
      <c r="AO162">
        <f>'Grid_Requirement'!AM16</f>
        <v/>
      </c>
      <c r="AP162">
        <f>'Grid_Requirement'!AN16</f>
        <v/>
      </c>
      <c r="AQ162">
        <f>'Grid_Requirement'!AO16</f>
        <v/>
      </c>
      <c r="AR162">
        <f>'Grid_Requirement'!AP16</f>
        <v/>
      </c>
      <c r="AS162">
        <f>'Grid_Requirement'!AQ16</f>
        <v/>
      </c>
      <c r="AT162">
        <f>'Grid_Requirement'!AR16</f>
        <v/>
      </c>
      <c r="AU162">
        <f>'Grid_Requirement'!AS16</f>
        <v/>
      </c>
      <c r="AV162">
        <f>'Grid_Requirement'!AT16</f>
        <v/>
      </c>
      <c r="AW162">
        <f>'Grid_Requirement'!AU16</f>
        <v/>
      </c>
      <c r="AX162">
        <f>'Grid_Requirement'!AV16</f>
        <v/>
      </c>
      <c r="AY162">
        <f>'Grid_Requirement'!AW16</f>
        <v/>
      </c>
      <c r="AZ162">
        <f>'Grid_Requirement'!AX16</f>
        <v/>
      </c>
      <c r="BA162">
        <f>'Grid_Requirement'!AY16</f>
        <v/>
      </c>
      <c r="BB162">
        <f>'Grid_Requirement'!AZ16</f>
        <v/>
      </c>
      <c r="BC162">
        <f>'Grid_Requirement'!BA16</f>
        <v/>
      </c>
      <c r="BD162">
        <f>'Grid_Requirement'!BB16</f>
        <v/>
      </c>
      <c r="BE162">
        <f>'Grid_Requirement'!BC16</f>
        <v/>
      </c>
      <c r="BF162">
        <f>'Grid_Requirement'!BD16</f>
        <v/>
      </c>
      <c r="BG162">
        <f>'Grid_Requirement'!BE16</f>
        <v/>
      </c>
      <c r="BH162">
        <f>'Grid_Requirement'!BF16</f>
        <v/>
      </c>
      <c r="BI162">
        <f>'Grid_Requirement'!BG16</f>
        <v/>
      </c>
      <c r="BJ162">
        <f>'Grid_Requirement'!BH16</f>
        <v/>
      </c>
      <c r="BK162">
        <f>'Grid_Requirement'!BI16</f>
        <v/>
      </c>
      <c r="BL162">
        <f>'Grid_Requirement'!BJ16</f>
        <v/>
      </c>
      <c r="BM162">
        <f>'Grid_Requirement'!BK16</f>
        <v/>
      </c>
      <c r="BN162">
        <f>'Grid_Requirement'!BL16</f>
        <v/>
      </c>
      <c r="BO162">
        <f>'Grid_Requirement'!BM16</f>
        <v/>
      </c>
      <c r="BP162">
        <f>'Grid_Requirement'!BN16</f>
        <v/>
      </c>
      <c r="BQ162">
        <f>'Grid_Requirement'!BO16</f>
        <v/>
      </c>
      <c r="BR162">
        <f>'Grid_Requirement'!BP16</f>
        <v/>
      </c>
      <c r="BS162">
        <f>'Grid_Requirement'!BQ16</f>
        <v/>
      </c>
      <c r="BT162">
        <f>'Grid_Requirement'!BR16</f>
        <v/>
      </c>
      <c r="BU162">
        <f>'Grid_Requirement'!BS16</f>
        <v/>
      </c>
      <c r="BV162">
        <f>'Grid_Requirement'!BT16</f>
        <v/>
      </c>
      <c r="BW162">
        <f>'Grid_Requirement'!BU16</f>
        <v/>
      </c>
      <c r="BX162">
        <f>'Grid_Requirement'!BV16</f>
        <v/>
      </c>
      <c r="BY162">
        <f>'Grid_Requirement'!BW16</f>
        <v/>
      </c>
      <c r="BZ162">
        <f>'Grid_Requirement'!BX16</f>
        <v/>
      </c>
      <c r="CA162">
        <f>'Grid_Requirement'!BY16</f>
        <v/>
      </c>
      <c r="CB162">
        <f>'Grid_Requirement'!BZ16</f>
        <v/>
      </c>
      <c r="CC162">
        <f>'Grid_Requirement'!CA16</f>
        <v/>
      </c>
      <c r="CD162">
        <f>'Grid_Requirement'!CB16</f>
        <v/>
      </c>
      <c r="CE162">
        <f>'Grid_Requirement'!CC16</f>
        <v/>
      </c>
      <c r="CF162">
        <f>'Grid_Requirement'!CD16</f>
        <v/>
      </c>
      <c r="CG162">
        <f>'Grid_Requirement'!CE16</f>
        <v/>
      </c>
      <c r="CH162">
        <f>'Grid_Requirement'!CF16</f>
        <v/>
      </c>
      <c r="CI162">
        <f>'Grid_Requirement'!CG16</f>
        <v/>
      </c>
      <c r="CJ162">
        <f>'Grid_Requirement'!CH16</f>
        <v/>
      </c>
      <c r="CK162">
        <f>'Grid_Requirement'!CI16</f>
        <v/>
      </c>
      <c r="CL162">
        <f>'Grid_Requirement'!CJ16</f>
        <v/>
      </c>
      <c r="CM162">
        <f>'Grid_Requirement'!CK16</f>
        <v/>
      </c>
      <c r="CN162">
        <f>'Grid_Requirement'!CL16</f>
        <v/>
      </c>
      <c r="CO162">
        <f>'Grid_Requirement'!CM16</f>
        <v/>
      </c>
      <c r="CP162">
        <f>'Grid_Requirement'!CN16</f>
        <v/>
      </c>
      <c r="CQ162">
        <f>'Grid_Requirement'!CO16</f>
        <v/>
      </c>
      <c r="CR162">
        <f>'Grid_Requirement'!CP16</f>
        <v/>
      </c>
      <c r="CS162">
        <f>'Grid_Requirement'!CQ16</f>
        <v/>
      </c>
      <c r="CT162">
        <f>'Grid_Requirement'!CR16</f>
        <v/>
      </c>
      <c r="CU162">
        <f>'Grid_Requirement'!CS16</f>
        <v/>
      </c>
      <c r="CV162">
        <f>'Grid_Requirement'!CT16</f>
        <v/>
      </c>
      <c r="CW162">
        <f>'Grid_Requirement'!CU16</f>
        <v/>
      </c>
      <c r="CX162">
        <f>'Grid_Requirement'!CV16</f>
        <v/>
      </c>
      <c r="CY162">
        <f>'Grid_Requirement'!CW16</f>
        <v/>
      </c>
      <c r="CZ162">
        <f>'Grid_Requirement'!CX16</f>
        <v/>
      </c>
      <c r="DA162">
        <f>'Grid_Requirement'!CY16</f>
        <v/>
      </c>
      <c r="DB162">
        <f>'Grid_Requirement'!CZ16</f>
        <v/>
      </c>
      <c r="DC162">
        <f>'Grid_Requirement'!DA16</f>
        <v/>
      </c>
    </row>
    <row r="163">
      <c r="B163" t="inlineStr">
        <is>
          <t>TTAF在庫(実績,kg)</t>
        </is>
      </c>
      <c r="D163">
        <f>'T_TTAFStock'!B20</f>
        <v/>
      </c>
      <c r="E163">
        <f>'T_TTAFStock'!C20</f>
        <v/>
      </c>
      <c r="F163">
        <f>'T_TTAFStock'!D20</f>
        <v/>
      </c>
      <c r="G163">
        <f>'T_TTAFStock'!E20</f>
        <v/>
      </c>
      <c r="H163">
        <f>'T_TTAFStock'!F20</f>
        <v/>
      </c>
      <c r="I163">
        <f>'T_TTAFStock'!G20</f>
        <v/>
      </c>
      <c r="J163">
        <f>'T_TTAFStock'!H20</f>
        <v/>
      </c>
      <c r="K163">
        <f>'T_TTAFStock'!I20</f>
        <v/>
      </c>
      <c r="L163">
        <f>'T_TTAFStock'!J20</f>
        <v/>
      </c>
      <c r="M163">
        <f>'T_TTAFStock'!K20</f>
        <v/>
      </c>
      <c r="N163">
        <f>'T_TTAFStock'!L20</f>
        <v/>
      </c>
      <c r="O163">
        <f>'T_TTAFStock'!M20</f>
        <v/>
      </c>
      <c r="P163">
        <f>'T_TTAFStock'!N20</f>
        <v/>
      </c>
      <c r="Q163">
        <f>'T_TTAFStock'!O20</f>
        <v/>
      </c>
      <c r="R163">
        <f>'T_TTAFStock'!P20</f>
        <v/>
      </c>
      <c r="S163">
        <f>'T_TTAFStock'!Q20</f>
        <v/>
      </c>
      <c r="T163">
        <f>'T_TTAFStock'!R20</f>
        <v/>
      </c>
      <c r="U163">
        <f>'T_TTAFStock'!S20</f>
        <v/>
      </c>
      <c r="V163">
        <f>'T_TTAFStock'!T20</f>
        <v/>
      </c>
      <c r="W163">
        <f>'T_TTAFStock'!U20</f>
        <v/>
      </c>
      <c r="X163">
        <f>'T_TTAFStock'!V20</f>
        <v/>
      </c>
      <c r="Y163">
        <f>'T_TTAFStock'!W20</f>
        <v/>
      </c>
      <c r="Z163">
        <f>'T_TTAFStock'!X20</f>
        <v/>
      </c>
      <c r="AA163">
        <f>'T_TTAFStock'!Y20</f>
        <v/>
      </c>
      <c r="AB163">
        <f>'T_TTAFStock'!Z20</f>
        <v/>
      </c>
      <c r="AC163">
        <f>'T_TTAFStock'!AA20</f>
        <v/>
      </c>
      <c r="AD163">
        <f>'T_TTAFStock'!AB20</f>
        <v/>
      </c>
      <c r="AE163">
        <f>'T_TTAFStock'!AC20</f>
        <v/>
      </c>
      <c r="AF163">
        <f>'T_TTAFStock'!AD20</f>
        <v/>
      </c>
      <c r="AG163">
        <f>'T_TTAFStock'!AE20</f>
        <v/>
      </c>
      <c r="AH163">
        <f>'T_TTAFStock'!AF20</f>
        <v/>
      </c>
      <c r="AI163">
        <f>'T_TTAFStock'!AG20</f>
        <v/>
      </c>
      <c r="AJ163">
        <f>'T_TTAFStock'!AH20</f>
        <v/>
      </c>
      <c r="AK163">
        <f>'T_TTAFStock'!AI20</f>
        <v/>
      </c>
      <c r="AL163">
        <f>'T_TTAFStock'!AJ20</f>
        <v/>
      </c>
      <c r="AM163">
        <f>'T_TTAFStock'!AK20</f>
        <v/>
      </c>
      <c r="AN163">
        <f>'T_TTAFStock'!AL20</f>
        <v/>
      </c>
      <c r="AO163">
        <f>'T_TTAFStock'!AM20</f>
        <v/>
      </c>
      <c r="AP163">
        <f>'T_TTAFStock'!AN20</f>
        <v/>
      </c>
      <c r="AQ163">
        <f>'T_TTAFStock'!AO20</f>
        <v/>
      </c>
      <c r="AR163">
        <f>'T_TTAFStock'!AP20</f>
        <v/>
      </c>
      <c r="AS163">
        <f>'T_TTAFStock'!AQ20</f>
        <v/>
      </c>
      <c r="AT163">
        <f>'T_TTAFStock'!AR20</f>
        <v/>
      </c>
      <c r="AU163">
        <f>'T_TTAFStock'!AS20</f>
        <v/>
      </c>
      <c r="AV163">
        <f>'T_TTAFStock'!AT20</f>
        <v/>
      </c>
      <c r="AW163">
        <f>'T_TTAFStock'!AU20</f>
        <v/>
      </c>
      <c r="AX163">
        <f>'T_TTAFStock'!AV20</f>
        <v/>
      </c>
      <c r="AY163">
        <f>'T_TTAFStock'!AW20</f>
        <v/>
      </c>
      <c r="AZ163">
        <f>'T_TTAFStock'!AX20</f>
        <v/>
      </c>
      <c r="BA163">
        <f>'T_TTAFStock'!AY20</f>
        <v/>
      </c>
      <c r="BB163">
        <f>'T_TTAFStock'!AZ20</f>
        <v/>
      </c>
      <c r="BC163">
        <f>'T_TTAFStock'!BA20</f>
        <v/>
      </c>
      <c r="BD163">
        <f>'T_TTAFStock'!BB20</f>
        <v/>
      </c>
      <c r="BE163">
        <f>'T_TTAFStock'!BC20</f>
        <v/>
      </c>
      <c r="BF163">
        <f>'T_TTAFStock'!BD20</f>
        <v/>
      </c>
      <c r="BG163">
        <f>'T_TTAFStock'!BE20</f>
        <v/>
      </c>
      <c r="BH163">
        <f>'T_TTAFStock'!BF20</f>
        <v/>
      </c>
      <c r="BI163">
        <f>'T_TTAFStock'!BG20</f>
        <v/>
      </c>
      <c r="BJ163">
        <f>'T_TTAFStock'!BH20</f>
        <v/>
      </c>
      <c r="BK163">
        <f>'T_TTAFStock'!BI20</f>
        <v/>
      </c>
      <c r="BL163">
        <f>'T_TTAFStock'!BJ20</f>
        <v/>
      </c>
      <c r="BM163">
        <f>'T_TTAFStock'!BK20</f>
        <v/>
      </c>
      <c r="BN163">
        <f>'T_TTAFStock'!BL20</f>
        <v/>
      </c>
      <c r="BO163">
        <f>'T_TTAFStock'!BM20</f>
        <v/>
      </c>
      <c r="BP163">
        <f>'T_TTAFStock'!BN20</f>
        <v/>
      </c>
      <c r="BQ163">
        <f>'T_TTAFStock'!BO20</f>
        <v/>
      </c>
      <c r="BR163">
        <f>'T_TTAFStock'!BP20</f>
        <v/>
      </c>
      <c r="BS163">
        <f>'T_TTAFStock'!BQ20</f>
        <v/>
      </c>
      <c r="BT163">
        <f>'T_TTAFStock'!BR20</f>
        <v/>
      </c>
      <c r="BU163">
        <f>'T_TTAFStock'!BS20</f>
        <v/>
      </c>
      <c r="BV163">
        <f>'T_TTAFStock'!BT20</f>
        <v/>
      </c>
      <c r="BW163">
        <f>'T_TTAFStock'!BU20</f>
        <v/>
      </c>
      <c r="BX163">
        <f>'T_TTAFStock'!BV20</f>
        <v/>
      </c>
      <c r="BY163">
        <f>'T_TTAFStock'!BW20</f>
        <v/>
      </c>
      <c r="BZ163">
        <f>'T_TTAFStock'!BX20</f>
        <v/>
      </c>
      <c r="CA163">
        <f>'T_TTAFStock'!BY20</f>
        <v/>
      </c>
      <c r="CB163">
        <f>'T_TTAFStock'!BZ20</f>
        <v/>
      </c>
      <c r="CC163">
        <f>'T_TTAFStock'!CA20</f>
        <v/>
      </c>
      <c r="CD163">
        <f>'T_TTAFStock'!CB20</f>
        <v/>
      </c>
      <c r="CE163">
        <f>'T_TTAFStock'!CC20</f>
        <v/>
      </c>
      <c r="CF163">
        <f>'T_TTAFStock'!CD20</f>
        <v/>
      </c>
      <c r="CG163">
        <f>'T_TTAFStock'!CE20</f>
        <v/>
      </c>
      <c r="CH163">
        <f>'T_TTAFStock'!CF20</f>
        <v/>
      </c>
      <c r="CI163">
        <f>'T_TTAFStock'!CG20</f>
        <v/>
      </c>
      <c r="CJ163">
        <f>'T_TTAFStock'!CH20</f>
        <v/>
      </c>
      <c r="CK163">
        <f>'T_TTAFStock'!CI20</f>
        <v/>
      </c>
      <c r="CL163">
        <f>'T_TTAFStock'!CJ20</f>
        <v/>
      </c>
      <c r="CM163">
        <f>'T_TTAFStock'!CK20</f>
        <v/>
      </c>
      <c r="CN163">
        <f>'T_TTAFStock'!CL20</f>
        <v/>
      </c>
      <c r="CO163">
        <f>'T_TTAFStock'!CM20</f>
        <v/>
      </c>
      <c r="CP163">
        <f>'T_TTAFStock'!CN20</f>
        <v/>
      </c>
      <c r="CQ163">
        <f>'T_TTAFStock'!CO20</f>
        <v/>
      </c>
      <c r="CR163">
        <f>'T_TTAFStock'!CP20</f>
        <v/>
      </c>
      <c r="CS163">
        <f>'T_TTAFStock'!CQ20</f>
        <v/>
      </c>
      <c r="CT163">
        <f>'T_TTAFStock'!CR20</f>
        <v/>
      </c>
      <c r="CU163">
        <f>'T_TTAFStock'!CS20</f>
        <v/>
      </c>
      <c r="CV163">
        <f>'T_TTAFStock'!CT20</f>
        <v/>
      </c>
      <c r="CW163">
        <f>'T_TTAFStock'!CU20</f>
        <v/>
      </c>
      <c r="CX163">
        <f>'T_TTAFStock'!CV20</f>
        <v/>
      </c>
      <c r="CY163">
        <f>'T_TTAFStock'!CW20</f>
        <v/>
      </c>
      <c r="CZ163">
        <f>'T_TTAFStock'!CX20</f>
        <v/>
      </c>
      <c r="DA163">
        <f>'T_TTAFStock'!CY20</f>
        <v/>
      </c>
      <c r="DB163">
        <f>'T_TTAFStock'!CZ20</f>
        <v/>
      </c>
      <c r="DC163">
        <f>'T_TTAFStock'!DA20</f>
        <v/>
      </c>
    </row>
    <row r="164">
      <c r="B164" t="inlineStr">
        <is>
          <t>自社在庫(実績,kg)</t>
        </is>
      </c>
      <c r="D164">
        <f>'T_SelfStock'!B20</f>
        <v/>
      </c>
      <c r="E164">
        <f>'T_SelfStock'!C20</f>
        <v/>
      </c>
      <c r="F164">
        <f>'T_SelfStock'!D20</f>
        <v/>
      </c>
      <c r="G164">
        <f>'T_SelfStock'!E20</f>
        <v/>
      </c>
      <c r="H164">
        <f>'T_SelfStock'!F20</f>
        <v/>
      </c>
      <c r="I164">
        <f>'T_SelfStock'!G20</f>
        <v/>
      </c>
      <c r="J164">
        <f>'T_SelfStock'!H20</f>
        <v/>
      </c>
      <c r="K164">
        <f>'T_SelfStock'!I20</f>
        <v/>
      </c>
      <c r="L164">
        <f>'T_SelfStock'!J20</f>
        <v/>
      </c>
      <c r="M164">
        <f>'T_SelfStock'!K20</f>
        <v/>
      </c>
      <c r="N164">
        <f>'T_SelfStock'!L20</f>
        <v/>
      </c>
      <c r="O164">
        <f>'T_SelfStock'!M20</f>
        <v/>
      </c>
      <c r="P164">
        <f>'T_SelfStock'!N20</f>
        <v/>
      </c>
      <c r="Q164">
        <f>'T_SelfStock'!O20</f>
        <v/>
      </c>
      <c r="R164">
        <f>'T_SelfStock'!P20</f>
        <v/>
      </c>
      <c r="S164">
        <f>'T_SelfStock'!Q20</f>
        <v/>
      </c>
      <c r="T164">
        <f>'T_SelfStock'!R20</f>
        <v/>
      </c>
      <c r="U164">
        <f>'T_SelfStock'!S20</f>
        <v/>
      </c>
      <c r="V164">
        <f>'T_SelfStock'!T20</f>
        <v/>
      </c>
      <c r="W164">
        <f>'T_SelfStock'!U20</f>
        <v/>
      </c>
      <c r="X164">
        <f>'T_SelfStock'!V20</f>
        <v/>
      </c>
      <c r="Y164">
        <f>'T_SelfStock'!W20</f>
        <v/>
      </c>
      <c r="Z164">
        <f>'T_SelfStock'!X20</f>
        <v/>
      </c>
      <c r="AA164">
        <f>'T_SelfStock'!Y20</f>
        <v/>
      </c>
      <c r="AB164">
        <f>'T_SelfStock'!Z20</f>
        <v/>
      </c>
      <c r="AC164">
        <f>'T_SelfStock'!AA20</f>
        <v/>
      </c>
      <c r="AD164">
        <f>'T_SelfStock'!AB20</f>
        <v/>
      </c>
      <c r="AE164">
        <f>'T_SelfStock'!AC20</f>
        <v/>
      </c>
      <c r="AF164">
        <f>'T_SelfStock'!AD20</f>
        <v/>
      </c>
      <c r="AG164">
        <f>'T_SelfStock'!AE20</f>
        <v/>
      </c>
      <c r="AH164">
        <f>'T_SelfStock'!AF20</f>
        <v/>
      </c>
      <c r="AI164">
        <f>'T_SelfStock'!AG20</f>
        <v/>
      </c>
      <c r="AJ164">
        <f>'T_SelfStock'!AH20</f>
        <v/>
      </c>
      <c r="AK164">
        <f>'T_SelfStock'!AI20</f>
        <v/>
      </c>
      <c r="AL164">
        <f>'T_SelfStock'!AJ20</f>
        <v/>
      </c>
      <c r="AM164">
        <f>'T_SelfStock'!AK20</f>
        <v/>
      </c>
      <c r="AN164">
        <f>'T_SelfStock'!AL20</f>
        <v/>
      </c>
      <c r="AO164">
        <f>'T_SelfStock'!AM20</f>
        <v/>
      </c>
      <c r="AP164">
        <f>'T_SelfStock'!AN20</f>
        <v/>
      </c>
      <c r="AQ164">
        <f>'T_SelfStock'!AO20</f>
        <v/>
      </c>
      <c r="AR164">
        <f>'T_SelfStock'!AP20</f>
        <v/>
      </c>
      <c r="AS164">
        <f>'T_SelfStock'!AQ20</f>
        <v/>
      </c>
      <c r="AT164">
        <f>'T_SelfStock'!AR20</f>
        <v/>
      </c>
      <c r="AU164">
        <f>'T_SelfStock'!AS20</f>
        <v/>
      </c>
      <c r="AV164">
        <f>'T_SelfStock'!AT20</f>
        <v/>
      </c>
      <c r="AW164">
        <f>'T_SelfStock'!AU20</f>
        <v/>
      </c>
      <c r="AX164">
        <f>'T_SelfStock'!AV20</f>
        <v/>
      </c>
      <c r="AY164">
        <f>'T_SelfStock'!AW20</f>
        <v/>
      </c>
      <c r="AZ164">
        <f>'T_SelfStock'!AX20</f>
        <v/>
      </c>
      <c r="BA164">
        <f>'T_SelfStock'!AY20</f>
        <v/>
      </c>
      <c r="BB164">
        <f>'T_SelfStock'!AZ20</f>
        <v/>
      </c>
      <c r="BC164">
        <f>'T_SelfStock'!BA20</f>
        <v/>
      </c>
      <c r="BD164">
        <f>'T_SelfStock'!BB20</f>
        <v/>
      </c>
      <c r="BE164">
        <f>'T_SelfStock'!BC20</f>
        <v/>
      </c>
      <c r="BF164">
        <f>'T_SelfStock'!BD20</f>
        <v/>
      </c>
      <c r="BG164">
        <f>'T_SelfStock'!BE20</f>
        <v/>
      </c>
      <c r="BH164">
        <f>'T_SelfStock'!BF20</f>
        <v/>
      </c>
      <c r="BI164">
        <f>'T_SelfStock'!BG20</f>
        <v/>
      </c>
      <c r="BJ164">
        <f>'T_SelfStock'!BH20</f>
        <v/>
      </c>
      <c r="BK164">
        <f>'T_SelfStock'!BI20</f>
        <v/>
      </c>
      <c r="BL164">
        <f>'T_SelfStock'!BJ20</f>
        <v/>
      </c>
      <c r="BM164">
        <f>'T_SelfStock'!BK20</f>
        <v/>
      </c>
      <c r="BN164">
        <f>'T_SelfStock'!BL20</f>
        <v/>
      </c>
      <c r="BO164">
        <f>'T_SelfStock'!BM20</f>
        <v/>
      </c>
      <c r="BP164">
        <f>'T_SelfStock'!BN20</f>
        <v/>
      </c>
      <c r="BQ164">
        <f>'T_SelfStock'!BO20</f>
        <v/>
      </c>
      <c r="BR164">
        <f>'T_SelfStock'!BP20</f>
        <v/>
      </c>
      <c r="BS164">
        <f>'T_SelfStock'!BQ20</f>
        <v/>
      </c>
      <c r="BT164">
        <f>'T_SelfStock'!BR20</f>
        <v/>
      </c>
      <c r="BU164">
        <f>'T_SelfStock'!BS20</f>
        <v/>
      </c>
      <c r="BV164">
        <f>'T_SelfStock'!BT20</f>
        <v/>
      </c>
      <c r="BW164">
        <f>'T_SelfStock'!BU20</f>
        <v/>
      </c>
      <c r="BX164">
        <f>'T_SelfStock'!BV20</f>
        <v/>
      </c>
      <c r="BY164">
        <f>'T_SelfStock'!BW20</f>
        <v/>
      </c>
      <c r="BZ164">
        <f>'T_SelfStock'!BX20</f>
        <v/>
      </c>
      <c r="CA164">
        <f>'T_SelfStock'!BY20</f>
        <v/>
      </c>
      <c r="CB164">
        <f>'T_SelfStock'!BZ20</f>
        <v/>
      </c>
      <c r="CC164">
        <f>'T_SelfStock'!CA20</f>
        <v/>
      </c>
      <c r="CD164">
        <f>'T_SelfStock'!CB20</f>
        <v/>
      </c>
      <c r="CE164">
        <f>'T_SelfStock'!CC20</f>
        <v/>
      </c>
      <c r="CF164">
        <f>'T_SelfStock'!CD20</f>
        <v/>
      </c>
      <c r="CG164">
        <f>'T_SelfStock'!CE20</f>
        <v/>
      </c>
      <c r="CH164">
        <f>'T_SelfStock'!CF20</f>
        <v/>
      </c>
      <c r="CI164">
        <f>'T_SelfStock'!CG20</f>
        <v/>
      </c>
      <c r="CJ164">
        <f>'T_SelfStock'!CH20</f>
        <v/>
      </c>
      <c r="CK164">
        <f>'T_SelfStock'!CI20</f>
        <v/>
      </c>
      <c r="CL164">
        <f>'T_SelfStock'!CJ20</f>
        <v/>
      </c>
      <c r="CM164">
        <f>'T_SelfStock'!CK20</f>
        <v/>
      </c>
      <c r="CN164">
        <f>'T_SelfStock'!CL20</f>
        <v/>
      </c>
      <c r="CO164">
        <f>'T_SelfStock'!CM20</f>
        <v/>
      </c>
      <c r="CP164">
        <f>'T_SelfStock'!CN20</f>
        <v/>
      </c>
      <c r="CQ164">
        <f>'T_SelfStock'!CO20</f>
        <v/>
      </c>
      <c r="CR164">
        <f>'T_SelfStock'!CP20</f>
        <v/>
      </c>
      <c r="CS164">
        <f>'T_SelfStock'!CQ20</f>
        <v/>
      </c>
      <c r="CT164">
        <f>'T_SelfStock'!CR20</f>
        <v/>
      </c>
      <c r="CU164">
        <f>'T_SelfStock'!CS20</f>
        <v/>
      </c>
      <c r="CV164">
        <f>'T_SelfStock'!CT20</f>
        <v/>
      </c>
      <c r="CW164">
        <f>'T_SelfStock'!CU20</f>
        <v/>
      </c>
      <c r="CX164">
        <f>'T_SelfStock'!CV20</f>
        <v/>
      </c>
      <c r="CY164">
        <f>'T_SelfStock'!CW20</f>
        <v/>
      </c>
      <c r="CZ164">
        <f>'T_SelfStock'!CX20</f>
        <v/>
      </c>
      <c r="DA164">
        <f>'T_SelfStock'!CY20</f>
        <v/>
      </c>
      <c r="DB164">
        <f>'T_SelfStock'!CZ20</f>
        <v/>
      </c>
      <c r="DC164">
        <f>'T_SelfStock'!DA20</f>
        <v/>
      </c>
    </row>
    <row r="165">
      <c r="B165" t="inlineStr">
        <is>
          <t>Order(発注予定,kg)</t>
        </is>
      </c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  <c r="AB165" s="23" t="n"/>
      <c r="AC165" s="23" t="n"/>
      <c r="AD165" s="23" t="n"/>
      <c r="AE165" s="23" t="n"/>
      <c r="AF165" s="23" t="n"/>
      <c r="AG165" s="23" t="n"/>
      <c r="AH165" s="23" t="n"/>
      <c r="AI165" s="23" t="n"/>
      <c r="AJ165" s="23" t="n"/>
      <c r="AK165" s="23" t="n"/>
      <c r="AL165" s="23" t="n"/>
      <c r="AM165" s="23" t="n"/>
      <c r="AN165" s="23" t="n"/>
      <c r="AO165" s="23" t="n"/>
      <c r="AP165" s="23" t="n"/>
      <c r="AQ165" s="23" t="n"/>
      <c r="AR165" s="23" t="n"/>
      <c r="AS165" s="23" t="n"/>
      <c r="AT165" s="23" t="n"/>
      <c r="AU165" s="23" t="n"/>
      <c r="AV165" s="23" t="n"/>
      <c r="AW165" s="23" t="n"/>
      <c r="AX165" s="23" t="n"/>
      <c r="AY165" s="23" t="n"/>
      <c r="AZ165" s="23" t="n"/>
      <c r="BA165" s="23" t="n"/>
      <c r="BB165" s="23" t="n"/>
      <c r="BC165" s="23" t="n"/>
      <c r="BD165" s="23" t="n"/>
      <c r="BE165" s="23" t="n"/>
      <c r="BF165" s="23" t="n"/>
      <c r="BG165" s="23" t="n"/>
      <c r="BH165" s="23" t="n"/>
      <c r="BI165" s="23" t="n"/>
      <c r="BJ165" s="23" t="n"/>
      <c r="BK165" s="23" t="n"/>
      <c r="BL165" s="23" t="n"/>
      <c r="BM165" s="23" t="n"/>
      <c r="BN165" s="23" t="n"/>
      <c r="BO165" s="23" t="n"/>
      <c r="BP165" s="23" t="n"/>
      <c r="BQ165" s="23" t="n"/>
      <c r="BR165" s="23" t="n"/>
      <c r="BS165" s="23" t="n"/>
      <c r="BT165" s="23" t="n"/>
      <c r="BU165" s="23" t="n"/>
      <c r="BV165" s="23" t="n"/>
      <c r="BW165" s="23" t="n"/>
      <c r="BX165" s="23" t="n"/>
      <c r="BY165" s="23" t="n"/>
      <c r="BZ165" s="23" t="n"/>
      <c r="CA165" s="23" t="n"/>
      <c r="CB165" s="23" t="n"/>
      <c r="CC165" s="23" t="n"/>
      <c r="CD165" s="23" t="n"/>
      <c r="CE165" s="23" t="n"/>
      <c r="CF165" s="23" t="n"/>
      <c r="CG165" s="23" t="n"/>
      <c r="CH165" s="23" t="n"/>
      <c r="CI165" s="23" t="n"/>
      <c r="CJ165" s="23" t="n"/>
      <c r="CK165" s="23" t="n"/>
      <c r="CL165" s="23" t="n"/>
      <c r="CM165" s="23" t="n"/>
      <c r="CN165" s="23" t="n"/>
      <c r="CO165" s="23" t="n"/>
      <c r="CP165" s="23" t="n"/>
      <c r="CQ165" s="23" t="n"/>
      <c r="CR165" s="23" t="n"/>
      <c r="CS165" s="23" t="n"/>
      <c r="CT165" s="23" t="n"/>
      <c r="CU165" s="23" t="n"/>
      <c r="CV165" s="23" t="n"/>
      <c r="CW165" s="23" t="n"/>
      <c r="CX165" s="23" t="n"/>
      <c r="CY165" s="23" t="n"/>
      <c r="CZ165" s="23" t="n"/>
      <c r="DA165" s="23" t="n"/>
      <c r="DB165" s="23" t="n"/>
      <c r="DC165" s="23" t="n"/>
      <c r="DE165" s="12" t="inlineStr">
        <is>
          <t>8EN</t>
        </is>
      </c>
    </row>
    <row r="166">
      <c r="B166" s="24" t="inlineStr">
        <is>
          <t>PO_No</t>
        </is>
      </c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  <c r="AD166" s="25" t="n"/>
      <c r="AE166" s="25" t="n"/>
      <c r="AF166" s="25" t="n"/>
      <c r="AG166" s="25" t="n"/>
      <c r="AH166" s="25" t="n"/>
      <c r="AI166" s="25" t="n"/>
      <c r="AJ166" s="25" t="n"/>
      <c r="AK166" s="25" t="n"/>
      <c r="AL166" s="25" t="n"/>
      <c r="AM166" s="25" t="n"/>
      <c r="AN166" s="25" t="n"/>
      <c r="AO166" s="25" t="n"/>
      <c r="AP166" s="25" t="n"/>
      <c r="AQ166" s="25" t="n"/>
      <c r="AR166" s="25" t="n"/>
      <c r="AS166" s="25" t="n"/>
      <c r="AT166" s="25" t="n"/>
      <c r="AU166" s="25" t="n"/>
      <c r="AV166" s="25" t="n"/>
      <c r="AW166" s="25" t="n"/>
      <c r="AX166" s="25" t="n"/>
      <c r="AY166" s="25" t="n"/>
      <c r="AZ166" s="25" t="n"/>
      <c r="BA166" s="25" t="n"/>
      <c r="BB166" s="25" t="n"/>
      <c r="BC166" s="25" t="n"/>
      <c r="BD166" s="25" t="n"/>
      <c r="BE166" s="25" t="n"/>
      <c r="BF166" s="25" t="n"/>
      <c r="BG166" s="25" t="n"/>
      <c r="BH166" s="25" t="n"/>
      <c r="BI166" s="25" t="n"/>
      <c r="BJ166" s="25" t="n"/>
      <c r="BK166" s="25" t="n"/>
      <c r="BL166" s="25" t="n"/>
      <c r="BM166" s="25" t="n"/>
      <c r="BN166" s="25" t="n"/>
      <c r="BO166" s="25" t="n"/>
      <c r="BP166" s="25" t="n"/>
      <c r="BQ166" s="25" t="n"/>
      <c r="BR166" s="25" t="n"/>
      <c r="BS166" s="25" t="n"/>
      <c r="BT166" s="25" t="n"/>
      <c r="BU166" s="25" t="n"/>
      <c r="BV166" s="25" t="n"/>
      <c r="BW166" s="25" t="n"/>
      <c r="BX166" s="25" t="n"/>
      <c r="BY166" s="25" t="n"/>
      <c r="BZ166" s="25" t="n"/>
      <c r="CA166" s="25" t="n"/>
      <c r="CB166" s="25" t="n"/>
      <c r="CC166" s="25" t="n"/>
      <c r="CD166" s="25" t="n"/>
      <c r="CE166" s="25" t="n"/>
      <c r="CF166" s="25" t="n"/>
      <c r="CG166" s="25" t="n"/>
      <c r="CH166" s="25" t="n"/>
      <c r="CI166" s="25" t="n"/>
      <c r="CJ166" s="25" t="n"/>
      <c r="CK166" s="25" t="n"/>
      <c r="CL166" s="25" t="n"/>
      <c r="CM166" s="25" t="n"/>
      <c r="CN166" s="25" t="n"/>
      <c r="CO166" s="25" t="n"/>
      <c r="CP166" s="25" t="n"/>
      <c r="CQ166" s="25" t="n"/>
      <c r="CR166" s="25" t="n"/>
      <c r="CS166" s="25" t="n"/>
      <c r="CT166" s="25" t="n"/>
      <c r="CU166" s="25" t="n"/>
      <c r="CV166" s="25" t="n"/>
      <c r="CW166" s="25" t="n"/>
      <c r="CX166" s="25" t="n"/>
      <c r="CY166" s="25" t="n"/>
      <c r="CZ166" s="25" t="n"/>
      <c r="DA166" s="25" t="n"/>
      <c r="DB166" s="25" t="n"/>
      <c r="DC166" s="25" t="n"/>
    </row>
    <row r="167">
      <c r="B167" s="5" t="inlineStr">
        <is>
          <t>合計在庫(週末時点,kg)</t>
        </is>
      </c>
      <c r="D167">
        <f>'Grid_Stock'!B16</f>
        <v/>
      </c>
      <c r="E167">
        <f>'Grid_Stock'!C16</f>
        <v/>
      </c>
      <c r="F167">
        <f>'Grid_Stock'!D16</f>
        <v/>
      </c>
      <c r="G167">
        <f>'Grid_Stock'!E16</f>
        <v/>
      </c>
      <c r="H167">
        <f>'Grid_Stock'!F16</f>
        <v/>
      </c>
      <c r="I167">
        <f>'Grid_Stock'!G16</f>
        <v/>
      </c>
      <c r="J167">
        <f>'Grid_Stock'!H16</f>
        <v/>
      </c>
      <c r="K167">
        <f>'Grid_Stock'!I16</f>
        <v/>
      </c>
      <c r="L167">
        <f>'Grid_Stock'!J16</f>
        <v/>
      </c>
      <c r="M167">
        <f>'Grid_Stock'!K16</f>
        <v/>
      </c>
      <c r="N167">
        <f>'Grid_Stock'!L16</f>
        <v/>
      </c>
      <c r="O167">
        <f>'Grid_Stock'!M16</f>
        <v/>
      </c>
      <c r="P167">
        <f>'Grid_Stock'!N16</f>
        <v/>
      </c>
      <c r="Q167">
        <f>'Grid_Stock'!O16</f>
        <v/>
      </c>
      <c r="R167">
        <f>'Grid_Stock'!P16</f>
        <v/>
      </c>
      <c r="S167">
        <f>'Grid_Stock'!Q16</f>
        <v/>
      </c>
      <c r="T167">
        <f>'Grid_Stock'!R16</f>
        <v/>
      </c>
      <c r="U167">
        <f>'Grid_Stock'!S16</f>
        <v/>
      </c>
      <c r="V167">
        <f>'Grid_Stock'!T16</f>
        <v/>
      </c>
      <c r="W167">
        <f>'Grid_Stock'!U16</f>
        <v/>
      </c>
      <c r="X167">
        <f>'Grid_Stock'!V16</f>
        <v/>
      </c>
      <c r="Y167">
        <f>'Grid_Stock'!W16</f>
        <v/>
      </c>
      <c r="Z167">
        <f>'Grid_Stock'!X16</f>
        <v/>
      </c>
      <c r="AA167">
        <f>'Grid_Stock'!Y16</f>
        <v/>
      </c>
      <c r="AB167">
        <f>'Grid_Stock'!Z16</f>
        <v/>
      </c>
      <c r="AC167">
        <f>'Grid_Stock'!AA16</f>
        <v/>
      </c>
      <c r="AD167">
        <f>'Grid_Stock'!AB16</f>
        <v/>
      </c>
      <c r="AE167">
        <f>'Grid_Stock'!AC16</f>
        <v/>
      </c>
      <c r="AF167">
        <f>'Grid_Stock'!AD16</f>
        <v/>
      </c>
      <c r="AG167">
        <f>'Grid_Stock'!AE16</f>
        <v/>
      </c>
      <c r="AH167">
        <f>'Grid_Stock'!AF16</f>
        <v/>
      </c>
      <c r="AI167">
        <f>'Grid_Stock'!AG16</f>
        <v/>
      </c>
      <c r="AJ167">
        <f>'Grid_Stock'!AH16</f>
        <v/>
      </c>
      <c r="AK167">
        <f>'Grid_Stock'!AI16</f>
        <v/>
      </c>
      <c r="AL167">
        <f>'Grid_Stock'!AJ16</f>
        <v/>
      </c>
      <c r="AM167">
        <f>'Grid_Stock'!AK16</f>
        <v/>
      </c>
      <c r="AN167">
        <f>'Grid_Stock'!AL16</f>
        <v/>
      </c>
      <c r="AO167">
        <f>'Grid_Stock'!AM16</f>
        <v/>
      </c>
      <c r="AP167">
        <f>'Grid_Stock'!AN16</f>
        <v/>
      </c>
      <c r="AQ167">
        <f>'Grid_Stock'!AO16</f>
        <v/>
      </c>
      <c r="AR167">
        <f>'Grid_Stock'!AP16</f>
        <v/>
      </c>
      <c r="AS167">
        <f>'Grid_Stock'!AQ16</f>
        <v/>
      </c>
      <c r="AT167">
        <f>'Grid_Stock'!AR16</f>
        <v/>
      </c>
      <c r="AU167">
        <f>'Grid_Stock'!AS16</f>
        <v/>
      </c>
      <c r="AV167">
        <f>'Grid_Stock'!AT16</f>
        <v/>
      </c>
      <c r="AW167">
        <f>'Grid_Stock'!AU16</f>
        <v/>
      </c>
      <c r="AX167">
        <f>'Grid_Stock'!AV16</f>
        <v/>
      </c>
      <c r="AY167">
        <f>'Grid_Stock'!AW16</f>
        <v/>
      </c>
      <c r="AZ167">
        <f>'Grid_Stock'!AX16</f>
        <v/>
      </c>
      <c r="BA167">
        <f>'Grid_Stock'!AY16</f>
        <v/>
      </c>
      <c r="BB167">
        <f>'Grid_Stock'!AZ16</f>
        <v/>
      </c>
      <c r="BC167">
        <f>'Grid_Stock'!BA16</f>
        <v/>
      </c>
      <c r="BD167">
        <f>'Grid_Stock'!BB16</f>
        <v/>
      </c>
      <c r="BE167">
        <f>'Grid_Stock'!BC16</f>
        <v/>
      </c>
      <c r="BF167">
        <f>'Grid_Stock'!BD16</f>
        <v/>
      </c>
      <c r="BG167">
        <f>'Grid_Stock'!BE16</f>
        <v/>
      </c>
      <c r="BH167">
        <f>'Grid_Stock'!BF16</f>
        <v/>
      </c>
      <c r="BI167">
        <f>'Grid_Stock'!BG16</f>
        <v/>
      </c>
      <c r="BJ167">
        <f>'Grid_Stock'!BH16</f>
        <v/>
      </c>
      <c r="BK167">
        <f>'Grid_Stock'!BI16</f>
        <v/>
      </c>
      <c r="BL167">
        <f>'Grid_Stock'!BJ16</f>
        <v/>
      </c>
      <c r="BM167">
        <f>'Grid_Stock'!BK16</f>
        <v/>
      </c>
      <c r="BN167">
        <f>'Grid_Stock'!BL16</f>
        <v/>
      </c>
      <c r="BO167">
        <f>'Grid_Stock'!BM16</f>
        <v/>
      </c>
      <c r="BP167">
        <f>'Grid_Stock'!BN16</f>
        <v/>
      </c>
      <c r="BQ167">
        <f>'Grid_Stock'!BO16</f>
        <v/>
      </c>
      <c r="BR167">
        <f>'Grid_Stock'!BP16</f>
        <v/>
      </c>
      <c r="BS167">
        <f>'Grid_Stock'!BQ16</f>
        <v/>
      </c>
      <c r="BT167">
        <f>'Grid_Stock'!BR16</f>
        <v/>
      </c>
      <c r="BU167">
        <f>'Grid_Stock'!BS16</f>
        <v/>
      </c>
      <c r="BV167">
        <f>'Grid_Stock'!BT16</f>
        <v/>
      </c>
      <c r="BW167">
        <f>'Grid_Stock'!BU16</f>
        <v/>
      </c>
      <c r="BX167">
        <f>'Grid_Stock'!BV16</f>
        <v/>
      </c>
      <c r="BY167">
        <f>'Grid_Stock'!BW16</f>
        <v/>
      </c>
      <c r="BZ167">
        <f>'Grid_Stock'!BX16</f>
        <v/>
      </c>
      <c r="CA167">
        <f>'Grid_Stock'!BY16</f>
        <v/>
      </c>
      <c r="CB167">
        <f>'Grid_Stock'!BZ16</f>
        <v/>
      </c>
      <c r="CC167">
        <f>'Grid_Stock'!CA16</f>
        <v/>
      </c>
      <c r="CD167">
        <f>'Grid_Stock'!CB16</f>
        <v/>
      </c>
      <c r="CE167">
        <f>'Grid_Stock'!CC16</f>
        <v/>
      </c>
      <c r="CF167">
        <f>'Grid_Stock'!CD16</f>
        <v/>
      </c>
      <c r="CG167">
        <f>'Grid_Stock'!CE16</f>
        <v/>
      </c>
      <c r="CH167">
        <f>'Grid_Stock'!CF16</f>
        <v/>
      </c>
      <c r="CI167">
        <f>'Grid_Stock'!CG16</f>
        <v/>
      </c>
      <c r="CJ167">
        <f>'Grid_Stock'!CH16</f>
        <v/>
      </c>
      <c r="CK167">
        <f>'Grid_Stock'!CI16</f>
        <v/>
      </c>
      <c r="CL167">
        <f>'Grid_Stock'!CJ16</f>
        <v/>
      </c>
      <c r="CM167">
        <f>'Grid_Stock'!CK16</f>
        <v/>
      </c>
      <c r="CN167">
        <f>'Grid_Stock'!CL16</f>
        <v/>
      </c>
      <c r="CO167">
        <f>'Grid_Stock'!CM16</f>
        <v/>
      </c>
      <c r="CP167">
        <f>'Grid_Stock'!CN16</f>
        <v/>
      </c>
      <c r="CQ167">
        <f>'Grid_Stock'!CO16</f>
        <v/>
      </c>
      <c r="CR167">
        <f>'Grid_Stock'!CP16</f>
        <v/>
      </c>
      <c r="CS167">
        <f>'Grid_Stock'!CQ16</f>
        <v/>
      </c>
      <c r="CT167">
        <f>'Grid_Stock'!CR16</f>
        <v/>
      </c>
      <c r="CU167">
        <f>'Grid_Stock'!CS16</f>
        <v/>
      </c>
      <c r="CV167">
        <f>'Grid_Stock'!CT16</f>
        <v/>
      </c>
      <c r="CW167">
        <f>'Grid_Stock'!CU16</f>
        <v/>
      </c>
      <c r="CX167">
        <f>'Grid_Stock'!CV16</f>
        <v/>
      </c>
      <c r="CY167">
        <f>'Grid_Stock'!CW16</f>
        <v/>
      </c>
      <c r="CZ167">
        <f>'Grid_Stock'!CX16</f>
        <v/>
      </c>
      <c r="DA167">
        <f>'Grid_Stock'!CY16</f>
        <v/>
      </c>
      <c r="DB167">
        <f>'Grid_Stock'!CZ16</f>
        <v/>
      </c>
      <c r="DC167">
        <f>'Grid_Stock'!DA16</f>
        <v/>
      </c>
    </row>
    <row r="168">
      <c r="B168" s="26" t="inlineStr">
        <is>
          <t>（発注の目安はDashboardの基準在庫[下限/上限]と色分けを参照）</t>
        </is>
      </c>
    </row>
    <row r="170">
      <c r="A170" s="21" t="inlineStr">
        <is>
          <t>9RJ</t>
        </is>
      </c>
      <c r="B170" s="21" t="inlineStr">
        <is>
          <t>Substrate NGK N116-103-130xTB</t>
        </is>
      </c>
      <c r="C170" s="22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  <c r="AO170" s="21" t="n"/>
      <c r="AP170" s="21" t="n"/>
      <c r="AQ170" s="21" t="n"/>
      <c r="AR170" s="21" t="n"/>
      <c r="AS170" s="21" t="n"/>
      <c r="AT170" s="21" t="n"/>
      <c r="AU170" s="21" t="n"/>
      <c r="AV170" s="21" t="n"/>
      <c r="AW170" s="21" t="n"/>
      <c r="AX170" s="21" t="n"/>
      <c r="AY170" s="21" t="n"/>
      <c r="AZ170" s="21" t="n"/>
      <c r="BA170" s="21" t="n"/>
      <c r="BB170" s="21" t="n"/>
      <c r="BC170" s="21" t="n"/>
      <c r="BD170" s="21" t="n"/>
      <c r="BE170" s="21" t="n"/>
      <c r="BF170" s="21" t="n"/>
      <c r="BG170" s="21" t="n"/>
      <c r="BH170" s="21" t="n"/>
      <c r="BI170" s="21" t="n"/>
      <c r="BJ170" s="21" t="n"/>
      <c r="BK170" s="21" t="n"/>
      <c r="BL170" s="21" t="n"/>
      <c r="BM170" s="21" t="n"/>
      <c r="BN170" s="21" t="n"/>
      <c r="BO170" s="21" t="n"/>
      <c r="BP170" s="21" t="n"/>
      <c r="BQ170" s="21" t="n"/>
      <c r="BR170" s="21" t="n"/>
      <c r="BS170" s="21" t="n"/>
      <c r="BT170" s="21" t="n"/>
      <c r="BU170" s="21" t="n"/>
      <c r="BV170" s="21" t="n"/>
      <c r="BW170" s="21" t="n"/>
      <c r="BX170" s="21" t="n"/>
      <c r="BY170" s="21" t="n"/>
      <c r="BZ170" s="21" t="n"/>
      <c r="CA170" s="21" t="n"/>
      <c r="CB170" s="21" t="n"/>
      <c r="CC170" s="21" t="n"/>
      <c r="CD170" s="21" t="n"/>
      <c r="CE170" s="21" t="n"/>
      <c r="CF170" s="21" t="n"/>
      <c r="CG170" s="21" t="n"/>
      <c r="CH170" s="21" t="n"/>
      <c r="CI170" s="21" t="n"/>
      <c r="CJ170" s="21" t="n"/>
      <c r="CK170" s="21" t="n"/>
      <c r="CL170" s="21" t="n"/>
      <c r="CM170" s="21" t="n"/>
      <c r="CN170" s="21" t="n"/>
      <c r="CO170" s="21" t="n"/>
      <c r="CP170" s="21" t="n"/>
      <c r="CQ170" s="21" t="n"/>
      <c r="CR170" s="21" t="n"/>
      <c r="CS170" s="21" t="n"/>
      <c r="CT170" s="21" t="n"/>
      <c r="CU170" s="21" t="n"/>
      <c r="CV170" s="21" t="n"/>
      <c r="CW170" s="21" t="n"/>
      <c r="CX170" s="21" t="n"/>
      <c r="CY170" s="21" t="n"/>
      <c r="CZ170" s="21" t="n"/>
      <c r="DA170" s="21" t="n"/>
      <c r="DB170" s="21" t="n"/>
      <c r="DC170" s="21" t="n"/>
    </row>
    <row r="171">
      <c r="B171" t="inlineStr">
        <is>
          <t>0T160</t>
        </is>
      </c>
      <c r="C171" t="inlineStr">
        <is>
          <t>No. of batches</t>
        </is>
      </c>
      <c r="D171">
        <f>IFERROR(INDEX(PP_Grid[#Data],$DD171,2),0)</f>
        <v/>
      </c>
      <c r="E171">
        <f>IFERROR(INDEX(PP_Grid[#Data],$DD171,3),0)</f>
        <v/>
      </c>
      <c r="F171">
        <f>IFERROR(INDEX(PP_Grid[#Data],$DD171,4),0)</f>
        <v/>
      </c>
      <c r="G171">
        <f>IFERROR(INDEX(PP_Grid[#Data],$DD171,5),0)</f>
        <v/>
      </c>
      <c r="H171">
        <f>IFERROR(INDEX(PP_Grid[#Data],$DD171,6),0)</f>
        <v/>
      </c>
      <c r="I171">
        <f>IFERROR(INDEX(PP_Grid[#Data],$DD171,7),0)</f>
        <v/>
      </c>
      <c r="J171">
        <f>IFERROR(INDEX(PP_Grid[#Data],$DD171,8),0)</f>
        <v/>
      </c>
      <c r="K171">
        <f>IFERROR(INDEX(PP_Grid[#Data],$DD171,9),0)</f>
        <v/>
      </c>
      <c r="L171">
        <f>IFERROR(INDEX(PP_Grid[#Data],$DD171,10),0)</f>
        <v/>
      </c>
      <c r="M171">
        <f>IFERROR(INDEX(PP_Grid[#Data],$DD171,11),0)</f>
        <v/>
      </c>
      <c r="N171">
        <f>IFERROR(INDEX(PP_Grid[#Data],$DD171,12),0)</f>
        <v/>
      </c>
      <c r="O171">
        <f>IFERROR(INDEX(PP_Grid[#Data],$DD171,13),0)</f>
        <v/>
      </c>
      <c r="P171">
        <f>IFERROR(INDEX(PP_Grid[#Data],$DD171,14),0)</f>
        <v/>
      </c>
      <c r="Q171">
        <f>IFERROR(INDEX(PP_Grid[#Data],$DD171,15),0)</f>
        <v/>
      </c>
      <c r="R171">
        <f>IFERROR(INDEX(PP_Grid[#Data],$DD171,16),0)</f>
        <v/>
      </c>
      <c r="S171">
        <f>IFERROR(INDEX(PP_Grid[#Data],$DD171,17),0)</f>
        <v/>
      </c>
      <c r="T171">
        <f>IFERROR(INDEX(PP_Grid[#Data],$DD171,18),0)</f>
        <v/>
      </c>
      <c r="U171">
        <f>IFERROR(INDEX(PP_Grid[#Data],$DD171,19),0)</f>
        <v/>
      </c>
      <c r="V171">
        <f>IFERROR(INDEX(PP_Grid[#Data],$DD171,20),0)</f>
        <v/>
      </c>
      <c r="W171">
        <f>IFERROR(INDEX(PP_Grid[#Data],$DD171,21),0)</f>
        <v/>
      </c>
      <c r="X171">
        <f>IFERROR(INDEX(PP_Grid[#Data],$DD171,22),0)</f>
        <v/>
      </c>
      <c r="Y171">
        <f>IFERROR(INDEX(PP_Grid[#Data],$DD171,23),0)</f>
        <v/>
      </c>
      <c r="Z171">
        <f>IFERROR(INDEX(PP_Grid[#Data],$DD171,24),0)</f>
        <v/>
      </c>
      <c r="AA171">
        <f>IFERROR(INDEX(PP_Grid[#Data],$DD171,25),0)</f>
        <v/>
      </c>
      <c r="AB171">
        <f>IFERROR(INDEX(PP_Grid[#Data],$DD171,26),0)</f>
        <v/>
      </c>
      <c r="AC171">
        <f>IFERROR(INDEX(PP_Grid[#Data],$DD171,27),0)</f>
        <v/>
      </c>
      <c r="AD171">
        <f>IFERROR(INDEX(PP_Grid[#Data],$DD171,28),0)</f>
        <v/>
      </c>
      <c r="AE171">
        <f>IFERROR(INDEX(PP_Grid[#Data],$DD171,29),0)</f>
        <v/>
      </c>
      <c r="AF171">
        <f>IFERROR(INDEX(PP_Grid[#Data],$DD171,30),0)</f>
        <v/>
      </c>
      <c r="AG171">
        <f>IFERROR(INDEX(PP_Grid[#Data],$DD171,31),0)</f>
        <v/>
      </c>
      <c r="AH171">
        <f>IFERROR(INDEX(PP_Grid[#Data],$DD171,32),0)</f>
        <v/>
      </c>
      <c r="AI171">
        <f>IFERROR(INDEX(PP_Grid[#Data],$DD171,33),0)</f>
        <v/>
      </c>
      <c r="AJ171">
        <f>IFERROR(INDEX(PP_Grid[#Data],$DD171,34),0)</f>
        <v/>
      </c>
      <c r="AK171">
        <f>IFERROR(INDEX(PP_Grid[#Data],$DD171,35),0)</f>
        <v/>
      </c>
      <c r="AL171">
        <f>IFERROR(INDEX(PP_Grid[#Data],$DD171,36),0)</f>
        <v/>
      </c>
      <c r="AM171">
        <f>IFERROR(INDEX(PP_Grid[#Data],$DD171,37),0)</f>
        <v/>
      </c>
      <c r="AN171">
        <f>IFERROR(INDEX(PP_Grid[#Data],$DD171,38),0)</f>
        <v/>
      </c>
      <c r="AO171">
        <f>IFERROR(INDEX(PP_Grid[#Data],$DD171,39),0)</f>
        <v/>
      </c>
      <c r="AP171">
        <f>IFERROR(INDEX(PP_Grid[#Data],$DD171,40),0)</f>
        <v/>
      </c>
      <c r="AQ171">
        <f>IFERROR(INDEX(PP_Grid[#Data],$DD171,41),0)</f>
        <v/>
      </c>
      <c r="AR171">
        <f>IFERROR(INDEX(PP_Grid[#Data],$DD171,42),0)</f>
        <v/>
      </c>
      <c r="AS171">
        <f>IFERROR(INDEX(PP_Grid[#Data],$DD171,43),0)</f>
        <v/>
      </c>
      <c r="AT171">
        <f>IFERROR(INDEX(PP_Grid[#Data],$DD171,44),0)</f>
        <v/>
      </c>
      <c r="AU171">
        <f>IFERROR(INDEX(PP_Grid[#Data],$DD171,45),0)</f>
        <v/>
      </c>
      <c r="AV171">
        <f>IFERROR(INDEX(PP_Grid[#Data],$DD171,46),0)</f>
        <v/>
      </c>
      <c r="AW171">
        <f>IFERROR(INDEX(PP_Grid[#Data],$DD171,47),0)</f>
        <v/>
      </c>
      <c r="AX171">
        <f>IFERROR(INDEX(PP_Grid[#Data],$DD171,48),0)</f>
        <v/>
      </c>
      <c r="AY171">
        <f>IFERROR(INDEX(PP_Grid[#Data],$DD171,49),0)</f>
        <v/>
      </c>
      <c r="AZ171">
        <f>IFERROR(INDEX(PP_Grid[#Data],$DD171,50),0)</f>
        <v/>
      </c>
      <c r="BA171">
        <f>IFERROR(INDEX(PP_Grid[#Data],$DD171,51),0)</f>
        <v/>
      </c>
      <c r="BB171">
        <f>IFERROR(INDEX(PP_Grid[#Data],$DD171,52),0)</f>
        <v/>
      </c>
      <c r="BC171">
        <f>IFERROR(INDEX(PP_Grid[#Data],$DD171,53),0)</f>
        <v/>
      </c>
      <c r="BD171">
        <f>IFERROR(INDEX(PP_Grid[#Data],$DD171,54),0)</f>
        <v/>
      </c>
      <c r="BE171">
        <f>IFERROR(INDEX(PP_Grid[#Data],$DD171,55),0)</f>
        <v/>
      </c>
      <c r="BF171">
        <f>IFERROR(INDEX(PP_Grid[#Data],$DD171,56),0)</f>
        <v/>
      </c>
      <c r="BG171">
        <f>IFERROR(INDEX(PP_Grid[#Data],$DD171,57),0)</f>
        <v/>
      </c>
      <c r="BH171">
        <f>IFERROR(INDEX(PP_Grid[#Data],$DD171,58),0)</f>
        <v/>
      </c>
      <c r="BI171">
        <f>IFERROR(INDEX(PP_Grid[#Data],$DD171,59),0)</f>
        <v/>
      </c>
      <c r="BJ171">
        <f>IFERROR(INDEX(PP_Grid[#Data],$DD171,60),0)</f>
        <v/>
      </c>
      <c r="BK171">
        <f>IFERROR(INDEX(PP_Grid[#Data],$DD171,61),0)</f>
        <v/>
      </c>
      <c r="BL171">
        <f>IFERROR(INDEX(PP_Grid[#Data],$DD171,62),0)</f>
        <v/>
      </c>
      <c r="BM171">
        <f>IFERROR(INDEX(PP_Grid[#Data],$DD171,63),0)</f>
        <v/>
      </c>
      <c r="BN171">
        <f>IFERROR(INDEX(PP_Grid[#Data],$DD171,64),0)</f>
        <v/>
      </c>
      <c r="BO171">
        <f>IFERROR(INDEX(PP_Grid[#Data],$DD171,65),0)</f>
        <v/>
      </c>
      <c r="BP171">
        <f>IFERROR(INDEX(PP_Grid[#Data],$DD171,66),0)</f>
        <v/>
      </c>
      <c r="BQ171">
        <f>IFERROR(INDEX(PP_Grid[#Data],$DD171,67),0)</f>
        <v/>
      </c>
      <c r="BR171">
        <f>IFERROR(INDEX(PP_Grid[#Data],$DD171,68),0)</f>
        <v/>
      </c>
      <c r="BS171">
        <f>IFERROR(INDEX(PP_Grid[#Data],$DD171,69),0)</f>
        <v/>
      </c>
      <c r="BT171">
        <f>IFERROR(INDEX(PP_Grid[#Data],$DD171,70),0)</f>
        <v/>
      </c>
      <c r="BU171">
        <f>IFERROR(INDEX(PP_Grid[#Data],$DD171,71),0)</f>
        <v/>
      </c>
      <c r="BV171">
        <f>IFERROR(INDEX(PP_Grid[#Data],$DD171,72),0)</f>
        <v/>
      </c>
      <c r="BW171">
        <f>IFERROR(INDEX(PP_Grid[#Data],$DD171,73),0)</f>
        <v/>
      </c>
      <c r="BX171">
        <f>IFERROR(INDEX(PP_Grid[#Data],$DD171,74),0)</f>
        <v/>
      </c>
      <c r="BY171">
        <f>IFERROR(INDEX(PP_Grid[#Data],$DD171,75),0)</f>
        <v/>
      </c>
      <c r="BZ171">
        <f>IFERROR(INDEX(PP_Grid[#Data],$DD171,76),0)</f>
        <v/>
      </c>
      <c r="CA171">
        <f>IFERROR(INDEX(PP_Grid[#Data],$DD171,77),0)</f>
        <v/>
      </c>
      <c r="CB171">
        <f>IFERROR(INDEX(PP_Grid[#Data],$DD171,78),0)</f>
        <v/>
      </c>
      <c r="CC171">
        <f>IFERROR(INDEX(PP_Grid[#Data],$DD171,79),0)</f>
        <v/>
      </c>
      <c r="CD171">
        <f>IFERROR(INDEX(PP_Grid[#Data],$DD171,80),0)</f>
        <v/>
      </c>
      <c r="CE171">
        <f>IFERROR(INDEX(PP_Grid[#Data],$DD171,81),0)</f>
        <v/>
      </c>
      <c r="CF171">
        <f>IFERROR(INDEX(PP_Grid[#Data],$DD171,82),0)</f>
        <v/>
      </c>
      <c r="CG171">
        <f>IFERROR(INDEX(PP_Grid[#Data],$DD171,83),0)</f>
        <v/>
      </c>
      <c r="CH171">
        <f>IFERROR(INDEX(PP_Grid[#Data],$DD171,84),0)</f>
        <v/>
      </c>
      <c r="CI171">
        <f>IFERROR(INDEX(PP_Grid[#Data],$DD171,85),0)</f>
        <v/>
      </c>
      <c r="CJ171">
        <f>IFERROR(INDEX(PP_Grid[#Data],$DD171,86),0)</f>
        <v/>
      </c>
      <c r="CK171">
        <f>IFERROR(INDEX(PP_Grid[#Data],$DD171,87),0)</f>
        <v/>
      </c>
      <c r="CL171">
        <f>IFERROR(INDEX(PP_Grid[#Data],$DD171,88),0)</f>
        <v/>
      </c>
      <c r="CM171">
        <f>IFERROR(INDEX(PP_Grid[#Data],$DD171,89),0)</f>
        <v/>
      </c>
      <c r="CN171">
        <f>IFERROR(INDEX(PP_Grid[#Data],$DD171,90),0)</f>
        <v/>
      </c>
      <c r="CO171">
        <f>IFERROR(INDEX(PP_Grid[#Data],$DD171,91),0)</f>
        <v/>
      </c>
      <c r="CP171">
        <f>IFERROR(INDEX(PP_Grid[#Data],$DD171,92),0)</f>
        <v/>
      </c>
      <c r="CQ171">
        <f>IFERROR(INDEX(PP_Grid[#Data],$DD171,93),0)</f>
        <v/>
      </c>
      <c r="CR171">
        <f>IFERROR(INDEX(PP_Grid[#Data],$DD171,94),0)</f>
        <v/>
      </c>
      <c r="CS171">
        <f>IFERROR(INDEX(PP_Grid[#Data],$DD171,95),0)</f>
        <v/>
      </c>
      <c r="CT171">
        <f>IFERROR(INDEX(PP_Grid[#Data],$DD171,96),0)</f>
        <v/>
      </c>
      <c r="CU171">
        <f>IFERROR(INDEX(PP_Grid[#Data],$DD171,97),0)</f>
        <v/>
      </c>
      <c r="CV171">
        <f>IFERROR(INDEX(PP_Grid[#Data],$DD171,98),0)</f>
        <v/>
      </c>
      <c r="CW171">
        <f>IFERROR(INDEX(PP_Grid[#Data],$DD171,99),0)</f>
        <v/>
      </c>
      <c r="CX171">
        <f>IFERROR(INDEX(PP_Grid[#Data],$DD171,100),0)</f>
        <v/>
      </c>
      <c r="CY171">
        <f>IFERROR(INDEX(PP_Grid[#Data],$DD171,101),0)</f>
        <v/>
      </c>
      <c r="CZ171">
        <f>IFERROR(INDEX(PP_Grid[#Data],$DD171,102),0)</f>
        <v/>
      </c>
      <c r="DA171">
        <f>IFERROR(INDEX(PP_Grid[#Data],$DD171,103),0)</f>
        <v/>
      </c>
      <c r="DB171">
        <f>IFERROR(INDEX(PP_Grid[#Data],$DD171,104),0)</f>
        <v/>
      </c>
      <c r="DC171">
        <f>IFERROR(INDEX(PP_Grid[#Data],$DD171,105),0)</f>
        <v/>
      </c>
      <c r="DD171" s="12">
        <f>IFERROR(MATCH($B171,PP_Grid[Intermediate],0),99999)</f>
        <v/>
      </c>
    </row>
    <row r="172">
      <c r="B172" t="inlineStr">
        <is>
          <t>使用量(kg)</t>
        </is>
      </c>
      <c r="C172">
        <f>SUMIFS(M_BOM[RM_Qty_Per_Batch],M_BOM[Intermediate],$B171,M_BOM[Part Name],$A170)</f>
        <v/>
      </c>
      <c r="D172">
        <f>$C172*D171</f>
        <v/>
      </c>
      <c r="E172">
        <f>$C172*E171</f>
        <v/>
      </c>
      <c r="F172">
        <f>$C172*F171</f>
        <v/>
      </c>
      <c r="G172">
        <f>$C172*G171</f>
        <v/>
      </c>
      <c r="H172">
        <f>$C172*H171</f>
        <v/>
      </c>
      <c r="I172">
        <f>$C172*I171</f>
        <v/>
      </c>
      <c r="J172">
        <f>$C172*J171</f>
        <v/>
      </c>
      <c r="K172">
        <f>$C172*K171</f>
        <v/>
      </c>
      <c r="L172">
        <f>$C172*L171</f>
        <v/>
      </c>
      <c r="M172">
        <f>$C172*M171</f>
        <v/>
      </c>
      <c r="N172">
        <f>$C172*N171</f>
        <v/>
      </c>
      <c r="O172">
        <f>$C172*O171</f>
        <v/>
      </c>
      <c r="P172">
        <f>$C172*P171</f>
        <v/>
      </c>
      <c r="Q172">
        <f>$C172*Q171</f>
        <v/>
      </c>
      <c r="R172">
        <f>$C172*R171</f>
        <v/>
      </c>
      <c r="S172">
        <f>$C172*S171</f>
        <v/>
      </c>
      <c r="T172">
        <f>$C172*T171</f>
        <v/>
      </c>
      <c r="U172">
        <f>$C172*U171</f>
        <v/>
      </c>
      <c r="V172">
        <f>$C172*V171</f>
        <v/>
      </c>
      <c r="W172">
        <f>$C172*W171</f>
        <v/>
      </c>
      <c r="X172">
        <f>$C172*X171</f>
        <v/>
      </c>
      <c r="Y172">
        <f>$C172*Y171</f>
        <v/>
      </c>
      <c r="Z172">
        <f>$C172*Z171</f>
        <v/>
      </c>
      <c r="AA172">
        <f>$C172*AA171</f>
        <v/>
      </c>
      <c r="AB172">
        <f>$C172*AB171</f>
        <v/>
      </c>
      <c r="AC172">
        <f>$C172*AC171</f>
        <v/>
      </c>
      <c r="AD172">
        <f>$C172*AD171</f>
        <v/>
      </c>
      <c r="AE172">
        <f>$C172*AE171</f>
        <v/>
      </c>
      <c r="AF172">
        <f>$C172*AF171</f>
        <v/>
      </c>
      <c r="AG172">
        <f>$C172*AG171</f>
        <v/>
      </c>
      <c r="AH172">
        <f>$C172*AH171</f>
        <v/>
      </c>
      <c r="AI172">
        <f>$C172*AI171</f>
        <v/>
      </c>
      <c r="AJ172">
        <f>$C172*AJ171</f>
        <v/>
      </c>
      <c r="AK172">
        <f>$C172*AK171</f>
        <v/>
      </c>
      <c r="AL172">
        <f>$C172*AL171</f>
        <v/>
      </c>
      <c r="AM172">
        <f>$C172*AM171</f>
        <v/>
      </c>
      <c r="AN172">
        <f>$C172*AN171</f>
        <v/>
      </c>
      <c r="AO172">
        <f>$C172*AO171</f>
        <v/>
      </c>
      <c r="AP172">
        <f>$C172*AP171</f>
        <v/>
      </c>
      <c r="AQ172">
        <f>$C172*AQ171</f>
        <v/>
      </c>
      <c r="AR172">
        <f>$C172*AR171</f>
        <v/>
      </c>
      <c r="AS172">
        <f>$C172*AS171</f>
        <v/>
      </c>
      <c r="AT172">
        <f>$C172*AT171</f>
        <v/>
      </c>
      <c r="AU172">
        <f>$C172*AU171</f>
        <v/>
      </c>
      <c r="AV172">
        <f>$C172*AV171</f>
        <v/>
      </c>
      <c r="AW172">
        <f>$C172*AW171</f>
        <v/>
      </c>
      <c r="AX172">
        <f>$C172*AX171</f>
        <v/>
      </c>
      <c r="AY172">
        <f>$C172*AY171</f>
        <v/>
      </c>
      <c r="AZ172">
        <f>$C172*AZ171</f>
        <v/>
      </c>
      <c r="BA172">
        <f>$C172*BA171</f>
        <v/>
      </c>
      <c r="BB172">
        <f>$C172*BB171</f>
        <v/>
      </c>
      <c r="BC172">
        <f>$C172*BC171</f>
        <v/>
      </c>
      <c r="BD172">
        <f>$C172*BD171</f>
        <v/>
      </c>
      <c r="BE172">
        <f>$C172*BE171</f>
        <v/>
      </c>
      <c r="BF172">
        <f>$C172*BF171</f>
        <v/>
      </c>
      <c r="BG172">
        <f>$C172*BG171</f>
        <v/>
      </c>
      <c r="BH172">
        <f>$C172*BH171</f>
        <v/>
      </c>
      <c r="BI172">
        <f>$C172*BI171</f>
        <v/>
      </c>
      <c r="BJ172">
        <f>$C172*BJ171</f>
        <v/>
      </c>
      <c r="BK172">
        <f>$C172*BK171</f>
        <v/>
      </c>
      <c r="BL172">
        <f>$C172*BL171</f>
        <v/>
      </c>
      <c r="BM172">
        <f>$C172*BM171</f>
        <v/>
      </c>
      <c r="BN172">
        <f>$C172*BN171</f>
        <v/>
      </c>
      <c r="BO172">
        <f>$C172*BO171</f>
        <v/>
      </c>
      <c r="BP172">
        <f>$C172*BP171</f>
        <v/>
      </c>
      <c r="BQ172">
        <f>$C172*BQ171</f>
        <v/>
      </c>
      <c r="BR172">
        <f>$C172*BR171</f>
        <v/>
      </c>
      <c r="BS172">
        <f>$C172*BS171</f>
        <v/>
      </c>
      <c r="BT172">
        <f>$C172*BT171</f>
        <v/>
      </c>
      <c r="BU172">
        <f>$C172*BU171</f>
        <v/>
      </c>
      <c r="BV172">
        <f>$C172*BV171</f>
        <v/>
      </c>
      <c r="BW172">
        <f>$C172*BW171</f>
        <v/>
      </c>
      <c r="BX172">
        <f>$C172*BX171</f>
        <v/>
      </c>
      <c r="BY172">
        <f>$C172*BY171</f>
        <v/>
      </c>
      <c r="BZ172">
        <f>$C172*BZ171</f>
        <v/>
      </c>
      <c r="CA172">
        <f>$C172*CA171</f>
        <v/>
      </c>
      <c r="CB172">
        <f>$C172*CB171</f>
        <v/>
      </c>
      <c r="CC172">
        <f>$C172*CC171</f>
        <v/>
      </c>
      <c r="CD172">
        <f>$C172*CD171</f>
        <v/>
      </c>
      <c r="CE172">
        <f>$C172*CE171</f>
        <v/>
      </c>
      <c r="CF172">
        <f>$C172*CF171</f>
        <v/>
      </c>
      <c r="CG172">
        <f>$C172*CG171</f>
        <v/>
      </c>
      <c r="CH172">
        <f>$C172*CH171</f>
        <v/>
      </c>
      <c r="CI172">
        <f>$C172*CI171</f>
        <v/>
      </c>
      <c r="CJ172">
        <f>$C172*CJ171</f>
        <v/>
      </c>
      <c r="CK172">
        <f>$C172*CK171</f>
        <v/>
      </c>
      <c r="CL172">
        <f>$C172*CL171</f>
        <v/>
      </c>
      <c r="CM172">
        <f>$C172*CM171</f>
        <v/>
      </c>
      <c r="CN172">
        <f>$C172*CN171</f>
        <v/>
      </c>
      <c r="CO172">
        <f>$C172*CO171</f>
        <v/>
      </c>
      <c r="CP172">
        <f>$C172*CP171</f>
        <v/>
      </c>
      <c r="CQ172">
        <f>$C172*CQ171</f>
        <v/>
      </c>
      <c r="CR172">
        <f>$C172*CR171</f>
        <v/>
      </c>
      <c r="CS172">
        <f>$C172*CS171</f>
        <v/>
      </c>
      <c r="CT172">
        <f>$C172*CT171</f>
        <v/>
      </c>
      <c r="CU172">
        <f>$C172*CU171</f>
        <v/>
      </c>
      <c r="CV172">
        <f>$C172*CV171</f>
        <v/>
      </c>
      <c r="CW172">
        <f>$C172*CW171</f>
        <v/>
      </c>
      <c r="CX172">
        <f>$C172*CX171</f>
        <v/>
      </c>
      <c r="CY172">
        <f>$C172*CY171</f>
        <v/>
      </c>
      <c r="CZ172">
        <f>$C172*CZ171</f>
        <v/>
      </c>
      <c r="DA172">
        <f>$C172*DA171</f>
        <v/>
      </c>
      <c r="DB172">
        <f>$C172*DB171</f>
        <v/>
      </c>
      <c r="DC172">
        <f>$C172*DC171</f>
        <v/>
      </c>
    </row>
    <row r="173">
      <c r="B173" s="5" t="inlineStr">
        <is>
          <t>合計使用量(kg)/週</t>
        </is>
      </c>
      <c r="D173">
        <f>'Grid_Requirement'!B17</f>
        <v/>
      </c>
      <c r="E173">
        <f>'Grid_Requirement'!C17</f>
        <v/>
      </c>
      <c r="F173">
        <f>'Grid_Requirement'!D17</f>
        <v/>
      </c>
      <c r="G173">
        <f>'Grid_Requirement'!E17</f>
        <v/>
      </c>
      <c r="H173">
        <f>'Grid_Requirement'!F17</f>
        <v/>
      </c>
      <c r="I173">
        <f>'Grid_Requirement'!G17</f>
        <v/>
      </c>
      <c r="J173">
        <f>'Grid_Requirement'!H17</f>
        <v/>
      </c>
      <c r="K173">
        <f>'Grid_Requirement'!I17</f>
        <v/>
      </c>
      <c r="L173">
        <f>'Grid_Requirement'!J17</f>
        <v/>
      </c>
      <c r="M173">
        <f>'Grid_Requirement'!K17</f>
        <v/>
      </c>
      <c r="N173">
        <f>'Grid_Requirement'!L17</f>
        <v/>
      </c>
      <c r="O173">
        <f>'Grid_Requirement'!M17</f>
        <v/>
      </c>
      <c r="P173">
        <f>'Grid_Requirement'!N17</f>
        <v/>
      </c>
      <c r="Q173">
        <f>'Grid_Requirement'!O17</f>
        <v/>
      </c>
      <c r="R173">
        <f>'Grid_Requirement'!P17</f>
        <v/>
      </c>
      <c r="S173">
        <f>'Grid_Requirement'!Q17</f>
        <v/>
      </c>
      <c r="T173">
        <f>'Grid_Requirement'!R17</f>
        <v/>
      </c>
      <c r="U173">
        <f>'Grid_Requirement'!S17</f>
        <v/>
      </c>
      <c r="V173">
        <f>'Grid_Requirement'!T17</f>
        <v/>
      </c>
      <c r="W173">
        <f>'Grid_Requirement'!U17</f>
        <v/>
      </c>
      <c r="X173">
        <f>'Grid_Requirement'!V17</f>
        <v/>
      </c>
      <c r="Y173">
        <f>'Grid_Requirement'!W17</f>
        <v/>
      </c>
      <c r="Z173">
        <f>'Grid_Requirement'!X17</f>
        <v/>
      </c>
      <c r="AA173">
        <f>'Grid_Requirement'!Y17</f>
        <v/>
      </c>
      <c r="AB173">
        <f>'Grid_Requirement'!Z17</f>
        <v/>
      </c>
      <c r="AC173">
        <f>'Grid_Requirement'!AA17</f>
        <v/>
      </c>
      <c r="AD173">
        <f>'Grid_Requirement'!AB17</f>
        <v/>
      </c>
      <c r="AE173">
        <f>'Grid_Requirement'!AC17</f>
        <v/>
      </c>
      <c r="AF173">
        <f>'Grid_Requirement'!AD17</f>
        <v/>
      </c>
      <c r="AG173">
        <f>'Grid_Requirement'!AE17</f>
        <v/>
      </c>
      <c r="AH173">
        <f>'Grid_Requirement'!AF17</f>
        <v/>
      </c>
      <c r="AI173">
        <f>'Grid_Requirement'!AG17</f>
        <v/>
      </c>
      <c r="AJ173">
        <f>'Grid_Requirement'!AH17</f>
        <v/>
      </c>
      <c r="AK173">
        <f>'Grid_Requirement'!AI17</f>
        <v/>
      </c>
      <c r="AL173">
        <f>'Grid_Requirement'!AJ17</f>
        <v/>
      </c>
      <c r="AM173">
        <f>'Grid_Requirement'!AK17</f>
        <v/>
      </c>
      <c r="AN173">
        <f>'Grid_Requirement'!AL17</f>
        <v/>
      </c>
      <c r="AO173">
        <f>'Grid_Requirement'!AM17</f>
        <v/>
      </c>
      <c r="AP173">
        <f>'Grid_Requirement'!AN17</f>
        <v/>
      </c>
      <c r="AQ173">
        <f>'Grid_Requirement'!AO17</f>
        <v/>
      </c>
      <c r="AR173">
        <f>'Grid_Requirement'!AP17</f>
        <v/>
      </c>
      <c r="AS173">
        <f>'Grid_Requirement'!AQ17</f>
        <v/>
      </c>
      <c r="AT173">
        <f>'Grid_Requirement'!AR17</f>
        <v/>
      </c>
      <c r="AU173">
        <f>'Grid_Requirement'!AS17</f>
        <v/>
      </c>
      <c r="AV173">
        <f>'Grid_Requirement'!AT17</f>
        <v/>
      </c>
      <c r="AW173">
        <f>'Grid_Requirement'!AU17</f>
        <v/>
      </c>
      <c r="AX173">
        <f>'Grid_Requirement'!AV17</f>
        <v/>
      </c>
      <c r="AY173">
        <f>'Grid_Requirement'!AW17</f>
        <v/>
      </c>
      <c r="AZ173">
        <f>'Grid_Requirement'!AX17</f>
        <v/>
      </c>
      <c r="BA173">
        <f>'Grid_Requirement'!AY17</f>
        <v/>
      </c>
      <c r="BB173">
        <f>'Grid_Requirement'!AZ17</f>
        <v/>
      </c>
      <c r="BC173">
        <f>'Grid_Requirement'!BA17</f>
        <v/>
      </c>
      <c r="BD173">
        <f>'Grid_Requirement'!BB17</f>
        <v/>
      </c>
      <c r="BE173">
        <f>'Grid_Requirement'!BC17</f>
        <v/>
      </c>
      <c r="BF173">
        <f>'Grid_Requirement'!BD17</f>
        <v/>
      </c>
      <c r="BG173">
        <f>'Grid_Requirement'!BE17</f>
        <v/>
      </c>
      <c r="BH173">
        <f>'Grid_Requirement'!BF17</f>
        <v/>
      </c>
      <c r="BI173">
        <f>'Grid_Requirement'!BG17</f>
        <v/>
      </c>
      <c r="BJ173">
        <f>'Grid_Requirement'!BH17</f>
        <v/>
      </c>
      <c r="BK173">
        <f>'Grid_Requirement'!BI17</f>
        <v/>
      </c>
      <c r="BL173">
        <f>'Grid_Requirement'!BJ17</f>
        <v/>
      </c>
      <c r="BM173">
        <f>'Grid_Requirement'!BK17</f>
        <v/>
      </c>
      <c r="BN173">
        <f>'Grid_Requirement'!BL17</f>
        <v/>
      </c>
      <c r="BO173">
        <f>'Grid_Requirement'!BM17</f>
        <v/>
      </c>
      <c r="BP173">
        <f>'Grid_Requirement'!BN17</f>
        <v/>
      </c>
      <c r="BQ173">
        <f>'Grid_Requirement'!BO17</f>
        <v/>
      </c>
      <c r="BR173">
        <f>'Grid_Requirement'!BP17</f>
        <v/>
      </c>
      <c r="BS173">
        <f>'Grid_Requirement'!BQ17</f>
        <v/>
      </c>
      <c r="BT173">
        <f>'Grid_Requirement'!BR17</f>
        <v/>
      </c>
      <c r="BU173">
        <f>'Grid_Requirement'!BS17</f>
        <v/>
      </c>
      <c r="BV173">
        <f>'Grid_Requirement'!BT17</f>
        <v/>
      </c>
      <c r="BW173">
        <f>'Grid_Requirement'!BU17</f>
        <v/>
      </c>
      <c r="BX173">
        <f>'Grid_Requirement'!BV17</f>
        <v/>
      </c>
      <c r="BY173">
        <f>'Grid_Requirement'!BW17</f>
        <v/>
      </c>
      <c r="BZ173">
        <f>'Grid_Requirement'!BX17</f>
        <v/>
      </c>
      <c r="CA173">
        <f>'Grid_Requirement'!BY17</f>
        <v/>
      </c>
      <c r="CB173">
        <f>'Grid_Requirement'!BZ17</f>
        <v/>
      </c>
      <c r="CC173">
        <f>'Grid_Requirement'!CA17</f>
        <v/>
      </c>
      <c r="CD173">
        <f>'Grid_Requirement'!CB17</f>
        <v/>
      </c>
      <c r="CE173">
        <f>'Grid_Requirement'!CC17</f>
        <v/>
      </c>
      <c r="CF173">
        <f>'Grid_Requirement'!CD17</f>
        <v/>
      </c>
      <c r="CG173">
        <f>'Grid_Requirement'!CE17</f>
        <v/>
      </c>
      <c r="CH173">
        <f>'Grid_Requirement'!CF17</f>
        <v/>
      </c>
      <c r="CI173">
        <f>'Grid_Requirement'!CG17</f>
        <v/>
      </c>
      <c r="CJ173">
        <f>'Grid_Requirement'!CH17</f>
        <v/>
      </c>
      <c r="CK173">
        <f>'Grid_Requirement'!CI17</f>
        <v/>
      </c>
      <c r="CL173">
        <f>'Grid_Requirement'!CJ17</f>
        <v/>
      </c>
      <c r="CM173">
        <f>'Grid_Requirement'!CK17</f>
        <v/>
      </c>
      <c r="CN173">
        <f>'Grid_Requirement'!CL17</f>
        <v/>
      </c>
      <c r="CO173">
        <f>'Grid_Requirement'!CM17</f>
        <v/>
      </c>
      <c r="CP173">
        <f>'Grid_Requirement'!CN17</f>
        <v/>
      </c>
      <c r="CQ173">
        <f>'Grid_Requirement'!CO17</f>
        <v/>
      </c>
      <c r="CR173">
        <f>'Grid_Requirement'!CP17</f>
        <v/>
      </c>
      <c r="CS173">
        <f>'Grid_Requirement'!CQ17</f>
        <v/>
      </c>
      <c r="CT173">
        <f>'Grid_Requirement'!CR17</f>
        <v/>
      </c>
      <c r="CU173">
        <f>'Grid_Requirement'!CS17</f>
        <v/>
      </c>
      <c r="CV173">
        <f>'Grid_Requirement'!CT17</f>
        <v/>
      </c>
      <c r="CW173">
        <f>'Grid_Requirement'!CU17</f>
        <v/>
      </c>
      <c r="CX173">
        <f>'Grid_Requirement'!CV17</f>
        <v/>
      </c>
      <c r="CY173">
        <f>'Grid_Requirement'!CW17</f>
        <v/>
      </c>
      <c r="CZ173">
        <f>'Grid_Requirement'!CX17</f>
        <v/>
      </c>
      <c r="DA173">
        <f>'Grid_Requirement'!CY17</f>
        <v/>
      </c>
      <c r="DB173">
        <f>'Grid_Requirement'!CZ17</f>
        <v/>
      </c>
      <c r="DC173">
        <f>'Grid_Requirement'!DA17</f>
        <v/>
      </c>
    </row>
    <row r="174">
      <c r="B174" t="inlineStr">
        <is>
          <t>TTAF在庫(実績,kg)</t>
        </is>
      </c>
      <c r="D174">
        <f>'T_TTAFStock'!B21</f>
        <v/>
      </c>
      <c r="E174">
        <f>'T_TTAFStock'!C21</f>
        <v/>
      </c>
      <c r="F174">
        <f>'T_TTAFStock'!D21</f>
        <v/>
      </c>
      <c r="G174">
        <f>'T_TTAFStock'!E21</f>
        <v/>
      </c>
      <c r="H174">
        <f>'T_TTAFStock'!F21</f>
        <v/>
      </c>
      <c r="I174">
        <f>'T_TTAFStock'!G21</f>
        <v/>
      </c>
      <c r="J174">
        <f>'T_TTAFStock'!H21</f>
        <v/>
      </c>
      <c r="K174">
        <f>'T_TTAFStock'!I21</f>
        <v/>
      </c>
      <c r="L174">
        <f>'T_TTAFStock'!J21</f>
        <v/>
      </c>
      <c r="M174">
        <f>'T_TTAFStock'!K21</f>
        <v/>
      </c>
      <c r="N174">
        <f>'T_TTAFStock'!L21</f>
        <v/>
      </c>
      <c r="O174">
        <f>'T_TTAFStock'!M21</f>
        <v/>
      </c>
      <c r="P174">
        <f>'T_TTAFStock'!N21</f>
        <v/>
      </c>
      <c r="Q174">
        <f>'T_TTAFStock'!O21</f>
        <v/>
      </c>
      <c r="R174">
        <f>'T_TTAFStock'!P21</f>
        <v/>
      </c>
      <c r="S174">
        <f>'T_TTAFStock'!Q21</f>
        <v/>
      </c>
      <c r="T174">
        <f>'T_TTAFStock'!R21</f>
        <v/>
      </c>
      <c r="U174">
        <f>'T_TTAFStock'!S21</f>
        <v/>
      </c>
      <c r="V174">
        <f>'T_TTAFStock'!T21</f>
        <v/>
      </c>
      <c r="W174">
        <f>'T_TTAFStock'!U21</f>
        <v/>
      </c>
      <c r="X174">
        <f>'T_TTAFStock'!V21</f>
        <v/>
      </c>
      <c r="Y174">
        <f>'T_TTAFStock'!W21</f>
        <v/>
      </c>
      <c r="Z174">
        <f>'T_TTAFStock'!X21</f>
        <v/>
      </c>
      <c r="AA174">
        <f>'T_TTAFStock'!Y21</f>
        <v/>
      </c>
      <c r="AB174">
        <f>'T_TTAFStock'!Z21</f>
        <v/>
      </c>
      <c r="AC174">
        <f>'T_TTAFStock'!AA21</f>
        <v/>
      </c>
      <c r="AD174">
        <f>'T_TTAFStock'!AB21</f>
        <v/>
      </c>
      <c r="AE174">
        <f>'T_TTAFStock'!AC21</f>
        <v/>
      </c>
      <c r="AF174">
        <f>'T_TTAFStock'!AD21</f>
        <v/>
      </c>
      <c r="AG174">
        <f>'T_TTAFStock'!AE21</f>
        <v/>
      </c>
      <c r="AH174">
        <f>'T_TTAFStock'!AF21</f>
        <v/>
      </c>
      <c r="AI174">
        <f>'T_TTAFStock'!AG21</f>
        <v/>
      </c>
      <c r="AJ174">
        <f>'T_TTAFStock'!AH21</f>
        <v/>
      </c>
      <c r="AK174">
        <f>'T_TTAFStock'!AI21</f>
        <v/>
      </c>
      <c r="AL174">
        <f>'T_TTAFStock'!AJ21</f>
        <v/>
      </c>
      <c r="AM174">
        <f>'T_TTAFStock'!AK21</f>
        <v/>
      </c>
      <c r="AN174">
        <f>'T_TTAFStock'!AL21</f>
        <v/>
      </c>
      <c r="AO174">
        <f>'T_TTAFStock'!AM21</f>
        <v/>
      </c>
      <c r="AP174">
        <f>'T_TTAFStock'!AN21</f>
        <v/>
      </c>
      <c r="AQ174">
        <f>'T_TTAFStock'!AO21</f>
        <v/>
      </c>
      <c r="AR174">
        <f>'T_TTAFStock'!AP21</f>
        <v/>
      </c>
      <c r="AS174">
        <f>'T_TTAFStock'!AQ21</f>
        <v/>
      </c>
      <c r="AT174">
        <f>'T_TTAFStock'!AR21</f>
        <v/>
      </c>
      <c r="AU174">
        <f>'T_TTAFStock'!AS21</f>
        <v/>
      </c>
      <c r="AV174">
        <f>'T_TTAFStock'!AT21</f>
        <v/>
      </c>
      <c r="AW174">
        <f>'T_TTAFStock'!AU21</f>
        <v/>
      </c>
      <c r="AX174">
        <f>'T_TTAFStock'!AV21</f>
        <v/>
      </c>
      <c r="AY174">
        <f>'T_TTAFStock'!AW21</f>
        <v/>
      </c>
      <c r="AZ174">
        <f>'T_TTAFStock'!AX21</f>
        <v/>
      </c>
      <c r="BA174">
        <f>'T_TTAFStock'!AY21</f>
        <v/>
      </c>
      <c r="BB174">
        <f>'T_TTAFStock'!AZ21</f>
        <v/>
      </c>
      <c r="BC174">
        <f>'T_TTAFStock'!BA21</f>
        <v/>
      </c>
      <c r="BD174">
        <f>'T_TTAFStock'!BB21</f>
        <v/>
      </c>
      <c r="BE174">
        <f>'T_TTAFStock'!BC21</f>
        <v/>
      </c>
      <c r="BF174">
        <f>'T_TTAFStock'!BD21</f>
        <v/>
      </c>
      <c r="BG174">
        <f>'T_TTAFStock'!BE21</f>
        <v/>
      </c>
      <c r="BH174">
        <f>'T_TTAFStock'!BF21</f>
        <v/>
      </c>
      <c r="BI174">
        <f>'T_TTAFStock'!BG21</f>
        <v/>
      </c>
      <c r="BJ174">
        <f>'T_TTAFStock'!BH21</f>
        <v/>
      </c>
      <c r="BK174">
        <f>'T_TTAFStock'!BI21</f>
        <v/>
      </c>
      <c r="BL174">
        <f>'T_TTAFStock'!BJ21</f>
        <v/>
      </c>
      <c r="BM174">
        <f>'T_TTAFStock'!BK21</f>
        <v/>
      </c>
      <c r="BN174">
        <f>'T_TTAFStock'!BL21</f>
        <v/>
      </c>
      <c r="BO174">
        <f>'T_TTAFStock'!BM21</f>
        <v/>
      </c>
      <c r="BP174">
        <f>'T_TTAFStock'!BN21</f>
        <v/>
      </c>
      <c r="BQ174">
        <f>'T_TTAFStock'!BO21</f>
        <v/>
      </c>
      <c r="BR174">
        <f>'T_TTAFStock'!BP21</f>
        <v/>
      </c>
      <c r="BS174">
        <f>'T_TTAFStock'!BQ21</f>
        <v/>
      </c>
      <c r="BT174">
        <f>'T_TTAFStock'!BR21</f>
        <v/>
      </c>
      <c r="BU174">
        <f>'T_TTAFStock'!BS21</f>
        <v/>
      </c>
      <c r="BV174">
        <f>'T_TTAFStock'!BT21</f>
        <v/>
      </c>
      <c r="BW174">
        <f>'T_TTAFStock'!BU21</f>
        <v/>
      </c>
      <c r="BX174">
        <f>'T_TTAFStock'!BV21</f>
        <v/>
      </c>
      <c r="BY174">
        <f>'T_TTAFStock'!BW21</f>
        <v/>
      </c>
      <c r="BZ174">
        <f>'T_TTAFStock'!BX21</f>
        <v/>
      </c>
      <c r="CA174">
        <f>'T_TTAFStock'!BY21</f>
        <v/>
      </c>
      <c r="CB174">
        <f>'T_TTAFStock'!BZ21</f>
        <v/>
      </c>
      <c r="CC174">
        <f>'T_TTAFStock'!CA21</f>
        <v/>
      </c>
      <c r="CD174">
        <f>'T_TTAFStock'!CB21</f>
        <v/>
      </c>
      <c r="CE174">
        <f>'T_TTAFStock'!CC21</f>
        <v/>
      </c>
      <c r="CF174">
        <f>'T_TTAFStock'!CD21</f>
        <v/>
      </c>
      <c r="CG174">
        <f>'T_TTAFStock'!CE21</f>
        <v/>
      </c>
      <c r="CH174">
        <f>'T_TTAFStock'!CF21</f>
        <v/>
      </c>
      <c r="CI174">
        <f>'T_TTAFStock'!CG21</f>
        <v/>
      </c>
      <c r="CJ174">
        <f>'T_TTAFStock'!CH21</f>
        <v/>
      </c>
      <c r="CK174">
        <f>'T_TTAFStock'!CI21</f>
        <v/>
      </c>
      <c r="CL174">
        <f>'T_TTAFStock'!CJ21</f>
        <v/>
      </c>
      <c r="CM174">
        <f>'T_TTAFStock'!CK21</f>
        <v/>
      </c>
      <c r="CN174">
        <f>'T_TTAFStock'!CL21</f>
        <v/>
      </c>
      <c r="CO174">
        <f>'T_TTAFStock'!CM21</f>
        <v/>
      </c>
      <c r="CP174">
        <f>'T_TTAFStock'!CN21</f>
        <v/>
      </c>
      <c r="CQ174">
        <f>'T_TTAFStock'!CO21</f>
        <v/>
      </c>
      <c r="CR174">
        <f>'T_TTAFStock'!CP21</f>
        <v/>
      </c>
      <c r="CS174">
        <f>'T_TTAFStock'!CQ21</f>
        <v/>
      </c>
      <c r="CT174">
        <f>'T_TTAFStock'!CR21</f>
        <v/>
      </c>
      <c r="CU174">
        <f>'T_TTAFStock'!CS21</f>
        <v/>
      </c>
      <c r="CV174">
        <f>'T_TTAFStock'!CT21</f>
        <v/>
      </c>
      <c r="CW174">
        <f>'T_TTAFStock'!CU21</f>
        <v/>
      </c>
      <c r="CX174">
        <f>'T_TTAFStock'!CV21</f>
        <v/>
      </c>
      <c r="CY174">
        <f>'T_TTAFStock'!CW21</f>
        <v/>
      </c>
      <c r="CZ174">
        <f>'T_TTAFStock'!CX21</f>
        <v/>
      </c>
      <c r="DA174">
        <f>'T_TTAFStock'!CY21</f>
        <v/>
      </c>
      <c r="DB174">
        <f>'T_TTAFStock'!CZ21</f>
        <v/>
      </c>
      <c r="DC174">
        <f>'T_TTAFStock'!DA21</f>
        <v/>
      </c>
    </row>
    <row r="175">
      <c r="B175" t="inlineStr">
        <is>
          <t>自社在庫(実績,kg)</t>
        </is>
      </c>
      <c r="D175">
        <f>'T_SelfStock'!B21</f>
        <v/>
      </c>
      <c r="E175">
        <f>'T_SelfStock'!C21</f>
        <v/>
      </c>
      <c r="F175">
        <f>'T_SelfStock'!D21</f>
        <v/>
      </c>
      <c r="G175">
        <f>'T_SelfStock'!E21</f>
        <v/>
      </c>
      <c r="H175">
        <f>'T_SelfStock'!F21</f>
        <v/>
      </c>
      <c r="I175">
        <f>'T_SelfStock'!G21</f>
        <v/>
      </c>
      <c r="J175">
        <f>'T_SelfStock'!H21</f>
        <v/>
      </c>
      <c r="K175">
        <f>'T_SelfStock'!I21</f>
        <v/>
      </c>
      <c r="L175">
        <f>'T_SelfStock'!J21</f>
        <v/>
      </c>
      <c r="M175">
        <f>'T_SelfStock'!K21</f>
        <v/>
      </c>
      <c r="N175">
        <f>'T_SelfStock'!L21</f>
        <v/>
      </c>
      <c r="O175">
        <f>'T_SelfStock'!M21</f>
        <v/>
      </c>
      <c r="P175">
        <f>'T_SelfStock'!N21</f>
        <v/>
      </c>
      <c r="Q175">
        <f>'T_SelfStock'!O21</f>
        <v/>
      </c>
      <c r="R175">
        <f>'T_SelfStock'!P21</f>
        <v/>
      </c>
      <c r="S175">
        <f>'T_SelfStock'!Q21</f>
        <v/>
      </c>
      <c r="T175">
        <f>'T_SelfStock'!R21</f>
        <v/>
      </c>
      <c r="U175">
        <f>'T_SelfStock'!S21</f>
        <v/>
      </c>
      <c r="V175">
        <f>'T_SelfStock'!T21</f>
        <v/>
      </c>
      <c r="W175">
        <f>'T_SelfStock'!U21</f>
        <v/>
      </c>
      <c r="X175">
        <f>'T_SelfStock'!V21</f>
        <v/>
      </c>
      <c r="Y175">
        <f>'T_SelfStock'!W21</f>
        <v/>
      </c>
      <c r="Z175">
        <f>'T_SelfStock'!X21</f>
        <v/>
      </c>
      <c r="AA175">
        <f>'T_SelfStock'!Y21</f>
        <v/>
      </c>
      <c r="AB175">
        <f>'T_SelfStock'!Z21</f>
        <v/>
      </c>
      <c r="AC175">
        <f>'T_SelfStock'!AA21</f>
        <v/>
      </c>
      <c r="AD175">
        <f>'T_SelfStock'!AB21</f>
        <v/>
      </c>
      <c r="AE175">
        <f>'T_SelfStock'!AC21</f>
        <v/>
      </c>
      <c r="AF175">
        <f>'T_SelfStock'!AD21</f>
        <v/>
      </c>
      <c r="AG175">
        <f>'T_SelfStock'!AE21</f>
        <v/>
      </c>
      <c r="AH175">
        <f>'T_SelfStock'!AF21</f>
        <v/>
      </c>
      <c r="AI175">
        <f>'T_SelfStock'!AG21</f>
        <v/>
      </c>
      <c r="AJ175">
        <f>'T_SelfStock'!AH21</f>
        <v/>
      </c>
      <c r="AK175">
        <f>'T_SelfStock'!AI21</f>
        <v/>
      </c>
      <c r="AL175">
        <f>'T_SelfStock'!AJ21</f>
        <v/>
      </c>
      <c r="AM175">
        <f>'T_SelfStock'!AK21</f>
        <v/>
      </c>
      <c r="AN175">
        <f>'T_SelfStock'!AL21</f>
        <v/>
      </c>
      <c r="AO175">
        <f>'T_SelfStock'!AM21</f>
        <v/>
      </c>
      <c r="AP175">
        <f>'T_SelfStock'!AN21</f>
        <v/>
      </c>
      <c r="AQ175">
        <f>'T_SelfStock'!AO21</f>
        <v/>
      </c>
      <c r="AR175">
        <f>'T_SelfStock'!AP21</f>
        <v/>
      </c>
      <c r="AS175">
        <f>'T_SelfStock'!AQ21</f>
        <v/>
      </c>
      <c r="AT175">
        <f>'T_SelfStock'!AR21</f>
        <v/>
      </c>
      <c r="AU175">
        <f>'T_SelfStock'!AS21</f>
        <v/>
      </c>
      <c r="AV175">
        <f>'T_SelfStock'!AT21</f>
        <v/>
      </c>
      <c r="AW175">
        <f>'T_SelfStock'!AU21</f>
        <v/>
      </c>
      <c r="AX175">
        <f>'T_SelfStock'!AV21</f>
        <v/>
      </c>
      <c r="AY175">
        <f>'T_SelfStock'!AW21</f>
        <v/>
      </c>
      <c r="AZ175">
        <f>'T_SelfStock'!AX21</f>
        <v/>
      </c>
      <c r="BA175">
        <f>'T_SelfStock'!AY21</f>
        <v/>
      </c>
      <c r="BB175">
        <f>'T_SelfStock'!AZ21</f>
        <v/>
      </c>
      <c r="BC175">
        <f>'T_SelfStock'!BA21</f>
        <v/>
      </c>
      <c r="BD175">
        <f>'T_SelfStock'!BB21</f>
        <v/>
      </c>
      <c r="BE175">
        <f>'T_SelfStock'!BC21</f>
        <v/>
      </c>
      <c r="BF175">
        <f>'T_SelfStock'!BD21</f>
        <v/>
      </c>
      <c r="BG175">
        <f>'T_SelfStock'!BE21</f>
        <v/>
      </c>
      <c r="BH175">
        <f>'T_SelfStock'!BF21</f>
        <v/>
      </c>
      <c r="BI175">
        <f>'T_SelfStock'!BG21</f>
        <v/>
      </c>
      <c r="BJ175">
        <f>'T_SelfStock'!BH21</f>
        <v/>
      </c>
      <c r="BK175">
        <f>'T_SelfStock'!BI21</f>
        <v/>
      </c>
      <c r="BL175">
        <f>'T_SelfStock'!BJ21</f>
        <v/>
      </c>
      <c r="BM175">
        <f>'T_SelfStock'!BK21</f>
        <v/>
      </c>
      <c r="BN175">
        <f>'T_SelfStock'!BL21</f>
        <v/>
      </c>
      <c r="BO175">
        <f>'T_SelfStock'!BM21</f>
        <v/>
      </c>
      <c r="BP175">
        <f>'T_SelfStock'!BN21</f>
        <v/>
      </c>
      <c r="BQ175">
        <f>'T_SelfStock'!BO21</f>
        <v/>
      </c>
      <c r="BR175">
        <f>'T_SelfStock'!BP21</f>
        <v/>
      </c>
      <c r="BS175">
        <f>'T_SelfStock'!BQ21</f>
        <v/>
      </c>
      <c r="BT175">
        <f>'T_SelfStock'!BR21</f>
        <v/>
      </c>
      <c r="BU175">
        <f>'T_SelfStock'!BS21</f>
        <v/>
      </c>
      <c r="BV175">
        <f>'T_SelfStock'!BT21</f>
        <v/>
      </c>
      <c r="BW175">
        <f>'T_SelfStock'!BU21</f>
        <v/>
      </c>
      <c r="BX175">
        <f>'T_SelfStock'!BV21</f>
        <v/>
      </c>
      <c r="BY175">
        <f>'T_SelfStock'!BW21</f>
        <v/>
      </c>
      <c r="BZ175">
        <f>'T_SelfStock'!BX21</f>
        <v/>
      </c>
      <c r="CA175">
        <f>'T_SelfStock'!BY21</f>
        <v/>
      </c>
      <c r="CB175">
        <f>'T_SelfStock'!BZ21</f>
        <v/>
      </c>
      <c r="CC175">
        <f>'T_SelfStock'!CA21</f>
        <v/>
      </c>
      <c r="CD175">
        <f>'T_SelfStock'!CB21</f>
        <v/>
      </c>
      <c r="CE175">
        <f>'T_SelfStock'!CC21</f>
        <v/>
      </c>
      <c r="CF175">
        <f>'T_SelfStock'!CD21</f>
        <v/>
      </c>
      <c r="CG175">
        <f>'T_SelfStock'!CE21</f>
        <v/>
      </c>
      <c r="CH175">
        <f>'T_SelfStock'!CF21</f>
        <v/>
      </c>
      <c r="CI175">
        <f>'T_SelfStock'!CG21</f>
        <v/>
      </c>
      <c r="CJ175">
        <f>'T_SelfStock'!CH21</f>
        <v/>
      </c>
      <c r="CK175">
        <f>'T_SelfStock'!CI21</f>
        <v/>
      </c>
      <c r="CL175">
        <f>'T_SelfStock'!CJ21</f>
        <v/>
      </c>
      <c r="CM175">
        <f>'T_SelfStock'!CK21</f>
        <v/>
      </c>
      <c r="CN175">
        <f>'T_SelfStock'!CL21</f>
        <v/>
      </c>
      <c r="CO175">
        <f>'T_SelfStock'!CM21</f>
        <v/>
      </c>
      <c r="CP175">
        <f>'T_SelfStock'!CN21</f>
        <v/>
      </c>
      <c r="CQ175">
        <f>'T_SelfStock'!CO21</f>
        <v/>
      </c>
      <c r="CR175">
        <f>'T_SelfStock'!CP21</f>
        <v/>
      </c>
      <c r="CS175">
        <f>'T_SelfStock'!CQ21</f>
        <v/>
      </c>
      <c r="CT175">
        <f>'T_SelfStock'!CR21</f>
        <v/>
      </c>
      <c r="CU175">
        <f>'T_SelfStock'!CS21</f>
        <v/>
      </c>
      <c r="CV175">
        <f>'T_SelfStock'!CT21</f>
        <v/>
      </c>
      <c r="CW175">
        <f>'T_SelfStock'!CU21</f>
        <v/>
      </c>
      <c r="CX175">
        <f>'T_SelfStock'!CV21</f>
        <v/>
      </c>
      <c r="CY175">
        <f>'T_SelfStock'!CW21</f>
        <v/>
      </c>
      <c r="CZ175">
        <f>'T_SelfStock'!CX21</f>
        <v/>
      </c>
      <c r="DA175">
        <f>'T_SelfStock'!CY21</f>
        <v/>
      </c>
      <c r="DB175">
        <f>'T_SelfStock'!CZ21</f>
        <v/>
      </c>
      <c r="DC175">
        <f>'T_SelfStock'!DA21</f>
        <v/>
      </c>
    </row>
    <row r="176">
      <c r="B176" t="inlineStr">
        <is>
          <t>Order(発注予定,kg)</t>
        </is>
      </c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  <c r="AA176" s="23" t="n"/>
      <c r="AB176" s="23" t="n"/>
      <c r="AC176" s="23" t="n"/>
      <c r="AD176" s="23" t="n"/>
      <c r="AE176" s="23" t="n"/>
      <c r="AF176" s="23" t="n"/>
      <c r="AG176" s="23" t="n"/>
      <c r="AH176" s="23" t="n"/>
      <c r="AI176" s="23" t="n"/>
      <c r="AJ176" s="23" t="n"/>
      <c r="AK176" s="23" t="n"/>
      <c r="AL176" s="23" t="n"/>
      <c r="AM176" s="23" t="n"/>
      <c r="AN176" s="23" t="n"/>
      <c r="AO176" s="23" t="n"/>
      <c r="AP176" s="23" t="n"/>
      <c r="AQ176" s="23" t="n"/>
      <c r="AR176" s="23" t="n"/>
      <c r="AS176" s="23" t="n"/>
      <c r="AT176" s="23" t="n"/>
      <c r="AU176" s="23" t="n"/>
      <c r="AV176" s="23" t="n"/>
      <c r="AW176" s="23" t="n"/>
      <c r="AX176" s="23" t="n"/>
      <c r="AY176" s="23" t="n"/>
      <c r="AZ176" s="23" t="n"/>
      <c r="BA176" s="23" t="n"/>
      <c r="BB176" s="23" t="n"/>
      <c r="BC176" s="23" t="n"/>
      <c r="BD176" s="23" t="n"/>
      <c r="BE176" s="23" t="n"/>
      <c r="BF176" s="23" t="n"/>
      <c r="BG176" s="23" t="n"/>
      <c r="BH176" s="23" t="n"/>
      <c r="BI176" s="23" t="n"/>
      <c r="BJ176" s="23" t="n"/>
      <c r="BK176" s="23" t="n"/>
      <c r="BL176" s="23" t="n"/>
      <c r="BM176" s="23" t="n"/>
      <c r="BN176" s="23" t="n"/>
      <c r="BO176" s="23" t="n"/>
      <c r="BP176" s="23" t="n"/>
      <c r="BQ176" s="23" t="n"/>
      <c r="BR176" s="23" t="n"/>
      <c r="BS176" s="23" t="n"/>
      <c r="BT176" s="23" t="n"/>
      <c r="BU176" s="23" t="n"/>
      <c r="BV176" s="23" t="n"/>
      <c r="BW176" s="23" t="n"/>
      <c r="BX176" s="23" t="n"/>
      <c r="BY176" s="23" t="n"/>
      <c r="BZ176" s="23" t="n"/>
      <c r="CA176" s="23" t="n"/>
      <c r="CB176" s="23" t="n"/>
      <c r="CC176" s="23" t="n"/>
      <c r="CD176" s="23" t="n"/>
      <c r="CE176" s="23" t="n"/>
      <c r="CF176" s="23" t="n"/>
      <c r="CG176" s="23" t="n"/>
      <c r="CH176" s="23" t="n"/>
      <c r="CI176" s="23" t="n"/>
      <c r="CJ176" s="23" t="n"/>
      <c r="CK176" s="23" t="n"/>
      <c r="CL176" s="23" t="n"/>
      <c r="CM176" s="23" t="n"/>
      <c r="CN176" s="23" t="n"/>
      <c r="CO176" s="23" t="n"/>
      <c r="CP176" s="23" t="n"/>
      <c r="CQ176" s="23" t="n"/>
      <c r="CR176" s="23" t="n"/>
      <c r="CS176" s="23" t="n"/>
      <c r="CT176" s="23" t="n"/>
      <c r="CU176" s="23" t="n"/>
      <c r="CV176" s="23" t="n"/>
      <c r="CW176" s="23" t="n"/>
      <c r="CX176" s="23" t="n"/>
      <c r="CY176" s="23" t="n"/>
      <c r="CZ176" s="23" t="n"/>
      <c r="DA176" s="23" t="n"/>
      <c r="DB176" s="23" t="n"/>
      <c r="DC176" s="23" t="n"/>
      <c r="DE176" s="12" t="inlineStr">
        <is>
          <t>9RJ</t>
        </is>
      </c>
    </row>
    <row r="177">
      <c r="B177" s="24" t="inlineStr">
        <is>
          <t>PO_No</t>
        </is>
      </c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  <c r="AD177" s="25" t="n"/>
      <c r="AE177" s="25" t="n"/>
      <c r="AF177" s="25" t="n"/>
      <c r="AG177" s="25" t="n"/>
      <c r="AH177" s="25" t="n"/>
      <c r="AI177" s="25" t="n"/>
      <c r="AJ177" s="25" t="n"/>
      <c r="AK177" s="25" t="n"/>
      <c r="AL177" s="25" t="n"/>
      <c r="AM177" s="25" t="n"/>
      <c r="AN177" s="25" t="n"/>
      <c r="AO177" s="25" t="n"/>
      <c r="AP177" s="25" t="n"/>
      <c r="AQ177" s="25" t="n"/>
      <c r="AR177" s="25" t="n"/>
      <c r="AS177" s="25" t="n"/>
      <c r="AT177" s="25" t="n"/>
      <c r="AU177" s="25" t="n"/>
      <c r="AV177" s="25" t="n"/>
      <c r="AW177" s="25" t="n"/>
      <c r="AX177" s="25" t="n"/>
      <c r="AY177" s="25" t="n"/>
      <c r="AZ177" s="25" t="n"/>
      <c r="BA177" s="25" t="n"/>
      <c r="BB177" s="25" t="n"/>
      <c r="BC177" s="25" t="n"/>
      <c r="BD177" s="25" t="n"/>
      <c r="BE177" s="25" t="n"/>
      <c r="BF177" s="25" t="n"/>
      <c r="BG177" s="25" t="n"/>
      <c r="BH177" s="25" t="n"/>
      <c r="BI177" s="25" t="n"/>
      <c r="BJ177" s="25" t="n"/>
      <c r="BK177" s="25" t="n"/>
      <c r="BL177" s="25" t="n"/>
      <c r="BM177" s="25" t="n"/>
      <c r="BN177" s="25" t="n"/>
      <c r="BO177" s="25" t="n"/>
      <c r="BP177" s="25" t="n"/>
      <c r="BQ177" s="25" t="n"/>
      <c r="BR177" s="25" t="n"/>
      <c r="BS177" s="25" t="n"/>
      <c r="BT177" s="25" t="n"/>
      <c r="BU177" s="25" t="n"/>
      <c r="BV177" s="25" t="n"/>
      <c r="BW177" s="25" t="n"/>
      <c r="BX177" s="25" t="n"/>
      <c r="BY177" s="25" t="n"/>
      <c r="BZ177" s="25" t="n"/>
      <c r="CA177" s="25" t="n"/>
      <c r="CB177" s="25" t="n"/>
      <c r="CC177" s="25" t="n"/>
      <c r="CD177" s="25" t="n"/>
      <c r="CE177" s="25" t="n"/>
      <c r="CF177" s="25" t="n"/>
      <c r="CG177" s="25" t="n"/>
      <c r="CH177" s="25" t="n"/>
      <c r="CI177" s="25" t="n"/>
      <c r="CJ177" s="25" t="n"/>
      <c r="CK177" s="25" t="n"/>
      <c r="CL177" s="25" t="n"/>
      <c r="CM177" s="25" t="n"/>
      <c r="CN177" s="25" t="n"/>
      <c r="CO177" s="25" t="n"/>
      <c r="CP177" s="25" t="n"/>
      <c r="CQ177" s="25" t="n"/>
      <c r="CR177" s="25" t="n"/>
      <c r="CS177" s="25" t="n"/>
      <c r="CT177" s="25" t="n"/>
      <c r="CU177" s="25" t="n"/>
      <c r="CV177" s="25" t="n"/>
      <c r="CW177" s="25" t="n"/>
      <c r="CX177" s="25" t="n"/>
      <c r="CY177" s="25" t="n"/>
      <c r="CZ177" s="25" t="n"/>
      <c r="DA177" s="25" t="n"/>
      <c r="DB177" s="25" t="n"/>
      <c r="DC177" s="25" t="n"/>
    </row>
    <row r="178">
      <c r="B178" s="5" t="inlineStr">
        <is>
          <t>合計在庫(週末時点,kg)</t>
        </is>
      </c>
      <c r="D178">
        <f>'Grid_Stock'!B17</f>
        <v/>
      </c>
      <c r="E178">
        <f>'Grid_Stock'!C17</f>
        <v/>
      </c>
      <c r="F178">
        <f>'Grid_Stock'!D17</f>
        <v/>
      </c>
      <c r="G178">
        <f>'Grid_Stock'!E17</f>
        <v/>
      </c>
      <c r="H178">
        <f>'Grid_Stock'!F17</f>
        <v/>
      </c>
      <c r="I178">
        <f>'Grid_Stock'!G17</f>
        <v/>
      </c>
      <c r="J178">
        <f>'Grid_Stock'!H17</f>
        <v/>
      </c>
      <c r="K178">
        <f>'Grid_Stock'!I17</f>
        <v/>
      </c>
      <c r="L178">
        <f>'Grid_Stock'!J17</f>
        <v/>
      </c>
      <c r="M178">
        <f>'Grid_Stock'!K17</f>
        <v/>
      </c>
      <c r="N178">
        <f>'Grid_Stock'!L17</f>
        <v/>
      </c>
      <c r="O178">
        <f>'Grid_Stock'!M17</f>
        <v/>
      </c>
      <c r="P178">
        <f>'Grid_Stock'!N17</f>
        <v/>
      </c>
      <c r="Q178">
        <f>'Grid_Stock'!O17</f>
        <v/>
      </c>
      <c r="R178">
        <f>'Grid_Stock'!P17</f>
        <v/>
      </c>
      <c r="S178">
        <f>'Grid_Stock'!Q17</f>
        <v/>
      </c>
      <c r="T178">
        <f>'Grid_Stock'!R17</f>
        <v/>
      </c>
      <c r="U178">
        <f>'Grid_Stock'!S17</f>
        <v/>
      </c>
      <c r="V178">
        <f>'Grid_Stock'!T17</f>
        <v/>
      </c>
      <c r="W178">
        <f>'Grid_Stock'!U17</f>
        <v/>
      </c>
      <c r="X178">
        <f>'Grid_Stock'!V17</f>
        <v/>
      </c>
      <c r="Y178">
        <f>'Grid_Stock'!W17</f>
        <v/>
      </c>
      <c r="Z178">
        <f>'Grid_Stock'!X17</f>
        <v/>
      </c>
      <c r="AA178">
        <f>'Grid_Stock'!Y17</f>
        <v/>
      </c>
      <c r="AB178">
        <f>'Grid_Stock'!Z17</f>
        <v/>
      </c>
      <c r="AC178">
        <f>'Grid_Stock'!AA17</f>
        <v/>
      </c>
      <c r="AD178">
        <f>'Grid_Stock'!AB17</f>
        <v/>
      </c>
      <c r="AE178">
        <f>'Grid_Stock'!AC17</f>
        <v/>
      </c>
      <c r="AF178">
        <f>'Grid_Stock'!AD17</f>
        <v/>
      </c>
      <c r="AG178">
        <f>'Grid_Stock'!AE17</f>
        <v/>
      </c>
      <c r="AH178">
        <f>'Grid_Stock'!AF17</f>
        <v/>
      </c>
      <c r="AI178">
        <f>'Grid_Stock'!AG17</f>
        <v/>
      </c>
      <c r="AJ178">
        <f>'Grid_Stock'!AH17</f>
        <v/>
      </c>
      <c r="AK178">
        <f>'Grid_Stock'!AI17</f>
        <v/>
      </c>
      <c r="AL178">
        <f>'Grid_Stock'!AJ17</f>
        <v/>
      </c>
      <c r="AM178">
        <f>'Grid_Stock'!AK17</f>
        <v/>
      </c>
      <c r="AN178">
        <f>'Grid_Stock'!AL17</f>
        <v/>
      </c>
      <c r="AO178">
        <f>'Grid_Stock'!AM17</f>
        <v/>
      </c>
      <c r="AP178">
        <f>'Grid_Stock'!AN17</f>
        <v/>
      </c>
      <c r="AQ178">
        <f>'Grid_Stock'!AO17</f>
        <v/>
      </c>
      <c r="AR178">
        <f>'Grid_Stock'!AP17</f>
        <v/>
      </c>
      <c r="AS178">
        <f>'Grid_Stock'!AQ17</f>
        <v/>
      </c>
      <c r="AT178">
        <f>'Grid_Stock'!AR17</f>
        <v/>
      </c>
      <c r="AU178">
        <f>'Grid_Stock'!AS17</f>
        <v/>
      </c>
      <c r="AV178">
        <f>'Grid_Stock'!AT17</f>
        <v/>
      </c>
      <c r="AW178">
        <f>'Grid_Stock'!AU17</f>
        <v/>
      </c>
      <c r="AX178">
        <f>'Grid_Stock'!AV17</f>
        <v/>
      </c>
      <c r="AY178">
        <f>'Grid_Stock'!AW17</f>
        <v/>
      </c>
      <c r="AZ178">
        <f>'Grid_Stock'!AX17</f>
        <v/>
      </c>
      <c r="BA178">
        <f>'Grid_Stock'!AY17</f>
        <v/>
      </c>
      <c r="BB178">
        <f>'Grid_Stock'!AZ17</f>
        <v/>
      </c>
      <c r="BC178">
        <f>'Grid_Stock'!BA17</f>
        <v/>
      </c>
      <c r="BD178">
        <f>'Grid_Stock'!BB17</f>
        <v/>
      </c>
      <c r="BE178">
        <f>'Grid_Stock'!BC17</f>
        <v/>
      </c>
      <c r="BF178">
        <f>'Grid_Stock'!BD17</f>
        <v/>
      </c>
      <c r="BG178">
        <f>'Grid_Stock'!BE17</f>
        <v/>
      </c>
      <c r="BH178">
        <f>'Grid_Stock'!BF17</f>
        <v/>
      </c>
      <c r="BI178">
        <f>'Grid_Stock'!BG17</f>
        <v/>
      </c>
      <c r="BJ178">
        <f>'Grid_Stock'!BH17</f>
        <v/>
      </c>
      <c r="BK178">
        <f>'Grid_Stock'!BI17</f>
        <v/>
      </c>
      <c r="BL178">
        <f>'Grid_Stock'!BJ17</f>
        <v/>
      </c>
      <c r="BM178">
        <f>'Grid_Stock'!BK17</f>
        <v/>
      </c>
      <c r="BN178">
        <f>'Grid_Stock'!BL17</f>
        <v/>
      </c>
      <c r="BO178">
        <f>'Grid_Stock'!BM17</f>
        <v/>
      </c>
      <c r="BP178">
        <f>'Grid_Stock'!BN17</f>
        <v/>
      </c>
      <c r="BQ178">
        <f>'Grid_Stock'!BO17</f>
        <v/>
      </c>
      <c r="BR178">
        <f>'Grid_Stock'!BP17</f>
        <v/>
      </c>
      <c r="BS178">
        <f>'Grid_Stock'!BQ17</f>
        <v/>
      </c>
      <c r="BT178">
        <f>'Grid_Stock'!BR17</f>
        <v/>
      </c>
      <c r="BU178">
        <f>'Grid_Stock'!BS17</f>
        <v/>
      </c>
      <c r="BV178">
        <f>'Grid_Stock'!BT17</f>
        <v/>
      </c>
      <c r="BW178">
        <f>'Grid_Stock'!BU17</f>
        <v/>
      </c>
      <c r="BX178">
        <f>'Grid_Stock'!BV17</f>
        <v/>
      </c>
      <c r="BY178">
        <f>'Grid_Stock'!BW17</f>
        <v/>
      </c>
      <c r="BZ178">
        <f>'Grid_Stock'!BX17</f>
        <v/>
      </c>
      <c r="CA178">
        <f>'Grid_Stock'!BY17</f>
        <v/>
      </c>
      <c r="CB178">
        <f>'Grid_Stock'!BZ17</f>
        <v/>
      </c>
      <c r="CC178">
        <f>'Grid_Stock'!CA17</f>
        <v/>
      </c>
      <c r="CD178">
        <f>'Grid_Stock'!CB17</f>
        <v/>
      </c>
      <c r="CE178">
        <f>'Grid_Stock'!CC17</f>
        <v/>
      </c>
      <c r="CF178">
        <f>'Grid_Stock'!CD17</f>
        <v/>
      </c>
      <c r="CG178">
        <f>'Grid_Stock'!CE17</f>
        <v/>
      </c>
      <c r="CH178">
        <f>'Grid_Stock'!CF17</f>
        <v/>
      </c>
      <c r="CI178">
        <f>'Grid_Stock'!CG17</f>
        <v/>
      </c>
      <c r="CJ178">
        <f>'Grid_Stock'!CH17</f>
        <v/>
      </c>
      <c r="CK178">
        <f>'Grid_Stock'!CI17</f>
        <v/>
      </c>
      <c r="CL178">
        <f>'Grid_Stock'!CJ17</f>
        <v/>
      </c>
      <c r="CM178">
        <f>'Grid_Stock'!CK17</f>
        <v/>
      </c>
      <c r="CN178">
        <f>'Grid_Stock'!CL17</f>
        <v/>
      </c>
      <c r="CO178">
        <f>'Grid_Stock'!CM17</f>
        <v/>
      </c>
      <c r="CP178">
        <f>'Grid_Stock'!CN17</f>
        <v/>
      </c>
      <c r="CQ178">
        <f>'Grid_Stock'!CO17</f>
        <v/>
      </c>
      <c r="CR178">
        <f>'Grid_Stock'!CP17</f>
        <v/>
      </c>
      <c r="CS178">
        <f>'Grid_Stock'!CQ17</f>
        <v/>
      </c>
      <c r="CT178">
        <f>'Grid_Stock'!CR17</f>
        <v/>
      </c>
      <c r="CU178">
        <f>'Grid_Stock'!CS17</f>
        <v/>
      </c>
      <c r="CV178">
        <f>'Grid_Stock'!CT17</f>
        <v/>
      </c>
      <c r="CW178">
        <f>'Grid_Stock'!CU17</f>
        <v/>
      </c>
      <c r="CX178">
        <f>'Grid_Stock'!CV17</f>
        <v/>
      </c>
      <c r="CY178">
        <f>'Grid_Stock'!CW17</f>
        <v/>
      </c>
      <c r="CZ178">
        <f>'Grid_Stock'!CX17</f>
        <v/>
      </c>
      <c r="DA178">
        <f>'Grid_Stock'!CY17</f>
        <v/>
      </c>
      <c r="DB178">
        <f>'Grid_Stock'!CZ17</f>
        <v/>
      </c>
      <c r="DC178">
        <f>'Grid_Stock'!DA17</f>
        <v/>
      </c>
    </row>
    <row r="179">
      <c r="B179" s="26" t="inlineStr">
        <is>
          <t>（発注の目安はDashboardの基準在庫[下限/上限]と色分けを参照）</t>
        </is>
      </c>
    </row>
    <row r="181">
      <c r="A181" s="21" t="inlineStr">
        <is>
          <t>5JK</t>
        </is>
      </c>
      <c r="B181" s="21" t="inlineStr">
        <is>
          <t>Substrate NGK TP167-103-105xT2</t>
        </is>
      </c>
      <c r="C181" s="22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  <c r="AO181" s="21" t="n"/>
      <c r="AP181" s="21" t="n"/>
      <c r="AQ181" s="21" t="n"/>
      <c r="AR181" s="21" t="n"/>
      <c r="AS181" s="21" t="n"/>
      <c r="AT181" s="21" t="n"/>
      <c r="AU181" s="21" t="n"/>
      <c r="AV181" s="21" t="n"/>
      <c r="AW181" s="21" t="n"/>
      <c r="AX181" s="21" t="n"/>
      <c r="AY181" s="21" t="n"/>
      <c r="AZ181" s="21" t="n"/>
      <c r="BA181" s="21" t="n"/>
      <c r="BB181" s="21" t="n"/>
      <c r="BC181" s="21" t="n"/>
      <c r="BD181" s="21" t="n"/>
      <c r="BE181" s="21" t="n"/>
      <c r="BF181" s="21" t="n"/>
      <c r="BG181" s="21" t="n"/>
      <c r="BH181" s="21" t="n"/>
      <c r="BI181" s="21" t="n"/>
      <c r="BJ181" s="21" t="n"/>
      <c r="BK181" s="21" t="n"/>
      <c r="BL181" s="21" t="n"/>
      <c r="BM181" s="21" t="n"/>
      <c r="BN181" s="21" t="n"/>
      <c r="BO181" s="21" t="n"/>
      <c r="BP181" s="21" t="n"/>
      <c r="BQ181" s="21" t="n"/>
      <c r="BR181" s="21" t="n"/>
      <c r="BS181" s="21" t="n"/>
      <c r="BT181" s="21" t="n"/>
      <c r="BU181" s="21" t="n"/>
      <c r="BV181" s="21" t="n"/>
      <c r="BW181" s="21" t="n"/>
      <c r="BX181" s="21" t="n"/>
      <c r="BY181" s="21" t="n"/>
      <c r="BZ181" s="21" t="n"/>
      <c r="CA181" s="21" t="n"/>
      <c r="CB181" s="21" t="n"/>
      <c r="CC181" s="21" t="n"/>
      <c r="CD181" s="21" t="n"/>
      <c r="CE181" s="21" t="n"/>
      <c r="CF181" s="21" t="n"/>
      <c r="CG181" s="21" t="n"/>
      <c r="CH181" s="21" t="n"/>
      <c r="CI181" s="21" t="n"/>
      <c r="CJ181" s="21" t="n"/>
      <c r="CK181" s="21" t="n"/>
      <c r="CL181" s="21" t="n"/>
      <c r="CM181" s="21" t="n"/>
      <c r="CN181" s="21" t="n"/>
      <c r="CO181" s="21" t="n"/>
      <c r="CP181" s="21" t="n"/>
      <c r="CQ181" s="21" t="n"/>
      <c r="CR181" s="21" t="n"/>
      <c r="CS181" s="21" t="n"/>
      <c r="CT181" s="21" t="n"/>
      <c r="CU181" s="21" t="n"/>
      <c r="CV181" s="21" t="n"/>
      <c r="CW181" s="21" t="n"/>
      <c r="CX181" s="21" t="n"/>
      <c r="CY181" s="21" t="n"/>
      <c r="CZ181" s="21" t="n"/>
      <c r="DA181" s="21" t="n"/>
      <c r="DB181" s="21" t="n"/>
      <c r="DC181" s="21" t="n"/>
    </row>
    <row r="182">
      <c r="B182" t="inlineStr">
        <is>
          <t>0T500</t>
        </is>
      </c>
      <c r="C182" t="inlineStr">
        <is>
          <t>No. of batches</t>
        </is>
      </c>
      <c r="D182">
        <f>IFERROR(INDEX(PP_Grid[#Data],$DD182,2),0)</f>
        <v/>
      </c>
      <c r="E182">
        <f>IFERROR(INDEX(PP_Grid[#Data],$DD182,3),0)</f>
        <v/>
      </c>
      <c r="F182">
        <f>IFERROR(INDEX(PP_Grid[#Data],$DD182,4),0)</f>
        <v/>
      </c>
      <c r="G182">
        <f>IFERROR(INDEX(PP_Grid[#Data],$DD182,5),0)</f>
        <v/>
      </c>
      <c r="H182">
        <f>IFERROR(INDEX(PP_Grid[#Data],$DD182,6),0)</f>
        <v/>
      </c>
      <c r="I182">
        <f>IFERROR(INDEX(PP_Grid[#Data],$DD182,7),0)</f>
        <v/>
      </c>
      <c r="J182">
        <f>IFERROR(INDEX(PP_Grid[#Data],$DD182,8),0)</f>
        <v/>
      </c>
      <c r="K182">
        <f>IFERROR(INDEX(PP_Grid[#Data],$DD182,9),0)</f>
        <v/>
      </c>
      <c r="L182">
        <f>IFERROR(INDEX(PP_Grid[#Data],$DD182,10),0)</f>
        <v/>
      </c>
      <c r="M182">
        <f>IFERROR(INDEX(PP_Grid[#Data],$DD182,11),0)</f>
        <v/>
      </c>
      <c r="N182">
        <f>IFERROR(INDEX(PP_Grid[#Data],$DD182,12),0)</f>
        <v/>
      </c>
      <c r="O182">
        <f>IFERROR(INDEX(PP_Grid[#Data],$DD182,13),0)</f>
        <v/>
      </c>
      <c r="P182">
        <f>IFERROR(INDEX(PP_Grid[#Data],$DD182,14),0)</f>
        <v/>
      </c>
      <c r="Q182">
        <f>IFERROR(INDEX(PP_Grid[#Data],$DD182,15),0)</f>
        <v/>
      </c>
      <c r="R182">
        <f>IFERROR(INDEX(PP_Grid[#Data],$DD182,16),0)</f>
        <v/>
      </c>
      <c r="S182">
        <f>IFERROR(INDEX(PP_Grid[#Data],$DD182,17),0)</f>
        <v/>
      </c>
      <c r="T182">
        <f>IFERROR(INDEX(PP_Grid[#Data],$DD182,18),0)</f>
        <v/>
      </c>
      <c r="U182">
        <f>IFERROR(INDEX(PP_Grid[#Data],$DD182,19),0)</f>
        <v/>
      </c>
      <c r="V182">
        <f>IFERROR(INDEX(PP_Grid[#Data],$DD182,20),0)</f>
        <v/>
      </c>
      <c r="W182">
        <f>IFERROR(INDEX(PP_Grid[#Data],$DD182,21),0)</f>
        <v/>
      </c>
      <c r="X182">
        <f>IFERROR(INDEX(PP_Grid[#Data],$DD182,22),0)</f>
        <v/>
      </c>
      <c r="Y182">
        <f>IFERROR(INDEX(PP_Grid[#Data],$DD182,23),0)</f>
        <v/>
      </c>
      <c r="Z182">
        <f>IFERROR(INDEX(PP_Grid[#Data],$DD182,24),0)</f>
        <v/>
      </c>
      <c r="AA182">
        <f>IFERROR(INDEX(PP_Grid[#Data],$DD182,25),0)</f>
        <v/>
      </c>
      <c r="AB182">
        <f>IFERROR(INDEX(PP_Grid[#Data],$DD182,26),0)</f>
        <v/>
      </c>
      <c r="AC182">
        <f>IFERROR(INDEX(PP_Grid[#Data],$DD182,27),0)</f>
        <v/>
      </c>
      <c r="AD182">
        <f>IFERROR(INDEX(PP_Grid[#Data],$DD182,28),0)</f>
        <v/>
      </c>
      <c r="AE182">
        <f>IFERROR(INDEX(PP_Grid[#Data],$DD182,29),0)</f>
        <v/>
      </c>
      <c r="AF182">
        <f>IFERROR(INDEX(PP_Grid[#Data],$DD182,30),0)</f>
        <v/>
      </c>
      <c r="AG182">
        <f>IFERROR(INDEX(PP_Grid[#Data],$DD182,31),0)</f>
        <v/>
      </c>
      <c r="AH182">
        <f>IFERROR(INDEX(PP_Grid[#Data],$DD182,32),0)</f>
        <v/>
      </c>
      <c r="AI182">
        <f>IFERROR(INDEX(PP_Grid[#Data],$DD182,33),0)</f>
        <v/>
      </c>
      <c r="AJ182">
        <f>IFERROR(INDEX(PP_Grid[#Data],$DD182,34),0)</f>
        <v/>
      </c>
      <c r="AK182">
        <f>IFERROR(INDEX(PP_Grid[#Data],$DD182,35),0)</f>
        <v/>
      </c>
      <c r="AL182">
        <f>IFERROR(INDEX(PP_Grid[#Data],$DD182,36),0)</f>
        <v/>
      </c>
      <c r="AM182">
        <f>IFERROR(INDEX(PP_Grid[#Data],$DD182,37),0)</f>
        <v/>
      </c>
      <c r="AN182">
        <f>IFERROR(INDEX(PP_Grid[#Data],$DD182,38),0)</f>
        <v/>
      </c>
      <c r="AO182">
        <f>IFERROR(INDEX(PP_Grid[#Data],$DD182,39),0)</f>
        <v/>
      </c>
      <c r="AP182">
        <f>IFERROR(INDEX(PP_Grid[#Data],$DD182,40),0)</f>
        <v/>
      </c>
      <c r="AQ182">
        <f>IFERROR(INDEX(PP_Grid[#Data],$DD182,41),0)</f>
        <v/>
      </c>
      <c r="AR182">
        <f>IFERROR(INDEX(PP_Grid[#Data],$DD182,42),0)</f>
        <v/>
      </c>
      <c r="AS182">
        <f>IFERROR(INDEX(PP_Grid[#Data],$DD182,43),0)</f>
        <v/>
      </c>
      <c r="AT182">
        <f>IFERROR(INDEX(PP_Grid[#Data],$DD182,44),0)</f>
        <v/>
      </c>
      <c r="AU182">
        <f>IFERROR(INDEX(PP_Grid[#Data],$DD182,45),0)</f>
        <v/>
      </c>
      <c r="AV182">
        <f>IFERROR(INDEX(PP_Grid[#Data],$DD182,46),0)</f>
        <v/>
      </c>
      <c r="AW182">
        <f>IFERROR(INDEX(PP_Grid[#Data],$DD182,47),0)</f>
        <v/>
      </c>
      <c r="AX182">
        <f>IFERROR(INDEX(PP_Grid[#Data],$DD182,48),0)</f>
        <v/>
      </c>
      <c r="AY182">
        <f>IFERROR(INDEX(PP_Grid[#Data],$DD182,49),0)</f>
        <v/>
      </c>
      <c r="AZ182">
        <f>IFERROR(INDEX(PP_Grid[#Data],$DD182,50),0)</f>
        <v/>
      </c>
      <c r="BA182">
        <f>IFERROR(INDEX(PP_Grid[#Data],$DD182,51),0)</f>
        <v/>
      </c>
      <c r="BB182">
        <f>IFERROR(INDEX(PP_Grid[#Data],$DD182,52),0)</f>
        <v/>
      </c>
      <c r="BC182">
        <f>IFERROR(INDEX(PP_Grid[#Data],$DD182,53),0)</f>
        <v/>
      </c>
      <c r="BD182">
        <f>IFERROR(INDEX(PP_Grid[#Data],$DD182,54),0)</f>
        <v/>
      </c>
      <c r="BE182">
        <f>IFERROR(INDEX(PP_Grid[#Data],$DD182,55),0)</f>
        <v/>
      </c>
      <c r="BF182">
        <f>IFERROR(INDEX(PP_Grid[#Data],$DD182,56),0)</f>
        <v/>
      </c>
      <c r="BG182">
        <f>IFERROR(INDEX(PP_Grid[#Data],$DD182,57),0)</f>
        <v/>
      </c>
      <c r="BH182">
        <f>IFERROR(INDEX(PP_Grid[#Data],$DD182,58),0)</f>
        <v/>
      </c>
      <c r="BI182">
        <f>IFERROR(INDEX(PP_Grid[#Data],$DD182,59),0)</f>
        <v/>
      </c>
      <c r="BJ182">
        <f>IFERROR(INDEX(PP_Grid[#Data],$DD182,60),0)</f>
        <v/>
      </c>
      <c r="BK182">
        <f>IFERROR(INDEX(PP_Grid[#Data],$DD182,61),0)</f>
        <v/>
      </c>
      <c r="BL182">
        <f>IFERROR(INDEX(PP_Grid[#Data],$DD182,62),0)</f>
        <v/>
      </c>
      <c r="BM182">
        <f>IFERROR(INDEX(PP_Grid[#Data],$DD182,63),0)</f>
        <v/>
      </c>
      <c r="BN182">
        <f>IFERROR(INDEX(PP_Grid[#Data],$DD182,64),0)</f>
        <v/>
      </c>
      <c r="BO182">
        <f>IFERROR(INDEX(PP_Grid[#Data],$DD182,65),0)</f>
        <v/>
      </c>
      <c r="BP182">
        <f>IFERROR(INDEX(PP_Grid[#Data],$DD182,66),0)</f>
        <v/>
      </c>
      <c r="BQ182">
        <f>IFERROR(INDEX(PP_Grid[#Data],$DD182,67),0)</f>
        <v/>
      </c>
      <c r="BR182">
        <f>IFERROR(INDEX(PP_Grid[#Data],$DD182,68),0)</f>
        <v/>
      </c>
      <c r="BS182">
        <f>IFERROR(INDEX(PP_Grid[#Data],$DD182,69),0)</f>
        <v/>
      </c>
      <c r="BT182">
        <f>IFERROR(INDEX(PP_Grid[#Data],$DD182,70),0)</f>
        <v/>
      </c>
      <c r="BU182">
        <f>IFERROR(INDEX(PP_Grid[#Data],$DD182,71),0)</f>
        <v/>
      </c>
      <c r="BV182">
        <f>IFERROR(INDEX(PP_Grid[#Data],$DD182,72),0)</f>
        <v/>
      </c>
      <c r="BW182">
        <f>IFERROR(INDEX(PP_Grid[#Data],$DD182,73),0)</f>
        <v/>
      </c>
      <c r="BX182">
        <f>IFERROR(INDEX(PP_Grid[#Data],$DD182,74),0)</f>
        <v/>
      </c>
      <c r="BY182">
        <f>IFERROR(INDEX(PP_Grid[#Data],$DD182,75),0)</f>
        <v/>
      </c>
      <c r="BZ182">
        <f>IFERROR(INDEX(PP_Grid[#Data],$DD182,76),0)</f>
        <v/>
      </c>
      <c r="CA182">
        <f>IFERROR(INDEX(PP_Grid[#Data],$DD182,77),0)</f>
        <v/>
      </c>
      <c r="CB182">
        <f>IFERROR(INDEX(PP_Grid[#Data],$DD182,78),0)</f>
        <v/>
      </c>
      <c r="CC182">
        <f>IFERROR(INDEX(PP_Grid[#Data],$DD182,79),0)</f>
        <v/>
      </c>
      <c r="CD182">
        <f>IFERROR(INDEX(PP_Grid[#Data],$DD182,80),0)</f>
        <v/>
      </c>
      <c r="CE182">
        <f>IFERROR(INDEX(PP_Grid[#Data],$DD182,81),0)</f>
        <v/>
      </c>
      <c r="CF182">
        <f>IFERROR(INDEX(PP_Grid[#Data],$DD182,82),0)</f>
        <v/>
      </c>
      <c r="CG182">
        <f>IFERROR(INDEX(PP_Grid[#Data],$DD182,83),0)</f>
        <v/>
      </c>
      <c r="CH182">
        <f>IFERROR(INDEX(PP_Grid[#Data],$DD182,84),0)</f>
        <v/>
      </c>
      <c r="CI182">
        <f>IFERROR(INDEX(PP_Grid[#Data],$DD182,85),0)</f>
        <v/>
      </c>
      <c r="CJ182">
        <f>IFERROR(INDEX(PP_Grid[#Data],$DD182,86),0)</f>
        <v/>
      </c>
      <c r="CK182">
        <f>IFERROR(INDEX(PP_Grid[#Data],$DD182,87),0)</f>
        <v/>
      </c>
      <c r="CL182">
        <f>IFERROR(INDEX(PP_Grid[#Data],$DD182,88),0)</f>
        <v/>
      </c>
      <c r="CM182">
        <f>IFERROR(INDEX(PP_Grid[#Data],$DD182,89),0)</f>
        <v/>
      </c>
      <c r="CN182">
        <f>IFERROR(INDEX(PP_Grid[#Data],$DD182,90),0)</f>
        <v/>
      </c>
      <c r="CO182">
        <f>IFERROR(INDEX(PP_Grid[#Data],$DD182,91),0)</f>
        <v/>
      </c>
      <c r="CP182">
        <f>IFERROR(INDEX(PP_Grid[#Data],$DD182,92),0)</f>
        <v/>
      </c>
      <c r="CQ182">
        <f>IFERROR(INDEX(PP_Grid[#Data],$DD182,93),0)</f>
        <v/>
      </c>
      <c r="CR182">
        <f>IFERROR(INDEX(PP_Grid[#Data],$DD182,94),0)</f>
        <v/>
      </c>
      <c r="CS182">
        <f>IFERROR(INDEX(PP_Grid[#Data],$DD182,95),0)</f>
        <v/>
      </c>
      <c r="CT182">
        <f>IFERROR(INDEX(PP_Grid[#Data],$DD182,96),0)</f>
        <v/>
      </c>
      <c r="CU182">
        <f>IFERROR(INDEX(PP_Grid[#Data],$DD182,97),0)</f>
        <v/>
      </c>
      <c r="CV182">
        <f>IFERROR(INDEX(PP_Grid[#Data],$DD182,98),0)</f>
        <v/>
      </c>
      <c r="CW182">
        <f>IFERROR(INDEX(PP_Grid[#Data],$DD182,99),0)</f>
        <v/>
      </c>
      <c r="CX182">
        <f>IFERROR(INDEX(PP_Grid[#Data],$DD182,100),0)</f>
        <v/>
      </c>
      <c r="CY182">
        <f>IFERROR(INDEX(PP_Grid[#Data],$DD182,101),0)</f>
        <v/>
      </c>
      <c r="CZ182">
        <f>IFERROR(INDEX(PP_Grid[#Data],$DD182,102),0)</f>
        <v/>
      </c>
      <c r="DA182">
        <f>IFERROR(INDEX(PP_Grid[#Data],$DD182,103),0)</f>
        <v/>
      </c>
      <c r="DB182">
        <f>IFERROR(INDEX(PP_Grid[#Data],$DD182,104),0)</f>
        <v/>
      </c>
      <c r="DC182">
        <f>IFERROR(INDEX(PP_Grid[#Data],$DD182,105),0)</f>
        <v/>
      </c>
      <c r="DD182" s="12">
        <f>IFERROR(MATCH($B182,PP_Grid[Intermediate],0),99999)</f>
        <v/>
      </c>
    </row>
    <row r="183">
      <c r="B183" t="inlineStr">
        <is>
          <t>使用量(kg)</t>
        </is>
      </c>
      <c r="C183">
        <f>SUMIFS(M_BOM[RM_Qty_Per_Batch],M_BOM[Intermediate],$B182,M_BOM[Part Name],$A181)</f>
        <v/>
      </c>
      <c r="D183">
        <f>$C183*D182</f>
        <v/>
      </c>
      <c r="E183">
        <f>$C183*E182</f>
        <v/>
      </c>
      <c r="F183">
        <f>$C183*F182</f>
        <v/>
      </c>
      <c r="G183">
        <f>$C183*G182</f>
        <v/>
      </c>
      <c r="H183">
        <f>$C183*H182</f>
        <v/>
      </c>
      <c r="I183">
        <f>$C183*I182</f>
        <v/>
      </c>
      <c r="J183">
        <f>$C183*J182</f>
        <v/>
      </c>
      <c r="K183">
        <f>$C183*K182</f>
        <v/>
      </c>
      <c r="L183">
        <f>$C183*L182</f>
        <v/>
      </c>
      <c r="M183">
        <f>$C183*M182</f>
        <v/>
      </c>
      <c r="N183">
        <f>$C183*N182</f>
        <v/>
      </c>
      <c r="O183">
        <f>$C183*O182</f>
        <v/>
      </c>
      <c r="P183">
        <f>$C183*P182</f>
        <v/>
      </c>
      <c r="Q183">
        <f>$C183*Q182</f>
        <v/>
      </c>
      <c r="R183">
        <f>$C183*R182</f>
        <v/>
      </c>
      <c r="S183">
        <f>$C183*S182</f>
        <v/>
      </c>
      <c r="T183">
        <f>$C183*T182</f>
        <v/>
      </c>
      <c r="U183">
        <f>$C183*U182</f>
        <v/>
      </c>
      <c r="V183">
        <f>$C183*V182</f>
        <v/>
      </c>
      <c r="W183">
        <f>$C183*W182</f>
        <v/>
      </c>
      <c r="X183">
        <f>$C183*X182</f>
        <v/>
      </c>
      <c r="Y183">
        <f>$C183*Y182</f>
        <v/>
      </c>
      <c r="Z183">
        <f>$C183*Z182</f>
        <v/>
      </c>
      <c r="AA183">
        <f>$C183*AA182</f>
        <v/>
      </c>
      <c r="AB183">
        <f>$C183*AB182</f>
        <v/>
      </c>
      <c r="AC183">
        <f>$C183*AC182</f>
        <v/>
      </c>
      <c r="AD183">
        <f>$C183*AD182</f>
        <v/>
      </c>
      <c r="AE183">
        <f>$C183*AE182</f>
        <v/>
      </c>
      <c r="AF183">
        <f>$C183*AF182</f>
        <v/>
      </c>
      <c r="AG183">
        <f>$C183*AG182</f>
        <v/>
      </c>
      <c r="AH183">
        <f>$C183*AH182</f>
        <v/>
      </c>
      <c r="AI183">
        <f>$C183*AI182</f>
        <v/>
      </c>
      <c r="AJ183">
        <f>$C183*AJ182</f>
        <v/>
      </c>
      <c r="AK183">
        <f>$C183*AK182</f>
        <v/>
      </c>
      <c r="AL183">
        <f>$C183*AL182</f>
        <v/>
      </c>
      <c r="AM183">
        <f>$C183*AM182</f>
        <v/>
      </c>
      <c r="AN183">
        <f>$C183*AN182</f>
        <v/>
      </c>
      <c r="AO183">
        <f>$C183*AO182</f>
        <v/>
      </c>
      <c r="AP183">
        <f>$C183*AP182</f>
        <v/>
      </c>
      <c r="AQ183">
        <f>$C183*AQ182</f>
        <v/>
      </c>
      <c r="AR183">
        <f>$C183*AR182</f>
        <v/>
      </c>
      <c r="AS183">
        <f>$C183*AS182</f>
        <v/>
      </c>
      <c r="AT183">
        <f>$C183*AT182</f>
        <v/>
      </c>
      <c r="AU183">
        <f>$C183*AU182</f>
        <v/>
      </c>
      <c r="AV183">
        <f>$C183*AV182</f>
        <v/>
      </c>
      <c r="AW183">
        <f>$C183*AW182</f>
        <v/>
      </c>
      <c r="AX183">
        <f>$C183*AX182</f>
        <v/>
      </c>
      <c r="AY183">
        <f>$C183*AY182</f>
        <v/>
      </c>
      <c r="AZ183">
        <f>$C183*AZ182</f>
        <v/>
      </c>
      <c r="BA183">
        <f>$C183*BA182</f>
        <v/>
      </c>
      <c r="BB183">
        <f>$C183*BB182</f>
        <v/>
      </c>
      <c r="BC183">
        <f>$C183*BC182</f>
        <v/>
      </c>
      <c r="BD183">
        <f>$C183*BD182</f>
        <v/>
      </c>
      <c r="BE183">
        <f>$C183*BE182</f>
        <v/>
      </c>
      <c r="BF183">
        <f>$C183*BF182</f>
        <v/>
      </c>
      <c r="BG183">
        <f>$C183*BG182</f>
        <v/>
      </c>
      <c r="BH183">
        <f>$C183*BH182</f>
        <v/>
      </c>
      <c r="BI183">
        <f>$C183*BI182</f>
        <v/>
      </c>
      <c r="BJ183">
        <f>$C183*BJ182</f>
        <v/>
      </c>
      <c r="BK183">
        <f>$C183*BK182</f>
        <v/>
      </c>
      <c r="BL183">
        <f>$C183*BL182</f>
        <v/>
      </c>
      <c r="BM183">
        <f>$C183*BM182</f>
        <v/>
      </c>
      <c r="BN183">
        <f>$C183*BN182</f>
        <v/>
      </c>
      <c r="BO183">
        <f>$C183*BO182</f>
        <v/>
      </c>
      <c r="BP183">
        <f>$C183*BP182</f>
        <v/>
      </c>
      <c r="BQ183">
        <f>$C183*BQ182</f>
        <v/>
      </c>
      <c r="BR183">
        <f>$C183*BR182</f>
        <v/>
      </c>
      <c r="BS183">
        <f>$C183*BS182</f>
        <v/>
      </c>
      <c r="BT183">
        <f>$C183*BT182</f>
        <v/>
      </c>
      <c r="BU183">
        <f>$C183*BU182</f>
        <v/>
      </c>
      <c r="BV183">
        <f>$C183*BV182</f>
        <v/>
      </c>
      <c r="BW183">
        <f>$C183*BW182</f>
        <v/>
      </c>
      <c r="BX183">
        <f>$C183*BX182</f>
        <v/>
      </c>
      <c r="BY183">
        <f>$C183*BY182</f>
        <v/>
      </c>
      <c r="BZ183">
        <f>$C183*BZ182</f>
        <v/>
      </c>
      <c r="CA183">
        <f>$C183*CA182</f>
        <v/>
      </c>
      <c r="CB183">
        <f>$C183*CB182</f>
        <v/>
      </c>
      <c r="CC183">
        <f>$C183*CC182</f>
        <v/>
      </c>
      <c r="CD183">
        <f>$C183*CD182</f>
        <v/>
      </c>
      <c r="CE183">
        <f>$C183*CE182</f>
        <v/>
      </c>
      <c r="CF183">
        <f>$C183*CF182</f>
        <v/>
      </c>
      <c r="CG183">
        <f>$C183*CG182</f>
        <v/>
      </c>
      <c r="CH183">
        <f>$C183*CH182</f>
        <v/>
      </c>
      <c r="CI183">
        <f>$C183*CI182</f>
        <v/>
      </c>
      <c r="CJ183">
        <f>$C183*CJ182</f>
        <v/>
      </c>
      <c r="CK183">
        <f>$C183*CK182</f>
        <v/>
      </c>
      <c r="CL183">
        <f>$C183*CL182</f>
        <v/>
      </c>
      <c r="CM183">
        <f>$C183*CM182</f>
        <v/>
      </c>
      <c r="CN183">
        <f>$C183*CN182</f>
        <v/>
      </c>
      <c r="CO183">
        <f>$C183*CO182</f>
        <v/>
      </c>
      <c r="CP183">
        <f>$C183*CP182</f>
        <v/>
      </c>
      <c r="CQ183">
        <f>$C183*CQ182</f>
        <v/>
      </c>
      <c r="CR183">
        <f>$C183*CR182</f>
        <v/>
      </c>
      <c r="CS183">
        <f>$C183*CS182</f>
        <v/>
      </c>
      <c r="CT183">
        <f>$C183*CT182</f>
        <v/>
      </c>
      <c r="CU183">
        <f>$C183*CU182</f>
        <v/>
      </c>
      <c r="CV183">
        <f>$C183*CV182</f>
        <v/>
      </c>
      <c r="CW183">
        <f>$C183*CW182</f>
        <v/>
      </c>
      <c r="CX183">
        <f>$C183*CX182</f>
        <v/>
      </c>
      <c r="CY183">
        <f>$C183*CY182</f>
        <v/>
      </c>
      <c r="CZ183">
        <f>$C183*CZ182</f>
        <v/>
      </c>
      <c r="DA183">
        <f>$C183*DA182</f>
        <v/>
      </c>
      <c r="DB183">
        <f>$C183*DB182</f>
        <v/>
      </c>
      <c r="DC183">
        <f>$C183*DC182</f>
        <v/>
      </c>
    </row>
    <row r="184">
      <c r="B184" s="5" t="inlineStr">
        <is>
          <t>合計使用量(kg)/週</t>
        </is>
      </c>
      <c r="D184">
        <f>'Grid_Requirement'!B18</f>
        <v/>
      </c>
      <c r="E184">
        <f>'Grid_Requirement'!C18</f>
        <v/>
      </c>
      <c r="F184">
        <f>'Grid_Requirement'!D18</f>
        <v/>
      </c>
      <c r="G184">
        <f>'Grid_Requirement'!E18</f>
        <v/>
      </c>
      <c r="H184">
        <f>'Grid_Requirement'!F18</f>
        <v/>
      </c>
      <c r="I184">
        <f>'Grid_Requirement'!G18</f>
        <v/>
      </c>
      <c r="J184">
        <f>'Grid_Requirement'!H18</f>
        <v/>
      </c>
      <c r="K184">
        <f>'Grid_Requirement'!I18</f>
        <v/>
      </c>
      <c r="L184">
        <f>'Grid_Requirement'!J18</f>
        <v/>
      </c>
      <c r="M184">
        <f>'Grid_Requirement'!K18</f>
        <v/>
      </c>
      <c r="N184">
        <f>'Grid_Requirement'!L18</f>
        <v/>
      </c>
      <c r="O184">
        <f>'Grid_Requirement'!M18</f>
        <v/>
      </c>
      <c r="P184">
        <f>'Grid_Requirement'!N18</f>
        <v/>
      </c>
      <c r="Q184">
        <f>'Grid_Requirement'!O18</f>
        <v/>
      </c>
      <c r="R184">
        <f>'Grid_Requirement'!P18</f>
        <v/>
      </c>
      <c r="S184">
        <f>'Grid_Requirement'!Q18</f>
        <v/>
      </c>
      <c r="T184">
        <f>'Grid_Requirement'!R18</f>
        <v/>
      </c>
      <c r="U184">
        <f>'Grid_Requirement'!S18</f>
        <v/>
      </c>
      <c r="V184">
        <f>'Grid_Requirement'!T18</f>
        <v/>
      </c>
      <c r="W184">
        <f>'Grid_Requirement'!U18</f>
        <v/>
      </c>
      <c r="X184">
        <f>'Grid_Requirement'!V18</f>
        <v/>
      </c>
      <c r="Y184">
        <f>'Grid_Requirement'!W18</f>
        <v/>
      </c>
      <c r="Z184">
        <f>'Grid_Requirement'!X18</f>
        <v/>
      </c>
      <c r="AA184">
        <f>'Grid_Requirement'!Y18</f>
        <v/>
      </c>
      <c r="AB184">
        <f>'Grid_Requirement'!Z18</f>
        <v/>
      </c>
      <c r="AC184">
        <f>'Grid_Requirement'!AA18</f>
        <v/>
      </c>
      <c r="AD184">
        <f>'Grid_Requirement'!AB18</f>
        <v/>
      </c>
      <c r="AE184">
        <f>'Grid_Requirement'!AC18</f>
        <v/>
      </c>
      <c r="AF184">
        <f>'Grid_Requirement'!AD18</f>
        <v/>
      </c>
      <c r="AG184">
        <f>'Grid_Requirement'!AE18</f>
        <v/>
      </c>
      <c r="AH184">
        <f>'Grid_Requirement'!AF18</f>
        <v/>
      </c>
      <c r="AI184">
        <f>'Grid_Requirement'!AG18</f>
        <v/>
      </c>
      <c r="AJ184">
        <f>'Grid_Requirement'!AH18</f>
        <v/>
      </c>
      <c r="AK184">
        <f>'Grid_Requirement'!AI18</f>
        <v/>
      </c>
      <c r="AL184">
        <f>'Grid_Requirement'!AJ18</f>
        <v/>
      </c>
      <c r="AM184">
        <f>'Grid_Requirement'!AK18</f>
        <v/>
      </c>
      <c r="AN184">
        <f>'Grid_Requirement'!AL18</f>
        <v/>
      </c>
      <c r="AO184">
        <f>'Grid_Requirement'!AM18</f>
        <v/>
      </c>
      <c r="AP184">
        <f>'Grid_Requirement'!AN18</f>
        <v/>
      </c>
      <c r="AQ184">
        <f>'Grid_Requirement'!AO18</f>
        <v/>
      </c>
      <c r="AR184">
        <f>'Grid_Requirement'!AP18</f>
        <v/>
      </c>
      <c r="AS184">
        <f>'Grid_Requirement'!AQ18</f>
        <v/>
      </c>
      <c r="AT184">
        <f>'Grid_Requirement'!AR18</f>
        <v/>
      </c>
      <c r="AU184">
        <f>'Grid_Requirement'!AS18</f>
        <v/>
      </c>
      <c r="AV184">
        <f>'Grid_Requirement'!AT18</f>
        <v/>
      </c>
      <c r="AW184">
        <f>'Grid_Requirement'!AU18</f>
        <v/>
      </c>
      <c r="AX184">
        <f>'Grid_Requirement'!AV18</f>
        <v/>
      </c>
      <c r="AY184">
        <f>'Grid_Requirement'!AW18</f>
        <v/>
      </c>
      <c r="AZ184">
        <f>'Grid_Requirement'!AX18</f>
        <v/>
      </c>
      <c r="BA184">
        <f>'Grid_Requirement'!AY18</f>
        <v/>
      </c>
      <c r="BB184">
        <f>'Grid_Requirement'!AZ18</f>
        <v/>
      </c>
      <c r="BC184">
        <f>'Grid_Requirement'!BA18</f>
        <v/>
      </c>
      <c r="BD184">
        <f>'Grid_Requirement'!BB18</f>
        <v/>
      </c>
      <c r="BE184">
        <f>'Grid_Requirement'!BC18</f>
        <v/>
      </c>
      <c r="BF184">
        <f>'Grid_Requirement'!BD18</f>
        <v/>
      </c>
      <c r="BG184">
        <f>'Grid_Requirement'!BE18</f>
        <v/>
      </c>
      <c r="BH184">
        <f>'Grid_Requirement'!BF18</f>
        <v/>
      </c>
      <c r="BI184">
        <f>'Grid_Requirement'!BG18</f>
        <v/>
      </c>
      <c r="BJ184">
        <f>'Grid_Requirement'!BH18</f>
        <v/>
      </c>
      <c r="BK184">
        <f>'Grid_Requirement'!BI18</f>
        <v/>
      </c>
      <c r="BL184">
        <f>'Grid_Requirement'!BJ18</f>
        <v/>
      </c>
      <c r="BM184">
        <f>'Grid_Requirement'!BK18</f>
        <v/>
      </c>
      <c r="BN184">
        <f>'Grid_Requirement'!BL18</f>
        <v/>
      </c>
      <c r="BO184">
        <f>'Grid_Requirement'!BM18</f>
        <v/>
      </c>
      <c r="BP184">
        <f>'Grid_Requirement'!BN18</f>
        <v/>
      </c>
      <c r="BQ184">
        <f>'Grid_Requirement'!BO18</f>
        <v/>
      </c>
      <c r="BR184">
        <f>'Grid_Requirement'!BP18</f>
        <v/>
      </c>
      <c r="BS184">
        <f>'Grid_Requirement'!BQ18</f>
        <v/>
      </c>
      <c r="BT184">
        <f>'Grid_Requirement'!BR18</f>
        <v/>
      </c>
      <c r="BU184">
        <f>'Grid_Requirement'!BS18</f>
        <v/>
      </c>
      <c r="BV184">
        <f>'Grid_Requirement'!BT18</f>
        <v/>
      </c>
      <c r="BW184">
        <f>'Grid_Requirement'!BU18</f>
        <v/>
      </c>
      <c r="BX184">
        <f>'Grid_Requirement'!BV18</f>
        <v/>
      </c>
      <c r="BY184">
        <f>'Grid_Requirement'!BW18</f>
        <v/>
      </c>
      <c r="BZ184">
        <f>'Grid_Requirement'!BX18</f>
        <v/>
      </c>
      <c r="CA184">
        <f>'Grid_Requirement'!BY18</f>
        <v/>
      </c>
      <c r="CB184">
        <f>'Grid_Requirement'!BZ18</f>
        <v/>
      </c>
      <c r="CC184">
        <f>'Grid_Requirement'!CA18</f>
        <v/>
      </c>
      <c r="CD184">
        <f>'Grid_Requirement'!CB18</f>
        <v/>
      </c>
      <c r="CE184">
        <f>'Grid_Requirement'!CC18</f>
        <v/>
      </c>
      <c r="CF184">
        <f>'Grid_Requirement'!CD18</f>
        <v/>
      </c>
      <c r="CG184">
        <f>'Grid_Requirement'!CE18</f>
        <v/>
      </c>
      <c r="CH184">
        <f>'Grid_Requirement'!CF18</f>
        <v/>
      </c>
      <c r="CI184">
        <f>'Grid_Requirement'!CG18</f>
        <v/>
      </c>
      <c r="CJ184">
        <f>'Grid_Requirement'!CH18</f>
        <v/>
      </c>
      <c r="CK184">
        <f>'Grid_Requirement'!CI18</f>
        <v/>
      </c>
      <c r="CL184">
        <f>'Grid_Requirement'!CJ18</f>
        <v/>
      </c>
      <c r="CM184">
        <f>'Grid_Requirement'!CK18</f>
        <v/>
      </c>
      <c r="CN184">
        <f>'Grid_Requirement'!CL18</f>
        <v/>
      </c>
      <c r="CO184">
        <f>'Grid_Requirement'!CM18</f>
        <v/>
      </c>
      <c r="CP184">
        <f>'Grid_Requirement'!CN18</f>
        <v/>
      </c>
      <c r="CQ184">
        <f>'Grid_Requirement'!CO18</f>
        <v/>
      </c>
      <c r="CR184">
        <f>'Grid_Requirement'!CP18</f>
        <v/>
      </c>
      <c r="CS184">
        <f>'Grid_Requirement'!CQ18</f>
        <v/>
      </c>
      <c r="CT184">
        <f>'Grid_Requirement'!CR18</f>
        <v/>
      </c>
      <c r="CU184">
        <f>'Grid_Requirement'!CS18</f>
        <v/>
      </c>
      <c r="CV184">
        <f>'Grid_Requirement'!CT18</f>
        <v/>
      </c>
      <c r="CW184">
        <f>'Grid_Requirement'!CU18</f>
        <v/>
      </c>
      <c r="CX184">
        <f>'Grid_Requirement'!CV18</f>
        <v/>
      </c>
      <c r="CY184">
        <f>'Grid_Requirement'!CW18</f>
        <v/>
      </c>
      <c r="CZ184">
        <f>'Grid_Requirement'!CX18</f>
        <v/>
      </c>
      <c r="DA184">
        <f>'Grid_Requirement'!CY18</f>
        <v/>
      </c>
      <c r="DB184">
        <f>'Grid_Requirement'!CZ18</f>
        <v/>
      </c>
      <c r="DC184">
        <f>'Grid_Requirement'!DA18</f>
        <v/>
      </c>
    </row>
    <row r="185">
      <c r="B185" t="inlineStr">
        <is>
          <t>TTAF在庫(実績,kg)</t>
        </is>
      </c>
      <c r="D185">
        <f>'T_TTAFStock'!B22</f>
        <v/>
      </c>
      <c r="E185">
        <f>'T_TTAFStock'!C22</f>
        <v/>
      </c>
      <c r="F185">
        <f>'T_TTAFStock'!D22</f>
        <v/>
      </c>
      <c r="G185">
        <f>'T_TTAFStock'!E22</f>
        <v/>
      </c>
      <c r="H185">
        <f>'T_TTAFStock'!F22</f>
        <v/>
      </c>
      <c r="I185">
        <f>'T_TTAFStock'!G22</f>
        <v/>
      </c>
      <c r="J185">
        <f>'T_TTAFStock'!H22</f>
        <v/>
      </c>
      <c r="K185">
        <f>'T_TTAFStock'!I22</f>
        <v/>
      </c>
      <c r="L185">
        <f>'T_TTAFStock'!J22</f>
        <v/>
      </c>
      <c r="M185">
        <f>'T_TTAFStock'!K22</f>
        <v/>
      </c>
      <c r="N185">
        <f>'T_TTAFStock'!L22</f>
        <v/>
      </c>
      <c r="O185">
        <f>'T_TTAFStock'!M22</f>
        <v/>
      </c>
      <c r="P185">
        <f>'T_TTAFStock'!N22</f>
        <v/>
      </c>
      <c r="Q185">
        <f>'T_TTAFStock'!O22</f>
        <v/>
      </c>
      <c r="R185">
        <f>'T_TTAFStock'!P22</f>
        <v/>
      </c>
      <c r="S185">
        <f>'T_TTAFStock'!Q22</f>
        <v/>
      </c>
      <c r="T185">
        <f>'T_TTAFStock'!R22</f>
        <v/>
      </c>
      <c r="U185">
        <f>'T_TTAFStock'!S22</f>
        <v/>
      </c>
      <c r="V185">
        <f>'T_TTAFStock'!T22</f>
        <v/>
      </c>
      <c r="W185">
        <f>'T_TTAFStock'!U22</f>
        <v/>
      </c>
      <c r="X185">
        <f>'T_TTAFStock'!V22</f>
        <v/>
      </c>
      <c r="Y185">
        <f>'T_TTAFStock'!W22</f>
        <v/>
      </c>
      <c r="Z185">
        <f>'T_TTAFStock'!X22</f>
        <v/>
      </c>
      <c r="AA185">
        <f>'T_TTAFStock'!Y22</f>
        <v/>
      </c>
      <c r="AB185">
        <f>'T_TTAFStock'!Z22</f>
        <v/>
      </c>
      <c r="AC185">
        <f>'T_TTAFStock'!AA22</f>
        <v/>
      </c>
      <c r="AD185">
        <f>'T_TTAFStock'!AB22</f>
        <v/>
      </c>
      <c r="AE185">
        <f>'T_TTAFStock'!AC22</f>
        <v/>
      </c>
      <c r="AF185">
        <f>'T_TTAFStock'!AD22</f>
        <v/>
      </c>
      <c r="AG185">
        <f>'T_TTAFStock'!AE22</f>
        <v/>
      </c>
      <c r="AH185">
        <f>'T_TTAFStock'!AF22</f>
        <v/>
      </c>
      <c r="AI185">
        <f>'T_TTAFStock'!AG22</f>
        <v/>
      </c>
      <c r="AJ185">
        <f>'T_TTAFStock'!AH22</f>
        <v/>
      </c>
      <c r="AK185">
        <f>'T_TTAFStock'!AI22</f>
        <v/>
      </c>
      <c r="AL185">
        <f>'T_TTAFStock'!AJ22</f>
        <v/>
      </c>
      <c r="AM185">
        <f>'T_TTAFStock'!AK22</f>
        <v/>
      </c>
      <c r="AN185">
        <f>'T_TTAFStock'!AL22</f>
        <v/>
      </c>
      <c r="AO185">
        <f>'T_TTAFStock'!AM22</f>
        <v/>
      </c>
      <c r="AP185">
        <f>'T_TTAFStock'!AN22</f>
        <v/>
      </c>
      <c r="AQ185">
        <f>'T_TTAFStock'!AO22</f>
        <v/>
      </c>
      <c r="AR185">
        <f>'T_TTAFStock'!AP22</f>
        <v/>
      </c>
      <c r="AS185">
        <f>'T_TTAFStock'!AQ22</f>
        <v/>
      </c>
      <c r="AT185">
        <f>'T_TTAFStock'!AR22</f>
        <v/>
      </c>
      <c r="AU185">
        <f>'T_TTAFStock'!AS22</f>
        <v/>
      </c>
      <c r="AV185">
        <f>'T_TTAFStock'!AT22</f>
        <v/>
      </c>
      <c r="AW185">
        <f>'T_TTAFStock'!AU22</f>
        <v/>
      </c>
      <c r="AX185">
        <f>'T_TTAFStock'!AV22</f>
        <v/>
      </c>
      <c r="AY185">
        <f>'T_TTAFStock'!AW22</f>
        <v/>
      </c>
      <c r="AZ185">
        <f>'T_TTAFStock'!AX22</f>
        <v/>
      </c>
      <c r="BA185">
        <f>'T_TTAFStock'!AY22</f>
        <v/>
      </c>
      <c r="BB185">
        <f>'T_TTAFStock'!AZ22</f>
        <v/>
      </c>
      <c r="BC185">
        <f>'T_TTAFStock'!BA22</f>
        <v/>
      </c>
      <c r="BD185">
        <f>'T_TTAFStock'!BB22</f>
        <v/>
      </c>
      <c r="BE185">
        <f>'T_TTAFStock'!BC22</f>
        <v/>
      </c>
      <c r="BF185">
        <f>'T_TTAFStock'!BD22</f>
        <v/>
      </c>
      <c r="BG185">
        <f>'T_TTAFStock'!BE22</f>
        <v/>
      </c>
      <c r="BH185">
        <f>'T_TTAFStock'!BF22</f>
        <v/>
      </c>
      <c r="BI185">
        <f>'T_TTAFStock'!BG22</f>
        <v/>
      </c>
      <c r="BJ185">
        <f>'T_TTAFStock'!BH22</f>
        <v/>
      </c>
      <c r="BK185">
        <f>'T_TTAFStock'!BI22</f>
        <v/>
      </c>
      <c r="BL185">
        <f>'T_TTAFStock'!BJ22</f>
        <v/>
      </c>
      <c r="BM185">
        <f>'T_TTAFStock'!BK22</f>
        <v/>
      </c>
      <c r="BN185">
        <f>'T_TTAFStock'!BL22</f>
        <v/>
      </c>
      <c r="BO185">
        <f>'T_TTAFStock'!BM22</f>
        <v/>
      </c>
      <c r="BP185">
        <f>'T_TTAFStock'!BN22</f>
        <v/>
      </c>
      <c r="BQ185">
        <f>'T_TTAFStock'!BO22</f>
        <v/>
      </c>
      <c r="BR185">
        <f>'T_TTAFStock'!BP22</f>
        <v/>
      </c>
      <c r="BS185">
        <f>'T_TTAFStock'!BQ22</f>
        <v/>
      </c>
      <c r="BT185">
        <f>'T_TTAFStock'!BR22</f>
        <v/>
      </c>
      <c r="BU185">
        <f>'T_TTAFStock'!BS22</f>
        <v/>
      </c>
      <c r="BV185">
        <f>'T_TTAFStock'!BT22</f>
        <v/>
      </c>
      <c r="BW185">
        <f>'T_TTAFStock'!BU22</f>
        <v/>
      </c>
      <c r="BX185">
        <f>'T_TTAFStock'!BV22</f>
        <v/>
      </c>
      <c r="BY185">
        <f>'T_TTAFStock'!BW22</f>
        <v/>
      </c>
      <c r="BZ185">
        <f>'T_TTAFStock'!BX22</f>
        <v/>
      </c>
      <c r="CA185">
        <f>'T_TTAFStock'!BY22</f>
        <v/>
      </c>
      <c r="CB185">
        <f>'T_TTAFStock'!BZ22</f>
        <v/>
      </c>
      <c r="CC185">
        <f>'T_TTAFStock'!CA22</f>
        <v/>
      </c>
      <c r="CD185">
        <f>'T_TTAFStock'!CB22</f>
        <v/>
      </c>
      <c r="CE185">
        <f>'T_TTAFStock'!CC22</f>
        <v/>
      </c>
      <c r="CF185">
        <f>'T_TTAFStock'!CD22</f>
        <v/>
      </c>
      <c r="CG185">
        <f>'T_TTAFStock'!CE22</f>
        <v/>
      </c>
      <c r="CH185">
        <f>'T_TTAFStock'!CF22</f>
        <v/>
      </c>
      <c r="CI185">
        <f>'T_TTAFStock'!CG22</f>
        <v/>
      </c>
      <c r="CJ185">
        <f>'T_TTAFStock'!CH22</f>
        <v/>
      </c>
      <c r="CK185">
        <f>'T_TTAFStock'!CI22</f>
        <v/>
      </c>
      <c r="CL185">
        <f>'T_TTAFStock'!CJ22</f>
        <v/>
      </c>
      <c r="CM185">
        <f>'T_TTAFStock'!CK22</f>
        <v/>
      </c>
      <c r="CN185">
        <f>'T_TTAFStock'!CL22</f>
        <v/>
      </c>
      <c r="CO185">
        <f>'T_TTAFStock'!CM22</f>
        <v/>
      </c>
      <c r="CP185">
        <f>'T_TTAFStock'!CN22</f>
        <v/>
      </c>
      <c r="CQ185">
        <f>'T_TTAFStock'!CO22</f>
        <v/>
      </c>
      <c r="CR185">
        <f>'T_TTAFStock'!CP22</f>
        <v/>
      </c>
      <c r="CS185">
        <f>'T_TTAFStock'!CQ22</f>
        <v/>
      </c>
      <c r="CT185">
        <f>'T_TTAFStock'!CR22</f>
        <v/>
      </c>
      <c r="CU185">
        <f>'T_TTAFStock'!CS22</f>
        <v/>
      </c>
      <c r="CV185">
        <f>'T_TTAFStock'!CT22</f>
        <v/>
      </c>
      <c r="CW185">
        <f>'T_TTAFStock'!CU22</f>
        <v/>
      </c>
      <c r="CX185">
        <f>'T_TTAFStock'!CV22</f>
        <v/>
      </c>
      <c r="CY185">
        <f>'T_TTAFStock'!CW22</f>
        <v/>
      </c>
      <c r="CZ185">
        <f>'T_TTAFStock'!CX22</f>
        <v/>
      </c>
      <c r="DA185">
        <f>'T_TTAFStock'!CY22</f>
        <v/>
      </c>
      <c r="DB185">
        <f>'T_TTAFStock'!CZ22</f>
        <v/>
      </c>
      <c r="DC185">
        <f>'T_TTAFStock'!DA22</f>
        <v/>
      </c>
    </row>
    <row r="186">
      <c r="B186" t="inlineStr">
        <is>
          <t>自社在庫(実績,kg)</t>
        </is>
      </c>
      <c r="D186">
        <f>'T_SelfStock'!B22</f>
        <v/>
      </c>
      <c r="E186">
        <f>'T_SelfStock'!C22</f>
        <v/>
      </c>
      <c r="F186">
        <f>'T_SelfStock'!D22</f>
        <v/>
      </c>
      <c r="G186">
        <f>'T_SelfStock'!E22</f>
        <v/>
      </c>
      <c r="H186">
        <f>'T_SelfStock'!F22</f>
        <v/>
      </c>
      <c r="I186">
        <f>'T_SelfStock'!G22</f>
        <v/>
      </c>
      <c r="J186">
        <f>'T_SelfStock'!H22</f>
        <v/>
      </c>
      <c r="K186">
        <f>'T_SelfStock'!I22</f>
        <v/>
      </c>
      <c r="L186">
        <f>'T_SelfStock'!J22</f>
        <v/>
      </c>
      <c r="M186">
        <f>'T_SelfStock'!K22</f>
        <v/>
      </c>
      <c r="N186">
        <f>'T_SelfStock'!L22</f>
        <v/>
      </c>
      <c r="O186">
        <f>'T_SelfStock'!M22</f>
        <v/>
      </c>
      <c r="P186">
        <f>'T_SelfStock'!N22</f>
        <v/>
      </c>
      <c r="Q186">
        <f>'T_SelfStock'!O22</f>
        <v/>
      </c>
      <c r="R186">
        <f>'T_SelfStock'!P22</f>
        <v/>
      </c>
      <c r="S186">
        <f>'T_SelfStock'!Q22</f>
        <v/>
      </c>
      <c r="T186">
        <f>'T_SelfStock'!R22</f>
        <v/>
      </c>
      <c r="U186">
        <f>'T_SelfStock'!S22</f>
        <v/>
      </c>
      <c r="V186">
        <f>'T_SelfStock'!T22</f>
        <v/>
      </c>
      <c r="W186">
        <f>'T_SelfStock'!U22</f>
        <v/>
      </c>
      <c r="X186">
        <f>'T_SelfStock'!V22</f>
        <v/>
      </c>
      <c r="Y186">
        <f>'T_SelfStock'!W22</f>
        <v/>
      </c>
      <c r="Z186">
        <f>'T_SelfStock'!X22</f>
        <v/>
      </c>
      <c r="AA186">
        <f>'T_SelfStock'!Y22</f>
        <v/>
      </c>
      <c r="AB186">
        <f>'T_SelfStock'!Z22</f>
        <v/>
      </c>
      <c r="AC186">
        <f>'T_SelfStock'!AA22</f>
        <v/>
      </c>
      <c r="AD186">
        <f>'T_SelfStock'!AB22</f>
        <v/>
      </c>
      <c r="AE186">
        <f>'T_SelfStock'!AC22</f>
        <v/>
      </c>
      <c r="AF186">
        <f>'T_SelfStock'!AD22</f>
        <v/>
      </c>
      <c r="AG186">
        <f>'T_SelfStock'!AE22</f>
        <v/>
      </c>
      <c r="AH186">
        <f>'T_SelfStock'!AF22</f>
        <v/>
      </c>
      <c r="AI186">
        <f>'T_SelfStock'!AG22</f>
        <v/>
      </c>
      <c r="AJ186">
        <f>'T_SelfStock'!AH22</f>
        <v/>
      </c>
      <c r="AK186">
        <f>'T_SelfStock'!AI22</f>
        <v/>
      </c>
      <c r="AL186">
        <f>'T_SelfStock'!AJ22</f>
        <v/>
      </c>
      <c r="AM186">
        <f>'T_SelfStock'!AK22</f>
        <v/>
      </c>
      <c r="AN186">
        <f>'T_SelfStock'!AL22</f>
        <v/>
      </c>
      <c r="AO186">
        <f>'T_SelfStock'!AM22</f>
        <v/>
      </c>
      <c r="AP186">
        <f>'T_SelfStock'!AN22</f>
        <v/>
      </c>
      <c r="AQ186">
        <f>'T_SelfStock'!AO22</f>
        <v/>
      </c>
      <c r="AR186">
        <f>'T_SelfStock'!AP22</f>
        <v/>
      </c>
      <c r="AS186">
        <f>'T_SelfStock'!AQ22</f>
        <v/>
      </c>
      <c r="AT186">
        <f>'T_SelfStock'!AR22</f>
        <v/>
      </c>
      <c r="AU186">
        <f>'T_SelfStock'!AS22</f>
        <v/>
      </c>
      <c r="AV186">
        <f>'T_SelfStock'!AT22</f>
        <v/>
      </c>
      <c r="AW186">
        <f>'T_SelfStock'!AU22</f>
        <v/>
      </c>
      <c r="AX186">
        <f>'T_SelfStock'!AV22</f>
        <v/>
      </c>
      <c r="AY186">
        <f>'T_SelfStock'!AW22</f>
        <v/>
      </c>
      <c r="AZ186">
        <f>'T_SelfStock'!AX22</f>
        <v/>
      </c>
      <c r="BA186">
        <f>'T_SelfStock'!AY22</f>
        <v/>
      </c>
      <c r="BB186">
        <f>'T_SelfStock'!AZ22</f>
        <v/>
      </c>
      <c r="BC186">
        <f>'T_SelfStock'!BA22</f>
        <v/>
      </c>
      <c r="BD186">
        <f>'T_SelfStock'!BB22</f>
        <v/>
      </c>
      <c r="BE186">
        <f>'T_SelfStock'!BC22</f>
        <v/>
      </c>
      <c r="BF186">
        <f>'T_SelfStock'!BD22</f>
        <v/>
      </c>
      <c r="BG186">
        <f>'T_SelfStock'!BE22</f>
        <v/>
      </c>
      <c r="BH186">
        <f>'T_SelfStock'!BF22</f>
        <v/>
      </c>
      <c r="BI186">
        <f>'T_SelfStock'!BG22</f>
        <v/>
      </c>
      <c r="BJ186">
        <f>'T_SelfStock'!BH22</f>
        <v/>
      </c>
      <c r="BK186">
        <f>'T_SelfStock'!BI22</f>
        <v/>
      </c>
      <c r="BL186">
        <f>'T_SelfStock'!BJ22</f>
        <v/>
      </c>
      <c r="BM186">
        <f>'T_SelfStock'!BK22</f>
        <v/>
      </c>
      <c r="BN186">
        <f>'T_SelfStock'!BL22</f>
        <v/>
      </c>
      <c r="BO186">
        <f>'T_SelfStock'!BM22</f>
        <v/>
      </c>
      <c r="BP186">
        <f>'T_SelfStock'!BN22</f>
        <v/>
      </c>
      <c r="BQ186">
        <f>'T_SelfStock'!BO22</f>
        <v/>
      </c>
      <c r="BR186">
        <f>'T_SelfStock'!BP22</f>
        <v/>
      </c>
      <c r="BS186">
        <f>'T_SelfStock'!BQ22</f>
        <v/>
      </c>
      <c r="BT186">
        <f>'T_SelfStock'!BR22</f>
        <v/>
      </c>
      <c r="BU186">
        <f>'T_SelfStock'!BS22</f>
        <v/>
      </c>
      <c r="BV186">
        <f>'T_SelfStock'!BT22</f>
        <v/>
      </c>
      <c r="BW186">
        <f>'T_SelfStock'!BU22</f>
        <v/>
      </c>
      <c r="BX186">
        <f>'T_SelfStock'!BV22</f>
        <v/>
      </c>
      <c r="BY186">
        <f>'T_SelfStock'!BW22</f>
        <v/>
      </c>
      <c r="BZ186">
        <f>'T_SelfStock'!BX22</f>
        <v/>
      </c>
      <c r="CA186">
        <f>'T_SelfStock'!BY22</f>
        <v/>
      </c>
      <c r="CB186">
        <f>'T_SelfStock'!BZ22</f>
        <v/>
      </c>
      <c r="CC186">
        <f>'T_SelfStock'!CA22</f>
        <v/>
      </c>
      <c r="CD186">
        <f>'T_SelfStock'!CB22</f>
        <v/>
      </c>
      <c r="CE186">
        <f>'T_SelfStock'!CC22</f>
        <v/>
      </c>
      <c r="CF186">
        <f>'T_SelfStock'!CD22</f>
        <v/>
      </c>
      <c r="CG186">
        <f>'T_SelfStock'!CE22</f>
        <v/>
      </c>
      <c r="CH186">
        <f>'T_SelfStock'!CF22</f>
        <v/>
      </c>
      <c r="CI186">
        <f>'T_SelfStock'!CG22</f>
        <v/>
      </c>
      <c r="CJ186">
        <f>'T_SelfStock'!CH22</f>
        <v/>
      </c>
      <c r="CK186">
        <f>'T_SelfStock'!CI22</f>
        <v/>
      </c>
      <c r="CL186">
        <f>'T_SelfStock'!CJ22</f>
        <v/>
      </c>
      <c r="CM186">
        <f>'T_SelfStock'!CK22</f>
        <v/>
      </c>
      <c r="CN186">
        <f>'T_SelfStock'!CL22</f>
        <v/>
      </c>
      <c r="CO186">
        <f>'T_SelfStock'!CM22</f>
        <v/>
      </c>
      <c r="CP186">
        <f>'T_SelfStock'!CN22</f>
        <v/>
      </c>
      <c r="CQ186">
        <f>'T_SelfStock'!CO22</f>
        <v/>
      </c>
      <c r="CR186">
        <f>'T_SelfStock'!CP22</f>
        <v/>
      </c>
      <c r="CS186">
        <f>'T_SelfStock'!CQ22</f>
        <v/>
      </c>
      <c r="CT186">
        <f>'T_SelfStock'!CR22</f>
        <v/>
      </c>
      <c r="CU186">
        <f>'T_SelfStock'!CS22</f>
        <v/>
      </c>
      <c r="CV186">
        <f>'T_SelfStock'!CT22</f>
        <v/>
      </c>
      <c r="CW186">
        <f>'T_SelfStock'!CU22</f>
        <v/>
      </c>
      <c r="CX186">
        <f>'T_SelfStock'!CV22</f>
        <v/>
      </c>
      <c r="CY186">
        <f>'T_SelfStock'!CW22</f>
        <v/>
      </c>
      <c r="CZ186">
        <f>'T_SelfStock'!CX22</f>
        <v/>
      </c>
      <c r="DA186">
        <f>'T_SelfStock'!CY22</f>
        <v/>
      </c>
      <c r="DB186">
        <f>'T_SelfStock'!CZ22</f>
        <v/>
      </c>
      <c r="DC186">
        <f>'T_SelfStock'!DA22</f>
        <v/>
      </c>
    </row>
    <row r="187">
      <c r="B187" t="inlineStr">
        <is>
          <t>Order(発注予定,kg)</t>
        </is>
      </c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  <c r="AB187" s="23" t="n"/>
      <c r="AC187" s="23" t="n"/>
      <c r="AD187" s="23" t="n"/>
      <c r="AE187" s="23" t="n"/>
      <c r="AF187" s="23" t="n"/>
      <c r="AG187" s="23" t="n"/>
      <c r="AH187" s="23" t="n"/>
      <c r="AI187" s="23" t="n"/>
      <c r="AJ187" s="23" t="n"/>
      <c r="AK187" s="23" t="n"/>
      <c r="AL187" s="23" t="n"/>
      <c r="AM187" s="23" t="n"/>
      <c r="AN187" s="23" t="n"/>
      <c r="AO187" s="23" t="n"/>
      <c r="AP187" s="23" t="n"/>
      <c r="AQ187" s="23" t="n"/>
      <c r="AR187" s="23" t="n"/>
      <c r="AS187" s="23" t="n"/>
      <c r="AT187" s="23" t="n"/>
      <c r="AU187" s="23" t="n"/>
      <c r="AV187" s="23" t="n"/>
      <c r="AW187" s="23" t="n"/>
      <c r="AX187" s="23" t="n"/>
      <c r="AY187" s="23" t="n"/>
      <c r="AZ187" s="23" t="n"/>
      <c r="BA187" s="23" t="n"/>
      <c r="BB187" s="23" t="n"/>
      <c r="BC187" s="23" t="n"/>
      <c r="BD187" s="23" t="n"/>
      <c r="BE187" s="23" t="n"/>
      <c r="BF187" s="23" t="n"/>
      <c r="BG187" s="23" t="n"/>
      <c r="BH187" s="23" t="n"/>
      <c r="BI187" s="23" t="n"/>
      <c r="BJ187" s="23" t="n"/>
      <c r="BK187" s="23" t="n"/>
      <c r="BL187" s="23" t="n"/>
      <c r="BM187" s="23" t="n"/>
      <c r="BN187" s="23" t="n"/>
      <c r="BO187" s="23" t="n"/>
      <c r="BP187" s="23" t="n"/>
      <c r="BQ187" s="23" t="n"/>
      <c r="BR187" s="23" t="n"/>
      <c r="BS187" s="23" t="n"/>
      <c r="BT187" s="23" t="n"/>
      <c r="BU187" s="23" t="n"/>
      <c r="BV187" s="23" t="n"/>
      <c r="BW187" s="23" t="n"/>
      <c r="BX187" s="23" t="n"/>
      <c r="BY187" s="23" t="n"/>
      <c r="BZ187" s="23" t="n"/>
      <c r="CA187" s="23" t="n"/>
      <c r="CB187" s="23" t="n"/>
      <c r="CC187" s="23" t="n"/>
      <c r="CD187" s="23" t="n"/>
      <c r="CE187" s="23" t="n"/>
      <c r="CF187" s="23" t="n"/>
      <c r="CG187" s="23" t="n"/>
      <c r="CH187" s="23" t="n"/>
      <c r="CI187" s="23" t="n"/>
      <c r="CJ187" s="23" t="n"/>
      <c r="CK187" s="23" t="n"/>
      <c r="CL187" s="23" t="n"/>
      <c r="CM187" s="23" t="n"/>
      <c r="CN187" s="23" t="n"/>
      <c r="CO187" s="23" t="n"/>
      <c r="CP187" s="23" t="n"/>
      <c r="CQ187" s="23" t="n"/>
      <c r="CR187" s="23" t="n"/>
      <c r="CS187" s="23" t="n"/>
      <c r="CT187" s="23" t="n"/>
      <c r="CU187" s="23" t="n"/>
      <c r="CV187" s="23" t="n"/>
      <c r="CW187" s="23" t="n"/>
      <c r="CX187" s="23" t="n"/>
      <c r="CY187" s="23" t="n"/>
      <c r="CZ187" s="23" t="n"/>
      <c r="DA187" s="23" t="n"/>
      <c r="DB187" s="23" t="n"/>
      <c r="DC187" s="23" t="n"/>
      <c r="DE187" s="12" t="inlineStr">
        <is>
          <t>5JK</t>
        </is>
      </c>
    </row>
    <row r="188">
      <c r="B188" s="24" t="inlineStr">
        <is>
          <t>PO_No</t>
        </is>
      </c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  <c r="AD188" s="25" t="n"/>
      <c r="AE188" s="25" t="n"/>
      <c r="AF188" s="25" t="n"/>
      <c r="AG188" s="25" t="n"/>
      <c r="AH188" s="25" t="n"/>
      <c r="AI188" s="25" t="n"/>
      <c r="AJ188" s="25" t="n"/>
      <c r="AK188" s="25" t="n"/>
      <c r="AL188" s="25" t="n"/>
      <c r="AM188" s="25" t="n"/>
      <c r="AN188" s="25" t="n"/>
      <c r="AO188" s="25" t="n"/>
      <c r="AP188" s="25" t="n"/>
      <c r="AQ188" s="25" t="n"/>
      <c r="AR188" s="25" t="n"/>
      <c r="AS188" s="25" t="n"/>
      <c r="AT188" s="25" t="n"/>
      <c r="AU188" s="25" t="n"/>
      <c r="AV188" s="25" t="n"/>
      <c r="AW188" s="25" t="n"/>
      <c r="AX188" s="25" t="n"/>
      <c r="AY188" s="25" t="n"/>
      <c r="AZ188" s="25" t="n"/>
      <c r="BA188" s="25" t="n"/>
      <c r="BB188" s="25" t="n"/>
      <c r="BC188" s="25" t="n"/>
      <c r="BD188" s="25" t="n"/>
      <c r="BE188" s="25" t="n"/>
      <c r="BF188" s="25" t="n"/>
      <c r="BG188" s="25" t="n"/>
      <c r="BH188" s="25" t="n"/>
      <c r="BI188" s="25" t="n"/>
      <c r="BJ188" s="25" t="n"/>
      <c r="BK188" s="25" t="n"/>
      <c r="BL188" s="25" t="n"/>
      <c r="BM188" s="25" t="n"/>
      <c r="BN188" s="25" t="n"/>
      <c r="BO188" s="25" t="n"/>
      <c r="BP188" s="25" t="n"/>
      <c r="BQ188" s="25" t="n"/>
      <c r="BR188" s="25" t="n"/>
      <c r="BS188" s="25" t="n"/>
      <c r="BT188" s="25" t="n"/>
      <c r="BU188" s="25" t="n"/>
      <c r="BV188" s="25" t="n"/>
      <c r="BW188" s="25" t="n"/>
      <c r="BX188" s="25" t="n"/>
      <c r="BY188" s="25" t="n"/>
      <c r="BZ188" s="25" t="n"/>
      <c r="CA188" s="25" t="n"/>
      <c r="CB188" s="25" t="n"/>
      <c r="CC188" s="25" t="n"/>
      <c r="CD188" s="25" t="n"/>
      <c r="CE188" s="25" t="n"/>
      <c r="CF188" s="25" t="n"/>
      <c r="CG188" s="25" t="n"/>
      <c r="CH188" s="25" t="n"/>
      <c r="CI188" s="25" t="n"/>
      <c r="CJ188" s="25" t="n"/>
      <c r="CK188" s="25" t="n"/>
      <c r="CL188" s="25" t="n"/>
      <c r="CM188" s="25" t="n"/>
      <c r="CN188" s="25" t="n"/>
      <c r="CO188" s="25" t="n"/>
      <c r="CP188" s="25" t="n"/>
      <c r="CQ188" s="25" t="n"/>
      <c r="CR188" s="25" t="n"/>
      <c r="CS188" s="25" t="n"/>
      <c r="CT188" s="25" t="n"/>
      <c r="CU188" s="25" t="n"/>
      <c r="CV188" s="25" t="n"/>
      <c r="CW188" s="25" t="n"/>
      <c r="CX188" s="25" t="n"/>
      <c r="CY188" s="25" t="n"/>
      <c r="CZ188" s="25" t="n"/>
      <c r="DA188" s="25" t="n"/>
      <c r="DB188" s="25" t="n"/>
      <c r="DC188" s="25" t="n"/>
    </row>
    <row r="189">
      <c r="B189" s="5" t="inlineStr">
        <is>
          <t>合計在庫(週末時点,kg)</t>
        </is>
      </c>
      <c r="D189">
        <f>'Grid_Stock'!B18</f>
        <v/>
      </c>
      <c r="E189">
        <f>'Grid_Stock'!C18</f>
        <v/>
      </c>
      <c r="F189">
        <f>'Grid_Stock'!D18</f>
        <v/>
      </c>
      <c r="G189">
        <f>'Grid_Stock'!E18</f>
        <v/>
      </c>
      <c r="H189">
        <f>'Grid_Stock'!F18</f>
        <v/>
      </c>
      <c r="I189">
        <f>'Grid_Stock'!G18</f>
        <v/>
      </c>
      <c r="J189">
        <f>'Grid_Stock'!H18</f>
        <v/>
      </c>
      <c r="K189">
        <f>'Grid_Stock'!I18</f>
        <v/>
      </c>
      <c r="L189">
        <f>'Grid_Stock'!J18</f>
        <v/>
      </c>
      <c r="M189">
        <f>'Grid_Stock'!K18</f>
        <v/>
      </c>
      <c r="N189">
        <f>'Grid_Stock'!L18</f>
        <v/>
      </c>
      <c r="O189">
        <f>'Grid_Stock'!M18</f>
        <v/>
      </c>
      <c r="P189">
        <f>'Grid_Stock'!N18</f>
        <v/>
      </c>
      <c r="Q189">
        <f>'Grid_Stock'!O18</f>
        <v/>
      </c>
      <c r="R189">
        <f>'Grid_Stock'!P18</f>
        <v/>
      </c>
      <c r="S189">
        <f>'Grid_Stock'!Q18</f>
        <v/>
      </c>
      <c r="T189">
        <f>'Grid_Stock'!R18</f>
        <v/>
      </c>
      <c r="U189">
        <f>'Grid_Stock'!S18</f>
        <v/>
      </c>
      <c r="V189">
        <f>'Grid_Stock'!T18</f>
        <v/>
      </c>
      <c r="W189">
        <f>'Grid_Stock'!U18</f>
        <v/>
      </c>
      <c r="X189">
        <f>'Grid_Stock'!V18</f>
        <v/>
      </c>
      <c r="Y189">
        <f>'Grid_Stock'!W18</f>
        <v/>
      </c>
      <c r="Z189">
        <f>'Grid_Stock'!X18</f>
        <v/>
      </c>
      <c r="AA189">
        <f>'Grid_Stock'!Y18</f>
        <v/>
      </c>
      <c r="AB189">
        <f>'Grid_Stock'!Z18</f>
        <v/>
      </c>
      <c r="AC189">
        <f>'Grid_Stock'!AA18</f>
        <v/>
      </c>
      <c r="AD189">
        <f>'Grid_Stock'!AB18</f>
        <v/>
      </c>
      <c r="AE189">
        <f>'Grid_Stock'!AC18</f>
        <v/>
      </c>
      <c r="AF189">
        <f>'Grid_Stock'!AD18</f>
        <v/>
      </c>
      <c r="AG189">
        <f>'Grid_Stock'!AE18</f>
        <v/>
      </c>
      <c r="AH189">
        <f>'Grid_Stock'!AF18</f>
        <v/>
      </c>
      <c r="AI189">
        <f>'Grid_Stock'!AG18</f>
        <v/>
      </c>
      <c r="AJ189">
        <f>'Grid_Stock'!AH18</f>
        <v/>
      </c>
      <c r="AK189">
        <f>'Grid_Stock'!AI18</f>
        <v/>
      </c>
      <c r="AL189">
        <f>'Grid_Stock'!AJ18</f>
        <v/>
      </c>
      <c r="AM189">
        <f>'Grid_Stock'!AK18</f>
        <v/>
      </c>
      <c r="AN189">
        <f>'Grid_Stock'!AL18</f>
        <v/>
      </c>
      <c r="AO189">
        <f>'Grid_Stock'!AM18</f>
        <v/>
      </c>
      <c r="AP189">
        <f>'Grid_Stock'!AN18</f>
        <v/>
      </c>
      <c r="AQ189">
        <f>'Grid_Stock'!AO18</f>
        <v/>
      </c>
      <c r="AR189">
        <f>'Grid_Stock'!AP18</f>
        <v/>
      </c>
      <c r="AS189">
        <f>'Grid_Stock'!AQ18</f>
        <v/>
      </c>
      <c r="AT189">
        <f>'Grid_Stock'!AR18</f>
        <v/>
      </c>
      <c r="AU189">
        <f>'Grid_Stock'!AS18</f>
        <v/>
      </c>
      <c r="AV189">
        <f>'Grid_Stock'!AT18</f>
        <v/>
      </c>
      <c r="AW189">
        <f>'Grid_Stock'!AU18</f>
        <v/>
      </c>
      <c r="AX189">
        <f>'Grid_Stock'!AV18</f>
        <v/>
      </c>
      <c r="AY189">
        <f>'Grid_Stock'!AW18</f>
        <v/>
      </c>
      <c r="AZ189">
        <f>'Grid_Stock'!AX18</f>
        <v/>
      </c>
      <c r="BA189">
        <f>'Grid_Stock'!AY18</f>
        <v/>
      </c>
      <c r="BB189">
        <f>'Grid_Stock'!AZ18</f>
        <v/>
      </c>
      <c r="BC189">
        <f>'Grid_Stock'!BA18</f>
        <v/>
      </c>
      <c r="BD189">
        <f>'Grid_Stock'!BB18</f>
        <v/>
      </c>
      <c r="BE189">
        <f>'Grid_Stock'!BC18</f>
        <v/>
      </c>
      <c r="BF189">
        <f>'Grid_Stock'!BD18</f>
        <v/>
      </c>
      <c r="BG189">
        <f>'Grid_Stock'!BE18</f>
        <v/>
      </c>
      <c r="BH189">
        <f>'Grid_Stock'!BF18</f>
        <v/>
      </c>
      <c r="BI189">
        <f>'Grid_Stock'!BG18</f>
        <v/>
      </c>
      <c r="BJ189">
        <f>'Grid_Stock'!BH18</f>
        <v/>
      </c>
      <c r="BK189">
        <f>'Grid_Stock'!BI18</f>
        <v/>
      </c>
      <c r="BL189">
        <f>'Grid_Stock'!BJ18</f>
        <v/>
      </c>
      <c r="BM189">
        <f>'Grid_Stock'!BK18</f>
        <v/>
      </c>
      <c r="BN189">
        <f>'Grid_Stock'!BL18</f>
        <v/>
      </c>
      <c r="BO189">
        <f>'Grid_Stock'!BM18</f>
        <v/>
      </c>
      <c r="BP189">
        <f>'Grid_Stock'!BN18</f>
        <v/>
      </c>
      <c r="BQ189">
        <f>'Grid_Stock'!BO18</f>
        <v/>
      </c>
      <c r="BR189">
        <f>'Grid_Stock'!BP18</f>
        <v/>
      </c>
      <c r="BS189">
        <f>'Grid_Stock'!BQ18</f>
        <v/>
      </c>
      <c r="BT189">
        <f>'Grid_Stock'!BR18</f>
        <v/>
      </c>
      <c r="BU189">
        <f>'Grid_Stock'!BS18</f>
        <v/>
      </c>
      <c r="BV189">
        <f>'Grid_Stock'!BT18</f>
        <v/>
      </c>
      <c r="BW189">
        <f>'Grid_Stock'!BU18</f>
        <v/>
      </c>
      <c r="BX189">
        <f>'Grid_Stock'!BV18</f>
        <v/>
      </c>
      <c r="BY189">
        <f>'Grid_Stock'!BW18</f>
        <v/>
      </c>
      <c r="BZ189">
        <f>'Grid_Stock'!BX18</f>
        <v/>
      </c>
      <c r="CA189">
        <f>'Grid_Stock'!BY18</f>
        <v/>
      </c>
      <c r="CB189">
        <f>'Grid_Stock'!BZ18</f>
        <v/>
      </c>
      <c r="CC189">
        <f>'Grid_Stock'!CA18</f>
        <v/>
      </c>
      <c r="CD189">
        <f>'Grid_Stock'!CB18</f>
        <v/>
      </c>
      <c r="CE189">
        <f>'Grid_Stock'!CC18</f>
        <v/>
      </c>
      <c r="CF189">
        <f>'Grid_Stock'!CD18</f>
        <v/>
      </c>
      <c r="CG189">
        <f>'Grid_Stock'!CE18</f>
        <v/>
      </c>
      <c r="CH189">
        <f>'Grid_Stock'!CF18</f>
        <v/>
      </c>
      <c r="CI189">
        <f>'Grid_Stock'!CG18</f>
        <v/>
      </c>
      <c r="CJ189">
        <f>'Grid_Stock'!CH18</f>
        <v/>
      </c>
      <c r="CK189">
        <f>'Grid_Stock'!CI18</f>
        <v/>
      </c>
      <c r="CL189">
        <f>'Grid_Stock'!CJ18</f>
        <v/>
      </c>
      <c r="CM189">
        <f>'Grid_Stock'!CK18</f>
        <v/>
      </c>
      <c r="CN189">
        <f>'Grid_Stock'!CL18</f>
        <v/>
      </c>
      <c r="CO189">
        <f>'Grid_Stock'!CM18</f>
        <v/>
      </c>
      <c r="CP189">
        <f>'Grid_Stock'!CN18</f>
        <v/>
      </c>
      <c r="CQ189">
        <f>'Grid_Stock'!CO18</f>
        <v/>
      </c>
      <c r="CR189">
        <f>'Grid_Stock'!CP18</f>
        <v/>
      </c>
      <c r="CS189">
        <f>'Grid_Stock'!CQ18</f>
        <v/>
      </c>
      <c r="CT189">
        <f>'Grid_Stock'!CR18</f>
        <v/>
      </c>
      <c r="CU189">
        <f>'Grid_Stock'!CS18</f>
        <v/>
      </c>
      <c r="CV189">
        <f>'Grid_Stock'!CT18</f>
        <v/>
      </c>
      <c r="CW189">
        <f>'Grid_Stock'!CU18</f>
        <v/>
      </c>
      <c r="CX189">
        <f>'Grid_Stock'!CV18</f>
        <v/>
      </c>
      <c r="CY189">
        <f>'Grid_Stock'!CW18</f>
        <v/>
      </c>
      <c r="CZ189">
        <f>'Grid_Stock'!CX18</f>
        <v/>
      </c>
      <c r="DA189">
        <f>'Grid_Stock'!CY18</f>
        <v/>
      </c>
      <c r="DB189">
        <f>'Grid_Stock'!CZ18</f>
        <v/>
      </c>
      <c r="DC189">
        <f>'Grid_Stock'!DA18</f>
        <v/>
      </c>
    </row>
    <row r="190">
      <c r="B190" s="26" t="inlineStr">
        <is>
          <t>（発注の目安はDashboardの基準在庫[下限/上限]と色分けを参照）</t>
        </is>
      </c>
    </row>
    <row r="192">
      <c r="A192" s="21" t="inlineStr">
        <is>
          <t>1JN</t>
        </is>
      </c>
      <c r="B192" s="21" t="inlineStr">
        <is>
          <t>Substrate TTAF WF6</t>
        </is>
      </c>
      <c r="C192" s="22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  <c r="AO192" s="21" t="n"/>
      <c r="AP192" s="21" t="n"/>
      <c r="AQ192" s="21" t="n"/>
      <c r="AR192" s="21" t="n"/>
      <c r="AS192" s="21" t="n"/>
      <c r="AT192" s="21" t="n"/>
      <c r="AU192" s="21" t="n"/>
      <c r="AV192" s="21" t="n"/>
      <c r="AW192" s="21" t="n"/>
      <c r="AX192" s="21" t="n"/>
      <c r="AY192" s="21" t="n"/>
      <c r="AZ192" s="21" t="n"/>
      <c r="BA192" s="21" t="n"/>
      <c r="BB192" s="21" t="n"/>
      <c r="BC192" s="21" t="n"/>
      <c r="BD192" s="21" t="n"/>
      <c r="BE192" s="21" t="n"/>
      <c r="BF192" s="21" t="n"/>
      <c r="BG192" s="21" t="n"/>
      <c r="BH192" s="21" t="n"/>
      <c r="BI192" s="21" t="n"/>
      <c r="BJ192" s="21" t="n"/>
      <c r="BK192" s="21" t="n"/>
      <c r="BL192" s="21" t="n"/>
      <c r="BM192" s="21" t="n"/>
      <c r="BN192" s="21" t="n"/>
      <c r="BO192" s="21" t="n"/>
      <c r="BP192" s="21" t="n"/>
      <c r="BQ192" s="21" t="n"/>
      <c r="BR192" s="21" t="n"/>
      <c r="BS192" s="21" t="n"/>
      <c r="BT192" s="21" t="n"/>
      <c r="BU192" s="21" t="n"/>
      <c r="BV192" s="21" t="n"/>
      <c r="BW192" s="21" t="n"/>
      <c r="BX192" s="21" t="n"/>
      <c r="BY192" s="21" t="n"/>
      <c r="BZ192" s="21" t="n"/>
      <c r="CA192" s="21" t="n"/>
      <c r="CB192" s="21" t="n"/>
      <c r="CC192" s="21" t="n"/>
      <c r="CD192" s="21" t="n"/>
      <c r="CE192" s="21" t="n"/>
      <c r="CF192" s="21" t="n"/>
      <c r="CG192" s="21" t="n"/>
      <c r="CH192" s="21" t="n"/>
      <c r="CI192" s="21" t="n"/>
      <c r="CJ192" s="21" t="n"/>
      <c r="CK192" s="21" t="n"/>
      <c r="CL192" s="21" t="n"/>
      <c r="CM192" s="21" t="n"/>
      <c r="CN192" s="21" t="n"/>
      <c r="CO192" s="21" t="n"/>
      <c r="CP192" s="21" t="n"/>
      <c r="CQ192" s="21" t="n"/>
      <c r="CR192" s="21" t="n"/>
      <c r="CS192" s="21" t="n"/>
      <c r="CT192" s="21" t="n"/>
      <c r="CU192" s="21" t="n"/>
      <c r="CV192" s="21" t="n"/>
      <c r="CW192" s="21" t="n"/>
      <c r="CX192" s="21" t="n"/>
      <c r="CY192" s="21" t="n"/>
      <c r="CZ192" s="21" t="n"/>
      <c r="DA192" s="21" t="n"/>
      <c r="DB192" s="21" t="n"/>
      <c r="DC192" s="21" t="n"/>
    </row>
    <row r="193">
      <c r="B193" t="inlineStr">
        <is>
          <t>0Y460</t>
        </is>
      </c>
      <c r="C193" t="inlineStr">
        <is>
          <t>No. of batches</t>
        </is>
      </c>
      <c r="D193">
        <f>IFERROR(INDEX(PP_Grid[#Data],$DD193,2),0)</f>
        <v/>
      </c>
      <c r="E193">
        <f>IFERROR(INDEX(PP_Grid[#Data],$DD193,3),0)</f>
        <v/>
      </c>
      <c r="F193">
        <f>IFERROR(INDEX(PP_Grid[#Data],$DD193,4),0)</f>
        <v/>
      </c>
      <c r="G193">
        <f>IFERROR(INDEX(PP_Grid[#Data],$DD193,5),0)</f>
        <v/>
      </c>
      <c r="H193">
        <f>IFERROR(INDEX(PP_Grid[#Data],$DD193,6),0)</f>
        <v/>
      </c>
      <c r="I193">
        <f>IFERROR(INDEX(PP_Grid[#Data],$DD193,7),0)</f>
        <v/>
      </c>
      <c r="J193">
        <f>IFERROR(INDEX(PP_Grid[#Data],$DD193,8),0)</f>
        <v/>
      </c>
      <c r="K193">
        <f>IFERROR(INDEX(PP_Grid[#Data],$DD193,9),0)</f>
        <v/>
      </c>
      <c r="L193">
        <f>IFERROR(INDEX(PP_Grid[#Data],$DD193,10),0)</f>
        <v/>
      </c>
      <c r="M193">
        <f>IFERROR(INDEX(PP_Grid[#Data],$DD193,11),0)</f>
        <v/>
      </c>
      <c r="N193">
        <f>IFERROR(INDEX(PP_Grid[#Data],$DD193,12),0)</f>
        <v/>
      </c>
      <c r="O193">
        <f>IFERROR(INDEX(PP_Grid[#Data],$DD193,13),0)</f>
        <v/>
      </c>
      <c r="P193">
        <f>IFERROR(INDEX(PP_Grid[#Data],$DD193,14),0)</f>
        <v/>
      </c>
      <c r="Q193">
        <f>IFERROR(INDEX(PP_Grid[#Data],$DD193,15),0)</f>
        <v/>
      </c>
      <c r="R193">
        <f>IFERROR(INDEX(PP_Grid[#Data],$DD193,16),0)</f>
        <v/>
      </c>
      <c r="S193">
        <f>IFERROR(INDEX(PP_Grid[#Data],$DD193,17),0)</f>
        <v/>
      </c>
      <c r="T193">
        <f>IFERROR(INDEX(PP_Grid[#Data],$DD193,18),0)</f>
        <v/>
      </c>
      <c r="U193">
        <f>IFERROR(INDEX(PP_Grid[#Data],$DD193,19),0)</f>
        <v/>
      </c>
      <c r="V193">
        <f>IFERROR(INDEX(PP_Grid[#Data],$DD193,20),0)</f>
        <v/>
      </c>
      <c r="W193">
        <f>IFERROR(INDEX(PP_Grid[#Data],$DD193,21),0)</f>
        <v/>
      </c>
      <c r="X193">
        <f>IFERROR(INDEX(PP_Grid[#Data],$DD193,22),0)</f>
        <v/>
      </c>
      <c r="Y193">
        <f>IFERROR(INDEX(PP_Grid[#Data],$DD193,23),0)</f>
        <v/>
      </c>
      <c r="Z193">
        <f>IFERROR(INDEX(PP_Grid[#Data],$DD193,24),0)</f>
        <v/>
      </c>
      <c r="AA193">
        <f>IFERROR(INDEX(PP_Grid[#Data],$DD193,25),0)</f>
        <v/>
      </c>
      <c r="AB193">
        <f>IFERROR(INDEX(PP_Grid[#Data],$DD193,26),0)</f>
        <v/>
      </c>
      <c r="AC193">
        <f>IFERROR(INDEX(PP_Grid[#Data],$DD193,27),0)</f>
        <v/>
      </c>
      <c r="AD193">
        <f>IFERROR(INDEX(PP_Grid[#Data],$DD193,28),0)</f>
        <v/>
      </c>
      <c r="AE193">
        <f>IFERROR(INDEX(PP_Grid[#Data],$DD193,29),0)</f>
        <v/>
      </c>
      <c r="AF193">
        <f>IFERROR(INDEX(PP_Grid[#Data],$DD193,30),0)</f>
        <v/>
      </c>
      <c r="AG193">
        <f>IFERROR(INDEX(PP_Grid[#Data],$DD193,31),0)</f>
        <v/>
      </c>
      <c r="AH193">
        <f>IFERROR(INDEX(PP_Grid[#Data],$DD193,32),0)</f>
        <v/>
      </c>
      <c r="AI193">
        <f>IFERROR(INDEX(PP_Grid[#Data],$DD193,33),0)</f>
        <v/>
      </c>
      <c r="AJ193">
        <f>IFERROR(INDEX(PP_Grid[#Data],$DD193,34),0)</f>
        <v/>
      </c>
      <c r="AK193">
        <f>IFERROR(INDEX(PP_Grid[#Data],$DD193,35),0)</f>
        <v/>
      </c>
      <c r="AL193">
        <f>IFERROR(INDEX(PP_Grid[#Data],$DD193,36),0)</f>
        <v/>
      </c>
      <c r="AM193">
        <f>IFERROR(INDEX(PP_Grid[#Data],$DD193,37),0)</f>
        <v/>
      </c>
      <c r="AN193">
        <f>IFERROR(INDEX(PP_Grid[#Data],$DD193,38),0)</f>
        <v/>
      </c>
      <c r="AO193">
        <f>IFERROR(INDEX(PP_Grid[#Data],$DD193,39),0)</f>
        <v/>
      </c>
      <c r="AP193">
        <f>IFERROR(INDEX(PP_Grid[#Data],$DD193,40),0)</f>
        <v/>
      </c>
      <c r="AQ193">
        <f>IFERROR(INDEX(PP_Grid[#Data],$DD193,41),0)</f>
        <v/>
      </c>
      <c r="AR193">
        <f>IFERROR(INDEX(PP_Grid[#Data],$DD193,42),0)</f>
        <v/>
      </c>
      <c r="AS193">
        <f>IFERROR(INDEX(PP_Grid[#Data],$DD193,43),0)</f>
        <v/>
      </c>
      <c r="AT193">
        <f>IFERROR(INDEX(PP_Grid[#Data],$DD193,44),0)</f>
        <v/>
      </c>
      <c r="AU193">
        <f>IFERROR(INDEX(PP_Grid[#Data],$DD193,45),0)</f>
        <v/>
      </c>
      <c r="AV193">
        <f>IFERROR(INDEX(PP_Grid[#Data],$DD193,46),0)</f>
        <v/>
      </c>
      <c r="AW193">
        <f>IFERROR(INDEX(PP_Grid[#Data],$DD193,47),0)</f>
        <v/>
      </c>
      <c r="AX193">
        <f>IFERROR(INDEX(PP_Grid[#Data],$DD193,48),0)</f>
        <v/>
      </c>
      <c r="AY193">
        <f>IFERROR(INDEX(PP_Grid[#Data],$DD193,49),0)</f>
        <v/>
      </c>
      <c r="AZ193">
        <f>IFERROR(INDEX(PP_Grid[#Data],$DD193,50),0)</f>
        <v/>
      </c>
      <c r="BA193">
        <f>IFERROR(INDEX(PP_Grid[#Data],$DD193,51),0)</f>
        <v/>
      </c>
      <c r="BB193">
        <f>IFERROR(INDEX(PP_Grid[#Data],$DD193,52),0)</f>
        <v/>
      </c>
      <c r="BC193">
        <f>IFERROR(INDEX(PP_Grid[#Data],$DD193,53),0)</f>
        <v/>
      </c>
      <c r="BD193">
        <f>IFERROR(INDEX(PP_Grid[#Data],$DD193,54),0)</f>
        <v/>
      </c>
      <c r="BE193">
        <f>IFERROR(INDEX(PP_Grid[#Data],$DD193,55),0)</f>
        <v/>
      </c>
      <c r="BF193">
        <f>IFERROR(INDEX(PP_Grid[#Data],$DD193,56),0)</f>
        <v/>
      </c>
      <c r="BG193">
        <f>IFERROR(INDEX(PP_Grid[#Data],$DD193,57),0)</f>
        <v/>
      </c>
      <c r="BH193">
        <f>IFERROR(INDEX(PP_Grid[#Data],$DD193,58),0)</f>
        <v/>
      </c>
      <c r="BI193">
        <f>IFERROR(INDEX(PP_Grid[#Data],$DD193,59),0)</f>
        <v/>
      </c>
      <c r="BJ193">
        <f>IFERROR(INDEX(PP_Grid[#Data],$DD193,60),0)</f>
        <v/>
      </c>
      <c r="BK193">
        <f>IFERROR(INDEX(PP_Grid[#Data],$DD193,61),0)</f>
        <v/>
      </c>
      <c r="BL193">
        <f>IFERROR(INDEX(PP_Grid[#Data],$DD193,62),0)</f>
        <v/>
      </c>
      <c r="BM193">
        <f>IFERROR(INDEX(PP_Grid[#Data],$DD193,63),0)</f>
        <v/>
      </c>
      <c r="BN193">
        <f>IFERROR(INDEX(PP_Grid[#Data],$DD193,64),0)</f>
        <v/>
      </c>
      <c r="BO193">
        <f>IFERROR(INDEX(PP_Grid[#Data],$DD193,65),0)</f>
        <v/>
      </c>
      <c r="BP193">
        <f>IFERROR(INDEX(PP_Grid[#Data],$DD193,66),0)</f>
        <v/>
      </c>
      <c r="BQ193">
        <f>IFERROR(INDEX(PP_Grid[#Data],$DD193,67),0)</f>
        <v/>
      </c>
      <c r="BR193">
        <f>IFERROR(INDEX(PP_Grid[#Data],$DD193,68),0)</f>
        <v/>
      </c>
      <c r="BS193">
        <f>IFERROR(INDEX(PP_Grid[#Data],$DD193,69),0)</f>
        <v/>
      </c>
      <c r="BT193">
        <f>IFERROR(INDEX(PP_Grid[#Data],$DD193,70),0)</f>
        <v/>
      </c>
      <c r="BU193">
        <f>IFERROR(INDEX(PP_Grid[#Data],$DD193,71),0)</f>
        <v/>
      </c>
      <c r="BV193">
        <f>IFERROR(INDEX(PP_Grid[#Data],$DD193,72),0)</f>
        <v/>
      </c>
      <c r="BW193">
        <f>IFERROR(INDEX(PP_Grid[#Data],$DD193,73),0)</f>
        <v/>
      </c>
      <c r="BX193">
        <f>IFERROR(INDEX(PP_Grid[#Data],$DD193,74),0)</f>
        <v/>
      </c>
      <c r="BY193">
        <f>IFERROR(INDEX(PP_Grid[#Data],$DD193,75),0)</f>
        <v/>
      </c>
      <c r="BZ193">
        <f>IFERROR(INDEX(PP_Grid[#Data],$DD193,76),0)</f>
        <v/>
      </c>
      <c r="CA193">
        <f>IFERROR(INDEX(PP_Grid[#Data],$DD193,77),0)</f>
        <v/>
      </c>
      <c r="CB193">
        <f>IFERROR(INDEX(PP_Grid[#Data],$DD193,78),0)</f>
        <v/>
      </c>
      <c r="CC193">
        <f>IFERROR(INDEX(PP_Grid[#Data],$DD193,79),0)</f>
        <v/>
      </c>
      <c r="CD193">
        <f>IFERROR(INDEX(PP_Grid[#Data],$DD193,80),0)</f>
        <v/>
      </c>
      <c r="CE193">
        <f>IFERROR(INDEX(PP_Grid[#Data],$DD193,81),0)</f>
        <v/>
      </c>
      <c r="CF193">
        <f>IFERROR(INDEX(PP_Grid[#Data],$DD193,82),0)</f>
        <v/>
      </c>
      <c r="CG193">
        <f>IFERROR(INDEX(PP_Grid[#Data],$DD193,83),0)</f>
        <v/>
      </c>
      <c r="CH193">
        <f>IFERROR(INDEX(PP_Grid[#Data],$DD193,84),0)</f>
        <v/>
      </c>
      <c r="CI193">
        <f>IFERROR(INDEX(PP_Grid[#Data],$DD193,85),0)</f>
        <v/>
      </c>
      <c r="CJ193">
        <f>IFERROR(INDEX(PP_Grid[#Data],$DD193,86),0)</f>
        <v/>
      </c>
      <c r="CK193">
        <f>IFERROR(INDEX(PP_Grid[#Data],$DD193,87),0)</f>
        <v/>
      </c>
      <c r="CL193">
        <f>IFERROR(INDEX(PP_Grid[#Data],$DD193,88),0)</f>
        <v/>
      </c>
      <c r="CM193">
        <f>IFERROR(INDEX(PP_Grid[#Data],$DD193,89),0)</f>
        <v/>
      </c>
      <c r="CN193">
        <f>IFERROR(INDEX(PP_Grid[#Data],$DD193,90),0)</f>
        <v/>
      </c>
      <c r="CO193">
        <f>IFERROR(INDEX(PP_Grid[#Data],$DD193,91),0)</f>
        <v/>
      </c>
      <c r="CP193">
        <f>IFERROR(INDEX(PP_Grid[#Data],$DD193,92),0)</f>
        <v/>
      </c>
      <c r="CQ193">
        <f>IFERROR(INDEX(PP_Grid[#Data],$DD193,93),0)</f>
        <v/>
      </c>
      <c r="CR193">
        <f>IFERROR(INDEX(PP_Grid[#Data],$DD193,94),0)</f>
        <v/>
      </c>
      <c r="CS193">
        <f>IFERROR(INDEX(PP_Grid[#Data],$DD193,95),0)</f>
        <v/>
      </c>
      <c r="CT193">
        <f>IFERROR(INDEX(PP_Grid[#Data],$DD193,96),0)</f>
        <v/>
      </c>
      <c r="CU193">
        <f>IFERROR(INDEX(PP_Grid[#Data],$DD193,97),0)</f>
        <v/>
      </c>
      <c r="CV193">
        <f>IFERROR(INDEX(PP_Grid[#Data],$DD193,98),0)</f>
        <v/>
      </c>
      <c r="CW193">
        <f>IFERROR(INDEX(PP_Grid[#Data],$DD193,99),0)</f>
        <v/>
      </c>
      <c r="CX193">
        <f>IFERROR(INDEX(PP_Grid[#Data],$DD193,100),0)</f>
        <v/>
      </c>
      <c r="CY193">
        <f>IFERROR(INDEX(PP_Grid[#Data],$DD193,101),0)</f>
        <v/>
      </c>
      <c r="CZ193">
        <f>IFERROR(INDEX(PP_Grid[#Data],$DD193,102),0)</f>
        <v/>
      </c>
      <c r="DA193">
        <f>IFERROR(INDEX(PP_Grid[#Data],$DD193,103),0)</f>
        <v/>
      </c>
      <c r="DB193">
        <f>IFERROR(INDEX(PP_Grid[#Data],$DD193,104),0)</f>
        <v/>
      </c>
      <c r="DC193">
        <f>IFERROR(INDEX(PP_Grid[#Data],$DD193,105),0)</f>
        <v/>
      </c>
      <c r="DD193" s="12">
        <f>IFERROR(MATCH($B193,PP_Grid[Intermediate],0),99999)</f>
        <v/>
      </c>
    </row>
    <row r="194">
      <c r="B194" t="inlineStr">
        <is>
          <t>使用量(kg)</t>
        </is>
      </c>
      <c r="C194">
        <f>SUMIFS(M_BOM[RM_Qty_Per_Batch],M_BOM[Intermediate],$B193,M_BOM[Part Name],$A192)</f>
        <v/>
      </c>
      <c r="D194">
        <f>$C194*D193</f>
        <v/>
      </c>
      <c r="E194">
        <f>$C194*E193</f>
        <v/>
      </c>
      <c r="F194">
        <f>$C194*F193</f>
        <v/>
      </c>
      <c r="G194">
        <f>$C194*G193</f>
        <v/>
      </c>
      <c r="H194">
        <f>$C194*H193</f>
        <v/>
      </c>
      <c r="I194">
        <f>$C194*I193</f>
        <v/>
      </c>
      <c r="J194">
        <f>$C194*J193</f>
        <v/>
      </c>
      <c r="K194">
        <f>$C194*K193</f>
        <v/>
      </c>
      <c r="L194">
        <f>$C194*L193</f>
        <v/>
      </c>
      <c r="M194">
        <f>$C194*M193</f>
        <v/>
      </c>
      <c r="N194">
        <f>$C194*N193</f>
        <v/>
      </c>
      <c r="O194">
        <f>$C194*O193</f>
        <v/>
      </c>
      <c r="P194">
        <f>$C194*P193</f>
        <v/>
      </c>
      <c r="Q194">
        <f>$C194*Q193</f>
        <v/>
      </c>
      <c r="R194">
        <f>$C194*R193</f>
        <v/>
      </c>
      <c r="S194">
        <f>$C194*S193</f>
        <v/>
      </c>
      <c r="T194">
        <f>$C194*T193</f>
        <v/>
      </c>
      <c r="U194">
        <f>$C194*U193</f>
        <v/>
      </c>
      <c r="V194">
        <f>$C194*V193</f>
        <v/>
      </c>
      <c r="W194">
        <f>$C194*W193</f>
        <v/>
      </c>
      <c r="X194">
        <f>$C194*X193</f>
        <v/>
      </c>
      <c r="Y194">
        <f>$C194*Y193</f>
        <v/>
      </c>
      <c r="Z194">
        <f>$C194*Z193</f>
        <v/>
      </c>
      <c r="AA194">
        <f>$C194*AA193</f>
        <v/>
      </c>
      <c r="AB194">
        <f>$C194*AB193</f>
        <v/>
      </c>
      <c r="AC194">
        <f>$C194*AC193</f>
        <v/>
      </c>
      <c r="AD194">
        <f>$C194*AD193</f>
        <v/>
      </c>
      <c r="AE194">
        <f>$C194*AE193</f>
        <v/>
      </c>
      <c r="AF194">
        <f>$C194*AF193</f>
        <v/>
      </c>
      <c r="AG194">
        <f>$C194*AG193</f>
        <v/>
      </c>
      <c r="AH194">
        <f>$C194*AH193</f>
        <v/>
      </c>
      <c r="AI194">
        <f>$C194*AI193</f>
        <v/>
      </c>
      <c r="AJ194">
        <f>$C194*AJ193</f>
        <v/>
      </c>
      <c r="AK194">
        <f>$C194*AK193</f>
        <v/>
      </c>
      <c r="AL194">
        <f>$C194*AL193</f>
        <v/>
      </c>
      <c r="AM194">
        <f>$C194*AM193</f>
        <v/>
      </c>
      <c r="AN194">
        <f>$C194*AN193</f>
        <v/>
      </c>
      <c r="AO194">
        <f>$C194*AO193</f>
        <v/>
      </c>
      <c r="AP194">
        <f>$C194*AP193</f>
        <v/>
      </c>
      <c r="AQ194">
        <f>$C194*AQ193</f>
        <v/>
      </c>
      <c r="AR194">
        <f>$C194*AR193</f>
        <v/>
      </c>
      <c r="AS194">
        <f>$C194*AS193</f>
        <v/>
      </c>
      <c r="AT194">
        <f>$C194*AT193</f>
        <v/>
      </c>
      <c r="AU194">
        <f>$C194*AU193</f>
        <v/>
      </c>
      <c r="AV194">
        <f>$C194*AV193</f>
        <v/>
      </c>
      <c r="AW194">
        <f>$C194*AW193</f>
        <v/>
      </c>
      <c r="AX194">
        <f>$C194*AX193</f>
        <v/>
      </c>
      <c r="AY194">
        <f>$C194*AY193</f>
        <v/>
      </c>
      <c r="AZ194">
        <f>$C194*AZ193</f>
        <v/>
      </c>
      <c r="BA194">
        <f>$C194*BA193</f>
        <v/>
      </c>
      <c r="BB194">
        <f>$C194*BB193</f>
        <v/>
      </c>
      <c r="BC194">
        <f>$C194*BC193</f>
        <v/>
      </c>
      <c r="BD194">
        <f>$C194*BD193</f>
        <v/>
      </c>
      <c r="BE194">
        <f>$C194*BE193</f>
        <v/>
      </c>
      <c r="BF194">
        <f>$C194*BF193</f>
        <v/>
      </c>
      <c r="BG194">
        <f>$C194*BG193</f>
        <v/>
      </c>
      <c r="BH194">
        <f>$C194*BH193</f>
        <v/>
      </c>
      <c r="BI194">
        <f>$C194*BI193</f>
        <v/>
      </c>
      <c r="BJ194">
        <f>$C194*BJ193</f>
        <v/>
      </c>
      <c r="BK194">
        <f>$C194*BK193</f>
        <v/>
      </c>
      <c r="BL194">
        <f>$C194*BL193</f>
        <v/>
      </c>
      <c r="BM194">
        <f>$C194*BM193</f>
        <v/>
      </c>
      <c r="BN194">
        <f>$C194*BN193</f>
        <v/>
      </c>
      <c r="BO194">
        <f>$C194*BO193</f>
        <v/>
      </c>
      <c r="BP194">
        <f>$C194*BP193</f>
        <v/>
      </c>
      <c r="BQ194">
        <f>$C194*BQ193</f>
        <v/>
      </c>
      <c r="BR194">
        <f>$C194*BR193</f>
        <v/>
      </c>
      <c r="BS194">
        <f>$C194*BS193</f>
        <v/>
      </c>
      <c r="BT194">
        <f>$C194*BT193</f>
        <v/>
      </c>
      <c r="BU194">
        <f>$C194*BU193</f>
        <v/>
      </c>
      <c r="BV194">
        <f>$C194*BV193</f>
        <v/>
      </c>
      <c r="BW194">
        <f>$C194*BW193</f>
        <v/>
      </c>
      <c r="BX194">
        <f>$C194*BX193</f>
        <v/>
      </c>
      <c r="BY194">
        <f>$C194*BY193</f>
        <v/>
      </c>
      <c r="BZ194">
        <f>$C194*BZ193</f>
        <v/>
      </c>
      <c r="CA194">
        <f>$C194*CA193</f>
        <v/>
      </c>
      <c r="CB194">
        <f>$C194*CB193</f>
        <v/>
      </c>
      <c r="CC194">
        <f>$C194*CC193</f>
        <v/>
      </c>
      <c r="CD194">
        <f>$C194*CD193</f>
        <v/>
      </c>
      <c r="CE194">
        <f>$C194*CE193</f>
        <v/>
      </c>
      <c r="CF194">
        <f>$C194*CF193</f>
        <v/>
      </c>
      <c r="CG194">
        <f>$C194*CG193</f>
        <v/>
      </c>
      <c r="CH194">
        <f>$C194*CH193</f>
        <v/>
      </c>
      <c r="CI194">
        <f>$C194*CI193</f>
        <v/>
      </c>
      <c r="CJ194">
        <f>$C194*CJ193</f>
        <v/>
      </c>
      <c r="CK194">
        <f>$C194*CK193</f>
        <v/>
      </c>
      <c r="CL194">
        <f>$C194*CL193</f>
        <v/>
      </c>
      <c r="CM194">
        <f>$C194*CM193</f>
        <v/>
      </c>
      <c r="CN194">
        <f>$C194*CN193</f>
        <v/>
      </c>
      <c r="CO194">
        <f>$C194*CO193</f>
        <v/>
      </c>
      <c r="CP194">
        <f>$C194*CP193</f>
        <v/>
      </c>
      <c r="CQ194">
        <f>$C194*CQ193</f>
        <v/>
      </c>
      <c r="CR194">
        <f>$C194*CR193</f>
        <v/>
      </c>
      <c r="CS194">
        <f>$C194*CS193</f>
        <v/>
      </c>
      <c r="CT194">
        <f>$C194*CT193</f>
        <v/>
      </c>
      <c r="CU194">
        <f>$C194*CU193</f>
        <v/>
      </c>
      <c r="CV194">
        <f>$C194*CV193</f>
        <v/>
      </c>
      <c r="CW194">
        <f>$C194*CW193</f>
        <v/>
      </c>
      <c r="CX194">
        <f>$C194*CX193</f>
        <v/>
      </c>
      <c r="CY194">
        <f>$C194*CY193</f>
        <v/>
      </c>
      <c r="CZ194">
        <f>$C194*CZ193</f>
        <v/>
      </c>
      <c r="DA194">
        <f>$C194*DA193</f>
        <v/>
      </c>
      <c r="DB194">
        <f>$C194*DB193</f>
        <v/>
      </c>
      <c r="DC194">
        <f>$C194*DC193</f>
        <v/>
      </c>
    </row>
    <row r="195">
      <c r="B195" s="5" t="inlineStr">
        <is>
          <t>合計使用量(kg)/週</t>
        </is>
      </c>
      <c r="D195">
        <f>'Grid_Requirement'!B21</f>
        <v/>
      </c>
      <c r="E195">
        <f>'Grid_Requirement'!C21</f>
        <v/>
      </c>
      <c r="F195">
        <f>'Grid_Requirement'!D21</f>
        <v/>
      </c>
      <c r="G195">
        <f>'Grid_Requirement'!E21</f>
        <v/>
      </c>
      <c r="H195">
        <f>'Grid_Requirement'!F21</f>
        <v/>
      </c>
      <c r="I195">
        <f>'Grid_Requirement'!G21</f>
        <v/>
      </c>
      <c r="J195">
        <f>'Grid_Requirement'!H21</f>
        <v/>
      </c>
      <c r="K195">
        <f>'Grid_Requirement'!I21</f>
        <v/>
      </c>
      <c r="L195">
        <f>'Grid_Requirement'!J21</f>
        <v/>
      </c>
      <c r="M195">
        <f>'Grid_Requirement'!K21</f>
        <v/>
      </c>
      <c r="N195">
        <f>'Grid_Requirement'!L21</f>
        <v/>
      </c>
      <c r="O195">
        <f>'Grid_Requirement'!M21</f>
        <v/>
      </c>
      <c r="P195">
        <f>'Grid_Requirement'!N21</f>
        <v/>
      </c>
      <c r="Q195">
        <f>'Grid_Requirement'!O21</f>
        <v/>
      </c>
      <c r="R195">
        <f>'Grid_Requirement'!P21</f>
        <v/>
      </c>
      <c r="S195">
        <f>'Grid_Requirement'!Q21</f>
        <v/>
      </c>
      <c r="T195">
        <f>'Grid_Requirement'!R21</f>
        <v/>
      </c>
      <c r="U195">
        <f>'Grid_Requirement'!S21</f>
        <v/>
      </c>
      <c r="V195">
        <f>'Grid_Requirement'!T21</f>
        <v/>
      </c>
      <c r="W195">
        <f>'Grid_Requirement'!U21</f>
        <v/>
      </c>
      <c r="X195">
        <f>'Grid_Requirement'!V21</f>
        <v/>
      </c>
      <c r="Y195">
        <f>'Grid_Requirement'!W21</f>
        <v/>
      </c>
      <c r="Z195">
        <f>'Grid_Requirement'!X21</f>
        <v/>
      </c>
      <c r="AA195">
        <f>'Grid_Requirement'!Y21</f>
        <v/>
      </c>
      <c r="AB195">
        <f>'Grid_Requirement'!Z21</f>
        <v/>
      </c>
      <c r="AC195">
        <f>'Grid_Requirement'!AA21</f>
        <v/>
      </c>
      <c r="AD195">
        <f>'Grid_Requirement'!AB21</f>
        <v/>
      </c>
      <c r="AE195">
        <f>'Grid_Requirement'!AC21</f>
        <v/>
      </c>
      <c r="AF195">
        <f>'Grid_Requirement'!AD21</f>
        <v/>
      </c>
      <c r="AG195">
        <f>'Grid_Requirement'!AE21</f>
        <v/>
      </c>
      <c r="AH195">
        <f>'Grid_Requirement'!AF21</f>
        <v/>
      </c>
      <c r="AI195">
        <f>'Grid_Requirement'!AG21</f>
        <v/>
      </c>
      <c r="AJ195">
        <f>'Grid_Requirement'!AH21</f>
        <v/>
      </c>
      <c r="AK195">
        <f>'Grid_Requirement'!AI21</f>
        <v/>
      </c>
      <c r="AL195">
        <f>'Grid_Requirement'!AJ21</f>
        <v/>
      </c>
      <c r="AM195">
        <f>'Grid_Requirement'!AK21</f>
        <v/>
      </c>
      <c r="AN195">
        <f>'Grid_Requirement'!AL21</f>
        <v/>
      </c>
      <c r="AO195">
        <f>'Grid_Requirement'!AM21</f>
        <v/>
      </c>
      <c r="AP195">
        <f>'Grid_Requirement'!AN21</f>
        <v/>
      </c>
      <c r="AQ195">
        <f>'Grid_Requirement'!AO21</f>
        <v/>
      </c>
      <c r="AR195">
        <f>'Grid_Requirement'!AP21</f>
        <v/>
      </c>
      <c r="AS195">
        <f>'Grid_Requirement'!AQ21</f>
        <v/>
      </c>
      <c r="AT195">
        <f>'Grid_Requirement'!AR21</f>
        <v/>
      </c>
      <c r="AU195">
        <f>'Grid_Requirement'!AS21</f>
        <v/>
      </c>
      <c r="AV195">
        <f>'Grid_Requirement'!AT21</f>
        <v/>
      </c>
      <c r="AW195">
        <f>'Grid_Requirement'!AU21</f>
        <v/>
      </c>
      <c r="AX195">
        <f>'Grid_Requirement'!AV21</f>
        <v/>
      </c>
      <c r="AY195">
        <f>'Grid_Requirement'!AW21</f>
        <v/>
      </c>
      <c r="AZ195">
        <f>'Grid_Requirement'!AX21</f>
        <v/>
      </c>
      <c r="BA195">
        <f>'Grid_Requirement'!AY21</f>
        <v/>
      </c>
      <c r="BB195">
        <f>'Grid_Requirement'!AZ21</f>
        <v/>
      </c>
      <c r="BC195">
        <f>'Grid_Requirement'!BA21</f>
        <v/>
      </c>
      <c r="BD195">
        <f>'Grid_Requirement'!BB21</f>
        <v/>
      </c>
      <c r="BE195">
        <f>'Grid_Requirement'!BC21</f>
        <v/>
      </c>
      <c r="BF195">
        <f>'Grid_Requirement'!BD21</f>
        <v/>
      </c>
      <c r="BG195">
        <f>'Grid_Requirement'!BE21</f>
        <v/>
      </c>
      <c r="BH195">
        <f>'Grid_Requirement'!BF21</f>
        <v/>
      </c>
      <c r="BI195">
        <f>'Grid_Requirement'!BG21</f>
        <v/>
      </c>
      <c r="BJ195">
        <f>'Grid_Requirement'!BH21</f>
        <v/>
      </c>
      <c r="BK195">
        <f>'Grid_Requirement'!BI21</f>
        <v/>
      </c>
      <c r="BL195">
        <f>'Grid_Requirement'!BJ21</f>
        <v/>
      </c>
      <c r="BM195">
        <f>'Grid_Requirement'!BK21</f>
        <v/>
      </c>
      <c r="BN195">
        <f>'Grid_Requirement'!BL21</f>
        <v/>
      </c>
      <c r="BO195">
        <f>'Grid_Requirement'!BM21</f>
        <v/>
      </c>
      <c r="BP195">
        <f>'Grid_Requirement'!BN21</f>
        <v/>
      </c>
      <c r="BQ195">
        <f>'Grid_Requirement'!BO21</f>
        <v/>
      </c>
      <c r="BR195">
        <f>'Grid_Requirement'!BP21</f>
        <v/>
      </c>
      <c r="BS195">
        <f>'Grid_Requirement'!BQ21</f>
        <v/>
      </c>
      <c r="BT195">
        <f>'Grid_Requirement'!BR21</f>
        <v/>
      </c>
      <c r="BU195">
        <f>'Grid_Requirement'!BS21</f>
        <v/>
      </c>
      <c r="BV195">
        <f>'Grid_Requirement'!BT21</f>
        <v/>
      </c>
      <c r="BW195">
        <f>'Grid_Requirement'!BU21</f>
        <v/>
      </c>
      <c r="BX195">
        <f>'Grid_Requirement'!BV21</f>
        <v/>
      </c>
      <c r="BY195">
        <f>'Grid_Requirement'!BW21</f>
        <v/>
      </c>
      <c r="BZ195">
        <f>'Grid_Requirement'!BX21</f>
        <v/>
      </c>
      <c r="CA195">
        <f>'Grid_Requirement'!BY21</f>
        <v/>
      </c>
      <c r="CB195">
        <f>'Grid_Requirement'!BZ21</f>
        <v/>
      </c>
      <c r="CC195">
        <f>'Grid_Requirement'!CA21</f>
        <v/>
      </c>
      <c r="CD195">
        <f>'Grid_Requirement'!CB21</f>
        <v/>
      </c>
      <c r="CE195">
        <f>'Grid_Requirement'!CC21</f>
        <v/>
      </c>
      <c r="CF195">
        <f>'Grid_Requirement'!CD21</f>
        <v/>
      </c>
      <c r="CG195">
        <f>'Grid_Requirement'!CE21</f>
        <v/>
      </c>
      <c r="CH195">
        <f>'Grid_Requirement'!CF21</f>
        <v/>
      </c>
      <c r="CI195">
        <f>'Grid_Requirement'!CG21</f>
        <v/>
      </c>
      <c r="CJ195">
        <f>'Grid_Requirement'!CH21</f>
        <v/>
      </c>
      <c r="CK195">
        <f>'Grid_Requirement'!CI21</f>
        <v/>
      </c>
      <c r="CL195">
        <f>'Grid_Requirement'!CJ21</f>
        <v/>
      </c>
      <c r="CM195">
        <f>'Grid_Requirement'!CK21</f>
        <v/>
      </c>
      <c r="CN195">
        <f>'Grid_Requirement'!CL21</f>
        <v/>
      </c>
      <c r="CO195">
        <f>'Grid_Requirement'!CM21</f>
        <v/>
      </c>
      <c r="CP195">
        <f>'Grid_Requirement'!CN21</f>
        <v/>
      </c>
      <c r="CQ195">
        <f>'Grid_Requirement'!CO21</f>
        <v/>
      </c>
      <c r="CR195">
        <f>'Grid_Requirement'!CP21</f>
        <v/>
      </c>
      <c r="CS195">
        <f>'Grid_Requirement'!CQ21</f>
        <v/>
      </c>
      <c r="CT195">
        <f>'Grid_Requirement'!CR21</f>
        <v/>
      </c>
      <c r="CU195">
        <f>'Grid_Requirement'!CS21</f>
        <v/>
      </c>
      <c r="CV195">
        <f>'Grid_Requirement'!CT21</f>
        <v/>
      </c>
      <c r="CW195">
        <f>'Grid_Requirement'!CU21</f>
        <v/>
      </c>
      <c r="CX195">
        <f>'Grid_Requirement'!CV21</f>
        <v/>
      </c>
      <c r="CY195">
        <f>'Grid_Requirement'!CW21</f>
        <v/>
      </c>
      <c r="CZ195">
        <f>'Grid_Requirement'!CX21</f>
        <v/>
      </c>
      <c r="DA195">
        <f>'Grid_Requirement'!CY21</f>
        <v/>
      </c>
      <c r="DB195">
        <f>'Grid_Requirement'!CZ21</f>
        <v/>
      </c>
      <c r="DC195">
        <f>'Grid_Requirement'!DA21</f>
        <v/>
      </c>
    </row>
    <row r="196">
      <c r="B196" t="inlineStr">
        <is>
          <t>TTAF在庫(実績,kg)</t>
        </is>
      </c>
      <c r="D196">
        <f>'T_TTAFStock'!B25</f>
        <v/>
      </c>
      <c r="E196">
        <f>'T_TTAFStock'!C25</f>
        <v/>
      </c>
      <c r="F196">
        <f>'T_TTAFStock'!D25</f>
        <v/>
      </c>
      <c r="G196">
        <f>'T_TTAFStock'!E25</f>
        <v/>
      </c>
      <c r="H196">
        <f>'T_TTAFStock'!F25</f>
        <v/>
      </c>
      <c r="I196">
        <f>'T_TTAFStock'!G25</f>
        <v/>
      </c>
      <c r="J196">
        <f>'T_TTAFStock'!H25</f>
        <v/>
      </c>
      <c r="K196">
        <f>'T_TTAFStock'!I25</f>
        <v/>
      </c>
      <c r="L196">
        <f>'T_TTAFStock'!J25</f>
        <v/>
      </c>
      <c r="M196">
        <f>'T_TTAFStock'!K25</f>
        <v/>
      </c>
      <c r="N196">
        <f>'T_TTAFStock'!L25</f>
        <v/>
      </c>
      <c r="O196">
        <f>'T_TTAFStock'!M25</f>
        <v/>
      </c>
      <c r="P196">
        <f>'T_TTAFStock'!N25</f>
        <v/>
      </c>
      <c r="Q196">
        <f>'T_TTAFStock'!O25</f>
        <v/>
      </c>
      <c r="R196">
        <f>'T_TTAFStock'!P25</f>
        <v/>
      </c>
      <c r="S196">
        <f>'T_TTAFStock'!Q25</f>
        <v/>
      </c>
      <c r="T196">
        <f>'T_TTAFStock'!R25</f>
        <v/>
      </c>
      <c r="U196">
        <f>'T_TTAFStock'!S25</f>
        <v/>
      </c>
      <c r="V196">
        <f>'T_TTAFStock'!T25</f>
        <v/>
      </c>
      <c r="W196">
        <f>'T_TTAFStock'!U25</f>
        <v/>
      </c>
      <c r="X196">
        <f>'T_TTAFStock'!V25</f>
        <v/>
      </c>
      <c r="Y196">
        <f>'T_TTAFStock'!W25</f>
        <v/>
      </c>
      <c r="Z196">
        <f>'T_TTAFStock'!X25</f>
        <v/>
      </c>
      <c r="AA196">
        <f>'T_TTAFStock'!Y25</f>
        <v/>
      </c>
      <c r="AB196">
        <f>'T_TTAFStock'!Z25</f>
        <v/>
      </c>
      <c r="AC196">
        <f>'T_TTAFStock'!AA25</f>
        <v/>
      </c>
      <c r="AD196">
        <f>'T_TTAFStock'!AB25</f>
        <v/>
      </c>
      <c r="AE196">
        <f>'T_TTAFStock'!AC25</f>
        <v/>
      </c>
      <c r="AF196">
        <f>'T_TTAFStock'!AD25</f>
        <v/>
      </c>
      <c r="AG196">
        <f>'T_TTAFStock'!AE25</f>
        <v/>
      </c>
      <c r="AH196">
        <f>'T_TTAFStock'!AF25</f>
        <v/>
      </c>
      <c r="AI196">
        <f>'T_TTAFStock'!AG25</f>
        <v/>
      </c>
      <c r="AJ196">
        <f>'T_TTAFStock'!AH25</f>
        <v/>
      </c>
      <c r="AK196">
        <f>'T_TTAFStock'!AI25</f>
        <v/>
      </c>
      <c r="AL196">
        <f>'T_TTAFStock'!AJ25</f>
        <v/>
      </c>
      <c r="AM196">
        <f>'T_TTAFStock'!AK25</f>
        <v/>
      </c>
      <c r="AN196">
        <f>'T_TTAFStock'!AL25</f>
        <v/>
      </c>
      <c r="AO196">
        <f>'T_TTAFStock'!AM25</f>
        <v/>
      </c>
      <c r="AP196">
        <f>'T_TTAFStock'!AN25</f>
        <v/>
      </c>
      <c r="AQ196">
        <f>'T_TTAFStock'!AO25</f>
        <v/>
      </c>
      <c r="AR196">
        <f>'T_TTAFStock'!AP25</f>
        <v/>
      </c>
      <c r="AS196">
        <f>'T_TTAFStock'!AQ25</f>
        <v/>
      </c>
      <c r="AT196">
        <f>'T_TTAFStock'!AR25</f>
        <v/>
      </c>
      <c r="AU196">
        <f>'T_TTAFStock'!AS25</f>
        <v/>
      </c>
      <c r="AV196">
        <f>'T_TTAFStock'!AT25</f>
        <v/>
      </c>
      <c r="AW196">
        <f>'T_TTAFStock'!AU25</f>
        <v/>
      </c>
      <c r="AX196">
        <f>'T_TTAFStock'!AV25</f>
        <v/>
      </c>
      <c r="AY196">
        <f>'T_TTAFStock'!AW25</f>
        <v/>
      </c>
      <c r="AZ196">
        <f>'T_TTAFStock'!AX25</f>
        <v/>
      </c>
      <c r="BA196">
        <f>'T_TTAFStock'!AY25</f>
        <v/>
      </c>
      <c r="BB196">
        <f>'T_TTAFStock'!AZ25</f>
        <v/>
      </c>
      <c r="BC196">
        <f>'T_TTAFStock'!BA25</f>
        <v/>
      </c>
      <c r="BD196">
        <f>'T_TTAFStock'!BB25</f>
        <v/>
      </c>
      <c r="BE196">
        <f>'T_TTAFStock'!BC25</f>
        <v/>
      </c>
      <c r="BF196">
        <f>'T_TTAFStock'!BD25</f>
        <v/>
      </c>
      <c r="BG196">
        <f>'T_TTAFStock'!BE25</f>
        <v/>
      </c>
      <c r="BH196">
        <f>'T_TTAFStock'!BF25</f>
        <v/>
      </c>
      <c r="BI196">
        <f>'T_TTAFStock'!BG25</f>
        <v/>
      </c>
      <c r="BJ196">
        <f>'T_TTAFStock'!BH25</f>
        <v/>
      </c>
      <c r="BK196">
        <f>'T_TTAFStock'!BI25</f>
        <v/>
      </c>
      <c r="BL196">
        <f>'T_TTAFStock'!BJ25</f>
        <v/>
      </c>
      <c r="BM196">
        <f>'T_TTAFStock'!BK25</f>
        <v/>
      </c>
      <c r="BN196">
        <f>'T_TTAFStock'!BL25</f>
        <v/>
      </c>
      <c r="BO196">
        <f>'T_TTAFStock'!BM25</f>
        <v/>
      </c>
      <c r="BP196">
        <f>'T_TTAFStock'!BN25</f>
        <v/>
      </c>
      <c r="BQ196">
        <f>'T_TTAFStock'!BO25</f>
        <v/>
      </c>
      <c r="BR196">
        <f>'T_TTAFStock'!BP25</f>
        <v/>
      </c>
      <c r="BS196">
        <f>'T_TTAFStock'!BQ25</f>
        <v/>
      </c>
      <c r="BT196">
        <f>'T_TTAFStock'!BR25</f>
        <v/>
      </c>
      <c r="BU196">
        <f>'T_TTAFStock'!BS25</f>
        <v/>
      </c>
      <c r="BV196">
        <f>'T_TTAFStock'!BT25</f>
        <v/>
      </c>
      <c r="BW196">
        <f>'T_TTAFStock'!BU25</f>
        <v/>
      </c>
      <c r="BX196">
        <f>'T_TTAFStock'!BV25</f>
        <v/>
      </c>
      <c r="BY196">
        <f>'T_TTAFStock'!BW25</f>
        <v/>
      </c>
      <c r="BZ196">
        <f>'T_TTAFStock'!BX25</f>
        <v/>
      </c>
      <c r="CA196">
        <f>'T_TTAFStock'!BY25</f>
        <v/>
      </c>
      <c r="CB196">
        <f>'T_TTAFStock'!BZ25</f>
        <v/>
      </c>
      <c r="CC196">
        <f>'T_TTAFStock'!CA25</f>
        <v/>
      </c>
      <c r="CD196">
        <f>'T_TTAFStock'!CB25</f>
        <v/>
      </c>
      <c r="CE196">
        <f>'T_TTAFStock'!CC25</f>
        <v/>
      </c>
      <c r="CF196">
        <f>'T_TTAFStock'!CD25</f>
        <v/>
      </c>
      <c r="CG196">
        <f>'T_TTAFStock'!CE25</f>
        <v/>
      </c>
      <c r="CH196">
        <f>'T_TTAFStock'!CF25</f>
        <v/>
      </c>
      <c r="CI196">
        <f>'T_TTAFStock'!CG25</f>
        <v/>
      </c>
      <c r="CJ196">
        <f>'T_TTAFStock'!CH25</f>
        <v/>
      </c>
      <c r="CK196">
        <f>'T_TTAFStock'!CI25</f>
        <v/>
      </c>
      <c r="CL196">
        <f>'T_TTAFStock'!CJ25</f>
        <v/>
      </c>
      <c r="CM196">
        <f>'T_TTAFStock'!CK25</f>
        <v/>
      </c>
      <c r="CN196">
        <f>'T_TTAFStock'!CL25</f>
        <v/>
      </c>
      <c r="CO196">
        <f>'T_TTAFStock'!CM25</f>
        <v/>
      </c>
      <c r="CP196">
        <f>'T_TTAFStock'!CN25</f>
        <v/>
      </c>
      <c r="CQ196">
        <f>'T_TTAFStock'!CO25</f>
        <v/>
      </c>
      <c r="CR196">
        <f>'T_TTAFStock'!CP25</f>
        <v/>
      </c>
      <c r="CS196">
        <f>'T_TTAFStock'!CQ25</f>
        <v/>
      </c>
      <c r="CT196">
        <f>'T_TTAFStock'!CR25</f>
        <v/>
      </c>
      <c r="CU196">
        <f>'T_TTAFStock'!CS25</f>
        <v/>
      </c>
      <c r="CV196">
        <f>'T_TTAFStock'!CT25</f>
        <v/>
      </c>
      <c r="CW196">
        <f>'T_TTAFStock'!CU25</f>
        <v/>
      </c>
      <c r="CX196">
        <f>'T_TTAFStock'!CV25</f>
        <v/>
      </c>
      <c r="CY196">
        <f>'T_TTAFStock'!CW25</f>
        <v/>
      </c>
      <c r="CZ196">
        <f>'T_TTAFStock'!CX25</f>
        <v/>
      </c>
      <c r="DA196">
        <f>'T_TTAFStock'!CY25</f>
        <v/>
      </c>
      <c r="DB196">
        <f>'T_TTAFStock'!CZ25</f>
        <v/>
      </c>
      <c r="DC196">
        <f>'T_TTAFStock'!DA25</f>
        <v/>
      </c>
    </row>
    <row r="197">
      <c r="B197" t="inlineStr">
        <is>
          <t>自社在庫(実績,kg)</t>
        </is>
      </c>
      <c r="D197">
        <f>'T_SelfStock'!B25</f>
        <v/>
      </c>
      <c r="E197">
        <f>'T_SelfStock'!C25</f>
        <v/>
      </c>
      <c r="F197">
        <f>'T_SelfStock'!D25</f>
        <v/>
      </c>
      <c r="G197">
        <f>'T_SelfStock'!E25</f>
        <v/>
      </c>
      <c r="H197">
        <f>'T_SelfStock'!F25</f>
        <v/>
      </c>
      <c r="I197">
        <f>'T_SelfStock'!G25</f>
        <v/>
      </c>
      <c r="J197">
        <f>'T_SelfStock'!H25</f>
        <v/>
      </c>
      <c r="K197">
        <f>'T_SelfStock'!I25</f>
        <v/>
      </c>
      <c r="L197">
        <f>'T_SelfStock'!J25</f>
        <v/>
      </c>
      <c r="M197">
        <f>'T_SelfStock'!K25</f>
        <v/>
      </c>
      <c r="N197">
        <f>'T_SelfStock'!L25</f>
        <v/>
      </c>
      <c r="O197">
        <f>'T_SelfStock'!M25</f>
        <v/>
      </c>
      <c r="P197">
        <f>'T_SelfStock'!N25</f>
        <v/>
      </c>
      <c r="Q197">
        <f>'T_SelfStock'!O25</f>
        <v/>
      </c>
      <c r="R197">
        <f>'T_SelfStock'!P25</f>
        <v/>
      </c>
      <c r="S197">
        <f>'T_SelfStock'!Q25</f>
        <v/>
      </c>
      <c r="T197">
        <f>'T_SelfStock'!R25</f>
        <v/>
      </c>
      <c r="U197">
        <f>'T_SelfStock'!S25</f>
        <v/>
      </c>
      <c r="V197">
        <f>'T_SelfStock'!T25</f>
        <v/>
      </c>
      <c r="W197">
        <f>'T_SelfStock'!U25</f>
        <v/>
      </c>
      <c r="X197">
        <f>'T_SelfStock'!V25</f>
        <v/>
      </c>
      <c r="Y197">
        <f>'T_SelfStock'!W25</f>
        <v/>
      </c>
      <c r="Z197">
        <f>'T_SelfStock'!X25</f>
        <v/>
      </c>
      <c r="AA197">
        <f>'T_SelfStock'!Y25</f>
        <v/>
      </c>
      <c r="AB197">
        <f>'T_SelfStock'!Z25</f>
        <v/>
      </c>
      <c r="AC197">
        <f>'T_SelfStock'!AA25</f>
        <v/>
      </c>
      <c r="AD197">
        <f>'T_SelfStock'!AB25</f>
        <v/>
      </c>
      <c r="AE197">
        <f>'T_SelfStock'!AC25</f>
        <v/>
      </c>
      <c r="AF197">
        <f>'T_SelfStock'!AD25</f>
        <v/>
      </c>
      <c r="AG197">
        <f>'T_SelfStock'!AE25</f>
        <v/>
      </c>
      <c r="AH197">
        <f>'T_SelfStock'!AF25</f>
        <v/>
      </c>
      <c r="AI197">
        <f>'T_SelfStock'!AG25</f>
        <v/>
      </c>
      <c r="AJ197">
        <f>'T_SelfStock'!AH25</f>
        <v/>
      </c>
      <c r="AK197">
        <f>'T_SelfStock'!AI25</f>
        <v/>
      </c>
      <c r="AL197">
        <f>'T_SelfStock'!AJ25</f>
        <v/>
      </c>
      <c r="AM197">
        <f>'T_SelfStock'!AK25</f>
        <v/>
      </c>
      <c r="AN197">
        <f>'T_SelfStock'!AL25</f>
        <v/>
      </c>
      <c r="AO197">
        <f>'T_SelfStock'!AM25</f>
        <v/>
      </c>
      <c r="AP197">
        <f>'T_SelfStock'!AN25</f>
        <v/>
      </c>
      <c r="AQ197">
        <f>'T_SelfStock'!AO25</f>
        <v/>
      </c>
      <c r="AR197">
        <f>'T_SelfStock'!AP25</f>
        <v/>
      </c>
      <c r="AS197">
        <f>'T_SelfStock'!AQ25</f>
        <v/>
      </c>
      <c r="AT197">
        <f>'T_SelfStock'!AR25</f>
        <v/>
      </c>
      <c r="AU197">
        <f>'T_SelfStock'!AS25</f>
        <v/>
      </c>
      <c r="AV197">
        <f>'T_SelfStock'!AT25</f>
        <v/>
      </c>
      <c r="AW197">
        <f>'T_SelfStock'!AU25</f>
        <v/>
      </c>
      <c r="AX197">
        <f>'T_SelfStock'!AV25</f>
        <v/>
      </c>
      <c r="AY197">
        <f>'T_SelfStock'!AW25</f>
        <v/>
      </c>
      <c r="AZ197">
        <f>'T_SelfStock'!AX25</f>
        <v/>
      </c>
      <c r="BA197">
        <f>'T_SelfStock'!AY25</f>
        <v/>
      </c>
      <c r="BB197">
        <f>'T_SelfStock'!AZ25</f>
        <v/>
      </c>
      <c r="BC197">
        <f>'T_SelfStock'!BA25</f>
        <v/>
      </c>
      <c r="BD197">
        <f>'T_SelfStock'!BB25</f>
        <v/>
      </c>
      <c r="BE197">
        <f>'T_SelfStock'!BC25</f>
        <v/>
      </c>
      <c r="BF197">
        <f>'T_SelfStock'!BD25</f>
        <v/>
      </c>
      <c r="BG197">
        <f>'T_SelfStock'!BE25</f>
        <v/>
      </c>
      <c r="BH197">
        <f>'T_SelfStock'!BF25</f>
        <v/>
      </c>
      <c r="BI197">
        <f>'T_SelfStock'!BG25</f>
        <v/>
      </c>
      <c r="BJ197">
        <f>'T_SelfStock'!BH25</f>
        <v/>
      </c>
      <c r="BK197">
        <f>'T_SelfStock'!BI25</f>
        <v/>
      </c>
      <c r="BL197">
        <f>'T_SelfStock'!BJ25</f>
        <v/>
      </c>
      <c r="BM197">
        <f>'T_SelfStock'!BK25</f>
        <v/>
      </c>
      <c r="BN197">
        <f>'T_SelfStock'!BL25</f>
        <v/>
      </c>
      <c r="BO197">
        <f>'T_SelfStock'!BM25</f>
        <v/>
      </c>
      <c r="BP197">
        <f>'T_SelfStock'!BN25</f>
        <v/>
      </c>
      <c r="BQ197">
        <f>'T_SelfStock'!BO25</f>
        <v/>
      </c>
      <c r="BR197">
        <f>'T_SelfStock'!BP25</f>
        <v/>
      </c>
      <c r="BS197">
        <f>'T_SelfStock'!BQ25</f>
        <v/>
      </c>
      <c r="BT197">
        <f>'T_SelfStock'!BR25</f>
        <v/>
      </c>
      <c r="BU197">
        <f>'T_SelfStock'!BS25</f>
        <v/>
      </c>
      <c r="BV197">
        <f>'T_SelfStock'!BT25</f>
        <v/>
      </c>
      <c r="BW197">
        <f>'T_SelfStock'!BU25</f>
        <v/>
      </c>
      <c r="BX197">
        <f>'T_SelfStock'!BV25</f>
        <v/>
      </c>
      <c r="BY197">
        <f>'T_SelfStock'!BW25</f>
        <v/>
      </c>
      <c r="BZ197">
        <f>'T_SelfStock'!BX25</f>
        <v/>
      </c>
      <c r="CA197">
        <f>'T_SelfStock'!BY25</f>
        <v/>
      </c>
      <c r="CB197">
        <f>'T_SelfStock'!BZ25</f>
        <v/>
      </c>
      <c r="CC197">
        <f>'T_SelfStock'!CA25</f>
        <v/>
      </c>
      <c r="CD197">
        <f>'T_SelfStock'!CB25</f>
        <v/>
      </c>
      <c r="CE197">
        <f>'T_SelfStock'!CC25</f>
        <v/>
      </c>
      <c r="CF197">
        <f>'T_SelfStock'!CD25</f>
        <v/>
      </c>
      <c r="CG197">
        <f>'T_SelfStock'!CE25</f>
        <v/>
      </c>
      <c r="CH197">
        <f>'T_SelfStock'!CF25</f>
        <v/>
      </c>
      <c r="CI197">
        <f>'T_SelfStock'!CG25</f>
        <v/>
      </c>
      <c r="CJ197">
        <f>'T_SelfStock'!CH25</f>
        <v/>
      </c>
      <c r="CK197">
        <f>'T_SelfStock'!CI25</f>
        <v/>
      </c>
      <c r="CL197">
        <f>'T_SelfStock'!CJ25</f>
        <v/>
      </c>
      <c r="CM197">
        <f>'T_SelfStock'!CK25</f>
        <v/>
      </c>
      <c r="CN197">
        <f>'T_SelfStock'!CL25</f>
        <v/>
      </c>
      <c r="CO197">
        <f>'T_SelfStock'!CM25</f>
        <v/>
      </c>
      <c r="CP197">
        <f>'T_SelfStock'!CN25</f>
        <v/>
      </c>
      <c r="CQ197">
        <f>'T_SelfStock'!CO25</f>
        <v/>
      </c>
      <c r="CR197">
        <f>'T_SelfStock'!CP25</f>
        <v/>
      </c>
      <c r="CS197">
        <f>'T_SelfStock'!CQ25</f>
        <v/>
      </c>
      <c r="CT197">
        <f>'T_SelfStock'!CR25</f>
        <v/>
      </c>
      <c r="CU197">
        <f>'T_SelfStock'!CS25</f>
        <v/>
      </c>
      <c r="CV197">
        <f>'T_SelfStock'!CT25</f>
        <v/>
      </c>
      <c r="CW197">
        <f>'T_SelfStock'!CU25</f>
        <v/>
      </c>
      <c r="CX197">
        <f>'T_SelfStock'!CV25</f>
        <v/>
      </c>
      <c r="CY197">
        <f>'T_SelfStock'!CW25</f>
        <v/>
      </c>
      <c r="CZ197">
        <f>'T_SelfStock'!CX25</f>
        <v/>
      </c>
      <c r="DA197">
        <f>'T_SelfStock'!CY25</f>
        <v/>
      </c>
      <c r="DB197">
        <f>'T_SelfStock'!CZ25</f>
        <v/>
      </c>
      <c r="DC197">
        <f>'T_SelfStock'!DA25</f>
        <v/>
      </c>
    </row>
    <row r="198">
      <c r="B198" t="inlineStr">
        <is>
          <t>Order(発注予定,kg)</t>
        </is>
      </c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  <c r="AB198" s="23" t="n"/>
      <c r="AC198" s="23" t="n"/>
      <c r="AD198" s="23" t="n"/>
      <c r="AE198" s="23" t="n"/>
      <c r="AF198" s="23" t="n"/>
      <c r="AG198" s="23" t="n"/>
      <c r="AH198" s="23" t="n"/>
      <c r="AI198" s="23" t="n"/>
      <c r="AJ198" s="23" t="n"/>
      <c r="AK198" s="23" t="n"/>
      <c r="AL198" s="23" t="n"/>
      <c r="AM198" s="23" t="n"/>
      <c r="AN198" s="23" t="n"/>
      <c r="AO198" s="23" t="n"/>
      <c r="AP198" s="23" t="n"/>
      <c r="AQ198" s="23" t="n"/>
      <c r="AR198" s="23" t="n"/>
      <c r="AS198" s="23" t="n"/>
      <c r="AT198" s="23" t="n"/>
      <c r="AU198" s="23" t="n"/>
      <c r="AV198" s="23" t="n"/>
      <c r="AW198" s="23" t="n"/>
      <c r="AX198" s="23" t="n"/>
      <c r="AY198" s="23" t="n"/>
      <c r="AZ198" s="23" t="n"/>
      <c r="BA198" s="23" t="n"/>
      <c r="BB198" s="23" t="n"/>
      <c r="BC198" s="23" t="n"/>
      <c r="BD198" s="23" t="n"/>
      <c r="BE198" s="23" t="n"/>
      <c r="BF198" s="23" t="n"/>
      <c r="BG198" s="23" t="n"/>
      <c r="BH198" s="23" t="n"/>
      <c r="BI198" s="23" t="n"/>
      <c r="BJ198" s="23" t="n"/>
      <c r="BK198" s="23" t="n"/>
      <c r="BL198" s="23" t="n"/>
      <c r="BM198" s="23" t="n"/>
      <c r="BN198" s="23" t="n"/>
      <c r="BO198" s="23" t="n"/>
      <c r="BP198" s="23" t="n"/>
      <c r="BQ198" s="23" t="n"/>
      <c r="BR198" s="23" t="n"/>
      <c r="BS198" s="23" t="n"/>
      <c r="BT198" s="23" t="n"/>
      <c r="BU198" s="23" t="n"/>
      <c r="BV198" s="23" t="n"/>
      <c r="BW198" s="23" t="n"/>
      <c r="BX198" s="23" t="n"/>
      <c r="BY198" s="23" t="n"/>
      <c r="BZ198" s="23" t="n"/>
      <c r="CA198" s="23" t="n"/>
      <c r="CB198" s="23" t="n"/>
      <c r="CC198" s="23" t="n"/>
      <c r="CD198" s="23" t="n"/>
      <c r="CE198" s="23" t="n"/>
      <c r="CF198" s="23" t="n"/>
      <c r="CG198" s="23" t="n"/>
      <c r="CH198" s="23" t="n"/>
      <c r="CI198" s="23" t="n"/>
      <c r="CJ198" s="23" t="n"/>
      <c r="CK198" s="23" t="n"/>
      <c r="CL198" s="23" t="n"/>
      <c r="CM198" s="23" t="n"/>
      <c r="CN198" s="23" t="n"/>
      <c r="CO198" s="23" t="n"/>
      <c r="CP198" s="23" t="n"/>
      <c r="CQ198" s="23" t="n"/>
      <c r="CR198" s="23" t="n"/>
      <c r="CS198" s="23" t="n"/>
      <c r="CT198" s="23" t="n"/>
      <c r="CU198" s="23" t="n"/>
      <c r="CV198" s="23" t="n"/>
      <c r="CW198" s="23" t="n"/>
      <c r="CX198" s="23" t="n"/>
      <c r="CY198" s="23" t="n"/>
      <c r="CZ198" s="23" t="n"/>
      <c r="DA198" s="23" t="n"/>
      <c r="DB198" s="23" t="n"/>
      <c r="DC198" s="23" t="n"/>
      <c r="DE198" s="12" t="inlineStr">
        <is>
          <t>1JN</t>
        </is>
      </c>
    </row>
    <row r="199">
      <c r="B199" s="24" t="inlineStr">
        <is>
          <t>PO_No</t>
        </is>
      </c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  <c r="AD199" s="25" t="n"/>
      <c r="AE199" s="25" t="n"/>
      <c r="AF199" s="25" t="n"/>
      <c r="AG199" s="25" t="n"/>
      <c r="AH199" s="25" t="n"/>
      <c r="AI199" s="25" t="n"/>
      <c r="AJ199" s="25" t="n"/>
      <c r="AK199" s="25" t="n"/>
      <c r="AL199" s="25" t="n"/>
      <c r="AM199" s="25" t="n"/>
      <c r="AN199" s="25" t="n"/>
      <c r="AO199" s="25" t="n"/>
      <c r="AP199" s="25" t="n"/>
      <c r="AQ199" s="25" t="n"/>
      <c r="AR199" s="25" t="n"/>
      <c r="AS199" s="25" t="n"/>
      <c r="AT199" s="25" t="n"/>
      <c r="AU199" s="25" t="n"/>
      <c r="AV199" s="25" t="n"/>
      <c r="AW199" s="25" t="n"/>
      <c r="AX199" s="25" t="n"/>
      <c r="AY199" s="25" t="n"/>
      <c r="AZ199" s="25" t="n"/>
      <c r="BA199" s="25" t="n"/>
      <c r="BB199" s="25" t="n"/>
      <c r="BC199" s="25" t="n"/>
      <c r="BD199" s="25" t="n"/>
      <c r="BE199" s="25" t="n"/>
      <c r="BF199" s="25" t="n"/>
      <c r="BG199" s="25" t="n"/>
      <c r="BH199" s="25" t="n"/>
      <c r="BI199" s="25" t="n"/>
      <c r="BJ199" s="25" t="n"/>
      <c r="BK199" s="25" t="n"/>
      <c r="BL199" s="25" t="n"/>
      <c r="BM199" s="25" t="n"/>
      <c r="BN199" s="25" t="n"/>
      <c r="BO199" s="25" t="n"/>
      <c r="BP199" s="25" t="n"/>
      <c r="BQ199" s="25" t="n"/>
      <c r="BR199" s="25" t="n"/>
      <c r="BS199" s="25" t="n"/>
      <c r="BT199" s="25" t="n"/>
      <c r="BU199" s="25" t="n"/>
      <c r="BV199" s="25" t="n"/>
      <c r="BW199" s="25" t="n"/>
      <c r="BX199" s="25" t="n"/>
      <c r="BY199" s="25" t="n"/>
      <c r="BZ199" s="25" t="n"/>
      <c r="CA199" s="25" t="n"/>
      <c r="CB199" s="25" t="n"/>
      <c r="CC199" s="25" t="n"/>
      <c r="CD199" s="25" t="n"/>
      <c r="CE199" s="25" t="n"/>
      <c r="CF199" s="25" t="n"/>
      <c r="CG199" s="25" t="n"/>
      <c r="CH199" s="25" t="n"/>
      <c r="CI199" s="25" t="n"/>
      <c r="CJ199" s="25" t="n"/>
      <c r="CK199" s="25" t="n"/>
      <c r="CL199" s="25" t="n"/>
      <c r="CM199" s="25" t="n"/>
      <c r="CN199" s="25" t="n"/>
      <c r="CO199" s="25" t="n"/>
      <c r="CP199" s="25" t="n"/>
      <c r="CQ199" s="25" t="n"/>
      <c r="CR199" s="25" t="n"/>
      <c r="CS199" s="25" t="n"/>
      <c r="CT199" s="25" t="n"/>
      <c r="CU199" s="25" t="n"/>
      <c r="CV199" s="25" t="n"/>
      <c r="CW199" s="25" t="n"/>
      <c r="CX199" s="25" t="n"/>
      <c r="CY199" s="25" t="n"/>
      <c r="CZ199" s="25" t="n"/>
      <c r="DA199" s="25" t="n"/>
      <c r="DB199" s="25" t="n"/>
      <c r="DC199" s="25" t="n"/>
    </row>
    <row r="200">
      <c r="B200" s="5" t="inlineStr">
        <is>
          <t>合計在庫(週末時点,kg)</t>
        </is>
      </c>
      <c r="D200">
        <f>'Grid_Stock'!B21</f>
        <v/>
      </c>
      <c r="E200">
        <f>'Grid_Stock'!C21</f>
        <v/>
      </c>
      <c r="F200">
        <f>'Grid_Stock'!D21</f>
        <v/>
      </c>
      <c r="G200">
        <f>'Grid_Stock'!E21</f>
        <v/>
      </c>
      <c r="H200">
        <f>'Grid_Stock'!F21</f>
        <v/>
      </c>
      <c r="I200">
        <f>'Grid_Stock'!G21</f>
        <v/>
      </c>
      <c r="J200">
        <f>'Grid_Stock'!H21</f>
        <v/>
      </c>
      <c r="K200">
        <f>'Grid_Stock'!I21</f>
        <v/>
      </c>
      <c r="L200">
        <f>'Grid_Stock'!J21</f>
        <v/>
      </c>
      <c r="M200">
        <f>'Grid_Stock'!K21</f>
        <v/>
      </c>
      <c r="N200">
        <f>'Grid_Stock'!L21</f>
        <v/>
      </c>
      <c r="O200">
        <f>'Grid_Stock'!M21</f>
        <v/>
      </c>
      <c r="P200">
        <f>'Grid_Stock'!N21</f>
        <v/>
      </c>
      <c r="Q200">
        <f>'Grid_Stock'!O21</f>
        <v/>
      </c>
      <c r="R200">
        <f>'Grid_Stock'!P21</f>
        <v/>
      </c>
      <c r="S200">
        <f>'Grid_Stock'!Q21</f>
        <v/>
      </c>
      <c r="T200">
        <f>'Grid_Stock'!R21</f>
        <v/>
      </c>
      <c r="U200">
        <f>'Grid_Stock'!S21</f>
        <v/>
      </c>
      <c r="V200">
        <f>'Grid_Stock'!T21</f>
        <v/>
      </c>
      <c r="W200">
        <f>'Grid_Stock'!U21</f>
        <v/>
      </c>
      <c r="X200">
        <f>'Grid_Stock'!V21</f>
        <v/>
      </c>
      <c r="Y200">
        <f>'Grid_Stock'!W21</f>
        <v/>
      </c>
      <c r="Z200">
        <f>'Grid_Stock'!X21</f>
        <v/>
      </c>
      <c r="AA200">
        <f>'Grid_Stock'!Y21</f>
        <v/>
      </c>
      <c r="AB200">
        <f>'Grid_Stock'!Z21</f>
        <v/>
      </c>
      <c r="AC200">
        <f>'Grid_Stock'!AA21</f>
        <v/>
      </c>
      <c r="AD200">
        <f>'Grid_Stock'!AB21</f>
        <v/>
      </c>
      <c r="AE200">
        <f>'Grid_Stock'!AC21</f>
        <v/>
      </c>
      <c r="AF200">
        <f>'Grid_Stock'!AD21</f>
        <v/>
      </c>
      <c r="AG200">
        <f>'Grid_Stock'!AE21</f>
        <v/>
      </c>
      <c r="AH200">
        <f>'Grid_Stock'!AF21</f>
        <v/>
      </c>
      <c r="AI200">
        <f>'Grid_Stock'!AG21</f>
        <v/>
      </c>
      <c r="AJ200">
        <f>'Grid_Stock'!AH21</f>
        <v/>
      </c>
      <c r="AK200">
        <f>'Grid_Stock'!AI21</f>
        <v/>
      </c>
      <c r="AL200">
        <f>'Grid_Stock'!AJ21</f>
        <v/>
      </c>
      <c r="AM200">
        <f>'Grid_Stock'!AK21</f>
        <v/>
      </c>
      <c r="AN200">
        <f>'Grid_Stock'!AL21</f>
        <v/>
      </c>
      <c r="AO200">
        <f>'Grid_Stock'!AM21</f>
        <v/>
      </c>
      <c r="AP200">
        <f>'Grid_Stock'!AN21</f>
        <v/>
      </c>
      <c r="AQ200">
        <f>'Grid_Stock'!AO21</f>
        <v/>
      </c>
      <c r="AR200">
        <f>'Grid_Stock'!AP21</f>
        <v/>
      </c>
      <c r="AS200">
        <f>'Grid_Stock'!AQ21</f>
        <v/>
      </c>
      <c r="AT200">
        <f>'Grid_Stock'!AR21</f>
        <v/>
      </c>
      <c r="AU200">
        <f>'Grid_Stock'!AS21</f>
        <v/>
      </c>
      <c r="AV200">
        <f>'Grid_Stock'!AT21</f>
        <v/>
      </c>
      <c r="AW200">
        <f>'Grid_Stock'!AU21</f>
        <v/>
      </c>
      <c r="AX200">
        <f>'Grid_Stock'!AV21</f>
        <v/>
      </c>
      <c r="AY200">
        <f>'Grid_Stock'!AW21</f>
        <v/>
      </c>
      <c r="AZ200">
        <f>'Grid_Stock'!AX21</f>
        <v/>
      </c>
      <c r="BA200">
        <f>'Grid_Stock'!AY21</f>
        <v/>
      </c>
      <c r="BB200">
        <f>'Grid_Stock'!AZ21</f>
        <v/>
      </c>
      <c r="BC200">
        <f>'Grid_Stock'!BA21</f>
        <v/>
      </c>
      <c r="BD200">
        <f>'Grid_Stock'!BB21</f>
        <v/>
      </c>
      <c r="BE200">
        <f>'Grid_Stock'!BC21</f>
        <v/>
      </c>
      <c r="BF200">
        <f>'Grid_Stock'!BD21</f>
        <v/>
      </c>
      <c r="BG200">
        <f>'Grid_Stock'!BE21</f>
        <v/>
      </c>
      <c r="BH200">
        <f>'Grid_Stock'!BF21</f>
        <v/>
      </c>
      <c r="BI200">
        <f>'Grid_Stock'!BG21</f>
        <v/>
      </c>
      <c r="BJ200">
        <f>'Grid_Stock'!BH21</f>
        <v/>
      </c>
      <c r="BK200">
        <f>'Grid_Stock'!BI21</f>
        <v/>
      </c>
      <c r="BL200">
        <f>'Grid_Stock'!BJ21</f>
        <v/>
      </c>
      <c r="BM200">
        <f>'Grid_Stock'!BK21</f>
        <v/>
      </c>
      <c r="BN200">
        <f>'Grid_Stock'!BL21</f>
        <v/>
      </c>
      <c r="BO200">
        <f>'Grid_Stock'!BM21</f>
        <v/>
      </c>
      <c r="BP200">
        <f>'Grid_Stock'!BN21</f>
        <v/>
      </c>
      <c r="BQ200">
        <f>'Grid_Stock'!BO21</f>
        <v/>
      </c>
      <c r="BR200">
        <f>'Grid_Stock'!BP21</f>
        <v/>
      </c>
      <c r="BS200">
        <f>'Grid_Stock'!BQ21</f>
        <v/>
      </c>
      <c r="BT200">
        <f>'Grid_Stock'!BR21</f>
        <v/>
      </c>
      <c r="BU200">
        <f>'Grid_Stock'!BS21</f>
        <v/>
      </c>
      <c r="BV200">
        <f>'Grid_Stock'!BT21</f>
        <v/>
      </c>
      <c r="BW200">
        <f>'Grid_Stock'!BU21</f>
        <v/>
      </c>
      <c r="BX200">
        <f>'Grid_Stock'!BV21</f>
        <v/>
      </c>
      <c r="BY200">
        <f>'Grid_Stock'!BW21</f>
        <v/>
      </c>
      <c r="BZ200">
        <f>'Grid_Stock'!BX21</f>
        <v/>
      </c>
      <c r="CA200">
        <f>'Grid_Stock'!BY21</f>
        <v/>
      </c>
      <c r="CB200">
        <f>'Grid_Stock'!BZ21</f>
        <v/>
      </c>
      <c r="CC200">
        <f>'Grid_Stock'!CA21</f>
        <v/>
      </c>
      <c r="CD200">
        <f>'Grid_Stock'!CB21</f>
        <v/>
      </c>
      <c r="CE200">
        <f>'Grid_Stock'!CC21</f>
        <v/>
      </c>
      <c r="CF200">
        <f>'Grid_Stock'!CD21</f>
        <v/>
      </c>
      <c r="CG200">
        <f>'Grid_Stock'!CE21</f>
        <v/>
      </c>
      <c r="CH200">
        <f>'Grid_Stock'!CF21</f>
        <v/>
      </c>
      <c r="CI200">
        <f>'Grid_Stock'!CG21</f>
        <v/>
      </c>
      <c r="CJ200">
        <f>'Grid_Stock'!CH21</f>
        <v/>
      </c>
      <c r="CK200">
        <f>'Grid_Stock'!CI21</f>
        <v/>
      </c>
      <c r="CL200">
        <f>'Grid_Stock'!CJ21</f>
        <v/>
      </c>
      <c r="CM200">
        <f>'Grid_Stock'!CK21</f>
        <v/>
      </c>
      <c r="CN200">
        <f>'Grid_Stock'!CL21</f>
        <v/>
      </c>
      <c r="CO200">
        <f>'Grid_Stock'!CM21</f>
        <v/>
      </c>
      <c r="CP200">
        <f>'Grid_Stock'!CN21</f>
        <v/>
      </c>
      <c r="CQ200">
        <f>'Grid_Stock'!CO21</f>
        <v/>
      </c>
      <c r="CR200">
        <f>'Grid_Stock'!CP21</f>
        <v/>
      </c>
      <c r="CS200">
        <f>'Grid_Stock'!CQ21</f>
        <v/>
      </c>
      <c r="CT200">
        <f>'Grid_Stock'!CR21</f>
        <v/>
      </c>
      <c r="CU200">
        <f>'Grid_Stock'!CS21</f>
        <v/>
      </c>
      <c r="CV200">
        <f>'Grid_Stock'!CT21</f>
        <v/>
      </c>
      <c r="CW200">
        <f>'Grid_Stock'!CU21</f>
        <v/>
      </c>
      <c r="CX200">
        <f>'Grid_Stock'!CV21</f>
        <v/>
      </c>
      <c r="CY200">
        <f>'Grid_Stock'!CW21</f>
        <v/>
      </c>
      <c r="CZ200">
        <f>'Grid_Stock'!CX21</f>
        <v/>
      </c>
      <c r="DA200">
        <f>'Grid_Stock'!CY21</f>
        <v/>
      </c>
      <c r="DB200">
        <f>'Grid_Stock'!CZ21</f>
        <v/>
      </c>
      <c r="DC200">
        <f>'Grid_Stock'!DA21</f>
        <v/>
      </c>
    </row>
    <row r="201">
      <c r="B201" s="26" t="inlineStr">
        <is>
          <t>（発注の目安はDashboardの基準在庫[下限/上限]と色分けを参照）</t>
        </is>
      </c>
    </row>
    <row r="203">
      <c r="A203" s="21" t="inlineStr">
        <is>
          <t>CHEM-1670</t>
        </is>
      </c>
      <c r="B203" s="21" t="inlineStr">
        <is>
          <t>Alesper 1065</t>
        </is>
      </c>
      <c r="C203" s="22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  <c r="AO203" s="21" t="n"/>
      <c r="AP203" s="21" t="n"/>
      <c r="AQ203" s="21" t="n"/>
      <c r="AR203" s="21" t="n"/>
      <c r="AS203" s="21" t="n"/>
      <c r="AT203" s="21" t="n"/>
      <c r="AU203" s="21" t="n"/>
      <c r="AV203" s="21" t="n"/>
      <c r="AW203" s="21" t="n"/>
      <c r="AX203" s="21" t="n"/>
      <c r="AY203" s="21" t="n"/>
      <c r="AZ203" s="21" t="n"/>
      <c r="BA203" s="21" t="n"/>
      <c r="BB203" s="21" t="n"/>
      <c r="BC203" s="21" t="n"/>
      <c r="BD203" s="21" t="n"/>
      <c r="BE203" s="21" t="n"/>
      <c r="BF203" s="21" t="n"/>
      <c r="BG203" s="21" t="n"/>
      <c r="BH203" s="21" t="n"/>
      <c r="BI203" s="21" t="n"/>
      <c r="BJ203" s="21" t="n"/>
      <c r="BK203" s="21" t="n"/>
      <c r="BL203" s="21" t="n"/>
      <c r="BM203" s="21" t="n"/>
      <c r="BN203" s="21" t="n"/>
      <c r="BO203" s="21" t="n"/>
      <c r="BP203" s="21" t="n"/>
      <c r="BQ203" s="21" t="n"/>
      <c r="BR203" s="21" t="n"/>
      <c r="BS203" s="21" t="n"/>
      <c r="BT203" s="21" t="n"/>
      <c r="BU203" s="21" t="n"/>
      <c r="BV203" s="21" t="n"/>
      <c r="BW203" s="21" t="n"/>
      <c r="BX203" s="21" t="n"/>
      <c r="BY203" s="21" t="n"/>
      <c r="BZ203" s="21" t="n"/>
      <c r="CA203" s="21" t="n"/>
      <c r="CB203" s="21" t="n"/>
      <c r="CC203" s="21" t="n"/>
      <c r="CD203" s="21" t="n"/>
      <c r="CE203" s="21" t="n"/>
      <c r="CF203" s="21" t="n"/>
      <c r="CG203" s="21" t="n"/>
      <c r="CH203" s="21" t="n"/>
      <c r="CI203" s="21" t="n"/>
      <c r="CJ203" s="21" t="n"/>
      <c r="CK203" s="21" t="n"/>
      <c r="CL203" s="21" t="n"/>
      <c r="CM203" s="21" t="n"/>
      <c r="CN203" s="21" t="n"/>
      <c r="CO203" s="21" t="n"/>
      <c r="CP203" s="21" t="n"/>
      <c r="CQ203" s="21" t="n"/>
      <c r="CR203" s="21" t="n"/>
      <c r="CS203" s="21" t="n"/>
      <c r="CT203" s="21" t="n"/>
      <c r="CU203" s="21" t="n"/>
      <c r="CV203" s="21" t="n"/>
      <c r="CW203" s="21" t="n"/>
      <c r="CX203" s="21" t="n"/>
      <c r="CY203" s="21" t="n"/>
      <c r="CZ203" s="21" t="n"/>
      <c r="DA203" s="21" t="n"/>
      <c r="DB203" s="21" t="n"/>
      <c r="DC203" s="21" t="n"/>
    </row>
    <row r="204">
      <c r="B204" t="inlineStr">
        <is>
          <t>TSP-1444</t>
        </is>
      </c>
      <c r="C204" t="inlineStr">
        <is>
          <t>No. of batches</t>
        </is>
      </c>
      <c r="D204">
        <f>IFERROR(INDEX(PP_Grid[#Data],$DD204,2),0)</f>
        <v/>
      </c>
      <c r="E204">
        <f>IFERROR(INDEX(PP_Grid[#Data],$DD204,3),0)</f>
        <v/>
      </c>
      <c r="F204">
        <f>IFERROR(INDEX(PP_Grid[#Data],$DD204,4),0)</f>
        <v/>
      </c>
      <c r="G204">
        <f>IFERROR(INDEX(PP_Grid[#Data],$DD204,5),0)</f>
        <v/>
      </c>
      <c r="H204">
        <f>IFERROR(INDEX(PP_Grid[#Data],$DD204,6),0)</f>
        <v/>
      </c>
      <c r="I204">
        <f>IFERROR(INDEX(PP_Grid[#Data],$DD204,7),0)</f>
        <v/>
      </c>
      <c r="J204">
        <f>IFERROR(INDEX(PP_Grid[#Data],$DD204,8),0)</f>
        <v/>
      </c>
      <c r="K204">
        <f>IFERROR(INDEX(PP_Grid[#Data],$DD204,9),0)</f>
        <v/>
      </c>
      <c r="L204">
        <f>IFERROR(INDEX(PP_Grid[#Data],$DD204,10),0)</f>
        <v/>
      </c>
      <c r="M204">
        <f>IFERROR(INDEX(PP_Grid[#Data],$DD204,11),0)</f>
        <v/>
      </c>
      <c r="N204">
        <f>IFERROR(INDEX(PP_Grid[#Data],$DD204,12),0)</f>
        <v/>
      </c>
      <c r="O204">
        <f>IFERROR(INDEX(PP_Grid[#Data],$DD204,13),0)</f>
        <v/>
      </c>
      <c r="P204">
        <f>IFERROR(INDEX(PP_Grid[#Data],$DD204,14),0)</f>
        <v/>
      </c>
      <c r="Q204">
        <f>IFERROR(INDEX(PP_Grid[#Data],$DD204,15),0)</f>
        <v/>
      </c>
      <c r="R204">
        <f>IFERROR(INDEX(PP_Grid[#Data],$DD204,16),0)</f>
        <v/>
      </c>
      <c r="S204">
        <f>IFERROR(INDEX(PP_Grid[#Data],$DD204,17),0)</f>
        <v/>
      </c>
      <c r="T204">
        <f>IFERROR(INDEX(PP_Grid[#Data],$DD204,18),0)</f>
        <v/>
      </c>
      <c r="U204">
        <f>IFERROR(INDEX(PP_Grid[#Data],$DD204,19),0)</f>
        <v/>
      </c>
      <c r="V204">
        <f>IFERROR(INDEX(PP_Grid[#Data],$DD204,20),0)</f>
        <v/>
      </c>
      <c r="W204">
        <f>IFERROR(INDEX(PP_Grid[#Data],$DD204,21),0)</f>
        <v/>
      </c>
      <c r="X204">
        <f>IFERROR(INDEX(PP_Grid[#Data],$DD204,22),0)</f>
        <v/>
      </c>
      <c r="Y204">
        <f>IFERROR(INDEX(PP_Grid[#Data],$DD204,23),0)</f>
        <v/>
      </c>
      <c r="Z204">
        <f>IFERROR(INDEX(PP_Grid[#Data],$DD204,24),0)</f>
        <v/>
      </c>
      <c r="AA204">
        <f>IFERROR(INDEX(PP_Grid[#Data],$DD204,25),0)</f>
        <v/>
      </c>
      <c r="AB204">
        <f>IFERROR(INDEX(PP_Grid[#Data],$DD204,26),0)</f>
        <v/>
      </c>
      <c r="AC204">
        <f>IFERROR(INDEX(PP_Grid[#Data],$DD204,27),0)</f>
        <v/>
      </c>
      <c r="AD204">
        <f>IFERROR(INDEX(PP_Grid[#Data],$DD204,28),0)</f>
        <v/>
      </c>
      <c r="AE204">
        <f>IFERROR(INDEX(PP_Grid[#Data],$DD204,29),0)</f>
        <v/>
      </c>
      <c r="AF204">
        <f>IFERROR(INDEX(PP_Grid[#Data],$DD204,30),0)</f>
        <v/>
      </c>
      <c r="AG204">
        <f>IFERROR(INDEX(PP_Grid[#Data],$DD204,31),0)</f>
        <v/>
      </c>
      <c r="AH204">
        <f>IFERROR(INDEX(PP_Grid[#Data],$DD204,32),0)</f>
        <v/>
      </c>
      <c r="AI204">
        <f>IFERROR(INDEX(PP_Grid[#Data],$DD204,33),0)</f>
        <v/>
      </c>
      <c r="AJ204">
        <f>IFERROR(INDEX(PP_Grid[#Data],$DD204,34),0)</f>
        <v/>
      </c>
      <c r="AK204">
        <f>IFERROR(INDEX(PP_Grid[#Data],$DD204,35),0)</f>
        <v/>
      </c>
      <c r="AL204">
        <f>IFERROR(INDEX(PP_Grid[#Data],$DD204,36),0)</f>
        <v/>
      </c>
      <c r="AM204">
        <f>IFERROR(INDEX(PP_Grid[#Data],$DD204,37),0)</f>
        <v/>
      </c>
      <c r="AN204">
        <f>IFERROR(INDEX(PP_Grid[#Data],$DD204,38),0)</f>
        <v/>
      </c>
      <c r="AO204">
        <f>IFERROR(INDEX(PP_Grid[#Data],$DD204,39),0)</f>
        <v/>
      </c>
      <c r="AP204">
        <f>IFERROR(INDEX(PP_Grid[#Data],$DD204,40),0)</f>
        <v/>
      </c>
      <c r="AQ204">
        <f>IFERROR(INDEX(PP_Grid[#Data],$DD204,41),0)</f>
        <v/>
      </c>
      <c r="AR204">
        <f>IFERROR(INDEX(PP_Grid[#Data],$DD204,42),0)</f>
        <v/>
      </c>
      <c r="AS204">
        <f>IFERROR(INDEX(PP_Grid[#Data],$DD204,43),0)</f>
        <v/>
      </c>
      <c r="AT204">
        <f>IFERROR(INDEX(PP_Grid[#Data],$DD204,44),0)</f>
        <v/>
      </c>
      <c r="AU204">
        <f>IFERROR(INDEX(PP_Grid[#Data],$DD204,45),0)</f>
        <v/>
      </c>
      <c r="AV204">
        <f>IFERROR(INDEX(PP_Grid[#Data],$DD204,46),0)</f>
        <v/>
      </c>
      <c r="AW204">
        <f>IFERROR(INDEX(PP_Grid[#Data],$DD204,47),0)</f>
        <v/>
      </c>
      <c r="AX204">
        <f>IFERROR(INDEX(PP_Grid[#Data],$DD204,48),0)</f>
        <v/>
      </c>
      <c r="AY204">
        <f>IFERROR(INDEX(PP_Grid[#Data],$DD204,49),0)</f>
        <v/>
      </c>
      <c r="AZ204">
        <f>IFERROR(INDEX(PP_Grid[#Data],$DD204,50),0)</f>
        <v/>
      </c>
      <c r="BA204">
        <f>IFERROR(INDEX(PP_Grid[#Data],$DD204,51),0)</f>
        <v/>
      </c>
      <c r="BB204">
        <f>IFERROR(INDEX(PP_Grid[#Data],$DD204,52),0)</f>
        <v/>
      </c>
      <c r="BC204">
        <f>IFERROR(INDEX(PP_Grid[#Data],$DD204,53),0)</f>
        <v/>
      </c>
      <c r="BD204">
        <f>IFERROR(INDEX(PP_Grid[#Data],$DD204,54),0)</f>
        <v/>
      </c>
      <c r="BE204">
        <f>IFERROR(INDEX(PP_Grid[#Data],$DD204,55),0)</f>
        <v/>
      </c>
      <c r="BF204">
        <f>IFERROR(INDEX(PP_Grid[#Data],$DD204,56),0)</f>
        <v/>
      </c>
      <c r="BG204">
        <f>IFERROR(INDEX(PP_Grid[#Data],$DD204,57),0)</f>
        <v/>
      </c>
      <c r="BH204">
        <f>IFERROR(INDEX(PP_Grid[#Data],$DD204,58),0)</f>
        <v/>
      </c>
      <c r="BI204">
        <f>IFERROR(INDEX(PP_Grid[#Data],$DD204,59),0)</f>
        <v/>
      </c>
      <c r="BJ204">
        <f>IFERROR(INDEX(PP_Grid[#Data],$DD204,60),0)</f>
        <v/>
      </c>
      <c r="BK204">
        <f>IFERROR(INDEX(PP_Grid[#Data],$DD204,61),0)</f>
        <v/>
      </c>
      <c r="BL204">
        <f>IFERROR(INDEX(PP_Grid[#Data],$DD204,62),0)</f>
        <v/>
      </c>
      <c r="BM204">
        <f>IFERROR(INDEX(PP_Grid[#Data],$DD204,63),0)</f>
        <v/>
      </c>
      <c r="BN204">
        <f>IFERROR(INDEX(PP_Grid[#Data],$DD204,64),0)</f>
        <v/>
      </c>
      <c r="BO204">
        <f>IFERROR(INDEX(PP_Grid[#Data],$DD204,65),0)</f>
        <v/>
      </c>
      <c r="BP204">
        <f>IFERROR(INDEX(PP_Grid[#Data],$DD204,66),0)</f>
        <v/>
      </c>
      <c r="BQ204">
        <f>IFERROR(INDEX(PP_Grid[#Data],$DD204,67),0)</f>
        <v/>
      </c>
      <c r="BR204">
        <f>IFERROR(INDEX(PP_Grid[#Data],$DD204,68),0)</f>
        <v/>
      </c>
      <c r="BS204">
        <f>IFERROR(INDEX(PP_Grid[#Data],$DD204,69),0)</f>
        <v/>
      </c>
      <c r="BT204">
        <f>IFERROR(INDEX(PP_Grid[#Data],$DD204,70),0)</f>
        <v/>
      </c>
      <c r="BU204">
        <f>IFERROR(INDEX(PP_Grid[#Data],$DD204,71),0)</f>
        <v/>
      </c>
      <c r="BV204">
        <f>IFERROR(INDEX(PP_Grid[#Data],$DD204,72),0)</f>
        <v/>
      </c>
      <c r="BW204">
        <f>IFERROR(INDEX(PP_Grid[#Data],$DD204,73),0)</f>
        <v/>
      </c>
      <c r="BX204">
        <f>IFERROR(INDEX(PP_Grid[#Data],$DD204,74),0)</f>
        <v/>
      </c>
      <c r="BY204">
        <f>IFERROR(INDEX(PP_Grid[#Data],$DD204,75),0)</f>
        <v/>
      </c>
      <c r="BZ204">
        <f>IFERROR(INDEX(PP_Grid[#Data],$DD204,76),0)</f>
        <v/>
      </c>
      <c r="CA204">
        <f>IFERROR(INDEX(PP_Grid[#Data],$DD204,77),0)</f>
        <v/>
      </c>
      <c r="CB204">
        <f>IFERROR(INDEX(PP_Grid[#Data],$DD204,78),0)</f>
        <v/>
      </c>
      <c r="CC204">
        <f>IFERROR(INDEX(PP_Grid[#Data],$DD204,79),0)</f>
        <v/>
      </c>
      <c r="CD204">
        <f>IFERROR(INDEX(PP_Grid[#Data],$DD204,80),0)</f>
        <v/>
      </c>
      <c r="CE204">
        <f>IFERROR(INDEX(PP_Grid[#Data],$DD204,81),0)</f>
        <v/>
      </c>
      <c r="CF204">
        <f>IFERROR(INDEX(PP_Grid[#Data],$DD204,82),0)</f>
        <v/>
      </c>
      <c r="CG204">
        <f>IFERROR(INDEX(PP_Grid[#Data],$DD204,83),0)</f>
        <v/>
      </c>
      <c r="CH204">
        <f>IFERROR(INDEX(PP_Grid[#Data],$DD204,84),0)</f>
        <v/>
      </c>
      <c r="CI204">
        <f>IFERROR(INDEX(PP_Grid[#Data],$DD204,85),0)</f>
        <v/>
      </c>
      <c r="CJ204">
        <f>IFERROR(INDEX(PP_Grid[#Data],$DD204,86),0)</f>
        <v/>
      </c>
      <c r="CK204">
        <f>IFERROR(INDEX(PP_Grid[#Data],$DD204,87),0)</f>
        <v/>
      </c>
      <c r="CL204">
        <f>IFERROR(INDEX(PP_Grid[#Data],$DD204,88),0)</f>
        <v/>
      </c>
      <c r="CM204">
        <f>IFERROR(INDEX(PP_Grid[#Data],$DD204,89),0)</f>
        <v/>
      </c>
      <c r="CN204">
        <f>IFERROR(INDEX(PP_Grid[#Data],$DD204,90),0)</f>
        <v/>
      </c>
      <c r="CO204">
        <f>IFERROR(INDEX(PP_Grid[#Data],$DD204,91),0)</f>
        <v/>
      </c>
      <c r="CP204">
        <f>IFERROR(INDEX(PP_Grid[#Data],$DD204,92),0)</f>
        <v/>
      </c>
      <c r="CQ204">
        <f>IFERROR(INDEX(PP_Grid[#Data],$DD204,93),0)</f>
        <v/>
      </c>
      <c r="CR204">
        <f>IFERROR(INDEX(PP_Grid[#Data],$DD204,94),0)</f>
        <v/>
      </c>
      <c r="CS204">
        <f>IFERROR(INDEX(PP_Grid[#Data],$DD204,95),0)</f>
        <v/>
      </c>
      <c r="CT204">
        <f>IFERROR(INDEX(PP_Grid[#Data],$DD204,96),0)</f>
        <v/>
      </c>
      <c r="CU204">
        <f>IFERROR(INDEX(PP_Grid[#Data],$DD204,97),0)</f>
        <v/>
      </c>
      <c r="CV204">
        <f>IFERROR(INDEX(PP_Grid[#Data],$DD204,98),0)</f>
        <v/>
      </c>
      <c r="CW204">
        <f>IFERROR(INDEX(PP_Grid[#Data],$DD204,99),0)</f>
        <v/>
      </c>
      <c r="CX204">
        <f>IFERROR(INDEX(PP_Grid[#Data],$DD204,100),0)</f>
        <v/>
      </c>
      <c r="CY204">
        <f>IFERROR(INDEX(PP_Grid[#Data],$DD204,101),0)</f>
        <v/>
      </c>
      <c r="CZ204">
        <f>IFERROR(INDEX(PP_Grid[#Data],$DD204,102),0)</f>
        <v/>
      </c>
      <c r="DA204">
        <f>IFERROR(INDEX(PP_Grid[#Data],$DD204,103),0)</f>
        <v/>
      </c>
      <c r="DB204">
        <f>IFERROR(INDEX(PP_Grid[#Data],$DD204,104),0)</f>
        <v/>
      </c>
      <c r="DC204">
        <f>IFERROR(INDEX(PP_Grid[#Data],$DD204,105),0)</f>
        <v/>
      </c>
      <c r="DD204" s="12">
        <f>IFERROR(MATCH($B204,PP_Grid[Intermediate],0),99999)</f>
        <v/>
      </c>
    </row>
    <row r="205">
      <c r="B205" t="inlineStr">
        <is>
          <t>使用量(kg)</t>
        </is>
      </c>
      <c r="C205">
        <f>SUMIFS(M_BOM[RM_Qty_Per_Batch],M_BOM[Intermediate],$B204,M_BOM[Part Name],$A203)</f>
        <v/>
      </c>
      <c r="D205">
        <f>$C205*D204</f>
        <v/>
      </c>
      <c r="E205">
        <f>$C205*E204</f>
        <v/>
      </c>
      <c r="F205">
        <f>$C205*F204</f>
        <v/>
      </c>
      <c r="G205">
        <f>$C205*G204</f>
        <v/>
      </c>
      <c r="H205">
        <f>$C205*H204</f>
        <v/>
      </c>
      <c r="I205">
        <f>$C205*I204</f>
        <v/>
      </c>
      <c r="J205">
        <f>$C205*J204</f>
        <v/>
      </c>
      <c r="K205">
        <f>$C205*K204</f>
        <v/>
      </c>
      <c r="L205">
        <f>$C205*L204</f>
        <v/>
      </c>
      <c r="M205">
        <f>$C205*M204</f>
        <v/>
      </c>
      <c r="N205">
        <f>$C205*N204</f>
        <v/>
      </c>
      <c r="O205">
        <f>$C205*O204</f>
        <v/>
      </c>
      <c r="P205">
        <f>$C205*P204</f>
        <v/>
      </c>
      <c r="Q205">
        <f>$C205*Q204</f>
        <v/>
      </c>
      <c r="R205">
        <f>$C205*R204</f>
        <v/>
      </c>
      <c r="S205">
        <f>$C205*S204</f>
        <v/>
      </c>
      <c r="T205">
        <f>$C205*T204</f>
        <v/>
      </c>
      <c r="U205">
        <f>$C205*U204</f>
        <v/>
      </c>
      <c r="V205">
        <f>$C205*V204</f>
        <v/>
      </c>
      <c r="W205">
        <f>$C205*W204</f>
        <v/>
      </c>
      <c r="X205">
        <f>$C205*X204</f>
        <v/>
      </c>
      <c r="Y205">
        <f>$C205*Y204</f>
        <v/>
      </c>
      <c r="Z205">
        <f>$C205*Z204</f>
        <v/>
      </c>
      <c r="AA205">
        <f>$C205*AA204</f>
        <v/>
      </c>
      <c r="AB205">
        <f>$C205*AB204</f>
        <v/>
      </c>
      <c r="AC205">
        <f>$C205*AC204</f>
        <v/>
      </c>
      <c r="AD205">
        <f>$C205*AD204</f>
        <v/>
      </c>
      <c r="AE205">
        <f>$C205*AE204</f>
        <v/>
      </c>
      <c r="AF205">
        <f>$C205*AF204</f>
        <v/>
      </c>
      <c r="AG205">
        <f>$C205*AG204</f>
        <v/>
      </c>
      <c r="AH205">
        <f>$C205*AH204</f>
        <v/>
      </c>
      <c r="AI205">
        <f>$C205*AI204</f>
        <v/>
      </c>
      <c r="AJ205">
        <f>$C205*AJ204</f>
        <v/>
      </c>
      <c r="AK205">
        <f>$C205*AK204</f>
        <v/>
      </c>
      <c r="AL205">
        <f>$C205*AL204</f>
        <v/>
      </c>
      <c r="AM205">
        <f>$C205*AM204</f>
        <v/>
      </c>
      <c r="AN205">
        <f>$C205*AN204</f>
        <v/>
      </c>
      <c r="AO205">
        <f>$C205*AO204</f>
        <v/>
      </c>
      <c r="AP205">
        <f>$C205*AP204</f>
        <v/>
      </c>
      <c r="AQ205">
        <f>$C205*AQ204</f>
        <v/>
      </c>
      <c r="AR205">
        <f>$C205*AR204</f>
        <v/>
      </c>
      <c r="AS205">
        <f>$C205*AS204</f>
        <v/>
      </c>
      <c r="AT205">
        <f>$C205*AT204</f>
        <v/>
      </c>
      <c r="AU205">
        <f>$C205*AU204</f>
        <v/>
      </c>
      <c r="AV205">
        <f>$C205*AV204</f>
        <v/>
      </c>
      <c r="AW205">
        <f>$C205*AW204</f>
        <v/>
      </c>
      <c r="AX205">
        <f>$C205*AX204</f>
        <v/>
      </c>
      <c r="AY205">
        <f>$C205*AY204</f>
        <v/>
      </c>
      <c r="AZ205">
        <f>$C205*AZ204</f>
        <v/>
      </c>
      <c r="BA205">
        <f>$C205*BA204</f>
        <v/>
      </c>
      <c r="BB205">
        <f>$C205*BB204</f>
        <v/>
      </c>
      <c r="BC205">
        <f>$C205*BC204</f>
        <v/>
      </c>
      <c r="BD205">
        <f>$C205*BD204</f>
        <v/>
      </c>
      <c r="BE205">
        <f>$C205*BE204</f>
        <v/>
      </c>
      <c r="BF205">
        <f>$C205*BF204</f>
        <v/>
      </c>
      <c r="BG205">
        <f>$C205*BG204</f>
        <v/>
      </c>
      <c r="BH205">
        <f>$C205*BH204</f>
        <v/>
      </c>
      <c r="BI205">
        <f>$C205*BI204</f>
        <v/>
      </c>
      <c r="BJ205">
        <f>$C205*BJ204</f>
        <v/>
      </c>
      <c r="BK205">
        <f>$C205*BK204</f>
        <v/>
      </c>
      <c r="BL205">
        <f>$C205*BL204</f>
        <v/>
      </c>
      <c r="BM205">
        <f>$C205*BM204</f>
        <v/>
      </c>
      <c r="BN205">
        <f>$C205*BN204</f>
        <v/>
      </c>
      <c r="BO205">
        <f>$C205*BO204</f>
        <v/>
      </c>
      <c r="BP205">
        <f>$C205*BP204</f>
        <v/>
      </c>
      <c r="BQ205">
        <f>$C205*BQ204</f>
        <v/>
      </c>
      <c r="BR205">
        <f>$C205*BR204</f>
        <v/>
      </c>
      <c r="BS205">
        <f>$C205*BS204</f>
        <v/>
      </c>
      <c r="BT205">
        <f>$C205*BT204</f>
        <v/>
      </c>
      <c r="BU205">
        <f>$C205*BU204</f>
        <v/>
      </c>
      <c r="BV205">
        <f>$C205*BV204</f>
        <v/>
      </c>
      <c r="BW205">
        <f>$C205*BW204</f>
        <v/>
      </c>
      <c r="BX205">
        <f>$C205*BX204</f>
        <v/>
      </c>
      <c r="BY205">
        <f>$C205*BY204</f>
        <v/>
      </c>
      <c r="BZ205">
        <f>$C205*BZ204</f>
        <v/>
      </c>
      <c r="CA205">
        <f>$C205*CA204</f>
        <v/>
      </c>
      <c r="CB205">
        <f>$C205*CB204</f>
        <v/>
      </c>
      <c r="CC205">
        <f>$C205*CC204</f>
        <v/>
      </c>
      <c r="CD205">
        <f>$C205*CD204</f>
        <v/>
      </c>
      <c r="CE205">
        <f>$C205*CE204</f>
        <v/>
      </c>
      <c r="CF205">
        <f>$C205*CF204</f>
        <v/>
      </c>
      <c r="CG205">
        <f>$C205*CG204</f>
        <v/>
      </c>
      <c r="CH205">
        <f>$C205*CH204</f>
        <v/>
      </c>
      <c r="CI205">
        <f>$C205*CI204</f>
        <v/>
      </c>
      <c r="CJ205">
        <f>$C205*CJ204</f>
        <v/>
      </c>
      <c r="CK205">
        <f>$C205*CK204</f>
        <v/>
      </c>
      <c r="CL205">
        <f>$C205*CL204</f>
        <v/>
      </c>
      <c r="CM205">
        <f>$C205*CM204</f>
        <v/>
      </c>
      <c r="CN205">
        <f>$C205*CN204</f>
        <v/>
      </c>
      <c r="CO205">
        <f>$C205*CO204</f>
        <v/>
      </c>
      <c r="CP205">
        <f>$C205*CP204</f>
        <v/>
      </c>
      <c r="CQ205">
        <f>$C205*CQ204</f>
        <v/>
      </c>
      <c r="CR205">
        <f>$C205*CR204</f>
        <v/>
      </c>
      <c r="CS205">
        <f>$C205*CS204</f>
        <v/>
      </c>
      <c r="CT205">
        <f>$C205*CT204</f>
        <v/>
      </c>
      <c r="CU205">
        <f>$C205*CU204</f>
        <v/>
      </c>
      <c r="CV205">
        <f>$C205*CV204</f>
        <v/>
      </c>
      <c r="CW205">
        <f>$C205*CW204</f>
        <v/>
      </c>
      <c r="CX205">
        <f>$C205*CX204</f>
        <v/>
      </c>
      <c r="CY205">
        <f>$C205*CY204</f>
        <v/>
      </c>
      <c r="CZ205">
        <f>$C205*CZ204</f>
        <v/>
      </c>
      <c r="DA205">
        <f>$C205*DA204</f>
        <v/>
      </c>
      <c r="DB205">
        <f>$C205*DB204</f>
        <v/>
      </c>
      <c r="DC205">
        <f>$C205*DC204</f>
        <v/>
      </c>
    </row>
    <row r="206">
      <c r="B206" t="inlineStr">
        <is>
          <t>TSP-1445</t>
        </is>
      </c>
      <c r="C206" t="inlineStr">
        <is>
          <t>No. of batches</t>
        </is>
      </c>
      <c r="D206">
        <f>IFERROR(INDEX(PP_Grid[#Data],$DD206,2),0)</f>
        <v/>
      </c>
      <c r="E206">
        <f>IFERROR(INDEX(PP_Grid[#Data],$DD206,3),0)</f>
        <v/>
      </c>
      <c r="F206">
        <f>IFERROR(INDEX(PP_Grid[#Data],$DD206,4),0)</f>
        <v/>
      </c>
      <c r="G206">
        <f>IFERROR(INDEX(PP_Grid[#Data],$DD206,5),0)</f>
        <v/>
      </c>
      <c r="H206">
        <f>IFERROR(INDEX(PP_Grid[#Data],$DD206,6),0)</f>
        <v/>
      </c>
      <c r="I206">
        <f>IFERROR(INDEX(PP_Grid[#Data],$DD206,7),0)</f>
        <v/>
      </c>
      <c r="J206">
        <f>IFERROR(INDEX(PP_Grid[#Data],$DD206,8),0)</f>
        <v/>
      </c>
      <c r="K206">
        <f>IFERROR(INDEX(PP_Grid[#Data],$DD206,9),0)</f>
        <v/>
      </c>
      <c r="L206">
        <f>IFERROR(INDEX(PP_Grid[#Data],$DD206,10),0)</f>
        <v/>
      </c>
      <c r="M206">
        <f>IFERROR(INDEX(PP_Grid[#Data],$DD206,11),0)</f>
        <v/>
      </c>
      <c r="N206">
        <f>IFERROR(INDEX(PP_Grid[#Data],$DD206,12),0)</f>
        <v/>
      </c>
      <c r="O206">
        <f>IFERROR(INDEX(PP_Grid[#Data],$DD206,13),0)</f>
        <v/>
      </c>
      <c r="P206">
        <f>IFERROR(INDEX(PP_Grid[#Data],$DD206,14),0)</f>
        <v/>
      </c>
      <c r="Q206">
        <f>IFERROR(INDEX(PP_Grid[#Data],$DD206,15),0)</f>
        <v/>
      </c>
      <c r="R206">
        <f>IFERROR(INDEX(PP_Grid[#Data],$DD206,16),0)</f>
        <v/>
      </c>
      <c r="S206">
        <f>IFERROR(INDEX(PP_Grid[#Data],$DD206,17),0)</f>
        <v/>
      </c>
      <c r="T206">
        <f>IFERROR(INDEX(PP_Grid[#Data],$DD206,18),0)</f>
        <v/>
      </c>
      <c r="U206">
        <f>IFERROR(INDEX(PP_Grid[#Data],$DD206,19),0)</f>
        <v/>
      </c>
      <c r="V206">
        <f>IFERROR(INDEX(PP_Grid[#Data],$DD206,20),0)</f>
        <v/>
      </c>
      <c r="W206">
        <f>IFERROR(INDEX(PP_Grid[#Data],$DD206,21),0)</f>
        <v/>
      </c>
      <c r="X206">
        <f>IFERROR(INDEX(PP_Grid[#Data],$DD206,22),0)</f>
        <v/>
      </c>
      <c r="Y206">
        <f>IFERROR(INDEX(PP_Grid[#Data],$DD206,23),0)</f>
        <v/>
      </c>
      <c r="Z206">
        <f>IFERROR(INDEX(PP_Grid[#Data],$DD206,24),0)</f>
        <v/>
      </c>
      <c r="AA206">
        <f>IFERROR(INDEX(PP_Grid[#Data],$DD206,25),0)</f>
        <v/>
      </c>
      <c r="AB206">
        <f>IFERROR(INDEX(PP_Grid[#Data],$DD206,26),0)</f>
        <v/>
      </c>
      <c r="AC206">
        <f>IFERROR(INDEX(PP_Grid[#Data],$DD206,27),0)</f>
        <v/>
      </c>
      <c r="AD206">
        <f>IFERROR(INDEX(PP_Grid[#Data],$DD206,28),0)</f>
        <v/>
      </c>
      <c r="AE206">
        <f>IFERROR(INDEX(PP_Grid[#Data],$DD206,29),0)</f>
        <v/>
      </c>
      <c r="AF206">
        <f>IFERROR(INDEX(PP_Grid[#Data],$DD206,30),0)</f>
        <v/>
      </c>
      <c r="AG206">
        <f>IFERROR(INDEX(PP_Grid[#Data],$DD206,31),0)</f>
        <v/>
      </c>
      <c r="AH206">
        <f>IFERROR(INDEX(PP_Grid[#Data],$DD206,32),0)</f>
        <v/>
      </c>
      <c r="AI206">
        <f>IFERROR(INDEX(PP_Grid[#Data],$DD206,33),0)</f>
        <v/>
      </c>
      <c r="AJ206">
        <f>IFERROR(INDEX(PP_Grid[#Data],$DD206,34),0)</f>
        <v/>
      </c>
      <c r="AK206">
        <f>IFERROR(INDEX(PP_Grid[#Data],$DD206,35),0)</f>
        <v/>
      </c>
      <c r="AL206">
        <f>IFERROR(INDEX(PP_Grid[#Data],$DD206,36),0)</f>
        <v/>
      </c>
      <c r="AM206">
        <f>IFERROR(INDEX(PP_Grid[#Data],$DD206,37),0)</f>
        <v/>
      </c>
      <c r="AN206">
        <f>IFERROR(INDEX(PP_Grid[#Data],$DD206,38),0)</f>
        <v/>
      </c>
      <c r="AO206">
        <f>IFERROR(INDEX(PP_Grid[#Data],$DD206,39),0)</f>
        <v/>
      </c>
      <c r="AP206">
        <f>IFERROR(INDEX(PP_Grid[#Data],$DD206,40),0)</f>
        <v/>
      </c>
      <c r="AQ206">
        <f>IFERROR(INDEX(PP_Grid[#Data],$DD206,41),0)</f>
        <v/>
      </c>
      <c r="AR206">
        <f>IFERROR(INDEX(PP_Grid[#Data],$DD206,42),0)</f>
        <v/>
      </c>
      <c r="AS206">
        <f>IFERROR(INDEX(PP_Grid[#Data],$DD206,43),0)</f>
        <v/>
      </c>
      <c r="AT206">
        <f>IFERROR(INDEX(PP_Grid[#Data],$DD206,44),0)</f>
        <v/>
      </c>
      <c r="AU206">
        <f>IFERROR(INDEX(PP_Grid[#Data],$DD206,45),0)</f>
        <v/>
      </c>
      <c r="AV206">
        <f>IFERROR(INDEX(PP_Grid[#Data],$DD206,46),0)</f>
        <v/>
      </c>
      <c r="AW206">
        <f>IFERROR(INDEX(PP_Grid[#Data],$DD206,47),0)</f>
        <v/>
      </c>
      <c r="AX206">
        <f>IFERROR(INDEX(PP_Grid[#Data],$DD206,48),0)</f>
        <v/>
      </c>
      <c r="AY206">
        <f>IFERROR(INDEX(PP_Grid[#Data],$DD206,49),0)</f>
        <v/>
      </c>
      <c r="AZ206">
        <f>IFERROR(INDEX(PP_Grid[#Data],$DD206,50),0)</f>
        <v/>
      </c>
      <c r="BA206">
        <f>IFERROR(INDEX(PP_Grid[#Data],$DD206,51),0)</f>
        <v/>
      </c>
      <c r="BB206">
        <f>IFERROR(INDEX(PP_Grid[#Data],$DD206,52),0)</f>
        <v/>
      </c>
      <c r="BC206">
        <f>IFERROR(INDEX(PP_Grid[#Data],$DD206,53),0)</f>
        <v/>
      </c>
      <c r="BD206">
        <f>IFERROR(INDEX(PP_Grid[#Data],$DD206,54),0)</f>
        <v/>
      </c>
      <c r="BE206">
        <f>IFERROR(INDEX(PP_Grid[#Data],$DD206,55),0)</f>
        <v/>
      </c>
      <c r="BF206">
        <f>IFERROR(INDEX(PP_Grid[#Data],$DD206,56),0)</f>
        <v/>
      </c>
      <c r="BG206">
        <f>IFERROR(INDEX(PP_Grid[#Data],$DD206,57),0)</f>
        <v/>
      </c>
      <c r="BH206">
        <f>IFERROR(INDEX(PP_Grid[#Data],$DD206,58),0)</f>
        <v/>
      </c>
      <c r="BI206">
        <f>IFERROR(INDEX(PP_Grid[#Data],$DD206,59),0)</f>
        <v/>
      </c>
      <c r="BJ206">
        <f>IFERROR(INDEX(PP_Grid[#Data],$DD206,60),0)</f>
        <v/>
      </c>
      <c r="BK206">
        <f>IFERROR(INDEX(PP_Grid[#Data],$DD206,61),0)</f>
        <v/>
      </c>
      <c r="BL206">
        <f>IFERROR(INDEX(PP_Grid[#Data],$DD206,62),0)</f>
        <v/>
      </c>
      <c r="BM206">
        <f>IFERROR(INDEX(PP_Grid[#Data],$DD206,63),0)</f>
        <v/>
      </c>
      <c r="BN206">
        <f>IFERROR(INDEX(PP_Grid[#Data],$DD206,64),0)</f>
        <v/>
      </c>
      <c r="BO206">
        <f>IFERROR(INDEX(PP_Grid[#Data],$DD206,65),0)</f>
        <v/>
      </c>
      <c r="BP206">
        <f>IFERROR(INDEX(PP_Grid[#Data],$DD206,66),0)</f>
        <v/>
      </c>
      <c r="BQ206">
        <f>IFERROR(INDEX(PP_Grid[#Data],$DD206,67),0)</f>
        <v/>
      </c>
      <c r="BR206">
        <f>IFERROR(INDEX(PP_Grid[#Data],$DD206,68),0)</f>
        <v/>
      </c>
      <c r="BS206">
        <f>IFERROR(INDEX(PP_Grid[#Data],$DD206,69),0)</f>
        <v/>
      </c>
      <c r="BT206">
        <f>IFERROR(INDEX(PP_Grid[#Data],$DD206,70),0)</f>
        <v/>
      </c>
      <c r="BU206">
        <f>IFERROR(INDEX(PP_Grid[#Data],$DD206,71),0)</f>
        <v/>
      </c>
      <c r="BV206">
        <f>IFERROR(INDEX(PP_Grid[#Data],$DD206,72),0)</f>
        <v/>
      </c>
      <c r="BW206">
        <f>IFERROR(INDEX(PP_Grid[#Data],$DD206,73),0)</f>
        <v/>
      </c>
      <c r="BX206">
        <f>IFERROR(INDEX(PP_Grid[#Data],$DD206,74),0)</f>
        <v/>
      </c>
      <c r="BY206">
        <f>IFERROR(INDEX(PP_Grid[#Data],$DD206,75),0)</f>
        <v/>
      </c>
      <c r="BZ206">
        <f>IFERROR(INDEX(PP_Grid[#Data],$DD206,76),0)</f>
        <v/>
      </c>
      <c r="CA206">
        <f>IFERROR(INDEX(PP_Grid[#Data],$DD206,77),0)</f>
        <v/>
      </c>
      <c r="CB206">
        <f>IFERROR(INDEX(PP_Grid[#Data],$DD206,78),0)</f>
        <v/>
      </c>
      <c r="CC206">
        <f>IFERROR(INDEX(PP_Grid[#Data],$DD206,79),0)</f>
        <v/>
      </c>
      <c r="CD206">
        <f>IFERROR(INDEX(PP_Grid[#Data],$DD206,80),0)</f>
        <v/>
      </c>
      <c r="CE206">
        <f>IFERROR(INDEX(PP_Grid[#Data],$DD206,81),0)</f>
        <v/>
      </c>
      <c r="CF206">
        <f>IFERROR(INDEX(PP_Grid[#Data],$DD206,82),0)</f>
        <v/>
      </c>
      <c r="CG206">
        <f>IFERROR(INDEX(PP_Grid[#Data],$DD206,83),0)</f>
        <v/>
      </c>
      <c r="CH206">
        <f>IFERROR(INDEX(PP_Grid[#Data],$DD206,84),0)</f>
        <v/>
      </c>
      <c r="CI206">
        <f>IFERROR(INDEX(PP_Grid[#Data],$DD206,85),0)</f>
        <v/>
      </c>
      <c r="CJ206">
        <f>IFERROR(INDEX(PP_Grid[#Data],$DD206,86),0)</f>
        <v/>
      </c>
      <c r="CK206">
        <f>IFERROR(INDEX(PP_Grid[#Data],$DD206,87),0)</f>
        <v/>
      </c>
      <c r="CL206">
        <f>IFERROR(INDEX(PP_Grid[#Data],$DD206,88),0)</f>
        <v/>
      </c>
      <c r="CM206">
        <f>IFERROR(INDEX(PP_Grid[#Data],$DD206,89),0)</f>
        <v/>
      </c>
      <c r="CN206">
        <f>IFERROR(INDEX(PP_Grid[#Data],$DD206,90),0)</f>
        <v/>
      </c>
      <c r="CO206">
        <f>IFERROR(INDEX(PP_Grid[#Data],$DD206,91),0)</f>
        <v/>
      </c>
      <c r="CP206">
        <f>IFERROR(INDEX(PP_Grid[#Data],$DD206,92),0)</f>
        <v/>
      </c>
      <c r="CQ206">
        <f>IFERROR(INDEX(PP_Grid[#Data],$DD206,93),0)</f>
        <v/>
      </c>
      <c r="CR206">
        <f>IFERROR(INDEX(PP_Grid[#Data],$DD206,94),0)</f>
        <v/>
      </c>
      <c r="CS206">
        <f>IFERROR(INDEX(PP_Grid[#Data],$DD206,95),0)</f>
        <v/>
      </c>
      <c r="CT206">
        <f>IFERROR(INDEX(PP_Grid[#Data],$DD206,96),0)</f>
        <v/>
      </c>
      <c r="CU206">
        <f>IFERROR(INDEX(PP_Grid[#Data],$DD206,97),0)</f>
        <v/>
      </c>
      <c r="CV206">
        <f>IFERROR(INDEX(PP_Grid[#Data],$DD206,98),0)</f>
        <v/>
      </c>
      <c r="CW206">
        <f>IFERROR(INDEX(PP_Grid[#Data],$DD206,99),0)</f>
        <v/>
      </c>
      <c r="CX206">
        <f>IFERROR(INDEX(PP_Grid[#Data],$DD206,100),0)</f>
        <v/>
      </c>
      <c r="CY206">
        <f>IFERROR(INDEX(PP_Grid[#Data],$DD206,101),0)</f>
        <v/>
      </c>
      <c r="CZ206">
        <f>IFERROR(INDEX(PP_Grid[#Data],$DD206,102),0)</f>
        <v/>
      </c>
      <c r="DA206">
        <f>IFERROR(INDEX(PP_Grid[#Data],$DD206,103),0)</f>
        <v/>
      </c>
      <c r="DB206">
        <f>IFERROR(INDEX(PP_Grid[#Data],$DD206,104),0)</f>
        <v/>
      </c>
      <c r="DC206">
        <f>IFERROR(INDEX(PP_Grid[#Data],$DD206,105),0)</f>
        <v/>
      </c>
      <c r="DD206" s="12">
        <f>IFERROR(MATCH($B206,PP_Grid[Intermediate],0),99999)</f>
        <v/>
      </c>
    </row>
    <row r="207">
      <c r="B207" t="inlineStr">
        <is>
          <t>使用量(kg)</t>
        </is>
      </c>
      <c r="C207">
        <f>SUMIFS(M_BOM[RM_Qty_Per_Batch],M_BOM[Intermediate],$B206,M_BOM[Part Name],$A203)</f>
        <v/>
      </c>
      <c r="D207">
        <f>$C207*D206</f>
        <v/>
      </c>
      <c r="E207">
        <f>$C207*E206</f>
        <v/>
      </c>
      <c r="F207">
        <f>$C207*F206</f>
        <v/>
      </c>
      <c r="G207">
        <f>$C207*G206</f>
        <v/>
      </c>
      <c r="H207">
        <f>$C207*H206</f>
        <v/>
      </c>
      <c r="I207">
        <f>$C207*I206</f>
        <v/>
      </c>
      <c r="J207">
        <f>$C207*J206</f>
        <v/>
      </c>
      <c r="K207">
        <f>$C207*K206</f>
        <v/>
      </c>
      <c r="L207">
        <f>$C207*L206</f>
        <v/>
      </c>
      <c r="M207">
        <f>$C207*M206</f>
        <v/>
      </c>
      <c r="N207">
        <f>$C207*N206</f>
        <v/>
      </c>
      <c r="O207">
        <f>$C207*O206</f>
        <v/>
      </c>
      <c r="P207">
        <f>$C207*P206</f>
        <v/>
      </c>
      <c r="Q207">
        <f>$C207*Q206</f>
        <v/>
      </c>
      <c r="R207">
        <f>$C207*R206</f>
        <v/>
      </c>
      <c r="S207">
        <f>$C207*S206</f>
        <v/>
      </c>
      <c r="T207">
        <f>$C207*T206</f>
        <v/>
      </c>
      <c r="U207">
        <f>$C207*U206</f>
        <v/>
      </c>
      <c r="V207">
        <f>$C207*V206</f>
        <v/>
      </c>
      <c r="W207">
        <f>$C207*W206</f>
        <v/>
      </c>
      <c r="X207">
        <f>$C207*X206</f>
        <v/>
      </c>
      <c r="Y207">
        <f>$C207*Y206</f>
        <v/>
      </c>
      <c r="Z207">
        <f>$C207*Z206</f>
        <v/>
      </c>
      <c r="AA207">
        <f>$C207*AA206</f>
        <v/>
      </c>
      <c r="AB207">
        <f>$C207*AB206</f>
        <v/>
      </c>
      <c r="AC207">
        <f>$C207*AC206</f>
        <v/>
      </c>
      <c r="AD207">
        <f>$C207*AD206</f>
        <v/>
      </c>
      <c r="AE207">
        <f>$C207*AE206</f>
        <v/>
      </c>
      <c r="AF207">
        <f>$C207*AF206</f>
        <v/>
      </c>
      <c r="AG207">
        <f>$C207*AG206</f>
        <v/>
      </c>
      <c r="AH207">
        <f>$C207*AH206</f>
        <v/>
      </c>
      <c r="AI207">
        <f>$C207*AI206</f>
        <v/>
      </c>
      <c r="AJ207">
        <f>$C207*AJ206</f>
        <v/>
      </c>
      <c r="AK207">
        <f>$C207*AK206</f>
        <v/>
      </c>
      <c r="AL207">
        <f>$C207*AL206</f>
        <v/>
      </c>
      <c r="AM207">
        <f>$C207*AM206</f>
        <v/>
      </c>
      <c r="AN207">
        <f>$C207*AN206</f>
        <v/>
      </c>
      <c r="AO207">
        <f>$C207*AO206</f>
        <v/>
      </c>
      <c r="AP207">
        <f>$C207*AP206</f>
        <v/>
      </c>
      <c r="AQ207">
        <f>$C207*AQ206</f>
        <v/>
      </c>
      <c r="AR207">
        <f>$C207*AR206</f>
        <v/>
      </c>
      <c r="AS207">
        <f>$C207*AS206</f>
        <v/>
      </c>
      <c r="AT207">
        <f>$C207*AT206</f>
        <v/>
      </c>
      <c r="AU207">
        <f>$C207*AU206</f>
        <v/>
      </c>
      <c r="AV207">
        <f>$C207*AV206</f>
        <v/>
      </c>
      <c r="AW207">
        <f>$C207*AW206</f>
        <v/>
      </c>
      <c r="AX207">
        <f>$C207*AX206</f>
        <v/>
      </c>
      <c r="AY207">
        <f>$C207*AY206</f>
        <v/>
      </c>
      <c r="AZ207">
        <f>$C207*AZ206</f>
        <v/>
      </c>
      <c r="BA207">
        <f>$C207*BA206</f>
        <v/>
      </c>
      <c r="BB207">
        <f>$C207*BB206</f>
        <v/>
      </c>
      <c r="BC207">
        <f>$C207*BC206</f>
        <v/>
      </c>
      <c r="BD207">
        <f>$C207*BD206</f>
        <v/>
      </c>
      <c r="BE207">
        <f>$C207*BE206</f>
        <v/>
      </c>
      <c r="BF207">
        <f>$C207*BF206</f>
        <v/>
      </c>
      <c r="BG207">
        <f>$C207*BG206</f>
        <v/>
      </c>
      <c r="BH207">
        <f>$C207*BH206</f>
        <v/>
      </c>
      <c r="BI207">
        <f>$C207*BI206</f>
        <v/>
      </c>
      <c r="BJ207">
        <f>$C207*BJ206</f>
        <v/>
      </c>
      <c r="BK207">
        <f>$C207*BK206</f>
        <v/>
      </c>
      <c r="BL207">
        <f>$C207*BL206</f>
        <v/>
      </c>
      <c r="BM207">
        <f>$C207*BM206</f>
        <v/>
      </c>
      <c r="BN207">
        <f>$C207*BN206</f>
        <v/>
      </c>
      <c r="BO207">
        <f>$C207*BO206</f>
        <v/>
      </c>
      <c r="BP207">
        <f>$C207*BP206</f>
        <v/>
      </c>
      <c r="BQ207">
        <f>$C207*BQ206</f>
        <v/>
      </c>
      <c r="BR207">
        <f>$C207*BR206</f>
        <v/>
      </c>
      <c r="BS207">
        <f>$C207*BS206</f>
        <v/>
      </c>
      <c r="BT207">
        <f>$C207*BT206</f>
        <v/>
      </c>
      <c r="BU207">
        <f>$C207*BU206</f>
        <v/>
      </c>
      <c r="BV207">
        <f>$C207*BV206</f>
        <v/>
      </c>
      <c r="BW207">
        <f>$C207*BW206</f>
        <v/>
      </c>
      <c r="BX207">
        <f>$C207*BX206</f>
        <v/>
      </c>
      <c r="BY207">
        <f>$C207*BY206</f>
        <v/>
      </c>
      <c r="BZ207">
        <f>$C207*BZ206</f>
        <v/>
      </c>
      <c r="CA207">
        <f>$C207*CA206</f>
        <v/>
      </c>
      <c r="CB207">
        <f>$C207*CB206</f>
        <v/>
      </c>
      <c r="CC207">
        <f>$C207*CC206</f>
        <v/>
      </c>
      <c r="CD207">
        <f>$C207*CD206</f>
        <v/>
      </c>
      <c r="CE207">
        <f>$C207*CE206</f>
        <v/>
      </c>
      <c r="CF207">
        <f>$C207*CF206</f>
        <v/>
      </c>
      <c r="CG207">
        <f>$C207*CG206</f>
        <v/>
      </c>
      <c r="CH207">
        <f>$C207*CH206</f>
        <v/>
      </c>
      <c r="CI207">
        <f>$C207*CI206</f>
        <v/>
      </c>
      <c r="CJ207">
        <f>$C207*CJ206</f>
        <v/>
      </c>
      <c r="CK207">
        <f>$C207*CK206</f>
        <v/>
      </c>
      <c r="CL207">
        <f>$C207*CL206</f>
        <v/>
      </c>
      <c r="CM207">
        <f>$C207*CM206</f>
        <v/>
      </c>
      <c r="CN207">
        <f>$C207*CN206</f>
        <v/>
      </c>
      <c r="CO207">
        <f>$C207*CO206</f>
        <v/>
      </c>
      <c r="CP207">
        <f>$C207*CP206</f>
        <v/>
      </c>
      <c r="CQ207">
        <f>$C207*CQ206</f>
        <v/>
      </c>
      <c r="CR207">
        <f>$C207*CR206</f>
        <v/>
      </c>
      <c r="CS207">
        <f>$C207*CS206</f>
        <v/>
      </c>
      <c r="CT207">
        <f>$C207*CT206</f>
        <v/>
      </c>
      <c r="CU207">
        <f>$C207*CU206</f>
        <v/>
      </c>
      <c r="CV207">
        <f>$C207*CV206</f>
        <v/>
      </c>
      <c r="CW207">
        <f>$C207*CW206</f>
        <v/>
      </c>
      <c r="CX207">
        <f>$C207*CX206</f>
        <v/>
      </c>
      <c r="CY207">
        <f>$C207*CY206</f>
        <v/>
      </c>
      <c r="CZ207">
        <f>$C207*CZ206</f>
        <v/>
      </c>
      <c r="DA207">
        <f>$C207*DA206</f>
        <v/>
      </c>
      <c r="DB207">
        <f>$C207*DB206</f>
        <v/>
      </c>
      <c r="DC207">
        <f>$C207*DC206</f>
        <v/>
      </c>
    </row>
    <row r="208">
      <c r="B208" t="inlineStr">
        <is>
          <t>TSP-1446</t>
        </is>
      </c>
      <c r="C208" t="inlineStr">
        <is>
          <t>No. of batches</t>
        </is>
      </c>
      <c r="D208">
        <f>IFERROR(INDEX(PP_Grid[#Data],$DD208,2),0)</f>
        <v/>
      </c>
      <c r="E208">
        <f>IFERROR(INDEX(PP_Grid[#Data],$DD208,3),0)</f>
        <v/>
      </c>
      <c r="F208">
        <f>IFERROR(INDEX(PP_Grid[#Data],$DD208,4),0)</f>
        <v/>
      </c>
      <c r="G208">
        <f>IFERROR(INDEX(PP_Grid[#Data],$DD208,5),0)</f>
        <v/>
      </c>
      <c r="H208">
        <f>IFERROR(INDEX(PP_Grid[#Data],$DD208,6),0)</f>
        <v/>
      </c>
      <c r="I208">
        <f>IFERROR(INDEX(PP_Grid[#Data],$DD208,7),0)</f>
        <v/>
      </c>
      <c r="J208">
        <f>IFERROR(INDEX(PP_Grid[#Data],$DD208,8),0)</f>
        <v/>
      </c>
      <c r="K208">
        <f>IFERROR(INDEX(PP_Grid[#Data],$DD208,9),0)</f>
        <v/>
      </c>
      <c r="L208">
        <f>IFERROR(INDEX(PP_Grid[#Data],$DD208,10),0)</f>
        <v/>
      </c>
      <c r="M208">
        <f>IFERROR(INDEX(PP_Grid[#Data],$DD208,11),0)</f>
        <v/>
      </c>
      <c r="N208">
        <f>IFERROR(INDEX(PP_Grid[#Data],$DD208,12),0)</f>
        <v/>
      </c>
      <c r="O208">
        <f>IFERROR(INDEX(PP_Grid[#Data],$DD208,13),0)</f>
        <v/>
      </c>
      <c r="P208">
        <f>IFERROR(INDEX(PP_Grid[#Data],$DD208,14),0)</f>
        <v/>
      </c>
      <c r="Q208">
        <f>IFERROR(INDEX(PP_Grid[#Data],$DD208,15),0)</f>
        <v/>
      </c>
      <c r="R208">
        <f>IFERROR(INDEX(PP_Grid[#Data],$DD208,16),0)</f>
        <v/>
      </c>
      <c r="S208">
        <f>IFERROR(INDEX(PP_Grid[#Data],$DD208,17),0)</f>
        <v/>
      </c>
      <c r="T208">
        <f>IFERROR(INDEX(PP_Grid[#Data],$DD208,18),0)</f>
        <v/>
      </c>
      <c r="U208">
        <f>IFERROR(INDEX(PP_Grid[#Data],$DD208,19),0)</f>
        <v/>
      </c>
      <c r="V208">
        <f>IFERROR(INDEX(PP_Grid[#Data],$DD208,20),0)</f>
        <v/>
      </c>
      <c r="W208">
        <f>IFERROR(INDEX(PP_Grid[#Data],$DD208,21),0)</f>
        <v/>
      </c>
      <c r="X208">
        <f>IFERROR(INDEX(PP_Grid[#Data],$DD208,22),0)</f>
        <v/>
      </c>
      <c r="Y208">
        <f>IFERROR(INDEX(PP_Grid[#Data],$DD208,23),0)</f>
        <v/>
      </c>
      <c r="Z208">
        <f>IFERROR(INDEX(PP_Grid[#Data],$DD208,24),0)</f>
        <v/>
      </c>
      <c r="AA208">
        <f>IFERROR(INDEX(PP_Grid[#Data],$DD208,25),0)</f>
        <v/>
      </c>
      <c r="AB208">
        <f>IFERROR(INDEX(PP_Grid[#Data],$DD208,26),0)</f>
        <v/>
      </c>
      <c r="AC208">
        <f>IFERROR(INDEX(PP_Grid[#Data],$DD208,27),0)</f>
        <v/>
      </c>
      <c r="AD208">
        <f>IFERROR(INDEX(PP_Grid[#Data],$DD208,28),0)</f>
        <v/>
      </c>
      <c r="AE208">
        <f>IFERROR(INDEX(PP_Grid[#Data],$DD208,29),0)</f>
        <v/>
      </c>
      <c r="AF208">
        <f>IFERROR(INDEX(PP_Grid[#Data],$DD208,30),0)</f>
        <v/>
      </c>
      <c r="AG208">
        <f>IFERROR(INDEX(PP_Grid[#Data],$DD208,31),0)</f>
        <v/>
      </c>
      <c r="AH208">
        <f>IFERROR(INDEX(PP_Grid[#Data],$DD208,32),0)</f>
        <v/>
      </c>
      <c r="AI208">
        <f>IFERROR(INDEX(PP_Grid[#Data],$DD208,33),0)</f>
        <v/>
      </c>
      <c r="AJ208">
        <f>IFERROR(INDEX(PP_Grid[#Data],$DD208,34),0)</f>
        <v/>
      </c>
      <c r="AK208">
        <f>IFERROR(INDEX(PP_Grid[#Data],$DD208,35),0)</f>
        <v/>
      </c>
      <c r="AL208">
        <f>IFERROR(INDEX(PP_Grid[#Data],$DD208,36),0)</f>
        <v/>
      </c>
      <c r="AM208">
        <f>IFERROR(INDEX(PP_Grid[#Data],$DD208,37),0)</f>
        <v/>
      </c>
      <c r="AN208">
        <f>IFERROR(INDEX(PP_Grid[#Data],$DD208,38),0)</f>
        <v/>
      </c>
      <c r="AO208">
        <f>IFERROR(INDEX(PP_Grid[#Data],$DD208,39),0)</f>
        <v/>
      </c>
      <c r="AP208">
        <f>IFERROR(INDEX(PP_Grid[#Data],$DD208,40),0)</f>
        <v/>
      </c>
      <c r="AQ208">
        <f>IFERROR(INDEX(PP_Grid[#Data],$DD208,41),0)</f>
        <v/>
      </c>
      <c r="AR208">
        <f>IFERROR(INDEX(PP_Grid[#Data],$DD208,42),0)</f>
        <v/>
      </c>
      <c r="AS208">
        <f>IFERROR(INDEX(PP_Grid[#Data],$DD208,43),0)</f>
        <v/>
      </c>
      <c r="AT208">
        <f>IFERROR(INDEX(PP_Grid[#Data],$DD208,44),0)</f>
        <v/>
      </c>
      <c r="AU208">
        <f>IFERROR(INDEX(PP_Grid[#Data],$DD208,45),0)</f>
        <v/>
      </c>
      <c r="AV208">
        <f>IFERROR(INDEX(PP_Grid[#Data],$DD208,46),0)</f>
        <v/>
      </c>
      <c r="AW208">
        <f>IFERROR(INDEX(PP_Grid[#Data],$DD208,47),0)</f>
        <v/>
      </c>
      <c r="AX208">
        <f>IFERROR(INDEX(PP_Grid[#Data],$DD208,48),0)</f>
        <v/>
      </c>
      <c r="AY208">
        <f>IFERROR(INDEX(PP_Grid[#Data],$DD208,49),0)</f>
        <v/>
      </c>
      <c r="AZ208">
        <f>IFERROR(INDEX(PP_Grid[#Data],$DD208,50),0)</f>
        <v/>
      </c>
      <c r="BA208">
        <f>IFERROR(INDEX(PP_Grid[#Data],$DD208,51),0)</f>
        <v/>
      </c>
      <c r="BB208">
        <f>IFERROR(INDEX(PP_Grid[#Data],$DD208,52),0)</f>
        <v/>
      </c>
      <c r="BC208">
        <f>IFERROR(INDEX(PP_Grid[#Data],$DD208,53),0)</f>
        <v/>
      </c>
      <c r="BD208">
        <f>IFERROR(INDEX(PP_Grid[#Data],$DD208,54),0)</f>
        <v/>
      </c>
      <c r="BE208">
        <f>IFERROR(INDEX(PP_Grid[#Data],$DD208,55),0)</f>
        <v/>
      </c>
      <c r="BF208">
        <f>IFERROR(INDEX(PP_Grid[#Data],$DD208,56),0)</f>
        <v/>
      </c>
      <c r="BG208">
        <f>IFERROR(INDEX(PP_Grid[#Data],$DD208,57),0)</f>
        <v/>
      </c>
      <c r="BH208">
        <f>IFERROR(INDEX(PP_Grid[#Data],$DD208,58),0)</f>
        <v/>
      </c>
      <c r="BI208">
        <f>IFERROR(INDEX(PP_Grid[#Data],$DD208,59),0)</f>
        <v/>
      </c>
      <c r="BJ208">
        <f>IFERROR(INDEX(PP_Grid[#Data],$DD208,60),0)</f>
        <v/>
      </c>
      <c r="BK208">
        <f>IFERROR(INDEX(PP_Grid[#Data],$DD208,61),0)</f>
        <v/>
      </c>
      <c r="BL208">
        <f>IFERROR(INDEX(PP_Grid[#Data],$DD208,62),0)</f>
        <v/>
      </c>
      <c r="BM208">
        <f>IFERROR(INDEX(PP_Grid[#Data],$DD208,63),0)</f>
        <v/>
      </c>
      <c r="BN208">
        <f>IFERROR(INDEX(PP_Grid[#Data],$DD208,64),0)</f>
        <v/>
      </c>
      <c r="BO208">
        <f>IFERROR(INDEX(PP_Grid[#Data],$DD208,65),0)</f>
        <v/>
      </c>
      <c r="BP208">
        <f>IFERROR(INDEX(PP_Grid[#Data],$DD208,66),0)</f>
        <v/>
      </c>
      <c r="BQ208">
        <f>IFERROR(INDEX(PP_Grid[#Data],$DD208,67),0)</f>
        <v/>
      </c>
      <c r="BR208">
        <f>IFERROR(INDEX(PP_Grid[#Data],$DD208,68),0)</f>
        <v/>
      </c>
      <c r="BS208">
        <f>IFERROR(INDEX(PP_Grid[#Data],$DD208,69),0)</f>
        <v/>
      </c>
      <c r="BT208">
        <f>IFERROR(INDEX(PP_Grid[#Data],$DD208,70),0)</f>
        <v/>
      </c>
      <c r="BU208">
        <f>IFERROR(INDEX(PP_Grid[#Data],$DD208,71),0)</f>
        <v/>
      </c>
      <c r="BV208">
        <f>IFERROR(INDEX(PP_Grid[#Data],$DD208,72),0)</f>
        <v/>
      </c>
      <c r="BW208">
        <f>IFERROR(INDEX(PP_Grid[#Data],$DD208,73),0)</f>
        <v/>
      </c>
      <c r="BX208">
        <f>IFERROR(INDEX(PP_Grid[#Data],$DD208,74),0)</f>
        <v/>
      </c>
      <c r="BY208">
        <f>IFERROR(INDEX(PP_Grid[#Data],$DD208,75),0)</f>
        <v/>
      </c>
      <c r="BZ208">
        <f>IFERROR(INDEX(PP_Grid[#Data],$DD208,76),0)</f>
        <v/>
      </c>
      <c r="CA208">
        <f>IFERROR(INDEX(PP_Grid[#Data],$DD208,77),0)</f>
        <v/>
      </c>
      <c r="CB208">
        <f>IFERROR(INDEX(PP_Grid[#Data],$DD208,78),0)</f>
        <v/>
      </c>
      <c r="CC208">
        <f>IFERROR(INDEX(PP_Grid[#Data],$DD208,79),0)</f>
        <v/>
      </c>
      <c r="CD208">
        <f>IFERROR(INDEX(PP_Grid[#Data],$DD208,80),0)</f>
        <v/>
      </c>
      <c r="CE208">
        <f>IFERROR(INDEX(PP_Grid[#Data],$DD208,81),0)</f>
        <v/>
      </c>
      <c r="CF208">
        <f>IFERROR(INDEX(PP_Grid[#Data],$DD208,82),0)</f>
        <v/>
      </c>
      <c r="CG208">
        <f>IFERROR(INDEX(PP_Grid[#Data],$DD208,83),0)</f>
        <v/>
      </c>
      <c r="CH208">
        <f>IFERROR(INDEX(PP_Grid[#Data],$DD208,84),0)</f>
        <v/>
      </c>
      <c r="CI208">
        <f>IFERROR(INDEX(PP_Grid[#Data],$DD208,85),0)</f>
        <v/>
      </c>
      <c r="CJ208">
        <f>IFERROR(INDEX(PP_Grid[#Data],$DD208,86),0)</f>
        <v/>
      </c>
      <c r="CK208">
        <f>IFERROR(INDEX(PP_Grid[#Data],$DD208,87),0)</f>
        <v/>
      </c>
      <c r="CL208">
        <f>IFERROR(INDEX(PP_Grid[#Data],$DD208,88),0)</f>
        <v/>
      </c>
      <c r="CM208">
        <f>IFERROR(INDEX(PP_Grid[#Data],$DD208,89),0)</f>
        <v/>
      </c>
      <c r="CN208">
        <f>IFERROR(INDEX(PP_Grid[#Data],$DD208,90),0)</f>
        <v/>
      </c>
      <c r="CO208">
        <f>IFERROR(INDEX(PP_Grid[#Data],$DD208,91),0)</f>
        <v/>
      </c>
      <c r="CP208">
        <f>IFERROR(INDEX(PP_Grid[#Data],$DD208,92),0)</f>
        <v/>
      </c>
      <c r="CQ208">
        <f>IFERROR(INDEX(PP_Grid[#Data],$DD208,93),0)</f>
        <v/>
      </c>
      <c r="CR208">
        <f>IFERROR(INDEX(PP_Grid[#Data],$DD208,94),0)</f>
        <v/>
      </c>
      <c r="CS208">
        <f>IFERROR(INDEX(PP_Grid[#Data],$DD208,95),0)</f>
        <v/>
      </c>
      <c r="CT208">
        <f>IFERROR(INDEX(PP_Grid[#Data],$DD208,96),0)</f>
        <v/>
      </c>
      <c r="CU208">
        <f>IFERROR(INDEX(PP_Grid[#Data],$DD208,97),0)</f>
        <v/>
      </c>
      <c r="CV208">
        <f>IFERROR(INDEX(PP_Grid[#Data],$DD208,98),0)</f>
        <v/>
      </c>
      <c r="CW208">
        <f>IFERROR(INDEX(PP_Grid[#Data],$DD208,99),0)</f>
        <v/>
      </c>
      <c r="CX208">
        <f>IFERROR(INDEX(PP_Grid[#Data],$DD208,100),0)</f>
        <v/>
      </c>
      <c r="CY208">
        <f>IFERROR(INDEX(PP_Grid[#Data],$DD208,101),0)</f>
        <v/>
      </c>
      <c r="CZ208">
        <f>IFERROR(INDEX(PP_Grid[#Data],$DD208,102),0)</f>
        <v/>
      </c>
      <c r="DA208">
        <f>IFERROR(INDEX(PP_Grid[#Data],$DD208,103),0)</f>
        <v/>
      </c>
      <c r="DB208">
        <f>IFERROR(INDEX(PP_Grid[#Data],$DD208,104),0)</f>
        <v/>
      </c>
      <c r="DC208">
        <f>IFERROR(INDEX(PP_Grid[#Data],$DD208,105),0)</f>
        <v/>
      </c>
      <c r="DD208" s="12">
        <f>IFERROR(MATCH($B208,PP_Grid[Intermediate],0),99999)</f>
        <v/>
      </c>
    </row>
    <row r="209">
      <c r="B209" t="inlineStr">
        <is>
          <t>使用量(kg)</t>
        </is>
      </c>
      <c r="C209">
        <f>SUMIFS(M_BOM[RM_Qty_Per_Batch],M_BOM[Intermediate],$B208,M_BOM[Part Name],$A203)</f>
        <v/>
      </c>
      <c r="D209">
        <f>$C209*D208</f>
        <v/>
      </c>
      <c r="E209">
        <f>$C209*E208</f>
        <v/>
      </c>
      <c r="F209">
        <f>$C209*F208</f>
        <v/>
      </c>
      <c r="G209">
        <f>$C209*G208</f>
        <v/>
      </c>
      <c r="H209">
        <f>$C209*H208</f>
        <v/>
      </c>
      <c r="I209">
        <f>$C209*I208</f>
        <v/>
      </c>
      <c r="J209">
        <f>$C209*J208</f>
        <v/>
      </c>
      <c r="K209">
        <f>$C209*K208</f>
        <v/>
      </c>
      <c r="L209">
        <f>$C209*L208</f>
        <v/>
      </c>
      <c r="M209">
        <f>$C209*M208</f>
        <v/>
      </c>
      <c r="N209">
        <f>$C209*N208</f>
        <v/>
      </c>
      <c r="O209">
        <f>$C209*O208</f>
        <v/>
      </c>
      <c r="P209">
        <f>$C209*P208</f>
        <v/>
      </c>
      <c r="Q209">
        <f>$C209*Q208</f>
        <v/>
      </c>
      <c r="R209">
        <f>$C209*R208</f>
        <v/>
      </c>
      <c r="S209">
        <f>$C209*S208</f>
        <v/>
      </c>
      <c r="T209">
        <f>$C209*T208</f>
        <v/>
      </c>
      <c r="U209">
        <f>$C209*U208</f>
        <v/>
      </c>
      <c r="V209">
        <f>$C209*V208</f>
        <v/>
      </c>
      <c r="W209">
        <f>$C209*W208</f>
        <v/>
      </c>
      <c r="X209">
        <f>$C209*X208</f>
        <v/>
      </c>
      <c r="Y209">
        <f>$C209*Y208</f>
        <v/>
      </c>
      <c r="Z209">
        <f>$C209*Z208</f>
        <v/>
      </c>
      <c r="AA209">
        <f>$C209*AA208</f>
        <v/>
      </c>
      <c r="AB209">
        <f>$C209*AB208</f>
        <v/>
      </c>
      <c r="AC209">
        <f>$C209*AC208</f>
        <v/>
      </c>
      <c r="AD209">
        <f>$C209*AD208</f>
        <v/>
      </c>
      <c r="AE209">
        <f>$C209*AE208</f>
        <v/>
      </c>
      <c r="AF209">
        <f>$C209*AF208</f>
        <v/>
      </c>
      <c r="AG209">
        <f>$C209*AG208</f>
        <v/>
      </c>
      <c r="AH209">
        <f>$C209*AH208</f>
        <v/>
      </c>
      <c r="AI209">
        <f>$C209*AI208</f>
        <v/>
      </c>
      <c r="AJ209">
        <f>$C209*AJ208</f>
        <v/>
      </c>
      <c r="AK209">
        <f>$C209*AK208</f>
        <v/>
      </c>
      <c r="AL209">
        <f>$C209*AL208</f>
        <v/>
      </c>
      <c r="AM209">
        <f>$C209*AM208</f>
        <v/>
      </c>
      <c r="AN209">
        <f>$C209*AN208</f>
        <v/>
      </c>
      <c r="AO209">
        <f>$C209*AO208</f>
        <v/>
      </c>
      <c r="AP209">
        <f>$C209*AP208</f>
        <v/>
      </c>
      <c r="AQ209">
        <f>$C209*AQ208</f>
        <v/>
      </c>
      <c r="AR209">
        <f>$C209*AR208</f>
        <v/>
      </c>
      <c r="AS209">
        <f>$C209*AS208</f>
        <v/>
      </c>
      <c r="AT209">
        <f>$C209*AT208</f>
        <v/>
      </c>
      <c r="AU209">
        <f>$C209*AU208</f>
        <v/>
      </c>
      <c r="AV209">
        <f>$C209*AV208</f>
        <v/>
      </c>
      <c r="AW209">
        <f>$C209*AW208</f>
        <v/>
      </c>
      <c r="AX209">
        <f>$C209*AX208</f>
        <v/>
      </c>
      <c r="AY209">
        <f>$C209*AY208</f>
        <v/>
      </c>
      <c r="AZ209">
        <f>$C209*AZ208</f>
        <v/>
      </c>
      <c r="BA209">
        <f>$C209*BA208</f>
        <v/>
      </c>
      <c r="BB209">
        <f>$C209*BB208</f>
        <v/>
      </c>
      <c r="BC209">
        <f>$C209*BC208</f>
        <v/>
      </c>
      <c r="BD209">
        <f>$C209*BD208</f>
        <v/>
      </c>
      <c r="BE209">
        <f>$C209*BE208</f>
        <v/>
      </c>
      <c r="BF209">
        <f>$C209*BF208</f>
        <v/>
      </c>
      <c r="BG209">
        <f>$C209*BG208</f>
        <v/>
      </c>
      <c r="BH209">
        <f>$C209*BH208</f>
        <v/>
      </c>
      <c r="BI209">
        <f>$C209*BI208</f>
        <v/>
      </c>
      <c r="BJ209">
        <f>$C209*BJ208</f>
        <v/>
      </c>
      <c r="BK209">
        <f>$C209*BK208</f>
        <v/>
      </c>
      <c r="BL209">
        <f>$C209*BL208</f>
        <v/>
      </c>
      <c r="BM209">
        <f>$C209*BM208</f>
        <v/>
      </c>
      <c r="BN209">
        <f>$C209*BN208</f>
        <v/>
      </c>
      <c r="BO209">
        <f>$C209*BO208</f>
        <v/>
      </c>
      <c r="BP209">
        <f>$C209*BP208</f>
        <v/>
      </c>
      <c r="BQ209">
        <f>$C209*BQ208</f>
        <v/>
      </c>
      <c r="BR209">
        <f>$C209*BR208</f>
        <v/>
      </c>
      <c r="BS209">
        <f>$C209*BS208</f>
        <v/>
      </c>
      <c r="BT209">
        <f>$C209*BT208</f>
        <v/>
      </c>
      <c r="BU209">
        <f>$C209*BU208</f>
        <v/>
      </c>
      <c r="BV209">
        <f>$C209*BV208</f>
        <v/>
      </c>
      <c r="BW209">
        <f>$C209*BW208</f>
        <v/>
      </c>
      <c r="BX209">
        <f>$C209*BX208</f>
        <v/>
      </c>
      <c r="BY209">
        <f>$C209*BY208</f>
        <v/>
      </c>
      <c r="BZ209">
        <f>$C209*BZ208</f>
        <v/>
      </c>
      <c r="CA209">
        <f>$C209*CA208</f>
        <v/>
      </c>
      <c r="CB209">
        <f>$C209*CB208</f>
        <v/>
      </c>
      <c r="CC209">
        <f>$C209*CC208</f>
        <v/>
      </c>
      <c r="CD209">
        <f>$C209*CD208</f>
        <v/>
      </c>
      <c r="CE209">
        <f>$C209*CE208</f>
        <v/>
      </c>
      <c r="CF209">
        <f>$C209*CF208</f>
        <v/>
      </c>
      <c r="CG209">
        <f>$C209*CG208</f>
        <v/>
      </c>
      <c r="CH209">
        <f>$C209*CH208</f>
        <v/>
      </c>
      <c r="CI209">
        <f>$C209*CI208</f>
        <v/>
      </c>
      <c r="CJ209">
        <f>$C209*CJ208</f>
        <v/>
      </c>
      <c r="CK209">
        <f>$C209*CK208</f>
        <v/>
      </c>
      <c r="CL209">
        <f>$C209*CL208</f>
        <v/>
      </c>
      <c r="CM209">
        <f>$C209*CM208</f>
        <v/>
      </c>
      <c r="CN209">
        <f>$C209*CN208</f>
        <v/>
      </c>
      <c r="CO209">
        <f>$C209*CO208</f>
        <v/>
      </c>
      <c r="CP209">
        <f>$C209*CP208</f>
        <v/>
      </c>
      <c r="CQ209">
        <f>$C209*CQ208</f>
        <v/>
      </c>
      <c r="CR209">
        <f>$C209*CR208</f>
        <v/>
      </c>
      <c r="CS209">
        <f>$C209*CS208</f>
        <v/>
      </c>
      <c r="CT209">
        <f>$C209*CT208</f>
        <v/>
      </c>
      <c r="CU209">
        <f>$C209*CU208</f>
        <v/>
      </c>
      <c r="CV209">
        <f>$C209*CV208</f>
        <v/>
      </c>
      <c r="CW209">
        <f>$C209*CW208</f>
        <v/>
      </c>
      <c r="CX209">
        <f>$C209*CX208</f>
        <v/>
      </c>
      <c r="CY209">
        <f>$C209*CY208</f>
        <v/>
      </c>
      <c r="CZ209">
        <f>$C209*CZ208</f>
        <v/>
      </c>
      <c r="DA209">
        <f>$C209*DA208</f>
        <v/>
      </c>
      <c r="DB209">
        <f>$C209*DB208</f>
        <v/>
      </c>
      <c r="DC209">
        <f>$C209*DC208</f>
        <v/>
      </c>
    </row>
    <row r="210">
      <c r="B210" t="inlineStr">
        <is>
          <t>TSP-1499</t>
        </is>
      </c>
      <c r="C210" t="inlineStr">
        <is>
          <t>No. of batches</t>
        </is>
      </c>
      <c r="D210">
        <f>IFERROR(INDEX(PP_Grid[#Data],$DD210,2),0)</f>
        <v/>
      </c>
      <c r="E210">
        <f>IFERROR(INDEX(PP_Grid[#Data],$DD210,3),0)</f>
        <v/>
      </c>
      <c r="F210">
        <f>IFERROR(INDEX(PP_Grid[#Data],$DD210,4),0)</f>
        <v/>
      </c>
      <c r="G210">
        <f>IFERROR(INDEX(PP_Grid[#Data],$DD210,5),0)</f>
        <v/>
      </c>
      <c r="H210">
        <f>IFERROR(INDEX(PP_Grid[#Data],$DD210,6),0)</f>
        <v/>
      </c>
      <c r="I210">
        <f>IFERROR(INDEX(PP_Grid[#Data],$DD210,7),0)</f>
        <v/>
      </c>
      <c r="J210">
        <f>IFERROR(INDEX(PP_Grid[#Data],$DD210,8),0)</f>
        <v/>
      </c>
      <c r="K210">
        <f>IFERROR(INDEX(PP_Grid[#Data],$DD210,9),0)</f>
        <v/>
      </c>
      <c r="L210">
        <f>IFERROR(INDEX(PP_Grid[#Data],$DD210,10),0)</f>
        <v/>
      </c>
      <c r="M210">
        <f>IFERROR(INDEX(PP_Grid[#Data],$DD210,11),0)</f>
        <v/>
      </c>
      <c r="N210">
        <f>IFERROR(INDEX(PP_Grid[#Data],$DD210,12),0)</f>
        <v/>
      </c>
      <c r="O210">
        <f>IFERROR(INDEX(PP_Grid[#Data],$DD210,13),0)</f>
        <v/>
      </c>
      <c r="P210">
        <f>IFERROR(INDEX(PP_Grid[#Data],$DD210,14),0)</f>
        <v/>
      </c>
      <c r="Q210">
        <f>IFERROR(INDEX(PP_Grid[#Data],$DD210,15),0)</f>
        <v/>
      </c>
      <c r="R210">
        <f>IFERROR(INDEX(PP_Grid[#Data],$DD210,16),0)</f>
        <v/>
      </c>
      <c r="S210">
        <f>IFERROR(INDEX(PP_Grid[#Data],$DD210,17),0)</f>
        <v/>
      </c>
      <c r="T210">
        <f>IFERROR(INDEX(PP_Grid[#Data],$DD210,18),0)</f>
        <v/>
      </c>
      <c r="U210">
        <f>IFERROR(INDEX(PP_Grid[#Data],$DD210,19),0)</f>
        <v/>
      </c>
      <c r="V210">
        <f>IFERROR(INDEX(PP_Grid[#Data],$DD210,20),0)</f>
        <v/>
      </c>
      <c r="W210">
        <f>IFERROR(INDEX(PP_Grid[#Data],$DD210,21),0)</f>
        <v/>
      </c>
      <c r="X210">
        <f>IFERROR(INDEX(PP_Grid[#Data],$DD210,22),0)</f>
        <v/>
      </c>
      <c r="Y210">
        <f>IFERROR(INDEX(PP_Grid[#Data],$DD210,23),0)</f>
        <v/>
      </c>
      <c r="Z210">
        <f>IFERROR(INDEX(PP_Grid[#Data],$DD210,24),0)</f>
        <v/>
      </c>
      <c r="AA210">
        <f>IFERROR(INDEX(PP_Grid[#Data],$DD210,25),0)</f>
        <v/>
      </c>
      <c r="AB210">
        <f>IFERROR(INDEX(PP_Grid[#Data],$DD210,26),0)</f>
        <v/>
      </c>
      <c r="AC210">
        <f>IFERROR(INDEX(PP_Grid[#Data],$DD210,27),0)</f>
        <v/>
      </c>
      <c r="AD210">
        <f>IFERROR(INDEX(PP_Grid[#Data],$DD210,28),0)</f>
        <v/>
      </c>
      <c r="AE210">
        <f>IFERROR(INDEX(PP_Grid[#Data],$DD210,29),0)</f>
        <v/>
      </c>
      <c r="AF210">
        <f>IFERROR(INDEX(PP_Grid[#Data],$DD210,30),0)</f>
        <v/>
      </c>
      <c r="AG210">
        <f>IFERROR(INDEX(PP_Grid[#Data],$DD210,31),0)</f>
        <v/>
      </c>
      <c r="AH210">
        <f>IFERROR(INDEX(PP_Grid[#Data],$DD210,32),0)</f>
        <v/>
      </c>
      <c r="AI210">
        <f>IFERROR(INDEX(PP_Grid[#Data],$DD210,33),0)</f>
        <v/>
      </c>
      <c r="AJ210">
        <f>IFERROR(INDEX(PP_Grid[#Data],$DD210,34),0)</f>
        <v/>
      </c>
      <c r="AK210">
        <f>IFERROR(INDEX(PP_Grid[#Data],$DD210,35),0)</f>
        <v/>
      </c>
      <c r="AL210">
        <f>IFERROR(INDEX(PP_Grid[#Data],$DD210,36),0)</f>
        <v/>
      </c>
      <c r="AM210">
        <f>IFERROR(INDEX(PP_Grid[#Data],$DD210,37),0)</f>
        <v/>
      </c>
      <c r="AN210">
        <f>IFERROR(INDEX(PP_Grid[#Data],$DD210,38),0)</f>
        <v/>
      </c>
      <c r="AO210">
        <f>IFERROR(INDEX(PP_Grid[#Data],$DD210,39),0)</f>
        <v/>
      </c>
      <c r="AP210">
        <f>IFERROR(INDEX(PP_Grid[#Data],$DD210,40),0)</f>
        <v/>
      </c>
      <c r="AQ210">
        <f>IFERROR(INDEX(PP_Grid[#Data],$DD210,41),0)</f>
        <v/>
      </c>
      <c r="AR210">
        <f>IFERROR(INDEX(PP_Grid[#Data],$DD210,42),0)</f>
        <v/>
      </c>
      <c r="AS210">
        <f>IFERROR(INDEX(PP_Grid[#Data],$DD210,43),0)</f>
        <v/>
      </c>
      <c r="AT210">
        <f>IFERROR(INDEX(PP_Grid[#Data],$DD210,44),0)</f>
        <v/>
      </c>
      <c r="AU210">
        <f>IFERROR(INDEX(PP_Grid[#Data],$DD210,45),0)</f>
        <v/>
      </c>
      <c r="AV210">
        <f>IFERROR(INDEX(PP_Grid[#Data],$DD210,46),0)</f>
        <v/>
      </c>
      <c r="AW210">
        <f>IFERROR(INDEX(PP_Grid[#Data],$DD210,47),0)</f>
        <v/>
      </c>
      <c r="AX210">
        <f>IFERROR(INDEX(PP_Grid[#Data],$DD210,48),0)</f>
        <v/>
      </c>
      <c r="AY210">
        <f>IFERROR(INDEX(PP_Grid[#Data],$DD210,49),0)</f>
        <v/>
      </c>
      <c r="AZ210">
        <f>IFERROR(INDEX(PP_Grid[#Data],$DD210,50),0)</f>
        <v/>
      </c>
      <c r="BA210">
        <f>IFERROR(INDEX(PP_Grid[#Data],$DD210,51),0)</f>
        <v/>
      </c>
      <c r="BB210">
        <f>IFERROR(INDEX(PP_Grid[#Data],$DD210,52),0)</f>
        <v/>
      </c>
      <c r="BC210">
        <f>IFERROR(INDEX(PP_Grid[#Data],$DD210,53),0)</f>
        <v/>
      </c>
      <c r="BD210">
        <f>IFERROR(INDEX(PP_Grid[#Data],$DD210,54),0)</f>
        <v/>
      </c>
      <c r="BE210">
        <f>IFERROR(INDEX(PP_Grid[#Data],$DD210,55),0)</f>
        <v/>
      </c>
      <c r="BF210">
        <f>IFERROR(INDEX(PP_Grid[#Data],$DD210,56),0)</f>
        <v/>
      </c>
      <c r="BG210">
        <f>IFERROR(INDEX(PP_Grid[#Data],$DD210,57),0)</f>
        <v/>
      </c>
      <c r="BH210">
        <f>IFERROR(INDEX(PP_Grid[#Data],$DD210,58),0)</f>
        <v/>
      </c>
      <c r="BI210">
        <f>IFERROR(INDEX(PP_Grid[#Data],$DD210,59),0)</f>
        <v/>
      </c>
      <c r="BJ210">
        <f>IFERROR(INDEX(PP_Grid[#Data],$DD210,60),0)</f>
        <v/>
      </c>
      <c r="BK210">
        <f>IFERROR(INDEX(PP_Grid[#Data],$DD210,61),0)</f>
        <v/>
      </c>
      <c r="BL210">
        <f>IFERROR(INDEX(PP_Grid[#Data],$DD210,62),0)</f>
        <v/>
      </c>
      <c r="BM210">
        <f>IFERROR(INDEX(PP_Grid[#Data],$DD210,63),0)</f>
        <v/>
      </c>
      <c r="BN210">
        <f>IFERROR(INDEX(PP_Grid[#Data],$DD210,64),0)</f>
        <v/>
      </c>
      <c r="BO210">
        <f>IFERROR(INDEX(PP_Grid[#Data],$DD210,65),0)</f>
        <v/>
      </c>
      <c r="BP210">
        <f>IFERROR(INDEX(PP_Grid[#Data],$DD210,66),0)</f>
        <v/>
      </c>
      <c r="BQ210">
        <f>IFERROR(INDEX(PP_Grid[#Data],$DD210,67),0)</f>
        <v/>
      </c>
      <c r="BR210">
        <f>IFERROR(INDEX(PP_Grid[#Data],$DD210,68),0)</f>
        <v/>
      </c>
      <c r="BS210">
        <f>IFERROR(INDEX(PP_Grid[#Data],$DD210,69),0)</f>
        <v/>
      </c>
      <c r="BT210">
        <f>IFERROR(INDEX(PP_Grid[#Data],$DD210,70),0)</f>
        <v/>
      </c>
      <c r="BU210">
        <f>IFERROR(INDEX(PP_Grid[#Data],$DD210,71),0)</f>
        <v/>
      </c>
      <c r="BV210">
        <f>IFERROR(INDEX(PP_Grid[#Data],$DD210,72),0)</f>
        <v/>
      </c>
      <c r="BW210">
        <f>IFERROR(INDEX(PP_Grid[#Data],$DD210,73),0)</f>
        <v/>
      </c>
      <c r="BX210">
        <f>IFERROR(INDEX(PP_Grid[#Data],$DD210,74),0)</f>
        <v/>
      </c>
      <c r="BY210">
        <f>IFERROR(INDEX(PP_Grid[#Data],$DD210,75),0)</f>
        <v/>
      </c>
      <c r="BZ210">
        <f>IFERROR(INDEX(PP_Grid[#Data],$DD210,76),0)</f>
        <v/>
      </c>
      <c r="CA210">
        <f>IFERROR(INDEX(PP_Grid[#Data],$DD210,77),0)</f>
        <v/>
      </c>
      <c r="CB210">
        <f>IFERROR(INDEX(PP_Grid[#Data],$DD210,78),0)</f>
        <v/>
      </c>
      <c r="CC210">
        <f>IFERROR(INDEX(PP_Grid[#Data],$DD210,79),0)</f>
        <v/>
      </c>
      <c r="CD210">
        <f>IFERROR(INDEX(PP_Grid[#Data],$DD210,80),0)</f>
        <v/>
      </c>
      <c r="CE210">
        <f>IFERROR(INDEX(PP_Grid[#Data],$DD210,81),0)</f>
        <v/>
      </c>
      <c r="CF210">
        <f>IFERROR(INDEX(PP_Grid[#Data],$DD210,82),0)</f>
        <v/>
      </c>
      <c r="CG210">
        <f>IFERROR(INDEX(PP_Grid[#Data],$DD210,83),0)</f>
        <v/>
      </c>
      <c r="CH210">
        <f>IFERROR(INDEX(PP_Grid[#Data],$DD210,84),0)</f>
        <v/>
      </c>
      <c r="CI210">
        <f>IFERROR(INDEX(PP_Grid[#Data],$DD210,85),0)</f>
        <v/>
      </c>
      <c r="CJ210">
        <f>IFERROR(INDEX(PP_Grid[#Data],$DD210,86),0)</f>
        <v/>
      </c>
      <c r="CK210">
        <f>IFERROR(INDEX(PP_Grid[#Data],$DD210,87),0)</f>
        <v/>
      </c>
      <c r="CL210">
        <f>IFERROR(INDEX(PP_Grid[#Data],$DD210,88),0)</f>
        <v/>
      </c>
      <c r="CM210">
        <f>IFERROR(INDEX(PP_Grid[#Data],$DD210,89),0)</f>
        <v/>
      </c>
      <c r="CN210">
        <f>IFERROR(INDEX(PP_Grid[#Data],$DD210,90),0)</f>
        <v/>
      </c>
      <c r="CO210">
        <f>IFERROR(INDEX(PP_Grid[#Data],$DD210,91),0)</f>
        <v/>
      </c>
      <c r="CP210">
        <f>IFERROR(INDEX(PP_Grid[#Data],$DD210,92),0)</f>
        <v/>
      </c>
      <c r="CQ210">
        <f>IFERROR(INDEX(PP_Grid[#Data],$DD210,93),0)</f>
        <v/>
      </c>
      <c r="CR210">
        <f>IFERROR(INDEX(PP_Grid[#Data],$DD210,94),0)</f>
        <v/>
      </c>
      <c r="CS210">
        <f>IFERROR(INDEX(PP_Grid[#Data],$DD210,95),0)</f>
        <v/>
      </c>
      <c r="CT210">
        <f>IFERROR(INDEX(PP_Grid[#Data],$DD210,96),0)</f>
        <v/>
      </c>
      <c r="CU210">
        <f>IFERROR(INDEX(PP_Grid[#Data],$DD210,97),0)</f>
        <v/>
      </c>
      <c r="CV210">
        <f>IFERROR(INDEX(PP_Grid[#Data],$DD210,98),0)</f>
        <v/>
      </c>
      <c r="CW210">
        <f>IFERROR(INDEX(PP_Grid[#Data],$DD210,99),0)</f>
        <v/>
      </c>
      <c r="CX210">
        <f>IFERROR(INDEX(PP_Grid[#Data],$DD210,100),0)</f>
        <v/>
      </c>
      <c r="CY210">
        <f>IFERROR(INDEX(PP_Grid[#Data],$DD210,101),0)</f>
        <v/>
      </c>
      <c r="CZ210">
        <f>IFERROR(INDEX(PP_Grid[#Data],$DD210,102),0)</f>
        <v/>
      </c>
      <c r="DA210">
        <f>IFERROR(INDEX(PP_Grid[#Data],$DD210,103),0)</f>
        <v/>
      </c>
      <c r="DB210">
        <f>IFERROR(INDEX(PP_Grid[#Data],$DD210,104),0)</f>
        <v/>
      </c>
      <c r="DC210">
        <f>IFERROR(INDEX(PP_Grid[#Data],$DD210,105),0)</f>
        <v/>
      </c>
      <c r="DD210" s="12">
        <f>IFERROR(MATCH($B210,PP_Grid[Intermediate],0),99999)</f>
        <v/>
      </c>
    </row>
    <row r="211">
      <c r="B211" t="inlineStr">
        <is>
          <t>使用量(kg)</t>
        </is>
      </c>
      <c r="C211">
        <f>SUMIFS(M_BOM[RM_Qty_Per_Batch],M_BOM[Intermediate],$B210,M_BOM[Part Name],$A203)</f>
        <v/>
      </c>
      <c r="D211">
        <f>$C211*D210</f>
        <v/>
      </c>
      <c r="E211">
        <f>$C211*E210</f>
        <v/>
      </c>
      <c r="F211">
        <f>$C211*F210</f>
        <v/>
      </c>
      <c r="G211">
        <f>$C211*G210</f>
        <v/>
      </c>
      <c r="H211">
        <f>$C211*H210</f>
        <v/>
      </c>
      <c r="I211">
        <f>$C211*I210</f>
        <v/>
      </c>
      <c r="J211">
        <f>$C211*J210</f>
        <v/>
      </c>
      <c r="K211">
        <f>$C211*K210</f>
        <v/>
      </c>
      <c r="L211">
        <f>$C211*L210</f>
        <v/>
      </c>
      <c r="M211">
        <f>$C211*M210</f>
        <v/>
      </c>
      <c r="N211">
        <f>$C211*N210</f>
        <v/>
      </c>
      <c r="O211">
        <f>$C211*O210</f>
        <v/>
      </c>
      <c r="P211">
        <f>$C211*P210</f>
        <v/>
      </c>
      <c r="Q211">
        <f>$C211*Q210</f>
        <v/>
      </c>
      <c r="R211">
        <f>$C211*R210</f>
        <v/>
      </c>
      <c r="S211">
        <f>$C211*S210</f>
        <v/>
      </c>
      <c r="T211">
        <f>$C211*T210</f>
        <v/>
      </c>
      <c r="U211">
        <f>$C211*U210</f>
        <v/>
      </c>
      <c r="V211">
        <f>$C211*V210</f>
        <v/>
      </c>
      <c r="W211">
        <f>$C211*W210</f>
        <v/>
      </c>
      <c r="X211">
        <f>$C211*X210</f>
        <v/>
      </c>
      <c r="Y211">
        <f>$C211*Y210</f>
        <v/>
      </c>
      <c r="Z211">
        <f>$C211*Z210</f>
        <v/>
      </c>
      <c r="AA211">
        <f>$C211*AA210</f>
        <v/>
      </c>
      <c r="AB211">
        <f>$C211*AB210</f>
        <v/>
      </c>
      <c r="AC211">
        <f>$C211*AC210</f>
        <v/>
      </c>
      <c r="AD211">
        <f>$C211*AD210</f>
        <v/>
      </c>
      <c r="AE211">
        <f>$C211*AE210</f>
        <v/>
      </c>
      <c r="AF211">
        <f>$C211*AF210</f>
        <v/>
      </c>
      <c r="AG211">
        <f>$C211*AG210</f>
        <v/>
      </c>
      <c r="AH211">
        <f>$C211*AH210</f>
        <v/>
      </c>
      <c r="AI211">
        <f>$C211*AI210</f>
        <v/>
      </c>
      <c r="AJ211">
        <f>$C211*AJ210</f>
        <v/>
      </c>
      <c r="AK211">
        <f>$C211*AK210</f>
        <v/>
      </c>
      <c r="AL211">
        <f>$C211*AL210</f>
        <v/>
      </c>
      <c r="AM211">
        <f>$C211*AM210</f>
        <v/>
      </c>
      <c r="AN211">
        <f>$C211*AN210</f>
        <v/>
      </c>
      <c r="AO211">
        <f>$C211*AO210</f>
        <v/>
      </c>
      <c r="AP211">
        <f>$C211*AP210</f>
        <v/>
      </c>
      <c r="AQ211">
        <f>$C211*AQ210</f>
        <v/>
      </c>
      <c r="AR211">
        <f>$C211*AR210</f>
        <v/>
      </c>
      <c r="AS211">
        <f>$C211*AS210</f>
        <v/>
      </c>
      <c r="AT211">
        <f>$C211*AT210</f>
        <v/>
      </c>
      <c r="AU211">
        <f>$C211*AU210</f>
        <v/>
      </c>
      <c r="AV211">
        <f>$C211*AV210</f>
        <v/>
      </c>
      <c r="AW211">
        <f>$C211*AW210</f>
        <v/>
      </c>
      <c r="AX211">
        <f>$C211*AX210</f>
        <v/>
      </c>
      <c r="AY211">
        <f>$C211*AY210</f>
        <v/>
      </c>
      <c r="AZ211">
        <f>$C211*AZ210</f>
        <v/>
      </c>
      <c r="BA211">
        <f>$C211*BA210</f>
        <v/>
      </c>
      <c r="BB211">
        <f>$C211*BB210</f>
        <v/>
      </c>
      <c r="BC211">
        <f>$C211*BC210</f>
        <v/>
      </c>
      <c r="BD211">
        <f>$C211*BD210</f>
        <v/>
      </c>
      <c r="BE211">
        <f>$C211*BE210</f>
        <v/>
      </c>
      <c r="BF211">
        <f>$C211*BF210</f>
        <v/>
      </c>
      <c r="BG211">
        <f>$C211*BG210</f>
        <v/>
      </c>
      <c r="BH211">
        <f>$C211*BH210</f>
        <v/>
      </c>
      <c r="BI211">
        <f>$C211*BI210</f>
        <v/>
      </c>
      <c r="BJ211">
        <f>$C211*BJ210</f>
        <v/>
      </c>
      <c r="BK211">
        <f>$C211*BK210</f>
        <v/>
      </c>
      <c r="BL211">
        <f>$C211*BL210</f>
        <v/>
      </c>
      <c r="BM211">
        <f>$C211*BM210</f>
        <v/>
      </c>
      <c r="BN211">
        <f>$C211*BN210</f>
        <v/>
      </c>
      <c r="BO211">
        <f>$C211*BO210</f>
        <v/>
      </c>
      <c r="BP211">
        <f>$C211*BP210</f>
        <v/>
      </c>
      <c r="BQ211">
        <f>$C211*BQ210</f>
        <v/>
      </c>
      <c r="BR211">
        <f>$C211*BR210</f>
        <v/>
      </c>
      <c r="BS211">
        <f>$C211*BS210</f>
        <v/>
      </c>
      <c r="BT211">
        <f>$C211*BT210</f>
        <v/>
      </c>
      <c r="BU211">
        <f>$C211*BU210</f>
        <v/>
      </c>
      <c r="BV211">
        <f>$C211*BV210</f>
        <v/>
      </c>
      <c r="BW211">
        <f>$C211*BW210</f>
        <v/>
      </c>
      <c r="BX211">
        <f>$C211*BX210</f>
        <v/>
      </c>
      <c r="BY211">
        <f>$C211*BY210</f>
        <v/>
      </c>
      <c r="BZ211">
        <f>$C211*BZ210</f>
        <v/>
      </c>
      <c r="CA211">
        <f>$C211*CA210</f>
        <v/>
      </c>
      <c r="CB211">
        <f>$C211*CB210</f>
        <v/>
      </c>
      <c r="CC211">
        <f>$C211*CC210</f>
        <v/>
      </c>
      <c r="CD211">
        <f>$C211*CD210</f>
        <v/>
      </c>
      <c r="CE211">
        <f>$C211*CE210</f>
        <v/>
      </c>
      <c r="CF211">
        <f>$C211*CF210</f>
        <v/>
      </c>
      <c r="CG211">
        <f>$C211*CG210</f>
        <v/>
      </c>
      <c r="CH211">
        <f>$C211*CH210</f>
        <v/>
      </c>
      <c r="CI211">
        <f>$C211*CI210</f>
        <v/>
      </c>
      <c r="CJ211">
        <f>$C211*CJ210</f>
        <v/>
      </c>
      <c r="CK211">
        <f>$C211*CK210</f>
        <v/>
      </c>
      <c r="CL211">
        <f>$C211*CL210</f>
        <v/>
      </c>
      <c r="CM211">
        <f>$C211*CM210</f>
        <v/>
      </c>
      <c r="CN211">
        <f>$C211*CN210</f>
        <v/>
      </c>
      <c r="CO211">
        <f>$C211*CO210</f>
        <v/>
      </c>
      <c r="CP211">
        <f>$C211*CP210</f>
        <v/>
      </c>
      <c r="CQ211">
        <f>$C211*CQ210</f>
        <v/>
      </c>
      <c r="CR211">
        <f>$C211*CR210</f>
        <v/>
      </c>
      <c r="CS211">
        <f>$C211*CS210</f>
        <v/>
      </c>
      <c r="CT211">
        <f>$C211*CT210</f>
        <v/>
      </c>
      <c r="CU211">
        <f>$C211*CU210</f>
        <v/>
      </c>
      <c r="CV211">
        <f>$C211*CV210</f>
        <v/>
      </c>
      <c r="CW211">
        <f>$C211*CW210</f>
        <v/>
      </c>
      <c r="CX211">
        <f>$C211*CX210</f>
        <v/>
      </c>
      <c r="CY211">
        <f>$C211*CY210</f>
        <v/>
      </c>
      <c r="CZ211">
        <f>$C211*CZ210</f>
        <v/>
      </c>
      <c r="DA211">
        <f>$C211*DA210</f>
        <v/>
      </c>
      <c r="DB211">
        <f>$C211*DB210</f>
        <v/>
      </c>
      <c r="DC211">
        <f>$C211*DC210</f>
        <v/>
      </c>
    </row>
    <row r="212">
      <c r="B212" t="inlineStr">
        <is>
          <t>TSP-1555</t>
        </is>
      </c>
      <c r="C212" t="inlineStr">
        <is>
          <t>No. of batches</t>
        </is>
      </c>
      <c r="D212">
        <f>IFERROR(INDEX(PP_Grid[#Data],$DD212,2),0)</f>
        <v/>
      </c>
      <c r="E212">
        <f>IFERROR(INDEX(PP_Grid[#Data],$DD212,3),0)</f>
        <v/>
      </c>
      <c r="F212">
        <f>IFERROR(INDEX(PP_Grid[#Data],$DD212,4),0)</f>
        <v/>
      </c>
      <c r="G212">
        <f>IFERROR(INDEX(PP_Grid[#Data],$DD212,5),0)</f>
        <v/>
      </c>
      <c r="H212">
        <f>IFERROR(INDEX(PP_Grid[#Data],$DD212,6),0)</f>
        <v/>
      </c>
      <c r="I212">
        <f>IFERROR(INDEX(PP_Grid[#Data],$DD212,7),0)</f>
        <v/>
      </c>
      <c r="J212">
        <f>IFERROR(INDEX(PP_Grid[#Data],$DD212,8),0)</f>
        <v/>
      </c>
      <c r="K212">
        <f>IFERROR(INDEX(PP_Grid[#Data],$DD212,9),0)</f>
        <v/>
      </c>
      <c r="L212">
        <f>IFERROR(INDEX(PP_Grid[#Data],$DD212,10),0)</f>
        <v/>
      </c>
      <c r="M212">
        <f>IFERROR(INDEX(PP_Grid[#Data],$DD212,11),0)</f>
        <v/>
      </c>
      <c r="N212">
        <f>IFERROR(INDEX(PP_Grid[#Data],$DD212,12),0)</f>
        <v/>
      </c>
      <c r="O212">
        <f>IFERROR(INDEX(PP_Grid[#Data],$DD212,13),0)</f>
        <v/>
      </c>
      <c r="P212">
        <f>IFERROR(INDEX(PP_Grid[#Data],$DD212,14),0)</f>
        <v/>
      </c>
      <c r="Q212">
        <f>IFERROR(INDEX(PP_Grid[#Data],$DD212,15),0)</f>
        <v/>
      </c>
      <c r="R212">
        <f>IFERROR(INDEX(PP_Grid[#Data],$DD212,16),0)</f>
        <v/>
      </c>
      <c r="S212">
        <f>IFERROR(INDEX(PP_Grid[#Data],$DD212,17),0)</f>
        <v/>
      </c>
      <c r="T212">
        <f>IFERROR(INDEX(PP_Grid[#Data],$DD212,18),0)</f>
        <v/>
      </c>
      <c r="U212">
        <f>IFERROR(INDEX(PP_Grid[#Data],$DD212,19),0)</f>
        <v/>
      </c>
      <c r="V212">
        <f>IFERROR(INDEX(PP_Grid[#Data],$DD212,20),0)</f>
        <v/>
      </c>
      <c r="W212">
        <f>IFERROR(INDEX(PP_Grid[#Data],$DD212,21),0)</f>
        <v/>
      </c>
      <c r="X212">
        <f>IFERROR(INDEX(PP_Grid[#Data],$DD212,22),0)</f>
        <v/>
      </c>
      <c r="Y212">
        <f>IFERROR(INDEX(PP_Grid[#Data],$DD212,23),0)</f>
        <v/>
      </c>
      <c r="Z212">
        <f>IFERROR(INDEX(PP_Grid[#Data],$DD212,24),0)</f>
        <v/>
      </c>
      <c r="AA212">
        <f>IFERROR(INDEX(PP_Grid[#Data],$DD212,25),0)</f>
        <v/>
      </c>
      <c r="AB212">
        <f>IFERROR(INDEX(PP_Grid[#Data],$DD212,26),0)</f>
        <v/>
      </c>
      <c r="AC212">
        <f>IFERROR(INDEX(PP_Grid[#Data],$DD212,27),0)</f>
        <v/>
      </c>
      <c r="AD212">
        <f>IFERROR(INDEX(PP_Grid[#Data],$DD212,28),0)</f>
        <v/>
      </c>
      <c r="AE212">
        <f>IFERROR(INDEX(PP_Grid[#Data],$DD212,29),0)</f>
        <v/>
      </c>
      <c r="AF212">
        <f>IFERROR(INDEX(PP_Grid[#Data],$DD212,30),0)</f>
        <v/>
      </c>
      <c r="AG212">
        <f>IFERROR(INDEX(PP_Grid[#Data],$DD212,31),0)</f>
        <v/>
      </c>
      <c r="AH212">
        <f>IFERROR(INDEX(PP_Grid[#Data],$DD212,32),0)</f>
        <v/>
      </c>
      <c r="AI212">
        <f>IFERROR(INDEX(PP_Grid[#Data],$DD212,33),0)</f>
        <v/>
      </c>
      <c r="AJ212">
        <f>IFERROR(INDEX(PP_Grid[#Data],$DD212,34),0)</f>
        <v/>
      </c>
      <c r="AK212">
        <f>IFERROR(INDEX(PP_Grid[#Data],$DD212,35),0)</f>
        <v/>
      </c>
      <c r="AL212">
        <f>IFERROR(INDEX(PP_Grid[#Data],$DD212,36),0)</f>
        <v/>
      </c>
      <c r="AM212">
        <f>IFERROR(INDEX(PP_Grid[#Data],$DD212,37),0)</f>
        <v/>
      </c>
      <c r="AN212">
        <f>IFERROR(INDEX(PP_Grid[#Data],$DD212,38),0)</f>
        <v/>
      </c>
      <c r="AO212">
        <f>IFERROR(INDEX(PP_Grid[#Data],$DD212,39),0)</f>
        <v/>
      </c>
      <c r="AP212">
        <f>IFERROR(INDEX(PP_Grid[#Data],$DD212,40),0)</f>
        <v/>
      </c>
      <c r="AQ212">
        <f>IFERROR(INDEX(PP_Grid[#Data],$DD212,41),0)</f>
        <v/>
      </c>
      <c r="AR212">
        <f>IFERROR(INDEX(PP_Grid[#Data],$DD212,42),0)</f>
        <v/>
      </c>
      <c r="AS212">
        <f>IFERROR(INDEX(PP_Grid[#Data],$DD212,43),0)</f>
        <v/>
      </c>
      <c r="AT212">
        <f>IFERROR(INDEX(PP_Grid[#Data],$DD212,44),0)</f>
        <v/>
      </c>
      <c r="AU212">
        <f>IFERROR(INDEX(PP_Grid[#Data],$DD212,45),0)</f>
        <v/>
      </c>
      <c r="AV212">
        <f>IFERROR(INDEX(PP_Grid[#Data],$DD212,46),0)</f>
        <v/>
      </c>
      <c r="AW212">
        <f>IFERROR(INDEX(PP_Grid[#Data],$DD212,47),0)</f>
        <v/>
      </c>
      <c r="AX212">
        <f>IFERROR(INDEX(PP_Grid[#Data],$DD212,48),0)</f>
        <v/>
      </c>
      <c r="AY212">
        <f>IFERROR(INDEX(PP_Grid[#Data],$DD212,49),0)</f>
        <v/>
      </c>
      <c r="AZ212">
        <f>IFERROR(INDEX(PP_Grid[#Data],$DD212,50),0)</f>
        <v/>
      </c>
      <c r="BA212">
        <f>IFERROR(INDEX(PP_Grid[#Data],$DD212,51),0)</f>
        <v/>
      </c>
      <c r="BB212">
        <f>IFERROR(INDEX(PP_Grid[#Data],$DD212,52),0)</f>
        <v/>
      </c>
      <c r="BC212">
        <f>IFERROR(INDEX(PP_Grid[#Data],$DD212,53),0)</f>
        <v/>
      </c>
      <c r="BD212">
        <f>IFERROR(INDEX(PP_Grid[#Data],$DD212,54),0)</f>
        <v/>
      </c>
      <c r="BE212">
        <f>IFERROR(INDEX(PP_Grid[#Data],$DD212,55),0)</f>
        <v/>
      </c>
      <c r="BF212">
        <f>IFERROR(INDEX(PP_Grid[#Data],$DD212,56),0)</f>
        <v/>
      </c>
      <c r="BG212">
        <f>IFERROR(INDEX(PP_Grid[#Data],$DD212,57),0)</f>
        <v/>
      </c>
      <c r="BH212">
        <f>IFERROR(INDEX(PP_Grid[#Data],$DD212,58),0)</f>
        <v/>
      </c>
      <c r="BI212">
        <f>IFERROR(INDEX(PP_Grid[#Data],$DD212,59),0)</f>
        <v/>
      </c>
      <c r="BJ212">
        <f>IFERROR(INDEX(PP_Grid[#Data],$DD212,60),0)</f>
        <v/>
      </c>
      <c r="BK212">
        <f>IFERROR(INDEX(PP_Grid[#Data],$DD212,61),0)</f>
        <v/>
      </c>
      <c r="BL212">
        <f>IFERROR(INDEX(PP_Grid[#Data],$DD212,62),0)</f>
        <v/>
      </c>
      <c r="BM212">
        <f>IFERROR(INDEX(PP_Grid[#Data],$DD212,63),0)</f>
        <v/>
      </c>
      <c r="BN212">
        <f>IFERROR(INDEX(PP_Grid[#Data],$DD212,64),0)</f>
        <v/>
      </c>
      <c r="BO212">
        <f>IFERROR(INDEX(PP_Grid[#Data],$DD212,65),0)</f>
        <v/>
      </c>
      <c r="BP212">
        <f>IFERROR(INDEX(PP_Grid[#Data],$DD212,66),0)</f>
        <v/>
      </c>
      <c r="BQ212">
        <f>IFERROR(INDEX(PP_Grid[#Data],$DD212,67),0)</f>
        <v/>
      </c>
      <c r="BR212">
        <f>IFERROR(INDEX(PP_Grid[#Data],$DD212,68),0)</f>
        <v/>
      </c>
      <c r="BS212">
        <f>IFERROR(INDEX(PP_Grid[#Data],$DD212,69),0)</f>
        <v/>
      </c>
      <c r="BT212">
        <f>IFERROR(INDEX(PP_Grid[#Data],$DD212,70),0)</f>
        <v/>
      </c>
      <c r="BU212">
        <f>IFERROR(INDEX(PP_Grid[#Data],$DD212,71),0)</f>
        <v/>
      </c>
      <c r="BV212">
        <f>IFERROR(INDEX(PP_Grid[#Data],$DD212,72),0)</f>
        <v/>
      </c>
      <c r="BW212">
        <f>IFERROR(INDEX(PP_Grid[#Data],$DD212,73),0)</f>
        <v/>
      </c>
      <c r="BX212">
        <f>IFERROR(INDEX(PP_Grid[#Data],$DD212,74),0)</f>
        <v/>
      </c>
      <c r="BY212">
        <f>IFERROR(INDEX(PP_Grid[#Data],$DD212,75),0)</f>
        <v/>
      </c>
      <c r="BZ212">
        <f>IFERROR(INDEX(PP_Grid[#Data],$DD212,76),0)</f>
        <v/>
      </c>
      <c r="CA212">
        <f>IFERROR(INDEX(PP_Grid[#Data],$DD212,77),0)</f>
        <v/>
      </c>
      <c r="CB212">
        <f>IFERROR(INDEX(PP_Grid[#Data],$DD212,78),0)</f>
        <v/>
      </c>
      <c r="CC212">
        <f>IFERROR(INDEX(PP_Grid[#Data],$DD212,79),0)</f>
        <v/>
      </c>
      <c r="CD212">
        <f>IFERROR(INDEX(PP_Grid[#Data],$DD212,80),0)</f>
        <v/>
      </c>
      <c r="CE212">
        <f>IFERROR(INDEX(PP_Grid[#Data],$DD212,81),0)</f>
        <v/>
      </c>
      <c r="CF212">
        <f>IFERROR(INDEX(PP_Grid[#Data],$DD212,82),0)</f>
        <v/>
      </c>
      <c r="CG212">
        <f>IFERROR(INDEX(PP_Grid[#Data],$DD212,83),0)</f>
        <v/>
      </c>
      <c r="CH212">
        <f>IFERROR(INDEX(PP_Grid[#Data],$DD212,84),0)</f>
        <v/>
      </c>
      <c r="CI212">
        <f>IFERROR(INDEX(PP_Grid[#Data],$DD212,85),0)</f>
        <v/>
      </c>
      <c r="CJ212">
        <f>IFERROR(INDEX(PP_Grid[#Data],$DD212,86),0)</f>
        <v/>
      </c>
      <c r="CK212">
        <f>IFERROR(INDEX(PP_Grid[#Data],$DD212,87),0)</f>
        <v/>
      </c>
      <c r="CL212">
        <f>IFERROR(INDEX(PP_Grid[#Data],$DD212,88),0)</f>
        <v/>
      </c>
      <c r="CM212">
        <f>IFERROR(INDEX(PP_Grid[#Data],$DD212,89),0)</f>
        <v/>
      </c>
      <c r="CN212">
        <f>IFERROR(INDEX(PP_Grid[#Data],$DD212,90),0)</f>
        <v/>
      </c>
      <c r="CO212">
        <f>IFERROR(INDEX(PP_Grid[#Data],$DD212,91),0)</f>
        <v/>
      </c>
      <c r="CP212">
        <f>IFERROR(INDEX(PP_Grid[#Data],$DD212,92),0)</f>
        <v/>
      </c>
      <c r="CQ212">
        <f>IFERROR(INDEX(PP_Grid[#Data],$DD212,93),0)</f>
        <v/>
      </c>
      <c r="CR212">
        <f>IFERROR(INDEX(PP_Grid[#Data],$DD212,94),0)</f>
        <v/>
      </c>
      <c r="CS212">
        <f>IFERROR(INDEX(PP_Grid[#Data],$DD212,95),0)</f>
        <v/>
      </c>
      <c r="CT212">
        <f>IFERROR(INDEX(PP_Grid[#Data],$DD212,96),0)</f>
        <v/>
      </c>
      <c r="CU212">
        <f>IFERROR(INDEX(PP_Grid[#Data],$DD212,97),0)</f>
        <v/>
      </c>
      <c r="CV212">
        <f>IFERROR(INDEX(PP_Grid[#Data],$DD212,98),0)</f>
        <v/>
      </c>
      <c r="CW212">
        <f>IFERROR(INDEX(PP_Grid[#Data],$DD212,99),0)</f>
        <v/>
      </c>
      <c r="CX212">
        <f>IFERROR(INDEX(PP_Grid[#Data],$DD212,100),0)</f>
        <v/>
      </c>
      <c r="CY212">
        <f>IFERROR(INDEX(PP_Grid[#Data],$DD212,101),0)</f>
        <v/>
      </c>
      <c r="CZ212">
        <f>IFERROR(INDEX(PP_Grid[#Data],$DD212,102),0)</f>
        <v/>
      </c>
      <c r="DA212">
        <f>IFERROR(INDEX(PP_Grid[#Data],$DD212,103),0)</f>
        <v/>
      </c>
      <c r="DB212">
        <f>IFERROR(INDEX(PP_Grid[#Data],$DD212,104),0)</f>
        <v/>
      </c>
      <c r="DC212">
        <f>IFERROR(INDEX(PP_Grid[#Data],$DD212,105),0)</f>
        <v/>
      </c>
      <c r="DD212" s="12">
        <f>IFERROR(MATCH($B212,PP_Grid[Intermediate],0),99999)</f>
        <v/>
      </c>
    </row>
    <row r="213">
      <c r="B213" t="inlineStr">
        <is>
          <t>使用量(kg)</t>
        </is>
      </c>
      <c r="C213">
        <f>SUMIFS(M_BOM[RM_Qty_Per_Batch],M_BOM[Intermediate],$B212,M_BOM[Part Name],$A203)</f>
        <v/>
      </c>
      <c r="D213">
        <f>$C213*D212</f>
        <v/>
      </c>
      <c r="E213">
        <f>$C213*E212</f>
        <v/>
      </c>
      <c r="F213">
        <f>$C213*F212</f>
        <v/>
      </c>
      <c r="G213">
        <f>$C213*G212</f>
        <v/>
      </c>
      <c r="H213">
        <f>$C213*H212</f>
        <v/>
      </c>
      <c r="I213">
        <f>$C213*I212</f>
        <v/>
      </c>
      <c r="J213">
        <f>$C213*J212</f>
        <v/>
      </c>
      <c r="K213">
        <f>$C213*K212</f>
        <v/>
      </c>
      <c r="L213">
        <f>$C213*L212</f>
        <v/>
      </c>
      <c r="M213">
        <f>$C213*M212</f>
        <v/>
      </c>
      <c r="N213">
        <f>$C213*N212</f>
        <v/>
      </c>
      <c r="O213">
        <f>$C213*O212</f>
        <v/>
      </c>
      <c r="P213">
        <f>$C213*P212</f>
        <v/>
      </c>
      <c r="Q213">
        <f>$C213*Q212</f>
        <v/>
      </c>
      <c r="R213">
        <f>$C213*R212</f>
        <v/>
      </c>
      <c r="S213">
        <f>$C213*S212</f>
        <v/>
      </c>
      <c r="T213">
        <f>$C213*T212</f>
        <v/>
      </c>
      <c r="U213">
        <f>$C213*U212</f>
        <v/>
      </c>
      <c r="V213">
        <f>$C213*V212</f>
        <v/>
      </c>
      <c r="W213">
        <f>$C213*W212</f>
        <v/>
      </c>
      <c r="X213">
        <f>$C213*X212</f>
        <v/>
      </c>
      <c r="Y213">
        <f>$C213*Y212</f>
        <v/>
      </c>
      <c r="Z213">
        <f>$C213*Z212</f>
        <v/>
      </c>
      <c r="AA213">
        <f>$C213*AA212</f>
        <v/>
      </c>
      <c r="AB213">
        <f>$C213*AB212</f>
        <v/>
      </c>
      <c r="AC213">
        <f>$C213*AC212</f>
        <v/>
      </c>
      <c r="AD213">
        <f>$C213*AD212</f>
        <v/>
      </c>
      <c r="AE213">
        <f>$C213*AE212</f>
        <v/>
      </c>
      <c r="AF213">
        <f>$C213*AF212</f>
        <v/>
      </c>
      <c r="AG213">
        <f>$C213*AG212</f>
        <v/>
      </c>
      <c r="AH213">
        <f>$C213*AH212</f>
        <v/>
      </c>
      <c r="AI213">
        <f>$C213*AI212</f>
        <v/>
      </c>
      <c r="AJ213">
        <f>$C213*AJ212</f>
        <v/>
      </c>
      <c r="AK213">
        <f>$C213*AK212</f>
        <v/>
      </c>
      <c r="AL213">
        <f>$C213*AL212</f>
        <v/>
      </c>
      <c r="AM213">
        <f>$C213*AM212</f>
        <v/>
      </c>
      <c r="AN213">
        <f>$C213*AN212</f>
        <v/>
      </c>
      <c r="AO213">
        <f>$C213*AO212</f>
        <v/>
      </c>
      <c r="AP213">
        <f>$C213*AP212</f>
        <v/>
      </c>
      <c r="AQ213">
        <f>$C213*AQ212</f>
        <v/>
      </c>
      <c r="AR213">
        <f>$C213*AR212</f>
        <v/>
      </c>
      <c r="AS213">
        <f>$C213*AS212</f>
        <v/>
      </c>
      <c r="AT213">
        <f>$C213*AT212</f>
        <v/>
      </c>
      <c r="AU213">
        <f>$C213*AU212</f>
        <v/>
      </c>
      <c r="AV213">
        <f>$C213*AV212</f>
        <v/>
      </c>
      <c r="AW213">
        <f>$C213*AW212</f>
        <v/>
      </c>
      <c r="AX213">
        <f>$C213*AX212</f>
        <v/>
      </c>
      <c r="AY213">
        <f>$C213*AY212</f>
        <v/>
      </c>
      <c r="AZ213">
        <f>$C213*AZ212</f>
        <v/>
      </c>
      <c r="BA213">
        <f>$C213*BA212</f>
        <v/>
      </c>
      <c r="BB213">
        <f>$C213*BB212</f>
        <v/>
      </c>
      <c r="BC213">
        <f>$C213*BC212</f>
        <v/>
      </c>
      <c r="BD213">
        <f>$C213*BD212</f>
        <v/>
      </c>
      <c r="BE213">
        <f>$C213*BE212</f>
        <v/>
      </c>
      <c r="BF213">
        <f>$C213*BF212</f>
        <v/>
      </c>
      <c r="BG213">
        <f>$C213*BG212</f>
        <v/>
      </c>
      <c r="BH213">
        <f>$C213*BH212</f>
        <v/>
      </c>
      <c r="BI213">
        <f>$C213*BI212</f>
        <v/>
      </c>
      <c r="BJ213">
        <f>$C213*BJ212</f>
        <v/>
      </c>
      <c r="BK213">
        <f>$C213*BK212</f>
        <v/>
      </c>
      <c r="BL213">
        <f>$C213*BL212</f>
        <v/>
      </c>
      <c r="BM213">
        <f>$C213*BM212</f>
        <v/>
      </c>
      <c r="BN213">
        <f>$C213*BN212</f>
        <v/>
      </c>
      <c r="BO213">
        <f>$C213*BO212</f>
        <v/>
      </c>
      <c r="BP213">
        <f>$C213*BP212</f>
        <v/>
      </c>
      <c r="BQ213">
        <f>$C213*BQ212</f>
        <v/>
      </c>
      <c r="BR213">
        <f>$C213*BR212</f>
        <v/>
      </c>
      <c r="BS213">
        <f>$C213*BS212</f>
        <v/>
      </c>
      <c r="BT213">
        <f>$C213*BT212</f>
        <v/>
      </c>
      <c r="BU213">
        <f>$C213*BU212</f>
        <v/>
      </c>
      <c r="BV213">
        <f>$C213*BV212</f>
        <v/>
      </c>
      <c r="BW213">
        <f>$C213*BW212</f>
        <v/>
      </c>
      <c r="BX213">
        <f>$C213*BX212</f>
        <v/>
      </c>
      <c r="BY213">
        <f>$C213*BY212</f>
        <v/>
      </c>
      <c r="BZ213">
        <f>$C213*BZ212</f>
        <v/>
      </c>
      <c r="CA213">
        <f>$C213*CA212</f>
        <v/>
      </c>
      <c r="CB213">
        <f>$C213*CB212</f>
        <v/>
      </c>
      <c r="CC213">
        <f>$C213*CC212</f>
        <v/>
      </c>
      <c r="CD213">
        <f>$C213*CD212</f>
        <v/>
      </c>
      <c r="CE213">
        <f>$C213*CE212</f>
        <v/>
      </c>
      <c r="CF213">
        <f>$C213*CF212</f>
        <v/>
      </c>
      <c r="CG213">
        <f>$C213*CG212</f>
        <v/>
      </c>
      <c r="CH213">
        <f>$C213*CH212</f>
        <v/>
      </c>
      <c r="CI213">
        <f>$C213*CI212</f>
        <v/>
      </c>
      <c r="CJ213">
        <f>$C213*CJ212</f>
        <v/>
      </c>
      <c r="CK213">
        <f>$C213*CK212</f>
        <v/>
      </c>
      <c r="CL213">
        <f>$C213*CL212</f>
        <v/>
      </c>
      <c r="CM213">
        <f>$C213*CM212</f>
        <v/>
      </c>
      <c r="CN213">
        <f>$C213*CN212</f>
        <v/>
      </c>
      <c r="CO213">
        <f>$C213*CO212</f>
        <v/>
      </c>
      <c r="CP213">
        <f>$C213*CP212</f>
        <v/>
      </c>
      <c r="CQ213">
        <f>$C213*CQ212</f>
        <v/>
      </c>
      <c r="CR213">
        <f>$C213*CR212</f>
        <v/>
      </c>
      <c r="CS213">
        <f>$C213*CS212</f>
        <v/>
      </c>
      <c r="CT213">
        <f>$C213*CT212</f>
        <v/>
      </c>
      <c r="CU213">
        <f>$C213*CU212</f>
        <v/>
      </c>
      <c r="CV213">
        <f>$C213*CV212</f>
        <v/>
      </c>
      <c r="CW213">
        <f>$C213*CW212</f>
        <v/>
      </c>
      <c r="CX213">
        <f>$C213*CX212</f>
        <v/>
      </c>
      <c r="CY213">
        <f>$C213*CY212</f>
        <v/>
      </c>
      <c r="CZ213">
        <f>$C213*CZ212</f>
        <v/>
      </c>
      <c r="DA213">
        <f>$C213*DA212</f>
        <v/>
      </c>
      <c r="DB213">
        <f>$C213*DB212</f>
        <v/>
      </c>
      <c r="DC213">
        <f>$C213*DC212</f>
        <v/>
      </c>
    </row>
    <row r="214">
      <c r="B214" t="inlineStr">
        <is>
          <t>TSP-558</t>
        </is>
      </c>
      <c r="C214" t="inlineStr">
        <is>
          <t>No. of batches</t>
        </is>
      </c>
      <c r="D214">
        <f>IFERROR(INDEX(PP_Grid[#Data],$DD214,2),0)</f>
        <v/>
      </c>
      <c r="E214">
        <f>IFERROR(INDEX(PP_Grid[#Data],$DD214,3),0)</f>
        <v/>
      </c>
      <c r="F214">
        <f>IFERROR(INDEX(PP_Grid[#Data],$DD214,4),0)</f>
        <v/>
      </c>
      <c r="G214">
        <f>IFERROR(INDEX(PP_Grid[#Data],$DD214,5),0)</f>
        <v/>
      </c>
      <c r="H214">
        <f>IFERROR(INDEX(PP_Grid[#Data],$DD214,6),0)</f>
        <v/>
      </c>
      <c r="I214">
        <f>IFERROR(INDEX(PP_Grid[#Data],$DD214,7),0)</f>
        <v/>
      </c>
      <c r="J214">
        <f>IFERROR(INDEX(PP_Grid[#Data],$DD214,8),0)</f>
        <v/>
      </c>
      <c r="K214">
        <f>IFERROR(INDEX(PP_Grid[#Data],$DD214,9),0)</f>
        <v/>
      </c>
      <c r="L214">
        <f>IFERROR(INDEX(PP_Grid[#Data],$DD214,10),0)</f>
        <v/>
      </c>
      <c r="M214">
        <f>IFERROR(INDEX(PP_Grid[#Data],$DD214,11),0)</f>
        <v/>
      </c>
      <c r="N214">
        <f>IFERROR(INDEX(PP_Grid[#Data],$DD214,12),0)</f>
        <v/>
      </c>
      <c r="O214">
        <f>IFERROR(INDEX(PP_Grid[#Data],$DD214,13),0)</f>
        <v/>
      </c>
      <c r="P214">
        <f>IFERROR(INDEX(PP_Grid[#Data],$DD214,14),0)</f>
        <v/>
      </c>
      <c r="Q214">
        <f>IFERROR(INDEX(PP_Grid[#Data],$DD214,15),0)</f>
        <v/>
      </c>
      <c r="R214">
        <f>IFERROR(INDEX(PP_Grid[#Data],$DD214,16),0)</f>
        <v/>
      </c>
      <c r="S214">
        <f>IFERROR(INDEX(PP_Grid[#Data],$DD214,17),0)</f>
        <v/>
      </c>
      <c r="T214">
        <f>IFERROR(INDEX(PP_Grid[#Data],$DD214,18),0)</f>
        <v/>
      </c>
      <c r="U214">
        <f>IFERROR(INDEX(PP_Grid[#Data],$DD214,19),0)</f>
        <v/>
      </c>
      <c r="V214">
        <f>IFERROR(INDEX(PP_Grid[#Data],$DD214,20),0)</f>
        <v/>
      </c>
      <c r="W214">
        <f>IFERROR(INDEX(PP_Grid[#Data],$DD214,21),0)</f>
        <v/>
      </c>
      <c r="X214">
        <f>IFERROR(INDEX(PP_Grid[#Data],$DD214,22),0)</f>
        <v/>
      </c>
      <c r="Y214">
        <f>IFERROR(INDEX(PP_Grid[#Data],$DD214,23),0)</f>
        <v/>
      </c>
      <c r="Z214">
        <f>IFERROR(INDEX(PP_Grid[#Data],$DD214,24),0)</f>
        <v/>
      </c>
      <c r="AA214">
        <f>IFERROR(INDEX(PP_Grid[#Data],$DD214,25),0)</f>
        <v/>
      </c>
      <c r="AB214">
        <f>IFERROR(INDEX(PP_Grid[#Data],$DD214,26),0)</f>
        <v/>
      </c>
      <c r="AC214">
        <f>IFERROR(INDEX(PP_Grid[#Data],$DD214,27),0)</f>
        <v/>
      </c>
      <c r="AD214">
        <f>IFERROR(INDEX(PP_Grid[#Data],$DD214,28),0)</f>
        <v/>
      </c>
      <c r="AE214">
        <f>IFERROR(INDEX(PP_Grid[#Data],$DD214,29),0)</f>
        <v/>
      </c>
      <c r="AF214">
        <f>IFERROR(INDEX(PP_Grid[#Data],$DD214,30),0)</f>
        <v/>
      </c>
      <c r="AG214">
        <f>IFERROR(INDEX(PP_Grid[#Data],$DD214,31),0)</f>
        <v/>
      </c>
      <c r="AH214">
        <f>IFERROR(INDEX(PP_Grid[#Data],$DD214,32),0)</f>
        <v/>
      </c>
      <c r="AI214">
        <f>IFERROR(INDEX(PP_Grid[#Data],$DD214,33),0)</f>
        <v/>
      </c>
      <c r="AJ214">
        <f>IFERROR(INDEX(PP_Grid[#Data],$DD214,34),0)</f>
        <v/>
      </c>
      <c r="AK214">
        <f>IFERROR(INDEX(PP_Grid[#Data],$DD214,35),0)</f>
        <v/>
      </c>
      <c r="AL214">
        <f>IFERROR(INDEX(PP_Grid[#Data],$DD214,36),0)</f>
        <v/>
      </c>
      <c r="AM214">
        <f>IFERROR(INDEX(PP_Grid[#Data],$DD214,37),0)</f>
        <v/>
      </c>
      <c r="AN214">
        <f>IFERROR(INDEX(PP_Grid[#Data],$DD214,38),0)</f>
        <v/>
      </c>
      <c r="AO214">
        <f>IFERROR(INDEX(PP_Grid[#Data],$DD214,39),0)</f>
        <v/>
      </c>
      <c r="AP214">
        <f>IFERROR(INDEX(PP_Grid[#Data],$DD214,40),0)</f>
        <v/>
      </c>
      <c r="AQ214">
        <f>IFERROR(INDEX(PP_Grid[#Data],$DD214,41),0)</f>
        <v/>
      </c>
      <c r="AR214">
        <f>IFERROR(INDEX(PP_Grid[#Data],$DD214,42),0)</f>
        <v/>
      </c>
      <c r="AS214">
        <f>IFERROR(INDEX(PP_Grid[#Data],$DD214,43),0)</f>
        <v/>
      </c>
      <c r="AT214">
        <f>IFERROR(INDEX(PP_Grid[#Data],$DD214,44),0)</f>
        <v/>
      </c>
      <c r="AU214">
        <f>IFERROR(INDEX(PP_Grid[#Data],$DD214,45),0)</f>
        <v/>
      </c>
      <c r="AV214">
        <f>IFERROR(INDEX(PP_Grid[#Data],$DD214,46),0)</f>
        <v/>
      </c>
      <c r="AW214">
        <f>IFERROR(INDEX(PP_Grid[#Data],$DD214,47),0)</f>
        <v/>
      </c>
      <c r="AX214">
        <f>IFERROR(INDEX(PP_Grid[#Data],$DD214,48),0)</f>
        <v/>
      </c>
      <c r="AY214">
        <f>IFERROR(INDEX(PP_Grid[#Data],$DD214,49),0)</f>
        <v/>
      </c>
      <c r="AZ214">
        <f>IFERROR(INDEX(PP_Grid[#Data],$DD214,50),0)</f>
        <v/>
      </c>
      <c r="BA214">
        <f>IFERROR(INDEX(PP_Grid[#Data],$DD214,51),0)</f>
        <v/>
      </c>
      <c r="BB214">
        <f>IFERROR(INDEX(PP_Grid[#Data],$DD214,52),0)</f>
        <v/>
      </c>
      <c r="BC214">
        <f>IFERROR(INDEX(PP_Grid[#Data],$DD214,53),0)</f>
        <v/>
      </c>
      <c r="BD214">
        <f>IFERROR(INDEX(PP_Grid[#Data],$DD214,54),0)</f>
        <v/>
      </c>
      <c r="BE214">
        <f>IFERROR(INDEX(PP_Grid[#Data],$DD214,55),0)</f>
        <v/>
      </c>
      <c r="BF214">
        <f>IFERROR(INDEX(PP_Grid[#Data],$DD214,56),0)</f>
        <v/>
      </c>
      <c r="BG214">
        <f>IFERROR(INDEX(PP_Grid[#Data],$DD214,57),0)</f>
        <v/>
      </c>
      <c r="BH214">
        <f>IFERROR(INDEX(PP_Grid[#Data],$DD214,58),0)</f>
        <v/>
      </c>
      <c r="BI214">
        <f>IFERROR(INDEX(PP_Grid[#Data],$DD214,59),0)</f>
        <v/>
      </c>
      <c r="BJ214">
        <f>IFERROR(INDEX(PP_Grid[#Data],$DD214,60),0)</f>
        <v/>
      </c>
      <c r="BK214">
        <f>IFERROR(INDEX(PP_Grid[#Data],$DD214,61),0)</f>
        <v/>
      </c>
      <c r="BL214">
        <f>IFERROR(INDEX(PP_Grid[#Data],$DD214,62),0)</f>
        <v/>
      </c>
      <c r="BM214">
        <f>IFERROR(INDEX(PP_Grid[#Data],$DD214,63),0)</f>
        <v/>
      </c>
      <c r="BN214">
        <f>IFERROR(INDEX(PP_Grid[#Data],$DD214,64),0)</f>
        <v/>
      </c>
      <c r="BO214">
        <f>IFERROR(INDEX(PP_Grid[#Data],$DD214,65),0)</f>
        <v/>
      </c>
      <c r="BP214">
        <f>IFERROR(INDEX(PP_Grid[#Data],$DD214,66),0)</f>
        <v/>
      </c>
      <c r="BQ214">
        <f>IFERROR(INDEX(PP_Grid[#Data],$DD214,67),0)</f>
        <v/>
      </c>
      <c r="BR214">
        <f>IFERROR(INDEX(PP_Grid[#Data],$DD214,68),0)</f>
        <v/>
      </c>
      <c r="BS214">
        <f>IFERROR(INDEX(PP_Grid[#Data],$DD214,69),0)</f>
        <v/>
      </c>
      <c r="BT214">
        <f>IFERROR(INDEX(PP_Grid[#Data],$DD214,70),0)</f>
        <v/>
      </c>
      <c r="BU214">
        <f>IFERROR(INDEX(PP_Grid[#Data],$DD214,71),0)</f>
        <v/>
      </c>
      <c r="BV214">
        <f>IFERROR(INDEX(PP_Grid[#Data],$DD214,72),0)</f>
        <v/>
      </c>
      <c r="BW214">
        <f>IFERROR(INDEX(PP_Grid[#Data],$DD214,73),0)</f>
        <v/>
      </c>
      <c r="BX214">
        <f>IFERROR(INDEX(PP_Grid[#Data],$DD214,74),0)</f>
        <v/>
      </c>
      <c r="BY214">
        <f>IFERROR(INDEX(PP_Grid[#Data],$DD214,75),0)</f>
        <v/>
      </c>
      <c r="BZ214">
        <f>IFERROR(INDEX(PP_Grid[#Data],$DD214,76),0)</f>
        <v/>
      </c>
      <c r="CA214">
        <f>IFERROR(INDEX(PP_Grid[#Data],$DD214,77),0)</f>
        <v/>
      </c>
      <c r="CB214">
        <f>IFERROR(INDEX(PP_Grid[#Data],$DD214,78),0)</f>
        <v/>
      </c>
      <c r="CC214">
        <f>IFERROR(INDEX(PP_Grid[#Data],$DD214,79),0)</f>
        <v/>
      </c>
      <c r="CD214">
        <f>IFERROR(INDEX(PP_Grid[#Data],$DD214,80),0)</f>
        <v/>
      </c>
      <c r="CE214">
        <f>IFERROR(INDEX(PP_Grid[#Data],$DD214,81),0)</f>
        <v/>
      </c>
      <c r="CF214">
        <f>IFERROR(INDEX(PP_Grid[#Data],$DD214,82),0)</f>
        <v/>
      </c>
      <c r="CG214">
        <f>IFERROR(INDEX(PP_Grid[#Data],$DD214,83),0)</f>
        <v/>
      </c>
      <c r="CH214">
        <f>IFERROR(INDEX(PP_Grid[#Data],$DD214,84),0)</f>
        <v/>
      </c>
      <c r="CI214">
        <f>IFERROR(INDEX(PP_Grid[#Data],$DD214,85),0)</f>
        <v/>
      </c>
      <c r="CJ214">
        <f>IFERROR(INDEX(PP_Grid[#Data],$DD214,86),0)</f>
        <v/>
      </c>
      <c r="CK214">
        <f>IFERROR(INDEX(PP_Grid[#Data],$DD214,87),0)</f>
        <v/>
      </c>
      <c r="CL214">
        <f>IFERROR(INDEX(PP_Grid[#Data],$DD214,88),0)</f>
        <v/>
      </c>
      <c r="CM214">
        <f>IFERROR(INDEX(PP_Grid[#Data],$DD214,89),0)</f>
        <v/>
      </c>
      <c r="CN214">
        <f>IFERROR(INDEX(PP_Grid[#Data],$DD214,90),0)</f>
        <v/>
      </c>
      <c r="CO214">
        <f>IFERROR(INDEX(PP_Grid[#Data],$DD214,91),0)</f>
        <v/>
      </c>
      <c r="CP214">
        <f>IFERROR(INDEX(PP_Grid[#Data],$DD214,92),0)</f>
        <v/>
      </c>
      <c r="CQ214">
        <f>IFERROR(INDEX(PP_Grid[#Data],$DD214,93),0)</f>
        <v/>
      </c>
      <c r="CR214">
        <f>IFERROR(INDEX(PP_Grid[#Data],$DD214,94),0)</f>
        <v/>
      </c>
      <c r="CS214">
        <f>IFERROR(INDEX(PP_Grid[#Data],$DD214,95),0)</f>
        <v/>
      </c>
      <c r="CT214">
        <f>IFERROR(INDEX(PP_Grid[#Data],$DD214,96),0)</f>
        <v/>
      </c>
      <c r="CU214">
        <f>IFERROR(INDEX(PP_Grid[#Data],$DD214,97),0)</f>
        <v/>
      </c>
      <c r="CV214">
        <f>IFERROR(INDEX(PP_Grid[#Data],$DD214,98),0)</f>
        <v/>
      </c>
      <c r="CW214">
        <f>IFERROR(INDEX(PP_Grid[#Data],$DD214,99),0)</f>
        <v/>
      </c>
      <c r="CX214">
        <f>IFERROR(INDEX(PP_Grid[#Data],$DD214,100),0)</f>
        <v/>
      </c>
      <c r="CY214">
        <f>IFERROR(INDEX(PP_Grid[#Data],$DD214,101),0)</f>
        <v/>
      </c>
      <c r="CZ214">
        <f>IFERROR(INDEX(PP_Grid[#Data],$DD214,102),0)</f>
        <v/>
      </c>
      <c r="DA214">
        <f>IFERROR(INDEX(PP_Grid[#Data],$DD214,103),0)</f>
        <v/>
      </c>
      <c r="DB214">
        <f>IFERROR(INDEX(PP_Grid[#Data],$DD214,104),0)</f>
        <v/>
      </c>
      <c r="DC214">
        <f>IFERROR(INDEX(PP_Grid[#Data],$DD214,105),0)</f>
        <v/>
      </c>
      <c r="DD214" s="12">
        <f>IFERROR(MATCH($B214,PP_Grid[Intermediate],0),99999)</f>
        <v/>
      </c>
    </row>
    <row r="215">
      <c r="B215" t="inlineStr">
        <is>
          <t>使用量(kg)</t>
        </is>
      </c>
      <c r="C215">
        <f>SUMIFS(M_BOM[RM_Qty_Per_Batch],M_BOM[Intermediate],$B214,M_BOM[Part Name],$A203)</f>
        <v/>
      </c>
      <c r="D215">
        <f>$C215*D214</f>
        <v/>
      </c>
      <c r="E215">
        <f>$C215*E214</f>
        <v/>
      </c>
      <c r="F215">
        <f>$C215*F214</f>
        <v/>
      </c>
      <c r="G215">
        <f>$C215*G214</f>
        <v/>
      </c>
      <c r="H215">
        <f>$C215*H214</f>
        <v/>
      </c>
      <c r="I215">
        <f>$C215*I214</f>
        <v/>
      </c>
      <c r="J215">
        <f>$C215*J214</f>
        <v/>
      </c>
      <c r="K215">
        <f>$C215*K214</f>
        <v/>
      </c>
      <c r="L215">
        <f>$C215*L214</f>
        <v/>
      </c>
      <c r="M215">
        <f>$C215*M214</f>
        <v/>
      </c>
      <c r="N215">
        <f>$C215*N214</f>
        <v/>
      </c>
      <c r="O215">
        <f>$C215*O214</f>
        <v/>
      </c>
      <c r="P215">
        <f>$C215*P214</f>
        <v/>
      </c>
      <c r="Q215">
        <f>$C215*Q214</f>
        <v/>
      </c>
      <c r="R215">
        <f>$C215*R214</f>
        <v/>
      </c>
      <c r="S215">
        <f>$C215*S214</f>
        <v/>
      </c>
      <c r="T215">
        <f>$C215*T214</f>
        <v/>
      </c>
      <c r="U215">
        <f>$C215*U214</f>
        <v/>
      </c>
      <c r="V215">
        <f>$C215*V214</f>
        <v/>
      </c>
      <c r="W215">
        <f>$C215*W214</f>
        <v/>
      </c>
      <c r="X215">
        <f>$C215*X214</f>
        <v/>
      </c>
      <c r="Y215">
        <f>$C215*Y214</f>
        <v/>
      </c>
      <c r="Z215">
        <f>$C215*Z214</f>
        <v/>
      </c>
      <c r="AA215">
        <f>$C215*AA214</f>
        <v/>
      </c>
      <c r="AB215">
        <f>$C215*AB214</f>
        <v/>
      </c>
      <c r="AC215">
        <f>$C215*AC214</f>
        <v/>
      </c>
      <c r="AD215">
        <f>$C215*AD214</f>
        <v/>
      </c>
      <c r="AE215">
        <f>$C215*AE214</f>
        <v/>
      </c>
      <c r="AF215">
        <f>$C215*AF214</f>
        <v/>
      </c>
      <c r="AG215">
        <f>$C215*AG214</f>
        <v/>
      </c>
      <c r="AH215">
        <f>$C215*AH214</f>
        <v/>
      </c>
      <c r="AI215">
        <f>$C215*AI214</f>
        <v/>
      </c>
      <c r="AJ215">
        <f>$C215*AJ214</f>
        <v/>
      </c>
      <c r="AK215">
        <f>$C215*AK214</f>
        <v/>
      </c>
      <c r="AL215">
        <f>$C215*AL214</f>
        <v/>
      </c>
      <c r="AM215">
        <f>$C215*AM214</f>
        <v/>
      </c>
      <c r="AN215">
        <f>$C215*AN214</f>
        <v/>
      </c>
      <c r="AO215">
        <f>$C215*AO214</f>
        <v/>
      </c>
      <c r="AP215">
        <f>$C215*AP214</f>
        <v/>
      </c>
      <c r="AQ215">
        <f>$C215*AQ214</f>
        <v/>
      </c>
      <c r="AR215">
        <f>$C215*AR214</f>
        <v/>
      </c>
      <c r="AS215">
        <f>$C215*AS214</f>
        <v/>
      </c>
      <c r="AT215">
        <f>$C215*AT214</f>
        <v/>
      </c>
      <c r="AU215">
        <f>$C215*AU214</f>
        <v/>
      </c>
      <c r="AV215">
        <f>$C215*AV214</f>
        <v/>
      </c>
      <c r="AW215">
        <f>$C215*AW214</f>
        <v/>
      </c>
      <c r="AX215">
        <f>$C215*AX214</f>
        <v/>
      </c>
      <c r="AY215">
        <f>$C215*AY214</f>
        <v/>
      </c>
      <c r="AZ215">
        <f>$C215*AZ214</f>
        <v/>
      </c>
      <c r="BA215">
        <f>$C215*BA214</f>
        <v/>
      </c>
      <c r="BB215">
        <f>$C215*BB214</f>
        <v/>
      </c>
      <c r="BC215">
        <f>$C215*BC214</f>
        <v/>
      </c>
      <c r="BD215">
        <f>$C215*BD214</f>
        <v/>
      </c>
      <c r="BE215">
        <f>$C215*BE214</f>
        <v/>
      </c>
      <c r="BF215">
        <f>$C215*BF214</f>
        <v/>
      </c>
      <c r="BG215">
        <f>$C215*BG214</f>
        <v/>
      </c>
      <c r="BH215">
        <f>$C215*BH214</f>
        <v/>
      </c>
      <c r="BI215">
        <f>$C215*BI214</f>
        <v/>
      </c>
      <c r="BJ215">
        <f>$C215*BJ214</f>
        <v/>
      </c>
      <c r="BK215">
        <f>$C215*BK214</f>
        <v/>
      </c>
      <c r="BL215">
        <f>$C215*BL214</f>
        <v/>
      </c>
      <c r="BM215">
        <f>$C215*BM214</f>
        <v/>
      </c>
      <c r="BN215">
        <f>$C215*BN214</f>
        <v/>
      </c>
      <c r="BO215">
        <f>$C215*BO214</f>
        <v/>
      </c>
      <c r="BP215">
        <f>$C215*BP214</f>
        <v/>
      </c>
      <c r="BQ215">
        <f>$C215*BQ214</f>
        <v/>
      </c>
      <c r="BR215">
        <f>$C215*BR214</f>
        <v/>
      </c>
      <c r="BS215">
        <f>$C215*BS214</f>
        <v/>
      </c>
      <c r="BT215">
        <f>$C215*BT214</f>
        <v/>
      </c>
      <c r="BU215">
        <f>$C215*BU214</f>
        <v/>
      </c>
      <c r="BV215">
        <f>$C215*BV214</f>
        <v/>
      </c>
      <c r="BW215">
        <f>$C215*BW214</f>
        <v/>
      </c>
      <c r="BX215">
        <f>$C215*BX214</f>
        <v/>
      </c>
      <c r="BY215">
        <f>$C215*BY214</f>
        <v/>
      </c>
      <c r="BZ215">
        <f>$C215*BZ214</f>
        <v/>
      </c>
      <c r="CA215">
        <f>$C215*CA214</f>
        <v/>
      </c>
      <c r="CB215">
        <f>$C215*CB214</f>
        <v/>
      </c>
      <c r="CC215">
        <f>$C215*CC214</f>
        <v/>
      </c>
      <c r="CD215">
        <f>$C215*CD214</f>
        <v/>
      </c>
      <c r="CE215">
        <f>$C215*CE214</f>
        <v/>
      </c>
      <c r="CF215">
        <f>$C215*CF214</f>
        <v/>
      </c>
      <c r="CG215">
        <f>$C215*CG214</f>
        <v/>
      </c>
      <c r="CH215">
        <f>$C215*CH214</f>
        <v/>
      </c>
      <c r="CI215">
        <f>$C215*CI214</f>
        <v/>
      </c>
      <c r="CJ215">
        <f>$C215*CJ214</f>
        <v/>
      </c>
      <c r="CK215">
        <f>$C215*CK214</f>
        <v/>
      </c>
      <c r="CL215">
        <f>$C215*CL214</f>
        <v/>
      </c>
      <c r="CM215">
        <f>$C215*CM214</f>
        <v/>
      </c>
      <c r="CN215">
        <f>$C215*CN214</f>
        <v/>
      </c>
      <c r="CO215">
        <f>$C215*CO214</f>
        <v/>
      </c>
      <c r="CP215">
        <f>$C215*CP214</f>
        <v/>
      </c>
      <c r="CQ215">
        <f>$C215*CQ214</f>
        <v/>
      </c>
      <c r="CR215">
        <f>$C215*CR214</f>
        <v/>
      </c>
      <c r="CS215">
        <f>$C215*CS214</f>
        <v/>
      </c>
      <c r="CT215">
        <f>$C215*CT214</f>
        <v/>
      </c>
      <c r="CU215">
        <f>$C215*CU214</f>
        <v/>
      </c>
      <c r="CV215">
        <f>$C215*CV214</f>
        <v/>
      </c>
      <c r="CW215">
        <f>$C215*CW214</f>
        <v/>
      </c>
      <c r="CX215">
        <f>$C215*CX214</f>
        <v/>
      </c>
      <c r="CY215">
        <f>$C215*CY214</f>
        <v/>
      </c>
      <c r="CZ215">
        <f>$C215*CZ214</f>
        <v/>
      </c>
      <c r="DA215">
        <f>$C215*DA214</f>
        <v/>
      </c>
      <c r="DB215">
        <f>$C215*DB214</f>
        <v/>
      </c>
      <c r="DC215">
        <f>$C215*DC214</f>
        <v/>
      </c>
    </row>
    <row r="216">
      <c r="B216" t="inlineStr">
        <is>
          <t>TSP-903</t>
        </is>
      </c>
      <c r="C216" t="inlineStr">
        <is>
          <t>No. of batches</t>
        </is>
      </c>
      <c r="D216">
        <f>IFERROR(INDEX(PP_Grid[#Data],$DD216,2),0)</f>
        <v/>
      </c>
      <c r="E216">
        <f>IFERROR(INDEX(PP_Grid[#Data],$DD216,3),0)</f>
        <v/>
      </c>
      <c r="F216">
        <f>IFERROR(INDEX(PP_Grid[#Data],$DD216,4),0)</f>
        <v/>
      </c>
      <c r="G216">
        <f>IFERROR(INDEX(PP_Grid[#Data],$DD216,5),0)</f>
        <v/>
      </c>
      <c r="H216">
        <f>IFERROR(INDEX(PP_Grid[#Data],$DD216,6),0)</f>
        <v/>
      </c>
      <c r="I216">
        <f>IFERROR(INDEX(PP_Grid[#Data],$DD216,7),0)</f>
        <v/>
      </c>
      <c r="J216">
        <f>IFERROR(INDEX(PP_Grid[#Data],$DD216,8),0)</f>
        <v/>
      </c>
      <c r="K216">
        <f>IFERROR(INDEX(PP_Grid[#Data],$DD216,9),0)</f>
        <v/>
      </c>
      <c r="L216">
        <f>IFERROR(INDEX(PP_Grid[#Data],$DD216,10),0)</f>
        <v/>
      </c>
      <c r="M216">
        <f>IFERROR(INDEX(PP_Grid[#Data],$DD216,11),0)</f>
        <v/>
      </c>
      <c r="N216">
        <f>IFERROR(INDEX(PP_Grid[#Data],$DD216,12),0)</f>
        <v/>
      </c>
      <c r="O216">
        <f>IFERROR(INDEX(PP_Grid[#Data],$DD216,13),0)</f>
        <v/>
      </c>
      <c r="P216">
        <f>IFERROR(INDEX(PP_Grid[#Data],$DD216,14),0)</f>
        <v/>
      </c>
      <c r="Q216">
        <f>IFERROR(INDEX(PP_Grid[#Data],$DD216,15),0)</f>
        <v/>
      </c>
      <c r="R216">
        <f>IFERROR(INDEX(PP_Grid[#Data],$DD216,16),0)</f>
        <v/>
      </c>
      <c r="S216">
        <f>IFERROR(INDEX(PP_Grid[#Data],$DD216,17),0)</f>
        <v/>
      </c>
      <c r="T216">
        <f>IFERROR(INDEX(PP_Grid[#Data],$DD216,18),0)</f>
        <v/>
      </c>
      <c r="U216">
        <f>IFERROR(INDEX(PP_Grid[#Data],$DD216,19),0)</f>
        <v/>
      </c>
      <c r="V216">
        <f>IFERROR(INDEX(PP_Grid[#Data],$DD216,20),0)</f>
        <v/>
      </c>
      <c r="W216">
        <f>IFERROR(INDEX(PP_Grid[#Data],$DD216,21),0)</f>
        <v/>
      </c>
      <c r="X216">
        <f>IFERROR(INDEX(PP_Grid[#Data],$DD216,22),0)</f>
        <v/>
      </c>
      <c r="Y216">
        <f>IFERROR(INDEX(PP_Grid[#Data],$DD216,23),0)</f>
        <v/>
      </c>
      <c r="Z216">
        <f>IFERROR(INDEX(PP_Grid[#Data],$DD216,24),0)</f>
        <v/>
      </c>
      <c r="AA216">
        <f>IFERROR(INDEX(PP_Grid[#Data],$DD216,25),0)</f>
        <v/>
      </c>
      <c r="AB216">
        <f>IFERROR(INDEX(PP_Grid[#Data],$DD216,26),0)</f>
        <v/>
      </c>
      <c r="AC216">
        <f>IFERROR(INDEX(PP_Grid[#Data],$DD216,27),0)</f>
        <v/>
      </c>
      <c r="AD216">
        <f>IFERROR(INDEX(PP_Grid[#Data],$DD216,28),0)</f>
        <v/>
      </c>
      <c r="AE216">
        <f>IFERROR(INDEX(PP_Grid[#Data],$DD216,29),0)</f>
        <v/>
      </c>
      <c r="AF216">
        <f>IFERROR(INDEX(PP_Grid[#Data],$DD216,30),0)</f>
        <v/>
      </c>
      <c r="AG216">
        <f>IFERROR(INDEX(PP_Grid[#Data],$DD216,31),0)</f>
        <v/>
      </c>
      <c r="AH216">
        <f>IFERROR(INDEX(PP_Grid[#Data],$DD216,32),0)</f>
        <v/>
      </c>
      <c r="AI216">
        <f>IFERROR(INDEX(PP_Grid[#Data],$DD216,33),0)</f>
        <v/>
      </c>
      <c r="AJ216">
        <f>IFERROR(INDEX(PP_Grid[#Data],$DD216,34),0)</f>
        <v/>
      </c>
      <c r="AK216">
        <f>IFERROR(INDEX(PP_Grid[#Data],$DD216,35),0)</f>
        <v/>
      </c>
      <c r="AL216">
        <f>IFERROR(INDEX(PP_Grid[#Data],$DD216,36),0)</f>
        <v/>
      </c>
      <c r="AM216">
        <f>IFERROR(INDEX(PP_Grid[#Data],$DD216,37),0)</f>
        <v/>
      </c>
      <c r="AN216">
        <f>IFERROR(INDEX(PP_Grid[#Data],$DD216,38),0)</f>
        <v/>
      </c>
      <c r="AO216">
        <f>IFERROR(INDEX(PP_Grid[#Data],$DD216,39),0)</f>
        <v/>
      </c>
      <c r="AP216">
        <f>IFERROR(INDEX(PP_Grid[#Data],$DD216,40),0)</f>
        <v/>
      </c>
      <c r="AQ216">
        <f>IFERROR(INDEX(PP_Grid[#Data],$DD216,41),0)</f>
        <v/>
      </c>
      <c r="AR216">
        <f>IFERROR(INDEX(PP_Grid[#Data],$DD216,42),0)</f>
        <v/>
      </c>
      <c r="AS216">
        <f>IFERROR(INDEX(PP_Grid[#Data],$DD216,43),0)</f>
        <v/>
      </c>
      <c r="AT216">
        <f>IFERROR(INDEX(PP_Grid[#Data],$DD216,44),0)</f>
        <v/>
      </c>
      <c r="AU216">
        <f>IFERROR(INDEX(PP_Grid[#Data],$DD216,45),0)</f>
        <v/>
      </c>
      <c r="AV216">
        <f>IFERROR(INDEX(PP_Grid[#Data],$DD216,46),0)</f>
        <v/>
      </c>
      <c r="AW216">
        <f>IFERROR(INDEX(PP_Grid[#Data],$DD216,47),0)</f>
        <v/>
      </c>
      <c r="AX216">
        <f>IFERROR(INDEX(PP_Grid[#Data],$DD216,48),0)</f>
        <v/>
      </c>
      <c r="AY216">
        <f>IFERROR(INDEX(PP_Grid[#Data],$DD216,49),0)</f>
        <v/>
      </c>
      <c r="AZ216">
        <f>IFERROR(INDEX(PP_Grid[#Data],$DD216,50),0)</f>
        <v/>
      </c>
      <c r="BA216">
        <f>IFERROR(INDEX(PP_Grid[#Data],$DD216,51),0)</f>
        <v/>
      </c>
      <c r="BB216">
        <f>IFERROR(INDEX(PP_Grid[#Data],$DD216,52),0)</f>
        <v/>
      </c>
      <c r="BC216">
        <f>IFERROR(INDEX(PP_Grid[#Data],$DD216,53),0)</f>
        <v/>
      </c>
      <c r="BD216">
        <f>IFERROR(INDEX(PP_Grid[#Data],$DD216,54),0)</f>
        <v/>
      </c>
      <c r="BE216">
        <f>IFERROR(INDEX(PP_Grid[#Data],$DD216,55),0)</f>
        <v/>
      </c>
      <c r="BF216">
        <f>IFERROR(INDEX(PP_Grid[#Data],$DD216,56),0)</f>
        <v/>
      </c>
      <c r="BG216">
        <f>IFERROR(INDEX(PP_Grid[#Data],$DD216,57),0)</f>
        <v/>
      </c>
      <c r="BH216">
        <f>IFERROR(INDEX(PP_Grid[#Data],$DD216,58),0)</f>
        <v/>
      </c>
      <c r="BI216">
        <f>IFERROR(INDEX(PP_Grid[#Data],$DD216,59),0)</f>
        <v/>
      </c>
      <c r="BJ216">
        <f>IFERROR(INDEX(PP_Grid[#Data],$DD216,60),0)</f>
        <v/>
      </c>
      <c r="BK216">
        <f>IFERROR(INDEX(PP_Grid[#Data],$DD216,61),0)</f>
        <v/>
      </c>
      <c r="BL216">
        <f>IFERROR(INDEX(PP_Grid[#Data],$DD216,62),0)</f>
        <v/>
      </c>
      <c r="BM216">
        <f>IFERROR(INDEX(PP_Grid[#Data],$DD216,63),0)</f>
        <v/>
      </c>
      <c r="BN216">
        <f>IFERROR(INDEX(PP_Grid[#Data],$DD216,64),0)</f>
        <v/>
      </c>
      <c r="BO216">
        <f>IFERROR(INDEX(PP_Grid[#Data],$DD216,65),0)</f>
        <v/>
      </c>
      <c r="BP216">
        <f>IFERROR(INDEX(PP_Grid[#Data],$DD216,66),0)</f>
        <v/>
      </c>
      <c r="BQ216">
        <f>IFERROR(INDEX(PP_Grid[#Data],$DD216,67),0)</f>
        <v/>
      </c>
      <c r="BR216">
        <f>IFERROR(INDEX(PP_Grid[#Data],$DD216,68),0)</f>
        <v/>
      </c>
      <c r="BS216">
        <f>IFERROR(INDEX(PP_Grid[#Data],$DD216,69),0)</f>
        <v/>
      </c>
      <c r="BT216">
        <f>IFERROR(INDEX(PP_Grid[#Data],$DD216,70),0)</f>
        <v/>
      </c>
      <c r="BU216">
        <f>IFERROR(INDEX(PP_Grid[#Data],$DD216,71),0)</f>
        <v/>
      </c>
      <c r="BV216">
        <f>IFERROR(INDEX(PP_Grid[#Data],$DD216,72),0)</f>
        <v/>
      </c>
      <c r="BW216">
        <f>IFERROR(INDEX(PP_Grid[#Data],$DD216,73),0)</f>
        <v/>
      </c>
      <c r="BX216">
        <f>IFERROR(INDEX(PP_Grid[#Data],$DD216,74),0)</f>
        <v/>
      </c>
      <c r="BY216">
        <f>IFERROR(INDEX(PP_Grid[#Data],$DD216,75),0)</f>
        <v/>
      </c>
      <c r="BZ216">
        <f>IFERROR(INDEX(PP_Grid[#Data],$DD216,76),0)</f>
        <v/>
      </c>
      <c r="CA216">
        <f>IFERROR(INDEX(PP_Grid[#Data],$DD216,77),0)</f>
        <v/>
      </c>
      <c r="CB216">
        <f>IFERROR(INDEX(PP_Grid[#Data],$DD216,78),0)</f>
        <v/>
      </c>
      <c r="CC216">
        <f>IFERROR(INDEX(PP_Grid[#Data],$DD216,79),0)</f>
        <v/>
      </c>
      <c r="CD216">
        <f>IFERROR(INDEX(PP_Grid[#Data],$DD216,80),0)</f>
        <v/>
      </c>
      <c r="CE216">
        <f>IFERROR(INDEX(PP_Grid[#Data],$DD216,81),0)</f>
        <v/>
      </c>
      <c r="CF216">
        <f>IFERROR(INDEX(PP_Grid[#Data],$DD216,82),0)</f>
        <v/>
      </c>
      <c r="CG216">
        <f>IFERROR(INDEX(PP_Grid[#Data],$DD216,83),0)</f>
        <v/>
      </c>
      <c r="CH216">
        <f>IFERROR(INDEX(PP_Grid[#Data],$DD216,84),0)</f>
        <v/>
      </c>
      <c r="CI216">
        <f>IFERROR(INDEX(PP_Grid[#Data],$DD216,85),0)</f>
        <v/>
      </c>
      <c r="CJ216">
        <f>IFERROR(INDEX(PP_Grid[#Data],$DD216,86),0)</f>
        <v/>
      </c>
      <c r="CK216">
        <f>IFERROR(INDEX(PP_Grid[#Data],$DD216,87),0)</f>
        <v/>
      </c>
      <c r="CL216">
        <f>IFERROR(INDEX(PP_Grid[#Data],$DD216,88),0)</f>
        <v/>
      </c>
      <c r="CM216">
        <f>IFERROR(INDEX(PP_Grid[#Data],$DD216,89),0)</f>
        <v/>
      </c>
      <c r="CN216">
        <f>IFERROR(INDEX(PP_Grid[#Data],$DD216,90),0)</f>
        <v/>
      </c>
      <c r="CO216">
        <f>IFERROR(INDEX(PP_Grid[#Data],$DD216,91),0)</f>
        <v/>
      </c>
      <c r="CP216">
        <f>IFERROR(INDEX(PP_Grid[#Data],$DD216,92),0)</f>
        <v/>
      </c>
      <c r="CQ216">
        <f>IFERROR(INDEX(PP_Grid[#Data],$DD216,93),0)</f>
        <v/>
      </c>
      <c r="CR216">
        <f>IFERROR(INDEX(PP_Grid[#Data],$DD216,94),0)</f>
        <v/>
      </c>
      <c r="CS216">
        <f>IFERROR(INDEX(PP_Grid[#Data],$DD216,95),0)</f>
        <v/>
      </c>
      <c r="CT216">
        <f>IFERROR(INDEX(PP_Grid[#Data],$DD216,96),0)</f>
        <v/>
      </c>
      <c r="CU216">
        <f>IFERROR(INDEX(PP_Grid[#Data],$DD216,97),0)</f>
        <v/>
      </c>
      <c r="CV216">
        <f>IFERROR(INDEX(PP_Grid[#Data],$DD216,98),0)</f>
        <v/>
      </c>
      <c r="CW216">
        <f>IFERROR(INDEX(PP_Grid[#Data],$DD216,99),0)</f>
        <v/>
      </c>
      <c r="CX216">
        <f>IFERROR(INDEX(PP_Grid[#Data],$DD216,100),0)</f>
        <v/>
      </c>
      <c r="CY216">
        <f>IFERROR(INDEX(PP_Grid[#Data],$DD216,101),0)</f>
        <v/>
      </c>
      <c r="CZ216">
        <f>IFERROR(INDEX(PP_Grid[#Data],$DD216,102),0)</f>
        <v/>
      </c>
      <c r="DA216">
        <f>IFERROR(INDEX(PP_Grid[#Data],$DD216,103),0)</f>
        <v/>
      </c>
      <c r="DB216">
        <f>IFERROR(INDEX(PP_Grid[#Data],$DD216,104),0)</f>
        <v/>
      </c>
      <c r="DC216">
        <f>IFERROR(INDEX(PP_Grid[#Data],$DD216,105),0)</f>
        <v/>
      </c>
      <c r="DD216" s="12">
        <f>IFERROR(MATCH($B216,PP_Grid[Intermediate],0),99999)</f>
        <v/>
      </c>
    </row>
    <row r="217">
      <c r="B217" t="inlineStr">
        <is>
          <t>使用量(kg)</t>
        </is>
      </c>
      <c r="C217">
        <f>SUMIFS(M_BOM[RM_Qty_Per_Batch],M_BOM[Intermediate],$B216,M_BOM[Part Name],$A203)</f>
        <v/>
      </c>
      <c r="D217">
        <f>$C217*D216</f>
        <v/>
      </c>
      <c r="E217">
        <f>$C217*E216</f>
        <v/>
      </c>
      <c r="F217">
        <f>$C217*F216</f>
        <v/>
      </c>
      <c r="G217">
        <f>$C217*G216</f>
        <v/>
      </c>
      <c r="H217">
        <f>$C217*H216</f>
        <v/>
      </c>
      <c r="I217">
        <f>$C217*I216</f>
        <v/>
      </c>
      <c r="J217">
        <f>$C217*J216</f>
        <v/>
      </c>
      <c r="K217">
        <f>$C217*K216</f>
        <v/>
      </c>
      <c r="L217">
        <f>$C217*L216</f>
        <v/>
      </c>
      <c r="M217">
        <f>$C217*M216</f>
        <v/>
      </c>
      <c r="N217">
        <f>$C217*N216</f>
        <v/>
      </c>
      <c r="O217">
        <f>$C217*O216</f>
        <v/>
      </c>
      <c r="P217">
        <f>$C217*P216</f>
        <v/>
      </c>
      <c r="Q217">
        <f>$C217*Q216</f>
        <v/>
      </c>
      <c r="R217">
        <f>$C217*R216</f>
        <v/>
      </c>
      <c r="S217">
        <f>$C217*S216</f>
        <v/>
      </c>
      <c r="T217">
        <f>$C217*T216</f>
        <v/>
      </c>
      <c r="U217">
        <f>$C217*U216</f>
        <v/>
      </c>
      <c r="V217">
        <f>$C217*V216</f>
        <v/>
      </c>
      <c r="W217">
        <f>$C217*W216</f>
        <v/>
      </c>
      <c r="X217">
        <f>$C217*X216</f>
        <v/>
      </c>
      <c r="Y217">
        <f>$C217*Y216</f>
        <v/>
      </c>
      <c r="Z217">
        <f>$C217*Z216</f>
        <v/>
      </c>
      <c r="AA217">
        <f>$C217*AA216</f>
        <v/>
      </c>
      <c r="AB217">
        <f>$C217*AB216</f>
        <v/>
      </c>
      <c r="AC217">
        <f>$C217*AC216</f>
        <v/>
      </c>
      <c r="AD217">
        <f>$C217*AD216</f>
        <v/>
      </c>
      <c r="AE217">
        <f>$C217*AE216</f>
        <v/>
      </c>
      <c r="AF217">
        <f>$C217*AF216</f>
        <v/>
      </c>
      <c r="AG217">
        <f>$C217*AG216</f>
        <v/>
      </c>
      <c r="AH217">
        <f>$C217*AH216</f>
        <v/>
      </c>
      <c r="AI217">
        <f>$C217*AI216</f>
        <v/>
      </c>
      <c r="AJ217">
        <f>$C217*AJ216</f>
        <v/>
      </c>
      <c r="AK217">
        <f>$C217*AK216</f>
        <v/>
      </c>
      <c r="AL217">
        <f>$C217*AL216</f>
        <v/>
      </c>
      <c r="AM217">
        <f>$C217*AM216</f>
        <v/>
      </c>
      <c r="AN217">
        <f>$C217*AN216</f>
        <v/>
      </c>
      <c r="AO217">
        <f>$C217*AO216</f>
        <v/>
      </c>
      <c r="AP217">
        <f>$C217*AP216</f>
        <v/>
      </c>
      <c r="AQ217">
        <f>$C217*AQ216</f>
        <v/>
      </c>
      <c r="AR217">
        <f>$C217*AR216</f>
        <v/>
      </c>
      <c r="AS217">
        <f>$C217*AS216</f>
        <v/>
      </c>
      <c r="AT217">
        <f>$C217*AT216</f>
        <v/>
      </c>
      <c r="AU217">
        <f>$C217*AU216</f>
        <v/>
      </c>
      <c r="AV217">
        <f>$C217*AV216</f>
        <v/>
      </c>
      <c r="AW217">
        <f>$C217*AW216</f>
        <v/>
      </c>
      <c r="AX217">
        <f>$C217*AX216</f>
        <v/>
      </c>
      <c r="AY217">
        <f>$C217*AY216</f>
        <v/>
      </c>
      <c r="AZ217">
        <f>$C217*AZ216</f>
        <v/>
      </c>
      <c r="BA217">
        <f>$C217*BA216</f>
        <v/>
      </c>
      <c r="BB217">
        <f>$C217*BB216</f>
        <v/>
      </c>
      <c r="BC217">
        <f>$C217*BC216</f>
        <v/>
      </c>
      <c r="BD217">
        <f>$C217*BD216</f>
        <v/>
      </c>
      <c r="BE217">
        <f>$C217*BE216</f>
        <v/>
      </c>
      <c r="BF217">
        <f>$C217*BF216</f>
        <v/>
      </c>
      <c r="BG217">
        <f>$C217*BG216</f>
        <v/>
      </c>
      <c r="BH217">
        <f>$C217*BH216</f>
        <v/>
      </c>
      <c r="BI217">
        <f>$C217*BI216</f>
        <v/>
      </c>
      <c r="BJ217">
        <f>$C217*BJ216</f>
        <v/>
      </c>
      <c r="BK217">
        <f>$C217*BK216</f>
        <v/>
      </c>
      <c r="BL217">
        <f>$C217*BL216</f>
        <v/>
      </c>
      <c r="BM217">
        <f>$C217*BM216</f>
        <v/>
      </c>
      <c r="BN217">
        <f>$C217*BN216</f>
        <v/>
      </c>
      <c r="BO217">
        <f>$C217*BO216</f>
        <v/>
      </c>
      <c r="BP217">
        <f>$C217*BP216</f>
        <v/>
      </c>
      <c r="BQ217">
        <f>$C217*BQ216</f>
        <v/>
      </c>
      <c r="BR217">
        <f>$C217*BR216</f>
        <v/>
      </c>
      <c r="BS217">
        <f>$C217*BS216</f>
        <v/>
      </c>
      <c r="BT217">
        <f>$C217*BT216</f>
        <v/>
      </c>
      <c r="BU217">
        <f>$C217*BU216</f>
        <v/>
      </c>
      <c r="BV217">
        <f>$C217*BV216</f>
        <v/>
      </c>
      <c r="BW217">
        <f>$C217*BW216</f>
        <v/>
      </c>
      <c r="BX217">
        <f>$C217*BX216</f>
        <v/>
      </c>
      <c r="BY217">
        <f>$C217*BY216</f>
        <v/>
      </c>
      <c r="BZ217">
        <f>$C217*BZ216</f>
        <v/>
      </c>
      <c r="CA217">
        <f>$C217*CA216</f>
        <v/>
      </c>
      <c r="CB217">
        <f>$C217*CB216</f>
        <v/>
      </c>
      <c r="CC217">
        <f>$C217*CC216</f>
        <v/>
      </c>
      <c r="CD217">
        <f>$C217*CD216</f>
        <v/>
      </c>
      <c r="CE217">
        <f>$C217*CE216</f>
        <v/>
      </c>
      <c r="CF217">
        <f>$C217*CF216</f>
        <v/>
      </c>
      <c r="CG217">
        <f>$C217*CG216</f>
        <v/>
      </c>
      <c r="CH217">
        <f>$C217*CH216</f>
        <v/>
      </c>
      <c r="CI217">
        <f>$C217*CI216</f>
        <v/>
      </c>
      <c r="CJ217">
        <f>$C217*CJ216</f>
        <v/>
      </c>
      <c r="CK217">
        <f>$C217*CK216</f>
        <v/>
      </c>
      <c r="CL217">
        <f>$C217*CL216</f>
        <v/>
      </c>
      <c r="CM217">
        <f>$C217*CM216</f>
        <v/>
      </c>
      <c r="CN217">
        <f>$C217*CN216</f>
        <v/>
      </c>
      <c r="CO217">
        <f>$C217*CO216</f>
        <v/>
      </c>
      <c r="CP217">
        <f>$C217*CP216</f>
        <v/>
      </c>
      <c r="CQ217">
        <f>$C217*CQ216</f>
        <v/>
      </c>
      <c r="CR217">
        <f>$C217*CR216</f>
        <v/>
      </c>
      <c r="CS217">
        <f>$C217*CS216</f>
        <v/>
      </c>
      <c r="CT217">
        <f>$C217*CT216</f>
        <v/>
      </c>
      <c r="CU217">
        <f>$C217*CU216</f>
        <v/>
      </c>
      <c r="CV217">
        <f>$C217*CV216</f>
        <v/>
      </c>
      <c r="CW217">
        <f>$C217*CW216</f>
        <v/>
      </c>
      <c r="CX217">
        <f>$C217*CX216</f>
        <v/>
      </c>
      <c r="CY217">
        <f>$C217*CY216</f>
        <v/>
      </c>
      <c r="CZ217">
        <f>$C217*CZ216</f>
        <v/>
      </c>
      <c r="DA217">
        <f>$C217*DA216</f>
        <v/>
      </c>
      <c r="DB217">
        <f>$C217*DB216</f>
        <v/>
      </c>
      <c r="DC217">
        <f>$C217*DC216</f>
        <v/>
      </c>
    </row>
    <row r="218">
      <c r="B218" s="5" t="inlineStr">
        <is>
          <t>合計使用量(kg)/週</t>
        </is>
      </c>
      <c r="D218">
        <f>'Grid_Requirement'!B22</f>
        <v/>
      </c>
      <c r="E218">
        <f>'Grid_Requirement'!C22</f>
        <v/>
      </c>
      <c r="F218">
        <f>'Grid_Requirement'!D22</f>
        <v/>
      </c>
      <c r="G218">
        <f>'Grid_Requirement'!E22</f>
        <v/>
      </c>
      <c r="H218">
        <f>'Grid_Requirement'!F22</f>
        <v/>
      </c>
      <c r="I218">
        <f>'Grid_Requirement'!G22</f>
        <v/>
      </c>
      <c r="J218">
        <f>'Grid_Requirement'!H22</f>
        <v/>
      </c>
      <c r="K218">
        <f>'Grid_Requirement'!I22</f>
        <v/>
      </c>
      <c r="L218">
        <f>'Grid_Requirement'!J22</f>
        <v/>
      </c>
      <c r="M218">
        <f>'Grid_Requirement'!K22</f>
        <v/>
      </c>
      <c r="N218">
        <f>'Grid_Requirement'!L22</f>
        <v/>
      </c>
      <c r="O218">
        <f>'Grid_Requirement'!M22</f>
        <v/>
      </c>
      <c r="P218">
        <f>'Grid_Requirement'!N22</f>
        <v/>
      </c>
      <c r="Q218">
        <f>'Grid_Requirement'!O22</f>
        <v/>
      </c>
      <c r="R218">
        <f>'Grid_Requirement'!P22</f>
        <v/>
      </c>
      <c r="S218">
        <f>'Grid_Requirement'!Q22</f>
        <v/>
      </c>
      <c r="T218">
        <f>'Grid_Requirement'!R22</f>
        <v/>
      </c>
      <c r="U218">
        <f>'Grid_Requirement'!S22</f>
        <v/>
      </c>
      <c r="V218">
        <f>'Grid_Requirement'!T22</f>
        <v/>
      </c>
      <c r="W218">
        <f>'Grid_Requirement'!U22</f>
        <v/>
      </c>
      <c r="X218">
        <f>'Grid_Requirement'!V22</f>
        <v/>
      </c>
      <c r="Y218">
        <f>'Grid_Requirement'!W22</f>
        <v/>
      </c>
      <c r="Z218">
        <f>'Grid_Requirement'!X22</f>
        <v/>
      </c>
      <c r="AA218">
        <f>'Grid_Requirement'!Y22</f>
        <v/>
      </c>
      <c r="AB218">
        <f>'Grid_Requirement'!Z22</f>
        <v/>
      </c>
      <c r="AC218">
        <f>'Grid_Requirement'!AA22</f>
        <v/>
      </c>
      <c r="AD218">
        <f>'Grid_Requirement'!AB22</f>
        <v/>
      </c>
      <c r="AE218">
        <f>'Grid_Requirement'!AC22</f>
        <v/>
      </c>
      <c r="AF218">
        <f>'Grid_Requirement'!AD22</f>
        <v/>
      </c>
      <c r="AG218">
        <f>'Grid_Requirement'!AE22</f>
        <v/>
      </c>
      <c r="AH218">
        <f>'Grid_Requirement'!AF22</f>
        <v/>
      </c>
      <c r="AI218">
        <f>'Grid_Requirement'!AG22</f>
        <v/>
      </c>
      <c r="AJ218">
        <f>'Grid_Requirement'!AH22</f>
        <v/>
      </c>
      <c r="AK218">
        <f>'Grid_Requirement'!AI22</f>
        <v/>
      </c>
      <c r="AL218">
        <f>'Grid_Requirement'!AJ22</f>
        <v/>
      </c>
      <c r="AM218">
        <f>'Grid_Requirement'!AK22</f>
        <v/>
      </c>
      <c r="AN218">
        <f>'Grid_Requirement'!AL22</f>
        <v/>
      </c>
      <c r="AO218">
        <f>'Grid_Requirement'!AM22</f>
        <v/>
      </c>
      <c r="AP218">
        <f>'Grid_Requirement'!AN22</f>
        <v/>
      </c>
      <c r="AQ218">
        <f>'Grid_Requirement'!AO22</f>
        <v/>
      </c>
      <c r="AR218">
        <f>'Grid_Requirement'!AP22</f>
        <v/>
      </c>
      <c r="AS218">
        <f>'Grid_Requirement'!AQ22</f>
        <v/>
      </c>
      <c r="AT218">
        <f>'Grid_Requirement'!AR22</f>
        <v/>
      </c>
      <c r="AU218">
        <f>'Grid_Requirement'!AS22</f>
        <v/>
      </c>
      <c r="AV218">
        <f>'Grid_Requirement'!AT22</f>
        <v/>
      </c>
      <c r="AW218">
        <f>'Grid_Requirement'!AU22</f>
        <v/>
      </c>
      <c r="AX218">
        <f>'Grid_Requirement'!AV22</f>
        <v/>
      </c>
      <c r="AY218">
        <f>'Grid_Requirement'!AW22</f>
        <v/>
      </c>
      <c r="AZ218">
        <f>'Grid_Requirement'!AX22</f>
        <v/>
      </c>
      <c r="BA218">
        <f>'Grid_Requirement'!AY22</f>
        <v/>
      </c>
      <c r="BB218">
        <f>'Grid_Requirement'!AZ22</f>
        <v/>
      </c>
      <c r="BC218">
        <f>'Grid_Requirement'!BA22</f>
        <v/>
      </c>
      <c r="BD218">
        <f>'Grid_Requirement'!BB22</f>
        <v/>
      </c>
      <c r="BE218">
        <f>'Grid_Requirement'!BC22</f>
        <v/>
      </c>
      <c r="BF218">
        <f>'Grid_Requirement'!BD22</f>
        <v/>
      </c>
      <c r="BG218">
        <f>'Grid_Requirement'!BE22</f>
        <v/>
      </c>
      <c r="BH218">
        <f>'Grid_Requirement'!BF22</f>
        <v/>
      </c>
      <c r="BI218">
        <f>'Grid_Requirement'!BG22</f>
        <v/>
      </c>
      <c r="BJ218">
        <f>'Grid_Requirement'!BH22</f>
        <v/>
      </c>
      <c r="BK218">
        <f>'Grid_Requirement'!BI22</f>
        <v/>
      </c>
      <c r="BL218">
        <f>'Grid_Requirement'!BJ22</f>
        <v/>
      </c>
      <c r="BM218">
        <f>'Grid_Requirement'!BK22</f>
        <v/>
      </c>
      <c r="BN218">
        <f>'Grid_Requirement'!BL22</f>
        <v/>
      </c>
      <c r="BO218">
        <f>'Grid_Requirement'!BM22</f>
        <v/>
      </c>
      <c r="BP218">
        <f>'Grid_Requirement'!BN22</f>
        <v/>
      </c>
      <c r="BQ218">
        <f>'Grid_Requirement'!BO22</f>
        <v/>
      </c>
      <c r="BR218">
        <f>'Grid_Requirement'!BP22</f>
        <v/>
      </c>
      <c r="BS218">
        <f>'Grid_Requirement'!BQ22</f>
        <v/>
      </c>
      <c r="BT218">
        <f>'Grid_Requirement'!BR22</f>
        <v/>
      </c>
      <c r="BU218">
        <f>'Grid_Requirement'!BS22</f>
        <v/>
      </c>
      <c r="BV218">
        <f>'Grid_Requirement'!BT22</f>
        <v/>
      </c>
      <c r="BW218">
        <f>'Grid_Requirement'!BU22</f>
        <v/>
      </c>
      <c r="BX218">
        <f>'Grid_Requirement'!BV22</f>
        <v/>
      </c>
      <c r="BY218">
        <f>'Grid_Requirement'!BW22</f>
        <v/>
      </c>
      <c r="BZ218">
        <f>'Grid_Requirement'!BX22</f>
        <v/>
      </c>
      <c r="CA218">
        <f>'Grid_Requirement'!BY22</f>
        <v/>
      </c>
      <c r="CB218">
        <f>'Grid_Requirement'!BZ22</f>
        <v/>
      </c>
      <c r="CC218">
        <f>'Grid_Requirement'!CA22</f>
        <v/>
      </c>
      <c r="CD218">
        <f>'Grid_Requirement'!CB22</f>
        <v/>
      </c>
      <c r="CE218">
        <f>'Grid_Requirement'!CC22</f>
        <v/>
      </c>
      <c r="CF218">
        <f>'Grid_Requirement'!CD22</f>
        <v/>
      </c>
      <c r="CG218">
        <f>'Grid_Requirement'!CE22</f>
        <v/>
      </c>
      <c r="CH218">
        <f>'Grid_Requirement'!CF22</f>
        <v/>
      </c>
      <c r="CI218">
        <f>'Grid_Requirement'!CG22</f>
        <v/>
      </c>
      <c r="CJ218">
        <f>'Grid_Requirement'!CH22</f>
        <v/>
      </c>
      <c r="CK218">
        <f>'Grid_Requirement'!CI22</f>
        <v/>
      </c>
      <c r="CL218">
        <f>'Grid_Requirement'!CJ22</f>
        <v/>
      </c>
      <c r="CM218">
        <f>'Grid_Requirement'!CK22</f>
        <v/>
      </c>
      <c r="CN218">
        <f>'Grid_Requirement'!CL22</f>
        <v/>
      </c>
      <c r="CO218">
        <f>'Grid_Requirement'!CM22</f>
        <v/>
      </c>
      <c r="CP218">
        <f>'Grid_Requirement'!CN22</f>
        <v/>
      </c>
      <c r="CQ218">
        <f>'Grid_Requirement'!CO22</f>
        <v/>
      </c>
      <c r="CR218">
        <f>'Grid_Requirement'!CP22</f>
        <v/>
      </c>
      <c r="CS218">
        <f>'Grid_Requirement'!CQ22</f>
        <v/>
      </c>
      <c r="CT218">
        <f>'Grid_Requirement'!CR22</f>
        <v/>
      </c>
      <c r="CU218">
        <f>'Grid_Requirement'!CS22</f>
        <v/>
      </c>
      <c r="CV218">
        <f>'Grid_Requirement'!CT22</f>
        <v/>
      </c>
      <c r="CW218">
        <f>'Grid_Requirement'!CU22</f>
        <v/>
      </c>
      <c r="CX218">
        <f>'Grid_Requirement'!CV22</f>
        <v/>
      </c>
      <c r="CY218">
        <f>'Grid_Requirement'!CW22</f>
        <v/>
      </c>
      <c r="CZ218">
        <f>'Grid_Requirement'!CX22</f>
        <v/>
      </c>
      <c r="DA218">
        <f>'Grid_Requirement'!CY22</f>
        <v/>
      </c>
      <c r="DB218">
        <f>'Grid_Requirement'!CZ22</f>
        <v/>
      </c>
      <c r="DC218">
        <f>'Grid_Requirement'!DA22</f>
        <v/>
      </c>
    </row>
    <row r="219">
      <c r="B219" t="inlineStr">
        <is>
          <t>TTAF在庫(実績,kg)</t>
        </is>
      </c>
      <c r="D219">
        <f>'T_TTAFStock'!B26</f>
        <v/>
      </c>
      <c r="E219">
        <f>'T_TTAFStock'!C26</f>
        <v/>
      </c>
      <c r="F219">
        <f>'T_TTAFStock'!D26</f>
        <v/>
      </c>
      <c r="G219">
        <f>'T_TTAFStock'!E26</f>
        <v/>
      </c>
      <c r="H219">
        <f>'T_TTAFStock'!F26</f>
        <v/>
      </c>
      <c r="I219">
        <f>'T_TTAFStock'!G26</f>
        <v/>
      </c>
      <c r="J219">
        <f>'T_TTAFStock'!H26</f>
        <v/>
      </c>
      <c r="K219">
        <f>'T_TTAFStock'!I26</f>
        <v/>
      </c>
      <c r="L219">
        <f>'T_TTAFStock'!J26</f>
        <v/>
      </c>
      <c r="M219">
        <f>'T_TTAFStock'!K26</f>
        <v/>
      </c>
      <c r="N219">
        <f>'T_TTAFStock'!L26</f>
        <v/>
      </c>
      <c r="O219">
        <f>'T_TTAFStock'!M26</f>
        <v/>
      </c>
      <c r="P219">
        <f>'T_TTAFStock'!N26</f>
        <v/>
      </c>
      <c r="Q219">
        <f>'T_TTAFStock'!O26</f>
        <v/>
      </c>
      <c r="R219">
        <f>'T_TTAFStock'!P26</f>
        <v/>
      </c>
      <c r="S219">
        <f>'T_TTAFStock'!Q26</f>
        <v/>
      </c>
      <c r="T219">
        <f>'T_TTAFStock'!R26</f>
        <v/>
      </c>
      <c r="U219">
        <f>'T_TTAFStock'!S26</f>
        <v/>
      </c>
      <c r="V219">
        <f>'T_TTAFStock'!T26</f>
        <v/>
      </c>
      <c r="W219">
        <f>'T_TTAFStock'!U26</f>
        <v/>
      </c>
      <c r="X219">
        <f>'T_TTAFStock'!V26</f>
        <v/>
      </c>
      <c r="Y219">
        <f>'T_TTAFStock'!W26</f>
        <v/>
      </c>
      <c r="Z219">
        <f>'T_TTAFStock'!X26</f>
        <v/>
      </c>
      <c r="AA219">
        <f>'T_TTAFStock'!Y26</f>
        <v/>
      </c>
      <c r="AB219">
        <f>'T_TTAFStock'!Z26</f>
        <v/>
      </c>
      <c r="AC219">
        <f>'T_TTAFStock'!AA26</f>
        <v/>
      </c>
      <c r="AD219">
        <f>'T_TTAFStock'!AB26</f>
        <v/>
      </c>
      <c r="AE219">
        <f>'T_TTAFStock'!AC26</f>
        <v/>
      </c>
      <c r="AF219">
        <f>'T_TTAFStock'!AD26</f>
        <v/>
      </c>
      <c r="AG219">
        <f>'T_TTAFStock'!AE26</f>
        <v/>
      </c>
      <c r="AH219">
        <f>'T_TTAFStock'!AF26</f>
        <v/>
      </c>
      <c r="AI219">
        <f>'T_TTAFStock'!AG26</f>
        <v/>
      </c>
      <c r="AJ219">
        <f>'T_TTAFStock'!AH26</f>
        <v/>
      </c>
      <c r="AK219">
        <f>'T_TTAFStock'!AI26</f>
        <v/>
      </c>
      <c r="AL219">
        <f>'T_TTAFStock'!AJ26</f>
        <v/>
      </c>
      <c r="AM219">
        <f>'T_TTAFStock'!AK26</f>
        <v/>
      </c>
      <c r="AN219">
        <f>'T_TTAFStock'!AL26</f>
        <v/>
      </c>
      <c r="AO219">
        <f>'T_TTAFStock'!AM26</f>
        <v/>
      </c>
      <c r="AP219">
        <f>'T_TTAFStock'!AN26</f>
        <v/>
      </c>
      <c r="AQ219">
        <f>'T_TTAFStock'!AO26</f>
        <v/>
      </c>
      <c r="AR219">
        <f>'T_TTAFStock'!AP26</f>
        <v/>
      </c>
      <c r="AS219">
        <f>'T_TTAFStock'!AQ26</f>
        <v/>
      </c>
      <c r="AT219">
        <f>'T_TTAFStock'!AR26</f>
        <v/>
      </c>
      <c r="AU219">
        <f>'T_TTAFStock'!AS26</f>
        <v/>
      </c>
      <c r="AV219">
        <f>'T_TTAFStock'!AT26</f>
        <v/>
      </c>
      <c r="AW219">
        <f>'T_TTAFStock'!AU26</f>
        <v/>
      </c>
      <c r="AX219">
        <f>'T_TTAFStock'!AV26</f>
        <v/>
      </c>
      <c r="AY219">
        <f>'T_TTAFStock'!AW26</f>
        <v/>
      </c>
      <c r="AZ219">
        <f>'T_TTAFStock'!AX26</f>
        <v/>
      </c>
      <c r="BA219">
        <f>'T_TTAFStock'!AY26</f>
        <v/>
      </c>
      <c r="BB219">
        <f>'T_TTAFStock'!AZ26</f>
        <v/>
      </c>
      <c r="BC219">
        <f>'T_TTAFStock'!BA26</f>
        <v/>
      </c>
      <c r="BD219">
        <f>'T_TTAFStock'!BB26</f>
        <v/>
      </c>
      <c r="BE219">
        <f>'T_TTAFStock'!BC26</f>
        <v/>
      </c>
      <c r="BF219">
        <f>'T_TTAFStock'!BD26</f>
        <v/>
      </c>
      <c r="BG219">
        <f>'T_TTAFStock'!BE26</f>
        <v/>
      </c>
      <c r="BH219">
        <f>'T_TTAFStock'!BF26</f>
        <v/>
      </c>
      <c r="BI219">
        <f>'T_TTAFStock'!BG26</f>
        <v/>
      </c>
      <c r="BJ219">
        <f>'T_TTAFStock'!BH26</f>
        <v/>
      </c>
      <c r="BK219">
        <f>'T_TTAFStock'!BI26</f>
        <v/>
      </c>
      <c r="BL219">
        <f>'T_TTAFStock'!BJ26</f>
        <v/>
      </c>
      <c r="BM219">
        <f>'T_TTAFStock'!BK26</f>
        <v/>
      </c>
      <c r="BN219">
        <f>'T_TTAFStock'!BL26</f>
        <v/>
      </c>
      <c r="BO219">
        <f>'T_TTAFStock'!BM26</f>
        <v/>
      </c>
      <c r="BP219">
        <f>'T_TTAFStock'!BN26</f>
        <v/>
      </c>
      <c r="BQ219">
        <f>'T_TTAFStock'!BO26</f>
        <v/>
      </c>
      <c r="BR219">
        <f>'T_TTAFStock'!BP26</f>
        <v/>
      </c>
      <c r="BS219">
        <f>'T_TTAFStock'!BQ26</f>
        <v/>
      </c>
      <c r="BT219">
        <f>'T_TTAFStock'!BR26</f>
        <v/>
      </c>
      <c r="BU219">
        <f>'T_TTAFStock'!BS26</f>
        <v/>
      </c>
      <c r="BV219">
        <f>'T_TTAFStock'!BT26</f>
        <v/>
      </c>
      <c r="BW219">
        <f>'T_TTAFStock'!BU26</f>
        <v/>
      </c>
      <c r="BX219">
        <f>'T_TTAFStock'!BV26</f>
        <v/>
      </c>
      <c r="BY219">
        <f>'T_TTAFStock'!BW26</f>
        <v/>
      </c>
      <c r="BZ219">
        <f>'T_TTAFStock'!BX26</f>
        <v/>
      </c>
      <c r="CA219">
        <f>'T_TTAFStock'!BY26</f>
        <v/>
      </c>
      <c r="CB219">
        <f>'T_TTAFStock'!BZ26</f>
        <v/>
      </c>
      <c r="CC219">
        <f>'T_TTAFStock'!CA26</f>
        <v/>
      </c>
      <c r="CD219">
        <f>'T_TTAFStock'!CB26</f>
        <v/>
      </c>
      <c r="CE219">
        <f>'T_TTAFStock'!CC26</f>
        <v/>
      </c>
      <c r="CF219">
        <f>'T_TTAFStock'!CD26</f>
        <v/>
      </c>
      <c r="CG219">
        <f>'T_TTAFStock'!CE26</f>
        <v/>
      </c>
      <c r="CH219">
        <f>'T_TTAFStock'!CF26</f>
        <v/>
      </c>
      <c r="CI219">
        <f>'T_TTAFStock'!CG26</f>
        <v/>
      </c>
      <c r="CJ219">
        <f>'T_TTAFStock'!CH26</f>
        <v/>
      </c>
      <c r="CK219">
        <f>'T_TTAFStock'!CI26</f>
        <v/>
      </c>
      <c r="CL219">
        <f>'T_TTAFStock'!CJ26</f>
        <v/>
      </c>
      <c r="CM219">
        <f>'T_TTAFStock'!CK26</f>
        <v/>
      </c>
      <c r="CN219">
        <f>'T_TTAFStock'!CL26</f>
        <v/>
      </c>
      <c r="CO219">
        <f>'T_TTAFStock'!CM26</f>
        <v/>
      </c>
      <c r="CP219">
        <f>'T_TTAFStock'!CN26</f>
        <v/>
      </c>
      <c r="CQ219">
        <f>'T_TTAFStock'!CO26</f>
        <v/>
      </c>
      <c r="CR219">
        <f>'T_TTAFStock'!CP26</f>
        <v/>
      </c>
      <c r="CS219">
        <f>'T_TTAFStock'!CQ26</f>
        <v/>
      </c>
      <c r="CT219">
        <f>'T_TTAFStock'!CR26</f>
        <v/>
      </c>
      <c r="CU219">
        <f>'T_TTAFStock'!CS26</f>
        <v/>
      </c>
      <c r="CV219">
        <f>'T_TTAFStock'!CT26</f>
        <v/>
      </c>
      <c r="CW219">
        <f>'T_TTAFStock'!CU26</f>
        <v/>
      </c>
      <c r="CX219">
        <f>'T_TTAFStock'!CV26</f>
        <v/>
      </c>
      <c r="CY219">
        <f>'T_TTAFStock'!CW26</f>
        <v/>
      </c>
      <c r="CZ219">
        <f>'T_TTAFStock'!CX26</f>
        <v/>
      </c>
      <c r="DA219">
        <f>'T_TTAFStock'!CY26</f>
        <v/>
      </c>
      <c r="DB219">
        <f>'T_TTAFStock'!CZ26</f>
        <v/>
      </c>
      <c r="DC219">
        <f>'T_TTAFStock'!DA26</f>
        <v/>
      </c>
    </row>
    <row r="220">
      <c r="B220" t="inlineStr">
        <is>
          <t>自社在庫(実績,kg)</t>
        </is>
      </c>
      <c r="D220">
        <f>'T_SelfStock'!B26</f>
        <v/>
      </c>
      <c r="E220">
        <f>'T_SelfStock'!C26</f>
        <v/>
      </c>
      <c r="F220">
        <f>'T_SelfStock'!D26</f>
        <v/>
      </c>
      <c r="G220">
        <f>'T_SelfStock'!E26</f>
        <v/>
      </c>
      <c r="H220">
        <f>'T_SelfStock'!F26</f>
        <v/>
      </c>
      <c r="I220">
        <f>'T_SelfStock'!G26</f>
        <v/>
      </c>
      <c r="J220">
        <f>'T_SelfStock'!H26</f>
        <v/>
      </c>
      <c r="K220">
        <f>'T_SelfStock'!I26</f>
        <v/>
      </c>
      <c r="L220">
        <f>'T_SelfStock'!J26</f>
        <v/>
      </c>
      <c r="M220">
        <f>'T_SelfStock'!K26</f>
        <v/>
      </c>
      <c r="N220">
        <f>'T_SelfStock'!L26</f>
        <v/>
      </c>
      <c r="O220">
        <f>'T_SelfStock'!M26</f>
        <v/>
      </c>
      <c r="P220">
        <f>'T_SelfStock'!N26</f>
        <v/>
      </c>
      <c r="Q220">
        <f>'T_SelfStock'!O26</f>
        <v/>
      </c>
      <c r="R220">
        <f>'T_SelfStock'!P26</f>
        <v/>
      </c>
      <c r="S220">
        <f>'T_SelfStock'!Q26</f>
        <v/>
      </c>
      <c r="T220">
        <f>'T_SelfStock'!R26</f>
        <v/>
      </c>
      <c r="U220">
        <f>'T_SelfStock'!S26</f>
        <v/>
      </c>
      <c r="V220">
        <f>'T_SelfStock'!T26</f>
        <v/>
      </c>
      <c r="W220">
        <f>'T_SelfStock'!U26</f>
        <v/>
      </c>
      <c r="X220">
        <f>'T_SelfStock'!V26</f>
        <v/>
      </c>
      <c r="Y220">
        <f>'T_SelfStock'!W26</f>
        <v/>
      </c>
      <c r="Z220">
        <f>'T_SelfStock'!X26</f>
        <v/>
      </c>
      <c r="AA220">
        <f>'T_SelfStock'!Y26</f>
        <v/>
      </c>
      <c r="AB220">
        <f>'T_SelfStock'!Z26</f>
        <v/>
      </c>
      <c r="AC220">
        <f>'T_SelfStock'!AA26</f>
        <v/>
      </c>
      <c r="AD220">
        <f>'T_SelfStock'!AB26</f>
        <v/>
      </c>
      <c r="AE220">
        <f>'T_SelfStock'!AC26</f>
        <v/>
      </c>
      <c r="AF220">
        <f>'T_SelfStock'!AD26</f>
        <v/>
      </c>
      <c r="AG220">
        <f>'T_SelfStock'!AE26</f>
        <v/>
      </c>
      <c r="AH220">
        <f>'T_SelfStock'!AF26</f>
        <v/>
      </c>
      <c r="AI220">
        <f>'T_SelfStock'!AG26</f>
        <v/>
      </c>
      <c r="AJ220">
        <f>'T_SelfStock'!AH26</f>
        <v/>
      </c>
      <c r="AK220">
        <f>'T_SelfStock'!AI26</f>
        <v/>
      </c>
      <c r="AL220">
        <f>'T_SelfStock'!AJ26</f>
        <v/>
      </c>
      <c r="AM220">
        <f>'T_SelfStock'!AK26</f>
        <v/>
      </c>
      <c r="AN220">
        <f>'T_SelfStock'!AL26</f>
        <v/>
      </c>
      <c r="AO220">
        <f>'T_SelfStock'!AM26</f>
        <v/>
      </c>
      <c r="AP220">
        <f>'T_SelfStock'!AN26</f>
        <v/>
      </c>
      <c r="AQ220">
        <f>'T_SelfStock'!AO26</f>
        <v/>
      </c>
      <c r="AR220">
        <f>'T_SelfStock'!AP26</f>
        <v/>
      </c>
      <c r="AS220">
        <f>'T_SelfStock'!AQ26</f>
        <v/>
      </c>
      <c r="AT220">
        <f>'T_SelfStock'!AR26</f>
        <v/>
      </c>
      <c r="AU220">
        <f>'T_SelfStock'!AS26</f>
        <v/>
      </c>
      <c r="AV220">
        <f>'T_SelfStock'!AT26</f>
        <v/>
      </c>
      <c r="AW220">
        <f>'T_SelfStock'!AU26</f>
        <v/>
      </c>
      <c r="AX220">
        <f>'T_SelfStock'!AV26</f>
        <v/>
      </c>
      <c r="AY220">
        <f>'T_SelfStock'!AW26</f>
        <v/>
      </c>
      <c r="AZ220">
        <f>'T_SelfStock'!AX26</f>
        <v/>
      </c>
      <c r="BA220">
        <f>'T_SelfStock'!AY26</f>
        <v/>
      </c>
      <c r="BB220">
        <f>'T_SelfStock'!AZ26</f>
        <v/>
      </c>
      <c r="BC220">
        <f>'T_SelfStock'!BA26</f>
        <v/>
      </c>
      <c r="BD220">
        <f>'T_SelfStock'!BB26</f>
        <v/>
      </c>
      <c r="BE220">
        <f>'T_SelfStock'!BC26</f>
        <v/>
      </c>
      <c r="BF220">
        <f>'T_SelfStock'!BD26</f>
        <v/>
      </c>
      <c r="BG220">
        <f>'T_SelfStock'!BE26</f>
        <v/>
      </c>
      <c r="BH220">
        <f>'T_SelfStock'!BF26</f>
        <v/>
      </c>
      <c r="BI220">
        <f>'T_SelfStock'!BG26</f>
        <v/>
      </c>
      <c r="BJ220">
        <f>'T_SelfStock'!BH26</f>
        <v/>
      </c>
      <c r="BK220">
        <f>'T_SelfStock'!BI26</f>
        <v/>
      </c>
      <c r="BL220">
        <f>'T_SelfStock'!BJ26</f>
        <v/>
      </c>
      <c r="BM220">
        <f>'T_SelfStock'!BK26</f>
        <v/>
      </c>
      <c r="BN220">
        <f>'T_SelfStock'!BL26</f>
        <v/>
      </c>
      <c r="BO220">
        <f>'T_SelfStock'!BM26</f>
        <v/>
      </c>
      <c r="BP220">
        <f>'T_SelfStock'!BN26</f>
        <v/>
      </c>
      <c r="BQ220">
        <f>'T_SelfStock'!BO26</f>
        <v/>
      </c>
      <c r="BR220">
        <f>'T_SelfStock'!BP26</f>
        <v/>
      </c>
      <c r="BS220">
        <f>'T_SelfStock'!BQ26</f>
        <v/>
      </c>
      <c r="BT220">
        <f>'T_SelfStock'!BR26</f>
        <v/>
      </c>
      <c r="BU220">
        <f>'T_SelfStock'!BS26</f>
        <v/>
      </c>
      <c r="BV220">
        <f>'T_SelfStock'!BT26</f>
        <v/>
      </c>
      <c r="BW220">
        <f>'T_SelfStock'!BU26</f>
        <v/>
      </c>
      <c r="BX220">
        <f>'T_SelfStock'!BV26</f>
        <v/>
      </c>
      <c r="BY220">
        <f>'T_SelfStock'!BW26</f>
        <v/>
      </c>
      <c r="BZ220">
        <f>'T_SelfStock'!BX26</f>
        <v/>
      </c>
      <c r="CA220">
        <f>'T_SelfStock'!BY26</f>
        <v/>
      </c>
      <c r="CB220">
        <f>'T_SelfStock'!BZ26</f>
        <v/>
      </c>
      <c r="CC220">
        <f>'T_SelfStock'!CA26</f>
        <v/>
      </c>
      <c r="CD220">
        <f>'T_SelfStock'!CB26</f>
        <v/>
      </c>
      <c r="CE220">
        <f>'T_SelfStock'!CC26</f>
        <v/>
      </c>
      <c r="CF220">
        <f>'T_SelfStock'!CD26</f>
        <v/>
      </c>
      <c r="CG220">
        <f>'T_SelfStock'!CE26</f>
        <v/>
      </c>
      <c r="CH220">
        <f>'T_SelfStock'!CF26</f>
        <v/>
      </c>
      <c r="CI220">
        <f>'T_SelfStock'!CG26</f>
        <v/>
      </c>
      <c r="CJ220">
        <f>'T_SelfStock'!CH26</f>
        <v/>
      </c>
      <c r="CK220">
        <f>'T_SelfStock'!CI26</f>
        <v/>
      </c>
      <c r="CL220">
        <f>'T_SelfStock'!CJ26</f>
        <v/>
      </c>
      <c r="CM220">
        <f>'T_SelfStock'!CK26</f>
        <v/>
      </c>
      <c r="CN220">
        <f>'T_SelfStock'!CL26</f>
        <v/>
      </c>
      <c r="CO220">
        <f>'T_SelfStock'!CM26</f>
        <v/>
      </c>
      <c r="CP220">
        <f>'T_SelfStock'!CN26</f>
        <v/>
      </c>
      <c r="CQ220">
        <f>'T_SelfStock'!CO26</f>
        <v/>
      </c>
      <c r="CR220">
        <f>'T_SelfStock'!CP26</f>
        <v/>
      </c>
      <c r="CS220">
        <f>'T_SelfStock'!CQ26</f>
        <v/>
      </c>
      <c r="CT220">
        <f>'T_SelfStock'!CR26</f>
        <v/>
      </c>
      <c r="CU220">
        <f>'T_SelfStock'!CS26</f>
        <v/>
      </c>
      <c r="CV220">
        <f>'T_SelfStock'!CT26</f>
        <v/>
      </c>
      <c r="CW220">
        <f>'T_SelfStock'!CU26</f>
        <v/>
      </c>
      <c r="CX220">
        <f>'T_SelfStock'!CV26</f>
        <v/>
      </c>
      <c r="CY220">
        <f>'T_SelfStock'!CW26</f>
        <v/>
      </c>
      <c r="CZ220">
        <f>'T_SelfStock'!CX26</f>
        <v/>
      </c>
      <c r="DA220">
        <f>'T_SelfStock'!CY26</f>
        <v/>
      </c>
      <c r="DB220">
        <f>'T_SelfStock'!CZ26</f>
        <v/>
      </c>
      <c r="DC220">
        <f>'T_SelfStock'!DA26</f>
        <v/>
      </c>
    </row>
    <row r="221">
      <c r="B221" t="inlineStr">
        <is>
          <t>Order(発注予定,kg)</t>
        </is>
      </c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  <c r="AA221" s="23" t="n"/>
      <c r="AB221" s="23" t="n"/>
      <c r="AC221" s="23" t="n"/>
      <c r="AD221" s="23" t="n"/>
      <c r="AE221" s="23" t="n"/>
      <c r="AF221" s="23" t="n"/>
      <c r="AG221" s="23" t="n"/>
      <c r="AH221" s="23" t="n"/>
      <c r="AI221" s="23" t="n"/>
      <c r="AJ221" s="23" t="n"/>
      <c r="AK221" s="23" t="n"/>
      <c r="AL221" s="23" t="n"/>
      <c r="AM221" s="23" t="n"/>
      <c r="AN221" s="23" t="n"/>
      <c r="AO221" s="23" t="n"/>
      <c r="AP221" s="23" t="n"/>
      <c r="AQ221" s="23" t="n"/>
      <c r="AR221" s="23" t="n"/>
      <c r="AS221" s="23" t="n"/>
      <c r="AT221" s="23" t="n"/>
      <c r="AU221" s="23" t="n"/>
      <c r="AV221" s="23" t="n"/>
      <c r="AW221" s="23" t="n"/>
      <c r="AX221" s="23" t="n"/>
      <c r="AY221" s="23" t="n"/>
      <c r="AZ221" s="23" t="n"/>
      <c r="BA221" s="23" t="n"/>
      <c r="BB221" s="23" t="n"/>
      <c r="BC221" s="23" t="n"/>
      <c r="BD221" s="23" t="n"/>
      <c r="BE221" s="23" t="n"/>
      <c r="BF221" s="23" t="n"/>
      <c r="BG221" s="23" t="n"/>
      <c r="BH221" s="23" t="n"/>
      <c r="BI221" s="23" t="n"/>
      <c r="BJ221" s="23" t="n"/>
      <c r="BK221" s="23" t="n"/>
      <c r="BL221" s="23" t="n"/>
      <c r="BM221" s="23" t="n"/>
      <c r="BN221" s="23" t="n"/>
      <c r="BO221" s="23" t="n"/>
      <c r="BP221" s="23" t="n"/>
      <c r="BQ221" s="23" t="n"/>
      <c r="BR221" s="23" t="n"/>
      <c r="BS221" s="23" t="n"/>
      <c r="BT221" s="23" t="n"/>
      <c r="BU221" s="23" t="n"/>
      <c r="BV221" s="23" t="n"/>
      <c r="BW221" s="23" t="n"/>
      <c r="BX221" s="23" t="n"/>
      <c r="BY221" s="23" t="n"/>
      <c r="BZ221" s="23" t="n"/>
      <c r="CA221" s="23" t="n"/>
      <c r="CB221" s="23" t="n"/>
      <c r="CC221" s="23" t="n"/>
      <c r="CD221" s="23" t="n"/>
      <c r="CE221" s="23" t="n"/>
      <c r="CF221" s="23" t="n"/>
      <c r="CG221" s="23" t="n"/>
      <c r="CH221" s="23" t="n"/>
      <c r="CI221" s="23" t="n"/>
      <c r="CJ221" s="23" t="n"/>
      <c r="CK221" s="23" t="n"/>
      <c r="CL221" s="23" t="n"/>
      <c r="CM221" s="23" t="n"/>
      <c r="CN221" s="23" t="n"/>
      <c r="CO221" s="23" t="n"/>
      <c r="CP221" s="23" t="n"/>
      <c r="CQ221" s="23" t="n"/>
      <c r="CR221" s="23" t="n"/>
      <c r="CS221" s="23" t="n"/>
      <c r="CT221" s="23" t="n"/>
      <c r="CU221" s="23" t="n"/>
      <c r="CV221" s="23" t="n"/>
      <c r="CW221" s="23" t="n"/>
      <c r="CX221" s="23" t="n"/>
      <c r="CY221" s="23" t="n"/>
      <c r="CZ221" s="23" t="n"/>
      <c r="DA221" s="23" t="n"/>
      <c r="DB221" s="23" t="n"/>
      <c r="DC221" s="23" t="n"/>
      <c r="DE221" s="12" t="inlineStr">
        <is>
          <t>CHEM-1670</t>
        </is>
      </c>
    </row>
    <row r="222">
      <c r="B222" s="24" t="inlineStr">
        <is>
          <t>PO_No</t>
        </is>
      </c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  <c r="AD222" s="25" t="n"/>
      <c r="AE222" s="25" t="n"/>
      <c r="AF222" s="25" t="n"/>
      <c r="AG222" s="25" t="n"/>
      <c r="AH222" s="25" t="n"/>
      <c r="AI222" s="25" t="n"/>
      <c r="AJ222" s="25" t="n"/>
      <c r="AK222" s="25" t="n"/>
      <c r="AL222" s="25" t="n"/>
      <c r="AM222" s="25" t="n"/>
      <c r="AN222" s="25" t="n"/>
      <c r="AO222" s="25" t="n"/>
      <c r="AP222" s="25" t="n"/>
      <c r="AQ222" s="25" t="n"/>
      <c r="AR222" s="25" t="n"/>
      <c r="AS222" s="25" t="n"/>
      <c r="AT222" s="25" t="n"/>
      <c r="AU222" s="25" t="n"/>
      <c r="AV222" s="25" t="n"/>
      <c r="AW222" s="25" t="n"/>
      <c r="AX222" s="25" t="n"/>
      <c r="AY222" s="25" t="n"/>
      <c r="AZ222" s="25" t="n"/>
      <c r="BA222" s="25" t="n"/>
      <c r="BB222" s="25" t="n"/>
      <c r="BC222" s="25" t="n"/>
      <c r="BD222" s="25" t="n"/>
      <c r="BE222" s="25" t="n"/>
      <c r="BF222" s="25" t="n"/>
      <c r="BG222" s="25" t="n"/>
      <c r="BH222" s="25" t="n"/>
      <c r="BI222" s="25" t="n"/>
      <c r="BJ222" s="25" t="n"/>
      <c r="BK222" s="25" t="n"/>
      <c r="BL222" s="25" t="n"/>
      <c r="BM222" s="25" t="n"/>
      <c r="BN222" s="25" t="n"/>
      <c r="BO222" s="25" t="n"/>
      <c r="BP222" s="25" t="n"/>
      <c r="BQ222" s="25" t="n"/>
      <c r="BR222" s="25" t="n"/>
      <c r="BS222" s="25" t="n"/>
      <c r="BT222" s="25" t="n"/>
      <c r="BU222" s="25" t="n"/>
      <c r="BV222" s="25" t="n"/>
      <c r="BW222" s="25" t="n"/>
      <c r="BX222" s="25" t="n"/>
      <c r="BY222" s="25" t="n"/>
      <c r="BZ222" s="25" t="n"/>
      <c r="CA222" s="25" t="n"/>
      <c r="CB222" s="25" t="n"/>
      <c r="CC222" s="25" t="n"/>
      <c r="CD222" s="25" t="n"/>
      <c r="CE222" s="25" t="n"/>
      <c r="CF222" s="25" t="n"/>
      <c r="CG222" s="25" t="n"/>
      <c r="CH222" s="25" t="n"/>
      <c r="CI222" s="25" t="n"/>
      <c r="CJ222" s="25" t="n"/>
      <c r="CK222" s="25" t="n"/>
      <c r="CL222" s="25" t="n"/>
      <c r="CM222" s="25" t="n"/>
      <c r="CN222" s="25" t="n"/>
      <c r="CO222" s="25" t="n"/>
      <c r="CP222" s="25" t="n"/>
      <c r="CQ222" s="25" t="n"/>
      <c r="CR222" s="25" t="n"/>
      <c r="CS222" s="25" t="n"/>
      <c r="CT222" s="25" t="n"/>
      <c r="CU222" s="25" t="n"/>
      <c r="CV222" s="25" t="n"/>
      <c r="CW222" s="25" t="n"/>
      <c r="CX222" s="25" t="n"/>
      <c r="CY222" s="25" t="n"/>
      <c r="CZ222" s="25" t="n"/>
      <c r="DA222" s="25" t="n"/>
      <c r="DB222" s="25" t="n"/>
      <c r="DC222" s="25" t="n"/>
    </row>
    <row r="223">
      <c r="B223" s="5" t="inlineStr">
        <is>
          <t>合計在庫(週末時点,kg)</t>
        </is>
      </c>
      <c r="D223">
        <f>'Grid_Stock'!B22</f>
        <v/>
      </c>
      <c r="E223">
        <f>'Grid_Stock'!C22</f>
        <v/>
      </c>
      <c r="F223">
        <f>'Grid_Stock'!D22</f>
        <v/>
      </c>
      <c r="G223">
        <f>'Grid_Stock'!E22</f>
        <v/>
      </c>
      <c r="H223">
        <f>'Grid_Stock'!F22</f>
        <v/>
      </c>
      <c r="I223">
        <f>'Grid_Stock'!G22</f>
        <v/>
      </c>
      <c r="J223">
        <f>'Grid_Stock'!H22</f>
        <v/>
      </c>
      <c r="K223">
        <f>'Grid_Stock'!I22</f>
        <v/>
      </c>
      <c r="L223">
        <f>'Grid_Stock'!J22</f>
        <v/>
      </c>
      <c r="M223">
        <f>'Grid_Stock'!K22</f>
        <v/>
      </c>
      <c r="N223">
        <f>'Grid_Stock'!L22</f>
        <v/>
      </c>
      <c r="O223">
        <f>'Grid_Stock'!M22</f>
        <v/>
      </c>
      <c r="P223">
        <f>'Grid_Stock'!N22</f>
        <v/>
      </c>
      <c r="Q223">
        <f>'Grid_Stock'!O22</f>
        <v/>
      </c>
      <c r="R223">
        <f>'Grid_Stock'!P22</f>
        <v/>
      </c>
      <c r="S223">
        <f>'Grid_Stock'!Q22</f>
        <v/>
      </c>
      <c r="T223">
        <f>'Grid_Stock'!R22</f>
        <v/>
      </c>
      <c r="U223">
        <f>'Grid_Stock'!S22</f>
        <v/>
      </c>
      <c r="V223">
        <f>'Grid_Stock'!T22</f>
        <v/>
      </c>
      <c r="W223">
        <f>'Grid_Stock'!U22</f>
        <v/>
      </c>
      <c r="X223">
        <f>'Grid_Stock'!V22</f>
        <v/>
      </c>
      <c r="Y223">
        <f>'Grid_Stock'!W22</f>
        <v/>
      </c>
      <c r="Z223">
        <f>'Grid_Stock'!X22</f>
        <v/>
      </c>
      <c r="AA223">
        <f>'Grid_Stock'!Y22</f>
        <v/>
      </c>
      <c r="AB223">
        <f>'Grid_Stock'!Z22</f>
        <v/>
      </c>
      <c r="AC223">
        <f>'Grid_Stock'!AA22</f>
        <v/>
      </c>
      <c r="AD223">
        <f>'Grid_Stock'!AB22</f>
        <v/>
      </c>
      <c r="AE223">
        <f>'Grid_Stock'!AC22</f>
        <v/>
      </c>
      <c r="AF223">
        <f>'Grid_Stock'!AD22</f>
        <v/>
      </c>
      <c r="AG223">
        <f>'Grid_Stock'!AE22</f>
        <v/>
      </c>
      <c r="AH223">
        <f>'Grid_Stock'!AF22</f>
        <v/>
      </c>
      <c r="AI223">
        <f>'Grid_Stock'!AG22</f>
        <v/>
      </c>
      <c r="AJ223">
        <f>'Grid_Stock'!AH22</f>
        <v/>
      </c>
      <c r="AK223">
        <f>'Grid_Stock'!AI22</f>
        <v/>
      </c>
      <c r="AL223">
        <f>'Grid_Stock'!AJ22</f>
        <v/>
      </c>
      <c r="AM223">
        <f>'Grid_Stock'!AK22</f>
        <v/>
      </c>
      <c r="AN223">
        <f>'Grid_Stock'!AL22</f>
        <v/>
      </c>
      <c r="AO223">
        <f>'Grid_Stock'!AM22</f>
        <v/>
      </c>
      <c r="AP223">
        <f>'Grid_Stock'!AN22</f>
        <v/>
      </c>
      <c r="AQ223">
        <f>'Grid_Stock'!AO22</f>
        <v/>
      </c>
      <c r="AR223">
        <f>'Grid_Stock'!AP22</f>
        <v/>
      </c>
      <c r="AS223">
        <f>'Grid_Stock'!AQ22</f>
        <v/>
      </c>
      <c r="AT223">
        <f>'Grid_Stock'!AR22</f>
        <v/>
      </c>
      <c r="AU223">
        <f>'Grid_Stock'!AS22</f>
        <v/>
      </c>
      <c r="AV223">
        <f>'Grid_Stock'!AT22</f>
        <v/>
      </c>
      <c r="AW223">
        <f>'Grid_Stock'!AU22</f>
        <v/>
      </c>
      <c r="AX223">
        <f>'Grid_Stock'!AV22</f>
        <v/>
      </c>
      <c r="AY223">
        <f>'Grid_Stock'!AW22</f>
        <v/>
      </c>
      <c r="AZ223">
        <f>'Grid_Stock'!AX22</f>
        <v/>
      </c>
      <c r="BA223">
        <f>'Grid_Stock'!AY22</f>
        <v/>
      </c>
      <c r="BB223">
        <f>'Grid_Stock'!AZ22</f>
        <v/>
      </c>
      <c r="BC223">
        <f>'Grid_Stock'!BA22</f>
        <v/>
      </c>
      <c r="BD223">
        <f>'Grid_Stock'!BB22</f>
        <v/>
      </c>
      <c r="BE223">
        <f>'Grid_Stock'!BC22</f>
        <v/>
      </c>
      <c r="BF223">
        <f>'Grid_Stock'!BD22</f>
        <v/>
      </c>
      <c r="BG223">
        <f>'Grid_Stock'!BE22</f>
        <v/>
      </c>
      <c r="BH223">
        <f>'Grid_Stock'!BF22</f>
        <v/>
      </c>
      <c r="BI223">
        <f>'Grid_Stock'!BG22</f>
        <v/>
      </c>
      <c r="BJ223">
        <f>'Grid_Stock'!BH22</f>
        <v/>
      </c>
      <c r="BK223">
        <f>'Grid_Stock'!BI22</f>
        <v/>
      </c>
      <c r="BL223">
        <f>'Grid_Stock'!BJ22</f>
        <v/>
      </c>
      <c r="BM223">
        <f>'Grid_Stock'!BK22</f>
        <v/>
      </c>
      <c r="BN223">
        <f>'Grid_Stock'!BL22</f>
        <v/>
      </c>
      <c r="BO223">
        <f>'Grid_Stock'!BM22</f>
        <v/>
      </c>
      <c r="BP223">
        <f>'Grid_Stock'!BN22</f>
        <v/>
      </c>
      <c r="BQ223">
        <f>'Grid_Stock'!BO22</f>
        <v/>
      </c>
      <c r="BR223">
        <f>'Grid_Stock'!BP22</f>
        <v/>
      </c>
      <c r="BS223">
        <f>'Grid_Stock'!BQ22</f>
        <v/>
      </c>
      <c r="BT223">
        <f>'Grid_Stock'!BR22</f>
        <v/>
      </c>
      <c r="BU223">
        <f>'Grid_Stock'!BS22</f>
        <v/>
      </c>
      <c r="BV223">
        <f>'Grid_Stock'!BT22</f>
        <v/>
      </c>
      <c r="BW223">
        <f>'Grid_Stock'!BU22</f>
        <v/>
      </c>
      <c r="BX223">
        <f>'Grid_Stock'!BV22</f>
        <v/>
      </c>
      <c r="BY223">
        <f>'Grid_Stock'!BW22</f>
        <v/>
      </c>
      <c r="BZ223">
        <f>'Grid_Stock'!BX22</f>
        <v/>
      </c>
      <c r="CA223">
        <f>'Grid_Stock'!BY22</f>
        <v/>
      </c>
      <c r="CB223">
        <f>'Grid_Stock'!BZ22</f>
        <v/>
      </c>
      <c r="CC223">
        <f>'Grid_Stock'!CA22</f>
        <v/>
      </c>
      <c r="CD223">
        <f>'Grid_Stock'!CB22</f>
        <v/>
      </c>
      <c r="CE223">
        <f>'Grid_Stock'!CC22</f>
        <v/>
      </c>
      <c r="CF223">
        <f>'Grid_Stock'!CD22</f>
        <v/>
      </c>
      <c r="CG223">
        <f>'Grid_Stock'!CE22</f>
        <v/>
      </c>
      <c r="CH223">
        <f>'Grid_Stock'!CF22</f>
        <v/>
      </c>
      <c r="CI223">
        <f>'Grid_Stock'!CG22</f>
        <v/>
      </c>
      <c r="CJ223">
        <f>'Grid_Stock'!CH22</f>
        <v/>
      </c>
      <c r="CK223">
        <f>'Grid_Stock'!CI22</f>
        <v/>
      </c>
      <c r="CL223">
        <f>'Grid_Stock'!CJ22</f>
        <v/>
      </c>
      <c r="CM223">
        <f>'Grid_Stock'!CK22</f>
        <v/>
      </c>
      <c r="CN223">
        <f>'Grid_Stock'!CL22</f>
        <v/>
      </c>
      <c r="CO223">
        <f>'Grid_Stock'!CM22</f>
        <v/>
      </c>
      <c r="CP223">
        <f>'Grid_Stock'!CN22</f>
        <v/>
      </c>
      <c r="CQ223">
        <f>'Grid_Stock'!CO22</f>
        <v/>
      </c>
      <c r="CR223">
        <f>'Grid_Stock'!CP22</f>
        <v/>
      </c>
      <c r="CS223">
        <f>'Grid_Stock'!CQ22</f>
        <v/>
      </c>
      <c r="CT223">
        <f>'Grid_Stock'!CR22</f>
        <v/>
      </c>
      <c r="CU223">
        <f>'Grid_Stock'!CS22</f>
        <v/>
      </c>
      <c r="CV223">
        <f>'Grid_Stock'!CT22</f>
        <v/>
      </c>
      <c r="CW223">
        <f>'Grid_Stock'!CU22</f>
        <v/>
      </c>
      <c r="CX223">
        <f>'Grid_Stock'!CV22</f>
        <v/>
      </c>
      <c r="CY223">
        <f>'Grid_Stock'!CW22</f>
        <v/>
      </c>
      <c r="CZ223">
        <f>'Grid_Stock'!CX22</f>
        <v/>
      </c>
      <c r="DA223">
        <f>'Grid_Stock'!CY22</f>
        <v/>
      </c>
      <c r="DB223">
        <f>'Grid_Stock'!CZ22</f>
        <v/>
      </c>
      <c r="DC223">
        <f>'Grid_Stock'!DA22</f>
        <v/>
      </c>
    </row>
    <row r="224">
      <c r="B224" s="26" t="inlineStr">
        <is>
          <t>（発注の目安はDashboardの基準在庫[下限/上限]と色分けを参照）</t>
        </is>
      </c>
    </row>
    <row r="226">
      <c r="A226" s="21" t="inlineStr">
        <is>
          <t>CHEM-1110</t>
        </is>
      </c>
      <c r="B226" s="21" t="inlineStr">
        <is>
          <t>Alumina Powder</t>
        </is>
      </c>
      <c r="C226" s="22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  <c r="AA226" s="21" t="n"/>
      <c r="AB226" s="21" t="n"/>
      <c r="AC226" s="21" t="n"/>
      <c r="AD226" s="21" t="n"/>
      <c r="AE226" s="21" t="n"/>
      <c r="AF226" s="21" t="n"/>
      <c r="AG226" s="21" t="n"/>
      <c r="AH226" s="21" t="n"/>
      <c r="AI226" s="21" t="n"/>
      <c r="AJ226" s="21" t="n"/>
      <c r="AK226" s="21" t="n"/>
      <c r="AL226" s="21" t="n"/>
      <c r="AM226" s="21" t="n"/>
      <c r="AN226" s="21" t="n"/>
      <c r="AO226" s="21" t="n"/>
      <c r="AP226" s="21" t="n"/>
      <c r="AQ226" s="21" t="n"/>
      <c r="AR226" s="21" t="n"/>
      <c r="AS226" s="21" t="n"/>
      <c r="AT226" s="21" t="n"/>
      <c r="AU226" s="21" t="n"/>
      <c r="AV226" s="21" t="n"/>
      <c r="AW226" s="21" t="n"/>
      <c r="AX226" s="21" t="n"/>
      <c r="AY226" s="21" t="n"/>
      <c r="AZ226" s="21" t="n"/>
      <c r="BA226" s="21" t="n"/>
      <c r="BB226" s="21" t="n"/>
      <c r="BC226" s="21" t="n"/>
      <c r="BD226" s="21" t="n"/>
      <c r="BE226" s="21" t="n"/>
      <c r="BF226" s="21" t="n"/>
      <c r="BG226" s="21" t="n"/>
      <c r="BH226" s="21" t="n"/>
      <c r="BI226" s="21" t="n"/>
      <c r="BJ226" s="21" t="n"/>
      <c r="BK226" s="21" t="n"/>
      <c r="BL226" s="21" t="n"/>
      <c r="BM226" s="21" t="n"/>
      <c r="BN226" s="21" t="n"/>
      <c r="BO226" s="21" t="n"/>
      <c r="BP226" s="21" t="n"/>
      <c r="BQ226" s="21" t="n"/>
      <c r="BR226" s="21" t="n"/>
      <c r="BS226" s="21" t="n"/>
      <c r="BT226" s="21" t="n"/>
      <c r="BU226" s="21" t="n"/>
      <c r="BV226" s="21" t="n"/>
      <c r="BW226" s="21" t="n"/>
      <c r="BX226" s="21" t="n"/>
      <c r="BY226" s="21" t="n"/>
      <c r="BZ226" s="21" t="n"/>
      <c r="CA226" s="21" t="n"/>
      <c r="CB226" s="21" t="n"/>
      <c r="CC226" s="21" t="n"/>
      <c r="CD226" s="21" t="n"/>
      <c r="CE226" s="21" t="n"/>
      <c r="CF226" s="21" t="n"/>
      <c r="CG226" s="21" t="n"/>
      <c r="CH226" s="21" t="n"/>
      <c r="CI226" s="21" t="n"/>
      <c r="CJ226" s="21" t="n"/>
      <c r="CK226" s="21" t="n"/>
      <c r="CL226" s="21" t="n"/>
      <c r="CM226" s="21" t="n"/>
      <c r="CN226" s="21" t="n"/>
      <c r="CO226" s="21" t="n"/>
      <c r="CP226" s="21" t="n"/>
      <c r="CQ226" s="21" t="n"/>
      <c r="CR226" s="21" t="n"/>
      <c r="CS226" s="21" t="n"/>
      <c r="CT226" s="21" t="n"/>
      <c r="CU226" s="21" t="n"/>
      <c r="CV226" s="21" t="n"/>
      <c r="CW226" s="21" t="n"/>
      <c r="CX226" s="21" t="n"/>
      <c r="CY226" s="21" t="n"/>
      <c r="CZ226" s="21" t="n"/>
      <c r="DA226" s="21" t="n"/>
      <c r="DB226" s="21" t="n"/>
      <c r="DC226" s="21" t="n"/>
    </row>
    <row r="227">
      <c r="B227" t="inlineStr">
        <is>
          <t>TPP-103</t>
        </is>
      </c>
      <c r="C227" t="inlineStr">
        <is>
          <t>No. of batches</t>
        </is>
      </c>
      <c r="D227">
        <f>IFERROR(INDEX(PP_Grid[#Data],$DD227,2),0)</f>
        <v/>
      </c>
      <c r="E227">
        <f>IFERROR(INDEX(PP_Grid[#Data],$DD227,3),0)</f>
        <v/>
      </c>
      <c r="F227">
        <f>IFERROR(INDEX(PP_Grid[#Data],$DD227,4),0)</f>
        <v/>
      </c>
      <c r="G227">
        <f>IFERROR(INDEX(PP_Grid[#Data],$DD227,5),0)</f>
        <v/>
      </c>
      <c r="H227">
        <f>IFERROR(INDEX(PP_Grid[#Data],$DD227,6),0)</f>
        <v/>
      </c>
      <c r="I227">
        <f>IFERROR(INDEX(PP_Grid[#Data],$DD227,7),0)</f>
        <v/>
      </c>
      <c r="J227">
        <f>IFERROR(INDEX(PP_Grid[#Data],$DD227,8),0)</f>
        <v/>
      </c>
      <c r="K227">
        <f>IFERROR(INDEX(PP_Grid[#Data],$DD227,9),0)</f>
        <v/>
      </c>
      <c r="L227">
        <f>IFERROR(INDEX(PP_Grid[#Data],$DD227,10),0)</f>
        <v/>
      </c>
      <c r="M227">
        <f>IFERROR(INDEX(PP_Grid[#Data],$DD227,11),0)</f>
        <v/>
      </c>
      <c r="N227">
        <f>IFERROR(INDEX(PP_Grid[#Data],$DD227,12),0)</f>
        <v/>
      </c>
      <c r="O227">
        <f>IFERROR(INDEX(PP_Grid[#Data],$DD227,13),0)</f>
        <v/>
      </c>
      <c r="P227">
        <f>IFERROR(INDEX(PP_Grid[#Data],$DD227,14),0)</f>
        <v/>
      </c>
      <c r="Q227">
        <f>IFERROR(INDEX(PP_Grid[#Data],$DD227,15),0)</f>
        <v/>
      </c>
      <c r="R227">
        <f>IFERROR(INDEX(PP_Grid[#Data],$DD227,16),0)</f>
        <v/>
      </c>
      <c r="S227">
        <f>IFERROR(INDEX(PP_Grid[#Data],$DD227,17),0)</f>
        <v/>
      </c>
      <c r="T227">
        <f>IFERROR(INDEX(PP_Grid[#Data],$DD227,18),0)</f>
        <v/>
      </c>
      <c r="U227">
        <f>IFERROR(INDEX(PP_Grid[#Data],$DD227,19),0)</f>
        <v/>
      </c>
      <c r="V227">
        <f>IFERROR(INDEX(PP_Grid[#Data],$DD227,20),0)</f>
        <v/>
      </c>
      <c r="W227">
        <f>IFERROR(INDEX(PP_Grid[#Data],$DD227,21),0)</f>
        <v/>
      </c>
      <c r="X227">
        <f>IFERROR(INDEX(PP_Grid[#Data],$DD227,22),0)</f>
        <v/>
      </c>
      <c r="Y227">
        <f>IFERROR(INDEX(PP_Grid[#Data],$DD227,23),0)</f>
        <v/>
      </c>
      <c r="Z227">
        <f>IFERROR(INDEX(PP_Grid[#Data],$DD227,24),0)</f>
        <v/>
      </c>
      <c r="AA227">
        <f>IFERROR(INDEX(PP_Grid[#Data],$DD227,25),0)</f>
        <v/>
      </c>
      <c r="AB227">
        <f>IFERROR(INDEX(PP_Grid[#Data],$DD227,26),0)</f>
        <v/>
      </c>
      <c r="AC227">
        <f>IFERROR(INDEX(PP_Grid[#Data],$DD227,27),0)</f>
        <v/>
      </c>
      <c r="AD227">
        <f>IFERROR(INDEX(PP_Grid[#Data],$DD227,28),0)</f>
        <v/>
      </c>
      <c r="AE227">
        <f>IFERROR(INDEX(PP_Grid[#Data],$DD227,29),0)</f>
        <v/>
      </c>
      <c r="AF227">
        <f>IFERROR(INDEX(PP_Grid[#Data],$DD227,30),0)</f>
        <v/>
      </c>
      <c r="AG227">
        <f>IFERROR(INDEX(PP_Grid[#Data],$DD227,31),0)</f>
        <v/>
      </c>
      <c r="AH227">
        <f>IFERROR(INDEX(PP_Grid[#Data],$DD227,32),0)</f>
        <v/>
      </c>
      <c r="AI227">
        <f>IFERROR(INDEX(PP_Grid[#Data],$DD227,33),0)</f>
        <v/>
      </c>
      <c r="AJ227">
        <f>IFERROR(INDEX(PP_Grid[#Data],$DD227,34),0)</f>
        <v/>
      </c>
      <c r="AK227">
        <f>IFERROR(INDEX(PP_Grid[#Data],$DD227,35),0)</f>
        <v/>
      </c>
      <c r="AL227">
        <f>IFERROR(INDEX(PP_Grid[#Data],$DD227,36),0)</f>
        <v/>
      </c>
      <c r="AM227">
        <f>IFERROR(INDEX(PP_Grid[#Data],$DD227,37),0)</f>
        <v/>
      </c>
      <c r="AN227">
        <f>IFERROR(INDEX(PP_Grid[#Data],$DD227,38),0)</f>
        <v/>
      </c>
      <c r="AO227">
        <f>IFERROR(INDEX(PP_Grid[#Data],$DD227,39),0)</f>
        <v/>
      </c>
      <c r="AP227">
        <f>IFERROR(INDEX(PP_Grid[#Data],$DD227,40),0)</f>
        <v/>
      </c>
      <c r="AQ227">
        <f>IFERROR(INDEX(PP_Grid[#Data],$DD227,41),0)</f>
        <v/>
      </c>
      <c r="AR227">
        <f>IFERROR(INDEX(PP_Grid[#Data],$DD227,42),0)</f>
        <v/>
      </c>
      <c r="AS227">
        <f>IFERROR(INDEX(PP_Grid[#Data],$DD227,43),0)</f>
        <v/>
      </c>
      <c r="AT227">
        <f>IFERROR(INDEX(PP_Grid[#Data],$DD227,44),0)</f>
        <v/>
      </c>
      <c r="AU227">
        <f>IFERROR(INDEX(PP_Grid[#Data],$DD227,45),0)</f>
        <v/>
      </c>
      <c r="AV227">
        <f>IFERROR(INDEX(PP_Grid[#Data],$DD227,46),0)</f>
        <v/>
      </c>
      <c r="AW227">
        <f>IFERROR(INDEX(PP_Grid[#Data],$DD227,47),0)</f>
        <v/>
      </c>
      <c r="AX227">
        <f>IFERROR(INDEX(PP_Grid[#Data],$DD227,48),0)</f>
        <v/>
      </c>
      <c r="AY227">
        <f>IFERROR(INDEX(PP_Grid[#Data],$DD227,49),0)</f>
        <v/>
      </c>
      <c r="AZ227">
        <f>IFERROR(INDEX(PP_Grid[#Data],$DD227,50),0)</f>
        <v/>
      </c>
      <c r="BA227">
        <f>IFERROR(INDEX(PP_Grid[#Data],$DD227,51),0)</f>
        <v/>
      </c>
      <c r="BB227">
        <f>IFERROR(INDEX(PP_Grid[#Data],$DD227,52),0)</f>
        <v/>
      </c>
      <c r="BC227">
        <f>IFERROR(INDEX(PP_Grid[#Data],$DD227,53),0)</f>
        <v/>
      </c>
      <c r="BD227">
        <f>IFERROR(INDEX(PP_Grid[#Data],$DD227,54),0)</f>
        <v/>
      </c>
      <c r="BE227">
        <f>IFERROR(INDEX(PP_Grid[#Data],$DD227,55),0)</f>
        <v/>
      </c>
      <c r="BF227">
        <f>IFERROR(INDEX(PP_Grid[#Data],$DD227,56),0)</f>
        <v/>
      </c>
      <c r="BG227">
        <f>IFERROR(INDEX(PP_Grid[#Data],$DD227,57),0)</f>
        <v/>
      </c>
      <c r="BH227">
        <f>IFERROR(INDEX(PP_Grid[#Data],$DD227,58),0)</f>
        <v/>
      </c>
      <c r="BI227">
        <f>IFERROR(INDEX(PP_Grid[#Data],$DD227,59),0)</f>
        <v/>
      </c>
      <c r="BJ227">
        <f>IFERROR(INDEX(PP_Grid[#Data],$DD227,60),0)</f>
        <v/>
      </c>
      <c r="BK227">
        <f>IFERROR(INDEX(PP_Grid[#Data],$DD227,61),0)</f>
        <v/>
      </c>
      <c r="BL227">
        <f>IFERROR(INDEX(PP_Grid[#Data],$DD227,62),0)</f>
        <v/>
      </c>
      <c r="BM227">
        <f>IFERROR(INDEX(PP_Grid[#Data],$DD227,63),0)</f>
        <v/>
      </c>
      <c r="BN227">
        <f>IFERROR(INDEX(PP_Grid[#Data],$DD227,64),0)</f>
        <v/>
      </c>
      <c r="BO227">
        <f>IFERROR(INDEX(PP_Grid[#Data],$DD227,65),0)</f>
        <v/>
      </c>
      <c r="BP227">
        <f>IFERROR(INDEX(PP_Grid[#Data],$DD227,66),0)</f>
        <v/>
      </c>
      <c r="BQ227">
        <f>IFERROR(INDEX(PP_Grid[#Data],$DD227,67),0)</f>
        <v/>
      </c>
      <c r="BR227">
        <f>IFERROR(INDEX(PP_Grid[#Data],$DD227,68),0)</f>
        <v/>
      </c>
      <c r="BS227">
        <f>IFERROR(INDEX(PP_Grid[#Data],$DD227,69),0)</f>
        <v/>
      </c>
      <c r="BT227">
        <f>IFERROR(INDEX(PP_Grid[#Data],$DD227,70),0)</f>
        <v/>
      </c>
      <c r="BU227">
        <f>IFERROR(INDEX(PP_Grid[#Data],$DD227,71),0)</f>
        <v/>
      </c>
      <c r="BV227">
        <f>IFERROR(INDEX(PP_Grid[#Data],$DD227,72),0)</f>
        <v/>
      </c>
      <c r="BW227">
        <f>IFERROR(INDEX(PP_Grid[#Data],$DD227,73),0)</f>
        <v/>
      </c>
      <c r="BX227">
        <f>IFERROR(INDEX(PP_Grid[#Data],$DD227,74),0)</f>
        <v/>
      </c>
      <c r="BY227">
        <f>IFERROR(INDEX(PP_Grid[#Data],$DD227,75),0)</f>
        <v/>
      </c>
      <c r="BZ227">
        <f>IFERROR(INDEX(PP_Grid[#Data],$DD227,76),0)</f>
        <v/>
      </c>
      <c r="CA227">
        <f>IFERROR(INDEX(PP_Grid[#Data],$DD227,77),0)</f>
        <v/>
      </c>
      <c r="CB227">
        <f>IFERROR(INDEX(PP_Grid[#Data],$DD227,78),0)</f>
        <v/>
      </c>
      <c r="CC227">
        <f>IFERROR(INDEX(PP_Grid[#Data],$DD227,79),0)</f>
        <v/>
      </c>
      <c r="CD227">
        <f>IFERROR(INDEX(PP_Grid[#Data],$DD227,80),0)</f>
        <v/>
      </c>
      <c r="CE227">
        <f>IFERROR(INDEX(PP_Grid[#Data],$DD227,81),0)</f>
        <v/>
      </c>
      <c r="CF227">
        <f>IFERROR(INDEX(PP_Grid[#Data],$DD227,82),0)</f>
        <v/>
      </c>
      <c r="CG227">
        <f>IFERROR(INDEX(PP_Grid[#Data],$DD227,83),0)</f>
        <v/>
      </c>
      <c r="CH227">
        <f>IFERROR(INDEX(PP_Grid[#Data],$DD227,84),0)</f>
        <v/>
      </c>
      <c r="CI227">
        <f>IFERROR(INDEX(PP_Grid[#Data],$DD227,85),0)</f>
        <v/>
      </c>
      <c r="CJ227">
        <f>IFERROR(INDEX(PP_Grid[#Data],$DD227,86),0)</f>
        <v/>
      </c>
      <c r="CK227">
        <f>IFERROR(INDEX(PP_Grid[#Data],$DD227,87),0)</f>
        <v/>
      </c>
      <c r="CL227">
        <f>IFERROR(INDEX(PP_Grid[#Data],$DD227,88),0)</f>
        <v/>
      </c>
      <c r="CM227">
        <f>IFERROR(INDEX(PP_Grid[#Data],$DD227,89),0)</f>
        <v/>
      </c>
      <c r="CN227">
        <f>IFERROR(INDEX(PP_Grid[#Data],$DD227,90),0)</f>
        <v/>
      </c>
      <c r="CO227">
        <f>IFERROR(INDEX(PP_Grid[#Data],$DD227,91),0)</f>
        <v/>
      </c>
      <c r="CP227">
        <f>IFERROR(INDEX(PP_Grid[#Data],$DD227,92),0)</f>
        <v/>
      </c>
      <c r="CQ227">
        <f>IFERROR(INDEX(PP_Grid[#Data],$DD227,93),0)</f>
        <v/>
      </c>
      <c r="CR227">
        <f>IFERROR(INDEX(PP_Grid[#Data],$DD227,94),0)</f>
        <v/>
      </c>
      <c r="CS227">
        <f>IFERROR(INDEX(PP_Grid[#Data],$DD227,95),0)</f>
        <v/>
      </c>
      <c r="CT227">
        <f>IFERROR(INDEX(PP_Grid[#Data],$DD227,96),0)</f>
        <v/>
      </c>
      <c r="CU227">
        <f>IFERROR(INDEX(PP_Grid[#Data],$DD227,97),0)</f>
        <v/>
      </c>
      <c r="CV227">
        <f>IFERROR(INDEX(PP_Grid[#Data],$DD227,98),0)</f>
        <v/>
      </c>
      <c r="CW227">
        <f>IFERROR(INDEX(PP_Grid[#Data],$DD227,99),0)</f>
        <v/>
      </c>
      <c r="CX227">
        <f>IFERROR(INDEX(PP_Grid[#Data],$DD227,100),0)</f>
        <v/>
      </c>
      <c r="CY227">
        <f>IFERROR(INDEX(PP_Grid[#Data],$DD227,101),0)</f>
        <v/>
      </c>
      <c r="CZ227">
        <f>IFERROR(INDEX(PP_Grid[#Data],$DD227,102),0)</f>
        <v/>
      </c>
      <c r="DA227">
        <f>IFERROR(INDEX(PP_Grid[#Data],$DD227,103),0)</f>
        <v/>
      </c>
      <c r="DB227">
        <f>IFERROR(INDEX(PP_Grid[#Data],$DD227,104),0)</f>
        <v/>
      </c>
      <c r="DC227">
        <f>IFERROR(INDEX(PP_Grid[#Data],$DD227,105),0)</f>
        <v/>
      </c>
      <c r="DD227" s="12">
        <f>IFERROR(MATCH($B227,PP_Grid[Intermediate],0),99999)</f>
        <v/>
      </c>
    </row>
    <row r="228">
      <c r="B228" t="inlineStr">
        <is>
          <t>使用量(kg)</t>
        </is>
      </c>
      <c r="C228">
        <f>SUMIFS(M_BOM[RM_Qty_Per_Batch],M_BOM[Intermediate],$B227,M_BOM[Part Name],$A226)</f>
        <v/>
      </c>
      <c r="D228">
        <f>$C228*D227</f>
        <v/>
      </c>
      <c r="E228">
        <f>$C228*E227</f>
        <v/>
      </c>
      <c r="F228">
        <f>$C228*F227</f>
        <v/>
      </c>
      <c r="G228">
        <f>$C228*G227</f>
        <v/>
      </c>
      <c r="H228">
        <f>$C228*H227</f>
        <v/>
      </c>
      <c r="I228">
        <f>$C228*I227</f>
        <v/>
      </c>
      <c r="J228">
        <f>$C228*J227</f>
        <v/>
      </c>
      <c r="K228">
        <f>$C228*K227</f>
        <v/>
      </c>
      <c r="L228">
        <f>$C228*L227</f>
        <v/>
      </c>
      <c r="M228">
        <f>$C228*M227</f>
        <v/>
      </c>
      <c r="N228">
        <f>$C228*N227</f>
        <v/>
      </c>
      <c r="O228">
        <f>$C228*O227</f>
        <v/>
      </c>
      <c r="P228">
        <f>$C228*P227</f>
        <v/>
      </c>
      <c r="Q228">
        <f>$C228*Q227</f>
        <v/>
      </c>
      <c r="R228">
        <f>$C228*R227</f>
        <v/>
      </c>
      <c r="S228">
        <f>$C228*S227</f>
        <v/>
      </c>
      <c r="T228">
        <f>$C228*T227</f>
        <v/>
      </c>
      <c r="U228">
        <f>$C228*U227</f>
        <v/>
      </c>
      <c r="V228">
        <f>$C228*V227</f>
        <v/>
      </c>
      <c r="W228">
        <f>$C228*W227</f>
        <v/>
      </c>
      <c r="X228">
        <f>$C228*X227</f>
        <v/>
      </c>
      <c r="Y228">
        <f>$C228*Y227</f>
        <v/>
      </c>
      <c r="Z228">
        <f>$C228*Z227</f>
        <v/>
      </c>
      <c r="AA228">
        <f>$C228*AA227</f>
        <v/>
      </c>
      <c r="AB228">
        <f>$C228*AB227</f>
        <v/>
      </c>
      <c r="AC228">
        <f>$C228*AC227</f>
        <v/>
      </c>
      <c r="AD228">
        <f>$C228*AD227</f>
        <v/>
      </c>
      <c r="AE228">
        <f>$C228*AE227</f>
        <v/>
      </c>
      <c r="AF228">
        <f>$C228*AF227</f>
        <v/>
      </c>
      <c r="AG228">
        <f>$C228*AG227</f>
        <v/>
      </c>
      <c r="AH228">
        <f>$C228*AH227</f>
        <v/>
      </c>
      <c r="AI228">
        <f>$C228*AI227</f>
        <v/>
      </c>
      <c r="AJ228">
        <f>$C228*AJ227</f>
        <v/>
      </c>
      <c r="AK228">
        <f>$C228*AK227</f>
        <v/>
      </c>
      <c r="AL228">
        <f>$C228*AL227</f>
        <v/>
      </c>
      <c r="AM228">
        <f>$C228*AM227</f>
        <v/>
      </c>
      <c r="AN228">
        <f>$C228*AN227</f>
        <v/>
      </c>
      <c r="AO228">
        <f>$C228*AO227</f>
        <v/>
      </c>
      <c r="AP228">
        <f>$C228*AP227</f>
        <v/>
      </c>
      <c r="AQ228">
        <f>$C228*AQ227</f>
        <v/>
      </c>
      <c r="AR228">
        <f>$C228*AR227</f>
        <v/>
      </c>
      <c r="AS228">
        <f>$C228*AS227</f>
        <v/>
      </c>
      <c r="AT228">
        <f>$C228*AT227</f>
        <v/>
      </c>
      <c r="AU228">
        <f>$C228*AU227</f>
        <v/>
      </c>
      <c r="AV228">
        <f>$C228*AV227</f>
        <v/>
      </c>
      <c r="AW228">
        <f>$C228*AW227</f>
        <v/>
      </c>
      <c r="AX228">
        <f>$C228*AX227</f>
        <v/>
      </c>
      <c r="AY228">
        <f>$C228*AY227</f>
        <v/>
      </c>
      <c r="AZ228">
        <f>$C228*AZ227</f>
        <v/>
      </c>
      <c r="BA228">
        <f>$C228*BA227</f>
        <v/>
      </c>
      <c r="BB228">
        <f>$C228*BB227</f>
        <v/>
      </c>
      <c r="BC228">
        <f>$C228*BC227</f>
        <v/>
      </c>
      <c r="BD228">
        <f>$C228*BD227</f>
        <v/>
      </c>
      <c r="BE228">
        <f>$C228*BE227</f>
        <v/>
      </c>
      <c r="BF228">
        <f>$C228*BF227</f>
        <v/>
      </c>
      <c r="BG228">
        <f>$C228*BG227</f>
        <v/>
      </c>
      <c r="BH228">
        <f>$C228*BH227</f>
        <v/>
      </c>
      <c r="BI228">
        <f>$C228*BI227</f>
        <v/>
      </c>
      <c r="BJ228">
        <f>$C228*BJ227</f>
        <v/>
      </c>
      <c r="BK228">
        <f>$C228*BK227</f>
        <v/>
      </c>
      <c r="BL228">
        <f>$C228*BL227</f>
        <v/>
      </c>
      <c r="BM228">
        <f>$C228*BM227</f>
        <v/>
      </c>
      <c r="BN228">
        <f>$C228*BN227</f>
        <v/>
      </c>
      <c r="BO228">
        <f>$C228*BO227</f>
        <v/>
      </c>
      <c r="BP228">
        <f>$C228*BP227</f>
        <v/>
      </c>
      <c r="BQ228">
        <f>$C228*BQ227</f>
        <v/>
      </c>
      <c r="BR228">
        <f>$C228*BR227</f>
        <v/>
      </c>
      <c r="BS228">
        <f>$C228*BS227</f>
        <v/>
      </c>
      <c r="BT228">
        <f>$C228*BT227</f>
        <v/>
      </c>
      <c r="BU228">
        <f>$C228*BU227</f>
        <v/>
      </c>
      <c r="BV228">
        <f>$C228*BV227</f>
        <v/>
      </c>
      <c r="BW228">
        <f>$C228*BW227</f>
        <v/>
      </c>
      <c r="BX228">
        <f>$C228*BX227</f>
        <v/>
      </c>
      <c r="BY228">
        <f>$C228*BY227</f>
        <v/>
      </c>
      <c r="BZ228">
        <f>$C228*BZ227</f>
        <v/>
      </c>
      <c r="CA228">
        <f>$C228*CA227</f>
        <v/>
      </c>
      <c r="CB228">
        <f>$C228*CB227</f>
        <v/>
      </c>
      <c r="CC228">
        <f>$C228*CC227</f>
        <v/>
      </c>
      <c r="CD228">
        <f>$C228*CD227</f>
        <v/>
      </c>
      <c r="CE228">
        <f>$C228*CE227</f>
        <v/>
      </c>
      <c r="CF228">
        <f>$C228*CF227</f>
        <v/>
      </c>
      <c r="CG228">
        <f>$C228*CG227</f>
        <v/>
      </c>
      <c r="CH228">
        <f>$C228*CH227</f>
        <v/>
      </c>
      <c r="CI228">
        <f>$C228*CI227</f>
        <v/>
      </c>
      <c r="CJ228">
        <f>$C228*CJ227</f>
        <v/>
      </c>
      <c r="CK228">
        <f>$C228*CK227</f>
        <v/>
      </c>
      <c r="CL228">
        <f>$C228*CL227</f>
        <v/>
      </c>
      <c r="CM228">
        <f>$C228*CM227</f>
        <v/>
      </c>
      <c r="CN228">
        <f>$C228*CN227</f>
        <v/>
      </c>
      <c r="CO228">
        <f>$C228*CO227</f>
        <v/>
      </c>
      <c r="CP228">
        <f>$C228*CP227</f>
        <v/>
      </c>
      <c r="CQ228">
        <f>$C228*CQ227</f>
        <v/>
      </c>
      <c r="CR228">
        <f>$C228*CR227</f>
        <v/>
      </c>
      <c r="CS228">
        <f>$C228*CS227</f>
        <v/>
      </c>
      <c r="CT228">
        <f>$C228*CT227</f>
        <v/>
      </c>
      <c r="CU228">
        <f>$C228*CU227</f>
        <v/>
      </c>
      <c r="CV228">
        <f>$C228*CV227</f>
        <v/>
      </c>
      <c r="CW228">
        <f>$C228*CW227</f>
        <v/>
      </c>
      <c r="CX228">
        <f>$C228*CX227</f>
        <v/>
      </c>
      <c r="CY228">
        <f>$C228*CY227</f>
        <v/>
      </c>
      <c r="CZ228">
        <f>$C228*CZ227</f>
        <v/>
      </c>
      <c r="DA228">
        <f>$C228*DA227</f>
        <v/>
      </c>
      <c r="DB228">
        <f>$C228*DB227</f>
        <v/>
      </c>
      <c r="DC228">
        <f>$C228*DC227</f>
        <v/>
      </c>
    </row>
    <row r="229">
      <c r="B229" t="inlineStr">
        <is>
          <t>TSP-104</t>
        </is>
      </c>
      <c r="C229" t="inlineStr">
        <is>
          <t>No. of batches</t>
        </is>
      </c>
      <c r="D229">
        <f>IFERROR(INDEX(PP_Grid[#Data],$DD229,2),0)</f>
        <v/>
      </c>
      <c r="E229">
        <f>IFERROR(INDEX(PP_Grid[#Data],$DD229,3),0)</f>
        <v/>
      </c>
      <c r="F229">
        <f>IFERROR(INDEX(PP_Grid[#Data],$DD229,4),0)</f>
        <v/>
      </c>
      <c r="G229">
        <f>IFERROR(INDEX(PP_Grid[#Data],$DD229,5),0)</f>
        <v/>
      </c>
      <c r="H229">
        <f>IFERROR(INDEX(PP_Grid[#Data],$DD229,6),0)</f>
        <v/>
      </c>
      <c r="I229">
        <f>IFERROR(INDEX(PP_Grid[#Data],$DD229,7),0)</f>
        <v/>
      </c>
      <c r="J229">
        <f>IFERROR(INDEX(PP_Grid[#Data],$DD229,8),0)</f>
        <v/>
      </c>
      <c r="K229">
        <f>IFERROR(INDEX(PP_Grid[#Data],$DD229,9),0)</f>
        <v/>
      </c>
      <c r="L229">
        <f>IFERROR(INDEX(PP_Grid[#Data],$DD229,10),0)</f>
        <v/>
      </c>
      <c r="M229">
        <f>IFERROR(INDEX(PP_Grid[#Data],$DD229,11),0)</f>
        <v/>
      </c>
      <c r="N229">
        <f>IFERROR(INDEX(PP_Grid[#Data],$DD229,12),0)</f>
        <v/>
      </c>
      <c r="O229">
        <f>IFERROR(INDEX(PP_Grid[#Data],$DD229,13),0)</f>
        <v/>
      </c>
      <c r="P229">
        <f>IFERROR(INDEX(PP_Grid[#Data],$DD229,14),0)</f>
        <v/>
      </c>
      <c r="Q229">
        <f>IFERROR(INDEX(PP_Grid[#Data],$DD229,15),0)</f>
        <v/>
      </c>
      <c r="R229">
        <f>IFERROR(INDEX(PP_Grid[#Data],$DD229,16),0)</f>
        <v/>
      </c>
      <c r="S229">
        <f>IFERROR(INDEX(PP_Grid[#Data],$DD229,17),0)</f>
        <v/>
      </c>
      <c r="T229">
        <f>IFERROR(INDEX(PP_Grid[#Data],$DD229,18),0)</f>
        <v/>
      </c>
      <c r="U229">
        <f>IFERROR(INDEX(PP_Grid[#Data],$DD229,19),0)</f>
        <v/>
      </c>
      <c r="V229">
        <f>IFERROR(INDEX(PP_Grid[#Data],$DD229,20),0)</f>
        <v/>
      </c>
      <c r="W229">
        <f>IFERROR(INDEX(PP_Grid[#Data],$DD229,21),0)</f>
        <v/>
      </c>
      <c r="X229">
        <f>IFERROR(INDEX(PP_Grid[#Data],$DD229,22),0)</f>
        <v/>
      </c>
      <c r="Y229">
        <f>IFERROR(INDEX(PP_Grid[#Data],$DD229,23),0)</f>
        <v/>
      </c>
      <c r="Z229">
        <f>IFERROR(INDEX(PP_Grid[#Data],$DD229,24),0)</f>
        <v/>
      </c>
      <c r="AA229">
        <f>IFERROR(INDEX(PP_Grid[#Data],$DD229,25),0)</f>
        <v/>
      </c>
      <c r="AB229">
        <f>IFERROR(INDEX(PP_Grid[#Data],$DD229,26),0)</f>
        <v/>
      </c>
      <c r="AC229">
        <f>IFERROR(INDEX(PP_Grid[#Data],$DD229,27),0)</f>
        <v/>
      </c>
      <c r="AD229">
        <f>IFERROR(INDEX(PP_Grid[#Data],$DD229,28),0)</f>
        <v/>
      </c>
      <c r="AE229">
        <f>IFERROR(INDEX(PP_Grid[#Data],$DD229,29),0)</f>
        <v/>
      </c>
      <c r="AF229">
        <f>IFERROR(INDEX(PP_Grid[#Data],$DD229,30),0)</f>
        <v/>
      </c>
      <c r="AG229">
        <f>IFERROR(INDEX(PP_Grid[#Data],$DD229,31),0)</f>
        <v/>
      </c>
      <c r="AH229">
        <f>IFERROR(INDEX(PP_Grid[#Data],$DD229,32),0)</f>
        <v/>
      </c>
      <c r="AI229">
        <f>IFERROR(INDEX(PP_Grid[#Data],$DD229,33),0)</f>
        <v/>
      </c>
      <c r="AJ229">
        <f>IFERROR(INDEX(PP_Grid[#Data],$DD229,34),0)</f>
        <v/>
      </c>
      <c r="AK229">
        <f>IFERROR(INDEX(PP_Grid[#Data],$DD229,35),0)</f>
        <v/>
      </c>
      <c r="AL229">
        <f>IFERROR(INDEX(PP_Grid[#Data],$DD229,36),0)</f>
        <v/>
      </c>
      <c r="AM229">
        <f>IFERROR(INDEX(PP_Grid[#Data],$DD229,37),0)</f>
        <v/>
      </c>
      <c r="AN229">
        <f>IFERROR(INDEX(PP_Grid[#Data],$DD229,38),0)</f>
        <v/>
      </c>
      <c r="AO229">
        <f>IFERROR(INDEX(PP_Grid[#Data],$DD229,39),0)</f>
        <v/>
      </c>
      <c r="AP229">
        <f>IFERROR(INDEX(PP_Grid[#Data],$DD229,40),0)</f>
        <v/>
      </c>
      <c r="AQ229">
        <f>IFERROR(INDEX(PP_Grid[#Data],$DD229,41),0)</f>
        <v/>
      </c>
      <c r="AR229">
        <f>IFERROR(INDEX(PP_Grid[#Data],$DD229,42),0)</f>
        <v/>
      </c>
      <c r="AS229">
        <f>IFERROR(INDEX(PP_Grid[#Data],$DD229,43),0)</f>
        <v/>
      </c>
      <c r="AT229">
        <f>IFERROR(INDEX(PP_Grid[#Data],$DD229,44),0)</f>
        <v/>
      </c>
      <c r="AU229">
        <f>IFERROR(INDEX(PP_Grid[#Data],$DD229,45),0)</f>
        <v/>
      </c>
      <c r="AV229">
        <f>IFERROR(INDEX(PP_Grid[#Data],$DD229,46),0)</f>
        <v/>
      </c>
      <c r="AW229">
        <f>IFERROR(INDEX(PP_Grid[#Data],$DD229,47),0)</f>
        <v/>
      </c>
      <c r="AX229">
        <f>IFERROR(INDEX(PP_Grid[#Data],$DD229,48),0)</f>
        <v/>
      </c>
      <c r="AY229">
        <f>IFERROR(INDEX(PP_Grid[#Data],$DD229,49),0)</f>
        <v/>
      </c>
      <c r="AZ229">
        <f>IFERROR(INDEX(PP_Grid[#Data],$DD229,50),0)</f>
        <v/>
      </c>
      <c r="BA229">
        <f>IFERROR(INDEX(PP_Grid[#Data],$DD229,51),0)</f>
        <v/>
      </c>
      <c r="BB229">
        <f>IFERROR(INDEX(PP_Grid[#Data],$DD229,52),0)</f>
        <v/>
      </c>
      <c r="BC229">
        <f>IFERROR(INDEX(PP_Grid[#Data],$DD229,53),0)</f>
        <v/>
      </c>
      <c r="BD229">
        <f>IFERROR(INDEX(PP_Grid[#Data],$DD229,54),0)</f>
        <v/>
      </c>
      <c r="BE229">
        <f>IFERROR(INDEX(PP_Grid[#Data],$DD229,55),0)</f>
        <v/>
      </c>
      <c r="BF229">
        <f>IFERROR(INDEX(PP_Grid[#Data],$DD229,56),0)</f>
        <v/>
      </c>
      <c r="BG229">
        <f>IFERROR(INDEX(PP_Grid[#Data],$DD229,57),0)</f>
        <v/>
      </c>
      <c r="BH229">
        <f>IFERROR(INDEX(PP_Grid[#Data],$DD229,58),0)</f>
        <v/>
      </c>
      <c r="BI229">
        <f>IFERROR(INDEX(PP_Grid[#Data],$DD229,59),0)</f>
        <v/>
      </c>
      <c r="BJ229">
        <f>IFERROR(INDEX(PP_Grid[#Data],$DD229,60),0)</f>
        <v/>
      </c>
      <c r="BK229">
        <f>IFERROR(INDEX(PP_Grid[#Data],$DD229,61),0)</f>
        <v/>
      </c>
      <c r="BL229">
        <f>IFERROR(INDEX(PP_Grid[#Data],$DD229,62),0)</f>
        <v/>
      </c>
      <c r="BM229">
        <f>IFERROR(INDEX(PP_Grid[#Data],$DD229,63),0)</f>
        <v/>
      </c>
      <c r="BN229">
        <f>IFERROR(INDEX(PP_Grid[#Data],$DD229,64),0)</f>
        <v/>
      </c>
      <c r="BO229">
        <f>IFERROR(INDEX(PP_Grid[#Data],$DD229,65),0)</f>
        <v/>
      </c>
      <c r="BP229">
        <f>IFERROR(INDEX(PP_Grid[#Data],$DD229,66),0)</f>
        <v/>
      </c>
      <c r="BQ229">
        <f>IFERROR(INDEX(PP_Grid[#Data],$DD229,67),0)</f>
        <v/>
      </c>
      <c r="BR229">
        <f>IFERROR(INDEX(PP_Grid[#Data],$DD229,68),0)</f>
        <v/>
      </c>
      <c r="BS229">
        <f>IFERROR(INDEX(PP_Grid[#Data],$DD229,69),0)</f>
        <v/>
      </c>
      <c r="BT229">
        <f>IFERROR(INDEX(PP_Grid[#Data],$DD229,70),0)</f>
        <v/>
      </c>
      <c r="BU229">
        <f>IFERROR(INDEX(PP_Grid[#Data],$DD229,71),0)</f>
        <v/>
      </c>
      <c r="BV229">
        <f>IFERROR(INDEX(PP_Grid[#Data],$DD229,72),0)</f>
        <v/>
      </c>
      <c r="BW229">
        <f>IFERROR(INDEX(PP_Grid[#Data],$DD229,73),0)</f>
        <v/>
      </c>
      <c r="BX229">
        <f>IFERROR(INDEX(PP_Grid[#Data],$DD229,74),0)</f>
        <v/>
      </c>
      <c r="BY229">
        <f>IFERROR(INDEX(PP_Grid[#Data],$DD229,75),0)</f>
        <v/>
      </c>
      <c r="BZ229">
        <f>IFERROR(INDEX(PP_Grid[#Data],$DD229,76),0)</f>
        <v/>
      </c>
      <c r="CA229">
        <f>IFERROR(INDEX(PP_Grid[#Data],$DD229,77),0)</f>
        <v/>
      </c>
      <c r="CB229">
        <f>IFERROR(INDEX(PP_Grid[#Data],$DD229,78),0)</f>
        <v/>
      </c>
      <c r="CC229">
        <f>IFERROR(INDEX(PP_Grid[#Data],$DD229,79),0)</f>
        <v/>
      </c>
      <c r="CD229">
        <f>IFERROR(INDEX(PP_Grid[#Data],$DD229,80),0)</f>
        <v/>
      </c>
      <c r="CE229">
        <f>IFERROR(INDEX(PP_Grid[#Data],$DD229,81),0)</f>
        <v/>
      </c>
      <c r="CF229">
        <f>IFERROR(INDEX(PP_Grid[#Data],$DD229,82),0)</f>
        <v/>
      </c>
      <c r="CG229">
        <f>IFERROR(INDEX(PP_Grid[#Data],$DD229,83),0)</f>
        <v/>
      </c>
      <c r="CH229">
        <f>IFERROR(INDEX(PP_Grid[#Data],$DD229,84),0)</f>
        <v/>
      </c>
      <c r="CI229">
        <f>IFERROR(INDEX(PP_Grid[#Data],$DD229,85),0)</f>
        <v/>
      </c>
      <c r="CJ229">
        <f>IFERROR(INDEX(PP_Grid[#Data],$DD229,86),0)</f>
        <v/>
      </c>
      <c r="CK229">
        <f>IFERROR(INDEX(PP_Grid[#Data],$DD229,87),0)</f>
        <v/>
      </c>
      <c r="CL229">
        <f>IFERROR(INDEX(PP_Grid[#Data],$DD229,88),0)</f>
        <v/>
      </c>
      <c r="CM229">
        <f>IFERROR(INDEX(PP_Grid[#Data],$DD229,89),0)</f>
        <v/>
      </c>
      <c r="CN229">
        <f>IFERROR(INDEX(PP_Grid[#Data],$DD229,90),0)</f>
        <v/>
      </c>
      <c r="CO229">
        <f>IFERROR(INDEX(PP_Grid[#Data],$DD229,91),0)</f>
        <v/>
      </c>
      <c r="CP229">
        <f>IFERROR(INDEX(PP_Grid[#Data],$DD229,92),0)</f>
        <v/>
      </c>
      <c r="CQ229">
        <f>IFERROR(INDEX(PP_Grid[#Data],$DD229,93),0)</f>
        <v/>
      </c>
      <c r="CR229">
        <f>IFERROR(INDEX(PP_Grid[#Data],$DD229,94),0)</f>
        <v/>
      </c>
      <c r="CS229">
        <f>IFERROR(INDEX(PP_Grid[#Data],$DD229,95),0)</f>
        <v/>
      </c>
      <c r="CT229">
        <f>IFERROR(INDEX(PP_Grid[#Data],$DD229,96),0)</f>
        <v/>
      </c>
      <c r="CU229">
        <f>IFERROR(INDEX(PP_Grid[#Data],$DD229,97),0)</f>
        <v/>
      </c>
      <c r="CV229">
        <f>IFERROR(INDEX(PP_Grid[#Data],$DD229,98),0)</f>
        <v/>
      </c>
      <c r="CW229">
        <f>IFERROR(INDEX(PP_Grid[#Data],$DD229,99),0)</f>
        <v/>
      </c>
      <c r="CX229">
        <f>IFERROR(INDEX(PP_Grid[#Data],$DD229,100),0)</f>
        <v/>
      </c>
      <c r="CY229">
        <f>IFERROR(INDEX(PP_Grid[#Data],$DD229,101),0)</f>
        <v/>
      </c>
      <c r="CZ229">
        <f>IFERROR(INDEX(PP_Grid[#Data],$DD229,102),0)</f>
        <v/>
      </c>
      <c r="DA229">
        <f>IFERROR(INDEX(PP_Grid[#Data],$DD229,103),0)</f>
        <v/>
      </c>
      <c r="DB229">
        <f>IFERROR(INDEX(PP_Grid[#Data],$DD229,104),0)</f>
        <v/>
      </c>
      <c r="DC229">
        <f>IFERROR(INDEX(PP_Grid[#Data],$DD229,105),0)</f>
        <v/>
      </c>
      <c r="DD229" s="12">
        <f>IFERROR(MATCH($B229,PP_Grid[Intermediate],0),99999)</f>
        <v/>
      </c>
    </row>
    <row r="230">
      <c r="B230" t="inlineStr">
        <is>
          <t>使用量(kg)</t>
        </is>
      </c>
      <c r="C230">
        <f>SUMIFS(M_BOM[RM_Qty_Per_Batch],M_BOM[Intermediate],$B229,M_BOM[Part Name],$A226)</f>
        <v/>
      </c>
      <c r="D230">
        <f>$C230*D229</f>
        <v/>
      </c>
      <c r="E230">
        <f>$C230*E229</f>
        <v/>
      </c>
      <c r="F230">
        <f>$C230*F229</f>
        <v/>
      </c>
      <c r="G230">
        <f>$C230*G229</f>
        <v/>
      </c>
      <c r="H230">
        <f>$C230*H229</f>
        <v/>
      </c>
      <c r="I230">
        <f>$C230*I229</f>
        <v/>
      </c>
      <c r="J230">
        <f>$C230*J229</f>
        <v/>
      </c>
      <c r="K230">
        <f>$C230*K229</f>
        <v/>
      </c>
      <c r="L230">
        <f>$C230*L229</f>
        <v/>
      </c>
      <c r="M230">
        <f>$C230*M229</f>
        <v/>
      </c>
      <c r="N230">
        <f>$C230*N229</f>
        <v/>
      </c>
      <c r="O230">
        <f>$C230*O229</f>
        <v/>
      </c>
      <c r="P230">
        <f>$C230*P229</f>
        <v/>
      </c>
      <c r="Q230">
        <f>$C230*Q229</f>
        <v/>
      </c>
      <c r="R230">
        <f>$C230*R229</f>
        <v/>
      </c>
      <c r="S230">
        <f>$C230*S229</f>
        <v/>
      </c>
      <c r="T230">
        <f>$C230*T229</f>
        <v/>
      </c>
      <c r="U230">
        <f>$C230*U229</f>
        <v/>
      </c>
      <c r="V230">
        <f>$C230*V229</f>
        <v/>
      </c>
      <c r="W230">
        <f>$C230*W229</f>
        <v/>
      </c>
      <c r="X230">
        <f>$C230*X229</f>
        <v/>
      </c>
      <c r="Y230">
        <f>$C230*Y229</f>
        <v/>
      </c>
      <c r="Z230">
        <f>$C230*Z229</f>
        <v/>
      </c>
      <c r="AA230">
        <f>$C230*AA229</f>
        <v/>
      </c>
      <c r="AB230">
        <f>$C230*AB229</f>
        <v/>
      </c>
      <c r="AC230">
        <f>$C230*AC229</f>
        <v/>
      </c>
      <c r="AD230">
        <f>$C230*AD229</f>
        <v/>
      </c>
      <c r="AE230">
        <f>$C230*AE229</f>
        <v/>
      </c>
      <c r="AF230">
        <f>$C230*AF229</f>
        <v/>
      </c>
      <c r="AG230">
        <f>$C230*AG229</f>
        <v/>
      </c>
      <c r="AH230">
        <f>$C230*AH229</f>
        <v/>
      </c>
      <c r="AI230">
        <f>$C230*AI229</f>
        <v/>
      </c>
      <c r="AJ230">
        <f>$C230*AJ229</f>
        <v/>
      </c>
      <c r="AK230">
        <f>$C230*AK229</f>
        <v/>
      </c>
      <c r="AL230">
        <f>$C230*AL229</f>
        <v/>
      </c>
      <c r="AM230">
        <f>$C230*AM229</f>
        <v/>
      </c>
      <c r="AN230">
        <f>$C230*AN229</f>
        <v/>
      </c>
      <c r="AO230">
        <f>$C230*AO229</f>
        <v/>
      </c>
      <c r="AP230">
        <f>$C230*AP229</f>
        <v/>
      </c>
      <c r="AQ230">
        <f>$C230*AQ229</f>
        <v/>
      </c>
      <c r="AR230">
        <f>$C230*AR229</f>
        <v/>
      </c>
      <c r="AS230">
        <f>$C230*AS229</f>
        <v/>
      </c>
      <c r="AT230">
        <f>$C230*AT229</f>
        <v/>
      </c>
      <c r="AU230">
        <f>$C230*AU229</f>
        <v/>
      </c>
      <c r="AV230">
        <f>$C230*AV229</f>
        <v/>
      </c>
      <c r="AW230">
        <f>$C230*AW229</f>
        <v/>
      </c>
      <c r="AX230">
        <f>$C230*AX229</f>
        <v/>
      </c>
      <c r="AY230">
        <f>$C230*AY229</f>
        <v/>
      </c>
      <c r="AZ230">
        <f>$C230*AZ229</f>
        <v/>
      </c>
      <c r="BA230">
        <f>$C230*BA229</f>
        <v/>
      </c>
      <c r="BB230">
        <f>$C230*BB229</f>
        <v/>
      </c>
      <c r="BC230">
        <f>$C230*BC229</f>
        <v/>
      </c>
      <c r="BD230">
        <f>$C230*BD229</f>
        <v/>
      </c>
      <c r="BE230">
        <f>$C230*BE229</f>
        <v/>
      </c>
      <c r="BF230">
        <f>$C230*BF229</f>
        <v/>
      </c>
      <c r="BG230">
        <f>$C230*BG229</f>
        <v/>
      </c>
      <c r="BH230">
        <f>$C230*BH229</f>
        <v/>
      </c>
      <c r="BI230">
        <f>$C230*BI229</f>
        <v/>
      </c>
      <c r="BJ230">
        <f>$C230*BJ229</f>
        <v/>
      </c>
      <c r="BK230">
        <f>$C230*BK229</f>
        <v/>
      </c>
      <c r="BL230">
        <f>$C230*BL229</f>
        <v/>
      </c>
      <c r="BM230">
        <f>$C230*BM229</f>
        <v/>
      </c>
      <c r="BN230">
        <f>$C230*BN229</f>
        <v/>
      </c>
      <c r="BO230">
        <f>$C230*BO229</f>
        <v/>
      </c>
      <c r="BP230">
        <f>$C230*BP229</f>
        <v/>
      </c>
      <c r="BQ230">
        <f>$C230*BQ229</f>
        <v/>
      </c>
      <c r="BR230">
        <f>$C230*BR229</f>
        <v/>
      </c>
      <c r="BS230">
        <f>$C230*BS229</f>
        <v/>
      </c>
      <c r="BT230">
        <f>$C230*BT229</f>
        <v/>
      </c>
      <c r="BU230">
        <f>$C230*BU229</f>
        <v/>
      </c>
      <c r="BV230">
        <f>$C230*BV229</f>
        <v/>
      </c>
      <c r="BW230">
        <f>$C230*BW229</f>
        <v/>
      </c>
      <c r="BX230">
        <f>$C230*BX229</f>
        <v/>
      </c>
      <c r="BY230">
        <f>$C230*BY229</f>
        <v/>
      </c>
      <c r="BZ230">
        <f>$C230*BZ229</f>
        <v/>
      </c>
      <c r="CA230">
        <f>$C230*CA229</f>
        <v/>
      </c>
      <c r="CB230">
        <f>$C230*CB229</f>
        <v/>
      </c>
      <c r="CC230">
        <f>$C230*CC229</f>
        <v/>
      </c>
      <c r="CD230">
        <f>$C230*CD229</f>
        <v/>
      </c>
      <c r="CE230">
        <f>$C230*CE229</f>
        <v/>
      </c>
      <c r="CF230">
        <f>$C230*CF229</f>
        <v/>
      </c>
      <c r="CG230">
        <f>$C230*CG229</f>
        <v/>
      </c>
      <c r="CH230">
        <f>$C230*CH229</f>
        <v/>
      </c>
      <c r="CI230">
        <f>$C230*CI229</f>
        <v/>
      </c>
      <c r="CJ230">
        <f>$C230*CJ229</f>
        <v/>
      </c>
      <c r="CK230">
        <f>$C230*CK229</f>
        <v/>
      </c>
      <c r="CL230">
        <f>$C230*CL229</f>
        <v/>
      </c>
      <c r="CM230">
        <f>$C230*CM229</f>
        <v/>
      </c>
      <c r="CN230">
        <f>$C230*CN229</f>
        <v/>
      </c>
      <c r="CO230">
        <f>$C230*CO229</f>
        <v/>
      </c>
      <c r="CP230">
        <f>$C230*CP229</f>
        <v/>
      </c>
      <c r="CQ230">
        <f>$C230*CQ229</f>
        <v/>
      </c>
      <c r="CR230">
        <f>$C230*CR229</f>
        <v/>
      </c>
      <c r="CS230">
        <f>$C230*CS229</f>
        <v/>
      </c>
      <c r="CT230">
        <f>$C230*CT229</f>
        <v/>
      </c>
      <c r="CU230">
        <f>$C230*CU229</f>
        <v/>
      </c>
      <c r="CV230">
        <f>$C230*CV229</f>
        <v/>
      </c>
      <c r="CW230">
        <f>$C230*CW229</f>
        <v/>
      </c>
      <c r="CX230">
        <f>$C230*CX229</f>
        <v/>
      </c>
      <c r="CY230">
        <f>$C230*CY229</f>
        <v/>
      </c>
      <c r="CZ230">
        <f>$C230*CZ229</f>
        <v/>
      </c>
      <c r="DA230">
        <f>$C230*DA229</f>
        <v/>
      </c>
      <c r="DB230">
        <f>$C230*DB229</f>
        <v/>
      </c>
      <c r="DC230">
        <f>$C230*DC229</f>
        <v/>
      </c>
    </row>
    <row r="231">
      <c r="B231" s="5" t="inlineStr">
        <is>
          <t>合計使用量(kg)/週</t>
        </is>
      </c>
      <c r="D231">
        <f>'Grid_Requirement'!B23</f>
        <v/>
      </c>
      <c r="E231">
        <f>'Grid_Requirement'!C23</f>
        <v/>
      </c>
      <c r="F231">
        <f>'Grid_Requirement'!D23</f>
        <v/>
      </c>
      <c r="G231">
        <f>'Grid_Requirement'!E23</f>
        <v/>
      </c>
      <c r="H231">
        <f>'Grid_Requirement'!F23</f>
        <v/>
      </c>
      <c r="I231">
        <f>'Grid_Requirement'!G23</f>
        <v/>
      </c>
      <c r="J231">
        <f>'Grid_Requirement'!H23</f>
        <v/>
      </c>
      <c r="K231">
        <f>'Grid_Requirement'!I23</f>
        <v/>
      </c>
      <c r="L231">
        <f>'Grid_Requirement'!J23</f>
        <v/>
      </c>
      <c r="M231">
        <f>'Grid_Requirement'!K23</f>
        <v/>
      </c>
      <c r="N231">
        <f>'Grid_Requirement'!L23</f>
        <v/>
      </c>
      <c r="O231">
        <f>'Grid_Requirement'!M23</f>
        <v/>
      </c>
      <c r="P231">
        <f>'Grid_Requirement'!N23</f>
        <v/>
      </c>
      <c r="Q231">
        <f>'Grid_Requirement'!O23</f>
        <v/>
      </c>
      <c r="R231">
        <f>'Grid_Requirement'!P23</f>
        <v/>
      </c>
      <c r="S231">
        <f>'Grid_Requirement'!Q23</f>
        <v/>
      </c>
      <c r="T231">
        <f>'Grid_Requirement'!R23</f>
        <v/>
      </c>
      <c r="U231">
        <f>'Grid_Requirement'!S23</f>
        <v/>
      </c>
      <c r="V231">
        <f>'Grid_Requirement'!T23</f>
        <v/>
      </c>
      <c r="W231">
        <f>'Grid_Requirement'!U23</f>
        <v/>
      </c>
      <c r="X231">
        <f>'Grid_Requirement'!V23</f>
        <v/>
      </c>
      <c r="Y231">
        <f>'Grid_Requirement'!W23</f>
        <v/>
      </c>
      <c r="Z231">
        <f>'Grid_Requirement'!X23</f>
        <v/>
      </c>
      <c r="AA231">
        <f>'Grid_Requirement'!Y23</f>
        <v/>
      </c>
      <c r="AB231">
        <f>'Grid_Requirement'!Z23</f>
        <v/>
      </c>
      <c r="AC231">
        <f>'Grid_Requirement'!AA23</f>
        <v/>
      </c>
      <c r="AD231">
        <f>'Grid_Requirement'!AB23</f>
        <v/>
      </c>
      <c r="AE231">
        <f>'Grid_Requirement'!AC23</f>
        <v/>
      </c>
      <c r="AF231">
        <f>'Grid_Requirement'!AD23</f>
        <v/>
      </c>
      <c r="AG231">
        <f>'Grid_Requirement'!AE23</f>
        <v/>
      </c>
      <c r="AH231">
        <f>'Grid_Requirement'!AF23</f>
        <v/>
      </c>
      <c r="AI231">
        <f>'Grid_Requirement'!AG23</f>
        <v/>
      </c>
      <c r="AJ231">
        <f>'Grid_Requirement'!AH23</f>
        <v/>
      </c>
      <c r="AK231">
        <f>'Grid_Requirement'!AI23</f>
        <v/>
      </c>
      <c r="AL231">
        <f>'Grid_Requirement'!AJ23</f>
        <v/>
      </c>
      <c r="AM231">
        <f>'Grid_Requirement'!AK23</f>
        <v/>
      </c>
      <c r="AN231">
        <f>'Grid_Requirement'!AL23</f>
        <v/>
      </c>
      <c r="AO231">
        <f>'Grid_Requirement'!AM23</f>
        <v/>
      </c>
      <c r="AP231">
        <f>'Grid_Requirement'!AN23</f>
        <v/>
      </c>
      <c r="AQ231">
        <f>'Grid_Requirement'!AO23</f>
        <v/>
      </c>
      <c r="AR231">
        <f>'Grid_Requirement'!AP23</f>
        <v/>
      </c>
      <c r="AS231">
        <f>'Grid_Requirement'!AQ23</f>
        <v/>
      </c>
      <c r="AT231">
        <f>'Grid_Requirement'!AR23</f>
        <v/>
      </c>
      <c r="AU231">
        <f>'Grid_Requirement'!AS23</f>
        <v/>
      </c>
      <c r="AV231">
        <f>'Grid_Requirement'!AT23</f>
        <v/>
      </c>
      <c r="AW231">
        <f>'Grid_Requirement'!AU23</f>
        <v/>
      </c>
      <c r="AX231">
        <f>'Grid_Requirement'!AV23</f>
        <v/>
      </c>
      <c r="AY231">
        <f>'Grid_Requirement'!AW23</f>
        <v/>
      </c>
      <c r="AZ231">
        <f>'Grid_Requirement'!AX23</f>
        <v/>
      </c>
      <c r="BA231">
        <f>'Grid_Requirement'!AY23</f>
        <v/>
      </c>
      <c r="BB231">
        <f>'Grid_Requirement'!AZ23</f>
        <v/>
      </c>
      <c r="BC231">
        <f>'Grid_Requirement'!BA23</f>
        <v/>
      </c>
      <c r="BD231">
        <f>'Grid_Requirement'!BB23</f>
        <v/>
      </c>
      <c r="BE231">
        <f>'Grid_Requirement'!BC23</f>
        <v/>
      </c>
      <c r="BF231">
        <f>'Grid_Requirement'!BD23</f>
        <v/>
      </c>
      <c r="BG231">
        <f>'Grid_Requirement'!BE23</f>
        <v/>
      </c>
      <c r="BH231">
        <f>'Grid_Requirement'!BF23</f>
        <v/>
      </c>
      <c r="BI231">
        <f>'Grid_Requirement'!BG23</f>
        <v/>
      </c>
      <c r="BJ231">
        <f>'Grid_Requirement'!BH23</f>
        <v/>
      </c>
      <c r="BK231">
        <f>'Grid_Requirement'!BI23</f>
        <v/>
      </c>
      <c r="BL231">
        <f>'Grid_Requirement'!BJ23</f>
        <v/>
      </c>
      <c r="BM231">
        <f>'Grid_Requirement'!BK23</f>
        <v/>
      </c>
      <c r="BN231">
        <f>'Grid_Requirement'!BL23</f>
        <v/>
      </c>
      <c r="BO231">
        <f>'Grid_Requirement'!BM23</f>
        <v/>
      </c>
      <c r="BP231">
        <f>'Grid_Requirement'!BN23</f>
        <v/>
      </c>
      <c r="BQ231">
        <f>'Grid_Requirement'!BO23</f>
        <v/>
      </c>
      <c r="BR231">
        <f>'Grid_Requirement'!BP23</f>
        <v/>
      </c>
      <c r="BS231">
        <f>'Grid_Requirement'!BQ23</f>
        <v/>
      </c>
      <c r="BT231">
        <f>'Grid_Requirement'!BR23</f>
        <v/>
      </c>
      <c r="BU231">
        <f>'Grid_Requirement'!BS23</f>
        <v/>
      </c>
      <c r="BV231">
        <f>'Grid_Requirement'!BT23</f>
        <v/>
      </c>
      <c r="BW231">
        <f>'Grid_Requirement'!BU23</f>
        <v/>
      </c>
      <c r="BX231">
        <f>'Grid_Requirement'!BV23</f>
        <v/>
      </c>
      <c r="BY231">
        <f>'Grid_Requirement'!BW23</f>
        <v/>
      </c>
      <c r="BZ231">
        <f>'Grid_Requirement'!BX23</f>
        <v/>
      </c>
      <c r="CA231">
        <f>'Grid_Requirement'!BY23</f>
        <v/>
      </c>
      <c r="CB231">
        <f>'Grid_Requirement'!BZ23</f>
        <v/>
      </c>
      <c r="CC231">
        <f>'Grid_Requirement'!CA23</f>
        <v/>
      </c>
      <c r="CD231">
        <f>'Grid_Requirement'!CB23</f>
        <v/>
      </c>
      <c r="CE231">
        <f>'Grid_Requirement'!CC23</f>
        <v/>
      </c>
      <c r="CF231">
        <f>'Grid_Requirement'!CD23</f>
        <v/>
      </c>
      <c r="CG231">
        <f>'Grid_Requirement'!CE23</f>
        <v/>
      </c>
      <c r="CH231">
        <f>'Grid_Requirement'!CF23</f>
        <v/>
      </c>
      <c r="CI231">
        <f>'Grid_Requirement'!CG23</f>
        <v/>
      </c>
      <c r="CJ231">
        <f>'Grid_Requirement'!CH23</f>
        <v/>
      </c>
      <c r="CK231">
        <f>'Grid_Requirement'!CI23</f>
        <v/>
      </c>
      <c r="CL231">
        <f>'Grid_Requirement'!CJ23</f>
        <v/>
      </c>
      <c r="CM231">
        <f>'Grid_Requirement'!CK23</f>
        <v/>
      </c>
      <c r="CN231">
        <f>'Grid_Requirement'!CL23</f>
        <v/>
      </c>
      <c r="CO231">
        <f>'Grid_Requirement'!CM23</f>
        <v/>
      </c>
      <c r="CP231">
        <f>'Grid_Requirement'!CN23</f>
        <v/>
      </c>
      <c r="CQ231">
        <f>'Grid_Requirement'!CO23</f>
        <v/>
      </c>
      <c r="CR231">
        <f>'Grid_Requirement'!CP23</f>
        <v/>
      </c>
      <c r="CS231">
        <f>'Grid_Requirement'!CQ23</f>
        <v/>
      </c>
      <c r="CT231">
        <f>'Grid_Requirement'!CR23</f>
        <v/>
      </c>
      <c r="CU231">
        <f>'Grid_Requirement'!CS23</f>
        <v/>
      </c>
      <c r="CV231">
        <f>'Grid_Requirement'!CT23</f>
        <v/>
      </c>
      <c r="CW231">
        <f>'Grid_Requirement'!CU23</f>
        <v/>
      </c>
      <c r="CX231">
        <f>'Grid_Requirement'!CV23</f>
        <v/>
      </c>
      <c r="CY231">
        <f>'Grid_Requirement'!CW23</f>
        <v/>
      </c>
      <c r="CZ231">
        <f>'Grid_Requirement'!CX23</f>
        <v/>
      </c>
      <c r="DA231">
        <f>'Grid_Requirement'!CY23</f>
        <v/>
      </c>
      <c r="DB231">
        <f>'Grid_Requirement'!CZ23</f>
        <v/>
      </c>
      <c r="DC231">
        <f>'Grid_Requirement'!DA23</f>
        <v/>
      </c>
    </row>
    <row r="232">
      <c r="B232" t="inlineStr">
        <is>
          <t>TTAF在庫(実績,kg)</t>
        </is>
      </c>
      <c r="D232">
        <f>'T_TTAFStock'!B27</f>
        <v/>
      </c>
      <c r="E232">
        <f>'T_TTAFStock'!C27</f>
        <v/>
      </c>
      <c r="F232">
        <f>'T_TTAFStock'!D27</f>
        <v/>
      </c>
      <c r="G232">
        <f>'T_TTAFStock'!E27</f>
        <v/>
      </c>
      <c r="H232">
        <f>'T_TTAFStock'!F27</f>
        <v/>
      </c>
      <c r="I232">
        <f>'T_TTAFStock'!G27</f>
        <v/>
      </c>
      <c r="J232">
        <f>'T_TTAFStock'!H27</f>
        <v/>
      </c>
      <c r="K232">
        <f>'T_TTAFStock'!I27</f>
        <v/>
      </c>
      <c r="L232">
        <f>'T_TTAFStock'!J27</f>
        <v/>
      </c>
      <c r="M232">
        <f>'T_TTAFStock'!K27</f>
        <v/>
      </c>
      <c r="N232">
        <f>'T_TTAFStock'!L27</f>
        <v/>
      </c>
      <c r="O232">
        <f>'T_TTAFStock'!M27</f>
        <v/>
      </c>
      <c r="P232">
        <f>'T_TTAFStock'!N27</f>
        <v/>
      </c>
      <c r="Q232">
        <f>'T_TTAFStock'!O27</f>
        <v/>
      </c>
      <c r="R232">
        <f>'T_TTAFStock'!P27</f>
        <v/>
      </c>
      <c r="S232">
        <f>'T_TTAFStock'!Q27</f>
        <v/>
      </c>
      <c r="T232">
        <f>'T_TTAFStock'!R27</f>
        <v/>
      </c>
      <c r="U232">
        <f>'T_TTAFStock'!S27</f>
        <v/>
      </c>
      <c r="V232">
        <f>'T_TTAFStock'!T27</f>
        <v/>
      </c>
      <c r="W232">
        <f>'T_TTAFStock'!U27</f>
        <v/>
      </c>
      <c r="X232">
        <f>'T_TTAFStock'!V27</f>
        <v/>
      </c>
      <c r="Y232">
        <f>'T_TTAFStock'!W27</f>
        <v/>
      </c>
      <c r="Z232">
        <f>'T_TTAFStock'!X27</f>
        <v/>
      </c>
      <c r="AA232">
        <f>'T_TTAFStock'!Y27</f>
        <v/>
      </c>
      <c r="AB232">
        <f>'T_TTAFStock'!Z27</f>
        <v/>
      </c>
      <c r="AC232">
        <f>'T_TTAFStock'!AA27</f>
        <v/>
      </c>
      <c r="AD232">
        <f>'T_TTAFStock'!AB27</f>
        <v/>
      </c>
      <c r="AE232">
        <f>'T_TTAFStock'!AC27</f>
        <v/>
      </c>
      <c r="AF232">
        <f>'T_TTAFStock'!AD27</f>
        <v/>
      </c>
      <c r="AG232">
        <f>'T_TTAFStock'!AE27</f>
        <v/>
      </c>
      <c r="AH232">
        <f>'T_TTAFStock'!AF27</f>
        <v/>
      </c>
      <c r="AI232">
        <f>'T_TTAFStock'!AG27</f>
        <v/>
      </c>
      <c r="AJ232">
        <f>'T_TTAFStock'!AH27</f>
        <v/>
      </c>
      <c r="AK232">
        <f>'T_TTAFStock'!AI27</f>
        <v/>
      </c>
      <c r="AL232">
        <f>'T_TTAFStock'!AJ27</f>
        <v/>
      </c>
      <c r="AM232">
        <f>'T_TTAFStock'!AK27</f>
        <v/>
      </c>
      <c r="AN232">
        <f>'T_TTAFStock'!AL27</f>
        <v/>
      </c>
      <c r="AO232">
        <f>'T_TTAFStock'!AM27</f>
        <v/>
      </c>
      <c r="AP232">
        <f>'T_TTAFStock'!AN27</f>
        <v/>
      </c>
      <c r="AQ232">
        <f>'T_TTAFStock'!AO27</f>
        <v/>
      </c>
      <c r="AR232">
        <f>'T_TTAFStock'!AP27</f>
        <v/>
      </c>
      <c r="AS232">
        <f>'T_TTAFStock'!AQ27</f>
        <v/>
      </c>
      <c r="AT232">
        <f>'T_TTAFStock'!AR27</f>
        <v/>
      </c>
      <c r="AU232">
        <f>'T_TTAFStock'!AS27</f>
        <v/>
      </c>
      <c r="AV232">
        <f>'T_TTAFStock'!AT27</f>
        <v/>
      </c>
      <c r="AW232">
        <f>'T_TTAFStock'!AU27</f>
        <v/>
      </c>
      <c r="AX232">
        <f>'T_TTAFStock'!AV27</f>
        <v/>
      </c>
      <c r="AY232">
        <f>'T_TTAFStock'!AW27</f>
        <v/>
      </c>
      <c r="AZ232">
        <f>'T_TTAFStock'!AX27</f>
        <v/>
      </c>
      <c r="BA232">
        <f>'T_TTAFStock'!AY27</f>
        <v/>
      </c>
      <c r="BB232">
        <f>'T_TTAFStock'!AZ27</f>
        <v/>
      </c>
      <c r="BC232">
        <f>'T_TTAFStock'!BA27</f>
        <v/>
      </c>
      <c r="BD232">
        <f>'T_TTAFStock'!BB27</f>
        <v/>
      </c>
      <c r="BE232">
        <f>'T_TTAFStock'!BC27</f>
        <v/>
      </c>
      <c r="BF232">
        <f>'T_TTAFStock'!BD27</f>
        <v/>
      </c>
      <c r="BG232">
        <f>'T_TTAFStock'!BE27</f>
        <v/>
      </c>
      <c r="BH232">
        <f>'T_TTAFStock'!BF27</f>
        <v/>
      </c>
      <c r="BI232">
        <f>'T_TTAFStock'!BG27</f>
        <v/>
      </c>
      <c r="BJ232">
        <f>'T_TTAFStock'!BH27</f>
        <v/>
      </c>
      <c r="BK232">
        <f>'T_TTAFStock'!BI27</f>
        <v/>
      </c>
      <c r="BL232">
        <f>'T_TTAFStock'!BJ27</f>
        <v/>
      </c>
      <c r="BM232">
        <f>'T_TTAFStock'!BK27</f>
        <v/>
      </c>
      <c r="BN232">
        <f>'T_TTAFStock'!BL27</f>
        <v/>
      </c>
      <c r="BO232">
        <f>'T_TTAFStock'!BM27</f>
        <v/>
      </c>
      <c r="BP232">
        <f>'T_TTAFStock'!BN27</f>
        <v/>
      </c>
      <c r="BQ232">
        <f>'T_TTAFStock'!BO27</f>
        <v/>
      </c>
      <c r="BR232">
        <f>'T_TTAFStock'!BP27</f>
        <v/>
      </c>
      <c r="BS232">
        <f>'T_TTAFStock'!BQ27</f>
        <v/>
      </c>
      <c r="BT232">
        <f>'T_TTAFStock'!BR27</f>
        <v/>
      </c>
      <c r="BU232">
        <f>'T_TTAFStock'!BS27</f>
        <v/>
      </c>
      <c r="BV232">
        <f>'T_TTAFStock'!BT27</f>
        <v/>
      </c>
      <c r="BW232">
        <f>'T_TTAFStock'!BU27</f>
        <v/>
      </c>
      <c r="BX232">
        <f>'T_TTAFStock'!BV27</f>
        <v/>
      </c>
      <c r="BY232">
        <f>'T_TTAFStock'!BW27</f>
        <v/>
      </c>
      <c r="BZ232">
        <f>'T_TTAFStock'!BX27</f>
        <v/>
      </c>
      <c r="CA232">
        <f>'T_TTAFStock'!BY27</f>
        <v/>
      </c>
      <c r="CB232">
        <f>'T_TTAFStock'!BZ27</f>
        <v/>
      </c>
      <c r="CC232">
        <f>'T_TTAFStock'!CA27</f>
        <v/>
      </c>
      <c r="CD232">
        <f>'T_TTAFStock'!CB27</f>
        <v/>
      </c>
      <c r="CE232">
        <f>'T_TTAFStock'!CC27</f>
        <v/>
      </c>
      <c r="CF232">
        <f>'T_TTAFStock'!CD27</f>
        <v/>
      </c>
      <c r="CG232">
        <f>'T_TTAFStock'!CE27</f>
        <v/>
      </c>
      <c r="CH232">
        <f>'T_TTAFStock'!CF27</f>
        <v/>
      </c>
      <c r="CI232">
        <f>'T_TTAFStock'!CG27</f>
        <v/>
      </c>
      <c r="CJ232">
        <f>'T_TTAFStock'!CH27</f>
        <v/>
      </c>
      <c r="CK232">
        <f>'T_TTAFStock'!CI27</f>
        <v/>
      </c>
      <c r="CL232">
        <f>'T_TTAFStock'!CJ27</f>
        <v/>
      </c>
      <c r="CM232">
        <f>'T_TTAFStock'!CK27</f>
        <v/>
      </c>
      <c r="CN232">
        <f>'T_TTAFStock'!CL27</f>
        <v/>
      </c>
      <c r="CO232">
        <f>'T_TTAFStock'!CM27</f>
        <v/>
      </c>
      <c r="CP232">
        <f>'T_TTAFStock'!CN27</f>
        <v/>
      </c>
      <c r="CQ232">
        <f>'T_TTAFStock'!CO27</f>
        <v/>
      </c>
      <c r="CR232">
        <f>'T_TTAFStock'!CP27</f>
        <v/>
      </c>
      <c r="CS232">
        <f>'T_TTAFStock'!CQ27</f>
        <v/>
      </c>
      <c r="CT232">
        <f>'T_TTAFStock'!CR27</f>
        <v/>
      </c>
      <c r="CU232">
        <f>'T_TTAFStock'!CS27</f>
        <v/>
      </c>
      <c r="CV232">
        <f>'T_TTAFStock'!CT27</f>
        <v/>
      </c>
      <c r="CW232">
        <f>'T_TTAFStock'!CU27</f>
        <v/>
      </c>
      <c r="CX232">
        <f>'T_TTAFStock'!CV27</f>
        <v/>
      </c>
      <c r="CY232">
        <f>'T_TTAFStock'!CW27</f>
        <v/>
      </c>
      <c r="CZ232">
        <f>'T_TTAFStock'!CX27</f>
        <v/>
      </c>
      <c r="DA232">
        <f>'T_TTAFStock'!CY27</f>
        <v/>
      </c>
      <c r="DB232">
        <f>'T_TTAFStock'!CZ27</f>
        <v/>
      </c>
      <c r="DC232">
        <f>'T_TTAFStock'!DA27</f>
        <v/>
      </c>
    </row>
    <row r="233">
      <c r="B233" t="inlineStr">
        <is>
          <t>自社在庫(実績,kg)</t>
        </is>
      </c>
      <c r="D233">
        <f>'T_SelfStock'!B27</f>
        <v/>
      </c>
      <c r="E233">
        <f>'T_SelfStock'!C27</f>
        <v/>
      </c>
      <c r="F233">
        <f>'T_SelfStock'!D27</f>
        <v/>
      </c>
      <c r="G233">
        <f>'T_SelfStock'!E27</f>
        <v/>
      </c>
      <c r="H233">
        <f>'T_SelfStock'!F27</f>
        <v/>
      </c>
      <c r="I233">
        <f>'T_SelfStock'!G27</f>
        <v/>
      </c>
      <c r="J233">
        <f>'T_SelfStock'!H27</f>
        <v/>
      </c>
      <c r="K233">
        <f>'T_SelfStock'!I27</f>
        <v/>
      </c>
      <c r="L233">
        <f>'T_SelfStock'!J27</f>
        <v/>
      </c>
      <c r="M233">
        <f>'T_SelfStock'!K27</f>
        <v/>
      </c>
      <c r="N233">
        <f>'T_SelfStock'!L27</f>
        <v/>
      </c>
      <c r="O233">
        <f>'T_SelfStock'!M27</f>
        <v/>
      </c>
      <c r="P233">
        <f>'T_SelfStock'!N27</f>
        <v/>
      </c>
      <c r="Q233">
        <f>'T_SelfStock'!O27</f>
        <v/>
      </c>
      <c r="R233">
        <f>'T_SelfStock'!P27</f>
        <v/>
      </c>
      <c r="S233">
        <f>'T_SelfStock'!Q27</f>
        <v/>
      </c>
      <c r="T233">
        <f>'T_SelfStock'!R27</f>
        <v/>
      </c>
      <c r="U233">
        <f>'T_SelfStock'!S27</f>
        <v/>
      </c>
      <c r="V233">
        <f>'T_SelfStock'!T27</f>
        <v/>
      </c>
      <c r="W233">
        <f>'T_SelfStock'!U27</f>
        <v/>
      </c>
      <c r="X233">
        <f>'T_SelfStock'!V27</f>
        <v/>
      </c>
      <c r="Y233">
        <f>'T_SelfStock'!W27</f>
        <v/>
      </c>
      <c r="Z233">
        <f>'T_SelfStock'!X27</f>
        <v/>
      </c>
      <c r="AA233">
        <f>'T_SelfStock'!Y27</f>
        <v/>
      </c>
      <c r="AB233">
        <f>'T_SelfStock'!Z27</f>
        <v/>
      </c>
      <c r="AC233">
        <f>'T_SelfStock'!AA27</f>
        <v/>
      </c>
      <c r="AD233">
        <f>'T_SelfStock'!AB27</f>
        <v/>
      </c>
      <c r="AE233">
        <f>'T_SelfStock'!AC27</f>
        <v/>
      </c>
      <c r="AF233">
        <f>'T_SelfStock'!AD27</f>
        <v/>
      </c>
      <c r="AG233">
        <f>'T_SelfStock'!AE27</f>
        <v/>
      </c>
      <c r="AH233">
        <f>'T_SelfStock'!AF27</f>
        <v/>
      </c>
      <c r="AI233">
        <f>'T_SelfStock'!AG27</f>
        <v/>
      </c>
      <c r="AJ233">
        <f>'T_SelfStock'!AH27</f>
        <v/>
      </c>
      <c r="AK233">
        <f>'T_SelfStock'!AI27</f>
        <v/>
      </c>
      <c r="AL233">
        <f>'T_SelfStock'!AJ27</f>
        <v/>
      </c>
      <c r="AM233">
        <f>'T_SelfStock'!AK27</f>
        <v/>
      </c>
      <c r="AN233">
        <f>'T_SelfStock'!AL27</f>
        <v/>
      </c>
      <c r="AO233">
        <f>'T_SelfStock'!AM27</f>
        <v/>
      </c>
      <c r="AP233">
        <f>'T_SelfStock'!AN27</f>
        <v/>
      </c>
      <c r="AQ233">
        <f>'T_SelfStock'!AO27</f>
        <v/>
      </c>
      <c r="AR233">
        <f>'T_SelfStock'!AP27</f>
        <v/>
      </c>
      <c r="AS233">
        <f>'T_SelfStock'!AQ27</f>
        <v/>
      </c>
      <c r="AT233">
        <f>'T_SelfStock'!AR27</f>
        <v/>
      </c>
      <c r="AU233">
        <f>'T_SelfStock'!AS27</f>
        <v/>
      </c>
      <c r="AV233">
        <f>'T_SelfStock'!AT27</f>
        <v/>
      </c>
      <c r="AW233">
        <f>'T_SelfStock'!AU27</f>
        <v/>
      </c>
      <c r="AX233">
        <f>'T_SelfStock'!AV27</f>
        <v/>
      </c>
      <c r="AY233">
        <f>'T_SelfStock'!AW27</f>
        <v/>
      </c>
      <c r="AZ233">
        <f>'T_SelfStock'!AX27</f>
        <v/>
      </c>
      <c r="BA233">
        <f>'T_SelfStock'!AY27</f>
        <v/>
      </c>
      <c r="BB233">
        <f>'T_SelfStock'!AZ27</f>
        <v/>
      </c>
      <c r="BC233">
        <f>'T_SelfStock'!BA27</f>
        <v/>
      </c>
      <c r="BD233">
        <f>'T_SelfStock'!BB27</f>
        <v/>
      </c>
      <c r="BE233">
        <f>'T_SelfStock'!BC27</f>
        <v/>
      </c>
      <c r="BF233">
        <f>'T_SelfStock'!BD27</f>
        <v/>
      </c>
      <c r="BG233">
        <f>'T_SelfStock'!BE27</f>
        <v/>
      </c>
      <c r="BH233">
        <f>'T_SelfStock'!BF27</f>
        <v/>
      </c>
      <c r="BI233">
        <f>'T_SelfStock'!BG27</f>
        <v/>
      </c>
      <c r="BJ233">
        <f>'T_SelfStock'!BH27</f>
        <v/>
      </c>
      <c r="BK233">
        <f>'T_SelfStock'!BI27</f>
        <v/>
      </c>
      <c r="BL233">
        <f>'T_SelfStock'!BJ27</f>
        <v/>
      </c>
      <c r="BM233">
        <f>'T_SelfStock'!BK27</f>
        <v/>
      </c>
      <c r="BN233">
        <f>'T_SelfStock'!BL27</f>
        <v/>
      </c>
      <c r="BO233">
        <f>'T_SelfStock'!BM27</f>
        <v/>
      </c>
      <c r="BP233">
        <f>'T_SelfStock'!BN27</f>
        <v/>
      </c>
      <c r="BQ233">
        <f>'T_SelfStock'!BO27</f>
        <v/>
      </c>
      <c r="BR233">
        <f>'T_SelfStock'!BP27</f>
        <v/>
      </c>
      <c r="BS233">
        <f>'T_SelfStock'!BQ27</f>
        <v/>
      </c>
      <c r="BT233">
        <f>'T_SelfStock'!BR27</f>
        <v/>
      </c>
      <c r="BU233">
        <f>'T_SelfStock'!BS27</f>
        <v/>
      </c>
      <c r="BV233">
        <f>'T_SelfStock'!BT27</f>
        <v/>
      </c>
      <c r="BW233">
        <f>'T_SelfStock'!BU27</f>
        <v/>
      </c>
      <c r="BX233">
        <f>'T_SelfStock'!BV27</f>
        <v/>
      </c>
      <c r="BY233">
        <f>'T_SelfStock'!BW27</f>
        <v/>
      </c>
      <c r="BZ233">
        <f>'T_SelfStock'!BX27</f>
        <v/>
      </c>
      <c r="CA233">
        <f>'T_SelfStock'!BY27</f>
        <v/>
      </c>
      <c r="CB233">
        <f>'T_SelfStock'!BZ27</f>
        <v/>
      </c>
      <c r="CC233">
        <f>'T_SelfStock'!CA27</f>
        <v/>
      </c>
      <c r="CD233">
        <f>'T_SelfStock'!CB27</f>
        <v/>
      </c>
      <c r="CE233">
        <f>'T_SelfStock'!CC27</f>
        <v/>
      </c>
      <c r="CF233">
        <f>'T_SelfStock'!CD27</f>
        <v/>
      </c>
      <c r="CG233">
        <f>'T_SelfStock'!CE27</f>
        <v/>
      </c>
      <c r="CH233">
        <f>'T_SelfStock'!CF27</f>
        <v/>
      </c>
      <c r="CI233">
        <f>'T_SelfStock'!CG27</f>
        <v/>
      </c>
      <c r="CJ233">
        <f>'T_SelfStock'!CH27</f>
        <v/>
      </c>
      <c r="CK233">
        <f>'T_SelfStock'!CI27</f>
        <v/>
      </c>
      <c r="CL233">
        <f>'T_SelfStock'!CJ27</f>
        <v/>
      </c>
      <c r="CM233">
        <f>'T_SelfStock'!CK27</f>
        <v/>
      </c>
      <c r="CN233">
        <f>'T_SelfStock'!CL27</f>
        <v/>
      </c>
      <c r="CO233">
        <f>'T_SelfStock'!CM27</f>
        <v/>
      </c>
      <c r="CP233">
        <f>'T_SelfStock'!CN27</f>
        <v/>
      </c>
      <c r="CQ233">
        <f>'T_SelfStock'!CO27</f>
        <v/>
      </c>
      <c r="CR233">
        <f>'T_SelfStock'!CP27</f>
        <v/>
      </c>
      <c r="CS233">
        <f>'T_SelfStock'!CQ27</f>
        <v/>
      </c>
      <c r="CT233">
        <f>'T_SelfStock'!CR27</f>
        <v/>
      </c>
      <c r="CU233">
        <f>'T_SelfStock'!CS27</f>
        <v/>
      </c>
      <c r="CV233">
        <f>'T_SelfStock'!CT27</f>
        <v/>
      </c>
      <c r="CW233">
        <f>'T_SelfStock'!CU27</f>
        <v/>
      </c>
      <c r="CX233">
        <f>'T_SelfStock'!CV27</f>
        <v/>
      </c>
      <c r="CY233">
        <f>'T_SelfStock'!CW27</f>
        <v/>
      </c>
      <c r="CZ233">
        <f>'T_SelfStock'!CX27</f>
        <v/>
      </c>
      <c r="DA233">
        <f>'T_SelfStock'!CY27</f>
        <v/>
      </c>
      <c r="DB233">
        <f>'T_SelfStock'!CZ27</f>
        <v/>
      </c>
      <c r="DC233">
        <f>'T_SelfStock'!DA27</f>
        <v/>
      </c>
    </row>
    <row r="234">
      <c r="B234" t="inlineStr">
        <is>
          <t>Order(発注予定,kg)</t>
        </is>
      </c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  <c r="AA234" s="23" t="n"/>
      <c r="AB234" s="23" t="n"/>
      <c r="AC234" s="23" t="n"/>
      <c r="AD234" s="23" t="n"/>
      <c r="AE234" s="23" t="n"/>
      <c r="AF234" s="23" t="n"/>
      <c r="AG234" s="23" t="n"/>
      <c r="AH234" s="23" t="n"/>
      <c r="AI234" s="23" t="n"/>
      <c r="AJ234" s="23" t="n"/>
      <c r="AK234" s="23" t="n"/>
      <c r="AL234" s="23" t="n"/>
      <c r="AM234" s="23" t="n"/>
      <c r="AN234" s="23" t="n"/>
      <c r="AO234" s="23" t="n"/>
      <c r="AP234" s="23" t="n"/>
      <c r="AQ234" s="23" t="n"/>
      <c r="AR234" s="23" t="n"/>
      <c r="AS234" s="23" t="n"/>
      <c r="AT234" s="23" t="n"/>
      <c r="AU234" s="23" t="n"/>
      <c r="AV234" s="23" t="n"/>
      <c r="AW234" s="23" t="n"/>
      <c r="AX234" s="23" t="n"/>
      <c r="AY234" s="23" t="n"/>
      <c r="AZ234" s="23" t="n"/>
      <c r="BA234" s="23" t="n"/>
      <c r="BB234" s="23" t="n"/>
      <c r="BC234" s="23" t="n"/>
      <c r="BD234" s="23" t="n"/>
      <c r="BE234" s="23" t="n"/>
      <c r="BF234" s="23" t="n"/>
      <c r="BG234" s="23" t="n"/>
      <c r="BH234" s="23" t="n"/>
      <c r="BI234" s="23" t="n"/>
      <c r="BJ234" s="23" t="n"/>
      <c r="BK234" s="23" t="n"/>
      <c r="BL234" s="23" t="n"/>
      <c r="BM234" s="23" t="n"/>
      <c r="BN234" s="23" t="n"/>
      <c r="BO234" s="23" t="n"/>
      <c r="BP234" s="23" t="n"/>
      <c r="BQ234" s="23" t="n"/>
      <c r="BR234" s="23" t="n"/>
      <c r="BS234" s="23" t="n"/>
      <c r="BT234" s="23" t="n"/>
      <c r="BU234" s="23" t="n"/>
      <c r="BV234" s="23" t="n"/>
      <c r="BW234" s="23" t="n"/>
      <c r="BX234" s="23" t="n"/>
      <c r="BY234" s="23" t="n"/>
      <c r="BZ234" s="23" t="n"/>
      <c r="CA234" s="23" t="n"/>
      <c r="CB234" s="23" t="n"/>
      <c r="CC234" s="23" t="n"/>
      <c r="CD234" s="23" t="n"/>
      <c r="CE234" s="23" t="n"/>
      <c r="CF234" s="23" t="n"/>
      <c r="CG234" s="23" t="n"/>
      <c r="CH234" s="23" t="n"/>
      <c r="CI234" s="23" t="n"/>
      <c r="CJ234" s="23" t="n"/>
      <c r="CK234" s="23" t="n"/>
      <c r="CL234" s="23" t="n"/>
      <c r="CM234" s="23" t="n"/>
      <c r="CN234" s="23" t="n"/>
      <c r="CO234" s="23" t="n"/>
      <c r="CP234" s="23" t="n"/>
      <c r="CQ234" s="23" t="n"/>
      <c r="CR234" s="23" t="n"/>
      <c r="CS234" s="23" t="n"/>
      <c r="CT234" s="23" t="n"/>
      <c r="CU234" s="23" t="n"/>
      <c r="CV234" s="23" t="n"/>
      <c r="CW234" s="23" t="n"/>
      <c r="CX234" s="23" t="n"/>
      <c r="CY234" s="23" t="n"/>
      <c r="CZ234" s="23" t="n"/>
      <c r="DA234" s="23" t="n"/>
      <c r="DB234" s="23" t="n"/>
      <c r="DC234" s="23" t="n"/>
      <c r="DE234" s="12" t="inlineStr">
        <is>
          <t>CHEM-1110</t>
        </is>
      </c>
    </row>
    <row r="235">
      <c r="B235" s="24" t="inlineStr">
        <is>
          <t>PO_No</t>
        </is>
      </c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  <c r="AD235" s="25" t="n"/>
      <c r="AE235" s="25" t="n"/>
      <c r="AF235" s="25" t="n"/>
      <c r="AG235" s="25" t="n"/>
      <c r="AH235" s="25" t="n"/>
      <c r="AI235" s="25" t="n"/>
      <c r="AJ235" s="25" t="n"/>
      <c r="AK235" s="25" t="n"/>
      <c r="AL235" s="25" t="n"/>
      <c r="AM235" s="25" t="n"/>
      <c r="AN235" s="25" t="n"/>
      <c r="AO235" s="25" t="n"/>
      <c r="AP235" s="25" t="n"/>
      <c r="AQ235" s="25" t="n"/>
      <c r="AR235" s="25" t="n"/>
      <c r="AS235" s="25" t="n"/>
      <c r="AT235" s="25" t="n"/>
      <c r="AU235" s="25" t="n"/>
      <c r="AV235" s="25" t="n"/>
      <c r="AW235" s="25" t="n"/>
      <c r="AX235" s="25" t="n"/>
      <c r="AY235" s="25" t="n"/>
      <c r="AZ235" s="25" t="n"/>
      <c r="BA235" s="25" t="n"/>
      <c r="BB235" s="25" t="n"/>
      <c r="BC235" s="25" t="n"/>
      <c r="BD235" s="25" t="n"/>
      <c r="BE235" s="25" t="n"/>
      <c r="BF235" s="25" t="n"/>
      <c r="BG235" s="25" t="n"/>
      <c r="BH235" s="25" t="n"/>
      <c r="BI235" s="25" t="n"/>
      <c r="BJ235" s="25" t="n"/>
      <c r="BK235" s="25" t="n"/>
      <c r="BL235" s="25" t="n"/>
      <c r="BM235" s="25" t="n"/>
      <c r="BN235" s="25" t="n"/>
      <c r="BO235" s="25" t="n"/>
      <c r="BP235" s="25" t="n"/>
      <c r="BQ235" s="25" t="n"/>
      <c r="BR235" s="25" t="n"/>
      <c r="BS235" s="25" t="n"/>
      <c r="BT235" s="25" t="n"/>
      <c r="BU235" s="25" t="n"/>
      <c r="BV235" s="25" t="n"/>
      <c r="BW235" s="25" t="n"/>
      <c r="BX235" s="25" t="n"/>
      <c r="BY235" s="25" t="n"/>
      <c r="BZ235" s="25" t="n"/>
      <c r="CA235" s="25" t="n"/>
      <c r="CB235" s="25" t="n"/>
      <c r="CC235" s="25" t="n"/>
      <c r="CD235" s="25" t="n"/>
      <c r="CE235" s="25" t="n"/>
      <c r="CF235" s="25" t="n"/>
      <c r="CG235" s="25" t="n"/>
      <c r="CH235" s="25" t="n"/>
      <c r="CI235" s="25" t="n"/>
      <c r="CJ235" s="25" t="n"/>
      <c r="CK235" s="25" t="n"/>
      <c r="CL235" s="25" t="n"/>
      <c r="CM235" s="25" t="n"/>
      <c r="CN235" s="25" t="n"/>
      <c r="CO235" s="25" t="n"/>
      <c r="CP235" s="25" t="n"/>
      <c r="CQ235" s="25" t="n"/>
      <c r="CR235" s="25" t="n"/>
      <c r="CS235" s="25" t="n"/>
      <c r="CT235" s="25" t="n"/>
      <c r="CU235" s="25" t="n"/>
      <c r="CV235" s="25" t="n"/>
      <c r="CW235" s="25" t="n"/>
      <c r="CX235" s="25" t="n"/>
      <c r="CY235" s="25" t="n"/>
      <c r="CZ235" s="25" t="n"/>
      <c r="DA235" s="25" t="n"/>
      <c r="DB235" s="25" t="n"/>
      <c r="DC235" s="25" t="n"/>
    </row>
    <row r="236">
      <c r="B236" s="5" t="inlineStr">
        <is>
          <t>合計在庫(週末時点,kg)</t>
        </is>
      </c>
      <c r="D236">
        <f>'Grid_Stock'!B23</f>
        <v/>
      </c>
      <c r="E236">
        <f>'Grid_Stock'!C23</f>
        <v/>
      </c>
      <c r="F236">
        <f>'Grid_Stock'!D23</f>
        <v/>
      </c>
      <c r="G236">
        <f>'Grid_Stock'!E23</f>
        <v/>
      </c>
      <c r="H236">
        <f>'Grid_Stock'!F23</f>
        <v/>
      </c>
      <c r="I236">
        <f>'Grid_Stock'!G23</f>
        <v/>
      </c>
      <c r="J236">
        <f>'Grid_Stock'!H23</f>
        <v/>
      </c>
      <c r="K236">
        <f>'Grid_Stock'!I23</f>
        <v/>
      </c>
      <c r="L236">
        <f>'Grid_Stock'!J23</f>
        <v/>
      </c>
      <c r="M236">
        <f>'Grid_Stock'!K23</f>
        <v/>
      </c>
      <c r="N236">
        <f>'Grid_Stock'!L23</f>
        <v/>
      </c>
      <c r="O236">
        <f>'Grid_Stock'!M23</f>
        <v/>
      </c>
      <c r="P236">
        <f>'Grid_Stock'!N23</f>
        <v/>
      </c>
      <c r="Q236">
        <f>'Grid_Stock'!O23</f>
        <v/>
      </c>
      <c r="R236">
        <f>'Grid_Stock'!P23</f>
        <v/>
      </c>
      <c r="S236">
        <f>'Grid_Stock'!Q23</f>
        <v/>
      </c>
      <c r="T236">
        <f>'Grid_Stock'!R23</f>
        <v/>
      </c>
      <c r="U236">
        <f>'Grid_Stock'!S23</f>
        <v/>
      </c>
      <c r="V236">
        <f>'Grid_Stock'!T23</f>
        <v/>
      </c>
      <c r="W236">
        <f>'Grid_Stock'!U23</f>
        <v/>
      </c>
      <c r="X236">
        <f>'Grid_Stock'!V23</f>
        <v/>
      </c>
      <c r="Y236">
        <f>'Grid_Stock'!W23</f>
        <v/>
      </c>
      <c r="Z236">
        <f>'Grid_Stock'!X23</f>
        <v/>
      </c>
      <c r="AA236">
        <f>'Grid_Stock'!Y23</f>
        <v/>
      </c>
      <c r="AB236">
        <f>'Grid_Stock'!Z23</f>
        <v/>
      </c>
      <c r="AC236">
        <f>'Grid_Stock'!AA23</f>
        <v/>
      </c>
      <c r="AD236">
        <f>'Grid_Stock'!AB23</f>
        <v/>
      </c>
      <c r="AE236">
        <f>'Grid_Stock'!AC23</f>
        <v/>
      </c>
      <c r="AF236">
        <f>'Grid_Stock'!AD23</f>
        <v/>
      </c>
      <c r="AG236">
        <f>'Grid_Stock'!AE23</f>
        <v/>
      </c>
      <c r="AH236">
        <f>'Grid_Stock'!AF23</f>
        <v/>
      </c>
      <c r="AI236">
        <f>'Grid_Stock'!AG23</f>
        <v/>
      </c>
      <c r="AJ236">
        <f>'Grid_Stock'!AH23</f>
        <v/>
      </c>
      <c r="AK236">
        <f>'Grid_Stock'!AI23</f>
        <v/>
      </c>
      <c r="AL236">
        <f>'Grid_Stock'!AJ23</f>
        <v/>
      </c>
      <c r="AM236">
        <f>'Grid_Stock'!AK23</f>
        <v/>
      </c>
      <c r="AN236">
        <f>'Grid_Stock'!AL23</f>
        <v/>
      </c>
      <c r="AO236">
        <f>'Grid_Stock'!AM23</f>
        <v/>
      </c>
      <c r="AP236">
        <f>'Grid_Stock'!AN23</f>
        <v/>
      </c>
      <c r="AQ236">
        <f>'Grid_Stock'!AO23</f>
        <v/>
      </c>
      <c r="AR236">
        <f>'Grid_Stock'!AP23</f>
        <v/>
      </c>
      <c r="AS236">
        <f>'Grid_Stock'!AQ23</f>
        <v/>
      </c>
      <c r="AT236">
        <f>'Grid_Stock'!AR23</f>
        <v/>
      </c>
      <c r="AU236">
        <f>'Grid_Stock'!AS23</f>
        <v/>
      </c>
      <c r="AV236">
        <f>'Grid_Stock'!AT23</f>
        <v/>
      </c>
      <c r="AW236">
        <f>'Grid_Stock'!AU23</f>
        <v/>
      </c>
      <c r="AX236">
        <f>'Grid_Stock'!AV23</f>
        <v/>
      </c>
      <c r="AY236">
        <f>'Grid_Stock'!AW23</f>
        <v/>
      </c>
      <c r="AZ236">
        <f>'Grid_Stock'!AX23</f>
        <v/>
      </c>
      <c r="BA236">
        <f>'Grid_Stock'!AY23</f>
        <v/>
      </c>
      <c r="BB236">
        <f>'Grid_Stock'!AZ23</f>
        <v/>
      </c>
      <c r="BC236">
        <f>'Grid_Stock'!BA23</f>
        <v/>
      </c>
      <c r="BD236">
        <f>'Grid_Stock'!BB23</f>
        <v/>
      </c>
      <c r="BE236">
        <f>'Grid_Stock'!BC23</f>
        <v/>
      </c>
      <c r="BF236">
        <f>'Grid_Stock'!BD23</f>
        <v/>
      </c>
      <c r="BG236">
        <f>'Grid_Stock'!BE23</f>
        <v/>
      </c>
      <c r="BH236">
        <f>'Grid_Stock'!BF23</f>
        <v/>
      </c>
      <c r="BI236">
        <f>'Grid_Stock'!BG23</f>
        <v/>
      </c>
      <c r="BJ236">
        <f>'Grid_Stock'!BH23</f>
        <v/>
      </c>
      <c r="BK236">
        <f>'Grid_Stock'!BI23</f>
        <v/>
      </c>
      <c r="BL236">
        <f>'Grid_Stock'!BJ23</f>
        <v/>
      </c>
      <c r="BM236">
        <f>'Grid_Stock'!BK23</f>
        <v/>
      </c>
      <c r="BN236">
        <f>'Grid_Stock'!BL23</f>
        <v/>
      </c>
      <c r="BO236">
        <f>'Grid_Stock'!BM23</f>
        <v/>
      </c>
      <c r="BP236">
        <f>'Grid_Stock'!BN23</f>
        <v/>
      </c>
      <c r="BQ236">
        <f>'Grid_Stock'!BO23</f>
        <v/>
      </c>
      <c r="BR236">
        <f>'Grid_Stock'!BP23</f>
        <v/>
      </c>
      <c r="BS236">
        <f>'Grid_Stock'!BQ23</f>
        <v/>
      </c>
      <c r="BT236">
        <f>'Grid_Stock'!BR23</f>
        <v/>
      </c>
      <c r="BU236">
        <f>'Grid_Stock'!BS23</f>
        <v/>
      </c>
      <c r="BV236">
        <f>'Grid_Stock'!BT23</f>
        <v/>
      </c>
      <c r="BW236">
        <f>'Grid_Stock'!BU23</f>
        <v/>
      </c>
      <c r="BX236">
        <f>'Grid_Stock'!BV23</f>
        <v/>
      </c>
      <c r="BY236">
        <f>'Grid_Stock'!BW23</f>
        <v/>
      </c>
      <c r="BZ236">
        <f>'Grid_Stock'!BX23</f>
        <v/>
      </c>
      <c r="CA236">
        <f>'Grid_Stock'!BY23</f>
        <v/>
      </c>
      <c r="CB236">
        <f>'Grid_Stock'!BZ23</f>
        <v/>
      </c>
      <c r="CC236">
        <f>'Grid_Stock'!CA23</f>
        <v/>
      </c>
      <c r="CD236">
        <f>'Grid_Stock'!CB23</f>
        <v/>
      </c>
      <c r="CE236">
        <f>'Grid_Stock'!CC23</f>
        <v/>
      </c>
      <c r="CF236">
        <f>'Grid_Stock'!CD23</f>
        <v/>
      </c>
      <c r="CG236">
        <f>'Grid_Stock'!CE23</f>
        <v/>
      </c>
      <c r="CH236">
        <f>'Grid_Stock'!CF23</f>
        <v/>
      </c>
      <c r="CI236">
        <f>'Grid_Stock'!CG23</f>
        <v/>
      </c>
      <c r="CJ236">
        <f>'Grid_Stock'!CH23</f>
        <v/>
      </c>
      <c r="CK236">
        <f>'Grid_Stock'!CI23</f>
        <v/>
      </c>
      <c r="CL236">
        <f>'Grid_Stock'!CJ23</f>
        <v/>
      </c>
      <c r="CM236">
        <f>'Grid_Stock'!CK23</f>
        <v/>
      </c>
      <c r="CN236">
        <f>'Grid_Stock'!CL23</f>
        <v/>
      </c>
      <c r="CO236">
        <f>'Grid_Stock'!CM23</f>
        <v/>
      </c>
      <c r="CP236">
        <f>'Grid_Stock'!CN23</f>
        <v/>
      </c>
      <c r="CQ236">
        <f>'Grid_Stock'!CO23</f>
        <v/>
      </c>
      <c r="CR236">
        <f>'Grid_Stock'!CP23</f>
        <v/>
      </c>
      <c r="CS236">
        <f>'Grid_Stock'!CQ23</f>
        <v/>
      </c>
      <c r="CT236">
        <f>'Grid_Stock'!CR23</f>
        <v/>
      </c>
      <c r="CU236">
        <f>'Grid_Stock'!CS23</f>
        <v/>
      </c>
      <c r="CV236">
        <f>'Grid_Stock'!CT23</f>
        <v/>
      </c>
      <c r="CW236">
        <f>'Grid_Stock'!CU23</f>
        <v/>
      </c>
      <c r="CX236">
        <f>'Grid_Stock'!CV23</f>
        <v/>
      </c>
      <c r="CY236">
        <f>'Grid_Stock'!CW23</f>
        <v/>
      </c>
      <c r="CZ236">
        <f>'Grid_Stock'!CX23</f>
        <v/>
      </c>
      <c r="DA236">
        <f>'Grid_Stock'!CY23</f>
        <v/>
      </c>
      <c r="DB236">
        <f>'Grid_Stock'!CZ23</f>
        <v/>
      </c>
      <c r="DC236">
        <f>'Grid_Stock'!DA23</f>
        <v/>
      </c>
    </row>
    <row r="237">
      <c r="B237" s="26" t="inlineStr">
        <is>
          <t>（発注の目安はDashboardの基準在庫[下限/上限]と色分けを参照）</t>
        </is>
      </c>
    </row>
    <row r="239">
      <c r="A239" s="21" t="inlineStr">
        <is>
          <t>CHEM-1240</t>
        </is>
      </c>
      <c r="B239" s="21" t="inlineStr">
        <is>
          <t>Alumina Sol [AS-200]</t>
        </is>
      </c>
      <c r="C239" s="22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21" t="n"/>
      <c r="BE239" s="21" t="n"/>
      <c r="BF239" s="21" t="n"/>
      <c r="BG239" s="21" t="n"/>
      <c r="BH239" s="21" t="n"/>
      <c r="BI239" s="21" t="n"/>
      <c r="BJ239" s="21" t="n"/>
      <c r="BK239" s="21" t="n"/>
      <c r="BL239" s="21" t="n"/>
      <c r="BM239" s="21" t="n"/>
      <c r="BN239" s="21" t="n"/>
      <c r="BO239" s="21" t="n"/>
      <c r="BP239" s="21" t="n"/>
      <c r="BQ239" s="21" t="n"/>
      <c r="BR239" s="21" t="n"/>
      <c r="BS239" s="21" t="n"/>
      <c r="BT239" s="21" t="n"/>
      <c r="BU239" s="21" t="n"/>
      <c r="BV239" s="21" t="n"/>
      <c r="BW239" s="21" t="n"/>
      <c r="BX239" s="21" t="n"/>
      <c r="BY239" s="21" t="n"/>
      <c r="BZ239" s="21" t="n"/>
      <c r="CA239" s="21" t="n"/>
      <c r="CB239" s="21" t="n"/>
      <c r="CC239" s="21" t="n"/>
      <c r="CD239" s="21" t="n"/>
      <c r="CE239" s="21" t="n"/>
      <c r="CF239" s="21" t="n"/>
      <c r="CG239" s="21" t="n"/>
      <c r="CH239" s="21" t="n"/>
      <c r="CI239" s="21" t="n"/>
      <c r="CJ239" s="21" t="n"/>
      <c r="CK239" s="21" t="n"/>
      <c r="CL239" s="21" t="n"/>
      <c r="CM239" s="21" t="n"/>
      <c r="CN239" s="21" t="n"/>
      <c r="CO239" s="21" t="n"/>
      <c r="CP239" s="21" t="n"/>
      <c r="CQ239" s="21" t="n"/>
      <c r="CR239" s="21" t="n"/>
      <c r="CS239" s="21" t="n"/>
      <c r="CT239" s="21" t="n"/>
      <c r="CU239" s="21" t="n"/>
      <c r="CV239" s="21" t="n"/>
      <c r="CW239" s="21" t="n"/>
      <c r="CX239" s="21" t="n"/>
      <c r="CY239" s="21" t="n"/>
      <c r="CZ239" s="21" t="n"/>
      <c r="DA239" s="21" t="n"/>
      <c r="DB239" s="21" t="n"/>
      <c r="DC239" s="21" t="n"/>
    </row>
    <row r="240">
      <c r="B240" t="inlineStr">
        <is>
          <t>TSP-1448</t>
        </is>
      </c>
      <c r="C240" t="inlineStr">
        <is>
          <t>No. of batches</t>
        </is>
      </c>
      <c r="D240">
        <f>IFERROR(INDEX(PP_Grid[#Data],$DD240,2),0)</f>
        <v/>
      </c>
      <c r="E240">
        <f>IFERROR(INDEX(PP_Grid[#Data],$DD240,3),0)</f>
        <v/>
      </c>
      <c r="F240">
        <f>IFERROR(INDEX(PP_Grid[#Data],$DD240,4),0)</f>
        <v/>
      </c>
      <c r="G240">
        <f>IFERROR(INDEX(PP_Grid[#Data],$DD240,5),0)</f>
        <v/>
      </c>
      <c r="H240">
        <f>IFERROR(INDEX(PP_Grid[#Data],$DD240,6),0)</f>
        <v/>
      </c>
      <c r="I240">
        <f>IFERROR(INDEX(PP_Grid[#Data],$DD240,7),0)</f>
        <v/>
      </c>
      <c r="J240">
        <f>IFERROR(INDEX(PP_Grid[#Data],$DD240,8),0)</f>
        <v/>
      </c>
      <c r="K240">
        <f>IFERROR(INDEX(PP_Grid[#Data],$DD240,9),0)</f>
        <v/>
      </c>
      <c r="L240">
        <f>IFERROR(INDEX(PP_Grid[#Data],$DD240,10),0)</f>
        <v/>
      </c>
      <c r="M240">
        <f>IFERROR(INDEX(PP_Grid[#Data],$DD240,11),0)</f>
        <v/>
      </c>
      <c r="N240">
        <f>IFERROR(INDEX(PP_Grid[#Data],$DD240,12),0)</f>
        <v/>
      </c>
      <c r="O240">
        <f>IFERROR(INDEX(PP_Grid[#Data],$DD240,13),0)</f>
        <v/>
      </c>
      <c r="P240">
        <f>IFERROR(INDEX(PP_Grid[#Data],$DD240,14),0)</f>
        <v/>
      </c>
      <c r="Q240">
        <f>IFERROR(INDEX(PP_Grid[#Data],$DD240,15),0)</f>
        <v/>
      </c>
      <c r="R240">
        <f>IFERROR(INDEX(PP_Grid[#Data],$DD240,16),0)</f>
        <v/>
      </c>
      <c r="S240">
        <f>IFERROR(INDEX(PP_Grid[#Data],$DD240,17),0)</f>
        <v/>
      </c>
      <c r="T240">
        <f>IFERROR(INDEX(PP_Grid[#Data],$DD240,18),0)</f>
        <v/>
      </c>
      <c r="U240">
        <f>IFERROR(INDEX(PP_Grid[#Data],$DD240,19),0)</f>
        <v/>
      </c>
      <c r="V240">
        <f>IFERROR(INDEX(PP_Grid[#Data],$DD240,20),0)</f>
        <v/>
      </c>
      <c r="W240">
        <f>IFERROR(INDEX(PP_Grid[#Data],$DD240,21),0)</f>
        <v/>
      </c>
      <c r="X240">
        <f>IFERROR(INDEX(PP_Grid[#Data],$DD240,22),0)</f>
        <v/>
      </c>
      <c r="Y240">
        <f>IFERROR(INDEX(PP_Grid[#Data],$DD240,23),0)</f>
        <v/>
      </c>
      <c r="Z240">
        <f>IFERROR(INDEX(PP_Grid[#Data],$DD240,24),0)</f>
        <v/>
      </c>
      <c r="AA240">
        <f>IFERROR(INDEX(PP_Grid[#Data],$DD240,25),0)</f>
        <v/>
      </c>
      <c r="AB240">
        <f>IFERROR(INDEX(PP_Grid[#Data],$DD240,26),0)</f>
        <v/>
      </c>
      <c r="AC240">
        <f>IFERROR(INDEX(PP_Grid[#Data],$DD240,27),0)</f>
        <v/>
      </c>
      <c r="AD240">
        <f>IFERROR(INDEX(PP_Grid[#Data],$DD240,28),0)</f>
        <v/>
      </c>
      <c r="AE240">
        <f>IFERROR(INDEX(PP_Grid[#Data],$DD240,29),0)</f>
        <v/>
      </c>
      <c r="AF240">
        <f>IFERROR(INDEX(PP_Grid[#Data],$DD240,30),0)</f>
        <v/>
      </c>
      <c r="AG240">
        <f>IFERROR(INDEX(PP_Grid[#Data],$DD240,31),0)</f>
        <v/>
      </c>
      <c r="AH240">
        <f>IFERROR(INDEX(PP_Grid[#Data],$DD240,32),0)</f>
        <v/>
      </c>
      <c r="AI240">
        <f>IFERROR(INDEX(PP_Grid[#Data],$DD240,33),0)</f>
        <v/>
      </c>
      <c r="AJ240">
        <f>IFERROR(INDEX(PP_Grid[#Data],$DD240,34),0)</f>
        <v/>
      </c>
      <c r="AK240">
        <f>IFERROR(INDEX(PP_Grid[#Data],$DD240,35),0)</f>
        <v/>
      </c>
      <c r="AL240">
        <f>IFERROR(INDEX(PP_Grid[#Data],$DD240,36),0)</f>
        <v/>
      </c>
      <c r="AM240">
        <f>IFERROR(INDEX(PP_Grid[#Data],$DD240,37),0)</f>
        <v/>
      </c>
      <c r="AN240">
        <f>IFERROR(INDEX(PP_Grid[#Data],$DD240,38),0)</f>
        <v/>
      </c>
      <c r="AO240">
        <f>IFERROR(INDEX(PP_Grid[#Data],$DD240,39),0)</f>
        <v/>
      </c>
      <c r="AP240">
        <f>IFERROR(INDEX(PP_Grid[#Data],$DD240,40),0)</f>
        <v/>
      </c>
      <c r="AQ240">
        <f>IFERROR(INDEX(PP_Grid[#Data],$DD240,41),0)</f>
        <v/>
      </c>
      <c r="AR240">
        <f>IFERROR(INDEX(PP_Grid[#Data],$DD240,42),0)</f>
        <v/>
      </c>
      <c r="AS240">
        <f>IFERROR(INDEX(PP_Grid[#Data],$DD240,43),0)</f>
        <v/>
      </c>
      <c r="AT240">
        <f>IFERROR(INDEX(PP_Grid[#Data],$DD240,44),0)</f>
        <v/>
      </c>
      <c r="AU240">
        <f>IFERROR(INDEX(PP_Grid[#Data],$DD240,45),0)</f>
        <v/>
      </c>
      <c r="AV240">
        <f>IFERROR(INDEX(PP_Grid[#Data],$DD240,46),0)</f>
        <v/>
      </c>
      <c r="AW240">
        <f>IFERROR(INDEX(PP_Grid[#Data],$DD240,47),0)</f>
        <v/>
      </c>
      <c r="AX240">
        <f>IFERROR(INDEX(PP_Grid[#Data],$DD240,48),0)</f>
        <v/>
      </c>
      <c r="AY240">
        <f>IFERROR(INDEX(PP_Grid[#Data],$DD240,49),0)</f>
        <v/>
      </c>
      <c r="AZ240">
        <f>IFERROR(INDEX(PP_Grid[#Data],$DD240,50),0)</f>
        <v/>
      </c>
      <c r="BA240">
        <f>IFERROR(INDEX(PP_Grid[#Data],$DD240,51),0)</f>
        <v/>
      </c>
      <c r="BB240">
        <f>IFERROR(INDEX(PP_Grid[#Data],$DD240,52),0)</f>
        <v/>
      </c>
      <c r="BC240">
        <f>IFERROR(INDEX(PP_Grid[#Data],$DD240,53),0)</f>
        <v/>
      </c>
      <c r="BD240">
        <f>IFERROR(INDEX(PP_Grid[#Data],$DD240,54),0)</f>
        <v/>
      </c>
      <c r="BE240">
        <f>IFERROR(INDEX(PP_Grid[#Data],$DD240,55),0)</f>
        <v/>
      </c>
      <c r="BF240">
        <f>IFERROR(INDEX(PP_Grid[#Data],$DD240,56),0)</f>
        <v/>
      </c>
      <c r="BG240">
        <f>IFERROR(INDEX(PP_Grid[#Data],$DD240,57),0)</f>
        <v/>
      </c>
      <c r="BH240">
        <f>IFERROR(INDEX(PP_Grid[#Data],$DD240,58),0)</f>
        <v/>
      </c>
      <c r="BI240">
        <f>IFERROR(INDEX(PP_Grid[#Data],$DD240,59),0)</f>
        <v/>
      </c>
      <c r="BJ240">
        <f>IFERROR(INDEX(PP_Grid[#Data],$DD240,60),0)</f>
        <v/>
      </c>
      <c r="BK240">
        <f>IFERROR(INDEX(PP_Grid[#Data],$DD240,61),0)</f>
        <v/>
      </c>
      <c r="BL240">
        <f>IFERROR(INDEX(PP_Grid[#Data],$DD240,62),0)</f>
        <v/>
      </c>
      <c r="BM240">
        <f>IFERROR(INDEX(PP_Grid[#Data],$DD240,63),0)</f>
        <v/>
      </c>
      <c r="BN240">
        <f>IFERROR(INDEX(PP_Grid[#Data],$DD240,64),0)</f>
        <v/>
      </c>
      <c r="BO240">
        <f>IFERROR(INDEX(PP_Grid[#Data],$DD240,65),0)</f>
        <v/>
      </c>
      <c r="BP240">
        <f>IFERROR(INDEX(PP_Grid[#Data],$DD240,66),0)</f>
        <v/>
      </c>
      <c r="BQ240">
        <f>IFERROR(INDEX(PP_Grid[#Data],$DD240,67),0)</f>
        <v/>
      </c>
      <c r="BR240">
        <f>IFERROR(INDEX(PP_Grid[#Data],$DD240,68),0)</f>
        <v/>
      </c>
      <c r="BS240">
        <f>IFERROR(INDEX(PP_Grid[#Data],$DD240,69),0)</f>
        <v/>
      </c>
      <c r="BT240">
        <f>IFERROR(INDEX(PP_Grid[#Data],$DD240,70),0)</f>
        <v/>
      </c>
      <c r="BU240">
        <f>IFERROR(INDEX(PP_Grid[#Data],$DD240,71),0)</f>
        <v/>
      </c>
      <c r="BV240">
        <f>IFERROR(INDEX(PP_Grid[#Data],$DD240,72),0)</f>
        <v/>
      </c>
      <c r="BW240">
        <f>IFERROR(INDEX(PP_Grid[#Data],$DD240,73),0)</f>
        <v/>
      </c>
      <c r="BX240">
        <f>IFERROR(INDEX(PP_Grid[#Data],$DD240,74),0)</f>
        <v/>
      </c>
      <c r="BY240">
        <f>IFERROR(INDEX(PP_Grid[#Data],$DD240,75),0)</f>
        <v/>
      </c>
      <c r="BZ240">
        <f>IFERROR(INDEX(PP_Grid[#Data],$DD240,76),0)</f>
        <v/>
      </c>
      <c r="CA240">
        <f>IFERROR(INDEX(PP_Grid[#Data],$DD240,77),0)</f>
        <v/>
      </c>
      <c r="CB240">
        <f>IFERROR(INDEX(PP_Grid[#Data],$DD240,78),0)</f>
        <v/>
      </c>
      <c r="CC240">
        <f>IFERROR(INDEX(PP_Grid[#Data],$DD240,79),0)</f>
        <v/>
      </c>
      <c r="CD240">
        <f>IFERROR(INDEX(PP_Grid[#Data],$DD240,80),0)</f>
        <v/>
      </c>
      <c r="CE240">
        <f>IFERROR(INDEX(PP_Grid[#Data],$DD240,81),0)</f>
        <v/>
      </c>
      <c r="CF240">
        <f>IFERROR(INDEX(PP_Grid[#Data],$DD240,82),0)</f>
        <v/>
      </c>
      <c r="CG240">
        <f>IFERROR(INDEX(PP_Grid[#Data],$DD240,83),0)</f>
        <v/>
      </c>
      <c r="CH240">
        <f>IFERROR(INDEX(PP_Grid[#Data],$DD240,84),0)</f>
        <v/>
      </c>
      <c r="CI240">
        <f>IFERROR(INDEX(PP_Grid[#Data],$DD240,85),0)</f>
        <v/>
      </c>
      <c r="CJ240">
        <f>IFERROR(INDEX(PP_Grid[#Data],$DD240,86),0)</f>
        <v/>
      </c>
      <c r="CK240">
        <f>IFERROR(INDEX(PP_Grid[#Data],$DD240,87),0)</f>
        <v/>
      </c>
      <c r="CL240">
        <f>IFERROR(INDEX(PP_Grid[#Data],$DD240,88),0)</f>
        <v/>
      </c>
      <c r="CM240">
        <f>IFERROR(INDEX(PP_Grid[#Data],$DD240,89),0)</f>
        <v/>
      </c>
      <c r="CN240">
        <f>IFERROR(INDEX(PP_Grid[#Data],$DD240,90),0)</f>
        <v/>
      </c>
      <c r="CO240">
        <f>IFERROR(INDEX(PP_Grid[#Data],$DD240,91),0)</f>
        <v/>
      </c>
      <c r="CP240">
        <f>IFERROR(INDEX(PP_Grid[#Data],$DD240,92),0)</f>
        <v/>
      </c>
      <c r="CQ240">
        <f>IFERROR(INDEX(PP_Grid[#Data],$DD240,93),0)</f>
        <v/>
      </c>
      <c r="CR240">
        <f>IFERROR(INDEX(PP_Grid[#Data],$DD240,94),0)</f>
        <v/>
      </c>
      <c r="CS240">
        <f>IFERROR(INDEX(PP_Grid[#Data],$DD240,95),0)</f>
        <v/>
      </c>
      <c r="CT240">
        <f>IFERROR(INDEX(PP_Grid[#Data],$DD240,96),0)</f>
        <v/>
      </c>
      <c r="CU240">
        <f>IFERROR(INDEX(PP_Grid[#Data],$DD240,97),0)</f>
        <v/>
      </c>
      <c r="CV240">
        <f>IFERROR(INDEX(PP_Grid[#Data],$DD240,98),0)</f>
        <v/>
      </c>
      <c r="CW240">
        <f>IFERROR(INDEX(PP_Grid[#Data],$DD240,99),0)</f>
        <v/>
      </c>
      <c r="CX240">
        <f>IFERROR(INDEX(PP_Grid[#Data],$DD240,100),0)</f>
        <v/>
      </c>
      <c r="CY240">
        <f>IFERROR(INDEX(PP_Grid[#Data],$DD240,101),0)</f>
        <v/>
      </c>
      <c r="CZ240">
        <f>IFERROR(INDEX(PP_Grid[#Data],$DD240,102),0)</f>
        <v/>
      </c>
      <c r="DA240">
        <f>IFERROR(INDEX(PP_Grid[#Data],$DD240,103),0)</f>
        <v/>
      </c>
      <c r="DB240">
        <f>IFERROR(INDEX(PP_Grid[#Data],$DD240,104),0)</f>
        <v/>
      </c>
      <c r="DC240">
        <f>IFERROR(INDEX(PP_Grid[#Data],$DD240,105),0)</f>
        <v/>
      </c>
      <c r="DD240" s="12">
        <f>IFERROR(MATCH($B240,PP_Grid[Intermediate],0),99999)</f>
        <v/>
      </c>
    </row>
    <row r="241">
      <c r="B241" t="inlineStr">
        <is>
          <t>使用量(kg)</t>
        </is>
      </c>
      <c r="C241">
        <f>SUMIFS(M_BOM[RM_Qty_Per_Batch],M_BOM[Intermediate],$B240,M_BOM[Part Name],$A239)</f>
        <v/>
      </c>
      <c r="D241">
        <f>$C241*D240</f>
        <v/>
      </c>
      <c r="E241">
        <f>$C241*E240</f>
        <v/>
      </c>
      <c r="F241">
        <f>$C241*F240</f>
        <v/>
      </c>
      <c r="G241">
        <f>$C241*G240</f>
        <v/>
      </c>
      <c r="H241">
        <f>$C241*H240</f>
        <v/>
      </c>
      <c r="I241">
        <f>$C241*I240</f>
        <v/>
      </c>
      <c r="J241">
        <f>$C241*J240</f>
        <v/>
      </c>
      <c r="K241">
        <f>$C241*K240</f>
        <v/>
      </c>
      <c r="L241">
        <f>$C241*L240</f>
        <v/>
      </c>
      <c r="M241">
        <f>$C241*M240</f>
        <v/>
      </c>
      <c r="N241">
        <f>$C241*N240</f>
        <v/>
      </c>
      <c r="O241">
        <f>$C241*O240</f>
        <v/>
      </c>
      <c r="P241">
        <f>$C241*P240</f>
        <v/>
      </c>
      <c r="Q241">
        <f>$C241*Q240</f>
        <v/>
      </c>
      <c r="R241">
        <f>$C241*R240</f>
        <v/>
      </c>
      <c r="S241">
        <f>$C241*S240</f>
        <v/>
      </c>
      <c r="T241">
        <f>$C241*T240</f>
        <v/>
      </c>
      <c r="U241">
        <f>$C241*U240</f>
        <v/>
      </c>
      <c r="V241">
        <f>$C241*V240</f>
        <v/>
      </c>
      <c r="W241">
        <f>$C241*W240</f>
        <v/>
      </c>
      <c r="X241">
        <f>$C241*X240</f>
        <v/>
      </c>
      <c r="Y241">
        <f>$C241*Y240</f>
        <v/>
      </c>
      <c r="Z241">
        <f>$C241*Z240</f>
        <v/>
      </c>
      <c r="AA241">
        <f>$C241*AA240</f>
        <v/>
      </c>
      <c r="AB241">
        <f>$C241*AB240</f>
        <v/>
      </c>
      <c r="AC241">
        <f>$C241*AC240</f>
        <v/>
      </c>
      <c r="AD241">
        <f>$C241*AD240</f>
        <v/>
      </c>
      <c r="AE241">
        <f>$C241*AE240</f>
        <v/>
      </c>
      <c r="AF241">
        <f>$C241*AF240</f>
        <v/>
      </c>
      <c r="AG241">
        <f>$C241*AG240</f>
        <v/>
      </c>
      <c r="AH241">
        <f>$C241*AH240</f>
        <v/>
      </c>
      <c r="AI241">
        <f>$C241*AI240</f>
        <v/>
      </c>
      <c r="AJ241">
        <f>$C241*AJ240</f>
        <v/>
      </c>
      <c r="AK241">
        <f>$C241*AK240</f>
        <v/>
      </c>
      <c r="AL241">
        <f>$C241*AL240</f>
        <v/>
      </c>
      <c r="AM241">
        <f>$C241*AM240</f>
        <v/>
      </c>
      <c r="AN241">
        <f>$C241*AN240</f>
        <v/>
      </c>
      <c r="AO241">
        <f>$C241*AO240</f>
        <v/>
      </c>
      <c r="AP241">
        <f>$C241*AP240</f>
        <v/>
      </c>
      <c r="AQ241">
        <f>$C241*AQ240</f>
        <v/>
      </c>
      <c r="AR241">
        <f>$C241*AR240</f>
        <v/>
      </c>
      <c r="AS241">
        <f>$C241*AS240</f>
        <v/>
      </c>
      <c r="AT241">
        <f>$C241*AT240</f>
        <v/>
      </c>
      <c r="AU241">
        <f>$C241*AU240</f>
        <v/>
      </c>
      <c r="AV241">
        <f>$C241*AV240</f>
        <v/>
      </c>
      <c r="AW241">
        <f>$C241*AW240</f>
        <v/>
      </c>
      <c r="AX241">
        <f>$C241*AX240</f>
        <v/>
      </c>
      <c r="AY241">
        <f>$C241*AY240</f>
        <v/>
      </c>
      <c r="AZ241">
        <f>$C241*AZ240</f>
        <v/>
      </c>
      <c r="BA241">
        <f>$C241*BA240</f>
        <v/>
      </c>
      <c r="BB241">
        <f>$C241*BB240</f>
        <v/>
      </c>
      <c r="BC241">
        <f>$C241*BC240</f>
        <v/>
      </c>
      <c r="BD241">
        <f>$C241*BD240</f>
        <v/>
      </c>
      <c r="BE241">
        <f>$C241*BE240</f>
        <v/>
      </c>
      <c r="BF241">
        <f>$C241*BF240</f>
        <v/>
      </c>
      <c r="BG241">
        <f>$C241*BG240</f>
        <v/>
      </c>
      <c r="BH241">
        <f>$C241*BH240</f>
        <v/>
      </c>
      <c r="BI241">
        <f>$C241*BI240</f>
        <v/>
      </c>
      <c r="BJ241">
        <f>$C241*BJ240</f>
        <v/>
      </c>
      <c r="BK241">
        <f>$C241*BK240</f>
        <v/>
      </c>
      <c r="BL241">
        <f>$C241*BL240</f>
        <v/>
      </c>
      <c r="BM241">
        <f>$C241*BM240</f>
        <v/>
      </c>
      <c r="BN241">
        <f>$C241*BN240</f>
        <v/>
      </c>
      <c r="BO241">
        <f>$C241*BO240</f>
        <v/>
      </c>
      <c r="BP241">
        <f>$C241*BP240</f>
        <v/>
      </c>
      <c r="BQ241">
        <f>$C241*BQ240</f>
        <v/>
      </c>
      <c r="BR241">
        <f>$C241*BR240</f>
        <v/>
      </c>
      <c r="BS241">
        <f>$C241*BS240</f>
        <v/>
      </c>
      <c r="BT241">
        <f>$C241*BT240</f>
        <v/>
      </c>
      <c r="BU241">
        <f>$C241*BU240</f>
        <v/>
      </c>
      <c r="BV241">
        <f>$C241*BV240</f>
        <v/>
      </c>
      <c r="BW241">
        <f>$C241*BW240</f>
        <v/>
      </c>
      <c r="BX241">
        <f>$C241*BX240</f>
        <v/>
      </c>
      <c r="BY241">
        <f>$C241*BY240</f>
        <v/>
      </c>
      <c r="BZ241">
        <f>$C241*BZ240</f>
        <v/>
      </c>
      <c r="CA241">
        <f>$C241*CA240</f>
        <v/>
      </c>
      <c r="CB241">
        <f>$C241*CB240</f>
        <v/>
      </c>
      <c r="CC241">
        <f>$C241*CC240</f>
        <v/>
      </c>
      <c r="CD241">
        <f>$C241*CD240</f>
        <v/>
      </c>
      <c r="CE241">
        <f>$C241*CE240</f>
        <v/>
      </c>
      <c r="CF241">
        <f>$C241*CF240</f>
        <v/>
      </c>
      <c r="CG241">
        <f>$C241*CG240</f>
        <v/>
      </c>
      <c r="CH241">
        <f>$C241*CH240</f>
        <v/>
      </c>
      <c r="CI241">
        <f>$C241*CI240</f>
        <v/>
      </c>
      <c r="CJ241">
        <f>$C241*CJ240</f>
        <v/>
      </c>
      <c r="CK241">
        <f>$C241*CK240</f>
        <v/>
      </c>
      <c r="CL241">
        <f>$C241*CL240</f>
        <v/>
      </c>
      <c r="CM241">
        <f>$C241*CM240</f>
        <v/>
      </c>
      <c r="CN241">
        <f>$C241*CN240</f>
        <v/>
      </c>
      <c r="CO241">
        <f>$C241*CO240</f>
        <v/>
      </c>
      <c r="CP241">
        <f>$C241*CP240</f>
        <v/>
      </c>
      <c r="CQ241">
        <f>$C241*CQ240</f>
        <v/>
      </c>
      <c r="CR241">
        <f>$C241*CR240</f>
        <v/>
      </c>
      <c r="CS241">
        <f>$C241*CS240</f>
        <v/>
      </c>
      <c r="CT241">
        <f>$C241*CT240</f>
        <v/>
      </c>
      <c r="CU241">
        <f>$C241*CU240</f>
        <v/>
      </c>
      <c r="CV241">
        <f>$C241*CV240</f>
        <v/>
      </c>
      <c r="CW241">
        <f>$C241*CW240</f>
        <v/>
      </c>
      <c r="CX241">
        <f>$C241*CX240</f>
        <v/>
      </c>
      <c r="CY241">
        <f>$C241*CY240</f>
        <v/>
      </c>
      <c r="CZ241">
        <f>$C241*CZ240</f>
        <v/>
      </c>
      <c r="DA241">
        <f>$C241*DA240</f>
        <v/>
      </c>
      <c r="DB241">
        <f>$C241*DB240</f>
        <v/>
      </c>
      <c r="DC241">
        <f>$C241*DC240</f>
        <v/>
      </c>
    </row>
    <row r="242">
      <c r="B242" t="inlineStr">
        <is>
          <t>TSP-1449</t>
        </is>
      </c>
      <c r="C242" t="inlineStr">
        <is>
          <t>No. of batches</t>
        </is>
      </c>
      <c r="D242">
        <f>IFERROR(INDEX(PP_Grid[#Data],$DD242,2),0)</f>
        <v/>
      </c>
      <c r="E242">
        <f>IFERROR(INDEX(PP_Grid[#Data],$DD242,3),0)</f>
        <v/>
      </c>
      <c r="F242">
        <f>IFERROR(INDEX(PP_Grid[#Data],$DD242,4),0)</f>
        <v/>
      </c>
      <c r="G242">
        <f>IFERROR(INDEX(PP_Grid[#Data],$DD242,5),0)</f>
        <v/>
      </c>
      <c r="H242">
        <f>IFERROR(INDEX(PP_Grid[#Data],$DD242,6),0)</f>
        <v/>
      </c>
      <c r="I242">
        <f>IFERROR(INDEX(PP_Grid[#Data],$DD242,7),0)</f>
        <v/>
      </c>
      <c r="J242">
        <f>IFERROR(INDEX(PP_Grid[#Data],$DD242,8),0)</f>
        <v/>
      </c>
      <c r="K242">
        <f>IFERROR(INDEX(PP_Grid[#Data],$DD242,9),0)</f>
        <v/>
      </c>
      <c r="L242">
        <f>IFERROR(INDEX(PP_Grid[#Data],$DD242,10),0)</f>
        <v/>
      </c>
      <c r="M242">
        <f>IFERROR(INDEX(PP_Grid[#Data],$DD242,11),0)</f>
        <v/>
      </c>
      <c r="N242">
        <f>IFERROR(INDEX(PP_Grid[#Data],$DD242,12),0)</f>
        <v/>
      </c>
      <c r="O242">
        <f>IFERROR(INDEX(PP_Grid[#Data],$DD242,13),0)</f>
        <v/>
      </c>
      <c r="P242">
        <f>IFERROR(INDEX(PP_Grid[#Data],$DD242,14),0)</f>
        <v/>
      </c>
      <c r="Q242">
        <f>IFERROR(INDEX(PP_Grid[#Data],$DD242,15),0)</f>
        <v/>
      </c>
      <c r="R242">
        <f>IFERROR(INDEX(PP_Grid[#Data],$DD242,16),0)</f>
        <v/>
      </c>
      <c r="S242">
        <f>IFERROR(INDEX(PP_Grid[#Data],$DD242,17),0)</f>
        <v/>
      </c>
      <c r="T242">
        <f>IFERROR(INDEX(PP_Grid[#Data],$DD242,18),0)</f>
        <v/>
      </c>
      <c r="U242">
        <f>IFERROR(INDEX(PP_Grid[#Data],$DD242,19),0)</f>
        <v/>
      </c>
      <c r="V242">
        <f>IFERROR(INDEX(PP_Grid[#Data],$DD242,20),0)</f>
        <v/>
      </c>
      <c r="W242">
        <f>IFERROR(INDEX(PP_Grid[#Data],$DD242,21),0)</f>
        <v/>
      </c>
      <c r="X242">
        <f>IFERROR(INDEX(PP_Grid[#Data],$DD242,22),0)</f>
        <v/>
      </c>
      <c r="Y242">
        <f>IFERROR(INDEX(PP_Grid[#Data],$DD242,23),0)</f>
        <v/>
      </c>
      <c r="Z242">
        <f>IFERROR(INDEX(PP_Grid[#Data],$DD242,24),0)</f>
        <v/>
      </c>
      <c r="AA242">
        <f>IFERROR(INDEX(PP_Grid[#Data],$DD242,25),0)</f>
        <v/>
      </c>
      <c r="AB242">
        <f>IFERROR(INDEX(PP_Grid[#Data],$DD242,26),0)</f>
        <v/>
      </c>
      <c r="AC242">
        <f>IFERROR(INDEX(PP_Grid[#Data],$DD242,27),0)</f>
        <v/>
      </c>
      <c r="AD242">
        <f>IFERROR(INDEX(PP_Grid[#Data],$DD242,28),0)</f>
        <v/>
      </c>
      <c r="AE242">
        <f>IFERROR(INDEX(PP_Grid[#Data],$DD242,29),0)</f>
        <v/>
      </c>
      <c r="AF242">
        <f>IFERROR(INDEX(PP_Grid[#Data],$DD242,30),0)</f>
        <v/>
      </c>
      <c r="AG242">
        <f>IFERROR(INDEX(PP_Grid[#Data],$DD242,31),0)</f>
        <v/>
      </c>
      <c r="AH242">
        <f>IFERROR(INDEX(PP_Grid[#Data],$DD242,32),0)</f>
        <v/>
      </c>
      <c r="AI242">
        <f>IFERROR(INDEX(PP_Grid[#Data],$DD242,33),0)</f>
        <v/>
      </c>
      <c r="AJ242">
        <f>IFERROR(INDEX(PP_Grid[#Data],$DD242,34),0)</f>
        <v/>
      </c>
      <c r="AK242">
        <f>IFERROR(INDEX(PP_Grid[#Data],$DD242,35),0)</f>
        <v/>
      </c>
      <c r="AL242">
        <f>IFERROR(INDEX(PP_Grid[#Data],$DD242,36),0)</f>
        <v/>
      </c>
      <c r="AM242">
        <f>IFERROR(INDEX(PP_Grid[#Data],$DD242,37),0)</f>
        <v/>
      </c>
      <c r="AN242">
        <f>IFERROR(INDEX(PP_Grid[#Data],$DD242,38),0)</f>
        <v/>
      </c>
      <c r="AO242">
        <f>IFERROR(INDEX(PP_Grid[#Data],$DD242,39),0)</f>
        <v/>
      </c>
      <c r="AP242">
        <f>IFERROR(INDEX(PP_Grid[#Data],$DD242,40),0)</f>
        <v/>
      </c>
      <c r="AQ242">
        <f>IFERROR(INDEX(PP_Grid[#Data],$DD242,41),0)</f>
        <v/>
      </c>
      <c r="AR242">
        <f>IFERROR(INDEX(PP_Grid[#Data],$DD242,42),0)</f>
        <v/>
      </c>
      <c r="AS242">
        <f>IFERROR(INDEX(PP_Grid[#Data],$DD242,43),0)</f>
        <v/>
      </c>
      <c r="AT242">
        <f>IFERROR(INDEX(PP_Grid[#Data],$DD242,44),0)</f>
        <v/>
      </c>
      <c r="AU242">
        <f>IFERROR(INDEX(PP_Grid[#Data],$DD242,45),0)</f>
        <v/>
      </c>
      <c r="AV242">
        <f>IFERROR(INDEX(PP_Grid[#Data],$DD242,46),0)</f>
        <v/>
      </c>
      <c r="AW242">
        <f>IFERROR(INDEX(PP_Grid[#Data],$DD242,47),0)</f>
        <v/>
      </c>
      <c r="AX242">
        <f>IFERROR(INDEX(PP_Grid[#Data],$DD242,48),0)</f>
        <v/>
      </c>
      <c r="AY242">
        <f>IFERROR(INDEX(PP_Grid[#Data],$DD242,49),0)</f>
        <v/>
      </c>
      <c r="AZ242">
        <f>IFERROR(INDEX(PP_Grid[#Data],$DD242,50),0)</f>
        <v/>
      </c>
      <c r="BA242">
        <f>IFERROR(INDEX(PP_Grid[#Data],$DD242,51),0)</f>
        <v/>
      </c>
      <c r="BB242">
        <f>IFERROR(INDEX(PP_Grid[#Data],$DD242,52),0)</f>
        <v/>
      </c>
      <c r="BC242">
        <f>IFERROR(INDEX(PP_Grid[#Data],$DD242,53),0)</f>
        <v/>
      </c>
      <c r="BD242">
        <f>IFERROR(INDEX(PP_Grid[#Data],$DD242,54),0)</f>
        <v/>
      </c>
      <c r="BE242">
        <f>IFERROR(INDEX(PP_Grid[#Data],$DD242,55),0)</f>
        <v/>
      </c>
      <c r="BF242">
        <f>IFERROR(INDEX(PP_Grid[#Data],$DD242,56),0)</f>
        <v/>
      </c>
      <c r="BG242">
        <f>IFERROR(INDEX(PP_Grid[#Data],$DD242,57),0)</f>
        <v/>
      </c>
      <c r="BH242">
        <f>IFERROR(INDEX(PP_Grid[#Data],$DD242,58),0)</f>
        <v/>
      </c>
      <c r="BI242">
        <f>IFERROR(INDEX(PP_Grid[#Data],$DD242,59),0)</f>
        <v/>
      </c>
      <c r="BJ242">
        <f>IFERROR(INDEX(PP_Grid[#Data],$DD242,60),0)</f>
        <v/>
      </c>
      <c r="BK242">
        <f>IFERROR(INDEX(PP_Grid[#Data],$DD242,61),0)</f>
        <v/>
      </c>
      <c r="BL242">
        <f>IFERROR(INDEX(PP_Grid[#Data],$DD242,62),0)</f>
        <v/>
      </c>
      <c r="BM242">
        <f>IFERROR(INDEX(PP_Grid[#Data],$DD242,63),0)</f>
        <v/>
      </c>
      <c r="BN242">
        <f>IFERROR(INDEX(PP_Grid[#Data],$DD242,64),0)</f>
        <v/>
      </c>
      <c r="BO242">
        <f>IFERROR(INDEX(PP_Grid[#Data],$DD242,65),0)</f>
        <v/>
      </c>
      <c r="BP242">
        <f>IFERROR(INDEX(PP_Grid[#Data],$DD242,66),0)</f>
        <v/>
      </c>
      <c r="BQ242">
        <f>IFERROR(INDEX(PP_Grid[#Data],$DD242,67),0)</f>
        <v/>
      </c>
      <c r="BR242">
        <f>IFERROR(INDEX(PP_Grid[#Data],$DD242,68),0)</f>
        <v/>
      </c>
      <c r="BS242">
        <f>IFERROR(INDEX(PP_Grid[#Data],$DD242,69),0)</f>
        <v/>
      </c>
      <c r="BT242">
        <f>IFERROR(INDEX(PP_Grid[#Data],$DD242,70),0)</f>
        <v/>
      </c>
      <c r="BU242">
        <f>IFERROR(INDEX(PP_Grid[#Data],$DD242,71),0)</f>
        <v/>
      </c>
      <c r="BV242">
        <f>IFERROR(INDEX(PP_Grid[#Data],$DD242,72),0)</f>
        <v/>
      </c>
      <c r="BW242">
        <f>IFERROR(INDEX(PP_Grid[#Data],$DD242,73),0)</f>
        <v/>
      </c>
      <c r="BX242">
        <f>IFERROR(INDEX(PP_Grid[#Data],$DD242,74),0)</f>
        <v/>
      </c>
      <c r="BY242">
        <f>IFERROR(INDEX(PP_Grid[#Data],$DD242,75),0)</f>
        <v/>
      </c>
      <c r="BZ242">
        <f>IFERROR(INDEX(PP_Grid[#Data],$DD242,76),0)</f>
        <v/>
      </c>
      <c r="CA242">
        <f>IFERROR(INDEX(PP_Grid[#Data],$DD242,77),0)</f>
        <v/>
      </c>
      <c r="CB242">
        <f>IFERROR(INDEX(PP_Grid[#Data],$DD242,78),0)</f>
        <v/>
      </c>
      <c r="CC242">
        <f>IFERROR(INDEX(PP_Grid[#Data],$DD242,79),0)</f>
        <v/>
      </c>
      <c r="CD242">
        <f>IFERROR(INDEX(PP_Grid[#Data],$DD242,80),0)</f>
        <v/>
      </c>
      <c r="CE242">
        <f>IFERROR(INDEX(PP_Grid[#Data],$DD242,81),0)</f>
        <v/>
      </c>
      <c r="CF242">
        <f>IFERROR(INDEX(PP_Grid[#Data],$DD242,82),0)</f>
        <v/>
      </c>
      <c r="CG242">
        <f>IFERROR(INDEX(PP_Grid[#Data],$DD242,83),0)</f>
        <v/>
      </c>
      <c r="CH242">
        <f>IFERROR(INDEX(PP_Grid[#Data],$DD242,84),0)</f>
        <v/>
      </c>
      <c r="CI242">
        <f>IFERROR(INDEX(PP_Grid[#Data],$DD242,85),0)</f>
        <v/>
      </c>
      <c r="CJ242">
        <f>IFERROR(INDEX(PP_Grid[#Data],$DD242,86),0)</f>
        <v/>
      </c>
      <c r="CK242">
        <f>IFERROR(INDEX(PP_Grid[#Data],$DD242,87),0)</f>
        <v/>
      </c>
      <c r="CL242">
        <f>IFERROR(INDEX(PP_Grid[#Data],$DD242,88),0)</f>
        <v/>
      </c>
      <c r="CM242">
        <f>IFERROR(INDEX(PP_Grid[#Data],$DD242,89),0)</f>
        <v/>
      </c>
      <c r="CN242">
        <f>IFERROR(INDEX(PP_Grid[#Data],$DD242,90),0)</f>
        <v/>
      </c>
      <c r="CO242">
        <f>IFERROR(INDEX(PP_Grid[#Data],$DD242,91),0)</f>
        <v/>
      </c>
      <c r="CP242">
        <f>IFERROR(INDEX(PP_Grid[#Data],$DD242,92),0)</f>
        <v/>
      </c>
      <c r="CQ242">
        <f>IFERROR(INDEX(PP_Grid[#Data],$DD242,93),0)</f>
        <v/>
      </c>
      <c r="CR242">
        <f>IFERROR(INDEX(PP_Grid[#Data],$DD242,94),0)</f>
        <v/>
      </c>
      <c r="CS242">
        <f>IFERROR(INDEX(PP_Grid[#Data],$DD242,95),0)</f>
        <v/>
      </c>
      <c r="CT242">
        <f>IFERROR(INDEX(PP_Grid[#Data],$DD242,96),0)</f>
        <v/>
      </c>
      <c r="CU242">
        <f>IFERROR(INDEX(PP_Grid[#Data],$DD242,97),0)</f>
        <v/>
      </c>
      <c r="CV242">
        <f>IFERROR(INDEX(PP_Grid[#Data],$DD242,98),0)</f>
        <v/>
      </c>
      <c r="CW242">
        <f>IFERROR(INDEX(PP_Grid[#Data],$DD242,99),0)</f>
        <v/>
      </c>
      <c r="CX242">
        <f>IFERROR(INDEX(PP_Grid[#Data],$DD242,100),0)</f>
        <v/>
      </c>
      <c r="CY242">
        <f>IFERROR(INDEX(PP_Grid[#Data],$DD242,101),0)</f>
        <v/>
      </c>
      <c r="CZ242">
        <f>IFERROR(INDEX(PP_Grid[#Data],$DD242,102),0)</f>
        <v/>
      </c>
      <c r="DA242">
        <f>IFERROR(INDEX(PP_Grid[#Data],$DD242,103),0)</f>
        <v/>
      </c>
      <c r="DB242">
        <f>IFERROR(INDEX(PP_Grid[#Data],$DD242,104),0)</f>
        <v/>
      </c>
      <c r="DC242">
        <f>IFERROR(INDEX(PP_Grid[#Data],$DD242,105),0)</f>
        <v/>
      </c>
      <c r="DD242" s="12">
        <f>IFERROR(MATCH($B242,PP_Grid[Intermediate],0),99999)</f>
        <v/>
      </c>
    </row>
    <row r="243">
      <c r="B243" t="inlineStr">
        <is>
          <t>使用量(kg)</t>
        </is>
      </c>
      <c r="C243">
        <f>SUMIFS(M_BOM[RM_Qty_Per_Batch],M_BOM[Intermediate],$B242,M_BOM[Part Name],$A239)</f>
        <v/>
      </c>
      <c r="D243">
        <f>$C243*D242</f>
        <v/>
      </c>
      <c r="E243">
        <f>$C243*E242</f>
        <v/>
      </c>
      <c r="F243">
        <f>$C243*F242</f>
        <v/>
      </c>
      <c r="G243">
        <f>$C243*G242</f>
        <v/>
      </c>
      <c r="H243">
        <f>$C243*H242</f>
        <v/>
      </c>
      <c r="I243">
        <f>$C243*I242</f>
        <v/>
      </c>
      <c r="J243">
        <f>$C243*J242</f>
        <v/>
      </c>
      <c r="K243">
        <f>$C243*K242</f>
        <v/>
      </c>
      <c r="L243">
        <f>$C243*L242</f>
        <v/>
      </c>
      <c r="M243">
        <f>$C243*M242</f>
        <v/>
      </c>
      <c r="N243">
        <f>$C243*N242</f>
        <v/>
      </c>
      <c r="O243">
        <f>$C243*O242</f>
        <v/>
      </c>
      <c r="P243">
        <f>$C243*P242</f>
        <v/>
      </c>
      <c r="Q243">
        <f>$C243*Q242</f>
        <v/>
      </c>
      <c r="R243">
        <f>$C243*R242</f>
        <v/>
      </c>
      <c r="S243">
        <f>$C243*S242</f>
        <v/>
      </c>
      <c r="T243">
        <f>$C243*T242</f>
        <v/>
      </c>
      <c r="U243">
        <f>$C243*U242</f>
        <v/>
      </c>
      <c r="V243">
        <f>$C243*V242</f>
        <v/>
      </c>
      <c r="W243">
        <f>$C243*W242</f>
        <v/>
      </c>
      <c r="X243">
        <f>$C243*X242</f>
        <v/>
      </c>
      <c r="Y243">
        <f>$C243*Y242</f>
        <v/>
      </c>
      <c r="Z243">
        <f>$C243*Z242</f>
        <v/>
      </c>
      <c r="AA243">
        <f>$C243*AA242</f>
        <v/>
      </c>
      <c r="AB243">
        <f>$C243*AB242</f>
        <v/>
      </c>
      <c r="AC243">
        <f>$C243*AC242</f>
        <v/>
      </c>
      <c r="AD243">
        <f>$C243*AD242</f>
        <v/>
      </c>
      <c r="AE243">
        <f>$C243*AE242</f>
        <v/>
      </c>
      <c r="AF243">
        <f>$C243*AF242</f>
        <v/>
      </c>
      <c r="AG243">
        <f>$C243*AG242</f>
        <v/>
      </c>
      <c r="AH243">
        <f>$C243*AH242</f>
        <v/>
      </c>
      <c r="AI243">
        <f>$C243*AI242</f>
        <v/>
      </c>
      <c r="AJ243">
        <f>$C243*AJ242</f>
        <v/>
      </c>
      <c r="AK243">
        <f>$C243*AK242</f>
        <v/>
      </c>
      <c r="AL243">
        <f>$C243*AL242</f>
        <v/>
      </c>
      <c r="AM243">
        <f>$C243*AM242</f>
        <v/>
      </c>
      <c r="AN243">
        <f>$C243*AN242</f>
        <v/>
      </c>
      <c r="AO243">
        <f>$C243*AO242</f>
        <v/>
      </c>
      <c r="AP243">
        <f>$C243*AP242</f>
        <v/>
      </c>
      <c r="AQ243">
        <f>$C243*AQ242</f>
        <v/>
      </c>
      <c r="AR243">
        <f>$C243*AR242</f>
        <v/>
      </c>
      <c r="AS243">
        <f>$C243*AS242</f>
        <v/>
      </c>
      <c r="AT243">
        <f>$C243*AT242</f>
        <v/>
      </c>
      <c r="AU243">
        <f>$C243*AU242</f>
        <v/>
      </c>
      <c r="AV243">
        <f>$C243*AV242</f>
        <v/>
      </c>
      <c r="AW243">
        <f>$C243*AW242</f>
        <v/>
      </c>
      <c r="AX243">
        <f>$C243*AX242</f>
        <v/>
      </c>
      <c r="AY243">
        <f>$C243*AY242</f>
        <v/>
      </c>
      <c r="AZ243">
        <f>$C243*AZ242</f>
        <v/>
      </c>
      <c r="BA243">
        <f>$C243*BA242</f>
        <v/>
      </c>
      <c r="BB243">
        <f>$C243*BB242</f>
        <v/>
      </c>
      <c r="BC243">
        <f>$C243*BC242</f>
        <v/>
      </c>
      <c r="BD243">
        <f>$C243*BD242</f>
        <v/>
      </c>
      <c r="BE243">
        <f>$C243*BE242</f>
        <v/>
      </c>
      <c r="BF243">
        <f>$C243*BF242</f>
        <v/>
      </c>
      <c r="BG243">
        <f>$C243*BG242</f>
        <v/>
      </c>
      <c r="BH243">
        <f>$C243*BH242</f>
        <v/>
      </c>
      <c r="BI243">
        <f>$C243*BI242</f>
        <v/>
      </c>
      <c r="BJ243">
        <f>$C243*BJ242</f>
        <v/>
      </c>
      <c r="BK243">
        <f>$C243*BK242</f>
        <v/>
      </c>
      <c r="BL243">
        <f>$C243*BL242</f>
        <v/>
      </c>
      <c r="BM243">
        <f>$C243*BM242</f>
        <v/>
      </c>
      <c r="BN243">
        <f>$C243*BN242</f>
        <v/>
      </c>
      <c r="BO243">
        <f>$C243*BO242</f>
        <v/>
      </c>
      <c r="BP243">
        <f>$C243*BP242</f>
        <v/>
      </c>
      <c r="BQ243">
        <f>$C243*BQ242</f>
        <v/>
      </c>
      <c r="BR243">
        <f>$C243*BR242</f>
        <v/>
      </c>
      <c r="BS243">
        <f>$C243*BS242</f>
        <v/>
      </c>
      <c r="BT243">
        <f>$C243*BT242</f>
        <v/>
      </c>
      <c r="BU243">
        <f>$C243*BU242</f>
        <v/>
      </c>
      <c r="BV243">
        <f>$C243*BV242</f>
        <v/>
      </c>
      <c r="BW243">
        <f>$C243*BW242</f>
        <v/>
      </c>
      <c r="BX243">
        <f>$C243*BX242</f>
        <v/>
      </c>
      <c r="BY243">
        <f>$C243*BY242</f>
        <v/>
      </c>
      <c r="BZ243">
        <f>$C243*BZ242</f>
        <v/>
      </c>
      <c r="CA243">
        <f>$C243*CA242</f>
        <v/>
      </c>
      <c r="CB243">
        <f>$C243*CB242</f>
        <v/>
      </c>
      <c r="CC243">
        <f>$C243*CC242</f>
        <v/>
      </c>
      <c r="CD243">
        <f>$C243*CD242</f>
        <v/>
      </c>
      <c r="CE243">
        <f>$C243*CE242</f>
        <v/>
      </c>
      <c r="CF243">
        <f>$C243*CF242</f>
        <v/>
      </c>
      <c r="CG243">
        <f>$C243*CG242</f>
        <v/>
      </c>
      <c r="CH243">
        <f>$C243*CH242</f>
        <v/>
      </c>
      <c r="CI243">
        <f>$C243*CI242</f>
        <v/>
      </c>
      <c r="CJ243">
        <f>$C243*CJ242</f>
        <v/>
      </c>
      <c r="CK243">
        <f>$C243*CK242</f>
        <v/>
      </c>
      <c r="CL243">
        <f>$C243*CL242</f>
        <v/>
      </c>
      <c r="CM243">
        <f>$C243*CM242</f>
        <v/>
      </c>
      <c r="CN243">
        <f>$C243*CN242</f>
        <v/>
      </c>
      <c r="CO243">
        <f>$C243*CO242</f>
        <v/>
      </c>
      <c r="CP243">
        <f>$C243*CP242</f>
        <v/>
      </c>
      <c r="CQ243">
        <f>$C243*CQ242</f>
        <v/>
      </c>
      <c r="CR243">
        <f>$C243*CR242</f>
        <v/>
      </c>
      <c r="CS243">
        <f>$C243*CS242</f>
        <v/>
      </c>
      <c r="CT243">
        <f>$C243*CT242</f>
        <v/>
      </c>
      <c r="CU243">
        <f>$C243*CU242</f>
        <v/>
      </c>
      <c r="CV243">
        <f>$C243*CV242</f>
        <v/>
      </c>
      <c r="CW243">
        <f>$C243*CW242</f>
        <v/>
      </c>
      <c r="CX243">
        <f>$C243*CX242</f>
        <v/>
      </c>
      <c r="CY243">
        <f>$C243*CY242</f>
        <v/>
      </c>
      <c r="CZ243">
        <f>$C243*CZ242</f>
        <v/>
      </c>
      <c r="DA243">
        <f>$C243*DA242</f>
        <v/>
      </c>
      <c r="DB243">
        <f>$C243*DB242</f>
        <v/>
      </c>
      <c r="DC243">
        <f>$C243*DC242</f>
        <v/>
      </c>
    </row>
    <row r="244">
      <c r="B244" t="inlineStr">
        <is>
          <t>TSP-1558</t>
        </is>
      </c>
      <c r="C244" t="inlineStr">
        <is>
          <t>No. of batches</t>
        </is>
      </c>
      <c r="D244">
        <f>IFERROR(INDEX(PP_Grid[#Data],$DD244,2),0)</f>
        <v/>
      </c>
      <c r="E244">
        <f>IFERROR(INDEX(PP_Grid[#Data],$DD244,3),0)</f>
        <v/>
      </c>
      <c r="F244">
        <f>IFERROR(INDEX(PP_Grid[#Data],$DD244,4),0)</f>
        <v/>
      </c>
      <c r="G244">
        <f>IFERROR(INDEX(PP_Grid[#Data],$DD244,5),0)</f>
        <v/>
      </c>
      <c r="H244">
        <f>IFERROR(INDEX(PP_Grid[#Data],$DD244,6),0)</f>
        <v/>
      </c>
      <c r="I244">
        <f>IFERROR(INDEX(PP_Grid[#Data],$DD244,7),0)</f>
        <v/>
      </c>
      <c r="J244">
        <f>IFERROR(INDEX(PP_Grid[#Data],$DD244,8),0)</f>
        <v/>
      </c>
      <c r="K244">
        <f>IFERROR(INDEX(PP_Grid[#Data],$DD244,9),0)</f>
        <v/>
      </c>
      <c r="L244">
        <f>IFERROR(INDEX(PP_Grid[#Data],$DD244,10),0)</f>
        <v/>
      </c>
      <c r="M244">
        <f>IFERROR(INDEX(PP_Grid[#Data],$DD244,11),0)</f>
        <v/>
      </c>
      <c r="N244">
        <f>IFERROR(INDEX(PP_Grid[#Data],$DD244,12),0)</f>
        <v/>
      </c>
      <c r="O244">
        <f>IFERROR(INDEX(PP_Grid[#Data],$DD244,13),0)</f>
        <v/>
      </c>
      <c r="P244">
        <f>IFERROR(INDEX(PP_Grid[#Data],$DD244,14),0)</f>
        <v/>
      </c>
      <c r="Q244">
        <f>IFERROR(INDEX(PP_Grid[#Data],$DD244,15),0)</f>
        <v/>
      </c>
      <c r="R244">
        <f>IFERROR(INDEX(PP_Grid[#Data],$DD244,16),0)</f>
        <v/>
      </c>
      <c r="S244">
        <f>IFERROR(INDEX(PP_Grid[#Data],$DD244,17),0)</f>
        <v/>
      </c>
      <c r="T244">
        <f>IFERROR(INDEX(PP_Grid[#Data],$DD244,18),0)</f>
        <v/>
      </c>
      <c r="U244">
        <f>IFERROR(INDEX(PP_Grid[#Data],$DD244,19),0)</f>
        <v/>
      </c>
      <c r="V244">
        <f>IFERROR(INDEX(PP_Grid[#Data],$DD244,20),0)</f>
        <v/>
      </c>
      <c r="W244">
        <f>IFERROR(INDEX(PP_Grid[#Data],$DD244,21),0)</f>
        <v/>
      </c>
      <c r="X244">
        <f>IFERROR(INDEX(PP_Grid[#Data],$DD244,22),0)</f>
        <v/>
      </c>
      <c r="Y244">
        <f>IFERROR(INDEX(PP_Grid[#Data],$DD244,23),0)</f>
        <v/>
      </c>
      <c r="Z244">
        <f>IFERROR(INDEX(PP_Grid[#Data],$DD244,24),0)</f>
        <v/>
      </c>
      <c r="AA244">
        <f>IFERROR(INDEX(PP_Grid[#Data],$DD244,25),0)</f>
        <v/>
      </c>
      <c r="AB244">
        <f>IFERROR(INDEX(PP_Grid[#Data],$DD244,26),0)</f>
        <v/>
      </c>
      <c r="AC244">
        <f>IFERROR(INDEX(PP_Grid[#Data],$DD244,27),0)</f>
        <v/>
      </c>
      <c r="AD244">
        <f>IFERROR(INDEX(PP_Grid[#Data],$DD244,28),0)</f>
        <v/>
      </c>
      <c r="AE244">
        <f>IFERROR(INDEX(PP_Grid[#Data],$DD244,29),0)</f>
        <v/>
      </c>
      <c r="AF244">
        <f>IFERROR(INDEX(PP_Grid[#Data],$DD244,30),0)</f>
        <v/>
      </c>
      <c r="AG244">
        <f>IFERROR(INDEX(PP_Grid[#Data],$DD244,31),0)</f>
        <v/>
      </c>
      <c r="AH244">
        <f>IFERROR(INDEX(PP_Grid[#Data],$DD244,32),0)</f>
        <v/>
      </c>
      <c r="AI244">
        <f>IFERROR(INDEX(PP_Grid[#Data],$DD244,33),0)</f>
        <v/>
      </c>
      <c r="AJ244">
        <f>IFERROR(INDEX(PP_Grid[#Data],$DD244,34),0)</f>
        <v/>
      </c>
      <c r="AK244">
        <f>IFERROR(INDEX(PP_Grid[#Data],$DD244,35),0)</f>
        <v/>
      </c>
      <c r="AL244">
        <f>IFERROR(INDEX(PP_Grid[#Data],$DD244,36),0)</f>
        <v/>
      </c>
      <c r="AM244">
        <f>IFERROR(INDEX(PP_Grid[#Data],$DD244,37),0)</f>
        <v/>
      </c>
      <c r="AN244">
        <f>IFERROR(INDEX(PP_Grid[#Data],$DD244,38),0)</f>
        <v/>
      </c>
      <c r="AO244">
        <f>IFERROR(INDEX(PP_Grid[#Data],$DD244,39),0)</f>
        <v/>
      </c>
      <c r="AP244">
        <f>IFERROR(INDEX(PP_Grid[#Data],$DD244,40),0)</f>
        <v/>
      </c>
      <c r="AQ244">
        <f>IFERROR(INDEX(PP_Grid[#Data],$DD244,41),0)</f>
        <v/>
      </c>
      <c r="AR244">
        <f>IFERROR(INDEX(PP_Grid[#Data],$DD244,42),0)</f>
        <v/>
      </c>
      <c r="AS244">
        <f>IFERROR(INDEX(PP_Grid[#Data],$DD244,43),0)</f>
        <v/>
      </c>
      <c r="AT244">
        <f>IFERROR(INDEX(PP_Grid[#Data],$DD244,44),0)</f>
        <v/>
      </c>
      <c r="AU244">
        <f>IFERROR(INDEX(PP_Grid[#Data],$DD244,45),0)</f>
        <v/>
      </c>
      <c r="AV244">
        <f>IFERROR(INDEX(PP_Grid[#Data],$DD244,46),0)</f>
        <v/>
      </c>
      <c r="AW244">
        <f>IFERROR(INDEX(PP_Grid[#Data],$DD244,47),0)</f>
        <v/>
      </c>
      <c r="AX244">
        <f>IFERROR(INDEX(PP_Grid[#Data],$DD244,48),0)</f>
        <v/>
      </c>
      <c r="AY244">
        <f>IFERROR(INDEX(PP_Grid[#Data],$DD244,49),0)</f>
        <v/>
      </c>
      <c r="AZ244">
        <f>IFERROR(INDEX(PP_Grid[#Data],$DD244,50),0)</f>
        <v/>
      </c>
      <c r="BA244">
        <f>IFERROR(INDEX(PP_Grid[#Data],$DD244,51),0)</f>
        <v/>
      </c>
      <c r="BB244">
        <f>IFERROR(INDEX(PP_Grid[#Data],$DD244,52),0)</f>
        <v/>
      </c>
      <c r="BC244">
        <f>IFERROR(INDEX(PP_Grid[#Data],$DD244,53),0)</f>
        <v/>
      </c>
      <c r="BD244">
        <f>IFERROR(INDEX(PP_Grid[#Data],$DD244,54),0)</f>
        <v/>
      </c>
      <c r="BE244">
        <f>IFERROR(INDEX(PP_Grid[#Data],$DD244,55),0)</f>
        <v/>
      </c>
      <c r="BF244">
        <f>IFERROR(INDEX(PP_Grid[#Data],$DD244,56),0)</f>
        <v/>
      </c>
      <c r="BG244">
        <f>IFERROR(INDEX(PP_Grid[#Data],$DD244,57),0)</f>
        <v/>
      </c>
      <c r="BH244">
        <f>IFERROR(INDEX(PP_Grid[#Data],$DD244,58),0)</f>
        <v/>
      </c>
      <c r="BI244">
        <f>IFERROR(INDEX(PP_Grid[#Data],$DD244,59),0)</f>
        <v/>
      </c>
      <c r="BJ244">
        <f>IFERROR(INDEX(PP_Grid[#Data],$DD244,60),0)</f>
        <v/>
      </c>
      <c r="BK244">
        <f>IFERROR(INDEX(PP_Grid[#Data],$DD244,61),0)</f>
        <v/>
      </c>
      <c r="BL244">
        <f>IFERROR(INDEX(PP_Grid[#Data],$DD244,62),0)</f>
        <v/>
      </c>
      <c r="BM244">
        <f>IFERROR(INDEX(PP_Grid[#Data],$DD244,63),0)</f>
        <v/>
      </c>
      <c r="BN244">
        <f>IFERROR(INDEX(PP_Grid[#Data],$DD244,64),0)</f>
        <v/>
      </c>
      <c r="BO244">
        <f>IFERROR(INDEX(PP_Grid[#Data],$DD244,65),0)</f>
        <v/>
      </c>
      <c r="BP244">
        <f>IFERROR(INDEX(PP_Grid[#Data],$DD244,66),0)</f>
        <v/>
      </c>
      <c r="BQ244">
        <f>IFERROR(INDEX(PP_Grid[#Data],$DD244,67),0)</f>
        <v/>
      </c>
      <c r="BR244">
        <f>IFERROR(INDEX(PP_Grid[#Data],$DD244,68),0)</f>
        <v/>
      </c>
      <c r="BS244">
        <f>IFERROR(INDEX(PP_Grid[#Data],$DD244,69),0)</f>
        <v/>
      </c>
      <c r="BT244">
        <f>IFERROR(INDEX(PP_Grid[#Data],$DD244,70),0)</f>
        <v/>
      </c>
      <c r="BU244">
        <f>IFERROR(INDEX(PP_Grid[#Data],$DD244,71),0)</f>
        <v/>
      </c>
      <c r="BV244">
        <f>IFERROR(INDEX(PP_Grid[#Data],$DD244,72),0)</f>
        <v/>
      </c>
      <c r="BW244">
        <f>IFERROR(INDEX(PP_Grid[#Data],$DD244,73),0)</f>
        <v/>
      </c>
      <c r="BX244">
        <f>IFERROR(INDEX(PP_Grid[#Data],$DD244,74),0)</f>
        <v/>
      </c>
      <c r="BY244">
        <f>IFERROR(INDEX(PP_Grid[#Data],$DD244,75),0)</f>
        <v/>
      </c>
      <c r="BZ244">
        <f>IFERROR(INDEX(PP_Grid[#Data],$DD244,76),0)</f>
        <v/>
      </c>
      <c r="CA244">
        <f>IFERROR(INDEX(PP_Grid[#Data],$DD244,77),0)</f>
        <v/>
      </c>
      <c r="CB244">
        <f>IFERROR(INDEX(PP_Grid[#Data],$DD244,78),0)</f>
        <v/>
      </c>
      <c r="CC244">
        <f>IFERROR(INDEX(PP_Grid[#Data],$DD244,79),0)</f>
        <v/>
      </c>
      <c r="CD244">
        <f>IFERROR(INDEX(PP_Grid[#Data],$DD244,80),0)</f>
        <v/>
      </c>
      <c r="CE244">
        <f>IFERROR(INDEX(PP_Grid[#Data],$DD244,81),0)</f>
        <v/>
      </c>
      <c r="CF244">
        <f>IFERROR(INDEX(PP_Grid[#Data],$DD244,82),0)</f>
        <v/>
      </c>
      <c r="CG244">
        <f>IFERROR(INDEX(PP_Grid[#Data],$DD244,83),0)</f>
        <v/>
      </c>
      <c r="CH244">
        <f>IFERROR(INDEX(PP_Grid[#Data],$DD244,84),0)</f>
        <v/>
      </c>
      <c r="CI244">
        <f>IFERROR(INDEX(PP_Grid[#Data],$DD244,85),0)</f>
        <v/>
      </c>
      <c r="CJ244">
        <f>IFERROR(INDEX(PP_Grid[#Data],$DD244,86),0)</f>
        <v/>
      </c>
      <c r="CK244">
        <f>IFERROR(INDEX(PP_Grid[#Data],$DD244,87),0)</f>
        <v/>
      </c>
      <c r="CL244">
        <f>IFERROR(INDEX(PP_Grid[#Data],$DD244,88),0)</f>
        <v/>
      </c>
      <c r="CM244">
        <f>IFERROR(INDEX(PP_Grid[#Data],$DD244,89),0)</f>
        <v/>
      </c>
      <c r="CN244">
        <f>IFERROR(INDEX(PP_Grid[#Data],$DD244,90),0)</f>
        <v/>
      </c>
      <c r="CO244">
        <f>IFERROR(INDEX(PP_Grid[#Data],$DD244,91),0)</f>
        <v/>
      </c>
      <c r="CP244">
        <f>IFERROR(INDEX(PP_Grid[#Data],$DD244,92),0)</f>
        <v/>
      </c>
      <c r="CQ244">
        <f>IFERROR(INDEX(PP_Grid[#Data],$DD244,93),0)</f>
        <v/>
      </c>
      <c r="CR244">
        <f>IFERROR(INDEX(PP_Grid[#Data],$DD244,94),0)</f>
        <v/>
      </c>
      <c r="CS244">
        <f>IFERROR(INDEX(PP_Grid[#Data],$DD244,95),0)</f>
        <v/>
      </c>
      <c r="CT244">
        <f>IFERROR(INDEX(PP_Grid[#Data],$DD244,96),0)</f>
        <v/>
      </c>
      <c r="CU244">
        <f>IFERROR(INDEX(PP_Grid[#Data],$DD244,97),0)</f>
        <v/>
      </c>
      <c r="CV244">
        <f>IFERROR(INDEX(PP_Grid[#Data],$DD244,98),0)</f>
        <v/>
      </c>
      <c r="CW244">
        <f>IFERROR(INDEX(PP_Grid[#Data],$DD244,99),0)</f>
        <v/>
      </c>
      <c r="CX244">
        <f>IFERROR(INDEX(PP_Grid[#Data],$DD244,100),0)</f>
        <v/>
      </c>
      <c r="CY244">
        <f>IFERROR(INDEX(PP_Grid[#Data],$DD244,101),0)</f>
        <v/>
      </c>
      <c r="CZ244">
        <f>IFERROR(INDEX(PP_Grid[#Data],$DD244,102),0)</f>
        <v/>
      </c>
      <c r="DA244">
        <f>IFERROR(INDEX(PP_Grid[#Data],$DD244,103),0)</f>
        <v/>
      </c>
      <c r="DB244">
        <f>IFERROR(INDEX(PP_Grid[#Data],$DD244,104),0)</f>
        <v/>
      </c>
      <c r="DC244">
        <f>IFERROR(INDEX(PP_Grid[#Data],$DD244,105),0)</f>
        <v/>
      </c>
      <c r="DD244" s="12">
        <f>IFERROR(MATCH($B244,PP_Grid[Intermediate],0),99999)</f>
        <v/>
      </c>
    </row>
    <row r="245">
      <c r="B245" t="inlineStr">
        <is>
          <t>使用量(kg)</t>
        </is>
      </c>
      <c r="C245">
        <f>SUMIFS(M_BOM[RM_Qty_Per_Batch],M_BOM[Intermediate],$B244,M_BOM[Part Name],$A239)</f>
        <v/>
      </c>
      <c r="D245">
        <f>$C245*D244</f>
        <v/>
      </c>
      <c r="E245">
        <f>$C245*E244</f>
        <v/>
      </c>
      <c r="F245">
        <f>$C245*F244</f>
        <v/>
      </c>
      <c r="G245">
        <f>$C245*G244</f>
        <v/>
      </c>
      <c r="H245">
        <f>$C245*H244</f>
        <v/>
      </c>
      <c r="I245">
        <f>$C245*I244</f>
        <v/>
      </c>
      <c r="J245">
        <f>$C245*J244</f>
        <v/>
      </c>
      <c r="K245">
        <f>$C245*K244</f>
        <v/>
      </c>
      <c r="L245">
        <f>$C245*L244</f>
        <v/>
      </c>
      <c r="M245">
        <f>$C245*M244</f>
        <v/>
      </c>
      <c r="N245">
        <f>$C245*N244</f>
        <v/>
      </c>
      <c r="O245">
        <f>$C245*O244</f>
        <v/>
      </c>
      <c r="P245">
        <f>$C245*P244</f>
        <v/>
      </c>
      <c r="Q245">
        <f>$C245*Q244</f>
        <v/>
      </c>
      <c r="R245">
        <f>$C245*R244</f>
        <v/>
      </c>
      <c r="S245">
        <f>$C245*S244</f>
        <v/>
      </c>
      <c r="T245">
        <f>$C245*T244</f>
        <v/>
      </c>
      <c r="U245">
        <f>$C245*U244</f>
        <v/>
      </c>
      <c r="V245">
        <f>$C245*V244</f>
        <v/>
      </c>
      <c r="W245">
        <f>$C245*W244</f>
        <v/>
      </c>
      <c r="X245">
        <f>$C245*X244</f>
        <v/>
      </c>
      <c r="Y245">
        <f>$C245*Y244</f>
        <v/>
      </c>
      <c r="Z245">
        <f>$C245*Z244</f>
        <v/>
      </c>
      <c r="AA245">
        <f>$C245*AA244</f>
        <v/>
      </c>
      <c r="AB245">
        <f>$C245*AB244</f>
        <v/>
      </c>
      <c r="AC245">
        <f>$C245*AC244</f>
        <v/>
      </c>
      <c r="AD245">
        <f>$C245*AD244</f>
        <v/>
      </c>
      <c r="AE245">
        <f>$C245*AE244</f>
        <v/>
      </c>
      <c r="AF245">
        <f>$C245*AF244</f>
        <v/>
      </c>
      <c r="AG245">
        <f>$C245*AG244</f>
        <v/>
      </c>
      <c r="AH245">
        <f>$C245*AH244</f>
        <v/>
      </c>
      <c r="AI245">
        <f>$C245*AI244</f>
        <v/>
      </c>
      <c r="AJ245">
        <f>$C245*AJ244</f>
        <v/>
      </c>
      <c r="AK245">
        <f>$C245*AK244</f>
        <v/>
      </c>
      <c r="AL245">
        <f>$C245*AL244</f>
        <v/>
      </c>
      <c r="AM245">
        <f>$C245*AM244</f>
        <v/>
      </c>
      <c r="AN245">
        <f>$C245*AN244</f>
        <v/>
      </c>
      <c r="AO245">
        <f>$C245*AO244</f>
        <v/>
      </c>
      <c r="AP245">
        <f>$C245*AP244</f>
        <v/>
      </c>
      <c r="AQ245">
        <f>$C245*AQ244</f>
        <v/>
      </c>
      <c r="AR245">
        <f>$C245*AR244</f>
        <v/>
      </c>
      <c r="AS245">
        <f>$C245*AS244</f>
        <v/>
      </c>
      <c r="AT245">
        <f>$C245*AT244</f>
        <v/>
      </c>
      <c r="AU245">
        <f>$C245*AU244</f>
        <v/>
      </c>
      <c r="AV245">
        <f>$C245*AV244</f>
        <v/>
      </c>
      <c r="AW245">
        <f>$C245*AW244</f>
        <v/>
      </c>
      <c r="AX245">
        <f>$C245*AX244</f>
        <v/>
      </c>
      <c r="AY245">
        <f>$C245*AY244</f>
        <v/>
      </c>
      <c r="AZ245">
        <f>$C245*AZ244</f>
        <v/>
      </c>
      <c r="BA245">
        <f>$C245*BA244</f>
        <v/>
      </c>
      <c r="BB245">
        <f>$C245*BB244</f>
        <v/>
      </c>
      <c r="BC245">
        <f>$C245*BC244</f>
        <v/>
      </c>
      <c r="BD245">
        <f>$C245*BD244</f>
        <v/>
      </c>
      <c r="BE245">
        <f>$C245*BE244</f>
        <v/>
      </c>
      <c r="BF245">
        <f>$C245*BF244</f>
        <v/>
      </c>
      <c r="BG245">
        <f>$C245*BG244</f>
        <v/>
      </c>
      <c r="BH245">
        <f>$C245*BH244</f>
        <v/>
      </c>
      <c r="BI245">
        <f>$C245*BI244</f>
        <v/>
      </c>
      <c r="BJ245">
        <f>$C245*BJ244</f>
        <v/>
      </c>
      <c r="BK245">
        <f>$C245*BK244</f>
        <v/>
      </c>
      <c r="BL245">
        <f>$C245*BL244</f>
        <v/>
      </c>
      <c r="BM245">
        <f>$C245*BM244</f>
        <v/>
      </c>
      <c r="BN245">
        <f>$C245*BN244</f>
        <v/>
      </c>
      <c r="BO245">
        <f>$C245*BO244</f>
        <v/>
      </c>
      <c r="BP245">
        <f>$C245*BP244</f>
        <v/>
      </c>
      <c r="BQ245">
        <f>$C245*BQ244</f>
        <v/>
      </c>
      <c r="BR245">
        <f>$C245*BR244</f>
        <v/>
      </c>
      <c r="BS245">
        <f>$C245*BS244</f>
        <v/>
      </c>
      <c r="BT245">
        <f>$C245*BT244</f>
        <v/>
      </c>
      <c r="BU245">
        <f>$C245*BU244</f>
        <v/>
      </c>
      <c r="BV245">
        <f>$C245*BV244</f>
        <v/>
      </c>
      <c r="BW245">
        <f>$C245*BW244</f>
        <v/>
      </c>
      <c r="BX245">
        <f>$C245*BX244</f>
        <v/>
      </c>
      <c r="BY245">
        <f>$C245*BY244</f>
        <v/>
      </c>
      <c r="BZ245">
        <f>$C245*BZ244</f>
        <v/>
      </c>
      <c r="CA245">
        <f>$C245*CA244</f>
        <v/>
      </c>
      <c r="CB245">
        <f>$C245*CB244</f>
        <v/>
      </c>
      <c r="CC245">
        <f>$C245*CC244</f>
        <v/>
      </c>
      <c r="CD245">
        <f>$C245*CD244</f>
        <v/>
      </c>
      <c r="CE245">
        <f>$C245*CE244</f>
        <v/>
      </c>
      <c r="CF245">
        <f>$C245*CF244</f>
        <v/>
      </c>
      <c r="CG245">
        <f>$C245*CG244</f>
        <v/>
      </c>
      <c r="CH245">
        <f>$C245*CH244</f>
        <v/>
      </c>
      <c r="CI245">
        <f>$C245*CI244</f>
        <v/>
      </c>
      <c r="CJ245">
        <f>$C245*CJ244</f>
        <v/>
      </c>
      <c r="CK245">
        <f>$C245*CK244</f>
        <v/>
      </c>
      <c r="CL245">
        <f>$C245*CL244</f>
        <v/>
      </c>
      <c r="CM245">
        <f>$C245*CM244</f>
        <v/>
      </c>
      <c r="CN245">
        <f>$C245*CN244</f>
        <v/>
      </c>
      <c r="CO245">
        <f>$C245*CO244</f>
        <v/>
      </c>
      <c r="CP245">
        <f>$C245*CP244</f>
        <v/>
      </c>
      <c r="CQ245">
        <f>$C245*CQ244</f>
        <v/>
      </c>
      <c r="CR245">
        <f>$C245*CR244</f>
        <v/>
      </c>
      <c r="CS245">
        <f>$C245*CS244</f>
        <v/>
      </c>
      <c r="CT245">
        <f>$C245*CT244</f>
        <v/>
      </c>
      <c r="CU245">
        <f>$C245*CU244</f>
        <v/>
      </c>
      <c r="CV245">
        <f>$C245*CV244</f>
        <v/>
      </c>
      <c r="CW245">
        <f>$C245*CW244</f>
        <v/>
      </c>
      <c r="CX245">
        <f>$C245*CX244</f>
        <v/>
      </c>
      <c r="CY245">
        <f>$C245*CY244</f>
        <v/>
      </c>
      <c r="CZ245">
        <f>$C245*CZ244</f>
        <v/>
      </c>
      <c r="DA245">
        <f>$C245*DA244</f>
        <v/>
      </c>
      <c r="DB245">
        <f>$C245*DB244</f>
        <v/>
      </c>
      <c r="DC245">
        <f>$C245*DC244</f>
        <v/>
      </c>
    </row>
    <row r="246">
      <c r="B246" t="inlineStr">
        <is>
          <t>TSP-1559</t>
        </is>
      </c>
      <c r="C246" t="inlineStr">
        <is>
          <t>No. of batches</t>
        </is>
      </c>
      <c r="D246">
        <f>IFERROR(INDEX(PP_Grid[#Data],$DD246,2),0)</f>
        <v/>
      </c>
      <c r="E246">
        <f>IFERROR(INDEX(PP_Grid[#Data],$DD246,3),0)</f>
        <v/>
      </c>
      <c r="F246">
        <f>IFERROR(INDEX(PP_Grid[#Data],$DD246,4),0)</f>
        <v/>
      </c>
      <c r="G246">
        <f>IFERROR(INDEX(PP_Grid[#Data],$DD246,5),0)</f>
        <v/>
      </c>
      <c r="H246">
        <f>IFERROR(INDEX(PP_Grid[#Data],$DD246,6),0)</f>
        <v/>
      </c>
      <c r="I246">
        <f>IFERROR(INDEX(PP_Grid[#Data],$DD246,7),0)</f>
        <v/>
      </c>
      <c r="J246">
        <f>IFERROR(INDEX(PP_Grid[#Data],$DD246,8),0)</f>
        <v/>
      </c>
      <c r="K246">
        <f>IFERROR(INDEX(PP_Grid[#Data],$DD246,9),0)</f>
        <v/>
      </c>
      <c r="L246">
        <f>IFERROR(INDEX(PP_Grid[#Data],$DD246,10),0)</f>
        <v/>
      </c>
      <c r="M246">
        <f>IFERROR(INDEX(PP_Grid[#Data],$DD246,11),0)</f>
        <v/>
      </c>
      <c r="N246">
        <f>IFERROR(INDEX(PP_Grid[#Data],$DD246,12),0)</f>
        <v/>
      </c>
      <c r="O246">
        <f>IFERROR(INDEX(PP_Grid[#Data],$DD246,13),0)</f>
        <v/>
      </c>
      <c r="P246">
        <f>IFERROR(INDEX(PP_Grid[#Data],$DD246,14),0)</f>
        <v/>
      </c>
      <c r="Q246">
        <f>IFERROR(INDEX(PP_Grid[#Data],$DD246,15),0)</f>
        <v/>
      </c>
      <c r="R246">
        <f>IFERROR(INDEX(PP_Grid[#Data],$DD246,16),0)</f>
        <v/>
      </c>
      <c r="S246">
        <f>IFERROR(INDEX(PP_Grid[#Data],$DD246,17),0)</f>
        <v/>
      </c>
      <c r="T246">
        <f>IFERROR(INDEX(PP_Grid[#Data],$DD246,18),0)</f>
        <v/>
      </c>
      <c r="U246">
        <f>IFERROR(INDEX(PP_Grid[#Data],$DD246,19),0)</f>
        <v/>
      </c>
      <c r="V246">
        <f>IFERROR(INDEX(PP_Grid[#Data],$DD246,20),0)</f>
        <v/>
      </c>
      <c r="W246">
        <f>IFERROR(INDEX(PP_Grid[#Data],$DD246,21),0)</f>
        <v/>
      </c>
      <c r="X246">
        <f>IFERROR(INDEX(PP_Grid[#Data],$DD246,22),0)</f>
        <v/>
      </c>
      <c r="Y246">
        <f>IFERROR(INDEX(PP_Grid[#Data],$DD246,23),0)</f>
        <v/>
      </c>
      <c r="Z246">
        <f>IFERROR(INDEX(PP_Grid[#Data],$DD246,24),0)</f>
        <v/>
      </c>
      <c r="AA246">
        <f>IFERROR(INDEX(PP_Grid[#Data],$DD246,25),0)</f>
        <v/>
      </c>
      <c r="AB246">
        <f>IFERROR(INDEX(PP_Grid[#Data],$DD246,26),0)</f>
        <v/>
      </c>
      <c r="AC246">
        <f>IFERROR(INDEX(PP_Grid[#Data],$DD246,27),0)</f>
        <v/>
      </c>
      <c r="AD246">
        <f>IFERROR(INDEX(PP_Grid[#Data],$DD246,28),0)</f>
        <v/>
      </c>
      <c r="AE246">
        <f>IFERROR(INDEX(PP_Grid[#Data],$DD246,29),0)</f>
        <v/>
      </c>
      <c r="AF246">
        <f>IFERROR(INDEX(PP_Grid[#Data],$DD246,30),0)</f>
        <v/>
      </c>
      <c r="AG246">
        <f>IFERROR(INDEX(PP_Grid[#Data],$DD246,31),0)</f>
        <v/>
      </c>
      <c r="AH246">
        <f>IFERROR(INDEX(PP_Grid[#Data],$DD246,32),0)</f>
        <v/>
      </c>
      <c r="AI246">
        <f>IFERROR(INDEX(PP_Grid[#Data],$DD246,33),0)</f>
        <v/>
      </c>
      <c r="AJ246">
        <f>IFERROR(INDEX(PP_Grid[#Data],$DD246,34),0)</f>
        <v/>
      </c>
      <c r="AK246">
        <f>IFERROR(INDEX(PP_Grid[#Data],$DD246,35),0)</f>
        <v/>
      </c>
      <c r="AL246">
        <f>IFERROR(INDEX(PP_Grid[#Data],$DD246,36),0)</f>
        <v/>
      </c>
      <c r="AM246">
        <f>IFERROR(INDEX(PP_Grid[#Data],$DD246,37),0)</f>
        <v/>
      </c>
      <c r="AN246">
        <f>IFERROR(INDEX(PP_Grid[#Data],$DD246,38),0)</f>
        <v/>
      </c>
      <c r="AO246">
        <f>IFERROR(INDEX(PP_Grid[#Data],$DD246,39),0)</f>
        <v/>
      </c>
      <c r="AP246">
        <f>IFERROR(INDEX(PP_Grid[#Data],$DD246,40),0)</f>
        <v/>
      </c>
      <c r="AQ246">
        <f>IFERROR(INDEX(PP_Grid[#Data],$DD246,41),0)</f>
        <v/>
      </c>
      <c r="AR246">
        <f>IFERROR(INDEX(PP_Grid[#Data],$DD246,42),0)</f>
        <v/>
      </c>
      <c r="AS246">
        <f>IFERROR(INDEX(PP_Grid[#Data],$DD246,43),0)</f>
        <v/>
      </c>
      <c r="AT246">
        <f>IFERROR(INDEX(PP_Grid[#Data],$DD246,44),0)</f>
        <v/>
      </c>
      <c r="AU246">
        <f>IFERROR(INDEX(PP_Grid[#Data],$DD246,45),0)</f>
        <v/>
      </c>
      <c r="AV246">
        <f>IFERROR(INDEX(PP_Grid[#Data],$DD246,46),0)</f>
        <v/>
      </c>
      <c r="AW246">
        <f>IFERROR(INDEX(PP_Grid[#Data],$DD246,47),0)</f>
        <v/>
      </c>
      <c r="AX246">
        <f>IFERROR(INDEX(PP_Grid[#Data],$DD246,48),0)</f>
        <v/>
      </c>
      <c r="AY246">
        <f>IFERROR(INDEX(PP_Grid[#Data],$DD246,49),0)</f>
        <v/>
      </c>
      <c r="AZ246">
        <f>IFERROR(INDEX(PP_Grid[#Data],$DD246,50),0)</f>
        <v/>
      </c>
      <c r="BA246">
        <f>IFERROR(INDEX(PP_Grid[#Data],$DD246,51),0)</f>
        <v/>
      </c>
      <c r="BB246">
        <f>IFERROR(INDEX(PP_Grid[#Data],$DD246,52),0)</f>
        <v/>
      </c>
      <c r="BC246">
        <f>IFERROR(INDEX(PP_Grid[#Data],$DD246,53),0)</f>
        <v/>
      </c>
      <c r="BD246">
        <f>IFERROR(INDEX(PP_Grid[#Data],$DD246,54),0)</f>
        <v/>
      </c>
      <c r="BE246">
        <f>IFERROR(INDEX(PP_Grid[#Data],$DD246,55),0)</f>
        <v/>
      </c>
      <c r="BF246">
        <f>IFERROR(INDEX(PP_Grid[#Data],$DD246,56),0)</f>
        <v/>
      </c>
      <c r="BG246">
        <f>IFERROR(INDEX(PP_Grid[#Data],$DD246,57),0)</f>
        <v/>
      </c>
      <c r="BH246">
        <f>IFERROR(INDEX(PP_Grid[#Data],$DD246,58),0)</f>
        <v/>
      </c>
      <c r="BI246">
        <f>IFERROR(INDEX(PP_Grid[#Data],$DD246,59),0)</f>
        <v/>
      </c>
      <c r="BJ246">
        <f>IFERROR(INDEX(PP_Grid[#Data],$DD246,60),0)</f>
        <v/>
      </c>
      <c r="BK246">
        <f>IFERROR(INDEX(PP_Grid[#Data],$DD246,61),0)</f>
        <v/>
      </c>
      <c r="BL246">
        <f>IFERROR(INDEX(PP_Grid[#Data],$DD246,62),0)</f>
        <v/>
      </c>
      <c r="BM246">
        <f>IFERROR(INDEX(PP_Grid[#Data],$DD246,63),0)</f>
        <v/>
      </c>
      <c r="BN246">
        <f>IFERROR(INDEX(PP_Grid[#Data],$DD246,64),0)</f>
        <v/>
      </c>
      <c r="BO246">
        <f>IFERROR(INDEX(PP_Grid[#Data],$DD246,65),0)</f>
        <v/>
      </c>
      <c r="BP246">
        <f>IFERROR(INDEX(PP_Grid[#Data],$DD246,66),0)</f>
        <v/>
      </c>
      <c r="BQ246">
        <f>IFERROR(INDEX(PP_Grid[#Data],$DD246,67),0)</f>
        <v/>
      </c>
      <c r="BR246">
        <f>IFERROR(INDEX(PP_Grid[#Data],$DD246,68),0)</f>
        <v/>
      </c>
      <c r="BS246">
        <f>IFERROR(INDEX(PP_Grid[#Data],$DD246,69),0)</f>
        <v/>
      </c>
      <c r="BT246">
        <f>IFERROR(INDEX(PP_Grid[#Data],$DD246,70),0)</f>
        <v/>
      </c>
      <c r="BU246">
        <f>IFERROR(INDEX(PP_Grid[#Data],$DD246,71),0)</f>
        <v/>
      </c>
      <c r="BV246">
        <f>IFERROR(INDEX(PP_Grid[#Data],$DD246,72),0)</f>
        <v/>
      </c>
      <c r="BW246">
        <f>IFERROR(INDEX(PP_Grid[#Data],$DD246,73),0)</f>
        <v/>
      </c>
      <c r="BX246">
        <f>IFERROR(INDEX(PP_Grid[#Data],$DD246,74),0)</f>
        <v/>
      </c>
      <c r="BY246">
        <f>IFERROR(INDEX(PP_Grid[#Data],$DD246,75),0)</f>
        <v/>
      </c>
      <c r="BZ246">
        <f>IFERROR(INDEX(PP_Grid[#Data],$DD246,76),0)</f>
        <v/>
      </c>
      <c r="CA246">
        <f>IFERROR(INDEX(PP_Grid[#Data],$DD246,77),0)</f>
        <v/>
      </c>
      <c r="CB246">
        <f>IFERROR(INDEX(PP_Grid[#Data],$DD246,78),0)</f>
        <v/>
      </c>
      <c r="CC246">
        <f>IFERROR(INDEX(PP_Grid[#Data],$DD246,79),0)</f>
        <v/>
      </c>
      <c r="CD246">
        <f>IFERROR(INDEX(PP_Grid[#Data],$DD246,80),0)</f>
        <v/>
      </c>
      <c r="CE246">
        <f>IFERROR(INDEX(PP_Grid[#Data],$DD246,81),0)</f>
        <v/>
      </c>
      <c r="CF246">
        <f>IFERROR(INDEX(PP_Grid[#Data],$DD246,82),0)</f>
        <v/>
      </c>
      <c r="CG246">
        <f>IFERROR(INDEX(PP_Grid[#Data],$DD246,83),0)</f>
        <v/>
      </c>
      <c r="CH246">
        <f>IFERROR(INDEX(PP_Grid[#Data],$DD246,84),0)</f>
        <v/>
      </c>
      <c r="CI246">
        <f>IFERROR(INDEX(PP_Grid[#Data],$DD246,85),0)</f>
        <v/>
      </c>
      <c r="CJ246">
        <f>IFERROR(INDEX(PP_Grid[#Data],$DD246,86),0)</f>
        <v/>
      </c>
      <c r="CK246">
        <f>IFERROR(INDEX(PP_Grid[#Data],$DD246,87),0)</f>
        <v/>
      </c>
      <c r="CL246">
        <f>IFERROR(INDEX(PP_Grid[#Data],$DD246,88),0)</f>
        <v/>
      </c>
      <c r="CM246">
        <f>IFERROR(INDEX(PP_Grid[#Data],$DD246,89),0)</f>
        <v/>
      </c>
      <c r="CN246">
        <f>IFERROR(INDEX(PP_Grid[#Data],$DD246,90),0)</f>
        <v/>
      </c>
      <c r="CO246">
        <f>IFERROR(INDEX(PP_Grid[#Data],$DD246,91),0)</f>
        <v/>
      </c>
      <c r="CP246">
        <f>IFERROR(INDEX(PP_Grid[#Data],$DD246,92),0)</f>
        <v/>
      </c>
      <c r="CQ246">
        <f>IFERROR(INDEX(PP_Grid[#Data],$DD246,93),0)</f>
        <v/>
      </c>
      <c r="CR246">
        <f>IFERROR(INDEX(PP_Grid[#Data],$DD246,94),0)</f>
        <v/>
      </c>
      <c r="CS246">
        <f>IFERROR(INDEX(PP_Grid[#Data],$DD246,95),0)</f>
        <v/>
      </c>
      <c r="CT246">
        <f>IFERROR(INDEX(PP_Grid[#Data],$DD246,96),0)</f>
        <v/>
      </c>
      <c r="CU246">
        <f>IFERROR(INDEX(PP_Grid[#Data],$DD246,97),0)</f>
        <v/>
      </c>
      <c r="CV246">
        <f>IFERROR(INDEX(PP_Grid[#Data],$DD246,98),0)</f>
        <v/>
      </c>
      <c r="CW246">
        <f>IFERROR(INDEX(PP_Grid[#Data],$DD246,99),0)</f>
        <v/>
      </c>
      <c r="CX246">
        <f>IFERROR(INDEX(PP_Grid[#Data],$DD246,100),0)</f>
        <v/>
      </c>
      <c r="CY246">
        <f>IFERROR(INDEX(PP_Grid[#Data],$DD246,101),0)</f>
        <v/>
      </c>
      <c r="CZ246">
        <f>IFERROR(INDEX(PP_Grid[#Data],$DD246,102),0)</f>
        <v/>
      </c>
      <c r="DA246">
        <f>IFERROR(INDEX(PP_Grid[#Data],$DD246,103),0)</f>
        <v/>
      </c>
      <c r="DB246">
        <f>IFERROR(INDEX(PP_Grid[#Data],$DD246,104),0)</f>
        <v/>
      </c>
      <c r="DC246">
        <f>IFERROR(INDEX(PP_Grid[#Data],$DD246,105),0)</f>
        <v/>
      </c>
      <c r="DD246" s="12">
        <f>IFERROR(MATCH($B246,PP_Grid[Intermediate],0),99999)</f>
        <v/>
      </c>
    </row>
    <row r="247">
      <c r="B247" t="inlineStr">
        <is>
          <t>使用量(kg)</t>
        </is>
      </c>
      <c r="C247">
        <f>SUMIFS(M_BOM[RM_Qty_Per_Batch],M_BOM[Intermediate],$B246,M_BOM[Part Name],$A239)</f>
        <v/>
      </c>
      <c r="D247">
        <f>$C247*D246</f>
        <v/>
      </c>
      <c r="E247">
        <f>$C247*E246</f>
        <v/>
      </c>
      <c r="F247">
        <f>$C247*F246</f>
        <v/>
      </c>
      <c r="G247">
        <f>$C247*G246</f>
        <v/>
      </c>
      <c r="H247">
        <f>$C247*H246</f>
        <v/>
      </c>
      <c r="I247">
        <f>$C247*I246</f>
        <v/>
      </c>
      <c r="J247">
        <f>$C247*J246</f>
        <v/>
      </c>
      <c r="K247">
        <f>$C247*K246</f>
        <v/>
      </c>
      <c r="L247">
        <f>$C247*L246</f>
        <v/>
      </c>
      <c r="M247">
        <f>$C247*M246</f>
        <v/>
      </c>
      <c r="N247">
        <f>$C247*N246</f>
        <v/>
      </c>
      <c r="O247">
        <f>$C247*O246</f>
        <v/>
      </c>
      <c r="P247">
        <f>$C247*P246</f>
        <v/>
      </c>
      <c r="Q247">
        <f>$C247*Q246</f>
        <v/>
      </c>
      <c r="R247">
        <f>$C247*R246</f>
        <v/>
      </c>
      <c r="S247">
        <f>$C247*S246</f>
        <v/>
      </c>
      <c r="T247">
        <f>$C247*T246</f>
        <v/>
      </c>
      <c r="U247">
        <f>$C247*U246</f>
        <v/>
      </c>
      <c r="V247">
        <f>$C247*V246</f>
        <v/>
      </c>
      <c r="W247">
        <f>$C247*W246</f>
        <v/>
      </c>
      <c r="X247">
        <f>$C247*X246</f>
        <v/>
      </c>
      <c r="Y247">
        <f>$C247*Y246</f>
        <v/>
      </c>
      <c r="Z247">
        <f>$C247*Z246</f>
        <v/>
      </c>
      <c r="AA247">
        <f>$C247*AA246</f>
        <v/>
      </c>
      <c r="AB247">
        <f>$C247*AB246</f>
        <v/>
      </c>
      <c r="AC247">
        <f>$C247*AC246</f>
        <v/>
      </c>
      <c r="AD247">
        <f>$C247*AD246</f>
        <v/>
      </c>
      <c r="AE247">
        <f>$C247*AE246</f>
        <v/>
      </c>
      <c r="AF247">
        <f>$C247*AF246</f>
        <v/>
      </c>
      <c r="AG247">
        <f>$C247*AG246</f>
        <v/>
      </c>
      <c r="AH247">
        <f>$C247*AH246</f>
        <v/>
      </c>
      <c r="AI247">
        <f>$C247*AI246</f>
        <v/>
      </c>
      <c r="AJ247">
        <f>$C247*AJ246</f>
        <v/>
      </c>
      <c r="AK247">
        <f>$C247*AK246</f>
        <v/>
      </c>
      <c r="AL247">
        <f>$C247*AL246</f>
        <v/>
      </c>
      <c r="AM247">
        <f>$C247*AM246</f>
        <v/>
      </c>
      <c r="AN247">
        <f>$C247*AN246</f>
        <v/>
      </c>
      <c r="AO247">
        <f>$C247*AO246</f>
        <v/>
      </c>
      <c r="AP247">
        <f>$C247*AP246</f>
        <v/>
      </c>
      <c r="AQ247">
        <f>$C247*AQ246</f>
        <v/>
      </c>
      <c r="AR247">
        <f>$C247*AR246</f>
        <v/>
      </c>
      <c r="AS247">
        <f>$C247*AS246</f>
        <v/>
      </c>
      <c r="AT247">
        <f>$C247*AT246</f>
        <v/>
      </c>
      <c r="AU247">
        <f>$C247*AU246</f>
        <v/>
      </c>
      <c r="AV247">
        <f>$C247*AV246</f>
        <v/>
      </c>
      <c r="AW247">
        <f>$C247*AW246</f>
        <v/>
      </c>
      <c r="AX247">
        <f>$C247*AX246</f>
        <v/>
      </c>
      <c r="AY247">
        <f>$C247*AY246</f>
        <v/>
      </c>
      <c r="AZ247">
        <f>$C247*AZ246</f>
        <v/>
      </c>
      <c r="BA247">
        <f>$C247*BA246</f>
        <v/>
      </c>
      <c r="BB247">
        <f>$C247*BB246</f>
        <v/>
      </c>
      <c r="BC247">
        <f>$C247*BC246</f>
        <v/>
      </c>
      <c r="BD247">
        <f>$C247*BD246</f>
        <v/>
      </c>
      <c r="BE247">
        <f>$C247*BE246</f>
        <v/>
      </c>
      <c r="BF247">
        <f>$C247*BF246</f>
        <v/>
      </c>
      <c r="BG247">
        <f>$C247*BG246</f>
        <v/>
      </c>
      <c r="BH247">
        <f>$C247*BH246</f>
        <v/>
      </c>
      <c r="BI247">
        <f>$C247*BI246</f>
        <v/>
      </c>
      <c r="BJ247">
        <f>$C247*BJ246</f>
        <v/>
      </c>
      <c r="BK247">
        <f>$C247*BK246</f>
        <v/>
      </c>
      <c r="BL247">
        <f>$C247*BL246</f>
        <v/>
      </c>
      <c r="BM247">
        <f>$C247*BM246</f>
        <v/>
      </c>
      <c r="BN247">
        <f>$C247*BN246</f>
        <v/>
      </c>
      <c r="BO247">
        <f>$C247*BO246</f>
        <v/>
      </c>
      <c r="BP247">
        <f>$C247*BP246</f>
        <v/>
      </c>
      <c r="BQ247">
        <f>$C247*BQ246</f>
        <v/>
      </c>
      <c r="BR247">
        <f>$C247*BR246</f>
        <v/>
      </c>
      <c r="BS247">
        <f>$C247*BS246</f>
        <v/>
      </c>
      <c r="BT247">
        <f>$C247*BT246</f>
        <v/>
      </c>
      <c r="BU247">
        <f>$C247*BU246</f>
        <v/>
      </c>
      <c r="BV247">
        <f>$C247*BV246</f>
        <v/>
      </c>
      <c r="BW247">
        <f>$C247*BW246</f>
        <v/>
      </c>
      <c r="BX247">
        <f>$C247*BX246</f>
        <v/>
      </c>
      <c r="BY247">
        <f>$C247*BY246</f>
        <v/>
      </c>
      <c r="BZ247">
        <f>$C247*BZ246</f>
        <v/>
      </c>
      <c r="CA247">
        <f>$C247*CA246</f>
        <v/>
      </c>
      <c r="CB247">
        <f>$C247*CB246</f>
        <v/>
      </c>
      <c r="CC247">
        <f>$C247*CC246</f>
        <v/>
      </c>
      <c r="CD247">
        <f>$C247*CD246</f>
        <v/>
      </c>
      <c r="CE247">
        <f>$C247*CE246</f>
        <v/>
      </c>
      <c r="CF247">
        <f>$C247*CF246</f>
        <v/>
      </c>
      <c r="CG247">
        <f>$C247*CG246</f>
        <v/>
      </c>
      <c r="CH247">
        <f>$C247*CH246</f>
        <v/>
      </c>
      <c r="CI247">
        <f>$C247*CI246</f>
        <v/>
      </c>
      <c r="CJ247">
        <f>$C247*CJ246</f>
        <v/>
      </c>
      <c r="CK247">
        <f>$C247*CK246</f>
        <v/>
      </c>
      <c r="CL247">
        <f>$C247*CL246</f>
        <v/>
      </c>
      <c r="CM247">
        <f>$C247*CM246</f>
        <v/>
      </c>
      <c r="CN247">
        <f>$C247*CN246</f>
        <v/>
      </c>
      <c r="CO247">
        <f>$C247*CO246</f>
        <v/>
      </c>
      <c r="CP247">
        <f>$C247*CP246</f>
        <v/>
      </c>
      <c r="CQ247">
        <f>$C247*CQ246</f>
        <v/>
      </c>
      <c r="CR247">
        <f>$C247*CR246</f>
        <v/>
      </c>
      <c r="CS247">
        <f>$C247*CS246</f>
        <v/>
      </c>
      <c r="CT247">
        <f>$C247*CT246</f>
        <v/>
      </c>
      <c r="CU247">
        <f>$C247*CU246</f>
        <v/>
      </c>
      <c r="CV247">
        <f>$C247*CV246</f>
        <v/>
      </c>
      <c r="CW247">
        <f>$C247*CW246</f>
        <v/>
      </c>
      <c r="CX247">
        <f>$C247*CX246</f>
        <v/>
      </c>
      <c r="CY247">
        <f>$C247*CY246</f>
        <v/>
      </c>
      <c r="CZ247">
        <f>$C247*CZ246</f>
        <v/>
      </c>
      <c r="DA247">
        <f>$C247*DA246</f>
        <v/>
      </c>
      <c r="DB247">
        <f>$C247*DB246</f>
        <v/>
      </c>
      <c r="DC247">
        <f>$C247*DC246</f>
        <v/>
      </c>
    </row>
    <row r="248">
      <c r="B248" t="inlineStr">
        <is>
          <t>TSP-224</t>
        </is>
      </c>
      <c r="C248" t="inlineStr">
        <is>
          <t>No. of batches</t>
        </is>
      </c>
      <c r="D248">
        <f>IFERROR(INDEX(PP_Grid[#Data],$DD248,2),0)</f>
        <v/>
      </c>
      <c r="E248">
        <f>IFERROR(INDEX(PP_Grid[#Data],$DD248,3),0)</f>
        <v/>
      </c>
      <c r="F248">
        <f>IFERROR(INDEX(PP_Grid[#Data],$DD248,4),0)</f>
        <v/>
      </c>
      <c r="G248">
        <f>IFERROR(INDEX(PP_Grid[#Data],$DD248,5),0)</f>
        <v/>
      </c>
      <c r="H248">
        <f>IFERROR(INDEX(PP_Grid[#Data],$DD248,6),0)</f>
        <v/>
      </c>
      <c r="I248">
        <f>IFERROR(INDEX(PP_Grid[#Data],$DD248,7),0)</f>
        <v/>
      </c>
      <c r="J248">
        <f>IFERROR(INDEX(PP_Grid[#Data],$DD248,8),0)</f>
        <v/>
      </c>
      <c r="K248">
        <f>IFERROR(INDEX(PP_Grid[#Data],$DD248,9),0)</f>
        <v/>
      </c>
      <c r="L248">
        <f>IFERROR(INDEX(PP_Grid[#Data],$DD248,10),0)</f>
        <v/>
      </c>
      <c r="M248">
        <f>IFERROR(INDEX(PP_Grid[#Data],$DD248,11),0)</f>
        <v/>
      </c>
      <c r="N248">
        <f>IFERROR(INDEX(PP_Grid[#Data],$DD248,12),0)</f>
        <v/>
      </c>
      <c r="O248">
        <f>IFERROR(INDEX(PP_Grid[#Data],$DD248,13),0)</f>
        <v/>
      </c>
      <c r="P248">
        <f>IFERROR(INDEX(PP_Grid[#Data],$DD248,14),0)</f>
        <v/>
      </c>
      <c r="Q248">
        <f>IFERROR(INDEX(PP_Grid[#Data],$DD248,15),0)</f>
        <v/>
      </c>
      <c r="R248">
        <f>IFERROR(INDEX(PP_Grid[#Data],$DD248,16),0)</f>
        <v/>
      </c>
      <c r="S248">
        <f>IFERROR(INDEX(PP_Grid[#Data],$DD248,17),0)</f>
        <v/>
      </c>
      <c r="T248">
        <f>IFERROR(INDEX(PP_Grid[#Data],$DD248,18),0)</f>
        <v/>
      </c>
      <c r="U248">
        <f>IFERROR(INDEX(PP_Grid[#Data],$DD248,19),0)</f>
        <v/>
      </c>
      <c r="V248">
        <f>IFERROR(INDEX(PP_Grid[#Data],$DD248,20),0)</f>
        <v/>
      </c>
      <c r="W248">
        <f>IFERROR(INDEX(PP_Grid[#Data],$DD248,21),0)</f>
        <v/>
      </c>
      <c r="X248">
        <f>IFERROR(INDEX(PP_Grid[#Data],$DD248,22),0)</f>
        <v/>
      </c>
      <c r="Y248">
        <f>IFERROR(INDEX(PP_Grid[#Data],$DD248,23),0)</f>
        <v/>
      </c>
      <c r="Z248">
        <f>IFERROR(INDEX(PP_Grid[#Data],$DD248,24),0)</f>
        <v/>
      </c>
      <c r="AA248">
        <f>IFERROR(INDEX(PP_Grid[#Data],$DD248,25),0)</f>
        <v/>
      </c>
      <c r="AB248">
        <f>IFERROR(INDEX(PP_Grid[#Data],$DD248,26),0)</f>
        <v/>
      </c>
      <c r="AC248">
        <f>IFERROR(INDEX(PP_Grid[#Data],$DD248,27),0)</f>
        <v/>
      </c>
      <c r="AD248">
        <f>IFERROR(INDEX(PP_Grid[#Data],$DD248,28),0)</f>
        <v/>
      </c>
      <c r="AE248">
        <f>IFERROR(INDEX(PP_Grid[#Data],$DD248,29),0)</f>
        <v/>
      </c>
      <c r="AF248">
        <f>IFERROR(INDEX(PP_Grid[#Data],$DD248,30),0)</f>
        <v/>
      </c>
      <c r="AG248">
        <f>IFERROR(INDEX(PP_Grid[#Data],$DD248,31),0)</f>
        <v/>
      </c>
      <c r="AH248">
        <f>IFERROR(INDEX(PP_Grid[#Data],$DD248,32),0)</f>
        <v/>
      </c>
      <c r="AI248">
        <f>IFERROR(INDEX(PP_Grid[#Data],$DD248,33),0)</f>
        <v/>
      </c>
      <c r="AJ248">
        <f>IFERROR(INDEX(PP_Grid[#Data],$DD248,34),0)</f>
        <v/>
      </c>
      <c r="AK248">
        <f>IFERROR(INDEX(PP_Grid[#Data],$DD248,35),0)</f>
        <v/>
      </c>
      <c r="AL248">
        <f>IFERROR(INDEX(PP_Grid[#Data],$DD248,36),0)</f>
        <v/>
      </c>
      <c r="AM248">
        <f>IFERROR(INDEX(PP_Grid[#Data],$DD248,37),0)</f>
        <v/>
      </c>
      <c r="AN248">
        <f>IFERROR(INDEX(PP_Grid[#Data],$DD248,38),0)</f>
        <v/>
      </c>
      <c r="AO248">
        <f>IFERROR(INDEX(PP_Grid[#Data],$DD248,39),0)</f>
        <v/>
      </c>
      <c r="AP248">
        <f>IFERROR(INDEX(PP_Grid[#Data],$DD248,40),0)</f>
        <v/>
      </c>
      <c r="AQ248">
        <f>IFERROR(INDEX(PP_Grid[#Data],$DD248,41),0)</f>
        <v/>
      </c>
      <c r="AR248">
        <f>IFERROR(INDEX(PP_Grid[#Data],$DD248,42),0)</f>
        <v/>
      </c>
      <c r="AS248">
        <f>IFERROR(INDEX(PP_Grid[#Data],$DD248,43),0)</f>
        <v/>
      </c>
      <c r="AT248">
        <f>IFERROR(INDEX(PP_Grid[#Data],$DD248,44),0)</f>
        <v/>
      </c>
      <c r="AU248">
        <f>IFERROR(INDEX(PP_Grid[#Data],$DD248,45),0)</f>
        <v/>
      </c>
      <c r="AV248">
        <f>IFERROR(INDEX(PP_Grid[#Data],$DD248,46),0)</f>
        <v/>
      </c>
      <c r="AW248">
        <f>IFERROR(INDEX(PP_Grid[#Data],$DD248,47),0)</f>
        <v/>
      </c>
      <c r="AX248">
        <f>IFERROR(INDEX(PP_Grid[#Data],$DD248,48),0)</f>
        <v/>
      </c>
      <c r="AY248">
        <f>IFERROR(INDEX(PP_Grid[#Data],$DD248,49),0)</f>
        <v/>
      </c>
      <c r="AZ248">
        <f>IFERROR(INDEX(PP_Grid[#Data],$DD248,50),0)</f>
        <v/>
      </c>
      <c r="BA248">
        <f>IFERROR(INDEX(PP_Grid[#Data],$DD248,51),0)</f>
        <v/>
      </c>
      <c r="BB248">
        <f>IFERROR(INDEX(PP_Grid[#Data],$DD248,52),0)</f>
        <v/>
      </c>
      <c r="BC248">
        <f>IFERROR(INDEX(PP_Grid[#Data],$DD248,53),0)</f>
        <v/>
      </c>
      <c r="BD248">
        <f>IFERROR(INDEX(PP_Grid[#Data],$DD248,54),0)</f>
        <v/>
      </c>
      <c r="BE248">
        <f>IFERROR(INDEX(PP_Grid[#Data],$DD248,55),0)</f>
        <v/>
      </c>
      <c r="BF248">
        <f>IFERROR(INDEX(PP_Grid[#Data],$DD248,56),0)</f>
        <v/>
      </c>
      <c r="BG248">
        <f>IFERROR(INDEX(PP_Grid[#Data],$DD248,57),0)</f>
        <v/>
      </c>
      <c r="BH248">
        <f>IFERROR(INDEX(PP_Grid[#Data],$DD248,58),0)</f>
        <v/>
      </c>
      <c r="BI248">
        <f>IFERROR(INDEX(PP_Grid[#Data],$DD248,59),0)</f>
        <v/>
      </c>
      <c r="BJ248">
        <f>IFERROR(INDEX(PP_Grid[#Data],$DD248,60),0)</f>
        <v/>
      </c>
      <c r="BK248">
        <f>IFERROR(INDEX(PP_Grid[#Data],$DD248,61),0)</f>
        <v/>
      </c>
      <c r="BL248">
        <f>IFERROR(INDEX(PP_Grid[#Data],$DD248,62),0)</f>
        <v/>
      </c>
      <c r="BM248">
        <f>IFERROR(INDEX(PP_Grid[#Data],$DD248,63),0)</f>
        <v/>
      </c>
      <c r="BN248">
        <f>IFERROR(INDEX(PP_Grid[#Data],$DD248,64),0)</f>
        <v/>
      </c>
      <c r="BO248">
        <f>IFERROR(INDEX(PP_Grid[#Data],$DD248,65),0)</f>
        <v/>
      </c>
      <c r="BP248">
        <f>IFERROR(INDEX(PP_Grid[#Data],$DD248,66),0)</f>
        <v/>
      </c>
      <c r="BQ248">
        <f>IFERROR(INDEX(PP_Grid[#Data],$DD248,67),0)</f>
        <v/>
      </c>
      <c r="BR248">
        <f>IFERROR(INDEX(PP_Grid[#Data],$DD248,68),0)</f>
        <v/>
      </c>
      <c r="BS248">
        <f>IFERROR(INDEX(PP_Grid[#Data],$DD248,69),0)</f>
        <v/>
      </c>
      <c r="BT248">
        <f>IFERROR(INDEX(PP_Grid[#Data],$DD248,70),0)</f>
        <v/>
      </c>
      <c r="BU248">
        <f>IFERROR(INDEX(PP_Grid[#Data],$DD248,71),0)</f>
        <v/>
      </c>
      <c r="BV248">
        <f>IFERROR(INDEX(PP_Grid[#Data],$DD248,72),0)</f>
        <v/>
      </c>
      <c r="BW248">
        <f>IFERROR(INDEX(PP_Grid[#Data],$DD248,73),0)</f>
        <v/>
      </c>
      <c r="BX248">
        <f>IFERROR(INDEX(PP_Grid[#Data],$DD248,74),0)</f>
        <v/>
      </c>
      <c r="BY248">
        <f>IFERROR(INDEX(PP_Grid[#Data],$DD248,75),0)</f>
        <v/>
      </c>
      <c r="BZ248">
        <f>IFERROR(INDEX(PP_Grid[#Data],$DD248,76),0)</f>
        <v/>
      </c>
      <c r="CA248">
        <f>IFERROR(INDEX(PP_Grid[#Data],$DD248,77),0)</f>
        <v/>
      </c>
      <c r="CB248">
        <f>IFERROR(INDEX(PP_Grid[#Data],$DD248,78),0)</f>
        <v/>
      </c>
      <c r="CC248">
        <f>IFERROR(INDEX(PP_Grid[#Data],$DD248,79),0)</f>
        <v/>
      </c>
      <c r="CD248">
        <f>IFERROR(INDEX(PP_Grid[#Data],$DD248,80),0)</f>
        <v/>
      </c>
      <c r="CE248">
        <f>IFERROR(INDEX(PP_Grid[#Data],$DD248,81),0)</f>
        <v/>
      </c>
      <c r="CF248">
        <f>IFERROR(INDEX(PP_Grid[#Data],$DD248,82),0)</f>
        <v/>
      </c>
      <c r="CG248">
        <f>IFERROR(INDEX(PP_Grid[#Data],$DD248,83),0)</f>
        <v/>
      </c>
      <c r="CH248">
        <f>IFERROR(INDEX(PP_Grid[#Data],$DD248,84),0)</f>
        <v/>
      </c>
      <c r="CI248">
        <f>IFERROR(INDEX(PP_Grid[#Data],$DD248,85),0)</f>
        <v/>
      </c>
      <c r="CJ248">
        <f>IFERROR(INDEX(PP_Grid[#Data],$DD248,86),0)</f>
        <v/>
      </c>
      <c r="CK248">
        <f>IFERROR(INDEX(PP_Grid[#Data],$DD248,87),0)</f>
        <v/>
      </c>
      <c r="CL248">
        <f>IFERROR(INDEX(PP_Grid[#Data],$DD248,88),0)</f>
        <v/>
      </c>
      <c r="CM248">
        <f>IFERROR(INDEX(PP_Grid[#Data],$DD248,89),0)</f>
        <v/>
      </c>
      <c r="CN248">
        <f>IFERROR(INDEX(PP_Grid[#Data],$DD248,90),0)</f>
        <v/>
      </c>
      <c r="CO248">
        <f>IFERROR(INDEX(PP_Grid[#Data],$DD248,91),0)</f>
        <v/>
      </c>
      <c r="CP248">
        <f>IFERROR(INDEX(PP_Grid[#Data],$DD248,92),0)</f>
        <v/>
      </c>
      <c r="CQ248">
        <f>IFERROR(INDEX(PP_Grid[#Data],$DD248,93),0)</f>
        <v/>
      </c>
      <c r="CR248">
        <f>IFERROR(INDEX(PP_Grid[#Data],$DD248,94),0)</f>
        <v/>
      </c>
      <c r="CS248">
        <f>IFERROR(INDEX(PP_Grid[#Data],$DD248,95),0)</f>
        <v/>
      </c>
      <c r="CT248">
        <f>IFERROR(INDEX(PP_Grid[#Data],$DD248,96),0)</f>
        <v/>
      </c>
      <c r="CU248">
        <f>IFERROR(INDEX(PP_Grid[#Data],$DD248,97),0)</f>
        <v/>
      </c>
      <c r="CV248">
        <f>IFERROR(INDEX(PP_Grid[#Data],$DD248,98),0)</f>
        <v/>
      </c>
      <c r="CW248">
        <f>IFERROR(INDEX(PP_Grid[#Data],$DD248,99),0)</f>
        <v/>
      </c>
      <c r="CX248">
        <f>IFERROR(INDEX(PP_Grid[#Data],$DD248,100),0)</f>
        <v/>
      </c>
      <c r="CY248">
        <f>IFERROR(INDEX(PP_Grid[#Data],$DD248,101),0)</f>
        <v/>
      </c>
      <c r="CZ248">
        <f>IFERROR(INDEX(PP_Grid[#Data],$DD248,102),0)</f>
        <v/>
      </c>
      <c r="DA248">
        <f>IFERROR(INDEX(PP_Grid[#Data],$DD248,103),0)</f>
        <v/>
      </c>
      <c r="DB248">
        <f>IFERROR(INDEX(PP_Grid[#Data],$DD248,104),0)</f>
        <v/>
      </c>
      <c r="DC248">
        <f>IFERROR(INDEX(PP_Grid[#Data],$DD248,105),0)</f>
        <v/>
      </c>
      <c r="DD248" s="12">
        <f>IFERROR(MATCH($B248,PP_Grid[Intermediate],0),99999)</f>
        <v/>
      </c>
    </row>
    <row r="249">
      <c r="B249" t="inlineStr">
        <is>
          <t>使用量(kg)</t>
        </is>
      </c>
      <c r="C249">
        <f>SUMIFS(M_BOM[RM_Qty_Per_Batch],M_BOM[Intermediate],$B248,M_BOM[Part Name],$A239)</f>
        <v/>
      </c>
      <c r="D249">
        <f>$C249*D248</f>
        <v/>
      </c>
      <c r="E249">
        <f>$C249*E248</f>
        <v/>
      </c>
      <c r="F249">
        <f>$C249*F248</f>
        <v/>
      </c>
      <c r="G249">
        <f>$C249*G248</f>
        <v/>
      </c>
      <c r="H249">
        <f>$C249*H248</f>
        <v/>
      </c>
      <c r="I249">
        <f>$C249*I248</f>
        <v/>
      </c>
      <c r="J249">
        <f>$C249*J248</f>
        <v/>
      </c>
      <c r="K249">
        <f>$C249*K248</f>
        <v/>
      </c>
      <c r="L249">
        <f>$C249*L248</f>
        <v/>
      </c>
      <c r="M249">
        <f>$C249*M248</f>
        <v/>
      </c>
      <c r="N249">
        <f>$C249*N248</f>
        <v/>
      </c>
      <c r="O249">
        <f>$C249*O248</f>
        <v/>
      </c>
      <c r="P249">
        <f>$C249*P248</f>
        <v/>
      </c>
      <c r="Q249">
        <f>$C249*Q248</f>
        <v/>
      </c>
      <c r="R249">
        <f>$C249*R248</f>
        <v/>
      </c>
      <c r="S249">
        <f>$C249*S248</f>
        <v/>
      </c>
      <c r="T249">
        <f>$C249*T248</f>
        <v/>
      </c>
      <c r="U249">
        <f>$C249*U248</f>
        <v/>
      </c>
      <c r="V249">
        <f>$C249*V248</f>
        <v/>
      </c>
      <c r="W249">
        <f>$C249*W248</f>
        <v/>
      </c>
      <c r="X249">
        <f>$C249*X248</f>
        <v/>
      </c>
      <c r="Y249">
        <f>$C249*Y248</f>
        <v/>
      </c>
      <c r="Z249">
        <f>$C249*Z248</f>
        <v/>
      </c>
      <c r="AA249">
        <f>$C249*AA248</f>
        <v/>
      </c>
      <c r="AB249">
        <f>$C249*AB248</f>
        <v/>
      </c>
      <c r="AC249">
        <f>$C249*AC248</f>
        <v/>
      </c>
      <c r="AD249">
        <f>$C249*AD248</f>
        <v/>
      </c>
      <c r="AE249">
        <f>$C249*AE248</f>
        <v/>
      </c>
      <c r="AF249">
        <f>$C249*AF248</f>
        <v/>
      </c>
      <c r="AG249">
        <f>$C249*AG248</f>
        <v/>
      </c>
      <c r="AH249">
        <f>$C249*AH248</f>
        <v/>
      </c>
      <c r="AI249">
        <f>$C249*AI248</f>
        <v/>
      </c>
      <c r="AJ249">
        <f>$C249*AJ248</f>
        <v/>
      </c>
      <c r="AK249">
        <f>$C249*AK248</f>
        <v/>
      </c>
      <c r="AL249">
        <f>$C249*AL248</f>
        <v/>
      </c>
      <c r="AM249">
        <f>$C249*AM248</f>
        <v/>
      </c>
      <c r="AN249">
        <f>$C249*AN248</f>
        <v/>
      </c>
      <c r="AO249">
        <f>$C249*AO248</f>
        <v/>
      </c>
      <c r="AP249">
        <f>$C249*AP248</f>
        <v/>
      </c>
      <c r="AQ249">
        <f>$C249*AQ248</f>
        <v/>
      </c>
      <c r="AR249">
        <f>$C249*AR248</f>
        <v/>
      </c>
      <c r="AS249">
        <f>$C249*AS248</f>
        <v/>
      </c>
      <c r="AT249">
        <f>$C249*AT248</f>
        <v/>
      </c>
      <c r="AU249">
        <f>$C249*AU248</f>
        <v/>
      </c>
      <c r="AV249">
        <f>$C249*AV248</f>
        <v/>
      </c>
      <c r="AW249">
        <f>$C249*AW248</f>
        <v/>
      </c>
      <c r="AX249">
        <f>$C249*AX248</f>
        <v/>
      </c>
      <c r="AY249">
        <f>$C249*AY248</f>
        <v/>
      </c>
      <c r="AZ249">
        <f>$C249*AZ248</f>
        <v/>
      </c>
      <c r="BA249">
        <f>$C249*BA248</f>
        <v/>
      </c>
      <c r="BB249">
        <f>$C249*BB248</f>
        <v/>
      </c>
      <c r="BC249">
        <f>$C249*BC248</f>
        <v/>
      </c>
      <c r="BD249">
        <f>$C249*BD248</f>
        <v/>
      </c>
      <c r="BE249">
        <f>$C249*BE248</f>
        <v/>
      </c>
      <c r="BF249">
        <f>$C249*BF248</f>
        <v/>
      </c>
      <c r="BG249">
        <f>$C249*BG248</f>
        <v/>
      </c>
      <c r="BH249">
        <f>$C249*BH248</f>
        <v/>
      </c>
      <c r="BI249">
        <f>$C249*BI248</f>
        <v/>
      </c>
      <c r="BJ249">
        <f>$C249*BJ248</f>
        <v/>
      </c>
      <c r="BK249">
        <f>$C249*BK248</f>
        <v/>
      </c>
      <c r="BL249">
        <f>$C249*BL248</f>
        <v/>
      </c>
      <c r="BM249">
        <f>$C249*BM248</f>
        <v/>
      </c>
      <c r="BN249">
        <f>$C249*BN248</f>
        <v/>
      </c>
      <c r="BO249">
        <f>$C249*BO248</f>
        <v/>
      </c>
      <c r="BP249">
        <f>$C249*BP248</f>
        <v/>
      </c>
      <c r="BQ249">
        <f>$C249*BQ248</f>
        <v/>
      </c>
      <c r="BR249">
        <f>$C249*BR248</f>
        <v/>
      </c>
      <c r="BS249">
        <f>$C249*BS248</f>
        <v/>
      </c>
      <c r="BT249">
        <f>$C249*BT248</f>
        <v/>
      </c>
      <c r="BU249">
        <f>$C249*BU248</f>
        <v/>
      </c>
      <c r="BV249">
        <f>$C249*BV248</f>
        <v/>
      </c>
      <c r="BW249">
        <f>$C249*BW248</f>
        <v/>
      </c>
      <c r="BX249">
        <f>$C249*BX248</f>
        <v/>
      </c>
      <c r="BY249">
        <f>$C249*BY248</f>
        <v/>
      </c>
      <c r="BZ249">
        <f>$C249*BZ248</f>
        <v/>
      </c>
      <c r="CA249">
        <f>$C249*CA248</f>
        <v/>
      </c>
      <c r="CB249">
        <f>$C249*CB248</f>
        <v/>
      </c>
      <c r="CC249">
        <f>$C249*CC248</f>
        <v/>
      </c>
      <c r="CD249">
        <f>$C249*CD248</f>
        <v/>
      </c>
      <c r="CE249">
        <f>$C249*CE248</f>
        <v/>
      </c>
      <c r="CF249">
        <f>$C249*CF248</f>
        <v/>
      </c>
      <c r="CG249">
        <f>$C249*CG248</f>
        <v/>
      </c>
      <c r="CH249">
        <f>$C249*CH248</f>
        <v/>
      </c>
      <c r="CI249">
        <f>$C249*CI248</f>
        <v/>
      </c>
      <c r="CJ249">
        <f>$C249*CJ248</f>
        <v/>
      </c>
      <c r="CK249">
        <f>$C249*CK248</f>
        <v/>
      </c>
      <c r="CL249">
        <f>$C249*CL248</f>
        <v/>
      </c>
      <c r="CM249">
        <f>$C249*CM248</f>
        <v/>
      </c>
      <c r="CN249">
        <f>$C249*CN248</f>
        <v/>
      </c>
      <c r="CO249">
        <f>$C249*CO248</f>
        <v/>
      </c>
      <c r="CP249">
        <f>$C249*CP248</f>
        <v/>
      </c>
      <c r="CQ249">
        <f>$C249*CQ248</f>
        <v/>
      </c>
      <c r="CR249">
        <f>$C249*CR248</f>
        <v/>
      </c>
      <c r="CS249">
        <f>$C249*CS248</f>
        <v/>
      </c>
      <c r="CT249">
        <f>$C249*CT248</f>
        <v/>
      </c>
      <c r="CU249">
        <f>$C249*CU248</f>
        <v/>
      </c>
      <c r="CV249">
        <f>$C249*CV248</f>
        <v/>
      </c>
      <c r="CW249">
        <f>$C249*CW248</f>
        <v/>
      </c>
      <c r="CX249">
        <f>$C249*CX248</f>
        <v/>
      </c>
      <c r="CY249">
        <f>$C249*CY248</f>
        <v/>
      </c>
      <c r="CZ249">
        <f>$C249*CZ248</f>
        <v/>
      </c>
      <c r="DA249">
        <f>$C249*DA248</f>
        <v/>
      </c>
      <c r="DB249">
        <f>$C249*DB248</f>
        <v/>
      </c>
      <c r="DC249">
        <f>$C249*DC248</f>
        <v/>
      </c>
    </row>
    <row r="250">
      <c r="B250" t="inlineStr">
        <is>
          <t>TSP-668</t>
        </is>
      </c>
      <c r="C250" t="inlineStr">
        <is>
          <t>No. of batches</t>
        </is>
      </c>
      <c r="D250">
        <f>IFERROR(INDEX(PP_Grid[#Data],$DD250,2),0)</f>
        <v/>
      </c>
      <c r="E250">
        <f>IFERROR(INDEX(PP_Grid[#Data],$DD250,3),0)</f>
        <v/>
      </c>
      <c r="F250">
        <f>IFERROR(INDEX(PP_Grid[#Data],$DD250,4),0)</f>
        <v/>
      </c>
      <c r="G250">
        <f>IFERROR(INDEX(PP_Grid[#Data],$DD250,5),0)</f>
        <v/>
      </c>
      <c r="H250">
        <f>IFERROR(INDEX(PP_Grid[#Data],$DD250,6),0)</f>
        <v/>
      </c>
      <c r="I250">
        <f>IFERROR(INDEX(PP_Grid[#Data],$DD250,7),0)</f>
        <v/>
      </c>
      <c r="J250">
        <f>IFERROR(INDEX(PP_Grid[#Data],$DD250,8),0)</f>
        <v/>
      </c>
      <c r="K250">
        <f>IFERROR(INDEX(PP_Grid[#Data],$DD250,9),0)</f>
        <v/>
      </c>
      <c r="L250">
        <f>IFERROR(INDEX(PP_Grid[#Data],$DD250,10),0)</f>
        <v/>
      </c>
      <c r="M250">
        <f>IFERROR(INDEX(PP_Grid[#Data],$DD250,11),0)</f>
        <v/>
      </c>
      <c r="N250">
        <f>IFERROR(INDEX(PP_Grid[#Data],$DD250,12),0)</f>
        <v/>
      </c>
      <c r="O250">
        <f>IFERROR(INDEX(PP_Grid[#Data],$DD250,13),0)</f>
        <v/>
      </c>
      <c r="P250">
        <f>IFERROR(INDEX(PP_Grid[#Data],$DD250,14),0)</f>
        <v/>
      </c>
      <c r="Q250">
        <f>IFERROR(INDEX(PP_Grid[#Data],$DD250,15),0)</f>
        <v/>
      </c>
      <c r="R250">
        <f>IFERROR(INDEX(PP_Grid[#Data],$DD250,16),0)</f>
        <v/>
      </c>
      <c r="S250">
        <f>IFERROR(INDEX(PP_Grid[#Data],$DD250,17),0)</f>
        <v/>
      </c>
      <c r="T250">
        <f>IFERROR(INDEX(PP_Grid[#Data],$DD250,18),0)</f>
        <v/>
      </c>
      <c r="U250">
        <f>IFERROR(INDEX(PP_Grid[#Data],$DD250,19),0)</f>
        <v/>
      </c>
      <c r="V250">
        <f>IFERROR(INDEX(PP_Grid[#Data],$DD250,20),0)</f>
        <v/>
      </c>
      <c r="W250">
        <f>IFERROR(INDEX(PP_Grid[#Data],$DD250,21),0)</f>
        <v/>
      </c>
      <c r="X250">
        <f>IFERROR(INDEX(PP_Grid[#Data],$DD250,22),0)</f>
        <v/>
      </c>
      <c r="Y250">
        <f>IFERROR(INDEX(PP_Grid[#Data],$DD250,23),0)</f>
        <v/>
      </c>
      <c r="Z250">
        <f>IFERROR(INDEX(PP_Grid[#Data],$DD250,24),0)</f>
        <v/>
      </c>
      <c r="AA250">
        <f>IFERROR(INDEX(PP_Grid[#Data],$DD250,25),0)</f>
        <v/>
      </c>
      <c r="AB250">
        <f>IFERROR(INDEX(PP_Grid[#Data],$DD250,26),0)</f>
        <v/>
      </c>
      <c r="AC250">
        <f>IFERROR(INDEX(PP_Grid[#Data],$DD250,27),0)</f>
        <v/>
      </c>
      <c r="AD250">
        <f>IFERROR(INDEX(PP_Grid[#Data],$DD250,28),0)</f>
        <v/>
      </c>
      <c r="AE250">
        <f>IFERROR(INDEX(PP_Grid[#Data],$DD250,29),0)</f>
        <v/>
      </c>
      <c r="AF250">
        <f>IFERROR(INDEX(PP_Grid[#Data],$DD250,30),0)</f>
        <v/>
      </c>
      <c r="AG250">
        <f>IFERROR(INDEX(PP_Grid[#Data],$DD250,31),0)</f>
        <v/>
      </c>
      <c r="AH250">
        <f>IFERROR(INDEX(PP_Grid[#Data],$DD250,32),0)</f>
        <v/>
      </c>
      <c r="AI250">
        <f>IFERROR(INDEX(PP_Grid[#Data],$DD250,33),0)</f>
        <v/>
      </c>
      <c r="AJ250">
        <f>IFERROR(INDEX(PP_Grid[#Data],$DD250,34),0)</f>
        <v/>
      </c>
      <c r="AK250">
        <f>IFERROR(INDEX(PP_Grid[#Data],$DD250,35),0)</f>
        <v/>
      </c>
      <c r="AL250">
        <f>IFERROR(INDEX(PP_Grid[#Data],$DD250,36),0)</f>
        <v/>
      </c>
      <c r="AM250">
        <f>IFERROR(INDEX(PP_Grid[#Data],$DD250,37),0)</f>
        <v/>
      </c>
      <c r="AN250">
        <f>IFERROR(INDEX(PP_Grid[#Data],$DD250,38),0)</f>
        <v/>
      </c>
      <c r="AO250">
        <f>IFERROR(INDEX(PP_Grid[#Data],$DD250,39),0)</f>
        <v/>
      </c>
      <c r="AP250">
        <f>IFERROR(INDEX(PP_Grid[#Data],$DD250,40),0)</f>
        <v/>
      </c>
      <c r="AQ250">
        <f>IFERROR(INDEX(PP_Grid[#Data],$DD250,41),0)</f>
        <v/>
      </c>
      <c r="AR250">
        <f>IFERROR(INDEX(PP_Grid[#Data],$DD250,42),0)</f>
        <v/>
      </c>
      <c r="AS250">
        <f>IFERROR(INDEX(PP_Grid[#Data],$DD250,43),0)</f>
        <v/>
      </c>
      <c r="AT250">
        <f>IFERROR(INDEX(PP_Grid[#Data],$DD250,44),0)</f>
        <v/>
      </c>
      <c r="AU250">
        <f>IFERROR(INDEX(PP_Grid[#Data],$DD250,45),0)</f>
        <v/>
      </c>
      <c r="AV250">
        <f>IFERROR(INDEX(PP_Grid[#Data],$DD250,46),0)</f>
        <v/>
      </c>
      <c r="AW250">
        <f>IFERROR(INDEX(PP_Grid[#Data],$DD250,47),0)</f>
        <v/>
      </c>
      <c r="AX250">
        <f>IFERROR(INDEX(PP_Grid[#Data],$DD250,48),0)</f>
        <v/>
      </c>
      <c r="AY250">
        <f>IFERROR(INDEX(PP_Grid[#Data],$DD250,49),0)</f>
        <v/>
      </c>
      <c r="AZ250">
        <f>IFERROR(INDEX(PP_Grid[#Data],$DD250,50),0)</f>
        <v/>
      </c>
      <c r="BA250">
        <f>IFERROR(INDEX(PP_Grid[#Data],$DD250,51),0)</f>
        <v/>
      </c>
      <c r="BB250">
        <f>IFERROR(INDEX(PP_Grid[#Data],$DD250,52),0)</f>
        <v/>
      </c>
      <c r="BC250">
        <f>IFERROR(INDEX(PP_Grid[#Data],$DD250,53),0)</f>
        <v/>
      </c>
      <c r="BD250">
        <f>IFERROR(INDEX(PP_Grid[#Data],$DD250,54),0)</f>
        <v/>
      </c>
      <c r="BE250">
        <f>IFERROR(INDEX(PP_Grid[#Data],$DD250,55),0)</f>
        <v/>
      </c>
      <c r="BF250">
        <f>IFERROR(INDEX(PP_Grid[#Data],$DD250,56),0)</f>
        <v/>
      </c>
      <c r="BG250">
        <f>IFERROR(INDEX(PP_Grid[#Data],$DD250,57),0)</f>
        <v/>
      </c>
      <c r="BH250">
        <f>IFERROR(INDEX(PP_Grid[#Data],$DD250,58),0)</f>
        <v/>
      </c>
      <c r="BI250">
        <f>IFERROR(INDEX(PP_Grid[#Data],$DD250,59),0)</f>
        <v/>
      </c>
      <c r="BJ250">
        <f>IFERROR(INDEX(PP_Grid[#Data],$DD250,60),0)</f>
        <v/>
      </c>
      <c r="BK250">
        <f>IFERROR(INDEX(PP_Grid[#Data],$DD250,61),0)</f>
        <v/>
      </c>
      <c r="BL250">
        <f>IFERROR(INDEX(PP_Grid[#Data],$DD250,62),0)</f>
        <v/>
      </c>
      <c r="BM250">
        <f>IFERROR(INDEX(PP_Grid[#Data],$DD250,63),0)</f>
        <v/>
      </c>
      <c r="BN250">
        <f>IFERROR(INDEX(PP_Grid[#Data],$DD250,64),0)</f>
        <v/>
      </c>
      <c r="BO250">
        <f>IFERROR(INDEX(PP_Grid[#Data],$DD250,65),0)</f>
        <v/>
      </c>
      <c r="BP250">
        <f>IFERROR(INDEX(PP_Grid[#Data],$DD250,66),0)</f>
        <v/>
      </c>
      <c r="BQ250">
        <f>IFERROR(INDEX(PP_Grid[#Data],$DD250,67),0)</f>
        <v/>
      </c>
      <c r="BR250">
        <f>IFERROR(INDEX(PP_Grid[#Data],$DD250,68),0)</f>
        <v/>
      </c>
      <c r="BS250">
        <f>IFERROR(INDEX(PP_Grid[#Data],$DD250,69),0)</f>
        <v/>
      </c>
      <c r="BT250">
        <f>IFERROR(INDEX(PP_Grid[#Data],$DD250,70),0)</f>
        <v/>
      </c>
      <c r="BU250">
        <f>IFERROR(INDEX(PP_Grid[#Data],$DD250,71),0)</f>
        <v/>
      </c>
      <c r="BV250">
        <f>IFERROR(INDEX(PP_Grid[#Data],$DD250,72),0)</f>
        <v/>
      </c>
      <c r="BW250">
        <f>IFERROR(INDEX(PP_Grid[#Data],$DD250,73),0)</f>
        <v/>
      </c>
      <c r="BX250">
        <f>IFERROR(INDEX(PP_Grid[#Data],$DD250,74),0)</f>
        <v/>
      </c>
      <c r="BY250">
        <f>IFERROR(INDEX(PP_Grid[#Data],$DD250,75),0)</f>
        <v/>
      </c>
      <c r="BZ250">
        <f>IFERROR(INDEX(PP_Grid[#Data],$DD250,76),0)</f>
        <v/>
      </c>
      <c r="CA250">
        <f>IFERROR(INDEX(PP_Grid[#Data],$DD250,77),0)</f>
        <v/>
      </c>
      <c r="CB250">
        <f>IFERROR(INDEX(PP_Grid[#Data],$DD250,78),0)</f>
        <v/>
      </c>
      <c r="CC250">
        <f>IFERROR(INDEX(PP_Grid[#Data],$DD250,79),0)</f>
        <v/>
      </c>
      <c r="CD250">
        <f>IFERROR(INDEX(PP_Grid[#Data],$DD250,80),0)</f>
        <v/>
      </c>
      <c r="CE250">
        <f>IFERROR(INDEX(PP_Grid[#Data],$DD250,81),0)</f>
        <v/>
      </c>
      <c r="CF250">
        <f>IFERROR(INDEX(PP_Grid[#Data],$DD250,82),0)</f>
        <v/>
      </c>
      <c r="CG250">
        <f>IFERROR(INDEX(PP_Grid[#Data],$DD250,83),0)</f>
        <v/>
      </c>
      <c r="CH250">
        <f>IFERROR(INDEX(PP_Grid[#Data],$DD250,84),0)</f>
        <v/>
      </c>
      <c r="CI250">
        <f>IFERROR(INDEX(PP_Grid[#Data],$DD250,85),0)</f>
        <v/>
      </c>
      <c r="CJ250">
        <f>IFERROR(INDEX(PP_Grid[#Data],$DD250,86),0)</f>
        <v/>
      </c>
      <c r="CK250">
        <f>IFERROR(INDEX(PP_Grid[#Data],$DD250,87),0)</f>
        <v/>
      </c>
      <c r="CL250">
        <f>IFERROR(INDEX(PP_Grid[#Data],$DD250,88),0)</f>
        <v/>
      </c>
      <c r="CM250">
        <f>IFERROR(INDEX(PP_Grid[#Data],$DD250,89),0)</f>
        <v/>
      </c>
      <c r="CN250">
        <f>IFERROR(INDEX(PP_Grid[#Data],$DD250,90),0)</f>
        <v/>
      </c>
      <c r="CO250">
        <f>IFERROR(INDEX(PP_Grid[#Data],$DD250,91),0)</f>
        <v/>
      </c>
      <c r="CP250">
        <f>IFERROR(INDEX(PP_Grid[#Data],$DD250,92),0)</f>
        <v/>
      </c>
      <c r="CQ250">
        <f>IFERROR(INDEX(PP_Grid[#Data],$DD250,93),0)</f>
        <v/>
      </c>
      <c r="CR250">
        <f>IFERROR(INDEX(PP_Grid[#Data],$DD250,94),0)</f>
        <v/>
      </c>
      <c r="CS250">
        <f>IFERROR(INDEX(PP_Grid[#Data],$DD250,95),0)</f>
        <v/>
      </c>
      <c r="CT250">
        <f>IFERROR(INDEX(PP_Grid[#Data],$DD250,96),0)</f>
        <v/>
      </c>
      <c r="CU250">
        <f>IFERROR(INDEX(PP_Grid[#Data],$DD250,97),0)</f>
        <v/>
      </c>
      <c r="CV250">
        <f>IFERROR(INDEX(PP_Grid[#Data],$DD250,98),0)</f>
        <v/>
      </c>
      <c r="CW250">
        <f>IFERROR(INDEX(PP_Grid[#Data],$DD250,99),0)</f>
        <v/>
      </c>
      <c r="CX250">
        <f>IFERROR(INDEX(PP_Grid[#Data],$DD250,100),0)</f>
        <v/>
      </c>
      <c r="CY250">
        <f>IFERROR(INDEX(PP_Grid[#Data],$DD250,101),0)</f>
        <v/>
      </c>
      <c r="CZ250">
        <f>IFERROR(INDEX(PP_Grid[#Data],$DD250,102),0)</f>
        <v/>
      </c>
      <c r="DA250">
        <f>IFERROR(INDEX(PP_Grid[#Data],$DD250,103),0)</f>
        <v/>
      </c>
      <c r="DB250">
        <f>IFERROR(INDEX(PP_Grid[#Data],$DD250,104),0)</f>
        <v/>
      </c>
      <c r="DC250">
        <f>IFERROR(INDEX(PP_Grid[#Data],$DD250,105),0)</f>
        <v/>
      </c>
      <c r="DD250" s="12">
        <f>IFERROR(MATCH($B250,PP_Grid[Intermediate],0),99999)</f>
        <v/>
      </c>
    </row>
    <row r="251">
      <c r="B251" t="inlineStr">
        <is>
          <t>使用量(kg)</t>
        </is>
      </c>
      <c r="C251">
        <f>SUMIFS(M_BOM[RM_Qty_Per_Batch],M_BOM[Intermediate],$B250,M_BOM[Part Name],$A239)</f>
        <v/>
      </c>
      <c r="D251">
        <f>$C251*D250</f>
        <v/>
      </c>
      <c r="E251">
        <f>$C251*E250</f>
        <v/>
      </c>
      <c r="F251">
        <f>$C251*F250</f>
        <v/>
      </c>
      <c r="G251">
        <f>$C251*G250</f>
        <v/>
      </c>
      <c r="H251">
        <f>$C251*H250</f>
        <v/>
      </c>
      <c r="I251">
        <f>$C251*I250</f>
        <v/>
      </c>
      <c r="J251">
        <f>$C251*J250</f>
        <v/>
      </c>
      <c r="K251">
        <f>$C251*K250</f>
        <v/>
      </c>
      <c r="L251">
        <f>$C251*L250</f>
        <v/>
      </c>
      <c r="M251">
        <f>$C251*M250</f>
        <v/>
      </c>
      <c r="N251">
        <f>$C251*N250</f>
        <v/>
      </c>
      <c r="O251">
        <f>$C251*O250</f>
        <v/>
      </c>
      <c r="P251">
        <f>$C251*P250</f>
        <v/>
      </c>
      <c r="Q251">
        <f>$C251*Q250</f>
        <v/>
      </c>
      <c r="R251">
        <f>$C251*R250</f>
        <v/>
      </c>
      <c r="S251">
        <f>$C251*S250</f>
        <v/>
      </c>
      <c r="T251">
        <f>$C251*T250</f>
        <v/>
      </c>
      <c r="U251">
        <f>$C251*U250</f>
        <v/>
      </c>
      <c r="V251">
        <f>$C251*V250</f>
        <v/>
      </c>
      <c r="W251">
        <f>$C251*W250</f>
        <v/>
      </c>
      <c r="X251">
        <f>$C251*X250</f>
        <v/>
      </c>
      <c r="Y251">
        <f>$C251*Y250</f>
        <v/>
      </c>
      <c r="Z251">
        <f>$C251*Z250</f>
        <v/>
      </c>
      <c r="AA251">
        <f>$C251*AA250</f>
        <v/>
      </c>
      <c r="AB251">
        <f>$C251*AB250</f>
        <v/>
      </c>
      <c r="AC251">
        <f>$C251*AC250</f>
        <v/>
      </c>
      <c r="AD251">
        <f>$C251*AD250</f>
        <v/>
      </c>
      <c r="AE251">
        <f>$C251*AE250</f>
        <v/>
      </c>
      <c r="AF251">
        <f>$C251*AF250</f>
        <v/>
      </c>
      <c r="AG251">
        <f>$C251*AG250</f>
        <v/>
      </c>
      <c r="AH251">
        <f>$C251*AH250</f>
        <v/>
      </c>
      <c r="AI251">
        <f>$C251*AI250</f>
        <v/>
      </c>
      <c r="AJ251">
        <f>$C251*AJ250</f>
        <v/>
      </c>
      <c r="AK251">
        <f>$C251*AK250</f>
        <v/>
      </c>
      <c r="AL251">
        <f>$C251*AL250</f>
        <v/>
      </c>
      <c r="AM251">
        <f>$C251*AM250</f>
        <v/>
      </c>
      <c r="AN251">
        <f>$C251*AN250</f>
        <v/>
      </c>
      <c r="AO251">
        <f>$C251*AO250</f>
        <v/>
      </c>
      <c r="AP251">
        <f>$C251*AP250</f>
        <v/>
      </c>
      <c r="AQ251">
        <f>$C251*AQ250</f>
        <v/>
      </c>
      <c r="AR251">
        <f>$C251*AR250</f>
        <v/>
      </c>
      <c r="AS251">
        <f>$C251*AS250</f>
        <v/>
      </c>
      <c r="AT251">
        <f>$C251*AT250</f>
        <v/>
      </c>
      <c r="AU251">
        <f>$C251*AU250</f>
        <v/>
      </c>
      <c r="AV251">
        <f>$C251*AV250</f>
        <v/>
      </c>
      <c r="AW251">
        <f>$C251*AW250</f>
        <v/>
      </c>
      <c r="AX251">
        <f>$C251*AX250</f>
        <v/>
      </c>
      <c r="AY251">
        <f>$C251*AY250</f>
        <v/>
      </c>
      <c r="AZ251">
        <f>$C251*AZ250</f>
        <v/>
      </c>
      <c r="BA251">
        <f>$C251*BA250</f>
        <v/>
      </c>
      <c r="BB251">
        <f>$C251*BB250</f>
        <v/>
      </c>
      <c r="BC251">
        <f>$C251*BC250</f>
        <v/>
      </c>
      <c r="BD251">
        <f>$C251*BD250</f>
        <v/>
      </c>
      <c r="BE251">
        <f>$C251*BE250</f>
        <v/>
      </c>
      <c r="BF251">
        <f>$C251*BF250</f>
        <v/>
      </c>
      <c r="BG251">
        <f>$C251*BG250</f>
        <v/>
      </c>
      <c r="BH251">
        <f>$C251*BH250</f>
        <v/>
      </c>
      <c r="BI251">
        <f>$C251*BI250</f>
        <v/>
      </c>
      <c r="BJ251">
        <f>$C251*BJ250</f>
        <v/>
      </c>
      <c r="BK251">
        <f>$C251*BK250</f>
        <v/>
      </c>
      <c r="BL251">
        <f>$C251*BL250</f>
        <v/>
      </c>
      <c r="BM251">
        <f>$C251*BM250</f>
        <v/>
      </c>
      <c r="BN251">
        <f>$C251*BN250</f>
        <v/>
      </c>
      <c r="BO251">
        <f>$C251*BO250</f>
        <v/>
      </c>
      <c r="BP251">
        <f>$C251*BP250</f>
        <v/>
      </c>
      <c r="BQ251">
        <f>$C251*BQ250</f>
        <v/>
      </c>
      <c r="BR251">
        <f>$C251*BR250</f>
        <v/>
      </c>
      <c r="BS251">
        <f>$C251*BS250</f>
        <v/>
      </c>
      <c r="BT251">
        <f>$C251*BT250</f>
        <v/>
      </c>
      <c r="BU251">
        <f>$C251*BU250</f>
        <v/>
      </c>
      <c r="BV251">
        <f>$C251*BV250</f>
        <v/>
      </c>
      <c r="BW251">
        <f>$C251*BW250</f>
        <v/>
      </c>
      <c r="BX251">
        <f>$C251*BX250</f>
        <v/>
      </c>
      <c r="BY251">
        <f>$C251*BY250</f>
        <v/>
      </c>
      <c r="BZ251">
        <f>$C251*BZ250</f>
        <v/>
      </c>
      <c r="CA251">
        <f>$C251*CA250</f>
        <v/>
      </c>
      <c r="CB251">
        <f>$C251*CB250</f>
        <v/>
      </c>
      <c r="CC251">
        <f>$C251*CC250</f>
        <v/>
      </c>
      <c r="CD251">
        <f>$C251*CD250</f>
        <v/>
      </c>
      <c r="CE251">
        <f>$C251*CE250</f>
        <v/>
      </c>
      <c r="CF251">
        <f>$C251*CF250</f>
        <v/>
      </c>
      <c r="CG251">
        <f>$C251*CG250</f>
        <v/>
      </c>
      <c r="CH251">
        <f>$C251*CH250</f>
        <v/>
      </c>
      <c r="CI251">
        <f>$C251*CI250</f>
        <v/>
      </c>
      <c r="CJ251">
        <f>$C251*CJ250</f>
        <v/>
      </c>
      <c r="CK251">
        <f>$C251*CK250</f>
        <v/>
      </c>
      <c r="CL251">
        <f>$C251*CL250</f>
        <v/>
      </c>
      <c r="CM251">
        <f>$C251*CM250</f>
        <v/>
      </c>
      <c r="CN251">
        <f>$C251*CN250</f>
        <v/>
      </c>
      <c r="CO251">
        <f>$C251*CO250</f>
        <v/>
      </c>
      <c r="CP251">
        <f>$C251*CP250</f>
        <v/>
      </c>
      <c r="CQ251">
        <f>$C251*CQ250</f>
        <v/>
      </c>
      <c r="CR251">
        <f>$C251*CR250</f>
        <v/>
      </c>
      <c r="CS251">
        <f>$C251*CS250</f>
        <v/>
      </c>
      <c r="CT251">
        <f>$C251*CT250</f>
        <v/>
      </c>
      <c r="CU251">
        <f>$C251*CU250</f>
        <v/>
      </c>
      <c r="CV251">
        <f>$C251*CV250</f>
        <v/>
      </c>
      <c r="CW251">
        <f>$C251*CW250</f>
        <v/>
      </c>
      <c r="CX251">
        <f>$C251*CX250</f>
        <v/>
      </c>
      <c r="CY251">
        <f>$C251*CY250</f>
        <v/>
      </c>
      <c r="CZ251">
        <f>$C251*CZ250</f>
        <v/>
      </c>
      <c r="DA251">
        <f>$C251*DA250</f>
        <v/>
      </c>
      <c r="DB251">
        <f>$C251*DB250</f>
        <v/>
      </c>
      <c r="DC251">
        <f>$C251*DC250</f>
        <v/>
      </c>
    </row>
    <row r="252">
      <c r="B252" t="inlineStr">
        <is>
          <t>TSP-669</t>
        </is>
      </c>
      <c r="C252" t="inlineStr">
        <is>
          <t>No. of batches</t>
        </is>
      </c>
      <c r="D252">
        <f>IFERROR(INDEX(PP_Grid[#Data],$DD252,2),0)</f>
        <v/>
      </c>
      <c r="E252">
        <f>IFERROR(INDEX(PP_Grid[#Data],$DD252,3),0)</f>
        <v/>
      </c>
      <c r="F252">
        <f>IFERROR(INDEX(PP_Grid[#Data],$DD252,4),0)</f>
        <v/>
      </c>
      <c r="G252">
        <f>IFERROR(INDEX(PP_Grid[#Data],$DD252,5),0)</f>
        <v/>
      </c>
      <c r="H252">
        <f>IFERROR(INDEX(PP_Grid[#Data],$DD252,6),0)</f>
        <v/>
      </c>
      <c r="I252">
        <f>IFERROR(INDEX(PP_Grid[#Data],$DD252,7),0)</f>
        <v/>
      </c>
      <c r="J252">
        <f>IFERROR(INDEX(PP_Grid[#Data],$DD252,8),0)</f>
        <v/>
      </c>
      <c r="K252">
        <f>IFERROR(INDEX(PP_Grid[#Data],$DD252,9),0)</f>
        <v/>
      </c>
      <c r="L252">
        <f>IFERROR(INDEX(PP_Grid[#Data],$DD252,10),0)</f>
        <v/>
      </c>
      <c r="M252">
        <f>IFERROR(INDEX(PP_Grid[#Data],$DD252,11),0)</f>
        <v/>
      </c>
      <c r="N252">
        <f>IFERROR(INDEX(PP_Grid[#Data],$DD252,12),0)</f>
        <v/>
      </c>
      <c r="O252">
        <f>IFERROR(INDEX(PP_Grid[#Data],$DD252,13),0)</f>
        <v/>
      </c>
      <c r="P252">
        <f>IFERROR(INDEX(PP_Grid[#Data],$DD252,14),0)</f>
        <v/>
      </c>
      <c r="Q252">
        <f>IFERROR(INDEX(PP_Grid[#Data],$DD252,15),0)</f>
        <v/>
      </c>
      <c r="R252">
        <f>IFERROR(INDEX(PP_Grid[#Data],$DD252,16),0)</f>
        <v/>
      </c>
      <c r="S252">
        <f>IFERROR(INDEX(PP_Grid[#Data],$DD252,17),0)</f>
        <v/>
      </c>
      <c r="T252">
        <f>IFERROR(INDEX(PP_Grid[#Data],$DD252,18),0)</f>
        <v/>
      </c>
      <c r="U252">
        <f>IFERROR(INDEX(PP_Grid[#Data],$DD252,19),0)</f>
        <v/>
      </c>
      <c r="V252">
        <f>IFERROR(INDEX(PP_Grid[#Data],$DD252,20),0)</f>
        <v/>
      </c>
      <c r="W252">
        <f>IFERROR(INDEX(PP_Grid[#Data],$DD252,21),0)</f>
        <v/>
      </c>
      <c r="X252">
        <f>IFERROR(INDEX(PP_Grid[#Data],$DD252,22),0)</f>
        <v/>
      </c>
      <c r="Y252">
        <f>IFERROR(INDEX(PP_Grid[#Data],$DD252,23),0)</f>
        <v/>
      </c>
      <c r="Z252">
        <f>IFERROR(INDEX(PP_Grid[#Data],$DD252,24),0)</f>
        <v/>
      </c>
      <c r="AA252">
        <f>IFERROR(INDEX(PP_Grid[#Data],$DD252,25),0)</f>
        <v/>
      </c>
      <c r="AB252">
        <f>IFERROR(INDEX(PP_Grid[#Data],$DD252,26),0)</f>
        <v/>
      </c>
      <c r="AC252">
        <f>IFERROR(INDEX(PP_Grid[#Data],$DD252,27),0)</f>
        <v/>
      </c>
      <c r="AD252">
        <f>IFERROR(INDEX(PP_Grid[#Data],$DD252,28),0)</f>
        <v/>
      </c>
      <c r="AE252">
        <f>IFERROR(INDEX(PP_Grid[#Data],$DD252,29),0)</f>
        <v/>
      </c>
      <c r="AF252">
        <f>IFERROR(INDEX(PP_Grid[#Data],$DD252,30),0)</f>
        <v/>
      </c>
      <c r="AG252">
        <f>IFERROR(INDEX(PP_Grid[#Data],$DD252,31),0)</f>
        <v/>
      </c>
      <c r="AH252">
        <f>IFERROR(INDEX(PP_Grid[#Data],$DD252,32),0)</f>
        <v/>
      </c>
      <c r="AI252">
        <f>IFERROR(INDEX(PP_Grid[#Data],$DD252,33),0)</f>
        <v/>
      </c>
      <c r="AJ252">
        <f>IFERROR(INDEX(PP_Grid[#Data],$DD252,34),0)</f>
        <v/>
      </c>
      <c r="AK252">
        <f>IFERROR(INDEX(PP_Grid[#Data],$DD252,35),0)</f>
        <v/>
      </c>
      <c r="AL252">
        <f>IFERROR(INDEX(PP_Grid[#Data],$DD252,36),0)</f>
        <v/>
      </c>
      <c r="AM252">
        <f>IFERROR(INDEX(PP_Grid[#Data],$DD252,37),0)</f>
        <v/>
      </c>
      <c r="AN252">
        <f>IFERROR(INDEX(PP_Grid[#Data],$DD252,38),0)</f>
        <v/>
      </c>
      <c r="AO252">
        <f>IFERROR(INDEX(PP_Grid[#Data],$DD252,39),0)</f>
        <v/>
      </c>
      <c r="AP252">
        <f>IFERROR(INDEX(PP_Grid[#Data],$DD252,40),0)</f>
        <v/>
      </c>
      <c r="AQ252">
        <f>IFERROR(INDEX(PP_Grid[#Data],$DD252,41),0)</f>
        <v/>
      </c>
      <c r="AR252">
        <f>IFERROR(INDEX(PP_Grid[#Data],$DD252,42),0)</f>
        <v/>
      </c>
      <c r="AS252">
        <f>IFERROR(INDEX(PP_Grid[#Data],$DD252,43),0)</f>
        <v/>
      </c>
      <c r="AT252">
        <f>IFERROR(INDEX(PP_Grid[#Data],$DD252,44),0)</f>
        <v/>
      </c>
      <c r="AU252">
        <f>IFERROR(INDEX(PP_Grid[#Data],$DD252,45),0)</f>
        <v/>
      </c>
      <c r="AV252">
        <f>IFERROR(INDEX(PP_Grid[#Data],$DD252,46),0)</f>
        <v/>
      </c>
      <c r="AW252">
        <f>IFERROR(INDEX(PP_Grid[#Data],$DD252,47),0)</f>
        <v/>
      </c>
      <c r="AX252">
        <f>IFERROR(INDEX(PP_Grid[#Data],$DD252,48),0)</f>
        <v/>
      </c>
      <c r="AY252">
        <f>IFERROR(INDEX(PP_Grid[#Data],$DD252,49),0)</f>
        <v/>
      </c>
      <c r="AZ252">
        <f>IFERROR(INDEX(PP_Grid[#Data],$DD252,50),0)</f>
        <v/>
      </c>
      <c r="BA252">
        <f>IFERROR(INDEX(PP_Grid[#Data],$DD252,51),0)</f>
        <v/>
      </c>
      <c r="BB252">
        <f>IFERROR(INDEX(PP_Grid[#Data],$DD252,52),0)</f>
        <v/>
      </c>
      <c r="BC252">
        <f>IFERROR(INDEX(PP_Grid[#Data],$DD252,53),0)</f>
        <v/>
      </c>
      <c r="BD252">
        <f>IFERROR(INDEX(PP_Grid[#Data],$DD252,54),0)</f>
        <v/>
      </c>
      <c r="BE252">
        <f>IFERROR(INDEX(PP_Grid[#Data],$DD252,55),0)</f>
        <v/>
      </c>
      <c r="BF252">
        <f>IFERROR(INDEX(PP_Grid[#Data],$DD252,56),0)</f>
        <v/>
      </c>
      <c r="BG252">
        <f>IFERROR(INDEX(PP_Grid[#Data],$DD252,57),0)</f>
        <v/>
      </c>
      <c r="BH252">
        <f>IFERROR(INDEX(PP_Grid[#Data],$DD252,58),0)</f>
        <v/>
      </c>
      <c r="BI252">
        <f>IFERROR(INDEX(PP_Grid[#Data],$DD252,59),0)</f>
        <v/>
      </c>
      <c r="BJ252">
        <f>IFERROR(INDEX(PP_Grid[#Data],$DD252,60),0)</f>
        <v/>
      </c>
      <c r="BK252">
        <f>IFERROR(INDEX(PP_Grid[#Data],$DD252,61),0)</f>
        <v/>
      </c>
      <c r="BL252">
        <f>IFERROR(INDEX(PP_Grid[#Data],$DD252,62),0)</f>
        <v/>
      </c>
      <c r="BM252">
        <f>IFERROR(INDEX(PP_Grid[#Data],$DD252,63),0)</f>
        <v/>
      </c>
      <c r="BN252">
        <f>IFERROR(INDEX(PP_Grid[#Data],$DD252,64),0)</f>
        <v/>
      </c>
      <c r="BO252">
        <f>IFERROR(INDEX(PP_Grid[#Data],$DD252,65),0)</f>
        <v/>
      </c>
      <c r="BP252">
        <f>IFERROR(INDEX(PP_Grid[#Data],$DD252,66),0)</f>
        <v/>
      </c>
      <c r="BQ252">
        <f>IFERROR(INDEX(PP_Grid[#Data],$DD252,67),0)</f>
        <v/>
      </c>
      <c r="BR252">
        <f>IFERROR(INDEX(PP_Grid[#Data],$DD252,68),0)</f>
        <v/>
      </c>
      <c r="BS252">
        <f>IFERROR(INDEX(PP_Grid[#Data],$DD252,69),0)</f>
        <v/>
      </c>
      <c r="BT252">
        <f>IFERROR(INDEX(PP_Grid[#Data],$DD252,70),0)</f>
        <v/>
      </c>
      <c r="BU252">
        <f>IFERROR(INDEX(PP_Grid[#Data],$DD252,71),0)</f>
        <v/>
      </c>
      <c r="BV252">
        <f>IFERROR(INDEX(PP_Grid[#Data],$DD252,72),0)</f>
        <v/>
      </c>
      <c r="BW252">
        <f>IFERROR(INDEX(PP_Grid[#Data],$DD252,73),0)</f>
        <v/>
      </c>
      <c r="BX252">
        <f>IFERROR(INDEX(PP_Grid[#Data],$DD252,74),0)</f>
        <v/>
      </c>
      <c r="BY252">
        <f>IFERROR(INDEX(PP_Grid[#Data],$DD252,75),0)</f>
        <v/>
      </c>
      <c r="BZ252">
        <f>IFERROR(INDEX(PP_Grid[#Data],$DD252,76),0)</f>
        <v/>
      </c>
      <c r="CA252">
        <f>IFERROR(INDEX(PP_Grid[#Data],$DD252,77),0)</f>
        <v/>
      </c>
      <c r="CB252">
        <f>IFERROR(INDEX(PP_Grid[#Data],$DD252,78),0)</f>
        <v/>
      </c>
      <c r="CC252">
        <f>IFERROR(INDEX(PP_Grid[#Data],$DD252,79),0)</f>
        <v/>
      </c>
      <c r="CD252">
        <f>IFERROR(INDEX(PP_Grid[#Data],$DD252,80),0)</f>
        <v/>
      </c>
      <c r="CE252">
        <f>IFERROR(INDEX(PP_Grid[#Data],$DD252,81),0)</f>
        <v/>
      </c>
      <c r="CF252">
        <f>IFERROR(INDEX(PP_Grid[#Data],$DD252,82),0)</f>
        <v/>
      </c>
      <c r="CG252">
        <f>IFERROR(INDEX(PP_Grid[#Data],$DD252,83),0)</f>
        <v/>
      </c>
      <c r="CH252">
        <f>IFERROR(INDEX(PP_Grid[#Data],$DD252,84),0)</f>
        <v/>
      </c>
      <c r="CI252">
        <f>IFERROR(INDEX(PP_Grid[#Data],$DD252,85),0)</f>
        <v/>
      </c>
      <c r="CJ252">
        <f>IFERROR(INDEX(PP_Grid[#Data],$DD252,86),0)</f>
        <v/>
      </c>
      <c r="CK252">
        <f>IFERROR(INDEX(PP_Grid[#Data],$DD252,87),0)</f>
        <v/>
      </c>
      <c r="CL252">
        <f>IFERROR(INDEX(PP_Grid[#Data],$DD252,88),0)</f>
        <v/>
      </c>
      <c r="CM252">
        <f>IFERROR(INDEX(PP_Grid[#Data],$DD252,89),0)</f>
        <v/>
      </c>
      <c r="CN252">
        <f>IFERROR(INDEX(PP_Grid[#Data],$DD252,90),0)</f>
        <v/>
      </c>
      <c r="CO252">
        <f>IFERROR(INDEX(PP_Grid[#Data],$DD252,91),0)</f>
        <v/>
      </c>
      <c r="CP252">
        <f>IFERROR(INDEX(PP_Grid[#Data],$DD252,92),0)</f>
        <v/>
      </c>
      <c r="CQ252">
        <f>IFERROR(INDEX(PP_Grid[#Data],$DD252,93),0)</f>
        <v/>
      </c>
      <c r="CR252">
        <f>IFERROR(INDEX(PP_Grid[#Data],$DD252,94),0)</f>
        <v/>
      </c>
      <c r="CS252">
        <f>IFERROR(INDEX(PP_Grid[#Data],$DD252,95),0)</f>
        <v/>
      </c>
      <c r="CT252">
        <f>IFERROR(INDEX(PP_Grid[#Data],$DD252,96),0)</f>
        <v/>
      </c>
      <c r="CU252">
        <f>IFERROR(INDEX(PP_Grid[#Data],$DD252,97),0)</f>
        <v/>
      </c>
      <c r="CV252">
        <f>IFERROR(INDEX(PP_Grid[#Data],$DD252,98),0)</f>
        <v/>
      </c>
      <c r="CW252">
        <f>IFERROR(INDEX(PP_Grid[#Data],$DD252,99),0)</f>
        <v/>
      </c>
      <c r="CX252">
        <f>IFERROR(INDEX(PP_Grid[#Data],$DD252,100),0)</f>
        <v/>
      </c>
      <c r="CY252">
        <f>IFERROR(INDEX(PP_Grid[#Data],$DD252,101),0)</f>
        <v/>
      </c>
      <c r="CZ252">
        <f>IFERROR(INDEX(PP_Grid[#Data],$DD252,102),0)</f>
        <v/>
      </c>
      <c r="DA252">
        <f>IFERROR(INDEX(PP_Grid[#Data],$DD252,103),0)</f>
        <v/>
      </c>
      <c r="DB252">
        <f>IFERROR(INDEX(PP_Grid[#Data],$DD252,104),0)</f>
        <v/>
      </c>
      <c r="DC252">
        <f>IFERROR(INDEX(PP_Grid[#Data],$DD252,105),0)</f>
        <v/>
      </c>
      <c r="DD252" s="12">
        <f>IFERROR(MATCH($B252,PP_Grid[Intermediate],0),99999)</f>
        <v/>
      </c>
    </row>
    <row r="253">
      <c r="B253" t="inlineStr">
        <is>
          <t>使用量(kg)</t>
        </is>
      </c>
      <c r="C253">
        <f>SUMIFS(M_BOM[RM_Qty_Per_Batch],M_BOM[Intermediate],$B252,M_BOM[Part Name],$A239)</f>
        <v/>
      </c>
      <c r="D253">
        <f>$C253*D252</f>
        <v/>
      </c>
      <c r="E253">
        <f>$C253*E252</f>
        <v/>
      </c>
      <c r="F253">
        <f>$C253*F252</f>
        <v/>
      </c>
      <c r="G253">
        <f>$C253*G252</f>
        <v/>
      </c>
      <c r="H253">
        <f>$C253*H252</f>
        <v/>
      </c>
      <c r="I253">
        <f>$C253*I252</f>
        <v/>
      </c>
      <c r="J253">
        <f>$C253*J252</f>
        <v/>
      </c>
      <c r="K253">
        <f>$C253*K252</f>
        <v/>
      </c>
      <c r="L253">
        <f>$C253*L252</f>
        <v/>
      </c>
      <c r="M253">
        <f>$C253*M252</f>
        <v/>
      </c>
      <c r="N253">
        <f>$C253*N252</f>
        <v/>
      </c>
      <c r="O253">
        <f>$C253*O252</f>
        <v/>
      </c>
      <c r="P253">
        <f>$C253*P252</f>
        <v/>
      </c>
      <c r="Q253">
        <f>$C253*Q252</f>
        <v/>
      </c>
      <c r="R253">
        <f>$C253*R252</f>
        <v/>
      </c>
      <c r="S253">
        <f>$C253*S252</f>
        <v/>
      </c>
      <c r="T253">
        <f>$C253*T252</f>
        <v/>
      </c>
      <c r="U253">
        <f>$C253*U252</f>
        <v/>
      </c>
      <c r="V253">
        <f>$C253*V252</f>
        <v/>
      </c>
      <c r="W253">
        <f>$C253*W252</f>
        <v/>
      </c>
      <c r="X253">
        <f>$C253*X252</f>
        <v/>
      </c>
      <c r="Y253">
        <f>$C253*Y252</f>
        <v/>
      </c>
      <c r="Z253">
        <f>$C253*Z252</f>
        <v/>
      </c>
      <c r="AA253">
        <f>$C253*AA252</f>
        <v/>
      </c>
      <c r="AB253">
        <f>$C253*AB252</f>
        <v/>
      </c>
      <c r="AC253">
        <f>$C253*AC252</f>
        <v/>
      </c>
      <c r="AD253">
        <f>$C253*AD252</f>
        <v/>
      </c>
      <c r="AE253">
        <f>$C253*AE252</f>
        <v/>
      </c>
      <c r="AF253">
        <f>$C253*AF252</f>
        <v/>
      </c>
      <c r="AG253">
        <f>$C253*AG252</f>
        <v/>
      </c>
      <c r="AH253">
        <f>$C253*AH252</f>
        <v/>
      </c>
      <c r="AI253">
        <f>$C253*AI252</f>
        <v/>
      </c>
      <c r="AJ253">
        <f>$C253*AJ252</f>
        <v/>
      </c>
      <c r="AK253">
        <f>$C253*AK252</f>
        <v/>
      </c>
      <c r="AL253">
        <f>$C253*AL252</f>
        <v/>
      </c>
      <c r="AM253">
        <f>$C253*AM252</f>
        <v/>
      </c>
      <c r="AN253">
        <f>$C253*AN252</f>
        <v/>
      </c>
      <c r="AO253">
        <f>$C253*AO252</f>
        <v/>
      </c>
      <c r="AP253">
        <f>$C253*AP252</f>
        <v/>
      </c>
      <c r="AQ253">
        <f>$C253*AQ252</f>
        <v/>
      </c>
      <c r="AR253">
        <f>$C253*AR252</f>
        <v/>
      </c>
      <c r="AS253">
        <f>$C253*AS252</f>
        <v/>
      </c>
      <c r="AT253">
        <f>$C253*AT252</f>
        <v/>
      </c>
      <c r="AU253">
        <f>$C253*AU252</f>
        <v/>
      </c>
      <c r="AV253">
        <f>$C253*AV252</f>
        <v/>
      </c>
      <c r="AW253">
        <f>$C253*AW252</f>
        <v/>
      </c>
      <c r="AX253">
        <f>$C253*AX252</f>
        <v/>
      </c>
      <c r="AY253">
        <f>$C253*AY252</f>
        <v/>
      </c>
      <c r="AZ253">
        <f>$C253*AZ252</f>
        <v/>
      </c>
      <c r="BA253">
        <f>$C253*BA252</f>
        <v/>
      </c>
      <c r="BB253">
        <f>$C253*BB252</f>
        <v/>
      </c>
      <c r="BC253">
        <f>$C253*BC252</f>
        <v/>
      </c>
      <c r="BD253">
        <f>$C253*BD252</f>
        <v/>
      </c>
      <c r="BE253">
        <f>$C253*BE252</f>
        <v/>
      </c>
      <c r="BF253">
        <f>$C253*BF252</f>
        <v/>
      </c>
      <c r="BG253">
        <f>$C253*BG252</f>
        <v/>
      </c>
      <c r="BH253">
        <f>$C253*BH252</f>
        <v/>
      </c>
      <c r="BI253">
        <f>$C253*BI252</f>
        <v/>
      </c>
      <c r="BJ253">
        <f>$C253*BJ252</f>
        <v/>
      </c>
      <c r="BK253">
        <f>$C253*BK252</f>
        <v/>
      </c>
      <c r="BL253">
        <f>$C253*BL252</f>
        <v/>
      </c>
      <c r="BM253">
        <f>$C253*BM252</f>
        <v/>
      </c>
      <c r="BN253">
        <f>$C253*BN252</f>
        <v/>
      </c>
      <c r="BO253">
        <f>$C253*BO252</f>
        <v/>
      </c>
      <c r="BP253">
        <f>$C253*BP252</f>
        <v/>
      </c>
      <c r="BQ253">
        <f>$C253*BQ252</f>
        <v/>
      </c>
      <c r="BR253">
        <f>$C253*BR252</f>
        <v/>
      </c>
      <c r="BS253">
        <f>$C253*BS252</f>
        <v/>
      </c>
      <c r="BT253">
        <f>$C253*BT252</f>
        <v/>
      </c>
      <c r="BU253">
        <f>$C253*BU252</f>
        <v/>
      </c>
      <c r="BV253">
        <f>$C253*BV252</f>
        <v/>
      </c>
      <c r="BW253">
        <f>$C253*BW252</f>
        <v/>
      </c>
      <c r="BX253">
        <f>$C253*BX252</f>
        <v/>
      </c>
      <c r="BY253">
        <f>$C253*BY252</f>
        <v/>
      </c>
      <c r="BZ253">
        <f>$C253*BZ252</f>
        <v/>
      </c>
      <c r="CA253">
        <f>$C253*CA252</f>
        <v/>
      </c>
      <c r="CB253">
        <f>$C253*CB252</f>
        <v/>
      </c>
      <c r="CC253">
        <f>$C253*CC252</f>
        <v/>
      </c>
      <c r="CD253">
        <f>$C253*CD252</f>
        <v/>
      </c>
      <c r="CE253">
        <f>$C253*CE252</f>
        <v/>
      </c>
      <c r="CF253">
        <f>$C253*CF252</f>
        <v/>
      </c>
      <c r="CG253">
        <f>$C253*CG252</f>
        <v/>
      </c>
      <c r="CH253">
        <f>$C253*CH252</f>
        <v/>
      </c>
      <c r="CI253">
        <f>$C253*CI252</f>
        <v/>
      </c>
      <c r="CJ253">
        <f>$C253*CJ252</f>
        <v/>
      </c>
      <c r="CK253">
        <f>$C253*CK252</f>
        <v/>
      </c>
      <c r="CL253">
        <f>$C253*CL252</f>
        <v/>
      </c>
      <c r="CM253">
        <f>$C253*CM252</f>
        <v/>
      </c>
      <c r="CN253">
        <f>$C253*CN252</f>
        <v/>
      </c>
      <c r="CO253">
        <f>$C253*CO252</f>
        <v/>
      </c>
      <c r="CP253">
        <f>$C253*CP252</f>
        <v/>
      </c>
      <c r="CQ253">
        <f>$C253*CQ252</f>
        <v/>
      </c>
      <c r="CR253">
        <f>$C253*CR252</f>
        <v/>
      </c>
      <c r="CS253">
        <f>$C253*CS252</f>
        <v/>
      </c>
      <c r="CT253">
        <f>$C253*CT252</f>
        <v/>
      </c>
      <c r="CU253">
        <f>$C253*CU252</f>
        <v/>
      </c>
      <c r="CV253">
        <f>$C253*CV252</f>
        <v/>
      </c>
      <c r="CW253">
        <f>$C253*CW252</f>
        <v/>
      </c>
      <c r="CX253">
        <f>$C253*CX252</f>
        <v/>
      </c>
      <c r="CY253">
        <f>$C253*CY252</f>
        <v/>
      </c>
      <c r="CZ253">
        <f>$C253*CZ252</f>
        <v/>
      </c>
      <c r="DA253">
        <f>$C253*DA252</f>
        <v/>
      </c>
      <c r="DB253">
        <f>$C253*DB252</f>
        <v/>
      </c>
      <c r="DC253">
        <f>$C253*DC252</f>
        <v/>
      </c>
    </row>
    <row r="254">
      <c r="B254" t="inlineStr">
        <is>
          <t>TSP-670</t>
        </is>
      </c>
      <c r="C254" t="inlineStr">
        <is>
          <t>No. of batches</t>
        </is>
      </c>
      <c r="D254">
        <f>IFERROR(INDEX(PP_Grid[#Data],$DD254,2),0)</f>
        <v/>
      </c>
      <c r="E254">
        <f>IFERROR(INDEX(PP_Grid[#Data],$DD254,3),0)</f>
        <v/>
      </c>
      <c r="F254">
        <f>IFERROR(INDEX(PP_Grid[#Data],$DD254,4),0)</f>
        <v/>
      </c>
      <c r="G254">
        <f>IFERROR(INDEX(PP_Grid[#Data],$DD254,5),0)</f>
        <v/>
      </c>
      <c r="H254">
        <f>IFERROR(INDEX(PP_Grid[#Data],$DD254,6),0)</f>
        <v/>
      </c>
      <c r="I254">
        <f>IFERROR(INDEX(PP_Grid[#Data],$DD254,7),0)</f>
        <v/>
      </c>
      <c r="J254">
        <f>IFERROR(INDEX(PP_Grid[#Data],$DD254,8),0)</f>
        <v/>
      </c>
      <c r="K254">
        <f>IFERROR(INDEX(PP_Grid[#Data],$DD254,9),0)</f>
        <v/>
      </c>
      <c r="L254">
        <f>IFERROR(INDEX(PP_Grid[#Data],$DD254,10),0)</f>
        <v/>
      </c>
      <c r="M254">
        <f>IFERROR(INDEX(PP_Grid[#Data],$DD254,11),0)</f>
        <v/>
      </c>
      <c r="N254">
        <f>IFERROR(INDEX(PP_Grid[#Data],$DD254,12),0)</f>
        <v/>
      </c>
      <c r="O254">
        <f>IFERROR(INDEX(PP_Grid[#Data],$DD254,13),0)</f>
        <v/>
      </c>
      <c r="P254">
        <f>IFERROR(INDEX(PP_Grid[#Data],$DD254,14),0)</f>
        <v/>
      </c>
      <c r="Q254">
        <f>IFERROR(INDEX(PP_Grid[#Data],$DD254,15),0)</f>
        <v/>
      </c>
      <c r="R254">
        <f>IFERROR(INDEX(PP_Grid[#Data],$DD254,16),0)</f>
        <v/>
      </c>
      <c r="S254">
        <f>IFERROR(INDEX(PP_Grid[#Data],$DD254,17),0)</f>
        <v/>
      </c>
      <c r="T254">
        <f>IFERROR(INDEX(PP_Grid[#Data],$DD254,18),0)</f>
        <v/>
      </c>
      <c r="U254">
        <f>IFERROR(INDEX(PP_Grid[#Data],$DD254,19),0)</f>
        <v/>
      </c>
      <c r="V254">
        <f>IFERROR(INDEX(PP_Grid[#Data],$DD254,20),0)</f>
        <v/>
      </c>
      <c r="W254">
        <f>IFERROR(INDEX(PP_Grid[#Data],$DD254,21),0)</f>
        <v/>
      </c>
      <c r="X254">
        <f>IFERROR(INDEX(PP_Grid[#Data],$DD254,22),0)</f>
        <v/>
      </c>
      <c r="Y254">
        <f>IFERROR(INDEX(PP_Grid[#Data],$DD254,23),0)</f>
        <v/>
      </c>
      <c r="Z254">
        <f>IFERROR(INDEX(PP_Grid[#Data],$DD254,24),0)</f>
        <v/>
      </c>
      <c r="AA254">
        <f>IFERROR(INDEX(PP_Grid[#Data],$DD254,25),0)</f>
        <v/>
      </c>
      <c r="AB254">
        <f>IFERROR(INDEX(PP_Grid[#Data],$DD254,26),0)</f>
        <v/>
      </c>
      <c r="AC254">
        <f>IFERROR(INDEX(PP_Grid[#Data],$DD254,27),0)</f>
        <v/>
      </c>
      <c r="AD254">
        <f>IFERROR(INDEX(PP_Grid[#Data],$DD254,28),0)</f>
        <v/>
      </c>
      <c r="AE254">
        <f>IFERROR(INDEX(PP_Grid[#Data],$DD254,29),0)</f>
        <v/>
      </c>
      <c r="AF254">
        <f>IFERROR(INDEX(PP_Grid[#Data],$DD254,30),0)</f>
        <v/>
      </c>
      <c r="AG254">
        <f>IFERROR(INDEX(PP_Grid[#Data],$DD254,31),0)</f>
        <v/>
      </c>
      <c r="AH254">
        <f>IFERROR(INDEX(PP_Grid[#Data],$DD254,32),0)</f>
        <v/>
      </c>
      <c r="AI254">
        <f>IFERROR(INDEX(PP_Grid[#Data],$DD254,33),0)</f>
        <v/>
      </c>
      <c r="AJ254">
        <f>IFERROR(INDEX(PP_Grid[#Data],$DD254,34),0)</f>
        <v/>
      </c>
      <c r="AK254">
        <f>IFERROR(INDEX(PP_Grid[#Data],$DD254,35),0)</f>
        <v/>
      </c>
      <c r="AL254">
        <f>IFERROR(INDEX(PP_Grid[#Data],$DD254,36),0)</f>
        <v/>
      </c>
      <c r="AM254">
        <f>IFERROR(INDEX(PP_Grid[#Data],$DD254,37),0)</f>
        <v/>
      </c>
      <c r="AN254">
        <f>IFERROR(INDEX(PP_Grid[#Data],$DD254,38),0)</f>
        <v/>
      </c>
      <c r="AO254">
        <f>IFERROR(INDEX(PP_Grid[#Data],$DD254,39),0)</f>
        <v/>
      </c>
      <c r="AP254">
        <f>IFERROR(INDEX(PP_Grid[#Data],$DD254,40),0)</f>
        <v/>
      </c>
      <c r="AQ254">
        <f>IFERROR(INDEX(PP_Grid[#Data],$DD254,41),0)</f>
        <v/>
      </c>
      <c r="AR254">
        <f>IFERROR(INDEX(PP_Grid[#Data],$DD254,42),0)</f>
        <v/>
      </c>
      <c r="AS254">
        <f>IFERROR(INDEX(PP_Grid[#Data],$DD254,43),0)</f>
        <v/>
      </c>
      <c r="AT254">
        <f>IFERROR(INDEX(PP_Grid[#Data],$DD254,44),0)</f>
        <v/>
      </c>
      <c r="AU254">
        <f>IFERROR(INDEX(PP_Grid[#Data],$DD254,45),0)</f>
        <v/>
      </c>
      <c r="AV254">
        <f>IFERROR(INDEX(PP_Grid[#Data],$DD254,46),0)</f>
        <v/>
      </c>
      <c r="AW254">
        <f>IFERROR(INDEX(PP_Grid[#Data],$DD254,47),0)</f>
        <v/>
      </c>
      <c r="AX254">
        <f>IFERROR(INDEX(PP_Grid[#Data],$DD254,48),0)</f>
        <v/>
      </c>
      <c r="AY254">
        <f>IFERROR(INDEX(PP_Grid[#Data],$DD254,49),0)</f>
        <v/>
      </c>
      <c r="AZ254">
        <f>IFERROR(INDEX(PP_Grid[#Data],$DD254,50),0)</f>
        <v/>
      </c>
      <c r="BA254">
        <f>IFERROR(INDEX(PP_Grid[#Data],$DD254,51),0)</f>
        <v/>
      </c>
      <c r="BB254">
        <f>IFERROR(INDEX(PP_Grid[#Data],$DD254,52),0)</f>
        <v/>
      </c>
      <c r="BC254">
        <f>IFERROR(INDEX(PP_Grid[#Data],$DD254,53),0)</f>
        <v/>
      </c>
      <c r="BD254">
        <f>IFERROR(INDEX(PP_Grid[#Data],$DD254,54),0)</f>
        <v/>
      </c>
      <c r="BE254">
        <f>IFERROR(INDEX(PP_Grid[#Data],$DD254,55),0)</f>
        <v/>
      </c>
      <c r="BF254">
        <f>IFERROR(INDEX(PP_Grid[#Data],$DD254,56),0)</f>
        <v/>
      </c>
      <c r="BG254">
        <f>IFERROR(INDEX(PP_Grid[#Data],$DD254,57),0)</f>
        <v/>
      </c>
      <c r="BH254">
        <f>IFERROR(INDEX(PP_Grid[#Data],$DD254,58),0)</f>
        <v/>
      </c>
      <c r="BI254">
        <f>IFERROR(INDEX(PP_Grid[#Data],$DD254,59),0)</f>
        <v/>
      </c>
      <c r="BJ254">
        <f>IFERROR(INDEX(PP_Grid[#Data],$DD254,60),0)</f>
        <v/>
      </c>
      <c r="BK254">
        <f>IFERROR(INDEX(PP_Grid[#Data],$DD254,61),0)</f>
        <v/>
      </c>
      <c r="BL254">
        <f>IFERROR(INDEX(PP_Grid[#Data],$DD254,62),0)</f>
        <v/>
      </c>
      <c r="BM254">
        <f>IFERROR(INDEX(PP_Grid[#Data],$DD254,63),0)</f>
        <v/>
      </c>
      <c r="BN254">
        <f>IFERROR(INDEX(PP_Grid[#Data],$DD254,64),0)</f>
        <v/>
      </c>
      <c r="BO254">
        <f>IFERROR(INDEX(PP_Grid[#Data],$DD254,65),0)</f>
        <v/>
      </c>
      <c r="BP254">
        <f>IFERROR(INDEX(PP_Grid[#Data],$DD254,66),0)</f>
        <v/>
      </c>
      <c r="BQ254">
        <f>IFERROR(INDEX(PP_Grid[#Data],$DD254,67),0)</f>
        <v/>
      </c>
      <c r="BR254">
        <f>IFERROR(INDEX(PP_Grid[#Data],$DD254,68),0)</f>
        <v/>
      </c>
      <c r="BS254">
        <f>IFERROR(INDEX(PP_Grid[#Data],$DD254,69),0)</f>
        <v/>
      </c>
      <c r="BT254">
        <f>IFERROR(INDEX(PP_Grid[#Data],$DD254,70),0)</f>
        <v/>
      </c>
      <c r="BU254">
        <f>IFERROR(INDEX(PP_Grid[#Data],$DD254,71),0)</f>
        <v/>
      </c>
      <c r="BV254">
        <f>IFERROR(INDEX(PP_Grid[#Data],$DD254,72),0)</f>
        <v/>
      </c>
      <c r="BW254">
        <f>IFERROR(INDEX(PP_Grid[#Data],$DD254,73),0)</f>
        <v/>
      </c>
      <c r="BX254">
        <f>IFERROR(INDEX(PP_Grid[#Data],$DD254,74),0)</f>
        <v/>
      </c>
      <c r="BY254">
        <f>IFERROR(INDEX(PP_Grid[#Data],$DD254,75),0)</f>
        <v/>
      </c>
      <c r="BZ254">
        <f>IFERROR(INDEX(PP_Grid[#Data],$DD254,76),0)</f>
        <v/>
      </c>
      <c r="CA254">
        <f>IFERROR(INDEX(PP_Grid[#Data],$DD254,77),0)</f>
        <v/>
      </c>
      <c r="CB254">
        <f>IFERROR(INDEX(PP_Grid[#Data],$DD254,78),0)</f>
        <v/>
      </c>
      <c r="CC254">
        <f>IFERROR(INDEX(PP_Grid[#Data],$DD254,79),0)</f>
        <v/>
      </c>
      <c r="CD254">
        <f>IFERROR(INDEX(PP_Grid[#Data],$DD254,80),0)</f>
        <v/>
      </c>
      <c r="CE254">
        <f>IFERROR(INDEX(PP_Grid[#Data],$DD254,81),0)</f>
        <v/>
      </c>
      <c r="CF254">
        <f>IFERROR(INDEX(PP_Grid[#Data],$DD254,82),0)</f>
        <v/>
      </c>
      <c r="CG254">
        <f>IFERROR(INDEX(PP_Grid[#Data],$DD254,83),0)</f>
        <v/>
      </c>
      <c r="CH254">
        <f>IFERROR(INDEX(PP_Grid[#Data],$DD254,84),0)</f>
        <v/>
      </c>
      <c r="CI254">
        <f>IFERROR(INDEX(PP_Grid[#Data],$DD254,85),0)</f>
        <v/>
      </c>
      <c r="CJ254">
        <f>IFERROR(INDEX(PP_Grid[#Data],$DD254,86),0)</f>
        <v/>
      </c>
      <c r="CK254">
        <f>IFERROR(INDEX(PP_Grid[#Data],$DD254,87),0)</f>
        <v/>
      </c>
      <c r="CL254">
        <f>IFERROR(INDEX(PP_Grid[#Data],$DD254,88),0)</f>
        <v/>
      </c>
      <c r="CM254">
        <f>IFERROR(INDEX(PP_Grid[#Data],$DD254,89),0)</f>
        <v/>
      </c>
      <c r="CN254">
        <f>IFERROR(INDEX(PP_Grid[#Data],$DD254,90),0)</f>
        <v/>
      </c>
      <c r="CO254">
        <f>IFERROR(INDEX(PP_Grid[#Data],$DD254,91),0)</f>
        <v/>
      </c>
      <c r="CP254">
        <f>IFERROR(INDEX(PP_Grid[#Data],$DD254,92),0)</f>
        <v/>
      </c>
      <c r="CQ254">
        <f>IFERROR(INDEX(PP_Grid[#Data],$DD254,93),0)</f>
        <v/>
      </c>
      <c r="CR254">
        <f>IFERROR(INDEX(PP_Grid[#Data],$DD254,94),0)</f>
        <v/>
      </c>
      <c r="CS254">
        <f>IFERROR(INDEX(PP_Grid[#Data],$DD254,95),0)</f>
        <v/>
      </c>
      <c r="CT254">
        <f>IFERROR(INDEX(PP_Grid[#Data],$DD254,96),0)</f>
        <v/>
      </c>
      <c r="CU254">
        <f>IFERROR(INDEX(PP_Grid[#Data],$DD254,97),0)</f>
        <v/>
      </c>
      <c r="CV254">
        <f>IFERROR(INDEX(PP_Grid[#Data],$DD254,98),0)</f>
        <v/>
      </c>
      <c r="CW254">
        <f>IFERROR(INDEX(PP_Grid[#Data],$DD254,99),0)</f>
        <v/>
      </c>
      <c r="CX254">
        <f>IFERROR(INDEX(PP_Grid[#Data],$DD254,100),0)</f>
        <v/>
      </c>
      <c r="CY254">
        <f>IFERROR(INDEX(PP_Grid[#Data],$DD254,101),0)</f>
        <v/>
      </c>
      <c r="CZ254">
        <f>IFERROR(INDEX(PP_Grid[#Data],$DD254,102),0)</f>
        <v/>
      </c>
      <c r="DA254">
        <f>IFERROR(INDEX(PP_Grid[#Data],$DD254,103),0)</f>
        <v/>
      </c>
      <c r="DB254">
        <f>IFERROR(INDEX(PP_Grid[#Data],$DD254,104),0)</f>
        <v/>
      </c>
      <c r="DC254">
        <f>IFERROR(INDEX(PP_Grid[#Data],$DD254,105),0)</f>
        <v/>
      </c>
      <c r="DD254" s="12">
        <f>IFERROR(MATCH($B254,PP_Grid[Intermediate],0),99999)</f>
        <v/>
      </c>
    </row>
    <row r="255">
      <c r="B255" t="inlineStr">
        <is>
          <t>使用量(kg)</t>
        </is>
      </c>
      <c r="C255">
        <f>SUMIFS(M_BOM[RM_Qty_Per_Batch],M_BOM[Intermediate],$B254,M_BOM[Part Name],$A239)</f>
        <v/>
      </c>
      <c r="D255">
        <f>$C255*D254</f>
        <v/>
      </c>
      <c r="E255">
        <f>$C255*E254</f>
        <v/>
      </c>
      <c r="F255">
        <f>$C255*F254</f>
        <v/>
      </c>
      <c r="G255">
        <f>$C255*G254</f>
        <v/>
      </c>
      <c r="H255">
        <f>$C255*H254</f>
        <v/>
      </c>
      <c r="I255">
        <f>$C255*I254</f>
        <v/>
      </c>
      <c r="J255">
        <f>$C255*J254</f>
        <v/>
      </c>
      <c r="K255">
        <f>$C255*K254</f>
        <v/>
      </c>
      <c r="L255">
        <f>$C255*L254</f>
        <v/>
      </c>
      <c r="M255">
        <f>$C255*M254</f>
        <v/>
      </c>
      <c r="N255">
        <f>$C255*N254</f>
        <v/>
      </c>
      <c r="O255">
        <f>$C255*O254</f>
        <v/>
      </c>
      <c r="P255">
        <f>$C255*P254</f>
        <v/>
      </c>
      <c r="Q255">
        <f>$C255*Q254</f>
        <v/>
      </c>
      <c r="R255">
        <f>$C255*R254</f>
        <v/>
      </c>
      <c r="S255">
        <f>$C255*S254</f>
        <v/>
      </c>
      <c r="T255">
        <f>$C255*T254</f>
        <v/>
      </c>
      <c r="U255">
        <f>$C255*U254</f>
        <v/>
      </c>
      <c r="V255">
        <f>$C255*V254</f>
        <v/>
      </c>
      <c r="W255">
        <f>$C255*W254</f>
        <v/>
      </c>
      <c r="X255">
        <f>$C255*X254</f>
        <v/>
      </c>
      <c r="Y255">
        <f>$C255*Y254</f>
        <v/>
      </c>
      <c r="Z255">
        <f>$C255*Z254</f>
        <v/>
      </c>
      <c r="AA255">
        <f>$C255*AA254</f>
        <v/>
      </c>
      <c r="AB255">
        <f>$C255*AB254</f>
        <v/>
      </c>
      <c r="AC255">
        <f>$C255*AC254</f>
        <v/>
      </c>
      <c r="AD255">
        <f>$C255*AD254</f>
        <v/>
      </c>
      <c r="AE255">
        <f>$C255*AE254</f>
        <v/>
      </c>
      <c r="AF255">
        <f>$C255*AF254</f>
        <v/>
      </c>
      <c r="AG255">
        <f>$C255*AG254</f>
        <v/>
      </c>
      <c r="AH255">
        <f>$C255*AH254</f>
        <v/>
      </c>
      <c r="AI255">
        <f>$C255*AI254</f>
        <v/>
      </c>
      <c r="AJ255">
        <f>$C255*AJ254</f>
        <v/>
      </c>
      <c r="AK255">
        <f>$C255*AK254</f>
        <v/>
      </c>
      <c r="AL255">
        <f>$C255*AL254</f>
        <v/>
      </c>
      <c r="AM255">
        <f>$C255*AM254</f>
        <v/>
      </c>
      <c r="AN255">
        <f>$C255*AN254</f>
        <v/>
      </c>
      <c r="AO255">
        <f>$C255*AO254</f>
        <v/>
      </c>
      <c r="AP255">
        <f>$C255*AP254</f>
        <v/>
      </c>
      <c r="AQ255">
        <f>$C255*AQ254</f>
        <v/>
      </c>
      <c r="AR255">
        <f>$C255*AR254</f>
        <v/>
      </c>
      <c r="AS255">
        <f>$C255*AS254</f>
        <v/>
      </c>
      <c r="AT255">
        <f>$C255*AT254</f>
        <v/>
      </c>
      <c r="AU255">
        <f>$C255*AU254</f>
        <v/>
      </c>
      <c r="AV255">
        <f>$C255*AV254</f>
        <v/>
      </c>
      <c r="AW255">
        <f>$C255*AW254</f>
        <v/>
      </c>
      <c r="AX255">
        <f>$C255*AX254</f>
        <v/>
      </c>
      <c r="AY255">
        <f>$C255*AY254</f>
        <v/>
      </c>
      <c r="AZ255">
        <f>$C255*AZ254</f>
        <v/>
      </c>
      <c r="BA255">
        <f>$C255*BA254</f>
        <v/>
      </c>
      <c r="BB255">
        <f>$C255*BB254</f>
        <v/>
      </c>
      <c r="BC255">
        <f>$C255*BC254</f>
        <v/>
      </c>
      <c r="BD255">
        <f>$C255*BD254</f>
        <v/>
      </c>
      <c r="BE255">
        <f>$C255*BE254</f>
        <v/>
      </c>
      <c r="BF255">
        <f>$C255*BF254</f>
        <v/>
      </c>
      <c r="BG255">
        <f>$C255*BG254</f>
        <v/>
      </c>
      <c r="BH255">
        <f>$C255*BH254</f>
        <v/>
      </c>
      <c r="BI255">
        <f>$C255*BI254</f>
        <v/>
      </c>
      <c r="BJ255">
        <f>$C255*BJ254</f>
        <v/>
      </c>
      <c r="BK255">
        <f>$C255*BK254</f>
        <v/>
      </c>
      <c r="BL255">
        <f>$C255*BL254</f>
        <v/>
      </c>
      <c r="BM255">
        <f>$C255*BM254</f>
        <v/>
      </c>
      <c r="BN255">
        <f>$C255*BN254</f>
        <v/>
      </c>
      <c r="BO255">
        <f>$C255*BO254</f>
        <v/>
      </c>
      <c r="BP255">
        <f>$C255*BP254</f>
        <v/>
      </c>
      <c r="BQ255">
        <f>$C255*BQ254</f>
        <v/>
      </c>
      <c r="BR255">
        <f>$C255*BR254</f>
        <v/>
      </c>
      <c r="BS255">
        <f>$C255*BS254</f>
        <v/>
      </c>
      <c r="BT255">
        <f>$C255*BT254</f>
        <v/>
      </c>
      <c r="BU255">
        <f>$C255*BU254</f>
        <v/>
      </c>
      <c r="BV255">
        <f>$C255*BV254</f>
        <v/>
      </c>
      <c r="BW255">
        <f>$C255*BW254</f>
        <v/>
      </c>
      <c r="BX255">
        <f>$C255*BX254</f>
        <v/>
      </c>
      <c r="BY255">
        <f>$C255*BY254</f>
        <v/>
      </c>
      <c r="BZ255">
        <f>$C255*BZ254</f>
        <v/>
      </c>
      <c r="CA255">
        <f>$C255*CA254</f>
        <v/>
      </c>
      <c r="CB255">
        <f>$C255*CB254</f>
        <v/>
      </c>
      <c r="CC255">
        <f>$C255*CC254</f>
        <v/>
      </c>
      <c r="CD255">
        <f>$C255*CD254</f>
        <v/>
      </c>
      <c r="CE255">
        <f>$C255*CE254</f>
        <v/>
      </c>
      <c r="CF255">
        <f>$C255*CF254</f>
        <v/>
      </c>
      <c r="CG255">
        <f>$C255*CG254</f>
        <v/>
      </c>
      <c r="CH255">
        <f>$C255*CH254</f>
        <v/>
      </c>
      <c r="CI255">
        <f>$C255*CI254</f>
        <v/>
      </c>
      <c r="CJ255">
        <f>$C255*CJ254</f>
        <v/>
      </c>
      <c r="CK255">
        <f>$C255*CK254</f>
        <v/>
      </c>
      <c r="CL255">
        <f>$C255*CL254</f>
        <v/>
      </c>
      <c r="CM255">
        <f>$C255*CM254</f>
        <v/>
      </c>
      <c r="CN255">
        <f>$C255*CN254</f>
        <v/>
      </c>
      <c r="CO255">
        <f>$C255*CO254</f>
        <v/>
      </c>
      <c r="CP255">
        <f>$C255*CP254</f>
        <v/>
      </c>
      <c r="CQ255">
        <f>$C255*CQ254</f>
        <v/>
      </c>
      <c r="CR255">
        <f>$C255*CR254</f>
        <v/>
      </c>
      <c r="CS255">
        <f>$C255*CS254</f>
        <v/>
      </c>
      <c r="CT255">
        <f>$C255*CT254</f>
        <v/>
      </c>
      <c r="CU255">
        <f>$C255*CU254</f>
        <v/>
      </c>
      <c r="CV255">
        <f>$C255*CV254</f>
        <v/>
      </c>
      <c r="CW255">
        <f>$C255*CW254</f>
        <v/>
      </c>
      <c r="CX255">
        <f>$C255*CX254</f>
        <v/>
      </c>
      <c r="CY255">
        <f>$C255*CY254</f>
        <v/>
      </c>
      <c r="CZ255">
        <f>$C255*CZ254</f>
        <v/>
      </c>
      <c r="DA255">
        <f>$C255*DA254</f>
        <v/>
      </c>
      <c r="DB255">
        <f>$C255*DB254</f>
        <v/>
      </c>
      <c r="DC255">
        <f>$C255*DC254</f>
        <v/>
      </c>
    </row>
    <row r="256">
      <c r="B256" s="5" t="inlineStr">
        <is>
          <t>合計使用量(kg)/週</t>
        </is>
      </c>
      <c r="D256">
        <f>'Grid_Requirement'!B24</f>
        <v/>
      </c>
      <c r="E256">
        <f>'Grid_Requirement'!C24</f>
        <v/>
      </c>
      <c r="F256">
        <f>'Grid_Requirement'!D24</f>
        <v/>
      </c>
      <c r="G256">
        <f>'Grid_Requirement'!E24</f>
        <v/>
      </c>
      <c r="H256">
        <f>'Grid_Requirement'!F24</f>
        <v/>
      </c>
      <c r="I256">
        <f>'Grid_Requirement'!G24</f>
        <v/>
      </c>
      <c r="J256">
        <f>'Grid_Requirement'!H24</f>
        <v/>
      </c>
      <c r="K256">
        <f>'Grid_Requirement'!I24</f>
        <v/>
      </c>
      <c r="L256">
        <f>'Grid_Requirement'!J24</f>
        <v/>
      </c>
      <c r="M256">
        <f>'Grid_Requirement'!K24</f>
        <v/>
      </c>
      <c r="N256">
        <f>'Grid_Requirement'!L24</f>
        <v/>
      </c>
      <c r="O256">
        <f>'Grid_Requirement'!M24</f>
        <v/>
      </c>
      <c r="P256">
        <f>'Grid_Requirement'!N24</f>
        <v/>
      </c>
      <c r="Q256">
        <f>'Grid_Requirement'!O24</f>
        <v/>
      </c>
      <c r="R256">
        <f>'Grid_Requirement'!P24</f>
        <v/>
      </c>
      <c r="S256">
        <f>'Grid_Requirement'!Q24</f>
        <v/>
      </c>
      <c r="T256">
        <f>'Grid_Requirement'!R24</f>
        <v/>
      </c>
      <c r="U256">
        <f>'Grid_Requirement'!S24</f>
        <v/>
      </c>
      <c r="V256">
        <f>'Grid_Requirement'!T24</f>
        <v/>
      </c>
      <c r="W256">
        <f>'Grid_Requirement'!U24</f>
        <v/>
      </c>
      <c r="X256">
        <f>'Grid_Requirement'!V24</f>
        <v/>
      </c>
      <c r="Y256">
        <f>'Grid_Requirement'!W24</f>
        <v/>
      </c>
      <c r="Z256">
        <f>'Grid_Requirement'!X24</f>
        <v/>
      </c>
      <c r="AA256">
        <f>'Grid_Requirement'!Y24</f>
        <v/>
      </c>
      <c r="AB256">
        <f>'Grid_Requirement'!Z24</f>
        <v/>
      </c>
      <c r="AC256">
        <f>'Grid_Requirement'!AA24</f>
        <v/>
      </c>
      <c r="AD256">
        <f>'Grid_Requirement'!AB24</f>
        <v/>
      </c>
      <c r="AE256">
        <f>'Grid_Requirement'!AC24</f>
        <v/>
      </c>
      <c r="AF256">
        <f>'Grid_Requirement'!AD24</f>
        <v/>
      </c>
      <c r="AG256">
        <f>'Grid_Requirement'!AE24</f>
        <v/>
      </c>
      <c r="AH256">
        <f>'Grid_Requirement'!AF24</f>
        <v/>
      </c>
      <c r="AI256">
        <f>'Grid_Requirement'!AG24</f>
        <v/>
      </c>
      <c r="AJ256">
        <f>'Grid_Requirement'!AH24</f>
        <v/>
      </c>
      <c r="AK256">
        <f>'Grid_Requirement'!AI24</f>
        <v/>
      </c>
      <c r="AL256">
        <f>'Grid_Requirement'!AJ24</f>
        <v/>
      </c>
      <c r="AM256">
        <f>'Grid_Requirement'!AK24</f>
        <v/>
      </c>
      <c r="AN256">
        <f>'Grid_Requirement'!AL24</f>
        <v/>
      </c>
      <c r="AO256">
        <f>'Grid_Requirement'!AM24</f>
        <v/>
      </c>
      <c r="AP256">
        <f>'Grid_Requirement'!AN24</f>
        <v/>
      </c>
      <c r="AQ256">
        <f>'Grid_Requirement'!AO24</f>
        <v/>
      </c>
      <c r="AR256">
        <f>'Grid_Requirement'!AP24</f>
        <v/>
      </c>
      <c r="AS256">
        <f>'Grid_Requirement'!AQ24</f>
        <v/>
      </c>
      <c r="AT256">
        <f>'Grid_Requirement'!AR24</f>
        <v/>
      </c>
      <c r="AU256">
        <f>'Grid_Requirement'!AS24</f>
        <v/>
      </c>
      <c r="AV256">
        <f>'Grid_Requirement'!AT24</f>
        <v/>
      </c>
      <c r="AW256">
        <f>'Grid_Requirement'!AU24</f>
        <v/>
      </c>
      <c r="AX256">
        <f>'Grid_Requirement'!AV24</f>
        <v/>
      </c>
      <c r="AY256">
        <f>'Grid_Requirement'!AW24</f>
        <v/>
      </c>
      <c r="AZ256">
        <f>'Grid_Requirement'!AX24</f>
        <v/>
      </c>
      <c r="BA256">
        <f>'Grid_Requirement'!AY24</f>
        <v/>
      </c>
      <c r="BB256">
        <f>'Grid_Requirement'!AZ24</f>
        <v/>
      </c>
      <c r="BC256">
        <f>'Grid_Requirement'!BA24</f>
        <v/>
      </c>
      <c r="BD256">
        <f>'Grid_Requirement'!BB24</f>
        <v/>
      </c>
      <c r="BE256">
        <f>'Grid_Requirement'!BC24</f>
        <v/>
      </c>
      <c r="BF256">
        <f>'Grid_Requirement'!BD24</f>
        <v/>
      </c>
      <c r="BG256">
        <f>'Grid_Requirement'!BE24</f>
        <v/>
      </c>
      <c r="BH256">
        <f>'Grid_Requirement'!BF24</f>
        <v/>
      </c>
      <c r="BI256">
        <f>'Grid_Requirement'!BG24</f>
        <v/>
      </c>
      <c r="BJ256">
        <f>'Grid_Requirement'!BH24</f>
        <v/>
      </c>
      <c r="BK256">
        <f>'Grid_Requirement'!BI24</f>
        <v/>
      </c>
      <c r="BL256">
        <f>'Grid_Requirement'!BJ24</f>
        <v/>
      </c>
      <c r="BM256">
        <f>'Grid_Requirement'!BK24</f>
        <v/>
      </c>
      <c r="BN256">
        <f>'Grid_Requirement'!BL24</f>
        <v/>
      </c>
      <c r="BO256">
        <f>'Grid_Requirement'!BM24</f>
        <v/>
      </c>
      <c r="BP256">
        <f>'Grid_Requirement'!BN24</f>
        <v/>
      </c>
      <c r="BQ256">
        <f>'Grid_Requirement'!BO24</f>
        <v/>
      </c>
      <c r="BR256">
        <f>'Grid_Requirement'!BP24</f>
        <v/>
      </c>
      <c r="BS256">
        <f>'Grid_Requirement'!BQ24</f>
        <v/>
      </c>
      <c r="BT256">
        <f>'Grid_Requirement'!BR24</f>
        <v/>
      </c>
      <c r="BU256">
        <f>'Grid_Requirement'!BS24</f>
        <v/>
      </c>
      <c r="BV256">
        <f>'Grid_Requirement'!BT24</f>
        <v/>
      </c>
      <c r="BW256">
        <f>'Grid_Requirement'!BU24</f>
        <v/>
      </c>
      <c r="BX256">
        <f>'Grid_Requirement'!BV24</f>
        <v/>
      </c>
      <c r="BY256">
        <f>'Grid_Requirement'!BW24</f>
        <v/>
      </c>
      <c r="BZ256">
        <f>'Grid_Requirement'!BX24</f>
        <v/>
      </c>
      <c r="CA256">
        <f>'Grid_Requirement'!BY24</f>
        <v/>
      </c>
      <c r="CB256">
        <f>'Grid_Requirement'!BZ24</f>
        <v/>
      </c>
      <c r="CC256">
        <f>'Grid_Requirement'!CA24</f>
        <v/>
      </c>
      <c r="CD256">
        <f>'Grid_Requirement'!CB24</f>
        <v/>
      </c>
      <c r="CE256">
        <f>'Grid_Requirement'!CC24</f>
        <v/>
      </c>
      <c r="CF256">
        <f>'Grid_Requirement'!CD24</f>
        <v/>
      </c>
      <c r="CG256">
        <f>'Grid_Requirement'!CE24</f>
        <v/>
      </c>
      <c r="CH256">
        <f>'Grid_Requirement'!CF24</f>
        <v/>
      </c>
      <c r="CI256">
        <f>'Grid_Requirement'!CG24</f>
        <v/>
      </c>
      <c r="CJ256">
        <f>'Grid_Requirement'!CH24</f>
        <v/>
      </c>
      <c r="CK256">
        <f>'Grid_Requirement'!CI24</f>
        <v/>
      </c>
      <c r="CL256">
        <f>'Grid_Requirement'!CJ24</f>
        <v/>
      </c>
      <c r="CM256">
        <f>'Grid_Requirement'!CK24</f>
        <v/>
      </c>
      <c r="CN256">
        <f>'Grid_Requirement'!CL24</f>
        <v/>
      </c>
      <c r="CO256">
        <f>'Grid_Requirement'!CM24</f>
        <v/>
      </c>
      <c r="CP256">
        <f>'Grid_Requirement'!CN24</f>
        <v/>
      </c>
      <c r="CQ256">
        <f>'Grid_Requirement'!CO24</f>
        <v/>
      </c>
      <c r="CR256">
        <f>'Grid_Requirement'!CP24</f>
        <v/>
      </c>
      <c r="CS256">
        <f>'Grid_Requirement'!CQ24</f>
        <v/>
      </c>
      <c r="CT256">
        <f>'Grid_Requirement'!CR24</f>
        <v/>
      </c>
      <c r="CU256">
        <f>'Grid_Requirement'!CS24</f>
        <v/>
      </c>
      <c r="CV256">
        <f>'Grid_Requirement'!CT24</f>
        <v/>
      </c>
      <c r="CW256">
        <f>'Grid_Requirement'!CU24</f>
        <v/>
      </c>
      <c r="CX256">
        <f>'Grid_Requirement'!CV24</f>
        <v/>
      </c>
      <c r="CY256">
        <f>'Grid_Requirement'!CW24</f>
        <v/>
      </c>
      <c r="CZ256">
        <f>'Grid_Requirement'!CX24</f>
        <v/>
      </c>
      <c r="DA256">
        <f>'Grid_Requirement'!CY24</f>
        <v/>
      </c>
      <c r="DB256">
        <f>'Grid_Requirement'!CZ24</f>
        <v/>
      </c>
      <c r="DC256">
        <f>'Grid_Requirement'!DA24</f>
        <v/>
      </c>
    </row>
    <row r="257">
      <c r="B257" t="inlineStr">
        <is>
          <t>TTAF在庫(実績,kg)</t>
        </is>
      </c>
      <c r="D257">
        <f>'T_TTAFStock'!B28</f>
        <v/>
      </c>
      <c r="E257">
        <f>'T_TTAFStock'!C28</f>
        <v/>
      </c>
      <c r="F257">
        <f>'T_TTAFStock'!D28</f>
        <v/>
      </c>
      <c r="G257">
        <f>'T_TTAFStock'!E28</f>
        <v/>
      </c>
      <c r="H257">
        <f>'T_TTAFStock'!F28</f>
        <v/>
      </c>
      <c r="I257">
        <f>'T_TTAFStock'!G28</f>
        <v/>
      </c>
      <c r="J257">
        <f>'T_TTAFStock'!H28</f>
        <v/>
      </c>
      <c r="K257">
        <f>'T_TTAFStock'!I28</f>
        <v/>
      </c>
      <c r="L257">
        <f>'T_TTAFStock'!J28</f>
        <v/>
      </c>
      <c r="M257">
        <f>'T_TTAFStock'!K28</f>
        <v/>
      </c>
      <c r="N257">
        <f>'T_TTAFStock'!L28</f>
        <v/>
      </c>
      <c r="O257">
        <f>'T_TTAFStock'!M28</f>
        <v/>
      </c>
      <c r="P257">
        <f>'T_TTAFStock'!N28</f>
        <v/>
      </c>
      <c r="Q257">
        <f>'T_TTAFStock'!O28</f>
        <v/>
      </c>
      <c r="R257">
        <f>'T_TTAFStock'!P28</f>
        <v/>
      </c>
      <c r="S257">
        <f>'T_TTAFStock'!Q28</f>
        <v/>
      </c>
      <c r="T257">
        <f>'T_TTAFStock'!R28</f>
        <v/>
      </c>
      <c r="U257">
        <f>'T_TTAFStock'!S28</f>
        <v/>
      </c>
      <c r="V257">
        <f>'T_TTAFStock'!T28</f>
        <v/>
      </c>
      <c r="W257">
        <f>'T_TTAFStock'!U28</f>
        <v/>
      </c>
      <c r="X257">
        <f>'T_TTAFStock'!V28</f>
        <v/>
      </c>
      <c r="Y257">
        <f>'T_TTAFStock'!W28</f>
        <v/>
      </c>
      <c r="Z257">
        <f>'T_TTAFStock'!X28</f>
        <v/>
      </c>
      <c r="AA257">
        <f>'T_TTAFStock'!Y28</f>
        <v/>
      </c>
      <c r="AB257">
        <f>'T_TTAFStock'!Z28</f>
        <v/>
      </c>
      <c r="AC257">
        <f>'T_TTAFStock'!AA28</f>
        <v/>
      </c>
      <c r="AD257">
        <f>'T_TTAFStock'!AB28</f>
        <v/>
      </c>
      <c r="AE257">
        <f>'T_TTAFStock'!AC28</f>
        <v/>
      </c>
      <c r="AF257">
        <f>'T_TTAFStock'!AD28</f>
        <v/>
      </c>
      <c r="AG257">
        <f>'T_TTAFStock'!AE28</f>
        <v/>
      </c>
      <c r="AH257">
        <f>'T_TTAFStock'!AF28</f>
        <v/>
      </c>
      <c r="AI257">
        <f>'T_TTAFStock'!AG28</f>
        <v/>
      </c>
      <c r="AJ257">
        <f>'T_TTAFStock'!AH28</f>
        <v/>
      </c>
      <c r="AK257">
        <f>'T_TTAFStock'!AI28</f>
        <v/>
      </c>
      <c r="AL257">
        <f>'T_TTAFStock'!AJ28</f>
        <v/>
      </c>
      <c r="AM257">
        <f>'T_TTAFStock'!AK28</f>
        <v/>
      </c>
      <c r="AN257">
        <f>'T_TTAFStock'!AL28</f>
        <v/>
      </c>
      <c r="AO257">
        <f>'T_TTAFStock'!AM28</f>
        <v/>
      </c>
      <c r="AP257">
        <f>'T_TTAFStock'!AN28</f>
        <v/>
      </c>
      <c r="AQ257">
        <f>'T_TTAFStock'!AO28</f>
        <v/>
      </c>
      <c r="AR257">
        <f>'T_TTAFStock'!AP28</f>
        <v/>
      </c>
      <c r="AS257">
        <f>'T_TTAFStock'!AQ28</f>
        <v/>
      </c>
      <c r="AT257">
        <f>'T_TTAFStock'!AR28</f>
        <v/>
      </c>
      <c r="AU257">
        <f>'T_TTAFStock'!AS28</f>
        <v/>
      </c>
      <c r="AV257">
        <f>'T_TTAFStock'!AT28</f>
        <v/>
      </c>
      <c r="AW257">
        <f>'T_TTAFStock'!AU28</f>
        <v/>
      </c>
      <c r="AX257">
        <f>'T_TTAFStock'!AV28</f>
        <v/>
      </c>
      <c r="AY257">
        <f>'T_TTAFStock'!AW28</f>
        <v/>
      </c>
      <c r="AZ257">
        <f>'T_TTAFStock'!AX28</f>
        <v/>
      </c>
      <c r="BA257">
        <f>'T_TTAFStock'!AY28</f>
        <v/>
      </c>
      <c r="BB257">
        <f>'T_TTAFStock'!AZ28</f>
        <v/>
      </c>
      <c r="BC257">
        <f>'T_TTAFStock'!BA28</f>
        <v/>
      </c>
      <c r="BD257">
        <f>'T_TTAFStock'!BB28</f>
        <v/>
      </c>
      <c r="BE257">
        <f>'T_TTAFStock'!BC28</f>
        <v/>
      </c>
      <c r="BF257">
        <f>'T_TTAFStock'!BD28</f>
        <v/>
      </c>
      <c r="BG257">
        <f>'T_TTAFStock'!BE28</f>
        <v/>
      </c>
      <c r="BH257">
        <f>'T_TTAFStock'!BF28</f>
        <v/>
      </c>
      <c r="BI257">
        <f>'T_TTAFStock'!BG28</f>
        <v/>
      </c>
      <c r="BJ257">
        <f>'T_TTAFStock'!BH28</f>
        <v/>
      </c>
      <c r="BK257">
        <f>'T_TTAFStock'!BI28</f>
        <v/>
      </c>
      <c r="BL257">
        <f>'T_TTAFStock'!BJ28</f>
        <v/>
      </c>
      <c r="BM257">
        <f>'T_TTAFStock'!BK28</f>
        <v/>
      </c>
      <c r="BN257">
        <f>'T_TTAFStock'!BL28</f>
        <v/>
      </c>
      <c r="BO257">
        <f>'T_TTAFStock'!BM28</f>
        <v/>
      </c>
      <c r="BP257">
        <f>'T_TTAFStock'!BN28</f>
        <v/>
      </c>
      <c r="BQ257">
        <f>'T_TTAFStock'!BO28</f>
        <v/>
      </c>
      <c r="BR257">
        <f>'T_TTAFStock'!BP28</f>
        <v/>
      </c>
      <c r="BS257">
        <f>'T_TTAFStock'!BQ28</f>
        <v/>
      </c>
      <c r="BT257">
        <f>'T_TTAFStock'!BR28</f>
        <v/>
      </c>
      <c r="BU257">
        <f>'T_TTAFStock'!BS28</f>
        <v/>
      </c>
      <c r="BV257">
        <f>'T_TTAFStock'!BT28</f>
        <v/>
      </c>
      <c r="BW257">
        <f>'T_TTAFStock'!BU28</f>
        <v/>
      </c>
      <c r="BX257">
        <f>'T_TTAFStock'!BV28</f>
        <v/>
      </c>
      <c r="BY257">
        <f>'T_TTAFStock'!BW28</f>
        <v/>
      </c>
      <c r="BZ257">
        <f>'T_TTAFStock'!BX28</f>
        <v/>
      </c>
      <c r="CA257">
        <f>'T_TTAFStock'!BY28</f>
        <v/>
      </c>
      <c r="CB257">
        <f>'T_TTAFStock'!BZ28</f>
        <v/>
      </c>
      <c r="CC257">
        <f>'T_TTAFStock'!CA28</f>
        <v/>
      </c>
      <c r="CD257">
        <f>'T_TTAFStock'!CB28</f>
        <v/>
      </c>
      <c r="CE257">
        <f>'T_TTAFStock'!CC28</f>
        <v/>
      </c>
      <c r="CF257">
        <f>'T_TTAFStock'!CD28</f>
        <v/>
      </c>
      <c r="CG257">
        <f>'T_TTAFStock'!CE28</f>
        <v/>
      </c>
      <c r="CH257">
        <f>'T_TTAFStock'!CF28</f>
        <v/>
      </c>
      <c r="CI257">
        <f>'T_TTAFStock'!CG28</f>
        <v/>
      </c>
      <c r="CJ257">
        <f>'T_TTAFStock'!CH28</f>
        <v/>
      </c>
      <c r="CK257">
        <f>'T_TTAFStock'!CI28</f>
        <v/>
      </c>
      <c r="CL257">
        <f>'T_TTAFStock'!CJ28</f>
        <v/>
      </c>
      <c r="CM257">
        <f>'T_TTAFStock'!CK28</f>
        <v/>
      </c>
      <c r="CN257">
        <f>'T_TTAFStock'!CL28</f>
        <v/>
      </c>
      <c r="CO257">
        <f>'T_TTAFStock'!CM28</f>
        <v/>
      </c>
      <c r="CP257">
        <f>'T_TTAFStock'!CN28</f>
        <v/>
      </c>
      <c r="CQ257">
        <f>'T_TTAFStock'!CO28</f>
        <v/>
      </c>
      <c r="CR257">
        <f>'T_TTAFStock'!CP28</f>
        <v/>
      </c>
      <c r="CS257">
        <f>'T_TTAFStock'!CQ28</f>
        <v/>
      </c>
      <c r="CT257">
        <f>'T_TTAFStock'!CR28</f>
        <v/>
      </c>
      <c r="CU257">
        <f>'T_TTAFStock'!CS28</f>
        <v/>
      </c>
      <c r="CV257">
        <f>'T_TTAFStock'!CT28</f>
        <v/>
      </c>
      <c r="CW257">
        <f>'T_TTAFStock'!CU28</f>
        <v/>
      </c>
      <c r="CX257">
        <f>'T_TTAFStock'!CV28</f>
        <v/>
      </c>
      <c r="CY257">
        <f>'T_TTAFStock'!CW28</f>
        <v/>
      </c>
      <c r="CZ257">
        <f>'T_TTAFStock'!CX28</f>
        <v/>
      </c>
      <c r="DA257">
        <f>'T_TTAFStock'!CY28</f>
        <v/>
      </c>
      <c r="DB257">
        <f>'T_TTAFStock'!CZ28</f>
        <v/>
      </c>
      <c r="DC257">
        <f>'T_TTAFStock'!DA28</f>
        <v/>
      </c>
    </row>
    <row r="258">
      <c r="B258" t="inlineStr">
        <is>
          <t>自社在庫(実績,kg)</t>
        </is>
      </c>
      <c r="D258">
        <f>'T_SelfStock'!B28</f>
        <v/>
      </c>
      <c r="E258">
        <f>'T_SelfStock'!C28</f>
        <v/>
      </c>
      <c r="F258">
        <f>'T_SelfStock'!D28</f>
        <v/>
      </c>
      <c r="G258">
        <f>'T_SelfStock'!E28</f>
        <v/>
      </c>
      <c r="H258">
        <f>'T_SelfStock'!F28</f>
        <v/>
      </c>
      <c r="I258">
        <f>'T_SelfStock'!G28</f>
        <v/>
      </c>
      <c r="J258">
        <f>'T_SelfStock'!H28</f>
        <v/>
      </c>
      <c r="K258">
        <f>'T_SelfStock'!I28</f>
        <v/>
      </c>
      <c r="L258">
        <f>'T_SelfStock'!J28</f>
        <v/>
      </c>
      <c r="M258">
        <f>'T_SelfStock'!K28</f>
        <v/>
      </c>
      <c r="N258">
        <f>'T_SelfStock'!L28</f>
        <v/>
      </c>
      <c r="O258">
        <f>'T_SelfStock'!M28</f>
        <v/>
      </c>
      <c r="P258">
        <f>'T_SelfStock'!N28</f>
        <v/>
      </c>
      <c r="Q258">
        <f>'T_SelfStock'!O28</f>
        <v/>
      </c>
      <c r="R258">
        <f>'T_SelfStock'!P28</f>
        <v/>
      </c>
      <c r="S258">
        <f>'T_SelfStock'!Q28</f>
        <v/>
      </c>
      <c r="T258">
        <f>'T_SelfStock'!R28</f>
        <v/>
      </c>
      <c r="U258">
        <f>'T_SelfStock'!S28</f>
        <v/>
      </c>
      <c r="V258">
        <f>'T_SelfStock'!T28</f>
        <v/>
      </c>
      <c r="W258">
        <f>'T_SelfStock'!U28</f>
        <v/>
      </c>
      <c r="X258">
        <f>'T_SelfStock'!V28</f>
        <v/>
      </c>
      <c r="Y258">
        <f>'T_SelfStock'!W28</f>
        <v/>
      </c>
      <c r="Z258">
        <f>'T_SelfStock'!X28</f>
        <v/>
      </c>
      <c r="AA258">
        <f>'T_SelfStock'!Y28</f>
        <v/>
      </c>
      <c r="AB258">
        <f>'T_SelfStock'!Z28</f>
        <v/>
      </c>
      <c r="AC258">
        <f>'T_SelfStock'!AA28</f>
        <v/>
      </c>
      <c r="AD258">
        <f>'T_SelfStock'!AB28</f>
        <v/>
      </c>
      <c r="AE258">
        <f>'T_SelfStock'!AC28</f>
        <v/>
      </c>
      <c r="AF258">
        <f>'T_SelfStock'!AD28</f>
        <v/>
      </c>
      <c r="AG258">
        <f>'T_SelfStock'!AE28</f>
        <v/>
      </c>
      <c r="AH258">
        <f>'T_SelfStock'!AF28</f>
        <v/>
      </c>
      <c r="AI258">
        <f>'T_SelfStock'!AG28</f>
        <v/>
      </c>
      <c r="AJ258">
        <f>'T_SelfStock'!AH28</f>
        <v/>
      </c>
      <c r="AK258">
        <f>'T_SelfStock'!AI28</f>
        <v/>
      </c>
      <c r="AL258">
        <f>'T_SelfStock'!AJ28</f>
        <v/>
      </c>
      <c r="AM258">
        <f>'T_SelfStock'!AK28</f>
        <v/>
      </c>
      <c r="AN258">
        <f>'T_SelfStock'!AL28</f>
        <v/>
      </c>
      <c r="AO258">
        <f>'T_SelfStock'!AM28</f>
        <v/>
      </c>
      <c r="AP258">
        <f>'T_SelfStock'!AN28</f>
        <v/>
      </c>
      <c r="AQ258">
        <f>'T_SelfStock'!AO28</f>
        <v/>
      </c>
      <c r="AR258">
        <f>'T_SelfStock'!AP28</f>
        <v/>
      </c>
      <c r="AS258">
        <f>'T_SelfStock'!AQ28</f>
        <v/>
      </c>
      <c r="AT258">
        <f>'T_SelfStock'!AR28</f>
        <v/>
      </c>
      <c r="AU258">
        <f>'T_SelfStock'!AS28</f>
        <v/>
      </c>
      <c r="AV258">
        <f>'T_SelfStock'!AT28</f>
        <v/>
      </c>
      <c r="AW258">
        <f>'T_SelfStock'!AU28</f>
        <v/>
      </c>
      <c r="AX258">
        <f>'T_SelfStock'!AV28</f>
        <v/>
      </c>
      <c r="AY258">
        <f>'T_SelfStock'!AW28</f>
        <v/>
      </c>
      <c r="AZ258">
        <f>'T_SelfStock'!AX28</f>
        <v/>
      </c>
      <c r="BA258">
        <f>'T_SelfStock'!AY28</f>
        <v/>
      </c>
      <c r="BB258">
        <f>'T_SelfStock'!AZ28</f>
        <v/>
      </c>
      <c r="BC258">
        <f>'T_SelfStock'!BA28</f>
        <v/>
      </c>
      <c r="BD258">
        <f>'T_SelfStock'!BB28</f>
        <v/>
      </c>
      <c r="BE258">
        <f>'T_SelfStock'!BC28</f>
        <v/>
      </c>
      <c r="BF258">
        <f>'T_SelfStock'!BD28</f>
        <v/>
      </c>
      <c r="BG258">
        <f>'T_SelfStock'!BE28</f>
        <v/>
      </c>
      <c r="BH258">
        <f>'T_SelfStock'!BF28</f>
        <v/>
      </c>
      <c r="BI258">
        <f>'T_SelfStock'!BG28</f>
        <v/>
      </c>
      <c r="BJ258">
        <f>'T_SelfStock'!BH28</f>
        <v/>
      </c>
      <c r="BK258">
        <f>'T_SelfStock'!BI28</f>
        <v/>
      </c>
      <c r="BL258">
        <f>'T_SelfStock'!BJ28</f>
        <v/>
      </c>
      <c r="BM258">
        <f>'T_SelfStock'!BK28</f>
        <v/>
      </c>
      <c r="BN258">
        <f>'T_SelfStock'!BL28</f>
        <v/>
      </c>
      <c r="BO258">
        <f>'T_SelfStock'!BM28</f>
        <v/>
      </c>
      <c r="BP258">
        <f>'T_SelfStock'!BN28</f>
        <v/>
      </c>
      <c r="BQ258">
        <f>'T_SelfStock'!BO28</f>
        <v/>
      </c>
      <c r="BR258">
        <f>'T_SelfStock'!BP28</f>
        <v/>
      </c>
      <c r="BS258">
        <f>'T_SelfStock'!BQ28</f>
        <v/>
      </c>
      <c r="BT258">
        <f>'T_SelfStock'!BR28</f>
        <v/>
      </c>
      <c r="BU258">
        <f>'T_SelfStock'!BS28</f>
        <v/>
      </c>
      <c r="BV258">
        <f>'T_SelfStock'!BT28</f>
        <v/>
      </c>
      <c r="BW258">
        <f>'T_SelfStock'!BU28</f>
        <v/>
      </c>
      <c r="BX258">
        <f>'T_SelfStock'!BV28</f>
        <v/>
      </c>
      <c r="BY258">
        <f>'T_SelfStock'!BW28</f>
        <v/>
      </c>
      <c r="BZ258">
        <f>'T_SelfStock'!BX28</f>
        <v/>
      </c>
      <c r="CA258">
        <f>'T_SelfStock'!BY28</f>
        <v/>
      </c>
      <c r="CB258">
        <f>'T_SelfStock'!BZ28</f>
        <v/>
      </c>
      <c r="CC258">
        <f>'T_SelfStock'!CA28</f>
        <v/>
      </c>
      <c r="CD258">
        <f>'T_SelfStock'!CB28</f>
        <v/>
      </c>
      <c r="CE258">
        <f>'T_SelfStock'!CC28</f>
        <v/>
      </c>
      <c r="CF258">
        <f>'T_SelfStock'!CD28</f>
        <v/>
      </c>
      <c r="CG258">
        <f>'T_SelfStock'!CE28</f>
        <v/>
      </c>
      <c r="CH258">
        <f>'T_SelfStock'!CF28</f>
        <v/>
      </c>
      <c r="CI258">
        <f>'T_SelfStock'!CG28</f>
        <v/>
      </c>
      <c r="CJ258">
        <f>'T_SelfStock'!CH28</f>
        <v/>
      </c>
      <c r="CK258">
        <f>'T_SelfStock'!CI28</f>
        <v/>
      </c>
      <c r="CL258">
        <f>'T_SelfStock'!CJ28</f>
        <v/>
      </c>
      <c r="CM258">
        <f>'T_SelfStock'!CK28</f>
        <v/>
      </c>
      <c r="CN258">
        <f>'T_SelfStock'!CL28</f>
        <v/>
      </c>
      <c r="CO258">
        <f>'T_SelfStock'!CM28</f>
        <v/>
      </c>
      <c r="CP258">
        <f>'T_SelfStock'!CN28</f>
        <v/>
      </c>
      <c r="CQ258">
        <f>'T_SelfStock'!CO28</f>
        <v/>
      </c>
      <c r="CR258">
        <f>'T_SelfStock'!CP28</f>
        <v/>
      </c>
      <c r="CS258">
        <f>'T_SelfStock'!CQ28</f>
        <v/>
      </c>
      <c r="CT258">
        <f>'T_SelfStock'!CR28</f>
        <v/>
      </c>
      <c r="CU258">
        <f>'T_SelfStock'!CS28</f>
        <v/>
      </c>
      <c r="CV258">
        <f>'T_SelfStock'!CT28</f>
        <v/>
      </c>
      <c r="CW258">
        <f>'T_SelfStock'!CU28</f>
        <v/>
      </c>
      <c r="CX258">
        <f>'T_SelfStock'!CV28</f>
        <v/>
      </c>
      <c r="CY258">
        <f>'T_SelfStock'!CW28</f>
        <v/>
      </c>
      <c r="CZ258">
        <f>'T_SelfStock'!CX28</f>
        <v/>
      </c>
      <c r="DA258">
        <f>'T_SelfStock'!CY28</f>
        <v/>
      </c>
      <c r="DB258">
        <f>'T_SelfStock'!CZ28</f>
        <v/>
      </c>
      <c r="DC258">
        <f>'T_SelfStock'!DA28</f>
        <v/>
      </c>
    </row>
    <row r="259">
      <c r="B259" t="inlineStr">
        <is>
          <t>Order(発注予定,kg)</t>
        </is>
      </c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  <c r="AA259" s="23" t="n"/>
      <c r="AB259" s="23" t="n"/>
      <c r="AC259" s="23" t="n"/>
      <c r="AD259" s="23" t="n"/>
      <c r="AE259" s="23" t="n"/>
      <c r="AF259" s="23" t="n"/>
      <c r="AG259" s="23" t="n"/>
      <c r="AH259" s="23" t="n"/>
      <c r="AI259" s="23" t="n"/>
      <c r="AJ259" s="23" t="n"/>
      <c r="AK259" s="23" t="n"/>
      <c r="AL259" s="23" t="n"/>
      <c r="AM259" s="23" t="n"/>
      <c r="AN259" s="23" t="n"/>
      <c r="AO259" s="23" t="n"/>
      <c r="AP259" s="23" t="n"/>
      <c r="AQ259" s="23" t="n"/>
      <c r="AR259" s="23" t="n"/>
      <c r="AS259" s="23" t="n"/>
      <c r="AT259" s="23" t="n"/>
      <c r="AU259" s="23" t="n"/>
      <c r="AV259" s="23" t="n"/>
      <c r="AW259" s="23" t="n"/>
      <c r="AX259" s="23" t="n"/>
      <c r="AY259" s="23" t="n"/>
      <c r="AZ259" s="23" t="n"/>
      <c r="BA259" s="23" t="n"/>
      <c r="BB259" s="23" t="n"/>
      <c r="BC259" s="23" t="n"/>
      <c r="BD259" s="23" t="n"/>
      <c r="BE259" s="23" t="n"/>
      <c r="BF259" s="23" t="n"/>
      <c r="BG259" s="23" t="n"/>
      <c r="BH259" s="23" t="n"/>
      <c r="BI259" s="23" t="n"/>
      <c r="BJ259" s="23" t="n"/>
      <c r="BK259" s="23" t="n"/>
      <c r="BL259" s="23" t="n"/>
      <c r="BM259" s="23" t="n"/>
      <c r="BN259" s="23" t="n"/>
      <c r="BO259" s="23" t="n"/>
      <c r="BP259" s="23" t="n"/>
      <c r="BQ259" s="23" t="n"/>
      <c r="BR259" s="23" t="n"/>
      <c r="BS259" s="23" t="n"/>
      <c r="BT259" s="23" t="n"/>
      <c r="BU259" s="23" t="n"/>
      <c r="BV259" s="23" t="n"/>
      <c r="BW259" s="23" t="n"/>
      <c r="BX259" s="23" t="n"/>
      <c r="BY259" s="23" t="n"/>
      <c r="BZ259" s="23" t="n"/>
      <c r="CA259" s="23" t="n"/>
      <c r="CB259" s="23" t="n"/>
      <c r="CC259" s="23" t="n"/>
      <c r="CD259" s="23" t="n"/>
      <c r="CE259" s="23" t="n"/>
      <c r="CF259" s="23" t="n"/>
      <c r="CG259" s="23" t="n"/>
      <c r="CH259" s="23" t="n"/>
      <c r="CI259" s="23" t="n"/>
      <c r="CJ259" s="23" t="n"/>
      <c r="CK259" s="23" t="n"/>
      <c r="CL259" s="23" t="n"/>
      <c r="CM259" s="23" t="n"/>
      <c r="CN259" s="23" t="n"/>
      <c r="CO259" s="23" t="n"/>
      <c r="CP259" s="23" t="n"/>
      <c r="CQ259" s="23" t="n"/>
      <c r="CR259" s="23" t="n"/>
      <c r="CS259" s="23" t="n"/>
      <c r="CT259" s="23" t="n"/>
      <c r="CU259" s="23" t="n"/>
      <c r="CV259" s="23" t="n"/>
      <c r="CW259" s="23" t="n"/>
      <c r="CX259" s="23" t="n"/>
      <c r="CY259" s="23" t="n"/>
      <c r="CZ259" s="23" t="n"/>
      <c r="DA259" s="23" t="n"/>
      <c r="DB259" s="23" t="n"/>
      <c r="DC259" s="23" t="n"/>
      <c r="DE259" s="12" t="inlineStr">
        <is>
          <t>CHEM-1240</t>
        </is>
      </c>
    </row>
    <row r="260">
      <c r="B260" s="24" t="inlineStr">
        <is>
          <t>PO_No</t>
        </is>
      </c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  <c r="AD260" s="25" t="n"/>
      <c r="AE260" s="25" t="n"/>
      <c r="AF260" s="25" t="n"/>
      <c r="AG260" s="25" t="n"/>
      <c r="AH260" s="25" t="n"/>
      <c r="AI260" s="25" t="n"/>
      <c r="AJ260" s="25" t="n"/>
      <c r="AK260" s="25" t="n"/>
      <c r="AL260" s="25" t="n"/>
      <c r="AM260" s="25" t="n"/>
      <c r="AN260" s="25" t="n"/>
      <c r="AO260" s="25" t="n"/>
      <c r="AP260" s="25" t="n"/>
      <c r="AQ260" s="25" t="n"/>
      <c r="AR260" s="25" t="n"/>
      <c r="AS260" s="25" t="n"/>
      <c r="AT260" s="25" t="n"/>
      <c r="AU260" s="25" t="n"/>
      <c r="AV260" s="25" t="n"/>
      <c r="AW260" s="25" t="n"/>
      <c r="AX260" s="25" t="n"/>
      <c r="AY260" s="25" t="n"/>
      <c r="AZ260" s="25" t="n"/>
      <c r="BA260" s="25" t="n"/>
      <c r="BB260" s="25" t="n"/>
      <c r="BC260" s="25" t="n"/>
      <c r="BD260" s="25" t="n"/>
      <c r="BE260" s="25" t="n"/>
      <c r="BF260" s="25" t="n"/>
      <c r="BG260" s="25" t="n"/>
      <c r="BH260" s="25" t="n"/>
      <c r="BI260" s="25" t="n"/>
      <c r="BJ260" s="25" t="n"/>
      <c r="BK260" s="25" t="n"/>
      <c r="BL260" s="25" t="n"/>
      <c r="BM260" s="25" t="n"/>
      <c r="BN260" s="25" t="n"/>
      <c r="BO260" s="25" t="n"/>
      <c r="BP260" s="25" t="n"/>
      <c r="BQ260" s="25" t="n"/>
      <c r="BR260" s="25" t="n"/>
      <c r="BS260" s="25" t="n"/>
      <c r="BT260" s="25" t="n"/>
      <c r="BU260" s="25" t="n"/>
      <c r="BV260" s="25" t="n"/>
      <c r="BW260" s="25" t="n"/>
      <c r="BX260" s="25" t="n"/>
      <c r="BY260" s="25" t="n"/>
      <c r="BZ260" s="25" t="n"/>
      <c r="CA260" s="25" t="n"/>
      <c r="CB260" s="25" t="n"/>
      <c r="CC260" s="25" t="n"/>
      <c r="CD260" s="25" t="n"/>
      <c r="CE260" s="25" t="n"/>
      <c r="CF260" s="25" t="n"/>
      <c r="CG260" s="25" t="n"/>
      <c r="CH260" s="25" t="n"/>
      <c r="CI260" s="25" t="n"/>
      <c r="CJ260" s="25" t="n"/>
      <c r="CK260" s="25" t="n"/>
      <c r="CL260" s="25" t="n"/>
      <c r="CM260" s="25" t="n"/>
      <c r="CN260" s="25" t="n"/>
      <c r="CO260" s="25" t="n"/>
      <c r="CP260" s="25" t="n"/>
      <c r="CQ260" s="25" t="n"/>
      <c r="CR260" s="25" t="n"/>
      <c r="CS260" s="25" t="n"/>
      <c r="CT260" s="25" t="n"/>
      <c r="CU260" s="25" t="n"/>
      <c r="CV260" s="25" t="n"/>
      <c r="CW260" s="25" t="n"/>
      <c r="CX260" s="25" t="n"/>
      <c r="CY260" s="25" t="n"/>
      <c r="CZ260" s="25" t="n"/>
      <c r="DA260" s="25" t="n"/>
      <c r="DB260" s="25" t="n"/>
      <c r="DC260" s="25" t="n"/>
    </row>
    <row r="261">
      <c r="B261" s="5" t="inlineStr">
        <is>
          <t>合計在庫(週末時点,kg)</t>
        </is>
      </c>
      <c r="D261">
        <f>'Grid_Stock'!B24</f>
        <v/>
      </c>
      <c r="E261">
        <f>'Grid_Stock'!C24</f>
        <v/>
      </c>
      <c r="F261">
        <f>'Grid_Stock'!D24</f>
        <v/>
      </c>
      <c r="G261">
        <f>'Grid_Stock'!E24</f>
        <v/>
      </c>
      <c r="H261">
        <f>'Grid_Stock'!F24</f>
        <v/>
      </c>
      <c r="I261">
        <f>'Grid_Stock'!G24</f>
        <v/>
      </c>
      <c r="J261">
        <f>'Grid_Stock'!H24</f>
        <v/>
      </c>
      <c r="K261">
        <f>'Grid_Stock'!I24</f>
        <v/>
      </c>
      <c r="L261">
        <f>'Grid_Stock'!J24</f>
        <v/>
      </c>
      <c r="M261">
        <f>'Grid_Stock'!K24</f>
        <v/>
      </c>
      <c r="N261">
        <f>'Grid_Stock'!L24</f>
        <v/>
      </c>
      <c r="O261">
        <f>'Grid_Stock'!M24</f>
        <v/>
      </c>
      <c r="P261">
        <f>'Grid_Stock'!N24</f>
        <v/>
      </c>
      <c r="Q261">
        <f>'Grid_Stock'!O24</f>
        <v/>
      </c>
      <c r="R261">
        <f>'Grid_Stock'!P24</f>
        <v/>
      </c>
      <c r="S261">
        <f>'Grid_Stock'!Q24</f>
        <v/>
      </c>
      <c r="T261">
        <f>'Grid_Stock'!R24</f>
        <v/>
      </c>
      <c r="U261">
        <f>'Grid_Stock'!S24</f>
        <v/>
      </c>
      <c r="V261">
        <f>'Grid_Stock'!T24</f>
        <v/>
      </c>
      <c r="W261">
        <f>'Grid_Stock'!U24</f>
        <v/>
      </c>
      <c r="X261">
        <f>'Grid_Stock'!V24</f>
        <v/>
      </c>
      <c r="Y261">
        <f>'Grid_Stock'!W24</f>
        <v/>
      </c>
      <c r="Z261">
        <f>'Grid_Stock'!X24</f>
        <v/>
      </c>
      <c r="AA261">
        <f>'Grid_Stock'!Y24</f>
        <v/>
      </c>
      <c r="AB261">
        <f>'Grid_Stock'!Z24</f>
        <v/>
      </c>
      <c r="AC261">
        <f>'Grid_Stock'!AA24</f>
        <v/>
      </c>
      <c r="AD261">
        <f>'Grid_Stock'!AB24</f>
        <v/>
      </c>
      <c r="AE261">
        <f>'Grid_Stock'!AC24</f>
        <v/>
      </c>
      <c r="AF261">
        <f>'Grid_Stock'!AD24</f>
        <v/>
      </c>
      <c r="AG261">
        <f>'Grid_Stock'!AE24</f>
        <v/>
      </c>
      <c r="AH261">
        <f>'Grid_Stock'!AF24</f>
        <v/>
      </c>
      <c r="AI261">
        <f>'Grid_Stock'!AG24</f>
        <v/>
      </c>
      <c r="AJ261">
        <f>'Grid_Stock'!AH24</f>
        <v/>
      </c>
      <c r="AK261">
        <f>'Grid_Stock'!AI24</f>
        <v/>
      </c>
      <c r="AL261">
        <f>'Grid_Stock'!AJ24</f>
        <v/>
      </c>
      <c r="AM261">
        <f>'Grid_Stock'!AK24</f>
        <v/>
      </c>
      <c r="AN261">
        <f>'Grid_Stock'!AL24</f>
        <v/>
      </c>
      <c r="AO261">
        <f>'Grid_Stock'!AM24</f>
        <v/>
      </c>
      <c r="AP261">
        <f>'Grid_Stock'!AN24</f>
        <v/>
      </c>
      <c r="AQ261">
        <f>'Grid_Stock'!AO24</f>
        <v/>
      </c>
      <c r="AR261">
        <f>'Grid_Stock'!AP24</f>
        <v/>
      </c>
      <c r="AS261">
        <f>'Grid_Stock'!AQ24</f>
        <v/>
      </c>
      <c r="AT261">
        <f>'Grid_Stock'!AR24</f>
        <v/>
      </c>
      <c r="AU261">
        <f>'Grid_Stock'!AS24</f>
        <v/>
      </c>
      <c r="AV261">
        <f>'Grid_Stock'!AT24</f>
        <v/>
      </c>
      <c r="AW261">
        <f>'Grid_Stock'!AU24</f>
        <v/>
      </c>
      <c r="AX261">
        <f>'Grid_Stock'!AV24</f>
        <v/>
      </c>
      <c r="AY261">
        <f>'Grid_Stock'!AW24</f>
        <v/>
      </c>
      <c r="AZ261">
        <f>'Grid_Stock'!AX24</f>
        <v/>
      </c>
      <c r="BA261">
        <f>'Grid_Stock'!AY24</f>
        <v/>
      </c>
      <c r="BB261">
        <f>'Grid_Stock'!AZ24</f>
        <v/>
      </c>
      <c r="BC261">
        <f>'Grid_Stock'!BA24</f>
        <v/>
      </c>
      <c r="BD261">
        <f>'Grid_Stock'!BB24</f>
        <v/>
      </c>
      <c r="BE261">
        <f>'Grid_Stock'!BC24</f>
        <v/>
      </c>
      <c r="BF261">
        <f>'Grid_Stock'!BD24</f>
        <v/>
      </c>
      <c r="BG261">
        <f>'Grid_Stock'!BE24</f>
        <v/>
      </c>
      <c r="BH261">
        <f>'Grid_Stock'!BF24</f>
        <v/>
      </c>
      <c r="BI261">
        <f>'Grid_Stock'!BG24</f>
        <v/>
      </c>
      <c r="BJ261">
        <f>'Grid_Stock'!BH24</f>
        <v/>
      </c>
      <c r="BK261">
        <f>'Grid_Stock'!BI24</f>
        <v/>
      </c>
      <c r="BL261">
        <f>'Grid_Stock'!BJ24</f>
        <v/>
      </c>
      <c r="BM261">
        <f>'Grid_Stock'!BK24</f>
        <v/>
      </c>
      <c r="BN261">
        <f>'Grid_Stock'!BL24</f>
        <v/>
      </c>
      <c r="BO261">
        <f>'Grid_Stock'!BM24</f>
        <v/>
      </c>
      <c r="BP261">
        <f>'Grid_Stock'!BN24</f>
        <v/>
      </c>
      <c r="BQ261">
        <f>'Grid_Stock'!BO24</f>
        <v/>
      </c>
      <c r="BR261">
        <f>'Grid_Stock'!BP24</f>
        <v/>
      </c>
      <c r="BS261">
        <f>'Grid_Stock'!BQ24</f>
        <v/>
      </c>
      <c r="BT261">
        <f>'Grid_Stock'!BR24</f>
        <v/>
      </c>
      <c r="BU261">
        <f>'Grid_Stock'!BS24</f>
        <v/>
      </c>
      <c r="BV261">
        <f>'Grid_Stock'!BT24</f>
        <v/>
      </c>
      <c r="BW261">
        <f>'Grid_Stock'!BU24</f>
        <v/>
      </c>
      <c r="BX261">
        <f>'Grid_Stock'!BV24</f>
        <v/>
      </c>
      <c r="BY261">
        <f>'Grid_Stock'!BW24</f>
        <v/>
      </c>
      <c r="BZ261">
        <f>'Grid_Stock'!BX24</f>
        <v/>
      </c>
      <c r="CA261">
        <f>'Grid_Stock'!BY24</f>
        <v/>
      </c>
      <c r="CB261">
        <f>'Grid_Stock'!BZ24</f>
        <v/>
      </c>
      <c r="CC261">
        <f>'Grid_Stock'!CA24</f>
        <v/>
      </c>
      <c r="CD261">
        <f>'Grid_Stock'!CB24</f>
        <v/>
      </c>
      <c r="CE261">
        <f>'Grid_Stock'!CC24</f>
        <v/>
      </c>
      <c r="CF261">
        <f>'Grid_Stock'!CD24</f>
        <v/>
      </c>
      <c r="CG261">
        <f>'Grid_Stock'!CE24</f>
        <v/>
      </c>
      <c r="CH261">
        <f>'Grid_Stock'!CF24</f>
        <v/>
      </c>
      <c r="CI261">
        <f>'Grid_Stock'!CG24</f>
        <v/>
      </c>
      <c r="CJ261">
        <f>'Grid_Stock'!CH24</f>
        <v/>
      </c>
      <c r="CK261">
        <f>'Grid_Stock'!CI24</f>
        <v/>
      </c>
      <c r="CL261">
        <f>'Grid_Stock'!CJ24</f>
        <v/>
      </c>
      <c r="CM261">
        <f>'Grid_Stock'!CK24</f>
        <v/>
      </c>
      <c r="CN261">
        <f>'Grid_Stock'!CL24</f>
        <v/>
      </c>
      <c r="CO261">
        <f>'Grid_Stock'!CM24</f>
        <v/>
      </c>
      <c r="CP261">
        <f>'Grid_Stock'!CN24</f>
        <v/>
      </c>
      <c r="CQ261">
        <f>'Grid_Stock'!CO24</f>
        <v/>
      </c>
      <c r="CR261">
        <f>'Grid_Stock'!CP24</f>
        <v/>
      </c>
      <c r="CS261">
        <f>'Grid_Stock'!CQ24</f>
        <v/>
      </c>
      <c r="CT261">
        <f>'Grid_Stock'!CR24</f>
        <v/>
      </c>
      <c r="CU261">
        <f>'Grid_Stock'!CS24</f>
        <v/>
      </c>
      <c r="CV261">
        <f>'Grid_Stock'!CT24</f>
        <v/>
      </c>
      <c r="CW261">
        <f>'Grid_Stock'!CU24</f>
        <v/>
      </c>
      <c r="CX261">
        <f>'Grid_Stock'!CV24</f>
        <v/>
      </c>
      <c r="CY261">
        <f>'Grid_Stock'!CW24</f>
        <v/>
      </c>
      <c r="CZ261">
        <f>'Grid_Stock'!CX24</f>
        <v/>
      </c>
      <c r="DA261">
        <f>'Grid_Stock'!CY24</f>
        <v/>
      </c>
      <c r="DB261">
        <f>'Grid_Stock'!CZ24</f>
        <v/>
      </c>
      <c r="DC261">
        <f>'Grid_Stock'!DA24</f>
        <v/>
      </c>
    </row>
    <row r="262">
      <c r="B262" s="26" t="inlineStr">
        <is>
          <t>（発注の目安はDashboardの基準在庫[下限/上限]と色分けを参照）</t>
        </is>
      </c>
    </row>
    <row r="264">
      <c r="A264" s="21" t="inlineStr">
        <is>
          <t>CHEM-1510</t>
        </is>
      </c>
      <c r="B264" s="21" t="inlineStr">
        <is>
          <t>BA-070</t>
        </is>
      </c>
      <c r="C264" s="22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  <c r="AA264" s="21" t="n"/>
      <c r="AB264" s="21" t="n"/>
      <c r="AC264" s="21" t="n"/>
      <c r="AD264" s="21" t="n"/>
      <c r="AE264" s="21" t="n"/>
      <c r="AF264" s="21" t="n"/>
      <c r="AG264" s="21" t="n"/>
      <c r="AH264" s="21" t="n"/>
      <c r="AI264" s="21" t="n"/>
      <c r="AJ264" s="21" t="n"/>
      <c r="AK264" s="21" t="n"/>
      <c r="AL264" s="21" t="n"/>
      <c r="AM264" s="21" t="n"/>
      <c r="AN264" s="21" t="n"/>
      <c r="AO264" s="21" t="n"/>
      <c r="AP264" s="21" t="n"/>
      <c r="AQ264" s="21" t="n"/>
      <c r="AR264" s="21" t="n"/>
      <c r="AS264" s="21" t="n"/>
      <c r="AT264" s="21" t="n"/>
      <c r="AU264" s="21" t="n"/>
      <c r="AV264" s="21" t="n"/>
      <c r="AW264" s="21" t="n"/>
      <c r="AX264" s="21" t="n"/>
      <c r="AY264" s="21" t="n"/>
      <c r="AZ264" s="21" t="n"/>
      <c r="BA264" s="21" t="n"/>
      <c r="BB264" s="21" t="n"/>
      <c r="BC264" s="21" t="n"/>
      <c r="BD264" s="21" t="n"/>
      <c r="BE264" s="21" t="n"/>
      <c r="BF264" s="21" t="n"/>
      <c r="BG264" s="21" t="n"/>
      <c r="BH264" s="21" t="n"/>
      <c r="BI264" s="21" t="n"/>
      <c r="BJ264" s="21" t="n"/>
      <c r="BK264" s="21" t="n"/>
      <c r="BL264" s="21" t="n"/>
      <c r="BM264" s="21" t="n"/>
      <c r="BN264" s="21" t="n"/>
      <c r="BO264" s="21" t="n"/>
      <c r="BP264" s="21" t="n"/>
      <c r="BQ264" s="21" t="n"/>
      <c r="BR264" s="21" t="n"/>
      <c r="BS264" s="21" t="n"/>
      <c r="BT264" s="21" t="n"/>
      <c r="BU264" s="21" t="n"/>
      <c r="BV264" s="21" t="n"/>
      <c r="BW264" s="21" t="n"/>
      <c r="BX264" s="21" t="n"/>
      <c r="BY264" s="21" t="n"/>
      <c r="BZ264" s="21" t="n"/>
      <c r="CA264" s="21" t="n"/>
      <c r="CB264" s="21" t="n"/>
      <c r="CC264" s="21" t="n"/>
      <c r="CD264" s="21" t="n"/>
      <c r="CE264" s="21" t="n"/>
      <c r="CF264" s="21" t="n"/>
      <c r="CG264" s="21" t="n"/>
      <c r="CH264" s="21" t="n"/>
      <c r="CI264" s="21" t="n"/>
      <c r="CJ264" s="21" t="n"/>
      <c r="CK264" s="21" t="n"/>
      <c r="CL264" s="21" t="n"/>
      <c r="CM264" s="21" t="n"/>
      <c r="CN264" s="21" t="n"/>
      <c r="CO264" s="21" t="n"/>
      <c r="CP264" s="21" t="n"/>
      <c r="CQ264" s="21" t="n"/>
      <c r="CR264" s="21" t="n"/>
      <c r="CS264" s="21" t="n"/>
      <c r="CT264" s="21" t="n"/>
      <c r="CU264" s="21" t="n"/>
      <c r="CV264" s="21" t="n"/>
      <c r="CW264" s="21" t="n"/>
      <c r="CX264" s="21" t="n"/>
      <c r="CY264" s="21" t="n"/>
      <c r="CZ264" s="21" t="n"/>
      <c r="DA264" s="21" t="n"/>
      <c r="DB264" s="21" t="n"/>
      <c r="DC264" s="21" t="n"/>
    </row>
    <row r="265">
      <c r="B265" t="inlineStr">
        <is>
          <t>TSP-1388</t>
        </is>
      </c>
      <c r="C265" t="inlineStr">
        <is>
          <t>No. of batches</t>
        </is>
      </c>
      <c r="D265">
        <f>IFERROR(INDEX(PP_Grid[#Data],$DD265,2),0)</f>
        <v/>
      </c>
      <c r="E265">
        <f>IFERROR(INDEX(PP_Grid[#Data],$DD265,3),0)</f>
        <v/>
      </c>
      <c r="F265">
        <f>IFERROR(INDEX(PP_Grid[#Data],$DD265,4),0)</f>
        <v/>
      </c>
      <c r="G265">
        <f>IFERROR(INDEX(PP_Grid[#Data],$DD265,5),0)</f>
        <v/>
      </c>
      <c r="H265">
        <f>IFERROR(INDEX(PP_Grid[#Data],$DD265,6),0)</f>
        <v/>
      </c>
      <c r="I265">
        <f>IFERROR(INDEX(PP_Grid[#Data],$DD265,7),0)</f>
        <v/>
      </c>
      <c r="J265">
        <f>IFERROR(INDEX(PP_Grid[#Data],$DD265,8),0)</f>
        <v/>
      </c>
      <c r="K265">
        <f>IFERROR(INDEX(PP_Grid[#Data],$DD265,9),0)</f>
        <v/>
      </c>
      <c r="L265">
        <f>IFERROR(INDEX(PP_Grid[#Data],$DD265,10),0)</f>
        <v/>
      </c>
      <c r="M265">
        <f>IFERROR(INDEX(PP_Grid[#Data],$DD265,11),0)</f>
        <v/>
      </c>
      <c r="N265">
        <f>IFERROR(INDEX(PP_Grid[#Data],$DD265,12),0)</f>
        <v/>
      </c>
      <c r="O265">
        <f>IFERROR(INDEX(PP_Grid[#Data],$DD265,13),0)</f>
        <v/>
      </c>
      <c r="P265">
        <f>IFERROR(INDEX(PP_Grid[#Data],$DD265,14),0)</f>
        <v/>
      </c>
      <c r="Q265">
        <f>IFERROR(INDEX(PP_Grid[#Data],$DD265,15),0)</f>
        <v/>
      </c>
      <c r="R265">
        <f>IFERROR(INDEX(PP_Grid[#Data],$DD265,16),0)</f>
        <v/>
      </c>
      <c r="S265">
        <f>IFERROR(INDEX(PP_Grid[#Data],$DD265,17),0)</f>
        <v/>
      </c>
      <c r="T265">
        <f>IFERROR(INDEX(PP_Grid[#Data],$DD265,18),0)</f>
        <v/>
      </c>
      <c r="U265">
        <f>IFERROR(INDEX(PP_Grid[#Data],$DD265,19),0)</f>
        <v/>
      </c>
      <c r="V265">
        <f>IFERROR(INDEX(PP_Grid[#Data],$DD265,20),0)</f>
        <v/>
      </c>
      <c r="W265">
        <f>IFERROR(INDEX(PP_Grid[#Data],$DD265,21),0)</f>
        <v/>
      </c>
      <c r="X265">
        <f>IFERROR(INDEX(PP_Grid[#Data],$DD265,22),0)</f>
        <v/>
      </c>
      <c r="Y265">
        <f>IFERROR(INDEX(PP_Grid[#Data],$DD265,23),0)</f>
        <v/>
      </c>
      <c r="Z265">
        <f>IFERROR(INDEX(PP_Grid[#Data],$DD265,24),0)</f>
        <v/>
      </c>
      <c r="AA265">
        <f>IFERROR(INDEX(PP_Grid[#Data],$DD265,25),0)</f>
        <v/>
      </c>
      <c r="AB265">
        <f>IFERROR(INDEX(PP_Grid[#Data],$DD265,26),0)</f>
        <v/>
      </c>
      <c r="AC265">
        <f>IFERROR(INDEX(PP_Grid[#Data],$DD265,27),0)</f>
        <v/>
      </c>
      <c r="AD265">
        <f>IFERROR(INDEX(PP_Grid[#Data],$DD265,28),0)</f>
        <v/>
      </c>
      <c r="AE265">
        <f>IFERROR(INDEX(PP_Grid[#Data],$DD265,29),0)</f>
        <v/>
      </c>
      <c r="AF265">
        <f>IFERROR(INDEX(PP_Grid[#Data],$DD265,30),0)</f>
        <v/>
      </c>
      <c r="AG265">
        <f>IFERROR(INDEX(PP_Grid[#Data],$DD265,31),0)</f>
        <v/>
      </c>
      <c r="AH265">
        <f>IFERROR(INDEX(PP_Grid[#Data],$DD265,32),0)</f>
        <v/>
      </c>
      <c r="AI265">
        <f>IFERROR(INDEX(PP_Grid[#Data],$DD265,33),0)</f>
        <v/>
      </c>
      <c r="AJ265">
        <f>IFERROR(INDEX(PP_Grid[#Data],$DD265,34),0)</f>
        <v/>
      </c>
      <c r="AK265">
        <f>IFERROR(INDEX(PP_Grid[#Data],$DD265,35),0)</f>
        <v/>
      </c>
      <c r="AL265">
        <f>IFERROR(INDEX(PP_Grid[#Data],$DD265,36),0)</f>
        <v/>
      </c>
      <c r="AM265">
        <f>IFERROR(INDEX(PP_Grid[#Data],$DD265,37),0)</f>
        <v/>
      </c>
      <c r="AN265">
        <f>IFERROR(INDEX(PP_Grid[#Data],$DD265,38),0)</f>
        <v/>
      </c>
      <c r="AO265">
        <f>IFERROR(INDEX(PP_Grid[#Data],$DD265,39),0)</f>
        <v/>
      </c>
      <c r="AP265">
        <f>IFERROR(INDEX(PP_Grid[#Data],$DD265,40),0)</f>
        <v/>
      </c>
      <c r="AQ265">
        <f>IFERROR(INDEX(PP_Grid[#Data],$DD265,41),0)</f>
        <v/>
      </c>
      <c r="AR265">
        <f>IFERROR(INDEX(PP_Grid[#Data],$DD265,42),0)</f>
        <v/>
      </c>
      <c r="AS265">
        <f>IFERROR(INDEX(PP_Grid[#Data],$DD265,43),0)</f>
        <v/>
      </c>
      <c r="AT265">
        <f>IFERROR(INDEX(PP_Grid[#Data],$DD265,44),0)</f>
        <v/>
      </c>
      <c r="AU265">
        <f>IFERROR(INDEX(PP_Grid[#Data],$DD265,45),0)</f>
        <v/>
      </c>
      <c r="AV265">
        <f>IFERROR(INDEX(PP_Grid[#Data],$DD265,46),0)</f>
        <v/>
      </c>
      <c r="AW265">
        <f>IFERROR(INDEX(PP_Grid[#Data],$DD265,47),0)</f>
        <v/>
      </c>
      <c r="AX265">
        <f>IFERROR(INDEX(PP_Grid[#Data],$DD265,48),0)</f>
        <v/>
      </c>
      <c r="AY265">
        <f>IFERROR(INDEX(PP_Grid[#Data],$DD265,49),0)</f>
        <v/>
      </c>
      <c r="AZ265">
        <f>IFERROR(INDEX(PP_Grid[#Data],$DD265,50),0)</f>
        <v/>
      </c>
      <c r="BA265">
        <f>IFERROR(INDEX(PP_Grid[#Data],$DD265,51),0)</f>
        <v/>
      </c>
      <c r="BB265">
        <f>IFERROR(INDEX(PP_Grid[#Data],$DD265,52),0)</f>
        <v/>
      </c>
      <c r="BC265">
        <f>IFERROR(INDEX(PP_Grid[#Data],$DD265,53),0)</f>
        <v/>
      </c>
      <c r="BD265">
        <f>IFERROR(INDEX(PP_Grid[#Data],$DD265,54),0)</f>
        <v/>
      </c>
      <c r="BE265">
        <f>IFERROR(INDEX(PP_Grid[#Data],$DD265,55),0)</f>
        <v/>
      </c>
      <c r="BF265">
        <f>IFERROR(INDEX(PP_Grid[#Data],$DD265,56),0)</f>
        <v/>
      </c>
      <c r="BG265">
        <f>IFERROR(INDEX(PP_Grid[#Data],$DD265,57),0)</f>
        <v/>
      </c>
      <c r="BH265">
        <f>IFERROR(INDEX(PP_Grid[#Data],$DD265,58),0)</f>
        <v/>
      </c>
      <c r="BI265">
        <f>IFERROR(INDEX(PP_Grid[#Data],$DD265,59),0)</f>
        <v/>
      </c>
      <c r="BJ265">
        <f>IFERROR(INDEX(PP_Grid[#Data],$DD265,60),0)</f>
        <v/>
      </c>
      <c r="BK265">
        <f>IFERROR(INDEX(PP_Grid[#Data],$DD265,61),0)</f>
        <v/>
      </c>
      <c r="BL265">
        <f>IFERROR(INDEX(PP_Grid[#Data],$DD265,62),0)</f>
        <v/>
      </c>
      <c r="BM265">
        <f>IFERROR(INDEX(PP_Grid[#Data],$DD265,63),0)</f>
        <v/>
      </c>
      <c r="BN265">
        <f>IFERROR(INDEX(PP_Grid[#Data],$DD265,64),0)</f>
        <v/>
      </c>
      <c r="BO265">
        <f>IFERROR(INDEX(PP_Grid[#Data],$DD265,65),0)</f>
        <v/>
      </c>
      <c r="BP265">
        <f>IFERROR(INDEX(PP_Grid[#Data],$DD265,66),0)</f>
        <v/>
      </c>
      <c r="BQ265">
        <f>IFERROR(INDEX(PP_Grid[#Data],$DD265,67),0)</f>
        <v/>
      </c>
      <c r="BR265">
        <f>IFERROR(INDEX(PP_Grid[#Data],$DD265,68),0)</f>
        <v/>
      </c>
      <c r="BS265">
        <f>IFERROR(INDEX(PP_Grid[#Data],$DD265,69),0)</f>
        <v/>
      </c>
      <c r="BT265">
        <f>IFERROR(INDEX(PP_Grid[#Data],$DD265,70),0)</f>
        <v/>
      </c>
      <c r="BU265">
        <f>IFERROR(INDEX(PP_Grid[#Data],$DD265,71),0)</f>
        <v/>
      </c>
      <c r="BV265">
        <f>IFERROR(INDEX(PP_Grid[#Data],$DD265,72),0)</f>
        <v/>
      </c>
      <c r="BW265">
        <f>IFERROR(INDEX(PP_Grid[#Data],$DD265,73),0)</f>
        <v/>
      </c>
      <c r="BX265">
        <f>IFERROR(INDEX(PP_Grid[#Data],$DD265,74),0)</f>
        <v/>
      </c>
      <c r="BY265">
        <f>IFERROR(INDEX(PP_Grid[#Data],$DD265,75),0)</f>
        <v/>
      </c>
      <c r="BZ265">
        <f>IFERROR(INDEX(PP_Grid[#Data],$DD265,76),0)</f>
        <v/>
      </c>
      <c r="CA265">
        <f>IFERROR(INDEX(PP_Grid[#Data],$DD265,77),0)</f>
        <v/>
      </c>
      <c r="CB265">
        <f>IFERROR(INDEX(PP_Grid[#Data],$DD265,78),0)</f>
        <v/>
      </c>
      <c r="CC265">
        <f>IFERROR(INDEX(PP_Grid[#Data],$DD265,79),0)</f>
        <v/>
      </c>
      <c r="CD265">
        <f>IFERROR(INDEX(PP_Grid[#Data],$DD265,80),0)</f>
        <v/>
      </c>
      <c r="CE265">
        <f>IFERROR(INDEX(PP_Grid[#Data],$DD265,81),0)</f>
        <v/>
      </c>
      <c r="CF265">
        <f>IFERROR(INDEX(PP_Grid[#Data],$DD265,82),0)</f>
        <v/>
      </c>
      <c r="CG265">
        <f>IFERROR(INDEX(PP_Grid[#Data],$DD265,83),0)</f>
        <v/>
      </c>
      <c r="CH265">
        <f>IFERROR(INDEX(PP_Grid[#Data],$DD265,84),0)</f>
        <v/>
      </c>
      <c r="CI265">
        <f>IFERROR(INDEX(PP_Grid[#Data],$DD265,85),0)</f>
        <v/>
      </c>
      <c r="CJ265">
        <f>IFERROR(INDEX(PP_Grid[#Data],$DD265,86),0)</f>
        <v/>
      </c>
      <c r="CK265">
        <f>IFERROR(INDEX(PP_Grid[#Data],$DD265,87),0)</f>
        <v/>
      </c>
      <c r="CL265">
        <f>IFERROR(INDEX(PP_Grid[#Data],$DD265,88),0)</f>
        <v/>
      </c>
      <c r="CM265">
        <f>IFERROR(INDEX(PP_Grid[#Data],$DD265,89),0)</f>
        <v/>
      </c>
      <c r="CN265">
        <f>IFERROR(INDEX(PP_Grid[#Data],$DD265,90),0)</f>
        <v/>
      </c>
      <c r="CO265">
        <f>IFERROR(INDEX(PP_Grid[#Data],$DD265,91),0)</f>
        <v/>
      </c>
      <c r="CP265">
        <f>IFERROR(INDEX(PP_Grid[#Data],$DD265,92),0)</f>
        <v/>
      </c>
      <c r="CQ265">
        <f>IFERROR(INDEX(PP_Grid[#Data],$DD265,93),0)</f>
        <v/>
      </c>
      <c r="CR265">
        <f>IFERROR(INDEX(PP_Grid[#Data],$DD265,94),0)</f>
        <v/>
      </c>
      <c r="CS265">
        <f>IFERROR(INDEX(PP_Grid[#Data],$DD265,95),0)</f>
        <v/>
      </c>
      <c r="CT265">
        <f>IFERROR(INDEX(PP_Grid[#Data],$DD265,96),0)</f>
        <v/>
      </c>
      <c r="CU265">
        <f>IFERROR(INDEX(PP_Grid[#Data],$DD265,97),0)</f>
        <v/>
      </c>
      <c r="CV265">
        <f>IFERROR(INDEX(PP_Grid[#Data],$DD265,98),0)</f>
        <v/>
      </c>
      <c r="CW265">
        <f>IFERROR(INDEX(PP_Grid[#Data],$DD265,99),0)</f>
        <v/>
      </c>
      <c r="CX265">
        <f>IFERROR(INDEX(PP_Grid[#Data],$DD265,100),0)</f>
        <v/>
      </c>
      <c r="CY265">
        <f>IFERROR(INDEX(PP_Grid[#Data],$DD265,101),0)</f>
        <v/>
      </c>
      <c r="CZ265">
        <f>IFERROR(INDEX(PP_Grid[#Data],$DD265,102),0)</f>
        <v/>
      </c>
      <c r="DA265">
        <f>IFERROR(INDEX(PP_Grid[#Data],$DD265,103),0)</f>
        <v/>
      </c>
      <c r="DB265">
        <f>IFERROR(INDEX(PP_Grid[#Data],$DD265,104),0)</f>
        <v/>
      </c>
      <c r="DC265">
        <f>IFERROR(INDEX(PP_Grid[#Data],$DD265,105),0)</f>
        <v/>
      </c>
      <c r="DD265" s="12">
        <f>IFERROR(MATCH($B265,PP_Grid[Intermediate],0),99999)</f>
        <v/>
      </c>
    </row>
    <row r="266">
      <c r="B266" t="inlineStr">
        <is>
          <t>使用量(kg)</t>
        </is>
      </c>
      <c r="C266">
        <f>SUMIFS(M_BOM[RM_Qty_Per_Batch],M_BOM[Intermediate],$B265,M_BOM[Part Name],$A264)</f>
        <v/>
      </c>
      <c r="D266">
        <f>$C266*D265</f>
        <v/>
      </c>
      <c r="E266">
        <f>$C266*E265</f>
        <v/>
      </c>
      <c r="F266">
        <f>$C266*F265</f>
        <v/>
      </c>
      <c r="G266">
        <f>$C266*G265</f>
        <v/>
      </c>
      <c r="H266">
        <f>$C266*H265</f>
        <v/>
      </c>
      <c r="I266">
        <f>$C266*I265</f>
        <v/>
      </c>
      <c r="J266">
        <f>$C266*J265</f>
        <v/>
      </c>
      <c r="K266">
        <f>$C266*K265</f>
        <v/>
      </c>
      <c r="L266">
        <f>$C266*L265</f>
        <v/>
      </c>
      <c r="M266">
        <f>$C266*M265</f>
        <v/>
      </c>
      <c r="N266">
        <f>$C266*N265</f>
        <v/>
      </c>
      <c r="O266">
        <f>$C266*O265</f>
        <v/>
      </c>
      <c r="P266">
        <f>$C266*P265</f>
        <v/>
      </c>
      <c r="Q266">
        <f>$C266*Q265</f>
        <v/>
      </c>
      <c r="R266">
        <f>$C266*R265</f>
        <v/>
      </c>
      <c r="S266">
        <f>$C266*S265</f>
        <v/>
      </c>
      <c r="T266">
        <f>$C266*T265</f>
        <v/>
      </c>
      <c r="U266">
        <f>$C266*U265</f>
        <v/>
      </c>
      <c r="V266">
        <f>$C266*V265</f>
        <v/>
      </c>
      <c r="W266">
        <f>$C266*W265</f>
        <v/>
      </c>
      <c r="X266">
        <f>$C266*X265</f>
        <v/>
      </c>
      <c r="Y266">
        <f>$C266*Y265</f>
        <v/>
      </c>
      <c r="Z266">
        <f>$C266*Z265</f>
        <v/>
      </c>
      <c r="AA266">
        <f>$C266*AA265</f>
        <v/>
      </c>
      <c r="AB266">
        <f>$C266*AB265</f>
        <v/>
      </c>
      <c r="AC266">
        <f>$C266*AC265</f>
        <v/>
      </c>
      <c r="AD266">
        <f>$C266*AD265</f>
        <v/>
      </c>
      <c r="AE266">
        <f>$C266*AE265</f>
        <v/>
      </c>
      <c r="AF266">
        <f>$C266*AF265</f>
        <v/>
      </c>
      <c r="AG266">
        <f>$C266*AG265</f>
        <v/>
      </c>
      <c r="AH266">
        <f>$C266*AH265</f>
        <v/>
      </c>
      <c r="AI266">
        <f>$C266*AI265</f>
        <v/>
      </c>
      <c r="AJ266">
        <f>$C266*AJ265</f>
        <v/>
      </c>
      <c r="AK266">
        <f>$C266*AK265</f>
        <v/>
      </c>
      <c r="AL266">
        <f>$C266*AL265</f>
        <v/>
      </c>
      <c r="AM266">
        <f>$C266*AM265</f>
        <v/>
      </c>
      <c r="AN266">
        <f>$C266*AN265</f>
        <v/>
      </c>
      <c r="AO266">
        <f>$C266*AO265</f>
        <v/>
      </c>
      <c r="AP266">
        <f>$C266*AP265</f>
        <v/>
      </c>
      <c r="AQ266">
        <f>$C266*AQ265</f>
        <v/>
      </c>
      <c r="AR266">
        <f>$C266*AR265</f>
        <v/>
      </c>
      <c r="AS266">
        <f>$C266*AS265</f>
        <v/>
      </c>
      <c r="AT266">
        <f>$C266*AT265</f>
        <v/>
      </c>
      <c r="AU266">
        <f>$C266*AU265</f>
        <v/>
      </c>
      <c r="AV266">
        <f>$C266*AV265</f>
        <v/>
      </c>
      <c r="AW266">
        <f>$C266*AW265</f>
        <v/>
      </c>
      <c r="AX266">
        <f>$C266*AX265</f>
        <v/>
      </c>
      <c r="AY266">
        <f>$C266*AY265</f>
        <v/>
      </c>
      <c r="AZ266">
        <f>$C266*AZ265</f>
        <v/>
      </c>
      <c r="BA266">
        <f>$C266*BA265</f>
        <v/>
      </c>
      <c r="BB266">
        <f>$C266*BB265</f>
        <v/>
      </c>
      <c r="BC266">
        <f>$C266*BC265</f>
        <v/>
      </c>
      <c r="BD266">
        <f>$C266*BD265</f>
        <v/>
      </c>
      <c r="BE266">
        <f>$C266*BE265</f>
        <v/>
      </c>
      <c r="BF266">
        <f>$C266*BF265</f>
        <v/>
      </c>
      <c r="BG266">
        <f>$C266*BG265</f>
        <v/>
      </c>
      <c r="BH266">
        <f>$C266*BH265</f>
        <v/>
      </c>
      <c r="BI266">
        <f>$C266*BI265</f>
        <v/>
      </c>
      <c r="BJ266">
        <f>$C266*BJ265</f>
        <v/>
      </c>
      <c r="BK266">
        <f>$C266*BK265</f>
        <v/>
      </c>
      <c r="BL266">
        <f>$C266*BL265</f>
        <v/>
      </c>
      <c r="BM266">
        <f>$C266*BM265</f>
        <v/>
      </c>
      <c r="BN266">
        <f>$C266*BN265</f>
        <v/>
      </c>
      <c r="BO266">
        <f>$C266*BO265</f>
        <v/>
      </c>
      <c r="BP266">
        <f>$C266*BP265</f>
        <v/>
      </c>
      <c r="BQ266">
        <f>$C266*BQ265</f>
        <v/>
      </c>
      <c r="BR266">
        <f>$C266*BR265</f>
        <v/>
      </c>
      <c r="BS266">
        <f>$C266*BS265</f>
        <v/>
      </c>
      <c r="BT266">
        <f>$C266*BT265</f>
        <v/>
      </c>
      <c r="BU266">
        <f>$C266*BU265</f>
        <v/>
      </c>
      <c r="BV266">
        <f>$C266*BV265</f>
        <v/>
      </c>
      <c r="BW266">
        <f>$C266*BW265</f>
        <v/>
      </c>
      <c r="BX266">
        <f>$C266*BX265</f>
        <v/>
      </c>
      <c r="BY266">
        <f>$C266*BY265</f>
        <v/>
      </c>
      <c r="BZ266">
        <f>$C266*BZ265</f>
        <v/>
      </c>
      <c r="CA266">
        <f>$C266*CA265</f>
        <v/>
      </c>
      <c r="CB266">
        <f>$C266*CB265</f>
        <v/>
      </c>
      <c r="CC266">
        <f>$C266*CC265</f>
        <v/>
      </c>
      <c r="CD266">
        <f>$C266*CD265</f>
        <v/>
      </c>
      <c r="CE266">
        <f>$C266*CE265</f>
        <v/>
      </c>
      <c r="CF266">
        <f>$C266*CF265</f>
        <v/>
      </c>
      <c r="CG266">
        <f>$C266*CG265</f>
        <v/>
      </c>
      <c r="CH266">
        <f>$C266*CH265</f>
        <v/>
      </c>
      <c r="CI266">
        <f>$C266*CI265</f>
        <v/>
      </c>
      <c r="CJ266">
        <f>$C266*CJ265</f>
        <v/>
      </c>
      <c r="CK266">
        <f>$C266*CK265</f>
        <v/>
      </c>
      <c r="CL266">
        <f>$C266*CL265</f>
        <v/>
      </c>
      <c r="CM266">
        <f>$C266*CM265</f>
        <v/>
      </c>
      <c r="CN266">
        <f>$C266*CN265</f>
        <v/>
      </c>
      <c r="CO266">
        <f>$C266*CO265</f>
        <v/>
      </c>
      <c r="CP266">
        <f>$C266*CP265</f>
        <v/>
      </c>
      <c r="CQ266">
        <f>$C266*CQ265</f>
        <v/>
      </c>
      <c r="CR266">
        <f>$C266*CR265</f>
        <v/>
      </c>
      <c r="CS266">
        <f>$C266*CS265</f>
        <v/>
      </c>
      <c r="CT266">
        <f>$C266*CT265</f>
        <v/>
      </c>
      <c r="CU266">
        <f>$C266*CU265</f>
        <v/>
      </c>
      <c r="CV266">
        <f>$C266*CV265</f>
        <v/>
      </c>
      <c r="CW266">
        <f>$C266*CW265</f>
        <v/>
      </c>
      <c r="CX266">
        <f>$C266*CX265</f>
        <v/>
      </c>
      <c r="CY266">
        <f>$C266*CY265</f>
        <v/>
      </c>
      <c r="CZ266">
        <f>$C266*CZ265</f>
        <v/>
      </c>
      <c r="DA266">
        <f>$C266*DA265</f>
        <v/>
      </c>
      <c r="DB266">
        <f>$C266*DB265</f>
        <v/>
      </c>
      <c r="DC266">
        <f>$C266*DC265</f>
        <v/>
      </c>
    </row>
    <row r="267">
      <c r="B267" t="inlineStr">
        <is>
          <t>TSP-360</t>
        </is>
      </c>
      <c r="C267" t="inlineStr">
        <is>
          <t>No. of batches</t>
        </is>
      </c>
      <c r="D267">
        <f>IFERROR(INDEX(PP_Grid[#Data],$DD267,2),0)</f>
        <v/>
      </c>
      <c r="E267">
        <f>IFERROR(INDEX(PP_Grid[#Data],$DD267,3),0)</f>
        <v/>
      </c>
      <c r="F267">
        <f>IFERROR(INDEX(PP_Grid[#Data],$DD267,4),0)</f>
        <v/>
      </c>
      <c r="G267">
        <f>IFERROR(INDEX(PP_Grid[#Data],$DD267,5),0)</f>
        <v/>
      </c>
      <c r="H267">
        <f>IFERROR(INDEX(PP_Grid[#Data],$DD267,6),0)</f>
        <v/>
      </c>
      <c r="I267">
        <f>IFERROR(INDEX(PP_Grid[#Data],$DD267,7),0)</f>
        <v/>
      </c>
      <c r="J267">
        <f>IFERROR(INDEX(PP_Grid[#Data],$DD267,8),0)</f>
        <v/>
      </c>
      <c r="K267">
        <f>IFERROR(INDEX(PP_Grid[#Data],$DD267,9),0)</f>
        <v/>
      </c>
      <c r="L267">
        <f>IFERROR(INDEX(PP_Grid[#Data],$DD267,10),0)</f>
        <v/>
      </c>
      <c r="M267">
        <f>IFERROR(INDEX(PP_Grid[#Data],$DD267,11),0)</f>
        <v/>
      </c>
      <c r="N267">
        <f>IFERROR(INDEX(PP_Grid[#Data],$DD267,12),0)</f>
        <v/>
      </c>
      <c r="O267">
        <f>IFERROR(INDEX(PP_Grid[#Data],$DD267,13),0)</f>
        <v/>
      </c>
      <c r="P267">
        <f>IFERROR(INDEX(PP_Grid[#Data],$DD267,14),0)</f>
        <v/>
      </c>
      <c r="Q267">
        <f>IFERROR(INDEX(PP_Grid[#Data],$DD267,15),0)</f>
        <v/>
      </c>
      <c r="R267">
        <f>IFERROR(INDEX(PP_Grid[#Data],$DD267,16),0)</f>
        <v/>
      </c>
      <c r="S267">
        <f>IFERROR(INDEX(PP_Grid[#Data],$DD267,17),0)</f>
        <v/>
      </c>
      <c r="T267">
        <f>IFERROR(INDEX(PP_Grid[#Data],$DD267,18),0)</f>
        <v/>
      </c>
      <c r="U267">
        <f>IFERROR(INDEX(PP_Grid[#Data],$DD267,19),0)</f>
        <v/>
      </c>
      <c r="V267">
        <f>IFERROR(INDEX(PP_Grid[#Data],$DD267,20),0)</f>
        <v/>
      </c>
      <c r="W267">
        <f>IFERROR(INDEX(PP_Grid[#Data],$DD267,21),0)</f>
        <v/>
      </c>
      <c r="X267">
        <f>IFERROR(INDEX(PP_Grid[#Data],$DD267,22),0)</f>
        <v/>
      </c>
      <c r="Y267">
        <f>IFERROR(INDEX(PP_Grid[#Data],$DD267,23),0)</f>
        <v/>
      </c>
      <c r="Z267">
        <f>IFERROR(INDEX(PP_Grid[#Data],$DD267,24),0)</f>
        <v/>
      </c>
      <c r="AA267">
        <f>IFERROR(INDEX(PP_Grid[#Data],$DD267,25),0)</f>
        <v/>
      </c>
      <c r="AB267">
        <f>IFERROR(INDEX(PP_Grid[#Data],$DD267,26),0)</f>
        <v/>
      </c>
      <c r="AC267">
        <f>IFERROR(INDEX(PP_Grid[#Data],$DD267,27),0)</f>
        <v/>
      </c>
      <c r="AD267">
        <f>IFERROR(INDEX(PP_Grid[#Data],$DD267,28),0)</f>
        <v/>
      </c>
      <c r="AE267">
        <f>IFERROR(INDEX(PP_Grid[#Data],$DD267,29),0)</f>
        <v/>
      </c>
      <c r="AF267">
        <f>IFERROR(INDEX(PP_Grid[#Data],$DD267,30),0)</f>
        <v/>
      </c>
      <c r="AG267">
        <f>IFERROR(INDEX(PP_Grid[#Data],$DD267,31),0)</f>
        <v/>
      </c>
      <c r="AH267">
        <f>IFERROR(INDEX(PP_Grid[#Data],$DD267,32),0)</f>
        <v/>
      </c>
      <c r="AI267">
        <f>IFERROR(INDEX(PP_Grid[#Data],$DD267,33),0)</f>
        <v/>
      </c>
      <c r="AJ267">
        <f>IFERROR(INDEX(PP_Grid[#Data],$DD267,34),0)</f>
        <v/>
      </c>
      <c r="AK267">
        <f>IFERROR(INDEX(PP_Grid[#Data],$DD267,35),0)</f>
        <v/>
      </c>
      <c r="AL267">
        <f>IFERROR(INDEX(PP_Grid[#Data],$DD267,36),0)</f>
        <v/>
      </c>
      <c r="AM267">
        <f>IFERROR(INDEX(PP_Grid[#Data],$DD267,37),0)</f>
        <v/>
      </c>
      <c r="AN267">
        <f>IFERROR(INDEX(PP_Grid[#Data],$DD267,38),0)</f>
        <v/>
      </c>
      <c r="AO267">
        <f>IFERROR(INDEX(PP_Grid[#Data],$DD267,39),0)</f>
        <v/>
      </c>
      <c r="AP267">
        <f>IFERROR(INDEX(PP_Grid[#Data],$DD267,40),0)</f>
        <v/>
      </c>
      <c r="AQ267">
        <f>IFERROR(INDEX(PP_Grid[#Data],$DD267,41),0)</f>
        <v/>
      </c>
      <c r="AR267">
        <f>IFERROR(INDEX(PP_Grid[#Data],$DD267,42),0)</f>
        <v/>
      </c>
      <c r="AS267">
        <f>IFERROR(INDEX(PP_Grid[#Data],$DD267,43),0)</f>
        <v/>
      </c>
      <c r="AT267">
        <f>IFERROR(INDEX(PP_Grid[#Data],$DD267,44),0)</f>
        <v/>
      </c>
      <c r="AU267">
        <f>IFERROR(INDEX(PP_Grid[#Data],$DD267,45),0)</f>
        <v/>
      </c>
      <c r="AV267">
        <f>IFERROR(INDEX(PP_Grid[#Data],$DD267,46),0)</f>
        <v/>
      </c>
      <c r="AW267">
        <f>IFERROR(INDEX(PP_Grid[#Data],$DD267,47),0)</f>
        <v/>
      </c>
      <c r="AX267">
        <f>IFERROR(INDEX(PP_Grid[#Data],$DD267,48),0)</f>
        <v/>
      </c>
      <c r="AY267">
        <f>IFERROR(INDEX(PP_Grid[#Data],$DD267,49),0)</f>
        <v/>
      </c>
      <c r="AZ267">
        <f>IFERROR(INDEX(PP_Grid[#Data],$DD267,50),0)</f>
        <v/>
      </c>
      <c r="BA267">
        <f>IFERROR(INDEX(PP_Grid[#Data],$DD267,51),0)</f>
        <v/>
      </c>
      <c r="BB267">
        <f>IFERROR(INDEX(PP_Grid[#Data],$DD267,52),0)</f>
        <v/>
      </c>
      <c r="BC267">
        <f>IFERROR(INDEX(PP_Grid[#Data],$DD267,53),0)</f>
        <v/>
      </c>
      <c r="BD267">
        <f>IFERROR(INDEX(PP_Grid[#Data],$DD267,54),0)</f>
        <v/>
      </c>
      <c r="BE267">
        <f>IFERROR(INDEX(PP_Grid[#Data],$DD267,55),0)</f>
        <v/>
      </c>
      <c r="BF267">
        <f>IFERROR(INDEX(PP_Grid[#Data],$DD267,56),0)</f>
        <v/>
      </c>
      <c r="BG267">
        <f>IFERROR(INDEX(PP_Grid[#Data],$DD267,57),0)</f>
        <v/>
      </c>
      <c r="BH267">
        <f>IFERROR(INDEX(PP_Grid[#Data],$DD267,58),0)</f>
        <v/>
      </c>
      <c r="BI267">
        <f>IFERROR(INDEX(PP_Grid[#Data],$DD267,59),0)</f>
        <v/>
      </c>
      <c r="BJ267">
        <f>IFERROR(INDEX(PP_Grid[#Data],$DD267,60),0)</f>
        <v/>
      </c>
      <c r="BK267">
        <f>IFERROR(INDEX(PP_Grid[#Data],$DD267,61),0)</f>
        <v/>
      </c>
      <c r="BL267">
        <f>IFERROR(INDEX(PP_Grid[#Data],$DD267,62),0)</f>
        <v/>
      </c>
      <c r="BM267">
        <f>IFERROR(INDEX(PP_Grid[#Data],$DD267,63),0)</f>
        <v/>
      </c>
      <c r="BN267">
        <f>IFERROR(INDEX(PP_Grid[#Data],$DD267,64),0)</f>
        <v/>
      </c>
      <c r="BO267">
        <f>IFERROR(INDEX(PP_Grid[#Data],$DD267,65),0)</f>
        <v/>
      </c>
      <c r="BP267">
        <f>IFERROR(INDEX(PP_Grid[#Data],$DD267,66),0)</f>
        <v/>
      </c>
      <c r="BQ267">
        <f>IFERROR(INDEX(PP_Grid[#Data],$DD267,67),0)</f>
        <v/>
      </c>
      <c r="BR267">
        <f>IFERROR(INDEX(PP_Grid[#Data],$DD267,68),0)</f>
        <v/>
      </c>
      <c r="BS267">
        <f>IFERROR(INDEX(PP_Grid[#Data],$DD267,69),0)</f>
        <v/>
      </c>
      <c r="BT267">
        <f>IFERROR(INDEX(PP_Grid[#Data],$DD267,70),0)</f>
        <v/>
      </c>
      <c r="BU267">
        <f>IFERROR(INDEX(PP_Grid[#Data],$DD267,71),0)</f>
        <v/>
      </c>
      <c r="BV267">
        <f>IFERROR(INDEX(PP_Grid[#Data],$DD267,72),0)</f>
        <v/>
      </c>
      <c r="BW267">
        <f>IFERROR(INDEX(PP_Grid[#Data],$DD267,73),0)</f>
        <v/>
      </c>
      <c r="BX267">
        <f>IFERROR(INDEX(PP_Grid[#Data],$DD267,74),0)</f>
        <v/>
      </c>
      <c r="BY267">
        <f>IFERROR(INDEX(PP_Grid[#Data],$DD267,75),0)</f>
        <v/>
      </c>
      <c r="BZ267">
        <f>IFERROR(INDEX(PP_Grid[#Data],$DD267,76),0)</f>
        <v/>
      </c>
      <c r="CA267">
        <f>IFERROR(INDEX(PP_Grid[#Data],$DD267,77),0)</f>
        <v/>
      </c>
      <c r="CB267">
        <f>IFERROR(INDEX(PP_Grid[#Data],$DD267,78),0)</f>
        <v/>
      </c>
      <c r="CC267">
        <f>IFERROR(INDEX(PP_Grid[#Data],$DD267,79),0)</f>
        <v/>
      </c>
      <c r="CD267">
        <f>IFERROR(INDEX(PP_Grid[#Data],$DD267,80),0)</f>
        <v/>
      </c>
      <c r="CE267">
        <f>IFERROR(INDEX(PP_Grid[#Data],$DD267,81),0)</f>
        <v/>
      </c>
      <c r="CF267">
        <f>IFERROR(INDEX(PP_Grid[#Data],$DD267,82),0)</f>
        <v/>
      </c>
      <c r="CG267">
        <f>IFERROR(INDEX(PP_Grid[#Data],$DD267,83),0)</f>
        <v/>
      </c>
      <c r="CH267">
        <f>IFERROR(INDEX(PP_Grid[#Data],$DD267,84),0)</f>
        <v/>
      </c>
      <c r="CI267">
        <f>IFERROR(INDEX(PP_Grid[#Data],$DD267,85),0)</f>
        <v/>
      </c>
      <c r="CJ267">
        <f>IFERROR(INDEX(PP_Grid[#Data],$DD267,86),0)</f>
        <v/>
      </c>
      <c r="CK267">
        <f>IFERROR(INDEX(PP_Grid[#Data],$DD267,87),0)</f>
        <v/>
      </c>
      <c r="CL267">
        <f>IFERROR(INDEX(PP_Grid[#Data],$DD267,88),0)</f>
        <v/>
      </c>
      <c r="CM267">
        <f>IFERROR(INDEX(PP_Grid[#Data],$DD267,89),0)</f>
        <v/>
      </c>
      <c r="CN267">
        <f>IFERROR(INDEX(PP_Grid[#Data],$DD267,90),0)</f>
        <v/>
      </c>
      <c r="CO267">
        <f>IFERROR(INDEX(PP_Grid[#Data],$DD267,91),0)</f>
        <v/>
      </c>
      <c r="CP267">
        <f>IFERROR(INDEX(PP_Grid[#Data],$DD267,92),0)</f>
        <v/>
      </c>
      <c r="CQ267">
        <f>IFERROR(INDEX(PP_Grid[#Data],$DD267,93),0)</f>
        <v/>
      </c>
      <c r="CR267">
        <f>IFERROR(INDEX(PP_Grid[#Data],$DD267,94),0)</f>
        <v/>
      </c>
      <c r="CS267">
        <f>IFERROR(INDEX(PP_Grid[#Data],$DD267,95),0)</f>
        <v/>
      </c>
      <c r="CT267">
        <f>IFERROR(INDEX(PP_Grid[#Data],$DD267,96),0)</f>
        <v/>
      </c>
      <c r="CU267">
        <f>IFERROR(INDEX(PP_Grid[#Data],$DD267,97),0)</f>
        <v/>
      </c>
      <c r="CV267">
        <f>IFERROR(INDEX(PP_Grid[#Data],$DD267,98),0)</f>
        <v/>
      </c>
      <c r="CW267">
        <f>IFERROR(INDEX(PP_Grid[#Data],$DD267,99),0)</f>
        <v/>
      </c>
      <c r="CX267">
        <f>IFERROR(INDEX(PP_Grid[#Data],$DD267,100),0)</f>
        <v/>
      </c>
      <c r="CY267">
        <f>IFERROR(INDEX(PP_Grid[#Data],$DD267,101),0)</f>
        <v/>
      </c>
      <c r="CZ267">
        <f>IFERROR(INDEX(PP_Grid[#Data],$DD267,102),0)</f>
        <v/>
      </c>
      <c r="DA267">
        <f>IFERROR(INDEX(PP_Grid[#Data],$DD267,103),0)</f>
        <v/>
      </c>
      <c r="DB267">
        <f>IFERROR(INDEX(PP_Grid[#Data],$DD267,104),0)</f>
        <v/>
      </c>
      <c r="DC267">
        <f>IFERROR(INDEX(PP_Grid[#Data],$DD267,105),0)</f>
        <v/>
      </c>
      <c r="DD267" s="12">
        <f>IFERROR(MATCH($B267,PP_Grid[Intermediate],0),99999)</f>
        <v/>
      </c>
    </row>
    <row r="268">
      <c r="B268" t="inlineStr">
        <is>
          <t>使用量(kg)</t>
        </is>
      </c>
      <c r="C268">
        <f>SUMIFS(M_BOM[RM_Qty_Per_Batch],M_BOM[Intermediate],$B267,M_BOM[Part Name],$A264)</f>
        <v/>
      </c>
      <c r="D268">
        <f>$C268*D267</f>
        <v/>
      </c>
      <c r="E268">
        <f>$C268*E267</f>
        <v/>
      </c>
      <c r="F268">
        <f>$C268*F267</f>
        <v/>
      </c>
      <c r="G268">
        <f>$C268*G267</f>
        <v/>
      </c>
      <c r="H268">
        <f>$C268*H267</f>
        <v/>
      </c>
      <c r="I268">
        <f>$C268*I267</f>
        <v/>
      </c>
      <c r="J268">
        <f>$C268*J267</f>
        <v/>
      </c>
      <c r="K268">
        <f>$C268*K267</f>
        <v/>
      </c>
      <c r="L268">
        <f>$C268*L267</f>
        <v/>
      </c>
      <c r="M268">
        <f>$C268*M267</f>
        <v/>
      </c>
      <c r="N268">
        <f>$C268*N267</f>
        <v/>
      </c>
      <c r="O268">
        <f>$C268*O267</f>
        <v/>
      </c>
      <c r="P268">
        <f>$C268*P267</f>
        <v/>
      </c>
      <c r="Q268">
        <f>$C268*Q267</f>
        <v/>
      </c>
      <c r="R268">
        <f>$C268*R267</f>
        <v/>
      </c>
      <c r="S268">
        <f>$C268*S267</f>
        <v/>
      </c>
      <c r="T268">
        <f>$C268*T267</f>
        <v/>
      </c>
      <c r="U268">
        <f>$C268*U267</f>
        <v/>
      </c>
      <c r="V268">
        <f>$C268*V267</f>
        <v/>
      </c>
      <c r="W268">
        <f>$C268*W267</f>
        <v/>
      </c>
      <c r="X268">
        <f>$C268*X267</f>
        <v/>
      </c>
      <c r="Y268">
        <f>$C268*Y267</f>
        <v/>
      </c>
      <c r="Z268">
        <f>$C268*Z267</f>
        <v/>
      </c>
      <c r="AA268">
        <f>$C268*AA267</f>
        <v/>
      </c>
      <c r="AB268">
        <f>$C268*AB267</f>
        <v/>
      </c>
      <c r="AC268">
        <f>$C268*AC267</f>
        <v/>
      </c>
      <c r="AD268">
        <f>$C268*AD267</f>
        <v/>
      </c>
      <c r="AE268">
        <f>$C268*AE267</f>
        <v/>
      </c>
      <c r="AF268">
        <f>$C268*AF267</f>
        <v/>
      </c>
      <c r="AG268">
        <f>$C268*AG267</f>
        <v/>
      </c>
      <c r="AH268">
        <f>$C268*AH267</f>
        <v/>
      </c>
      <c r="AI268">
        <f>$C268*AI267</f>
        <v/>
      </c>
      <c r="AJ268">
        <f>$C268*AJ267</f>
        <v/>
      </c>
      <c r="AK268">
        <f>$C268*AK267</f>
        <v/>
      </c>
      <c r="AL268">
        <f>$C268*AL267</f>
        <v/>
      </c>
      <c r="AM268">
        <f>$C268*AM267</f>
        <v/>
      </c>
      <c r="AN268">
        <f>$C268*AN267</f>
        <v/>
      </c>
      <c r="AO268">
        <f>$C268*AO267</f>
        <v/>
      </c>
      <c r="AP268">
        <f>$C268*AP267</f>
        <v/>
      </c>
      <c r="AQ268">
        <f>$C268*AQ267</f>
        <v/>
      </c>
      <c r="AR268">
        <f>$C268*AR267</f>
        <v/>
      </c>
      <c r="AS268">
        <f>$C268*AS267</f>
        <v/>
      </c>
      <c r="AT268">
        <f>$C268*AT267</f>
        <v/>
      </c>
      <c r="AU268">
        <f>$C268*AU267</f>
        <v/>
      </c>
      <c r="AV268">
        <f>$C268*AV267</f>
        <v/>
      </c>
      <c r="AW268">
        <f>$C268*AW267</f>
        <v/>
      </c>
      <c r="AX268">
        <f>$C268*AX267</f>
        <v/>
      </c>
      <c r="AY268">
        <f>$C268*AY267</f>
        <v/>
      </c>
      <c r="AZ268">
        <f>$C268*AZ267</f>
        <v/>
      </c>
      <c r="BA268">
        <f>$C268*BA267</f>
        <v/>
      </c>
      <c r="BB268">
        <f>$C268*BB267</f>
        <v/>
      </c>
      <c r="BC268">
        <f>$C268*BC267</f>
        <v/>
      </c>
      <c r="BD268">
        <f>$C268*BD267</f>
        <v/>
      </c>
      <c r="BE268">
        <f>$C268*BE267</f>
        <v/>
      </c>
      <c r="BF268">
        <f>$C268*BF267</f>
        <v/>
      </c>
      <c r="BG268">
        <f>$C268*BG267</f>
        <v/>
      </c>
      <c r="BH268">
        <f>$C268*BH267</f>
        <v/>
      </c>
      <c r="BI268">
        <f>$C268*BI267</f>
        <v/>
      </c>
      <c r="BJ268">
        <f>$C268*BJ267</f>
        <v/>
      </c>
      <c r="BK268">
        <f>$C268*BK267</f>
        <v/>
      </c>
      <c r="BL268">
        <f>$C268*BL267</f>
        <v/>
      </c>
      <c r="BM268">
        <f>$C268*BM267</f>
        <v/>
      </c>
      <c r="BN268">
        <f>$C268*BN267</f>
        <v/>
      </c>
      <c r="BO268">
        <f>$C268*BO267</f>
        <v/>
      </c>
      <c r="BP268">
        <f>$C268*BP267</f>
        <v/>
      </c>
      <c r="BQ268">
        <f>$C268*BQ267</f>
        <v/>
      </c>
      <c r="BR268">
        <f>$C268*BR267</f>
        <v/>
      </c>
      <c r="BS268">
        <f>$C268*BS267</f>
        <v/>
      </c>
      <c r="BT268">
        <f>$C268*BT267</f>
        <v/>
      </c>
      <c r="BU268">
        <f>$C268*BU267</f>
        <v/>
      </c>
      <c r="BV268">
        <f>$C268*BV267</f>
        <v/>
      </c>
      <c r="BW268">
        <f>$C268*BW267</f>
        <v/>
      </c>
      <c r="BX268">
        <f>$C268*BX267</f>
        <v/>
      </c>
      <c r="BY268">
        <f>$C268*BY267</f>
        <v/>
      </c>
      <c r="BZ268">
        <f>$C268*BZ267</f>
        <v/>
      </c>
      <c r="CA268">
        <f>$C268*CA267</f>
        <v/>
      </c>
      <c r="CB268">
        <f>$C268*CB267</f>
        <v/>
      </c>
      <c r="CC268">
        <f>$C268*CC267</f>
        <v/>
      </c>
      <c r="CD268">
        <f>$C268*CD267</f>
        <v/>
      </c>
      <c r="CE268">
        <f>$C268*CE267</f>
        <v/>
      </c>
      <c r="CF268">
        <f>$C268*CF267</f>
        <v/>
      </c>
      <c r="CG268">
        <f>$C268*CG267</f>
        <v/>
      </c>
      <c r="CH268">
        <f>$C268*CH267</f>
        <v/>
      </c>
      <c r="CI268">
        <f>$C268*CI267</f>
        <v/>
      </c>
      <c r="CJ268">
        <f>$C268*CJ267</f>
        <v/>
      </c>
      <c r="CK268">
        <f>$C268*CK267</f>
        <v/>
      </c>
      <c r="CL268">
        <f>$C268*CL267</f>
        <v/>
      </c>
      <c r="CM268">
        <f>$C268*CM267</f>
        <v/>
      </c>
      <c r="CN268">
        <f>$C268*CN267</f>
        <v/>
      </c>
      <c r="CO268">
        <f>$C268*CO267</f>
        <v/>
      </c>
      <c r="CP268">
        <f>$C268*CP267</f>
        <v/>
      </c>
      <c r="CQ268">
        <f>$C268*CQ267</f>
        <v/>
      </c>
      <c r="CR268">
        <f>$C268*CR267</f>
        <v/>
      </c>
      <c r="CS268">
        <f>$C268*CS267</f>
        <v/>
      </c>
      <c r="CT268">
        <f>$C268*CT267</f>
        <v/>
      </c>
      <c r="CU268">
        <f>$C268*CU267</f>
        <v/>
      </c>
      <c r="CV268">
        <f>$C268*CV267</f>
        <v/>
      </c>
      <c r="CW268">
        <f>$C268*CW267</f>
        <v/>
      </c>
      <c r="CX268">
        <f>$C268*CX267</f>
        <v/>
      </c>
      <c r="CY268">
        <f>$C268*CY267</f>
        <v/>
      </c>
      <c r="CZ268">
        <f>$C268*CZ267</f>
        <v/>
      </c>
      <c r="DA268">
        <f>$C268*DA267</f>
        <v/>
      </c>
      <c r="DB268">
        <f>$C268*DB267</f>
        <v/>
      </c>
      <c r="DC268">
        <f>$C268*DC267</f>
        <v/>
      </c>
    </row>
    <row r="269">
      <c r="B269" t="inlineStr">
        <is>
          <t>TSP-367</t>
        </is>
      </c>
      <c r="C269" t="inlineStr">
        <is>
          <t>No. of batches</t>
        </is>
      </c>
      <c r="D269">
        <f>IFERROR(INDEX(PP_Grid[#Data],$DD269,2),0)</f>
        <v/>
      </c>
      <c r="E269">
        <f>IFERROR(INDEX(PP_Grid[#Data],$DD269,3),0)</f>
        <v/>
      </c>
      <c r="F269">
        <f>IFERROR(INDEX(PP_Grid[#Data],$DD269,4),0)</f>
        <v/>
      </c>
      <c r="G269">
        <f>IFERROR(INDEX(PP_Grid[#Data],$DD269,5),0)</f>
        <v/>
      </c>
      <c r="H269">
        <f>IFERROR(INDEX(PP_Grid[#Data],$DD269,6),0)</f>
        <v/>
      </c>
      <c r="I269">
        <f>IFERROR(INDEX(PP_Grid[#Data],$DD269,7),0)</f>
        <v/>
      </c>
      <c r="J269">
        <f>IFERROR(INDEX(PP_Grid[#Data],$DD269,8),0)</f>
        <v/>
      </c>
      <c r="K269">
        <f>IFERROR(INDEX(PP_Grid[#Data],$DD269,9),0)</f>
        <v/>
      </c>
      <c r="L269">
        <f>IFERROR(INDEX(PP_Grid[#Data],$DD269,10),0)</f>
        <v/>
      </c>
      <c r="M269">
        <f>IFERROR(INDEX(PP_Grid[#Data],$DD269,11),0)</f>
        <v/>
      </c>
      <c r="N269">
        <f>IFERROR(INDEX(PP_Grid[#Data],$DD269,12),0)</f>
        <v/>
      </c>
      <c r="O269">
        <f>IFERROR(INDEX(PP_Grid[#Data],$DD269,13),0)</f>
        <v/>
      </c>
      <c r="P269">
        <f>IFERROR(INDEX(PP_Grid[#Data],$DD269,14),0)</f>
        <v/>
      </c>
      <c r="Q269">
        <f>IFERROR(INDEX(PP_Grid[#Data],$DD269,15),0)</f>
        <v/>
      </c>
      <c r="R269">
        <f>IFERROR(INDEX(PP_Grid[#Data],$DD269,16),0)</f>
        <v/>
      </c>
      <c r="S269">
        <f>IFERROR(INDEX(PP_Grid[#Data],$DD269,17),0)</f>
        <v/>
      </c>
      <c r="T269">
        <f>IFERROR(INDEX(PP_Grid[#Data],$DD269,18),0)</f>
        <v/>
      </c>
      <c r="U269">
        <f>IFERROR(INDEX(PP_Grid[#Data],$DD269,19),0)</f>
        <v/>
      </c>
      <c r="V269">
        <f>IFERROR(INDEX(PP_Grid[#Data],$DD269,20),0)</f>
        <v/>
      </c>
      <c r="W269">
        <f>IFERROR(INDEX(PP_Grid[#Data],$DD269,21),0)</f>
        <v/>
      </c>
      <c r="X269">
        <f>IFERROR(INDEX(PP_Grid[#Data],$DD269,22),0)</f>
        <v/>
      </c>
      <c r="Y269">
        <f>IFERROR(INDEX(PP_Grid[#Data],$DD269,23),0)</f>
        <v/>
      </c>
      <c r="Z269">
        <f>IFERROR(INDEX(PP_Grid[#Data],$DD269,24),0)</f>
        <v/>
      </c>
      <c r="AA269">
        <f>IFERROR(INDEX(PP_Grid[#Data],$DD269,25),0)</f>
        <v/>
      </c>
      <c r="AB269">
        <f>IFERROR(INDEX(PP_Grid[#Data],$DD269,26),0)</f>
        <v/>
      </c>
      <c r="AC269">
        <f>IFERROR(INDEX(PP_Grid[#Data],$DD269,27),0)</f>
        <v/>
      </c>
      <c r="AD269">
        <f>IFERROR(INDEX(PP_Grid[#Data],$DD269,28),0)</f>
        <v/>
      </c>
      <c r="AE269">
        <f>IFERROR(INDEX(PP_Grid[#Data],$DD269,29),0)</f>
        <v/>
      </c>
      <c r="AF269">
        <f>IFERROR(INDEX(PP_Grid[#Data],$DD269,30),0)</f>
        <v/>
      </c>
      <c r="AG269">
        <f>IFERROR(INDEX(PP_Grid[#Data],$DD269,31),0)</f>
        <v/>
      </c>
      <c r="AH269">
        <f>IFERROR(INDEX(PP_Grid[#Data],$DD269,32),0)</f>
        <v/>
      </c>
      <c r="AI269">
        <f>IFERROR(INDEX(PP_Grid[#Data],$DD269,33),0)</f>
        <v/>
      </c>
      <c r="AJ269">
        <f>IFERROR(INDEX(PP_Grid[#Data],$DD269,34),0)</f>
        <v/>
      </c>
      <c r="AK269">
        <f>IFERROR(INDEX(PP_Grid[#Data],$DD269,35),0)</f>
        <v/>
      </c>
      <c r="AL269">
        <f>IFERROR(INDEX(PP_Grid[#Data],$DD269,36),0)</f>
        <v/>
      </c>
      <c r="AM269">
        <f>IFERROR(INDEX(PP_Grid[#Data],$DD269,37),0)</f>
        <v/>
      </c>
      <c r="AN269">
        <f>IFERROR(INDEX(PP_Grid[#Data],$DD269,38),0)</f>
        <v/>
      </c>
      <c r="AO269">
        <f>IFERROR(INDEX(PP_Grid[#Data],$DD269,39),0)</f>
        <v/>
      </c>
      <c r="AP269">
        <f>IFERROR(INDEX(PP_Grid[#Data],$DD269,40),0)</f>
        <v/>
      </c>
      <c r="AQ269">
        <f>IFERROR(INDEX(PP_Grid[#Data],$DD269,41),0)</f>
        <v/>
      </c>
      <c r="AR269">
        <f>IFERROR(INDEX(PP_Grid[#Data],$DD269,42),0)</f>
        <v/>
      </c>
      <c r="AS269">
        <f>IFERROR(INDEX(PP_Grid[#Data],$DD269,43),0)</f>
        <v/>
      </c>
      <c r="AT269">
        <f>IFERROR(INDEX(PP_Grid[#Data],$DD269,44),0)</f>
        <v/>
      </c>
      <c r="AU269">
        <f>IFERROR(INDEX(PP_Grid[#Data],$DD269,45),0)</f>
        <v/>
      </c>
      <c r="AV269">
        <f>IFERROR(INDEX(PP_Grid[#Data],$DD269,46),0)</f>
        <v/>
      </c>
      <c r="AW269">
        <f>IFERROR(INDEX(PP_Grid[#Data],$DD269,47),0)</f>
        <v/>
      </c>
      <c r="AX269">
        <f>IFERROR(INDEX(PP_Grid[#Data],$DD269,48),0)</f>
        <v/>
      </c>
      <c r="AY269">
        <f>IFERROR(INDEX(PP_Grid[#Data],$DD269,49),0)</f>
        <v/>
      </c>
      <c r="AZ269">
        <f>IFERROR(INDEX(PP_Grid[#Data],$DD269,50),0)</f>
        <v/>
      </c>
      <c r="BA269">
        <f>IFERROR(INDEX(PP_Grid[#Data],$DD269,51),0)</f>
        <v/>
      </c>
      <c r="BB269">
        <f>IFERROR(INDEX(PP_Grid[#Data],$DD269,52),0)</f>
        <v/>
      </c>
      <c r="BC269">
        <f>IFERROR(INDEX(PP_Grid[#Data],$DD269,53),0)</f>
        <v/>
      </c>
      <c r="BD269">
        <f>IFERROR(INDEX(PP_Grid[#Data],$DD269,54),0)</f>
        <v/>
      </c>
      <c r="BE269">
        <f>IFERROR(INDEX(PP_Grid[#Data],$DD269,55),0)</f>
        <v/>
      </c>
      <c r="BF269">
        <f>IFERROR(INDEX(PP_Grid[#Data],$DD269,56),0)</f>
        <v/>
      </c>
      <c r="BG269">
        <f>IFERROR(INDEX(PP_Grid[#Data],$DD269,57),0)</f>
        <v/>
      </c>
      <c r="BH269">
        <f>IFERROR(INDEX(PP_Grid[#Data],$DD269,58),0)</f>
        <v/>
      </c>
      <c r="BI269">
        <f>IFERROR(INDEX(PP_Grid[#Data],$DD269,59),0)</f>
        <v/>
      </c>
      <c r="BJ269">
        <f>IFERROR(INDEX(PP_Grid[#Data],$DD269,60),0)</f>
        <v/>
      </c>
      <c r="BK269">
        <f>IFERROR(INDEX(PP_Grid[#Data],$DD269,61),0)</f>
        <v/>
      </c>
      <c r="BL269">
        <f>IFERROR(INDEX(PP_Grid[#Data],$DD269,62),0)</f>
        <v/>
      </c>
      <c r="BM269">
        <f>IFERROR(INDEX(PP_Grid[#Data],$DD269,63),0)</f>
        <v/>
      </c>
      <c r="BN269">
        <f>IFERROR(INDEX(PP_Grid[#Data],$DD269,64),0)</f>
        <v/>
      </c>
      <c r="BO269">
        <f>IFERROR(INDEX(PP_Grid[#Data],$DD269,65),0)</f>
        <v/>
      </c>
      <c r="BP269">
        <f>IFERROR(INDEX(PP_Grid[#Data],$DD269,66),0)</f>
        <v/>
      </c>
      <c r="BQ269">
        <f>IFERROR(INDEX(PP_Grid[#Data],$DD269,67),0)</f>
        <v/>
      </c>
      <c r="BR269">
        <f>IFERROR(INDEX(PP_Grid[#Data],$DD269,68),0)</f>
        <v/>
      </c>
      <c r="BS269">
        <f>IFERROR(INDEX(PP_Grid[#Data],$DD269,69),0)</f>
        <v/>
      </c>
      <c r="BT269">
        <f>IFERROR(INDEX(PP_Grid[#Data],$DD269,70),0)</f>
        <v/>
      </c>
      <c r="BU269">
        <f>IFERROR(INDEX(PP_Grid[#Data],$DD269,71),0)</f>
        <v/>
      </c>
      <c r="BV269">
        <f>IFERROR(INDEX(PP_Grid[#Data],$DD269,72),0)</f>
        <v/>
      </c>
      <c r="BW269">
        <f>IFERROR(INDEX(PP_Grid[#Data],$DD269,73),0)</f>
        <v/>
      </c>
      <c r="BX269">
        <f>IFERROR(INDEX(PP_Grid[#Data],$DD269,74),0)</f>
        <v/>
      </c>
      <c r="BY269">
        <f>IFERROR(INDEX(PP_Grid[#Data],$DD269,75),0)</f>
        <v/>
      </c>
      <c r="BZ269">
        <f>IFERROR(INDEX(PP_Grid[#Data],$DD269,76),0)</f>
        <v/>
      </c>
      <c r="CA269">
        <f>IFERROR(INDEX(PP_Grid[#Data],$DD269,77),0)</f>
        <v/>
      </c>
      <c r="CB269">
        <f>IFERROR(INDEX(PP_Grid[#Data],$DD269,78),0)</f>
        <v/>
      </c>
      <c r="CC269">
        <f>IFERROR(INDEX(PP_Grid[#Data],$DD269,79),0)</f>
        <v/>
      </c>
      <c r="CD269">
        <f>IFERROR(INDEX(PP_Grid[#Data],$DD269,80),0)</f>
        <v/>
      </c>
      <c r="CE269">
        <f>IFERROR(INDEX(PP_Grid[#Data],$DD269,81),0)</f>
        <v/>
      </c>
      <c r="CF269">
        <f>IFERROR(INDEX(PP_Grid[#Data],$DD269,82),0)</f>
        <v/>
      </c>
      <c r="CG269">
        <f>IFERROR(INDEX(PP_Grid[#Data],$DD269,83),0)</f>
        <v/>
      </c>
      <c r="CH269">
        <f>IFERROR(INDEX(PP_Grid[#Data],$DD269,84),0)</f>
        <v/>
      </c>
      <c r="CI269">
        <f>IFERROR(INDEX(PP_Grid[#Data],$DD269,85),0)</f>
        <v/>
      </c>
      <c r="CJ269">
        <f>IFERROR(INDEX(PP_Grid[#Data],$DD269,86),0)</f>
        <v/>
      </c>
      <c r="CK269">
        <f>IFERROR(INDEX(PP_Grid[#Data],$DD269,87),0)</f>
        <v/>
      </c>
      <c r="CL269">
        <f>IFERROR(INDEX(PP_Grid[#Data],$DD269,88),0)</f>
        <v/>
      </c>
      <c r="CM269">
        <f>IFERROR(INDEX(PP_Grid[#Data],$DD269,89),0)</f>
        <v/>
      </c>
      <c r="CN269">
        <f>IFERROR(INDEX(PP_Grid[#Data],$DD269,90),0)</f>
        <v/>
      </c>
      <c r="CO269">
        <f>IFERROR(INDEX(PP_Grid[#Data],$DD269,91),0)</f>
        <v/>
      </c>
      <c r="CP269">
        <f>IFERROR(INDEX(PP_Grid[#Data],$DD269,92),0)</f>
        <v/>
      </c>
      <c r="CQ269">
        <f>IFERROR(INDEX(PP_Grid[#Data],$DD269,93),0)</f>
        <v/>
      </c>
      <c r="CR269">
        <f>IFERROR(INDEX(PP_Grid[#Data],$DD269,94),0)</f>
        <v/>
      </c>
      <c r="CS269">
        <f>IFERROR(INDEX(PP_Grid[#Data],$DD269,95),0)</f>
        <v/>
      </c>
      <c r="CT269">
        <f>IFERROR(INDEX(PP_Grid[#Data],$DD269,96),0)</f>
        <v/>
      </c>
      <c r="CU269">
        <f>IFERROR(INDEX(PP_Grid[#Data],$DD269,97),0)</f>
        <v/>
      </c>
      <c r="CV269">
        <f>IFERROR(INDEX(PP_Grid[#Data],$DD269,98),0)</f>
        <v/>
      </c>
      <c r="CW269">
        <f>IFERROR(INDEX(PP_Grid[#Data],$DD269,99),0)</f>
        <v/>
      </c>
      <c r="CX269">
        <f>IFERROR(INDEX(PP_Grid[#Data],$DD269,100),0)</f>
        <v/>
      </c>
      <c r="CY269">
        <f>IFERROR(INDEX(PP_Grid[#Data],$DD269,101),0)</f>
        <v/>
      </c>
      <c r="CZ269">
        <f>IFERROR(INDEX(PP_Grid[#Data],$DD269,102),0)</f>
        <v/>
      </c>
      <c r="DA269">
        <f>IFERROR(INDEX(PP_Grid[#Data],$DD269,103),0)</f>
        <v/>
      </c>
      <c r="DB269">
        <f>IFERROR(INDEX(PP_Grid[#Data],$DD269,104),0)</f>
        <v/>
      </c>
      <c r="DC269">
        <f>IFERROR(INDEX(PP_Grid[#Data],$DD269,105),0)</f>
        <v/>
      </c>
      <c r="DD269" s="12">
        <f>IFERROR(MATCH($B269,PP_Grid[Intermediate],0),99999)</f>
        <v/>
      </c>
    </row>
    <row r="270">
      <c r="B270" t="inlineStr">
        <is>
          <t>使用量(kg)</t>
        </is>
      </c>
      <c r="C270">
        <f>SUMIFS(M_BOM[RM_Qty_Per_Batch],M_BOM[Intermediate],$B269,M_BOM[Part Name],$A264)</f>
        <v/>
      </c>
      <c r="D270">
        <f>$C270*D269</f>
        <v/>
      </c>
      <c r="E270">
        <f>$C270*E269</f>
        <v/>
      </c>
      <c r="F270">
        <f>$C270*F269</f>
        <v/>
      </c>
      <c r="G270">
        <f>$C270*G269</f>
        <v/>
      </c>
      <c r="H270">
        <f>$C270*H269</f>
        <v/>
      </c>
      <c r="I270">
        <f>$C270*I269</f>
        <v/>
      </c>
      <c r="J270">
        <f>$C270*J269</f>
        <v/>
      </c>
      <c r="K270">
        <f>$C270*K269</f>
        <v/>
      </c>
      <c r="L270">
        <f>$C270*L269</f>
        <v/>
      </c>
      <c r="M270">
        <f>$C270*M269</f>
        <v/>
      </c>
      <c r="N270">
        <f>$C270*N269</f>
        <v/>
      </c>
      <c r="O270">
        <f>$C270*O269</f>
        <v/>
      </c>
      <c r="P270">
        <f>$C270*P269</f>
        <v/>
      </c>
      <c r="Q270">
        <f>$C270*Q269</f>
        <v/>
      </c>
      <c r="R270">
        <f>$C270*R269</f>
        <v/>
      </c>
      <c r="S270">
        <f>$C270*S269</f>
        <v/>
      </c>
      <c r="T270">
        <f>$C270*T269</f>
        <v/>
      </c>
      <c r="U270">
        <f>$C270*U269</f>
        <v/>
      </c>
      <c r="V270">
        <f>$C270*V269</f>
        <v/>
      </c>
      <c r="W270">
        <f>$C270*W269</f>
        <v/>
      </c>
      <c r="X270">
        <f>$C270*X269</f>
        <v/>
      </c>
      <c r="Y270">
        <f>$C270*Y269</f>
        <v/>
      </c>
      <c r="Z270">
        <f>$C270*Z269</f>
        <v/>
      </c>
      <c r="AA270">
        <f>$C270*AA269</f>
        <v/>
      </c>
      <c r="AB270">
        <f>$C270*AB269</f>
        <v/>
      </c>
      <c r="AC270">
        <f>$C270*AC269</f>
        <v/>
      </c>
      <c r="AD270">
        <f>$C270*AD269</f>
        <v/>
      </c>
      <c r="AE270">
        <f>$C270*AE269</f>
        <v/>
      </c>
      <c r="AF270">
        <f>$C270*AF269</f>
        <v/>
      </c>
      <c r="AG270">
        <f>$C270*AG269</f>
        <v/>
      </c>
      <c r="AH270">
        <f>$C270*AH269</f>
        <v/>
      </c>
      <c r="AI270">
        <f>$C270*AI269</f>
        <v/>
      </c>
      <c r="AJ270">
        <f>$C270*AJ269</f>
        <v/>
      </c>
      <c r="AK270">
        <f>$C270*AK269</f>
        <v/>
      </c>
      <c r="AL270">
        <f>$C270*AL269</f>
        <v/>
      </c>
      <c r="AM270">
        <f>$C270*AM269</f>
        <v/>
      </c>
      <c r="AN270">
        <f>$C270*AN269</f>
        <v/>
      </c>
      <c r="AO270">
        <f>$C270*AO269</f>
        <v/>
      </c>
      <c r="AP270">
        <f>$C270*AP269</f>
        <v/>
      </c>
      <c r="AQ270">
        <f>$C270*AQ269</f>
        <v/>
      </c>
      <c r="AR270">
        <f>$C270*AR269</f>
        <v/>
      </c>
      <c r="AS270">
        <f>$C270*AS269</f>
        <v/>
      </c>
      <c r="AT270">
        <f>$C270*AT269</f>
        <v/>
      </c>
      <c r="AU270">
        <f>$C270*AU269</f>
        <v/>
      </c>
      <c r="AV270">
        <f>$C270*AV269</f>
        <v/>
      </c>
      <c r="AW270">
        <f>$C270*AW269</f>
        <v/>
      </c>
      <c r="AX270">
        <f>$C270*AX269</f>
        <v/>
      </c>
      <c r="AY270">
        <f>$C270*AY269</f>
        <v/>
      </c>
      <c r="AZ270">
        <f>$C270*AZ269</f>
        <v/>
      </c>
      <c r="BA270">
        <f>$C270*BA269</f>
        <v/>
      </c>
      <c r="BB270">
        <f>$C270*BB269</f>
        <v/>
      </c>
      <c r="BC270">
        <f>$C270*BC269</f>
        <v/>
      </c>
      <c r="BD270">
        <f>$C270*BD269</f>
        <v/>
      </c>
      <c r="BE270">
        <f>$C270*BE269</f>
        <v/>
      </c>
      <c r="BF270">
        <f>$C270*BF269</f>
        <v/>
      </c>
      <c r="BG270">
        <f>$C270*BG269</f>
        <v/>
      </c>
      <c r="BH270">
        <f>$C270*BH269</f>
        <v/>
      </c>
      <c r="BI270">
        <f>$C270*BI269</f>
        <v/>
      </c>
      <c r="BJ270">
        <f>$C270*BJ269</f>
        <v/>
      </c>
      <c r="BK270">
        <f>$C270*BK269</f>
        <v/>
      </c>
      <c r="BL270">
        <f>$C270*BL269</f>
        <v/>
      </c>
      <c r="BM270">
        <f>$C270*BM269</f>
        <v/>
      </c>
      <c r="BN270">
        <f>$C270*BN269</f>
        <v/>
      </c>
      <c r="BO270">
        <f>$C270*BO269</f>
        <v/>
      </c>
      <c r="BP270">
        <f>$C270*BP269</f>
        <v/>
      </c>
      <c r="BQ270">
        <f>$C270*BQ269</f>
        <v/>
      </c>
      <c r="BR270">
        <f>$C270*BR269</f>
        <v/>
      </c>
      <c r="BS270">
        <f>$C270*BS269</f>
        <v/>
      </c>
      <c r="BT270">
        <f>$C270*BT269</f>
        <v/>
      </c>
      <c r="BU270">
        <f>$C270*BU269</f>
        <v/>
      </c>
      <c r="BV270">
        <f>$C270*BV269</f>
        <v/>
      </c>
      <c r="BW270">
        <f>$C270*BW269</f>
        <v/>
      </c>
      <c r="BX270">
        <f>$C270*BX269</f>
        <v/>
      </c>
      <c r="BY270">
        <f>$C270*BY269</f>
        <v/>
      </c>
      <c r="BZ270">
        <f>$C270*BZ269</f>
        <v/>
      </c>
      <c r="CA270">
        <f>$C270*CA269</f>
        <v/>
      </c>
      <c r="CB270">
        <f>$C270*CB269</f>
        <v/>
      </c>
      <c r="CC270">
        <f>$C270*CC269</f>
        <v/>
      </c>
      <c r="CD270">
        <f>$C270*CD269</f>
        <v/>
      </c>
      <c r="CE270">
        <f>$C270*CE269</f>
        <v/>
      </c>
      <c r="CF270">
        <f>$C270*CF269</f>
        <v/>
      </c>
      <c r="CG270">
        <f>$C270*CG269</f>
        <v/>
      </c>
      <c r="CH270">
        <f>$C270*CH269</f>
        <v/>
      </c>
      <c r="CI270">
        <f>$C270*CI269</f>
        <v/>
      </c>
      <c r="CJ270">
        <f>$C270*CJ269</f>
        <v/>
      </c>
      <c r="CK270">
        <f>$C270*CK269</f>
        <v/>
      </c>
      <c r="CL270">
        <f>$C270*CL269</f>
        <v/>
      </c>
      <c r="CM270">
        <f>$C270*CM269</f>
        <v/>
      </c>
      <c r="CN270">
        <f>$C270*CN269</f>
        <v/>
      </c>
      <c r="CO270">
        <f>$C270*CO269</f>
        <v/>
      </c>
      <c r="CP270">
        <f>$C270*CP269</f>
        <v/>
      </c>
      <c r="CQ270">
        <f>$C270*CQ269</f>
        <v/>
      </c>
      <c r="CR270">
        <f>$C270*CR269</f>
        <v/>
      </c>
      <c r="CS270">
        <f>$C270*CS269</f>
        <v/>
      </c>
      <c r="CT270">
        <f>$C270*CT269</f>
        <v/>
      </c>
      <c r="CU270">
        <f>$C270*CU269</f>
        <v/>
      </c>
      <c r="CV270">
        <f>$C270*CV269</f>
        <v/>
      </c>
      <c r="CW270">
        <f>$C270*CW269</f>
        <v/>
      </c>
      <c r="CX270">
        <f>$C270*CX269</f>
        <v/>
      </c>
      <c r="CY270">
        <f>$C270*CY269</f>
        <v/>
      </c>
      <c r="CZ270">
        <f>$C270*CZ269</f>
        <v/>
      </c>
      <c r="DA270">
        <f>$C270*DA269</f>
        <v/>
      </c>
      <c r="DB270">
        <f>$C270*DB269</f>
        <v/>
      </c>
      <c r="DC270">
        <f>$C270*DC269</f>
        <v/>
      </c>
    </row>
    <row r="271">
      <c r="B271" t="inlineStr">
        <is>
          <t>TSP-544</t>
        </is>
      </c>
      <c r="C271" t="inlineStr">
        <is>
          <t>No. of batches</t>
        </is>
      </c>
      <c r="D271">
        <f>IFERROR(INDEX(PP_Grid[#Data],$DD271,2),0)</f>
        <v/>
      </c>
      <c r="E271">
        <f>IFERROR(INDEX(PP_Grid[#Data],$DD271,3),0)</f>
        <v/>
      </c>
      <c r="F271">
        <f>IFERROR(INDEX(PP_Grid[#Data],$DD271,4),0)</f>
        <v/>
      </c>
      <c r="G271">
        <f>IFERROR(INDEX(PP_Grid[#Data],$DD271,5),0)</f>
        <v/>
      </c>
      <c r="H271">
        <f>IFERROR(INDEX(PP_Grid[#Data],$DD271,6),0)</f>
        <v/>
      </c>
      <c r="I271">
        <f>IFERROR(INDEX(PP_Grid[#Data],$DD271,7),0)</f>
        <v/>
      </c>
      <c r="J271">
        <f>IFERROR(INDEX(PP_Grid[#Data],$DD271,8),0)</f>
        <v/>
      </c>
      <c r="K271">
        <f>IFERROR(INDEX(PP_Grid[#Data],$DD271,9),0)</f>
        <v/>
      </c>
      <c r="L271">
        <f>IFERROR(INDEX(PP_Grid[#Data],$DD271,10),0)</f>
        <v/>
      </c>
      <c r="M271">
        <f>IFERROR(INDEX(PP_Grid[#Data],$DD271,11),0)</f>
        <v/>
      </c>
      <c r="N271">
        <f>IFERROR(INDEX(PP_Grid[#Data],$DD271,12),0)</f>
        <v/>
      </c>
      <c r="O271">
        <f>IFERROR(INDEX(PP_Grid[#Data],$DD271,13),0)</f>
        <v/>
      </c>
      <c r="P271">
        <f>IFERROR(INDEX(PP_Grid[#Data],$DD271,14),0)</f>
        <v/>
      </c>
      <c r="Q271">
        <f>IFERROR(INDEX(PP_Grid[#Data],$DD271,15),0)</f>
        <v/>
      </c>
      <c r="R271">
        <f>IFERROR(INDEX(PP_Grid[#Data],$DD271,16),0)</f>
        <v/>
      </c>
      <c r="S271">
        <f>IFERROR(INDEX(PP_Grid[#Data],$DD271,17),0)</f>
        <v/>
      </c>
      <c r="T271">
        <f>IFERROR(INDEX(PP_Grid[#Data],$DD271,18),0)</f>
        <v/>
      </c>
      <c r="U271">
        <f>IFERROR(INDEX(PP_Grid[#Data],$DD271,19),0)</f>
        <v/>
      </c>
      <c r="V271">
        <f>IFERROR(INDEX(PP_Grid[#Data],$DD271,20),0)</f>
        <v/>
      </c>
      <c r="W271">
        <f>IFERROR(INDEX(PP_Grid[#Data],$DD271,21),0)</f>
        <v/>
      </c>
      <c r="X271">
        <f>IFERROR(INDEX(PP_Grid[#Data],$DD271,22),0)</f>
        <v/>
      </c>
      <c r="Y271">
        <f>IFERROR(INDEX(PP_Grid[#Data],$DD271,23),0)</f>
        <v/>
      </c>
      <c r="Z271">
        <f>IFERROR(INDEX(PP_Grid[#Data],$DD271,24),0)</f>
        <v/>
      </c>
      <c r="AA271">
        <f>IFERROR(INDEX(PP_Grid[#Data],$DD271,25),0)</f>
        <v/>
      </c>
      <c r="AB271">
        <f>IFERROR(INDEX(PP_Grid[#Data],$DD271,26),0)</f>
        <v/>
      </c>
      <c r="AC271">
        <f>IFERROR(INDEX(PP_Grid[#Data],$DD271,27),0)</f>
        <v/>
      </c>
      <c r="AD271">
        <f>IFERROR(INDEX(PP_Grid[#Data],$DD271,28),0)</f>
        <v/>
      </c>
      <c r="AE271">
        <f>IFERROR(INDEX(PP_Grid[#Data],$DD271,29),0)</f>
        <v/>
      </c>
      <c r="AF271">
        <f>IFERROR(INDEX(PP_Grid[#Data],$DD271,30),0)</f>
        <v/>
      </c>
      <c r="AG271">
        <f>IFERROR(INDEX(PP_Grid[#Data],$DD271,31),0)</f>
        <v/>
      </c>
      <c r="AH271">
        <f>IFERROR(INDEX(PP_Grid[#Data],$DD271,32),0)</f>
        <v/>
      </c>
      <c r="AI271">
        <f>IFERROR(INDEX(PP_Grid[#Data],$DD271,33),0)</f>
        <v/>
      </c>
      <c r="AJ271">
        <f>IFERROR(INDEX(PP_Grid[#Data],$DD271,34),0)</f>
        <v/>
      </c>
      <c r="AK271">
        <f>IFERROR(INDEX(PP_Grid[#Data],$DD271,35),0)</f>
        <v/>
      </c>
      <c r="AL271">
        <f>IFERROR(INDEX(PP_Grid[#Data],$DD271,36),0)</f>
        <v/>
      </c>
      <c r="AM271">
        <f>IFERROR(INDEX(PP_Grid[#Data],$DD271,37),0)</f>
        <v/>
      </c>
      <c r="AN271">
        <f>IFERROR(INDEX(PP_Grid[#Data],$DD271,38),0)</f>
        <v/>
      </c>
      <c r="AO271">
        <f>IFERROR(INDEX(PP_Grid[#Data],$DD271,39),0)</f>
        <v/>
      </c>
      <c r="AP271">
        <f>IFERROR(INDEX(PP_Grid[#Data],$DD271,40),0)</f>
        <v/>
      </c>
      <c r="AQ271">
        <f>IFERROR(INDEX(PP_Grid[#Data],$DD271,41),0)</f>
        <v/>
      </c>
      <c r="AR271">
        <f>IFERROR(INDEX(PP_Grid[#Data],$DD271,42),0)</f>
        <v/>
      </c>
      <c r="AS271">
        <f>IFERROR(INDEX(PP_Grid[#Data],$DD271,43),0)</f>
        <v/>
      </c>
      <c r="AT271">
        <f>IFERROR(INDEX(PP_Grid[#Data],$DD271,44),0)</f>
        <v/>
      </c>
      <c r="AU271">
        <f>IFERROR(INDEX(PP_Grid[#Data],$DD271,45),0)</f>
        <v/>
      </c>
      <c r="AV271">
        <f>IFERROR(INDEX(PP_Grid[#Data],$DD271,46),0)</f>
        <v/>
      </c>
      <c r="AW271">
        <f>IFERROR(INDEX(PP_Grid[#Data],$DD271,47),0)</f>
        <v/>
      </c>
      <c r="AX271">
        <f>IFERROR(INDEX(PP_Grid[#Data],$DD271,48),0)</f>
        <v/>
      </c>
      <c r="AY271">
        <f>IFERROR(INDEX(PP_Grid[#Data],$DD271,49),0)</f>
        <v/>
      </c>
      <c r="AZ271">
        <f>IFERROR(INDEX(PP_Grid[#Data],$DD271,50),0)</f>
        <v/>
      </c>
      <c r="BA271">
        <f>IFERROR(INDEX(PP_Grid[#Data],$DD271,51),0)</f>
        <v/>
      </c>
      <c r="BB271">
        <f>IFERROR(INDEX(PP_Grid[#Data],$DD271,52),0)</f>
        <v/>
      </c>
      <c r="BC271">
        <f>IFERROR(INDEX(PP_Grid[#Data],$DD271,53),0)</f>
        <v/>
      </c>
      <c r="BD271">
        <f>IFERROR(INDEX(PP_Grid[#Data],$DD271,54),0)</f>
        <v/>
      </c>
      <c r="BE271">
        <f>IFERROR(INDEX(PP_Grid[#Data],$DD271,55),0)</f>
        <v/>
      </c>
      <c r="BF271">
        <f>IFERROR(INDEX(PP_Grid[#Data],$DD271,56),0)</f>
        <v/>
      </c>
      <c r="BG271">
        <f>IFERROR(INDEX(PP_Grid[#Data],$DD271,57),0)</f>
        <v/>
      </c>
      <c r="BH271">
        <f>IFERROR(INDEX(PP_Grid[#Data],$DD271,58),0)</f>
        <v/>
      </c>
      <c r="BI271">
        <f>IFERROR(INDEX(PP_Grid[#Data],$DD271,59),0)</f>
        <v/>
      </c>
      <c r="BJ271">
        <f>IFERROR(INDEX(PP_Grid[#Data],$DD271,60),0)</f>
        <v/>
      </c>
      <c r="BK271">
        <f>IFERROR(INDEX(PP_Grid[#Data],$DD271,61),0)</f>
        <v/>
      </c>
      <c r="BL271">
        <f>IFERROR(INDEX(PP_Grid[#Data],$DD271,62),0)</f>
        <v/>
      </c>
      <c r="BM271">
        <f>IFERROR(INDEX(PP_Grid[#Data],$DD271,63),0)</f>
        <v/>
      </c>
      <c r="BN271">
        <f>IFERROR(INDEX(PP_Grid[#Data],$DD271,64),0)</f>
        <v/>
      </c>
      <c r="BO271">
        <f>IFERROR(INDEX(PP_Grid[#Data],$DD271,65),0)</f>
        <v/>
      </c>
      <c r="BP271">
        <f>IFERROR(INDEX(PP_Grid[#Data],$DD271,66),0)</f>
        <v/>
      </c>
      <c r="BQ271">
        <f>IFERROR(INDEX(PP_Grid[#Data],$DD271,67),0)</f>
        <v/>
      </c>
      <c r="BR271">
        <f>IFERROR(INDEX(PP_Grid[#Data],$DD271,68),0)</f>
        <v/>
      </c>
      <c r="BS271">
        <f>IFERROR(INDEX(PP_Grid[#Data],$DD271,69),0)</f>
        <v/>
      </c>
      <c r="BT271">
        <f>IFERROR(INDEX(PP_Grid[#Data],$DD271,70),0)</f>
        <v/>
      </c>
      <c r="BU271">
        <f>IFERROR(INDEX(PP_Grid[#Data],$DD271,71),0)</f>
        <v/>
      </c>
      <c r="BV271">
        <f>IFERROR(INDEX(PP_Grid[#Data],$DD271,72),0)</f>
        <v/>
      </c>
      <c r="BW271">
        <f>IFERROR(INDEX(PP_Grid[#Data],$DD271,73),0)</f>
        <v/>
      </c>
      <c r="BX271">
        <f>IFERROR(INDEX(PP_Grid[#Data],$DD271,74),0)</f>
        <v/>
      </c>
      <c r="BY271">
        <f>IFERROR(INDEX(PP_Grid[#Data],$DD271,75),0)</f>
        <v/>
      </c>
      <c r="BZ271">
        <f>IFERROR(INDEX(PP_Grid[#Data],$DD271,76),0)</f>
        <v/>
      </c>
      <c r="CA271">
        <f>IFERROR(INDEX(PP_Grid[#Data],$DD271,77),0)</f>
        <v/>
      </c>
      <c r="CB271">
        <f>IFERROR(INDEX(PP_Grid[#Data],$DD271,78),0)</f>
        <v/>
      </c>
      <c r="CC271">
        <f>IFERROR(INDEX(PP_Grid[#Data],$DD271,79),0)</f>
        <v/>
      </c>
      <c r="CD271">
        <f>IFERROR(INDEX(PP_Grid[#Data],$DD271,80),0)</f>
        <v/>
      </c>
      <c r="CE271">
        <f>IFERROR(INDEX(PP_Grid[#Data],$DD271,81),0)</f>
        <v/>
      </c>
      <c r="CF271">
        <f>IFERROR(INDEX(PP_Grid[#Data],$DD271,82),0)</f>
        <v/>
      </c>
      <c r="CG271">
        <f>IFERROR(INDEX(PP_Grid[#Data],$DD271,83),0)</f>
        <v/>
      </c>
      <c r="CH271">
        <f>IFERROR(INDEX(PP_Grid[#Data],$DD271,84),0)</f>
        <v/>
      </c>
      <c r="CI271">
        <f>IFERROR(INDEX(PP_Grid[#Data],$DD271,85),0)</f>
        <v/>
      </c>
      <c r="CJ271">
        <f>IFERROR(INDEX(PP_Grid[#Data],$DD271,86),0)</f>
        <v/>
      </c>
      <c r="CK271">
        <f>IFERROR(INDEX(PP_Grid[#Data],$DD271,87),0)</f>
        <v/>
      </c>
      <c r="CL271">
        <f>IFERROR(INDEX(PP_Grid[#Data],$DD271,88),0)</f>
        <v/>
      </c>
      <c r="CM271">
        <f>IFERROR(INDEX(PP_Grid[#Data],$DD271,89),0)</f>
        <v/>
      </c>
      <c r="CN271">
        <f>IFERROR(INDEX(PP_Grid[#Data],$DD271,90),0)</f>
        <v/>
      </c>
      <c r="CO271">
        <f>IFERROR(INDEX(PP_Grid[#Data],$DD271,91),0)</f>
        <v/>
      </c>
      <c r="CP271">
        <f>IFERROR(INDEX(PP_Grid[#Data],$DD271,92),0)</f>
        <v/>
      </c>
      <c r="CQ271">
        <f>IFERROR(INDEX(PP_Grid[#Data],$DD271,93),0)</f>
        <v/>
      </c>
      <c r="CR271">
        <f>IFERROR(INDEX(PP_Grid[#Data],$DD271,94),0)</f>
        <v/>
      </c>
      <c r="CS271">
        <f>IFERROR(INDEX(PP_Grid[#Data],$DD271,95),0)</f>
        <v/>
      </c>
      <c r="CT271">
        <f>IFERROR(INDEX(PP_Grid[#Data],$DD271,96),0)</f>
        <v/>
      </c>
      <c r="CU271">
        <f>IFERROR(INDEX(PP_Grid[#Data],$DD271,97),0)</f>
        <v/>
      </c>
      <c r="CV271">
        <f>IFERROR(INDEX(PP_Grid[#Data],$DD271,98),0)</f>
        <v/>
      </c>
      <c r="CW271">
        <f>IFERROR(INDEX(PP_Grid[#Data],$DD271,99),0)</f>
        <v/>
      </c>
      <c r="CX271">
        <f>IFERROR(INDEX(PP_Grid[#Data],$DD271,100),0)</f>
        <v/>
      </c>
      <c r="CY271">
        <f>IFERROR(INDEX(PP_Grid[#Data],$DD271,101),0)</f>
        <v/>
      </c>
      <c r="CZ271">
        <f>IFERROR(INDEX(PP_Grid[#Data],$DD271,102),0)</f>
        <v/>
      </c>
      <c r="DA271">
        <f>IFERROR(INDEX(PP_Grid[#Data],$DD271,103),0)</f>
        <v/>
      </c>
      <c r="DB271">
        <f>IFERROR(INDEX(PP_Grid[#Data],$DD271,104),0)</f>
        <v/>
      </c>
      <c r="DC271">
        <f>IFERROR(INDEX(PP_Grid[#Data],$DD271,105),0)</f>
        <v/>
      </c>
      <c r="DD271" s="12">
        <f>IFERROR(MATCH($B271,PP_Grid[Intermediate],0),99999)</f>
        <v/>
      </c>
    </row>
    <row r="272">
      <c r="B272" t="inlineStr">
        <is>
          <t>使用量(kg)</t>
        </is>
      </c>
      <c r="C272">
        <f>SUMIFS(M_BOM[RM_Qty_Per_Batch],M_BOM[Intermediate],$B271,M_BOM[Part Name],$A264)</f>
        <v/>
      </c>
      <c r="D272">
        <f>$C272*D271</f>
        <v/>
      </c>
      <c r="E272">
        <f>$C272*E271</f>
        <v/>
      </c>
      <c r="F272">
        <f>$C272*F271</f>
        <v/>
      </c>
      <c r="G272">
        <f>$C272*G271</f>
        <v/>
      </c>
      <c r="H272">
        <f>$C272*H271</f>
        <v/>
      </c>
      <c r="I272">
        <f>$C272*I271</f>
        <v/>
      </c>
      <c r="J272">
        <f>$C272*J271</f>
        <v/>
      </c>
      <c r="K272">
        <f>$C272*K271</f>
        <v/>
      </c>
      <c r="L272">
        <f>$C272*L271</f>
        <v/>
      </c>
      <c r="M272">
        <f>$C272*M271</f>
        <v/>
      </c>
      <c r="N272">
        <f>$C272*N271</f>
        <v/>
      </c>
      <c r="O272">
        <f>$C272*O271</f>
        <v/>
      </c>
      <c r="P272">
        <f>$C272*P271</f>
        <v/>
      </c>
      <c r="Q272">
        <f>$C272*Q271</f>
        <v/>
      </c>
      <c r="R272">
        <f>$C272*R271</f>
        <v/>
      </c>
      <c r="S272">
        <f>$C272*S271</f>
        <v/>
      </c>
      <c r="T272">
        <f>$C272*T271</f>
        <v/>
      </c>
      <c r="U272">
        <f>$C272*U271</f>
        <v/>
      </c>
      <c r="V272">
        <f>$C272*V271</f>
        <v/>
      </c>
      <c r="W272">
        <f>$C272*W271</f>
        <v/>
      </c>
      <c r="X272">
        <f>$C272*X271</f>
        <v/>
      </c>
      <c r="Y272">
        <f>$C272*Y271</f>
        <v/>
      </c>
      <c r="Z272">
        <f>$C272*Z271</f>
        <v/>
      </c>
      <c r="AA272">
        <f>$C272*AA271</f>
        <v/>
      </c>
      <c r="AB272">
        <f>$C272*AB271</f>
        <v/>
      </c>
      <c r="AC272">
        <f>$C272*AC271</f>
        <v/>
      </c>
      <c r="AD272">
        <f>$C272*AD271</f>
        <v/>
      </c>
      <c r="AE272">
        <f>$C272*AE271</f>
        <v/>
      </c>
      <c r="AF272">
        <f>$C272*AF271</f>
        <v/>
      </c>
      <c r="AG272">
        <f>$C272*AG271</f>
        <v/>
      </c>
      <c r="AH272">
        <f>$C272*AH271</f>
        <v/>
      </c>
      <c r="AI272">
        <f>$C272*AI271</f>
        <v/>
      </c>
      <c r="AJ272">
        <f>$C272*AJ271</f>
        <v/>
      </c>
      <c r="AK272">
        <f>$C272*AK271</f>
        <v/>
      </c>
      <c r="AL272">
        <f>$C272*AL271</f>
        <v/>
      </c>
      <c r="AM272">
        <f>$C272*AM271</f>
        <v/>
      </c>
      <c r="AN272">
        <f>$C272*AN271</f>
        <v/>
      </c>
      <c r="AO272">
        <f>$C272*AO271</f>
        <v/>
      </c>
      <c r="AP272">
        <f>$C272*AP271</f>
        <v/>
      </c>
      <c r="AQ272">
        <f>$C272*AQ271</f>
        <v/>
      </c>
      <c r="AR272">
        <f>$C272*AR271</f>
        <v/>
      </c>
      <c r="AS272">
        <f>$C272*AS271</f>
        <v/>
      </c>
      <c r="AT272">
        <f>$C272*AT271</f>
        <v/>
      </c>
      <c r="AU272">
        <f>$C272*AU271</f>
        <v/>
      </c>
      <c r="AV272">
        <f>$C272*AV271</f>
        <v/>
      </c>
      <c r="AW272">
        <f>$C272*AW271</f>
        <v/>
      </c>
      <c r="AX272">
        <f>$C272*AX271</f>
        <v/>
      </c>
      <c r="AY272">
        <f>$C272*AY271</f>
        <v/>
      </c>
      <c r="AZ272">
        <f>$C272*AZ271</f>
        <v/>
      </c>
      <c r="BA272">
        <f>$C272*BA271</f>
        <v/>
      </c>
      <c r="BB272">
        <f>$C272*BB271</f>
        <v/>
      </c>
      <c r="BC272">
        <f>$C272*BC271</f>
        <v/>
      </c>
      <c r="BD272">
        <f>$C272*BD271</f>
        <v/>
      </c>
      <c r="BE272">
        <f>$C272*BE271</f>
        <v/>
      </c>
      <c r="BF272">
        <f>$C272*BF271</f>
        <v/>
      </c>
      <c r="BG272">
        <f>$C272*BG271</f>
        <v/>
      </c>
      <c r="BH272">
        <f>$C272*BH271</f>
        <v/>
      </c>
      <c r="BI272">
        <f>$C272*BI271</f>
        <v/>
      </c>
      <c r="BJ272">
        <f>$C272*BJ271</f>
        <v/>
      </c>
      <c r="BK272">
        <f>$C272*BK271</f>
        <v/>
      </c>
      <c r="BL272">
        <f>$C272*BL271</f>
        <v/>
      </c>
      <c r="BM272">
        <f>$C272*BM271</f>
        <v/>
      </c>
      <c r="BN272">
        <f>$C272*BN271</f>
        <v/>
      </c>
      <c r="BO272">
        <f>$C272*BO271</f>
        <v/>
      </c>
      <c r="BP272">
        <f>$C272*BP271</f>
        <v/>
      </c>
      <c r="BQ272">
        <f>$C272*BQ271</f>
        <v/>
      </c>
      <c r="BR272">
        <f>$C272*BR271</f>
        <v/>
      </c>
      <c r="BS272">
        <f>$C272*BS271</f>
        <v/>
      </c>
      <c r="BT272">
        <f>$C272*BT271</f>
        <v/>
      </c>
      <c r="BU272">
        <f>$C272*BU271</f>
        <v/>
      </c>
      <c r="BV272">
        <f>$C272*BV271</f>
        <v/>
      </c>
      <c r="BW272">
        <f>$C272*BW271</f>
        <v/>
      </c>
      <c r="BX272">
        <f>$C272*BX271</f>
        <v/>
      </c>
      <c r="BY272">
        <f>$C272*BY271</f>
        <v/>
      </c>
      <c r="BZ272">
        <f>$C272*BZ271</f>
        <v/>
      </c>
      <c r="CA272">
        <f>$C272*CA271</f>
        <v/>
      </c>
      <c r="CB272">
        <f>$C272*CB271</f>
        <v/>
      </c>
      <c r="CC272">
        <f>$C272*CC271</f>
        <v/>
      </c>
      <c r="CD272">
        <f>$C272*CD271</f>
        <v/>
      </c>
      <c r="CE272">
        <f>$C272*CE271</f>
        <v/>
      </c>
      <c r="CF272">
        <f>$C272*CF271</f>
        <v/>
      </c>
      <c r="CG272">
        <f>$C272*CG271</f>
        <v/>
      </c>
      <c r="CH272">
        <f>$C272*CH271</f>
        <v/>
      </c>
      <c r="CI272">
        <f>$C272*CI271</f>
        <v/>
      </c>
      <c r="CJ272">
        <f>$C272*CJ271</f>
        <v/>
      </c>
      <c r="CK272">
        <f>$C272*CK271</f>
        <v/>
      </c>
      <c r="CL272">
        <f>$C272*CL271</f>
        <v/>
      </c>
      <c r="CM272">
        <f>$C272*CM271</f>
        <v/>
      </c>
      <c r="CN272">
        <f>$C272*CN271</f>
        <v/>
      </c>
      <c r="CO272">
        <f>$C272*CO271</f>
        <v/>
      </c>
      <c r="CP272">
        <f>$C272*CP271</f>
        <v/>
      </c>
      <c r="CQ272">
        <f>$C272*CQ271</f>
        <v/>
      </c>
      <c r="CR272">
        <f>$C272*CR271</f>
        <v/>
      </c>
      <c r="CS272">
        <f>$C272*CS271</f>
        <v/>
      </c>
      <c r="CT272">
        <f>$C272*CT271</f>
        <v/>
      </c>
      <c r="CU272">
        <f>$C272*CU271</f>
        <v/>
      </c>
      <c r="CV272">
        <f>$C272*CV271</f>
        <v/>
      </c>
      <c r="CW272">
        <f>$C272*CW271</f>
        <v/>
      </c>
      <c r="CX272">
        <f>$C272*CX271</f>
        <v/>
      </c>
      <c r="CY272">
        <f>$C272*CY271</f>
        <v/>
      </c>
      <c r="CZ272">
        <f>$C272*CZ271</f>
        <v/>
      </c>
      <c r="DA272">
        <f>$C272*DA271</f>
        <v/>
      </c>
      <c r="DB272">
        <f>$C272*DB271</f>
        <v/>
      </c>
      <c r="DC272">
        <f>$C272*DC271</f>
        <v/>
      </c>
    </row>
    <row r="273">
      <c r="B273" t="inlineStr">
        <is>
          <t>TSP-618</t>
        </is>
      </c>
      <c r="C273" t="inlineStr">
        <is>
          <t>No. of batches</t>
        </is>
      </c>
      <c r="D273">
        <f>IFERROR(INDEX(PP_Grid[#Data],$DD273,2),0)</f>
        <v/>
      </c>
      <c r="E273">
        <f>IFERROR(INDEX(PP_Grid[#Data],$DD273,3),0)</f>
        <v/>
      </c>
      <c r="F273">
        <f>IFERROR(INDEX(PP_Grid[#Data],$DD273,4),0)</f>
        <v/>
      </c>
      <c r="G273">
        <f>IFERROR(INDEX(PP_Grid[#Data],$DD273,5),0)</f>
        <v/>
      </c>
      <c r="H273">
        <f>IFERROR(INDEX(PP_Grid[#Data],$DD273,6),0)</f>
        <v/>
      </c>
      <c r="I273">
        <f>IFERROR(INDEX(PP_Grid[#Data],$DD273,7),0)</f>
        <v/>
      </c>
      <c r="J273">
        <f>IFERROR(INDEX(PP_Grid[#Data],$DD273,8),0)</f>
        <v/>
      </c>
      <c r="K273">
        <f>IFERROR(INDEX(PP_Grid[#Data],$DD273,9),0)</f>
        <v/>
      </c>
      <c r="L273">
        <f>IFERROR(INDEX(PP_Grid[#Data],$DD273,10),0)</f>
        <v/>
      </c>
      <c r="M273">
        <f>IFERROR(INDEX(PP_Grid[#Data],$DD273,11),0)</f>
        <v/>
      </c>
      <c r="N273">
        <f>IFERROR(INDEX(PP_Grid[#Data],$DD273,12),0)</f>
        <v/>
      </c>
      <c r="O273">
        <f>IFERROR(INDEX(PP_Grid[#Data],$DD273,13),0)</f>
        <v/>
      </c>
      <c r="P273">
        <f>IFERROR(INDEX(PP_Grid[#Data],$DD273,14),0)</f>
        <v/>
      </c>
      <c r="Q273">
        <f>IFERROR(INDEX(PP_Grid[#Data],$DD273,15),0)</f>
        <v/>
      </c>
      <c r="R273">
        <f>IFERROR(INDEX(PP_Grid[#Data],$DD273,16),0)</f>
        <v/>
      </c>
      <c r="S273">
        <f>IFERROR(INDEX(PP_Grid[#Data],$DD273,17),0)</f>
        <v/>
      </c>
      <c r="T273">
        <f>IFERROR(INDEX(PP_Grid[#Data],$DD273,18),0)</f>
        <v/>
      </c>
      <c r="U273">
        <f>IFERROR(INDEX(PP_Grid[#Data],$DD273,19),0)</f>
        <v/>
      </c>
      <c r="V273">
        <f>IFERROR(INDEX(PP_Grid[#Data],$DD273,20),0)</f>
        <v/>
      </c>
      <c r="W273">
        <f>IFERROR(INDEX(PP_Grid[#Data],$DD273,21),0)</f>
        <v/>
      </c>
      <c r="X273">
        <f>IFERROR(INDEX(PP_Grid[#Data],$DD273,22),0)</f>
        <v/>
      </c>
      <c r="Y273">
        <f>IFERROR(INDEX(PP_Grid[#Data],$DD273,23),0)</f>
        <v/>
      </c>
      <c r="Z273">
        <f>IFERROR(INDEX(PP_Grid[#Data],$DD273,24),0)</f>
        <v/>
      </c>
      <c r="AA273">
        <f>IFERROR(INDEX(PP_Grid[#Data],$DD273,25),0)</f>
        <v/>
      </c>
      <c r="AB273">
        <f>IFERROR(INDEX(PP_Grid[#Data],$DD273,26),0)</f>
        <v/>
      </c>
      <c r="AC273">
        <f>IFERROR(INDEX(PP_Grid[#Data],$DD273,27),0)</f>
        <v/>
      </c>
      <c r="AD273">
        <f>IFERROR(INDEX(PP_Grid[#Data],$DD273,28),0)</f>
        <v/>
      </c>
      <c r="AE273">
        <f>IFERROR(INDEX(PP_Grid[#Data],$DD273,29),0)</f>
        <v/>
      </c>
      <c r="AF273">
        <f>IFERROR(INDEX(PP_Grid[#Data],$DD273,30),0)</f>
        <v/>
      </c>
      <c r="AG273">
        <f>IFERROR(INDEX(PP_Grid[#Data],$DD273,31),0)</f>
        <v/>
      </c>
      <c r="AH273">
        <f>IFERROR(INDEX(PP_Grid[#Data],$DD273,32),0)</f>
        <v/>
      </c>
      <c r="AI273">
        <f>IFERROR(INDEX(PP_Grid[#Data],$DD273,33),0)</f>
        <v/>
      </c>
      <c r="AJ273">
        <f>IFERROR(INDEX(PP_Grid[#Data],$DD273,34),0)</f>
        <v/>
      </c>
      <c r="AK273">
        <f>IFERROR(INDEX(PP_Grid[#Data],$DD273,35),0)</f>
        <v/>
      </c>
      <c r="AL273">
        <f>IFERROR(INDEX(PP_Grid[#Data],$DD273,36),0)</f>
        <v/>
      </c>
      <c r="AM273">
        <f>IFERROR(INDEX(PP_Grid[#Data],$DD273,37),0)</f>
        <v/>
      </c>
      <c r="AN273">
        <f>IFERROR(INDEX(PP_Grid[#Data],$DD273,38),0)</f>
        <v/>
      </c>
      <c r="AO273">
        <f>IFERROR(INDEX(PP_Grid[#Data],$DD273,39),0)</f>
        <v/>
      </c>
      <c r="AP273">
        <f>IFERROR(INDEX(PP_Grid[#Data],$DD273,40),0)</f>
        <v/>
      </c>
      <c r="AQ273">
        <f>IFERROR(INDEX(PP_Grid[#Data],$DD273,41),0)</f>
        <v/>
      </c>
      <c r="AR273">
        <f>IFERROR(INDEX(PP_Grid[#Data],$DD273,42),0)</f>
        <v/>
      </c>
      <c r="AS273">
        <f>IFERROR(INDEX(PP_Grid[#Data],$DD273,43),0)</f>
        <v/>
      </c>
      <c r="AT273">
        <f>IFERROR(INDEX(PP_Grid[#Data],$DD273,44),0)</f>
        <v/>
      </c>
      <c r="AU273">
        <f>IFERROR(INDEX(PP_Grid[#Data],$DD273,45),0)</f>
        <v/>
      </c>
      <c r="AV273">
        <f>IFERROR(INDEX(PP_Grid[#Data],$DD273,46),0)</f>
        <v/>
      </c>
      <c r="AW273">
        <f>IFERROR(INDEX(PP_Grid[#Data],$DD273,47),0)</f>
        <v/>
      </c>
      <c r="AX273">
        <f>IFERROR(INDEX(PP_Grid[#Data],$DD273,48),0)</f>
        <v/>
      </c>
      <c r="AY273">
        <f>IFERROR(INDEX(PP_Grid[#Data],$DD273,49),0)</f>
        <v/>
      </c>
      <c r="AZ273">
        <f>IFERROR(INDEX(PP_Grid[#Data],$DD273,50),0)</f>
        <v/>
      </c>
      <c r="BA273">
        <f>IFERROR(INDEX(PP_Grid[#Data],$DD273,51),0)</f>
        <v/>
      </c>
      <c r="BB273">
        <f>IFERROR(INDEX(PP_Grid[#Data],$DD273,52),0)</f>
        <v/>
      </c>
      <c r="BC273">
        <f>IFERROR(INDEX(PP_Grid[#Data],$DD273,53),0)</f>
        <v/>
      </c>
      <c r="BD273">
        <f>IFERROR(INDEX(PP_Grid[#Data],$DD273,54),0)</f>
        <v/>
      </c>
      <c r="BE273">
        <f>IFERROR(INDEX(PP_Grid[#Data],$DD273,55),0)</f>
        <v/>
      </c>
      <c r="BF273">
        <f>IFERROR(INDEX(PP_Grid[#Data],$DD273,56),0)</f>
        <v/>
      </c>
      <c r="BG273">
        <f>IFERROR(INDEX(PP_Grid[#Data],$DD273,57),0)</f>
        <v/>
      </c>
      <c r="BH273">
        <f>IFERROR(INDEX(PP_Grid[#Data],$DD273,58),0)</f>
        <v/>
      </c>
      <c r="BI273">
        <f>IFERROR(INDEX(PP_Grid[#Data],$DD273,59),0)</f>
        <v/>
      </c>
      <c r="BJ273">
        <f>IFERROR(INDEX(PP_Grid[#Data],$DD273,60),0)</f>
        <v/>
      </c>
      <c r="BK273">
        <f>IFERROR(INDEX(PP_Grid[#Data],$DD273,61),0)</f>
        <v/>
      </c>
      <c r="BL273">
        <f>IFERROR(INDEX(PP_Grid[#Data],$DD273,62),0)</f>
        <v/>
      </c>
      <c r="BM273">
        <f>IFERROR(INDEX(PP_Grid[#Data],$DD273,63),0)</f>
        <v/>
      </c>
      <c r="BN273">
        <f>IFERROR(INDEX(PP_Grid[#Data],$DD273,64),0)</f>
        <v/>
      </c>
      <c r="BO273">
        <f>IFERROR(INDEX(PP_Grid[#Data],$DD273,65),0)</f>
        <v/>
      </c>
      <c r="BP273">
        <f>IFERROR(INDEX(PP_Grid[#Data],$DD273,66),0)</f>
        <v/>
      </c>
      <c r="BQ273">
        <f>IFERROR(INDEX(PP_Grid[#Data],$DD273,67),0)</f>
        <v/>
      </c>
      <c r="BR273">
        <f>IFERROR(INDEX(PP_Grid[#Data],$DD273,68),0)</f>
        <v/>
      </c>
      <c r="BS273">
        <f>IFERROR(INDEX(PP_Grid[#Data],$DD273,69),0)</f>
        <v/>
      </c>
      <c r="BT273">
        <f>IFERROR(INDEX(PP_Grid[#Data],$DD273,70),0)</f>
        <v/>
      </c>
      <c r="BU273">
        <f>IFERROR(INDEX(PP_Grid[#Data],$DD273,71),0)</f>
        <v/>
      </c>
      <c r="BV273">
        <f>IFERROR(INDEX(PP_Grid[#Data],$DD273,72),0)</f>
        <v/>
      </c>
      <c r="BW273">
        <f>IFERROR(INDEX(PP_Grid[#Data],$DD273,73),0)</f>
        <v/>
      </c>
      <c r="BX273">
        <f>IFERROR(INDEX(PP_Grid[#Data],$DD273,74),0)</f>
        <v/>
      </c>
      <c r="BY273">
        <f>IFERROR(INDEX(PP_Grid[#Data],$DD273,75),0)</f>
        <v/>
      </c>
      <c r="BZ273">
        <f>IFERROR(INDEX(PP_Grid[#Data],$DD273,76),0)</f>
        <v/>
      </c>
      <c r="CA273">
        <f>IFERROR(INDEX(PP_Grid[#Data],$DD273,77),0)</f>
        <v/>
      </c>
      <c r="CB273">
        <f>IFERROR(INDEX(PP_Grid[#Data],$DD273,78),0)</f>
        <v/>
      </c>
      <c r="CC273">
        <f>IFERROR(INDEX(PP_Grid[#Data],$DD273,79),0)</f>
        <v/>
      </c>
      <c r="CD273">
        <f>IFERROR(INDEX(PP_Grid[#Data],$DD273,80),0)</f>
        <v/>
      </c>
      <c r="CE273">
        <f>IFERROR(INDEX(PP_Grid[#Data],$DD273,81),0)</f>
        <v/>
      </c>
      <c r="CF273">
        <f>IFERROR(INDEX(PP_Grid[#Data],$DD273,82),0)</f>
        <v/>
      </c>
      <c r="CG273">
        <f>IFERROR(INDEX(PP_Grid[#Data],$DD273,83),0)</f>
        <v/>
      </c>
      <c r="CH273">
        <f>IFERROR(INDEX(PP_Grid[#Data],$DD273,84),0)</f>
        <v/>
      </c>
      <c r="CI273">
        <f>IFERROR(INDEX(PP_Grid[#Data],$DD273,85),0)</f>
        <v/>
      </c>
      <c r="CJ273">
        <f>IFERROR(INDEX(PP_Grid[#Data],$DD273,86),0)</f>
        <v/>
      </c>
      <c r="CK273">
        <f>IFERROR(INDEX(PP_Grid[#Data],$DD273,87),0)</f>
        <v/>
      </c>
      <c r="CL273">
        <f>IFERROR(INDEX(PP_Grid[#Data],$DD273,88),0)</f>
        <v/>
      </c>
      <c r="CM273">
        <f>IFERROR(INDEX(PP_Grid[#Data],$DD273,89),0)</f>
        <v/>
      </c>
      <c r="CN273">
        <f>IFERROR(INDEX(PP_Grid[#Data],$DD273,90),0)</f>
        <v/>
      </c>
      <c r="CO273">
        <f>IFERROR(INDEX(PP_Grid[#Data],$DD273,91),0)</f>
        <v/>
      </c>
      <c r="CP273">
        <f>IFERROR(INDEX(PP_Grid[#Data],$DD273,92),0)</f>
        <v/>
      </c>
      <c r="CQ273">
        <f>IFERROR(INDEX(PP_Grid[#Data],$DD273,93),0)</f>
        <v/>
      </c>
      <c r="CR273">
        <f>IFERROR(INDEX(PP_Grid[#Data],$DD273,94),0)</f>
        <v/>
      </c>
      <c r="CS273">
        <f>IFERROR(INDEX(PP_Grid[#Data],$DD273,95),0)</f>
        <v/>
      </c>
      <c r="CT273">
        <f>IFERROR(INDEX(PP_Grid[#Data],$DD273,96),0)</f>
        <v/>
      </c>
      <c r="CU273">
        <f>IFERROR(INDEX(PP_Grid[#Data],$DD273,97),0)</f>
        <v/>
      </c>
      <c r="CV273">
        <f>IFERROR(INDEX(PP_Grid[#Data],$DD273,98),0)</f>
        <v/>
      </c>
      <c r="CW273">
        <f>IFERROR(INDEX(PP_Grid[#Data],$DD273,99),0)</f>
        <v/>
      </c>
      <c r="CX273">
        <f>IFERROR(INDEX(PP_Grid[#Data],$DD273,100),0)</f>
        <v/>
      </c>
      <c r="CY273">
        <f>IFERROR(INDEX(PP_Grid[#Data],$DD273,101),0)</f>
        <v/>
      </c>
      <c r="CZ273">
        <f>IFERROR(INDEX(PP_Grid[#Data],$DD273,102),0)</f>
        <v/>
      </c>
      <c r="DA273">
        <f>IFERROR(INDEX(PP_Grid[#Data],$DD273,103),0)</f>
        <v/>
      </c>
      <c r="DB273">
        <f>IFERROR(INDEX(PP_Grid[#Data],$DD273,104),0)</f>
        <v/>
      </c>
      <c r="DC273">
        <f>IFERROR(INDEX(PP_Grid[#Data],$DD273,105),0)</f>
        <v/>
      </c>
      <c r="DD273" s="12">
        <f>IFERROR(MATCH($B273,PP_Grid[Intermediate],0),99999)</f>
        <v/>
      </c>
    </row>
    <row r="274">
      <c r="B274" t="inlineStr">
        <is>
          <t>使用量(kg)</t>
        </is>
      </c>
      <c r="C274">
        <f>SUMIFS(M_BOM[RM_Qty_Per_Batch],M_BOM[Intermediate],$B273,M_BOM[Part Name],$A264)</f>
        <v/>
      </c>
      <c r="D274">
        <f>$C274*D273</f>
        <v/>
      </c>
      <c r="E274">
        <f>$C274*E273</f>
        <v/>
      </c>
      <c r="F274">
        <f>$C274*F273</f>
        <v/>
      </c>
      <c r="G274">
        <f>$C274*G273</f>
        <v/>
      </c>
      <c r="H274">
        <f>$C274*H273</f>
        <v/>
      </c>
      <c r="I274">
        <f>$C274*I273</f>
        <v/>
      </c>
      <c r="J274">
        <f>$C274*J273</f>
        <v/>
      </c>
      <c r="K274">
        <f>$C274*K273</f>
        <v/>
      </c>
      <c r="L274">
        <f>$C274*L273</f>
        <v/>
      </c>
      <c r="M274">
        <f>$C274*M273</f>
        <v/>
      </c>
      <c r="N274">
        <f>$C274*N273</f>
        <v/>
      </c>
      <c r="O274">
        <f>$C274*O273</f>
        <v/>
      </c>
      <c r="P274">
        <f>$C274*P273</f>
        <v/>
      </c>
      <c r="Q274">
        <f>$C274*Q273</f>
        <v/>
      </c>
      <c r="R274">
        <f>$C274*R273</f>
        <v/>
      </c>
      <c r="S274">
        <f>$C274*S273</f>
        <v/>
      </c>
      <c r="T274">
        <f>$C274*T273</f>
        <v/>
      </c>
      <c r="U274">
        <f>$C274*U273</f>
        <v/>
      </c>
      <c r="V274">
        <f>$C274*V273</f>
        <v/>
      </c>
      <c r="W274">
        <f>$C274*W273</f>
        <v/>
      </c>
      <c r="X274">
        <f>$C274*X273</f>
        <v/>
      </c>
      <c r="Y274">
        <f>$C274*Y273</f>
        <v/>
      </c>
      <c r="Z274">
        <f>$C274*Z273</f>
        <v/>
      </c>
      <c r="AA274">
        <f>$C274*AA273</f>
        <v/>
      </c>
      <c r="AB274">
        <f>$C274*AB273</f>
        <v/>
      </c>
      <c r="AC274">
        <f>$C274*AC273</f>
        <v/>
      </c>
      <c r="AD274">
        <f>$C274*AD273</f>
        <v/>
      </c>
      <c r="AE274">
        <f>$C274*AE273</f>
        <v/>
      </c>
      <c r="AF274">
        <f>$C274*AF273</f>
        <v/>
      </c>
      <c r="AG274">
        <f>$C274*AG273</f>
        <v/>
      </c>
      <c r="AH274">
        <f>$C274*AH273</f>
        <v/>
      </c>
      <c r="AI274">
        <f>$C274*AI273</f>
        <v/>
      </c>
      <c r="AJ274">
        <f>$C274*AJ273</f>
        <v/>
      </c>
      <c r="AK274">
        <f>$C274*AK273</f>
        <v/>
      </c>
      <c r="AL274">
        <f>$C274*AL273</f>
        <v/>
      </c>
      <c r="AM274">
        <f>$C274*AM273</f>
        <v/>
      </c>
      <c r="AN274">
        <f>$C274*AN273</f>
        <v/>
      </c>
      <c r="AO274">
        <f>$C274*AO273</f>
        <v/>
      </c>
      <c r="AP274">
        <f>$C274*AP273</f>
        <v/>
      </c>
      <c r="AQ274">
        <f>$C274*AQ273</f>
        <v/>
      </c>
      <c r="AR274">
        <f>$C274*AR273</f>
        <v/>
      </c>
      <c r="AS274">
        <f>$C274*AS273</f>
        <v/>
      </c>
      <c r="AT274">
        <f>$C274*AT273</f>
        <v/>
      </c>
      <c r="AU274">
        <f>$C274*AU273</f>
        <v/>
      </c>
      <c r="AV274">
        <f>$C274*AV273</f>
        <v/>
      </c>
      <c r="AW274">
        <f>$C274*AW273</f>
        <v/>
      </c>
      <c r="AX274">
        <f>$C274*AX273</f>
        <v/>
      </c>
      <c r="AY274">
        <f>$C274*AY273</f>
        <v/>
      </c>
      <c r="AZ274">
        <f>$C274*AZ273</f>
        <v/>
      </c>
      <c r="BA274">
        <f>$C274*BA273</f>
        <v/>
      </c>
      <c r="BB274">
        <f>$C274*BB273</f>
        <v/>
      </c>
      <c r="BC274">
        <f>$C274*BC273</f>
        <v/>
      </c>
      <c r="BD274">
        <f>$C274*BD273</f>
        <v/>
      </c>
      <c r="BE274">
        <f>$C274*BE273</f>
        <v/>
      </c>
      <c r="BF274">
        <f>$C274*BF273</f>
        <v/>
      </c>
      <c r="BG274">
        <f>$C274*BG273</f>
        <v/>
      </c>
      <c r="BH274">
        <f>$C274*BH273</f>
        <v/>
      </c>
      <c r="BI274">
        <f>$C274*BI273</f>
        <v/>
      </c>
      <c r="BJ274">
        <f>$C274*BJ273</f>
        <v/>
      </c>
      <c r="BK274">
        <f>$C274*BK273</f>
        <v/>
      </c>
      <c r="BL274">
        <f>$C274*BL273</f>
        <v/>
      </c>
      <c r="BM274">
        <f>$C274*BM273</f>
        <v/>
      </c>
      <c r="BN274">
        <f>$C274*BN273</f>
        <v/>
      </c>
      <c r="BO274">
        <f>$C274*BO273</f>
        <v/>
      </c>
      <c r="BP274">
        <f>$C274*BP273</f>
        <v/>
      </c>
      <c r="BQ274">
        <f>$C274*BQ273</f>
        <v/>
      </c>
      <c r="BR274">
        <f>$C274*BR273</f>
        <v/>
      </c>
      <c r="BS274">
        <f>$C274*BS273</f>
        <v/>
      </c>
      <c r="BT274">
        <f>$C274*BT273</f>
        <v/>
      </c>
      <c r="BU274">
        <f>$C274*BU273</f>
        <v/>
      </c>
      <c r="BV274">
        <f>$C274*BV273</f>
        <v/>
      </c>
      <c r="BW274">
        <f>$C274*BW273</f>
        <v/>
      </c>
      <c r="BX274">
        <f>$C274*BX273</f>
        <v/>
      </c>
      <c r="BY274">
        <f>$C274*BY273</f>
        <v/>
      </c>
      <c r="BZ274">
        <f>$C274*BZ273</f>
        <v/>
      </c>
      <c r="CA274">
        <f>$C274*CA273</f>
        <v/>
      </c>
      <c r="CB274">
        <f>$C274*CB273</f>
        <v/>
      </c>
      <c r="CC274">
        <f>$C274*CC273</f>
        <v/>
      </c>
      <c r="CD274">
        <f>$C274*CD273</f>
        <v/>
      </c>
      <c r="CE274">
        <f>$C274*CE273</f>
        <v/>
      </c>
      <c r="CF274">
        <f>$C274*CF273</f>
        <v/>
      </c>
      <c r="CG274">
        <f>$C274*CG273</f>
        <v/>
      </c>
      <c r="CH274">
        <f>$C274*CH273</f>
        <v/>
      </c>
      <c r="CI274">
        <f>$C274*CI273</f>
        <v/>
      </c>
      <c r="CJ274">
        <f>$C274*CJ273</f>
        <v/>
      </c>
      <c r="CK274">
        <f>$C274*CK273</f>
        <v/>
      </c>
      <c r="CL274">
        <f>$C274*CL273</f>
        <v/>
      </c>
      <c r="CM274">
        <f>$C274*CM273</f>
        <v/>
      </c>
      <c r="CN274">
        <f>$C274*CN273</f>
        <v/>
      </c>
      <c r="CO274">
        <f>$C274*CO273</f>
        <v/>
      </c>
      <c r="CP274">
        <f>$C274*CP273</f>
        <v/>
      </c>
      <c r="CQ274">
        <f>$C274*CQ273</f>
        <v/>
      </c>
      <c r="CR274">
        <f>$C274*CR273</f>
        <v/>
      </c>
      <c r="CS274">
        <f>$C274*CS273</f>
        <v/>
      </c>
      <c r="CT274">
        <f>$C274*CT273</f>
        <v/>
      </c>
      <c r="CU274">
        <f>$C274*CU273</f>
        <v/>
      </c>
      <c r="CV274">
        <f>$C274*CV273</f>
        <v/>
      </c>
      <c r="CW274">
        <f>$C274*CW273</f>
        <v/>
      </c>
      <c r="CX274">
        <f>$C274*CX273</f>
        <v/>
      </c>
      <c r="CY274">
        <f>$C274*CY273</f>
        <v/>
      </c>
      <c r="CZ274">
        <f>$C274*CZ273</f>
        <v/>
      </c>
      <c r="DA274">
        <f>$C274*DA273</f>
        <v/>
      </c>
      <c r="DB274">
        <f>$C274*DB273</f>
        <v/>
      </c>
      <c r="DC274">
        <f>$C274*DC273</f>
        <v/>
      </c>
    </row>
    <row r="275">
      <c r="B275" t="inlineStr">
        <is>
          <t>TSP-710</t>
        </is>
      </c>
      <c r="C275" t="inlineStr">
        <is>
          <t>No. of batches</t>
        </is>
      </c>
      <c r="D275">
        <f>IFERROR(INDEX(PP_Grid[#Data],$DD275,2),0)</f>
        <v/>
      </c>
      <c r="E275">
        <f>IFERROR(INDEX(PP_Grid[#Data],$DD275,3),0)</f>
        <v/>
      </c>
      <c r="F275">
        <f>IFERROR(INDEX(PP_Grid[#Data],$DD275,4),0)</f>
        <v/>
      </c>
      <c r="G275">
        <f>IFERROR(INDEX(PP_Grid[#Data],$DD275,5),0)</f>
        <v/>
      </c>
      <c r="H275">
        <f>IFERROR(INDEX(PP_Grid[#Data],$DD275,6),0)</f>
        <v/>
      </c>
      <c r="I275">
        <f>IFERROR(INDEX(PP_Grid[#Data],$DD275,7),0)</f>
        <v/>
      </c>
      <c r="J275">
        <f>IFERROR(INDEX(PP_Grid[#Data],$DD275,8),0)</f>
        <v/>
      </c>
      <c r="K275">
        <f>IFERROR(INDEX(PP_Grid[#Data],$DD275,9),0)</f>
        <v/>
      </c>
      <c r="L275">
        <f>IFERROR(INDEX(PP_Grid[#Data],$DD275,10),0)</f>
        <v/>
      </c>
      <c r="M275">
        <f>IFERROR(INDEX(PP_Grid[#Data],$DD275,11),0)</f>
        <v/>
      </c>
      <c r="N275">
        <f>IFERROR(INDEX(PP_Grid[#Data],$DD275,12),0)</f>
        <v/>
      </c>
      <c r="O275">
        <f>IFERROR(INDEX(PP_Grid[#Data],$DD275,13),0)</f>
        <v/>
      </c>
      <c r="P275">
        <f>IFERROR(INDEX(PP_Grid[#Data],$DD275,14),0)</f>
        <v/>
      </c>
      <c r="Q275">
        <f>IFERROR(INDEX(PP_Grid[#Data],$DD275,15),0)</f>
        <v/>
      </c>
      <c r="R275">
        <f>IFERROR(INDEX(PP_Grid[#Data],$DD275,16),0)</f>
        <v/>
      </c>
      <c r="S275">
        <f>IFERROR(INDEX(PP_Grid[#Data],$DD275,17),0)</f>
        <v/>
      </c>
      <c r="T275">
        <f>IFERROR(INDEX(PP_Grid[#Data],$DD275,18),0)</f>
        <v/>
      </c>
      <c r="U275">
        <f>IFERROR(INDEX(PP_Grid[#Data],$DD275,19),0)</f>
        <v/>
      </c>
      <c r="V275">
        <f>IFERROR(INDEX(PP_Grid[#Data],$DD275,20),0)</f>
        <v/>
      </c>
      <c r="W275">
        <f>IFERROR(INDEX(PP_Grid[#Data],$DD275,21),0)</f>
        <v/>
      </c>
      <c r="X275">
        <f>IFERROR(INDEX(PP_Grid[#Data],$DD275,22),0)</f>
        <v/>
      </c>
      <c r="Y275">
        <f>IFERROR(INDEX(PP_Grid[#Data],$DD275,23),0)</f>
        <v/>
      </c>
      <c r="Z275">
        <f>IFERROR(INDEX(PP_Grid[#Data],$DD275,24),0)</f>
        <v/>
      </c>
      <c r="AA275">
        <f>IFERROR(INDEX(PP_Grid[#Data],$DD275,25),0)</f>
        <v/>
      </c>
      <c r="AB275">
        <f>IFERROR(INDEX(PP_Grid[#Data],$DD275,26),0)</f>
        <v/>
      </c>
      <c r="AC275">
        <f>IFERROR(INDEX(PP_Grid[#Data],$DD275,27),0)</f>
        <v/>
      </c>
      <c r="AD275">
        <f>IFERROR(INDEX(PP_Grid[#Data],$DD275,28),0)</f>
        <v/>
      </c>
      <c r="AE275">
        <f>IFERROR(INDEX(PP_Grid[#Data],$DD275,29),0)</f>
        <v/>
      </c>
      <c r="AF275">
        <f>IFERROR(INDEX(PP_Grid[#Data],$DD275,30),0)</f>
        <v/>
      </c>
      <c r="AG275">
        <f>IFERROR(INDEX(PP_Grid[#Data],$DD275,31),0)</f>
        <v/>
      </c>
      <c r="AH275">
        <f>IFERROR(INDEX(PP_Grid[#Data],$DD275,32),0)</f>
        <v/>
      </c>
      <c r="AI275">
        <f>IFERROR(INDEX(PP_Grid[#Data],$DD275,33),0)</f>
        <v/>
      </c>
      <c r="AJ275">
        <f>IFERROR(INDEX(PP_Grid[#Data],$DD275,34),0)</f>
        <v/>
      </c>
      <c r="AK275">
        <f>IFERROR(INDEX(PP_Grid[#Data],$DD275,35),0)</f>
        <v/>
      </c>
      <c r="AL275">
        <f>IFERROR(INDEX(PP_Grid[#Data],$DD275,36),0)</f>
        <v/>
      </c>
      <c r="AM275">
        <f>IFERROR(INDEX(PP_Grid[#Data],$DD275,37),0)</f>
        <v/>
      </c>
      <c r="AN275">
        <f>IFERROR(INDEX(PP_Grid[#Data],$DD275,38),0)</f>
        <v/>
      </c>
      <c r="AO275">
        <f>IFERROR(INDEX(PP_Grid[#Data],$DD275,39),0)</f>
        <v/>
      </c>
      <c r="AP275">
        <f>IFERROR(INDEX(PP_Grid[#Data],$DD275,40),0)</f>
        <v/>
      </c>
      <c r="AQ275">
        <f>IFERROR(INDEX(PP_Grid[#Data],$DD275,41),0)</f>
        <v/>
      </c>
      <c r="AR275">
        <f>IFERROR(INDEX(PP_Grid[#Data],$DD275,42),0)</f>
        <v/>
      </c>
      <c r="AS275">
        <f>IFERROR(INDEX(PP_Grid[#Data],$DD275,43),0)</f>
        <v/>
      </c>
      <c r="AT275">
        <f>IFERROR(INDEX(PP_Grid[#Data],$DD275,44),0)</f>
        <v/>
      </c>
      <c r="AU275">
        <f>IFERROR(INDEX(PP_Grid[#Data],$DD275,45),0)</f>
        <v/>
      </c>
      <c r="AV275">
        <f>IFERROR(INDEX(PP_Grid[#Data],$DD275,46),0)</f>
        <v/>
      </c>
      <c r="AW275">
        <f>IFERROR(INDEX(PP_Grid[#Data],$DD275,47),0)</f>
        <v/>
      </c>
      <c r="AX275">
        <f>IFERROR(INDEX(PP_Grid[#Data],$DD275,48),0)</f>
        <v/>
      </c>
      <c r="AY275">
        <f>IFERROR(INDEX(PP_Grid[#Data],$DD275,49),0)</f>
        <v/>
      </c>
      <c r="AZ275">
        <f>IFERROR(INDEX(PP_Grid[#Data],$DD275,50),0)</f>
        <v/>
      </c>
      <c r="BA275">
        <f>IFERROR(INDEX(PP_Grid[#Data],$DD275,51),0)</f>
        <v/>
      </c>
      <c r="BB275">
        <f>IFERROR(INDEX(PP_Grid[#Data],$DD275,52),0)</f>
        <v/>
      </c>
      <c r="BC275">
        <f>IFERROR(INDEX(PP_Grid[#Data],$DD275,53),0)</f>
        <v/>
      </c>
      <c r="BD275">
        <f>IFERROR(INDEX(PP_Grid[#Data],$DD275,54),0)</f>
        <v/>
      </c>
      <c r="BE275">
        <f>IFERROR(INDEX(PP_Grid[#Data],$DD275,55),0)</f>
        <v/>
      </c>
      <c r="BF275">
        <f>IFERROR(INDEX(PP_Grid[#Data],$DD275,56),0)</f>
        <v/>
      </c>
      <c r="BG275">
        <f>IFERROR(INDEX(PP_Grid[#Data],$DD275,57),0)</f>
        <v/>
      </c>
      <c r="BH275">
        <f>IFERROR(INDEX(PP_Grid[#Data],$DD275,58),0)</f>
        <v/>
      </c>
      <c r="BI275">
        <f>IFERROR(INDEX(PP_Grid[#Data],$DD275,59),0)</f>
        <v/>
      </c>
      <c r="BJ275">
        <f>IFERROR(INDEX(PP_Grid[#Data],$DD275,60),0)</f>
        <v/>
      </c>
      <c r="BK275">
        <f>IFERROR(INDEX(PP_Grid[#Data],$DD275,61),0)</f>
        <v/>
      </c>
      <c r="BL275">
        <f>IFERROR(INDEX(PP_Grid[#Data],$DD275,62),0)</f>
        <v/>
      </c>
      <c r="BM275">
        <f>IFERROR(INDEX(PP_Grid[#Data],$DD275,63),0)</f>
        <v/>
      </c>
      <c r="BN275">
        <f>IFERROR(INDEX(PP_Grid[#Data],$DD275,64),0)</f>
        <v/>
      </c>
      <c r="BO275">
        <f>IFERROR(INDEX(PP_Grid[#Data],$DD275,65),0)</f>
        <v/>
      </c>
      <c r="BP275">
        <f>IFERROR(INDEX(PP_Grid[#Data],$DD275,66),0)</f>
        <v/>
      </c>
      <c r="BQ275">
        <f>IFERROR(INDEX(PP_Grid[#Data],$DD275,67),0)</f>
        <v/>
      </c>
      <c r="BR275">
        <f>IFERROR(INDEX(PP_Grid[#Data],$DD275,68),0)</f>
        <v/>
      </c>
      <c r="BS275">
        <f>IFERROR(INDEX(PP_Grid[#Data],$DD275,69),0)</f>
        <v/>
      </c>
      <c r="BT275">
        <f>IFERROR(INDEX(PP_Grid[#Data],$DD275,70),0)</f>
        <v/>
      </c>
      <c r="BU275">
        <f>IFERROR(INDEX(PP_Grid[#Data],$DD275,71),0)</f>
        <v/>
      </c>
      <c r="BV275">
        <f>IFERROR(INDEX(PP_Grid[#Data],$DD275,72),0)</f>
        <v/>
      </c>
      <c r="BW275">
        <f>IFERROR(INDEX(PP_Grid[#Data],$DD275,73),0)</f>
        <v/>
      </c>
      <c r="BX275">
        <f>IFERROR(INDEX(PP_Grid[#Data],$DD275,74),0)</f>
        <v/>
      </c>
      <c r="BY275">
        <f>IFERROR(INDEX(PP_Grid[#Data],$DD275,75),0)</f>
        <v/>
      </c>
      <c r="BZ275">
        <f>IFERROR(INDEX(PP_Grid[#Data],$DD275,76),0)</f>
        <v/>
      </c>
      <c r="CA275">
        <f>IFERROR(INDEX(PP_Grid[#Data],$DD275,77),0)</f>
        <v/>
      </c>
      <c r="CB275">
        <f>IFERROR(INDEX(PP_Grid[#Data],$DD275,78),0)</f>
        <v/>
      </c>
      <c r="CC275">
        <f>IFERROR(INDEX(PP_Grid[#Data],$DD275,79),0)</f>
        <v/>
      </c>
      <c r="CD275">
        <f>IFERROR(INDEX(PP_Grid[#Data],$DD275,80),0)</f>
        <v/>
      </c>
      <c r="CE275">
        <f>IFERROR(INDEX(PP_Grid[#Data],$DD275,81),0)</f>
        <v/>
      </c>
      <c r="CF275">
        <f>IFERROR(INDEX(PP_Grid[#Data],$DD275,82),0)</f>
        <v/>
      </c>
      <c r="CG275">
        <f>IFERROR(INDEX(PP_Grid[#Data],$DD275,83),0)</f>
        <v/>
      </c>
      <c r="CH275">
        <f>IFERROR(INDEX(PP_Grid[#Data],$DD275,84),0)</f>
        <v/>
      </c>
      <c r="CI275">
        <f>IFERROR(INDEX(PP_Grid[#Data],$DD275,85),0)</f>
        <v/>
      </c>
      <c r="CJ275">
        <f>IFERROR(INDEX(PP_Grid[#Data],$DD275,86),0)</f>
        <v/>
      </c>
      <c r="CK275">
        <f>IFERROR(INDEX(PP_Grid[#Data],$DD275,87),0)</f>
        <v/>
      </c>
      <c r="CL275">
        <f>IFERROR(INDEX(PP_Grid[#Data],$DD275,88),0)</f>
        <v/>
      </c>
      <c r="CM275">
        <f>IFERROR(INDEX(PP_Grid[#Data],$DD275,89),0)</f>
        <v/>
      </c>
      <c r="CN275">
        <f>IFERROR(INDEX(PP_Grid[#Data],$DD275,90),0)</f>
        <v/>
      </c>
      <c r="CO275">
        <f>IFERROR(INDEX(PP_Grid[#Data],$DD275,91),0)</f>
        <v/>
      </c>
      <c r="CP275">
        <f>IFERROR(INDEX(PP_Grid[#Data],$DD275,92),0)</f>
        <v/>
      </c>
      <c r="CQ275">
        <f>IFERROR(INDEX(PP_Grid[#Data],$DD275,93),0)</f>
        <v/>
      </c>
      <c r="CR275">
        <f>IFERROR(INDEX(PP_Grid[#Data],$DD275,94),0)</f>
        <v/>
      </c>
      <c r="CS275">
        <f>IFERROR(INDEX(PP_Grid[#Data],$DD275,95),0)</f>
        <v/>
      </c>
      <c r="CT275">
        <f>IFERROR(INDEX(PP_Grid[#Data],$DD275,96),0)</f>
        <v/>
      </c>
      <c r="CU275">
        <f>IFERROR(INDEX(PP_Grid[#Data],$DD275,97),0)</f>
        <v/>
      </c>
      <c r="CV275">
        <f>IFERROR(INDEX(PP_Grid[#Data],$DD275,98),0)</f>
        <v/>
      </c>
      <c r="CW275">
        <f>IFERROR(INDEX(PP_Grid[#Data],$DD275,99),0)</f>
        <v/>
      </c>
      <c r="CX275">
        <f>IFERROR(INDEX(PP_Grid[#Data],$DD275,100),0)</f>
        <v/>
      </c>
      <c r="CY275">
        <f>IFERROR(INDEX(PP_Grid[#Data],$DD275,101),0)</f>
        <v/>
      </c>
      <c r="CZ275">
        <f>IFERROR(INDEX(PP_Grid[#Data],$DD275,102),0)</f>
        <v/>
      </c>
      <c r="DA275">
        <f>IFERROR(INDEX(PP_Grid[#Data],$DD275,103),0)</f>
        <v/>
      </c>
      <c r="DB275">
        <f>IFERROR(INDEX(PP_Grid[#Data],$DD275,104),0)</f>
        <v/>
      </c>
      <c r="DC275">
        <f>IFERROR(INDEX(PP_Grid[#Data],$DD275,105),0)</f>
        <v/>
      </c>
      <c r="DD275" s="12">
        <f>IFERROR(MATCH($B275,PP_Grid[Intermediate],0),99999)</f>
        <v/>
      </c>
    </row>
    <row r="276">
      <c r="B276" t="inlineStr">
        <is>
          <t>使用量(kg)</t>
        </is>
      </c>
      <c r="C276">
        <f>SUMIFS(M_BOM[RM_Qty_Per_Batch],M_BOM[Intermediate],$B275,M_BOM[Part Name],$A264)</f>
        <v/>
      </c>
      <c r="D276">
        <f>$C276*D275</f>
        <v/>
      </c>
      <c r="E276">
        <f>$C276*E275</f>
        <v/>
      </c>
      <c r="F276">
        <f>$C276*F275</f>
        <v/>
      </c>
      <c r="G276">
        <f>$C276*G275</f>
        <v/>
      </c>
      <c r="H276">
        <f>$C276*H275</f>
        <v/>
      </c>
      <c r="I276">
        <f>$C276*I275</f>
        <v/>
      </c>
      <c r="J276">
        <f>$C276*J275</f>
        <v/>
      </c>
      <c r="K276">
        <f>$C276*K275</f>
        <v/>
      </c>
      <c r="L276">
        <f>$C276*L275</f>
        <v/>
      </c>
      <c r="M276">
        <f>$C276*M275</f>
        <v/>
      </c>
      <c r="N276">
        <f>$C276*N275</f>
        <v/>
      </c>
      <c r="O276">
        <f>$C276*O275</f>
        <v/>
      </c>
      <c r="P276">
        <f>$C276*P275</f>
        <v/>
      </c>
      <c r="Q276">
        <f>$C276*Q275</f>
        <v/>
      </c>
      <c r="R276">
        <f>$C276*R275</f>
        <v/>
      </c>
      <c r="S276">
        <f>$C276*S275</f>
        <v/>
      </c>
      <c r="T276">
        <f>$C276*T275</f>
        <v/>
      </c>
      <c r="U276">
        <f>$C276*U275</f>
        <v/>
      </c>
      <c r="V276">
        <f>$C276*V275</f>
        <v/>
      </c>
      <c r="W276">
        <f>$C276*W275</f>
        <v/>
      </c>
      <c r="X276">
        <f>$C276*X275</f>
        <v/>
      </c>
      <c r="Y276">
        <f>$C276*Y275</f>
        <v/>
      </c>
      <c r="Z276">
        <f>$C276*Z275</f>
        <v/>
      </c>
      <c r="AA276">
        <f>$C276*AA275</f>
        <v/>
      </c>
      <c r="AB276">
        <f>$C276*AB275</f>
        <v/>
      </c>
      <c r="AC276">
        <f>$C276*AC275</f>
        <v/>
      </c>
      <c r="AD276">
        <f>$C276*AD275</f>
        <v/>
      </c>
      <c r="AE276">
        <f>$C276*AE275</f>
        <v/>
      </c>
      <c r="AF276">
        <f>$C276*AF275</f>
        <v/>
      </c>
      <c r="AG276">
        <f>$C276*AG275</f>
        <v/>
      </c>
      <c r="AH276">
        <f>$C276*AH275</f>
        <v/>
      </c>
      <c r="AI276">
        <f>$C276*AI275</f>
        <v/>
      </c>
      <c r="AJ276">
        <f>$C276*AJ275</f>
        <v/>
      </c>
      <c r="AK276">
        <f>$C276*AK275</f>
        <v/>
      </c>
      <c r="AL276">
        <f>$C276*AL275</f>
        <v/>
      </c>
      <c r="AM276">
        <f>$C276*AM275</f>
        <v/>
      </c>
      <c r="AN276">
        <f>$C276*AN275</f>
        <v/>
      </c>
      <c r="AO276">
        <f>$C276*AO275</f>
        <v/>
      </c>
      <c r="AP276">
        <f>$C276*AP275</f>
        <v/>
      </c>
      <c r="AQ276">
        <f>$C276*AQ275</f>
        <v/>
      </c>
      <c r="AR276">
        <f>$C276*AR275</f>
        <v/>
      </c>
      <c r="AS276">
        <f>$C276*AS275</f>
        <v/>
      </c>
      <c r="AT276">
        <f>$C276*AT275</f>
        <v/>
      </c>
      <c r="AU276">
        <f>$C276*AU275</f>
        <v/>
      </c>
      <c r="AV276">
        <f>$C276*AV275</f>
        <v/>
      </c>
      <c r="AW276">
        <f>$C276*AW275</f>
        <v/>
      </c>
      <c r="AX276">
        <f>$C276*AX275</f>
        <v/>
      </c>
      <c r="AY276">
        <f>$C276*AY275</f>
        <v/>
      </c>
      <c r="AZ276">
        <f>$C276*AZ275</f>
        <v/>
      </c>
      <c r="BA276">
        <f>$C276*BA275</f>
        <v/>
      </c>
      <c r="BB276">
        <f>$C276*BB275</f>
        <v/>
      </c>
      <c r="BC276">
        <f>$C276*BC275</f>
        <v/>
      </c>
      <c r="BD276">
        <f>$C276*BD275</f>
        <v/>
      </c>
      <c r="BE276">
        <f>$C276*BE275</f>
        <v/>
      </c>
      <c r="BF276">
        <f>$C276*BF275</f>
        <v/>
      </c>
      <c r="BG276">
        <f>$C276*BG275</f>
        <v/>
      </c>
      <c r="BH276">
        <f>$C276*BH275</f>
        <v/>
      </c>
      <c r="BI276">
        <f>$C276*BI275</f>
        <v/>
      </c>
      <c r="BJ276">
        <f>$C276*BJ275</f>
        <v/>
      </c>
      <c r="BK276">
        <f>$C276*BK275</f>
        <v/>
      </c>
      <c r="BL276">
        <f>$C276*BL275</f>
        <v/>
      </c>
      <c r="BM276">
        <f>$C276*BM275</f>
        <v/>
      </c>
      <c r="BN276">
        <f>$C276*BN275</f>
        <v/>
      </c>
      <c r="BO276">
        <f>$C276*BO275</f>
        <v/>
      </c>
      <c r="BP276">
        <f>$C276*BP275</f>
        <v/>
      </c>
      <c r="BQ276">
        <f>$C276*BQ275</f>
        <v/>
      </c>
      <c r="BR276">
        <f>$C276*BR275</f>
        <v/>
      </c>
      <c r="BS276">
        <f>$C276*BS275</f>
        <v/>
      </c>
      <c r="BT276">
        <f>$C276*BT275</f>
        <v/>
      </c>
      <c r="BU276">
        <f>$C276*BU275</f>
        <v/>
      </c>
      <c r="BV276">
        <f>$C276*BV275</f>
        <v/>
      </c>
      <c r="BW276">
        <f>$C276*BW275</f>
        <v/>
      </c>
      <c r="BX276">
        <f>$C276*BX275</f>
        <v/>
      </c>
      <c r="BY276">
        <f>$C276*BY275</f>
        <v/>
      </c>
      <c r="BZ276">
        <f>$C276*BZ275</f>
        <v/>
      </c>
      <c r="CA276">
        <f>$C276*CA275</f>
        <v/>
      </c>
      <c r="CB276">
        <f>$C276*CB275</f>
        <v/>
      </c>
      <c r="CC276">
        <f>$C276*CC275</f>
        <v/>
      </c>
      <c r="CD276">
        <f>$C276*CD275</f>
        <v/>
      </c>
      <c r="CE276">
        <f>$C276*CE275</f>
        <v/>
      </c>
      <c r="CF276">
        <f>$C276*CF275</f>
        <v/>
      </c>
      <c r="CG276">
        <f>$C276*CG275</f>
        <v/>
      </c>
      <c r="CH276">
        <f>$C276*CH275</f>
        <v/>
      </c>
      <c r="CI276">
        <f>$C276*CI275</f>
        <v/>
      </c>
      <c r="CJ276">
        <f>$C276*CJ275</f>
        <v/>
      </c>
      <c r="CK276">
        <f>$C276*CK275</f>
        <v/>
      </c>
      <c r="CL276">
        <f>$C276*CL275</f>
        <v/>
      </c>
      <c r="CM276">
        <f>$C276*CM275</f>
        <v/>
      </c>
      <c r="CN276">
        <f>$C276*CN275</f>
        <v/>
      </c>
      <c r="CO276">
        <f>$C276*CO275</f>
        <v/>
      </c>
      <c r="CP276">
        <f>$C276*CP275</f>
        <v/>
      </c>
      <c r="CQ276">
        <f>$C276*CQ275</f>
        <v/>
      </c>
      <c r="CR276">
        <f>$C276*CR275</f>
        <v/>
      </c>
      <c r="CS276">
        <f>$C276*CS275</f>
        <v/>
      </c>
      <c r="CT276">
        <f>$C276*CT275</f>
        <v/>
      </c>
      <c r="CU276">
        <f>$C276*CU275</f>
        <v/>
      </c>
      <c r="CV276">
        <f>$C276*CV275</f>
        <v/>
      </c>
      <c r="CW276">
        <f>$C276*CW275</f>
        <v/>
      </c>
      <c r="CX276">
        <f>$C276*CX275</f>
        <v/>
      </c>
      <c r="CY276">
        <f>$C276*CY275</f>
        <v/>
      </c>
      <c r="CZ276">
        <f>$C276*CZ275</f>
        <v/>
      </c>
      <c r="DA276">
        <f>$C276*DA275</f>
        <v/>
      </c>
      <c r="DB276">
        <f>$C276*DB275</f>
        <v/>
      </c>
      <c r="DC276">
        <f>$C276*DC275</f>
        <v/>
      </c>
    </row>
    <row r="277">
      <c r="B277" t="inlineStr">
        <is>
          <t>TSP-924</t>
        </is>
      </c>
      <c r="C277" t="inlineStr">
        <is>
          <t>No. of batches</t>
        </is>
      </c>
      <c r="D277">
        <f>IFERROR(INDEX(PP_Grid[#Data],$DD277,2),0)</f>
        <v/>
      </c>
      <c r="E277">
        <f>IFERROR(INDEX(PP_Grid[#Data],$DD277,3),0)</f>
        <v/>
      </c>
      <c r="F277">
        <f>IFERROR(INDEX(PP_Grid[#Data],$DD277,4),0)</f>
        <v/>
      </c>
      <c r="G277">
        <f>IFERROR(INDEX(PP_Grid[#Data],$DD277,5),0)</f>
        <v/>
      </c>
      <c r="H277">
        <f>IFERROR(INDEX(PP_Grid[#Data],$DD277,6),0)</f>
        <v/>
      </c>
      <c r="I277">
        <f>IFERROR(INDEX(PP_Grid[#Data],$DD277,7),0)</f>
        <v/>
      </c>
      <c r="J277">
        <f>IFERROR(INDEX(PP_Grid[#Data],$DD277,8),0)</f>
        <v/>
      </c>
      <c r="K277">
        <f>IFERROR(INDEX(PP_Grid[#Data],$DD277,9),0)</f>
        <v/>
      </c>
      <c r="L277">
        <f>IFERROR(INDEX(PP_Grid[#Data],$DD277,10),0)</f>
        <v/>
      </c>
      <c r="M277">
        <f>IFERROR(INDEX(PP_Grid[#Data],$DD277,11),0)</f>
        <v/>
      </c>
      <c r="N277">
        <f>IFERROR(INDEX(PP_Grid[#Data],$DD277,12),0)</f>
        <v/>
      </c>
      <c r="O277">
        <f>IFERROR(INDEX(PP_Grid[#Data],$DD277,13),0)</f>
        <v/>
      </c>
      <c r="P277">
        <f>IFERROR(INDEX(PP_Grid[#Data],$DD277,14),0)</f>
        <v/>
      </c>
      <c r="Q277">
        <f>IFERROR(INDEX(PP_Grid[#Data],$DD277,15),0)</f>
        <v/>
      </c>
      <c r="R277">
        <f>IFERROR(INDEX(PP_Grid[#Data],$DD277,16),0)</f>
        <v/>
      </c>
      <c r="S277">
        <f>IFERROR(INDEX(PP_Grid[#Data],$DD277,17),0)</f>
        <v/>
      </c>
      <c r="T277">
        <f>IFERROR(INDEX(PP_Grid[#Data],$DD277,18),0)</f>
        <v/>
      </c>
      <c r="U277">
        <f>IFERROR(INDEX(PP_Grid[#Data],$DD277,19),0)</f>
        <v/>
      </c>
      <c r="V277">
        <f>IFERROR(INDEX(PP_Grid[#Data],$DD277,20),0)</f>
        <v/>
      </c>
      <c r="W277">
        <f>IFERROR(INDEX(PP_Grid[#Data],$DD277,21),0)</f>
        <v/>
      </c>
      <c r="X277">
        <f>IFERROR(INDEX(PP_Grid[#Data],$DD277,22),0)</f>
        <v/>
      </c>
      <c r="Y277">
        <f>IFERROR(INDEX(PP_Grid[#Data],$DD277,23),0)</f>
        <v/>
      </c>
      <c r="Z277">
        <f>IFERROR(INDEX(PP_Grid[#Data],$DD277,24),0)</f>
        <v/>
      </c>
      <c r="AA277">
        <f>IFERROR(INDEX(PP_Grid[#Data],$DD277,25),0)</f>
        <v/>
      </c>
      <c r="AB277">
        <f>IFERROR(INDEX(PP_Grid[#Data],$DD277,26),0)</f>
        <v/>
      </c>
      <c r="AC277">
        <f>IFERROR(INDEX(PP_Grid[#Data],$DD277,27),0)</f>
        <v/>
      </c>
      <c r="AD277">
        <f>IFERROR(INDEX(PP_Grid[#Data],$DD277,28),0)</f>
        <v/>
      </c>
      <c r="AE277">
        <f>IFERROR(INDEX(PP_Grid[#Data],$DD277,29),0)</f>
        <v/>
      </c>
      <c r="AF277">
        <f>IFERROR(INDEX(PP_Grid[#Data],$DD277,30),0)</f>
        <v/>
      </c>
      <c r="AG277">
        <f>IFERROR(INDEX(PP_Grid[#Data],$DD277,31),0)</f>
        <v/>
      </c>
      <c r="AH277">
        <f>IFERROR(INDEX(PP_Grid[#Data],$DD277,32),0)</f>
        <v/>
      </c>
      <c r="AI277">
        <f>IFERROR(INDEX(PP_Grid[#Data],$DD277,33),0)</f>
        <v/>
      </c>
      <c r="AJ277">
        <f>IFERROR(INDEX(PP_Grid[#Data],$DD277,34),0)</f>
        <v/>
      </c>
      <c r="AK277">
        <f>IFERROR(INDEX(PP_Grid[#Data],$DD277,35),0)</f>
        <v/>
      </c>
      <c r="AL277">
        <f>IFERROR(INDEX(PP_Grid[#Data],$DD277,36),0)</f>
        <v/>
      </c>
      <c r="AM277">
        <f>IFERROR(INDEX(PP_Grid[#Data],$DD277,37),0)</f>
        <v/>
      </c>
      <c r="AN277">
        <f>IFERROR(INDEX(PP_Grid[#Data],$DD277,38),0)</f>
        <v/>
      </c>
      <c r="AO277">
        <f>IFERROR(INDEX(PP_Grid[#Data],$DD277,39),0)</f>
        <v/>
      </c>
      <c r="AP277">
        <f>IFERROR(INDEX(PP_Grid[#Data],$DD277,40),0)</f>
        <v/>
      </c>
      <c r="AQ277">
        <f>IFERROR(INDEX(PP_Grid[#Data],$DD277,41),0)</f>
        <v/>
      </c>
      <c r="AR277">
        <f>IFERROR(INDEX(PP_Grid[#Data],$DD277,42),0)</f>
        <v/>
      </c>
      <c r="AS277">
        <f>IFERROR(INDEX(PP_Grid[#Data],$DD277,43),0)</f>
        <v/>
      </c>
      <c r="AT277">
        <f>IFERROR(INDEX(PP_Grid[#Data],$DD277,44),0)</f>
        <v/>
      </c>
      <c r="AU277">
        <f>IFERROR(INDEX(PP_Grid[#Data],$DD277,45),0)</f>
        <v/>
      </c>
      <c r="AV277">
        <f>IFERROR(INDEX(PP_Grid[#Data],$DD277,46),0)</f>
        <v/>
      </c>
      <c r="AW277">
        <f>IFERROR(INDEX(PP_Grid[#Data],$DD277,47),0)</f>
        <v/>
      </c>
      <c r="AX277">
        <f>IFERROR(INDEX(PP_Grid[#Data],$DD277,48),0)</f>
        <v/>
      </c>
      <c r="AY277">
        <f>IFERROR(INDEX(PP_Grid[#Data],$DD277,49),0)</f>
        <v/>
      </c>
      <c r="AZ277">
        <f>IFERROR(INDEX(PP_Grid[#Data],$DD277,50),0)</f>
        <v/>
      </c>
      <c r="BA277">
        <f>IFERROR(INDEX(PP_Grid[#Data],$DD277,51),0)</f>
        <v/>
      </c>
      <c r="BB277">
        <f>IFERROR(INDEX(PP_Grid[#Data],$DD277,52),0)</f>
        <v/>
      </c>
      <c r="BC277">
        <f>IFERROR(INDEX(PP_Grid[#Data],$DD277,53),0)</f>
        <v/>
      </c>
      <c r="BD277">
        <f>IFERROR(INDEX(PP_Grid[#Data],$DD277,54),0)</f>
        <v/>
      </c>
      <c r="BE277">
        <f>IFERROR(INDEX(PP_Grid[#Data],$DD277,55),0)</f>
        <v/>
      </c>
      <c r="BF277">
        <f>IFERROR(INDEX(PP_Grid[#Data],$DD277,56),0)</f>
        <v/>
      </c>
      <c r="BG277">
        <f>IFERROR(INDEX(PP_Grid[#Data],$DD277,57),0)</f>
        <v/>
      </c>
      <c r="BH277">
        <f>IFERROR(INDEX(PP_Grid[#Data],$DD277,58),0)</f>
        <v/>
      </c>
      <c r="BI277">
        <f>IFERROR(INDEX(PP_Grid[#Data],$DD277,59),0)</f>
        <v/>
      </c>
      <c r="BJ277">
        <f>IFERROR(INDEX(PP_Grid[#Data],$DD277,60),0)</f>
        <v/>
      </c>
      <c r="BK277">
        <f>IFERROR(INDEX(PP_Grid[#Data],$DD277,61),0)</f>
        <v/>
      </c>
      <c r="BL277">
        <f>IFERROR(INDEX(PP_Grid[#Data],$DD277,62),0)</f>
        <v/>
      </c>
      <c r="BM277">
        <f>IFERROR(INDEX(PP_Grid[#Data],$DD277,63),0)</f>
        <v/>
      </c>
      <c r="BN277">
        <f>IFERROR(INDEX(PP_Grid[#Data],$DD277,64),0)</f>
        <v/>
      </c>
      <c r="BO277">
        <f>IFERROR(INDEX(PP_Grid[#Data],$DD277,65),0)</f>
        <v/>
      </c>
      <c r="BP277">
        <f>IFERROR(INDEX(PP_Grid[#Data],$DD277,66),0)</f>
        <v/>
      </c>
      <c r="BQ277">
        <f>IFERROR(INDEX(PP_Grid[#Data],$DD277,67),0)</f>
        <v/>
      </c>
      <c r="BR277">
        <f>IFERROR(INDEX(PP_Grid[#Data],$DD277,68),0)</f>
        <v/>
      </c>
      <c r="BS277">
        <f>IFERROR(INDEX(PP_Grid[#Data],$DD277,69),0)</f>
        <v/>
      </c>
      <c r="BT277">
        <f>IFERROR(INDEX(PP_Grid[#Data],$DD277,70),0)</f>
        <v/>
      </c>
      <c r="BU277">
        <f>IFERROR(INDEX(PP_Grid[#Data],$DD277,71),0)</f>
        <v/>
      </c>
      <c r="BV277">
        <f>IFERROR(INDEX(PP_Grid[#Data],$DD277,72),0)</f>
        <v/>
      </c>
      <c r="BW277">
        <f>IFERROR(INDEX(PP_Grid[#Data],$DD277,73),0)</f>
        <v/>
      </c>
      <c r="BX277">
        <f>IFERROR(INDEX(PP_Grid[#Data],$DD277,74),0)</f>
        <v/>
      </c>
      <c r="BY277">
        <f>IFERROR(INDEX(PP_Grid[#Data],$DD277,75),0)</f>
        <v/>
      </c>
      <c r="BZ277">
        <f>IFERROR(INDEX(PP_Grid[#Data],$DD277,76),0)</f>
        <v/>
      </c>
      <c r="CA277">
        <f>IFERROR(INDEX(PP_Grid[#Data],$DD277,77),0)</f>
        <v/>
      </c>
      <c r="CB277">
        <f>IFERROR(INDEX(PP_Grid[#Data],$DD277,78),0)</f>
        <v/>
      </c>
      <c r="CC277">
        <f>IFERROR(INDEX(PP_Grid[#Data],$DD277,79),0)</f>
        <v/>
      </c>
      <c r="CD277">
        <f>IFERROR(INDEX(PP_Grid[#Data],$DD277,80),0)</f>
        <v/>
      </c>
      <c r="CE277">
        <f>IFERROR(INDEX(PP_Grid[#Data],$DD277,81),0)</f>
        <v/>
      </c>
      <c r="CF277">
        <f>IFERROR(INDEX(PP_Grid[#Data],$DD277,82),0)</f>
        <v/>
      </c>
      <c r="CG277">
        <f>IFERROR(INDEX(PP_Grid[#Data],$DD277,83),0)</f>
        <v/>
      </c>
      <c r="CH277">
        <f>IFERROR(INDEX(PP_Grid[#Data],$DD277,84),0)</f>
        <v/>
      </c>
      <c r="CI277">
        <f>IFERROR(INDEX(PP_Grid[#Data],$DD277,85),0)</f>
        <v/>
      </c>
      <c r="CJ277">
        <f>IFERROR(INDEX(PP_Grid[#Data],$DD277,86),0)</f>
        <v/>
      </c>
      <c r="CK277">
        <f>IFERROR(INDEX(PP_Grid[#Data],$DD277,87),0)</f>
        <v/>
      </c>
      <c r="CL277">
        <f>IFERROR(INDEX(PP_Grid[#Data],$DD277,88),0)</f>
        <v/>
      </c>
      <c r="CM277">
        <f>IFERROR(INDEX(PP_Grid[#Data],$DD277,89),0)</f>
        <v/>
      </c>
      <c r="CN277">
        <f>IFERROR(INDEX(PP_Grid[#Data],$DD277,90),0)</f>
        <v/>
      </c>
      <c r="CO277">
        <f>IFERROR(INDEX(PP_Grid[#Data],$DD277,91),0)</f>
        <v/>
      </c>
      <c r="CP277">
        <f>IFERROR(INDEX(PP_Grid[#Data],$DD277,92),0)</f>
        <v/>
      </c>
      <c r="CQ277">
        <f>IFERROR(INDEX(PP_Grid[#Data],$DD277,93),0)</f>
        <v/>
      </c>
      <c r="CR277">
        <f>IFERROR(INDEX(PP_Grid[#Data],$DD277,94),0)</f>
        <v/>
      </c>
      <c r="CS277">
        <f>IFERROR(INDEX(PP_Grid[#Data],$DD277,95),0)</f>
        <v/>
      </c>
      <c r="CT277">
        <f>IFERROR(INDEX(PP_Grid[#Data],$DD277,96),0)</f>
        <v/>
      </c>
      <c r="CU277">
        <f>IFERROR(INDEX(PP_Grid[#Data],$DD277,97),0)</f>
        <v/>
      </c>
      <c r="CV277">
        <f>IFERROR(INDEX(PP_Grid[#Data],$DD277,98),0)</f>
        <v/>
      </c>
      <c r="CW277">
        <f>IFERROR(INDEX(PP_Grid[#Data],$DD277,99),0)</f>
        <v/>
      </c>
      <c r="CX277">
        <f>IFERROR(INDEX(PP_Grid[#Data],$DD277,100),0)</f>
        <v/>
      </c>
      <c r="CY277">
        <f>IFERROR(INDEX(PP_Grid[#Data],$DD277,101),0)</f>
        <v/>
      </c>
      <c r="CZ277">
        <f>IFERROR(INDEX(PP_Grid[#Data],$DD277,102),0)</f>
        <v/>
      </c>
      <c r="DA277">
        <f>IFERROR(INDEX(PP_Grid[#Data],$DD277,103),0)</f>
        <v/>
      </c>
      <c r="DB277">
        <f>IFERROR(INDEX(PP_Grid[#Data],$DD277,104),0)</f>
        <v/>
      </c>
      <c r="DC277">
        <f>IFERROR(INDEX(PP_Grid[#Data],$DD277,105),0)</f>
        <v/>
      </c>
      <c r="DD277" s="12">
        <f>IFERROR(MATCH($B277,PP_Grid[Intermediate],0),99999)</f>
        <v/>
      </c>
    </row>
    <row r="278">
      <c r="B278" t="inlineStr">
        <is>
          <t>使用量(kg)</t>
        </is>
      </c>
      <c r="C278">
        <f>SUMIFS(M_BOM[RM_Qty_Per_Batch],M_BOM[Intermediate],$B277,M_BOM[Part Name],$A264)</f>
        <v/>
      </c>
      <c r="D278">
        <f>$C278*D277</f>
        <v/>
      </c>
      <c r="E278">
        <f>$C278*E277</f>
        <v/>
      </c>
      <c r="F278">
        <f>$C278*F277</f>
        <v/>
      </c>
      <c r="G278">
        <f>$C278*G277</f>
        <v/>
      </c>
      <c r="H278">
        <f>$C278*H277</f>
        <v/>
      </c>
      <c r="I278">
        <f>$C278*I277</f>
        <v/>
      </c>
      <c r="J278">
        <f>$C278*J277</f>
        <v/>
      </c>
      <c r="K278">
        <f>$C278*K277</f>
        <v/>
      </c>
      <c r="L278">
        <f>$C278*L277</f>
        <v/>
      </c>
      <c r="M278">
        <f>$C278*M277</f>
        <v/>
      </c>
      <c r="N278">
        <f>$C278*N277</f>
        <v/>
      </c>
      <c r="O278">
        <f>$C278*O277</f>
        <v/>
      </c>
      <c r="P278">
        <f>$C278*P277</f>
        <v/>
      </c>
      <c r="Q278">
        <f>$C278*Q277</f>
        <v/>
      </c>
      <c r="R278">
        <f>$C278*R277</f>
        <v/>
      </c>
      <c r="S278">
        <f>$C278*S277</f>
        <v/>
      </c>
      <c r="T278">
        <f>$C278*T277</f>
        <v/>
      </c>
      <c r="U278">
        <f>$C278*U277</f>
        <v/>
      </c>
      <c r="V278">
        <f>$C278*V277</f>
        <v/>
      </c>
      <c r="W278">
        <f>$C278*W277</f>
        <v/>
      </c>
      <c r="X278">
        <f>$C278*X277</f>
        <v/>
      </c>
      <c r="Y278">
        <f>$C278*Y277</f>
        <v/>
      </c>
      <c r="Z278">
        <f>$C278*Z277</f>
        <v/>
      </c>
      <c r="AA278">
        <f>$C278*AA277</f>
        <v/>
      </c>
      <c r="AB278">
        <f>$C278*AB277</f>
        <v/>
      </c>
      <c r="AC278">
        <f>$C278*AC277</f>
        <v/>
      </c>
      <c r="AD278">
        <f>$C278*AD277</f>
        <v/>
      </c>
      <c r="AE278">
        <f>$C278*AE277</f>
        <v/>
      </c>
      <c r="AF278">
        <f>$C278*AF277</f>
        <v/>
      </c>
      <c r="AG278">
        <f>$C278*AG277</f>
        <v/>
      </c>
      <c r="AH278">
        <f>$C278*AH277</f>
        <v/>
      </c>
      <c r="AI278">
        <f>$C278*AI277</f>
        <v/>
      </c>
      <c r="AJ278">
        <f>$C278*AJ277</f>
        <v/>
      </c>
      <c r="AK278">
        <f>$C278*AK277</f>
        <v/>
      </c>
      <c r="AL278">
        <f>$C278*AL277</f>
        <v/>
      </c>
      <c r="AM278">
        <f>$C278*AM277</f>
        <v/>
      </c>
      <c r="AN278">
        <f>$C278*AN277</f>
        <v/>
      </c>
      <c r="AO278">
        <f>$C278*AO277</f>
        <v/>
      </c>
      <c r="AP278">
        <f>$C278*AP277</f>
        <v/>
      </c>
      <c r="AQ278">
        <f>$C278*AQ277</f>
        <v/>
      </c>
      <c r="AR278">
        <f>$C278*AR277</f>
        <v/>
      </c>
      <c r="AS278">
        <f>$C278*AS277</f>
        <v/>
      </c>
      <c r="AT278">
        <f>$C278*AT277</f>
        <v/>
      </c>
      <c r="AU278">
        <f>$C278*AU277</f>
        <v/>
      </c>
      <c r="AV278">
        <f>$C278*AV277</f>
        <v/>
      </c>
      <c r="AW278">
        <f>$C278*AW277</f>
        <v/>
      </c>
      <c r="AX278">
        <f>$C278*AX277</f>
        <v/>
      </c>
      <c r="AY278">
        <f>$C278*AY277</f>
        <v/>
      </c>
      <c r="AZ278">
        <f>$C278*AZ277</f>
        <v/>
      </c>
      <c r="BA278">
        <f>$C278*BA277</f>
        <v/>
      </c>
      <c r="BB278">
        <f>$C278*BB277</f>
        <v/>
      </c>
      <c r="BC278">
        <f>$C278*BC277</f>
        <v/>
      </c>
      <c r="BD278">
        <f>$C278*BD277</f>
        <v/>
      </c>
      <c r="BE278">
        <f>$C278*BE277</f>
        <v/>
      </c>
      <c r="BF278">
        <f>$C278*BF277</f>
        <v/>
      </c>
      <c r="BG278">
        <f>$C278*BG277</f>
        <v/>
      </c>
      <c r="BH278">
        <f>$C278*BH277</f>
        <v/>
      </c>
      <c r="BI278">
        <f>$C278*BI277</f>
        <v/>
      </c>
      <c r="BJ278">
        <f>$C278*BJ277</f>
        <v/>
      </c>
      <c r="BK278">
        <f>$C278*BK277</f>
        <v/>
      </c>
      <c r="BL278">
        <f>$C278*BL277</f>
        <v/>
      </c>
      <c r="BM278">
        <f>$C278*BM277</f>
        <v/>
      </c>
      <c r="BN278">
        <f>$C278*BN277</f>
        <v/>
      </c>
      <c r="BO278">
        <f>$C278*BO277</f>
        <v/>
      </c>
      <c r="BP278">
        <f>$C278*BP277</f>
        <v/>
      </c>
      <c r="BQ278">
        <f>$C278*BQ277</f>
        <v/>
      </c>
      <c r="BR278">
        <f>$C278*BR277</f>
        <v/>
      </c>
      <c r="BS278">
        <f>$C278*BS277</f>
        <v/>
      </c>
      <c r="BT278">
        <f>$C278*BT277</f>
        <v/>
      </c>
      <c r="BU278">
        <f>$C278*BU277</f>
        <v/>
      </c>
      <c r="BV278">
        <f>$C278*BV277</f>
        <v/>
      </c>
      <c r="BW278">
        <f>$C278*BW277</f>
        <v/>
      </c>
      <c r="BX278">
        <f>$C278*BX277</f>
        <v/>
      </c>
      <c r="BY278">
        <f>$C278*BY277</f>
        <v/>
      </c>
      <c r="BZ278">
        <f>$C278*BZ277</f>
        <v/>
      </c>
      <c r="CA278">
        <f>$C278*CA277</f>
        <v/>
      </c>
      <c r="CB278">
        <f>$C278*CB277</f>
        <v/>
      </c>
      <c r="CC278">
        <f>$C278*CC277</f>
        <v/>
      </c>
      <c r="CD278">
        <f>$C278*CD277</f>
        <v/>
      </c>
      <c r="CE278">
        <f>$C278*CE277</f>
        <v/>
      </c>
      <c r="CF278">
        <f>$C278*CF277</f>
        <v/>
      </c>
      <c r="CG278">
        <f>$C278*CG277</f>
        <v/>
      </c>
      <c r="CH278">
        <f>$C278*CH277</f>
        <v/>
      </c>
      <c r="CI278">
        <f>$C278*CI277</f>
        <v/>
      </c>
      <c r="CJ278">
        <f>$C278*CJ277</f>
        <v/>
      </c>
      <c r="CK278">
        <f>$C278*CK277</f>
        <v/>
      </c>
      <c r="CL278">
        <f>$C278*CL277</f>
        <v/>
      </c>
      <c r="CM278">
        <f>$C278*CM277</f>
        <v/>
      </c>
      <c r="CN278">
        <f>$C278*CN277</f>
        <v/>
      </c>
      <c r="CO278">
        <f>$C278*CO277</f>
        <v/>
      </c>
      <c r="CP278">
        <f>$C278*CP277</f>
        <v/>
      </c>
      <c r="CQ278">
        <f>$C278*CQ277</f>
        <v/>
      </c>
      <c r="CR278">
        <f>$C278*CR277</f>
        <v/>
      </c>
      <c r="CS278">
        <f>$C278*CS277</f>
        <v/>
      </c>
      <c r="CT278">
        <f>$C278*CT277</f>
        <v/>
      </c>
      <c r="CU278">
        <f>$C278*CU277</f>
        <v/>
      </c>
      <c r="CV278">
        <f>$C278*CV277</f>
        <v/>
      </c>
      <c r="CW278">
        <f>$C278*CW277</f>
        <v/>
      </c>
      <c r="CX278">
        <f>$C278*CX277</f>
        <v/>
      </c>
      <c r="CY278">
        <f>$C278*CY277</f>
        <v/>
      </c>
      <c r="CZ278">
        <f>$C278*CZ277</f>
        <v/>
      </c>
      <c r="DA278">
        <f>$C278*DA277</f>
        <v/>
      </c>
      <c r="DB278">
        <f>$C278*DB277</f>
        <v/>
      </c>
      <c r="DC278">
        <f>$C278*DC277</f>
        <v/>
      </c>
    </row>
    <row r="279">
      <c r="B279" t="inlineStr">
        <is>
          <t>TSP-925</t>
        </is>
      </c>
      <c r="C279" t="inlineStr">
        <is>
          <t>No. of batches</t>
        </is>
      </c>
      <c r="D279">
        <f>IFERROR(INDEX(PP_Grid[#Data],$DD279,2),0)</f>
        <v/>
      </c>
      <c r="E279">
        <f>IFERROR(INDEX(PP_Grid[#Data],$DD279,3),0)</f>
        <v/>
      </c>
      <c r="F279">
        <f>IFERROR(INDEX(PP_Grid[#Data],$DD279,4),0)</f>
        <v/>
      </c>
      <c r="G279">
        <f>IFERROR(INDEX(PP_Grid[#Data],$DD279,5),0)</f>
        <v/>
      </c>
      <c r="H279">
        <f>IFERROR(INDEX(PP_Grid[#Data],$DD279,6),0)</f>
        <v/>
      </c>
      <c r="I279">
        <f>IFERROR(INDEX(PP_Grid[#Data],$DD279,7),0)</f>
        <v/>
      </c>
      <c r="J279">
        <f>IFERROR(INDEX(PP_Grid[#Data],$DD279,8),0)</f>
        <v/>
      </c>
      <c r="K279">
        <f>IFERROR(INDEX(PP_Grid[#Data],$DD279,9),0)</f>
        <v/>
      </c>
      <c r="L279">
        <f>IFERROR(INDEX(PP_Grid[#Data],$DD279,10),0)</f>
        <v/>
      </c>
      <c r="M279">
        <f>IFERROR(INDEX(PP_Grid[#Data],$DD279,11),0)</f>
        <v/>
      </c>
      <c r="N279">
        <f>IFERROR(INDEX(PP_Grid[#Data],$DD279,12),0)</f>
        <v/>
      </c>
      <c r="O279">
        <f>IFERROR(INDEX(PP_Grid[#Data],$DD279,13),0)</f>
        <v/>
      </c>
      <c r="P279">
        <f>IFERROR(INDEX(PP_Grid[#Data],$DD279,14),0)</f>
        <v/>
      </c>
      <c r="Q279">
        <f>IFERROR(INDEX(PP_Grid[#Data],$DD279,15),0)</f>
        <v/>
      </c>
      <c r="R279">
        <f>IFERROR(INDEX(PP_Grid[#Data],$DD279,16),0)</f>
        <v/>
      </c>
      <c r="S279">
        <f>IFERROR(INDEX(PP_Grid[#Data],$DD279,17),0)</f>
        <v/>
      </c>
      <c r="T279">
        <f>IFERROR(INDEX(PP_Grid[#Data],$DD279,18),0)</f>
        <v/>
      </c>
      <c r="U279">
        <f>IFERROR(INDEX(PP_Grid[#Data],$DD279,19),0)</f>
        <v/>
      </c>
      <c r="V279">
        <f>IFERROR(INDEX(PP_Grid[#Data],$DD279,20),0)</f>
        <v/>
      </c>
      <c r="W279">
        <f>IFERROR(INDEX(PP_Grid[#Data],$DD279,21),0)</f>
        <v/>
      </c>
      <c r="X279">
        <f>IFERROR(INDEX(PP_Grid[#Data],$DD279,22),0)</f>
        <v/>
      </c>
      <c r="Y279">
        <f>IFERROR(INDEX(PP_Grid[#Data],$DD279,23),0)</f>
        <v/>
      </c>
      <c r="Z279">
        <f>IFERROR(INDEX(PP_Grid[#Data],$DD279,24),0)</f>
        <v/>
      </c>
      <c r="AA279">
        <f>IFERROR(INDEX(PP_Grid[#Data],$DD279,25),0)</f>
        <v/>
      </c>
      <c r="AB279">
        <f>IFERROR(INDEX(PP_Grid[#Data],$DD279,26),0)</f>
        <v/>
      </c>
      <c r="AC279">
        <f>IFERROR(INDEX(PP_Grid[#Data],$DD279,27),0)</f>
        <v/>
      </c>
      <c r="AD279">
        <f>IFERROR(INDEX(PP_Grid[#Data],$DD279,28),0)</f>
        <v/>
      </c>
      <c r="AE279">
        <f>IFERROR(INDEX(PP_Grid[#Data],$DD279,29),0)</f>
        <v/>
      </c>
      <c r="AF279">
        <f>IFERROR(INDEX(PP_Grid[#Data],$DD279,30),0)</f>
        <v/>
      </c>
      <c r="AG279">
        <f>IFERROR(INDEX(PP_Grid[#Data],$DD279,31),0)</f>
        <v/>
      </c>
      <c r="AH279">
        <f>IFERROR(INDEX(PP_Grid[#Data],$DD279,32),0)</f>
        <v/>
      </c>
      <c r="AI279">
        <f>IFERROR(INDEX(PP_Grid[#Data],$DD279,33),0)</f>
        <v/>
      </c>
      <c r="AJ279">
        <f>IFERROR(INDEX(PP_Grid[#Data],$DD279,34),0)</f>
        <v/>
      </c>
      <c r="AK279">
        <f>IFERROR(INDEX(PP_Grid[#Data],$DD279,35),0)</f>
        <v/>
      </c>
      <c r="AL279">
        <f>IFERROR(INDEX(PP_Grid[#Data],$DD279,36),0)</f>
        <v/>
      </c>
      <c r="AM279">
        <f>IFERROR(INDEX(PP_Grid[#Data],$DD279,37),0)</f>
        <v/>
      </c>
      <c r="AN279">
        <f>IFERROR(INDEX(PP_Grid[#Data],$DD279,38),0)</f>
        <v/>
      </c>
      <c r="AO279">
        <f>IFERROR(INDEX(PP_Grid[#Data],$DD279,39),0)</f>
        <v/>
      </c>
      <c r="AP279">
        <f>IFERROR(INDEX(PP_Grid[#Data],$DD279,40),0)</f>
        <v/>
      </c>
      <c r="AQ279">
        <f>IFERROR(INDEX(PP_Grid[#Data],$DD279,41),0)</f>
        <v/>
      </c>
      <c r="AR279">
        <f>IFERROR(INDEX(PP_Grid[#Data],$DD279,42),0)</f>
        <v/>
      </c>
      <c r="AS279">
        <f>IFERROR(INDEX(PP_Grid[#Data],$DD279,43),0)</f>
        <v/>
      </c>
      <c r="AT279">
        <f>IFERROR(INDEX(PP_Grid[#Data],$DD279,44),0)</f>
        <v/>
      </c>
      <c r="AU279">
        <f>IFERROR(INDEX(PP_Grid[#Data],$DD279,45),0)</f>
        <v/>
      </c>
      <c r="AV279">
        <f>IFERROR(INDEX(PP_Grid[#Data],$DD279,46),0)</f>
        <v/>
      </c>
      <c r="AW279">
        <f>IFERROR(INDEX(PP_Grid[#Data],$DD279,47),0)</f>
        <v/>
      </c>
      <c r="AX279">
        <f>IFERROR(INDEX(PP_Grid[#Data],$DD279,48),0)</f>
        <v/>
      </c>
      <c r="AY279">
        <f>IFERROR(INDEX(PP_Grid[#Data],$DD279,49),0)</f>
        <v/>
      </c>
      <c r="AZ279">
        <f>IFERROR(INDEX(PP_Grid[#Data],$DD279,50),0)</f>
        <v/>
      </c>
      <c r="BA279">
        <f>IFERROR(INDEX(PP_Grid[#Data],$DD279,51),0)</f>
        <v/>
      </c>
      <c r="BB279">
        <f>IFERROR(INDEX(PP_Grid[#Data],$DD279,52),0)</f>
        <v/>
      </c>
      <c r="BC279">
        <f>IFERROR(INDEX(PP_Grid[#Data],$DD279,53),0)</f>
        <v/>
      </c>
      <c r="BD279">
        <f>IFERROR(INDEX(PP_Grid[#Data],$DD279,54),0)</f>
        <v/>
      </c>
      <c r="BE279">
        <f>IFERROR(INDEX(PP_Grid[#Data],$DD279,55),0)</f>
        <v/>
      </c>
      <c r="BF279">
        <f>IFERROR(INDEX(PP_Grid[#Data],$DD279,56),0)</f>
        <v/>
      </c>
      <c r="BG279">
        <f>IFERROR(INDEX(PP_Grid[#Data],$DD279,57),0)</f>
        <v/>
      </c>
      <c r="BH279">
        <f>IFERROR(INDEX(PP_Grid[#Data],$DD279,58),0)</f>
        <v/>
      </c>
      <c r="BI279">
        <f>IFERROR(INDEX(PP_Grid[#Data],$DD279,59),0)</f>
        <v/>
      </c>
      <c r="BJ279">
        <f>IFERROR(INDEX(PP_Grid[#Data],$DD279,60),0)</f>
        <v/>
      </c>
      <c r="BK279">
        <f>IFERROR(INDEX(PP_Grid[#Data],$DD279,61),0)</f>
        <v/>
      </c>
      <c r="BL279">
        <f>IFERROR(INDEX(PP_Grid[#Data],$DD279,62),0)</f>
        <v/>
      </c>
      <c r="BM279">
        <f>IFERROR(INDEX(PP_Grid[#Data],$DD279,63),0)</f>
        <v/>
      </c>
      <c r="BN279">
        <f>IFERROR(INDEX(PP_Grid[#Data],$DD279,64),0)</f>
        <v/>
      </c>
      <c r="BO279">
        <f>IFERROR(INDEX(PP_Grid[#Data],$DD279,65),0)</f>
        <v/>
      </c>
      <c r="BP279">
        <f>IFERROR(INDEX(PP_Grid[#Data],$DD279,66),0)</f>
        <v/>
      </c>
      <c r="BQ279">
        <f>IFERROR(INDEX(PP_Grid[#Data],$DD279,67),0)</f>
        <v/>
      </c>
      <c r="BR279">
        <f>IFERROR(INDEX(PP_Grid[#Data],$DD279,68),0)</f>
        <v/>
      </c>
      <c r="BS279">
        <f>IFERROR(INDEX(PP_Grid[#Data],$DD279,69),0)</f>
        <v/>
      </c>
      <c r="BT279">
        <f>IFERROR(INDEX(PP_Grid[#Data],$DD279,70),0)</f>
        <v/>
      </c>
      <c r="BU279">
        <f>IFERROR(INDEX(PP_Grid[#Data],$DD279,71),0)</f>
        <v/>
      </c>
      <c r="BV279">
        <f>IFERROR(INDEX(PP_Grid[#Data],$DD279,72),0)</f>
        <v/>
      </c>
      <c r="BW279">
        <f>IFERROR(INDEX(PP_Grid[#Data],$DD279,73),0)</f>
        <v/>
      </c>
      <c r="BX279">
        <f>IFERROR(INDEX(PP_Grid[#Data],$DD279,74),0)</f>
        <v/>
      </c>
      <c r="BY279">
        <f>IFERROR(INDEX(PP_Grid[#Data],$DD279,75),0)</f>
        <v/>
      </c>
      <c r="BZ279">
        <f>IFERROR(INDEX(PP_Grid[#Data],$DD279,76),0)</f>
        <v/>
      </c>
      <c r="CA279">
        <f>IFERROR(INDEX(PP_Grid[#Data],$DD279,77),0)</f>
        <v/>
      </c>
      <c r="CB279">
        <f>IFERROR(INDEX(PP_Grid[#Data],$DD279,78),0)</f>
        <v/>
      </c>
      <c r="CC279">
        <f>IFERROR(INDEX(PP_Grid[#Data],$DD279,79),0)</f>
        <v/>
      </c>
      <c r="CD279">
        <f>IFERROR(INDEX(PP_Grid[#Data],$DD279,80),0)</f>
        <v/>
      </c>
      <c r="CE279">
        <f>IFERROR(INDEX(PP_Grid[#Data],$DD279,81),0)</f>
        <v/>
      </c>
      <c r="CF279">
        <f>IFERROR(INDEX(PP_Grid[#Data],$DD279,82),0)</f>
        <v/>
      </c>
      <c r="CG279">
        <f>IFERROR(INDEX(PP_Grid[#Data],$DD279,83),0)</f>
        <v/>
      </c>
      <c r="CH279">
        <f>IFERROR(INDEX(PP_Grid[#Data],$DD279,84),0)</f>
        <v/>
      </c>
      <c r="CI279">
        <f>IFERROR(INDEX(PP_Grid[#Data],$DD279,85),0)</f>
        <v/>
      </c>
      <c r="CJ279">
        <f>IFERROR(INDEX(PP_Grid[#Data],$DD279,86),0)</f>
        <v/>
      </c>
      <c r="CK279">
        <f>IFERROR(INDEX(PP_Grid[#Data],$DD279,87),0)</f>
        <v/>
      </c>
      <c r="CL279">
        <f>IFERROR(INDEX(PP_Grid[#Data],$DD279,88),0)</f>
        <v/>
      </c>
      <c r="CM279">
        <f>IFERROR(INDEX(PP_Grid[#Data],$DD279,89),0)</f>
        <v/>
      </c>
      <c r="CN279">
        <f>IFERROR(INDEX(PP_Grid[#Data],$DD279,90),0)</f>
        <v/>
      </c>
      <c r="CO279">
        <f>IFERROR(INDEX(PP_Grid[#Data],$DD279,91),0)</f>
        <v/>
      </c>
      <c r="CP279">
        <f>IFERROR(INDEX(PP_Grid[#Data],$DD279,92),0)</f>
        <v/>
      </c>
      <c r="CQ279">
        <f>IFERROR(INDEX(PP_Grid[#Data],$DD279,93),0)</f>
        <v/>
      </c>
      <c r="CR279">
        <f>IFERROR(INDEX(PP_Grid[#Data],$DD279,94),0)</f>
        <v/>
      </c>
      <c r="CS279">
        <f>IFERROR(INDEX(PP_Grid[#Data],$DD279,95),0)</f>
        <v/>
      </c>
      <c r="CT279">
        <f>IFERROR(INDEX(PP_Grid[#Data],$DD279,96),0)</f>
        <v/>
      </c>
      <c r="CU279">
        <f>IFERROR(INDEX(PP_Grid[#Data],$DD279,97),0)</f>
        <v/>
      </c>
      <c r="CV279">
        <f>IFERROR(INDEX(PP_Grid[#Data],$DD279,98),0)</f>
        <v/>
      </c>
      <c r="CW279">
        <f>IFERROR(INDEX(PP_Grid[#Data],$DD279,99),0)</f>
        <v/>
      </c>
      <c r="CX279">
        <f>IFERROR(INDEX(PP_Grid[#Data],$DD279,100),0)</f>
        <v/>
      </c>
      <c r="CY279">
        <f>IFERROR(INDEX(PP_Grid[#Data],$DD279,101),0)</f>
        <v/>
      </c>
      <c r="CZ279">
        <f>IFERROR(INDEX(PP_Grid[#Data],$DD279,102),0)</f>
        <v/>
      </c>
      <c r="DA279">
        <f>IFERROR(INDEX(PP_Grid[#Data],$DD279,103),0)</f>
        <v/>
      </c>
      <c r="DB279">
        <f>IFERROR(INDEX(PP_Grid[#Data],$DD279,104),0)</f>
        <v/>
      </c>
      <c r="DC279">
        <f>IFERROR(INDEX(PP_Grid[#Data],$DD279,105),0)</f>
        <v/>
      </c>
      <c r="DD279" s="12">
        <f>IFERROR(MATCH($B279,PP_Grid[Intermediate],0),99999)</f>
        <v/>
      </c>
    </row>
    <row r="280">
      <c r="B280" t="inlineStr">
        <is>
          <t>使用量(kg)</t>
        </is>
      </c>
      <c r="C280">
        <f>SUMIFS(M_BOM[RM_Qty_Per_Batch],M_BOM[Intermediate],$B279,M_BOM[Part Name],$A264)</f>
        <v/>
      </c>
      <c r="D280">
        <f>$C280*D279</f>
        <v/>
      </c>
      <c r="E280">
        <f>$C280*E279</f>
        <v/>
      </c>
      <c r="F280">
        <f>$C280*F279</f>
        <v/>
      </c>
      <c r="G280">
        <f>$C280*G279</f>
        <v/>
      </c>
      <c r="H280">
        <f>$C280*H279</f>
        <v/>
      </c>
      <c r="I280">
        <f>$C280*I279</f>
        <v/>
      </c>
      <c r="J280">
        <f>$C280*J279</f>
        <v/>
      </c>
      <c r="K280">
        <f>$C280*K279</f>
        <v/>
      </c>
      <c r="L280">
        <f>$C280*L279</f>
        <v/>
      </c>
      <c r="M280">
        <f>$C280*M279</f>
        <v/>
      </c>
      <c r="N280">
        <f>$C280*N279</f>
        <v/>
      </c>
      <c r="O280">
        <f>$C280*O279</f>
        <v/>
      </c>
      <c r="P280">
        <f>$C280*P279</f>
        <v/>
      </c>
      <c r="Q280">
        <f>$C280*Q279</f>
        <v/>
      </c>
      <c r="R280">
        <f>$C280*R279</f>
        <v/>
      </c>
      <c r="S280">
        <f>$C280*S279</f>
        <v/>
      </c>
      <c r="T280">
        <f>$C280*T279</f>
        <v/>
      </c>
      <c r="U280">
        <f>$C280*U279</f>
        <v/>
      </c>
      <c r="V280">
        <f>$C280*V279</f>
        <v/>
      </c>
      <c r="W280">
        <f>$C280*W279</f>
        <v/>
      </c>
      <c r="X280">
        <f>$C280*X279</f>
        <v/>
      </c>
      <c r="Y280">
        <f>$C280*Y279</f>
        <v/>
      </c>
      <c r="Z280">
        <f>$C280*Z279</f>
        <v/>
      </c>
      <c r="AA280">
        <f>$C280*AA279</f>
        <v/>
      </c>
      <c r="AB280">
        <f>$C280*AB279</f>
        <v/>
      </c>
      <c r="AC280">
        <f>$C280*AC279</f>
        <v/>
      </c>
      <c r="AD280">
        <f>$C280*AD279</f>
        <v/>
      </c>
      <c r="AE280">
        <f>$C280*AE279</f>
        <v/>
      </c>
      <c r="AF280">
        <f>$C280*AF279</f>
        <v/>
      </c>
      <c r="AG280">
        <f>$C280*AG279</f>
        <v/>
      </c>
      <c r="AH280">
        <f>$C280*AH279</f>
        <v/>
      </c>
      <c r="AI280">
        <f>$C280*AI279</f>
        <v/>
      </c>
      <c r="AJ280">
        <f>$C280*AJ279</f>
        <v/>
      </c>
      <c r="AK280">
        <f>$C280*AK279</f>
        <v/>
      </c>
      <c r="AL280">
        <f>$C280*AL279</f>
        <v/>
      </c>
      <c r="AM280">
        <f>$C280*AM279</f>
        <v/>
      </c>
      <c r="AN280">
        <f>$C280*AN279</f>
        <v/>
      </c>
      <c r="AO280">
        <f>$C280*AO279</f>
        <v/>
      </c>
      <c r="AP280">
        <f>$C280*AP279</f>
        <v/>
      </c>
      <c r="AQ280">
        <f>$C280*AQ279</f>
        <v/>
      </c>
      <c r="AR280">
        <f>$C280*AR279</f>
        <v/>
      </c>
      <c r="AS280">
        <f>$C280*AS279</f>
        <v/>
      </c>
      <c r="AT280">
        <f>$C280*AT279</f>
        <v/>
      </c>
      <c r="AU280">
        <f>$C280*AU279</f>
        <v/>
      </c>
      <c r="AV280">
        <f>$C280*AV279</f>
        <v/>
      </c>
      <c r="AW280">
        <f>$C280*AW279</f>
        <v/>
      </c>
      <c r="AX280">
        <f>$C280*AX279</f>
        <v/>
      </c>
      <c r="AY280">
        <f>$C280*AY279</f>
        <v/>
      </c>
      <c r="AZ280">
        <f>$C280*AZ279</f>
        <v/>
      </c>
      <c r="BA280">
        <f>$C280*BA279</f>
        <v/>
      </c>
      <c r="BB280">
        <f>$C280*BB279</f>
        <v/>
      </c>
      <c r="BC280">
        <f>$C280*BC279</f>
        <v/>
      </c>
      <c r="BD280">
        <f>$C280*BD279</f>
        <v/>
      </c>
      <c r="BE280">
        <f>$C280*BE279</f>
        <v/>
      </c>
      <c r="BF280">
        <f>$C280*BF279</f>
        <v/>
      </c>
      <c r="BG280">
        <f>$C280*BG279</f>
        <v/>
      </c>
      <c r="BH280">
        <f>$C280*BH279</f>
        <v/>
      </c>
      <c r="BI280">
        <f>$C280*BI279</f>
        <v/>
      </c>
      <c r="BJ280">
        <f>$C280*BJ279</f>
        <v/>
      </c>
      <c r="BK280">
        <f>$C280*BK279</f>
        <v/>
      </c>
      <c r="BL280">
        <f>$C280*BL279</f>
        <v/>
      </c>
      <c r="BM280">
        <f>$C280*BM279</f>
        <v/>
      </c>
      <c r="BN280">
        <f>$C280*BN279</f>
        <v/>
      </c>
      <c r="BO280">
        <f>$C280*BO279</f>
        <v/>
      </c>
      <c r="BP280">
        <f>$C280*BP279</f>
        <v/>
      </c>
      <c r="BQ280">
        <f>$C280*BQ279</f>
        <v/>
      </c>
      <c r="BR280">
        <f>$C280*BR279</f>
        <v/>
      </c>
      <c r="BS280">
        <f>$C280*BS279</f>
        <v/>
      </c>
      <c r="BT280">
        <f>$C280*BT279</f>
        <v/>
      </c>
      <c r="BU280">
        <f>$C280*BU279</f>
        <v/>
      </c>
      <c r="BV280">
        <f>$C280*BV279</f>
        <v/>
      </c>
      <c r="BW280">
        <f>$C280*BW279</f>
        <v/>
      </c>
      <c r="BX280">
        <f>$C280*BX279</f>
        <v/>
      </c>
      <c r="BY280">
        <f>$C280*BY279</f>
        <v/>
      </c>
      <c r="BZ280">
        <f>$C280*BZ279</f>
        <v/>
      </c>
      <c r="CA280">
        <f>$C280*CA279</f>
        <v/>
      </c>
      <c r="CB280">
        <f>$C280*CB279</f>
        <v/>
      </c>
      <c r="CC280">
        <f>$C280*CC279</f>
        <v/>
      </c>
      <c r="CD280">
        <f>$C280*CD279</f>
        <v/>
      </c>
      <c r="CE280">
        <f>$C280*CE279</f>
        <v/>
      </c>
      <c r="CF280">
        <f>$C280*CF279</f>
        <v/>
      </c>
      <c r="CG280">
        <f>$C280*CG279</f>
        <v/>
      </c>
      <c r="CH280">
        <f>$C280*CH279</f>
        <v/>
      </c>
      <c r="CI280">
        <f>$C280*CI279</f>
        <v/>
      </c>
      <c r="CJ280">
        <f>$C280*CJ279</f>
        <v/>
      </c>
      <c r="CK280">
        <f>$C280*CK279</f>
        <v/>
      </c>
      <c r="CL280">
        <f>$C280*CL279</f>
        <v/>
      </c>
      <c r="CM280">
        <f>$C280*CM279</f>
        <v/>
      </c>
      <c r="CN280">
        <f>$C280*CN279</f>
        <v/>
      </c>
      <c r="CO280">
        <f>$C280*CO279</f>
        <v/>
      </c>
      <c r="CP280">
        <f>$C280*CP279</f>
        <v/>
      </c>
      <c r="CQ280">
        <f>$C280*CQ279</f>
        <v/>
      </c>
      <c r="CR280">
        <f>$C280*CR279</f>
        <v/>
      </c>
      <c r="CS280">
        <f>$C280*CS279</f>
        <v/>
      </c>
      <c r="CT280">
        <f>$C280*CT279</f>
        <v/>
      </c>
      <c r="CU280">
        <f>$C280*CU279</f>
        <v/>
      </c>
      <c r="CV280">
        <f>$C280*CV279</f>
        <v/>
      </c>
      <c r="CW280">
        <f>$C280*CW279</f>
        <v/>
      </c>
      <c r="CX280">
        <f>$C280*CX279</f>
        <v/>
      </c>
      <c r="CY280">
        <f>$C280*CY279</f>
        <v/>
      </c>
      <c r="CZ280">
        <f>$C280*CZ279</f>
        <v/>
      </c>
      <c r="DA280">
        <f>$C280*DA279</f>
        <v/>
      </c>
      <c r="DB280">
        <f>$C280*DB279</f>
        <v/>
      </c>
      <c r="DC280">
        <f>$C280*DC279</f>
        <v/>
      </c>
    </row>
    <row r="281">
      <c r="B281" t="inlineStr">
        <is>
          <t>TSZ-616</t>
        </is>
      </c>
      <c r="C281" t="inlineStr">
        <is>
          <t>No. of batches</t>
        </is>
      </c>
      <c r="D281">
        <f>IFERROR(INDEX(PP_Grid[#Data],$DD281,2),0)</f>
        <v/>
      </c>
      <c r="E281">
        <f>IFERROR(INDEX(PP_Grid[#Data],$DD281,3),0)</f>
        <v/>
      </c>
      <c r="F281">
        <f>IFERROR(INDEX(PP_Grid[#Data],$DD281,4),0)</f>
        <v/>
      </c>
      <c r="G281">
        <f>IFERROR(INDEX(PP_Grid[#Data],$DD281,5),0)</f>
        <v/>
      </c>
      <c r="H281">
        <f>IFERROR(INDEX(PP_Grid[#Data],$DD281,6),0)</f>
        <v/>
      </c>
      <c r="I281">
        <f>IFERROR(INDEX(PP_Grid[#Data],$DD281,7),0)</f>
        <v/>
      </c>
      <c r="J281">
        <f>IFERROR(INDEX(PP_Grid[#Data],$DD281,8),0)</f>
        <v/>
      </c>
      <c r="K281">
        <f>IFERROR(INDEX(PP_Grid[#Data],$DD281,9),0)</f>
        <v/>
      </c>
      <c r="L281">
        <f>IFERROR(INDEX(PP_Grid[#Data],$DD281,10),0)</f>
        <v/>
      </c>
      <c r="M281">
        <f>IFERROR(INDEX(PP_Grid[#Data],$DD281,11),0)</f>
        <v/>
      </c>
      <c r="N281">
        <f>IFERROR(INDEX(PP_Grid[#Data],$DD281,12),0)</f>
        <v/>
      </c>
      <c r="O281">
        <f>IFERROR(INDEX(PP_Grid[#Data],$DD281,13),0)</f>
        <v/>
      </c>
      <c r="P281">
        <f>IFERROR(INDEX(PP_Grid[#Data],$DD281,14),0)</f>
        <v/>
      </c>
      <c r="Q281">
        <f>IFERROR(INDEX(PP_Grid[#Data],$DD281,15),0)</f>
        <v/>
      </c>
      <c r="R281">
        <f>IFERROR(INDEX(PP_Grid[#Data],$DD281,16),0)</f>
        <v/>
      </c>
      <c r="S281">
        <f>IFERROR(INDEX(PP_Grid[#Data],$DD281,17),0)</f>
        <v/>
      </c>
      <c r="T281">
        <f>IFERROR(INDEX(PP_Grid[#Data],$DD281,18),0)</f>
        <v/>
      </c>
      <c r="U281">
        <f>IFERROR(INDEX(PP_Grid[#Data],$DD281,19),0)</f>
        <v/>
      </c>
      <c r="V281">
        <f>IFERROR(INDEX(PP_Grid[#Data],$DD281,20),0)</f>
        <v/>
      </c>
      <c r="W281">
        <f>IFERROR(INDEX(PP_Grid[#Data],$DD281,21),0)</f>
        <v/>
      </c>
      <c r="X281">
        <f>IFERROR(INDEX(PP_Grid[#Data],$DD281,22),0)</f>
        <v/>
      </c>
      <c r="Y281">
        <f>IFERROR(INDEX(PP_Grid[#Data],$DD281,23),0)</f>
        <v/>
      </c>
      <c r="Z281">
        <f>IFERROR(INDEX(PP_Grid[#Data],$DD281,24),0)</f>
        <v/>
      </c>
      <c r="AA281">
        <f>IFERROR(INDEX(PP_Grid[#Data],$DD281,25),0)</f>
        <v/>
      </c>
      <c r="AB281">
        <f>IFERROR(INDEX(PP_Grid[#Data],$DD281,26),0)</f>
        <v/>
      </c>
      <c r="AC281">
        <f>IFERROR(INDEX(PP_Grid[#Data],$DD281,27),0)</f>
        <v/>
      </c>
      <c r="AD281">
        <f>IFERROR(INDEX(PP_Grid[#Data],$DD281,28),0)</f>
        <v/>
      </c>
      <c r="AE281">
        <f>IFERROR(INDEX(PP_Grid[#Data],$DD281,29),0)</f>
        <v/>
      </c>
      <c r="AF281">
        <f>IFERROR(INDEX(PP_Grid[#Data],$DD281,30),0)</f>
        <v/>
      </c>
      <c r="AG281">
        <f>IFERROR(INDEX(PP_Grid[#Data],$DD281,31),0)</f>
        <v/>
      </c>
      <c r="AH281">
        <f>IFERROR(INDEX(PP_Grid[#Data],$DD281,32),0)</f>
        <v/>
      </c>
      <c r="AI281">
        <f>IFERROR(INDEX(PP_Grid[#Data],$DD281,33),0)</f>
        <v/>
      </c>
      <c r="AJ281">
        <f>IFERROR(INDEX(PP_Grid[#Data],$DD281,34),0)</f>
        <v/>
      </c>
      <c r="AK281">
        <f>IFERROR(INDEX(PP_Grid[#Data],$DD281,35),0)</f>
        <v/>
      </c>
      <c r="AL281">
        <f>IFERROR(INDEX(PP_Grid[#Data],$DD281,36),0)</f>
        <v/>
      </c>
      <c r="AM281">
        <f>IFERROR(INDEX(PP_Grid[#Data],$DD281,37),0)</f>
        <v/>
      </c>
      <c r="AN281">
        <f>IFERROR(INDEX(PP_Grid[#Data],$DD281,38),0)</f>
        <v/>
      </c>
      <c r="AO281">
        <f>IFERROR(INDEX(PP_Grid[#Data],$DD281,39),0)</f>
        <v/>
      </c>
      <c r="AP281">
        <f>IFERROR(INDEX(PP_Grid[#Data],$DD281,40),0)</f>
        <v/>
      </c>
      <c r="AQ281">
        <f>IFERROR(INDEX(PP_Grid[#Data],$DD281,41),0)</f>
        <v/>
      </c>
      <c r="AR281">
        <f>IFERROR(INDEX(PP_Grid[#Data],$DD281,42),0)</f>
        <v/>
      </c>
      <c r="AS281">
        <f>IFERROR(INDEX(PP_Grid[#Data],$DD281,43),0)</f>
        <v/>
      </c>
      <c r="AT281">
        <f>IFERROR(INDEX(PP_Grid[#Data],$DD281,44),0)</f>
        <v/>
      </c>
      <c r="AU281">
        <f>IFERROR(INDEX(PP_Grid[#Data],$DD281,45),0)</f>
        <v/>
      </c>
      <c r="AV281">
        <f>IFERROR(INDEX(PP_Grid[#Data],$DD281,46),0)</f>
        <v/>
      </c>
      <c r="AW281">
        <f>IFERROR(INDEX(PP_Grid[#Data],$DD281,47),0)</f>
        <v/>
      </c>
      <c r="AX281">
        <f>IFERROR(INDEX(PP_Grid[#Data],$DD281,48),0)</f>
        <v/>
      </c>
      <c r="AY281">
        <f>IFERROR(INDEX(PP_Grid[#Data],$DD281,49),0)</f>
        <v/>
      </c>
      <c r="AZ281">
        <f>IFERROR(INDEX(PP_Grid[#Data],$DD281,50),0)</f>
        <v/>
      </c>
      <c r="BA281">
        <f>IFERROR(INDEX(PP_Grid[#Data],$DD281,51),0)</f>
        <v/>
      </c>
      <c r="BB281">
        <f>IFERROR(INDEX(PP_Grid[#Data],$DD281,52),0)</f>
        <v/>
      </c>
      <c r="BC281">
        <f>IFERROR(INDEX(PP_Grid[#Data],$DD281,53),0)</f>
        <v/>
      </c>
      <c r="BD281">
        <f>IFERROR(INDEX(PP_Grid[#Data],$DD281,54),0)</f>
        <v/>
      </c>
      <c r="BE281">
        <f>IFERROR(INDEX(PP_Grid[#Data],$DD281,55),0)</f>
        <v/>
      </c>
      <c r="BF281">
        <f>IFERROR(INDEX(PP_Grid[#Data],$DD281,56),0)</f>
        <v/>
      </c>
      <c r="BG281">
        <f>IFERROR(INDEX(PP_Grid[#Data],$DD281,57),0)</f>
        <v/>
      </c>
      <c r="BH281">
        <f>IFERROR(INDEX(PP_Grid[#Data],$DD281,58),0)</f>
        <v/>
      </c>
      <c r="BI281">
        <f>IFERROR(INDEX(PP_Grid[#Data],$DD281,59),0)</f>
        <v/>
      </c>
      <c r="BJ281">
        <f>IFERROR(INDEX(PP_Grid[#Data],$DD281,60),0)</f>
        <v/>
      </c>
      <c r="BK281">
        <f>IFERROR(INDEX(PP_Grid[#Data],$DD281,61),0)</f>
        <v/>
      </c>
      <c r="BL281">
        <f>IFERROR(INDEX(PP_Grid[#Data],$DD281,62),0)</f>
        <v/>
      </c>
      <c r="BM281">
        <f>IFERROR(INDEX(PP_Grid[#Data],$DD281,63),0)</f>
        <v/>
      </c>
      <c r="BN281">
        <f>IFERROR(INDEX(PP_Grid[#Data],$DD281,64),0)</f>
        <v/>
      </c>
      <c r="BO281">
        <f>IFERROR(INDEX(PP_Grid[#Data],$DD281,65),0)</f>
        <v/>
      </c>
      <c r="BP281">
        <f>IFERROR(INDEX(PP_Grid[#Data],$DD281,66),0)</f>
        <v/>
      </c>
      <c r="BQ281">
        <f>IFERROR(INDEX(PP_Grid[#Data],$DD281,67),0)</f>
        <v/>
      </c>
      <c r="BR281">
        <f>IFERROR(INDEX(PP_Grid[#Data],$DD281,68),0)</f>
        <v/>
      </c>
      <c r="BS281">
        <f>IFERROR(INDEX(PP_Grid[#Data],$DD281,69),0)</f>
        <v/>
      </c>
      <c r="BT281">
        <f>IFERROR(INDEX(PP_Grid[#Data],$DD281,70),0)</f>
        <v/>
      </c>
      <c r="BU281">
        <f>IFERROR(INDEX(PP_Grid[#Data],$DD281,71),0)</f>
        <v/>
      </c>
      <c r="BV281">
        <f>IFERROR(INDEX(PP_Grid[#Data],$DD281,72),0)</f>
        <v/>
      </c>
      <c r="BW281">
        <f>IFERROR(INDEX(PP_Grid[#Data],$DD281,73),0)</f>
        <v/>
      </c>
      <c r="BX281">
        <f>IFERROR(INDEX(PP_Grid[#Data],$DD281,74),0)</f>
        <v/>
      </c>
      <c r="BY281">
        <f>IFERROR(INDEX(PP_Grid[#Data],$DD281,75),0)</f>
        <v/>
      </c>
      <c r="BZ281">
        <f>IFERROR(INDEX(PP_Grid[#Data],$DD281,76),0)</f>
        <v/>
      </c>
      <c r="CA281">
        <f>IFERROR(INDEX(PP_Grid[#Data],$DD281,77),0)</f>
        <v/>
      </c>
      <c r="CB281">
        <f>IFERROR(INDEX(PP_Grid[#Data],$DD281,78),0)</f>
        <v/>
      </c>
      <c r="CC281">
        <f>IFERROR(INDEX(PP_Grid[#Data],$DD281,79),0)</f>
        <v/>
      </c>
      <c r="CD281">
        <f>IFERROR(INDEX(PP_Grid[#Data],$DD281,80),0)</f>
        <v/>
      </c>
      <c r="CE281">
        <f>IFERROR(INDEX(PP_Grid[#Data],$DD281,81),0)</f>
        <v/>
      </c>
      <c r="CF281">
        <f>IFERROR(INDEX(PP_Grid[#Data],$DD281,82),0)</f>
        <v/>
      </c>
      <c r="CG281">
        <f>IFERROR(INDEX(PP_Grid[#Data],$DD281,83),0)</f>
        <v/>
      </c>
      <c r="CH281">
        <f>IFERROR(INDEX(PP_Grid[#Data],$DD281,84),0)</f>
        <v/>
      </c>
      <c r="CI281">
        <f>IFERROR(INDEX(PP_Grid[#Data],$DD281,85),0)</f>
        <v/>
      </c>
      <c r="CJ281">
        <f>IFERROR(INDEX(PP_Grid[#Data],$DD281,86),0)</f>
        <v/>
      </c>
      <c r="CK281">
        <f>IFERROR(INDEX(PP_Grid[#Data],$DD281,87),0)</f>
        <v/>
      </c>
      <c r="CL281">
        <f>IFERROR(INDEX(PP_Grid[#Data],$DD281,88),0)</f>
        <v/>
      </c>
      <c r="CM281">
        <f>IFERROR(INDEX(PP_Grid[#Data],$DD281,89),0)</f>
        <v/>
      </c>
      <c r="CN281">
        <f>IFERROR(INDEX(PP_Grid[#Data],$DD281,90),0)</f>
        <v/>
      </c>
      <c r="CO281">
        <f>IFERROR(INDEX(PP_Grid[#Data],$DD281,91),0)</f>
        <v/>
      </c>
      <c r="CP281">
        <f>IFERROR(INDEX(PP_Grid[#Data],$DD281,92),0)</f>
        <v/>
      </c>
      <c r="CQ281">
        <f>IFERROR(INDEX(PP_Grid[#Data],$DD281,93),0)</f>
        <v/>
      </c>
      <c r="CR281">
        <f>IFERROR(INDEX(PP_Grid[#Data],$DD281,94),0)</f>
        <v/>
      </c>
      <c r="CS281">
        <f>IFERROR(INDEX(PP_Grid[#Data],$DD281,95),0)</f>
        <v/>
      </c>
      <c r="CT281">
        <f>IFERROR(INDEX(PP_Grid[#Data],$DD281,96),0)</f>
        <v/>
      </c>
      <c r="CU281">
        <f>IFERROR(INDEX(PP_Grid[#Data],$DD281,97),0)</f>
        <v/>
      </c>
      <c r="CV281">
        <f>IFERROR(INDEX(PP_Grid[#Data],$DD281,98),0)</f>
        <v/>
      </c>
      <c r="CW281">
        <f>IFERROR(INDEX(PP_Grid[#Data],$DD281,99),0)</f>
        <v/>
      </c>
      <c r="CX281">
        <f>IFERROR(INDEX(PP_Grid[#Data],$DD281,100),0)</f>
        <v/>
      </c>
      <c r="CY281">
        <f>IFERROR(INDEX(PP_Grid[#Data],$DD281,101),0)</f>
        <v/>
      </c>
      <c r="CZ281">
        <f>IFERROR(INDEX(PP_Grid[#Data],$DD281,102),0)</f>
        <v/>
      </c>
      <c r="DA281">
        <f>IFERROR(INDEX(PP_Grid[#Data],$DD281,103),0)</f>
        <v/>
      </c>
      <c r="DB281">
        <f>IFERROR(INDEX(PP_Grid[#Data],$DD281,104),0)</f>
        <v/>
      </c>
      <c r="DC281">
        <f>IFERROR(INDEX(PP_Grid[#Data],$DD281,105),0)</f>
        <v/>
      </c>
      <c r="DD281" s="12">
        <f>IFERROR(MATCH($B281,PP_Grid[Intermediate],0),99999)</f>
        <v/>
      </c>
    </row>
    <row r="282">
      <c r="B282" t="inlineStr">
        <is>
          <t>使用量(kg)</t>
        </is>
      </c>
      <c r="C282">
        <f>SUMIFS(M_BOM[RM_Qty_Per_Batch],M_BOM[Intermediate],$B281,M_BOM[Part Name],$A264)</f>
        <v/>
      </c>
      <c r="D282">
        <f>$C282*D281</f>
        <v/>
      </c>
      <c r="E282">
        <f>$C282*E281</f>
        <v/>
      </c>
      <c r="F282">
        <f>$C282*F281</f>
        <v/>
      </c>
      <c r="G282">
        <f>$C282*G281</f>
        <v/>
      </c>
      <c r="H282">
        <f>$C282*H281</f>
        <v/>
      </c>
      <c r="I282">
        <f>$C282*I281</f>
        <v/>
      </c>
      <c r="J282">
        <f>$C282*J281</f>
        <v/>
      </c>
      <c r="K282">
        <f>$C282*K281</f>
        <v/>
      </c>
      <c r="L282">
        <f>$C282*L281</f>
        <v/>
      </c>
      <c r="M282">
        <f>$C282*M281</f>
        <v/>
      </c>
      <c r="N282">
        <f>$C282*N281</f>
        <v/>
      </c>
      <c r="O282">
        <f>$C282*O281</f>
        <v/>
      </c>
      <c r="P282">
        <f>$C282*P281</f>
        <v/>
      </c>
      <c r="Q282">
        <f>$C282*Q281</f>
        <v/>
      </c>
      <c r="R282">
        <f>$C282*R281</f>
        <v/>
      </c>
      <c r="S282">
        <f>$C282*S281</f>
        <v/>
      </c>
      <c r="T282">
        <f>$C282*T281</f>
        <v/>
      </c>
      <c r="U282">
        <f>$C282*U281</f>
        <v/>
      </c>
      <c r="V282">
        <f>$C282*V281</f>
        <v/>
      </c>
      <c r="W282">
        <f>$C282*W281</f>
        <v/>
      </c>
      <c r="X282">
        <f>$C282*X281</f>
        <v/>
      </c>
      <c r="Y282">
        <f>$C282*Y281</f>
        <v/>
      </c>
      <c r="Z282">
        <f>$C282*Z281</f>
        <v/>
      </c>
      <c r="AA282">
        <f>$C282*AA281</f>
        <v/>
      </c>
      <c r="AB282">
        <f>$C282*AB281</f>
        <v/>
      </c>
      <c r="AC282">
        <f>$C282*AC281</f>
        <v/>
      </c>
      <c r="AD282">
        <f>$C282*AD281</f>
        <v/>
      </c>
      <c r="AE282">
        <f>$C282*AE281</f>
        <v/>
      </c>
      <c r="AF282">
        <f>$C282*AF281</f>
        <v/>
      </c>
      <c r="AG282">
        <f>$C282*AG281</f>
        <v/>
      </c>
      <c r="AH282">
        <f>$C282*AH281</f>
        <v/>
      </c>
      <c r="AI282">
        <f>$C282*AI281</f>
        <v/>
      </c>
      <c r="AJ282">
        <f>$C282*AJ281</f>
        <v/>
      </c>
      <c r="AK282">
        <f>$C282*AK281</f>
        <v/>
      </c>
      <c r="AL282">
        <f>$C282*AL281</f>
        <v/>
      </c>
      <c r="AM282">
        <f>$C282*AM281</f>
        <v/>
      </c>
      <c r="AN282">
        <f>$C282*AN281</f>
        <v/>
      </c>
      <c r="AO282">
        <f>$C282*AO281</f>
        <v/>
      </c>
      <c r="AP282">
        <f>$C282*AP281</f>
        <v/>
      </c>
      <c r="AQ282">
        <f>$C282*AQ281</f>
        <v/>
      </c>
      <c r="AR282">
        <f>$C282*AR281</f>
        <v/>
      </c>
      <c r="AS282">
        <f>$C282*AS281</f>
        <v/>
      </c>
      <c r="AT282">
        <f>$C282*AT281</f>
        <v/>
      </c>
      <c r="AU282">
        <f>$C282*AU281</f>
        <v/>
      </c>
      <c r="AV282">
        <f>$C282*AV281</f>
        <v/>
      </c>
      <c r="AW282">
        <f>$C282*AW281</f>
        <v/>
      </c>
      <c r="AX282">
        <f>$C282*AX281</f>
        <v/>
      </c>
      <c r="AY282">
        <f>$C282*AY281</f>
        <v/>
      </c>
      <c r="AZ282">
        <f>$C282*AZ281</f>
        <v/>
      </c>
      <c r="BA282">
        <f>$C282*BA281</f>
        <v/>
      </c>
      <c r="BB282">
        <f>$C282*BB281</f>
        <v/>
      </c>
      <c r="BC282">
        <f>$C282*BC281</f>
        <v/>
      </c>
      <c r="BD282">
        <f>$C282*BD281</f>
        <v/>
      </c>
      <c r="BE282">
        <f>$C282*BE281</f>
        <v/>
      </c>
      <c r="BF282">
        <f>$C282*BF281</f>
        <v/>
      </c>
      <c r="BG282">
        <f>$C282*BG281</f>
        <v/>
      </c>
      <c r="BH282">
        <f>$C282*BH281</f>
        <v/>
      </c>
      <c r="BI282">
        <f>$C282*BI281</f>
        <v/>
      </c>
      <c r="BJ282">
        <f>$C282*BJ281</f>
        <v/>
      </c>
      <c r="BK282">
        <f>$C282*BK281</f>
        <v/>
      </c>
      <c r="BL282">
        <f>$C282*BL281</f>
        <v/>
      </c>
      <c r="BM282">
        <f>$C282*BM281</f>
        <v/>
      </c>
      <c r="BN282">
        <f>$C282*BN281</f>
        <v/>
      </c>
      <c r="BO282">
        <f>$C282*BO281</f>
        <v/>
      </c>
      <c r="BP282">
        <f>$C282*BP281</f>
        <v/>
      </c>
      <c r="BQ282">
        <f>$C282*BQ281</f>
        <v/>
      </c>
      <c r="BR282">
        <f>$C282*BR281</f>
        <v/>
      </c>
      <c r="BS282">
        <f>$C282*BS281</f>
        <v/>
      </c>
      <c r="BT282">
        <f>$C282*BT281</f>
        <v/>
      </c>
      <c r="BU282">
        <f>$C282*BU281</f>
        <v/>
      </c>
      <c r="BV282">
        <f>$C282*BV281</f>
        <v/>
      </c>
      <c r="BW282">
        <f>$C282*BW281</f>
        <v/>
      </c>
      <c r="BX282">
        <f>$C282*BX281</f>
        <v/>
      </c>
      <c r="BY282">
        <f>$C282*BY281</f>
        <v/>
      </c>
      <c r="BZ282">
        <f>$C282*BZ281</f>
        <v/>
      </c>
      <c r="CA282">
        <f>$C282*CA281</f>
        <v/>
      </c>
      <c r="CB282">
        <f>$C282*CB281</f>
        <v/>
      </c>
      <c r="CC282">
        <f>$C282*CC281</f>
        <v/>
      </c>
      <c r="CD282">
        <f>$C282*CD281</f>
        <v/>
      </c>
      <c r="CE282">
        <f>$C282*CE281</f>
        <v/>
      </c>
      <c r="CF282">
        <f>$C282*CF281</f>
        <v/>
      </c>
      <c r="CG282">
        <f>$C282*CG281</f>
        <v/>
      </c>
      <c r="CH282">
        <f>$C282*CH281</f>
        <v/>
      </c>
      <c r="CI282">
        <f>$C282*CI281</f>
        <v/>
      </c>
      <c r="CJ282">
        <f>$C282*CJ281</f>
        <v/>
      </c>
      <c r="CK282">
        <f>$C282*CK281</f>
        <v/>
      </c>
      <c r="CL282">
        <f>$C282*CL281</f>
        <v/>
      </c>
      <c r="CM282">
        <f>$C282*CM281</f>
        <v/>
      </c>
      <c r="CN282">
        <f>$C282*CN281</f>
        <v/>
      </c>
      <c r="CO282">
        <f>$C282*CO281</f>
        <v/>
      </c>
      <c r="CP282">
        <f>$C282*CP281</f>
        <v/>
      </c>
      <c r="CQ282">
        <f>$C282*CQ281</f>
        <v/>
      </c>
      <c r="CR282">
        <f>$C282*CR281</f>
        <v/>
      </c>
      <c r="CS282">
        <f>$C282*CS281</f>
        <v/>
      </c>
      <c r="CT282">
        <f>$C282*CT281</f>
        <v/>
      </c>
      <c r="CU282">
        <f>$C282*CU281</f>
        <v/>
      </c>
      <c r="CV282">
        <f>$C282*CV281</f>
        <v/>
      </c>
      <c r="CW282">
        <f>$C282*CW281</f>
        <v/>
      </c>
      <c r="CX282">
        <f>$C282*CX281</f>
        <v/>
      </c>
      <c r="CY282">
        <f>$C282*CY281</f>
        <v/>
      </c>
      <c r="CZ282">
        <f>$C282*CZ281</f>
        <v/>
      </c>
      <c r="DA282">
        <f>$C282*DA281</f>
        <v/>
      </c>
      <c r="DB282">
        <f>$C282*DB281</f>
        <v/>
      </c>
      <c r="DC282">
        <f>$C282*DC281</f>
        <v/>
      </c>
    </row>
    <row r="283">
      <c r="B283" t="inlineStr">
        <is>
          <t>VSP-820</t>
        </is>
      </c>
      <c r="C283" t="inlineStr">
        <is>
          <t>No. of batches</t>
        </is>
      </c>
      <c r="D283">
        <f>IFERROR(INDEX(PP_Grid[#Data],$DD283,2),0)</f>
        <v/>
      </c>
      <c r="E283">
        <f>IFERROR(INDEX(PP_Grid[#Data],$DD283,3),0)</f>
        <v/>
      </c>
      <c r="F283">
        <f>IFERROR(INDEX(PP_Grid[#Data],$DD283,4),0)</f>
        <v/>
      </c>
      <c r="G283">
        <f>IFERROR(INDEX(PP_Grid[#Data],$DD283,5),0)</f>
        <v/>
      </c>
      <c r="H283">
        <f>IFERROR(INDEX(PP_Grid[#Data],$DD283,6),0)</f>
        <v/>
      </c>
      <c r="I283">
        <f>IFERROR(INDEX(PP_Grid[#Data],$DD283,7),0)</f>
        <v/>
      </c>
      <c r="J283">
        <f>IFERROR(INDEX(PP_Grid[#Data],$DD283,8),0)</f>
        <v/>
      </c>
      <c r="K283">
        <f>IFERROR(INDEX(PP_Grid[#Data],$DD283,9),0)</f>
        <v/>
      </c>
      <c r="L283">
        <f>IFERROR(INDEX(PP_Grid[#Data],$DD283,10),0)</f>
        <v/>
      </c>
      <c r="M283">
        <f>IFERROR(INDEX(PP_Grid[#Data],$DD283,11),0)</f>
        <v/>
      </c>
      <c r="N283">
        <f>IFERROR(INDEX(PP_Grid[#Data],$DD283,12),0)</f>
        <v/>
      </c>
      <c r="O283">
        <f>IFERROR(INDEX(PP_Grid[#Data],$DD283,13),0)</f>
        <v/>
      </c>
      <c r="P283">
        <f>IFERROR(INDEX(PP_Grid[#Data],$DD283,14),0)</f>
        <v/>
      </c>
      <c r="Q283">
        <f>IFERROR(INDEX(PP_Grid[#Data],$DD283,15),0)</f>
        <v/>
      </c>
      <c r="R283">
        <f>IFERROR(INDEX(PP_Grid[#Data],$DD283,16),0)</f>
        <v/>
      </c>
      <c r="S283">
        <f>IFERROR(INDEX(PP_Grid[#Data],$DD283,17),0)</f>
        <v/>
      </c>
      <c r="T283">
        <f>IFERROR(INDEX(PP_Grid[#Data],$DD283,18),0)</f>
        <v/>
      </c>
      <c r="U283">
        <f>IFERROR(INDEX(PP_Grid[#Data],$DD283,19),0)</f>
        <v/>
      </c>
      <c r="V283">
        <f>IFERROR(INDEX(PP_Grid[#Data],$DD283,20),0)</f>
        <v/>
      </c>
      <c r="W283">
        <f>IFERROR(INDEX(PP_Grid[#Data],$DD283,21),0)</f>
        <v/>
      </c>
      <c r="X283">
        <f>IFERROR(INDEX(PP_Grid[#Data],$DD283,22),0)</f>
        <v/>
      </c>
      <c r="Y283">
        <f>IFERROR(INDEX(PP_Grid[#Data],$DD283,23),0)</f>
        <v/>
      </c>
      <c r="Z283">
        <f>IFERROR(INDEX(PP_Grid[#Data],$DD283,24),0)</f>
        <v/>
      </c>
      <c r="AA283">
        <f>IFERROR(INDEX(PP_Grid[#Data],$DD283,25),0)</f>
        <v/>
      </c>
      <c r="AB283">
        <f>IFERROR(INDEX(PP_Grid[#Data],$DD283,26),0)</f>
        <v/>
      </c>
      <c r="AC283">
        <f>IFERROR(INDEX(PP_Grid[#Data],$DD283,27),0)</f>
        <v/>
      </c>
      <c r="AD283">
        <f>IFERROR(INDEX(PP_Grid[#Data],$DD283,28),0)</f>
        <v/>
      </c>
      <c r="AE283">
        <f>IFERROR(INDEX(PP_Grid[#Data],$DD283,29),0)</f>
        <v/>
      </c>
      <c r="AF283">
        <f>IFERROR(INDEX(PP_Grid[#Data],$DD283,30),0)</f>
        <v/>
      </c>
      <c r="AG283">
        <f>IFERROR(INDEX(PP_Grid[#Data],$DD283,31),0)</f>
        <v/>
      </c>
      <c r="AH283">
        <f>IFERROR(INDEX(PP_Grid[#Data],$DD283,32),0)</f>
        <v/>
      </c>
      <c r="AI283">
        <f>IFERROR(INDEX(PP_Grid[#Data],$DD283,33),0)</f>
        <v/>
      </c>
      <c r="AJ283">
        <f>IFERROR(INDEX(PP_Grid[#Data],$DD283,34),0)</f>
        <v/>
      </c>
      <c r="AK283">
        <f>IFERROR(INDEX(PP_Grid[#Data],$DD283,35),0)</f>
        <v/>
      </c>
      <c r="AL283">
        <f>IFERROR(INDEX(PP_Grid[#Data],$DD283,36),0)</f>
        <v/>
      </c>
      <c r="AM283">
        <f>IFERROR(INDEX(PP_Grid[#Data],$DD283,37),0)</f>
        <v/>
      </c>
      <c r="AN283">
        <f>IFERROR(INDEX(PP_Grid[#Data],$DD283,38),0)</f>
        <v/>
      </c>
      <c r="AO283">
        <f>IFERROR(INDEX(PP_Grid[#Data],$DD283,39),0)</f>
        <v/>
      </c>
      <c r="AP283">
        <f>IFERROR(INDEX(PP_Grid[#Data],$DD283,40),0)</f>
        <v/>
      </c>
      <c r="AQ283">
        <f>IFERROR(INDEX(PP_Grid[#Data],$DD283,41),0)</f>
        <v/>
      </c>
      <c r="AR283">
        <f>IFERROR(INDEX(PP_Grid[#Data],$DD283,42),0)</f>
        <v/>
      </c>
      <c r="AS283">
        <f>IFERROR(INDEX(PP_Grid[#Data],$DD283,43),0)</f>
        <v/>
      </c>
      <c r="AT283">
        <f>IFERROR(INDEX(PP_Grid[#Data],$DD283,44),0)</f>
        <v/>
      </c>
      <c r="AU283">
        <f>IFERROR(INDEX(PP_Grid[#Data],$DD283,45),0)</f>
        <v/>
      </c>
      <c r="AV283">
        <f>IFERROR(INDEX(PP_Grid[#Data],$DD283,46),0)</f>
        <v/>
      </c>
      <c r="AW283">
        <f>IFERROR(INDEX(PP_Grid[#Data],$DD283,47),0)</f>
        <v/>
      </c>
      <c r="AX283">
        <f>IFERROR(INDEX(PP_Grid[#Data],$DD283,48),0)</f>
        <v/>
      </c>
      <c r="AY283">
        <f>IFERROR(INDEX(PP_Grid[#Data],$DD283,49),0)</f>
        <v/>
      </c>
      <c r="AZ283">
        <f>IFERROR(INDEX(PP_Grid[#Data],$DD283,50),0)</f>
        <v/>
      </c>
      <c r="BA283">
        <f>IFERROR(INDEX(PP_Grid[#Data],$DD283,51),0)</f>
        <v/>
      </c>
      <c r="BB283">
        <f>IFERROR(INDEX(PP_Grid[#Data],$DD283,52),0)</f>
        <v/>
      </c>
      <c r="BC283">
        <f>IFERROR(INDEX(PP_Grid[#Data],$DD283,53),0)</f>
        <v/>
      </c>
      <c r="BD283">
        <f>IFERROR(INDEX(PP_Grid[#Data],$DD283,54),0)</f>
        <v/>
      </c>
      <c r="BE283">
        <f>IFERROR(INDEX(PP_Grid[#Data],$DD283,55),0)</f>
        <v/>
      </c>
      <c r="BF283">
        <f>IFERROR(INDEX(PP_Grid[#Data],$DD283,56),0)</f>
        <v/>
      </c>
      <c r="BG283">
        <f>IFERROR(INDEX(PP_Grid[#Data],$DD283,57),0)</f>
        <v/>
      </c>
      <c r="BH283">
        <f>IFERROR(INDEX(PP_Grid[#Data],$DD283,58),0)</f>
        <v/>
      </c>
      <c r="BI283">
        <f>IFERROR(INDEX(PP_Grid[#Data],$DD283,59),0)</f>
        <v/>
      </c>
      <c r="BJ283">
        <f>IFERROR(INDEX(PP_Grid[#Data],$DD283,60),0)</f>
        <v/>
      </c>
      <c r="BK283">
        <f>IFERROR(INDEX(PP_Grid[#Data],$DD283,61),0)</f>
        <v/>
      </c>
      <c r="BL283">
        <f>IFERROR(INDEX(PP_Grid[#Data],$DD283,62),0)</f>
        <v/>
      </c>
      <c r="BM283">
        <f>IFERROR(INDEX(PP_Grid[#Data],$DD283,63),0)</f>
        <v/>
      </c>
      <c r="BN283">
        <f>IFERROR(INDEX(PP_Grid[#Data],$DD283,64),0)</f>
        <v/>
      </c>
      <c r="BO283">
        <f>IFERROR(INDEX(PP_Grid[#Data],$DD283,65),0)</f>
        <v/>
      </c>
      <c r="BP283">
        <f>IFERROR(INDEX(PP_Grid[#Data],$DD283,66),0)</f>
        <v/>
      </c>
      <c r="BQ283">
        <f>IFERROR(INDEX(PP_Grid[#Data],$DD283,67),0)</f>
        <v/>
      </c>
      <c r="BR283">
        <f>IFERROR(INDEX(PP_Grid[#Data],$DD283,68),0)</f>
        <v/>
      </c>
      <c r="BS283">
        <f>IFERROR(INDEX(PP_Grid[#Data],$DD283,69),0)</f>
        <v/>
      </c>
      <c r="BT283">
        <f>IFERROR(INDEX(PP_Grid[#Data],$DD283,70),0)</f>
        <v/>
      </c>
      <c r="BU283">
        <f>IFERROR(INDEX(PP_Grid[#Data],$DD283,71),0)</f>
        <v/>
      </c>
      <c r="BV283">
        <f>IFERROR(INDEX(PP_Grid[#Data],$DD283,72),0)</f>
        <v/>
      </c>
      <c r="BW283">
        <f>IFERROR(INDEX(PP_Grid[#Data],$DD283,73),0)</f>
        <v/>
      </c>
      <c r="BX283">
        <f>IFERROR(INDEX(PP_Grid[#Data],$DD283,74),0)</f>
        <v/>
      </c>
      <c r="BY283">
        <f>IFERROR(INDEX(PP_Grid[#Data],$DD283,75),0)</f>
        <v/>
      </c>
      <c r="BZ283">
        <f>IFERROR(INDEX(PP_Grid[#Data],$DD283,76),0)</f>
        <v/>
      </c>
      <c r="CA283">
        <f>IFERROR(INDEX(PP_Grid[#Data],$DD283,77),0)</f>
        <v/>
      </c>
      <c r="CB283">
        <f>IFERROR(INDEX(PP_Grid[#Data],$DD283,78),0)</f>
        <v/>
      </c>
      <c r="CC283">
        <f>IFERROR(INDEX(PP_Grid[#Data],$DD283,79),0)</f>
        <v/>
      </c>
      <c r="CD283">
        <f>IFERROR(INDEX(PP_Grid[#Data],$DD283,80),0)</f>
        <v/>
      </c>
      <c r="CE283">
        <f>IFERROR(INDEX(PP_Grid[#Data],$DD283,81),0)</f>
        <v/>
      </c>
      <c r="CF283">
        <f>IFERROR(INDEX(PP_Grid[#Data],$DD283,82),0)</f>
        <v/>
      </c>
      <c r="CG283">
        <f>IFERROR(INDEX(PP_Grid[#Data],$DD283,83),0)</f>
        <v/>
      </c>
      <c r="CH283">
        <f>IFERROR(INDEX(PP_Grid[#Data],$DD283,84),0)</f>
        <v/>
      </c>
      <c r="CI283">
        <f>IFERROR(INDEX(PP_Grid[#Data],$DD283,85),0)</f>
        <v/>
      </c>
      <c r="CJ283">
        <f>IFERROR(INDEX(PP_Grid[#Data],$DD283,86),0)</f>
        <v/>
      </c>
      <c r="CK283">
        <f>IFERROR(INDEX(PP_Grid[#Data],$DD283,87),0)</f>
        <v/>
      </c>
      <c r="CL283">
        <f>IFERROR(INDEX(PP_Grid[#Data],$DD283,88),0)</f>
        <v/>
      </c>
      <c r="CM283">
        <f>IFERROR(INDEX(PP_Grid[#Data],$DD283,89),0)</f>
        <v/>
      </c>
      <c r="CN283">
        <f>IFERROR(INDEX(PP_Grid[#Data],$DD283,90),0)</f>
        <v/>
      </c>
      <c r="CO283">
        <f>IFERROR(INDEX(PP_Grid[#Data],$DD283,91),0)</f>
        <v/>
      </c>
      <c r="CP283">
        <f>IFERROR(INDEX(PP_Grid[#Data],$DD283,92),0)</f>
        <v/>
      </c>
      <c r="CQ283">
        <f>IFERROR(INDEX(PP_Grid[#Data],$DD283,93),0)</f>
        <v/>
      </c>
      <c r="CR283">
        <f>IFERROR(INDEX(PP_Grid[#Data],$DD283,94),0)</f>
        <v/>
      </c>
      <c r="CS283">
        <f>IFERROR(INDEX(PP_Grid[#Data],$DD283,95),0)</f>
        <v/>
      </c>
      <c r="CT283">
        <f>IFERROR(INDEX(PP_Grid[#Data],$DD283,96),0)</f>
        <v/>
      </c>
      <c r="CU283">
        <f>IFERROR(INDEX(PP_Grid[#Data],$DD283,97),0)</f>
        <v/>
      </c>
      <c r="CV283">
        <f>IFERROR(INDEX(PP_Grid[#Data],$DD283,98),0)</f>
        <v/>
      </c>
      <c r="CW283">
        <f>IFERROR(INDEX(PP_Grid[#Data],$DD283,99),0)</f>
        <v/>
      </c>
      <c r="CX283">
        <f>IFERROR(INDEX(PP_Grid[#Data],$DD283,100),0)</f>
        <v/>
      </c>
      <c r="CY283">
        <f>IFERROR(INDEX(PP_Grid[#Data],$DD283,101),0)</f>
        <v/>
      </c>
      <c r="CZ283">
        <f>IFERROR(INDEX(PP_Grid[#Data],$DD283,102),0)</f>
        <v/>
      </c>
      <c r="DA283">
        <f>IFERROR(INDEX(PP_Grid[#Data],$DD283,103),0)</f>
        <v/>
      </c>
      <c r="DB283">
        <f>IFERROR(INDEX(PP_Grid[#Data],$DD283,104),0)</f>
        <v/>
      </c>
      <c r="DC283">
        <f>IFERROR(INDEX(PP_Grid[#Data],$DD283,105),0)</f>
        <v/>
      </c>
      <c r="DD283" s="12">
        <f>IFERROR(MATCH($B283,PP_Grid[Intermediate],0),99999)</f>
        <v/>
      </c>
    </row>
    <row r="284">
      <c r="B284" t="inlineStr">
        <is>
          <t>使用量(kg)</t>
        </is>
      </c>
      <c r="C284">
        <f>SUMIFS(M_BOM[RM_Qty_Per_Batch],M_BOM[Intermediate],$B283,M_BOM[Part Name],$A264)</f>
        <v/>
      </c>
      <c r="D284">
        <f>$C284*D283</f>
        <v/>
      </c>
      <c r="E284">
        <f>$C284*E283</f>
        <v/>
      </c>
      <c r="F284">
        <f>$C284*F283</f>
        <v/>
      </c>
      <c r="G284">
        <f>$C284*G283</f>
        <v/>
      </c>
      <c r="H284">
        <f>$C284*H283</f>
        <v/>
      </c>
      <c r="I284">
        <f>$C284*I283</f>
        <v/>
      </c>
      <c r="J284">
        <f>$C284*J283</f>
        <v/>
      </c>
      <c r="K284">
        <f>$C284*K283</f>
        <v/>
      </c>
      <c r="L284">
        <f>$C284*L283</f>
        <v/>
      </c>
      <c r="M284">
        <f>$C284*M283</f>
        <v/>
      </c>
      <c r="N284">
        <f>$C284*N283</f>
        <v/>
      </c>
      <c r="O284">
        <f>$C284*O283</f>
        <v/>
      </c>
      <c r="P284">
        <f>$C284*P283</f>
        <v/>
      </c>
      <c r="Q284">
        <f>$C284*Q283</f>
        <v/>
      </c>
      <c r="R284">
        <f>$C284*R283</f>
        <v/>
      </c>
      <c r="S284">
        <f>$C284*S283</f>
        <v/>
      </c>
      <c r="T284">
        <f>$C284*T283</f>
        <v/>
      </c>
      <c r="U284">
        <f>$C284*U283</f>
        <v/>
      </c>
      <c r="V284">
        <f>$C284*V283</f>
        <v/>
      </c>
      <c r="W284">
        <f>$C284*W283</f>
        <v/>
      </c>
      <c r="X284">
        <f>$C284*X283</f>
        <v/>
      </c>
      <c r="Y284">
        <f>$C284*Y283</f>
        <v/>
      </c>
      <c r="Z284">
        <f>$C284*Z283</f>
        <v/>
      </c>
      <c r="AA284">
        <f>$C284*AA283</f>
        <v/>
      </c>
      <c r="AB284">
        <f>$C284*AB283</f>
        <v/>
      </c>
      <c r="AC284">
        <f>$C284*AC283</f>
        <v/>
      </c>
      <c r="AD284">
        <f>$C284*AD283</f>
        <v/>
      </c>
      <c r="AE284">
        <f>$C284*AE283</f>
        <v/>
      </c>
      <c r="AF284">
        <f>$C284*AF283</f>
        <v/>
      </c>
      <c r="AG284">
        <f>$C284*AG283</f>
        <v/>
      </c>
      <c r="AH284">
        <f>$C284*AH283</f>
        <v/>
      </c>
      <c r="AI284">
        <f>$C284*AI283</f>
        <v/>
      </c>
      <c r="AJ284">
        <f>$C284*AJ283</f>
        <v/>
      </c>
      <c r="AK284">
        <f>$C284*AK283</f>
        <v/>
      </c>
      <c r="AL284">
        <f>$C284*AL283</f>
        <v/>
      </c>
      <c r="AM284">
        <f>$C284*AM283</f>
        <v/>
      </c>
      <c r="AN284">
        <f>$C284*AN283</f>
        <v/>
      </c>
      <c r="AO284">
        <f>$C284*AO283</f>
        <v/>
      </c>
      <c r="AP284">
        <f>$C284*AP283</f>
        <v/>
      </c>
      <c r="AQ284">
        <f>$C284*AQ283</f>
        <v/>
      </c>
      <c r="AR284">
        <f>$C284*AR283</f>
        <v/>
      </c>
      <c r="AS284">
        <f>$C284*AS283</f>
        <v/>
      </c>
      <c r="AT284">
        <f>$C284*AT283</f>
        <v/>
      </c>
      <c r="AU284">
        <f>$C284*AU283</f>
        <v/>
      </c>
      <c r="AV284">
        <f>$C284*AV283</f>
        <v/>
      </c>
      <c r="AW284">
        <f>$C284*AW283</f>
        <v/>
      </c>
      <c r="AX284">
        <f>$C284*AX283</f>
        <v/>
      </c>
      <c r="AY284">
        <f>$C284*AY283</f>
        <v/>
      </c>
      <c r="AZ284">
        <f>$C284*AZ283</f>
        <v/>
      </c>
      <c r="BA284">
        <f>$C284*BA283</f>
        <v/>
      </c>
      <c r="BB284">
        <f>$C284*BB283</f>
        <v/>
      </c>
      <c r="BC284">
        <f>$C284*BC283</f>
        <v/>
      </c>
      <c r="BD284">
        <f>$C284*BD283</f>
        <v/>
      </c>
      <c r="BE284">
        <f>$C284*BE283</f>
        <v/>
      </c>
      <c r="BF284">
        <f>$C284*BF283</f>
        <v/>
      </c>
      <c r="BG284">
        <f>$C284*BG283</f>
        <v/>
      </c>
      <c r="BH284">
        <f>$C284*BH283</f>
        <v/>
      </c>
      <c r="BI284">
        <f>$C284*BI283</f>
        <v/>
      </c>
      <c r="BJ284">
        <f>$C284*BJ283</f>
        <v/>
      </c>
      <c r="BK284">
        <f>$C284*BK283</f>
        <v/>
      </c>
      <c r="BL284">
        <f>$C284*BL283</f>
        <v/>
      </c>
      <c r="BM284">
        <f>$C284*BM283</f>
        <v/>
      </c>
      <c r="BN284">
        <f>$C284*BN283</f>
        <v/>
      </c>
      <c r="BO284">
        <f>$C284*BO283</f>
        <v/>
      </c>
      <c r="BP284">
        <f>$C284*BP283</f>
        <v/>
      </c>
      <c r="BQ284">
        <f>$C284*BQ283</f>
        <v/>
      </c>
      <c r="BR284">
        <f>$C284*BR283</f>
        <v/>
      </c>
      <c r="BS284">
        <f>$C284*BS283</f>
        <v/>
      </c>
      <c r="BT284">
        <f>$C284*BT283</f>
        <v/>
      </c>
      <c r="BU284">
        <f>$C284*BU283</f>
        <v/>
      </c>
      <c r="BV284">
        <f>$C284*BV283</f>
        <v/>
      </c>
      <c r="BW284">
        <f>$C284*BW283</f>
        <v/>
      </c>
      <c r="BX284">
        <f>$C284*BX283</f>
        <v/>
      </c>
      <c r="BY284">
        <f>$C284*BY283</f>
        <v/>
      </c>
      <c r="BZ284">
        <f>$C284*BZ283</f>
        <v/>
      </c>
      <c r="CA284">
        <f>$C284*CA283</f>
        <v/>
      </c>
      <c r="CB284">
        <f>$C284*CB283</f>
        <v/>
      </c>
      <c r="CC284">
        <f>$C284*CC283</f>
        <v/>
      </c>
      <c r="CD284">
        <f>$C284*CD283</f>
        <v/>
      </c>
      <c r="CE284">
        <f>$C284*CE283</f>
        <v/>
      </c>
      <c r="CF284">
        <f>$C284*CF283</f>
        <v/>
      </c>
      <c r="CG284">
        <f>$C284*CG283</f>
        <v/>
      </c>
      <c r="CH284">
        <f>$C284*CH283</f>
        <v/>
      </c>
      <c r="CI284">
        <f>$C284*CI283</f>
        <v/>
      </c>
      <c r="CJ284">
        <f>$C284*CJ283</f>
        <v/>
      </c>
      <c r="CK284">
        <f>$C284*CK283</f>
        <v/>
      </c>
      <c r="CL284">
        <f>$C284*CL283</f>
        <v/>
      </c>
      <c r="CM284">
        <f>$C284*CM283</f>
        <v/>
      </c>
      <c r="CN284">
        <f>$C284*CN283</f>
        <v/>
      </c>
      <c r="CO284">
        <f>$C284*CO283</f>
        <v/>
      </c>
      <c r="CP284">
        <f>$C284*CP283</f>
        <v/>
      </c>
      <c r="CQ284">
        <f>$C284*CQ283</f>
        <v/>
      </c>
      <c r="CR284">
        <f>$C284*CR283</f>
        <v/>
      </c>
      <c r="CS284">
        <f>$C284*CS283</f>
        <v/>
      </c>
      <c r="CT284">
        <f>$C284*CT283</f>
        <v/>
      </c>
      <c r="CU284">
        <f>$C284*CU283</f>
        <v/>
      </c>
      <c r="CV284">
        <f>$C284*CV283</f>
        <v/>
      </c>
      <c r="CW284">
        <f>$C284*CW283</f>
        <v/>
      </c>
      <c r="CX284">
        <f>$C284*CX283</f>
        <v/>
      </c>
      <c r="CY284">
        <f>$C284*CY283</f>
        <v/>
      </c>
      <c r="CZ284">
        <f>$C284*CZ283</f>
        <v/>
      </c>
      <c r="DA284">
        <f>$C284*DA283</f>
        <v/>
      </c>
      <c r="DB284">
        <f>$C284*DB283</f>
        <v/>
      </c>
      <c r="DC284">
        <f>$C284*DC283</f>
        <v/>
      </c>
    </row>
    <row r="285">
      <c r="B285" t="inlineStr">
        <is>
          <t>VSP-989</t>
        </is>
      </c>
      <c r="C285" t="inlineStr">
        <is>
          <t>No. of batches</t>
        </is>
      </c>
      <c r="D285">
        <f>IFERROR(INDEX(PP_Grid[#Data],$DD285,2),0)</f>
        <v/>
      </c>
      <c r="E285">
        <f>IFERROR(INDEX(PP_Grid[#Data],$DD285,3),0)</f>
        <v/>
      </c>
      <c r="F285">
        <f>IFERROR(INDEX(PP_Grid[#Data],$DD285,4),0)</f>
        <v/>
      </c>
      <c r="G285">
        <f>IFERROR(INDEX(PP_Grid[#Data],$DD285,5),0)</f>
        <v/>
      </c>
      <c r="H285">
        <f>IFERROR(INDEX(PP_Grid[#Data],$DD285,6),0)</f>
        <v/>
      </c>
      <c r="I285">
        <f>IFERROR(INDEX(PP_Grid[#Data],$DD285,7),0)</f>
        <v/>
      </c>
      <c r="J285">
        <f>IFERROR(INDEX(PP_Grid[#Data],$DD285,8),0)</f>
        <v/>
      </c>
      <c r="K285">
        <f>IFERROR(INDEX(PP_Grid[#Data],$DD285,9),0)</f>
        <v/>
      </c>
      <c r="L285">
        <f>IFERROR(INDEX(PP_Grid[#Data],$DD285,10),0)</f>
        <v/>
      </c>
      <c r="M285">
        <f>IFERROR(INDEX(PP_Grid[#Data],$DD285,11),0)</f>
        <v/>
      </c>
      <c r="N285">
        <f>IFERROR(INDEX(PP_Grid[#Data],$DD285,12),0)</f>
        <v/>
      </c>
      <c r="O285">
        <f>IFERROR(INDEX(PP_Grid[#Data],$DD285,13),0)</f>
        <v/>
      </c>
      <c r="P285">
        <f>IFERROR(INDEX(PP_Grid[#Data],$DD285,14),0)</f>
        <v/>
      </c>
      <c r="Q285">
        <f>IFERROR(INDEX(PP_Grid[#Data],$DD285,15),0)</f>
        <v/>
      </c>
      <c r="R285">
        <f>IFERROR(INDEX(PP_Grid[#Data],$DD285,16),0)</f>
        <v/>
      </c>
      <c r="S285">
        <f>IFERROR(INDEX(PP_Grid[#Data],$DD285,17),0)</f>
        <v/>
      </c>
      <c r="T285">
        <f>IFERROR(INDEX(PP_Grid[#Data],$DD285,18),0)</f>
        <v/>
      </c>
      <c r="U285">
        <f>IFERROR(INDEX(PP_Grid[#Data],$DD285,19),0)</f>
        <v/>
      </c>
      <c r="V285">
        <f>IFERROR(INDEX(PP_Grid[#Data],$DD285,20),0)</f>
        <v/>
      </c>
      <c r="W285">
        <f>IFERROR(INDEX(PP_Grid[#Data],$DD285,21),0)</f>
        <v/>
      </c>
      <c r="X285">
        <f>IFERROR(INDEX(PP_Grid[#Data],$DD285,22),0)</f>
        <v/>
      </c>
      <c r="Y285">
        <f>IFERROR(INDEX(PP_Grid[#Data],$DD285,23),0)</f>
        <v/>
      </c>
      <c r="Z285">
        <f>IFERROR(INDEX(PP_Grid[#Data],$DD285,24),0)</f>
        <v/>
      </c>
      <c r="AA285">
        <f>IFERROR(INDEX(PP_Grid[#Data],$DD285,25),0)</f>
        <v/>
      </c>
      <c r="AB285">
        <f>IFERROR(INDEX(PP_Grid[#Data],$DD285,26),0)</f>
        <v/>
      </c>
      <c r="AC285">
        <f>IFERROR(INDEX(PP_Grid[#Data],$DD285,27),0)</f>
        <v/>
      </c>
      <c r="AD285">
        <f>IFERROR(INDEX(PP_Grid[#Data],$DD285,28),0)</f>
        <v/>
      </c>
      <c r="AE285">
        <f>IFERROR(INDEX(PP_Grid[#Data],$DD285,29),0)</f>
        <v/>
      </c>
      <c r="AF285">
        <f>IFERROR(INDEX(PP_Grid[#Data],$DD285,30),0)</f>
        <v/>
      </c>
      <c r="AG285">
        <f>IFERROR(INDEX(PP_Grid[#Data],$DD285,31),0)</f>
        <v/>
      </c>
      <c r="AH285">
        <f>IFERROR(INDEX(PP_Grid[#Data],$DD285,32),0)</f>
        <v/>
      </c>
      <c r="AI285">
        <f>IFERROR(INDEX(PP_Grid[#Data],$DD285,33),0)</f>
        <v/>
      </c>
      <c r="AJ285">
        <f>IFERROR(INDEX(PP_Grid[#Data],$DD285,34),0)</f>
        <v/>
      </c>
      <c r="AK285">
        <f>IFERROR(INDEX(PP_Grid[#Data],$DD285,35),0)</f>
        <v/>
      </c>
      <c r="AL285">
        <f>IFERROR(INDEX(PP_Grid[#Data],$DD285,36),0)</f>
        <v/>
      </c>
      <c r="AM285">
        <f>IFERROR(INDEX(PP_Grid[#Data],$DD285,37),0)</f>
        <v/>
      </c>
      <c r="AN285">
        <f>IFERROR(INDEX(PP_Grid[#Data],$DD285,38),0)</f>
        <v/>
      </c>
      <c r="AO285">
        <f>IFERROR(INDEX(PP_Grid[#Data],$DD285,39),0)</f>
        <v/>
      </c>
      <c r="AP285">
        <f>IFERROR(INDEX(PP_Grid[#Data],$DD285,40),0)</f>
        <v/>
      </c>
      <c r="AQ285">
        <f>IFERROR(INDEX(PP_Grid[#Data],$DD285,41),0)</f>
        <v/>
      </c>
      <c r="AR285">
        <f>IFERROR(INDEX(PP_Grid[#Data],$DD285,42),0)</f>
        <v/>
      </c>
      <c r="AS285">
        <f>IFERROR(INDEX(PP_Grid[#Data],$DD285,43),0)</f>
        <v/>
      </c>
      <c r="AT285">
        <f>IFERROR(INDEX(PP_Grid[#Data],$DD285,44),0)</f>
        <v/>
      </c>
      <c r="AU285">
        <f>IFERROR(INDEX(PP_Grid[#Data],$DD285,45),0)</f>
        <v/>
      </c>
      <c r="AV285">
        <f>IFERROR(INDEX(PP_Grid[#Data],$DD285,46),0)</f>
        <v/>
      </c>
      <c r="AW285">
        <f>IFERROR(INDEX(PP_Grid[#Data],$DD285,47),0)</f>
        <v/>
      </c>
      <c r="AX285">
        <f>IFERROR(INDEX(PP_Grid[#Data],$DD285,48),0)</f>
        <v/>
      </c>
      <c r="AY285">
        <f>IFERROR(INDEX(PP_Grid[#Data],$DD285,49),0)</f>
        <v/>
      </c>
      <c r="AZ285">
        <f>IFERROR(INDEX(PP_Grid[#Data],$DD285,50),0)</f>
        <v/>
      </c>
      <c r="BA285">
        <f>IFERROR(INDEX(PP_Grid[#Data],$DD285,51),0)</f>
        <v/>
      </c>
      <c r="BB285">
        <f>IFERROR(INDEX(PP_Grid[#Data],$DD285,52),0)</f>
        <v/>
      </c>
      <c r="BC285">
        <f>IFERROR(INDEX(PP_Grid[#Data],$DD285,53),0)</f>
        <v/>
      </c>
      <c r="BD285">
        <f>IFERROR(INDEX(PP_Grid[#Data],$DD285,54),0)</f>
        <v/>
      </c>
      <c r="BE285">
        <f>IFERROR(INDEX(PP_Grid[#Data],$DD285,55),0)</f>
        <v/>
      </c>
      <c r="BF285">
        <f>IFERROR(INDEX(PP_Grid[#Data],$DD285,56),0)</f>
        <v/>
      </c>
      <c r="BG285">
        <f>IFERROR(INDEX(PP_Grid[#Data],$DD285,57),0)</f>
        <v/>
      </c>
      <c r="BH285">
        <f>IFERROR(INDEX(PP_Grid[#Data],$DD285,58),0)</f>
        <v/>
      </c>
      <c r="BI285">
        <f>IFERROR(INDEX(PP_Grid[#Data],$DD285,59),0)</f>
        <v/>
      </c>
      <c r="BJ285">
        <f>IFERROR(INDEX(PP_Grid[#Data],$DD285,60),0)</f>
        <v/>
      </c>
      <c r="BK285">
        <f>IFERROR(INDEX(PP_Grid[#Data],$DD285,61),0)</f>
        <v/>
      </c>
      <c r="BL285">
        <f>IFERROR(INDEX(PP_Grid[#Data],$DD285,62),0)</f>
        <v/>
      </c>
      <c r="BM285">
        <f>IFERROR(INDEX(PP_Grid[#Data],$DD285,63),0)</f>
        <v/>
      </c>
      <c r="BN285">
        <f>IFERROR(INDEX(PP_Grid[#Data],$DD285,64),0)</f>
        <v/>
      </c>
      <c r="BO285">
        <f>IFERROR(INDEX(PP_Grid[#Data],$DD285,65),0)</f>
        <v/>
      </c>
      <c r="BP285">
        <f>IFERROR(INDEX(PP_Grid[#Data],$DD285,66),0)</f>
        <v/>
      </c>
      <c r="BQ285">
        <f>IFERROR(INDEX(PP_Grid[#Data],$DD285,67),0)</f>
        <v/>
      </c>
      <c r="BR285">
        <f>IFERROR(INDEX(PP_Grid[#Data],$DD285,68),0)</f>
        <v/>
      </c>
      <c r="BS285">
        <f>IFERROR(INDEX(PP_Grid[#Data],$DD285,69),0)</f>
        <v/>
      </c>
      <c r="BT285">
        <f>IFERROR(INDEX(PP_Grid[#Data],$DD285,70),0)</f>
        <v/>
      </c>
      <c r="BU285">
        <f>IFERROR(INDEX(PP_Grid[#Data],$DD285,71),0)</f>
        <v/>
      </c>
      <c r="BV285">
        <f>IFERROR(INDEX(PP_Grid[#Data],$DD285,72),0)</f>
        <v/>
      </c>
      <c r="BW285">
        <f>IFERROR(INDEX(PP_Grid[#Data],$DD285,73),0)</f>
        <v/>
      </c>
      <c r="BX285">
        <f>IFERROR(INDEX(PP_Grid[#Data],$DD285,74),0)</f>
        <v/>
      </c>
      <c r="BY285">
        <f>IFERROR(INDEX(PP_Grid[#Data],$DD285,75),0)</f>
        <v/>
      </c>
      <c r="BZ285">
        <f>IFERROR(INDEX(PP_Grid[#Data],$DD285,76),0)</f>
        <v/>
      </c>
      <c r="CA285">
        <f>IFERROR(INDEX(PP_Grid[#Data],$DD285,77),0)</f>
        <v/>
      </c>
      <c r="CB285">
        <f>IFERROR(INDEX(PP_Grid[#Data],$DD285,78),0)</f>
        <v/>
      </c>
      <c r="CC285">
        <f>IFERROR(INDEX(PP_Grid[#Data],$DD285,79),0)</f>
        <v/>
      </c>
      <c r="CD285">
        <f>IFERROR(INDEX(PP_Grid[#Data],$DD285,80),0)</f>
        <v/>
      </c>
      <c r="CE285">
        <f>IFERROR(INDEX(PP_Grid[#Data],$DD285,81),0)</f>
        <v/>
      </c>
      <c r="CF285">
        <f>IFERROR(INDEX(PP_Grid[#Data],$DD285,82),0)</f>
        <v/>
      </c>
      <c r="CG285">
        <f>IFERROR(INDEX(PP_Grid[#Data],$DD285,83),0)</f>
        <v/>
      </c>
      <c r="CH285">
        <f>IFERROR(INDEX(PP_Grid[#Data],$DD285,84),0)</f>
        <v/>
      </c>
      <c r="CI285">
        <f>IFERROR(INDEX(PP_Grid[#Data],$DD285,85),0)</f>
        <v/>
      </c>
      <c r="CJ285">
        <f>IFERROR(INDEX(PP_Grid[#Data],$DD285,86),0)</f>
        <v/>
      </c>
      <c r="CK285">
        <f>IFERROR(INDEX(PP_Grid[#Data],$DD285,87),0)</f>
        <v/>
      </c>
      <c r="CL285">
        <f>IFERROR(INDEX(PP_Grid[#Data],$DD285,88),0)</f>
        <v/>
      </c>
      <c r="CM285">
        <f>IFERROR(INDEX(PP_Grid[#Data],$DD285,89),0)</f>
        <v/>
      </c>
      <c r="CN285">
        <f>IFERROR(INDEX(PP_Grid[#Data],$DD285,90),0)</f>
        <v/>
      </c>
      <c r="CO285">
        <f>IFERROR(INDEX(PP_Grid[#Data],$DD285,91),0)</f>
        <v/>
      </c>
      <c r="CP285">
        <f>IFERROR(INDEX(PP_Grid[#Data],$DD285,92),0)</f>
        <v/>
      </c>
      <c r="CQ285">
        <f>IFERROR(INDEX(PP_Grid[#Data],$DD285,93),0)</f>
        <v/>
      </c>
      <c r="CR285">
        <f>IFERROR(INDEX(PP_Grid[#Data],$DD285,94),0)</f>
        <v/>
      </c>
      <c r="CS285">
        <f>IFERROR(INDEX(PP_Grid[#Data],$DD285,95),0)</f>
        <v/>
      </c>
      <c r="CT285">
        <f>IFERROR(INDEX(PP_Grid[#Data],$DD285,96),0)</f>
        <v/>
      </c>
      <c r="CU285">
        <f>IFERROR(INDEX(PP_Grid[#Data],$DD285,97),0)</f>
        <v/>
      </c>
      <c r="CV285">
        <f>IFERROR(INDEX(PP_Grid[#Data],$DD285,98),0)</f>
        <v/>
      </c>
      <c r="CW285">
        <f>IFERROR(INDEX(PP_Grid[#Data],$DD285,99),0)</f>
        <v/>
      </c>
      <c r="CX285">
        <f>IFERROR(INDEX(PP_Grid[#Data],$DD285,100),0)</f>
        <v/>
      </c>
      <c r="CY285">
        <f>IFERROR(INDEX(PP_Grid[#Data],$DD285,101),0)</f>
        <v/>
      </c>
      <c r="CZ285">
        <f>IFERROR(INDEX(PP_Grid[#Data],$DD285,102),0)</f>
        <v/>
      </c>
      <c r="DA285">
        <f>IFERROR(INDEX(PP_Grid[#Data],$DD285,103),0)</f>
        <v/>
      </c>
      <c r="DB285">
        <f>IFERROR(INDEX(PP_Grid[#Data],$DD285,104),0)</f>
        <v/>
      </c>
      <c r="DC285">
        <f>IFERROR(INDEX(PP_Grid[#Data],$DD285,105),0)</f>
        <v/>
      </c>
      <c r="DD285" s="12">
        <f>IFERROR(MATCH($B285,PP_Grid[Intermediate],0),99999)</f>
        <v/>
      </c>
    </row>
    <row r="286">
      <c r="B286" t="inlineStr">
        <is>
          <t>使用量(kg)</t>
        </is>
      </c>
      <c r="C286">
        <f>SUMIFS(M_BOM[RM_Qty_Per_Batch],M_BOM[Intermediate],$B285,M_BOM[Part Name],$A264)</f>
        <v/>
      </c>
      <c r="D286">
        <f>$C286*D285</f>
        <v/>
      </c>
      <c r="E286">
        <f>$C286*E285</f>
        <v/>
      </c>
      <c r="F286">
        <f>$C286*F285</f>
        <v/>
      </c>
      <c r="G286">
        <f>$C286*G285</f>
        <v/>
      </c>
      <c r="H286">
        <f>$C286*H285</f>
        <v/>
      </c>
      <c r="I286">
        <f>$C286*I285</f>
        <v/>
      </c>
      <c r="J286">
        <f>$C286*J285</f>
        <v/>
      </c>
      <c r="K286">
        <f>$C286*K285</f>
        <v/>
      </c>
      <c r="L286">
        <f>$C286*L285</f>
        <v/>
      </c>
      <c r="M286">
        <f>$C286*M285</f>
        <v/>
      </c>
      <c r="N286">
        <f>$C286*N285</f>
        <v/>
      </c>
      <c r="O286">
        <f>$C286*O285</f>
        <v/>
      </c>
      <c r="P286">
        <f>$C286*P285</f>
        <v/>
      </c>
      <c r="Q286">
        <f>$C286*Q285</f>
        <v/>
      </c>
      <c r="R286">
        <f>$C286*R285</f>
        <v/>
      </c>
      <c r="S286">
        <f>$C286*S285</f>
        <v/>
      </c>
      <c r="T286">
        <f>$C286*T285</f>
        <v/>
      </c>
      <c r="U286">
        <f>$C286*U285</f>
        <v/>
      </c>
      <c r="V286">
        <f>$C286*V285</f>
        <v/>
      </c>
      <c r="W286">
        <f>$C286*W285</f>
        <v/>
      </c>
      <c r="X286">
        <f>$C286*X285</f>
        <v/>
      </c>
      <c r="Y286">
        <f>$C286*Y285</f>
        <v/>
      </c>
      <c r="Z286">
        <f>$C286*Z285</f>
        <v/>
      </c>
      <c r="AA286">
        <f>$C286*AA285</f>
        <v/>
      </c>
      <c r="AB286">
        <f>$C286*AB285</f>
        <v/>
      </c>
      <c r="AC286">
        <f>$C286*AC285</f>
        <v/>
      </c>
      <c r="AD286">
        <f>$C286*AD285</f>
        <v/>
      </c>
      <c r="AE286">
        <f>$C286*AE285</f>
        <v/>
      </c>
      <c r="AF286">
        <f>$C286*AF285</f>
        <v/>
      </c>
      <c r="AG286">
        <f>$C286*AG285</f>
        <v/>
      </c>
      <c r="AH286">
        <f>$C286*AH285</f>
        <v/>
      </c>
      <c r="AI286">
        <f>$C286*AI285</f>
        <v/>
      </c>
      <c r="AJ286">
        <f>$C286*AJ285</f>
        <v/>
      </c>
      <c r="AK286">
        <f>$C286*AK285</f>
        <v/>
      </c>
      <c r="AL286">
        <f>$C286*AL285</f>
        <v/>
      </c>
      <c r="AM286">
        <f>$C286*AM285</f>
        <v/>
      </c>
      <c r="AN286">
        <f>$C286*AN285</f>
        <v/>
      </c>
      <c r="AO286">
        <f>$C286*AO285</f>
        <v/>
      </c>
      <c r="AP286">
        <f>$C286*AP285</f>
        <v/>
      </c>
      <c r="AQ286">
        <f>$C286*AQ285</f>
        <v/>
      </c>
      <c r="AR286">
        <f>$C286*AR285</f>
        <v/>
      </c>
      <c r="AS286">
        <f>$C286*AS285</f>
        <v/>
      </c>
      <c r="AT286">
        <f>$C286*AT285</f>
        <v/>
      </c>
      <c r="AU286">
        <f>$C286*AU285</f>
        <v/>
      </c>
      <c r="AV286">
        <f>$C286*AV285</f>
        <v/>
      </c>
      <c r="AW286">
        <f>$C286*AW285</f>
        <v/>
      </c>
      <c r="AX286">
        <f>$C286*AX285</f>
        <v/>
      </c>
      <c r="AY286">
        <f>$C286*AY285</f>
        <v/>
      </c>
      <c r="AZ286">
        <f>$C286*AZ285</f>
        <v/>
      </c>
      <c r="BA286">
        <f>$C286*BA285</f>
        <v/>
      </c>
      <c r="BB286">
        <f>$C286*BB285</f>
        <v/>
      </c>
      <c r="BC286">
        <f>$C286*BC285</f>
        <v/>
      </c>
      <c r="BD286">
        <f>$C286*BD285</f>
        <v/>
      </c>
      <c r="BE286">
        <f>$C286*BE285</f>
        <v/>
      </c>
      <c r="BF286">
        <f>$C286*BF285</f>
        <v/>
      </c>
      <c r="BG286">
        <f>$C286*BG285</f>
        <v/>
      </c>
      <c r="BH286">
        <f>$C286*BH285</f>
        <v/>
      </c>
      <c r="BI286">
        <f>$C286*BI285</f>
        <v/>
      </c>
      <c r="BJ286">
        <f>$C286*BJ285</f>
        <v/>
      </c>
      <c r="BK286">
        <f>$C286*BK285</f>
        <v/>
      </c>
      <c r="BL286">
        <f>$C286*BL285</f>
        <v/>
      </c>
      <c r="BM286">
        <f>$C286*BM285</f>
        <v/>
      </c>
      <c r="BN286">
        <f>$C286*BN285</f>
        <v/>
      </c>
      <c r="BO286">
        <f>$C286*BO285</f>
        <v/>
      </c>
      <c r="BP286">
        <f>$C286*BP285</f>
        <v/>
      </c>
      <c r="BQ286">
        <f>$C286*BQ285</f>
        <v/>
      </c>
      <c r="BR286">
        <f>$C286*BR285</f>
        <v/>
      </c>
      <c r="BS286">
        <f>$C286*BS285</f>
        <v/>
      </c>
      <c r="BT286">
        <f>$C286*BT285</f>
        <v/>
      </c>
      <c r="BU286">
        <f>$C286*BU285</f>
        <v/>
      </c>
      <c r="BV286">
        <f>$C286*BV285</f>
        <v/>
      </c>
      <c r="BW286">
        <f>$C286*BW285</f>
        <v/>
      </c>
      <c r="BX286">
        <f>$C286*BX285</f>
        <v/>
      </c>
      <c r="BY286">
        <f>$C286*BY285</f>
        <v/>
      </c>
      <c r="BZ286">
        <f>$C286*BZ285</f>
        <v/>
      </c>
      <c r="CA286">
        <f>$C286*CA285</f>
        <v/>
      </c>
      <c r="CB286">
        <f>$C286*CB285</f>
        <v/>
      </c>
      <c r="CC286">
        <f>$C286*CC285</f>
        <v/>
      </c>
      <c r="CD286">
        <f>$C286*CD285</f>
        <v/>
      </c>
      <c r="CE286">
        <f>$C286*CE285</f>
        <v/>
      </c>
      <c r="CF286">
        <f>$C286*CF285</f>
        <v/>
      </c>
      <c r="CG286">
        <f>$C286*CG285</f>
        <v/>
      </c>
      <c r="CH286">
        <f>$C286*CH285</f>
        <v/>
      </c>
      <c r="CI286">
        <f>$C286*CI285</f>
        <v/>
      </c>
      <c r="CJ286">
        <f>$C286*CJ285</f>
        <v/>
      </c>
      <c r="CK286">
        <f>$C286*CK285</f>
        <v/>
      </c>
      <c r="CL286">
        <f>$C286*CL285</f>
        <v/>
      </c>
      <c r="CM286">
        <f>$C286*CM285</f>
        <v/>
      </c>
      <c r="CN286">
        <f>$C286*CN285</f>
        <v/>
      </c>
      <c r="CO286">
        <f>$C286*CO285</f>
        <v/>
      </c>
      <c r="CP286">
        <f>$C286*CP285</f>
        <v/>
      </c>
      <c r="CQ286">
        <f>$C286*CQ285</f>
        <v/>
      </c>
      <c r="CR286">
        <f>$C286*CR285</f>
        <v/>
      </c>
      <c r="CS286">
        <f>$C286*CS285</f>
        <v/>
      </c>
      <c r="CT286">
        <f>$C286*CT285</f>
        <v/>
      </c>
      <c r="CU286">
        <f>$C286*CU285</f>
        <v/>
      </c>
      <c r="CV286">
        <f>$C286*CV285</f>
        <v/>
      </c>
      <c r="CW286">
        <f>$C286*CW285</f>
        <v/>
      </c>
      <c r="CX286">
        <f>$C286*CX285</f>
        <v/>
      </c>
      <c r="CY286">
        <f>$C286*CY285</f>
        <v/>
      </c>
      <c r="CZ286">
        <f>$C286*CZ285</f>
        <v/>
      </c>
      <c r="DA286">
        <f>$C286*DA285</f>
        <v/>
      </c>
      <c r="DB286">
        <f>$C286*DB285</f>
        <v/>
      </c>
      <c r="DC286">
        <f>$C286*DC285</f>
        <v/>
      </c>
    </row>
    <row r="287">
      <c r="B287" s="5" t="inlineStr">
        <is>
          <t>合計使用量(kg)/週</t>
        </is>
      </c>
      <c r="D287">
        <f>'Grid_Requirement'!B25</f>
        <v/>
      </c>
      <c r="E287">
        <f>'Grid_Requirement'!C25</f>
        <v/>
      </c>
      <c r="F287">
        <f>'Grid_Requirement'!D25</f>
        <v/>
      </c>
      <c r="G287">
        <f>'Grid_Requirement'!E25</f>
        <v/>
      </c>
      <c r="H287">
        <f>'Grid_Requirement'!F25</f>
        <v/>
      </c>
      <c r="I287">
        <f>'Grid_Requirement'!G25</f>
        <v/>
      </c>
      <c r="J287">
        <f>'Grid_Requirement'!H25</f>
        <v/>
      </c>
      <c r="K287">
        <f>'Grid_Requirement'!I25</f>
        <v/>
      </c>
      <c r="L287">
        <f>'Grid_Requirement'!J25</f>
        <v/>
      </c>
      <c r="M287">
        <f>'Grid_Requirement'!K25</f>
        <v/>
      </c>
      <c r="N287">
        <f>'Grid_Requirement'!L25</f>
        <v/>
      </c>
      <c r="O287">
        <f>'Grid_Requirement'!M25</f>
        <v/>
      </c>
      <c r="P287">
        <f>'Grid_Requirement'!N25</f>
        <v/>
      </c>
      <c r="Q287">
        <f>'Grid_Requirement'!O25</f>
        <v/>
      </c>
      <c r="R287">
        <f>'Grid_Requirement'!P25</f>
        <v/>
      </c>
      <c r="S287">
        <f>'Grid_Requirement'!Q25</f>
        <v/>
      </c>
      <c r="T287">
        <f>'Grid_Requirement'!R25</f>
        <v/>
      </c>
      <c r="U287">
        <f>'Grid_Requirement'!S25</f>
        <v/>
      </c>
      <c r="V287">
        <f>'Grid_Requirement'!T25</f>
        <v/>
      </c>
      <c r="W287">
        <f>'Grid_Requirement'!U25</f>
        <v/>
      </c>
      <c r="X287">
        <f>'Grid_Requirement'!V25</f>
        <v/>
      </c>
      <c r="Y287">
        <f>'Grid_Requirement'!W25</f>
        <v/>
      </c>
      <c r="Z287">
        <f>'Grid_Requirement'!X25</f>
        <v/>
      </c>
      <c r="AA287">
        <f>'Grid_Requirement'!Y25</f>
        <v/>
      </c>
      <c r="AB287">
        <f>'Grid_Requirement'!Z25</f>
        <v/>
      </c>
      <c r="AC287">
        <f>'Grid_Requirement'!AA25</f>
        <v/>
      </c>
      <c r="AD287">
        <f>'Grid_Requirement'!AB25</f>
        <v/>
      </c>
      <c r="AE287">
        <f>'Grid_Requirement'!AC25</f>
        <v/>
      </c>
      <c r="AF287">
        <f>'Grid_Requirement'!AD25</f>
        <v/>
      </c>
      <c r="AG287">
        <f>'Grid_Requirement'!AE25</f>
        <v/>
      </c>
      <c r="AH287">
        <f>'Grid_Requirement'!AF25</f>
        <v/>
      </c>
      <c r="AI287">
        <f>'Grid_Requirement'!AG25</f>
        <v/>
      </c>
      <c r="AJ287">
        <f>'Grid_Requirement'!AH25</f>
        <v/>
      </c>
      <c r="AK287">
        <f>'Grid_Requirement'!AI25</f>
        <v/>
      </c>
      <c r="AL287">
        <f>'Grid_Requirement'!AJ25</f>
        <v/>
      </c>
      <c r="AM287">
        <f>'Grid_Requirement'!AK25</f>
        <v/>
      </c>
      <c r="AN287">
        <f>'Grid_Requirement'!AL25</f>
        <v/>
      </c>
      <c r="AO287">
        <f>'Grid_Requirement'!AM25</f>
        <v/>
      </c>
      <c r="AP287">
        <f>'Grid_Requirement'!AN25</f>
        <v/>
      </c>
      <c r="AQ287">
        <f>'Grid_Requirement'!AO25</f>
        <v/>
      </c>
      <c r="AR287">
        <f>'Grid_Requirement'!AP25</f>
        <v/>
      </c>
      <c r="AS287">
        <f>'Grid_Requirement'!AQ25</f>
        <v/>
      </c>
      <c r="AT287">
        <f>'Grid_Requirement'!AR25</f>
        <v/>
      </c>
      <c r="AU287">
        <f>'Grid_Requirement'!AS25</f>
        <v/>
      </c>
      <c r="AV287">
        <f>'Grid_Requirement'!AT25</f>
        <v/>
      </c>
      <c r="AW287">
        <f>'Grid_Requirement'!AU25</f>
        <v/>
      </c>
      <c r="AX287">
        <f>'Grid_Requirement'!AV25</f>
        <v/>
      </c>
      <c r="AY287">
        <f>'Grid_Requirement'!AW25</f>
        <v/>
      </c>
      <c r="AZ287">
        <f>'Grid_Requirement'!AX25</f>
        <v/>
      </c>
      <c r="BA287">
        <f>'Grid_Requirement'!AY25</f>
        <v/>
      </c>
      <c r="BB287">
        <f>'Grid_Requirement'!AZ25</f>
        <v/>
      </c>
      <c r="BC287">
        <f>'Grid_Requirement'!BA25</f>
        <v/>
      </c>
      <c r="BD287">
        <f>'Grid_Requirement'!BB25</f>
        <v/>
      </c>
      <c r="BE287">
        <f>'Grid_Requirement'!BC25</f>
        <v/>
      </c>
      <c r="BF287">
        <f>'Grid_Requirement'!BD25</f>
        <v/>
      </c>
      <c r="BG287">
        <f>'Grid_Requirement'!BE25</f>
        <v/>
      </c>
      <c r="BH287">
        <f>'Grid_Requirement'!BF25</f>
        <v/>
      </c>
      <c r="BI287">
        <f>'Grid_Requirement'!BG25</f>
        <v/>
      </c>
      <c r="BJ287">
        <f>'Grid_Requirement'!BH25</f>
        <v/>
      </c>
      <c r="BK287">
        <f>'Grid_Requirement'!BI25</f>
        <v/>
      </c>
      <c r="BL287">
        <f>'Grid_Requirement'!BJ25</f>
        <v/>
      </c>
      <c r="BM287">
        <f>'Grid_Requirement'!BK25</f>
        <v/>
      </c>
      <c r="BN287">
        <f>'Grid_Requirement'!BL25</f>
        <v/>
      </c>
      <c r="BO287">
        <f>'Grid_Requirement'!BM25</f>
        <v/>
      </c>
      <c r="BP287">
        <f>'Grid_Requirement'!BN25</f>
        <v/>
      </c>
      <c r="BQ287">
        <f>'Grid_Requirement'!BO25</f>
        <v/>
      </c>
      <c r="BR287">
        <f>'Grid_Requirement'!BP25</f>
        <v/>
      </c>
      <c r="BS287">
        <f>'Grid_Requirement'!BQ25</f>
        <v/>
      </c>
      <c r="BT287">
        <f>'Grid_Requirement'!BR25</f>
        <v/>
      </c>
      <c r="BU287">
        <f>'Grid_Requirement'!BS25</f>
        <v/>
      </c>
      <c r="BV287">
        <f>'Grid_Requirement'!BT25</f>
        <v/>
      </c>
      <c r="BW287">
        <f>'Grid_Requirement'!BU25</f>
        <v/>
      </c>
      <c r="BX287">
        <f>'Grid_Requirement'!BV25</f>
        <v/>
      </c>
      <c r="BY287">
        <f>'Grid_Requirement'!BW25</f>
        <v/>
      </c>
      <c r="BZ287">
        <f>'Grid_Requirement'!BX25</f>
        <v/>
      </c>
      <c r="CA287">
        <f>'Grid_Requirement'!BY25</f>
        <v/>
      </c>
      <c r="CB287">
        <f>'Grid_Requirement'!BZ25</f>
        <v/>
      </c>
      <c r="CC287">
        <f>'Grid_Requirement'!CA25</f>
        <v/>
      </c>
      <c r="CD287">
        <f>'Grid_Requirement'!CB25</f>
        <v/>
      </c>
      <c r="CE287">
        <f>'Grid_Requirement'!CC25</f>
        <v/>
      </c>
      <c r="CF287">
        <f>'Grid_Requirement'!CD25</f>
        <v/>
      </c>
      <c r="CG287">
        <f>'Grid_Requirement'!CE25</f>
        <v/>
      </c>
      <c r="CH287">
        <f>'Grid_Requirement'!CF25</f>
        <v/>
      </c>
      <c r="CI287">
        <f>'Grid_Requirement'!CG25</f>
        <v/>
      </c>
      <c r="CJ287">
        <f>'Grid_Requirement'!CH25</f>
        <v/>
      </c>
      <c r="CK287">
        <f>'Grid_Requirement'!CI25</f>
        <v/>
      </c>
      <c r="CL287">
        <f>'Grid_Requirement'!CJ25</f>
        <v/>
      </c>
      <c r="CM287">
        <f>'Grid_Requirement'!CK25</f>
        <v/>
      </c>
      <c r="CN287">
        <f>'Grid_Requirement'!CL25</f>
        <v/>
      </c>
      <c r="CO287">
        <f>'Grid_Requirement'!CM25</f>
        <v/>
      </c>
      <c r="CP287">
        <f>'Grid_Requirement'!CN25</f>
        <v/>
      </c>
      <c r="CQ287">
        <f>'Grid_Requirement'!CO25</f>
        <v/>
      </c>
      <c r="CR287">
        <f>'Grid_Requirement'!CP25</f>
        <v/>
      </c>
      <c r="CS287">
        <f>'Grid_Requirement'!CQ25</f>
        <v/>
      </c>
      <c r="CT287">
        <f>'Grid_Requirement'!CR25</f>
        <v/>
      </c>
      <c r="CU287">
        <f>'Grid_Requirement'!CS25</f>
        <v/>
      </c>
      <c r="CV287">
        <f>'Grid_Requirement'!CT25</f>
        <v/>
      </c>
      <c r="CW287">
        <f>'Grid_Requirement'!CU25</f>
        <v/>
      </c>
      <c r="CX287">
        <f>'Grid_Requirement'!CV25</f>
        <v/>
      </c>
      <c r="CY287">
        <f>'Grid_Requirement'!CW25</f>
        <v/>
      </c>
      <c r="CZ287">
        <f>'Grid_Requirement'!CX25</f>
        <v/>
      </c>
      <c r="DA287">
        <f>'Grid_Requirement'!CY25</f>
        <v/>
      </c>
      <c r="DB287">
        <f>'Grid_Requirement'!CZ25</f>
        <v/>
      </c>
      <c r="DC287">
        <f>'Grid_Requirement'!DA25</f>
        <v/>
      </c>
    </row>
    <row r="288">
      <c r="B288" t="inlineStr">
        <is>
          <t>TTAF在庫(実績,kg)</t>
        </is>
      </c>
      <c r="D288">
        <f>'T_TTAFStock'!B29</f>
        <v/>
      </c>
      <c r="E288">
        <f>'T_TTAFStock'!C29</f>
        <v/>
      </c>
      <c r="F288">
        <f>'T_TTAFStock'!D29</f>
        <v/>
      </c>
      <c r="G288">
        <f>'T_TTAFStock'!E29</f>
        <v/>
      </c>
      <c r="H288">
        <f>'T_TTAFStock'!F29</f>
        <v/>
      </c>
      <c r="I288">
        <f>'T_TTAFStock'!G29</f>
        <v/>
      </c>
      <c r="J288">
        <f>'T_TTAFStock'!H29</f>
        <v/>
      </c>
      <c r="K288">
        <f>'T_TTAFStock'!I29</f>
        <v/>
      </c>
      <c r="L288">
        <f>'T_TTAFStock'!J29</f>
        <v/>
      </c>
      <c r="M288">
        <f>'T_TTAFStock'!K29</f>
        <v/>
      </c>
      <c r="N288">
        <f>'T_TTAFStock'!L29</f>
        <v/>
      </c>
      <c r="O288">
        <f>'T_TTAFStock'!M29</f>
        <v/>
      </c>
      <c r="P288">
        <f>'T_TTAFStock'!N29</f>
        <v/>
      </c>
      <c r="Q288">
        <f>'T_TTAFStock'!O29</f>
        <v/>
      </c>
      <c r="R288">
        <f>'T_TTAFStock'!P29</f>
        <v/>
      </c>
      <c r="S288">
        <f>'T_TTAFStock'!Q29</f>
        <v/>
      </c>
      <c r="T288">
        <f>'T_TTAFStock'!R29</f>
        <v/>
      </c>
      <c r="U288">
        <f>'T_TTAFStock'!S29</f>
        <v/>
      </c>
      <c r="V288">
        <f>'T_TTAFStock'!T29</f>
        <v/>
      </c>
      <c r="W288">
        <f>'T_TTAFStock'!U29</f>
        <v/>
      </c>
      <c r="X288">
        <f>'T_TTAFStock'!V29</f>
        <v/>
      </c>
      <c r="Y288">
        <f>'T_TTAFStock'!W29</f>
        <v/>
      </c>
      <c r="Z288">
        <f>'T_TTAFStock'!X29</f>
        <v/>
      </c>
      <c r="AA288">
        <f>'T_TTAFStock'!Y29</f>
        <v/>
      </c>
      <c r="AB288">
        <f>'T_TTAFStock'!Z29</f>
        <v/>
      </c>
      <c r="AC288">
        <f>'T_TTAFStock'!AA29</f>
        <v/>
      </c>
      <c r="AD288">
        <f>'T_TTAFStock'!AB29</f>
        <v/>
      </c>
      <c r="AE288">
        <f>'T_TTAFStock'!AC29</f>
        <v/>
      </c>
      <c r="AF288">
        <f>'T_TTAFStock'!AD29</f>
        <v/>
      </c>
      <c r="AG288">
        <f>'T_TTAFStock'!AE29</f>
        <v/>
      </c>
      <c r="AH288">
        <f>'T_TTAFStock'!AF29</f>
        <v/>
      </c>
      <c r="AI288">
        <f>'T_TTAFStock'!AG29</f>
        <v/>
      </c>
      <c r="AJ288">
        <f>'T_TTAFStock'!AH29</f>
        <v/>
      </c>
      <c r="AK288">
        <f>'T_TTAFStock'!AI29</f>
        <v/>
      </c>
      <c r="AL288">
        <f>'T_TTAFStock'!AJ29</f>
        <v/>
      </c>
      <c r="AM288">
        <f>'T_TTAFStock'!AK29</f>
        <v/>
      </c>
      <c r="AN288">
        <f>'T_TTAFStock'!AL29</f>
        <v/>
      </c>
      <c r="AO288">
        <f>'T_TTAFStock'!AM29</f>
        <v/>
      </c>
      <c r="AP288">
        <f>'T_TTAFStock'!AN29</f>
        <v/>
      </c>
      <c r="AQ288">
        <f>'T_TTAFStock'!AO29</f>
        <v/>
      </c>
      <c r="AR288">
        <f>'T_TTAFStock'!AP29</f>
        <v/>
      </c>
      <c r="AS288">
        <f>'T_TTAFStock'!AQ29</f>
        <v/>
      </c>
      <c r="AT288">
        <f>'T_TTAFStock'!AR29</f>
        <v/>
      </c>
      <c r="AU288">
        <f>'T_TTAFStock'!AS29</f>
        <v/>
      </c>
      <c r="AV288">
        <f>'T_TTAFStock'!AT29</f>
        <v/>
      </c>
      <c r="AW288">
        <f>'T_TTAFStock'!AU29</f>
        <v/>
      </c>
      <c r="AX288">
        <f>'T_TTAFStock'!AV29</f>
        <v/>
      </c>
      <c r="AY288">
        <f>'T_TTAFStock'!AW29</f>
        <v/>
      </c>
      <c r="AZ288">
        <f>'T_TTAFStock'!AX29</f>
        <v/>
      </c>
      <c r="BA288">
        <f>'T_TTAFStock'!AY29</f>
        <v/>
      </c>
      <c r="BB288">
        <f>'T_TTAFStock'!AZ29</f>
        <v/>
      </c>
      <c r="BC288">
        <f>'T_TTAFStock'!BA29</f>
        <v/>
      </c>
      <c r="BD288">
        <f>'T_TTAFStock'!BB29</f>
        <v/>
      </c>
      <c r="BE288">
        <f>'T_TTAFStock'!BC29</f>
        <v/>
      </c>
      <c r="BF288">
        <f>'T_TTAFStock'!BD29</f>
        <v/>
      </c>
      <c r="BG288">
        <f>'T_TTAFStock'!BE29</f>
        <v/>
      </c>
      <c r="BH288">
        <f>'T_TTAFStock'!BF29</f>
        <v/>
      </c>
      <c r="BI288">
        <f>'T_TTAFStock'!BG29</f>
        <v/>
      </c>
      <c r="BJ288">
        <f>'T_TTAFStock'!BH29</f>
        <v/>
      </c>
      <c r="BK288">
        <f>'T_TTAFStock'!BI29</f>
        <v/>
      </c>
      <c r="BL288">
        <f>'T_TTAFStock'!BJ29</f>
        <v/>
      </c>
      <c r="BM288">
        <f>'T_TTAFStock'!BK29</f>
        <v/>
      </c>
      <c r="BN288">
        <f>'T_TTAFStock'!BL29</f>
        <v/>
      </c>
      <c r="BO288">
        <f>'T_TTAFStock'!BM29</f>
        <v/>
      </c>
      <c r="BP288">
        <f>'T_TTAFStock'!BN29</f>
        <v/>
      </c>
      <c r="BQ288">
        <f>'T_TTAFStock'!BO29</f>
        <v/>
      </c>
      <c r="BR288">
        <f>'T_TTAFStock'!BP29</f>
        <v/>
      </c>
      <c r="BS288">
        <f>'T_TTAFStock'!BQ29</f>
        <v/>
      </c>
      <c r="BT288">
        <f>'T_TTAFStock'!BR29</f>
        <v/>
      </c>
      <c r="BU288">
        <f>'T_TTAFStock'!BS29</f>
        <v/>
      </c>
      <c r="BV288">
        <f>'T_TTAFStock'!BT29</f>
        <v/>
      </c>
      <c r="BW288">
        <f>'T_TTAFStock'!BU29</f>
        <v/>
      </c>
      <c r="BX288">
        <f>'T_TTAFStock'!BV29</f>
        <v/>
      </c>
      <c r="BY288">
        <f>'T_TTAFStock'!BW29</f>
        <v/>
      </c>
      <c r="BZ288">
        <f>'T_TTAFStock'!BX29</f>
        <v/>
      </c>
      <c r="CA288">
        <f>'T_TTAFStock'!BY29</f>
        <v/>
      </c>
      <c r="CB288">
        <f>'T_TTAFStock'!BZ29</f>
        <v/>
      </c>
      <c r="CC288">
        <f>'T_TTAFStock'!CA29</f>
        <v/>
      </c>
      <c r="CD288">
        <f>'T_TTAFStock'!CB29</f>
        <v/>
      </c>
      <c r="CE288">
        <f>'T_TTAFStock'!CC29</f>
        <v/>
      </c>
      <c r="CF288">
        <f>'T_TTAFStock'!CD29</f>
        <v/>
      </c>
      <c r="CG288">
        <f>'T_TTAFStock'!CE29</f>
        <v/>
      </c>
      <c r="CH288">
        <f>'T_TTAFStock'!CF29</f>
        <v/>
      </c>
      <c r="CI288">
        <f>'T_TTAFStock'!CG29</f>
        <v/>
      </c>
      <c r="CJ288">
        <f>'T_TTAFStock'!CH29</f>
        <v/>
      </c>
      <c r="CK288">
        <f>'T_TTAFStock'!CI29</f>
        <v/>
      </c>
      <c r="CL288">
        <f>'T_TTAFStock'!CJ29</f>
        <v/>
      </c>
      <c r="CM288">
        <f>'T_TTAFStock'!CK29</f>
        <v/>
      </c>
      <c r="CN288">
        <f>'T_TTAFStock'!CL29</f>
        <v/>
      </c>
      <c r="CO288">
        <f>'T_TTAFStock'!CM29</f>
        <v/>
      </c>
      <c r="CP288">
        <f>'T_TTAFStock'!CN29</f>
        <v/>
      </c>
      <c r="CQ288">
        <f>'T_TTAFStock'!CO29</f>
        <v/>
      </c>
      <c r="CR288">
        <f>'T_TTAFStock'!CP29</f>
        <v/>
      </c>
      <c r="CS288">
        <f>'T_TTAFStock'!CQ29</f>
        <v/>
      </c>
      <c r="CT288">
        <f>'T_TTAFStock'!CR29</f>
        <v/>
      </c>
      <c r="CU288">
        <f>'T_TTAFStock'!CS29</f>
        <v/>
      </c>
      <c r="CV288">
        <f>'T_TTAFStock'!CT29</f>
        <v/>
      </c>
      <c r="CW288">
        <f>'T_TTAFStock'!CU29</f>
        <v/>
      </c>
      <c r="CX288">
        <f>'T_TTAFStock'!CV29</f>
        <v/>
      </c>
      <c r="CY288">
        <f>'T_TTAFStock'!CW29</f>
        <v/>
      </c>
      <c r="CZ288">
        <f>'T_TTAFStock'!CX29</f>
        <v/>
      </c>
      <c r="DA288">
        <f>'T_TTAFStock'!CY29</f>
        <v/>
      </c>
      <c r="DB288">
        <f>'T_TTAFStock'!CZ29</f>
        <v/>
      </c>
      <c r="DC288">
        <f>'T_TTAFStock'!DA29</f>
        <v/>
      </c>
    </row>
    <row r="289">
      <c r="B289" t="inlineStr">
        <is>
          <t>自社在庫(実績,kg)</t>
        </is>
      </c>
      <c r="D289">
        <f>'T_SelfStock'!B29</f>
        <v/>
      </c>
      <c r="E289">
        <f>'T_SelfStock'!C29</f>
        <v/>
      </c>
      <c r="F289">
        <f>'T_SelfStock'!D29</f>
        <v/>
      </c>
      <c r="G289">
        <f>'T_SelfStock'!E29</f>
        <v/>
      </c>
      <c r="H289">
        <f>'T_SelfStock'!F29</f>
        <v/>
      </c>
      <c r="I289">
        <f>'T_SelfStock'!G29</f>
        <v/>
      </c>
      <c r="J289">
        <f>'T_SelfStock'!H29</f>
        <v/>
      </c>
      <c r="K289">
        <f>'T_SelfStock'!I29</f>
        <v/>
      </c>
      <c r="L289">
        <f>'T_SelfStock'!J29</f>
        <v/>
      </c>
      <c r="M289">
        <f>'T_SelfStock'!K29</f>
        <v/>
      </c>
      <c r="N289">
        <f>'T_SelfStock'!L29</f>
        <v/>
      </c>
      <c r="O289">
        <f>'T_SelfStock'!M29</f>
        <v/>
      </c>
      <c r="P289">
        <f>'T_SelfStock'!N29</f>
        <v/>
      </c>
      <c r="Q289">
        <f>'T_SelfStock'!O29</f>
        <v/>
      </c>
      <c r="R289">
        <f>'T_SelfStock'!P29</f>
        <v/>
      </c>
      <c r="S289">
        <f>'T_SelfStock'!Q29</f>
        <v/>
      </c>
      <c r="T289">
        <f>'T_SelfStock'!R29</f>
        <v/>
      </c>
      <c r="U289">
        <f>'T_SelfStock'!S29</f>
        <v/>
      </c>
      <c r="V289">
        <f>'T_SelfStock'!T29</f>
        <v/>
      </c>
      <c r="W289">
        <f>'T_SelfStock'!U29</f>
        <v/>
      </c>
      <c r="X289">
        <f>'T_SelfStock'!V29</f>
        <v/>
      </c>
      <c r="Y289">
        <f>'T_SelfStock'!W29</f>
        <v/>
      </c>
      <c r="Z289">
        <f>'T_SelfStock'!X29</f>
        <v/>
      </c>
      <c r="AA289">
        <f>'T_SelfStock'!Y29</f>
        <v/>
      </c>
      <c r="AB289">
        <f>'T_SelfStock'!Z29</f>
        <v/>
      </c>
      <c r="AC289">
        <f>'T_SelfStock'!AA29</f>
        <v/>
      </c>
      <c r="AD289">
        <f>'T_SelfStock'!AB29</f>
        <v/>
      </c>
      <c r="AE289">
        <f>'T_SelfStock'!AC29</f>
        <v/>
      </c>
      <c r="AF289">
        <f>'T_SelfStock'!AD29</f>
        <v/>
      </c>
      <c r="AG289">
        <f>'T_SelfStock'!AE29</f>
        <v/>
      </c>
      <c r="AH289">
        <f>'T_SelfStock'!AF29</f>
        <v/>
      </c>
      <c r="AI289">
        <f>'T_SelfStock'!AG29</f>
        <v/>
      </c>
      <c r="AJ289">
        <f>'T_SelfStock'!AH29</f>
        <v/>
      </c>
      <c r="AK289">
        <f>'T_SelfStock'!AI29</f>
        <v/>
      </c>
      <c r="AL289">
        <f>'T_SelfStock'!AJ29</f>
        <v/>
      </c>
      <c r="AM289">
        <f>'T_SelfStock'!AK29</f>
        <v/>
      </c>
      <c r="AN289">
        <f>'T_SelfStock'!AL29</f>
        <v/>
      </c>
      <c r="AO289">
        <f>'T_SelfStock'!AM29</f>
        <v/>
      </c>
      <c r="AP289">
        <f>'T_SelfStock'!AN29</f>
        <v/>
      </c>
      <c r="AQ289">
        <f>'T_SelfStock'!AO29</f>
        <v/>
      </c>
      <c r="AR289">
        <f>'T_SelfStock'!AP29</f>
        <v/>
      </c>
      <c r="AS289">
        <f>'T_SelfStock'!AQ29</f>
        <v/>
      </c>
      <c r="AT289">
        <f>'T_SelfStock'!AR29</f>
        <v/>
      </c>
      <c r="AU289">
        <f>'T_SelfStock'!AS29</f>
        <v/>
      </c>
      <c r="AV289">
        <f>'T_SelfStock'!AT29</f>
        <v/>
      </c>
      <c r="AW289">
        <f>'T_SelfStock'!AU29</f>
        <v/>
      </c>
      <c r="AX289">
        <f>'T_SelfStock'!AV29</f>
        <v/>
      </c>
      <c r="AY289">
        <f>'T_SelfStock'!AW29</f>
        <v/>
      </c>
      <c r="AZ289">
        <f>'T_SelfStock'!AX29</f>
        <v/>
      </c>
      <c r="BA289">
        <f>'T_SelfStock'!AY29</f>
        <v/>
      </c>
      <c r="BB289">
        <f>'T_SelfStock'!AZ29</f>
        <v/>
      </c>
      <c r="BC289">
        <f>'T_SelfStock'!BA29</f>
        <v/>
      </c>
      <c r="BD289">
        <f>'T_SelfStock'!BB29</f>
        <v/>
      </c>
      <c r="BE289">
        <f>'T_SelfStock'!BC29</f>
        <v/>
      </c>
      <c r="BF289">
        <f>'T_SelfStock'!BD29</f>
        <v/>
      </c>
      <c r="BG289">
        <f>'T_SelfStock'!BE29</f>
        <v/>
      </c>
      <c r="BH289">
        <f>'T_SelfStock'!BF29</f>
        <v/>
      </c>
      <c r="BI289">
        <f>'T_SelfStock'!BG29</f>
        <v/>
      </c>
      <c r="BJ289">
        <f>'T_SelfStock'!BH29</f>
        <v/>
      </c>
      <c r="BK289">
        <f>'T_SelfStock'!BI29</f>
        <v/>
      </c>
      <c r="BL289">
        <f>'T_SelfStock'!BJ29</f>
        <v/>
      </c>
      <c r="BM289">
        <f>'T_SelfStock'!BK29</f>
        <v/>
      </c>
      <c r="BN289">
        <f>'T_SelfStock'!BL29</f>
        <v/>
      </c>
      <c r="BO289">
        <f>'T_SelfStock'!BM29</f>
        <v/>
      </c>
      <c r="BP289">
        <f>'T_SelfStock'!BN29</f>
        <v/>
      </c>
      <c r="BQ289">
        <f>'T_SelfStock'!BO29</f>
        <v/>
      </c>
      <c r="BR289">
        <f>'T_SelfStock'!BP29</f>
        <v/>
      </c>
      <c r="BS289">
        <f>'T_SelfStock'!BQ29</f>
        <v/>
      </c>
      <c r="BT289">
        <f>'T_SelfStock'!BR29</f>
        <v/>
      </c>
      <c r="BU289">
        <f>'T_SelfStock'!BS29</f>
        <v/>
      </c>
      <c r="BV289">
        <f>'T_SelfStock'!BT29</f>
        <v/>
      </c>
      <c r="BW289">
        <f>'T_SelfStock'!BU29</f>
        <v/>
      </c>
      <c r="BX289">
        <f>'T_SelfStock'!BV29</f>
        <v/>
      </c>
      <c r="BY289">
        <f>'T_SelfStock'!BW29</f>
        <v/>
      </c>
      <c r="BZ289">
        <f>'T_SelfStock'!BX29</f>
        <v/>
      </c>
      <c r="CA289">
        <f>'T_SelfStock'!BY29</f>
        <v/>
      </c>
      <c r="CB289">
        <f>'T_SelfStock'!BZ29</f>
        <v/>
      </c>
      <c r="CC289">
        <f>'T_SelfStock'!CA29</f>
        <v/>
      </c>
      <c r="CD289">
        <f>'T_SelfStock'!CB29</f>
        <v/>
      </c>
      <c r="CE289">
        <f>'T_SelfStock'!CC29</f>
        <v/>
      </c>
      <c r="CF289">
        <f>'T_SelfStock'!CD29</f>
        <v/>
      </c>
      <c r="CG289">
        <f>'T_SelfStock'!CE29</f>
        <v/>
      </c>
      <c r="CH289">
        <f>'T_SelfStock'!CF29</f>
        <v/>
      </c>
      <c r="CI289">
        <f>'T_SelfStock'!CG29</f>
        <v/>
      </c>
      <c r="CJ289">
        <f>'T_SelfStock'!CH29</f>
        <v/>
      </c>
      <c r="CK289">
        <f>'T_SelfStock'!CI29</f>
        <v/>
      </c>
      <c r="CL289">
        <f>'T_SelfStock'!CJ29</f>
        <v/>
      </c>
      <c r="CM289">
        <f>'T_SelfStock'!CK29</f>
        <v/>
      </c>
      <c r="CN289">
        <f>'T_SelfStock'!CL29</f>
        <v/>
      </c>
      <c r="CO289">
        <f>'T_SelfStock'!CM29</f>
        <v/>
      </c>
      <c r="CP289">
        <f>'T_SelfStock'!CN29</f>
        <v/>
      </c>
      <c r="CQ289">
        <f>'T_SelfStock'!CO29</f>
        <v/>
      </c>
      <c r="CR289">
        <f>'T_SelfStock'!CP29</f>
        <v/>
      </c>
      <c r="CS289">
        <f>'T_SelfStock'!CQ29</f>
        <v/>
      </c>
      <c r="CT289">
        <f>'T_SelfStock'!CR29</f>
        <v/>
      </c>
      <c r="CU289">
        <f>'T_SelfStock'!CS29</f>
        <v/>
      </c>
      <c r="CV289">
        <f>'T_SelfStock'!CT29</f>
        <v/>
      </c>
      <c r="CW289">
        <f>'T_SelfStock'!CU29</f>
        <v/>
      </c>
      <c r="CX289">
        <f>'T_SelfStock'!CV29</f>
        <v/>
      </c>
      <c r="CY289">
        <f>'T_SelfStock'!CW29</f>
        <v/>
      </c>
      <c r="CZ289">
        <f>'T_SelfStock'!CX29</f>
        <v/>
      </c>
      <c r="DA289">
        <f>'T_SelfStock'!CY29</f>
        <v/>
      </c>
      <c r="DB289">
        <f>'T_SelfStock'!CZ29</f>
        <v/>
      </c>
      <c r="DC289">
        <f>'T_SelfStock'!DA29</f>
        <v/>
      </c>
    </row>
    <row r="290">
      <c r="B290" t="inlineStr">
        <is>
          <t>Order(発注予定,kg)</t>
        </is>
      </c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  <c r="AA290" s="23" t="n"/>
      <c r="AB290" s="23" t="n"/>
      <c r="AC290" s="23" t="n"/>
      <c r="AD290" s="23" t="n"/>
      <c r="AE290" s="23" t="n"/>
      <c r="AF290" s="23" t="n"/>
      <c r="AG290" s="23" t="n"/>
      <c r="AH290" s="23" t="n"/>
      <c r="AI290" s="23" t="n"/>
      <c r="AJ290" s="23" t="n"/>
      <c r="AK290" s="23" t="n"/>
      <c r="AL290" s="23" t="n"/>
      <c r="AM290" s="23" t="n"/>
      <c r="AN290" s="23" t="n"/>
      <c r="AO290" s="23" t="n"/>
      <c r="AP290" s="23" t="n"/>
      <c r="AQ290" s="23" t="n"/>
      <c r="AR290" s="23" t="n"/>
      <c r="AS290" s="23" t="n"/>
      <c r="AT290" s="23" t="n"/>
      <c r="AU290" s="23" t="n"/>
      <c r="AV290" s="23" t="n"/>
      <c r="AW290" s="23" t="n"/>
      <c r="AX290" s="23" t="n"/>
      <c r="AY290" s="23" t="n"/>
      <c r="AZ290" s="23" t="n"/>
      <c r="BA290" s="23" t="n"/>
      <c r="BB290" s="23" t="n"/>
      <c r="BC290" s="23" t="n"/>
      <c r="BD290" s="23" t="n"/>
      <c r="BE290" s="23" t="n"/>
      <c r="BF290" s="23" t="n"/>
      <c r="BG290" s="23" t="n"/>
      <c r="BH290" s="23" t="n"/>
      <c r="BI290" s="23" t="n"/>
      <c r="BJ290" s="23" t="n"/>
      <c r="BK290" s="23" t="n"/>
      <c r="BL290" s="23" t="n"/>
      <c r="BM290" s="23" t="n"/>
      <c r="BN290" s="23" t="n"/>
      <c r="BO290" s="23" t="n"/>
      <c r="BP290" s="23" t="n"/>
      <c r="BQ290" s="23" t="n"/>
      <c r="BR290" s="23" t="n"/>
      <c r="BS290" s="23" t="n"/>
      <c r="BT290" s="23" t="n"/>
      <c r="BU290" s="23" t="n"/>
      <c r="BV290" s="23" t="n"/>
      <c r="BW290" s="23" t="n"/>
      <c r="BX290" s="23" t="n"/>
      <c r="BY290" s="23" t="n"/>
      <c r="BZ290" s="23" t="n"/>
      <c r="CA290" s="23" t="n"/>
      <c r="CB290" s="23" t="n"/>
      <c r="CC290" s="23" t="n"/>
      <c r="CD290" s="23" t="n"/>
      <c r="CE290" s="23" t="n"/>
      <c r="CF290" s="23" t="n"/>
      <c r="CG290" s="23" t="n"/>
      <c r="CH290" s="23" t="n"/>
      <c r="CI290" s="23" t="n"/>
      <c r="CJ290" s="23" t="n"/>
      <c r="CK290" s="23" t="n"/>
      <c r="CL290" s="23" t="n"/>
      <c r="CM290" s="23" t="n"/>
      <c r="CN290" s="23" t="n"/>
      <c r="CO290" s="23" t="n"/>
      <c r="CP290" s="23" t="n"/>
      <c r="CQ290" s="23" t="n"/>
      <c r="CR290" s="23" t="n"/>
      <c r="CS290" s="23" t="n"/>
      <c r="CT290" s="23" t="n"/>
      <c r="CU290" s="23" t="n"/>
      <c r="CV290" s="23" t="n"/>
      <c r="CW290" s="23" t="n"/>
      <c r="CX290" s="23" t="n"/>
      <c r="CY290" s="23" t="n"/>
      <c r="CZ290" s="23" t="n"/>
      <c r="DA290" s="23" t="n"/>
      <c r="DB290" s="23" t="n"/>
      <c r="DC290" s="23" t="n"/>
      <c r="DE290" s="12" t="inlineStr">
        <is>
          <t>CHEM-1510</t>
        </is>
      </c>
    </row>
    <row r="291">
      <c r="B291" s="24" t="inlineStr">
        <is>
          <t>PO_No</t>
        </is>
      </c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5" t="n"/>
      <c r="AI291" s="25" t="n"/>
      <c r="AJ291" s="25" t="n"/>
      <c r="AK291" s="25" t="n"/>
      <c r="AL291" s="25" t="n"/>
      <c r="AM291" s="25" t="n"/>
      <c r="AN291" s="25" t="n"/>
      <c r="AO291" s="25" t="n"/>
      <c r="AP291" s="25" t="n"/>
      <c r="AQ291" s="25" t="n"/>
      <c r="AR291" s="25" t="n"/>
      <c r="AS291" s="25" t="n"/>
      <c r="AT291" s="25" t="n"/>
      <c r="AU291" s="25" t="n"/>
      <c r="AV291" s="25" t="n"/>
      <c r="AW291" s="25" t="n"/>
      <c r="AX291" s="25" t="n"/>
      <c r="AY291" s="25" t="n"/>
      <c r="AZ291" s="25" t="n"/>
      <c r="BA291" s="25" t="n"/>
      <c r="BB291" s="25" t="n"/>
      <c r="BC291" s="25" t="n"/>
      <c r="BD291" s="25" t="n"/>
      <c r="BE291" s="25" t="n"/>
      <c r="BF291" s="25" t="n"/>
      <c r="BG291" s="25" t="n"/>
      <c r="BH291" s="25" t="n"/>
      <c r="BI291" s="25" t="n"/>
      <c r="BJ291" s="25" t="n"/>
      <c r="BK291" s="25" t="n"/>
      <c r="BL291" s="25" t="n"/>
      <c r="BM291" s="25" t="n"/>
      <c r="BN291" s="25" t="n"/>
      <c r="BO291" s="25" t="n"/>
      <c r="BP291" s="25" t="n"/>
      <c r="BQ291" s="25" t="n"/>
      <c r="BR291" s="25" t="n"/>
      <c r="BS291" s="25" t="n"/>
      <c r="BT291" s="25" t="n"/>
      <c r="BU291" s="25" t="n"/>
      <c r="BV291" s="25" t="n"/>
      <c r="BW291" s="25" t="n"/>
      <c r="BX291" s="25" t="n"/>
      <c r="BY291" s="25" t="n"/>
      <c r="BZ291" s="25" t="n"/>
      <c r="CA291" s="25" t="n"/>
      <c r="CB291" s="25" t="n"/>
      <c r="CC291" s="25" t="n"/>
      <c r="CD291" s="25" t="n"/>
      <c r="CE291" s="25" t="n"/>
      <c r="CF291" s="25" t="n"/>
      <c r="CG291" s="25" t="n"/>
      <c r="CH291" s="25" t="n"/>
      <c r="CI291" s="25" t="n"/>
      <c r="CJ291" s="25" t="n"/>
      <c r="CK291" s="25" t="n"/>
      <c r="CL291" s="25" t="n"/>
      <c r="CM291" s="25" t="n"/>
      <c r="CN291" s="25" t="n"/>
      <c r="CO291" s="25" t="n"/>
      <c r="CP291" s="25" t="n"/>
      <c r="CQ291" s="25" t="n"/>
      <c r="CR291" s="25" t="n"/>
      <c r="CS291" s="25" t="n"/>
      <c r="CT291" s="25" t="n"/>
      <c r="CU291" s="25" t="n"/>
      <c r="CV291" s="25" t="n"/>
      <c r="CW291" s="25" t="n"/>
      <c r="CX291" s="25" t="n"/>
      <c r="CY291" s="25" t="n"/>
      <c r="CZ291" s="25" t="n"/>
      <c r="DA291" s="25" t="n"/>
      <c r="DB291" s="25" t="n"/>
      <c r="DC291" s="25" t="n"/>
    </row>
    <row r="292">
      <c r="B292" s="5" t="inlineStr">
        <is>
          <t>合計在庫(週末時点,kg)</t>
        </is>
      </c>
      <c r="D292">
        <f>'Grid_Stock'!B25</f>
        <v/>
      </c>
      <c r="E292">
        <f>'Grid_Stock'!C25</f>
        <v/>
      </c>
      <c r="F292">
        <f>'Grid_Stock'!D25</f>
        <v/>
      </c>
      <c r="G292">
        <f>'Grid_Stock'!E25</f>
        <v/>
      </c>
      <c r="H292">
        <f>'Grid_Stock'!F25</f>
        <v/>
      </c>
      <c r="I292">
        <f>'Grid_Stock'!G25</f>
        <v/>
      </c>
      <c r="J292">
        <f>'Grid_Stock'!H25</f>
        <v/>
      </c>
      <c r="K292">
        <f>'Grid_Stock'!I25</f>
        <v/>
      </c>
      <c r="L292">
        <f>'Grid_Stock'!J25</f>
        <v/>
      </c>
      <c r="M292">
        <f>'Grid_Stock'!K25</f>
        <v/>
      </c>
      <c r="N292">
        <f>'Grid_Stock'!L25</f>
        <v/>
      </c>
      <c r="O292">
        <f>'Grid_Stock'!M25</f>
        <v/>
      </c>
      <c r="P292">
        <f>'Grid_Stock'!N25</f>
        <v/>
      </c>
      <c r="Q292">
        <f>'Grid_Stock'!O25</f>
        <v/>
      </c>
      <c r="R292">
        <f>'Grid_Stock'!P25</f>
        <v/>
      </c>
      <c r="S292">
        <f>'Grid_Stock'!Q25</f>
        <v/>
      </c>
      <c r="T292">
        <f>'Grid_Stock'!R25</f>
        <v/>
      </c>
      <c r="U292">
        <f>'Grid_Stock'!S25</f>
        <v/>
      </c>
      <c r="V292">
        <f>'Grid_Stock'!T25</f>
        <v/>
      </c>
      <c r="W292">
        <f>'Grid_Stock'!U25</f>
        <v/>
      </c>
      <c r="X292">
        <f>'Grid_Stock'!V25</f>
        <v/>
      </c>
      <c r="Y292">
        <f>'Grid_Stock'!W25</f>
        <v/>
      </c>
      <c r="Z292">
        <f>'Grid_Stock'!X25</f>
        <v/>
      </c>
      <c r="AA292">
        <f>'Grid_Stock'!Y25</f>
        <v/>
      </c>
      <c r="AB292">
        <f>'Grid_Stock'!Z25</f>
        <v/>
      </c>
      <c r="AC292">
        <f>'Grid_Stock'!AA25</f>
        <v/>
      </c>
      <c r="AD292">
        <f>'Grid_Stock'!AB25</f>
        <v/>
      </c>
      <c r="AE292">
        <f>'Grid_Stock'!AC25</f>
        <v/>
      </c>
      <c r="AF292">
        <f>'Grid_Stock'!AD25</f>
        <v/>
      </c>
      <c r="AG292">
        <f>'Grid_Stock'!AE25</f>
        <v/>
      </c>
      <c r="AH292">
        <f>'Grid_Stock'!AF25</f>
        <v/>
      </c>
      <c r="AI292">
        <f>'Grid_Stock'!AG25</f>
        <v/>
      </c>
      <c r="AJ292">
        <f>'Grid_Stock'!AH25</f>
        <v/>
      </c>
      <c r="AK292">
        <f>'Grid_Stock'!AI25</f>
        <v/>
      </c>
      <c r="AL292">
        <f>'Grid_Stock'!AJ25</f>
        <v/>
      </c>
      <c r="AM292">
        <f>'Grid_Stock'!AK25</f>
        <v/>
      </c>
      <c r="AN292">
        <f>'Grid_Stock'!AL25</f>
        <v/>
      </c>
      <c r="AO292">
        <f>'Grid_Stock'!AM25</f>
        <v/>
      </c>
      <c r="AP292">
        <f>'Grid_Stock'!AN25</f>
        <v/>
      </c>
      <c r="AQ292">
        <f>'Grid_Stock'!AO25</f>
        <v/>
      </c>
      <c r="AR292">
        <f>'Grid_Stock'!AP25</f>
        <v/>
      </c>
      <c r="AS292">
        <f>'Grid_Stock'!AQ25</f>
        <v/>
      </c>
      <c r="AT292">
        <f>'Grid_Stock'!AR25</f>
        <v/>
      </c>
      <c r="AU292">
        <f>'Grid_Stock'!AS25</f>
        <v/>
      </c>
      <c r="AV292">
        <f>'Grid_Stock'!AT25</f>
        <v/>
      </c>
      <c r="AW292">
        <f>'Grid_Stock'!AU25</f>
        <v/>
      </c>
      <c r="AX292">
        <f>'Grid_Stock'!AV25</f>
        <v/>
      </c>
      <c r="AY292">
        <f>'Grid_Stock'!AW25</f>
        <v/>
      </c>
      <c r="AZ292">
        <f>'Grid_Stock'!AX25</f>
        <v/>
      </c>
      <c r="BA292">
        <f>'Grid_Stock'!AY25</f>
        <v/>
      </c>
      <c r="BB292">
        <f>'Grid_Stock'!AZ25</f>
        <v/>
      </c>
      <c r="BC292">
        <f>'Grid_Stock'!BA25</f>
        <v/>
      </c>
      <c r="BD292">
        <f>'Grid_Stock'!BB25</f>
        <v/>
      </c>
      <c r="BE292">
        <f>'Grid_Stock'!BC25</f>
        <v/>
      </c>
      <c r="BF292">
        <f>'Grid_Stock'!BD25</f>
        <v/>
      </c>
      <c r="BG292">
        <f>'Grid_Stock'!BE25</f>
        <v/>
      </c>
      <c r="BH292">
        <f>'Grid_Stock'!BF25</f>
        <v/>
      </c>
      <c r="BI292">
        <f>'Grid_Stock'!BG25</f>
        <v/>
      </c>
      <c r="BJ292">
        <f>'Grid_Stock'!BH25</f>
        <v/>
      </c>
      <c r="BK292">
        <f>'Grid_Stock'!BI25</f>
        <v/>
      </c>
      <c r="BL292">
        <f>'Grid_Stock'!BJ25</f>
        <v/>
      </c>
      <c r="BM292">
        <f>'Grid_Stock'!BK25</f>
        <v/>
      </c>
      <c r="BN292">
        <f>'Grid_Stock'!BL25</f>
        <v/>
      </c>
      <c r="BO292">
        <f>'Grid_Stock'!BM25</f>
        <v/>
      </c>
      <c r="BP292">
        <f>'Grid_Stock'!BN25</f>
        <v/>
      </c>
      <c r="BQ292">
        <f>'Grid_Stock'!BO25</f>
        <v/>
      </c>
      <c r="BR292">
        <f>'Grid_Stock'!BP25</f>
        <v/>
      </c>
      <c r="BS292">
        <f>'Grid_Stock'!BQ25</f>
        <v/>
      </c>
      <c r="BT292">
        <f>'Grid_Stock'!BR25</f>
        <v/>
      </c>
      <c r="BU292">
        <f>'Grid_Stock'!BS25</f>
        <v/>
      </c>
      <c r="BV292">
        <f>'Grid_Stock'!BT25</f>
        <v/>
      </c>
      <c r="BW292">
        <f>'Grid_Stock'!BU25</f>
        <v/>
      </c>
      <c r="BX292">
        <f>'Grid_Stock'!BV25</f>
        <v/>
      </c>
      <c r="BY292">
        <f>'Grid_Stock'!BW25</f>
        <v/>
      </c>
      <c r="BZ292">
        <f>'Grid_Stock'!BX25</f>
        <v/>
      </c>
      <c r="CA292">
        <f>'Grid_Stock'!BY25</f>
        <v/>
      </c>
      <c r="CB292">
        <f>'Grid_Stock'!BZ25</f>
        <v/>
      </c>
      <c r="CC292">
        <f>'Grid_Stock'!CA25</f>
        <v/>
      </c>
      <c r="CD292">
        <f>'Grid_Stock'!CB25</f>
        <v/>
      </c>
      <c r="CE292">
        <f>'Grid_Stock'!CC25</f>
        <v/>
      </c>
      <c r="CF292">
        <f>'Grid_Stock'!CD25</f>
        <v/>
      </c>
      <c r="CG292">
        <f>'Grid_Stock'!CE25</f>
        <v/>
      </c>
      <c r="CH292">
        <f>'Grid_Stock'!CF25</f>
        <v/>
      </c>
      <c r="CI292">
        <f>'Grid_Stock'!CG25</f>
        <v/>
      </c>
      <c r="CJ292">
        <f>'Grid_Stock'!CH25</f>
        <v/>
      </c>
      <c r="CK292">
        <f>'Grid_Stock'!CI25</f>
        <v/>
      </c>
      <c r="CL292">
        <f>'Grid_Stock'!CJ25</f>
        <v/>
      </c>
      <c r="CM292">
        <f>'Grid_Stock'!CK25</f>
        <v/>
      </c>
      <c r="CN292">
        <f>'Grid_Stock'!CL25</f>
        <v/>
      </c>
      <c r="CO292">
        <f>'Grid_Stock'!CM25</f>
        <v/>
      </c>
      <c r="CP292">
        <f>'Grid_Stock'!CN25</f>
        <v/>
      </c>
      <c r="CQ292">
        <f>'Grid_Stock'!CO25</f>
        <v/>
      </c>
      <c r="CR292">
        <f>'Grid_Stock'!CP25</f>
        <v/>
      </c>
      <c r="CS292">
        <f>'Grid_Stock'!CQ25</f>
        <v/>
      </c>
      <c r="CT292">
        <f>'Grid_Stock'!CR25</f>
        <v/>
      </c>
      <c r="CU292">
        <f>'Grid_Stock'!CS25</f>
        <v/>
      </c>
      <c r="CV292">
        <f>'Grid_Stock'!CT25</f>
        <v/>
      </c>
      <c r="CW292">
        <f>'Grid_Stock'!CU25</f>
        <v/>
      </c>
      <c r="CX292">
        <f>'Grid_Stock'!CV25</f>
        <v/>
      </c>
      <c r="CY292">
        <f>'Grid_Stock'!CW25</f>
        <v/>
      </c>
      <c r="CZ292">
        <f>'Grid_Stock'!CX25</f>
        <v/>
      </c>
      <c r="DA292">
        <f>'Grid_Stock'!CY25</f>
        <v/>
      </c>
      <c r="DB292">
        <f>'Grid_Stock'!CZ25</f>
        <v/>
      </c>
      <c r="DC292">
        <f>'Grid_Stock'!DA25</f>
        <v/>
      </c>
    </row>
    <row r="293">
      <c r="B293" s="26" t="inlineStr">
        <is>
          <t>（発注の目安はDashboardの基準在庫[下限/上限]と色分けを参照）</t>
        </is>
      </c>
    </row>
    <row r="295">
      <c r="A295" s="21" t="inlineStr">
        <is>
          <t>CHEM-1580</t>
        </is>
      </c>
      <c r="B295" s="21" t="inlineStr">
        <is>
          <t>Barium Acetate</t>
        </is>
      </c>
      <c r="C295" s="22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  <c r="AA295" s="21" t="n"/>
      <c r="AB295" s="21" t="n"/>
      <c r="AC295" s="21" t="n"/>
      <c r="AD295" s="21" t="n"/>
      <c r="AE295" s="21" t="n"/>
      <c r="AF295" s="21" t="n"/>
      <c r="AG295" s="21" t="n"/>
      <c r="AH295" s="21" t="n"/>
      <c r="AI295" s="21" t="n"/>
      <c r="AJ295" s="21" t="n"/>
      <c r="AK295" s="21" t="n"/>
      <c r="AL295" s="21" t="n"/>
      <c r="AM295" s="21" t="n"/>
      <c r="AN295" s="21" t="n"/>
      <c r="AO295" s="21" t="n"/>
      <c r="AP295" s="21" t="n"/>
      <c r="AQ295" s="21" t="n"/>
      <c r="AR295" s="21" t="n"/>
      <c r="AS295" s="21" t="n"/>
      <c r="AT295" s="21" t="n"/>
      <c r="AU295" s="21" t="n"/>
      <c r="AV295" s="21" t="n"/>
      <c r="AW295" s="21" t="n"/>
      <c r="AX295" s="21" t="n"/>
      <c r="AY295" s="21" t="n"/>
      <c r="AZ295" s="21" t="n"/>
      <c r="BA295" s="21" t="n"/>
      <c r="BB295" s="21" t="n"/>
      <c r="BC295" s="21" t="n"/>
      <c r="BD295" s="21" t="n"/>
      <c r="BE295" s="21" t="n"/>
      <c r="BF295" s="21" t="n"/>
      <c r="BG295" s="21" t="n"/>
      <c r="BH295" s="21" t="n"/>
      <c r="BI295" s="21" t="n"/>
      <c r="BJ295" s="21" t="n"/>
      <c r="BK295" s="21" t="n"/>
      <c r="BL295" s="21" t="n"/>
      <c r="BM295" s="21" t="n"/>
      <c r="BN295" s="21" t="n"/>
      <c r="BO295" s="21" t="n"/>
      <c r="BP295" s="21" t="n"/>
      <c r="BQ295" s="21" t="n"/>
      <c r="BR295" s="21" t="n"/>
      <c r="BS295" s="21" t="n"/>
      <c r="BT295" s="21" t="n"/>
      <c r="BU295" s="21" t="n"/>
      <c r="BV295" s="21" t="n"/>
      <c r="BW295" s="21" t="n"/>
      <c r="BX295" s="21" t="n"/>
      <c r="BY295" s="21" t="n"/>
      <c r="BZ295" s="21" t="n"/>
      <c r="CA295" s="21" t="n"/>
      <c r="CB295" s="21" t="n"/>
      <c r="CC295" s="21" t="n"/>
      <c r="CD295" s="21" t="n"/>
      <c r="CE295" s="21" t="n"/>
      <c r="CF295" s="21" t="n"/>
      <c r="CG295" s="21" t="n"/>
      <c r="CH295" s="21" t="n"/>
      <c r="CI295" s="21" t="n"/>
      <c r="CJ295" s="21" t="n"/>
      <c r="CK295" s="21" t="n"/>
      <c r="CL295" s="21" t="n"/>
      <c r="CM295" s="21" t="n"/>
      <c r="CN295" s="21" t="n"/>
      <c r="CO295" s="21" t="n"/>
      <c r="CP295" s="21" t="n"/>
      <c r="CQ295" s="21" t="n"/>
      <c r="CR295" s="21" t="n"/>
      <c r="CS295" s="21" t="n"/>
      <c r="CT295" s="21" t="n"/>
      <c r="CU295" s="21" t="n"/>
      <c r="CV295" s="21" t="n"/>
      <c r="CW295" s="21" t="n"/>
      <c r="CX295" s="21" t="n"/>
      <c r="CY295" s="21" t="n"/>
      <c r="CZ295" s="21" t="n"/>
      <c r="DA295" s="21" t="n"/>
      <c r="DB295" s="21" t="n"/>
      <c r="DC295" s="21" t="n"/>
    </row>
    <row r="296">
      <c r="B296" t="inlineStr">
        <is>
          <t>TSP-360</t>
        </is>
      </c>
      <c r="C296" t="inlineStr">
        <is>
          <t>No. of batches</t>
        </is>
      </c>
      <c r="D296">
        <f>IFERROR(INDEX(PP_Grid[#Data],$DD296,2),0)</f>
        <v/>
      </c>
      <c r="E296">
        <f>IFERROR(INDEX(PP_Grid[#Data],$DD296,3),0)</f>
        <v/>
      </c>
      <c r="F296">
        <f>IFERROR(INDEX(PP_Grid[#Data],$DD296,4),0)</f>
        <v/>
      </c>
      <c r="G296">
        <f>IFERROR(INDEX(PP_Grid[#Data],$DD296,5),0)</f>
        <v/>
      </c>
      <c r="H296">
        <f>IFERROR(INDEX(PP_Grid[#Data],$DD296,6),0)</f>
        <v/>
      </c>
      <c r="I296">
        <f>IFERROR(INDEX(PP_Grid[#Data],$DD296,7),0)</f>
        <v/>
      </c>
      <c r="J296">
        <f>IFERROR(INDEX(PP_Grid[#Data],$DD296,8),0)</f>
        <v/>
      </c>
      <c r="K296">
        <f>IFERROR(INDEX(PP_Grid[#Data],$DD296,9),0)</f>
        <v/>
      </c>
      <c r="L296">
        <f>IFERROR(INDEX(PP_Grid[#Data],$DD296,10),0)</f>
        <v/>
      </c>
      <c r="M296">
        <f>IFERROR(INDEX(PP_Grid[#Data],$DD296,11),0)</f>
        <v/>
      </c>
      <c r="N296">
        <f>IFERROR(INDEX(PP_Grid[#Data],$DD296,12),0)</f>
        <v/>
      </c>
      <c r="O296">
        <f>IFERROR(INDEX(PP_Grid[#Data],$DD296,13),0)</f>
        <v/>
      </c>
      <c r="P296">
        <f>IFERROR(INDEX(PP_Grid[#Data],$DD296,14),0)</f>
        <v/>
      </c>
      <c r="Q296">
        <f>IFERROR(INDEX(PP_Grid[#Data],$DD296,15),0)</f>
        <v/>
      </c>
      <c r="R296">
        <f>IFERROR(INDEX(PP_Grid[#Data],$DD296,16),0)</f>
        <v/>
      </c>
      <c r="S296">
        <f>IFERROR(INDEX(PP_Grid[#Data],$DD296,17),0)</f>
        <v/>
      </c>
      <c r="T296">
        <f>IFERROR(INDEX(PP_Grid[#Data],$DD296,18),0)</f>
        <v/>
      </c>
      <c r="U296">
        <f>IFERROR(INDEX(PP_Grid[#Data],$DD296,19),0)</f>
        <v/>
      </c>
      <c r="V296">
        <f>IFERROR(INDEX(PP_Grid[#Data],$DD296,20),0)</f>
        <v/>
      </c>
      <c r="W296">
        <f>IFERROR(INDEX(PP_Grid[#Data],$DD296,21),0)</f>
        <v/>
      </c>
      <c r="X296">
        <f>IFERROR(INDEX(PP_Grid[#Data],$DD296,22),0)</f>
        <v/>
      </c>
      <c r="Y296">
        <f>IFERROR(INDEX(PP_Grid[#Data],$DD296,23),0)</f>
        <v/>
      </c>
      <c r="Z296">
        <f>IFERROR(INDEX(PP_Grid[#Data],$DD296,24),0)</f>
        <v/>
      </c>
      <c r="AA296">
        <f>IFERROR(INDEX(PP_Grid[#Data],$DD296,25),0)</f>
        <v/>
      </c>
      <c r="AB296">
        <f>IFERROR(INDEX(PP_Grid[#Data],$DD296,26),0)</f>
        <v/>
      </c>
      <c r="AC296">
        <f>IFERROR(INDEX(PP_Grid[#Data],$DD296,27),0)</f>
        <v/>
      </c>
      <c r="AD296">
        <f>IFERROR(INDEX(PP_Grid[#Data],$DD296,28),0)</f>
        <v/>
      </c>
      <c r="AE296">
        <f>IFERROR(INDEX(PP_Grid[#Data],$DD296,29),0)</f>
        <v/>
      </c>
      <c r="AF296">
        <f>IFERROR(INDEX(PP_Grid[#Data],$DD296,30),0)</f>
        <v/>
      </c>
      <c r="AG296">
        <f>IFERROR(INDEX(PP_Grid[#Data],$DD296,31),0)</f>
        <v/>
      </c>
      <c r="AH296">
        <f>IFERROR(INDEX(PP_Grid[#Data],$DD296,32),0)</f>
        <v/>
      </c>
      <c r="AI296">
        <f>IFERROR(INDEX(PP_Grid[#Data],$DD296,33),0)</f>
        <v/>
      </c>
      <c r="AJ296">
        <f>IFERROR(INDEX(PP_Grid[#Data],$DD296,34),0)</f>
        <v/>
      </c>
      <c r="AK296">
        <f>IFERROR(INDEX(PP_Grid[#Data],$DD296,35),0)</f>
        <v/>
      </c>
      <c r="AL296">
        <f>IFERROR(INDEX(PP_Grid[#Data],$DD296,36),0)</f>
        <v/>
      </c>
      <c r="AM296">
        <f>IFERROR(INDEX(PP_Grid[#Data],$DD296,37),0)</f>
        <v/>
      </c>
      <c r="AN296">
        <f>IFERROR(INDEX(PP_Grid[#Data],$DD296,38),0)</f>
        <v/>
      </c>
      <c r="AO296">
        <f>IFERROR(INDEX(PP_Grid[#Data],$DD296,39),0)</f>
        <v/>
      </c>
      <c r="AP296">
        <f>IFERROR(INDEX(PP_Grid[#Data],$DD296,40),0)</f>
        <v/>
      </c>
      <c r="AQ296">
        <f>IFERROR(INDEX(PP_Grid[#Data],$DD296,41),0)</f>
        <v/>
      </c>
      <c r="AR296">
        <f>IFERROR(INDEX(PP_Grid[#Data],$DD296,42),0)</f>
        <v/>
      </c>
      <c r="AS296">
        <f>IFERROR(INDEX(PP_Grid[#Data],$DD296,43),0)</f>
        <v/>
      </c>
      <c r="AT296">
        <f>IFERROR(INDEX(PP_Grid[#Data],$DD296,44),0)</f>
        <v/>
      </c>
      <c r="AU296">
        <f>IFERROR(INDEX(PP_Grid[#Data],$DD296,45),0)</f>
        <v/>
      </c>
      <c r="AV296">
        <f>IFERROR(INDEX(PP_Grid[#Data],$DD296,46),0)</f>
        <v/>
      </c>
      <c r="AW296">
        <f>IFERROR(INDEX(PP_Grid[#Data],$DD296,47),0)</f>
        <v/>
      </c>
      <c r="AX296">
        <f>IFERROR(INDEX(PP_Grid[#Data],$DD296,48),0)</f>
        <v/>
      </c>
      <c r="AY296">
        <f>IFERROR(INDEX(PP_Grid[#Data],$DD296,49),0)</f>
        <v/>
      </c>
      <c r="AZ296">
        <f>IFERROR(INDEX(PP_Grid[#Data],$DD296,50),0)</f>
        <v/>
      </c>
      <c r="BA296">
        <f>IFERROR(INDEX(PP_Grid[#Data],$DD296,51),0)</f>
        <v/>
      </c>
      <c r="BB296">
        <f>IFERROR(INDEX(PP_Grid[#Data],$DD296,52),0)</f>
        <v/>
      </c>
      <c r="BC296">
        <f>IFERROR(INDEX(PP_Grid[#Data],$DD296,53),0)</f>
        <v/>
      </c>
      <c r="BD296">
        <f>IFERROR(INDEX(PP_Grid[#Data],$DD296,54),0)</f>
        <v/>
      </c>
      <c r="BE296">
        <f>IFERROR(INDEX(PP_Grid[#Data],$DD296,55),0)</f>
        <v/>
      </c>
      <c r="BF296">
        <f>IFERROR(INDEX(PP_Grid[#Data],$DD296,56),0)</f>
        <v/>
      </c>
      <c r="BG296">
        <f>IFERROR(INDEX(PP_Grid[#Data],$DD296,57),0)</f>
        <v/>
      </c>
      <c r="BH296">
        <f>IFERROR(INDEX(PP_Grid[#Data],$DD296,58),0)</f>
        <v/>
      </c>
      <c r="BI296">
        <f>IFERROR(INDEX(PP_Grid[#Data],$DD296,59),0)</f>
        <v/>
      </c>
      <c r="BJ296">
        <f>IFERROR(INDEX(PP_Grid[#Data],$DD296,60),0)</f>
        <v/>
      </c>
      <c r="BK296">
        <f>IFERROR(INDEX(PP_Grid[#Data],$DD296,61),0)</f>
        <v/>
      </c>
      <c r="BL296">
        <f>IFERROR(INDEX(PP_Grid[#Data],$DD296,62),0)</f>
        <v/>
      </c>
      <c r="BM296">
        <f>IFERROR(INDEX(PP_Grid[#Data],$DD296,63),0)</f>
        <v/>
      </c>
      <c r="BN296">
        <f>IFERROR(INDEX(PP_Grid[#Data],$DD296,64),0)</f>
        <v/>
      </c>
      <c r="BO296">
        <f>IFERROR(INDEX(PP_Grid[#Data],$DD296,65),0)</f>
        <v/>
      </c>
      <c r="BP296">
        <f>IFERROR(INDEX(PP_Grid[#Data],$DD296,66),0)</f>
        <v/>
      </c>
      <c r="BQ296">
        <f>IFERROR(INDEX(PP_Grid[#Data],$DD296,67),0)</f>
        <v/>
      </c>
      <c r="BR296">
        <f>IFERROR(INDEX(PP_Grid[#Data],$DD296,68),0)</f>
        <v/>
      </c>
      <c r="BS296">
        <f>IFERROR(INDEX(PP_Grid[#Data],$DD296,69),0)</f>
        <v/>
      </c>
      <c r="BT296">
        <f>IFERROR(INDEX(PP_Grid[#Data],$DD296,70),0)</f>
        <v/>
      </c>
      <c r="BU296">
        <f>IFERROR(INDEX(PP_Grid[#Data],$DD296,71),0)</f>
        <v/>
      </c>
      <c r="BV296">
        <f>IFERROR(INDEX(PP_Grid[#Data],$DD296,72),0)</f>
        <v/>
      </c>
      <c r="BW296">
        <f>IFERROR(INDEX(PP_Grid[#Data],$DD296,73),0)</f>
        <v/>
      </c>
      <c r="BX296">
        <f>IFERROR(INDEX(PP_Grid[#Data],$DD296,74),0)</f>
        <v/>
      </c>
      <c r="BY296">
        <f>IFERROR(INDEX(PP_Grid[#Data],$DD296,75),0)</f>
        <v/>
      </c>
      <c r="BZ296">
        <f>IFERROR(INDEX(PP_Grid[#Data],$DD296,76),0)</f>
        <v/>
      </c>
      <c r="CA296">
        <f>IFERROR(INDEX(PP_Grid[#Data],$DD296,77),0)</f>
        <v/>
      </c>
      <c r="CB296">
        <f>IFERROR(INDEX(PP_Grid[#Data],$DD296,78),0)</f>
        <v/>
      </c>
      <c r="CC296">
        <f>IFERROR(INDEX(PP_Grid[#Data],$DD296,79),0)</f>
        <v/>
      </c>
      <c r="CD296">
        <f>IFERROR(INDEX(PP_Grid[#Data],$DD296,80),0)</f>
        <v/>
      </c>
      <c r="CE296">
        <f>IFERROR(INDEX(PP_Grid[#Data],$DD296,81),0)</f>
        <v/>
      </c>
      <c r="CF296">
        <f>IFERROR(INDEX(PP_Grid[#Data],$DD296,82),0)</f>
        <v/>
      </c>
      <c r="CG296">
        <f>IFERROR(INDEX(PP_Grid[#Data],$DD296,83),0)</f>
        <v/>
      </c>
      <c r="CH296">
        <f>IFERROR(INDEX(PP_Grid[#Data],$DD296,84),0)</f>
        <v/>
      </c>
      <c r="CI296">
        <f>IFERROR(INDEX(PP_Grid[#Data],$DD296,85),0)</f>
        <v/>
      </c>
      <c r="CJ296">
        <f>IFERROR(INDEX(PP_Grid[#Data],$DD296,86),0)</f>
        <v/>
      </c>
      <c r="CK296">
        <f>IFERROR(INDEX(PP_Grid[#Data],$DD296,87),0)</f>
        <v/>
      </c>
      <c r="CL296">
        <f>IFERROR(INDEX(PP_Grid[#Data],$DD296,88),0)</f>
        <v/>
      </c>
      <c r="CM296">
        <f>IFERROR(INDEX(PP_Grid[#Data],$DD296,89),0)</f>
        <v/>
      </c>
      <c r="CN296">
        <f>IFERROR(INDEX(PP_Grid[#Data],$DD296,90),0)</f>
        <v/>
      </c>
      <c r="CO296">
        <f>IFERROR(INDEX(PP_Grid[#Data],$DD296,91),0)</f>
        <v/>
      </c>
      <c r="CP296">
        <f>IFERROR(INDEX(PP_Grid[#Data],$DD296,92),0)</f>
        <v/>
      </c>
      <c r="CQ296">
        <f>IFERROR(INDEX(PP_Grid[#Data],$DD296,93),0)</f>
        <v/>
      </c>
      <c r="CR296">
        <f>IFERROR(INDEX(PP_Grid[#Data],$DD296,94),0)</f>
        <v/>
      </c>
      <c r="CS296">
        <f>IFERROR(INDEX(PP_Grid[#Data],$DD296,95),0)</f>
        <v/>
      </c>
      <c r="CT296">
        <f>IFERROR(INDEX(PP_Grid[#Data],$DD296,96),0)</f>
        <v/>
      </c>
      <c r="CU296">
        <f>IFERROR(INDEX(PP_Grid[#Data],$DD296,97),0)</f>
        <v/>
      </c>
      <c r="CV296">
        <f>IFERROR(INDEX(PP_Grid[#Data],$DD296,98),0)</f>
        <v/>
      </c>
      <c r="CW296">
        <f>IFERROR(INDEX(PP_Grid[#Data],$DD296,99),0)</f>
        <v/>
      </c>
      <c r="CX296">
        <f>IFERROR(INDEX(PP_Grid[#Data],$DD296,100),0)</f>
        <v/>
      </c>
      <c r="CY296">
        <f>IFERROR(INDEX(PP_Grid[#Data],$DD296,101),0)</f>
        <v/>
      </c>
      <c r="CZ296">
        <f>IFERROR(INDEX(PP_Grid[#Data],$DD296,102),0)</f>
        <v/>
      </c>
      <c r="DA296">
        <f>IFERROR(INDEX(PP_Grid[#Data],$DD296,103),0)</f>
        <v/>
      </c>
      <c r="DB296">
        <f>IFERROR(INDEX(PP_Grid[#Data],$DD296,104),0)</f>
        <v/>
      </c>
      <c r="DC296">
        <f>IFERROR(INDEX(PP_Grid[#Data],$DD296,105),0)</f>
        <v/>
      </c>
      <c r="DD296" s="12">
        <f>IFERROR(MATCH($B296,PP_Grid[Intermediate],0),99999)</f>
        <v/>
      </c>
    </row>
    <row r="297">
      <c r="B297" t="inlineStr">
        <is>
          <t>使用量(kg)</t>
        </is>
      </c>
      <c r="C297">
        <f>SUMIFS(M_BOM[RM_Qty_Per_Batch],M_BOM[Intermediate],$B296,M_BOM[Part Name],$A295)</f>
        <v/>
      </c>
      <c r="D297">
        <f>$C297*D296</f>
        <v/>
      </c>
      <c r="E297">
        <f>$C297*E296</f>
        <v/>
      </c>
      <c r="F297">
        <f>$C297*F296</f>
        <v/>
      </c>
      <c r="G297">
        <f>$C297*G296</f>
        <v/>
      </c>
      <c r="H297">
        <f>$C297*H296</f>
        <v/>
      </c>
      <c r="I297">
        <f>$C297*I296</f>
        <v/>
      </c>
      <c r="J297">
        <f>$C297*J296</f>
        <v/>
      </c>
      <c r="K297">
        <f>$C297*K296</f>
        <v/>
      </c>
      <c r="L297">
        <f>$C297*L296</f>
        <v/>
      </c>
      <c r="M297">
        <f>$C297*M296</f>
        <v/>
      </c>
      <c r="N297">
        <f>$C297*N296</f>
        <v/>
      </c>
      <c r="O297">
        <f>$C297*O296</f>
        <v/>
      </c>
      <c r="P297">
        <f>$C297*P296</f>
        <v/>
      </c>
      <c r="Q297">
        <f>$C297*Q296</f>
        <v/>
      </c>
      <c r="R297">
        <f>$C297*R296</f>
        <v/>
      </c>
      <c r="S297">
        <f>$C297*S296</f>
        <v/>
      </c>
      <c r="T297">
        <f>$C297*T296</f>
        <v/>
      </c>
      <c r="U297">
        <f>$C297*U296</f>
        <v/>
      </c>
      <c r="V297">
        <f>$C297*V296</f>
        <v/>
      </c>
      <c r="W297">
        <f>$C297*W296</f>
        <v/>
      </c>
      <c r="X297">
        <f>$C297*X296</f>
        <v/>
      </c>
      <c r="Y297">
        <f>$C297*Y296</f>
        <v/>
      </c>
      <c r="Z297">
        <f>$C297*Z296</f>
        <v/>
      </c>
      <c r="AA297">
        <f>$C297*AA296</f>
        <v/>
      </c>
      <c r="AB297">
        <f>$C297*AB296</f>
        <v/>
      </c>
      <c r="AC297">
        <f>$C297*AC296</f>
        <v/>
      </c>
      <c r="AD297">
        <f>$C297*AD296</f>
        <v/>
      </c>
      <c r="AE297">
        <f>$C297*AE296</f>
        <v/>
      </c>
      <c r="AF297">
        <f>$C297*AF296</f>
        <v/>
      </c>
      <c r="AG297">
        <f>$C297*AG296</f>
        <v/>
      </c>
      <c r="AH297">
        <f>$C297*AH296</f>
        <v/>
      </c>
      <c r="AI297">
        <f>$C297*AI296</f>
        <v/>
      </c>
      <c r="AJ297">
        <f>$C297*AJ296</f>
        <v/>
      </c>
      <c r="AK297">
        <f>$C297*AK296</f>
        <v/>
      </c>
      <c r="AL297">
        <f>$C297*AL296</f>
        <v/>
      </c>
      <c r="AM297">
        <f>$C297*AM296</f>
        <v/>
      </c>
      <c r="AN297">
        <f>$C297*AN296</f>
        <v/>
      </c>
      <c r="AO297">
        <f>$C297*AO296</f>
        <v/>
      </c>
      <c r="AP297">
        <f>$C297*AP296</f>
        <v/>
      </c>
      <c r="AQ297">
        <f>$C297*AQ296</f>
        <v/>
      </c>
      <c r="AR297">
        <f>$C297*AR296</f>
        <v/>
      </c>
      <c r="AS297">
        <f>$C297*AS296</f>
        <v/>
      </c>
      <c r="AT297">
        <f>$C297*AT296</f>
        <v/>
      </c>
      <c r="AU297">
        <f>$C297*AU296</f>
        <v/>
      </c>
      <c r="AV297">
        <f>$C297*AV296</f>
        <v/>
      </c>
      <c r="AW297">
        <f>$C297*AW296</f>
        <v/>
      </c>
      <c r="AX297">
        <f>$C297*AX296</f>
        <v/>
      </c>
      <c r="AY297">
        <f>$C297*AY296</f>
        <v/>
      </c>
      <c r="AZ297">
        <f>$C297*AZ296</f>
        <v/>
      </c>
      <c r="BA297">
        <f>$C297*BA296</f>
        <v/>
      </c>
      <c r="BB297">
        <f>$C297*BB296</f>
        <v/>
      </c>
      <c r="BC297">
        <f>$C297*BC296</f>
        <v/>
      </c>
      <c r="BD297">
        <f>$C297*BD296</f>
        <v/>
      </c>
      <c r="BE297">
        <f>$C297*BE296</f>
        <v/>
      </c>
      <c r="BF297">
        <f>$C297*BF296</f>
        <v/>
      </c>
      <c r="BG297">
        <f>$C297*BG296</f>
        <v/>
      </c>
      <c r="BH297">
        <f>$C297*BH296</f>
        <v/>
      </c>
      <c r="BI297">
        <f>$C297*BI296</f>
        <v/>
      </c>
      <c r="BJ297">
        <f>$C297*BJ296</f>
        <v/>
      </c>
      <c r="BK297">
        <f>$C297*BK296</f>
        <v/>
      </c>
      <c r="BL297">
        <f>$C297*BL296</f>
        <v/>
      </c>
      <c r="BM297">
        <f>$C297*BM296</f>
        <v/>
      </c>
      <c r="BN297">
        <f>$C297*BN296</f>
        <v/>
      </c>
      <c r="BO297">
        <f>$C297*BO296</f>
        <v/>
      </c>
      <c r="BP297">
        <f>$C297*BP296</f>
        <v/>
      </c>
      <c r="BQ297">
        <f>$C297*BQ296</f>
        <v/>
      </c>
      <c r="BR297">
        <f>$C297*BR296</f>
        <v/>
      </c>
      <c r="BS297">
        <f>$C297*BS296</f>
        <v/>
      </c>
      <c r="BT297">
        <f>$C297*BT296</f>
        <v/>
      </c>
      <c r="BU297">
        <f>$C297*BU296</f>
        <v/>
      </c>
      <c r="BV297">
        <f>$C297*BV296</f>
        <v/>
      </c>
      <c r="BW297">
        <f>$C297*BW296</f>
        <v/>
      </c>
      <c r="BX297">
        <f>$C297*BX296</f>
        <v/>
      </c>
      <c r="BY297">
        <f>$C297*BY296</f>
        <v/>
      </c>
      <c r="BZ297">
        <f>$C297*BZ296</f>
        <v/>
      </c>
      <c r="CA297">
        <f>$C297*CA296</f>
        <v/>
      </c>
      <c r="CB297">
        <f>$C297*CB296</f>
        <v/>
      </c>
      <c r="CC297">
        <f>$C297*CC296</f>
        <v/>
      </c>
      <c r="CD297">
        <f>$C297*CD296</f>
        <v/>
      </c>
      <c r="CE297">
        <f>$C297*CE296</f>
        <v/>
      </c>
      <c r="CF297">
        <f>$C297*CF296</f>
        <v/>
      </c>
      <c r="CG297">
        <f>$C297*CG296</f>
        <v/>
      </c>
      <c r="CH297">
        <f>$C297*CH296</f>
        <v/>
      </c>
      <c r="CI297">
        <f>$C297*CI296</f>
        <v/>
      </c>
      <c r="CJ297">
        <f>$C297*CJ296</f>
        <v/>
      </c>
      <c r="CK297">
        <f>$C297*CK296</f>
        <v/>
      </c>
      <c r="CL297">
        <f>$C297*CL296</f>
        <v/>
      </c>
      <c r="CM297">
        <f>$C297*CM296</f>
        <v/>
      </c>
      <c r="CN297">
        <f>$C297*CN296</f>
        <v/>
      </c>
      <c r="CO297">
        <f>$C297*CO296</f>
        <v/>
      </c>
      <c r="CP297">
        <f>$C297*CP296</f>
        <v/>
      </c>
      <c r="CQ297">
        <f>$C297*CQ296</f>
        <v/>
      </c>
      <c r="CR297">
        <f>$C297*CR296</f>
        <v/>
      </c>
      <c r="CS297">
        <f>$C297*CS296</f>
        <v/>
      </c>
      <c r="CT297">
        <f>$C297*CT296</f>
        <v/>
      </c>
      <c r="CU297">
        <f>$C297*CU296</f>
        <v/>
      </c>
      <c r="CV297">
        <f>$C297*CV296</f>
        <v/>
      </c>
      <c r="CW297">
        <f>$C297*CW296</f>
        <v/>
      </c>
      <c r="CX297">
        <f>$C297*CX296</f>
        <v/>
      </c>
      <c r="CY297">
        <f>$C297*CY296</f>
        <v/>
      </c>
      <c r="CZ297">
        <f>$C297*CZ296</f>
        <v/>
      </c>
      <c r="DA297">
        <f>$C297*DA296</f>
        <v/>
      </c>
      <c r="DB297">
        <f>$C297*DB296</f>
        <v/>
      </c>
      <c r="DC297">
        <f>$C297*DC296</f>
        <v/>
      </c>
    </row>
    <row r="298">
      <c r="B298" t="inlineStr">
        <is>
          <t>TSP-367</t>
        </is>
      </c>
      <c r="C298" t="inlineStr">
        <is>
          <t>No. of batches</t>
        </is>
      </c>
      <c r="D298">
        <f>IFERROR(INDEX(PP_Grid[#Data],$DD298,2),0)</f>
        <v/>
      </c>
      <c r="E298">
        <f>IFERROR(INDEX(PP_Grid[#Data],$DD298,3),0)</f>
        <v/>
      </c>
      <c r="F298">
        <f>IFERROR(INDEX(PP_Grid[#Data],$DD298,4),0)</f>
        <v/>
      </c>
      <c r="G298">
        <f>IFERROR(INDEX(PP_Grid[#Data],$DD298,5),0)</f>
        <v/>
      </c>
      <c r="H298">
        <f>IFERROR(INDEX(PP_Grid[#Data],$DD298,6),0)</f>
        <v/>
      </c>
      <c r="I298">
        <f>IFERROR(INDEX(PP_Grid[#Data],$DD298,7),0)</f>
        <v/>
      </c>
      <c r="J298">
        <f>IFERROR(INDEX(PP_Grid[#Data],$DD298,8),0)</f>
        <v/>
      </c>
      <c r="K298">
        <f>IFERROR(INDEX(PP_Grid[#Data],$DD298,9),0)</f>
        <v/>
      </c>
      <c r="L298">
        <f>IFERROR(INDEX(PP_Grid[#Data],$DD298,10),0)</f>
        <v/>
      </c>
      <c r="M298">
        <f>IFERROR(INDEX(PP_Grid[#Data],$DD298,11),0)</f>
        <v/>
      </c>
      <c r="N298">
        <f>IFERROR(INDEX(PP_Grid[#Data],$DD298,12),0)</f>
        <v/>
      </c>
      <c r="O298">
        <f>IFERROR(INDEX(PP_Grid[#Data],$DD298,13),0)</f>
        <v/>
      </c>
      <c r="P298">
        <f>IFERROR(INDEX(PP_Grid[#Data],$DD298,14),0)</f>
        <v/>
      </c>
      <c r="Q298">
        <f>IFERROR(INDEX(PP_Grid[#Data],$DD298,15),0)</f>
        <v/>
      </c>
      <c r="R298">
        <f>IFERROR(INDEX(PP_Grid[#Data],$DD298,16),0)</f>
        <v/>
      </c>
      <c r="S298">
        <f>IFERROR(INDEX(PP_Grid[#Data],$DD298,17),0)</f>
        <v/>
      </c>
      <c r="T298">
        <f>IFERROR(INDEX(PP_Grid[#Data],$DD298,18),0)</f>
        <v/>
      </c>
      <c r="U298">
        <f>IFERROR(INDEX(PP_Grid[#Data],$DD298,19),0)</f>
        <v/>
      </c>
      <c r="V298">
        <f>IFERROR(INDEX(PP_Grid[#Data],$DD298,20),0)</f>
        <v/>
      </c>
      <c r="W298">
        <f>IFERROR(INDEX(PP_Grid[#Data],$DD298,21),0)</f>
        <v/>
      </c>
      <c r="X298">
        <f>IFERROR(INDEX(PP_Grid[#Data],$DD298,22),0)</f>
        <v/>
      </c>
      <c r="Y298">
        <f>IFERROR(INDEX(PP_Grid[#Data],$DD298,23),0)</f>
        <v/>
      </c>
      <c r="Z298">
        <f>IFERROR(INDEX(PP_Grid[#Data],$DD298,24),0)</f>
        <v/>
      </c>
      <c r="AA298">
        <f>IFERROR(INDEX(PP_Grid[#Data],$DD298,25),0)</f>
        <v/>
      </c>
      <c r="AB298">
        <f>IFERROR(INDEX(PP_Grid[#Data],$DD298,26),0)</f>
        <v/>
      </c>
      <c r="AC298">
        <f>IFERROR(INDEX(PP_Grid[#Data],$DD298,27),0)</f>
        <v/>
      </c>
      <c r="AD298">
        <f>IFERROR(INDEX(PP_Grid[#Data],$DD298,28),0)</f>
        <v/>
      </c>
      <c r="AE298">
        <f>IFERROR(INDEX(PP_Grid[#Data],$DD298,29),0)</f>
        <v/>
      </c>
      <c r="AF298">
        <f>IFERROR(INDEX(PP_Grid[#Data],$DD298,30),0)</f>
        <v/>
      </c>
      <c r="AG298">
        <f>IFERROR(INDEX(PP_Grid[#Data],$DD298,31),0)</f>
        <v/>
      </c>
      <c r="AH298">
        <f>IFERROR(INDEX(PP_Grid[#Data],$DD298,32),0)</f>
        <v/>
      </c>
      <c r="AI298">
        <f>IFERROR(INDEX(PP_Grid[#Data],$DD298,33),0)</f>
        <v/>
      </c>
      <c r="AJ298">
        <f>IFERROR(INDEX(PP_Grid[#Data],$DD298,34),0)</f>
        <v/>
      </c>
      <c r="AK298">
        <f>IFERROR(INDEX(PP_Grid[#Data],$DD298,35),0)</f>
        <v/>
      </c>
      <c r="AL298">
        <f>IFERROR(INDEX(PP_Grid[#Data],$DD298,36),0)</f>
        <v/>
      </c>
      <c r="AM298">
        <f>IFERROR(INDEX(PP_Grid[#Data],$DD298,37),0)</f>
        <v/>
      </c>
      <c r="AN298">
        <f>IFERROR(INDEX(PP_Grid[#Data],$DD298,38),0)</f>
        <v/>
      </c>
      <c r="AO298">
        <f>IFERROR(INDEX(PP_Grid[#Data],$DD298,39),0)</f>
        <v/>
      </c>
      <c r="AP298">
        <f>IFERROR(INDEX(PP_Grid[#Data],$DD298,40),0)</f>
        <v/>
      </c>
      <c r="AQ298">
        <f>IFERROR(INDEX(PP_Grid[#Data],$DD298,41),0)</f>
        <v/>
      </c>
      <c r="AR298">
        <f>IFERROR(INDEX(PP_Grid[#Data],$DD298,42),0)</f>
        <v/>
      </c>
      <c r="AS298">
        <f>IFERROR(INDEX(PP_Grid[#Data],$DD298,43),0)</f>
        <v/>
      </c>
      <c r="AT298">
        <f>IFERROR(INDEX(PP_Grid[#Data],$DD298,44),0)</f>
        <v/>
      </c>
      <c r="AU298">
        <f>IFERROR(INDEX(PP_Grid[#Data],$DD298,45),0)</f>
        <v/>
      </c>
      <c r="AV298">
        <f>IFERROR(INDEX(PP_Grid[#Data],$DD298,46),0)</f>
        <v/>
      </c>
      <c r="AW298">
        <f>IFERROR(INDEX(PP_Grid[#Data],$DD298,47),0)</f>
        <v/>
      </c>
      <c r="AX298">
        <f>IFERROR(INDEX(PP_Grid[#Data],$DD298,48),0)</f>
        <v/>
      </c>
      <c r="AY298">
        <f>IFERROR(INDEX(PP_Grid[#Data],$DD298,49),0)</f>
        <v/>
      </c>
      <c r="AZ298">
        <f>IFERROR(INDEX(PP_Grid[#Data],$DD298,50),0)</f>
        <v/>
      </c>
      <c r="BA298">
        <f>IFERROR(INDEX(PP_Grid[#Data],$DD298,51),0)</f>
        <v/>
      </c>
      <c r="BB298">
        <f>IFERROR(INDEX(PP_Grid[#Data],$DD298,52),0)</f>
        <v/>
      </c>
      <c r="BC298">
        <f>IFERROR(INDEX(PP_Grid[#Data],$DD298,53),0)</f>
        <v/>
      </c>
      <c r="BD298">
        <f>IFERROR(INDEX(PP_Grid[#Data],$DD298,54),0)</f>
        <v/>
      </c>
      <c r="BE298">
        <f>IFERROR(INDEX(PP_Grid[#Data],$DD298,55),0)</f>
        <v/>
      </c>
      <c r="BF298">
        <f>IFERROR(INDEX(PP_Grid[#Data],$DD298,56),0)</f>
        <v/>
      </c>
      <c r="BG298">
        <f>IFERROR(INDEX(PP_Grid[#Data],$DD298,57),0)</f>
        <v/>
      </c>
      <c r="BH298">
        <f>IFERROR(INDEX(PP_Grid[#Data],$DD298,58),0)</f>
        <v/>
      </c>
      <c r="BI298">
        <f>IFERROR(INDEX(PP_Grid[#Data],$DD298,59),0)</f>
        <v/>
      </c>
      <c r="BJ298">
        <f>IFERROR(INDEX(PP_Grid[#Data],$DD298,60),0)</f>
        <v/>
      </c>
      <c r="BK298">
        <f>IFERROR(INDEX(PP_Grid[#Data],$DD298,61),0)</f>
        <v/>
      </c>
      <c r="BL298">
        <f>IFERROR(INDEX(PP_Grid[#Data],$DD298,62),0)</f>
        <v/>
      </c>
      <c r="BM298">
        <f>IFERROR(INDEX(PP_Grid[#Data],$DD298,63),0)</f>
        <v/>
      </c>
      <c r="BN298">
        <f>IFERROR(INDEX(PP_Grid[#Data],$DD298,64),0)</f>
        <v/>
      </c>
      <c r="BO298">
        <f>IFERROR(INDEX(PP_Grid[#Data],$DD298,65),0)</f>
        <v/>
      </c>
      <c r="BP298">
        <f>IFERROR(INDEX(PP_Grid[#Data],$DD298,66),0)</f>
        <v/>
      </c>
      <c r="BQ298">
        <f>IFERROR(INDEX(PP_Grid[#Data],$DD298,67),0)</f>
        <v/>
      </c>
      <c r="BR298">
        <f>IFERROR(INDEX(PP_Grid[#Data],$DD298,68),0)</f>
        <v/>
      </c>
      <c r="BS298">
        <f>IFERROR(INDEX(PP_Grid[#Data],$DD298,69),0)</f>
        <v/>
      </c>
      <c r="BT298">
        <f>IFERROR(INDEX(PP_Grid[#Data],$DD298,70),0)</f>
        <v/>
      </c>
      <c r="BU298">
        <f>IFERROR(INDEX(PP_Grid[#Data],$DD298,71),0)</f>
        <v/>
      </c>
      <c r="BV298">
        <f>IFERROR(INDEX(PP_Grid[#Data],$DD298,72),0)</f>
        <v/>
      </c>
      <c r="BW298">
        <f>IFERROR(INDEX(PP_Grid[#Data],$DD298,73),0)</f>
        <v/>
      </c>
      <c r="BX298">
        <f>IFERROR(INDEX(PP_Grid[#Data],$DD298,74),0)</f>
        <v/>
      </c>
      <c r="BY298">
        <f>IFERROR(INDEX(PP_Grid[#Data],$DD298,75),0)</f>
        <v/>
      </c>
      <c r="BZ298">
        <f>IFERROR(INDEX(PP_Grid[#Data],$DD298,76),0)</f>
        <v/>
      </c>
      <c r="CA298">
        <f>IFERROR(INDEX(PP_Grid[#Data],$DD298,77),0)</f>
        <v/>
      </c>
      <c r="CB298">
        <f>IFERROR(INDEX(PP_Grid[#Data],$DD298,78),0)</f>
        <v/>
      </c>
      <c r="CC298">
        <f>IFERROR(INDEX(PP_Grid[#Data],$DD298,79),0)</f>
        <v/>
      </c>
      <c r="CD298">
        <f>IFERROR(INDEX(PP_Grid[#Data],$DD298,80),0)</f>
        <v/>
      </c>
      <c r="CE298">
        <f>IFERROR(INDEX(PP_Grid[#Data],$DD298,81),0)</f>
        <v/>
      </c>
      <c r="CF298">
        <f>IFERROR(INDEX(PP_Grid[#Data],$DD298,82),0)</f>
        <v/>
      </c>
      <c r="CG298">
        <f>IFERROR(INDEX(PP_Grid[#Data],$DD298,83),0)</f>
        <v/>
      </c>
      <c r="CH298">
        <f>IFERROR(INDEX(PP_Grid[#Data],$DD298,84),0)</f>
        <v/>
      </c>
      <c r="CI298">
        <f>IFERROR(INDEX(PP_Grid[#Data],$DD298,85),0)</f>
        <v/>
      </c>
      <c r="CJ298">
        <f>IFERROR(INDEX(PP_Grid[#Data],$DD298,86),0)</f>
        <v/>
      </c>
      <c r="CK298">
        <f>IFERROR(INDEX(PP_Grid[#Data],$DD298,87),0)</f>
        <v/>
      </c>
      <c r="CL298">
        <f>IFERROR(INDEX(PP_Grid[#Data],$DD298,88),0)</f>
        <v/>
      </c>
      <c r="CM298">
        <f>IFERROR(INDEX(PP_Grid[#Data],$DD298,89),0)</f>
        <v/>
      </c>
      <c r="CN298">
        <f>IFERROR(INDEX(PP_Grid[#Data],$DD298,90),0)</f>
        <v/>
      </c>
      <c r="CO298">
        <f>IFERROR(INDEX(PP_Grid[#Data],$DD298,91),0)</f>
        <v/>
      </c>
      <c r="CP298">
        <f>IFERROR(INDEX(PP_Grid[#Data],$DD298,92),0)</f>
        <v/>
      </c>
      <c r="CQ298">
        <f>IFERROR(INDEX(PP_Grid[#Data],$DD298,93),0)</f>
        <v/>
      </c>
      <c r="CR298">
        <f>IFERROR(INDEX(PP_Grid[#Data],$DD298,94),0)</f>
        <v/>
      </c>
      <c r="CS298">
        <f>IFERROR(INDEX(PP_Grid[#Data],$DD298,95),0)</f>
        <v/>
      </c>
      <c r="CT298">
        <f>IFERROR(INDEX(PP_Grid[#Data],$DD298,96),0)</f>
        <v/>
      </c>
      <c r="CU298">
        <f>IFERROR(INDEX(PP_Grid[#Data],$DD298,97),0)</f>
        <v/>
      </c>
      <c r="CV298">
        <f>IFERROR(INDEX(PP_Grid[#Data],$DD298,98),0)</f>
        <v/>
      </c>
      <c r="CW298">
        <f>IFERROR(INDEX(PP_Grid[#Data],$DD298,99),0)</f>
        <v/>
      </c>
      <c r="CX298">
        <f>IFERROR(INDEX(PP_Grid[#Data],$DD298,100),0)</f>
        <v/>
      </c>
      <c r="CY298">
        <f>IFERROR(INDEX(PP_Grid[#Data],$DD298,101),0)</f>
        <v/>
      </c>
      <c r="CZ298">
        <f>IFERROR(INDEX(PP_Grid[#Data],$DD298,102),0)</f>
        <v/>
      </c>
      <c r="DA298">
        <f>IFERROR(INDEX(PP_Grid[#Data],$DD298,103),0)</f>
        <v/>
      </c>
      <c r="DB298">
        <f>IFERROR(INDEX(PP_Grid[#Data],$DD298,104),0)</f>
        <v/>
      </c>
      <c r="DC298">
        <f>IFERROR(INDEX(PP_Grid[#Data],$DD298,105),0)</f>
        <v/>
      </c>
      <c r="DD298" s="12">
        <f>IFERROR(MATCH($B298,PP_Grid[Intermediate],0),99999)</f>
        <v/>
      </c>
    </row>
    <row r="299">
      <c r="B299" t="inlineStr">
        <is>
          <t>使用量(kg)</t>
        </is>
      </c>
      <c r="C299">
        <f>SUMIFS(M_BOM[RM_Qty_Per_Batch],M_BOM[Intermediate],$B298,M_BOM[Part Name],$A295)</f>
        <v/>
      </c>
      <c r="D299">
        <f>$C299*D298</f>
        <v/>
      </c>
      <c r="E299">
        <f>$C299*E298</f>
        <v/>
      </c>
      <c r="F299">
        <f>$C299*F298</f>
        <v/>
      </c>
      <c r="G299">
        <f>$C299*G298</f>
        <v/>
      </c>
      <c r="H299">
        <f>$C299*H298</f>
        <v/>
      </c>
      <c r="I299">
        <f>$C299*I298</f>
        <v/>
      </c>
      <c r="J299">
        <f>$C299*J298</f>
        <v/>
      </c>
      <c r="K299">
        <f>$C299*K298</f>
        <v/>
      </c>
      <c r="L299">
        <f>$C299*L298</f>
        <v/>
      </c>
      <c r="M299">
        <f>$C299*M298</f>
        <v/>
      </c>
      <c r="N299">
        <f>$C299*N298</f>
        <v/>
      </c>
      <c r="O299">
        <f>$C299*O298</f>
        <v/>
      </c>
      <c r="P299">
        <f>$C299*P298</f>
        <v/>
      </c>
      <c r="Q299">
        <f>$C299*Q298</f>
        <v/>
      </c>
      <c r="R299">
        <f>$C299*R298</f>
        <v/>
      </c>
      <c r="S299">
        <f>$C299*S298</f>
        <v/>
      </c>
      <c r="T299">
        <f>$C299*T298</f>
        <v/>
      </c>
      <c r="U299">
        <f>$C299*U298</f>
        <v/>
      </c>
      <c r="V299">
        <f>$C299*V298</f>
        <v/>
      </c>
      <c r="W299">
        <f>$C299*W298</f>
        <v/>
      </c>
      <c r="X299">
        <f>$C299*X298</f>
        <v/>
      </c>
      <c r="Y299">
        <f>$C299*Y298</f>
        <v/>
      </c>
      <c r="Z299">
        <f>$C299*Z298</f>
        <v/>
      </c>
      <c r="AA299">
        <f>$C299*AA298</f>
        <v/>
      </c>
      <c r="AB299">
        <f>$C299*AB298</f>
        <v/>
      </c>
      <c r="AC299">
        <f>$C299*AC298</f>
        <v/>
      </c>
      <c r="AD299">
        <f>$C299*AD298</f>
        <v/>
      </c>
      <c r="AE299">
        <f>$C299*AE298</f>
        <v/>
      </c>
      <c r="AF299">
        <f>$C299*AF298</f>
        <v/>
      </c>
      <c r="AG299">
        <f>$C299*AG298</f>
        <v/>
      </c>
      <c r="AH299">
        <f>$C299*AH298</f>
        <v/>
      </c>
      <c r="AI299">
        <f>$C299*AI298</f>
        <v/>
      </c>
      <c r="AJ299">
        <f>$C299*AJ298</f>
        <v/>
      </c>
      <c r="AK299">
        <f>$C299*AK298</f>
        <v/>
      </c>
      <c r="AL299">
        <f>$C299*AL298</f>
        <v/>
      </c>
      <c r="AM299">
        <f>$C299*AM298</f>
        <v/>
      </c>
      <c r="AN299">
        <f>$C299*AN298</f>
        <v/>
      </c>
      <c r="AO299">
        <f>$C299*AO298</f>
        <v/>
      </c>
      <c r="AP299">
        <f>$C299*AP298</f>
        <v/>
      </c>
      <c r="AQ299">
        <f>$C299*AQ298</f>
        <v/>
      </c>
      <c r="AR299">
        <f>$C299*AR298</f>
        <v/>
      </c>
      <c r="AS299">
        <f>$C299*AS298</f>
        <v/>
      </c>
      <c r="AT299">
        <f>$C299*AT298</f>
        <v/>
      </c>
      <c r="AU299">
        <f>$C299*AU298</f>
        <v/>
      </c>
      <c r="AV299">
        <f>$C299*AV298</f>
        <v/>
      </c>
      <c r="AW299">
        <f>$C299*AW298</f>
        <v/>
      </c>
      <c r="AX299">
        <f>$C299*AX298</f>
        <v/>
      </c>
      <c r="AY299">
        <f>$C299*AY298</f>
        <v/>
      </c>
      <c r="AZ299">
        <f>$C299*AZ298</f>
        <v/>
      </c>
      <c r="BA299">
        <f>$C299*BA298</f>
        <v/>
      </c>
      <c r="BB299">
        <f>$C299*BB298</f>
        <v/>
      </c>
      <c r="BC299">
        <f>$C299*BC298</f>
        <v/>
      </c>
      <c r="BD299">
        <f>$C299*BD298</f>
        <v/>
      </c>
      <c r="BE299">
        <f>$C299*BE298</f>
        <v/>
      </c>
      <c r="BF299">
        <f>$C299*BF298</f>
        <v/>
      </c>
      <c r="BG299">
        <f>$C299*BG298</f>
        <v/>
      </c>
      <c r="BH299">
        <f>$C299*BH298</f>
        <v/>
      </c>
      <c r="BI299">
        <f>$C299*BI298</f>
        <v/>
      </c>
      <c r="BJ299">
        <f>$C299*BJ298</f>
        <v/>
      </c>
      <c r="BK299">
        <f>$C299*BK298</f>
        <v/>
      </c>
      <c r="BL299">
        <f>$C299*BL298</f>
        <v/>
      </c>
      <c r="BM299">
        <f>$C299*BM298</f>
        <v/>
      </c>
      <c r="BN299">
        <f>$C299*BN298</f>
        <v/>
      </c>
      <c r="BO299">
        <f>$C299*BO298</f>
        <v/>
      </c>
      <c r="BP299">
        <f>$C299*BP298</f>
        <v/>
      </c>
      <c r="BQ299">
        <f>$C299*BQ298</f>
        <v/>
      </c>
      <c r="BR299">
        <f>$C299*BR298</f>
        <v/>
      </c>
      <c r="BS299">
        <f>$C299*BS298</f>
        <v/>
      </c>
      <c r="BT299">
        <f>$C299*BT298</f>
        <v/>
      </c>
      <c r="BU299">
        <f>$C299*BU298</f>
        <v/>
      </c>
      <c r="BV299">
        <f>$C299*BV298</f>
        <v/>
      </c>
      <c r="BW299">
        <f>$C299*BW298</f>
        <v/>
      </c>
      <c r="BX299">
        <f>$C299*BX298</f>
        <v/>
      </c>
      <c r="BY299">
        <f>$C299*BY298</f>
        <v/>
      </c>
      <c r="BZ299">
        <f>$C299*BZ298</f>
        <v/>
      </c>
      <c r="CA299">
        <f>$C299*CA298</f>
        <v/>
      </c>
      <c r="CB299">
        <f>$C299*CB298</f>
        <v/>
      </c>
      <c r="CC299">
        <f>$C299*CC298</f>
        <v/>
      </c>
      <c r="CD299">
        <f>$C299*CD298</f>
        <v/>
      </c>
      <c r="CE299">
        <f>$C299*CE298</f>
        <v/>
      </c>
      <c r="CF299">
        <f>$C299*CF298</f>
        <v/>
      </c>
      <c r="CG299">
        <f>$C299*CG298</f>
        <v/>
      </c>
      <c r="CH299">
        <f>$C299*CH298</f>
        <v/>
      </c>
      <c r="CI299">
        <f>$C299*CI298</f>
        <v/>
      </c>
      <c r="CJ299">
        <f>$C299*CJ298</f>
        <v/>
      </c>
      <c r="CK299">
        <f>$C299*CK298</f>
        <v/>
      </c>
      <c r="CL299">
        <f>$C299*CL298</f>
        <v/>
      </c>
      <c r="CM299">
        <f>$C299*CM298</f>
        <v/>
      </c>
      <c r="CN299">
        <f>$C299*CN298</f>
        <v/>
      </c>
      <c r="CO299">
        <f>$C299*CO298</f>
        <v/>
      </c>
      <c r="CP299">
        <f>$C299*CP298</f>
        <v/>
      </c>
      <c r="CQ299">
        <f>$C299*CQ298</f>
        <v/>
      </c>
      <c r="CR299">
        <f>$C299*CR298</f>
        <v/>
      </c>
      <c r="CS299">
        <f>$C299*CS298</f>
        <v/>
      </c>
      <c r="CT299">
        <f>$C299*CT298</f>
        <v/>
      </c>
      <c r="CU299">
        <f>$C299*CU298</f>
        <v/>
      </c>
      <c r="CV299">
        <f>$C299*CV298</f>
        <v/>
      </c>
      <c r="CW299">
        <f>$C299*CW298</f>
        <v/>
      </c>
      <c r="CX299">
        <f>$C299*CX298</f>
        <v/>
      </c>
      <c r="CY299">
        <f>$C299*CY298</f>
        <v/>
      </c>
      <c r="CZ299">
        <f>$C299*CZ298</f>
        <v/>
      </c>
      <c r="DA299">
        <f>$C299*DA298</f>
        <v/>
      </c>
      <c r="DB299">
        <f>$C299*DB298</f>
        <v/>
      </c>
      <c r="DC299">
        <f>$C299*DC298</f>
        <v/>
      </c>
    </row>
    <row r="300">
      <c r="B300" t="inlineStr">
        <is>
          <t>TSP-544</t>
        </is>
      </c>
      <c r="C300" t="inlineStr">
        <is>
          <t>No. of batches</t>
        </is>
      </c>
      <c r="D300">
        <f>IFERROR(INDEX(PP_Grid[#Data],$DD300,2),0)</f>
        <v/>
      </c>
      <c r="E300">
        <f>IFERROR(INDEX(PP_Grid[#Data],$DD300,3),0)</f>
        <v/>
      </c>
      <c r="F300">
        <f>IFERROR(INDEX(PP_Grid[#Data],$DD300,4),0)</f>
        <v/>
      </c>
      <c r="G300">
        <f>IFERROR(INDEX(PP_Grid[#Data],$DD300,5),0)</f>
        <v/>
      </c>
      <c r="H300">
        <f>IFERROR(INDEX(PP_Grid[#Data],$DD300,6),0)</f>
        <v/>
      </c>
      <c r="I300">
        <f>IFERROR(INDEX(PP_Grid[#Data],$DD300,7),0)</f>
        <v/>
      </c>
      <c r="J300">
        <f>IFERROR(INDEX(PP_Grid[#Data],$DD300,8),0)</f>
        <v/>
      </c>
      <c r="K300">
        <f>IFERROR(INDEX(PP_Grid[#Data],$DD300,9),0)</f>
        <v/>
      </c>
      <c r="L300">
        <f>IFERROR(INDEX(PP_Grid[#Data],$DD300,10),0)</f>
        <v/>
      </c>
      <c r="M300">
        <f>IFERROR(INDEX(PP_Grid[#Data],$DD300,11),0)</f>
        <v/>
      </c>
      <c r="N300">
        <f>IFERROR(INDEX(PP_Grid[#Data],$DD300,12),0)</f>
        <v/>
      </c>
      <c r="O300">
        <f>IFERROR(INDEX(PP_Grid[#Data],$DD300,13),0)</f>
        <v/>
      </c>
      <c r="P300">
        <f>IFERROR(INDEX(PP_Grid[#Data],$DD300,14),0)</f>
        <v/>
      </c>
      <c r="Q300">
        <f>IFERROR(INDEX(PP_Grid[#Data],$DD300,15),0)</f>
        <v/>
      </c>
      <c r="R300">
        <f>IFERROR(INDEX(PP_Grid[#Data],$DD300,16),0)</f>
        <v/>
      </c>
      <c r="S300">
        <f>IFERROR(INDEX(PP_Grid[#Data],$DD300,17),0)</f>
        <v/>
      </c>
      <c r="T300">
        <f>IFERROR(INDEX(PP_Grid[#Data],$DD300,18),0)</f>
        <v/>
      </c>
      <c r="U300">
        <f>IFERROR(INDEX(PP_Grid[#Data],$DD300,19),0)</f>
        <v/>
      </c>
      <c r="V300">
        <f>IFERROR(INDEX(PP_Grid[#Data],$DD300,20),0)</f>
        <v/>
      </c>
      <c r="W300">
        <f>IFERROR(INDEX(PP_Grid[#Data],$DD300,21),0)</f>
        <v/>
      </c>
      <c r="X300">
        <f>IFERROR(INDEX(PP_Grid[#Data],$DD300,22),0)</f>
        <v/>
      </c>
      <c r="Y300">
        <f>IFERROR(INDEX(PP_Grid[#Data],$DD300,23),0)</f>
        <v/>
      </c>
      <c r="Z300">
        <f>IFERROR(INDEX(PP_Grid[#Data],$DD300,24),0)</f>
        <v/>
      </c>
      <c r="AA300">
        <f>IFERROR(INDEX(PP_Grid[#Data],$DD300,25),0)</f>
        <v/>
      </c>
      <c r="AB300">
        <f>IFERROR(INDEX(PP_Grid[#Data],$DD300,26),0)</f>
        <v/>
      </c>
      <c r="AC300">
        <f>IFERROR(INDEX(PP_Grid[#Data],$DD300,27),0)</f>
        <v/>
      </c>
      <c r="AD300">
        <f>IFERROR(INDEX(PP_Grid[#Data],$DD300,28),0)</f>
        <v/>
      </c>
      <c r="AE300">
        <f>IFERROR(INDEX(PP_Grid[#Data],$DD300,29),0)</f>
        <v/>
      </c>
      <c r="AF300">
        <f>IFERROR(INDEX(PP_Grid[#Data],$DD300,30),0)</f>
        <v/>
      </c>
      <c r="AG300">
        <f>IFERROR(INDEX(PP_Grid[#Data],$DD300,31),0)</f>
        <v/>
      </c>
      <c r="AH300">
        <f>IFERROR(INDEX(PP_Grid[#Data],$DD300,32),0)</f>
        <v/>
      </c>
      <c r="AI300">
        <f>IFERROR(INDEX(PP_Grid[#Data],$DD300,33),0)</f>
        <v/>
      </c>
      <c r="AJ300">
        <f>IFERROR(INDEX(PP_Grid[#Data],$DD300,34),0)</f>
        <v/>
      </c>
      <c r="AK300">
        <f>IFERROR(INDEX(PP_Grid[#Data],$DD300,35),0)</f>
        <v/>
      </c>
      <c r="AL300">
        <f>IFERROR(INDEX(PP_Grid[#Data],$DD300,36),0)</f>
        <v/>
      </c>
      <c r="AM300">
        <f>IFERROR(INDEX(PP_Grid[#Data],$DD300,37),0)</f>
        <v/>
      </c>
      <c r="AN300">
        <f>IFERROR(INDEX(PP_Grid[#Data],$DD300,38),0)</f>
        <v/>
      </c>
      <c r="AO300">
        <f>IFERROR(INDEX(PP_Grid[#Data],$DD300,39),0)</f>
        <v/>
      </c>
      <c r="AP300">
        <f>IFERROR(INDEX(PP_Grid[#Data],$DD300,40),0)</f>
        <v/>
      </c>
      <c r="AQ300">
        <f>IFERROR(INDEX(PP_Grid[#Data],$DD300,41),0)</f>
        <v/>
      </c>
      <c r="AR300">
        <f>IFERROR(INDEX(PP_Grid[#Data],$DD300,42),0)</f>
        <v/>
      </c>
      <c r="AS300">
        <f>IFERROR(INDEX(PP_Grid[#Data],$DD300,43),0)</f>
        <v/>
      </c>
      <c r="AT300">
        <f>IFERROR(INDEX(PP_Grid[#Data],$DD300,44),0)</f>
        <v/>
      </c>
      <c r="AU300">
        <f>IFERROR(INDEX(PP_Grid[#Data],$DD300,45),0)</f>
        <v/>
      </c>
      <c r="AV300">
        <f>IFERROR(INDEX(PP_Grid[#Data],$DD300,46),0)</f>
        <v/>
      </c>
      <c r="AW300">
        <f>IFERROR(INDEX(PP_Grid[#Data],$DD300,47),0)</f>
        <v/>
      </c>
      <c r="AX300">
        <f>IFERROR(INDEX(PP_Grid[#Data],$DD300,48),0)</f>
        <v/>
      </c>
      <c r="AY300">
        <f>IFERROR(INDEX(PP_Grid[#Data],$DD300,49),0)</f>
        <v/>
      </c>
      <c r="AZ300">
        <f>IFERROR(INDEX(PP_Grid[#Data],$DD300,50),0)</f>
        <v/>
      </c>
      <c r="BA300">
        <f>IFERROR(INDEX(PP_Grid[#Data],$DD300,51),0)</f>
        <v/>
      </c>
      <c r="BB300">
        <f>IFERROR(INDEX(PP_Grid[#Data],$DD300,52),0)</f>
        <v/>
      </c>
      <c r="BC300">
        <f>IFERROR(INDEX(PP_Grid[#Data],$DD300,53),0)</f>
        <v/>
      </c>
      <c r="BD300">
        <f>IFERROR(INDEX(PP_Grid[#Data],$DD300,54),0)</f>
        <v/>
      </c>
      <c r="BE300">
        <f>IFERROR(INDEX(PP_Grid[#Data],$DD300,55),0)</f>
        <v/>
      </c>
      <c r="BF300">
        <f>IFERROR(INDEX(PP_Grid[#Data],$DD300,56),0)</f>
        <v/>
      </c>
      <c r="BG300">
        <f>IFERROR(INDEX(PP_Grid[#Data],$DD300,57),0)</f>
        <v/>
      </c>
      <c r="BH300">
        <f>IFERROR(INDEX(PP_Grid[#Data],$DD300,58),0)</f>
        <v/>
      </c>
      <c r="BI300">
        <f>IFERROR(INDEX(PP_Grid[#Data],$DD300,59),0)</f>
        <v/>
      </c>
      <c r="BJ300">
        <f>IFERROR(INDEX(PP_Grid[#Data],$DD300,60),0)</f>
        <v/>
      </c>
      <c r="BK300">
        <f>IFERROR(INDEX(PP_Grid[#Data],$DD300,61),0)</f>
        <v/>
      </c>
      <c r="BL300">
        <f>IFERROR(INDEX(PP_Grid[#Data],$DD300,62),0)</f>
        <v/>
      </c>
      <c r="BM300">
        <f>IFERROR(INDEX(PP_Grid[#Data],$DD300,63),0)</f>
        <v/>
      </c>
      <c r="BN300">
        <f>IFERROR(INDEX(PP_Grid[#Data],$DD300,64),0)</f>
        <v/>
      </c>
      <c r="BO300">
        <f>IFERROR(INDEX(PP_Grid[#Data],$DD300,65),0)</f>
        <v/>
      </c>
      <c r="BP300">
        <f>IFERROR(INDEX(PP_Grid[#Data],$DD300,66),0)</f>
        <v/>
      </c>
      <c r="BQ300">
        <f>IFERROR(INDEX(PP_Grid[#Data],$DD300,67),0)</f>
        <v/>
      </c>
      <c r="BR300">
        <f>IFERROR(INDEX(PP_Grid[#Data],$DD300,68),0)</f>
        <v/>
      </c>
      <c r="BS300">
        <f>IFERROR(INDEX(PP_Grid[#Data],$DD300,69),0)</f>
        <v/>
      </c>
      <c r="BT300">
        <f>IFERROR(INDEX(PP_Grid[#Data],$DD300,70),0)</f>
        <v/>
      </c>
      <c r="BU300">
        <f>IFERROR(INDEX(PP_Grid[#Data],$DD300,71),0)</f>
        <v/>
      </c>
      <c r="BV300">
        <f>IFERROR(INDEX(PP_Grid[#Data],$DD300,72),0)</f>
        <v/>
      </c>
      <c r="BW300">
        <f>IFERROR(INDEX(PP_Grid[#Data],$DD300,73),0)</f>
        <v/>
      </c>
      <c r="BX300">
        <f>IFERROR(INDEX(PP_Grid[#Data],$DD300,74),0)</f>
        <v/>
      </c>
      <c r="BY300">
        <f>IFERROR(INDEX(PP_Grid[#Data],$DD300,75),0)</f>
        <v/>
      </c>
      <c r="BZ300">
        <f>IFERROR(INDEX(PP_Grid[#Data],$DD300,76),0)</f>
        <v/>
      </c>
      <c r="CA300">
        <f>IFERROR(INDEX(PP_Grid[#Data],$DD300,77),0)</f>
        <v/>
      </c>
      <c r="CB300">
        <f>IFERROR(INDEX(PP_Grid[#Data],$DD300,78),0)</f>
        <v/>
      </c>
      <c r="CC300">
        <f>IFERROR(INDEX(PP_Grid[#Data],$DD300,79),0)</f>
        <v/>
      </c>
      <c r="CD300">
        <f>IFERROR(INDEX(PP_Grid[#Data],$DD300,80),0)</f>
        <v/>
      </c>
      <c r="CE300">
        <f>IFERROR(INDEX(PP_Grid[#Data],$DD300,81),0)</f>
        <v/>
      </c>
      <c r="CF300">
        <f>IFERROR(INDEX(PP_Grid[#Data],$DD300,82),0)</f>
        <v/>
      </c>
      <c r="CG300">
        <f>IFERROR(INDEX(PP_Grid[#Data],$DD300,83),0)</f>
        <v/>
      </c>
      <c r="CH300">
        <f>IFERROR(INDEX(PP_Grid[#Data],$DD300,84),0)</f>
        <v/>
      </c>
      <c r="CI300">
        <f>IFERROR(INDEX(PP_Grid[#Data],$DD300,85),0)</f>
        <v/>
      </c>
      <c r="CJ300">
        <f>IFERROR(INDEX(PP_Grid[#Data],$DD300,86),0)</f>
        <v/>
      </c>
      <c r="CK300">
        <f>IFERROR(INDEX(PP_Grid[#Data],$DD300,87),0)</f>
        <v/>
      </c>
      <c r="CL300">
        <f>IFERROR(INDEX(PP_Grid[#Data],$DD300,88),0)</f>
        <v/>
      </c>
      <c r="CM300">
        <f>IFERROR(INDEX(PP_Grid[#Data],$DD300,89),0)</f>
        <v/>
      </c>
      <c r="CN300">
        <f>IFERROR(INDEX(PP_Grid[#Data],$DD300,90),0)</f>
        <v/>
      </c>
      <c r="CO300">
        <f>IFERROR(INDEX(PP_Grid[#Data],$DD300,91),0)</f>
        <v/>
      </c>
      <c r="CP300">
        <f>IFERROR(INDEX(PP_Grid[#Data],$DD300,92),0)</f>
        <v/>
      </c>
      <c r="CQ300">
        <f>IFERROR(INDEX(PP_Grid[#Data],$DD300,93),0)</f>
        <v/>
      </c>
      <c r="CR300">
        <f>IFERROR(INDEX(PP_Grid[#Data],$DD300,94),0)</f>
        <v/>
      </c>
      <c r="CS300">
        <f>IFERROR(INDEX(PP_Grid[#Data],$DD300,95),0)</f>
        <v/>
      </c>
      <c r="CT300">
        <f>IFERROR(INDEX(PP_Grid[#Data],$DD300,96),0)</f>
        <v/>
      </c>
      <c r="CU300">
        <f>IFERROR(INDEX(PP_Grid[#Data],$DD300,97),0)</f>
        <v/>
      </c>
      <c r="CV300">
        <f>IFERROR(INDEX(PP_Grid[#Data],$DD300,98),0)</f>
        <v/>
      </c>
      <c r="CW300">
        <f>IFERROR(INDEX(PP_Grid[#Data],$DD300,99),0)</f>
        <v/>
      </c>
      <c r="CX300">
        <f>IFERROR(INDEX(PP_Grid[#Data],$DD300,100),0)</f>
        <v/>
      </c>
      <c r="CY300">
        <f>IFERROR(INDEX(PP_Grid[#Data],$DD300,101),0)</f>
        <v/>
      </c>
      <c r="CZ300">
        <f>IFERROR(INDEX(PP_Grid[#Data],$DD300,102),0)</f>
        <v/>
      </c>
      <c r="DA300">
        <f>IFERROR(INDEX(PP_Grid[#Data],$DD300,103),0)</f>
        <v/>
      </c>
      <c r="DB300">
        <f>IFERROR(INDEX(PP_Grid[#Data],$DD300,104),0)</f>
        <v/>
      </c>
      <c r="DC300">
        <f>IFERROR(INDEX(PP_Grid[#Data],$DD300,105),0)</f>
        <v/>
      </c>
      <c r="DD300" s="12">
        <f>IFERROR(MATCH($B300,PP_Grid[Intermediate],0),99999)</f>
        <v/>
      </c>
    </row>
    <row r="301">
      <c r="B301" t="inlineStr">
        <is>
          <t>使用量(kg)</t>
        </is>
      </c>
      <c r="C301">
        <f>SUMIFS(M_BOM[RM_Qty_Per_Batch],M_BOM[Intermediate],$B300,M_BOM[Part Name],$A295)</f>
        <v/>
      </c>
      <c r="D301">
        <f>$C301*D300</f>
        <v/>
      </c>
      <c r="E301">
        <f>$C301*E300</f>
        <v/>
      </c>
      <c r="F301">
        <f>$C301*F300</f>
        <v/>
      </c>
      <c r="G301">
        <f>$C301*G300</f>
        <v/>
      </c>
      <c r="H301">
        <f>$C301*H300</f>
        <v/>
      </c>
      <c r="I301">
        <f>$C301*I300</f>
        <v/>
      </c>
      <c r="J301">
        <f>$C301*J300</f>
        <v/>
      </c>
      <c r="K301">
        <f>$C301*K300</f>
        <v/>
      </c>
      <c r="L301">
        <f>$C301*L300</f>
        <v/>
      </c>
      <c r="M301">
        <f>$C301*M300</f>
        <v/>
      </c>
      <c r="N301">
        <f>$C301*N300</f>
        <v/>
      </c>
      <c r="O301">
        <f>$C301*O300</f>
        <v/>
      </c>
      <c r="P301">
        <f>$C301*P300</f>
        <v/>
      </c>
      <c r="Q301">
        <f>$C301*Q300</f>
        <v/>
      </c>
      <c r="R301">
        <f>$C301*R300</f>
        <v/>
      </c>
      <c r="S301">
        <f>$C301*S300</f>
        <v/>
      </c>
      <c r="T301">
        <f>$C301*T300</f>
        <v/>
      </c>
      <c r="U301">
        <f>$C301*U300</f>
        <v/>
      </c>
      <c r="V301">
        <f>$C301*V300</f>
        <v/>
      </c>
      <c r="W301">
        <f>$C301*W300</f>
        <v/>
      </c>
      <c r="X301">
        <f>$C301*X300</f>
        <v/>
      </c>
      <c r="Y301">
        <f>$C301*Y300</f>
        <v/>
      </c>
      <c r="Z301">
        <f>$C301*Z300</f>
        <v/>
      </c>
      <c r="AA301">
        <f>$C301*AA300</f>
        <v/>
      </c>
      <c r="AB301">
        <f>$C301*AB300</f>
        <v/>
      </c>
      <c r="AC301">
        <f>$C301*AC300</f>
        <v/>
      </c>
      <c r="AD301">
        <f>$C301*AD300</f>
        <v/>
      </c>
      <c r="AE301">
        <f>$C301*AE300</f>
        <v/>
      </c>
      <c r="AF301">
        <f>$C301*AF300</f>
        <v/>
      </c>
      <c r="AG301">
        <f>$C301*AG300</f>
        <v/>
      </c>
      <c r="AH301">
        <f>$C301*AH300</f>
        <v/>
      </c>
      <c r="AI301">
        <f>$C301*AI300</f>
        <v/>
      </c>
      <c r="AJ301">
        <f>$C301*AJ300</f>
        <v/>
      </c>
      <c r="AK301">
        <f>$C301*AK300</f>
        <v/>
      </c>
      <c r="AL301">
        <f>$C301*AL300</f>
        <v/>
      </c>
      <c r="AM301">
        <f>$C301*AM300</f>
        <v/>
      </c>
      <c r="AN301">
        <f>$C301*AN300</f>
        <v/>
      </c>
      <c r="AO301">
        <f>$C301*AO300</f>
        <v/>
      </c>
      <c r="AP301">
        <f>$C301*AP300</f>
        <v/>
      </c>
      <c r="AQ301">
        <f>$C301*AQ300</f>
        <v/>
      </c>
      <c r="AR301">
        <f>$C301*AR300</f>
        <v/>
      </c>
      <c r="AS301">
        <f>$C301*AS300</f>
        <v/>
      </c>
      <c r="AT301">
        <f>$C301*AT300</f>
        <v/>
      </c>
      <c r="AU301">
        <f>$C301*AU300</f>
        <v/>
      </c>
      <c r="AV301">
        <f>$C301*AV300</f>
        <v/>
      </c>
      <c r="AW301">
        <f>$C301*AW300</f>
        <v/>
      </c>
      <c r="AX301">
        <f>$C301*AX300</f>
        <v/>
      </c>
      <c r="AY301">
        <f>$C301*AY300</f>
        <v/>
      </c>
      <c r="AZ301">
        <f>$C301*AZ300</f>
        <v/>
      </c>
      <c r="BA301">
        <f>$C301*BA300</f>
        <v/>
      </c>
      <c r="BB301">
        <f>$C301*BB300</f>
        <v/>
      </c>
      <c r="BC301">
        <f>$C301*BC300</f>
        <v/>
      </c>
      <c r="BD301">
        <f>$C301*BD300</f>
        <v/>
      </c>
      <c r="BE301">
        <f>$C301*BE300</f>
        <v/>
      </c>
      <c r="BF301">
        <f>$C301*BF300</f>
        <v/>
      </c>
      <c r="BG301">
        <f>$C301*BG300</f>
        <v/>
      </c>
      <c r="BH301">
        <f>$C301*BH300</f>
        <v/>
      </c>
      <c r="BI301">
        <f>$C301*BI300</f>
        <v/>
      </c>
      <c r="BJ301">
        <f>$C301*BJ300</f>
        <v/>
      </c>
      <c r="BK301">
        <f>$C301*BK300</f>
        <v/>
      </c>
      <c r="BL301">
        <f>$C301*BL300</f>
        <v/>
      </c>
      <c r="BM301">
        <f>$C301*BM300</f>
        <v/>
      </c>
      <c r="BN301">
        <f>$C301*BN300</f>
        <v/>
      </c>
      <c r="BO301">
        <f>$C301*BO300</f>
        <v/>
      </c>
      <c r="BP301">
        <f>$C301*BP300</f>
        <v/>
      </c>
      <c r="BQ301">
        <f>$C301*BQ300</f>
        <v/>
      </c>
      <c r="BR301">
        <f>$C301*BR300</f>
        <v/>
      </c>
      <c r="BS301">
        <f>$C301*BS300</f>
        <v/>
      </c>
      <c r="BT301">
        <f>$C301*BT300</f>
        <v/>
      </c>
      <c r="BU301">
        <f>$C301*BU300</f>
        <v/>
      </c>
      <c r="BV301">
        <f>$C301*BV300</f>
        <v/>
      </c>
      <c r="BW301">
        <f>$C301*BW300</f>
        <v/>
      </c>
      <c r="BX301">
        <f>$C301*BX300</f>
        <v/>
      </c>
      <c r="BY301">
        <f>$C301*BY300</f>
        <v/>
      </c>
      <c r="BZ301">
        <f>$C301*BZ300</f>
        <v/>
      </c>
      <c r="CA301">
        <f>$C301*CA300</f>
        <v/>
      </c>
      <c r="CB301">
        <f>$C301*CB300</f>
        <v/>
      </c>
      <c r="CC301">
        <f>$C301*CC300</f>
        <v/>
      </c>
      <c r="CD301">
        <f>$C301*CD300</f>
        <v/>
      </c>
      <c r="CE301">
        <f>$C301*CE300</f>
        <v/>
      </c>
      <c r="CF301">
        <f>$C301*CF300</f>
        <v/>
      </c>
      <c r="CG301">
        <f>$C301*CG300</f>
        <v/>
      </c>
      <c r="CH301">
        <f>$C301*CH300</f>
        <v/>
      </c>
      <c r="CI301">
        <f>$C301*CI300</f>
        <v/>
      </c>
      <c r="CJ301">
        <f>$C301*CJ300</f>
        <v/>
      </c>
      <c r="CK301">
        <f>$C301*CK300</f>
        <v/>
      </c>
      <c r="CL301">
        <f>$C301*CL300</f>
        <v/>
      </c>
      <c r="CM301">
        <f>$C301*CM300</f>
        <v/>
      </c>
      <c r="CN301">
        <f>$C301*CN300</f>
        <v/>
      </c>
      <c r="CO301">
        <f>$C301*CO300</f>
        <v/>
      </c>
      <c r="CP301">
        <f>$C301*CP300</f>
        <v/>
      </c>
      <c r="CQ301">
        <f>$C301*CQ300</f>
        <v/>
      </c>
      <c r="CR301">
        <f>$C301*CR300</f>
        <v/>
      </c>
      <c r="CS301">
        <f>$C301*CS300</f>
        <v/>
      </c>
      <c r="CT301">
        <f>$C301*CT300</f>
        <v/>
      </c>
      <c r="CU301">
        <f>$C301*CU300</f>
        <v/>
      </c>
      <c r="CV301">
        <f>$C301*CV300</f>
        <v/>
      </c>
      <c r="CW301">
        <f>$C301*CW300</f>
        <v/>
      </c>
      <c r="CX301">
        <f>$C301*CX300</f>
        <v/>
      </c>
      <c r="CY301">
        <f>$C301*CY300</f>
        <v/>
      </c>
      <c r="CZ301">
        <f>$C301*CZ300</f>
        <v/>
      </c>
      <c r="DA301">
        <f>$C301*DA300</f>
        <v/>
      </c>
      <c r="DB301">
        <f>$C301*DB300</f>
        <v/>
      </c>
      <c r="DC301">
        <f>$C301*DC300</f>
        <v/>
      </c>
    </row>
    <row r="302">
      <c r="B302" t="inlineStr">
        <is>
          <t>TSP-710</t>
        </is>
      </c>
      <c r="C302" t="inlineStr">
        <is>
          <t>No. of batches</t>
        </is>
      </c>
      <c r="D302">
        <f>IFERROR(INDEX(PP_Grid[#Data],$DD302,2),0)</f>
        <v/>
      </c>
      <c r="E302">
        <f>IFERROR(INDEX(PP_Grid[#Data],$DD302,3),0)</f>
        <v/>
      </c>
      <c r="F302">
        <f>IFERROR(INDEX(PP_Grid[#Data],$DD302,4),0)</f>
        <v/>
      </c>
      <c r="G302">
        <f>IFERROR(INDEX(PP_Grid[#Data],$DD302,5),0)</f>
        <v/>
      </c>
      <c r="H302">
        <f>IFERROR(INDEX(PP_Grid[#Data],$DD302,6),0)</f>
        <v/>
      </c>
      <c r="I302">
        <f>IFERROR(INDEX(PP_Grid[#Data],$DD302,7),0)</f>
        <v/>
      </c>
      <c r="J302">
        <f>IFERROR(INDEX(PP_Grid[#Data],$DD302,8),0)</f>
        <v/>
      </c>
      <c r="K302">
        <f>IFERROR(INDEX(PP_Grid[#Data],$DD302,9),0)</f>
        <v/>
      </c>
      <c r="L302">
        <f>IFERROR(INDEX(PP_Grid[#Data],$DD302,10),0)</f>
        <v/>
      </c>
      <c r="M302">
        <f>IFERROR(INDEX(PP_Grid[#Data],$DD302,11),0)</f>
        <v/>
      </c>
      <c r="N302">
        <f>IFERROR(INDEX(PP_Grid[#Data],$DD302,12),0)</f>
        <v/>
      </c>
      <c r="O302">
        <f>IFERROR(INDEX(PP_Grid[#Data],$DD302,13),0)</f>
        <v/>
      </c>
      <c r="P302">
        <f>IFERROR(INDEX(PP_Grid[#Data],$DD302,14),0)</f>
        <v/>
      </c>
      <c r="Q302">
        <f>IFERROR(INDEX(PP_Grid[#Data],$DD302,15),0)</f>
        <v/>
      </c>
      <c r="R302">
        <f>IFERROR(INDEX(PP_Grid[#Data],$DD302,16),0)</f>
        <v/>
      </c>
      <c r="S302">
        <f>IFERROR(INDEX(PP_Grid[#Data],$DD302,17),0)</f>
        <v/>
      </c>
      <c r="T302">
        <f>IFERROR(INDEX(PP_Grid[#Data],$DD302,18),0)</f>
        <v/>
      </c>
      <c r="U302">
        <f>IFERROR(INDEX(PP_Grid[#Data],$DD302,19),0)</f>
        <v/>
      </c>
      <c r="V302">
        <f>IFERROR(INDEX(PP_Grid[#Data],$DD302,20),0)</f>
        <v/>
      </c>
      <c r="W302">
        <f>IFERROR(INDEX(PP_Grid[#Data],$DD302,21),0)</f>
        <v/>
      </c>
      <c r="X302">
        <f>IFERROR(INDEX(PP_Grid[#Data],$DD302,22),0)</f>
        <v/>
      </c>
      <c r="Y302">
        <f>IFERROR(INDEX(PP_Grid[#Data],$DD302,23),0)</f>
        <v/>
      </c>
      <c r="Z302">
        <f>IFERROR(INDEX(PP_Grid[#Data],$DD302,24),0)</f>
        <v/>
      </c>
      <c r="AA302">
        <f>IFERROR(INDEX(PP_Grid[#Data],$DD302,25),0)</f>
        <v/>
      </c>
      <c r="AB302">
        <f>IFERROR(INDEX(PP_Grid[#Data],$DD302,26),0)</f>
        <v/>
      </c>
      <c r="AC302">
        <f>IFERROR(INDEX(PP_Grid[#Data],$DD302,27),0)</f>
        <v/>
      </c>
      <c r="AD302">
        <f>IFERROR(INDEX(PP_Grid[#Data],$DD302,28),0)</f>
        <v/>
      </c>
      <c r="AE302">
        <f>IFERROR(INDEX(PP_Grid[#Data],$DD302,29),0)</f>
        <v/>
      </c>
      <c r="AF302">
        <f>IFERROR(INDEX(PP_Grid[#Data],$DD302,30),0)</f>
        <v/>
      </c>
      <c r="AG302">
        <f>IFERROR(INDEX(PP_Grid[#Data],$DD302,31),0)</f>
        <v/>
      </c>
      <c r="AH302">
        <f>IFERROR(INDEX(PP_Grid[#Data],$DD302,32),0)</f>
        <v/>
      </c>
      <c r="AI302">
        <f>IFERROR(INDEX(PP_Grid[#Data],$DD302,33),0)</f>
        <v/>
      </c>
      <c r="AJ302">
        <f>IFERROR(INDEX(PP_Grid[#Data],$DD302,34),0)</f>
        <v/>
      </c>
      <c r="AK302">
        <f>IFERROR(INDEX(PP_Grid[#Data],$DD302,35),0)</f>
        <v/>
      </c>
      <c r="AL302">
        <f>IFERROR(INDEX(PP_Grid[#Data],$DD302,36),0)</f>
        <v/>
      </c>
      <c r="AM302">
        <f>IFERROR(INDEX(PP_Grid[#Data],$DD302,37),0)</f>
        <v/>
      </c>
      <c r="AN302">
        <f>IFERROR(INDEX(PP_Grid[#Data],$DD302,38),0)</f>
        <v/>
      </c>
      <c r="AO302">
        <f>IFERROR(INDEX(PP_Grid[#Data],$DD302,39),0)</f>
        <v/>
      </c>
      <c r="AP302">
        <f>IFERROR(INDEX(PP_Grid[#Data],$DD302,40),0)</f>
        <v/>
      </c>
      <c r="AQ302">
        <f>IFERROR(INDEX(PP_Grid[#Data],$DD302,41),0)</f>
        <v/>
      </c>
      <c r="AR302">
        <f>IFERROR(INDEX(PP_Grid[#Data],$DD302,42),0)</f>
        <v/>
      </c>
      <c r="AS302">
        <f>IFERROR(INDEX(PP_Grid[#Data],$DD302,43),0)</f>
        <v/>
      </c>
      <c r="AT302">
        <f>IFERROR(INDEX(PP_Grid[#Data],$DD302,44),0)</f>
        <v/>
      </c>
      <c r="AU302">
        <f>IFERROR(INDEX(PP_Grid[#Data],$DD302,45),0)</f>
        <v/>
      </c>
      <c r="AV302">
        <f>IFERROR(INDEX(PP_Grid[#Data],$DD302,46),0)</f>
        <v/>
      </c>
      <c r="AW302">
        <f>IFERROR(INDEX(PP_Grid[#Data],$DD302,47),0)</f>
        <v/>
      </c>
      <c r="AX302">
        <f>IFERROR(INDEX(PP_Grid[#Data],$DD302,48),0)</f>
        <v/>
      </c>
      <c r="AY302">
        <f>IFERROR(INDEX(PP_Grid[#Data],$DD302,49),0)</f>
        <v/>
      </c>
      <c r="AZ302">
        <f>IFERROR(INDEX(PP_Grid[#Data],$DD302,50),0)</f>
        <v/>
      </c>
      <c r="BA302">
        <f>IFERROR(INDEX(PP_Grid[#Data],$DD302,51),0)</f>
        <v/>
      </c>
      <c r="BB302">
        <f>IFERROR(INDEX(PP_Grid[#Data],$DD302,52),0)</f>
        <v/>
      </c>
      <c r="BC302">
        <f>IFERROR(INDEX(PP_Grid[#Data],$DD302,53),0)</f>
        <v/>
      </c>
      <c r="BD302">
        <f>IFERROR(INDEX(PP_Grid[#Data],$DD302,54),0)</f>
        <v/>
      </c>
      <c r="BE302">
        <f>IFERROR(INDEX(PP_Grid[#Data],$DD302,55),0)</f>
        <v/>
      </c>
      <c r="BF302">
        <f>IFERROR(INDEX(PP_Grid[#Data],$DD302,56),0)</f>
        <v/>
      </c>
      <c r="BG302">
        <f>IFERROR(INDEX(PP_Grid[#Data],$DD302,57),0)</f>
        <v/>
      </c>
      <c r="BH302">
        <f>IFERROR(INDEX(PP_Grid[#Data],$DD302,58),0)</f>
        <v/>
      </c>
      <c r="BI302">
        <f>IFERROR(INDEX(PP_Grid[#Data],$DD302,59),0)</f>
        <v/>
      </c>
      <c r="BJ302">
        <f>IFERROR(INDEX(PP_Grid[#Data],$DD302,60),0)</f>
        <v/>
      </c>
      <c r="BK302">
        <f>IFERROR(INDEX(PP_Grid[#Data],$DD302,61),0)</f>
        <v/>
      </c>
      <c r="BL302">
        <f>IFERROR(INDEX(PP_Grid[#Data],$DD302,62),0)</f>
        <v/>
      </c>
      <c r="BM302">
        <f>IFERROR(INDEX(PP_Grid[#Data],$DD302,63),0)</f>
        <v/>
      </c>
      <c r="BN302">
        <f>IFERROR(INDEX(PP_Grid[#Data],$DD302,64),0)</f>
        <v/>
      </c>
      <c r="BO302">
        <f>IFERROR(INDEX(PP_Grid[#Data],$DD302,65),0)</f>
        <v/>
      </c>
      <c r="BP302">
        <f>IFERROR(INDEX(PP_Grid[#Data],$DD302,66),0)</f>
        <v/>
      </c>
      <c r="BQ302">
        <f>IFERROR(INDEX(PP_Grid[#Data],$DD302,67),0)</f>
        <v/>
      </c>
      <c r="BR302">
        <f>IFERROR(INDEX(PP_Grid[#Data],$DD302,68),0)</f>
        <v/>
      </c>
      <c r="BS302">
        <f>IFERROR(INDEX(PP_Grid[#Data],$DD302,69),0)</f>
        <v/>
      </c>
      <c r="BT302">
        <f>IFERROR(INDEX(PP_Grid[#Data],$DD302,70),0)</f>
        <v/>
      </c>
      <c r="BU302">
        <f>IFERROR(INDEX(PP_Grid[#Data],$DD302,71),0)</f>
        <v/>
      </c>
      <c r="BV302">
        <f>IFERROR(INDEX(PP_Grid[#Data],$DD302,72),0)</f>
        <v/>
      </c>
      <c r="BW302">
        <f>IFERROR(INDEX(PP_Grid[#Data],$DD302,73),0)</f>
        <v/>
      </c>
      <c r="BX302">
        <f>IFERROR(INDEX(PP_Grid[#Data],$DD302,74),0)</f>
        <v/>
      </c>
      <c r="BY302">
        <f>IFERROR(INDEX(PP_Grid[#Data],$DD302,75),0)</f>
        <v/>
      </c>
      <c r="BZ302">
        <f>IFERROR(INDEX(PP_Grid[#Data],$DD302,76),0)</f>
        <v/>
      </c>
      <c r="CA302">
        <f>IFERROR(INDEX(PP_Grid[#Data],$DD302,77),0)</f>
        <v/>
      </c>
      <c r="CB302">
        <f>IFERROR(INDEX(PP_Grid[#Data],$DD302,78),0)</f>
        <v/>
      </c>
      <c r="CC302">
        <f>IFERROR(INDEX(PP_Grid[#Data],$DD302,79),0)</f>
        <v/>
      </c>
      <c r="CD302">
        <f>IFERROR(INDEX(PP_Grid[#Data],$DD302,80),0)</f>
        <v/>
      </c>
      <c r="CE302">
        <f>IFERROR(INDEX(PP_Grid[#Data],$DD302,81),0)</f>
        <v/>
      </c>
      <c r="CF302">
        <f>IFERROR(INDEX(PP_Grid[#Data],$DD302,82),0)</f>
        <v/>
      </c>
      <c r="CG302">
        <f>IFERROR(INDEX(PP_Grid[#Data],$DD302,83),0)</f>
        <v/>
      </c>
      <c r="CH302">
        <f>IFERROR(INDEX(PP_Grid[#Data],$DD302,84),0)</f>
        <v/>
      </c>
      <c r="CI302">
        <f>IFERROR(INDEX(PP_Grid[#Data],$DD302,85),0)</f>
        <v/>
      </c>
      <c r="CJ302">
        <f>IFERROR(INDEX(PP_Grid[#Data],$DD302,86),0)</f>
        <v/>
      </c>
      <c r="CK302">
        <f>IFERROR(INDEX(PP_Grid[#Data],$DD302,87),0)</f>
        <v/>
      </c>
      <c r="CL302">
        <f>IFERROR(INDEX(PP_Grid[#Data],$DD302,88),0)</f>
        <v/>
      </c>
      <c r="CM302">
        <f>IFERROR(INDEX(PP_Grid[#Data],$DD302,89),0)</f>
        <v/>
      </c>
      <c r="CN302">
        <f>IFERROR(INDEX(PP_Grid[#Data],$DD302,90),0)</f>
        <v/>
      </c>
      <c r="CO302">
        <f>IFERROR(INDEX(PP_Grid[#Data],$DD302,91),0)</f>
        <v/>
      </c>
      <c r="CP302">
        <f>IFERROR(INDEX(PP_Grid[#Data],$DD302,92),0)</f>
        <v/>
      </c>
      <c r="CQ302">
        <f>IFERROR(INDEX(PP_Grid[#Data],$DD302,93),0)</f>
        <v/>
      </c>
      <c r="CR302">
        <f>IFERROR(INDEX(PP_Grid[#Data],$DD302,94),0)</f>
        <v/>
      </c>
      <c r="CS302">
        <f>IFERROR(INDEX(PP_Grid[#Data],$DD302,95),0)</f>
        <v/>
      </c>
      <c r="CT302">
        <f>IFERROR(INDEX(PP_Grid[#Data],$DD302,96),0)</f>
        <v/>
      </c>
      <c r="CU302">
        <f>IFERROR(INDEX(PP_Grid[#Data],$DD302,97),0)</f>
        <v/>
      </c>
      <c r="CV302">
        <f>IFERROR(INDEX(PP_Grid[#Data],$DD302,98),0)</f>
        <v/>
      </c>
      <c r="CW302">
        <f>IFERROR(INDEX(PP_Grid[#Data],$DD302,99),0)</f>
        <v/>
      </c>
      <c r="CX302">
        <f>IFERROR(INDEX(PP_Grid[#Data],$DD302,100),0)</f>
        <v/>
      </c>
      <c r="CY302">
        <f>IFERROR(INDEX(PP_Grid[#Data],$DD302,101),0)</f>
        <v/>
      </c>
      <c r="CZ302">
        <f>IFERROR(INDEX(PP_Grid[#Data],$DD302,102),0)</f>
        <v/>
      </c>
      <c r="DA302">
        <f>IFERROR(INDEX(PP_Grid[#Data],$DD302,103),0)</f>
        <v/>
      </c>
      <c r="DB302">
        <f>IFERROR(INDEX(PP_Grid[#Data],$DD302,104),0)</f>
        <v/>
      </c>
      <c r="DC302">
        <f>IFERROR(INDEX(PP_Grid[#Data],$DD302,105),0)</f>
        <v/>
      </c>
      <c r="DD302" s="12">
        <f>IFERROR(MATCH($B302,PP_Grid[Intermediate],0),99999)</f>
        <v/>
      </c>
    </row>
    <row r="303">
      <c r="B303" t="inlineStr">
        <is>
          <t>使用量(kg)</t>
        </is>
      </c>
      <c r="C303">
        <f>SUMIFS(M_BOM[RM_Qty_Per_Batch],M_BOM[Intermediate],$B302,M_BOM[Part Name],$A295)</f>
        <v/>
      </c>
      <c r="D303">
        <f>$C303*D302</f>
        <v/>
      </c>
      <c r="E303">
        <f>$C303*E302</f>
        <v/>
      </c>
      <c r="F303">
        <f>$C303*F302</f>
        <v/>
      </c>
      <c r="G303">
        <f>$C303*G302</f>
        <v/>
      </c>
      <c r="H303">
        <f>$C303*H302</f>
        <v/>
      </c>
      <c r="I303">
        <f>$C303*I302</f>
        <v/>
      </c>
      <c r="J303">
        <f>$C303*J302</f>
        <v/>
      </c>
      <c r="K303">
        <f>$C303*K302</f>
        <v/>
      </c>
      <c r="L303">
        <f>$C303*L302</f>
        <v/>
      </c>
      <c r="M303">
        <f>$C303*M302</f>
        <v/>
      </c>
      <c r="N303">
        <f>$C303*N302</f>
        <v/>
      </c>
      <c r="O303">
        <f>$C303*O302</f>
        <v/>
      </c>
      <c r="P303">
        <f>$C303*P302</f>
        <v/>
      </c>
      <c r="Q303">
        <f>$C303*Q302</f>
        <v/>
      </c>
      <c r="R303">
        <f>$C303*R302</f>
        <v/>
      </c>
      <c r="S303">
        <f>$C303*S302</f>
        <v/>
      </c>
      <c r="T303">
        <f>$C303*T302</f>
        <v/>
      </c>
      <c r="U303">
        <f>$C303*U302</f>
        <v/>
      </c>
      <c r="V303">
        <f>$C303*V302</f>
        <v/>
      </c>
      <c r="W303">
        <f>$C303*W302</f>
        <v/>
      </c>
      <c r="X303">
        <f>$C303*X302</f>
        <v/>
      </c>
      <c r="Y303">
        <f>$C303*Y302</f>
        <v/>
      </c>
      <c r="Z303">
        <f>$C303*Z302</f>
        <v/>
      </c>
      <c r="AA303">
        <f>$C303*AA302</f>
        <v/>
      </c>
      <c r="AB303">
        <f>$C303*AB302</f>
        <v/>
      </c>
      <c r="AC303">
        <f>$C303*AC302</f>
        <v/>
      </c>
      <c r="AD303">
        <f>$C303*AD302</f>
        <v/>
      </c>
      <c r="AE303">
        <f>$C303*AE302</f>
        <v/>
      </c>
      <c r="AF303">
        <f>$C303*AF302</f>
        <v/>
      </c>
      <c r="AG303">
        <f>$C303*AG302</f>
        <v/>
      </c>
      <c r="AH303">
        <f>$C303*AH302</f>
        <v/>
      </c>
      <c r="AI303">
        <f>$C303*AI302</f>
        <v/>
      </c>
      <c r="AJ303">
        <f>$C303*AJ302</f>
        <v/>
      </c>
      <c r="AK303">
        <f>$C303*AK302</f>
        <v/>
      </c>
      <c r="AL303">
        <f>$C303*AL302</f>
        <v/>
      </c>
      <c r="AM303">
        <f>$C303*AM302</f>
        <v/>
      </c>
      <c r="AN303">
        <f>$C303*AN302</f>
        <v/>
      </c>
      <c r="AO303">
        <f>$C303*AO302</f>
        <v/>
      </c>
      <c r="AP303">
        <f>$C303*AP302</f>
        <v/>
      </c>
      <c r="AQ303">
        <f>$C303*AQ302</f>
        <v/>
      </c>
      <c r="AR303">
        <f>$C303*AR302</f>
        <v/>
      </c>
      <c r="AS303">
        <f>$C303*AS302</f>
        <v/>
      </c>
      <c r="AT303">
        <f>$C303*AT302</f>
        <v/>
      </c>
      <c r="AU303">
        <f>$C303*AU302</f>
        <v/>
      </c>
      <c r="AV303">
        <f>$C303*AV302</f>
        <v/>
      </c>
      <c r="AW303">
        <f>$C303*AW302</f>
        <v/>
      </c>
      <c r="AX303">
        <f>$C303*AX302</f>
        <v/>
      </c>
      <c r="AY303">
        <f>$C303*AY302</f>
        <v/>
      </c>
      <c r="AZ303">
        <f>$C303*AZ302</f>
        <v/>
      </c>
      <c r="BA303">
        <f>$C303*BA302</f>
        <v/>
      </c>
      <c r="BB303">
        <f>$C303*BB302</f>
        <v/>
      </c>
      <c r="BC303">
        <f>$C303*BC302</f>
        <v/>
      </c>
      <c r="BD303">
        <f>$C303*BD302</f>
        <v/>
      </c>
      <c r="BE303">
        <f>$C303*BE302</f>
        <v/>
      </c>
      <c r="BF303">
        <f>$C303*BF302</f>
        <v/>
      </c>
      <c r="BG303">
        <f>$C303*BG302</f>
        <v/>
      </c>
      <c r="BH303">
        <f>$C303*BH302</f>
        <v/>
      </c>
      <c r="BI303">
        <f>$C303*BI302</f>
        <v/>
      </c>
      <c r="BJ303">
        <f>$C303*BJ302</f>
        <v/>
      </c>
      <c r="BK303">
        <f>$C303*BK302</f>
        <v/>
      </c>
      <c r="BL303">
        <f>$C303*BL302</f>
        <v/>
      </c>
      <c r="BM303">
        <f>$C303*BM302</f>
        <v/>
      </c>
      <c r="BN303">
        <f>$C303*BN302</f>
        <v/>
      </c>
      <c r="BO303">
        <f>$C303*BO302</f>
        <v/>
      </c>
      <c r="BP303">
        <f>$C303*BP302</f>
        <v/>
      </c>
      <c r="BQ303">
        <f>$C303*BQ302</f>
        <v/>
      </c>
      <c r="BR303">
        <f>$C303*BR302</f>
        <v/>
      </c>
      <c r="BS303">
        <f>$C303*BS302</f>
        <v/>
      </c>
      <c r="BT303">
        <f>$C303*BT302</f>
        <v/>
      </c>
      <c r="BU303">
        <f>$C303*BU302</f>
        <v/>
      </c>
      <c r="BV303">
        <f>$C303*BV302</f>
        <v/>
      </c>
      <c r="BW303">
        <f>$C303*BW302</f>
        <v/>
      </c>
      <c r="BX303">
        <f>$C303*BX302</f>
        <v/>
      </c>
      <c r="BY303">
        <f>$C303*BY302</f>
        <v/>
      </c>
      <c r="BZ303">
        <f>$C303*BZ302</f>
        <v/>
      </c>
      <c r="CA303">
        <f>$C303*CA302</f>
        <v/>
      </c>
      <c r="CB303">
        <f>$C303*CB302</f>
        <v/>
      </c>
      <c r="CC303">
        <f>$C303*CC302</f>
        <v/>
      </c>
      <c r="CD303">
        <f>$C303*CD302</f>
        <v/>
      </c>
      <c r="CE303">
        <f>$C303*CE302</f>
        <v/>
      </c>
      <c r="CF303">
        <f>$C303*CF302</f>
        <v/>
      </c>
      <c r="CG303">
        <f>$C303*CG302</f>
        <v/>
      </c>
      <c r="CH303">
        <f>$C303*CH302</f>
        <v/>
      </c>
      <c r="CI303">
        <f>$C303*CI302</f>
        <v/>
      </c>
      <c r="CJ303">
        <f>$C303*CJ302</f>
        <v/>
      </c>
      <c r="CK303">
        <f>$C303*CK302</f>
        <v/>
      </c>
      <c r="CL303">
        <f>$C303*CL302</f>
        <v/>
      </c>
      <c r="CM303">
        <f>$C303*CM302</f>
        <v/>
      </c>
      <c r="CN303">
        <f>$C303*CN302</f>
        <v/>
      </c>
      <c r="CO303">
        <f>$C303*CO302</f>
        <v/>
      </c>
      <c r="CP303">
        <f>$C303*CP302</f>
        <v/>
      </c>
      <c r="CQ303">
        <f>$C303*CQ302</f>
        <v/>
      </c>
      <c r="CR303">
        <f>$C303*CR302</f>
        <v/>
      </c>
      <c r="CS303">
        <f>$C303*CS302</f>
        <v/>
      </c>
      <c r="CT303">
        <f>$C303*CT302</f>
        <v/>
      </c>
      <c r="CU303">
        <f>$C303*CU302</f>
        <v/>
      </c>
      <c r="CV303">
        <f>$C303*CV302</f>
        <v/>
      </c>
      <c r="CW303">
        <f>$C303*CW302</f>
        <v/>
      </c>
      <c r="CX303">
        <f>$C303*CX302</f>
        <v/>
      </c>
      <c r="CY303">
        <f>$C303*CY302</f>
        <v/>
      </c>
      <c r="CZ303">
        <f>$C303*CZ302</f>
        <v/>
      </c>
      <c r="DA303">
        <f>$C303*DA302</f>
        <v/>
      </c>
      <c r="DB303">
        <f>$C303*DB302</f>
        <v/>
      </c>
      <c r="DC303">
        <f>$C303*DC302</f>
        <v/>
      </c>
    </row>
    <row r="304">
      <c r="B304" s="5" t="inlineStr">
        <is>
          <t>合計使用量(kg)/週</t>
        </is>
      </c>
      <c r="D304">
        <f>'Grid_Requirement'!B26</f>
        <v/>
      </c>
      <c r="E304">
        <f>'Grid_Requirement'!C26</f>
        <v/>
      </c>
      <c r="F304">
        <f>'Grid_Requirement'!D26</f>
        <v/>
      </c>
      <c r="G304">
        <f>'Grid_Requirement'!E26</f>
        <v/>
      </c>
      <c r="H304">
        <f>'Grid_Requirement'!F26</f>
        <v/>
      </c>
      <c r="I304">
        <f>'Grid_Requirement'!G26</f>
        <v/>
      </c>
      <c r="J304">
        <f>'Grid_Requirement'!H26</f>
        <v/>
      </c>
      <c r="K304">
        <f>'Grid_Requirement'!I26</f>
        <v/>
      </c>
      <c r="L304">
        <f>'Grid_Requirement'!J26</f>
        <v/>
      </c>
      <c r="M304">
        <f>'Grid_Requirement'!K26</f>
        <v/>
      </c>
      <c r="N304">
        <f>'Grid_Requirement'!L26</f>
        <v/>
      </c>
      <c r="O304">
        <f>'Grid_Requirement'!M26</f>
        <v/>
      </c>
      <c r="P304">
        <f>'Grid_Requirement'!N26</f>
        <v/>
      </c>
      <c r="Q304">
        <f>'Grid_Requirement'!O26</f>
        <v/>
      </c>
      <c r="R304">
        <f>'Grid_Requirement'!P26</f>
        <v/>
      </c>
      <c r="S304">
        <f>'Grid_Requirement'!Q26</f>
        <v/>
      </c>
      <c r="T304">
        <f>'Grid_Requirement'!R26</f>
        <v/>
      </c>
      <c r="U304">
        <f>'Grid_Requirement'!S26</f>
        <v/>
      </c>
      <c r="V304">
        <f>'Grid_Requirement'!T26</f>
        <v/>
      </c>
      <c r="W304">
        <f>'Grid_Requirement'!U26</f>
        <v/>
      </c>
      <c r="X304">
        <f>'Grid_Requirement'!V26</f>
        <v/>
      </c>
      <c r="Y304">
        <f>'Grid_Requirement'!W26</f>
        <v/>
      </c>
      <c r="Z304">
        <f>'Grid_Requirement'!X26</f>
        <v/>
      </c>
      <c r="AA304">
        <f>'Grid_Requirement'!Y26</f>
        <v/>
      </c>
      <c r="AB304">
        <f>'Grid_Requirement'!Z26</f>
        <v/>
      </c>
      <c r="AC304">
        <f>'Grid_Requirement'!AA26</f>
        <v/>
      </c>
      <c r="AD304">
        <f>'Grid_Requirement'!AB26</f>
        <v/>
      </c>
      <c r="AE304">
        <f>'Grid_Requirement'!AC26</f>
        <v/>
      </c>
      <c r="AF304">
        <f>'Grid_Requirement'!AD26</f>
        <v/>
      </c>
      <c r="AG304">
        <f>'Grid_Requirement'!AE26</f>
        <v/>
      </c>
      <c r="AH304">
        <f>'Grid_Requirement'!AF26</f>
        <v/>
      </c>
      <c r="AI304">
        <f>'Grid_Requirement'!AG26</f>
        <v/>
      </c>
      <c r="AJ304">
        <f>'Grid_Requirement'!AH26</f>
        <v/>
      </c>
      <c r="AK304">
        <f>'Grid_Requirement'!AI26</f>
        <v/>
      </c>
      <c r="AL304">
        <f>'Grid_Requirement'!AJ26</f>
        <v/>
      </c>
      <c r="AM304">
        <f>'Grid_Requirement'!AK26</f>
        <v/>
      </c>
      <c r="AN304">
        <f>'Grid_Requirement'!AL26</f>
        <v/>
      </c>
      <c r="AO304">
        <f>'Grid_Requirement'!AM26</f>
        <v/>
      </c>
      <c r="AP304">
        <f>'Grid_Requirement'!AN26</f>
        <v/>
      </c>
      <c r="AQ304">
        <f>'Grid_Requirement'!AO26</f>
        <v/>
      </c>
      <c r="AR304">
        <f>'Grid_Requirement'!AP26</f>
        <v/>
      </c>
      <c r="AS304">
        <f>'Grid_Requirement'!AQ26</f>
        <v/>
      </c>
      <c r="AT304">
        <f>'Grid_Requirement'!AR26</f>
        <v/>
      </c>
      <c r="AU304">
        <f>'Grid_Requirement'!AS26</f>
        <v/>
      </c>
      <c r="AV304">
        <f>'Grid_Requirement'!AT26</f>
        <v/>
      </c>
      <c r="AW304">
        <f>'Grid_Requirement'!AU26</f>
        <v/>
      </c>
      <c r="AX304">
        <f>'Grid_Requirement'!AV26</f>
        <v/>
      </c>
      <c r="AY304">
        <f>'Grid_Requirement'!AW26</f>
        <v/>
      </c>
      <c r="AZ304">
        <f>'Grid_Requirement'!AX26</f>
        <v/>
      </c>
      <c r="BA304">
        <f>'Grid_Requirement'!AY26</f>
        <v/>
      </c>
      <c r="BB304">
        <f>'Grid_Requirement'!AZ26</f>
        <v/>
      </c>
      <c r="BC304">
        <f>'Grid_Requirement'!BA26</f>
        <v/>
      </c>
      <c r="BD304">
        <f>'Grid_Requirement'!BB26</f>
        <v/>
      </c>
      <c r="BE304">
        <f>'Grid_Requirement'!BC26</f>
        <v/>
      </c>
      <c r="BF304">
        <f>'Grid_Requirement'!BD26</f>
        <v/>
      </c>
      <c r="BG304">
        <f>'Grid_Requirement'!BE26</f>
        <v/>
      </c>
      <c r="BH304">
        <f>'Grid_Requirement'!BF26</f>
        <v/>
      </c>
      <c r="BI304">
        <f>'Grid_Requirement'!BG26</f>
        <v/>
      </c>
      <c r="BJ304">
        <f>'Grid_Requirement'!BH26</f>
        <v/>
      </c>
      <c r="BK304">
        <f>'Grid_Requirement'!BI26</f>
        <v/>
      </c>
      <c r="BL304">
        <f>'Grid_Requirement'!BJ26</f>
        <v/>
      </c>
      <c r="BM304">
        <f>'Grid_Requirement'!BK26</f>
        <v/>
      </c>
      <c r="BN304">
        <f>'Grid_Requirement'!BL26</f>
        <v/>
      </c>
      <c r="BO304">
        <f>'Grid_Requirement'!BM26</f>
        <v/>
      </c>
      <c r="BP304">
        <f>'Grid_Requirement'!BN26</f>
        <v/>
      </c>
      <c r="BQ304">
        <f>'Grid_Requirement'!BO26</f>
        <v/>
      </c>
      <c r="BR304">
        <f>'Grid_Requirement'!BP26</f>
        <v/>
      </c>
      <c r="BS304">
        <f>'Grid_Requirement'!BQ26</f>
        <v/>
      </c>
      <c r="BT304">
        <f>'Grid_Requirement'!BR26</f>
        <v/>
      </c>
      <c r="BU304">
        <f>'Grid_Requirement'!BS26</f>
        <v/>
      </c>
      <c r="BV304">
        <f>'Grid_Requirement'!BT26</f>
        <v/>
      </c>
      <c r="BW304">
        <f>'Grid_Requirement'!BU26</f>
        <v/>
      </c>
      <c r="BX304">
        <f>'Grid_Requirement'!BV26</f>
        <v/>
      </c>
      <c r="BY304">
        <f>'Grid_Requirement'!BW26</f>
        <v/>
      </c>
      <c r="BZ304">
        <f>'Grid_Requirement'!BX26</f>
        <v/>
      </c>
      <c r="CA304">
        <f>'Grid_Requirement'!BY26</f>
        <v/>
      </c>
      <c r="CB304">
        <f>'Grid_Requirement'!BZ26</f>
        <v/>
      </c>
      <c r="CC304">
        <f>'Grid_Requirement'!CA26</f>
        <v/>
      </c>
      <c r="CD304">
        <f>'Grid_Requirement'!CB26</f>
        <v/>
      </c>
      <c r="CE304">
        <f>'Grid_Requirement'!CC26</f>
        <v/>
      </c>
      <c r="CF304">
        <f>'Grid_Requirement'!CD26</f>
        <v/>
      </c>
      <c r="CG304">
        <f>'Grid_Requirement'!CE26</f>
        <v/>
      </c>
      <c r="CH304">
        <f>'Grid_Requirement'!CF26</f>
        <v/>
      </c>
      <c r="CI304">
        <f>'Grid_Requirement'!CG26</f>
        <v/>
      </c>
      <c r="CJ304">
        <f>'Grid_Requirement'!CH26</f>
        <v/>
      </c>
      <c r="CK304">
        <f>'Grid_Requirement'!CI26</f>
        <v/>
      </c>
      <c r="CL304">
        <f>'Grid_Requirement'!CJ26</f>
        <v/>
      </c>
      <c r="CM304">
        <f>'Grid_Requirement'!CK26</f>
        <v/>
      </c>
      <c r="CN304">
        <f>'Grid_Requirement'!CL26</f>
        <v/>
      </c>
      <c r="CO304">
        <f>'Grid_Requirement'!CM26</f>
        <v/>
      </c>
      <c r="CP304">
        <f>'Grid_Requirement'!CN26</f>
        <v/>
      </c>
      <c r="CQ304">
        <f>'Grid_Requirement'!CO26</f>
        <v/>
      </c>
      <c r="CR304">
        <f>'Grid_Requirement'!CP26</f>
        <v/>
      </c>
      <c r="CS304">
        <f>'Grid_Requirement'!CQ26</f>
        <v/>
      </c>
      <c r="CT304">
        <f>'Grid_Requirement'!CR26</f>
        <v/>
      </c>
      <c r="CU304">
        <f>'Grid_Requirement'!CS26</f>
        <v/>
      </c>
      <c r="CV304">
        <f>'Grid_Requirement'!CT26</f>
        <v/>
      </c>
      <c r="CW304">
        <f>'Grid_Requirement'!CU26</f>
        <v/>
      </c>
      <c r="CX304">
        <f>'Grid_Requirement'!CV26</f>
        <v/>
      </c>
      <c r="CY304">
        <f>'Grid_Requirement'!CW26</f>
        <v/>
      </c>
      <c r="CZ304">
        <f>'Grid_Requirement'!CX26</f>
        <v/>
      </c>
      <c r="DA304">
        <f>'Grid_Requirement'!CY26</f>
        <v/>
      </c>
      <c r="DB304">
        <f>'Grid_Requirement'!CZ26</f>
        <v/>
      </c>
      <c r="DC304">
        <f>'Grid_Requirement'!DA26</f>
        <v/>
      </c>
    </row>
    <row r="305">
      <c r="B305" t="inlineStr">
        <is>
          <t>TTAF在庫(実績,kg)</t>
        </is>
      </c>
      <c r="D305">
        <f>'T_TTAFStock'!B30</f>
        <v/>
      </c>
      <c r="E305">
        <f>'T_TTAFStock'!C30</f>
        <v/>
      </c>
      <c r="F305">
        <f>'T_TTAFStock'!D30</f>
        <v/>
      </c>
      <c r="G305">
        <f>'T_TTAFStock'!E30</f>
        <v/>
      </c>
      <c r="H305">
        <f>'T_TTAFStock'!F30</f>
        <v/>
      </c>
      <c r="I305">
        <f>'T_TTAFStock'!G30</f>
        <v/>
      </c>
      <c r="J305">
        <f>'T_TTAFStock'!H30</f>
        <v/>
      </c>
      <c r="K305">
        <f>'T_TTAFStock'!I30</f>
        <v/>
      </c>
      <c r="L305">
        <f>'T_TTAFStock'!J30</f>
        <v/>
      </c>
      <c r="M305">
        <f>'T_TTAFStock'!K30</f>
        <v/>
      </c>
      <c r="N305">
        <f>'T_TTAFStock'!L30</f>
        <v/>
      </c>
      <c r="O305">
        <f>'T_TTAFStock'!M30</f>
        <v/>
      </c>
      <c r="P305">
        <f>'T_TTAFStock'!N30</f>
        <v/>
      </c>
      <c r="Q305">
        <f>'T_TTAFStock'!O30</f>
        <v/>
      </c>
      <c r="R305">
        <f>'T_TTAFStock'!P30</f>
        <v/>
      </c>
      <c r="S305">
        <f>'T_TTAFStock'!Q30</f>
        <v/>
      </c>
      <c r="T305">
        <f>'T_TTAFStock'!R30</f>
        <v/>
      </c>
      <c r="U305">
        <f>'T_TTAFStock'!S30</f>
        <v/>
      </c>
      <c r="V305">
        <f>'T_TTAFStock'!T30</f>
        <v/>
      </c>
      <c r="W305">
        <f>'T_TTAFStock'!U30</f>
        <v/>
      </c>
      <c r="X305">
        <f>'T_TTAFStock'!V30</f>
        <v/>
      </c>
      <c r="Y305">
        <f>'T_TTAFStock'!W30</f>
        <v/>
      </c>
      <c r="Z305">
        <f>'T_TTAFStock'!X30</f>
        <v/>
      </c>
      <c r="AA305">
        <f>'T_TTAFStock'!Y30</f>
        <v/>
      </c>
      <c r="AB305">
        <f>'T_TTAFStock'!Z30</f>
        <v/>
      </c>
      <c r="AC305">
        <f>'T_TTAFStock'!AA30</f>
        <v/>
      </c>
      <c r="AD305">
        <f>'T_TTAFStock'!AB30</f>
        <v/>
      </c>
      <c r="AE305">
        <f>'T_TTAFStock'!AC30</f>
        <v/>
      </c>
      <c r="AF305">
        <f>'T_TTAFStock'!AD30</f>
        <v/>
      </c>
      <c r="AG305">
        <f>'T_TTAFStock'!AE30</f>
        <v/>
      </c>
      <c r="AH305">
        <f>'T_TTAFStock'!AF30</f>
        <v/>
      </c>
      <c r="AI305">
        <f>'T_TTAFStock'!AG30</f>
        <v/>
      </c>
      <c r="AJ305">
        <f>'T_TTAFStock'!AH30</f>
        <v/>
      </c>
      <c r="AK305">
        <f>'T_TTAFStock'!AI30</f>
        <v/>
      </c>
      <c r="AL305">
        <f>'T_TTAFStock'!AJ30</f>
        <v/>
      </c>
      <c r="AM305">
        <f>'T_TTAFStock'!AK30</f>
        <v/>
      </c>
      <c r="AN305">
        <f>'T_TTAFStock'!AL30</f>
        <v/>
      </c>
      <c r="AO305">
        <f>'T_TTAFStock'!AM30</f>
        <v/>
      </c>
      <c r="AP305">
        <f>'T_TTAFStock'!AN30</f>
        <v/>
      </c>
      <c r="AQ305">
        <f>'T_TTAFStock'!AO30</f>
        <v/>
      </c>
      <c r="AR305">
        <f>'T_TTAFStock'!AP30</f>
        <v/>
      </c>
      <c r="AS305">
        <f>'T_TTAFStock'!AQ30</f>
        <v/>
      </c>
      <c r="AT305">
        <f>'T_TTAFStock'!AR30</f>
        <v/>
      </c>
      <c r="AU305">
        <f>'T_TTAFStock'!AS30</f>
        <v/>
      </c>
      <c r="AV305">
        <f>'T_TTAFStock'!AT30</f>
        <v/>
      </c>
      <c r="AW305">
        <f>'T_TTAFStock'!AU30</f>
        <v/>
      </c>
      <c r="AX305">
        <f>'T_TTAFStock'!AV30</f>
        <v/>
      </c>
      <c r="AY305">
        <f>'T_TTAFStock'!AW30</f>
        <v/>
      </c>
      <c r="AZ305">
        <f>'T_TTAFStock'!AX30</f>
        <v/>
      </c>
      <c r="BA305">
        <f>'T_TTAFStock'!AY30</f>
        <v/>
      </c>
      <c r="BB305">
        <f>'T_TTAFStock'!AZ30</f>
        <v/>
      </c>
      <c r="BC305">
        <f>'T_TTAFStock'!BA30</f>
        <v/>
      </c>
      <c r="BD305">
        <f>'T_TTAFStock'!BB30</f>
        <v/>
      </c>
      <c r="BE305">
        <f>'T_TTAFStock'!BC30</f>
        <v/>
      </c>
      <c r="BF305">
        <f>'T_TTAFStock'!BD30</f>
        <v/>
      </c>
      <c r="BG305">
        <f>'T_TTAFStock'!BE30</f>
        <v/>
      </c>
      <c r="BH305">
        <f>'T_TTAFStock'!BF30</f>
        <v/>
      </c>
      <c r="BI305">
        <f>'T_TTAFStock'!BG30</f>
        <v/>
      </c>
      <c r="BJ305">
        <f>'T_TTAFStock'!BH30</f>
        <v/>
      </c>
      <c r="BK305">
        <f>'T_TTAFStock'!BI30</f>
        <v/>
      </c>
      <c r="BL305">
        <f>'T_TTAFStock'!BJ30</f>
        <v/>
      </c>
      <c r="BM305">
        <f>'T_TTAFStock'!BK30</f>
        <v/>
      </c>
      <c r="BN305">
        <f>'T_TTAFStock'!BL30</f>
        <v/>
      </c>
      <c r="BO305">
        <f>'T_TTAFStock'!BM30</f>
        <v/>
      </c>
      <c r="BP305">
        <f>'T_TTAFStock'!BN30</f>
        <v/>
      </c>
      <c r="BQ305">
        <f>'T_TTAFStock'!BO30</f>
        <v/>
      </c>
      <c r="BR305">
        <f>'T_TTAFStock'!BP30</f>
        <v/>
      </c>
      <c r="BS305">
        <f>'T_TTAFStock'!BQ30</f>
        <v/>
      </c>
      <c r="BT305">
        <f>'T_TTAFStock'!BR30</f>
        <v/>
      </c>
      <c r="BU305">
        <f>'T_TTAFStock'!BS30</f>
        <v/>
      </c>
      <c r="BV305">
        <f>'T_TTAFStock'!BT30</f>
        <v/>
      </c>
      <c r="BW305">
        <f>'T_TTAFStock'!BU30</f>
        <v/>
      </c>
      <c r="BX305">
        <f>'T_TTAFStock'!BV30</f>
        <v/>
      </c>
      <c r="BY305">
        <f>'T_TTAFStock'!BW30</f>
        <v/>
      </c>
      <c r="BZ305">
        <f>'T_TTAFStock'!BX30</f>
        <v/>
      </c>
      <c r="CA305">
        <f>'T_TTAFStock'!BY30</f>
        <v/>
      </c>
      <c r="CB305">
        <f>'T_TTAFStock'!BZ30</f>
        <v/>
      </c>
      <c r="CC305">
        <f>'T_TTAFStock'!CA30</f>
        <v/>
      </c>
      <c r="CD305">
        <f>'T_TTAFStock'!CB30</f>
        <v/>
      </c>
      <c r="CE305">
        <f>'T_TTAFStock'!CC30</f>
        <v/>
      </c>
      <c r="CF305">
        <f>'T_TTAFStock'!CD30</f>
        <v/>
      </c>
      <c r="CG305">
        <f>'T_TTAFStock'!CE30</f>
        <v/>
      </c>
      <c r="CH305">
        <f>'T_TTAFStock'!CF30</f>
        <v/>
      </c>
      <c r="CI305">
        <f>'T_TTAFStock'!CG30</f>
        <v/>
      </c>
      <c r="CJ305">
        <f>'T_TTAFStock'!CH30</f>
        <v/>
      </c>
      <c r="CK305">
        <f>'T_TTAFStock'!CI30</f>
        <v/>
      </c>
      <c r="CL305">
        <f>'T_TTAFStock'!CJ30</f>
        <v/>
      </c>
      <c r="CM305">
        <f>'T_TTAFStock'!CK30</f>
        <v/>
      </c>
      <c r="CN305">
        <f>'T_TTAFStock'!CL30</f>
        <v/>
      </c>
      <c r="CO305">
        <f>'T_TTAFStock'!CM30</f>
        <v/>
      </c>
      <c r="CP305">
        <f>'T_TTAFStock'!CN30</f>
        <v/>
      </c>
      <c r="CQ305">
        <f>'T_TTAFStock'!CO30</f>
        <v/>
      </c>
      <c r="CR305">
        <f>'T_TTAFStock'!CP30</f>
        <v/>
      </c>
      <c r="CS305">
        <f>'T_TTAFStock'!CQ30</f>
        <v/>
      </c>
      <c r="CT305">
        <f>'T_TTAFStock'!CR30</f>
        <v/>
      </c>
      <c r="CU305">
        <f>'T_TTAFStock'!CS30</f>
        <v/>
      </c>
      <c r="CV305">
        <f>'T_TTAFStock'!CT30</f>
        <v/>
      </c>
      <c r="CW305">
        <f>'T_TTAFStock'!CU30</f>
        <v/>
      </c>
      <c r="CX305">
        <f>'T_TTAFStock'!CV30</f>
        <v/>
      </c>
      <c r="CY305">
        <f>'T_TTAFStock'!CW30</f>
        <v/>
      </c>
      <c r="CZ305">
        <f>'T_TTAFStock'!CX30</f>
        <v/>
      </c>
      <c r="DA305">
        <f>'T_TTAFStock'!CY30</f>
        <v/>
      </c>
      <c r="DB305">
        <f>'T_TTAFStock'!CZ30</f>
        <v/>
      </c>
      <c r="DC305">
        <f>'T_TTAFStock'!DA30</f>
        <v/>
      </c>
    </row>
    <row r="306">
      <c r="B306" t="inlineStr">
        <is>
          <t>自社在庫(実績,kg)</t>
        </is>
      </c>
      <c r="D306">
        <f>'T_SelfStock'!B30</f>
        <v/>
      </c>
      <c r="E306">
        <f>'T_SelfStock'!C30</f>
        <v/>
      </c>
      <c r="F306">
        <f>'T_SelfStock'!D30</f>
        <v/>
      </c>
      <c r="G306">
        <f>'T_SelfStock'!E30</f>
        <v/>
      </c>
      <c r="H306">
        <f>'T_SelfStock'!F30</f>
        <v/>
      </c>
      <c r="I306">
        <f>'T_SelfStock'!G30</f>
        <v/>
      </c>
      <c r="J306">
        <f>'T_SelfStock'!H30</f>
        <v/>
      </c>
      <c r="K306">
        <f>'T_SelfStock'!I30</f>
        <v/>
      </c>
      <c r="L306">
        <f>'T_SelfStock'!J30</f>
        <v/>
      </c>
      <c r="M306">
        <f>'T_SelfStock'!K30</f>
        <v/>
      </c>
      <c r="N306">
        <f>'T_SelfStock'!L30</f>
        <v/>
      </c>
      <c r="O306">
        <f>'T_SelfStock'!M30</f>
        <v/>
      </c>
      <c r="P306">
        <f>'T_SelfStock'!N30</f>
        <v/>
      </c>
      <c r="Q306">
        <f>'T_SelfStock'!O30</f>
        <v/>
      </c>
      <c r="R306">
        <f>'T_SelfStock'!P30</f>
        <v/>
      </c>
      <c r="S306">
        <f>'T_SelfStock'!Q30</f>
        <v/>
      </c>
      <c r="T306">
        <f>'T_SelfStock'!R30</f>
        <v/>
      </c>
      <c r="U306">
        <f>'T_SelfStock'!S30</f>
        <v/>
      </c>
      <c r="V306">
        <f>'T_SelfStock'!T30</f>
        <v/>
      </c>
      <c r="W306">
        <f>'T_SelfStock'!U30</f>
        <v/>
      </c>
      <c r="X306">
        <f>'T_SelfStock'!V30</f>
        <v/>
      </c>
      <c r="Y306">
        <f>'T_SelfStock'!W30</f>
        <v/>
      </c>
      <c r="Z306">
        <f>'T_SelfStock'!X30</f>
        <v/>
      </c>
      <c r="AA306">
        <f>'T_SelfStock'!Y30</f>
        <v/>
      </c>
      <c r="AB306">
        <f>'T_SelfStock'!Z30</f>
        <v/>
      </c>
      <c r="AC306">
        <f>'T_SelfStock'!AA30</f>
        <v/>
      </c>
      <c r="AD306">
        <f>'T_SelfStock'!AB30</f>
        <v/>
      </c>
      <c r="AE306">
        <f>'T_SelfStock'!AC30</f>
        <v/>
      </c>
      <c r="AF306">
        <f>'T_SelfStock'!AD30</f>
        <v/>
      </c>
      <c r="AG306">
        <f>'T_SelfStock'!AE30</f>
        <v/>
      </c>
      <c r="AH306">
        <f>'T_SelfStock'!AF30</f>
        <v/>
      </c>
      <c r="AI306">
        <f>'T_SelfStock'!AG30</f>
        <v/>
      </c>
      <c r="AJ306">
        <f>'T_SelfStock'!AH30</f>
        <v/>
      </c>
      <c r="AK306">
        <f>'T_SelfStock'!AI30</f>
        <v/>
      </c>
      <c r="AL306">
        <f>'T_SelfStock'!AJ30</f>
        <v/>
      </c>
      <c r="AM306">
        <f>'T_SelfStock'!AK30</f>
        <v/>
      </c>
      <c r="AN306">
        <f>'T_SelfStock'!AL30</f>
        <v/>
      </c>
      <c r="AO306">
        <f>'T_SelfStock'!AM30</f>
        <v/>
      </c>
      <c r="AP306">
        <f>'T_SelfStock'!AN30</f>
        <v/>
      </c>
      <c r="AQ306">
        <f>'T_SelfStock'!AO30</f>
        <v/>
      </c>
      <c r="AR306">
        <f>'T_SelfStock'!AP30</f>
        <v/>
      </c>
      <c r="AS306">
        <f>'T_SelfStock'!AQ30</f>
        <v/>
      </c>
      <c r="AT306">
        <f>'T_SelfStock'!AR30</f>
        <v/>
      </c>
      <c r="AU306">
        <f>'T_SelfStock'!AS30</f>
        <v/>
      </c>
      <c r="AV306">
        <f>'T_SelfStock'!AT30</f>
        <v/>
      </c>
      <c r="AW306">
        <f>'T_SelfStock'!AU30</f>
        <v/>
      </c>
      <c r="AX306">
        <f>'T_SelfStock'!AV30</f>
        <v/>
      </c>
      <c r="AY306">
        <f>'T_SelfStock'!AW30</f>
        <v/>
      </c>
      <c r="AZ306">
        <f>'T_SelfStock'!AX30</f>
        <v/>
      </c>
      <c r="BA306">
        <f>'T_SelfStock'!AY30</f>
        <v/>
      </c>
      <c r="BB306">
        <f>'T_SelfStock'!AZ30</f>
        <v/>
      </c>
      <c r="BC306">
        <f>'T_SelfStock'!BA30</f>
        <v/>
      </c>
      <c r="BD306">
        <f>'T_SelfStock'!BB30</f>
        <v/>
      </c>
      <c r="BE306">
        <f>'T_SelfStock'!BC30</f>
        <v/>
      </c>
      <c r="BF306">
        <f>'T_SelfStock'!BD30</f>
        <v/>
      </c>
      <c r="BG306">
        <f>'T_SelfStock'!BE30</f>
        <v/>
      </c>
      <c r="BH306">
        <f>'T_SelfStock'!BF30</f>
        <v/>
      </c>
      <c r="BI306">
        <f>'T_SelfStock'!BG30</f>
        <v/>
      </c>
      <c r="BJ306">
        <f>'T_SelfStock'!BH30</f>
        <v/>
      </c>
      <c r="BK306">
        <f>'T_SelfStock'!BI30</f>
        <v/>
      </c>
      <c r="BL306">
        <f>'T_SelfStock'!BJ30</f>
        <v/>
      </c>
      <c r="BM306">
        <f>'T_SelfStock'!BK30</f>
        <v/>
      </c>
      <c r="BN306">
        <f>'T_SelfStock'!BL30</f>
        <v/>
      </c>
      <c r="BO306">
        <f>'T_SelfStock'!BM30</f>
        <v/>
      </c>
      <c r="BP306">
        <f>'T_SelfStock'!BN30</f>
        <v/>
      </c>
      <c r="BQ306">
        <f>'T_SelfStock'!BO30</f>
        <v/>
      </c>
      <c r="BR306">
        <f>'T_SelfStock'!BP30</f>
        <v/>
      </c>
      <c r="BS306">
        <f>'T_SelfStock'!BQ30</f>
        <v/>
      </c>
      <c r="BT306">
        <f>'T_SelfStock'!BR30</f>
        <v/>
      </c>
      <c r="BU306">
        <f>'T_SelfStock'!BS30</f>
        <v/>
      </c>
      <c r="BV306">
        <f>'T_SelfStock'!BT30</f>
        <v/>
      </c>
      <c r="BW306">
        <f>'T_SelfStock'!BU30</f>
        <v/>
      </c>
      <c r="BX306">
        <f>'T_SelfStock'!BV30</f>
        <v/>
      </c>
      <c r="BY306">
        <f>'T_SelfStock'!BW30</f>
        <v/>
      </c>
      <c r="BZ306">
        <f>'T_SelfStock'!BX30</f>
        <v/>
      </c>
      <c r="CA306">
        <f>'T_SelfStock'!BY30</f>
        <v/>
      </c>
      <c r="CB306">
        <f>'T_SelfStock'!BZ30</f>
        <v/>
      </c>
      <c r="CC306">
        <f>'T_SelfStock'!CA30</f>
        <v/>
      </c>
      <c r="CD306">
        <f>'T_SelfStock'!CB30</f>
        <v/>
      </c>
      <c r="CE306">
        <f>'T_SelfStock'!CC30</f>
        <v/>
      </c>
      <c r="CF306">
        <f>'T_SelfStock'!CD30</f>
        <v/>
      </c>
      <c r="CG306">
        <f>'T_SelfStock'!CE30</f>
        <v/>
      </c>
      <c r="CH306">
        <f>'T_SelfStock'!CF30</f>
        <v/>
      </c>
      <c r="CI306">
        <f>'T_SelfStock'!CG30</f>
        <v/>
      </c>
      <c r="CJ306">
        <f>'T_SelfStock'!CH30</f>
        <v/>
      </c>
      <c r="CK306">
        <f>'T_SelfStock'!CI30</f>
        <v/>
      </c>
      <c r="CL306">
        <f>'T_SelfStock'!CJ30</f>
        <v/>
      </c>
      <c r="CM306">
        <f>'T_SelfStock'!CK30</f>
        <v/>
      </c>
      <c r="CN306">
        <f>'T_SelfStock'!CL30</f>
        <v/>
      </c>
      <c r="CO306">
        <f>'T_SelfStock'!CM30</f>
        <v/>
      </c>
      <c r="CP306">
        <f>'T_SelfStock'!CN30</f>
        <v/>
      </c>
      <c r="CQ306">
        <f>'T_SelfStock'!CO30</f>
        <v/>
      </c>
      <c r="CR306">
        <f>'T_SelfStock'!CP30</f>
        <v/>
      </c>
      <c r="CS306">
        <f>'T_SelfStock'!CQ30</f>
        <v/>
      </c>
      <c r="CT306">
        <f>'T_SelfStock'!CR30</f>
        <v/>
      </c>
      <c r="CU306">
        <f>'T_SelfStock'!CS30</f>
        <v/>
      </c>
      <c r="CV306">
        <f>'T_SelfStock'!CT30</f>
        <v/>
      </c>
      <c r="CW306">
        <f>'T_SelfStock'!CU30</f>
        <v/>
      </c>
      <c r="CX306">
        <f>'T_SelfStock'!CV30</f>
        <v/>
      </c>
      <c r="CY306">
        <f>'T_SelfStock'!CW30</f>
        <v/>
      </c>
      <c r="CZ306">
        <f>'T_SelfStock'!CX30</f>
        <v/>
      </c>
      <c r="DA306">
        <f>'T_SelfStock'!CY30</f>
        <v/>
      </c>
      <c r="DB306">
        <f>'T_SelfStock'!CZ30</f>
        <v/>
      </c>
      <c r="DC306">
        <f>'T_SelfStock'!DA30</f>
        <v/>
      </c>
    </row>
    <row r="307">
      <c r="B307" t="inlineStr">
        <is>
          <t>Order(発注予定,kg)</t>
        </is>
      </c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  <c r="AA307" s="23" t="n"/>
      <c r="AB307" s="23" t="n"/>
      <c r="AC307" s="23" t="n"/>
      <c r="AD307" s="23" t="n"/>
      <c r="AE307" s="23" t="n"/>
      <c r="AF307" s="23" t="n"/>
      <c r="AG307" s="23" t="n"/>
      <c r="AH307" s="23" t="n"/>
      <c r="AI307" s="23" t="n"/>
      <c r="AJ307" s="23" t="n"/>
      <c r="AK307" s="23" t="n"/>
      <c r="AL307" s="23" t="n"/>
      <c r="AM307" s="23" t="n"/>
      <c r="AN307" s="23" t="n"/>
      <c r="AO307" s="23" t="n"/>
      <c r="AP307" s="23" t="n"/>
      <c r="AQ307" s="23" t="n"/>
      <c r="AR307" s="23" t="n"/>
      <c r="AS307" s="23" t="n"/>
      <c r="AT307" s="23" t="n"/>
      <c r="AU307" s="23" t="n"/>
      <c r="AV307" s="23" t="n"/>
      <c r="AW307" s="23" t="n"/>
      <c r="AX307" s="23" t="n"/>
      <c r="AY307" s="23" t="n"/>
      <c r="AZ307" s="23" t="n"/>
      <c r="BA307" s="23" t="n"/>
      <c r="BB307" s="23" t="n"/>
      <c r="BC307" s="23" t="n"/>
      <c r="BD307" s="23" t="n"/>
      <c r="BE307" s="23" t="n"/>
      <c r="BF307" s="23" t="n"/>
      <c r="BG307" s="23" t="n"/>
      <c r="BH307" s="23" t="n"/>
      <c r="BI307" s="23" t="n"/>
      <c r="BJ307" s="23" t="n"/>
      <c r="BK307" s="23" t="n"/>
      <c r="BL307" s="23" t="n"/>
      <c r="BM307" s="23" t="n"/>
      <c r="BN307" s="23" t="n"/>
      <c r="BO307" s="23" t="n"/>
      <c r="BP307" s="23" t="n"/>
      <c r="BQ307" s="23" t="n"/>
      <c r="BR307" s="23" t="n"/>
      <c r="BS307" s="23" t="n"/>
      <c r="BT307" s="23" t="n"/>
      <c r="BU307" s="23" t="n"/>
      <c r="BV307" s="23" t="n"/>
      <c r="BW307" s="23" t="n"/>
      <c r="BX307" s="23" t="n"/>
      <c r="BY307" s="23" t="n"/>
      <c r="BZ307" s="23" t="n"/>
      <c r="CA307" s="23" t="n"/>
      <c r="CB307" s="23" t="n"/>
      <c r="CC307" s="23" t="n"/>
      <c r="CD307" s="23" t="n"/>
      <c r="CE307" s="23" t="n"/>
      <c r="CF307" s="23" t="n"/>
      <c r="CG307" s="23" t="n"/>
      <c r="CH307" s="23" t="n"/>
      <c r="CI307" s="23" t="n"/>
      <c r="CJ307" s="23" t="n"/>
      <c r="CK307" s="23" t="n"/>
      <c r="CL307" s="23" t="n"/>
      <c r="CM307" s="23" t="n"/>
      <c r="CN307" s="23" t="n"/>
      <c r="CO307" s="23" t="n"/>
      <c r="CP307" s="23" t="n"/>
      <c r="CQ307" s="23" t="n"/>
      <c r="CR307" s="23" t="n"/>
      <c r="CS307" s="23" t="n"/>
      <c r="CT307" s="23" t="n"/>
      <c r="CU307" s="23" t="n"/>
      <c r="CV307" s="23" t="n"/>
      <c r="CW307" s="23" t="n"/>
      <c r="CX307" s="23" t="n"/>
      <c r="CY307" s="23" t="n"/>
      <c r="CZ307" s="23" t="n"/>
      <c r="DA307" s="23" t="n"/>
      <c r="DB307" s="23" t="n"/>
      <c r="DC307" s="23" t="n"/>
      <c r="DE307" s="12" t="inlineStr">
        <is>
          <t>CHEM-1580</t>
        </is>
      </c>
    </row>
    <row r="308">
      <c r="B308" s="24" t="inlineStr">
        <is>
          <t>PO_No</t>
        </is>
      </c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  <c r="AD308" s="25" t="n"/>
      <c r="AE308" s="25" t="n"/>
      <c r="AF308" s="25" t="n"/>
      <c r="AG308" s="25" t="n"/>
      <c r="AH308" s="25" t="n"/>
      <c r="AI308" s="25" t="n"/>
      <c r="AJ308" s="25" t="n"/>
      <c r="AK308" s="25" t="n"/>
      <c r="AL308" s="25" t="n"/>
      <c r="AM308" s="25" t="n"/>
      <c r="AN308" s="25" t="n"/>
      <c r="AO308" s="25" t="n"/>
      <c r="AP308" s="25" t="n"/>
      <c r="AQ308" s="25" t="n"/>
      <c r="AR308" s="25" t="n"/>
      <c r="AS308" s="25" t="n"/>
      <c r="AT308" s="25" t="n"/>
      <c r="AU308" s="25" t="n"/>
      <c r="AV308" s="25" t="n"/>
      <c r="AW308" s="25" t="n"/>
      <c r="AX308" s="25" t="n"/>
      <c r="AY308" s="25" t="n"/>
      <c r="AZ308" s="25" t="n"/>
      <c r="BA308" s="25" t="n"/>
      <c r="BB308" s="25" t="n"/>
      <c r="BC308" s="25" t="n"/>
      <c r="BD308" s="25" t="n"/>
      <c r="BE308" s="25" t="n"/>
      <c r="BF308" s="25" t="n"/>
      <c r="BG308" s="25" t="n"/>
      <c r="BH308" s="25" t="n"/>
      <c r="BI308" s="25" t="n"/>
      <c r="BJ308" s="25" t="n"/>
      <c r="BK308" s="25" t="n"/>
      <c r="BL308" s="25" t="n"/>
      <c r="BM308" s="25" t="n"/>
      <c r="BN308" s="25" t="n"/>
      <c r="BO308" s="25" t="n"/>
      <c r="BP308" s="25" t="n"/>
      <c r="BQ308" s="25" t="n"/>
      <c r="BR308" s="25" t="n"/>
      <c r="BS308" s="25" t="n"/>
      <c r="BT308" s="25" t="n"/>
      <c r="BU308" s="25" t="n"/>
      <c r="BV308" s="25" t="n"/>
      <c r="BW308" s="25" t="n"/>
      <c r="BX308" s="25" t="n"/>
      <c r="BY308" s="25" t="n"/>
      <c r="BZ308" s="25" t="n"/>
      <c r="CA308" s="25" t="n"/>
      <c r="CB308" s="25" t="n"/>
      <c r="CC308" s="25" t="n"/>
      <c r="CD308" s="25" t="n"/>
      <c r="CE308" s="25" t="n"/>
      <c r="CF308" s="25" t="n"/>
      <c r="CG308" s="25" t="n"/>
      <c r="CH308" s="25" t="n"/>
      <c r="CI308" s="25" t="n"/>
      <c r="CJ308" s="25" t="n"/>
      <c r="CK308" s="25" t="n"/>
      <c r="CL308" s="25" t="n"/>
      <c r="CM308" s="25" t="n"/>
      <c r="CN308" s="25" t="n"/>
      <c r="CO308" s="25" t="n"/>
      <c r="CP308" s="25" t="n"/>
      <c r="CQ308" s="25" t="n"/>
      <c r="CR308" s="25" t="n"/>
      <c r="CS308" s="25" t="n"/>
      <c r="CT308" s="25" t="n"/>
      <c r="CU308" s="25" t="n"/>
      <c r="CV308" s="25" t="n"/>
      <c r="CW308" s="25" t="n"/>
      <c r="CX308" s="25" t="n"/>
      <c r="CY308" s="25" t="n"/>
      <c r="CZ308" s="25" t="n"/>
      <c r="DA308" s="25" t="n"/>
      <c r="DB308" s="25" t="n"/>
      <c r="DC308" s="25" t="n"/>
    </row>
    <row r="309">
      <c r="B309" s="5" t="inlineStr">
        <is>
          <t>合計在庫(週末時点,kg)</t>
        </is>
      </c>
      <c r="D309">
        <f>'Grid_Stock'!B26</f>
        <v/>
      </c>
      <c r="E309">
        <f>'Grid_Stock'!C26</f>
        <v/>
      </c>
      <c r="F309">
        <f>'Grid_Stock'!D26</f>
        <v/>
      </c>
      <c r="G309">
        <f>'Grid_Stock'!E26</f>
        <v/>
      </c>
      <c r="H309">
        <f>'Grid_Stock'!F26</f>
        <v/>
      </c>
      <c r="I309">
        <f>'Grid_Stock'!G26</f>
        <v/>
      </c>
      <c r="J309">
        <f>'Grid_Stock'!H26</f>
        <v/>
      </c>
      <c r="K309">
        <f>'Grid_Stock'!I26</f>
        <v/>
      </c>
      <c r="L309">
        <f>'Grid_Stock'!J26</f>
        <v/>
      </c>
      <c r="M309">
        <f>'Grid_Stock'!K26</f>
        <v/>
      </c>
      <c r="N309">
        <f>'Grid_Stock'!L26</f>
        <v/>
      </c>
      <c r="O309">
        <f>'Grid_Stock'!M26</f>
        <v/>
      </c>
      <c r="P309">
        <f>'Grid_Stock'!N26</f>
        <v/>
      </c>
      <c r="Q309">
        <f>'Grid_Stock'!O26</f>
        <v/>
      </c>
      <c r="R309">
        <f>'Grid_Stock'!P26</f>
        <v/>
      </c>
      <c r="S309">
        <f>'Grid_Stock'!Q26</f>
        <v/>
      </c>
      <c r="T309">
        <f>'Grid_Stock'!R26</f>
        <v/>
      </c>
      <c r="U309">
        <f>'Grid_Stock'!S26</f>
        <v/>
      </c>
      <c r="V309">
        <f>'Grid_Stock'!T26</f>
        <v/>
      </c>
      <c r="W309">
        <f>'Grid_Stock'!U26</f>
        <v/>
      </c>
      <c r="X309">
        <f>'Grid_Stock'!V26</f>
        <v/>
      </c>
      <c r="Y309">
        <f>'Grid_Stock'!W26</f>
        <v/>
      </c>
      <c r="Z309">
        <f>'Grid_Stock'!X26</f>
        <v/>
      </c>
      <c r="AA309">
        <f>'Grid_Stock'!Y26</f>
        <v/>
      </c>
      <c r="AB309">
        <f>'Grid_Stock'!Z26</f>
        <v/>
      </c>
      <c r="AC309">
        <f>'Grid_Stock'!AA26</f>
        <v/>
      </c>
      <c r="AD309">
        <f>'Grid_Stock'!AB26</f>
        <v/>
      </c>
      <c r="AE309">
        <f>'Grid_Stock'!AC26</f>
        <v/>
      </c>
      <c r="AF309">
        <f>'Grid_Stock'!AD26</f>
        <v/>
      </c>
      <c r="AG309">
        <f>'Grid_Stock'!AE26</f>
        <v/>
      </c>
      <c r="AH309">
        <f>'Grid_Stock'!AF26</f>
        <v/>
      </c>
      <c r="AI309">
        <f>'Grid_Stock'!AG26</f>
        <v/>
      </c>
      <c r="AJ309">
        <f>'Grid_Stock'!AH26</f>
        <v/>
      </c>
      <c r="AK309">
        <f>'Grid_Stock'!AI26</f>
        <v/>
      </c>
      <c r="AL309">
        <f>'Grid_Stock'!AJ26</f>
        <v/>
      </c>
      <c r="AM309">
        <f>'Grid_Stock'!AK26</f>
        <v/>
      </c>
      <c r="AN309">
        <f>'Grid_Stock'!AL26</f>
        <v/>
      </c>
      <c r="AO309">
        <f>'Grid_Stock'!AM26</f>
        <v/>
      </c>
      <c r="AP309">
        <f>'Grid_Stock'!AN26</f>
        <v/>
      </c>
      <c r="AQ309">
        <f>'Grid_Stock'!AO26</f>
        <v/>
      </c>
      <c r="AR309">
        <f>'Grid_Stock'!AP26</f>
        <v/>
      </c>
      <c r="AS309">
        <f>'Grid_Stock'!AQ26</f>
        <v/>
      </c>
      <c r="AT309">
        <f>'Grid_Stock'!AR26</f>
        <v/>
      </c>
      <c r="AU309">
        <f>'Grid_Stock'!AS26</f>
        <v/>
      </c>
      <c r="AV309">
        <f>'Grid_Stock'!AT26</f>
        <v/>
      </c>
      <c r="AW309">
        <f>'Grid_Stock'!AU26</f>
        <v/>
      </c>
      <c r="AX309">
        <f>'Grid_Stock'!AV26</f>
        <v/>
      </c>
      <c r="AY309">
        <f>'Grid_Stock'!AW26</f>
        <v/>
      </c>
      <c r="AZ309">
        <f>'Grid_Stock'!AX26</f>
        <v/>
      </c>
      <c r="BA309">
        <f>'Grid_Stock'!AY26</f>
        <v/>
      </c>
      <c r="BB309">
        <f>'Grid_Stock'!AZ26</f>
        <v/>
      </c>
      <c r="BC309">
        <f>'Grid_Stock'!BA26</f>
        <v/>
      </c>
      <c r="BD309">
        <f>'Grid_Stock'!BB26</f>
        <v/>
      </c>
      <c r="BE309">
        <f>'Grid_Stock'!BC26</f>
        <v/>
      </c>
      <c r="BF309">
        <f>'Grid_Stock'!BD26</f>
        <v/>
      </c>
      <c r="BG309">
        <f>'Grid_Stock'!BE26</f>
        <v/>
      </c>
      <c r="BH309">
        <f>'Grid_Stock'!BF26</f>
        <v/>
      </c>
      <c r="BI309">
        <f>'Grid_Stock'!BG26</f>
        <v/>
      </c>
      <c r="BJ309">
        <f>'Grid_Stock'!BH26</f>
        <v/>
      </c>
      <c r="BK309">
        <f>'Grid_Stock'!BI26</f>
        <v/>
      </c>
      <c r="BL309">
        <f>'Grid_Stock'!BJ26</f>
        <v/>
      </c>
      <c r="BM309">
        <f>'Grid_Stock'!BK26</f>
        <v/>
      </c>
      <c r="BN309">
        <f>'Grid_Stock'!BL26</f>
        <v/>
      </c>
      <c r="BO309">
        <f>'Grid_Stock'!BM26</f>
        <v/>
      </c>
      <c r="BP309">
        <f>'Grid_Stock'!BN26</f>
        <v/>
      </c>
      <c r="BQ309">
        <f>'Grid_Stock'!BO26</f>
        <v/>
      </c>
      <c r="BR309">
        <f>'Grid_Stock'!BP26</f>
        <v/>
      </c>
      <c r="BS309">
        <f>'Grid_Stock'!BQ26</f>
        <v/>
      </c>
      <c r="BT309">
        <f>'Grid_Stock'!BR26</f>
        <v/>
      </c>
      <c r="BU309">
        <f>'Grid_Stock'!BS26</f>
        <v/>
      </c>
      <c r="BV309">
        <f>'Grid_Stock'!BT26</f>
        <v/>
      </c>
      <c r="BW309">
        <f>'Grid_Stock'!BU26</f>
        <v/>
      </c>
      <c r="BX309">
        <f>'Grid_Stock'!BV26</f>
        <v/>
      </c>
      <c r="BY309">
        <f>'Grid_Stock'!BW26</f>
        <v/>
      </c>
      <c r="BZ309">
        <f>'Grid_Stock'!BX26</f>
        <v/>
      </c>
      <c r="CA309">
        <f>'Grid_Stock'!BY26</f>
        <v/>
      </c>
      <c r="CB309">
        <f>'Grid_Stock'!BZ26</f>
        <v/>
      </c>
      <c r="CC309">
        <f>'Grid_Stock'!CA26</f>
        <v/>
      </c>
      <c r="CD309">
        <f>'Grid_Stock'!CB26</f>
        <v/>
      </c>
      <c r="CE309">
        <f>'Grid_Stock'!CC26</f>
        <v/>
      </c>
      <c r="CF309">
        <f>'Grid_Stock'!CD26</f>
        <v/>
      </c>
      <c r="CG309">
        <f>'Grid_Stock'!CE26</f>
        <v/>
      </c>
      <c r="CH309">
        <f>'Grid_Stock'!CF26</f>
        <v/>
      </c>
      <c r="CI309">
        <f>'Grid_Stock'!CG26</f>
        <v/>
      </c>
      <c r="CJ309">
        <f>'Grid_Stock'!CH26</f>
        <v/>
      </c>
      <c r="CK309">
        <f>'Grid_Stock'!CI26</f>
        <v/>
      </c>
      <c r="CL309">
        <f>'Grid_Stock'!CJ26</f>
        <v/>
      </c>
      <c r="CM309">
        <f>'Grid_Stock'!CK26</f>
        <v/>
      </c>
      <c r="CN309">
        <f>'Grid_Stock'!CL26</f>
        <v/>
      </c>
      <c r="CO309">
        <f>'Grid_Stock'!CM26</f>
        <v/>
      </c>
      <c r="CP309">
        <f>'Grid_Stock'!CN26</f>
        <v/>
      </c>
      <c r="CQ309">
        <f>'Grid_Stock'!CO26</f>
        <v/>
      </c>
      <c r="CR309">
        <f>'Grid_Stock'!CP26</f>
        <v/>
      </c>
      <c r="CS309">
        <f>'Grid_Stock'!CQ26</f>
        <v/>
      </c>
      <c r="CT309">
        <f>'Grid_Stock'!CR26</f>
        <v/>
      </c>
      <c r="CU309">
        <f>'Grid_Stock'!CS26</f>
        <v/>
      </c>
      <c r="CV309">
        <f>'Grid_Stock'!CT26</f>
        <v/>
      </c>
      <c r="CW309">
        <f>'Grid_Stock'!CU26</f>
        <v/>
      </c>
      <c r="CX309">
        <f>'Grid_Stock'!CV26</f>
        <v/>
      </c>
      <c r="CY309">
        <f>'Grid_Stock'!CW26</f>
        <v/>
      </c>
      <c r="CZ309">
        <f>'Grid_Stock'!CX26</f>
        <v/>
      </c>
      <c r="DA309">
        <f>'Grid_Stock'!CY26</f>
        <v/>
      </c>
      <c r="DB309">
        <f>'Grid_Stock'!CZ26</f>
        <v/>
      </c>
      <c r="DC309">
        <f>'Grid_Stock'!DA26</f>
        <v/>
      </c>
    </row>
    <row r="310">
      <c r="B310" s="26" t="inlineStr">
        <is>
          <t>（発注の目安はDashboardの基準在庫[下限/上限]と色分けを参照）</t>
        </is>
      </c>
    </row>
    <row r="312">
      <c r="A312" s="21" t="inlineStr">
        <is>
          <t>CHEM-1250</t>
        </is>
      </c>
      <c r="B312" s="21" t="inlineStr">
        <is>
          <t>Barium Sulfate [B-55]</t>
        </is>
      </c>
      <c r="C312" s="22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  <c r="AA312" s="21" t="n"/>
      <c r="AB312" s="21" t="n"/>
      <c r="AC312" s="21" t="n"/>
      <c r="AD312" s="21" t="n"/>
      <c r="AE312" s="21" t="n"/>
      <c r="AF312" s="21" t="n"/>
      <c r="AG312" s="21" t="n"/>
      <c r="AH312" s="21" t="n"/>
      <c r="AI312" s="21" t="n"/>
      <c r="AJ312" s="21" t="n"/>
      <c r="AK312" s="21" t="n"/>
      <c r="AL312" s="21" t="n"/>
      <c r="AM312" s="21" t="n"/>
      <c r="AN312" s="21" t="n"/>
      <c r="AO312" s="21" t="n"/>
      <c r="AP312" s="21" t="n"/>
      <c r="AQ312" s="21" t="n"/>
      <c r="AR312" s="21" t="n"/>
      <c r="AS312" s="21" t="n"/>
      <c r="AT312" s="21" t="n"/>
      <c r="AU312" s="21" t="n"/>
      <c r="AV312" s="21" t="n"/>
      <c r="AW312" s="21" t="n"/>
      <c r="AX312" s="21" t="n"/>
      <c r="AY312" s="21" t="n"/>
      <c r="AZ312" s="21" t="n"/>
      <c r="BA312" s="21" t="n"/>
      <c r="BB312" s="21" t="n"/>
      <c r="BC312" s="21" t="n"/>
      <c r="BD312" s="21" t="n"/>
      <c r="BE312" s="21" t="n"/>
      <c r="BF312" s="21" t="n"/>
      <c r="BG312" s="21" t="n"/>
      <c r="BH312" s="21" t="n"/>
      <c r="BI312" s="21" t="n"/>
      <c r="BJ312" s="21" t="n"/>
      <c r="BK312" s="21" t="n"/>
      <c r="BL312" s="21" t="n"/>
      <c r="BM312" s="21" t="n"/>
      <c r="BN312" s="21" t="n"/>
      <c r="BO312" s="21" t="n"/>
      <c r="BP312" s="21" t="n"/>
      <c r="BQ312" s="21" t="n"/>
      <c r="BR312" s="21" t="n"/>
      <c r="BS312" s="21" t="n"/>
      <c r="BT312" s="21" t="n"/>
      <c r="BU312" s="21" t="n"/>
      <c r="BV312" s="21" t="n"/>
      <c r="BW312" s="21" t="n"/>
      <c r="BX312" s="21" t="n"/>
      <c r="BY312" s="21" t="n"/>
      <c r="BZ312" s="21" t="n"/>
      <c r="CA312" s="21" t="n"/>
      <c r="CB312" s="21" t="n"/>
      <c r="CC312" s="21" t="n"/>
      <c r="CD312" s="21" t="n"/>
      <c r="CE312" s="21" t="n"/>
      <c r="CF312" s="21" t="n"/>
      <c r="CG312" s="21" t="n"/>
      <c r="CH312" s="21" t="n"/>
      <c r="CI312" s="21" t="n"/>
      <c r="CJ312" s="21" t="n"/>
      <c r="CK312" s="21" t="n"/>
      <c r="CL312" s="21" t="n"/>
      <c r="CM312" s="21" t="n"/>
      <c r="CN312" s="21" t="n"/>
      <c r="CO312" s="21" t="n"/>
      <c r="CP312" s="21" t="n"/>
      <c r="CQ312" s="21" t="n"/>
      <c r="CR312" s="21" t="n"/>
      <c r="CS312" s="21" t="n"/>
      <c r="CT312" s="21" t="n"/>
      <c r="CU312" s="21" t="n"/>
      <c r="CV312" s="21" t="n"/>
      <c r="CW312" s="21" t="n"/>
      <c r="CX312" s="21" t="n"/>
      <c r="CY312" s="21" t="n"/>
      <c r="CZ312" s="21" t="n"/>
      <c r="DA312" s="21" t="n"/>
      <c r="DB312" s="21" t="n"/>
      <c r="DC312" s="21" t="n"/>
    </row>
    <row r="313">
      <c r="B313" t="inlineStr">
        <is>
          <t>TSP-049</t>
        </is>
      </c>
      <c r="C313" t="inlineStr">
        <is>
          <t>No. of batches</t>
        </is>
      </c>
      <c r="D313">
        <f>IFERROR(INDEX(PP_Grid[#Data],$DD313,2),0)</f>
        <v/>
      </c>
      <c r="E313">
        <f>IFERROR(INDEX(PP_Grid[#Data],$DD313,3),0)</f>
        <v/>
      </c>
      <c r="F313">
        <f>IFERROR(INDEX(PP_Grid[#Data],$DD313,4),0)</f>
        <v/>
      </c>
      <c r="G313">
        <f>IFERROR(INDEX(PP_Grid[#Data],$DD313,5),0)</f>
        <v/>
      </c>
      <c r="H313">
        <f>IFERROR(INDEX(PP_Grid[#Data],$DD313,6),0)</f>
        <v/>
      </c>
      <c r="I313">
        <f>IFERROR(INDEX(PP_Grid[#Data],$DD313,7),0)</f>
        <v/>
      </c>
      <c r="J313">
        <f>IFERROR(INDEX(PP_Grid[#Data],$DD313,8),0)</f>
        <v/>
      </c>
      <c r="K313">
        <f>IFERROR(INDEX(PP_Grid[#Data],$DD313,9),0)</f>
        <v/>
      </c>
      <c r="L313">
        <f>IFERROR(INDEX(PP_Grid[#Data],$DD313,10),0)</f>
        <v/>
      </c>
      <c r="M313">
        <f>IFERROR(INDEX(PP_Grid[#Data],$DD313,11),0)</f>
        <v/>
      </c>
      <c r="N313">
        <f>IFERROR(INDEX(PP_Grid[#Data],$DD313,12),0)</f>
        <v/>
      </c>
      <c r="O313">
        <f>IFERROR(INDEX(PP_Grid[#Data],$DD313,13),0)</f>
        <v/>
      </c>
      <c r="P313">
        <f>IFERROR(INDEX(PP_Grid[#Data],$DD313,14),0)</f>
        <v/>
      </c>
      <c r="Q313">
        <f>IFERROR(INDEX(PP_Grid[#Data],$DD313,15),0)</f>
        <v/>
      </c>
      <c r="R313">
        <f>IFERROR(INDEX(PP_Grid[#Data],$DD313,16),0)</f>
        <v/>
      </c>
      <c r="S313">
        <f>IFERROR(INDEX(PP_Grid[#Data],$DD313,17),0)</f>
        <v/>
      </c>
      <c r="T313">
        <f>IFERROR(INDEX(PP_Grid[#Data],$DD313,18),0)</f>
        <v/>
      </c>
      <c r="U313">
        <f>IFERROR(INDEX(PP_Grid[#Data],$DD313,19),0)</f>
        <v/>
      </c>
      <c r="V313">
        <f>IFERROR(INDEX(PP_Grid[#Data],$DD313,20),0)</f>
        <v/>
      </c>
      <c r="W313">
        <f>IFERROR(INDEX(PP_Grid[#Data],$DD313,21),0)</f>
        <v/>
      </c>
      <c r="X313">
        <f>IFERROR(INDEX(PP_Grid[#Data],$DD313,22),0)</f>
        <v/>
      </c>
      <c r="Y313">
        <f>IFERROR(INDEX(PP_Grid[#Data],$DD313,23),0)</f>
        <v/>
      </c>
      <c r="Z313">
        <f>IFERROR(INDEX(PP_Grid[#Data],$DD313,24),0)</f>
        <v/>
      </c>
      <c r="AA313">
        <f>IFERROR(INDEX(PP_Grid[#Data],$DD313,25),0)</f>
        <v/>
      </c>
      <c r="AB313">
        <f>IFERROR(INDEX(PP_Grid[#Data],$DD313,26),0)</f>
        <v/>
      </c>
      <c r="AC313">
        <f>IFERROR(INDEX(PP_Grid[#Data],$DD313,27),0)</f>
        <v/>
      </c>
      <c r="AD313">
        <f>IFERROR(INDEX(PP_Grid[#Data],$DD313,28),0)</f>
        <v/>
      </c>
      <c r="AE313">
        <f>IFERROR(INDEX(PP_Grid[#Data],$DD313,29),0)</f>
        <v/>
      </c>
      <c r="AF313">
        <f>IFERROR(INDEX(PP_Grid[#Data],$DD313,30),0)</f>
        <v/>
      </c>
      <c r="AG313">
        <f>IFERROR(INDEX(PP_Grid[#Data],$DD313,31),0)</f>
        <v/>
      </c>
      <c r="AH313">
        <f>IFERROR(INDEX(PP_Grid[#Data],$DD313,32),0)</f>
        <v/>
      </c>
      <c r="AI313">
        <f>IFERROR(INDEX(PP_Grid[#Data],$DD313,33),0)</f>
        <v/>
      </c>
      <c r="AJ313">
        <f>IFERROR(INDEX(PP_Grid[#Data],$DD313,34),0)</f>
        <v/>
      </c>
      <c r="AK313">
        <f>IFERROR(INDEX(PP_Grid[#Data],$DD313,35),0)</f>
        <v/>
      </c>
      <c r="AL313">
        <f>IFERROR(INDEX(PP_Grid[#Data],$DD313,36),0)</f>
        <v/>
      </c>
      <c r="AM313">
        <f>IFERROR(INDEX(PP_Grid[#Data],$DD313,37),0)</f>
        <v/>
      </c>
      <c r="AN313">
        <f>IFERROR(INDEX(PP_Grid[#Data],$DD313,38),0)</f>
        <v/>
      </c>
      <c r="AO313">
        <f>IFERROR(INDEX(PP_Grid[#Data],$DD313,39),0)</f>
        <v/>
      </c>
      <c r="AP313">
        <f>IFERROR(INDEX(PP_Grid[#Data],$DD313,40),0)</f>
        <v/>
      </c>
      <c r="AQ313">
        <f>IFERROR(INDEX(PP_Grid[#Data],$DD313,41),0)</f>
        <v/>
      </c>
      <c r="AR313">
        <f>IFERROR(INDEX(PP_Grid[#Data],$DD313,42),0)</f>
        <v/>
      </c>
      <c r="AS313">
        <f>IFERROR(INDEX(PP_Grid[#Data],$DD313,43),0)</f>
        <v/>
      </c>
      <c r="AT313">
        <f>IFERROR(INDEX(PP_Grid[#Data],$DD313,44),0)</f>
        <v/>
      </c>
      <c r="AU313">
        <f>IFERROR(INDEX(PP_Grid[#Data],$DD313,45),0)</f>
        <v/>
      </c>
      <c r="AV313">
        <f>IFERROR(INDEX(PP_Grid[#Data],$DD313,46),0)</f>
        <v/>
      </c>
      <c r="AW313">
        <f>IFERROR(INDEX(PP_Grid[#Data],$DD313,47),0)</f>
        <v/>
      </c>
      <c r="AX313">
        <f>IFERROR(INDEX(PP_Grid[#Data],$DD313,48),0)</f>
        <v/>
      </c>
      <c r="AY313">
        <f>IFERROR(INDEX(PP_Grid[#Data],$DD313,49),0)</f>
        <v/>
      </c>
      <c r="AZ313">
        <f>IFERROR(INDEX(PP_Grid[#Data],$DD313,50),0)</f>
        <v/>
      </c>
      <c r="BA313">
        <f>IFERROR(INDEX(PP_Grid[#Data],$DD313,51),0)</f>
        <v/>
      </c>
      <c r="BB313">
        <f>IFERROR(INDEX(PP_Grid[#Data],$DD313,52),0)</f>
        <v/>
      </c>
      <c r="BC313">
        <f>IFERROR(INDEX(PP_Grid[#Data],$DD313,53),0)</f>
        <v/>
      </c>
      <c r="BD313">
        <f>IFERROR(INDEX(PP_Grid[#Data],$DD313,54),0)</f>
        <v/>
      </c>
      <c r="BE313">
        <f>IFERROR(INDEX(PP_Grid[#Data],$DD313,55),0)</f>
        <v/>
      </c>
      <c r="BF313">
        <f>IFERROR(INDEX(PP_Grid[#Data],$DD313,56),0)</f>
        <v/>
      </c>
      <c r="BG313">
        <f>IFERROR(INDEX(PP_Grid[#Data],$DD313,57),0)</f>
        <v/>
      </c>
      <c r="BH313">
        <f>IFERROR(INDEX(PP_Grid[#Data],$DD313,58),0)</f>
        <v/>
      </c>
      <c r="BI313">
        <f>IFERROR(INDEX(PP_Grid[#Data],$DD313,59),0)</f>
        <v/>
      </c>
      <c r="BJ313">
        <f>IFERROR(INDEX(PP_Grid[#Data],$DD313,60),0)</f>
        <v/>
      </c>
      <c r="BK313">
        <f>IFERROR(INDEX(PP_Grid[#Data],$DD313,61),0)</f>
        <v/>
      </c>
      <c r="BL313">
        <f>IFERROR(INDEX(PP_Grid[#Data],$DD313,62),0)</f>
        <v/>
      </c>
      <c r="BM313">
        <f>IFERROR(INDEX(PP_Grid[#Data],$DD313,63),0)</f>
        <v/>
      </c>
      <c r="BN313">
        <f>IFERROR(INDEX(PP_Grid[#Data],$DD313,64),0)</f>
        <v/>
      </c>
      <c r="BO313">
        <f>IFERROR(INDEX(PP_Grid[#Data],$DD313,65),0)</f>
        <v/>
      </c>
      <c r="BP313">
        <f>IFERROR(INDEX(PP_Grid[#Data],$DD313,66),0)</f>
        <v/>
      </c>
      <c r="BQ313">
        <f>IFERROR(INDEX(PP_Grid[#Data],$DD313,67),0)</f>
        <v/>
      </c>
      <c r="BR313">
        <f>IFERROR(INDEX(PP_Grid[#Data],$DD313,68),0)</f>
        <v/>
      </c>
      <c r="BS313">
        <f>IFERROR(INDEX(PP_Grid[#Data],$DD313,69),0)</f>
        <v/>
      </c>
      <c r="BT313">
        <f>IFERROR(INDEX(PP_Grid[#Data],$DD313,70),0)</f>
        <v/>
      </c>
      <c r="BU313">
        <f>IFERROR(INDEX(PP_Grid[#Data],$DD313,71),0)</f>
        <v/>
      </c>
      <c r="BV313">
        <f>IFERROR(INDEX(PP_Grid[#Data],$DD313,72),0)</f>
        <v/>
      </c>
      <c r="BW313">
        <f>IFERROR(INDEX(PP_Grid[#Data],$DD313,73),0)</f>
        <v/>
      </c>
      <c r="BX313">
        <f>IFERROR(INDEX(PP_Grid[#Data],$DD313,74),0)</f>
        <v/>
      </c>
      <c r="BY313">
        <f>IFERROR(INDEX(PP_Grid[#Data],$DD313,75),0)</f>
        <v/>
      </c>
      <c r="BZ313">
        <f>IFERROR(INDEX(PP_Grid[#Data],$DD313,76),0)</f>
        <v/>
      </c>
      <c r="CA313">
        <f>IFERROR(INDEX(PP_Grid[#Data],$DD313,77),0)</f>
        <v/>
      </c>
      <c r="CB313">
        <f>IFERROR(INDEX(PP_Grid[#Data],$DD313,78),0)</f>
        <v/>
      </c>
      <c r="CC313">
        <f>IFERROR(INDEX(PP_Grid[#Data],$DD313,79),0)</f>
        <v/>
      </c>
      <c r="CD313">
        <f>IFERROR(INDEX(PP_Grid[#Data],$DD313,80),0)</f>
        <v/>
      </c>
      <c r="CE313">
        <f>IFERROR(INDEX(PP_Grid[#Data],$DD313,81),0)</f>
        <v/>
      </c>
      <c r="CF313">
        <f>IFERROR(INDEX(PP_Grid[#Data],$DD313,82),0)</f>
        <v/>
      </c>
      <c r="CG313">
        <f>IFERROR(INDEX(PP_Grid[#Data],$DD313,83),0)</f>
        <v/>
      </c>
      <c r="CH313">
        <f>IFERROR(INDEX(PP_Grid[#Data],$DD313,84),0)</f>
        <v/>
      </c>
      <c r="CI313">
        <f>IFERROR(INDEX(PP_Grid[#Data],$DD313,85),0)</f>
        <v/>
      </c>
      <c r="CJ313">
        <f>IFERROR(INDEX(PP_Grid[#Data],$DD313,86),0)</f>
        <v/>
      </c>
      <c r="CK313">
        <f>IFERROR(INDEX(PP_Grid[#Data],$DD313,87),0)</f>
        <v/>
      </c>
      <c r="CL313">
        <f>IFERROR(INDEX(PP_Grid[#Data],$DD313,88),0)</f>
        <v/>
      </c>
      <c r="CM313">
        <f>IFERROR(INDEX(PP_Grid[#Data],$DD313,89),0)</f>
        <v/>
      </c>
      <c r="CN313">
        <f>IFERROR(INDEX(PP_Grid[#Data],$DD313,90),0)</f>
        <v/>
      </c>
      <c r="CO313">
        <f>IFERROR(INDEX(PP_Grid[#Data],$DD313,91),0)</f>
        <v/>
      </c>
      <c r="CP313">
        <f>IFERROR(INDEX(PP_Grid[#Data],$DD313,92),0)</f>
        <v/>
      </c>
      <c r="CQ313">
        <f>IFERROR(INDEX(PP_Grid[#Data],$DD313,93),0)</f>
        <v/>
      </c>
      <c r="CR313">
        <f>IFERROR(INDEX(PP_Grid[#Data],$DD313,94),0)</f>
        <v/>
      </c>
      <c r="CS313">
        <f>IFERROR(INDEX(PP_Grid[#Data],$DD313,95),0)</f>
        <v/>
      </c>
      <c r="CT313">
        <f>IFERROR(INDEX(PP_Grid[#Data],$DD313,96),0)</f>
        <v/>
      </c>
      <c r="CU313">
        <f>IFERROR(INDEX(PP_Grid[#Data],$DD313,97),0)</f>
        <v/>
      </c>
      <c r="CV313">
        <f>IFERROR(INDEX(PP_Grid[#Data],$DD313,98),0)</f>
        <v/>
      </c>
      <c r="CW313">
        <f>IFERROR(INDEX(PP_Grid[#Data],$DD313,99),0)</f>
        <v/>
      </c>
      <c r="CX313">
        <f>IFERROR(INDEX(PP_Grid[#Data],$DD313,100),0)</f>
        <v/>
      </c>
      <c r="CY313">
        <f>IFERROR(INDEX(PP_Grid[#Data],$DD313,101),0)</f>
        <v/>
      </c>
      <c r="CZ313">
        <f>IFERROR(INDEX(PP_Grid[#Data],$DD313,102),0)</f>
        <v/>
      </c>
      <c r="DA313">
        <f>IFERROR(INDEX(PP_Grid[#Data],$DD313,103),0)</f>
        <v/>
      </c>
      <c r="DB313">
        <f>IFERROR(INDEX(PP_Grid[#Data],$DD313,104),0)</f>
        <v/>
      </c>
      <c r="DC313">
        <f>IFERROR(INDEX(PP_Grid[#Data],$DD313,105),0)</f>
        <v/>
      </c>
      <c r="DD313" s="12">
        <f>IFERROR(MATCH($B313,PP_Grid[Intermediate],0),99999)</f>
        <v/>
      </c>
    </row>
    <row r="314">
      <c r="B314" t="inlineStr">
        <is>
          <t>使用量(kg)</t>
        </is>
      </c>
      <c r="C314">
        <f>SUMIFS(M_BOM[RM_Qty_Per_Batch],M_BOM[Intermediate],$B313,M_BOM[Part Name],$A312)</f>
        <v/>
      </c>
      <c r="D314">
        <f>$C314*D313</f>
        <v/>
      </c>
      <c r="E314">
        <f>$C314*E313</f>
        <v/>
      </c>
      <c r="F314">
        <f>$C314*F313</f>
        <v/>
      </c>
      <c r="G314">
        <f>$C314*G313</f>
        <v/>
      </c>
      <c r="H314">
        <f>$C314*H313</f>
        <v/>
      </c>
      <c r="I314">
        <f>$C314*I313</f>
        <v/>
      </c>
      <c r="J314">
        <f>$C314*J313</f>
        <v/>
      </c>
      <c r="K314">
        <f>$C314*K313</f>
        <v/>
      </c>
      <c r="L314">
        <f>$C314*L313</f>
        <v/>
      </c>
      <c r="M314">
        <f>$C314*M313</f>
        <v/>
      </c>
      <c r="N314">
        <f>$C314*N313</f>
        <v/>
      </c>
      <c r="O314">
        <f>$C314*O313</f>
        <v/>
      </c>
      <c r="P314">
        <f>$C314*P313</f>
        <v/>
      </c>
      <c r="Q314">
        <f>$C314*Q313</f>
        <v/>
      </c>
      <c r="R314">
        <f>$C314*R313</f>
        <v/>
      </c>
      <c r="S314">
        <f>$C314*S313</f>
        <v/>
      </c>
      <c r="T314">
        <f>$C314*T313</f>
        <v/>
      </c>
      <c r="U314">
        <f>$C314*U313</f>
        <v/>
      </c>
      <c r="V314">
        <f>$C314*V313</f>
        <v/>
      </c>
      <c r="W314">
        <f>$C314*W313</f>
        <v/>
      </c>
      <c r="X314">
        <f>$C314*X313</f>
        <v/>
      </c>
      <c r="Y314">
        <f>$C314*Y313</f>
        <v/>
      </c>
      <c r="Z314">
        <f>$C314*Z313</f>
        <v/>
      </c>
      <c r="AA314">
        <f>$C314*AA313</f>
        <v/>
      </c>
      <c r="AB314">
        <f>$C314*AB313</f>
        <v/>
      </c>
      <c r="AC314">
        <f>$C314*AC313</f>
        <v/>
      </c>
      <c r="AD314">
        <f>$C314*AD313</f>
        <v/>
      </c>
      <c r="AE314">
        <f>$C314*AE313</f>
        <v/>
      </c>
      <c r="AF314">
        <f>$C314*AF313</f>
        <v/>
      </c>
      <c r="AG314">
        <f>$C314*AG313</f>
        <v/>
      </c>
      <c r="AH314">
        <f>$C314*AH313</f>
        <v/>
      </c>
      <c r="AI314">
        <f>$C314*AI313</f>
        <v/>
      </c>
      <c r="AJ314">
        <f>$C314*AJ313</f>
        <v/>
      </c>
      <c r="AK314">
        <f>$C314*AK313</f>
        <v/>
      </c>
      <c r="AL314">
        <f>$C314*AL313</f>
        <v/>
      </c>
      <c r="AM314">
        <f>$C314*AM313</f>
        <v/>
      </c>
      <c r="AN314">
        <f>$C314*AN313</f>
        <v/>
      </c>
      <c r="AO314">
        <f>$C314*AO313</f>
        <v/>
      </c>
      <c r="AP314">
        <f>$C314*AP313</f>
        <v/>
      </c>
      <c r="AQ314">
        <f>$C314*AQ313</f>
        <v/>
      </c>
      <c r="AR314">
        <f>$C314*AR313</f>
        <v/>
      </c>
      <c r="AS314">
        <f>$C314*AS313</f>
        <v/>
      </c>
      <c r="AT314">
        <f>$C314*AT313</f>
        <v/>
      </c>
      <c r="AU314">
        <f>$C314*AU313</f>
        <v/>
      </c>
      <c r="AV314">
        <f>$C314*AV313</f>
        <v/>
      </c>
      <c r="AW314">
        <f>$C314*AW313</f>
        <v/>
      </c>
      <c r="AX314">
        <f>$C314*AX313</f>
        <v/>
      </c>
      <c r="AY314">
        <f>$C314*AY313</f>
        <v/>
      </c>
      <c r="AZ314">
        <f>$C314*AZ313</f>
        <v/>
      </c>
      <c r="BA314">
        <f>$C314*BA313</f>
        <v/>
      </c>
      <c r="BB314">
        <f>$C314*BB313</f>
        <v/>
      </c>
      <c r="BC314">
        <f>$C314*BC313</f>
        <v/>
      </c>
      <c r="BD314">
        <f>$C314*BD313</f>
        <v/>
      </c>
      <c r="BE314">
        <f>$C314*BE313</f>
        <v/>
      </c>
      <c r="BF314">
        <f>$C314*BF313</f>
        <v/>
      </c>
      <c r="BG314">
        <f>$C314*BG313</f>
        <v/>
      </c>
      <c r="BH314">
        <f>$C314*BH313</f>
        <v/>
      </c>
      <c r="BI314">
        <f>$C314*BI313</f>
        <v/>
      </c>
      <c r="BJ314">
        <f>$C314*BJ313</f>
        <v/>
      </c>
      <c r="BK314">
        <f>$C314*BK313</f>
        <v/>
      </c>
      <c r="BL314">
        <f>$C314*BL313</f>
        <v/>
      </c>
      <c r="BM314">
        <f>$C314*BM313</f>
        <v/>
      </c>
      <c r="BN314">
        <f>$C314*BN313</f>
        <v/>
      </c>
      <c r="BO314">
        <f>$C314*BO313</f>
        <v/>
      </c>
      <c r="BP314">
        <f>$C314*BP313</f>
        <v/>
      </c>
      <c r="BQ314">
        <f>$C314*BQ313</f>
        <v/>
      </c>
      <c r="BR314">
        <f>$C314*BR313</f>
        <v/>
      </c>
      <c r="BS314">
        <f>$C314*BS313</f>
        <v/>
      </c>
      <c r="BT314">
        <f>$C314*BT313</f>
        <v/>
      </c>
      <c r="BU314">
        <f>$C314*BU313</f>
        <v/>
      </c>
      <c r="BV314">
        <f>$C314*BV313</f>
        <v/>
      </c>
      <c r="BW314">
        <f>$C314*BW313</f>
        <v/>
      </c>
      <c r="BX314">
        <f>$C314*BX313</f>
        <v/>
      </c>
      <c r="BY314">
        <f>$C314*BY313</f>
        <v/>
      </c>
      <c r="BZ314">
        <f>$C314*BZ313</f>
        <v/>
      </c>
      <c r="CA314">
        <f>$C314*CA313</f>
        <v/>
      </c>
      <c r="CB314">
        <f>$C314*CB313</f>
        <v/>
      </c>
      <c r="CC314">
        <f>$C314*CC313</f>
        <v/>
      </c>
      <c r="CD314">
        <f>$C314*CD313</f>
        <v/>
      </c>
      <c r="CE314">
        <f>$C314*CE313</f>
        <v/>
      </c>
      <c r="CF314">
        <f>$C314*CF313</f>
        <v/>
      </c>
      <c r="CG314">
        <f>$C314*CG313</f>
        <v/>
      </c>
      <c r="CH314">
        <f>$C314*CH313</f>
        <v/>
      </c>
      <c r="CI314">
        <f>$C314*CI313</f>
        <v/>
      </c>
      <c r="CJ314">
        <f>$C314*CJ313</f>
        <v/>
      </c>
      <c r="CK314">
        <f>$C314*CK313</f>
        <v/>
      </c>
      <c r="CL314">
        <f>$C314*CL313</f>
        <v/>
      </c>
      <c r="CM314">
        <f>$C314*CM313</f>
        <v/>
      </c>
      <c r="CN314">
        <f>$C314*CN313</f>
        <v/>
      </c>
      <c r="CO314">
        <f>$C314*CO313</f>
        <v/>
      </c>
      <c r="CP314">
        <f>$C314*CP313</f>
        <v/>
      </c>
      <c r="CQ314">
        <f>$C314*CQ313</f>
        <v/>
      </c>
      <c r="CR314">
        <f>$C314*CR313</f>
        <v/>
      </c>
      <c r="CS314">
        <f>$C314*CS313</f>
        <v/>
      </c>
      <c r="CT314">
        <f>$C314*CT313</f>
        <v/>
      </c>
      <c r="CU314">
        <f>$C314*CU313</f>
        <v/>
      </c>
      <c r="CV314">
        <f>$C314*CV313</f>
        <v/>
      </c>
      <c r="CW314">
        <f>$C314*CW313</f>
        <v/>
      </c>
      <c r="CX314">
        <f>$C314*CX313</f>
        <v/>
      </c>
      <c r="CY314">
        <f>$C314*CY313</f>
        <v/>
      </c>
      <c r="CZ314">
        <f>$C314*CZ313</f>
        <v/>
      </c>
      <c r="DA314">
        <f>$C314*DA313</f>
        <v/>
      </c>
      <c r="DB314">
        <f>$C314*DB313</f>
        <v/>
      </c>
      <c r="DC314">
        <f>$C314*DC313</f>
        <v/>
      </c>
    </row>
    <row r="315">
      <c r="B315" t="inlineStr">
        <is>
          <t>TSP-067</t>
        </is>
      </c>
      <c r="C315" t="inlineStr">
        <is>
          <t>No. of batches</t>
        </is>
      </c>
      <c r="D315">
        <f>IFERROR(INDEX(PP_Grid[#Data],$DD315,2),0)</f>
        <v/>
      </c>
      <c r="E315">
        <f>IFERROR(INDEX(PP_Grid[#Data],$DD315,3),0)</f>
        <v/>
      </c>
      <c r="F315">
        <f>IFERROR(INDEX(PP_Grid[#Data],$DD315,4),0)</f>
        <v/>
      </c>
      <c r="G315">
        <f>IFERROR(INDEX(PP_Grid[#Data],$DD315,5),0)</f>
        <v/>
      </c>
      <c r="H315">
        <f>IFERROR(INDEX(PP_Grid[#Data],$DD315,6),0)</f>
        <v/>
      </c>
      <c r="I315">
        <f>IFERROR(INDEX(PP_Grid[#Data],$DD315,7),0)</f>
        <v/>
      </c>
      <c r="J315">
        <f>IFERROR(INDEX(PP_Grid[#Data],$DD315,8),0)</f>
        <v/>
      </c>
      <c r="K315">
        <f>IFERROR(INDEX(PP_Grid[#Data],$DD315,9),0)</f>
        <v/>
      </c>
      <c r="L315">
        <f>IFERROR(INDEX(PP_Grid[#Data],$DD315,10),0)</f>
        <v/>
      </c>
      <c r="M315">
        <f>IFERROR(INDEX(PP_Grid[#Data],$DD315,11),0)</f>
        <v/>
      </c>
      <c r="N315">
        <f>IFERROR(INDEX(PP_Grid[#Data],$DD315,12),0)</f>
        <v/>
      </c>
      <c r="O315">
        <f>IFERROR(INDEX(PP_Grid[#Data],$DD315,13),0)</f>
        <v/>
      </c>
      <c r="P315">
        <f>IFERROR(INDEX(PP_Grid[#Data],$DD315,14),0)</f>
        <v/>
      </c>
      <c r="Q315">
        <f>IFERROR(INDEX(PP_Grid[#Data],$DD315,15),0)</f>
        <v/>
      </c>
      <c r="R315">
        <f>IFERROR(INDEX(PP_Grid[#Data],$DD315,16),0)</f>
        <v/>
      </c>
      <c r="S315">
        <f>IFERROR(INDEX(PP_Grid[#Data],$DD315,17),0)</f>
        <v/>
      </c>
      <c r="T315">
        <f>IFERROR(INDEX(PP_Grid[#Data],$DD315,18),0)</f>
        <v/>
      </c>
      <c r="U315">
        <f>IFERROR(INDEX(PP_Grid[#Data],$DD315,19),0)</f>
        <v/>
      </c>
      <c r="V315">
        <f>IFERROR(INDEX(PP_Grid[#Data],$DD315,20),0)</f>
        <v/>
      </c>
      <c r="W315">
        <f>IFERROR(INDEX(PP_Grid[#Data],$DD315,21),0)</f>
        <v/>
      </c>
      <c r="X315">
        <f>IFERROR(INDEX(PP_Grid[#Data],$DD315,22),0)</f>
        <v/>
      </c>
      <c r="Y315">
        <f>IFERROR(INDEX(PP_Grid[#Data],$DD315,23),0)</f>
        <v/>
      </c>
      <c r="Z315">
        <f>IFERROR(INDEX(PP_Grid[#Data],$DD315,24),0)</f>
        <v/>
      </c>
      <c r="AA315">
        <f>IFERROR(INDEX(PP_Grid[#Data],$DD315,25),0)</f>
        <v/>
      </c>
      <c r="AB315">
        <f>IFERROR(INDEX(PP_Grid[#Data],$DD315,26),0)</f>
        <v/>
      </c>
      <c r="AC315">
        <f>IFERROR(INDEX(PP_Grid[#Data],$DD315,27),0)</f>
        <v/>
      </c>
      <c r="AD315">
        <f>IFERROR(INDEX(PP_Grid[#Data],$DD315,28),0)</f>
        <v/>
      </c>
      <c r="AE315">
        <f>IFERROR(INDEX(PP_Grid[#Data],$DD315,29),0)</f>
        <v/>
      </c>
      <c r="AF315">
        <f>IFERROR(INDEX(PP_Grid[#Data],$DD315,30),0)</f>
        <v/>
      </c>
      <c r="AG315">
        <f>IFERROR(INDEX(PP_Grid[#Data],$DD315,31),0)</f>
        <v/>
      </c>
      <c r="AH315">
        <f>IFERROR(INDEX(PP_Grid[#Data],$DD315,32),0)</f>
        <v/>
      </c>
      <c r="AI315">
        <f>IFERROR(INDEX(PP_Grid[#Data],$DD315,33),0)</f>
        <v/>
      </c>
      <c r="AJ315">
        <f>IFERROR(INDEX(PP_Grid[#Data],$DD315,34),0)</f>
        <v/>
      </c>
      <c r="AK315">
        <f>IFERROR(INDEX(PP_Grid[#Data],$DD315,35),0)</f>
        <v/>
      </c>
      <c r="AL315">
        <f>IFERROR(INDEX(PP_Grid[#Data],$DD315,36),0)</f>
        <v/>
      </c>
      <c r="AM315">
        <f>IFERROR(INDEX(PP_Grid[#Data],$DD315,37),0)</f>
        <v/>
      </c>
      <c r="AN315">
        <f>IFERROR(INDEX(PP_Grid[#Data],$DD315,38),0)</f>
        <v/>
      </c>
      <c r="AO315">
        <f>IFERROR(INDEX(PP_Grid[#Data],$DD315,39),0)</f>
        <v/>
      </c>
      <c r="AP315">
        <f>IFERROR(INDEX(PP_Grid[#Data],$DD315,40),0)</f>
        <v/>
      </c>
      <c r="AQ315">
        <f>IFERROR(INDEX(PP_Grid[#Data],$DD315,41),0)</f>
        <v/>
      </c>
      <c r="AR315">
        <f>IFERROR(INDEX(PP_Grid[#Data],$DD315,42),0)</f>
        <v/>
      </c>
      <c r="AS315">
        <f>IFERROR(INDEX(PP_Grid[#Data],$DD315,43),0)</f>
        <v/>
      </c>
      <c r="AT315">
        <f>IFERROR(INDEX(PP_Grid[#Data],$DD315,44),0)</f>
        <v/>
      </c>
      <c r="AU315">
        <f>IFERROR(INDEX(PP_Grid[#Data],$DD315,45),0)</f>
        <v/>
      </c>
      <c r="AV315">
        <f>IFERROR(INDEX(PP_Grid[#Data],$DD315,46),0)</f>
        <v/>
      </c>
      <c r="AW315">
        <f>IFERROR(INDEX(PP_Grid[#Data],$DD315,47),0)</f>
        <v/>
      </c>
      <c r="AX315">
        <f>IFERROR(INDEX(PP_Grid[#Data],$DD315,48),0)</f>
        <v/>
      </c>
      <c r="AY315">
        <f>IFERROR(INDEX(PP_Grid[#Data],$DD315,49),0)</f>
        <v/>
      </c>
      <c r="AZ315">
        <f>IFERROR(INDEX(PP_Grid[#Data],$DD315,50),0)</f>
        <v/>
      </c>
      <c r="BA315">
        <f>IFERROR(INDEX(PP_Grid[#Data],$DD315,51),0)</f>
        <v/>
      </c>
      <c r="BB315">
        <f>IFERROR(INDEX(PP_Grid[#Data],$DD315,52),0)</f>
        <v/>
      </c>
      <c r="BC315">
        <f>IFERROR(INDEX(PP_Grid[#Data],$DD315,53),0)</f>
        <v/>
      </c>
      <c r="BD315">
        <f>IFERROR(INDEX(PP_Grid[#Data],$DD315,54),0)</f>
        <v/>
      </c>
      <c r="BE315">
        <f>IFERROR(INDEX(PP_Grid[#Data],$DD315,55),0)</f>
        <v/>
      </c>
      <c r="BF315">
        <f>IFERROR(INDEX(PP_Grid[#Data],$DD315,56),0)</f>
        <v/>
      </c>
      <c r="BG315">
        <f>IFERROR(INDEX(PP_Grid[#Data],$DD315,57),0)</f>
        <v/>
      </c>
      <c r="BH315">
        <f>IFERROR(INDEX(PP_Grid[#Data],$DD315,58),0)</f>
        <v/>
      </c>
      <c r="BI315">
        <f>IFERROR(INDEX(PP_Grid[#Data],$DD315,59),0)</f>
        <v/>
      </c>
      <c r="BJ315">
        <f>IFERROR(INDEX(PP_Grid[#Data],$DD315,60),0)</f>
        <v/>
      </c>
      <c r="BK315">
        <f>IFERROR(INDEX(PP_Grid[#Data],$DD315,61),0)</f>
        <v/>
      </c>
      <c r="BL315">
        <f>IFERROR(INDEX(PP_Grid[#Data],$DD315,62),0)</f>
        <v/>
      </c>
      <c r="BM315">
        <f>IFERROR(INDEX(PP_Grid[#Data],$DD315,63),0)</f>
        <v/>
      </c>
      <c r="BN315">
        <f>IFERROR(INDEX(PP_Grid[#Data],$DD315,64),0)</f>
        <v/>
      </c>
      <c r="BO315">
        <f>IFERROR(INDEX(PP_Grid[#Data],$DD315,65),0)</f>
        <v/>
      </c>
      <c r="BP315">
        <f>IFERROR(INDEX(PP_Grid[#Data],$DD315,66),0)</f>
        <v/>
      </c>
      <c r="BQ315">
        <f>IFERROR(INDEX(PP_Grid[#Data],$DD315,67),0)</f>
        <v/>
      </c>
      <c r="BR315">
        <f>IFERROR(INDEX(PP_Grid[#Data],$DD315,68),0)</f>
        <v/>
      </c>
      <c r="BS315">
        <f>IFERROR(INDEX(PP_Grid[#Data],$DD315,69),0)</f>
        <v/>
      </c>
      <c r="BT315">
        <f>IFERROR(INDEX(PP_Grid[#Data],$DD315,70),0)</f>
        <v/>
      </c>
      <c r="BU315">
        <f>IFERROR(INDEX(PP_Grid[#Data],$DD315,71),0)</f>
        <v/>
      </c>
      <c r="BV315">
        <f>IFERROR(INDEX(PP_Grid[#Data],$DD315,72),0)</f>
        <v/>
      </c>
      <c r="BW315">
        <f>IFERROR(INDEX(PP_Grid[#Data],$DD315,73),0)</f>
        <v/>
      </c>
      <c r="BX315">
        <f>IFERROR(INDEX(PP_Grid[#Data],$DD315,74),0)</f>
        <v/>
      </c>
      <c r="BY315">
        <f>IFERROR(INDEX(PP_Grid[#Data],$DD315,75),0)</f>
        <v/>
      </c>
      <c r="BZ315">
        <f>IFERROR(INDEX(PP_Grid[#Data],$DD315,76),0)</f>
        <v/>
      </c>
      <c r="CA315">
        <f>IFERROR(INDEX(PP_Grid[#Data],$DD315,77),0)</f>
        <v/>
      </c>
      <c r="CB315">
        <f>IFERROR(INDEX(PP_Grid[#Data],$DD315,78),0)</f>
        <v/>
      </c>
      <c r="CC315">
        <f>IFERROR(INDEX(PP_Grid[#Data],$DD315,79),0)</f>
        <v/>
      </c>
      <c r="CD315">
        <f>IFERROR(INDEX(PP_Grid[#Data],$DD315,80),0)</f>
        <v/>
      </c>
      <c r="CE315">
        <f>IFERROR(INDEX(PP_Grid[#Data],$DD315,81),0)</f>
        <v/>
      </c>
      <c r="CF315">
        <f>IFERROR(INDEX(PP_Grid[#Data],$DD315,82),0)</f>
        <v/>
      </c>
      <c r="CG315">
        <f>IFERROR(INDEX(PP_Grid[#Data],$DD315,83),0)</f>
        <v/>
      </c>
      <c r="CH315">
        <f>IFERROR(INDEX(PP_Grid[#Data],$DD315,84),0)</f>
        <v/>
      </c>
      <c r="CI315">
        <f>IFERROR(INDEX(PP_Grid[#Data],$DD315,85),0)</f>
        <v/>
      </c>
      <c r="CJ315">
        <f>IFERROR(INDEX(PP_Grid[#Data],$DD315,86),0)</f>
        <v/>
      </c>
      <c r="CK315">
        <f>IFERROR(INDEX(PP_Grid[#Data],$DD315,87),0)</f>
        <v/>
      </c>
      <c r="CL315">
        <f>IFERROR(INDEX(PP_Grid[#Data],$DD315,88),0)</f>
        <v/>
      </c>
      <c r="CM315">
        <f>IFERROR(INDEX(PP_Grid[#Data],$DD315,89),0)</f>
        <v/>
      </c>
      <c r="CN315">
        <f>IFERROR(INDEX(PP_Grid[#Data],$DD315,90),0)</f>
        <v/>
      </c>
      <c r="CO315">
        <f>IFERROR(INDEX(PP_Grid[#Data],$DD315,91),0)</f>
        <v/>
      </c>
      <c r="CP315">
        <f>IFERROR(INDEX(PP_Grid[#Data],$DD315,92),0)</f>
        <v/>
      </c>
      <c r="CQ315">
        <f>IFERROR(INDEX(PP_Grid[#Data],$DD315,93),0)</f>
        <v/>
      </c>
      <c r="CR315">
        <f>IFERROR(INDEX(PP_Grid[#Data],$DD315,94),0)</f>
        <v/>
      </c>
      <c r="CS315">
        <f>IFERROR(INDEX(PP_Grid[#Data],$DD315,95),0)</f>
        <v/>
      </c>
      <c r="CT315">
        <f>IFERROR(INDEX(PP_Grid[#Data],$DD315,96),0)</f>
        <v/>
      </c>
      <c r="CU315">
        <f>IFERROR(INDEX(PP_Grid[#Data],$DD315,97),0)</f>
        <v/>
      </c>
      <c r="CV315">
        <f>IFERROR(INDEX(PP_Grid[#Data],$DD315,98),0)</f>
        <v/>
      </c>
      <c r="CW315">
        <f>IFERROR(INDEX(PP_Grid[#Data],$DD315,99),0)</f>
        <v/>
      </c>
      <c r="CX315">
        <f>IFERROR(INDEX(PP_Grid[#Data],$DD315,100),0)</f>
        <v/>
      </c>
      <c r="CY315">
        <f>IFERROR(INDEX(PP_Grid[#Data],$DD315,101),0)</f>
        <v/>
      </c>
      <c r="CZ315">
        <f>IFERROR(INDEX(PP_Grid[#Data],$DD315,102),0)</f>
        <v/>
      </c>
      <c r="DA315">
        <f>IFERROR(INDEX(PP_Grid[#Data],$DD315,103),0)</f>
        <v/>
      </c>
      <c r="DB315">
        <f>IFERROR(INDEX(PP_Grid[#Data],$DD315,104),0)</f>
        <v/>
      </c>
      <c r="DC315">
        <f>IFERROR(INDEX(PP_Grid[#Data],$DD315,105),0)</f>
        <v/>
      </c>
      <c r="DD315" s="12">
        <f>IFERROR(MATCH($B315,PP_Grid[Intermediate],0),99999)</f>
        <v/>
      </c>
    </row>
    <row r="316">
      <c r="B316" t="inlineStr">
        <is>
          <t>使用量(kg)</t>
        </is>
      </c>
      <c r="C316">
        <f>SUMIFS(M_BOM[RM_Qty_Per_Batch],M_BOM[Intermediate],$B315,M_BOM[Part Name],$A312)</f>
        <v/>
      </c>
      <c r="D316">
        <f>$C316*D315</f>
        <v/>
      </c>
      <c r="E316">
        <f>$C316*E315</f>
        <v/>
      </c>
      <c r="F316">
        <f>$C316*F315</f>
        <v/>
      </c>
      <c r="G316">
        <f>$C316*G315</f>
        <v/>
      </c>
      <c r="H316">
        <f>$C316*H315</f>
        <v/>
      </c>
      <c r="I316">
        <f>$C316*I315</f>
        <v/>
      </c>
      <c r="J316">
        <f>$C316*J315</f>
        <v/>
      </c>
      <c r="K316">
        <f>$C316*K315</f>
        <v/>
      </c>
      <c r="L316">
        <f>$C316*L315</f>
        <v/>
      </c>
      <c r="M316">
        <f>$C316*M315</f>
        <v/>
      </c>
      <c r="N316">
        <f>$C316*N315</f>
        <v/>
      </c>
      <c r="O316">
        <f>$C316*O315</f>
        <v/>
      </c>
      <c r="P316">
        <f>$C316*P315</f>
        <v/>
      </c>
      <c r="Q316">
        <f>$C316*Q315</f>
        <v/>
      </c>
      <c r="R316">
        <f>$C316*R315</f>
        <v/>
      </c>
      <c r="S316">
        <f>$C316*S315</f>
        <v/>
      </c>
      <c r="T316">
        <f>$C316*T315</f>
        <v/>
      </c>
      <c r="U316">
        <f>$C316*U315</f>
        <v/>
      </c>
      <c r="V316">
        <f>$C316*V315</f>
        <v/>
      </c>
      <c r="W316">
        <f>$C316*W315</f>
        <v/>
      </c>
      <c r="X316">
        <f>$C316*X315</f>
        <v/>
      </c>
      <c r="Y316">
        <f>$C316*Y315</f>
        <v/>
      </c>
      <c r="Z316">
        <f>$C316*Z315</f>
        <v/>
      </c>
      <c r="AA316">
        <f>$C316*AA315</f>
        <v/>
      </c>
      <c r="AB316">
        <f>$C316*AB315</f>
        <v/>
      </c>
      <c r="AC316">
        <f>$C316*AC315</f>
        <v/>
      </c>
      <c r="AD316">
        <f>$C316*AD315</f>
        <v/>
      </c>
      <c r="AE316">
        <f>$C316*AE315</f>
        <v/>
      </c>
      <c r="AF316">
        <f>$C316*AF315</f>
        <v/>
      </c>
      <c r="AG316">
        <f>$C316*AG315</f>
        <v/>
      </c>
      <c r="AH316">
        <f>$C316*AH315</f>
        <v/>
      </c>
      <c r="AI316">
        <f>$C316*AI315</f>
        <v/>
      </c>
      <c r="AJ316">
        <f>$C316*AJ315</f>
        <v/>
      </c>
      <c r="AK316">
        <f>$C316*AK315</f>
        <v/>
      </c>
      <c r="AL316">
        <f>$C316*AL315</f>
        <v/>
      </c>
      <c r="AM316">
        <f>$C316*AM315</f>
        <v/>
      </c>
      <c r="AN316">
        <f>$C316*AN315</f>
        <v/>
      </c>
      <c r="AO316">
        <f>$C316*AO315</f>
        <v/>
      </c>
      <c r="AP316">
        <f>$C316*AP315</f>
        <v/>
      </c>
      <c r="AQ316">
        <f>$C316*AQ315</f>
        <v/>
      </c>
      <c r="AR316">
        <f>$C316*AR315</f>
        <v/>
      </c>
      <c r="AS316">
        <f>$C316*AS315</f>
        <v/>
      </c>
      <c r="AT316">
        <f>$C316*AT315</f>
        <v/>
      </c>
      <c r="AU316">
        <f>$C316*AU315</f>
        <v/>
      </c>
      <c r="AV316">
        <f>$C316*AV315</f>
        <v/>
      </c>
      <c r="AW316">
        <f>$C316*AW315</f>
        <v/>
      </c>
      <c r="AX316">
        <f>$C316*AX315</f>
        <v/>
      </c>
      <c r="AY316">
        <f>$C316*AY315</f>
        <v/>
      </c>
      <c r="AZ316">
        <f>$C316*AZ315</f>
        <v/>
      </c>
      <c r="BA316">
        <f>$C316*BA315</f>
        <v/>
      </c>
      <c r="BB316">
        <f>$C316*BB315</f>
        <v/>
      </c>
      <c r="BC316">
        <f>$C316*BC315</f>
        <v/>
      </c>
      <c r="BD316">
        <f>$C316*BD315</f>
        <v/>
      </c>
      <c r="BE316">
        <f>$C316*BE315</f>
        <v/>
      </c>
      <c r="BF316">
        <f>$C316*BF315</f>
        <v/>
      </c>
      <c r="BG316">
        <f>$C316*BG315</f>
        <v/>
      </c>
      <c r="BH316">
        <f>$C316*BH315</f>
        <v/>
      </c>
      <c r="BI316">
        <f>$C316*BI315</f>
        <v/>
      </c>
      <c r="BJ316">
        <f>$C316*BJ315</f>
        <v/>
      </c>
      <c r="BK316">
        <f>$C316*BK315</f>
        <v/>
      </c>
      <c r="BL316">
        <f>$C316*BL315</f>
        <v/>
      </c>
      <c r="BM316">
        <f>$C316*BM315</f>
        <v/>
      </c>
      <c r="BN316">
        <f>$C316*BN315</f>
        <v/>
      </c>
      <c r="BO316">
        <f>$C316*BO315</f>
        <v/>
      </c>
      <c r="BP316">
        <f>$C316*BP315</f>
        <v/>
      </c>
      <c r="BQ316">
        <f>$C316*BQ315</f>
        <v/>
      </c>
      <c r="BR316">
        <f>$C316*BR315</f>
        <v/>
      </c>
      <c r="BS316">
        <f>$C316*BS315</f>
        <v/>
      </c>
      <c r="BT316">
        <f>$C316*BT315</f>
        <v/>
      </c>
      <c r="BU316">
        <f>$C316*BU315</f>
        <v/>
      </c>
      <c r="BV316">
        <f>$C316*BV315</f>
        <v/>
      </c>
      <c r="BW316">
        <f>$C316*BW315</f>
        <v/>
      </c>
      <c r="BX316">
        <f>$C316*BX315</f>
        <v/>
      </c>
      <c r="BY316">
        <f>$C316*BY315</f>
        <v/>
      </c>
      <c r="BZ316">
        <f>$C316*BZ315</f>
        <v/>
      </c>
      <c r="CA316">
        <f>$C316*CA315</f>
        <v/>
      </c>
      <c r="CB316">
        <f>$C316*CB315</f>
        <v/>
      </c>
      <c r="CC316">
        <f>$C316*CC315</f>
        <v/>
      </c>
      <c r="CD316">
        <f>$C316*CD315</f>
        <v/>
      </c>
      <c r="CE316">
        <f>$C316*CE315</f>
        <v/>
      </c>
      <c r="CF316">
        <f>$C316*CF315</f>
        <v/>
      </c>
      <c r="CG316">
        <f>$C316*CG315</f>
        <v/>
      </c>
      <c r="CH316">
        <f>$C316*CH315</f>
        <v/>
      </c>
      <c r="CI316">
        <f>$C316*CI315</f>
        <v/>
      </c>
      <c r="CJ316">
        <f>$C316*CJ315</f>
        <v/>
      </c>
      <c r="CK316">
        <f>$C316*CK315</f>
        <v/>
      </c>
      <c r="CL316">
        <f>$C316*CL315</f>
        <v/>
      </c>
      <c r="CM316">
        <f>$C316*CM315</f>
        <v/>
      </c>
      <c r="CN316">
        <f>$C316*CN315</f>
        <v/>
      </c>
      <c r="CO316">
        <f>$C316*CO315</f>
        <v/>
      </c>
      <c r="CP316">
        <f>$C316*CP315</f>
        <v/>
      </c>
      <c r="CQ316">
        <f>$C316*CQ315</f>
        <v/>
      </c>
      <c r="CR316">
        <f>$C316*CR315</f>
        <v/>
      </c>
      <c r="CS316">
        <f>$C316*CS315</f>
        <v/>
      </c>
      <c r="CT316">
        <f>$C316*CT315</f>
        <v/>
      </c>
      <c r="CU316">
        <f>$C316*CU315</f>
        <v/>
      </c>
      <c r="CV316">
        <f>$C316*CV315</f>
        <v/>
      </c>
      <c r="CW316">
        <f>$C316*CW315</f>
        <v/>
      </c>
      <c r="CX316">
        <f>$C316*CX315</f>
        <v/>
      </c>
      <c r="CY316">
        <f>$C316*CY315</f>
        <v/>
      </c>
      <c r="CZ316">
        <f>$C316*CZ315</f>
        <v/>
      </c>
      <c r="DA316">
        <f>$C316*DA315</f>
        <v/>
      </c>
      <c r="DB316">
        <f>$C316*DB315</f>
        <v/>
      </c>
      <c r="DC316">
        <f>$C316*DC315</f>
        <v/>
      </c>
    </row>
    <row r="317">
      <c r="B317" t="inlineStr">
        <is>
          <t>TSP-069</t>
        </is>
      </c>
      <c r="C317" t="inlineStr">
        <is>
          <t>No. of batches</t>
        </is>
      </c>
      <c r="D317">
        <f>IFERROR(INDEX(PP_Grid[#Data],$DD317,2),0)</f>
        <v/>
      </c>
      <c r="E317">
        <f>IFERROR(INDEX(PP_Grid[#Data],$DD317,3),0)</f>
        <v/>
      </c>
      <c r="F317">
        <f>IFERROR(INDEX(PP_Grid[#Data],$DD317,4),0)</f>
        <v/>
      </c>
      <c r="G317">
        <f>IFERROR(INDEX(PP_Grid[#Data],$DD317,5),0)</f>
        <v/>
      </c>
      <c r="H317">
        <f>IFERROR(INDEX(PP_Grid[#Data],$DD317,6),0)</f>
        <v/>
      </c>
      <c r="I317">
        <f>IFERROR(INDEX(PP_Grid[#Data],$DD317,7),0)</f>
        <v/>
      </c>
      <c r="J317">
        <f>IFERROR(INDEX(PP_Grid[#Data],$DD317,8),0)</f>
        <v/>
      </c>
      <c r="K317">
        <f>IFERROR(INDEX(PP_Grid[#Data],$DD317,9),0)</f>
        <v/>
      </c>
      <c r="L317">
        <f>IFERROR(INDEX(PP_Grid[#Data],$DD317,10),0)</f>
        <v/>
      </c>
      <c r="M317">
        <f>IFERROR(INDEX(PP_Grid[#Data],$DD317,11),0)</f>
        <v/>
      </c>
      <c r="N317">
        <f>IFERROR(INDEX(PP_Grid[#Data],$DD317,12),0)</f>
        <v/>
      </c>
      <c r="O317">
        <f>IFERROR(INDEX(PP_Grid[#Data],$DD317,13),0)</f>
        <v/>
      </c>
      <c r="P317">
        <f>IFERROR(INDEX(PP_Grid[#Data],$DD317,14),0)</f>
        <v/>
      </c>
      <c r="Q317">
        <f>IFERROR(INDEX(PP_Grid[#Data],$DD317,15),0)</f>
        <v/>
      </c>
      <c r="R317">
        <f>IFERROR(INDEX(PP_Grid[#Data],$DD317,16),0)</f>
        <v/>
      </c>
      <c r="S317">
        <f>IFERROR(INDEX(PP_Grid[#Data],$DD317,17),0)</f>
        <v/>
      </c>
      <c r="T317">
        <f>IFERROR(INDEX(PP_Grid[#Data],$DD317,18),0)</f>
        <v/>
      </c>
      <c r="U317">
        <f>IFERROR(INDEX(PP_Grid[#Data],$DD317,19),0)</f>
        <v/>
      </c>
      <c r="V317">
        <f>IFERROR(INDEX(PP_Grid[#Data],$DD317,20),0)</f>
        <v/>
      </c>
      <c r="W317">
        <f>IFERROR(INDEX(PP_Grid[#Data],$DD317,21),0)</f>
        <v/>
      </c>
      <c r="X317">
        <f>IFERROR(INDEX(PP_Grid[#Data],$DD317,22),0)</f>
        <v/>
      </c>
      <c r="Y317">
        <f>IFERROR(INDEX(PP_Grid[#Data],$DD317,23),0)</f>
        <v/>
      </c>
      <c r="Z317">
        <f>IFERROR(INDEX(PP_Grid[#Data],$DD317,24),0)</f>
        <v/>
      </c>
      <c r="AA317">
        <f>IFERROR(INDEX(PP_Grid[#Data],$DD317,25),0)</f>
        <v/>
      </c>
      <c r="AB317">
        <f>IFERROR(INDEX(PP_Grid[#Data],$DD317,26),0)</f>
        <v/>
      </c>
      <c r="AC317">
        <f>IFERROR(INDEX(PP_Grid[#Data],$DD317,27),0)</f>
        <v/>
      </c>
      <c r="AD317">
        <f>IFERROR(INDEX(PP_Grid[#Data],$DD317,28),0)</f>
        <v/>
      </c>
      <c r="AE317">
        <f>IFERROR(INDEX(PP_Grid[#Data],$DD317,29),0)</f>
        <v/>
      </c>
      <c r="AF317">
        <f>IFERROR(INDEX(PP_Grid[#Data],$DD317,30),0)</f>
        <v/>
      </c>
      <c r="AG317">
        <f>IFERROR(INDEX(PP_Grid[#Data],$DD317,31),0)</f>
        <v/>
      </c>
      <c r="AH317">
        <f>IFERROR(INDEX(PP_Grid[#Data],$DD317,32),0)</f>
        <v/>
      </c>
      <c r="AI317">
        <f>IFERROR(INDEX(PP_Grid[#Data],$DD317,33),0)</f>
        <v/>
      </c>
      <c r="AJ317">
        <f>IFERROR(INDEX(PP_Grid[#Data],$DD317,34),0)</f>
        <v/>
      </c>
      <c r="AK317">
        <f>IFERROR(INDEX(PP_Grid[#Data],$DD317,35),0)</f>
        <v/>
      </c>
      <c r="AL317">
        <f>IFERROR(INDEX(PP_Grid[#Data],$DD317,36),0)</f>
        <v/>
      </c>
      <c r="AM317">
        <f>IFERROR(INDEX(PP_Grid[#Data],$DD317,37),0)</f>
        <v/>
      </c>
      <c r="AN317">
        <f>IFERROR(INDEX(PP_Grid[#Data],$DD317,38),0)</f>
        <v/>
      </c>
      <c r="AO317">
        <f>IFERROR(INDEX(PP_Grid[#Data],$DD317,39),0)</f>
        <v/>
      </c>
      <c r="AP317">
        <f>IFERROR(INDEX(PP_Grid[#Data],$DD317,40),0)</f>
        <v/>
      </c>
      <c r="AQ317">
        <f>IFERROR(INDEX(PP_Grid[#Data],$DD317,41),0)</f>
        <v/>
      </c>
      <c r="AR317">
        <f>IFERROR(INDEX(PP_Grid[#Data],$DD317,42),0)</f>
        <v/>
      </c>
      <c r="AS317">
        <f>IFERROR(INDEX(PP_Grid[#Data],$DD317,43),0)</f>
        <v/>
      </c>
      <c r="AT317">
        <f>IFERROR(INDEX(PP_Grid[#Data],$DD317,44),0)</f>
        <v/>
      </c>
      <c r="AU317">
        <f>IFERROR(INDEX(PP_Grid[#Data],$DD317,45),0)</f>
        <v/>
      </c>
      <c r="AV317">
        <f>IFERROR(INDEX(PP_Grid[#Data],$DD317,46),0)</f>
        <v/>
      </c>
      <c r="AW317">
        <f>IFERROR(INDEX(PP_Grid[#Data],$DD317,47),0)</f>
        <v/>
      </c>
      <c r="AX317">
        <f>IFERROR(INDEX(PP_Grid[#Data],$DD317,48),0)</f>
        <v/>
      </c>
      <c r="AY317">
        <f>IFERROR(INDEX(PP_Grid[#Data],$DD317,49),0)</f>
        <v/>
      </c>
      <c r="AZ317">
        <f>IFERROR(INDEX(PP_Grid[#Data],$DD317,50),0)</f>
        <v/>
      </c>
      <c r="BA317">
        <f>IFERROR(INDEX(PP_Grid[#Data],$DD317,51),0)</f>
        <v/>
      </c>
      <c r="BB317">
        <f>IFERROR(INDEX(PP_Grid[#Data],$DD317,52),0)</f>
        <v/>
      </c>
      <c r="BC317">
        <f>IFERROR(INDEX(PP_Grid[#Data],$DD317,53),0)</f>
        <v/>
      </c>
      <c r="BD317">
        <f>IFERROR(INDEX(PP_Grid[#Data],$DD317,54),0)</f>
        <v/>
      </c>
      <c r="BE317">
        <f>IFERROR(INDEX(PP_Grid[#Data],$DD317,55),0)</f>
        <v/>
      </c>
      <c r="BF317">
        <f>IFERROR(INDEX(PP_Grid[#Data],$DD317,56),0)</f>
        <v/>
      </c>
      <c r="BG317">
        <f>IFERROR(INDEX(PP_Grid[#Data],$DD317,57),0)</f>
        <v/>
      </c>
      <c r="BH317">
        <f>IFERROR(INDEX(PP_Grid[#Data],$DD317,58),0)</f>
        <v/>
      </c>
      <c r="BI317">
        <f>IFERROR(INDEX(PP_Grid[#Data],$DD317,59),0)</f>
        <v/>
      </c>
      <c r="BJ317">
        <f>IFERROR(INDEX(PP_Grid[#Data],$DD317,60),0)</f>
        <v/>
      </c>
      <c r="BK317">
        <f>IFERROR(INDEX(PP_Grid[#Data],$DD317,61),0)</f>
        <v/>
      </c>
      <c r="BL317">
        <f>IFERROR(INDEX(PP_Grid[#Data],$DD317,62),0)</f>
        <v/>
      </c>
      <c r="BM317">
        <f>IFERROR(INDEX(PP_Grid[#Data],$DD317,63),0)</f>
        <v/>
      </c>
      <c r="BN317">
        <f>IFERROR(INDEX(PP_Grid[#Data],$DD317,64),0)</f>
        <v/>
      </c>
      <c r="BO317">
        <f>IFERROR(INDEX(PP_Grid[#Data],$DD317,65),0)</f>
        <v/>
      </c>
      <c r="BP317">
        <f>IFERROR(INDEX(PP_Grid[#Data],$DD317,66),0)</f>
        <v/>
      </c>
      <c r="BQ317">
        <f>IFERROR(INDEX(PP_Grid[#Data],$DD317,67),0)</f>
        <v/>
      </c>
      <c r="BR317">
        <f>IFERROR(INDEX(PP_Grid[#Data],$DD317,68),0)</f>
        <v/>
      </c>
      <c r="BS317">
        <f>IFERROR(INDEX(PP_Grid[#Data],$DD317,69),0)</f>
        <v/>
      </c>
      <c r="BT317">
        <f>IFERROR(INDEX(PP_Grid[#Data],$DD317,70),0)</f>
        <v/>
      </c>
      <c r="BU317">
        <f>IFERROR(INDEX(PP_Grid[#Data],$DD317,71),0)</f>
        <v/>
      </c>
      <c r="BV317">
        <f>IFERROR(INDEX(PP_Grid[#Data],$DD317,72),0)</f>
        <v/>
      </c>
      <c r="BW317">
        <f>IFERROR(INDEX(PP_Grid[#Data],$DD317,73),0)</f>
        <v/>
      </c>
      <c r="BX317">
        <f>IFERROR(INDEX(PP_Grid[#Data],$DD317,74),0)</f>
        <v/>
      </c>
      <c r="BY317">
        <f>IFERROR(INDEX(PP_Grid[#Data],$DD317,75),0)</f>
        <v/>
      </c>
      <c r="BZ317">
        <f>IFERROR(INDEX(PP_Grid[#Data],$DD317,76),0)</f>
        <v/>
      </c>
      <c r="CA317">
        <f>IFERROR(INDEX(PP_Grid[#Data],$DD317,77),0)</f>
        <v/>
      </c>
      <c r="CB317">
        <f>IFERROR(INDEX(PP_Grid[#Data],$DD317,78),0)</f>
        <v/>
      </c>
      <c r="CC317">
        <f>IFERROR(INDEX(PP_Grid[#Data],$DD317,79),0)</f>
        <v/>
      </c>
      <c r="CD317">
        <f>IFERROR(INDEX(PP_Grid[#Data],$DD317,80),0)</f>
        <v/>
      </c>
      <c r="CE317">
        <f>IFERROR(INDEX(PP_Grid[#Data],$DD317,81),0)</f>
        <v/>
      </c>
      <c r="CF317">
        <f>IFERROR(INDEX(PP_Grid[#Data],$DD317,82),0)</f>
        <v/>
      </c>
      <c r="CG317">
        <f>IFERROR(INDEX(PP_Grid[#Data],$DD317,83),0)</f>
        <v/>
      </c>
      <c r="CH317">
        <f>IFERROR(INDEX(PP_Grid[#Data],$DD317,84),0)</f>
        <v/>
      </c>
      <c r="CI317">
        <f>IFERROR(INDEX(PP_Grid[#Data],$DD317,85),0)</f>
        <v/>
      </c>
      <c r="CJ317">
        <f>IFERROR(INDEX(PP_Grid[#Data],$DD317,86),0)</f>
        <v/>
      </c>
      <c r="CK317">
        <f>IFERROR(INDEX(PP_Grid[#Data],$DD317,87),0)</f>
        <v/>
      </c>
      <c r="CL317">
        <f>IFERROR(INDEX(PP_Grid[#Data],$DD317,88),0)</f>
        <v/>
      </c>
      <c r="CM317">
        <f>IFERROR(INDEX(PP_Grid[#Data],$DD317,89),0)</f>
        <v/>
      </c>
      <c r="CN317">
        <f>IFERROR(INDEX(PP_Grid[#Data],$DD317,90),0)</f>
        <v/>
      </c>
      <c r="CO317">
        <f>IFERROR(INDEX(PP_Grid[#Data],$DD317,91),0)</f>
        <v/>
      </c>
      <c r="CP317">
        <f>IFERROR(INDEX(PP_Grid[#Data],$DD317,92),0)</f>
        <v/>
      </c>
      <c r="CQ317">
        <f>IFERROR(INDEX(PP_Grid[#Data],$DD317,93),0)</f>
        <v/>
      </c>
      <c r="CR317">
        <f>IFERROR(INDEX(PP_Grid[#Data],$DD317,94),0)</f>
        <v/>
      </c>
      <c r="CS317">
        <f>IFERROR(INDEX(PP_Grid[#Data],$DD317,95),0)</f>
        <v/>
      </c>
      <c r="CT317">
        <f>IFERROR(INDEX(PP_Grid[#Data],$DD317,96),0)</f>
        <v/>
      </c>
      <c r="CU317">
        <f>IFERROR(INDEX(PP_Grid[#Data],$DD317,97),0)</f>
        <v/>
      </c>
      <c r="CV317">
        <f>IFERROR(INDEX(PP_Grid[#Data],$DD317,98),0)</f>
        <v/>
      </c>
      <c r="CW317">
        <f>IFERROR(INDEX(PP_Grid[#Data],$DD317,99),0)</f>
        <v/>
      </c>
      <c r="CX317">
        <f>IFERROR(INDEX(PP_Grid[#Data],$DD317,100),0)</f>
        <v/>
      </c>
      <c r="CY317">
        <f>IFERROR(INDEX(PP_Grid[#Data],$DD317,101),0)</f>
        <v/>
      </c>
      <c r="CZ317">
        <f>IFERROR(INDEX(PP_Grid[#Data],$DD317,102),0)</f>
        <v/>
      </c>
      <c r="DA317">
        <f>IFERROR(INDEX(PP_Grid[#Data],$DD317,103),0)</f>
        <v/>
      </c>
      <c r="DB317">
        <f>IFERROR(INDEX(PP_Grid[#Data],$DD317,104),0)</f>
        <v/>
      </c>
      <c r="DC317">
        <f>IFERROR(INDEX(PP_Grid[#Data],$DD317,105),0)</f>
        <v/>
      </c>
      <c r="DD317" s="12">
        <f>IFERROR(MATCH($B317,PP_Grid[Intermediate],0),99999)</f>
        <v/>
      </c>
    </row>
    <row r="318">
      <c r="B318" t="inlineStr">
        <is>
          <t>使用量(kg)</t>
        </is>
      </c>
      <c r="C318">
        <f>SUMIFS(M_BOM[RM_Qty_Per_Batch],M_BOM[Intermediate],$B317,M_BOM[Part Name],$A312)</f>
        <v/>
      </c>
      <c r="D318">
        <f>$C318*D317</f>
        <v/>
      </c>
      <c r="E318">
        <f>$C318*E317</f>
        <v/>
      </c>
      <c r="F318">
        <f>$C318*F317</f>
        <v/>
      </c>
      <c r="G318">
        <f>$C318*G317</f>
        <v/>
      </c>
      <c r="H318">
        <f>$C318*H317</f>
        <v/>
      </c>
      <c r="I318">
        <f>$C318*I317</f>
        <v/>
      </c>
      <c r="J318">
        <f>$C318*J317</f>
        <v/>
      </c>
      <c r="K318">
        <f>$C318*K317</f>
        <v/>
      </c>
      <c r="L318">
        <f>$C318*L317</f>
        <v/>
      </c>
      <c r="M318">
        <f>$C318*M317</f>
        <v/>
      </c>
      <c r="N318">
        <f>$C318*N317</f>
        <v/>
      </c>
      <c r="O318">
        <f>$C318*O317</f>
        <v/>
      </c>
      <c r="P318">
        <f>$C318*P317</f>
        <v/>
      </c>
      <c r="Q318">
        <f>$C318*Q317</f>
        <v/>
      </c>
      <c r="R318">
        <f>$C318*R317</f>
        <v/>
      </c>
      <c r="S318">
        <f>$C318*S317</f>
        <v/>
      </c>
      <c r="T318">
        <f>$C318*T317</f>
        <v/>
      </c>
      <c r="U318">
        <f>$C318*U317</f>
        <v/>
      </c>
      <c r="V318">
        <f>$C318*V317</f>
        <v/>
      </c>
      <c r="W318">
        <f>$C318*W317</f>
        <v/>
      </c>
      <c r="X318">
        <f>$C318*X317</f>
        <v/>
      </c>
      <c r="Y318">
        <f>$C318*Y317</f>
        <v/>
      </c>
      <c r="Z318">
        <f>$C318*Z317</f>
        <v/>
      </c>
      <c r="AA318">
        <f>$C318*AA317</f>
        <v/>
      </c>
      <c r="AB318">
        <f>$C318*AB317</f>
        <v/>
      </c>
      <c r="AC318">
        <f>$C318*AC317</f>
        <v/>
      </c>
      <c r="AD318">
        <f>$C318*AD317</f>
        <v/>
      </c>
      <c r="AE318">
        <f>$C318*AE317</f>
        <v/>
      </c>
      <c r="AF318">
        <f>$C318*AF317</f>
        <v/>
      </c>
      <c r="AG318">
        <f>$C318*AG317</f>
        <v/>
      </c>
      <c r="AH318">
        <f>$C318*AH317</f>
        <v/>
      </c>
      <c r="AI318">
        <f>$C318*AI317</f>
        <v/>
      </c>
      <c r="AJ318">
        <f>$C318*AJ317</f>
        <v/>
      </c>
      <c r="AK318">
        <f>$C318*AK317</f>
        <v/>
      </c>
      <c r="AL318">
        <f>$C318*AL317</f>
        <v/>
      </c>
      <c r="AM318">
        <f>$C318*AM317</f>
        <v/>
      </c>
      <c r="AN318">
        <f>$C318*AN317</f>
        <v/>
      </c>
      <c r="AO318">
        <f>$C318*AO317</f>
        <v/>
      </c>
      <c r="AP318">
        <f>$C318*AP317</f>
        <v/>
      </c>
      <c r="AQ318">
        <f>$C318*AQ317</f>
        <v/>
      </c>
      <c r="AR318">
        <f>$C318*AR317</f>
        <v/>
      </c>
      <c r="AS318">
        <f>$C318*AS317</f>
        <v/>
      </c>
      <c r="AT318">
        <f>$C318*AT317</f>
        <v/>
      </c>
      <c r="AU318">
        <f>$C318*AU317</f>
        <v/>
      </c>
      <c r="AV318">
        <f>$C318*AV317</f>
        <v/>
      </c>
      <c r="AW318">
        <f>$C318*AW317</f>
        <v/>
      </c>
      <c r="AX318">
        <f>$C318*AX317</f>
        <v/>
      </c>
      <c r="AY318">
        <f>$C318*AY317</f>
        <v/>
      </c>
      <c r="AZ318">
        <f>$C318*AZ317</f>
        <v/>
      </c>
      <c r="BA318">
        <f>$C318*BA317</f>
        <v/>
      </c>
      <c r="BB318">
        <f>$C318*BB317</f>
        <v/>
      </c>
      <c r="BC318">
        <f>$C318*BC317</f>
        <v/>
      </c>
      <c r="BD318">
        <f>$C318*BD317</f>
        <v/>
      </c>
      <c r="BE318">
        <f>$C318*BE317</f>
        <v/>
      </c>
      <c r="BF318">
        <f>$C318*BF317</f>
        <v/>
      </c>
      <c r="BG318">
        <f>$C318*BG317</f>
        <v/>
      </c>
      <c r="BH318">
        <f>$C318*BH317</f>
        <v/>
      </c>
      <c r="BI318">
        <f>$C318*BI317</f>
        <v/>
      </c>
      <c r="BJ318">
        <f>$C318*BJ317</f>
        <v/>
      </c>
      <c r="BK318">
        <f>$C318*BK317</f>
        <v/>
      </c>
      <c r="BL318">
        <f>$C318*BL317</f>
        <v/>
      </c>
      <c r="BM318">
        <f>$C318*BM317</f>
        <v/>
      </c>
      <c r="BN318">
        <f>$C318*BN317</f>
        <v/>
      </c>
      <c r="BO318">
        <f>$C318*BO317</f>
        <v/>
      </c>
      <c r="BP318">
        <f>$C318*BP317</f>
        <v/>
      </c>
      <c r="BQ318">
        <f>$C318*BQ317</f>
        <v/>
      </c>
      <c r="BR318">
        <f>$C318*BR317</f>
        <v/>
      </c>
      <c r="BS318">
        <f>$C318*BS317</f>
        <v/>
      </c>
      <c r="BT318">
        <f>$C318*BT317</f>
        <v/>
      </c>
      <c r="BU318">
        <f>$C318*BU317</f>
        <v/>
      </c>
      <c r="BV318">
        <f>$C318*BV317</f>
        <v/>
      </c>
      <c r="BW318">
        <f>$C318*BW317</f>
        <v/>
      </c>
      <c r="BX318">
        <f>$C318*BX317</f>
        <v/>
      </c>
      <c r="BY318">
        <f>$C318*BY317</f>
        <v/>
      </c>
      <c r="BZ318">
        <f>$C318*BZ317</f>
        <v/>
      </c>
      <c r="CA318">
        <f>$C318*CA317</f>
        <v/>
      </c>
      <c r="CB318">
        <f>$C318*CB317</f>
        <v/>
      </c>
      <c r="CC318">
        <f>$C318*CC317</f>
        <v/>
      </c>
      <c r="CD318">
        <f>$C318*CD317</f>
        <v/>
      </c>
      <c r="CE318">
        <f>$C318*CE317</f>
        <v/>
      </c>
      <c r="CF318">
        <f>$C318*CF317</f>
        <v/>
      </c>
      <c r="CG318">
        <f>$C318*CG317</f>
        <v/>
      </c>
      <c r="CH318">
        <f>$C318*CH317</f>
        <v/>
      </c>
      <c r="CI318">
        <f>$C318*CI317</f>
        <v/>
      </c>
      <c r="CJ318">
        <f>$C318*CJ317</f>
        <v/>
      </c>
      <c r="CK318">
        <f>$C318*CK317</f>
        <v/>
      </c>
      <c r="CL318">
        <f>$C318*CL317</f>
        <v/>
      </c>
      <c r="CM318">
        <f>$C318*CM317</f>
        <v/>
      </c>
      <c r="CN318">
        <f>$C318*CN317</f>
        <v/>
      </c>
      <c r="CO318">
        <f>$C318*CO317</f>
        <v/>
      </c>
      <c r="CP318">
        <f>$C318*CP317</f>
        <v/>
      </c>
      <c r="CQ318">
        <f>$C318*CQ317</f>
        <v/>
      </c>
      <c r="CR318">
        <f>$C318*CR317</f>
        <v/>
      </c>
      <c r="CS318">
        <f>$C318*CS317</f>
        <v/>
      </c>
      <c r="CT318">
        <f>$C318*CT317</f>
        <v/>
      </c>
      <c r="CU318">
        <f>$C318*CU317</f>
        <v/>
      </c>
      <c r="CV318">
        <f>$C318*CV317</f>
        <v/>
      </c>
      <c r="CW318">
        <f>$C318*CW317</f>
        <v/>
      </c>
      <c r="CX318">
        <f>$C318*CX317</f>
        <v/>
      </c>
      <c r="CY318">
        <f>$C318*CY317</f>
        <v/>
      </c>
      <c r="CZ318">
        <f>$C318*CZ317</f>
        <v/>
      </c>
      <c r="DA318">
        <f>$C318*DA317</f>
        <v/>
      </c>
      <c r="DB318">
        <f>$C318*DB317</f>
        <v/>
      </c>
      <c r="DC318">
        <f>$C318*DC317</f>
        <v/>
      </c>
    </row>
    <row r="319">
      <c r="B319" t="inlineStr">
        <is>
          <t>TSP-104</t>
        </is>
      </c>
      <c r="C319" t="inlineStr">
        <is>
          <t>No. of batches</t>
        </is>
      </c>
      <c r="D319">
        <f>IFERROR(INDEX(PP_Grid[#Data],$DD319,2),0)</f>
        <v/>
      </c>
      <c r="E319">
        <f>IFERROR(INDEX(PP_Grid[#Data],$DD319,3),0)</f>
        <v/>
      </c>
      <c r="F319">
        <f>IFERROR(INDEX(PP_Grid[#Data],$DD319,4),0)</f>
        <v/>
      </c>
      <c r="G319">
        <f>IFERROR(INDEX(PP_Grid[#Data],$DD319,5),0)</f>
        <v/>
      </c>
      <c r="H319">
        <f>IFERROR(INDEX(PP_Grid[#Data],$DD319,6),0)</f>
        <v/>
      </c>
      <c r="I319">
        <f>IFERROR(INDEX(PP_Grid[#Data],$DD319,7),0)</f>
        <v/>
      </c>
      <c r="J319">
        <f>IFERROR(INDEX(PP_Grid[#Data],$DD319,8),0)</f>
        <v/>
      </c>
      <c r="K319">
        <f>IFERROR(INDEX(PP_Grid[#Data],$DD319,9),0)</f>
        <v/>
      </c>
      <c r="L319">
        <f>IFERROR(INDEX(PP_Grid[#Data],$DD319,10),0)</f>
        <v/>
      </c>
      <c r="M319">
        <f>IFERROR(INDEX(PP_Grid[#Data],$DD319,11),0)</f>
        <v/>
      </c>
      <c r="N319">
        <f>IFERROR(INDEX(PP_Grid[#Data],$DD319,12),0)</f>
        <v/>
      </c>
      <c r="O319">
        <f>IFERROR(INDEX(PP_Grid[#Data],$DD319,13),0)</f>
        <v/>
      </c>
      <c r="P319">
        <f>IFERROR(INDEX(PP_Grid[#Data],$DD319,14),0)</f>
        <v/>
      </c>
      <c r="Q319">
        <f>IFERROR(INDEX(PP_Grid[#Data],$DD319,15),0)</f>
        <v/>
      </c>
      <c r="R319">
        <f>IFERROR(INDEX(PP_Grid[#Data],$DD319,16),0)</f>
        <v/>
      </c>
      <c r="S319">
        <f>IFERROR(INDEX(PP_Grid[#Data],$DD319,17),0)</f>
        <v/>
      </c>
      <c r="T319">
        <f>IFERROR(INDEX(PP_Grid[#Data],$DD319,18),0)</f>
        <v/>
      </c>
      <c r="U319">
        <f>IFERROR(INDEX(PP_Grid[#Data],$DD319,19),0)</f>
        <v/>
      </c>
      <c r="V319">
        <f>IFERROR(INDEX(PP_Grid[#Data],$DD319,20),0)</f>
        <v/>
      </c>
      <c r="W319">
        <f>IFERROR(INDEX(PP_Grid[#Data],$DD319,21),0)</f>
        <v/>
      </c>
      <c r="X319">
        <f>IFERROR(INDEX(PP_Grid[#Data],$DD319,22),0)</f>
        <v/>
      </c>
      <c r="Y319">
        <f>IFERROR(INDEX(PP_Grid[#Data],$DD319,23),0)</f>
        <v/>
      </c>
      <c r="Z319">
        <f>IFERROR(INDEX(PP_Grid[#Data],$DD319,24),0)</f>
        <v/>
      </c>
      <c r="AA319">
        <f>IFERROR(INDEX(PP_Grid[#Data],$DD319,25),0)</f>
        <v/>
      </c>
      <c r="AB319">
        <f>IFERROR(INDEX(PP_Grid[#Data],$DD319,26),0)</f>
        <v/>
      </c>
      <c r="AC319">
        <f>IFERROR(INDEX(PP_Grid[#Data],$DD319,27),0)</f>
        <v/>
      </c>
      <c r="AD319">
        <f>IFERROR(INDEX(PP_Grid[#Data],$DD319,28),0)</f>
        <v/>
      </c>
      <c r="AE319">
        <f>IFERROR(INDEX(PP_Grid[#Data],$DD319,29),0)</f>
        <v/>
      </c>
      <c r="AF319">
        <f>IFERROR(INDEX(PP_Grid[#Data],$DD319,30),0)</f>
        <v/>
      </c>
      <c r="AG319">
        <f>IFERROR(INDEX(PP_Grid[#Data],$DD319,31),0)</f>
        <v/>
      </c>
      <c r="AH319">
        <f>IFERROR(INDEX(PP_Grid[#Data],$DD319,32),0)</f>
        <v/>
      </c>
      <c r="AI319">
        <f>IFERROR(INDEX(PP_Grid[#Data],$DD319,33),0)</f>
        <v/>
      </c>
      <c r="AJ319">
        <f>IFERROR(INDEX(PP_Grid[#Data],$DD319,34),0)</f>
        <v/>
      </c>
      <c r="AK319">
        <f>IFERROR(INDEX(PP_Grid[#Data],$DD319,35),0)</f>
        <v/>
      </c>
      <c r="AL319">
        <f>IFERROR(INDEX(PP_Grid[#Data],$DD319,36),0)</f>
        <v/>
      </c>
      <c r="AM319">
        <f>IFERROR(INDEX(PP_Grid[#Data],$DD319,37),0)</f>
        <v/>
      </c>
      <c r="AN319">
        <f>IFERROR(INDEX(PP_Grid[#Data],$DD319,38),0)</f>
        <v/>
      </c>
      <c r="AO319">
        <f>IFERROR(INDEX(PP_Grid[#Data],$DD319,39),0)</f>
        <v/>
      </c>
      <c r="AP319">
        <f>IFERROR(INDEX(PP_Grid[#Data],$DD319,40),0)</f>
        <v/>
      </c>
      <c r="AQ319">
        <f>IFERROR(INDEX(PP_Grid[#Data],$DD319,41),0)</f>
        <v/>
      </c>
      <c r="AR319">
        <f>IFERROR(INDEX(PP_Grid[#Data],$DD319,42),0)</f>
        <v/>
      </c>
      <c r="AS319">
        <f>IFERROR(INDEX(PP_Grid[#Data],$DD319,43),0)</f>
        <v/>
      </c>
      <c r="AT319">
        <f>IFERROR(INDEX(PP_Grid[#Data],$DD319,44),0)</f>
        <v/>
      </c>
      <c r="AU319">
        <f>IFERROR(INDEX(PP_Grid[#Data],$DD319,45),0)</f>
        <v/>
      </c>
      <c r="AV319">
        <f>IFERROR(INDEX(PP_Grid[#Data],$DD319,46),0)</f>
        <v/>
      </c>
      <c r="AW319">
        <f>IFERROR(INDEX(PP_Grid[#Data],$DD319,47),0)</f>
        <v/>
      </c>
      <c r="AX319">
        <f>IFERROR(INDEX(PP_Grid[#Data],$DD319,48),0)</f>
        <v/>
      </c>
      <c r="AY319">
        <f>IFERROR(INDEX(PP_Grid[#Data],$DD319,49),0)</f>
        <v/>
      </c>
      <c r="AZ319">
        <f>IFERROR(INDEX(PP_Grid[#Data],$DD319,50),0)</f>
        <v/>
      </c>
      <c r="BA319">
        <f>IFERROR(INDEX(PP_Grid[#Data],$DD319,51),0)</f>
        <v/>
      </c>
      <c r="BB319">
        <f>IFERROR(INDEX(PP_Grid[#Data],$DD319,52),0)</f>
        <v/>
      </c>
      <c r="BC319">
        <f>IFERROR(INDEX(PP_Grid[#Data],$DD319,53),0)</f>
        <v/>
      </c>
      <c r="BD319">
        <f>IFERROR(INDEX(PP_Grid[#Data],$DD319,54),0)</f>
        <v/>
      </c>
      <c r="BE319">
        <f>IFERROR(INDEX(PP_Grid[#Data],$DD319,55),0)</f>
        <v/>
      </c>
      <c r="BF319">
        <f>IFERROR(INDEX(PP_Grid[#Data],$DD319,56),0)</f>
        <v/>
      </c>
      <c r="BG319">
        <f>IFERROR(INDEX(PP_Grid[#Data],$DD319,57),0)</f>
        <v/>
      </c>
      <c r="BH319">
        <f>IFERROR(INDEX(PP_Grid[#Data],$DD319,58),0)</f>
        <v/>
      </c>
      <c r="BI319">
        <f>IFERROR(INDEX(PP_Grid[#Data],$DD319,59),0)</f>
        <v/>
      </c>
      <c r="BJ319">
        <f>IFERROR(INDEX(PP_Grid[#Data],$DD319,60),0)</f>
        <v/>
      </c>
      <c r="BK319">
        <f>IFERROR(INDEX(PP_Grid[#Data],$DD319,61),0)</f>
        <v/>
      </c>
      <c r="BL319">
        <f>IFERROR(INDEX(PP_Grid[#Data],$DD319,62),0)</f>
        <v/>
      </c>
      <c r="BM319">
        <f>IFERROR(INDEX(PP_Grid[#Data],$DD319,63),0)</f>
        <v/>
      </c>
      <c r="BN319">
        <f>IFERROR(INDEX(PP_Grid[#Data],$DD319,64),0)</f>
        <v/>
      </c>
      <c r="BO319">
        <f>IFERROR(INDEX(PP_Grid[#Data],$DD319,65),0)</f>
        <v/>
      </c>
      <c r="BP319">
        <f>IFERROR(INDEX(PP_Grid[#Data],$DD319,66),0)</f>
        <v/>
      </c>
      <c r="BQ319">
        <f>IFERROR(INDEX(PP_Grid[#Data],$DD319,67),0)</f>
        <v/>
      </c>
      <c r="BR319">
        <f>IFERROR(INDEX(PP_Grid[#Data],$DD319,68),0)</f>
        <v/>
      </c>
      <c r="BS319">
        <f>IFERROR(INDEX(PP_Grid[#Data],$DD319,69),0)</f>
        <v/>
      </c>
      <c r="BT319">
        <f>IFERROR(INDEX(PP_Grid[#Data],$DD319,70),0)</f>
        <v/>
      </c>
      <c r="BU319">
        <f>IFERROR(INDEX(PP_Grid[#Data],$DD319,71),0)</f>
        <v/>
      </c>
      <c r="BV319">
        <f>IFERROR(INDEX(PP_Grid[#Data],$DD319,72),0)</f>
        <v/>
      </c>
      <c r="BW319">
        <f>IFERROR(INDEX(PP_Grid[#Data],$DD319,73),0)</f>
        <v/>
      </c>
      <c r="BX319">
        <f>IFERROR(INDEX(PP_Grid[#Data],$DD319,74),0)</f>
        <v/>
      </c>
      <c r="BY319">
        <f>IFERROR(INDEX(PP_Grid[#Data],$DD319,75),0)</f>
        <v/>
      </c>
      <c r="BZ319">
        <f>IFERROR(INDEX(PP_Grid[#Data],$DD319,76),0)</f>
        <v/>
      </c>
      <c r="CA319">
        <f>IFERROR(INDEX(PP_Grid[#Data],$DD319,77),0)</f>
        <v/>
      </c>
      <c r="CB319">
        <f>IFERROR(INDEX(PP_Grid[#Data],$DD319,78),0)</f>
        <v/>
      </c>
      <c r="CC319">
        <f>IFERROR(INDEX(PP_Grid[#Data],$DD319,79),0)</f>
        <v/>
      </c>
      <c r="CD319">
        <f>IFERROR(INDEX(PP_Grid[#Data],$DD319,80),0)</f>
        <v/>
      </c>
      <c r="CE319">
        <f>IFERROR(INDEX(PP_Grid[#Data],$DD319,81),0)</f>
        <v/>
      </c>
      <c r="CF319">
        <f>IFERROR(INDEX(PP_Grid[#Data],$DD319,82),0)</f>
        <v/>
      </c>
      <c r="CG319">
        <f>IFERROR(INDEX(PP_Grid[#Data],$DD319,83),0)</f>
        <v/>
      </c>
      <c r="CH319">
        <f>IFERROR(INDEX(PP_Grid[#Data],$DD319,84),0)</f>
        <v/>
      </c>
      <c r="CI319">
        <f>IFERROR(INDEX(PP_Grid[#Data],$DD319,85),0)</f>
        <v/>
      </c>
      <c r="CJ319">
        <f>IFERROR(INDEX(PP_Grid[#Data],$DD319,86),0)</f>
        <v/>
      </c>
      <c r="CK319">
        <f>IFERROR(INDEX(PP_Grid[#Data],$DD319,87),0)</f>
        <v/>
      </c>
      <c r="CL319">
        <f>IFERROR(INDEX(PP_Grid[#Data],$DD319,88),0)</f>
        <v/>
      </c>
      <c r="CM319">
        <f>IFERROR(INDEX(PP_Grid[#Data],$DD319,89),0)</f>
        <v/>
      </c>
      <c r="CN319">
        <f>IFERROR(INDEX(PP_Grid[#Data],$DD319,90),0)</f>
        <v/>
      </c>
      <c r="CO319">
        <f>IFERROR(INDEX(PP_Grid[#Data],$DD319,91),0)</f>
        <v/>
      </c>
      <c r="CP319">
        <f>IFERROR(INDEX(PP_Grid[#Data],$DD319,92),0)</f>
        <v/>
      </c>
      <c r="CQ319">
        <f>IFERROR(INDEX(PP_Grid[#Data],$DD319,93),0)</f>
        <v/>
      </c>
      <c r="CR319">
        <f>IFERROR(INDEX(PP_Grid[#Data],$DD319,94),0)</f>
        <v/>
      </c>
      <c r="CS319">
        <f>IFERROR(INDEX(PP_Grid[#Data],$DD319,95),0)</f>
        <v/>
      </c>
      <c r="CT319">
        <f>IFERROR(INDEX(PP_Grid[#Data],$DD319,96),0)</f>
        <v/>
      </c>
      <c r="CU319">
        <f>IFERROR(INDEX(PP_Grid[#Data],$DD319,97),0)</f>
        <v/>
      </c>
      <c r="CV319">
        <f>IFERROR(INDEX(PP_Grid[#Data],$DD319,98),0)</f>
        <v/>
      </c>
      <c r="CW319">
        <f>IFERROR(INDEX(PP_Grid[#Data],$DD319,99),0)</f>
        <v/>
      </c>
      <c r="CX319">
        <f>IFERROR(INDEX(PP_Grid[#Data],$DD319,100),0)</f>
        <v/>
      </c>
      <c r="CY319">
        <f>IFERROR(INDEX(PP_Grid[#Data],$DD319,101),0)</f>
        <v/>
      </c>
      <c r="CZ319">
        <f>IFERROR(INDEX(PP_Grid[#Data],$DD319,102),0)</f>
        <v/>
      </c>
      <c r="DA319">
        <f>IFERROR(INDEX(PP_Grid[#Data],$DD319,103),0)</f>
        <v/>
      </c>
      <c r="DB319">
        <f>IFERROR(INDEX(PP_Grid[#Data],$DD319,104),0)</f>
        <v/>
      </c>
      <c r="DC319">
        <f>IFERROR(INDEX(PP_Grid[#Data],$DD319,105),0)</f>
        <v/>
      </c>
      <c r="DD319" s="12">
        <f>IFERROR(MATCH($B319,PP_Grid[Intermediate],0),99999)</f>
        <v/>
      </c>
    </row>
    <row r="320">
      <c r="B320" t="inlineStr">
        <is>
          <t>使用量(kg)</t>
        </is>
      </c>
      <c r="C320">
        <f>SUMIFS(M_BOM[RM_Qty_Per_Batch],M_BOM[Intermediate],$B319,M_BOM[Part Name],$A312)</f>
        <v/>
      </c>
      <c r="D320">
        <f>$C320*D319</f>
        <v/>
      </c>
      <c r="E320">
        <f>$C320*E319</f>
        <v/>
      </c>
      <c r="F320">
        <f>$C320*F319</f>
        <v/>
      </c>
      <c r="G320">
        <f>$C320*G319</f>
        <v/>
      </c>
      <c r="H320">
        <f>$C320*H319</f>
        <v/>
      </c>
      <c r="I320">
        <f>$C320*I319</f>
        <v/>
      </c>
      <c r="J320">
        <f>$C320*J319</f>
        <v/>
      </c>
      <c r="K320">
        <f>$C320*K319</f>
        <v/>
      </c>
      <c r="L320">
        <f>$C320*L319</f>
        <v/>
      </c>
      <c r="M320">
        <f>$C320*M319</f>
        <v/>
      </c>
      <c r="N320">
        <f>$C320*N319</f>
        <v/>
      </c>
      <c r="O320">
        <f>$C320*O319</f>
        <v/>
      </c>
      <c r="P320">
        <f>$C320*P319</f>
        <v/>
      </c>
      <c r="Q320">
        <f>$C320*Q319</f>
        <v/>
      </c>
      <c r="R320">
        <f>$C320*R319</f>
        <v/>
      </c>
      <c r="S320">
        <f>$C320*S319</f>
        <v/>
      </c>
      <c r="T320">
        <f>$C320*T319</f>
        <v/>
      </c>
      <c r="U320">
        <f>$C320*U319</f>
        <v/>
      </c>
      <c r="V320">
        <f>$C320*V319</f>
        <v/>
      </c>
      <c r="W320">
        <f>$C320*W319</f>
        <v/>
      </c>
      <c r="X320">
        <f>$C320*X319</f>
        <v/>
      </c>
      <c r="Y320">
        <f>$C320*Y319</f>
        <v/>
      </c>
      <c r="Z320">
        <f>$C320*Z319</f>
        <v/>
      </c>
      <c r="AA320">
        <f>$C320*AA319</f>
        <v/>
      </c>
      <c r="AB320">
        <f>$C320*AB319</f>
        <v/>
      </c>
      <c r="AC320">
        <f>$C320*AC319</f>
        <v/>
      </c>
      <c r="AD320">
        <f>$C320*AD319</f>
        <v/>
      </c>
      <c r="AE320">
        <f>$C320*AE319</f>
        <v/>
      </c>
      <c r="AF320">
        <f>$C320*AF319</f>
        <v/>
      </c>
      <c r="AG320">
        <f>$C320*AG319</f>
        <v/>
      </c>
      <c r="AH320">
        <f>$C320*AH319</f>
        <v/>
      </c>
      <c r="AI320">
        <f>$C320*AI319</f>
        <v/>
      </c>
      <c r="AJ320">
        <f>$C320*AJ319</f>
        <v/>
      </c>
      <c r="AK320">
        <f>$C320*AK319</f>
        <v/>
      </c>
      <c r="AL320">
        <f>$C320*AL319</f>
        <v/>
      </c>
      <c r="AM320">
        <f>$C320*AM319</f>
        <v/>
      </c>
      <c r="AN320">
        <f>$C320*AN319</f>
        <v/>
      </c>
      <c r="AO320">
        <f>$C320*AO319</f>
        <v/>
      </c>
      <c r="AP320">
        <f>$C320*AP319</f>
        <v/>
      </c>
      <c r="AQ320">
        <f>$C320*AQ319</f>
        <v/>
      </c>
      <c r="AR320">
        <f>$C320*AR319</f>
        <v/>
      </c>
      <c r="AS320">
        <f>$C320*AS319</f>
        <v/>
      </c>
      <c r="AT320">
        <f>$C320*AT319</f>
        <v/>
      </c>
      <c r="AU320">
        <f>$C320*AU319</f>
        <v/>
      </c>
      <c r="AV320">
        <f>$C320*AV319</f>
        <v/>
      </c>
      <c r="AW320">
        <f>$C320*AW319</f>
        <v/>
      </c>
      <c r="AX320">
        <f>$C320*AX319</f>
        <v/>
      </c>
      <c r="AY320">
        <f>$C320*AY319</f>
        <v/>
      </c>
      <c r="AZ320">
        <f>$C320*AZ319</f>
        <v/>
      </c>
      <c r="BA320">
        <f>$C320*BA319</f>
        <v/>
      </c>
      <c r="BB320">
        <f>$C320*BB319</f>
        <v/>
      </c>
      <c r="BC320">
        <f>$C320*BC319</f>
        <v/>
      </c>
      <c r="BD320">
        <f>$C320*BD319</f>
        <v/>
      </c>
      <c r="BE320">
        <f>$C320*BE319</f>
        <v/>
      </c>
      <c r="BF320">
        <f>$C320*BF319</f>
        <v/>
      </c>
      <c r="BG320">
        <f>$C320*BG319</f>
        <v/>
      </c>
      <c r="BH320">
        <f>$C320*BH319</f>
        <v/>
      </c>
      <c r="BI320">
        <f>$C320*BI319</f>
        <v/>
      </c>
      <c r="BJ320">
        <f>$C320*BJ319</f>
        <v/>
      </c>
      <c r="BK320">
        <f>$C320*BK319</f>
        <v/>
      </c>
      <c r="BL320">
        <f>$C320*BL319</f>
        <v/>
      </c>
      <c r="BM320">
        <f>$C320*BM319</f>
        <v/>
      </c>
      <c r="BN320">
        <f>$C320*BN319</f>
        <v/>
      </c>
      <c r="BO320">
        <f>$C320*BO319</f>
        <v/>
      </c>
      <c r="BP320">
        <f>$C320*BP319</f>
        <v/>
      </c>
      <c r="BQ320">
        <f>$C320*BQ319</f>
        <v/>
      </c>
      <c r="BR320">
        <f>$C320*BR319</f>
        <v/>
      </c>
      <c r="BS320">
        <f>$C320*BS319</f>
        <v/>
      </c>
      <c r="BT320">
        <f>$C320*BT319</f>
        <v/>
      </c>
      <c r="BU320">
        <f>$C320*BU319</f>
        <v/>
      </c>
      <c r="BV320">
        <f>$C320*BV319</f>
        <v/>
      </c>
      <c r="BW320">
        <f>$C320*BW319</f>
        <v/>
      </c>
      <c r="BX320">
        <f>$C320*BX319</f>
        <v/>
      </c>
      <c r="BY320">
        <f>$C320*BY319</f>
        <v/>
      </c>
      <c r="BZ320">
        <f>$C320*BZ319</f>
        <v/>
      </c>
      <c r="CA320">
        <f>$C320*CA319</f>
        <v/>
      </c>
      <c r="CB320">
        <f>$C320*CB319</f>
        <v/>
      </c>
      <c r="CC320">
        <f>$C320*CC319</f>
        <v/>
      </c>
      <c r="CD320">
        <f>$C320*CD319</f>
        <v/>
      </c>
      <c r="CE320">
        <f>$C320*CE319</f>
        <v/>
      </c>
      <c r="CF320">
        <f>$C320*CF319</f>
        <v/>
      </c>
      <c r="CG320">
        <f>$C320*CG319</f>
        <v/>
      </c>
      <c r="CH320">
        <f>$C320*CH319</f>
        <v/>
      </c>
      <c r="CI320">
        <f>$C320*CI319</f>
        <v/>
      </c>
      <c r="CJ320">
        <f>$C320*CJ319</f>
        <v/>
      </c>
      <c r="CK320">
        <f>$C320*CK319</f>
        <v/>
      </c>
      <c r="CL320">
        <f>$C320*CL319</f>
        <v/>
      </c>
      <c r="CM320">
        <f>$C320*CM319</f>
        <v/>
      </c>
      <c r="CN320">
        <f>$C320*CN319</f>
        <v/>
      </c>
      <c r="CO320">
        <f>$C320*CO319</f>
        <v/>
      </c>
      <c r="CP320">
        <f>$C320*CP319</f>
        <v/>
      </c>
      <c r="CQ320">
        <f>$C320*CQ319</f>
        <v/>
      </c>
      <c r="CR320">
        <f>$C320*CR319</f>
        <v/>
      </c>
      <c r="CS320">
        <f>$C320*CS319</f>
        <v/>
      </c>
      <c r="CT320">
        <f>$C320*CT319</f>
        <v/>
      </c>
      <c r="CU320">
        <f>$C320*CU319</f>
        <v/>
      </c>
      <c r="CV320">
        <f>$C320*CV319</f>
        <v/>
      </c>
      <c r="CW320">
        <f>$C320*CW319</f>
        <v/>
      </c>
      <c r="CX320">
        <f>$C320*CX319</f>
        <v/>
      </c>
      <c r="CY320">
        <f>$C320*CY319</f>
        <v/>
      </c>
      <c r="CZ320">
        <f>$C320*CZ319</f>
        <v/>
      </c>
      <c r="DA320">
        <f>$C320*DA319</f>
        <v/>
      </c>
      <c r="DB320">
        <f>$C320*DB319</f>
        <v/>
      </c>
      <c r="DC320">
        <f>$C320*DC319</f>
        <v/>
      </c>
    </row>
    <row r="321">
      <c r="B321" t="inlineStr">
        <is>
          <t>TSP-199</t>
        </is>
      </c>
      <c r="C321" t="inlineStr">
        <is>
          <t>No. of batches</t>
        </is>
      </c>
      <c r="D321">
        <f>IFERROR(INDEX(PP_Grid[#Data],$DD321,2),0)</f>
        <v/>
      </c>
      <c r="E321">
        <f>IFERROR(INDEX(PP_Grid[#Data],$DD321,3),0)</f>
        <v/>
      </c>
      <c r="F321">
        <f>IFERROR(INDEX(PP_Grid[#Data],$DD321,4),0)</f>
        <v/>
      </c>
      <c r="G321">
        <f>IFERROR(INDEX(PP_Grid[#Data],$DD321,5),0)</f>
        <v/>
      </c>
      <c r="H321">
        <f>IFERROR(INDEX(PP_Grid[#Data],$DD321,6),0)</f>
        <v/>
      </c>
      <c r="I321">
        <f>IFERROR(INDEX(PP_Grid[#Data],$DD321,7),0)</f>
        <v/>
      </c>
      <c r="J321">
        <f>IFERROR(INDEX(PP_Grid[#Data],$DD321,8),0)</f>
        <v/>
      </c>
      <c r="K321">
        <f>IFERROR(INDEX(PP_Grid[#Data],$DD321,9),0)</f>
        <v/>
      </c>
      <c r="L321">
        <f>IFERROR(INDEX(PP_Grid[#Data],$DD321,10),0)</f>
        <v/>
      </c>
      <c r="M321">
        <f>IFERROR(INDEX(PP_Grid[#Data],$DD321,11),0)</f>
        <v/>
      </c>
      <c r="N321">
        <f>IFERROR(INDEX(PP_Grid[#Data],$DD321,12),0)</f>
        <v/>
      </c>
      <c r="O321">
        <f>IFERROR(INDEX(PP_Grid[#Data],$DD321,13),0)</f>
        <v/>
      </c>
      <c r="P321">
        <f>IFERROR(INDEX(PP_Grid[#Data],$DD321,14),0)</f>
        <v/>
      </c>
      <c r="Q321">
        <f>IFERROR(INDEX(PP_Grid[#Data],$DD321,15),0)</f>
        <v/>
      </c>
      <c r="R321">
        <f>IFERROR(INDEX(PP_Grid[#Data],$DD321,16),0)</f>
        <v/>
      </c>
      <c r="S321">
        <f>IFERROR(INDEX(PP_Grid[#Data],$DD321,17),0)</f>
        <v/>
      </c>
      <c r="T321">
        <f>IFERROR(INDEX(PP_Grid[#Data],$DD321,18),0)</f>
        <v/>
      </c>
      <c r="U321">
        <f>IFERROR(INDEX(PP_Grid[#Data],$DD321,19),0)</f>
        <v/>
      </c>
      <c r="V321">
        <f>IFERROR(INDEX(PP_Grid[#Data],$DD321,20),0)</f>
        <v/>
      </c>
      <c r="W321">
        <f>IFERROR(INDEX(PP_Grid[#Data],$DD321,21),0)</f>
        <v/>
      </c>
      <c r="X321">
        <f>IFERROR(INDEX(PP_Grid[#Data],$DD321,22),0)</f>
        <v/>
      </c>
      <c r="Y321">
        <f>IFERROR(INDEX(PP_Grid[#Data],$DD321,23),0)</f>
        <v/>
      </c>
      <c r="Z321">
        <f>IFERROR(INDEX(PP_Grid[#Data],$DD321,24),0)</f>
        <v/>
      </c>
      <c r="AA321">
        <f>IFERROR(INDEX(PP_Grid[#Data],$DD321,25),0)</f>
        <v/>
      </c>
      <c r="AB321">
        <f>IFERROR(INDEX(PP_Grid[#Data],$DD321,26),0)</f>
        <v/>
      </c>
      <c r="AC321">
        <f>IFERROR(INDEX(PP_Grid[#Data],$DD321,27),0)</f>
        <v/>
      </c>
      <c r="AD321">
        <f>IFERROR(INDEX(PP_Grid[#Data],$DD321,28),0)</f>
        <v/>
      </c>
      <c r="AE321">
        <f>IFERROR(INDEX(PP_Grid[#Data],$DD321,29),0)</f>
        <v/>
      </c>
      <c r="AF321">
        <f>IFERROR(INDEX(PP_Grid[#Data],$DD321,30),0)</f>
        <v/>
      </c>
      <c r="AG321">
        <f>IFERROR(INDEX(PP_Grid[#Data],$DD321,31),0)</f>
        <v/>
      </c>
      <c r="AH321">
        <f>IFERROR(INDEX(PP_Grid[#Data],$DD321,32),0)</f>
        <v/>
      </c>
      <c r="AI321">
        <f>IFERROR(INDEX(PP_Grid[#Data],$DD321,33),0)</f>
        <v/>
      </c>
      <c r="AJ321">
        <f>IFERROR(INDEX(PP_Grid[#Data],$DD321,34),0)</f>
        <v/>
      </c>
      <c r="AK321">
        <f>IFERROR(INDEX(PP_Grid[#Data],$DD321,35),0)</f>
        <v/>
      </c>
      <c r="AL321">
        <f>IFERROR(INDEX(PP_Grid[#Data],$DD321,36),0)</f>
        <v/>
      </c>
      <c r="AM321">
        <f>IFERROR(INDEX(PP_Grid[#Data],$DD321,37),0)</f>
        <v/>
      </c>
      <c r="AN321">
        <f>IFERROR(INDEX(PP_Grid[#Data],$DD321,38),0)</f>
        <v/>
      </c>
      <c r="AO321">
        <f>IFERROR(INDEX(PP_Grid[#Data],$DD321,39),0)</f>
        <v/>
      </c>
      <c r="AP321">
        <f>IFERROR(INDEX(PP_Grid[#Data],$DD321,40),0)</f>
        <v/>
      </c>
      <c r="AQ321">
        <f>IFERROR(INDEX(PP_Grid[#Data],$DD321,41),0)</f>
        <v/>
      </c>
      <c r="AR321">
        <f>IFERROR(INDEX(PP_Grid[#Data],$DD321,42),0)</f>
        <v/>
      </c>
      <c r="AS321">
        <f>IFERROR(INDEX(PP_Grid[#Data],$DD321,43),0)</f>
        <v/>
      </c>
      <c r="AT321">
        <f>IFERROR(INDEX(PP_Grid[#Data],$DD321,44),0)</f>
        <v/>
      </c>
      <c r="AU321">
        <f>IFERROR(INDEX(PP_Grid[#Data],$DD321,45),0)</f>
        <v/>
      </c>
      <c r="AV321">
        <f>IFERROR(INDEX(PP_Grid[#Data],$DD321,46),0)</f>
        <v/>
      </c>
      <c r="AW321">
        <f>IFERROR(INDEX(PP_Grid[#Data],$DD321,47),0)</f>
        <v/>
      </c>
      <c r="AX321">
        <f>IFERROR(INDEX(PP_Grid[#Data],$DD321,48),0)</f>
        <v/>
      </c>
      <c r="AY321">
        <f>IFERROR(INDEX(PP_Grid[#Data],$DD321,49),0)</f>
        <v/>
      </c>
      <c r="AZ321">
        <f>IFERROR(INDEX(PP_Grid[#Data],$DD321,50),0)</f>
        <v/>
      </c>
      <c r="BA321">
        <f>IFERROR(INDEX(PP_Grid[#Data],$DD321,51),0)</f>
        <v/>
      </c>
      <c r="BB321">
        <f>IFERROR(INDEX(PP_Grid[#Data],$DD321,52),0)</f>
        <v/>
      </c>
      <c r="BC321">
        <f>IFERROR(INDEX(PP_Grid[#Data],$DD321,53),0)</f>
        <v/>
      </c>
      <c r="BD321">
        <f>IFERROR(INDEX(PP_Grid[#Data],$DD321,54),0)</f>
        <v/>
      </c>
      <c r="BE321">
        <f>IFERROR(INDEX(PP_Grid[#Data],$DD321,55),0)</f>
        <v/>
      </c>
      <c r="BF321">
        <f>IFERROR(INDEX(PP_Grid[#Data],$DD321,56),0)</f>
        <v/>
      </c>
      <c r="BG321">
        <f>IFERROR(INDEX(PP_Grid[#Data],$DD321,57),0)</f>
        <v/>
      </c>
      <c r="BH321">
        <f>IFERROR(INDEX(PP_Grid[#Data],$DD321,58),0)</f>
        <v/>
      </c>
      <c r="BI321">
        <f>IFERROR(INDEX(PP_Grid[#Data],$DD321,59),0)</f>
        <v/>
      </c>
      <c r="BJ321">
        <f>IFERROR(INDEX(PP_Grid[#Data],$DD321,60),0)</f>
        <v/>
      </c>
      <c r="BK321">
        <f>IFERROR(INDEX(PP_Grid[#Data],$DD321,61),0)</f>
        <v/>
      </c>
      <c r="BL321">
        <f>IFERROR(INDEX(PP_Grid[#Data],$DD321,62),0)</f>
        <v/>
      </c>
      <c r="BM321">
        <f>IFERROR(INDEX(PP_Grid[#Data],$DD321,63),0)</f>
        <v/>
      </c>
      <c r="BN321">
        <f>IFERROR(INDEX(PP_Grid[#Data],$DD321,64),0)</f>
        <v/>
      </c>
      <c r="BO321">
        <f>IFERROR(INDEX(PP_Grid[#Data],$DD321,65),0)</f>
        <v/>
      </c>
      <c r="BP321">
        <f>IFERROR(INDEX(PP_Grid[#Data],$DD321,66),0)</f>
        <v/>
      </c>
      <c r="BQ321">
        <f>IFERROR(INDEX(PP_Grid[#Data],$DD321,67),0)</f>
        <v/>
      </c>
      <c r="BR321">
        <f>IFERROR(INDEX(PP_Grid[#Data],$DD321,68),0)</f>
        <v/>
      </c>
      <c r="BS321">
        <f>IFERROR(INDEX(PP_Grid[#Data],$DD321,69),0)</f>
        <v/>
      </c>
      <c r="BT321">
        <f>IFERROR(INDEX(PP_Grid[#Data],$DD321,70),0)</f>
        <v/>
      </c>
      <c r="BU321">
        <f>IFERROR(INDEX(PP_Grid[#Data],$DD321,71),0)</f>
        <v/>
      </c>
      <c r="BV321">
        <f>IFERROR(INDEX(PP_Grid[#Data],$DD321,72),0)</f>
        <v/>
      </c>
      <c r="BW321">
        <f>IFERROR(INDEX(PP_Grid[#Data],$DD321,73),0)</f>
        <v/>
      </c>
      <c r="BX321">
        <f>IFERROR(INDEX(PP_Grid[#Data],$DD321,74),0)</f>
        <v/>
      </c>
      <c r="BY321">
        <f>IFERROR(INDEX(PP_Grid[#Data],$DD321,75),0)</f>
        <v/>
      </c>
      <c r="BZ321">
        <f>IFERROR(INDEX(PP_Grid[#Data],$DD321,76),0)</f>
        <v/>
      </c>
      <c r="CA321">
        <f>IFERROR(INDEX(PP_Grid[#Data],$DD321,77),0)</f>
        <v/>
      </c>
      <c r="CB321">
        <f>IFERROR(INDEX(PP_Grid[#Data],$DD321,78),0)</f>
        <v/>
      </c>
      <c r="CC321">
        <f>IFERROR(INDEX(PP_Grid[#Data],$DD321,79),0)</f>
        <v/>
      </c>
      <c r="CD321">
        <f>IFERROR(INDEX(PP_Grid[#Data],$DD321,80),0)</f>
        <v/>
      </c>
      <c r="CE321">
        <f>IFERROR(INDEX(PP_Grid[#Data],$DD321,81),0)</f>
        <v/>
      </c>
      <c r="CF321">
        <f>IFERROR(INDEX(PP_Grid[#Data],$DD321,82),0)</f>
        <v/>
      </c>
      <c r="CG321">
        <f>IFERROR(INDEX(PP_Grid[#Data],$DD321,83),0)</f>
        <v/>
      </c>
      <c r="CH321">
        <f>IFERROR(INDEX(PP_Grid[#Data],$DD321,84),0)</f>
        <v/>
      </c>
      <c r="CI321">
        <f>IFERROR(INDEX(PP_Grid[#Data],$DD321,85),0)</f>
        <v/>
      </c>
      <c r="CJ321">
        <f>IFERROR(INDEX(PP_Grid[#Data],$DD321,86),0)</f>
        <v/>
      </c>
      <c r="CK321">
        <f>IFERROR(INDEX(PP_Grid[#Data],$DD321,87),0)</f>
        <v/>
      </c>
      <c r="CL321">
        <f>IFERROR(INDEX(PP_Grid[#Data],$DD321,88),0)</f>
        <v/>
      </c>
      <c r="CM321">
        <f>IFERROR(INDEX(PP_Grid[#Data],$DD321,89),0)</f>
        <v/>
      </c>
      <c r="CN321">
        <f>IFERROR(INDEX(PP_Grid[#Data],$DD321,90),0)</f>
        <v/>
      </c>
      <c r="CO321">
        <f>IFERROR(INDEX(PP_Grid[#Data],$DD321,91),0)</f>
        <v/>
      </c>
      <c r="CP321">
        <f>IFERROR(INDEX(PP_Grid[#Data],$DD321,92),0)</f>
        <v/>
      </c>
      <c r="CQ321">
        <f>IFERROR(INDEX(PP_Grid[#Data],$DD321,93),0)</f>
        <v/>
      </c>
      <c r="CR321">
        <f>IFERROR(INDEX(PP_Grid[#Data],$DD321,94),0)</f>
        <v/>
      </c>
      <c r="CS321">
        <f>IFERROR(INDEX(PP_Grid[#Data],$DD321,95),0)</f>
        <v/>
      </c>
      <c r="CT321">
        <f>IFERROR(INDEX(PP_Grid[#Data],$DD321,96),0)</f>
        <v/>
      </c>
      <c r="CU321">
        <f>IFERROR(INDEX(PP_Grid[#Data],$DD321,97),0)</f>
        <v/>
      </c>
      <c r="CV321">
        <f>IFERROR(INDEX(PP_Grid[#Data],$DD321,98),0)</f>
        <v/>
      </c>
      <c r="CW321">
        <f>IFERROR(INDEX(PP_Grid[#Data],$DD321,99),0)</f>
        <v/>
      </c>
      <c r="CX321">
        <f>IFERROR(INDEX(PP_Grid[#Data],$DD321,100),0)</f>
        <v/>
      </c>
      <c r="CY321">
        <f>IFERROR(INDEX(PP_Grid[#Data],$DD321,101),0)</f>
        <v/>
      </c>
      <c r="CZ321">
        <f>IFERROR(INDEX(PP_Grid[#Data],$DD321,102),0)</f>
        <v/>
      </c>
      <c r="DA321">
        <f>IFERROR(INDEX(PP_Grid[#Data],$DD321,103),0)</f>
        <v/>
      </c>
      <c r="DB321">
        <f>IFERROR(INDEX(PP_Grid[#Data],$DD321,104),0)</f>
        <v/>
      </c>
      <c r="DC321">
        <f>IFERROR(INDEX(PP_Grid[#Data],$DD321,105),0)</f>
        <v/>
      </c>
      <c r="DD321" s="12">
        <f>IFERROR(MATCH($B321,PP_Grid[Intermediate],0),99999)</f>
        <v/>
      </c>
    </row>
    <row r="322">
      <c r="B322" t="inlineStr">
        <is>
          <t>使用量(kg)</t>
        </is>
      </c>
      <c r="C322">
        <f>SUMIFS(M_BOM[RM_Qty_Per_Batch],M_BOM[Intermediate],$B321,M_BOM[Part Name],$A312)</f>
        <v/>
      </c>
      <c r="D322">
        <f>$C322*D321</f>
        <v/>
      </c>
      <c r="E322">
        <f>$C322*E321</f>
        <v/>
      </c>
      <c r="F322">
        <f>$C322*F321</f>
        <v/>
      </c>
      <c r="G322">
        <f>$C322*G321</f>
        <v/>
      </c>
      <c r="H322">
        <f>$C322*H321</f>
        <v/>
      </c>
      <c r="I322">
        <f>$C322*I321</f>
        <v/>
      </c>
      <c r="J322">
        <f>$C322*J321</f>
        <v/>
      </c>
      <c r="K322">
        <f>$C322*K321</f>
        <v/>
      </c>
      <c r="L322">
        <f>$C322*L321</f>
        <v/>
      </c>
      <c r="M322">
        <f>$C322*M321</f>
        <v/>
      </c>
      <c r="N322">
        <f>$C322*N321</f>
        <v/>
      </c>
      <c r="O322">
        <f>$C322*O321</f>
        <v/>
      </c>
      <c r="P322">
        <f>$C322*P321</f>
        <v/>
      </c>
      <c r="Q322">
        <f>$C322*Q321</f>
        <v/>
      </c>
      <c r="R322">
        <f>$C322*R321</f>
        <v/>
      </c>
      <c r="S322">
        <f>$C322*S321</f>
        <v/>
      </c>
      <c r="T322">
        <f>$C322*T321</f>
        <v/>
      </c>
      <c r="U322">
        <f>$C322*U321</f>
        <v/>
      </c>
      <c r="V322">
        <f>$C322*V321</f>
        <v/>
      </c>
      <c r="W322">
        <f>$C322*W321</f>
        <v/>
      </c>
      <c r="X322">
        <f>$C322*X321</f>
        <v/>
      </c>
      <c r="Y322">
        <f>$C322*Y321</f>
        <v/>
      </c>
      <c r="Z322">
        <f>$C322*Z321</f>
        <v/>
      </c>
      <c r="AA322">
        <f>$C322*AA321</f>
        <v/>
      </c>
      <c r="AB322">
        <f>$C322*AB321</f>
        <v/>
      </c>
      <c r="AC322">
        <f>$C322*AC321</f>
        <v/>
      </c>
      <c r="AD322">
        <f>$C322*AD321</f>
        <v/>
      </c>
      <c r="AE322">
        <f>$C322*AE321</f>
        <v/>
      </c>
      <c r="AF322">
        <f>$C322*AF321</f>
        <v/>
      </c>
      <c r="AG322">
        <f>$C322*AG321</f>
        <v/>
      </c>
      <c r="AH322">
        <f>$C322*AH321</f>
        <v/>
      </c>
      <c r="AI322">
        <f>$C322*AI321</f>
        <v/>
      </c>
      <c r="AJ322">
        <f>$C322*AJ321</f>
        <v/>
      </c>
      <c r="AK322">
        <f>$C322*AK321</f>
        <v/>
      </c>
      <c r="AL322">
        <f>$C322*AL321</f>
        <v/>
      </c>
      <c r="AM322">
        <f>$C322*AM321</f>
        <v/>
      </c>
      <c r="AN322">
        <f>$C322*AN321</f>
        <v/>
      </c>
      <c r="AO322">
        <f>$C322*AO321</f>
        <v/>
      </c>
      <c r="AP322">
        <f>$C322*AP321</f>
        <v/>
      </c>
      <c r="AQ322">
        <f>$C322*AQ321</f>
        <v/>
      </c>
      <c r="AR322">
        <f>$C322*AR321</f>
        <v/>
      </c>
      <c r="AS322">
        <f>$C322*AS321</f>
        <v/>
      </c>
      <c r="AT322">
        <f>$C322*AT321</f>
        <v/>
      </c>
      <c r="AU322">
        <f>$C322*AU321</f>
        <v/>
      </c>
      <c r="AV322">
        <f>$C322*AV321</f>
        <v/>
      </c>
      <c r="AW322">
        <f>$C322*AW321</f>
        <v/>
      </c>
      <c r="AX322">
        <f>$C322*AX321</f>
        <v/>
      </c>
      <c r="AY322">
        <f>$C322*AY321</f>
        <v/>
      </c>
      <c r="AZ322">
        <f>$C322*AZ321</f>
        <v/>
      </c>
      <c r="BA322">
        <f>$C322*BA321</f>
        <v/>
      </c>
      <c r="BB322">
        <f>$C322*BB321</f>
        <v/>
      </c>
      <c r="BC322">
        <f>$C322*BC321</f>
        <v/>
      </c>
      <c r="BD322">
        <f>$C322*BD321</f>
        <v/>
      </c>
      <c r="BE322">
        <f>$C322*BE321</f>
        <v/>
      </c>
      <c r="BF322">
        <f>$C322*BF321</f>
        <v/>
      </c>
      <c r="BG322">
        <f>$C322*BG321</f>
        <v/>
      </c>
      <c r="BH322">
        <f>$C322*BH321</f>
        <v/>
      </c>
      <c r="BI322">
        <f>$C322*BI321</f>
        <v/>
      </c>
      <c r="BJ322">
        <f>$C322*BJ321</f>
        <v/>
      </c>
      <c r="BK322">
        <f>$C322*BK321</f>
        <v/>
      </c>
      <c r="BL322">
        <f>$C322*BL321</f>
        <v/>
      </c>
      <c r="BM322">
        <f>$C322*BM321</f>
        <v/>
      </c>
      <c r="BN322">
        <f>$C322*BN321</f>
        <v/>
      </c>
      <c r="BO322">
        <f>$C322*BO321</f>
        <v/>
      </c>
      <c r="BP322">
        <f>$C322*BP321</f>
        <v/>
      </c>
      <c r="BQ322">
        <f>$C322*BQ321</f>
        <v/>
      </c>
      <c r="BR322">
        <f>$C322*BR321</f>
        <v/>
      </c>
      <c r="BS322">
        <f>$C322*BS321</f>
        <v/>
      </c>
      <c r="BT322">
        <f>$C322*BT321</f>
        <v/>
      </c>
      <c r="BU322">
        <f>$C322*BU321</f>
        <v/>
      </c>
      <c r="BV322">
        <f>$C322*BV321</f>
        <v/>
      </c>
      <c r="BW322">
        <f>$C322*BW321</f>
        <v/>
      </c>
      <c r="BX322">
        <f>$C322*BX321</f>
        <v/>
      </c>
      <c r="BY322">
        <f>$C322*BY321</f>
        <v/>
      </c>
      <c r="BZ322">
        <f>$C322*BZ321</f>
        <v/>
      </c>
      <c r="CA322">
        <f>$C322*CA321</f>
        <v/>
      </c>
      <c r="CB322">
        <f>$C322*CB321</f>
        <v/>
      </c>
      <c r="CC322">
        <f>$C322*CC321</f>
        <v/>
      </c>
      <c r="CD322">
        <f>$C322*CD321</f>
        <v/>
      </c>
      <c r="CE322">
        <f>$C322*CE321</f>
        <v/>
      </c>
      <c r="CF322">
        <f>$C322*CF321</f>
        <v/>
      </c>
      <c r="CG322">
        <f>$C322*CG321</f>
        <v/>
      </c>
      <c r="CH322">
        <f>$C322*CH321</f>
        <v/>
      </c>
      <c r="CI322">
        <f>$C322*CI321</f>
        <v/>
      </c>
      <c r="CJ322">
        <f>$C322*CJ321</f>
        <v/>
      </c>
      <c r="CK322">
        <f>$C322*CK321</f>
        <v/>
      </c>
      <c r="CL322">
        <f>$C322*CL321</f>
        <v/>
      </c>
      <c r="CM322">
        <f>$C322*CM321</f>
        <v/>
      </c>
      <c r="CN322">
        <f>$C322*CN321</f>
        <v/>
      </c>
      <c r="CO322">
        <f>$C322*CO321</f>
        <v/>
      </c>
      <c r="CP322">
        <f>$C322*CP321</f>
        <v/>
      </c>
      <c r="CQ322">
        <f>$C322*CQ321</f>
        <v/>
      </c>
      <c r="CR322">
        <f>$C322*CR321</f>
        <v/>
      </c>
      <c r="CS322">
        <f>$C322*CS321</f>
        <v/>
      </c>
      <c r="CT322">
        <f>$C322*CT321</f>
        <v/>
      </c>
      <c r="CU322">
        <f>$C322*CU321</f>
        <v/>
      </c>
      <c r="CV322">
        <f>$C322*CV321</f>
        <v/>
      </c>
      <c r="CW322">
        <f>$C322*CW321</f>
        <v/>
      </c>
      <c r="CX322">
        <f>$C322*CX321</f>
        <v/>
      </c>
      <c r="CY322">
        <f>$C322*CY321</f>
        <v/>
      </c>
      <c r="CZ322">
        <f>$C322*CZ321</f>
        <v/>
      </c>
      <c r="DA322">
        <f>$C322*DA321</f>
        <v/>
      </c>
      <c r="DB322">
        <f>$C322*DB321</f>
        <v/>
      </c>
      <c r="DC322">
        <f>$C322*DC321</f>
        <v/>
      </c>
    </row>
    <row r="323">
      <c r="B323" t="inlineStr">
        <is>
          <t>TSP-205</t>
        </is>
      </c>
      <c r="C323" t="inlineStr">
        <is>
          <t>No. of batches</t>
        </is>
      </c>
      <c r="D323">
        <f>IFERROR(INDEX(PP_Grid[#Data],$DD323,2),0)</f>
        <v/>
      </c>
      <c r="E323">
        <f>IFERROR(INDEX(PP_Grid[#Data],$DD323,3),0)</f>
        <v/>
      </c>
      <c r="F323">
        <f>IFERROR(INDEX(PP_Grid[#Data],$DD323,4),0)</f>
        <v/>
      </c>
      <c r="G323">
        <f>IFERROR(INDEX(PP_Grid[#Data],$DD323,5),0)</f>
        <v/>
      </c>
      <c r="H323">
        <f>IFERROR(INDEX(PP_Grid[#Data],$DD323,6),0)</f>
        <v/>
      </c>
      <c r="I323">
        <f>IFERROR(INDEX(PP_Grid[#Data],$DD323,7),0)</f>
        <v/>
      </c>
      <c r="J323">
        <f>IFERROR(INDEX(PP_Grid[#Data],$DD323,8),0)</f>
        <v/>
      </c>
      <c r="K323">
        <f>IFERROR(INDEX(PP_Grid[#Data],$DD323,9),0)</f>
        <v/>
      </c>
      <c r="L323">
        <f>IFERROR(INDEX(PP_Grid[#Data],$DD323,10),0)</f>
        <v/>
      </c>
      <c r="M323">
        <f>IFERROR(INDEX(PP_Grid[#Data],$DD323,11),0)</f>
        <v/>
      </c>
      <c r="N323">
        <f>IFERROR(INDEX(PP_Grid[#Data],$DD323,12),0)</f>
        <v/>
      </c>
      <c r="O323">
        <f>IFERROR(INDEX(PP_Grid[#Data],$DD323,13),0)</f>
        <v/>
      </c>
      <c r="P323">
        <f>IFERROR(INDEX(PP_Grid[#Data],$DD323,14),0)</f>
        <v/>
      </c>
      <c r="Q323">
        <f>IFERROR(INDEX(PP_Grid[#Data],$DD323,15),0)</f>
        <v/>
      </c>
      <c r="R323">
        <f>IFERROR(INDEX(PP_Grid[#Data],$DD323,16),0)</f>
        <v/>
      </c>
      <c r="S323">
        <f>IFERROR(INDEX(PP_Grid[#Data],$DD323,17),0)</f>
        <v/>
      </c>
      <c r="T323">
        <f>IFERROR(INDEX(PP_Grid[#Data],$DD323,18),0)</f>
        <v/>
      </c>
      <c r="U323">
        <f>IFERROR(INDEX(PP_Grid[#Data],$DD323,19),0)</f>
        <v/>
      </c>
      <c r="V323">
        <f>IFERROR(INDEX(PP_Grid[#Data],$DD323,20),0)</f>
        <v/>
      </c>
      <c r="W323">
        <f>IFERROR(INDEX(PP_Grid[#Data],$DD323,21),0)</f>
        <v/>
      </c>
      <c r="X323">
        <f>IFERROR(INDEX(PP_Grid[#Data],$DD323,22),0)</f>
        <v/>
      </c>
      <c r="Y323">
        <f>IFERROR(INDEX(PP_Grid[#Data],$DD323,23),0)</f>
        <v/>
      </c>
      <c r="Z323">
        <f>IFERROR(INDEX(PP_Grid[#Data],$DD323,24),0)</f>
        <v/>
      </c>
      <c r="AA323">
        <f>IFERROR(INDEX(PP_Grid[#Data],$DD323,25),0)</f>
        <v/>
      </c>
      <c r="AB323">
        <f>IFERROR(INDEX(PP_Grid[#Data],$DD323,26),0)</f>
        <v/>
      </c>
      <c r="AC323">
        <f>IFERROR(INDEX(PP_Grid[#Data],$DD323,27),0)</f>
        <v/>
      </c>
      <c r="AD323">
        <f>IFERROR(INDEX(PP_Grid[#Data],$DD323,28),0)</f>
        <v/>
      </c>
      <c r="AE323">
        <f>IFERROR(INDEX(PP_Grid[#Data],$DD323,29),0)</f>
        <v/>
      </c>
      <c r="AF323">
        <f>IFERROR(INDEX(PP_Grid[#Data],$DD323,30),0)</f>
        <v/>
      </c>
      <c r="AG323">
        <f>IFERROR(INDEX(PP_Grid[#Data],$DD323,31),0)</f>
        <v/>
      </c>
      <c r="AH323">
        <f>IFERROR(INDEX(PP_Grid[#Data],$DD323,32),0)</f>
        <v/>
      </c>
      <c r="AI323">
        <f>IFERROR(INDEX(PP_Grid[#Data],$DD323,33),0)</f>
        <v/>
      </c>
      <c r="AJ323">
        <f>IFERROR(INDEX(PP_Grid[#Data],$DD323,34),0)</f>
        <v/>
      </c>
      <c r="AK323">
        <f>IFERROR(INDEX(PP_Grid[#Data],$DD323,35),0)</f>
        <v/>
      </c>
      <c r="AL323">
        <f>IFERROR(INDEX(PP_Grid[#Data],$DD323,36),0)</f>
        <v/>
      </c>
      <c r="AM323">
        <f>IFERROR(INDEX(PP_Grid[#Data],$DD323,37),0)</f>
        <v/>
      </c>
      <c r="AN323">
        <f>IFERROR(INDEX(PP_Grid[#Data],$DD323,38),0)</f>
        <v/>
      </c>
      <c r="AO323">
        <f>IFERROR(INDEX(PP_Grid[#Data],$DD323,39),0)</f>
        <v/>
      </c>
      <c r="AP323">
        <f>IFERROR(INDEX(PP_Grid[#Data],$DD323,40),0)</f>
        <v/>
      </c>
      <c r="AQ323">
        <f>IFERROR(INDEX(PP_Grid[#Data],$DD323,41),0)</f>
        <v/>
      </c>
      <c r="AR323">
        <f>IFERROR(INDEX(PP_Grid[#Data],$DD323,42),0)</f>
        <v/>
      </c>
      <c r="AS323">
        <f>IFERROR(INDEX(PP_Grid[#Data],$DD323,43),0)</f>
        <v/>
      </c>
      <c r="AT323">
        <f>IFERROR(INDEX(PP_Grid[#Data],$DD323,44),0)</f>
        <v/>
      </c>
      <c r="AU323">
        <f>IFERROR(INDEX(PP_Grid[#Data],$DD323,45),0)</f>
        <v/>
      </c>
      <c r="AV323">
        <f>IFERROR(INDEX(PP_Grid[#Data],$DD323,46),0)</f>
        <v/>
      </c>
      <c r="AW323">
        <f>IFERROR(INDEX(PP_Grid[#Data],$DD323,47),0)</f>
        <v/>
      </c>
      <c r="AX323">
        <f>IFERROR(INDEX(PP_Grid[#Data],$DD323,48),0)</f>
        <v/>
      </c>
      <c r="AY323">
        <f>IFERROR(INDEX(PP_Grid[#Data],$DD323,49),0)</f>
        <v/>
      </c>
      <c r="AZ323">
        <f>IFERROR(INDEX(PP_Grid[#Data],$DD323,50),0)</f>
        <v/>
      </c>
      <c r="BA323">
        <f>IFERROR(INDEX(PP_Grid[#Data],$DD323,51),0)</f>
        <v/>
      </c>
      <c r="BB323">
        <f>IFERROR(INDEX(PP_Grid[#Data],$DD323,52),0)</f>
        <v/>
      </c>
      <c r="BC323">
        <f>IFERROR(INDEX(PP_Grid[#Data],$DD323,53),0)</f>
        <v/>
      </c>
      <c r="BD323">
        <f>IFERROR(INDEX(PP_Grid[#Data],$DD323,54),0)</f>
        <v/>
      </c>
      <c r="BE323">
        <f>IFERROR(INDEX(PP_Grid[#Data],$DD323,55),0)</f>
        <v/>
      </c>
      <c r="BF323">
        <f>IFERROR(INDEX(PP_Grid[#Data],$DD323,56),0)</f>
        <v/>
      </c>
      <c r="BG323">
        <f>IFERROR(INDEX(PP_Grid[#Data],$DD323,57),0)</f>
        <v/>
      </c>
      <c r="BH323">
        <f>IFERROR(INDEX(PP_Grid[#Data],$DD323,58),0)</f>
        <v/>
      </c>
      <c r="BI323">
        <f>IFERROR(INDEX(PP_Grid[#Data],$DD323,59),0)</f>
        <v/>
      </c>
      <c r="BJ323">
        <f>IFERROR(INDEX(PP_Grid[#Data],$DD323,60),0)</f>
        <v/>
      </c>
      <c r="BK323">
        <f>IFERROR(INDEX(PP_Grid[#Data],$DD323,61),0)</f>
        <v/>
      </c>
      <c r="BL323">
        <f>IFERROR(INDEX(PP_Grid[#Data],$DD323,62),0)</f>
        <v/>
      </c>
      <c r="BM323">
        <f>IFERROR(INDEX(PP_Grid[#Data],$DD323,63),0)</f>
        <v/>
      </c>
      <c r="BN323">
        <f>IFERROR(INDEX(PP_Grid[#Data],$DD323,64),0)</f>
        <v/>
      </c>
      <c r="BO323">
        <f>IFERROR(INDEX(PP_Grid[#Data],$DD323,65),0)</f>
        <v/>
      </c>
      <c r="BP323">
        <f>IFERROR(INDEX(PP_Grid[#Data],$DD323,66),0)</f>
        <v/>
      </c>
      <c r="BQ323">
        <f>IFERROR(INDEX(PP_Grid[#Data],$DD323,67),0)</f>
        <v/>
      </c>
      <c r="BR323">
        <f>IFERROR(INDEX(PP_Grid[#Data],$DD323,68),0)</f>
        <v/>
      </c>
      <c r="BS323">
        <f>IFERROR(INDEX(PP_Grid[#Data],$DD323,69),0)</f>
        <v/>
      </c>
      <c r="BT323">
        <f>IFERROR(INDEX(PP_Grid[#Data],$DD323,70),0)</f>
        <v/>
      </c>
      <c r="BU323">
        <f>IFERROR(INDEX(PP_Grid[#Data],$DD323,71),0)</f>
        <v/>
      </c>
      <c r="BV323">
        <f>IFERROR(INDEX(PP_Grid[#Data],$DD323,72),0)</f>
        <v/>
      </c>
      <c r="BW323">
        <f>IFERROR(INDEX(PP_Grid[#Data],$DD323,73),0)</f>
        <v/>
      </c>
      <c r="BX323">
        <f>IFERROR(INDEX(PP_Grid[#Data],$DD323,74),0)</f>
        <v/>
      </c>
      <c r="BY323">
        <f>IFERROR(INDEX(PP_Grid[#Data],$DD323,75),0)</f>
        <v/>
      </c>
      <c r="BZ323">
        <f>IFERROR(INDEX(PP_Grid[#Data],$DD323,76),0)</f>
        <v/>
      </c>
      <c r="CA323">
        <f>IFERROR(INDEX(PP_Grid[#Data],$DD323,77),0)</f>
        <v/>
      </c>
      <c r="CB323">
        <f>IFERROR(INDEX(PP_Grid[#Data],$DD323,78),0)</f>
        <v/>
      </c>
      <c r="CC323">
        <f>IFERROR(INDEX(PP_Grid[#Data],$DD323,79),0)</f>
        <v/>
      </c>
      <c r="CD323">
        <f>IFERROR(INDEX(PP_Grid[#Data],$DD323,80),0)</f>
        <v/>
      </c>
      <c r="CE323">
        <f>IFERROR(INDEX(PP_Grid[#Data],$DD323,81),0)</f>
        <v/>
      </c>
      <c r="CF323">
        <f>IFERROR(INDEX(PP_Grid[#Data],$DD323,82),0)</f>
        <v/>
      </c>
      <c r="CG323">
        <f>IFERROR(INDEX(PP_Grid[#Data],$DD323,83),0)</f>
        <v/>
      </c>
      <c r="CH323">
        <f>IFERROR(INDEX(PP_Grid[#Data],$DD323,84),0)</f>
        <v/>
      </c>
      <c r="CI323">
        <f>IFERROR(INDEX(PP_Grid[#Data],$DD323,85),0)</f>
        <v/>
      </c>
      <c r="CJ323">
        <f>IFERROR(INDEX(PP_Grid[#Data],$DD323,86),0)</f>
        <v/>
      </c>
      <c r="CK323">
        <f>IFERROR(INDEX(PP_Grid[#Data],$DD323,87),0)</f>
        <v/>
      </c>
      <c r="CL323">
        <f>IFERROR(INDEX(PP_Grid[#Data],$DD323,88),0)</f>
        <v/>
      </c>
      <c r="CM323">
        <f>IFERROR(INDEX(PP_Grid[#Data],$DD323,89),0)</f>
        <v/>
      </c>
      <c r="CN323">
        <f>IFERROR(INDEX(PP_Grid[#Data],$DD323,90),0)</f>
        <v/>
      </c>
      <c r="CO323">
        <f>IFERROR(INDEX(PP_Grid[#Data],$DD323,91),0)</f>
        <v/>
      </c>
      <c r="CP323">
        <f>IFERROR(INDEX(PP_Grid[#Data],$DD323,92),0)</f>
        <v/>
      </c>
      <c r="CQ323">
        <f>IFERROR(INDEX(PP_Grid[#Data],$DD323,93),0)</f>
        <v/>
      </c>
      <c r="CR323">
        <f>IFERROR(INDEX(PP_Grid[#Data],$DD323,94),0)</f>
        <v/>
      </c>
      <c r="CS323">
        <f>IFERROR(INDEX(PP_Grid[#Data],$DD323,95),0)</f>
        <v/>
      </c>
      <c r="CT323">
        <f>IFERROR(INDEX(PP_Grid[#Data],$DD323,96),0)</f>
        <v/>
      </c>
      <c r="CU323">
        <f>IFERROR(INDEX(PP_Grid[#Data],$DD323,97),0)</f>
        <v/>
      </c>
      <c r="CV323">
        <f>IFERROR(INDEX(PP_Grid[#Data],$DD323,98),0)</f>
        <v/>
      </c>
      <c r="CW323">
        <f>IFERROR(INDEX(PP_Grid[#Data],$DD323,99),0)</f>
        <v/>
      </c>
      <c r="CX323">
        <f>IFERROR(INDEX(PP_Grid[#Data],$DD323,100),0)</f>
        <v/>
      </c>
      <c r="CY323">
        <f>IFERROR(INDEX(PP_Grid[#Data],$DD323,101),0)</f>
        <v/>
      </c>
      <c r="CZ323">
        <f>IFERROR(INDEX(PP_Grid[#Data],$DD323,102),0)</f>
        <v/>
      </c>
      <c r="DA323">
        <f>IFERROR(INDEX(PP_Grid[#Data],$DD323,103),0)</f>
        <v/>
      </c>
      <c r="DB323">
        <f>IFERROR(INDEX(PP_Grid[#Data],$DD323,104),0)</f>
        <v/>
      </c>
      <c r="DC323">
        <f>IFERROR(INDEX(PP_Grid[#Data],$DD323,105),0)</f>
        <v/>
      </c>
      <c r="DD323" s="12">
        <f>IFERROR(MATCH($B323,PP_Grid[Intermediate],0),99999)</f>
        <v/>
      </c>
    </row>
    <row r="324">
      <c r="B324" t="inlineStr">
        <is>
          <t>使用量(kg)</t>
        </is>
      </c>
      <c r="C324">
        <f>SUMIFS(M_BOM[RM_Qty_Per_Batch],M_BOM[Intermediate],$B323,M_BOM[Part Name],$A312)</f>
        <v/>
      </c>
      <c r="D324">
        <f>$C324*D323</f>
        <v/>
      </c>
      <c r="E324">
        <f>$C324*E323</f>
        <v/>
      </c>
      <c r="F324">
        <f>$C324*F323</f>
        <v/>
      </c>
      <c r="G324">
        <f>$C324*G323</f>
        <v/>
      </c>
      <c r="H324">
        <f>$C324*H323</f>
        <v/>
      </c>
      <c r="I324">
        <f>$C324*I323</f>
        <v/>
      </c>
      <c r="J324">
        <f>$C324*J323</f>
        <v/>
      </c>
      <c r="K324">
        <f>$C324*K323</f>
        <v/>
      </c>
      <c r="L324">
        <f>$C324*L323</f>
        <v/>
      </c>
      <c r="M324">
        <f>$C324*M323</f>
        <v/>
      </c>
      <c r="N324">
        <f>$C324*N323</f>
        <v/>
      </c>
      <c r="O324">
        <f>$C324*O323</f>
        <v/>
      </c>
      <c r="P324">
        <f>$C324*P323</f>
        <v/>
      </c>
      <c r="Q324">
        <f>$C324*Q323</f>
        <v/>
      </c>
      <c r="R324">
        <f>$C324*R323</f>
        <v/>
      </c>
      <c r="S324">
        <f>$C324*S323</f>
        <v/>
      </c>
      <c r="T324">
        <f>$C324*T323</f>
        <v/>
      </c>
      <c r="U324">
        <f>$C324*U323</f>
        <v/>
      </c>
      <c r="V324">
        <f>$C324*V323</f>
        <v/>
      </c>
      <c r="W324">
        <f>$C324*W323</f>
        <v/>
      </c>
      <c r="X324">
        <f>$C324*X323</f>
        <v/>
      </c>
      <c r="Y324">
        <f>$C324*Y323</f>
        <v/>
      </c>
      <c r="Z324">
        <f>$C324*Z323</f>
        <v/>
      </c>
      <c r="AA324">
        <f>$C324*AA323</f>
        <v/>
      </c>
      <c r="AB324">
        <f>$C324*AB323</f>
        <v/>
      </c>
      <c r="AC324">
        <f>$C324*AC323</f>
        <v/>
      </c>
      <c r="AD324">
        <f>$C324*AD323</f>
        <v/>
      </c>
      <c r="AE324">
        <f>$C324*AE323</f>
        <v/>
      </c>
      <c r="AF324">
        <f>$C324*AF323</f>
        <v/>
      </c>
      <c r="AG324">
        <f>$C324*AG323</f>
        <v/>
      </c>
      <c r="AH324">
        <f>$C324*AH323</f>
        <v/>
      </c>
      <c r="AI324">
        <f>$C324*AI323</f>
        <v/>
      </c>
      <c r="AJ324">
        <f>$C324*AJ323</f>
        <v/>
      </c>
      <c r="AK324">
        <f>$C324*AK323</f>
        <v/>
      </c>
      <c r="AL324">
        <f>$C324*AL323</f>
        <v/>
      </c>
      <c r="AM324">
        <f>$C324*AM323</f>
        <v/>
      </c>
      <c r="AN324">
        <f>$C324*AN323</f>
        <v/>
      </c>
      <c r="AO324">
        <f>$C324*AO323</f>
        <v/>
      </c>
      <c r="AP324">
        <f>$C324*AP323</f>
        <v/>
      </c>
      <c r="AQ324">
        <f>$C324*AQ323</f>
        <v/>
      </c>
      <c r="AR324">
        <f>$C324*AR323</f>
        <v/>
      </c>
      <c r="AS324">
        <f>$C324*AS323</f>
        <v/>
      </c>
      <c r="AT324">
        <f>$C324*AT323</f>
        <v/>
      </c>
      <c r="AU324">
        <f>$C324*AU323</f>
        <v/>
      </c>
      <c r="AV324">
        <f>$C324*AV323</f>
        <v/>
      </c>
      <c r="AW324">
        <f>$C324*AW323</f>
        <v/>
      </c>
      <c r="AX324">
        <f>$C324*AX323</f>
        <v/>
      </c>
      <c r="AY324">
        <f>$C324*AY323</f>
        <v/>
      </c>
      <c r="AZ324">
        <f>$C324*AZ323</f>
        <v/>
      </c>
      <c r="BA324">
        <f>$C324*BA323</f>
        <v/>
      </c>
      <c r="BB324">
        <f>$C324*BB323</f>
        <v/>
      </c>
      <c r="BC324">
        <f>$C324*BC323</f>
        <v/>
      </c>
      <c r="BD324">
        <f>$C324*BD323</f>
        <v/>
      </c>
      <c r="BE324">
        <f>$C324*BE323</f>
        <v/>
      </c>
      <c r="BF324">
        <f>$C324*BF323</f>
        <v/>
      </c>
      <c r="BG324">
        <f>$C324*BG323</f>
        <v/>
      </c>
      <c r="BH324">
        <f>$C324*BH323</f>
        <v/>
      </c>
      <c r="BI324">
        <f>$C324*BI323</f>
        <v/>
      </c>
      <c r="BJ324">
        <f>$C324*BJ323</f>
        <v/>
      </c>
      <c r="BK324">
        <f>$C324*BK323</f>
        <v/>
      </c>
      <c r="BL324">
        <f>$C324*BL323</f>
        <v/>
      </c>
      <c r="BM324">
        <f>$C324*BM323</f>
        <v/>
      </c>
      <c r="BN324">
        <f>$C324*BN323</f>
        <v/>
      </c>
      <c r="BO324">
        <f>$C324*BO323</f>
        <v/>
      </c>
      <c r="BP324">
        <f>$C324*BP323</f>
        <v/>
      </c>
      <c r="BQ324">
        <f>$C324*BQ323</f>
        <v/>
      </c>
      <c r="BR324">
        <f>$C324*BR323</f>
        <v/>
      </c>
      <c r="BS324">
        <f>$C324*BS323</f>
        <v/>
      </c>
      <c r="BT324">
        <f>$C324*BT323</f>
        <v/>
      </c>
      <c r="BU324">
        <f>$C324*BU323</f>
        <v/>
      </c>
      <c r="BV324">
        <f>$C324*BV323</f>
        <v/>
      </c>
      <c r="BW324">
        <f>$C324*BW323</f>
        <v/>
      </c>
      <c r="BX324">
        <f>$C324*BX323</f>
        <v/>
      </c>
      <c r="BY324">
        <f>$C324*BY323</f>
        <v/>
      </c>
      <c r="BZ324">
        <f>$C324*BZ323</f>
        <v/>
      </c>
      <c r="CA324">
        <f>$C324*CA323</f>
        <v/>
      </c>
      <c r="CB324">
        <f>$C324*CB323</f>
        <v/>
      </c>
      <c r="CC324">
        <f>$C324*CC323</f>
        <v/>
      </c>
      <c r="CD324">
        <f>$C324*CD323</f>
        <v/>
      </c>
      <c r="CE324">
        <f>$C324*CE323</f>
        <v/>
      </c>
      <c r="CF324">
        <f>$C324*CF323</f>
        <v/>
      </c>
      <c r="CG324">
        <f>$C324*CG323</f>
        <v/>
      </c>
      <c r="CH324">
        <f>$C324*CH323</f>
        <v/>
      </c>
      <c r="CI324">
        <f>$C324*CI323</f>
        <v/>
      </c>
      <c r="CJ324">
        <f>$C324*CJ323</f>
        <v/>
      </c>
      <c r="CK324">
        <f>$C324*CK323</f>
        <v/>
      </c>
      <c r="CL324">
        <f>$C324*CL323</f>
        <v/>
      </c>
      <c r="CM324">
        <f>$C324*CM323</f>
        <v/>
      </c>
      <c r="CN324">
        <f>$C324*CN323</f>
        <v/>
      </c>
      <c r="CO324">
        <f>$C324*CO323</f>
        <v/>
      </c>
      <c r="CP324">
        <f>$C324*CP323</f>
        <v/>
      </c>
      <c r="CQ324">
        <f>$C324*CQ323</f>
        <v/>
      </c>
      <c r="CR324">
        <f>$C324*CR323</f>
        <v/>
      </c>
      <c r="CS324">
        <f>$C324*CS323</f>
        <v/>
      </c>
      <c r="CT324">
        <f>$C324*CT323</f>
        <v/>
      </c>
      <c r="CU324">
        <f>$C324*CU323</f>
        <v/>
      </c>
      <c r="CV324">
        <f>$C324*CV323</f>
        <v/>
      </c>
      <c r="CW324">
        <f>$C324*CW323</f>
        <v/>
      </c>
      <c r="CX324">
        <f>$C324*CX323</f>
        <v/>
      </c>
      <c r="CY324">
        <f>$C324*CY323</f>
        <v/>
      </c>
      <c r="CZ324">
        <f>$C324*CZ323</f>
        <v/>
      </c>
      <c r="DA324">
        <f>$C324*DA323</f>
        <v/>
      </c>
      <c r="DB324">
        <f>$C324*DB323</f>
        <v/>
      </c>
      <c r="DC324">
        <f>$C324*DC323</f>
        <v/>
      </c>
    </row>
    <row r="325">
      <c r="B325" t="inlineStr">
        <is>
          <t>TSP-656</t>
        </is>
      </c>
      <c r="C325" t="inlineStr">
        <is>
          <t>No. of batches</t>
        </is>
      </c>
      <c r="D325">
        <f>IFERROR(INDEX(PP_Grid[#Data],$DD325,2),0)</f>
        <v/>
      </c>
      <c r="E325">
        <f>IFERROR(INDEX(PP_Grid[#Data],$DD325,3),0)</f>
        <v/>
      </c>
      <c r="F325">
        <f>IFERROR(INDEX(PP_Grid[#Data],$DD325,4),0)</f>
        <v/>
      </c>
      <c r="G325">
        <f>IFERROR(INDEX(PP_Grid[#Data],$DD325,5),0)</f>
        <v/>
      </c>
      <c r="H325">
        <f>IFERROR(INDEX(PP_Grid[#Data],$DD325,6),0)</f>
        <v/>
      </c>
      <c r="I325">
        <f>IFERROR(INDEX(PP_Grid[#Data],$DD325,7),0)</f>
        <v/>
      </c>
      <c r="J325">
        <f>IFERROR(INDEX(PP_Grid[#Data],$DD325,8),0)</f>
        <v/>
      </c>
      <c r="K325">
        <f>IFERROR(INDEX(PP_Grid[#Data],$DD325,9),0)</f>
        <v/>
      </c>
      <c r="L325">
        <f>IFERROR(INDEX(PP_Grid[#Data],$DD325,10),0)</f>
        <v/>
      </c>
      <c r="M325">
        <f>IFERROR(INDEX(PP_Grid[#Data],$DD325,11),0)</f>
        <v/>
      </c>
      <c r="N325">
        <f>IFERROR(INDEX(PP_Grid[#Data],$DD325,12),0)</f>
        <v/>
      </c>
      <c r="O325">
        <f>IFERROR(INDEX(PP_Grid[#Data],$DD325,13),0)</f>
        <v/>
      </c>
      <c r="P325">
        <f>IFERROR(INDEX(PP_Grid[#Data],$DD325,14),0)</f>
        <v/>
      </c>
      <c r="Q325">
        <f>IFERROR(INDEX(PP_Grid[#Data],$DD325,15),0)</f>
        <v/>
      </c>
      <c r="R325">
        <f>IFERROR(INDEX(PP_Grid[#Data],$DD325,16),0)</f>
        <v/>
      </c>
      <c r="S325">
        <f>IFERROR(INDEX(PP_Grid[#Data],$DD325,17),0)</f>
        <v/>
      </c>
      <c r="T325">
        <f>IFERROR(INDEX(PP_Grid[#Data],$DD325,18),0)</f>
        <v/>
      </c>
      <c r="U325">
        <f>IFERROR(INDEX(PP_Grid[#Data],$DD325,19),0)</f>
        <v/>
      </c>
      <c r="V325">
        <f>IFERROR(INDEX(PP_Grid[#Data],$DD325,20),0)</f>
        <v/>
      </c>
      <c r="W325">
        <f>IFERROR(INDEX(PP_Grid[#Data],$DD325,21),0)</f>
        <v/>
      </c>
      <c r="X325">
        <f>IFERROR(INDEX(PP_Grid[#Data],$DD325,22),0)</f>
        <v/>
      </c>
      <c r="Y325">
        <f>IFERROR(INDEX(PP_Grid[#Data],$DD325,23),0)</f>
        <v/>
      </c>
      <c r="Z325">
        <f>IFERROR(INDEX(PP_Grid[#Data],$DD325,24),0)</f>
        <v/>
      </c>
      <c r="AA325">
        <f>IFERROR(INDEX(PP_Grid[#Data],$DD325,25),0)</f>
        <v/>
      </c>
      <c r="AB325">
        <f>IFERROR(INDEX(PP_Grid[#Data],$DD325,26),0)</f>
        <v/>
      </c>
      <c r="AC325">
        <f>IFERROR(INDEX(PP_Grid[#Data],$DD325,27),0)</f>
        <v/>
      </c>
      <c r="AD325">
        <f>IFERROR(INDEX(PP_Grid[#Data],$DD325,28),0)</f>
        <v/>
      </c>
      <c r="AE325">
        <f>IFERROR(INDEX(PP_Grid[#Data],$DD325,29),0)</f>
        <v/>
      </c>
      <c r="AF325">
        <f>IFERROR(INDEX(PP_Grid[#Data],$DD325,30),0)</f>
        <v/>
      </c>
      <c r="AG325">
        <f>IFERROR(INDEX(PP_Grid[#Data],$DD325,31),0)</f>
        <v/>
      </c>
      <c r="AH325">
        <f>IFERROR(INDEX(PP_Grid[#Data],$DD325,32),0)</f>
        <v/>
      </c>
      <c r="AI325">
        <f>IFERROR(INDEX(PP_Grid[#Data],$DD325,33),0)</f>
        <v/>
      </c>
      <c r="AJ325">
        <f>IFERROR(INDEX(PP_Grid[#Data],$DD325,34),0)</f>
        <v/>
      </c>
      <c r="AK325">
        <f>IFERROR(INDEX(PP_Grid[#Data],$DD325,35),0)</f>
        <v/>
      </c>
      <c r="AL325">
        <f>IFERROR(INDEX(PP_Grid[#Data],$DD325,36),0)</f>
        <v/>
      </c>
      <c r="AM325">
        <f>IFERROR(INDEX(PP_Grid[#Data],$DD325,37),0)</f>
        <v/>
      </c>
      <c r="AN325">
        <f>IFERROR(INDEX(PP_Grid[#Data],$DD325,38),0)</f>
        <v/>
      </c>
      <c r="AO325">
        <f>IFERROR(INDEX(PP_Grid[#Data],$DD325,39),0)</f>
        <v/>
      </c>
      <c r="AP325">
        <f>IFERROR(INDEX(PP_Grid[#Data],$DD325,40),0)</f>
        <v/>
      </c>
      <c r="AQ325">
        <f>IFERROR(INDEX(PP_Grid[#Data],$DD325,41),0)</f>
        <v/>
      </c>
      <c r="AR325">
        <f>IFERROR(INDEX(PP_Grid[#Data],$DD325,42),0)</f>
        <v/>
      </c>
      <c r="AS325">
        <f>IFERROR(INDEX(PP_Grid[#Data],$DD325,43),0)</f>
        <v/>
      </c>
      <c r="AT325">
        <f>IFERROR(INDEX(PP_Grid[#Data],$DD325,44),0)</f>
        <v/>
      </c>
      <c r="AU325">
        <f>IFERROR(INDEX(PP_Grid[#Data],$DD325,45),0)</f>
        <v/>
      </c>
      <c r="AV325">
        <f>IFERROR(INDEX(PP_Grid[#Data],$DD325,46),0)</f>
        <v/>
      </c>
      <c r="AW325">
        <f>IFERROR(INDEX(PP_Grid[#Data],$DD325,47),0)</f>
        <v/>
      </c>
      <c r="AX325">
        <f>IFERROR(INDEX(PP_Grid[#Data],$DD325,48),0)</f>
        <v/>
      </c>
      <c r="AY325">
        <f>IFERROR(INDEX(PP_Grid[#Data],$DD325,49),0)</f>
        <v/>
      </c>
      <c r="AZ325">
        <f>IFERROR(INDEX(PP_Grid[#Data],$DD325,50),0)</f>
        <v/>
      </c>
      <c r="BA325">
        <f>IFERROR(INDEX(PP_Grid[#Data],$DD325,51),0)</f>
        <v/>
      </c>
      <c r="BB325">
        <f>IFERROR(INDEX(PP_Grid[#Data],$DD325,52),0)</f>
        <v/>
      </c>
      <c r="BC325">
        <f>IFERROR(INDEX(PP_Grid[#Data],$DD325,53),0)</f>
        <v/>
      </c>
      <c r="BD325">
        <f>IFERROR(INDEX(PP_Grid[#Data],$DD325,54),0)</f>
        <v/>
      </c>
      <c r="BE325">
        <f>IFERROR(INDEX(PP_Grid[#Data],$DD325,55),0)</f>
        <v/>
      </c>
      <c r="BF325">
        <f>IFERROR(INDEX(PP_Grid[#Data],$DD325,56),0)</f>
        <v/>
      </c>
      <c r="BG325">
        <f>IFERROR(INDEX(PP_Grid[#Data],$DD325,57),0)</f>
        <v/>
      </c>
      <c r="BH325">
        <f>IFERROR(INDEX(PP_Grid[#Data],$DD325,58),0)</f>
        <v/>
      </c>
      <c r="BI325">
        <f>IFERROR(INDEX(PP_Grid[#Data],$DD325,59),0)</f>
        <v/>
      </c>
      <c r="BJ325">
        <f>IFERROR(INDEX(PP_Grid[#Data],$DD325,60),0)</f>
        <v/>
      </c>
      <c r="BK325">
        <f>IFERROR(INDEX(PP_Grid[#Data],$DD325,61),0)</f>
        <v/>
      </c>
      <c r="BL325">
        <f>IFERROR(INDEX(PP_Grid[#Data],$DD325,62),0)</f>
        <v/>
      </c>
      <c r="BM325">
        <f>IFERROR(INDEX(PP_Grid[#Data],$DD325,63),0)</f>
        <v/>
      </c>
      <c r="BN325">
        <f>IFERROR(INDEX(PP_Grid[#Data],$DD325,64),0)</f>
        <v/>
      </c>
      <c r="BO325">
        <f>IFERROR(INDEX(PP_Grid[#Data],$DD325,65),0)</f>
        <v/>
      </c>
      <c r="BP325">
        <f>IFERROR(INDEX(PP_Grid[#Data],$DD325,66),0)</f>
        <v/>
      </c>
      <c r="BQ325">
        <f>IFERROR(INDEX(PP_Grid[#Data],$DD325,67),0)</f>
        <v/>
      </c>
      <c r="BR325">
        <f>IFERROR(INDEX(PP_Grid[#Data],$DD325,68),0)</f>
        <v/>
      </c>
      <c r="BS325">
        <f>IFERROR(INDEX(PP_Grid[#Data],$DD325,69),0)</f>
        <v/>
      </c>
      <c r="BT325">
        <f>IFERROR(INDEX(PP_Grid[#Data],$DD325,70),0)</f>
        <v/>
      </c>
      <c r="BU325">
        <f>IFERROR(INDEX(PP_Grid[#Data],$DD325,71),0)</f>
        <v/>
      </c>
      <c r="BV325">
        <f>IFERROR(INDEX(PP_Grid[#Data],$DD325,72),0)</f>
        <v/>
      </c>
      <c r="BW325">
        <f>IFERROR(INDEX(PP_Grid[#Data],$DD325,73),0)</f>
        <v/>
      </c>
      <c r="BX325">
        <f>IFERROR(INDEX(PP_Grid[#Data],$DD325,74),0)</f>
        <v/>
      </c>
      <c r="BY325">
        <f>IFERROR(INDEX(PP_Grid[#Data],$DD325,75),0)</f>
        <v/>
      </c>
      <c r="BZ325">
        <f>IFERROR(INDEX(PP_Grid[#Data],$DD325,76),0)</f>
        <v/>
      </c>
      <c r="CA325">
        <f>IFERROR(INDEX(PP_Grid[#Data],$DD325,77),0)</f>
        <v/>
      </c>
      <c r="CB325">
        <f>IFERROR(INDEX(PP_Grid[#Data],$DD325,78),0)</f>
        <v/>
      </c>
      <c r="CC325">
        <f>IFERROR(INDEX(PP_Grid[#Data],$DD325,79),0)</f>
        <v/>
      </c>
      <c r="CD325">
        <f>IFERROR(INDEX(PP_Grid[#Data],$DD325,80),0)</f>
        <v/>
      </c>
      <c r="CE325">
        <f>IFERROR(INDEX(PP_Grid[#Data],$DD325,81),0)</f>
        <v/>
      </c>
      <c r="CF325">
        <f>IFERROR(INDEX(PP_Grid[#Data],$DD325,82),0)</f>
        <v/>
      </c>
      <c r="CG325">
        <f>IFERROR(INDEX(PP_Grid[#Data],$DD325,83),0)</f>
        <v/>
      </c>
      <c r="CH325">
        <f>IFERROR(INDEX(PP_Grid[#Data],$DD325,84),0)</f>
        <v/>
      </c>
      <c r="CI325">
        <f>IFERROR(INDEX(PP_Grid[#Data],$DD325,85),0)</f>
        <v/>
      </c>
      <c r="CJ325">
        <f>IFERROR(INDEX(PP_Grid[#Data],$DD325,86),0)</f>
        <v/>
      </c>
      <c r="CK325">
        <f>IFERROR(INDEX(PP_Grid[#Data],$DD325,87),0)</f>
        <v/>
      </c>
      <c r="CL325">
        <f>IFERROR(INDEX(PP_Grid[#Data],$DD325,88),0)</f>
        <v/>
      </c>
      <c r="CM325">
        <f>IFERROR(INDEX(PP_Grid[#Data],$DD325,89),0)</f>
        <v/>
      </c>
      <c r="CN325">
        <f>IFERROR(INDEX(PP_Grid[#Data],$DD325,90),0)</f>
        <v/>
      </c>
      <c r="CO325">
        <f>IFERROR(INDEX(PP_Grid[#Data],$DD325,91),0)</f>
        <v/>
      </c>
      <c r="CP325">
        <f>IFERROR(INDEX(PP_Grid[#Data],$DD325,92),0)</f>
        <v/>
      </c>
      <c r="CQ325">
        <f>IFERROR(INDEX(PP_Grid[#Data],$DD325,93),0)</f>
        <v/>
      </c>
      <c r="CR325">
        <f>IFERROR(INDEX(PP_Grid[#Data],$DD325,94),0)</f>
        <v/>
      </c>
      <c r="CS325">
        <f>IFERROR(INDEX(PP_Grid[#Data],$DD325,95),0)</f>
        <v/>
      </c>
      <c r="CT325">
        <f>IFERROR(INDEX(PP_Grid[#Data],$DD325,96),0)</f>
        <v/>
      </c>
      <c r="CU325">
        <f>IFERROR(INDEX(PP_Grid[#Data],$DD325,97),0)</f>
        <v/>
      </c>
      <c r="CV325">
        <f>IFERROR(INDEX(PP_Grid[#Data],$DD325,98),0)</f>
        <v/>
      </c>
      <c r="CW325">
        <f>IFERROR(INDEX(PP_Grid[#Data],$DD325,99),0)</f>
        <v/>
      </c>
      <c r="CX325">
        <f>IFERROR(INDEX(PP_Grid[#Data],$DD325,100),0)</f>
        <v/>
      </c>
      <c r="CY325">
        <f>IFERROR(INDEX(PP_Grid[#Data],$DD325,101),0)</f>
        <v/>
      </c>
      <c r="CZ325">
        <f>IFERROR(INDEX(PP_Grid[#Data],$DD325,102),0)</f>
        <v/>
      </c>
      <c r="DA325">
        <f>IFERROR(INDEX(PP_Grid[#Data],$DD325,103),0)</f>
        <v/>
      </c>
      <c r="DB325">
        <f>IFERROR(INDEX(PP_Grid[#Data],$DD325,104),0)</f>
        <v/>
      </c>
      <c r="DC325">
        <f>IFERROR(INDEX(PP_Grid[#Data],$DD325,105),0)</f>
        <v/>
      </c>
      <c r="DD325" s="12">
        <f>IFERROR(MATCH($B325,PP_Grid[Intermediate],0),99999)</f>
        <v/>
      </c>
    </row>
    <row r="326">
      <c r="B326" t="inlineStr">
        <is>
          <t>使用量(kg)</t>
        </is>
      </c>
      <c r="C326">
        <f>SUMIFS(M_BOM[RM_Qty_Per_Batch],M_BOM[Intermediate],$B325,M_BOM[Part Name],$A312)</f>
        <v/>
      </c>
      <c r="D326">
        <f>$C326*D325</f>
        <v/>
      </c>
      <c r="E326">
        <f>$C326*E325</f>
        <v/>
      </c>
      <c r="F326">
        <f>$C326*F325</f>
        <v/>
      </c>
      <c r="G326">
        <f>$C326*G325</f>
        <v/>
      </c>
      <c r="H326">
        <f>$C326*H325</f>
        <v/>
      </c>
      <c r="I326">
        <f>$C326*I325</f>
        <v/>
      </c>
      <c r="J326">
        <f>$C326*J325</f>
        <v/>
      </c>
      <c r="K326">
        <f>$C326*K325</f>
        <v/>
      </c>
      <c r="L326">
        <f>$C326*L325</f>
        <v/>
      </c>
      <c r="M326">
        <f>$C326*M325</f>
        <v/>
      </c>
      <c r="N326">
        <f>$C326*N325</f>
        <v/>
      </c>
      <c r="O326">
        <f>$C326*O325</f>
        <v/>
      </c>
      <c r="P326">
        <f>$C326*P325</f>
        <v/>
      </c>
      <c r="Q326">
        <f>$C326*Q325</f>
        <v/>
      </c>
      <c r="R326">
        <f>$C326*R325</f>
        <v/>
      </c>
      <c r="S326">
        <f>$C326*S325</f>
        <v/>
      </c>
      <c r="T326">
        <f>$C326*T325</f>
        <v/>
      </c>
      <c r="U326">
        <f>$C326*U325</f>
        <v/>
      </c>
      <c r="V326">
        <f>$C326*V325</f>
        <v/>
      </c>
      <c r="W326">
        <f>$C326*W325</f>
        <v/>
      </c>
      <c r="X326">
        <f>$C326*X325</f>
        <v/>
      </c>
      <c r="Y326">
        <f>$C326*Y325</f>
        <v/>
      </c>
      <c r="Z326">
        <f>$C326*Z325</f>
        <v/>
      </c>
      <c r="AA326">
        <f>$C326*AA325</f>
        <v/>
      </c>
      <c r="AB326">
        <f>$C326*AB325</f>
        <v/>
      </c>
      <c r="AC326">
        <f>$C326*AC325</f>
        <v/>
      </c>
      <c r="AD326">
        <f>$C326*AD325</f>
        <v/>
      </c>
      <c r="AE326">
        <f>$C326*AE325</f>
        <v/>
      </c>
      <c r="AF326">
        <f>$C326*AF325</f>
        <v/>
      </c>
      <c r="AG326">
        <f>$C326*AG325</f>
        <v/>
      </c>
      <c r="AH326">
        <f>$C326*AH325</f>
        <v/>
      </c>
      <c r="AI326">
        <f>$C326*AI325</f>
        <v/>
      </c>
      <c r="AJ326">
        <f>$C326*AJ325</f>
        <v/>
      </c>
      <c r="AK326">
        <f>$C326*AK325</f>
        <v/>
      </c>
      <c r="AL326">
        <f>$C326*AL325</f>
        <v/>
      </c>
      <c r="AM326">
        <f>$C326*AM325</f>
        <v/>
      </c>
      <c r="AN326">
        <f>$C326*AN325</f>
        <v/>
      </c>
      <c r="AO326">
        <f>$C326*AO325</f>
        <v/>
      </c>
      <c r="AP326">
        <f>$C326*AP325</f>
        <v/>
      </c>
      <c r="AQ326">
        <f>$C326*AQ325</f>
        <v/>
      </c>
      <c r="AR326">
        <f>$C326*AR325</f>
        <v/>
      </c>
      <c r="AS326">
        <f>$C326*AS325</f>
        <v/>
      </c>
      <c r="AT326">
        <f>$C326*AT325</f>
        <v/>
      </c>
      <c r="AU326">
        <f>$C326*AU325</f>
        <v/>
      </c>
      <c r="AV326">
        <f>$C326*AV325</f>
        <v/>
      </c>
      <c r="AW326">
        <f>$C326*AW325</f>
        <v/>
      </c>
      <c r="AX326">
        <f>$C326*AX325</f>
        <v/>
      </c>
      <c r="AY326">
        <f>$C326*AY325</f>
        <v/>
      </c>
      <c r="AZ326">
        <f>$C326*AZ325</f>
        <v/>
      </c>
      <c r="BA326">
        <f>$C326*BA325</f>
        <v/>
      </c>
      <c r="BB326">
        <f>$C326*BB325</f>
        <v/>
      </c>
      <c r="BC326">
        <f>$C326*BC325</f>
        <v/>
      </c>
      <c r="BD326">
        <f>$C326*BD325</f>
        <v/>
      </c>
      <c r="BE326">
        <f>$C326*BE325</f>
        <v/>
      </c>
      <c r="BF326">
        <f>$C326*BF325</f>
        <v/>
      </c>
      <c r="BG326">
        <f>$C326*BG325</f>
        <v/>
      </c>
      <c r="BH326">
        <f>$C326*BH325</f>
        <v/>
      </c>
      <c r="BI326">
        <f>$C326*BI325</f>
        <v/>
      </c>
      <c r="BJ326">
        <f>$C326*BJ325</f>
        <v/>
      </c>
      <c r="BK326">
        <f>$C326*BK325</f>
        <v/>
      </c>
      <c r="BL326">
        <f>$C326*BL325</f>
        <v/>
      </c>
      <c r="BM326">
        <f>$C326*BM325</f>
        <v/>
      </c>
      <c r="BN326">
        <f>$C326*BN325</f>
        <v/>
      </c>
      <c r="BO326">
        <f>$C326*BO325</f>
        <v/>
      </c>
      <c r="BP326">
        <f>$C326*BP325</f>
        <v/>
      </c>
      <c r="BQ326">
        <f>$C326*BQ325</f>
        <v/>
      </c>
      <c r="BR326">
        <f>$C326*BR325</f>
        <v/>
      </c>
      <c r="BS326">
        <f>$C326*BS325</f>
        <v/>
      </c>
      <c r="BT326">
        <f>$C326*BT325</f>
        <v/>
      </c>
      <c r="BU326">
        <f>$C326*BU325</f>
        <v/>
      </c>
      <c r="BV326">
        <f>$C326*BV325</f>
        <v/>
      </c>
      <c r="BW326">
        <f>$C326*BW325</f>
        <v/>
      </c>
      <c r="BX326">
        <f>$C326*BX325</f>
        <v/>
      </c>
      <c r="BY326">
        <f>$C326*BY325</f>
        <v/>
      </c>
      <c r="BZ326">
        <f>$C326*BZ325</f>
        <v/>
      </c>
      <c r="CA326">
        <f>$C326*CA325</f>
        <v/>
      </c>
      <c r="CB326">
        <f>$C326*CB325</f>
        <v/>
      </c>
      <c r="CC326">
        <f>$C326*CC325</f>
        <v/>
      </c>
      <c r="CD326">
        <f>$C326*CD325</f>
        <v/>
      </c>
      <c r="CE326">
        <f>$C326*CE325</f>
        <v/>
      </c>
      <c r="CF326">
        <f>$C326*CF325</f>
        <v/>
      </c>
      <c r="CG326">
        <f>$C326*CG325</f>
        <v/>
      </c>
      <c r="CH326">
        <f>$C326*CH325</f>
        <v/>
      </c>
      <c r="CI326">
        <f>$C326*CI325</f>
        <v/>
      </c>
      <c r="CJ326">
        <f>$C326*CJ325</f>
        <v/>
      </c>
      <c r="CK326">
        <f>$C326*CK325</f>
        <v/>
      </c>
      <c r="CL326">
        <f>$C326*CL325</f>
        <v/>
      </c>
      <c r="CM326">
        <f>$C326*CM325</f>
        <v/>
      </c>
      <c r="CN326">
        <f>$C326*CN325</f>
        <v/>
      </c>
      <c r="CO326">
        <f>$C326*CO325</f>
        <v/>
      </c>
      <c r="CP326">
        <f>$C326*CP325</f>
        <v/>
      </c>
      <c r="CQ326">
        <f>$C326*CQ325</f>
        <v/>
      </c>
      <c r="CR326">
        <f>$C326*CR325</f>
        <v/>
      </c>
      <c r="CS326">
        <f>$C326*CS325</f>
        <v/>
      </c>
      <c r="CT326">
        <f>$C326*CT325</f>
        <v/>
      </c>
      <c r="CU326">
        <f>$C326*CU325</f>
        <v/>
      </c>
      <c r="CV326">
        <f>$C326*CV325</f>
        <v/>
      </c>
      <c r="CW326">
        <f>$C326*CW325</f>
        <v/>
      </c>
      <c r="CX326">
        <f>$C326*CX325</f>
        <v/>
      </c>
      <c r="CY326">
        <f>$C326*CY325</f>
        <v/>
      </c>
      <c r="CZ326">
        <f>$C326*CZ325</f>
        <v/>
      </c>
      <c r="DA326">
        <f>$C326*DA325</f>
        <v/>
      </c>
      <c r="DB326">
        <f>$C326*DB325</f>
        <v/>
      </c>
      <c r="DC326">
        <f>$C326*DC325</f>
        <v/>
      </c>
    </row>
    <row r="327">
      <c r="B327" t="inlineStr">
        <is>
          <t>TSP-668</t>
        </is>
      </c>
      <c r="C327" t="inlineStr">
        <is>
          <t>No. of batches</t>
        </is>
      </c>
      <c r="D327">
        <f>IFERROR(INDEX(PP_Grid[#Data],$DD327,2),0)</f>
        <v/>
      </c>
      <c r="E327">
        <f>IFERROR(INDEX(PP_Grid[#Data],$DD327,3),0)</f>
        <v/>
      </c>
      <c r="F327">
        <f>IFERROR(INDEX(PP_Grid[#Data],$DD327,4),0)</f>
        <v/>
      </c>
      <c r="G327">
        <f>IFERROR(INDEX(PP_Grid[#Data],$DD327,5),0)</f>
        <v/>
      </c>
      <c r="H327">
        <f>IFERROR(INDEX(PP_Grid[#Data],$DD327,6),0)</f>
        <v/>
      </c>
      <c r="I327">
        <f>IFERROR(INDEX(PP_Grid[#Data],$DD327,7),0)</f>
        <v/>
      </c>
      <c r="J327">
        <f>IFERROR(INDEX(PP_Grid[#Data],$DD327,8),0)</f>
        <v/>
      </c>
      <c r="K327">
        <f>IFERROR(INDEX(PP_Grid[#Data],$DD327,9),0)</f>
        <v/>
      </c>
      <c r="L327">
        <f>IFERROR(INDEX(PP_Grid[#Data],$DD327,10),0)</f>
        <v/>
      </c>
      <c r="M327">
        <f>IFERROR(INDEX(PP_Grid[#Data],$DD327,11),0)</f>
        <v/>
      </c>
      <c r="N327">
        <f>IFERROR(INDEX(PP_Grid[#Data],$DD327,12),0)</f>
        <v/>
      </c>
      <c r="O327">
        <f>IFERROR(INDEX(PP_Grid[#Data],$DD327,13),0)</f>
        <v/>
      </c>
      <c r="P327">
        <f>IFERROR(INDEX(PP_Grid[#Data],$DD327,14),0)</f>
        <v/>
      </c>
      <c r="Q327">
        <f>IFERROR(INDEX(PP_Grid[#Data],$DD327,15),0)</f>
        <v/>
      </c>
      <c r="R327">
        <f>IFERROR(INDEX(PP_Grid[#Data],$DD327,16),0)</f>
        <v/>
      </c>
      <c r="S327">
        <f>IFERROR(INDEX(PP_Grid[#Data],$DD327,17),0)</f>
        <v/>
      </c>
      <c r="T327">
        <f>IFERROR(INDEX(PP_Grid[#Data],$DD327,18),0)</f>
        <v/>
      </c>
      <c r="U327">
        <f>IFERROR(INDEX(PP_Grid[#Data],$DD327,19),0)</f>
        <v/>
      </c>
      <c r="V327">
        <f>IFERROR(INDEX(PP_Grid[#Data],$DD327,20),0)</f>
        <v/>
      </c>
      <c r="W327">
        <f>IFERROR(INDEX(PP_Grid[#Data],$DD327,21),0)</f>
        <v/>
      </c>
      <c r="X327">
        <f>IFERROR(INDEX(PP_Grid[#Data],$DD327,22),0)</f>
        <v/>
      </c>
      <c r="Y327">
        <f>IFERROR(INDEX(PP_Grid[#Data],$DD327,23),0)</f>
        <v/>
      </c>
      <c r="Z327">
        <f>IFERROR(INDEX(PP_Grid[#Data],$DD327,24),0)</f>
        <v/>
      </c>
      <c r="AA327">
        <f>IFERROR(INDEX(PP_Grid[#Data],$DD327,25),0)</f>
        <v/>
      </c>
      <c r="AB327">
        <f>IFERROR(INDEX(PP_Grid[#Data],$DD327,26),0)</f>
        <v/>
      </c>
      <c r="AC327">
        <f>IFERROR(INDEX(PP_Grid[#Data],$DD327,27),0)</f>
        <v/>
      </c>
      <c r="AD327">
        <f>IFERROR(INDEX(PP_Grid[#Data],$DD327,28),0)</f>
        <v/>
      </c>
      <c r="AE327">
        <f>IFERROR(INDEX(PP_Grid[#Data],$DD327,29),0)</f>
        <v/>
      </c>
      <c r="AF327">
        <f>IFERROR(INDEX(PP_Grid[#Data],$DD327,30),0)</f>
        <v/>
      </c>
      <c r="AG327">
        <f>IFERROR(INDEX(PP_Grid[#Data],$DD327,31),0)</f>
        <v/>
      </c>
      <c r="AH327">
        <f>IFERROR(INDEX(PP_Grid[#Data],$DD327,32),0)</f>
        <v/>
      </c>
      <c r="AI327">
        <f>IFERROR(INDEX(PP_Grid[#Data],$DD327,33),0)</f>
        <v/>
      </c>
      <c r="AJ327">
        <f>IFERROR(INDEX(PP_Grid[#Data],$DD327,34),0)</f>
        <v/>
      </c>
      <c r="AK327">
        <f>IFERROR(INDEX(PP_Grid[#Data],$DD327,35),0)</f>
        <v/>
      </c>
      <c r="AL327">
        <f>IFERROR(INDEX(PP_Grid[#Data],$DD327,36),0)</f>
        <v/>
      </c>
      <c r="AM327">
        <f>IFERROR(INDEX(PP_Grid[#Data],$DD327,37),0)</f>
        <v/>
      </c>
      <c r="AN327">
        <f>IFERROR(INDEX(PP_Grid[#Data],$DD327,38),0)</f>
        <v/>
      </c>
      <c r="AO327">
        <f>IFERROR(INDEX(PP_Grid[#Data],$DD327,39),0)</f>
        <v/>
      </c>
      <c r="AP327">
        <f>IFERROR(INDEX(PP_Grid[#Data],$DD327,40),0)</f>
        <v/>
      </c>
      <c r="AQ327">
        <f>IFERROR(INDEX(PP_Grid[#Data],$DD327,41),0)</f>
        <v/>
      </c>
      <c r="AR327">
        <f>IFERROR(INDEX(PP_Grid[#Data],$DD327,42),0)</f>
        <v/>
      </c>
      <c r="AS327">
        <f>IFERROR(INDEX(PP_Grid[#Data],$DD327,43),0)</f>
        <v/>
      </c>
      <c r="AT327">
        <f>IFERROR(INDEX(PP_Grid[#Data],$DD327,44),0)</f>
        <v/>
      </c>
      <c r="AU327">
        <f>IFERROR(INDEX(PP_Grid[#Data],$DD327,45),0)</f>
        <v/>
      </c>
      <c r="AV327">
        <f>IFERROR(INDEX(PP_Grid[#Data],$DD327,46),0)</f>
        <v/>
      </c>
      <c r="AW327">
        <f>IFERROR(INDEX(PP_Grid[#Data],$DD327,47),0)</f>
        <v/>
      </c>
      <c r="AX327">
        <f>IFERROR(INDEX(PP_Grid[#Data],$DD327,48),0)</f>
        <v/>
      </c>
      <c r="AY327">
        <f>IFERROR(INDEX(PP_Grid[#Data],$DD327,49),0)</f>
        <v/>
      </c>
      <c r="AZ327">
        <f>IFERROR(INDEX(PP_Grid[#Data],$DD327,50),0)</f>
        <v/>
      </c>
      <c r="BA327">
        <f>IFERROR(INDEX(PP_Grid[#Data],$DD327,51),0)</f>
        <v/>
      </c>
      <c r="BB327">
        <f>IFERROR(INDEX(PP_Grid[#Data],$DD327,52),0)</f>
        <v/>
      </c>
      <c r="BC327">
        <f>IFERROR(INDEX(PP_Grid[#Data],$DD327,53),0)</f>
        <v/>
      </c>
      <c r="BD327">
        <f>IFERROR(INDEX(PP_Grid[#Data],$DD327,54),0)</f>
        <v/>
      </c>
      <c r="BE327">
        <f>IFERROR(INDEX(PP_Grid[#Data],$DD327,55),0)</f>
        <v/>
      </c>
      <c r="BF327">
        <f>IFERROR(INDEX(PP_Grid[#Data],$DD327,56),0)</f>
        <v/>
      </c>
      <c r="BG327">
        <f>IFERROR(INDEX(PP_Grid[#Data],$DD327,57),0)</f>
        <v/>
      </c>
      <c r="BH327">
        <f>IFERROR(INDEX(PP_Grid[#Data],$DD327,58),0)</f>
        <v/>
      </c>
      <c r="BI327">
        <f>IFERROR(INDEX(PP_Grid[#Data],$DD327,59),0)</f>
        <v/>
      </c>
      <c r="BJ327">
        <f>IFERROR(INDEX(PP_Grid[#Data],$DD327,60),0)</f>
        <v/>
      </c>
      <c r="BK327">
        <f>IFERROR(INDEX(PP_Grid[#Data],$DD327,61),0)</f>
        <v/>
      </c>
      <c r="BL327">
        <f>IFERROR(INDEX(PP_Grid[#Data],$DD327,62),0)</f>
        <v/>
      </c>
      <c r="BM327">
        <f>IFERROR(INDEX(PP_Grid[#Data],$DD327,63),0)</f>
        <v/>
      </c>
      <c r="BN327">
        <f>IFERROR(INDEX(PP_Grid[#Data],$DD327,64),0)</f>
        <v/>
      </c>
      <c r="BO327">
        <f>IFERROR(INDEX(PP_Grid[#Data],$DD327,65),0)</f>
        <v/>
      </c>
      <c r="BP327">
        <f>IFERROR(INDEX(PP_Grid[#Data],$DD327,66),0)</f>
        <v/>
      </c>
      <c r="BQ327">
        <f>IFERROR(INDEX(PP_Grid[#Data],$DD327,67),0)</f>
        <v/>
      </c>
      <c r="BR327">
        <f>IFERROR(INDEX(PP_Grid[#Data],$DD327,68),0)</f>
        <v/>
      </c>
      <c r="BS327">
        <f>IFERROR(INDEX(PP_Grid[#Data],$DD327,69),0)</f>
        <v/>
      </c>
      <c r="BT327">
        <f>IFERROR(INDEX(PP_Grid[#Data],$DD327,70),0)</f>
        <v/>
      </c>
      <c r="BU327">
        <f>IFERROR(INDEX(PP_Grid[#Data],$DD327,71),0)</f>
        <v/>
      </c>
      <c r="BV327">
        <f>IFERROR(INDEX(PP_Grid[#Data],$DD327,72),0)</f>
        <v/>
      </c>
      <c r="BW327">
        <f>IFERROR(INDEX(PP_Grid[#Data],$DD327,73),0)</f>
        <v/>
      </c>
      <c r="BX327">
        <f>IFERROR(INDEX(PP_Grid[#Data],$DD327,74),0)</f>
        <v/>
      </c>
      <c r="BY327">
        <f>IFERROR(INDEX(PP_Grid[#Data],$DD327,75),0)</f>
        <v/>
      </c>
      <c r="BZ327">
        <f>IFERROR(INDEX(PP_Grid[#Data],$DD327,76),0)</f>
        <v/>
      </c>
      <c r="CA327">
        <f>IFERROR(INDEX(PP_Grid[#Data],$DD327,77),0)</f>
        <v/>
      </c>
      <c r="CB327">
        <f>IFERROR(INDEX(PP_Grid[#Data],$DD327,78),0)</f>
        <v/>
      </c>
      <c r="CC327">
        <f>IFERROR(INDEX(PP_Grid[#Data],$DD327,79),0)</f>
        <v/>
      </c>
      <c r="CD327">
        <f>IFERROR(INDEX(PP_Grid[#Data],$DD327,80),0)</f>
        <v/>
      </c>
      <c r="CE327">
        <f>IFERROR(INDEX(PP_Grid[#Data],$DD327,81),0)</f>
        <v/>
      </c>
      <c r="CF327">
        <f>IFERROR(INDEX(PP_Grid[#Data],$DD327,82),0)</f>
        <v/>
      </c>
      <c r="CG327">
        <f>IFERROR(INDEX(PP_Grid[#Data],$DD327,83),0)</f>
        <v/>
      </c>
      <c r="CH327">
        <f>IFERROR(INDEX(PP_Grid[#Data],$DD327,84),0)</f>
        <v/>
      </c>
      <c r="CI327">
        <f>IFERROR(INDEX(PP_Grid[#Data],$DD327,85),0)</f>
        <v/>
      </c>
      <c r="CJ327">
        <f>IFERROR(INDEX(PP_Grid[#Data],$DD327,86),0)</f>
        <v/>
      </c>
      <c r="CK327">
        <f>IFERROR(INDEX(PP_Grid[#Data],$DD327,87),0)</f>
        <v/>
      </c>
      <c r="CL327">
        <f>IFERROR(INDEX(PP_Grid[#Data],$DD327,88),0)</f>
        <v/>
      </c>
      <c r="CM327">
        <f>IFERROR(INDEX(PP_Grid[#Data],$DD327,89),0)</f>
        <v/>
      </c>
      <c r="CN327">
        <f>IFERROR(INDEX(PP_Grid[#Data],$DD327,90),0)</f>
        <v/>
      </c>
      <c r="CO327">
        <f>IFERROR(INDEX(PP_Grid[#Data],$DD327,91),0)</f>
        <v/>
      </c>
      <c r="CP327">
        <f>IFERROR(INDEX(PP_Grid[#Data],$DD327,92),0)</f>
        <v/>
      </c>
      <c r="CQ327">
        <f>IFERROR(INDEX(PP_Grid[#Data],$DD327,93),0)</f>
        <v/>
      </c>
      <c r="CR327">
        <f>IFERROR(INDEX(PP_Grid[#Data],$DD327,94),0)</f>
        <v/>
      </c>
      <c r="CS327">
        <f>IFERROR(INDEX(PP_Grid[#Data],$DD327,95),0)</f>
        <v/>
      </c>
      <c r="CT327">
        <f>IFERROR(INDEX(PP_Grid[#Data],$DD327,96),0)</f>
        <v/>
      </c>
      <c r="CU327">
        <f>IFERROR(INDEX(PP_Grid[#Data],$DD327,97),0)</f>
        <v/>
      </c>
      <c r="CV327">
        <f>IFERROR(INDEX(PP_Grid[#Data],$DD327,98),0)</f>
        <v/>
      </c>
      <c r="CW327">
        <f>IFERROR(INDEX(PP_Grid[#Data],$DD327,99),0)</f>
        <v/>
      </c>
      <c r="CX327">
        <f>IFERROR(INDEX(PP_Grid[#Data],$DD327,100),0)</f>
        <v/>
      </c>
      <c r="CY327">
        <f>IFERROR(INDEX(PP_Grid[#Data],$DD327,101),0)</f>
        <v/>
      </c>
      <c r="CZ327">
        <f>IFERROR(INDEX(PP_Grid[#Data],$DD327,102),0)</f>
        <v/>
      </c>
      <c r="DA327">
        <f>IFERROR(INDEX(PP_Grid[#Data],$DD327,103),0)</f>
        <v/>
      </c>
      <c r="DB327">
        <f>IFERROR(INDEX(PP_Grid[#Data],$DD327,104),0)</f>
        <v/>
      </c>
      <c r="DC327">
        <f>IFERROR(INDEX(PP_Grid[#Data],$DD327,105),0)</f>
        <v/>
      </c>
      <c r="DD327" s="12">
        <f>IFERROR(MATCH($B327,PP_Grid[Intermediate],0),99999)</f>
        <v/>
      </c>
    </row>
    <row r="328">
      <c r="B328" t="inlineStr">
        <is>
          <t>使用量(kg)</t>
        </is>
      </c>
      <c r="C328">
        <f>SUMIFS(M_BOM[RM_Qty_Per_Batch],M_BOM[Intermediate],$B327,M_BOM[Part Name],$A312)</f>
        <v/>
      </c>
      <c r="D328">
        <f>$C328*D327</f>
        <v/>
      </c>
      <c r="E328">
        <f>$C328*E327</f>
        <v/>
      </c>
      <c r="F328">
        <f>$C328*F327</f>
        <v/>
      </c>
      <c r="G328">
        <f>$C328*G327</f>
        <v/>
      </c>
      <c r="H328">
        <f>$C328*H327</f>
        <v/>
      </c>
      <c r="I328">
        <f>$C328*I327</f>
        <v/>
      </c>
      <c r="J328">
        <f>$C328*J327</f>
        <v/>
      </c>
      <c r="K328">
        <f>$C328*K327</f>
        <v/>
      </c>
      <c r="L328">
        <f>$C328*L327</f>
        <v/>
      </c>
      <c r="M328">
        <f>$C328*M327</f>
        <v/>
      </c>
      <c r="N328">
        <f>$C328*N327</f>
        <v/>
      </c>
      <c r="O328">
        <f>$C328*O327</f>
        <v/>
      </c>
      <c r="P328">
        <f>$C328*P327</f>
        <v/>
      </c>
      <c r="Q328">
        <f>$C328*Q327</f>
        <v/>
      </c>
      <c r="R328">
        <f>$C328*R327</f>
        <v/>
      </c>
      <c r="S328">
        <f>$C328*S327</f>
        <v/>
      </c>
      <c r="T328">
        <f>$C328*T327</f>
        <v/>
      </c>
      <c r="U328">
        <f>$C328*U327</f>
        <v/>
      </c>
      <c r="V328">
        <f>$C328*V327</f>
        <v/>
      </c>
      <c r="W328">
        <f>$C328*W327</f>
        <v/>
      </c>
      <c r="X328">
        <f>$C328*X327</f>
        <v/>
      </c>
      <c r="Y328">
        <f>$C328*Y327</f>
        <v/>
      </c>
      <c r="Z328">
        <f>$C328*Z327</f>
        <v/>
      </c>
      <c r="AA328">
        <f>$C328*AA327</f>
        <v/>
      </c>
      <c r="AB328">
        <f>$C328*AB327</f>
        <v/>
      </c>
      <c r="AC328">
        <f>$C328*AC327</f>
        <v/>
      </c>
      <c r="AD328">
        <f>$C328*AD327</f>
        <v/>
      </c>
      <c r="AE328">
        <f>$C328*AE327</f>
        <v/>
      </c>
      <c r="AF328">
        <f>$C328*AF327</f>
        <v/>
      </c>
      <c r="AG328">
        <f>$C328*AG327</f>
        <v/>
      </c>
      <c r="AH328">
        <f>$C328*AH327</f>
        <v/>
      </c>
      <c r="AI328">
        <f>$C328*AI327</f>
        <v/>
      </c>
      <c r="AJ328">
        <f>$C328*AJ327</f>
        <v/>
      </c>
      <c r="AK328">
        <f>$C328*AK327</f>
        <v/>
      </c>
      <c r="AL328">
        <f>$C328*AL327</f>
        <v/>
      </c>
      <c r="AM328">
        <f>$C328*AM327</f>
        <v/>
      </c>
      <c r="AN328">
        <f>$C328*AN327</f>
        <v/>
      </c>
      <c r="AO328">
        <f>$C328*AO327</f>
        <v/>
      </c>
      <c r="AP328">
        <f>$C328*AP327</f>
        <v/>
      </c>
      <c r="AQ328">
        <f>$C328*AQ327</f>
        <v/>
      </c>
      <c r="AR328">
        <f>$C328*AR327</f>
        <v/>
      </c>
      <c r="AS328">
        <f>$C328*AS327</f>
        <v/>
      </c>
      <c r="AT328">
        <f>$C328*AT327</f>
        <v/>
      </c>
      <c r="AU328">
        <f>$C328*AU327</f>
        <v/>
      </c>
      <c r="AV328">
        <f>$C328*AV327</f>
        <v/>
      </c>
      <c r="AW328">
        <f>$C328*AW327</f>
        <v/>
      </c>
      <c r="AX328">
        <f>$C328*AX327</f>
        <v/>
      </c>
      <c r="AY328">
        <f>$C328*AY327</f>
        <v/>
      </c>
      <c r="AZ328">
        <f>$C328*AZ327</f>
        <v/>
      </c>
      <c r="BA328">
        <f>$C328*BA327</f>
        <v/>
      </c>
      <c r="BB328">
        <f>$C328*BB327</f>
        <v/>
      </c>
      <c r="BC328">
        <f>$C328*BC327</f>
        <v/>
      </c>
      <c r="BD328">
        <f>$C328*BD327</f>
        <v/>
      </c>
      <c r="BE328">
        <f>$C328*BE327</f>
        <v/>
      </c>
      <c r="BF328">
        <f>$C328*BF327</f>
        <v/>
      </c>
      <c r="BG328">
        <f>$C328*BG327</f>
        <v/>
      </c>
      <c r="BH328">
        <f>$C328*BH327</f>
        <v/>
      </c>
      <c r="BI328">
        <f>$C328*BI327</f>
        <v/>
      </c>
      <c r="BJ328">
        <f>$C328*BJ327</f>
        <v/>
      </c>
      <c r="BK328">
        <f>$C328*BK327</f>
        <v/>
      </c>
      <c r="BL328">
        <f>$C328*BL327</f>
        <v/>
      </c>
      <c r="BM328">
        <f>$C328*BM327</f>
        <v/>
      </c>
      <c r="BN328">
        <f>$C328*BN327</f>
        <v/>
      </c>
      <c r="BO328">
        <f>$C328*BO327</f>
        <v/>
      </c>
      <c r="BP328">
        <f>$C328*BP327</f>
        <v/>
      </c>
      <c r="BQ328">
        <f>$C328*BQ327</f>
        <v/>
      </c>
      <c r="BR328">
        <f>$C328*BR327</f>
        <v/>
      </c>
      <c r="BS328">
        <f>$C328*BS327</f>
        <v/>
      </c>
      <c r="BT328">
        <f>$C328*BT327</f>
        <v/>
      </c>
      <c r="BU328">
        <f>$C328*BU327</f>
        <v/>
      </c>
      <c r="BV328">
        <f>$C328*BV327</f>
        <v/>
      </c>
      <c r="BW328">
        <f>$C328*BW327</f>
        <v/>
      </c>
      <c r="BX328">
        <f>$C328*BX327</f>
        <v/>
      </c>
      <c r="BY328">
        <f>$C328*BY327</f>
        <v/>
      </c>
      <c r="BZ328">
        <f>$C328*BZ327</f>
        <v/>
      </c>
      <c r="CA328">
        <f>$C328*CA327</f>
        <v/>
      </c>
      <c r="CB328">
        <f>$C328*CB327</f>
        <v/>
      </c>
      <c r="CC328">
        <f>$C328*CC327</f>
        <v/>
      </c>
      <c r="CD328">
        <f>$C328*CD327</f>
        <v/>
      </c>
      <c r="CE328">
        <f>$C328*CE327</f>
        <v/>
      </c>
      <c r="CF328">
        <f>$C328*CF327</f>
        <v/>
      </c>
      <c r="CG328">
        <f>$C328*CG327</f>
        <v/>
      </c>
      <c r="CH328">
        <f>$C328*CH327</f>
        <v/>
      </c>
      <c r="CI328">
        <f>$C328*CI327</f>
        <v/>
      </c>
      <c r="CJ328">
        <f>$C328*CJ327</f>
        <v/>
      </c>
      <c r="CK328">
        <f>$C328*CK327</f>
        <v/>
      </c>
      <c r="CL328">
        <f>$C328*CL327</f>
        <v/>
      </c>
      <c r="CM328">
        <f>$C328*CM327</f>
        <v/>
      </c>
      <c r="CN328">
        <f>$C328*CN327</f>
        <v/>
      </c>
      <c r="CO328">
        <f>$C328*CO327</f>
        <v/>
      </c>
      <c r="CP328">
        <f>$C328*CP327</f>
        <v/>
      </c>
      <c r="CQ328">
        <f>$C328*CQ327</f>
        <v/>
      </c>
      <c r="CR328">
        <f>$C328*CR327</f>
        <v/>
      </c>
      <c r="CS328">
        <f>$C328*CS327</f>
        <v/>
      </c>
      <c r="CT328">
        <f>$C328*CT327</f>
        <v/>
      </c>
      <c r="CU328">
        <f>$C328*CU327</f>
        <v/>
      </c>
      <c r="CV328">
        <f>$C328*CV327</f>
        <v/>
      </c>
      <c r="CW328">
        <f>$C328*CW327</f>
        <v/>
      </c>
      <c r="CX328">
        <f>$C328*CX327</f>
        <v/>
      </c>
      <c r="CY328">
        <f>$C328*CY327</f>
        <v/>
      </c>
      <c r="CZ328">
        <f>$C328*CZ327</f>
        <v/>
      </c>
      <c r="DA328">
        <f>$C328*DA327</f>
        <v/>
      </c>
      <c r="DB328">
        <f>$C328*DB327</f>
        <v/>
      </c>
      <c r="DC328">
        <f>$C328*DC327</f>
        <v/>
      </c>
    </row>
    <row r="329">
      <c r="B329" t="inlineStr">
        <is>
          <t>TSP-669</t>
        </is>
      </c>
      <c r="C329" t="inlineStr">
        <is>
          <t>No. of batches</t>
        </is>
      </c>
      <c r="D329">
        <f>IFERROR(INDEX(PP_Grid[#Data],$DD329,2),0)</f>
        <v/>
      </c>
      <c r="E329">
        <f>IFERROR(INDEX(PP_Grid[#Data],$DD329,3),0)</f>
        <v/>
      </c>
      <c r="F329">
        <f>IFERROR(INDEX(PP_Grid[#Data],$DD329,4),0)</f>
        <v/>
      </c>
      <c r="G329">
        <f>IFERROR(INDEX(PP_Grid[#Data],$DD329,5),0)</f>
        <v/>
      </c>
      <c r="H329">
        <f>IFERROR(INDEX(PP_Grid[#Data],$DD329,6),0)</f>
        <v/>
      </c>
      <c r="I329">
        <f>IFERROR(INDEX(PP_Grid[#Data],$DD329,7),0)</f>
        <v/>
      </c>
      <c r="J329">
        <f>IFERROR(INDEX(PP_Grid[#Data],$DD329,8),0)</f>
        <v/>
      </c>
      <c r="K329">
        <f>IFERROR(INDEX(PP_Grid[#Data],$DD329,9),0)</f>
        <v/>
      </c>
      <c r="L329">
        <f>IFERROR(INDEX(PP_Grid[#Data],$DD329,10),0)</f>
        <v/>
      </c>
      <c r="M329">
        <f>IFERROR(INDEX(PP_Grid[#Data],$DD329,11),0)</f>
        <v/>
      </c>
      <c r="N329">
        <f>IFERROR(INDEX(PP_Grid[#Data],$DD329,12),0)</f>
        <v/>
      </c>
      <c r="O329">
        <f>IFERROR(INDEX(PP_Grid[#Data],$DD329,13),0)</f>
        <v/>
      </c>
      <c r="P329">
        <f>IFERROR(INDEX(PP_Grid[#Data],$DD329,14),0)</f>
        <v/>
      </c>
      <c r="Q329">
        <f>IFERROR(INDEX(PP_Grid[#Data],$DD329,15),0)</f>
        <v/>
      </c>
      <c r="R329">
        <f>IFERROR(INDEX(PP_Grid[#Data],$DD329,16),0)</f>
        <v/>
      </c>
      <c r="S329">
        <f>IFERROR(INDEX(PP_Grid[#Data],$DD329,17),0)</f>
        <v/>
      </c>
      <c r="T329">
        <f>IFERROR(INDEX(PP_Grid[#Data],$DD329,18),0)</f>
        <v/>
      </c>
      <c r="U329">
        <f>IFERROR(INDEX(PP_Grid[#Data],$DD329,19),0)</f>
        <v/>
      </c>
      <c r="V329">
        <f>IFERROR(INDEX(PP_Grid[#Data],$DD329,20),0)</f>
        <v/>
      </c>
      <c r="W329">
        <f>IFERROR(INDEX(PP_Grid[#Data],$DD329,21),0)</f>
        <v/>
      </c>
      <c r="X329">
        <f>IFERROR(INDEX(PP_Grid[#Data],$DD329,22),0)</f>
        <v/>
      </c>
      <c r="Y329">
        <f>IFERROR(INDEX(PP_Grid[#Data],$DD329,23),0)</f>
        <v/>
      </c>
      <c r="Z329">
        <f>IFERROR(INDEX(PP_Grid[#Data],$DD329,24),0)</f>
        <v/>
      </c>
      <c r="AA329">
        <f>IFERROR(INDEX(PP_Grid[#Data],$DD329,25),0)</f>
        <v/>
      </c>
      <c r="AB329">
        <f>IFERROR(INDEX(PP_Grid[#Data],$DD329,26),0)</f>
        <v/>
      </c>
      <c r="AC329">
        <f>IFERROR(INDEX(PP_Grid[#Data],$DD329,27),0)</f>
        <v/>
      </c>
      <c r="AD329">
        <f>IFERROR(INDEX(PP_Grid[#Data],$DD329,28),0)</f>
        <v/>
      </c>
      <c r="AE329">
        <f>IFERROR(INDEX(PP_Grid[#Data],$DD329,29),0)</f>
        <v/>
      </c>
      <c r="AF329">
        <f>IFERROR(INDEX(PP_Grid[#Data],$DD329,30),0)</f>
        <v/>
      </c>
      <c r="AG329">
        <f>IFERROR(INDEX(PP_Grid[#Data],$DD329,31),0)</f>
        <v/>
      </c>
      <c r="AH329">
        <f>IFERROR(INDEX(PP_Grid[#Data],$DD329,32),0)</f>
        <v/>
      </c>
      <c r="AI329">
        <f>IFERROR(INDEX(PP_Grid[#Data],$DD329,33),0)</f>
        <v/>
      </c>
      <c r="AJ329">
        <f>IFERROR(INDEX(PP_Grid[#Data],$DD329,34),0)</f>
        <v/>
      </c>
      <c r="AK329">
        <f>IFERROR(INDEX(PP_Grid[#Data],$DD329,35),0)</f>
        <v/>
      </c>
      <c r="AL329">
        <f>IFERROR(INDEX(PP_Grid[#Data],$DD329,36),0)</f>
        <v/>
      </c>
      <c r="AM329">
        <f>IFERROR(INDEX(PP_Grid[#Data],$DD329,37),0)</f>
        <v/>
      </c>
      <c r="AN329">
        <f>IFERROR(INDEX(PP_Grid[#Data],$DD329,38),0)</f>
        <v/>
      </c>
      <c r="AO329">
        <f>IFERROR(INDEX(PP_Grid[#Data],$DD329,39),0)</f>
        <v/>
      </c>
      <c r="AP329">
        <f>IFERROR(INDEX(PP_Grid[#Data],$DD329,40),0)</f>
        <v/>
      </c>
      <c r="AQ329">
        <f>IFERROR(INDEX(PP_Grid[#Data],$DD329,41),0)</f>
        <v/>
      </c>
      <c r="AR329">
        <f>IFERROR(INDEX(PP_Grid[#Data],$DD329,42),0)</f>
        <v/>
      </c>
      <c r="AS329">
        <f>IFERROR(INDEX(PP_Grid[#Data],$DD329,43),0)</f>
        <v/>
      </c>
      <c r="AT329">
        <f>IFERROR(INDEX(PP_Grid[#Data],$DD329,44),0)</f>
        <v/>
      </c>
      <c r="AU329">
        <f>IFERROR(INDEX(PP_Grid[#Data],$DD329,45),0)</f>
        <v/>
      </c>
      <c r="AV329">
        <f>IFERROR(INDEX(PP_Grid[#Data],$DD329,46),0)</f>
        <v/>
      </c>
      <c r="AW329">
        <f>IFERROR(INDEX(PP_Grid[#Data],$DD329,47),0)</f>
        <v/>
      </c>
      <c r="AX329">
        <f>IFERROR(INDEX(PP_Grid[#Data],$DD329,48),0)</f>
        <v/>
      </c>
      <c r="AY329">
        <f>IFERROR(INDEX(PP_Grid[#Data],$DD329,49),0)</f>
        <v/>
      </c>
      <c r="AZ329">
        <f>IFERROR(INDEX(PP_Grid[#Data],$DD329,50),0)</f>
        <v/>
      </c>
      <c r="BA329">
        <f>IFERROR(INDEX(PP_Grid[#Data],$DD329,51),0)</f>
        <v/>
      </c>
      <c r="BB329">
        <f>IFERROR(INDEX(PP_Grid[#Data],$DD329,52),0)</f>
        <v/>
      </c>
      <c r="BC329">
        <f>IFERROR(INDEX(PP_Grid[#Data],$DD329,53),0)</f>
        <v/>
      </c>
      <c r="BD329">
        <f>IFERROR(INDEX(PP_Grid[#Data],$DD329,54),0)</f>
        <v/>
      </c>
      <c r="BE329">
        <f>IFERROR(INDEX(PP_Grid[#Data],$DD329,55),0)</f>
        <v/>
      </c>
      <c r="BF329">
        <f>IFERROR(INDEX(PP_Grid[#Data],$DD329,56),0)</f>
        <v/>
      </c>
      <c r="BG329">
        <f>IFERROR(INDEX(PP_Grid[#Data],$DD329,57),0)</f>
        <v/>
      </c>
      <c r="BH329">
        <f>IFERROR(INDEX(PP_Grid[#Data],$DD329,58),0)</f>
        <v/>
      </c>
      <c r="BI329">
        <f>IFERROR(INDEX(PP_Grid[#Data],$DD329,59),0)</f>
        <v/>
      </c>
      <c r="BJ329">
        <f>IFERROR(INDEX(PP_Grid[#Data],$DD329,60),0)</f>
        <v/>
      </c>
      <c r="BK329">
        <f>IFERROR(INDEX(PP_Grid[#Data],$DD329,61),0)</f>
        <v/>
      </c>
      <c r="BL329">
        <f>IFERROR(INDEX(PP_Grid[#Data],$DD329,62),0)</f>
        <v/>
      </c>
      <c r="BM329">
        <f>IFERROR(INDEX(PP_Grid[#Data],$DD329,63),0)</f>
        <v/>
      </c>
      <c r="BN329">
        <f>IFERROR(INDEX(PP_Grid[#Data],$DD329,64),0)</f>
        <v/>
      </c>
      <c r="BO329">
        <f>IFERROR(INDEX(PP_Grid[#Data],$DD329,65),0)</f>
        <v/>
      </c>
      <c r="BP329">
        <f>IFERROR(INDEX(PP_Grid[#Data],$DD329,66),0)</f>
        <v/>
      </c>
      <c r="BQ329">
        <f>IFERROR(INDEX(PP_Grid[#Data],$DD329,67),0)</f>
        <v/>
      </c>
      <c r="BR329">
        <f>IFERROR(INDEX(PP_Grid[#Data],$DD329,68),0)</f>
        <v/>
      </c>
      <c r="BS329">
        <f>IFERROR(INDEX(PP_Grid[#Data],$DD329,69),0)</f>
        <v/>
      </c>
      <c r="BT329">
        <f>IFERROR(INDEX(PP_Grid[#Data],$DD329,70),0)</f>
        <v/>
      </c>
      <c r="BU329">
        <f>IFERROR(INDEX(PP_Grid[#Data],$DD329,71),0)</f>
        <v/>
      </c>
      <c r="BV329">
        <f>IFERROR(INDEX(PP_Grid[#Data],$DD329,72),0)</f>
        <v/>
      </c>
      <c r="BW329">
        <f>IFERROR(INDEX(PP_Grid[#Data],$DD329,73),0)</f>
        <v/>
      </c>
      <c r="BX329">
        <f>IFERROR(INDEX(PP_Grid[#Data],$DD329,74),0)</f>
        <v/>
      </c>
      <c r="BY329">
        <f>IFERROR(INDEX(PP_Grid[#Data],$DD329,75),0)</f>
        <v/>
      </c>
      <c r="BZ329">
        <f>IFERROR(INDEX(PP_Grid[#Data],$DD329,76),0)</f>
        <v/>
      </c>
      <c r="CA329">
        <f>IFERROR(INDEX(PP_Grid[#Data],$DD329,77),0)</f>
        <v/>
      </c>
      <c r="CB329">
        <f>IFERROR(INDEX(PP_Grid[#Data],$DD329,78),0)</f>
        <v/>
      </c>
      <c r="CC329">
        <f>IFERROR(INDEX(PP_Grid[#Data],$DD329,79),0)</f>
        <v/>
      </c>
      <c r="CD329">
        <f>IFERROR(INDEX(PP_Grid[#Data],$DD329,80),0)</f>
        <v/>
      </c>
      <c r="CE329">
        <f>IFERROR(INDEX(PP_Grid[#Data],$DD329,81),0)</f>
        <v/>
      </c>
      <c r="CF329">
        <f>IFERROR(INDEX(PP_Grid[#Data],$DD329,82),0)</f>
        <v/>
      </c>
      <c r="CG329">
        <f>IFERROR(INDEX(PP_Grid[#Data],$DD329,83),0)</f>
        <v/>
      </c>
      <c r="CH329">
        <f>IFERROR(INDEX(PP_Grid[#Data],$DD329,84),0)</f>
        <v/>
      </c>
      <c r="CI329">
        <f>IFERROR(INDEX(PP_Grid[#Data],$DD329,85),0)</f>
        <v/>
      </c>
      <c r="CJ329">
        <f>IFERROR(INDEX(PP_Grid[#Data],$DD329,86),0)</f>
        <v/>
      </c>
      <c r="CK329">
        <f>IFERROR(INDEX(PP_Grid[#Data],$DD329,87),0)</f>
        <v/>
      </c>
      <c r="CL329">
        <f>IFERROR(INDEX(PP_Grid[#Data],$DD329,88),0)</f>
        <v/>
      </c>
      <c r="CM329">
        <f>IFERROR(INDEX(PP_Grid[#Data],$DD329,89),0)</f>
        <v/>
      </c>
      <c r="CN329">
        <f>IFERROR(INDEX(PP_Grid[#Data],$DD329,90),0)</f>
        <v/>
      </c>
      <c r="CO329">
        <f>IFERROR(INDEX(PP_Grid[#Data],$DD329,91),0)</f>
        <v/>
      </c>
      <c r="CP329">
        <f>IFERROR(INDEX(PP_Grid[#Data],$DD329,92),0)</f>
        <v/>
      </c>
      <c r="CQ329">
        <f>IFERROR(INDEX(PP_Grid[#Data],$DD329,93),0)</f>
        <v/>
      </c>
      <c r="CR329">
        <f>IFERROR(INDEX(PP_Grid[#Data],$DD329,94),0)</f>
        <v/>
      </c>
      <c r="CS329">
        <f>IFERROR(INDEX(PP_Grid[#Data],$DD329,95),0)</f>
        <v/>
      </c>
      <c r="CT329">
        <f>IFERROR(INDEX(PP_Grid[#Data],$DD329,96),0)</f>
        <v/>
      </c>
      <c r="CU329">
        <f>IFERROR(INDEX(PP_Grid[#Data],$DD329,97),0)</f>
        <v/>
      </c>
      <c r="CV329">
        <f>IFERROR(INDEX(PP_Grid[#Data],$DD329,98),0)</f>
        <v/>
      </c>
      <c r="CW329">
        <f>IFERROR(INDEX(PP_Grid[#Data],$DD329,99),0)</f>
        <v/>
      </c>
      <c r="CX329">
        <f>IFERROR(INDEX(PP_Grid[#Data],$DD329,100),0)</f>
        <v/>
      </c>
      <c r="CY329">
        <f>IFERROR(INDEX(PP_Grid[#Data],$DD329,101),0)</f>
        <v/>
      </c>
      <c r="CZ329">
        <f>IFERROR(INDEX(PP_Grid[#Data],$DD329,102),0)</f>
        <v/>
      </c>
      <c r="DA329">
        <f>IFERROR(INDEX(PP_Grid[#Data],$DD329,103),0)</f>
        <v/>
      </c>
      <c r="DB329">
        <f>IFERROR(INDEX(PP_Grid[#Data],$DD329,104),0)</f>
        <v/>
      </c>
      <c r="DC329">
        <f>IFERROR(INDEX(PP_Grid[#Data],$DD329,105),0)</f>
        <v/>
      </c>
      <c r="DD329" s="12">
        <f>IFERROR(MATCH($B329,PP_Grid[Intermediate],0),99999)</f>
        <v/>
      </c>
    </row>
    <row r="330">
      <c r="B330" t="inlineStr">
        <is>
          <t>使用量(kg)</t>
        </is>
      </c>
      <c r="C330">
        <f>SUMIFS(M_BOM[RM_Qty_Per_Batch],M_BOM[Intermediate],$B329,M_BOM[Part Name],$A312)</f>
        <v/>
      </c>
      <c r="D330">
        <f>$C330*D329</f>
        <v/>
      </c>
      <c r="E330">
        <f>$C330*E329</f>
        <v/>
      </c>
      <c r="F330">
        <f>$C330*F329</f>
        <v/>
      </c>
      <c r="G330">
        <f>$C330*G329</f>
        <v/>
      </c>
      <c r="H330">
        <f>$C330*H329</f>
        <v/>
      </c>
      <c r="I330">
        <f>$C330*I329</f>
        <v/>
      </c>
      <c r="J330">
        <f>$C330*J329</f>
        <v/>
      </c>
      <c r="K330">
        <f>$C330*K329</f>
        <v/>
      </c>
      <c r="L330">
        <f>$C330*L329</f>
        <v/>
      </c>
      <c r="M330">
        <f>$C330*M329</f>
        <v/>
      </c>
      <c r="N330">
        <f>$C330*N329</f>
        <v/>
      </c>
      <c r="O330">
        <f>$C330*O329</f>
        <v/>
      </c>
      <c r="P330">
        <f>$C330*P329</f>
        <v/>
      </c>
      <c r="Q330">
        <f>$C330*Q329</f>
        <v/>
      </c>
      <c r="R330">
        <f>$C330*R329</f>
        <v/>
      </c>
      <c r="S330">
        <f>$C330*S329</f>
        <v/>
      </c>
      <c r="T330">
        <f>$C330*T329</f>
        <v/>
      </c>
      <c r="U330">
        <f>$C330*U329</f>
        <v/>
      </c>
      <c r="V330">
        <f>$C330*V329</f>
        <v/>
      </c>
      <c r="W330">
        <f>$C330*W329</f>
        <v/>
      </c>
      <c r="X330">
        <f>$C330*X329</f>
        <v/>
      </c>
      <c r="Y330">
        <f>$C330*Y329</f>
        <v/>
      </c>
      <c r="Z330">
        <f>$C330*Z329</f>
        <v/>
      </c>
      <c r="AA330">
        <f>$C330*AA329</f>
        <v/>
      </c>
      <c r="AB330">
        <f>$C330*AB329</f>
        <v/>
      </c>
      <c r="AC330">
        <f>$C330*AC329</f>
        <v/>
      </c>
      <c r="AD330">
        <f>$C330*AD329</f>
        <v/>
      </c>
      <c r="AE330">
        <f>$C330*AE329</f>
        <v/>
      </c>
      <c r="AF330">
        <f>$C330*AF329</f>
        <v/>
      </c>
      <c r="AG330">
        <f>$C330*AG329</f>
        <v/>
      </c>
      <c r="AH330">
        <f>$C330*AH329</f>
        <v/>
      </c>
      <c r="AI330">
        <f>$C330*AI329</f>
        <v/>
      </c>
      <c r="AJ330">
        <f>$C330*AJ329</f>
        <v/>
      </c>
      <c r="AK330">
        <f>$C330*AK329</f>
        <v/>
      </c>
      <c r="AL330">
        <f>$C330*AL329</f>
        <v/>
      </c>
      <c r="AM330">
        <f>$C330*AM329</f>
        <v/>
      </c>
      <c r="AN330">
        <f>$C330*AN329</f>
        <v/>
      </c>
      <c r="AO330">
        <f>$C330*AO329</f>
        <v/>
      </c>
      <c r="AP330">
        <f>$C330*AP329</f>
        <v/>
      </c>
      <c r="AQ330">
        <f>$C330*AQ329</f>
        <v/>
      </c>
      <c r="AR330">
        <f>$C330*AR329</f>
        <v/>
      </c>
      <c r="AS330">
        <f>$C330*AS329</f>
        <v/>
      </c>
      <c r="AT330">
        <f>$C330*AT329</f>
        <v/>
      </c>
      <c r="AU330">
        <f>$C330*AU329</f>
        <v/>
      </c>
      <c r="AV330">
        <f>$C330*AV329</f>
        <v/>
      </c>
      <c r="AW330">
        <f>$C330*AW329</f>
        <v/>
      </c>
      <c r="AX330">
        <f>$C330*AX329</f>
        <v/>
      </c>
      <c r="AY330">
        <f>$C330*AY329</f>
        <v/>
      </c>
      <c r="AZ330">
        <f>$C330*AZ329</f>
        <v/>
      </c>
      <c r="BA330">
        <f>$C330*BA329</f>
        <v/>
      </c>
      <c r="BB330">
        <f>$C330*BB329</f>
        <v/>
      </c>
      <c r="BC330">
        <f>$C330*BC329</f>
        <v/>
      </c>
      <c r="BD330">
        <f>$C330*BD329</f>
        <v/>
      </c>
      <c r="BE330">
        <f>$C330*BE329</f>
        <v/>
      </c>
      <c r="BF330">
        <f>$C330*BF329</f>
        <v/>
      </c>
      <c r="BG330">
        <f>$C330*BG329</f>
        <v/>
      </c>
      <c r="BH330">
        <f>$C330*BH329</f>
        <v/>
      </c>
      <c r="BI330">
        <f>$C330*BI329</f>
        <v/>
      </c>
      <c r="BJ330">
        <f>$C330*BJ329</f>
        <v/>
      </c>
      <c r="BK330">
        <f>$C330*BK329</f>
        <v/>
      </c>
      <c r="BL330">
        <f>$C330*BL329</f>
        <v/>
      </c>
      <c r="BM330">
        <f>$C330*BM329</f>
        <v/>
      </c>
      <c r="BN330">
        <f>$C330*BN329</f>
        <v/>
      </c>
      <c r="BO330">
        <f>$C330*BO329</f>
        <v/>
      </c>
      <c r="BP330">
        <f>$C330*BP329</f>
        <v/>
      </c>
      <c r="BQ330">
        <f>$C330*BQ329</f>
        <v/>
      </c>
      <c r="BR330">
        <f>$C330*BR329</f>
        <v/>
      </c>
      <c r="BS330">
        <f>$C330*BS329</f>
        <v/>
      </c>
      <c r="BT330">
        <f>$C330*BT329</f>
        <v/>
      </c>
      <c r="BU330">
        <f>$C330*BU329</f>
        <v/>
      </c>
      <c r="BV330">
        <f>$C330*BV329</f>
        <v/>
      </c>
      <c r="BW330">
        <f>$C330*BW329</f>
        <v/>
      </c>
      <c r="BX330">
        <f>$C330*BX329</f>
        <v/>
      </c>
      <c r="BY330">
        <f>$C330*BY329</f>
        <v/>
      </c>
      <c r="BZ330">
        <f>$C330*BZ329</f>
        <v/>
      </c>
      <c r="CA330">
        <f>$C330*CA329</f>
        <v/>
      </c>
      <c r="CB330">
        <f>$C330*CB329</f>
        <v/>
      </c>
      <c r="CC330">
        <f>$C330*CC329</f>
        <v/>
      </c>
      <c r="CD330">
        <f>$C330*CD329</f>
        <v/>
      </c>
      <c r="CE330">
        <f>$C330*CE329</f>
        <v/>
      </c>
      <c r="CF330">
        <f>$C330*CF329</f>
        <v/>
      </c>
      <c r="CG330">
        <f>$C330*CG329</f>
        <v/>
      </c>
      <c r="CH330">
        <f>$C330*CH329</f>
        <v/>
      </c>
      <c r="CI330">
        <f>$C330*CI329</f>
        <v/>
      </c>
      <c r="CJ330">
        <f>$C330*CJ329</f>
        <v/>
      </c>
      <c r="CK330">
        <f>$C330*CK329</f>
        <v/>
      </c>
      <c r="CL330">
        <f>$C330*CL329</f>
        <v/>
      </c>
      <c r="CM330">
        <f>$C330*CM329</f>
        <v/>
      </c>
      <c r="CN330">
        <f>$C330*CN329</f>
        <v/>
      </c>
      <c r="CO330">
        <f>$C330*CO329</f>
        <v/>
      </c>
      <c r="CP330">
        <f>$C330*CP329</f>
        <v/>
      </c>
      <c r="CQ330">
        <f>$C330*CQ329</f>
        <v/>
      </c>
      <c r="CR330">
        <f>$C330*CR329</f>
        <v/>
      </c>
      <c r="CS330">
        <f>$C330*CS329</f>
        <v/>
      </c>
      <c r="CT330">
        <f>$C330*CT329</f>
        <v/>
      </c>
      <c r="CU330">
        <f>$C330*CU329</f>
        <v/>
      </c>
      <c r="CV330">
        <f>$C330*CV329</f>
        <v/>
      </c>
      <c r="CW330">
        <f>$C330*CW329</f>
        <v/>
      </c>
      <c r="CX330">
        <f>$C330*CX329</f>
        <v/>
      </c>
      <c r="CY330">
        <f>$C330*CY329</f>
        <v/>
      </c>
      <c r="CZ330">
        <f>$C330*CZ329</f>
        <v/>
      </c>
      <c r="DA330">
        <f>$C330*DA329</f>
        <v/>
      </c>
      <c r="DB330">
        <f>$C330*DB329</f>
        <v/>
      </c>
      <c r="DC330">
        <f>$C330*DC329</f>
        <v/>
      </c>
    </row>
    <row r="331">
      <c r="B331" t="inlineStr">
        <is>
          <t>TSP-670</t>
        </is>
      </c>
      <c r="C331" t="inlineStr">
        <is>
          <t>No. of batches</t>
        </is>
      </c>
      <c r="D331">
        <f>IFERROR(INDEX(PP_Grid[#Data],$DD331,2),0)</f>
        <v/>
      </c>
      <c r="E331">
        <f>IFERROR(INDEX(PP_Grid[#Data],$DD331,3),0)</f>
        <v/>
      </c>
      <c r="F331">
        <f>IFERROR(INDEX(PP_Grid[#Data],$DD331,4),0)</f>
        <v/>
      </c>
      <c r="G331">
        <f>IFERROR(INDEX(PP_Grid[#Data],$DD331,5),0)</f>
        <v/>
      </c>
      <c r="H331">
        <f>IFERROR(INDEX(PP_Grid[#Data],$DD331,6),0)</f>
        <v/>
      </c>
      <c r="I331">
        <f>IFERROR(INDEX(PP_Grid[#Data],$DD331,7),0)</f>
        <v/>
      </c>
      <c r="J331">
        <f>IFERROR(INDEX(PP_Grid[#Data],$DD331,8),0)</f>
        <v/>
      </c>
      <c r="K331">
        <f>IFERROR(INDEX(PP_Grid[#Data],$DD331,9),0)</f>
        <v/>
      </c>
      <c r="L331">
        <f>IFERROR(INDEX(PP_Grid[#Data],$DD331,10),0)</f>
        <v/>
      </c>
      <c r="M331">
        <f>IFERROR(INDEX(PP_Grid[#Data],$DD331,11),0)</f>
        <v/>
      </c>
      <c r="N331">
        <f>IFERROR(INDEX(PP_Grid[#Data],$DD331,12),0)</f>
        <v/>
      </c>
      <c r="O331">
        <f>IFERROR(INDEX(PP_Grid[#Data],$DD331,13),0)</f>
        <v/>
      </c>
      <c r="P331">
        <f>IFERROR(INDEX(PP_Grid[#Data],$DD331,14),0)</f>
        <v/>
      </c>
      <c r="Q331">
        <f>IFERROR(INDEX(PP_Grid[#Data],$DD331,15),0)</f>
        <v/>
      </c>
      <c r="R331">
        <f>IFERROR(INDEX(PP_Grid[#Data],$DD331,16),0)</f>
        <v/>
      </c>
      <c r="S331">
        <f>IFERROR(INDEX(PP_Grid[#Data],$DD331,17),0)</f>
        <v/>
      </c>
      <c r="T331">
        <f>IFERROR(INDEX(PP_Grid[#Data],$DD331,18),0)</f>
        <v/>
      </c>
      <c r="U331">
        <f>IFERROR(INDEX(PP_Grid[#Data],$DD331,19),0)</f>
        <v/>
      </c>
      <c r="V331">
        <f>IFERROR(INDEX(PP_Grid[#Data],$DD331,20),0)</f>
        <v/>
      </c>
      <c r="W331">
        <f>IFERROR(INDEX(PP_Grid[#Data],$DD331,21),0)</f>
        <v/>
      </c>
      <c r="X331">
        <f>IFERROR(INDEX(PP_Grid[#Data],$DD331,22),0)</f>
        <v/>
      </c>
      <c r="Y331">
        <f>IFERROR(INDEX(PP_Grid[#Data],$DD331,23),0)</f>
        <v/>
      </c>
      <c r="Z331">
        <f>IFERROR(INDEX(PP_Grid[#Data],$DD331,24),0)</f>
        <v/>
      </c>
      <c r="AA331">
        <f>IFERROR(INDEX(PP_Grid[#Data],$DD331,25),0)</f>
        <v/>
      </c>
      <c r="AB331">
        <f>IFERROR(INDEX(PP_Grid[#Data],$DD331,26),0)</f>
        <v/>
      </c>
      <c r="AC331">
        <f>IFERROR(INDEX(PP_Grid[#Data],$DD331,27),0)</f>
        <v/>
      </c>
      <c r="AD331">
        <f>IFERROR(INDEX(PP_Grid[#Data],$DD331,28),0)</f>
        <v/>
      </c>
      <c r="AE331">
        <f>IFERROR(INDEX(PP_Grid[#Data],$DD331,29),0)</f>
        <v/>
      </c>
      <c r="AF331">
        <f>IFERROR(INDEX(PP_Grid[#Data],$DD331,30),0)</f>
        <v/>
      </c>
      <c r="AG331">
        <f>IFERROR(INDEX(PP_Grid[#Data],$DD331,31),0)</f>
        <v/>
      </c>
      <c r="AH331">
        <f>IFERROR(INDEX(PP_Grid[#Data],$DD331,32),0)</f>
        <v/>
      </c>
      <c r="AI331">
        <f>IFERROR(INDEX(PP_Grid[#Data],$DD331,33),0)</f>
        <v/>
      </c>
      <c r="AJ331">
        <f>IFERROR(INDEX(PP_Grid[#Data],$DD331,34),0)</f>
        <v/>
      </c>
      <c r="AK331">
        <f>IFERROR(INDEX(PP_Grid[#Data],$DD331,35),0)</f>
        <v/>
      </c>
      <c r="AL331">
        <f>IFERROR(INDEX(PP_Grid[#Data],$DD331,36),0)</f>
        <v/>
      </c>
      <c r="AM331">
        <f>IFERROR(INDEX(PP_Grid[#Data],$DD331,37),0)</f>
        <v/>
      </c>
      <c r="AN331">
        <f>IFERROR(INDEX(PP_Grid[#Data],$DD331,38),0)</f>
        <v/>
      </c>
      <c r="AO331">
        <f>IFERROR(INDEX(PP_Grid[#Data],$DD331,39),0)</f>
        <v/>
      </c>
      <c r="AP331">
        <f>IFERROR(INDEX(PP_Grid[#Data],$DD331,40),0)</f>
        <v/>
      </c>
      <c r="AQ331">
        <f>IFERROR(INDEX(PP_Grid[#Data],$DD331,41),0)</f>
        <v/>
      </c>
      <c r="AR331">
        <f>IFERROR(INDEX(PP_Grid[#Data],$DD331,42),0)</f>
        <v/>
      </c>
      <c r="AS331">
        <f>IFERROR(INDEX(PP_Grid[#Data],$DD331,43),0)</f>
        <v/>
      </c>
      <c r="AT331">
        <f>IFERROR(INDEX(PP_Grid[#Data],$DD331,44),0)</f>
        <v/>
      </c>
      <c r="AU331">
        <f>IFERROR(INDEX(PP_Grid[#Data],$DD331,45),0)</f>
        <v/>
      </c>
      <c r="AV331">
        <f>IFERROR(INDEX(PP_Grid[#Data],$DD331,46),0)</f>
        <v/>
      </c>
      <c r="AW331">
        <f>IFERROR(INDEX(PP_Grid[#Data],$DD331,47),0)</f>
        <v/>
      </c>
      <c r="AX331">
        <f>IFERROR(INDEX(PP_Grid[#Data],$DD331,48),0)</f>
        <v/>
      </c>
      <c r="AY331">
        <f>IFERROR(INDEX(PP_Grid[#Data],$DD331,49),0)</f>
        <v/>
      </c>
      <c r="AZ331">
        <f>IFERROR(INDEX(PP_Grid[#Data],$DD331,50),0)</f>
        <v/>
      </c>
      <c r="BA331">
        <f>IFERROR(INDEX(PP_Grid[#Data],$DD331,51),0)</f>
        <v/>
      </c>
      <c r="BB331">
        <f>IFERROR(INDEX(PP_Grid[#Data],$DD331,52),0)</f>
        <v/>
      </c>
      <c r="BC331">
        <f>IFERROR(INDEX(PP_Grid[#Data],$DD331,53),0)</f>
        <v/>
      </c>
      <c r="BD331">
        <f>IFERROR(INDEX(PP_Grid[#Data],$DD331,54),0)</f>
        <v/>
      </c>
      <c r="BE331">
        <f>IFERROR(INDEX(PP_Grid[#Data],$DD331,55),0)</f>
        <v/>
      </c>
      <c r="BF331">
        <f>IFERROR(INDEX(PP_Grid[#Data],$DD331,56),0)</f>
        <v/>
      </c>
      <c r="BG331">
        <f>IFERROR(INDEX(PP_Grid[#Data],$DD331,57),0)</f>
        <v/>
      </c>
      <c r="BH331">
        <f>IFERROR(INDEX(PP_Grid[#Data],$DD331,58),0)</f>
        <v/>
      </c>
      <c r="BI331">
        <f>IFERROR(INDEX(PP_Grid[#Data],$DD331,59),0)</f>
        <v/>
      </c>
      <c r="BJ331">
        <f>IFERROR(INDEX(PP_Grid[#Data],$DD331,60),0)</f>
        <v/>
      </c>
      <c r="BK331">
        <f>IFERROR(INDEX(PP_Grid[#Data],$DD331,61),0)</f>
        <v/>
      </c>
      <c r="BL331">
        <f>IFERROR(INDEX(PP_Grid[#Data],$DD331,62),0)</f>
        <v/>
      </c>
      <c r="BM331">
        <f>IFERROR(INDEX(PP_Grid[#Data],$DD331,63),0)</f>
        <v/>
      </c>
      <c r="BN331">
        <f>IFERROR(INDEX(PP_Grid[#Data],$DD331,64),0)</f>
        <v/>
      </c>
      <c r="BO331">
        <f>IFERROR(INDEX(PP_Grid[#Data],$DD331,65),0)</f>
        <v/>
      </c>
      <c r="BP331">
        <f>IFERROR(INDEX(PP_Grid[#Data],$DD331,66),0)</f>
        <v/>
      </c>
      <c r="BQ331">
        <f>IFERROR(INDEX(PP_Grid[#Data],$DD331,67),0)</f>
        <v/>
      </c>
      <c r="BR331">
        <f>IFERROR(INDEX(PP_Grid[#Data],$DD331,68),0)</f>
        <v/>
      </c>
      <c r="BS331">
        <f>IFERROR(INDEX(PP_Grid[#Data],$DD331,69),0)</f>
        <v/>
      </c>
      <c r="BT331">
        <f>IFERROR(INDEX(PP_Grid[#Data],$DD331,70),0)</f>
        <v/>
      </c>
      <c r="BU331">
        <f>IFERROR(INDEX(PP_Grid[#Data],$DD331,71),0)</f>
        <v/>
      </c>
      <c r="BV331">
        <f>IFERROR(INDEX(PP_Grid[#Data],$DD331,72),0)</f>
        <v/>
      </c>
      <c r="BW331">
        <f>IFERROR(INDEX(PP_Grid[#Data],$DD331,73),0)</f>
        <v/>
      </c>
      <c r="BX331">
        <f>IFERROR(INDEX(PP_Grid[#Data],$DD331,74),0)</f>
        <v/>
      </c>
      <c r="BY331">
        <f>IFERROR(INDEX(PP_Grid[#Data],$DD331,75),0)</f>
        <v/>
      </c>
      <c r="BZ331">
        <f>IFERROR(INDEX(PP_Grid[#Data],$DD331,76),0)</f>
        <v/>
      </c>
      <c r="CA331">
        <f>IFERROR(INDEX(PP_Grid[#Data],$DD331,77),0)</f>
        <v/>
      </c>
      <c r="CB331">
        <f>IFERROR(INDEX(PP_Grid[#Data],$DD331,78),0)</f>
        <v/>
      </c>
      <c r="CC331">
        <f>IFERROR(INDEX(PP_Grid[#Data],$DD331,79),0)</f>
        <v/>
      </c>
      <c r="CD331">
        <f>IFERROR(INDEX(PP_Grid[#Data],$DD331,80),0)</f>
        <v/>
      </c>
      <c r="CE331">
        <f>IFERROR(INDEX(PP_Grid[#Data],$DD331,81),0)</f>
        <v/>
      </c>
      <c r="CF331">
        <f>IFERROR(INDEX(PP_Grid[#Data],$DD331,82),0)</f>
        <v/>
      </c>
      <c r="CG331">
        <f>IFERROR(INDEX(PP_Grid[#Data],$DD331,83),0)</f>
        <v/>
      </c>
      <c r="CH331">
        <f>IFERROR(INDEX(PP_Grid[#Data],$DD331,84),0)</f>
        <v/>
      </c>
      <c r="CI331">
        <f>IFERROR(INDEX(PP_Grid[#Data],$DD331,85),0)</f>
        <v/>
      </c>
      <c r="CJ331">
        <f>IFERROR(INDEX(PP_Grid[#Data],$DD331,86),0)</f>
        <v/>
      </c>
      <c r="CK331">
        <f>IFERROR(INDEX(PP_Grid[#Data],$DD331,87),0)</f>
        <v/>
      </c>
      <c r="CL331">
        <f>IFERROR(INDEX(PP_Grid[#Data],$DD331,88),0)</f>
        <v/>
      </c>
      <c r="CM331">
        <f>IFERROR(INDEX(PP_Grid[#Data],$DD331,89),0)</f>
        <v/>
      </c>
      <c r="CN331">
        <f>IFERROR(INDEX(PP_Grid[#Data],$DD331,90),0)</f>
        <v/>
      </c>
      <c r="CO331">
        <f>IFERROR(INDEX(PP_Grid[#Data],$DD331,91),0)</f>
        <v/>
      </c>
      <c r="CP331">
        <f>IFERROR(INDEX(PP_Grid[#Data],$DD331,92),0)</f>
        <v/>
      </c>
      <c r="CQ331">
        <f>IFERROR(INDEX(PP_Grid[#Data],$DD331,93),0)</f>
        <v/>
      </c>
      <c r="CR331">
        <f>IFERROR(INDEX(PP_Grid[#Data],$DD331,94),0)</f>
        <v/>
      </c>
      <c r="CS331">
        <f>IFERROR(INDEX(PP_Grid[#Data],$DD331,95),0)</f>
        <v/>
      </c>
      <c r="CT331">
        <f>IFERROR(INDEX(PP_Grid[#Data],$DD331,96),0)</f>
        <v/>
      </c>
      <c r="CU331">
        <f>IFERROR(INDEX(PP_Grid[#Data],$DD331,97),0)</f>
        <v/>
      </c>
      <c r="CV331">
        <f>IFERROR(INDEX(PP_Grid[#Data],$DD331,98),0)</f>
        <v/>
      </c>
      <c r="CW331">
        <f>IFERROR(INDEX(PP_Grid[#Data],$DD331,99),0)</f>
        <v/>
      </c>
      <c r="CX331">
        <f>IFERROR(INDEX(PP_Grid[#Data],$DD331,100),0)</f>
        <v/>
      </c>
      <c r="CY331">
        <f>IFERROR(INDEX(PP_Grid[#Data],$DD331,101),0)</f>
        <v/>
      </c>
      <c r="CZ331">
        <f>IFERROR(INDEX(PP_Grid[#Data],$DD331,102),0)</f>
        <v/>
      </c>
      <c r="DA331">
        <f>IFERROR(INDEX(PP_Grid[#Data],$DD331,103),0)</f>
        <v/>
      </c>
      <c r="DB331">
        <f>IFERROR(INDEX(PP_Grid[#Data],$DD331,104),0)</f>
        <v/>
      </c>
      <c r="DC331">
        <f>IFERROR(INDEX(PP_Grid[#Data],$DD331,105),0)</f>
        <v/>
      </c>
      <c r="DD331" s="12">
        <f>IFERROR(MATCH($B331,PP_Grid[Intermediate],0),99999)</f>
        <v/>
      </c>
    </row>
    <row r="332">
      <c r="B332" t="inlineStr">
        <is>
          <t>使用量(kg)</t>
        </is>
      </c>
      <c r="C332">
        <f>SUMIFS(M_BOM[RM_Qty_Per_Batch],M_BOM[Intermediate],$B331,M_BOM[Part Name],$A312)</f>
        <v/>
      </c>
      <c r="D332">
        <f>$C332*D331</f>
        <v/>
      </c>
      <c r="E332">
        <f>$C332*E331</f>
        <v/>
      </c>
      <c r="F332">
        <f>$C332*F331</f>
        <v/>
      </c>
      <c r="G332">
        <f>$C332*G331</f>
        <v/>
      </c>
      <c r="H332">
        <f>$C332*H331</f>
        <v/>
      </c>
      <c r="I332">
        <f>$C332*I331</f>
        <v/>
      </c>
      <c r="J332">
        <f>$C332*J331</f>
        <v/>
      </c>
      <c r="K332">
        <f>$C332*K331</f>
        <v/>
      </c>
      <c r="L332">
        <f>$C332*L331</f>
        <v/>
      </c>
      <c r="M332">
        <f>$C332*M331</f>
        <v/>
      </c>
      <c r="N332">
        <f>$C332*N331</f>
        <v/>
      </c>
      <c r="O332">
        <f>$C332*O331</f>
        <v/>
      </c>
      <c r="P332">
        <f>$C332*P331</f>
        <v/>
      </c>
      <c r="Q332">
        <f>$C332*Q331</f>
        <v/>
      </c>
      <c r="R332">
        <f>$C332*R331</f>
        <v/>
      </c>
      <c r="S332">
        <f>$C332*S331</f>
        <v/>
      </c>
      <c r="T332">
        <f>$C332*T331</f>
        <v/>
      </c>
      <c r="U332">
        <f>$C332*U331</f>
        <v/>
      </c>
      <c r="V332">
        <f>$C332*V331</f>
        <v/>
      </c>
      <c r="W332">
        <f>$C332*W331</f>
        <v/>
      </c>
      <c r="X332">
        <f>$C332*X331</f>
        <v/>
      </c>
      <c r="Y332">
        <f>$C332*Y331</f>
        <v/>
      </c>
      <c r="Z332">
        <f>$C332*Z331</f>
        <v/>
      </c>
      <c r="AA332">
        <f>$C332*AA331</f>
        <v/>
      </c>
      <c r="AB332">
        <f>$C332*AB331</f>
        <v/>
      </c>
      <c r="AC332">
        <f>$C332*AC331</f>
        <v/>
      </c>
      <c r="AD332">
        <f>$C332*AD331</f>
        <v/>
      </c>
      <c r="AE332">
        <f>$C332*AE331</f>
        <v/>
      </c>
      <c r="AF332">
        <f>$C332*AF331</f>
        <v/>
      </c>
      <c r="AG332">
        <f>$C332*AG331</f>
        <v/>
      </c>
      <c r="AH332">
        <f>$C332*AH331</f>
        <v/>
      </c>
      <c r="AI332">
        <f>$C332*AI331</f>
        <v/>
      </c>
      <c r="AJ332">
        <f>$C332*AJ331</f>
        <v/>
      </c>
      <c r="AK332">
        <f>$C332*AK331</f>
        <v/>
      </c>
      <c r="AL332">
        <f>$C332*AL331</f>
        <v/>
      </c>
      <c r="AM332">
        <f>$C332*AM331</f>
        <v/>
      </c>
      <c r="AN332">
        <f>$C332*AN331</f>
        <v/>
      </c>
      <c r="AO332">
        <f>$C332*AO331</f>
        <v/>
      </c>
      <c r="AP332">
        <f>$C332*AP331</f>
        <v/>
      </c>
      <c r="AQ332">
        <f>$C332*AQ331</f>
        <v/>
      </c>
      <c r="AR332">
        <f>$C332*AR331</f>
        <v/>
      </c>
      <c r="AS332">
        <f>$C332*AS331</f>
        <v/>
      </c>
      <c r="AT332">
        <f>$C332*AT331</f>
        <v/>
      </c>
      <c r="AU332">
        <f>$C332*AU331</f>
        <v/>
      </c>
      <c r="AV332">
        <f>$C332*AV331</f>
        <v/>
      </c>
      <c r="AW332">
        <f>$C332*AW331</f>
        <v/>
      </c>
      <c r="AX332">
        <f>$C332*AX331</f>
        <v/>
      </c>
      <c r="AY332">
        <f>$C332*AY331</f>
        <v/>
      </c>
      <c r="AZ332">
        <f>$C332*AZ331</f>
        <v/>
      </c>
      <c r="BA332">
        <f>$C332*BA331</f>
        <v/>
      </c>
      <c r="BB332">
        <f>$C332*BB331</f>
        <v/>
      </c>
      <c r="BC332">
        <f>$C332*BC331</f>
        <v/>
      </c>
      <c r="BD332">
        <f>$C332*BD331</f>
        <v/>
      </c>
      <c r="BE332">
        <f>$C332*BE331</f>
        <v/>
      </c>
      <c r="BF332">
        <f>$C332*BF331</f>
        <v/>
      </c>
      <c r="BG332">
        <f>$C332*BG331</f>
        <v/>
      </c>
      <c r="BH332">
        <f>$C332*BH331</f>
        <v/>
      </c>
      <c r="BI332">
        <f>$C332*BI331</f>
        <v/>
      </c>
      <c r="BJ332">
        <f>$C332*BJ331</f>
        <v/>
      </c>
      <c r="BK332">
        <f>$C332*BK331</f>
        <v/>
      </c>
      <c r="BL332">
        <f>$C332*BL331</f>
        <v/>
      </c>
      <c r="BM332">
        <f>$C332*BM331</f>
        <v/>
      </c>
      <c r="BN332">
        <f>$C332*BN331</f>
        <v/>
      </c>
      <c r="BO332">
        <f>$C332*BO331</f>
        <v/>
      </c>
      <c r="BP332">
        <f>$C332*BP331</f>
        <v/>
      </c>
      <c r="BQ332">
        <f>$C332*BQ331</f>
        <v/>
      </c>
      <c r="BR332">
        <f>$C332*BR331</f>
        <v/>
      </c>
      <c r="BS332">
        <f>$C332*BS331</f>
        <v/>
      </c>
      <c r="BT332">
        <f>$C332*BT331</f>
        <v/>
      </c>
      <c r="BU332">
        <f>$C332*BU331</f>
        <v/>
      </c>
      <c r="BV332">
        <f>$C332*BV331</f>
        <v/>
      </c>
      <c r="BW332">
        <f>$C332*BW331</f>
        <v/>
      </c>
      <c r="BX332">
        <f>$C332*BX331</f>
        <v/>
      </c>
      <c r="BY332">
        <f>$C332*BY331</f>
        <v/>
      </c>
      <c r="BZ332">
        <f>$C332*BZ331</f>
        <v/>
      </c>
      <c r="CA332">
        <f>$C332*CA331</f>
        <v/>
      </c>
      <c r="CB332">
        <f>$C332*CB331</f>
        <v/>
      </c>
      <c r="CC332">
        <f>$C332*CC331</f>
        <v/>
      </c>
      <c r="CD332">
        <f>$C332*CD331</f>
        <v/>
      </c>
      <c r="CE332">
        <f>$C332*CE331</f>
        <v/>
      </c>
      <c r="CF332">
        <f>$C332*CF331</f>
        <v/>
      </c>
      <c r="CG332">
        <f>$C332*CG331</f>
        <v/>
      </c>
      <c r="CH332">
        <f>$C332*CH331</f>
        <v/>
      </c>
      <c r="CI332">
        <f>$C332*CI331</f>
        <v/>
      </c>
      <c r="CJ332">
        <f>$C332*CJ331</f>
        <v/>
      </c>
      <c r="CK332">
        <f>$C332*CK331</f>
        <v/>
      </c>
      <c r="CL332">
        <f>$C332*CL331</f>
        <v/>
      </c>
      <c r="CM332">
        <f>$C332*CM331</f>
        <v/>
      </c>
      <c r="CN332">
        <f>$C332*CN331</f>
        <v/>
      </c>
      <c r="CO332">
        <f>$C332*CO331</f>
        <v/>
      </c>
      <c r="CP332">
        <f>$C332*CP331</f>
        <v/>
      </c>
      <c r="CQ332">
        <f>$C332*CQ331</f>
        <v/>
      </c>
      <c r="CR332">
        <f>$C332*CR331</f>
        <v/>
      </c>
      <c r="CS332">
        <f>$C332*CS331</f>
        <v/>
      </c>
      <c r="CT332">
        <f>$C332*CT331</f>
        <v/>
      </c>
      <c r="CU332">
        <f>$C332*CU331</f>
        <v/>
      </c>
      <c r="CV332">
        <f>$C332*CV331</f>
        <v/>
      </c>
      <c r="CW332">
        <f>$C332*CW331</f>
        <v/>
      </c>
      <c r="CX332">
        <f>$C332*CX331</f>
        <v/>
      </c>
      <c r="CY332">
        <f>$C332*CY331</f>
        <v/>
      </c>
      <c r="CZ332">
        <f>$C332*CZ331</f>
        <v/>
      </c>
      <c r="DA332">
        <f>$C332*DA331</f>
        <v/>
      </c>
      <c r="DB332">
        <f>$C332*DB331</f>
        <v/>
      </c>
      <c r="DC332">
        <f>$C332*DC331</f>
        <v/>
      </c>
    </row>
    <row r="333">
      <c r="B333" t="inlineStr">
        <is>
          <t>TSP-966</t>
        </is>
      </c>
      <c r="C333" t="inlineStr">
        <is>
          <t>No. of batches</t>
        </is>
      </c>
      <c r="D333">
        <f>IFERROR(INDEX(PP_Grid[#Data],$DD333,2),0)</f>
        <v/>
      </c>
      <c r="E333">
        <f>IFERROR(INDEX(PP_Grid[#Data],$DD333,3),0)</f>
        <v/>
      </c>
      <c r="F333">
        <f>IFERROR(INDEX(PP_Grid[#Data],$DD333,4),0)</f>
        <v/>
      </c>
      <c r="G333">
        <f>IFERROR(INDEX(PP_Grid[#Data],$DD333,5),0)</f>
        <v/>
      </c>
      <c r="H333">
        <f>IFERROR(INDEX(PP_Grid[#Data],$DD333,6),0)</f>
        <v/>
      </c>
      <c r="I333">
        <f>IFERROR(INDEX(PP_Grid[#Data],$DD333,7),0)</f>
        <v/>
      </c>
      <c r="J333">
        <f>IFERROR(INDEX(PP_Grid[#Data],$DD333,8),0)</f>
        <v/>
      </c>
      <c r="K333">
        <f>IFERROR(INDEX(PP_Grid[#Data],$DD333,9),0)</f>
        <v/>
      </c>
      <c r="L333">
        <f>IFERROR(INDEX(PP_Grid[#Data],$DD333,10),0)</f>
        <v/>
      </c>
      <c r="M333">
        <f>IFERROR(INDEX(PP_Grid[#Data],$DD333,11),0)</f>
        <v/>
      </c>
      <c r="N333">
        <f>IFERROR(INDEX(PP_Grid[#Data],$DD333,12),0)</f>
        <v/>
      </c>
      <c r="O333">
        <f>IFERROR(INDEX(PP_Grid[#Data],$DD333,13),0)</f>
        <v/>
      </c>
      <c r="P333">
        <f>IFERROR(INDEX(PP_Grid[#Data],$DD333,14),0)</f>
        <v/>
      </c>
      <c r="Q333">
        <f>IFERROR(INDEX(PP_Grid[#Data],$DD333,15),0)</f>
        <v/>
      </c>
      <c r="R333">
        <f>IFERROR(INDEX(PP_Grid[#Data],$DD333,16),0)</f>
        <v/>
      </c>
      <c r="S333">
        <f>IFERROR(INDEX(PP_Grid[#Data],$DD333,17),0)</f>
        <v/>
      </c>
      <c r="T333">
        <f>IFERROR(INDEX(PP_Grid[#Data],$DD333,18),0)</f>
        <v/>
      </c>
      <c r="U333">
        <f>IFERROR(INDEX(PP_Grid[#Data],$DD333,19),0)</f>
        <v/>
      </c>
      <c r="V333">
        <f>IFERROR(INDEX(PP_Grid[#Data],$DD333,20),0)</f>
        <v/>
      </c>
      <c r="W333">
        <f>IFERROR(INDEX(PP_Grid[#Data],$DD333,21),0)</f>
        <v/>
      </c>
      <c r="X333">
        <f>IFERROR(INDEX(PP_Grid[#Data],$DD333,22),0)</f>
        <v/>
      </c>
      <c r="Y333">
        <f>IFERROR(INDEX(PP_Grid[#Data],$DD333,23),0)</f>
        <v/>
      </c>
      <c r="Z333">
        <f>IFERROR(INDEX(PP_Grid[#Data],$DD333,24),0)</f>
        <v/>
      </c>
      <c r="AA333">
        <f>IFERROR(INDEX(PP_Grid[#Data],$DD333,25),0)</f>
        <v/>
      </c>
      <c r="AB333">
        <f>IFERROR(INDEX(PP_Grid[#Data],$DD333,26),0)</f>
        <v/>
      </c>
      <c r="AC333">
        <f>IFERROR(INDEX(PP_Grid[#Data],$DD333,27),0)</f>
        <v/>
      </c>
      <c r="AD333">
        <f>IFERROR(INDEX(PP_Grid[#Data],$DD333,28),0)</f>
        <v/>
      </c>
      <c r="AE333">
        <f>IFERROR(INDEX(PP_Grid[#Data],$DD333,29),0)</f>
        <v/>
      </c>
      <c r="AF333">
        <f>IFERROR(INDEX(PP_Grid[#Data],$DD333,30),0)</f>
        <v/>
      </c>
      <c r="AG333">
        <f>IFERROR(INDEX(PP_Grid[#Data],$DD333,31),0)</f>
        <v/>
      </c>
      <c r="AH333">
        <f>IFERROR(INDEX(PP_Grid[#Data],$DD333,32),0)</f>
        <v/>
      </c>
      <c r="AI333">
        <f>IFERROR(INDEX(PP_Grid[#Data],$DD333,33),0)</f>
        <v/>
      </c>
      <c r="AJ333">
        <f>IFERROR(INDEX(PP_Grid[#Data],$DD333,34),0)</f>
        <v/>
      </c>
      <c r="AK333">
        <f>IFERROR(INDEX(PP_Grid[#Data],$DD333,35),0)</f>
        <v/>
      </c>
      <c r="AL333">
        <f>IFERROR(INDEX(PP_Grid[#Data],$DD333,36),0)</f>
        <v/>
      </c>
      <c r="AM333">
        <f>IFERROR(INDEX(PP_Grid[#Data],$DD333,37),0)</f>
        <v/>
      </c>
      <c r="AN333">
        <f>IFERROR(INDEX(PP_Grid[#Data],$DD333,38),0)</f>
        <v/>
      </c>
      <c r="AO333">
        <f>IFERROR(INDEX(PP_Grid[#Data],$DD333,39),0)</f>
        <v/>
      </c>
      <c r="AP333">
        <f>IFERROR(INDEX(PP_Grid[#Data],$DD333,40),0)</f>
        <v/>
      </c>
      <c r="AQ333">
        <f>IFERROR(INDEX(PP_Grid[#Data],$DD333,41),0)</f>
        <v/>
      </c>
      <c r="AR333">
        <f>IFERROR(INDEX(PP_Grid[#Data],$DD333,42),0)</f>
        <v/>
      </c>
      <c r="AS333">
        <f>IFERROR(INDEX(PP_Grid[#Data],$DD333,43),0)</f>
        <v/>
      </c>
      <c r="AT333">
        <f>IFERROR(INDEX(PP_Grid[#Data],$DD333,44),0)</f>
        <v/>
      </c>
      <c r="AU333">
        <f>IFERROR(INDEX(PP_Grid[#Data],$DD333,45),0)</f>
        <v/>
      </c>
      <c r="AV333">
        <f>IFERROR(INDEX(PP_Grid[#Data],$DD333,46),0)</f>
        <v/>
      </c>
      <c r="AW333">
        <f>IFERROR(INDEX(PP_Grid[#Data],$DD333,47),0)</f>
        <v/>
      </c>
      <c r="AX333">
        <f>IFERROR(INDEX(PP_Grid[#Data],$DD333,48),0)</f>
        <v/>
      </c>
      <c r="AY333">
        <f>IFERROR(INDEX(PP_Grid[#Data],$DD333,49),0)</f>
        <v/>
      </c>
      <c r="AZ333">
        <f>IFERROR(INDEX(PP_Grid[#Data],$DD333,50),0)</f>
        <v/>
      </c>
      <c r="BA333">
        <f>IFERROR(INDEX(PP_Grid[#Data],$DD333,51),0)</f>
        <v/>
      </c>
      <c r="BB333">
        <f>IFERROR(INDEX(PP_Grid[#Data],$DD333,52),0)</f>
        <v/>
      </c>
      <c r="BC333">
        <f>IFERROR(INDEX(PP_Grid[#Data],$DD333,53),0)</f>
        <v/>
      </c>
      <c r="BD333">
        <f>IFERROR(INDEX(PP_Grid[#Data],$DD333,54),0)</f>
        <v/>
      </c>
      <c r="BE333">
        <f>IFERROR(INDEX(PP_Grid[#Data],$DD333,55),0)</f>
        <v/>
      </c>
      <c r="BF333">
        <f>IFERROR(INDEX(PP_Grid[#Data],$DD333,56),0)</f>
        <v/>
      </c>
      <c r="BG333">
        <f>IFERROR(INDEX(PP_Grid[#Data],$DD333,57),0)</f>
        <v/>
      </c>
      <c r="BH333">
        <f>IFERROR(INDEX(PP_Grid[#Data],$DD333,58),0)</f>
        <v/>
      </c>
      <c r="BI333">
        <f>IFERROR(INDEX(PP_Grid[#Data],$DD333,59),0)</f>
        <v/>
      </c>
      <c r="BJ333">
        <f>IFERROR(INDEX(PP_Grid[#Data],$DD333,60),0)</f>
        <v/>
      </c>
      <c r="BK333">
        <f>IFERROR(INDEX(PP_Grid[#Data],$DD333,61),0)</f>
        <v/>
      </c>
      <c r="BL333">
        <f>IFERROR(INDEX(PP_Grid[#Data],$DD333,62),0)</f>
        <v/>
      </c>
      <c r="BM333">
        <f>IFERROR(INDEX(PP_Grid[#Data],$DD333,63),0)</f>
        <v/>
      </c>
      <c r="BN333">
        <f>IFERROR(INDEX(PP_Grid[#Data],$DD333,64),0)</f>
        <v/>
      </c>
      <c r="BO333">
        <f>IFERROR(INDEX(PP_Grid[#Data],$DD333,65),0)</f>
        <v/>
      </c>
      <c r="BP333">
        <f>IFERROR(INDEX(PP_Grid[#Data],$DD333,66),0)</f>
        <v/>
      </c>
      <c r="BQ333">
        <f>IFERROR(INDEX(PP_Grid[#Data],$DD333,67),0)</f>
        <v/>
      </c>
      <c r="BR333">
        <f>IFERROR(INDEX(PP_Grid[#Data],$DD333,68),0)</f>
        <v/>
      </c>
      <c r="BS333">
        <f>IFERROR(INDEX(PP_Grid[#Data],$DD333,69),0)</f>
        <v/>
      </c>
      <c r="BT333">
        <f>IFERROR(INDEX(PP_Grid[#Data],$DD333,70),0)</f>
        <v/>
      </c>
      <c r="BU333">
        <f>IFERROR(INDEX(PP_Grid[#Data],$DD333,71),0)</f>
        <v/>
      </c>
      <c r="BV333">
        <f>IFERROR(INDEX(PP_Grid[#Data],$DD333,72),0)</f>
        <v/>
      </c>
      <c r="BW333">
        <f>IFERROR(INDEX(PP_Grid[#Data],$DD333,73),0)</f>
        <v/>
      </c>
      <c r="BX333">
        <f>IFERROR(INDEX(PP_Grid[#Data],$DD333,74),0)</f>
        <v/>
      </c>
      <c r="BY333">
        <f>IFERROR(INDEX(PP_Grid[#Data],$DD333,75),0)</f>
        <v/>
      </c>
      <c r="BZ333">
        <f>IFERROR(INDEX(PP_Grid[#Data],$DD333,76),0)</f>
        <v/>
      </c>
      <c r="CA333">
        <f>IFERROR(INDEX(PP_Grid[#Data],$DD333,77),0)</f>
        <v/>
      </c>
      <c r="CB333">
        <f>IFERROR(INDEX(PP_Grid[#Data],$DD333,78),0)</f>
        <v/>
      </c>
      <c r="CC333">
        <f>IFERROR(INDEX(PP_Grid[#Data],$DD333,79),0)</f>
        <v/>
      </c>
      <c r="CD333">
        <f>IFERROR(INDEX(PP_Grid[#Data],$DD333,80),0)</f>
        <v/>
      </c>
      <c r="CE333">
        <f>IFERROR(INDEX(PP_Grid[#Data],$DD333,81),0)</f>
        <v/>
      </c>
      <c r="CF333">
        <f>IFERROR(INDEX(PP_Grid[#Data],$DD333,82),0)</f>
        <v/>
      </c>
      <c r="CG333">
        <f>IFERROR(INDEX(PP_Grid[#Data],$DD333,83),0)</f>
        <v/>
      </c>
      <c r="CH333">
        <f>IFERROR(INDEX(PP_Grid[#Data],$DD333,84),0)</f>
        <v/>
      </c>
      <c r="CI333">
        <f>IFERROR(INDEX(PP_Grid[#Data],$DD333,85),0)</f>
        <v/>
      </c>
      <c r="CJ333">
        <f>IFERROR(INDEX(PP_Grid[#Data],$DD333,86),0)</f>
        <v/>
      </c>
      <c r="CK333">
        <f>IFERROR(INDEX(PP_Grid[#Data],$DD333,87),0)</f>
        <v/>
      </c>
      <c r="CL333">
        <f>IFERROR(INDEX(PP_Grid[#Data],$DD333,88),0)</f>
        <v/>
      </c>
      <c r="CM333">
        <f>IFERROR(INDEX(PP_Grid[#Data],$DD333,89),0)</f>
        <v/>
      </c>
      <c r="CN333">
        <f>IFERROR(INDEX(PP_Grid[#Data],$DD333,90),0)</f>
        <v/>
      </c>
      <c r="CO333">
        <f>IFERROR(INDEX(PP_Grid[#Data],$DD333,91),0)</f>
        <v/>
      </c>
      <c r="CP333">
        <f>IFERROR(INDEX(PP_Grid[#Data],$DD333,92),0)</f>
        <v/>
      </c>
      <c r="CQ333">
        <f>IFERROR(INDEX(PP_Grid[#Data],$DD333,93),0)</f>
        <v/>
      </c>
      <c r="CR333">
        <f>IFERROR(INDEX(PP_Grid[#Data],$DD333,94),0)</f>
        <v/>
      </c>
      <c r="CS333">
        <f>IFERROR(INDEX(PP_Grid[#Data],$DD333,95),0)</f>
        <v/>
      </c>
      <c r="CT333">
        <f>IFERROR(INDEX(PP_Grid[#Data],$DD333,96),0)</f>
        <v/>
      </c>
      <c r="CU333">
        <f>IFERROR(INDEX(PP_Grid[#Data],$DD333,97),0)</f>
        <v/>
      </c>
      <c r="CV333">
        <f>IFERROR(INDEX(PP_Grid[#Data],$DD333,98),0)</f>
        <v/>
      </c>
      <c r="CW333">
        <f>IFERROR(INDEX(PP_Grid[#Data],$DD333,99),0)</f>
        <v/>
      </c>
      <c r="CX333">
        <f>IFERROR(INDEX(PP_Grid[#Data],$DD333,100),0)</f>
        <v/>
      </c>
      <c r="CY333">
        <f>IFERROR(INDEX(PP_Grid[#Data],$DD333,101),0)</f>
        <v/>
      </c>
      <c r="CZ333">
        <f>IFERROR(INDEX(PP_Grid[#Data],$DD333,102),0)</f>
        <v/>
      </c>
      <c r="DA333">
        <f>IFERROR(INDEX(PP_Grid[#Data],$DD333,103),0)</f>
        <v/>
      </c>
      <c r="DB333">
        <f>IFERROR(INDEX(PP_Grid[#Data],$DD333,104),0)</f>
        <v/>
      </c>
      <c r="DC333">
        <f>IFERROR(INDEX(PP_Grid[#Data],$DD333,105),0)</f>
        <v/>
      </c>
      <c r="DD333" s="12">
        <f>IFERROR(MATCH($B333,PP_Grid[Intermediate],0),99999)</f>
        <v/>
      </c>
    </row>
    <row r="334">
      <c r="B334" t="inlineStr">
        <is>
          <t>使用量(kg)</t>
        </is>
      </c>
      <c r="C334">
        <f>SUMIFS(M_BOM[RM_Qty_Per_Batch],M_BOM[Intermediate],$B333,M_BOM[Part Name],$A312)</f>
        <v/>
      </c>
      <c r="D334">
        <f>$C334*D333</f>
        <v/>
      </c>
      <c r="E334">
        <f>$C334*E333</f>
        <v/>
      </c>
      <c r="F334">
        <f>$C334*F333</f>
        <v/>
      </c>
      <c r="G334">
        <f>$C334*G333</f>
        <v/>
      </c>
      <c r="H334">
        <f>$C334*H333</f>
        <v/>
      </c>
      <c r="I334">
        <f>$C334*I333</f>
        <v/>
      </c>
      <c r="J334">
        <f>$C334*J333</f>
        <v/>
      </c>
      <c r="K334">
        <f>$C334*K333</f>
        <v/>
      </c>
      <c r="L334">
        <f>$C334*L333</f>
        <v/>
      </c>
      <c r="M334">
        <f>$C334*M333</f>
        <v/>
      </c>
      <c r="N334">
        <f>$C334*N333</f>
        <v/>
      </c>
      <c r="O334">
        <f>$C334*O333</f>
        <v/>
      </c>
      <c r="P334">
        <f>$C334*P333</f>
        <v/>
      </c>
      <c r="Q334">
        <f>$C334*Q333</f>
        <v/>
      </c>
      <c r="R334">
        <f>$C334*R333</f>
        <v/>
      </c>
      <c r="S334">
        <f>$C334*S333</f>
        <v/>
      </c>
      <c r="T334">
        <f>$C334*T333</f>
        <v/>
      </c>
      <c r="U334">
        <f>$C334*U333</f>
        <v/>
      </c>
      <c r="V334">
        <f>$C334*V333</f>
        <v/>
      </c>
      <c r="W334">
        <f>$C334*W333</f>
        <v/>
      </c>
      <c r="X334">
        <f>$C334*X333</f>
        <v/>
      </c>
      <c r="Y334">
        <f>$C334*Y333</f>
        <v/>
      </c>
      <c r="Z334">
        <f>$C334*Z333</f>
        <v/>
      </c>
      <c r="AA334">
        <f>$C334*AA333</f>
        <v/>
      </c>
      <c r="AB334">
        <f>$C334*AB333</f>
        <v/>
      </c>
      <c r="AC334">
        <f>$C334*AC333</f>
        <v/>
      </c>
      <c r="AD334">
        <f>$C334*AD333</f>
        <v/>
      </c>
      <c r="AE334">
        <f>$C334*AE333</f>
        <v/>
      </c>
      <c r="AF334">
        <f>$C334*AF333</f>
        <v/>
      </c>
      <c r="AG334">
        <f>$C334*AG333</f>
        <v/>
      </c>
      <c r="AH334">
        <f>$C334*AH333</f>
        <v/>
      </c>
      <c r="AI334">
        <f>$C334*AI333</f>
        <v/>
      </c>
      <c r="AJ334">
        <f>$C334*AJ333</f>
        <v/>
      </c>
      <c r="AK334">
        <f>$C334*AK333</f>
        <v/>
      </c>
      <c r="AL334">
        <f>$C334*AL333</f>
        <v/>
      </c>
      <c r="AM334">
        <f>$C334*AM333</f>
        <v/>
      </c>
      <c r="AN334">
        <f>$C334*AN333</f>
        <v/>
      </c>
      <c r="AO334">
        <f>$C334*AO333</f>
        <v/>
      </c>
      <c r="AP334">
        <f>$C334*AP333</f>
        <v/>
      </c>
      <c r="AQ334">
        <f>$C334*AQ333</f>
        <v/>
      </c>
      <c r="AR334">
        <f>$C334*AR333</f>
        <v/>
      </c>
      <c r="AS334">
        <f>$C334*AS333</f>
        <v/>
      </c>
      <c r="AT334">
        <f>$C334*AT333</f>
        <v/>
      </c>
      <c r="AU334">
        <f>$C334*AU333</f>
        <v/>
      </c>
      <c r="AV334">
        <f>$C334*AV333</f>
        <v/>
      </c>
      <c r="AW334">
        <f>$C334*AW333</f>
        <v/>
      </c>
      <c r="AX334">
        <f>$C334*AX333</f>
        <v/>
      </c>
      <c r="AY334">
        <f>$C334*AY333</f>
        <v/>
      </c>
      <c r="AZ334">
        <f>$C334*AZ333</f>
        <v/>
      </c>
      <c r="BA334">
        <f>$C334*BA333</f>
        <v/>
      </c>
      <c r="BB334">
        <f>$C334*BB333</f>
        <v/>
      </c>
      <c r="BC334">
        <f>$C334*BC333</f>
        <v/>
      </c>
      <c r="BD334">
        <f>$C334*BD333</f>
        <v/>
      </c>
      <c r="BE334">
        <f>$C334*BE333</f>
        <v/>
      </c>
      <c r="BF334">
        <f>$C334*BF333</f>
        <v/>
      </c>
      <c r="BG334">
        <f>$C334*BG333</f>
        <v/>
      </c>
      <c r="BH334">
        <f>$C334*BH333</f>
        <v/>
      </c>
      <c r="BI334">
        <f>$C334*BI333</f>
        <v/>
      </c>
      <c r="BJ334">
        <f>$C334*BJ333</f>
        <v/>
      </c>
      <c r="BK334">
        <f>$C334*BK333</f>
        <v/>
      </c>
      <c r="BL334">
        <f>$C334*BL333</f>
        <v/>
      </c>
      <c r="BM334">
        <f>$C334*BM333</f>
        <v/>
      </c>
      <c r="BN334">
        <f>$C334*BN333</f>
        <v/>
      </c>
      <c r="BO334">
        <f>$C334*BO333</f>
        <v/>
      </c>
      <c r="BP334">
        <f>$C334*BP333</f>
        <v/>
      </c>
      <c r="BQ334">
        <f>$C334*BQ333</f>
        <v/>
      </c>
      <c r="BR334">
        <f>$C334*BR333</f>
        <v/>
      </c>
      <c r="BS334">
        <f>$C334*BS333</f>
        <v/>
      </c>
      <c r="BT334">
        <f>$C334*BT333</f>
        <v/>
      </c>
      <c r="BU334">
        <f>$C334*BU333</f>
        <v/>
      </c>
      <c r="BV334">
        <f>$C334*BV333</f>
        <v/>
      </c>
      <c r="BW334">
        <f>$C334*BW333</f>
        <v/>
      </c>
      <c r="BX334">
        <f>$C334*BX333</f>
        <v/>
      </c>
      <c r="BY334">
        <f>$C334*BY333</f>
        <v/>
      </c>
      <c r="BZ334">
        <f>$C334*BZ333</f>
        <v/>
      </c>
      <c r="CA334">
        <f>$C334*CA333</f>
        <v/>
      </c>
      <c r="CB334">
        <f>$C334*CB333</f>
        <v/>
      </c>
      <c r="CC334">
        <f>$C334*CC333</f>
        <v/>
      </c>
      <c r="CD334">
        <f>$C334*CD333</f>
        <v/>
      </c>
      <c r="CE334">
        <f>$C334*CE333</f>
        <v/>
      </c>
      <c r="CF334">
        <f>$C334*CF333</f>
        <v/>
      </c>
      <c r="CG334">
        <f>$C334*CG333</f>
        <v/>
      </c>
      <c r="CH334">
        <f>$C334*CH333</f>
        <v/>
      </c>
      <c r="CI334">
        <f>$C334*CI333</f>
        <v/>
      </c>
      <c r="CJ334">
        <f>$C334*CJ333</f>
        <v/>
      </c>
      <c r="CK334">
        <f>$C334*CK333</f>
        <v/>
      </c>
      <c r="CL334">
        <f>$C334*CL333</f>
        <v/>
      </c>
      <c r="CM334">
        <f>$C334*CM333</f>
        <v/>
      </c>
      <c r="CN334">
        <f>$C334*CN333</f>
        <v/>
      </c>
      <c r="CO334">
        <f>$C334*CO333</f>
        <v/>
      </c>
      <c r="CP334">
        <f>$C334*CP333</f>
        <v/>
      </c>
      <c r="CQ334">
        <f>$C334*CQ333</f>
        <v/>
      </c>
      <c r="CR334">
        <f>$C334*CR333</f>
        <v/>
      </c>
      <c r="CS334">
        <f>$C334*CS333</f>
        <v/>
      </c>
      <c r="CT334">
        <f>$C334*CT333</f>
        <v/>
      </c>
      <c r="CU334">
        <f>$C334*CU333</f>
        <v/>
      </c>
      <c r="CV334">
        <f>$C334*CV333</f>
        <v/>
      </c>
      <c r="CW334">
        <f>$C334*CW333</f>
        <v/>
      </c>
      <c r="CX334">
        <f>$C334*CX333</f>
        <v/>
      </c>
      <c r="CY334">
        <f>$C334*CY333</f>
        <v/>
      </c>
      <c r="CZ334">
        <f>$C334*CZ333</f>
        <v/>
      </c>
      <c r="DA334">
        <f>$C334*DA333</f>
        <v/>
      </c>
      <c r="DB334">
        <f>$C334*DB333</f>
        <v/>
      </c>
      <c r="DC334">
        <f>$C334*DC333</f>
        <v/>
      </c>
    </row>
    <row r="335">
      <c r="B335" s="5" t="inlineStr">
        <is>
          <t>合計使用量(kg)/週</t>
        </is>
      </c>
      <c r="D335">
        <f>'Grid_Requirement'!B27</f>
        <v/>
      </c>
      <c r="E335">
        <f>'Grid_Requirement'!C27</f>
        <v/>
      </c>
      <c r="F335">
        <f>'Grid_Requirement'!D27</f>
        <v/>
      </c>
      <c r="G335">
        <f>'Grid_Requirement'!E27</f>
        <v/>
      </c>
      <c r="H335">
        <f>'Grid_Requirement'!F27</f>
        <v/>
      </c>
      <c r="I335">
        <f>'Grid_Requirement'!G27</f>
        <v/>
      </c>
      <c r="J335">
        <f>'Grid_Requirement'!H27</f>
        <v/>
      </c>
      <c r="K335">
        <f>'Grid_Requirement'!I27</f>
        <v/>
      </c>
      <c r="L335">
        <f>'Grid_Requirement'!J27</f>
        <v/>
      </c>
      <c r="M335">
        <f>'Grid_Requirement'!K27</f>
        <v/>
      </c>
      <c r="N335">
        <f>'Grid_Requirement'!L27</f>
        <v/>
      </c>
      <c r="O335">
        <f>'Grid_Requirement'!M27</f>
        <v/>
      </c>
      <c r="P335">
        <f>'Grid_Requirement'!N27</f>
        <v/>
      </c>
      <c r="Q335">
        <f>'Grid_Requirement'!O27</f>
        <v/>
      </c>
      <c r="R335">
        <f>'Grid_Requirement'!P27</f>
        <v/>
      </c>
      <c r="S335">
        <f>'Grid_Requirement'!Q27</f>
        <v/>
      </c>
      <c r="T335">
        <f>'Grid_Requirement'!R27</f>
        <v/>
      </c>
      <c r="U335">
        <f>'Grid_Requirement'!S27</f>
        <v/>
      </c>
      <c r="V335">
        <f>'Grid_Requirement'!T27</f>
        <v/>
      </c>
      <c r="W335">
        <f>'Grid_Requirement'!U27</f>
        <v/>
      </c>
      <c r="X335">
        <f>'Grid_Requirement'!V27</f>
        <v/>
      </c>
      <c r="Y335">
        <f>'Grid_Requirement'!W27</f>
        <v/>
      </c>
      <c r="Z335">
        <f>'Grid_Requirement'!X27</f>
        <v/>
      </c>
      <c r="AA335">
        <f>'Grid_Requirement'!Y27</f>
        <v/>
      </c>
      <c r="AB335">
        <f>'Grid_Requirement'!Z27</f>
        <v/>
      </c>
      <c r="AC335">
        <f>'Grid_Requirement'!AA27</f>
        <v/>
      </c>
      <c r="AD335">
        <f>'Grid_Requirement'!AB27</f>
        <v/>
      </c>
      <c r="AE335">
        <f>'Grid_Requirement'!AC27</f>
        <v/>
      </c>
      <c r="AF335">
        <f>'Grid_Requirement'!AD27</f>
        <v/>
      </c>
      <c r="AG335">
        <f>'Grid_Requirement'!AE27</f>
        <v/>
      </c>
      <c r="AH335">
        <f>'Grid_Requirement'!AF27</f>
        <v/>
      </c>
      <c r="AI335">
        <f>'Grid_Requirement'!AG27</f>
        <v/>
      </c>
      <c r="AJ335">
        <f>'Grid_Requirement'!AH27</f>
        <v/>
      </c>
      <c r="AK335">
        <f>'Grid_Requirement'!AI27</f>
        <v/>
      </c>
      <c r="AL335">
        <f>'Grid_Requirement'!AJ27</f>
        <v/>
      </c>
      <c r="AM335">
        <f>'Grid_Requirement'!AK27</f>
        <v/>
      </c>
      <c r="AN335">
        <f>'Grid_Requirement'!AL27</f>
        <v/>
      </c>
      <c r="AO335">
        <f>'Grid_Requirement'!AM27</f>
        <v/>
      </c>
      <c r="AP335">
        <f>'Grid_Requirement'!AN27</f>
        <v/>
      </c>
      <c r="AQ335">
        <f>'Grid_Requirement'!AO27</f>
        <v/>
      </c>
      <c r="AR335">
        <f>'Grid_Requirement'!AP27</f>
        <v/>
      </c>
      <c r="AS335">
        <f>'Grid_Requirement'!AQ27</f>
        <v/>
      </c>
      <c r="AT335">
        <f>'Grid_Requirement'!AR27</f>
        <v/>
      </c>
      <c r="AU335">
        <f>'Grid_Requirement'!AS27</f>
        <v/>
      </c>
      <c r="AV335">
        <f>'Grid_Requirement'!AT27</f>
        <v/>
      </c>
      <c r="AW335">
        <f>'Grid_Requirement'!AU27</f>
        <v/>
      </c>
      <c r="AX335">
        <f>'Grid_Requirement'!AV27</f>
        <v/>
      </c>
      <c r="AY335">
        <f>'Grid_Requirement'!AW27</f>
        <v/>
      </c>
      <c r="AZ335">
        <f>'Grid_Requirement'!AX27</f>
        <v/>
      </c>
      <c r="BA335">
        <f>'Grid_Requirement'!AY27</f>
        <v/>
      </c>
      <c r="BB335">
        <f>'Grid_Requirement'!AZ27</f>
        <v/>
      </c>
      <c r="BC335">
        <f>'Grid_Requirement'!BA27</f>
        <v/>
      </c>
      <c r="BD335">
        <f>'Grid_Requirement'!BB27</f>
        <v/>
      </c>
      <c r="BE335">
        <f>'Grid_Requirement'!BC27</f>
        <v/>
      </c>
      <c r="BF335">
        <f>'Grid_Requirement'!BD27</f>
        <v/>
      </c>
      <c r="BG335">
        <f>'Grid_Requirement'!BE27</f>
        <v/>
      </c>
      <c r="BH335">
        <f>'Grid_Requirement'!BF27</f>
        <v/>
      </c>
      <c r="BI335">
        <f>'Grid_Requirement'!BG27</f>
        <v/>
      </c>
      <c r="BJ335">
        <f>'Grid_Requirement'!BH27</f>
        <v/>
      </c>
      <c r="BK335">
        <f>'Grid_Requirement'!BI27</f>
        <v/>
      </c>
      <c r="BL335">
        <f>'Grid_Requirement'!BJ27</f>
        <v/>
      </c>
      <c r="BM335">
        <f>'Grid_Requirement'!BK27</f>
        <v/>
      </c>
      <c r="BN335">
        <f>'Grid_Requirement'!BL27</f>
        <v/>
      </c>
      <c r="BO335">
        <f>'Grid_Requirement'!BM27</f>
        <v/>
      </c>
      <c r="BP335">
        <f>'Grid_Requirement'!BN27</f>
        <v/>
      </c>
      <c r="BQ335">
        <f>'Grid_Requirement'!BO27</f>
        <v/>
      </c>
      <c r="BR335">
        <f>'Grid_Requirement'!BP27</f>
        <v/>
      </c>
      <c r="BS335">
        <f>'Grid_Requirement'!BQ27</f>
        <v/>
      </c>
      <c r="BT335">
        <f>'Grid_Requirement'!BR27</f>
        <v/>
      </c>
      <c r="BU335">
        <f>'Grid_Requirement'!BS27</f>
        <v/>
      </c>
      <c r="BV335">
        <f>'Grid_Requirement'!BT27</f>
        <v/>
      </c>
      <c r="BW335">
        <f>'Grid_Requirement'!BU27</f>
        <v/>
      </c>
      <c r="BX335">
        <f>'Grid_Requirement'!BV27</f>
        <v/>
      </c>
      <c r="BY335">
        <f>'Grid_Requirement'!BW27</f>
        <v/>
      </c>
      <c r="BZ335">
        <f>'Grid_Requirement'!BX27</f>
        <v/>
      </c>
      <c r="CA335">
        <f>'Grid_Requirement'!BY27</f>
        <v/>
      </c>
      <c r="CB335">
        <f>'Grid_Requirement'!BZ27</f>
        <v/>
      </c>
      <c r="CC335">
        <f>'Grid_Requirement'!CA27</f>
        <v/>
      </c>
      <c r="CD335">
        <f>'Grid_Requirement'!CB27</f>
        <v/>
      </c>
      <c r="CE335">
        <f>'Grid_Requirement'!CC27</f>
        <v/>
      </c>
      <c r="CF335">
        <f>'Grid_Requirement'!CD27</f>
        <v/>
      </c>
      <c r="CG335">
        <f>'Grid_Requirement'!CE27</f>
        <v/>
      </c>
      <c r="CH335">
        <f>'Grid_Requirement'!CF27</f>
        <v/>
      </c>
      <c r="CI335">
        <f>'Grid_Requirement'!CG27</f>
        <v/>
      </c>
      <c r="CJ335">
        <f>'Grid_Requirement'!CH27</f>
        <v/>
      </c>
      <c r="CK335">
        <f>'Grid_Requirement'!CI27</f>
        <v/>
      </c>
      <c r="CL335">
        <f>'Grid_Requirement'!CJ27</f>
        <v/>
      </c>
      <c r="CM335">
        <f>'Grid_Requirement'!CK27</f>
        <v/>
      </c>
      <c r="CN335">
        <f>'Grid_Requirement'!CL27</f>
        <v/>
      </c>
      <c r="CO335">
        <f>'Grid_Requirement'!CM27</f>
        <v/>
      </c>
      <c r="CP335">
        <f>'Grid_Requirement'!CN27</f>
        <v/>
      </c>
      <c r="CQ335">
        <f>'Grid_Requirement'!CO27</f>
        <v/>
      </c>
      <c r="CR335">
        <f>'Grid_Requirement'!CP27</f>
        <v/>
      </c>
      <c r="CS335">
        <f>'Grid_Requirement'!CQ27</f>
        <v/>
      </c>
      <c r="CT335">
        <f>'Grid_Requirement'!CR27</f>
        <v/>
      </c>
      <c r="CU335">
        <f>'Grid_Requirement'!CS27</f>
        <v/>
      </c>
      <c r="CV335">
        <f>'Grid_Requirement'!CT27</f>
        <v/>
      </c>
      <c r="CW335">
        <f>'Grid_Requirement'!CU27</f>
        <v/>
      </c>
      <c r="CX335">
        <f>'Grid_Requirement'!CV27</f>
        <v/>
      </c>
      <c r="CY335">
        <f>'Grid_Requirement'!CW27</f>
        <v/>
      </c>
      <c r="CZ335">
        <f>'Grid_Requirement'!CX27</f>
        <v/>
      </c>
      <c r="DA335">
        <f>'Grid_Requirement'!CY27</f>
        <v/>
      </c>
      <c r="DB335">
        <f>'Grid_Requirement'!CZ27</f>
        <v/>
      </c>
      <c r="DC335">
        <f>'Grid_Requirement'!DA27</f>
        <v/>
      </c>
    </row>
    <row r="336">
      <c r="B336" t="inlineStr">
        <is>
          <t>TTAF在庫(実績,kg)</t>
        </is>
      </c>
      <c r="D336">
        <f>'T_TTAFStock'!B31</f>
        <v/>
      </c>
      <c r="E336">
        <f>'T_TTAFStock'!C31</f>
        <v/>
      </c>
      <c r="F336">
        <f>'T_TTAFStock'!D31</f>
        <v/>
      </c>
      <c r="G336">
        <f>'T_TTAFStock'!E31</f>
        <v/>
      </c>
      <c r="H336">
        <f>'T_TTAFStock'!F31</f>
        <v/>
      </c>
      <c r="I336">
        <f>'T_TTAFStock'!G31</f>
        <v/>
      </c>
      <c r="J336">
        <f>'T_TTAFStock'!H31</f>
        <v/>
      </c>
      <c r="K336">
        <f>'T_TTAFStock'!I31</f>
        <v/>
      </c>
      <c r="L336">
        <f>'T_TTAFStock'!J31</f>
        <v/>
      </c>
      <c r="M336">
        <f>'T_TTAFStock'!K31</f>
        <v/>
      </c>
      <c r="N336">
        <f>'T_TTAFStock'!L31</f>
        <v/>
      </c>
      <c r="O336">
        <f>'T_TTAFStock'!M31</f>
        <v/>
      </c>
      <c r="P336">
        <f>'T_TTAFStock'!N31</f>
        <v/>
      </c>
      <c r="Q336">
        <f>'T_TTAFStock'!O31</f>
        <v/>
      </c>
      <c r="R336">
        <f>'T_TTAFStock'!P31</f>
        <v/>
      </c>
      <c r="S336">
        <f>'T_TTAFStock'!Q31</f>
        <v/>
      </c>
      <c r="T336">
        <f>'T_TTAFStock'!R31</f>
        <v/>
      </c>
      <c r="U336">
        <f>'T_TTAFStock'!S31</f>
        <v/>
      </c>
      <c r="V336">
        <f>'T_TTAFStock'!T31</f>
        <v/>
      </c>
      <c r="W336">
        <f>'T_TTAFStock'!U31</f>
        <v/>
      </c>
      <c r="X336">
        <f>'T_TTAFStock'!V31</f>
        <v/>
      </c>
      <c r="Y336">
        <f>'T_TTAFStock'!W31</f>
        <v/>
      </c>
      <c r="Z336">
        <f>'T_TTAFStock'!X31</f>
        <v/>
      </c>
      <c r="AA336">
        <f>'T_TTAFStock'!Y31</f>
        <v/>
      </c>
      <c r="AB336">
        <f>'T_TTAFStock'!Z31</f>
        <v/>
      </c>
      <c r="AC336">
        <f>'T_TTAFStock'!AA31</f>
        <v/>
      </c>
      <c r="AD336">
        <f>'T_TTAFStock'!AB31</f>
        <v/>
      </c>
      <c r="AE336">
        <f>'T_TTAFStock'!AC31</f>
        <v/>
      </c>
      <c r="AF336">
        <f>'T_TTAFStock'!AD31</f>
        <v/>
      </c>
      <c r="AG336">
        <f>'T_TTAFStock'!AE31</f>
        <v/>
      </c>
      <c r="AH336">
        <f>'T_TTAFStock'!AF31</f>
        <v/>
      </c>
      <c r="AI336">
        <f>'T_TTAFStock'!AG31</f>
        <v/>
      </c>
      <c r="AJ336">
        <f>'T_TTAFStock'!AH31</f>
        <v/>
      </c>
      <c r="AK336">
        <f>'T_TTAFStock'!AI31</f>
        <v/>
      </c>
      <c r="AL336">
        <f>'T_TTAFStock'!AJ31</f>
        <v/>
      </c>
      <c r="AM336">
        <f>'T_TTAFStock'!AK31</f>
        <v/>
      </c>
      <c r="AN336">
        <f>'T_TTAFStock'!AL31</f>
        <v/>
      </c>
      <c r="AO336">
        <f>'T_TTAFStock'!AM31</f>
        <v/>
      </c>
      <c r="AP336">
        <f>'T_TTAFStock'!AN31</f>
        <v/>
      </c>
      <c r="AQ336">
        <f>'T_TTAFStock'!AO31</f>
        <v/>
      </c>
      <c r="AR336">
        <f>'T_TTAFStock'!AP31</f>
        <v/>
      </c>
      <c r="AS336">
        <f>'T_TTAFStock'!AQ31</f>
        <v/>
      </c>
      <c r="AT336">
        <f>'T_TTAFStock'!AR31</f>
        <v/>
      </c>
      <c r="AU336">
        <f>'T_TTAFStock'!AS31</f>
        <v/>
      </c>
      <c r="AV336">
        <f>'T_TTAFStock'!AT31</f>
        <v/>
      </c>
      <c r="AW336">
        <f>'T_TTAFStock'!AU31</f>
        <v/>
      </c>
      <c r="AX336">
        <f>'T_TTAFStock'!AV31</f>
        <v/>
      </c>
      <c r="AY336">
        <f>'T_TTAFStock'!AW31</f>
        <v/>
      </c>
      <c r="AZ336">
        <f>'T_TTAFStock'!AX31</f>
        <v/>
      </c>
      <c r="BA336">
        <f>'T_TTAFStock'!AY31</f>
        <v/>
      </c>
      <c r="BB336">
        <f>'T_TTAFStock'!AZ31</f>
        <v/>
      </c>
      <c r="BC336">
        <f>'T_TTAFStock'!BA31</f>
        <v/>
      </c>
      <c r="BD336">
        <f>'T_TTAFStock'!BB31</f>
        <v/>
      </c>
      <c r="BE336">
        <f>'T_TTAFStock'!BC31</f>
        <v/>
      </c>
      <c r="BF336">
        <f>'T_TTAFStock'!BD31</f>
        <v/>
      </c>
      <c r="BG336">
        <f>'T_TTAFStock'!BE31</f>
        <v/>
      </c>
      <c r="BH336">
        <f>'T_TTAFStock'!BF31</f>
        <v/>
      </c>
      <c r="BI336">
        <f>'T_TTAFStock'!BG31</f>
        <v/>
      </c>
      <c r="BJ336">
        <f>'T_TTAFStock'!BH31</f>
        <v/>
      </c>
      <c r="BK336">
        <f>'T_TTAFStock'!BI31</f>
        <v/>
      </c>
      <c r="BL336">
        <f>'T_TTAFStock'!BJ31</f>
        <v/>
      </c>
      <c r="BM336">
        <f>'T_TTAFStock'!BK31</f>
        <v/>
      </c>
      <c r="BN336">
        <f>'T_TTAFStock'!BL31</f>
        <v/>
      </c>
      <c r="BO336">
        <f>'T_TTAFStock'!BM31</f>
        <v/>
      </c>
      <c r="BP336">
        <f>'T_TTAFStock'!BN31</f>
        <v/>
      </c>
      <c r="BQ336">
        <f>'T_TTAFStock'!BO31</f>
        <v/>
      </c>
      <c r="BR336">
        <f>'T_TTAFStock'!BP31</f>
        <v/>
      </c>
      <c r="BS336">
        <f>'T_TTAFStock'!BQ31</f>
        <v/>
      </c>
      <c r="BT336">
        <f>'T_TTAFStock'!BR31</f>
        <v/>
      </c>
      <c r="BU336">
        <f>'T_TTAFStock'!BS31</f>
        <v/>
      </c>
      <c r="BV336">
        <f>'T_TTAFStock'!BT31</f>
        <v/>
      </c>
      <c r="BW336">
        <f>'T_TTAFStock'!BU31</f>
        <v/>
      </c>
      <c r="BX336">
        <f>'T_TTAFStock'!BV31</f>
        <v/>
      </c>
      <c r="BY336">
        <f>'T_TTAFStock'!BW31</f>
        <v/>
      </c>
      <c r="BZ336">
        <f>'T_TTAFStock'!BX31</f>
        <v/>
      </c>
      <c r="CA336">
        <f>'T_TTAFStock'!BY31</f>
        <v/>
      </c>
      <c r="CB336">
        <f>'T_TTAFStock'!BZ31</f>
        <v/>
      </c>
      <c r="CC336">
        <f>'T_TTAFStock'!CA31</f>
        <v/>
      </c>
      <c r="CD336">
        <f>'T_TTAFStock'!CB31</f>
        <v/>
      </c>
      <c r="CE336">
        <f>'T_TTAFStock'!CC31</f>
        <v/>
      </c>
      <c r="CF336">
        <f>'T_TTAFStock'!CD31</f>
        <v/>
      </c>
      <c r="CG336">
        <f>'T_TTAFStock'!CE31</f>
        <v/>
      </c>
      <c r="CH336">
        <f>'T_TTAFStock'!CF31</f>
        <v/>
      </c>
      <c r="CI336">
        <f>'T_TTAFStock'!CG31</f>
        <v/>
      </c>
      <c r="CJ336">
        <f>'T_TTAFStock'!CH31</f>
        <v/>
      </c>
      <c r="CK336">
        <f>'T_TTAFStock'!CI31</f>
        <v/>
      </c>
      <c r="CL336">
        <f>'T_TTAFStock'!CJ31</f>
        <v/>
      </c>
      <c r="CM336">
        <f>'T_TTAFStock'!CK31</f>
        <v/>
      </c>
      <c r="CN336">
        <f>'T_TTAFStock'!CL31</f>
        <v/>
      </c>
      <c r="CO336">
        <f>'T_TTAFStock'!CM31</f>
        <v/>
      </c>
      <c r="CP336">
        <f>'T_TTAFStock'!CN31</f>
        <v/>
      </c>
      <c r="CQ336">
        <f>'T_TTAFStock'!CO31</f>
        <v/>
      </c>
      <c r="CR336">
        <f>'T_TTAFStock'!CP31</f>
        <v/>
      </c>
      <c r="CS336">
        <f>'T_TTAFStock'!CQ31</f>
        <v/>
      </c>
      <c r="CT336">
        <f>'T_TTAFStock'!CR31</f>
        <v/>
      </c>
      <c r="CU336">
        <f>'T_TTAFStock'!CS31</f>
        <v/>
      </c>
      <c r="CV336">
        <f>'T_TTAFStock'!CT31</f>
        <v/>
      </c>
      <c r="CW336">
        <f>'T_TTAFStock'!CU31</f>
        <v/>
      </c>
      <c r="CX336">
        <f>'T_TTAFStock'!CV31</f>
        <v/>
      </c>
      <c r="CY336">
        <f>'T_TTAFStock'!CW31</f>
        <v/>
      </c>
      <c r="CZ336">
        <f>'T_TTAFStock'!CX31</f>
        <v/>
      </c>
      <c r="DA336">
        <f>'T_TTAFStock'!CY31</f>
        <v/>
      </c>
      <c r="DB336">
        <f>'T_TTAFStock'!CZ31</f>
        <v/>
      </c>
      <c r="DC336">
        <f>'T_TTAFStock'!DA31</f>
        <v/>
      </c>
    </row>
    <row r="337">
      <c r="B337" t="inlineStr">
        <is>
          <t>自社在庫(実績,kg)</t>
        </is>
      </c>
      <c r="D337">
        <f>'T_SelfStock'!B31</f>
        <v/>
      </c>
      <c r="E337">
        <f>'T_SelfStock'!C31</f>
        <v/>
      </c>
      <c r="F337">
        <f>'T_SelfStock'!D31</f>
        <v/>
      </c>
      <c r="G337">
        <f>'T_SelfStock'!E31</f>
        <v/>
      </c>
      <c r="H337">
        <f>'T_SelfStock'!F31</f>
        <v/>
      </c>
      <c r="I337">
        <f>'T_SelfStock'!G31</f>
        <v/>
      </c>
      <c r="J337">
        <f>'T_SelfStock'!H31</f>
        <v/>
      </c>
      <c r="K337">
        <f>'T_SelfStock'!I31</f>
        <v/>
      </c>
      <c r="L337">
        <f>'T_SelfStock'!J31</f>
        <v/>
      </c>
      <c r="M337">
        <f>'T_SelfStock'!K31</f>
        <v/>
      </c>
      <c r="N337">
        <f>'T_SelfStock'!L31</f>
        <v/>
      </c>
      <c r="O337">
        <f>'T_SelfStock'!M31</f>
        <v/>
      </c>
      <c r="P337">
        <f>'T_SelfStock'!N31</f>
        <v/>
      </c>
      <c r="Q337">
        <f>'T_SelfStock'!O31</f>
        <v/>
      </c>
      <c r="R337">
        <f>'T_SelfStock'!P31</f>
        <v/>
      </c>
      <c r="S337">
        <f>'T_SelfStock'!Q31</f>
        <v/>
      </c>
      <c r="T337">
        <f>'T_SelfStock'!R31</f>
        <v/>
      </c>
      <c r="U337">
        <f>'T_SelfStock'!S31</f>
        <v/>
      </c>
      <c r="V337">
        <f>'T_SelfStock'!T31</f>
        <v/>
      </c>
      <c r="W337">
        <f>'T_SelfStock'!U31</f>
        <v/>
      </c>
      <c r="X337">
        <f>'T_SelfStock'!V31</f>
        <v/>
      </c>
      <c r="Y337">
        <f>'T_SelfStock'!W31</f>
        <v/>
      </c>
      <c r="Z337">
        <f>'T_SelfStock'!X31</f>
        <v/>
      </c>
      <c r="AA337">
        <f>'T_SelfStock'!Y31</f>
        <v/>
      </c>
      <c r="AB337">
        <f>'T_SelfStock'!Z31</f>
        <v/>
      </c>
      <c r="AC337">
        <f>'T_SelfStock'!AA31</f>
        <v/>
      </c>
      <c r="AD337">
        <f>'T_SelfStock'!AB31</f>
        <v/>
      </c>
      <c r="AE337">
        <f>'T_SelfStock'!AC31</f>
        <v/>
      </c>
      <c r="AF337">
        <f>'T_SelfStock'!AD31</f>
        <v/>
      </c>
      <c r="AG337">
        <f>'T_SelfStock'!AE31</f>
        <v/>
      </c>
      <c r="AH337">
        <f>'T_SelfStock'!AF31</f>
        <v/>
      </c>
      <c r="AI337">
        <f>'T_SelfStock'!AG31</f>
        <v/>
      </c>
      <c r="AJ337">
        <f>'T_SelfStock'!AH31</f>
        <v/>
      </c>
      <c r="AK337">
        <f>'T_SelfStock'!AI31</f>
        <v/>
      </c>
      <c r="AL337">
        <f>'T_SelfStock'!AJ31</f>
        <v/>
      </c>
      <c r="AM337">
        <f>'T_SelfStock'!AK31</f>
        <v/>
      </c>
      <c r="AN337">
        <f>'T_SelfStock'!AL31</f>
        <v/>
      </c>
      <c r="AO337">
        <f>'T_SelfStock'!AM31</f>
        <v/>
      </c>
      <c r="AP337">
        <f>'T_SelfStock'!AN31</f>
        <v/>
      </c>
      <c r="AQ337">
        <f>'T_SelfStock'!AO31</f>
        <v/>
      </c>
      <c r="AR337">
        <f>'T_SelfStock'!AP31</f>
        <v/>
      </c>
      <c r="AS337">
        <f>'T_SelfStock'!AQ31</f>
        <v/>
      </c>
      <c r="AT337">
        <f>'T_SelfStock'!AR31</f>
        <v/>
      </c>
      <c r="AU337">
        <f>'T_SelfStock'!AS31</f>
        <v/>
      </c>
      <c r="AV337">
        <f>'T_SelfStock'!AT31</f>
        <v/>
      </c>
      <c r="AW337">
        <f>'T_SelfStock'!AU31</f>
        <v/>
      </c>
      <c r="AX337">
        <f>'T_SelfStock'!AV31</f>
        <v/>
      </c>
      <c r="AY337">
        <f>'T_SelfStock'!AW31</f>
        <v/>
      </c>
      <c r="AZ337">
        <f>'T_SelfStock'!AX31</f>
        <v/>
      </c>
      <c r="BA337">
        <f>'T_SelfStock'!AY31</f>
        <v/>
      </c>
      <c r="BB337">
        <f>'T_SelfStock'!AZ31</f>
        <v/>
      </c>
      <c r="BC337">
        <f>'T_SelfStock'!BA31</f>
        <v/>
      </c>
      <c r="BD337">
        <f>'T_SelfStock'!BB31</f>
        <v/>
      </c>
      <c r="BE337">
        <f>'T_SelfStock'!BC31</f>
        <v/>
      </c>
      <c r="BF337">
        <f>'T_SelfStock'!BD31</f>
        <v/>
      </c>
      <c r="BG337">
        <f>'T_SelfStock'!BE31</f>
        <v/>
      </c>
      <c r="BH337">
        <f>'T_SelfStock'!BF31</f>
        <v/>
      </c>
      <c r="BI337">
        <f>'T_SelfStock'!BG31</f>
        <v/>
      </c>
      <c r="BJ337">
        <f>'T_SelfStock'!BH31</f>
        <v/>
      </c>
      <c r="BK337">
        <f>'T_SelfStock'!BI31</f>
        <v/>
      </c>
      <c r="BL337">
        <f>'T_SelfStock'!BJ31</f>
        <v/>
      </c>
      <c r="BM337">
        <f>'T_SelfStock'!BK31</f>
        <v/>
      </c>
      <c r="BN337">
        <f>'T_SelfStock'!BL31</f>
        <v/>
      </c>
      <c r="BO337">
        <f>'T_SelfStock'!BM31</f>
        <v/>
      </c>
      <c r="BP337">
        <f>'T_SelfStock'!BN31</f>
        <v/>
      </c>
      <c r="BQ337">
        <f>'T_SelfStock'!BO31</f>
        <v/>
      </c>
      <c r="BR337">
        <f>'T_SelfStock'!BP31</f>
        <v/>
      </c>
      <c r="BS337">
        <f>'T_SelfStock'!BQ31</f>
        <v/>
      </c>
      <c r="BT337">
        <f>'T_SelfStock'!BR31</f>
        <v/>
      </c>
      <c r="BU337">
        <f>'T_SelfStock'!BS31</f>
        <v/>
      </c>
      <c r="BV337">
        <f>'T_SelfStock'!BT31</f>
        <v/>
      </c>
      <c r="BW337">
        <f>'T_SelfStock'!BU31</f>
        <v/>
      </c>
      <c r="BX337">
        <f>'T_SelfStock'!BV31</f>
        <v/>
      </c>
      <c r="BY337">
        <f>'T_SelfStock'!BW31</f>
        <v/>
      </c>
      <c r="BZ337">
        <f>'T_SelfStock'!BX31</f>
        <v/>
      </c>
      <c r="CA337">
        <f>'T_SelfStock'!BY31</f>
        <v/>
      </c>
      <c r="CB337">
        <f>'T_SelfStock'!BZ31</f>
        <v/>
      </c>
      <c r="CC337">
        <f>'T_SelfStock'!CA31</f>
        <v/>
      </c>
      <c r="CD337">
        <f>'T_SelfStock'!CB31</f>
        <v/>
      </c>
      <c r="CE337">
        <f>'T_SelfStock'!CC31</f>
        <v/>
      </c>
      <c r="CF337">
        <f>'T_SelfStock'!CD31</f>
        <v/>
      </c>
      <c r="CG337">
        <f>'T_SelfStock'!CE31</f>
        <v/>
      </c>
      <c r="CH337">
        <f>'T_SelfStock'!CF31</f>
        <v/>
      </c>
      <c r="CI337">
        <f>'T_SelfStock'!CG31</f>
        <v/>
      </c>
      <c r="CJ337">
        <f>'T_SelfStock'!CH31</f>
        <v/>
      </c>
      <c r="CK337">
        <f>'T_SelfStock'!CI31</f>
        <v/>
      </c>
      <c r="CL337">
        <f>'T_SelfStock'!CJ31</f>
        <v/>
      </c>
      <c r="CM337">
        <f>'T_SelfStock'!CK31</f>
        <v/>
      </c>
      <c r="CN337">
        <f>'T_SelfStock'!CL31</f>
        <v/>
      </c>
      <c r="CO337">
        <f>'T_SelfStock'!CM31</f>
        <v/>
      </c>
      <c r="CP337">
        <f>'T_SelfStock'!CN31</f>
        <v/>
      </c>
      <c r="CQ337">
        <f>'T_SelfStock'!CO31</f>
        <v/>
      </c>
      <c r="CR337">
        <f>'T_SelfStock'!CP31</f>
        <v/>
      </c>
      <c r="CS337">
        <f>'T_SelfStock'!CQ31</f>
        <v/>
      </c>
      <c r="CT337">
        <f>'T_SelfStock'!CR31</f>
        <v/>
      </c>
      <c r="CU337">
        <f>'T_SelfStock'!CS31</f>
        <v/>
      </c>
      <c r="CV337">
        <f>'T_SelfStock'!CT31</f>
        <v/>
      </c>
      <c r="CW337">
        <f>'T_SelfStock'!CU31</f>
        <v/>
      </c>
      <c r="CX337">
        <f>'T_SelfStock'!CV31</f>
        <v/>
      </c>
      <c r="CY337">
        <f>'T_SelfStock'!CW31</f>
        <v/>
      </c>
      <c r="CZ337">
        <f>'T_SelfStock'!CX31</f>
        <v/>
      </c>
      <c r="DA337">
        <f>'T_SelfStock'!CY31</f>
        <v/>
      </c>
      <c r="DB337">
        <f>'T_SelfStock'!CZ31</f>
        <v/>
      </c>
      <c r="DC337">
        <f>'T_SelfStock'!DA31</f>
        <v/>
      </c>
    </row>
    <row r="338">
      <c r="B338" t="inlineStr">
        <is>
          <t>Order(発注予定,kg)</t>
        </is>
      </c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  <c r="AA338" s="23" t="n"/>
      <c r="AB338" s="23" t="n"/>
      <c r="AC338" s="23" t="n"/>
      <c r="AD338" s="23" t="n"/>
      <c r="AE338" s="23" t="n"/>
      <c r="AF338" s="23" t="n"/>
      <c r="AG338" s="23" t="n"/>
      <c r="AH338" s="23" t="n"/>
      <c r="AI338" s="23" t="n"/>
      <c r="AJ338" s="23" t="n"/>
      <c r="AK338" s="23" t="n"/>
      <c r="AL338" s="23" t="n"/>
      <c r="AM338" s="23" t="n"/>
      <c r="AN338" s="23" t="n"/>
      <c r="AO338" s="23" t="n"/>
      <c r="AP338" s="23" t="n"/>
      <c r="AQ338" s="23" t="n"/>
      <c r="AR338" s="23" t="n"/>
      <c r="AS338" s="23" t="n"/>
      <c r="AT338" s="23" t="n"/>
      <c r="AU338" s="23" t="n"/>
      <c r="AV338" s="23" t="n"/>
      <c r="AW338" s="23" t="n"/>
      <c r="AX338" s="23" t="n"/>
      <c r="AY338" s="23" t="n"/>
      <c r="AZ338" s="23" t="n"/>
      <c r="BA338" s="23" t="n"/>
      <c r="BB338" s="23" t="n"/>
      <c r="BC338" s="23" t="n"/>
      <c r="BD338" s="23" t="n"/>
      <c r="BE338" s="23" t="n"/>
      <c r="BF338" s="23" t="n"/>
      <c r="BG338" s="23" t="n"/>
      <c r="BH338" s="23" t="n"/>
      <c r="BI338" s="23" t="n"/>
      <c r="BJ338" s="23" t="n"/>
      <c r="BK338" s="23" t="n"/>
      <c r="BL338" s="23" t="n"/>
      <c r="BM338" s="23" t="n"/>
      <c r="BN338" s="23" t="n"/>
      <c r="BO338" s="23" t="n"/>
      <c r="BP338" s="23" t="n"/>
      <c r="BQ338" s="23" t="n"/>
      <c r="BR338" s="23" t="n"/>
      <c r="BS338" s="23" t="n"/>
      <c r="BT338" s="23" t="n"/>
      <c r="BU338" s="23" t="n"/>
      <c r="BV338" s="23" t="n"/>
      <c r="BW338" s="23" t="n"/>
      <c r="BX338" s="23" t="n"/>
      <c r="BY338" s="23" t="n"/>
      <c r="BZ338" s="23" t="n"/>
      <c r="CA338" s="23" t="n"/>
      <c r="CB338" s="23" t="n"/>
      <c r="CC338" s="23" t="n"/>
      <c r="CD338" s="23" t="n"/>
      <c r="CE338" s="23" t="n"/>
      <c r="CF338" s="23" t="n"/>
      <c r="CG338" s="23" t="n"/>
      <c r="CH338" s="23" t="n"/>
      <c r="CI338" s="23" t="n"/>
      <c r="CJ338" s="23" t="n"/>
      <c r="CK338" s="23" t="n"/>
      <c r="CL338" s="23" t="n"/>
      <c r="CM338" s="23" t="n"/>
      <c r="CN338" s="23" t="n"/>
      <c r="CO338" s="23" t="n"/>
      <c r="CP338" s="23" t="n"/>
      <c r="CQ338" s="23" t="n"/>
      <c r="CR338" s="23" t="n"/>
      <c r="CS338" s="23" t="n"/>
      <c r="CT338" s="23" t="n"/>
      <c r="CU338" s="23" t="n"/>
      <c r="CV338" s="23" t="n"/>
      <c r="CW338" s="23" t="n"/>
      <c r="CX338" s="23" t="n"/>
      <c r="CY338" s="23" t="n"/>
      <c r="CZ338" s="23" t="n"/>
      <c r="DA338" s="23" t="n"/>
      <c r="DB338" s="23" t="n"/>
      <c r="DC338" s="23" t="n"/>
      <c r="DE338" s="12" t="inlineStr">
        <is>
          <t>CHEM-1250</t>
        </is>
      </c>
    </row>
    <row r="339">
      <c r="B339" s="24" t="inlineStr">
        <is>
          <t>PO_No</t>
        </is>
      </c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  <c r="AD339" s="25" t="n"/>
      <c r="AE339" s="25" t="n"/>
      <c r="AF339" s="25" t="n"/>
      <c r="AG339" s="25" t="n"/>
      <c r="AH339" s="25" t="n"/>
      <c r="AI339" s="25" t="n"/>
      <c r="AJ339" s="25" t="n"/>
      <c r="AK339" s="25" t="n"/>
      <c r="AL339" s="25" t="n"/>
      <c r="AM339" s="25" t="n"/>
      <c r="AN339" s="25" t="n"/>
      <c r="AO339" s="25" t="n"/>
      <c r="AP339" s="25" t="n"/>
      <c r="AQ339" s="25" t="n"/>
      <c r="AR339" s="25" t="n"/>
      <c r="AS339" s="25" t="n"/>
      <c r="AT339" s="25" t="n"/>
      <c r="AU339" s="25" t="n"/>
      <c r="AV339" s="25" t="n"/>
      <c r="AW339" s="25" t="n"/>
      <c r="AX339" s="25" t="n"/>
      <c r="AY339" s="25" t="n"/>
      <c r="AZ339" s="25" t="n"/>
      <c r="BA339" s="25" t="n"/>
      <c r="BB339" s="25" t="n"/>
      <c r="BC339" s="25" t="n"/>
      <c r="BD339" s="25" t="n"/>
      <c r="BE339" s="25" t="n"/>
      <c r="BF339" s="25" t="n"/>
      <c r="BG339" s="25" t="n"/>
      <c r="BH339" s="25" t="n"/>
      <c r="BI339" s="25" t="n"/>
      <c r="BJ339" s="25" t="n"/>
      <c r="BK339" s="25" t="n"/>
      <c r="BL339" s="25" t="n"/>
      <c r="BM339" s="25" t="n"/>
      <c r="BN339" s="25" t="n"/>
      <c r="BO339" s="25" t="n"/>
      <c r="BP339" s="25" t="n"/>
      <c r="BQ339" s="25" t="n"/>
      <c r="BR339" s="25" t="n"/>
      <c r="BS339" s="25" t="n"/>
      <c r="BT339" s="25" t="n"/>
      <c r="BU339" s="25" t="n"/>
      <c r="BV339" s="25" t="n"/>
      <c r="BW339" s="25" t="n"/>
      <c r="BX339" s="25" t="n"/>
      <c r="BY339" s="25" t="n"/>
      <c r="BZ339" s="25" t="n"/>
      <c r="CA339" s="25" t="n"/>
      <c r="CB339" s="25" t="n"/>
      <c r="CC339" s="25" t="n"/>
      <c r="CD339" s="25" t="n"/>
      <c r="CE339" s="25" t="n"/>
      <c r="CF339" s="25" t="n"/>
      <c r="CG339" s="25" t="n"/>
      <c r="CH339" s="25" t="n"/>
      <c r="CI339" s="25" t="n"/>
      <c r="CJ339" s="25" t="n"/>
      <c r="CK339" s="25" t="n"/>
      <c r="CL339" s="25" t="n"/>
      <c r="CM339" s="25" t="n"/>
      <c r="CN339" s="25" t="n"/>
      <c r="CO339" s="25" t="n"/>
      <c r="CP339" s="25" t="n"/>
      <c r="CQ339" s="25" t="n"/>
      <c r="CR339" s="25" t="n"/>
      <c r="CS339" s="25" t="n"/>
      <c r="CT339" s="25" t="n"/>
      <c r="CU339" s="25" t="n"/>
      <c r="CV339" s="25" t="n"/>
      <c r="CW339" s="25" t="n"/>
      <c r="CX339" s="25" t="n"/>
      <c r="CY339" s="25" t="n"/>
      <c r="CZ339" s="25" t="n"/>
      <c r="DA339" s="25" t="n"/>
      <c r="DB339" s="25" t="n"/>
      <c r="DC339" s="25" t="n"/>
    </row>
    <row r="340">
      <c r="B340" s="5" t="inlineStr">
        <is>
          <t>合計在庫(週末時点,kg)</t>
        </is>
      </c>
      <c r="D340">
        <f>'Grid_Stock'!B27</f>
        <v/>
      </c>
      <c r="E340">
        <f>'Grid_Stock'!C27</f>
        <v/>
      </c>
      <c r="F340">
        <f>'Grid_Stock'!D27</f>
        <v/>
      </c>
      <c r="G340">
        <f>'Grid_Stock'!E27</f>
        <v/>
      </c>
      <c r="H340">
        <f>'Grid_Stock'!F27</f>
        <v/>
      </c>
      <c r="I340">
        <f>'Grid_Stock'!G27</f>
        <v/>
      </c>
      <c r="J340">
        <f>'Grid_Stock'!H27</f>
        <v/>
      </c>
      <c r="K340">
        <f>'Grid_Stock'!I27</f>
        <v/>
      </c>
      <c r="L340">
        <f>'Grid_Stock'!J27</f>
        <v/>
      </c>
      <c r="M340">
        <f>'Grid_Stock'!K27</f>
        <v/>
      </c>
      <c r="N340">
        <f>'Grid_Stock'!L27</f>
        <v/>
      </c>
      <c r="O340">
        <f>'Grid_Stock'!M27</f>
        <v/>
      </c>
      <c r="P340">
        <f>'Grid_Stock'!N27</f>
        <v/>
      </c>
      <c r="Q340">
        <f>'Grid_Stock'!O27</f>
        <v/>
      </c>
      <c r="R340">
        <f>'Grid_Stock'!P27</f>
        <v/>
      </c>
      <c r="S340">
        <f>'Grid_Stock'!Q27</f>
        <v/>
      </c>
      <c r="T340">
        <f>'Grid_Stock'!R27</f>
        <v/>
      </c>
      <c r="U340">
        <f>'Grid_Stock'!S27</f>
        <v/>
      </c>
      <c r="V340">
        <f>'Grid_Stock'!T27</f>
        <v/>
      </c>
      <c r="W340">
        <f>'Grid_Stock'!U27</f>
        <v/>
      </c>
      <c r="X340">
        <f>'Grid_Stock'!V27</f>
        <v/>
      </c>
      <c r="Y340">
        <f>'Grid_Stock'!W27</f>
        <v/>
      </c>
      <c r="Z340">
        <f>'Grid_Stock'!X27</f>
        <v/>
      </c>
      <c r="AA340">
        <f>'Grid_Stock'!Y27</f>
        <v/>
      </c>
      <c r="AB340">
        <f>'Grid_Stock'!Z27</f>
        <v/>
      </c>
      <c r="AC340">
        <f>'Grid_Stock'!AA27</f>
        <v/>
      </c>
      <c r="AD340">
        <f>'Grid_Stock'!AB27</f>
        <v/>
      </c>
      <c r="AE340">
        <f>'Grid_Stock'!AC27</f>
        <v/>
      </c>
      <c r="AF340">
        <f>'Grid_Stock'!AD27</f>
        <v/>
      </c>
      <c r="AG340">
        <f>'Grid_Stock'!AE27</f>
        <v/>
      </c>
      <c r="AH340">
        <f>'Grid_Stock'!AF27</f>
        <v/>
      </c>
      <c r="AI340">
        <f>'Grid_Stock'!AG27</f>
        <v/>
      </c>
      <c r="AJ340">
        <f>'Grid_Stock'!AH27</f>
        <v/>
      </c>
      <c r="AK340">
        <f>'Grid_Stock'!AI27</f>
        <v/>
      </c>
      <c r="AL340">
        <f>'Grid_Stock'!AJ27</f>
        <v/>
      </c>
      <c r="AM340">
        <f>'Grid_Stock'!AK27</f>
        <v/>
      </c>
      <c r="AN340">
        <f>'Grid_Stock'!AL27</f>
        <v/>
      </c>
      <c r="AO340">
        <f>'Grid_Stock'!AM27</f>
        <v/>
      </c>
      <c r="AP340">
        <f>'Grid_Stock'!AN27</f>
        <v/>
      </c>
      <c r="AQ340">
        <f>'Grid_Stock'!AO27</f>
        <v/>
      </c>
      <c r="AR340">
        <f>'Grid_Stock'!AP27</f>
        <v/>
      </c>
      <c r="AS340">
        <f>'Grid_Stock'!AQ27</f>
        <v/>
      </c>
      <c r="AT340">
        <f>'Grid_Stock'!AR27</f>
        <v/>
      </c>
      <c r="AU340">
        <f>'Grid_Stock'!AS27</f>
        <v/>
      </c>
      <c r="AV340">
        <f>'Grid_Stock'!AT27</f>
        <v/>
      </c>
      <c r="AW340">
        <f>'Grid_Stock'!AU27</f>
        <v/>
      </c>
      <c r="AX340">
        <f>'Grid_Stock'!AV27</f>
        <v/>
      </c>
      <c r="AY340">
        <f>'Grid_Stock'!AW27</f>
        <v/>
      </c>
      <c r="AZ340">
        <f>'Grid_Stock'!AX27</f>
        <v/>
      </c>
      <c r="BA340">
        <f>'Grid_Stock'!AY27</f>
        <v/>
      </c>
      <c r="BB340">
        <f>'Grid_Stock'!AZ27</f>
        <v/>
      </c>
      <c r="BC340">
        <f>'Grid_Stock'!BA27</f>
        <v/>
      </c>
      <c r="BD340">
        <f>'Grid_Stock'!BB27</f>
        <v/>
      </c>
      <c r="BE340">
        <f>'Grid_Stock'!BC27</f>
        <v/>
      </c>
      <c r="BF340">
        <f>'Grid_Stock'!BD27</f>
        <v/>
      </c>
      <c r="BG340">
        <f>'Grid_Stock'!BE27</f>
        <v/>
      </c>
      <c r="BH340">
        <f>'Grid_Stock'!BF27</f>
        <v/>
      </c>
      <c r="BI340">
        <f>'Grid_Stock'!BG27</f>
        <v/>
      </c>
      <c r="BJ340">
        <f>'Grid_Stock'!BH27</f>
        <v/>
      </c>
      <c r="BK340">
        <f>'Grid_Stock'!BI27</f>
        <v/>
      </c>
      <c r="BL340">
        <f>'Grid_Stock'!BJ27</f>
        <v/>
      </c>
      <c r="BM340">
        <f>'Grid_Stock'!BK27</f>
        <v/>
      </c>
      <c r="BN340">
        <f>'Grid_Stock'!BL27</f>
        <v/>
      </c>
      <c r="BO340">
        <f>'Grid_Stock'!BM27</f>
        <v/>
      </c>
      <c r="BP340">
        <f>'Grid_Stock'!BN27</f>
        <v/>
      </c>
      <c r="BQ340">
        <f>'Grid_Stock'!BO27</f>
        <v/>
      </c>
      <c r="BR340">
        <f>'Grid_Stock'!BP27</f>
        <v/>
      </c>
      <c r="BS340">
        <f>'Grid_Stock'!BQ27</f>
        <v/>
      </c>
      <c r="BT340">
        <f>'Grid_Stock'!BR27</f>
        <v/>
      </c>
      <c r="BU340">
        <f>'Grid_Stock'!BS27</f>
        <v/>
      </c>
      <c r="BV340">
        <f>'Grid_Stock'!BT27</f>
        <v/>
      </c>
      <c r="BW340">
        <f>'Grid_Stock'!BU27</f>
        <v/>
      </c>
      <c r="BX340">
        <f>'Grid_Stock'!BV27</f>
        <v/>
      </c>
      <c r="BY340">
        <f>'Grid_Stock'!BW27</f>
        <v/>
      </c>
      <c r="BZ340">
        <f>'Grid_Stock'!BX27</f>
        <v/>
      </c>
      <c r="CA340">
        <f>'Grid_Stock'!BY27</f>
        <v/>
      </c>
      <c r="CB340">
        <f>'Grid_Stock'!BZ27</f>
        <v/>
      </c>
      <c r="CC340">
        <f>'Grid_Stock'!CA27</f>
        <v/>
      </c>
      <c r="CD340">
        <f>'Grid_Stock'!CB27</f>
        <v/>
      </c>
      <c r="CE340">
        <f>'Grid_Stock'!CC27</f>
        <v/>
      </c>
      <c r="CF340">
        <f>'Grid_Stock'!CD27</f>
        <v/>
      </c>
      <c r="CG340">
        <f>'Grid_Stock'!CE27</f>
        <v/>
      </c>
      <c r="CH340">
        <f>'Grid_Stock'!CF27</f>
        <v/>
      </c>
      <c r="CI340">
        <f>'Grid_Stock'!CG27</f>
        <v/>
      </c>
      <c r="CJ340">
        <f>'Grid_Stock'!CH27</f>
        <v/>
      </c>
      <c r="CK340">
        <f>'Grid_Stock'!CI27</f>
        <v/>
      </c>
      <c r="CL340">
        <f>'Grid_Stock'!CJ27</f>
        <v/>
      </c>
      <c r="CM340">
        <f>'Grid_Stock'!CK27</f>
        <v/>
      </c>
      <c r="CN340">
        <f>'Grid_Stock'!CL27</f>
        <v/>
      </c>
      <c r="CO340">
        <f>'Grid_Stock'!CM27</f>
        <v/>
      </c>
      <c r="CP340">
        <f>'Grid_Stock'!CN27</f>
        <v/>
      </c>
      <c r="CQ340">
        <f>'Grid_Stock'!CO27</f>
        <v/>
      </c>
      <c r="CR340">
        <f>'Grid_Stock'!CP27</f>
        <v/>
      </c>
      <c r="CS340">
        <f>'Grid_Stock'!CQ27</f>
        <v/>
      </c>
      <c r="CT340">
        <f>'Grid_Stock'!CR27</f>
        <v/>
      </c>
      <c r="CU340">
        <f>'Grid_Stock'!CS27</f>
        <v/>
      </c>
      <c r="CV340">
        <f>'Grid_Stock'!CT27</f>
        <v/>
      </c>
      <c r="CW340">
        <f>'Grid_Stock'!CU27</f>
        <v/>
      </c>
      <c r="CX340">
        <f>'Grid_Stock'!CV27</f>
        <v/>
      </c>
      <c r="CY340">
        <f>'Grid_Stock'!CW27</f>
        <v/>
      </c>
      <c r="CZ340">
        <f>'Grid_Stock'!CX27</f>
        <v/>
      </c>
      <c r="DA340">
        <f>'Grid_Stock'!CY27</f>
        <v/>
      </c>
      <c r="DB340">
        <f>'Grid_Stock'!CZ27</f>
        <v/>
      </c>
      <c r="DC340">
        <f>'Grid_Stock'!DA27</f>
        <v/>
      </c>
    </row>
    <row r="341">
      <c r="B341" s="26" t="inlineStr">
        <is>
          <t>（発注の目安はDashboardの基準在庫[下限/上限]と色分けを参照）</t>
        </is>
      </c>
    </row>
    <row r="343">
      <c r="A343" s="21" t="inlineStr">
        <is>
          <t>CHEM-1600</t>
        </is>
      </c>
      <c r="B343" s="21" t="inlineStr">
        <is>
          <t>BF-1P</t>
        </is>
      </c>
      <c r="C343" s="22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  <c r="AA343" s="21" t="n"/>
      <c r="AB343" s="21" t="n"/>
      <c r="AC343" s="21" t="n"/>
      <c r="AD343" s="21" t="n"/>
      <c r="AE343" s="21" t="n"/>
      <c r="AF343" s="21" t="n"/>
      <c r="AG343" s="21" t="n"/>
      <c r="AH343" s="21" t="n"/>
      <c r="AI343" s="21" t="n"/>
      <c r="AJ343" s="21" t="n"/>
      <c r="AK343" s="21" t="n"/>
      <c r="AL343" s="21" t="n"/>
      <c r="AM343" s="21" t="n"/>
      <c r="AN343" s="21" t="n"/>
      <c r="AO343" s="21" t="n"/>
      <c r="AP343" s="21" t="n"/>
      <c r="AQ343" s="21" t="n"/>
      <c r="AR343" s="21" t="n"/>
      <c r="AS343" s="21" t="n"/>
      <c r="AT343" s="21" t="n"/>
      <c r="AU343" s="21" t="n"/>
      <c r="AV343" s="21" t="n"/>
      <c r="AW343" s="21" t="n"/>
      <c r="AX343" s="21" t="n"/>
      <c r="AY343" s="21" t="n"/>
      <c r="AZ343" s="21" t="n"/>
      <c r="BA343" s="21" t="n"/>
      <c r="BB343" s="21" t="n"/>
      <c r="BC343" s="21" t="n"/>
      <c r="BD343" s="21" t="n"/>
      <c r="BE343" s="21" t="n"/>
      <c r="BF343" s="21" t="n"/>
      <c r="BG343" s="21" t="n"/>
      <c r="BH343" s="21" t="n"/>
      <c r="BI343" s="21" t="n"/>
      <c r="BJ343" s="21" t="n"/>
      <c r="BK343" s="21" t="n"/>
      <c r="BL343" s="21" t="n"/>
      <c r="BM343" s="21" t="n"/>
      <c r="BN343" s="21" t="n"/>
      <c r="BO343" s="21" t="n"/>
      <c r="BP343" s="21" t="n"/>
      <c r="BQ343" s="21" t="n"/>
      <c r="BR343" s="21" t="n"/>
      <c r="BS343" s="21" t="n"/>
      <c r="BT343" s="21" t="n"/>
      <c r="BU343" s="21" t="n"/>
      <c r="BV343" s="21" t="n"/>
      <c r="BW343" s="21" t="n"/>
      <c r="BX343" s="21" t="n"/>
      <c r="BY343" s="21" t="n"/>
      <c r="BZ343" s="21" t="n"/>
      <c r="CA343" s="21" t="n"/>
      <c r="CB343" s="21" t="n"/>
      <c r="CC343" s="21" t="n"/>
      <c r="CD343" s="21" t="n"/>
      <c r="CE343" s="21" t="n"/>
      <c r="CF343" s="21" t="n"/>
      <c r="CG343" s="21" t="n"/>
      <c r="CH343" s="21" t="n"/>
      <c r="CI343" s="21" t="n"/>
      <c r="CJ343" s="21" t="n"/>
      <c r="CK343" s="21" t="n"/>
      <c r="CL343" s="21" t="n"/>
      <c r="CM343" s="21" t="n"/>
      <c r="CN343" s="21" t="n"/>
      <c r="CO343" s="21" t="n"/>
      <c r="CP343" s="21" t="n"/>
      <c r="CQ343" s="21" t="n"/>
      <c r="CR343" s="21" t="n"/>
      <c r="CS343" s="21" t="n"/>
      <c r="CT343" s="21" t="n"/>
      <c r="CU343" s="21" t="n"/>
      <c r="CV343" s="21" t="n"/>
      <c r="CW343" s="21" t="n"/>
      <c r="CX343" s="21" t="n"/>
      <c r="CY343" s="21" t="n"/>
      <c r="CZ343" s="21" t="n"/>
      <c r="DA343" s="21" t="n"/>
      <c r="DB343" s="21" t="n"/>
      <c r="DC343" s="21" t="n"/>
    </row>
    <row r="344">
      <c r="B344" t="inlineStr">
        <is>
          <t>TSP-1388</t>
        </is>
      </c>
      <c r="C344" t="inlineStr">
        <is>
          <t>No. of batches</t>
        </is>
      </c>
      <c r="D344">
        <f>IFERROR(INDEX(PP_Grid[#Data],$DD344,2),0)</f>
        <v/>
      </c>
      <c r="E344">
        <f>IFERROR(INDEX(PP_Grid[#Data],$DD344,3),0)</f>
        <v/>
      </c>
      <c r="F344">
        <f>IFERROR(INDEX(PP_Grid[#Data],$DD344,4),0)</f>
        <v/>
      </c>
      <c r="G344">
        <f>IFERROR(INDEX(PP_Grid[#Data],$DD344,5),0)</f>
        <v/>
      </c>
      <c r="H344">
        <f>IFERROR(INDEX(PP_Grid[#Data],$DD344,6),0)</f>
        <v/>
      </c>
      <c r="I344">
        <f>IFERROR(INDEX(PP_Grid[#Data],$DD344,7),0)</f>
        <v/>
      </c>
      <c r="J344">
        <f>IFERROR(INDEX(PP_Grid[#Data],$DD344,8),0)</f>
        <v/>
      </c>
      <c r="K344">
        <f>IFERROR(INDEX(PP_Grid[#Data],$DD344,9),0)</f>
        <v/>
      </c>
      <c r="L344">
        <f>IFERROR(INDEX(PP_Grid[#Data],$DD344,10),0)</f>
        <v/>
      </c>
      <c r="M344">
        <f>IFERROR(INDEX(PP_Grid[#Data],$DD344,11),0)</f>
        <v/>
      </c>
      <c r="N344">
        <f>IFERROR(INDEX(PP_Grid[#Data],$DD344,12),0)</f>
        <v/>
      </c>
      <c r="O344">
        <f>IFERROR(INDEX(PP_Grid[#Data],$DD344,13),0)</f>
        <v/>
      </c>
      <c r="P344">
        <f>IFERROR(INDEX(PP_Grid[#Data],$DD344,14),0)</f>
        <v/>
      </c>
      <c r="Q344">
        <f>IFERROR(INDEX(PP_Grid[#Data],$DD344,15),0)</f>
        <v/>
      </c>
      <c r="R344">
        <f>IFERROR(INDEX(PP_Grid[#Data],$DD344,16),0)</f>
        <v/>
      </c>
      <c r="S344">
        <f>IFERROR(INDEX(PP_Grid[#Data],$DD344,17),0)</f>
        <v/>
      </c>
      <c r="T344">
        <f>IFERROR(INDEX(PP_Grid[#Data],$DD344,18),0)</f>
        <v/>
      </c>
      <c r="U344">
        <f>IFERROR(INDEX(PP_Grid[#Data],$DD344,19),0)</f>
        <v/>
      </c>
      <c r="V344">
        <f>IFERROR(INDEX(PP_Grid[#Data],$DD344,20),0)</f>
        <v/>
      </c>
      <c r="W344">
        <f>IFERROR(INDEX(PP_Grid[#Data],$DD344,21),0)</f>
        <v/>
      </c>
      <c r="X344">
        <f>IFERROR(INDEX(PP_Grid[#Data],$DD344,22),0)</f>
        <v/>
      </c>
      <c r="Y344">
        <f>IFERROR(INDEX(PP_Grid[#Data],$DD344,23),0)</f>
        <v/>
      </c>
      <c r="Z344">
        <f>IFERROR(INDEX(PP_Grid[#Data],$DD344,24),0)</f>
        <v/>
      </c>
      <c r="AA344">
        <f>IFERROR(INDEX(PP_Grid[#Data],$DD344,25),0)</f>
        <v/>
      </c>
      <c r="AB344">
        <f>IFERROR(INDEX(PP_Grid[#Data],$DD344,26),0)</f>
        <v/>
      </c>
      <c r="AC344">
        <f>IFERROR(INDEX(PP_Grid[#Data],$DD344,27),0)</f>
        <v/>
      </c>
      <c r="AD344">
        <f>IFERROR(INDEX(PP_Grid[#Data],$DD344,28),0)</f>
        <v/>
      </c>
      <c r="AE344">
        <f>IFERROR(INDEX(PP_Grid[#Data],$DD344,29),0)</f>
        <v/>
      </c>
      <c r="AF344">
        <f>IFERROR(INDEX(PP_Grid[#Data],$DD344,30),0)</f>
        <v/>
      </c>
      <c r="AG344">
        <f>IFERROR(INDEX(PP_Grid[#Data],$DD344,31),0)</f>
        <v/>
      </c>
      <c r="AH344">
        <f>IFERROR(INDEX(PP_Grid[#Data],$DD344,32),0)</f>
        <v/>
      </c>
      <c r="AI344">
        <f>IFERROR(INDEX(PP_Grid[#Data],$DD344,33),0)</f>
        <v/>
      </c>
      <c r="AJ344">
        <f>IFERROR(INDEX(PP_Grid[#Data],$DD344,34),0)</f>
        <v/>
      </c>
      <c r="AK344">
        <f>IFERROR(INDEX(PP_Grid[#Data],$DD344,35),0)</f>
        <v/>
      </c>
      <c r="AL344">
        <f>IFERROR(INDEX(PP_Grid[#Data],$DD344,36),0)</f>
        <v/>
      </c>
      <c r="AM344">
        <f>IFERROR(INDEX(PP_Grid[#Data],$DD344,37),0)</f>
        <v/>
      </c>
      <c r="AN344">
        <f>IFERROR(INDEX(PP_Grid[#Data],$DD344,38),0)</f>
        <v/>
      </c>
      <c r="AO344">
        <f>IFERROR(INDEX(PP_Grid[#Data],$DD344,39),0)</f>
        <v/>
      </c>
      <c r="AP344">
        <f>IFERROR(INDEX(PP_Grid[#Data],$DD344,40),0)</f>
        <v/>
      </c>
      <c r="AQ344">
        <f>IFERROR(INDEX(PP_Grid[#Data],$DD344,41),0)</f>
        <v/>
      </c>
      <c r="AR344">
        <f>IFERROR(INDEX(PP_Grid[#Data],$DD344,42),0)</f>
        <v/>
      </c>
      <c r="AS344">
        <f>IFERROR(INDEX(PP_Grid[#Data],$DD344,43),0)</f>
        <v/>
      </c>
      <c r="AT344">
        <f>IFERROR(INDEX(PP_Grid[#Data],$DD344,44),0)</f>
        <v/>
      </c>
      <c r="AU344">
        <f>IFERROR(INDEX(PP_Grid[#Data],$DD344,45),0)</f>
        <v/>
      </c>
      <c r="AV344">
        <f>IFERROR(INDEX(PP_Grid[#Data],$DD344,46),0)</f>
        <v/>
      </c>
      <c r="AW344">
        <f>IFERROR(INDEX(PP_Grid[#Data],$DD344,47),0)</f>
        <v/>
      </c>
      <c r="AX344">
        <f>IFERROR(INDEX(PP_Grid[#Data],$DD344,48),0)</f>
        <v/>
      </c>
      <c r="AY344">
        <f>IFERROR(INDEX(PP_Grid[#Data],$DD344,49),0)</f>
        <v/>
      </c>
      <c r="AZ344">
        <f>IFERROR(INDEX(PP_Grid[#Data],$DD344,50),0)</f>
        <v/>
      </c>
      <c r="BA344">
        <f>IFERROR(INDEX(PP_Grid[#Data],$DD344,51),0)</f>
        <v/>
      </c>
      <c r="BB344">
        <f>IFERROR(INDEX(PP_Grid[#Data],$DD344,52),0)</f>
        <v/>
      </c>
      <c r="BC344">
        <f>IFERROR(INDEX(PP_Grid[#Data],$DD344,53),0)</f>
        <v/>
      </c>
      <c r="BD344">
        <f>IFERROR(INDEX(PP_Grid[#Data],$DD344,54),0)</f>
        <v/>
      </c>
      <c r="BE344">
        <f>IFERROR(INDEX(PP_Grid[#Data],$DD344,55),0)</f>
        <v/>
      </c>
      <c r="BF344">
        <f>IFERROR(INDEX(PP_Grid[#Data],$DD344,56),0)</f>
        <v/>
      </c>
      <c r="BG344">
        <f>IFERROR(INDEX(PP_Grid[#Data],$DD344,57),0)</f>
        <v/>
      </c>
      <c r="BH344">
        <f>IFERROR(INDEX(PP_Grid[#Data],$DD344,58),0)</f>
        <v/>
      </c>
      <c r="BI344">
        <f>IFERROR(INDEX(PP_Grid[#Data],$DD344,59),0)</f>
        <v/>
      </c>
      <c r="BJ344">
        <f>IFERROR(INDEX(PP_Grid[#Data],$DD344,60),0)</f>
        <v/>
      </c>
      <c r="BK344">
        <f>IFERROR(INDEX(PP_Grid[#Data],$DD344,61),0)</f>
        <v/>
      </c>
      <c r="BL344">
        <f>IFERROR(INDEX(PP_Grid[#Data],$DD344,62),0)</f>
        <v/>
      </c>
      <c r="BM344">
        <f>IFERROR(INDEX(PP_Grid[#Data],$DD344,63),0)</f>
        <v/>
      </c>
      <c r="BN344">
        <f>IFERROR(INDEX(PP_Grid[#Data],$DD344,64),0)</f>
        <v/>
      </c>
      <c r="BO344">
        <f>IFERROR(INDEX(PP_Grid[#Data],$DD344,65),0)</f>
        <v/>
      </c>
      <c r="BP344">
        <f>IFERROR(INDEX(PP_Grid[#Data],$DD344,66),0)</f>
        <v/>
      </c>
      <c r="BQ344">
        <f>IFERROR(INDEX(PP_Grid[#Data],$DD344,67),0)</f>
        <v/>
      </c>
      <c r="BR344">
        <f>IFERROR(INDEX(PP_Grid[#Data],$DD344,68),0)</f>
        <v/>
      </c>
      <c r="BS344">
        <f>IFERROR(INDEX(PP_Grid[#Data],$DD344,69),0)</f>
        <v/>
      </c>
      <c r="BT344">
        <f>IFERROR(INDEX(PP_Grid[#Data],$DD344,70),0)</f>
        <v/>
      </c>
      <c r="BU344">
        <f>IFERROR(INDEX(PP_Grid[#Data],$DD344,71),0)</f>
        <v/>
      </c>
      <c r="BV344">
        <f>IFERROR(INDEX(PP_Grid[#Data],$DD344,72),0)</f>
        <v/>
      </c>
      <c r="BW344">
        <f>IFERROR(INDEX(PP_Grid[#Data],$DD344,73),0)</f>
        <v/>
      </c>
      <c r="BX344">
        <f>IFERROR(INDEX(PP_Grid[#Data],$DD344,74),0)</f>
        <v/>
      </c>
      <c r="BY344">
        <f>IFERROR(INDEX(PP_Grid[#Data],$DD344,75),0)</f>
        <v/>
      </c>
      <c r="BZ344">
        <f>IFERROR(INDEX(PP_Grid[#Data],$DD344,76),0)</f>
        <v/>
      </c>
      <c r="CA344">
        <f>IFERROR(INDEX(PP_Grid[#Data],$DD344,77),0)</f>
        <v/>
      </c>
      <c r="CB344">
        <f>IFERROR(INDEX(PP_Grid[#Data],$DD344,78),0)</f>
        <v/>
      </c>
      <c r="CC344">
        <f>IFERROR(INDEX(PP_Grid[#Data],$DD344,79),0)</f>
        <v/>
      </c>
      <c r="CD344">
        <f>IFERROR(INDEX(PP_Grid[#Data],$DD344,80),0)</f>
        <v/>
      </c>
      <c r="CE344">
        <f>IFERROR(INDEX(PP_Grid[#Data],$DD344,81),0)</f>
        <v/>
      </c>
      <c r="CF344">
        <f>IFERROR(INDEX(PP_Grid[#Data],$DD344,82),0)</f>
        <v/>
      </c>
      <c r="CG344">
        <f>IFERROR(INDEX(PP_Grid[#Data],$DD344,83),0)</f>
        <v/>
      </c>
      <c r="CH344">
        <f>IFERROR(INDEX(PP_Grid[#Data],$DD344,84),0)</f>
        <v/>
      </c>
      <c r="CI344">
        <f>IFERROR(INDEX(PP_Grid[#Data],$DD344,85),0)</f>
        <v/>
      </c>
      <c r="CJ344">
        <f>IFERROR(INDEX(PP_Grid[#Data],$DD344,86),0)</f>
        <v/>
      </c>
      <c r="CK344">
        <f>IFERROR(INDEX(PP_Grid[#Data],$DD344,87),0)</f>
        <v/>
      </c>
      <c r="CL344">
        <f>IFERROR(INDEX(PP_Grid[#Data],$DD344,88),0)</f>
        <v/>
      </c>
      <c r="CM344">
        <f>IFERROR(INDEX(PP_Grid[#Data],$DD344,89),0)</f>
        <v/>
      </c>
      <c r="CN344">
        <f>IFERROR(INDEX(PP_Grid[#Data],$DD344,90),0)</f>
        <v/>
      </c>
      <c r="CO344">
        <f>IFERROR(INDEX(PP_Grid[#Data],$DD344,91),0)</f>
        <v/>
      </c>
      <c r="CP344">
        <f>IFERROR(INDEX(PP_Grid[#Data],$DD344,92),0)</f>
        <v/>
      </c>
      <c r="CQ344">
        <f>IFERROR(INDEX(PP_Grid[#Data],$DD344,93),0)</f>
        <v/>
      </c>
      <c r="CR344">
        <f>IFERROR(INDEX(PP_Grid[#Data],$DD344,94),0)</f>
        <v/>
      </c>
      <c r="CS344">
        <f>IFERROR(INDEX(PP_Grid[#Data],$DD344,95),0)</f>
        <v/>
      </c>
      <c r="CT344">
        <f>IFERROR(INDEX(PP_Grid[#Data],$DD344,96),0)</f>
        <v/>
      </c>
      <c r="CU344">
        <f>IFERROR(INDEX(PP_Grid[#Data],$DD344,97),0)</f>
        <v/>
      </c>
      <c r="CV344">
        <f>IFERROR(INDEX(PP_Grid[#Data],$DD344,98),0)</f>
        <v/>
      </c>
      <c r="CW344">
        <f>IFERROR(INDEX(PP_Grid[#Data],$DD344,99),0)</f>
        <v/>
      </c>
      <c r="CX344">
        <f>IFERROR(INDEX(PP_Grid[#Data],$DD344,100),0)</f>
        <v/>
      </c>
      <c r="CY344">
        <f>IFERROR(INDEX(PP_Grid[#Data],$DD344,101),0)</f>
        <v/>
      </c>
      <c r="CZ344">
        <f>IFERROR(INDEX(PP_Grid[#Data],$DD344,102),0)</f>
        <v/>
      </c>
      <c r="DA344">
        <f>IFERROR(INDEX(PP_Grid[#Data],$DD344,103),0)</f>
        <v/>
      </c>
      <c r="DB344">
        <f>IFERROR(INDEX(PP_Grid[#Data],$DD344,104),0)</f>
        <v/>
      </c>
      <c r="DC344">
        <f>IFERROR(INDEX(PP_Grid[#Data],$DD344,105),0)</f>
        <v/>
      </c>
      <c r="DD344" s="12">
        <f>IFERROR(MATCH($B344,PP_Grid[Intermediate],0),99999)</f>
        <v/>
      </c>
    </row>
    <row r="345">
      <c r="B345" t="inlineStr">
        <is>
          <t>使用量(kg)</t>
        </is>
      </c>
      <c r="C345">
        <f>SUMIFS(M_BOM[RM_Qty_Per_Batch],M_BOM[Intermediate],$B344,M_BOM[Part Name],$A343)</f>
        <v/>
      </c>
      <c r="D345">
        <f>$C345*D344</f>
        <v/>
      </c>
      <c r="E345">
        <f>$C345*E344</f>
        <v/>
      </c>
      <c r="F345">
        <f>$C345*F344</f>
        <v/>
      </c>
      <c r="G345">
        <f>$C345*G344</f>
        <v/>
      </c>
      <c r="H345">
        <f>$C345*H344</f>
        <v/>
      </c>
      <c r="I345">
        <f>$C345*I344</f>
        <v/>
      </c>
      <c r="J345">
        <f>$C345*J344</f>
        <v/>
      </c>
      <c r="K345">
        <f>$C345*K344</f>
        <v/>
      </c>
      <c r="L345">
        <f>$C345*L344</f>
        <v/>
      </c>
      <c r="M345">
        <f>$C345*M344</f>
        <v/>
      </c>
      <c r="N345">
        <f>$C345*N344</f>
        <v/>
      </c>
      <c r="O345">
        <f>$C345*O344</f>
        <v/>
      </c>
      <c r="P345">
        <f>$C345*P344</f>
        <v/>
      </c>
      <c r="Q345">
        <f>$C345*Q344</f>
        <v/>
      </c>
      <c r="R345">
        <f>$C345*R344</f>
        <v/>
      </c>
      <c r="S345">
        <f>$C345*S344</f>
        <v/>
      </c>
      <c r="T345">
        <f>$C345*T344</f>
        <v/>
      </c>
      <c r="U345">
        <f>$C345*U344</f>
        <v/>
      </c>
      <c r="V345">
        <f>$C345*V344</f>
        <v/>
      </c>
      <c r="W345">
        <f>$C345*W344</f>
        <v/>
      </c>
      <c r="X345">
        <f>$C345*X344</f>
        <v/>
      </c>
      <c r="Y345">
        <f>$C345*Y344</f>
        <v/>
      </c>
      <c r="Z345">
        <f>$C345*Z344</f>
        <v/>
      </c>
      <c r="AA345">
        <f>$C345*AA344</f>
        <v/>
      </c>
      <c r="AB345">
        <f>$C345*AB344</f>
        <v/>
      </c>
      <c r="AC345">
        <f>$C345*AC344</f>
        <v/>
      </c>
      <c r="AD345">
        <f>$C345*AD344</f>
        <v/>
      </c>
      <c r="AE345">
        <f>$C345*AE344</f>
        <v/>
      </c>
      <c r="AF345">
        <f>$C345*AF344</f>
        <v/>
      </c>
      <c r="AG345">
        <f>$C345*AG344</f>
        <v/>
      </c>
      <c r="AH345">
        <f>$C345*AH344</f>
        <v/>
      </c>
      <c r="AI345">
        <f>$C345*AI344</f>
        <v/>
      </c>
      <c r="AJ345">
        <f>$C345*AJ344</f>
        <v/>
      </c>
      <c r="AK345">
        <f>$C345*AK344</f>
        <v/>
      </c>
      <c r="AL345">
        <f>$C345*AL344</f>
        <v/>
      </c>
      <c r="AM345">
        <f>$C345*AM344</f>
        <v/>
      </c>
      <c r="AN345">
        <f>$C345*AN344</f>
        <v/>
      </c>
      <c r="AO345">
        <f>$C345*AO344</f>
        <v/>
      </c>
      <c r="AP345">
        <f>$C345*AP344</f>
        <v/>
      </c>
      <c r="AQ345">
        <f>$C345*AQ344</f>
        <v/>
      </c>
      <c r="AR345">
        <f>$C345*AR344</f>
        <v/>
      </c>
      <c r="AS345">
        <f>$C345*AS344</f>
        <v/>
      </c>
      <c r="AT345">
        <f>$C345*AT344</f>
        <v/>
      </c>
      <c r="AU345">
        <f>$C345*AU344</f>
        <v/>
      </c>
      <c r="AV345">
        <f>$C345*AV344</f>
        <v/>
      </c>
      <c r="AW345">
        <f>$C345*AW344</f>
        <v/>
      </c>
      <c r="AX345">
        <f>$C345*AX344</f>
        <v/>
      </c>
      <c r="AY345">
        <f>$C345*AY344</f>
        <v/>
      </c>
      <c r="AZ345">
        <f>$C345*AZ344</f>
        <v/>
      </c>
      <c r="BA345">
        <f>$C345*BA344</f>
        <v/>
      </c>
      <c r="BB345">
        <f>$C345*BB344</f>
        <v/>
      </c>
      <c r="BC345">
        <f>$C345*BC344</f>
        <v/>
      </c>
      <c r="BD345">
        <f>$C345*BD344</f>
        <v/>
      </c>
      <c r="BE345">
        <f>$C345*BE344</f>
        <v/>
      </c>
      <c r="BF345">
        <f>$C345*BF344</f>
        <v/>
      </c>
      <c r="BG345">
        <f>$C345*BG344</f>
        <v/>
      </c>
      <c r="BH345">
        <f>$C345*BH344</f>
        <v/>
      </c>
      <c r="BI345">
        <f>$C345*BI344</f>
        <v/>
      </c>
      <c r="BJ345">
        <f>$C345*BJ344</f>
        <v/>
      </c>
      <c r="BK345">
        <f>$C345*BK344</f>
        <v/>
      </c>
      <c r="BL345">
        <f>$C345*BL344</f>
        <v/>
      </c>
      <c r="BM345">
        <f>$C345*BM344</f>
        <v/>
      </c>
      <c r="BN345">
        <f>$C345*BN344</f>
        <v/>
      </c>
      <c r="BO345">
        <f>$C345*BO344</f>
        <v/>
      </c>
      <c r="BP345">
        <f>$C345*BP344</f>
        <v/>
      </c>
      <c r="BQ345">
        <f>$C345*BQ344</f>
        <v/>
      </c>
      <c r="BR345">
        <f>$C345*BR344</f>
        <v/>
      </c>
      <c r="BS345">
        <f>$C345*BS344</f>
        <v/>
      </c>
      <c r="BT345">
        <f>$C345*BT344</f>
        <v/>
      </c>
      <c r="BU345">
        <f>$C345*BU344</f>
        <v/>
      </c>
      <c r="BV345">
        <f>$C345*BV344</f>
        <v/>
      </c>
      <c r="BW345">
        <f>$C345*BW344</f>
        <v/>
      </c>
      <c r="BX345">
        <f>$C345*BX344</f>
        <v/>
      </c>
      <c r="BY345">
        <f>$C345*BY344</f>
        <v/>
      </c>
      <c r="BZ345">
        <f>$C345*BZ344</f>
        <v/>
      </c>
      <c r="CA345">
        <f>$C345*CA344</f>
        <v/>
      </c>
      <c r="CB345">
        <f>$C345*CB344</f>
        <v/>
      </c>
      <c r="CC345">
        <f>$C345*CC344</f>
        <v/>
      </c>
      <c r="CD345">
        <f>$C345*CD344</f>
        <v/>
      </c>
      <c r="CE345">
        <f>$C345*CE344</f>
        <v/>
      </c>
      <c r="CF345">
        <f>$C345*CF344</f>
        <v/>
      </c>
      <c r="CG345">
        <f>$C345*CG344</f>
        <v/>
      </c>
      <c r="CH345">
        <f>$C345*CH344</f>
        <v/>
      </c>
      <c r="CI345">
        <f>$C345*CI344</f>
        <v/>
      </c>
      <c r="CJ345">
        <f>$C345*CJ344</f>
        <v/>
      </c>
      <c r="CK345">
        <f>$C345*CK344</f>
        <v/>
      </c>
      <c r="CL345">
        <f>$C345*CL344</f>
        <v/>
      </c>
      <c r="CM345">
        <f>$C345*CM344</f>
        <v/>
      </c>
      <c r="CN345">
        <f>$C345*CN344</f>
        <v/>
      </c>
      <c r="CO345">
        <f>$C345*CO344</f>
        <v/>
      </c>
      <c r="CP345">
        <f>$C345*CP344</f>
        <v/>
      </c>
      <c r="CQ345">
        <f>$C345*CQ344</f>
        <v/>
      </c>
      <c r="CR345">
        <f>$C345*CR344</f>
        <v/>
      </c>
      <c r="CS345">
        <f>$C345*CS344</f>
        <v/>
      </c>
      <c r="CT345">
        <f>$C345*CT344</f>
        <v/>
      </c>
      <c r="CU345">
        <f>$C345*CU344</f>
        <v/>
      </c>
      <c r="CV345">
        <f>$C345*CV344</f>
        <v/>
      </c>
      <c r="CW345">
        <f>$C345*CW344</f>
        <v/>
      </c>
      <c r="CX345">
        <f>$C345*CX344</f>
        <v/>
      </c>
      <c r="CY345">
        <f>$C345*CY344</f>
        <v/>
      </c>
      <c r="CZ345">
        <f>$C345*CZ344</f>
        <v/>
      </c>
      <c r="DA345">
        <f>$C345*DA344</f>
        <v/>
      </c>
      <c r="DB345">
        <f>$C345*DB344</f>
        <v/>
      </c>
      <c r="DC345">
        <f>$C345*DC344</f>
        <v/>
      </c>
    </row>
    <row r="346">
      <c r="B346" t="inlineStr">
        <is>
          <t>TSP-618</t>
        </is>
      </c>
      <c r="C346" t="inlineStr">
        <is>
          <t>No. of batches</t>
        </is>
      </c>
      <c r="D346">
        <f>IFERROR(INDEX(PP_Grid[#Data],$DD346,2),0)</f>
        <v/>
      </c>
      <c r="E346">
        <f>IFERROR(INDEX(PP_Grid[#Data],$DD346,3),0)</f>
        <v/>
      </c>
      <c r="F346">
        <f>IFERROR(INDEX(PP_Grid[#Data],$DD346,4),0)</f>
        <v/>
      </c>
      <c r="G346">
        <f>IFERROR(INDEX(PP_Grid[#Data],$DD346,5),0)</f>
        <v/>
      </c>
      <c r="H346">
        <f>IFERROR(INDEX(PP_Grid[#Data],$DD346,6),0)</f>
        <v/>
      </c>
      <c r="I346">
        <f>IFERROR(INDEX(PP_Grid[#Data],$DD346,7),0)</f>
        <v/>
      </c>
      <c r="J346">
        <f>IFERROR(INDEX(PP_Grid[#Data],$DD346,8),0)</f>
        <v/>
      </c>
      <c r="K346">
        <f>IFERROR(INDEX(PP_Grid[#Data],$DD346,9),0)</f>
        <v/>
      </c>
      <c r="L346">
        <f>IFERROR(INDEX(PP_Grid[#Data],$DD346,10),0)</f>
        <v/>
      </c>
      <c r="M346">
        <f>IFERROR(INDEX(PP_Grid[#Data],$DD346,11),0)</f>
        <v/>
      </c>
      <c r="N346">
        <f>IFERROR(INDEX(PP_Grid[#Data],$DD346,12),0)</f>
        <v/>
      </c>
      <c r="O346">
        <f>IFERROR(INDEX(PP_Grid[#Data],$DD346,13),0)</f>
        <v/>
      </c>
      <c r="P346">
        <f>IFERROR(INDEX(PP_Grid[#Data],$DD346,14),0)</f>
        <v/>
      </c>
      <c r="Q346">
        <f>IFERROR(INDEX(PP_Grid[#Data],$DD346,15),0)</f>
        <v/>
      </c>
      <c r="R346">
        <f>IFERROR(INDEX(PP_Grid[#Data],$DD346,16),0)</f>
        <v/>
      </c>
      <c r="S346">
        <f>IFERROR(INDEX(PP_Grid[#Data],$DD346,17),0)</f>
        <v/>
      </c>
      <c r="T346">
        <f>IFERROR(INDEX(PP_Grid[#Data],$DD346,18),0)</f>
        <v/>
      </c>
      <c r="U346">
        <f>IFERROR(INDEX(PP_Grid[#Data],$DD346,19),0)</f>
        <v/>
      </c>
      <c r="V346">
        <f>IFERROR(INDEX(PP_Grid[#Data],$DD346,20),0)</f>
        <v/>
      </c>
      <c r="W346">
        <f>IFERROR(INDEX(PP_Grid[#Data],$DD346,21),0)</f>
        <v/>
      </c>
      <c r="X346">
        <f>IFERROR(INDEX(PP_Grid[#Data],$DD346,22),0)</f>
        <v/>
      </c>
      <c r="Y346">
        <f>IFERROR(INDEX(PP_Grid[#Data],$DD346,23),0)</f>
        <v/>
      </c>
      <c r="Z346">
        <f>IFERROR(INDEX(PP_Grid[#Data],$DD346,24),0)</f>
        <v/>
      </c>
      <c r="AA346">
        <f>IFERROR(INDEX(PP_Grid[#Data],$DD346,25),0)</f>
        <v/>
      </c>
      <c r="AB346">
        <f>IFERROR(INDEX(PP_Grid[#Data],$DD346,26),0)</f>
        <v/>
      </c>
      <c r="AC346">
        <f>IFERROR(INDEX(PP_Grid[#Data],$DD346,27),0)</f>
        <v/>
      </c>
      <c r="AD346">
        <f>IFERROR(INDEX(PP_Grid[#Data],$DD346,28),0)</f>
        <v/>
      </c>
      <c r="AE346">
        <f>IFERROR(INDEX(PP_Grid[#Data],$DD346,29),0)</f>
        <v/>
      </c>
      <c r="AF346">
        <f>IFERROR(INDEX(PP_Grid[#Data],$DD346,30),0)</f>
        <v/>
      </c>
      <c r="AG346">
        <f>IFERROR(INDEX(PP_Grid[#Data],$DD346,31),0)</f>
        <v/>
      </c>
      <c r="AH346">
        <f>IFERROR(INDEX(PP_Grid[#Data],$DD346,32),0)</f>
        <v/>
      </c>
      <c r="AI346">
        <f>IFERROR(INDEX(PP_Grid[#Data],$DD346,33),0)</f>
        <v/>
      </c>
      <c r="AJ346">
        <f>IFERROR(INDEX(PP_Grid[#Data],$DD346,34),0)</f>
        <v/>
      </c>
      <c r="AK346">
        <f>IFERROR(INDEX(PP_Grid[#Data],$DD346,35),0)</f>
        <v/>
      </c>
      <c r="AL346">
        <f>IFERROR(INDEX(PP_Grid[#Data],$DD346,36),0)</f>
        <v/>
      </c>
      <c r="AM346">
        <f>IFERROR(INDEX(PP_Grid[#Data],$DD346,37),0)</f>
        <v/>
      </c>
      <c r="AN346">
        <f>IFERROR(INDEX(PP_Grid[#Data],$DD346,38),0)</f>
        <v/>
      </c>
      <c r="AO346">
        <f>IFERROR(INDEX(PP_Grid[#Data],$DD346,39),0)</f>
        <v/>
      </c>
      <c r="AP346">
        <f>IFERROR(INDEX(PP_Grid[#Data],$DD346,40),0)</f>
        <v/>
      </c>
      <c r="AQ346">
        <f>IFERROR(INDEX(PP_Grid[#Data],$DD346,41),0)</f>
        <v/>
      </c>
      <c r="AR346">
        <f>IFERROR(INDEX(PP_Grid[#Data],$DD346,42),0)</f>
        <v/>
      </c>
      <c r="AS346">
        <f>IFERROR(INDEX(PP_Grid[#Data],$DD346,43),0)</f>
        <v/>
      </c>
      <c r="AT346">
        <f>IFERROR(INDEX(PP_Grid[#Data],$DD346,44),0)</f>
        <v/>
      </c>
      <c r="AU346">
        <f>IFERROR(INDEX(PP_Grid[#Data],$DD346,45),0)</f>
        <v/>
      </c>
      <c r="AV346">
        <f>IFERROR(INDEX(PP_Grid[#Data],$DD346,46),0)</f>
        <v/>
      </c>
      <c r="AW346">
        <f>IFERROR(INDEX(PP_Grid[#Data],$DD346,47),0)</f>
        <v/>
      </c>
      <c r="AX346">
        <f>IFERROR(INDEX(PP_Grid[#Data],$DD346,48),0)</f>
        <v/>
      </c>
      <c r="AY346">
        <f>IFERROR(INDEX(PP_Grid[#Data],$DD346,49),0)</f>
        <v/>
      </c>
      <c r="AZ346">
        <f>IFERROR(INDEX(PP_Grid[#Data],$DD346,50),0)</f>
        <v/>
      </c>
      <c r="BA346">
        <f>IFERROR(INDEX(PP_Grid[#Data],$DD346,51),0)</f>
        <v/>
      </c>
      <c r="BB346">
        <f>IFERROR(INDEX(PP_Grid[#Data],$DD346,52),0)</f>
        <v/>
      </c>
      <c r="BC346">
        <f>IFERROR(INDEX(PP_Grid[#Data],$DD346,53),0)</f>
        <v/>
      </c>
      <c r="BD346">
        <f>IFERROR(INDEX(PP_Grid[#Data],$DD346,54),0)</f>
        <v/>
      </c>
      <c r="BE346">
        <f>IFERROR(INDEX(PP_Grid[#Data],$DD346,55),0)</f>
        <v/>
      </c>
      <c r="BF346">
        <f>IFERROR(INDEX(PP_Grid[#Data],$DD346,56),0)</f>
        <v/>
      </c>
      <c r="BG346">
        <f>IFERROR(INDEX(PP_Grid[#Data],$DD346,57),0)</f>
        <v/>
      </c>
      <c r="BH346">
        <f>IFERROR(INDEX(PP_Grid[#Data],$DD346,58),0)</f>
        <v/>
      </c>
      <c r="BI346">
        <f>IFERROR(INDEX(PP_Grid[#Data],$DD346,59),0)</f>
        <v/>
      </c>
      <c r="BJ346">
        <f>IFERROR(INDEX(PP_Grid[#Data],$DD346,60),0)</f>
        <v/>
      </c>
      <c r="BK346">
        <f>IFERROR(INDEX(PP_Grid[#Data],$DD346,61),0)</f>
        <v/>
      </c>
      <c r="BL346">
        <f>IFERROR(INDEX(PP_Grid[#Data],$DD346,62),0)</f>
        <v/>
      </c>
      <c r="BM346">
        <f>IFERROR(INDEX(PP_Grid[#Data],$DD346,63),0)</f>
        <v/>
      </c>
      <c r="BN346">
        <f>IFERROR(INDEX(PP_Grid[#Data],$DD346,64),0)</f>
        <v/>
      </c>
      <c r="BO346">
        <f>IFERROR(INDEX(PP_Grid[#Data],$DD346,65),0)</f>
        <v/>
      </c>
      <c r="BP346">
        <f>IFERROR(INDEX(PP_Grid[#Data],$DD346,66),0)</f>
        <v/>
      </c>
      <c r="BQ346">
        <f>IFERROR(INDEX(PP_Grid[#Data],$DD346,67),0)</f>
        <v/>
      </c>
      <c r="BR346">
        <f>IFERROR(INDEX(PP_Grid[#Data],$DD346,68),0)</f>
        <v/>
      </c>
      <c r="BS346">
        <f>IFERROR(INDEX(PP_Grid[#Data],$DD346,69),0)</f>
        <v/>
      </c>
      <c r="BT346">
        <f>IFERROR(INDEX(PP_Grid[#Data],$DD346,70),0)</f>
        <v/>
      </c>
      <c r="BU346">
        <f>IFERROR(INDEX(PP_Grid[#Data],$DD346,71),0)</f>
        <v/>
      </c>
      <c r="BV346">
        <f>IFERROR(INDEX(PP_Grid[#Data],$DD346,72),0)</f>
        <v/>
      </c>
      <c r="BW346">
        <f>IFERROR(INDEX(PP_Grid[#Data],$DD346,73),0)</f>
        <v/>
      </c>
      <c r="BX346">
        <f>IFERROR(INDEX(PP_Grid[#Data],$DD346,74),0)</f>
        <v/>
      </c>
      <c r="BY346">
        <f>IFERROR(INDEX(PP_Grid[#Data],$DD346,75),0)</f>
        <v/>
      </c>
      <c r="BZ346">
        <f>IFERROR(INDEX(PP_Grid[#Data],$DD346,76),0)</f>
        <v/>
      </c>
      <c r="CA346">
        <f>IFERROR(INDEX(PP_Grid[#Data],$DD346,77),0)</f>
        <v/>
      </c>
      <c r="CB346">
        <f>IFERROR(INDEX(PP_Grid[#Data],$DD346,78),0)</f>
        <v/>
      </c>
      <c r="CC346">
        <f>IFERROR(INDEX(PP_Grid[#Data],$DD346,79),0)</f>
        <v/>
      </c>
      <c r="CD346">
        <f>IFERROR(INDEX(PP_Grid[#Data],$DD346,80),0)</f>
        <v/>
      </c>
      <c r="CE346">
        <f>IFERROR(INDEX(PP_Grid[#Data],$DD346,81),0)</f>
        <v/>
      </c>
      <c r="CF346">
        <f>IFERROR(INDEX(PP_Grid[#Data],$DD346,82),0)</f>
        <v/>
      </c>
      <c r="CG346">
        <f>IFERROR(INDEX(PP_Grid[#Data],$DD346,83),0)</f>
        <v/>
      </c>
      <c r="CH346">
        <f>IFERROR(INDEX(PP_Grid[#Data],$DD346,84),0)</f>
        <v/>
      </c>
      <c r="CI346">
        <f>IFERROR(INDEX(PP_Grid[#Data],$DD346,85),0)</f>
        <v/>
      </c>
      <c r="CJ346">
        <f>IFERROR(INDEX(PP_Grid[#Data],$DD346,86),0)</f>
        <v/>
      </c>
      <c r="CK346">
        <f>IFERROR(INDEX(PP_Grid[#Data],$DD346,87),0)</f>
        <v/>
      </c>
      <c r="CL346">
        <f>IFERROR(INDEX(PP_Grid[#Data],$DD346,88),0)</f>
        <v/>
      </c>
      <c r="CM346">
        <f>IFERROR(INDEX(PP_Grid[#Data],$DD346,89),0)</f>
        <v/>
      </c>
      <c r="CN346">
        <f>IFERROR(INDEX(PP_Grid[#Data],$DD346,90),0)</f>
        <v/>
      </c>
      <c r="CO346">
        <f>IFERROR(INDEX(PP_Grid[#Data],$DD346,91),0)</f>
        <v/>
      </c>
      <c r="CP346">
        <f>IFERROR(INDEX(PP_Grid[#Data],$DD346,92),0)</f>
        <v/>
      </c>
      <c r="CQ346">
        <f>IFERROR(INDEX(PP_Grid[#Data],$DD346,93),0)</f>
        <v/>
      </c>
      <c r="CR346">
        <f>IFERROR(INDEX(PP_Grid[#Data],$DD346,94),0)</f>
        <v/>
      </c>
      <c r="CS346">
        <f>IFERROR(INDEX(PP_Grid[#Data],$DD346,95),0)</f>
        <v/>
      </c>
      <c r="CT346">
        <f>IFERROR(INDEX(PP_Grid[#Data],$DD346,96),0)</f>
        <v/>
      </c>
      <c r="CU346">
        <f>IFERROR(INDEX(PP_Grid[#Data],$DD346,97),0)</f>
        <v/>
      </c>
      <c r="CV346">
        <f>IFERROR(INDEX(PP_Grid[#Data],$DD346,98),0)</f>
        <v/>
      </c>
      <c r="CW346">
        <f>IFERROR(INDEX(PP_Grid[#Data],$DD346,99),0)</f>
        <v/>
      </c>
      <c r="CX346">
        <f>IFERROR(INDEX(PP_Grid[#Data],$DD346,100),0)</f>
        <v/>
      </c>
      <c r="CY346">
        <f>IFERROR(INDEX(PP_Grid[#Data],$DD346,101),0)</f>
        <v/>
      </c>
      <c r="CZ346">
        <f>IFERROR(INDEX(PP_Grid[#Data],$DD346,102),0)</f>
        <v/>
      </c>
      <c r="DA346">
        <f>IFERROR(INDEX(PP_Grid[#Data],$DD346,103),0)</f>
        <v/>
      </c>
      <c r="DB346">
        <f>IFERROR(INDEX(PP_Grid[#Data],$DD346,104),0)</f>
        <v/>
      </c>
      <c r="DC346">
        <f>IFERROR(INDEX(PP_Grid[#Data],$DD346,105),0)</f>
        <v/>
      </c>
      <c r="DD346" s="12">
        <f>IFERROR(MATCH($B346,PP_Grid[Intermediate],0),99999)</f>
        <v/>
      </c>
    </row>
    <row r="347">
      <c r="B347" t="inlineStr">
        <is>
          <t>使用量(kg)</t>
        </is>
      </c>
      <c r="C347">
        <f>SUMIFS(M_BOM[RM_Qty_Per_Batch],M_BOM[Intermediate],$B346,M_BOM[Part Name],$A343)</f>
        <v/>
      </c>
      <c r="D347">
        <f>$C347*D346</f>
        <v/>
      </c>
      <c r="E347">
        <f>$C347*E346</f>
        <v/>
      </c>
      <c r="F347">
        <f>$C347*F346</f>
        <v/>
      </c>
      <c r="G347">
        <f>$C347*G346</f>
        <v/>
      </c>
      <c r="H347">
        <f>$C347*H346</f>
        <v/>
      </c>
      <c r="I347">
        <f>$C347*I346</f>
        <v/>
      </c>
      <c r="J347">
        <f>$C347*J346</f>
        <v/>
      </c>
      <c r="K347">
        <f>$C347*K346</f>
        <v/>
      </c>
      <c r="L347">
        <f>$C347*L346</f>
        <v/>
      </c>
      <c r="M347">
        <f>$C347*M346</f>
        <v/>
      </c>
      <c r="N347">
        <f>$C347*N346</f>
        <v/>
      </c>
      <c r="O347">
        <f>$C347*O346</f>
        <v/>
      </c>
      <c r="P347">
        <f>$C347*P346</f>
        <v/>
      </c>
      <c r="Q347">
        <f>$C347*Q346</f>
        <v/>
      </c>
      <c r="R347">
        <f>$C347*R346</f>
        <v/>
      </c>
      <c r="S347">
        <f>$C347*S346</f>
        <v/>
      </c>
      <c r="T347">
        <f>$C347*T346</f>
        <v/>
      </c>
      <c r="U347">
        <f>$C347*U346</f>
        <v/>
      </c>
      <c r="V347">
        <f>$C347*V346</f>
        <v/>
      </c>
      <c r="W347">
        <f>$C347*W346</f>
        <v/>
      </c>
      <c r="X347">
        <f>$C347*X346</f>
        <v/>
      </c>
      <c r="Y347">
        <f>$C347*Y346</f>
        <v/>
      </c>
      <c r="Z347">
        <f>$C347*Z346</f>
        <v/>
      </c>
      <c r="AA347">
        <f>$C347*AA346</f>
        <v/>
      </c>
      <c r="AB347">
        <f>$C347*AB346</f>
        <v/>
      </c>
      <c r="AC347">
        <f>$C347*AC346</f>
        <v/>
      </c>
      <c r="AD347">
        <f>$C347*AD346</f>
        <v/>
      </c>
      <c r="AE347">
        <f>$C347*AE346</f>
        <v/>
      </c>
      <c r="AF347">
        <f>$C347*AF346</f>
        <v/>
      </c>
      <c r="AG347">
        <f>$C347*AG346</f>
        <v/>
      </c>
      <c r="AH347">
        <f>$C347*AH346</f>
        <v/>
      </c>
      <c r="AI347">
        <f>$C347*AI346</f>
        <v/>
      </c>
      <c r="AJ347">
        <f>$C347*AJ346</f>
        <v/>
      </c>
      <c r="AK347">
        <f>$C347*AK346</f>
        <v/>
      </c>
      <c r="AL347">
        <f>$C347*AL346</f>
        <v/>
      </c>
      <c r="AM347">
        <f>$C347*AM346</f>
        <v/>
      </c>
      <c r="AN347">
        <f>$C347*AN346</f>
        <v/>
      </c>
      <c r="AO347">
        <f>$C347*AO346</f>
        <v/>
      </c>
      <c r="AP347">
        <f>$C347*AP346</f>
        <v/>
      </c>
      <c r="AQ347">
        <f>$C347*AQ346</f>
        <v/>
      </c>
      <c r="AR347">
        <f>$C347*AR346</f>
        <v/>
      </c>
      <c r="AS347">
        <f>$C347*AS346</f>
        <v/>
      </c>
      <c r="AT347">
        <f>$C347*AT346</f>
        <v/>
      </c>
      <c r="AU347">
        <f>$C347*AU346</f>
        <v/>
      </c>
      <c r="AV347">
        <f>$C347*AV346</f>
        <v/>
      </c>
      <c r="AW347">
        <f>$C347*AW346</f>
        <v/>
      </c>
      <c r="AX347">
        <f>$C347*AX346</f>
        <v/>
      </c>
      <c r="AY347">
        <f>$C347*AY346</f>
        <v/>
      </c>
      <c r="AZ347">
        <f>$C347*AZ346</f>
        <v/>
      </c>
      <c r="BA347">
        <f>$C347*BA346</f>
        <v/>
      </c>
      <c r="BB347">
        <f>$C347*BB346</f>
        <v/>
      </c>
      <c r="BC347">
        <f>$C347*BC346</f>
        <v/>
      </c>
      <c r="BD347">
        <f>$C347*BD346</f>
        <v/>
      </c>
      <c r="BE347">
        <f>$C347*BE346</f>
        <v/>
      </c>
      <c r="BF347">
        <f>$C347*BF346</f>
        <v/>
      </c>
      <c r="BG347">
        <f>$C347*BG346</f>
        <v/>
      </c>
      <c r="BH347">
        <f>$C347*BH346</f>
        <v/>
      </c>
      <c r="BI347">
        <f>$C347*BI346</f>
        <v/>
      </c>
      <c r="BJ347">
        <f>$C347*BJ346</f>
        <v/>
      </c>
      <c r="BK347">
        <f>$C347*BK346</f>
        <v/>
      </c>
      <c r="BL347">
        <f>$C347*BL346</f>
        <v/>
      </c>
      <c r="BM347">
        <f>$C347*BM346</f>
        <v/>
      </c>
      <c r="BN347">
        <f>$C347*BN346</f>
        <v/>
      </c>
      <c r="BO347">
        <f>$C347*BO346</f>
        <v/>
      </c>
      <c r="BP347">
        <f>$C347*BP346</f>
        <v/>
      </c>
      <c r="BQ347">
        <f>$C347*BQ346</f>
        <v/>
      </c>
      <c r="BR347">
        <f>$C347*BR346</f>
        <v/>
      </c>
      <c r="BS347">
        <f>$C347*BS346</f>
        <v/>
      </c>
      <c r="BT347">
        <f>$C347*BT346</f>
        <v/>
      </c>
      <c r="BU347">
        <f>$C347*BU346</f>
        <v/>
      </c>
      <c r="BV347">
        <f>$C347*BV346</f>
        <v/>
      </c>
      <c r="BW347">
        <f>$C347*BW346</f>
        <v/>
      </c>
      <c r="BX347">
        <f>$C347*BX346</f>
        <v/>
      </c>
      <c r="BY347">
        <f>$C347*BY346</f>
        <v/>
      </c>
      <c r="BZ347">
        <f>$C347*BZ346</f>
        <v/>
      </c>
      <c r="CA347">
        <f>$C347*CA346</f>
        <v/>
      </c>
      <c r="CB347">
        <f>$C347*CB346</f>
        <v/>
      </c>
      <c r="CC347">
        <f>$C347*CC346</f>
        <v/>
      </c>
      <c r="CD347">
        <f>$C347*CD346</f>
        <v/>
      </c>
      <c r="CE347">
        <f>$C347*CE346</f>
        <v/>
      </c>
      <c r="CF347">
        <f>$C347*CF346</f>
        <v/>
      </c>
      <c r="CG347">
        <f>$C347*CG346</f>
        <v/>
      </c>
      <c r="CH347">
        <f>$C347*CH346</f>
        <v/>
      </c>
      <c r="CI347">
        <f>$C347*CI346</f>
        <v/>
      </c>
      <c r="CJ347">
        <f>$C347*CJ346</f>
        <v/>
      </c>
      <c r="CK347">
        <f>$C347*CK346</f>
        <v/>
      </c>
      <c r="CL347">
        <f>$C347*CL346</f>
        <v/>
      </c>
      <c r="CM347">
        <f>$C347*CM346</f>
        <v/>
      </c>
      <c r="CN347">
        <f>$C347*CN346</f>
        <v/>
      </c>
      <c r="CO347">
        <f>$C347*CO346</f>
        <v/>
      </c>
      <c r="CP347">
        <f>$C347*CP346</f>
        <v/>
      </c>
      <c r="CQ347">
        <f>$C347*CQ346</f>
        <v/>
      </c>
      <c r="CR347">
        <f>$C347*CR346</f>
        <v/>
      </c>
      <c r="CS347">
        <f>$C347*CS346</f>
        <v/>
      </c>
      <c r="CT347">
        <f>$C347*CT346</f>
        <v/>
      </c>
      <c r="CU347">
        <f>$C347*CU346</f>
        <v/>
      </c>
      <c r="CV347">
        <f>$C347*CV346</f>
        <v/>
      </c>
      <c r="CW347">
        <f>$C347*CW346</f>
        <v/>
      </c>
      <c r="CX347">
        <f>$C347*CX346</f>
        <v/>
      </c>
      <c r="CY347">
        <f>$C347*CY346</f>
        <v/>
      </c>
      <c r="CZ347">
        <f>$C347*CZ346</f>
        <v/>
      </c>
      <c r="DA347">
        <f>$C347*DA346</f>
        <v/>
      </c>
      <c r="DB347">
        <f>$C347*DB346</f>
        <v/>
      </c>
      <c r="DC347">
        <f>$C347*DC346</f>
        <v/>
      </c>
    </row>
    <row r="348">
      <c r="B348" t="inlineStr">
        <is>
          <t>TSP-828</t>
        </is>
      </c>
      <c r="C348" t="inlineStr">
        <is>
          <t>No. of batches</t>
        </is>
      </c>
      <c r="D348">
        <f>IFERROR(INDEX(PP_Grid[#Data],$DD348,2),0)</f>
        <v/>
      </c>
      <c r="E348">
        <f>IFERROR(INDEX(PP_Grid[#Data],$DD348,3),0)</f>
        <v/>
      </c>
      <c r="F348">
        <f>IFERROR(INDEX(PP_Grid[#Data],$DD348,4),0)</f>
        <v/>
      </c>
      <c r="G348">
        <f>IFERROR(INDEX(PP_Grid[#Data],$DD348,5),0)</f>
        <v/>
      </c>
      <c r="H348">
        <f>IFERROR(INDEX(PP_Grid[#Data],$DD348,6),0)</f>
        <v/>
      </c>
      <c r="I348">
        <f>IFERROR(INDEX(PP_Grid[#Data],$DD348,7),0)</f>
        <v/>
      </c>
      <c r="J348">
        <f>IFERROR(INDEX(PP_Grid[#Data],$DD348,8),0)</f>
        <v/>
      </c>
      <c r="K348">
        <f>IFERROR(INDEX(PP_Grid[#Data],$DD348,9),0)</f>
        <v/>
      </c>
      <c r="L348">
        <f>IFERROR(INDEX(PP_Grid[#Data],$DD348,10),0)</f>
        <v/>
      </c>
      <c r="M348">
        <f>IFERROR(INDEX(PP_Grid[#Data],$DD348,11),0)</f>
        <v/>
      </c>
      <c r="N348">
        <f>IFERROR(INDEX(PP_Grid[#Data],$DD348,12),0)</f>
        <v/>
      </c>
      <c r="O348">
        <f>IFERROR(INDEX(PP_Grid[#Data],$DD348,13),0)</f>
        <v/>
      </c>
      <c r="P348">
        <f>IFERROR(INDEX(PP_Grid[#Data],$DD348,14),0)</f>
        <v/>
      </c>
      <c r="Q348">
        <f>IFERROR(INDEX(PP_Grid[#Data],$DD348,15),0)</f>
        <v/>
      </c>
      <c r="R348">
        <f>IFERROR(INDEX(PP_Grid[#Data],$DD348,16),0)</f>
        <v/>
      </c>
      <c r="S348">
        <f>IFERROR(INDEX(PP_Grid[#Data],$DD348,17),0)</f>
        <v/>
      </c>
      <c r="T348">
        <f>IFERROR(INDEX(PP_Grid[#Data],$DD348,18),0)</f>
        <v/>
      </c>
      <c r="U348">
        <f>IFERROR(INDEX(PP_Grid[#Data],$DD348,19),0)</f>
        <v/>
      </c>
      <c r="V348">
        <f>IFERROR(INDEX(PP_Grid[#Data],$DD348,20),0)</f>
        <v/>
      </c>
      <c r="W348">
        <f>IFERROR(INDEX(PP_Grid[#Data],$DD348,21),0)</f>
        <v/>
      </c>
      <c r="X348">
        <f>IFERROR(INDEX(PP_Grid[#Data],$DD348,22),0)</f>
        <v/>
      </c>
      <c r="Y348">
        <f>IFERROR(INDEX(PP_Grid[#Data],$DD348,23),0)</f>
        <v/>
      </c>
      <c r="Z348">
        <f>IFERROR(INDEX(PP_Grid[#Data],$DD348,24),0)</f>
        <v/>
      </c>
      <c r="AA348">
        <f>IFERROR(INDEX(PP_Grid[#Data],$DD348,25),0)</f>
        <v/>
      </c>
      <c r="AB348">
        <f>IFERROR(INDEX(PP_Grid[#Data],$DD348,26),0)</f>
        <v/>
      </c>
      <c r="AC348">
        <f>IFERROR(INDEX(PP_Grid[#Data],$DD348,27),0)</f>
        <v/>
      </c>
      <c r="AD348">
        <f>IFERROR(INDEX(PP_Grid[#Data],$DD348,28),0)</f>
        <v/>
      </c>
      <c r="AE348">
        <f>IFERROR(INDEX(PP_Grid[#Data],$DD348,29),0)</f>
        <v/>
      </c>
      <c r="AF348">
        <f>IFERROR(INDEX(PP_Grid[#Data],$DD348,30),0)</f>
        <v/>
      </c>
      <c r="AG348">
        <f>IFERROR(INDEX(PP_Grid[#Data],$DD348,31),0)</f>
        <v/>
      </c>
      <c r="AH348">
        <f>IFERROR(INDEX(PP_Grid[#Data],$DD348,32),0)</f>
        <v/>
      </c>
      <c r="AI348">
        <f>IFERROR(INDEX(PP_Grid[#Data],$DD348,33),0)</f>
        <v/>
      </c>
      <c r="AJ348">
        <f>IFERROR(INDEX(PP_Grid[#Data],$DD348,34),0)</f>
        <v/>
      </c>
      <c r="AK348">
        <f>IFERROR(INDEX(PP_Grid[#Data],$DD348,35),0)</f>
        <v/>
      </c>
      <c r="AL348">
        <f>IFERROR(INDEX(PP_Grid[#Data],$DD348,36),0)</f>
        <v/>
      </c>
      <c r="AM348">
        <f>IFERROR(INDEX(PP_Grid[#Data],$DD348,37),0)</f>
        <v/>
      </c>
      <c r="AN348">
        <f>IFERROR(INDEX(PP_Grid[#Data],$DD348,38),0)</f>
        <v/>
      </c>
      <c r="AO348">
        <f>IFERROR(INDEX(PP_Grid[#Data],$DD348,39),0)</f>
        <v/>
      </c>
      <c r="AP348">
        <f>IFERROR(INDEX(PP_Grid[#Data],$DD348,40),0)</f>
        <v/>
      </c>
      <c r="AQ348">
        <f>IFERROR(INDEX(PP_Grid[#Data],$DD348,41),0)</f>
        <v/>
      </c>
      <c r="AR348">
        <f>IFERROR(INDEX(PP_Grid[#Data],$DD348,42),0)</f>
        <v/>
      </c>
      <c r="AS348">
        <f>IFERROR(INDEX(PP_Grid[#Data],$DD348,43),0)</f>
        <v/>
      </c>
      <c r="AT348">
        <f>IFERROR(INDEX(PP_Grid[#Data],$DD348,44),0)</f>
        <v/>
      </c>
      <c r="AU348">
        <f>IFERROR(INDEX(PP_Grid[#Data],$DD348,45),0)</f>
        <v/>
      </c>
      <c r="AV348">
        <f>IFERROR(INDEX(PP_Grid[#Data],$DD348,46),0)</f>
        <v/>
      </c>
      <c r="AW348">
        <f>IFERROR(INDEX(PP_Grid[#Data],$DD348,47),0)</f>
        <v/>
      </c>
      <c r="AX348">
        <f>IFERROR(INDEX(PP_Grid[#Data],$DD348,48),0)</f>
        <v/>
      </c>
      <c r="AY348">
        <f>IFERROR(INDEX(PP_Grid[#Data],$DD348,49),0)</f>
        <v/>
      </c>
      <c r="AZ348">
        <f>IFERROR(INDEX(PP_Grid[#Data],$DD348,50),0)</f>
        <v/>
      </c>
      <c r="BA348">
        <f>IFERROR(INDEX(PP_Grid[#Data],$DD348,51),0)</f>
        <v/>
      </c>
      <c r="BB348">
        <f>IFERROR(INDEX(PP_Grid[#Data],$DD348,52),0)</f>
        <v/>
      </c>
      <c r="BC348">
        <f>IFERROR(INDEX(PP_Grid[#Data],$DD348,53),0)</f>
        <v/>
      </c>
      <c r="BD348">
        <f>IFERROR(INDEX(PP_Grid[#Data],$DD348,54),0)</f>
        <v/>
      </c>
      <c r="BE348">
        <f>IFERROR(INDEX(PP_Grid[#Data],$DD348,55),0)</f>
        <v/>
      </c>
      <c r="BF348">
        <f>IFERROR(INDEX(PP_Grid[#Data],$DD348,56),0)</f>
        <v/>
      </c>
      <c r="BG348">
        <f>IFERROR(INDEX(PP_Grid[#Data],$DD348,57),0)</f>
        <v/>
      </c>
      <c r="BH348">
        <f>IFERROR(INDEX(PP_Grid[#Data],$DD348,58),0)</f>
        <v/>
      </c>
      <c r="BI348">
        <f>IFERROR(INDEX(PP_Grid[#Data],$DD348,59),0)</f>
        <v/>
      </c>
      <c r="BJ348">
        <f>IFERROR(INDEX(PP_Grid[#Data],$DD348,60),0)</f>
        <v/>
      </c>
      <c r="BK348">
        <f>IFERROR(INDEX(PP_Grid[#Data],$DD348,61),0)</f>
        <v/>
      </c>
      <c r="BL348">
        <f>IFERROR(INDEX(PP_Grid[#Data],$DD348,62),0)</f>
        <v/>
      </c>
      <c r="BM348">
        <f>IFERROR(INDEX(PP_Grid[#Data],$DD348,63),0)</f>
        <v/>
      </c>
      <c r="BN348">
        <f>IFERROR(INDEX(PP_Grid[#Data],$DD348,64),0)</f>
        <v/>
      </c>
      <c r="BO348">
        <f>IFERROR(INDEX(PP_Grid[#Data],$DD348,65),0)</f>
        <v/>
      </c>
      <c r="BP348">
        <f>IFERROR(INDEX(PP_Grid[#Data],$DD348,66),0)</f>
        <v/>
      </c>
      <c r="BQ348">
        <f>IFERROR(INDEX(PP_Grid[#Data],$DD348,67),0)</f>
        <v/>
      </c>
      <c r="BR348">
        <f>IFERROR(INDEX(PP_Grid[#Data],$DD348,68),0)</f>
        <v/>
      </c>
      <c r="BS348">
        <f>IFERROR(INDEX(PP_Grid[#Data],$DD348,69),0)</f>
        <v/>
      </c>
      <c r="BT348">
        <f>IFERROR(INDEX(PP_Grid[#Data],$DD348,70),0)</f>
        <v/>
      </c>
      <c r="BU348">
        <f>IFERROR(INDEX(PP_Grid[#Data],$DD348,71),0)</f>
        <v/>
      </c>
      <c r="BV348">
        <f>IFERROR(INDEX(PP_Grid[#Data],$DD348,72),0)</f>
        <v/>
      </c>
      <c r="BW348">
        <f>IFERROR(INDEX(PP_Grid[#Data],$DD348,73),0)</f>
        <v/>
      </c>
      <c r="BX348">
        <f>IFERROR(INDEX(PP_Grid[#Data],$DD348,74),0)</f>
        <v/>
      </c>
      <c r="BY348">
        <f>IFERROR(INDEX(PP_Grid[#Data],$DD348,75),0)</f>
        <v/>
      </c>
      <c r="BZ348">
        <f>IFERROR(INDEX(PP_Grid[#Data],$DD348,76),0)</f>
        <v/>
      </c>
      <c r="CA348">
        <f>IFERROR(INDEX(PP_Grid[#Data],$DD348,77),0)</f>
        <v/>
      </c>
      <c r="CB348">
        <f>IFERROR(INDEX(PP_Grid[#Data],$DD348,78),0)</f>
        <v/>
      </c>
      <c r="CC348">
        <f>IFERROR(INDEX(PP_Grid[#Data],$DD348,79),0)</f>
        <v/>
      </c>
      <c r="CD348">
        <f>IFERROR(INDEX(PP_Grid[#Data],$DD348,80),0)</f>
        <v/>
      </c>
      <c r="CE348">
        <f>IFERROR(INDEX(PP_Grid[#Data],$DD348,81),0)</f>
        <v/>
      </c>
      <c r="CF348">
        <f>IFERROR(INDEX(PP_Grid[#Data],$DD348,82),0)</f>
        <v/>
      </c>
      <c r="CG348">
        <f>IFERROR(INDEX(PP_Grid[#Data],$DD348,83),0)</f>
        <v/>
      </c>
      <c r="CH348">
        <f>IFERROR(INDEX(PP_Grid[#Data],$DD348,84),0)</f>
        <v/>
      </c>
      <c r="CI348">
        <f>IFERROR(INDEX(PP_Grid[#Data],$DD348,85),0)</f>
        <v/>
      </c>
      <c r="CJ348">
        <f>IFERROR(INDEX(PP_Grid[#Data],$DD348,86),0)</f>
        <v/>
      </c>
      <c r="CK348">
        <f>IFERROR(INDEX(PP_Grid[#Data],$DD348,87),0)</f>
        <v/>
      </c>
      <c r="CL348">
        <f>IFERROR(INDEX(PP_Grid[#Data],$DD348,88),0)</f>
        <v/>
      </c>
      <c r="CM348">
        <f>IFERROR(INDEX(PP_Grid[#Data],$DD348,89),0)</f>
        <v/>
      </c>
      <c r="CN348">
        <f>IFERROR(INDEX(PP_Grid[#Data],$DD348,90),0)</f>
        <v/>
      </c>
      <c r="CO348">
        <f>IFERROR(INDEX(PP_Grid[#Data],$DD348,91),0)</f>
        <v/>
      </c>
      <c r="CP348">
        <f>IFERROR(INDEX(PP_Grid[#Data],$DD348,92),0)</f>
        <v/>
      </c>
      <c r="CQ348">
        <f>IFERROR(INDEX(PP_Grid[#Data],$DD348,93),0)</f>
        <v/>
      </c>
      <c r="CR348">
        <f>IFERROR(INDEX(PP_Grid[#Data],$DD348,94),0)</f>
        <v/>
      </c>
      <c r="CS348">
        <f>IFERROR(INDEX(PP_Grid[#Data],$DD348,95),0)</f>
        <v/>
      </c>
      <c r="CT348">
        <f>IFERROR(INDEX(PP_Grid[#Data],$DD348,96),0)</f>
        <v/>
      </c>
      <c r="CU348">
        <f>IFERROR(INDEX(PP_Grid[#Data],$DD348,97),0)</f>
        <v/>
      </c>
      <c r="CV348">
        <f>IFERROR(INDEX(PP_Grid[#Data],$DD348,98),0)</f>
        <v/>
      </c>
      <c r="CW348">
        <f>IFERROR(INDEX(PP_Grid[#Data],$DD348,99),0)</f>
        <v/>
      </c>
      <c r="CX348">
        <f>IFERROR(INDEX(PP_Grid[#Data],$DD348,100),0)</f>
        <v/>
      </c>
      <c r="CY348">
        <f>IFERROR(INDEX(PP_Grid[#Data],$DD348,101),0)</f>
        <v/>
      </c>
      <c r="CZ348">
        <f>IFERROR(INDEX(PP_Grid[#Data],$DD348,102),0)</f>
        <v/>
      </c>
      <c r="DA348">
        <f>IFERROR(INDEX(PP_Grid[#Data],$DD348,103),0)</f>
        <v/>
      </c>
      <c r="DB348">
        <f>IFERROR(INDEX(PP_Grid[#Data],$DD348,104),0)</f>
        <v/>
      </c>
      <c r="DC348">
        <f>IFERROR(INDEX(PP_Grid[#Data],$DD348,105),0)</f>
        <v/>
      </c>
      <c r="DD348" s="12">
        <f>IFERROR(MATCH($B348,PP_Grid[Intermediate],0),99999)</f>
        <v/>
      </c>
    </row>
    <row r="349">
      <c r="B349" t="inlineStr">
        <is>
          <t>使用量(kg)</t>
        </is>
      </c>
      <c r="C349">
        <f>SUMIFS(M_BOM[RM_Qty_Per_Batch],M_BOM[Intermediate],$B348,M_BOM[Part Name],$A343)</f>
        <v/>
      </c>
      <c r="D349">
        <f>$C349*D348</f>
        <v/>
      </c>
      <c r="E349">
        <f>$C349*E348</f>
        <v/>
      </c>
      <c r="F349">
        <f>$C349*F348</f>
        <v/>
      </c>
      <c r="G349">
        <f>$C349*G348</f>
        <v/>
      </c>
      <c r="H349">
        <f>$C349*H348</f>
        <v/>
      </c>
      <c r="I349">
        <f>$C349*I348</f>
        <v/>
      </c>
      <c r="J349">
        <f>$C349*J348</f>
        <v/>
      </c>
      <c r="K349">
        <f>$C349*K348</f>
        <v/>
      </c>
      <c r="L349">
        <f>$C349*L348</f>
        <v/>
      </c>
      <c r="M349">
        <f>$C349*M348</f>
        <v/>
      </c>
      <c r="N349">
        <f>$C349*N348</f>
        <v/>
      </c>
      <c r="O349">
        <f>$C349*O348</f>
        <v/>
      </c>
      <c r="P349">
        <f>$C349*P348</f>
        <v/>
      </c>
      <c r="Q349">
        <f>$C349*Q348</f>
        <v/>
      </c>
      <c r="R349">
        <f>$C349*R348</f>
        <v/>
      </c>
      <c r="S349">
        <f>$C349*S348</f>
        <v/>
      </c>
      <c r="T349">
        <f>$C349*T348</f>
        <v/>
      </c>
      <c r="U349">
        <f>$C349*U348</f>
        <v/>
      </c>
      <c r="V349">
        <f>$C349*V348</f>
        <v/>
      </c>
      <c r="W349">
        <f>$C349*W348</f>
        <v/>
      </c>
      <c r="X349">
        <f>$C349*X348</f>
        <v/>
      </c>
      <c r="Y349">
        <f>$C349*Y348</f>
        <v/>
      </c>
      <c r="Z349">
        <f>$C349*Z348</f>
        <v/>
      </c>
      <c r="AA349">
        <f>$C349*AA348</f>
        <v/>
      </c>
      <c r="AB349">
        <f>$C349*AB348</f>
        <v/>
      </c>
      <c r="AC349">
        <f>$C349*AC348</f>
        <v/>
      </c>
      <c r="AD349">
        <f>$C349*AD348</f>
        <v/>
      </c>
      <c r="AE349">
        <f>$C349*AE348</f>
        <v/>
      </c>
      <c r="AF349">
        <f>$C349*AF348</f>
        <v/>
      </c>
      <c r="AG349">
        <f>$C349*AG348</f>
        <v/>
      </c>
      <c r="AH349">
        <f>$C349*AH348</f>
        <v/>
      </c>
      <c r="AI349">
        <f>$C349*AI348</f>
        <v/>
      </c>
      <c r="AJ349">
        <f>$C349*AJ348</f>
        <v/>
      </c>
      <c r="AK349">
        <f>$C349*AK348</f>
        <v/>
      </c>
      <c r="AL349">
        <f>$C349*AL348</f>
        <v/>
      </c>
      <c r="AM349">
        <f>$C349*AM348</f>
        <v/>
      </c>
      <c r="AN349">
        <f>$C349*AN348</f>
        <v/>
      </c>
      <c r="AO349">
        <f>$C349*AO348</f>
        <v/>
      </c>
      <c r="AP349">
        <f>$C349*AP348</f>
        <v/>
      </c>
      <c r="AQ349">
        <f>$C349*AQ348</f>
        <v/>
      </c>
      <c r="AR349">
        <f>$C349*AR348</f>
        <v/>
      </c>
      <c r="AS349">
        <f>$C349*AS348</f>
        <v/>
      </c>
      <c r="AT349">
        <f>$C349*AT348</f>
        <v/>
      </c>
      <c r="AU349">
        <f>$C349*AU348</f>
        <v/>
      </c>
      <c r="AV349">
        <f>$C349*AV348</f>
        <v/>
      </c>
      <c r="AW349">
        <f>$C349*AW348</f>
        <v/>
      </c>
      <c r="AX349">
        <f>$C349*AX348</f>
        <v/>
      </c>
      <c r="AY349">
        <f>$C349*AY348</f>
        <v/>
      </c>
      <c r="AZ349">
        <f>$C349*AZ348</f>
        <v/>
      </c>
      <c r="BA349">
        <f>$C349*BA348</f>
        <v/>
      </c>
      <c r="BB349">
        <f>$C349*BB348</f>
        <v/>
      </c>
      <c r="BC349">
        <f>$C349*BC348</f>
        <v/>
      </c>
      <c r="BD349">
        <f>$C349*BD348</f>
        <v/>
      </c>
      <c r="BE349">
        <f>$C349*BE348</f>
        <v/>
      </c>
      <c r="BF349">
        <f>$C349*BF348</f>
        <v/>
      </c>
      <c r="BG349">
        <f>$C349*BG348</f>
        <v/>
      </c>
      <c r="BH349">
        <f>$C349*BH348</f>
        <v/>
      </c>
      <c r="BI349">
        <f>$C349*BI348</f>
        <v/>
      </c>
      <c r="BJ349">
        <f>$C349*BJ348</f>
        <v/>
      </c>
      <c r="BK349">
        <f>$C349*BK348</f>
        <v/>
      </c>
      <c r="BL349">
        <f>$C349*BL348</f>
        <v/>
      </c>
      <c r="BM349">
        <f>$C349*BM348</f>
        <v/>
      </c>
      <c r="BN349">
        <f>$C349*BN348</f>
        <v/>
      </c>
      <c r="BO349">
        <f>$C349*BO348</f>
        <v/>
      </c>
      <c r="BP349">
        <f>$C349*BP348</f>
        <v/>
      </c>
      <c r="BQ349">
        <f>$C349*BQ348</f>
        <v/>
      </c>
      <c r="BR349">
        <f>$C349*BR348</f>
        <v/>
      </c>
      <c r="BS349">
        <f>$C349*BS348</f>
        <v/>
      </c>
      <c r="BT349">
        <f>$C349*BT348</f>
        <v/>
      </c>
      <c r="BU349">
        <f>$C349*BU348</f>
        <v/>
      </c>
      <c r="BV349">
        <f>$C349*BV348</f>
        <v/>
      </c>
      <c r="BW349">
        <f>$C349*BW348</f>
        <v/>
      </c>
      <c r="BX349">
        <f>$C349*BX348</f>
        <v/>
      </c>
      <c r="BY349">
        <f>$C349*BY348</f>
        <v/>
      </c>
      <c r="BZ349">
        <f>$C349*BZ348</f>
        <v/>
      </c>
      <c r="CA349">
        <f>$C349*CA348</f>
        <v/>
      </c>
      <c r="CB349">
        <f>$C349*CB348</f>
        <v/>
      </c>
      <c r="CC349">
        <f>$C349*CC348</f>
        <v/>
      </c>
      <c r="CD349">
        <f>$C349*CD348</f>
        <v/>
      </c>
      <c r="CE349">
        <f>$C349*CE348</f>
        <v/>
      </c>
      <c r="CF349">
        <f>$C349*CF348</f>
        <v/>
      </c>
      <c r="CG349">
        <f>$C349*CG348</f>
        <v/>
      </c>
      <c r="CH349">
        <f>$C349*CH348</f>
        <v/>
      </c>
      <c r="CI349">
        <f>$C349*CI348</f>
        <v/>
      </c>
      <c r="CJ349">
        <f>$C349*CJ348</f>
        <v/>
      </c>
      <c r="CK349">
        <f>$C349*CK348</f>
        <v/>
      </c>
      <c r="CL349">
        <f>$C349*CL348</f>
        <v/>
      </c>
      <c r="CM349">
        <f>$C349*CM348</f>
        <v/>
      </c>
      <c r="CN349">
        <f>$C349*CN348</f>
        <v/>
      </c>
      <c r="CO349">
        <f>$C349*CO348</f>
        <v/>
      </c>
      <c r="CP349">
        <f>$C349*CP348</f>
        <v/>
      </c>
      <c r="CQ349">
        <f>$C349*CQ348</f>
        <v/>
      </c>
      <c r="CR349">
        <f>$C349*CR348</f>
        <v/>
      </c>
      <c r="CS349">
        <f>$C349*CS348</f>
        <v/>
      </c>
      <c r="CT349">
        <f>$C349*CT348</f>
        <v/>
      </c>
      <c r="CU349">
        <f>$C349*CU348</f>
        <v/>
      </c>
      <c r="CV349">
        <f>$C349*CV348</f>
        <v/>
      </c>
      <c r="CW349">
        <f>$C349*CW348</f>
        <v/>
      </c>
      <c r="CX349">
        <f>$C349*CX348</f>
        <v/>
      </c>
      <c r="CY349">
        <f>$C349*CY348</f>
        <v/>
      </c>
      <c r="CZ349">
        <f>$C349*CZ348</f>
        <v/>
      </c>
      <c r="DA349">
        <f>$C349*DA348</f>
        <v/>
      </c>
      <c r="DB349">
        <f>$C349*DB348</f>
        <v/>
      </c>
      <c r="DC349">
        <f>$C349*DC348</f>
        <v/>
      </c>
    </row>
    <row r="350">
      <c r="B350" t="inlineStr">
        <is>
          <t>TSP-924</t>
        </is>
      </c>
      <c r="C350" t="inlineStr">
        <is>
          <t>No. of batches</t>
        </is>
      </c>
      <c r="D350">
        <f>IFERROR(INDEX(PP_Grid[#Data],$DD350,2),0)</f>
        <v/>
      </c>
      <c r="E350">
        <f>IFERROR(INDEX(PP_Grid[#Data],$DD350,3),0)</f>
        <v/>
      </c>
      <c r="F350">
        <f>IFERROR(INDEX(PP_Grid[#Data],$DD350,4),0)</f>
        <v/>
      </c>
      <c r="G350">
        <f>IFERROR(INDEX(PP_Grid[#Data],$DD350,5),0)</f>
        <v/>
      </c>
      <c r="H350">
        <f>IFERROR(INDEX(PP_Grid[#Data],$DD350,6),0)</f>
        <v/>
      </c>
      <c r="I350">
        <f>IFERROR(INDEX(PP_Grid[#Data],$DD350,7),0)</f>
        <v/>
      </c>
      <c r="J350">
        <f>IFERROR(INDEX(PP_Grid[#Data],$DD350,8),0)</f>
        <v/>
      </c>
      <c r="K350">
        <f>IFERROR(INDEX(PP_Grid[#Data],$DD350,9),0)</f>
        <v/>
      </c>
      <c r="L350">
        <f>IFERROR(INDEX(PP_Grid[#Data],$DD350,10),0)</f>
        <v/>
      </c>
      <c r="M350">
        <f>IFERROR(INDEX(PP_Grid[#Data],$DD350,11),0)</f>
        <v/>
      </c>
      <c r="N350">
        <f>IFERROR(INDEX(PP_Grid[#Data],$DD350,12),0)</f>
        <v/>
      </c>
      <c r="O350">
        <f>IFERROR(INDEX(PP_Grid[#Data],$DD350,13),0)</f>
        <v/>
      </c>
      <c r="P350">
        <f>IFERROR(INDEX(PP_Grid[#Data],$DD350,14),0)</f>
        <v/>
      </c>
      <c r="Q350">
        <f>IFERROR(INDEX(PP_Grid[#Data],$DD350,15),0)</f>
        <v/>
      </c>
      <c r="R350">
        <f>IFERROR(INDEX(PP_Grid[#Data],$DD350,16),0)</f>
        <v/>
      </c>
      <c r="S350">
        <f>IFERROR(INDEX(PP_Grid[#Data],$DD350,17),0)</f>
        <v/>
      </c>
      <c r="T350">
        <f>IFERROR(INDEX(PP_Grid[#Data],$DD350,18),0)</f>
        <v/>
      </c>
      <c r="U350">
        <f>IFERROR(INDEX(PP_Grid[#Data],$DD350,19),0)</f>
        <v/>
      </c>
      <c r="V350">
        <f>IFERROR(INDEX(PP_Grid[#Data],$DD350,20),0)</f>
        <v/>
      </c>
      <c r="W350">
        <f>IFERROR(INDEX(PP_Grid[#Data],$DD350,21),0)</f>
        <v/>
      </c>
      <c r="X350">
        <f>IFERROR(INDEX(PP_Grid[#Data],$DD350,22),0)</f>
        <v/>
      </c>
      <c r="Y350">
        <f>IFERROR(INDEX(PP_Grid[#Data],$DD350,23),0)</f>
        <v/>
      </c>
      <c r="Z350">
        <f>IFERROR(INDEX(PP_Grid[#Data],$DD350,24),0)</f>
        <v/>
      </c>
      <c r="AA350">
        <f>IFERROR(INDEX(PP_Grid[#Data],$DD350,25),0)</f>
        <v/>
      </c>
      <c r="AB350">
        <f>IFERROR(INDEX(PP_Grid[#Data],$DD350,26),0)</f>
        <v/>
      </c>
      <c r="AC350">
        <f>IFERROR(INDEX(PP_Grid[#Data],$DD350,27),0)</f>
        <v/>
      </c>
      <c r="AD350">
        <f>IFERROR(INDEX(PP_Grid[#Data],$DD350,28),0)</f>
        <v/>
      </c>
      <c r="AE350">
        <f>IFERROR(INDEX(PP_Grid[#Data],$DD350,29),0)</f>
        <v/>
      </c>
      <c r="AF350">
        <f>IFERROR(INDEX(PP_Grid[#Data],$DD350,30),0)</f>
        <v/>
      </c>
      <c r="AG350">
        <f>IFERROR(INDEX(PP_Grid[#Data],$DD350,31),0)</f>
        <v/>
      </c>
      <c r="AH350">
        <f>IFERROR(INDEX(PP_Grid[#Data],$DD350,32),0)</f>
        <v/>
      </c>
      <c r="AI350">
        <f>IFERROR(INDEX(PP_Grid[#Data],$DD350,33),0)</f>
        <v/>
      </c>
      <c r="AJ350">
        <f>IFERROR(INDEX(PP_Grid[#Data],$DD350,34),0)</f>
        <v/>
      </c>
      <c r="AK350">
        <f>IFERROR(INDEX(PP_Grid[#Data],$DD350,35),0)</f>
        <v/>
      </c>
      <c r="AL350">
        <f>IFERROR(INDEX(PP_Grid[#Data],$DD350,36),0)</f>
        <v/>
      </c>
      <c r="AM350">
        <f>IFERROR(INDEX(PP_Grid[#Data],$DD350,37),0)</f>
        <v/>
      </c>
      <c r="AN350">
        <f>IFERROR(INDEX(PP_Grid[#Data],$DD350,38),0)</f>
        <v/>
      </c>
      <c r="AO350">
        <f>IFERROR(INDEX(PP_Grid[#Data],$DD350,39),0)</f>
        <v/>
      </c>
      <c r="AP350">
        <f>IFERROR(INDEX(PP_Grid[#Data],$DD350,40),0)</f>
        <v/>
      </c>
      <c r="AQ350">
        <f>IFERROR(INDEX(PP_Grid[#Data],$DD350,41),0)</f>
        <v/>
      </c>
      <c r="AR350">
        <f>IFERROR(INDEX(PP_Grid[#Data],$DD350,42),0)</f>
        <v/>
      </c>
      <c r="AS350">
        <f>IFERROR(INDEX(PP_Grid[#Data],$DD350,43),0)</f>
        <v/>
      </c>
      <c r="AT350">
        <f>IFERROR(INDEX(PP_Grid[#Data],$DD350,44),0)</f>
        <v/>
      </c>
      <c r="AU350">
        <f>IFERROR(INDEX(PP_Grid[#Data],$DD350,45),0)</f>
        <v/>
      </c>
      <c r="AV350">
        <f>IFERROR(INDEX(PP_Grid[#Data],$DD350,46),0)</f>
        <v/>
      </c>
      <c r="AW350">
        <f>IFERROR(INDEX(PP_Grid[#Data],$DD350,47),0)</f>
        <v/>
      </c>
      <c r="AX350">
        <f>IFERROR(INDEX(PP_Grid[#Data],$DD350,48),0)</f>
        <v/>
      </c>
      <c r="AY350">
        <f>IFERROR(INDEX(PP_Grid[#Data],$DD350,49),0)</f>
        <v/>
      </c>
      <c r="AZ350">
        <f>IFERROR(INDEX(PP_Grid[#Data],$DD350,50),0)</f>
        <v/>
      </c>
      <c r="BA350">
        <f>IFERROR(INDEX(PP_Grid[#Data],$DD350,51),0)</f>
        <v/>
      </c>
      <c r="BB350">
        <f>IFERROR(INDEX(PP_Grid[#Data],$DD350,52),0)</f>
        <v/>
      </c>
      <c r="BC350">
        <f>IFERROR(INDEX(PP_Grid[#Data],$DD350,53),0)</f>
        <v/>
      </c>
      <c r="BD350">
        <f>IFERROR(INDEX(PP_Grid[#Data],$DD350,54),0)</f>
        <v/>
      </c>
      <c r="BE350">
        <f>IFERROR(INDEX(PP_Grid[#Data],$DD350,55),0)</f>
        <v/>
      </c>
      <c r="BF350">
        <f>IFERROR(INDEX(PP_Grid[#Data],$DD350,56),0)</f>
        <v/>
      </c>
      <c r="BG350">
        <f>IFERROR(INDEX(PP_Grid[#Data],$DD350,57),0)</f>
        <v/>
      </c>
      <c r="BH350">
        <f>IFERROR(INDEX(PP_Grid[#Data],$DD350,58),0)</f>
        <v/>
      </c>
      <c r="BI350">
        <f>IFERROR(INDEX(PP_Grid[#Data],$DD350,59),0)</f>
        <v/>
      </c>
      <c r="BJ350">
        <f>IFERROR(INDEX(PP_Grid[#Data],$DD350,60),0)</f>
        <v/>
      </c>
      <c r="BK350">
        <f>IFERROR(INDEX(PP_Grid[#Data],$DD350,61),0)</f>
        <v/>
      </c>
      <c r="BL350">
        <f>IFERROR(INDEX(PP_Grid[#Data],$DD350,62),0)</f>
        <v/>
      </c>
      <c r="BM350">
        <f>IFERROR(INDEX(PP_Grid[#Data],$DD350,63),0)</f>
        <v/>
      </c>
      <c r="BN350">
        <f>IFERROR(INDEX(PP_Grid[#Data],$DD350,64),0)</f>
        <v/>
      </c>
      <c r="BO350">
        <f>IFERROR(INDEX(PP_Grid[#Data],$DD350,65),0)</f>
        <v/>
      </c>
      <c r="BP350">
        <f>IFERROR(INDEX(PP_Grid[#Data],$DD350,66),0)</f>
        <v/>
      </c>
      <c r="BQ350">
        <f>IFERROR(INDEX(PP_Grid[#Data],$DD350,67),0)</f>
        <v/>
      </c>
      <c r="BR350">
        <f>IFERROR(INDEX(PP_Grid[#Data],$DD350,68),0)</f>
        <v/>
      </c>
      <c r="BS350">
        <f>IFERROR(INDEX(PP_Grid[#Data],$DD350,69),0)</f>
        <v/>
      </c>
      <c r="BT350">
        <f>IFERROR(INDEX(PP_Grid[#Data],$DD350,70),0)</f>
        <v/>
      </c>
      <c r="BU350">
        <f>IFERROR(INDEX(PP_Grid[#Data],$DD350,71),0)</f>
        <v/>
      </c>
      <c r="BV350">
        <f>IFERROR(INDEX(PP_Grid[#Data],$DD350,72),0)</f>
        <v/>
      </c>
      <c r="BW350">
        <f>IFERROR(INDEX(PP_Grid[#Data],$DD350,73),0)</f>
        <v/>
      </c>
      <c r="BX350">
        <f>IFERROR(INDEX(PP_Grid[#Data],$DD350,74),0)</f>
        <v/>
      </c>
      <c r="BY350">
        <f>IFERROR(INDEX(PP_Grid[#Data],$DD350,75),0)</f>
        <v/>
      </c>
      <c r="BZ350">
        <f>IFERROR(INDEX(PP_Grid[#Data],$DD350,76),0)</f>
        <v/>
      </c>
      <c r="CA350">
        <f>IFERROR(INDEX(PP_Grid[#Data],$DD350,77),0)</f>
        <v/>
      </c>
      <c r="CB350">
        <f>IFERROR(INDEX(PP_Grid[#Data],$DD350,78),0)</f>
        <v/>
      </c>
      <c r="CC350">
        <f>IFERROR(INDEX(PP_Grid[#Data],$DD350,79),0)</f>
        <v/>
      </c>
      <c r="CD350">
        <f>IFERROR(INDEX(PP_Grid[#Data],$DD350,80),0)</f>
        <v/>
      </c>
      <c r="CE350">
        <f>IFERROR(INDEX(PP_Grid[#Data],$DD350,81),0)</f>
        <v/>
      </c>
      <c r="CF350">
        <f>IFERROR(INDEX(PP_Grid[#Data],$DD350,82),0)</f>
        <v/>
      </c>
      <c r="CG350">
        <f>IFERROR(INDEX(PP_Grid[#Data],$DD350,83),0)</f>
        <v/>
      </c>
      <c r="CH350">
        <f>IFERROR(INDEX(PP_Grid[#Data],$DD350,84),0)</f>
        <v/>
      </c>
      <c r="CI350">
        <f>IFERROR(INDEX(PP_Grid[#Data],$DD350,85),0)</f>
        <v/>
      </c>
      <c r="CJ350">
        <f>IFERROR(INDEX(PP_Grid[#Data],$DD350,86),0)</f>
        <v/>
      </c>
      <c r="CK350">
        <f>IFERROR(INDEX(PP_Grid[#Data],$DD350,87),0)</f>
        <v/>
      </c>
      <c r="CL350">
        <f>IFERROR(INDEX(PP_Grid[#Data],$DD350,88),0)</f>
        <v/>
      </c>
      <c r="CM350">
        <f>IFERROR(INDEX(PP_Grid[#Data],$DD350,89),0)</f>
        <v/>
      </c>
      <c r="CN350">
        <f>IFERROR(INDEX(PP_Grid[#Data],$DD350,90),0)</f>
        <v/>
      </c>
      <c r="CO350">
        <f>IFERROR(INDEX(PP_Grid[#Data],$DD350,91),0)</f>
        <v/>
      </c>
      <c r="CP350">
        <f>IFERROR(INDEX(PP_Grid[#Data],$DD350,92),0)</f>
        <v/>
      </c>
      <c r="CQ350">
        <f>IFERROR(INDEX(PP_Grid[#Data],$DD350,93),0)</f>
        <v/>
      </c>
      <c r="CR350">
        <f>IFERROR(INDEX(PP_Grid[#Data],$DD350,94),0)</f>
        <v/>
      </c>
      <c r="CS350">
        <f>IFERROR(INDEX(PP_Grid[#Data],$DD350,95),0)</f>
        <v/>
      </c>
      <c r="CT350">
        <f>IFERROR(INDEX(PP_Grid[#Data],$DD350,96),0)</f>
        <v/>
      </c>
      <c r="CU350">
        <f>IFERROR(INDEX(PP_Grid[#Data],$DD350,97),0)</f>
        <v/>
      </c>
      <c r="CV350">
        <f>IFERROR(INDEX(PP_Grid[#Data],$DD350,98),0)</f>
        <v/>
      </c>
      <c r="CW350">
        <f>IFERROR(INDEX(PP_Grid[#Data],$DD350,99),0)</f>
        <v/>
      </c>
      <c r="CX350">
        <f>IFERROR(INDEX(PP_Grid[#Data],$DD350,100),0)</f>
        <v/>
      </c>
      <c r="CY350">
        <f>IFERROR(INDEX(PP_Grid[#Data],$DD350,101),0)</f>
        <v/>
      </c>
      <c r="CZ350">
        <f>IFERROR(INDEX(PP_Grid[#Data],$DD350,102),0)</f>
        <v/>
      </c>
      <c r="DA350">
        <f>IFERROR(INDEX(PP_Grid[#Data],$DD350,103),0)</f>
        <v/>
      </c>
      <c r="DB350">
        <f>IFERROR(INDEX(PP_Grid[#Data],$DD350,104),0)</f>
        <v/>
      </c>
      <c r="DC350">
        <f>IFERROR(INDEX(PP_Grid[#Data],$DD350,105),0)</f>
        <v/>
      </c>
      <c r="DD350" s="12">
        <f>IFERROR(MATCH($B350,PP_Grid[Intermediate],0),99999)</f>
        <v/>
      </c>
    </row>
    <row r="351">
      <c r="B351" t="inlineStr">
        <is>
          <t>使用量(kg)</t>
        </is>
      </c>
      <c r="C351">
        <f>SUMIFS(M_BOM[RM_Qty_Per_Batch],M_BOM[Intermediate],$B350,M_BOM[Part Name],$A343)</f>
        <v/>
      </c>
      <c r="D351">
        <f>$C351*D350</f>
        <v/>
      </c>
      <c r="E351">
        <f>$C351*E350</f>
        <v/>
      </c>
      <c r="F351">
        <f>$C351*F350</f>
        <v/>
      </c>
      <c r="G351">
        <f>$C351*G350</f>
        <v/>
      </c>
      <c r="H351">
        <f>$C351*H350</f>
        <v/>
      </c>
      <c r="I351">
        <f>$C351*I350</f>
        <v/>
      </c>
      <c r="J351">
        <f>$C351*J350</f>
        <v/>
      </c>
      <c r="K351">
        <f>$C351*K350</f>
        <v/>
      </c>
      <c r="L351">
        <f>$C351*L350</f>
        <v/>
      </c>
      <c r="M351">
        <f>$C351*M350</f>
        <v/>
      </c>
      <c r="N351">
        <f>$C351*N350</f>
        <v/>
      </c>
      <c r="O351">
        <f>$C351*O350</f>
        <v/>
      </c>
      <c r="P351">
        <f>$C351*P350</f>
        <v/>
      </c>
      <c r="Q351">
        <f>$C351*Q350</f>
        <v/>
      </c>
      <c r="R351">
        <f>$C351*R350</f>
        <v/>
      </c>
      <c r="S351">
        <f>$C351*S350</f>
        <v/>
      </c>
      <c r="T351">
        <f>$C351*T350</f>
        <v/>
      </c>
      <c r="U351">
        <f>$C351*U350</f>
        <v/>
      </c>
      <c r="V351">
        <f>$C351*V350</f>
        <v/>
      </c>
      <c r="W351">
        <f>$C351*W350</f>
        <v/>
      </c>
      <c r="X351">
        <f>$C351*X350</f>
        <v/>
      </c>
      <c r="Y351">
        <f>$C351*Y350</f>
        <v/>
      </c>
      <c r="Z351">
        <f>$C351*Z350</f>
        <v/>
      </c>
      <c r="AA351">
        <f>$C351*AA350</f>
        <v/>
      </c>
      <c r="AB351">
        <f>$C351*AB350</f>
        <v/>
      </c>
      <c r="AC351">
        <f>$C351*AC350</f>
        <v/>
      </c>
      <c r="AD351">
        <f>$C351*AD350</f>
        <v/>
      </c>
      <c r="AE351">
        <f>$C351*AE350</f>
        <v/>
      </c>
      <c r="AF351">
        <f>$C351*AF350</f>
        <v/>
      </c>
      <c r="AG351">
        <f>$C351*AG350</f>
        <v/>
      </c>
      <c r="AH351">
        <f>$C351*AH350</f>
        <v/>
      </c>
      <c r="AI351">
        <f>$C351*AI350</f>
        <v/>
      </c>
      <c r="AJ351">
        <f>$C351*AJ350</f>
        <v/>
      </c>
      <c r="AK351">
        <f>$C351*AK350</f>
        <v/>
      </c>
      <c r="AL351">
        <f>$C351*AL350</f>
        <v/>
      </c>
      <c r="AM351">
        <f>$C351*AM350</f>
        <v/>
      </c>
      <c r="AN351">
        <f>$C351*AN350</f>
        <v/>
      </c>
      <c r="AO351">
        <f>$C351*AO350</f>
        <v/>
      </c>
      <c r="AP351">
        <f>$C351*AP350</f>
        <v/>
      </c>
      <c r="AQ351">
        <f>$C351*AQ350</f>
        <v/>
      </c>
      <c r="AR351">
        <f>$C351*AR350</f>
        <v/>
      </c>
      <c r="AS351">
        <f>$C351*AS350</f>
        <v/>
      </c>
      <c r="AT351">
        <f>$C351*AT350</f>
        <v/>
      </c>
      <c r="AU351">
        <f>$C351*AU350</f>
        <v/>
      </c>
      <c r="AV351">
        <f>$C351*AV350</f>
        <v/>
      </c>
      <c r="AW351">
        <f>$C351*AW350</f>
        <v/>
      </c>
      <c r="AX351">
        <f>$C351*AX350</f>
        <v/>
      </c>
      <c r="AY351">
        <f>$C351*AY350</f>
        <v/>
      </c>
      <c r="AZ351">
        <f>$C351*AZ350</f>
        <v/>
      </c>
      <c r="BA351">
        <f>$C351*BA350</f>
        <v/>
      </c>
      <c r="BB351">
        <f>$C351*BB350</f>
        <v/>
      </c>
      <c r="BC351">
        <f>$C351*BC350</f>
        <v/>
      </c>
      <c r="BD351">
        <f>$C351*BD350</f>
        <v/>
      </c>
      <c r="BE351">
        <f>$C351*BE350</f>
        <v/>
      </c>
      <c r="BF351">
        <f>$C351*BF350</f>
        <v/>
      </c>
      <c r="BG351">
        <f>$C351*BG350</f>
        <v/>
      </c>
      <c r="BH351">
        <f>$C351*BH350</f>
        <v/>
      </c>
      <c r="BI351">
        <f>$C351*BI350</f>
        <v/>
      </c>
      <c r="BJ351">
        <f>$C351*BJ350</f>
        <v/>
      </c>
      <c r="BK351">
        <f>$C351*BK350</f>
        <v/>
      </c>
      <c r="BL351">
        <f>$C351*BL350</f>
        <v/>
      </c>
      <c r="BM351">
        <f>$C351*BM350</f>
        <v/>
      </c>
      <c r="BN351">
        <f>$C351*BN350</f>
        <v/>
      </c>
      <c r="BO351">
        <f>$C351*BO350</f>
        <v/>
      </c>
      <c r="BP351">
        <f>$C351*BP350</f>
        <v/>
      </c>
      <c r="BQ351">
        <f>$C351*BQ350</f>
        <v/>
      </c>
      <c r="BR351">
        <f>$C351*BR350</f>
        <v/>
      </c>
      <c r="BS351">
        <f>$C351*BS350</f>
        <v/>
      </c>
      <c r="BT351">
        <f>$C351*BT350</f>
        <v/>
      </c>
      <c r="BU351">
        <f>$C351*BU350</f>
        <v/>
      </c>
      <c r="BV351">
        <f>$C351*BV350</f>
        <v/>
      </c>
      <c r="BW351">
        <f>$C351*BW350</f>
        <v/>
      </c>
      <c r="BX351">
        <f>$C351*BX350</f>
        <v/>
      </c>
      <c r="BY351">
        <f>$C351*BY350</f>
        <v/>
      </c>
      <c r="BZ351">
        <f>$C351*BZ350</f>
        <v/>
      </c>
      <c r="CA351">
        <f>$C351*CA350</f>
        <v/>
      </c>
      <c r="CB351">
        <f>$C351*CB350</f>
        <v/>
      </c>
      <c r="CC351">
        <f>$C351*CC350</f>
        <v/>
      </c>
      <c r="CD351">
        <f>$C351*CD350</f>
        <v/>
      </c>
      <c r="CE351">
        <f>$C351*CE350</f>
        <v/>
      </c>
      <c r="CF351">
        <f>$C351*CF350</f>
        <v/>
      </c>
      <c r="CG351">
        <f>$C351*CG350</f>
        <v/>
      </c>
      <c r="CH351">
        <f>$C351*CH350</f>
        <v/>
      </c>
      <c r="CI351">
        <f>$C351*CI350</f>
        <v/>
      </c>
      <c r="CJ351">
        <f>$C351*CJ350</f>
        <v/>
      </c>
      <c r="CK351">
        <f>$C351*CK350</f>
        <v/>
      </c>
      <c r="CL351">
        <f>$C351*CL350</f>
        <v/>
      </c>
      <c r="CM351">
        <f>$C351*CM350</f>
        <v/>
      </c>
      <c r="CN351">
        <f>$C351*CN350</f>
        <v/>
      </c>
      <c r="CO351">
        <f>$C351*CO350</f>
        <v/>
      </c>
      <c r="CP351">
        <f>$C351*CP350</f>
        <v/>
      </c>
      <c r="CQ351">
        <f>$C351*CQ350</f>
        <v/>
      </c>
      <c r="CR351">
        <f>$C351*CR350</f>
        <v/>
      </c>
      <c r="CS351">
        <f>$C351*CS350</f>
        <v/>
      </c>
      <c r="CT351">
        <f>$C351*CT350</f>
        <v/>
      </c>
      <c r="CU351">
        <f>$C351*CU350</f>
        <v/>
      </c>
      <c r="CV351">
        <f>$C351*CV350</f>
        <v/>
      </c>
      <c r="CW351">
        <f>$C351*CW350</f>
        <v/>
      </c>
      <c r="CX351">
        <f>$C351*CX350</f>
        <v/>
      </c>
      <c r="CY351">
        <f>$C351*CY350</f>
        <v/>
      </c>
      <c r="CZ351">
        <f>$C351*CZ350</f>
        <v/>
      </c>
      <c r="DA351">
        <f>$C351*DA350</f>
        <v/>
      </c>
      <c r="DB351">
        <f>$C351*DB350</f>
        <v/>
      </c>
      <c r="DC351">
        <f>$C351*DC350</f>
        <v/>
      </c>
    </row>
    <row r="352">
      <c r="B352" t="inlineStr">
        <is>
          <t>TSP-925</t>
        </is>
      </c>
      <c r="C352" t="inlineStr">
        <is>
          <t>No. of batches</t>
        </is>
      </c>
      <c r="D352">
        <f>IFERROR(INDEX(PP_Grid[#Data],$DD352,2),0)</f>
        <v/>
      </c>
      <c r="E352">
        <f>IFERROR(INDEX(PP_Grid[#Data],$DD352,3),0)</f>
        <v/>
      </c>
      <c r="F352">
        <f>IFERROR(INDEX(PP_Grid[#Data],$DD352,4),0)</f>
        <v/>
      </c>
      <c r="G352">
        <f>IFERROR(INDEX(PP_Grid[#Data],$DD352,5),0)</f>
        <v/>
      </c>
      <c r="H352">
        <f>IFERROR(INDEX(PP_Grid[#Data],$DD352,6),0)</f>
        <v/>
      </c>
      <c r="I352">
        <f>IFERROR(INDEX(PP_Grid[#Data],$DD352,7),0)</f>
        <v/>
      </c>
      <c r="J352">
        <f>IFERROR(INDEX(PP_Grid[#Data],$DD352,8),0)</f>
        <v/>
      </c>
      <c r="K352">
        <f>IFERROR(INDEX(PP_Grid[#Data],$DD352,9),0)</f>
        <v/>
      </c>
      <c r="L352">
        <f>IFERROR(INDEX(PP_Grid[#Data],$DD352,10),0)</f>
        <v/>
      </c>
      <c r="M352">
        <f>IFERROR(INDEX(PP_Grid[#Data],$DD352,11),0)</f>
        <v/>
      </c>
      <c r="N352">
        <f>IFERROR(INDEX(PP_Grid[#Data],$DD352,12),0)</f>
        <v/>
      </c>
      <c r="O352">
        <f>IFERROR(INDEX(PP_Grid[#Data],$DD352,13),0)</f>
        <v/>
      </c>
      <c r="P352">
        <f>IFERROR(INDEX(PP_Grid[#Data],$DD352,14),0)</f>
        <v/>
      </c>
      <c r="Q352">
        <f>IFERROR(INDEX(PP_Grid[#Data],$DD352,15),0)</f>
        <v/>
      </c>
      <c r="R352">
        <f>IFERROR(INDEX(PP_Grid[#Data],$DD352,16),0)</f>
        <v/>
      </c>
      <c r="S352">
        <f>IFERROR(INDEX(PP_Grid[#Data],$DD352,17),0)</f>
        <v/>
      </c>
      <c r="T352">
        <f>IFERROR(INDEX(PP_Grid[#Data],$DD352,18),0)</f>
        <v/>
      </c>
      <c r="U352">
        <f>IFERROR(INDEX(PP_Grid[#Data],$DD352,19),0)</f>
        <v/>
      </c>
      <c r="V352">
        <f>IFERROR(INDEX(PP_Grid[#Data],$DD352,20),0)</f>
        <v/>
      </c>
      <c r="W352">
        <f>IFERROR(INDEX(PP_Grid[#Data],$DD352,21),0)</f>
        <v/>
      </c>
      <c r="X352">
        <f>IFERROR(INDEX(PP_Grid[#Data],$DD352,22),0)</f>
        <v/>
      </c>
      <c r="Y352">
        <f>IFERROR(INDEX(PP_Grid[#Data],$DD352,23),0)</f>
        <v/>
      </c>
      <c r="Z352">
        <f>IFERROR(INDEX(PP_Grid[#Data],$DD352,24),0)</f>
        <v/>
      </c>
      <c r="AA352">
        <f>IFERROR(INDEX(PP_Grid[#Data],$DD352,25),0)</f>
        <v/>
      </c>
      <c r="AB352">
        <f>IFERROR(INDEX(PP_Grid[#Data],$DD352,26),0)</f>
        <v/>
      </c>
      <c r="AC352">
        <f>IFERROR(INDEX(PP_Grid[#Data],$DD352,27),0)</f>
        <v/>
      </c>
      <c r="AD352">
        <f>IFERROR(INDEX(PP_Grid[#Data],$DD352,28),0)</f>
        <v/>
      </c>
      <c r="AE352">
        <f>IFERROR(INDEX(PP_Grid[#Data],$DD352,29),0)</f>
        <v/>
      </c>
      <c r="AF352">
        <f>IFERROR(INDEX(PP_Grid[#Data],$DD352,30),0)</f>
        <v/>
      </c>
      <c r="AG352">
        <f>IFERROR(INDEX(PP_Grid[#Data],$DD352,31),0)</f>
        <v/>
      </c>
      <c r="AH352">
        <f>IFERROR(INDEX(PP_Grid[#Data],$DD352,32),0)</f>
        <v/>
      </c>
      <c r="AI352">
        <f>IFERROR(INDEX(PP_Grid[#Data],$DD352,33),0)</f>
        <v/>
      </c>
      <c r="AJ352">
        <f>IFERROR(INDEX(PP_Grid[#Data],$DD352,34),0)</f>
        <v/>
      </c>
      <c r="AK352">
        <f>IFERROR(INDEX(PP_Grid[#Data],$DD352,35),0)</f>
        <v/>
      </c>
      <c r="AL352">
        <f>IFERROR(INDEX(PP_Grid[#Data],$DD352,36),0)</f>
        <v/>
      </c>
      <c r="AM352">
        <f>IFERROR(INDEX(PP_Grid[#Data],$DD352,37),0)</f>
        <v/>
      </c>
      <c r="AN352">
        <f>IFERROR(INDEX(PP_Grid[#Data],$DD352,38),0)</f>
        <v/>
      </c>
      <c r="AO352">
        <f>IFERROR(INDEX(PP_Grid[#Data],$DD352,39),0)</f>
        <v/>
      </c>
      <c r="AP352">
        <f>IFERROR(INDEX(PP_Grid[#Data],$DD352,40),0)</f>
        <v/>
      </c>
      <c r="AQ352">
        <f>IFERROR(INDEX(PP_Grid[#Data],$DD352,41),0)</f>
        <v/>
      </c>
      <c r="AR352">
        <f>IFERROR(INDEX(PP_Grid[#Data],$DD352,42),0)</f>
        <v/>
      </c>
      <c r="AS352">
        <f>IFERROR(INDEX(PP_Grid[#Data],$DD352,43),0)</f>
        <v/>
      </c>
      <c r="AT352">
        <f>IFERROR(INDEX(PP_Grid[#Data],$DD352,44),0)</f>
        <v/>
      </c>
      <c r="AU352">
        <f>IFERROR(INDEX(PP_Grid[#Data],$DD352,45),0)</f>
        <v/>
      </c>
      <c r="AV352">
        <f>IFERROR(INDEX(PP_Grid[#Data],$DD352,46),0)</f>
        <v/>
      </c>
      <c r="AW352">
        <f>IFERROR(INDEX(PP_Grid[#Data],$DD352,47),0)</f>
        <v/>
      </c>
      <c r="AX352">
        <f>IFERROR(INDEX(PP_Grid[#Data],$DD352,48),0)</f>
        <v/>
      </c>
      <c r="AY352">
        <f>IFERROR(INDEX(PP_Grid[#Data],$DD352,49),0)</f>
        <v/>
      </c>
      <c r="AZ352">
        <f>IFERROR(INDEX(PP_Grid[#Data],$DD352,50),0)</f>
        <v/>
      </c>
      <c r="BA352">
        <f>IFERROR(INDEX(PP_Grid[#Data],$DD352,51),0)</f>
        <v/>
      </c>
      <c r="BB352">
        <f>IFERROR(INDEX(PP_Grid[#Data],$DD352,52),0)</f>
        <v/>
      </c>
      <c r="BC352">
        <f>IFERROR(INDEX(PP_Grid[#Data],$DD352,53),0)</f>
        <v/>
      </c>
      <c r="BD352">
        <f>IFERROR(INDEX(PP_Grid[#Data],$DD352,54),0)</f>
        <v/>
      </c>
      <c r="BE352">
        <f>IFERROR(INDEX(PP_Grid[#Data],$DD352,55),0)</f>
        <v/>
      </c>
      <c r="BF352">
        <f>IFERROR(INDEX(PP_Grid[#Data],$DD352,56),0)</f>
        <v/>
      </c>
      <c r="BG352">
        <f>IFERROR(INDEX(PP_Grid[#Data],$DD352,57),0)</f>
        <v/>
      </c>
      <c r="BH352">
        <f>IFERROR(INDEX(PP_Grid[#Data],$DD352,58),0)</f>
        <v/>
      </c>
      <c r="BI352">
        <f>IFERROR(INDEX(PP_Grid[#Data],$DD352,59),0)</f>
        <v/>
      </c>
      <c r="BJ352">
        <f>IFERROR(INDEX(PP_Grid[#Data],$DD352,60),0)</f>
        <v/>
      </c>
      <c r="BK352">
        <f>IFERROR(INDEX(PP_Grid[#Data],$DD352,61),0)</f>
        <v/>
      </c>
      <c r="BL352">
        <f>IFERROR(INDEX(PP_Grid[#Data],$DD352,62),0)</f>
        <v/>
      </c>
      <c r="BM352">
        <f>IFERROR(INDEX(PP_Grid[#Data],$DD352,63),0)</f>
        <v/>
      </c>
      <c r="BN352">
        <f>IFERROR(INDEX(PP_Grid[#Data],$DD352,64),0)</f>
        <v/>
      </c>
      <c r="BO352">
        <f>IFERROR(INDEX(PP_Grid[#Data],$DD352,65),0)</f>
        <v/>
      </c>
      <c r="BP352">
        <f>IFERROR(INDEX(PP_Grid[#Data],$DD352,66),0)</f>
        <v/>
      </c>
      <c r="BQ352">
        <f>IFERROR(INDEX(PP_Grid[#Data],$DD352,67),0)</f>
        <v/>
      </c>
      <c r="BR352">
        <f>IFERROR(INDEX(PP_Grid[#Data],$DD352,68),0)</f>
        <v/>
      </c>
      <c r="BS352">
        <f>IFERROR(INDEX(PP_Grid[#Data],$DD352,69),0)</f>
        <v/>
      </c>
      <c r="BT352">
        <f>IFERROR(INDEX(PP_Grid[#Data],$DD352,70),0)</f>
        <v/>
      </c>
      <c r="BU352">
        <f>IFERROR(INDEX(PP_Grid[#Data],$DD352,71),0)</f>
        <v/>
      </c>
      <c r="BV352">
        <f>IFERROR(INDEX(PP_Grid[#Data],$DD352,72),0)</f>
        <v/>
      </c>
      <c r="BW352">
        <f>IFERROR(INDEX(PP_Grid[#Data],$DD352,73),0)</f>
        <v/>
      </c>
      <c r="BX352">
        <f>IFERROR(INDEX(PP_Grid[#Data],$DD352,74),0)</f>
        <v/>
      </c>
      <c r="BY352">
        <f>IFERROR(INDEX(PP_Grid[#Data],$DD352,75),0)</f>
        <v/>
      </c>
      <c r="BZ352">
        <f>IFERROR(INDEX(PP_Grid[#Data],$DD352,76),0)</f>
        <v/>
      </c>
      <c r="CA352">
        <f>IFERROR(INDEX(PP_Grid[#Data],$DD352,77),0)</f>
        <v/>
      </c>
      <c r="CB352">
        <f>IFERROR(INDEX(PP_Grid[#Data],$DD352,78),0)</f>
        <v/>
      </c>
      <c r="CC352">
        <f>IFERROR(INDEX(PP_Grid[#Data],$DD352,79),0)</f>
        <v/>
      </c>
      <c r="CD352">
        <f>IFERROR(INDEX(PP_Grid[#Data],$DD352,80),0)</f>
        <v/>
      </c>
      <c r="CE352">
        <f>IFERROR(INDEX(PP_Grid[#Data],$DD352,81),0)</f>
        <v/>
      </c>
      <c r="CF352">
        <f>IFERROR(INDEX(PP_Grid[#Data],$DD352,82),0)</f>
        <v/>
      </c>
      <c r="CG352">
        <f>IFERROR(INDEX(PP_Grid[#Data],$DD352,83),0)</f>
        <v/>
      </c>
      <c r="CH352">
        <f>IFERROR(INDEX(PP_Grid[#Data],$DD352,84),0)</f>
        <v/>
      </c>
      <c r="CI352">
        <f>IFERROR(INDEX(PP_Grid[#Data],$DD352,85),0)</f>
        <v/>
      </c>
      <c r="CJ352">
        <f>IFERROR(INDEX(PP_Grid[#Data],$DD352,86),0)</f>
        <v/>
      </c>
      <c r="CK352">
        <f>IFERROR(INDEX(PP_Grid[#Data],$DD352,87),0)</f>
        <v/>
      </c>
      <c r="CL352">
        <f>IFERROR(INDEX(PP_Grid[#Data],$DD352,88),0)</f>
        <v/>
      </c>
      <c r="CM352">
        <f>IFERROR(INDEX(PP_Grid[#Data],$DD352,89),0)</f>
        <v/>
      </c>
      <c r="CN352">
        <f>IFERROR(INDEX(PP_Grid[#Data],$DD352,90),0)</f>
        <v/>
      </c>
      <c r="CO352">
        <f>IFERROR(INDEX(PP_Grid[#Data],$DD352,91),0)</f>
        <v/>
      </c>
      <c r="CP352">
        <f>IFERROR(INDEX(PP_Grid[#Data],$DD352,92),0)</f>
        <v/>
      </c>
      <c r="CQ352">
        <f>IFERROR(INDEX(PP_Grid[#Data],$DD352,93),0)</f>
        <v/>
      </c>
      <c r="CR352">
        <f>IFERROR(INDEX(PP_Grid[#Data],$DD352,94),0)</f>
        <v/>
      </c>
      <c r="CS352">
        <f>IFERROR(INDEX(PP_Grid[#Data],$DD352,95),0)</f>
        <v/>
      </c>
      <c r="CT352">
        <f>IFERROR(INDEX(PP_Grid[#Data],$DD352,96),0)</f>
        <v/>
      </c>
      <c r="CU352">
        <f>IFERROR(INDEX(PP_Grid[#Data],$DD352,97),0)</f>
        <v/>
      </c>
      <c r="CV352">
        <f>IFERROR(INDEX(PP_Grid[#Data],$DD352,98),0)</f>
        <v/>
      </c>
      <c r="CW352">
        <f>IFERROR(INDEX(PP_Grid[#Data],$DD352,99),0)</f>
        <v/>
      </c>
      <c r="CX352">
        <f>IFERROR(INDEX(PP_Grid[#Data],$DD352,100),0)</f>
        <v/>
      </c>
      <c r="CY352">
        <f>IFERROR(INDEX(PP_Grid[#Data],$DD352,101),0)</f>
        <v/>
      </c>
      <c r="CZ352">
        <f>IFERROR(INDEX(PP_Grid[#Data],$DD352,102),0)</f>
        <v/>
      </c>
      <c r="DA352">
        <f>IFERROR(INDEX(PP_Grid[#Data],$DD352,103),0)</f>
        <v/>
      </c>
      <c r="DB352">
        <f>IFERROR(INDEX(PP_Grid[#Data],$DD352,104),0)</f>
        <v/>
      </c>
      <c r="DC352">
        <f>IFERROR(INDEX(PP_Grid[#Data],$DD352,105),0)</f>
        <v/>
      </c>
      <c r="DD352" s="12">
        <f>IFERROR(MATCH($B352,PP_Grid[Intermediate],0),99999)</f>
        <v/>
      </c>
    </row>
    <row r="353">
      <c r="B353" t="inlineStr">
        <is>
          <t>使用量(kg)</t>
        </is>
      </c>
      <c r="C353">
        <f>SUMIFS(M_BOM[RM_Qty_Per_Batch],M_BOM[Intermediate],$B352,M_BOM[Part Name],$A343)</f>
        <v/>
      </c>
      <c r="D353">
        <f>$C353*D352</f>
        <v/>
      </c>
      <c r="E353">
        <f>$C353*E352</f>
        <v/>
      </c>
      <c r="F353">
        <f>$C353*F352</f>
        <v/>
      </c>
      <c r="G353">
        <f>$C353*G352</f>
        <v/>
      </c>
      <c r="H353">
        <f>$C353*H352</f>
        <v/>
      </c>
      <c r="I353">
        <f>$C353*I352</f>
        <v/>
      </c>
      <c r="J353">
        <f>$C353*J352</f>
        <v/>
      </c>
      <c r="K353">
        <f>$C353*K352</f>
        <v/>
      </c>
      <c r="L353">
        <f>$C353*L352</f>
        <v/>
      </c>
      <c r="M353">
        <f>$C353*M352</f>
        <v/>
      </c>
      <c r="N353">
        <f>$C353*N352</f>
        <v/>
      </c>
      <c r="O353">
        <f>$C353*O352</f>
        <v/>
      </c>
      <c r="P353">
        <f>$C353*P352</f>
        <v/>
      </c>
      <c r="Q353">
        <f>$C353*Q352</f>
        <v/>
      </c>
      <c r="R353">
        <f>$C353*R352</f>
        <v/>
      </c>
      <c r="S353">
        <f>$C353*S352</f>
        <v/>
      </c>
      <c r="T353">
        <f>$C353*T352</f>
        <v/>
      </c>
      <c r="U353">
        <f>$C353*U352</f>
        <v/>
      </c>
      <c r="V353">
        <f>$C353*V352</f>
        <v/>
      </c>
      <c r="W353">
        <f>$C353*W352</f>
        <v/>
      </c>
      <c r="X353">
        <f>$C353*X352</f>
        <v/>
      </c>
      <c r="Y353">
        <f>$C353*Y352</f>
        <v/>
      </c>
      <c r="Z353">
        <f>$C353*Z352</f>
        <v/>
      </c>
      <c r="AA353">
        <f>$C353*AA352</f>
        <v/>
      </c>
      <c r="AB353">
        <f>$C353*AB352</f>
        <v/>
      </c>
      <c r="AC353">
        <f>$C353*AC352</f>
        <v/>
      </c>
      <c r="AD353">
        <f>$C353*AD352</f>
        <v/>
      </c>
      <c r="AE353">
        <f>$C353*AE352</f>
        <v/>
      </c>
      <c r="AF353">
        <f>$C353*AF352</f>
        <v/>
      </c>
      <c r="AG353">
        <f>$C353*AG352</f>
        <v/>
      </c>
      <c r="AH353">
        <f>$C353*AH352</f>
        <v/>
      </c>
      <c r="AI353">
        <f>$C353*AI352</f>
        <v/>
      </c>
      <c r="AJ353">
        <f>$C353*AJ352</f>
        <v/>
      </c>
      <c r="AK353">
        <f>$C353*AK352</f>
        <v/>
      </c>
      <c r="AL353">
        <f>$C353*AL352</f>
        <v/>
      </c>
      <c r="AM353">
        <f>$C353*AM352</f>
        <v/>
      </c>
      <c r="AN353">
        <f>$C353*AN352</f>
        <v/>
      </c>
      <c r="AO353">
        <f>$C353*AO352</f>
        <v/>
      </c>
      <c r="AP353">
        <f>$C353*AP352</f>
        <v/>
      </c>
      <c r="AQ353">
        <f>$C353*AQ352</f>
        <v/>
      </c>
      <c r="AR353">
        <f>$C353*AR352</f>
        <v/>
      </c>
      <c r="AS353">
        <f>$C353*AS352</f>
        <v/>
      </c>
      <c r="AT353">
        <f>$C353*AT352</f>
        <v/>
      </c>
      <c r="AU353">
        <f>$C353*AU352</f>
        <v/>
      </c>
      <c r="AV353">
        <f>$C353*AV352</f>
        <v/>
      </c>
      <c r="AW353">
        <f>$C353*AW352</f>
        <v/>
      </c>
      <c r="AX353">
        <f>$C353*AX352</f>
        <v/>
      </c>
      <c r="AY353">
        <f>$C353*AY352</f>
        <v/>
      </c>
      <c r="AZ353">
        <f>$C353*AZ352</f>
        <v/>
      </c>
      <c r="BA353">
        <f>$C353*BA352</f>
        <v/>
      </c>
      <c r="BB353">
        <f>$C353*BB352</f>
        <v/>
      </c>
      <c r="BC353">
        <f>$C353*BC352</f>
        <v/>
      </c>
      <c r="BD353">
        <f>$C353*BD352</f>
        <v/>
      </c>
      <c r="BE353">
        <f>$C353*BE352</f>
        <v/>
      </c>
      <c r="BF353">
        <f>$C353*BF352</f>
        <v/>
      </c>
      <c r="BG353">
        <f>$C353*BG352</f>
        <v/>
      </c>
      <c r="BH353">
        <f>$C353*BH352</f>
        <v/>
      </c>
      <c r="BI353">
        <f>$C353*BI352</f>
        <v/>
      </c>
      <c r="BJ353">
        <f>$C353*BJ352</f>
        <v/>
      </c>
      <c r="BK353">
        <f>$C353*BK352</f>
        <v/>
      </c>
      <c r="BL353">
        <f>$C353*BL352</f>
        <v/>
      </c>
      <c r="BM353">
        <f>$C353*BM352</f>
        <v/>
      </c>
      <c r="BN353">
        <f>$C353*BN352</f>
        <v/>
      </c>
      <c r="BO353">
        <f>$C353*BO352</f>
        <v/>
      </c>
      <c r="BP353">
        <f>$C353*BP352</f>
        <v/>
      </c>
      <c r="BQ353">
        <f>$C353*BQ352</f>
        <v/>
      </c>
      <c r="BR353">
        <f>$C353*BR352</f>
        <v/>
      </c>
      <c r="BS353">
        <f>$C353*BS352</f>
        <v/>
      </c>
      <c r="BT353">
        <f>$C353*BT352</f>
        <v/>
      </c>
      <c r="BU353">
        <f>$C353*BU352</f>
        <v/>
      </c>
      <c r="BV353">
        <f>$C353*BV352</f>
        <v/>
      </c>
      <c r="BW353">
        <f>$C353*BW352</f>
        <v/>
      </c>
      <c r="BX353">
        <f>$C353*BX352</f>
        <v/>
      </c>
      <c r="BY353">
        <f>$C353*BY352</f>
        <v/>
      </c>
      <c r="BZ353">
        <f>$C353*BZ352</f>
        <v/>
      </c>
      <c r="CA353">
        <f>$C353*CA352</f>
        <v/>
      </c>
      <c r="CB353">
        <f>$C353*CB352</f>
        <v/>
      </c>
      <c r="CC353">
        <f>$C353*CC352</f>
        <v/>
      </c>
      <c r="CD353">
        <f>$C353*CD352</f>
        <v/>
      </c>
      <c r="CE353">
        <f>$C353*CE352</f>
        <v/>
      </c>
      <c r="CF353">
        <f>$C353*CF352</f>
        <v/>
      </c>
      <c r="CG353">
        <f>$C353*CG352</f>
        <v/>
      </c>
      <c r="CH353">
        <f>$C353*CH352</f>
        <v/>
      </c>
      <c r="CI353">
        <f>$C353*CI352</f>
        <v/>
      </c>
      <c r="CJ353">
        <f>$C353*CJ352</f>
        <v/>
      </c>
      <c r="CK353">
        <f>$C353*CK352</f>
        <v/>
      </c>
      <c r="CL353">
        <f>$C353*CL352</f>
        <v/>
      </c>
      <c r="CM353">
        <f>$C353*CM352</f>
        <v/>
      </c>
      <c r="CN353">
        <f>$C353*CN352</f>
        <v/>
      </c>
      <c r="CO353">
        <f>$C353*CO352</f>
        <v/>
      </c>
      <c r="CP353">
        <f>$C353*CP352</f>
        <v/>
      </c>
      <c r="CQ353">
        <f>$C353*CQ352</f>
        <v/>
      </c>
      <c r="CR353">
        <f>$C353*CR352</f>
        <v/>
      </c>
      <c r="CS353">
        <f>$C353*CS352</f>
        <v/>
      </c>
      <c r="CT353">
        <f>$C353*CT352</f>
        <v/>
      </c>
      <c r="CU353">
        <f>$C353*CU352</f>
        <v/>
      </c>
      <c r="CV353">
        <f>$C353*CV352</f>
        <v/>
      </c>
      <c r="CW353">
        <f>$C353*CW352</f>
        <v/>
      </c>
      <c r="CX353">
        <f>$C353*CX352</f>
        <v/>
      </c>
      <c r="CY353">
        <f>$C353*CY352</f>
        <v/>
      </c>
      <c r="CZ353">
        <f>$C353*CZ352</f>
        <v/>
      </c>
      <c r="DA353">
        <f>$C353*DA352</f>
        <v/>
      </c>
      <c r="DB353">
        <f>$C353*DB352</f>
        <v/>
      </c>
      <c r="DC353">
        <f>$C353*DC352</f>
        <v/>
      </c>
    </row>
    <row r="354">
      <c r="B354" t="inlineStr">
        <is>
          <t>TSZ-616</t>
        </is>
      </c>
      <c r="C354" t="inlineStr">
        <is>
          <t>No. of batches</t>
        </is>
      </c>
      <c r="D354">
        <f>IFERROR(INDEX(PP_Grid[#Data],$DD354,2),0)</f>
        <v/>
      </c>
      <c r="E354">
        <f>IFERROR(INDEX(PP_Grid[#Data],$DD354,3),0)</f>
        <v/>
      </c>
      <c r="F354">
        <f>IFERROR(INDEX(PP_Grid[#Data],$DD354,4),0)</f>
        <v/>
      </c>
      <c r="G354">
        <f>IFERROR(INDEX(PP_Grid[#Data],$DD354,5),0)</f>
        <v/>
      </c>
      <c r="H354">
        <f>IFERROR(INDEX(PP_Grid[#Data],$DD354,6),0)</f>
        <v/>
      </c>
      <c r="I354">
        <f>IFERROR(INDEX(PP_Grid[#Data],$DD354,7),0)</f>
        <v/>
      </c>
      <c r="J354">
        <f>IFERROR(INDEX(PP_Grid[#Data],$DD354,8),0)</f>
        <v/>
      </c>
      <c r="K354">
        <f>IFERROR(INDEX(PP_Grid[#Data],$DD354,9),0)</f>
        <v/>
      </c>
      <c r="L354">
        <f>IFERROR(INDEX(PP_Grid[#Data],$DD354,10),0)</f>
        <v/>
      </c>
      <c r="M354">
        <f>IFERROR(INDEX(PP_Grid[#Data],$DD354,11),0)</f>
        <v/>
      </c>
      <c r="N354">
        <f>IFERROR(INDEX(PP_Grid[#Data],$DD354,12),0)</f>
        <v/>
      </c>
      <c r="O354">
        <f>IFERROR(INDEX(PP_Grid[#Data],$DD354,13),0)</f>
        <v/>
      </c>
      <c r="P354">
        <f>IFERROR(INDEX(PP_Grid[#Data],$DD354,14),0)</f>
        <v/>
      </c>
      <c r="Q354">
        <f>IFERROR(INDEX(PP_Grid[#Data],$DD354,15),0)</f>
        <v/>
      </c>
      <c r="R354">
        <f>IFERROR(INDEX(PP_Grid[#Data],$DD354,16),0)</f>
        <v/>
      </c>
      <c r="S354">
        <f>IFERROR(INDEX(PP_Grid[#Data],$DD354,17),0)</f>
        <v/>
      </c>
      <c r="T354">
        <f>IFERROR(INDEX(PP_Grid[#Data],$DD354,18),0)</f>
        <v/>
      </c>
      <c r="U354">
        <f>IFERROR(INDEX(PP_Grid[#Data],$DD354,19),0)</f>
        <v/>
      </c>
      <c r="V354">
        <f>IFERROR(INDEX(PP_Grid[#Data],$DD354,20),0)</f>
        <v/>
      </c>
      <c r="W354">
        <f>IFERROR(INDEX(PP_Grid[#Data],$DD354,21),0)</f>
        <v/>
      </c>
      <c r="X354">
        <f>IFERROR(INDEX(PP_Grid[#Data],$DD354,22),0)</f>
        <v/>
      </c>
      <c r="Y354">
        <f>IFERROR(INDEX(PP_Grid[#Data],$DD354,23),0)</f>
        <v/>
      </c>
      <c r="Z354">
        <f>IFERROR(INDEX(PP_Grid[#Data],$DD354,24),0)</f>
        <v/>
      </c>
      <c r="AA354">
        <f>IFERROR(INDEX(PP_Grid[#Data],$DD354,25),0)</f>
        <v/>
      </c>
      <c r="AB354">
        <f>IFERROR(INDEX(PP_Grid[#Data],$DD354,26),0)</f>
        <v/>
      </c>
      <c r="AC354">
        <f>IFERROR(INDEX(PP_Grid[#Data],$DD354,27),0)</f>
        <v/>
      </c>
      <c r="AD354">
        <f>IFERROR(INDEX(PP_Grid[#Data],$DD354,28),0)</f>
        <v/>
      </c>
      <c r="AE354">
        <f>IFERROR(INDEX(PP_Grid[#Data],$DD354,29),0)</f>
        <v/>
      </c>
      <c r="AF354">
        <f>IFERROR(INDEX(PP_Grid[#Data],$DD354,30),0)</f>
        <v/>
      </c>
      <c r="AG354">
        <f>IFERROR(INDEX(PP_Grid[#Data],$DD354,31),0)</f>
        <v/>
      </c>
      <c r="AH354">
        <f>IFERROR(INDEX(PP_Grid[#Data],$DD354,32),0)</f>
        <v/>
      </c>
      <c r="AI354">
        <f>IFERROR(INDEX(PP_Grid[#Data],$DD354,33),0)</f>
        <v/>
      </c>
      <c r="AJ354">
        <f>IFERROR(INDEX(PP_Grid[#Data],$DD354,34),0)</f>
        <v/>
      </c>
      <c r="AK354">
        <f>IFERROR(INDEX(PP_Grid[#Data],$DD354,35),0)</f>
        <v/>
      </c>
      <c r="AL354">
        <f>IFERROR(INDEX(PP_Grid[#Data],$DD354,36),0)</f>
        <v/>
      </c>
      <c r="AM354">
        <f>IFERROR(INDEX(PP_Grid[#Data],$DD354,37),0)</f>
        <v/>
      </c>
      <c r="AN354">
        <f>IFERROR(INDEX(PP_Grid[#Data],$DD354,38),0)</f>
        <v/>
      </c>
      <c r="AO354">
        <f>IFERROR(INDEX(PP_Grid[#Data],$DD354,39),0)</f>
        <v/>
      </c>
      <c r="AP354">
        <f>IFERROR(INDEX(PP_Grid[#Data],$DD354,40),0)</f>
        <v/>
      </c>
      <c r="AQ354">
        <f>IFERROR(INDEX(PP_Grid[#Data],$DD354,41),0)</f>
        <v/>
      </c>
      <c r="AR354">
        <f>IFERROR(INDEX(PP_Grid[#Data],$DD354,42),0)</f>
        <v/>
      </c>
      <c r="AS354">
        <f>IFERROR(INDEX(PP_Grid[#Data],$DD354,43),0)</f>
        <v/>
      </c>
      <c r="AT354">
        <f>IFERROR(INDEX(PP_Grid[#Data],$DD354,44),0)</f>
        <v/>
      </c>
      <c r="AU354">
        <f>IFERROR(INDEX(PP_Grid[#Data],$DD354,45),0)</f>
        <v/>
      </c>
      <c r="AV354">
        <f>IFERROR(INDEX(PP_Grid[#Data],$DD354,46),0)</f>
        <v/>
      </c>
      <c r="AW354">
        <f>IFERROR(INDEX(PP_Grid[#Data],$DD354,47),0)</f>
        <v/>
      </c>
      <c r="AX354">
        <f>IFERROR(INDEX(PP_Grid[#Data],$DD354,48),0)</f>
        <v/>
      </c>
      <c r="AY354">
        <f>IFERROR(INDEX(PP_Grid[#Data],$DD354,49),0)</f>
        <v/>
      </c>
      <c r="AZ354">
        <f>IFERROR(INDEX(PP_Grid[#Data],$DD354,50),0)</f>
        <v/>
      </c>
      <c r="BA354">
        <f>IFERROR(INDEX(PP_Grid[#Data],$DD354,51),0)</f>
        <v/>
      </c>
      <c r="BB354">
        <f>IFERROR(INDEX(PP_Grid[#Data],$DD354,52),0)</f>
        <v/>
      </c>
      <c r="BC354">
        <f>IFERROR(INDEX(PP_Grid[#Data],$DD354,53),0)</f>
        <v/>
      </c>
      <c r="BD354">
        <f>IFERROR(INDEX(PP_Grid[#Data],$DD354,54),0)</f>
        <v/>
      </c>
      <c r="BE354">
        <f>IFERROR(INDEX(PP_Grid[#Data],$DD354,55),0)</f>
        <v/>
      </c>
      <c r="BF354">
        <f>IFERROR(INDEX(PP_Grid[#Data],$DD354,56),0)</f>
        <v/>
      </c>
      <c r="BG354">
        <f>IFERROR(INDEX(PP_Grid[#Data],$DD354,57),0)</f>
        <v/>
      </c>
      <c r="BH354">
        <f>IFERROR(INDEX(PP_Grid[#Data],$DD354,58),0)</f>
        <v/>
      </c>
      <c r="BI354">
        <f>IFERROR(INDEX(PP_Grid[#Data],$DD354,59),0)</f>
        <v/>
      </c>
      <c r="BJ354">
        <f>IFERROR(INDEX(PP_Grid[#Data],$DD354,60),0)</f>
        <v/>
      </c>
      <c r="BK354">
        <f>IFERROR(INDEX(PP_Grid[#Data],$DD354,61),0)</f>
        <v/>
      </c>
      <c r="BL354">
        <f>IFERROR(INDEX(PP_Grid[#Data],$DD354,62),0)</f>
        <v/>
      </c>
      <c r="BM354">
        <f>IFERROR(INDEX(PP_Grid[#Data],$DD354,63),0)</f>
        <v/>
      </c>
      <c r="BN354">
        <f>IFERROR(INDEX(PP_Grid[#Data],$DD354,64),0)</f>
        <v/>
      </c>
      <c r="BO354">
        <f>IFERROR(INDEX(PP_Grid[#Data],$DD354,65),0)</f>
        <v/>
      </c>
      <c r="BP354">
        <f>IFERROR(INDEX(PP_Grid[#Data],$DD354,66),0)</f>
        <v/>
      </c>
      <c r="BQ354">
        <f>IFERROR(INDEX(PP_Grid[#Data],$DD354,67),0)</f>
        <v/>
      </c>
      <c r="BR354">
        <f>IFERROR(INDEX(PP_Grid[#Data],$DD354,68),0)</f>
        <v/>
      </c>
      <c r="BS354">
        <f>IFERROR(INDEX(PP_Grid[#Data],$DD354,69),0)</f>
        <v/>
      </c>
      <c r="BT354">
        <f>IFERROR(INDEX(PP_Grid[#Data],$DD354,70),0)</f>
        <v/>
      </c>
      <c r="BU354">
        <f>IFERROR(INDEX(PP_Grid[#Data],$DD354,71),0)</f>
        <v/>
      </c>
      <c r="BV354">
        <f>IFERROR(INDEX(PP_Grid[#Data],$DD354,72),0)</f>
        <v/>
      </c>
      <c r="BW354">
        <f>IFERROR(INDEX(PP_Grid[#Data],$DD354,73),0)</f>
        <v/>
      </c>
      <c r="BX354">
        <f>IFERROR(INDEX(PP_Grid[#Data],$DD354,74),0)</f>
        <v/>
      </c>
      <c r="BY354">
        <f>IFERROR(INDEX(PP_Grid[#Data],$DD354,75),0)</f>
        <v/>
      </c>
      <c r="BZ354">
        <f>IFERROR(INDEX(PP_Grid[#Data],$DD354,76),0)</f>
        <v/>
      </c>
      <c r="CA354">
        <f>IFERROR(INDEX(PP_Grid[#Data],$DD354,77),0)</f>
        <v/>
      </c>
      <c r="CB354">
        <f>IFERROR(INDEX(PP_Grid[#Data],$DD354,78),0)</f>
        <v/>
      </c>
      <c r="CC354">
        <f>IFERROR(INDEX(PP_Grid[#Data],$DD354,79),0)</f>
        <v/>
      </c>
      <c r="CD354">
        <f>IFERROR(INDEX(PP_Grid[#Data],$DD354,80),0)</f>
        <v/>
      </c>
      <c r="CE354">
        <f>IFERROR(INDEX(PP_Grid[#Data],$DD354,81),0)</f>
        <v/>
      </c>
      <c r="CF354">
        <f>IFERROR(INDEX(PP_Grid[#Data],$DD354,82),0)</f>
        <v/>
      </c>
      <c r="CG354">
        <f>IFERROR(INDEX(PP_Grid[#Data],$DD354,83),0)</f>
        <v/>
      </c>
      <c r="CH354">
        <f>IFERROR(INDEX(PP_Grid[#Data],$DD354,84),0)</f>
        <v/>
      </c>
      <c r="CI354">
        <f>IFERROR(INDEX(PP_Grid[#Data],$DD354,85),0)</f>
        <v/>
      </c>
      <c r="CJ354">
        <f>IFERROR(INDEX(PP_Grid[#Data],$DD354,86),0)</f>
        <v/>
      </c>
      <c r="CK354">
        <f>IFERROR(INDEX(PP_Grid[#Data],$DD354,87),0)</f>
        <v/>
      </c>
      <c r="CL354">
        <f>IFERROR(INDEX(PP_Grid[#Data],$DD354,88),0)</f>
        <v/>
      </c>
      <c r="CM354">
        <f>IFERROR(INDEX(PP_Grid[#Data],$DD354,89),0)</f>
        <v/>
      </c>
      <c r="CN354">
        <f>IFERROR(INDEX(PP_Grid[#Data],$DD354,90),0)</f>
        <v/>
      </c>
      <c r="CO354">
        <f>IFERROR(INDEX(PP_Grid[#Data],$DD354,91),0)</f>
        <v/>
      </c>
      <c r="CP354">
        <f>IFERROR(INDEX(PP_Grid[#Data],$DD354,92),0)</f>
        <v/>
      </c>
      <c r="CQ354">
        <f>IFERROR(INDEX(PP_Grid[#Data],$DD354,93),0)</f>
        <v/>
      </c>
      <c r="CR354">
        <f>IFERROR(INDEX(PP_Grid[#Data],$DD354,94),0)</f>
        <v/>
      </c>
      <c r="CS354">
        <f>IFERROR(INDEX(PP_Grid[#Data],$DD354,95),0)</f>
        <v/>
      </c>
      <c r="CT354">
        <f>IFERROR(INDEX(PP_Grid[#Data],$DD354,96),0)</f>
        <v/>
      </c>
      <c r="CU354">
        <f>IFERROR(INDEX(PP_Grid[#Data],$DD354,97),0)</f>
        <v/>
      </c>
      <c r="CV354">
        <f>IFERROR(INDEX(PP_Grid[#Data],$DD354,98),0)</f>
        <v/>
      </c>
      <c r="CW354">
        <f>IFERROR(INDEX(PP_Grid[#Data],$DD354,99),0)</f>
        <v/>
      </c>
      <c r="CX354">
        <f>IFERROR(INDEX(PP_Grid[#Data],$DD354,100),0)</f>
        <v/>
      </c>
      <c r="CY354">
        <f>IFERROR(INDEX(PP_Grid[#Data],$DD354,101),0)</f>
        <v/>
      </c>
      <c r="CZ354">
        <f>IFERROR(INDEX(PP_Grid[#Data],$DD354,102),0)</f>
        <v/>
      </c>
      <c r="DA354">
        <f>IFERROR(INDEX(PP_Grid[#Data],$DD354,103),0)</f>
        <v/>
      </c>
      <c r="DB354">
        <f>IFERROR(INDEX(PP_Grid[#Data],$DD354,104),0)</f>
        <v/>
      </c>
      <c r="DC354">
        <f>IFERROR(INDEX(PP_Grid[#Data],$DD354,105),0)</f>
        <v/>
      </c>
      <c r="DD354" s="12">
        <f>IFERROR(MATCH($B354,PP_Grid[Intermediate],0),99999)</f>
        <v/>
      </c>
    </row>
    <row r="355">
      <c r="B355" t="inlineStr">
        <is>
          <t>使用量(kg)</t>
        </is>
      </c>
      <c r="C355">
        <f>SUMIFS(M_BOM[RM_Qty_Per_Batch],M_BOM[Intermediate],$B354,M_BOM[Part Name],$A343)</f>
        <v/>
      </c>
      <c r="D355">
        <f>$C355*D354</f>
        <v/>
      </c>
      <c r="E355">
        <f>$C355*E354</f>
        <v/>
      </c>
      <c r="F355">
        <f>$C355*F354</f>
        <v/>
      </c>
      <c r="G355">
        <f>$C355*G354</f>
        <v/>
      </c>
      <c r="H355">
        <f>$C355*H354</f>
        <v/>
      </c>
      <c r="I355">
        <f>$C355*I354</f>
        <v/>
      </c>
      <c r="J355">
        <f>$C355*J354</f>
        <v/>
      </c>
      <c r="K355">
        <f>$C355*K354</f>
        <v/>
      </c>
      <c r="L355">
        <f>$C355*L354</f>
        <v/>
      </c>
      <c r="M355">
        <f>$C355*M354</f>
        <v/>
      </c>
      <c r="N355">
        <f>$C355*N354</f>
        <v/>
      </c>
      <c r="O355">
        <f>$C355*O354</f>
        <v/>
      </c>
      <c r="P355">
        <f>$C355*P354</f>
        <v/>
      </c>
      <c r="Q355">
        <f>$C355*Q354</f>
        <v/>
      </c>
      <c r="R355">
        <f>$C355*R354</f>
        <v/>
      </c>
      <c r="S355">
        <f>$C355*S354</f>
        <v/>
      </c>
      <c r="T355">
        <f>$C355*T354</f>
        <v/>
      </c>
      <c r="U355">
        <f>$C355*U354</f>
        <v/>
      </c>
      <c r="V355">
        <f>$C355*V354</f>
        <v/>
      </c>
      <c r="W355">
        <f>$C355*W354</f>
        <v/>
      </c>
      <c r="X355">
        <f>$C355*X354</f>
        <v/>
      </c>
      <c r="Y355">
        <f>$C355*Y354</f>
        <v/>
      </c>
      <c r="Z355">
        <f>$C355*Z354</f>
        <v/>
      </c>
      <c r="AA355">
        <f>$C355*AA354</f>
        <v/>
      </c>
      <c r="AB355">
        <f>$C355*AB354</f>
        <v/>
      </c>
      <c r="AC355">
        <f>$C355*AC354</f>
        <v/>
      </c>
      <c r="AD355">
        <f>$C355*AD354</f>
        <v/>
      </c>
      <c r="AE355">
        <f>$C355*AE354</f>
        <v/>
      </c>
      <c r="AF355">
        <f>$C355*AF354</f>
        <v/>
      </c>
      <c r="AG355">
        <f>$C355*AG354</f>
        <v/>
      </c>
      <c r="AH355">
        <f>$C355*AH354</f>
        <v/>
      </c>
      <c r="AI355">
        <f>$C355*AI354</f>
        <v/>
      </c>
      <c r="AJ355">
        <f>$C355*AJ354</f>
        <v/>
      </c>
      <c r="AK355">
        <f>$C355*AK354</f>
        <v/>
      </c>
      <c r="AL355">
        <f>$C355*AL354</f>
        <v/>
      </c>
      <c r="AM355">
        <f>$C355*AM354</f>
        <v/>
      </c>
      <c r="AN355">
        <f>$C355*AN354</f>
        <v/>
      </c>
      <c r="AO355">
        <f>$C355*AO354</f>
        <v/>
      </c>
      <c r="AP355">
        <f>$C355*AP354</f>
        <v/>
      </c>
      <c r="AQ355">
        <f>$C355*AQ354</f>
        <v/>
      </c>
      <c r="AR355">
        <f>$C355*AR354</f>
        <v/>
      </c>
      <c r="AS355">
        <f>$C355*AS354</f>
        <v/>
      </c>
      <c r="AT355">
        <f>$C355*AT354</f>
        <v/>
      </c>
      <c r="AU355">
        <f>$C355*AU354</f>
        <v/>
      </c>
      <c r="AV355">
        <f>$C355*AV354</f>
        <v/>
      </c>
      <c r="AW355">
        <f>$C355*AW354</f>
        <v/>
      </c>
      <c r="AX355">
        <f>$C355*AX354</f>
        <v/>
      </c>
      <c r="AY355">
        <f>$C355*AY354</f>
        <v/>
      </c>
      <c r="AZ355">
        <f>$C355*AZ354</f>
        <v/>
      </c>
      <c r="BA355">
        <f>$C355*BA354</f>
        <v/>
      </c>
      <c r="BB355">
        <f>$C355*BB354</f>
        <v/>
      </c>
      <c r="BC355">
        <f>$C355*BC354</f>
        <v/>
      </c>
      <c r="BD355">
        <f>$C355*BD354</f>
        <v/>
      </c>
      <c r="BE355">
        <f>$C355*BE354</f>
        <v/>
      </c>
      <c r="BF355">
        <f>$C355*BF354</f>
        <v/>
      </c>
      <c r="BG355">
        <f>$C355*BG354</f>
        <v/>
      </c>
      <c r="BH355">
        <f>$C355*BH354</f>
        <v/>
      </c>
      <c r="BI355">
        <f>$C355*BI354</f>
        <v/>
      </c>
      <c r="BJ355">
        <f>$C355*BJ354</f>
        <v/>
      </c>
      <c r="BK355">
        <f>$C355*BK354</f>
        <v/>
      </c>
      <c r="BL355">
        <f>$C355*BL354</f>
        <v/>
      </c>
      <c r="BM355">
        <f>$C355*BM354</f>
        <v/>
      </c>
      <c r="BN355">
        <f>$C355*BN354</f>
        <v/>
      </c>
      <c r="BO355">
        <f>$C355*BO354</f>
        <v/>
      </c>
      <c r="BP355">
        <f>$C355*BP354</f>
        <v/>
      </c>
      <c r="BQ355">
        <f>$C355*BQ354</f>
        <v/>
      </c>
      <c r="BR355">
        <f>$C355*BR354</f>
        <v/>
      </c>
      <c r="BS355">
        <f>$C355*BS354</f>
        <v/>
      </c>
      <c r="BT355">
        <f>$C355*BT354</f>
        <v/>
      </c>
      <c r="BU355">
        <f>$C355*BU354</f>
        <v/>
      </c>
      <c r="BV355">
        <f>$C355*BV354</f>
        <v/>
      </c>
      <c r="BW355">
        <f>$C355*BW354</f>
        <v/>
      </c>
      <c r="BX355">
        <f>$C355*BX354</f>
        <v/>
      </c>
      <c r="BY355">
        <f>$C355*BY354</f>
        <v/>
      </c>
      <c r="BZ355">
        <f>$C355*BZ354</f>
        <v/>
      </c>
      <c r="CA355">
        <f>$C355*CA354</f>
        <v/>
      </c>
      <c r="CB355">
        <f>$C355*CB354</f>
        <v/>
      </c>
      <c r="CC355">
        <f>$C355*CC354</f>
        <v/>
      </c>
      <c r="CD355">
        <f>$C355*CD354</f>
        <v/>
      </c>
      <c r="CE355">
        <f>$C355*CE354</f>
        <v/>
      </c>
      <c r="CF355">
        <f>$C355*CF354</f>
        <v/>
      </c>
      <c r="CG355">
        <f>$C355*CG354</f>
        <v/>
      </c>
      <c r="CH355">
        <f>$C355*CH354</f>
        <v/>
      </c>
      <c r="CI355">
        <f>$C355*CI354</f>
        <v/>
      </c>
      <c r="CJ355">
        <f>$C355*CJ354</f>
        <v/>
      </c>
      <c r="CK355">
        <f>$C355*CK354</f>
        <v/>
      </c>
      <c r="CL355">
        <f>$C355*CL354</f>
        <v/>
      </c>
      <c r="CM355">
        <f>$C355*CM354</f>
        <v/>
      </c>
      <c r="CN355">
        <f>$C355*CN354</f>
        <v/>
      </c>
      <c r="CO355">
        <f>$C355*CO354</f>
        <v/>
      </c>
      <c r="CP355">
        <f>$C355*CP354</f>
        <v/>
      </c>
      <c r="CQ355">
        <f>$C355*CQ354</f>
        <v/>
      </c>
      <c r="CR355">
        <f>$C355*CR354</f>
        <v/>
      </c>
      <c r="CS355">
        <f>$C355*CS354</f>
        <v/>
      </c>
      <c r="CT355">
        <f>$C355*CT354</f>
        <v/>
      </c>
      <c r="CU355">
        <f>$C355*CU354</f>
        <v/>
      </c>
      <c r="CV355">
        <f>$C355*CV354</f>
        <v/>
      </c>
      <c r="CW355">
        <f>$C355*CW354</f>
        <v/>
      </c>
      <c r="CX355">
        <f>$C355*CX354</f>
        <v/>
      </c>
      <c r="CY355">
        <f>$C355*CY354</f>
        <v/>
      </c>
      <c r="CZ355">
        <f>$C355*CZ354</f>
        <v/>
      </c>
      <c r="DA355">
        <f>$C355*DA354</f>
        <v/>
      </c>
      <c r="DB355">
        <f>$C355*DB354</f>
        <v/>
      </c>
      <c r="DC355">
        <f>$C355*DC354</f>
        <v/>
      </c>
    </row>
    <row r="356">
      <c r="B356" t="inlineStr">
        <is>
          <t>VSP-600</t>
        </is>
      </c>
      <c r="C356" t="inlineStr">
        <is>
          <t>No. of batches</t>
        </is>
      </c>
      <c r="D356">
        <f>IFERROR(INDEX(PP_Grid[#Data],$DD356,2),0)</f>
        <v/>
      </c>
      <c r="E356">
        <f>IFERROR(INDEX(PP_Grid[#Data],$DD356,3),0)</f>
        <v/>
      </c>
      <c r="F356">
        <f>IFERROR(INDEX(PP_Grid[#Data],$DD356,4),0)</f>
        <v/>
      </c>
      <c r="G356">
        <f>IFERROR(INDEX(PP_Grid[#Data],$DD356,5),0)</f>
        <v/>
      </c>
      <c r="H356">
        <f>IFERROR(INDEX(PP_Grid[#Data],$DD356,6),0)</f>
        <v/>
      </c>
      <c r="I356">
        <f>IFERROR(INDEX(PP_Grid[#Data],$DD356,7),0)</f>
        <v/>
      </c>
      <c r="J356">
        <f>IFERROR(INDEX(PP_Grid[#Data],$DD356,8),0)</f>
        <v/>
      </c>
      <c r="K356">
        <f>IFERROR(INDEX(PP_Grid[#Data],$DD356,9),0)</f>
        <v/>
      </c>
      <c r="L356">
        <f>IFERROR(INDEX(PP_Grid[#Data],$DD356,10),0)</f>
        <v/>
      </c>
      <c r="M356">
        <f>IFERROR(INDEX(PP_Grid[#Data],$DD356,11),0)</f>
        <v/>
      </c>
      <c r="N356">
        <f>IFERROR(INDEX(PP_Grid[#Data],$DD356,12),0)</f>
        <v/>
      </c>
      <c r="O356">
        <f>IFERROR(INDEX(PP_Grid[#Data],$DD356,13),0)</f>
        <v/>
      </c>
      <c r="P356">
        <f>IFERROR(INDEX(PP_Grid[#Data],$DD356,14),0)</f>
        <v/>
      </c>
      <c r="Q356">
        <f>IFERROR(INDEX(PP_Grid[#Data],$DD356,15),0)</f>
        <v/>
      </c>
      <c r="R356">
        <f>IFERROR(INDEX(PP_Grid[#Data],$DD356,16),0)</f>
        <v/>
      </c>
      <c r="S356">
        <f>IFERROR(INDEX(PP_Grid[#Data],$DD356,17),0)</f>
        <v/>
      </c>
      <c r="T356">
        <f>IFERROR(INDEX(PP_Grid[#Data],$DD356,18),0)</f>
        <v/>
      </c>
      <c r="U356">
        <f>IFERROR(INDEX(PP_Grid[#Data],$DD356,19),0)</f>
        <v/>
      </c>
      <c r="V356">
        <f>IFERROR(INDEX(PP_Grid[#Data],$DD356,20),0)</f>
        <v/>
      </c>
      <c r="W356">
        <f>IFERROR(INDEX(PP_Grid[#Data],$DD356,21),0)</f>
        <v/>
      </c>
      <c r="X356">
        <f>IFERROR(INDEX(PP_Grid[#Data],$DD356,22),0)</f>
        <v/>
      </c>
      <c r="Y356">
        <f>IFERROR(INDEX(PP_Grid[#Data],$DD356,23),0)</f>
        <v/>
      </c>
      <c r="Z356">
        <f>IFERROR(INDEX(PP_Grid[#Data],$DD356,24),0)</f>
        <v/>
      </c>
      <c r="AA356">
        <f>IFERROR(INDEX(PP_Grid[#Data],$DD356,25),0)</f>
        <v/>
      </c>
      <c r="AB356">
        <f>IFERROR(INDEX(PP_Grid[#Data],$DD356,26),0)</f>
        <v/>
      </c>
      <c r="AC356">
        <f>IFERROR(INDEX(PP_Grid[#Data],$DD356,27),0)</f>
        <v/>
      </c>
      <c r="AD356">
        <f>IFERROR(INDEX(PP_Grid[#Data],$DD356,28),0)</f>
        <v/>
      </c>
      <c r="AE356">
        <f>IFERROR(INDEX(PP_Grid[#Data],$DD356,29),0)</f>
        <v/>
      </c>
      <c r="AF356">
        <f>IFERROR(INDEX(PP_Grid[#Data],$DD356,30),0)</f>
        <v/>
      </c>
      <c r="AG356">
        <f>IFERROR(INDEX(PP_Grid[#Data],$DD356,31),0)</f>
        <v/>
      </c>
      <c r="AH356">
        <f>IFERROR(INDEX(PP_Grid[#Data],$DD356,32),0)</f>
        <v/>
      </c>
      <c r="AI356">
        <f>IFERROR(INDEX(PP_Grid[#Data],$DD356,33),0)</f>
        <v/>
      </c>
      <c r="AJ356">
        <f>IFERROR(INDEX(PP_Grid[#Data],$DD356,34),0)</f>
        <v/>
      </c>
      <c r="AK356">
        <f>IFERROR(INDEX(PP_Grid[#Data],$DD356,35),0)</f>
        <v/>
      </c>
      <c r="AL356">
        <f>IFERROR(INDEX(PP_Grid[#Data],$DD356,36),0)</f>
        <v/>
      </c>
      <c r="AM356">
        <f>IFERROR(INDEX(PP_Grid[#Data],$DD356,37),0)</f>
        <v/>
      </c>
      <c r="AN356">
        <f>IFERROR(INDEX(PP_Grid[#Data],$DD356,38),0)</f>
        <v/>
      </c>
      <c r="AO356">
        <f>IFERROR(INDEX(PP_Grid[#Data],$DD356,39),0)</f>
        <v/>
      </c>
      <c r="AP356">
        <f>IFERROR(INDEX(PP_Grid[#Data],$DD356,40),0)</f>
        <v/>
      </c>
      <c r="AQ356">
        <f>IFERROR(INDEX(PP_Grid[#Data],$DD356,41),0)</f>
        <v/>
      </c>
      <c r="AR356">
        <f>IFERROR(INDEX(PP_Grid[#Data],$DD356,42),0)</f>
        <v/>
      </c>
      <c r="AS356">
        <f>IFERROR(INDEX(PP_Grid[#Data],$DD356,43),0)</f>
        <v/>
      </c>
      <c r="AT356">
        <f>IFERROR(INDEX(PP_Grid[#Data],$DD356,44),0)</f>
        <v/>
      </c>
      <c r="AU356">
        <f>IFERROR(INDEX(PP_Grid[#Data],$DD356,45),0)</f>
        <v/>
      </c>
      <c r="AV356">
        <f>IFERROR(INDEX(PP_Grid[#Data],$DD356,46),0)</f>
        <v/>
      </c>
      <c r="AW356">
        <f>IFERROR(INDEX(PP_Grid[#Data],$DD356,47),0)</f>
        <v/>
      </c>
      <c r="AX356">
        <f>IFERROR(INDEX(PP_Grid[#Data],$DD356,48),0)</f>
        <v/>
      </c>
      <c r="AY356">
        <f>IFERROR(INDEX(PP_Grid[#Data],$DD356,49),0)</f>
        <v/>
      </c>
      <c r="AZ356">
        <f>IFERROR(INDEX(PP_Grid[#Data],$DD356,50),0)</f>
        <v/>
      </c>
      <c r="BA356">
        <f>IFERROR(INDEX(PP_Grid[#Data],$DD356,51),0)</f>
        <v/>
      </c>
      <c r="BB356">
        <f>IFERROR(INDEX(PP_Grid[#Data],$DD356,52),0)</f>
        <v/>
      </c>
      <c r="BC356">
        <f>IFERROR(INDEX(PP_Grid[#Data],$DD356,53),0)</f>
        <v/>
      </c>
      <c r="BD356">
        <f>IFERROR(INDEX(PP_Grid[#Data],$DD356,54),0)</f>
        <v/>
      </c>
      <c r="BE356">
        <f>IFERROR(INDEX(PP_Grid[#Data],$DD356,55),0)</f>
        <v/>
      </c>
      <c r="BF356">
        <f>IFERROR(INDEX(PP_Grid[#Data],$DD356,56),0)</f>
        <v/>
      </c>
      <c r="BG356">
        <f>IFERROR(INDEX(PP_Grid[#Data],$DD356,57),0)</f>
        <v/>
      </c>
      <c r="BH356">
        <f>IFERROR(INDEX(PP_Grid[#Data],$DD356,58),0)</f>
        <v/>
      </c>
      <c r="BI356">
        <f>IFERROR(INDEX(PP_Grid[#Data],$DD356,59),0)</f>
        <v/>
      </c>
      <c r="BJ356">
        <f>IFERROR(INDEX(PP_Grid[#Data],$DD356,60),0)</f>
        <v/>
      </c>
      <c r="BK356">
        <f>IFERROR(INDEX(PP_Grid[#Data],$DD356,61),0)</f>
        <v/>
      </c>
      <c r="BL356">
        <f>IFERROR(INDEX(PP_Grid[#Data],$DD356,62),0)</f>
        <v/>
      </c>
      <c r="BM356">
        <f>IFERROR(INDEX(PP_Grid[#Data],$DD356,63),0)</f>
        <v/>
      </c>
      <c r="BN356">
        <f>IFERROR(INDEX(PP_Grid[#Data],$DD356,64),0)</f>
        <v/>
      </c>
      <c r="BO356">
        <f>IFERROR(INDEX(PP_Grid[#Data],$DD356,65),0)</f>
        <v/>
      </c>
      <c r="BP356">
        <f>IFERROR(INDEX(PP_Grid[#Data],$DD356,66),0)</f>
        <v/>
      </c>
      <c r="BQ356">
        <f>IFERROR(INDEX(PP_Grid[#Data],$DD356,67),0)</f>
        <v/>
      </c>
      <c r="BR356">
        <f>IFERROR(INDEX(PP_Grid[#Data],$DD356,68),0)</f>
        <v/>
      </c>
      <c r="BS356">
        <f>IFERROR(INDEX(PP_Grid[#Data],$DD356,69),0)</f>
        <v/>
      </c>
      <c r="BT356">
        <f>IFERROR(INDEX(PP_Grid[#Data],$DD356,70),0)</f>
        <v/>
      </c>
      <c r="BU356">
        <f>IFERROR(INDEX(PP_Grid[#Data],$DD356,71),0)</f>
        <v/>
      </c>
      <c r="BV356">
        <f>IFERROR(INDEX(PP_Grid[#Data],$DD356,72),0)</f>
        <v/>
      </c>
      <c r="BW356">
        <f>IFERROR(INDEX(PP_Grid[#Data],$DD356,73),0)</f>
        <v/>
      </c>
      <c r="BX356">
        <f>IFERROR(INDEX(PP_Grid[#Data],$DD356,74),0)</f>
        <v/>
      </c>
      <c r="BY356">
        <f>IFERROR(INDEX(PP_Grid[#Data],$DD356,75),0)</f>
        <v/>
      </c>
      <c r="BZ356">
        <f>IFERROR(INDEX(PP_Grid[#Data],$DD356,76),0)</f>
        <v/>
      </c>
      <c r="CA356">
        <f>IFERROR(INDEX(PP_Grid[#Data],$DD356,77),0)</f>
        <v/>
      </c>
      <c r="CB356">
        <f>IFERROR(INDEX(PP_Grid[#Data],$DD356,78),0)</f>
        <v/>
      </c>
      <c r="CC356">
        <f>IFERROR(INDEX(PP_Grid[#Data],$DD356,79),0)</f>
        <v/>
      </c>
      <c r="CD356">
        <f>IFERROR(INDEX(PP_Grid[#Data],$DD356,80),0)</f>
        <v/>
      </c>
      <c r="CE356">
        <f>IFERROR(INDEX(PP_Grid[#Data],$DD356,81),0)</f>
        <v/>
      </c>
      <c r="CF356">
        <f>IFERROR(INDEX(PP_Grid[#Data],$DD356,82),0)</f>
        <v/>
      </c>
      <c r="CG356">
        <f>IFERROR(INDEX(PP_Grid[#Data],$DD356,83),0)</f>
        <v/>
      </c>
      <c r="CH356">
        <f>IFERROR(INDEX(PP_Grid[#Data],$DD356,84),0)</f>
        <v/>
      </c>
      <c r="CI356">
        <f>IFERROR(INDEX(PP_Grid[#Data],$DD356,85),0)</f>
        <v/>
      </c>
      <c r="CJ356">
        <f>IFERROR(INDEX(PP_Grid[#Data],$DD356,86),0)</f>
        <v/>
      </c>
      <c r="CK356">
        <f>IFERROR(INDEX(PP_Grid[#Data],$DD356,87),0)</f>
        <v/>
      </c>
      <c r="CL356">
        <f>IFERROR(INDEX(PP_Grid[#Data],$DD356,88),0)</f>
        <v/>
      </c>
      <c r="CM356">
        <f>IFERROR(INDEX(PP_Grid[#Data],$DD356,89),0)</f>
        <v/>
      </c>
      <c r="CN356">
        <f>IFERROR(INDEX(PP_Grid[#Data],$DD356,90),0)</f>
        <v/>
      </c>
      <c r="CO356">
        <f>IFERROR(INDEX(PP_Grid[#Data],$DD356,91),0)</f>
        <v/>
      </c>
      <c r="CP356">
        <f>IFERROR(INDEX(PP_Grid[#Data],$DD356,92),0)</f>
        <v/>
      </c>
      <c r="CQ356">
        <f>IFERROR(INDEX(PP_Grid[#Data],$DD356,93),0)</f>
        <v/>
      </c>
      <c r="CR356">
        <f>IFERROR(INDEX(PP_Grid[#Data],$DD356,94),0)</f>
        <v/>
      </c>
      <c r="CS356">
        <f>IFERROR(INDEX(PP_Grid[#Data],$DD356,95),0)</f>
        <v/>
      </c>
      <c r="CT356">
        <f>IFERROR(INDEX(PP_Grid[#Data],$DD356,96),0)</f>
        <v/>
      </c>
      <c r="CU356">
        <f>IFERROR(INDEX(PP_Grid[#Data],$DD356,97),0)</f>
        <v/>
      </c>
      <c r="CV356">
        <f>IFERROR(INDEX(PP_Grid[#Data],$DD356,98),0)</f>
        <v/>
      </c>
      <c r="CW356">
        <f>IFERROR(INDEX(PP_Grid[#Data],$DD356,99),0)</f>
        <v/>
      </c>
      <c r="CX356">
        <f>IFERROR(INDEX(PP_Grid[#Data],$DD356,100),0)</f>
        <v/>
      </c>
      <c r="CY356">
        <f>IFERROR(INDEX(PP_Grid[#Data],$DD356,101),0)</f>
        <v/>
      </c>
      <c r="CZ356">
        <f>IFERROR(INDEX(PP_Grid[#Data],$DD356,102),0)</f>
        <v/>
      </c>
      <c r="DA356">
        <f>IFERROR(INDEX(PP_Grid[#Data],$DD356,103),0)</f>
        <v/>
      </c>
      <c r="DB356">
        <f>IFERROR(INDEX(PP_Grid[#Data],$DD356,104),0)</f>
        <v/>
      </c>
      <c r="DC356">
        <f>IFERROR(INDEX(PP_Grid[#Data],$DD356,105),0)</f>
        <v/>
      </c>
      <c r="DD356" s="12">
        <f>IFERROR(MATCH($B356,PP_Grid[Intermediate],0),99999)</f>
        <v/>
      </c>
    </row>
    <row r="357">
      <c r="B357" t="inlineStr">
        <is>
          <t>使用量(kg)</t>
        </is>
      </c>
      <c r="C357">
        <f>SUMIFS(M_BOM[RM_Qty_Per_Batch],M_BOM[Intermediate],$B356,M_BOM[Part Name],$A343)</f>
        <v/>
      </c>
      <c r="D357">
        <f>$C357*D356</f>
        <v/>
      </c>
      <c r="E357">
        <f>$C357*E356</f>
        <v/>
      </c>
      <c r="F357">
        <f>$C357*F356</f>
        <v/>
      </c>
      <c r="G357">
        <f>$C357*G356</f>
        <v/>
      </c>
      <c r="H357">
        <f>$C357*H356</f>
        <v/>
      </c>
      <c r="I357">
        <f>$C357*I356</f>
        <v/>
      </c>
      <c r="J357">
        <f>$C357*J356</f>
        <v/>
      </c>
      <c r="K357">
        <f>$C357*K356</f>
        <v/>
      </c>
      <c r="L357">
        <f>$C357*L356</f>
        <v/>
      </c>
      <c r="M357">
        <f>$C357*M356</f>
        <v/>
      </c>
      <c r="N357">
        <f>$C357*N356</f>
        <v/>
      </c>
      <c r="O357">
        <f>$C357*O356</f>
        <v/>
      </c>
      <c r="P357">
        <f>$C357*P356</f>
        <v/>
      </c>
      <c r="Q357">
        <f>$C357*Q356</f>
        <v/>
      </c>
      <c r="R357">
        <f>$C357*R356</f>
        <v/>
      </c>
      <c r="S357">
        <f>$C357*S356</f>
        <v/>
      </c>
      <c r="T357">
        <f>$C357*T356</f>
        <v/>
      </c>
      <c r="U357">
        <f>$C357*U356</f>
        <v/>
      </c>
      <c r="V357">
        <f>$C357*V356</f>
        <v/>
      </c>
      <c r="W357">
        <f>$C357*W356</f>
        <v/>
      </c>
      <c r="X357">
        <f>$C357*X356</f>
        <v/>
      </c>
      <c r="Y357">
        <f>$C357*Y356</f>
        <v/>
      </c>
      <c r="Z357">
        <f>$C357*Z356</f>
        <v/>
      </c>
      <c r="AA357">
        <f>$C357*AA356</f>
        <v/>
      </c>
      <c r="AB357">
        <f>$C357*AB356</f>
        <v/>
      </c>
      <c r="AC357">
        <f>$C357*AC356</f>
        <v/>
      </c>
      <c r="AD357">
        <f>$C357*AD356</f>
        <v/>
      </c>
      <c r="AE357">
        <f>$C357*AE356</f>
        <v/>
      </c>
      <c r="AF357">
        <f>$C357*AF356</f>
        <v/>
      </c>
      <c r="AG357">
        <f>$C357*AG356</f>
        <v/>
      </c>
      <c r="AH357">
        <f>$C357*AH356</f>
        <v/>
      </c>
      <c r="AI357">
        <f>$C357*AI356</f>
        <v/>
      </c>
      <c r="AJ357">
        <f>$C357*AJ356</f>
        <v/>
      </c>
      <c r="AK357">
        <f>$C357*AK356</f>
        <v/>
      </c>
      <c r="AL357">
        <f>$C357*AL356</f>
        <v/>
      </c>
      <c r="AM357">
        <f>$C357*AM356</f>
        <v/>
      </c>
      <c r="AN357">
        <f>$C357*AN356</f>
        <v/>
      </c>
      <c r="AO357">
        <f>$C357*AO356</f>
        <v/>
      </c>
      <c r="AP357">
        <f>$C357*AP356</f>
        <v/>
      </c>
      <c r="AQ357">
        <f>$C357*AQ356</f>
        <v/>
      </c>
      <c r="AR357">
        <f>$C357*AR356</f>
        <v/>
      </c>
      <c r="AS357">
        <f>$C357*AS356</f>
        <v/>
      </c>
      <c r="AT357">
        <f>$C357*AT356</f>
        <v/>
      </c>
      <c r="AU357">
        <f>$C357*AU356</f>
        <v/>
      </c>
      <c r="AV357">
        <f>$C357*AV356</f>
        <v/>
      </c>
      <c r="AW357">
        <f>$C357*AW356</f>
        <v/>
      </c>
      <c r="AX357">
        <f>$C357*AX356</f>
        <v/>
      </c>
      <c r="AY357">
        <f>$C357*AY356</f>
        <v/>
      </c>
      <c r="AZ357">
        <f>$C357*AZ356</f>
        <v/>
      </c>
      <c r="BA357">
        <f>$C357*BA356</f>
        <v/>
      </c>
      <c r="BB357">
        <f>$C357*BB356</f>
        <v/>
      </c>
      <c r="BC357">
        <f>$C357*BC356</f>
        <v/>
      </c>
      <c r="BD357">
        <f>$C357*BD356</f>
        <v/>
      </c>
      <c r="BE357">
        <f>$C357*BE356</f>
        <v/>
      </c>
      <c r="BF357">
        <f>$C357*BF356</f>
        <v/>
      </c>
      <c r="BG357">
        <f>$C357*BG356</f>
        <v/>
      </c>
      <c r="BH357">
        <f>$C357*BH356</f>
        <v/>
      </c>
      <c r="BI357">
        <f>$C357*BI356</f>
        <v/>
      </c>
      <c r="BJ357">
        <f>$C357*BJ356</f>
        <v/>
      </c>
      <c r="BK357">
        <f>$C357*BK356</f>
        <v/>
      </c>
      <c r="BL357">
        <f>$C357*BL356</f>
        <v/>
      </c>
      <c r="BM357">
        <f>$C357*BM356</f>
        <v/>
      </c>
      <c r="BN357">
        <f>$C357*BN356</f>
        <v/>
      </c>
      <c r="BO357">
        <f>$C357*BO356</f>
        <v/>
      </c>
      <c r="BP357">
        <f>$C357*BP356</f>
        <v/>
      </c>
      <c r="BQ357">
        <f>$C357*BQ356</f>
        <v/>
      </c>
      <c r="BR357">
        <f>$C357*BR356</f>
        <v/>
      </c>
      <c r="BS357">
        <f>$C357*BS356</f>
        <v/>
      </c>
      <c r="BT357">
        <f>$C357*BT356</f>
        <v/>
      </c>
      <c r="BU357">
        <f>$C357*BU356</f>
        <v/>
      </c>
      <c r="BV357">
        <f>$C357*BV356</f>
        <v/>
      </c>
      <c r="BW357">
        <f>$C357*BW356</f>
        <v/>
      </c>
      <c r="BX357">
        <f>$C357*BX356</f>
        <v/>
      </c>
      <c r="BY357">
        <f>$C357*BY356</f>
        <v/>
      </c>
      <c r="BZ357">
        <f>$C357*BZ356</f>
        <v/>
      </c>
      <c r="CA357">
        <f>$C357*CA356</f>
        <v/>
      </c>
      <c r="CB357">
        <f>$C357*CB356</f>
        <v/>
      </c>
      <c r="CC357">
        <f>$C357*CC356</f>
        <v/>
      </c>
      <c r="CD357">
        <f>$C357*CD356</f>
        <v/>
      </c>
      <c r="CE357">
        <f>$C357*CE356</f>
        <v/>
      </c>
      <c r="CF357">
        <f>$C357*CF356</f>
        <v/>
      </c>
      <c r="CG357">
        <f>$C357*CG356</f>
        <v/>
      </c>
      <c r="CH357">
        <f>$C357*CH356</f>
        <v/>
      </c>
      <c r="CI357">
        <f>$C357*CI356</f>
        <v/>
      </c>
      <c r="CJ357">
        <f>$C357*CJ356</f>
        <v/>
      </c>
      <c r="CK357">
        <f>$C357*CK356</f>
        <v/>
      </c>
      <c r="CL357">
        <f>$C357*CL356</f>
        <v/>
      </c>
      <c r="CM357">
        <f>$C357*CM356</f>
        <v/>
      </c>
      <c r="CN357">
        <f>$C357*CN356</f>
        <v/>
      </c>
      <c r="CO357">
        <f>$C357*CO356</f>
        <v/>
      </c>
      <c r="CP357">
        <f>$C357*CP356</f>
        <v/>
      </c>
      <c r="CQ357">
        <f>$C357*CQ356</f>
        <v/>
      </c>
      <c r="CR357">
        <f>$C357*CR356</f>
        <v/>
      </c>
      <c r="CS357">
        <f>$C357*CS356</f>
        <v/>
      </c>
      <c r="CT357">
        <f>$C357*CT356</f>
        <v/>
      </c>
      <c r="CU357">
        <f>$C357*CU356</f>
        <v/>
      </c>
      <c r="CV357">
        <f>$C357*CV356</f>
        <v/>
      </c>
      <c r="CW357">
        <f>$C357*CW356</f>
        <v/>
      </c>
      <c r="CX357">
        <f>$C357*CX356</f>
        <v/>
      </c>
      <c r="CY357">
        <f>$C357*CY356</f>
        <v/>
      </c>
      <c r="CZ357">
        <f>$C357*CZ356</f>
        <v/>
      </c>
      <c r="DA357">
        <f>$C357*DA356</f>
        <v/>
      </c>
      <c r="DB357">
        <f>$C357*DB356</f>
        <v/>
      </c>
      <c r="DC357">
        <f>$C357*DC356</f>
        <v/>
      </c>
    </row>
    <row r="358">
      <c r="B358" t="inlineStr">
        <is>
          <t>VSP-601</t>
        </is>
      </c>
      <c r="C358" t="inlineStr">
        <is>
          <t>No. of batches</t>
        </is>
      </c>
      <c r="D358">
        <f>IFERROR(INDEX(PP_Grid[#Data],$DD358,2),0)</f>
        <v/>
      </c>
      <c r="E358">
        <f>IFERROR(INDEX(PP_Grid[#Data],$DD358,3),0)</f>
        <v/>
      </c>
      <c r="F358">
        <f>IFERROR(INDEX(PP_Grid[#Data],$DD358,4),0)</f>
        <v/>
      </c>
      <c r="G358">
        <f>IFERROR(INDEX(PP_Grid[#Data],$DD358,5),0)</f>
        <v/>
      </c>
      <c r="H358">
        <f>IFERROR(INDEX(PP_Grid[#Data],$DD358,6),0)</f>
        <v/>
      </c>
      <c r="I358">
        <f>IFERROR(INDEX(PP_Grid[#Data],$DD358,7),0)</f>
        <v/>
      </c>
      <c r="J358">
        <f>IFERROR(INDEX(PP_Grid[#Data],$DD358,8),0)</f>
        <v/>
      </c>
      <c r="K358">
        <f>IFERROR(INDEX(PP_Grid[#Data],$DD358,9),0)</f>
        <v/>
      </c>
      <c r="L358">
        <f>IFERROR(INDEX(PP_Grid[#Data],$DD358,10),0)</f>
        <v/>
      </c>
      <c r="M358">
        <f>IFERROR(INDEX(PP_Grid[#Data],$DD358,11),0)</f>
        <v/>
      </c>
      <c r="N358">
        <f>IFERROR(INDEX(PP_Grid[#Data],$DD358,12),0)</f>
        <v/>
      </c>
      <c r="O358">
        <f>IFERROR(INDEX(PP_Grid[#Data],$DD358,13),0)</f>
        <v/>
      </c>
      <c r="P358">
        <f>IFERROR(INDEX(PP_Grid[#Data],$DD358,14),0)</f>
        <v/>
      </c>
      <c r="Q358">
        <f>IFERROR(INDEX(PP_Grid[#Data],$DD358,15),0)</f>
        <v/>
      </c>
      <c r="R358">
        <f>IFERROR(INDEX(PP_Grid[#Data],$DD358,16),0)</f>
        <v/>
      </c>
      <c r="S358">
        <f>IFERROR(INDEX(PP_Grid[#Data],$DD358,17),0)</f>
        <v/>
      </c>
      <c r="T358">
        <f>IFERROR(INDEX(PP_Grid[#Data],$DD358,18),0)</f>
        <v/>
      </c>
      <c r="U358">
        <f>IFERROR(INDEX(PP_Grid[#Data],$DD358,19),0)</f>
        <v/>
      </c>
      <c r="V358">
        <f>IFERROR(INDEX(PP_Grid[#Data],$DD358,20),0)</f>
        <v/>
      </c>
      <c r="W358">
        <f>IFERROR(INDEX(PP_Grid[#Data],$DD358,21),0)</f>
        <v/>
      </c>
      <c r="X358">
        <f>IFERROR(INDEX(PP_Grid[#Data],$DD358,22),0)</f>
        <v/>
      </c>
      <c r="Y358">
        <f>IFERROR(INDEX(PP_Grid[#Data],$DD358,23),0)</f>
        <v/>
      </c>
      <c r="Z358">
        <f>IFERROR(INDEX(PP_Grid[#Data],$DD358,24),0)</f>
        <v/>
      </c>
      <c r="AA358">
        <f>IFERROR(INDEX(PP_Grid[#Data],$DD358,25),0)</f>
        <v/>
      </c>
      <c r="AB358">
        <f>IFERROR(INDEX(PP_Grid[#Data],$DD358,26),0)</f>
        <v/>
      </c>
      <c r="AC358">
        <f>IFERROR(INDEX(PP_Grid[#Data],$DD358,27),0)</f>
        <v/>
      </c>
      <c r="AD358">
        <f>IFERROR(INDEX(PP_Grid[#Data],$DD358,28),0)</f>
        <v/>
      </c>
      <c r="AE358">
        <f>IFERROR(INDEX(PP_Grid[#Data],$DD358,29),0)</f>
        <v/>
      </c>
      <c r="AF358">
        <f>IFERROR(INDEX(PP_Grid[#Data],$DD358,30),0)</f>
        <v/>
      </c>
      <c r="AG358">
        <f>IFERROR(INDEX(PP_Grid[#Data],$DD358,31),0)</f>
        <v/>
      </c>
      <c r="AH358">
        <f>IFERROR(INDEX(PP_Grid[#Data],$DD358,32),0)</f>
        <v/>
      </c>
      <c r="AI358">
        <f>IFERROR(INDEX(PP_Grid[#Data],$DD358,33),0)</f>
        <v/>
      </c>
      <c r="AJ358">
        <f>IFERROR(INDEX(PP_Grid[#Data],$DD358,34),0)</f>
        <v/>
      </c>
      <c r="AK358">
        <f>IFERROR(INDEX(PP_Grid[#Data],$DD358,35),0)</f>
        <v/>
      </c>
      <c r="AL358">
        <f>IFERROR(INDEX(PP_Grid[#Data],$DD358,36),0)</f>
        <v/>
      </c>
      <c r="AM358">
        <f>IFERROR(INDEX(PP_Grid[#Data],$DD358,37),0)</f>
        <v/>
      </c>
      <c r="AN358">
        <f>IFERROR(INDEX(PP_Grid[#Data],$DD358,38),0)</f>
        <v/>
      </c>
      <c r="AO358">
        <f>IFERROR(INDEX(PP_Grid[#Data],$DD358,39),0)</f>
        <v/>
      </c>
      <c r="AP358">
        <f>IFERROR(INDEX(PP_Grid[#Data],$DD358,40),0)</f>
        <v/>
      </c>
      <c r="AQ358">
        <f>IFERROR(INDEX(PP_Grid[#Data],$DD358,41),0)</f>
        <v/>
      </c>
      <c r="AR358">
        <f>IFERROR(INDEX(PP_Grid[#Data],$DD358,42),0)</f>
        <v/>
      </c>
      <c r="AS358">
        <f>IFERROR(INDEX(PP_Grid[#Data],$DD358,43),0)</f>
        <v/>
      </c>
      <c r="AT358">
        <f>IFERROR(INDEX(PP_Grid[#Data],$DD358,44),0)</f>
        <v/>
      </c>
      <c r="AU358">
        <f>IFERROR(INDEX(PP_Grid[#Data],$DD358,45),0)</f>
        <v/>
      </c>
      <c r="AV358">
        <f>IFERROR(INDEX(PP_Grid[#Data],$DD358,46),0)</f>
        <v/>
      </c>
      <c r="AW358">
        <f>IFERROR(INDEX(PP_Grid[#Data],$DD358,47),0)</f>
        <v/>
      </c>
      <c r="AX358">
        <f>IFERROR(INDEX(PP_Grid[#Data],$DD358,48),0)</f>
        <v/>
      </c>
      <c r="AY358">
        <f>IFERROR(INDEX(PP_Grid[#Data],$DD358,49),0)</f>
        <v/>
      </c>
      <c r="AZ358">
        <f>IFERROR(INDEX(PP_Grid[#Data],$DD358,50),0)</f>
        <v/>
      </c>
      <c r="BA358">
        <f>IFERROR(INDEX(PP_Grid[#Data],$DD358,51),0)</f>
        <v/>
      </c>
      <c r="BB358">
        <f>IFERROR(INDEX(PP_Grid[#Data],$DD358,52),0)</f>
        <v/>
      </c>
      <c r="BC358">
        <f>IFERROR(INDEX(PP_Grid[#Data],$DD358,53),0)</f>
        <v/>
      </c>
      <c r="BD358">
        <f>IFERROR(INDEX(PP_Grid[#Data],$DD358,54),0)</f>
        <v/>
      </c>
      <c r="BE358">
        <f>IFERROR(INDEX(PP_Grid[#Data],$DD358,55),0)</f>
        <v/>
      </c>
      <c r="BF358">
        <f>IFERROR(INDEX(PP_Grid[#Data],$DD358,56),0)</f>
        <v/>
      </c>
      <c r="BG358">
        <f>IFERROR(INDEX(PP_Grid[#Data],$DD358,57),0)</f>
        <v/>
      </c>
      <c r="BH358">
        <f>IFERROR(INDEX(PP_Grid[#Data],$DD358,58),0)</f>
        <v/>
      </c>
      <c r="BI358">
        <f>IFERROR(INDEX(PP_Grid[#Data],$DD358,59),0)</f>
        <v/>
      </c>
      <c r="BJ358">
        <f>IFERROR(INDEX(PP_Grid[#Data],$DD358,60),0)</f>
        <v/>
      </c>
      <c r="BK358">
        <f>IFERROR(INDEX(PP_Grid[#Data],$DD358,61),0)</f>
        <v/>
      </c>
      <c r="BL358">
        <f>IFERROR(INDEX(PP_Grid[#Data],$DD358,62),0)</f>
        <v/>
      </c>
      <c r="BM358">
        <f>IFERROR(INDEX(PP_Grid[#Data],$DD358,63),0)</f>
        <v/>
      </c>
      <c r="BN358">
        <f>IFERROR(INDEX(PP_Grid[#Data],$DD358,64),0)</f>
        <v/>
      </c>
      <c r="BO358">
        <f>IFERROR(INDEX(PP_Grid[#Data],$DD358,65),0)</f>
        <v/>
      </c>
      <c r="BP358">
        <f>IFERROR(INDEX(PP_Grid[#Data],$DD358,66),0)</f>
        <v/>
      </c>
      <c r="BQ358">
        <f>IFERROR(INDEX(PP_Grid[#Data],$DD358,67),0)</f>
        <v/>
      </c>
      <c r="BR358">
        <f>IFERROR(INDEX(PP_Grid[#Data],$DD358,68),0)</f>
        <v/>
      </c>
      <c r="BS358">
        <f>IFERROR(INDEX(PP_Grid[#Data],$DD358,69),0)</f>
        <v/>
      </c>
      <c r="BT358">
        <f>IFERROR(INDEX(PP_Grid[#Data],$DD358,70),0)</f>
        <v/>
      </c>
      <c r="BU358">
        <f>IFERROR(INDEX(PP_Grid[#Data],$DD358,71),0)</f>
        <v/>
      </c>
      <c r="BV358">
        <f>IFERROR(INDEX(PP_Grid[#Data],$DD358,72),0)</f>
        <v/>
      </c>
      <c r="BW358">
        <f>IFERROR(INDEX(PP_Grid[#Data],$DD358,73),0)</f>
        <v/>
      </c>
      <c r="BX358">
        <f>IFERROR(INDEX(PP_Grid[#Data],$DD358,74),0)</f>
        <v/>
      </c>
      <c r="BY358">
        <f>IFERROR(INDEX(PP_Grid[#Data],$DD358,75),0)</f>
        <v/>
      </c>
      <c r="BZ358">
        <f>IFERROR(INDEX(PP_Grid[#Data],$DD358,76),0)</f>
        <v/>
      </c>
      <c r="CA358">
        <f>IFERROR(INDEX(PP_Grid[#Data],$DD358,77),0)</f>
        <v/>
      </c>
      <c r="CB358">
        <f>IFERROR(INDEX(PP_Grid[#Data],$DD358,78),0)</f>
        <v/>
      </c>
      <c r="CC358">
        <f>IFERROR(INDEX(PP_Grid[#Data],$DD358,79),0)</f>
        <v/>
      </c>
      <c r="CD358">
        <f>IFERROR(INDEX(PP_Grid[#Data],$DD358,80),0)</f>
        <v/>
      </c>
      <c r="CE358">
        <f>IFERROR(INDEX(PP_Grid[#Data],$DD358,81),0)</f>
        <v/>
      </c>
      <c r="CF358">
        <f>IFERROR(INDEX(PP_Grid[#Data],$DD358,82),0)</f>
        <v/>
      </c>
      <c r="CG358">
        <f>IFERROR(INDEX(PP_Grid[#Data],$DD358,83),0)</f>
        <v/>
      </c>
      <c r="CH358">
        <f>IFERROR(INDEX(PP_Grid[#Data],$DD358,84),0)</f>
        <v/>
      </c>
      <c r="CI358">
        <f>IFERROR(INDEX(PP_Grid[#Data],$DD358,85),0)</f>
        <v/>
      </c>
      <c r="CJ358">
        <f>IFERROR(INDEX(PP_Grid[#Data],$DD358,86),0)</f>
        <v/>
      </c>
      <c r="CK358">
        <f>IFERROR(INDEX(PP_Grid[#Data],$DD358,87),0)</f>
        <v/>
      </c>
      <c r="CL358">
        <f>IFERROR(INDEX(PP_Grid[#Data],$DD358,88),0)</f>
        <v/>
      </c>
      <c r="CM358">
        <f>IFERROR(INDEX(PP_Grid[#Data],$DD358,89),0)</f>
        <v/>
      </c>
      <c r="CN358">
        <f>IFERROR(INDEX(PP_Grid[#Data],$DD358,90),0)</f>
        <v/>
      </c>
      <c r="CO358">
        <f>IFERROR(INDEX(PP_Grid[#Data],$DD358,91),0)</f>
        <v/>
      </c>
      <c r="CP358">
        <f>IFERROR(INDEX(PP_Grid[#Data],$DD358,92),0)</f>
        <v/>
      </c>
      <c r="CQ358">
        <f>IFERROR(INDEX(PP_Grid[#Data],$DD358,93),0)</f>
        <v/>
      </c>
      <c r="CR358">
        <f>IFERROR(INDEX(PP_Grid[#Data],$DD358,94),0)</f>
        <v/>
      </c>
      <c r="CS358">
        <f>IFERROR(INDEX(PP_Grid[#Data],$DD358,95),0)</f>
        <v/>
      </c>
      <c r="CT358">
        <f>IFERROR(INDEX(PP_Grid[#Data],$DD358,96),0)</f>
        <v/>
      </c>
      <c r="CU358">
        <f>IFERROR(INDEX(PP_Grid[#Data],$DD358,97),0)</f>
        <v/>
      </c>
      <c r="CV358">
        <f>IFERROR(INDEX(PP_Grid[#Data],$DD358,98),0)</f>
        <v/>
      </c>
      <c r="CW358">
        <f>IFERROR(INDEX(PP_Grid[#Data],$DD358,99),0)</f>
        <v/>
      </c>
      <c r="CX358">
        <f>IFERROR(INDEX(PP_Grid[#Data],$DD358,100),0)</f>
        <v/>
      </c>
      <c r="CY358">
        <f>IFERROR(INDEX(PP_Grid[#Data],$DD358,101),0)</f>
        <v/>
      </c>
      <c r="CZ358">
        <f>IFERROR(INDEX(PP_Grid[#Data],$DD358,102),0)</f>
        <v/>
      </c>
      <c r="DA358">
        <f>IFERROR(INDEX(PP_Grid[#Data],$DD358,103),0)</f>
        <v/>
      </c>
      <c r="DB358">
        <f>IFERROR(INDEX(PP_Grid[#Data],$DD358,104),0)</f>
        <v/>
      </c>
      <c r="DC358">
        <f>IFERROR(INDEX(PP_Grid[#Data],$DD358,105),0)</f>
        <v/>
      </c>
      <c r="DD358" s="12">
        <f>IFERROR(MATCH($B358,PP_Grid[Intermediate],0),99999)</f>
        <v/>
      </c>
    </row>
    <row r="359">
      <c r="B359" t="inlineStr">
        <is>
          <t>使用量(kg)</t>
        </is>
      </c>
      <c r="C359">
        <f>SUMIFS(M_BOM[RM_Qty_Per_Batch],M_BOM[Intermediate],$B358,M_BOM[Part Name],$A343)</f>
        <v/>
      </c>
      <c r="D359">
        <f>$C359*D358</f>
        <v/>
      </c>
      <c r="E359">
        <f>$C359*E358</f>
        <v/>
      </c>
      <c r="F359">
        <f>$C359*F358</f>
        <v/>
      </c>
      <c r="G359">
        <f>$C359*G358</f>
        <v/>
      </c>
      <c r="H359">
        <f>$C359*H358</f>
        <v/>
      </c>
      <c r="I359">
        <f>$C359*I358</f>
        <v/>
      </c>
      <c r="J359">
        <f>$C359*J358</f>
        <v/>
      </c>
      <c r="K359">
        <f>$C359*K358</f>
        <v/>
      </c>
      <c r="L359">
        <f>$C359*L358</f>
        <v/>
      </c>
      <c r="M359">
        <f>$C359*M358</f>
        <v/>
      </c>
      <c r="N359">
        <f>$C359*N358</f>
        <v/>
      </c>
      <c r="O359">
        <f>$C359*O358</f>
        <v/>
      </c>
      <c r="P359">
        <f>$C359*P358</f>
        <v/>
      </c>
      <c r="Q359">
        <f>$C359*Q358</f>
        <v/>
      </c>
      <c r="R359">
        <f>$C359*R358</f>
        <v/>
      </c>
      <c r="S359">
        <f>$C359*S358</f>
        <v/>
      </c>
      <c r="T359">
        <f>$C359*T358</f>
        <v/>
      </c>
      <c r="U359">
        <f>$C359*U358</f>
        <v/>
      </c>
      <c r="V359">
        <f>$C359*V358</f>
        <v/>
      </c>
      <c r="W359">
        <f>$C359*W358</f>
        <v/>
      </c>
      <c r="X359">
        <f>$C359*X358</f>
        <v/>
      </c>
      <c r="Y359">
        <f>$C359*Y358</f>
        <v/>
      </c>
      <c r="Z359">
        <f>$C359*Z358</f>
        <v/>
      </c>
      <c r="AA359">
        <f>$C359*AA358</f>
        <v/>
      </c>
      <c r="AB359">
        <f>$C359*AB358</f>
        <v/>
      </c>
      <c r="AC359">
        <f>$C359*AC358</f>
        <v/>
      </c>
      <c r="AD359">
        <f>$C359*AD358</f>
        <v/>
      </c>
      <c r="AE359">
        <f>$C359*AE358</f>
        <v/>
      </c>
      <c r="AF359">
        <f>$C359*AF358</f>
        <v/>
      </c>
      <c r="AG359">
        <f>$C359*AG358</f>
        <v/>
      </c>
      <c r="AH359">
        <f>$C359*AH358</f>
        <v/>
      </c>
      <c r="AI359">
        <f>$C359*AI358</f>
        <v/>
      </c>
      <c r="AJ359">
        <f>$C359*AJ358</f>
        <v/>
      </c>
      <c r="AK359">
        <f>$C359*AK358</f>
        <v/>
      </c>
      <c r="AL359">
        <f>$C359*AL358</f>
        <v/>
      </c>
      <c r="AM359">
        <f>$C359*AM358</f>
        <v/>
      </c>
      <c r="AN359">
        <f>$C359*AN358</f>
        <v/>
      </c>
      <c r="AO359">
        <f>$C359*AO358</f>
        <v/>
      </c>
      <c r="AP359">
        <f>$C359*AP358</f>
        <v/>
      </c>
      <c r="AQ359">
        <f>$C359*AQ358</f>
        <v/>
      </c>
      <c r="AR359">
        <f>$C359*AR358</f>
        <v/>
      </c>
      <c r="AS359">
        <f>$C359*AS358</f>
        <v/>
      </c>
      <c r="AT359">
        <f>$C359*AT358</f>
        <v/>
      </c>
      <c r="AU359">
        <f>$C359*AU358</f>
        <v/>
      </c>
      <c r="AV359">
        <f>$C359*AV358</f>
        <v/>
      </c>
      <c r="AW359">
        <f>$C359*AW358</f>
        <v/>
      </c>
      <c r="AX359">
        <f>$C359*AX358</f>
        <v/>
      </c>
      <c r="AY359">
        <f>$C359*AY358</f>
        <v/>
      </c>
      <c r="AZ359">
        <f>$C359*AZ358</f>
        <v/>
      </c>
      <c r="BA359">
        <f>$C359*BA358</f>
        <v/>
      </c>
      <c r="BB359">
        <f>$C359*BB358</f>
        <v/>
      </c>
      <c r="BC359">
        <f>$C359*BC358</f>
        <v/>
      </c>
      <c r="BD359">
        <f>$C359*BD358</f>
        <v/>
      </c>
      <c r="BE359">
        <f>$C359*BE358</f>
        <v/>
      </c>
      <c r="BF359">
        <f>$C359*BF358</f>
        <v/>
      </c>
      <c r="BG359">
        <f>$C359*BG358</f>
        <v/>
      </c>
      <c r="BH359">
        <f>$C359*BH358</f>
        <v/>
      </c>
      <c r="BI359">
        <f>$C359*BI358</f>
        <v/>
      </c>
      <c r="BJ359">
        <f>$C359*BJ358</f>
        <v/>
      </c>
      <c r="BK359">
        <f>$C359*BK358</f>
        <v/>
      </c>
      <c r="BL359">
        <f>$C359*BL358</f>
        <v/>
      </c>
      <c r="BM359">
        <f>$C359*BM358</f>
        <v/>
      </c>
      <c r="BN359">
        <f>$C359*BN358</f>
        <v/>
      </c>
      <c r="BO359">
        <f>$C359*BO358</f>
        <v/>
      </c>
      <c r="BP359">
        <f>$C359*BP358</f>
        <v/>
      </c>
      <c r="BQ359">
        <f>$C359*BQ358</f>
        <v/>
      </c>
      <c r="BR359">
        <f>$C359*BR358</f>
        <v/>
      </c>
      <c r="BS359">
        <f>$C359*BS358</f>
        <v/>
      </c>
      <c r="BT359">
        <f>$C359*BT358</f>
        <v/>
      </c>
      <c r="BU359">
        <f>$C359*BU358</f>
        <v/>
      </c>
      <c r="BV359">
        <f>$C359*BV358</f>
        <v/>
      </c>
      <c r="BW359">
        <f>$C359*BW358</f>
        <v/>
      </c>
      <c r="BX359">
        <f>$C359*BX358</f>
        <v/>
      </c>
      <c r="BY359">
        <f>$C359*BY358</f>
        <v/>
      </c>
      <c r="BZ359">
        <f>$C359*BZ358</f>
        <v/>
      </c>
      <c r="CA359">
        <f>$C359*CA358</f>
        <v/>
      </c>
      <c r="CB359">
        <f>$C359*CB358</f>
        <v/>
      </c>
      <c r="CC359">
        <f>$C359*CC358</f>
        <v/>
      </c>
      <c r="CD359">
        <f>$C359*CD358</f>
        <v/>
      </c>
      <c r="CE359">
        <f>$C359*CE358</f>
        <v/>
      </c>
      <c r="CF359">
        <f>$C359*CF358</f>
        <v/>
      </c>
      <c r="CG359">
        <f>$C359*CG358</f>
        <v/>
      </c>
      <c r="CH359">
        <f>$C359*CH358</f>
        <v/>
      </c>
      <c r="CI359">
        <f>$C359*CI358</f>
        <v/>
      </c>
      <c r="CJ359">
        <f>$C359*CJ358</f>
        <v/>
      </c>
      <c r="CK359">
        <f>$C359*CK358</f>
        <v/>
      </c>
      <c r="CL359">
        <f>$C359*CL358</f>
        <v/>
      </c>
      <c r="CM359">
        <f>$C359*CM358</f>
        <v/>
      </c>
      <c r="CN359">
        <f>$C359*CN358</f>
        <v/>
      </c>
      <c r="CO359">
        <f>$C359*CO358</f>
        <v/>
      </c>
      <c r="CP359">
        <f>$C359*CP358</f>
        <v/>
      </c>
      <c r="CQ359">
        <f>$C359*CQ358</f>
        <v/>
      </c>
      <c r="CR359">
        <f>$C359*CR358</f>
        <v/>
      </c>
      <c r="CS359">
        <f>$C359*CS358</f>
        <v/>
      </c>
      <c r="CT359">
        <f>$C359*CT358</f>
        <v/>
      </c>
      <c r="CU359">
        <f>$C359*CU358</f>
        <v/>
      </c>
      <c r="CV359">
        <f>$C359*CV358</f>
        <v/>
      </c>
      <c r="CW359">
        <f>$C359*CW358</f>
        <v/>
      </c>
      <c r="CX359">
        <f>$C359*CX358</f>
        <v/>
      </c>
      <c r="CY359">
        <f>$C359*CY358</f>
        <v/>
      </c>
      <c r="CZ359">
        <f>$C359*CZ358</f>
        <v/>
      </c>
      <c r="DA359">
        <f>$C359*DA358</f>
        <v/>
      </c>
      <c r="DB359">
        <f>$C359*DB358</f>
        <v/>
      </c>
      <c r="DC359">
        <f>$C359*DC358</f>
        <v/>
      </c>
    </row>
    <row r="360">
      <c r="B360" t="inlineStr">
        <is>
          <t>VSP-820</t>
        </is>
      </c>
      <c r="C360" t="inlineStr">
        <is>
          <t>No. of batches</t>
        </is>
      </c>
      <c r="D360">
        <f>IFERROR(INDEX(PP_Grid[#Data],$DD360,2),0)</f>
        <v/>
      </c>
      <c r="E360">
        <f>IFERROR(INDEX(PP_Grid[#Data],$DD360,3),0)</f>
        <v/>
      </c>
      <c r="F360">
        <f>IFERROR(INDEX(PP_Grid[#Data],$DD360,4),0)</f>
        <v/>
      </c>
      <c r="G360">
        <f>IFERROR(INDEX(PP_Grid[#Data],$DD360,5),0)</f>
        <v/>
      </c>
      <c r="H360">
        <f>IFERROR(INDEX(PP_Grid[#Data],$DD360,6),0)</f>
        <v/>
      </c>
      <c r="I360">
        <f>IFERROR(INDEX(PP_Grid[#Data],$DD360,7),0)</f>
        <v/>
      </c>
      <c r="J360">
        <f>IFERROR(INDEX(PP_Grid[#Data],$DD360,8),0)</f>
        <v/>
      </c>
      <c r="K360">
        <f>IFERROR(INDEX(PP_Grid[#Data],$DD360,9),0)</f>
        <v/>
      </c>
      <c r="L360">
        <f>IFERROR(INDEX(PP_Grid[#Data],$DD360,10),0)</f>
        <v/>
      </c>
      <c r="M360">
        <f>IFERROR(INDEX(PP_Grid[#Data],$DD360,11),0)</f>
        <v/>
      </c>
      <c r="N360">
        <f>IFERROR(INDEX(PP_Grid[#Data],$DD360,12),0)</f>
        <v/>
      </c>
      <c r="O360">
        <f>IFERROR(INDEX(PP_Grid[#Data],$DD360,13),0)</f>
        <v/>
      </c>
      <c r="P360">
        <f>IFERROR(INDEX(PP_Grid[#Data],$DD360,14),0)</f>
        <v/>
      </c>
      <c r="Q360">
        <f>IFERROR(INDEX(PP_Grid[#Data],$DD360,15),0)</f>
        <v/>
      </c>
      <c r="R360">
        <f>IFERROR(INDEX(PP_Grid[#Data],$DD360,16),0)</f>
        <v/>
      </c>
      <c r="S360">
        <f>IFERROR(INDEX(PP_Grid[#Data],$DD360,17),0)</f>
        <v/>
      </c>
      <c r="T360">
        <f>IFERROR(INDEX(PP_Grid[#Data],$DD360,18),0)</f>
        <v/>
      </c>
      <c r="U360">
        <f>IFERROR(INDEX(PP_Grid[#Data],$DD360,19),0)</f>
        <v/>
      </c>
      <c r="V360">
        <f>IFERROR(INDEX(PP_Grid[#Data],$DD360,20),0)</f>
        <v/>
      </c>
      <c r="W360">
        <f>IFERROR(INDEX(PP_Grid[#Data],$DD360,21),0)</f>
        <v/>
      </c>
      <c r="X360">
        <f>IFERROR(INDEX(PP_Grid[#Data],$DD360,22),0)</f>
        <v/>
      </c>
      <c r="Y360">
        <f>IFERROR(INDEX(PP_Grid[#Data],$DD360,23),0)</f>
        <v/>
      </c>
      <c r="Z360">
        <f>IFERROR(INDEX(PP_Grid[#Data],$DD360,24),0)</f>
        <v/>
      </c>
      <c r="AA360">
        <f>IFERROR(INDEX(PP_Grid[#Data],$DD360,25),0)</f>
        <v/>
      </c>
      <c r="AB360">
        <f>IFERROR(INDEX(PP_Grid[#Data],$DD360,26),0)</f>
        <v/>
      </c>
      <c r="AC360">
        <f>IFERROR(INDEX(PP_Grid[#Data],$DD360,27),0)</f>
        <v/>
      </c>
      <c r="AD360">
        <f>IFERROR(INDEX(PP_Grid[#Data],$DD360,28),0)</f>
        <v/>
      </c>
      <c r="AE360">
        <f>IFERROR(INDEX(PP_Grid[#Data],$DD360,29),0)</f>
        <v/>
      </c>
      <c r="AF360">
        <f>IFERROR(INDEX(PP_Grid[#Data],$DD360,30),0)</f>
        <v/>
      </c>
      <c r="AG360">
        <f>IFERROR(INDEX(PP_Grid[#Data],$DD360,31),0)</f>
        <v/>
      </c>
      <c r="AH360">
        <f>IFERROR(INDEX(PP_Grid[#Data],$DD360,32),0)</f>
        <v/>
      </c>
      <c r="AI360">
        <f>IFERROR(INDEX(PP_Grid[#Data],$DD360,33),0)</f>
        <v/>
      </c>
      <c r="AJ360">
        <f>IFERROR(INDEX(PP_Grid[#Data],$DD360,34),0)</f>
        <v/>
      </c>
      <c r="AK360">
        <f>IFERROR(INDEX(PP_Grid[#Data],$DD360,35),0)</f>
        <v/>
      </c>
      <c r="AL360">
        <f>IFERROR(INDEX(PP_Grid[#Data],$DD360,36),0)</f>
        <v/>
      </c>
      <c r="AM360">
        <f>IFERROR(INDEX(PP_Grid[#Data],$DD360,37),0)</f>
        <v/>
      </c>
      <c r="AN360">
        <f>IFERROR(INDEX(PP_Grid[#Data],$DD360,38),0)</f>
        <v/>
      </c>
      <c r="AO360">
        <f>IFERROR(INDEX(PP_Grid[#Data],$DD360,39),0)</f>
        <v/>
      </c>
      <c r="AP360">
        <f>IFERROR(INDEX(PP_Grid[#Data],$DD360,40),0)</f>
        <v/>
      </c>
      <c r="AQ360">
        <f>IFERROR(INDEX(PP_Grid[#Data],$DD360,41),0)</f>
        <v/>
      </c>
      <c r="AR360">
        <f>IFERROR(INDEX(PP_Grid[#Data],$DD360,42),0)</f>
        <v/>
      </c>
      <c r="AS360">
        <f>IFERROR(INDEX(PP_Grid[#Data],$DD360,43),0)</f>
        <v/>
      </c>
      <c r="AT360">
        <f>IFERROR(INDEX(PP_Grid[#Data],$DD360,44),0)</f>
        <v/>
      </c>
      <c r="AU360">
        <f>IFERROR(INDEX(PP_Grid[#Data],$DD360,45),0)</f>
        <v/>
      </c>
      <c r="AV360">
        <f>IFERROR(INDEX(PP_Grid[#Data],$DD360,46),0)</f>
        <v/>
      </c>
      <c r="AW360">
        <f>IFERROR(INDEX(PP_Grid[#Data],$DD360,47),0)</f>
        <v/>
      </c>
      <c r="AX360">
        <f>IFERROR(INDEX(PP_Grid[#Data],$DD360,48),0)</f>
        <v/>
      </c>
      <c r="AY360">
        <f>IFERROR(INDEX(PP_Grid[#Data],$DD360,49),0)</f>
        <v/>
      </c>
      <c r="AZ360">
        <f>IFERROR(INDEX(PP_Grid[#Data],$DD360,50),0)</f>
        <v/>
      </c>
      <c r="BA360">
        <f>IFERROR(INDEX(PP_Grid[#Data],$DD360,51),0)</f>
        <v/>
      </c>
      <c r="BB360">
        <f>IFERROR(INDEX(PP_Grid[#Data],$DD360,52),0)</f>
        <v/>
      </c>
      <c r="BC360">
        <f>IFERROR(INDEX(PP_Grid[#Data],$DD360,53),0)</f>
        <v/>
      </c>
      <c r="BD360">
        <f>IFERROR(INDEX(PP_Grid[#Data],$DD360,54),0)</f>
        <v/>
      </c>
      <c r="BE360">
        <f>IFERROR(INDEX(PP_Grid[#Data],$DD360,55),0)</f>
        <v/>
      </c>
      <c r="BF360">
        <f>IFERROR(INDEX(PP_Grid[#Data],$DD360,56),0)</f>
        <v/>
      </c>
      <c r="BG360">
        <f>IFERROR(INDEX(PP_Grid[#Data],$DD360,57),0)</f>
        <v/>
      </c>
      <c r="BH360">
        <f>IFERROR(INDEX(PP_Grid[#Data],$DD360,58),0)</f>
        <v/>
      </c>
      <c r="BI360">
        <f>IFERROR(INDEX(PP_Grid[#Data],$DD360,59),0)</f>
        <v/>
      </c>
      <c r="BJ360">
        <f>IFERROR(INDEX(PP_Grid[#Data],$DD360,60),0)</f>
        <v/>
      </c>
      <c r="BK360">
        <f>IFERROR(INDEX(PP_Grid[#Data],$DD360,61),0)</f>
        <v/>
      </c>
      <c r="BL360">
        <f>IFERROR(INDEX(PP_Grid[#Data],$DD360,62),0)</f>
        <v/>
      </c>
      <c r="BM360">
        <f>IFERROR(INDEX(PP_Grid[#Data],$DD360,63),0)</f>
        <v/>
      </c>
      <c r="BN360">
        <f>IFERROR(INDEX(PP_Grid[#Data],$DD360,64),0)</f>
        <v/>
      </c>
      <c r="BO360">
        <f>IFERROR(INDEX(PP_Grid[#Data],$DD360,65),0)</f>
        <v/>
      </c>
      <c r="BP360">
        <f>IFERROR(INDEX(PP_Grid[#Data],$DD360,66),0)</f>
        <v/>
      </c>
      <c r="BQ360">
        <f>IFERROR(INDEX(PP_Grid[#Data],$DD360,67),0)</f>
        <v/>
      </c>
      <c r="BR360">
        <f>IFERROR(INDEX(PP_Grid[#Data],$DD360,68),0)</f>
        <v/>
      </c>
      <c r="BS360">
        <f>IFERROR(INDEX(PP_Grid[#Data],$DD360,69),0)</f>
        <v/>
      </c>
      <c r="BT360">
        <f>IFERROR(INDEX(PP_Grid[#Data],$DD360,70),0)</f>
        <v/>
      </c>
      <c r="BU360">
        <f>IFERROR(INDEX(PP_Grid[#Data],$DD360,71),0)</f>
        <v/>
      </c>
      <c r="BV360">
        <f>IFERROR(INDEX(PP_Grid[#Data],$DD360,72),0)</f>
        <v/>
      </c>
      <c r="BW360">
        <f>IFERROR(INDEX(PP_Grid[#Data],$DD360,73),0)</f>
        <v/>
      </c>
      <c r="BX360">
        <f>IFERROR(INDEX(PP_Grid[#Data],$DD360,74),0)</f>
        <v/>
      </c>
      <c r="BY360">
        <f>IFERROR(INDEX(PP_Grid[#Data],$DD360,75),0)</f>
        <v/>
      </c>
      <c r="BZ360">
        <f>IFERROR(INDEX(PP_Grid[#Data],$DD360,76),0)</f>
        <v/>
      </c>
      <c r="CA360">
        <f>IFERROR(INDEX(PP_Grid[#Data],$DD360,77),0)</f>
        <v/>
      </c>
      <c r="CB360">
        <f>IFERROR(INDEX(PP_Grid[#Data],$DD360,78),0)</f>
        <v/>
      </c>
      <c r="CC360">
        <f>IFERROR(INDEX(PP_Grid[#Data],$DD360,79),0)</f>
        <v/>
      </c>
      <c r="CD360">
        <f>IFERROR(INDEX(PP_Grid[#Data],$DD360,80),0)</f>
        <v/>
      </c>
      <c r="CE360">
        <f>IFERROR(INDEX(PP_Grid[#Data],$DD360,81),0)</f>
        <v/>
      </c>
      <c r="CF360">
        <f>IFERROR(INDEX(PP_Grid[#Data],$DD360,82),0)</f>
        <v/>
      </c>
      <c r="CG360">
        <f>IFERROR(INDEX(PP_Grid[#Data],$DD360,83),0)</f>
        <v/>
      </c>
      <c r="CH360">
        <f>IFERROR(INDEX(PP_Grid[#Data],$DD360,84),0)</f>
        <v/>
      </c>
      <c r="CI360">
        <f>IFERROR(INDEX(PP_Grid[#Data],$DD360,85),0)</f>
        <v/>
      </c>
      <c r="CJ360">
        <f>IFERROR(INDEX(PP_Grid[#Data],$DD360,86),0)</f>
        <v/>
      </c>
      <c r="CK360">
        <f>IFERROR(INDEX(PP_Grid[#Data],$DD360,87),0)</f>
        <v/>
      </c>
      <c r="CL360">
        <f>IFERROR(INDEX(PP_Grid[#Data],$DD360,88),0)</f>
        <v/>
      </c>
      <c r="CM360">
        <f>IFERROR(INDEX(PP_Grid[#Data],$DD360,89),0)</f>
        <v/>
      </c>
      <c r="CN360">
        <f>IFERROR(INDEX(PP_Grid[#Data],$DD360,90),0)</f>
        <v/>
      </c>
      <c r="CO360">
        <f>IFERROR(INDEX(PP_Grid[#Data],$DD360,91),0)</f>
        <v/>
      </c>
      <c r="CP360">
        <f>IFERROR(INDEX(PP_Grid[#Data],$DD360,92),0)</f>
        <v/>
      </c>
      <c r="CQ360">
        <f>IFERROR(INDEX(PP_Grid[#Data],$DD360,93),0)</f>
        <v/>
      </c>
      <c r="CR360">
        <f>IFERROR(INDEX(PP_Grid[#Data],$DD360,94),0)</f>
        <v/>
      </c>
      <c r="CS360">
        <f>IFERROR(INDEX(PP_Grid[#Data],$DD360,95),0)</f>
        <v/>
      </c>
      <c r="CT360">
        <f>IFERROR(INDEX(PP_Grid[#Data],$DD360,96),0)</f>
        <v/>
      </c>
      <c r="CU360">
        <f>IFERROR(INDEX(PP_Grid[#Data],$DD360,97),0)</f>
        <v/>
      </c>
      <c r="CV360">
        <f>IFERROR(INDEX(PP_Grid[#Data],$DD360,98),0)</f>
        <v/>
      </c>
      <c r="CW360">
        <f>IFERROR(INDEX(PP_Grid[#Data],$DD360,99),0)</f>
        <v/>
      </c>
      <c r="CX360">
        <f>IFERROR(INDEX(PP_Grid[#Data],$DD360,100),0)</f>
        <v/>
      </c>
      <c r="CY360">
        <f>IFERROR(INDEX(PP_Grid[#Data],$DD360,101),0)</f>
        <v/>
      </c>
      <c r="CZ360">
        <f>IFERROR(INDEX(PP_Grid[#Data],$DD360,102),0)</f>
        <v/>
      </c>
      <c r="DA360">
        <f>IFERROR(INDEX(PP_Grid[#Data],$DD360,103),0)</f>
        <v/>
      </c>
      <c r="DB360">
        <f>IFERROR(INDEX(PP_Grid[#Data],$DD360,104),0)</f>
        <v/>
      </c>
      <c r="DC360">
        <f>IFERROR(INDEX(PP_Grid[#Data],$DD360,105),0)</f>
        <v/>
      </c>
      <c r="DD360" s="12">
        <f>IFERROR(MATCH($B360,PP_Grid[Intermediate],0),99999)</f>
        <v/>
      </c>
    </row>
    <row r="361">
      <c r="B361" t="inlineStr">
        <is>
          <t>使用量(kg)</t>
        </is>
      </c>
      <c r="C361">
        <f>SUMIFS(M_BOM[RM_Qty_Per_Batch],M_BOM[Intermediate],$B360,M_BOM[Part Name],$A343)</f>
        <v/>
      </c>
      <c r="D361">
        <f>$C361*D360</f>
        <v/>
      </c>
      <c r="E361">
        <f>$C361*E360</f>
        <v/>
      </c>
      <c r="F361">
        <f>$C361*F360</f>
        <v/>
      </c>
      <c r="G361">
        <f>$C361*G360</f>
        <v/>
      </c>
      <c r="H361">
        <f>$C361*H360</f>
        <v/>
      </c>
      <c r="I361">
        <f>$C361*I360</f>
        <v/>
      </c>
      <c r="J361">
        <f>$C361*J360</f>
        <v/>
      </c>
      <c r="K361">
        <f>$C361*K360</f>
        <v/>
      </c>
      <c r="L361">
        <f>$C361*L360</f>
        <v/>
      </c>
      <c r="M361">
        <f>$C361*M360</f>
        <v/>
      </c>
      <c r="N361">
        <f>$C361*N360</f>
        <v/>
      </c>
      <c r="O361">
        <f>$C361*O360</f>
        <v/>
      </c>
      <c r="P361">
        <f>$C361*P360</f>
        <v/>
      </c>
      <c r="Q361">
        <f>$C361*Q360</f>
        <v/>
      </c>
      <c r="R361">
        <f>$C361*R360</f>
        <v/>
      </c>
      <c r="S361">
        <f>$C361*S360</f>
        <v/>
      </c>
      <c r="T361">
        <f>$C361*T360</f>
        <v/>
      </c>
      <c r="U361">
        <f>$C361*U360</f>
        <v/>
      </c>
      <c r="V361">
        <f>$C361*V360</f>
        <v/>
      </c>
      <c r="W361">
        <f>$C361*W360</f>
        <v/>
      </c>
      <c r="X361">
        <f>$C361*X360</f>
        <v/>
      </c>
      <c r="Y361">
        <f>$C361*Y360</f>
        <v/>
      </c>
      <c r="Z361">
        <f>$C361*Z360</f>
        <v/>
      </c>
      <c r="AA361">
        <f>$C361*AA360</f>
        <v/>
      </c>
      <c r="AB361">
        <f>$C361*AB360</f>
        <v/>
      </c>
      <c r="AC361">
        <f>$C361*AC360</f>
        <v/>
      </c>
      <c r="AD361">
        <f>$C361*AD360</f>
        <v/>
      </c>
      <c r="AE361">
        <f>$C361*AE360</f>
        <v/>
      </c>
      <c r="AF361">
        <f>$C361*AF360</f>
        <v/>
      </c>
      <c r="AG361">
        <f>$C361*AG360</f>
        <v/>
      </c>
      <c r="AH361">
        <f>$C361*AH360</f>
        <v/>
      </c>
      <c r="AI361">
        <f>$C361*AI360</f>
        <v/>
      </c>
      <c r="AJ361">
        <f>$C361*AJ360</f>
        <v/>
      </c>
      <c r="AK361">
        <f>$C361*AK360</f>
        <v/>
      </c>
      <c r="AL361">
        <f>$C361*AL360</f>
        <v/>
      </c>
      <c r="AM361">
        <f>$C361*AM360</f>
        <v/>
      </c>
      <c r="AN361">
        <f>$C361*AN360</f>
        <v/>
      </c>
      <c r="AO361">
        <f>$C361*AO360</f>
        <v/>
      </c>
      <c r="AP361">
        <f>$C361*AP360</f>
        <v/>
      </c>
      <c r="AQ361">
        <f>$C361*AQ360</f>
        <v/>
      </c>
      <c r="AR361">
        <f>$C361*AR360</f>
        <v/>
      </c>
      <c r="AS361">
        <f>$C361*AS360</f>
        <v/>
      </c>
      <c r="AT361">
        <f>$C361*AT360</f>
        <v/>
      </c>
      <c r="AU361">
        <f>$C361*AU360</f>
        <v/>
      </c>
      <c r="AV361">
        <f>$C361*AV360</f>
        <v/>
      </c>
      <c r="AW361">
        <f>$C361*AW360</f>
        <v/>
      </c>
      <c r="AX361">
        <f>$C361*AX360</f>
        <v/>
      </c>
      <c r="AY361">
        <f>$C361*AY360</f>
        <v/>
      </c>
      <c r="AZ361">
        <f>$C361*AZ360</f>
        <v/>
      </c>
      <c r="BA361">
        <f>$C361*BA360</f>
        <v/>
      </c>
      <c r="BB361">
        <f>$C361*BB360</f>
        <v/>
      </c>
      <c r="BC361">
        <f>$C361*BC360</f>
        <v/>
      </c>
      <c r="BD361">
        <f>$C361*BD360</f>
        <v/>
      </c>
      <c r="BE361">
        <f>$C361*BE360</f>
        <v/>
      </c>
      <c r="BF361">
        <f>$C361*BF360</f>
        <v/>
      </c>
      <c r="BG361">
        <f>$C361*BG360</f>
        <v/>
      </c>
      <c r="BH361">
        <f>$C361*BH360</f>
        <v/>
      </c>
      <c r="BI361">
        <f>$C361*BI360</f>
        <v/>
      </c>
      <c r="BJ361">
        <f>$C361*BJ360</f>
        <v/>
      </c>
      <c r="BK361">
        <f>$C361*BK360</f>
        <v/>
      </c>
      <c r="BL361">
        <f>$C361*BL360</f>
        <v/>
      </c>
      <c r="BM361">
        <f>$C361*BM360</f>
        <v/>
      </c>
      <c r="BN361">
        <f>$C361*BN360</f>
        <v/>
      </c>
      <c r="BO361">
        <f>$C361*BO360</f>
        <v/>
      </c>
      <c r="BP361">
        <f>$C361*BP360</f>
        <v/>
      </c>
      <c r="BQ361">
        <f>$C361*BQ360</f>
        <v/>
      </c>
      <c r="BR361">
        <f>$C361*BR360</f>
        <v/>
      </c>
      <c r="BS361">
        <f>$C361*BS360</f>
        <v/>
      </c>
      <c r="BT361">
        <f>$C361*BT360</f>
        <v/>
      </c>
      <c r="BU361">
        <f>$C361*BU360</f>
        <v/>
      </c>
      <c r="BV361">
        <f>$C361*BV360</f>
        <v/>
      </c>
      <c r="BW361">
        <f>$C361*BW360</f>
        <v/>
      </c>
      <c r="BX361">
        <f>$C361*BX360</f>
        <v/>
      </c>
      <c r="BY361">
        <f>$C361*BY360</f>
        <v/>
      </c>
      <c r="BZ361">
        <f>$C361*BZ360</f>
        <v/>
      </c>
      <c r="CA361">
        <f>$C361*CA360</f>
        <v/>
      </c>
      <c r="CB361">
        <f>$C361*CB360</f>
        <v/>
      </c>
      <c r="CC361">
        <f>$C361*CC360</f>
        <v/>
      </c>
      <c r="CD361">
        <f>$C361*CD360</f>
        <v/>
      </c>
      <c r="CE361">
        <f>$C361*CE360</f>
        <v/>
      </c>
      <c r="CF361">
        <f>$C361*CF360</f>
        <v/>
      </c>
      <c r="CG361">
        <f>$C361*CG360</f>
        <v/>
      </c>
      <c r="CH361">
        <f>$C361*CH360</f>
        <v/>
      </c>
      <c r="CI361">
        <f>$C361*CI360</f>
        <v/>
      </c>
      <c r="CJ361">
        <f>$C361*CJ360</f>
        <v/>
      </c>
      <c r="CK361">
        <f>$C361*CK360</f>
        <v/>
      </c>
      <c r="CL361">
        <f>$C361*CL360</f>
        <v/>
      </c>
      <c r="CM361">
        <f>$C361*CM360</f>
        <v/>
      </c>
      <c r="CN361">
        <f>$C361*CN360</f>
        <v/>
      </c>
      <c r="CO361">
        <f>$C361*CO360</f>
        <v/>
      </c>
      <c r="CP361">
        <f>$C361*CP360</f>
        <v/>
      </c>
      <c r="CQ361">
        <f>$C361*CQ360</f>
        <v/>
      </c>
      <c r="CR361">
        <f>$C361*CR360</f>
        <v/>
      </c>
      <c r="CS361">
        <f>$C361*CS360</f>
        <v/>
      </c>
      <c r="CT361">
        <f>$C361*CT360</f>
        <v/>
      </c>
      <c r="CU361">
        <f>$C361*CU360</f>
        <v/>
      </c>
      <c r="CV361">
        <f>$C361*CV360</f>
        <v/>
      </c>
      <c r="CW361">
        <f>$C361*CW360</f>
        <v/>
      </c>
      <c r="CX361">
        <f>$C361*CX360</f>
        <v/>
      </c>
      <c r="CY361">
        <f>$C361*CY360</f>
        <v/>
      </c>
      <c r="CZ361">
        <f>$C361*CZ360</f>
        <v/>
      </c>
      <c r="DA361">
        <f>$C361*DA360</f>
        <v/>
      </c>
      <c r="DB361">
        <f>$C361*DB360</f>
        <v/>
      </c>
      <c r="DC361">
        <f>$C361*DC360</f>
        <v/>
      </c>
    </row>
    <row r="362">
      <c r="B362" t="inlineStr">
        <is>
          <t>VSP-989</t>
        </is>
      </c>
      <c r="C362" t="inlineStr">
        <is>
          <t>No. of batches</t>
        </is>
      </c>
      <c r="D362">
        <f>IFERROR(INDEX(PP_Grid[#Data],$DD362,2),0)</f>
        <v/>
      </c>
      <c r="E362">
        <f>IFERROR(INDEX(PP_Grid[#Data],$DD362,3),0)</f>
        <v/>
      </c>
      <c r="F362">
        <f>IFERROR(INDEX(PP_Grid[#Data],$DD362,4),0)</f>
        <v/>
      </c>
      <c r="G362">
        <f>IFERROR(INDEX(PP_Grid[#Data],$DD362,5),0)</f>
        <v/>
      </c>
      <c r="H362">
        <f>IFERROR(INDEX(PP_Grid[#Data],$DD362,6),0)</f>
        <v/>
      </c>
      <c r="I362">
        <f>IFERROR(INDEX(PP_Grid[#Data],$DD362,7),0)</f>
        <v/>
      </c>
      <c r="J362">
        <f>IFERROR(INDEX(PP_Grid[#Data],$DD362,8),0)</f>
        <v/>
      </c>
      <c r="K362">
        <f>IFERROR(INDEX(PP_Grid[#Data],$DD362,9),0)</f>
        <v/>
      </c>
      <c r="L362">
        <f>IFERROR(INDEX(PP_Grid[#Data],$DD362,10),0)</f>
        <v/>
      </c>
      <c r="M362">
        <f>IFERROR(INDEX(PP_Grid[#Data],$DD362,11),0)</f>
        <v/>
      </c>
      <c r="N362">
        <f>IFERROR(INDEX(PP_Grid[#Data],$DD362,12),0)</f>
        <v/>
      </c>
      <c r="O362">
        <f>IFERROR(INDEX(PP_Grid[#Data],$DD362,13),0)</f>
        <v/>
      </c>
      <c r="P362">
        <f>IFERROR(INDEX(PP_Grid[#Data],$DD362,14),0)</f>
        <v/>
      </c>
      <c r="Q362">
        <f>IFERROR(INDEX(PP_Grid[#Data],$DD362,15),0)</f>
        <v/>
      </c>
      <c r="R362">
        <f>IFERROR(INDEX(PP_Grid[#Data],$DD362,16),0)</f>
        <v/>
      </c>
      <c r="S362">
        <f>IFERROR(INDEX(PP_Grid[#Data],$DD362,17),0)</f>
        <v/>
      </c>
      <c r="T362">
        <f>IFERROR(INDEX(PP_Grid[#Data],$DD362,18),0)</f>
        <v/>
      </c>
      <c r="U362">
        <f>IFERROR(INDEX(PP_Grid[#Data],$DD362,19),0)</f>
        <v/>
      </c>
      <c r="V362">
        <f>IFERROR(INDEX(PP_Grid[#Data],$DD362,20),0)</f>
        <v/>
      </c>
      <c r="W362">
        <f>IFERROR(INDEX(PP_Grid[#Data],$DD362,21),0)</f>
        <v/>
      </c>
      <c r="X362">
        <f>IFERROR(INDEX(PP_Grid[#Data],$DD362,22),0)</f>
        <v/>
      </c>
      <c r="Y362">
        <f>IFERROR(INDEX(PP_Grid[#Data],$DD362,23),0)</f>
        <v/>
      </c>
      <c r="Z362">
        <f>IFERROR(INDEX(PP_Grid[#Data],$DD362,24),0)</f>
        <v/>
      </c>
      <c r="AA362">
        <f>IFERROR(INDEX(PP_Grid[#Data],$DD362,25),0)</f>
        <v/>
      </c>
      <c r="AB362">
        <f>IFERROR(INDEX(PP_Grid[#Data],$DD362,26),0)</f>
        <v/>
      </c>
      <c r="AC362">
        <f>IFERROR(INDEX(PP_Grid[#Data],$DD362,27),0)</f>
        <v/>
      </c>
      <c r="AD362">
        <f>IFERROR(INDEX(PP_Grid[#Data],$DD362,28),0)</f>
        <v/>
      </c>
      <c r="AE362">
        <f>IFERROR(INDEX(PP_Grid[#Data],$DD362,29),0)</f>
        <v/>
      </c>
      <c r="AF362">
        <f>IFERROR(INDEX(PP_Grid[#Data],$DD362,30),0)</f>
        <v/>
      </c>
      <c r="AG362">
        <f>IFERROR(INDEX(PP_Grid[#Data],$DD362,31),0)</f>
        <v/>
      </c>
      <c r="AH362">
        <f>IFERROR(INDEX(PP_Grid[#Data],$DD362,32),0)</f>
        <v/>
      </c>
      <c r="AI362">
        <f>IFERROR(INDEX(PP_Grid[#Data],$DD362,33),0)</f>
        <v/>
      </c>
      <c r="AJ362">
        <f>IFERROR(INDEX(PP_Grid[#Data],$DD362,34),0)</f>
        <v/>
      </c>
      <c r="AK362">
        <f>IFERROR(INDEX(PP_Grid[#Data],$DD362,35),0)</f>
        <v/>
      </c>
      <c r="AL362">
        <f>IFERROR(INDEX(PP_Grid[#Data],$DD362,36),0)</f>
        <v/>
      </c>
      <c r="AM362">
        <f>IFERROR(INDEX(PP_Grid[#Data],$DD362,37),0)</f>
        <v/>
      </c>
      <c r="AN362">
        <f>IFERROR(INDEX(PP_Grid[#Data],$DD362,38),0)</f>
        <v/>
      </c>
      <c r="AO362">
        <f>IFERROR(INDEX(PP_Grid[#Data],$DD362,39),0)</f>
        <v/>
      </c>
      <c r="AP362">
        <f>IFERROR(INDEX(PP_Grid[#Data],$DD362,40),0)</f>
        <v/>
      </c>
      <c r="AQ362">
        <f>IFERROR(INDEX(PP_Grid[#Data],$DD362,41),0)</f>
        <v/>
      </c>
      <c r="AR362">
        <f>IFERROR(INDEX(PP_Grid[#Data],$DD362,42),0)</f>
        <v/>
      </c>
      <c r="AS362">
        <f>IFERROR(INDEX(PP_Grid[#Data],$DD362,43),0)</f>
        <v/>
      </c>
      <c r="AT362">
        <f>IFERROR(INDEX(PP_Grid[#Data],$DD362,44),0)</f>
        <v/>
      </c>
      <c r="AU362">
        <f>IFERROR(INDEX(PP_Grid[#Data],$DD362,45),0)</f>
        <v/>
      </c>
      <c r="AV362">
        <f>IFERROR(INDEX(PP_Grid[#Data],$DD362,46),0)</f>
        <v/>
      </c>
      <c r="AW362">
        <f>IFERROR(INDEX(PP_Grid[#Data],$DD362,47),0)</f>
        <v/>
      </c>
      <c r="AX362">
        <f>IFERROR(INDEX(PP_Grid[#Data],$DD362,48),0)</f>
        <v/>
      </c>
      <c r="AY362">
        <f>IFERROR(INDEX(PP_Grid[#Data],$DD362,49),0)</f>
        <v/>
      </c>
      <c r="AZ362">
        <f>IFERROR(INDEX(PP_Grid[#Data],$DD362,50),0)</f>
        <v/>
      </c>
      <c r="BA362">
        <f>IFERROR(INDEX(PP_Grid[#Data],$DD362,51),0)</f>
        <v/>
      </c>
      <c r="BB362">
        <f>IFERROR(INDEX(PP_Grid[#Data],$DD362,52),0)</f>
        <v/>
      </c>
      <c r="BC362">
        <f>IFERROR(INDEX(PP_Grid[#Data],$DD362,53),0)</f>
        <v/>
      </c>
      <c r="BD362">
        <f>IFERROR(INDEX(PP_Grid[#Data],$DD362,54),0)</f>
        <v/>
      </c>
      <c r="BE362">
        <f>IFERROR(INDEX(PP_Grid[#Data],$DD362,55),0)</f>
        <v/>
      </c>
      <c r="BF362">
        <f>IFERROR(INDEX(PP_Grid[#Data],$DD362,56),0)</f>
        <v/>
      </c>
      <c r="BG362">
        <f>IFERROR(INDEX(PP_Grid[#Data],$DD362,57),0)</f>
        <v/>
      </c>
      <c r="BH362">
        <f>IFERROR(INDEX(PP_Grid[#Data],$DD362,58),0)</f>
        <v/>
      </c>
      <c r="BI362">
        <f>IFERROR(INDEX(PP_Grid[#Data],$DD362,59),0)</f>
        <v/>
      </c>
      <c r="BJ362">
        <f>IFERROR(INDEX(PP_Grid[#Data],$DD362,60),0)</f>
        <v/>
      </c>
      <c r="BK362">
        <f>IFERROR(INDEX(PP_Grid[#Data],$DD362,61),0)</f>
        <v/>
      </c>
      <c r="BL362">
        <f>IFERROR(INDEX(PP_Grid[#Data],$DD362,62),0)</f>
        <v/>
      </c>
      <c r="BM362">
        <f>IFERROR(INDEX(PP_Grid[#Data],$DD362,63),0)</f>
        <v/>
      </c>
      <c r="BN362">
        <f>IFERROR(INDEX(PP_Grid[#Data],$DD362,64),0)</f>
        <v/>
      </c>
      <c r="BO362">
        <f>IFERROR(INDEX(PP_Grid[#Data],$DD362,65),0)</f>
        <v/>
      </c>
      <c r="BP362">
        <f>IFERROR(INDEX(PP_Grid[#Data],$DD362,66),0)</f>
        <v/>
      </c>
      <c r="BQ362">
        <f>IFERROR(INDEX(PP_Grid[#Data],$DD362,67),0)</f>
        <v/>
      </c>
      <c r="BR362">
        <f>IFERROR(INDEX(PP_Grid[#Data],$DD362,68),0)</f>
        <v/>
      </c>
      <c r="BS362">
        <f>IFERROR(INDEX(PP_Grid[#Data],$DD362,69),0)</f>
        <v/>
      </c>
      <c r="BT362">
        <f>IFERROR(INDEX(PP_Grid[#Data],$DD362,70),0)</f>
        <v/>
      </c>
      <c r="BU362">
        <f>IFERROR(INDEX(PP_Grid[#Data],$DD362,71),0)</f>
        <v/>
      </c>
      <c r="BV362">
        <f>IFERROR(INDEX(PP_Grid[#Data],$DD362,72),0)</f>
        <v/>
      </c>
      <c r="BW362">
        <f>IFERROR(INDEX(PP_Grid[#Data],$DD362,73),0)</f>
        <v/>
      </c>
      <c r="BX362">
        <f>IFERROR(INDEX(PP_Grid[#Data],$DD362,74),0)</f>
        <v/>
      </c>
      <c r="BY362">
        <f>IFERROR(INDEX(PP_Grid[#Data],$DD362,75),0)</f>
        <v/>
      </c>
      <c r="BZ362">
        <f>IFERROR(INDEX(PP_Grid[#Data],$DD362,76),0)</f>
        <v/>
      </c>
      <c r="CA362">
        <f>IFERROR(INDEX(PP_Grid[#Data],$DD362,77),0)</f>
        <v/>
      </c>
      <c r="CB362">
        <f>IFERROR(INDEX(PP_Grid[#Data],$DD362,78),0)</f>
        <v/>
      </c>
      <c r="CC362">
        <f>IFERROR(INDEX(PP_Grid[#Data],$DD362,79),0)</f>
        <v/>
      </c>
      <c r="CD362">
        <f>IFERROR(INDEX(PP_Grid[#Data],$DD362,80),0)</f>
        <v/>
      </c>
      <c r="CE362">
        <f>IFERROR(INDEX(PP_Grid[#Data],$DD362,81),0)</f>
        <v/>
      </c>
      <c r="CF362">
        <f>IFERROR(INDEX(PP_Grid[#Data],$DD362,82),0)</f>
        <v/>
      </c>
      <c r="CG362">
        <f>IFERROR(INDEX(PP_Grid[#Data],$DD362,83),0)</f>
        <v/>
      </c>
      <c r="CH362">
        <f>IFERROR(INDEX(PP_Grid[#Data],$DD362,84),0)</f>
        <v/>
      </c>
      <c r="CI362">
        <f>IFERROR(INDEX(PP_Grid[#Data],$DD362,85),0)</f>
        <v/>
      </c>
      <c r="CJ362">
        <f>IFERROR(INDEX(PP_Grid[#Data],$DD362,86),0)</f>
        <v/>
      </c>
      <c r="CK362">
        <f>IFERROR(INDEX(PP_Grid[#Data],$DD362,87),0)</f>
        <v/>
      </c>
      <c r="CL362">
        <f>IFERROR(INDEX(PP_Grid[#Data],$DD362,88),0)</f>
        <v/>
      </c>
      <c r="CM362">
        <f>IFERROR(INDEX(PP_Grid[#Data],$DD362,89),0)</f>
        <v/>
      </c>
      <c r="CN362">
        <f>IFERROR(INDEX(PP_Grid[#Data],$DD362,90),0)</f>
        <v/>
      </c>
      <c r="CO362">
        <f>IFERROR(INDEX(PP_Grid[#Data],$DD362,91),0)</f>
        <v/>
      </c>
      <c r="CP362">
        <f>IFERROR(INDEX(PP_Grid[#Data],$DD362,92),0)</f>
        <v/>
      </c>
      <c r="CQ362">
        <f>IFERROR(INDEX(PP_Grid[#Data],$DD362,93),0)</f>
        <v/>
      </c>
      <c r="CR362">
        <f>IFERROR(INDEX(PP_Grid[#Data],$DD362,94),0)</f>
        <v/>
      </c>
      <c r="CS362">
        <f>IFERROR(INDEX(PP_Grid[#Data],$DD362,95),0)</f>
        <v/>
      </c>
      <c r="CT362">
        <f>IFERROR(INDEX(PP_Grid[#Data],$DD362,96),0)</f>
        <v/>
      </c>
      <c r="CU362">
        <f>IFERROR(INDEX(PP_Grid[#Data],$DD362,97),0)</f>
        <v/>
      </c>
      <c r="CV362">
        <f>IFERROR(INDEX(PP_Grid[#Data],$DD362,98),0)</f>
        <v/>
      </c>
      <c r="CW362">
        <f>IFERROR(INDEX(PP_Grid[#Data],$DD362,99),0)</f>
        <v/>
      </c>
      <c r="CX362">
        <f>IFERROR(INDEX(PP_Grid[#Data],$DD362,100),0)</f>
        <v/>
      </c>
      <c r="CY362">
        <f>IFERROR(INDEX(PP_Grid[#Data],$DD362,101),0)</f>
        <v/>
      </c>
      <c r="CZ362">
        <f>IFERROR(INDEX(PP_Grid[#Data],$DD362,102),0)</f>
        <v/>
      </c>
      <c r="DA362">
        <f>IFERROR(INDEX(PP_Grid[#Data],$DD362,103),0)</f>
        <v/>
      </c>
      <c r="DB362">
        <f>IFERROR(INDEX(PP_Grid[#Data],$DD362,104),0)</f>
        <v/>
      </c>
      <c r="DC362">
        <f>IFERROR(INDEX(PP_Grid[#Data],$DD362,105),0)</f>
        <v/>
      </c>
      <c r="DD362" s="12">
        <f>IFERROR(MATCH($B362,PP_Grid[Intermediate],0),99999)</f>
        <v/>
      </c>
    </row>
    <row r="363">
      <c r="B363" t="inlineStr">
        <is>
          <t>使用量(kg)</t>
        </is>
      </c>
      <c r="C363">
        <f>SUMIFS(M_BOM[RM_Qty_Per_Batch],M_BOM[Intermediate],$B362,M_BOM[Part Name],$A343)</f>
        <v/>
      </c>
      <c r="D363">
        <f>$C363*D362</f>
        <v/>
      </c>
      <c r="E363">
        <f>$C363*E362</f>
        <v/>
      </c>
      <c r="F363">
        <f>$C363*F362</f>
        <v/>
      </c>
      <c r="G363">
        <f>$C363*G362</f>
        <v/>
      </c>
      <c r="H363">
        <f>$C363*H362</f>
        <v/>
      </c>
      <c r="I363">
        <f>$C363*I362</f>
        <v/>
      </c>
      <c r="J363">
        <f>$C363*J362</f>
        <v/>
      </c>
      <c r="K363">
        <f>$C363*K362</f>
        <v/>
      </c>
      <c r="L363">
        <f>$C363*L362</f>
        <v/>
      </c>
      <c r="M363">
        <f>$C363*M362</f>
        <v/>
      </c>
      <c r="N363">
        <f>$C363*N362</f>
        <v/>
      </c>
      <c r="O363">
        <f>$C363*O362</f>
        <v/>
      </c>
      <c r="P363">
        <f>$C363*P362</f>
        <v/>
      </c>
      <c r="Q363">
        <f>$C363*Q362</f>
        <v/>
      </c>
      <c r="R363">
        <f>$C363*R362</f>
        <v/>
      </c>
      <c r="S363">
        <f>$C363*S362</f>
        <v/>
      </c>
      <c r="T363">
        <f>$C363*T362</f>
        <v/>
      </c>
      <c r="U363">
        <f>$C363*U362</f>
        <v/>
      </c>
      <c r="V363">
        <f>$C363*V362</f>
        <v/>
      </c>
      <c r="W363">
        <f>$C363*W362</f>
        <v/>
      </c>
      <c r="X363">
        <f>$C363*X362</f>
        <v/>
      </c>
      <c r="Y363">
        <f>$C363*Y362</f>
        <v/>
      </c>
      <c r="Z363">
        <f>$C363*Z362</f>
        <v/>
      </c>
      <c r="AA363">
        <f>$C363*AA362</f>
        <v/>
      </c>
      <c r="AB363">
        <f>$C363*AB362</f>
        <v/>
      </c>
      <c r="AC363">
        <f>$C363*AC362</f>
        <v/>
      </c>
      <c r="AD363">
        <f>$C363*AD362</f>
        <v/>
      </c>
      <c r="AE363">
        <f>$C363*AE362</f>
        <v/>
      </c>
      <c r="AF363">
        <f>$C363*AF362</f>
        <v/>
      </c>
      <c r="AG363">
        <f>$C363*AG362</f>
        <v/>
      </c>
      <c r="AH363">
        <f>$C363*AH362</f>
        <v/>
      </c>
      <c r="AI363">
        <f>$C363*AI362</f>
        <v/>
      </c>
      <c r="AJ363">
        <f>$C363*AJ362</f>
        <v/>
      </c>
      <c r="AK363">
        <f>$C363*AK362</f>
        <v/>
      </c>
      <c r="AL363">
        <f>$C363*AL362</f>
        <v/>
      </c>
      <c r="AM363">
        <f>$C363*AM362</f>
        <v/>
      </c>
      <c r="AN363">
        <f>$C363*AN362</f>
        <v/>
      </c>
      <c r="AO363">
        <f>$C363*AO362</f>
        <v/>
      </c>
      <c r="AP363">
        <f>$C363*AP362</f>
        <v/>
      </c>
      <c r="AQ363">
        <f>$C363*AQ362</f>
        <v/>
      </c>
      <c r="AR363">
        <f>$C363*AR362</f>
        <v/>
      </c>
      <c r="AS363">
        <f>$C363*AS362</f>
        <v/>
      </c>
      <c r="AT363">
        <f>$C363*AT362</f>
        <v/>
      </c>
      <c r="AU363">
        <f>$C363*AU362</f>
        <v/>
      </c>
      <c r="AV363">
        <f>$C363*AV362</f>
        <v/>
      </c>
      <c r="AW363">
        <f>$C363*AW362</f>
        <v/>
      </c>
      <c r="AX363">
        <f>$C363*AX362</f>
        <v/>
      </c>
      <c r="AY363">
        <f>$C363*AY362</f>
        <v/>
      </c>
      <c r="AZ363">
        <f>$C363*AZ362</f>
        <v/>
      </c>
      <c r="BA363">
        <f>$C363*BA362</f>
        <v/>
      </c>
      <c r="BB363">
        <f>$C363*BB362</f>
        <v/>
      </c>
      <c r="BC363">
        <f>$C363*BC362</f>
        <v/>
      </c>
      <c r="BD363">
        <f>$C363*BD362</f>
        <v/>
      </c>
      <c r="BE363">
        <f>$C363*BE362</f>
        <v/>
      </c>
      <c r="BF363">
        <f>$C363*BF362</f>
        <v/>
      </c>
      <c r="BG363">
        <f>$C363*BG362</f>
        <v/>
      </c>
      <c r="BH363">
        <f>$C363*BH362</f>
        <v/>
      </c>
      <c r="BI363">
        <f>$C363*BI362</f>
        <v/>
      </c>
      <c r="BJ363">
        <f>$C363*BJ362</f>
        <v/>
      </c>
      <c r="BK363">
        <f>$C363*BK362</f>
        <v/>
      </c>
      <c r="BL363">
        <f>$C363*BL362</f>
        <v/>
      </c>
      <c r="BM363">
        <f>$C363*BM362</f>
        <v/>
      </c>
      <c r="BN363">
        <f>$C363*BN362</f>
        <v/>
      </c>
      <c r="BO363">
        <f>$C363*BO362</f>
        <v/>
      </c>
      <c r="BP363">
        <f>$C363*BP362</f>
        <v/>
      </c>
      <c r="BQ363">
        <f>$C363*BQ362</f>
        <v/>
      </c>
      <c r="BR363">
        <f>$C363*BR362</f>
        <v/>
      </c>
      <c r="BS363">
        <f>$C363*BS362</f>
        <v/>
      </c>
      <c r="BT363">
        <f>$C363*BT362</f>
        <v/>
      </c>
      <c r="BU363">
        <f>$C363*BU362</f>
        <v/>
      </c>
      <c r="BV363">
        <f>$C363*BV362</f>
        <v/>
      </c>
      <c r="BW363">
        <f>$C363*BW362</f>
        <v/>
      </c>
      <c r="BX363">
        <f>$C363*BX362</f>
        <v/>
      </c>
      <c r="BY363">
        <f>$C363*BY362</f>
        <v/>
      </c>
      <c r="BZ363">
        <f>$C363*BZ362</f>
        <v/>
      </c>
      <c r="CA363">
        <f>$C363*CA362</f>
        <v/>
      </c>
      <c r="CB363">
        <f>$C363*CB362</f>
        <v/>
      </c>
      <c r="CC363">
        <f>$C363*CC362</f>
        <v/>
      </c>
      <c r="CD363">
        <f>$C363*CD362</f>
        <v/>
      </c>
      <c r="CE363">
        <f>$C363*CE362</f>
        <v/>
      </c>
      <c r="CF363">
        <f>$C363*CF362</f>
        <v/>
      </c>
      <c r="CG363">
        <f>$C363*CG362</f>
        <v/>
      </c>
      <c r="CH363">
        <f>$C363*CH362</f>
        <v/>
      </c>
      <c r="CI363">
        <f>$C363*CI362</f>
        <v/>
      </c>
      <c r="CJ363">
        <f>$C363*CJ362</f>
        <v/>
      </c>
      <c r="CK363">
        <f>$C363*CK362</f>
        <v/>
      </c>
      <c r="CL363">
        <f>$C363*CL362</f>
        <v/>
      </c>
      <c r="CM363">
        <f>$C363*CM362</f>
        <v/>
      </c>
      <c r="CN363">
        <f>$C363*CN362</f>
        <v/>
      </c>
      <c r="CO363">
        <f>$C363*CO362</f>
        <v/>
      </c>
      <c r="CP363">
        <f>$C363*CP362</f>
        <v/>
      </c>
      <c r="CQ363">
        <f>$C363*CQ362</f>
        <v/>
      </c>
      <c r="CR363">
        <f>$C363*CR362</f>
        <v/>
      </c>
      <c r="CS363">
        <f>$C363*CS362</f>
        <v/>
      </c>
      <c r="CT363">
        <f>$C363*CT362</f>
        <v/>
      </c>
      <c r="CU363">
        <f>$C363*CU362</f>
        <v/>
      </c>
      <c r="CV363">
        <f>$C363*CV362</f>
        <v/>
      </c>
      <c r="CW363">
        <f>$C363*CW362</f>
        <v/>
      </c>
      <c r="CX363">
        <f>$C363*CX362</f>
        <v/>
      </c>
      <c r="CY363">
        <f>$C363*CY362</f>
        <v/>
      </c>
      <c r="CZ363">
        <f>$C363*CZ362</f>
        <v/>
      </c>
      <c r="DA363">
        <f>$C363*DA362</f>
        <v/>
      </c>
      <c r="DB363">
        <f>$C363*DB362</f>
        <v/>
      </c>
      <c r="DC363">
        <f>$C363*DC362</f>
        <v/>
      </c>
    </row>
    <row r="364">
      <c r="B364" s="5" t="inlineStr">
        <is>
          <t>合計使用量(kg)/週</t>
        </is>
      </c>
      <c r="D364">
        <f>'Grid_Requirement'!B28</f>
        <v/>
      </c>
      <c r="E364">
        <f>'Grid_Requirement'!C28</f>
        <v/>
      </c>
      <c r="F364">
        <f>'Grid_Requirement'!D28</f>
        <v/>
      </c>
      <c r="G364">
        <f>'Grid_Requirement'!E28</f>
        <v/>
      </c>
      <c r="H364">
        <f>'Grid_Requirement'!F28</f>
        <v/>
      </c>
      <c r="I364">
        <f>'Grid_Requirement'!G28</f>
        <v/>
      </c>
      <c r="J364">
        <f>'Grid_Requirement'!H28</f>
        <v/>
      </c>
      <c r="K364">
        <f>'Grid_Requirement'!I28</f>
        <v/>
      </c>
      <c r="L364">
        <f>'Grid_Requirement'!J28</f>
        <v/>
      </c>
      <c r="M364">
        <f>'Grid_Requirement'!K28</f>
        <v/>
      </c>
      <c r="N364">
        <f>'Grid_Requirement'!L28</f>
        <v/>
      </c>
      <c r="O364">
        <f>'Grid_Requirement'!M28</f>
        <v/>
      </c>
      <c r="P364">
        <f>'Grid_Requirement'!N28</f>
        <v/>
      </c>
      <c r="Q364">
        <f>'Grid_Requirement'!O28</f>
        <v/>
      </c>
      <c r="R364">
        <f>'Grid_Requirement'!P28</f>
        <v/>
      </c>
      <c r="S364">
        <f>'Grid_Requirement'!Q28</f>
        <v/>
      </c>
      <c r="T364">
        <f>'Grid_Requirement'!R28</f>
        <v/>
      </c>
      <c r="U364">
        <f>'Grid_Requirement'!S28</f>
        <v/>
      </c>
      <c r="V364">
        <f>'Grid_Requirement'!T28</f>
        <v/>
      </c>
      <c r="W364">
        <f>'Grid_Requirement'!U28</f>
        <v/>
      </c>
      <c r="X364">
        <f>'Grid_Requirement'!V28</f>
        <v/>
      </c>
      <c r="Y364">
        <f>'Grid_Requirement'!W28</f>
        <v/>
      </c>
      <c r="Z364">
        <f>'Grid_Requirement'!X28</f>
        <v/>
      </c>
      <c r="AA364">
        <f>'Grid_Requirement'!Y28</f>
        <v/>
      </c>
      <c r="AB364">
        <f>'Grid_Requirement'!Z28</f>
        <v/>
      </c>
      <c r="AC364">
        <f>'Grid_Requirement'!AA28</f>
        <v/>
      </c>
      <c r="AD364">
        <f>'Grid_Requirement'!AB28</f>
        <v/>
      </c>
      <c r="AE364">
        <f>'Grid_Requirement'!AC28</f>
        <v/>
      </c>
      <c r="AF364">
        <f>'Grid_Requirement'!AD28</f>
        <v/>
      </c>
      <c r="AG364">
        <f>'Grid_Requirement'!AE28</f>
        <v/>
      </c>
      <c r="AH364">
        <f>'Grid_Requirement'!AF28</f>
        <v/>
      </c>
      <c r="AI364">
        <f>'Grid_Requirement'!AG28</f>
        <v/>
      </c>
      <c r="AJ364">
        <f>'Grid_Requirement'!AH28</f>
        <v/>
      </c>
      <c r="AK364">
        <f>'Grid_Requirement'!AI28</f>
        <v/>
      </c>
      <c r="AL364">
        <f>'Grid_Requirement'!AJ28</f>
        <v/>
      </c>
      <c r="AM364">
        <f>'Grid_Requirement'!AK28</f>
        <v/>
      </c>
      <c r="AN364">
        <f>'Grid_Requirement'!AL28</f>
        <v/>
      </c>
      <c r="AO364">
        <f>'Grid_Requirement'!AM28</f>
        <v/>
      </c>
      <c r="AP364">
        <f>'Grid_Requirement'!AN28</f>
        <v/>
      </c>
      <c r="AQ364">
        <f>'Grid_Requirement'!AO28</f>
        <v/>
      </c>
      <c r="AR364">
        <f>'Grid_Requirement'!AP28</f>
        <v/>
      </c>
      <c r="AS364">
        <f>'Grid_Requirement'!AQ28</f>
        <v/>
      </c>
      <c r="AT364">
        <f>'Grid_Requirement'!AR28</f>
        <v/>
      </c>
      <c r="AU364">
        <f>'Grid_Requirement'!AS28</f>
        <v/>
      </c>
      <c r="AV364">
        <f>'Grid_Requirement'!AT28</f>
        <v/>
      </c>
      <c r="AW364">
        <f>'Grid_Requirement'!AU28</f>
        <v/>
      </c>
      <c r="AX364">
        <f>'Grid_Requirement'!AV28</f>
        <v/>
      </c>
      <c r="AY364">
        <f>'Grid_Requirement'!AW28</f>
        <v/>
      </c>
      <c r="AZ364">
        <f>'Grid_Requirement'!AX28</f>
        <v/>
      </c>
      <c r="BA364">
        <f>'Grid_Requirement'!AY28</f>
        <v/>
      </c>
      <c r="BB364">
        <f>'Grid_Requirement'!AZ28</f>
        <v/>
      </c>
      <c r="BC364">
        <f>'Grid_Requirement'!BA28</f>
        <v/>
      </c>
      <c r="BD364">
        <f>'Grid_Requirement'!BB28</f>
        <v/>
      </c>
      <c r="BE364">
        <f>'Grid_Requirement'!BC28</f>
        <v/>
      </c>
      <c r="BF364">
        <f>'Grid_Requirement'!BD28</f>
        <v/>
      </c>
      <c r="BG364">
        <f>'Grid_Requirement'!BE28</f>
        <v/>
      </c>
      <c r="BH364">
        <f>'Grid_Requirement'!BF28</f>
        <v/>
      </c>
      <c r="BI364">
        <f>'Grid_Requirement'!BG28</f>
        <v/>
      </c>
      <c r="BJ364">
        <f>'Grid_Requirement'!BH28</f>
        <v/>
      </c>
      <c r="BK364">
        <f>'Grid_Requirement'!BI28</f>
        <v/>
      </c>
      <c r="BL364">
        <f>'Grid_Requirement'!BJ28</f>
        <v/>
      </c>
      <c r="BM364">
        <f>'Grid_Requirement'!BK28</f>
        <v/>
      </c>
      <c r="BN364">
        <f>'Grid_Requirement'!BL28</f>
        <v/>
      </c>
      <c r="BO364">
        <f>'Grid_Requirement'!BM28</f>
        <v/>
      </c>
      <c r="BP364">
        <f>'Grid_Requirement'!BN28</f>
        <v/>
      </c>
      <c r="BQ364">
        <f>'Grid_Requirement'!BO28</f>
        <v/>
      </c>
      <c r="BR364">
        <f>'Grid_Requirement'!BP28</f>
        <v/>
      </c>
      <c r="BS364">
        <f>'Grid_Requirement'!BQ28</f>
        <v/>
      </c>
      <c r="BT364">
        <f>'Grid_Requirement'!BR28</f>
        <v/>
      </c>
      <c r="BU364">
        <f>'Grid_Requirement'!BS28</f>
        <v/>
      </c>
      <c r="BV364">
        <f>'Grid_Requirement'!BT28</f>
        <v/>
      </c>
      <c r="BW364">
        <f>'Grid_Requirement'!BU28</f>
        <v/>
      </c>
      <c r="BX364">
        <f>'Grid_Requirement'!BV28</f>
        <v/>
      </c>
      <c r="BY364">
        <f>'Grid_Requirement'!BW28</f>
        <v/>
      </c>
      <c r="BZ364">
        <f>'Grid_Requirement'!BX28</f>
        <v/>
      </c>
      <c r="CA364">
        <f>'Grid_Requirement'!BY28</f>
        <v/>
      </c>
      <c r="CB364">
        <f>'Grid_Requirement'!BZ28</f>
        <v/>
      </c>
      <c r="CC364">
        <f>'Grid_Requirement'!CA28</f>
        <v/>
      </c>
      <c r="CD364">
        <f>'Grid_Requirement'!CB28</f>
        <v/>
      </c>
      <c r="CE364">
        <f>'Grid_Requirement'!CC28</f>
        <v/>
      </c>
      <c r="CF364">
        <f>'Grid_Requirement'!CD28</f>
        <v/>
      </c>
      <c r="CG364">
        <f>'Grid_Requirement'!CE28</f>
        <v/>
      </c>
      <c r="CH364">
        <f>'Grid_Requirement'!CF28</f>
        <v/>
      </c>
      <c r="CI364">
        <f>'Grid_Requirement'!CG28</f>
        <v/>
      </c>
      <c r="CJ364">
        <f>'Grid_Requirement'!CH28</f>
        <v/>
      </c>
      <c r="CK364">
        <f>'Grid_Requirement'!CI28</f>
        <v/>
      </c>
      <c r="CL364">
        <f>'Grid_Requirement'!CJ28</f>
        <v/>
      </c>
      <c r="CM364">
        <f>'Grid_Requirement'!CK28</f>
        <v/>
      </c>
      <c r="CN364">
        <f>'Grid_Requirement'!CL28</f>
        <v/>
      </c>
      <c r="CO364">
        <f>'Grid_Requirement'!CM28</f>
        <v/>
      </c>
      <c r="CP364">
        <f>'Grid_Requirement'!CN28</f>
        <v/>
      </c>
      <c r="CQ364">
        <f>'Grid_Requirement'!CO28</f>
        <v/>
      </c>
      <c r="CR364">
        <f>'Grid_Requirement'!CP28</f>
        <v/>
      </c>
      <c r="CS364">
        <f>'Grid_Requirement'!CQ28</f>
        <v/>
      </c>
      <c r="CT364">
        <f>'Grid_Requirement'!CR28</f>
        <v/>
      </c>
      <c r="CU364">
        <f>'Grid_Requirement'!CS28</f>
        <v/>
      </c>
      <c r="CV364">
        <f>'Grid_Requirement'!CT28</f>
        <v/>
      </c>
      <c r="CW364">
        <f>'Grid_Requirement'!CU28</f>
        <v/>
      </c>
      <c r="CX364">
        <f>'Grid_Requirement'!CV28</f>
        <v/>
      </c>
      <c r="CY364">
        <f>'Grid_Requirement'!CW28</f>
        <v/>
      </c>
      <c r="CZ364">
        <f>'Grid_Requirement'!CX28</f>
        <v/>
      </c>
      <c r="DA364">
        <f>'Grid_Requirement'!CY28</f>
        <v/>
      </c>
      <c r="DB364">
        <f>'Grid_Requirement'!CZ28</f>
        <v/>
      </c>
      <c r="DC364">
        <f>'Grid_Requirement'!DA28</f>
        <v/>
      </c>
    </row>
    <row r="365">
      <c r="B365" t="inlineStr">
        <is>
          <t>TTAF在庫(実績,kg)</t>
        </is>
      </c>
      <c r="D365">
        <f>'T_TTAFStock'!B32</f>
        <v/>
      </c>
      <c r="E365">
        <f>'T_TTAFStock'!C32</f>
        <v/>
      </c>
      <c r="F365">
        <f>'T_TTAFStock'!D32</f>
        <v/>
      </c>
      <c r="G365">
        <f>'T_TTAFStock'!E32</f>
        <v/>
      </c>
      <c r="H365">
        <f>'T_TTAFStock'!F32</f>
        <v/>
      </c>
      <c r="I365">
        <f>'T_TTAFStock'!G32</f>
        <v/>
      </c>
      <c r="J365">
        <f>'T_TTAFStock'!H32</f>
        <v/>
      </c>
      <c r="K365">
        <f>'T_TTAFStock'!I32</f>
        <v/>
      </c>
      <c r="L365">
        <f>'T_TTAFStock'!J32</f>
        <v/>
      </c>
      <c r="M365">
        <f>'T_TTAFStock'!K32</f>
        <v/>
      </c>
      <c r="N365">
        <f>'T_TTAFStock'!L32</f>
        <v/>
      </c>
      <c r="O365">
        <f>'T_TTAFStock'!M32</f>
        <v/>
      </c>
      <c r="P365">
        <f>'T_TTAFStock'!N32</f>
        <v/>
      </c>
      <c r="Q365">
        <f>'T_TTAFStock'!O32</f>
        <v/>
      </c>
      <c r="R365">
        <f>'T_TTAFStock'!P32</f>
        <v/>
      </c>
      <c r="S365">
        <f>'T_TTAFStock'!Q32</f>
        <v/>
      </c>
      <c r="T365">
        <f>'T_TTAFStock'!R32</f>
        <v/>
      </c>
      <c r="U365">
        <f>'T_TTAFStock'!S32</f>
        <v/>
      </c>
      <c r="V365">
        <f>'T_TTAFStock'!T32</f>
        <v/>
      </c>
      <c r="W365">
        <f>'T_TTAFStock'!U32</f>
        <v/>
      </c>
      <c r="X365">
        <f>'T_TTAFStock'!V32</f>
        <v/>
      </c>
      <c r="Y365">
        <f>'T_TTAFStock'!W32</f>
        <v/>
      </c>
      <c r="Z365">
        <f>'T_TTAFStock'!X32</f>
        <v/>
      </c>
      <c r="AA365">
        <f>'T_TTAFStock'!Y32</f>
        <v/>
      </c>
      <c r="AB365">
        <f>'T_TTAFStock'!Z32</f>
        <v/>
      </c>
      <c r="AC365">
        <f>'T_TTAFStock'!AA32</f>
        <v/>
      </c>
      <c r="AD365">
        <f>'T_TTAFStock'!AB32</f>
        <v/>
      </c>
      <c r="AE365">
        <f>'T_TTAFStock'!AC32</f>
        <v/>
      </c>
      <c r="AF365">
        <f>'T_TTAFStock'!AD32</f>
        <v/>
      </c>
      <c r="AG365">
        <f>'T_TTAFStock'!AE32</f>
        <v/>
      </c>
      <c r="AH365">
        <f>'T_TTAFStock'!AF32</f>
        <v/>
      </c>
      <c r="AI365">
        <f>'T_TTAFStock'!AG32</f>
        <v/>
      </c>
      <c r="AJ365">
        <f>'T_TTAFStock'!AH32</f>
        <v/>
      </c>
      <c r="AK365">
        <f>'T_TTAFStock'!AI32</f>
        <v/>
      </c>
      <c r="AL365">
        <f>'T_TTAFStock'!AJ32</f>
        <v/>
      </c>
      <c r="AM365">
        <f>'T_TTAFStock'!AK32</f>
        <v/>
      </c>
      <c r="AN365">
        <f>'T_TTAFStock'!AL32</f>
        <v/>
      </c>
      <c r="AO365">
        <f>'T_TTAFStock'!AM32</f>
        <v/>
      </c>
      <c r="AP365">
        <f>'T_TTAFStock'!AN32</f>
        <v/>
      </c>
      <c r="AQ365">
        <f>'T_TTAFStock'!AO32</f>
        <v/>
      </c>
      <c r="AR365">
        <f>'T_TTAFStock'!AP32</f>
        <v/>
      </c>
      <c r="AS365">
        <f>'T_TTAFStock'!AQ32</f>
        <v/>
      </c>
      <c r="AT365">
        <f>'T_TTAFStock'!AR32</f>
        <v/>
      </c>
      <c r="AU365">
        <f>'T_TTAFStock'!AS32</f>
        <v/>
      </c>
      <c r="AV365">
        <f>'T_TTAFStock'!AT32</f>
        <v/>
      </c>
      <c r="AW365">
        <f>'T_TTAFStock'!AU32</f>
        <v/>
      </c>
      <c r="AX365">
        <f>'T_TTAFStock'!AV32</f>
        <v/>
      </c>
      <c r="AY365">
        <f>'T_TTAFStock'!AW32</f>
        <v/>
      </c>
      <c r="AZ365">
        <f>'T_TTAFStock'!AX32</f>
        <v/>
      </c>
      <c r="BA365">
        <f>'T_TTAFStock'!AY32</f>
        <v/>
      </c>
      <c r="BB365">
        <f>'T_TTAFStock'!AZ32</f>
        <v/>
      </c>
      <c r="BC365">
        <f>'T_TTAFStock'!BA32</f>
        <v/>
      </c>
      <c r="BD365">
        <f>'T_TTAFStock'!BB32</f>
        <v/>
      </c>
      <c r="BE365">
        <f>'T_TTAFStock'!BC32</f>
        <v/>
      </c>
      <c r="BF365">
        <f>'T_TTAFStock'!BD32</f>
        <v/>
      </c>
      <c r="BG365">
        <f>'T_TTAFStock'!BE32</f>
        <v/>
      </c>
      <c r="BH365">
        <f>'T_TTAFStock'!BF32</f>
        <v/>
      </c>
      <c r="BI365">
        <f>'T_TTAFStock'!BG32</f>
        <v/>
      </c>
      <c r="BJ365">
        <f>'T_TTAFStock'!BH32</f>
        <v/>
      </c>
      <c r="BK365">
        <f>'T_TTAFStock'!BI32</f>
        <v/>
      </c>
      <c r="BL365">
        <f>'T_TTAFStock'!BJ32</f>
        <v/>
      </c>
      <c r="BM365">
        <f>'T_TTAFStock'!BK32</f>
        <v/>
      </c>
      <c r="BN365">
        <f>'T_TTAFStock'!BL32</f>
        <v/>
      </c>
      <c r="BO365">
        <f>'T_TTAFStock'!BM32</f>
        <v/>
      </c>
      <c r="BP365">
        <f>'T_TTAFStock'!BN32</f>
        <v/>
      </c>
      <c r="BQ365">
        <f>'T_TTAFStock'!BO32</f>
        <v/>
      </c>
      <c r="BR365">
        <f>'T_TTAFStock'!BP32</f>
        <v/>
      </c>
      <c r="BS365">
        <f>'T_TTAFStock'!BQ32</f>
        <v/>
      </c>
      <c r="BT365">
        <f>'T_TTAFStock'!BR32</f>
        <v/>
      </c>
      <c r="BU365">
        <f>'T_TTAFStock'!BS32</f>
        <v/>
      </c>
      <c r="BV365">
        <f>'T_TTAFStock'!BT32</f>
        <v/>
      </c>
      <c r="BW365">
        <f>'T_TTAFStock'!BU32</f>
        <v/>
      </c>
      <c r="BX365">
        <f>'T_TTAFStock'!BV32</f>
        <v/>
      </c>
      <c r="BY365">
        <f>'T_TTAFStock'!BW32</f>
        <v/>
      </c>
      <c r="BZ365">
        <f>'T_TTAFStock'!BX32</f>
        <v/>
      </c>
      <c r="CA365">
        <f>'T_TTAFStock'!BY32</f>
        <v/>
      </c>
      <c r="CB365">
        <f>'T_TTAFStock'!BZ32</f>
        <v/>
      </c>
      <c r="CC365">
        <f>'T_TTAFStock'!CA32</f>
        <v/>
      </c>
      <c r="CD365">
        <f>'T_TTAFStock'!CB32</f>
        <v/>
      </c>
      <c r="CE365">
        <f>'T_TTAFStock'!CC32</f>
        <v/>
      </c>
      <c r="CF365">
        <f>'T_TTAFStock'!CD32</f>
        <v/>
      </c>
      <c r="CG365">
        <f>'T_TTAFStock'!CE32</f>
        <v/>
      </c>
      <c r="CH365">
        <f>'T_TTAFStock'!CF32</f>
        <v/>
      </c>
      <c r="CI365">
        <f>'T_TTAFStock'!CG32</f>
        <v/>
      </c>
      <c r="CJ365">
        <f>'T_TTAFStock'!CH32</f>
        <v/>
      </c>
      <c r="CK365">
        <f>'T_TTAFStock'!CI32</f>
        <v/>
      </c>
      <c r="CL365">
        <f>'T_TTAFStock'!CJ32</f>
        <v/>
      </c>
      <c r="CM365">
        <f>'T_TTAFStock'!CK32</f>
        <v/>
      </c>
      <c r="CN365">
        <f>'T_TTAFStock'!CL32</f>
        <v/>
      </c>
      <c r="CO365">
        <f>'T_TTAFStock'!CM32</f>
        <v/>
      </c>
      <c r="CP365">
        <f>'T_TTAFStock'!CN32</f>
        <v/>
      </c>
      <c r="CQ365">
        <f>'T_TTAFStock'!CO32</f>
        <v/>
      </c>
      <c r="CR365">
        <f>'T_TTAFStock'!CP32</f>
        <v/>
      </c>
      <c r="CS365">
        <f>'T_TTAFStock'!CQ32</f>
        <v/>
      </c>
      <c r="CT365">
        <f>'T_TTAFStock'!CR32</f>
        <v/>
      </c>
      <c r="CU365">
        <f>'T_TTAFStock'!CS32</f>
        <v/>
      </c>
      <c r="CV365">
        <f>'T_TTAFStock'!CT32</f>
        <v/>
      </c>
      <c r="CW365">
        <f>'T_TTAFStock'!CU32</f>
        <v/>
      </c>
      <c r="CX365">
        <f>'T_TTAFStock'!CV32</f>
        <v/>
      </c>
      <c r="CY365">
        <f>'T_TTAFStock'!CW32</f>
        <v/>
      </c>
      <c r="CZ365">
        <f>'T_TTAFStock'!CX32</f>
        <v/>
      </c>
      <c r="DA365">
        <f>'T_TTAFStock'!CY32</f>
        <v/>
      </c>
      <c r="DB365">
        <f>'T_TTAFStock'!CZ32</f>
        <v/>
      </c>
      <c r="DC365">
        <f>'T_TTAFStock'!DA32</f>
        <v/>
      </c>
    </row>
    <row r="366">
      <c r="B366" t="inlineStr">
        <is>
          <t>自社在庫(実績,kg)</t>
        </is>
      </c>
      <c r="D366">
        <f>'T_SelfStock'!B32</f>
        <v/>
      </c>
      <c r="E366">
        <f>'T_SelfStock'!C32</f>
        <v/>
      </c>
      <c r="F366">
        <f>'T_SelfStock'!D32</f>
        <v/>
      </c>
      <c r="G366">
        <f>'T_SelfStock'!E32</f>
        <v/>
      </c>
      <c r="H366">
        <f>'T_SelfStock'!F32</f>
        <v/>
      </c>
      <c r="I366">
        <f>'T_SelfStock'!G32</f>
        <v/>
      </c>
      <c r="J366">
        <f>'T_SelfStock'!H32</f>
        <v/>
      </c>
      <c r="K366">
        <f>'T_SelfStock'!I32</f>
        <v/>
      </c>
      <c r="L366">
        <f>'T_SelfStock'!J32</f>
        <v/>
      </c>
      <c r="M366">
        <f>'T_SelfStock'!K32</f>
        <v/>
      </c>
      <c r="N366">
        <f>'T_SelfStock'!L32</f>
        <v/>
      </c>
      <c r="O366">
        <f>'T_SelfStock'!M32</f>
        <v/>
      </c>
      <c r="P366">
        <f>'T_SelfStock'!N32</f>
        <v/>
      </c>
      <c r="Q366">
        <f>'T_SelfStock'!O32</f>
        <v/>
      </c>
      <c r="R366">
        <f>'T_SelfStock'!P32</f>
        <v/>
      </c>
      <c r="S366">
        <f>'T_SelfStock'!Q32</f>
        <v/>
      </c>
      <c r="T366">
        <f>'T_SelfStock'!R32</f>
        <v/>
      </c>
      <c r="U366">
        <f>'T_SelfStock'!S32</f>
        <v/>
      </c>
      <c r="V366">
        <f>'T_SelfStock'!T32</f>
        <v/>
      </c>
      <c r="W366">
        <f>'T_SelfStock'!U32</f>
        <v/>
      </c>
      <c r="X366">
        <f>'T_SelfStock'!V32</f>
        <v/>
      </c>
      <c r="Y366">
        <f>'T_SelfStock'!W32</f>
        <v/>
      </c>
      <c r="Z366">
        <f>'T_SelfStock'!X32</f>
        <v/>
      </c>
      <c r="AA366">
        <f>'T_SelfStock'!Y32</f>
        <v/>
      </c>
      <c r="AB366">
        <f>'T_SelfStock'!Z32</f>
        <v/>
      </c>
      <c r="AC366">
        <f>'T_SelfStock'!AA32</f>
        <v/>
      </c>
      <c r="AD366">
        <f>'T_SelfStock'!AB32</f>
        <v/>
      </c>
      <c r="AE366">
        <f>'T_SelfStock'!AC32</f>
        <v/>
      </c>
      <c r="AF366">
        <f>'T_SelfStock'!AD32</f>
        <v/>
      </c>
      <c r="AG366">
        <f>'T_SelfStock'!AE32</f>
        <v/>
      </c>
      <c r="AH366">
        <f>'T_SelfStock'!AF32</f>
        <v/>
      </c>
      <c r="AI366">
        <f>'T_SelfStock'!AG32</f>
        <v/>
      </c>
      <c r="AJ366">
        <f>'T_SelfStock'!AH32</f>
        <v/>
      </c>
      <c r="AK366">
        <f>'T_SelfStock'!AI32</f>
        <v/>
      </c>
      <c r="AL366">
        <f>'T_SelfStock'!AJ32</f>
        <v/>
      </c>
      <c r="AM366">
        <f>'T_SelfStock'!AK32</f>
        <v/>
      </c>
      <c r="AN366">
        <f>'T_SelfStock'!AL32</f>
        <v/>
      </c>
      <c r="AO366">
        <f>'T_SelfStock'!AM32</f>
        <v/>
      </c>
      <c r="AP366">
        <f>'T_SelfStock'!AN32</f>
        <v/>
      </c>
      <c r="AQ366">
        <f>'T_SelfStock'!AO32</f>
        <v/>
      </c>
      <c r="AR366">
        <f>'T_SelfStock'!AP32</f>
        <v/>
      </c>
      <c r="AS366">
        <f>'T_SelfStock'!AQ32</f>
        <v/>
      </c>
      <c r="AT366">
        <f>'T_SelfStock'!AR32</f>
        <v/>
      </c>
      <c r="AU366">
        <f>'T_SelfStock'!AS32</f>
        <v/>
      </c>
      <c r="AV366">
        <f>'T_SelfStock'!AT32</f>
        <v/>
      </c>
      <c r="AW366">
        <f>'T_SelfStock'!AU32</f>
        <v/>
      </c>
      <c r="AX366">
        <f>'T_SelfStock'!AV32</f>
        <v/>
      </c>
      <c r="AY366">
        <f>'T_SelfStock'!AW32</f>
        <v/>
      </c>
      <c r="AZ366">
        <f>'T_SelfStock'!AX32</f>
        <v/>
      </c>
      <c r="BA366">
        <f>'T_SelfStock'!AY32</f>
        <v/>
      </c>
      <c r="BB366">
        <f>'T_SelfStock'!AZ32</f>
        <v/>
      </c>
      <c r="BC366">
        <f>'T_SelfStock'!BA32</f>
        <v/>
      </c>
      <c r="BD366">
        <f>'T_SelfStock'!BB32</f>
        <v/>
      </c>
      <c r="BE366">
        <f>'T_SelfStock'!BC32</f>
        <v/>
      </c>
      <c r="BF366">
        <f>'T_SelfStock'!BD32</f>
        <v/>
      </c>
      <c r="BG366">
        <f>'T_SelfStock'!BE32</f>
        <v/>
      </c>
      <c r="BH366">
        <f>'T_SelfStock'!BF32</f>
        <v/>
      </c>
      <c r="BI366">
        <f>'T_SelfStock'!BG32</f>
        <v/>
      </c>
      <c r="BJ366">
        <f>'T_SelfStock'!BH32</f>
        <v/>
      </c>
      <c r="BK366">
        <f>'T_SelfStock'!BI32</f>
        <v/>
      </c>
      <c r="BL366">
        <f>'T_SelfStock'!BJ32</f>
        <v/>
      </c>
      <c r="BM366">
        <f>'T_SelfStock'!BK32</f>
        <v/>
      </c>
      <c r="BN366">
        <f>'T_SelfStock'!BL32</f>
        <v/>
      </c>
      <c r="BO366">
        <f>'T_SelfStock'!BM32</f>
        <v/>
      </c>
      <c r="BP366">
        <f>'T_SelfStock'!BN32</f>
        <v/>
      </c>
      <c r="BQ366">
        <f>'T_SelfStock'!BO32</f>
        <v/>
      </c>
      <c r="BR366">
        <f>'T_SelfStock'!BP32</f>
        <v/>
      </c>
      <c r="BS366">
        <f>'T_SelfStock'!BQ32</f>
        <v/>
      </c>
      <c r="BT366">
        <f>'T_SelfStock'!BR32</f>
        <v/>
      </c>
      <c r="BU366">
        <f>'T_SelfStock'!BS32</f>
        <v/>
      </c>
      <c r="BV366">
        <f>'T_SelfStock'!BT32</f>
        <v/>
      </c>
      <c r="BW366">
        <f>'T_SelfStock'!BU32</f>
        <v/>
      </c>
      <c r="BX366">
        <f>'T_SelfStock'!BV32</f>
        <v/>
      </c>
      <c r="BY366">
        <f>'T_SelfStock'!BW32</f>
        <v/>
      </c>
      <c r="BZ366">
        <f>'T_SelfStock'!BX32</f>
        <v/>
      </c>
      <c r="CA366">
        <f>'T_SelfStock'!BY32</f>
        <v/>
      </c>
      <c r="CB366">
        <f>'T_SelfStock'!BZ32</f>
        <v/>
      </c>
      <c r="CC366">
        <f>'T_SelfStock'!CA32</f>
        <v/>
      </c>
      <c r="CD366">
        <f>'T_SelfStock'!CB32</f>
        <v/>
      </c>
      <c r="CE366">
        <f>'T_SelfStock'!CC32</f>
        <v/>
      </c>
      <c r="CF366">
        <f>'T_SelfStock'!CD32</f>
        <v/>
      </c>
      <c r="CG366">
        <f>'T_SelfStock'!CE32</f>
        <v/>
      </c>
      <c r="CH366">
        <f>'T_SelfStock'!CF32</f>
        <v/>
      </c>
      <c r="CI366">
        <f>'T_SelfStock'!CG32</f>
        <v/>
      </c>
      <c r="CJ366">
        <f>'T_SelfStock'!CH32</f>
        <v/>
      </c>
      <c r="CK366">
        <f>'T_SelfStock'!CI32</f>
        <v/>
      </c>
      <c r="CL366">
        <f>'T_SelfStock'!CJ32</f>
        <v/>
      </c>
      <c r="CM366">
        <f>'T_SelfStock'!CK32</f>
        <v/>
      </c>
      <c r="CN366">
        <f>'T_SelfStock'!CL32</f>
        <v/>
      </c>
      <c r="CO366">
        <f>'T_SelfStock'!CM32</f>
        <v/>
      </c>
      <c r="CP366">
        <f>'T_SelfStock'!CN32</f>
        <v/>
      </c>
      <c r="CQ366">
        <f>'T_SelfStock'!CO32</f>
        <v/>
      </c>
      <c r="CR366">
        <f>'T_SelfStock'!CP32</f>
        <v/>
      </c>
      <c r="CS366">
        <f>'T_SelfStock'!CQ32</f>
        <v/>
      </c>
      <c r="CT366">
        <f>'T_SelfStock'!CR32</f>
        <v/>
      </c>
      <c r="CU366">
        <f>'T_SelfStock'!CS32</f>
        <v/>
      </c>
      <c r="CV366">
        <f>'T_SelfStock'!CT32</f>
        <v/>
      </c>
      <c r="CW366">
        <f>'T_SelfStock'!CU32</f>
        <v/>
      </c>
      <c r="CX366">
        <f>'T_SelfStock'!CV32</f>
        <v/>
      </c>
      <c r="CY366">
        <f>'T_SelfStock'!CW32</f>
        <v/>
      </c>
      <c r="CZ366">
        <f>'T_SelfStock'!CX32</f>
        <v/>
      </c>
      <c r="DA366">
        <f>'T_SelfStock'!CY32</f>
        <v/>
      </c>
      <c r="DB366">
        <f>'T_SelfStock'!CZ32</f>
        <v/>
      </c>
      <c r="DC366">
        <f>'T_SelfStock'!DA32</f>
        <v/>
      </c>
    </row>
    <row r="367">
      <c r="B367" t="inlineStr">
        <is>
          <t>Order(発注予定,kg)</t>
        </is>
      </c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  <c r="AA367" s="23" t="n"/>
      <c r="AB367" s="23" t="n"/>
      <c r="AC367" s="23" t="n"/>
      <c r="AD367" s="23" t="n"/>
      <c r="AE367" s="23" t="n"/>
      <c r="AF367" s="23" t="n"/>
      <c r="AG367" s="23" t="n"/>
      <c r="AH367" s="23" t="n"/>
      <c r="AI367" s="23" t="n"/>
      <c r="AJ367" s="23" t="n"/>
      <c r="AK367" s="23" t="n"/>
      <c r="AL367" s="23" t="n"/>
      <c r="AM367" s="23" t="n"/>
      <c r="AN367" s="23" t="n"/>
      <c r="AO367" s="23" t="n"/>
      <c r="AP367" s="23" t="n"/>
      <c r="AQ367" s="23" t="n"/>
      <c r="AR367" s="23" t="n"/>
      <c r="AS367" s="23" t="n"/>
      <c r="AT367" s="23" t="n"/>
      <c r="AU367" s="23" t="n"/>
      <c r="AV367" s="23" t="n"/>
      <c r="AW367" s="23" t="n"/>
      <c r="AX367" s="23" t="n"/>
      <c r="AY367" s="23" t="n"/>
      <c r="AZ367" s="23" t="n"/>
      <c r="BA367" s="23" t="n"/>
      <c r="BB367" s="23" t="n"/>
      <c r="BC367" s="23" t="n"/>
      <c r="BD367" s="23" t="n"/>
      <c r="BE367" s="23" t="n"/>
      <c r="BF367" s="23" t="n"/>
      <c r="BG367" s="23" t="n"/>
      <c r="BH367" s="23" t="n"/>
      <c r="BI367" s="23" t="n"/>
      <c r="BJ367" s="23" t="n"/>
      <c r="BK367" s="23" t="n"/>
      <c r="BL367" s="23" t="n"/>
      <c r="BM367" s="23" t="n"/>
      <c r="BN367" s="23" t="n"/>
      <c r="BO367" s="23" t="n"/>
      <c r="BP367" s="23" t="n"/>
      <c r="BQ367" s="23" t="n"/>
      <c r="BR367" s="23" t="n"/>
      <c r="BS367" s="23" t="n"/>
      <c r="BT367" s="23" t="n"/>
      <c r="BU367" s="23" t="n"/>
      <c r="BV367" s="23" t="n"/>
      <c r="BW367" s="23" t="n"/>
      <c r="BX367" s="23" t="n"/>
      <c r="BY367" s="23" t="n"/>
      <c r="BZ367" s="23" t="n"/>
      <c r="CA367" s="23" t="n"/>
      <c r="CB367" s="23" t="n"/>
      <c r="CC367" s="23" t="n"/>
      <c r="CD367" s="23" t="n"/>
      <c r="CE367" s="23" t="n"/>
      <c r="CF367" s="23" t="n"/>
      <c r="CG367" s="23" t="n"/>
      <c r="CH367" s="23" t="n"/>
      <c r="CI367" s="23" t="n"/>
      <c r="CJ367" s="23" t="n"/>
      <c r="CK367" s="23" t="n"/>
      <c r="CL367" s="23" t="n"/>
      <c r="CM367" s="23" t="n"/>
      <c r="CN367" s="23" t="n"/>
      <c r="CO367" s="23" t="n"/>
      <c r="CP367" s="23" t="n"/>
      <c r="CQ367" s="23" t="n"/>
      <c r="CR367" s="23" t="n"/>
      <c r="CS367" s="23" t="n"/>
      <c r="CT367" s="23" t="n"/>
      <c r="CU367" s="23" t="n"/>
      <c r="CV367" s="23" t="n"/>
      <c r="CW367" s="23" t="n"/>
      <c r="CX367" s="23" t="n"/>
      <c r="CY367" s="23" t="n"/>
      <c r="CZ367" s="23" t="n"/>
      <c r="DA367" s="23" t="n"/>
      <c r="DB367" s="23" t="n"/>
      <c r="DC367" s="23" t="n"/>
      <c r="DE367" s="12" t="inlineStr">
        <is>
          <t>CHEM-1600</t>
        </is>
      </c>
    </row>
    <row r="368">
      <c r="B368" s="24" t="inlineStr">
        <is>
          <t>PO_No</t>
        </is>
      </c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  <c r="AD368" s="25" t="n"/>
      <c r="AE368" s="25" t="n"/>
      <c r="AF368" s="25" t="n"/>
      <c r="AG368" s="25" t="n"/>
      <c r="AH368" s="25" t="n"/>
      <c r="AI368" s="25" t="n"/>
      <c r="AJ368" s="25" t="n"/>
      <c r="AK368" s="25" t="n"/>
      <c r="AL368" s="25" t="n"/>
      <c r="AM368" s="25" t="n"/>
      <c r="AN368" s="25" t="n"/>
      <c r="AO368" s="25" t="n"/>
      <c r="AP368" s="25" t="n"/>
      <c r="AQ368" s="25" t="n"/>
      <c r="AR368" s="25" t="n"/>
      <c r="AS368" s="25" t="n"/>
      <c r="AT368" s="25" t="n"/>
      <c r="AU368" s="25" t="n"/>
      <c r="AV368" s="25" t="n"/>
      <c r="AW368" s="25" t="n"/>
      <c r="AX368" s="25" t="n"/>
      <c r="AY368" s="25" t="n"/>
      <c r="AZ368" s="25" t="n"/>
      <c r="BA368" s="25" t="n"/>
      <c r="BB368" s="25" t="n"/>
      <c r="BC368" s="25" t="n"/>
      <c r="BD368" s="25" t="n"/>
      <c r="BE368" s="25" t="n"/>
      <c r="BF368" s="25" t="n"/>
      <c r="BG368" s="25" t="n"/>
      <c r="BH368" s="25" t="n"/>
      <c r="BI368" s="25" t="n"/>
      <c r="BJ368" s="25" t="n"/>
      <c r="BK368" s="25" t="n"/>
      <c r="BL368" s="25" t="n"/>
      <c r="BM368" s="25" t="n"/>
      <c r="BN368" s="25" t="n"/>
      <c r="BO368" s="25" t="n"/>
      <c r="BP368" s="25" t="n"/>
      <c r="BQ368" s="25" t="n"/>
      <c r="BR368" s="25" t="n"/>
      <c r="BS368" s="25" t="n"/>
      <c r="BT368" s="25" t="n"/>
      <c r="BU368" s="25" t="n"/>
      <c r="BV368" s="25" t="n"/>
      <c r="BW368" s="25" t="n"/>
      <c r="BX368" s="25" t="n"/>
      <c r="BY368" s="25" t="n"/>
      <c r="BZ368" s="25" t="n"/>
      <c r="CA368" s="25" t="n"/>
      <c r="CB368" s="25" t="n"/>
      <c r="CC368" s="25" t="n"/>
      <c r="CD368" s="25" t="n"/>
      <c r="CE368" s="25" t="n"/>
      <c r="CF368" s="25" t="n"/>
      <c r="CG368" s="25" t="n"/>
      <c r="CH368" s="25" t="n"/>
      <c r="CI368" s="25" t="n"/>
      <c r="CJ368" s="25" t="n"/>
      <c r="CK368" s="25" t="n"/>
      <c r="CL368" s="25" t="n"/>
      <c r="CM368" s="25" t="n"/>
      <c r="CN368" s="25" t="n"/>
      <c r="CO368" s="25" t="n"/>
      <c r="CP368" s="25" t="n"/>
      <c r="CQ368" s="25" t="n"/>
      <c r="CR368" s="25" t="n"/>
      <c r="CS368" s="25" t="n"/>
      <c r="CT368" s="25" t="n"/>
      <c r="CU368" s="25" t="n"/>
      <c r="CV368" s="25" t="n"/>
      <c r="CW368" s="25" t="n"/>
      <c r="CX368" s="25" t="n"/>
      <c r="CY368" s="25" t="n"/>
      <c r="CZ368" s="25" t="n"/>
      <c r="DA368" s="25" t="n"/>
      <c r="DB368" s="25" t="n"/>
      <c r="DC368" s="25" t="n"/>
    </row>
    <row r="369">
      <c r="B369" s="5" t="inlineStr">
        <is>
          <t>合計在庫(週末時点,kg)</t>
        </is>
      </c>
      <c r="D369">
        <f>'Grid_Stock'!B28</f>
        <v/>
      </c>
      <c r="E369">
        <f>'Grid_Stock'!C28</f>
        <v/>
      </c>
      <c r="F369">
        <f>'Grid_Stock'!D28</f>
        <v/>
      </c>
      <c r="G369">
        <f>'Grid_Stock'!E28</f>
        <v/>
      </c>
      <c r="H369">
        <f>'Grid_Stock'!F28</f>
        <v/>
      </c>
      <c r="I369">
        <f>'Grid_Stock'!G28</f>
        <v/>
      </c>
      <c r="J369">
        <f>'Grid_Stock'!H28</f>
        <v/>
      </c>
      <c r="K369">
        <f>'Grid_Stock'!I28</f>
        <v/>
      </c>
      <c r="L369">
        <f>'Grid_Stock'!J28</f>
        <v/>
      </c>
      <c r="M369">
        <f>'Grid_Stock'!K28</f>
        <v/>
      </c>
      <c r="N369">
        <f>'Grid_Stock'!L28</f>
        <v/>
      </c>
      <c r="O369">
        <f>'Grid_Stock'!M28</f>
        <v/>
      </c>
      <c r="P369">
        <f>'Grid_Stock'!N28</f>
        <v/>
      </c>
      <c r="Q369">
        <f>'Grid_Stock'!O28</f>
        <v/>
      </c>
      <c r="R369">
        <f>'Grid_Stock'!P28</f>
        <v/>
      </c>
      <c r="S369">
        <f>'Grid_Stock'!Q28</f>
        <v/>
      </c>
      <c r="T369">
        <f>'Grid_Stock'!R28</f>
        <v/>
      </c>
      <c r="U369">
        <f>'Grid_Stock'!S28</f>
        <v/>
      </c>
      <c r="V369">
        <f>'Grid_Stock'!T28</f>
        <v/>
      </c>
      <c r="W369">
        <f>'Grid_Stock'!U28</f>
        <v/>
      </c>
      <c r="X369">
        <f>'Grid_Stock'!V28</f>
        <v/>
      </c>
      <c r="Y369">
        <f>'Grid_Stock'!W28</f>
        <v/>
      </c>
      <c r="Z369">
        <f>'Grid_Stock'!X28</f>
        <v/>
      </c>
      <c r="AA369">
        <f>'Grid_Stock'!Y28</f>
        <v/>
      </c>
      <c r="AB369">
        <f>'Grid_Stock'!Z28</f>
        <v/>
      </c>
      <c r="AC369">
        <f>'Grid_Stock'!AA28</f>
        <v/>
      </c>
      <c r="AD369">
        <f>'Grid_Stock'!AB28</f>
        <v/>
      </c>
      <c r="AE369">
        <f>'Grid_Stock'!AC28</f>
        <v/>
      </c>
      <c r="AF369">
        <f>'Grid_Stock'!AD28</f>
        <v/>
      </c>
      <c r="AG369">
        <f>'Grid_Stock'!AE28</f>
        <v/>
      </c>
      <c r="AH369">
        <f>'Grid_Stock'!AF28</f>
        <v/>
      </c>
      <c r="AI369">
        <f>'Grid_Stock'!AG28</f>
        <v/>
      </c>
      <c r="AJ369">
        <f>'Grid_Stock'!AH28</f>
        <v/>
      </c>
      <c r="AK369">
        <f>'Grid_Stock'!AI28</f>
        <v/>
      </c>
      <c r="AL369">
        <f>'Grid_Stock'!AJ28</f>
        <v/>
      </c>
      <c r="AM369">
        <f>'Grid_Stock'!AK28</f>
        <v/>
      </c>
      <c r="AN369">
        <f>'Grid_Stock'!AL28</f>
        <v/>
      </c>
      <c r="AO369">
        <f>'Grid_Stock'!AM28</f>
        <v/>
      </c>
      <c r="AP369">
        <f>'Grid_Stock'!AN28</f>
        <v/>
      </c>
      <c r="AQ369">
        <f>'Grid_Stock'!AO28</f>
        <v/>
      </c>
      <c r="AR369">
        <f>'Grid_Stock'!AP28</f>
        <v/>
      </c>
      <c r="AS369">
        <f>'Grid_Stock'!AQ28</f>
        <v/>
      </c>
      <c r="AT369">
        <f>'Grid_Stock'!AR28</f>
        <v/>
      </c>
      <c r="AU369">
        <f>'Grid_Stock'!AS28</f>
        <v/>
      </c>
      <c r="AV369">
        <f>'Grid_Stock'!AT28</f>
        <v/>
      </c>
      <c r="AW369">
        <f>'Grid_Stock'!AU28</f>
        <v/>
      </c>
      <c r="AX369">
        <f>'Grid_Stock'!AV28</f>
        <v/>
      </c>
      <c r="AY369">
        <f>'Grid_Stock'!AW28</f>
        <v/>
      </c>
      <c r="AZ369">
        <f>'Grid_Stock'!AX28</f>
        <v/>
      </c>
      <c r="BA369">
        <f>'Grid_Stock'!AY28</f>
        <v/>
      </c>
      <c r="BB369">
        <f>'Grid_Stock'!AZ28</f>
        <v/>
      </c>
      <c r="BC369">
        <f>'Grid_Stock'!BA28</f>
        <v/>
      </c>
      <c r="BD369">
        <f>'Grid_Stock'!BB28</f>
        <v/>
      </c>
      <c r="BE369">
        <f>'Grid_Stock'!BC28</f>
        <v/>
      </c>
      <c r="BF369">
        <f>'Grid_Stock'!BD28</f>
        <v/>
      </c>
      <c r="BG369">
        <f>'Grid_Stock'!BE28</f>
        <v/>
      </c>
      <c r="BH369">
        <f>'Grid_Stock'!BF28</f>
        <v/>
      </c>
      <c r="BI369">
        <f>'Grid_Stock'!BG28</f>
        <v/>
      </c>
      <c r="BJ369">
        <f>'Grid_Stock'!BH28</f>
        <v/>
      </c>
      <c r="BK369">
        <f>'Grid_Stock'!BI28</f>
        <v/>
      </c>
      <c r="BL369">
        <f>'Grid_Stock'!BJ28</f>
        <v/>
      </c>
      <c r="BM369">
        <f>'Grid_Stock'!BK28</f>
        <v/>
      </c>
      <c r="BN369">
        <f>'Grid_Stock'!BL28</f>
        <v/>
      </c>
      <c r="BO369">
        <f>'Grid_Stock'!BM28</f>
        <v/>
      </c>
      <c r="BP369">
        <f>'Grid_Stock'!BN28</f>
        <v/>
      </c>
      <c r="BQ369">
        <f>'Grid_Stock'!BO28</f>
        <v/>
      </c>
      <c r="BR369">
        <f>'Grid_Stock'!BP28</f>
        <v/>
      </c>
      <c r="BS369">
        <f>'Grid_Stock'!BQ28</f>
        <v/>
      </c>
      <c r="BT369">
        <f>'Grid_Stock'!BR28</f>
        <v/>
      </c>
      <c r="BU369">
        <f>'Grid_Stock'!BS28</f>
        <v/>
      </c>
      <c r="BV369">
        <f>'Grid_Stock'!BT28</f>
        <v/>
      </c>
      <c r="BW369">
        <f>'Grid_Stock'!BU28</f>
        <v/>
      </c>
      <c r="BX369">
        <f>'Grid_Stock'!BV28</f>
        <v/>
      </c>
      <c r="BY369">
        <f>'Grid_Stock'!BW28</f>
        <v/>
      </c>
      <c r="BZ369">
        <f>'Grid_Stock'!BX28</f>
        <v/>
      </c>
      <c r="CA369">
        <f>'Grid_Stock'!BY28</f>
        <v/>
      </c>
      <c r="CB369">
        <f>'Grid_Stock'!BZ28</f>
        <v/>
      </c>
      <c r="CC369">
        <f>'Grid_Stock'!CA28</f>
        <v/>
      </c>
      <c r="CD369">
        <f>'Grid_Stock'!CB28</f>
        <v/>
      </c>
      <c r="CE369">
        <f>'Grid_Stock'!CC28</f>
        <v/>
      </c>
      <c r="CF369">
        <f>'Grid_Stock'!CD28</f>
        <v/>
      </c>
      <c r="CG369">
        <f>'Grid_Stock'!CE28</f>
        <v/>
      </c>
      <c r="CH369">
        <f>'Grid_Stock'!CF28</f>
        <v/>
      </c>
      <c r="CI369">
        <f>'Grid_Stock'!CG28</f>
        <v/>
      </c>
      <c r="CJ369">
        <f>'Grid_Stock'!CH28</f>
        <v/>
      </c>
      <c r="CK369">
        <f>'Grid_Stock'!CI28</f>
        <v/>
      </c>
      <c r="CL369">
        <f>'Grid_Stock'!CJ28</f>
        <v/>
      </c>
      <c r="CM369">
        <f>'Grid_Stock'!CK28</f>
        <v/>
      </c>
      <c r="CN369">
        <f>'Grid_Stock'!CL28</f>
        <v/>
      </c>
      <c r="CO369">
        <f>'Grid_Stock'!CM28</f>
        <v/>
      </c>
      <c r="CP369">
        <f>'Grid_Stock'!CN28</f>
        <v/>
      </c>
      <c r="CQ369">
        <f>'Grid_Stock'!CO28</f>
        <v/>
      </c>
      <c r="CR369">
        <f>'Grid_Stock'!CP28</f>
        <v/>
      </c>
      <c r="CS369">
        <f>'Grid_Stock'!CQ28</f>
        <v/>
      </c>
      <c r="CT369">
        <f>'Grid_Stock'!CR28</f>
        <v/>
      </c>
      <c r="CU369">
        <f>'Grid_Stock'!CS28</f>
        <v/>
      </c>
      <c r="CV369">
        <f>'Grid_Stock'!CT28</f>
        <v/>
      </c>
      <c r="CW369">
        <f>'Grid_Stock'!CU28</f>
        <v/>
      </c>
      <c r="CX369">
        <f>'Grid_Stock'!CV28</f>
        <v/>
      </c>
      <c r="CY369">
        <f>'Grid_Stock'!CW28</f>
        <v/>
      </c>
      <c r="CZ369">
        <f>'Grid_Stock'!CX28</f>
        <v/>
      </c>
      <c r="DA369">
        <f>'Grid_Stock'!CY28</f>
        <v/>
      </c>
      <c r="DB369">
        <f>'Grid_Stock'!CZ28</f>
        <v/>
      </c>
      <c r="DC369">
        <f>'Grid_Stock'!DA28</f>
        <v/>
      </c>
    </row>
    <row r="370">
      <c r="B370" s="26" t="inlineStr">
        <is>
          <t>（発注の目安はDashboardの基準在庫[下限/上限]と色分けを参照）</t>
        </is>
      </c>
    </row>
    <row r="372">
      <c r="A372" s="21" t="inlineStr">
        <is>
          <t>CHEM-1120</t>
        </is>
      </c>
      <c r="B372" s="21" t="inlineStr">
        <is>
          <t>Catapal D</t>
        </is>
      </c>
      <c r="C372" s="22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  <c r="AA372" s="21" t="n"/>
      <c r="AB372" s="21" t="n"/>
      <c r="AC372" s="21" t="n"/>
      <c r="AD372" s="21" t="n"/>
      <c r="AE372" s="21" t="n"/>
      <c r="AF372" s="21" t="n"/>
      <c r="AG372" s="21" t="n"/>
      <c r="AH372" s="21" t="n"/>
      <c r="AI372" s="21" t="n"/>
      <c r="AJ372" s="21" t="n"/>
      <c r="AK372" s="21" t="n"/>
      <c r="AL372" s="21" t="n"/>
      <c r="AM372" s="21" t="n"/>
      <c r="AN372" s="21" t="n"/>
      <c r="AO372" s="21" t="n"/>
      <c r="AP372" s="21" t="n"/>
      <c r="AQ372" s="21" t="n"/>
      <c r="AR372" s="21" t="n"/>
      <c r="AS372" s="21" t="n"/>
      <c r="AT372" s="21" t="n"/>
      <c r="AU372" s="21" t="n"/>
      <c r="AV372" s="21" t="n"/>
      <c r="AW372" s="21" t="n"/>
      <c r="AX372" s="21" t="n"/>
      <c r="AY372" s="21" t="n"/>
      <c r="AZ372" s="21" t="n"/>
      <c r="BA372" s="21" t="n"/>
      <c r="BB372" s="21" t="n"/>
      <c r="BC372" s="21" t="n"/>
      <c r="BD372" s="21" t="n"/>
      <c r="BE372" s="21" t="n"/>
      <c r="BF372" s="21" t="n"/>
      <c r="BG372" s="21" t="n"/>
      <c r="BH372" s="21" t="n"/>
      <c r="BI372" s="21" t="n"/>
      <c r="BJ372" s="21" t="n"/>
      <c r="BK372" s="21" t="n"/>
      <c r="BL372" s="21" t="n"/>
      <c r="BM372" s="21" t="n"/>
      <c r="BN372" s="21" t="n"/>
      <c r="BO372" s="21" t="n"/>
      <c r="BP372" s="21" t="n"/>
      <c r="BQ372" s="21" t="n"/>
      <c r="BR372" s="21" t="n"/>
      <c r="BS372" s="21" t="n"/>
      <c r="BT372" s="21" t="n"/>
      <c r="BU372" s="21" t="n"/>
      <c r="BV372" s="21" t="n"/>
      <c r="BW372" s="21" t="n"/>
      <c r="BX372" s="21" t="n"/>
      <c r="BY372" s="21" t="n"/>
      <c r="BZ372" s="21" t="n"/>
      <c r="CA372" s="21" t="n"/>
      <c r="CB372" s="21" t="n"/>
      <c r="CC372" s="21" t="n"/>
      <c r="CD372" s="21" t="n"/>
      <c r="CE372" s="21" t="n"/>
      <c r="CF372" s="21" t="n"/>
      <c r="CG372" s="21" t="n"/>
      <c r="CH372" s="21" t="n"/>
      <c r="CI372" s="21" t="n"/>
      <c r="CJ372" s="21" t="n"/>
      <c r="CK372" s="21" t="n"/>
      <c r="CL372" s="21" t="n"/>
      <c r="CM372" s="21" t="n"/>
      <c r="CN372" s="21" t="n"/>
      <c r="CO372" s="21" t="n"/>
      <c r="CP372" s="21" t="n"/>
      <c r="CQ372" s="21" t="n"/>
      <c r="CR372" s="21" t="n"/>
      <c r="CS372" s="21" t="n"/>
      <c r="CT372" s="21" t="n"/>
      <c r="CU372" s="21" t="n"/>
      <c r="CV372" s="21" t="n"/>
      <c r="CW372" s="21" t="n"/>
      <c r="CX372" s="21" t="n"/>
      <c r="CY372" s="21" t="n"/>
      <c r="CZ372" s="21" t="n"/>
      <c r="DA372" s="21" t="n"/>
      <c r="DB372" s="21" t="n"/>
      <c r="DC372" s="21" t="n"/>
    </row>
    <row r="373">
      <c r="B373" t="inlineStr">
        <is>
          <t>TSP-049</t>
        </is>
      </c>
      <c r="C373" t="inlineStr">
        <is>
          <t>No. of batches</t>
        </is>
      </c>
      <c r="D373">
        <f>IFERROR(INDEX(PP_Grid[#Data],$DD373,2),0)</f>
        <v/>
      </c>
      <c r="E373">
        <f>IFERROR(INDEX(PP_Grid[#Data],$DD373,3),0)</f>
        <v/>
      </c>
      <c r="F373">
        <f>IFERROR(INDEX(PP_Grid[#Data],$DD373,4),0)</f>
        <v/>
      </c>
      <c r="G373">
        <f>IFERROR(INDEX(PP_Grid[#Data],$DD373,5),0)</f>
        <v/>
      </c>
      <c r="H373">
        <f>IFERROR(INDEX(PP_Grid[#Data],$DD373,6),0)</f>
        <v/>
      </c>
      <c r="I373">
        <f>IFERROR(INDEX(PP_Grid[#Data],$DD373,7),0)</f>
        <v/>
      </c>
      <c r="J373">
        <f>IFERROR(INDEX(PP_Grid[#Data],$DD373,8),0)</f>
        <v/>
      </c>
      <c r="K373">
        <f>IFERROR(INDEX(PP_Grid[#Data],$DD373,9),0)</f>
        <v/>
      </c>
      <c r="L373">
        <f>IFERROR(INDEX(PP_Grid[#Data],$DD373,10),0)</f>
        <v/>
      </c>
      <c r="M373">
        <f>IFERROR(INDEX(PP_Grid[#Data],$DD373,11),0)</f>
        <v/>
      </c>
      <c r="N373">
        <f>IFERROR(INDEX(PP_Grid[#Data],$DD373,12),0)</f>
        <v/>
      </c>
      <c r="O373">
        <f>IFERROR(INDEX(PP_Grid[#Data],$DD373,13),0)</f>
        <v/>
      </c>
      <c r="P373">
        <f>IFERROR(INDEX(PP_Grid[#Data],$DD373,14),0)</f>
        <v/>
      </c>
      <c r="Q373">
        <f>IFERROR(INDEX(PP_Grid[#Data],$DD373,15),0)</f>
        <v/>
      </c>
      <c r="R373">
        <f>IFERROR(INDEX(PP_Grid[#Data],$DD373,16),0)</f>
        <v/>
      </c>
      <c r="S373">
        <f>IFERROR(INDEX(PP_Grid[#Data],$DD373,17),0)</f>
        <v/>
      </c>
      <c r="T373">
        <f>IFERROR(INDEX(PP_Grid[#Data],$DD373,18),0)</f>
        <v/>
      </c>
      <c r="U373">
        <f>IFERROR(INDEX(PP_Grid[#Data],$DD373,19),0)</f>
        <v/>
      </c>
      <c r="V373">
        <f>IFERROR(INDEX(PP_Grid[#Data],$DD373,20),0)</f>
        <v/>
      </c>
      <c r="W373">
        <f>IFERROR(INDEX(PP_Grid[#Data],$DD373,21),0)</f>
        <v/>
      </c>
      <c r="X373">
        <f>IFERROR(INDEX(PP_Grid[#Data],$DD373,22),0)</f>
        <v/>
      </c>
      <c r="Y373">
        <f>IFERROR(INDEX(PP_Grid[#Data],$DD373,23),0)</f>
        <v/>
      </c>
      <c r="Z373">
        <f>IFERROR(INDEX(PP_Grid[#Data],$DD373,24),0)</f>
        <v/>
      </c>
      <c r="AA373">
        <f>IFERROR(INDEX(PP_Grid[#Data],$DD373,25),0)</f>
        <v/>
      </c>
      <c r="AB373">
        <f>IFERROR(INDEX(PP_Grid[#Data],$DD373,26),0)</f>
        <v/>
      </c>
      <c r="AC373">
        <f>IFERROR(INDEX(PP_Grid[#Data],$DD373,27),0)</f>
        <v/>
      </c>
      <c r="AD373">
        <f>IFERROR(INDEX(PP_Grid[#Data],$DD373,28),0)</f>
        <v/>
      </c>
      <c r="AE373">
        <f>IFERROR(INDEX(PP_Grid[#Data],$DD373,29),0)</f>
        <v/>
      </c>
      <c r="AF373">
        <f>IFERROR(INDEX(PP_Grid[#Data],$DD373,30),0)</f>
        <v/>
      </c>
      <c r="AG373">
        <f>IFERROR(INDEX(PP_Grid[#Data],$DD373,31),0)</f>
        <v/>
      </c>
      <c r="AH373">
        <f>IFERROR(INDEX(PP_Grid[#Data],$DD373,32),0)</f>
        <v/>
      </c>
      <c r="AI373">
        <f>IFERROR(INDEX(PP_Grid[#Data],$DD373,33),0)</f>
        <v/>
      </c>
      <c r="AJ373">
        <f>IFERROR(INDEX(PP_Grid[#Data],$DD373,34),0)</f>
        <v/>
      </c>
      <c r="AK373">
        <f>IFERROR(INDEX(PP_Grid[#Data],$DD373,35),0)</f>
        <v/>
      </c>
      <c r="AL373">
        <f>IFERROR(INDEX(PP_Grid[#Data],$DD373,36),0)</f>
        <v/>
      </c>
      <c r="AM373">
        <f>IFERROR(INDEX(PP_Grid[#Data],$DD373,37),0)</f>
        <v/>
      </c>
      <c r="AN373">
        <f>IFERROR(INDEX(PP_Grid[#Data],$DD373,38),0)</f>
        <v/>
      </c>
      <c r="AO373">
        <f>IFERROR(INDEX(PP_Grid[#Data],$DD373,39),0)</f>
        <v/>
      </c>
      <c r="AP373">
        <f>IFERROR(INDEX(PP_Grid[#Data],$DD373,40),0)</f>
        <v/>
      </c>
      <c r="AQ373">
        <f>IFERROR(INDEX(PP_Grid[#Data],$DD373,41),0)</f>
        <v/>
      </c>
      <c r="AR373">
        <f>IFERROR(INDEX(PP_Grid[#Data],$DD373,42),0)</f>
        <v/>
      </c>
      <c r="AS373">
        <f>IFERROR(INDEX(PP_Grid[#Data],$DD373,43),0)</f>
        <v/>
      </c>
      <c r="AT373">
        <f>IFERROR(INDEX(PP_Grid[#Data],$DD373,44),0)</f>
        <v/>
      </c>
      <c r="AU373">
        <f>IFERROR(INDEX(PP_Grid[#Data],$DD373,45),0)</f>
        <v/>
      </c>
      <c r="AV373">
        <f>IFERROR(INDEX(PP_Grid[#Data],$DD373,46),0)</f>
        <v/>
      </c>
      <c r="AW373">
        <f>IFERROR(INDEX(PP_Grid[#Data],$DD373,47),0)</f>
        <v/>
      </c>
      <c r="AX373">
        <f>IFERROR(INDEX(PP_Grid[#Data],$DD373,48),0)</f>
        <v/>
      </c>
      <c r="AY373">
        <f>IFERROR(INDEX(PP_Grid[#Data],$DD373,49),0)</f>
        <v/>
      </c>
      <c r="AZ373">
        <f>IFERROR(INDEX(PP_Grid[#Data],$DD373,50),0)</f>
        <v/>
      </c>
      <c r="BA373">
        <f>IFERROR(INDEX(PP_Grid[#Data],$DD373,51),0)</f>
        <v/>
      </c>
      <c r="BB373">
        <f>IFERROR(INDEX(PP_Grid[#Data],$DD373,52),0)</f>
        <v/>
      </c>
      <c r="BC373">
        <f>IFERROR(INDEX(PP_Grid[#Data],$DD373,53),0)</f>
        <v/>
      </c>
      <c r="BD373">
        <f>IFERROR(INDEX(PP_Grid[#Data],$DD373,54),0)</f>
        <v/>
      </c>
      <c r="BE373">
        <f>IFERROR(INDEX(PP_Grid[#Data],$DD373,55),0)</f>
        <v/>
      </c>
      <c r="BF373">
        <f>IFERROR(INDEX(PP_Grid[#Data],$DD373,56),0)</f>
        <v/>
      </c>
      <c r="BG373">
        <f>IFERROR(INDEX(PP_Grid[#Data],$DD373,57),0)</f>
        <v/>
      </c>
      <c r="BH373">
        <f>IFERROR(INDEX(PP_Grid[#Data],$DD373,58),0)</f>
        <v/>
      </c>
      <c r="BI373">
        <f>IFERROR(INDEX(PP_Grid[#Data],$DD373,59),0)</f>
        <v/>
      </c>
      <c r="BJ373">
        <f>IFERROR(INDEX(PP_Grid[#Data],$DD373,60),0)</f>
        <v/>
      </c>
      <c r="BK373">
        <f>IFERROR(INDEX(PP_Grid[#Data],$DD373,61),0)</f>
        <v/>
      </c>
      <c r="BL373">
        <f>IFERROR(INDEX(PP_Grid[#Data],$DD373,62),0)</f>
        <v/>
      </c>
      <c r="BM373">
        <f>IFERROR(INDEX(PP_Grid[#Data],$DD373,63),0)</f>
        <v/>
      </c>
      <c r="BN373">
        <f>IFERROR(INDEX(PP_Grid[#Data],$DD373,64),0)</f>
        <v/>
      </c>
      <c r="BO373">
        <f>IFERROR(INDEX(PP_Grid[#Data],$DD373,65),0)</f>
        <v/>
      </c>
      <c r="BP373">
        <f>IFERROR(INDEX(PP_Grid[#Data],$DD373,66),0)</f>
        <v/>
      </c>
      <c r="BQ373">
        <f>IFERROR(INDEX(PP_Grid[#Data],$DD373,67),0)</f>
        <v/>
      </c>
      <c r="BR373">
        <f>IFERROR(INDEX(PP_Grid[#Data],$DD373,68),0)</f>
        <v/>
      </c>
      <c r="BS373">
        <f>IFERROR(INDEX(PP_Grid[#Data],$DD373,69),0)</f>
        <v/>
      </c>
      <c r="BT373">
        <f>IFERROR(INDEX(PP_Grid[#Data],$DD373,70),0)</f>
        <v/>
      </c>
      <c r="BU373">
        <f>IFERROR(INDEX(PP_Grid[#Data],$DD373,71),0)</f>
        <v/>
      </c>
      <c r="BV373">
        <f>IFERROR(INDEX(PP_Grid[#Data],$DD373,72),0)</f>
        <v/>
      </c>
      <c r="BW373">
        <f>IFERROR(INDEX(PP_Grid[#Data],$DD373,73),0)</f>
        <v/>
      </c>
      <c r="BX373">
        <f>IFERROR(INDEX(PP_Grid[#Data],$DD373,74),0)</f>
        <v/>
      </c>
      <c r="BY373">
        <f>IFERROR(INDEX(PP_Grid[#Data],$DD373,75),0)</f>
        <v/>
      </c>
      <c r="BZ373">
        <f>IFERROR(INDEX(PP_Grid[#Data],$DD373,76),0)</f>
        <v/>
      </c>
      <c r="CA373">
        <f>IFERROR(INDEX(PP_Grid[#Data],$DD373,77),0)</f>
        <v/>
      </c>
      <c r="CB373">
        <f>IFERROR(INDEX(PP_Grid[#Data],$DD373,78),0)</f>
        <v/>
      </c>
      <c r="CC373">
        <f>IFERROR(INDEX(PP_Grid[#Data],$DD373,79),0)</f>
        <v/>
      </c>
      <c r="CD373">
        <f>IFERROR(INDEX(PP_Grid[#Data],$DD373,80),0)</f>
        <v/>
      </c>
      <c r="CE373">
        <f>IFERROR(INDEX(PP_Grid[#Data],$DD373,81),0)</f>
        <v/>
      </c>
      <c r="CF373">
        <f>IFERROR(INDEX(PP_Grid[#Data],$DD373,82),0)</f>
        <v/>
      </c>
      <c r="CG373">
        <f>IFERROR(INDEX(PP_Grid[#Data],$DD373,83),0)</f>
        <v/>
      </c>
      <c r="CH373">
        <f>IFERROR(INDEX(PP_Grid[#Data],$DD373,84),0)</f>
        <v/>
      </c>
      <c r="CI373">
        <f>IFERROR(INDEX(PP_Grid[#Data],$DD373,85),0)</f>
        <v/>
      </c>
      <c r="CJ373">
        <f>IFERROR(INDEX(PP_Grid[#Data],$DD373,86),0)</f>
        <v/>
      </c>
      <c r="CK373">
        <f>IFERROR(INDEX(PP_Grid[#Data],$DD373,87),0)</f>
        <v/>
      </c>
      <c r="CL373">
        <f>IFERROR(INDEX(PP_Grid[#Data],$DD373,88),0)</f>
        <v/>
      </c>
      <c r="CM373">
        <f>IFERROR(INDEX(PP_Grid[#Data],$DD373,89),0)</f>
        <v/>
      </c>
      <c r="CN373">
        <f>IFERROR(INDEX(PP_Grid[#Data],$DD373,90),0)</f>
        <v/>
      </c>
      <c r="CO373">
        <f>IFERROR(INDEX(PP_Grid[#Data],$DD373,91),0)</f>
        <v/>
      </c>
      <c r="CP373">
        <f>IFERROR(INDEX(PP_Grid[#Data],$DD373,92),0)</f>
        <v/>
      </c>
      <c r="CQ373">
        <f>IFERROR(INDEX(PP_Grid[#Data],$DD373,93),0)</f>
        <v/>
      </c>
      <c r="CR373">
        <f>IFERROR(INDEX(PP_Grid[#Data],$DD373,94),0)</f>
        <v/>
      </c>
      <c r="CS373">
        <f>IFERROR(INDEX(PP_Grid[#Data],$DD373,95),0)</f>
        <v/>
      </c>
      <c r="CT373">
        <f>IFERROR(INDEX(PP_Grid[#Data],$DD373,96),0)</f>
        <v/>
      </c>
      <c r="CU373">
        <f>IFERROR(INDEX(PP_Grid[#Data],$DD373,97),0)</f>
        <v/>
      </c>
      <c r="CV373">
        <f>IFERROR(INDEX(PP_Grid[#Data],$DD373,98),0)</f>
        <v/>
      </c>
      <c r="CW373">
        <f>IFERROR(INDEX(PP_Grid[#Data],$DD373,99),0)</f>
        <v/>
      </c>
      <c r="CX373">
        <f>IFERROR(INDEX(PP_Grid[#Data],$DD373,100),0)</f>
        <v/>
      </c>
      <c r="CY373">
        <f>IFERROR(INDEX(PP_Grid[#Data],$DD373,101),0)</f>
        <v/>
      </c>
      <c r="CZ373">
        <f>IFERROR(INDEX(PP_Grid[#Data],$DD373,102),0)</f>
        <v/>
      </c>
      <c r="DA373">
        <f>IFERROR(INDEX(PP_Grid[#Data],$DD373,103),0)</f>
        <v/>
      </c>
      <c r="DB373">
        <f>IFERROR(INDEX(PP_Grid[#Data],$DD373,104),0)</f>
        <v/>
      </c>
      <c r="DC373">
        <f>IFERROR(INDEX(PP_Grid[#Data],$DD373,105),0)</f>
        <v/>
      </c>
      <c r="DD373" s="12">
        <f>IFERROR(MATCH($B373,PP_Grid[Intermediate],0),99999)</f>
        <v/>
      </c>
    </row>
    <row r="374">
      <c r="B374" t="inlineStr">
        <is>
          <t>使用量(kg)</t>
        </is>
      </c>
      <c r="C374">
        <f>SUMIFS(M_BOM[RM_Qty_Per_Batch],M_BOM[Intermediate],$B373,M_BOM[Part Name],$A372)</f>
        <v/>
      </c>
      <c r="D374">
        <f>$C374*D373</f>
        <v/>
      </c>
      <c r="E374">
        <f>$C374*E373</f>
        <v/>
      </c>
      <c r="F374">
        <f>$C374*F373</f>
        <v/>
      </c>
      <c r="G374">
        <f>$C374*G373</f>
        <v/>
      </c>
      <c r="H374">
        <f>$C374*H373</f>
        <v/>
      </c>
      <c r="I374">
        <f>$C374*I373</f>
        <v/>
      </c>
      <c r="J374">
        <f>$C374*J373</f>
        <v/>
      </c>
      <c r="K374">
        <f>$C374*K373</f>
        <v/>
      </c>
      <c r="L374">
        <f>$C374*L373</f>
        <v/>
      </c>
      <c r="M374">
        <f>$C374*M373</f>
        <v/>
      </c>
      <c r="N374">
        <f>$C374*N373</f>
        <v/>
      </c>
      <c r="O374">
        <f>$C374*O373</f>
        <v/>
      </c>
      <c r="P374">
        <f>$C374*P373</f>
        <v/>
      </c>
      <c r="Q374">
        <f>$C374*Q373</f>
        <v/>
      </c>
      <c r="R374">
        <f>$C374*R373</f>
        <v/>
      </c>
      <c r="S374">
        <f>$C374*S373</f>
        <v/>
      </c>
      <c r="T374">
        <f>$C374*T373</f>
        <v/>
      </c>
      <c r="U374">
        <f>$C374*U373</f>
        <v/>
      </c>
      <c r="V374">
        <f>$C374*V373</f>
        <v/>
      </c>
      <c r="W374">
        <f>$C374*W373</f>
        <v/>
      </c>
      <c r="X374">
        <f>$C374*X373</f>
        <v/>
      </c>
      <c r="Y374">
        <f>$C374*Y373</f>
        <v/>
      </c>
      <c r="Z374">
        <f>$C374*Z373</f>
        <v/>
      </c>
      <c r="AA374">
        <f>$C374*AA373</f>
        <v/>
      </c>
      <c r="AB374">
        <f>$C374*AB373</f>
        <v/>
      </c>
      <c r="AC374">
        <f>$C374*AC373</f>
        <v/>
      </c>
      <c r="AD374">
        <f>$C374*AD373</f>
        <v/>
      </c>
      <c r="AE374">
        <f>$C374*AE373</f>
        <v/>
      </c>
      <c r="AF374">
        <f>$C374*AF373</f>
        <v/>
      </c>
      <c r="AG374">
        <f>$C374*AG373</f>
        <v/>
      </c>
      <c r="AH374">
        <f>$C374*AH373</f>
        <v/>
      </c>
      <c r="AI374">
        <f>$C374*AI373</f>
        <v/>
      </c>
      <c r="AJ374">
        <f>$C374*AJ373</f>
        <v/>
      </c>
      <c r="AK374">
        <f>$C374*AK373</f>
        <v/>
      </c>
      <c r="AL374">
        <f>$C374*AL373</f>
        <v/>
      </c>
      <c r="AM374">
        <f>$C374*AM373</f>
        <v/>
      </c>
      <c r="AN374">
        <f>$C374*AN373</f>
        <v/>
      </c>
      <c r="AO374">
        <f>$C374*AO373</f>
        <v/>
      </c>
      <c r="AP374">
        <f>$C374*AP373</f>
        <v/>
      </c>
      <c r="AQ374">
        <f>$C374*AQ373</f>
        <v/>
      </c>
      <c r="AR374">
        <f>$C374*AR373</f>
        <v/>
      </c>
      <c r="AS374">
        <f>$C374*AS373</f>
        <v/>
      </c>
      <c r="AT374">
        <f>$C374*AT373</f>
        <v/>
      </c>
      <c r="AU374">
        <f>$C374*AU373</f>
        <v/>
      </c>
      <c r="AV374">
        <f>$C374*AV373</f>
        <v/>
      </c>
      <c r="AW374">
        <f>$C374*AW373</f>
        <v/>
      </c>
      <c r="AX374">
        <f>$C374*AX373</f>
        <v/>
      </c>
      <c r="AY374">
        <f>$C374*AY373</f>
        <v/>
      </c>
      <c r="AZ374">
        <f>$C374*AZ373</f>
        <v/>
      </c>
      <c r="BA374">
        <f>$C374*BA373</f>
        <v/>
      </c>
      <c r="BB374">
        <f>$C374*BB373</f>
        <v/>
      </c>
      <c r="BC374">
        <f>$C374*BC373</f>
        <v/>
      </c>
      <c r="BD374">
        <f>$C374*BD373</f>
        <v/>
      </c>
      <c r="BE374">
        <f>$C374*BE373</f>
        <v/>
      </c>
      <c r="BF374">
        <f>$C374*BF373</f>
        <v/>
      </c>
      <c r="BG374">
        <f>$C374*BG373</f>
        <v/>
      </c>
      <c r="BH374">
        <f>$C374*BH373</f>
        <v/>
      </c>
      <c r="BI374">
        <f>$C374*BI373</f>
        <v/>
      </c>
      <c r="BJ374">
        <f>$C374*BJ373</f>
        <v/>
      </c>
      <c r="BK374">
        <f>$C374*BK373</f>
        <v/>
      </c>
      <c r="BL374">
        <f>$C374*BL373</f>
        <v/>
      </c>
      <c r="BM374">
        <f>$C374*BM373</f>
        <v/>
      </c>
      <c r="BN374">
        <f>$C374*BN373</f>
        <v/>
      </c>
      <c r="BO374">
        <f>$C374*BO373</f>
        <v/>
      </c>
      <c r="BP374">
        <f>$C374*BP373</f>
        <v/>
      </c>
      <c r="BQ374">
        <f>$C374*BQ373</f>
        <v/>
      </c>
      <c r="BR374">
        <f>$C374*BR373</f>
        <v/>
      </c>
      <c r="BS374">
        <f>$C374*BS373</f>
        <v/>
      </c>
      <c r="BT374">
        <f>$C374*BT373</f>
        <v/>
      </c>
      <c r="BU374">
        <f>$C374*BU373</f>
        <v/>
      </c>
      <c r="BV374">
        <f>$C374*BV373</f>
        <v/>
      </c>
      <c r="BW374">
        <f>$C374*BW373</f>
        <v/>
      </c>
      <c r="BX374">
        <f>$C374*BX373</f>
        <v/>
      </c>
      <c r="BY374">
        <f>$C374*BY373</f>
        <v/>
      </c>
      <c r="BZ374">
        <f>$C374*BZ373</f>
        <v/>
      </c>
      <c r="CA374">
        <f>$C374*CA373</f>
        <v/>
      </c>
      <c r="CB374">
        <f>$C374*CB373</f>
        <v/>
      </c>
      <c r="CC374">
        <f>$C374*CC373</f>
        <v/>
      </c>
      <c r="CD374">
        <f>$C374*CD373</f>
        <v/>
      </c>
      <c r="CE374">
        <f>$C374*CE373</f>
        <v/>
      </c>
      <c r="CF374">
        <f>$C374*CF373</f>
        <v/>
      </c>
      <c r="CG374">
        <f>$C374*CG373</f>
        <v/>
      </c>
      <c r="CH374">
        <f>$C374*CH373</f>
        <v/>
      </c>
      <c r="CI374">
        <f>$C374*CI373</f>
        <v/>
      </c>
      <c r="CJ374">
        <f>$C374*CJ373</f>
        <v/>
      </c>
      <c r="CK374">
        <f>$C374*CK373</f>
        <v/>
      </c>
      <c r="CL374">
        <f>$C374*CL373</f>
        <v/>
      </c>
      <c r="CM374">
        <f>$C374*CM373</f>
        <v/>
      </c>
      <c r="CN374">
        <f>$C374*CN373</f>
        <v/>
      </c>
      <c r="CO374">
        <f>$C374*CO373</f>
        <v/>
      </c>
      <c r="CP374">
        <f>$C374*CP373</f>
        <v/>
      </c>
      <c r="CQ374">
        <f>$C374*CQ373</f>
        <v/>
      </c>
      <c r="CR374">
        <f>$C374*CR373</f>
        <v/>
      </c>
      <c r="CS374">
        <f>$C374*CS373</f>
        <v/>
      </c>
      <c r="CT374">
        <f>$C374*CT373</f>
        <v/>
      </c>
      <c r="CU374">
        <f>$C374*CU373</f>
        <v/>
      </c>
      <c r="CV374">
        <f>$C374*CV373</f>
        <v/>
      </c>
      <c r="CW374">
        <f>$C374*CW373</f>
        <v/>
      </c>
      <c r="CX374">
        <f>$C374*CX373</f>
        <v/>
      </c>
      <c r="CY374">
        <f>$C374*CY373</f>
        <v/>
      </c>
      <c r="CZ374">
        <f>$C374*CZ373</f>
        <v/>
      </c>
      <c r="DA374">
        <f>$C374*DA373</f>
        <v/>
      </c>
      <c r="DB374">
        <f>$C374*DB373</f>
        <v/>
      </c>
      <c r="DC374">
        <f>$C374*DC373</f>
        <v/>
      </c>
    </row>
    <row r="375">
      <c r="B375" t="inlineStr">
        <is>
          <t>TSP-067</t>
        </is>
      </c>
      <c r="C375" t="inlineStr">
        <is>
          <t>No. of batches</t>
        </is>
      </c>
      <c r="D375">
        <f>IFERROR(INDEX(PP_Grid[#Data],$DD375,2),0)</f>
        <v/>
      </c>
      <c r="E375">
        <f>IFERROR(INDEX(PP_Grid[#Data],$DD375,3),0)</f>
        <v/>
      </c>
      <c r="F375">
        <f>IFERROR(INDEX(PP_Grid[#Data],$DD375,4),0)</f>
        <v/>
      </c>
      <c r="G375">
        <f>IFERROR(INDEX(PP_Grid[#Data],$DD375,5),0)</f>
        <v/>
      </c>
      <c r="H375">
        <f>IFERROR(INDEX(PP_Grid[#Data],$DD375,6),0)</f>
        <v/>
      </c>
      <c r="I375">
        <f>IFERROR(INDEX(PP_Grid[#Data],$DD375,7),0)</f>
        <v/>
      </c>
      <c r="J375">
        <f>IFERROR(INDEX(PP_Grid[#Data],$DD375,8),0)</f>
        <v/>
      </c>
      <c r="K375">
        <f>IFERROR(INDEX(PP_Grid[#Data],$DD375,9),0)</f>
        <v/>
      </c>
      <c r="L375">
        <f>IFERROR(INDEX(PP_Grid[#Data],$DD375,10),0)</f>
        <v/>
      </c>
      <c r="M375">
        <f>IFERROR(INDEX(PP_Grid[#Data],$DD375,11),0)</f>
        <v/>
      </c>
      <c r="N375">
        <f>IFERROR(INDEX(PP_Grid[#Data],$DD375,12),0)</f>
        <v/>
      </c>
      <c r="O375">
        <f>IFERROR(INDEX(PP_Grid[#Data],$DD375,13),0)</f>
        <v/>
      </c>
      <c r="P375">
        <f>IFERROR(INDEX(PP_Grid[#Data],$DD375,14),0)</f>
        <v/>
      </c>
      <c r="Q375">
        <f>IFERROR(INDEX(PP_Grid[#Data],$DD375,15),0)</f>
        <v/>
      </c>
      <c r="R375">
        <f>IFERROR(INDEX(PP_Grid[#Data],$DD375,16),0)</f>
        <v/>
      </c>
      <c r="S375">
        <f>IFERROR(INDEX(PP_Grid[#Data],$DD375,17),0)</f>
        <v/>
      </c>
      <c r="T375">
        <f>IFERROR(INDEX(PP_Grid[#Data],$DD375,18),0)</f>
        <v/>
      </c>
      <c r="U375">
        <f>IFERROR(INDEX(PP_Grid[#Data],$DD375,19),0)</f>
        <v/>
      </c>
      <c r="V375">
        <f>IFERROR(INDEX(PP_Grid[#Data],$DD375,20),0)</f>
        <v/>
      </c>
      <c r="W375">
        <f>IFERROR(INDEX(PP_Grid[#Data],$DD375,21),0)</f>
        <v/>
      </c>
      <c r="X375">
        <f>IFERROR(INDEX(PP_Grid[#Data],$DD375,22),0)</f>
        <v/>
      </c>
      <c r="Y375">
        <f>IFERROR(INDEX(PP_Grid[#Data],$DD375,23),0)</f>
        <v/>
      </c>
      <c r="Z375">
        <f>IFERROR(INDEX(PP_Grid[#Data],$DD375,24),0)</f>
        <v/>
      </c>
      <c r="AA375">
        <f>IFERROR(INDEX(PP_Grid[#Data],$DD375,25),0)</f>
        <v/>
      </c>
      <c r="AB375">
        <f>IFERROR(INDEX(PP_Grid[#Data],$DD375,26),0)</f>
        <v/>
      </c>
      <c r="AC375">
        <f>IFERROR(INDEX(PP_Grid[#Data],$DD375,27),0)</f>
        <v/>
      </c>
      <c r="AD375">
        <f>IFERROR(INDEX(PP_Grid[#Data],$DD375,28),0)</f>
        <v/>
      </c>
      <c r="AE375">
        <f>IFERROR(INDEX(PP_Grid[#Data],$DD375,29),0)</f>
        <v/>
      </c>
      <c r="AF375">
        <f>IFERROR(INDEX(PP_Grid[#Data],$DD375,30),0)</f>
        <v/>
      </c>
      <c r="AG375">
        <f>IFERROR(INDEX(PP_Grid[#Data],$DD375,31),0)</f>
        <v/>
      </c>
      <c r="AH375">
        <f>IFERROR(INDEX(PP_Grid[#Data],$DD375,32),0)</f>
        <v/>
      </c>
      <c r="AI375">
        <f>IFERROR(INDEX(PP_Grid[#Data],$DD375,33),0)</f>
        <v/>
      </c>
      <c r="AJ375">
        <f>IFERROR(INDEX(PP_Grid[#Data],$DD375,34),0)</f>
        <v/>
      </c>
      <c r="AK375">
        <f>IFERROR(INDEX(PP_Grid[#Data],$DD375,35),0)</f>
        <v/>
      </c>
      <c r="AL375">
        <f>IFERROR(INDEX(PP_Grid[#Data],$DD375,36),0)</f>
        <v/>
      </c>
      <c r="AM375">
        <f>IFERROR(INDEX(PP_Grid[#Data],$DD375,37),0)</f>
        <v/>
      </c>
      <c r="AN375">
        <f>IFERROR(INDEX(PP_Grid[#Data],$DD375,38),0)</f>
        <v/>
      </c>
      <c r="AO375">
        <f>IFERROR(INDEX(PP_Grid[#Data],$DD375,39),0)</f>
        <v/>
      </c>
      <c r="AP375">
        <f>IFERROR(INDEX(PP_Grid[#Data],$DD375,40),0)</f>
        <v/>
      </c>
      <c r="AQ375">
        <f>IFERROR(INDEX(PP_Grid[#Data],$DD375,41),0)</f>
        <v/>
      </c>
      <c r="AR375">
        <f>IFERROR(INDEX(PP_Grid[#Data],$DD375,42),0)</f>
        <v/>
      </c>
      <c r="AS375">
        <f>IFERROR(INDEX(PP_Grid[#Data],$DD375,43),0)</f>
        <v/>
      </c>
      <c r="AT375">
        <f>IFERROR(INDEX(PP_Grid[#Data],$DD375,44),0)</f>
        <v/>
      </c>
      <c r="AU375">
        <f>IFERROR(INDEX(PP_Grid[#Data],$DD375,45),0)</f>
        <v/>
      </c>
      <c r="AV375">
        <f>IFERROR(INDEX(PP_Grid[#Data],$DD375,46),0)</f>
        <v/>
      </c>
      <c r="AW375">
        <f>IFERROR(INDEX(PP_Grid[#Data],$DD375,47),0)</f>
        <v/>
      </c>
      <c r="AX375">
        <f>IFERROR(INDEX(PP_Grid[#Data],$DD375,48),0)</f>
        <v/>
      </c>
      <c r="AY375">
        <f>IFERROR(INDEX(PP_Grid[#Data],$DD375,49),0)</f>
        <v/>
      </c>
      <c r="AZ375">
        <f>IFERROR(INDEX(PP_Grid[#Data],$DD375,50),0)</f>
        <v/>
      </c>
      <c r="BA375">
        <f>IFERROR(INDEX(PP_Grid[#Data],$DD375,51),0)</f>
        <v/>
      </c>
      <c r="BB375">
        <f>IFERROR(INDEX(PP_Grid[#Data],$DD375,52),0)</f>
        <v/>
      </c>
      <c r="BC375">
        <f>IFERROR(INDEX(PP_Grid[#Data],$DD375,53),0)</f>
        <v/>
      </c>
      <c r="BD375">
        <f>IFERROR(INDEX(PP_Grid[#Data],$DD375,54),0)</f>
        <v/>
      </c>
      <c r="BE375">
        <f>IFERROR(INDEX(PP_Grid[#Data],$DD375,55),0)</f>
        <v/>
      </c>
      <c r="BF375">
        <f>IFERROR(INDEX(PP_Grid[#Data],$DD375,56),0)</f>
        <v/>
      </c>
      <c r="BG375">
        <f>IFERROR(INDEX(PP_Grid[#Data],$DD375,57),0)</f>
        <v/>
      </c>
      <c r="BH375">
        <f>IFERROR(INDEX(PP_Grid[#Data],$DD375,58),0)</f>
        <v/>
      </c>
      <c r="BI375">
        <f>IFERROR(INDEX(PP_Grid[#Data],$DD375,59),0)</f>
        <v/>
      </c>
      <c r="BJ375">
        <f>IFERROR(INDEX(PP_Grid[#Data],$DD375,60),0)</f>
        <v/>
      </c>
      <c r="BK375">
        <f>IFERROR(INDEX(PP_Grid[#Data],$DD375,61),0)</f>
        <v/>
      </c>
      <c r="BL375">
        <f>IFERROR(INDEX(PP_Grid[#Data],$DD375,62),0)</f>
        <v/>
      </c>
      <c r="BM375">
        <f>IFERROR(INDEX(PP_Grid[#Data],$DD375,63),0)</f>
        <v/>
      </c>
      <c r="BN375">
        <f>IFERROR(INDEX(PP_Grid[#Data],$DD375,64),0)</f>
        <v/>
      </c>
      <c r="BO375">
        <f>IFERROR(INDEX(PP_Grid[#Data],$DD375,65),0)</f>
        <v/>
      </c>
      <c r="BP375">
        <f>IFERROR(INDEX(PP_Grid[#Data],$DD375,66),0)</f>
        <v/>
      </c>
      <c r="BQ375">
        <f>IFERROR(INDEX(PP_Grid[#Data],$DD375,67),0)</f>
        <v/>
      </c>
      <c r="BR375">
        <f>IFERROR(INDEX(PP_Grid[#Data],$DD375,68),0)</f>
        <v/>
      </c>
      <c r="BS375">
        <f>IFERROR(INDEX(PP_Grid[#Data],$DD375,69),0)</f>
        <v/>
      </c>
      <c r="BT375">
        <f>IFERROR(INDEX(PP_Grid[#Data],$DD375,70),0)</f>
        <v/>
      </c>
      <c r="BU375">
        <f>IFERROR(INDEX(PP_Grid[#Data],$DD375,71),0)</f>
        <v/>
      </c>
      <c r="BV375">
        <f>IFERROR(INDEX(PP_Grid[#Data],$DD375,72),0)</f>
        <v/>
      </c>
      <c r="BW375">
        <f>IFERROR(INDEX(PP_Grid[#Data],$DD375,73),0)</f>
        <v/>
      </c>
      <c r="BX375">
        <f>IFERROR(INDEX(PP_Grid[#Data],$DD375,74),0)</f>
        <v/>
      </c>
      <c r="BY375">
        <f>IFERROR(INDEX(PP_Grid[#Data],$DD375,75),0)</f>
        <v/>
      </c>
      <c r="BZ375">
        <f>IFERROR(INDEX(PP_Grid[#Data],$DD375,76),0)</f>
        <v/>
      </c>
      <c r="CA375">
        <f>IFERROR(INDEX(PP_Grid[#Data],$DD375,77),0)</f>
        <v/>
      </c>
      <c r="CB375">
        <f>IFERROR(INDEX(PP_Grid[#Data],$DD375,78),0)</f>
        <v/>
      </c>
      <c r="CC375">
        <f>IFERROR(INDEX(PP_Grid[#Data],$DD375,79),0)</f>
        <v/>
      </c>
      <c r="CD375">
        <f>IFERROR(INDEX(PP_Grid[#Data],$DD375,80),0)</f>
        <v/>
      </c>
      <c r="CE375">
        <f>IFERROR(INDEX(PP_Grid[#Data],$DD375,81),0)</f>
        <v/>
      </c>
      <c r="CF375">
        <f>IFERROR(INDEX(PP_Grid[#Data],$DD375,82),0)</f>
        <v/>
      </c>
      <c r="CG375">
        <f>IFERROR(INDEX(PP_Grid[#Data],$DD375,83),0)</f>
        <v/>
      </c>
      <c r="CH375">
        <f>IFERROR(INDEX(PP_Grid[#Data],$DD375,84),0)</f>
        <v/>
      </c>
      <c r="CI375">
        <f>IFERROR(INDEX(PP_Grid[#Data],$DD375,85),0)</f>
        <v/>
      </c>
      <c r="CJ375">
        <f>IFERROR(INDEX(PP_Grid[#Data],$DD375,86),0)</f>
        <v/>
      </c>
      <c r="CK375">
        <f>IFERROR(INDEX(PP_Grid[#Data],$DD375,87),0)</f>
        <v/>
      </c>
      <c r="CL375">
        <f>IFERROR(INDEX(PP_Grid[#Data],$DD375,88),0)</f>
        <v/>
      </c>
      <c r="CM375">
        <f>IFERROR(INDEX(PP_Grid[#Data],$DD375,89),0)</f>
        <v/>
      </c>
      <c r="CN375">
        <f>IFERROR(INDEX(PP_Grid[#Data],$DD375,90),0)</f>
        <v/>
      </c>
      <c r="CO375">
        <f>IFERROR(INDEX(PP_Grid[#Data],$DD375,91),0)</f>
        <v/>
      </c>
      <c r="CP375">
        <f>IFERROR(INDEX(PP_Grid[#Data],$DD375,92),0)</f>
        <v/>
      </c>
      <c r="CQ375">
        <f>IFERROR(INDEX(PP_Grid[#Data],$DD375,93),0)</f>
        <v/>
      </c>
      <c r="CR375">
        <f>IFERROR(INDEX(PP_Grid[#Data],$DD375,94),0)</f>
        <v/>
      </c>
      <c r="CS375">
        <f>IFERROR(INDEX(PP_Grid[#Data],$DD375,95),0)</f>
        <v/>
      </c>
      <c r="CT375">
        <f>IFERROR(INDEX(PP_Grid[#Data],$DD375,96),0)</f>
        <v/>
      </c>
      <c r="CU375">
        <f>IFERROR(INDEX(PP_Grid[#Data],$DD375,97),0)</f>
        <v/>
      </c>
      <c r="CV375">
        <f>IFERROR(INDEX(PP_Grid[#Data],$DD375,98),0)</f>
        <v/>
      </c>
      <c r="CW375">
        <f>IFERROR(INDEX(PP_Grid[#Data],$DD375,99),0)</f>
        <v/>
      </c>
      <c r="CX375">
        <f>IFERROR(INDEX(PP_Grid[#Data],$DD375,100),0)</f>
        <v/>
      </c>
      <c r="CY375">
        <f>IFERROR(INDEX(PP_Grid[#Data],$DD375,101),0)</f>
        <v/>
      </c>
      <c r="CZ375">
        <f>IFERROR(INDEX(PP_Grid[#Data],$DD375,102),0)</f>
        <v/>
      </c>
      <c r="DA375">
        <f>IFERROR(INDEX(PP_Grid[#Data],$DD375,103),0)</f>
        <v/>
      </c>
      <c r="DB375">
        <f>IFERROR(INDEX(PP_Grid[#Data],$DD375,104),0)</f>
        <v/>
      </c>
      <c r="DC375">
        <f>IFERROR(INDEX(PP_Grid[#Data],$DD375,105),0)</f>
        <v/>
      </c>
      <c r="DD375" s="12">
        <f>IFERROR(MATCH($B375,PP_Grid[Intermediate],0),99999)</f>
        <v/>
      </c>
    </row>
    <row r="376">
      <c r="B376" t="inlineStr">
        <is>
          <t>使用量(kg)</t>
        </is>
      </c>
      <c r="C376">
        <f>SUMIFS(M_BOM[RM_Qty_Per_Batch],M_BOM[Intermediate],$B375,M_BOM[Part Name],$A372)</f>
        <v/>
      </c>
      <c r="D376">
        <f>$C376*D375</f>
        <v/>
      </c>
      <c r="E376">
        <f>$C376*E375</f>
        <v/>
      </c>
      <c r="F376">
        <f>$C376*F375</f>
        <v/>
      </c>
      <c r="G376">
        <f>$C376*G375</f>
        <v/>
      </c>
      <c r="H376">
        <f>$C376*H375</f>
        <v/>
      </c>
      <c r="I376">
        <f>$C376*I375</f>
        <v/>
      </c>
      <c r="J376">
        <f>$C376*J375</f>
        <v/>
      </c>
      <c r="K376">
        <f>$C376*K375</f>
        <v/>
      </c>
      <c r="L376">
        <f>$C376*L375</f>
        <v/>
      </c>
      <c r="M376">
        <f>$C376*M375</f>
        <v/>
      </c>
      <c r="N376">
        <f>$C376*N375</f>
        <v/>
      </c>
      <c r="O376">
        <f>$C376*O375</f>
        <v/>
      </c>
      <c r="P376">
        <f>$C376*P375</f>
        <v/>
      </c>
      <c r="Q376">
        <f>$C376*Q375</f>
        <v/>
      </c>
      <c r="R376">
        <f>$C376*R375</f>
        <v/>
      </c>
      <c r="S376">
        <f>$C376*S375</f>
        <v/>
      </c>
      <c r="T376">
        <f>$C376*T375</f>
        <v/>
      </c>
      <c r="U376">
        <f>$C376*U375</f>
        <v/>
      </c>
      <c r="V376">
        <f>$C376*V375</f>
        <v/>
      </c>
      <c r="W376">
        <f>$C376*W375</f>
        <v/>
      </c>
      <c r="X376">
        <f>$C376*X375</f>
        <v/>
      </c>
      <c r="Y376">
        <f>$C376*Y375</f>
        <v/>
      </c>
      <c r="Z376">
        <f>$C376*Z375</f>
        <v/>
      </c>
      <c r="AA376">
        <f>$C376*AA375</f>
        <v/>
      </c>
      <c r="AB376">
        <f>$C376*AB375</f>
        <v/>
      </c>
      <c r="AC376">
        <f>$C376*AC375</f>
        <v/>
      </c>
      <c r="AD376">
        <f>$C376*AD375</f>
        <v/>
      </c>
      <c r="AE376">
        <f>$C376*AE375</f>
        <v/>
      </c>
      <c r="AF376">
        <f>$C376*AF375</f>
        <v/>
      </c>
      <c r="AG376">
        <f>$C376*AG375</f>
        <v/>
      </c>
      <c r="AH376">
        <f>$C376*AH375</f>
        <v/>
      </c>
      <c r="AI376">
        <f>$C376*AI375</f>
        <v/>
      </c>
      <c r="AJ376">
        <f>$C376*AJ375</f>
        <v/>
      </c>
      <c r="AK376">
        <f>$C376*AK375</f>
        <v/>
      </c>
      <c r="AL376">
        <f>$C376*AL375</f>
        <v/>
      </c>
      <c r="AM376">
        <f>$C376*AM375</f>
        <v/>
      </c>
      <c r="AN376">
        <f>$C376*AN375</f>
        <v/>
      </c>
      <c r="AO376">
        <f>$C376*AO375</f>
        <v/>
      </c>
      <c r="AP376">
        <f>$C376*AP375</f>
        <v/>
      </c>
      <c r="AQ376">
        <f>$C376*AQ375</f>
        <v/>
      </c>
      <c r="AR376">
        <f>$C376*AR375</f>
        <v/>
      </c>
      <c r="AS376">
        <f>$C376*AS375</f>
        <v/>
      </c>
      <c r="AT376">
        <f>$C376*AT375</f>
        <v/>
      </c>
      <c r="AU376">
        <f>$C376*AU375</f>
        <v/>
      </c>
      <c r="AV376">
        <f>$C376*AV375</f>
        <v/>
      </c>
      <c r="AW376">
        <f>$C376*AW375</f>
        <v/>
      </c>
      <c r="AX376">
        <f>$C376*AX375</f>
        <v/>
      </c>
      <c r="AY376">
        <f>$C376*AY375</f>
        <v/>
      </c>
      <c r="AZ376">
        <f>$C376*AZ375</f>
        <v/>
      </c>
      <c r="BA376">
        <f>$C376*BA375</f>
        <v/>
      </c>
      <c r="BB376">
        <f>$C376*BB375</f>
        <v/>
      </c>
      <c r="BC376">
        <f>$C376*BC375</f>
        <v/>
      </c>
      <c r="BD376">
        <f>$C376*BD375</f>
        <v/>
      </c>
      <c r="BE376">
        <f>$C376*BE375</f>
        <v/>
      </c>
      <c r="BF376">
        <f>$C376*BF375</f>
        <v/>
      </c>
      <c r="BG376">
        <f>$C376*BG375</f>
        <v/>
      </c>
      <c r="BH376">
        <f>$C376*BH375</f>
        <v/>
      </c>
      <c r="BI376">
        <f>$C376*BI375</f>
        <v/>
      </c>
      <c r="BJ376">
        <f>$C376*BJ375</f>
        <v/>
      </c>
      <c r="BK376">
        <f>$C376*BK375</f>
        <v/>
      </c>
      <c r="BL376">
        <f>$C376*BL375</f>
        <v/>
      </c>
      <c r="BM376">
        <f>$C376*BM375</f>
        <v/>
      </c>
      <c r="BN376">
        <f>$C376*BN375</f>
        <v/>
      </c>
      <c r="BO376">
        <f>$C376*BO375</f>
        <v/>
      </c>
      <c r="BP376">
        <f>$C376*BP375</f>
        <v/>
      </c>
      <c r="BQ376">
        <f>$C376*BQ375</f>
        <v/>
      </c>
      <c r="BR376">
        <f>$C376*BR375</f>
        <v/>
      </c>
      <c r="BS376">
        <f>$C376*BS375</f>
        <v/>
      </c>
      <c r="BT376">
        <f>$C376*BT375</f>
        <v/>
      </c>
      <c r="BU376">
        <f>$C376*BU375</f>
        <v/>
      </c>
      <c r="BV376">
        <f>$C376*BV375</f>
        <v/>
      </c>
      <c r="BW376">
        <f>$C376*BW375</f>
        <v/>
      </c>
      <c r="BX376">
        <f>$C376*BX375</f>
        <v/>
      </c>
      <c r="BY376">
        <f>$C376*BY375</f>
        <v/>
      </c>
      <c r="BZ376">
        <f>$C376*BZ375</f>
        <v/>
      </c>
      <c r="CA376">
        <f>$C376*CA375</f>
        <v/>
      </c>
      <c r="CB376">
        <f>$C376*CB375</f>
        <v/>
      </c>
      <c r="CC376">
        <f>$C376*CC375</f>
        <v/>
      </c>
      <c r="CD376">
        <f>$C376*CD375</f>
        <v/>
      </c>
      <c r="CE376">
        <f>$C376*CE375</f>
        <v/>
      </c>
      <c r="CF376">
        <f>$C376*CF375</f>
        <v/>
      </c>
      <c r="CG376">
        <f>$C376*CG375</f>
        <v/>
      </c>
      <c r="CH376">
        <f>$C376*CH375</f>
        <v/>
      </c>
      <c r="CI376">
        <f>$C376*CI375</f>
        <v/>
      </c>
      <c r="CJ376">
        <f>$C376*CJ375</f>
        <v/>
      </c>
      <c r="CK376">
        <f>$C376*CK375</f>
        <v/>
      </c>
      <c r="CL376">
        <f>$C376*CL375</f>
        <v/>
      </c>
      <c r="CM376">
        <f>$C376*CM375</f>
        <v/>
      </c>
      <c r="CN376">
        <f>$C376*CN375</f>
        <v/>
      </c>
      <c r="CO376">
        <f>$C376*CO375</f>
        <v/>
      </c>
      <c r="CP376">
        <f>$C376*CP375</f>
        <v/>
      </c>
      <c r="CQ376">
        <f>$C376*CQ375</f>
        <v/>
      </c>
      <c r="CR376">
        <f>$C376*CR375</f>
        <v/>
      </c>
      <c r="CS376">
        <f>$C376*CS375</f>
        <v/>
      </c>
      <c r="CT376">
        <f>$C376*CT375</f>
        <v/>
      </c>
      <c r="CU376">
        <f>$C376*CU375</f>
        <v/>
      </c>
      <c r="CV376">
        <f>$C376*CV375</f>
        <v/>
      </c>
      <c r="CW376">
        <f>$C376*CW375</f>
        <v/>
      </c>
      <c r="CX376">
        <f>$C376*CX375</f>
        <v/>
      </c>
      <c r="CY376">
        <f>$C376*CY375</f>
        <v/>
      </c>
      <c r="CZ376">
        <f>$C376*CZ375</f>
        <v/>
      </c>
      <c r="DA376">
        <f>$C376*DA375</f>
        <v/>
      </c>
      <c r="DB376">
        <f>$C376*DB375</f>
        <v/>
      </c>
      <c r="DC376">
        <f>$C376*DC375</f>
        <v/>
      </c>
    </row>
    <row r="377">
      <c r="B377" t="inlineStr">
        <is>
          <t>TSP-069</t>
        </is>
      </c>
      <c r="C377" t="inlineStr">
        <is>
          <t>No. of batches</t>
        </is>
      </c>
      <c r="D377">
        <f>IFERROR(INDEX(PP_Grid[#Data],$DD377,2),0)</f>
        <v/>
      </c>
      <c r="E377">
        <f>IFERROR(INDEX(PP_Grid[#Data],$DD377,3),0)</f>
        <v/>
      </c>
      <c r="F377">
        <f>IFERROR(INDEX(PP_Grid[#Data],$DD377,4),0)</f>
        <v/>
      </c>
      <c r="G377">
        <f>IFERROR(INDEX(PP_Grid[#Data],$DD377,5),0)</f>
        <v/>
      </c>
      <c r="H377">
        <f>IFERROR(INDEX(PP_Grid[#Data],$DD377,6),0)</f>
        <v/>
      </c>
      <c r="I377">
        <f>IFERROR(INDEX(PP_Grid[#Data],$DD377,7),0)</f>
        <v/>
      </c>
      <c r="J377">
        <f>IFERROR(INDEX(PP_Grid[#Data],$DD377,8),0)</f>
        <v/>
      </c>
      <c r="K377">
        <f>IFERROR(INDEX(PP_Grid[#Data],$DD377,9),0)</f>
        <v/>
      </c>
      <c r="L377">
        <f>IFERROR(INDEX(PP_Grid[#Data],$DD377,10),0)</f>
        <v/>
      </c>
      <c r="M377">
        <f>IFERROR(INDEX(PP_Grid[#Data],$DD377,11),0)</f>
        <v/>
      </c>
      <c r="N377">
        <f>IFERROR(INDEX(PP_Grid[#Data],$DD377,12),0)</f>
        <v/>
      </c>
      <c r="O377">
        <f>IFERROR(INDEX(PP_Grid[#Data],$DD377,13),0)</f>
        <v/>
      </c>
      <c r="P377">
        <f>IFERROR(INDEX(PP_Grid[#Data],$DD377,14),0)</f>
        <v/>
      </c>
      <c r="Q377">
        <f>IFERROR(INDEX(PP_Grid[#Data],$DD377,15),0)</f>
        <v/>
      </c>
      <c r="R377">
        <f>IFERROR(INDEX(PP_Grid[#Data],$DD377,16),0)</f>
        <v/>
      </c>
      <c r="S377">
        <f>IFERROR(INDEX(PP_Grid[#Data],$DD377,17),0)</f>
        <v/>
      </c>
      <c r="T377">
        <f>IFERROR(INDEX(PP_Grid[#Data],$DD377,18),0)</f>
        <v/>
      </c>
      <c r="U377">
        <f>IFERROR(INDEX(PP_Grid[#Data],$DD377,19),0)</f>
        <v/>
      </c>
      <c r="V377">
        <f>IFERROR(INDEX(PP_Grid[#Data],$DD377,20),0)</f>
        <v/>
      </c>
      <c r="W377">
        <f>IFERROR(INDEX(PP_Grid[#Data],$DD377,21),0)</f>
        <v/>
      </c>
      <c r="X377">
        <f>IFERROR(INDEX(PP_Grid[#Data],$DD377,22),0)</f>
        <v/>
      </c>
      <c r="Y377">
        <f>IFERROR(INDEX(PP_Grid[#Data],$DD377,23),0)</f>
        <v/>
      </c>
      <c r="Z377">
        <f>IFERROR(INDEX(PP_Grid[#Data],$DD377,24),0)</f>
        <v/>
      </c>
      <c r="AA377">
        <f>IFERROR(INDEX(PP_Grid[#Data],$DD377,25),0)</f>
        <v/>
      </c>
      <c r="AB377">
        <f>IFERROR(INDEX(PP_Grid[#Data],$DD377,26),0)</f>
        <v/>
      </c>
      <c r="AC377">
        <f>IFERROR(INDEX(PP_Grid[#Data],$DD377,27),0)</f>
        <v/>
      </c>
      <c r="AD377">
        <f>IFERROR(INDEX(PP_Grid[#Data],$DD377,28),0)</f>
        <v/>
      </c>
      <c r="AE377">
        <f>IFERROR(INDEX(PP_Grid[#Data],$DD377,29),0)</f>
        <v/>
      </c>
      <c r="AF377">
        <f>IFERROR(INDEX(PP_Grid[#Data],$DD377,30),0)</f>
        <v/>
      </c>
      <c r="AG377">
        <f>IFERROR(INDEX(PP_Grid[#Data],$DD377,31),0)</f>
        <v/>
      </c>
      <c r="AH377">
        <f>IFERROR(INDEX(PP_Grid[#Data],$DD377,32),0)</f>
        <v/>
      </c>
      <c r="AI377">
        <f>IFERROR(INDEX(PP_Grid[#Data],$DD377,33),0)</f>
        <v/>
      </c>
      <c r="AJ377">
        <f>IFERROR(INDEX(PP_Grid[#Data],$DD377,34),0)</f>
        <v/>
      </c>
      <c r="AK377">
        <f>IFERROR(INDEX(PP_Grid[#Data],$DD377,35),0)</f>
        <v/>
      </c>
      <c r="AL377">
        <f>IFERROR(INDEX(PP_Grid[#Data],$DD377,36),0)</f>
        <v/>
      </c>
      <c r="AM377">
        <f>IFERROR(INDEX(PP_Grid[#Data],$DD377,37),0)</f>
        <v/>
      </c>
      <c r="AN377">
        <f>IFERROR(INDEX(PP_Grid[#Data],$DD377,38),0)</f>
        <v/>
      </c>
      <c r="AO377">
        <f>IFERROR(INDEX(PP_Grid[#Data],$DD377,39),0)</f>
        <v/>
      </c>
      <c r="AP377">
        <f>IFERROR(INDEX(PP_Grid[#Data],$DD377,40),0)</f>
        <v/>
      </c>
      <c r="AQ377">
        <f>IFERROR(INDEX(PP_Grid[#Data],$DD377,41),0)</f>
        <v/>
      </c>
      <c r="AR377">
        <f>IFERROR(INDEX(PP_Grid[#Data],$DD377,42),0)</f>
        <v/>
      </c>
      <c r="AS377">
        <f>IFERROR(INDEX(PP_Grid[#Data],$DD377,43),0)</f>
        <v/>
      </c>
      <c r="AT377">
        <f>IFERROR(INDEX(PP_Grid[#Data],$DD377,44),0)</f>
        <v/>
      </c>
      <c r="AU377">
        <f>IFERROR(INDEX(PP_Grid[#Data],$DD377,45),0)</f>
        <v/>
      </c>
      <c r="AV377">
        <f>IFERROR(INDEX(PP_Grid[#Data],$DD377,46),0)</f>
        <v/>
      </c>
      <c r="AW377">
        <f>IFERROR(INDEX(PP_Grid[#Data],$DD377,47),0)</f>
        <v/>
      </c>
      <c r="AX377">
        <f>IFERROR(INDEX(PP_Grid[#Data],$DD377,48),0)</f>
        <v/>
      </c>
      <c r="AY377">
        <f>IFERROR(INDEX(PP_Grid[#Data],$DD377,49),0)</f>
        <v/>
      </c>
      <c r="AZ377">
        <f>IFERROR(INDEX(PP_Grid[#Data],$DD377,50),0)</f>
        <v/>
      </c>
      <c r="BA377">
        <f>IFERROR(INDEX(PP_Grid[#Data],$DD377,51),0)</f>
        <v/>
      </c>
      <c r="BB377">
        <f>IFERROR(INDEX(PP_Grid[#Data],$DD377,52),0)</f>
        <v/>
      </c>
      <c r="BC377">
        <f>IFERROR(INDEX(PP_Grid[#Data],$DD377,53),0)</f>
        <v/>
      </c>
      <c r="BD377">
        <f>IFERROR(INDEX(PP_Grid[#Data],$DD377,54),0)</f>
        <v/>
      </c>
      <c r="BE377">
        <f>IFERROR(INDEX(PP_Grid[#Data],$DD377,55),0)</f>
        <v/>
      </c>
      <c r="BF377">
        <f>IFERROR(INDEX(PP_Grid[#Data],$DD377,56),0)</f>
        <v/>
      </c>
      <c r="BG377">
        <f>IFERROR(INDEX(PP_Grid[#Data],$DD377,57),0)</f>
        <v/>
      </c>
      <c r="BH377">
        <f>IFERROR(INDEX(PP_Grid[#Data],$DD377,58),0)</f>
        <v/>
      </c>
      <c r="BI377">
        <f>IFERROR(INDEX(PP_Grid[#Data],$DD377,59),0)</f>
        <v/>
      </c>
      <c r="BJ377">
        <f>IFERROR(INDEX(PP_Grid[#Data],$DD377,60),0)</f>
        <v/>
      </c>
      <c r="BK377">
        <f>IFERROR(INDEX(PP_Grid[#Data],$DD377,61),0)</f>
        <v/>
      </c>
      <c r="BL377">
        <f>IFERROR(INDEX(PP_Grid[#Data],$DD377,62),0)</f>
        <v/>
      </c>
      <c r="BM377">
        <f>IFERROR(INDEX(PP_Grid[#Data],$DD377,63),0)</f>
        <v/>
      </c>
      <c r="BN377">
        <f>IFERROR(INDEX(PP_Grid[#Data],$DD377,64),0)</f>
        <v/>
      </c>
      <c r="BO377">
        <f>IFERROR(INDEX(PP_Grid[#Data],$DD377,65),0)</f>
        <v/>
      </c>
      <c r="BP377">
        <f>IFERROR(INDEX(PP_Grid[#Data],$DD377,66),0)</f>
        <v/>
      </c>
      <c r="BQ377">
        <f>IFERROR(INDEX(PP_Grid[#Data],$DD377,67),0)</f>
        <v/>
      </c>
      <c r="BR377">
        <f>IFERROR(INDEX(PP_Grid[#Data],$DD377,68),0)</f>
        <v/>
      </c>
      <c r="BS377">
        <f>IFERROR(INDEX(PP_Grid[#Data],$DD377,69),0)</f>
        <v/>
      </c>
      <c r="BT377">
        <f>IFERROR(INDEX(PP_Grid[#Data],$DD377,70),0)</f>
        <v/>
      </c>
      <c r="BU377">
        <f>IFERROR(INDEX(PP_Grid[#Data],$DD377,71),0)</f>
        <v/>
      </c>
      <c r="BV377">
        <f>IFERROR(INDEX(PP_Grid[#Data],$DD377,72),0)</f>
        <v/>
      </c>
      <c r="BW377">
        <f>IFERROR(INDEX(PP_Grid[#Data],$DD377,73),0)</f>
        <v/>
      </c>
      <c r="BX377">
        <f>IFERROR(INDEX(PP_Grid[#Data],$DD377,74),0)</f>
        <v/>
      </c>
      <c r="BY377">
        <f>IFERROR(INDEX(PP_Grid[#Data],$DD377,75),0)</f>
        <v/>
      </c>
      <c r="BZ377">
        <f>IFERROR(INDEX(PP_Grid[#Data],$DD377,76),0)</f>
        <v/>
      </c>
      <c r="CA377">
        <f>IFERROR(INDEX(PP_Grid[#Data],$DD377,77),0)</f>
        <v/>
      </c>
      <c r="CB377">
        <f>IFERROR(INDEX(PP_Grid[#Data],$DD377,78),0)</f>
        <v/>
      </c>
      <c r="CC377">
        <f>IFERROR(INDEX(PP_Grid[#Data],$DD377,79),0)</f>
        <v/>
      </c>
      <c r="CD377">
        <f>IFERROR(INDEX(PP_Grid[#Data],$DD377,80),0)</f>
        <v/>
      </c>
      <c r="CE377">
        <f>IFERROR(INDEX(PP_Grid[#Data],$DD377,81),0)</f>
        <v/>
      </c>
      <c r="CF377">
        <f>IFERROR(INDEX(PP_Grid[#Data],$DD377,82),0)</f>
        <v/>
      </c>
      <c r="CG377">
        <f>IFERROR(INDEX(PP_Grid[#Data],$DD377,83),0)</f>
        <v/>
      </c>
      <c r="CH377">
        <f>IFERROR(INDEX(PP_Grid[#Data],$DD377,84),0)</f>
        <v/>
      </c>
      <c r="CI377">
        <f>IFERROR(INDEX(PP_Grid[#Data],$DD377,85),0)</f>
        <v/>
      </c>
      <c r="CJ377">
        <f>IFERROR(INDEX(PP_Grid[#Data],$DD377,86),0)</f>
        <v/>
      </c>
      <c r="CK377">
        <f>IFERROR(INDEX(PP_Grid[#Data],$DD377,87),0)</f>
        <v/>
      </c>
      <c r="CL377">
        <f>IFERROR(INDEX(PP_Grid[#Data],$DD377,88),0)</f>
        <v/>
      </c>
      <c r="CM377">
        <f>IFERROR(INDEX(PP_Grid[#Data],$DD377,89),0)</f>
        <v/>
      </c>
      <c r="CN377">
        <f>IFERROR(INDEX(PP_Grid[#Data],$DD377,90),0)</f>
        <v/>
      </c>
      <c r="CO377">
        <f>IFERROR(INDEX(PP_Grid[#Data],$DD377,91),0)</f>
        <v/>
      </c>
      <c r="CP377">
        <f>IFERROR(INDEX(PP_Grid[#Data],$DD377,92),0)</f>
        <v/>
      </c>
      <c r="CQ377">
        <f>IFERROR(INDEX(PP_Grid[#Data],$DD377,93),0)</f>
        <v/>
      </c>
      <c r="CR377">
        <f>IFERROR(INDEX(PP_Grid[#Data],$DD377,94),0)</f>
        <v/>
      </c>
      <c r="CS377">
        <f>IFERROR(INDEX(PP_Grid[#Data],$DD377,95),0)</f>
        <v/>
      </c>
      <c r="CT377">
        <f>IFERROR(INDEX(PP_Grid[#Data],$DD377,96),0)</f>
        <v/>
      </c>
      <c r="CU377">
        <f>IFERROR(INDEX(PP_Grid[#Data],$DD377,97),0)</f>
        <v/>
      </c>
      <c r="CV377">
        <f>IFERROR(INDEX(PP_Grid[#Data],$DD377,98),0)</f>
        <v/>
      </c>
      <c r="CW377">
        <f>IFERROR(INDEX(PP_Grid[#Data],$DD377,99),0)</f>
        <v/>
      </c>
      <c r="CX377">
        <f>IFERROR(INDEX(PP_Grid[#Data],$DD377,100),0)</f>
        <v/>
      </c>
      <c r="CY377">
        <f>IFERROR(INDEX(PP_Grid[#Data],$DD377,101),0)</f>
        <v/>
      </c>
      <c r="CZ377">
        <f>IFERROR(INDEX(PP_Grid[#Data],$DD377,102),0)</f>
        <v/>
      </c>
      <c r="DA377">
        <f>IFERROR(INDEX(PP_Grid[#Data],$DD377,103),0)</f>
        <v/>
      </c>
      <c r="DB377">
        <f>IFERROR(INDEX(PP_Grid[#Data],$DD377,104),0)</f>
        <v/>
      </c>
      <c r="DC377">
        <f>IFERROR(INDEX(PP_Grid[#Data],$DD377,105),0)</f>
        <v/>
      </c>
      <c r="DD377" s="12">
        <f>IFERROR(MATCH($B377,PP_Grid[Intermediate],0),99999)</f>
        <v/>
      </c>
    </row>
    <row r="378">
      <c r="B378" t="inlineStr">
        <is>
          <t>使用量(kg)</t>
        </is>
      </c>
      <c r="C378">
        <f>SUMIFS(M_BOM[RM_Qty_Per_Batch],M_BOM[Intermediate],$B377,M_BOM[Part Name],$A372)</f>
        <v/>
      </c>
      <c r="D378">
        <f>$C378*D377</f>
        <v/>
      </c>
      <c r="E378">
        <f>$C378*E377</f>
        <v/>
      </c>
      <c r="F378">
        <f>$C378*F377</f>
        <v/>
      </c>
      <c r="G378">
        <f>$C378*G377</f>
        <v/>
      </c>
      <c r="H378">
        <f>$C378*H377</f>
        <v/>
      </c>
      <c r="I378">
        <f>$C378*I377</f>
        <v/>
      </c>
      <c r="J378">
        <f>$C378*J377</f>
        <v/>
      </c>
      <c r="K378">
        <f>$C378*K377</f>
        <v/>
      </c>
      <c r="L378">
        <f>$C378*L377</f>
        <v/>
      </c>
      <c r="M378">
        <f>$C378*M377</f>
        <v/>
      </c>
      <c r="N378">
        <f>$C378*N377</f>
        <v/>
      </c>
      <c r="O378">
        <f>$C378*O377</f>
        <v/>
      </c>
      <c r="P378">
        <f>$C378*P377</f>
        <v/>
      </c>
      <c r="Q378">
        <f>$C378*Q377</f>
        <v/>
      </c>
      <c r="R378">
        <f>$C378*R377</f>
        <v/>
      </c>
      <c r="S378">
        <f>$C378*S377</f>
        <v/>
      </c>
      <c r="T378">
        <f>$C378*T377</f>
        <v/>
      </c>
      <c r="U378">
        <f>$C378*U377</f>
        <v/>
      </c>
      <c r="V378">
        <f>$C378*V377</f>
        <v/>
      </c>
      <c r="W378">
        <f>$C378*W377</f>
        <v/>
      </c>
      <c r="X378">
        <f>$C378*X377</f>
        <v/>
      </c>
      <c r="Y378">
        <f>$C378*Y377</f>
        <v/>
      </c>
      <c r="Z378">
        <f>$C378*Z377</f>
        <v/>
      </c>
      <c r="AA378">
        <f>$C378*AA377</f>
        <v/>
      </c>
      <c r="AB378">
        <f>$C378*AB377</f>
        <v/>
      </c>
      <c r="AC378">
        <f>$C378*AC377</f>
        <v/>
      </c>
      <c r="AD378">
        <f>$C378*AD377</f>
        <v/>
      </c>
      <c r="AE378">
        <f>$C378*AE377</f>
        <v/>
      </c>
      <c r="AF378">
        <f>$C378*AF377</f>
        <v/>
      </c>
      <c r="AG378">
        <f>$C378*AG377</f>
        <v/>
      </c>
      <c r="AH378">
        <f>$C378*AH377</f>
        <v/>
      </c>
      <c r="AI378">
        <f>$C378*AI377</f>
        <v/>
      </c>
      <c r="AJ378">
        <f>$C378*AJ377</f>
        <v/>
      </c>
      <c r="AK378">
        <f>$C378*AK377</f>
        <v/>
      </c>
      <c r="AL378">
        <f>$C378*AL377</f>
        <v/>
      </c>
      <c r="AM378">
        <f>$C378*AM377</f>
        <v/>
      </c>
      <c r="AN378">
        <f>$C378*AN377</f>
        <v/>
      </c>
      <c r="AO378">
        <f>$C378*AO377</f>
        <v/>
      </c>
      <c r="AP378">
        <f>$C378*AP377</f>
        <v/>
      </c>
      <c r="AQ378">
        <f>$C378*AQ377</f>
        <v/>
      </c>
      <c r="AR378">
        <f>$C378*AR377</f>
        <v/>
      </c>
      <c r="AS378">
        <f>$C378*AS377</f>
        <v/>
      </c>
      <c r="AT378">
        <f>$C378*AT377</f>
        <v/>
      </c>
      <c r="AU378">
        <f>$C378*AU377</f>
        <v/>
      </c>
      <c r="AV378">
        <f>$C378*AV377</f>
        <v/>
      </c>
      <c r="AW378">
        <f>$C378*AW377</f>
        <v/>
      </c>
      <c r="AX378">
        <f>$C378*AX377</f>
        <v/>
      </c>
      <c r="AY378">
        <f>$C378*AY377</f>
        <v/>
      </c>
      <c r="AZ378">
        <f>$C378*AZ377</f>
        <v/>
      </c>
      <c r="BA378">
        <f>$C378*BA377</f>
        <v/>
      </c>
      <c r="BB378">
        <f>$C378*BB377</f>
        <v/>
      </c>
      <c r="BC378">
        <f>$C378*BC377</f>
        <v/>
      </c>
      <c r="BD378">
        <f>$C378*BD377</f>
        <v/>
      </c>
      <c r="BE378">
        <f>$C378*BE377</f>
        <v/>
      </c>
      <c r="BF378">
        <f>$C378*BF377</f>
        <v/>
      </c>
      <c r="BG378">
        <f>$C378*BG377</f>
        <v/>
      </c>
      <c r="BH378">
        <f>$C378*BH377</f>
        <v/>
      </c>
      <c r="BI378">
        <f>$C378*BI377</f>
        <v/>
      </c>
      <c r="BJ378">
        <f>$C378*BJ377</f>
        <v/>
      </c>
      <c r="BK378">
        <f>$C378*BK377</f>
        <v/>
      </c>
      <c r="BL378">
        <f>$C378*BL377</f>
        <v/>
      </c>
      <c r="BM378">
        <f>$C378*BM377</f>
        <v/>
      </c>
      <c r="BN378">
        <f>$C378*BN377</f>
        <v/>
      </c>
      <c r="BO378">
        <f>$C378*BO377</f>
        <v/>
      </c>
      <c r="BP378">
        <f>$C378*BP377</f>
        <v/>
      </c>
      <c r="BQ378">
        <f>$C378*BQ377</f>
        <v/>
      </c>
      <c r="BR378">
        <f>$C378*BR377</f>
        <v/>
      </c>
      <c r="BS378">
        <f>$C378*BS377</f>
        <v/>
      </c>
      <c r="BT378">
        <f>$C378*BT377</f>
        <v/>
      </c>
      <c r="BU378">
        <f>$C378*BU377</f>
        <v/>
      </c>
      <c r="BV378">
        <f>$C378*BV377</f>
        <v/>
      </c>
      <c r="BW378">
        <f>$C378*BW377</f>
        <v/>
      </c>
      <c r="BX378">
        <f>$C378*BX377</f>
        <v/>
      </c>
      <c r="BY378">
        <f>$C378*BY377</f>
        <v/>
      </c>
      <c r="BZ378">
        <f>$C378*BZ377</f>
        <v/>
      </c>
      <c r="CA378">
        <f>$C378*CA377</f>
        <v/>
      </c>
      <c r="CB378">
        <f>$C378*CB377</f>
        <v/>
      </c>
      <c r="CC378">
        <f>$C378*CC377</f>
        <v/>
      </c>
      <c r="CD378">
        <f>$C378*CD377</f>
        <v/>
      </c>
      <c r="CE378">
        <f>$C378*CE377</f>
        <v/>
      </c>
      <c r="CF378">
        <f>$C378*CF377</f>
        <v/>
      </c>
      <c r="CG378">
        <f>$C378*CG377</f>
        <v/>
      </c>
      <c r="CH378">
        <f>$C378*CH377</f>
        <v/>
      </c>
      <c r="CI378">
        <f>$C378*CI377</f>
        <v/>
      </c>
      <c r="CJ378">
        <f>$C378*CJ377</f>
        <v/>
      </c>
      <c r="CK378">
        <f>$C378*CK377</f>
        <v/>
      </c>
      <c r="CL378">
        <f>$C378*CL377</f>
        <v/>
      </c>
      <c r="CM378">
        <f>$C378*CM377</f>
        <v/>
      </c>
      <c r="CN378">
        <f>$C378*CN377</f>
        <v/>
      </c>
      <c r="CO378">
        <f>$C378*CO377</f>
        <v/>
      </c>
      <c r="CP378">
        <f>$C378*CP377</f>
        <v/>
      </c>
      <c r="CQ378">
        <f>$C378*CQ377</f>
        <v/>
      </c>
      <c r="CR378">
        <f>$C378*CR377</f>
        <v/>
      </c>
      <c r="CS378">
        <f>$C378*CS377</f>
        <v/>
      </c>
      <c r="CT378">
        <f>$C378*CT377</f>
        <v/>
      </c>
      <c r="CU378">
        <f>$C378*CU377</f>
        <v/>
      </c>
      <c r="CV378">
        <f>$C378*CV377</f>
        <v/>
      </c>
      <c r="CW378">
        <f>$C378*CW377</f>
        <v/>
      </c>
      <c r="CX378">
        <f>$C378*CX377</f>
        <v/>
      </c>
      <c r="CY378">
        <f>$C378*CY377</f>
        <v/>
      </c>
      <c r="CZ378">
        <f>$C378*CZ377</f>
        <v/>
      </c>
      <c r="DA378">
        <f>$C378*DA377</f>
        <v/>
      </c>
      <c r="DB378">
        <f>$C378*DB377</f>
        <v/>
      </c>
      <c r="DC378">
        <f>$C378*DC377</f>
        <v/>
      </c>
    </row>
    <row r="379">
      <c r="B379" t="inlineStr">
        <is>
          <t>TSP-104</t>
        </is>
      </c>
      <c r="C379" t="inlineStr">
        <is>
          <t>No. of batches</t>
        </is>
      </c>
      <c r="D379">
        <f>IFERROR(INDEX(PP_Grid[#Data],$DD379,2),0)</f>
        <v/>
      </c>
      <c r="E379">
        <f>IFERROR(INDEX(PP_Grid[#Data],$DD379,3),0)</f>
        <v/>
      </c>
      <c r="F379">
        <f>IFERROR(INDEX(PP_Grid[#Data],$DD379,4),0)</f>
        <v/>
      </c>
      <c r="G379">
        <f>IFERROR(INDEX(PP_Grid[#Data],$DD379,5),0)</f>
        <v/>
      </c>
      <c r="H379">
        <f>IFERROR(INDEX(PP_Grid[#Data],$DD379,6),0)</f>
        <v/>
      </c>
      <c r="I379">
        <f>IFERROR(INDEX(PP_Grid[#Data],$DD379,7),0)</f>
        <v/>
      </c>
      <c r="J379">
        <f>IFERROR(INDEX(PP_Grid[#Data],$DD379,8),0)</f>
        <v/>
      </c>
      <c r="K379">
        <f>IFERROR(INDEX(PP_Grid[#Data],$DD379,9),0)</f>
        <v/>
      </c>
      <c r="L379">
        <f>IFERROR(INDEX(PP_Grid[#Data],$DD379,10),0)</f>
        <v/>
      </c>
      <c r="M379">
        <f>IFERROR(INDEX(PP_Grid[#Data],$DD379,11),0)</f>
        <v/>
      </c>
      <c r="N379">
        <f>IFERROR(INDEX(PP_Grid[#Data],$DD379,12),0)</f>
        <v/>
      </c>
      <c r="O379">
        <f>IFERROR(INDEX(PP_Grid[#Data],$DD379,13),0)</f>
        <v/>
      </c>
      <c r="P379">
        <f>IFERROR(INDEX(PP_Grid[#Data],$DD379,14),0)</f>
        <v/>
      </c>
      <c r="Q379">
        <f>IFERROR(INDEX(PP_Grid[#Data],$DD379,15),0)</f>
        <v/>
      </c>
      <c r="R379">
        <f>IFERROR(INDEX(PP_Grid[#Data],$DD379,16),0)</f>
        <v/>
      </c>
      <c r="S379">
        <f>IFERROR(INDEX(PP_Grid[#Data],$DD379,17),0)</f>
        <v/>
      </c>
      <c r="T379">
        <f>IFERROR(INDEX(PP_Grid[#Data],$DD379,18),0)</f>
        <v/>
      </c>
      <c r="U379">
        <f>IFERROR(INDEX(PP_Grid[#Data],$DD379,19),0)</f>
        <v/>
      </c>
      <c r="V379">
        <f>IFERROR(INDEX(PP_Grid[#Data],$DD379,20),0)</f>
        <v/>
      </c>
      <c r="W379">
        <f>IFERROR(INDEX(PP_Grid[#Data],$DD379,21),0)</f>
        <v/>
      </c>
      <c r="X379">
        <f>IFERROR(INDEX(PP_Grid[#Data],$DD379,22),0)</f>
        <v/>
      </c>
      <c r="Y379">
        <f>IFERROR(INDEX(PP_Grid[#Data],$DD379,23),0)</f>
        <v/>
      </c>
      <c r="Z379">
        <f>IFERROR(INDEX(PP_Grid[#Data],$DD379,24),0)</f>
        <v/>
      </c>
      <c r="AA379">
        <f>IFERROR(INDEX(PP_Grid[#Data],$DD379,25),0)</f>
        <v/>
      </c>
      <c r="AB379">
        <f>IFERROR(INDEX(PP_Grid[#Data],$DD379,26),0)</f>
        <v/>
      </c>
      <c r="AC379">
        <f>IFERROR(INDEX(PP_Grid[#Data],$DD379,27),0)</f>
        <v/>
      </c>
      <c r="AD379">
        <f>IFERROR(INDEX(PP_Grid[#Data],$DD379,28),0)</f>
        <v/>
      </c>
      <c r="AE379">
        <f>IFERROR(INDEX(PP_Grid[#Data],$DD379,29),0)</f>
        <v/>
      </c>
      <c r="AF379">
        <f>IFERROR(INDEX(PP_Grid[#Data],$DD379,30),0)</f>
        <v/>
      </c>
      <c r="AG379">
        <f>IFERROR(INDEX(PP_Grid[#Data],$DD379,31),0)</f>
        <v/>
      </c>
      <c r="AH379">
        <f>IFERROR(INDEX(PP_Grid[#Data],$DD379,32),0)</f>
        <v/>
      </c>
      <c r="AI379">
        <f>IFERROR(INDEX(PP_Grid[#Data],$DD379,33),0)</f>
        <v/>
      </c>
      <c r="AJ379">
        <f>IFERROR(INDEX(PP_Grid[#Data],$DD379,34),0)</f>
        <v/>
      </c>
      <c r="AK379">
        <f>IFERROR(INDEX(PP_Grid[#Data],$DD379,35),0)</f>
        <v/>
      </c>
      <c r="AL379">
        <f>IFERROR(INDEX(PP_Grid[#Data],$DD379,36),0)</f>
        <v/>
      </c>
      <c r="AM379">
        <f>IFERROR(INDEX(PP_Grid[#Data],$DD379,37),0)</f>
        <v/>
      </c>
      <c r="AN379">
        <f>IFERROR(INDEX(PP_Grid[#Data],$DD379,38),0)</f>
        <v/>
      </c>
      <c r="AO379">
        <f>IFERROR(INDEX(PP_Grid[#Data],$DD379,39),0)</f>
        <v/>
      </c>
      <c r="AP379">
        <f>IFERROR(INDEX(PP_Grid[#Data],$DD379,40),0)</f>
        <v/>
      </c>
      <c r="AQ379">
        <f>IFERROR(INDEX(PP_Grid[#Data],$DD379,41),0)</f>
        <v/>
      </c>
      <c r="AR379">
        <f>IFERROR(INDEX(PP_Grid[#Data],$DD379,42),0)</f>
        <v/>
      </c>
      <c r="AS379">
        <f>IFERROR(INDEX(PP_Grid[#Data],$DD379,43),0)</f>
        <v/>
      </c>
      <c r="AT379">
        <f>IFERROR(INDEX(PP_Grid[#Data],$DD379,44),0)</f>
        <v/>
      </c>
      <c r="AU379">
        <f>IFERROR(INDEX(PP_Grid[#Data],$DD379,45),0)</f>
        <v/>
      </c>
      <c r="AV379">
        <f>IFERROR(INDEX(PP_Grid[#Data],$DD379,46),0)</f>
        <v/>
      </c>
      <c r="AW379">
        <f>IFERROR(INDEX(PP_Grid[#Data],$DD379,47),0)</f>
        <v/>
      </c>
      <c r="AX379">
        <f>IFERROR(INDEX(PP_Grid[#Data],$DD379,48),0)</f>
        <v/>
      </c>
      <c r="AY379">
        <f>IFERROR(INDEX(PP_Grid[#Data],$DD379,49),0)</f>
        <v/>
      </c>
      <c r="AZ379">
        <f>IFERROR(INDEX(PP_Grid[#Data],$DD379,50),0)</f>
        <v/>
      </c>
      <c r="BA379">
        <f>IFERROR(INDEX(PP_Grid[#Data],$DD379,51),0)</f>
        <v/>
      </c>
      <c r="BB379">
        <f>IFERROR(INDEX(PP_Grid[#Data],$DD379,52),0)</f>
        <v/>
      </c>
      <c r="BC379">
        <f>IFERROR(INDEX(PP_Grid[#Data],$DD379,53),0)</f>
        <v/>
      </c>
      <c r="BD379">
        <f>IFERROR(INDEX(PP_Grid[#Data],$DD379,54),0)</f>
        <v/>
      </c>
      <c r="BE379">
        <f>IFERROR(INDEX(PP_Grid[#Data],$DD379,55),0)</f>
        <v/>
      </c>
      <c r="BF379">
        <f>IFERROR(INDEX(PP_Grid[#Data],$DD379,56),0)</f>
        <v/>
      </c>
      <c r="BG379">
        <f>IFERROR(INDEX(PP_Grid[#Data],$DD379,57),0)</f>
        <v/>
      </c>
      <c r="BH379">
        <f>IFERROR(INDEX(PP_Grid[#Data],$DD379,58),0)</f>
        <v/>
      </c>
      <c r="BI379">
        <f>IFERROR(INDEX(PP_Grid[#Data],$DD379,59),0)</f>
        <v/>
      </c>
      <c r="BJ379">
        <f>IFERROR(INDEX(PP_Grid[#Data],$DD379,60),0)</f>
        <v/>
      </c>
      <c r="BK379">
        <f>IFERROR(INDEX(PP_Grid[#Data],$DD379,61),0)</f>
        <v/>
      </c>
      <c r="BL379">
        <f>IFERROR(INDEX(PP_Grid[#Data],$DD379,62),0)</f>
        <v/>
      </c>
      <c r="BM379">
        <f>IFERROR(INDEX(PP_Grid[#Data],$DD379,63),0)</f>
        <v/>
      </c>
      <c r="BN379">
        <f>IFERROR(INDEX(PP_Grid[#Data],$DD379,64),0)</f>
        <v/>
      </c>
      <c r="BO379">
        <f>IFERROR(INDEX(PP_Grid[#Data],$DD379,65),0)</f>
        <v/>
      </c>
      <c r="BP379">
        <f>IFERROR(INDEX(PP_Grid[#Data],$DD379,66),0)</f>
        <v/>
      </c>
      <c r="BQ379">
        <f>IFERROR(INDEX(PP_Grid[#Data],$DD379,67),0)</f>
        <v/>
      </c>
      <c r="BR379">
        <f>IFERROR(INDEX(PP_Grid[#Data],$DD379,68),0)</f>
        <v/>
      </c>
      <c r="BS379">
        <f>IFERROR(INDEX(PP_Grid[#Data],$DD379,69),0)</f>
        <v/>
      </c>
      <c r="BT379">
        <f>IFERROR(INDEX(PP_Grid[#Data],$DD379,70),0)</f>
        <v/>
      </c>
      <c r="BU379">
        <f>IFERROR(INDEX(PP_Grid[#Data],$DD379,71),0)</f>
        <v/>
      </c>
      <c r="BV379">
        <f>IFERROR(INDEX(PP_Grid[#Data],$DD379,72),0)</f>
        <v/>
      </c>
      <c r="BW379">
        <f>IFERROR(INDEX(PP_Grid[#Data],$DD379,73),0)</f>
        <v/>
      </c>
      <c r="BX379">
        <f>IFERROR(INDEX(PP_Grid[#Data],$DD379,74),0)</f>
        <v/>
      </c>
      <c r="BY379">
        <f>IFERROR(INDEX(PP_Grid[#Data],$DD379,75),0)</f>
        <v/>
      </c>
      <c r="BZ379">
        <f>IFERROR(INDEX(PP_Grid[#Data],$DD379,76),0)</f>
        <v/>
      </c>
      <c r="CA379">
        <f>IFERROR(INDEX(PP_Grid[#Data],$DD379,77),0)</f>
        <v/>
      </c>
      <c r="CB379">
        <f>IFERROR(INDEX(PP_Grid[#Data],$DD379,78),0)</f>
        <v/>
      </c>
      <c r="CC379">
        <f>IFERROR(INDEX(PP_Grid[#Data],$DD379,79),0)</f>
        <v/>
      </c>
      <c r="CD379">
        <f>IFERROR(INDEX(PP_Grid[#Data],$DD379,80),0)</f>
        <v/>
      </c>
      <c r="CE379">
        <f>IFERROR(INDEX(PP_Grid[#Data],$DD379,81),0)</f>
        <v/>
      </c>
      <c r="CF379">
        <f>IFERROR(INDEX(PP_Grid[#Data],$DD379,82),0)</f>
        <v/>
      </c>
      <c r="CG379">
        <f>IFERROR(INDEX(PP_Grid[#Data],$DD379,83),0)</f>
        <v/>
      </c>
      <c r="CH379">
        <f>IFERROR(INDEX(PP_Grid[#Data],$DD379,84),0)</f>
        <v/>
      </c>
      <c r="CI379">
        <f>IFERROR(INDEX(PP_Grid[#Data],$DD379,85),0)</f>
        <v/>
      </c>
      <c r="CJ379">
        <f>IFERROR(INDEX(PP_Grid[#Data],$DD379,86),0)</f>
        <v/>
      </c>
      <c r="CK379">
        <f>IFERROR(INDEX(PP_Grid[#Data],$DD379,87),0)</f>
        <v/>
      </c>
      <c r="CL379">
        <f>IFERROR(INDEX(PP_Grid[#Data],$DD379,88),0)</f>
        <v/>
      </c>
      <c r="CM379">
        <f>IFERROR(INDEX(PP_Grid[#Data],$DD379,89),0)</f>
        <v/>
      </c>
      <c r="CN379">
        <f>IFERROR(INDEX(PP_Grid[#Data],$DD379,90),0)</f>
        <v/>
      </c>
      <c r="CO379">
        <f>IFERROR(INDEX(PP_Grid[#Data],$DD379,91),0)</f>
        <v/>
      </c>
      <c r="CP379">
        <f>IFERROR(INDEX(PP_Grid[#Data],$DD379,92),0)</f>
        <v/>
      </c>
      <c r="CQ379">
        <f>IFERROR(INDEX(PP_Grid[#Data],$DD379,93),0)</f>
        <v/>
      </c>
      <c r="CR379">
        <f>IFERROR(INDEX(PP_Grid[#Data],$DD379,94),0)</f>
        <v/>
      </c>
      <c r="CS379">
        <f>IFERROR(INDEX(PP_Grid[#Data],$DD379,95),0)</f>
        <v/>
      </c>
      <c r="CT379">
        <f>IFERROR(INDEX(PP_Grid[#Data],$DD379,96),0)</f>
        <v/>
      </c>
      <c r="CU379">
        <f>IFERROR(INDEX(PP_Grid[#Data],$DD379,97),0)</f>
        <v/>
      </c>
      <c r="CV379">
        <f>IFERROR(INDEX(PP_Grid[#Data],$DD379,98),0)</f>
        <v/>
      </c>
      <c r="CW379">
        <f>IFERROR(INDEX(PP_Grid[#Data],$DD379,99),0)</f>
        <v/>
      </c>
      <c r="CX379">
        <f>IFERROR(INDEX(PP_Grid[#Data],$DD379,100),0)</f>
        <v/>
      </c>
      <c r="CY379">
        <f>IFERROR(INDEX(PP_Grid[#Data],$DD379,101),0)</f>
        <v/>
      </c>
      <c r="CZ379">
        <f>IFERROR(INDEX(PP_Grid[#Data],$DD379,102),0)</f>
        <v/>
      </c>
      <c r="DA379">
        <f>IFERROR(INDEX(PP_Grid[#Data],$DD379,103),0)</f>
        <v/>
      </c>
      <c r="DB379">
        <f>IFERROR(INDEX(PP_Grid[#Data],$DD379,104),0)</f>
        <v/>
      </c>
      <c r="DC379">
        <f>IFERROR(INDEX(PP_Grid[#Data],$DD379,105),0)</f>
        <v/>
      </c>
      <c r="DD379" s="12">
        <f>IFERROR(MATCH($B379,PP_Grid[Intermediate],0),99999)</f>
        <v/>
      </c>
    </row>
    <row r="380">
      <c r="B380" t="inlineStr">
        <is>
          <t>使用量(kg)</t>
        </is>
      </c>
      <c r="C380">
        <f>SUMIFS(M_BOM[RM_Qty_Per_Batch],M_BOM[Intermediate],$B379,M_BOM[Part Name],$A372)</f>
        <v/>
      </c>
      <c r="D380">
        <f>$C380*D379</f>
        <v/>
      </c>
      <c r="E380">
        <f>$C380*E379</f>
        <v/>
      </c>
      <c r="F380">
        <f>$C380*F379</f>
        <v/>
      </c>
      <c r="G380">
        <f>$C380*G379</f>
        <v/>
      </c>
      <c r="H380">
        <f>$C380*H379</f>
        <v/>
      </c>
      <c r="I380">
        <f>$C380*I379</f>
        <v/>
      </c>
      <c r="J380">
        <f>$C380*J379</f>
        <v/>
      </c>
      <c r="K380">
        <f>$C380*K379</f>
        <v/>
      </c>
      <c r="L380">
        <f>$C380*L379</f>
        <v/>
      </c>
      <c r="M380">
        <f>$C380*M379</f>
        <v/>
      </c>
      <c r="N380">
        <f>$C380*N379</f>
        <v/>
      </c>
      <c r="O380">
        <f>$C380*O379</f>
        <v/>
      </c>
      <c r="P380">
        <f>$C380*P379</f>
        <v/>
      </c>
      <c r="Q380">
        <f>$C380*Q379</f>
        <v/>
      </c>
      <c r="R380">
        <f>$C380*R379</f>
        <v/>
      </c>
      <c r="S380">
        <f>$C380*S379</f>
        <v/>
      </c>
      <c r="T380">
        <f>$C380*T379</f>
        <v/>
      </c>
      <c r="U380">
        <f>$C380*U379</f>
        <v/>
      </c>
      <c r="V380">
        <f>$C380*V379</f>
        <v/>
      </c>
      <c r="W380">
        <f>$C380*W379</f>
        <v/>
      </c>
      <c r="X380">
        <f>$C380*X379</f>
        <v/>
      </c>
      <c r="Y380">
        <f>$C380*Y379</f>
        <v/>
      </c>
      <c r="Z380">
        <f>$C380*Z379</f>
        <v/>
      </c>
      <c r="AA380">
        <f>$C380*AA379</f>
        <v/>
      </c>
      <c r="AB380">
        <f>$C380*AB379</f>
        <v/>
      </c>
      <c r="AC380">
        <f>$C380*AC379</f>
        <v/>
      </c>
      <c r="AD380">
        <f>$C380*AD379</f>
        <v/>
      </c>
      <c r="AE380">
        <f>$C380*AE379</f>
        <v/>
      </c>
      <c r="AF380">
        <f>$C380*AF379</f>
        <v/>
      </c>
      <c r="AG380">
        <f>$C380*AG379</f>
        <v/>
      </c>
      <c r="AH380">
        <f>$C380*AH379</f>
        <v/>
      </c>
      <c r="AI380">
        <f>$C380*AI379</f>
        <v/>
      </c>
      <c r="AJ380">
        <f>$C380*AJ379</f>
        <v/>
      </c>
      <c r="AK380">
        <f>$C380*AK379</f>
        <v/>
      </c>
      <c r="AL380">
        <f>$C380*AL379</f>
        <v/>
      </c>
      <c r="AM380">
        <f>$C380*AM379</f>
        <v/>
      </c>
      <c r="AN380">
        <f>$C380*AN379</f>
        <v/>
      </c>
      <c r="AO380">
        <f>$C380*AO379</f>
        <v/>
      </c>
      <c r="AP380">
        <f>$C380*AP379</f>
        <v/>
      </c>
      <c r="AQ380">
        <f>$C380*AQ379</f>
        <v/>
      </c>
      <c r="AR380">
        <f>$C380*AR379</f>
        <v/>
      </c>
      <c r="AS380">
        <f>$C380*AS379</f>
        <v/>
      </c>
      <c r="AT380">
        <f>$C380*AT379</f>
        <v/>
      </c>
      <c r="AU380">
        <f>$C380*AU379</f>
        <v/>
      </c>
      <c r="AV380">
        <f>$C380*AV379</f>
        <v/>
      </c>
      <c r="AW380">
        <f>$C380*AW379</f>
        <v/>
      </c>
      <c r="AX380">
        <f>$C380*AX379</f>
        <v/>
      </c>
      <c r="AY380">
        <f>$C380*AY379</f>
        <v/>
      </c>
      <c r="AZ380">
        <f>$C380*AZ379</f>
        <v/>
      </c>
      <c r="BA380">
        <f>$C380*BA379</f>
        <v/>
      </c>
      <c r="BB380">
        <f>$C380*BB379</f>
        <v/>
      </c>
      <c r="BC380">
        <f>$C380*BC379</f>
        <v/>
      </c>
      <c r="BD380">
        <f>$C380*BD379</f>
        <v/>
      </c>
      <c r="BE380">
        <f>$C380*BE379</f>
        <v/>
      </c>
      <c r="BF380">
        <f>$C380*BF379</f>
        <v/>
      </c>
      <c r="BG380">
        <f>$C380*BG379</f>
        <v/>
      </c>
      <c r="BH380">
        <f>$C380*BH379</f>
        <v/>
      </c>
      <c r="BI380">
        <f>$C380*BI379</f>
        <v/>
      </c>
      <c r="BJ380">
        <f>$C380*BJ379</f>
        <v/>
      </c>
      <c r="BK380">
        <f>$C380*BK379</f>
        <v/>
      </c>
      <c r="BL380">
        <f>$C380*BL379</f>
        <v/>
      </c>
      <c r="BM380">
        <f>$C380*BM379</f>
        <v/>
      </c>
      <c r="BN380">
        <f>$C380*BN379</f>
        <v/>
      </c>
      <c r="BO380">
        <f>$C380*BO379</f>
        <v/>
      </c>
      <c r="BP380">
        <f>$C380*BP379</f>
        <v/>
      </c>
      <c r="BQ380">
        <f>$C380*BQ379</f>
        <v/>
      </c>
      <c r="BR380">
        <f>$C380*BR379</f>
        <v/>
      </c>
      <c r="BS380">
        <f>$C380*BS379</f>
        <v/>
      </c>
      <c r="BT380">
        <f>$C380*BT379</f>
        <v/>
      </c>
      <c r="BU380">
        <f>$C380*BU379</f>
        <v/>
      </c>
      <c r="BV380">
        <f>$C380*BV379</f>
        <v/>
      </c>
      <c r="BW380">
        <f>$C380*BW379</f>
        <v/>
      </c>
      <c r="BX380">
        <f>$C380*BX379</f>
        <v/>
      </c>
      <c r="BY380">
        <f>$C380*BY379</f>
        <v/>
      </c>
      <c r="BZ380">
        <f>$C380*BZ379</f>
        <v/>
      </c>
      <c r="CA380">
        <f>$C380*CA379</f>
        <v/>
      </c>
      <c r="CB380">
        <f>$C380*CB379</f>
        <v/>
      </c>
      <c r="CC380">
        <f>$C380*CC379</f>
        <v/>
      </c>
      <c r="CD380">
        <f>$C380*CD379</f>
        <v/>
      </c>
      <c r="CE380">
        <f>$C380*CE379</f>
        <v/>
      </c>
      <c r="CF380">
        <f>$C380*CF379</f>
        <v/>
      </c>
      <c r="CG380">
        <f>$C380*CG379</f>
        <v/>
      </c>
      <c r="CH380">
        <f>$C380*CH379</f>
        <v/>
      </c>
      <c r="CI380">
        <f>$C380*CI379</f>
        <v/>
      </c>
      <c r="CJ380">
        <f>$C380*CJ379</f>
        <v/>
      </c>
      <c r="CK380">
        <f>$C380*CK379</f>
        <v/>
      </c>
      <c r="CL380">
        <f>$C380*CL379</f>
        <v/>
      </c>
      <c r="CM380">
        <f>$C380*CM379</f>
        <v/>
      </c>
      <c r="CN380">
        <f>$C380*CN379</f>
        <v/>
      </c>
      <c r="CO380">
        <f>$C380*CO379</f>
        <v/>
      </c>
      <c r="CP380">
        <f>$C380*CP379</f>
        <v/>
      </c>
      <c r="CQ380">
        <f>$C380*CQ379</f>
        <v/>
      </c>
      <c r="CR380">
        <f>$C380*CR379</f>
        <v/>
      </c>
      <c r="CS380">
        <f>$C380*CS379</f>
        <v/>
      </c>
      <c r="CT380">
        <f>$C380*CT379</f>
        <v/>
      </c>
      <c r="CU380">
        <f>$C380*CU379</f>
        <v/>
      </c>
      <c r="CV380">
        <f>$C380*CV379</f>
        <v/>
      </c>
      <c r="CW380">
        <f>$C380*CW379</f>
        <v/>
      </c>
      <c r="CX380">
        <f>$C380*CX379</f>
        <v/>
      </c>
      <c r="CY380">
        <f>$C380*CY379</f>
        <v/>
      </c>
      <c r="CZ380">
        <f>$C380*CZ379</f>
        <v/>
      </c>
      <c r="DA380">
        <f>$C380*DA379</f>
        <v/>
      </c>
      <c r="DB380">
        <f>$C380*DB379</f>
        <v/>
      </c>
      <c r="DC380">
        <f>$C380*DC379</f>
        <v/>
      </c>
    </row>
    <row r="381">
      <c r="B381" s="5" t="inlineStr">
        <is>
          <t>合計使用量(kg)/週</t>
        </is>
      </c>
      <c r="D381">
        <f>'Grid_Requirement'!B29</f>
        <v/>
      </c>
      <c r="E381">
        <f>'Grid_Requirement'!C29</f>
        <v/>
      </c>
      <c r="F381">
        <f>'Grid_Requirement'!D29</f>
        <v/>
      </c>
      <c r="G381">
        <f>'Grid_Requirement'!E29</f>
        <v/>
      </c>
      <c r="H381">
        <f>'Grid_Requirement'!F29</f>
        <v/>
      </c>
      <c r="I381">
        <f>'Grid_Requirement'!G29</f>
        <v/>
      </c>
      <c r="J381">
        <f>'Grid_Requirement'!H29</f>
        <v/>
      </c>
      <c r="K381">
        <f>'Grid_Requirement'!I29</f>
        <v/>
      </c>
      <c r="L381">
        <f>'Grid_Requirement'!J29</f>
        <v/>
      </c>
      <c r="M381">
        <f>'Grid_Requirement'!K29</f>
        <v/>
      </c>
      <c r="N381">
        <f>'Grid_Requirement'!L29</f>
        <v/>
      </c>
      <c r="O381">
        <f>'Grid_Requirement'!M29</f>
        <v/>
      </c>
      <c r="P381">
        <f>'Grid_Requirement'!N29</f>
        <v/>
      </c>
      <c r="Q381">
        <f>'Grid_Requirement'!O29</f>
        <v/>
      </c>
      <c r="R381">
        <f>'Grid_Requirement'!P29</f>
        <v/>
      </c>
      <c r="S381">
        <f>'Grid_Requirement'!Q29</f>
        <v/>
      </c>
      <c r="T381">
        <f>'Grid_Requirement'!R29</f>
        <v/>
      </c>
      <c r="U381">
        <f>'Grid_Requirement'!S29</f>
        <v/>
      </c>
      <c r="V381">
        <f>'Grid_Requirement'!T29</f>
        <v/>
      </c>
      <c r="W381">
        <f>'Grid_Requirement'!U29</f>
        <v/>
      </c>
      <c r="X381">
        <f>'Grid_Requirement'!V29</f>
        <v/>
      </c>
      <c r="Y381">
        <f>'Grid_Requirement'!W29</f>
        <v/>
      </c>
      <c r="Z381">
        <f>'Grid_Requirement'!X29</f>
        <v/>
      </c>
      <c r="AA381">
        <f>'Grid_Requirement'!Y29</f>
        <v/>
      </c>
      <c r="AB381">
        <f>'Grid_Requirement'!Z29</f>
        <v/>
      </c>
      <c r="AC381">
        <f>'Grid_Requirement'!AA29</f>
        <v/>
      </c>
      <c r="AD381">
        <f>'Grid_Requirement'!AB29</f>
        <v/>
      </c>
      <c r="AE381">
        <f>'Grid_Requirement'!AC29</f>
        <v/>
      </c>
      <c r="AF381">
        <f>'Grid_Requirement'!AD29</f>
        <v/>
      </c>
      <c r="AG381">
        <f>'Grid_Requirement'!AE29</f>
        <v/>
      </c>
      <c r="AH381">
        <f>'Grid_Requirement'!AF29</f>
        <v/>
      </c>
      <c r="AI381">
        <f>'Grid_Requirement'!AG29</f>
        <v/>
      </c>
      <c r="AJ381">
        <f>'Grid_Requirement'!AH29</f>
        <v/>
      </c>
      <c r="AK381">
        <f>'Grid_Requirement'!AI29</f>
        <v/>
      </c>
      <c r="AL381">
        <f>'Grid_Requirement'!AJ29</f>
        <v/>
      </c>
      <c r="AM381">
        <f>'Grid_Requirement'!AK29</f>
        <v/>
      </c>
      <c r="AN381">
        <f>'Grid_Requirement'!AL29</f>
        <v/>
      </c>
      <c r="AO381">
        <f>'Grid_Requirement'!AM29</f>
        <v/>
      </c>
      <c r="AP381">
        <f>'Grid_Requirement'!AN29</f>
        <v/>
      </c>
      <c r="AQ381">
        <f>'Grid_Requirement'!AO29</f>
        <v/>
      </c>
      <c r="AR381">
        <f>'Grid_Requirement'!AP29</f>
        <v/>
      </c>
      <c r="AS381">
        <f>'Grid_Requirement'!AQ29</f>
        <v/>
      </c>
      <c r="AT381">
        <f>'Grid_Requirement'!AR29</f>
        <v/>
      </c>
      <c r="AU381">
        <f>'Grid_Requirement'!AS29</f>
        <v/>
      </c>
      <c r="AV381">
        <f>'Grid_Requirement'!AT29</f>
        <v/>
      </c>
      <c r="AW381">
        <f>'Grid_Requirement'!AU29</f>
        <v/>
      </c>
      <c r="AX381">
        <f>'Grid_Requirement'!AV29</f>
        <v/>
      </c>
      <c r="AY381">
        <f>'Grid_Requirement'!AW29</f>
        <v/>
      </c>
      <c r="AZ381">
        <f>'Grid_Requirement'!AX29</f>
        <v/>
      </c>
      <c r="BA381">
        <f>'Grid_Requirement'!AY29</f>
        <v/>
      </c>
      <c r="BB381">
        <f>'Grid_Requirement'!AZ29</f>
        <v/>
      </c>
      <c r="BC381">
        <f>'Grid_Requirement'!BA29</f>
        <v/>
      </c>
      <c r="BD381">
        <f>'Grid_Requirement'!BB29</f>
        <v/>
      </c>
      <c r="BE381">
        <f>'Grid_Requirement'!BC29</f>
        <v/>
      </c>
      <c r="BF381">
        <f>'Grid_Requirement'!BD29</f>
        <v/>
      </c>
      <c r="BG381">
        <f>'Grid_Requirement'!BE29</f>
        <v/>
      </c>
      <c r="BH381">
        <f>'Grid_Requirement'!BF29</f>
        <v/>
      </c>
      <c r="BI381">
        <f>'Grid_Requirement'!BG29</f>
        <v/>
      </c>
      <c r="BJ381">
        <f>'Grid_Requirement'!BH29</f>
        <v/>
      </c>
      <c r="BK381">
        <f>'Grid_Requirement'!BI29</f>
        <v/>
      </c>
      <c r="BL381">
        <f>'Grid_Requirement'!BJ29</f>
        <v/>
      </c>
      <c r="BM381">
        <f>'Grid_Requirement'!BK29</f>
        <v/>
      </c>
      <c r="BN381">
        <f>'Grid_Requirement'!BL29</f>
        <v/>
      </c>
      <c r="BO381">
        <f>'Grid_Requirement'!BM29</f>
        <v/>
      </c>
      <c r="BP381">
        <f>'Grid_Requirement'!BN29</f>
        <v/>
      </c>
      <c r="BQ381">
        <f>'Grid_Requirement'!BO29</f>
        <v/>
      </c>
      <c r="BR381">
        <f>'Grid_Requirement'!BP29</f>
        <v/>
      </c>
      <c r="BS381">
        <f>'Grid_Requirement'!BQ29</f>
        <v/>
      </c>
      <c r="BT381">
        <f>'Grid_Requirement'!BR29</f>
        <v/>
      </c>
      <c r="BU381">
        <f>'Grid_Requirement'!BS29</f>
        <v/>
      </c>
      <c r="BV381">
        <f>'Grid_Requirement'!BT29</f>
        <v/>
      </c>
      <c r="BW381">
        <f>'Grid_Requirement'!BU29</f>
        <v/>
      </c>
      <c r="BX381">
        <f>'Grid_Requirement'!BV29</f>
        <v/>
      </c>
      <c r="BY381">
        <f>'Grid_Requirement'!BW29</f>
        <v/>
      </c>
      <c r="BZ381">
        <f>'Grid_Requirement'!BX29</f>
        <v/>
      </c>
      <c r="CA381">
        <f>'Grid_Requirement'!BY29</f>
        <v/>
      </c>
      <c r="CB381">
        <f>'Grid_Requirement'!BZ29</f>
        <v/>
      </c>
      <c r="CC381">
        <f>'Grid_Requirement'!CA29</f>
        <v/>
      </c>
      <c r="CD381">
        <f>'Grid_Requirement'!CB29</f>
        <v/>
      </c>
      <c r="CE381">
        <f>'Grid_Requirement'!CC29</f>
        <v/>
      </c>
      <c r="CF381">
        <f>'Grid_Requirement'!CD29</f>
        <v/>
      </c>
      <c r="CG381">
        <f>'Grid_Requirement'!CE29</f>
        <v/>
      </c>
      <c r="CH381">
        <f>'Grid_Requirement'!CF29</f>
        <v/>
      </c>
      <c r="CI381">
        <f>'Grid_Requirement'!CG29</f>
        <v/>
      </c>
      <c r="CJ381">
        <f>'Grid_Requirement'!CH29</f>
        <v/>
      </c>
      <c r="CK381">
        <f>'Grid_Requirement'!CI29</f>
        <v/>
      </c>
      <c r="CL381">
        <f>'Grid_Requirement'!CJ29</f>
        <v/>
      </c>
      <c r="CM381">
        <f>'Grid_Requirement'!CK29</f>
        <v/>
      </c>
      <c r="CN381">
        <f>'Grid_Requirement'!CL29</f>
        <v/>
      </c>
      <c r="CO381">
        <f>'Grid_Requirement'!CM29</f>
        <v/>
      </c>
      <c r="CP381">
        <f>'Grid_Requirement'!CN29</f>
        <v/>
      </c>
      <c r="CQ381">
        <f>'Grid_Requirement'!CO29</f>
        <v/>
      </c>
      <c r="CR381">
        <f>'Grid_Requirement'!CP29</f>
        <v/>
      </c>
      <c r="CS381">
        <f>'Grid_Requirement'!CQ29</f>
        <v/>
      </c>
      <c r="CT381">
        <f>'Grid_Requirement'!CR29</f>
        <v/>
      </c>
      <c r="CU381">
        <f>'Grid_Requirement'!CS29</f>
        <v/>
      </c>
      <c r="CV381">
        <f>'Grid_Requirement'!CT29</f>
        <v/>
      </c>
      <c r="CW381">
        <f>'Grid_Requirement'!CU29</f>
        <v/>
      </c>
      <c r="CX381">
        <f>'Grid_Requirement'!CV29</f>
        <v/>
      </c>
      <c r="CY381">
        <f>'Grid_Requirement'!CW29</f>
        <v/>
      </c>
      <c r="CZ381">
        <f>'Grid_Requirement'!CX29</f>
        <v/>
      </c>
      <c r="DA381">
        <f>'Grid_Requirement'!CY29</f>
        <v/>
      </c>
      <c r="DB381">
        <f>'Grid_Requirement'!CZ29</f>
        <v/>
      </c>
      <c r="DC381">
        <f>'Grid_Requirement'!DA29</f>
        <v/>
      </c>
    </row>
    <row r="382">
      <c r="B382" t="inlineStr">
        <is>
          <t>TTAF在庫(実績,kg)</t>
        </is>
      </c>
      <c r="D382">
        <f>'T_TTAFStock'!B33</f>
        <v/>
      </c>
      <c r="E382">
        <f>'T_TTAFStock'!C33</f>
        <v/>
      </c>
      <c r="F382">
        <f>'T_TTAFStock'!D33</f>
        <v/>
      </c>
      <c r="G382">
        <f>'T_TTAFStock'!E33</f>
        <v/>
      </c>
      <c r="H382">
        <f>'T_TTAFStock'!F33</f>
        <v/>
      </c>
      <c r="I382">
        <f>'T_TTAFStock'!G33</f>
        <v/>
      </c>
      <c r="J382">
        <f>'T_TTAFStock'!H33</f>
        <v/>
      </c>
      <c r="K382">
        <f>'T_TTAFStock'!I33</f>
        <v/>
      </c>
      <c r="L382">
        <f>'T_TTAFStock'!J33</f>
        <v/>
      </c>
      <c r="M382">
        <f>'T_TTAFStock'!K33</f>
        <v/>
      </c>
      <c r="N382">
        <f>'T_TTAFStock'!L33</f>
        <v/>
      </c>
      <c r="O382">
        <f>'T_TTAFStock'!M33</f>
        <v/>
      </c>
      <c r="P382">
        <f>'T_TTAFStock'!N33</f>
        <v/>
      </c>
      <c r="Q382">
        <f>'T_TTAFStock'!O33</f>
        <v/>
      </c>
      <c r="R382">
        <f>'T_TTAFStock'!P33</f>
        <v/>
      </c>
      <c r="S382">
        <f>'T_TTAFStock'!Q33</f>
        <v/>
      </c>
      <c r="T382">
        <f>'T_TTAFStock'!R33</f>
        <v/>
      </c>
      <c r="U382">
        <f>'T_TTAFStock'!S33</f>
        <v/>
      </c>
      <c r="V382">
        <f>'T_TTAFStock'!T33</f>
        <v/>
      </c>
      <c r="W382">
        <f>'T_TTAFStock'!U33</f>
        <v/>
      </c>
      <c r="X382">
        <f>'T_TTAFStock'!V33</f>
        <v/>
      </c>
      <c r="Y382">
        <f>'T_TTAFStock'!W33</f>
        <v/>
      </c>
      <c r="Z382">
        <f>'T_TTAFStock'!X33</f>
        <v/>
      </c>
      <c r="AA382">
        <f>'T_TTAFStock'!Y33</f>
        <v/>
      </c>
      <c r="AB382">
        <f>'T_TTAFStock'!Z33</f>
        <v/>
      </c>
      <c r="AC382">
        <f>'T_TTAFStock'!AA33</f>
        <v/>
      </c>
      <c r="AD382">
        <f>'T_TTAFStock'!AB33</f>
        <v/>
      </c>
      <c r="AE382">
        <f>'T_TTAFStock'!AC33</f>
        <v/>
      </c>
      <c r="AF382">
        <f>'T_TTAFStock'!AD33</f>
        <v/>
      </c>
      <c r="AG382">
        <f>'T_TTAFStock'!AE33</f>
        <v/>
      </c>
      <c r="AH382">
        <f>'T_TTAFStock'!AF33</f>
        <v/>
      </c>
      <c r="AI382">
        <f>'T_TTAFStock'!AG33</f>
        <v/>
      </c>
      <c r="AJ382">
        <f>'T_TTAFStock'!AH33</f>
        <v/>
      </c>
      <c r="AK382">
        <f>'T_TTAFStock'!AI33</f>
        <v/>
      </c>
      <c r="AL382">
        <f>'T_TTAFStock'!AJ33</f>
        <v/>
      </c>
      <c r="AM382">
        <f>'T_TTAFStock'!AK33</f>
        <v/>
      </c>
      <c r="AN382">
        <f>'T_TTAFStock'!AL33</f>
        <v/>
      </c>
      <c r="AO382">
        <f>'T_TTAFStock'!AM33</f>
        <v/>
      </c>
      <c r="AP382">
        <f>'T_TTAFStock'!AN33</f>
        <v/>
      </c>
      <c r="AQ382">
        <f>'T_TTAFStock'!AO33</f>
        <v/>
      </c>
      <c r="AR382">
        <f>'T_TTAFStock'!AP33</f>
        <v/>
      </c>
      <c r="AS382">
        <f>'T_TTAFStock'!AQ33</f>
        <v/>
      </c>
      <c r="AT382">
        <f>'T_TTAFStock'!AR33</f>
        <v/>
      </c>
      <c r="AU382">
        <f>'T_TTAFStock'!AS33</f>
        <v/>
      </c>
      <c r="AV382">
        <f>'T_TTAFStock'!AT33</f>
        <v/>
      </c>
      <c r="AW382">
        <f>'T_TTAFStock'!AU33</f>
        <v/>
      </c>
      <c r="AX382">
        <f>'T_TTAFStock'!AV33</f>
        <v/>
      </c>
      <c r="AY382">
        <f>'T_TTAFStock'!AW33</f>
        <v/>
      </c>
      <c r="AZ382">
        <f>'T_TTAFStock'!AX33</f>
        <v/>
      </c>
      <c r="BA382">
        <f>'T_TTAFStock'!AY33</f>
        <v/>
      </c>
      <c r="BB382">
        <f>'T_TTAFStock'!AZ33</f>
        <v/>
      </c>
      <c r="BC382">
        <f>'T_TTAFStock'!BA33</f>
        <v/>
      </c>
      <c r="BD382">
        <f>'T_TTAFStock'!BB33</f>
        <v/>
      </c>
      <c r="BE382">
        <f>'T_TTAFStock'!BC33</f>
        <v/>
      </c>
      <c r="BF382">
        <f>'T_TTAFStock'!BD33</f>
        <v/>
      </c>
      <c r="BG382">
        <f>'T_TTAFStock'!BE33</f>
        <v/>
      </c>
      <c r="BH382">
        <f>'T_TTAFStock'!BF33</f>
        <v/>
      </c>
      <c r="BI382">
        <f>'T_TTAFStock'!BG33</f>
        <v/>
      </c>
      <c r="BJ382">
        <f>'T_TTAFStock'!BH33</f>
        <v/>
      </c>
      <c r="BK382">
        <f>'T_TTAFStock'!BI33</f>
        <v/>
      </c>
      <c r="BL382">
        <f>'T_TTAFStock'!BJ33</f>
        <v/>
      </c>
      <c r="BM382">
        <f>'T_TTAFStock'!BK33</f>
        <v/>
      </c>
      <c r="BN382">
        <f>'T_TTAFStock'!BL33</f>
        <v/>
      </c>
      <c r="BO382">
        <f>'T_TTAFStock'!BM33</f>
        <v/>
      </c>
      <c r="BP382">
        <f>'T_TTAFStock'!BN33</f>
        <v/>
      </c>
      <c r="BQ382">
        <f>'T_TTAFStock'!BO33</f>
        <v/>
      </c>
      <c r="BR382">
        <f>'T_TTAFStock'!BP33</f>
        <v/>
      </c>
      <c r="BS382">
        <f>'T_TTAFStock'!BQ33</f>
        <v/>
      </c>
      <c r="BT382">
        <f>'T_TTAFStock'!BR33</f>
        <v/>
      </c>
      <c r="BU382">
        <f>'T_TTAFStock'!BS33</f>
        <v/>
      </c>
      <c r="BV382">
        <f>'T_TTAFStock'!BT33</f>
        <v/>
      </c>
      <c r="BW382">
        <f>'T_TTAFStock'!BU33</f>
        <v/>
      </c>
      <c r="BX382">
        <f>'T_TTAFStock'!BV33</f>
        <v/>
      </c>
      <c r="BY382">
        <f>'T_TTAFStock'!BW33</f>
        <v/>
      </c>
      <c r="BZ382">
        <f>'T_TTAFStock'!BX33</f>
        <v/>
      </c>
      <c r="CA382">
        <f>'T_TTAFStock'!BY33</f>
        <v/>
      </c>
      <c r="CB382">
        <f>'T_TTAFStock'!BZ33</f>
        <v/>
      </c>
      <c r="CC382">
        <f>'T_TTAFStock'!CA33</f>
        <v/>
      </c>
      <c r="CD382">
        <f>'T_TTAFStock'!CB33</f>
        <v/>
      </c>
      <c r="CE382">
        <f>'T_TTAFStock'!CC33</f>
        <v/>
      </c>
      <c r="CF382">
        <f>'T_TTAFStock'!CD33</f>
        <v/>
      </c>
      <c r="CG382">
        <f>'T_TTAFStock'!CE33</f>
        <v/>
      </c>
      <c r="CH382">
        <f>'T_TTAFStock'!CF33</f>
        <v/>
      </c>
      <c r="CI382">
        <f>'T_TTAFStock'!CG33</f>
        <v/>
      </c>
      <c r="CJ382">
        <f>'T_TTAFStock'!CH33</f>
        <v/>
      </c>
      <c r="CK382">
        <f>'T_TTAFStock'!CI33</f>
        <v/>
      </c>
      <c r="CL382">
        <f>'T_TTAFStock'!CJ33</f>
        <v/>
      </c>
      <c r="CM382">
        <f>'T_TTAFStock'!CK33</f>
        <v/>
      </c>
      <c r="CN382">
        <f>'T_TTAFStock'!CL33</f>
        <v/>
      </c>
      <c r="CO382">
        <f>'T_TTAFStock'!CM33</f>
        <v/>
      </c>
      <c r="CP382">
        <f>'T_TTAFStock'!CN33</f>
        <v/>
      </c>
      <c r="CQ382">
        <f>'T_TTAFStock'!CO33</f>
        <v/>
      </c>
      <c r="CR382">
        <f>'T_TTAFStock'!CP33</f>
        <v/>
      </c>
      <c r="CS382">
        <f>'T_TTAFStock'!CQ33</f>
        <v/>
      </c>
      <c r="CT382">
        <f>'T_TTAFStock'!CR33</f>
        <v/>
      </c>
      <c r="CU382">
        <f>'T_TTAFStock'!CS33</f>
        <v/>
      </c>
      <c r="CV382">
        <f>'T_TTAFStock'!CT33</f>
        <v/>
      </c>
      <c r="CW382">
        <f>'T_TTAFStock'!CU33</f>
        <v/>
      </c>
      <c r="CX382">
        <f>'T_TTAFStock'!CV33</f>
        <v/>
      </c>
      <c r="CY382">
        <f>'T_TTAFStock'!CW33</f>
        <v/>
      </c>
      <c r="CZ382">
        <f>'T_TTAFStock'!CX33</f>
        <v/>
      </c>
      <c r="DA382">
        <f>'T_TTAFStock'!CY33</f>
        <v/>
      </c>
      <c r="DB382">
        <f>'T_TTAFStock'!CZ33</f>
        <v/>
      </c>
      <c r="DC382">
        <f>'T_TTAFStock'!DA33</f>
        <v/>
      </c>
    </row>
    <row r="383">
      <c r="B383" t="inlineStr">
        <is>
          <t>自社在庫(実績,kg)</t>
        </is>
      </c>
      <c r="D383">
        <f>'T_SelfStock'!B33</f>
        <v/>
      </c>
      <c r="E383">
        <f>'T_SelfStock'!C33</f>
        <v/>
      </c>
      <c r="F383">
        <f>'T_SelfStock'!D33</f>
        <v/>
      </c>
      <c r="G383">
        <f>'T_SelfStock'!E33</f>
        <v/>
      </c>
      <c r="H383">
        <f>'T_SelfStock'!F33</f>
        <v/>
      </c>
      <c r="I383">
        <f>'T_SelfStock'!G33</f>
        <v/>
      </c>
      <c r="J383">
        <f>'T_SelfStock'!H33</f>
        <v/>
      </c>
      <c r="K383">
        <f>'T_SelfStock'!I33</f>
        <v/>
      </c>
      <c r="L383">
        <f>'T_SelfStock'!J33</f>
        <v/>
      </c>
      <c r="M383">
        <f>'T_SelfStock'!K33</f>
        <v/>
      </c>
      <c r="N383">
        <f>'T_SelfStock'!L33</f>
        <v/>
      </c>
      <c r="O383">
        <f>'T_SelfStock'!M33</f>
        <v/>
      </c>
      <c r="P383">
        <f>'T_SelfStock'!N33</f>
        <v/>
      </c>
      <c r="Q383">
        <f>'T_SelfStock'!O33</f>
        <v/>
      </c>
      <c r="R383">
        <f>'T_SelfStock'!P33</f>
        <v/>
      </c>
      <c r="S383">
        <f>'T_SelfStock'!Q33</f>
        <v/>
      </c>
      <c r="T383">
        <f>'T_SelfStock'!R33</f>
        <v/>
      </c>
      <c r="U383">
        <f>'T_SelfStock'!S33</f>
        <v/>
      </c>
      <c r="V383">
        <f>'T_SelfStock'!T33</f>
        <v/>
      </c>
      <c r="W383">
        <f>'T_SelfStock'!U33</f>
        <v/>
      </c>
      <c r="X383">
        <f>'T_SelfStock'!V33</f>
        <v/>
      </c>
      <c r="Y383">
        <f>'T_SelfStock'!W33</f>
        <v/>
      </c>
      <c r="Z383">
        <f>'T_SelfStock'!X33</f>
        <v/>
      </c>
      <c r="AA383">
        <f>'T_SelfStock'!Y33</f>
        <v/>
      </c>
      <c r="AB383">
        <f>'T_SelfStock'!Z33</f>
        <v/>
      </c>
      <c r="AC383">
        <f>'T_SelfStock'!AA33</f>
        <v/>
      </c>
      <c r="AD383">
        <f>'T_SelfStock'!AB33</f>
        <v/>
      </c>
      <c r="AE383">
        <f>'T_SelfStock'!AC33</f>
        <v/>
      </c>
      <c r="AF383">
        <f>'T_SelfStock'!AD33</f>
        <v/>
      </c>
      <c r="AG383">
        <f>'T_SelfStock'!AE33</f>
        <v/>
      </c>
      <c r="AH383">
        <f>'T_SelfStock'!AF33</f>
        <v/>
      </c>
      <c r="AI383">
        <f>'T_SelfStock'!AG33</f>
        <v/>
      </c>
      <c r="AJ383">
        <f>'T_SelfStock'!AH33</f>
        <v/>
      </c>
      <c r="AK383">
        <f>'T_SelfStock'!AI33</f>
        <v/>
      </c>
      <c r="AL383">
        <f>'T_SelfStock'!AJ33</f>
        <v/>
      </c>
      <c r="AM383">
        <f>'T_SelfStock'!AK33</f>
        <v/>
      </c>
      <c r="AN383">
        <f>'T_SelfStock'!AL33</f>
        <v/>
      </c>
      <c r="AO383">
        <f>'T_SelfStock'!AM33</f>
        <v/>
      </c>
      <c r="AP383">
        <f>'T_SelfStock'!AN33</f>
        <v/>
      </c>
      <c r="AQ383">
        <f>'T_SelfStock'!AO33</f>
        <v/>
      </c>
      <c r="AR383">
        <f>'T_SelfStock'!AP33</f>
        <v/>
      </c>
      <c r="AS383">
        <f>'T_SelfStock'!AQ33</f>
        <v/>
      </c>
      <c r="AT383">
        <f>'T_SelfStock'!AR33</f>
        <v/>
      </c>
      <c r="AU383">
        <f>'T_SelfStock'!AS33</f>
        <v/>
      </c>
      <c r="AV383">
        <f>'T_SelfStock'!AT33</f>
        <v/>
      </c>
      <c r="AW383">
        <f>'T_SelfStock'!AU33</f>
        <v/>
      </c>
      <c r="AX383">
        <f>'T_SelfStock'!AV33</f>
        <v/>
      </c>
      <c r="AY383">
        <f>'T_SelfStock'!AW33</f>
        <v/>
      </c>
      <c r="AZ383">
        <f>'T_SelfStock'!AX33</f>
        <v/>
      </c>
      <c r="BA383">
        <f>'T_SelfStock'!AY33</f>
        <v/>
      </c>
      <c r="BB383">
        <f>'T_SelfStock'!AZ33</f>
        <v/>
      </c>
      <c r="BC383">
        <f>'T_SelfStock'!BA33</f>
        <v/>
      </c>
      <c r="BD383">
        <f>'T_SelfStock'!BB33</f>
        <v/>
      </c>
      <c r="BE383">
        <f>'T_SelfStock'!BC33</f>
        <v/>
      </c>
      <c r="BF383">
        <f>'T_SelfStock'!BD33</f>
        <v/>
      </c>
      <c r="BG383">
        <f>'T_SelfStock'!BE33</f>
        <v/>
      </c>
      <c r="BH383">
        <f>'T_SelfStock'!BF33</f>
        <v/>
      </c>
      <c r="BI383">
        <f>'T_SelfStock'!BG33</f>
        <v/>
      </c>
      <c r="BJ383">
        <f>'T_SelfStock'!BH33</f>
        <v/>
      </c>
      <c r="BK383">
        <f>'T_SelfStock'!BI33</f>
        <v/>
      </c>
      <c r="BL383">
        <f>'T_SelfStock'!BJ33</f>
        <v/>
      </c>
      <c r="BM383">
        <f>'T_SelfStock'!BK33</f>
        <v/>
      </c>
      <c r="BN383">
        <f>'T_SelfStock'!BL33</f>
        <v/>
      </c>
      <c r="BO383">
        <f>'T_SelfStock'!BM33</f>
        <v/>
      </c>
      <c r="BP383">
        <f>'T_SelfStock'!BN33</f>
        <v/>
      </c>
      <c r="BQ383">
        <f>'T_SelfStock'!BO33</f>
        <v/>
      </c>
      <c r="BR383">
        <f>'T_SelfStock'!BP33</f>
        <v/>
      </c>
      <c r="BS383">
        <f>'T_SelfStock'!BQ33</f>
        <v/>
      </c>
      <c r="BT383">
        <f>'T_SelfStock'!BR33</f>
        <v/>
      </c>
      <c r="BU383">
        <f>'T_SelfStock'!BS33</f>
        <v/>
      </c>
      <c r="BV383">
        <f>'T_SelfStock'!BT33</f>
        <v/>
      </c>
      <c r="BW383">
        <f>'T_SelfStock'!BU33</f>
        <v/>
      </c>
      <c r="BX383">
        <f>'T_SelfStock'!BV33</f>
        <v/>
      </c>
      <c r="BY383">
        <f>'T_SelfStock'!BW33</f>
        <v/>
      </c>
      <c r="BZ383">
        <f>'T_SelfStock'!BX33</f>
        <v/>
      </c>
      <c r="CA383">
        <f>'T_SelfStock'!BY33</f>
        <v/>
      </c>
      <c r="CB383">
        <f>'T_SelfStock'!BZ33</f>
        <v/>
      </c>
      <c r="CC383">
        <f>'T_SelfStock'!CA33</f>
        <v/>
      </c>
      <c r="CD383">
        <f>'T_SelfStock'!CB33</f>
        <v/>
      </c>
      <c r="CE383">
        <f>'T_SelfStock'!CC33</f>
        <v/>
      </c>
      <c r="CF383">
        <f>'T_SelfStock'!CD33</f>
        <v/>
      </c>
      <c r="CG383">
        <f>'T_SelfStock'!CE33</f>
        <v/>
      </c>
      <c r="CH383">
        <f>'T_SelfStock'!CF33</f>
        <v/>
      </c>
      <c r="CI383">
        <f>'T_SelfStock'!CG33</f>
        <v/>
      </c>
      <c r="CJ383">
        <f>'T_SelfStock'!CH33</f>
        <v/>
      </c>
      <c r="CK383">
        <f>'T_SelfStock'!CI33</f>
        <v/>
      </c>
      <c r="CL383">
        <f>'T_SelfStock'!CJ33</f>
        <v/>
      </c>
      <c r="CM383">
        <f>'T_SelfStock'!CK33</f>
        <v/>
      </c>
      <c r="CN383">
        <f>'T_SelfStock'!CL33</f>
        <v/>
      </c>
      <c r="CO383">
        <f>'T_SelfStock'!CM33</f>
        <v/>
      </c>
      <c r="CP383">
        <f>'T_SelfStock'!CN33</f>
        <v/>
      </c>
      <c r="CQ383">
        <f>'T_SelfStock'!CO33</f>
        <v/>
      </c>
      <c r="CR383">
        <f>'T_SelfStock'!CP33</f>
        <v/>
      </c>
      <c r="CS383">
        <f>'T_SelfStock'!CQ33</f>
        <v/>
      </c>
      <c r="CT383">
        <f>'T_SelfStock'!CR33</f>
        <v/>
      </c>
      <c r="CU383">
        <f>'T_SelfStock'!CS33</f>
        <v/>
      </c>
      <c r="CV383">
        <f>'T_SelfStock'!CT33</f>
        <v/>
      </c>
      <c r="CW383">
        <f>'T_SelfStock'!CU33</f>
        <v/>
      </c>
      <c r="CX383">
        <f>'T_SelfStock'!CV33</f>
        <v/>
      </c>
      <c r="CY383">
        <f>'T_SelfStock'!CW33</f>
        <v/>
      </c>
      <c r="CZ383">
        <f>'T_SelfStock'!CX33</f>
        <v/>
      </c>
      <c r="DA383">
        <f>'T_SelfStock'!CY33</f>
        <v/>
      </c>
      <c r="DB383">
        <f>'T_SelfStock'!CZ33</f>
        <v/>
      </c>
      <c r="DC383">
        <f>'T_SelfStock'!DA33</f>
        <v/>
      </c>
    </row>
    <row r="384">
      <c r="B384" t="inlineStr">
        <is>
          <t>Order(発注予定,kg)</t>
        </is>
      </c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  <c r="AA384" s="23" t="n"/>
      <c r="AB384" s="23" t="n"/>
      <c r="AC384" s="23" t="n"/>
      <c r="AD384" s="23" t="n"/>
      <c r="AE384" s="23" t="n"/>
      <c r="AF384" s="23" t="n"/>
      <c r="AG384" s="23" t="n"/>
      <c r="AH384" s="23" t="n"/>
      <c r="AI384" s="23" t="n"/>
      <c r="AJ384" s="23" t="n"/>
      <c r="AK384" s="23" t="n"/>
      <c r="AL384" s="23" t="n"/>
      <c r="AM384" s="23" t="n"/>
      <c r="AN384" s="23" t="n"/>
      <c r="AO384" s="23" t="n"/>
      <c r="AP384" s="23" t="n"/>
      <c r="AQ384" s="23" t="n"/>
      <c r="AR384" s="23" t="n"/>
      <c r="AS384" s="23" t="n"/>
      <c r="AT384" s="23" t="n"/>
      <c r="AU384" s="23" t="n"/>
      <c r="AV384" s="23" t="n"/>
      <c r="AW384" s="23" t="n"/>
      <c r="AX384" s="23" t="n"/>
      <c r="AY384" s="23" t="n"/>
      <c r="AZ384" s="23" t="n"/>
      <c r="BA384" s="23" t="n"/>
      <c r="BB384" s="23" t="n"/>
      <c r="BC384" s="23" t="n"/>
      <c r="BD384" s="23" t="n"/>
      <c r="BE384" s="23" t="n"/>
      <c r="BF384" s="23" t="n"/>
      <c r="BG384" s="23" t="n"/>
      <c r="BH384" s="23" t="n"/>
      <c r="BI384" s="23" t="n"/>
      <c r="BJ384" s="23" t="n"/>
      <c r="BK384" s="23" t="n"/>
      <c r="BL384" s="23" t="n"/>
      <c r="BM384" s="23" t="n"/>
      <c r="BN384" s="23" t="n"/>
      <c r="BO384" s="23" t="n"/>
      <c r="BP384" s="23" t="n"/>
      <c r="BQ384" s="23" t="n"/>
      <c r="BR384" s="23" t="n"/>
      <c r="BS384" s="23" t="n"/>
      <c r="BT384" s="23" t="n"/>
      <c r="BU384" s="23" t="n"/>
      <c r="BV384" s="23" t="n"/>
      <c r="BW384" s="23" t="n"/>
      <c r="BX384" s="23" t="n"/>
      <c r="BY384" s="23" t="n"/>
      <c r="BZ384" s="23" t="n"/>
      <c r="CA384" s="23" t="n"/>
      <c r="CB384" s="23" t="n"/>
      <c r="CC384" s="23" t="n"/>
      <c r="CD384" s="23" t="n"/>
      <c r="CE384" s="23" t="n"/>
      <c r="CF384" s="23" t="n"/>
      <c r="CG384" s="23" t="n"/>
      <c r="CH384" s="23" t="n"/>
      <c r="CI384" s="23" t="n"/>
      <c r="CJ384" s="23" t="n"/>
      <c r="CK384" s="23" t="n"/>
      <c r="CL384" s="23" t="n"/>
      <c r="CM384" s="23" t="n"/>
      <c r="CN384" s="23" t="n"/>
      <c r="CO384" s="23" t="n"/>
      <c r="CP384" s="23" t="n"/>
      <c r="CQ384" s="23" t="n"/>
      <c r="CR384" s="23" t="n"/>
      <c r="CS384" s="23" t="n"/>
      <c r="CT384" s="23" t="n"/>
      <c r="CU384" s="23" t="n"/>
      <c r="CV384" s="23" t="n"/>
      <c r="CW384" s="23" t="n"/>
      <c r="CX384" s="23" t="n"/>
      <c r="CY384" s="23" t="n"/>
      <c r="CZ384" s="23" t="n"/>
      <c r="DA384" s="23" t="n"/>
      <c r="DB384" s="23" t="n"/>
      <c r="DC384" s="23" t="n"/>
      <c r="DE384" s="12" t="inlineStr">
        <is>
          <t>CHEM-1120</t>
        </is>
      </c>
    </row>
    <row r="385">
      <c r="B385" s="24" t="inlineStr">
        <is>
          <t>PO_No</t>
        </is>
      </c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  <c r="AD385" s="25" t="n"/>
      <c r="AE385" s="25" t="n"/>
      <c r="AF385" s="25" t="n"/>
      <c r="AG385" s="25" t="n"/>
      <c r="AH385" s="25" t="n"/>
      <c r="AI385" s="25" t="n"/>
      <c r="AJ385" s="25" t="n"/>
      <c r="AK385" s="25" t="n"/>
      <c r="AL385" s="25" t="n"/>
      <c r="AM385" s="25" t="n"/>
      <c r="AN385" s="25" t="n"/>
      <c r="AO385" s="25" t="n"/>
      <c r="AP385" s="25" t="n"/>
      <c r="AQ385" s="25" t="n"/>
      <c r="AR385" s="25" t="n"/>
      <c r="AS385" s="25" t="n"/>
      <c r="AT385" s="25" t="n"/>
      <c r="AU385" s="25" t="n"/>
      <c r="AV385" s="25" t="n"/>
      <c r="AW385" s="25" t="n"/>
      <c r="AX385" s="25" t="n"/>
      <c r="AY385" s="25" t="n"/>
      <c r="AZ385" s="25" t="n"/>
      <c r="BA385" s="25" t="n"/>
      <c r="BB385" s="25" t="n"/>
      <c r="BC385" s="25" t="n"/>
      <c r="BD385" s="25" t="n"/>
      <c r="BE385" s="25" t="n"/>
      <c r="BF385" s="25" t="n"/>
      <c r="BG385" s="25" t="n"/>
      <c r="BH385" s="25" t="n"/>
      <c r="BI385" s="25" t="n"/>
      <c r="BJ385" s="25" t="n"/>
      <c r="BK385" s="25" t="n"/>
      <c r="BL385" s="25" t="n"/>
      <c r="BM385" s="25" t="n"/>
      <c r="BN385" s="25" t="n"/>
      <c r="BO385" s="25" t="n"/>
      <c r="BP385" s="25" t="n"/>
      <c r="BQ385" s="25" t="n"/>
      <c r="BR385" s="25" t="n"/>
      <c r="BS385" s="25" t="n"/>
      <c r="BT385" s="25" t="n"/>
      <c r="BU385" s="25" t="n"/>
      <c r="BV385" s="25" t="n"/>
      <c r="BW385" s="25" t="n"/>
      <c r="BX385" s="25" t="n"/>
      <c r="BY385" s="25" t="n"/>
      <c r="BZ385" s="25" t="n"/>
      <c r="CA385" s="25" t="n"/>
      <c r="CB385" s="25" t="n"/>
      <c r="CC385" s="25" t="n"/>
      <c r="CD385" s="25" t="n"/>
      <c r="CE385" s="25" t="n"/>
      <c r="CF385" s="25" t="n"/>
      <c r="CG385" s="25" t="n"/>
      <c r="CH385" s="25" t="n"/>
      <c r="CI385" s="25" t="n"/>
      <c r="CJ385" s="25" t="n"/>
      <c r="CK385" s="25" t="n"/>
      <c r="CL385" s="25" t="n"/>
      <c r="CM385" s="25" t="n"/>
      <c r="CN385" s="25" t="n"/>
      <c r="CO385" s="25" t="n"/>
      <c r="CP385" s="25" t="n"/>
      <c r="CQ385" s="25" t="n"/>
      <c r="CR385" s="25" t="n"/>
      <c r="CS385" s="25" t="n"/>
      <c r="CT385" s="25" t="n"/>
      <c r="CU385" s="25" t="n"/>
      <c r="CV385" s="25" t="n"/>
      <c r="CW385" s="25" t="n"/>
      <c r="CX385" s="25" t="n"/>
      <c r="CY385" s="25" t="n"/>
      <c r="CZ385" s="25" t="n"/>
      <c r="DA385" s="25" t="n"/>
      <c r="DB385" s="25" t="n"/>
      <c r="DC385" s="25" t="n"/>
    </row>
    <row r="386">
      <c r="B386" s="5" t="inlineStr">
        <is>
          <t>合計在庫(週末時点,kg)</t>
        </is>
      </c>
      <c r="D386">
        <f>'Grid_Stock'!B29</f>
        <v/>
      </c>
      <c r="E386">
        <f>'Grid_Stock'!C29</f>
        <v/>
      </c>
      <c r="F386">
        <f>'Grid_Stock'!D29</f>
        <v/>
      </c>
      <c r="G386">
        <f>'Grid_Stock'!E29</f>
        <v/>
      </c>
      <c r="H386">
        <f>'Grid_Stock'!F29</f>
        <v/>
      </c>
      <c r="I386">
        <f>'Grid_Stock'!G29</f>
        <v/>
      </c>
      <c r="J386">
        <f>'Grid_Stock'!H29</f>
        <v/>
      </c>
      <c r="K386">
        <f>'Grid_Stock'!I29</f>
        <v/>
      </c>
      <c r="L386">
        <f>'Grid_Stock'!J29</f>
        <v/>
      </c>
      <c r="M386">
        <f>'Grid_Stock'!K29</f>
        <v/>
      </c>
      <c r="N386">
        <f>'Grid_Stock'!L29</f>
        <v/>
      </c>
      <c r="O386">
        <f>'Grid_Stock'!M29</f>
        <v/>
      </c>
      <c r="P386">
        <f>'Grid_Stock'!N29</f>
        <v/>
      </c>
      <c r="Q386">
        <f>'Grid_Stock'!O29</f>
        <v/>
      </c>
      <c r="R386">
        <f>'Grid_Stock'!P29</f>
        <v/>
      </c>
      <c r="S386">
        <f>'Grid_Stock'!Q29</f>
        <v/>
      </c>
      <c r="T386">
        <f>'Grid_Stock'!R29</f>
        <v/>
      </c>
      <c r="U386">
        <f>'Grid_Stock'!S29</f>
        <v/>
      </c>
      <c r="V386">
        <f>'Grid_Stock'!T29</f>
        <v/>
      </c>
      <c r="W386">
        <f>'Grid_Stock'!U29</f>
        <v/>
      </c>
      <c r="X386">
        <f>'Grid_Stock'!V29</f>
        <v/>
      </c>
      <c r="Y386">
        <f>'Grid_Stock'!W29</f>
        <v/>
      </c>
      <c r="Z386">
        <f>'Grid_Stock'!X29</f>
        <v/>
      </c>
      <c r="AA386">
        <f>'Grid_Stock'!Y29</f>
        <v/>
      </c>
      <c r="AB386">
        <f>'Grid_Stock'!Z29</f>
        <v/>
      </c>
      <c r="AC386">
        <f>'Grid_Stock'!AA29</f>
        <v/>
      </c>
      <c r="AD386">
        <f>'Grid_Stock'!AB29</f>
        <v/>
      </c>
      <c r="AE386">
        <f>'Grid_Stock'!AC29</f>
        <v/>
      </c>
      <c r="AF386">
        <f>'Grid_Stock'!AD29</f>
        <v/>
      </c>
      <c r="AG386">
        <f>'Grid_Stock'!AE29</f>
        <v/>
      </c>
      <c r="AH386">
        <f>'Grid_Stock'!AF29</f>
        <v/>
      </c>
      <c r="AI386">
        <f>'Grid_Stock'!AG29</f>
        <v/>
      </c>
      <c r="AJ386">
        <f>'Grid_Stock'!AH29</f>
        <v/>
      </c>
      <c r="AK386">
        <f>'Grid_Stock'!AI29</f>
        <v/>
      </c>
      <c r="AL386">
        <f>'Grid_Stock'!AJ29</f>
        <v/>
      </c>
      <c r="AM386">
        <f>'Grid_Stock'!AK29</f>
        <v/>
      </c>
      <c r="AN386">
        <f>'Grid_Stock'!AL29</f>
        <v/>
      </c>
      <c r="AO386">
        <f>'Grid_Stock'!AM29</f>
        <v/>
      </c>
      <c r="AP386">
        <f>'Grid_Stock'!AN29</f>
        <v/>
      </c>
      <c r="AQ386">
        <f>'Grid_Stock'!AO29</f>
        <v/>
      </c>
      <c r="AR386">
        <f>'Grid_Stock'!AP29</f>
        <v/>
      </c>
      <c r="AS386">
        <f>'Grid_Stock'!AQ29</f>
        <v/>
      </c>
      <c r="AT386">
        <f>'Grid_Stock'!AR29</f>
        <v/>
      </c>
      <c r="AU386">
        <f>'Grid_Stock'!AS29</f>
        <v/>
      </c>
      <c r="AV386">
        <f>'Grid_Stock'!AT29</f>
        <v/>
      </c>
      <c r="AW386">
        <f>'Grid_Stock'!AU29</f>
        <v/>
      </c>
      <c r="AX386">
        <f>'Grid_Stock'!AV29</f>
        <v/>
      </c>
      <c r="AY386">
        <f>'Grid_Stock'!AW29</f>
        <v/>
      </c>
      <c r="AZ386">
        <f>'Grid_Stock'!AX29</f>
        <v/>
      </c>
      <c r="BA386">
        <f>'Grid_Stock'!AY29</f>
        <v/>
      </c>
      <c r="BB386">
        <f>'Grid_Stock'!AZ29</f>
        <v/>
      </c>
      <c r="BC386">
        <f>'Grid_Stock'!BA29</f>
        <v/>
      </c>
      <c r="BD386">
        <f>'Grid_Stock'!BB29</f>
        <v/>
      </c>
      <c r="BE386">
        <f>'Grid_Stock'!BC29</f>
        <v/>
      </c>
      <c r="BF386">
        <f>'Grid_Stock'!BD29</f>
        <v/>
      </c>
      <c r="BG386">
        <f>'Grid_Stock'!BE29</f>
        <v/>
      </c>
      <c r="BH386">
        <f>'Grid_Stock'!BF29</f>
        <v/>
      </c>
      <c r="BI386">
        <f>'Grid_Stock'!BG29</f>
        <v/>
      </c>
      <c r="BJ386">
        <f>'Grid_Stock'!BH29</f>
        <v/>
      </c>
      <c r="BK386">
        <f>'Grid_Stock'!BI29</f>
        <v/>
      </c>
      <c r="BL386">
        <f>'Grid_Stock'!BJ29</f>
        <v/>
      </c>
      <c r="BM386">
        <f>'Grid_Stock'!BK29</f>
        <v/>
      </c>
      <c r="BN386">
        <f>'Grid_Stock'!BL29</f>
        <v/>
      </c>
      <c r="BO386">
        <f>'Grid_Stock'!BM29</f>
        <v/>
      </c>
      <c r="BP386">
        <f>'Grid_Stock'!BN29</f>
        <v/>
      </c>
      <c r="BQ386">
        <f>'Grid_Stock'!BO29</f>
        <v/>
      </c>
      <c r="BR386">
        <f>'Grid_Stock'!BP29</f>
        <v/>
      </c>
      <c r="BS386">
        <f>'Grid_Stock'!BQ29</f>
        <v/>
      </c>
      <c r="BT386">
        <f>'Grid_Stock'!BR29</f>
        <v/>
      </c>
      <c r="BU386">
        <f>'Grid_Stock'!BS29</f>
        <v/>
      </c>
      <c r="BV386">
        <f>'Grid_Stock'!BT29</f>
        <v/>
      </c>
      <c r="BW386">
        <f>'Grid_Stock'!BU29</f>
        <v/>
      </c>
      <c r="BX386">
        <f>'Grid_Stock'!BV29</f>
        <v/>
      </c>
      <c r="BY386">
        <f>'Grid_Stock'!BW29</f>
        <v/>
      </c>
      <c r="BZ386">
        <f>'Grid_Stock'!BX29</f>
        <v/>
      </c>
      <c r="CA386">
        <f>'Grid_Stock'!BY29</f>
        <v/>
      </c>
      <c r="CB386">
        <f>'Grid_Stock'!BZ29</f>
        <v/>
      </c>
      <c r="CC386">
        <f>'Grid_Stock'!CA29</f>
        <v/>
      </c>
      <c r="CD386">
        <f>'Grid_Stock'!CB29</f>
        <v/>
      </c>
      <c r="CE386">
        <f>'Grid_Stock'!CC29</f>
        <v/>
      </c>
      <c r="CF386">
        <f>'Grid_Stock'!CD29</f>
        <v/>
      </c>
      <c r="CG386">
        <f>'Grid_Stock'!CE29</f>
        <v/>
      </c>
      <c r="CH386">
        <f>'Grid_Stock'!CF29</f>
        <v/>
      </c>
      <c r="CI386">
        <f>'Grid_Stock'!CG29</f>
        <v/>
      </c>
      <c r="CJ386">
        <f>'Grid_Stock'!CH29</f>
        <v/>
      </c>
      <c r="CK386">
        <f>'Grid_Stock'!CI29</f>
        <v/>
      </c>
      <c r="CL386">
        <f>'Grid_Stock'!CJ29</f>
        <v/>
      </c>
      <c r="CM386">
        <f>'Grid_Stock'!CK29</f>
        <v/>
      </c>
      <c r="CN386">
        <f>'Grid_Stock'!CL29</f>
        <v/>
      </c>
      <c r="CO386">
        <f>'Grid_Stock'!CM29</f>
        <v/>
      </c>
      <c r="CP386">
        <f>'Grid_Stock'!CN29</f>
        <v/>
      </c>
      <c r="CQ386">
        <f>'Grid_Stock'!CO29</f>
        <v/>
      </c>
      <c r="CR386">
        <f>'Grid_Stock'!CP29</f>
        <v/>
      </c>
      <c r="CS386">
        <f>'Grid_Stock'!CQ29</f>
        <v/>
      </c>
      <c r="CT386">
        <f>'Grid_Stock'!CR29</f>
        <v/>
      </c>
      <c r="CU386">
        <f>'Grid_Stock'!CS29</f>
        <v/>
      </c>
      <c r="CV386">
        <f>'Grid_Stock'!CT29</f>
        <v/>
      </c>
      <c r="CW386">
        <f>'Grid_Stock'!CU29</f>
        <v/>
      </c>
      <c r="CX386">
        <f>'Grid_Stock'!CV29</f>
        <v/>
      </c>
      <c r="CY386">
        <f>'Grid_Stock'!CW29</f>
        <v/>
      </c>
      <c r="CZ386">
        <f>'Grid_Stock'!CX29</f>
        <v/>
      </c>
      <c r="DA386">
        <f>'Grid_Stock'!CY29</f>
        <v/>
      </c>
      <c r="DB386">
        <f>'Grid_Stock'!CZ29</f>
        <v/>
      </c>
      <c r="DC386">
        <f>'Grid_Stock'!DA29</f>
        <v/>
      </c>
    </row>
    <row r="387">
      <c r="B387" s="26" t="inlineStr">
        <is>
          <t>（発注の目安はDashboardの基準在庫[下限/上限]と色分けを参照）</t>
        </is>
      </c>
    </row>
    <row r="389">
      <c r="A389" s="21" t="inlineStr">
        <is>
          <t>CHEM-1550</t>
        </is>
      </c>
      <c r="B389" s="21" t="inlineStr">
        <is>
          <t>CHUPOL CC-6</t>
        </is>
      </c>
      <c r="C389" s="22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  <c r="AA389" s="21" t="n"/>
      <c r="AB389" s="21" t="n"/>
      <c r="AC389" s="21" t="n"/>
      <c r="AD389" s="21" t="n"/>
      <c r="AE389" s="21" t="n"/>
      <c r="AF389" s="21" t="n"/>
      <c r="AG389" s="21" t="n"/>
      <c r="AH389" s="21" t="n"/>
      <c r="AI389" s="21" t="n"/>
      <c r="AJ389" s="21" t="n"/>
      <c r="AK389" s="21" t="n"/>
      <c r="AL389" s="21" t="n"/>
      <c r="AM389" s="21" t="n"/>
      <c r="AN389" s="21" t="n"/>
      <c r="AO389" s="21" t="n"/>
      <c r="AP389" s="21" t="n"/>
      <c r="AQ389" s="21" t="n"/>
      <c r="AR389" s="21" t="n"/>
      <c r="AS389" s="21" t="n"/>
      <c r="AT389" s="21" t="n"/>
      <c r="AU389" s="21" t="n"/>
      <c r="AV389" s="21" t="n"/>
      <c r="AW389" s="21" t="n"/>
      <c r="AX389" s="21" t="n"/>
      <c r="AY389" s="21" t="n"/>
      <c r="AZ389" s="21" t="n"/>
      <c r="BA389" s="21" t="n"/>
      <c r="BB389" s="21" t="n"/>
      <c r="BC389" s="21" t="n"/>
      <c r="BD389" s="21" t="n"/>
      <c r="BE389" s="21" t="n"/>
      <c r="BF389" s="21" t="n"/>
      <c r="BG389" s="21" t="n"/>
      <c r="BH389" s="21" t="n"/>
      <c r="BI389" s="21" t="n"/>
      <c r="BJ389" s="21" t="n"/>
      <c r="BK389" s="21" t="n"/>
      <c r="BL389" s="21" t="n"/>
      <c r="BM389" s="21" t="n"/>
      <c r="BN389" s="21" t="n"/>
      <c r="BO389" s="21" t="n"/>
      <c r="BP389" s="21" t="n"/>
      <c r="BQ389" s="21" t="n"/>
      <c r="BR389" s="21" t="n"/>
      <c r="BS389" s="21" t="n"/>
      <c r="BT389" s="21" t="n"/>
      <c r="BU389" s="21" t="n"/>
      <c r="BV389" s="21" t="n"/>
      <c r="BW389" s="21" t="n"/>
      <c r="BX389" s="21" t="n"/>
      <c r="BY389" s="21" t="n"/>
      <c r="BZ389" s="21" t="n"/>
      <c r="CA389" s="21" t="n"/>
      <c r="CB389" s="21" t="n"/>
      <c r="CC389" s="21" t="n"/>
      <c r="CD389" s="21" t="n"/>
      <c r="CE389" s="21" t="n"/>
      <c r="CF389" s="21" t="n"/>
      <c r="CG389" s="21" t="n"/>
      <c r="CH389" s="21" t="n"/>
      <c r="CI389" s="21" t="n"/>
      <c r="CJ389" s="21" t="n"/>
      <c r="CK389" s="21" t="n"/>
      <c r="CL389" s="21" t="n"/>
      <c r="CM389" s="21" t="n"/>
      <c r="CN389" s="21" t="n"/>
      <c r="CO389" s="21" t="n"/>
      <c r="CP389" s="21" t="n"/>
      <c r="CQ389" s="21" t="n"/>
      <c r="CR389" s="21" t="n"/>
      <c r="CS389" s="21" t="n"/>
      <c r="CT389" s="21" t="n"/>
      <c r="CU389" s="21" t="n"/>
      <c r="CV389" s="21" t="n"/>
      <c r="CW389" s="21" t="n"/>
      <c r="CX389" s="21" t="n"/>
      <c r="CY389" s="21" t="n"/>
      <c r="CZ389" s="21" t="n"/>
      <c r="DA389" s="21" t="n"/>
      <c r="DB389" s="21" t="n"/>
      <c r="DC389" s="21" t="n"/>
    </row>
    <row r="390">
      <c r="B390" t="inlineStr">
        <is>
          <t>TSP-402</t>
        </is>
      </c>
      <c r="C390" t="inlineStr">
        <is>
          <t>No. of batches</t>
        </is>
      </c>
      <c r="D390">
        <f>IFERROR(INDEX(PP_Grid[#Data],$DD390,2),0)</f>
        <v/>
      </c>
      <c r="E390">
        <f>IFERROR(INDEX(PP_Grid[#Data],$DD390,3),0)</f>
        <v/>
      </c>
      <c r="F390">
        <f>IFERROR(INDEX(PP_Grid[#Data],$DD390,4),0)</f>
        <v/>
      </c>
      <c r="G390">
        <f>IFERROR(INDEX(PP_Grid[#Data],$DD390,5),0)</f>
        <v/>
      </c>
      <c r="H390">
        <f>IFERROR(INDEX(PP_Grid[#Data],$DD390,6),0)</f>
        <v/>
      </c>
      <c r="I390">
        <f>IFERROR(INDEX(PP_Grid[#Data],$DD390,7),0)</f>
        <v/>
      </c>
      <c r="J390">
        <f>IFERROR(INDEX(PP_Grid[#Data],$DD390,8),0)</f>
        <v/>
      </c>
      <c r="K390">
        <f>IFERROR(INDEX(PP_Grid[#Data],$DD390,9),0)</f>
        <v/>
      </c>
      <c r="L390">
        <f>IFERROR(INDEX(PP_Grid[#Data],$DD390,10),0)</f>
        <v/>
      </c>
      <c r="M390">
        <f>IFERROR(INDEX(PP_Grid[#Data],$DD390,11),0)</f>
        <v/>
      </c>
      <c r="N390">
        <f>IFERROR(INDEX(PP_Grid[#Data],$DD390,12),0)</f>
        <v/>
      </c>
      <c r="O390">
        <f>IFERROR(INDEX(PP_Grid[#Data],$DD390,13),0)</f>
        <v/>
      </c>
      <c r="P390">
        <f>IFERROR(INDEX(PP_Grid[#Data],$DD390,14),0)</f>
        <v/>
      </c>
      <c r="Q390">
        <f>IFERROR(INDEX(PP_Grid[#Data],$DD390,15),0)</f>
        <v/>
      </c>
      <c r="R390">
        <f>IFERROR(INDEX(PP_Grid[#Data],$DD390,16),0)</f>
        <v/>
      </c>
      <c r="S390">
        <f>IFERROR(INDEX(PP_Grid[#Data],$DD390,17),0)</f>
        <v/>
      </c>
      <c r="T390">
        <f>IFERROR(INDEX(PP_Grid[#Data],$DD390,18),0)</f>
        <v/>
      </c>
      <c r="U390">
        <f>IFERROR(INDEX(PP_Grid[#Data],$DD390,19),0)</f>
        <v/>
      </c>
      <c r="V390">
        <f>IFERROR(INDEX(PP_Grid[#Data],$DD390,20),0)</f>
        <v/>
      </c>
      <c r="W390">
        <f>IFERROR(INDEX(PP_Grid[#Data],$DD390,21),0)</f>
        <v/>
      </c>
      <c r="X390">
        <f>IFERROR(INDEX(PP_Grid[#Data],$DD390,22),0)</f>
        <v/>
      </c>
      <c r="Y390">
        <f>IFERROR(INDEX(PP_Grid[#Data],$DD390,23),0)</f>
        <v/>
      </c>
      <c r="Z390">
        <f>IFERROR(INDEX(PP_Grid[#Data],$DD390,24),0)</f>
        <v/>
      </c>
      <c r="AA390">
        <f>IFERROR(INDEX(PP_Grid[#Data],$DD390,25),0)</f>
        <v/>
      </c>
      <c r="AB390">
        <f>IFERROR(INDEX(PP_Grid[#Data],$DD390,26),0)</f>
        <v/>
      </c>
      <c r="AC390">
        <f>IFERROR(INDEX(PP_Grid[#Data],$DD390,27),0)</f>
        <v/>
      </c>
      <c r="AD390">
        <f>IFERROR(INDEX(PP_Grid[#Data],$DD390,28),0)</f>
        <v/>
      </c>
      <c r="AE390">
        <f>IFERROR(INDEX(PP_Grid[#Data],$DD390,29),0)</f>
        <v/>
      </c>
      <c r="AF390">
        <f>IFERROR(INDEX(PP_Grid[#Data],$DD390,30),0)</f>
        <v/>
      </c>
      <c r="AG390">
        <f>IFERROR(INDEX(PP_Grid[#Data],$DD390,31),0)</f>
        <v/>
      </c>
      <c r="AH390">
        <f>IFERROR(INDEX(PP_Grid[#Data],$DD390,32),0)</f>
        <v/>
      </c>
      <c r="AI390">
        <f>IFERROR(INDEX(PP_Grid[#Data],$DD390,33),0)</f>
        <v/>
      </c>
      <c r="AJ390">
        <f>IFERROR(INDEX(PP_Grid[#Data],$DD390,34),0)</f>
        <v/>
      </c>
      <c r="AK390">
        <f>IFERROR(INDEX(PP_Grid[#Data],$DD390,35),0)</f>
        <v/>
      </c>
      <c r="AL390">
        <f>IFERROR(INDEX(PP_Grid[#Data],$DD390,36),0)</f>
        <v/>
      </c>
      <c r="AM390">
        <f>IFERROR(INDEX(PP_Grid[#Data],$DD390,37),0)</f>
        <v/>
      </c>
      <c r="AN390">
        <f>IFERROR(INDEX(PP_Grid[#Data],$DD390,38),0)</f>
        <v/>
      </c>
      <c r="AO390">
        <f>IFERROR(INDEX(PP_Grid[#Data],$DD390,39),0)</f>
        <v/>
      </c>
      <c r="AP390">
        <f>IFERROR(INDEX(PP_Grid[#Data],$DD390,40),0)</f>
        <v/>
      </c>
      <c r="AQ390">
        <f>IFERROR(INDEX(PP_Grid[#Data],$DD390,41),0)</f>
        <v/>
      </c>
      <c r="AR390">
        <f>IFERROR(INDEX(PP_Grid[#Data],$DD390,42),0)</f>
        <v/>
      </c>
      <c r="AS390">
        <f>IFERROR(INDEX(PP_Grid[#Data],$DD390,43),0)</f>
        <v/>
      </c>
      <c r="AT390">
        <f>IFERROR(INDEX(PP_Grid[#Data],$DD390,44),0)</f>
        <v/>
      </c>
      <c r="AU390">
        <f>IFERROR(INDEX(PP_Grid[#Data],$DD390,45),0)</f>
        <v/>
      </c>
      <c r="AV390">
        <f>IFERROR(INDEX(PP_Grid[#Data],$DD390,46),0)</f>
        <v/>
      </c>
      <c r="AW390">
        <f>IFERROR(INDEX(PP_Grid[#Data],$DD390,47),0)</f>
        <v/>
      </c>
      <c r="AX390">
        <f>IFERROR(INDEX(PP_Grid[#Data],$DD390,48),0)</f>
        <v/>
      </c>
      <c r="AY390">
        <f>IFERROR(INDEX(PP_Grid[#Data],$DD390,49),0)</f>
        <v/>
      </c>
      <c r="AZ390">
        <f>IFERROR(INDEX(PP_Grid[#Data],$DD390,50),0)</f>
        <v/>
      </c>
      <c r="BA390">
        <f>IFERROR(INDEX(PP_Grid[#Data],$DD390,51),0)</f>
        <v/>
      </c>
      <c r="BB390">
        <f>IFERROR(INDEX(PP_Grid[#Data],$DD390,52),0)</f>
        <v/>
      </c>
      <c r="BC390">
        <f>IFERROR(INDEX(PP_Grid[#Data],$DD390,53),0)</f>
        <v/>
      </c>
      <c r="BD390">
        <f>IFERROR(INDEX(PP_Grid[#Data],$DD390,54),0)</f>
        <v/>
      </c>
      <c r="BE390">
        <f>IFERROR(INDEX(PP_Grid[#Data],$DD390,55),0)</f>
        <v/>
      </c>
      <c r="BF390">
        <f>IFERROR(INDEX(PP_Grid[#Data],$DD390,56),0)</f>
        <v/>
      </c>
      <c r="BG390">
        <f>IFERROR(INDEX(PP_Grid[#Data],$DD390,57),0)</f>
        <v/>
      </c>
      <c r="BH390">
        <f>IFERROR(INDEX(PP_Grid[#Data],$DD390,58),0)</f>
        <v/>
      </c>
      <c r="BI390">
        <f>IFERROR(INDEX(PP_Grid[#Data],$DD390,59),0)</f>
        <v/>
      </c>
      <c r="BJ390">
        <f>IFERROR(INDEX(PP_Grid[#Data],$DD390,60),0)</f>
        <v/>
      </c>
      <c r="BK390">
        <f>IFERROR(INDEX(PP_Grid[#Data],$DD390,61),0)</f>
        <v/>
      </c>
      <c r="BL390">
        <f>IFERROR(INDEX(PP_Grid[#Data],$DD390,62),0)</f>
        <v/>
      </c>
      <c r="BM390">
        <f>IFERROR(INDEX(PP_Grid[#Data],$DD390,63),0)</f>
        <v/>
      </c>
      <c r="BN390">
        <f>IFERROR(INDEX(PP_Grid[#Data],$DD390,64),0)</f>
        <v/>
      </c>
      <c r="BO390">
        <f>IFERROR(INDEX(PP_Grid[#Data],$DD390,65),0)</f>
        <v/>
      </c>
      <c r="BP390">
        <f>IFERROR(INDEX(PP_Grid[#Data],$DD390,66),0)</f>
        <v/>
      </c>
      <c r="BQ390">
        <f>IFERROR(INDEX(PP_Grid[#Data],$DD390,67),0)</f>
        <v/>
      </c>
      <c r="BR390">
        <f>IFERROR(INDEX(PP_Grid[#Data],$DD390,68),0)</f>
        <v/>
      </c>
      <c r="BS390">
        <f>IFERROR(INDEX(PP_Grid[#Data],$DD390,69),0)</f>
        <v/>
      </c>
      <c r="BT390">
        <f>IFERROR(INDEX(PP_Grid[#Data],$DD390,70),0)</f>
        <v/>
      </c>
      <c r="BU390">
        <f>IFERROR(INDEX(PP_Grid[#Data],$DD390,71),0)</f>
        <v/>
      </c>
      <c r="BV390">
        <f>IFERROR(INDEX(PP_Grid[#Data],$DD390,72),0)</f>
        <v/>
      </c>
      <c r="BW390">
        <f>IFERROR(INDEX(PP_Grid[#Data],$DD390,73),0)</f>
        <v/>
      </c>
      <c r="BX390">
        <f>IFERROR(INDEX(PP_Grid[#Data],$DD390,74),0)</f>
        <v/>
      </c>
      <c r="BY390">
        <f>IFERROR(INDEX(PP_Grid[#Data],$DD390,75),0)</f>
        <v/>
      </c>
      <c r="BZ390">
        <f>IFERROR(INDEX(PP_Grid[#Data],$DD390,76),0)</f>
        <v/>
      </c>
      <c r="CA390">
        <f>IFERROR(INDEX(PP_Grid[#Data],$DD390,77),0)</f>
        <v/>
      </c>
      <c r="CB390">
        <f>IFERROR(INDEX(PP_Grid[#Data],$DD390,78),0)</f>
        <v/>
      </c>
      <c r="CC390">
        <f>IFERROR(INDEX(PP_Grid[#Data],$DD390,79),0)</f>
        <v/>
      </c>
      <c r="CD390">
        <f>IFERROR(INDEX(PP_Grid[#Data],$DD390,80),0)</f>
        <v/>
      </c>
      <c r="CE390">
        <f>IFERROR(INDEX(PP_Grid[#Data],$DD390,81),0)</f>
        <v/>
      </c>
      <c r="CF390">
        <f>IFERROR(INDEX(PP_Grid[#Data],$DD390,82),0)</f>
        <v/>
      </c>
      <c r="CG390">
        <f>IFERROR(INDEX(PP_Grid[#Data],$DD390,83),0)</f>
        <v/>
      </c>
      <c r="CH390">
        <f>IFERROR(INDEX(PP_Grid[#Data],$DD390,84),0)</f>
        <v/>
      </c>
      <c r="CI390">
        <f>IFERROR(INDEX(PP_Grid[#Data],$DD390,85),0)</f>
        <v/>
      </c>
      <c r="CJ390">
        <f>IFERROR(INDEX(PP_Grid[#Data],$DD390,86),0)</f>
        <v/>
      </c>
      <c r="CK390">
        <f>IFERROR(INDEX(PP_Grid[#Data],$DD390,87),0)</f>
        <v/>
      </c>
      <c r="CL390">
        <f>IFERROR(INDEX(PP_Grid[#Data],$DD390,88),0)</f>
        <v/>
      </c>
      <c r="CM390">
        <f>IFERROR(INDEX(PP_Grid[#Data],$DD390,89),0)</f>
        <v/>
      </c>
      <c r="CN390">
        <f>IFERROR(INDEX(PP_Grid[#Data],$DD390,90),0)</f>
        <v/>
      </c>
      <c r="CO390">
        <f>IFERROR(INDEX(PP_Grid[#Data],$DD390,91),0)</f>
        <v/>
      </c>
      <c r="CP390">
        <f>IFERROR(INDEX(PP_Grid[#Data],$DD390,92),0)</f>
        <v/>
      </c>
      <c r="CQ390">
        <f>IFERROR(INDEX(PP_Grid[#Data],$DD390,93),0)</f>
        <v/>
      </c>
      <c r="CR390">
        <f>IFERROR(INDEX(PP_Grid[#Data],$DD390,94),0)</f>
        <v/>
      </c>
      <c r="CS390">
        <f>IFERROR(INDEX(PP_Grid[#Data],$DD390,95),0)</f>
        <v/>
      </c>
      <c r="CT390">
        <f>IFERROR(INDEX(PP_Grid[#Data],$DD390,96),0)</f>
        <v/>
      </c>
      <c r="CU390">
        <f>IFERROR(INDEX(PP_Grid[#Data],$DD390,97),0)</f>
        <v/>
      </c>
      <c r="CV390">
        <f>IFERROR(INDEX(PP_Grid[#Data],$DD390,98),0)</f>
        <v/>
      </c>
      <c r="CW390">
        <f>IFERROR(INDEX(PP_Grid[#Data],$DD390,99),0)</f>
        <v/>
      </c>
      <c r="CX390">
        <f>IFERROR(INDEX(PP_Grid[#Data],$DD390,100),0)</f>
        <v/>
      </c>
      <c r="CY390">
        <f>IFERROR(INDEX(PP_Grid[#Data],$DD390,101),0)</f>
        <v/>
      </c>
      <c r="CZ390">
        <f>IFERROR(INDEX(PP_Grid[#Data],$DD390,102),0)</f>
        <v/>
      </c>
      <c r="DA390">
        <f>IFERROR(INDEX(PP_Grid[#Data],$DD390,103),0)</f>
        <v/>
      </c>
      <c r="DB390">
        <f>IFERROR(INDEX(PP_Grid[#Data],$DD390,104),0)</f>
        <v/>
      </c>
      <c r="DC390">
        <f>IFERROR(INDEX(PP_Grid[#Data],$DD390,105),0)</f>
        <v/>
      </c>
      <c r="DD390" s="12">
        <f>IFERROR(MATCH($B390,PP_Grid[Intermediate],0),99999)</f>
        <v/>
      </c>
    </row>
    <row r="391">
      <c r="B391" t="inlineStr">
        <is>
          <t>使用量(kg)</t>
        </is>
      </c>
      <c r="C391">
        <f>SUMIFS(M_BOM[RM_Qty_Per_Batch],M_BOM[Intermediate],$B390,M_BOM[Part Name],$A389)</f>
        <v/>
      </c>
      <c r="D391">
        <f>$C391*D390</f>
        <v/>
      </c>
      <c r="E391">
        <f>$C391*E390</f>
        <v/>
      </c>
      <c r="F391">
        <f>$C391*F390</f>
        <v/>
      </c>
      <c r="G391">
        <f>$C391*G390</f>
        <v/>
      </c>
      <c r="H391">
        <f>$C391*H390</f>
        <v/>
      </c>
      <c r="I391">
        <f>$C391*I390</f>
        <v/>
      </c>
      <c r="J391">
        <f>$C391*J390</f>
        <v/>
      </c>
      <c r="K391">
        <f>$C391*K390</f>
        <v/>
      </c>
      <c r="L391">
        <f>$C391*L390</f>
        <v/>
      </c>
      <c r="M391">
        <f>$C391*M390</f>
        <v/>
      </c>
      <c r="N391">
        <f>$C391*N390</f>
        <v/>
      </c>
      <c r="O391">
        <f>$C391*O390</f>
        <v/>
      </c>
      <c r="P391">
        <f>$C391*P390</f>
        <v/>
      </c>
      <c r="Q391">
        <f>$C391*Q390</f>
        <v/>
      </c>
      <c r="R391">
        <f>$C391*R390</f>
        <v/>
      </c>
      <c r="S391">
        <f>$C391*S390</f>
        <v/>
      </c>
      <c r="T391">
        <f>$C391*T390</f>
        <v/>
      </c>
      <c r="U391">
        <f>$C391*U390</f>
        <v/>
      </c>
      <c r="V391">
        <f>$C391*V390</f>
        <v/>
      </c>
      <c r="W391">
        <f>$C391*W390</f>
        <v/>
      </c>
      <c r="X391">
        <f>$C391*X390</f>
        <v/>
      </c>
      <c r="Y391">
        <f>$C391*Y390</f>
        <v/>
      </c>
      <c r="Z391">
        <f>$C391*Z390</f>
        <v/>
      </c>
      <c r="AA391">
        <f>$C391*AA390</f>
        <v/>
      </c>
      <c r="AB391">
        <f>$C391*AB390</f>
        <v/>
      </c>
      <c r="AC391">
        <f>$C391*AC390</f>
        <v/>
      </c>
      <c r="AD391">
        <f>$C391*AD390</f>
        <v/>
      </c>
      <c r="AE391">
        <f>$C391*AE390</f>
        <v/>
      </c>
      <c r="AF391">
        <f>$C391*AF390</f>
        <v/>
      </c>
      <c r="AG391">
        <f>$C391*AG390</f>
        <v/>
      </c>
      <c r="AH391">
        <f>$C391*AH390</f>
        <v/>
      </c>
      <c r="AI391">
        <f>$C391*AI390</f>
        <v/>
      </c>
      <c r="AJ391">
        <f>$C391*AJ390</f>
        <v/>
      </c>
      <c r="AK391">
        <f>$C391*AK390</f>
        <v/>
      </c>
      <c r="AL391">
        <f>$C391*AL390</f>
        <v/>
      </c>
      <c r="AM391">
        <f>$C391*AM390</f>
        <v/>
      </c>
      <c r="AN391">
        <f>$C391*AN390</f>
        <v/>
      </c>
      <c r="AO391">
        <f>$C391*AO390</f>
        <v/>
      </c>
      <c r="AP391">
        <f>$C391*AP390</f>
        <v/>
      </c>
      <c r="AQ391">
        <f>$C391*AQ390</f>
        <v/>
      </c>
      <c r="AR391">
        <f>$C391*AR390</f>
        <v/>
      </c>
      <c r="AS391">
        <f>$C391*AS390</f>
        <v/>
      </c>
      <c r="AT391">
        <f>$C391*AT390</f>
        <v/>
      </c>
      <c r="AU391">
        <f>$C391*AU390</f>
        <v/>
      </c>
      <c r="AV391">
        <f>$C391*AV390</f>
        <v/>
      </c>
      <c r="AW391">
        <f>$C391*AW390</f>
        <v/>
      </c>
      <c r="AX391">
        <f>$C391*AX390</f>
        <v/>
      </c>
      <c r="AY391">
        <f>$C391*AY390</f>
        <v/>
      </c>
      <c r="AZ391">
        <f>$C391*AZ390</f>
        <v/>
      </c>
      <c r="BA391">
        <f>$C391*BA390</f>
        <v/>
      </c>
      <c r="BB391">
        <f>$C391*BB390</f>
        <v/>
      </c>
      <c r="BC391">
        <f>$C391*BC390</f>
        <v/>
      </c>
      <c r="BD391">
        <f>$C391*BD390</f>
        <v/>
      </c>
      <c r="BE391">
        <f>$C391*BE390</f>
        <v/>
      </c>
      <c r="BF391">
        <f>$C391*BF390</f>
        <v/>
      </c>
      <c r="BG391">
        <f>$C391*BG390</f>
        <v/>
      </c>
      <c r="BH391">
        <f>$C391*BH390</f>
        <v/>
      </c>
      <c r="BI391">
        <f>$C391*BI390</f>
        <v/>
      </c>
      <c r="BJ391">
        <f>$C391*BJ390</f>
        <v/>
      </c>
      <c r="BK391">
        <f>$C391*BK390</f>
        <v/>
      </c>
      <c r="BL391">
        <f>$C391*BL390</f>
        <v/>
      </c>
      <c r="BM391">
        <f>$C391*BM390</f>
        <v/>
      </c>
      <c r="BN391">
        <f>$C391*BN390</f>
        <v/>
      </c>
      <c r="BO391">
        <f>$C391*BO390</f>
        <v/>
      </c>
      <c r="BP391">
        <f>$C391*BP390</f>
        <v/>
      </c>
      <c r="BQ391">
        <f>$C391*BQ390</f>
        <v/>
      </c>
      <c r="BR391">
        <f>$C391*BR390</f>
        <v/>
      </c>
      <c r="BS391">
        <f>$C391*BS390</f>
        <v/>
      </c>
      <c r="BT391">
        <f>$C391*BT390</f>
        <v/>
      </c>
      <c r="BU391">
        <f>$C391*BU390</f>
        <v/>
      </c>
      <c r="BV391">
        <f>$C391*BV390</f>
        <v/>
      </c>
      <c r="BW391">
        <f>$C391*BW390</f>
        <v/>
      </c>
      <c r="BX391">
        <f>$C391*BX390</f>
        <v/>
      </c>
      <c r="BY391">
        <f>$C391*BY390</f>
        <v/>
      </c>
      <c r="BZ391">
        <f>$C391*BZ390</f>
        <v/>
      </c>
      <c r="CA391">
        <f>$C391*CA390</f>
        <v/>
      </c>
      <c r="CB391">
        <f>$C391*CB390</f>
        <v/>
      </c>
      <c r="CC391">
        <f>$C391*CC390</f>
        <v/>
      </c>
      <c r="CD391">
        <f>$C391*CD390</f>
        <v/>
      </c>
      <c r="CE391">
        <f>$C391*CE390</f>
        <v/>
      </c>
      <c r="CF391">
        <f>$C391*CF390</f>
        <v/>
      </c>
      <c r="CG391">
        <f>$C391*CG390</f>
        <v/>
      </c>
      <c r="CH391">
        <f>$C391*CH390</f>
        <v/>
      </c>
      <c r="CI391">
        <f>$C391*CI390</f>
        <v/>
      </c>
      <c r="CJ391">
        <f>$C391*CJ390</f>
        <v/>
      </c>
      <c r="CK391">
        <f>$C391*CK390</f>
        <v/>
      </c>
      <c r="CL391">
        <f>$C391*CL390</f>
        <v/>
      </c>
      <c r="CM391">
        <f>$C391*CM390</f>
        <v/>
      </c>
      <c r="CN391">
        <f>$C391*CN390</f>
        <v/>
      </c>
      <c r="CO391">
        <f>$C391*CO390</f>
        <v/>
      </c>
      <c r="CP391">
        <f>$C391*CP390</f>
        <v/>
      </c>
      <c r="CQ391">
        <f>$C391*CQ390</f>
        <v/>
      </c>
      <c r="CR391">
        <f>$C391*CR390</f>
        <v/>
      </c>
      <c r="CS391">
        <f>$C391*CS390</f>
        <v/>
      </c>
      <c r="CT391">
        <f>$C391*CT390</f>
        <v/>
      </c>
      <c r="CU391">
        <f>$C391*CU390</f>
        <v/>
      </c>
      <c r="CV391">
        <f>$C391*CV390</f>
        <v/>
      </c>
      <c r="CW391">
        <f>$C391*CW390</f>
        <v/>
      </c>
      <c r="CX391">
        <f>$C391*CX390</f>
        <v/>
      </c>
      <c r="CY391">
        <f>$C391*CY390</f>
        <v/>
      </c>
      <c r="CZ391">
        <f>$C391*CZ390</f>
        <v/>
      </c>
      <c r="DA391">
        <f>$C391*DA390</f>
        <v/>
      </c>
      <c r="DB391">
        <f>$C391*DB390</f>
        <v/>
      </c>
      <c r="DC391">
        <f>$C391*DC390</f>
        <v/>
      </c>
    </row>
    <row r="392">
      <c r="B392" t="inlineStr">
        <is>
          <t>TSP-403</t>
        </is>
      </c>
      <c r="C392" t="inlineStr">
        <is>
          <t>No. of batches</t>
        </is>
      </c>
      <c r="D392">
        <f>IFERROR(INDEX(PP_Grid[#Data],$DD392,2),0)</f>
        <v/>
      </c>
      <c r="E392">
        <f>IFERROR(INDEX(PP_Grid[#Data],$DD392,3),0)</f>
        <v/>
      </c>
      <c r="F392">
        <f>IFERROR(INDEX(PP_Grid[#Data],$DD392,4),0)</f>
        <v/>
      </c>
      <c r="G392">
        <f>IFERROR(INDEX(PP_Grid[#Data],$DD392,5),0)</f>
        <v/>
      </c>
      <c r="H392">
        <f>IFERROR(INDEX(PP_Grid[#Data],$DD392,6),0)</f>
        <v/>
      </c>
      <c r="I392">
        <f>IFERROR(INDEX(PP_Grid[#Data],$DD392,7),0)</f>
        <v/>
      </c>
      <c r="J392">
        <f>IFERROR(INDEX(PP_Grid[#Data],$DD392,8),0)</f>
        <v/>
      </c>
      <c r="K392">
        <f>IFERROR(INDEX(PP_Grid[#Data],$DD392,9),0)</f>
        <v/>
      </c>
      <c r="L392">
        <f>IFERROR(INDEX(PP_Grid[#Data],$DD392,10),0)</f>
        <v/>
      </c>
      <c r="M392">
        <f>IFERROR(INDEX(PP_Grid[#Data],$DD392,11),0)</f>
        <v/>
      </c>
      <c r="N392">
        <f>IFERROR(INDEX(PP_Grid[#Data],$DD392,12),0)</f>
        <v/>
      </c>
      <c r="O392">
        <f>IFERROR(INDEX(PP_Grid[#Data],$DD392,13),0)</f>
        <v/>
      </c>
      <c r="P392">
        <f>IFERROR(INDEX(PP_Grid[#Data],$DD392,14),0)</f>
        <v/>
      </c>
      <c r="Q392">
        <f>IFERROR(INDEX(PP_Grid[#Data],$DD392,15),0)</f>
        <v/>
      </c>
      <c r="R392">
        <f>IFERROR(INDEX(PP_Grid[#Data],$DD392,16),0)</f>
        <v/>
      </c>
      <c r="S392">
        <f>IFERROR(INDEX(PP_Grid[#Data],$DD392,17),0)</f>
        <v/>
      </c>
      <c r="T392">
        <f>IFERROR(INDEX(PP_Grid[#Data],$DD392,18),0)</f>
        <v/>
      </c>
      <c r="U392">
        <f>IFERROR(INDEX(PP_Grid[#Data],$DD392,19),0)</f>
        <v/>
      </c>
      <c r="V392">
        <f>IFERROR(INDEX(PP_Grid[#Data],$DD392,20),0)</f>
        <v/>
      </c>
      <c r="W392">
        <f>IFERROR(INDEX(PP_Grid[#Data],$DD392,21),0)</f>
        <v/>
      </c>
      <c r="X392">
        <f>IFERROR(INDEX(PP_Grid[#Data],$DD392,22),0)</f>
        <v/>
      </c>
      <c r="Y392">
        <f>IFERROR(INDEX(PP_Grid[#Data],$DD392,23),0)</f>
        <v/>
      </c>
      <c r="Z392">
        <f>IFERROR(INDEX(PP_Grid[#Data],$DD392,24),0)</f>
        <v/>
      </c>
      <c r="AA392">
        <f>IFERROR(INDEX(PP_Grid[#Data],$DD392,25),0)</f>
        <v/>
      </c>
      <c r="AB392">
        <f>IFERROR(INDEX(PP_Grid[#Data],$DD392,26),0)</f>
        <v/>
      </c>
      <c r="AC392">
        <f>IFERROR(INDEX(PP_Grid[#Data],$DD392,27),0)</f>
        <v/>
      </c>
      <c r="AD392">
        <f>IFERROR(INDEX(PP_Grid[#Data],$DD392,28),0)</f>
        <v/>
      </c>
      <c r="AE392">
        <f>IFERROR(INDEX(PP_Grid[#Data],$DD392,29),0)</f>
        <v/>
      </c>
      <c r="AF392">
        <f>IFERROR(INDEX(PP_Grid[#Data],$DD392,30),0)</f>
        <v/>
      </c>
      <c r="AG392">
        <f>IFERROR(INDEX(PP_Grid[#Data],$DD392,31),0)</f>
        <v/>
      </c>
      <c r="AH392">
        <f>IFERROR(INDEX(PP_Grid[#Data],$DD392,32),0)</f>
        <v/>
      </c>
      <c r="AI392">
        <f>IFERROR(INDEX(PP_Grid[#Data],$DD392,33),0)</f>
        <v/>
      </c>
      <c r="AJ392">
        <f>IFERROR(INDEX(PP_Grid[#Data],$DD392,34),0)</f>
        <v/>
      </c>
      <c r="AK392">
        <f>IFERROR(INDEX(PP_Grid[#Data],$DD392,35),0)</f>
        <v/>
      </c>
      <c r="AL392">
        <f>IFERROR(INDEX(PP_Grid[#Data],$DD392,36),0)</f>
        <v/>
      </c>
      <c r="AM392">
        <f>IFERROR(INDEX(PP_Grid[#Data],$DD392,37),0)</f>
        <v/>
      </c>
      <c r="AN392">
        <f>IFERROR(INDEX(PP_Grid[#Data],$DD392,38),0)</f>
        <v/>
      </c>
      <c r="AO392">
        <f>IFERROR(INDEX(PP_Grid[#Data],$DD392,39),0)</f>
        <v/>
      </c>
      <c r="AP392">
        <f>IFERROR(INDEX(PP_Grid[#Data],$DD392,40),0)</f>
        <v/>
      </c>
      <c r="AQ392">
        <f>IFERROR(INDEX(PP_Grid[#Data],$DD392,41),0)</f>
        <v/>
      </c>
      <c r="AR392">
        <f>IFERROR(INDEX(PP_Grid[#Data],$DD392,42),0)</f>
        <v/>
      </c>
      <c r="AS392">
        <f>IFERROR(INDEX(PP_Grid[#Data],$DD392,43),0)</f>
        <v/>
      </c>
      <c r="AT392">
        <f>IFERROR(INDEX(PP_Grid[#Data],$DD392,44),0)</f>
        <v/>
      </c>
      <c r="AU392">
        <f>IFERROR(INDEX(PP_Grid[#Data],$DD392,45),0)</f>
        <v/>
      </c>
      <c r="AV392">
        <f>IFERROR(INDEX(PP_Grid[#Data],$DD392,46),0)</f>
        <v/>
      </c>
      <c r="AW392">
        <f>IFERROR(INDEX(PP_Grid[#Data],$DD392,47),0)</f>
        <v/>
      </c>
      <c r="AX392">
        <f>IFERROR(INDEX(PP_Grid[#Data],$DD392,48),0)</f>
        <v/>
      </c>
      <c r="AY392">
        <f>IFERROR(INDEX(PP_Grid[#Data],$DD392,49),0)</f>
        <v/>
      </c>
      <c r="AZ392">
        <f>IFERROR(INDEX(PP_Grid[#Data],$DD392,50),0)</f>
        <v/>
      </c>
      <c r="BA392">
        <f>IFERROR(INDEX(PP_Grid[#Data],$DD392,51),0)</f>
        <v/>
      </c>
      <c r="BB392">
        <f>IFERROR(INDEX(PP_Grid[#Data],$DD392,52),0)</f>
        <v/>
      </c>
      <c r="BC392">
        <f>IFERROR(INDEX(PP_Grid[#Data],$DD392,53),0)</f>
        <v/>
      </c>
      <c r="BD392">
        <f>IFERROR(INDEX(PP_Grid[#Data],$DD392,54),0)</f>
        <v/>
      </c>
      <c r="BE392">
        <f>IFERROR(INDEX(PP_Grid[#Data],$DD392,55),0)</f>
        <v/>
      </c>
      <c r="BF392">
        <f>IFERROR(INDEX(PP_Grid[#Data],$DD392,56),0)</f>
        <v/>
      </c>
      <c r="BG392">
        <f>IFERROR(INDEX(PP_Grid[#Data],$DD392,57),0)</f>
        <v/>
      </c>
      <c r="BH392">
        <f>IFERROR(INDEX(PP_Grid[#Data],$DD392,58),0)</f>
        <v/>
      </c>
      <c r="BI392">
        <f>IFERROR(INDEX(PP_Grid[#Data],$DD392,59),0)</f>
        <v/>
      </c>
      <c r="BJ392">
        <f>IFERROR(INDEX(PP_Grid[#Data],$DD392,60),0)</f>
        <v/>
      </c>
      <c r="BK392">
        <f>IFERROR(INDEX(PP_Grid[#Data],$DD392,61),0)</f>
        <v/>
      </c>
      <c r="BL392">
        <f>IFERROR(INDEX(PP_Grid[#Data],$DD392,62),0)</f>
        <v/>
      </c>
      <c r="BM392">
        <f>IFERROR(INDEX(PP_Grid[#Data],$DD392,63),0)</f>
        <v/>
      </c>
      <c r="BN392">
        <f>IFERROR(INDEX(PP_Grid[#Data],$DD392,64),0)</f>
        <v/>
      </c>
      <c r="BO392">
        <f>IFERROR(INDEX(PP_Grid[#Data],$DD392,65),0)</f>
        <v/>
      </c>
      <c r="BP392">
        <f>IFERROR(INDEX(PP_Grid[#Data],$DD392,66),0)</f>
        <v/>
      </c>
      <c r="BQ392">
        <f>IFERROR(INDEX(PP_Grid[#Data],$DD392,67),0)</f>
        <v/>
      </c>
      <c r="BR392">
        <f>IFERROR(INDEX(PP_Grid[#Data],$DD392,68),0)</f>
        <v/>
      </c>
      <c r="BS392">
        <f>IFERROR(INDEX(PP_Grid[#Data],$DD392,69),0)</f>
        <v/>
      </c>
      <c r="BT392">
        <f>IFERROR(INDEX(PP_Grid[#Data],$DD392,70),0)</f>
        <v/>
      </c>
      <c r="BU392">
        <f>IFERROR(INDEX(PP_Grid[#Data],$DD392,71),0)</f>
        <v/>
      </c>
      <c r="BV392">
        <f>IFERROR(INDEX(PP_Grid[#Data],$DD392,72),0)</f>
        <v/>
      </c>
      <c r="BW392">
        <f>IFERROR(INDEX(PP_Grid[#Data],$DD392,73),0)</f>
        <v/>
      </c>
      <c r="BX392">
        <f>IFERROR(INDEX(PP_Grid[#Data],$DD392,74),0)</f>
        <v/>
      </c>
      <c r="BY392">
        <f>IFERROR(INDEX(PP_Grid[#Data],$DD392,75),0)</f>
        <v/>
      </c>
      <c r="BZ392">
        <f>IFERROR(INDEX(PP_Grid[#Data],$DD392,76),0)</f>
        <v/>
      </c>
      <c r="CA392">
        <f>IFERROR(INDEX(PP_Grid[#Data],$DD392,77),0)</f>
        <v/>
      </c>
      <c r="CB392">
        <f>IFERROR(INDEX(PP_Grid[#Data],$DD392,78),0)</f>
        <v/>
      </c>
      <c r="CC392">
        <f>IFERROR(INDEX(PP_Grid[#Data],$DD392,79),0)</f>
        <v/>
      </c>
      <c r="CD392">
        <f>IFERROR(INDEX(PP_Grid[#Data],$DD392,80),0)</f>
        <v/>
      </c>
      <c r="CE392">
        <f>IFERROR(INDEX(PP_Grid[#Data],$DD392,81),0)</f>
        <v/>
      </c>
      <c r="CF392">
        <f>IFERROR(INDEX(PP_Grid[#Data],$DD392,82),0)</f>
        <v/>
      </c>
      <c r="CG392">
        <f>IFERROR(INDEX(PP_Grid[#Data],$DD392,83),0)</f>
        <v/>
      </c>
      <c r="CH392">
        <f>IFERROR(INDEX(PP_Grid[#Data],$DD392,84),0)</f>
        <v/>
      </c>
      <c r="CI392">
        <f>IFERROR(INDEX(PP_Grid[#Data],$DD392,85),0)</f>
        <v/>
      </c>
      <c r="CJ392">
        <f>IFERROR(INDEX(PP_Grid[#Data],$DD392,86),0)</f>
        <v/>
      </c>
      <c r="CK392">
        <f>IFERROR(INDEX(PP_Grid[#Data],$DD392,87),0)</f>
        <v/>
      </c>
      <c r="CL392">
        <f>IFERROR(INDEX(PP_Grid[#Data],$DD392,88),0)</f>
        <v/>
      </c>
      <c r="CM392">
        <f>IFERROR(INDEX(PP_Grid[#Data],$DD392,89),0)</f>
        <v/>
      </c>
      <c r="CN392">
        <f>IFERROR(INDEX(PP_Grid[#Data],$DD392,90),0)</f>
        <v/>
      </c>
      <c r="CO392">
        <f>IFERROR(INDEX(PP_Grid[#Data],$DD392,91),0)</f>
        <v/>
      </c>
      <c r="CP392">
        <f>IFERROR(INDEX(PP_Grid[#Data],$DD392,92),0)</f>
        <v/>
      </c>
      <c r="CQ392">
        <f>IFERROR(INDEX(PP_Grid[#Data],$DD392,93),0)</f>
        <v/>
      </c>
      <c r="CR392">
        <f>IFERROR(INDEX(PP_Grid[#Data],$DD392,94),0)</f>
        <v/>
      </c>
      <c r="CS392">
        <f>IFERROR(INDEX(PP_Grid[#Data],$DD392,95),0)</f>
        <v/>
      </c>
      <c r="CT392">
        <f>IFERROR(INDEX(PP_Grid[#Data],$DD392,96),0)</f>
        <v/>
      </c>
      <c r="CU392">
        <f>IFERROR(INDEX(PP_Grid[#Data],$DD392,97),0)</f>
        <v/>
      </c>
      <c r="CV392">
        <f>IFERROR(INDEX(PP_Grid[#Data],$DD392,98),0)</f>
        <v/>
      </c>
      <c r="CW392">
        <f>IFERROR(INDEX(PP_Grid[#Data],$DD392,99),0)</f>
        <v/>
      </c>
      <c r="CX392">
        <f>IFERROR(INDEX(PP_Grid[#Data],$DD392,100),0)</f>
        <v/>
      </c>
      <c r="CY392">
        <f>IFERROR(INDEX(PP_Grid[#Data],$DD392,101),0)</f>
        <v/>
      </c>
      <c r="CZ392">
        <f>IFERROR(INDEX(PP_Grid[#Data],$DD392,102),0)</f>
        <v/>
      </c>
      <c r="DA392">
        <f>IFERROR(INDEX(PP_Grid[#Data],$DD392,103),0)</f>
        <v/>
      </c>
      <c r="DB392">
        <f>IFERROR(INDEX(PP_Grid[#Data],$DD392,104),0)</f>
        <v/>
      </c>
      <c r="DC392">
        <f>IFERROR(INDEX(PP_Grid[#Data],$DD392,105),0)</f>
        <v/>
      </c>
      <c r="DD392" s="12">
        <f>IFERROR(MATCH($B392,PP_Grid[Intermediate],0),99999)</f>
        <v/>
      </c>
    </row>
    <row r="393">
      <c r="B393" t="inlineStr">
        <is>
          <t>使用量(kg)</t>
        </is>
      </c>
      <c r="C393">
        <f>SUMIFS(M_BOM[RM_Qty_Per_Batch],M_BOM[Intermediate],$B392,M_BOM[Part Name],$A389)</f>
        <v/>
      </c>
      <c r="D393">
        <f>$C393*D392</f>
        <v/>
      </c>
      <c r="E393">
        <f>$C393*E392</f>
        <v/>
      </c>
      <c r="F393">
        <f>$C393*F392</f>
        <v/>
      </c>
      <c r="G393">
        <f>$C393*G392</f>
        <v/>
      </c>
      <c r="H393">
        <f>$C393*H392</f>
        <v/>
      </c>
      <c r="I393">
        <f>$C393*I392</f>
        <v/>
      </c>
      <c r="J393">
        <f>$C393*J392</f>
        <v/>
      </c>
      <c r="K393">
        <f>$C393*K392</f>
        <v/>
      </c>
      <c r="L393">
        <f>$C393*L392</f>
        <v/>
      </c>
      <c r="M393">
        <f>$C393*M392</f>
        <v/>
      </c>
      <c r="N393">
        <f>$C393*N392</f>
        <v/>
      </c>
      <c r="O393">
        <f>$C393*O392</f>
        <v/>
      </c>
      <c r="P393">
        <f>$C393*P392</f>
        <v/>
      </c>
      <c r="Q393">
        <f>$C393*Q392</f>
        <v/>
      </c>
      <c r="R393">
        <f>$C393*R392</f>
        <v/>
      </c>
      <c r="S393">
        <f>$C393*S392</f>
        <v/>
      </c>
      <c r="T393">
        <f>$C393*T392</f>
        <v/>
      </c>
      <c r="U393">
        <f>$C393*U392</f>
        <v/>
      </c>
      <c r="V393">
        <f>$C393*V392</f>
        <v/>
      </c>
      <c r="W393">
        <f>$C393*W392</f>
        <v/>
      </c>
      <c r="X393">
        <f>$C393*X392</f>
        <v/>
      </c>
      <c r="Y393">
        <f>$C393*Y392</f>
        <v/>
      </c>
      <c r="Z393">
        <f>$C393*Z392</f>
        <v/>
      </c>
      <c r="AA393">
        <f>$C393*AA392</f>
        <v/>
      </c>
      <c r="AB393">
        <f>$C393*AB392</f>
        <v/>
      </c>
      <c r="AC393">
        <f>$C393*AC392</f>
        <v/>
      </c>
      <c r="AD393">
        <f>$C393*AD392</f>
        <v/>
      </c>
      <c r="AE393">
        <f>$C393*AE392</f>
        <v/>
      </c>
      <c r="AF393">
        <f>$C393*AF392</f>
        <v/>
      </c>
      <c r="AG393">
        <f>$C393*AG392</f>
        <v/>
      </c>
      <c r="AH393">
        <f>$C393*AH392</f>
        <v/>
      </c>
      <c r="AI393">
        <f>$C393*AI392</f>
        <v/>
      </c>
      <c r="AJ393">
        <f>$C393*AJ392</f>
        <v/>
      </c>
      <c r="AK393">
        <f>$C393*AK392</f>
        <v/>
      </c>
      <c r="AL393">
        <f>$C393*AL392</f>
        <v/>
      </c>
      <c r="AM393">
        <f>$C393*AM392</f>
        <v/>
      </c>
      <c r="AN393">
        <f>$C393*AN392</f>
        <v/>
      </c>
      <c r="AO393">
        <f>$C393*AO392</f>
        <v/>
      </c>
      <c r="AP393">
        <f>$C393*AP392</f>
        <v/>
      </c>
      <c r="AQ393">
        <f>$C393*AQ392</f>
        <v/>
      </c>
      <c r="AR393">
        <f>$C393*AR392</f>
        <v/>
      </c>
      <c r="AS393">
        <f>$C393*AS392</f>
        <v/>
      </c>
      <c r="AT393">
        <f>$C393*AT392</f>
        <v/>
      </c>
      <c r="AU393">
        <f>$C393*AU392</f>
        <v/>
      </c>
      <c r="AV393">
        <f>$C393*AV392</f>
        <v/>
      </c>
      <c r="AW393">
        <f>$C393*AW392</f>
        <v/>
      </c>
      <c r="AX393">
        <f>$C393*AX392</f>
        <v/>
      </c>
      <c r="AY393">
        <f>$C393*AY392</f>
        <v/>
      </c>
      <c r="AZ393">
        <f>$C393*AZ392</f>
        <v/>
      </c>
      <c r="BA393">
        <f>$C393*BA392</f>
        <v/>
      </c>
      <c r="BB393">
        <f>$C393*BB392</f>
        <v/>
      </c>
      <c r="BC393">
        <f>$C393*BC392</f>
        <v/>
      </c>
      <c r="BD393">
        <f>$C393*BD392</f>
        <v/>
      </c>
      <c r="BE393">
        <f>$C393*BE392</f>
        <v/>
      </c>
      <c r="BF393">
        <f>$C393*BF392</f>
        <v/>
      </c>
      <c r="BG393">
        <f>$C393*BG392</f>
        <v/>
      </c>
      <c r="BH393">
        <f>$C393*BH392</f>
        <v/>
      </c>
      <c r="BI393">
        <f>$C393*BI392</f>
        <v/>
      </c>
      <c r="BJ393">
        <f>$C393*BJ392</f>
        <v/>
      </c>
      <c r="BK393">
        <f>$C393*BK392</f>
        <v/>
      </c>
      <c r="BL393">
        <f>$C393*BL392</f>
        <v/>
      </c>
      <c r="BM393">
        <f>$C393*BM392</f>
        <v/>
      </c>
      <c r="BN393">
        <f>$C393*BN392</f>
        <v/>
      </c>
      <c r="BO393">
        <f>$C393*BO392</f>
        <v/>
      </c>
      <c r="BP393">
        <f>$C393*BP392</f>
        <v/>
      </c>
      <c r="BQ393">
        <f>$C393*BQ392</f>
        <v/>
      </c>
      <c r="BR393">
        <f>$C393*BR392</f>
        <v/>
      </c>
      <c r="BS393">
        <f>$C393*BS392</f>
        <v/>
      </c>
      <c r="BT393">
        <f>$C393*BT392</f>
        <v/>
      </c>
      <c r="BU393">
        <f>$C393*BU392</f>
        <v/>
      </c>
      <c r="BV393">
        <f>$C393*BV392</f>
        <v/>
      </c>
      <c r="BW393">
        <f>$C393*BW392</f>
        <v/>
      </c>
      <c r="BX393">
        <f>$C393*BX392</f>
        <v/>
      </c>
      <c r="BY393">
        <f>$C393*BY392</f>
        <v/>
      </c>
      <c r="BZ393">
        <f>$C393*BZ392</f>
        <v/>
      </c>
      <c r="CA393">
        <f>$C393*CA392</f>
        <v/>
      </c>
      <c r="CB393">
        <f>$C393*CB392</f>
        <v/>
      </c>
      <c r="CC393">
        <f>$C393*CC392</f>
        <v/>
      </c>
      <c r="CD393">
        <f>$C393*CD392</f>
        <v/>
      </c>
      <c r="CE393">
        <f>$C393*CE392</f>
        <v/>
      </c>
      <c r="CF393">
        <f>$C393*CF392</f>
        <v/>
      </c>
      <c r="CG393">
        <f>$C393*CG392</f>
        <v/>
      </c>
      <c r="CH393">
        <f>$C393*CH392</f>
        <v/>
      </c>
      <c r="CI393">
        <f>$C393*CI392</f>
        <v/>
      </c>
      <c r="CJ393">
        <f>$C393*CJ392</f>
        <v/>
      </c>
      <c r="CK393">
        <f>$C393*CK392</f>
        <v/>
      </c>
      <c r="CL393">
        <f>$C393*CL392</f>
        <v/>
      </c>
      <c r="CM393">
        <f>$C393*CM392</f>
        <v/>
      </c>
      <c r="CN393">
        <f>$C393*CN392</f>
        <v/>
      </c>
      <c r="CO393">
        <f>$C393*CO392</f>
        <v/>
      </c>
      <c r="CP393">
        <f>$C393*CP392</f>
        <v/>
      </c>
      <c r="CQ393">
        <f>$C393*CQ392</f>
        <v/>
      </c>
      <c r="CR393">
        <f>$C393*CR392</f>
        <v/>
      </c>
      <c r="CS393">
        <f>$C393*CS392</f>
        <v/>
      </c>
      <c r="CT393">
        <f>$C393*CT392</f>
        <v/>
      </c>
      <c r="CU393">
        <f>$C393*CU392</f>
        <v/>
      </c>
      <c r="CV393">
        <f>$C393*CV392</f>
        <v/>
      </c>
      <c r="CW393">
        <f>$C393*CW392</f>
        <v/>
      </c>
      <c r="CX393">
        <f>$C393*CX392</f>
        <v/>
      </c>
      <c r="CY393">
        <f>$C393*CY392</f>
        <v/>
      </c>
      <c r="CZ393">
        <f>$C393*CZ392</f>
        <v/>
      </c>
      <c r="DA393">
        <f>$C393*DA392</f>
        <v/>
      </c>
      <c r="DB393">
        <f>$C393*DB392</f>
        <v/>
      </c>
      <c r="DC393">
        <f>$C393*DC392</f>
        <v/>
      </c>
    </row>
    <row r="394">
      <c r="B394" t="inlineStr">
        <is>
          <t>TSP-404</t>
        </is>
      </c>
      <c r="C394" t="inlineStr">
        <is>
          <t>No. of batches</t>
        </is>
      </c>
      <c r="D394">
        <f>IFERROR(INDEX(PP_Grid[#Data],$DD394,2),0)</f>
        <v/>
      </c>
      <c r="E394">
        <f>IFERROR(INDEX(PP_Grid[#Data],$DD394,3),0)</f>
        <v/>
      </c>
      <c r="F394">
        <f>IFERROR(INDEX(PP_Grid[#Data],$DD394,4),0)</f>
        <v/>
      </c>
      <c r="G394">
        <f>IFERROR(INDEX(PP_Grid[#Data],$DD394,5),0)</f>
        <v/>
      </c>
      <c r="H394">
        <f>IFERROR(INDEX(PP_Grid[#Data],$DD394,6),0)</f>
        <v/>
      </c>
      <c r="I394">
        <f>IFERROR(INDEX(PP_Grid[#Data],$DD394,7),0)</f>
        <v/>
      </c>
      <c r="J394">
        <f>IFERROR(INDEX(PP_Grid[#Data],$DD394,8),0)</f>
        <v/>
      </c>
      <c r="K394">
        <f>IFERROR(INDEX(PP_Grid[#Data],$DD394,9),0)</f>
        <v/>
      </c>
      <c r="L394">
        <f>IFERROR(INDEX(PP_Grid[#Data],$DD394,10),0)</f>
        <v/>
      </c>
      <c r="M394">
        <f>IFERROR(INDEX(PP_Grid[#Data],$DD394,11),0)</f>
        <v/>
      </c>
      <c r="N394">
        <f>IFERROR(INDEX(PP_Grid[#Data],$DD394,12),0)</f>
        <v/>
      </c>
      <c r="O394">
        <f>IFERROR(INDEX(PP_Grid[#Data],$DD394,13),0)</f>
        <v/>
      </c>
      <c r="P394">
        <f>IFERROR(INDEX(PP_Grid[#Data],$DD394,14),0)</f>
        <v/>
      </c>
      <c r="Q394">
        <f>IFERROR(INDEX(PP_Grid[#Data],$DD394,15),0)</f>
        <v/>
      </c>
      <c r="R394">
        <f>IFERROR(INDEX(PP_Grid[#Data],$DD394,16),0)</f>
        <v/>
      </c>
      <c r="S394">
        <f>IFERROR(INDEX(PP_Grid[#Data],$DD394,17),0)</f>
        <v/>
      </c>
      <c r="T394">
        <f>IFERROR(INDEX(PP_Grid[#Data],$DD394,18),0)</f>
        <v/>
      </c>
      <c r="U394">
        <f>IFERROR(INDEX(PP_Grid[#Data],$DD394,19),0)</f>
        <v/>
      </c>
      <c r="V394">
        <f>IFERROR(INDEX(PP_Grid[#Data],$DD394,20),0)</f>
        <v/>
      </c>
      <c r="W394">
        <f>IFERROR(INDEX(PP_Grid[#Data],$DD394,21),0)</f>
        <v/>
      </c>
      <c r="X394">
        <f>IFERROR(INDEX(PP_Grid[#Data],$DD394,22),0)</f>
        <v/>
      </c>
      <c r="Y394">
        <f>IFERROR(INDEX(PP_Grid[#Data],$DD394,23),0)</f>
        <v/>
      </c>
      <c r="Z394">
        <f>IFERROR(INDEX(PP_Grid[#Data],$DD394,24),0)</f>
        <v/>
      </c>
      <c r="AA394">
        <f>IFERROR(INDEX(PP_Grid[#Data],$DD394,25),0)</f>
        <v/>
      </c>
      <c r="AB394">
        <f>IFERROR(INDEX(PP_Grid[#Data],$DD394,26),0)</f>
        <v/>
      </c>
      <c r="AC394">
        <f>IFERROR(INDEX(PP_Grid[#Data],$DD394,27),0)</f>
        <v/>
      </c>
      <c r="AD394">
        <f>IFERROR(INDEX(PP_Grid[#Data],$DD394,28),0)</f>
        <v/>
      </c>
      <c r="AE394">
        <f>IFERROR(INDEX(PP_Grid[#Data],$DD394,29),0)</f>
        <v/>
      </c>
      <c r="AF394">
        <f>IFERROR(INDEX(PP_Grid[#Data],$DD394,30),0)</f>
        <v/>
      </c>
      <c r="AG394">
        <f>IFERROR(INDEX(PP_Grid[#Data],$DD394,31),0)</f>
        <v/>
      </c>
      <c r="AH394">
        <f>IFERROR(INDEX(PP_Grid[#Data],$DD394,32),0)</f>
        <v/>
      </c>
      <c r="AI394">
        <f>IFERROR(INDEX(PP_Grid[#Data],$DD394,33),0)</f>
        <v/>
      </c>
      <c r="AJ394">
        <f>IFERROR(INDEX(PP_Grid[#Data],$DD394,34),0)</f>
        <v/>
      </c>
      <c r="AK394">
        <f>IFERROR(INDEX(PP_Grid[#Data],$DD394,35),0)</f>
        <v/>
      </c>
      <c r="AL394">
        <f>IFERROR(INDEX(PP_Grid[#Data],$DD394,36),0)</f>
        <v/>
      </c>
      <c r="AM394">
        <f>IFERROR(INDEX(PP_Grid[#Data],$DD394,37),0)</f>
        <v/>
      </c>
      <c r="AN394">
        <f>IFERROR(INDEX(PP_Grid[#Data],$DD394,38),0)</f>
        <v/>
      </c>
      <c r="AO394">
        <f>IFERROR(INDEX(PP_Grid[#Data],$DD394,39),0)</f>
        <v/>
      </c>
      <c r="AP394">
        <f>IFERROR(INDEX(PP_Grid[#Data],$DD394,40),0)</f>
        <v/>
      </c>
      <c r="AQ394">
        <f>IFERROR(INDEX(PP_Grid[#Data],$DD394,41),0)</f>
        <v/>
      </c>
      <c r="AR394">
        <f>IFERROR(INDEX(PP_Grid[#Data],$DD394,42),0)</f>
        <v/>
      </c>
      <c r="AS394">
        <f>IFERROR(INDEX(PP_Grid[#Data],$DD394,43),0)</f>
        <v/>
      </c>
      <c r="AT394">
        <f>IFERROR(INDEX(PP_Grid[#Data],$DD394,44),0)</f>
        <v/>
      </c>
      <c r="AU394">
        <f>IFERROR(INDEX(PP_Grid[#Data],$DD394,45),0)</f>
        <v/>
      </c>
      <c r="AV394">
        <f>IFERROR(INDEX(PP_Grid[#Data],$DD394,46),0)</f>
        <v/>
      </c>
      <c r="AW394">
        <f>IFERROR(INDEX(PP_Grid[#Data],$DD394,47),0)</f>
        <v/>
      </c>
      <c r="AX394">
        <f>IFERROR(INDEX(PP_Grid[#Data],$DD394,48),0)</f>
        <v/>
      </c>
      <c r="AY394">
        <f>IFERROR(INDEX(PP_Grid[#Data],$DD394,49),0)</f>
        <v/>
      </c>
      <c r="AZ394">
        <f>IFERROR(INDEX(PP_Grid[#Data],$DD394,50),0)</f>
        <v/>
      </c>
      <c r="BA394">
        <f>IFERROR(INDEX(PP_Grid[#Data],$DD394,51),0)</f>
        <v/>
      </c>
      <c r="BB394">
        <f>IFERROR(INDEX(PP_Grid[#Data],$DD394,52),0)</f>
        <v/>
      </c>
      <c r="BC394">
        <f>IFERROR(INDEX(PP_Grid[#Data],$DD394,53),0)</f>
        <v/>
      </c>
      <c r="BD394">
        <f>IFERROR(INDEX(PP_Grid[#Data],$DD394,54),0)</f>
        <v/>
      </c>
      <c r="BE394">
        <f>IFERROR(INDEX(PP_Grid[#Data],$DD394,55),0)</f>
        <v/>
      </c>
      <c r="BF394">
        <f>IFERROR(INDEX(PP_Grid[#Data],$DD394,56),0)</f>
        <v/>
      </c>
      <c r="BG394">
        <f>IFERROR(INDEX(PP_Grid[#Data],$DD394,57),0)</f>
        <v/>
      </c>
      <c r="BH394">
        <f>IFERROR(INDEX(PP_Grid[#Data],$DD394,58),0)</f>
        <v/>
      </c>
      <c r="BI394">
        <f>IFERROR(INDEX(PP_Grid[#Data],$DD394,59),0)</f>
        <v/>
      </c>
      <c r="BJ394">
        <f>IFERROR(INDEX(PP_Grid[#Data],$DD394,60),0)</f>
        <v/>
      </c>
      <c r="BK394">
        <f>IFERROR(INDEX(PP_Grid[#Data],$DD394,61),0)</f>
        <v/>
      </c>
      <c r="BL394">
        <f>IFERROR(INDEX(PP_Grid[#Data],$DD394,62),0)</f>
        <v/>
      </c>
      <c r="BM394">
        <f>IFERROR(INDEX(PP_Grid[#Data],$DD394,63),0)</f>
        <v/>
      </c>
      <c r="BN394">
        <f>IFERROR(INDEX(PP_Grid[#Data],$DD394,64),0)</f>
        <v/>
      </c>
      <c r="BO394">
        <f>IFERROR(INDEX(PP_Grid[#Data],$DD394,65),0)</f>
        <v/>
      </c>
      <c r="BP394">
        <f>IFERROR(INDEX(PP_Grid[#Data],$DD394,66),0)</f>
        <v/>
      </c>
      <c r="BQ394">
        <f>IFERROR(INDEX(PP_Grid[#Data],$DD394,67),0)</f>
        <v/>
      </c>
      <c r="BR394">
        <f>IFERROR(INDEX(PP_Grid[#Data],$DD394,68),0)</f>
        <v/>
      </c>
      <c r="BS394">
        <f>IFERROR(INDEX(PP_Grid[#Data],$DD394,69),0)</f>
        <v/>
      </c>
      <c r="BT394">
        <f>IFERROR(INDEX(PP_Grid[#Data],$DD394,70),0)</f>
        <v/>
      </c>
      <c r="BU394">
        <f>IFERROR(INDEX(PP_Grid[#Data],$DD394,71),0)</f>
        <v/>
      </c>
      <c r="BV394">
        <f>IFERROR(INDEX(PP_Grid[#Data],$DD394,72),0)</f>
        <v/>
      </c>
      <c r="BW394">
        <f>IFERROR(INDEX(PP_Grid[#Data],$DD394,73),0)</f>
        <v/>
      </c>
      <c r="BX394">
        <f>IFERROR(INDEX(PP_Grid[#Data],$DD394,74),0)</f>
        <v/>
      </c>
      <c r="BY394">
        <f>IFERROR(INDEX(PP_Grid[#Data],$DD394,75),0)</f>
        <v/>
      </c>
      <c r="BZ394">
        <f>IFERROR(INDEX(PP_Grid[#Data],$DD394,76),0)</f>
        <v/>
      </c>
      <c r="CA394">
        <f>IFERROR(INDEX(PP_Grid[#Data],$DD394,77),0)</f>
        <v/>
      </c>
      <c r="CB394">
        <f>IFERROR(INDEX(PP_Grid[#Data],$DD394,78),0)</f>
        <v/>
      </c>
      <c r="CC394">
        <f>IFERROR(INDEX(PP_Grid[#Data],$DD394,79),0)</f>
        <v/>
      </c>
      <c r="CD394">
        <f>IFERROR(INDEX(PP_Grid[#Data],$DD394,80),0)</f>
        <v/>
      </c>
      <c r="CE394">
        <f>IFERROR(INDEX(PP_Grid[#Data],$DD394,81),0)</f>
        <v/>
      </c>
      <c r="CF394">
        <f>IFERROR(INDEX(PP_Grid[#Data],$DD394,82),0)</f>
        <v/>
      </c>
      <c r="CG394">
        <f>IFERROR(INDEX(PP_Grid[#Data],$DD394,83),0)</f>
        <v/>
      </c>
      <c r="CH394">
        <f>IFERROR(INDEX(PP_Grid[#Data],$DD394,84),0)</f>
        <v/>
      </c>
      <c r="CI394">
        <f>IFERROR(INDEX(PP_Grid[#Data],$DD394,85),0)</f>
        <v/>
      </c>
      <c r="CJ394">
        <f>IFERROR(INDEX(PP_Grid[#Data],$DD394,86),0)</f>
        <v/>
      </c>
      <c r="CK394">
        <f>IFERROR(INDEX(PP_Grid[#Data],$DD394,87),0)</f>
        <v/>
      </c>
      <c r="CL394">
        <f>IFERROR(INDEX(PP_Grid[#Data],$DD394,88),0)</f>
        <v/>
      </c>
      <c r="CM394">
        <f>IFERROR(INDEX(PP_Grid[#Data],$DD394,89),0)</f>
        <v/>
      </c>
      <c r="CN394">
        <f>IFERROR(INDEX(PP_Grid[#Data],$DD394,90),0)</f>
        <v/>
      </c>
      <c r="CO394">
        <f>IFERROR(INDEX(PP_Grid[#Data],$DD394,91),0)</f>
        <v/>
      </c>
      <c r="CP394">
        <f>IFERROR(INDEX(PP_Grid[#Data],$DD394,92),0)</f>
        <v/>
      </c>
      <c r="CQ394">
        <f>IFERROR(INDEX(PP_Grid[#Data],$DD394,93),0)</f>
        <v/>
      </c>
      <c r="CR394">
        <f>IFERROR(INDEX(PP_Grid[#Data],$DD394,94),0)</f>
        <v/>
      </c>
      <c r="CS394">
        <f>IFERROR(INDEX(PP_Grid[#Data],$DD394,95),0)</f>
        <v/>
      </c>
      <c r="CT394">
        <f>IFERROR(INDEX(PP_Grid[#Data],$DD394,96),0)</f>
        <v/>
      </c>
      <c r="CU394">
        <f>IFERROR(INDEX(PP_Grid[#Data],$DD394,97),0)</f>
        <v/>
      </c>
      <c r="CV394">
        <f>IFERROR(INDEX(PP_Grid[#Data],$DD394,98),0)</f>
        <v/>
      </c>
      <c r="CW394">
        <f>IFERROR(INDEX(PP_Grid[#Data],$DD394,99),0)</f>
        <v/>
      </c>
      <c r="CX394">
        <f>IFERROR(INDEX(PP_Grid[#Data],$DD394,100),0)</f>
        <v/>
      </c>
      <c r="CY394">
        <f>IFERROR(INDEX(PP_Grid[#Data],$DD394,101),0)</f>
        <v/>
      </c>
      <c r="CZ394">
        <f>IFERROR(INDEX(PP_Grid[#Data],$DD394,102),0)</f>
        <v/>
      </c>
      <c r="DA394">
        <f>IFERROR(INDEX(PP_Grid[#Data],$DD394,103),0)</f>
        <v/>
      </c>
      <c r="DB394">
        <f>IFERROR(INDEX(PP_Grid[#Data],$DD394,104),0)</f>
        <v/>
      </c>
      <c r="DC394">
        <f>IFERROR(INDEX(PP_Grid[#Data],$DD394,105),0)</f>
        <v/>
      </c>
      <c r="DD394" s="12">
        <f>IFERROR(MATCH($B394,PP_Grid[Intermediate],0),99999)</f>
        <v/>
      </c>
    </row>
    <row r="395">
      <c r="B395" t="inlineStr">
        <is>
          <t>使用量(kg)</t>
        </is>
      </c>
      <c r="C395">
        <f>SUMIFS(M_BOM[RM_Qty_Per_Batch],M_BOM[Intermediate],$B394,M_BOM[Part Name],$A389)</f>
        <v/>
      </c>
      <c r="D395">
        <f>$C395*D394</f>
        <v/>
      </c>
      <c r="E395">
        <f>$C395*E394</f>
        <v/>
      </c>
      <c r="F395">
        <f>$C395*F394</f>
        <v/>
      </c>
      <c r="G395">
        <f>$C395*G394</f>
        <v/>
      </c>
      <c r="H395">
        <f>$C395*H394</f>
        <v/>
      </c>
      <c r="I395">
        <f>$C395*I394</f>
        <v/>
      </c>
      <c r="J395">
        <f>$C395*J394</f>
        <v/>
      </c>
      <c r="K395">
        <f>$C395*K394</f>
        <v/>
      </c>
      <c r="L395">
        <f>$C395*L394</f>
        <v/>
      </c>
      <c r="M395">
        <f>$C395*M394</f>
        <v/>
      </c>
      <c r="N395">
        <f>$C395*N394</f>
        <v/>
      </c>
      <c r="O395">
        <f>$C395*O394</f>
        <v/>
      </c>
      <c r="P395">
        <f>$C395*P394</f>
        <v/>
      </c>
      <c r="Q395">
        <f>$C395*Q394</f>
        <v/>
      </c>
      <c r="R395">
        <f>$C395*R394</f>
        <v/>
      </c>
      <c r="S395">
        <f>$C395*S394</f>
        <v/>
      </c>
      <c r="T395">
        <f>$C395*T394</f>
        <v/>
      </c>
      <c r="U395">
        <f>$C395*U394</f>
        <v/>
      </c>
      <c r="V395">
        <f>$C395*V394</f>
        <v/>
      </c>
      <c r="W395">
        <f>$C395*W394</f>
        <v/>
      </c>
      <c r="X395">
        <f>$C395*X394</f>
        <v/>
      </c>
      <c r="Y395">
        <f>$C395*Y394</f>
        <v/>
      </c>
      <c r="Z395">
        <f>$C395*Z394</f>
        <v/>
      </c>
      <c r="AA395">
        <f>$C395*AA394</f>
        <v/>
      </c>
      <c r="AB395">
        <f>$C395*AB394</f>
        <v/>
      </c>
      <c r="AC395">
        <f>$C395*AC394</f>
        <v/>
      </c>
      <c r="AD395">
        <f>$C395*AD394</f>
        <v/>
      </c>
      <c r="AE395">
        <f>$C395*AE394</f>
        <v/>
      </c>
      <c r="AF395">
        <f>$C395*AF394</f>
        <v/>
      </c>
      <c r="AG395">
        <f>$C395*AG394</f>
        <v/>
      </c>
      <c r="AH395">
        <f>$C395*AH394</f>
        <v/>
      </c>
      <c r="AI395">
        <f>$C395*AI394</f>
        <v/>
      </c>
      <c r="AJ395">
        <f>$C395*AJ394</f>
        <v/>
      </c>
      <c r="AK395">
        <f>$C395*AK394</f>
        <v/>
      </c>
      <c r="AL395">
        <f>$C395*AL394</f>
        <v/>
      </c>
      <c r="AM395">
        <f>$C395*AM394</f>
        <v/>
      </c>
      <c r="AN395">
        <f>$C395*AN394</f>
        <v/>
      </c>
      <c r="AO395">
        <f>$C395*AO394</f>
        <v/>
      </c>
      <c r="AP395">
        <f>$C395*AP394</f>
        <v/>
      </c>
      <c r="AQ395">
        <f>$C395*AQ394</f>
        <v/>
      </c>
      <c r="AR395">
        <f>$C395*AR394</f>
        <v/>
      </c>
      <c r="AS395">
        <f>$C395*AS394</f>
        <v/>
      </c>
      <c r="AT395">
        <f>$C395*AT394</f>
        <v/>
      </c>
      <c r="AU395">
        <f>$C395*AU394</f>
        <v/>
      </c>
      <c r="AV395">
        <f>$C395*AV394</f>
        <v/>
      </c>
      <c r="AW395">
        <f>$C395*AW394</f>
        <v/>
      </c>
      <c r="AX395">
        <f>$C395*AX394</f>
        <v/>
      </c>
      <c r="AY395">
        <f>$C395*AY394</f>
        <v/>
      </c>
      <c r="AZ395">
        <f>$C395*AZ394</f>
        <v/>
      </c>
      <c r="BA395">
        <f>$C395*BA394</f>
        <v/>
      </c>
      <c r="BB395">
        <f>$C395*BB394</f>
        <v/>
      </c>
      <c r="BC395">
        <f>$C395*BC394</f>
        <v/>
      </c>
      <c r="BD395">
        <f>$C395*BD394</f>
        <v/>
      </c>
      <c r="BE395">
        <f>$C395*BE394</f>
        <v/>
      </c>
      <c r="BF395">
        <f>$C395*BF394</f>
        <v/>
      </c>
      <c r="BG395">
        <f>$C395*BG394</f>
        <v/>
      </c>
      <c r="BH395">
        <f>$C395*BH394</f>
        <v/>
      </c>
      <c r="BI395">
        <f>$C395*BI394</f>
        <v/>
      </c>
      <c r="BJ395">
        <f>$C395*BJ394</f>
        <v/>
      </c>
      <c r="BK395">
        <f>$C395*BK394</f>
        <v/>
      </c>
      <c r="BL395">
        <f>$C395*BL394</f>
        <v/>
      </c>
      <c r="BM395">
        <f>$C395*BM394</f>
        <v/>
      </c>
      <c r="BN395">
        <f>$C395*BN394</f>
        <v/>
      </c>
      <c r="BO395">
        <f>$C395*BO394</f>
        <v/>
      </c>
      <c r="BP395">
        <f>$C395*BP394</f>
        <v/>
      </c>
      <c r="BQ395">
        <f>$C395*BQ394</f>
        <v/>
      </c>
      <c r="BR395">
        <f>$C395*BR394</f>
        <v/>
      </c>
      <c r="BS395">
        <f>$C395*BS394</f>
        <v/>
      </c>
      <c r="BT395">
        <f>$C395*BT394</f>
        <v/>
      </c>
      <c r="BU395">
        <f>$C395*BU394</f>
        <v/>
      </c>
      <c r="BV395">
        <f>$C395*BV394</f>
        <v/>
      </c>
      <c r="BW395">
        <f>$C395*BW394</f>
        <v/>
      </c>
      <c r="BX395">
        <f>$C395*BX394</f>
        <v/>
      </c>
      <c r="BY395">
        <f>$C395*BY394</f>
        <v/>
      </c>
      <c r="BZ395">
        <f>$C395*BZ394</f>
        <v/>
      </c>
      <c r="CA395">
        <f>$C395*CA394</f>
        <v/>
      </c>
      <c r="CB395">
        <f>$C395*CB394</f>
        <v/>
      </c>
      <c r="CC395">
        <f>$C395*CC394</f>
        <v/>
      </c>
      <c r="CD395">
        <f>$C395*CD394</f>
        <v/>
      </c>
      <c r="CE395">
        <f>$C395*CE394</f>
        <v/>
      </c>
      <c r="CF395">
        <f>$C395*CF394</f>
        <v/>
      </c>
      <c r="CG395">
        <f>$C395*CG394</f>
        <v/>
      </c>
      <c r="CH395">
        <f>$C395*CH394</f>
        <v/>
      </c>
      <c r="CI395">
        <f>$C395*CI394</f>
        <v/>
      </c>
      <c r="CJ395">
        <f>$C395*CJ394</f>
        <v/>
      </c>
      <c r="CK395">
        <f>$C395*CK394</f>
        <v/>
      </c>
      <c r="CL395">
        <f>$C395*CL394</f>
        <v/>
      </c>
      <c r="CM395">
        <f>$C395*CM394</f>
        <v/>
      </c>
      <c r="CN395">
        <f>$C395*CN394</f>
        <v/>
      </c>
      <c r="CO395">
        <f>$C395*CO394</f>
        <v/>
      </c>
      <c r="CP395">
        <f>$C395*CP394</f>
        <v/>
      </c>
      <c r="CQ395">
        <f>$C395*CQ394</f>
        <v/>
      </c>
      <c r="CR395">
        <f>$C395*CR394</f>
        <v/>
      </c>
      <c r="CS395">
        <f>$C395*CS394</f>
        <v/>
      </c>
      <c r="CT395">
        <f>$C395*CT394</f>
        <v/>
      </c>
      <c r="CU395">
        <f>$C395*CU394</f>
        <v/>
      </c>
      <c r="CV395">
        <f>$C395*CV394</f>
        <v/>
      </c>
      <c r="CW395">
        <f>$C395*CW394</f>
        <v/>
      </c>
      <c r="CX395">
        <f>$C395*CX394</f>
        <v/>
      </c>
      <c r="CY395">
        <f>$C395*CY394</f>
        <v/>
      </c>
      <c r="CZ395">
        <f>$C395*CZ394</f>
        <v/>
      </c>
      <c r="DA395">
        <f>$C395*DA394</f>
        <v/>
      </c>
      <c r="DB395">
        <f>$C395*DB394</f>
        <v/>
      </c>
      <c r="DC395">
        <f>$C395*DC394</f>
        <v/>
      </c>
    </row>
    <row r="396">
      <c r="B396" t="inlineStr">
        <is>
          <t>TSP-405</t>
        </is>
      </c>
      <c r="C396" t="inlineStr">
        <is>
          <t>No. of batches</t>
        </is>
      </c>
      <c r="D396">
        <f>IFERROR(INDEX(PP_Grid[#Data],$DD396,2),0)</f>
        <v/>
      </c>
      <c r="E396">
        <f>IFERROR(INDEX(PP_Grid[#Data],$DD396,3),0)</f>
        <v/>
      </c>
      <c r="F396">
        <f>IFERROR(INDEX(PP_Grid[#Data],$DD396,4),0)</f>
        <v/>
      </c>
      <c r="G396">
        <f>IFERROR(INDEX(PP_Grid[#Data],$DD396,5),0)</f>
        <v/>
      </c>
      <c r="H396">
        <f>IFERROR(INDEX(PP_Grid[#Data],$DD396,6),0)</f>
        <v/>
      </c>
      <c r="I396">
        <f>IFERROR(INDEX(PP_Grid[#Data],$DD396,7),0)</f>
        <v/>
      </c>
      <c r="J396">
        <f>IFERROR(INDEX(PP_Grid[#Data],$DD396,8),0)</f>
        <v/>
      </c>
      <c r="K396">
        <f>IFERROR(INDEX(PP_Grid[#Data],$DD396,9),0)</f>
        <v/>
      </c>
      <c r="L396">
        <f>IFERROR(INDEX(PP_Grid[#Data],$DD396,10),0)</f>
        <v/>
      </c>
      <c r="M396">
        <f>IFERROR(INDEX(PP_Grid[#Data],$DD396,11),0)</f>
        <v/>
      </c>
      <c r="N396">
        <f>IFERROR(INDEX(PP_Grid[#Data],$DD396,12),0)</f>
        <v/>
      </c>
      <c r="O396">
        <f>IFERROR(INDEX(PP_Grid[#Data],$DD396,13),0)</f>
        <v/>
      </c>
      <c r="P396">
        <f>IFERROR(INDEX(PP_Grid[#Data],$DD396,14),0)</f>
        <v/>
      </c>
      <c r="Q396">
        <f>IFERROR(INDEX(PP_Grid[#Data],$DD396,15),0)</f>
        <v/>
      </c>
      <c r="R396">
        <f>IFERROR(INDEX(PP_Grid[#Data],$DD396,16),0)</f>
        <v/>
      </c>
      <c r="S396">
        <f>IFERROR(INDEX(PP_Grid[#Data],$DD396,17),0)</f>
        <v/>
      </c>
      <c r="T396">
        <f>IFERROR(INDEX(PP_Grid[#Data],$DD396,18),0)</f>
        <v/>
      </c>
      <c r="U396">
        <f>IFERROR(INDEX(PP_Grid[#Data],$DD396,19),0)</f>
        <v/>
      </c>
      <c r="V396">
        <f>IFERROR(INDEX(PP_Grid[#Data],$DD396,20),0)</f>
        <v/>
      </c>
      <c r="W396">
        <f>IFERROR(INDEX(PP_Grid[#Data],$DD396,21),0)</f>
        <v/>
      </c>
      <c r="X396">
        <f>IFERROR(INDEX(PP_Grid[#Data],$DD396,22),0)</f>
        <v/>
      </c>
      <c r="Y396">
        <f>IFERROR(INDEX(PP_Grid[#Data],$DD396,23),0)</f>
        <v/>
      </c>
      <c r="Z396">
        <f>IFERROR(INDEX(PP_Grid[#Data],$DD396,24),0)</f>
        <v/>
      </c>
      <c r="AA396">
        <f>IFERROR(INDEX(PP_Grid[#Data],$DD396,25),0)</f>
        <v/>
      </c>
      <c r="AB396">
        <f>IFERROR(INDEX(PP_Grid[#Data],$DD396,26),0)</f>
        <v/>
      </c>
      <c r="AC396">
        <f>IFERROR(INDEX(PP_Grid[#Data],$DD396,27),0)</f>
        <v/>
      </c>
      <c r="AD396">
        <f>IFERROR(INDEX(PP_Grid[#Data],$DD396,28),0)</f>
        <v/>
      </c>
      <c r="AE396">
        <f>IFERROR(INDEX(PP_Grid[#Data],$DD396,29),0)</f>
        <v/>
      </c>
      <c r="AF396">
        <f>IFERROR(INDEX(PP_Grid[#Data],$DD396,30),0)</f>
        <v/>
      </c>
      <c r="AG396">
        <f>IFERROR(INDEX(PP_Grid[#Data],$DD396,31),0)</f>
        <v/>
      </c>
      <c r="AH396">
        <f>IFERROR(INDEX(PP_Grid[#Data],$DD396,32),0)</f>
        <v/>
      </c>
      <c r="AI396">
        <f>IFERROR(INDEX(PP_Grid[#Data],$DD396,33),0)</f>
        <v/>
      </c>
      <c r="AJ396">
        <f>IFERROR(INDEX(PP_Grid[#Data],$DD396,34),0)</f>
        <v/>
      </c>
      <c r="AK396">
        <f>IFERROR(INDEX(PP_Grid[#Data],$DD396,35),0)</f>
        <v/>
      </c>
      <c r="AL396">
        <f>IFERROR(INDEX(PP_Grid[#Data],$DD396,36),0)</f>
        <v/>
      </c>
      <c r="AM396">
        <f>IFERROR(INDEX(PP_Grid[#Data],$DD396,37),0)</f>
        <v/>
      </c>
      <c r="AN396">
        <f>IFERROR(INDEX(PP_Grid[#Data],$DD396,38),0)</f>
        <v/>
      </c>
      <c r="AO396">
        <f>IFERROR(INDEX(PP_Grid[#Data],$DD396,39),0)</f>
        <v/>
      </c>
      <c r="AP396">
        <f>IFERROR(INDEX(PP_Grid[#Data],$DD396,40),0)</f>
        <v/>
      </c>
      <c r="AQ396">
        <f>IFERROR(INDEX(PP_Grid[#Data],$DD396,41),0)</f>
        <v/>
      </c>
      <c r="AR396">
        <f>IFERROR(INDEX(PP_Grid[#Data],$DD396,42),0)</f>
        <v/>
      </c>
      <c r="AS396">
        <f>IFERROR(INDEX(PP_Grid[#Data],$DD396,43),0)</f>
        <v/>
      </c>
      <c r="AT396">
        <f>IFERROR(INDEX(PP_Grid[#Data],$DD396,44),0)</f>
        <v/>
      </c>
      <c r="AU396">
        <f>IFERROR(INDEX(PP_Grid[#Data],$DD396,45),0)</f>
        <v/>
      </c>
      <c r="AV396">
        <f>IFERROR(INDEX(PP_Grid[#Data],$DD396,46),0)</f>
        <v/>
      </c>
      <c r="AW396">
        <f>IFERROR(INDEX(PP_Grid[#Data],$DD396,47),0)</f>
        <v/>
      </c>
      <c r="AX396">
        <f>IFERROR(INDEX(PP_Grid[#Data],$DD396,48),0)</f>
        <v/>
      </c>
      <c r="AY396">
        <f>IFERROR(INDEX(PP_Grid[#Data],$DD396,49),0)</f>
        <v/>
      </c>
      <c r="AZ396">
        <f>IFERROR(INDEX(PP_Grid[#Data],$DD396,50),0)</f>
        <v/>
      </c>
      <c r="BA396">
        <f>IFERROR(INDEX(PP_Grid[#Data],$DD396,51),0)</f>
        <v/>
      </c>
      <c r="BB396">
        <f>IFERROR(INDEX(PP_Grid[#Data],$DD396,52),0)</f>
        <v/>
      </c>
      <c r="BC396">
        <f>IFERROR(INDEX(PP_Grid[#Data],$DD396,53),0)</f>
        <v/>
      </c>
      <c r="BD396">
        <f>IFERROR(INDEX(PP_Grid[#Data],$DD396,54),0)</f>
        <v/>
      </c>
      <c r="BE396">
        <f>IFERROR(INDEX(PP_Grid[#Data],$DD396,55),0)</f>
        <v/>
      </c>
      <c r="BF396">
        <f>IFERROR(INDEX(PP_Grid[#Data],$DD396,56),0)</f>
        <v/>
      </c>
      <c r="BG396">
        <f>IFERROR(INDEX(PP_Grid[#Data],$DD396,57),0)</f>
        <v/>
      </c>
      <c r="BH396">
        <f>IFERROR(INDEX(PP_Grid[#Data],$DD396,58),0)</f>
        <v/>
      </c>
      <c r="BI396">
        <f>IFERROR(INDEX(PP_Grid[#Data],$DD396,59),0)</f>
        <v/>
      </c>
      <c r="BJ396">
        <f>IFERROR(INDEX(PP_Grid[#Data],$DD396,60),0)</f>
        <v/>
      </c>
      <c r="BK396">
        <f>IFERROR(INDEX(PP_Grid[#Data],$DD396,61),0)</f>
        <v/>
      </c>
      <c r="BL396">
        <f>IFERROR(INDEX(PP_Grid[#Data],$DD396,62),0)</f>
        <v/>
      </c>
      <c r="BM396">
        <f>IFERROR(INDEX(PP_Grid[#Data],$DD396,63),0)</f>
        <v/>
      </c>
      <c r="BN396">
        <f>IFERROR(INDEX(PP_Grid[#Data],$DD396,64),0)</f>
        <v/>
      </c>
      <c r="BO396">
        <f>IFERROR(INDEX(PP_Grid[#Data],$DD396,65),0)</f>
        <v/>
      </c>
      <c r="BP396">
        <f>IFERROR(INDEX(PP_Grid[#Data],$DD396,66),0)</f>
        <v/>
      </c>
      <c r="BQ396">
        <f>IFERROR(INDEX(PP_Grid[#Data],$DD396,67),0)</f>
        <v/>
      </c>
      <c r="BR396">
        <f>IFERROR(INDEX(PP_Grid[#Data],$DD396,68),0)</f>
        <v/>
      </c>
      <c r="BS396">
        <f>IFERROR(INDEX(PP_Grid[#Data],$DD396,69),0)</f>
        <v/>
      </c>
      <c r="BT396">
        <f>IFERROR(INDEX(PP_Grid[#Data],$DD396,70),0)</f>
        <v/>
      </c>
      <c r="BU396">
        <f>IFERROR(INDEX(PP_Grid[#Data],$DD396,71),0)</f>
        <v/>
      </c>
      <c r="BV396">
        <f>IFERROR(INDEX(PP_Grid[#Data],$DD396,72),0)</f>
        <v/>
      </c>
      <c r="BW396">
        <f>IFERROR(INDEX(PP_Grid[#Data],$DD396,73),0)</f>
        <v/>
      </c>
      <c r="BX396">
        <f>IFERROR(INDEX(PP_Grid[#Data],$DD396,74),0)</f>
        <v/>
      </c>
      <c r="BY396">
        <f>IFERROR(INDEX(PP_Grid[#Data],$DD396,75),0)</f>
        <v/>
      </c>
      <c r="BZ396">
        <f>IFERROR(INDEX(PP_Grid[#Data],$DD396,76),0)</f>
        <v/>
      </c>
      <c r="CA396">
        <f>IFERROR(INDEX(PP_Grid[#Data],$DD396,77),0)</f>
        <v/>
      </c>
      <c r="CB396">
        <f>IFERROR(INDEX(PP_Grid[#Data],$DD396,78),0)</f>
        <v/>
      </c>
      <c r="CC396">
        <f>IFERROR(INDEX(PP_Grid[#Data],$DD396,79),0)</f>
        <v/>
      </c>
      <c r="CD396">
        <f>IFERROR(INDEX(PP_Grid[#Data],$DD396,80),0)</f>
        <v/>
      </c>
      <c r="CE396">
        <f>IFERROR(INDEX(PP_Grid[#Data],$DD396,81),0)</f>
        <v/>
      </c>
      <c r="CF396">
        <f>IFERROR(INDEX(PP_Grid[#Data],$DD396,82),0)</f>
        <v/>
      </c>
      <c r="CG396">
        <f>IFERROR(INDEX(PP_Grid[#Data],$DD396,83),0)</f>
        <v/>
      </c>
      <c r="CH396">
        <f>IFERROR(INDEX(PP_Grid[#Data],$DD396,84),0)</f>
        <v/>
      </c>
      <c r="CI396">
        <f>IFERROR(INDEX(PP_Grid[#Data],$DD396,85),0)</f>
        <v/>
      </c>
      <c r="CJ396">
        <f>IFERROR(INDEX(PP_Grid[#Data],$DD396,86),0)</f>
        <v/>
      </c>
      <c r="CK396">
        <f>IFERROR(INDEX(PP_Grid[#Data],$DD396,87),0)</f>
        <v/>
      </c>
      <c r="CL396">
        <f>IFERROR(INDEX(PP_Grid[#Data],$DD396,88),0)</f>
        <v/>
      </c>
      <c r="CM396">
        <f>IFERROR(INDEX(PP_Grid[#Data],$DD396,89),0)</f>
        <v/>
      </c>
      <c r="CN396">
        <f>IFERROR(INDEX(PP_Grid[#Data],$DD396,90),0)</f>
        <v/>
      </c>
      <c r="CO396">
        <f>IFERROR(INDEX(PP_Grid[#Data],$DD396,91),0)</f>
        <v/>
      </c>
      <c r="CP396">
        <f>IFERROR(INDEX(PP_Grid[#Data],$DD396,92),0)</f>
        <v/>
      </c>
      <c r="CQ396">
        <f>IFERROR(INDEX(PP_Grid[#Data],$DD396,93),0)</f>
        <v/>
      </c>
      <c r="CR396">
        <f>IFERROR(INDEX(PP_Grid[#Data],$DD396,94),0)</f>
        <v/>
      </c>
      <c r="CS396">
        <f>IFERROR(INDEX(PP_Grid[#Data],$DD396,95),0)</f>
        <v/>
      </c>
      <c r="CT396">
        <f>IFERROR(INDEX(PP_Grid[#Data],$DD396,96),0)</f>
        <v/>
      </c>
      <c r="CU396">
        <f>IFERROR(INDEX(PP_Grid[#Data],$DD396,97),0)</f>
        <v/>
      </c>
      <c r="CV396">
        <f>IFERROR(INDEX(PP_Grid[#Data],$DD396,98),0)</f>
        <v/>
      </c>
      <c r="CW396">
        <f>IFERROR(INDEX(PP_Grid[#Data],$DD396,99),0)</f>
        <v/>
      </c>
      <c r="CX396">
        <f>IFERROR(INDEX(PP_Grid[#Data],$DD396,100),0)</f>
        <v/>
      </c>
      <c r="CY396">
        <f>IFERROR(INDEX(PP_Grid[#Data],$DD396,101),0)</f>
        <v/>
      </c>
      <c r="CZ396">
        <f>IFERROR(INDEX(PP_Grid[#Data],$DD396,102),0)</f>
        <v/>
      </c>
      <c r="DA396">
        <f>IFERROR(INDEX(PP_Grid[#Data],$DD396,103),0)</f>
        <v/>
      </c>
      <c r="DB396">
        <f>IFERROR(INDEX(PP_Grid[#Data],$DD396,104),0)</f>
        <v/>
      </c>
      <c r="DC396">
        <f>IFERROR(INDEX(PP_Grid[#Data],$DD396,105),0)</f>
        <v/>
      </c>
      <c r="DD396" s="12">
        <f>IFERROR(MATCH($B396,PP_Grid[Intermediate],0),99999)</f>
        <v/>
      </c>
    </row>
    <row r="397">
      <c r="B397" t="inlineStr">
        <is>
          <t>使用量(kg)</t>
        </is>
      </c>
      <c r="C397">
        <f>SUMIFS(M_BOM[RM_Qty_Per_Batch],M_BOM[Intermediate],$B396,M_BOM[Part Name],$A389)</f>
        <v/>
      </c>
      <c r="D397">
        <f>$C397*D396</f>
        <v/>
      </c>
      <c r="E397">
        <f>$C397*E396</f>
        <v/>
      </c>
      <c r="F397">
        <f>$C397*F396</f>
        <v/>
      </c>
      <c r="G397">
        <f>$C397*G396</f>
        <v/>
      </c>
      <c r="H397">
        <f>$C397*H396</f>
        <v/>
      </c>
      <c r="I397">
        <f>$C397*I396</f>
        <v/>
      </c>
      <c r="J397">
        <f>$C397*J396</f>
        <v/>
      </c>
      <c r="K397">
        <f>$C397*K396</f>
        <v/>
      </c>
      <c r="L397">
        <f>$C397*L396</f>
        <v/>
      </c>
      <c r="M397">
        <f>$C397*M396</f>
        <v/>
      </c>
      <c r="N397">
        <f>$C397*N396</f>
        <v/>
      </c>
      <c r="O397">
        <f>$C397*O396</f>
        <v/>
      </c>
      <c r="P397">
        <f>$C397*P396</f>
        <v/>
      </c>
      <c r="Q397">
        <f>$C397*Q396</f>
        <v/>
      </c>
      <c r="R397">
        <f>$C397*R396</f>
        <v/>
      </c>
      <c r="S397">
        <f>$C397*S396</f>
        <v/>
      </c>
      <c r="T397">
        <f>$C397*T396</f>
        <v/>
      </c>
      <c r="U397">
        <f>$C397*U396</f>
        <v/>
      </c>
      <c r="V397">
        <f>$C397*V396</f>
        <v/>
      </c>
      <c r="W397">
        <f>$C397*W396</f>
        <v/>
      </c>
      <c r="X397">
        <f>$C397*X396</f>
        <v/>
      </c>
      <c r="Y397">
        <f>$C397*Y396</f>
        <v/>
      </c>
      <c r="Z397">
        <f>$C397*Z396</f>
        <v/>
      </c>
      <c r="AA397">
        <f>$C397*AA396</f>
        <v/>
      </c>
      <c r="AB397">
        <f>$C397*AB396</f>
        <v/>
      </c>
      <c r="AC397">
        <f>$C397*AC396</f>
        <v/>
      </c>
      <c r="AD397">
        <f>$C397*AD396</f>
        <v/>
      </c>
      <c r="AE397">
        <f>$C397*AE396</f>
        <v/>
      </c>
      <c r="AF397">
        <f>$C397*AF396</f>
        <v/>
      </c>
      <c r="AG397">
        <f>$C397*AG396</f>
        <v/>
      </c>
      <c r="AH397">
        <f>$C397*AH396</f>
        <v/>
      </c>
      <c r="AI397">
        <f>$C397*AI396</f>
        <v/>
      </c>
      <c r="AJ397">
        <f>$C397*AJ396</f>
        <v/>
      </c>
      <c r="AK397">
        <f>$C397*AK396</f>
        <v/>
      </c>
      <c r="AL397">
        <f>$C397*AL396</f>
        <v/>
      </c>
      <c r="AM397">
        <f>$C397*AM396</f>
        <v/>
      </c>
      <c r="AN397">
        <f>$C397*AN396</f>
        <v/>
      </c>
      <c r="AO397">
        <f>$C397*AO396</f>
        <v/>
      </c>
      <c r="AP397">
        <f>$C397*AP396</f>
        <v/>
      </c>
      <c r="AQ397">
        <f>$C397*AQ396</f>
        <v/>
      </c>
      <c r="AR397">
        <f>$C397*AR396</f>
        <v/>
      </c>
      <c r="AS397">
        <f>$C397*AS396</f>
        <v/>
      </c>
      <c r="AT397">
        <f>$C397*AT396</f>
        <v/>
      </c>
      <c r="AU397">
        <f>$C397*AU396</f>
        <v/>
      </c>
      <c r="AV397">
        <f>$C397*AV396</f>
        <v/>
      </c>
      <c r="AW397">
        <f>$C397*AW396</f>
        <v/>
      </c>
      <c r="AX397">
        <f>$C397*AX396</f>
        <v/>
      </c>
      <c r="AY397">
        <f>$C397*AY396</f>
        <v/>
      </c>
      <c r="AZ397">
        <f>$C397*AZ396</f>
        <v/>
      </c>
      <c r="BA397">
        <f>$C397*BA396</f>
        <v/>
      </c>
      <c r="BB397">
        <f>$C397*BB396</f>
        <v/>
      </c>
      <c r="BC397">
        <f>$C397*BC396</f>
        <v/>
      </c>
      <c r="BD397">
        <f>$C397*BD396</f>
        <v/>
      </c>
      <c r="BE397">
        <f>$C397*BE396</f>
        <v/>
      </c>
      <c r="BF397">
        <f>$C397*BF396</f>
        <v/>
      </c>
      <c r="BG397">
        <f>$C397*BG396</f>
        <v/>
      </c>
      <c r="BH397">
        <f>$C397*BH396</f>
        <v/>
      </c>
      <c r="BI397">
        <f>$C397*BI396</f>
        <v/>
      </c>
      <c r="BJ397">
        <f>$C397*BJ396</f>
        <v/>
      </c>
      <c r="BK397">
        <f>$C397*BK396</f>
        <v/>
      </c>
      <c r="BL397">
        <f>$C397*BL396</f>
        <v/>
      </c>
      <c r="BM397">
        <f>$C397*BM396</f>
        <v/>
      </c>
      <c r="BN397">
        <f>$C397*BN396</f>
        <v/>
      </c>
      <c r="BO397">
        <f>$C397*BO396</f>
        <v/>
      </c>
      <c r="BP397">
        <f>$C397*BP396</f>
        <v/>
      </c>
      <c r="BQ397">
        <f>$C397*BQ396</f>
        <v/>
      </c>
      <c r="BR397">
        <f>$C397*BR396</f>
        <v/>
      </c>
      <c r="BS397">
        <f>$C397*BS396</f>
        <v/>
      </c>
      <c r="BT397">
        <f>$C397*BT396</f>
        <v/>
      </c>
      <c r="BU397">
        <f>$C397*BU396</f>
        <v/>
      </c>
      <c r="BV397">
        <f>$C397*BV396</f>
        <v/>
      </c>
      <c r="BW397">
        <f>$C397*BW396</f>
        <v/>
      </c>
      <c r="BX397">
        <f>$C397*BX396</f>
        <v/>
      </c>
      <c r="BY397">
        <f>$C397*BY396</f>
        <v/>
      </c>
      <c r="BZ397">
        <f>$C397*BZ396</f>
        <v/>
      </c>
      <c r="CA397">
        <f>$C397*CA396</f>
        <v/>
      </c>
      <c r="CB397">
        <f>$C397*CB396</f>
        <v/>
      </c>
      <c r="CC397">
        <f>$C397*CC396</f>
        <v/>
      </c>
      <c r="CD397">
        <f>$C397*CD396</f>
        <v/>
      </c>
      <c r="CE397">
        <f>$C397*CE396</f>
        <v/>
      </c>
      <c r="CF397">
        <f>$C397*CF396</f>
        <v/>
      </c>
      <c r="CG397">
        <f>$C397*CG396</f>
        <v/>
      </c>
      <c r="CH397">
        <f>$C397*CH396</f>
        <v/>
      </c>
      <c r="CI397">
        <f>$C397*CI396</f>
        <v/>
      </c>
      <c r="CJ397">
        <f>$C397*CJ396</f>
        <v/>
      </c>
      <c r="CK397">
        <f>$C397*CK396</f>
        <v/>
      </c>
      <c r="CL397">
        <f>$C397*CL396</f>
        <v/>
      </c>
      <c r="CM397">
        <f>$C397*CM396</f>
        <v/>
      </c>
      <c r="CN397">
        <f>$C397*CN396</f>
        <v/>
      </c>
      <c r="CO397">
        <f>$C397*CO396</f>
        <v/>
      </c>
      <c r="CP397">
        <f>$C397*CP396</f>
        <v/>
      </c>
      <c r="CQ397">
        <f>$C397*CQ396</f>
        <v/>
      </c>
      <c r="CR397">
        <f>$C397*CR396</f>
        <v/>
      </c>
      <c r="CS397">
        <f>$C397*CS396</f>
        <v/>
      </c>
      <c r="CT397">
        <f>$C397*CT396</f>
        <v/>
      </c>
      <c r="CU397">
        <f>$C397*CU396</f>
        <v/>
      </c>
      <c r="CV397">
        <f>$C397*CV396</f>
        <v/>
      </c>
      <c r="CW397">
        <f>$C397*CW396</f>
        <v/>
      </c>
      <c r="CX397">
        <f>$C397*CX396</f>
        <v/>
      </c>
      <c r="CY397">
        <f>$C397*CY396</f>
        <v/>
      </c>
      <c r="CZ397">
        <f>$C397*CZ396</f>
        <v/>
      </c>
      <c r="DA397">
        <f>$C397*DA396</f>
        <v/>
      </c>
      <c r="DB397">
        <f>$C397*DB396</f>
        <v/>
      </c>
      <c r="DC397">
        <f>$C397*DC396</f>
        <v/>
      </c>
    </row>
    <row r="398">
      <c r="B398" s="5" t="inlineStr">
        <is>
          <t>合計使用量(kg)/週</t>
        </is>
      </c>
      <c r="D398">
        <f>'Grid_Requirement'!B30</f>
        <v/>
      </c>
      <c r="E398">
        <f>'Grid_Requirement'!C30</f>
        <v/>
      </c>
      <c r="F398">
        <f>'Grid_Requirement'!D30</f>
        <v/>
      </c>
      <c r="G398">
        <f>'Grid_Requirement'!E30</f>
        <v/>
      </c>
      <c r="H398">
        <f>'Grid_Requirement'!F30</f>
        <v/>
      </c>
      <c r="I398">
        <f>'Grid_Requirement'!G30</f>
        <v/>
      </c>
      <c r="J398">
        <f>'Grid_Requirement'!H30</f>
        <v/>
      </c>
      <c r="K398">
        <f>'Grid_Requirement'!I30</f>
        <v/>
      </c>
      <c r="L398">
        <f>'Grid_Requirement'!J30</f>
        <v/>
      </c>
      <c r="M398">
        <f>'Grid_Requirement'!K30</f>
        <v/>
      </c>
      <c r="N398">
        <f>'Grid_Requirement'!L30</f>
        <v/>
      </c>
      <c r="O398">
        <f>'Grid_Requirement'!M30</f>
        <v/>
      </c>
      <c r="P398">
        <f>'Grid_Requirement'!N30</f>
        <v/>
      </c>
      <c r="Q398">
        <f>'Grid_Requirement'!O30</f>
        <v/>
      </c>
      <c r="R398">
        <f>'Grid_Requirement'!P30</f>
        <v/>
      </c>
      <c r="S398">
        <f>'Grid_Requirement'!Q30</f>
        <v/>
      </c>
      <c r="T398">
        <f>'Grid_Requirement'!R30</f>
        <v/>
      </c>
      <c r="U398">
        <f>'Grid_Requirement'!S30</f>
        <v/>
      </c>
      <c r="V398">
        <f>'Grid_Requirement'!T30</f>
        <v/>
      </c>
      <c r="W398">
        <f>'Grid_Requirement'!U30</f>
        <v/>
      </c>
      <c r="X398">
        <f>'Grid_Requirement'!V30</f>
        <v/>
      </c>
      <c r="Y398">
        <f>'Grid_Requirement'!W30</f>
        <v/>
      </c>
      <c r="Z398">
        <f>'Grid_Requirement'!X30</f>
        <v/>
      </c>
      <c r="AA398">
        <f>'Grid_Requirement'!Y30</f>
        <v/>
      </c>
      <c r="AB398">
        <f>'Grid_Requirement'!Z30</f>
        <v/>
      </c>
      <c r="AC398">
        <f>'Grid_Requirement'!AA30</f>
        <v/>
      </c>
      <c r="AD398">
        <f>'Grid_Requirement'!AB30</f>
        <v/>
      </c>
      <c r="AE398">
        <f>'Grid_Requirement'!AC30</f>
        <v/>
      </c>
      <c r="AF398">
        <f>'Grid_Requirement'!AD30</f>
        <v/>
      </c>
      <c r="AG398">
        <f>'Grid_Requirement'!AE30</f>
        <v/>
      </c>
      <c r="AH398">
        <f>'Grid_Requirement'!AF30</f>
        <v/>
      </c>
      <c r="AI398">
        <f>'Grid_Requirement'!AG30</f>
        <v/>
      </c>
      <c r="AJ398">
        <f>'Grid_Requirement'!AH30</f>
        <v/>
      </c>
      <c r="AK398">
        <f>'Grid_Requirement'!AI30</f>
        <v/>
      </c>
      <c r="AL398">
        <f>'Grid_Requirement'!AJ30</f>
        <v/>
      </c>
      <c r="AM398">
        <f>'Grid_Requirement'!AK30</f>
        <v/>
      </c>
      <c r="AN398">
        <f>'Grid_Requirement'!AL30</f>
        <v/>
      </c>
      <c r="AO398">
        <f>'Grid_Requirement'!AM30</f>
        <v/>
      </c>
      <c r="AP398">
        <f>'Grid_Requirement'!AN30</f>
        <v/>
      </c>
      <c r="AQ398">
        <f>'Grid_Requirement'!AO30</f>
        <v/>
      </c>
      <c r="AR398">
        <f>'Grid_Requirement'!AP30</f>
        <v/>
      </c>
      <c r="AS398">
        <f>'Grid_Requirement'!AQ30</f>
        <v/>
      </c>
      <c r="AT398">
        <f>'Grid_Requirement'!AR30</f>
        <v/>
      </c>
      <c r="AU398">
        <f>'Grid_Requirement'!AS30</f>
        <v/>
      </c>
      <c r="AV398">
        <f>'Grid_Requirement'!AT30</f>
        <v/>
      </c>
      <c r="AW398">
        <f>'Grid_Requirement'!AU30</f>
        <v/>
      </c>
      <c r="AX398">
        <f>'Grid_Requirement'!AV30</f>
        <v/>
      </c>
      <c r="AY398">
        <f>'Grid_Requirement'!AW30</f>
        <v/>
      </c>
      <c r="AZ398">
        <f>'Grid_Requirement'!AX30</f>
        <v/>
      </c>
      <c r="BA398">
        <f>'Grid_Requirement'!AY30</f>
        <v/>
      </c>
      <c r="BB398">
        <f>'Grid_Requirement'!AZ30</f>
        <v/>
      </c>
      <c r="BC398">
        <f>'Grid_Requirement'!BA30</f>
        <v/>
      </c>
      <c r="BD398">
        <f>'Grid_Requirement'!BB30</f>
        <v/>
      </c>
      <c r="BE398">
        <f>'Grid_Requirement'!BC30</f>
        <v/>
      </c>
      <c r="BF398">
        <f>'Grid_Requirement'!BD30</f>
        <v/>
      </c>
      <c r="BG398">
        <f>'Grid_Requirement'!BE30</f>
        <v/>
      </c>
      <c r="BH398">
        <f>'Grid_Requirement'!BF30</f>
        <v/>
      </c>
      <c r="BI398">
        <f>'Grid_Requirement'!BG30</f>
        <v/>
      </c>
      <c r="BJ398">
        <f>'Grid_Requirement'!BH30</f>
        <v/>
      </c>
      <c r="BK398">
        <f>'Grid_Requirement'!BI30</f>
        <v/>
      </c>
      <c r="BL398">
        <f>'Grid_Requirement'!BJ30</f>
        <v/>
      </c>
      <c r="BM398">
        <f>'Grid_Requirement'!BK30</f>
        <v/>
      </c>
      <c r="BN398">
        <f>'Grid_Requirement'!BL30</f>
        <v/>
      </c>
      <c r="BO398">
        <f>'Grid_Requirement'!BM30</f>
        <v/>
      </c>
      <c r="BP398">
        <f>'Grid_Requirement'!BN30</f>
        <v/>
      </c>
      <c r="BQ398">
        <f>'Grid_Requirement'!BO30</f>
        <v/>
      </c>
      <c r="BR398">
        <f>'Grid_Requirement'!BP30</f>
        <v/>
      </c>
      <c r="BS398">
        <f>'Grid_Requirement'!BQ30</f>
        <v/>
      </c>
      <c r="BT398">
        <f>'Grid_Requirement'!BR30</f>
        <v/>
      </c>
      <c r="BU398">
        <f>'Grid_Requirement'!BS30</f>
        <v/>
      </c>
      <c r="BV398">
        <f>'Grid_Requirement'!BT30</f>
        <v/>
      </c>
      <c r="BW398">
        <f>'Grid_Requirement'!BU30</f>
        <v/>
      </c>
      <c r="BX398">
        <f>'Grid_Requirement'!BV30</f>
        <v/>
      </c>
      <c r="BY398">
        <f>'Grid_Requirement'!BW30</f>
        <v/>
      </c>
      <c r="BZ398">
        <f>'Grid_Requirement'!BX30</f>
        <v/>
      </c>
      <c r="CA398">
        <f>'Grid_Requirement'!BY30</f>
        <v/>
      </c>
      <c r="CB398">
        <f>'Grid_Requirement'!BZ30</f>
        <v/>
      </c>
      <c r="CC398">
        <f>'Grid_Requirement'!CA30</f>
        <v/>
      </c>
      <c r="CD398">
        <f>'Grid_Requirement'!CB30</f>
        <v/>
      </c>
      <c r="CE398">
        <f>'Grid_Requirement'!CC30</f>
        <v/>
      </c>
      <c r="CF398">
        <f>'Grid_Requirement'!CD30</f>
        <v/>
      </c>
      <c r="CG398">
        <f>'Grid_Requirement'!CE30</f>
        <v/>
      </c>
      <c r="CH398">
        <f>'Grid_Requirement'!CF30</f>
        <v/>
      </c>
      <c r="CI398">
        <f>'Grid_Requirement'!CG30</f>
        <v/>
      </c>
      <c r="CJ398">
        <f>'Grid_Requirement'!CH30</f>
        <v/>
      </c>
      <c r="CK398">
        <f>'Grid_Requirement'!CI30</f>
        <v/>
      </c>
      <c r="CL398">
        <f>'Grid_Requirement'!CJ30</f>
        <v/>
      </c>
      <c r="CM398">
        <f>'Grid_Requirement'!CK30</f>
        <v/>
      </c>
      <c r="CN398">
        <f>'Grid_Requirement'!CL30</f>
        <v/>
      </c>
      <c r="CO398">
        <f>'Grid_Requirement'!CM30</f>
        <v/>
      </c>
      <c r="CP398">
        <f>'Grid_Requirement'!CN30</f>
        <v/>
      </c>
      <c r="CQ398">
        <f>'Grid_Requirement'!CO30</f>
        <v/>
      </c>
      <c r="CR398">
        <f>'Grid_Requirement'!CP30</f>
        <v/>
      </c>
      <c r="CS398">
        <f>'Grid_Requirement'!CQ30</f>
        <v/>
      </c>
      <c r="CT398">
        <f>'Grid_Requirement'!CR30</f>
        <v/>
      </c>
      <c r="CU398">
        <f>'Grid_Requirement'!CS30</f>
        <v/>
      </c>
      <c r="CV398">
        <f>'Grid_Requirement'!CT30</f>
        <v/>
      </c>
      <c r="CW398">
        <f>'Grid_Requirement'!CU30</f>
        <v/>
      </c>
      <c r="CX398">
        <f>'Grid_Requirement'!CV30</f>
        <v/>
      </c>
      <c r="CY398">
        <f>'Grid_Requirement'!CW30</f>
        <v/>
      </c>
      <c r="CZ398">
        <f>'Grid_Requirement'!CX30</f>
        <v/>
      </c>
      <c r="DA398">
        <f>'Grid_Requirement'!CY30</f>
        <v/>
      </c>
      <c r="DB398">
        <f>'Grid_Requirement'!CZ30</f>
        <v/>
      </c>
      <c r="DC398">
        <f>'Grid_Requirement'!DA30</f>
        <v/>
      </c>
    </row>
    <row r="399">
      <c r="B399" t="inlineStr">
        <is>
          <t>TTAF在庫(実績,kg)</t>
        </is>
      </c>
      <c r="D399">
        <f>'T_TTAFStock'!B34</f>
        <v/>
      </c>
      <c r="E399">
        <f>'T_TTAFStock'!C34</f>
        <v/>
      </c>
      <c r="F399">
        <f>'T_TTAFStock'!D34</f>
        <v/>
      </c>
      <c r="G399">
        <f>'T_TTAFStock'!E34</f>
        <v/>
      </c>
      <c r="H399">
        <f>'T_TTAFStock'!F34</f>
        <v/>
      </c>
      <c r="I399">
        <f>'T_TTAFStock'!G34</f>
        <v/>
      </c>
      <c r="J399">
        <f>'T_TTAFStock'!H34</f>
        <v/>
      </c>
      <c r="K399">
        <f>'T_TTAFStock'!I34</f>
        <v/>
      </c>
      <c r="L399">
        <f>'T_TTAFStock'!J34</f>
        <v/>
      </c>
      <c r="M399">
        <f>'T_TTAFStock'!K34</f>
        <v/>
      </c>
      <c r="N399">
        <f>'T_TTAFStock'!L34</f>
        <v/>
      </c>
      <c r="O399">
        <f>'T_TTAFStock'!M34</f>
        <v/>
      </c>
      <c r="P399">
        <f>'T_TTAFStock'!N34</f>
        <v/>
      </c>
      <c r="Q399">
        <f>'T_TTAFStock'!O34</f>
        <v/>
      </c>
      <c r="R399">
        <f>'T_TTAFStock'!P34</f>
        <v/>
      </c>
      <c r="S399">
        <f>'T_TTAFStock'!Q34</f>
        <v/>
      </c>
      <c r="T399">
        <f>'T_TTAFStock'!R34</f>
        <v/>
      </c>
      <c r="U399">
        <f>'T_TTAFStock'!S34</f>
        <v/>
      </c>
      <c r="V399">
        <f>'T_TTAFStock'!T34</f>
        <v/>
      </c>
      <c r="W399">
        <f>'T_TTAFStock'!U34</f>
        <v/>
      </c>
      <c r="X399">
        <f>'T_TTAFStock'!V34</f>
        <v/>
      </c>
      <c r="Y399">
        <f>'T_TTAFStock'!W34</f>
        <v/>
      </c>
      <c r="Z399">
        <f>'T_TTAFStock'!X34</f>
        <v/>
      </c>
      <c r="AA399">
        <f>'T_TTAFStock'!Y34</f>
        <v/>
      </c>
      <c r="AB399">
        <f>'T_TTAFStock'!Z34</f>
        <v/>
      </c>
      <c r="AC399">
        <f>'T_TTAFStock'!AA34</f>
        <v/>
      </c>
      <c r="AD399">
        <f>'T_TTAFStock'!AB34</f>
        <v/>
      </c>
      <c r="AE399">
        <f>'T_TTAFStock'!AC34</f>
        <v/>
      </c>
      <c r="AF399">
        <f>'T_TTAFStock'!AD34</f>
        <v/>
      </c>
      <c r="AG399">
        <f>'T_TTAFStock'!AE34</f>
        <v/>
      </c>
      <c r="AH399">
        <f>'T_TTAFStock'!AF34</f>
        <v/>
      </c>
      <c r="AI399">
        <f>'T_TTAFStock'!AG34</f>
        <v/>
      </c>
      <c r="AJ399">
        <f>'T_TTAFStock'!AH34</f>
        <v/>
      </c>
      <c r="AK399">
        <f>'T_TTAFStock'!AI34</f>
        <v/>
      </c>
      <c r="AL399">
        <f>'T_TTAFStock'!AJ34</f>
        <v/>
      </c>
      <c r="AM399">
        <f>'T_TTAFStock'!AK34</f>
        <v/>
      </c>
      <c r="AN399">
        <f>'T_TTAFStock'!AL34</f>
        <v/>
      </c>
      <c r="AO399">
        <f>'T_TTAFStock'!AM34</f>
        <v/>
      </c>
      <c r="AP399">
        <f>'T_TTAFStock'!AN34</f>
        <v/>
      </c>
      <c r="AQ399">
        <f>'T_TTAFStock'!AO34</f>
        <v/>
      </c>
      <c r="AR399">
        <f>'T_TTAFStock'!AP34</f>
        <v/>
      </c>
      <c r="AS399">
        <f>'T_TTAFStock'!AQ34</f>
        <v/>
      </c>
      <c r="AT399">
        <f>'T_TTAFStock'!AR34</f>
        <v/>
      </c>
      <c r="AU399">
        <f>'T_TTAFStock'!AS34</f>
        <v/>
      </c>
      <c r="AV399">
        <f>'T_TTAFStock'!AT34</f>
        <v/>
      </c>
      <c r="AW399">
        <f>'T_TTAFStock'!AU34</f>
        <v/>
      </c>
      <c r="AX399">
        <f>'T_TTAFStock'!AV34</f>
        <v/>
      </c>
      <c r="AY399">
        <f>'T_TTAFStock'!AW34</f>
        <v/>
      </c>
      <c r="AZ399">
        <f>'T_TTAFStock'!AX34</f>
        <v/>
      </c>
      <c r="BA399">
        <f>'T_TTAFStock'!AY34</f>
        <v/>
      </c>
      <c r="BB399">
        <f>'T_TTAFStock'!AZ34</f>
        <v/>
      </c>
      <c r="BC399">
        <f>'T_TTAFStock'!BA34</f>
        <v/>
      </c>
      <c r="BD399">
        <f>'T_TTAFStock'!BB34</f>
        <v/>
      </c>
      <c r="BE399">
        <f>'T_TTAFStock'!BC34</f>
        <v/>
      </c>
      <c r="BF399">
        <f>'T_TTAFStock'!BD34</f>
        <v/>
      </c>
      <c r="BG399">
        <f>'T_TTAFStock'!BE34</f>
        <v/>
      </c>
      <c r="BH399">
        <f>'T_TTAFStock'!BF34</f>
        <v/>
      </c>
      <c r="BI399">
        <f>'T_TTAFStock'!BG34</f>
        <v/>
      </c>
      <c r="BJ399">
        <f>'T_TTAFStock'!BH34</f>
        <v/>
      </c>
      <c r="BK399">
        <f>'T_TTAFStock'!BI34</f>
        <v/>
      </c>
      <c r="BL399">
        <f>'T_TTAFStock'!BJ34</f>
        <v/>
      </c>
      <c r="BM399">
        <f>'T_TTAFStock'!BK34</f>
        <v/>
      </c>
      <c r="BN399">
        <f>'T_TTAFStock'!BL34</f>
        <v/>
      </c>
      <c r="BO399">
        <f>'T_TTAFStock'!BM34</f>
        <v/>
      </c>
      <c r="BP399">
        <f>'T_TTAFStock'!BN34</f>
        <v/>
      </c>
      <c r="BQ399">
        <f>'T_TTAFStock'!BO34</f>
        <v/>
      </c>
      <c r="BR399">
        <f>'T_TTAFStock'!BP34</f>
        <v/>
      </c>
      <c r="BS399">
        <f>'T_TTAFStock'!BQ34</f>
        <v/>
      </c>
      <c r="BT399">
        <f>'T_TTAFStock'!BR34</f>
        <v/>
      </c>
      <c r="BU399">
        <f>'T_TTAFStock'!BS34</f>
        <v/>
      </c>
      <c r="BV399">
        <f>'T_TTAFStock'!BT34</f>
        <v/>
      </c>
      <c r="BW399">
        <f>'T_TTAFStock'!BU34</f>
        <v/>
      </c>
      <c r="BX399">
        <f>'T_TTAFStock'!BV34</f>
        <v/>
      </c>
      <c r="BY399">
        <f>'T_TTAFStock'!BW34</f>
        <v/>
      </c>
      <c r="BZ399">
        <f>'T_TTAFStock'!BX34</f>
        <v/>
      </c>
      <c r="CA399">
        <f>'T_TTAFStock'!BY34</f>
        <v/>
      </c>
      <c r="CB399">
        <f>'T_TTAFStock'!BZ34</f>
        <v/>
      </c>
      <c r="CC399">
        <f>'T_TTAFStock'!CA34</f>
        <v/>
      </c>
      <c r="CD399">
        <f>'T_TTAFStock'!CB34</f>
        <v/>
      </c>
      <c r="CE399">
        <f>'T_TTAFStock'!CC34</f>
        <v/>
      </c>
      <c r="CF399">
        <f>'T_TTAFStock'!CD34</f>
        <v/>
      </c>
      <c r="CG399">
        <f>'T_TTAFStock'!CE34</f>
        <v/>
      </c>
      <c r="CH399">
        <f>'T_TTAFStock'!CF34</f>
        <v/>
      </c>
      <c r="CI399">
        <f>'T_TTAFStock'!CG34</f>
        <v/>
      </c>
      <c r="CJ399">
        <f>'T_TTAFStock'!CH34</f>
        <v/>
      </c>
      <c r="CK399">
        <f>'T_TTAFStock'!CI34</f>
        <v/>
      </c>
      <c r="CL399">
        <f>'T_TTAFStock'!CJ34</f>
        <v/>
      </c>
      <c r="CM399">
        <f>'T_TTAFStock'!CK34</f>
        <v/>
      </c>
      <c r="CN399">
        <f>'T_TTAFStock'!CL34</f>
        <v/>
      </c>
      <c r="CO399">
        <f>'T_TTAFStock'!CM34</f>
        <v/>
      </c>
      <c r="CP399">
        <f>'T_TTAFStock'!CN34</f>
        <v/>
      </c>
      <c r="CQ399">
        <f>'T_TTAFStock'!CO34</f>
        <v/>
      </c>
      <c r="CR399">
        <f>'T_TTAFStock'!CP34</f>
        <v/>
      </c>
      <c r="CS399">
        <f>'T_TTAFStock'!CQ34</f>
        <v/>
      </c>
      <c r="CT399">
        <f>'T_TTAFStock'!CR34</f>
        <v/>
      </c>
      <c r="CU399">
        <f>'T_TTAFStock'!CS34</f>
        <v/>
      </c>
      <c r="CV399">
        <f>'T_TTAFStock'!CT34</f>
        <v/>
      </c>
      <c r="CW399">
        <f>'T_TTAFStock'!CU34</f>
        <v/>
      </c>
      <c r="CX399">
        <f>'T_TTAFStock'!CV34</f>
        <v/>
      </c>
      <c r="CY399">
        <f>'T_TTAFStock'!CW34</f>
        <v/>
      </c>
      <c r="CZ399">
        <f>'T_TTAFStock'!CX34</f>
        <v/>
      </c>
      <c r="DA399">
        <f>'T_TTAFStock'!CY34</f>
        <v/>
      </c>
      <c r="DB399">
        <f>'T_TTAFStock'!CZ34</f>
        <v/>
      </c>
      <c r="DC399">
        <f>'T_TTAFStock'!DA34</f>
        <v/>
      </c>
    </row>
    <row r="400">
      <c r="B400" t="inlineStr">
        <is>
          <t>自社在庫(実績,kg)</t>
        </is>
      </c>
      <c r="D400">
        <f>'T_SelfStock'!B34</f>
        <v/>
      </c>
      <c r="E400">
        <f>'T_SelfStock'!C34</f>
        <v/>
      </c>
      <c r="F400">
        <f>'T_SelfStock'!D34</f>
        <v/>
      </c>
      <c r="G400">
        <f>'T_SelfStock'!E34</f>
        <v/>
      </c>
      <c r="H400">
        <f>'T_SelfStock'!F34</f>
        <v/>
      </c>
      <c r="I400">
        <f>'T_SelfStock'!G34</f>
        <v/>
      </c>
      <c r="J400">
        <f>'T_SelfStock'!H34</f>
        <v/>
      </c>
      <c r="K400">
        <f>'T_SelfStock'!I34</f>
        <v/>
      </c>
      <c r="L400">
        <f>'T_SelfStock'!J34</f>
        <v/>
      </c>
      <c r="M400">
        <f>'T_SelfStock'!K34</f>
        <v/>
      </c>
      <c r="N400">
        <f>'T_SelfStock'!L34</f>
        <v/>
      </c>
      <c r="O400">
        <f>'T_SelfStock'!M34</f>
        <v/>
      </c>
      <c r="P400">
        <f>'T_SelfStock'!N34</f>
        <v/>
      </c>
      <c r="Q400">
        <f>'T_SelfStock'!O34</f>
        <v/>
      </c>
      <c r="R400">
        <f>'T_SelfStock'!P34</f>
        <v/>
      </c>
      <c r="S400">
        <f>'T_SelfStock'!Q34</f>
        <v/>
      </c>
      <c r="T400">
        <f>'T_SelfStock'!R34</f>
        <v/>
      </c>
      <c r="U400">
        <f>'T_SelfStock'!S34</f>
        <v/>
      </c>
      <c r="V400">
        <f>'T_SelfStock'!T34</f>
        <v/>
      </c>
      <c r="W400">
        <f>'T_SelfStock'!U34</f>
        <v/>
      </c>
      <c r="X400">
        <f>'T_SelfStock'!V34</f>
        <v/>
      </c>
      <c r="Y400">
        <f>'T_SelfStock'!W34</f>
        <v/>
      </c>
      <c r="Z400">
        <f>'T_SelfStock'!X34</f>
        <v/>
      </c>
      <c r="AA400">
        <f>'T_SelfStock'!Y34</f>
        <v/>
      </c>
      <c r="AB400">
        <f>'T_SelfStock'!Z34</f>
        <v/>
      </c>
      <c r="AC400">
        <f>'T_SelfStock'!AA34</f>
        <v/>
      </c>
      <c r="AD400">
        <f>'T_SelfStock'!AB34</f>
        <v/>
      </c>
      <c r="AE400">
        <f>'T_SelfStock'!AC34</f>
        <v/>
      </c>
      <c r="AF400">
        <f>'T_SelfStock'!AD34</f>
        <v/>
      </c>
      <c r="AG400">
        <f>'T_SelfStock'!AE34</f>
        <v/>
      </c>
      <c r="AH400">
        <f>'T_SelfStock'!AF34</f>
        <v/>
      </c>
      <c r="AI400">
        <f>'T_SelfStock'!AG34</f>
        <v/>
      </c>
      <c r="AJ400">
        <f>'T_SelfStock'!AH34</f>
        <v/>
      </c>
      <c r="AK400">
        <f>'T_SelfStock'!AI34</f>
        <v/>
      </c>
      <c r="AL400">
        <f>'T_SelfStock'!AJ34</f>
        <v/>
      </c>
      <c r="AM400">
        <f>'T_SelfStock'!AK34</f>
        <v/>
      </c>
      <c r="AN400">
        <f>'T_SelfStock'!AL34</f>
        <v/>
      </c>
      <c r="AO400">
        <f>'T_SelfStock'!AM34</f>
        <v/>
      </c>
      <c r="AP400">
        <f>'T_SelfStock'!AN34</f>
        <v/>
      </c>
      <c r="AQ400">
        <f>'T_SelfStock'!AO34</f>
        <v/>
      </c>
      <c r="AR400">
        <f>'T_SelfStock'!AP34</f>
        <v/>
      </c>
      <c r="AS400">
        <f>'T_SelfStock'!AQ34</f>
        <v/>
      </c>
      <c r="AT400">
        <f>'T_SelfStock'!AR34</f>
        <v/>
      </c>
      <c r="AU400">
        <f>'T_SelfStock'!AS34</f>
        <v/>
      </c>
      <c r="AV400">
        <f>'T_SelfStock'!AT34</f>
        <v/>
      </c>
      <c r="AW400">
        <f>'T_SelfStock'!AU34</f>
        <v/>
      </c>
      <c r="AX400">
        <f>'T_SelfStock'!AV34</f>
        <v/>
      </c>
      <c r="AY400">
        <f>'T_SelfStock'!AW34</f>
        <v/>
      </c>
      <c r="AZ400">
        <f>'T_SelfStock'!AX34</f>
        <v/>
      </c>
      <c r="BA400">
        <f>'T_SelfStock'!AY34</f>
        <v/>
      </c>
      <c r="BB400">
        <f>'T_SelfStock'!AZ34</f>
        <v/>
      </c>
      <c r="BC400">
        <f>'T_SelfStock'!BA34</f>
        <v/>
      </c>
      <c r="BD400">
        <f>'T_SelfStock'!BB34</f>
        <v/>
      </c>
      <c r="BE400">
        <f>'T_SelfStock'!BC34</f>
        <v/>
      </c>
      <c r="BF400">
        <f>'T_SelfStock'!BD34</f>
        <v/>
      </c>
      <c r="BG400">
        <f>'T_SelfStock'!BE34</f>
        <v/>
      </c>
      <c r="BH400">
        <f>'T_SelfStock'!BF34</f>
        <v/>
      </c>
      <c r="BI400">
        <f>'T_SelfStock'!BG34</f>
        <v/>
      </c>
      <c r="BJ400">
        <f>'T_SelfStock'!BH34</f>
        <v/>
      </c>
      <c r="BK400">
        <f>'T_SelfStock'!BI34</f>
        <v/>
      </c>
      <c r="BL400">
        <f>'T_SelfStock'!BJ34</f>
        <v/>
      </c>
      <c r="BM400">
        <f>'T_SelfStock'!BK34</f>
        <v/>
      </c>
      <c r="BN400">
        <f>'T_SelfStock'!BL34</f>
        <v/>
      </c>
      <c r="BO400">
        <f>'T_SelfStock'!BM34</f>
        <v/>
      </c>
      <c r="BP400">
        <f>'T_SelfStock'!BN34</f>
        <v/>
      </c>
      <c r="BQ400">
        <f>'T_SelfStock'!BO34</f>
        <v/>
      </c>
      <c r="BR400">
        <f>'T_SelfStock'!BP34</f>
        <v/>
      </c>
      <c r="BS400">
        <f>'T_SelfStock'!BQ34</f>
        <v/>
      </c>
      <c r="BT400">
        <f>'T_SelfStock'!BR34</f>
        <v/>
      </c>
      <c r="BU400">
        <f>'T_SelfStock'!BS34</f>
        <v/>
      </c>
      <c r="BV400">
        <f>'T_SelfStock'!BT34</f>
        <v/>
      </c>
      <c r="BW400">
        <f>'T_SelfStock'!BU34</f>
        <v/>
      </c>
      <c r="BX400">
        <f>'T_SelfStock'!BV34</f>
        <v/>
      </c>
      <c r="BY400">
        <f>'T_SelfStock'!BW34</f>
        <v/>
      </c>
      <c r="BZ400">
        <f>'T_SelfStock'!BX34</f>
        <v/>
      </c>
      <c r="CA400">
        <f>'T_SelfStock'!BY34</f>
        <v/>
      </c>
      <c r="CB400">
        <f>'T_SelfStock'!BZ34</f>
        <v/>
      </c>
      <c r="CC400">
        <f>'T_SelfStock'!CA34</f>
        <v/>
      </c>
      <c r="CD400">
        <f>'T_SelfStock'!CB34</f>
        <v/>
      </c>
      <c r="CE400">
        <f>'T_SelfStock'!CC34</f>
        <v/>
      </c>
      <c r="CF400">
        <f>'T_SelfStock'!CD34</f>
        <v/>
      </c>
      <c r="CG400">
        <f>'T_SelfStock'!CE34</f>
        <v/>
      </c>
      <c r="CH400">
        <f>'T_SelfStock'!CF34</f>
        <v/>
      </c>
      <c r="CI400">
        <f>'T_SelfStock'!CG34</f>
        <v/>
      </c>
      <c r="CJ400">
        <f>'T_SelfStock'!CH34</f>
        <v/>
      </c>
      <c r="CK400">
        <f>'T_SelfStock'!CI34</f>
        <v/>
      </c>
      <c r="CL400">
        <f>'T_SelfStock'!CJ34</f>
        <v/>
      </c>
      <c r="CM400">
        <f>'T_SelfStock'!CK34</f>
        <v/>
      </c>
      <c r="CN400">
        <f>'T_SelfStock'!CL34</f>
        <v/>
      </c>
      <c r="CO400">
        <f>'T_SelfStock'!CM34</f>
        <v/>
      </c>
      <c r="CP400">
        <f>'T_SelfStock'!CN34</f>
        <v/>
      </c>
      <c r="CQ400">
        <f>'T_SelfStock'!CO34</f>
        <v/>
      </c>
      <c r="CR400">
        <f>'T_SelfStock'!CP34</f>
        <v/>
      </c>
      <c r="CS400">
        <f>'T_SelfStock'!CQ34</f>
        <v/>
      </c>
      <c r="CT400">
        <f>'T_SelfStock'!CR34</f>
        <v/>
      </c>
      <c r="CU400">
        <f>'T_SelfStock'!CS34</f>
        <v/>
      </c>
      <c r="CV400">
        <f>'T_SelfStock'!CT34</f>
        <v/>
      </c>
      <c r="CW400">
        <f>'T_SelfStock'!CU34</f>
        <v/>
      </c>
      <c r="CX400">
        <f>'T_SelfStock'!CV34</f>
        <v/>
      </c>
      <c r="CY400">
        <f>'T_SelfStock'!CW34</f>
        <v/>
      </c>
      <c r="CZ400">
        <f>'T_SelfStock'!CX34</f>
        <v/>
      </c>
      <c r="DA400">
        <f>'T_SelfStock'!CY34</f>
        <v/>
      </c>
      <c r="DB400">
        <f>'T_SelfStock'!CZ34</f>
        <v/>
      </c>
      <c r="DC400">
        <f>'T_SelfStock'!DA34</f>
        <v/>
      </c>
    </row>
    <row r="401">
      <c r="B401" t="inlineStr">
        <is>
          <t>Order(発注予定,kg)</t>
        </is>
      </c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  <c r="AA401" s="23" t="n"/>
      <c r="AB401" s="23" t="n"/>
      <c r="AC401" s="23" t="n"/>
      <c r="AD401" s="23" t="n"/>
      <c r="AE401" s="23" t="n"/>
      <c r="AF401" s="23" t="n"/>
      <c r="AG401" s="23" t="n"/>
      <c r="AH401" s="23" t="n"/>
      <c r="AI401" s="23" t="n"/>
      <c r="AJ401" s="23" t="n"/>
      <c r="AK401" s="23" t="n"/>
      <c r="AL401" s="23" t="n"/>
      <c r="AM401" s="23" t="n"/>
      <c r="AN401" s="23" t="n"/>
      <c r="AO401" s="23" t="n"/>
      <c r="AP401" s="23" t="n"/>
      <c r="AQ401" s="23" t="n"/>
      <c r="AR401" s="23" t="n"/>
      <c r="AS401" s="23" t="n"/>
      <c r="AT401" s="23" t="n"/>
      <c r="AU401" s="23" t="n"/>
      <c r="AV401" s="23" t="n"/>
      <c r="AW401" s="23" t="n"/>
      <c r="AX401" s="23" t="n"/>
      <c r="AY401" s="23" t="n"/>
      <c r="AZ401" s="23" t="n"/>
      <c r="BA401" s="23" t="n"/>
      <c r="BB401" s="23" t="n"/>
      <c r="BC401" s="23" t="n"/>
      <c r="BD401" s="23" t="n"/>
      <c r="BE401" s="23" t="n"/>
      <c r="BF401" s="23" t="n"/>
      <c r="BG401" s="23" t="n"/>
      <c r="BH401" s="23" t="n"/>
      <c r="BI401" s="23" t="n"/>
      <c r="BJ401" s="23" t="n"/>
      <c r="BK401" s="23" t="n"/>
      <c r="BL401" s="23" t="n"/>
      <c r="BM401" s="23" t="n"/>
      <c r="BN401" s="23" t="n"/>
      <c r="BO401" s="23" t="n"/>
      <c r="BP401" s="23" t="n"/>
      <c r="BQ401" s="23" t="n"/>
      <c r="BR401" s="23" t="n"/>
      <c r="BS401" s="23" t="n"/>
      <c r="BT401" s="23" t="n"/>
      <c r="BU401" s="23" t="n"/>
      <c r="BV401" s="23" t="n"/>
      <c r="BW401" s="23" t="n"/>
      <c r="BX401" s="23" t="n"/>
      <c r="BY401" s="23" t="n"/>
      <c r="BZ401" s="23" t="n"/>
      <c r="CA401" s="23" t="n"/>
      <c r="CB401" s="23" t="n"/>
      <c r="CC401" s="23" t="n"/>
      <c r="CD401" s="23" t="n"/>
      <c r="CE401" s="23" t="n"/>
      <c r="CF401" s="23" t="n"/>
      <c r="CG401" s="23" t="n"/>
      <c r="CH401" s="23" t="n"/>
      <c r="CI401" s="23" t="n"/>
      <c r="CJ401" s="23" t="n"/>
      <c r="CK401" s="23" t="n"/>
      <c r="CL401" s="23" t="n"/>
      <c r="CM401" s="23" t="n"/>
      <c r="CN401" s="23" t="n"/>
      <c r="CO401" s="23" t="n"/>
      <c r="CP401" s="23" t="n"/>
      <c r="CQ401" s="23" t="n"/>
      <c r="CR401" s="23" t="n"/>
      <c r="CS401" s="23" t="n"/>
      <c r="CT401" s="23" t="n"/>
      <c r="CU401" s="23" t="n"/>
      <c r="CV401" s="23" t="n"/>
      <c r="CW401" s="23" t="n"/>
      <c r="CX401" s="23" t="n"/>
      <c r="CY401" s="23" t="n"/>
      <c r="CZ401" s="23" t="n"/>
      <c r="DA401" s="23" t="n"/>
      <c r="DB401" s="23" t="n"/>
      <c r="DC401" s="23" t="n"/>
      <c r="DE401" s="12" t="inlineStr">
        <is>
          <t>CHEM-1550</t>
        </is>
      </c>
    </row>
    <row r="402">
      <c r="B402" s="24" t="inlineStr">
        <is>
          <t>PO_No</t>
        </is>
      </c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  <c r="AD402" s="25" t="n"/>
      <c r="AE402" s="25" t="n"/>
      <c r="AF402" s="25" t="n"/>
      <c r="AG402" s="25" t="n"/>
      <c r="AH402" s="25" t="n"/>
      <c r="AI402" s="25" t="n"/>
      <c r="AJ402" s="25" t="n"/>
      <c r="AK402" s="25" t="n"/>
      <c r="AL402" s="25" t="n"/>
      <c r="AM402" s="25" t="n"/>
      <c r="AN402" s="25" t="n"/>
      <c r="AO402" s="25" t="n"/>
      <c r="AP402" s="25" t="n"/>
      <c r="AQ402" s="25" t="n"/>
      <c r="AR402" s="25" t="n"/>
      <c r="AS402" s="25" t="n"/>
      <c r="AT402" s="25" t="n"/>
      <c r="AU402" s="25" t="n"/>
      <c r="AV402" s="25" t="n"/>
      <c r="AW402" s="25" t="n"/>
      <c r="AX402" s="25" t="n"/>
      <c r="AY402" s="25" t="n"/>
      <c r="AZ402" s="25" t="n"/>
      <c r="BA402" s="25" t="n"/>
      <c r="BB402" s="25" t="n"/>
      <c r="BC402" s="25" t="n"/>
      <c r="BD402" s="25" t="n"/>
      <c r="BE402" s="25" t="n"/>
      <c r="BF402" s="25" t="n"/>
      <c r="BG402" s="25" t="n"/>
      <c r="BH402" s="25" t="n"/>
      <c r="BI402" s="25" t="n"/>
      <c r="BJ402" s="25" t="n"/>
      <c r="BK402" s="25" t="n"/>
      <c r="BL402" s="25" t="n"/>
      <c r="BM402" s="25" t="n"/>
      <c r="BN402" s="25" t="n"/>
      <c r="BO402" s="25" t="n"/>
      <c r="BP402" s="25" t="n"/>
      <c r="BQ402" s="25" t="n"/>
      <c r="BR402" s="25" t="n"/>
      <c r="BS402" s="25" t="n"/>
      <c r="BT402" s="25" t="n"/>
      <c r="BU402" s="25" t="n"/>
      <c r="BV402" s="25" t="n"/>
      <c r="BW402" s="25" t="n"/>
      <c r="BX402" s="25" t="n"/>
      <c r="BY402" s="25" t="n"/>
      <c r="BZ402" s="25" t="n"/>
      <c r="CA402" s="25" t="n"/>
      <c r="CB402" s="25" t="n"/>
      <c r="CC402" s="25" t="n"/>
      <c r="CD402" s="25" t="n"/>
      <c r="CE402" s="25" t="n"/>
      <c r="CF402" s="25" t="n"/>
      <c r="CG402" s="25" t="n"/>
      <c r="CH402" s="25" t="n"/>
      <c r="CI402" s="25" t="n"/>
      <c r="CJ402" s="25" t="n"/>
      <c r="CK402" s="25" t="n"/>
      <c r="CL402" s="25" t="n"/>
      <c r="CM402" s="25" t="n"/>
      <c r="CN402" s="25" t="n"/>
      <c r="CO402" s="25" t="n"/>
      <c r="CP402" s="25" t="n"/>
      <c r="CQ402" s="25" t="n"/>
      <c r="CR402" s="25" t="n"/>
      <c r="CS402" s="25" t="n"/>
      <c r="CT402" s="25" t="n"/>
      <c r="CU402" s="25" t="n"/>
      <c r="CV402" s="25" t="n"/>
      <c r="CW402" s="25" t="n"/>
      <c r="CX402" s="25" t="n"/>
      <c r="CY402" s="25" t="n"/>
      <c r="CZ402" s="25" t="n"/>
      <c r="DA402" s="25" t="n"/>
      <c r="DB402" s="25" t="n"/>
      <c r="DC402" s="25" t="n"/>
    </row>
    <row r="403">
      <c r="B403" s="5" t="inlineStr">
        <is>
          <t>合計在庫(週末時点,kg)</t>
        </is>
      </c>
      <c r="D403">
        <f>'Grid_Stock'!B30</f>
        <v/>
      </c>
      <c r="E403">
        <f>'Grid_Stock'!C30</f>
        <v/>
      </c>
      <c r="F403">
        <f>'Grid_Stock'!D30</f>
        <v/>
      </c>
      <c r="G403">
        <f>'Grid_Stock'!E30</f>
        <v/>
      </c>
      <c r="H403">
        <f>'Grid_Stock'!F30</f>
        <v/>
      </c>
      <c r="I403">
        <f>'Grid_Stock'!G30</f>
        <v/>
      </c>
      <c r="J403">
        <f>'Grid_Stock'!H30</f>
        <v/>
      </c>
      <c r="K403">
        <f>'Grid_Stock'!I30</f>
        <v/>
      </c>
      <c r="L403">
        <f>'Grid_Stock'!J30</f>
        <v/>
      </c>
      <c r="M403">
        <f>'Grid_Stock'!K30</f>
        <v/>
      </c>
      <c r="N403">
        <f>'Grid_Stock'!L30</f>
        <v/>
      </c>
      <c r="O403">
        <f>'Grid_Stock'!M30</f>
        <v/>
      </c>
      <c r="P403">
        <f>'Grid_Stock'!N30</f>
        <v/>
      </c>
      <c r="Q403">
        <f>'Grid_Stock'!O30</f>
        <v/>
      </c>
      <c r="R403">
        <f>'Grid_Stock'!P30</f>
        <v/>
      </c>
      <c r="S403">
        <f>'Grid_Stock'!Q30</f>
        <v/>
      </c>
      <c r="T403">
        <f>'Grid_Stock'!R30</f>
        <v/>
      </c>
      <c r="U403">
        <f>'Grid_Stock'!S30</f>
        <v/>
      </c>
      <c r="V403">
        <f>'Grid_Stock'!T30</f>
        <v/>
      </c>
      <c r="W403">
        <f>'Grid_Stock'!U30</f>
        <v/>
      </c>
      <c r="X403">
        <f>'Grid_Stock'!V30</f>
        <v/>
      </c>
      <c r="Y403">
        <f>'Grid_Stock'!W30</f>
        <v/>
      </c>
      <c r="Z403">
        <f>'Grid_Stock'!X30</f>
        <v/>
      </c>
      <c r="AA403">
        <f>'Grid_Stock'!Y30</f>
        <v/>
      </c>
      <c r="AB403">
        <f>'Grid_Stock'!Z30</f>
        <v/>
      </c>
      <c r="AC403">
        <f>'Grid_Stock'!AA30</f>
        <v/>
      </c>
      <c r="AD403">
        <f>'Grid_Stock'!AB30</f>
        <v/>
      </c>
      <c r="AE403">
        <f>'Grid_Stock'!AC30</f>
        <v/>
      </c>
      <c r="AF403">
        <f>'Grid_Stock'!AD30</f>
        <v/>
      </c>
      <c r="AG403">
        <f>'Grid_Stock'!AE30</f>
        <v/>
      </c>
      <c r="AH403">
        <f>'Grid_Stock'!AF30</f>
        <v/>
      </c>
      <c r="AI403">
        <f>'Grid_Stock'!AG30</f>
        <v/>
      </c>
      <c r="AJ403">
        <f>'Grid_Stock'!AH30</f>
        <v/>
      </c>
      <c r="AK403">
        <f>'Grid_Stock'!AI30</f>
        <v/>
      </c>
      <c r="AL403">
        <f>'Grid_Stock'!AJ30</f>
        <v/>
      </c>
      <c r="AM403">
        <f>'Grid_Stock'!AK30</f>
        <v/>
      </c>
      <c r="AN403">
        <f>'Grid_Stock'!AL30</f>
        <v/>
      </c>
      <c r="AO403">
        <f>'Grid_Stock'!AM30</f>
        <v/>
      </c>
      <c r="AP403">
        <f>'Grid_Stock'!AN30</f>
        <v/>
      </c>
      <c r="AQ403">
        <f>'Grid_Stock'!AO30</f>
        <v/>
      </c>
      <c r="AR403">
        <f>'Grid_Stock'!AP30</f>
        <v/>
      </c>
      <c r="AS403">
        <f>'Grid_Stock'!AQ30</f>
        <v/>
      </c>
      <c r="AT403">
        <f>'Grid_Stock'!AR30</f>
        <v/>
      </c>
      <c r="AU403">
        <f>'Grid_Stock'!AS30</f>
        <v/>
      </c>
      <c r="AV403">
        <f>'Grid_Stock'!AT30</f>
        <v/>
      </c>
      <c r="AW403">
        <f>'Grid_Stock'!AU30</f>
        <v/>
      </c>
      <c r="AX403">
        <f>'Grid_Stock'!AV30</f>
        <v/>
      </c>
      <c r="AY403">
        <f>'Grid_Stock'!AW30</f>
        <v/>
      </c>
      <c r="AZ403">
        <f>'Grid_Stock'!AX30</f>
        <v/>
      </c>
      <c r="BA403">
        <f>'Grid_Stock'!AY30</f>
        <v/>
      </c>
      <c r="BB403">
        <f>'Grid_Stock'!AZ30</f>
        <v/>
      </c>
      <c r="BC403">
        <f>'Grid_Stock'!BA30</f>
        <v/>
      </c>
      <c r="BD403">
        <f>'Grid_Stock'!BB30</f>
        <v/>
      </c>
      <c r="BE403">
        <f>'Grid_Stock'!BC30</f>
        <v/>
      </c>
      <c r="BF403">
        <f>'Grid_Stock'!BD30</f>
        <v/>
      </c>
      <c r="BG403">
        <f>'Grid_Stock'!BE30</f>
        <v/>
      </c>
      <c r="BH403">
        <f>'Grid_Stock'!BF30</f>
        <v/>
      </c>
      <c r="BI403">
        <f>'Grid_Stock'!BG30</f>
        <v/>
      </c>
      <c r="BJ403">
        <f>'Grid_Stock'!BH30</f>
        <v/>
      </c>
      <c r="BK403">
        <f>'Grid_Stock'!BI30</f>
        <v/>
      </c>
      <c r="BL403">
        <f>'Grid_Stock'!BJ30</f>
        <v/>
      </c>
      <c r="BM403">
        <f>'Grid_Stock'!BK30</f>
        <v/>
      </c>
      <c r="BN403">
        <f>'Grid_Stock'!BL30</f>
        <v/>
      </c>
      <c r="BO403">
        <f>'Grid_Stock'!BM30</f>
        <v/>
      </c>
      <c r="BP403">
        <f>'Grid_Stock'!BN30</f>
        <v/>
      </c>
      <c r="BQ403">
        <f>'Grid_Stock'!BO30</f>
        <v/>
      </c>
      <c r="BR403">
        <f>'Grid_Stock'!BP30</f>
        <v/>
      </c>
      <c r="BS403">
        <f>'Grid_Stock'!BQ30</f>
        <v/>
      </c>
      <c r="BT403">
        <f>'Grid_Stock'!BR30</f>
        <v/>
      </c>
      <c r="BU403">
        <f>'Grid_Stock'!BS30</f>
        <v/>
      </c>
      <c r="BV403">
        <f>'Grid_Stock'!BT30</f>
        <v/>
      </c>
      <c r="BW403">
        <f>'Grid_Stock'!BU30</f>
        <v/>
      </c>
      <c r="BX403">
        <f>'Grid_Stock'!BV30</f>
        <v/>
      </c>
      <c r="BY403">
        <f>'Grid_Stock'!BW30</f>
        <v/>
      </c>
      <c r="BZ403">
        <f>'Grid_Stock'!BX30</f>
        <v/>
      </c>
      <c r="CA403">
        <f>'Grid_Stock'!BY30</f>
        <v/>
      </c>
      <c r="CB403">
        <f>'Grid_Stock'!BZ30</f>
        <v/>
      </c>
      <c r="CC403">
        <f>'Grid_Stock'!CA30</f>
        <v/>
      </c>
      <c r="CD403">
        <f>'Grid_Stock'!CB30</f>
        <v/>
      </c>
      <c r="CE403">
        <f>'Grid_Stock'!CC30</f>
        <v/>
      </c>
      <c r="CF403">
        <f>'Grid_Stock'!CD30</f>
        <v/>
      </c>
      <c r="CG403">
        <f>'Grid_Stock'!CE30</f>
        <v/>
      </c>
      <c r="CH403">
        <f>'Grid_Stock'!CF30</f>
        <v/>
      </c>
      <c r="CI403">
        <f>'Grid_Stock'!CG30</f>
        <v/>
      </c>
      <c r="CJ403">
        <f>'Grid_Stock'!CH30</f>
        <v/>
      </c>
      <c r="CK403">
        <f>'Grid_Stock'!CI30</f>
        <v/>
      </c>
      <c r="CL403">
        <f>'Grid_Stock'!CJ30</f>
        <v/>
      </c>
      <c r="CM403">
        <f>'Grid_Stock'!CK30</f>
        <v/>
      </c>
      <c r="CN403">
        <f>'Grid_Stock'!CL30</f>
        <v/>
      </c>
      <c r="CO403">
        <f>'Grid_Stock'!CM30</f>
        <v/>
      </c>
      <c r="CP403">
        <f>'Grid_Stock'!CN30</f>
        <v/>
      </c>
      <c r="CQ403">
        <f>'Grid_Stock'!CO30</f>
        <v/>
      </c>
      <c r="CR403">
        <f>'Grid_Stock'!CP30</f>
        <v/>
      </c>
      <c r="CS403">
        <f>'Grid_Stock'!CQ30</f>
        <v/>
      </c>
      <c r="CT403">
        <f>'Grid_Stock'!CR30</f>
        <v/>
      </c>
      <c r="CU403">
        <f>'Grid_Stock'!CS30</f>
        <v/>
      </c>
      <c r="CV403">
        <f>'Grid_Stock'!CT30</f>
        <v/>
      </c>
      <c r="CW403">
        <f>'Grid_Stock'!CU30</f>
        <v/>
      </c>
      <c r="CX403">
        <f>'Grid_Stock'!CV30</f>
        <v/>
      </c>
      <c r="CY403">
        <f>'Grid_Stock'!CW30</f>
        <v/>
      </c>
      <c r="CZ403">
        <f>'Grid_Stock'!CX30</f>
        <v/>
      </c>
      <c r="DA403">
        <f>'Grid_Stock'!CY30</f>
        <v/>
      </c>
      <c r="DB403">
        <f>'Grid_Stock'!CZ30</f>
        <v/>
      </c>
      <c r="DC403">
        <f>'Grid_Stock'!DA30</f>
        <v/>
      </c>
    </row>
    <row r="404">
      <c r="B404" s="26" t="inlineStr">
        <is>
          <t>（発注の目安はDashboardの基準在庫[下限/上限]と色分けを参照）</t>
        </is>
      </c>
    </row>
    <row r="406">
      <c r="A406" s="21" t="inlineStr">
        <is>
          <t>CHEM-1440</t>
        </is>
      </c>
      <c r="B406" s="21" t="inlineStr">
        <is>
          <t>Citric Acid</t>
        </is>
      </c>
      <c r="C406" s="22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  <c r="AA406" s="21" t="n"/>
      <c r="AB406" s="21" t="n"/>
      <c r="AC406" s="21" t="n"/>
      <c r="AD406" s="21" t="n"/>
      <c r="AE406" s="21" t="n"/>
      <c r="AF406" s="21" t="n"/>
      <c r="AG406" s="21" t="n"/>
      <c r="AH406" s="21" t="n"/>
      <c r="AI406" s="21" t="n"/>
      <c r="AJ406" s="21" t="n"/>
      <c r="AK406" s="21" t="n"/>
      <c r="AL406" s="21" t="n"/>
      <c r="AM406" s="21" t="n"/>
      <c r="AN406" s="21" t="n"/>
      <c r="AO406" s="21" t="n"/>
      <c r="AP406" s="21" t="n"/>
      <c r="AQ406" s="21" t="n"/>
      <c r="AR406" s="21" t="n"/>
      <c r="AS406" s="21" t="n"/>
      <c r="AT406" s="21" t="n"/>
      <c r="AU406" s="21" t="n"/>
      <c r="AV406" s="21" t="n"/>
      <c r="AW406" s="21" t="n"/>
      <c r="AX406" s="21" t="n"/>
      <c r="AY406" s="21" t="n"/>
      <c r="AZ406" s="21" t="n"/>
      <c r="BA406" s="21" t="n"/>
      <c r="BB406" s="21" t="n"/>
      <c r="BC406" s="21" t="n"/>
      <c r="BD406" s="21" t="n"/>
      <c r="BE406" s="21" t="n"/>
      <c r="BF406" s="21" t="n"/>
      <c r="BG406" s="21" t="n"/>
      <c r="BH406" s="21" t="n"/>
      <c r="BI406" s="21" t="n"/>
      <c r="BJ406" s="21" t="n"/>
      <c r="BK406" s="21" t="n"/>
      <c r="BL406" s="21" t="n"/>
      <c r="BM406" s="21" t="n"/>
      <c r="BN406" s="21" t="n"/>
      <c r="BO406" s="21" t="n"/>
      <c r="BP406" s="21" t="n"/>
      <c r="BQ406" s="21" t="n"/>
      <c r="BR406" s="21" t="n"/>
      <c r="BS406" s="21" t="n"/>
      <c r="BT406" s="21" t="n"/>
      <c r="BU406" s="21" t="n"/>
      <c r="BV406" s="21" t="n"/>
      <c r="BW406" s="21" t="n"/>
      <c r="BX406" s="21" t="n"/>
      <c r="BY406" s="21" t="n"/>
      <c r="BZ406" s="21" t="n"/>
      <c r="CA406" s="21" t="n"/>
      <c r="CB406" s="21" t="n"/>
      <c r="CC406" s="21" t="n"/>
      <c r="CD406" s="21" t="n"/>
      <c r="CE406" s="21" t="n"/>
      <c r="CF406" s="21" t="n"/>
      <c r="CG406" s="21" t="n"/>
      <c r="CH406" s="21" t="n"/>
      <c r="CI406" s="21" t="n"/>
      <c r="CJ406" s="21" t="n"/>
      <c r="CK406" s="21" t="n"/>
      <c r="CL406" s="21" t="n"/>
      <c r="CM406" s="21" t="n"/>
      <c r="CN406" s="21" t="n"/>
      <c r="CO406" s="21" t="n"/>
      <c r="CP406" s="21" t="n"/>
      <c r="CQ406" s="21" t="n"/>
      <c r="CR406" s="21" t="n"/>
      <c r="CS406" s="21" t="n"/>
      <c r="CT406" s="21" t="n"/>
      <c r="CU406" s="21" t="n"/>
      <c r="CV406" s="21" t="n"/>
      <c r="CW406" s="21" t="n"/>
      <c r="CX406" s="21" t="n"/>
      <c r="CY406" s="21" t="n"/>
      <c r="CZ406" s="21" t="n"/>
      <c r="DA406" s="21" t="n"/>
      <c r="DB406" s="21" t="n"/>
      <c r="DC406" s="21" t="n"/>
    </row>
    <row r="407">
      <c r="B407" t="inlineStr">
        <is>
          <t>TSP-049</t>
        </is>
      </c>
      <c r="C407" t="inlineStr">
        <is>
          <t>No. of batches</t>
        </is>
      </c>
      <c r="D407">
        <f>IFERROR(INDEX(PP_Grid[#Data],$DD407,2),0)</f>
        <v/>
      </c>
      <c r="E407">
        <f>IFERROR(INDEX(PP_Grid[#Data],$DD407,3),0)</f>
        <v/>
      </c>
      <c r="F407">
        <f>IFERROR(INDEX(PP_Grid[#Data],$DD407,4),0)</f>
        <v/>
      </c>
      <c r="G407">
        <f>IFERROR(INDEX(PP_Grid[#Data],$DD407,5),0)</f>
        <v/>
      </c>
      <c r="H407">
        <f>IFERROR(INDEX(PP_Grid[#Data],$DD407,6),0)</f>
        <v/>
      </c>
      <c r="I407">
        <f>IFERROR(INDEX(PP_Grid[#Data],$DD407,7),0)</f>
        <v/>
      </c>
      <c r="J407">
        <f>IFERROR(INDEX(PP_Grid[#Data],$DD407,8),0)</f>
        <v/>
      </c>
      <c r="K407">
        <f>IFERROR(INDEX(PP_Grid[#Data],$DD407,9),0)</f>
        <v/>
      </c>
      <c r="L407">
        <f>IFERROR(INDEX(PP_Grid[#Data],$DD407,10),0)</f>
        <v/>
      </c>
      <c r="M407">
        <f>IFERROR(INDEX(PP_Grid[#Data],$DD407,11),0)</f>
        <v/>
      </c>
      <c r="N407">
        <f>IFERROR(INDEX(PP_Grid[#Data],$DD407,12),0)</f>
        <v/>
      </c>
      <c r="O407">
        <f>IFERROR(INDEX(PP_Grid[#Data],$DD407,13),0)</f>
        <v/>
      </c>
      <c r="P407">
        <f>IFERROR(INDEX(PP_Grid[#Data],$DD407,14),0)</f>
        <v/>
      </c>
      <c r="Q407">
        <f>IFERROR(INDEX(PP_Grid[#Data],$DD407,15),0)</f>
        <v/>
      </c>
      <c r="R407">
        <f>IFERROR(INDEX(PP_Grid[#Data],$DD407,16),0)</f>
        <v/>
      </c>
      <c r="S407">
        <f>IFERROR(INDEX(PP_Grid[#Data],$DD407,17),0)</f>
        <v/>
      </c>
      <c r="T407">
        <f>IFERROR(INDEX(PP_Grid[#Data],$DD407,18),0)</f>
        <v/>
      </c>
      <c r="U407">
        <f>IFERROR(INDEX(PP_Grid[#Data],$DD407,19),0)</f>
        <v/>
      </c>
      <c r="V407">
        <f>IFERROR(INDEX(PP_Grid[#Data],$DD407,20),0)</f>
        <v/>
      </c>
      <c r="W407">
        <f>IFERROR(INDEX(PP_Grid[#Data],$DD407,21),0)</f>
        <v/>
      </c>
      <c r="X407">
        <f>IFERROR(INDEX(PP_Grid[#Data],$DD407,22),0)</f>
        <v/>
      </c>
      <c r="Y407">
        <f>IFERROR(INDEX(PP_Grid[#Data],$DD407,23),0)</f>
        <v/>
      </c>
      <c r="Z407">
        <f>IFERROR(INDEX(PP_Grid[#Data],$DD407,24),0)</f>
        <v/>
      </c>
      <c r="AA407">
        <f>IFERROR(INDEX(PP_Grid[#Data],$DD407,25),0)</f>
        <v/>
      </c>
      <c r="AB407">
        <f>IFERROR(INDEX(PP_Grid[#Data],$DD407,26),0)</f>
        <v/>
      </c>
      <c r="AC407">
        <f>IFERROR(INDEX(PP_Grid[#Data],$DD407,27),0)</f>
        <v/>
      </c>
      <c r="AD407">
        <f>IFERROR(INDEX(PP_Grid[#Data],$DD407,28),0)</f>
        <v/>
      </c>
      <c r="AE407">
        <f>IFERROR(INDEX(PP_Grid[#Data],$DD407,29),0)</f>
        <v/>
      </c>
      <c r="AF407">
        <f>IFERROR(INDEX(PP_Grid[#Data],$DD407,30),0)</f>
        <v/>
      </c>
      <c r="AG407">
        <f>IFERROR(INDEX(PP_Grid[#Data],$DD407,31),0)</f>
        <v/>
      </c>
      <c r="AH407">
        <f>IFERROR(INDEX(PP_Grid[#Data],$DD407,32),0)</f>
        <v/>
      </c>
      <c r="AI407">
        <f>IFERROR(INDEX(PP_Grid[#Data],$DD407,33),0)</f>
        <v/>
      </c>
      <c r="AJ407">
        <f>IFERROR(INDEX(PP_Grid[#Data],$DD407,34),0)</f>
        <v/>
      </c>
      <c r="AK407">
        <f>IFERROR(INDEX(PP_Grid[#Data],$DD407,35),0)</f>
        <v/>
      </c>
      <c r="AL407">
        <f>IFERROR(INDEX(PP_Grid[#Data],$DD407,36),0)</f>
        <v/>
      </c>
      <c r="AM407">
        <f>IFERROR(INDEX(PP_Grid[#Data],$DD407,37),0)</f>
        <v/>
      </c>
      <c r="AN407">
        <f>IFERROR(INDEX(PP_Grid[#Data],$DD407,38),0)</f>
        <v/>
      </c>
      <c r="AO407">
        <f>IFERROR(INDEX(PP_Grid[#Data],$DD407,39),0)</f>
        <v/>
      </c>
      <c r="AP407">
        <f>IFERROR(INDEX(PP_Grid[#Data],$DD407,40),0)</f>
        <v/>
      </c>
      <c r="AQ407">
        <f>IFERROR(INDEX(PP_Grid[#Data],$DD407,41),0)</f>
        <v/>
      </c>
      <c r="AR407">
        <f>IFERROR(INDEX(PP_Grid[#Data],$DD407,42),0)</f>
        <v/>
      </c>
      <c r="AS407">
        <f>IFERROR(INDEX(PP_Grid[#Data],$DD407,43),0)</f>
        <v/>
      </c>
      <c r="AT407">
        <f>IFERROR(INDEX(PP_Grid[#Data],$DD407,44),0)</f>
        <v/>
      </c>
      <c r="AU407">
        <f>IFERROR(INDEX(PP_Grid[#Data],$DD407,45),0)</f>
        <v/>
      </c>
      <c r="AV407">
        <f>IFERROR(INDEX(PP_Grid[#Data],$DD407,46),0)</f>
        <v/>
      </c>
      <c r="AW407">
        <f>IFERROR(INDEX(PP_Grid[#Data],$DD407,47),0)</f>
        <v/>
      </c>
      <c r="AX407">
        <f>IFERROR(INDEX(PP_Grid[#Data],$DD407,48),0)</f>
        <v/>
      </c>
      <c r="AY407">
        <f>IFERROR(INDEX(PP_Grid[#Data],$DD407,49),0)</f>
        <v/>
      </c>
      <c r="AZ407">
        <f>IFERROR(INDEX(PP_Grid[#Data],$DD407,50),0)</f>
        <v/>
      </c>
      <c r="BA407">
        <f>IFERROR(INDEX(PP_Grid[#Data],$DD407,51),0)</f>
        <v/>
      </c>
      <c r="BB407">
        <f>IFERROR(INDEX(PP_Grid[#Data],$DD407,52),0)</f>
        <v/>
      </c>
      <c r="BC407">
        <f>IFERROR(INDEX(PP_Grid[#Data],$DD407,53),0)</f>
        <v/>
      </c>
      <c r="BD407">
        <f>IFERROR(INDEX(PP_Grid[#Data],$DD407,54),0)</f>
        <v/>
      </c>
      <c r="BE407">
        <f>IFERROR(INDEX(PP_Grid[#Data],$DD407,55),0)</f>
        <v/>
      </c>
      <c r="BF407">
        <f>IFERROR(INDEX(PP_Grid[#Data],$DD407,56),0)</f>
        <v/>
      </c>
      <c r="BG407">
        <f>IFERROR(INDEX(PP_Grid[#Data],$DD407,57),0)</f>
        <v/>
      </c>
      <c r="BH407">
        <f>IFERROR(INDEX(PP_Grid[#Data],$DD407,58),0)</f>
        <v/>
      </c>
      <c r="BI407">
        <f>IFERROR(INDEX(PP_Grid[#Data],$DD407,59),0)</f>
        <v/>
      </c>
      <c r="BJ407">
        <f>IFERROR(INDEX(PP_Grid[#Data],$DD407,60),0)</f>
        <v/>
      </c>
      <c r="BK407">
        <f>IFERROR(INDEX(PP_Grid[#Data],$DD407,61),0)</f>
        <v/>
      </c>
      <c r="BL407">
        <f>IFERROR(INDEX(PP_Grid[#Data],$DD407,62),0)</f>
        <v/>
      </c>
      <c r="BM407">
        <f>IFERROR(INDEX(PP_Grid[#Data],$DD407,63),0)</f>
        <v/>
      </c>
      <c r="BN407">
        <f>IFERROR(INDEX(PP_Grid[#Data],$DD407,64),0)</f>
        <v/>
      </c>
      <c r="BO407">
        <f>IFERROR(INDEX(PP_Grid[#Data],$DD407,65),0)</f>
        <v/>
      </c>
      <c r="BP407">
        <f>IFERROR(INDEX(PP_Grid[#Data],$DD407,66),0)</f>
        <v/>
      </c>
      <c r="BQ407">
        <f>IFERROR(INDEX(PP_Grid[#Data],$DD407,67),0)</f>
        <v/>
      </c>
      <c r="BR407">
        <f>IFERROR(INDEX(PP_Grid[#Data],$DD407,68),0)</f>
        <v/>
      </c>
      <c r="BS407">
        <f>IFERROR(INDEX(PP_Grid[#Data],$DD407,69),0)</f>
        <v/>
      </c>
      <c r="BT407">
        <f>IFERROR(INDEX(PP_Grid[#Data],$DD407,70),0)</f>
        <v/>
      </c>
      <c r="BU407">
        <f>IFERROR(INDEX(PP_Grid[#Data],$DD407,71),0)</f>
        <v/>
      </c>
      <c r="BV407">
        <f>IFERROR(INDEX(PP_Grid[#Data],$DD407,72),0)</f>
        <v/>
      </c>
      <c r="BW407">
        <f>IFERROR(INDEX(PP_Grid[#Data],$DD407,73),0)</f>
        <v/>
      </c>
      <c r="BX407">
        <f>IFERROR(INDEX(PP_Grid[#Data],$DD407,74),0)</f>
        <v/>
      </c>
      <c r="BY407">
        <f>IFERROR(INDEX(PP_Grid[#Data],$DD407,75),0)</f>
        <v/>
      </c>
      <c r="BZ407">
        <f>IFERROR(INDEX(PP_Grid[#Data],$DD407,76),0)</f>
        <v/>
      </c>
      <c r="CA407">
        <f>IFERROR(INDEX(PP_Grid[#Data],$DD407,77),0)</f>
        <v/>
      </c>
      <c r="CB407">
        <f>IFERROR(INDEX(PP_Grid[#Data],$DD407,78),0)</f>
        <v/>
      </c>
      <c r="CC407">
        <f>IFERROR(INDEX(PP_Grid[#Data],$DD407,79),0)</f>
        <v/>
      </c>
      <c r="CD407">
        <f>IFERROR(INDEX(PP_Grid[#Data],$DD407,80),0)</f>
        <v/>
      </c>
      <c r="CE407">
        <f>IFERROR(INDEX(PP_Grid[#Data],$DD407,81),0)</f>
        <v/>
      </c>
      <c r="CF407">
        <f>IFERROR(INDEX(PP_Grid[#Data],$DD407,82),0)</f>
        <v/>
      </c>
      <c r="CG407">
        <f>IFERROR(INDEX(PP_Grid[#Data],$DD407,83),0)</f>
        <v/>
      </c>
      <c r="CH407">
        <f>IFERROR(INDEX(PP_Grid[#Data],$DD407,84),0)</f>
        <v/>
      </c>
      <c r="CI407">
        <f>IFERROR(INDEX(PP_Grid[#Data],$DD407,85),0)</f>
        <v/>
      </c>
      <c r="CJ407">
        <f>IFERROR(INDEX(PP_Grid[#Data],$DD407,86),0)</f>
        <v/>
      </c>
      <c r="CK407">
        <f>IFERROR(INDEX(PP_Grid[#Data],$DD407,87),0)</f>
        <v/>
      </c>
      <c r="CL407">
        <f>IFERROR(INDEX(PP_Grid[#Data],$DD407,88),0)</f>
        <v/>
      </c>
      <c r="CM407">
        <f>IFERROR(INDEX(PP_Grid[#Data],$DD407,89),0)</f>
        <v/>
      </c>
      <c r="CN407">
        <f>IFERROR(INDEX(PP_Grid[#Data],$DD407,90),0)</f>
        <v/>
      </c>
      <c r="CO407">
        <f>IFERROR(INDEX(PP_Grid[#Data],$DD407,91),0)</f>
        <v/>
      </c>
      <c r="CP407">
        <f>IFERROR(INDEX(PP_Grid[#Data],$DD407,92),0)</f>
        <v/>
      </c>
      <c r="CQ407">
        <f>IFERROR(INDEX(PP_Grid[#Data],$DD407,93),0)</f>
        <v/>
      </c>
      <c r="CR407">
        <f>IFERROR(INDEX(PP_Grid[#Data],$DD407,94),0)</f>
        <v/>
      </c>
      <c r="CS407">
        <f>IFERROR(INDEX(PP_Grid[#Data],$DD407,95),0)</f>
        <v/>
      </c>
      <c r="CT407">
        <f>IFERROR(INDEX(PP_Grid[#Data],$DD407,96),0)</f>
        <v/>
      </c>
      <c r="CU407">
        <f>IFERROR(INDEX(PP_Grid[#Data],$DD407,97),0)</f>
        <v/>
      </c>
      <c r="CV407">
        <f>IFERROR(INDEX(PP_Grid[#Data],$DD407,98),0)</f>
        <v/>
      </c>
      <c r="CW407">
        <f>IFERROR(INDEX(PP_Grid[#Data],$DD407,99),0)</f>
        <v/>
      </c>
      <c r="CX407">
        <f>IFERROR(INDEX(PP_Grid[#Data],$DD407,100),0)</f>
        <v/>
      </c>
      <c r="CY407">
        <f>IFERROR(INDEX(PP_Grid[#Data],$DD407,101),0)</f>
        <v/>
      </c>
      <c r="CZ407">
        <f>IFERROR(INDEX(PP_Grid[#Data],$DD407,102),0)</f>
        <v/>
      </c>
      <c r="DA407">
        <f>IFERROR(INDEX(PP_Grid[#Data],$DD407,103),0)</f>
        <v/>
      </c>
      <c r="DB407">
        <f>IFERROR(INDEX(PP_Grid[#Data],$DD407,104),0)</f>
        <v/>
      </c>
      <c r="DC407">
        <f>IFERROR(INDEX(PP_Grid[#Data],$DD407,105),0)</f>
        <v/>
      </c>
      <c r="DD407" s="12">
        <f>IFERROR(MATCH($B407,PP_Grid[Intermediate],0),99999)</f>
        <v/>
      </c>
    </row>
    <row r="408">
      <c r="B408" t="inlineStr">
        <is>
          <t>使用量(kg)</t>
        </is>
      </c>
      <c r="C408">
        <f>SUMIFS(M_BOM[RM_Qty_Per_Batch],M_BOM[Intermediate],$B407,M_BOM[Part Name],$A406)</f>
        <v/>
      </c>
      <c r="D408">
        <f>$C408*D407</f>
        <v/>
      </c>
      <c r="E408">
        <f>$C408*E407</f>
        <v/>
      </c>
      <c r="F408">
        <f>$C408*F407</f>
        <v/>
      </c>
      <c r="G408">
        <f>$C408*G407</f>
        <v/>
      </c>
      <c r="H408">
        <f>$C408*H407</f>
        <v/>
      </c>
      <c r="I408">
        <f>$C408*I407</f>
        <v/>
      </c>
      <c r="J408">
        <f>$C408*J407</f>
        <v/>
      </c>
      <c r="K408">
        <f>$C408*K407</f>
        <v/>
      </c>
      <c r="L408">
        <f>$C408*L407</f>
        <v/>
      </c>
      <c r="M408">
        <f>$C408*M407</f>
        <v/>
      </c>
      <c r="N408">
        <f>$C408*N407</f>
        <v/>
      </c>
      <c r="O408">
        <f>$C408*O407</f>
        <v/>
      </c>
      <c r="P408">
        <f>$C408*P407</f>
        <v/>
      </c>
      <c r="Q408">
        <f>$C408*Q407</f>
        <v/>
      </c>
      <c r="R408">
        <f>$C408*R407</f>
        <v/>
      </c>
      <c r="S408">
        <f>$C408*S407</f>
        <v/>
      </c>
      <c r="T408">
        <f>$C408*T407</f>
        <v/>
      </c>
      <c r="U408">
        <f>$C408*U407</f>
        <v/>
      </c>
      <c r="V408">
        <f>$C408*V407</f>
        <v/>
      </c>
      <c r="W408">
        <f>$C408*W407</f>
        <v/>
      </c>
      <c r="X408">
        <f>$C408*X407</f>
        <v/>
      </c>
      <c r="Y408">
        <f>$C408*Y407</f>
        <v/>
      </c>
      <c r="Z408">
        <f>$C408*Z407</f>
        <v/>
      </c>
      <c r="AA408">
        <f>$C408*AA407</f>
        <v/>
      </c>
      <c r="AB408">
        <f>$C408*AB407</f>
        <v/>
      </c>
      <c r="AC408">
        <f>$C408*AC407</f>
        <v/>
      </c>
      <c r="AD408">
        <f>$C408*AD407</f>
        <v/>
      </c>
      <c r="AE408">
        <f>$C408*AE407</f>
        <v/>
      </c>
      <c r="AF408">
        <f>$C408*AF407</f>
        <v/>
      </c>
      <c r="AG408">
        <f>$C408*AG407</f>
        <v/>
      </c>
      <c r="AH408">
        <f>$C408*AH407</f>
        <v/>
      </c>
      <c r="AI408">
        <f>$C408*AI407</f>
        <v/>
      </c>
      <c r="AJ408">
        <f>$C408*AJ407</f>
        <v/>
      </c>
      <c r="AK408">
        <f>$C408*AK407</f>
        <v/>
      </c>
      <c r="AL408">
        <f>$C408*AL407</f>
        <v/>
      </c>
      <c r="AM408">
        <f>$C408*AM407</f>
        <v/>
      </c>
      <c r="AN408">
        <f>$C408*AN407</f>
        <v/>
      </c>
      <c r="AO408">
        <f>$C408*AO407</f>
        <v/>
      </c>
      <c r="AP408">
        <f>$C408*AP407</f>
        <v/>
      </c>
      <c r="AQ408">
        <f>$C408*AQ407</f>
        <v/>
      </c>
      <c r="AR408">
        <f>$C408*AR407</f>
        <v/>
      </c>
      <c r="AS408">
        <f>$C408*AS407</f>
        <v/>
      </c>
      <c r="AT408">
        <f>$C408*AT407</f>
        <v/>
      </c>
      <c r="AU408">
        <f>$C408*AU407</f>
        <v/>
      </c>
      <c r="AV408">
        <f>$C408*AV407</f>
        <v/>
      </c>
      <c r="AW408">
        <f>$C408*AW407</f>
        <v/>
      </c>
      <c r="AX408">
        <f>$C408*AX407</f>
        <v/>
      </c>
      <c r="AY408">
        <f>$C408*AY407</f>
        <v/>
      </c>
      <c r="AZ408">
        <f>$C408*AZ407</f>
        <v/>
      </c>
      <c r="BA408">
        <f>$C408*BA407</f>
        <v/>
      </c>
      <c r="BB408">
        <f>$C408*BB407</f>
        <v/>
      </c>
      <c r="BC408">
        <f>$C408*BC407</f>
        <v/>
      </c>
      <c r="BD408">
        <f>$C408*BD407</f>
        <v/>
      </c>
      <c r="BE408">
        <f>$C408*BE407</f>
        <v/>
      </c>
      <c r="BF408">
        <f>$C408*BF407</f>
        <v/>
      </c>
      <c r="BG408">
        <f>$C408*BG407</f>
        <v/>
      </c>
      <c r="BH408">
        <f>$C408*BH407</f>
        <v/>
      </c>
      <c r="BI408">
        <f>$C408*BI407</f>
        <v/>
      </c>
      <c r="BJ408">
        <f>$C408*BJ407</f>
        <v/>
      </c>
      <c r="BK408">
        <f>$C408*BK407</f>
        <v/>
      </c>
      <c r="BL408">
        <f>$C408*BL407</f>
        <v/>
      </c>
      <c r="BM408">
        <f>$C408*BM407</f>
        <v/>
      </c>
      <c r="BN408">
        <f>$C408*BN407</f>
        <v/>
      </c>
      <c r="BO408">
        <f>$C408*BO407</f>
        <v/>
      </c>
      <c r="BP408">
        <f>$C408*BP407</f>
        <v/>
      </c>
      <c r="BQ408">
        <f>$C408*BQ407</f>
        <v/>
      </c>
      <c r="BR408">
        <f>$C408*BR407</f>
        <v/>
      </c>
      <c r="BS408">
        <f>$C408*BS407</f>
        <v/>
      </c>
      <c r="BT408">
        <f>$C408*BT407</f>
        <v/>
      </c>
      <c r="BU408">
        <f>$C408*BU407</f>
        <v/>
      </c>
      <c r="BV408">
        <f>$C408*BV407</f>
        <v/>
      </c>
      <c r="BW408">
        <f>$C408*BW407</f>
        <v/>
      </c>
      <c r="BX408">
        <f>$C408*BX407</f>
        <v/>
      </c>
      <c r="BY408">
        <f>$C408*BY407</f>
        <v/>
      </c>
      <c r="BZ408">
        <f>$C408*BZ407</f>
        <v/>
      </c>
      <c r="CA408">
        <f>$C408*CA407</f>
        <v/>
      </c>
      <c r="CB408">
        <f>$C408*CB407</f>
        <v/>
      </c>
      <c r="CC408">
        <f>$C408*CC407</f>
        <v/>
      </c>
      <c r="CD408">
        <f>$C408*CD407</f>
        <v/>
      </c>
      <c r="CE408">
        <f>$C408*CE407</f>
        <v/>
      </c>
      <c r="CF408">
        <f>$C408*CF407</f>
        <v/>
      </c>
      <c r="CG408">
        <f>$C408*CG407</f>
        <v/>
      </c>
      <c r="CH408">
        <f>$C408*CH407</f>
        <v/>
      </c>
      <c r="CI408">
        <f>$C408*CI407</f>
        <v/>
      </c>
      <c r="CJ408">
        <f>$C408*CJ407</f>
        <v/>
      </c>
      <c r="CK408">
        <f>$C408*CK407</f>
        <v/>
      </c>
      <c r="CL408">
        <f>$C408*CL407</f>
        <v/>
      </c>
      <c r="CM408">
        <f>$C408*CM407</f>
        <v/>
      </c>
      <c r="CN408">
        <f>$C408*CN407</f>
        <v/>
      </c>
      <c r="CO408">
        <f>$C408*CO407</f>
        <v/>
      </c>
      <c r="CP408">
        <f>$C408*CP407</f>
        <v/>
      </c>
      <c r="CQ408">
        <f>$C408*CQ407</f>
        <v/>
      </c>
      <c r="CR408">
        <f>$C408*CR407</f>
        <v/>
      </c>
      <c r="CS408">
        <f>$C408*CS407</f>
        <v/>
      </c>
      <c r="CT408">
        <f>$C408*CT407</f>
        <v/>
      </c>
      <c r="CU408">
        <f>$C408*CU407</f>
        <v/>
      </c>
      <c r="CV408">
        <f>$C408*CV407</f>
        <v/>
      </c>
      <c r="CW408">
        <f>$C408*CW407</f>
        <v/>
      </c>
      <c r="CX408">
        <f>$C408*CX407</f>
        <v/>
      </c>
      <c r="CY408">
        <f>$C408*CY407</f>
        <v/>
      </c>
      <c r="CZ408">
        <f>$C408*CZ407</f>
        <v/>
      </c>
      <c r="DA408">
        <f>$C408*DA407</f>
        <v/>
      </c>
      <c r="DB408">
        <f>$C408*DB407</f>
        <v/>
      </c>
      <c r="DC408">
        <f>$C408*DC407</f>
        <v/>
      </c>
    </row>
    <row r="409">
      <c r="B409" t="inlineStr">
        <is>
          <t>TSP-067</t>
        </is>
      </c>
      <c r="C409" t="inlineStr">
        <is>
          <t>No. of batches</t>
        </is>
      </c>
      <c r="D409">
        <f>IFERROR(INDEX(PP_Grid[#Data],$DD409,2),0)</f>
        <v/>
      </c>
      <c r="E409">
        <f>IFERROR(INDEX(PP_Grid[#Data],$DD409,3),0)</f>
        <v/>
      </c>
      <c r="F409">
        <f>IFERROR(INDEX(PP_Grid[#Data],$DD409,4),0)</f>
        <v/>
      </c>
      <c r="G409">
        <f>IFERROR(INDEX(PP_Grid[#Data],$DD409,5),0)</f>
        <v/>
      </c>
      <c r="H409">
        <f>IFERROR(INDEX(PP_Grid[#Data],$DD409,6),0)</f>
        <v/>
      </c>
      <c r="I409">
        <f>IFERROR(INDEX(PP_Grid[#Data],$DD409,7),0)</f>
        <v/>
      </c>
      <c r="J409">
        <f>IFERROR(INDEX(PP_Grid[#Data],$DD409,8),0)</f>
        <v/>
      </c>
      <c r="K409">
        <f>IFERROR(INDEX(PP_Grid[#Data],$DD409,9),0)</f>
        <v/>
      </c>
      <c r="L409">
        <f>IFERROR(INDEX(PP_Grid[#Data],$DD409,10),0)</f>
        <v/>
      </c>
      <c r="M409">
        <f>IFERROR(INDEX(PP_Grid[#Data],$DD409,11),0)</f>
        <v/>
      </c>
      <c r="N409">
        <f>IFERROR(INDEX(PP_Grid[#Data],$DD409,12),0)</f>
        <v/>
      </c>
      <c r="O409">
        <f>IFERROR(INDEX(PP_Grid[#Data],$DD409,13),0)</f>
        <v/>
      </c>
      <c r="P409">
        <f>IFERROR(INDEX(PP_Grid[#Data],$DD409,14),0)</f>
        <v/>
      </c>
      <c r="Q409">
        <f>IFERROR(INDEX(PP_Grid[#Data],$DD409,15),0)</f>
        <v/>
      </c>
      <c r="R409">
        <f>IFERROR(INDEX(PP_Grid[#Data],$DD409,16),0)</f>
        <v/>
      </c>
      <c r="S409">
        <f>IFERROR(INDEX(PP_Grid[#Data],$DD409,17),0)</f>
        <v/>
      </c>
      <c r="T409">
        <f>IFERROR(INDEX(PP_Grid[#Data],$DD409,18),0)</f>
        <v/>
      </c>
      <c r="U409">
        <f>IFERROR(INDEX(PP_Grid[#Data],$DD409,19),0)</f>
        <v/>
      </c>
      <c r="V409">
        <f>IFERROR(INDEX(PP_Grid[#Data],$DD409,20),0)</f>
        <v/>
      </c>
      <c r="W409">
        <f>IFERROR(INDEX(PP_Grid[#Data],$DD409,21),0)</f>
        <v/>
      </c>
      <c r="X409">
        <f>IFERROR(INDEX(PP_Grid[#Data],$DD409,22),0)</f>
        <v/>
      </c>
      <c r="Y409">
        <f>IFERROR(INDEX(PP_Grid[#Data],$DD409,23),0)</f>
        <v/>
      </c>
      <c r="Z409">
        <f>IFERROR(INDEX(PP_Grid[#Data],$DD409,24),0)</f>
        <v/>
      </c>
      <c r="AA409">
        <f>IFERROR(INDEX(PP_Grid[#Data],$DD409,25),0)</f>
        <v/>
      </c>
      <c r="AB409">
        <f>IFERROR(INDEX(PP_Grid[#Data],$DD409,26),0)</f>
        <v/>
      </c>
      <c r="AC409">
        <f>IFERROR(INDEX(PP_Grid[#Data],$DD409,27),0)</f>
        <v/>
      </c>
      <c r="AD409">
        <f>IFERROR(INDEX(PP_Grid[#Data],$DD409,28),0)</f>
        <v/>
      </c>
      <c r="AE409">
        <f>IFERROR(INDEX(PP_Grid[#Data],$DD409,29),0)</f>
        <v/>
      </c>
      <c r="AF409">
        <f>IFERROR(INDEX(PP_Grid[#Data],$DD409,30),0)</f>
        <v/>
      </c>
      <c r="AG409">
        <f>IFERROR(INDEX(PP_Grid[#Data],$DD409,31),0)</f>
        <v/>
      </c>
      <c r="AH409">
        <f>IFERROR(INDEX(PP_Grid[#Data],$DD409,32),0)</f>
        <v/>
      </c>
      <c r="AI409">
        <f>IFERROR(INDEX(PP_Grid[#Data],$DD409,33),0)</f>
        <v/>
      </c>
      <c r="AJ409">
        <f>IFERROR(INDEX(PP_Grid[#Data],$DD409,34),0)</f>
        <v/>
      </c>
      <c r="AK409">
        <f>IFERROR(INDEX(PP_Grid[#Data],$DD409,35),0)</f>
        <v/>
      </c>
      <c r="AL409">
        <f>IFERROR(INDEX(PP_Grid[#Data],$DD409,36),0)</f>
        <v/>
      </c>
      <c r="AM409">
        <f>IFERROR(INDEX(PP_Grid[#Data],$DD409,37),0)</f>
        <v/>
      </c>
      <c r="AN409">
        <f>IFERROR(INDEX(PP_Grid[#Data],$DD409,38),0)</f>
        <v/>
      </c>
      <c r="AO409">
        <f>IFERROR(INDEX(PP_Grid[#Data],$DD409,39),0)</f>
        <v/>
      </c>
      <c r="AP409">
        <f>IFERROR(INDEX(PP_Grid[#Data],$DD409,40),0)</f>
        <v/>
      </c>
      <c r="AQ409">
        <f>IFERROR(INDEX(PP_Grid[#Data],$DD409,41),0)</f>
        <v/>
      </c>
      <c r="AR409">
        <f>IFERROR(INDEX(PP_Grid[#Data],$DD409,42),0)</f>
        <v/>
      </c>
      <c r="AS409">
        <f>IFERROR(INDEX(PP_Grid[#Data],$DD409,43),0)</f>
        <v/>
      </c>
      <c r="AT409">
        <f>IFERROR(INDEX(PP_Grid[#Data],$DD409,44),0)</f>
        <v/>
      </c>
      <c r="AU409">
        <f>IFERROR(INDEX(PP_Grid[#Data],$DD409,45),0)</f>
        <v/>
      </c>
      <c r="AV409">
        <f>IFERROR(INDEX(PP_Grid[#Data],$DD409,46),0)</f>
        <v/>
      </c>
      <c r="AW409">
        <f>IFERROR(INDEX(PP_Grid[#Data],$DD409,47),0)</f>
        <v/>
      </c>
      <c r="AX409">
        <f>IFERROR(INDEX(PP_Grid[#Data],$DD409,48),0)</f>
        <v/>
      </c>
      <c r="AY409">
        <f>IFERROR(INDEX(PP_Grid[#Data],$DD409,49),0)</f>
        <v/>
      </c>
      <c r="AZ409">
        <f>IFERROR(INDEX(PP_Grid[#Data],$DD409,50),0)</f>
        <v/>
      </c>
      <c r="BA409">
        <f>IFERROR(INDEX(PP_Grid[#Data],$DD409,51),0)</f>
        <v/>
      </c>
      <c r="BB409">
        <f>IFERROR(INDEX(PP_Grid[#Data],$DD409,52),0)</f>
        <v/>
      </c>
      <c r="BC409">
        <f>IFERROR(INDEX(PP_Grid[#Data],$DD409,53),0)</f>
        <v/>
      </c>
      <c r="BD409">
        <f>IFERROR(INDEX(PP_Grid[#Data],$DD409,54),0)</f>
        <v/>
      </c>
      <c r="BE409">
        <f>IFERROR(INDEX(PP_Grid[#Data],$DD409,55),0)</f>
        <v/>
      </c>
      <c r="BF409">
        <f>IFERROR(INDEX(PP_Grid[#Data],$DD409,56),0)</f>
        <v/>
      </c>
      <c r="BG409">
        <f>IFERROR(INDEX(PP_Grid[#Data],$DD409,57),0)</f>
        <v/>
      </c>
      <c r="BH409">
        <f>IFERROR(INDEX(PP_Grid[#Data],$DD409,58),0)</f>
        <v/>
      </c>
      <c r="BI409">
        <f>IFERROR(INDEX(PP_Grid[#Data],$DD409,59),0)</f>
        <v/>
      </c>
      <c r="BJ409">
        <f>IFERROR(INDEX(PP_Grid[#Data],$DD409,60),0)</f>
        <v/>
      </c>
      <c r="BK409">
        <f>IFERROR(INDEX(PP_Grid[#Data],$DD409,61),0)</f>
        <v/>
      </c>
      <c r="BL409">
        <f>IFERROR(INDEX(PP_Grid[#Data],$DD409,62),0)</f>
        <v/>
      </c>
      <c r="BM409">
        <f>IFERROR(INDEX(PP_Grid[#Data],$DD409,63),0)</f>
        <v/>
      </c>
      <c r="BN409">
        <f>IFERROR(INDEX(PP_Grid[#Data],$DD409,64),0)</f>
        <v/>
      </c>
      <c r="BO409">
        <f>IFERROR(INDEX(PP_Grid[#Data],$DD409,65),0)</f>
        <v/>
      </c>
      <c r="BP409">
        <f>IFERROR(INDEX(PP_Grid[#Data],$DD409,66),0)</f>
        <v/>
      </c>
      <c r="BQ409">
        <f>IFERROR(INDEX(PP_Grid[#Data],$DD409,67),0)</f>
        <v/>
      </c>
      <c r="BR409">
        <f>IFERROR(INDEX(PP_Grid[#Data],$DD409,68),0)</f>
        <v/>
      </c>
      <c r="BS409">
        <f>IFERROR(INDEX(PP_Grid[#Data],$DD409,69),0)</f>
        <v/>
      </c>
      <c r="BT409">
        <f>IFERROR(INDEX(PP_Grid[#Data],$DD409,70),0)</f>
        <v/>
      </c>
      <c r="BU409">
        <f>IFERROR(INDEX(PP_Grid[#Data],$DD409,71),0)</f>
        <v/>
      </c>
      <c r="BV409">
        <f>IFERROR(INDEX(PP_Grid[#Data],$DD409,72),0)</f>
        <v/>
      </c>
      <c r="BW409">
        <f>IFERROR(INDEX(PP_Grid[#Data],$DD409,73),0)</f>
        <v/>
      </c>
      <c r="BX409">
        <f>IFERROR(INDEX(PP_Grid[#Data],$DD409,74),0)</f>
        <v/>
      </c>
      <c r="BY409">
        <f>IFERROR(INDEX(PP_Grid[#Data],$DD409,75),0)</f>
        <v/>
      </c>
      <c r="BZ409">
        <f>IFERROR(INDEX(PP_Grid[#Data],$DD409,76),0)</f>
        <v/>
      </c>
      <c r="CA409">
        <f>IFERROR(INDEX(PP_Grid[#Data],$DD409,77),0)</f>
        <v/>
      </c>
      <c r="CB409">
        <f>IFERROR(INDEX(PP_Grid[#Data],$DD409,78),0)</f>
        <v/>
      </c>
      <c r="CC409">
        <f>IFERROR(INDEX(PP_Grid[#Data],$DD409,79),0)</f>
        <v/>
      </c>
      <c r="CD409">
        <f>IFERROR(INDEX(PP_Grid[#Data],$DD409,80),0)</f>
        <v/>
      </c>
      <c r="CE409">
        <f>IFERROR(INDEX(PP_Grid[#Data],$DD409,81),0)</f>
        <v/>
      </c>
      <c r="CF409">
        <f>IFERROR(INDEX(PP_Grid[#Data],$DD409,82),0)</f>
        <v/>
      </c>
      <c r="CG409">
        <f>IFERROR(INDEX(PP_Grid[#Data],$DD409,83),0)</f>
        <v/>
      </c>
      <c r="CH409">
        <f>IFERROR(INDEX(PP_Grid[#Data],$DD409,84),0)</f>
        <v/>
      </c>
      <c r="CI409">
        <f>IFERROR(INDEX(PP_Grid[#Data],$DD409,85),0)</f>
        <v/>
      </c>
      <c r="CJ409">
        <f>IFERROR(INDEX(PP_Grid[#Data],$DD409,86),0)</f>
        <v/>
      </c>
      <c r="CK409">
        <f>IFERROR(INDEX(PP_Grid[#Data],$DD409,87),0)</f>
        <v/>
      </c>
      <c r="CL409">
        <f>IFERROR(INDEX(PP_Grid[#Data],$DD409,88),0)</f>
        <v/>
      </c>
      <c r="CM409">
        <f>IFERROR(INDEX(PP_Grid[#Data],$DD409,89),0)</f>
        <v/>
      </c>
      <c r="CN409">
        <f>IFERROR(INDEX(PP_Grid[#Data],$DD409,90),0)</f>
        <v/>
      </c>
      <c r="CO409">
        <f>IFERROR(INDEX(PP_Grid[#Data],$DD409,91),0)</f>
        <v/>
      </c>
      <c r="CP409">
        <f>IFERROR(INDEX(PP_Grid[#Data],$DD409,92),0)</f>
        <v/>
      </c>
      <c r="CQ409">
        <f>IFERROR(INDEX(PP_Grid[#Data],$DD409,93),0)</f>
        <v/>
      </c>
      <c r="CR409">
        <f>IFERROR(INDEX(PP_Grid[#Data],$DD409,94),0)</f>
        <v/>
      </c>
      <c r="CS409">
        <f>IFERROR(INDEX(PP_Grid[#Data],$DD409,95),0)</f>
        <v/>
      </c>
      <c r="CT409">
        <f>IFERROR(INDEX(PP_Grid[#Data],$DD409,96),0)</f>
        <v/>
      </c>
      <c r="CU409">
        <f>IFERROR(INDEX(PP_Grid[#Data],$DD409,97),0)</f>
        <v/>
      </c>
      <c r="CV409">
        <f>IFERROR(INDEX(PP_Grid[#Data],$DD409,98),0)</f>
        <v/>
      </c>
      <c r="CW409">
        <f>IFERROR(INDEX(PP_Grid[#Data],$DD409,99),0)</f>
        <v/>
      </c>
      <c r="CX409">
        <f>IFERROR(INDEX(PP_Grid[#Data],$DD409,100),0)</f>
        <v/>
      </c>
      <c r="CY409">
        <f>IFERROR(INDEX(PP_Grid[#Data],$DD409,101),0)</f>
        <v/>
      </c>
      <c r="CZ409">
        <f>IFERROR(INDEX(PP_Grid[#Data],$DD409,102),0)</f>
        <v/>
      </c>
      <c r="DA409">
        <f>IFERROR(INDEX(PP_Grid[#Data],$DD409,103),0)</f>
        <v/>
      </c>
      <c r="DB409">
        <f>IFERROR(INDEX(PP_Grid[#Data],$DD409,104),0)</f>
        <v/>
      </c>
      <c r="DC409">
        <f>IFERROR(INDEX(PP_Grid[#Data],$DD409,105),0)</f>
        <v/>
      </c>
      <c r="DD409" s="12">
        <f>IFERROR(MATCH($B409,PP_Grid[Intermediate],0),99999)</f>
        <v/>
      </c>
    </row>
    <row r="410">
      <c r="B410" t="inlineStr">
        <is>
          <t>使用量(kg)</t>
        </is>
      </c>
      <c r="C410">
        <f>SUMIFS(M_BOM[RM_Qty_Per_Batch],M_BOM[Intermediate],$B409,M_BOM[Part Name],$A406)</f>
        <v/>
      </c>
      <c r="D410">
        <f>$C410*D409</f>
        <v/>
      </c>
      <c r="E410">
        <f>$C410*E409</f>
        <v/>
      </c>
      <c r="F410">
        <f>$C410*F409</f>
        <v/>
      </c>
      <c r="G410">
        <f>$C410*G409</f>
        <v/>
      </c>
      <c r="H410">
        <f>$C410*H409</f>
        <v/>
      </c>
      <c r="I410">
        <f>$C410*I409</f>
        <v/>
      </c>
      <c r="J410">
        <f>$C410*J409</f>
        <v/>
      </c>
      <c r="K410">
        <f>$C410*K409</f>
        <v/>
      </c>
      <c r="L410">
        <f>$C410*L409</f>
        <v/>
      </c>
      <c r="M410">
        <f>$C410*M409</f>
        <v/>
      </c>
      <c r="N410">
        <f>$C410*N409</f>
        <v/>
      </c>
      <c r="O410">
        <f>$C410*O409</f>
        <v/>
      </c>
      <c r="P410">
        <f>$C410*P409</f>
        <v/>
      </c>
      <c r="Q410">
        <f>$C410*Q409</f>
        <v/>
      </c>
      <c r="R410">
        <f>$C410*R409</f>
        <v/>
      </c>
      <c r="S410">
        <f>$C410*S409</f>
        <v/>
      </c>
      <c r="T410">
        <f>$C410*T409</f>
        <v/>
      </c>
      <c r="U410">
        <f>$C410*U409</f>
        <v/>
      </c>
      <c r="V410">
        <f>$C410*V409</f>
        <v/>
      </c>
      <c r="W410">
        <f>$C410*W409</f>
        <v/>
      </c>
      <c r="X410">
        <f>$C410*X409</f>
        <v/>
      </c>
      <c r="Y410">
        <f>$C410*Y409</f>
        <v/>
      </c>
      <c r="Z410">
        <f>$C410*Z409</f>
        <v/>
      </c>
      <c r="AA410">
        <f>$C410*AA409</f>
        <v/>
      </c>
      <c r="AB410">
        <f>$C410*AB409</f>
        <v/>
      </c>
      <c r="AC410">
        <f>$C410*AC409</f>
        <v/>
      </c>
      <c r="AD410">
        <f>$C410*AD409</f>
        <v/>
      </c>
      <c r="AE410">
        <f>$C410*AE409</f>
        <v/>
      </c>
      <c r="AF410">
        <f>$C410*AF409</f>
        <v/>
      </c>
      <c r="AG410">
        <f>$C410*AG409</f>
        <v/>
      </c>
      <c r="AH410">
        <f>$C410*AH409</f>
        <v/>
      </c>
      <c r="AI410">
        <f>$C410*AI409</f>
        <v/>
      </c>
      <c r="AJ410">
        <f>$C410*AJ409</f>
        <v/>
      </c>
      <c r="AK410">
        <f>$C410*AK409</f>
        <v/>
      </c>
      <c r="AL410">
        <f>$C410*AL409</f>
        <v/>
      </c>
      <c r="AM410">
        <f>$C410*AM409</f>
        <v/>
      </c>
      <c r="AN410">
        <f>$C410*AN409</f>
        <v/>
      </c>
      <c r="AO410">
        <f>$C410*AO409</f>
        <v/>
      </c>
      <c r="AP410">
        <f>$C410*AP409</f>
        <v/>
      </c>
      <c r="AQ410">
        <f>$C410*AQ409</f>
        <v/>
      </c>
      <c r="AR410">
        <f>$C410*AR409</f>
        <v/>
      </c>
      <c r="AS410">
        <f>$C410*AS409</f>
        <v/>
      </c>
      <c r="AT410">
        <f>$C410*AT409</f>
        <v/>
      </c>
      <c r="AU410">
        <f>$C410*AU409</f>
        <v/>
      </c>
      <c r="AV410">
        <f>$C410*AV409</f>
        <v/>
      </c>
      <c r="AW410">
        <f>$C410*AW409</f>
        <v/>
      </c>
      <c r="AX410">
        <f>$C410*AX409</f>
        <v/>
      </c>
      <c r="AY410">
        <f>$C410*AY409</f>
        <v/>
      </c>
      <c r="AZ410">
        <f>$C410*AZ409</f>
        <v/>
      </c>
      <c r="BA410">
        <f>$C410*BA409</f>
        <v/>
      </c>
      <c r="BB410">
        <f>$C410*BB409</f>
        <v/>
      </c>
      <c r="BC410">
        <f>$C410*BC409</f>
        <v/>
      </c>
      <c r="BD410">
        <f>$C410*BD409</f>
        <v/>
      </c>
      <c r="BE410">
        <f>$C410*BE409</f>
        <v/>
      </c>
      <c r="BF410">
        <f>$C410*BF409</f>
        <v/>
      </c>
      <c r="BG410">
        <f>$C410*BG409</f>
        <v/>
      </c>
      <c r="BH410">
        <f>$C410*BH409</f>
        <v/>
      </c>
      <c r="BI410">
        <f>$C410*BI409</f>
        <v/>
      </c>
      <c r="BJ410">
        <f>$C410*BJ409</f>
        <v/>
      </c>
      <c r="BK410">
        <f>$C410*BK409</f>
        <v/>
      </c>
      <c r="BL410">
        <f>$C410*BL409</f>
        <v/>
      </c>
      <c r="BM410">
        <f>$C410*BM409</f>
        <v/>
      </c>
      <c r="BN410">
        <f>$C410*BN409</f>
        <v/>
      </c>
      <c r="BO410">
        <f>$C410*BO409</f>
        <v/>
      </c>
      <c r="BP410">
        <f>$C410*BP409</f>
        <v/>
      </c>
      <c r="BQ410">
        <f>$C410*BQ409</f>
        <v/>
      </c>
      <c r="BR410">
        <f>$C410*BR409</f>
        <v/>
      </c>
      <c r="BS410">
        <f>$C410*BS409</f>
        <v/>
      </c>
      <c r="BT410">
        <f>$C410*BT409</f>
        <v/>
      </c>
      <c r="BU410">
        <f>$C410*BU409</f>
        <v/>
      </c>
      <c r="BV410">
        <f>$C410*BV409</f>
        <v/>
      </c>
      <c r="BW410">
        <f>$C410*BW409</f>
        <v/>
      </c>
      <c r="BX410">
        <f>$C410*BX409</f>
        <v/>
      </c>
      <c r="BY410">
        <f>$C410*BY409</f>
        <v/>
      </c>
      <c r="BZ410">
        <f>$C410*BZ409</f>
        <v/>
      </c>
      <c r="CA410">
        <f>$C410*CA409</f>
        <v/>
      </c>
      <c r="CB410">
        <f>$C410*CB409</f>
        <v/>
      </c>
      <c r="CC410">
        <f>$C410*CC409</f>
        <v/>
      </c>
      <c r="CD410">
        <f>$C410*CD409</f>
        <v/>
      </c>
      <c r="CE410">
        <f>$C410*CE409</f>
        <v/>
      </c>
      <c r="CF410">
        <f>$C410*CF409</f>
        <v/>
      </c>
      <c r="CG410">
        <f>$C410*CG409</f>
        <v/>
      </c>
      <c r="CH410">
        <f>$C410*CH409</f>
        <v/>
      </c>
      <c r="CI410">
        <f>$C410*CI409</f>
        <v/>
      </c>
      <c r="CJ410">
        <f>$C410*CJ409</f>
        <v/>
      </c>
      <c r="CK410">
        <f>$C410*CK409</f>
        <v/>
      </c>
      <c r="CL410">
        <f>$C410*CL409</f>
        <v/>
      </c>
      <c r="CM410">
        <f>$C410*CM409</f>
        <v/>
      </c>
      <c r="CN410">
        <f>$C410*CN409</f>
        <v/>
      </c>
      <c r="CO410">
        <f>$C410*CO409</f>
        <v/>
      </c>
      <c r="CP410">
        <f>$C410*CP409</f>
        <v/>
      </c>
      <c r="CQ410">
        <f>$C410*CQ409</f>
        <v/>
      </c>
      <c r="CR410">
        <f>$C410*CR409</f>
        <v/>
      </c>
      <c r="CS410">
        <f>$C410*CS409</f>
        <v/>
      </c>
      <c r="CT410">
        <f>$C410*CT409</f>
        <v/>
      </c>
      <c r="CU410">
        <f>$C410*CU409</f>
        <v/>
      </c>
      <c r="CV410">
        <f>$C410*CV409</f>
        <v/>
      </c>
      <c r="CW410">
        <f>$C410*CW409</f>
        <v/>
      </c>
      <c r="CX410">
        <f>$C410*CX409</f>
        <v/>
      </c>
      <c r="CY410">
        <f>$C410*CY409</f>
        <v/>
      </c>
      <c r="CZ410">
        <f>$C410*CZ409</f>
        <v/>
      </c>
      <c r="DA410">
        <f>$C410*DA409</f>
        <v/>
      </c>
      <c r="DB410">
        <f>$C410*DB409</f>
        <v/>
      </c>
      <c r="DC410">
        <f>$C410*DC409</f>
        <v/>
      </c>
    </row>
    <row r="411">
      <c r="B411" t="inlineStr">
        <is>
          <t>TSP-069</t>
        </is>
      </c>
      <c r="C411" t="inlineStr">
        <is>
          <t>No. of batches</t>
        </is>
      </c>
      <c r="D411">
        <f>IFERROR(INDEX(PP_Grid[#Data],$DD411,2),0)</f>
        <v/>
      </c>
      <c r="E411">
        <f>IFERROR(INDEX(PP_Grid[#Data],$DD411,3),0)</f>
        <v/>
      </c>
      <c r="F411">
        <f>IFERROR(INDEX(PP_Grid[#Data],$DD411,4),0)</f>
        <v/>
      </c>
      <c r="G411">
        <f>IFERROR(INDEX(PP_Grid[#Data],$DD411,5),0)</f>
        <v/>
      </c>
      <c r="H411">
        <f>IFERROR(INDEX(PP_Grid[#Data],$DD411,6),0)</f>
        <v/>
      </c>
      <c r="I411">
        <f>IFERROR(INDEX(PP_Grid[#Data],$DD411,7),0)</f>
        <v/>
      </c>
      <c r="J411">
        <f>IFERROR(INDEX(PP_Grid[#Data],$DD411,8),0)</f>
        <v/>
      </c>
      <c r="K411">
        <f>IFERROR(INDEX(PP_Grid[#Data],$DD411,9),0)</f>
        <v/>
      </c>
      <c r="L411">
        <f>IFERROR(INDEX(PP_Grid[#Data],$DD411,10),0)</f>
        <v/>
      </c>
      <c r="M411">
        <f>IFERROR(INDEX(PP_Grid[#Data],$DD411,11),0)</f>
        <v/>
      </c>
      <c r="N411">
        <f>IFERROR(INDEX(PP_Grid[#Data],$DD411,12),0)</f>
        <v/>
      </c>
      <c r="O411">
        <f>IFERROR(INDEX(PP_Grid[#Data],$DD411,13),0)</f>
        <v/>
      </c>
      <c r="P411">
        <f>IFERROR(INDEX(PP_Grid[#Data],$DD411,14),0)</f>
        <v/>
      </c>
      <c r="Q411">
        <f>IFERROR(INDEX(PP_Grid[#Data],$DD411,15),0)</f>
        <v/>
      </c>
      <c r="R411">
        <f>IFERROR(INDEX(PP_Grid[#Data],$DD411,16),0)</f>
        <v/>
      </c>
      <c r="S411">
        <f>IFERROR(INDEX(PP_Grid[#Data],$DD411,17),0)</f>
        <v/>
      </c>
      <c r="T411">
        <f>IFERROR(INDEX(PP_Grid[#Data],$DD411,18),0)</f>
        <v/>
      </c>
      <c r="U411">
        <f>IFERROR(INDEX(PP_Grid[#Data],$DD411,19),0)</f>
        <v/>
      </c>
      <c r="V411">
        <f>IFERROR(INDEX(PP_Grid[#Data],$DD411,20),0)</f>
        <v/>
      </c>
      <c r="W411">
        <f>IFERROR(INDEX(PP_Grid[#Data],$DD411,21),0)</f>
        <v/>
      </c>
      <c r="X411">
        <f>IFERROR(INDEX(PP_Grid[#Data],$DD411,22),0)</f>
        <v/>
      </c>
      <c r="Y411">
        <f>IFERROR(INDEX(PP_Grid[#Data],$DD411,23),0)</f>
        <v/>
      </c>
      <c r="Z411">
        <f>IFERROR(INDEX(PP_Grid[#Data],$DD411,24),0)</f>
        <v/>
      </c>
      <c r="AA411">
        <f>IFERROR(INDEX(PP_Grid[#Data],$DD411,25),0)</f>
        <v/>
      </c>
      <c r="AB411">
        <f>IFERROR(INDEX(PP_Grid[#Data],$DD411,26),0)</f>
        <v/>
      </c>
      <c r="AC411">
        <f>IFERROR(INDEX(PP_Grid[#Data],$DD411,27),0)</f>
        <v/>
      </c>
      <c r="AD411">
        <f>IFERROR(INDEX(PP_Grid[#Data],$DD411,28),0)</f>
        <v/>
      </c>
      <c r="AE411">
        <f>IFERROR(INDEX(PP_Grid[#Data],$DD411,29),0)</f>
        <v/>
      </c>
      <c r="AF411">
        <f>IFERROR(INDEX(PP_Grid[#Data],$DD411,30),0)</f>
        <v/>
      </c>
      <c r="AG411">
        <f>IFERROR(INDEX(PP_Grid[#Data],$DD411,31),0)</f>
        <v/>
      </c>
      <c r="AH411">
        <f>IFERROR(INDEX(PP_Grid[#Data],$DD411,32),0)</f>
        <v/>
      </c>
      <c r="AI411">
        <f>IFERROR(INDEX(PP_Grid[#Data],$DD411,33),0)</f>
        <v/>
      </c>
      <c r="AJ411">
        <f>IFERROR(INDEX(PP_Grid[#Data],$DD411,34),0)</f>
        <v/>
      </c>
      <c r="AK411">
        <f>IFERROR(INDEX(PP_Grid[#Data],$DD411,35),0)</f>
        <v/>
      </c>
      <c r="AL411">
        <f>IFERROR(INDEX(PP_Grid[#Data],$DD411,36),0)</f>
        <v/>
      </c>
      <c r="AM411">
        <f>IFERROR(INDEX(PP_Grid[#Data],$DD411,37),0)</f>
        <v/>
      </c>
      <c r="AN411">
        <f>IFERROR(INDEX(PP_Grid[#Data],$DD411,38),0)</f>
        <v/>
      </c>
      <c r="AO411">
        <f>IFERROR(INDEX(PP_Grid[#Data],$DD411,39),0)</f>
        <v/>
      </c>
      <c r="AP411">
        <f>IFERROR(INDEX(PP_Grid[#Data],$DD411,40),0)</f>
        <v/>
      </c>
      <c r="AQ411">
        <f>IFERROR(INDEX(PP_Grid[#Data],$DD411,41),0)</f>
        <v/>
      </c>
      <c r="AR411">
        <f>IFERROR(INDEX(PP_Grid[#Data],$DD411,42),0)</f>
        <v/>
      </c>
      <c r="AS411">
        <f>IFERROR(INDEX(PP_Grid[#Data],$DD411,43),0)</f>
        <v/>
      </c>
      <c r="AT411">
        <f>IFERROR(INDEX(PP_Grid[#Data],$DD411,44),0)</f>
        <v/>
      </c>
      <c r="AU411">
        <f>IFERROR(INDEX(PP_Grid[#Data],$DD411,45),0)</f>
        <v/>
      </c>
      <c r="AV411">
        <f>IFERROR(INDEX(PP_Grid[#Data],$DD411,46),0)</f>
        <v/>
      </c>
      <c r="AW411">
        <f>IFERROR(INDEX(PP_Grid[#Data],$DD411,47),0)</f>
        <v/>
      </c>
      <c r="AX411">
        <f>IFERROR(INDEX(PP_Grid[#Data],$DD411,48),0)</f>
        <v/>
      </c>
      <c r="AY411">
        <f>IFERROR(INDEX(PP_Grid[#Data],$DD411,49),0)</f>
        <v/>
      </c>
      <c r="AZ411">
        <f>IFERROR(INDEX(PP_Grid[#Data],$DD411,50),0)</f>
        <v/>
      </c>
      <c r="BA411">
        <f>IFERROR(INDEX(PP_Grid[#Data],$DD411,51),0)</f>
        <v/>
      </c>
      <c r="BB411">
        <f>IFERROR(INDEX(PP_Grid[#Data],$DD411,52),0)</f>
        <v/>
      </c>
      <c r="BC411">
        <f>IFERROR(INDEX(PP_Grid[#Data],$DD411,53),0)</f>
        <v/>
      </c>
      <c r="BD411">
        <f>IFERROR(INDEX(PP_Grid[#Data],$DD411,54),0)</f>
        <v/>
      </c>
      <c r="BE411">
        <f>IFERROR(INDEX(PP_Grid[#Data],$DD411,55),0)</f>
        <v/>
      </c>
      <c r="BF411">
        <f>IFERROR(INDEX(PP_Grid[#Data],$DD411,56),0)</f>
        <v/>
      </c>
      <c r="BG411">
        <f>IFERROR(INDEX(PP_Grid[#Data],$DD411,57),0)</f>
        <v/>
      </c>
      <c r="BH411">
        <f>IFERROR(INDEX(PP_Grid[#Data],$DD411,58),0)</f>
        <v/>
      </c>
      <c r="BI411">
        <f>IFERROR(INDEX(PP_Grid[#Data],$DD411,59),0)</f>
        <v/>
      </c>
      <c r="BJ411">
        <f>IFERROR(INDEX(PP_Grid[#Data],$DD411,60),0)</f>
        <v/>
      </c>
      <c r="BK411">
        <f>IFERROR(INDEX(PP_Grid[#Data],$DD411,61),0)</f>
        <v/>
      </c>
      <c r="BL411">
        <f>IFERROR(INDEX(PP_Grid[#Data],$DD411,62),0)</f>
        <v/>
      </c>
      <c r="BM411">
        <f>IFERROR(INDEX(PP_Grid[#Data],$DD411,63),0)</f>
        <v/>
      </c>
      <c r="BN411">
        <f>IFERROR(INDEX(PP_Grid[#Data],$DD411,64),0)</f>
        <v/>
      </c>
      <c r="BO411">
        <f>IFERROR(INDEX(PP_Grid[#Data],$DD411,65),0)</f>
        <v/>
      </c>
      <c r="BP411">
        <f>IFERROR(INDEX(PP_Grid[#Data],$DD411,66),0)</f>
        <v/>
      </c>
      <c r="BQ411">
        <f>IFERROR(INDEX(PP_Grid[#Data],$DD411,67),0)</f>
        <v/>
      </c>
      <c r="BR411">
        <f>IFERROR(INDEX(PP_Grid[#Data],$DD411,68),0)</f>
        <v/>
      </c>
      <c r="BS411">
        <f>IFERROR(INDEX(PP_Grid[#Data],$DD411,69),0)</f>
        <v/>
      </c>
      <c r="BT411">
        <f>IFERROR(INDEX(PP_Grid[#Data],$DD411,70),0)</f>
        <v/>
      </c>
      <c r="BU411">
        <f>IFERROR(INDEX(PP_Grid[#Data],$DD411,71),0)</f>
        <v/>
      </c>
      <c r="BV411">
        <f>IFERROR(INDEX(PP_Grid[#Data],$DD411,72),0)</f>
        <v/>
      </c>
      <c r="BW411">
        <f>IFERROR(INDEX(PP_Grid[#Data],$DD411,73),0)</f>
        <v/>
      </c>
      <c r="BX411">
        <f>IFERROR(INDEX(PP_Grid[#Data],$DD411,74),0)</f>
        <v/>
      </c>
      <c r="BY411">
        <f>IFERROR(INDEX(PP_Grid[#Data],$DD411,75),0)</f>
        <v/>
      </c>
      <c r="BZ411">
        <f>IFERROR(INDEX(PP_Grid[#Data],$DD411,76),0)</f>
        <v/>
      </c>
      <c r="CA411">
        <f>IFERROR(INDEX(PP_Grid[#Data],$DD411,77),0)</f>
        <v/>
      </c>
      <c r="CB411">
        <f>IFERROR(INDEX(PP_Grid[#Data],$DD411,78),0)</f>
        <v/>
      </c>
      <c r="CC411">
        <f>IFERROR(INDEX(PP_Grid[#Data],$DD411,79),0)</f>
        <v/>
      </c>
      <c r="CD411">
        <f>IFERROR(INDEX(PP_Grid[#Data],$DD411,80),0)</f>
        <v/>
      </c>
      <c r="CE411">
        <f>IFERROR(INDEX(PP_Grid[#Data],$DD411,81),0)</f>
        <v/>
      </c>
      <c r="CF411">
        <f>IFERROR(INDEX(PP_Grid[#Data],$DD411,82),0)</f>
        <v/>
      </c>
      <c r="CG411">
        <f>IFERROR(INDEX(PP_Grid[#Data],$DD411,83),0)</f>
        <v/>
      </c>
      <c r="CH411">
        <f>IFERROR(INDEX(PP_Grid[#Data],$DD411,84),0)</f>
        <v/>
      </c>
      <c r="CI411">
        <f>IFERROR(INDEX(PP_Grid[#Data],$DD411,85),0)</f>
        <v/>
      </c>
      <c r="CJ411">
        <f>IFERROR(INDEX(PP_Grid[#Data],$DD411,86),0)</f>
        <v/>
      </c>
      <c r="CK411">
        <f>IFERROR(INDEX(PP_Grid[#Data],$DD411,87),0)</f>
        <v/>
      </c>
      <c r="CL411">
        <f>IFERROR(INDEX(PP_Grid[#Data],$DD411,88),0)</f>
        <v/>
      </c>
      <c r="CM411">
        <f>IFERROR(INDEX(PP_Grid[#Data],$DD411,89),0)</f>
        <v/>
      </c>
      <c r="CN411">
        <f>IFERROR(INDEX(PP_Grid[#Data],$DD411,90),0)</f>
        <v/>
      </c>
      <c r="CO411">
        <f>IFERROR(INDEX(PP_Grid[#Data],$DD411,91),0)</f>
        <v/>
      </c>
      <c r="CP411">
        <f>IFERROR(INDEX(PP_Grid[#Data],$DD411,92),0)</f>
        <v/>
      </c>
      <c r="CQ411">
        <f>IFERROR(INDEX(PP_Grid[#Data],$DD411,93),0)</f>
        <v/>
      </c>
      <c r="CR411">
        <f>IFERROR(INDEX(PP_Grid[#Data],$DD411,94),0)</f>
        <v/>
      </c>
      <c r="CS411">
        <f>IFERROR(INDEX(PP_Grid[#Data],$DD411,95),0)</f>
        <v/>
      </c>
      <c r="CT411">
        <f>IFERROR(INDEX(PP_Grid[#Data],$DD411,96),0)</f>
        <v/>
      </c>
      <c r="CU411">
        <f>IFERROR(INDEX(PP_Grid[#Data],$DD411,97),0)</f>
        <v/>
      </c>
      <c r="CV411">
        <f>IFERROR(INDEX(PP_Grid[#Data],$DD411,98),0)</f>
        <v/>
      </c>
      <c r="CW411">
        <f>IFERROR(INDEX(PP_Grid[#Data],$DD411,99),0)</f>
        <v/>
      </c>
      <c r="CX411">
        <f>IFERROR(INDEX(PP_Grid[#Data],$DD411,100),0)</f>
        <v/>
      </c>
      <c r="CY411">
        <f>IFERROR(INDEX(PP_Grid[#Data],$DD411,101),0)</f>
        <v/>
      </c>
      <c r="CZ411">
        <f>IFERROR(INDEX(PP_Grid[#Data],$DD411,102),0)</f>
        <v/>
      </c>
      <c r="DA411">
        <f>IFERROR(INDEX(PP_Grid[#Data],$DD411,103),0)</f>
        <v/>
      </c>
      <c r="DB411">
        <f>IFERROR(INDEX(PP_Grid[#Data],$DD411,104),0)</f>
        <v/>
      </c>
      <c r="DC411">
        <f>IFERROR(INDEX(PP_Grid[#Data],$DD411,105),0)</f>
        <v/>
      </c>
      <c r="DD411" s="12">
        <f>IFERROR(MATCH($B411,PP_Grid[Intermediate],0),99999)</f>
        <v/>
      </c>
    </row>
    <row r="412">
      <c r="B412" t="inlineStr">
        <is>
          <t>使用量(kg)</t>
        </is>
      </c>
      <c r="C412">
        <f>SUMIFS(M_BOM[RM_Qty_Per_Batch],M_BOM[Intermediate],$B411,M_BOM[Part Name],$A406)</f>
        <v/>
      </c>
      <c r="D412">
        <f>$C412*D411</f>
        <v/>
      </c>
      <c r="E412">
        <f>$C412*E411</f>
        <v/>
      </c>
      <c r="F412">
        <f>$C412*F411</f>
        <v/>
      </c>
      <c r="G412">
        <f>$C412*G411</f>
        <v/>
      </c>
      <c r="H412">
        <f>$C412*H411</f>
        <v/>
      </c>
      <c r="I412">
        <f>$C412*I411</f>
        <v/>
      </c>
      <c r="J412">
        <f>$C412*J411</f>
        <v/>
      </c>
      <c r="K412">
        <f>$C412*K411</f>
        <v/>
      </c>
      <c r="L412">
        <f>$C412*L411</f>
        <v/>
      </c>
      <c r="M412">
        <f>$C412*M411</f>
        <v/>
      </c>
      <c r="N412">
        <f>$C412*N411</f>
        <v/>
      </c>
      <c r="O412">
        <f>$C412*O411</f>
        <v/>
      </c>
      <c r="P412">
        <f>$C412*P411</f>
        <v/>
      </c>
      <c r="Q412">
        <f>$C412*Q411</f>
        <v/>
      </c>
      <c r="R412">
        <f>$C412*R411</f>
        <v/>
      </c>
      <c r="S412">
        <f>$C412*S411</f>
        <v/>
      </c>
      <c r="T412">
        <f>$C412*T411</f>
        <v/>
      </c>
      <c r="U412">
        <f>$C412*U411</f>
        <v/>
      </c>
      <c r="V412">
        <f>$C412*V411</f>
        <v/>
      </c>
      <c r="W412">
        <f>$C412*W411</f>
        <v/>
      </c>
      <c r="X412">
        <f>$C412*X411</f>
        <v/>
      </c>
      <c r="Y412">
        <f>$C412*Y411</f>
        <v/>
      </c>
      <c r="Z412">
        <f>$C412*Z411</f>
        <v/>
      </c>
      <c r="AA412">
        <f>$C412*AA411</f>
        <v/>
      </c>
      <c r="AB412">
        <f>$C412*AB411</f>
        <v/>
      </c>
      <c r="AC412">
        <f>$C412*AC411</f>
        <v/>
      </c>
      <c r="AD412">
        <f>$C412*AD411</f>
        <v/>
      </c>
      <c r="AE412">
        <f>$C412*AE411</f>
        <v/>
      </c>
      <c r="AF412">
        <f>$C412*AF411</f>
        <v/>
      </c>
      <c r="AG412">
        <f>$C412*AG411</f>
        <v/>
      </c>
      <c r="AH412">
        <f>$C412*AH411</f>
        <v/>
      </c>
      <c r="AI412">
        <f>$C412*AI411</f>
        <v/>
      </c>
      <c r="AJ412">
        <f>$C412*AJ411</f>
        <v/>
      </c>
      <c r="AK412">
        <f>$C412*AK411</f>
        <v/>
      </c>
      <c r="AL412">
        <f>$C412*AL411</f>
        <v/>
      </c>
      <c r="AM412">
        <f>$C412*AM411</f>
        <v/>
      </c>
      <c r="AN412">
        <f>$C412*AN411</f>
        <v/>
      </c>
      <c r="AO412">
        <f>$C412*AO411</f>
        <v/>
      </c>
      <c r="AP412">
        <f>$C412*AP411</f>
        <v/>
      </c>
      <c r="AQ412">
        <f>$C412*AQ411</f>
        <v/>
      </c>
      <c r="AR412">
        <f>$C412*AR411</f>
        <v/>
      </c>
      <c r="AS412">
        <f>$C412*AS411</f>
        <v/>
      </c>
      <c r="AT412">
        <f>$C412*AT411</f>
        <v/>
      </c>
      <c r="AU412">
        <f>$C412*AU411</f>
        <v/>
      </c>
      <c r="AV412">
        <f>$C412*AV411</f>
        <v/>
      </c>
      <c r="AW412">
        <f>$C412*AW411</f>
        <v/>
      </c>
      <c r="AX412">
        <f>$C412*AX411</f>
        <v/>
      </c>
      <c r="AY412">
        <f>$C412*AY411</f>
        <v/>
      </c>
      <c r="AZ412">
        <f>$C412*AZ411</f>
        <v/>
      </c>
      <c r="BA412">
        <f>$C412*BA411</f>
        <v/>
      </c>
      <c r="BB412">
        <f>$C412*BB411</f>
        <v/>
      </c>
      <c r="BC412">
        <f>$C412*BC411</f>
        <v/>
      </c>
      <c r="BD412">
        <f>$C412*BD411</f>
        <v/>
      </c>
      <c r="BE412">
        <f>$C412*BE411</f>
        <v/>
      </c>
      <c r="BF412">
        <f>$C412*BF411</f>
        <v/>
      </c>
      <c r="BG412">
        <f>$C412*BG411</f>
        <v/>
      </c>
      <c r="BH412">
        <f>$C412*BH411</f>
        <v/>
      </c>
      <c r="BI412">
        <f>$C412*BI411</f>
        <v/>
      </c>
      <c r="BJ412">
        <f>$C412*BJ411</f>
        <v/>
      </c>
      <c r="BK412">
        <f>$C412*BK411</f>
        <v/>
      </c>
      <c r="BL412">
        <f>$C412*BL411</f>
        <v/>
      </c>
      <c r="BM412">
        <f>$C412*BM411</f>
        <v/>
      </c>
      <c r="BN412">
        <f>$C412*BN411</f>
        <v/>
      </c>
      <c r="BO412">
        <f>$C412*BO411</f>
        <v/>
      </c>
      <c r="BP412">
        <f>$C412*BP411</f>
        <v/>
      </c>
      <c r="BQ412">
        <f>$C412*BQ411</f>
        <v/>
      </c>
      <c r="BR412">
        <f>$C412*BR411</f>
        <v/>
      </c>
      <c r="BS412">
        <f>$C412*BS411</f>
        <v/>
      </c>
      <c r="BT412">
        <f>$C412*BT411</f>
        <v/>
      </c>
      <c r="BU412">
        <f>$C412*BU411</f>
        <v/>
      </c>
      <c r="BV412">
        <f>$C412*BV411</f>
        <v/>
      </c>
      <c r="BW412">
        <f>$C412*BW411</f>
        <v/>
      </c>
      <c r="BX412">
        <f>$C412*BX411</f>
        <v/>
      </c>
      <c r="BY412">
        <f>$C412*BY411</f>
        <v/>
      </c>
      <c r="BZ412">
        <f>$C412*BZ411</f>
        <v/>
      </c>
      <c r="CA412">
        <f>$C412*CA411</f>
        <v/>
      </c>
      <c r="CB412">
        <f>$C412*CB411</f>
        <v/>
      </c>
      <c r="CC412">
        <f>$C412*CC411</f>
        <v/>
      </c>
      <c r="CD412">
        <f>$C412*CD411</f>
        <v/>
      </c>
      <c r="CE412">
        <f>$C412*CE411</f>
        <v/>
      </c>
      <c r="CF412">
        <f>$C412*CF411</f>
        <v/>
      </c>
      <c r="CG412">
        <f>$C412*CG411</f>
        <v/>
      </c>
      <c r="CH412">
        <f>$C412*CH411</f>
        <v/>
      </c>
      <c r="CI412">
        <f>$C412*CI411</f>
        <v/>
      </c>
      <c r="CJ412">
        <f>$C412*CJ411</f>
        <v/>
      </c>
      <c r="CK412">
        <f>$C412*CK411</f>
        <v/>
      </c>
      <c r="CL412">
        <f>$C412*CL411</f>
        <v/>
      </c>
      <c r="CM412">
        <f>$C412*CM411</f>
        <v/>
      </c>
      <c r="CN412">
        <f>$C412*CN411</f>
        <v/>
      </c>
      <c r="CO412">
        <f>$C412*CO411</f>
        <v/>
      </c>
      <c r="CP412">
        <f>$C412*CP411</f>
        <v/>
      </c>
      <c r="CQ412">
        <f>$C412*CQ411</f>
        <v/>
      </c>
      <c r="CR412">
        <f>$C412*CR411</f>
        <v/>
      </c>
      <c r="CS412">
        <f>$C412*CS411</f>
        <v/>
      </c>
      <c r="CT412">
        <f>$C412*CT411</f>
        <v/>
      </c>
      <c r="CU412">
        <f>$C412*CU411</f>
        <v/>
      </c>
      <c r="CV412">
        <f>$C412*CV411</f>
        <v/>
      </c>
      <c r="CW412">
        <f>$C412*CW411</f>
        <v/>
      </c>
      <c r="CX412">
        <f>$C412*CX411</f>
        <v/>
      </c>
      <c r="CY412">
        <f>$C412*CY411</f>
        <v/>
      </c>
      <c r="CZ412">
        <f>$C412*CZ411</f>
        <v/>
      </c>
      <c r="DA412">
        <f>$C412*DA411</f>
        <v/>
      </c>
      <c r="DB412">
        <f>$C412*DB411</f>
        <v/>
      </c>
      <c r="DC412">
        <f>$C412*DC411</f>
        <v/>
      </c>
    </row>
    <row r="413">
      <c r="B413" t="inlineStr">
        <is>
          <t>TSP-104</t>
        </is>
      </c>
      <c r="C413" t="inlineStr">
        <is>
          <t>No. of batches</t>
        </is>
      </c>
      <c r="D413">
        <f>IFERROR(INDEX(PP_Grid[#Data],$DD413,2),0)</f>
        <v/>
      </c>
      <c r="E413">
        <f>IFERROR(INDEX(PP_Grid[#Data],$DD413,3),0)</f>
        <v/>
      </c>
      <c r="F413">
        <f>IFERROR(INDEX(PP_Grid[#Data],$DD413,4),0)</f>
        <v/>
      </c>
      <c r="G413">
        <f>IFERROR(INDEX(PP_Grid[#Data],$DD413,5),0)</f>
        <v/>
      </c>
      <c r="H413">
        <f>IFERROR(INDEX(PP_Grid[#Data],$DD413,6),0)</f>
        <v/>
      </c>
      <c r="I413">
        <f>IFERROR(INDEX(PP_Grid[#Data],$DD413,7),0)</f>
        <v/>
      </c>
      <c r="J413">
        <f>IFERROR(INDEX(PP_Grid[#Data],$DD413,8),0)</f>
        <v/>
      </c>
      <c r="K413">
        <f>IFERROR(INDEX(PP_Grid[#Data],$DD413,9),0)</f>
        <v/>
      </c>
      <c r="L413">
        <f>IFERROR(INDEX(PP_Grid[#Data],$DD413,10),0)</f>
        <v/>
      </c>
      <c r="M413">
        <f>IFERROR(INDEX(PP_Grid[#Data],$DD413,11),0)</f>
        <v/>
      </c>
      <c r="N413">
        <f>IFERROR(INDEX(PP_Grid[#Data],$DD413,12),0)</f>
        <v/>
      </c>
      <c r="O413">
        <f>IFERROR(INDEX(PP_Grid[#Data],$DD413,13),0)</f>
        <v/>
      </c>
      <c r="P413">
        <f>IFERROR(INDEX(PP_Grid[#Data],$DD413,14),0)</f>
        <v/>
      </c>
      <c r="Q413">
        <f>IFERROR(INDEX(PP_Grid[#Data],$DD413,15),0)</f>
        <v/>
      </c>
      <c r="R413">
        <f>IFERROR(INDEX(PP_Grid[#Data],$DD413,16),0)</f>
        <v/>
      </c>
      <c r="S413">
        <f>IFERROR(INDEX(PP_Grid[#Data],$DD413,17),0)</f>
        <v/>
      </c>
      <c r="T413">
        <f>IFERROR(INDEX(PP_Grid[#Data],$DD413,18),0)</f>
        <v/>
      </c>
      <c r="U413">
        <f>IFERROR(INDEX(PP_Grid[#Data],$DD413,19),0)</f>
        <v/>
      </c>
      <c r="V413">
        <f>IFERROR(INDEX(PP_Grid[#Data],$DD413,20),0)</f>
        <v/>
      </c>
      <c r="W413">
        <f>IFERROR(INDEX(PP_Grid[#Data],$DD413,21),0)</f>
        <v/>
      </c>
      <c r="X413">
        <f>IFERROR(INDEX(PP_Grid[#Data],$DD413,22),0)</f>
        <v/>
      </c>
      <c r="Y413">
        <f>IFERROR(INDEX(PP_Grid[#Data],$DD413,23),0)</f>
        <v/>
      </c>
      <c r="Z413">
        <f>IFERROR(INDEX(PP_Grid[#Data],$DD413,24),0)</f>
        <v/>
      </c>
      <c r="AA413">
        <f>IFERROR(INDEX(PP_Grid[#Data],$DD413,25),0)</f>
        <v/>
      </c>
      <c r="AB413">
        <f>IFERROR(INDEX(PP_Grid[#Data],$DD413,26),0)</f>
        <v/>
      </c>
      <c r="AC413">
        <f>IFERROR(INDEX(PP_Grid[#Data],$DD413,27),0)</f>
        <v/>
      </c>
      <c r="AD413">
        <f>IFERROR(INDEX(PP_Grid[#Data],$DD413,28),0)</f>
        <v/>
      </c>
      <c r="AE413">
        <f>IFERROR(INDEX(PP_Grid[#Data],$DD413,29),0)</f>
        <v/>
      </c>
      <c r="AF413">
        <f>IFERROR(INDEX(PP_Grid[#Data],$DD413,30),0)</f>
        <v/>
      </c>
      <c r="AG413">
        <f>IFERROR(INDEX(PP_Grid[#Data],$DD413,31),0)</f>
        <v/>
      </c>
      <c r="AH413">
        <f>IFERROR(INDEX(PP_Grid[#Data],$DD413,32),0)</f>
        <v/>
      </c>
      <c r="AI413">
        <f>IFERROR(INDEX(PP_Grid[#Data],$DD413,33),0)</f>
        <v/>
      </c>
      <c r="AJ413">
        <f>IFERROR(INDEX(PP_Grid[#Data],$DD413,34),0)</f>
        <v/>
      </c>
      <c r="AK413">
        <f>IFERROR(INDEX(PP_Grid[#Data],$DD413,35),0)</f>
        <v/>
      </c>
      <c r="AL413">
        <f>IFERROR(INDEX(PP_Grid[#Data],$DD413,36),0)</f>
        <v/>
      </c>
      <c r="AM413">
        <f>IFERROR(INDEX(PP_Grid[#Data],$DD413,37),0)</f>
        <v/>
      </c>
      <c r="AN413">
        <f>IFERROR(INDEX(PP_Grid[#Data],$DD413,38),0)</f>
        <v/>
      </c>
      <c r="AO413">
        <f>IFERROR(INDEX(PP_Grid[#Data],$DD413,39),0)</f>
        <v/>
      </c>
      <c r="AP413">
        <f>IFERROR(INDEX(PP_Grid[#Data],$DD413,40),0)</f>
        <v/>
      </c>
      <c r="AQ413">
        <f>IFERROR(INDEX(PP_Grid[#Data],$DD413,41),0)</f>
        <v/>
      </c>
      <c r="AR413">
        <f>IFERROR(INDEX(PP_Grid[#Data],$DD413,42),0)</f>
        <v/>
      </c>
      <c r="AS413">
        <f>IFERROR(INDEX(PP_Grid[#Data],$DD413,43),0)</f>
        <v/>
      </c>
      <c r="AT413">
        <f>IFERROR(INDEX(PP_Grid[#Data],$DD413,44),0)</f>
        <v/>
      </c>
      <c r="AU413">
        <f>IFERROR(INDEX(PP_Grid[#Data],$DD413,45),0)</f>
        <v/>
      </c>
      <c r="AV413">
        <f>IFERROR(INDEX(PP_Grid[#Data],$DD413,46),0)</f>
        <v/>
      </c>
      <c r="AW413">
        <f>IFERROR(INDEX(PP_Grid[#Data],$DD413,47),0)</f>
        <v/>
      </c>
      <c r="AX413">
        <f>IFERROR(INDEX(PP_Grid[#Data],$DD413,48),0)</f>
        <v/>
      </c>
      <c r="AY413">
        <f>IFERROR(INDEX(PP_Grid[#Data],$DD413,49),0)</f>
        <v/>
      </c>
      <c r="AZ413">
        <f>IFERROR(INDEX(PP_Grid[#Data],$DD413,50),0)</f>
        <v/>
      </c>
      <c r="BA413">
        <f>IFERROR(INDEX(PP_Grid[#Data],$DD413,51),0)</f>
        <v/>
      </c>
      <c r="BB413">
        <f>IFERROR(INDEX(PP_Grid[#Data],$DD413,52),0)</f>
        <v/>
      </c>
      <c r="BC413">
        <f>IFERROR(INDEX(PP_Grid[#Data],$DD413,53),0)</f>
        <v/>
      </c>
      <c r="BD413">
        <f>IFERROR(INDEX(PP_Grid[#Data],$DD413,54),0)</f>
        <v/>
      </c>
      <c r="BE413">
        <f>IFERROR(INDEX(PP_Grid[#Data],$DD413,55),0)</f>
        <v/>
      </c>
      <c r="BF413">
        <f>IFERROR(INDEX(PP_Grid[#Data],$DD413,56),0)</f>
        <v/>
      </c>
      <c r="BG413">
        <f>IFERROR(INDEX(PP_Grid[#Data],$DD413,57),0)</f>
        <v/>
      </c>
      <c r="BH413">
        <f>IFERROR(INDEX(PP_Grid[#Data],$DD413,58),0)</f>
        <v/>
      </c>
      <c r="BI413">
        <f>IFERROR(INDEX(PP_Grid[#Data],$DD413,59),0)</f>
        <v/>
      </c>
      <c r="BJ413">
        <f>IFERROR(INDEX(PP_Grid[#Data],$DD413,60),0)</f>
        <v/>
      </c>
      <c r="BK413">
        <f>IFERROR(INDEX(PP_Grid[#Data],$DD413,61),0)</f>
        <v/>
      </c>
      <c r="BL413">
        <f>IFERROR(INDEX(PP_Grid[#Data],$DD413,62),0)</f>
        <v/>
      </c>
      <c r="BM413">
        <f>IFERROR(INDEX(PP_Grid[#Data],$DD413,63),0)</f>
        <v/>
      </c>
      <c r="BN413">
        <f>IFERROR(INDEX(PP_Grid[#Data],$DD413,64),0)</f>
        <v/>
      </c>
      <c r="BO413">
        <f>IFERROR(INDEX(PP_Grid[#Data],$DD413,65),0)</f>
        <v/>
      </c>
      <c r="BP413">
        <f>IFERROR(INDEX(PP_Grid[#Data],$DD413,66),0)</f>
        <v/>
      </c>
      <c r="BQ413">
        <f>IFERROR(INDEX(PP_Grid[#Data],$DD413,67),0)</f>
        <v/>
      </c>
      <c r="BR413">
        <f>IFERROR(INDEX(PP_Grid[#Data],$DD413,68),0)</f>
        <v/>
      </c>
      <c r="BS413">
        <f>IFERROR(INDEX(PP_Grid[#Data],$DD413,69),0)</f>
        <v/>
      </c>
      <c r="BT413">
        <f>IFERROR(INDEX(PP_Grid[#Data],$DD413,70),0)</f>
        <v/>
      </c>
      <c r="BU413">
        <f>IFERROR(INDEX(PP_Grid[#Data],$DD413,71),0)</f>
        <v/>
      </c>
      <c r="BV413">
        <f>IFERROR(INDEX(PP_Grid[#Data],$DD413,72),0)</f>
        <v/>
      </c>
      <c r="BW413">
        <f>IFERROR(INDEX(PP_Grid[#Data],$DD413,73),0)</f>
        <v/>
      </c>
      <c r="BX413">
        <f>IFERROR(INDEX(PP_Grid[#Data],$DD413,74),0)</f>
        <v/>
      </c>
      <c r="BY413">
        <f>IFERROR(INDEX(PP_Grid[#Data],$DD413,75),0)</f>
        <v/>
      </c>
      <c r="BZ413">
        <f>IFERROR(INDEX(PP_Grid[#Data],$DD413,76),0)</f>
        <v/>
      </c>
      <c r="CA413">
        <f>IFERROR(INDEX(PP_Grid[#Data],$DD413,77),0)</f>
        <v/>
      </c>
      <c r="CB413">
        <f>IFERROR(INDEX(PP_Grid[#Data],$DD413,78),0)</f>
        <v/>
      </c>
      <c r="CC413">
        <f>IFERROR(INDEX(PP_Grid[#Data],$DD413,79),0)</f>
        <v/>
      </c>
      <c r="CD413">
        <f>IFERROR(INDEX(PP_Grid[#Data],$DD413,80),0)</f>
        <v/>
      </c>
      <c r="CE413">
        <f>IFERROR(INDEX(PP_Grid[#Data],$DD413,81),0)</f>
        <v/>
      </c>
      <c r="CF413">
        <f>IFERROR(INDEX(PP_Grid[#Data],$DD413,82),0)</f>
        <v/>
      </c>
      <c r="CG413">
        <f>IFERROR(INDEX(PP_Grid[#Data],$DD413,83),0)</f>
        <v/>
      </c>
      <c r="CH413">
        <f>IFERROR(INDEX(PP_Grid[#Data],$DD413,84),0)</f>
        <v/>
      </c>
      <c r="CI413">
        <f>IFERROR(INDEX(PP_Grid[#Data],$DD413,85),0)</f>
        <v/>
      </c>
      <c r="CJ413">
        <f>IFERROR(INDEX(PP_Grid[#Data],$DD413,86),0)</f>
        <v/>
      </c>
      <c r="CK413">
        <f>IFERROR(INDEX(PP_Grid[#Data],$DD413,87),0)</f>
        <v/>
      </c>
      <c r="CL413">
        <f>IFERROR(INDEX(PP_Grid[#Data],$DD413,88),0)</f>
        <v/>
      </c>
      <c r="CM413">
        <f>IFERROR(INDEX(PP_Grid[#Data],$DD413,89),0)</f>
        <v/>
      </c>
      <c r="CN413">
        <f>IFERROR(INDEX(PP_Grid[#Data],$DD413,90),0)</f>
        <v/>
      </c>
      <c r="CO413">
        <f>IFERROR(INDEX(PP_Grid[#Data],$DD413,91),0)</f>
        <v/>
      </c>
      <c r="CP413">
        <f>IFERROR(INDEX(PP_Grid[#Data],$DD413,92),0)</f>
        <v/>
      </c>
      <c r="CQ413">
        <f>IFERROR(INDEX(PP_Grid[#Data],$DD413,93),0)</f>
        <v/>
      </c>
      <c r="CR413">
        <f>IFERROR(INDEX(PP_Grid[#Data],$DD413,94),0)</f>
        <v/>
      </c>
      <c r="CS413">
        <f>IFERROR(INDEX(PP_Grid[#Data],$DD413,95),0)</f>
        <v/>
      </c>
      <c r="CT413">
        <f>IFERROR(INDEX(PP_Grid[#Data],$DD413,96),0)</f>
        <v/>
      </c>
      <c r="CU413">
        <f>IFERROR(INDEX(PP_Grid[#Data],$DD413,97),0)</f>
        <v/>
      </c>
      <c r="CV413">
        <f>IFERROR(INDEX(PP_Grid[#Data],$DD413,98),0)</f>
        <v/>
      </c>
      <c r="CW413">
        <f>IFERROR(INDEX(PP_Grid[#Data],$DD413,99),0)</f>
        <v/>
      </c>
      <c r="CX413">
        <f>IFERROR(INDEX(PP_Grid[#Data],$DD413,100),0)</f>
        <v/>
      </c>
      <c r="CY413">
        <f>IFERROR(INDEX(PP_Grid[#Data],$DD413,101),0)</f>
        <v/>
      </c>
      <c r="CZ413">
        <f>IFERROR(INDEX(PP_Grid[#Data],$DD413,102),0)</f>
        <v/>
      </c>
      <c r="DA413">
        <f>IFERROR(INDEX(PP_Grid[#Data],$DD413,103),0)</f>
        <v/>
      </c>
      <c r="DB413">
        <f>IFERROR(INDEX(PP_Grid[#Data],$DD413,104),0)</f>
        <v/>
      </c>
      <c r="DC413">
        <f>IFERROR(INDEX(PP_Grid[#Data],$DD413,105),0)</f>
        <v/>
      </c>
      <c r="DD413" s="12">
        <f>IFERROR(MATCH($B413,PP_Grid[Intermediate],0),99999)</f>
        <v/>
      </c>
    </row>
    <row r="414">
      <c r="B414" t="inlineStr">
        <is>
          <t>使用量(kg)</t>
        </is>
      </c>
      <c r="C414">
        <f>SUMIFS(M_BOM[RM_Qty_Per_Batch],M_BOM[Intermediate],$B413,M_BOM[Part Name],$A406)</f>
        <v/>
      </c>
      <c r="D414">
        <f>$C414*D413</f>
        <v/>
      </c>
      <c r="E414">
        <f>$C414*E413</f>
        <v/>
      </c>
      <c r="F414">
        <f>$C414*F413</f>
        <v/>
      </c>
      <c r="G414">
        <f>$C414*G413</f>
        <v/>
      </c>
      <c r="H414">
        <f>$C414*H413</f>
        <v/>
      </c>
      <c r="I414">
        <f>$C414*I413</f>
        <v/>
      </c>
      <c r="J414">
        <f>$C414*J413</f>
        <v/>
      </c>
      <c r="K414">
        <f>$C414*K413</f>
        <v/>
      </c>
      <c r="L414">
        <f>$C414*L413</f>
        <v/>
      </c>
      <c r="M414">
        <f>$C414*M413</f>
        <v/>
      </c>
      <c r="N414">
        <f>$C414*N413</f>
        <v/>
      </c>
      <c r="O414">
        <f>$C414*O413</f>
        <v/>
      </c>
      <c r="P414">
        <f>$C414*P413</f>
        <v/>
      </c>
      <c r="Q414">
        <f>$C414*Q413</f>
        <v/>
      </c>
      <c r="R414">
        <f>$C414*R413</f>
        <v/>
      </c>
      <c r="S414">
        <f>$C414*S413</f>
        <v/>
      </c>
      <c r="T414">
        <f>$C414*T413</f>
        <v/>
      </c>
      <c r="U414">
        <f>$C414*U413</f>
        <v/>
      </c>
      <c r="V414">
        <f>$C414*V413</f>
        <v/>
      </c>
      <c r="W414">
        <f>$C414*W413</f>
        <v/>
      </c>
      <c r="X414">
        <f>$C414*X413</f>
        <v/>
      </c>
      <c r="Y414">
        <f>$C414*Y413</f>
        <v/>
      </c>
      <c r="Z414">
        <f>$C414*Z413</f>
        <v/>
      </c>
      <c r="AA414">
        <f>$C414*AA413</f>
        <v/>
      </c>
      <c r="AB414">
        <f>$C414*AB413</f>
        <v/>
      </c>
      <c r="AC414">
        <f>$C414*AC413</f>
        <v/>
      </c>
      <c r="AD414">
        <f>$C414*AD413</f>
        <v/>
      </c>
      <c r="AE414">
        <f>$C414*AE413</f>
        <v/>
      </c>
      <c r="AF414">
        <f>$C414*AF413</f>
        <v/>
      </c>
      <c r="AG414">
        <f>$C414*AG413</f>
        <v/>
      </c>
      <c r="AH414">
        <f>$C414*AH413</f>
        <v/>
      </c>
      <c r="AI414">
        <f>$C414*AI413</f>
        <v/>
      </c>
      <c r="AJ414">
        <f>$C414*AJ413</f>
        <v/>
      </c>
      <c r="AK414">
        <f>$C414*AK413</f>
        <v/>
      </c>
      <c r="AL414">
        <f>$C414*AL413</f>
        <v/>
      </c>
      <c r="AM414">
        <f>$C414*AM413</f>
        <v/>
      </c>
      <c r="AN414">
        <f>$C414*AN413</f>
        <v/>
      </c>
      <c r="AO414">
        <f>$C414*AO413</f>
        <v/>
      </c>
      <c r="AP414">
        <f>$C414*AP413</f>
        <v/>
      </c>
      <c r="AQ414">
        <f>$C414*AQ413</f>
        <v/>
      </c>
      <c r="AR414">
        <f>$C414*AR413</f>
        <v/>
      </c>
      <c r="AS414">
        <f>$C414*AS413</f>
        <v/>
      </c>
      <c r="AT414">
        <f>$C414*AT413</f>
        <v/>
      </c>
      <c r="AU414">
        <f>$C414*AU413</f>
        <v/>
      </c>
      <c r="AV414">
        <f>$C414*AV413</f>
        <v/>
      </c>
      <c r="AW414">
        <f>$C414*AW413</f>
        <v/>
      </c>
      <c r="AX414">
        <f>$C414*AX413</f>
        <v/>
      </c>
      <c r="AY414">
        <f>$C414*AY413</f>
        <v/>
      </c>
      <c r="AZ414">
        <f>$C414*AZ413</f>
        <v/>
      </c>
      <c r="BA414">
        <f>$C414*BA413</f>
        <v/>
      </c>
      <c r="BB414">
        <f>$C414*BB413</f>
        <v/>
      </c>
      <c r="BC414">
        <f>$C414*BC413</f>
        <v/>
      </c>
      <c r="BD414">
        <f>$C414*BD413</f>
        <v/>
      </c>
      <c r="BE414">
        <f>$C414*BE413</f>
        <v/>
      </c>
      <c r="BF414">
        <f>$C414*BF413</f>
        <v/>
      </c>
      <c r="BG414">
        <f>$C414*BG413</f>
        <v/>
      </c>
      <c r="BH414">
        <f>$C414*BH413</f>
        <v/>
      </c>
      <c r="BI414">
        <f>$C414*BI413</f>
        <v/>
      </c>
      <c r="BJ414">
        <f>$C414*BJ413</f>
        <v/>
      </c>
      <c r="BK414">
        <f>$C414*BK413</f>
        <v/>
      </c>
      <c r="BL414">
        <f>$C414*BL413</f>
        <v/>
      </c>
      <c r="BM414">
        <f>$C414*BM413</f>
        <v/>
      </c>
      <c r="BN414">
        <f>$C414*BN413</f>
        <v/>
      </c>
      <c r="BO414">
        <f>$C414*BO413</f>
        <v/>
      </c>
      <c r="BP414">
        <f>$C414*BP413</f>
        <v/>
      </c>
      <c r="BQ414">
        <f>$C414*BQ413</f>
        <v/>
      </c>
      <c r="BR414">
        <f>$C414*BR413</f>
        <v/>
      </c>
      <c r="BS414">
        <f>$C414*BS413</f>
        <v/>
      </c>
      <c r="BT414">
        <f>$C414*BT413</f>
        <v/>
      </c>
      <c r="BU414">
        <f>$C414*BU413</f>
        <v/>
      </c>
      <c r="BV414">
        <f>$C414*BV413</f>
        <v/>
      </c>
      <c r="BW414">
        <f>$C414*BW413</f>
        <v/>
      </c>
      <c r="BX414">
        <f>$C414*BX413</f>
        <v/>
      </c>
      <c r="BY414">
        <f>$C414*BY413</f>
        <v/>
      </c>
      <c r="BZ414">
        <f>$C414*BZ413</f>
        <v/>
      </c>
      <c r="CA414">
        <f>$C414*CA413</f>
        <v/>
      </c>
      <c r="CB414">
        <f>$C414*CB413</f>
        <v/>
      </c>
      <c r="CC414">
        <f>$C414*CC413</f>
        <v/>
      </c>
      <c r="CD414">
        <f>$C414*CD413</f>
        <v/>
      </c>
      <c r="CE414">
        <f>$C414*CE413</f>
        <v/>
      </c>
      <c r="CF414">
        <f>$C414*CF413</f>
        <v/>
      </c>
      <c r="CG414">
        <f>$C414*CG413</f>
        <v/>
      </c>
      <c r="CH414">
        <f>$C414*CH413</f>
        <v/>
      </c>
      <c r="CI414">
        <f>$C414*CI413</f>
        <v/>
      </c>
      <c r="CJ414">
        <f>$C414*CJ413</f>
        <v/>
      </c>
      <c r="CK414">
        <f>$C414*CK413</f>
        <v/>
      </c>
      <c r="CL414">
        <f>$C414*CL413</f>
        <v/>
      </c>
      <c r="CM414">
        <f>$C414*CM413</f>
        <v/>
      </c>
      <c r="CN414">
        <f>$C414*CN413</f>
        <v/>
      </c>
      <c r="CO414">
        <f>$C414*CO413</f>
        <v/>
      </c>
      <c r="CP414">
        <f>$C414*CP413</f>
        <v/>
      </c>
      <c r="CQ414">
        <f>$C414*CQ413</f>
        <v/>
      </c>
      <c r="CR414">
        <f>$C414*CR413</f>
        <v/>
      </c>
      <c r="CS414">
        <f>$C414*CS413</f>
        <v/>
      </c>
      <c r="CT414">
        <f>$C414*CT413</f>
        <v/>
      </c>
      <c r="CU414">
        <f>$C414*CU413</f>
        <v/>
      </c>
      <c r="CV414">
        <f>$C414*CV413</f>
        <v/>
      </c>
      <c r="CW414">
        <f>$C414*CW413</f>
        <v/>
      </c>
      <c r="CX414">
        <f>$C414*CX413</f>
        <v/>
      </c>
      <c r="CY414">
        <f>$C414*CY413</f>
        <v/>
      </c>
      <c r="CZ414">
        <f>$C414*CZ413</f>
        <v/>
      </c>
      <c r="DA414">
        <f>$C414*DA413</f>
        <v/>
      </c>
      <c r="DB414">
        <f>$C414*DB413</f>
        <v/>
      </c>
      <c r="DC414">
        <f>$C414*DC413</f>
        <v/>
      </c>
    </row>
    <row r="415">
      <c r="B415" t="inlineStr">
        <is>
          <t>TSP-1388</t>
        </is>
      </c>
      <c r="C415" t="inlineStr">
        <is>
          <t>No. of batches</t>
        </is>
      </c>
      <c r="D415">
        <f>IFERROR(INDEX(PP_Grid[#Data],$DD415,2),0)</f>
        <v/>
      </c>
      <c r="E415">
        <f>IFERROR(INDEX(PP_Grid[#Data],$DD415,3),0)</f>
        <v/>
      </c>
      <c r="F415">
        <f>IFERROR(INDEX(PP_Grid[#Data],$DD415,4),0)</f>
        <v/>
      </c>
      <c r="G415">
        <f>IFERROR(INDEX(PP_Grid[#Data],$DD415,5),0)</f>
        <v/>
      </c>
      <c r="H415">
        <f>IFERROR(INDEX(PP_Grid[#Data],$DD415,6),0)</f>
        <v/>
      </c>
      <c r="I415">
        <f>IFERROR(INDEX(PP_Grid[#Data],$DD415,7),0)</f>
        <v/>
      </c>
      <c r="J415">
        <f>IFERROR(INDEX(PP_Grid[#Data],$DD415,8),0)</f>
        <v/>
      </c>
      <c r="K415">
        <f>IFERROR(INDEX(PP_Grid[#Data],$DD415,9),0)</f>
        <v/>
      </c>
      <c r="L415">
        <f>IFERROR(INDEX(PP_Grid[#Data],$DD415,10),0)</f>
        <v/>
      </c>
      <c r="M415">
        <f>IFERROR(INDEX(PP_Grid[#Data],$DD415,11),0)</f>
        <v/>
      </c>
      <c r="N415">
        <f>IFERROR(INDEX(PP_Grid[#Data],$DD415,12),0)</f>
        <v/>
      </c>
      <c r="O415">
        <f>IFERROR(INDEX(PP_Grid[#Data],$DD415,13),0)</f>
        <v/>
      </c>
      <c r="P415">
        <f>IFERROR(INDEX(PP_Grid[#Data],$DD415,14),0)</f>
        <v/>
      </c>
      <c r="Q415">
        <f>IFERROR(INDEX(PP_Grid[#Data],$DD415,15),0)</f>
        <v/>
      </c>
      <c r="R415">
        <f>IFERROR(INDEX(PP_Grid[#Data],$DD415,16),0)</f>
        <v/>
      </c>
      <c r="S415">
        <f>IFERROR(INDEX(PP_Grid[#Data],$DD415,17),0)</f>
        <v/>
      </c>
      <c r="T415">
        <f>IFERROR(INDEX(PP_Grid[#Data],$DD415,18),0)</f>
        <v/>
      </c>
      <c r="U415">
        <f>IFERROR(INDEX(PP_Grid[#Data],$DD415,19),0)</f>
        <v/>
      </c>
      <c r="V415">
        <f>IFERROR(INDEX(PP_Grid[#Data],$DD415,20),0)</f>
        <v/>
      </c>
      <c r="W415">
        <f>IFERROR(INDEX(PP_Grid[#Data],$DD415,21),0)</f>
        <v/>
      </c>
      <c r="X415">
        <f>IFERROR(INDEX(PP_Grid[#Data],$DD415,22),0)</f>
        <v/>
      </c>
      <c r="Y415">
        <f>IFERROR(INDEX(PP_Grid[#Data],$DD415,23),0)</f>
        <v/>
      </c>
      <c r="Z415">
        <f>IFERROR(INDEX(PP_Grid[#Data],$DD415,24),0)</f>
        <v/>
      </c>
      <c r="AA415">
        <f>IFERROR(INDEX(PP_Grid[#Data],$DD415,25),0)</f>
        <v/>
      </c>
      <c r="AB415">
        <f>IFERROR(INDEX(PP_Grid[#Data],$DD415,26),0)</f>
        <v/>
      </c>
      <c r="AC415">
        <f>IFERROR(INDEX(PP_Grid[#Data],$DD415,27),0)</f>
        <v/>
      </c>
      <c r="AD415">
        <f>IFERROR(INDEX(PP_Grid[#Data],$DD415,28),0)</f>
        <v/>
      </c>
      <c r="AE415">
        <f>IFERROR(INDEX(PP_Grid[#Data],$DD415,29),0)</f>
        <v/>
      </c>
      <c r="AF415">
        <f>IFERROR(INDEX(PP_Grid[#Data],$DD415,30),0)</f>
        <v/>
      </c>
      <c r="AG415">
        <f>IFERROR(INDEX(PP_Grid[#Data],$DD415,31),0)</f>
        <v/>
      </c>
      <c r="AH415">
        <f>IFERROR(INDEX(PP_Grid[#Data],$DD415,32),0)</f>
        <v/>
      </c>
      <c r="AI415">
        <f>IFERROR(INDEX(PP_Grid[#Data],$DD415,33),0)</f>
        <v/>
      </c>
      <c r="AJ415">
        <f>IFERROR(INDEX(PP_Grid[#Data],$DD415,34),0)</f>
        <v/>
      </c>
      <c r="AK415">
        <f>IFERROR(INDEX(PP_Grid[#Data],$DD415,35),0)</f>
        <v/>
      </c>
      <c r="AL415">
        <f>IFERROR(INDEX(PP_Grid[#Data],$DD415,36),0)</f>
        <v/>
      </c>
      <c r="AM415">
        <f>IFERROR(INDEX(PP_Grid[#Data],$DD415,37),0)</f>
        <v/>
      </c>
      <c r="AN415">
        <f>IFERROR(INDEX(PP_Grid[#Data],$DD415,38),0)</f>
        <v/>
      </c>
      <c r="AO415">
        <f>IFERROR(INDEX(PP_Grid[#Data],$DD415,39),0)</f>
        <v/>
      </c>
      <c r="AP415">
        <f>IFERROR(INDEX(PP_Grid[#Data],$DD415,40),0)</f>
        <v/>
      </c>
      <c r="AQ415">
        <f>IFERROR(INDEX(PP_Grid[#Data],$DD415,41),0)</f>
        <v/>
      </c>
      <c r="AR415">
        <f>IFERROR(INDEX(PP_Grid[#Data],$DD415,42),0)</f>
        <v/>
      </c>
      <c r="AS415">
        <f>IFERROR(INDEX(PP_Grid[#Data],$DD415,43),0)</f>
        <v/>
      </c>
      <c r="AT415">
        <f>IFERROR(INDEX(PP_Grid[#Data],$DD415,44),0)</f>
        <v/>
      </c>
      <c r="AU415">
        <f>IFERROR(INDEX(PP_Grid[#Data],$DD415,45),0)</f>
        <v/>
      </c>
      <c r="AV415">
        <f>IFERROR(INDEX(PP_Grid[#Data],$DD415,46),0)</f>
        <v/>
      </c>
      <c r="AW415">
        <f>IFERROR(INDEX(PP_Grid[#Data],$DD415,47),0)</f>
        <v/>
      </c>
      <c r="AX415">
        <f>IFERROR(INDEX(PP_Grid[#Data],$DD415,48),0)</f>
        <v/>
      </c>
      <c r="AY415">
        <f>IFERROR(INDEX(PP_Grid[#Data],$DD415,49),0)</f>
        <v/>
      </c>
      <c r="AZ415">
        <f>IFERROR(INDEX(PP_Grid[#Data],$DD415,50),0)</f>
        <v/>
      </c>
      <c r="BA415">
        <f>IFERROR(INDEX(PP_Grid[#Data],$DD415,51),0)</f>
        <v/>
      </c>
      <c r="BB415">
        <f>IFERROR(INDEX(PP_Grid[#Data],$DD415,52),0)</f>
        <v/>
      </c>
      <c r="BC415">
        <f>IFERROR(INDEX(PP_Grid[#Data],$DD415,53),0)</f>
        <v/>
      </c>
      <c r="BD415">
        <f>IFERROR(INDEX(PP_Grid[#Data],$DD415,54),0)</f>
        <v/>
      </c>
      <c r="BE415">
        <f>IFERROR(INDEX(PP_Grid[#Data],$DD415,55),0)</f>
        <v/>
      </c>
      <c r="BF415">
        <f>IFERROR(INDEX(PP_Grid[#Data],$DD415,56),0)</f>
        <v/>
      </c>
      <c r="BG415">
        <f>IFERROR(INDEX(PP_Grid[#Data],$DD415,57),0)</f>
        <v/>
      </c>
      <c r="BH415">
        <f>IFERROR(INDEX(PP_Grid[#Data],$DD415,58),0)</f>
        <v/>
      </c>
      <c r="BI415">
        <f>IFERROR(INDEX(PP_Grid[#Data],$DD415,59),0)</f>
        <v/>
      </c>
      <c r="BJ415">
        <f>IFERROR(INDEX(PP_Grid[#Data],$DD415,60),0)</f>
        <v/>
      </c>
      <c r="BK415">
        <f>IFERROR(INDEX(PP_Grid[#Data],$DD415,61),0)</f>
        <v/>
      </c>
      <c r="BL415">
        <f>IFERROR(INDEX(PP_Grid[#Data],$DD415,62),0)</f>
        <v/>
      </c>
      <c r="BM415">
        <f>IFERROR(INDEX(PP_Grid[#Data],$DD415,63),0)</f>
        <v/>
      </c>
      <c r="BN415">
        <f>IFERROR(INDEX(PP_Grid[#Data],$DD415,64),0)</f>
        <v/>
      </c>
      <c r="BO415">
        <f>IFERROR(INDEX(PP_Grid[#Data],$DD415,65),0)</f>
        <v/>
      </c>
      <c r="BP415">
        <f>IFERROR(INDEX(PP_Grid[#Data],$DD415,66),0)</f>
        <v/>
      </c>
      <c r="BQ415">
        <f>IFERROR(INDEX(PP_Grid[#Data],$DD415,67),0)</f>
        <v/>
      </c>
      <c r="BR415">
        <f>IFERROR(INDEX(PP_Grid[#Data],$DD415,68),0)</f>
        <v/>
      </c>
      <c r="BS415">
        <f>IFERROR(INDEX(PP_Grid[#Data],$DD415,69),0)</f>
        <v/>
      </c>
      <c r="BT415">
        <f>IFERROR(INDEX(PP_Grid[#Data],$DD415,70),0)</f>
        <v/>
      </c>
      <c r="BU415">
        <f>IFERROR(INDEX(PP_Grid[#Data],$DD415,71),0)</f>
        <v/>
      </c>
      <c r="BV415">
        <f>IFERROR(INDEX(PP_Grid[#Data],$DD415,72),0)</f>
        <v/>
      </c>
      <c r="BW415">
        <f>IFERROR(INDEX(PP_Grid[#Data],$DD415,73),0)</f>
        <v/>
      </c>
      <c r="BX415">
        <f>IFERROR(INDEX(PP_Grid[#Data],$DD415,74),0)</f>
        <v/>
      </c>
      <c r="BY415">
        <f>IFERROR(INDEX(PP_Grid[#Data],$DD415,75),0)</f>
        <v/>
      </c>
      <c r="BZ415">
        <f>IFERROR(INDEX(PP_Grid[#Data],$DD415,76),0)</f>
        <v/>
      </c>
      <c r="CA415">
        <f>IFERROR(INDEX(PP_Grid[#Data],$DD415,77),0)</f>
        <v/>
      </c>
      <c r="CB415">
        <f>IFERROR(INDEX(PP_Grid[#Data],$DD415,78),0)</f>
        <v/>
      </c>
      <c r="CC415">
        <f>IFERROR(INDEX(PP_Grid[#Data],$DD415,79),0)</f>
        <v/>
      </c>
      <c r="CD415">
        <f>IFERROR(INDEX(PP_Grid[#Data],$DD415,80),0)</f>
        <v/>
      </c>
      <c r="CE415">
        <f>IFERROR(INDEX(PP_Grid[#Data],$DD415,81),0)</f>
        <v/>
      </c>
      <c r="CF415">
        <f>IFERROR(INDEX(PP_Grid[#Data],$DD415,82),0)</f>
        <v/>
      </c>
      <c r="CG415">
        <f>IFERROR(INDEX(PP_Grid[#Data],$DD415,83),0)</f>
        <v/>
      </c>
      <c r="CH415">
        <f>IFERROR(INDEX(PP_Grid[#Data],$DD415,84),0)</f>
        <v/>
      </c>
      <c r="CI415">
        <f>IFERROR(INDEX(PP_Grid[#Data],$DD415,85),0)</f>
        <v/>
      </c>
      <c r="CJ415">
        <f>IFERROR(INDEX(PP_Grid[#Data],$DD415,86),0)</f>
        <v/>
      </c>
      <c r="CK415">
        <f>IFERROR(INDEX(PP_Grid[#Data],$DD415,87),0)</f>
        <v/>
      </c>
      <c r="CL415">
        <f>IFERROR(INDEX(PP_Grid[#Data],$DD415,88),0)</f>
        <v/>
      </c>
      <c r="CM415">
        <f>IFERROR(INDEX(PP_Grid[#Data],$DD415,89),0)</f>
        <v/>
      </c>
      <c r="CN415">
        <f>IFERROR(INDEX(PP_Grid[#Data],$DD415,90),0)</f>
        <v/>
      </c>
      <c r="CO415">
        <f>IFERROR(INDEX(PP_Grid[#Data],$DD415,91),0)</f>
        <v/>
      </c>
      <c r="CP415">
        <f>IFERROR(INDEX(PP_Grid[#Data],$DD415,92),0)</f>
        <v/>
      </c>
      <c r="CQ415">
        <f>IFERROR(INDEX(PP_Grid[#Data],$DD415,93),0)</f>
        <v/>
      </c>
      <c r="CR415">
        <f>IFERROR(INDEX(PP_Grid[#Data],$DD415,94),0)</f>
        <v/>
      </c>
      <c r="CS415">
        <f>IFERROR(INDEX(PP_Grid[#Data],$DD415,95),0)</f>
        <v/>
      </c>
      <c r="CT415">
        <f>IFERROR(INDEX(PP_Grid[#Data],$DD415,96),0)</f>
        <v/>
      </c>
      <c r="CU415">
        <f>IFERROR(INDEX(PP_Grid[#Data],$DD415,97),0)</f>
        <v/>
      </c>
      <c r="CV415">
        <f>IFERROR(INDEX(PP_Grid[#Data],$DD415,98),0)</f>
        <v/>
      </c>
      <c r="CW415">
        <f>IFERROR(INDEX(PP_Grid[#Data],$DD415,99),0)</f>
        <v/>
      </c>
      <c r="CX415">
        <f>IFERROR(INDEX(PP_Grid[#Data],$DD415,100),0)</f>
        <v/>
      </c>
      <c r="CY415">
        <f>IFERROR(INDEX(PP_Grid[#Data],$DD415,101),0)</f>
        <v/>
      </c>
      <c r="CZ415">
        <f>IFERROR(INDEX(PP_Grid[#Data],$DD415,102),0)</f>
        <v/>
      </c>
      <c r="DA415">
        <f>IFERROR(INDEX(PP_Grid[#Data],$DD415,103),0)</f>
        <v/>
      </c>
      <c r="DB415">
        <f>IFERROR(INDEX(PP_Grid[#Data],$DD415,104),0)</f>
        <v/>
      </c>
      <c r="DC415">
        <f>IFERROR(INDEX(PP_Grid[#Data],$DD415,105),0)</f>
        <v/>
      </c>
      <c r="DD415" s="12">
        <f>IFERROR(MATCH($B415,PP_Grid[Intermediate],0),99999)</f>
        <v/>
      </c>
    </row>
    <row r="416">
      <c r="B416" t="inlineStr">
        <is>
          <t>使用量(kg)</t>
        </is>
      </c>
      <c r="C416">
        <f>SUMIFS(M_BOM[RM_Qty_Per_Batch],M_BOM[Intermediate],$B415,M_BOM[Part Name],$A406)</f>
        <v/>
      </c>
      <c r="D416">
        <f>$C416*D415</f>
        <v/>
      </c>
      <c r="E416">
        <f>$C416*E415</f>
        <v/>
      </c>
      <c r="F416">
        <f>$C416*F415</f>
        <v/>
      </c>
      <c r="G416">
        <f>$C416*G415</f>
        <v/>
      </c>
      <c r="H416">
        <f>$C416*H415</f>
        <v/>
      </c>
      <c r="I416">
        <f>$C416*I415</f>
        <v/>
      </c>
      <c r="J416">
        <f>$C416*J415</f>
        <v/>
      </c>
      <c r="K416">
        <f>$C416*K415</f>
        <v/>
      </c>
      <c r="L416">
        <f>$C416*L415</f>
        <v/>
      </c>
      <c r="M416">
        <f>$C416*M415</f>
        <v/>
      </c>
      <c r="N416">
        <f>$C416*N415</f>
        <v/>
      </c>
      <c r="O416">
        <f>$C416*O415</f>
        <v/>
      </c>
      <c r="P416">
        <f>$C416*P415</f>
        <v/>
      </c>
      <c r="Q416">
        <f>$C416*Q415</f>
        <v/>
      </c>
      <c r="R416">
        <f>$C416*R415</f>
        <v/>
      </c>
      <c r="S416">
        <f>$C416*S415</f>
        <v/>
      </c>
      <c r="T416">
        <f>$C416*T415</f>
        <v/>
      </c>
      <c r="U416">
        <f>$C416*U415</f>
        <v/>
      </c>
      <c r="V416">
        <f>$C416*V415</f>
        <v/>
      </c>
      <c r="W416">
        <f>$C416*W415</f>
        <v/>
      </c>
      <c r="X416">
        <f>$C416*X415</f>
        <v/>
      </c>
      <c r="Y416">
        <f>$C416*Y415</f>
        <v/>
      </c>
      <c r="Z416">
        <f>$C416*Z415</f>
        <v/>
      </c>
      <c r="AA416">
        <f>$C416*AA415</f>
        <v/>
      </c>
      <c r="AB416">
        <f>$C416*AB415</f>
        <v/>
      </c>
      <c r="AC416">
        <f>$C416*AC415</f>
        <v/>
      </c>
      <c r="AD416">
        <f>$C416*AD415</f>
        <v/>
      </c>
      <c r="AE416">
        <f>$C416*AE415</f>
        <v/>
      </c>
      <c r="AF416">
        <f>$C416*AF415</f>
        <v/>
      </c>
      <c r="AG416">
        <f>$C416*AG415</f>
        <v/>
      </c>
      <c r="AH416">
        <f>$C416*AH415</f>
        <v/>
      </c>
      <c r="AI416">
        <f>$C416*AI415</f>
        <v/>
      </c>
      <c r="AJ416">
        <f>$C416*AJ415</f>
        <v/>
      </c>
      <c r="AK416">
        <f>$C416*AK415</f>
        <v/>
      </c>
      <c r="AL416">
        <f>$C416*AL415</f>
        <v/>
      </c>
      <c r="AM416">
        <f>$C416*AM415</f>
        <v/>
      </c>
      <c r="AN416">
        <f>$C416*AN415</f>
        <v/>
      </c>
      <c r="AO416">
        <f>$C416*AO415</f>
        <v/>
      </c>
      <c r="AP416">
        <f>$C416*AP415</f>
        <v/>
      </c>
      <c r="AQ416">
        <f>$C416*AQ415</f>
        <v/>
      </c>
      <c r="AR416">
        <f>$C416*AR415</f>
        <v/>
      </c>
      <c r="AS416">
        <f>$C416*AS415</f>
        <v/>
      </c>
      <c r="AT416">
        <f>$C416*AT415</f>
        <v/>
      </c>
      <c r="AU416">
        <f>$C416*AU415</f>
        <v/>
      </c>
      <c r="AV416">
        <f>$C416*AV415</f>
        <v/>
      </c>
      <c r="AW416">
        <f>$C416*AW415</f>
        <v/>
      </c>
      <c r="AX416">
        <f>$C416*AX415</f>
        <v/>
      </c>
      <c r="AY416">
        <f>$C416*AY415</f>
        <v/>
      </c>
      <c r="AZ416">
        <f>$C416*AZ415</f>
        <v/>
      </c>
      <c r="BA416">
        <f>$C416*BA415</f>
        <v/>
      </c>
      <c r="BB416">
        <f>$C416*BB415</f>
        <v/>
      </c>
      <c r="BC416">
        <f>$C416*BC415</f>
        <v/>
      </c>
      <c r="BD416">
        <f>$C416*BD415</f>
        <v/>
      </c>
      <c r="BE416">
        <f>$C416*BE415</f>
        <v/>
      </c>
      <c r="BF416">
        <f>$C416*BF415</f>
        <v/>
      </c>
      <c r="BG416">
        <f>$C416*BG415</f>
        <v/>
      </c>
      <c r="BH416">
        <f>$C416*BH415</f>
        <v/>
      </c>
      <c r="BI416">
        <f>$C416*BI415</f>
        <v/>
      </c>
      <c r="BJ416">
        <f>$C416*BJ415</f>
        <v/>
      </c>
      <c r="BK416">
        <f>$C416*BK415</f>
        <v/>
      </c>
      <c r="BL416">
        <f>$C416*BL415</f>
        <v/>
      </c>
      <c r="BM416">
        <f>$C416*BM415</f>
        <v/>
      </c>
      <c r="BN416">
        <f>$C416*BN415</f>
        <v/>
      </c>
      <c r="BO416">
        <f>$C416*BO415</f>
        <v/>
      </c>
      <c r="BP416">
        <f>$C416*BP415</f>
        <v/>
      </c>
      <c r="BQ416">
        <f>$C416*BQ415</f>
        <v/>
      </c>
      <c r="BR416">
        <f>$C416*BR415</f>
        <v/>
      </c>
      <c r="BS416">
        <f>$C416*BS415</f>
        <v/>
      </c>
      <c r="BT416">
        <f>$C416*BT415</f>
        <v/>
      </c>
      <c r="BU416">
        <f>$C416*BU415</f>
        <v/>
      </c>
      <c r="BV416">
        <f>$C416*BV415</f>
        <v/>
      </c>
      <c r="BW416">
        <f>$C416*BW415</f>
        <v/>
      </c>
      <c r="BX416">
        <f>$C416*BX415</f>
        <v/>
      </c>
      <c r="BY416">
        <f>$C416*BY415</f>
        <v/>
      </c>
      <c r="BZ416">
        <f>$C416*BZ415</f>
        <v/>
      </c>
      <c r="CA416">
        <f>$C416*CA415</f>
        <v/>
      </c>
      <c r="CB416">
        <f>$C416*CB415</f>
        <v/>
      </c>
      <c r="CC416">
        <f>$C416*CC415</f>
        <v/>
      </c>
      <c r="CD416">
        <f>$C416*CD415</f>
        <v/>
      </c>
      <c r="CE416">
        <f>$C416*CE415</f>
        <v/>
      </c>
      <c r="CF416">
        <f>$C416*CF415</f>
        <v/>
      </c>
      <c r="CG416">
        <f>$C416*CG415</f>
        <v/>
      </c>
      <c r="CH416">
        <f>$C416*CH415</f>
        <v/>
      </c>
      <c r="CI416">
        <f>$C416*CI415</f>
        <v/>
      </c>
      <c r="CJ416">
        <f>$C416*CJ415</f>
        <v/>
      </c>
      <c r="CK416">
        <f>$C416*CK415</f>
        <v/>
      </c>
      <c r="CL416">
        <f>$C416*CL415</f>
        <v/>
      </c>
      <c r="CM416">
        <f>$C416*CM415</f>
        <v/>
      </c>
      <c r="CN416">
        <f>$C416*CN415</f>
        <v/>
      </c>
      <c r="CO416">
        <f>$C416*CO415</f>
        <v/>
      </c>
      <c r="CP416">
        <f>$C416*CP415</f>
        <v/>
      </c>
      <c r="CQ416">
        <f>$C416*CQ415</f>
        <v/>
      </c>
      <c r="CR416">
        <f>$C416*CR415</f>
        <v/>
      </c>
      <c r="CS416">
        <f>$C416*CS415</f>
        <v/>
      </c>
      <c r="CT416">
        <f>$C416*CT415</f>
        <v/>
      </c>
      <c r="CU416">
        <f>$C416*CU415</f>
        <v/>
      </c>
      <c r="CV416">
        <f>$C416*CV415</f>
        <v/>
      </c>
      <c r="CW416">
        <f>$C416*CW415</f>
        <v/>
      </c>
      <c r="CX416">
        <f>$C416*CX415</f>
        <v/>
      </c>
      <c r="CY416">
        <f>$C416*CY415</f>
        <v/>
      </c>
      <c r="CZ416">
        <f>$C416*CZ415</f>
        <v/>
      </c>
      <c r="DA416">
        <f>$C416*DA415</f>
        <v/>
      </c>
      <c r="DB416">
        <f>$C416*DB415</f>
        <v/>
      </c>
      <c r="DC416">
        <f>$C416*DC415</f>
        <v/>
      </c>
    </row>
    <row r="417">
      <c r="B417" t="inlineStr">
        <is>
          <t>TSP-1444</t>
        </is>
      </c>
      <c r="C417" t="inlineStr">
        <is>
          <t>No. of batches</t>
        </is>
      </c>
      <c r="D417">
        <f>IFERROR(INDEX(PP_Grid[#Data],$DD417,2),0)</f>
        <v/>
      </c>
      <c r="E417">
        <f>IFERROR(INDEX(PP_Grid[#Data],$DD417,3),0)</f>
        <v/>
      </c>
      <c r="F417">
        <f>IFERROR(INDEX(PP_Grid[#Data],$DD417,4),0)</f>
        <v/>
      </c>
      <c r="G417">
        <f>IFERROR(INDEX(PP_Grid[#Data],$DD417,5),0)</f>
        <v/>
      </c>
      <c r="H417">
        <f>IFERROR(INDEX(PP_Grid[#Data],$DD417,6),0)</f>
        <v/>
      </c>
      <c r="I417">
        <f>IFERROR(INDEX(PP_Grid[#Data],$DD417,7),0)</f>
        <v/>
      </c>
      <c r="J417">
        <f>IFERROR(INDEX(PP_Grid[#Data],$DD417,8),0)</f>
        <v/>
      </c>
      <c r="K417">
        <f>IFERROR(INDEX(PP_Grid[#Data],$DD417,9),0)</f>
        <v/>
      </c>
      <c r="L417">
        <f>IFERROR(INDEX(PP_Grid[#Data],$DD417,10),0)</f>
        <v/>
      </c>
      <c r="M417">
        <f>IFERROR(INDEX(PP_Grid[#Data],$DD417,11),0)</f>
        <v/>
      </c>
      <c r="N417">
        <f>IFERROR(INDEX(PP_Grid[#Data],$DD417,12),0)</f>
        <v/>
      </c>
      <c r="O417">
        <f>IFERROR(INDEX(PP_Grid[#Data],$DD417,13),0)</f>
        <v/>
      </c>
      <c r="P417">
        <f>IFERROR(INDEX(PP_Grid[#Data],$DD417,14),0)</f>
        <v/>
      </c>
      <c r="Q417">
        <f>IFERROR(INDEX(PP_Grid[#Data],$DD417,15),0)</f>
        <v/>
      </c>
      <c r="R417">
        <f>IFERROR(INDEX(PP_Grid[#Data],$DD417,16),0)</f>
        <v/>
      </c>
      <c r="S417">
        <f>IFERROR(INDEX(PP_Grid[#Data],$DD417,17),0)</f>
        <v/>
      </c>
      <c r="T417">
        <f>IFERROR(INDEX(PP_Grid[#Data],$DD417,18),0)</f>
        <v/>
      </c>
      <c r="U417">
        <f>IFERROR(INDEX(PP_Grid[#Data],$DD417,19),0)</f>
        <v/>
      </c>
      <c r="V417">
        <f>IFERROR(INDEX(PP_Grid[#Data],$DD417,20),0)</f>
        <v/>
      </c>
      <c r="W417">
        <f>IFERROR(INDEX(PP_Grid[#Data],$DD417,21),0)</f>
        <v/>
      </c>
      <c r="X417">
        <f>IFERROR(INDEX(PP_Grid[#Data],$DD417,22),0)</f>
        <v/>
      </c>
      <c r="Y417">
        <f>IFERROR(INDEX(PP_Grid[#Data],$DD417,23),0)</f>
        <v/>
      </c>
      <c r="Z417">
        <f>IFERROR(INDEX(PP_Grid[#Data],$DD417,24),0)</f>
        <v/>
      </c>
      <c r="AA417">
        <f>IFERROR(INDEX(PP_Grid[#Data],$DD417,25),0)</f>
        <v/>
      </c>
      <c r="AB417">
        <f>IFERROR(INDEX(PP_Grid[#Data],$DD417,26),0)</f>
        <v/>
      </c>
      <c r="AC417">
        <f>IFERROR(INDEX(PP_Grid[#Data],$DD417,27),0)</f>
        <v/>
      </c>
      <c r="AD417">
        <f>IFERROR(INDEX(PP_Grid[#Data],$DD417,28),0)</f>
        <v/>
      </c>
      <c r="AE417">
        <f>IFERROR(INDEX(PP_Grid[#Data],$DD417,29),0)</f>
        <v/>
      </c>
      <c r="AF417">
        <f>IFERROR(INDEX(PP_Grid[#Data],$DD417,30),0)</f>
        <v/>
      </c>
      <c r="AG417">
        <f>IFERROR(INDEX(PP_Grid[#Data],$DD417,31),0)</f>
        <v/>
      </c>
      <c r="AH417">
        <f>IFERROR(INDEX(PP_Grid[#Data],$DD417,32),0)</f>
        <v/>
      </c>
      <c r="AI417">
        <f>IFERROR(INDEX(PP_Grid[#Data],$DD417,33),0)</f>
        <v/>
      </c>
      <c r="AJ417">
        <f>IFERROR(INDEX(PP_Grid[#Data],$DD417,34),0)</f>
        <v/>
      </c>
      <c r="AK417">
        <f>IFERROR(INDEX(PP_Grid[#Data],$DD417,35),0)</f>
        <v/>
      </c>
      <c r="AL417">
        <f>IFERROR(INDEX(PP_Grid[#Data],$DD417,36),0)</f>
        <v/>
      </c>
      <c r="AM417">
        <f>IFERROR(INDEX(PP_Grid[#Data],$DD417,37),0)</f>
        <v/>
      </c>
      <c r="AN417">
        <f>IFERROR(INDEX(PP_Grid[#Data],$DD417,38),0)</f>
        <v/>
      </c>
      <c r="AO417">
        <f>IFERROR(INDEX(PP_Grid[#Data],$DD417,39),0)</f>
        <v/>
      </c>
      <c r="AP417">
        <f>IFERROR(INDEX(PP_Grid[#Data],$DD417,40),0)</f>
        <v/>
      </c>
      <c r="AQ417">
        <f>IFERROR(INDEX(PP_Grid[#Data],$DD417,41),0)</f>
        <v/>
      </c>
      <c r="AR417">
        <f>IFERROR(INDEX(PP_Grid[#Data],$DD417,42),0)</f>
        <v/>
      </c>
      <c r="AS417">
        <f>IFERROR(INDEX(PP_Grid[#Data],$DD417,43),0)</f>
        <v/>
      </c>
      <c r="AT417">
        <f>IFERROR(INDEX(PP_Grid[#Data],$DD417,44),0)</f>
        <v/>
      </c>
      <c r="AU417">
        <f>IFERROR(INDEX(PP_Grid[#Data],$DD417,45),0)</f>
        <v/>
      </c>
      <c r="AV417">
        <f>IFERROR(INDEX(PP_Grid[#Data],$DD417,46),0)</f>
        <v/>
      </c>
      <c r="AW417">
        <f>IFERROR(INDEX(PP_Grid[#Data],$DD417,47),0)</f>
        <v/>
      </c>
      <c r="AX417">
        <f>IFERROR(INDEX(PP_Grid[#Data],$DD417,48),0)</f>
        <v/>
      </c>
      <c r="AY417">
        <f>IFERROR(INDEX(PP_Grid[#Data],$DD417,49),0)</f>
        <v/>
      </c>
      <c r="AZ417">
        <f>IFERROR(INDEX(PP_Grid[#Data],$DD417,50),0)</f>
        <v/>
      </c>
      <c r="BA417">
        <f>IFERROR(INDEX(PP_Grid[#Data],$DD417,51),0)</f>
        <v/>
      </c>
      <c r="BB417">
        <f>IFERROR(INDEX(PP_Grid[#Data],$DD417,52),0)</f>
        <v/>
      </c>
      <c r="BC417">
        <f>IFERROR(INDEX(PP_Grid[#Data],$DD417,53),0)</f>
        <v/>
      </c>
      <c r="BD417">
        <f>IFERROR(INDEX(PP_Grid[#Data],$DD417,54),0)</f>
        <v/>
      </c>
      <c r="BE417">
        <f>IFERROR(INDEX(PP_Grid[#Data],$DD417,55),0)</f>
        <v/>
      </c>
      <c r="BF417">
        <f>IFERROR(INDEX(PP_Grid[#Data],$DD417,56),0)</f>
        <v/>
      </c>
      <c r="BG417">
        <f>IFERROR(INDEX(PP_Grid[#Data],$DD417,57),0)</f>
        <v/>
      </c>
      <c r="BH417">
        <f>IFERROR(INDEX(PP_Grid[#Data],$DD417,58),0)</f>
        <v/>
      </c>
      <c r="BI417">
        <f>IFERROR(INDEX(PP_Grid[#Data],$DD417,59),0)</f>
        <v/>
      </c>
      <c r="BJ417">
        <f>IFERROR(INDEX(PP_Grid[#Data],$DD417,60),0)</f>
        <v/>
      </c>
      <c r="BK417">
        <f>IFERROR(INDEX(PP_Grid[#Data],$DD417,61),0)</f>
        <v/>
      </c>
      <c r="BL417">
        <f>IFERROR(INDEX(PP_Grid[#Data],$DD417,62),0)</f>
        <v/>
      </c>
      <c r="BM417">
        <f>IFERROR(INDEX(PP_Grid[#Data],$DD417,63),0)</f>
        <v/>
      </c>
      <c r="BN417">
        <f>IFERROR(INDEX(PP_Grid[#Data],$DD417,64),0)</f>
        <v/>
      </c>
      <c r="BO417">
        <f>IFERROR(INDEX(PP_Grid[#Data],$DD417,65),0)</f>
        <v/>
      </c>
      <c r="BP417">
        <f>IFERROR(INDEX(PP_Grid[#Data],$DD417,66),0)</f>
        <v/>
      </c>
      <c r="BQ417">
        <f>IFERROR(INDEX(PP_Grid[#Data],$DD417,67),0)</f>
        <v/>
      </c>
      <c r="BR417">
        <f>IFERROR(INDEX(PP_Grid[#Data],$DD417,68),0)</f>
        <v/>
      </c>
      <c r="BS417">
        <f>IFERROR(INDEX(PP_Grid[#Data],$DD417,69),0)</f>
        <v/>
      </c>
      <c r="BT417">
        <f>IFERROR(INDEX(PP_Grid[#Data],$DD417,70),0)</f>
        <v/>
      </c>
      <c r="BU417">
        <f>IFERROR(INDEX(PP_Grid[#Data],$DD417,71),0)</f>
        <v/>
      </c>
      <c r="BV417">
        <f>IFERROR(INDEX(PP_Grid[#Data],$DD417,72),0)</f>
        <v/>
      </c>
      <c r="BW417">
        <f>IFERROR(INDEX(PP_Grid[#Data],$DD417,73),0)</f>
        <v/>
      </c>
      <c r="BX417">
        <f>IFERROR(INDEX(PP_Grid[#Data],$DD417,74),0)</f>
        <v/>
      </c>
      <c r="BY417">
        <f>IFERROR(INDEX(PP_Grid[#Data],$DD417,75),0)</f>
        <v/>
      </c>
      <c r="BZ417">
        <f>IFERROR(INDEX(PP_Grid[#Data],$DD417,76),0)</f>
        <v/>
      </c>
      <c r="CA417">
        <f>IFERROR(INDEX(PP_Grid[#Data],$DD417,77),0)</f>
        <v/>
      </c>
      <c r="CB417">
        <f>IFERROR(INDEX(PP_Grid[#Data],$DD417,78),0)</f>
        <v/>
      </c>
      <c r="CC417">
        <f>IFERROR(INDEX(PP_Grid[#Data],$DD417,79),0)</f>
        <v/>
      </c>
      <c r="CD417">
        <f>IFERROR(INDEX(PP_Grid[#Data],$DD417,80),0)</f>
        <v/>
      </c>
      <c r="CE417">
        <f>IFERROR(INDEX(PP_Grid[#Data],$DD417,81),0)</f>
        <v/>
      </c>
      <c r="CF417">
        <f>IFERROR(INDEX(PP_Grid[#Data],$DD417,82),0)</f>
        <v/>
      </c>
      <c r="CG417">
        <f>IFERROR(INDEX(PP_Grid[#Data],$DD417,83),0)</f>
        <v/>
      </c>
      <c r="CH417">
        <f>IFERROR(INDEX(PP_Grid[#Data],$DD417,84),0)</f>
        <v/>
      </c>
      <c r="CI417">
        <f>IFERROR(INDEX(PP_Grid[#Data],$DD417,85),0)</f>
        <v/>
      </c>
      <c r="CJ417">
        <f>IFERROR(INDEX(PP_Grid[#Data],$DD417,86),0)</f>
        <v/>
      </c>
      <c r="CK417">
        <f>IFERROR(INDEX(PP_Grid[#Data],$DD417,87),0)</f>
        <v/>
      </c>
      <c r="CL417">
        <f>IFERROR(INDEX(PP_Grid[#Data],$DD417,88),0)</f>
        <v/>
      </c>
      <c r="CM417">
        <f>IFERROR(INDEX(PP_Grid[#Data],$DD417,89),0)</f>
        <v/>
      </c>
      <c r="CN417">
        <f>IFERROR(INDEX(PP_Grid[#Data],$DD417,90),0)</f>
        <v/>
      </c>
      <c r="CO417">
        <f>IFERROR(INDEX(PP_Grid[#Data],$DD417,91),0)</f>
        <v/>
      </c>
      <c r="CP417">
        <f>IFERROR(INDEX(PP_Grid[#Data],$DD417,92),0)</f>
        <v/>
      </c>
      <c r="CQ417">
        <f>IFERROR(INDEX(PP_Grid[#Data],$DD417,93),0)</f>
        <v/>
      </c>
      <c r="CR417">
        <f>IFERROR(INDEX(PP_Grid[#Data],$DD417,94),0)</f>
        <v/>
      </c>
      <c r="CS417">
        <f>IFERROR(INDEX(PP_Grid[#Data],$DD417,95),0)</f>
        <v/>
      </c>
      <c r="CT417">
        <f>IFERROR(INDEX(PP_Grid[#Data],$DD417,96),0)</f>
        <v/>
      </c>
      <c r="CU417">
        <f>IFERROR(INDEX(PP_Grid[#Data],$DD417,97),0)</f>
        <v/>
      </c>
      <c r="CV417">
        <f>IFERROR(INDEX(PP_Grid[#Data],$DD417,98),0)</f>
        <v/>
      </c>
      <c r="CW417">
        <f>IFERROR(INDEX(PP_Grid[#Data],$DD417,99),0)</f>
        <v/>
      </c>
      <c r="CX417">
        <f>IFERROR(INDEX(PP_Grid[#Data],$DD417,100),0)</f>
        <v/>
      </c>
      <c r="CY417">
        <f>IFERROR(INDEX(PP_Grid[#Data],$DD417,101),0)</f>
        <v/>
      </c>
      <c r="CZ417">
        <f>IFERROR(INDEX(PP_Grid[#Data],$DD417,102),0)</f>
        <v/>
      </c>
      <c r="DA417">
        <f>IFERROR(INDEX(PP_Grid[#Data],$DD417,103),0)</f>
        <v/>
      </c>
      <c r="DB417">
        <f>IFERROR(INDEX(PP_Grid[#Data],$DD417,104),0)</f>
        <v/>
      </c>
      <c r="DC417">
        <f>IFERROR(INDEX(PP_Grid[#Data],$DD417,105),0)</f>
        <v/>
      </c>
      <c r="DD417" s="12">
        <f>IFERROR(MATCH($B417,PP_Grid[Intermediate],0),99999)</f>
        <v/>
      </c>
    </row>
    <row r="418">
      <c r="B418" t="inlineStr">
        <is>
          <t>使用量(kg)</t>
        </is>
      </c>
      <c r="C418">
        <f>SUMIFS(M_BOM[RM_Qty_Per_Batch],M_BOM[Intermediate],$B417,M_BOM[Part Name],$A406)</f>
        <v/>
      </c>
      <c r="D418">
        <f>$C418*D417</f>
        <v/>
      </c>
      <c r="E418">
        <f>$C418*E417</f>
        <v/>
      </c>
      <c r="F418">
        <f>$C418*F417</f>
        <v/>
      </c>
      <c r="G418">
        <f>$C418*G417</f>
        <v/>
      </c>
      <c r="H418">
        <f>$C418*H417</f>
        <v/>
      </c>
      <c r="I418">
        <f>$C418*I417</f>
        <v/>
      </c>
      <c r="J418">
        <f>$C418*J417</f>
        <v/>
      </c>
      <c r="K418">
        <f>$C418*K417</f>
        <v/>
      </c>
      <c r="L418">
        <f>$C418*L417</f>
        <v/>
      </c>
      <c r="M418">
        <f>$C418*M417</f>
        <v/>
      </c>
      <c r="N418">
        <f>$C418*N417</f>
        <v/>
      </c>
      <c r="O418">
        <f>$C418*O417</f>
        <v/>
      </c>
      <c r="P418">
        <f>$C418*P417</f>
        <v/>
      </c>
      <c r="Q418">
        <f>$C418*Q417</f>
        <v/>
      </c>
      <c r="R418">
        <f>$C418*R417</f>
        <v/>
      </c>
      <c r="S418">
        <f>$C418*S417</f>
        <v/>
      </c>
      <c r="T418">
        <f>$C418*T417</f>
        <v/>
      </c>
      <c r="U418">
        <f>$C418*U417</f>
        <v/>
      </c>
      <c r="V418">
        <f>$C418*V417</f>
        <v/>
      </c>
      <c r="W418">
        <f>$C418*W417</f>
        <v/>
      </c>
      <c r="X418">
        <f>$C418*X417</f>
        <v/>
      </c>
      <c r="Y418">
        <f>$C418*Y417</f>
        <v/>
      </c>
      <c r="Z418">
        <f>$C418*Z417</f>
        <v/>
      </c>
      <c r="AA418">
        <f>$C418*AA417</f>
        <v/>
      </c>
      <c r="AB418">
        <f>$C418*AB417</f>
        <v/>
      </c>
      <c r="AC418">
        <f>$C418*AC417</f>
        <v/>
      </c>
      <c r="AD418">
        <f>$C418*AD417</f>
        <v/>
      </c>
      <c r="AE418">
        <f>$C418*AE417</f>
        <v/>
      </c>
      <c r="AF418">
        <f>$C418*AF417</f>
        <v/>
      </c>
      <c r="AG418">
        <f>$C418*AG417</f>
        <v/>
      </c>
      <c r="AH418">
        <f>$C418*AH417</f>
        <v/>
      </c>
      <c r="AI418">
        <f>$C418*AI417</f>
        <v/>
      </c>
      <c r="AJ418">
        <f>$C418*AJ417</f>
        <v/>
      </c>
      <c r="AK418">
        <f>$C418*AK417</f>
        <v/>
      </c>
      <c r="AL418">
        <f>$C418*AL417</f>
        <v/>
      </c>
      <c r="AM418">
        <f>$C418*AM417</f>
        <v/>
      </c>
      <c r="AN418">
        <f>$C418*AN417</f>
        <v/>
      </c>
      <c r="AO418">
        <f>$C418*AO417</f>
        <v/>
      </c>
      <c r="AP418">
        <f>$C418*AP417</f>
        <v/>
      </c>
      <c r="AQ418">
        <f>$C418*AQ417</f>
        <v/>
      </c>
      <c r="AR418">
        <f>$C418*AR417</f>
        <v/>
      </c>
      <c r="AS418">
        <f>$C418*AS417</f>
        <v/>
      </c>
      <c r="AT418">
        <f>$C418*AT417</f>
        <v/>
      </c>
      <c r="AU418">
        <f>$C418*AU417</f>
        <v/>
      </c>
      <c r="AV418">
        <f>$C418*AV417</f>
        <v/>
      </c>
      <c r="AW418">
        <f>$C418*AW417</f>
        <v/>
      </c>
      <c r="AX418">
        <f>$C418*AX417</f>
        <v/>
      </c>
      <c r="AY418">
        <f>$C418*AY417</f>
        <v/>
      </c>
      <c r="AZ418">
        <f>$C418*AZ417</f>
        <v/>
      </c>
      <c r="BA418">
        <f>$C418*BA417</f>
        <v/>
      </c>
      <c r="BB418">
        <f>$C418*BB417</f>
        <v/>
      </c>
      <c r="BC418">
        <f>$C418*BC417</f>
        <v/>
      </c>
      <c r="BD418">
        <f>$C418*BD417</f>
        <v/>
      </c>
      <c r="BE418">
        <f>$C418*BE417</f>
        <v/>
      </c>
      <c r="BF418">
        <f>$C418*BF417</f>
        <v/>
      </c>
      <c r="BG418">
        <f>$C418*BG417</f>
        <v/>
      </c>
      <c r="BH418">
        <f>$C418*BH417</f>
        <v/>
      </c>
      <c r="BI418">
        <f>$C418*BI417</f>
        <v/>
      </c>
      <c r="BJ418">
        <f>$C418*BJ417</f>
        <v/>
      </c>
      <c r="BK418">
        <f>$C418*BK417</f>
        <v/>
      </c>
      <c r="BL418">
        <f>$C418*BL417</f>
        <v/>
      </c>
      <c r="BM418">
        <f>$C418*BM417</f>
        <v/>
      </c>
      <c r="BN418">
        <f>$C418*BN417</f>
        <v/>
      </c>
      <c r="BO418">
        <f>$C418*BO417</f>
        <v/>
      </c>
      <c r="BP418">
        <f>$C418*BP417</f>
        <v/>
      </c>
      <c r="BQ418">
        <f>$C418*BQ417</f>
        <v/>
      </c>
      <c r="BR418">
        <f>$C418*BR417</f>
        <v/>
      </c>
      <c r="BS418">
        <f>$C418*BS417</f>
        <v/>
      </c>
      <c r="BT418">
        <f>$C418*BT417</f>
        <v/>
      </c>
      <c r="BU418">
        <f>$C418*BU417</f>
        <v/>
      </c>
      <c r="BV418">
        <f>$C418*BV417</f>
        <v/>
      </c>
      <c r="BW418">
        <f>$C418*BW417</f>
        <v/>
      </c>
      <c r="BX418">
        <f>$C418*BX417</f>
        <v/>
      </c>
      <c r="BY418">
        <f>$C418*BY417</f>
        <v/>
      </c>
      <c r="BZ418">
        <f>$C418*BZ417</f>
        <v/>
      </c>
      <c r="CA418">
        <f>$C418*CA417</f>
        <v/>
      </c>
      <c r="CB418">
        <f>$C418*CB417</f>
        <v/>
      </c>
      <c r="CC418">
        <f>$C418*CC417</f>
        <v/>
      </c>
      <c r="CD418">
        <f>$C418*CD417</f>
        <v/>
      </c>
      <c r="CE418">
        <f>$C418*CE417</f>
        <v/>
      </c>
      <c r="CF418">
        <f>$C418*CF417</f>
        <v/>
      </c>
      <c r="CG418">
        <f>$C418*CG417</f>
        <v/>
      </c>
      <c r="CH418">
        <f>$C418*CH417</f>
        <v/>
      </c>
      <c r="CI418">
        <f>$C418*CI417</f>
        <v/>
      </c>
      <c r="CJ418">
        <f>$C418*CJ417</f>
        <v/>
      </c>
      <c r="CK418">
        <f>$C418*CK417</f>
        <v/>
      </c>
      <c r="CL418">
        <f>$C418*CL417</f>
        <v/>
      </c>
      <c r="CM418">
        <f>$C418*CM417</f>
        <v/>
      </c>
      <c r="CN418">
        <f>$C418*CN417</f>
        <v/>
      </c>
      <c r="CO418">
        <f>$C418*CO417</f>
        <v/>
      </c>
      <c r="CP418">
        <f>$C418*CP417</f>
        <v/>
      </c>
      <c r="CQ418">
        <f>$C418*CQ417</f>
        <v/>
      </c>
      <c r="CR418">
        <f>$C418*CR417</f>
        <v/>
      </c>
      <c r="CS418">
        <f>$C418*CS417</f>
        <v/>
      </c>
      <c r="CT418">
        <f>$C418*CT417</f>
        <v/>
      </c>
      <c r="CU418">
        <f>$C418*CU417</f>
        <v/>
      </c>
      <c r="CV418">
        <f>$C418*CV417</f>
        <v/>
      </c>
      <c r="CW418">
        <f>$C418*CW417</f>
        <v/>
      </c>
      <c r="CX418">
        <f>$C418*CX417</f>
        <v/>
      </c>
      <c r="CY418">
        <f>$C418*CY417</f>
        <v/>
      </c>
      <c r="CZ418">
        <f>$C418*CZ417</f>
        <v/>
      </c>
      <c r="DA418">
        <f>$C418*DA417</f>
        <v/>
      </c>
      <c r="DB418">
        <f>$C418*DB417</f>
        <v/>
      </c>
      <c r="DC418">
        <f>$C418*DC417</f>
        <v/>
      </c>
    </row>
    <row r="419">
      <c r="B419" t="inlineStr">
        <is>
          <t>TSP-1445</t>
        </is>
      </c>
      <c r="C419" t="inlineStr">
        <is>
          <t>No. of batches</t>
        </is>
      </c>
      <c r="D419">
        <f>IFERROR(INDEX(PP_Grid[#Data],$DD419,2),0)</f>
        <v/>
      </c>
      <c r="E419">
        <f>IFERROR(INDEX(PP_Grid[#Data],$DD419,3),0)</f>
        <v/>
      </c>
      <c r="F419">
        <f>IFERROR(INDEX(PP_Grid[#Data],$DD419,4),0)</f>
        <v/>
      </c>
      <c r="G419">
        <f>IFERROR(INDEX(PP_Grid[#Data],$DD419,5),0)</f>
        <v/>
      </c>
      <c r="H419">
        <f>IFERROR(INDEX(PP_Grid[#Data],$DD419,6),0)</f>
        <v/>
      </c>
      <c r="I419">
        <f>IFERROR(INDEX(PP_Grid[#Data],$DD419,7),0)</f>
        <v/>
      </c>
      <c r="J419">
        <f>IFERROR(INDEX(PP_Grid[#Data],$DD419,8),0)</f>
        <v/>
      </c>
      <c r="K419">
        <f>IFERROR(INDEX(PP_Grid[#Data],$DD419,9),0)</f>
        <v/>
      </c>
      <c r="L419">
        <f>IFERROR(INDEX(PP_Grid[#Data],$DD419,10),0)</f>
        <v/>
      </c>
      <c r="M419">
        <f>IFERROR(INDEX(PP_Grid[#Data],$DD419,11),0)</f>
        <v/>
      </c>
      <c r="N419">
        <f>IFERROR(INDEX(PP_Grid[#Data],$DD419,12),0)</f>
        <v/>
      </c>
      <c r="O419">
        <f>IFERROR(INDEX(PP_Grid[#Data],$DD419,13),0)</f>
        <v/>
      </c>
      <c r="P419">
        <f>IFERROR(INDEX(PP_Grid[#Data],$DD419,14),0)</f>
        <v/>
      </c>
      <c r="Q419">
        <f>IFERROR(INDEX(PP_Grid[#Data],$DD419,15),0)</f>
        <v/>
      </c>
      <c r="R419">
        <f>IFERROR(INDEX(PP_Grid[#Data],$DD419,16),0)</f>
        <v/>
      </c>
      <c r="S419">
        <f>IFERROR(INDEX(PP_Grid[#Data],$DD419,17),0)</f>
        <v/>
      </c>
      <c r="T419">
        <f>IFERROR(INDEX(PP_Grid[#Data],$DD419,18),0)</f>
        <v/>
      </c>
      <c r="U419">
        <f>IFERROR(INDEX(PP_Grid[#Data],$DD419,19),0)</f>
        <v/>
      </c>
      <c r="V419">
        <f>IFERROR(INDEX(PP_Grid[#Data],$DD419,20),0)</f>
        <v/>
      </c>
      <c r="W419">
        <f>IFERROR(INDEX(PP_Grid[#Data],$DD419,21),0)</f>
        <v/>
      </c>
      <c r="X419">
        <f>IFERROR(INDEX(PP_Grid[#Data],$DD419,22),0)</f>
        <v/>
      </c>
      <c r="Y419">
        <f>IFERROR(INDEX(PP_Grid[#Data],$DD419,23),0)</f>
        <v/>
      </c>
      <c r="Z419">
        <f>IFERROR(INDEX(PP_Grid[#Data],$DD419,24),0)</f>
        <v/>
      </c>
      <c r="AA419">
        <f>IFERROR(INDEX(PP_Grid[#Data],$DD419,25),0)</f>
        <v/>
      </c>
      <c r="AB419">
        <f>IFERROR(INDEX(PP_Grid[#Data],$DD419,26),0)</f>
        <v/>
      </c>
      <c r="AC419">
        <f>IFERROR(INDEX(PP_Grid[#Data],$DD419,27),0)</f>
        <v/>
      </c>
      <c r="AD419">
        <f>IFERROR(INDEX(PP_Grid[#Data],$DD419,28),0)</f>
        <v/>
      </c>
      <c r="AE419">
        <f>IFERROR(INDEX(PP_Grid[#Data],$DD419,29),0)</f>
        <v/>
      </c>
      <c r="AF419">
        <f>IFERROR(INDEX(PP_Grid[#Data],$DD419,30),0)</f>
        <v/>
      </c>
      <c r="AG419">
        <f>IFERROR(INDEX(PP_Grid[#Data],$DD419,31),0)</f>
        <v/>
      </c>
      <c r="AH419">
        <f>IFERROR(INDEX(PP_Grid[#Data],$DD419,32),0)</f>
        <v/>
      </c>
      <c r="AI419">
        <f>IFERROR(INDEX(PP_Grid[#Data],$DD419,33),0)</f>
        <v/>
      </c>
      <c r="AJ419">
        <f>IFERROR(INDEX(PP_Grid[#Data],$DD419,34),0)</f>
        <v/>
      </c>
      <c r="AK419">
        <f>IFERROR(INDEX(PP_Grid[#Data],$DD419,35),0)</f>
        <v/>
      </c>
      <c r="AL419">
        <f>IFERROR(INDEX(PP_Grid[#Data],$DD419,36),0)</f>
        <v/>
      </c>
      <c r="AM419">
        <f>IFERROR(INDEX(PP_Grid[#Data],$DD419,37),0)</f>
        <v/>
      </c>
      <c r="AN419">
        <f>IFERROR(INDEX(PP_Grid[#Data],$DD419,38),0)</f>
        <v/>
      </c>
      <c r="AO419">
        <f>IFERROR(INDEX(PP_Grid[#Data],$DD419,39),0)</f>
        <v/>
      </c>
      <c r="AP419">
        <f>IFERROR(INDEX(PP_Grid[#Data],$DD419,40),0)</f>
        <v/>
      </c>
      <c r="AQ419">
        <f>IFERROR(INDEX(PP_Grid[#Data],$DD419,41),0)</f>
        <v/>
      </c>
      <c r="AR419">
        <f>IFERROR(INDEX(PP_Grid[#Data],$DD419,42),0)</f>
        <v/>
      </c>
      <c r="AS419">
        <f>IFERROR(INDEX(PP_Grid[#Data],$DD419,43),0)</f>
        <v/>
      </c>
      <c r="AT419">
        <f>IFERROR(INDEX(PP_Grid[#Data],$DD419,44),0)</f>
        <v/>
      </c>
      <c r="AU419">
        <f>IFERROR(INDEX(PP_Grid[#Data],$DD419,45),0)</f>
        <v/>
      </c>
      <c r="AV419">
        <f>IFERROR(INDEX(PP_Grid[#Data],$DD419,46),0)</f>
        <v/>
      </c>
      <c r="AW419">
        <f>IFERROR(INDEX(PP_Grid[#Data],$DD419,47),0)</f>
        <v/>
      </c>
      <c r="AX419">
        <f>IFERROR(INDEX(PP_Grid[#Data],$DD419,48),0)</f>
        <v/>
      </c>
      <c r="AY419">
        <f>IFERROR(INDEX(PP_Grid[#Data],$DD419,49),0)</f>
        <v/>
      </c>
      <c r="AZ419">
        <f>IFERROR(INDEX(PP_Grid[#Data],$DD419,50),0)</f>
        <v/>
      </c>
      <c r="BA419">
        <f>IFERROR(INDEX(PP_Grid[#Data],$DD419,51),0)</f>
        <v/>
      </c>
      <c r="BB419">
        <f>IFERROR(INDEX(PP_Grid[#Data],$DD419,52),0)</f>
        <v/>
      </c>
      <c r="BC419">
        <f>IFERROR(INDEX(PP_Grid[#Data],$DD419,53),0)</f>
        <v/>
      </c>
      <c r="BD419">
        <f>IFERROR(INDEX(PP_Grid[#Data],$DD419,54),0)</f>
        <v/>
      </c>
      <c r="BE419">
        <f>IFERROR(INDEX(PP_Grid[#Data],$DD419,55),0)</f>
        <v/>
      </c>
      <c r="BF419">
        <f>IFERROR(INDEX(PP_Grid[#Data],$DD419,56),0)</f>
        <v/>
      </c>
      <c r="BG419">
        <f>IFERROR(INDEX(PP_Grid[#Data],$DD419,57),0)</f>
        <v/>
      </c>
      <c r="BH419">
        <f>IFERROR(INDEX(PP_Grid[#Data],$DD419,58),0)</f>
        <v/>
      </c>
      <c r="BI419">
        <f>IFERROR(INDEX(PP_Grid[#Data],$DD419,59),0)</f>
        <v/>
      </c>
      <c r="BJ419">
        <f>IFERROR(INDEX(PP_Grid[#Data],$DD419,60),0)</f>
        <v/>
      </c>
      <c r="BK419">
        <f>IFERROR(INDEX(PP_Grid[#Data],$DD419,61),0)</f>
        <v/>
      </c>
      <c r="BL419">
        <f>IFERROR(INDEX(PP_Grid[#Data],$DD419,62),0)</f>
        <v/>
      </c>
      <c r="BM419">
        <f>IFERROR(INDEX(PP_Grid[#Data],$DD419,63),0)</f>
        <v/>
      </c>
      <c r="BN419">
        <f>IFERROR(INDEX(PP_Grid[#Data],$DD419,64),0)</f>
        <v/>
      </c>
      <c r="BO419">
        <f>IFERROR(INDEX(PP_Grid[#Data],$DD419,65),0)</f>
        <v/>
      </c>
      <c r="BP419">
        <f>IFERROR(INDEX(PP_Grid[#Data],$DD419,66),0)</f>
        <v/>
      </c>
      <c r="BQ419">
        <f>IFERROR(INDEX(PP_Grid[#Data],$DD419,67),0)</f>
        <v/>
      </c>
      <c r="BR419">
        <f>IFERROR(INDEX(PP_Grid[#Data],$DD419,68),0)</f>
        <v/>
      </c>
      <c r="BS419">
        <f>IFERROR(INDEX(PP_Grid[#Data],$DD419,69),0)</f>
        <v/>
      </c>
      <c r="BT419">
        <f>IFERROR(INDEX(PP_Grid[#Data],$DD419,70),0)</f>
        <v/>
      </c>
      <c r="BU419">
        <f>IFERROR(INDEX(PP_Grid[#Data],$DD419,71),0)</f>
        <v/>
      </c>
      <c r="BV419">
        <f>IFERROR(INDEX(PP_Grid[#Data],$DD419,72),0)</f>
        <v/>
      </c>
      <c r="BW419">
        <f>IFERROR(INDEX(PP_Grid[#Data],$DD419,73),0)</f>
        <v/>
      </c>
      <c r="BX419">
        <f>IFERROR(INDEX(PP_Grid[#Data],$DD419,74),0)</f>
        <v/>
      </c>
      <c r="BY419">
        <f>IFERROR(INDEX(PP_Grid[#Data],$DD419,75),0)</f>
        <v/>
      </c>
      <c r="BZ419">
        <f>IFERROR(INDEX(PP_Grid[#Data],$DD419,76),0)</f>
        <v/>
      </c>
      <c r="CA419">
        <f>IFERROR(INDEX(PP_Grid[#Data],$DD419,77),0)</f>
        <v/>
      </c>
      <c r="CB419">
        <f>IFERROR(INDEX(PP_Grid[#Data],$DD419,78),0)</f>
        <v/>
      </c>
      <c r="CC419">
        <f>IFERROR(INDEX(PP_Grid[#Data],$DD419,79),0)</f>
        <v/>
      </c>
      <c r="CD419">
        <f>IFERROR(INDEX(PP_Grid[#Data],$DD419,80),0)</f>
        <v/>
      </c>
      <c r="CE419">
        <f>IFERROR(INDEX(PP_Grid[#Data],$DD419,81),0)</f>
        <v/>
      </c>
      <c r="CF419">
        <f>IFERROR(INDEX(PP_Grid[#Data],$DD419,82),0)</f>
        <v/>
      </c>
      <c r="CG419">
        <f>IFERROR(INDEX(PP_Grid[#Data],$DD419,83),0)</f>
        <v/>
      </c>
      <c r="CH419">
        <f>IFERROR(INDEX(PP_Grid[#Data],$DD419,84),0)</f>
        <v/>
      </c>
      <c r="CI419">
        <f>IFERROR(INDEX(PP_Grid[#Data],$DD419,85),0)</f>
        <v/>
      </c>
      <c r="CJ419">
        <f>IFERROR(INDEX(PP_Grid[#Data],$DD419,86),0)</f>
        <v/>
      </c>
      <c r="CK419">
        <f>IFERROR(INDEX(PP_Grid[#Data],$DD419,87),0)</f>
        <v/>
      </c>
      <c r="CL419">
        <f>IFERROR(INDEX(PP_Grid[#Data],$DD419,88),0)</f>
        <v/>
      </c>
      <c r="CM419">
        <f>IFERROR(INDEX(PP_Grid[#Data],$DD419,89),0)</f>
        <v/>
      </c>
      <c r="CN419">
        <f>IFERROR(INDEX(PP_Grid[#Data],$DD419,90),0)</f>
        <v/>
      </c>
      <c r="CO419">
        <f>IFERROR(INDEX(PP_Grid[#Data],$DD419,91),0)</f>
        <v/>
      </c>
      <c r="CP419">
        <f>IFERROR(INDEX(PP_Grid[#Data],$DD419,92),0)</f>
        <v/>
      </c>
      <c r="CQ419">
        <f>IFERROR(INDEX(PP_Grid[#Data],$DD419,93),0)</f>
        <v/>
      </c>
      <c r="CR419">
        <f>IFERROR(INDEX(PP_Grid[#Data],$DD419,94),0)</f>
        <v/>
      </c>
      <c r="CS419">
        <f>IFERROR(INDEX(PP_Grid[#Data],$DD419,95),0)</f>
        <v/>
      </c>
      <c r="CT419">
        <f>IFERROR(INDEX(PP_Grid[#Data],$DD419,96),0)</f>
        <v/>
      </c>
      <c r="CU419">
        <f>IFERROR(INDEX(PP_Grid[#Data],$DD419,97),0)</f>
        <v/>
      </c>
      <c r="CV419">
        <f>IFERROR(INDEX(PP_Grid[#Data],$DD419,98),0)</f>
        <v/>
      </c>
      <c r="CW419">
        <f>IFERROR(INDEX(PP_Grid[#Data],$DD419,99),0)</f>
        <v/>
      </c>
      <c r="CX419">
        <f>IFERROR(INDEX(PP_Grid[#Data],$DD419,100),0)</f>
        <v/>
      </c>
      <c r="CY419">
        <f>IFERROR(INDEX(PP_Grid[#Data],$DD419,101),0)</f>
        <v/>
      </c>
      <c r="CZ419">
        <f>IFERROR(INDEX(PP_Grid[#Data],$DD419,102),0)</f>
        <v/>
      </c>
      <c r="DA419">
        <f>IFERROR(INDEX(PP_Grid[#Data],$DD419,103),0)</f>
        <v/>
      </c>
      <c r="DB419">
        <f>IFERROR(INDEX(PP_Grid[#Data],$DD419,104),0)</f>
        <v/>
      </c>
      <c r="DC419">
        <f>IFERROR(INDEX(PP_Grid[#Data],$DD419,105),0)</f>
        <v/>
      </c>
      <c r="DD419" s="12">
        <f>IFERROR(MATCH($B419,PP_Grid[Intermediate],0),99999)</f>
        <v/>
      </c>
    </row>
    <row r="420">
      <c r="B420" t="inlineStr">
        <is>
          <t>使用量(kg)</t>
        </is>
      </c>
      <c r="C420">
        <f>SUMIFS(M_BOM[RM_Qty_Per_Batch],M_BOM[Intermediate],$B419,M_BOM[Part Name],$A406)</f>
        <v/>
      </c>
      <c r="D420">
        <f>$C420*D419</f>
        <v/>
      </c>
      <c r="E420">
        <f>$C420*E419</f>
        <v/>
      </c>
      <c r="F420">
        <f>$C420*F419</f>
        <v/>
      </c>
      <c r="G420">
        <f>$C420*G419</f>
        <v/>
      </c>
      <c r="H420">
        <f>$C420*H419</f>
        <v/>
      </c>
      <c r="I420">
        <f>$C420*I419</f>
        <v/>
      </c>
      <c r="J420">
        <f>$C420*J419</f>
        <v/>
      </c>
      <c r="K420">
        <f>$C420*K419</f>
        <v/>
      </c>
      <c r="L420">
        <f>$C420*L419</f>
        <v/>
      </c>
      <c r="M420">
        <f>$C420*M419</f>
        <v/>
      </c>
      <c r="N420">
        <f>$C420*N419</f>
        <v/>
      </c>
      <c r="O420">
        <f>$C420*O419</f>
        <v/>
      </c>
      <c r="P420">
        <f>$C420*P419</f>
        <v/>
      </c>
      <c r="Q420">
        <f>$C420*Q419</f>
        <v/>
      </c>
      <c r="R420">
        <f>$C420*R419</f>
        <v/>
      </c>
      <c r="S420">
        <f>$C420*S419</f>
        <v/>
      </c>
      <c r="T420">
        <f>$C420*T419</f>
        <v/>
      </c>
      <c r="U420">
        <f>$C420*U419</f>
        <v/>
      </c>
      <c r="V420">
        <f>$C420*V419</f>
        <v/>
      </c>
      <c r="W420">
        <f>$C420*W419</f>
        <v/>
      </c>
      <c r="X420">
        <f>$C420*X419</f>
        <v/>
      </c>
      <c r="Y420">
        <f>$C420*Y419</f>
        <v/>
      </c>
      <c r="Z420">
        <f>$C420*Z419</f>
        <v/>
      </c>
      <c r="AA420">
        <f>$C420*AA419</f>
        <v/>
      </c>
      <c r="AB420">
        <f>$C420*AB419</f>
        <v/>
      </c>
      <c r="AC420">
        <f>$C420*AC419</f>
        <v/>
      </c>
      <c r="AD420">
        <f>$C420*AD419</f>
        <v/>
      </c>
      <c r="AE420">
        <f>$C420*AE419</f>
        <v/>
      </c>
      <c r="AF420">
        <f>$C420*AF419</f>
        <v/>
      </c>
      <c r="AG420">
        <f>$C420*AG419</f>
        <v/>
      </c>
      <c r="AH420">
        <f>$C420*AH419</f>
        <v/>
      </c>
      <c r="AI420">
        <f>$C420*AI419</f>
        <v/>
      </c>
      <c r="AJ420">
        <f>$C420*AJ419</f>
        <v/>
      </c>
      <c r="AK420">
        <f>$C420*AK419</f>
        <v/>
      </c>
      <c r="AL420">
        <f>$C420*AL419</f>
        <v/>
      </c>
      <c r="AM420">
        <f>$C420*AM419</f>
        <v/>
      </c>
      <c r="AN420">
        <f>$C420*AN419</f>
        <v/>
      </c>
      <c r="AO420">
        <f>$C420*AO419</f>
        <v/>
      </c>
      <c r="AP420">
        <f>$C420*AP419</f>
        <v/>
      </c>
      <c r="AQ420">
        <f>$C420*AQ419</f>
        <v/>
      </c>
      <c r="AR420">
        <f>$C420*AR419</f>
        <v/>
      </c>
      <c r="AS420">
        <f>$C420*AS419</f>
        <v/>
      </c>
      <c r="AT420">
        <f>$C420*AT419</f>
        <v/>
      </c>
      <c r="AU420">
        <f>$C420*AU419</f>
        <v/>
      </c>
      <c r="AV420">
        <f>$C420*AV419</f>
        <v/>
      </c>
      <c r="AW420">
        <f>$C420*AW419</f>
        <v/>
      </c>
      <c r="AX420">
        <f>$C420*AX419</f>
        <v/>
      </c>
      <c r="AY420">
        <f>$C420*AY419</f>
        <v/>
      </c>
      <c r="AZ420">
        <f>$C420*AZ419</f>
        <v/>
      </c>
      <c r="BA420">
        <f>$C420*BA419</f>
        <v/>
      </c>
      <c r="BB420">
        <f>$C420*BB419</f>
        <v/>
      </c>
      <c r="BC420">
        <f>$C420*BC419</f>
        <v/>
      </c>
      <c r="BD420">
        <f>$C420*BD419</f>
        <v/>
      </c>
      <c r="BE420">
        <f>$C420*BE419</f>
        <v/>
      </c>
      <c r="BF420">
        <f>$C420*BF419</f>
        <v/>
      </c>
      <c r="BG420">
        <f>$C420*BG419</f>
        <v/>
      </c>
      <c r="BH420">
        <f>$C420*BH419</f>
        <v/>
      </c>
      <c r="BI420">
        <f>$C420*BI419</f>
        <v/>
      </c>
      <c r="BJ420">
        <f>$C420*BJ419</f>
        <v/>
      </c>
      <c r="BK420">
        <f>$C420*BK419</f>
        <v/>
      </c>
      <c r="BL420">
        <f>$C420*BL419</f>
        <v/>
      </c>
      <c r="BM420">
        <f>$C420*BM419</f>
        <v/>
      </c>
      <c r="BN420">
        <f>$C420*BN419</f>
        <v/>
      </c>
      <c r="BO420">
        <f>$C420*BO419</f>
        <v/>
      </c>
      <c r="BP420">
        <f>$C420*BP419</f>
        <v/>
      </c>
      <c r="BQ420">
        <f>$C420*BQ419</f>
        <v/>
      </c>
      <c r="BR420">
        <f>$C420*BR419</f>
        <v/>
      </c>
      <c r="BS420">
        <f>$C420*BS419</f>
        <v/>
      </c>
      <c r="BT420">
        <f>$C420*BT419</f>
        <v/>
      </c>
      <c r="BU420">
        <f>$C420*BU419</f>
        <v/>
      </c>
      <c r="BV420">
        <f>$C420*BV419</f>
        <v/>
      </c>
      <c r="BW420">
        <f>$C420*BW419</f>
        <v/>
      </c>
      <c r="BX420">
        <f>$C420*BX419</f>
        <v/>
      </c>
      <c r="BY420">
        <f>$C420*BY419</f>
        <v/>
      </c>
      <c r="BZ420">
        <f>$C420*BZ419</f>
        <v/>
      </c>
      <c r="CA420">
        <f>$C420*CA419</f>
        <v/>
      </c>
      <c r="CB420">
        <f>$C420*CB419</f>
        <v/>
      </c>
      <c r="CC420">
        <f>$C420*CC419</f>
        <v/>
      </c>
      <c r="CD420">
        <f>$C420*CD419</f>
        <v/>
      </c>
      <c r="CE420">
        <f>$C420*CE419</f>
        <v/>
      </c>
      <c r="CF420">
        <f>$C420*CF419</f>
        <v/>
      </c>
      <c r="CG420">
        <f>$C420*CG419</f>
        <v/>
      </c>
      <c r="CH420">
        <f>$C420*CH419</f>
        <v/>
      </c>
      <c r="CI420">
        <f>$C420*CI419</f>
        <v/>
      </c>
      <c r="CJ420">
        <f>$C420*CJ419</f>
        <v/>
      </c>
      <c r="CK420">
        <f>$C420*CK419</f>
        <v/>
      </c>
      <c r="CL420">
        <f>$C420*CL419</f>
        <v/>
      </c>
      <c r="CM420">
        <f>$C420*CM419</f>
        <v/>
      </c>
      <c r="CN420">
        <f>$C420*CN419</f>
        <v/>
      </c>
      <c r="CO420">
        <f>$C420*CO419</f>
        <v/>
      </c>
      <c r="CP420">
        <f>$C420*CP419</f>
        <v/>
      </c>
      <c r="CQ420">
        <f>$C420*CQ419</f>
        <v/>
      </c>
      <c r="CR420">
        <f>$C420*CR419</f>
        <v/>
      </c>
      <c r="CS420">
        <f>$C420*CS419</f>
        <v/>
      </c>
      <c r="CT420">
        <f>$C420*CT419</f>
        <v/>
      </c>
      <c r="CU420">
        <f>$C420*CU419</f>
        <v/>
      </c>
      <c r="CV420">
        <f>$C420*CV419</f>
        <v/>
      </c>
      <c r="CW420">
        <f>$C420*CW419</f>
        <v/>
      </c>
      <c r="CX420">
        <f>$C420*CX419</f>
        <v/>
      </c>
      <c r="CY420">
        <f>$C420*CY419</f>
        <v/>
      </c>
      <c r="CZ420">
        <f>$C420*CZ419</f>
        <v/>
      </c>
      <c r="DA420">
        <f>$C420*DA419</f>
        <v/>
      </c>
      <c r="DB420">
        <f>$C420*DB419</f>
        <v/>
      </c>
      <c r="DC420">
        <f>$C420*DC419</f>
        <v/>
      </c>
    </row>
    <row r="421">
      <c r="B421" t="inlineStr">
        <is>
          <t>TSP-1446</t>
        </is>
      </c>
      <c r="C421" t="inlineStr">
        <is>
          <t>No. of batches</t>
        </is>
      </c>
      <c r="D421">
        <f>IFERROR(INDEX(PP_Grid[#Data],$DD421,2),0)</f>
        <v/>
      </c>
      <c r="E421">
        <f>IFERROR(INDEX(PP_Grid[#Data],$DD421,3),0)</f>
        <v/>
      </c>
      <c r="F421">
        <f>IFERROR(INDEX(PP_Grid[#Data],$DD421,4),0)</f>
        <v/>
      </c>
      <c r="G421">
        <f>IFERROR(INDEX(PP_Grid[#Data],$DD421,5),0)</f>
        <v/>
      </c>
      <c r="H421">
        <f>IFERROR(INDEX(PP_Grid[#Data],$DD421,6),0)</f>
        <v/>
      </c>
      <c r="I421">
        <f>IFERROR(INDEX(PP_Grid[#Data],$DD421,7),0)</f>
        <v/>
      </c>
      <c r="J421">
        <f>IFERROR(INDEX(PP_Grid[#Data],$DD421,8),0)</f>
        <v/>
      </c>
      <c r="K421">
        <f>IFERROR(INDEX(PP_Grid[#Data],$DD421,9),0)</f>
        <v/>
      </c>
      <c r="L421">
        <f>IFERROR(INDEX(PP_Grid[#Data],$DD421,10),0)</f>
        <v/>
      </c>
      <c r="M421">
        <f>IFERROR(INDEX(PP_Grid[#Data],$DD421,11),0)</f>
        <v/>
      </c>
      <c r="N421">
        <f>IFERROR(INDEX(PP_Grid[#Data],$DD421,12),0)</f>
        <v/>
      </c>
      <c r="O421">
        <f>IFERROR(INDEX(PP_Grid[#Data],$DD421,13),0)</f>
        <v/>
      </c>
      <c r="P421">
        <f>IFERROR(INDEX(PP_Grid[#Data],$DD421,14),0)</f>
        <v/>
      </c>
      <c r="Q421">
        <f>IFERROR(INDEX(PP_Grid[#Data],$DD421,15),0)</f>
        <v/>
      </c>
      <c r="R421">
        <f>IFERROR(INDEX(PP_Grid[#Data],$DD421,16),0)</f>
        <v/>
      </c>
      <c r="S421">
        <f>IFERROR(INDEX(PP_Grid[#Data],$DD421,17),0)</f>
        <v/>
      </c>
      <c r="T421">
        <f>IFERROR(INDEX(PP_Grid[#Data],$DD421,18),0)</f>
        <v/>
      </c>
      <c r="U421">
        <f>IFERROR(INDEX(PP_Grid[#Data],$DD421,19),0)</f>
        <v/>
      </c>
      <c r="V421">
        <f>IFERROR(INDEX(PP_Grid[#Data],$DD421,20),0)</f>
        <v/>
      </c>
      <c r="W421">
        <f>IFERROR(INDEX(PP_Grid[#Data],$DD421,21),0)</f>
        <v/>
      </c>
      <c r="X421">
        <f>IFERROR(INDEX(PP_Grid[#Data],$DD421,22),0)</f>
        <v/>
      </c>
      <c r="Y421">
        <f>IFERROR(INDEX(PP_Grid[#Data],$DD421,23),0)</f>
        <v/>
      </c>
      <c r="Z421">
        <f>IFERROR(INDEX(PP_Grid[#Data],$DD421,24),0)</f>
        <v/>
      </c>
      <c r="AA421">
        <f>IFERROR(INDEX(PP_Grid[#Data],$DD421,25),0)</f>
        <v/>
      </c>
      <c r="AB421">
        <f>IFERROR(INDEX(PP_Grid[#Data],$DD421,26),0)</f>
        <v/>
      </c>
      <c r="AC421">
        <f>IFERROR(INDEX(PP_Grid[#Data],$DD421,27),0)</f>
        <v/>
      </c>
      <c r="AD421">
        <f>IFERROR(INDEX(PP_Grid[#Data],$DD421,28),0)</f>
        <v/>
      </c>
      <c r="AE421">
        <f>IFERROR(INDEX(PP_Grid[#Data],$DD421,29),0)</f>
        <v/>
      </c>
      <c r="AF421">
        <f>IFERROR(INDEX(PP_Grid[#Data],$DD421,30),0)</f>
        <v/>
      </c>
      <c r="AG421">
        <f>IFERROR(INDEX(PP_Grid[#Data],$DD421,31),0)</f>
        <v/>
      </c>
      <c r="AH421">
        <f>IFERROR(INDEX(PP_Grid[#Data],$DD421,32),0)</f>
        <v/>
      </c>
      <c r="AI421">
        <f>IFERROR(INDEX(PP_Grid[#Data],$DD421,33),0)</f>
        <v/>
      </c>
      <c r="AJ421">
        <f>IFERROR(INDEX(PP_Grid[#Data],$DD421,34),0)</f>
        <v/>
      </c>
      <c r="AK421">
        <f>IFERROR(INDEX(PP_Grid[#Data],$DD421,35),0)</f>
        <v/>
      </c>
      <c r="AL421">
        <f>IFERROR(INDEX(PP_Grid[#Data],$DD421,36),0)</f>
        <v/>
      </c>
      <c r="AM421">
        <f>IFERROR(INDEX(PP_Grid[#Data],$DD421,37),0)</f>
        <v/>
      </c>
      <c r="AN421">
        <f>IFERROR(INDEX(PP_Grid[#Data],$DD421,38),0)</f>
        <v/>
      </c>
      <c r="AO421">
        <f>IFERROR(INDEX(PP_Grid[#Data],$DD421,39),0)</f>
        <v/>
      </c>
      <c r="AP421">
        <f>IFERROR(INDEX(PP_Grid[#Data],$DD421,40),0)</f>
        <v/>
      </c>
      <c r="AQ421">
        <f>IFERROR(INDEX(PP_Grid[#Data],$DD421,41),0)</f>
        <v/>
      </c>
      <c r="AR421">
        <f>IFERROR(INDEX(PP_Grid[#Data],$DD421,42),0)</f>
        <v/>
      </c>
      <c r="AS421">
        <f>IFERROR(INDEX(PP_Grid[#Data],$DD421,43),0)</f>
        <v/>
      </c>
      <c r="AT421">
        <f>IFERROR(INDEX(PP_Grid[#Data],$DD421,44),0)</f>
        <v/>
      </c>
      <c r="AU421">
        <f>IFERROR(INDEX(PP_Grid[#Data],$DD421,45),0)</f>
        <v/>
      </c>
      <c r="AV421">
        <f>IFERROR(INDEX(PP_Grid[#Data],$DD421,46),0)</f>
        <v/>
      </c>
      <c r="AW421">
        <f>IFERROR(INDEX(PP_Grid[#Data],$DD421,47),0)</f>
        <v/>
      </c>
      <c r="AX421">
        <f>IFERROR(INDEX(PP_Grid[#Data],$DD421,48),0)</f>
        <v/>
      </c>
      <c r="AY421">
        <f>IFERROR(INDEX(PP_Grid[#Data],$DD421,49),0)</f>
        <v/>
      </c>
      <c r="AZ421">
        <f>IFERROR(INDEX(PP_Grid[#Data],$DD421,50),0)</f>
        <v/>
      </c>
      <c r="BA421">
        <f>IFERROR(INDEX(PP_Grid[#Data],$DD421,51),0)</f>
        <v/>
      </c>
      <c r="BB421">
        <f>IFERROR(INDEX(PP_Grid[#Data],$DD421,52),0)</f>
        <v/>
      </c>
      <c r="BC421">
        <f>IFERROR(INDEX(PP_Grid[#Data],$DD421,53),0)</f>
        <v/>
      </c>
      <c r="BD421">
        <f>IFERROR(INDEX(PP_Grid[#Data],$DD421,54),0)</f>
        <v/>
      </c>
      <c r="BE421">
        <f>IFERROR(INDEX(PP_Grid[#Data],$DD421,55),0)</f>
        <v/>
      </c>
      <c r="BF421">
        <f>IFERROR(INDEX(PP_Grid[#Data],$DD421,56),0)</f>
        <v/>
      </c>
      <c r="BG421">
        <f>IFERROR(INDEX(PP_Grid[#Data],$DD421,57),0)</f>
        <v/>
      </c>
      <c r="BH421">
        <f>IFERROR(INDEX(PP_Grid[#Data],$DD421,58),0)</f>
        <v/>
      </c>
      <c r="BI421">
        <f>IFERROR(INDEX(PP_Grid[#Data],$DD421,59),0)</f>
        <v/>
      </c>
      <c r="BJ421">
        <f>IFERROR(INDEX(PP_Grid[#Data],$DD421,60),0)</f>
        <v/>
      </c>
      <c r="BK421">
        <f>IFERROR(INDEX(PP_Grid[#Data],$DD421,61),0)</f>
        <v/>
      </c>
      <c r="BL421">
        <f>IFERROR(INDEX(PP_Grid[#Data],$DD421,62),0)</f>
        <v/>
      </c>
      <c r="BM421">
        <f>IFERROR(INDEX(PP_Grid[#Data],$DD421,63),0)</f>
        <v/>
      </c>
      <c r="BN421">
        <f>IFERROR(INDEX(PP_Grid[#Data],$DD421,64),0)</f>
        <v/>
      </c>
      <c r="BO421">
        <f>IFERROR(INDEX(PP_Grid[#Data],$DD421,65),0)</f>
        <v/>
      </c>
      <c r="BP421">
        <f>IFERROR(INDEX(PP_Grid[#Data],$DD421,66),0)</f>
        <v/>
      </c>
      <c r="BQ421">
        <f>IFERROR(INDEX(PP_Grid[#Data],$DD421,67),0)</f>
        <v/>
      </c>
      <c r="BR421">
        <f>IFERROR(INDEX(PP_Grid[#Data],$DD421,68),0)</f>
        <v/>
      </c>
      <c r="BS421">
        <f>IFERROR(INDEX(PP_Grid[#Data],$DD421,69),0)</f>
        <v/>
      </c>
      <c r="BT421">
        <f>IFERROR(INDEX(PP_Grid[#Data],$DD421,70),0)</f>
        <v/>
      </c>
      <c r="BU421">
        <f>IFERROR(INDEX(PP_Grid[#Data],$DD421,71),0)</f>
        <v/>
      </c>
      <c r="BV421">
        <f>IFERROR(INDEX(PP_Grid[#Data],$DD421,72),0)</f>
        <v/>
      </c>
      <c r="BW421">
        <f>IFERROR(INDEX(PP_Grid[#Data],$DD421,73),0)</f>
        <v/>
      </c>
      <c r="BX421">
        <f>IFERROR(INDEX(PP_Grid[#Data],$DD421,74),0)</f>
        <v/>
      </c>
      <c r="BY421">
        <f>IFERROR(INDEX(PP_Grid[#Data],$DD421,75),0)</f>
        <v/>
      </c>
      <c r="BZ421">
        <f>IFERROR(INDEX(PP_Grid[#Data],$DD421,76),0)</f>
        <v/>
      </c>
      <c r="CA421">
        <f>IFERROR(INDEX(PP_Grid[#Data],$DD421,77),0)</f>
        <v/>
      </c>
      <c r="CB421">
        <f>IFERROR(INDEX(PP_Grid[#Data],$DD421,78),0)</f>
        <v/>
      </c>
      <c r="CC421">
        <f>IFERROR(INDEX(PP_Grid[#Data],$DD421,79),0)</f>
        <v/>
      </c>
      <c r="CD421">
        <f>IFERROR(INDEX(PP_Grid[#Data],$DD421,80),0)</f>
        <v/>
      </c>
      <c r="CE421">
        <f>IFERROR(INDEX(PP_Grid[#Data],$DD421,81),0)</f>
        <v/>
      </c>
      <c r="CF421">
        <f>IFERROR(INDEX(PP_Grid[#Data],$DD421,82),0)</f>
        <v/>
      </c>
      <c r="CG421">
        <f>IFERROR(INDEX(PP_Grid[#Data],$DD421,83),0)</f>
        <v/>
      </c>
      <c r="CH421">
        <f>IFERROR(INDEX(PP_Grid[#Data],$DD421,84),0)</f>
        <v/>
      </c>
      <c r="CI421">
        <f>IFERROR(INDEX(PP_Grid[#Data],$DD421,85),0)</f>
        <v/>
      </c>
      <c r="CJ421">
        <f>IFERROR(INDEX(PP_Grid[#Data],$DD421,86),0)</f>
        <v/>
      </c>
      <c r="CK421">
        <f>IFERROR(INDEX(PP_Grid[#Data],$DD421,87),0)</f>
        <v/>
      </c>
      <c r="CL421">
        <f>IFERROR(INDEX(PP_Grid[#Data],$DD421,88),0)</f>
        <v/>
      </c>
      <c r="CM421">
        <f>IFERROR(INDEX(PP_Grid[#Data],$DD421,89),0)</f>
        <v/>
      </c>
      <c r="CN421">
        <f>IFERROR(INDEX(PP_Grid[#Data],$DD421,90),0)</f>
        <v/>
      </c>
      <c r="CO421">
        <f>IFERROR(INDEX(PP_Grid[#Data],$DD421,91),0)</f>
        <v/>
      </c>
      <c r="CP421">
        <f>IFERROR(INDEX(PP_Grid[#Data],$DD421,92),0)</f>
        <v/>
      </c>
      <c r="CQ421">
        <f>IFERROR(INDEX(PP_Grid[#Data],$DD421,93),0)</f>
        <v/>
      </c>
      <c r="CR421">
        <f>IFERROR(INDEX(PP_Grid[#Data],$DD421,94),0)</f>
        <v/>
      </c>
      <c r="CS421">
        <f>IFERROR(INDEX(PP_Grid[#Data],$DD421,95),0)</f>
        <v/>
      </c>
      <c r="CT421">
        <f>IFERROR(INDEX(PP_Grid[#Data],$DD421,96),0)</f>
        <v/>
      </c>
      <c r="CU421">
        <f>IFERROR(INDEX(PP_Grid[#Data],$DD421,97),0)</f>
        <v/>
      </c>
      <c r="CV421">
        <f>IFERROR(INDEX(PP_Grid[#Data],$DD421,98),0)</f>
        <v/>
      </c>
      <c r="CW421">
        <f>IFERROR(INDEX(PP_Grid[#Data],$DD421,99),0)</f>
        <v/>
      </c>
      <c r="CX421">
        <f>IFERROR(INDEX(PP_Grid[#Data],$DD421,100),0)</f>
        <v/>
      </c>
      <c r="CY421">
        <f>IFERROR(INDEX(PP_Grid[#Data],$DD421,101),0)</f>
        <v/>
      </c>
      <c r="CZ421">
        <f>IFERROR(INDEX(PP_Grid[#Data],$DD421,102),0)</f>
        <v/>
      </c>
      <c r="DA421">
        <f>IFERROR(INDEX(PP_Grid[#Data],$DD421,103),0)</f>
        <v/>
      </c>
      <c r="DB421">
        <f>IFERROR(INDEX(PP_Grid[#Data],$DD421,104),0)</f>
        <v/>
      </c>
      <c r="DC421">
        <f>IFERROR(INDEX(PP_Grid[#Data],$DD421,105),0)</f>
        <v/>
      </c>
      <c r="DD421" s="12">
        <f>IFERROR(MATCH($B421,PP_Grid[Intermediate],0),99999)</f>
        <v/>
      </c>
    </row>
    <row r="422">
      <c r="B422" t="inlineStr">
        <is>
          <t>使用量(kg)</t>
        </is>
      </c>
      <c r="C422">
        <f>SUMIFS(M_BOM[RM_Qty_Per_Batch],M_BOM[Intermediate],$B421,M_BOM[Part Name],$A406)</f>
        <v/>
      </c>
      <c r="D422">
        <f>$C422*D421</f>
        <v/>
      </c>
      <c r="E422">
        <f>$C422*E421</f>
        <v/>
      </c>
      <c r="F422">
        <f>$C422*F421</f>
        <v/>
      </c>
      <c r="G422">
        <f>$C422*G421</f>
        <v/>
      </c>
      <c r="H422">
        <f>$C422*H421</f>
        <v/>
      </c>
      <c r="I422">
        <f>$C422*I421</f>
        <v/>
      </c>
      <c r="J422">
        <f>$C422*J421</f>
        <v/>
      </c>
      <c r="K422">
        <f>$C422*K421</f>
        <v/>
      </c>
      <c r="L422">
        <f>$C422*L421</f>
        <v/>
      </c>
      <c r="M422">
        <f>$C422*M421</f>
        <v/>
      </c>
      <c r="N422">
        <f>$C422*N421</f>
        <v/>
      </c>
      <c r="O422">
        <f>$C422*O421</f>
        <v/>
      </c>
      <c r="P422">
        <f>$C422*P421</f>
        <v/>
      </c>
      <c r="Q422">
        <f>$C422*Q421</f>
        <v/>
      </c>
      <c r="R422">
        <f>$C422*R421</f>
        <v/>
      </c>
      <c r="S422">
        <f>$C422*S421</f>
        <v/>
      </c>
      <c r="T422">
        <f>$C422*T421</f>
        <v/>
      </c>
      <c r="U422">
        <f>$C422*U421</f>
        <v/>
      </c>
      <c r="V422">
        <f>$C422*V421</f>
        <v/>
      </c>
      <c r="W422">
        <f>$C422*W421</f>
        <v/>
      </c>
      <c r="X422">
        <f>$C422*X421</f>
        <v/>
      </c>
      <c r="Y422">
        <f>$C422*Y421</f>
        <v/>
      </c>
      <c r="Z422">
        <f>$C422*Z421</f>
        <v/>
      </c>
      <c r="AA422">
        <f>$C422*AA421</f>
        <v/>
      </c>
      <c r="AB422">
        <f>$C422*AB421</f>
        <v/>
      </c>
      <c r="AC422">
        <f>$C422*AC421</f>
        <v/>
      </c>
      <c r="AD422">
        <f>$C422*AD421</f>
        <v/>
      </c>
      <c r="AE422">
        <f>$C422*AE421</f>
        <v/>
      </c>
      <c r="AF422">
        <f>$C422*AF421</f>
        <v/>
      </c>
      <c r="AG422">
        <f>$C422*AG421</f>
        <v/>
      </c>
      <c r="AH422">
        <f>$C422*AH421</f>
        <v/>
      </c>
      <c r="AI422">
        <f>$C422*AI421</f>
        <v/>
      </c>
      <c r="AJ422">
        <f>$C422*AJ421</f>
        <v/>
      </c>
      <c r="AK422">
        <f>$C422*AK421</f>
        <v/>
      </c>
      <c r="AL422">
        <f>$C422*AL421</f>
        <v/>
      </c>
      <c r="AM422">
        <f>$C422*AM421</f>
        <v/>
      </c>
      <c r="AN422">
        <f>$C422*AN421</f>
        <v/>
      </c>
      <c r="AO422">
        <f>$C422*AO421</f>
        <v/>
      </c>
      <c r="AP422">
        <f>$C422*AP421</f>
        <v/>
      </c>
      <c r="AQ422">
        <f>$C422*AQ421</f>
        <v/>
      </c>
      <c r="AR422">
        <f>$C422*AR421</f>
        <v/>
      </c>
      <c r="AS422">
        <f>$C422*AS421</f>
        <v/>
      </c>
      <c r="AT422">
        <f>$C422*AT421</f>
        <v/>
      </c>
      <c r="AU422">
        <f>$C422*AU421</f>
        <v/>
      </c>
      <c r="AV422">
        <f>$C422*AV421</f>
        <v/>
      </c>
      <c r="AW422">
        <f>$C422*AW421</f>
        <v/>
      </c>
      <c r="AX422">
        <f>$C422*AX421</f>
        <v/>
      </c>
      <c r="AY422">
        <f>$C422*AY421</f>
        <v/>
      </c>
      <c r="AZ422">
        <f>$C422*AZ421</f>
        <v/>
      </c>
      <c r="BA422">
        <f>$C422*BA421</f>
        <v/>
      </c>
      <c r="BB422">
        <f>$C422*BB421</f>
        <v/>
      </c>
      <c r="BC422">
        <f>$C422*BC421</f>
        <v/>
      </c>
      <c r="BD422">
        <f>$C422*BD421</f>
        <v/>
      </c>
      <c r="BE422">
        <f>$C422*BE421</f>
        <v/>
      </c>
      <c r="BF422">
        <f>$C422*BF421</f>
        <v/>
      </c>
      <c r="BG422">
        <f>$C422*BG421</f>
        <v/>
      </c>
      <c r="BH422">
        <f>$C422*BH421</f>
        <v/>
      </c>
      <c r="BI422">
        <f>$C422*BI421</f>
        <v/>
      </c>
      <c r="BJ422">
        <f>$C422*BJ421</f>
        <v/>
      </c>
      <c r="BK422">
        <f>$C422*BK421</f>
        <v/>
      </c>
      <c r="BL422">
        <f>$C422*BL421</f>
        <v/>
      </c>
      <c r="BM422">
        <f>$C422*BM421</f>
        <v/>
      </c>
      <c r="BN422">
        <f>$C422*BN421</f>
        <v/>
      </c>
      <c r="BO422">
        <f>$C422*BO421</f>
        <v/>
      </c>
      <c r="BP422">
        <f>$C422*BP421</f>
        <v/>
      </c>
      <c r="BQ422">
        <f>$C422*BQ421</f>
        <v/>
      </c>
      <c r="BR422">
        <f>$C422*BR421</f>
        <v/>
      </c>
      <c r="BS422">
        <f>$C422*BS421</f>
        <v/>
      </c>
      <c r="BT422">
        <f>$C422*BT421</f>
        <v/>
      </c>
      <c r="BU422">
        <f>$C422*BU421</f>
        <v/>
      </c>
      <c r="BV422">
        <f>$C422*BV421</f>
        <v/>
      </c>
      <c r="BW422">
        <f>$C422*BW421</f>
        <v/>
      </c>
      <c r="BX422">
        <f>$C422*BX421</f>
        <v/>
      </c>
      <c r="BY422">
        <f>$C422*BY421</f>
        <v/>
      </c>
      <c r="BZ422">
        <f>$C422*BZ421</f>
        <v/>
      </c>
      <c r="CA422">
        <f>$C422*CA421</f>
        <v/>
      </c>
      <c r="CB422">
        <f>$C422*CB421</f>
        <v/>
      </c>
      <c r="CC422">
        <f>$C422*CC421</f>
        <v/>
      </c>
      <c r="CD422">
        <f>$C422*CD421</f>
        <v/>
      </c>
      <c r="CE422">
        <f>$C422*CE421</f>
        <v/>
      </c>
      <c r="CF422">
        <f>$C422*CF421</f>
        <v/>
      </c>
      <c r="CG422">
        <f>$C422*CG421</f>
        <v/>
      </c>
      <c r="CH422">
        <f>$C422*CH421</f>
        <v/>
      </c>
      <c r="CI422">
        <f>$C422*CI421</f>
        <v/>
      </c>
      <c r="CJ422">
        <f>$C422*CJ421</f>
        <v/>
      </c>
      <c r="CK422">
        <f>$C422*CK421</f>
        <v/>
      </c>
      <c r="CL422">
        <f>$C422*CL421</f>
        <v/>
      </c>
      <c r="CM422">
        <f>$C422*CM421</f>
        <v/>
      </c>
      <c r="CN422">
        <f>$C422*CN421</f>
        <v/>
      </c>
      <c r="CO422">
        <f>$C422*CO421</f>
        <v/>
      </c>
      <c r="CP422">
        <f>$C422*CP421</f>
        <v/>
      </c>
      <c r="CQ422">
        <f>$C422*CQ421</f>
        <v/>
      </c>
      <c r="CR422">
        <f>$C422*CR421</f>
        <v/>
      </c>
      <c r="CS422">
        <f>$C422*CS421</f>
        <v/>
      </c>
      <c r="CT422">
        <f>$C422*CT421</f>
        <v/>
      </c>
      <c r="CU422">
        <f>$C422*CU421</f>
        <v/>
      </c>
      <c r="CV422">
        <f>$C422*CV421</f>
        <v/>
      </c>
      <c r="CW422">
        <f>$C422*CW421</f>
        <v/>
      </c>
      <c r="CX422">
        <f>$C422*CX421</f>
        <v/>
      </c>
      <c r="CY422">
        <f>$C422*CY421</f>
        <v/>
      </c>
      <c r="CZ422">
        <f>$C422*CZ421</f>
        <v/>
      </c>
      <c r="DA422">
        <f>$C422*DA421</f>
        <v/>
      </c>
      <c r="DB422">
        <f>$C422*DB421</f>
        <v/>
      </c>
      <c r="DC422">
        <f>$C422*DC421</f>
        <v/>
      </c>
    </row>
    <row r="423">
      <c r="B423" t="inlineStr">
        <is>
          <t>TSP-1448</t>
        </is>
      </c>
      <c r="C423" t="inlineStr">
        <is>
          <t>No. of batches</t>
        </is>
      </c>
      <c r="D423">
        <f>IFERROR(INDEX(PP_Grid[#Data],$DD423,2),0)</f>
        <v/>
      </c>
      <c r="E423">
        <f>IFERROR(INDEX(PP_Grid[#Data],$DD423,3),0)</f>
        <v/>
      </c>
      <c r="F423">
        <f>IFERROR(INDEX(PP_Grid[#Data],$DD423,4),0)</f>
        <v/>
      </c>
      <c r="G423">
        <f>IFERROR(INDEX(PP_Grid[#Data],$DD423,5),0)</f>
        <v/>
      </c>
      <c r="H423">
        <f>IFERROR(INDEX(PP_Grid[#Data],$DD423,6),0)</f>
        <v/>
      </c>
      <c r="I423">
        <f>IFERROR(INDEX(PP_Grid[#Data],$DD423,7),0)</f>
        <v/>
      </c>
      <c r="J423">
        <f>IFERROR(INDEX(PP_Grid[#Data],$DD423,8),0)</f>
        <v/>
      </c>
      <c r="K423">
        <f>IFERROR(INDEX(PP_Grid[#Data],$DD423,9),0)</f>
        <v/>
      </c>
      <c r="L423">
        <f>IFERROR(INDEX(PP_Grid[#Data],$DD423,10),0)</f>
        <v/>
      </c>
      <c r="M423">
        <f>IFERROR(INDEX(PP_Grid[#Data],$DD423,11),0)</f>
        <v/>
      </c>
      <c r="N423">
        <f>IFERROR(INDEX(PP_Grid[#Data],$DD423,12),0)</f>
        <v/>
      </c>
      <c r="O423">
        <f>IFERROR(INDEX(PP_Grid[#Data],$DD423,13),0)</f>
        <v/>
      </c>
      <c r="P423">
        <f>IFERROR(INDEX(PP_Grid[#Data],$DD423,14),0)</f>
        <v/>
      </c>
      <c r="Q423">
        <f>IFERROR(INDEX(PP_Grid[#Data],$DD423,15),0)</f>
        <v/>
      </c>
      <c r="R423">
        <f>IFERROR(INDEX(PP_Grid[#Data],$DD423,16),0)</f>
        <v/>
      </c>
      <c r="S423">
        <f>IFERROR(INDEX(PP_Grid[#Data],$DD423,17),0)</f>
        <v/>
      </c>
      <c r="T423">
        <f>IFERROR(INDEX(PP_Grid[#Data],$DD423,18),0)</f>
        <v/>
      </c>
      <c r="U423">
        <f>IFERROR(INDEX(PP_Grid[#Data],$DD423,19),0)</f>
        <v/>
      </c>
      <c r="V423">
        <f>IFERROR(INDEX(PP_Grid[#Data],$DD423,20),0)</f>
        <v/>
      </c>
      <c r="W423">
        <f>IFERROR(INDEX(PP_Grid[#Data],$DD423,21),0)</f>
        <v/>
      </c>
      <c r="X423">
        <f>IFERROR(INDEX(PP_Grid[#Data],$DD423,22),0)</f>
        <v/>
      </c>
      <c r="Y423">
        <f>IFERROR(INDEX(PP_Grid[#Data],$DD423,23),0)</f>
        <v/>
      </c>
      <c r="Z423">
        <f>IFERROR(INDEX(PP_Grid[#Data],$DD423,24),0)</f>
        <v/>
      </c>
      <c r="AA423">
        <f>IFERROR(INDEX(PP_Grid[#Data],$DD423,25),0)</f>
        <v/>
      </c>
      <c r="AB423">
        <f>IFERROR(INDEX(PP_Grid[#Data],$DD423,26),0)</f>
        <v/>
      </c>
      <c r="AC423">
        <f>IFERROR(INDEX(PP_Grid[#Data],$DD423,27),0)</f>
        <v/>
      </c>
      <c r="AD423">
        <f>IFERROR(INDEX(PP_Grid[#Data],$DD423,28),0)</f>
        <v/>
      </c>
      <c r="AE423">
        <f>IFERROR(INDEX(PP_Grid[#Data],$DD423,29),0)</f>
        <v/>
      </c>
      <c r="AF423">
        <f>IFERROR(INDEX(PP_Grid[#Data],$DD423,30),0)</f>
        <v/>
      </c>
      <c r="AG423">
        <f>IFERROR(INDEX(PP_Grid[#Data],$DD423,31),0)</f>
        <v/>
      </c>
      <c r="AH423">
        <f>IFERROR(INDEX(PP_Grid[#Data],$DD423,32),0)</f>
        <v/>
      </c>
      <c r="AI423">
        <f>IFERROR(INDEX(PP_Grid[#Data],$DD423,33),0)</f>
        <v/>
      </c>
      <c r="AJ423">
        <f>IFERROR(INDEX(PP_Grid[#Data],$DD423,34),0)</f>
        <v/>
      </c>
      <c r="AK423">
        <f>IFERROR(INDEX(PP_Grid[#Data],$DD423,35),0)</f>
        <v/>
      </c>
      <c r="AL423">
        <f>IFERROR(INDEX(PP_Grid[#Data],$DD423,36),0)</f>
        <v/>
      </c>
      <c r="AM423">
        <f>IFERROR(INDEX(PP_Grid[#Data],$DD423,37),0)</f>
        <v/>
      </c>
      <c r="AN423">
        <f>IFERROR(INDEX(PP_Grid[#Data],$DD423,38),0)</f>
        <v/>
      </c>
      <c r="AO423">
        <f>IFERROR(INDEX(PP_Grid[#Data],$DD423,39),0)</f>
        <v/>
      </c>
      <c r="AP423">
        <f>IFERROR(INDEX(PP_Grid[#Data],$DD423,40),0)</f>
        <v/>
      </c>
      <c r="AQ423">
        <f>IFERROR(INDEX(PP_Grid[#Data],$DD423,41),0)</f>
        <v/>
      </c>
      <c r="AR423">
        <f>IFERROR(INDEX(PP_Grid[#Data],$DD423,42),0)</f>
        <v/>
      </c>
      <c r="AS423">
        <f>IFERROR(INDEX(PP_Grid[#Data],$DD423,43),0)</f>
        <v/>
      </c>
      <c r="AT423">
        <f>IFERROR(INDEX(PP_Grid[#Data],$DD423,44),0)</f>
        <v/>
      </c>
      <c r="AU423">
        <f>IFERROR(INDEX(PP_Grid[#Data],$DD423,45),0)</f>
        <v/>
      </c>
      <c r="AV423">
        <f>IFERROR(INDEX(PP_Grid[#Data],$DD423,46),0)</f>
        <v/>
      </c>
      <c r="AW423">
        <f>IFERROR(INDEX(PP_Grid[#Data],$DD423,47),0)</f>
        <v/>
      </c>
      <c r="AX423">
        <f>IFERROR(INDEX(PP_Grid[#Data],$DD423,48),0)</f>
        <v/>
      </c>
      <c r="AY423">
        <f>IFERROR(INDEX(PP_Grid[#Data],$DD423,49),0)</f>
        <v/>
      </c>
      <c r="AZ423">
        <f>IFERROR(INDEX(PP_Grid[#Data],$DD423,50),0)</f>
        <v/>
      </c>
      <c r="BA423">
        <f>IFERROR(INDEX(PP_Grid[#Data],$DD423,51),0)</f>
        <v/>
      </c>
      <c r="BB423">
        <f>IFERROR(INDEX(PP_Grid[#Data],$DD423,52),0)</f>
        <v/>
      </c>
      <c r="BC423">
        <f>IFERROR(INDEX(PP_Grid[#Data],$DD423,53),0)</f>
        <v/>
      </c>
      <c r="BD423">
        <f>IFERROR(INDEX(PP_Grid[#Data],$DD423,54),0)</f>
        <v/>
      </c>
      <c r="BE423">
        <f>IFERROR(INDEX(PP_Grid[#Data],$DD423,55),0)</f>
        <v/>
      </c>
      <c r="BF423">
        <f>IFERROR(INDEX(PP_Grid[#Data],$DD423,56),0)</f>
        <v/>
      </c>
      <c r="BG423">
        <f>IFERROR(INDEX(PP_Grid[#Data],$DD423,57),0)</f>
        <v/>
      </c>
      <c r="BH423">
        <f>IFERROR(INDEX(PP_Grid[#Data],$DD423,58),0)</f>
        <v/>
      </c>
      <c r="BI423">
        <f>IFERROR(INDEX(PP_Grid[#Data],$DD423,59),0)</f>
        <v/>
      </c>
      <c r="BJ423">
        <f>IFERROR(INDEX(PP_Grid[#Data],$DD423,60),0)</f>
        <v/>
      </c>
      <c r="BK423">
        <f>IFERROR(INDEX(PP_Grid[#Data],$DD423,61),0)</f>
        <v/>
      </c>
      <c r="BL423">
        <f>IFERROR(INDEX(PP_Grid[#Data],$DD423,62),0)</f>
        <v/>
      </c>
      <c r="BM423">
        <f>IFERROR(INDEX(PP_Grid[#Data],$DD423,63),0)</f>
        <v/>
      </c>
      <c r="BN423">
        <f>IFERROR(INDEX(PP_Grid[#Data],$DD423,64),0)</f>
        <v/>
      </c>
      <c r="BO423">
        <f>IFERROR(INDEX(PP_Grid[#Data],$DD423,65),0)</f>
        <v/>
      </c>
      <c r="BP423">
        <f>IFERROR(INDEX(PP_Grid[#Data],$DD423,66),0)</f>
        <v/>
      </c>
      <c r="BQ423">
        <f>IFERROR(INDEX(PP_Grid[#Data],$DD423,67),0)</f>
        <v/>
      </c>
      <c r="BR423">
        <f>IFERROR(INDEX(PP_Grid[#Data],$DD423,68),0)</f>
        <v/>
      </c>
      <c r="BS423">
        <f>IFERROR(INDEX(PP_Grid[#Data],$DD423,69),0)</f>
        <v/>
      </c>
      <c r="BT423">
        <f>IFERROR(INDEX(PP_Grid[#Data],$DD423,70),0)</f>
        <v/>
      </c>
      <c r="BU423">
        <f>IFERROR(INDEX(PP_Grid[#Data],$DD423,71),0)</f>
        <v/>
      </c>
      <c r="BV423">
        <f>IFERROR(INDEX(PP_Grid[#Data],$DD423,72),0)</f>
        <v/>
      </c>
      <c r="BW423">
        <f>IFERROR(INDEX(PP_Grid[#Data],$DD423,73),0)</f>
        <v/>
      </c>
      <c r="BX423">
        <f>IFERROR(INDEX(PP_Grid[#Data],$DD423,74),0)</f>
        <v/>
      </c>
      <c r="BY423">
        <f>IFERROR(INDEX(PP_Grid[#Data],$DD423,75),0)</f>
        <v/>
      </c>
      <c r="BZ423">
        <f>IFERROR(INDEX(PP_Grid[#Data],$DD423,76),0)</f>
        <v/>
      </c>
      <c r="CA423">
        <f>IFERROR(INDEX(PP_Grid[#Data],$DD423,77),0)</f>
        <v/>
      </c>
      <c r="CB423">
        <f>IFERROR(INDEX(PP_Grid[#Data],$DD423,78),0)</f>
        <v/>
      </c>
      <c r="CC423">
        <f>IFERROR(INDEX(PP_Grid[#Data],$DD423,79),0)</f>
        <v/>
      </c>
      <c r="CD423">
        <f>IFERROR(INDEX(PP_Grid[#Data],$DD423,80),0)</f>
        <v/>
      </c>
      <c r="CE423">
        <f>IFERROR(INDEX(PP_Grid[#Data],$DD423,81),0)</f>
        <v/>
      </c>
      <c r="CF423">
        <f>IFERROR(INDEX(PP_Grid[#Data],$DD423,82),0)</f>
        <v/>
      </c>
      <c r="CG423">
        <f>IFERROR(INDEX(PP_Grid[#Data],$DD423,83),0)</f>
        <v/>
      </c>
      <c r="CH423">
        <f>IFERROR(INDEX(PP_Grid[#Data],$DD423,84),0)</f>
        <v/>
      </c>
      <c r="CI423">
        <f>IFERROR(INDEX(PP_Grid[#Data],$DD423,85),0)</f>
        <v/>
      </c>
      <c r="CJ423">
        <f>IFERROR(INDEX(PP_Grid[#Data],$DD423,86),0)</f>
        <v/>
      </c>
      <c r="CK423">
        <f>IFERROR(INDEX(PP_Grid[#Data],$DD423,87),0)</f>
        <v/>
      </c>
      <c r="CL423">
        <f>IFERROR(INDEX(PP_Grid[#Data],$DD423,88),0)</f>
        <v/>
      </c>
      <c r="CM423">
        <f>IFERROR(INDEX(PP_Grid[#Data],$DD423,89),0)</f>
        <v/>
      </c>
      <c r="CN423">
        <f>IFERROR(INDEX(PP_Grid[#Data],$DD423,90),0)</f>
        <v/>
      </c>
      <c r="CO423">
        <f>IFERROR(INDEX(PP_Grid[#Data],$DD423,91),0)</f>
        <v/>
      </c>
      <c r="CP423">
        <f>IFERROR(INDEX(PP_Grid[#Data],$DD423,92),0)</f>
        <v/>
      </c>
      <c r="CQ423">
        <f>IFERROR(INDEX(PP_Grid[#Data],$DD423,93),0)</f>
        <v/>
      </c>
      <c r="CR423">
        <f>IFERROR(INDEX(PP_Grid[#Data],$DD423,94),0)</f>
        <v/>
      </c>
      <c r="CS423">
        <f>IFERROR(INDEX(PP_Grid[#Data],$DD423,95),0)</f>
        <v/>
      </c>
      <c r="CT423">
        <f>IFERROR(INDEX(PP_Grid[#Data],$DD423,96),0)</f>
        <v/>
      </c>
      <c r="CU423">
        <f>IFERROR(INDEX(PP_Grid[#Data],$DD423,97),0)</f>
        <v/>
      </c>
      <c r="CV423">
        <f>IFERROR(INDEX(PP_Grid[#Data],$DD423,98),0)</f>
        <v/>
      </c>
      <c r="CW423">
        <f>IFERROR(INDEX(PP_Grid[#Data],$DD423,99),0)</f>
        <v/>
      </c>
      <c r="CX423">
        <f>IFERROR(INDEX(PP_Grid[#Data],$DD423,100),0)</f>
        <v/>
      </c>
      <c r="CY423">
        <f>IFERROR(INDEX(PP_Grid[#Data],$DD423,101),0)</f>
        <v/>
      </c>
      <c r="CZ423">
        <f>IFERROR(INDEX(PP_Grid[#Data],$DD423,102),0)</f>
        <v/>
      </c>
      <c r="DA423">
        <f>IFERROR(INDEX(PP_Grid[#Data],$DD423,103),0)</f>
        <v/>
      </c>
      <c r="DB423">
        <f>IFERROR(INDEX(PP_Grid[#Data],$DD423,104),0)</f>
        <v/>
      </c>
      <c r="DC423">
        <f>IFERROR(INDEX(PP_Grid[#Data],$DD423,105),0)</f>
        <v/>
      </c>
      <c r="DD423" s="12">
        <f>IFERROR(MATCH($B423,PP_Grid[Intermediate],0),99999)</f>
        <v/>
      </c>
    </row>
    <row r="424">
      <c r="B424" t="inlineStr">
        <is>
          <t>使用量(kg)</t>
        </is>
      </c>
      <c r="C424">
        <f>SUMIFS(M_BOM[RM_Qty_Per_Batch],M_BOM[Intermediate],$B423,M_BOM[Part Name],$A406)</f>
        <v/>
      </c>
      <c r="D424">
        <f>$C424*D423</f>
        <v/>
      </c>
      <c r="E424">
        <f>$C424*E423</f>
        <v/>
      </c>
      <c r="F424">
        <f>$C424*F423</f>
        <v/>
      </c>
      <c r="G424">
        <f>$C424*G423</f>
        <v/>
      </c>
      <c r="H424">
        <f>$C424*H423</f>
        <v/>
      </c>
      <c r="I424">
        <f>$C424*I423</f>
        <v/>
      </c>
      <c r="J424">
        <f>$C424*J423</f>
        <v/>
      </c>
      <c r="K424">
        <f>$C424*K423</f>
        <v/>
      </c>
      <c r="L424">
        <f>$C424*L423</f>
        <v/>
      </c>
      <c r="M424">
        <f>$C424*M423</f>
        <v/>
      </c>
      <c r="N424">
        <f>$C424*N423</f>
        <v/>
      </c>
      <c r="O424">
        <f>$C424*O423</f>
        <v/>
      </c>
      <c r="P424">
        <f>$C424*P423</f>
        <v/>
      </c>
      <c r="Q424">
        <f>$C424*Q423</f>
        <v/>
      </c>
      <c r="R424">
        <f>$C424*R423</f>
        <v/>
      </c>
      <c r="S424">
        <f>$C424*S423</f>
        <v/>
      </c>
      <c r="T424">
        <f>$C424*T423</f>
        <v/>
      </c>
      <c r="U424">
        <f>$C424*U423</f>
        <v/>
      </c>
      <c r="V424">
        <f>$C424*V423</f>
        <v/>
      </c>
      <c r="W424">
        <f>$C424*W423</f>
        <v/>
      </c>
      <c r="X424">
        <f>$C424*X423</f>
        <v/>
      </c>
      <c r="Y424">
        <f>$C424*Y423</f>
        <v/>
      </c>
      <c r="Z424">
        <f>$C424*Z423</f>
        <v/>
      </c>
      <c r="AA424">
        <f>$C424*AA423</f>
        <v/>
      </c>
      <c r="AB424">
        <f>$C424*AB423</f>
        <v/>
      </c>
      <c r="AC424">
        <f>$C424*AC423</f>
        <v/>
      </c>
      <c r="AD424">
        <f>$C424*AD423</f>
        <v/>
      </c>
      <c r="AE424">
        <f>$C424*AE423</f>
        <v/>
      </c>
      <c r="AF424">
        <f>$C424*AF423</f>
        <v/>
      </c>
      <c r="AG424">
        <f>$C424*AG423</f>
        <v/>
      </c>
      <c r="AH424">
        <f>$C424*AH423</f>
        <v/>
      </c>
      <c r="AI424">
        <f>$C424*AI423</f>
        <v/>
      </c>
      <c r="AJ424">
        <f>$C424*AJ423</f>
        <v/>
      </c>
      <c r="AK424">
        <f>$C424*AK423</f>
        <v/>
      </c>
      <c r="AL424">
        <f>$C424*AL423</f>
        <v/>
      </c>
      <c r="AM424">
        <f>$C424*AM423</f>
        <v/>
      </c>
      <c r="AN424">
        <f>$C424*AN423</f>
        <v/>
      </c>
      <c r="AO424">
        <f>$C424*AO423</f>
        <v/>
      </c>
      <c r="AP424">
        <f>$C424*AP423</f>
        <v/>
      </c>
      <c r="AQ424">
        <f>$C424*AQ423</f>
        <v/>
      </c>
      <c r="AR424">
        <f>$C424*AR423</f>
        <v/>
      </c>
      <c r="AS424">
        <f>$C424*AS423</f>
        <v/>
      </c>
      <c r="AT424">
        <f>$C424*AT423</f>
        <v/>
      </c>
      <c r="AU424">
        <f>$C424*AU423</f>
        <v/>
      </c>
      <c r="AV424">
        <f>$C424*AV423</f>
        <v/>
      </c>
      <c r="AW424">
        <f>$C424*AW423</f>
        <v/>
      </c>
      <c r="AX424">
        <f>$C424*AX423</f>
        <v/>
      </c>
      <c r="AY424">
        <f>$C424*AY423</f>
        <v/>
      </c>
      <c r="AZ424">
        <f>$C424*AZ423</f>
        <v/>
      </c>
      <c r="BA424">
        <f>$C424*BA423</f>
        <v/>
      </c>
      <c r="BB424">
        <f>$C424*BB423</f>
        <v/>
      </c>
      <c r="BC424">
        <f>$C424*BC423</f>
        <v/>
      </c>
      <c r="BD424">
        <f>$C424*BD423</f>
        <v/>
      </c>
      <c r="BE424">
        <f>$C424*BE423</f>
        <v/>
      </c>
      <c r="BF424">
        <f>$C424*BF423</f>
        <v/>
      </c>
      <c r="BG424">
        <f>$C424*BG423</f>
        <v/>
      </c>
      <c r="BH424">
        <f>$C424*BH423</f>
        <v/>
      </c>
      <c r="BI424">
        <f>$C424*BI423</f>
        <v/>
      </c>
      <c r="BJ424">
        <f>$C424*BJ423</f>
        <v/>
      </c>
      <c r="BK424">
        <f>$C424*BK423</f>
        <v/>
      </c>
      <c r="BL424">
        <f>$C424*BL423</f>
        <v/>
      </c>
      <c r="BM424">
        <f>$C424*BM423</f>
        <v/>
      </c>
      <c r="BN424">
        <f>$C424*BN423</f>
        <v/>
      </c>
      <c r="BO424">
        <f>$C424*BO423</f>
        <v/>
      </c>
      <c r="BP424">
        <f>$C424*BP423</f>
        <v/>
      </c>
      <c r="BQ424">
        <f>$C424*BQ423</f>
        <v/>
      </c>
      <c r="BR424">
        <f>$C424*BR423</f>
        <v/>
      </c>
      <c r="BS424">
        <f>$C424*BS423</f>
        <v/>
      </c>
      <c r="BT424">
        <f>$C424*BT423</f>
        <v/>
      </c>
      <c r="BU424">
        <f>$C424*BU423</f>
        <v/>
      </c>
      <c r="BV424">
        <f>$C424*BV423</f>
        <v/>
      </c>
      <c r="BW424">
        <f>$C424*BW423</f>
        <v/>
      </c>
      <c r="BX424">
        <f>$C424*BX423</f>
        <v/>
      </c>
      <c r="BY424">
        <f>$C424*BY423</f>
        <v/>
      </c>
      <c r="BZ424">
        <f>$C424*BZ423</f>
        <v/>
      </c>
      <c r="CA424">
        <f>$C424*CA423</f>
        <v/>
      </c>
      <c r="CB424">
        <f>$C424*CB423</f>
        <v/>
      </c>
      <c r="CC424">
        <f>$C424*CC423</f>
        <v/>
      </c>
      <c r="CD424">
        <f>$C424*CD423</f>
        <v/>
      </c>
      <c r="CE424">
        <f>$C424*CE423</f>
        <v/>
      </c>
      <c r="CF424">
        <f>$C424*CF423</f>
        <v/>
      </c>
      <c r="CG424">
        <f>$C424*CG423</f>
        <v/>
      </c>
      <c r="CH424">
        <f>$C424*CH423</f>
        <v/>
      </c>
      <c r="CI424">
        <f>$C424*CI423</f>
        <v/>
      </c>
      <c r="CJ424">
        <f>$C424*CJ423</f>
        <v/>
      </c>
      <c r="CK424">
        <f>$C424*CK423</f>
        <v/>
      </c>
      <c r="CL424">
        <f>$C424*CL423</f>
        <v/>
      </c>
      <c r="CM424">
        <f>$C424*CM423</f>
        <v/>
      </c>
      <c r="CN424">
        <f>$C424*CN423</f>
        <v/>
      </c>
      <c r="CO424">
        <f>$C424*CO423</f>
        <v/>
      </c>
      <c r="CP424">
        <f>$C424*CP423</f>
        <v/>
      </c>
      <c r="CQ424">
        <f>$C424*CQ423</f>
        <v/>
      </c>
      <c r="CR424">
        <f>$C424*CR423</f>
        <v/>
      </c>
      <c r="CS424">
        <f>$C424*CS423</f>
        <v/>
      </c>
      <c r="CT424">
        <f>$C424*CT423</f>
        <v/>
      </c>
      <c r="CU424">
        <f>$C424*CU423</f>
        <v/>
      </c>
      <c r="CV424">
        <f>$C424*CV423</f>
        <v/>
      </c>
      <c r="CW424">
        <f>$C424*CW423</f>
        <v/>
      </c>
      <c r="CX424">
        <f>$C424*CX423</f>
        <v/>
      </c>
      <c r="CY424">
        <f>$C424*CY423</f>
        <v/>
      </c>
      <c r="CZ424">
        <f>$C424*CZ423</f>
        <v/>
      </c>
      <c r="DA424">
        <f>$C424*DA423</f>
        <v/>
      </c>
      <c r="DB424">
        <f>$C424*DB423</f>
        <v/>
      </c>
      <c r="DC424">
        <f>$C424*DC423</f>
        <v/>
      </c>
    </row>
    <row r="425">
      <c r="B425" t="inlineStr">
        <is>
          <t>TSP-1449</t>
        </is>
      </c>
      <c r="C425" t="inlineStr">
        <is>
          <t>No. of batches</t>
        </is>
      </c>
      <c r="D425">
        <f>IFERROR(INDEX(PP_Grid[#Data],$DD425,2),0)</f>
        <v/>
      </c>
      <c r="E425">
        <f>IFERROR(INDEX(PP_Grid[#Data],$DD425,3),0)</f>
        <v/>
      </c>
      <c r="F425">
        <f>IFERROR(INDEX(PP_Grid[#Data],$DD425,4),0)</f>
        <v/>
      </c>
      <c r="G425">
        <f>IFERROR(INDEX(PP_Grid[#Data],$DD425,5),0)</f>
        <v/>
      </c>
      <c r="H425">
        <f>IFERROR(INDEX(PP_Grid[#Data],$DD425,6),0)</f>
        <v/>
      </c>
      <c r="I425">
        <f>IFERROR(INDEX(PP_Grid[#Data],$DD425,7),0)</f>
        <v/>
      </c>
      <c r="J425">
        <f>IFERROR(INDEX(PP_Grid[#Data],$DD425,8),0)</f>
        <v/>
      </c>
      <c r="K425">
        <f>IFERROR(INDEX(PP_Grid[#Data],$DD425,9),0)</f>
        <v/>
      </c>
      <c r="L425">
        <f>IFERROR(INDEX(PP_Grid[#Data],$DD425,10),0)</f>
        <v/>
      </c>
      <c r="M425">
        <f>IFERROR(INDEX(PP_Grid[#Data],$DD425,11),0)</f>
        <v/>
      </c>
      <c r="N425">
        <f>IFERROR(INDEX(PP_Grid[#Data],$DD425,12),0)</f>
        <v/>
      </c>
      <c r="O425">
        <f>IFERROR(INDEX(PP_Grid[#Data],$DD425,13),0)</f>
        <v/>
      </c>
      <c r="P425">
        <f>IFERROR(INDEX(PP_Grid[#Data],$DD425,14),0)</f>
        <v/>
      </c>
      <c r="Q425">
        <f>IFERROR(INDEX(PP_Grid[#Data],$DD425,15),0)</f>
        <v/>
      </c>
      <c r="R425">
        <f>IFERROR(INDEX(PP_Grid[#Data],$DD425,16),0)</f>
        <v/>
      </c>
      <c r="S425">
        <f>IFERROR(INDEX(PP_Grid[#Data],$DD425,17),0)</f>
        <v/>
      </c>
      <c r="T425">
        <f>IFERROR(INDEX(PP_Grid[#Data],$DD425,18),0)</f>
        <v/>
      </c>
      <c r="U425">
        <f>IFERROR(INDEX(PP_Grid[#Data],$DD425,19),0)</f>
        <v/>
      </c>
      <c r="V425">
        <f>IFERROR(INDEX(PP_Grid[#Data],$DD425,20),0)</f>
        <v/>
      </c>
      <c r="W425">
        <f>IFERROR(INDEX(PP_Grid[#Data],$DD425,21),0)</f>
        <v/>
      </c>
      <c r="X425">
        <f>IFERROR(INDEX(PP_Grid[#Data],$DD425,22),0)</f>
        <v/>
      </c>
      <c r="Y425">
        <f>IFERROR(INDEX(PP_Grid[#Data],$DD425,23),0)</f>
        <v/>
      </c>
      <c r="Z425">
        <f>IFERROR(INDEX(PP_Grid[#Data],$DD425,24),0)</f>
        <v/>
      </c>
      <c r="AA425">
        <f>IFERROR(INDEX(PP_Grid[#Data],$DD425,25),0)</f>
        <v/>
      </c>
      <c r="AB425">
        <f>IFERROR(INDEX(PP_Grid[#Data],$DD425,26),0)</f>
        <v/>
      </c>
      <c r="AC425">
        <f>IFERROR(INDEX(PP_Grid[#Data],$DD425,27),0)</f>
        <v/>
      </c>
      <c r="AD425">
        <f>IFERROR(INDEX(PP_Grid[#Data],$DD425,28),0)</f>
        <v/>
      </c>
      <c r="AE425">
        <f>IFERROR(INDEX(PP_Grid[#Data],$DD425,29),0)</f>
        <v/>
      </c>
      <c r="AF425">
        <f>IFERROR(INDEX(PP_Grid[#Data],$DD425,30),0)</f>
        <v/>
      </c>
      <c r="AG425">
        <f>IFERROR(INDEX(PP_Grid[#Data],$DD425,31),0)</f>
        <v/>
      </c>
      <c r="AH425">
        <f>IFERROR(INDEX(PP_Grid[#Data],$DD425,32),0)</f>
        <v/>
      </c>
      <c r="AI425">
        <f>IFERROR(INDEX(PP_Grid[#Data],$DD425,33),0)</f>
        <v/>
      </c>
      <c r="AJ425">
        <f>IFERROR(INDEX(PP_Grid[#Data],$DD425,34),0)</f>
        <v/>
      </c>
      <c r="AK425">
        <f>IFERROR(INDEX(PP_Grid[#Data],$DD425,35),0)</f>
        <v/>
      </c>
      <c r="AL425">
        <f>IFERROR(INDEX(PP_Grid[#Data],$DD425,36),0)</f>
        <v/>
      </c>
      <c r="AM425">
        <f>IFERROR(INDEX(PP_Grid[#Data],$DD425,37),0)</f>
        <v/>
      </c>
      <c r="AN425">
        <f>IFERROR(INDEX(PP_Grid[#Data],$DD425,38),0)</f>
        <v/>
      </c>
      <c r="AO425">
        <f>IFERROR(INDEX(PP_Grid[#Data],$DD425,39),0)</f>
        <v/>
      </c>
      <c r="AP425">
        <f>IFERROR(INDEX(PP_Grid[#Data],$DD425,40),0)</f>
        <v/>
      </c>
      <c r="AQ425">
        <f>IFERROR(INDEX(PP_Grid[#Data],$DD425,41),0)</f>
        <v/>
      </c>
      <c r="AR425">
        <f>IFERROR(INDEX(PP_Grid[#Data],$DD425,42),0)</f>
        <v/>
      </c>
      <c r="AS425">
        <f>IFERROR(INDEX(PP_Grid[#Data],$DD425,43),0)</f>
        <v/>
      </c>
      <c r="AT425">
        <f>IFERROR(INDEX(PP_Grid[#Data],$DD425,44),0)</f>
        <v/>
      </c>
      <c r="AU425">
        <f>IFERROR(INDEX(PP_Grid[#Data],$DD425,45),0)</f>
        <v/>
      </c>
      <c r="AV425">
        <f>IFERROR(INDEX(PP_Grid[#Data],$DD425,46),0)</f>
        <v/>
      </c>
      <c r="AW425">
        <f>IFERROR(INDEX(PP_Grid[#Data],$DD425,47),0)</f>
        <v/>
      </c>
      <c r="AX425">
        <f>IFERROR(INDEX(PP_Grid[#Data],$DD425,48),0)</f>
        <v/>
      </c>
      <c r="AY425">
        <f>IFERROR(INDEX(PP_Grid[#Data],$DD425,49),0)</f>
        <v/>
      </c>
      <c r="AZ425">
        <f>IFERROR(INDEX(PP_Grid[#Data],$DD425,50),0)</f>
        <v/>
      </c>
      <c r="BA425">
        <f>IFERROR(INDEX(PP_Grid[#Data],$DD425,51),0)</f>
        <v/>
      </c>
      <c r="BB425">
        <f>IFERROR(INDEX(PP_Grid[#Data],$DD425,52),0)</f>
        <v/>
      </c>
      <c r="BC425">
        <f>IFERROR(INDEX(PP_Grid[#Data],$DD425,53),0)</f>
        <v/>
      </c>
      <c r="BD425">
        <f>IFERROR(INDEX(PP_Grid[#Data],$DD425,54),0)</f>
        <v/>
      </c>
      <c r="BE425">
        <f>IFERROR(INDEX(PP_Grid[#Data],$DD425,55),0)</f>
        <v/>
      </c>
      <c r="BF425">
        <f>IFERROR(INDEX(PP_Grid[#Data],$DD425,56),0)</f>
        <v/>
      </c>
      <c r="BG425">
        <f>IFERROR(INDEX(PP_Grid[#Data],$DD425,57),0)</f>
        <v/>
      </c>
      <c r="BH425">
        <f>IFERROR(INDEX(PP_Grid[#Data],$DD425,58),0)</f>
        <v/>
      </c>
      <c r="BI425">
        <f>IFERROR(INDEX(PP_Grid[#Data],$DD425,59),0)</f>
        <v/>
      </c>
      <c r="BJ425">
        <f>IFERROR(INDEX(PP_Grid[#Data],$DD425,60),0)</f>
        <v/>
      </c>
      <c r="BK425">
        <f>IFERROR(INDEX(PP_Grid[#Data],$DD425,61),0)</f>
        <v/>
      </c>
      <c r="BL425">
        <f>IFERROR(INDEX(PP_Grid[#Data],$DD425,62),0)</f>
        <v/>
      </c>
      <c r="BM425">
        <f>IFERROR(INDEX(PP_Grid[#Data],$DD425,63),0)</f>
        <v/>
      </c>
      <c r="BN425">
        <f>IFERROR(INDEX(PP_Grid[#Data],$DD425,64),0)</f>
        <v/>
      </c>
      <c r="BO425">
        <f>IFERROR(INDEX(PP_Grid[#Data],$DD425,65),0)</f>
        <v/>
      </c>
      <c r="BP425">
        <f>IFERROR(INDEX(PP_Grid[#Data],$DD425,66),0)</f>
        <v/>
      </c>
      <c r="BQ425">
        <f>IFERROR(INDEX(PP_Grid[#Data],$DD425,67),0)</f>
        <v/>
      </c>
      <c r="BR425">
        <f>IFERROR(INDEX(PP_Grid[#Data],$DD425,68),0)</f>
        <v/>
      </c>
      <c r="BS425">
        <f>IFERROR(INDEX(PP_Grid[#Data],$DD425,69),0)</f>
        <v/>
      </c>
      <c r="BT425">
        <f>IFERROR(INDEX(PP_Grid[#Data],$DD425,70),0)</f>
        <v/>
      </c>
      <c r="BU425">
        <f>IFERROR(INDEX(PP_Grid[#Data],$DD425,71),0)</f>
        <v/>
      </c>
      <c r="BV425">
        <f>IFERROR(INDEX(PP_Grid[#Data],$DD425,72),0)</f>
        <v/>
      </c>
      <c r="BW425">
        <f>IFERROR(INDEX(PP_Grid[#Data],$DD425,73),0)</f>
        <v/>
      </c>
      <c r="BX425">
        <f>IFERROR(INDEX(PP_Grid[#Data],$DD425,74),0)</f>
        <v/>
      </c>
      <c r="BY425">
        <f>IFERROR(INDEX(PP_Grid[#Data],$DD425,75),0)</f>
        <v/>
      </c>
      <c r="BZ425">
        <f>IFERROR(INDEX(PP_Grid[#Data],$DD425,76),0)</f>
        <v/>
      </c>
      <c r="CA425">
        <f>IFERROR(INDEX(PP_Grid[#Data],$DD425,77),0)</f>
        <v/>
      </c>
      <c r="CB425">
        <f>IFERROR(INDEX(PP_Grid[#Data],$DD425,78),0)</f>
        <v/>
      </c>
      <c r="CC425">
        <f>IFERROR(INDEX(PP_Grid[#Data],$DD425,79),0)</f>
        <v/>
      </c>
      <c r="CD425">
        <f>IFERROR(INDEX(PP_Grid[#Data],$DD425,80),0)</f>
        <v/>
      </c>
      <c r="CE425">
        <f>IFERROR(INDEX(PP_Grid[#Data],$DD425,81),0)</f>
        <v/>
      </c>
      <c r="CF425">
        <f>IFERROR(INDEX(PP_Grid[#Data],$DD425,82),0)</f>
        <v/>
      </c>
      <c r="CG425">
        <f>IFERROR(INDEX(PP_Grid[#Data],$DD425,83),0)</f>
        <v/>
      </c>
      <c r="CH425">
        <f>IFERROR(INDEX(PP_Grid[#Data],$DD425,84),0)</f>
        <v/>
      </c>
      <c r="CI425">
        <f>IFERROR(INDEX(PP_Grid[#Data],$DD425,85),0)</f>
        <v/>
      </c>
      <c r="CJ425">
        <f>IFERROR(INDEX(PP_Grid[#Data],$DD425,86),0)</f>
        <v/>
      </c>
      <c r="CK425">
        <f>IFERROR(INDEX(PP_Grid[#Data],$DD425,87),0)</f>
        <v/>
      </c>
      <c r="CL425">
        <f>IFERROR(INDEX(PP_Grid[#Data],$DD425,88),0)</f>
        <v/>
      </c>
      <c r="CM425">
        <f>IFERROR(INDEX(PP_Grid[#Data],$DD425,89),0)</f>
        <v/>
      </c>
      <c r="CN425">
        <f>IFERROR(INDEX(PP_Grid[#Data],$DD425,90),0)</f>
        <v/>
      </c>
      <c r="CO425">
        <f>IFERROR(INDEX(PP_Grid[#Data],$DD425,91),0)</f>
        <v/>
      </c>
      <c r="CP425">
        <f>IFERROR(INDEX(PP_Grid[#Data],$DD425,92),0)</f>
        <v/>
      </c>
      <c r="CQ425">
        <f>IFERROR(INDEX(PP_Grid[#Data],$DD425,93),0)</f>
        <v/>
      </c>
      <c r="CR425">
        <f>IFERROR(INDEX(PP_Grid[#Data],$DD425,94),0)</f>
        <v/>
      </c>
      <c r="CS425">
        <f>IFERROR(INDEX(PP_Grid[#Data],$DD425,95),0)</f>
        <v/>
      </c>
      <c r="CT425">
        <f>IFERROR(INDEX(PP_Grid[#Data],$DD425,96),0)</f>
        <v/>
      </c>
      <c r="CU425">
        <f>IFERROR(INDEX(PP_Grid[#Data],$DD425,97),0)</f>
        <v/>
      </c>
      <c r="CV425">
        <f>IFERROR(INDEX(PP_Grid[#Data],$DD425,98),0)</f>
        <v/>
      </c>
      <c r="CW425">
        <f>IFERROR(INDEX(PP_Grid[#Data],$DD425,99),0)</f>
        <v/>
      </c>
      <c r="CX425">
        <f>IFERROR(INDEX(PP_Grid[#Data],$DD425,100),0)</f>
        <v/>
      </c>
      <c r="CY425">
        <f>IFERROR(INDEX(PP_Grid[#Data],$DD425,101),0)</f>
        <v/>
      </c>
      <c r="CZ425">
        <f>IFERROR(INDEX(PP_Grid[#Data],$DD425,102),0)</f>
        <v/>
      </c>
      <c r="DA425">
        <f>IFERROR(INDEX(PP_Grid[#Data],$DD425,103),0)</f>
        <v/>
      </c>
      <c r="DB425">
        <f>IFERROR(INDEX(PP_Grid[#Data],$DD425,104),0)</f>
        <v/>
      </c>
      <c r="DC425">
        <f>IFERROR(INDEX(PP_Grid[#Data],$DD425,105),0)</f>
        <v/>
      </c>
      <c r="DD425" s="12">
        <f>IFERROR(MATCH($B425,PP_Grid[Intermediate],0),99999)</f>
        <v/>
      </c>
    </row>
    <row r="426">
      <c r="B426" t="inlineStr">
        <is>
          <t>使用量(kg)</t>
        </is>
      </c>
      <c r="C426">
        <f>SUMIFS(M_BOM[RM_Qty_Per_Batch],M_BOM[Intermediate],$B425,M_BOM[Part Name],$A406)</f>
        <v/>
      </c>
      <c r="D426">
        <f>$C426*D425</f>
        <v/>
      </c>
      <c r="E426">
        <f>$C426*E425</f>
        <v/>
      </c>
      <c r="F426">
        <f>$C426*F425</f>
        <v/>
      </c>
      <c r="G426">
        <f>$C426*G425</f>
        <v/>
      </c>
      <c r="H426">
        <f>$C426*H425</f>
        <v/>
      </c>
      <c r="I426">
        <f>$C426*I425</f>
        <v/>
      </c>
      <c r="J426">
        <f>$C426*J425</f>
        <v/>
      </c>
      <c r="K426">
        <f>$C426*K425</f>
        <v/>
      </c>
      <c r="L426">
        <f>$C426*L425</f>
        <v/>
      </c>
      <c r="M426">
        <f>$C426*M425</f>
        <v/>
      </c>
      <c r="N426">
        <f>$C426*N425</f>
        <v/>
      </c>
      <c r="O426">
        <f>$C426*O425</f>
        <v/>
      </c>
      <c r="P426">
        <f>$C426*P425</f>
        <v/>
      </c>
      <c r="Q426">
        <f>$C426*Q425</f>
        <v/>
      </c>
      <c r="R426">
        <f>$C426*R425</f>
        <v/>
      </c>
      <c r="S426">
        <f>$C426*S425</f>
        <v/>
      </c>
      <c r="T426">
        <f>$C426*T425</f>
        <v/>
      </c>
      <c r="U426">
        <f>$C426*U425</f>
        <v/>
      </c>
      <c r="V426">
        <f>$C426*V425</f>
        <v/>
      </c>
      <c r="W426">
        <f>$C426*W425</f>
        <v/>
      </c>
      <c r="X426">
        <f>$C426*X425</f>
        <v/>
      </c>
      <c r="Y426">
        <f>$C426*Y425</f>
        <v/>
      </c>
      <c r="Z426">
        <f>$C426*Z425</f>
        <v/>
      </c>
      <c r="AA426">
        <f>$C426*AA425</f>
        <v/>
      </c>
      <c r="AB426">
        <f>$C426*AB425</f>
        <v/>
      </c>
      <c r="AC426">
        <f>$C426*AC425</f>
        <v/>
      </c>
      <c r="AD426">
        <f>$C426*AD425</f>
        <v/>
      </c>
      <c r="AE426">
        <f>$C426*AE425</f>
        <v/>
      </c>
      <c r="AF426">
        <f>$C426*AF425</f>
        <v/>
      </c>
      <c r="AG426">
        <f>$C426*AG425</f>
        <v/>
      </c>
      <c r="AH426">
        <f>$C426*AH425</f>
        <v/>
      </c>
      <c r="AI426">
        <f>$C426*AI425</f>
        <v/>
      </c>
      <c r="AJ426">
        <f>$C426*AJ425</f>
        <v/>
      </c>
      <c r="AK426">
        <f>$C426*AK425</f>
        <v/>
      </c>
      <c r="AL426">
        <f>$C426*AL425</f>
        <v/>
      </c>
      <c r="AM426">
        <f>$C426*AM425</f>
        <v/>
      </c>
      <c r="AN426">
        <f>$C426*AN425</f>
        <v/>
      </c>
      <c r="AO426">
        <f>$C426*AO425</f>
        <v/>
      </c>
      <c r="AP426">
        <f>$C426*AP425</f>
        <v/>
      </c>
      <c r="AQ426">
        <f>$C426*AQ425</f>
        <v/>
      </c>
      <c r="AR426">
        <f>$C426*AR425</f>
        <v/>
      </c>
      <c r="AS426">
        <f>$C426*AS425</f>
        <v/>
      </c>
      <c r="AT426">
        <f>$C426*AT425</f>
        <v/>
      </c>
      <c r="AU426">
        <f>$C426*AU425</f>
        <v/>
      </c>
      <c r="AV426">
        <f>$C426*AV425</f>
        <v/>
      </c>
      <c r="AW426">
        <f>$C426*AW425</f>
        <v/>
      </c>
      <c r="AX426">
        <f>$C426*AX425</f>
        <v/>
      </c>
      <c r="AY426">
        <f>$C426*AY425</f>
        <v/>
      </c>
      <c r="AZ426">
        <f>$C426*AZ425</f>
        <v/>
      </c>
      <c r="BA426">
        <f>$C426*BA425</f>
        <v/>
      </c>
      <c r="BB426">
        <f>$C426*BB425</f>
        <v/>
      </c>
      <c r="BC426">
        <f>$C426*BC425</f>
        <v/>
      </c>
      <c r="BD426">
        <f>$C426*BD425</f>
        <v/>
      </c>
      <c r="BE426">
        <f>$C426*BE425</f>
        <v/>
      </c>
      <c r="BF426">
        <f>$C426*BF425</f>
        <v/>
      </c>
      <c r="BG426">
        <f>$C426*BG425</f>
        <v/>
      </c>
      <c r="BH426">
        <f>$C426*BH425</f>
        <v/>
      </c>
      <c r="BI426">
        <f>$C426*BI425</f>
        <v/>
      </c>
      <c r="BJ426">
        <f>$C426*BJ425</f>
        <v/>
      </c>
      <c r="BK426">
        <f>$C426*BK425</f>
        <v/>
      </c>
      <c r="BL426">
        <f>$C426*BL425</f>
        <v/>
      </c>
      <c r="BM426">
        <f>$C426*BM425</f>
        <v/>
      </c>
      <c r="BN426">
        <f>$C426*BN425</f>
        <v/>
      </c>
      <c r="BO426">
        <f>$C426*BO425</f>
        <v/>
      </c>
      <c r="BP426">
        <f>$C426*BP425</f>
        <v/>
      </c>
      <c r="BQ426">
        <f>$C426*BQ425</f>
        <v/>
      </c>
      <c r="BR426">
        <f>$C426*BR425</f>
        <v/>
      </c>
      <c r="BS426">
        <f>$C426*BS425</f>
        <v/>
      </c>
      <c r="BT426">
        <f>$C426*BT425</f>
        <v/>
      </c>
      <c r="BU426">
        <f>$C426*BU425</f>
        <v/>
      </c>
      <c r="BV426">
        <f>$C426*BV425</f>
        <v/>
      </c>
      <c r="BW426">
        <f>$C426*BW425</f>
        <v/>
      </c>
      <c r="BX426">
        <f>$C426*BX425</f>
        <v/>
      </c>
      <c r="BY426">
        <f>$C426*BY425</f>
        <v/>
      </c>
      <c r="BZ426">
        <f>$C426*BZ425</f>
        <v/>
      </c>
      <c r="CA426">
        <f>$C426*CA425</f>
        <v/>
      </c>
      <c r="CB426">
        <f>$C426*CB425</f>
        <v/>
      </c>
      <c r="CC426">
        <f>$C426*CC425</f>
        <v/>
      </c>
      <c r="CD426">
        <f>$C426*CD425</f>
        <v/>
      </c>
      <c r="CE426">
        <f>$C426*CE425</f>
        <v/>
      </c>
      <c r="CF426">
        <f>$C426*CF425</f>
        <v/>
      </c>
      <c r="CG426">
        <f>$C426*CG425</f>
        <v/>
      </c>
      <c r="CH426">
        <f>$C426*CH425</f>
        <v/>
      </c>
      <c r="CI426">
        <f>$C426*CI425</f>
        <v/>
      </c>
      <c r="CJ426">
        <f>$C426*CJ425</f>
        <v/>
      </c>
      <c r="CK426">
        <f>$C426*CK425</f>
        <v/>
      </c>
      <c r="CL426">
        <f>$C426*CL425</f>
        <v/>
      </c>
      <c r="CM426">
        <f>$C426*CM425</f>
        <v/>
      </c>
      <c r="CN426">
        <f>$C426*CN425</f>
        <v/>
      </c>
      <c r="CO426">
        <f>$C426*CO425</f>
        <v/>
      </c>
      <c r="CP426">
        <f>$C426*CP425</f>
        <v/>
      </c>
      <c r="CQ426">
        <f>$C426*CQ425</f>
        <v/>
      </c>
      <c r="CR426">
        <f>$C426*CR425</f>
        <v/>
      </c>
      <c r="CS426">
        <f>$C426*CS425</f>
        <v/>
      </c>
      <c r="CT426">
        <f>$C426*CT425</f>
        <v/>
      </c>
      <c r="CU426">
        <f>$C426*CU425</f>
        <v/>
      </c>
      <c r="CV426">
        <f>$C426*CV425</f>
        <v/>
      </c>
      <c r="CW426">
        <f>$C426*CW425</f>
        <v/>
      </c>
      <c r="CX426">
        <f>$C426*CX425</f>
        <v/>
      </c>
      <c r="CY426">
        <f>$C426*CY425</f>
        <v/>
      </c>
      <c r="CZ426">
        <f>$C426*CZ425</f>
        <v/>
      </c>
      <c r="DA426">
        <f>$C426*DA425</f>
        <v/>
      </c>
      <c r="DB426">
        <f>$C426*DB425</f>
        <v/>
      </c>
      <c r="DC426">
        <f>$C426*DC425</f>
        <v/>
      </c>
    </row>
    <row r="427">
      <c r="B427" t="inlineStr">
        <is>
          <t>TSP-1558</t>
        </is>
      </c>
      <c r="C427" t="inlineStr">
        <is>
          <t>No. of batches</t>
        </is>
      </c>
      <c r="D427">
        <f>IFERROR(INDEX(PP_Grid[#Data],$DD427,2),0)</f>
        <v/>
      </c>
      <c r="E427">
        <f>IFERROR(INDEX(PP_Grid[#Data],$DD427,3),0)</f>
        <v/>
      </c>
      <c r="F427">
        <f>IFERROR(INDEX(PP_Grid[#Data],$DD427,4),0)</f>
        <v/>
      </c>
      <c r="G427">
        <f>IFERROR(INDEX(PP_Grid[#Data],$DD427,5),0)</f>
        <v/>
      </c>
      <c r="H427">
        <f>IFERROR(INDEX(PP_Grid[#Data],$DD427,6),0)</f>
        <v/>
      </c>
      <c r="I427">
        <f>IFERROR(INDEX(PP_Grid[#Data],$DD427,7),0)</f>
        <v/>
      </c>
      <c r="J427">
        <f>IFERROR(INDEX(PP_Grid[#Data],$DD427,8),0)</f>
        <v/>
      </c>
      <c r="K427">
        <f>IFERROR(INDEX(PP_Grid[#Data],$DD427,9),0)</f>
        <v/>
      </c>
      <c r="L427">
        <f>IFERROR(INDEX(PP_Grid[#Data],$DD427,10),0)</f>
        <v/>
      </c>
      <c r="M427">
        <f>IFERROR(INDEX(PP_Grid[#Data],$DD427,11),0)</f>
        <v/>
      </c>
      <c r="N427">
        <f>IFERROR(INDEX(PP_Grid[#Data],$DD427,12),0)</f>
        <v/>
      </c>
      <c r="O427">
        <f>IFERROR(INDEX(PP_Grid[#Data],$DD427,13),0)</f>
        <v/>
      </c>
      <c r="P427">
        <f>IFERROR(INDEX(PP_Grid[#Data],$DD427,14),0)</f>
        <v/>
      </c>
      <c r="Q427">
        <f>IFERROR(INDEX(PP_Grid[#Data],$DD427,15),0)</f>
        <v/>
      </c>
      <c r="R427">
        <f>IFERROR(INDEX(PP_Grid[#Data],$DD427,16),0)</f>
        <v/>
      </c>
      <c r="S427">
        <f>IFERROR(INDEX(PP_Grid[#Data],$DD427,17),0)</f>
        <v/>
      </c>
      <c r="T427">
        <f>IFERROR(INDEX(PP_Grid[#Data],$DD427,18),0)</f>
        <v/>
      </c>
      <c r="U427">
        <f>IFERROR(INDEX(PP_Grid[#Data],$DD427,19),0)</f>
        <v/>
      </c>
      <c r="V427">
        <f>IFERROR(INDEX(PP_Grid[#Data],$DD427,20),0)</f>
        <v/>
      </c>
      <c r="W427">
        <f>IFERROR(INDEX(PP_Grid[#Data],$DD427,21),0)</f>
        <v/>
      </c>
      <c r="X427">
        <f>IFERROR(INDEX(PP_Grid[#Data],$DD427,22),0)</f>
        <v/>
      </c>
      <c r="Y427">
        <f>IFERROR(INDEX(PP_Grid[#Data],$DD427,23),0)</f>
        <v/>
      </c>
      <c r="Z427">
        <f>IFERROR(INDEX(PP_Grid[#Data],$DD427,24),0)</f>
        <v/>
      </c>
      <c r="AA427">
        <f>IFERROR(INDEX(PP_Grid[#Data],$DD427,25),0)</f>
        <v/>
      </c>
      <c r="AB427">
        <f>IFERROR(INDEX(PP_Grid[#Data],$DD427,26),0)</f>
        <v/>
      </c>
      <c r="AC427">
        <f>IFERROR(INDEX(PP_Grid[#Data],$DD427,27),0)</f>
        <v/>
      </c>
      <c r="AD427">
        <f>IFERROR(INDEX(PP_Grid[#Data],$DD427,28),0)</f>
        <v/>
      </c>
      <c r="AE427">
        <f>IFERROR(INDEX(PP_Grid[#Data],$DD427,29),0)</f>
        <v/>
      </c>
      <c r="AF427">
        <f>IFERROR(INDEX(PP_Grid[#Data],$DD427,30),0)</f>
        <v/>
      </c>
      <c r="AG427">
        <f>IFERROR(INDEX(PP_Grid[#Data],$DD427,31),0)</f>
        <v/>
      </c>
      <c r="AH427">
        <f>IFERROR(INDEX(PP_Grid[#Data],$DD427,32),0)</f>
        <v/>
      </c>
      <c r="AI427">
        <f>IFERROR(INDEX(PP_Grid[#Data],$DD427,33),0)</f>
        <v/>
      </c>
      <c r="AJ427">
        <f>IFERROR(INDEX(PP_Grid[#Data],$DD427,34),0)</f>
        <v/>
      </c>
      <c r="AK427">
        <f>IFERROR(INDEX(PP_Grid[#Data],$DD427,35),0)</f>
        <v/>
      </c>
      <c r="AL427">
        <f>IFERROR(INDEX(PP_Grid[#Data],$DD427,36),0)</f>
        <v/>
      </c>
      <c r="AM427">
        <f>IFERROR(INDEX(PP_Grid[#Data],$DD427,37),0)</f>
        <v/>
      </c>
      <c r="AN427">
        <f>IFERROR(INDEX(PP_Grid[#Data],$DD427,38),0)</f>
        <v/>
      </c>
      <c r="AO427">
        <f>IFERROR(INDEX(PP_Grid[#Data],$DD427,39),0)</f>
        <v/>
      </c>
      <c r="AP427">
        <f>IFERROR(INDEX(PP_Grid[#Data],$DD427,40),0)</f>
        <v/>
      </c>
      <c r="AQ427">
        <f>IFERROR(INDEX(PP_Grid[#Data],$DD427,41),0)</f>
        <v/>
      </c>
      <c r="AR427">
        <f>IFERROR(INDEX(PP_Grid[#Data],$DD427,42),0)</f>
        <v/>
      </c>
      <c r="AS427">
        <f>IFERROR(INDEX(PP_Grid[#Data],$DD427,43),0)</f>
        <v/>
      </c>
      <c r="AT427">
        <f>IFERROR(INDEX(PP_Grid[#Data],$DD427,44),0)</f>
        <v/>
      </c>
      <c r="AU427">
        <f>IFERROR(INDEX(PP_Grid[#Data],$DD427,45),0)</f>
        <v/>
      </c>
      <c r="AV427">
        <f>IFERROR(INDEX(PP_Grid[#Data],$DD427,46),0)</f>
        <v/>
      </c>
      <c r="AW427">
        <f>IFERROR(INDEX(PP_Grid[#Data],$DD427,47),0)</f>
        <v/>
      </c>
      <c r="AX427">
        <f>IFERROR(INDEX(PP_Grid[#Data],$DD427,48),0)</f>
        <v/>
      </c>
      <c r="AY427">
        <f>IFERROR(INDEX(PP_Grid[#Data],$DD427,49),0)</f>
        <v/>
      </c>
      <c r="AZ427">
        <f>IFERROR(INDEX(PP_Grid[#Data],$DD427,50),0)</f>
        <v/>
      </c>
      <c r="BA427">
        <f>IFERROR(INDEX(PP_Grid[#Data],$DD427,51),0)</f>
        <v/>
      </c>
      <c r="BB427">
        <f>IFERROR(INDEX(PP_Grid[#Data],$DD427,52),0)</f>
        <v/>
      </c>
      <c r="BC427">
        <f>IFERROR(INDEX(PP_Grid[#Data],$DD427,53),0)</f>
        <v/>
      </c>
      <c r="BD427">
        <f>IFERROR(INDEX(PP_Grid[#Data],$DD427,54),0)</f>
        <v/>
      </c>
      <c r="BE427">
        <f>IFERROR(INDEX(PP_Grid[#Data],$DD427,55),0)</f>
        <v/>
      </c>
      <c r="BF427">
        <f>IFERROR(INDEX(PP_Grid[#Data],$DD427,56),0)</f>
        <v/>
      </c>
      <c r="BG427">
        <f>IFERROR(INDEX(PP_Grid[#Data],$DD427,57),0)</f>
        <v/>
      </c>
      <c r="BH427">
        <f>IFERROR(INDEX(PP_Grid[#Data],$DD427,58),0)</f>
        <v/>
      </c>
      <c r="BI427">
        <f>IFERROR(INDEX(PP_Grid[#Data],$DD427,59),0)</f>
        <v/>
      </c>
      <c r="BJ427">
        <f>IFERROR(INDEX(PP_Grid[#Data],$DD427,60),0)</f>
        <v/>
      </c>
      <c r="BK427">
        <f>IFERROR(INDEX(PP_Grid[#Data],$DD427,61),0)</f>
        <v/>
      </c>
      <c r="BL427">
        <f>IFERROR(INDEX(PP_Grid[#Data],$DD427,62),0)</f>
        <v/>
      </c>
      <c r="BM427">
        <f>IFERROR(INDEX(PP_Grid[#Data],$DD427,63),0)</f>
        <v/>
      </c>
      <c r="BN427">
        <f>IFERROR(INDEX(PP_Grid[#Data],$DD427,64),0)</f>
        <v/>
      </c>
      <c r="BO427">
        <f>IFERROR(INDEX(PP_Grid[#Data],$DD427,65),0)</f>
        <v/>
      </c>
      <c r="BP427">
        <f>IFERROR(INDEX(PP_Grid[#Data],$DD427,66),0)</f>
        <v/>
      </c>
      <c r="BQ427">
        <f>IFERROR(INDEX(PP_Grid[#Data],$DD427,67),0)</f>
        <v/>
      </c>
      <c r="BR427">
        <f>IFERROR(INDEX(PP_Grid[#Data],$DD427,68),0)</f>
        <v/>
      </c>
      <c r="BS427">
        <f>IFERROR(INDEX(PP_Grid[#Data],$DD427,69),0)</f>
        <v/>
      </c>
      <c r="BT427">
        <f>IFERROR(INDEX(PP_Grid[#Data],$DD427,70),0)</f>
        <v/>
      </c>
      <c r="BU427">
        <f>IFERROR(INDEX(PP_Grid[#Data],$DD427,71),0)</f>
        <v/>
      </c>
      <c r="BV427">
        <f>IFERROR(INDEX(PP_Grid[#Data],$DD427,72),0)</f>
        <v/>
      </c>
      <c r="BW427">
        <f>IFERROR(INDEX(PP_Grid[#Data],$DD427,73),0)</f>
        <v/>
      </c>
      <c r="BX427">
        <f>IFERROR(INDEX(PP_Grid[#Data],$DD427,74),0)</f>
        <v/>
      </c>
      <c r="BY427">
        <f>IFERROR(INDEX(PP_Grid[#Data],$DD427,75),0)</f>
        <v/>
      </c>
      <c r="BZ427">
        <f>IFERROR(INDEX(PP_Grid[#Data],$DD427,76),0)</f>
        <v/>
      </c>
      <c r="CA427">
        <f>IFERROR(INDEX(PP_Grid[#Data],$DD427,77),0)</f>
        <v/>
      </c>
      <c r="CB427">
        <f>IFERROR(INDEX(PP_Grid[#Data],$DD427,78),0)</f>
        <v/>
      </c>
      <c r="CC427">
        <f>IFERROR(INDEX(PP_Grid[#Data],$DD427,79),0)</f>
        <v/>
      </c>
      <c r="CD427">
        <f>IFERROR(INDEX(PP_Grid[#Data],$DD427,80),0)</f>
        <v/>
      </c>
      <c r="CE427">
        <f>IFERROR(INDEX(PP_Grid[#Data],$DD427,81),0)</f>
        <v/>
      </c>
      <c r="CF427">
        <f>IFERROR(INDEX(PP_Grid[#Data],$DD427,82),0)</f>
        <v/>
      </c>
      <c r="CG427">
        <f>IFERROR(INDEX(PP_Grid[#Data],$DD427,83),0)</f>
        <v/>
      </c>
      <c r="CH427">
        <f>IFERROR(INDEX(PP_Grid[#Data],$DD427,84),0)</f>
        <v/>
      </c>
      <c r="CI427">
        <f>IFERROR(INDEX(PP_Grid[#Data],$DD427,85),0)</f>
        <v/>
      </c>
      <c r="CJ427">
        <f>IFERROR(INDEX(PP_Grid[#Data],$DD427,86),0)</f>
        <v/>
      </c>
      <c r="CK427">
        <f>IFERROR(INDEX(PP_Grid[#Data],$DD427,87),0)</f>
        <v/>
      </c>
      <c r="CL427">
        <f>IFERROR(INDEX(PP_Grid[#Data],$DD427,88),0)</f>
        <v/>
      </c>
      <c r="CM427">
        <f>IFERROR(INDEX(PP_Grid[#Data],$DD427,89),0)</f>
        <v/>
      </c>
      <c r="CN427">
        <f>IFERROR(INDEX(PP_Grid[#Data],$DD427,90),0)</f>
        <v/>
      </c>
      <c r="CO427">
        <f>IFERROR(INDEX(PP_Grid[#Data],$DD427,91),0)</f>
        <v/>
      </c>
      <c r="CP427">
        <f>IFERROR(INDEX(PP_Grid[#Data],$DD427,92),0)</f>
        <v/>
      </c>
      <c r="CQ427">
        <f>IFERROR(INDEX(PP_Grid[#Data],$DD427,93),0)</f>
        <v/>
      </c>
      <c r="CR427">
        <f>IFERROR(INDEX(PP_Grid[#Data],$DD427,94),0)</f>
        <v/>
      </c>
      <c r="CS427">
        <f>IFERROR(INDEX(PP_Grid[#Data],$DD427,95),0)</f>
        <v/>
      </c>
      <c r="CT427">
        <f>IFERROR(INDEX(PP_Grid[#Data],$DD427,96),0)</f>
        <v/>
      </c>
      <c r="CU427">
        <f>IFERROR(INDEX(PP_Grid[#Data],$DD427,97),0)</f>
        <v/>
      </c>
      <c r="CV427">
        <f>IFERROR(INDEX(PP_Grid[#Data],$DD427,98),0)</f>
        <v/>
      </c>
      <c r="CW427">
        <f>IFERROR(INDEX(PP_Grid[#Data],$DD427,99),0)</f>
        <v/>
      </c>
      <c r="CX427">
        <f>IFERROR(INDEX(PP_Grid[#Data],$DD427,100),0)</f>
        <v/>
      </c>
      <c r="CY427">
        <f>IFERROR(INDEX(PP_Grid[#Data],$DD427,101),0)</f>
        <v/>
      </c>
      <c r="CZ427">
        <f>IFERROR(INDEX(PP_Grid[#Data],$DD427,102),0)</f>
        <v/>
      </c>
      <c r="DA427">
        <f>IFERROR(INDEX(PP_Grid[#Data],$DD427,103),0)</f>
        <v/>
      </c>
      <c r="DB427">
        <f>IFERROR(INDEX(PP_Grid[#Data],$DD427,104),0)</f>
        <v/>
      </c>
      <c r="DC427">
        <f>IFERROR(INDEX(PP_Grid[#Data],$DD427,105),0)</f>
        <v/>
      </c>
      <c r="DD427" s="12">
        <f>IFERROR(MATCH($B427,PP_Grid[Intermediate],0),99999)</f>
        <v/>
      </c>
    </row>
    <row r="428">
      <c r="B428" t="inlineStr">
        <is>
          <t>使用量(kg)</t>
        </is>
      </c>
      <c r="C428">
        <f>SUMIFS(M_BOM[RM_Qty_Per_Batch],M_BOM[Intermediate],$B427,M_BOM[Part Name],$A406)</f>
        <v/>
      </c>
      <c r="D428">
        <f>$C428*D427</f>
        <v/>
      </c>
      <c r="E428">
        <f>$C428*E427</f>
        <v/>
      </c>
      <c r="F428">
        <f>$C428*F427</f>
        <v/>
      </c>
      <c r="G428">
        <f>$C428*G427</f>
        <v/>
      </c>
      <c r="H428">
        <f>$C428*H427</f>
        <v/>
      </c>
      <c r="I428">
        <f>$C428*I427</f>
        <v/>
      </c>
      <c r="J428">
        <f>$C428*J427</f>
        <v/>
      </c>
      <c r="K428">
        <f>$C428*K427</f>
        <v/>
      </c>
      <c r="L428">
        <f>$C428*L427</f>
        <v/>
      </c>
      <c r="M428">
        <f>$C428*M427</f>
        <v/>
      </c>
      <c r="N428">
        <f>$C428*N427</f>
        <v/>
      </c>
      <c r="O428">
        <f>$C428*O427</f>
        <v/>
      </c>
      <c r="P428">
        <f>$C428*P427</f>
        <v/>
      </c>
      <c r="Q428">
        <f>$C428*Q427</f>
        <v/>
      </c>
      <c r="R428">
        <f>$C428*R427</f>
        <v/>
      </c>
      <c r="S428">
        <f>$C428*S427</f>
        <v/>
      </c>
      <c r="T428">
        <f>$C428*T427</f>
        <v/>
      </c>
      <c r="U428">
        <f>$C428*U427</f>
        <v/>
      </c>
      <c r="V428">
        <f>$C428*V427</f>
        <v/>
      </c>
      <c r="W428">
        <f>$C428*W427</f>
        <v/>
      </c>
      <c r="X428">
        <f>$C428*X427</f>
        <v/>
      </c>
      <c r="Y428">
        <f>$C428*Y427</f>
        <v/>
      </c>
      <c r="Z428">
        <f>$C428*Z427</f>
        <v/>
      </c>
      <c r="AA428">
        <f>$C428*AA427</f>
        <v/>
      </c>
      <c r="AB428">
        <f>$C428*AB427</f>
        <v/>
      </c>
      <c r="AC428">
        <f>$C428*AC427</f>
        <v/>
      </c>
      <c r="AD428">
        <f>$C428*AD427</f>
        <v/>
      </c>
      <c r="AE428">
        <f>$C428*AE427</f>
        <v/>
      </c>
      <c r="AF428">
        <f>$C428*AF427</f>
        <v/>
      </c>
      <c r="AG428">
        <f>$C428*AG427</f>
        <v/>
      </c>
      <c r="AH428">
        <f>$C428*AH427</f>
        <v/>
      </c>
      <c r="AI428">
        <f>$C428*AI427</f>
        <v/>
      </c>
      <c r="AJ428">
        <f>$C428*AJ427</f>
        <v/>
      </c>
      <c r="AK428">
        <f>$C428*AK427</f>
        <v/>
      </c>
      <c r="AL428">
        <f>$C428*AL427</f>
        <v/>
      </c>
      <c r="AM428">
        <f>$C428*AM427</f>
        <v/>
      </c>
      <c r="AN428">
        <f>$C428*AN427</f>
        <v/>
      </c>
      <c r="AO428">
        <f>$C428*AO427</f>
        <v/>
      </c>
      <c r="AP428">
        <f>$C428*AP427</f>
        <v/>
      </c>
      <c r="AQ428">
        <f>$C428*AQ427</f>
        <v/>
      </c>
      <c r="AR428">
        <f>$C428*AR427</f>
        <v/>
      </c>
      <c r="AS428">
        <f>$C428*AS427</f>
        <v/>
      </c>
      <c r="AT428">
        <f>$C428*AT427</f>
        <v/>
      </c>
      <c r="AU428">
        <f>$C428*AU427</f>
        <v/>
      </c>
      <c r="AV428">
        <f>$C428*AV427</f>
        <v/>
      </c>
      <c r="AW428">
        <f>$C428*AW427</f>
        <v/>
      </c>
      <c r="AX428">
        <f>$C428*AX427</f>
        <v/>
      </c>
      <c r="AY428">
        <f>$C428*AY427</f>
        <v/>
      </c>
      <c r="AZ428">
        <f>$C428*AZ427</f>
        <v/>
      </c>
      <c r="BA428">
        <f>$C428*BA427</f>
        <v/>
      </c>
      <c r="BB428">
        <f>$C428*BB427</f>
        <v/>
      </c>
      <c r="BC428">
        <f>$C428*BC427</f>
        <v/>
      </c>
      <c r="BD428">
        <f>$C428*BD427</f>
        <v/>
      </c>
      <c r="BE428">
        <f>$C428*BE427</f>
        <v/>
      </c>
      <c r="BF428">
        <f>$C428*BF427</f>
        <v/>
      </c>
      <c r="BG428">
        <f>$C428*BG427</f>
        <v/>
      </c>
      <c r="BH428">
        <f>$C428*BH427</f>
        <v/>
      </c>
      <c r="BI428">
        <f>$C428*BI427</f>
        <v/>
      </c>
      <c r="BJ428">
        <f>$C428*BJ427</f>
        <v/>
      </c>
      <c r="BK428">
        <f>$C428*BK427</f>
        <v/>
      </c>
      <c r="BL428">
        <f>$C428*BL427</f>
        <v/>
      </c>
      <c r="BM428">
        <f>$C428*BM427</f>
        <v/>
      </c>
      <c r="BN428">
        <f>$C428*BN427</f>
        <v/>
      </c>
      <c r="BO428">
        <f>$C428*BO427</f>
        <v/>
      </c>
      <c r="BP428">
        <f>$C428*BP427</f>
        <v/>
      </c>
      <c r="BQ428">
        <f>$C428*BQ427</f>
        <v/>
      </c>
      <c r="BR428">
        <f>$C428*BR427</f>
        <v/>
      </c>
      <c r="BS428">
        <f>$C428*BS427</f>
        <v/>
      </c>
      <c r="BT428">
        <f>$C428*BT427</f>
        <v/>
      </c>
      <c r="BU428">
        <f>$C428*BU427</f>
        <v/>
      </c>
      <c r="BV428">
        <f>$C428*BV427</f>
        <v/>
      </c>
      <c r="BW428">
        <f>$C428*BW427</f>
        <v/>
      </c>
      <c r="BX428">
        <f>$C428*BX427</f>
        <v/>
      </c>
      <c r="BY428">
        <f>$C428*BY427</f>
        <v/>
      </c>
      <c r="BZ428">
        <f>$C428*BZ427</f>
        <v/>
      </c>
      <c r="CA428">
        <f>$C428*CA427</f>
        <v/>
      </c>
      <c r="CB428">
        <f>$C428*CB427</f>
        <v/>
      </c>
      <c r="CC428">
        <f>$C428*CC427</f>
        <v/>
      </c>
      <c r="CD428">
        <f>$C428*CD427</f>
        <v/>
      </c>
      <c r="CE428">
        <f>$C428*CE427</f>
        <v/>
      </c>
      <c r="CF428">
        <f>$C428*CF427</f>
        <v/>
      </c>
      <c r="CG428">
        <f>$C428*CG427</f>
        <v/>
      </c>
      <c r="CH428">
        <f>$C428*CH427</f>
        <v/>
      </c>
      <c r="CI428">
        <f>$C428*CI427</f>
        <v/>
      </c>
      <c r="CJ428">
        <f>$C428*CJ427</f>
        <v/>
      </c>
      <c r="CK428">
        <f>$C428*CK427</f>
        <v/>
      </c>
      <c r="CL428">
        <f>$C428*CL427</f>
        <v/>
      </c>
      <c r="CM428">
        <f>$C428*CM427</f>
        <v/>
      </c>
      <c r="CN428">
        <f>$C428*CN427</f>
        <v/>
      </c>
      <c r="CO428">
        <f>$C428*CO427</f>
        <v/>
      </c>
      <c r="CP428">
        <f>$C428*CP427</f>
        <v/>
      </c>
      <c r="CQ428">
        <f>$C428*CQ427</f>
        <v/>
      </c>
      <c r="CR428">
        <f>$C428*CR427</f>
        <v/>
      </c>
      <c r="CS428">
        <f>$C428*CS427</f>
        <v/>
      </c>
      <c r="CT428">
        <f>$C428*CT427</f>
        <v/>
      </c>
      <c r="CU428">
        <f>$C428*CU427</f>
        <v/>
      </c>
      <c r="CV428">
        <f>$C428*CV427</f>
        <v/>
      </c>
      <c r="CW428">
        <f>$C428*CW427</f>
        <v/>
      </c>
      <c r="CX428">
        <f>$C428*CX427</f>
        <v/>
      </c>
      <c r="CY428">
        <f>$C428*CY427</f>
        <v/>
      </c>
      <c r="CZ428">
        <f>$C428*CZ427</f>
        <v/>
      </c>
      <c r="DA428">
        <f>$C428*DA427</f>
        <v/>
      </c>
      <c r="DB428">
        <f>$C428*DB427</f>
        <v/>
      </c>
      <c r="DC428">
        <f>$C428*DC427</f>
        <v/>
      </c>
    </row>
    <row r="429">
      <c r="B429" t="inlineStr">
        <is>
          <t>TSP-1559</t>
        </is>
      </c>
      <c r="C429" t="inlineStr">
        <is>
          <t>No. of batches</t>
        </is>
      </c>
      <c r="D429">
        <f>IFERROR(INDEX(PP_Grid[#Data],$DD429,2),0)</f>
        <v/>
      </c>
      <c r="E429">
        <f>IFERROR(INDEX(PP_Grid[#Data],$DD429,3),0)</f>
        <v/>
      </c>
      <c r="F429">
        <f>IFERROR(INDEX(PP_Grid[#Data],$DD429,4),0)</f>
        <v/>
      </c>
      <c r="G429">
        <f>IFERROR(INDEX(PP_Grid[#Data],$DD429,5),0)</f>
        <v/>
      </c>
      <c r="H429">
        <f>IFERROR(INDEX(PP_Grid[#Data],$DD429,6),0)</f>
        <v/>
      </c>
      <c r="I429">
        <f>IFERROR(INDEX(PP_Grid[#Data],$DD429,7),0)</f>
        <v/>
      </c>
      <c r="J429">
        <f>IFERROR(INDEX(PP_Grid[#Data],$DD429,8),0)</f>
        <v/>
      </c>
      <c r="K429">
        <f>IFERROR(INDEX(PP_Grid[#Data],$DD429,9),0)</f>
        <v/>
      </c>
      <c r="L429">
        <f>IFERROR(INDEX(PP_Grid[#Data],$DD429,10),0)</f>
        <v/>
      </c>
      <c r="M429">
        <f>IFERROR(INDEX(PP_Grid[#Data],$DD429,11),0)</f>
        <v/>
      </c>
      <c r="N429">
        <f>IFERROR(INDEX(PP_Grid[#Data],$DD429,12),0)</f>
        <v/>
      </c>
      <c r="O429">
        <f>IFERROR(INDEX(PP_Grid[#Data],$DD429,13),0)</f>
        <v/>
      </c>
      <c r="P429">
        <f>IFERROR(INDEX(PP_Grid[#Data],$DD429,14),0)</f>
        <v/>
      </c>
      <c r="Q429">
        <f>IFERROR(INDEX(PP_Grid[#Data],$DD429,15),0)</f>
        <v/>
      </c>
      <c r="R429">
        <f>IFERROR(INDEX(PP_Grid[#Data],$DD429,16),0)</f>
        <v/>
      </c>
      <c r="S429">
        <f>IFERROR(INDEX(PP_Grid[#Data],$DD429,17),0)</f>
        <v/>
      </c>
      <c r="T429">
        <f>IFERROR(INDEX(PP_Grid[#Data],$DD429,18),0)</f>
        <v/>
      </c>
      <c r="U429">
        <f>IFERROR(INDEX(PP_Grid[#Data],$DD429,19),0)</f>
        <v/>
      </c>
      <c r="V429">
        <f>IFERROR(INDEX(PP_Grid[#Data],$DD429,20),0)</f>
        <v/>
      </c>
      <c r="W429">
        <f>IFERROR(INDEX(PP_Grid[#Data],$DD429,21),0)</f>
        <v/>
      </c>
      <c r="X429">
        <f>IFERROR(INDEX(PP_Grid[#Data],$DD429,22),0)</f>
        <v/>
      </c>
      <c r="Y429">
        <f>IFERROR(INDEX(PP_Grid[#Data],$DD429,23),0)</f>
        <v/>
      </c>
      <c r="Z429">
        <f>IFERROR(INDEX(PP_Grid[#Data],$DD429,24),0)</f>
        <v/>
      </c>
      <c r="AA429">
        <f>IFERROR(INDEX(PP_Grid[#Data],$DD429,25),0)</f>
        <v/>
      </c>
      <c r="AB429">
        <f>IFERROR(INDEX(PP_Grid[#Data],$DD429,26),0)</f>
        <v/>
      </c>
      <c r="AC429">
        <f>IFERROR(INDEX(PP_Grid[#Data],$DD429,27),0)</f>
        <v/>
      </c>
      <c r="AD429">
        <f>IFERROR(INDEX(PP_Grid[#Data],$DD429,28),0)</f>
        <v/>
      </c>
      <c r="AE429">
        <f>IFERROR(INDEX(PP_Grid[#Data],$DD429,29),0)</f>
        <v/>
      </c>
      <c r="AF429">
        <f>IFERROR(INDEX(PP_Grid[#Data],$DD429,30),0)</f>
        <v/>
      </c>
      <c r="AG429">
        <f>IFERROR(INDEX(PP_Grid[#Data],$DD429,31),0)</f>
        <v/>
      </c>
      <c r="AH429">
        <f>IFERROR(INDEX(PP_Grid[#Data],$DD429,32),0)</f>
        <v/>
      </c>
      <c r="AI429">
        <f>IFERROR(INDEX(PP_Grid[#Data],$DD429,33),0)</f>
        <v/>
      </c>
      <c r="AJ429">
        <f>IFERROR(INDEX(PP_Grid[#Data],$DD429,34),0)</f>
        <v/>
      </c>
      <c r="AK429">
        <f>IFERROR(INDEX(PP_Grid[#Data],$DD429,35),0)</f>
        <v/>
      </c>
      <c r="AL429">
        <f>IFERROR(INDEX(PP_Grid[#Data],$DD429,36),0)</f>
        <v/>
      </c>
      <c r="AM429">
        <f>IFERROR(INDEX(PP_Grid[#Data],$DD429,37),0)</f>
        <v/>
      </c>
      <c r="AN429">
        <f>IFERROR(INDEX(PP_Grid[#Data],$DD429,38),0)</f>
        <v/>
      </c>
      <c r="AO429">
        <f>IFERROR(INDEX(PP_Grid[#Data],$DD429,39),0)</f>
        <v/>
      </c>
      <c r="AP429">
        <f>IFERROR(INDEX(PP_Grid[#Data],$DD429,40),0)</f>
        <v/>
      </c>
      <c r="AQ429">
        <f>IFERROR(INDEX(PP_Grid[#Data],$DD429,41),0)</f>
        <v/>
      </c>
      <c r="AR429">
        <f>IFERROR(INDEX(PP_Grid[#Data],$DD429,42),0)</f>
        <v/>
      </c>
      <c r="AS429">
        <f>IFERROR(INDEX(PP_Grid[#Data],$DD429,43),0)</f>
        <v/>
      </c>
      <c r="AT429">
        <f>IFERROR(INDEX(PP_Grid[#Data],$DD429,44),0)</f>
        <v/>
      </c>
      <c r="AU429">
        <f>IFERROR(INDEX(PP_Grid[#Data],$DD429,45),0)</f>
        <v/>
      </c>
      <c r="AV429">
        <f>IFERROR(INDEX(PP_Grid[#Data],$DD429,46),0)</f>
        <v/>
      </c>
      <c r="AW429">
        <f>IFERROR(INDEX(PP_Grid[#Data],$DD429,47),0)</f>
        <v/>
      </c>
      <c r="AX429">
        <f>IFERROR(INDEX(PP_Grid[#Data],$DD429,48),0)</f>
        <v/>
      </c>
      <c r="AY429">
        <f>IFERROR(INDEX(PP_Grid[#Data],$DD429,49),0)</f>
        <v/>
      </c>
      <c r="AZ429">
        <f>IFERROR(INDEX(PP_Grid[#Data],$DD429,50),0)</f>
        <v/>
      </c>
      <c r="BA429">
        <f>IFERROR(INDEX(PP_Grid[#Data],$DD429,51),0)</f>
        <v/>
      </c>
      <c r="BB429">
        <f>IFERROR(INDEX(PP_Grid[#Data],$DD429,52),0)</f>
        <v/>
      </c>
      <c r="BC429">
        <f>IFERROR(INDEX(PP_Grid[#Data],$DD429,53),0)</f>
        <v/>
      </c>
      <c r="BD429">
        <f>IFERROR(INDEX(PP_Grid[#Data],$DD429,54),0)</f>
        <v/>
      </c>
      <c r="BE429">
        <f>IFERROR(INDEX(PP_Grid[#Data],$DD429,55),0)</f>
        <v/>
      </c>
      <c r="BF429">
        <f>IFERROR(INDEX(PP_Grid[#Data],$DD429,56),0)</f>
        <v/>
      </c>
      <c r="BG429">
        <f>IFERROR(INDEX(PP_Grid[#Data],$DD429,57),0)</f>
        <v/>
      </c>
      <c r="BH429">
        <f>IFERROR(INDEX(PP_Grid[#Data],$DD429,58),0)</f>
        <v/>
      </c>
      <c r="BI429">
        <f>IFERROR(INDEX(PP_Grid[#Data],$DD429,59),0)</f>
        <v/>
      </c>
      <c r="BJ429">
        <f>IFERROR(INDEX(PP_Grid[#Data],$DD429,60),0)</f>
        <v/>
      </c>
      <c r="BK429">
        <f>IFERROR(INDEX(PP_Grid[#Data],$DD429,61),0)</f>
        <v/>
      </c>
      <c r="BL429">
        <f>IFERROR(INDEX(PP_Grid[#Data],$DD429,62),0)</f>
        <v/>
      </c>
      <c r="BM429">
        <f>IFERROR(INDEX(PP_Grid[#Data],$DD429,63),0)</f>
        <v/>
      </c>
      <c r="BN429">
        <f>IFERROR(INDEX(PP_Grid[#Data],$DD429,64),0)</f>
        <v/>
      </c>
      <c r="BO429">
        <f>IFERROR(INDEX(PP_Grid[#Data],$DD429,65),0)</f>
        <v/>
      </c>
      <c r="BP429">
        <f>IFERROR(INDEX(PP_Grid[#Data],$DD429,66),0)</f>
        <v/>
      </c>
      <c r="BQ429">
        <f>IFERROR(INDEX(PP_Grid[#Data],$DD429,67),0)</f>
        <v/>
      </c>
      <c r="BR429">
        <f>IFERROR(INDEX(PP_Grid[#Data],$DD429,68),0)</f>
        <v/>
      </c>
      <c r="BS429">
        <f>IFERROR(INDEX(PP_Grid[#Data],$DD429,69),0)</f>
        <v/>
      </c>
      <c r="BT429">
        <f>IFERROR(INDEX(PP_Grid[#Data],$DD429,70),0)</f>
        <v/>
      </c>
      <c r="BU429">
        <f>IFERROR(INDEX(PP_Grid[#Data],$DD429,71),0)</f>
        <v/>
      </c>
      <c r="BV429">
        <f>IFERROR(INDEX(PP_Grid[#Data],$DD429,72),0)</f>
        <v/>
      </c>
      <c r="BW429">
        <f>IFERROR(INDEX(PP_Grid[#Data],$DD429,73),0)</f>
        <v/>
      </c>
      <c r="BX429">
        <f>IFERROR(INDEX(PP_Grid[#Data],$DD429,74),0)</f>
        <v/>
      </c>
      <c r="BY429">
        <f>IFERROR(INDEX(PP_Grid[#Data],$DD429,75),0)</f>
        <v/>
      </c>
      <c r="BZ429">
        <f>IFERROR(INDEX(PP_Grid[#Data],$DD429,76),0)</f>
        <v/>
      </c>
      <c r="CA429">
        <f>IFERROR(INDEX(PP_Grid[#Data],$DD429,77),0)</f>
        <v/>
      </c>
      <c r="CB429">
        <f>IFERROR(INDEX(PP_Grid[#Data],$DD429,78),0)</f>
        <v/>
      </c>
      <c r="CC429">
        <f>IFERROR(INDEX(PP_Grid[#Data],$DD429,79),0)</f>
        <v/>
      </c>
      <c r="CD429">
        <f>IFERROR(INDEX(PP_Grid[#Data],$DD429,80),0)</f>
        <v/>
      </c>
      <c r="CE429">
        <f>IFERROR(INDEX(PP_Grid[#Data],$DD429,81),0)</f>
        <v/>
      </c>
      <c r="CF429">
        <f>IFERROR(INDEX(PP_Grid[#Data],$DD429,82),0)</f>
        <v/>
      </c>
      <c r="CG429">
        <f>IFERROR(INDEX(PP_Grid[#Data],$DD429,83),0)</f>
        <v/>
      </c>
      <c r="CH429">
        <f>IFERROR(INDEX(PP_Grid[#Data],$DD429,84),0)</f>
        <v/>
      </c>
      <c r="CI429">
        <f>IFERROR(INDEX(PP_Grid[#Data],$DD429,85),0)</f>
        <v/>
      </c>
      <c r="CJ429">
        <f>IFERROR(INDEX(PP_Grid[#Data],$DD429,86),0)</f>
        <v/>
      </c>
      <c r="CK429">
        <f>IFERROR(INDEX(PP_Grid[#Data],$DD429,87),0)</f>
        <v/>
      </c>
      <c r="CL429">
        <f>IFERROR(INDEX(PP_Grid[#Data],$DD429,88),0)</f>
        <v/>
      </c>
      <c r="CM429">
        <f>IFERROR(INDEX(PP_Grid[#Data],$DD429,89),0)</f>
        <v/>
      </c>
      <c r="CN429">
        <f>IFERROR(INDEX(PP_Grid[#Data],$DD429,90),0)</f>
        <v/>
      </c>
      <c r="CO429">
        <f>IFERROR(INDEX(PP_Grid[#Data],$DD429,91),0)</f>
        <v/>
      </c>
      <c r="CP429">
        <f>IFERROR(INDEX(PP_Grid[#Data],$DD429,92),0)</f>
        <v/>
      </c>
      <c r="CQ429">
        <f>IFERROR(INDEX(PP_Grid[#Data],$DD429,93),0)</f>
        <v/>
      </c>
      <c r="CR429">
        <f>IFERROR(INDEX(PP_Grid[#Data],$DD429,94),0)</f>
        <v/>
      </c>
      <c r="CS429">
        <f>IFERROR(INDEX(PP_Grid[#Data],$DD429,95),0)</f>
        <v/>
      </c>
      <c r="CT429">
        <f>IFERROR(INDEX(PP_Grid[#Data],$DD429,96),0)</f>
        <v/>
      </c>
      <c r="CU429">
        <f>IFERROR(INDEX(PP_Grid[#Data],$DD429,97),0)</f>
        <v/>
      </c>
      <c r="CV429">
        <f>IFERROR(INDEX(PP_Grid[#Data],$DD429,98),0)</f>
        <v/>
      </c>
      <c r="CW429">
        <f>IFERROR(INDEX(PP_Grid[#Data],$DD429,99),0)</f>
        <v/>
      </c>
      <c r="CX429">
        <f>IFERROR(INDEX(PP_Grid[#Data],$DD429,100),0)</f>
        <v/>
      </c>
      <c r="CY429">
        <f>IFERROR(INDEX(PP_Grid[#Data],$DD429,101),0)</f>
        <v/>
      </c>
      <c r="CZ429">
        <f>IFERROR(INDEX(PP_Grid[#Data],$DD429,102),0)</f>
        <v/>
      </c>
      <c r="DA429">
        <f>IFERROR(INDEX(PP_Grid[#Data],$DD429,103),0)</f>
        <v/>
      </c>
      <c r="DB429">
        <f>IFERROR(INDEX(PP_Grid[#Data],$DD429,104),0)</f>
        <v/>
      </c>
      <c r="DC429">
        <f>IFERROR(INDEX(PP_Grid[#Data],$DD429,105),0)</f>
        <v/>
      </c>
      <c r="DD429" s="12">
        <f>IFERROR(MATCH($B429,PP_Grid[Intermediate],0),99999)</f>
        <v/>
      </c>
    </row>
    <row r="430">
      <c r="B430" t="inlineStr">
        <is>
          <t>使用量(kg)</t>
        </is>
      </c>
      <c r="C430">
        <f>SUMIFS(M_BOM[RM_Qty_Per_Batch],M_BOM[Intermediate],$B429,M_BOM[Part Name],$A406)</f>
        <v/>
      </c>
      <c r="D430">
        <f>$C430*D429</f>
        <v/>
      </c>
      <c r="E430">
        <f>$C430*E429</f>
        <v/>
      </c>
      <c r="F430">
        <f>$C430*F429</f>
        <v/>
      </c>
      <c r="G430">
        <f>$C430*G429</f>
        <v/>
      </c>
      <c r="H430">
        <f>$C430*H429</f>
        <v/>
      </c>
      <c r="I430">
        <f>$C430*I429</f>
        <v/>
      </c>
      <c r="J430">
        <f>$C430*J429</f>
        <v/>
      </c>
      <c r="K430">
        <f>$C430*K429</f>
        <v/>
      </c>
      <c r="L430">
        <f>$C430*L429</f>
        <v/>
      </c>
      <c r="M430">
        <f>$C430*M429</f>
        <v/>
      </c>
      <c r="N430">
        <f>$C430*N429</f>
        <v/>
      </c>
      <c r="O430">
        <f>$C430*O429</f>
        <v/>
      </c>
      <c r="P430">
        <f>$C430*P429</f>
        <v/>
      </c>
      <c r="Q430">
        <f>$C430*Q429</f>
        <v/>
      </c>
      <c r="R430">
        <f>$C430*R429</f>
        <v/>
      </c>
      <c r="S430">
        <f>$C430*S429</f>
        <v/>
      </c>
      <c r="T430">
        <f>$C430*T429</f>
        <v/>
      </c>
      <c r="U430">
        <f>$C430*U429</f>
        <v/>
      </c>
      <c r="V430">
        <f>$C430*V429</f>
        <v/>
      </c>
      <c r="W430">
        <f>$C430*W429</f>
        <v/>
      </c>
      <c r="X430">
        <f>$C430*X429</f>
        <v/>
      </c>
      <c r="Y430">
        <f>$C430*Y429</f>
        <v/>
      </c>
      <c r="Z430">
        <f>$C430*Z429</f>
        <v/>
      </c>
      <c r="AA430">
        <f>$C430*AA429</f>
        <v/>
      </c>
      <c r="AB430">
        <f>$C430*AB429</f>
        <v/>
      </c>
      <c r="AC430">
        <f>$C430*AC429</f>
        <v/>
      </c>
      <c r="AD430">
        <f>$C430*AD429</f>
        <v/>
      </c>
      <c r="AE430">
        <f>$C430*AE429</f>
        <v/>
      </c>
      <c r="AF430">
        <f>$C430*AF429</f>
        <v/>
      </c>
      <c r="AG430">
        <f>$C430*AG429</f>
        <v/>
      </c>
      <c r="AH430">
        <f>$C430*AH429</f>
        <v/>
      </c>
      <c r="AI430">
        <f>$C430*AI429</f>
        <v/>
      </c>
      <c r="AJ430">
        <f>$C430*AJ429</f>
        <v/>
      </c>
      <c r="AK430">
        <f>$C430*AK429</f>
        <v/>
      </c>
      <c r="AL430">
        <f>$C430*AL429</f>
        <v/>
      </c>
      <c r="AM430">
        <f>$C430*AM429</f>
        <v/>
      </c>
      <c r="AN430">
        <f>$C430*AN429</f>
        <v/>
      </c>
      <c r="AO430">
        <f>$C430*AO429</f>
        <v/>
      </c>
      <c r="AP430">
        <f>$C430*AP429</f>
        <v/>
      </c>
      <c r="AQ430">
        <f>$C430*AQ429</f>
        <v/>
      </c>
      <c r="AR430">
        <f>$C430*AR429</f>
        <v/>
      </c>
      <c r="AS430">
        <f>$C430*AS429</f>
        <v/>
      </c>
      <c r="AT430">
        <f>$C430*AT429</f>
        <v/>
      </c>
      <c r="AU430">
        <f>$C430*AU429</f>
        <v/>
      </c>
      <c r="AV430">
        <f>$C430*AV429</f>
        <v/>
      </c>
      <c r="AW430">
        <f>$C430*AW429</f>
        <v/>
      </c>
      <c r="AX430">
        <f>$C430*AX429</f>
        <v/>
      </c>
      <c r="AY430">
        <f>$C430*AY429</f>
        <v/>
      </c>
      <c r="AZ430">
        <f>$C430*AZ429</f>
        <v/>
      </c>
      <c r="BA430">
        <f>$C430*BA429</f>
        <v/>
      </c>
      <c r="BB430">
        <f>$C430*BB429</f>
        <v/>
      </c>
      <c r="BC430">
        <f>$C430*BC429</f>
        <v/>
      </c>
      <c r="BD430">
        <f>$C430*BD429</f>
        <v/>
      </c>
      <c r="BE430">
        <f>$C430*BE429</f>
        <v/>
      </c>
      <c r="BF430">
        <f>$C430*BF429</f>
        <v/>
      </c>
      <c r="BG430">
        <f>$C430*BG429</f>
        <v/>
      </c>
      <c r="BH430">
        <f>$C430*BH429</f>
        <v/>
      </c>
      <c r="BI430">
        <f>$C430*BI429</f>
        <v/>
      </c>
      <c r="BJ430">
        <f>$C430*BJ429</f>
        <v/>
      </c>
      <c r="BK430">
        <f>$C430*BK429</f>
        <v/>
      </c>
      <c r="BL430">
        <f>$C430*BL429</f>
        <v/>
      </c>
      <c r="BM430">
        <f>$C430*BM429</f>
        <v/>
      </c>
      <c r="BN430">
        <f>$C430*BN429</f>
        <v/>
      </c>
      <c r="BO430">
        <f>$C430*BO429</f>
        <v/>
      </c>
      <c r="BP430">
        <f>$C430*BP429</f>
        <v/>
      </c>
      <c r="BQ430">
        <f>$C430*BQ429</f>
        <v/>
      </c>
      <c r="BR430">
        <f>$C430*BR429</f>
        <v/>
      </c>
      <c r="BS430">
        <f>$C430*BS429</f>
        <v/>
      </c>
      <c r="BT430">
        <f>$C430*BT429</f>
        <v/>
      </c>
      <c r="BU430">
        <f>$C430*BU429</f>
        <v/>
      </c>
      <c r="BV430">
        <f>$C430*BV429</f>
        <v/>
      </c>
      <c r="BW430">
        <f>$C430*BW429</f>
        <v/>
      </c>
      <c r="BX430">
        <f>$C430*BX429</f>
        <v/>
      </c>
      <c r="BY430">
        <f>$C430*BY429</f>
        <v/>
      </c>
      <c r="BZ430">
        <f>$C430*BZ429</f>
        <v/>
      </c>
      <c r="CA430">
        <f>$C430*CA429</f>
        <v/>
      </c>
      <c r="CB430">
        <f>$C430*CB429</f>
        <v/>
      </c>
      <c r="CC430">
        <f>$C430*CC429</f>
        <v/>
      </c>
      <c r="CD430">
        <f>$C430*CD429</f>
        <v/>
      </c>
      <c r="CE430">
        <f>$C430*CE429</f>
        <v/>
      </c>
      <c r="CF430">
        <f>$C430*CF429</f>
        <v/>
      </c>
      <c r="CG430">
        <f>$C430*CG429</f>
        <v/>
      </c>
      <c r="CH430">
        <f>$C430*CH429</f>
        <v/>
      </c>
      <c r="CI430">
        <f>$C430*CI429</f>
        <v/>
      </c>
      <c r="CJ430">
        <f>$C430*CJ429</f>
        <v/>
      </c>
      <c r="CK430">
        <f>$C430*CK429</f>
        <v/>
      </c>
      <c r="CL430">
        <f>$C430*CL429</f>
        <v/>
      </c>
      <c r="CM430">
        <f>$C430*CM429</f>
        <v/>
      </c>
      <c r="CN430">
        <f>$C430*CN429</f>
        <v/>
      </c>
      <c r="CO430">
        <f>$C430*CO429</f>
        <v/>
      </c>
      <c r="CP430">
        <f>$C430*CP429</f>
        <v/>
      </c>
      <c r="CQ430">
        <f>$C430*CQ429</f>
        <v/>
      </c>
      <c r="CR430">
        <f>$C430*CR429</f>
        <v/>
      </c>
      <c r="CS430">
        <f>$C430*CS429</f>
        <v/>
      </c>
      <c r="CT430">
        <f>$C430*CT429</f>
        <v/>
      </c>
      <c r="CU430">
        <f>$C430*CU429</f>
        <v/>
      </c>
      <c r="CV430">
        <f>$C430*CV429</f>
        <v/>
      </c>
      <c r="CW430">
        <f>$C430*CW429</f>
        <v/>
      </c>
      <c r="CX430">
        <f>$C430*CX429</f>
        <v/>
      </c>
      <c r="CY430">
        <f>$C430*CY429</f>
        <v/>
      </c>
      <c r="CZ430">
        <f>$C430*CZ429</f>
        <v/>
      </c>
      <c r="DA430">
        <f>$C430*DA429</f>
        <v/>
      </c>
      <c r="DB430">
        <f>$C430*DB429</f>
        <v/>
      </c>
      <c r="DC430">
        <f>$C430*DC429</f>
        <v/>
      </c>
    </row>
    <row r="431">
      <c r="B431" t="inlineStr">
        <is>
          <t>TSP-199</t>
        </is>
      </c>
      <c r="C431" t="inlineStr">
        <is>
          <t>No. of batches</t>
        </is>
      </c>
      <c r="D431">
        <f>IFERROR(INDEX(PP_Grid[#Data],$DD431,2),0)</f>
        <v/>
      </c>
      <c r="E431">
        <f>IFERROR(INDEX(PP_Grid[#Data],$DD431,3),0)</f>
        <v/>
      </c>
      <c r="F431">
        <f>IFERROR(INDEX(PP_Grid[#Data],$DD431,4),0)</f>
        <v/>
      </c>
      <c r="G431">
        <f>IFERROR(INDEX(PP_Grid[#Data],$DD431,5),0)</f>
        <v/>
      </c>
      <c r="H431">
        <f>IFERROR(INDEX(PP_Grid[#Data],$DD431,6),0)</f>
        <v/>
      </c>
      <c r="I431">
        <f>IFERROR(INDEX(PP_Grid[#Data],$DD431,7),0)</f>
        <v/>
      </c>
      <c r="J431">
        <f>IFERROR(INDEX(PP_Grid[#Data],$DD431,8),0)</f>
        <v/>
      </c>
      <c r="K431">
        <f>IFERROR(INDEX(PP_Grid[#Data],$DD431,9),0)</f>
        <v/>
      </c>
      <c r="L431">
        <f>IFERROR(INDEX(PP_Grid[#Data],$DD431,10),0)</f>
        <v/>
      </c>
      <c r="M431">
        <f>IFERROR(INDEX(PP_Grid[#Data],$DD431,11),0)</f>
        <v/>
      </c>
      <c r="N431">
        <f>IFERROR(INDEX(PP_Grid[#Data],$DD431,12),0)</f>
        <v/>
      </c>
      <c r="O431">
        <f>IFERROR(INDEX(PP_Grid[#Data],$DD431,13),0)</f>
        <v/>
      </c>
      <c r="P431">
        <f>IFERROR(INDEX(PP_Grid[#Data],$DD431,14),0)</f>
        <v/>
      </c>
      <c r="Q431">
        <f>IFERROR(INDEX(PP_Grid[#Data],$DD431,15),0)</f>
        <v/>
      </c>
      <c r="R431">
        <f>IFERROR(INDEX(PP_Grid[#Data],$DD431,16),0)</f>
        <v/>
      </c>
      <c r="S431">
        <f>IFERROR(INDEX(PP_Grid[#Data],$DD431,17),0)</f>
        <v/>
      </c>
      <c r="T431">
        <f>IFERROR(INDEX(PP_Grid[#Data],$DD431,18),0)</f>
        <v/>
      </c>
      <c r="U431">
        <f>IFERROR(INDEX(PP_Grid[#Data],$DD431,19),0)</f>
        <v/>
      </c>
      <c r="V431">
        <f>IFERROR(INDEX(PP_Grid[#Data],$DD431,20),0)</f>
        <v/>
      </c>
      <c r="W431">
        <f>IFERROR(INDEX(PP_Grid[#Data],$DD431,21),0)</f>
        <v/>
      </c>
      <c r="X431">
        <f>IFERROR(INDEX(PP_Grid[#Data],$DD431,22),0)</f>
        <v/>
      </c>
      <c r="Y431">
        <f>IFERROR(INDEX(PP_Grid[#Data],$DD431,23),0)</f>
        <v/>
      </c>
      <c r="Z431">
        <f>IFERROR(INDEX(PP_Grid[#Data],$DD431,24),0)</f>
        <v/>
      </c>
      <c r="AA431">
        <f>IFERROR(INDEX(PP_Grid[#Data],$DD431,25),0)</f>
        <v/>
      </c>
      <c r="AB431">
        <f>IFERROR(INDEX(PP_Grid[#Data],$DD431,26),0)</f>
        <v/>
      </c>
      <c r="AC431">
        <f>IFERROR(INDEX(PP_Grid[#Data],$DD431,27),0)</f>
        <v/>
      </c>
      <c r="AD431">
        <f>IFERROR(INDEX(PP_Grid[#Data],$DD431,28),0)</f>
        <v/>
      </c>
      <c r="AE431">
        <f>IFERROR(INDEX(PP_Grid[#Data],$DD431,29),0)</f>
        <v/>
      </c>
      <c r="AF431">
        <f>IFERROR(INDEX(PP_Grid[#Data],$DD431,30),0)</f>
        <v/>
      </c>
      <c r="AG431">
        <f>IFERROR(INDEX(PP_Grid[#Data],$DD431,31),0)</f>
        <v/>
      </c>
      <c r="AH431">
        <f>IFERROR(INDEX(PP_Grid[#Data],$DD431,32),0)</f>
        <v/>
      </c>
      <c r="AI431">
        <f>IFERROR(INDEX(PP_Grid[#Data],$DD431,33),0)</f>
        <v/>
      </c>
      <c r="AJ431">
        <f>IFERROR(INDEX(PP_Grid[#Data],$DD431,34),0)</f>
        <v/>
      </c>
      <c r="AK431">
        <f>IFERROR(INDEX(PP_Grid[#Data],$DD431,35),0)</f>
        <v/>
      </c>
      <c r="AL431">
        <f>IFERROR(INDEX(PP_Grid[#Data],$DD431,36),0)</f>
        <v/>
      </c>
      <c r="AM431">
        <f>IFERROR(INDEX(PP_Grid[#Data],$DD431,37),0)</f>
        <v/>
      </c>
      <c r="AN431">
        <f>IFERROR(INDEX(PP_Grid[#Data],$DD431,38),0)</f>
        <v/>
      </c>
      <c r="AO431">
        <f>IFERROR(INDEX(PP_Grid[#Data],$DD431,39),0)</f>
        <v/>
      </c>
      <c r="AP431">
        <f>IFERROR(INDEX(PP_Grid[#Data],$DD431,40),0)</f>
        <v/>
      </c>
      <c r="AQ431">
        <f>IFERROR(INDEX(PP_Grid[#Data],$DD431,41),0)</f>
        <v/>
      </c>
      <c r="AR431">
        <f>IFERROR(INDEX(PP_Grid[#Data],$DD431,42),0)</f>
        <v/>
      </c>
      <c r="AS431">
        <f>IFERROR(INDEX(PP_Grid[#Data],$DD431,43),0)</f>
        <v/>
      </c>
      <c r="AT431">
        <f>IFERROR(INDEX(PP_Grid[#Data],$DD431,44),0)</f>
        <v/>
      </c>
      <c r="AU431">
        <f>IFERROR(INDEX(PP_Grid[#Data],$DD431,45),0)</f>
        <v/>
      </c>
      <c r="AV431">
        <f>IFERROR(INDEX(PP_Grid[#Data],$DD431,46),0)</f>
        <v/>
      </c>
      <c r="AW431">
        <f>IFERROR(INDEX(PP_Grid[#Data],$DD431,47),0)</f>
        <v/>
      </c>
      <c r="AX431">
        <f>IFERROR(INDEX(PP_Grid[#Data],$DD431,48),0)</f>
        <v/>
      </c>
      <c r="AY431">
        <f>IFERROR(INDEX(PP_Grid[#Data],$DD431,49),0)</f>
        <v/>
      </c>
      <c r="AZ431">
        <f>IFERROR(INDEX(PP_Grid[#Data],$DD431,50),0)</f>
        <v/>
      </c>
      <c r="BA431">
        <f>IFERROR(INDEX(PP_Grid[#Data],$DD431,51),0)</f>
        <v/>
      </c>
      <c r="BB431">
        <f>IFERROR(INDEX(PP_Grid[#Data],$DD431,52),0)</f>
        <v/>
      </c>
      <c r="BC431">
        <f>IFERROR(INDEX(PP_Grid[#Data],$DD431,53),0)</f>
        <v/>
      </c>
      <c r="BD431">
        <f>IFERROR(INDEX(PP_Grid[#Data],$DD431,54),0)</f>
        <v/>
      </c>
      <c r="BE431">
        <f>IFERROR(INDEX(PP_Grid[#Data],$DD431,55),0)</f>
        <v/>
      </c>
      <c r="BF431">
        <f>IFERROR(INDEX(PP_Grid[#Data],$DD431,56),0)</f>
        <v/>
      </c>
      <c r="BG431">
        <f>IFERROR(INDEX(PP_Grid[#Data],$DD431,57),0)</f>
        <v/>
      </c>
      <c r="BH431">
        <f>IFERROR(INDEX(PP_Grid[#Data],$DD431,58),0)</f>
        <v/>
      </c>
      <c r="BI431">
        <f>IFERROR(INDEX(PP_Grid[#Data],$DD431,59),0)</f>
        <v/>
      </c>
      <c r="BJ431">
        <f>IFERROR(INDEX(PP_Grid[#Data],$DD431,60),0)</f>
        <v/>
      </c>
      <c r="BK431">
        <f>IFERROR(INDEX(PP_Grid[#Data],$DD431,61),0)</f>
        <v/>
      </c>
      <c r="BL431">
        <f>IFERROR(INDEX(PP_Grid[#Data],$DD431,62),0)</f>
        <v/>
      </c>
      <c r="BM431">
        <f>IFERROR(INDEX(PP_Grid[#Data],$DD431,63),0)</f>
        <v/>
      </c>
      <c r="BN431">
        <f>IFERROR(INDEX(PP_Grid[#Data],$DD431,64),0)</f>
        <v/>
      </c>
      <c r="BO431">
        <f>IFERROR(INDEX(PP_Grid[#Data],$DD431,65),0)</f>
        <v/>
      </c>
      <c r="BP431">
        <f>IFERROR(INDEX(PP_Grid[#Data],$DD431,66),0)</f>
        <v/>
      </c>
      <c r="BQ431">
        <f>IFERROR(INDEX(PP_Grid[#Data],$DD431,67),0)</f>
        <v/>
      </c>
      <c r="BR431">
        <f>IFERROR(INDEX(PP_Grid[#Data],$DD431,68),0)</f>
        <v/>
      </c>
      <c r="BS431">
        <f>IFERROR(INDEX(PP_Grid[#Data],$DD431,69),0)</f>
        <v/>
      </c>
      <c r="BT431">
        <f>IFERROR(INDEX(PP_Grid[#Data],$DD431,70),0)</f>
        <v/>
      </c>
      <c r="BU431">
        <f>IFERROR(INDEX(PP_Grid[#Data],$DD431,71),0)</f>
        <v/>
      </c>
      <c r="BV431">
        <f>IFERROR(INDEX(PP_Grid[#Data],$DD431,72),0)</f>
        <v/>
      </c>
      <c r="BW431">
        <f>IFERROR(INDEX(PP_Grid[#Data],$DD431,73),0)</f>
        <v/>
      </c>
      <c r="BX431">
        <f>IFERROR(INDEX(PP_Grid[#Data],$DD431,74),0)</f>
        <v/>
      </c>
      <c r="BY431">
        <f>IFERROR(INDEX(PP_Grid[#Data],$DD431,75),0)</f>
        <v/>
      </c>
      <c r="BZ431">
        <f>IFERROR(INDEX(PP_Grid[#Data],$DD431,76),0)</f>
        <v/>
      </c>
      <c r="CA431">
        <f>IFERROR(INDEX(PP_Grid[#Data],$DD431,77),0)</f>
        <v/>
      </c>
      <c r="CB431">
        <f>IFERROR(INDEX(PP_Grid[#Data],$DD431,78),0)</f>
        <v/>
      </c>
      <c r="CC431">
        <f>IFERROR(INDEX(PP_Grid[#Data],$DD431,79),0)</f>
        <v/>
      </c>
      <c r="CD431">
        <f>IFERROR(INDEX(PP_Grid[#Data],$DD431,80),0)</f>
        <v/>
      </c>
      <c r="CE431">
        <f>IFERROR(INDEX(PP_Grid[#Data],$DD431,81),0)</f>
        <v/>
      </c>
      <c r="CF431">
        <f>IFERROR(INDEX(PP_Grid[#Data],$DD431,82),0)</f>
        <v/>
      </c>
      <c r="CG431">
        <f>IFERROR(INDEX(PP_Grid[#Data],$DD431,83),0)</f>
        <v/>
      </c>
      <c r="CH431">
        <f>IFERROR(INDEX(PP_Grid[#Data],$DD431,84),0)</f>
        <v/>
      </c>
      <c r="CI431">
        <f>IFERROR(INDEX(PP_Grid[#Data],$DD431,85),0)</f>
        <v/>
      </c>
      <c r="CJ431">
        <f>IFERROR(INDEX(PP_Grid[#Data],$DD431,86),0)</f>
        <v/>
      </c>
      <c r="CK431">
        <f>IFERROR(INDEX(PP_Grid[#Data],$DD431,87),0)</f>
        <v/>
      </c>
      <c r="CL431">
        <f>IFERROR(INDEX(PP_Grid[#Data],$DD431,88),0)</f>
        <v/>
      </c>
      <c r="CM431">
        <f>IFERROR(INDEX(PP_Grid[#Data],$DD431,89),0)</f>
        <v/>
      </c>
      <c r="CN431">
        <f>IFERROR(INDEX(PP_Grid[#Data],$DD431,90),0)</f>
        <v/>
      </c>
      <c r="CO431">
        <f>IFERROR(INDEX(PP_Grid[#Data],$DD431,91),0)</f>
        <v/>
      </c>
      <c r="CP431">
        <f>IFERROR(INDEX(PP_Grid[#Data],$DD431,92),0)</f>
        <v/>
      </c>
      <c r="CQ431">
        <f>IFERROR(INDEX(PP_Grid[#Data],$DD431,93),0)</f>
        <v/>
      </c>
      <c r="CR431">
        <f>IFERROR(INDEX(PP_Grid[#Data],$DD431,94),0)</f>
        <v/>
      </c>
      <c r="CS431">
        <f>IFERROR(INDEX(PP_Grid[#Data],$DD431,95),0)</f>
        <v/>
      </c>
      <c r="CT431">
        <f>IFERROR(INDEX(PP_Grid[#Data],$DD431,96),0)</f>
        <v/>
      </c>
      <c r="CU431">
        <f>IFERROR(INDEX(PP_Grid[#Data],$DD431,97),0)</f>
        <v/>
      </c>
      <c r="CV431">
        <f>IFERROR(INDEX(PP_Grid[#Data],$DD431,98),0)</f>
        <v/>
      </c>
      <c r="CW431">
        <f>IFERROR(INDEX(PP_Grid[#Data],$DD431,99),0)</f>
        <v/>
      </c>
      <c r="CX431">
        <f>IFERROR(INDEX(PP_Grid[#Data],$DD431,100),0)</f>
        <v/>
      </c>
      <c r="CY431">
        <f>IFERROR(INDEX(PP_Grid[#Data],$DD431,101),0)</f>
        <v/>
      </c>
      <c r="CZ431">
        <f>IFERROR(INDEX(PP_Grid[#Data],$DD431,102),0)</f>
        <v/>
      </c>
      <c r="DA431">
        <f>IFERROR(INDEX(PP_Grid[#Data],$DD431,103),0)</f>
        <v/>
      </c>
      <c r="DB431">
        <f>IFERROR(INDEX(PP_Grid[#Data],$DD431,104),0)</f>
        <v/>
      </c>
      <c r="DC431">
        <f>IFERROR(INDEX(PP_Grid[#Data],$DD431,105),0)</f>
        <v/>
      </c>
      <c r="DD431" s="12">
        <f>IFERROR(MATCH($B431,PP_Grid[Intermediate],0),99999)</f>
        <v/>
      </c>
    </row>
    <row r="432">
      <c r="B432" t="inlineStr">
        <is>
          <t>使用量(kg)</t>
        </is>
      </c>
      <c r="C432">
        <f>SUMIFS(M_BOM[RM_Qty_Per_Batch],M_BOM[Intermediate],$B431,M_BOM[Part Name],$A406)</f>
        <v/>
      </c>
      <c r="D432">
        <f>$C432*D431</f>
        <v/>
      </c>
      <c r="E432">
        <f>$C432*E431</f>
        <v/>
      </c>
      <c r="F432">
        <f>$C432*F431</f>
        <v/>
      </c>
      <c r="G432">
        <f>$C432*G431</f>
        <v/>
      </c>
      <c r="H432">
        <f>$C432*H431</f>
        <v/>
      </c>
      <c r="I432">
        <f>$C432*I431</f>
        <v/>
      </c>
      <c r="J432">
        <f>$C432*J431</f>
        <v/>
      </c>
      <c r="K432">
        <f>$C432*K431</f>
        <v/>
      </c>
      <c r="L432">
        <f>$C432*L431</f>
        <v/>
      </c>
      <c r="M432">
        <f>$C432*M431</f>
        <v/>
      </c>
      <c r="N432">
        <f>$C432*N431</f>
        <v/>
      </c>
      <c r="O432">
        <f>$C432*O431</f>
        <v/>
      </c>
      <c r="P432">
        <f>$C432*P431</f>
        <v/>
      </c>
      <c r="Q432">
        <f>$C432*Q431</f>
        <v/>
      </c>
      <c r="R432">
        <f>$C432*R431</f>
        <v/>
      </c>
      <c r="S432">
        <f>$C432*S431</f>
        <v/>
      </c>
      <c r="T432">
        <f>$C432*T431</f>
        <v/>
      </c>
      <c r="U432">
        <f>$C432*U431</f>
        <v/>
      </c>
      <c r="V432">
        <f>$C432*V431</f>
        <v/>
      </c>
      <c r="W432">
        <f>$C432*W431</f>
        <v/>
      </c>
      <c r="X432">
        <f>$C432*X431</f>
        <v/>
      </c>
      <c r="Y432">
        <f>$C432*Y431</f>
        <v/>
      </c>
      <c r="Z432">
        <f>$C432*Z431</f>
        <v/>
      </c>
      <c r="AA432">
        <f>$C432*AA431</f>
        <v/>
      </c>
      <c r="AB432">
        <f>$C432*AB431</f>
        <v/>
      </c>
      <c r="AC432">
        <f>$C432*AC431</f>
        <v/>
      </c>
      <c r="AD432">
        <f>$C432*AD431</f>
        <v/>
      </c>
      <c r="AE432">
        <f>$C432*AE431</f>
        <v/>
      </c>
      <c r="AF432">
        <f>$C432*AF431</f>
        <v/>
      </c>
      <c r="AG432">
        <f>$C432*AG431</f>
        <v/>
      </c>
      <c r="AH432">
        <f>$C432*AH431</f>
        <v/>
      </c>
      <c r="AI432">
        <f>$C432*AI431</f>
        <v/>
      </c>
      <c r="AJ432">
        <f>$C432*AJ431</f>
        <v/>
      </c>
      <c r="AK432">
        <f>$C432*AK431</f>
        <v/>
      </c>
      <c r="AL432">
        <f>$C432*AL431</f>
        <v/>
      </c>
      <c r="AM432">
        <f>$C432*AM431</f>
        <v/>
      </c>
      <c r="AN432">
        <f>$C432*AN431</f>
        <v/>
      </c>
      <c r="AO432">
        <f>$C432*AO431</f>
        <v/>
      </c>
      <c r="AP432">
        <f>$C432*AP431</f>
        <v/>
      </c>
      <c r="AQ432">
        <f>$C432*AQ431</f>
        <v/>
      </c>
      <c r="AR432">
        <f>$C432*AR431</f>
        <v/>
      </c>
      <c r="AS432">
        <f>$C432*AS431</f>
        <v/>
      </c>
      <c r="AT432">
        <f>$C432*AT431</f>
        <v/>
      </c>
      <c r="AU432">
        <f>$C432*AU431</f>
        <v/>
      </c>
      <c r="AV432">
        <f>$C432*AV431</f>
        <v/>
      </c>
      <c r="AW432">
        <f>$C432*AW431</f>
        <v/>
      </c>
      <c r="AX432">
        <f>$C432*AX431</f>
        <v/>
      </c>
      <c r="AY432">
        <f>$C432*AY431</f>
        <v/>
      </c>
      <c r="AZ432">
        <f>$C432*AZ431</f>
        <v/>
      </c>
      <c r="BA432">
        <f>$C432*BA431</f>
        <v/>
      </c>
      <c r="BB432">
        <f>$C432*BB431</f>
        <v/>
      </c>
      <c r="BC432">
        <f>$C432*BC431</f>
        <v/>
      </c>
      <c r="BD432">
        <f>$C432*BD431</f>
        <v/>
      </c>
      <c r="BE432">
        <f>$C432*BE431</f>
        <v/>
      </c>
      <c r="BF432">
        <f>$C432*BF431</f>
        <v/>
      </c>
      <c r="BG432">
        <f>$C432*BG431</f>
        <v/>
      </c>
      <c r="BH432">
        <f>$C432*BH431</f>
        <v/>
      </c>
      <c r="BI432">
        <f>$C432*BI431</f>
        <v/>
      </c>
      <c r="BJ432">
        <f>$C432*BJ431</f>
        <v/>
      </c>
      <c r="BK432">
        <f>$C432*BK431</f>
        <v/>
      </c>
      <c r="BL432">
        <f>$C432*BL431</f>
        <v/>
      </c>
      <c r="BM432">
        <f>$C432*BM431</f>
        <v/>
      </c>
      <c r="BN432">
        <f>$C432*BN431</f>
        <v/>
      </c>
      <c r="BO432">
        <f>$C432*BO431</f>
        <v/>
      </c>
      <c r="BP432">
        <f>$C432*BP431</f>
        <v/>
      </c>
      <c r="BQ432">
        <f>$C432*BQ431</f>
        <v/>
      </c>
      <c r="BR432">
        <f>$C432*BR431</f>
        <v/>
      </c>
      <c r="BS432">
        <f>$C432*BS431</f>
        <v/>
      </c>
      <c r="BT432">
        <f>$C432*BT431</f>
        <v/>
      </c>
      <c r="BU432">
        <f>$C432*BU431</f>
        <v/>
      </c>
      <c r="BV432">
        <f>$C432*BV431</f>
        <v/>
      </c>
      <c r="BW432">
        <f>$C432*BW431</f>
        <v/>
      </c>
      <c r="BX432">
        <f>$C432*BX431</f>
        <v/>
      </c>
      <c r="BY432">
        <f>$C432*BY431</f>
        <v/>
      </c>
      <c r="BZ432">
        <f>$C432*BZ431</f>
        <v/>
      </c>
      <c r="CA432">
        <f>$C432*CA431</f>
        <v/>
      </c>
      <c r="CB432">
        <f>$C432*CB431</f>
        <v/>
      </c>
      <c r="CC432">
        <f>$C432*CC431</f>
        <v/>
      </c>
      <c r="CD432">
        <f>$C432*CD431</f>
        <v/>
      </c>
      <c r="CE432">
        <f>$C432*CE431</f>
        <v/>
      </c>
      <c r="CF432">
        <f>$C432*CF431</f>
        <v/>
      </c>
      <c r="CG432">
        <f>$C432*CG431</f>
        <v/>
      </c>
      <c r="CH432">
        <f>$C432*CH431</f>
        <v/>
      </c>
      <c r="CI432">
        <f>$C432*CI431</f>
        <v/>
      </c>
      <c r="CJ432">
        <f>$C432*CJ431</f>
        <v/>
      </c>
      <c r="CK432">
        <f>$C432*CK431</f>
        <v/>
      </c>
      <c r="CL432">
        <f>$C432*CL431</f>
        <v/>
      </c>
      <c r="CM432">
        <f>$C432*CM431</f>
        <v/>
      </c>
      <c r="CN432">
        <f>$C432*CN431</f>
        <v/>
      </c>
      <c r="CO432">
        <f>$C432*CO431</f>
        <v/>
      </c>
      <c r="CP432">
        <f>$C432*CP431</f>
        <v/>
      </c>
      <c r="CQ432">
        <f>$C432*CQ431</f>
        <v/>
      </c>
      <c r="CR432">
        <f>$C432*CR431</f>
        <v/>
      </c>
      <c r="CS432">
        <f>$C432*CS431</f>
        <v/>
      </c>
      <c r="CT432">
        <f>$C432*CT431</f>
        <v/>
      </c>
      <c r="CU432">
        <f>$C432*CU431</f>
        <v/>
      </c>
      <c r="CV432">
        <f>$C432*CV431</f>
        <v/>
      </c>
      <c r="CW432">
        <f>$C432*CW431</f>
        <v/>
      </c>
      <c r="CX432">
        <f>$C432*CX431</f>
        <v/>
      </c>
      <c r="CY432">
        <f>$C432*CY431</f>
        <v/>
      </c>
      <c r="CZ432">
        <f>$C432*CZ431</f>
        <v/>
      </c>
      <c r="DA432">
        <f>$C432*DA431</f>
        <v/>
      </c>
      <c r="DB432">
        <f>$C432*DB431</f>
        <v/>
      </c>
      <c r="DC432">
        <f>$C432*DC431</f>
        <v/>
      </c>
    </row>
    <row r="433">
      <c r="B433" t="inlineStr">
        <is>
          <t>TSP-205</t>
        </is>
      </c>
      <c r="C433" t="inlineStr">
        <is>
          <t>No. of batches</t>
        </is>
      </c>
      <c r="D433">
        <f>IFERROR(INDEX(PP_Grid[#Data],$DD433,2),0)</f>
        <v/>
      </c>
      <c r="E433">
        <f>IFERROR(INDEX(PP_Grid[#Data],$DD433,3),0)</f>
        <v/>
      </c>
      <c r="F433">
        <f>IFERROR(INDEX(PP_Grid[#Data],$DD433,4),0)</f>
        <v/>
      </c>
      <c r="G433">
        <f>IFERROR(INDEX(PP_Grid[#Data],$DD433,5),0)</f>
        <v/>
      </c>
      <c r="H433">
        <f>IFERROR(INDEX(PP_Grid[#Data],$DD433,6),0)</f>
        <v/>
      </c>
      <c r="I433">
        <f>IFERROR(INDEX(PP_Grid[#Data],$DD433,7),0)</f>
        <v/>
      </c>
      <c r="J433">
        <f>IFERROR(INDEX(PP_Grid[#Data],$DD433,8),0)</f>
        <v/>
      </c>
      <c r="K433">
        <f>IFERROR(INDEX(PP_Grid[#Data],$DD433,9),0)</f>
        <v/>
      </c>
      <c r="L433">
        <f>IFERROR(INDEX(PP_Grid[#Data],$DD433,10),0)</f>
        <v/>
      </c>
      <c r="M433">
        <f>IFERROR(INDEX(PP_Grid[#Data],$DD433,11),0)</f>
        <v/>
      </c>
      <c r="N433">
        <f>IFERROR(INDEX(PP_Grid[#Data],$DD433,12),0)</f>
        <v/>
      </c>
      <c r="O433">
        <f>IFERROR(INDEX(PP_Grid[#Data],$DD433,13),0)</f>
        <v/>
      </c>
      <c r="P433">
        <f>IFERROR(INDEX(PP_Grid[#Data],$DD433,14),0)</f>
        <v/>
      </c>
      <c r="Q433">
        <f>IFERROR(INDEX(PP_Grid[#Data],$DD433,15),0)</f>
        <v/>
      </c>
      <c r="R433">
        <f>IFERROR(INDEX(PP_Grid[#Data],$DD433,16),0)</f>
        <v/>
      </c>
      <c r="S433">
        <f>IFERROR(INDEX(PP_Grid[#Data],$DD433,17),0)</f>
        <v/>
      </c>
      <c r="T433">
        <f>IFERROR(INDEX(PP_Grid[#Data],$DD433,18),0)</f>
        <v/>
      </c>
      <c r="U433">
        <f>IFERROR(INDEX(PP_Grid[#Data],$DD433,19),0)</f>
        <v/>
      </c>
      <c r="V433">
        <f>IFERROR(INDEX(PP_Grid[#Data],$DD433,20),0)</f>
        <v/>
      </c>
      <c r="W433">
        <f>IFERROR(INDEX(PP_Grid[#Data],$DD433,21),0)</f>
        <v/>
      </c>
      <c r="X433">
        <f>IFERROR(INDEX(PP_Grid[#Data],$DD433,22),0)</f>
        <v/>
      </c>
      <c r="Y433">
        <f>IFERROR(INDEX(PP_Grid[#Data],$DD433,23),0)</f>
        <v/>
      </c>
      <c r="Z433">
        <f>IFERROR(INDEX(PP_Grid[#Data],$DD433,24),0)</f>
        <v/>
      </c>
      <c r="AA433">
        <f>IFERROR(INDEX(PP_Grid[#Data],$DD433,25),0)</f>
        <v/>
      </c>
      <c r="AB433">
        <f>IFERROR(INDEX(PP_Grid[#Data],$DD433,26),0)</f>
        <v/>
      </c>
      <c r="AC433">
        <f>IFERROR(INDEX(PP_Grid[#Data],$DD433,27),0)</f>
        <v/>
      </c>
      <c r="AD433">
        <f>IFERROR(INDEX(PP_Grid[#Data],$DD433,28),0)</f>
        <v/>
      </c>
      <c r="AE433">
        <f>IFERROR(INDEX(PP_Grid[#Data],$DD433,29),0)</f>
        <v/>
      </c>
      <c r="AF433">
        <f>IFERROR(INDEX(PP_Grid[#Data],$DD433,30),0)</f>
        <v/>
      </c>
      <c r="AG433">
        <f>IFERROR(INDEX(PP_Grid[#Data],$DD433,31),0)</f>
        <v/>
      </c>
      <c r="AH433">
        <f>IFERROR(INDEX(PP_Grid[#Data],$DD433,32),0)</f>
        <v/>
      </c>
      <c r="AI433">
        <f>IFERROR(INDEX(PP_Grid[#Data],$DD433,33),0)</f>
        <v/>
      </c>
      <c r="AJ433">
        <f>IFERROR(INDEX(PP_Grid[#Data],$DD433,34),0)</f>
        <v/>
      </c>
      <c r="AK433">
        <f>IFERROR(INDEX(PP_Grid[#Data],$DD433,35),0)</f>
        <v/>
      </c>
      <c r="AL433">
        <f>IFERROR(INDEX(PP_Grid[#Data],$DD433,36),0)</f>
        <v/>
      </c>
      <c r="AM433">
        <f>IFERROR(INDEX(PP_Grid[#Data],$DD433,37),0)</f>
        <v/>
      </c>
      <c r="AN433">
        <f>IFERROR(INDEX(PP_Grid[#Data],$DD433,38),0)</f>
        <v/>
      </c>
      <c r="AO433">
        <f>IFERROR(INDEX(PP_Grid[#Data],$DD433,39),0)</f>
        <v/>
      </c>
      <c r="AP433">
        <f>IFERROR(INDEX(PP_Grid[#Data],$DD433,40),0)</f>
        <v/>
      </c>
      <c r="AQ433">
        <f>IFERROR(INDEX(PP_Grid[#Data],$DD433,41),0)</f>
        <v/>
      </c>
      <c r="AR433">
        <f>IFERROR(INDEX(PP_Grid[#Data],$DD433,42),0)</f>
        <v/>
      </c>
      <c r="AS433">
        <f>IFERROR(INDEX(PP_Grid[#Data],$DD433,43),0)</f>
        <v/>
      </c>
      <c r="AT433">
        <f>IFERROR(INDEX(PP_Grid[#Data],$DD433,44),0)</f>
        <v/>
      </c>
      <c r="AU433">
        <f>IFERROR(INDEX(PP_Grid[#Data],$DD433,45),0)</f>
        <v/>
      </c>
      <c r="AV433">
        <f>IFERROR(INDEX(PP_Grid[#Data],$DD433,46),0)</f>
        <v/>
      </c>
      <c r="AW433">
        <f>IFERROR(INDEX(PP_Grid[#Data],$DD433,47),0)</f>
        <v/>
      </c>
      <c r="AX433">
        <f>IFERROR(INDEX(PP_Grid[#Data],$DD433,48),0)</f>
        <v/>
      </c>
      <c r="AY433">
        <f>IFERROR(INDEX(PP_Grid[#Data],$DD433,49),0)</f>
        <v/>
      </c>
      <c r="AZ433">
        <f>IFERROR(INDEX(PP_Grid[#Data],$DD433,50),0)</f>
        <v/>
      </c>
      <c r="BA433">
        <f>IFERROR(INDEX(PP_Grid[#Data],$DD433,51),0)</f>
        <v/>
      </c>
      <c r="BB433">
        <f>IFERROR(INDEX(PP_Grid[#Data],$DD433,52),0)</f>
        <v/>
      </c>
      <c r="BC433">
        <f>IFERROR(INDEX(PP_Grid[#Data],$DD433,53),0)</f>
        <v/>
      </c>
      <c r="BD433">
        <f>IFERROR(INDEX(PP_Grid[#Data],$DD433,54),0)</f>
        <v/>
      </c>
      <c r="BE433">
        <f>IFERROR(INDEX(PP_Grid[#Data],$DD433,55),0)</f>
        <v/>
      </c>
      <c r="BF433">
        <f>IFERROR(INDEX(PP_Grid[#Data],$DD433,56),0)</f>
        <v/>
      </c>
      <c r="BG433">
        <f>IFERROR(INDEX(PP_Grid[#Data],$DD433,57),0)</f>
        <v/>
      </c>
      <c r="BH433">
        <f>IFERROR(INDEX(PP_Grid[#Data],$DD433,58),0)</f>
        <v/>
      </c>
      <c r="BI433">
        <f>IFERROR(INDEX(PP_Grid[#Data],$DD433,59),0)</f>
        <v/>
      </c>
      <c r="BJ433">
        <f>IFERROR(INDEX(PP_Grid[#Data],$DD433,60),0)</f>
        <v/>
      </c>
      <c r="BK433">
        <f>IFERROR(INDEX(PP_Grid[#Data],$DD433,61),0)</f>
        <v/>
      </c>
      <c r="BL433">
        <f>IFERROR(INDEX(PP_Grid[#Data],$DD433,62),0)</f>
        <v/>
      </c>
      <c r="BM433">
        <f>IFERROR(INDEX(PP_Grid[#Data],$DD433,63),0)</f>
        <v/>
      </c>
      <c r="BN433">
        <f>IFERROR(INDEX(PP_Grid[#Data],$DD433,64),0)</f>
        <v/>
      </c>
      <c r="BO433">
        <f>IFERROR(INDEX(PP_Grid[#Data],$DD433,65),0)</f>
        <v/>
      </c>
      <c r="BP433">
        <f>IFERROR(INDEX(PP_Grid[#Data],$DD433,66),0)</f>
        <v/>
      </c>
      <c r="BQ433">
        <f>IFERROR(INDEX(PP_Grid[#Data],$DD433,67),0)</f>
        <v/>
      </c>
      <c r="BR433">
        <f>IFERROR(INDEX(PP_Grid[#Data],$DD433,68),0)</f>
        <v/>
      </c>
      <c r="BS433">
        <f>IFERROR(INDEX(PP_Grid[#Data],$DD433,69),0)</f>
        <v/>
      </c>
      <c r="BT433">
        <f>IFERROR(INDEX(PP_Grid[#Data],$DD433,70),0)</f>
        <v/>
      </c>
      <c r="BU433">
        <f>IFERROR(INDEX(PP_Grid[#Data],$DD433,71),0)</f>
        <v/>
      </c>
      <c r="BV433">
        <f>IFERROR(INDEX(PP_Grid[#Data],$DD433,72),0)</f>
        <v/>
      </c>
      <c r="BW433">
        <f>IFERROR(INDEX(PP_Grid[#Data],$DD433,73),0)</f>
        <v/>
      </c>
      <c r="BX433">
        <f>IFERROR(INDEX(PP_Grid[#Data],$DD433,74),0)</f>
        <v/>
      </c>
      <c r="BY433">
        <f>IFERROR(INDEX(PP_Grid[#Data],$DD433,75),0)</f>
        <v/>
      </c>
      <c r="BZ433">
        <f>IFERROR(INDEX(PP_Grid[#Data],$DD433,76),0)</f>
        <v/>
      </c>
      <c r="CA433">
        <f>IFERROR(INDEX(PP_Grid[#Data],$DD433,77),0)</f>
        <v/>
      </c>
      <c r="CB433">
        <f>IFERROR(INDEX(PP_Grid[#Data],$DD433,78),0)</f>
        <v/>
      </c>
      <c r="CC433">
        <f>IFERROR(INDEX(PP_Grid[#Data],$DD433,79),0)</f>
        <v/>
      </c>
      <c r="CD433">
        <f>IFERROR(INDEX(PP_Grid[#Data],$DD433,80),0)</f>
        <v/>
      </c>
      <c r="CE433">
        <f>IFERROR(INDEX(PP_Grid[#Data],$DD433,81),0)</f>
        <v/>
      </c>
      <c r="CF433">
        <f>IFERROR(INDEX(PP_Grid[#Data],$DD433,82),0)</f>
        <v/>
      </c>
      <c r="CG433">
        <f>IFERROR(INDEX(PP_Grid[#Data],$DD433,83),0)</f>
        <v/>
      </c>
      <c r="CH433">
        <f>IFERROR(INDEX(PP_Grid[#Data],$DD433,84),0)</f>
        <v/>
      </c>
      <c r="CI433">
        <f>IFERROR(INDEX(PP_Grid[#Data],$DD433,85),0)</f>
        <v/>
      </c>
      <c r="CJ433">
        <f>IFERROR(INDEX(PP_Grid[#Data],$DD433,86),0)</f>
        <v/>
      </c>
      <c r="CK433">
        <f>IFERROR(INDEX(PP_Grid[#Data],$DD433,87),0)</f>
        <v/>
      </c>
      <c r="CL433">
        <f>IFERROR(INDEX(PP_Grid[#Data],$DD433,88),0)</f>
        <v/>
      </c>
      <c r="CM433">
        <f>IFERROR(INDEX(PP_Grid[#Data],$DD433,89),0)</f>
        <v/>
      </c>
      <c r="CN433">
        <f>IFERROR(INDEX(PP_Grid[#Data],$DD433,90),0)</f>
        <v/>
      </c>
      <c r="CO433">
        <f>IFERROR(INDEX(PP_Grid[#Data],$DD433,91),0)</f>
        <v/>
      </c>
      <c r="CP433">
        <f>IFERROR(INDEX(PP_Grid[#Data],$DD433,92),0)</f>
        <v/>
      </c>
      <c r="CQ433">
        <f>IFERROR(INDEX(PP_Grid[#Data],$DD433,93),0)</f>
        <v/>
      </c>
      <c r="CR433">
        <f>IFERROR(INDEX(PP_Grid[#Data],$DD433,94),0)</f>
        <v/>
      </c>
      <c r="CS433">
        <f>IFERROR(INDEX(PP_Grid[#Data],$DD433,95),0)</f>
        <v/>
      </c>
      <c r="CT433">
        <f>IFERROR(INDEX(PP_Grid[#Data],$DD433,96),0)</f>
        <v/>
      </c>
      <c r="CU433">
        <f>IFERROR(INDEX(PP_Grid[#Data],$DD433,97),0)</f>
        <v/>
      </c>
      <c r="CV433">
        <f>IFERROR(INDEX(PP_Grid[#Data],$DD433,98),0)</f>
        <v/>
      </c>
      <c r="CW433">
        <f>IFERROR(INDEX(PP_Grid[#Data],$DD433,99),0)</f>
        <v/>
      </c>
      <c r="CX433">
        <f>IFERROR(INDEX(PP_Grid[#Data],$DD433,100),0)</f>
        <v/>
      </c>
      <c r="CY433">
        <f>IFERROR(INDEX(PP_Grid[#Data],$DD433,101),0)</f>
        <v/>
      </c>
      <c r="CZ433">
        <f>IFERROR(INDEX(PP_Grid[#Data],$DD433,102),0)</f>
        <v/>
      </c>
      <c r="DA433">
        <f>IFERROR(INDEX(PP_Grid[#Data],$DD433,103),0)</f>
        <v/>
      </c>
      <c r="DB433">
        <f>IFERROR(INDEX(PP_Grid[#Data],$DD433,104),0)</f>
        <v/>
      </c>
      <c r="DC433">
        <f>IFERROR(INDEX(PP_Grid[#Data],$DD433,105),0)</f>
        <v/>
      </c>
      <c r="DD433" s="12">
        <f>IFERROR(MATCH($B433,PP_Grid[Intermediate],0),99999)</f>
        <v/>
      </c>
    </row>
    <row r="434">
      <c r="B434" t="inlineStr">
        <is>
          <t>使用量(kg)</t>
        </is>
      </c>
      <c r="C434">
        <f>SUMIFS(M_BOM[RM_Qty_Per_Batch],M_BOM[Intermediate],$B433,M_BOM[Part Name],$A406)</f>
        <v/>
      </c>
      <c r="D434">
        <f>$C434*D433</f>
        <v/>
      </c>
      <c r="E434">
        <f>$C434*E433</f>
        <v/>
      </c>
      <c r="F434">
        <f>$C434*F433</f>
        <v/>
      </c>
      <c r="G434">
        <f>$C434*G433</f>
        <v/>
      </c>
      <c r="H434">
        <f>$C434*H433</f>
        <v/>
      </c>
      <c r="I434">
        <f>$C434*I433</f>
        <v/>
      </c>
      <c r="J434">
        <f>$C434*J433</f>
        <v/>
      </c>
      <c r="K434">
        <f>$C434*K433</f>
        <v/>
      </c>
      <c r="L434">
        <f>$C434*L433</f>
        <v/>
      </c>
      <c r="M434">
        <f>$C434*M433</f>
        <v/>
      </c>
      <c r="N434">
        <f>$C434*N433</f>
        <v/>
      </c>
      <c r="O434">
        <f>$C434*O433</f>
        <v/>
      </c>
      <c r="P434">
        <f>$C434*P433</f>
        <v/>
      </c>
      <c r="Q434">
        <f>$C434*Q433</f>
        <v/>
      </c>
      <c r="R434">
        <f>$C434*R433</f>
        <v/>
      </c>
      <c r="S434">
        <f>$C434*S433</f>
        <v/>
      </c>
      <c r="T434">
        <f>$C434*T433</f>
        <v/>
      </c>
      <c r="U434">
        <f>$C434*U433</f>
        <v/>
      </c>
      <c r="V434">
        <f>$C434*V433</f>
        <v/>
      </c>
      <c r="W434">
        <f>$C434*W433</f>
        <v/>
      </c>
      <c r="X434">
        <f>$C434*X433</f>
        <v/>
      </c>
      <c r="Y434">
        <f>$C434*Y433</f>
        <v/>
      </c>
      <c r="Z434">
        <f>$C434*Z433</f>
        <v/>
      </c>
      <c r="AA434">
        <f>$C434*AA433</f>
        <v/>
      </c>
      <c r="AB434">
        <f>$C434*AB433</f>
        <v/>
      </c>
      <c r="AC434">
        <f>$C434*AC433</f>
        <v/>
      </c>
      <c r="AD434">
        <f>$C434*AD433</f>
        <v/>
      </c>
      <c r="AE434">
        <f>$C434*AE433</f>
        <v/>
      </c>
      <c r="AF434">
        <f>$C434*AF433</f>
        <v/>
      </c>
      <c r="AG434">
        <f>$C434*AG433</f>
        <v/>
      </c>
      <c r="AH434">
        <f>$C434*AH433</f>
        <v/>
      </c>
      <c r="AI434">
        <f>$C434*AI433</f>
        <v/>
      </c>
      <c r="AJ434">
        <f>$C434*AJ433</f>
        <v/>
      </c>
      <c r="AK434">
        <f>$C434*AK433</f>
        <v/>
      </c>
      <c r="AL434">
        <f>$C434*AL433</f>
        <v/>
      </c>
      <c r="AM434">
        <f>$C434*AM433</f>
        <v/>
      </c>
      <c r="AN434">
        <f>$C434*AN433</f>
        <v/>
      </c>
      <c r="AO434">
        <f>$C434*AO433</f>
        <v/>
      </c>
      <c r="AP434">
        <f>$C434*AP433</f>
        <v/>
      </c>
      <c r="AQ434">
        <f>$C434*AQ433</f>
        <v/>
      </c>
      <c r="AR434">
        <f>$C434*AR433</f>
        <v/>
      </c>
      <c r="AS434">
        <f>$C434*AS433</f>
        <v/>
      </c>
      <c r="AT434">
        <f>$C434*AT433</f>
        <v/>
      </c>
      <c r="AU434">
        <f>$C434*AU433</f>
        <v/>
      </c>
      <c r="AV434">
        <f>$C434*AV433</f>
        <v/>
      </c>
      <c r="AW434">
        <f>$C434*AW433</f>
        <v/>
      </c>
      <c r="AX434">
        <f>$C434*AX433</f>
        <v/>
      </c>
      <c r="AY434">
        <f>$C434*AY433</f>
        <v/>
      </c>
      <c r="AZ434">
        <f>$C434*AZ433</f>
        <v/>
      </c>
      <c r="BA434">
        <f>$C434*BA433</f>
        <v/>
      </c>
      <c r="BB434">
        <f>$C434*BB433</f>
        <v/>
      </c>
      <c r="BC434">
        <f>$C434*BC433</f>
        <v/>
      </c>
      <c r="BD434">
        <f>$C434*BD433</f>
        <v/>
      </c>
      <c r="BE434">
        <f>$C434*BE433</f>
        <v/>
      </c>
      <c r="BF434">
        <f>$C434*BF433</f>
        <v/>
      </c>
      <c r="BG434">
        <f>$C434*BG433</f>
        <v/>
      </c>
      <c r="BH434">
        <f>$C434*BH433</f>
        <v/>
      </c>
      <c r="BI434">
        <f>$C434*BI433</f>
        <v/>
      </c>
      <c r="BJ434">
        <f>$C434*BJ433</f>
        <v/>
      </c>
      <c r="BK434">
        <f>$C434*BK433</f>
        <v/>
      </c>
      <c r="BL434">
        <f>$C434*BL433</f>
        <v/>
      </c>
      <c r="BM434">
        <f>$C434*BM433</f>
        <v/>
      </c>
      <c r="BN434">
        <f>$C434*BN433</f>
        <v/>
      </c>
      <c r="BO434">
        <f>$C434*BO433</f>
        <v/>
      </c>
      <c r="BP434">
        <f>$C434*BP433</f>
        <v/>
      </c>
      <c r="BQ434">
        <f>$C434*BQ433</f>
        <v/>
      </c>
      <c r="BR434">
        <f>$C434*BR433</f>
        <v/>
      </c>
      <c r="BS434">
        <f>$C434*BS433</f>
        <v/>
      </c>
      <c r="BT434">
        <f>$C434*BT433</f>
        <v/>
      </c>
      <c r="BU434">
        <f>$C434*BU433</f>
        <v/>
      </c>
      <c r="BV434">
        <f>$C434*BV433</f>
        <v/>
      </c>
      <c r="BW434">
        <f>$C434*BW433</f>
        <v/>
      </c>
      <c r="BX434">
        <f>$C434*BX433</f>
        <v/>
      </c>
      <c r="BY434">
        <f>$C434*BY433</f>
        <v/>
      </c>
      <c r="BZ434">
        <f>$C434*BZ433</f>
        <v/>
      </c>
      <c r="CA434">
        <f>$C434*CA433</f>
        <v/>
      </c>
      <c r="CB434">
        <f>$C434*CB433</f>
        <v/>
      </c>
      <c r="CC434">
        <f>$C434*CC433</f>
        <v/>
      </c>
      <c r="CD434">
        <f>$C434*CD433</f>
        <v/>
      </c>
      <c r="CE434">
        <f>$C434*CE433</f>
        <v/>
      </c>
      <c r="CF434">
        <f>$C434*CF433</f>
        <v/>
      </c>
      <c r="CG434">
        <f>$C434*CG433</f>
        <v/>
      </c>
      <c r="CH434">
        <f>$C434*CH433</f>
        <v/>
      </c>
      <c r="CI434">
        <f>$C434*CI433</f>
        <v/>
      </c>
      <c r="CJ434">
        <f>$C434*CJ433</f>
        <v/>
      </c>
      <c r="CK434">
        <f>$C434*CK433</f>
        <v/>
      </c>
      <c r="CL434">
        <f>$C434*CL433</f>
        <v/>
      </c>
      <c r="CM434">
        <f>$C434*CM433</f>
        <v/>
      </c>
      <c r="CN434">
        <f>$C434*CN433</f>
        <v/>
      </c>
      <c r="CO434">
        <f>$C434*CO433</f>
        <v/>
      </c>
      <c r="CP434">
        <f>$C434*CP433</f>
        <v/>
      </c>
      <c r="CQ434">
        <f>$C434*CQ433</f>
        <v/>
      </c>
      <c r="CR434">
        <f>$C434*CR433</f>
        <v/>
      </c>
      <c r="CS434">
        <f>$C434*CS433</f>
        <v/>
      </c>
      <c r="CT434">
        <f>$C434*CT433</f>
        <v/>
      </c>
      <c r="CU434">
        <f>$C434*CU433</f>
        <v/>
      </c>
      <c r="CV434">
        <f>$C434*CV433</f>
        <v/>
      </c>
      <c r="CW434">
        <f>$C434*CW433</f>
        <v/>
      </c>
      <c r="CX434">
        <f>$C434*CX433</f>
        <v/>
      </c>
      <c r="CY434">
        <f>$C434*CY433</f>
        <v/>
      </c>
      <c r="CZ434">
        <f>$C434*CZ433</f>
        <v/>
      </c>
      <c r="DA434">
        <f>$C434*DA433</f>
        <v/>
      </c>
      <c r="DB434">
        <f>$C434*DB433</f>
        <v/>
      </c>
      <c r="DC434">
        <f>$C434*DC433</f>
        <v/>
      </c>
    </row>
    <row r="435">
      <c r="B435" t="inlineStr">
        <is>
          <t>TSP-206</t>
        </is>
      </c>
      <c r="C435" t="inlineStr">
        <is>
          <t>No. of batches</t>
        </is>
      </c>
      <c r="D435">
        <f>IFERROR(INDEX(PP_Grid[#Data],$DD435,2),0)</f>
        <v/>
      </c>
      <c r="E435">
        <f>IFERROR(INDEX(PP_Grid[#Data],$DD435,3),0)</f>
        <v/>
      </c>
      <c r="F435">
        <f>IFERROR(INDEX(PP_Grid[#Data],$DD435,4),0)</f>
        <v/>
      </c>
      <c r="G435">
        <f>IFERROR(INDEX(PP_Grid[#Data],$DD435,5),0)</f>
        <v/>
      </c>
      <c r="H435">
        <f>IFERROR(INDEX(PP_Grid[#Data],$DD435,6),0)</f>
        <v/>
      </c>
      <c r="I435">
        <f>IFERROR(INDEX(PP_Grid[#Data],$DD435,7),0)</f>
        <v/>
      </c>
      <c r="J435">
        <f>IFERROR(INDEX(PP_Grid[#Data],$DD435,8),0)</f>
        <v/>
      </c>
      <c r="K435">
        <f>IFERROR(INDEX(PP_Grid[#Data],$DD435,9),0)</f>
        <v/>
      </c>
      <c r="L435">
        <f>IFERROR(INDEX(PP_Grid[#Data],$DD435,10),0)</f>
        <v/>
      </c>
      <c r="M435">
        <f>IFERROR(INDEX(PP_Grid[#Data],$DD435,11),0)</f>
        <v/>
      </c>
      <c r="N435">
        <f>IFERROR(INDEX(PP_Grid[#Data],$DD435,12),0)</f>
        <v/>
      </c>
      <c r="O435">
        <f>IFERROR(INDEX(PP_Grid[#Data],$DD435,13),0)</f>
        <v/>
      </c>
      <c r="P435">
        <f>IFERROR(INDEX(PP_Grid[#Data],$DD435,14),0)</f>
        <v/>
      </c>
      <c r="Q435">
        <f>IFERROR(INDEX(PP_Grid[#Data],$DD435,15),0)</f>
        <v/>
      </c>
      <c r="R435">
        <f>IFERROR(INDEX(PP_Grid[#Data],$DD435,16),0)</f>
        <v/>
      </c>
      <c r="S435">
        <f>IFERROR(INDEX(PP_Grid[#Data],$DD435,17),0)</f>
        <v/>
      </c>
      <c r="T435">
        <f>IFERROR(INDEX(PP_Grid[#Data],$DD435,18),0)</f>
        <v/>
      </c>
      <c r="U435">
        <f>IFERROR(INDEX(PP_Grid[#Data],$DD435,19),0)</f>
        <v/>
      </c>
      <c r="V435">
        <f>IFERROR(INDEX(PP_Grid[#Data],$DD435,20),0)</f>
        <v/>
      </c>
      <c r="W435">
        <f>IFERROR(INDEX(PP_Grid[#Data],$DD435,21),0)</f>
        <v/>
      </c>
      <c r="X435">
        <f>IFERROR(INDEX(PP_Grid[#Data],$DD435,22),0)</f>
        <v/>
      </c>
      <c r="Y435">
        <f>IFERROR(INDEX(PP_Grid[#Data],$DD435,23),0)</f>
        <v/>
      </c>
      <c r="Z435">
        <f>IFERROR(INDEX(PP_Grid[#Data],$DD435,24),0)</f>
        <v/>
      </c>
      <c r="AA435">
        <f>IFERROR(INDEX(PP_Grid[#Data],$DD435,25),0)</f>
        <v/>
      </c>
      <c r="AB435">
        <f>IFERROR(INDEX(PP_Grid[#Data],$DD435,26),0)</f>
        <v/>
      </c>
      <c r="AC435">
        <f>IFERROR(INDEX(PP_Grid[#Data],$DD435,27),0)</f>
        <v/>
      </c>
      <c r="AD435">
        <f>IFERROR(INDEX(PP_Grid[#Data],$DD435,28),0)</f>
        <v/>
      </c>
      <c r="AE435">
        <f>IFERROR(INDEX(PP_Grid[#Data],$DD435,29),0)</f>
        <v/>
      </c>
      <c r="AF435">
        <f>IFERROR(INDEX(PP_Grid[#Data],$DD435,30),0)</f>
        <v/>
      </c>
      <c r="AG435">
        <f>IFERROR(INDEX(PP_Grid[#Data],$DD435,31),0)</f>
        <v/>
      </c>
      <c r="AH435">
        <f>IFERROR(INDEX(PP_Grid[#Data],$DD435,32),0)</f>
        <v/>
      </c>
      <c r="AI435">
        <f>IFERROR(INDEX(PP_Grid[#Data],$DD435,33),0)</f>
        <v/>
      </c>
      <c r="AJ435">
        <f>IFERROR(INDEX(PP_Grid[#Data],$DD435,34),0)</f>
        <v/>
      </c>
      <c r="AK435">
        <f>IFERROR(INDEX(PP_Grid[#Data],$DD435,35),0)</f>
        <v/>
      </c>
      <c r="AL435">
        <f>IFERROR(INDEX(PP_Grid[#Data],$DD435,36),0)</f>
        <v/>
      </c>
      <c r="AM435">
        <f>IFERROR(INDEX(PP_Grid[#Data],$DD435,37),0)</f>
        <v/>
      </c>
      <c r="AN435">
        <f>IFERROR(INDEX(PP_Grid[#Data],$DD435,38),0)</f>
        <v/>
      </c>
      <c r="AO435">
        <f>IFERROR(INDEX(PP_Grid[#Data],$DD435,39),0)</f>
        <v/>
      </c>
      <c r="AP435">
        <f>IFERROR(INDEX(PP_Grid[#Data],$DD435,40),0)</f>
        <v/>
      </c>
      <c r="AQ435">
        <f>IFERROR(INDEX(PP_Grid[#Data],$DD435,41),0)</f>
        <v/>
      </c>
      <c r="AR435">
        <f>IFERROR(INDEX(PP_Grid[#Data],$DD435,42),0)</f>
        <v/>
      </c>
      <c r="AS435">
        <f>IFERROR(INDEX(PP_Grid[#Data],$DD435,43),0)</f>
        <v/>
      </c>
      <c r="AT435">
        <f>IFERROR(INDEX(PP_Grid[#Data],$DD435,44),0)</f>
        <v/>
      </c>
      <c r="AU435">
        <f>IFERROR(INDEX(PP_Grid[#Data],$DD435,45),0)</f>
        <v/>
      </c>
      <c r="AV435">
        <f>IFERROR(INDEX(PP_Grid[#Data],$DD435,46),0)</f>
        <v/>
      </c>
      <c r="AW435">
        <f>IFERROR(INDEX(PP_Grid[#Data],$DD435,47),0)</f>
        <v/>
      </c>
      <c r="AX435">
        <f>IFERROR(INDEX(PP_Grid[#Data],$DD435,48),0)</f>
        <v/>
      </c>
      <c r="AY435">
        <f>IFERROR(INDEX(PP_Grid[#Data],$DD435,49),0)</f>
        <v/>
      </c>
      <c r="AZ435">
        <f>IFERROR(INDEX(PP_Grid[#Data],$DD435,50),0)</f>
        <v/>
      </c>
      <c r="BA435">
        <f>IFERROR(INDEX(PP_Grid[#Data],$DD435,51),0)</f>
        <v/>
      </c>
      <c r="BB435">
        <f>IFERROR(INDEX(PP_Grid[#Data],$DD435,52),0)</f>
        <v/>
      </c>
      <c r="BC435">
        <f>IFERROR(INDEX(PP_Grid[#Data],$DD435,53),0)</f>
        <v/>
      </c>
      <c r="BD435">
        <f>IFERROR(INDEX(PP_Grid[#Data],$DD435,54),0)</f>
        <v/>
      </c>
      <c r="BE435">
        <f>IFERROR(INDEX(PP_Grid[#Data],$DD435,55),0)</f>
        <v/>
      </c>
      <c r="BF435">
        <f>IFERROR(INDEX(PP_Grid[#Data],$DD435,56),0)</f>
        <v/>
      </c>
      <c r="BG435">
        <f>IFERROR(INDEX(PP_Grid[#Data],$DD435,57),0)</f>
        <v/>
      </c>
      <c r="BH435">
        <f>IFERROR(INDEX(PP_Grid[#Data],$DD435,58),0)</f>
        <v/>
      </c>
      <c r="BI435">
        <f>IFERROR(INDEX(PP_Grid[#Data],$DD435,59),0)</f>
        <v/>
      </c>
      <c r="BJ435">
        <f>IFERROR(INDEX(PP_Grid[#Data],$DD435,60),0)</f>
        <v/>
      </c>
      <c r="BK435">
        <f>IFERROR(INDEX(PP_Grid[#Data],$DD435,61),0)</f>
        <v/>
      </c>
      <c r="BL435">
        <f>IFERROR(INDEX(PP_Grid[#Data],$DD435,62),0)</f>
        <v/>
      </c>
      <c r="BM435">
        <f>IFERROR(INDEX(PP_Grid[#Data],$DD435,63),0)</f>
        <v/>
      </c>
      <c r="BN435">
        <f>IFERROR(INDEX(PP_Grid[#Data],$DD435,64),0)</f>
        <v/>
      </c>
      <c r="BO435">
        <f>IFERROR(INDEX(PP_Grid[#Data],$DD435,65),0)</f>
        <v/>
      </c>
      <c r="BP435">
        <f>IFERROR(INDEX(PP_Grid[#Data],$DD435,66),0)</f>
        <v/>
      </c>
      <c r="BQ435">
        <f>IFERROR(INDEX(PP_Grid[#Data],$DD435,67),0)</f>
        <v/>
      </c>
      <c r="BR435">
        <f>IFERROR(INDEX(PP_Grid[#Data],$DD435,68),0)</f>
        <v/>
      </c>
      <c r="BS435">
        <f>IFERROR(INDEX(PP_Grid[#Data],$DD435,69),0)</f>
        <v/>
      </c>
      <c r="BT435">
        <f>IFERROR(INDEX(PP_Grid[#Data],$DD435,70),0)</f>
        <v/>
      </c>
      <c r="BU435">
        <f>IFERROR(INDEX(PP_Grid[#Data],$DD435,71),0)</f>
        <v/>
      </c>
      <c r="BV435">
        <f>IFERROR(INDEX(PP_Grid[#Data],$DD435,72),0)</f>
        <v/>
      </c>
      <c r="BW435">
        <f>IFERROR(INDEX(PP_Grid[#Data],$DD435,73),0)</f>
        <v/>
      </c>
      <c r="BX435">
        <f>IFERROR(INDEX(PP_Grid[#Data],$DD435,74),0)</f>
        <v/>
      </c>
      <c r="BY435">
        <f>IFERROR(INDEX(PP_Grid[#Data],$DD435,75),0)</f>
        <v/>
      </c>
      <c r="BZ435">
        <f>IFERROR(INDEX(PP_Grid[#Data],$DD435,76),0)</f>
        <v/>
      </c>
      <c r="CA435">
        <f>IFERROR(INDEX(PP_Grid[#Data],$DD435,77),0)</f>
        <v/>
      </c>
      <c r="CB435">
        <f>IFERROR(INDEX(PP_Grid[#Data],$DD435,78),0)</f>
        <v/>
      </c>
      <c r="CC435">
        <f>IFERROR(INDEX(PP_Grid[#Data],$DD435,79),0)</f>
        <v/>
      </c>
      <c r="CD435">
        <f>IFERROR(INDEX(PP_Grid[#Data],$DD435,80),0)</f>
        <v/>
      </c>
      <c r="CE435">
        <f>IFERROR(INDEX(PP_Grid[#Data],$DD435,81),0)</f>
        <v/>
      </c>
      <c r="CF435">
        <f>IFERROR(INDEX(PP_Grid[#Data],$DD435,82),0)</f>
        <v/>
      </c>
      <c r="CG435">
        <f>IFERROR(INDEX(PP_Grid[#Data],$DD435,83),0)</f>
        <v/>
      </c>
      <c r="CH435">
        <f>IFERROR(INDEX(PP_Grid[#Data],$DD435,84),0)</f>
        <v/>
      </c>
      <c r="CI435">
        <f>IFERROR(INDEX(PP_Grid[#Data],$DD435,85),0)</f>
        <v/>
      </c>
      <c r="CJ435">
        <f>IFERROR(INDEX(PP_Grid[#Data],$DD435,86),0)</f>
        <v/>
      </c>
      <c r="CK435">
        <f>IFERROR(INDEX(PP_Grid[#Data],$DD435,87),0)</f>
        <v/>
      </c>
      <c r="CL435">
        <f>IFERROR(INDEX(PP_Grid[#Data],$DD435,88),0)</f>
        <v/>
      </c>
      <c r="CM435">
        <f>IFERROR(INDEX(PP_Grid[#Data],$DD435,89),0)</f>
        <v/>
      </c>
      <c r="CN435">
        <f>IFERROR(INDEX(PP_Grid[#Data],$DD435,90),0)</f>
        <v/>
      </c>
      <c r="CO435">
        <f>IFERROR(INDEX(PP_Grid[#Data],$DD435,91),0)</f>
        <v/>
      </c>
      <c r="CP435">
        <f>IFERROR(INDEX(PP_Grid[#Data],$DD435,92),0)</f>
        <v/>
      </c>
      <c r="CQ435">
        <f>IFERROR(INDEX(PP_Grid[#Data],$DD435,93),0)</f>
        <v/>
      </c>
      <c r="CR435">
        <f>IFERROR(INDEX(PP_Grid[#Data],$DD435,94),0)</f>
        <v/>
      </c>
      <c r="CS435">
        <f>IFERROR(INDEX(PP_Grid[#Data],$DD435,95),0)</f>
        <v/>
      </c>
      <c r="CT435">
        <f>IFERROR(INDEX(PP_Grid[#Data],$DD435,96),0)</f>
        <v/>
      </c>
      <c r="CU435">
        <f>IFERROR(INDEX(PP_Grid[#Data],$DD435,97),0)</f>
        <v/>
      </c>
      <c r="CV435">
        <f>IFERROR(INDEX(PP_Grid[#Data],$DD435,98),0)</f>
        <v/>
      </c>
      <c r="CW435">
        <f>IFERROR(INDEX(PP_Grid[#Data],$DD435,99),0)</f>
        <v/>
      </c>
      <c r="CX435">
        <f>IFERROR(INDEX(PP_Grid[#Data],$DD435,100),0)</f>
        <v/>
      </c>
      <c r="CY435">
        <f>IFERROR(INDEX(PP_Grid[#Data],$DD435,101),0)</f>
        <v/>
      </c>
      <c r="CZ435">
        <f>IFERROR(INDEX(PP_Grid[#Data],$DD435,102),0)</f>
        <v/>
      </c>
      <c r="DA435">
        <f>IFERROR(INDEX(PP_Grid[#Data],$DD435,103),0)</f>
        <v/>
      </c>
      <c r="DB435">
        <f>IFERROR(INDEX(PP_Grid[#Data],$DD435,104),0)</f>
        <v/>
      </c>
      <c r="DC435">
        <f>IFERROR(INDEX(PP_Grid[#Data],$DD435,105),0)</f>
        <v/>
      </c>
      <c r="DD435" s="12">
        <f>IFERROR(MATCH($B435,PP_Grid[Intermediate],0),99999)</f>
        <v/>
      </c>
    </row>
    <row r="436">
      <c r="B436" t="inlineStr">
        <is>
          <t>使用量(kg)</t>
        </is>
      </c>
      <c r="C436">
        <f>SUMIFS(M_BOM[RM_Qty_Per_Batch],M_BOM[Intermediate],$B435,M_BOM[Part Name],$A406)</f>
        <v/>
      </c>
      <c r="D436">
        <f>$C436*D435</f>
        <v/>
      </c>
      <c r="E436">
        <f>$C436*E435</f>
        <v/>
      </c>
      <c r="F436">
        <f>$C436*F435</f>
        <v/>
      </c>
      <c r="G436">
        <f>$C436*G435</f>
        <v/>
      </c>
      <c r="H436">
        <f>$C436*H435</f>
        <v/>
      </c>
      <c r="I436">
        <f>$C436*I435</f>
        <v/>
      </c>
      <c r="J436">
        <f>$C436*J435</f>
        <v/>
      </c>
      <c r="K436">
        <f>$C436*K435</f>
        <v/>
      </c>
      <c r="L436">
        <f>$C436*L435</f>
        <v/>
      </c>
      <c r="M436">
        <f>$C436*M435</f>
        <v/>
      </c>
      <c r="N436">
        <f>$C436*N435</f>
        <v/>
      </c>
      <c r="O436">
        <f>$C436*O435</f>
        <v/>
      </c>
      <c r="P436">
        <f>$C436*P435</f>
        <v/>
      </c>
      <c r="Q436">
        <f>$C436*Q435</f>
        <v/>
      </c>
      <c r="R436">
        <f>$C436*R435</f>
        <v/>
      </c>
      <c r="S436">
        <f>$C436*S435</f>
        <v/>
      </c>
      <c r="T436">
        <f>$C436*T435</f>
        <v/>
      </c>
      <c r="U436">
        <f>$C436*U435</f>
        <v/>
      </c>
      <c r="V436">
        <f>$C436*V435</f>
        <v/>
      </c>
      <c r="W436">
        <f>$C436*W435</f>
        <v/>
      </c>
      <c r="X436">
        <f>$C436*X435</f>
        <v/>
      </c>
      <c r="Y436">
        <f>$C436*Y435</f>
        <v/>
      </c>
      <c r="Z436">
        <f>$C436*Z435</f>
        <v/>
      </c>
      <c r="AA436">
        <f>$C436*AA435</f>
        <v/>
      </c>
      <c r="AB436">
        <f>$C436*AB435</f>
        <v/>
      </c>
      <c r="AC436">
        <f>$C436*AC435</f>
        <v/>
      </c>
      <c r="AD436">
        <f>$C436*AD435</f>
        <v/>
      </c>
      <c r="AE436">
        <f>$C436*AE435</f>
        <v/>
      </c>
      <c r="AF436">
        <f>$C436*AF435</f>
        <v/>
      </c>
      <c r="AG436">
        <f>$C436*AG435</f>
        <v/>
      </c>
      <c r="AH436">
        <f>$C436*AH435</f>
        <v/>
      </c>
      <c r="AI436">
        <f>$C436*AI435</f>
        <v/>
      </c>
      <c r="AJ436">
        <f>$C436*AJ435</f>
        <v/>
      </c>
      <c r="AK436">
        <f>$C436*AK435</f>
        <v/>
      </c>
      <c r="AL436">
        <f>$C436*AL435</f>
        <v/>
      </c>
      <c r="AM436">
        <f>$C436*AM435</f>
        <v/>
      </c>
      <c r="AN436">
        <f>$C436*AN435</f>
        <v/>
      </c>
      <c r="AO436">
        <f>$C436*AO435</f>
        <v/>
      </c>
      <c r="AP436">
        <f>$C436*AP435</f>
        <v/>
      </c>
      <c r="AQ436">
        <f>$C436*AQ435</f>
        <v/>
      </c>
      <c r="AR436">
        <f>$C436*AR435</f>
        <v/>
      </c>
      <c r="AS436">
        <f>$C436*AS435</f>
        <v/>
      </c>
      <c r="AT436">
        <f>$C436*AT435</f>
        <v/>
      </c>
      <c r="AU436">
        <f>$C436*AU435</f>
        <v/>
      </c>
      <c r="AV436">
        <f>$C436*AV435</f>
        <v/>
      </c>
      <c r="AW436">
        <f>$C436*AW435</f>
        <v/>
      </c>
      <c r="AX436">
        <f>$C436*AX435</f>
        <v/>
      </c>
      <c r="AY436">
        <f>$C436*AY435</f>
        <v/>
      </c>
      <c r="AZ436">
        <f>$C436*AZ435</f>
        <v/>
      </c>
      <c r="BA436">
        <f>$C436*BA435</f>
        <v/>
      </c>
      <c r="BB436">
        <f>$C436*BB435</f>
        <v/>
      </c>
      <c r="BC436">
        <f>$C436*BC435</f>
        <v/>
      </c>
      <c r="BD436">
        <f>$C436*BD435</f>
        <v/>
      </c>
      <c r="BE436">
        <f>$C436*BE435</f>
        <v/>
      </c>
      <c r="BF436">
        <f>$C436*BF435</f>
        <v/>
      </c>
      <c r="BG436">
        <f>$C436*BG435</f>
        <v/>
      </c>
      <c r="BH436">
        <f>$C436*BH435</f>
        <v/>
      </c>
      <c r="BI436">
        <f>$C436*BI435</f>
        <v/>
      </c>
      <c r="BJ436">
        <f>$C436*BJ435</f>
        <v/>
      </c>
      <c r="BK436">
        <f>$C436*BK435</f>
        <v/>
      </c>
      <c r="BL436">
        <f>$C436*BL435</f>
        <v/>
      </c>
      <c r="BM436">
        <f>$C436*BM435</f>
        <v/>
      </c>
      <c r="BN436">
        <f>$C436*BN435</f>
        <v/>
      </c>
      <c r="BO436">
        <f>$C436*BO435</f>
        <v/>
      </c>
      <c r="BP436">
        <f>$C436*BP435</f>
        <v/>
      </c>
      <c r="BQ436">
        <f>$C436*BQ435</f>
        <v/>
      </c>
      <c r="BR436">
        <f>$C436*BR435</f>
        <v/>
      </c>
      <c r="BS436">
        <f>$C436*BS435</f>
        <v/>
      </c>
      <c r="BT436">
        <f>$C436*BT435</f>
        <v/>
      </c>
      <c r="BU436">
        <f>$C436*BU435</f>
        <v/>
      </c>
      <c r="BV436">
        <f>$C436*BV435</f>
        <v/>
      </c>
      <c r="BW436">
        <f>$C436*BW435</f>
        <v/>
      </c>
      <c r="BX436">
        <f>$C436*BX435</f>
        <v/>
      </c>
      <c r="BY436">
        <f>$C436*BY435</f>
        <v/>
      </c>
      <c r="BZ436">
        <f>$C436*BZ435</f>
        <v/>
      </c>
      <c r="CA436">
        <f>$C436*CA435</f>
        <v/>
      </c>
      <c r="CB436">
        <f>$C436*CB435</f>
        <v/>
      </c>
      <c r="CC436">
        <f>$C436*CC435</f>
        <v/>
      </c>
      <c r="CD436">
        <f>$C436*CD435</f>
        <v/>
      </c>
      <c r="CE436">
        <f>$C436*CE435</f>
        <v/>
      </c>
      <c r="CF436">
        <f>$C436*CF435</f>
        <v/>
      </c>
      <c r="CG436">
        <f>$C436*CG435</f>
        <v/>
      </c>
      <c r="CH436">
        <f>$C436*CH435</f>
        <v/>
      </c>
      <c r="CI436">
        <f>$C436*CI435</f>
        <v/>
      </c>
      <c r="CJ436">
        <f>$C436*CJ435</f>
        <v/>
      </c>
      <c r="CK436">
        <f>$C436*CK435</f>
        <v/>
      </c>
      <c r="CL436">
        <f>$C436*CL435</f>
        <v/>
      </c>
      <c r="CM436">
        <f>$C436*CM435</f>
        <v/>
      </c>
      <c r="CN436">
        <f>$C436*CN435</f>
        <v/>
      </c>
      <c r="CO436">
        <f>$C436*CO435</f>
        <v/>
      </c>
      <c r="CP436">
        <f>$C436*CP435</f>
        <v/>
      </c>
      <c r="CQ436">
        <f>$C436*CQ435</f>
        <v/>
      </c>
      <c r="CR436">
        <f>$C436*CR435</f>
        <v/>
      </c>
      <c r="CS436">
        <f>$C436*CS435</f>
        <v/>
      </c>
      <c r="CT436">
        <f>$C436*CT435</f>
        <v/>
      </c>
      <c r="CU436">
        <f>$C436*CU435</f>
        <v/>
      </c>
      <c r="CV436">
        <f>$C436*CV435</f>
        <v/>
      </c>
      <c r="CW436">
        <f>$C436*CW435</f>
        <v/>
      </c>
      <c r="CX436">
        <f>$C436*CX435</f>
        <v/>
      </c>
      <c r="CY436">
        <f>$C436*CY435</f>
        <v/>
      </c>
      <c r="CZ436">
        <f>$C436*CZ435</f>
        <v/>
      </c>
      <c r="DA436">
        <f>$C436*DA435</f>
        <v/>
      </c>
      <c r="DB436">
        <f>$C436*DB435</f>
        <v/>
      </c>
      <c r="DC436">
        <f>$C436*DC435</f>
        <v/>
      </c>
    </row>
    <row r="437">
      <c r="B437" t="inlineStr">
        <is>
          <t>TSP-224</t>
        </is>
      </c>
      <c r="C437" t="inlineStr">
        <is>
          <t>No. of batches</t>
        </is>
      </c>
      <c r="D437">
        <f>IFERROR(INDEX(PP_Grid[#Data],$DD437,2),0)</f>
        <v/>
      </c>
      <c r="E437">
        <f>IFERROR(INDEX(PP_Grid[#Data],$DD437,3),0)</f>
        <v/>
      </c>
      <c r="F437">
        <f>IFERROR(INDEX(PP_Grid[#Data],$DD437,4),0)</f>
        <v/>
      </c>
      <c r="G437">
        <f>IFERROR(INDEX(PP_Grid[#Data],$DD437,5),0)</f>
        <v/>
      </c>
      <c r="H437">
        <f>IFERROR(INDEX(PP_Grid[#Data],$DD437,6),0)</f>
        <v/>
      </c>
      <c r="I437">
        <f>IFERROR(INDEX(PP_Grid[#Data],$DD437,7),0)</f>
        <v/>
      </c>
      <c r="J437">
        <f>IFERROR(INDEX(PP_Grid[#Data],$DD437,8),0)</f>
        <v/>
      </c>
      <c r="K437">
        <f>IFERROR(INDEX(PP_Grid[#Data],$DD437,9),0)</f>
        <v/>
      </c>
      <c r="L437">
        <f>IFERROR(INDEX(PP_Grid[#Data],$DD437,10),0)</f>
        <v/>
      </c>
      <c r="M437">
        <f>IFERROR(INDEX(PP_Grid[#Data],$DD437,11),0)</f>
        <v/>
      </c>
      <c r="N437">
        <f>IFERROR(INDEX(PP_Grid[#Data],$DD437,12),0)</f>
        <v/>
      </c>
      <c r="O437">
        <f>IFERROR(INDEX(PP_Grid[#Data],$DD437,13),0)</f>
        <v/>
      </c>
      <c r="P437">
        <f>IFERROR(INDEX(PP_Grid[#Data],$DD437,14),0)</f>
        <v/>
      </c>
      <c r="Q437">
        <f>IFERROR(INDEX(PP_Grid[#Data],$DD437,15),0)</f>
        <v/>
      </c>
      <c r="R437">
        <f>IFERROR(INDEX(PP_Grid[#Data],$DD437,16),0)</f>
        <v/>
      </c>
      <c r="S437">
        <f>IFERROR(INDEX(PP_Grid[#Data],$DD437,17),0)</f>
        <v/>
      </c>
      <c r="T437">
        <f>IFERROR(INDEX(PP_Grid[#Data],$DD437,18),0)</f>
        <v/>
      </c>
      <c r="U437">
        <f>IFERROR(INDEX(PP_Grid[#Data],$DD437,19),0)</f>
        <v/>
      </c>
      <c r="V437">
        <f>IFERROR(INDEX(PP_Grid[#Data],$DD437,20),0)</f>
        <v/>
      </c>
      <c r="W437">
        <f>IFERROR(INDEX(PP_Grid[#Data],$DD437,21),0)</f>
        <v/>
      </c>
      <c r="X437">
        <f>IFERROR(INDEX(PP_Grid[#Data],$DD437,22),0)</f>
        <v/>
      </c>
      <c r="Y437">
        <f>IFERROR(INDEX(PP_Grid[#Data],$DD437,23),0)</f>
        <v/>
      </c>
      <c r="Z437">
        <f>IFERROR(INDEX(PP_Grid[#Data],$DD437,24),0)</f>
        <v/>
      </c>
      <c r="AA437">
        <f>IFERROR(INDEX(PP_Grid[#Data],$DD437,25),0)</f>
        <v/>
      </c>
      <c r="AB437">
        <f>IFERROR(INDEX(PP_Grid[#Data],$DD437,26),0)</f>
        <v/>
      </c>
      <c r="AC437">
        <f>IFERROR(INDEX(PP_Grid[#Data],$DD437,27),0)</f>
        <v/>
      </c>
      <c r="AD437">
        <f>IFERROR(INDEX(PP_Grid[#Data],$DD437,28),0)</f>
        <v/>
      </c>
      <c r="AE437">
        <f>IFERROR(INDEX(PP_Grid[#Data],$DD437,29),0)</f>
        <v/>
      </c>
      <c r="AF437">
        <f>IFERROR(INDEX(PP_Grid[#Data],$DD437,30),0)</f>
        <v/>
      </c>
      <c r="AG437">
        <f>IFERROR(INDEX(PP_Grid[#Data],$DD437,31),0)</f>
        <v/>
      </c>
      <c r="AH437">
        <f>IFERROR(INDEX(PP_Grid[#Data],$DD437,32),0)</f>
        <v/>
      </c>
      <c r="AI437">
        <f>IFERROR(INDEX(PP_Grid[#Data],$DD437,33),0)</f>
        <v/>
      </c>
      <c r="AJ437">
        <f>IFERROR(INDEX(PP_Grid[#Data],$DD437,34),0)</f>
        <v/>
      </c>
      <c r="AK437">
        <f>IFERROR(INDEX(PP_Grid[#Data],$DD437,35),0)</f>
        <v/>
      </c>
      <c r="AL437">
        <f>IFERROR(INDEX(PP_Grid[#Data],$DD437,36),0)</f>
        <v/>
      </c>
      <c r="AM437">
        <f>IFERROR(INDEX(PP_Grid[#Data],$DD437,37),0)</f>
        <v/>
      </c>
      <c r="AN437">
        <f>IFERROR(INDEX(PP_Grid[#Data],$DD437,38),0)</f>
        <v/>
      </c>
      <c r="AO437">
        <f>IFERROR(INDEX(PP_Grid[#Data],$DD437,39),0)</f>
        <v/>
      </c>
      <c r="AP437">
        <f>IFERROR(INDEX(PP_Grid[#Data],$DD437,40),0)</f>
        <v/>
      </c>
      <c r="AQ437">
        <f>IFERROR(INDEX(PP_Grid[#Data],$DD437,41),0)</f>
        <v/>
      </c>
      <c r="AR437">
        <f>IFERROR(INDEX(PP_Grid[#Data],$DD437,42),0)</f>
        <v/>
      </c>
      <c r="AS437">
        <f>IFERROR(INDEX(PP_Grid[#Data],$DD437,43),0)</f>
        <v/>
      </c>
      <c r="AT437">
        <f>IFERROR(INDEX(PP_Grid[#Data],$DD437,44),0)</f>
        <v/>
      </c>
      <c r="AU437">
        <f>IFERROR(INDEX(PP_Grid[#Data],$DD437,45),0)</f>
        <v/>
      </c>
      <c r="AV437">
        <f>IFERROR(INDEX(PP_Grid[#Data],$DD437,46),0)</f>
        <v/>
      </c>
      <c r="AW437">
        <f>IFERROR(INDEX(PP_Grid[#Data],$DD437,47),0)</f>
        <v/>
      </c>
      <c r="AX437">
        <f>IFERROR(INDEX(PP_Grid[#Data],$DD437,48),0)</f>
        <v/>
      </c>
      <c r="AY437">
        <f>IFERROR(INDEX(PP_Grid[#Data],$DD437,49),0)</f>
        <v/>
      </c>
      <c r="AZ437">
        <f>IFERROR(INDEX(PP_Grid[#Data],$DD437,50),0)</f>
        <v/>
      </c>
      <c r="BA437">
        <f>IFERROR(INDEX(PP_Grid[#Data],$DD437,51),0)</f>
        <v/>
      </c>
      <c r="BB437">
        <f>IFERROR(INDEX(PP_Grid[#Data],$DD437,52),0)</f>
        <v/>
      </c>
      <c r="BC437">
        <f>IFERROR(INDEX(PP_Grid[#Data],$DD437,53),0)</f>
        <v/>
      </c>
      <c r="BD437">
        <f>IFERROR(INDEX(PP_Grid[#Data],$DD437,54),0)</f>
        <v/>
      </c>
      <c r="BE437">
        <f>IFERROR(INDEX(PP_Grid[#Data],$DD437,55),0)</f>
        <v/>
      </c>
      <c r="BF437">
        <f>IFERROR(INDEX(PP_Grid[#Data],$DD437,56),0)</f>
        <v/>
      </c>
      <c r="BG437">
        <f>IFERROR(INDEX(PP_Grid[#Data],$DD437,57),0)</f>
        <v/>
      </c>
      <c r="BH437">
        <f>IFERROR(INDEX(PP_Grid[#Data],$DD437,58),0)</f>
        <v/>
      </c>
      <c r="BI437">
        <f>IFERROR(INDEX(PP_Grid[#Data],$DD437,59),0)</f>
        <v/>
      </c>
      <c r="BJ437">
        <f>IFERROR(INDEX(PP_Grid[#Data],$DD437,60),0)</f>
        <v/>
      </c>
      <c r="BK437">
        <f>IFERROR(INDEX(PP_Grid[#Data],$DD437,61),0)</f>
        <v/>
      </c>
      <c r="BL437">
        <f>IFERROR(INDEX(PP_Grid[#Data],$DD437,62),0)</f>
        <v/>
      </c>
      <c r="BM437">
        <f>IFERROR(INDEX(PP_Grid[#Data],$DD437,63),0)</f>
        <v/>
      </c>
      <c r="BN437">
        <f>IFERROR(INDEX(PP_Grid[#Data],$DD437,64),0)</f>
        <v/>
      </c>
      <c r="BO437">
        <f>IFERROR(INDEX(PP_Grid[#Data],$DD437,65),0)</f>
        <v/>
      </c>
      <c r="BP437">
        <f>IFERROR(INDEX(PP_Grid[#Data],$DD437,66),0)</f>
        <v/>
      </c>
      <c r="BQ437">
        <f>IFERROR(INDEX(PP_Grid[#Data],$DD437,67),0)</f>
        <v/>
      </c>
      <c r="BR437">
        <f>IFERROR(INDEX(PP_Grid[#Data],$DD437,68),0)</f>
        <v/>
      </c>
      <c r="BS437">
        <f>IFERROR(INDEX(PP_Grid[#Data],$DD437,69),0)</f>
        <v/>
      </c>
      <c r="BT437">
        <f>IFERROR(INDEX(PP_Grid[#Data],$DD437,70),0)</f>
        <v/>
      </c>
      <c r="BU437">
        <f>IFERROR(INDEX(PP_Grid[#Data],$DD437,71),0)</f>
        <v/>
      </c>
      <c r="BV437">
        <f>IFERROR(INDEX(PP_Grid[#Data],$DD437,72),0)</f>
        <v/>
      </c>
      <c r="BW437">
        <f>IFERROR(INDEX(PP_Grid[#Data],$DD437,73),0)</f>
        <v/>
      </c>
      <c r="BX437">
        <f>IFERROR(INDEX(PP_Grid[#Data],$DD437,74),0)</f>
        <v/>
      </c>
      <c r="BY437">
        <f>IFERROR(INDEX(PP_Grid[#Data],$DD437,75),0)</f>
        <v/>
      </c>
      <c r="BZ437">
        <f>IFERROR(INDEX(PP_Grid[#Data],$DD437,76),0)</f>
        <v/>
      </c>
      <c r="CA437">
        <f>IFERROR(INDEX(PP_Grid[#Data],$DD437,77),0)</f>
        <v/>
      </c>
      <c r="CB437">
        <f>IFERROR(INDEX(PP_Grid[#Data],$DD437,78),0)</f>
        <v/>
      </c>
      <c r="CC437">
        <f>IFERROR(INDEX(PP_Grid[#Data],$DD437,79),0)</f>
        <v/>
      </c>
      <c r="CD437">
        <f>IFERROR(INDEX(PP_Grid[#Data],$DD437,80),0)</f>
        <v/>
      </c>
      <c r="CE437">
        <f>IFERROR(INDEX(PP_Grid[#Data],$DD437,81),0)</f>
        <v/>
      </c>
      <c r="CF437">
        <f>IFERROR(INDEX(PP_Grid[#Data],$DD437,82),0)</f>
        <v/>
      </c>
      <c r="CG437">
        <f>IFERROR(INDEX(PP_Grid[#Data],$DD437,83),0)</f>
        <v/>
      </c>
      <c r="CH437">
        <f>IFERROR(INDEX(PP_Grid[#Data],$DD437,84),0)</f>
        <v/>
      </c>
      <c r="CI437">
        <f>IFERROR(INDEX(PP_Grid[#Data],$DD437,85),0)</f>
        <v/>
      </c>
      <c r="CJ437">
        <f>IFERROR(INDEX(PP_Grid[#Data],$DD437,86),0)</f>
        <v/>
      </c>
      <c r="CK437">
        <f>IFERROR(INDEX(PP_Grid[#Data],$DD437,87),0)</f>
        <v/>
      </c>
      <c r="CL437">
        <f>IFERROR(INDEX(PP_Grid[#Data],$DD437,88),0)</f>
        <v/>
      </c>
      <c r="CM437">
        <f>IFERROR(INDEX(PP_Grid[#Data],$DD437,89),0)</f>
        <v/>
      </c>
      <c r="CN437">
        <f>IFERROR(INDEX(PP_Grid[#Data],$DD437,90),0)</f>
        <v/>
      </c>
      <c r="CO437">
        <f>IFERROR(INDEX(PP_Grid[#Data],$DD437,91),0)</f>
        <v/>
      </c>
      <c r="CP437">
        <f>IFERROR(INDEX(PP_Grid[#Data],$DD437,92),0)</f>
        <v/>
      </c>
      <c r="CQ437">
        <f>IFERROR(INDEX(PP_Grid[#Data],$DD437,93),0)</f>
        <v/>
      </c>
      <c r="CR437">
        <f>IFERROR(INDEX(PP_Grid[#Data],$DD437,94),0)</f>
        <v/>
      </c>
      <c r="CS437">
        <f>IFERROR(INDEX(PP_Grid[#Data],$DD437,95),0)</f>
        <v/>
      </c>
      <c r="CT437">
        <f>IFERROR(INDEX(PP_Grid[#Data],$DD437,96),0)</f>
        <v/>
      </c>
      <c r="CU437">
        <f>IFERROR(INDEX(PP_Grid[#Data],$DD437,97),0)</f>
        <v/>
      </c>
      <c r="CV437">
        <f>IFERROR(INDEX(PP_Grid[#Data],$DD437,98),0)</f>
        <v/>
      </c>
      <c r="CW437">
        <f>IFERROR(INDEX(PP_Grid[#Data],$DD437,99),0)</f>
        <v/>
      </c>
      <c r="CX437">
        <f>IFERROR(INDEX(PP_Grid[#Data],$DD437,100),0)</f>
        <v/>
      </c>
      <c r="CY437">
        <f>IFERROR(INDEX(PP_Grid[#Data],$DD437,101),0)</f>
        <v/>
      </c>
      <c r="CZ437">
        <f>IFERROR(INDEX(PP_Grid[#Data],$DD437,102),0)</f>
        <v/>
      </c>
      <c r="DA437">
        <f>IFERROR(INDEX(PP_Grid[#Data],$DD437,103),0)</f>
        <v/>
      </c>
      <c r="DB437">
        <f>IFERROR(INDEX(PP_Grid[#Data],$DD437,104),0)</f>
        <v/>
      </c>
      <c r="DC437">
        <f>IFERROR(INDEX(PP_Grid[#Data],$DD437,105),0)</f>
        <v/>
      </c>
      <c r="DD437" s="12">
        <f>IFERROR(MATCH($B437,PP_Grid[Intermediate],0),99999)</f>
        <v/>
      </c>
    </row>
    <row r="438">
      <c r="B438" t="inlineStr">
        <is>
          <t>使用量(kg)</t>
        </is>
      </c>
      <c r="C438">
        <f>SUMIFS(M_BOM[RM_Qty_Per_Batch],M_BOM[Intermediate],$B437,M_BOM[Part Name],$A406)</f>
        <v/>
      </c>
      <c r="D438">
        <f>$C438*D437</f>
        <v/>
      </c>
      <c r="E438">
        <f>$C438*E437</f>
        <v/>
      </c>
      <c r="F438">
        <f>$C438*F437</f>
        <v/>
      </c>
      <c r="G438">
        <f>$C438*G437</f>
        <v/>
      </c>
      <c r="H438">
        <f>$C438*H437</f>
        <v/>
      </c>
      <c r="I438">
        <f>$C438*I437</f>
        <v/>
      </c>
      <c r="J438">
        <f>$C438*J437</f>
        <v/>
      </c>
      <c r="K438">
        <f>$C438*K437</f>
        <v/>
      </c>
      <c r="L438">
        <f>$C438*L437</f>
        <v/>
      </c>
      <c r="M438">
        <f>$C438*M437</f>
        <v/>
      </c>
      <c r="N438">
        <f>$C438*N437</f>
        <v/>
      </c>
      <c r="O438">
        <f>$C438*O437</f>
        <v/>
      </c>
      <c r="P438">
        <f>$C438*P437</f>
        <v/>
      </c>
      <c r="Q438">
        <f>$C438*Q437</f>
        <v/>
      </c>
      <c r="R438">
        <f>$C438*R437</f>
        <v/>
      </c>
      <c r="S438">
        <f>$C438*S437</f>
        <v/>
      </c>
      <c r="T438">
        <f>$C438*T437</f>
        <v/>
      </c>
      <c r="U438">
        <f>$C438*U437</f>
        <v/>
      </c>
      <c r="V438">
        <f>$C438*V437</f>
        <v/>
      </c>
      <c r="W438">
        <f>$C438*W437</f>
        <v/>
      </c>
      <c r="X438">
        <f>$C438*X437</f>
        <v/>
      </c>
      <c r="Y438">
        <f>$C438*Y437</f>
        <v/>
      </c>
      <c r="Z438">
        <f>$C438*Z437</f>
        <v/>
      </c>
      <c r="AA438">
        <f>$C438*AA437</f>
        <v/>
      </c>
      <c r="AB438">
        <f>$C438*AB437</f>
        <v/>
      </c>
      <c r="AC438">
        <f>$C438*AC437</f>
        <v/>
      </c>
      <c r="AD438">
        <f>$C438*AD437</f>
        <v/>
      </c>
      <c r="AE438">
        <f>$C438*AE437</f>
        <v/>
      </c>
      <c r="AF438">
        <f>$C438*AF437</f>
        <v/>
      </c>
      <c r="AG438">
        <f>$C438*AG437</f>
        <v/>
      </c>
      <c r="AH438">
        <f>$C438*AH437</f>
        <v/>
      </c>
      <c r="AI438">
        <f>$C438*AI437</f>
        <v/>
      </c>
      <c r="AJ438">
        <f>$C438*AJ437</f>
        <v/>
      </c>
      <c r="AK438">
        <f>$C438*AK437</f>
        <v/>
      </c>
      <c r="AL438">
        <f>$C438*AL437</f>
        <v/>
      </c>
      <c r="AM438">
        <f>$C438*AM437</f>
        <v/>
      </c>
      <c r="AN438">
        <f>$C438*AN437</f>
        <v/>
      </c>
      <c r="AO438">
        <f>$C438*AO437</f>
        <v/>
      </c>
      <c r="AP438">
        <f>$C438*AP437</f>
        <v/>
      </c>
      <c r="AQ438">
        <f>$C438*AQ437</f>
        <v/>
      </c>
      <c r="AR438">
        <f>$C438*AR437</f>
        <v/>
      </c>
      <c r="AS438">
        <f>$C438*AS437</f>
        <v/>
      </c>
      <c r="AT438">
        <f>$C438*AT437</f>
        <v/>
      </c>
      <c r="AU438">
        <f>$C438*AU437</f>
        <v/>
      </c>
      <c r="AV438">
        <f>$C438*AV437</f>
        <v/>
      </c>
      <c r="AW438">
        <f>$C438*AW437</f>
        <v/>
      </c>
      <c r="AX438">
        <f>$C438*AX437</f>
        <v/>
      </c>
      <c r="AY438">
        <f>$C438*AY437</f>
        <v/>
      </c>
      <c r="AZ438">
        <f>$C438*AZ437</f>
        <v/>
      </c>
      <c r="BA438">
        <f>$C438*BA437</f>
        <v/>
      </c>
      <c r="BB438">
        <f>$C438*BB437</f>
        <v/>
      </c>
      <c r="BC438">
        <f>$C438*BC437</f>
        <v/>
      </c>
      <c r="BD438">
        <f>$C438*BD437</f>
        <v/>
      </c>
      <c r="BE438">
        <f>$C438*BE437</f>
        <v/>
      </c>
      <c r="BF438">
        <f>$C438*BF437</f>
        <v/>
      </c>
      <c r="BG438">
        <f>$C438*BG437</f>
        <v/>
      </c>
      <c r="BH438">
        <f>$C438*BH437</f>
        <v/>
      </c>
      <c r="BI438">
        <f>$C438*BI437</f>
        <v/>
      </c>
      <c r="BJ438">
        <f>$C438*BJ437</f>
        <v/>
      </c>
      <c r="BK438">
        <f>$C438*BK437</f>
        <v/>
      </c>
      <c r="BL438">
        <f>$C438*BL437</f>
        <v/>
      </c>
      <c r="BM438">
        <f>$C438*BM437</f>
        <v/>
      </c>
      <c r="BN438">
        <f>$C438*BN437</f>
        <v/>
      </c>
      <c r="BO438">
        <f>$C438*BO437</f>
        <v/>
      </c>
      <c r="BP438">
        <f>$C438*BP437</f>
        <v/>
      </c>
      <c r="BQ438">
        <f>$C438*BQ437</f>
        <v/>
      </c>
      <c r="BR438">
        <f>$C438*BR437</f>
        <v/>
      </c>
      <c r="BS438">
        <f>$C438*BS437</f>
        <v/>
      </c>
      <c r="BT438">
        <f>$C438*BT437</f>
        <v/>
      </c>
      <c r="BU438">
        <f>$C438*BU437</f>
        <v/>
      </c>
      <c r="BV438">
        <f>$C438*BV437</f>
        <v/>
      </c>
      <c r="BW438">
        <f>$C438*BW437</f>
        <v/>
      </c>
      <c r="BX438">
        <f>$C438*BX437</f>
        <v/>
      </c>
      <c r="BY438">
        <f>$C438*BY437</f>
        <v/>
      </c>
      <c r="BZ438">
        <f>$C438*BZ437</f>
        <v/>
      </c>
      <c r="CA438">
        <f>$C438*CA437</f>
        <v/>
      </c>
      <c r="CB438">
        <f>$C438*CB437</f>
        <v/>
      </c>
      <c r="CC438">
        <f>$C438*CC437</f>
        <v/>
      </c>
      <c r="CD438">
        <f>$C438*CD437</f>
        <v/>
      </c>
      <c r="CE438">
        <f>$C438*CE437</f>
        <v/>
      </c>
      <c r="CF438">
        <f>$C438*CF437</f>
        <v/>
      </c>
      <c r="CG438">
        <f>$C438*CG437</f>
        <v/>
      </c>
      <c r="CH438">
        <f>$C438*CH437</f>
        <v/>
      </c>
      <c r="CI438">
        <f>$C438*CI437</f>
        <v/>
      </c>
      <c r="CJ438">
        <f>$C438*CJ437</f>
        <v/>
      </c>
      <c r="CK438">
        <f>$C438*CK437</f>
        <v/>
      </c>
      <c r="CL438">
        <f>$C438*CL437</f>
        <v/>
      </c>
      <c r="CM438">
        <f>$C438*CM437</f>
        <v/>
      </c>
      <c r="CN438">
        <f>$C438*CN437</f>
        <v/>
      </c>
      <c r="CO438">
        <f>$C438*CO437</f>
        <v/>
      </c>
      <c r="CP438">
        <f>$C438*CP437</f>
        <v/>
      </c>
      <c r="CQ438">
        <f>$C438*CQ437</f>
        <v/>
      </c>
      <c r="CR438">
        <f>$C438*CR437</f>
        <v/>
      </c>
      <c r="CS438">
        <f>$C438*CS437</f>
        <v/>
      </c>
      <c r="CT438">
        <f>$C438*CT437</f>
        <v/>
      </c>
      <c r="CU438">
        <f>$C438*CU437</f>
        <v/>
      </c>
      <c r="CV438">
        <f>$C438*CV437</f>
        <v/>
      </c>
      <c r="CW438">
        <f>$C438*CW437</f>
        <v/>
      </c>
      <c r="CX438">
        <f>$C438*CX437</f>
        <v/>
      </c>
      <c r="CY438">
        <f>$C438*CY437</f>
        <v/>
      </c>
      <c r="CZ438">
        <f>$C438*CZ437</f>
        <v/>
      </c>
      <c r="DA438">
        <f>$C438*DA437</f>
        <v/>
      </c>
      <c r="DB438">
        <f>$C438*DB437</f>
        <v/>
      </c>
      <c r="DC438">
        <f>$C438*DC437</f>
        <v/>
      </c>
    </row>
    <row r="439">
      <c r="B439" t="inlineStr">
        <is>
          <t>TSP-367</t>
        </is>
      </c>
      <c r="C439" t="inlineStr">
        <is>
          <t>No. of batches</t>
        </is>
      </c>
      <c r="D439">
        <f>IFERROR(INDEX(PP_Grid[#Data],$DD439,2),0)</f>
        <v/>
      </c>
      <c r="E439">
        <f>IFERROR(INDEX(PP_Grid[#Data],$DD439,3),0)</f>
        <v/>
      </c>
      <c r="F439">
        <f>IFERROR(INDEX(PP_Grid[#Data],$DD439,4),0)</f>
        <v/>
      </c>
      <c r="G439">
        <f>IFERROR(INDEX(PP_Grid[#Data],$DD439,5),0)</f>
        <v/>
      </c>
      <c r="H439">
        <f>IFERROR(INDEX(PP_Grid[#Data],$DD439,6),0)</f>
        <v/>
      </c>
      <c r="I439">
        <f>IFERROR(INDEX(PP_Grid[#Data],$DD439,7),0)</f>
        <v/>
      </c>
      <c r="J439">
        <f>IFERROR(INDEX(PP_Grid[#Data],$DD439,8),0)</f>
        <v/>
      </c>
      <c r="K439">
        <f>IFERROR(INDEX(PP_Grid[#Data],$DD439,9),0)</f>
        <v/>
      </c>
      <c r="L439">
        <f>IFERROR(INDEX(PP_Grid[#Data],$DD439,10),0)</f>
        <v/>
      </c>
      <c r="M439">
        <f>IFERROR(INDEX(PP_Grid[#Data],$DD439,11),0)</f>
        <v/>
      </c>
      <c r="N439">
        <f>IFERROR(INDEX(PP_Grid[#Data],$DD439,12),0)</f>
        <v/>
      </c>
      <c r="O439">
        <f>IFERROR(INDEX(PP_Grid[#Data],$DD439,13),0)</f>
        <v/>
      </c>
      <c r="P439">
        <f>IFERROR(INDEX(PP_Grid[#Data],$DD439,14),0)</f>
        <v/>
      </c>
      <c r="Q439">
        <f>IFERROR(INDEX(PP_Grid[#Data],$DD439,15),0)</f>
        <v/>
      </c>
      <c r="R439">
        <f>IFERROR(INDEX(PP_Grid[#Data],$DD439,16),0)</f>
        <v/>
      </c>
      <c r="S439">
        <f>IFERROR(INDEX(PP_Grid[#Data],$DD439,17),0)</f>
        <v/>
      </c>
      <c r="T439">
        <f>IFERROR(INDEX(PP_Grid[#Data],$DD439,18),0)</f>
        <v/>
      </c>
      <c r="U439">
        <f>IFERROR(INDEX(PP_Grid[#Data],$DD439,19),0)</f>
        <v/>
      </c>
      <c r="V439">
        <f>IFERROR(INDEX(PP_Grid[#Data],$DD439,20),0)</f>
        <v/>
      </c>
      <c r="W439">
        <f>IFERROR(INDEX(PP_Grid[#Data],$DD439,21),0)</f>
        <v/>
      </c>
      <c r="X439">
        <f>IFERROR(INDEX(PP_Grid[#Data],$DD439,22),0)</f>
        <v/>
      </c>
      <c r="Y439">
        <f>IFERROR(INDEX(PP_Grid[#Data],$DD439,23),0)</f>
        <v/>
      </c>
      <c r="Z439">
        <f>IFERROR(INDEX(PP_Grid[#Data],$DD439,24),0)</f>
        <v/>
      </c>
      <c r="AA439">
        <f>IFERROR(INDEX(PP_Grid[#Data],$DD439,25),0)</f>
        <v/>
      </c>
      <c r="AB439">
        <f>IFERROR(INDEX(PP_Grid[#Data],$DD439,26),0)</f>
        <v/>
      </c>
      <c r="AC439">
        <f>IFERROR(INDEX(PP_Grid[#Data],$DD439,27),0)</f>
        <v/>
      </c>
      <c r="AD439">
        <f>IFERROR(INDEX(PP_Grid[#Data],$DD439,28),0)</f>
        <v/>
      </c>
      <c r="AE439">
        <f>IFERROR(INDEX(PP_Grid[#Data],$DD439,29),0)</f>
        <v/>
      </c>
      <c r="AF439">
        <f>IFERROR(INDEX(PP_Grid[#Data],$DD439,30),0)</f>
        <v/>
      </c>
      <c r="AG439">
        <f>IFERROR(INDEX(PP_Grid[#Data],$DD439,31),0)</f>
        <v/>
      </c>
      <c r="AH439">
        <f>IFERROR(INDEX(PP_Grid[#Data],$DD439,32),0)</f>
        <v/>
      </c>
      <c r="AI439">
        <f>IFERROR(INDEX(PP_Grid[#Data],$DD439,33),0)</f>
        <v/>
      </c>
      <c r="AJ439">
        <f>IFERROR(INDEX(PP_Grid[#Data],$DD439,34),0)</f>
        <v/>
      </c>
      <c r="AK439">
        <f>IFERROR(INDEX(PP_Grid[#Data],$DD439,35),0)</f>
        <v/>
      </c>
      <c r="AL439">
        <f>IFERROR(INDEX(PP_Grid[#Data],$DD439,36),0)</f>
        <v/>
      </c>
      <c r="AM439">
        <f>IFERROR(INDEX(PP_Grid[#Data],$DD439,37),0)</f>
        <v/>
      </c>
      <c r="AN439">
        <f>IFERROR(INDEX(PP_Grid[#Data],$DD439,38),0)</f>
        <v/>
      </c>
      <c r="AO439">
        <f>IFERROR(INDEX(PP_Grid[#Data],$DD439,39),0)</f>
        <v/>
      </c>
      <c r="AP439">
        <f>IFERROR(INDEX(PP_Grid[#Data],$DD439,40),0)</f>
        <v/>
      </c>
      <c r="AQ439">
        <f>IFERROR(INDEX(PP_Grid[#Data],$DD439,41),0)</f>
        <v/>
      </c>
      <c r="AR439">
        <f>IFERROR(INDEX(PP_Grid[#Data],$DD439,42),0)</f>
        <v/>
      </c>
      <c r="AS439">
        <f>IFERROR(INDEX(PP_Grid[#Data],$DD439,43),0)</f>
        <v/>
      </c>
      <c r="AT439">
        <f>IFERROR(INDEX(PP_Grid[#Data],$DD439,44),0)</f>
        <v/>
      </c>
      <c r="AU439">
        <f>IFERROR(INDEX(PP_Grid[#Data],$DD439,45),0)</f>
        <v/>
      </c>
      <c r="AV439">
        <f>IFERROR(INDEX(PP_Grid[#Data],$DD439,46),0)</f>
        <v/>
      </c>
      <c r="AW439">
        <f>IFERROR(INDEX(PP_Grid[#Data],$DD439,47),0)</f>
        <v/>
      </c>
      <c r="AX439">
        <f>IFERROR(INDEX(PP_Grid[#Data],$DD439,48),0)</f>
        <v/>
      </c>
      <c r="AY439">
        <f>IFERROR(INDEX(PP_Grid[#Data],$DD439,49),0)</f>
        <v/>
      </c>
      <c r="AZ439">
        <f>IFERROR(INDEX(PP_Grid[#Data],$DD439,50),0)</f>
        <v/>
      </c>
      <c r="BA439">
        <f>IFERROR(INDEX(PP_Grid[#Data],$DD439,51),0)</f>
        <v/>
      </c>
      <c r="BB439">
        <f>IFERROR(INDEX(PP_Grid[#Data],$DD439,52),0)</f>
        <v/>
      </c>
      <c r="BC439">
        <f>IFERROR(INDEX(PP_Grid[#Data],$DD439,53),0)</f>
        <v/>
      </c>
      <c r="BD439">
        <f>IFERROR(INDEX(PP_Grid[#Data],$DD439,54),0)</f>
        <v/>
      </c>
      <c r="BE439">
        <f>IFERROR(INDEX(PP_Grid[#Data],$DD439,55),0)</f>
        <v/>
      </c>
      <c r="BF439">
        <f>IFERROR(INDEX(PP_Grid[#Data],$DD439,56),0)</f>
        <v/>
      </c>
      <c r="BG439">
        <f>IFERROR(INDEX(PP_Grid[#Data],$DD439,57),0)</f>
        <v/>
      </c>
      <c r="BH439">
        <f>IFERROR(INDEX(PP_Grid[#Data],$DD439,58),0)</f>
        <v/>
      </c>
      <c r="BI439">
        <f>IFERROR(INDEX(PP_Grid[#Data],$DD439,59),0)</f>
        <v/>
      </c>
      <c r="BJ439">
        <f>IFERROR(INDEX(PP_Grid[#Data],$DD439,60),0)</f>
        <v/>
      </c>
      <c r="BK439">
        <f>IFERROR(INDEX(PP_Grid[#Data],$DD439,61),0)</f>
        <v/>
      </c>
      <c r="BL439">
        <f>IFERROR(INDEX(PP_Grid[#Data],$DD439,62),0)</f>
        <v/>
      </c>
      <c r="BM439">
        <f>IFERROR(INDEX(PP_Grid[#Data],$DD439,63),0)</f>
        <v/>
      </c>
      <c r="BN439">
        <f>IFERROR(INDEX(PP_Grid[#Data],$DD439,64),0)</f>
        <v/>
      </c>
      <c r="BO439">
        <f>IFERROR(INDEX(PP_Grid[#Data],$DD439,65),0)</f>
        <v/>
      </c>
      <c r="BP439">
        <f>IFERROR(INDEX(PP_Grid[#Data],$DD439,66),0)</f>
        <v/>
      </c>
      <c r="BQ439">
        <f>IFERROR(INDEX(PP_Grid[#Data],$DD439,67),0)</f>
        <v/>
      </c>
      <c r="BR439">
        <f>IFERROR(INDEX(PP_Grid[#Data],$DD439,68),0)</f>
        <v/>
      </c>
      <c r="BS439">
        <f>IFERROR(INDEX(PP_Grid[#Data],$DD439,69),0)</f>
        <v/>
      </c>
      <c r="BT439">
        <f>IFERROR(INDEX(PP_Grid[#Data],$DD439,70),0)</f>
        <v/>
      </c>
      <c r="BU439">
        <f>IFERROR(INDEX(PP_Grid[#Data],$DD439,71),0)</f>
        <v/>
      </c>
      <c r="BV439">
        <f>IFERROR(INDEX(PP_Grid[#Data],$DD439,72),0)</f>
        <v/>
      </c>
      <c r="BW439">
        <f>IFERROR(INDEX(PP_Grid[#Data],$DD439,73),0)</f>
        <v/>
      </c>
      <c r="BX439">
        <f>IFERROR(INDEX(PP_Grid[#Data],$DD439,74),0)</f>
        <v/>
      </c>
      <c r="BY439">
        <f>IFERROR(INDEX(PP_Grid[#Data],$DD439,75),0)</f>
        <v/>
      </c>
      <c r="BZ439">
        <f>IFERROR(INDEX(PP_Grid[#Data],$DD439,76),0)</f>
        <v/>
      </c>
      <c r="CA439">
        <f>IFERROR(INDEX(PP_Grid[#Data],$DD439,77),0)</f>
        <v/>
      </c>
      <c r="CB439">
        <f>IFERROR(INDEX(PP_Grid[#Data],$DD439,78),0)</f>
        <v/>
      </c>
      <c r="CC439">
        <f>IFERROR(INDEX(PP_Grid[#Data],$DD439,79),0)</f>
        <v/>
      </c>
      <c r="CD439">
        <f>IFERROR(INDEX(PP_Grid[#Data],$DD439,80),0)</f>
        <v/>
      </c>
      <c r="CE439">
        <f>IFERROR(INDEX(PP_Grid[#Data],$DD439,81),0)</f>
        <v/>
      </c>
      <c r="CF439">
        <f>IFERROR(INDEX(PP_Grid[#Data],$DD439,82),0)</f>
        <v/>
      </c>
      <c r="CG439">
        <f>IFERROR(INDEX(PP_Grid[#Data],$DD439,83),0)</f>
        <v/>
      </c>
      <c r="CH439">
        <f>IFERROR(INDEX(PP_Grid[#Data],$DD439,84),0)</f>
        <v/>
      </c>
      <c r="CI439">
        <f>IFERROR(INDEX(PP_Grid[#Data],$DD439,85),0)</f>
        <v/>
      </c>
      <c r="CJ439">
        <f>IFERROR(INDEX(PP_Grid[#Data],$DD439,86),0)</f>
        <v/>
      </c>
      <c r="CK439">
        <f>IFERROR(INDEX(PP_Grid[#Data],$DD439,87),0)</f>
        <v/>
      </c>
      <c r="CL439">
        <f>IFERROR(INDEX(PP_Grid[#Data],$DD439,88),0)</f>
        <v/>
      </c>
      <c r="CM439">
        <f>IFERROR(INDEX(PP_Grid[#Data],$DD439,89),0)</f>
        <v/>
      </c>
      <c r="CN439">
        <f>IFERROR(INDEX(PP_Grid[#Data],$DD439,90),0)</f>
        <v/>
      </c>
      <c r="CO439">
        <f>IFERROR(INDEX(PP_Grid[#Data],$DD439,91),0)</f>
        <v/>
      </c>
      <c r="CP439">
        <f>IFERROR(INDEX(PP_Grid[#Data],$DD439,92),0)</f>
        <v/>
      </c>
      <c r="CQ439">
        <f>IFERROR(INDEX(PP_Grid[#Data],$DD439,93),0)</f>
        <v/>
      </c>
      <c r="CR439">
        <f>IFERROR(INDEX(PP_Grid[#Data],$DD439,94),0)</f>
        <v/>
      </c>
      <c r="CS439">
        <f>IFERROR(INDEX(PP_Grid[#Data],$DD439,95),0)</f>
        <v/>
      </c>
      <c r="CT439">
        <f>IFERROR(INDEX(PP_Grid[#Data],$DD439,96),0)</f>
        <v/>
      </c>
      <c r="CU439">
        <f>IFERROR(INDEX(PP_Grid[#Data],$DD439,97),0)</f>
        <v/>
      </c>
      <c r="CV439">
        <f>IFERROR(INDEX(PP_Grid[#Data],$DD439,98),0)</f>
        <v/>
      </c>
      <c r="CW439">
        <f>IFERROR(INDEX(PP_Grid[#Data],$DD439,99),0)</f>
        <v/>
      </c>
      <c r="CX439">
        <f>IFERROR(INDEX(PP_Grid[#Data],$DD439,100),0)</f>
        <v/>
      </c>
      <c r="CY439">
        <f>IFERROR(INDEX(PP_Grid[#Data],$DD439,101),0)</f>
        <v/>
      </c>
      <c r="CZ439">
        <f>IFERROR(INDEX(PP_Grid[#Data],$DD439,102),0)</f>
        <v/>
      </c>
      <c r="DA439">
        <f>IFERROR(INDEX(PP_Grid[#Data],$DD439,103),0)</f>
        <v/>
      </c>
      <c r="DB439">
        <f>IFERROR(INDEX(PP_Grid[#Data],$DD439,104),0)</f>
        <v/>
      </c>
      <c r="DC439">
        <f>IFERROR(INDEX(PP_Grid[#Data],$DD439,105),0)</f>
        <v/>
      </c>
      <c r="DD439" s="12">
        <f>IFERROR(MATCH($B439,PP_Grid[Intermediate],0),99999)</f>
        <v/>
      </c>
    </row>
    <row r="440">
      <c r="B440" t="inlineStr">
        <is>
          <t>使用量(kg)</t>
        </is>
      </c>
      <c r="C440">
        <f>SUMIFS(M_BOM[RM_Qty_Per_Batch],M_BOM[Intermediate],$B439,M_BOM[Part Name],$A406)</f>
        <v/>
      </c>
      <c r="D440">
        <f>$C440*D439</f>
        <v/>
      </c>
      <c r="E440">
        <f>$C440*E439</f>
        <v/>
      </c>
      <c r="F440">
        <f>$C440*F439</f>
        <v/>
      </c>
      <c r="G440">
        <f>$C440*G439</f>
        <v/>
      </c>
      <c r="H440">
        <f>$C440*H439</f>
        <v/>
      </c>
      <c r="I440">
        <f>$C440*I439</f>
        <v/>
      </c>
      <c r="J440">
        <f>$C440*J439</f>
        <v/>
      </c>
      <c r="K440">
        <f>$C440*K439</f>
        <v/>
      </c>
      <c r="L440">
        <f>$C440*L439</f>
        <v/>
      </c>
      <c r="M440">
        <f>$C440*M439</f>
        <v/>
      </c>
      <c r="N440">
        <f>$C440*N439</f>
        <v/>
      </c>
      <c r="O440">
        <f>$C440*O439</f>
        <v/>
      </c>
      <c r="P440">
        <f>$C440*P439</f>
        <v/>
      </c>
      <c r="Q440">
        <f>$C440*Q439</f>
        <v/>
      </c>
      <c r="R440">
        <f>$C440*R439</f>
        <v/>
      </c>
      <c r="S440">
        <f>$C440*S439</f>
        <v/>
      </c>
      <c r="T440">
        <f>$C440*T439</f>
        <v/>
      </c>
      <c r="U440">
        <f>$C440*U439</f>
        <v/>
      </c>
      <c r="V440">
        <f>$C440*V439</f>
        <v/>
      </c>
      <c r="W440">
        <f>$C440*W439</f>
        <v/>
      </c>
      <c r="X440">
        <f>$C440*X439</f>
        <v/>
      </c>
      <c r="Y440">
        <f>$C440*Y439</f>
        <v/>
      </c>
      <c r="Z440">
        <f>$C440*Z439</f>
        <v/>
      </c>
      <c r="AA440">
        <f>$C440*AA439</f>
        <v/>
      </c>
      <c r="AB440">
        <f>$C440*AB439</f>
        <v/>
      </c>
      <c r="AC440">
        <f>$C440*AC439</f>
        <v/>
      </c>
      <c r="AD440">
        <f>$C440*AD439</f>
        <v/>
      </c>
      <c r="AE440">
        <f>$C440*AE439</f>
        <v/>
      </c>
      <c r="AF440">
        <f>$C440*AF439</f>
        <v/>
      </c>
      <c r="AG440">
        <f>$C440*AG439</f>
        <v/>
      </c>
      <c r="AH440">
        <f>$C440*AH439</f>
        <v/>
      </c>
      <c r="AI440">
        <f>$C440*AI439</f>
        <v/>
      </c>
      <c r="AJ440">
        <f>$C440*AJ439</f>
        <v/>
      </c>
      <c r="AK440">
        <f>$C440*AK439</f>
        <v/>
      </c>
      <c r="AL440">
        <f>$C440*AL439</f>
        <v/>
      </c>
      <c r="AM440">
        <f>$C440*AM439</f>
        <v/>
      </c>
      <c r="AN440">
        <f>$C440*AN439</f>
        <v/>
      </c>
      <c r="AO440">
        <f>$C440*AO439</f>
        <v/>
      </c>
      <c r="AP440">
        <f>$C440*AP439</f>
        <v/>
      </c>
      <c r="AQ440">
        <f>$C440*AQ439</f>
        <v/>
      </c>
      <c r="AR440">
        <f>$C440*AR439</f>
        <v/>
      </c>
      <c r="AS440">
        <f>$C440*AS439</f>
        <v/>
      </c>
      <c r="AT440">
        <f>$C440*AT439</f>
        <v/>
      </c>
      <c r="AU440">
        <f>$C440*AU439</f>
        <v/>
      </c>
      <c r="AV440">
        <f>$C440*AV439</f>
        <v/>
      </c>
      <c r="AW440">
        <f>$C440*AW439</f>
        <v/>
      </c>
      <c r="AX440">
        <f>$C440*AX439</f>
        <v/>
      </c>
      <c r="AY440">
        <f>$C440*AY439</f>
        <v/>
      </c>
      <c r="AZ440">
        <f>$C440*AZ439</f>
        <v/>
      </c>
      <c r="BA440">
        <f>$C440*BA439</f>
        <v/>
      </c>
      <c r="BB440">
        <f>$C440*BB439</f>
        <v/>
      </c>
      <c r="BC440">
        <f>$C440*BC439</f>
        <v/>
      </c>
      <c r="BD440">
        <f>$C440*BD439</f>
        <v/>
      </c>
      <c r="BE440">
        <f>$C440*BE439</f>
        <v/>
      </c>
      <c r="BF440">
        <f>$C440*BF439</f>
        <v/>
      </c>
      <c r="BG440">
        <f>$C440*BG439</f>
        <v/>
      </c>
      <c r="BH440">
        <f>$C440*BH439</f>
        <v/>
      </c>
      <c r="BI440">
        <f>$C440*BI439</f>
        <v/>
      </c>
      <c r="BJ440">
        <f>$C440*BJ439</f>
        <v/>
      </c>
      <c r="BK440">
        <f>$C440*BK439</f>
        <v/>
      </c>
      <c r="BL440">
        <f>$C440*BL439</f>
        <v/>
      </c>
      <c r="BM440">
        <f>$C440*BM439</f>
        <v/>
      </c>
      <c r="BN440">
        <f>$C440*BN439</f>
        <v/>
      </c>
      <c r="BO440">
        <f>$C440*BO439</f>
        <v/>
      </c>
      <c r="BP440">
        <f>$C440*BP439</f>
        <v/>
      </c>
      <c r="BQ440">
        <f>$C440*BQ439</f>
        <v/>
      </c>
      <c r="BR440">
        <f>$C440*BR439</f>
        <v/>
      </c>
      <c r="BS440">
        <f>$C440*BS439</f>
        <v/>
      </c>
      <c r="BT440">
        <f>$C440*BT439</f>
        <v/>
      </c>
      <c r="BU440">
        <f>$C440*BU439</f>
        <v/>
      </c>
      <c r="BV440">
        <f>$C440*BV439</f>
        <v/>
      </c>
      <c r="BW440">
        <f>$C440*BW439</f>
        <v/>
      </c>
      <c r="BX440">
        <f>$C440*BX439</f>
        <v/>
      </c>
      <c r="BY440">
        <f>$C440*BY439</f>
        <v/>
      </c>
      <c r="BZ440">
        <f>$C440*BZ439</f>
        <v/>
      </c>
      <c r="CA440">
        <f>$C440*CA439</f>
        <v/>
      </c>
      <c r="CB440">
        <f>$C440*CB439</f>
        <v/>
      </c>
      <c r="CC440">
        <f>$C440*CC439</f>
        <v/>
      </c>
      <c r="CD440">
        <f>$C440*CD439</f>
        <v/>
      </c>
      <c r="CE440">
        <f>$C440*CE439</f>
        <v/>
      </c>
      <c r="CF440">
        <f>$C440*CF439</f>
        <v/>
      </c>
      <c r="CG440">
        <f>$C440*CG439</f>
        <v/>
      </c>
      <c r="CH440">
        <f>$C440*CH439</f>
        <v/>
      </c>
      <c r="CI440">
        <f>$C440*CI439</f>
        <v/>
      </c>
      <c r="CJ440">
        <f>$C440*CJ439</f>
        <v/>
      </c>
      <c r="CK440">
        <f>$C440*CK439</f>
        <v/>
      </c>
      <c r="CL440">
        <f>$C440*CL439</f>
        <v/>
      </c>
      <c r="CM440">
        <f>$C440*CM439</f>
        <v/>
      </c>
      <c r="CN440">
        <f>$C440*CN439</f>
        <v/>
      </c>
      <c r="CO440">
        <f>$C440*CO439</f>
        <v/>
      </c>
      <c r="CP440">
        <f>$C440*CP439</f>
        <v/>
      </c>
      <c r="CQ440">
        <f>$C440*CQ439</f>
        <v/>
      </c>
      <c r="CR440">
        <f>$C440*CR439</f>
        <v/>
      </c>
      <c r="CS440">
        <f>$C440*CS439</f>
        <v/>
      </c>
      <c r="CT440">
        <f>$C440*CT439</f>
        <v/>
      </c>
      <c r="CU440">
        <f>$C440*CU439</f>
        <v/>
      </c>
      <c r="CV440">
        <f>$C440*CV439</f>
        <v/>
      </c>
      <c r="CW440">
        <f>$C440*CW439</f>
        <v/>
      </c>
      <c r="CX440">
        <f>$C440*CX439</f>
        <v/>
      </c>
      <c r="CY440">
        <f>$C440*CY439</f>
        <v/>
      </c>
      <c r="CZ440">
        <f>$C440*CZ439</f>
        <v/>
      </c>
      <c r="DA440">
        <f>$C440*DA439</f>
        <v/>
      </c>
      <c r="DB440">
        <f>$C440*DB439</f>
        <v/>
      </c>
      <c r="DC440">
        <f>$C440*DC439</f>
        <v/>
      </c>
    </row>
    <row r="441">
      <c r="B441" t="inlineStr">
        <is>
          <t>TSP-369</t>
        </is>
      </c>
      <c r="C441" t="inlineStr">
        <is>
          <t>No. of batches</t>
        </is>
      </c>
      <c r="D441">
        <f>IFERROR(INDEX(PP_Grid[#Data],$DD441,2),0)</f>
        <v/>
      </c>
      <c r="E441">
        <f>IFERROR(INDEX(PP_Grid[#Data],$DD441,3),0)</f>
        <v/>
      </c>
      <c r="F441">
        <f>IFERROR(INDEX(PP_Grid[#Data],$DD441,4),0)</f>
        <v/>
      </c>
      <c r="G441">
        <f>IFERROR(INDEX(PP_Grid[#Data],$DD441,5),0)</f>
        <v/>
      </c>
      <c r="H441">
        <f>IFERROR(INDEX(PP_Grid[#Data],$DD441,6),0)</f>
        <v/>
      </c>
      <c r="I441">
        <f>IFERROR(INDEX(PP_Grid[#Data],$DD441,7),0)</f>
        <v/>
      </c>
      <c r="J441">
        <f>IFERROR(INDEX(PP_Grid[#Data],$DD441,8),0)</f>
        <v/>
      </c>
      <c r="K441">
        <f>IFERROR(INDEX(PP_Grid[#Data],$DD441,9),0)</f>
        <v/>
      </c>
      <c r="L441">
        <f>IFERROR(INDEX(PP_Grid[#Data],$DD441,10),0)</f>
        <v/>
      </c>
      <c r="M441">
        <f>IFERROR(INDEX(PP_Grid[#Data],$DD441,11),0)</f>
        <v/>
      </c>
      <c r="N441">
        <f>IFERROR(INDEX(PP_Grid[#Data],$DD441,12),0)</f>
        <v/>
      </c>
      <c r="O441">
        <f>IFERROR(INDEX(PP_Grid[#Data],$DD441,13),0)</f>
        <v/>
      </c>
      <c r="P441">
        <f>IFERROR(INDEX(PP_Grid[#Data],$DD441,14),0)</f>
        <v/>
      </c>
      <c r="Q441">
        <f>IFERROR(INDEX(PP_Grid[#Data],$DD441,15),0)</f>
        <v/>
      </c>
      <c r="R441">
        <f>IFERROR(INDEX(PP_Grid[#Data],$DD441,16),0)</f>
        <v/>
      </c>
      <c r="S441">
        <f>IFERROR(INDEX(PP_Grid[#Data],$DD441,17),0)</f>
        <v/>
      </c>
      <c r="T441">
        <f>IFERROR(INDEX(PP_Grid[#Data],$DD441,18),0)</f>
        <v/>
      </c>
      <c r="U441">
        <f>IFERROR(INDEX(PP_Grid[#Data],$DD441,19),0)</f>
        <v/>
      </c>
      <c r="V441">
        <f>IFERROR(INDEX(PP_Grid[#Data],$DD441,20),0)</f>
        <v/>
      </c>
      <c r="W441">
        <f>IFERROR(INDEX(PP_Grid[#Data],$DD441,21),0)</f>
        <v/>
      </c>
      <c r="X441">
        <f>IFERROR(INDEX(PP_Grid[#Data],$DD441,22),0)</f>
        <v/>
      </c>
      <c r="Y441">
        <f>IFERROR(INDEX(PP_Grid[#Data],$DD441,23),0)</f>
        <v/>
      </c>
      <c r="Z441">
        <f>IFERROR(INDEX(PP_Grid[#Data],$DD441,24),0)</f>
        <v/>
      </c>
      <c r="AA441">
        <f>IFERROR(INDEX(PP_Grid[#Data],$DD441,25),0)</f>
        <v/>
      </c>
      <c r="AB441">
        <f>IFERROR(INDEX(PP_Grid[#Data],$DD441,26),0)</f>
        <v/>
      </c>
      <c r="AC441">
        <f>IFERROR(INDEX(PP_Grid[#Data],$DD441,27),0)</f>
        <v/>
      </c>
      <c r="AD441">
        <f>IFERROR(INDEX(PP_Grid[#Data],$DD441,28),0)</f>
        <v/>
      </c>
      <c r="AE441">
        <f>IFERROR(INDEX(PP_Grid[#Data],$DD441,29),0)</f>
        <v/>
      </c>
      <c r="AF441">
        <f>IFERROR(INDEX(PP_Grid[#Data],$DD441,30),0)</f>
        <v/>
      </c>
      <c r="AG441">
        <f>IFERROR(INDEX(PP_Grid[#Data],$DD441,31),0)</f>
        <v/>
      </c>
      <c r="AH441">
        <f>IFERROR(INDEX(PP_Grid[#Data],$DD441,32),0)</f>
        <v/>
      </c>
      <c r="AI441">
        <f>IFERROR(INDEX(PP_Grid[#Data],$DD441,33),0)</f>
        <v/>
      </c>
      <c r="AJ441">
        <f>IFERROR(INDEX(PP_Grid[#Data],$DD441,34),0)</f>
        <v/>
      </c>
      <c r="AK441">
        <f>IFERROR(INDEX(PP_Grid[#Data],$DD441,35),0)</f>
        <v/>
      </c>
      <c r="AL441">
        <f>IFERROR(INDEX(PP_Grid[#Data],$DD441,36),0)</f>
        <v/>
      </c>
      <c r="AM441">
        <f>IFERROR(INDEX(PP_Grid[#Data],$DD441,37),0)</f>
        <v/>
      </c>
      <c r="AN441">
        <f>IFERROR(INDEX(PP_Grid[#Data],$DD441,38),0)</f>
        <v/>
      </c>
      <c r="AO441">
        <f>IFERROR(INDEX(PP_Grid[#Data],$DD441,39),0)</f>
        <v/>
      </c>
      <c r="AP441">
        <f>IFERROR(INDEX(PP_Grid[#Data],$DD441,40),0)</f>
        <v/>
      </c>
      <c r="AQ441">
        <f>IFERROR(INDEX(PP_Grid[#Data],$DD441,41),0)</f>
        <v/>
      </c>
      <c r="AR441">
        <f>IFERROR(INDEX(PP_Grid[#Data],$DD441,42),0)</f>
        <v/>
      </c>
      <c r="AS441">
        <f>IFERROR(INDEX(PP_Grid[#Data],$DD441,43),0)</f>
        <v/>
      </c>
      <c r="AT441">
        <f>IFERROR(INDEX(PP_Grid[#Data],$DD441,44),0)</f>
        <v/>
      </c>
      <c r="AU441">
        <f>IFERROR(INDEX(PP_Grid[#Data],$DD441,45),0)</f>
        <v/>
      </c>
      <c r="AV441">
        <f>IFERROR(INDEX(PP_Grid[#Data],$DD441,46),0)</f>
        <v/>
      </c>
      <c r="AW441">
        <f>IFERROR(INDEX(PP_Grid[#Data],$DD441,47),0)</f>
        <v/>
      </c>
      <c r="AX441">
        <f>IFERROR(INDEX(PP_Grid[#Data],$DD441,48),0)</f>
        <v/>
      </c>
      <c r="AY441">
        <f>IFERROR(INDEX(PP_Grid[#Data],$DD441,49),0)</f>
        <v/>
      </c>
      <c r="AZ441">
        <f>IFERROR(INDEX(PP_Grid[#Data],$DD441,50),0)</f>
        <v/>
      </c>
      <c r="BA441">
        <f>IFERROR(INDEX(PP_Grid[#Data],$DD441,51),0)</f>
        <v/>
      </c>
      <c r="BB441">
        <f>IFERROR(INDEX(PP_Grid[#Data],$DD441,52),0)</f>
        <v/>
      </c>
      <c r="BC441">
        <f>IFERROR(INDEX(PP_Grid[#Data],$DD441,53),0)</f>
        <v/>
      </c>
      <c r="BD441">
        <f>IFERROR(INDEX(PP_Grid[#Data],$DD441,54),0)</f>
        <v/>
      </c>
      <c r="BE441">
        <f>IFERROR(INDEX(PP_Grid[#Data],$DD441,55),0)</f>
        <v/>
      </c>
      <c r="BF441">
        <f>IFERROR(INDEX(PP_Grid[#Data],$DD441,56),0)</f>
        <v/>
      </c>
      <c r="BG441">
        <f>IFERROR(INDEX(PP_Grid[#Data],$DD441,57),0)</f>
        <v/>
      </c>
      <c r="BH441">
        <f>IFERROR(INDEX(PP_Grid[#Data],$DD441,58),0)</f>
        <v/>
      </c>
      <c r="BI441">
        <f>IFERROR(INDEX(PP_Grid[#Data],$DD441,59),0)</f>
        <v/>
      </c>
      <c r="BJ441">
        <f>IFERROR(INDEX(PP_Grid[#Data],$DD441,60),0)</f>
        <v/>
      </c>
      <c r="BK441">
        <f>IFERROR(INDEX(PP_Grid[#Data],$DD441,61),0)</f>
        <v/>
      </c>
      <c r="BL441">
        <f>IFERROR(INDEX(PP_Grid[#Data],$DD441,62),0)</f>
        <v/>
      </c>
      <c r="BM441">
        <f>IFERROR(INDEX(PP_Grid[#Data],$DD441,63),0)</f>
        <v/>
      </c>
      <c r="BN441">
        <f>IFERROR(INDEX(PP_Grid[#Data],$DD441,64),0)</f>
        <v/>
      </c>
      <c r="BO441">
        <f>IFERROR(INDEX(PP_Grid[#Data],$DD441,65),0)</f>
        <v/>
      </c>
      <c r="BP441">
        <f>IFERROR(INDEX(PP_Grid[#Data],$DD441,66),0)</f>
        <v/>
      </c>
      <c r="BQ441">
        <f>IFERROR(INDEX(PP_Grid[#Data],$DD441,67),0)</f>
        <v/>
      </c>
      <c r="BR441">
        <f>IFERROR(INDEX(PP_Grid[#Data],$DD441,68),0)</f>
        <v/>
      </c>
      <c r="BS441">
        <f>IFERROR(INDEX(PP_Grid[#Data],$DD441,69),0)</f>
        <v/>
      </c>
      <c r="BT441">
        <f>IFERROR(INDEX(PP_Grid[#Data],$DD441,70),0)</f>
        <v/>
      </c>
      <c r="BU441">
        <f>IFERROR(INDEX(PP_Grid[#Data],$DD441,71),0)</f>
        <v/>
      </c>
      <c r="BV441">
        <f>IFERROR(INDEX(PP_Grid[#Data],$DD441,72),0)</f>
        <v/>
      </c>
      <c r="BW441">
        <f>IFERROR(INDEX(PP_Grid[#Data],$DD441,73),0)</f>
        <v/>
      </c>
      <c r="BX441">
        <f>IFERROR(INDEX(PP_Grid[#Data],$DD441,74),0)</f>
        <v/>
      </c>
      <c r="BY441">
        <f>IFERROR(INDEX(PP_Grid[#Data],$DD441,75),0)</f>
        <v/>
      </c>
      <c r="BZ441">
        <f>IFERROR(INDEX(PP_Grid[#Data],$DD441,76),0)</f>
        <v/>
      </c>
      <c r="CA441">
        <f>IFERROR(INDEX(PP_Grid[#Data],$DD441,77),0)</f>
        <v/>
      </c>
      <c r="CB441">
        <f>IFERROR(INDEX(PP_Grid[#Data],$DD441,78),0)</f>
        <v/>
      </c>
      <c r="CC441">
        <f>IFERROR(INDEX(PP_Grid[#Data],$DD441,79),0)</f>
        <v/>
      </c>
      <c r="CD441">
        <f>IFERROR(INDEX(PP_Grid[#Data],$DD441,80),0)</f>
        <v/>
      </c>
      <c r="CE441">
        <f>IFERROR(INDEX(PP_Grid[#Data],$DD441,81),0)</f>
        <v/>
      </c>
      <c r="CF441">
        <f>IFERROR(INDEX(PP_Grid[#Data],$DD441,82),0)</f>
        <v/>
      </c>
      <c r="CG441">
        <f>IFERROR(INDEX(PP_Grid[#Data],$DD441,83),0)</f>
        <v/>
      </c>
      <c r="CH441">
        <f>IFERROR(INDEX(PP_Grid[#Data],$DD441,84),0)</f>
        <v/>
      </c>
      <c r="CI441">
        <f>IFERROR(INDEX(PP_Grid[#Data],$DD441,85),0)</f>
        <v/>
      </c>
      <c r="CJ441">
        <f>IFERROR(INDEX(PP_Grid[#Data],$DD441,86),0)</f>
        <v/>
      </c>
      <c r="CK441">
        <f>IFERROR(INDEX(PP_Grid[#Data],$DD441,87),0)</f>
        <v/>
      </c>
      <c r="CL441">
        <f>IFERROR(INDEX(PP_Grid[#Data],$DD441,88),0)</f>
        <v/>
      </c>
      <c r="CM441">
        <f>IFERROR(INDEX(PP_Grid[#Data],$DD441,89),0)</f>
        <v/>
      </c>
      <c r="CN441">
        <f>IFERROR(INDEX(PP_Grid[#Data],$DD441,90),0)</f>
        <v/>
      </c>
      <c r="CO441">
        <f>IFERROR(INDEX(PP_Grid[#Data],$DD441,91),0)</f>
        <v/>
      </c>
      <c r="CP441">
        <f>IFERROR(INDEX(PP_Grid[#Data],$DD441,92),0)</f>
        <v/>
      </c>
      <c r="CQ441">
        <f>IFERROR(INDEX(PP_Grid[#Data],$DD441,93),0)</f>
        <v/>
      </c>
      <c r="CR441">
        <f>IFERROR(INDEX(PP_Grid[#Data],$DD441,94),0)</f>
        <v/>
      </c>
      <c r="CS441">
        <f>IFERROR(INDEX(PP_Grid[#Data],$DD441,95),0)</f>
        <v/>
      </c>
      <c r="CT441">
        <f>IFERROR(INDEX(PP_Grid[#Data],$DD441,96),0)</f>
        <v/>
      </c>
      <c r="CU441">
        <f>IFERROR(INDEX(PP_Grid[#Data],$DD441,97),0)</f>
        <v/>
      </c>
      <c r="CV441">
        <f>IFERROR(INDEX(PP_Grid[#Data],$DD441,98),0)</f>
        <v/>
      </c>
      <c r="CW441">
        <f>IFERROR(INDEX(PP_Grid[#Data],$DD441,99),0)</f>
        <v/>
      </c>
      <c r="CX441">
        <f>IFERROR(INDEX(PP_Grid[#Data],$DD441,100),0)</f>
        <v/>
      </c>
      <c r="CY441">
        <f>IFERROR(INDEX(PP_Grid[#Data],$DD441,101),0)</f>
        <v/>
      </c>
      <c r="CZ441">
        <f>IFERROR(INDEX(PP_Grid[#Data],$DD441,102),0)</f>
        <v/>
      </c>
      <c r="DA441">
        <f>IFERROR(INDEX(PP_Grid[#Data],$DD441,103),0)</f>
        <v/>
      </c>
      <c r="DB441">
        <f>IFERROR(INDEX(PP_Grid[#Data],$DD441,104),0)</f>
        <v/>
      </c>
      <c r="DC441">
        <f>IFERROR(INDEX(PP_Grid[#Data],$DD441,105),0)</f>
        <v/>
      </c>
      <c r="DD441" s="12">
        <f>IFERROR(MATCH($B441,PP_Grid[Intermediate],0),99999)</f>
        <v/>
      </c>
    </row>
    <row r="442">
      <c r="B442" t="inlineStr">
        <is>
          <t>使用量(kg)</t>
        </is>
      </c>
      <c r="C442">
        <f>SUMIFS(M_BOM[RM_Qty_Per_Batch],M_BOM[Intermediate],$B441,M_BOM[Part Name],$A406)</f>
        <v/>
      </c>
      <c r="D442">
        <f>$C442*D441</f>
        <v/>
      </c>
      <c r="E442">
        <f>$C442*E441</f>
        <v/>
      </c>
      <c r="F442">
        <f>$C442*F441</f>
        <v/>
      </c>
      <c r="G442">
        <f>$C442*G441</f>
        <v/>
      </c>
      <c r="H442">
        <f>$C442*H441</f>
        <v/>
      </c>
      <c r="I442">
        <f>$C442*I441</f>
        <v/>
      </c>
      <c r="J442">
        <f>$C442*J441</f>
        <v/>
      </c>
      <c r="K442">
        <f>$C442*K441</f>
        <v/>
      </c>
      <c r="L442">
        <f>$C442*L441</f>
        <v/>
      </c>
      <c r="M442">
        <f>$C442*M441</f>
        <v/>
      </c>
      <c r="N442">
        <f>$C442*N441</f>
        <v/>
      </c>
      <c r="O442">
        <f>$C442*O441</f>
        <v/>
      </c>
      <c r="P442">
        <f>$C442*P441</f>
        <v/>
      </c>
      <c r="Q442">
        <f>$C442*Q441</f>
        <v/>
      </c>
      <c r="R442">
        <f>$C442*R441</f>
        <v/>
      </c>
      <c r="S442">
        <f>$C442*S441</f>
        <v/>
      </c>
      <c r="T442">
        <f>$C442*T441</f>
        <v/>
      </c>
      <c r="U442">
        <f>$C442*U441</f>
        <v/>
      </c>
      <c r="V442">
        <f>$C442*V441</f>
        <v/>
      </c>
      <c r="W442">
        <f>$C442*W441</f>
        <v/>
      </c>
      <c r="X442">
        <f>$C442*X441</f>
        <v/>
      </c>
      <c r="Y442">
        <f>$C442*Y441</f>
        <v/>
      </c>
      <c r="Z442">
        <f>$C442*Z441</f>
        <v/>
      </c>
      <c r="AA442">
        <f>$C442*AA441</f>
        <v/>
      </c>
      <c r="AB442">
        <f>$C442*AB441</f>
        <v/>
      </c>
      <c r="AC442">
        <f>$C442*AC441</f>
        <v/>
      </c>
      <c r="AD442">
        <f>$C442*AD441</f>
        <v/>
      </c>
      <c r="AE442">
        <f>$C442*AE441</f>
        <v/>
      </c>
      <c r="AF442">
        <f>$C442*AF441</f>
        <v/>
      </c>
      <c r="AG442">
        <f>$C442*AG441</f>
        <v/>
      </c>
      <c r="AH442">
        <f>$C442*AH441</f>
        <v/>
      </c>
      <c r="AI442">
        <f>$C442*AI441</f>
        <v/>
      </c>
      <c r="AJ442">
        <f>$C442*AJ441</f>
        <v/>
      </c>
      <c r="AK442">
        <f>$C442*AK441</f>
        <v/>
      </c>
      <c r="AL442">
        <f>$C442*AL441</f>
        <v/>
      </c>
      <c r="AM442">
        <f>$C442*AM441</f>
        <v/>
      </c>
      <c r="AN442">
        <f>$C442*AN441</f>
        <v/>
      </c>
      <c r="AO442">
        <f>$C442*AO441</f>
        <v/>
      </c>
      <c r="AP442">
        <f>$C442*AP441</f>
        <v/>
      </c>
      <c r="AQ442">
        <f>$C442*AQ441</f>
        <v/>
      </c>
      <c r="AR442">
        <f>$C442*AR441</f>
        <v/>
      </c>
      <c r="AS442">
        <f>$C442*AS441</f>
        <v/>
      </c>
      <c r="AT442">
        <f>$C442*AT441</f>
        <v/>
      </c>
      <c r="AU442">
        <f>$C442*AU441</f>
        <v/>
      </c>
      <c r="AV442">
        <f>$C442*AV441</f>
        <v/>
      </c>
      <c r="AW442">
        <f>$C442*AW441</f>
        <v/>
      </c>
      <c r="AX442">
        <f>$C442*AX441</f>
        <v/>
      </c>
      <c r="AY442">
        <f>$C442*AY441</f>
        <v/>
      </c>
      <c r="AZ442">
        <f>$C442*AZ441</f>
        <v/>
      </c>
      <c r="BA442">
        <f>$C442*BA441</f>
        <v/>
      </c>
      <c r="BB442">
        <f>$C442*BB441</f>
        <v/>
      </c>
      <c r="BC442">
        <f>$C442*BC441</f>
        <v/>
      </c>
      <c r="BD442">
        <f>$C442*BD441</f>
        <v/>
      </c>
      <c r="BE442">
        <f>$C442*BE441</f>
        <v/>
      </c>
      <c r="BF442">
        <f>$C442*BF441</f>
        <v/>
      </c>
      <c r="BG442">
        <f>$C442*BG441</f>
        <v/>
      </c>
      <c r="BH442">
        <f>$C442*BH441</f>
        <v/>
      </c>
      <c r="BI442">
        <f>$C442*BI441</f>
        <v/>
      </c>
      <c r="BJ442">
        <f>$C442*BJ441</f>
        <v/>
      </c>
      <c r="BK442">
        <f>$C442*BK441</f>
        <v/>
      </c>
      <c r="BL442">
        <f>$C442*BL441</f>
        <v/>
      </c>
      <c r="BM442">
        <f>$C442*BM441</f>
        <v/>
      </c>
      <c r="BN442">
        <f>$C442*BN441</f>
        <v/>
      </c>
      <c r="BO442">
        <f>$C442*BO441</f>
        <v/>
      </c>
      <c r="BP442">
        <f>$C442*BP441</f>
        <v/>
      </c>
      <c r="BQ442">
        <f>$C442*BQ441</f>
        <v/>
      </c>
      <c r="BR442">
        <f>$C442*BR441</f>
        <v/>
      </c>
      <c r="BS442">
        <f>$C442*BS441</f>
        <v/>
      </c>
      <c r="BT442">
        <f>$C442*BT441</f>
        <v/>
      </c>
      <c r="BU442">
        <f>$C442*BU441</f>
        <v/>
      </c>
      <c r="BV442">
        <f>$C442*BV441</f>
        <v/>
      </c>
      <c r="BW442">
        <f>$C442*BW441</f>
        <v/>
      </c>
      <c r="BX442">
        <f>$C442*BX441</f>
        <v/>
      </c>
      <c r="BY442">
        <f>$C442*BY441</f>
        <v/>
      </c>
      <c r="BZ442">
        <f>$C442*BZ441</f>
        <v/>
      </c>
      <c r="CA442">
        <f>$C442*CA441</f>
        <v/>
      </c>
      <c r="CB442">
        <f>$C442*CB441</f>
        <v/>
      </c>
      <c r="CC442">
        <f>$C442*CC441</f>
        <v/>
      </c>
      <c r="CD442">
        <f>$C442*CD441</f>
        <v/>
      </c>
      <c r="CE442">
        <f>$C442*CE441</f>
        <v/>
      </c>
      <c r="CF442">
        <f>$C442*CF441</f>
        <v/>
      </c>
      <c r="CG442">
        <f>$C442*CG441</f>
        <v/>
      </c>
      <c r="CH442">
        <f>$C442*CH441</f>
        <v/>
      </c>
      <c r="CI442">
        <f>$C442*CI441</f>
        <v/>
      </c>
      <c r="CJ442">
        <f>$C442*CJ441</f>
        <v/>
      </c>
      <c r="CK442">
        <f>$C442*CK441</f>
        <v/>
      </c>
      <c r="CL442">
        <f>$C442*CL441</f>
        <v/>
      </c>
      <c r="CM442">
        <f>$C442*CM441</f>
        <v/>
      </c>
      <c r="CN442">
        <f>$C442*CN441</f>
        <v/>
      </c>
      <c r="CO442">
        <f>$C442*CO441</f>
        <v/>
      </c>
      <c r="CP442">
        <f>$C442*CP441</f>
        <v/>
      </c>
      <c r="CQ442">
        <f>$C442*CQ441</f>
        <v/>
      </c>
      <c r="CR442">
        <f>$C442*CR441</f>
        <v/>
      </c>
      <c r="CS442">
        <f>$C442*CS441</f>
        <v/>
      </c>
      <c r="CT442">
        <f>$C442*CT441</f>
        <v/>
      </c>
      <c r="CU442">
        <f>$C442*CU441</f>
        <v/>
      </c>
      <c r="CV442">
        <f>$C442*CV441</f>
        <v/>
      </c>
      <c r="CW442">
        <f>$C442*CW441</f>
        <v/>
      </c>
      <c r="CX442">
        <f>$C442*CX441</f>
        <v/>
      </c>
      <c r="CY442">
        <f>$C442*CY441</f>
        <v/>
      </c>
      <c r="CZ442">
        <f>$C442*CZ441</f>
        <v/>
      </c>
      <c r="DA442">
        <f>$C442*DA441</f>
        <v/>
      </c>
      <c r="DB442">
        <f>$C442*DB441</f>
        <v/>
      </c>
      <c r="DC442">
        <f>$C442*DC441</f>
        <v/>
      </c>
    </row>
    <row r="443">
      <c r="B443" t="inlineStr">
        <is>
          <t>TSP-544</t>
        </is>
      </c>
      <c r="C443" t="inlineStr">
        <is>
          <t>No. of batches</t>
        </is>
      </c>
      <c r="D443">
        <f>IFERROR(INDEX(PP_Grid[#Data],$DD443,2),0)</f>
        <v/>
      </c>
      <c r="E443">
        <f>IFERROR(INDEX(PP_Grid[#Data],$DD443,3),0)</f>
        <v/>
      </c>
      <c r="F443">
        <f>IFERROR(INDEX(PP_Grid[#Data],$DD443,4),0)</f>
        <v/>
      </c>
      <c r="G443">
        <f>IFERROR(INDEX(PP_Grid[#Data],$DD443,5),0)</f>
        <v/>
      </c>
      <c r="H443">
        <f>IFERROR(INDEX(PP_Grid[#Data],$DD443,6),0)</f>
        <v/>
      </c>
      <c r="I443">
        <f>IFERROR(INDEX(PP_Grid[#Data],$DD443,7),0)</f>
        <v/>
      </c>
      <c r="J443">
        <f>IFERROR(INDEX(PP_Grid[#Data],$DD443,8),0)</f>
        <v/>
      </c>
      <c r="K443">
        <f>IFERROR(INDEX(PP_Grid[#Data],$DD443,9),0)</f>
        <v/>
      </c>
      <c r="L443">
        <f>IFERROR(INDEX(PP_Grid[#Data],$DD443,10),0)</f>
        <v/>
      </c>
      <c r="M443">
        <f>IFERROR(INDEX(PP_Grid[#Data],$DD443,11),0)</f>
        <v/>
      </c>
      <c r="N443">
        <f>IFERROR(INDEX(PP_Grid[#Data],$DD443,12),0)</f>
        <v/>
      </c>
      <c r="O443">
        <f>IFERROR(INDEX(PP_Grid[#Data],$DD443,13),0)</f>
        <v/>
      </c>
      <c r="P443">
        <f>IFERROR(INDEX(PP_Grid[#Data],$DD443,14),0)</f>
        <v/>
      </c>
      <c r="Q443">
        <f>IFERROR(INDEX(PP_Grid[#Data],$DD443,15),0)</f>
        <v/>
      </c>
      <c r="R443">
        <f>IFERROR(INDEX(PP_Grid[#Data],$DD443,16),0)</f>
        <v/>
      </c>
      <c r="S443">
        <f>IFERROR(INDEX(PP_Grid[#Data],$DD443,17),0)</f>
        <v/>
      </c>
      <c r="T443">
        <f>IFERROR(INDEX(PP_Grid[#Data],$DD443,18),0)</f>
        <v/>
      </c>
      <c r="U443">
        <f>IFERROR(INDEX(PP_Grid[#Data],$DD443,19),0)</f>
        <v/>
      </c>
      <c r="V443">
        <f>IFERROR(INDEX(PP_Grid[#Data],$DD443,20),0)</f>
        <v/>
      </c>
      <c r="W443">
        <f>IFERROR(INDEX(PP_Grid[#Data],$DD443,21),0)</f>
        <v/>
      </c>
      <c r="X443">
        <f>IFERROR(INDEX(PP_Grid[#Data],$DD443,22),0)</f>
        <v/>
      </c>
      <c r="Y443">
        <f>IFERROR(INDEX(PP_Grid[#Data],$DD443,23),0)</f>
        <v/>
      </c>
      <c r="Z443">
        <f>IFERROR(INDEX(PP_Grid[#Data],$DD443,24),0)</f>
        <v/>
      </c>
      <c r="AA443">
        <f>IFERROR(INDEX(PP_Grid[#Data],$DD443,25),0)</f>
        <v/>
      </c>
      <c r="AB443">
        <f>IFERROR(INDEX(PP_Grid[#Data],$DD443,26),0)</f>
        <v/>
      </c>
      <c r="AC443">
        <f>IFERROR(INDEX(PP_Grid[#Data],$DD443,27),0)</f>
        <v/>
      </c>
      <c r="AD443">
        <f>IFERROR(INDEX(PP_Grid[#Data],$DD443,28),0)</f>
        <v/>
      </c>
      <c r="AE443">
        <f>IFERROR(INDEX(PP_Grid[#Data],$DD443,29),0)</f>
        <v/>
      </c>
      <c r="AF443">
        <f>IFERROR(INDEX(PP_Grid[#Data],$DD443,30),0)</f>
        <v/>
      </c>
      <c r="AG443">
        <f>IFERROR(INDEX(PP_Grid[#Data],$DD443,31),0)</f>
        <v/>
      </c>
      <c r="AH443">
        <f>IFERROR(INDEX(PP_Grid[#Data],$DD443,32),0)</f>
        <v/>
      </c>
      <c r="AI443">
        <f>IFERROR(INDEX(PP_Grid[#Data],$DD443,33),0)</f>
        <v/>
      </c>
      <c r="AJ443">
        <f>IFERROR(INDEX(PP_Grid[#Data],$DD443,34),0)</f>
        <v/>
      </c>
      <c r="AK443">
        <f>IFERROR(INDEX(PP_Grid[#Data],$DD443,35),0)</f>
        <v/>
      </c>
      <c r="AL443">
        <f>IFERROR(INDEX(PP_Grid[#Data],$DD443,36),0)</f>
        <v/>
      </c>
      <c r="AM443">
        <f>IFERROR(INDEX(PP_Grid[#Data],$DD443,37),0)</f>
        <v/>
      </c>
      <c r="AN443">
        <f>IFERROR(INDEX(PP_Grid[#Data],$DD443,38),0)</f>
        <v/>
      </c>
      <c r="AO443">
        <f>IFERROR(INDEX(PP_Grid[#Data],$DD443,39),0)</f>
        <v/>
      </c>
      <c r="AP443">
        <f>IFERROR(INDEX(PP_Grid[#Data],$DD443,40),0)</f>
        <v/>
      </c>
      <c r="AQ443">
        <f>IFERROR(INDEX(PP_Grid[#Data],$DD443,41),0)</f>
        <v/>
      </c>
      <c r="AR443">
        <f>IFERROR(INDEX(PP_Grid[#Data],$DD443,42),0)</f>
        <v/>
      </c>
      <c r="AS443">
        <f>IFERROR(INDEX(PP_Grid[#Data],$DD443,43),0)</f>
        <v/>
      </c>
      <c r="AT443">
        <f>IFERROR(INDEX(PP_Grid[#Data],$DD443,44),0)</f>
        <v/>
      </c>
      <c r="AU443">
        <f>IFERROR(INDEX(PP_Grid[#Data],$DD443,45),0)</f>
        <v/>
      </c>
      <c r="AV443">
        <f>IFERROR(INDEX(PP_Grid[#Data],$DD443,46),0)</f>
        <v/>
      </c>
      <c r="AW443">
        <f>IFERROR(INDEX(PP_Grid[#Data],$DD443,47),0)</f>
        <v/>
      </c>
      <c r="AX443">
        <f>IFERROR(INDEX(PP_Grid[#Data],$DD443,48),0)</f>
        <v/>
      </c>
      <c r="AY443">
        <f>IFERROR(INDEX(PP_Grid[#Data],$DD443,49),0)</f>
        <v/>
      </c>
      <c r="AZ443">
        <f>IFERROR(INDEX(PP_Grid[#Data],$DD443,50),0)</f>
        <v/>
      </c>
      <c r="BA443">
        <f>IFERROR(INDEX(PP_Grid[#Data],$DD443,51),0)</f>
        <v/>
      </c>
      <c r="BB443">
        <f>IFERROR(INDEX(PP_Grid[#Data],$DD443,52),0)</f>
        <v/>
      </c>
      <c r="BC443">
        <f>IFERROR(INDEX(PP_Grid[#Data],$DD443,53),0)</f>
        <v/>
      </c>
      <c r="BD443">
        <f>IFERROR(INDEX(PP_Grid[#Data],$DD443,54),0)</f>
        <v/>
      </c>
      <c r="BE443">
        <f>IFERROR(INDEX(PP_Grid[#Data],$DD443,55),0)</f>
        <v/>
      </c>
      <c r="BF443">
        <f>IFERROR(INDEX(PP_Grid[#Data],$DD443,56),0)</f>
        <v/>
      </c>
      <c r="BG443">
        <f>IFERROR(INDEX(PP_Grid[#Data],$DD443,57),0)</f>
        <v/>
      </c>
      <c r="BH443">
        <f>IFERROR(INDEX(PP_Grid[#Data],$DD443,58),0)</f>
        <v/>
      </c>
      <c r="BI443">
        <f>IFERROR(INDEX(PP_Grid[#Data],$DD443,59),0)</f>
        <v/>
      </c>
      <c r="BJ443">
        <f>IFERROR(INDEX(PP_Grid[#Data],$DD443,60),0)</f>
        <v/>
      </c>
      <c r="BK443">
        <f>IFERROR(INDEX(PP_Grid[#Data],$DD443,61),0)</f>
        <v/>
      </c>
      <c r="BL443">
        <f>IFERROR(INDEX(PP_Grid[#Data],$DD443,62),0)</f>
        <v/>
      </c>
      <c r="BM443">
        <f>IFERROR(INDEX(PP_Grid[#Data],$DD443,63),0)</f>
        <v/>
      </c>
      <c r="BN443">
        <f>IFERROR(INDEX(PP_Grid[#Data],$DD443,64),0)</f>
        <v/>
      </c>
      <c r="BO443">
        <f>IFERROR(INDEX(PP_Grid[#Data],$DD443,65),0)</f>
        <v/>
      </c>
      <c r="BP443">
        <f>IFERROR(INDEX(PP_Grid[#Data],$DD443,66),0)</f>
        <v/>
      </c>
      <c r="BQ443">
        <f>IFERROR(INDEX(PP_Grid[#Data],$DD443,67),0)</f>
        <v/>
      </c>
      <c r="BR443">
        <f>IFERROR(INDEX(PP_Grid[#Data],$DD443,68),0)</f>
        <v/>
      </c>
      <c r="BS443">
        <f>IFERROR(INDEX(PP_Grid[#Data],$DD443,69),0)</f>
        <v/>
      </c>
      <c r="BT443">
        <f>IFERROR(INDEX(PP_Grid[#Data],$DD443,70),0)</f>
        <v/>
      </c>
      <c r="BU443">
        <f>IFERROR(INDEX(PP_Grid[#Data],$DD443,71),0)</f>
        <v/>
      </c>
      <c r="BV443">
        <f>IFERROR(INDEX(PP_Grid[#Data],$DD443,72),0)</f>
        <v/>
      </c>
      <c r="BW443">
        <f>IFERROR(INDEX(PP_Grid[#Data],$DD443,73),0)</f>
        <v/>
      </c>
      <c r="BX443">
        <f>IFERROR(INDEX(PP_Grid[#Data],$DD443,74),0)</f>
        <v/>
      </c>
      <c r="BY443">
        <f>IFERROR(INDEX(PP_Grid[#Data],$DD443,75),0)</f>
        <v/>
      </c>
      <c r="BZ443">
        <f>IFERROR(INDEX(PP_Grid[#Data],$DD443,76),0)</f>
        <v/>
      </c>
      <c r="CA443">
        <f>IFERROR(INDEX(PP_Grid[#Data],$DD443,77),0)</f>
        <v/>
      </c>
      <c r="CB443">
        <f>IFERROR(INDEX(PP_Grid[#Data],$DD443,78),0)</f>
        <v/>
      </c>
      <c r="CC443">
        <f>IFERROR(INDEX(PP_Grid[#Data],$DD443,79),0)</f>
        <v/>
      </c>
      <c r="CD443">
        <f>IFERROR(INDEX(PP_Grid[#Data],$DD443,80),0)</f>
        <v/>
      </c>
      <c r="CE443">
        <f>IFERROR(INDEX(PP_Grid[#Data],$DD443,81),0)</f>
        <v/>
      </c>
      <c r="CF443">
        <f>IFERROR(INDEX(PP_Grid[#Data],$DD443,82),0)</f>
        <v/>
      </c>
      <c r="CG443">
        <f>IFERROR(INDEX(PP_Grid[#Data],$DD443,83),0)</f>
        <v/>
      </c>
      <c r="CH443">
        <f>IFERROR(INDEX(PP_Grid[#Data],$DD443,84),0)</f>
        <v/>
      </c>
      <c r="CI443">
        <f>IFERROR(INDEX(PP_Grid[#Data],$DD443,85),0)</f>
        <v/>
      </c>
      <c r="CJ443">
        <f>IFERROR(INDEX(PP_Grid[#Data],$DD443,86),0)</f>
        <v/>
      </c>
      <c r="CK443">
        <f>IFERROR(INDEX(PP_Grid[#Data],$DD443,87),0)</f>
        <v/>
      </c>
      <c r="CL443">
        <f>IFERROR(INDEX(PP_Grid[#Data],$DD443,88),0)</f>
        <v/>
      </c>
      <c r="CM443">
        <f>IFERROR(INDEX(PP_Grid[#Data],$DD443,89),0)</f>
        <v/>
      </c>
      <c r="CN443">
        <f>IFERROR(INDEX(PP_Grid[#Data],$DD443,90),0)</f>
        <v/>
      </c>
      <c r="CO443">
        <f>IFERROR(INDEX(PP_Grid[#Data],$DD443,91),0)</f>
        <v/>
      </c>
      <c r="CP443">
        <f>IFERROR(INDEX(PP_Grid[#Data],$DD443,92),0)</f>
        <v/>
      </c>
      <c r="CQ443">
        <f>IFERROR(INDEX(PP_Grid[#Data],$DD443,93),0)</f>
        <v/>
      </c>
      <c r="CR443">
        <f>IFERROR(INDEX(PP_Grid[#Data],$DD443,94),0)</f>
        <v/>
      </c>
      <c r="CS443">
        <f>IFERROR(INDEX(PP_Grid[#Data],$DD443,95),0)</f>
        <v/>
      </c>
      <c r="CT443">
        <f>IFERROR(INDEX(PP_Grid[#Data],$DD443,96),0)</f>
        <v/>
      </c>
      <c r="CU443">
        <f>IFERROR(INDEX(PP_Grid[#Data],$DD443,97),0)</f>
        <v/>
      </c>
      <c r="CV443">
        <f>IFERROR(INDEX(PP_Grid[#Data],$DD443,98),0)</f>
        <v/>
      </c>
      <c r="CW443">
        <f>IFERROR(INDEX(PP_Grid[#Data],$DD443,99),0)</f>
        <v/>
      </c>
      <c r="CX443">
        <f>IFERROR(INDEX(PP_Grid[#Data],$DD443,100),0)</f>
        <v/>
      </c>
      <c r="CY443">
        <f>IFERROR(INDEX(PP_Grid[#Data],$DD443,101),0)</f>
        <v/>
      </c>
      <c r="CZ443">
        <f>IFERROR(INDEX(PP_Grid[#Data],$DD443,102),0)</f>
        <v/>
      </c>
      <c r="DA443">
        <f>IFERROR(INDEX(PP_Grid[#Data],$DD443,103),0)</f>
        <v/>
      </c>
      <c r="DB443">
        <f>IFERROR(INDEX(PP_Grid[#Data],$DD443,104),0)</f>
        <v/>
      </c>
      <c r="DC443">
        <f>IFERROR(INDEX(PP_Grid[#Data],$DD443,105),0)</f>
        <v/>
      </c>
      <c r="DD443" s="12">
        <f>IFERROR(MATCH($B443,PP_Grid[Intermediate],0),99999)</f>
        <v/>
      </c>
    </row>
    <row r="444">
      <c r="B444" t="inlineStr">
        <is>
          <t>使用量(kg)</t>
        </is>
      </c>
      <c r="C444">
        <f>SUMIFS(M_BOM[RM_Qty_Per_Batch],M_BOM[Intermediate],$B443,M_BOM[Part Name],$A406)</f>
        <v/>
      </c>
      <c r="D444">
        <f>$C444*D443</f>
        <v/>
      </c>
      <c r="E444">
        <f>$C444*E443</f>
        <v/>
      </c>
      <c r="F444">
        <f>$C444*F443</f>
        <v/>
      </c>
      <c r="G444">
        <f>$C444*G443</f>
        <v/>
      </c>
      <c r="H444">
        <f>$C444*H443</f>
        <v/>
      </c>
      <c r="I444">
        <f>$C444*I443</f>
        <v/>
      </c>
      <c r="J444">
        <f>$C444*J443</f>
        <v/>
      </c>
      <c r="K444">
        <f>$C444*K443</f>
        <v/>
      </c>
      <c r="L444">
        <f>$C444*L443</f>
        <v/>
      </c>
      <c r="M444">
        <f>$C444*M443</f>
        <v/>
      </c>
      <c r="N444">
        <f>$C444*N443</f>
        <v/>
      </c>
      <c r="O444">
        <f>$C444*O443</f>
        <v/>
      </c>
      <c r="P444">
        <f>$C444*P443</f>
        <v/>
      </c>
      <c r="Q444">
        <f>$C444*Q443</f>
        <v/>
      </c>
      <c r="R444">
        <f>$C444*R443</f>
        <v/>
      </c>
      <c r="S444">
        <f>$C444*S443</f>
        <v/>
      </c>
      <c r="T444">
        <f>$C444*T443</f>
        <v/>
      </c>
      <c r="U444">
        <f>$C444*U443</f>
        <v/>
      </c>
      <c r="V444">
        <f>$C444*V443</f>
        <v/>
      </c>
      <c r="W444">
        <f>$C444*W443</f>
        <v/>
      </c>
      <c r="X444">
        <f>$C444*X443</f>
        <v/>
      </c>
      <c r="Y444">
        <f>$C444*Y443</f>
        <v/>
      </c>
      <c r="Z444">
        <f>$C444*Z443</f>
        <v/>
      </c>
      <c r="AA444">
        <f>$C444*AA443</f>
        <v/>
      </c>
      <c r="AB444">
        <f>$C444*AB443</f>
        <v/>
      </c>
      <c r="AC444">
        <f>$C444*AC443</f>
        <v/>
      </c>
      <c r="AD444">
        <f>$C444*AD443</f>
        <v/>
      </c>
      <c r="AE444">
        <f>$C444*AE443</f>
        <v/>
      </c>
      <c r="AF444">
        <f>$C444*AF443</f>
        <v/>
      </c>
      <c r="AG444">
        <f>$C444*AG443</f>
        <v/>
      </c>
      <c r="AH444">
        <f>$C444*AH443</f>
        <v/>
      </c>
      <c r="AI444">
        <f>$C444*AI443</f>
        <v/>
      </c>
      <c r="AJ444">
        <f>$C444*AJ443</f>
        <v/>
      </c>
      <c r="AK444">
        <f>$C444*AK443</f>
        <v/>
      </c>
      <c r="AL444">
        <f>$C444*AL443</f>
        <v/>
      </c>
      <c r="AM444">
        <f>$C444*AM443</f>
        <v/>
      </c>
      <c r="AN444">
        <f>$C444*AN443</f>
        <v/>
      </c>
      <c r="AO444">
        <f>$C444*AO443</f>
        <v/>
      </c>
      <c r="AP444">
        <f>$C444*AP443</f>
        <v/>
      </c>
      <c r="AQ444">
        <f>$C444*AQ443</f>
        <v/>
      </c>
      <c r="AR444">
        <f>$C444*AR443</f>
        <v/>
      </c>
      <c r="AS444">
        <f>$C444*AS443</f>
        <v/>
      </c>
      <c r="AT444">
        <f>$C444*AT443</f>
        <v/>
      </c>
      <c r="AU444">
        <f>$C444*AU443</f>
        <v/>
      </c>
      <c r="AV444">
        <f>$C444*AV443</f>
        <v/>
      </c>
      <c r="AW444">
        <f>$C444*AW443</f>
        <v/>
      </c>
      <c r="AX444">
        <f>$C444*AX443</f>
        <v/>
      </c>
      <c r="AY444">
        <f>$C444*AY443</f>
        <v/>
      </c>
      <c r="AZ444">
        <f>$C444*AZ443</f>
        <v/>
      </c>
      <c r="BA444">
        <f>$C444*BA443</f>
        <v/>
      </c>
      <c r="BB444">
        <f>$C444*BB443</f>
        <v/>
      </c>
      <c r="BC444">
        <f>$C444*BC443</f>
        <v/>
      </c>
      <c r="BD444">
        <f>$C444*BD443</f>
        <v/>
      </c>
      <c r="BE444">
        <f>$C444*BE443</f>
        <v/>
      </c>
      <c r="BF444">
        <f>$C444*BF443</f>
        <v/>
      </c>
      <c r="BG444">
        <f>$C444*BG443</f>
        <v/>
      </c>
      <c r="BH444">
        <f>$C444*BH443</f>
        <v/>
      </c>
      <c r="BI444">
        <f>$C444*BI443</f>
        <v/>
      </c>
      <c r="BJ444">
        <f>$C444*BJ443</f>
        <v/>
      </c>
      <c r="BK444">
        <f>$C444*BK443</f>
        <v/>
      </c>
      <c r="BL444">
        <f>$C444*BL443</f>
        <v/>
      </c>
      <c r="BM444">
        <f>$C444*BM443</f>
        <v/>
      </c>
      <c r="BN444">
        <f>$C444*BN443</f>
        <v/>
      </c>
      <c r="BO444">
        <f>$C444*BO443</f>
        <v/>
      </c>
      <c r="BP444">
        <f>$C444*BP443</f>
        <v/>
      </c>
      <c r="BQ444">
        <f>$C444*BQ443</f>
        <v/>
      </c>
      <c r="BR444">
        <f>$C444*BR443</f>
        <v/>
      </c>
      <c r="BS444">
        <f>$C444*BS443</f>
        <v/>
      </c>
      <c r="BT444">
        <f>$C444*BT443</f>
        <v/>
      </c>
      <c r="BU444">
        <f>$C444*BU443</f>
        <v/>
      </c>
      <c r="BV444">
        <f>$C444*BV443</f>
        <v/>
      </c>
      <c r="BW444">
        <f>$C444*BW443</f>
        <v/>
      </c>
      <c r="BX444">
        <f>$C444*BX443</f>
        <v/>
      </c>
      <c r="BY444">
        <f>$C444*BY443</f>
        <v/>
      </c>
      <c r="BZ444">
        <f>$C444*BZ443</f>
        <v/>
      </c>
      <c r="CA444">
        <f>$C444*CA443</f>
        <v/>
      </c>
      <c r="CB444">
        <f>$C444*CB443</f>
        <v/>
      </c>
      <c r="CC444">
        <f>$C444*CC443</f>
        <v/>
      </c>
      <c r="CD444">
        <f>$C444*CD443</f>
        <v/>
      </c>
      <c r="CE444">
        <f>$C444*CE443</f>
        <v/>
      </c>
      <c r="CF444">
        <f>$C444*CF443</f>
        <v/>
      </c>
      <c r="CG444">
        <f>$C444*CG443</f>
        <v/>
      </c>
      <c r="CH444">
        <f>$C444*CH443</f>
        <v/>
      </c>
      <c r="CI444">
        <f>$C444*CI443</f>
        <v/>
      </c>
      <c r="CJ444">
        <f>$C444*CJ443</f>
        <v/>
      </c>
      <c r="CK444">
        <f>$C444*CK443</f>
        <v/>
      </c>
      <c r="CL444">
        <f>$C444*CL443</f>
        <v/>
      </c>
      <c r="CM444">
        <f>$C444*CM443</f>
        <v/>
      </c>
      <c r="CN444">
        <f>$C444*CN443</f>
        <v/>
      </c>
      <c r="CO444">
        <f>$C444*CO443</f>
        <v/>
      </c>
      <c r="CP444">
        <f>$C444*CP443</f>
        <v/>
      </c>
      <c r="CQ444">
        <f>$C444*CQ443</f>
        <v/>
      </c>
      <c r="CR444">
        <f>$C444*CR443</f>
        <v/>
      </c>
      <c r="CS444">
        <f>$C444*CS443</f>
        <v/>
      </c>
      <c r="CT444">
        <f>$C444*CT443</f>
        <v/>
      </c>
      <c r="CU444">
        <f>$C444*CU443</f>
        <v/>
      </c>
      <c r="CV444">
        <f>$C444*CV443</f>
        <v/>
      </c>
      <c r="CW444">
        <f>$C444*CW443</f>
        <v/>
      </c>
      <c r="CX444">
        <f>$C444*CX443</f>
        <v/>
      </c>
      <c r="CY444">
        <f>$C444*CY443</f>
        <v/>
      </c>
      <c r="CZ444">
        <f>$C444*CZ443</f>
        <v/>
      </c>
      <c r="DA444">
        <f>$C444*DA443</f>
        <v/>
      </c>
      <c r="DB444">
        <f>$C444*DB443</f>
        <v/>
      </c>
      <c r="DC444">
        <f>$C444*DC443</f>
        <v/>
      </c>
    </row>
    <row r="445">
      <c r="B445" t="inlineStr">
        <is>
          <t>TSP-618</t>
        </is>
      </c>
      <c r="C445" t="inlineStr">
        <is>
          <t>No. of batches</t>
        </is>
      </c>
      <c r="D445">
        <f>IFERROR(INDEX(PP_Grid[#Data],$DD445,2),0)</f>
        <v/>
      </c>
      <c r="E445">
        <f>IFERROR(INDEX(PP_Grid[#Data],$DD445,3),0)</f>
        <v/>
      </c>
      <c r="F445">
        <f>IFERROR(INDEX(PP_Grid[#Data],$DD445,4),0)</f>
        <v/>
      </c>
      <c r="G445">
        <f>IFERROR(INDEX(PP_Grid[#Data],$DD445,5),0)</f>
        <v/>
      </c>
      <c r="H445">
        <f>IFERROR(INDEX(PP_Grid[#Data],$DD445,6),0)</f>
        <v/>
      </c>
      <c r="I445">
        <f>IFERROR(INDEX(PP_Grid[#Data],$DD445,7),0)</f>
        <v/>
      </c>
      <c r="J445">
        <f>IFERROR(INDEX(PP_Grid[#Data],$DD445,8),0)</f>
        <v/>
      </c>
      <c r="K445">
        <f>IFERROR(INDEX(PP_Grid[#Data],$DD445,9),0)</f>
        <v/>
      </c>
      <c r="L445">
        <f>IFERROR(INDEX(PP_Grid[#Data],$DD445,10),0)</f>
        <v/>
      </c>
      <c r="M445">
        <f>IFERROR(INDEX(PP_Grid[#Data],$DD445,11),0)</f>
        <v/>
      </c>
      <c r="N445">
        <f>IFERROR(INDEX(PP_Grid[#Data],$DD445,12),0)</f>
        <v/>
      </c>
      <c r="O445">
        <f>IFERROR(INDEX(PP_Grid[#Data],$DD445,13),0)</f>
        <v/>
      </c>
      <c r="P445">
        <f>IFERROR(INDEX(PP_Grid[#Data],$DD445,14),0)</f>
        <v/>
      </c>
      <c r="Q445">
        <f>IFERROR(INDEX(PP_Grid[#Data],$DD445,15),0)</f>
        <v/>
      </c>
      <c r="R445">
        <f>IFERROR(INDEX(PP_Grid[#Data],$DD445,16),0)</f>
        <v/>
      </c>
      <c r="S445">
        <f>IFERROR(INDEX(PP_Grid[#Data],$DD445,17),0)</f>
        <v/>
      </c>
      <c r="T445">
        <f>IFERROR(INDEX(PP_Grid[#Data],$DD445,18),0)</f>
        <v/>
      </c>
      <c r="U445">
        <f>IFERROR(INDEX(PP_Grid[#Data],$DD445,19),0)</f>
        <v/>
      </c>
      <c r="V445">
        <f>IFERROR(INDEX(PP_Grid[#Data],$DD445,20),0)</f>
        <v/>
      </c>
      <c r="W445">
        <f>IFERROR(INDEX(PP_Grid[#Data],$DD445,21),0)</f>
        <v/>
      </c>
      <c r="X445">
        <f>IFERROR(INDEX(PP_Grid[#Data],$DD445,22),0)</f>
        <v/>
      </c>
      <c r="Y445">
        <f>IFERROR(INDEX(PP_Grid[#Data],$DD445,23),0)</f>
        <v/>
      </c>
      <c r="Z445">
        <f>IFERROR(INDEX(PP_Grid[#Data],$DD445,24),0)</f>
        <v/>
      </c>
      <c r="AA445">
        <f>IFERROR(INDEX(PP_Grid[#Data],$DD445,25),0)</f>
        <v/>
      </c>
      <c r="AB445">
        <f>IFERROR(INDEX(PP_Grid[#Data],$DD445,26),0)</f>
        <v/>
      </c>
      <c r="AC445">
        <f>IFERROR(INDEX(PP_Grid[#Data],$DD445,27),0)</f>
        <v/>
      </c>
      <c r="AD445">
        <f>IFERROR(INDEX(PP_Grid[#Data],$DD445,28),0)</f>
        <v/>
      </c>
      <c r="AE445">
        <f>IFERROR(INDEX(PP_Grid[#Data],$DD445,29),0)</f>
        <v/>
      </c>
      <c r="AF445">
        <f>IFERROR(INDEX(PP_Grid[#Data],$DD445,30),0)</f>
        <v/>
      </c>
      <c r="AG445">
        <f>IFERROR(INDEX(PP_Grid[#Data],$DD445,31),0)</f>
        <v/>
      </c>
      <c r="AH445">
        <f>IFERROR(INDEX(PP_Grid[#Data],$DD445,32),0)</f>
        <v/>
      </c>
      <c r="AI445">
        <f>IFERROR(INDEX(PP_Grid[#Data],$DD445,33),0)</f>
        <v/>
      </c>
      <c r="AJ445">
        <f>IFERROR(INDEX(PP_Grid[#Data],$DD445,34),0)</f>
        <v/>
      </c>
      <c r="AK445">
        <f>IFERROR(INDEX(PP_Grid[#Data],$DD445,35),0)</f>
        <v/>
      </c>
      <c r="AL445">
        <f>IFERROR(INDEX(PP_Grid[#Data],$DD445,36),0)</f>
        <v/>
      </c>
      <c r="AM445">
        <f>IFERROR(INDEX(PP_Grid[#Data],$DD445,37),0)</f>
        <v/>
      </c>
      <c r="AN445">
        <f>IFERROR(INDEX(PP_Grid[#Data],$DD445,38),0)</f>
        <v/>
      </c>
      <c r="AO445">
        <f>IFERROR(INDEX(PP_Grid[#Data],$DD445,39),0)</f>
        <v/>
      </c>
      <c r="AP445">
        <f>IFERROR(INDEX(PP_Grid[#Data],$DD445,40),0)</f>
        <v/>
      </c>
      <c r="AQ445">
        <f>IFERROR(INDEX(PP_Grid[#Data],$DD445,41),0)</f>
        <v/>
      </c>
      <c r="AR445">
        <f>IFERROR(INDEX(PP_Grid[#Data],$DD445,42),0)</f>
        <v/>
      </c>
      <c r="AS445">
        <f>IFERROR(INDEX(PP_Grid[#Data],$DD445,43),0)</f>
        <v/>
      </c>
      <c r="AT445">
        <f>IFERROR(INDEX(PP_Grid[#Data],$DD445,44),0)</f>
        <v/>
      </c>
      <c r="AU445">
        <f>IFERROR(INDEX(PP_Grid[#Data],$DD445,45),0)</f>
        <v/>
      </c>
      <c r="AV445">
        <f>IFERROR(INDEX(PP_Grid[#Data],$DD445,46),0)</f>
        <v/>
      </c>
      <c r="AW445">
        <f>IFERROR(INDEX(PP_Grid[#Data],$DD445,47),0)</f>
        <v/>
      </c>
      <c r="AX445">
        <f>IFERROR(INDEX(PP_Grid[#Data],$DD445,48),0)</f>
        <v/>
      </c>
      <c r="AY445">
        <f>IFERROR(INDEX(PP_Grid[#Data],$DD445,49),0)</f>
        <v/>
      </c>
      <c r="AZ445">
        <f>IFERROR(INDEX(PP_Grid[#Data],$DD445,50),0)</f>
        <v/>
      </c>
      <c r="BA445">
        <f>IFERROR(INDEX(PP_Grid[#Data],$DD445,51),0)</f>
        <v/>
      </c>
      <c r="BB445">
        <f>IFERROR(INDEX(PP_Grid[#Data],$DD445,52),0)</f>
        <v/>
      </c>
      <c r="BC445">
        <f>IFERROR(INDEX(PP_Grid[#Data],$DD445,53),0)</f>
        <v/>
      </c>
      <c r="BD445">
        <f>IFERROR(INDEX(PP_Grid[#Data],$DD445,54),0)</f>
        <v/>
      </c>
      <c r="BE445">
        <f>IFERROR(INDEX(PP_Grid[#Data],$DD445,55),0)</f>
        <v/>
      </c>
      <c r="BF445">
        <f>IFERROR(INDEX(PP_Grid[#Data],$DD445,56),0)</f>
        <v/>
      </c>
      <c r="BG445">
        <f>IFERROR(INDEX(PP_Grid[#Data],$DD445,57),0)</f>
        <v/>
      </c>
      <c r="BH445">
        <f>IFERROR(INDEX(PP_Grid[#Data],$DD445,58),0)</f>
        <v/>
      </c>
      <c r="BI445">
        <f>IFERROR(INDEX(PP_Grid[#Data],$DD445,59),0)</f>
        <v/>
      </c>
      <c r="BJ445">
        <f>IFERROR(INDEX(PP_Grid[#Data],$DD445,60),0)</f>
        <v/>
      </c>
      <c r="BK445">
        <f>IFERROR(INDEX(PP_Grid[#Data],$DD445,61),0)</f>
        <v/>
      </c>
      <c r="BL445">
        <f>IFERROR(INDEX(PP_Grid[#Data],$DD445,62),0)</f>
        <v/>
      </c>
      <c r="BM445">
        <f>IFERROR(INDEX(PP_Grid[#Data],$DD445,63),0)</f>
        <v/>
      </c>
      <c r="BN445">
        <f>IFERROR(INDEX(PP_Grid[#Data],$DD445,64),0)</f>
        <v/>
      </c>
      <c r="BO445">
        <f>IFERROR(INDEX(PP_Grid[#Data],$DD445,65),0)</f>
        <v/>
      </c>
      <c r="BP445">
        <f>IFERROR(INDEX(PP_Grid[#Data],$DD445,66),0)</f>
        <v/>
      </c>
      <c r="BQ445">
        <f>IFERROR(INDEX(PP_Grid[#Data],$DD445,67),0)</f>
        <v/>
      </c>
      <c r="BR445">
        <f>IFERROR(INDEX(PP_Grid[#Data],$DD445,68),0)</f>
        <v/>
      </c>
      <c r="BS445">
        <f>IFERROR(INDEX(PP_Grid[#Data],$DD445,69),0)</f>
        <v/>
      </c>
      <c r="BT445">
        <f>IFERROR(INDEX(PP_Grid[#Data],$DD445,70),0)</f>
        <v/>
      </c>
      <c r="BU445">
        <f>IFERROR(INDEX(PP_Grid[#Data],$DD445,71),0)</f>
        <v/>
      </c>
      <c r="BV445">
        <f>IFERROR(INDEX(PP_Grid[#Data],$DD445,72),0)</f>
        <v/>
      </c>
      <c r="BW445">
        <f>IFERROR(INDEX(PP_Grid[#Data],$DD445,73),0)</f>
        <v/>
      </c>
      <c r="BX445">
        <f>IFERROR(INDEX(PP_Grid[#Data],$DD445,74),0)</f>
        <v/>
      </c>
      <c r="BY445">
        <f>IFERROR(INDEX(PP_Grid[#Data],$DD445,75),0)</f>
        <v/>
      </c>
      <c r="BZ445">
        <f>IFERROR(INDEX(PP_Grid[#Data],$DD445,76),0)</f>
        <v/>
      </c>
      <c r="CA445">
        <f>IFERROR(INDEX(PP_Grid[#Data],$DD445,77),0)</f>
        <v/>
      </c>
      <c r="CB445">
        <f>IFERROR(INDEX(PP_Grid[#Data],$DD445,78),0)</f>
        <v/>
      </c>
      <c r="CC445">
        <f>IFERROR(INDEX(PP_Grid[#Data],$DD445,79),0)</f>
        <v/>
      </c>
      <c r="CD445">
        <f>IFERROR(INDEX(PP_Grid[#Data],$DD445,80),0)</f>
        <v/>
      </c>
      <c r="CE445">
        <f>IFERROR(INDEX(PP_Grid[#Data],$DD445,81),0)</f>
        <v/>
      </c>
      <c r="CF445">
        <f>IFERROR(INDEX(PP_Grid[#Data],$DD445,82),0)</f>
        <v/>
      </c>
      <c r="CG445">
        <f>IFERROR(INDEX(PP_Grid[#Data],$DD445,83),0)</f>
        <v/>
      </c>
      <c r="CH445">
        <f>IFERROR(INDEX(PP_Grid[#Data],$DD445,84),0)</f>
        <v/>
      </c>
      <c r="CI445">
        <f>IFERROR(INDEX(PP_Grid[#Data],$DD445,85),0)</f>
        <v/>
      </c>
      <c r="CJ445">
        <f>IFERROR(INDEX(PP_Grid[#Data],$DD445,86),0)</f>
        <v/>
      </c>
      <c r="CK445">
        <f>IFERROR(INDEX(PP_Grid[#Data],$DD445,87),0)</f>
        <v/>
      </c>
      <c r="CL445">
        <f>IFERROR(INDEX(PP_Grid[#Data],$DD445,88),0)</f>
        <v/>
      </c>
      <c r="CM445">
        <f>IFERROR(INDEX(PP_Grid[#Data],$DD445,89),0)</f>
        <v/>
      </c>
      <c r="CN445">
        <f>IFERROR(INDEX(PP_Grid[#Data],$DD445,90),0)</f>
        <v/>
      </c>
      <c r="CO445">
        <f>IFERROR(INDEX(PP_Grid[#Data],$DD445,91),0)</f>
        <v/>
      </c>
      <c r="CP445">
        <f>IFERROR(INDEX(PP_Grid[#Data],$DD445,92),0)</f>
        <v/>
      </c>
      <c r="CQ445">
        <f>IFERROR(INDEX(PP_Grid[#Data],$DD445,93),0)</f>
        <v/>
      </c>
      <c r="CR445">
        <f>IFERROR(INDEX(PP_Grid[#Data],$DD445,94),0)</f>
        <v/>
      </c>
      <c r="CS445">
        <f>IFERROR(INDEX(PP_Grid[#Data],$DD445,95),0)</f>
        <v/>
      </c>
      <c r="CT445">
        <f>IFERROR(INDEX(PP_Grid[#Data],$DD445,96),0)</f>
        <v/>
      </c>
      <c r="CU445">
        <f>IFERROR(INDEX(PP_Grid[#Data],$DD445,97),0)</f>
        <v/>
      </c>
      <c r="CV445">
        <f>IFERROR(INDEX(PP_Grid[#Data],$DD445,98),0)</f>
        <v/>
      </c>
      <c r="CW445">
        <f>IFERROR(INDEX(PP_Grid[#Data],$DD445,99),0)</f>
        <v/>
      </c>
      <c r="CX445">
        <f>IFERROR(INDEX(PP_Grid[#Data],$DD445,100),0)</f>
        <v/>
      </c>
      <c r="CY445">
        <f>IFERROR(INDEX(PP_Grid[#Data],$DD445,101),0)</f>
        <v/>
      </c>
      <c r="CZ445">
        <f>IFERROR(INDEX(PP_Grid[#Data],$DD445,102),0)</f>
        <v/>
      </c>
      <c r="DA445">
        <f>IFERROR(INDEX(PP_Grid[#Data],$DD445,103),0)</f>
        <v/>
      </c>
      <c r="DB445">
        <f>IFERROR(INDEX(PP_Grid[#Data],$DD445,104),0)</f>
        <v/>
      </c>
      <c r="DC445">
        <f>IFERROR(INDEX(PP_Grid[#Data],$DD445,105),0)</f>
        <v/>
      </c>
      <c r="DD445" s="12">
        <f>IFERROR(MATCH($B445,PP_Grid[Intermediate],0),99999)</f>
        <v/>
      </c>
    </row>
    <row r="446">
      <c r="B446" t="inlineStr">
        <is>
          <t>使用量(kg)</t>
        </is>
      </c>
      <c r="C446">
        <f>SUMIFS(M_BOM[RM_Qty_Per_Batch],M_BOM[Intermediate],$B445,M_BOM[Part Name],$A406)</f>
        <v/>
      </c>
      <c r="D446">
        <f>$C446*D445</f>
        <v/>
      </c>
      <c r="E446">
        <f>$C446*E445</f>
        <v/>
      </c>
      <c r="F446">
        <f>$C446*F445</f>
        <v/>
      </c>
      <c r="G446">
        <f>$C446*G445</f>
        <v/>
      </c>
      <c r="H446">
        <f>$C446*H445</f>
        <v/>
      </c>
      <c r="I446">
        <f>$C446*I445</f>
        <v/>
      </c>
      <c r="J446">
        <f>$C446*J445</f>
        <v/>
      </c>
      <c r="K446">
        <f>$C446*K445</f>
        <v/>
      </c>
      <c r="L446">
        <f>$C446*L445</f>
        <v/>
      </c>
      <c r="M446">
        <f>$C446*M445</f>
        <v/>
      </c>
      <c r="N446">
        <f>$C446*N445</f>
        <v/>
      </c>
      <c r="O446">
        <f>$C446*O445</f>
        <v/>
      </c>
      <c r="P446">
        <f>$C446*P445</f>
        <v/>
      </c>
      <c r="Q446">
        <f>$C446*Q445</f>
        <v/>
      </c>
      <c r="R446">
        <f>$C446*R445</f>
        <v/>
      </c>
      <c r="S446">
        <f>$C446*S445</f>
        <v/>
      </c>
      <c r="T446">
        <f>$C446*T445</f>
        <v/>
      </c>
      <c r="U446">
        <f>$C446*U445</f>
        <v/>
      </c>
      <c r="V446">
        <f>$C446*V445</f>
        <v/>
      </c>
      <c r="W446">
        <f>$C446*W445</f>
        <v/>
      </c>
      <c r="X446">
        <f>$C446*X445</f>
        <v/>
      </c>
      <c r="Y446">
        <f>$C446*Y445</f>
        <v/>
      </c>
      <c r="Z446">
        <f>$C446*Z445</f>
        <v/>
      </c>
      <c r="AA446">
        <f>$C446*AA445</f>
        <v/>
      </c>
      <c r="AB446">
        <f>$C446*AB445</f>
        <v/>
      </c>
      <c r="AC446">
        <f>$C446*AC445</f>
        <v/>
      </c>
      <c r="AD446">
        <f>$C446*AD445</f>
        <v/>
      </c>
      <c r="AE446">
        <f>$C446*AE445</f>
        <v/>
      </c>
      <c r="AF446">
        <f>$C446*AF445</f>
        <v/>
      </c>
      <c r="AG446">
        <f>$C446*AG445</f>
        <v/>
      </c>
      <c r="AH446">
        <f>$C446*AH445</f>
        <v/>
      </c>
      <c r="AI446">
        <f>$C446*AI445</f>
        <v/>
      </c>
      <c r="AJ446">
        <f>$C446*AJ445</f>
        <v/>
      </c>
      <c r="AK446">
        <f>$C446*AK445</f>
        <v/>
      </c>
      <c r="AL446">
        <f>$C446*AL445</f>
        <v/>
      </c>
      <c r="AM446">
        <f>$C446*AM445</f>
        <v/>
      </c>
      <c r="AN446">
        <f>$C446*AN445</f>
        <v/>
      </c>
      <c r="AO446">
        <f>$C446*AO445</f>
        <v/>
      </c>
      <c r="AP446">
        <f>$C446*AP445</f>
        <v/>
      </c>
      <c r="AQ446">
        <f>$C446*AQ445</f>
        <v/>
      </c>
      <c r="AR446">
        <f>$C446*AR445</f>
        <v/>
      </c>
      <c r="AS446">
        <f>$C446*AS445</f>
        <v/>
      </c>
      <c r="AT446">
        <f>$C446*AT445</f>
        <v/>
      </c>
      <c r="AU446">
        <f>$C446*AU445</f>
        <v/>
      </c>
      <c r="AV446">
        <f>$C446*AV445</f>
        <v/>
      </c>
      <c r="AW446">
        <f>$C446*AW445</f>
        <v/>
      </c>
      <c r="AX446">
        <f>$C446*AX445</f>
        <v/>
      </c>
      <c r="AY446">
        <f>$C446*AY445</f>
        <v/>
      </c>
      <c r="AZ446">
        <f>$C446*AZ445</f>
        <v/>
      </c>
      <c r="BA446">
        <f>$C446*BA445</f>
        <v/>
      </c>
      <c r="BB446">
        <f>$C446*BB445</f>
        <v/>
      </c>
      <c r="BC446">
        <f>$C446*BC445</f>
        <v/>
      </c>
      <c r="BD446">
        <f>$C446*BD445</f>
        <v/>
      </c>
      <c r="BE446">
        <f>$C446*BE445</f>
        <v/>
      </c>
      <c r="BF446">
        <f>$C446*BF445</f>
        <v/>
      </c>
      <c r="BG446">
        <f>$C446*BG445</f>
        <v/>
      </c>
      <c r="BH446">
        <f>$C446*BH445</f>
        <v/>
      </c>
      <c r="BI446">
        <f>$C446*BI445</f>
        <v/>
      </c>
      <c r="BJ446">
        <f>$C446*BJ445</f>
        <v/>
      </c>
      <c r="BK446">
        <f>$C446*BK445</f>
        <v/>
      </c>
      <c r="BL446">
        <f>$C446*BL445</f>
        <v/>
      </c>
      <c r="BM446">
        <f>$C446*BM445</f>
        <v/>
      </c>
      <c r="BN446">
        <f>$C446*BN445</f>
        <v/>
      </c>
      <c r="BO446">
        <f>$C446*BO445</f>
        <v/>
      </c>
      <c r="BP446">
        <f>$C446*BP445</f>
        <v/>
      </c>
      <c r="BQ446">
        <f>$C446*BQ445</f>
        <v/>
      </c>
      <c r="BR446">
        <f>$C446*BR445</f>
        <v/>
      </c>
      <c r="BS446">
        <f>$C446*BS445</f>
        <v/>
      </c>
      <c r="BT446">
        <f>$C446*BT445</f>
        <v/>
      </c>
      <c r="BU446">
        <f>$C446*BU445</f>
        <v/>
      </c>
      <c r="BV446">
        <f>$C446*BV445</f>
        <v/>
      </c>
      <c r="BW446">
        <f>$C446*BW445</f>
        <v/>
      </c>
      <c r="BX446">
        <f>$C446*BX445</f>
        <v/>
      </c>
      <c r="BY446">
        <f>$C446*BY445</f>
        <v/>
      </c>
      <c r="BZ446">
        <f>$C446*BZ445</f>
        <v/>
      </c>
      <c r="CA446">
        <f>$C446*CA445</f>
        <v/>
      </c>
      <c r="CB446">
        <f>$C446*CB445</f>
        <v/>
      </c>
      <c r="CC446">
        <f>$C446*CC445</f>
        <v/>
      </c>
      <c r="CD446">
        <f>$C446*CD445</f>
        <v/>
      </c>
      <c r="CE446">
        <f>$C446*CE445</f>
        <v/>
      </c>
      <c r="CF446">
        <f>$C446*CF445</f>
        <v/>
      </c>
      <c r="CG446">
        <f>$C446*CG445</f>
        <v/>
      </c>
      <c r="CH446">
        <f>$C446*CH445</f>
        <v/>
      </c>
      <c r="CI446">
        <f>$C446*CI445</f>
        <v/>
      </c>
      <c r="CJ446">
        <f>$C446*CJ445</f>
        <v/>
      </c>
      <c r="CK446">
        <f>$C446*CK445</f>
        <v/>
      </c>
      <c r="CL446">
        <f>$C446*CL445</f>
        <v/>
      </c>
      <c r="CM446">
        <f>$C446*CM445</f>
        <v/>
      </c>
      <c r="CN446">
        <f>$C446*CN445</f>
        <v/>
      </c>
      <c r="CO446">
        <f>$C446*CO445</f>
        <v/>
      </c>
      <c r="CP446">
        <f>$C446*CP445</f>
        <v/>
      </c>
      <c r="CQ446">
        <f>$C446*CQ445</f>
        <v/>
      </c>
      <c r="CR446">
        <f>$C446*CR445</f>
        <v/>
      </c>
      <c r="CS446">
        <f>$C446*CS445</f>
        <v/>
      </c>
      <c r="CT446">
        <f>$C446*CT445</f>
        <v/>
      </c>
      <c r="CU446">
        <f>$C446*CU445</f>
        <v/>
      </c>
      <c r="CV446">
        <f>$C446*CV445</f>
        <v/>
      </c>
      <c r="CW446">
        <f>$C446*CW445</f>
        <v/>
      </c>
      <c r="CX446">
        <f>$C446*CX445</f>
        <v/>
      </c>
      <c r="CY446">
        <f>$C446*CY445</f>
        <v/>
      </c>
      <c r="CZ446">
        <f>$C446*CZ445</f>
        <v/>
      </c>
      <c r="DA446">
        <f>$C446*DA445</f>
        <v/>
      </c>
      <c r="DB446">
        <f>$C446*DB445</f>
        <v/>
      </c>
      <c r="DC446">
        <f>$C446*DC445</f>
        <v/>
      </c>
    </row>
    <row r="447">
      <c r="B447" t="inlineStr">
        <is>
          <t>TSP-620</t>
        </is>
      </c>
      <c r="C447" t="inlineStr">
        <is>
          <t>No. of batches</t>
        </is>
      </c>
      <c r="D447">
        <f>IFERROR(INDEX(PP_Grid[#Data],$DD447,2),0)</f>
        <v/>
      </c>
      <c r="E447">
        <f>IFERROR(INDEX(PP_Grid[#Data],$DD447,3),0)</f>
        <v/>
      </c>
      <c r="F447">
        <f>IFERROR(INDEX(PP_Grid[#Data],$DD447,4),0)</f>
        <v/>
      </c>
      <c r="G447">
        <f>IFERROR(INDEX(PP_Grid[#Data],$DD447,5),0)</f>
        <v/>
      </c>
      <c r="H447">
        <f>IFERROR(INDEX(PP_Grid[#Data],$DD447,6),0)</f>
        <v/>
      </c>
      <c r="I447">
        <f>IFERROR(INDEX(PP_Grid[#Data],$DD447,7),0)</f>
        <v/>
      </c>
      <c r="J447">
        <f>IFERROR(INDEX(PP_Grid[#Data],$DD447,8),0)</f>
        <v/>
      </c>
      <c r="K447">
        <f>IFERROR(INDEX(PP_Grid[#Data],$DD447,9),0)</f>
        <v/>
      </c>
      <c r="L447">
        <f>IFERROR(INDEX(PP_Grid[#Data],$DD447,10),0)</f>
        <v/>
      </c>
      <c r="M447">
        <f>IFERROR(INDEX(PP_Grid[#Data],$DD447,11),0)</f>
        <v/>
      </c>
      <c r="N447">
        <f>IFERROR(INDEX(PP_Grid[#Data],$DD447,12),0)</f>
        <v/>
      </c>
      <c r="O447">
        <f>IFERROR(INDEX(PP_Grid[#Data],$DD447,13),0)</f>
        <v/>
      </c>
      <c r="P447">
        <f>IFERROR(INDEX(PP_Grid[#Data],$DD447,14),0)</f>
        <v/>
      </c>
      <c r="Q447">
        <f>IFERROR(INDEX(PP_Grid[#Data],$DD447,15),0)</f>
        <v/>
      </c>
      <c r="R447">
        <f>IFERROR(INDEX(PP_Grid[#Data],$DD447,16),0)</f>
        <v/>
      </c>
      <c r="S447">
        <f>IFERROR(INDEX(PP_Grid[#Data],$DD447,17),0)</f>
        <v/>
      </c>
      <c r="T447">
        <f>IFERROR(INDEX(PP_Grid[#Data],$DD447,18),0)</f>
        <v/>
      </c>
      <c r="U447">
        <f>IFERROR(INDEX(PP_Grid[#Data],$DD447,19),0)</f>
        <v/>
      </c>
      <c r="V447">
        <f>IFERROR(INDEX(PP_Grid[#Data],$DD447,20),0)</f>
        <v/>
      </c>
      <c r="W447">
        <f>IFERROR(INDEX(PP_Grid[#Data],$DD447,21),0)</f>
        <v/>
      </c>
      <c r="X447">
        <f>IFERROR(INDEX(PP_Grid[#Data],$DD447,22),0)</f>
        <v/>
      </c>
      <c r="Y447">
        <f>IFERROR(INDEX(PP_Grid[#Data],$DD447,23),0)</f>
        <v/>
      </c>
      <c r="Z447">
        <f>IFERROR(INDEX(PP_Grid[#Data],$DD447,24),0)</f>
        <v/>
      </c>
      <c r="AA447">
        <f>IFERROR(INDEX(PP_Grid[#Data],$DD447,25),0)</f>
        <v/>
      </c>
      <c r="AB447">
        <f>IFERROR(INDEX(PP_Grid[#Data],$DD447,26),0)</f>
        <v/>
      </c>
      <c r="AC447">
        <f>IFERROR(INDEX(PP_Grid[#Data],$DD447,27),0)</f>
        <v/>
      </c>
      <c r="AD447">
        <f>IFERROR(INDEX(PP_Grid[#Data],$DD447,28),0)</f>
        <v/>
      </c>
      <c r="AE447">
        <f>IFERROR(INDEX(PP_Grid[#Data],$DD447,29),0)</f>
        <v/>
      </c>
      <c r="AF447">
        <f>IFERROR(INDEX(PP_Grid[#Data],$DD447,30),0)</f>
        <v/>
      </c>
      <c r="AG447">
        <f>IFERROR(INDEX(PP_Grid[#Data],$DD447,31),0)</f>
        <v/>
      </c>
      <c r="AH447">
        <f>IFERROR(INDEX(PP_Grid[#Data],$DD447,32),0)</f>
        <v/>
      </c>
      <c r="AI447">
        <f>IFERROR(INDEX(PP_Grid[#Data],$DD447,33),0)</f>
        <v/>
      </c>
      <c r="AJ447">
        <f>IFERROR(INDEX(PP_Grid[#Data],$DD447,34),0)</f>
        <v/>
      </c>
      <c r="AK447">
        <f>IFERROR(INDEX(PP_Grid[#Data],$DD447,35),0)</f>
        <v/>
      </c>
      <c r="AL447">
        <f>IFERROR(INDEX(PP_Grid[#Data],$DD447,36),0)</f>
        <v/>
      </c>
      <c r="AM447">
        <f>IFERROR(INDEX(PP_Grid[#Data],$DD447,37),0)</f>
        <v/>
      </c>
      <c r="AN447">
        <f>IFERROR(INDEX(PP_Grid[#Data],$DD447,38),0)</f>
        <v/>
      </c>
      <c r="AO447">
        <f>IFERROR(INDEX(PP_Grid[#Data],$DD447,39),0)</f>
        <v/>
      </c>
      <c r="AP447">
        <f>IFERROR(INDEX(PP_Grid[#Data],$DD447,40),0)</f>
        <v/>
      </c>
      <c r="AQ447">
        <f>IFERROR(INDEX(PP_Grid[#Data],$DD447,41),0)</f>
        <v/>
      </c>
      <c r="AR447">
        <f>IFERROR(INDEX(PP_Grid[#Data],$DD447,42),0)</f>
        <v/>
      </c>
      <c r="AS447">
        <f>IFERROR(INDEX(PP_Grid[#Data],$DD447,43),0)</f>
        <v/>
      </c>
      <c r="AT447">
        <f>IFERROR(INDEX(PP_Grid[#Data],$DD447,44),0)</f>
        <v/>
      </c>
      <c r="AU447">
        <f>IFERROR(INDEX(PP_Grid[#Data],$DD447,45),0)</f>
        <v/>
      </c>
      <c r="AV447">
        <f>IFERROR(INDEX(PP_Grid[#Data],$DD447,46),0)</f>
        <v/>
      </c>
      <c r="AW447">
        <f>IFERROR(INDEX(PP_Grid[#Data],$DD447,47),0)</f>
        <v/>
      </c>
      <c r="AX447">
        <f>IFERROR(INDEX(PP_Grid[#Data],$DD447,48),0)</f>
        <v/>
      </c>
      <c r="AY447">
        <f>IFERROR(INDEX(PP_Grid[#Data],$DD447,49),0)</f>
        <v/>
      </c>
      <c r="AZ447">
        <f>IFERROR(INDEX(PP_Grid[#Data],$DD447,50),0)</f>
        <v/>
      </c>
      <c r="BA447">
        <f>IFERROR(INDEX(PP_Grid[#Data],$DD447,51),0)</f>
        <v/>
      </c>
      <c r="BB447">
        <f>IFERROR(INDEX(PP_Grid[#Data],$DD447,52),0)</f>
        <v/>
      </c>
      <c r="BC447">
        <f>IFERROR(INDEX(PP_Grid[#Data],$DD447,53),0)</f>
        <v/>
      </c>
      <c r="BD447">
        <f>IFERROR(INDEX(PP_Grid[#Data],$DD447,54),0)</f>
        <v/>
      </c>
      <c r="BE447">
        <f>IFERROR(INDEX(PP_Grid[#Data],$DD447,55),0)</f>
        <v/>
      </c>
      <c r="BF447">
        <f>IFERROR(INDEX(PP_Grid[#Data],$DD447,56),0)</f>
        <v/>
      </c>
      <c r="BG447">
        <f>IFERROR(INDEX(PP_Grid[#Data],$DD447,57),0)</f>
        <v/>
      </c>
      <c r="BH447">
        <f>IFERROR(INDEX(PP_Grid[#Data],$DD447,58),0)</f>
        <v/>
      </c>
      <c r="BI447">
        <f>IFERROR(INDEX(PP_Grid[#Data],$DD447,59),0)</f>
        <v/>
      </c>
      <c r="BJ447">
        <f>IFERROR(INDEX(PP_Grid[#Data],$DD447,60),0)</f>
        <v/>
      </c>
      <c r="BK447">
        <f>IFERROR(INDEX(PP_Grid[#Data],$DD447,61),0)</f>
        <v/>
      </c>
      <c r="BL447">
        <f>IFERROR(INDEX(PP_Grid[#Data],$DD447,62),0)</f>
        <v/>
      </c>
      <c r="BM447">
        <f>IFERROR(INDEX(PP_Grid[#Data],$DD447,63),0)</f>
        <v/>
      </c>
      <c r="BN447">
        <f>IFERROR(INDEX(PP_Grid[#Data],$DD447,64),0)</f>
        <v/>
      </c>
      <c r="BO447">
        <f>IFERROR(INDEX(PP_Grid[#Data],$DD447,65),0)</f>
        <v/>
      </c>
      <c r="BP447">
        <f>IFERROR(INDEX(PP_Grid[#Data],$DD447,66),0)</f>
        <v/>
      </c>
      <c r="BQ447">
        <f>IFERROR(INDEX(PP_Grid[#Data],$DD447,67),0)</f>
        <v/>
      </c>
      <c r="BR447">
        <f>IFERROR(INDEX(PP_Grid[#Data],$DD447,68),0)</f>
        <v/>
      </c>
      <c r="BS447">
        <f>IFERROR(INDEX(PP_Grid[#Data],$DD447,69),0)</f>
        <v/>
      </c>
      <c r="BT447">
        <f>IFERROR(INDEX(PP_Grid[#Data],$DD447,70),0)</f>
        <v/>
      </c>
      <c r="BU447">
        <f>IFERROR(INDEX(PP_Grid[#Data],$DD447,71),0)</f>
        <v/>
      </c>
      <c r="BV447">
        <f>IFERROR(INDEX(PP_Grid[#Data],$DD447,72),0)</f>
        <v/>
      </c>
      <c r="BW447">
        <f>IFERROR(INDEX(PP_Grid[#Data],$DD447,73),0)</f>
        <v/>
      </c>
      <c r="BX447">
        <f>IFERROR(INDEX(PP_Grid[#Data],$DD447,74),0)</f>
        <v/>
      </c>
      <c r="BY447">
        <f>IFERROR(INDEX(PP_Grid[#Data],$DD447,75),0)</f>
        <v/>
      </c>
      <c r="BZ447">
        <f>IFERROR(INDEX(PP_Grid[#Data],$DD447,76),0)</f>
        <v/>
      </c>
      <c r="CA447">
        <f>IFERROR(INDEX(PP_Grid[#Data],$DD447,77),0)</f>
        <v/>
      </c>
      <c r="CB447">
        <f>IFERROR(INDEX(PP_Grid[#Data],$DD447,78),0)</f>
        <v/>
      </c>
      <c r="CC447">
        <f>IFERROR(INDEX(PP_Grid[#Data],$DD447,79),0)</f>
        <v/>
      </c>
      <c r="CD447">
        <f>IFERROR(INDEX(PP_Grid[#Data],$DD447,80),0)</f>
        <v/>
      </c>
      <c r="CE447">
        <f>IFERROR(INDEX(PP_Grid[#Data],$DD447,81),0)</f>
        <v/>
      </c>
      <c r="CF447">
        <f>IFERROR(INDEX(PP_Grid[#Data],$DD447,82),0)</f>
        <v/>
      </c>
      <c r="CG447">
        <f>IFERROR(INDEX(PP_Grid[#Data],$DD447,83),0)</f>
        <v/>
      </c>
      <c r="CH447">
        <f>IFERROR(INDEX(PP_Grid[#Data],$DD447,84),0)</f>
        <v/>
      </c>
      <c r="CI447">
        <f>IFERROR(INDEX(PP_Grid[#Data],$DD447,85),0)</f>
        <v/>
      </c>
      <c r="CJ447">
        <f>IFERROR(INDEX(PP_Grid[#Data],$DD447,86),0)</f>
        <v/>
      </c>
      <c r="CK447">
        <f>IFERROR(INDEX(PP_Grid[#Data],$DD447,87),0)</f>
        <v/>
      </c>
      <c r="CL447">
        <f>IFERROR(INDEX(PP_Grid[#Data],$DD447,88),0)</f>
        <v/>
      </c>
      <c r="CM447">
        <f>IFERROR(INDEX(PP_Grid[#Data],$DD447,89),0)</f>
        <v/>
      </c>
      <c r="CN447">
        <f>IFERROR(INDEX(PP_Grid[#Data],$DD447,90),0)</f>
        <v/>
      </c>
      <c r="CO447">
        <f>IFERROR(INDEX(PP_Grid[#Data],$DD447,91),0)</f>
        <v/>
      </c>
      <c r="CP447">
        <f>IFERROR(INDEX(PP_Grid[#Data],$DD447,92),0)</f>
        <v/>
      </c>
      <c r="CQ447">
        <f>IFERROR(INDEX(PP_Grid[#Data],$DD447,93),0)</f>
        <v/>
      </c>
      <c r="CR447">
        <f>IFERROR(INDEX(PP_Grid[#Data],$DD447,94),0)</f>
        <v/>
      </c>
      <c r="CS447">
        <f>IFERROR(INDEX(PP_Grid[#Data],$DD447,95),0)</f>
        <v/>
      </c>
      <c r="CT447">
        <f>IFERROR(INDEX(PP_Grid[#Data],$DD447,96),0)</f>
        <v/>
      </c>
      <c r="CU447">
        <f>IFERROR(INDEX(PP_Grid[#Data],$DD447,97),0)</f>
        <v/>
      </c>
      <c r="CV447">
        <f>IFERROR(INDEX(PP_Grid[#Data],$DD447,98),0)</f>
        <v/>
      </c>
      <c r="CW447">
        <f>IFERROR(INDEX(PP_Grid[#Data],$DD447,99),0)</f>
        <v/>
      </c>
      <c r="CX447">
        <f>IFERROR(INDEX(PP_Grid[#Data],$DD447,100),0)</f>
        <v/>
      </c>
      <c r="CY447">
        <f>IFERROR(INDEX(PP_Grid[#Data],$DD447,101),0)</f>
        <v/>
      </c>
      <c r="CZ447">
        <f>IFERROR(INDEX(PP_Grid[#Data],$DD447,102),0)</f>
        <v/>
      </c>
      <c r="DA447">
        <f>IFERROR(INDEX(PP_Grid[#Data],$DD447,103),0)</f>
        <v/>
      </c>
      <c r="DB447">
        <f>IFERROR(INDEX(PP_Grid[#Data],$DD447,104),0)</f>
        <v/>
      </c>
      <c r="DC447">
        <f>IFERROR(INDEX(PP_Grid[#Data],$DD447,105),0)</f>
        <v/>
      </c>
      <c r="DD447" s="12">
        <f>IFERROR(MATCH($B447,PP_Grid[Intermediate],0),99999)</f>
        <v/>
      </c>
    </row>
    <row r="448">
      <c r="B448" t="inlineStr">
        <is>
          <t>使用量(kg)</t>
        </is>
      </c>
      <c r="C448">
        <f>SUMIFS(M_BOM[RM_Qty_Per_Batch],M_BOM[Intermediate],$B447,M_BOM[Part Name],$A406)</f>
        <v/>
      </c>
      <c r="D448">
        <f>$C448*D447</f>
        <v/>
      </c>
      <c r="E448">
        <f>$C448*E447</f>
        <v/>
      </c>
      <c r="F448">
        <f>$C448*F447</f>
        <v/>
      </c>
      <c r="G448">
        <f>$C448*G447</f>
        <v/>
      </c>
      <c r="H448">
        <f>$C448*H447</f>
        <v/>
      </c>
      <c r="I448">
        <f>$C448*I447</f>
        <v/>
      </c>
      <c r="J448">
        <f>$C448*J447</f>
        <v/>
      </c>
      <c r="K448">
        <f>$C448*K447</f>
        <v/>
      </c>
      <c r="L448">
        <f>$C448*L447</f>
        <v/>
      </c>
      <c r="M448">
        <f>$C448*M447</f>
        <v/>
      </c>
      <c r="N448">
        <f>$C448*N447</f>
        <v/>
      </c>
      <c r="O448">
        <f>$C448*O447</f>
        <v/>
      </c>
      <c r="P448">
        <f>$C448*P447</f>
        <v/>
      </c>
      <c r="Q448">
        <f>$C448*Q447</f>
        <v/>
      </c>
      <c r="R448">
        <f>$C448*R447</f>
        <v/>
      </c>
      <c r="S448">
        <f>$C448*S447</f>
        <v/>
      </c>
      <c r="T448">
        <f>$C448*T447</f>
        <v/>
      </c>
      <c r="U448">
        <f>$C448*U447</f>
        <v/>
      </c>
      <c r="V448">
        <f>$C448*V447</f>
        <v/>
      </c>
      <c r="W448">
        <f>$C448*W447</f>
        <v/>
      </c>
      <c r="X448">
        <f>$C448*X447</f>
        <v/>
      </c>
      <c r="Y448">
        <f>$C448*Y447</f>
        <v/>
      </c>
      <c r="Z448">
        <f>$C448*Z447</f>
        <v/>
      </c>
      <c r="AA448">
        <f>$C448*AA447</f>
        <v/>
      </c>
      <c r="AB448">
        <f>$C448*AB447</f>
        <v/>
      </c>
      <c r="AC448">
        <f>$C448*AC447</f>
        <v/>
      </c>
      <c r="AD448">
        <f>$C448*AD447</f>
        <v/>
      </c>
      <c r="AE448">
        <f>$C448*AE447</f>
        <v/>
      </c>
      <c r="AF448">
        <f>$C448*AF447</f>
        <v/>
      </c>
      <c r="AG448">
        <f>$C448*AG447</f>
        <v/>
      </c>
      <c r="AH448">
        <f>$C448*AH447</f>
        <v/>
      </c>
      <c r="AI448">
        <f>$C448*AI447</f>
        <v/>
      </c>
      <c r="AJ448">
        <f>$C448*AJ447</f>
        <v/>
      </c>
      <c r="AK448">
        <f>$C448*AK447</f>
        <v/>
      </c>
      <c r="AL448">
        <f>$C448*AL447</f>
        <v/>
      </c>
      <c r="AM448">
        <f>$C448*AM447</f>
        <v/>
      </c>
      <c r="AN448">
        <f>$C448*AN447</f>
        <v/>
      </c>
      <c r="AO448">
        <f>$C448*AO447</f>
        <v/>
      </c>
      <c r="AP448">
        <f>$C448*AP447</f>
        <v/>
      </c>
      <c r="AQ448">
        <f>$C448*AQ447</f>
        <v/>
      </c>
      <c r="AR448">
        <f>$C448*AR447</f>
        <v/>
      </c>
      <c r="AS448">
        <f>$C448*AS447</f>
        <v/>
      </c>
      <c r="AT448">
        <f>$C448*AT447</f>
        <v/>
      </c>
      <c r="AU448">
        <f>$C448*AU447</f>
        <v/>
      </c>
      <c r="AV448">
        <f>$C448*AV447</f>
        <v/>
      </c>
      <c r="AW448">
        <f>$C448*AW447</f>
        <v/>
      </c>
      <c r="AX448">
        <f>$C448*AX447</f>
        <v/>
      </c>
      <c r="AY448">
        <f>$C448*AY447</f>
        <v/>
      </c>
      <c r="AZ448">
        <f>$C448*AZ447</f>
        <v/>
      </c>
      <c r="BA448">
        <f>$C448*BA447</f>
        <v/>
      </c>
      <c r="BB448">
        <f>$C448*BB447</f>
        <v/>
      </c>
      <c r="BC448">
        <f>$C448*BC447</f>
        <v/>
      </c>
      <c r="BD448">
        <f>$C448*BD447</f>
        <v/>
      </c>
      <c r="BE448">
        <f>$C448*BE447</f>
        <v/>
      </c>
      <c r="BF448">
        <f>$C448*BF447</f>
        <v/>
      </c>
      <c r="BG448">
        <f>$C448*BG447</f>
        <v/>
      </c>
      <c r="BH448">
        <f>$C448*BH447</f>
        <v/>
      </c>
      <c r="BI448">
        <f>$C448*BI447</f>
        <v/>
      </c>
      <c r="BJ448">
        <f>$C448*BJ447</f>
        <v/>
      </c>
      <c r="BK448">
        <f>$C448*BK447</f>
        <v/>
      </c>
      <c r="BL448">
        <f>$C448*BL447</f>
        <v/>
      </c>
      <c r="BM448">
        <f>$C448*BM447</f>
        <v/>
      </c>
      <c r="BN448">
        <f>$C448*BN447</f>
        <v/>
      </c>
      <c r="BO448">
        <f>$C448*BO447</f>
        <v/>
      </c>
      <c r="BP448">
        <f>$C448*BP447</f>
        <v/>
      </c>
      <c r="BQ448">
        <f>$C448*BQ447</f>
        <v/>
      </c>
      <c r="BR448">
        <f>$C448*BR447</f>
        <v/>
      </c>
      <c r="BS448">
        <f>$C448*BS447</f>
        <v/>
      </c>
      <c r="BT448">
        <f>$C448*BT447</f>
        <v/>
      </c>
      <c r="BU448">
        <f>$C448*BU447</f>
        <v/>
      </c>
      <c r="BV448">
        <f>$C448*BV447</f>
        <v/>
      </c>
      <c r="BW448">
        <f>$C448*BW447</f>
        <v/>
      </c>
      <c r="BX448">
        <f>$C448*BX447</f>
        <v/>
      </c>
      <c r="BY448">
        <f>$C448*BY447</f>
        <v/>
      </c>
      <c r="BZ448">
        <f>$C448*BZ447</f>
        <v/>
      </c>
      <c r="CA448">
        <f>$C448*CA447</f>
        <v/>
      </c>
      <c r="CB448">
        <f>$C448*CB447</f>
        <v/>
      </c>
      <c r="CC448">
        <f>$C448*CC447</f>
        <v/>
      </c>
      <c r="CD448">
        <f>$C448*CD447</f>
        <v/>
      </c>
      <c r="CE448">
        <f>$C448*CE447</f>
        <v/>
      </c>
      <c r="CF448">
        <f>$C448*CF447</f>
        <v/>
      </c>
      <c r="CG448">
        <f>$C448*CG447</f>
        <v/>
      </c>
      <c r="CH448">
        <f>$C448*CH447</f>
        <v/>
      </c>
      <c r="CI448">
        <f>$C448*CI447</f>
        <v/>
      </c>
      <c r="CJ448">
        <f>$C448*CJ447</f>
        <v/>
      </c>
      <c r="CK448">
        <f>$C448*CK447</f>
        <v/>
      </c>
      <c r="CL448">
        <f>$C448*CL447</f>
        <v/>
      </c>
      <c r="CM448">
        <f>$C448*CM447</f>
        <v/>
      </c>
      <c r="CN448">
        <f>$C448*CN447</f>
        <v/>
      </c>
      <c r="CO448">
        <f>$C448*CO447</f>
        <v/>
      </c>
      <c r="CP448">
        <f>$C448*CP447</f>
        <v/>
      </c>
      <c r="CQ448">
        <f>$C448*CQ447</f>
        <v/>
      </c>
      <c r="CR448">
        <f>$C448*CR447</f>
        <v/>
      </c>
      <c r="CS448">
        <f>$C448*CS447</f>
        <v/>
      </c>
      <c r="CT448">
        <f>$C448*CT447</f>
        <v/>
      </c>
      <c r="CU448">
        <f>$C448*CU447</f>
        <v/>
      </c>
      <c r="CV448">
        <f>$C448*CV447</f>
        <v/>
      </c>
      <c r="CW448">
        <f>$C448*CW447</f>
        <v/>
      </c>
      <c r="CX448">
        <f>$C448*CX447</f>
        <v/>
      </c>
      <c r="CY448">
        <f>$C448*CY447</f>
        <v/>
      </c>
      <c r="CZ448">
        <f>$C448*CZ447</f>
        <v/>
      </c>
      <c r="DA448">
        <f>$C448*DA447</f>
        <v/>
      </c>
      <c r="DB448">
        <f>$C448*DB447</f>
        <v/>
      </c>
      <c r="DC448">
        <f>$C448*DC447</f>
        <v/>
      </c>
    </row>
    <row r="449">
      <c r="B449" t="inlineStr">
        <is>
          <t>TSP-623</t>
        </is>
      </c>
      <c r="C449" t="inlineStr">
        <is>
          <t>No. of batches</t>
        </is>
      </c>
      <c r="D449">
        <f>IFERROR(INDEX(PP_Grid[#Data],$DD449,2),0)</f>
        <v/>
      </c>
      <c r="E449">
        <f>IFERROR(INDEX(PP_Grid[#Data],$DD449,3),0)</f>
        <v/>
      </c>
      <c r="F449">
        <f>IFERROR(INDEX(PP_Grid[#Data],$DD449,4),0)</f>
        <v/>
      </c>
      <c r="G449">
        <f>IFERROR(INDEX(PP_Grid[#Data],$DD449,5),0)</f>
        <v/>
      </c>
      <c r="H449">
        <f>IFERROR(INDEX(PP_Grid[#Data],$DD449,6),0)</f>
        <v/>
      </c>
      <c r="I449">
        <f>IFERROR(INDEX(PP_Grid[#Data],$DD449,7),0)</f>
        <v/>
      </c>
      <c r="J449">
        <f>IFERROR(INDEX(PP_Grid[#Data],$DD449,8),0)</f>
        <v/>
      </c>
      <c r="K449">
        <f>IFERROR(INDEX(PP_Grid[#Data],$DD449,9),0)</f>
        <v/>
      </c>
      <c r="L449">
        <f>IFERROR(INDEX(PP_Grid[#Data],$DD449,10),0)</f>
        <v/>
      </c>
      <c r="M449">
        <f>IFERROR(INDEX(PP_Grid[#Data],$DD449,11),0)</f>
        <v/>
      </c>
      <c r="N449">
        <f>IFERROR(INDEX(PP_Grid[#Data],$DD449,12),0)</f>
        <v/>
      </c>
      <c r="O449">
        <f>IFERROR(INDEX(PP_Grid[#Data],$DD449,13),0)</f>
        <v/>
      </c>
      <c r="P449">
        <f>IFERROR(INDEX(PP_Grid[#Data],$DD449,14),0)</f>
        <v/>
      </c>
      <c r="Q449">
        <f>IFERROR(INDEX(PP_Grid[#Data],$DD449,15),0)</f>
        <v/>
      </c>
      <c r="R449">
        <f>IFERROR(INDEX(PP_Grid[#Data],$DD449,16),0)</f>
        <v/>
      </c>
      <c r="S449">
        <f>IFERROR(INDEX(PP_Grid[#Data],$DD449,17),0)</f>
        <v/>
      </c>
      <c r="T449">
        <f>IFERROR(INDEX(PP_Grid[#Data],$DD449,18),0)</f>
        <v/>
      </c>
      <c r="U449">
        <f>IFERROR(INDEX(PP_Grid[#Data],$DD449,19),0)</f>
        <v/>
      </c>
      <c r="V449">
        <f>IFERROR(INDEX(PP_Grid[#Data],$DD449,20),0)</f>
        <v/>
      </c>
      <c r="W449">
        <f>IFERROR(INDEX(PP_Grid[#Data],$DD449,21),0)</f>
        <v/>
      </c>
      <c r="X449">
        <f>IFERROR(INDEX(PP_Grid[#Data],$DD449,22),0)</f>
        <v/>
      </c>
      <c r="Y449">
        <f>IFERROR(INDEX(PP_Grid[#Data],$DD449,23),0)</f>
        <v/>
      </c>
      <c r="Z449">
        <f>IFERROR(INDEX(PP_Grid[#Data],$DD449,24),0)</f>
        <v/>
      </c>
      <c r="AA449">
        <f>IFERROR(INDEX(PP_Grid[#Data],$DD449,25),0)</f>
        <v/>
      </c>
      <c r="AB449">
        <f>IFERROR(INDEX(PP_Grid[#Data],$DD449,26),0)</f>
        <v/>
      </c>
      <c r="AC449">
        <f>IFERROR(INDEX(PP_Grid[#Data],$DD449,27),0)</f>
        <v/>
      </c>
      <c r="AD449">
        <f>IFERROR(INDEX(PP_Grid[#Data],$DD449,28),0)</f>
        <v/>
      </c>
      <c r="AE449">
        <f>IFERROR(INDEX(PP_Grid[#Data],$DD449,29),0)</f>
        <v/>
      </c>
      <c r="AF449">
        <f>IFERROR(INDEX(PP_Grid[#Data],$DD449,30),0)</f>
        <v/>
      </c>
      <c r="AG449">
        <f>IFERROR(INDEX(PP_Grid[#Data],$DD449,31),0)</f>
        <v/>
      </c>
      <c r="AH449">
        <f>IFERROR(INDEX(PP_Grid[#Data],$DD449,32),0)</f>
        <v/>
      </c>
      <c r="AI449">
        <f>IFERROR(INDEX(PP_Grid[#Data],$DD449,33),0)</f>
        <v/>
      </c>
      <c r="AJ449">
        <f>IFERROR(INDEX(PP_Grid[#Data],$DD449,34),0)</f>
        <v/>
      </c>
      <c r="AK449">
        <f>IFERROR(INDEX(PP_Grid[#Data],$DD449,35),0)</f>
        <v/>
      </c>
      <c r="AL449">
        <f>IFERROR(INDEX(PP_Grid[#Data],$DD449,36),0)</f>
        <v/>
      </c>
      <c r="AM449">
        <f>IFERROR(INDEX(PP_Grid[#Data],$DD449,37),0)</f>
        <v/>
      </c>
      <c r="AN449">
        <f>IFERROR(INDEX(PP_Grid[#Data],$DD449,38),0)</f>
        <v/>
      </c>
      <c r="AO449">
        <f>IFERROR(INDEX(PP_Grid[#Data],$DD449,39),0)</f>
        <v/>
      </c>
      <c r="AP449">
        <f>IFERROR(INDEX(PP_Grid[#Data],$DD449,40),0)</f>
        <v/>
      </c>
      <c r="AQ449">
        <f>IFERROR(INDEX(PP_Grid[#Data],$DD449,41),0)</f>
        <v/>
      </c>
      <c r="AR449">
        <f>IFERROR(INDEX(PP_Grid[#Data],$DD449,42),0)</f>
        <v/>
      </c>
      <c r="AS449">
        <f>IFERROR(INDEX(PP_Grid[#Data],$DD449,43),0)</f>
        <v/>
      </c>
      <c r="AT449">
        <f>IFERROR(INDEX(PP_Grid[#Data],$DD449,44),0)</f>
        <v/>
      </c>
      <c r="AU449">
        <f>IFERROR(INDEX(PP_Grid[#Data],$DD449,45),0)</f>
        <v/>
      </c>
      <c r="AV449">
        <f>IFERROR(INDEX(PP_Grid[#Data],$DD449,46),0)</f>
        <v/>
      </c>
      <c r="AW449">
        <f>IFERROR(INDEX(PP_Grid[#Data],$DD449,47),0)</f>
        <v/>
      </c>
      <c r="AX449">
        <f>IFERROR(INDEX(PP_Grid[#Data],$DD449,48),0)</f>
        <v/>
      </c>
      <c r="AY449">
        <f>IFERROR(INDEX(PP_Grid[#Data],$DD449,49),0)</f>
        <v/>
      </c>
      <c r="AZ449">
        <f>IFERROR(INDEX(PP_Grid[#Data],$DD449,50),0)</f>
        <v/>
      </c>
      <c r="BA449">
        <f>IFERROR(INDEX(PP_Grid[#Data],$DD449,51),0)</f>
        <v/>
      </c>
      <c r="BB449">
        <f>IFERROR(INDEX(PP_Grid[#Data],$DD449,52),0)</f>
        <v/>
      </c>
      <c r="BC449">
        <f>IFERROR(INDEX(PP_Grid[#Data],$DD449,53),0)</f>
        <v/>
      </c>
      <c r="BD449">
        <f>IFERROR(INDEX(PP_Grid[#Data],$DD449,54),0)</f>
        <v/>
      </c>
      <c r="BE449">
        <f>IFERROR(INDEX(PP_Grid[#Data],$DD449,55),0)</f>
        <v/>
      </c>
      <c r="BF449">
        <f>IFERROR(INDEX(PP_Grid[#Data],$DD449,56),0)</f>
        <v/>
      </c>
      <c r="BG449">
        <f>IFERROR(INDEX(PP_Grid[#Data],$DD449,57),0)</f>
        <v/>
      </c>
      <c r="BH449">
        <f>IFERROR(INDEX(PP_Grid[#Data],$DD449,58),0)</f>
        <v/>
      </c>
      <c r="BI449">
        <f>IFERROR(INDEX(PP_Grid[#Data],$DD449,59),0)</f>
        <v/>
      </c>
      <c r="BJ449">
        <f>IFERROR(INDEX(PP_Grid[#Data],$DD449,60),0)</f>
        <v/>
      </c>
      <c r="BK449">
        <f>IFERROR(INDEX(PP_Grid[#Data],$DD449,61),0)</f>
        <v/>
      </c>
      <c r="BL449">
        <f>IFERROR(INDEX(PP_Grid[#Data],$DD449,62),0)</f>
        <v/>
      </c>
      <c r="BM449">
        <f>IFERROR(INDEX(PP_Grid[#Data],$DD449,63),0)</f>
        <v/>
      </c>
      <c r="BN449">
        <f>IFERROR(INDEX(PP_Grid[#Data],$DD449,64),0)</f>
        <v/>
      </c>
      <c r="BO449">
        <f>IFERROR(INDEX(PP_Grid[#Data],$DD449,65),0)</f>
        <v/>
      </c>
      <c r="BP449">
        <f>IFERROR(INDEX(PP_Grid[#Data],$DD449,66),0)</f>
        <v/>
      </c>
      <c r="BQ449">
        <f>IFERROR(INDEX(PP_Grid[#Data],$DD449,67),0)</f>
        <v/>
      </c>
      <c r="BR449">
        <f>IFERROR(INDEX(PP_Grid[#Data],$DD449,68),0)</f>
        <v/>
      </c>
      <c r="BS449">
        <f>IFERROR(INDEX(PP_Grid[#Data],$DD449,69),0)</f>
        <v/>
      </c>
      <c r="BT449">
        <f>IFERROR(INDEX(PP_Grid[#Data],$DD449,70),0)</f>
        <v/>
      </c>
      <c r="BU449">
        <f>IFERROR(INDEX(PP_Grid[#Data],$DD449,71),0)</f>
        <v/>
      </c>
      <c r="BV449">
        <f>IFERROR(INDEX(PP_Grid[#Data],$DD449,72),0)</f>
        <v/>
      </c>
      <c r="BW449">
        <f>IFERROR(INDEX(PP_Grid[#Data],$DD449,73),0)</f>
        <v/>
      </c>
      <c r="BX449">
        <f>IFERROR(INDEX(PP_Grid[#Data],$DD449,74),0)</f>
        <v/>
      </c>
      <c r="BY449">
        <f>IFERROR(INDEX(PP_Grid[#Data],$DD449,75),0)</f>
        <v/>
      </c>
      <c r="BZ449">
        <f>IFERROR(INDEX(PP_Grid[#Data],$DD449,76),0)</f>
        <v/>
      </c>
      <c r="CA449">
        <f>IFERROR(INDEX(PP_Grid[#Data],$DD449,77),0)</f>
        <v/>
      </c>
      <c r="CB449">
        <f>IFERROR(INDEX(PP_Grid[#Data],$DD449,78),0)</f>
        <v/>
      </c>
      <c r="CC449">
        <f>IFERROR(INDEX(PP_Grid[#Data],$DD449,79),0)</f>
        <v/>
      </c>
      <c r="CD449">
        <f>IFERROR(INDEX(PP_Grid[#Data],$DD449,80),0)</f>
        <v/>
      </c>
      <c r="CE449">
        <f>IFERROR(INDEX(PP_Grid[#Data],$DD449,81),0)</f>
        <v/>
      </c>
      <c r="CF449">
        <f>IFERROR(INDEX(PP_Grid[#Data],$DD449,82),0)</f>
        <v/>
      </c>
      <c r="CG449">
        <f>IFERROR(INDEX(PP_Grid[#Data],$DD449,83),0)</f>
        <v/>
      </c>
      <c r="CH449">
        <f>IFERROR(INDEX(PP_Grid[#Data],$DD449,84),0)</f>
        <v/>
      </c>
      <c r="CI449">
        <f>IFERROR(INDEX(PP_Grid[#Data],$DD449,85),0)</f>
        <v/>
      </c>
      <c r="CJ449">
        <f>IFERROR(INDEX(PP_Grid[#Data],$DD449,86),0)</f>
        <v/>
      </c>
      <c r="CK449">
        <f>IFERROR(INDEX(PP_Grid[#Data],$DD449,87),0)</f>
        <v/>
      </c>
      <c r="CL449">
        <f>IFERROR(INDEX(PP_Grid[#Data],$DD449,88),0)</f>
        <v/>
      </c>
      <c r="CM449">
        <f>IFERROR(INDEX(PP_Grid[#Data],$DD449,89),0)</f>
        <v/>
      </c>
      <c r="CN449">
        <f>IFERROR(INDEX(PP_Grid[#Data],$DD449,90),0)</f>
        <v/>
      </c>
      <c r="CO449">
        <f>IFERROR(INDEX(PP_Grid[#Data],$DD449,91),0)</f>
        <v/>
      </c>
      <c r="CP449">
        <f>IFERROR(INDEX(PP_Grid[#Data],$DD449,92),0)</f>
        <v/>
      </c>
      <c r="CQ449">
        <f>IFERROR(INDEX(PP_Grid[#Data],$DD449,93),0)</f>
        <v/>
      </c>
      <c r="CR449">
        <f>IFERROR(INDEX(PP_Grid[#Data],$DD449,94),0)</f>
        <v/>
      </c>
      <c r="CS449">
        <f>IFERROR(INDEX(PP_Grid[#Data],$DD449,95),0)</f>
        <v/>
      </c>
      <c r="CT449">
        <f>IFERROR(INDEX(PP_Grid[#Data],$DD449,96),0)</f>
        <v/>
      </c>
      <c r="CU449">
        <f>IFERROR(INDEX(PP_Grid[#Data],$DD449,97),0)</f>
        <v/>
      </c>
      <c r="CV449">
        <f>IFERROR(INDEX(PP_Grid[#Data],$DD449,98),0)</f>
        <v/>
      </c>
      <c r="CW449">
        <f>IFERROR(INDEX(PP_Grid[#Data],$DD449,99),0)</f>
        <v/>
      </c>
      <c r="CX449">
        <f>IFERROR(INDEX(PP_Grid[#Data],$DD449,100),0)</f>
        <v/>
      </c>
      <c r="CY449">
        <f>IFERROR(INDEX(PP_Grid[#Data],$DD449,101),0)</f>
        <v/>
      </c>
      <c r="CZ449">
        <f>IFERROR(INDEX(PP_Grid[#Data],$DD449,102),0)</f>
        <v/>
      </c>
      <c r="DA449">
        <f>IFERROR(INDEX(PP_Grid[#Data],$DD449,103),0)</f>
        <v/>
      </c>
      <c r="DB449">
        <f>IFERROR(INDEX(PP_Grid[#Data],$DD449,104),0)</f>
        <v/>
      </c>
      <c r="DC449">
        <f>IFERROR(INDEX(PP_Grid[#Data],$DD449,105),0)</f>
        <v/>
      </c>
      <c r="DD449" s="12">
        <f>IFERROR(MATCH($B449,PP_Grid[Intermediate],0),99999)</f>
        <v/>
      </c>
    </row>
    <row r="450">
      <c r="B450" t="inlineStr">
        <is>
          <t>使用量(kg)</t>
        </is>
      </c>
      <c r="C450">
        <f>SUMIFS(M_BOM[RM_Qty_Per_Batch],M_BOM[Intermediate],$B449,M_BOM[Part Name],$A406)</f>
        <v/>
      </c>
      <c r="D450">
        <f>$C450*D449</f>
        <v/>
      </c>
      <c r="E450">
        <f>$C450*E449</f>
        <v/>
      </c>
      <c r="F450">
        <f>$C450*F449</f>
        <v/>
      </c>
      <c r="G450">
        <f>$C450*G449</f>
        <v/>
      </c>
      <c r="H450">
        <f>$C450*H449</f>
        <v/>
      </c>
      <c r="I450">
        <f>$C450*I449</f>
        <v/>
      </c>
      <c r="J450">
        <f>$C450*J449</f>
        <v/>
      </c>
      <c r="K450">
        <f>$C450*K449</f>
        <v/>
      </c>
      <c r="L450">
        <f>$C450*L449</f>
        <v/>
      </c>
      <c r="M450">
        <f>$C450*M449</f>
        <v/>
      </c>
      <c r="N450">
        <f>$C450*N449</f>
        <v/>
      </c>
      <c r="O450">
        <f>$C450*O449</f>
        <v/>
      </c>
      <c r="P450">
        <f>$C450*P449</f>
        <v/>
      </c>
      <c r="Q450">
        <f>$C450*Q449</f>
        <v/>
      </c>
      <c r="R450">
        <f>$C450*R449</f>
        <v/>
      </c>
      <c r="S450">
        <f>$C450*S449</f>
        <v/>
      </c>
      <c r="T450">
        <f>$C450*T449</f>
        <v/>
      </c>
      <c r="U450">
        <f>$C450*U449</f>
        <v/>
      </c>
      <c r="V450">
        <f>$C450*V449</f>
        <v/>
      </c>
      <c r="W450">
        <f>$C450*W449</f>
        <v/>
      </c>
      <c r="X450">
        <f>$C450*X449</f>
        <v/>
      </c>
      <c r="Y450">
        <f>$C450*Y449</f>
        <v/>
      </c>
      <c r="Z450">
        <f>$C450*Z449</f>
        <v/>
      </c>
      <c r="AA450">
        <f>$C450*AA449</f>
        <v/>
      </c>
      <c r="AB450">
        <f>$C450*AB449</f>
        <v/>
      </c>
      <c r="AC450">
        <f>$C450*AC449</f>
        <v/>
      </c>
      <c r="AD450">
        <f>$C450*AD449</f>
        <v/>
      </c>
      <c r="AE450">
        <f>$C450*AE449</f>
        <v/>
      </c>
      <c r="AF450">
        <f>$C450*AF449</f>
        <v/>
      </c>
      <c r="AG450">
        <f>$C450*AG449</f>
        <v/>
      </c>
      <c r="AH450">
        <f>$C450*AH449</f>
        <v/>
      </c>
      <c r="AI450">
        <f>$C450*AI449</f>
        <v/>
      </c>
      <c r="AJ450">
        <f>$C450*AJ449</f>
        <v/>
      </c>
      <c r="AK450">
        <f>$C450*AK449</f>
        <v/>
      </c>
      <c r="AL450">
        <f>$C450*AL449</f>
        <v/>
      </c>
      <c r="AM450">
        <f>$C450*AM449</f>
        <v/>
      </c>
      <c r="AN450">
        <f>$C450*AN449</f>
        <v/>
      </c>
      <c r="AO450">
        <f>$C450*AO449</f>
        <v/>
      </c>
      <c r="AP450">
        <f>$C450*AP449</f>
        <v/>
      </c>
      <c r="AQ450">
        <f>$C450*AQ449</f>
        <v/>
      </c>
      <c r="AR450">
        <f>$C450*AR449</f>
        <v/>
      </c>
      <c r="AS450">
        <f>$C450*AS449</f>
        <v/>
      </c>
      <c r="AT450">
        <f>$C450*AT449</f>
        <v/>
      </c>
      <c r="AU450">
        <f>$C450*AU449</f>
        <v/>
      </c>
      <c r="AV450">
        <f>$C450*AV449</f>
        <v/>
      </c>
      <c r="AW450">
        <f>$C450*AW449</f>
        <v/>
      </c>
      <c r="AX450">
        <f>$C450*AX449</f>
        <v/>
      </c>
      <c r="AY450">
        <f>$C450*AY449</f>
        <v/>
      </c>
      <c r="AZ450">
        <f>$C450*AZ449</f>
        <v/>
      </c>
      <c r="BA450">
        <f>$C450*BA449</f>
        <v/>
      </c>
      <c r="BB450">
        <f>$C450*BB449</f>
        <v/>
      </c>
      <c r="BC450">
        <f>$C450*BC449</f>
        <v/>
      </c>
      <c r="BD450">
        <f>$C450*BD449</f>
        <v/>
      </c>
      <c r="BE450">
        <f>$C450*BE449</f>
        <v/>
      </c>
      <c r="BF450">
        <f>$C450*BF449</f>
        <v/>
      </c>
      <c r="BG450">
        <f>$C450*BG449</f>
        <v/>
      </c>
      <c r="BH450">
        <f>$C450*BH449</f>
        <v/>
      </c>
      <c r="BI450">
        <f>$C450*BI449</f>
        <v/>
      </c>
      <c r="BJ450">
        <f>$C450*BJ449</f>
        <v/>
      </c>
      <c r="BK450">
        <f>$C450*BK449</f>
        <v/>
      </c>
      <c r="BL450">
        <f>$C450*BL449</f>
        <v/>
      </c>
      <c r="BM450">
        <f>$C450*BM449</f>
        <v/>
      </c>
      <c r="BN450">
        <f>$C450*BN449</f>
        <v/>
      </c>
      <c r="BO450">
        <f>$C450*BO449</f>
        <v/>
      </c>
      <c r="BP450">
        <f>$C450*BP449</f>
        <v/>
      </c>
      <c r="BQ450">
        <f>$C450*BQ449</f>
        <v/>
      </c>
      <c r="BR450">
        <f>$C450*BR449</f>
        <v/>
      </c>
      <c r="BS450">
        <f>$C450*BS449</f>
        <v/>
      </c>
      <c r="BT450">
        <f>$C450*BT449</f>
        <v/>
      </c>
      <c r="BU450">
        <f>$C450*BU449</f>
        <v/>
      </c>
      <c r="BV450">
        <f>$C450*BV449</f>
        <v/>
      </c>
      <c r="BW450">
        <f>$C450*BW449</f>
        <v/>
      </c>
      <c r="BX450">
        <f>$C450*BX449</f>
        <v/>
      </c>
      <c r="BY450">
        <f>$C450*BY449</f>
        <v/>
      </c>
      <c r="BZ450">
        <f>$C450*BZ449</f>
        <v/>
      </c>
      <c r="CA450">
        <f>$C450*CA449</f>
        <v/>
      </c>
      <c r="CB450">
        <f>$C450*CB449</f>
        <v/>
      </c>
      <c r="CC450">
        <f>$C450*CC449</f>
        <v/>
      </c>
      <c r="CD450">
        <f>$C450*CD449</f>
        <v/>
      </c>
      <c r="CE450">
        <f>$C450*CE449</f>
        <v/>
      </c>
      <c r="CF450">
        <f>$C450*CF449</f>
        <v/>
      </c>
      <c r="CG450">
        <f>$C450*CG449</f>
        <v/>
      </c>
      <c r="CH450">
        <f>$C450*CH449</f>
        <v/>
      </c>
      <c r="CI450">
        <f>$C450*CI449</f>
        <v/>
      </c>
      <c r="CJ450">
        <f>$C450*CJ449</f>
        <v/>
      </c>
      <c r="CK450">
        <f>$C450*CK449</f>
        <v/>
      </c>
      <c r="CL450">
        <f>$C450*CL449</f>
        <v/>
      </c>
      <c r="CM450">
        <f>$C450*CM449</f>
        <v/>
      </c>
      <c r="CN450">
        <f>$C450*CN449</f>
        <v/>
      </c>
      <c r="CO450">
        <f>$C450*CO449</f>
        <v/>
      </c>
      <c r="CP450">
        <f>$C450*CP449</f>
        <v/>
      </c>
      <c r="CQ450">
        <f>$C450*CQ449</f>
        <v/>
      </c>
      <c r="CR450">
        <f>$C450*CR449</f>
        <v/>
      </c>
      <c r="CS450">
        <f>$C450*CS449</f>
        <v/>
      </c>
      <c r="CT450">
        <f>$C450*CT449</f>
        <v/>
      </c>
      <c r="CU450">
        <f>$C450*CU449</f>
        <v/>
      </c>
      <c r="CV450">
        <f>$C450*CV449</f>
        <v/>
      </c>
      <c r="CW450">
        <f>$C450*CW449</f>
        <v/>
      </c>
      <c r="CX450">
        <f>$C450*CX449</f>
        <v/>
      </c>
      <c r="CY450">
        <f>$C450*CY449</f>
        <v/>
      </c>
      <c r="CZ450">
        <f>$C450*CZ449</f>
        <v/>
      </c>
      <c r="DA450">
        <f>$C450*DA449</f>
        <v/>
      </c>
      <c r="DB450">
        <f>$C450*DB449</f>
        <v/>
      </c>
      <c r="DC450">
        <f>$C450*DC449</f>
        <v/>
      </c>
    </row>
    <row r="451">
      <c r="B451" t="inlineStr">
        <is>
          <t>TSP-668</t>
        </is>
      </c>
      <c r="C451" t="inlineStr">
        <is>
          <t>No. of batches</t>
        </is>
      </c>
      <c r="D451">
        <f>IFERROR(INDEX(PP_Grid[#Data],$DD451,2),0)</f>
        <v/>
      </c>
      <c r="E451">
        <f>IFERROR(INDEX(PP_Grid[#Data],$DD451,3),0)</f>
        <v/>
      </c>
      <c r="F451">
        <f>IFERROR(INDEX(PP_Grid[#Data],$DD451,4),0)</f>
        <v/>
      </c>
      <c r="G451">
        <f>IFERROR(INDEX(PP_Grid[#Data],$DD451,5),0)</f>
        <v/>
      </c>
      <c r="H451">
        <f>IFERROR(INDEX(PP_Grid[#Data],$DD451,6),0)</f>
        <v/>
      </c>
      <c r="I451">
        <f>IFERROR(INDEX(PP_Grid[#Data],$DD451,7),0)</f>
        <v/>
      </c>
      <c r="J451">
        <f>IFERROR(INDEX(PP_Grid[#Data],$DD451,8),0)</f>
        <v/>
      </c>
      <c r="K451">
        <f>IFERROR(INDEX(PP_Grid[#Data],$DD451,9),0)</f>
        <v/>
      </c>
      <c r="L451">
        <f>IFERROR(INDEX(PP_Grid[#Data],$DD451,10),0)</f>
        <v/>
      </c>
      <c r="M451">
        <f>IFERROR(INDEX(PP_Grid[#Data],$DD451,11),0)</f>
        <v/>
      </c>
      <c r="N451">
        <f>IFERROR(INDEX(PP_Grid[#Data],$DD451,12),0)</f>
        <v/>
      </c>
      <c r="O451">
        <f>IFERROR(INDEX(PP_Grid[#Data],$DD451,13),0)</f>
        <v/>
      </c>
      <c r="P451">
        <f>IFERROR(INDEX(PP_Grid[#Data],$DD451,14),0)</f>
        <v/>
      </c>
      <c r="Q451">
        <f>IFERROR(INDEX(PP_Grid[#Data],$DD451,15),0)</f>
        <v/>
      </c>
      <c r="R451">
        <f>IFERROR(INDEX(PP_Grid[#Data],$DD451,16),0)</f>
        <v/>
      </c>
      <c r="S451">
        <f>IFERROR(INDEX(PP_Grid[#Data],$DD451,17),0)</f>
        <v/>
      </c>
      <c r="T451">
        <f>IFERROR(INDEX(PP_Grid[#Data],$DD451,18),0)</f>
        <v/>
      </c>
      <c r="U451">
        <f>IFERROR(INDEX(PP_Grid[#Data],$DD451,19),0)</f>
        <v/>
      </c>
      <c r="V451">
        <f>IFERROR(INDEX(PP_Grid[#Data],$DD451,20),0)</f>
        <v/>
      </c>
      <c r="W451">
        <f>IFERROR(INDEX(PP_Grid[#Data],$DD451,21),0)</f>
        <v/>
      </c>
      <c r="X451">
        <f>IFERROR(INDEX(PP_Grid[#Data],$DD451,22),0)</f>
        <v/>
      </c>
      <c r="Y451">
        <f>IFERROR(INDEX(PP_Grid[#Data],$DD451,23),0)</f>
        <v/>
      </c>
      <c r="Z451">
        <f>IFERROR(INDEX(PP_Grid[#Data],$DD451,24),0)</f>
        <v/>
      </c>
      <c r="AA451">
        <f>IFERROR(INDEX(PP_Grid[#Data],$DD451,25),0)</f>
        <v/>
      </c>
      <c r="AB451">
        <f>IFERROR(INDEX(PP_Grid[#Data],$DD451,26),0)</f>
        <v/>
      </c>
      <c r="AC451">
        <f>IFERROR(INDEX(PP_Grid[#Data],$DD451,27),0)</f>
        <v/>
      </c>
      <c r="AD451">
        <f>IFERROR(INDEX(PP_Grid[#Data],$DD451,28),0)</f>
        <v/>
      </c>
      <c r="AE451">
        <f>IFERROR(INDEX(PP_Grid[#Data],$DD451,29),0)</f>
        <v/>
      </c>
      <c r="AF451">
        <f>IFERROR(INDEX(PP_Grid[#Data],$DD451,30),0)</f>
        <v/>
      </c>
      <c r="AG451">
        <f>IFERROR(INDEX(PP_Grid[#Data],$DD451,31),0)</f>
        <v/>
      </c>
      <c r="AH451">
        <f>IFERROR(INDEX(PP_Grid[#Data],$DD451,32),0)</f>
        <v/>
      </c>
      <c r="AI451">
        <f>IFERROR(INDEX(PP_Grid[#Data],$DD451,33),0)</f>
        <v/>
      </c>
      <c r="AJ451">
        <f>IFERROR(INDEX(PP_Grid[#Data],$DD451,34),0)</f>
        <v/>
      </c>
      <c r="AK451">
        <f>IFERROR(INDEX(PP_Grid[#Data],$DD451,35),0)</f>
        <v/>
      </c>
      <c r="AL451">
        <f>IFERROR(INDEX(PP_Grid[#Data],$DD451,36),0)</f>
        <v/>
      </c>
      <c r="AM451">
        <f>IFERROR(INDEX(PP_Grid[#Data],$DD451,37),0)</f>
        <v/>
      </c>
      <c r="AN451">
        <f>IFERROR(INDEX(PP_Grid[#Data],$DD451,38),0)</f>
        <v/>
      </c>
      <c r="AO451">
        <f>IFERROR(INDEX(PP_Grid[#Data],$DD451,39),0)</f>
        <v/>
      </c>
      <c r="AP451">
        <f>IFERROR(INDEX(PP_Grid[#Data],$DD451,40),0)</f>
        <v/>
      </c>
      <c r="AQ451">
        <f>IFERROR(INDEX(PP_Grid[#Data],$DD451,41),0)</f>
        <v/>
      </c>
      <c r="AR451">
        <f>IFERROR(INDEX(PP_Grid[#Data],$DD451,42),0)</f>
        <v/>
      </c>
      <c r="AS451">
        <f>IFERROR(INDEX(PP_Grid[#Data],$DD451,43),0)</f>
        <v/>
      </c>
      <c r="AT451">
        <f>IFERROR(INDEX(PP_Grid[#Data],$DD451,44),0)</f>
        <v/>
      </c>
      <c r="AU451">
        <f>IFERROR(INDEX(PP_Grid[#Data],$DD451,45),0)</f>
        <v/>
      </c>
      <c r="AV451">
        <f>IFERROR(INDEX(PP_Grid[#Data],$DD451,46),0)</f>
        <v/>
      </c>
      <c r="AW451">
        <f>IFERROR(INDEX(PP_Grid[#Data],$DD451,47),0)</f>
        <v/>
      </c>
      <c r="AX451">
        <f>IFERROR(INDEX(PP_Grid[#Data],$DD451,48),0)</f>
        <v/>
      </c>
      <c r="AY451">
        <f>IFERROR(INDEX(PP_Grid[#Data],$DD451,49),0)</f>
        <v/>
      </c>
      <c r="AZ451">
        <f>IFERROR(INDEX(PP_Grid[#Data],$DD451,50),0)</f>
        <v/>
      </c>
      <c r="BA451">
        <f>IFERROR(INDEX(PP_Grid[#Data],$DD451,51),0)</f>
        <v/>
      </c>
      <c r="BB451">
        <f>IFERROR(INDEX(PP_Grid[#Data],$DD451,52),0)</f>
        <v/>
      </c>
      <c r="BC451">
        <f>IFERROR(INDEX(PP_Grid[#Data],$DD451,53),0)</f>
        <v/>
      </c>
      <c r="BD451">
        <f>IFERROR(INDEX(PP_Grid[#Data],$DD451,54),0)</f>
        <v/>
      </c>
      <c r="BE451">
        <f>IFERROR(INDEX(PP_Grid[#Data],$DD451,55),0)</f>
        <v/>
      </c>
      <c r="BF451">
        <f>IFERROR(INDEX(PP_Grid[#Data],$DD451,56),0)</f>
        <v/>
      </c>
      <c r="BG451">
        <f>IFERROR(INDEX(PP_Grid[#Data],$DD451,57),0)</f>
        <v/>
      </c>
      <c r="BH451">
        <f>IFERROR(INDEX(PP_Grid[#Data],$DD451,58),0)</f>
        <v/>
      </c>
      <c r="BI451">
        <f>IFERROR(INDEX(PP_Grid[#Data],$DD451,59),0)</f>
        <v/>
      </c>
      <c r="BJ451">
        <f>IFERROR(INDEX(PP_Grid[#Data],$DD451,60),0)</f>
        <v/>
      </c>
      <c r="BK451">
        <f>IFERROR(INDEX(PP_Grid[#Data],$DD451,61),0)</f>
        <v/>
      </c>
      <c r="BL451">
        <f>IFERROR(INDEX(PP_Grid[#Data],$DD451,62),0)</f>
        <v/>
      </c>
      <c r="BM451">
        <f>IFERROR(INDEX(PP_Grid[#Data],$DD451,63),0)</f>
        <v/>
      </c>
      <c r="BN451">
        <f>IFERROR(INDEX(PP_Grid[#Data],$DD451,64),0)</f>
        <v/>
      </c>
      <c r="BO451">
        <f>IFERROR(INDEX(PP_Grid[#Data],$DD451,65),0)</f>
        <v/>
      </c>
      <c r="BP451">
        <f>IFERROR(INDEX(PP_Grid[#Data],$DD451,66),0)</f>
        <v/>
      </c>
      <c r="BQ451">
        <f>IFERROR(INDEX(PP_Grid[#Data],$DD451,67),0)</f>
        <v/>
      </c>
      <c r="BR451">
        <f>IFERROR(INDEX(PP_Grid[#Data],$DD451,68),0)</f>
        <v/>
      </c>
      <c r="BS451">
        <f>IFERROR(INDEX(PP_Grid[#Data],$DD451,69),0)</f>
        <v/>
      </c>
      <c r="BT451">
        <f>IFERROR(INDEX(PP_Grid[#Data],$DD451,70),0)</f>
        <v/>
      </c>
      <c r="BU451">
        <f>IFERROR(INDEX(PP_Grid[#Data],$DD451,71),0)</f>
        <v/>
      </c>
      <c r="BV451">
        <f>IFERROR(INDEX(PP_Grid[#Data],$DD451,72),0)</f>
        <v/>
      </c>
      <c r="BW451">
        <f>IFERROR(INDEX(PP_Grid[#Data],$DD451,73),0)</f>
        <v/>
      </c>
      <c r="BX451">
        <f>IFERROR(INDEX(PP_Grid[#Data],$DD451,74),0)</f>
        <v/>
      </c>
      <c r="BY451">
        <f>IFERROR(INDEX(PP_Grid[#Data],$DD451,75),0)</f>
        <v/>
      </c>
      <c r="BZ451">
        <f>IFERROR(INDEX(PP_Grid[#Data],$DD451,76),0)</f>
        <v/>
      </c>
      <c r="CA451">
        <f>IFERROR(INDEX(PP_Grid[#Data],$DD451,77),0)</f>
        <v/>
      </c>
      <c r="CB451">
        <f>IFERROR(INDEX(PP_Grid[#Data],$DD451,78),0)</f>
        <v/>
      </c>
      <c r="CC451">
        <f>IFERROR(INDEX(PP_Grid[#Data],$DD451,79),0)</f>
        <v/>
      </c>
      <c r="CD451">
        <f>IFERROR(INDEX(PP_Grid[#Data],$DD451,80),0)</f>
        <v/>
      </c>
      <c r="CE451">
        <f>IFERROR(INDEX(PP_Grid[#Data],$DD451,81),0)</f>
        <v/>
      </c>
      <c r="CF451">
        <f>IFERROR(INDEX(PP_Grid[#Data],$DD451,82),0)</f>
        <v/>
      </c>
      <c r="CG451">
        <f>IFERROR(INDEX(PP_Grid[#Data],$DD451,83),0)</f>
        <v/>
      </c>
      <c r="CH451">
        <f>IFERROR(INDEX(PP_Grid[#Data],$DD451,84),0)</f>
        <v/>
      </c>
      <c r="CI451">
        <f>IFERROR(INDEX(PP_Grid[#Data],$DD451,85),0)</f>
        <v/>
      </c>
      <c r="CJ451">
        <f>IFERROR(INDEX(PP_Grid[#Data],$DD451,86),0)</f>
        <v/>
      </c>
      <c r="CK451">
        <f>IFERROR(INDEX(PP_Grid[#Data],$DD451,87),0)</f>
        <v/>
      </c>
      <c r="CL451">
        <f>IFERROR(INDEX(PP_Grid[#Data],$DD451,88),0)</f>
        <v/>
      </c>
      <c r="CM451">
        <f>IFERROR(INDEX(PP_Grid[#Data],$DD451,89),0)</f>
        <v/>
      </c>
      <c r="CN451">
        <f>IFERROR(INDEX(PP_Grid[#Data],$DD451,90),0)</f>
        <v/>
      </c>
      <c r="CO451">
        <f>IFERROR(INDEX(PP_Grid[#Data],$DD451,91),0)</f>
        <v/>
      </c>
      <c r="CP451">
        <f>IFERROR(INDEX(PP_Grid[#Data],$DD451,92),0)</f>
        <v/>
      </c>
      <c r="CQ451">
        <f>IFERROR(INDEX(PP_Grid[#Data],$DD451,93),0)</f>
        <v/>
      </c>
      <c r="CR451">
        <f>IFERROR(INDEX(PP_Grid[#Data],$DD451,94),0)</f>
        <v/>
      </c>
      <c r="CS451">
        <f>IFERROR(INDEX(PP_Grid[#Data],$DD451,95),0)</f>
        <v/>
      </c>
      <c r="CT451">
        <f>IFERROR(INDEX(PP_Grid[#Data],$DD451,96),0)</f>
        <v/>
      </c>
      <c r="CU451">
        <f>IFERROR(INDEX(PP_Grid[#Data],$DD451,97),0)</f>
        <v/>
      </c>
      <c r="CV451">
        <f>IFERROR(INDEX(PP_Grid[#Data],$DD451,98),0)</f>
        <v/>
      </c>
      <c r="CW451">
        <f>IFERROR(INDEX(PP_Grid[#Data],$DD451,99),0)</f>
        <v/>
      </c>
      <c r="CX451">
        <f>IFERROR(INDEX(PP_Grid[#Data],$DD451,100),0)</f>
        <v/>
      </c>
      <c r="CY451">
        <f>IFERROR(INDEX(PP_Grid[#Data],$DD451,101),0)</f>
        <v/>
      </c>
      <c r="CZ451">
        <f>IFERROR(INDEX(PP_Grid[#Data],$DD451,102),0)</f>
        <v/>
      </c>
      <c r="DA451">
        <f>IFERROR(INDEX(PP_Grid[#Data],$DD451,103),0)</f>
        <v/>
      </c>
      <c r="DB451">
        <f>IFERROR(INDEX(PP_Grid[#Data],$DD451,104),0)</f>
        <v/>
      </c>
      <c r="DC451">
        <f>IFERROR(INDEX(PP_Grid[#Data],$DD451,105),0)</f>
        <v/>
      </c>
      <c r="DD451" s="12">
        <f>IFERROR(MATCH($B451,PP_Grid[Intermediate],0),99999)</f>
        <v/>
      </c>
    </row>
    <row r="452">
      <c r="B452" t="inlineStr">
        <is>
          <t>使用量(kg)</t>
        </is>
      </c>
      <c r="C452">
        <f>SUMIFS(M_BOM[RM_Qty_Per_Batch],M_BOM[Intermediate],$B451,M_BOM[Part Name],$A406)</f>
        <v/>
      </c>
      <c r="D452">
        <f>$C452*D451</f>
        <v/>
      </c>
      <c r="E452">
        <f>$C452*E451</f>
        <v/>
      </c>
      <c r="F452">
        <f>$C452*F451</f>
        <v/>
      </c>
      <c r="G452">
        <f>$C452*G451</f>
        <v/>
      </c>
      <c r="H452">
        <f>$C452*H451</f>
        <v/>
      </c>
      <c r="I452">
        <f>$C452*I451</f>
        <v/>
      </c>
      <c r="J452">
        <f>$C452*J451</f>
        <v/>
      </c>
      <c r="K452">
        <f>$C452*K451</f>
        <v/>
      </c>
      <c r="L452">
        <f>$C452*L451</f>
        <v/>
      </c>
      <c r="M452">
        <f>$C452*M451</f>
        <v/>
      </c>
      <c r="N452">
        <f>$C452*N451</f>
        <v/>
      </c>
      <c r="O452">
        <f>$C452*O451</f>
        <v/>
      </c>
      <c r="P452">
        <f>$C452*P451</f>
        <v/>
      </c>
      <c r="Q452">
        <f>$C452*Q451</f>
        <v/>
      </c>
      <c r="R452">
        <f>$C452*R451</f>
        <v/>
      </c>
      <c r="S452">
        <f>$C452*S451</f>
        <v/>
      </c>
      <c r="T452">
        <f>$C452*T451</f>
        <v/>
      </c>
      <c r="U452">
        <f>$C452*U451</f>
        <v/>
      </c>
      <c r="V452">
        <f>$C452*V451</f>
        <v/>
      </c>
      <c r="W452">
        <f>$C452*W451</f>
        <v/>
      </c>
      <c r="X452">
        <f>$C452*X451</f>
        <v/>
      </c>
      <c r="Y452">
        <f>$C452*Y451</f>
        <v/>
      </c>
      <c r="Z452">
        <f>$C452*Z451</f>
        <v/>
      </c>
      <c r="AA452">
        <f>$C452*AA451</f>
        <v/>
      </c>
      <c r="AB452">
        <f>$C452*AB451</f>
        <v/>
      </c>
      <c r="AC452">
        <f>$C452*AC451</f>
        <v/>
      </c>
      <c r="AD452">
        <f>$C452*AD451</f>
        <v/>
      </c>
      <c r="AE452">
        <f>$C452*AE451</f>
        <v/>
      </c>
      <c r="AF452">
        <f>$C452*AF451</f>
        <v/>
      </c>
      <c r="AG452">
        <f>$C452*AG451</f>
        <v/>
      </c>
      <c r="AH452">
        <f>$C452*AH451</f>
        <v/>
      </c>
      <c r="AI452">
        <f>$C452*AI451</f>
        <v/>
      </c>
      <c r="AJ452">
        <f>$C452*AJ451</f>
        <v/>
      </c>
      <c r="AK452">
        <f>$C452*AK451</f>
        <v/>
      </c>
      <c r="AL452">
        <f>$C452*AL451</f>
        <v/>
      </c>
      <c r="AM452">
        <f>$C452*AM451</f>
        <v/>
      </c>
      <c r="AN452">
        <f>$C452*AN451</f>
        <v/>
      </c>
      <c r="AO452">
        <f>$C452*AO451</f>
        <v/>
      </c>
      <c r="AP452">
        <f>$C452*AP451</f>
        <v/>
      </c>
      <c r="AQ452">
        <f>$C452*AQ451</f>
        <v/>
      </c>
      <c r="AR452">
        <f>$C452*AR451</f>
        <v/>
      </c>
      <c r="AS452">
        <f>$C452*AS451</f>
        <v/>
      </c>
      <c r="AT452">
        <f>$C452*AT451</f>
        <v/>
      </c>
      <c r="AU452">
        <f>$C452*AU451</f>
        <v/>
      </c>
      <c r="AV452">
        <f>$C452*AV451</f>
        <v/>
      </c>
      <c r="AW452">
        <f>$C452*AW451</f>
        <v/>
      </c>
      <c r="AX452">
        <f>$C452*AX451</f>
        <v/>
      </c>
      <c r="AY452">
        <f>$C452*AY451</f>
        <v/>
      </c>
      <c r="AZ452">
        <f>$C452*AZ451</f>
        <v/>
      </c>
      <c r="BA452">
        <f>$C452*BA451</f>
        <v/>
      </c>
      <c r="BB452">
        <f>$C452*BB451</f>
        <v/>
      </c>
      <c r="BC452">
        <f>$C452*BC451</f>
        <v/>
      </c>
      <c r="BD452">
        <f>$C452*BD451</f>
        <v/>
      </c>
      <c r="BE452">
        <f>$C452*BE451</f>
        <v/>
      </c>
      <c r="BF452">
        <f>$C452*BF451</f>
        <v/>
      </c>
      <c r="BG452">
        <f>$C452*BG451</f>
        <v/>
      </c>
      <c r="BH452">
        <f>$C452*BH451</f>
        <v/>
      </c>
      <c r="BI452">
        <f>$C452*BI451</f>
        <v/>
      </c>
      <c r="BJ452">
        <f>$C452*BJ451</f>
        <v/>
      </c>
      <c r="BK452">
        <f>$C452*BK451</f>
        <v/>
      </c>
      <c r="BL452">
        <f>$C452*BL451</f>
        <v/>
      </c>
      <c r="BM452">
        <f>$C452*BM451</f>
        <v/>
      </c>
      <c r="BN452">
        <f>$C452*BN451</f>
        <v/>
      </c>
      <c r="BO452">
        <f>$C452*BO451</f>
        <v/>
      </c>
      <c r="BP452">
        <f>$C452*BP451</f>
        <v/>
      </c>
      <c r="BQ452">
        <f>$C452*BQ451</f>
        <v/>
      </c>
      <c r="BR452">
        <f>$C452*BR451</f>
        <v/>
      </c>
      <c r="BS452">
        <f>$C452*BS451</f>
        <v/>
      </c>
      <c r="BT452">
        <f>$C452*BT451</f>
        <v/>
      </c>
      <c r="BU452">
        <f>$C452*BU451</f>
        <v/>
      </c>
      <c r="BV452">
        <f>$C452*BV451</f>
        <v/>
      </c>
      <c r="BW452">
        <f>$C452*BW451</f>
        <v/>
      </c>
      <c r="BX452">
        <f>$C452*BX451</f>
        <v/>
      </c>
      <c r="BY452">
        <f>$C452*BY451</f>
        <v/>
      </c>
      <c r="BZ452">
        <f>$C452*BZ451</f>
        <v/>
      </c>
      <c r="CA452">
        <f>$C452*CA451</f>
        <v/>
      </c>
      <c r="CB452">
        <f>$C452*CB451</f>
        <v/>
      </c>
      <c r="CC452">
        <f>$C452*CC451</f>
        <v/>
      </c>
      <c r="CD452">
        <f>$C452*CD451</f>
        <v/>
      </c>
      <c r="CE452">
        <f>$C452*CE451</f>
        <v/>
      </c>
      <c r="CF452">
        <f>$C452*CF451</f>
        <v/>
      </c>
      <c r="CG452">
        <f>$C452*CG451</f>
        <v/>
      </c>
      <c r="CH452">
        <f>$C452*CH451</f>
        <v/>
      </c>
      <c r="CI452">
        <f>$C452*CI451</f>
        <v/>
      </c>
      <c r="CJ452">
        <f>$C452*CJ451</f>
        <v/>
      </c>
      <c r="CK452">
        <f>$C452*CK451</f>
        <v/>
      </c>
      <c r="CL452">
        <f>$C452*CL451</f>
        <v/>
      </c>
      <c r="CM452">
        <f>$C452*CM451</f>
        <v/>
      </c>
      <c r="CN452">
        <f>$C452*CN451</f>
        <v/>
      </c>
      <c r="CO452">
        <f>$C452*CO451</f>
        <v/>
      </c>
      <c r="CP452">
        <f>$C452*CP451</f>
        <v/>
      </c>
      <c r="CQ452">
        <f>$C452*CQ451</f>
        <v/>
      </c>
      <c r="CR452">
        <f>$C452*CR451</f>
        <v/>
      </c>
      <c r="CS452">
        <f>$C452*CS451</f>
        <v/>
      </c>
      <c r="CT452">
        <f>$C452*CT451</f>
        <v/>
      </c>
      <c r="CU452">
        <f>$C452*CU451</f>
        <v/>
      </c>
      <c r="CV452">
        <f>$C452*CV451</f>
        <v/>
      </c>
      <c r="CW452">
        <f>$C452*CW451</f>
        <v/>
      </c>
      <c r="CX452">
        <f>$C452*CX451</f>
        <v/>
      </c>
      <c r="CY452">
        <f>$C452*CY451</f>
        <v/>
      </c>
      <c r="CZ452">
        <f>$C452*CZ451</f>
        <v/>
      </c>
      <c r="DA452">
        <f>$C452*DA451</f>
        <v/>
      </c>
      <c r="DB452">
        <f>$C452*DB451</f>
        <v/>
      </c>
      <c r="DC452">
        <f>$C452*DC451</f>
        <v/>
      </c>
    </row>
    <row r="453">
      <c r="B453" t="inlineStr">
        <is>
          <t>TSP-669</t>
        </is>
      </c>
      <c r="C453" t="inlineStr">
        <is>
          <t>No. of batches</t>
        </is>
      </c>
      <c r="D453">
        <f>IFERROR(INDEX(PP_Grid[#Data],$DD453,2),0)</f>
        <v/>
      </c>
      <c r="E453">
        <f>IFERROR(INDEX(PP_Grid[#Data],$DD453,3),0)</f>
        <v/>
      </c>
      <c r="F453">
        <f>IFERROR(INDEX(PP_Grid[#Data],$DD453,4),0)</f>
        <v/>
      </c>
      <c r="G453">
        <f>IFERROR(INDEX(PP_Grid[#Data],$DD453,5),0)</f>
        <v/>
      </c>
      <c r="H453">
        <f>IFERROR(INDEX(PP_Grid[#Data],$DD453,6),0)</f>
        <v/>
      </c>
      <c r="I453">
        <f>IFERROR(INDEX(PP_Grid[#Data],$DD453,7),0)</f>
        <v/>
      </c>
      <c r="J453">
        <f>IFERROR(INDEX(PP_Grid[#Data],$DD453,8),0)</f>
        <v/>
      </c>
      <c r="K453">
        <f>IFERROR(INDEX(PP_Grid[#Data],$DD453,9),0)</f>
        <v/>
      </c>
      <c r="L453">
        <f>IFERROR(INDEX(PP_Grid[#Data],$DD453,10),0)</f>
        <v/>
      </c>
      <c r="M453">
        <f>IFERROR(INDEX(PP_Grid[#Data],$DD453,11),0)</f>
        <v/>
      </c>
      <c r="N453">
        <f>IFERROR(INDEX(PP_Grid[#Data],$DD453,12),0)</f>
        <v/>
      </c>
      <c r="O453">
        <f>IFERROR(INDEX(PP_Grid[#Data],$DD453,13),0)</f>
        <v/>
      </c>
      <c r="P453">
        <f>IFERROR(INDEX(PP_Grid[#Data],$DD453,14),0)</f>
        <v/>
      </c>
      <c r="Q453">
        <f>IFERROR(INDEX(PP_Grid[#Data],$DD453,15),0)</f>
        <v/>
      </c>
      <c r="R453">
        <f>IFERROR(INDEX(PP_Grid[#Data],$DD453,16),0)</f>
        <v/>
      </c>
      <c r="S453">
        <f>IFERROR(INDEX(PP_Grid[#Data],$DD453,17),0)</f>
        <v/>
      </c>
      <c r="T453">
        <f>IFERROR(INDEX(PP_Grid[#Data],$DD453,18),0)</f>
        <v/>
      </c>
      <c r="U453">
        <f>IFERROR(INDEX(PP_Grid[#Data],$DD453,19),0)</f>
        <v/>
      </c>
      <c r="V453">
        <f>IFERROR(INDEX(PP_Grid[#Data],$DD453,20),0)</f>
        <v/>
      </c>
      <c r="W453">
        <f>IFERROR(INDEX(PP_Grid[#Data],$DD453,21),0)</f>
        <v/>
      </c>
      <c r="X453">
        <f>IFERROR(INDEX(PP_Grid[#Data],$DD453,22),0)</f>
        <v/>
      </c>
      <c r="Y453">
        <f>IFERROR(INDEX(PP_Grid[#Data],$DD453,23),0)</f>
        <v/>
      </c>
      <c r="Z453">
        <f>IFERROR(INDEX(PP_Grid[#Data],$DD453,24),0)</f>
        <v/>
      </c>
      <c r="AA453">
        <f>IFERROR(INDEX(PP_Grid[#Data],$DD453,25),0)</f>
        <v/>
      </c>
      <c r="AB453">
        <f>IFERROR(INDEX(PP_Grid[#Data],$DD453,26),0)</f>
        <v/>
      </c>
      <c r="AC453">
        <f>IFERROR(INDEX(PP_Grid[#Data],$DD453,27),0)</f>
        <v/>
      </c>
      <c r="AD453">
        <f>IFERROR(INDEX(PP_Grid[#Data],$DD453,28),0)</f>
        <v/>
      </c>
      <c r="AE453">
        <f>IFERROR(INDEX(PP_Grid[#Data],$DD453,29),0)</f>
        <v/>
      </c>
      <c r="AF453">
        <f>IFERROR(INDEX(PP_Grid[#Data],$DD453,30),0)</f>
        <v/>
      </c>
      <c r="AG453">
        <f>IFERROR(INDEX(PP_Grid[#Data],$DD453,31),0)</f>
        <v/>
      </c>
      <c r="AH453">
        <f>IFERROR(INDEX(PP_Grid[#Data],$DD453,32),0)</f>
        <v/>
      </c>
      <c r="AI453">
        <f>IFERROR(INDEX(PP_Grid[#Data],$DD453,33),0)</f>
        <v/>
      </c>
      <c r="AJ453">
        <f>IFERROR(INDEX(PP_Grid[#Data],$DD453,34),0)</f>
        <v/>
      </c>
      <c r="AK453">
        <f>IFERROR(INDEX(PP_Grid[#Data],$DD453,35),0)</f>
        <v/>
      </c>
      <c r="AL453">
        <f>IFERROR(INDEX(PP_Grid[#Data],$DD453,36),0)</f>
        <v/>
      </c>
      <c r="AM453">
        <f>IFERROR(INDEX(PP_Grid[#Data],$DD453,37),0)</f>
        <v/>
      </c>
      <c r="AN453">
        <f>IFERROR(INDEX(PP_Grid[#Data],$DD453,38),0)</f>
        <v/>
      </c>
      <c r="AO453">
        <f>IFERROR(INDEX(PP_Grid[#Data],$DD453,39),0)</f>
        <v/>
      </c>
      <c r="AP453">
        <f>IFERROR(INDEX(PP_Grid[#Data],$DD453,40),0)</f>
        <v/>
      </c>
      <c r="AQ453">
        <f>IFERROR(INDEX(PP_Grid[#Data],$DD453,41),0)</f>
        <v/>
      </c>
      <c r="AR453">
        <f>IFERROR(INDEX(PP_Grid[#Data],$DD453,42),0)</f>
        <v/>
      </c>
      <c r="AS453">
        <f>IFERROR(INDEX(PP_Grid[#Data],$DD453,43),0)</f>
        <v/>
      </c>
      <c r="AT453">
        <f>IFERROR(INDEX(PP_Grid[#Data],$DD453,44),0)</f>
        <v/>
      </c>
      <c r="AU453">
        <f>IFERROR(INDEX(PP_Grid[#Data],$DD453,45),0)</f>
        <v/>
      </c>
      <c r="AV453">
        <f>IFERROR(INDEX(PP_Grid[#Data],$DD453,46),0)</f>
        <v/>
      </c>
      <c r="AW453">
        <f>IFERROR(INDEX(PP_Grid[#Data],$DD453,47),0)</f>
        <v/>
      </c>
      <c r="AX453">
        <f>IFERROR(INDEX(PP_Grid[#Data],$DD453,48),0)</f>
        <v/>
      </c>
      <c r="AY453">
        <f>IFERROR(INDEX(PP_Grid[#Data],$DD453,49),0)</f>
        <v/>
      </c>
      <c r="AZ453">
        <f>IFERROR(INDEX(PP_Grid[#Data],$DD453,50),0)</f>
        <v/>
      </c>
      <c r="BA453">
        <f>IFERROR(INDEX(PP_Grid[#Data],$DD453,51),0)</f>
        <v/>
      </c>
      <c r="BB453">
        <f>IFERROR(INDEX(PP_Grid[#Data],$DD453,52),0)</f>
        <v/>
      </c>
      <c r="BC453">
        <f>IFERROR(INDEX(PP_Grid[#Data],$DD453,53),0)</f>
        <v/>
      </c>
      <c r="BD453">
        <f>IFERROR(INDEX(PP_Grid[#Data],$DD453,54),0)</f>
        <v/>
      </c>
      <c r="BE453">
        <f>IFERROR(INDEX(PP_Grid[#Data],$DD453,55),0)</f>
        <v/>
      </c>
      <c r="BF453">
        <f>IFERROR(INDEX(PP_Grid[#Data],$DD453,56),0)</f>
        <v/>
      </c>
      <c r="BG453">
        <f>IFERROR(INDEX(PP_Grid[#Data],$DD453,57),0)</f>
        <v/>
      </c>
      <c r="BH453">
        <f>IFERROR(INDEX(PP_Grid[#Data],$DD453,58),0)</f>
        <v/>
      </c>
      <c r="BI453">
        <f>IFERROR(INDEX(PP_Grid[#Data],$DD453,59),0)</f>
        <v/>
      </c>
      <c r="BJ453">
        <f>IFERROR(INDEX(PP_Grid[#Data],$DD453,60),0)</f>
        <v/>
      </c>
      <c r="BK453">
        <f>IFERROR(INDEX(PP_Grid[#Data],$DD453,61),0)</f>
        <v/>
      </c>
      <c r="BL453">
        <f>IFERROR(INDEX(PP_Grid[#Data],$DD453,62),0)</f>
        <v/>
      </c>
      <c r="BM453">
        <f>IFERROR(INDEX(PP_Grid[#Data],$DD453,63),0)</f>
        <v/>
      </c>
      <c r="BN453">
        <f>IFERROR(INDEX(PP_Grid[#Data],$DD453,64),0)</f>
        <v/>
      </c>
      <c r="BO453">
        <f>IFERROR(INDEX(PP_Grid[#Data],$DD453,65),0)</f>
        <v/>
      </c>
      <c r="BP453">
        <f>IFERROR(INDEX(PP_Grid[#Data],$DD453,66),0)</f>
        <v/>
      </c>
      <c r="BQ453">
        <f>IFERROR(INDEX(PP_Grid[#Data],$DD453,67),0)</f>
        <v/>
      </c>
      <c r="BR453">
        <f>IFERROR(INDEX(PP_Grid[#Data],$DD453,68),0)</f>
        <v/>
      </c>
      <c r="BS453">
        <f>IFERROR(INDEX(PP_Grid[#Data],$DD453,69),0)</f>
        <v/>
      </c>
      <c r="BT453">
        <f>IFERROR(INDEX(PP_Grid[#Data],$DD453,70),0)</f>
        <v/>
      </c>
      <c r="BU453">
        <f>IFERROR(INDEX(PP_Grid[#Data],$DD453,71),0)</f>
        <v/>
      </c>
      <c r="BV453">
        <f>IFERROR(INDEX(PP_Grid[#Data],$DD453,72),0)</f>
        <v/>
      </c>
      <c r="BW453">
        <f>IFERROR(INDEX(PP_Grid[#Data],$DD453,73),0)</f>
        <v/>
      </c>
      <c r="BX453">
        <f>IFERROR(INDEX(PP_Grid[#Data],$DD453,74),0)</f>
        <v/>
      </c>
      <c r="BY453">
        <f>IFERROR(INDEX(PP_Grid[#Data],$DD453,75),0)</f>
        <v/>
      </c>
      <c r="BZ453">
        <f>IFERROR(INDEX(PP_Grid[#Data],$DD453,76),0)</f>
        <v/>
      </c>
      <c r="CA453">
        <f>IFERROR(INDEX(PP_Grid[#Data],$DD453,77),0)</f>
        <v/>
      </c>
      <c r="CB453">
        <f>IFERROR(INDEX(PP_Grid[#Data],$DD453,78),0)</f>
        <v/>
      </c>
      <c r="CC453">
        <f>IFERROR(INDEX(PP_Grid[#Data],$DD453,79),0)</f>
        <v/>
      </c>
      <c r="CD453">
        <f>IFERROR(INDEX(PP_Grid[#Data],$DD453,80),0)</f>
        <v/>
      </c>
      <c r="CE453">
        <f>IFERROR(INDEX(PP_Grid[#Data],$DD453,81),0)</f>
        <v/>
      </c>
      <c r="CF453">
        <f>IFERROR(INDEX(PP_Grid[#Data],$DD453,82),0)</f>
        <v/>
      </c>
      <c r="CG453">
        <f>IFERROR(INDEX(PP_Grid[#Data],$DD453,83),0)</f>
        <v/>
      </c>
      <c r="CH453">
        <f>IFERROR(INDEX(PP_Grid[#Data],$DD453,84),0)</f>
        <v/>
      </c>
      <c r="CI453">
        <f>IFERROR(INDEX(PP_Grid[#Data],$DD453,85),0)</f>
        <v/>
      </c>
      <c r="CJ453">
        <f>IFERROR(INDEX(PP_Grid[#Data],$DD453,86),0)</f>
        <v/>
      </c>
      <c r="CK453">
        <f>IFERROR(INDEX(PP_Grid[#Data],$DD453,87),0)</f>
        <v/>
      </c>
      <c r="CL453">
        <f>IFERROR(INDEX(PP_Grid[#Data],$DD453,88),0)</f>
        <v/>
      </c>
      <c r="CM453">
        <f>IFERROR(INDEX(PP_Grid[#Data],$DD453,89),0)</f>
        <v/>
      </c>
      <c r="CN453">
        <f>IFERROR(INDEX(PP_Grid[#Data],$DD453,90),0)</f>
        <v/>
      </c>
      <c r="CO453">
        <f>IFERROR(INDEX(PP_Grid[#Data],$DD453,91),0)</f>
        <v/>
      </c>
      <c r="CP453">
        <f>IFERROR(INDEX(PP_Grid[#Data],$DD453,92),0)</f>
        <v/>
      </c>
      <c r="CQ453">
        <f>IFERROR(INDEX(PP_Grid[#Data],$DD453,93),0)</f>
        <v/>
      </c>
      <c r="CR453">
        <f>IFERROR(INDEX(PP_Grid[#Data],$DD453,94),0)</f>
        <v/>
      </c>
      <c r="CS453">
        <f>IFERROR(INDEX(PP_Grid[#Data],$DD453,95),0)</f>
        <v/>
      </c>
      <c r="CT453">
        <f>IFERROR(INDEX(PP_Grid[#Data],$DD453,96),0)</f>
        <v/>
      </c>
      <c r="CU453">
        <f>IFERROR(INDEX(PP_Grid[#Data],$DD453,97),0)</f>
        <v/>
      </c>
      <c r="CV453">
        <f>IFERROR(INDEX(PP_Grid[#Data],$DD453,98),0)</f>
        <v/>
      </c>
      <c r="CW453">
        <f>IFERROR(INDEX(PP_Grid[#Data],$DD453,99),0)</f>
        <v/>
      </c>
      <c r="CX453">
        <f>IFERROR(INDEX(PP_Grid[#Data],$DD453,100),0)</f>
        <v/>
      </c>
      <c r="CY453">
        <f>IFERROR(INDEX(PP_Grid[#Data],$DD453,101),0)</f>
        <v/>
      </c>
      <c r="CZ453">
        <f>IFERROR(INDEX(PP_Grid[#Data],$DD453,102),0)</f>
        <v/>
      </c>
      <c r="DA453">
        <f>IFERROR(INDEX(PP_Grid[#Data],$DD453,103),0)</f>
        <v/>
      </c>
      <c r="DB453">
        <f>IFERROR(INDEX(PP_Grid[#Data],$DD453,104),0)</f>
        <v/>
      </c>
      <c r="DC453">
        <f>IFERROR(INDEX(PP_Grid[#Data],$DD453,105),0)</f>
        <v/>
      </c>
      <c r="DD453" s="12">
        <f>IFERROR(MATCH($B453,PP_Grid[Intermediate],0),99999)</f>
        <v/>
      </c>
    </row>
    <row r="454">
      <c r="B454" t="inlineStr">
        <is>
          <t>使用量(kg)</t>
        </is>
      </c>
      <c r="C454">
        <f>SUMIFS(M_BOM[RM_Qty_Per_Batch],M_BOM[Intermediate],$B453,M_BOM[Part Name],$A406)</f>
        <v/>
      </c>
      <c r="D454">
        <f>$C454*D453</f>
        <v/>
      </c>
      <c r="E454">
        <f>$C454*E453</f>
        <v/>
      </c>
      <c r="F454">
        <f>$C454*F453</f>
        <v/>
      </c>
      <c r="G454">
        <f>$C454*G453</f>
        <v/>
      </c>
      <c r="H454">
        <f>$C454*H453</f>
        <v/>
      </c>
      <c r="I454">
        <f>$C454*I453</f>
        <v/>
      </c>
      <c r="J454">
        <f>$C454*J453</f>
        <v/>
      </c>
      <c r="K454">
        <f>$C454*K453</f>
        <v/>
      </c>
      <c r="L454">
        <f>$C454*L453</f>
        <v/>
      </c>
      <c r="M454">
        <f>$C454*M453</f>
        <v/>
      </c>
      <c r="N454">
        <f>$C454*N453</f>
        <v/>
      </c>
      <c r="O454">
        <f>$C454*O453</f>
        <v/>
      </c>
      <c r="P454">
        <f>$C454*P453</f>
        <v/>
      </c>
      <c r="Q454">
        <f>$C454*Q453</f>
        <v/>
      </c>
      <c r="R454">
        <f>$C454*R453</f>
        <v/>
      </c>
      <c r="S454">
        <f>$C454*S453</f>
        <v/>
      </c>
      <c r="T454">
        <f>$C454*T453</f>
        <v/>
      </c>
      <c r="U454">
        <f>$C454*U453</f>
        <v/>
      </c>
      <c r="V454">
        <f>$C454*V453</f>
        <v/>
      </c>
      <c r="W454">
        <f>$C454*W453</f>
        <v/>
      </c>
      <c r="X454">
        <f>$C454*X453</f>
        <v/>
      </c>
      <c r="Y454">
        <f>$C454*Y453</f>
        <v/>
      </c>
      <c r="Z454">
        <f>$C454*Z453</f>
        <v/>
      </c>
      <c r="AA454">
        <f>$C454*AA453</f>
        <v/>
      </c>
      <c r="AB454">
        <f>$C454*AB453</f>
        <v/>
      </c>
      <c r="AC454">
        <f>$C454*AC453</f>
        <v/>
      </c>
      <c r="AD454">
        <f>$C454*AD453</f>
        <v/>
      </c>
      <c r="AE454">
        <f>$C454*AE453</f>
        <v/>
      </c>
      <c r="AF454">
        <f>$C454*AF453</f>
        <v/>
      </c>
      <c r="AG454">
        <f>$C454*AG453</f>
        <v/>
      </c>
      <c r="AH454">
        <f>$C454*AH453</f>
        <v/>
      </c>
      <c r="AI454">
        <f>$C454*AI453</f>
        <v/>
      </c>
      <c r="AJ454">
        <f>$C454*AJ453</f>
        <v/>
      </c>
      <c r="AK454">
        <f>$C454*AK453</f>
        <v/>
      </c>
      <c r="AL454">
        <f>$C454*AL453</f>
        <v/>
      </c>
      <c r="AM454">
        <f>$C454*AM453</f>
        <v/>
      </c>
      <c r="AN454">
        <f>$C454*AN453</f>
        <v/>
      </c>
      <c r="AO454">
        <f>$C454*AO453</f>
        <v/>
      </c>
      <c r="AP454">
        <f>$C454*AP453</f>
        <v/>
      </c>
      <c r="AQ454">
        <f>$C454*AQ453</f>
        <v/>
      </c>
      <c r="AR454">
        <f>$C454*AR453</f>
        <v/>
      </c>
      <c r="AS454">
        <f>$C454*AS453</f>
        <v/>
      </c>
      <c r="AT454">
        <f>$C454*AT453</f>
        <v/>
      </c>
      <c r="AU454">
        <f>$C454*AU453</f>
        <v/>
      </c>
      <c r="AV454">
        <f>$C454*AV453</f>
        <v/>
      </c>
      <c r="AW454">
        <f>$C454*AW453</f>
        <v/>
      </c>
      <c r="AX454">
        <f>$C454*AX453</f>
        <v/>
      </c>
      <c r="AY454">
        <f>$C454*AY453</f>
        <v/>
      </c>
      <c r="AZ454">
        <f>$C454*AZ453</f>
        <v/>
      </c>
      <c r="BA454">
        <f>$C454*BA453</f>
        <v/>
      </c>
      <c r="BB454">
        <f>$C454*BB453</f>
        <v/>
      </c>
      <c r="BC454">
        <f>$C454*BC453</f>
        <v/>
      </c>
      <c r="BD454">
        <f>$C454*BD453</f>
        <v/>
      </c>
      <c r="BE454">
        <f>$C454*BE453</f>
        <v/>
      </c>
      <c r="BF454">
        <f>$C454*BF453</f>
        <v/>
      </c>
      <c r="BG454">
        <f>$C454*BG453</f>
        <v/>
      </c>
      <c r="BH454">
        <f>$C454*BH453</f>
        <v/>
      </c>
      <c r="BI454">
        <f>$C454*BI453</f>
        <v/>
      </c>
      <c r="BJ454">
        <f>$C454*BJ453</f>
        <v/>
      </c>
      <c r="BK454">
        <f>$C454*BK453</f>
        <v/>
      </c>
      <c r="BL454">
        <f>$C454*BL453</f>
        <v/>
      </c>
      <c r="BM454">
        <f>$C454*BM453</f>
        <v/>
      </c>
      <c r="BN454">
        <f>$C454*BN453</f>
        <v/>
      </c>
      <c r="BO454">
        <f>$C454*BO453</f>
        <v/>
      </c>
      <c r="BP454">
        <f>$C454*BP453</f>
        <v/>
      </c>
      <c r="BQ454">
        <f>$C454*BQ453</f>
        <v/>
      </c>
      <c r="BR454">
        <f>$C454*BR453</f>
        <v/>
      </c>
      <c r="BS454">
        <f>$C454*BS453</f>
        <v/>
      </c>
      <c r="BT454">
        <f>$C454*BT453</f>
        <v/>
      </c>
      <c r="BU454">
        <f>$C454*BU453</f>
        <v/>
      </c>
      <c r="BV454">
        <f>$C454*BV453</f>
        <v/>
      </c>
      <c r="BW454">
        <f>$C454*BW453</f>
        <v/>
      </c>
      <c r="BX454">
        <f>$C454*BX453</f>
        <v/>
      </c>
      <c r="BY454">
        <f>$C454*BY453</f>
        <v/>
      </c>
      <c r="BZ454">
        <f>$C454*BZ453</f>
        <v/>
      </c>
      <c r="CA454">
        <f>$C454*CA453</f>
        <v/>
      </c>
      <c r="CB454">
        <f>$C454*CB453</f>
        <v/>
      </c>
      <c r="CC454">
        <f>$C454*CC453</f>
        <v/>
      </c>
      <c r="CD454">
        <f>$C454*CD453</f>
        <v/>
      </c>
      <c r="CE454">
        <f>$C454*CE453</f>
        <v/>
      </c>
      <c r="CF454">
        <f>$C454*CF453</f>
        <v/>
      </c>
      <c r="CG454">
        <f>$C454*CG453</f>
        <v/>
      </c>
      <c r="CH454">
        <f>$C454*CH453</f>
        <v/>
      </c>
      <c r="CI454">
        <f>$C454*CI453</f>
        <v/>
      </c>
      <c r="CJ454">
        <f>$C454*CJ453</f>
        <v/>
      </c>
      <c r="CK454">
        <f>$C454*CK453</f>
        <v/>
      </c>
      <c r="CL454">
        <f>$C454*CL453</f>
        <v/>
      </c>
      <c r="CM454">
        <f>$C454*CM453</f>
        <v/>
      </c>
      <c r="CN454">
        <f>$C454*CN453</f>
        <v/>
      </c>
      <c r="CO454">
        <f>$C454*CO453</f>
        <v/>
      </c>
      <c r="CP454">
        <f>$C454*CP453</f>
        <v/>
      </c>
      <c r="CQ454">
        <f>$C454*CQ453</f>
        <v/>
      </c>
      <c r="CR454">
        <f>$C454*CR453</f>
        <v/>
      </c>
      <c r="CS454">
        <f>$C454*CS453</f>
        <v/>
      </c>
      <c r="CT454">
        <f>$C454*CT453</f>
        <v/>
      </c>
      <c r="CU454">
        <f>$C454*CU453</f>
        <v/>
      </c>
      <c r="CV454">
        <f>$C454*CV453</f>
        <v/>
      </c>
      <c r="CW454">
        <f>$C454*CW453</f>
        <v/>
      </c>
      <c r="CX454">
        <f>$C454*CX453</f>
        <v/>
      </c>
      <c r="CY454">
        <f>$C454*CY453</f>
        <v/>
      </c>
      <c r="CZ454">
        <f>$C454*CZ453</f>
        <v/>
      </c>
      <c r="DA454">
        <f>$C454*DA453</f>
        <v/>
      </c>
      <c r="DB454">
        <f>$C454*DB453</f>
        <v/>
      </c>
      <c r="DC454">
        <f>$C454*DC453</f>
        <v/>
      </c>
    </row>
    <row r="455">
      <c r="B455" t="inlineStr">
        <is>
          <t>TSP-670</t>
        </is>
      </c>
      <c r="C455" t="inlineStr">
        <is>
          <t>No. of batches</t>
        </is>
      </c>
      <c r="D455">
        <f>IFERROR(INDEX(PP_Grid[#Data],$DD455,2),0)</f>
        <v/>
      </c>
      <c r="E455">
        <f>IFERROR(INDEX(PP_Grid[#Data],$DD455,3),0)</f>
        <v/>
      </c>
      <c r="F455">
        <f>IFERROR(INDEX(PP_Grid[#Data],$DD455,4),0)</f>
        <v/>
      </c>
      <c r="G455">
        <f>IFERROR(INDEX(PP_Grid[#Data],$DD455,5),0)</f>
        <v/>
      </c>
      <c r="H455">
        <f>IFERROR(INDEX(PP_Grid[#Data],$DD455,6),0)</f>
        <v/>
      </c>
      <c r="I455">
        <f>IFERROR(INDEX(PP_Grid[#Data],$DD455,7),0)</f>
        <v/>
      </c>
      <c r="J455">
        <f>IFERROR(INDEX(PP_Grid[#Data],$DD455,8),0)</f>
        <v/>
      </c>
      <c r="K455">
        <f>IFERROR(INDEX(PP_Grid[#Data],$DD455,9),0)</f>
        <v/>
      </c>
      <c r="L455">
        <f>IFERROR(INDEX(PP_Grid[#Data],$DD455,10),0)</f>
        <v/>
      </c>
      <c r="M455">
        <f>IFERROR(INDEX(PP_Grid[#Data],$DD455,11),0)</f>
        <v/>
      </c>
      <c r="N455">
        <f>IFERROR(INDEX(PP_Grid[#Data],$DD455,12),0)</f>
        <v/>
      </c>
      <c r="O455">
        <f>IFERROR(INDEX(PP_Grid[#Data],$DD455,13),0)</f>
        <v/>
      </c>
      <c r="P455">
        <f>IFERROR(INDEX(PP_Grid[#Data],$DD455,14),0)</f>
        <v/>
      </c>
      <c r="Q455">
        <f>IFERROR(INDEX(PP_Grid[#Data],$DD455,15),0)</f>
        <v/>
      </c>
      <c r="R455">
        <f>IFERROR(INDEX(PP_Grid[#Data],$DD455,16),0)</f>
        <v/>
      </c>
      <c r="S455">
        <f>IFERROR(INDEX(PP_Grid[#Data],$DD455,17),0)</f>
        <v/>
      </c>
      <c r="T455">
        <f>IFERROR(INDEX(PP_Grid[#Data],$DD455,18),0)</f>
        <v/>
      </c>
      <c r="U455">
        <f>IFERROR(INDEX(PP_Grid[#Data],$DD455,19),0)</f>
        <v/>
      </c>
      <c r="V455">
        <f>IFERROR(INDEX(PP_Grid[#Data],$DD455,20),0)</f>
        <v/>
      </c>
      <c r="W455">
        <f>IFERROR(INDEX(PP_Grid[#Data],$DD455,21),0)</f>
        <v/>
      </c>
      <c r="X455">
        <f>IFERROR(INDEX(PP_Grid[#Data],$DD455,22),0)</f>
        <v/>
      </c>
      <c r="Y455">
        <f>IFERROR(INDEX(PP_Grid[#Data],$DD455,23),0)</f>
        <v/>
      </c>
      <c r="Z455">
        <f>IFERROR(INDEX(PP_Grid[#Data],$DD455,24),0)</f>
        <v/>
      </c>
      <c r="AA455">
        <f>IFERROR(INDEX(PP_Grid[#Data],$DD455,25),0)</f>
        <v/>
      </c>
      <c r="AB455">
        <f>IFERROR(INDEX(PP_Grid[#Data],$DD455,26),0)</f>
        <v/>
      </c>
      <c r="AC455">
        <f>IFERROR(INDEX(PP_Grid[#Data],$DD455,27),0)</f>
        <v/>
      </c>
      <c r="AD455">
        <f>IFERROR(INDEX(PP_Grid[#Data],$DD455,28),0)</f>
        <v/>
      </c>
      <c r="AE455">
        <f>IFERROR(INDEX(PP_Grid[#Data],$DD455,29),0)</f>
        <v/>
      </c>
      <c r="AF455">
        <f>IFERROR(INDEX(PP_Grid[#Data],$DD455,30),0)</f>
        <v/>
      </c>
      <c r="AG455">
        <f>IFERROR(INDEX(PP_Grid[#Data],$DD455,31),0)</f>
        <v/>
      </c>
      <c r="AH455">
        <f>IFERROR(INDEX(PP_Grid[#Data],$DD455,32),0)</f>
        <v/>
      </c>
      <c r="AI455">
        <f>IFERROR(INDEX(PP_Grid[#Data],$DD455,33),0)</f>
        <v/>
      </c>
      <c r="AJ455">
        <f>IFERROR(INDEX(PP_Grid[#Data],$DD455,34),0)</f>
        <v/>
      </c>
      <c r="AK455">
        <f>IFERROR(INDEX(PP_Grid[#Data],$DD455,35),0)</f>
        <v/>
      </c>
      <c r="AL455">
        <f>IFERROR(INDEX(PP_Grid[#Data],$DD455,36),0)</f>
        <v/>
      </c>
      <c r="AM455">
        <f>IFERROR(INDEX(PP_Grid[#Data],$DD455,37),0)</f>
        <v/>
      </c>
      <c r="AN455">
        <f>IFERROR(INDEX(PP_Grid[#Data],$DD455,38),0)</f>
        <v/>
      </c>
      <c r="AO455">
        <f>IFERROR(INDEX(PP_Grid[#Data],$DD455,39),0)</f>
        <v/>
      </c>
      <c r="AP455">
        <f>IFERROR(INDEX(PP_Grid[#Data],$DD455,40),0)</f>
        <v/>
      </c>
      <c r="AQ455">
        <f>IFERROR(INDEX(PP_Grid[#Data],$DD455,41),0)</f>
        <v/>
      </c>
      <c r="AR455">
        <f>IFERROR(INDEX(PP_Grid[#Data],$DD455,42),0)</f>
        <v/>
      </c>
      <c r="AS455">
        <f>IFERROR(INDEX(PP_Grid[#Data],$DD455,43),0)</f>
        <v/>
      </c>
      <c r="AT455">
        <f>IFERROR(INDEX(PP_Grid[#Data],$DD455,44),0)</f>
        <v/>
      </c>
      <c r="AU455">
        <f>IFERROR(INDEX(PP_Grid[#Data],$DD455,45),0)</f>
        <v/>
      </c>
      <c r="AV455">
        <f>IFERROR(INDEX(PP_Grid[#Data],$DD455,46),0)</f>
        <v/>
      </c>
      <c r="AW455">
        <f>IFERROR(INDEX(PP_Grid[#Data],$DD455,47),0)</f>
        <v/>
      </c>
      <c r="AX455">
        <f>IFERROR(INDEX(PP_Grid[#Data],$DD455,48),0)</f>
        <v/>
      </c>
      <c r="AY455">
        <f>IFERROR(INDEX(PP_Grid[#Data],$DD455,49),0)</f>
        <v/>
      </c>
      <c r="AZ455">
        <f>IFERROR(INDEX(PP_Grid[#Data],$DD455,50),0)</f>
        <v/>
      </c>
      <c r="BA455">
        <f>IFERROR(INDEX(PP_Grid[#Data],$DD455,51),0)</f>
        <v/>
      </c>
      <c r="BB455">
        <f>IFERROR(INDEX(PP_Grid[#Data],$DD455,52),0)</f>
        <v/>
      </c>
      <c r="BC455">
        <f>IFERROR(INDEX(PP_Grid[#Data],$DD455,53),0)</f>
        <v/>
      </c>
      <c r="BD455">
        <f>IFERROR(INDEX(PP_Grid[#Data],$DD455,54),0)</f>
        <v/>
      </c>
      <c r="BE455">
        <f>IFERROR(INDEX(PP_Grid[#Data],$DD455,55),0)</f>
        <v/>
      </c>
      <c r="BF455">
        <f>IFERROR(INDEX(PP_Grid[#Data],$DD455,56),0)</f>
        <v/>
      </c>
      <c r="BG455">
        <f>IFERROR(INDEX(PP_Grid[#Data],$DD455,57),0)</f>
        <v/>
      </c>
      <c r="BH455">
        <f>IFERROR(INDEX(PP_Grid[#Data],$DD455,58),0)</f>
        <v/>
      </c>
      <c r="BI455">
        <f>IFERROR(INDEX(PP_Grid[#Data],$DD455,59),0)</f>
        <v/>
      </c>
      <c r="BJ455">
        <f>IFERROR(INDEX(PP_Grid[#Data],$DD455,60),0)</f>
        <v/>
      </c>
      <c r="BK455">
        <f>IFERROR(INDEX(PP_Grid[#Data],$DD455,61),0)</f>
        <v/>
      </c>
      <c r="BL455">
        <f>IFERROR(INDEX(PP_Grid[#Data],$DD455,62),0)</f>
        <v/>
      </c>
      <c r="BM455">
        <f>IFERROR(INDEX(PP_Grid[#Data],$DD455,63),0)</f>
        <v/>
      </c>
      <c r="BN455">
        <f>IFERROR(INDEX(PP_Grid[#Data],$DD455,64),0)</f>
        <v/>
      </c>
      <c r="BO455">
        <f>IFERROR(INDEX(PP_Grid[#Data],$DD455,65),0)</f>
        <v/>
      </c>
      <c r="BP455">
        <f>IFERROR(INDEX(PP_Grid[#Data],$DD455,66),0)</f>
        <v/>
      </c>
      <c r="BQ455">
        <f>IFERROR(INDEX(PP_Grid[#Data],$DD455,67),0)</f>
        <v/>
      </c>
      <c r="BR455">
        <f>IFERROR(INDEX(PP_Grid[#Data],$DD455,68),0)</f>
        <v/>
      </c>
      <c r="BS455">
        <f>IFERROR(INDEX(PP_Grid[#Data],$DD455,69),0)</f>
        <v/>
      </c>
      <c r="BT455">
        <f>IFERROR(INDEX(PP_Grid[#Data],$DD455,70),0)</f>
        <v/>
      </c>
      <c r="BU455">
        <f>IFERROR(INDEX(PP_Grid[#Data],$DD455,71),0)</f>
        <v/>
      </c>
      <c r="BV455">
        <f>IFERROR(INDEX(PP_Grid[#Data],$DD455,72),0)</f>
        <v/>
      </c>
      <c r="BW455">
        <f>IFERROR(INDEX(PP_Grid[#Data],$DD455,73),0)</f>
        <v/>
      </c>
      <c r="BX455">
        <f>IFERROR(INDEX(PP_Grid[#Data],$DD455,74),0)</f>
        <v/>
      </c>
      <c r="BY455">
        <f>IFERROR(INDEX(PP_Grid[#Data],$DD455,75),0)</f>
        <v/>
      </c>
      <c r="BZ455">
        <f>IFERROR(INDEX(PP_Grid[#Data],$DD455,76),0)</f>
        <v/>
      </c>
      <c r="CA455">
        <f>IFERROR(INDEX(PP_Grid[#Data],$DD455,77),0)</f>
        <v/>
      </c>
      <c r="CB455">
        <f>IFERROR(INDEX(PP_Grid[#Data],$DD455,78),0)</f>
        <v/>
      </c>
      <c r="CC455">
        <f>IFERROR(INDEX(PP_Grid[#Data],$DD455,79),0)</f>
        <v/>
      </c>
      <c r="CD455">
        <f>IFERROR(INDEX(PP_Grid[#Data],$DD455,80),0)</f>
        <v/>
      </c>
      <c r="CE455">
        <f>IFERROR(INDEX(PP_Grid[#Data],$DD455,81),0)</f>
        <v/>
      </c>
      <c r="CF455">
        <f>IFERROR(INDEX(PP_Grid[#Data],$DD455,82),0)</f>
        <v/>
      </c>
      <c r="CG455">
        <f>IFERROR(INDEX(PP_Grid[#Data],$DD455,83),0)</f>
        <v/>
      </c>
      <c r="CH455">
        <f>IFERROR(INDEX(PP_Grid[#Data],$DD455,84),0)</f>
        <v/>
      </c>
      <c r="CI455">
        <f>IFERROR(INDEX(PP_Grid[#Data],$DD455,85),0)</f>
        <v/>
      </c>
      <c r="CJ455">
        <f>IFERROR(INDEX(PP_Grid[#Data],$DD455,86),0)</f>
        <v/>
      </c>
      <c r="CK455">
        <f>IFERROR(INDEX(PP_Grid[#Data],$DD455,87),0)</f>
        <v/>
      </c>
      <c r="CL455">
        <f>IFERROR(INDEX(PP_Grid[#Data],$DD455,88),0)</f>
        <v/>
      </c>
      <c r="CM455">
        <f>IFERROR(INDEX(PP_Grid[#Data],$DD455,89),0)</f>
        <v/>
      </c>
      <c r="CN455">
        <f>IFERROR(INDEX(PP_Grid[#Data],$DD455,90),0)</f>
        <v/>
      </c>
      <c r="CO455">
        <f>IFERROR(INDEX(PP_Grid[#Data],$DD455,91),0)</f>
        <v/>
      </c>
      <c r="CP455">
        <f>IFERROR(INDEX(PP_Grid[#Data],$DD455,92),0)</f>
        <v/>
      </c>
      <c r="CQ455">
        <f>IFERROR(INDEX(PP_Grid[#Data],$DD455,93),0)</f>
        <v/>
      </c>
      <c r="CR455">
        <f>IFERROR(INDEX(PP_Grid[#Data],$DD455,94),0)</f>
        <v/>
      </c>
      <c r="CS455">
        <f>IFERROR(INDEX(PP_Grid[#Data],$DD455,95),0)</f>
        <v/>
      </c>
      <c r="CT455">
        <f>IFERROR(INDEX(PP_Grid[#Data],$DD455,96),0)</f>
        <v/>
      </c>
      <c r="CU455">
        <f>IFERROR(INDEX(PP_Grid[#Data],$DD455,97),0)</f>
        <v/>
      </c>
      <c r="CV455">
        <f>IFERROR(INDEX(PP_Grid[#Data],$DD455,98),0)</f>
        <v/>
      </c>
      <c r="CW455">
        <f>IFERROR(INDEX(PP_Grid[#Data],$DD455,99),0)</f>
        <v/>
      </c>
      <c r="CX455">
        <f>IFERROR(INDEX(PP_Grid[#Data],$DD455,100),0)</f>
        <v/>
      </c>
      <c r="CY455">
        <f>IFERROR(INDEX(PP_Grid[#Data],$DD455,101),0)</f>
        <v/>
      </c>
      <c r="CZ455">
        <f>IFERROR(INDEX(PP_Grid[#Data],$DD455,102),0)</f>
        <v/>
      </c>
      <c r="DA455">
        <f>IFERROR(INDEX(PP_Grid[#Data],$DD455,103),0)</f>
        <v/>
      </c>
      <c r="DB455">
        <f>IFERROR(INDEX(PP_Grid[#Data],$DD455,104),0)</f>
        <v/>
      </c>
      <c r="DC455">
        <f>IFERROR(INDEX(PP_Grid[#Data],$DD455,105),0)</f>
        <v/>
      </c>
      <c r="DD455" s="12">
        <f>IFERROR(MATCH($B455,PP_Grid[Intermediate],0),99999)</f>
        <v/>
      </c>
    </row>
    <row r="456">
      <c r="B456" t="inlineStr">
        <is>
          <t>使用量(kg)</t>
        </is>
      </c>
      <c r="C456">
        <f>SUMIFS(M_BOM[RM_Qty_Per_Batch],M_BOM[Intermediate],$B455,M_BOM[Part Name],$A406)</f>
        <v/>
      </c>
      <c r="D456">
        <f>$C456*D455</f>
        <v/>
      </c>
      <c r="E456">
        <f>$C456*E455</f>
        <v/>
      </c>
      <c r="F456">
        <f>$C456*F455</f>
        <v/>
      </c>
      <c r="G456">
        <f>$C456*G455</f>
        <v/>
      </c>
      <c r="H456">
        <f>$C456*H455</f>
        <v/>
      </c>
      <c r="I456">
        <f>$C456*I455</f>
        <v/>
      </c>
      <c r="J456">
        <f>$C456*J455</f>
        <v/>
      </c>
      <c r="K456">
        <f>$C456*K455</f>
        <v/>
      </c>
      <c r="L456">
        <f>$C456*L455</f>
        <v/>
      </c>
      <c r="M456">
        <f>$C456*M455</f>
        <v/>
      </c>
      <c r="N456">
        <f>$C456*N455</f>
        <v/>
      </c>
      <c r="O456">
        <f>$C456*O455</f>
        <v/>
      </c>
      <c r="P456">
        <f>$C456*P455</f>
        <v/>
      </c>
      <c r="Q456">
        <f>$C456*Q455</f>
        <v/>
      </c>
      <c r="R456">
        <f>$C456*R455</f>
        <v/>
      </c>
      <c r="S456">
        <f>$C456*S455</f>
        <v/>
      </c>
      <c r="T456">
        <f>$C456*T455</f>
        <v/>
      </c>
      <c r="U456">
        <f>$C456*U455</f>
        <v/>
      </c>
      <c r="V456">
        <f>$C456*V455</f>
        <v/>
      </c>
      <c r="W456">
        <f>$C456*W455</f>
        <v/>
      </c>
      <c r="X456">
        <f>$C456*X455</f>
        <v/>
      </c>
      <c r="Y456">
        <f>$C456*Y455</f>
        <v/>
      </c>
      <c r="Z456">
        <f>$C456*Z455</f>
        <v/>
      </c>
      <c r="AA456">
        <f>$C456*AA455</f>
        <v/>
      </c>
      <c r="AB456">
        <f>$C456*AB455</f>
        <v/>
      </c>
      <c r="AC456">
        <f>$C456*AC455</f>
        <v/>
      </c>
      <c r="AD456">
        <f>$C456*AD455</f>
        <v/>
      </c>
      <c r="AE456">
        <f>$C456*AE455</f>
        <v/>
      </c>
      <c r="AF456">
        <f>$C456*AF455</f>
        <v/>
      </c>
      <c r="AG456">
        <f>$C456*AG455</f>
        <v/>
      </c>
      <c r="AH456">
        <f>$C456*AH455</f>
        <v/>
      </c>
      <c r="AI456">
        <f>$C456*AI455</f>
        <v/>
      </c>
      <c r="AJ456">
        <f>$C456*AJ455</f>
        <v/>
      </c>
      <c r="AK456">
        <f>$C456*AK455</f>
        <v/>
      </c>
      <c r="AL456">
        <f>$C456*AL455</f>
        <v/>
      </c>
      <c r="AM456">
        <f>$C456*AM455</f>
        <v/>
      </c>
      <c r="AN456">
        <f>$C456*AN455</f>
        <v/>
      </c>
      <c r="AO456">
        <f>$C456*AO455</f>
        <v/>
      </c>
      <c r="AP456">
        <f>$C456*AP455</f>
        <v/>
      </c>
      <c r="AQ456">
        <f>$C456*AQ455</f>
        <v/>
      </c>
      <c r="AR456">
        <f>$C456*AR455</f>
        <v/>
      </c>
      <c r="AS456">
        <f>$C456*AS455</f>
        <v/>
      </c>
      <c r="AT456">
        <f>$C456*AT455</f>
        <v/>
      </c>
      <c r="AU456">
        <f>$C456*AU455</f>
        <v/>
      </c>
      <c r="AV456">
        <f>$C456*AV455</f>
        <v/>
      </c>
      <c r="AW456">
        <f>$C456*AW455</f>
        <v/>
      </c>
      <c r="AX456">
        <f>$C456*AX455</f>
        <v/>
      </c>
      <c r="AY456">
        <f>$C456*AY455</f>
        <v/>
      </c>
      <c r="AZ456">
        <f>$C456*AZ455</f>
        <v/>
      </c>
      <c r="BA456">
        <f>$C456*BA455</f>
        <v/>
      </c>
      <c r="BB456">
        <f>$C456*BB455</f>
        <v/>
      </c>
      <c r="BC456">
        <f>$C456*BC455</f>
        <v/>
      </c>
      <c r="BD456">
        <f>$C456*BD455</f>
        <v/>
      </c>
      <c r="BE456">
        <f>$C456*BE455</f>
        <v/>
      </c>
      <c r="BF456">
        <f>$C456*BF455</f>
        <v/>
      </c>
      <c r="BG456">
        <f>$C456*BG455</f>
        <v/>
      </c>
      <c r="BH456">
        <f>$C456*BH455</f>
        <v/>
      </c>
      <c r="BI456">
        <f>$C456*BI455</f>
        <v/>
      </c>
      <c r="BJ456">
        <f>$C456*BJ455</f>
        <v/>
      </c>
      <c r="BK456">
        <f>$C456*BK455</f>
        <v/>
      </c>
      <c r="BL456">
        <f>$C456*BL455</f>
        <v/>
      </c>
      <c r="BM456">
        <f>$C456*BM455</f>
        <v/>
      </c>
      <c r="BN456">
        <f>$C456*BN455</f>
        <v/>
      </c>
      <c r="BO456">
        <f>$C456*BO455</f>
        <v/>
      </c>
      <c r="BP456">
        <f>$C456*BP455</f>
        <v/>
      </c>
      <c r="BQ456">
        <f>$C456*BQ455</f>
        <v/>
      </c>
      <c r="BR456">
        <f>$C456*BR455</f>
        <v/>
      </c>
      <c r="BS456">
        <f>$C456*BS455</f>
        <v/>
      </c>
      <c r="BT456">
        <f>$C456*BT455</f>
        <v/>
      </c>
      <c r="BU456">
        <f>$C456*BU455</f>
        <v/>
      </c>
      <c r="BV456">
        <f>$C456*BV455</f>
        <v/>
      </c>
      <c r="BW456">
        <f>$C456*BW455</f>
        <v/>
      </c>
      <c r="BX456">
        <f>$C456*BX455</f>
        <v/>
      </c>
      <c r="BY456">
        <f>$C456*BY455</f>
        <v/>
      </c>
      <c r="BZ456">
        <f>$C456*BZ455</f>
        <v/>
      </c>
      <c r="CA456">
        <f>$C456*CA455</f>
        <v/>
      </c>
      <c r="CB456">
        <f>$C456*CB455</f>
        <v/>
      </c>
      <c r="CC456">
        <f>$C456*CC455</f>
        <v/>
      </c>
      <c r="CD456">
        <f>$C456*CD455</f>
        <v/>
      </c>
      <c r="CE456">
        <f>$C456*CE455</f>
        <v/>
      </c>
      <c r="CF456">
        <f>$C456*CF455</f>
        <v/>
      </c>
      <c r="CG456">
        <f>$C456*CG455</f>
        <v/>
      </c>
      <c r="CH456">
        <f>$C456*CH455</f>
        <v/>
      </c>
      <c r="CI456">
        <f>$C456*CI455</f>
        <v/>
      </c>
      <c r="CJ456">
        <f>$C456*CJ455</f>
        <v/>
      </c>
      <c r="CK456">
        <f>$C456*CK455</f>
        <v/>
      </c>
      <c r="CL456">
        <f>$C456*CL455</f>
        <v/>
      </c>
      <c r="CM456">
        <f>$C456*CM455</f>
        <v/>
      </c>
      <c r="CN456">
        <f>$C456*CN455</f>
        <v/>
      </c>
      <c r="CO456">
        <f>$C456*CO455</f>
        <v/>
      </c>
      <c r="CP456">
        <f>$C456*CP455</f>
        <v/>
      </c>
      <c r="CQ456">
        <f>$C456*CQ455</f>
        <v/>
      </c>
      <c r="CR456">
        <f>$C456*CR455</f>
        <v/>
      </c>
      <c r="CS456">
        <f>$C456*CS455</f>
        <v/>
      </c>
      <c r="CT456">
        <f>$C456*CT455</f>
        <v/>
      </c>
      <c r="CU456">
        <f>$C456*CU455</f>
        <v/>
      </c>
      <c r="CV456">
        <f>$C456*CV455</f>
        <v/>
      </c>
      <c r="CW456">
        <f>$C456*CW455</f>
        <v/>
      </c>
      <c r="CX456">
        <f>$C456*CX455</f>
        <v/>
      </c>
      <c r="CY456">
        <f>$C456*CY455</f>
        <v/>
      </c>
      <c r="CZ456">
        <f>$C456*CZ455</f>
        <v/>
      </c>
      <c r="DA456">
        <f>$C456*DA455</f>
        <v/>
      </c>
      <c r="DB456">
        <f>$C456*DB455</f>
        <v/>
      </c>
      <c r="DC456">
        <f>$C456*DC455</f>
        <v/>
      </c>
    </row>
    <row r="457">
      <c r="B457" t="inlineStr">
        <is>
          <t>TSP-710</t>
        </is>
      </c>
      <c r="C457" t="inlineStr">
        <is>
          <t>No. of batches</t>
        </is>
      </c>
      <c r="D457">
        <f>IFERROR(INDEX(PP_Grid[#Data],$DD457,2),0)</f>
        <v/>
      </c>
      <c r="E457">
        <f>IFERROR(INDEX(PP_Grid[#Data],$DD457,3),0)</f>
        <v/>
      </c>
      <c r="F457">
        <f>IFERROR(INDEX(PP_Grid[#Data],$DD457,4),0)</f>
        <v/>
      </c>
      <c r="G457">
        <f>IFERROR(INDEX(PP_Grid[#Data],$DD457,5),0)</f>
        <v/>
      </c>
      <c r="H457">
        <f>IFERROR(INDEX(PP_Grid[#Data],$DD457,6),0)</f>
        <v/>
      </c>
      <c r="I457">
        <f>IFERROR(INDEX(PP_Grid[#Data],$DD457,7),0)</f>
        <v/>
      </c>
      <c r="J457">
        <f>IFERROR(INDEX(PP_Grid[#Data],$DD457,8),0)</f>
        <v/>
      </c>
      <c r="K457">
        <f>IFERROR(INDEX(PP_Grid[#Data],$DD457,9),0)</f>
        <v/>
      </c>
      <c r="L457">
        <f>IFERROR(INDEX(PP_Grid[#Data],$DD457,10),0)</f>
        <v/>
      </c>
      <c r="M457">
        <f>IFERROR(INDEX(PP_Grid[#Data],$DD457,11),0)</f>
        <v/>
      </c>
      <c r="N457">
        <f>IFERROR(INDEX(PP_Grid[#Data],$DD457,12),0)</f>
        <v/>
      </c>
      <c r="O457">
        <f>IFERROR(INDEX(PP_Grid[#Data],$DD457,13),0)</f>
        <v/>
      </c>
      <c r="P457">
        <f>IFERROR(INDEX(PP_Grid[#Data],$DD457,14),0)</f>
        <v/>
      </c>
      <c r="Q457">
        <f>IFERROR(INDEX(PP_Grid[#Data],$DD457,15),0)</f>
        <v/>
      </c>
      <c r="R457">
        <f>IFERROR(INDEX(PP_Grid[#Data],$DD457,16),0)</f>
        <v/>
      </c>
      <c r="S457">
        <f>IFERROR(INDEX(PP_Grid[#Data],$DD457,17),0)</f>
        <v/>
      </c>
      <c r="T457">
        <f>IFERROR(INDEX(PP_Grid[#Data],$DD457,18),0)</f>
        <v/>
      </c>
      <c r="U457">
        <f>IFERROR(INDEX(PP_Grid[#Data],$DD457,19),0)</f>
        <v/>
      </c>
      <c r="V457">
        <f>IFERROR(INDEX(PP_Grid[#Data],$DD457,20),0)</f>
        <v/>
      </c>
      <c r="W457">
        <f>IFERROR(INDEX(PP_Grid[#Data],$DD457,21),0)</f>
        <v/>
      </c>
      <c r="X457">
        <f>IFERROR(INDEX(PP_Grid[#Data],$DD457,22),0)</f>
        <v/>
      </c>
      <c r="Y457">
        <f>IFERROR(INDEX(PP_Grid[#Data],$DD457,23),0)</f>
        <v/>
      </c>
      <c r="Z457">
        <f>IFERROR(INDEX(PP_Grid[#Data],$DD457,24),0)</f>
        <v/>
      </c>
      <c r="AA457">
        <f>IFERROR(INDEX(PP_Grid[#Data],$DD457,25),0)</f>
        <v/>
      </c>
      <c r="AB457">
        <f>IFERROR(INDEX(PP_Grid[#Data],$DD457,26),0)</f>
        <v/>
      </c>
      <c r="AC457">
        <f>IFERROR(INDEX(PP_Grid[#Data],$DD457,27),0)</f>
        <v/>
      </c>
      <c r="AD457">
        <f>IFERROR(INDEX(PP_Grid[#Data],$DD457,28),0)</f>
        <v/>
      </c>
      <c r="AE457">
        <f>IFERROR(INDEX(PP_Grid[#Data],$DD457,29),0)</f>
        <v/>
      </c>
      <c r="AF457">
        <f>IFERROR(INDEX(PP_Grid[#Data],$DD457,30),0)</f>
        <v/>
      </c>
      <c r="AG457">
        <f>IFERROR(INDEX(PP_Grid[#Data],$DD457,31),0)</f>
        <v/>
      </c>
      <c r="AH457">
        <f>IFERROR(INDEX(PP_Grid[#Data],$DD457,32),0)</f>
        <v/>
      </c>
      <c r="AI457">
        <f>IFERROR(INDEX(PP_Grid[#Data],$DD457,33),0)</f>
        <v/>
      </c>
      <c r="AJ457">
        <f>IFERROR(INDEX(PP_Grid[#Data],$DD457,34),0)</f>
        <v/>
      </c>
      <c r="AK457">
        <f>IFERROR(INDEX(PP_Grid[#Data],$DD457,35),0)</f>
        <v/>
      </c>
      <c r="AL457">
        <f>IFERROR(INDEX(PP_Grid[#Data],$DD457,36),0)</f>
        <v/>
      </c>
      <c r="AM457">
        <f>IFERROR(INDEX(PP_Grid[#Data],$DD457,37),0)</f>
        <v/>
      </c>
      <c r="AN457">
        <f>IFERROR(INDEX(PP_Grid[#Data],$DD457,38),0)</f>
        <v/>
      </c>
      <c r="AO457">
        <f>IFERROR(INDEX(PP_Grid[#Data],$DD457,39),0)</f>
        <v/>
      </c>
      <c r="AP457">
        <f>IFERROR(INDEX(PP_Grid[#Data],$DD457,40),0)</f>
        <v/>
      </c>
      <c r="AQ457">
        <f>IFERROR(INDEX(PP_Grid[#Data],$DD457,41),0)</f>
        <v/>
      </c>
      <c r="AR457">
        <f>IFERROR(INDEX(PP_Grid[#Data],$DD457,42),0)</f>
        <v/>
      </c>
      <c r="AS457">
        <f>IFERROR(INDEX(PP_Grid[#Data],$DD457,43),0)</f>
        <v/>
      </c>
      <c r="AT457">
        <f>IFERROR(INDEX(PP_Grid[#Data],$DD457,44),0)</f>
        <v/>
      </c>
      <c r="AU457">
        <f>IFERROR(INDEX(PP_Grid[#Data],$DD457,45),0)</f>
        <v/>
      </c>
      <c r="AV457">
        <f>IFERROR(INDEX(PP_Grid[#Data],$DD457,46),0)</f>
        <v/>
      </c>
      <c r="AW457">
        <f>IFERROR(INDEX(PP_Grid[#Data],$DD457,47),0)</f>
        <v/>
      </c>
      <c r="AX457">
        <f>IFERROR(INDEX(PP_Grid[#Data],$DD457,48),0)</f>
        <v/>
      </c>
      <c r="AY457">
        <f>IFERROR(INDEX(PP_Grid[#Data],$DD457,49),0)</f>
        <v/>
      </c>
      <c r="AZ457">
        <f>IFERROR(INDEX(PP_Grid[#Data],$DD457,50),0)</f>
        <v/>
      </c>
      <c r="BA457">
        <f>IFERROR(INDEX(PP_Grid[#Data],$DD457,51),0)</f>
        <v/>
      </c>
      <c r="BB457">
        <f>IFERROR(INDEX(PP_Grid[#Data],$DD457,52),0)</f>
        <v/>
      </c>
      <c r="BC457">
        <f>IFERROR(INDEX(PP_Grid[#Data],$DD457,53),0)</f>
        <v/>
      </c>
      <c r="BD457">
        <f>IFERROR(INDEX(PP_Grid[#Data],$DD457,54),0)</f>
        <v/>
      </c>
      <c r="BE457">
        <f>IFERROR(INDEX(PP_Grid[#Data],$DD457,55),0)</f>
        <v/>
      </c>
      <c r="BF457">
        <f>IFERROR(INDEX(PP_Grid[#Data],$DD457,56),0)</f>
        <v/>
      </c>
      <c r="BG457">
        <f>IFERROR(INDEX(PP_Grid[#Data],$DD457,57),0)</f>
        <v/>
      </c>
      <c r="BH457">
        <f>IFERROR(INDEX(PP_Grid[#Data],$DD457,58),0)</f>
        <v/>
      </c>
      <c r="BI457">
        <f>IFERROR(INDEX(PP_Grid[#Data],$DD457,59),0)</f>
        <v/>
      </c>
      <c r="BJ457">
        <f>IFERROR(INDEX(PP_Grid[#Data],$DD457,60),0)</f>
        <v/>
      </c>
      <c r="BK457">
        <f>IFERROR(INDEX(PP_Grid[#Data],$DD457,61),0)</f>
        <v/>
      </c>
      <c r="BL457">
        <f>IFERROR(INDEX(PP_Grid[#Data],$DD457,62),0)</f>
        <v/>
      </c>
      <c r="BM457">
        <f>IFERROR(INDEX(PP_Grid[#Data],$DD457,63),0)</f>
        <v/>
      </c>
      <c r="BN457">
        <f>IFERROR(INDEX(PP_Grid[#Data],$DD457,64),0)</f>
        <v/>
      </c>
      <c r="BO457">
        <f>IFERROR(INDEX(PP_Grid[#Data],$DD457,65),0)</f>
        <v/>
      </c>
      <c r="BP457">
        <f>IFERROR(INDEX(PP_Grid[#Data],$DD457,66),0)</f>
        <v/>
      </c>
      <c r="BQ457">
        <f>IFERROR(INDEX(PP_Grid[#Data],$DD457,67),0)</f>
        <v/>
      </c>
      <c r="BR457">
        <f>IFERROR(INDEX(PP_Grid[#Data],$DD457,68),0)</f>
        <v/>
      </c>
      <c r="BS457">
        <f>IFERROR(INDEX(PP_Grid[#Data],$DD457,69),0)</f>
        <v/>
      </c>
      <c r="BT457">
        <f>IFERROR(INDEX(PP_Grid[#Data],$DD457,70),0)</f>
        <v/>
      </c>
      <c r="BU457">
        <f>IFERROR(INDEX(PP_Grid[#Data],$DD457,71),0)</f>
        <v/>
      </c>
      <c r="BV457">
        <f>IFERROR(INDEX(PP_Grid[#Data],$DD457,72),0)</f>
        <v/>
      </c>
      <c r="BW457">
        <f>IFERROR(INDEX(PP_Grid[#Data],$DD457,73),0)</f>
        <v/>
      </c>
      <c r="BX457">
        <f>IFERROR(INDEX(PP_Grid[#Data],$DD457,74),0)</f>
        <v/>
      </c>
      <c r="BY457">
        <f>IFERROR(INDEX(PP_Grid[#Data],$DD457,75),0)</f>
        <v/>
      </c>
      <c r="BZ457">
        <f>IFERROR(INDEX(PP_Grid[#Data],$DD457,76),0)</f>
        <v/>
      </c>
      <c r="CA457">
        <f>IFERROR(INDEX(PP_Grid[#Data],$DD457,77),0)</f>
        <v/>
      </c>
      <c r="CB457">
        <f>IFERROR(INDEX(PP_Grid[#Data],$DD457,78),0)</f>
        <v/>
      </c>
      <c r="CC457">
        <f>IFERROR(INDEX(PP_Grid[#Data],$DD457,79),0)</f>
        <v/>
      </c>
      <c r="CD457">
        <f>IFERROR(INDEX(PP_Grid[#Data],$DD457,80),0)</f>
        <v/>
      </c>
      <c r="CE457">
        <f>IFERROR(INDEX(PP_Grid[#Data],$DD457,81),0)</f>
        <v/>
      </c>
      <c r="CF457">
        <f>IFERROR(INDEX(PP_Grid[#Data],$DD457,82),0)</f>
        <v/>
      </c>
      <c r="CG457">
        <f>IFERROR(INDEX(PP_Grid[#Data],$DD457,83),0)</f>
        <v/>
      </c>
      <c r="CH457">
        <f>IFERROR(INDEX(PP_Grid[#Data],$DD457,84),0)</f>
        <v/>
      </c>
      <c r="CI457">
        <f>IFERROR(INDEX(PP_Grid[#Data],$DD457,85),0)</f>
        <v/>
      </c>
      <c r="CJ457">
        <f>IFERROR(INDEX(PP_Grid[#Data],$DD457,86),0)</f>
        <v/>
      </c>
      <c r="CK457">
        <f>IFERROR(INDEX(PP_Grid[#Data],$DD457,87),0)</f>
        <v/>
      </c>
      <c r="CL457">
        <f>IFERROR(INDEX(PP_Grid[#Data],$DD457,88),0)</f>
        <v/>
      </c>
      <c r="CM457">
        <f>IFERROR(INDEX(PP_Grid[#Data],$DD457,89),0)</f>
        <v/>
      </c>
      <c r="CN457">
        <f>IFERROR(INDEX(PP_Grid[#Data],$DD457,90),0)</f>
        <v/>
      </c>
      <c r="CO457">
        <f>IFERROR(INDEX(PP_Grid[#Data],$DD457,91),0)</f>
        <v/>
      </c>
      <c r="CP457">
        <f>IFERROR(INDEX(PP_Grid[#Data],$DD457,92),0)</f>
        <v/>
      </c>
      <c r="CQ457">
        <f>IFERROR(INDEX(PP_Grid[#Data],$DD457,93),0)</f>
        <v/>
      </c>
      <c r="CR457">
        <f>IFERROR(INDEX(PP_Grid[#Data],$DD457,94),0)</f>
        <v/>
      </c>
      <c r="CS457">
        <f>IFERROR(INDEX(PP_Grid[#Data],$DD457,95),0)</f>
        <v/>
      </c>
      <c r="CT457">
        <f>IFERROR(INDEX(PP_Grid[#Data],$DD457,96),0)</f>
        <v/>
      </c>
      <c r="CU457">
        <f>IFERROR(INDEX(PP_Grid[#Data],$DD457,97),0)</f>
        <v/>
      </c>
      <c r="CV457">
        <f>IFERROR(INDEX(PP_Grid[#Data],$DD457,98),0)</f>
        <v/>
      </c>
      <c r="CW457">
        <f>IFERROR(INDEX(PP_Grid[#Data],$DD457,99),0)</f>
        <v/>
      </c>
      <c r="CX457">
        <f>IFERROR(INDEX(PP_Grid[#Data],$DD457,100),0)</f>
        <v/>
      </c>
      <c r="CY457">
        <f>IFERROR(INDEX(PP_Grid[#Data],$DD457,101),0)</f>
        <v/>
      </c>
      <c r="CZ457">
        <f>IFERROR(INDEX(PP_Grid[#Data],$DD457,102),0)</f>
        <v/>
      </c>
      <c r="DA457">
        <f>IFERROR(INDEX(PP_Grid[#Data],$DD457,103),0)</f>
        <v/>
      </c>
      <c r="DB457">
        <f>IFERROR(INDEX(PP_Grid[#Data],$DD457,104),0)</f>
        <v/>
      </c>
      <c r="DC457">
        <f>IFERROR(INDEX(PP_Grid[#Data],$DD457,105),0)</f>
        <v/>
      </c>
      <c r="DD457" s="12">
        <f>IFERROR(MATCH($B457,PP_Grid[Intermediate],0),99999)</f>
        <v/>
      </c>
    </row>
    <row r="458">
      <c r="B458" t="inlineStr">
        <is>
          <t>使用量(kg)</t>
        </is>
      </c>
      <c r="C458">
        <f>SUMIFS(M_BOM[RM_Qty_Per_Batch],M_BOM[Intermediate],$B457,M_BOM[Part Name],$A406)</f>
        <v/>
      </c>
      <c r="D458">
        <f>$C458*D457</f>
        <v/>
      </c>
      <c r="E458">
        <f>$C458*E457</f>
        <v/>
      </c>
      <c r="F458">
        <f>$C458*F457</f>
        <v/>
      </c>
      <c r="G458">
        <f>$C458*G457</f>
        <v/>
      </c>
      <c r="H458">
        <f>$C458*H457</f>
        <v/>
      </c>
      <c r="I458">
        <f>$C458*I457</f>
        <v/>
      </c>
      <c r="J458">
        <f>$C458*J457</f>
        <v/>
      </c>
      <c r="K458">
        <f>$C458*K457</f>
        <v/>
      </c>
      <c r="L458">
        <f>$C458*L457</f>
        <v/>
      </c>
      <c r="M458">
        <f>$C458*M457</f>
        <v/>
      </c>
      <c r="N458">
        <f>$C458*N457</f>
        <v/>
      </c>
      <c r="O458">
        <f>$C458*O457</f>
        <v/>
      </c>
      <c r="P458">
        <f>$C458*P457</f>
        <v/>
      </c>
      <c r="Q458">
        <f>$C458*Q457</f>
        <v/>
      </c>
      <c r="R458">
        <f>$C458*R457</f>
        <v/>
      </c>
      <c r="S458">
        <f>$C458*S457</f>
        <v/>
      </c>
      <c r="T458">
        <f>$C458*T457</f>
        <v/>
      </c>
      <c r="U458">
        <f>$C458*U457</f>
        <v/>
      </c>
      <c r="V458">
        <f>$C458*V457</f>
        <v/>
      </c>
      <c r="W458">
        <f>$C458*W457</f>
        <v/>
      </c>
      <c r="X458">
        <f>$C458*X457</f>
        <v/>
      </c>
      <c r="Y458">
        <f>$C458*Y457</f>
        <v/>
      </c>
      <c r="Z458">
        <f>$C458*Z457</f>
        <v/>
      </c>
      <c r="AA458">
        <f>$C458*AA457</f>
        <v/>
      </c>
      <c r="AB458">
        <f>$C458*AB457</f>
        <v/>
      </c>
      <c r="AC458">
        <f>$C458*AC457</f>
        <v/>
      </c>
      <c r="AD458">
        <f>$C458*AD457</f>
        <v/>
      </c>
      <c r="AE458">
        <f>$C458*AE457</f>
        <v/>
      </c>
      <c r="AF458">
        <f>$C458*AF457</f>
        <v/>
      </c>
      <c r="AG458">
        <f>$C458*AG457</f>
        <v/>
      </c>
      <c r="AH458">
        <f>$C458*AH457</f>
        <v/>
      </c>
      <c r="AI458">
        <f>$C458*AI457</f>
        <v/>
      </c>
      <c r="AJ458">
        <f>$C458*AJ457</f>
        <v/>
      </c>
      <c r="AK458">
        <f>$C458*AK457</f>
        <v/>
      </c>
      <c r="AL458">
        <f>$C458*AL457</f>
        <v/>
      </c>
      <c r="AM458">
        <f>$C458*AM457</f>
        <v/>
      </c>
      <c r="AN458">
        <f>$C458*AN457</f>
        <v/>
      </c>
      <c r="AO458">
        <f>$C458*AO457</f>
        <v/>
      </c>
      <c r="AP458">
        <f>$C458*AP457</f>
        <v/>
      </c>
      <c r="AQ458">
        <f>$C458*AQ457</f>
        <v/>
      </c>
      <c r="AR458">
        <f>$C458*AR457</f>
        <v/>
      </c>
      <c r="AS458">
        <f>$C458*AS457</f>
        <v/>
      </c>
      <c r="AT458">
        <f>$C458*AT457</f>
        <v/>
      </c>
      <c r="AU458">
        <f>$C458*AU457</f>
        <v/>
      </c>
      <c r="AV458">
        <f>$C458*AV457</f>
        <v/>
      </c>
      <c r="AW458">
        <f>$C458*AW457</f>
        <v/>
      </c>
      <c r="AX458">
        <f>$C458*AX457</f>
        <v/>
      </c>
      <c r="AY458">
        <f>$C458*AY457</f>
        <v/>
      </c>
      <c r="AZ458">
        <f>$C458*AZ457</f>
        <v/>
      </c>
      <c r="BA458">
        <f>$C458*BA457</f>
        <v/>
      </c>
      <c r="BB458">
        <f>$C458*BB457</f>
        <v/>
      </c>
      <c r="BC458">
        <f>$C458*BC457</f>
        <v/>
      </c>
      <c r="BD458">
        <f>$C458*BD457</f>
        <v/>
      </c>
      <c r="BE458">
        <f>$C458*BE457</f>
        <v/>
      </c>
      <c r="BF458">
        <f>$C458*BF457</f>
        <v/>
      </c>
      <c r="BG458">
        <f>$C458*BG457</f>
        <v/>
      </c>
      <c r="BH458">
        <f>$C458*BH457</f>
        <v/>
      </c>
      <c r="BI458">
        <f>$C458*BI457</f>
        <v/>
      </c>
      <c r="BJ458">
        <f>$C458*BJ457</f>
        <v/>
      </c>
      <c r="BK458">
        <f>$C458*BK457</f>
        <v/>
      </c>
      <c r="BL458">
        <f>$C458*BL457</f>
        <v/>
      </c>
      <c r="BM458">
        <f>$C458*BM457</f>
        <v/>
      </c>
      <c r="BN458">
        <f>$C458*BN457</f>
        <v/>
      </c>
      <c r="BO458">
        <f>$C458*BO457</f>
        <v/>
      </c>
      <c r="BP458">
        <f>$C458*BP457</f>
        <v/>
      </c>
      <c r="BQ458">
        <f>$C458*BQ457</f>
        <v/>
      </c>
      <c r="BR458">
        <f>$C458*BR457</f>
        <v/>
      </c>
      <c r="BS458">
        <f>$C458*BS457</f>
        <v/>
      </c>
      <c r="BT458">
        <f>$C458*BT457</f>
        <v/>
      </c>
      <c r="BU458">
        <f>$C458*BU457</f>
        <v/>
      </c>
      <c r="BV458">
        <f>$C458*BV457</f>
        <v/>
      </c>
      <c r="BW458">
        <f>$C458*BW457</f>
        <v/>
      </c>
      <c r="BX458">
        <f>$C458*BX457</f>
        <v/>
      </c>
      <c r="BY458">
        <f>$C458*BY457</f>
        <v/>
      </c>
      <c r="BZ458">
        <f>$C458*BZ457</f>
        <v/>
      </c>
      <c r="CA458">
        <f>$C458*CA457</f>
        <v/>
      </c>
      <c r="CB458">
        <f>$C458*CB457</f>
        <v/>
      </c>
      <c r="CC458">
        <f>$C458*CC457</f>
        <v/>
      </c>
      <c r="CD458">
        <f>$C458*CD457</f>
        <v/>
      </c>
      <c r="CE458">
        <f>$C458*CE457</f>
        <v/>
      </c>
      <c r="CF458">
        <f>$C458*CF457</f>
        <v/>
      </c>
      <c r="CG458">
        <f>$C458*CG457</f>
        <v/>
      </c>
      <c r="CH458">
        <f>$C458*CH457</f>
        <v/>
      </c>
      <c r="CI458">
        <f>$C458*CI457</f>
        <v/>
      </c>
      <c r="CJ458">
        <f>$C458*CJ457</f>
        <v/>
      </c>
      <c r="CK458">
        <f>$C458*CK457</f>
        <v/>
      </c>
      <c r="CL458">
        <f>$C458*CL457</f>
        <v/>
      </c>
      <c r="CM458">
        <f>$C458*CM457</f>
        <v/>
      </c>
      <c r="CN458">
        <f>$C458*CN457</f>
        <v/>
      </c>
      <c r="CO458">
        <f>$C458*CO457</f>
        <v/>
      </c>
      <c r="CP458">
        <f>$C458*CP457</f>
        <v/>
      </c>
      <c r="CQ458">
        <f>$C458*CQ457</f>
        <v/>
      </c>
      <c r="CR458">
        <f>$C458*CR457</f>
        <v/>
      </c>
      <c r="CS458">
        <f>$C458*CS457</f>
        <v/>
      </c>
      <c r="CT458">
        <f>$C458*CT457</f>
        <v/>
      </c>
      <c r="CU458">
        <f>$C458*CU457</f>
        <v/>
      </c>
      <c r="CV458">
        <f>$C458*CV457</f>
        <v/>
      </c>
      <c r="CW458">
        <f>$C458*CW457</f>
        <v/>
      </c>
      <c r="CX458">
        <f>$C458*CX457</f>
        <v/>
      </c>
      <c r="CY458">
        <f>$C458*CY457</f>
        <v/>
      </c>
      <c r="CZ458">
        <f>$C458*CZ457</f>
        <v/>
      </c>
      <c r="DA458">
        <f>$C458*DA457</f>
        <v/>
      </c>
      <c r="DB458">
        <f>$C458*DB457</f>
        <v/>
      </c>
      <c r="DC458">
        <f>$C458*DC457</f>
        <v/>
      </c>
    </row>
    <row r="459">
      <c r="B459" t="inlineStr">
        <is>
          <t>TSP-828</t>
        </is>
      </c>
      <c r="C459" t="inlineStr">
        <is>
          <t>No. of batches</t>
        </is>
      </c>
      <c r="D459">
        <f>IFERROR(INDEX(PP_Grid[#Data],$DD459,2),0)</f>
        <v/>
      </c>
      <c r="E459">
        <f>IFERROR(INDEX(PP_Grid[#Data],$DD459,3),0)</f>
        <v/>
      </c>
      <c r="F459">
        <f>IFERROR(INDEX(PP_Grid[#Data],$DD459,4),0)</f>
        <v/>
      </c>
      <c r="G459">
        <f>IFERROR(INDEX(PP_Grid[#Data],$DD459,5),0)</f>
        <v/>
      </c>
      <c r="H459">
        <f>IFERROR(INDEX(PP_Grid[#Data],$DD459,6),0)</f>
        <v/>
      </c>
      <c r="I459">
        <f>IFERROR(INDEX(PP_Grid[#Data],$DD459,7),0)</f>
        <v/>
      </c>
      <c r="J459">
        <f>IFERROR(INDEX(PP_Grid[#Data],$DD459,8),0)</f>
        <v/>
      </c>
      <c r="K459">
        <f>IFERROR(INDEX(PP_Grid[#Data],$DD459,9),0)</f>
        <v/>
      </c>
      <c r="L459">
        <f>IFERROR(INDEX(PP_Grid[#Data],$DD459,10),0)</f>
        <v/>
      </c>
      <c r="M459">
        <f>IFERROR(INDEX(PP_Grid[#Data],$DD459,11),0)</f>
        <v/>
      </c>
      <c r="N459">
        <f>IFERROR(INDEX(PP_Grid[#Data],$DD459,12),0)</f>
        <v/>
      </c>
      <c r="O459">
        <f>IFERROR(INDEX(PP_Grid[#Data],$DD459,13),0)</f>
        <v/>
      </c>
      <c r="P459">
        <f>IFERROR(INDEX(PP_Grid[#Data],$DD459,14),0)</f>
        <v/>
      </c>
      <c r="Q459">
        <f>IFERROR(INDEX(PP_Grid[#Data],$DD459,15),0)</f>
        <v/>
      </c>
      <c r="R459">
        <f>IFERROR(INDEX(PP_Grid[#Data],$DD459,16),0)</f>
        <v/>
      </c>
      <c r="S459">
        <f>IFERROR(INDEX(PP_Grid[#Data],$DD459,17),0)</f>
        <v/>
      </c>
      <c r="T459">
        <f>IFERROR(INDEX(PP_Grid[#Data],$DD459,18),0)</f>
        <v/>
      </c>
      <c r="U459">
        <f>IFERROR(INDEX(PP_Grid[#Data],$DD459,19),0)</f>
        <v/>
      </c>
      <c r="V459">
        <f>IFERROR(INDEX(PP_Grid[#Data],$DD459,20),0)</f>
        <v/>
      </c>
      <c r="W459">
        <f>IFERROR(INDEX(PP_Grid[#Data],$DD459,21),0)</f>
        <v/>
      </c>
      <c r="X459">
        <f>IFERROR(INDEX(PP_Grid[#Data],$DD459,22),0)</f>
        <v/>
      </c>
      <c r="Y459">
        <f>IFERROR(INDEX(PP_Grid[#Data],$DD459,23),0)</f>
        <v/>
      </c>
      <c r="Z459">
        <f>IFERROR(INDEX(PP_Grid[#Data],$DD459,24),0)</f>
        <v/>
      </c>
      <c r="AA459">
        <f>IFERROR(INDEX(PP_Grid[#Data],$DD459,25),0)</f>
        <v/>
      </c>
      <c r="AB459">
        <f>IFERROR(INDEX(PP_Grid[#Data],$DD459,26),0)</f>
        <v/>
      </c>
      <c r="AC459">
        <f>IFERROR(INDEX(PP_Grid[#Data],$DD459,27),0)</f>
        <v/>
      </c>
      <c r="AD459">
        <f>IFERROR(INDEX(PP_Grid[#Data],$DD459,28),0)</f>
        <v/>
      </c>
      <c r="AE459">
        <f>IFERROR(INDEX(PP_Grid[#Data],$DD459,29),0)</f>
        <v/>
      </c>
      <c r="AF459">
        <f>IFERROR(INDEX(PP_Grid[#Data],$DD459,30),0)</f>
        <v/>
      </c>
      <c r="AG459">
        <f>IFERROR(INDEX(PP_Grid[#Data],$DD459,31),0)</f>
        <v/>
      </c>
      <c r="AH459">
        <f>IFERROR(INDEX(PP_Grid[#Data],$DD459,32),0)</f>
        <v/>
      </c>
      <c r="AI459">
        <f>IFERROR(INDEX(PP_Grid[#Data],$DD459,33),0)</f>
        <v/>
      </c>
      <c r="AJ459">
        <f>IFERROR(INDEX(PP_Grid[#Data],$DD459,34),0)</f>
        <v/>
      </c>
      <c r="AK459">
        <f>IFERROR(INDEX(PP_Grid[#Data],$DD459,35),0)</f>
        <v/>
      </c>
      <c r="AL459">
        <f>IFERROR(INDEX(PP_Grid[#Data],$DD459,36),0)</f>
        <v/>
      </c>
      <c r="AM459">
        <f>IFERROR(INDEX(PP_Grid[#Data],$DD459,37),0)</f>
        <v/>
      </c>
      <c r="AN459">
        <f>IFERROR(INDEX(PP_Grid[#Data],$DD459,38),0)</f>
        <v/>
      </c>
      <c r="AO459">
        <f>IFERROR(INDEX(PP_Grid[#Data],$DD459,39),0)</f>
        <v/>
      </c>
      <c r="AP459">
        <f>IFERROR(INDEX(PP_Grid[#Data],$DD459,40),0)</f>
        <v/>
      </c>
      <c r="AQ459">
        <f>IFERROR(INDEX(PP_Grid[#Data],$DD459,41),0)</f>
        <v/>
      </c>
      <c r="AR459">
        <f>IFERROR(INDEX(PP_Grid[#Data],$DD459,42),0)</f>
        <v/>
      </c>
      <c r="AS459">
        <f>IFERROR(INDEX(PP_Grid[#Data],$DD459,43),0)</f>
        <v/>
      </c>
      <c r="AT459">
        <f>IFERROR(INDEX(PP_Grid[#Data],$DD459,44),0)</f>
        <v/>
      </c>
      <c r="AU459">
        <f>IFERROR(INDEX(PP_Grid[#Data],$DD459,45),0)</f>
        <v/>
      </c>
      <c r="AV459">
        <f>IFERROR(INDEX(PP_Grid[#Data],$DD459,46),0)</f>
        <v/>
      </c>
      <c r="AW459">
        <f>IFERROR(INDEX(PP_Grid[#Data],$DD459,47),0)</f>
        <v/>
      </c>
      <c r="AX459">
        <f>IFERROR(INDEX(PP_Grid[#Data],$DD459,48),0)</f>
        <v/>
      </c>
      <c r="AY459">
        <f>IFERROR(INDEX(PP_Grid[#Data],$DD459,49),0)</f>
        <v/>
      </c>
      <c r="AZ459">
        <f>IFERROR(INDEX(PP_Grid[#Data],$DD459,50),0)</f>
        <v/>
      </c>
      <c r="BA459">
        <f>IFERROR(INDEX(PP_Grid[#Data],$DD459,51),0)</f>
        <v/>
      </c>
      <c r="BB459">
        <f>IFERROR(INDEX(PP_Grid[#Data],$DD459,52),0)</f>
        <v/>
      </c>
      <c r="BC459">
        <f>IFERROR(INDEX(PP_Grid[#Data],$DD459,53),0)</f>
        <v/>
      </c>
      <c r="BD459">
        <f>IFERROR(INDEX(PP_Grid[#Data],$DD459,54),0)</f>
        <v/>
      </c>
      <c r="BE459">
        <f>IFERROR(INDEX(PP_Grid[#Data],$DD459,55),0)</f>
        <v/>
      </c>
      <c r="BF459">
        <f>IFERROR(INDEX(PP_Grid[#Data],$DD459,56),0)</f>
        <v/>
      </c>
      <c r="BG459">
        <f>IFERROR(INDEX(PP_Grid[#Data],$DD459,57),0)</f>
        <v/>
      </c>
      <c r="BH459">
        <f>IFERROR(INDEX(PP_Grid[#Data],$DD459,58),0)</f>
        <v/>
      </c>
      <c r="BI459">
        <f>IFERROR(INDEX(PP_Grid[#Data],$DD459,59),0)</f>
        <v/>
      </c>
      <c r="BJ459">
        <f>IFERROR(INDEX(PP_Grid[#Data],$DD459,60),0)</f>
        <v/>
      </c>
      <c r="BK459">
        <f>IFERROR(INDEX(PP_Grid[#Data],$DD459,61),0)</f>
        <v/>
      </c>
      <c r="BL459">
        <f>IFERROR(INDEX(PP_Grid[#Data],$DD459,62),0)</f>
        <v/>
      </c>
      <c r="BM459">
        <f>IFERROR(INDEX(PP_Grid[#Data],$DD459,63),0)</f>
        <v/>
      </c>
      <c r="BN459">
        <f>IFERROR(INDEX(PP_Grid[#Data],$DD459,64),0)</f>
        <v/>
      </c>
      <c r="BO459">
        <f>IFERROR(INDEX(PP_Grid[#Data],$DD459,65),0)</f>
        <v/>
      </c>
      <c r="BP459">
        <f>IFERROR(INDEX(PP_Grid[#Data],$DD459,66),0)</f>
        <v/>
      </c>
      <c r="BQ459">
        <f>IFERROR(INDEX(PP_Grid[#Data],$DD459,67),0)</f>
        <v/>
      </c>
      <c r="BR459">
        <f>IFERROR(INDEX(PP_Grid[#Data],$DD459,68),0)</f>
        <v/>
      </c>
      <c r="BS459">
        <f>IFERROR(INDEX(PP_Grid[#Data],$DD459,69),0)</f>
        <v/>
      </c>
      <c r="BT459">
        <f>IFERROR(INDEX(PP_Grid[#Data],$DD459,70),0)</f>
        <v/>
      </c>
      <c r="BU459">
        <f>IFERROR(INDEX(PP_Grid[#Data],$DD459,71),0)</f>
        <v/>
      </c>
      <c r="BV459">
        <f>IFERROR(INDEX(PP_Grid[#Data],$DD459,72),0)</f>
        <v/>
      </c>
      <c r="BW459">
        <f>IFERROR(INDEX(PP_Grid[#Data],$DD459,73),0)</f>
        <v/>
      </c>
      <c r="BX459">
        <f>IFERROR(INDEX(PP_Grid[#Data],$DD459,74),0)</f>
        <v/>
      </c>
      <c r="BY459">
        <f>IFERROR(INDEX(PP_Grid[#Data],$DD459,75),0)</f>
        <v/>
      </c>
      <c r="BZ459">
        <f>IFERROR(INDEX(PP_Grid[#Data],$DD459,76),0)</f>
        <v/>
      </c>
      <c r="CA459">
        <f>IFERROR(INDEX(PP_Grid[#Data],$DD459,77),0)</f>
        <v/>
      </c>
      <c r="CB459">
        <f>IFERROR(INDEX(PP_Grid[#Data],$DD459,78),0)</f>
        <v/>
      </c>
      <c r="CC459">
        <f>IFERROR(INDEX(PP_Grid[#Data],$DD459,79),0)</f>
        <v/>
      </c>
      <c r="CD459">
        <f>IFERROR(INDEX(PP_Grid[#Data],$DD459,80),0)</f>
        <v/>
      </c>
      <c r="CE459">
        <f>IFERROR(INDEX(PP_Grid[#Data],$DD459,81),0)</f>
        <v/>
      </c>
      <c r="CF459">
        <f>IFERROR(INDEX(PP_Grid[#Data],$DD459,82),0)</f>
        <v/>
      </c>
      <c r="CG459">
        <f>IFERROR(INDEX(PP_Grid[#Data],$DD459,83),0)</f>
        <v/>
      </c>
      <c r="CH459">
        <f>IFERROR(INDEX(PP_Grid[#Data],$DD459,84),0)</f>
        <v/>
      </c>
      <c r="CI459">
        <f>IFERROR(INDEX(PP_Grid[#Data],$DD459,85),0)</f>
        <v/>
      </c>
      <c r="CJ459">
        <f>IFERROR(INDEX(PP_Grid[#Data],$DD459,86),0)</f>
        <v/>
      </c>
      <c r="CK459">
        <f>IFERROR(INDEX(PP_Grid[#Data],$DD459,87),0)</f>
        <v/>
      </c>
      <c r="CL459">
        <f>IFERROR(INDEX(PP_Grid[#Data],$DD459,88),0)</f>
        <v/>
      </c>
      <c r="CM459">
        <f>IFERROR(INDEX(PP_Grid[#Data],$DD459,89),0)</f>
        <v/>
      </c>
      <c r="CN459">
        <f>IFERROR(INDEX(PP_Grid[#Data],$DD459,90),0)</f>
        <v/>
      </c>
      <c r="CO459">
        <f>IFERROR(INDEX(PP_Grid[#Data],$DD459,91),0)</f>
        <v/>
      </c>
      <c r="CP459">
        <f>IFERROR(INDEX(PP_Grid[#Data],$DD459,92),0)</f>
        <v/>
      </c>
      <c r="CQ459">
        <f>IFERROR(INDEX(PP_Grid[#Data],$DD459,93),0)</f>
        <v/>
      </c>
      <c r="CR459">
        <f>IFERROR(INDEX(PP_Grid[#Data],$DD459,94),0)</f>
        <v/>
      </c>
      <c r="CS459">
        <f>IFERROR(INDEX(PP_Grid[#Data],$DD459,95),0)</f>
        <v/>
      </c>
      <c r="CT459">
        <f>IFERROR(INDEX(PP_Grid[#Data],$DD459,96),0)</f>
        <v/>
      </c>
      <c r="CU459">
        <f>IFERROR(INDEX(PP_Grid[#Data],$DD459,97),0)</f>
        <v/>
      </c>
      <c r="CV459">
        <f>IFERROR(INDEX(PP_Grid[#Data],$DD459,98),0)</f>
        <v/>
      </c>
      <c r="CW459">
        <f>IFERROR(INDEX(PP_Grid[#Data],$DD459,99),0)</f>
        <v/>
      </c>
      <c r="CX459">
        <f>IFERROR(INDEX(PP_Grid[#Data],$DD459,100),0)</f>
        <v/>
      </c>
      <c r="CY459">
        <f>IFERROR(INDEX(PP_Grid[#Data],$DD459,101),0)</f>
        <v/>
      </c>
      <c r="CZ459">
        <f>IFERROR(INDEX(PP_Grid[#Data],$DD459,102),0)</f>
        <v/>
      </c>
      <c r="DA459">
        <f>IFERROR(INDEX(PP_Grid[#Data],$DD459,103),0)</f>
        <v/>
      </c>
      <c r="DB459">
        <f>IFERROR(INDEX(PP_Grid[#Data],$DD459,104),0)</f>
        <v/>
      </c>
      <c r="DC459">
        <f>IFERROR(INDEX(PP_Grid[#Data],$DD459,105),0)</f>
        <v/>
      </c>
      <c r="DD459" s="12">
        <f>IFERROR(MATCH($B459,PP_Grid[Intermediate],0),99999)</f>
        <v/>
      </c>
    </row>
    <row r="460">
      <c r="B460" t="inlineStr">
        <is>
          <t>使用量(kg)</t>
        </is>
      </c>
      <c r="C460">
        <f>SUMIFS(M_BOM[RM_Qty_Per_Batch],M_BOM[Intermediate],$B459,M_BOM[Part Name],$A406)</f>
        <v/>
      </c>
      <c r="D460">
        <f>$C460*D459</f>
        <v/>
      </c>
      <c r="E460">
        <f>$C460*E459</f>
        <v/>
      </c>
      <c r="F460">
        <f>$C460*F459</f>
        <v/>
      </c>
      <c r="G460">
        <f>$C460*G459</f>
        <v/>
      </c>
      <c r="H460">
        <f>$C460*H459</f>
        <v/>
      </c>
      <c r="I460">
        <f>$C460*I459</f>
        <v/>
      </c>
      <c r="J460">
        <f>$C460*J459</f>
        <v/>
      </c>
      <c r="K460">
        <f>$C460*K459</f>
        <v/>
      </c>
      <c r="L460">
        <f>$C460*L459</f>
        <v/>
      </c>
      <c r="M460">
        <f>$C460*M459</f>
        <v/>
      </c>
      <c r="N460">
        <f>$C460*N459</f>
        <v/>
      </c>
      <c r="O460">
        <f>$C460*O459</f>
        <v/>
      </c>
      <c r="P460">
        <f>$C460*P459</f>
        <v/>
      </c>
      <c r="Q460">
        <f>$C460*Q459</f>
        <v/>
      </c>
      <c r="R460">
        <f>$C460*R459</f>
        <v/>
      </c>
      <c r="S460">
        <f>$C460*S459</f>
        <v/>
      </c>
      <c r="T460">
        <f>$C460*T459</f>
        <v/>
      </c>
      <c r="U460">
        <f>$C460*U459</f>
        <v/>
      </c>
      <c r="V460">
        <f>$C460*V459</f>
        <v/>
      </c>
      <c r="W460">
        <f>$C460*W459</f>
        <v/>
      </c>
      <c r="X460">
        <f>$C460*X459</f>
        <v/>
      </c>
      <c r="Y460">
        <f>$C460*Y459</f>
        <v/>
      </c>
      <c r="Z460">
        <f>$C460*Z459</f>
        <v/>
      </c>
      <c r="AA460">
        <f>$C460*AA459</f>
        <v/>
      </c>
      <c r="AB460">
        <f>$C460*AB459</f>
        <v/>
      </c>
      <c r="AC460">
        <f>$C460*AC459</f>
        <v/>
      </c>
      <c r="AD460">
        <f>$C460*AD459</f>
        <v/>
      </c>
      <c r="AE460">
        <f>$C460*AE459</f>
        <v/>
      </c>
      <c r="AF460">
        <f>$C460*AF459</f>
        <v/>
      </c>
      <c r="AG460">
        <f>$C460*AG459</f>
        <v/>
      </c>
      <c r="AH460">
        <f>$C460*AH459</f>
        <v/>
      </c>
      <c r="AI460">
        <f>$C460*AI459</f>
        <v/>
      </c>
      <c r="AJ460">
        <f>$C460*AJ459</f>
        <v/>
      </c>
      <c r="AK460">
        <f>$C460*AK459</f>
        <v/>
      </c>
      <c r="AL460">
        <f>$C460*AL459</f>
        <v/>
      </c>
      <c r="AM460">
        <f>$C460*AM459</f>
        <v/>
      </c>
      <c r="AN460">
        <f>$C460*AN459</f>
        <v/>
      </c>
      <c r="AO460">
        <f>$C460*AO459</f>
        <v/>
      </c>
      <c r="AP460">
        <f>$C460*AP459</f>
        <v/>
      </c>
      <c r="AQ460">
        <f>$C460*AQ459</f>
        <v/>
      </c>
      <c r="AR460">
        <f>$C460*AR459</f>
        <v/>
      </c>
      <c r="AS460">
        <f>$C460*AS459</f>
        <v/>
      </c>
      <c r="AT460">
        <f>$C460*AT459</f>
        <v/>
      </c>
      <c r="AU460">
        <f>$C460*AU459</f>
        <v/>
      </c>
      <c r="AV460">
        <f>$C460*AV459</f>
        <v/>
      </c>
      <c r="AW460">
        <f>$C460*AW459</f>
        <v/>
      </c>
      <c r="AX460">
        <f>$C460*AX459</f>
        <v/>
      </c>
      <c r="AY460">
        <f>$C460*AY459</f>
        <v/>
      </c>
      <c r="AZ460">
        <f>$C460*AZ459</f>
        <v/>
      </c>
      <c r="BA460">
        <f>$C460*BA459</f>
        <v/>
      </c>
      <c r="BB460">
        <f>$C460*BB459</f>
        <v/>
      </c>
      <c r="BC460">
        <f>$C460*BC459</f>
        <v/>
      </c>
      <c r="BD460">
        <f>$C460*BD459</f>
        <v/>
      </c>
      <c r="BE460">
        <f>$C460*BE459</f>
        <v/>
      </c>
      <c r="BF460">
        <f>$C460*BF459</f>
        <v/>
      </c>
      <c r="BG460">
        <f>$C460*BG459</f>
        <v/>
      </c>
      <c r="BH460">
        <f>$C460*BH459</f>
        <v/>
      </c>
      <c r="BI460">
        <f>$C460*BI459</f>
        <v/>
      </c>
      <c r="BJ460">
        <f>$C460*BJ459</f>
        <v/>
      </c>
      <c r="BK460">
        <f>$C460*BK459</f>
        <v/>
      </c>
      <c r="BL460">
        <f>$C460*BL459</f>
        <v/>
      </c>
      <c r="BM460">
        <f>$C460*BM459</f>
        <v/>
      </c>
      <c r="BN460">
        <f>$C460*BN459</f>
        <v/>
      </c>
      <c r="BO460">
        <f>$C460*BO459</f>
        <v/>
      </c>
      <c r="BP460">
        <f>$C460*BP459</f>
        <v/>
      </c>
      <c r="BQ460">
        <f>$C460*BQ459</f>
        <v/>
      </c>
      <c r="BR460">
        <f>$C460*BR459</f>
        <v/>
      </c>
      <c r="BS460">
        <f>$C460*BS459</f>
        <v/>
      </c>
      <c r="BT460">
        <f>$C460*BT459</f>
        <v/>
      </c>
      <c r="BU460">
        <f>$C460*BU459</f>
        <v/>
      </c>
      <c r="BV460">
        <f>$C460*BV459</f>
        <v/>
      </c>
      <c r="BW460">
        <f>$C460*BW459</f>
        <v/>
      </c>
      <c r="BX460">
        <f>$C460*BX459</f>
        <v/>
      </c>
      <c r="BY460">
        <f>$C460*BY459</f>
        <v/>
      </c>
      <c r="BZ460">
        <f>$C460*BZ459</f>
        <v/>
      </c>
      <c r="CA460">
        <f>$C460*CA459</f>
        <v/>
      </c>
      <c r="CB460">
        <f>$C460*CB459</f>
        <v/>
      </c>
      <c r="CC460">
        <f>$C460*CC459</f>
        <v/>
      </c>
      <c r="CD460">
        <f>$C460*CD459</f>
        <v/>
      </c>
      <c r="CE460">
        <f>$C460*CE459</f>
        <v/>
      </c>
      <c r="CF460">
        <f>$C460*CF459</f>
        <v/>
      </c>
      <c r="CG460">
        <f>$C460*CG459</f>
        <v/>
      </c>
      <c r="CH460">
        <f>$C460*CH459</f>
        <v/>
      </c>
      <c r="CI460">
        <f>$C460*CI459</f>
        <v/>
      </c>
      <c r="CJ460">
        <f>$C460*CJ459</f>
        <v/>
      </c>
      <c r="CK460">
        <f>$C460*CK459</f>
        <v/>
      </c>
      <c r="CL460">
        <f>$C460*CL459</f>
        <v/>
      </c>
      <c r="CM460">
        <f>$C460*CM459</f>
        <v/>
      </c>
      <c r="CN460">
        <f>$C460*CN459</f>
        <v/>
      </c>
      <c r="CO460">
        <f>$C460*CO459</f>
        <v/>
      </c>
      <c r="CP460">
        <f>$C460*CP459</f>
        <v/>
      </c>
      <c r="CQ460">
        <f>$C460*CQ459</f>
        <v/>
      </c>
      <c r="CR460">
        <f>$C460*CR459</f>
        <v/>
      </c>
      <c r="CS460">
        <f>$C460*CS459</f>
        <v/>
      </c>
      <c r="CT460">
        <f>$C460*CT459</f>
        <v/>
      </c>
      <c r="CU460">
        <f>$C460*CU459</f>
        <v/>
      </c>
      <c r="CV460">
        <f>$C460*CV459</f>
        <v/>
      </c>
      <c r="CW460">
        <f>$C460*CW459</f>
        <v/>
      </c>
      <c r="CX460">
        <f>$C460*CX459</f>
        <v/>
      </c>
      <c r="CY460">
        <f>$C460*CY459</f>
        <v/>
      </c>
      <c r="CZ460">
        <f>$C460*CZ459</f>
        <v/>
      </c>
      <c r="DA460">
        <f>$C460*DA459</f>
        <v/>
      </c>
      <c r="DB460">
        <f>$C460*DB459</f>
        <v/>
      </c>
      <c r="DC460">
        <f>$C460*DC459</f>
        <v/>
      </c>
    </row>
    <row r="461">
      <c r="B461" t="inlineStr">
        <is>
          <t>TSP-903</t>
        </is>
      </c>
      <c r="C461" t="inlineStr">
        <is>
          <t>No. of batches</t>
        </is>
      </c>
      <c r="D461">
        <f>IFERROR(INDEX(PP_Grid[#Data],$DD461,2),0)</f>
        <v/>
      </c>
      <c r="E461">
        <f>IFERROR(INDEX(PP_Grid[#Data],$DD461,3),0)</f>
        <v/>
      </c>
      <c r="F461">
        <f>IFERROR(INDEX(PP_Grid[#Data],$DD461,4),0)</f>
        <v/>
      </c>
      <c r="G461">
        <f>IFERROR(INDEX(PP_Grid[#Data],$DD461,5),0)</f>
        <v/>
      </c>
      <c r="H461">
        <f>IFERROR(INDEX(PP_Grid[#Data],$DD461,6),0)</f>
        <v/>
      </c>
      <c r="I461">
        <f>IFERROR(INDEX(PP_Grid[#Data],$DD461,7),0)</f>
        <v/>
      </c>
      <c r="J461">
        <f>IFERROR(INDEX(PP_Grid[#Data],$DD461,8),0)</f>
        <v/>
      </c>
      <c r="K461">
        <f>IFERROR(INDEX(PP_Grid[#Data],$DD461,9),0)</f>
        <v/>
      </c>
      <c r="L461">
        <f>IFERROR(INDEX(PP_Grid[#Data],$DD461,10),0)</f>
        <v/>
      </c>
      <c r="M461">
        <f>IFERROR(INDEX(PP_Grid[#Data],$DD461,11),0)</f>
        <v/>
      </c>
      <c r="N461">
        <f>IFERROR(INDEX(PP_Grid[#Data],$DD461,12),0)</f>
        <v/>
      </c>
      <c r="O461">
        <f>IFERROR(INDEX(PP_Grid[#Data],$DD461,13),0)</f>
        <v/>
      </c>
      <c r="P461">
        <f>IFERROR(INDEX(PP_Grid[#Data],$DD461,14),0)</f>
        <v/>
      </c>
      <c r="Q461">
        <f>IFERROR(INDEX(PP_Grid[#Data],$DD461,15),0)</f>
        <v/>
      </c>
      <c r="R461">
        <f>IFERROR(INDEX(PP_Grid[#Data],$DD461,16),0)</f>
        <v/>
      </c>
      <c r="S461">
        <f>IFERROR(INDEX(PP_Grid[#Data],$DD461,17),0)</f>
        <v/>
      </c>
      <c r="T461">
        <f>IFERROR(INDEX(PP_Grid[#Data],$DD461,18),0)</f>
        <v/>
      </c>
      <c r="U461">
        <f>IFERROR(INDEX(PP_Grid[#Data],$DD461,19),0)</f>
        <v/>
      </c>
      <c r="V461">
        <f>IFERROR(INDEX(PP_Grid[#Data],$DD461,20),0)</f>
        <v/>
      </c>
      <c r="W461">
        <f>IFERROR(INDEX(PP_Grid[#Data],$DD461,21),0)</f>
        <v/>
      </c>
      <c r="X461">
        <f>IFERROR(INDEX(PP_Grid[#Data],$DD461,22),0)</f>
        <v/>
      </c>
      <c r="Y461">
        <f>IFERROR(INDEX(PP_Grid[#Data],$DD461,23),0)</f>
        <v/>
      </c>
      <c r="Z461">
        <f>IFERROR(INDEX(PP_Grid[#Data],$DD461,24),0)</f>
        <v/>
      </c>
      <c r="AA461">
        <f>IFERROR(INDEX(PP_Grid[#Data],$DD461,25),0)</f>
        <v/>
      </c>
      <c r="AB461">
        <f>IFERROR(INDEX(PP_Grid[#Data],$DD461,26),0)</f>
        <v/>
      </c>
      <c r="AC461">
        <f>IFERROR(INDEX(PP_Grid[#Data],$DD461,27),0)</f>
        <v/>
      </c>
      <c r="AD461">
        <f>IFERROR(INDEX(PP_Grid[#Data],$DD461,28),0)</f>
        <v/>
      </c>
      <c r="AE461">
        <f>IFERROR(INDEX(PP_Grid[#Data],$DD461,29),0)</f>
        <v/>
      </c>
      <c r="AF461">
        <f>IFERROR(INDEX(PP_Grid[#Data],$DD461,30),0)</f>
        <v/>
      </c>
      <c r="AG461">
        <f>IFERROR(INDEX(PP_Grid[#Data],$DD461,31),0)</f>
        <v/>
      </c>
      <c r="AH461">
        <f>IFERROR(INDEX(PP_Grid[#Data],$DD461,32),0)</f>
        <v/>
      </c>
      <c r="AI461">
        <f>IFERROR(INDEX(PP_Grid[#Data],$DD461,33),0)</f>
        <v/>
      </c>
      <c r="AJ461">
        <f>IFERROR(INDEX(PP_Grid[#Data],$DD461,34),0)</f>
        <v/>
      </c>
      <c r="AK461">
        <f>IFERROR(INDEX(PP_Grid[#Data],$DD461,35),0)</f>
        <v/>
      </c>
      <c r="AL461">
        <f>IFERROR(INDEX(PP_Grid[#Data],$DD461,36),0)</f>
        <v/>
      </c>
      <c r="AM461">
        <f>IFERROR(INDEX(PP_Grid[#Data],$DD461,37),0)</f>
        <v/>
      </c>
      <c r="AN461">
        <f>IFERROR(INDEX(PP_Grid[#Data],$DD461,38),0)</f>
        <v/>
      </c>
      <c r="AO461">
        <f>IFERROR(INDEX(PP_Grid[#Data],$DD461,39),0)</f>
        <v/>
      </c>
      <c r="AP461">
        <f>IFERROR(INDEX(PP_Grid[#Data],$DD461,40),0)</f>
        <v/>
      </c>
      <c r="AQ461">
        <f>IFERROR(INDEX(PP_Grid[#Data],$DD461,41),0)</f>
        <v/>
      </c>
      <c r="AR461">
        <f>IFERROR(INDEX(PP_Grid[#Data],$DD461,42),0)</f>
        <v/>
      </c>
      <c r="AS461">
        <f>IFERROR(INDEX(PP_Grid[#Data],$DD461,43),0)</f>
        <v/>
      </c>
      <c r="AT461">
        <f>IFERROR(INDEX(PP_Grid[#Data],$DD461,44),0)</f>
        <v/>
      </c>
      <c r="AU461">
        <f>IFERROR(INDEX(PP_Grid[#Data],$DD461,45),0)</f>
        <v/>
      </c>
      <c r="AV461">
        <f>IFERROR(INDEX(PP_Grid[#Data],$DD461,46),0)</f>
        <v/>
      </c>
      <c r="AW461">
        <f>IFERROR(INDEX(PP_Grid[#Data],$DD461,47),0)</f>
        <v/>
      </c>
      <c r="AX461">
        <f>IFERROR(INDEX(PP_Grid[#Data],$DD461,48),0)</f>
        <v/>
      </c>
      <c r="AY461">
        <f>IFERROR(INDEX(PP_Grid[#Data],$DD461,49),0)</f>
        <v/>
      </c>
      <c r="AZ461">
        <f>IFERROR(INDEX(PP_Grid[#Data],$DD461,50),0)</f>
        <v/>
      </c>
      <c r="BA461">
        <f>IFERROR(INDEX(PP_Grid[#Data],$DD461,51),0)</f>
        <v/>
      </c>
      <c r="BB461">
        <f>IFERROR(INDEX(PP_Grid[#Data],$DD461,52),0)</f>
        <v/>
      </c>
      <c r="BC461">
        <f>IFERROR(INDEX(PP_Grid[#Data],$DD461,53),0)</f>
        <v/>
      </c>
      <c r="BD461">
        <f>IFERROR(INDEX(PP_Grid[#Data],$DD461,54),0)</f>
        <v/>
      </c>
      <c r="BE461">
        <f>IFERROR(INDEX(PP_Grid[#Data],$DD461,55),0)</f>
        <v/>
      </c>
      <c r="BF461">
        <f>IFERROR(INDEX(PP_Grid[#Data],$DD461,56),0)</f>
        <v/>
      </c>
      <c r="BG461">
        <f>IFERROR(INDEX(PP_Grid[#Data],$DD461,57),0)</f>
        <v/>
      </c>
      <c r="BH461">
        <f>IFERROR(INDEX(PP_Grid[#Data],$DD461,58),0)</f>
        <v/>
      </c>
      <c r="BI461">
        <f>IFERROR(INDEX(PP_Grid[#Data],$DD461,59),0)</f>
        <v/>
      </c>
      <c r="BJ461">
        <f>IFERROR(INDEX(PP_Grid[#Data],$DD461,60),0)</f>
        <v/>
      </c>
      <c r="BK461">
        <f>IFERROR(INDEX(PP_Grid[#Data],$DD461,61),0)</f>
        <v/>
      </c>
      <c r="BL461">
        <f>IFERROR(INDEX(PP_Grid[#Data],$DD461,62),0)</f>
        <v/>
      </c>
      <c r="BM461">
        <f>IFERROR(INDEX(PP_Grid[#Data],$DD461,63),0)</f>
        <v/>
      </c>
      <c r="BN461">
        <f>IFERROR(INDEX(PP_Grid[#Data],$DD461,64),0)</f>
        <v/>
      </c>
      <c r="BO461">
        <f>IFERROR(INDEX(PP_Grid[#Data],$DD461,65),0)</f>
        <v/>
      </c>
      <c r="BP461">
        <f>IFERROR(INDEX(PP_Grid[#Data],$DD461,66),0)</f>
        <v/>
      </c>
      <c r="BQ461">
        <f>IFERROR(INDEX(PP_Grid[#Data],$DD461,67),0)</f>
        <v/>
      </c>
      <c r="BR461">
        <f>IFERROR(INDEX(PP_Grid[#Data],$DD461,68),0)</f>
        <v/>
      </c>
      <c r="BS461">
        <f>IFERROR(INDEX(PP_Grid[#Data],$DD461,69),0)</f>
        <v/>
      </c>
      <c r="BT461">
        <f>IFERROR(INDEX(PP_Grid[#Data],$DD461,70),0)</f>
        <v/>
      </c>
      <c r="BU461">
        <f>IFERROR(INDEX(PP_Grid[#Data],$DD461,71),0)</f>
        <v/>
      </c>
      <c r="BV461">
        <f>IFERROR(INDEX(PP_Grid[#Data],$DD461,72),0)</f>
        <v/>
      </c>
      <c r="BW461">
        <f>IFERROR(INDEX(PP_Grid[#Data],$DD461,73),0)</f>
        <v/>
      </c>
      <c r="BX461">
        <f>IFERROR(INDEX(PP_Grid[#Data],$DD461,74),0)</f>
        <v/>
      </c>
      <c r="BY461">
        <f>IFERROR(INDEX(PP_Grid[#Data],$DD461,75),0)</f>
        <v/>
      </c>
      <c r="BZ461">
        <f>IFERROR(INDEX(PP_Grid[#Data],$DD461,76),0)</f>
        <v/>
      </c>
      <c r="CA461">
        <f>IFERROR(INDEX(PP_Grid[#Data],$DD461,77),0)</f>
        <v/>
      </c>
      <c r="CB461">
        <f>IFERROR(INDEX(PP_Grid[#Data],$DD461,78),0)</f>
        <v/>
      </c>
      <c r="CC461">
        <f>IFERROR(INDEX(PP_Grid[#Data],$DD461,79),0)</f>
        <v/>
      </c>
      <c r="CD461">
        <f>IFERROR(INDEX(PP_Grid[#Data],$DD461,80),0)</f>
        <v/>
      </c>
      <c r="CE461">
        <f>IFERROR(INDEX(PP_Grid[#Data],$DD461,81),0)</f>
        <v/>
      </c>
      <c r="CF461">
        <f>IFERROR(INDEX(PP_Grid[#Data],$DD461,82),0)</f>
        <v/>
      </c>
      <c r="CG461">
        <f>IFERROR(INDEX(PP_Grid[#Data],$DD461,83),0)</f>
        <v/>
      </c>
      <c r="CH461">
        <f>IFERROR(INDEX(PP_Grid[#Data],$DD461,84),0)</f>
        <v/>
      </c>
      <c r="CI461">
        <f>IFERROR(INDEX(PP_Grid[#Data],$DD461,85),0)</f>
        <v/>
      </c>
      <c r="CJ461">
        <f>IFERROR(INDEX(PP_Grid[#Data],$DD461,86),0)</f>
        <v/>
      </c>
      <c r="CK461">
        <f>IFERROR(INDEX(PP_Grid[#Data],$DD461,87),0)</f>
        <v/>
      </c>
      <c r="CL461">
        <f>IFERROR(INDEX(PP_Grid[#Data],$DD461,88),0)</f>
        <v/>
      </c>
      <c r="CM461">
        <f>IFERROR(INDEX(PP_Grid[#Data],$DD461,89),0)</f>
        <v/>
      </c>
      <c r="CN461">
        <f>IFERROR(INDEX(PP_Grid[#Data],$DD461,90),0)</f>
        <v/>
      </c>
      <c r="CO461">
        <f>IFERROR(INDEX(PP_Grid[#Data],$DD461,91),0)</f>
        <v/>
      </c>
      <c r="CP461">
        <f>IFERROR(INDEX(PP_Grid[#Data],$DD461,92),0)</f>
        <v/>
      </c>
      <c r="CQ461">
        <f>IFERROR(INDEX(PP_Grid[#Data],$DD461,93),0)</f>
        <v/>
      </c>
      <c r="CR461">
        <f>IFERROR(INDEX(PP_Grid[#Data],$DD461,94),0)</f>
        <v/>
      </c>
      <c r="CS461">
        <f>IFERROR(INDEX(PP_Grid[#Data],$DD461,95),0)</f>
        <v/>
      </c>
      <c r="CT461">
        <f>IFERROR(INDEX(PP_Grid[#Data],$DD461,96),0)</f>
        <v/>
      </c>
      <c r="CU461">
        <f>IFERROR(INDEX(PP_Grid[#Data],$DD461,97),0)</f>
        <v/>
      </c>
      <c r="CV461">
        <f>IFERROR(INDEX(PP_Grid[#Data],$DD461,98),0)</f>
        <v/>
      </c>
      <c r="CW461">
        <f>IFERROR(INDEX(PP_Grid[#Data],$DD461,99),0)</f>
        <v/>
      </c>
      <c r="CX461">
        <f>IFERROR(INDEX(PP_Grid[#Data],$DD461,100),0)</f>
        <v/>
      </c>
      <c r="CY461">
        <f>IFERROR(INDEX(PP_Grid[#Data],$DD461,101),0)</f>
        <v/>
      </c>
      <c r="CZ461">
        <f>IFERROR(INDEX(PP_Grid[#Data],$DD461,102),0)</f>
        <v/>
      </c>
      <c r="DA461">
        <f>IFERROR(INDEX(PP_Grid[#Data],$DD461,103),0)</f>
        <v/>
      </c>
      <c r="DB461">
        <f>IFERROR(INDEX(PP_Grid[#Data],$DD461,104),0)</f>
        <v/>
      </c>
      <c r="DC461">
        <f>IFERROR(INDEX(PP_Grid[#Data],$DD461,105),0)</f>
        <v/>
      </c>
      <c r="DD461" s="12">
        <f>IFERROR(MATCH($B461,PP_Grid[Intermediate],0),99999)</f>
        <v/>
      </c>
    </row>
    <row r="462">
      <c r="B462" t="inlineStr">
        <is>
          <t>使用量(kg)</t>
        </is>
      </c>
      <c r="C462">
        <f>SUMIFS(M_BOM[RM_Qty_Per_Batch],M_BOM[Intermediate],$B461,M_BOM[Part Name],$A406)</f>
        <v/>
      </c>
      <c r="D462">
        <f>$C462*D461</f>
        <v/>
      </c>
      <c r="E462">
        <f>$C462*E461</f>
        <v/>
      </c>
      <c r="F462">
        <f>$C462*F461</f>
        <v/>
      </c>
      <c r="G462">
        <f>$C462*G461</f>
        <v/>
      </c>
      <c r="H462">
        <f>$C462*H461</f>
        <v/>
      </c>
      <c r="I462">
        <f>$C462*I461</f>
        <v/>
      </c>
      <c r="J462">
        <f>$C462*J461</f>
        <v/>
      </c>
      <c r="K462">
        <f>$C462*K461</f>
        <v/>
      </c>
      <c r="L462">
        <f>$C462*L461</f>
        <v/>
      </c>
      <c r="M462">
        <f>$C462*M461</f>
        <v/>
      </c>
      <c r="N462">
        <f>$C462*N461</f>
        <v/>
      </c>
      <c r="O462">
        <f>$C462*O461</f>
        <v/>
      </c>
      <c r="P462">
        <f>$C462*P461</f>
        <v/>
      </c>
      <c r="Q462">
        <f>$C462*Q461</f>
        <v/>
      </c>
      <c r="R462">
        <f>$C462*R461</f>
        <v/>
      </c>
      <c r="S462">
        <f>$C462*S461</f>
        <v/>
      </c>
      <c r="T462">
        <f>$C462*T461</f>
        <v/>
      </c>
      <c r="U462">
        <f>$C462*U461</f>
        <v/>
      </c>
      <c r="V462">
        <f>$C462*V461</f>
        <v/>
      </c>
      <c r="W462">
        <f>$C462*W461</f>
        <v/>
      </c>
      <c r="X462">
        <f>$C462*X461</f>
        <v/>
      </c>
      <c r="Y462">
        <f>$C462*Y461</f>
        <v/>
      </c>
      <c r="Z462">
        <f>$C462*Z461</f>
        <v/>
      </c>
      <c r="AA462">
        <f>$C462*AA461</f>
        <v/>
      </c>
      <c r="AB462">
        <f>$C462*AB461</f>
        <v/>
      </c>
      <c r="AC462">
        <f>$C462*AC461</f>
        <v/>
      </c>
      <c r="AD462">
        <f>$C462*AD461</f>
        <v/>
      </c>
      <c r="AE462">
        <f>$C462*AE461</f>
        <v/>
      </c>
      <c r="AF462">
        <f>$C462*AF461</f>
        <v/>
      </c>
      <c r="AG462">
        <f>$C462*AG461</f>
        <v/>
      </c>
      <c r="AH462">
        <f>$C462*AH461</f>
        <v/>
      </c>
      <c r="AI462">
        <f>$C462*AI461</f>
        <v/>
      </c>
      <c r="AJ462">
        <f>$C462*AJ461</f>
        <v/>
      </c>
      <c r="AK462">
        <f>$C462*AK461</f>
        <v/>
      </c>
      <c r="AL462">
        <f>$C462*AL461</f>
        <v/>
      </c>
      <c r="AM462">
        <f>$C462*AM461</f>
        <v/>
      </c>
      <c r="AN462">
        <f>$C462*AN461</f>
        <v/>
      </c>
      <c r="AO462">
        <f>$C462*AO461</f>
        <v/>
      </c>
      <c r="AP462">
        <f>$C462*AP461</f>
        <v/>
      </c>
      <c r="AQ462">
        <f>$C462*AQ461</f>
        <v/>
      </c>
      <c r="AR462">
        <f>$C462*AR461</f>
        <v/>
      </c>
      <c r="AS462">
        <f>$C462*AS461</f>
        <v/>
      </c>
      <c r="AT462">
        <f>$C462*AT461</f>
        <v/>
      </c>
      <c r="AU462">
        <f>$C462*AU461</f>
        <v/>
      </c>
      <c r="AV462">
        <f>$C462*AV461</f>
        <v/>
      </c>
      <c r="AW462">
        <f>$C462*AW461</f>
        <v/>
      </c>
      <c r="AX462">
        <f>$C462*AX461</f>
        <v/>
      </c>
      <c r="AY462">
        <f>$C462*AY461</f>
        <v/>
      </c>
      <c r="AZ462">
        <f>$C462*AZ461</f>
        <v/>
      </c>
      <c r="BA462">
        <f>$C462*BA461</f>
        <v/>
      </c>
      <c r="BB462">
        <f>$C462*BB461</f>
        <v/>
      </c>
      <c r="BC462">
        <f>$C462*BC461</f>
        <v/>
      </c>
      <c r="BD462">
        <f>$C462*BD461</f>
        <v/>
      </c>
      <c r="BE462">
        <f>$C462*BE461</f>
        <v/>
      </c>
      <c r="BF462">
        <f>$C462*BF461</f>
        <v/>
      </c>
      <c r="BG462">
        <f>$C462*BG461</f>
        <v/>
      </c>
      <c r="BH462">
        <f>$C462*BH461</f>
        <v/>
      </c>
      <c r="BI462">
        <f>$C462*BI461</f>
        <v/>
      </c>
      <c r="BJ462">
        <f>$C462*BJ461</f>
        <v/>
      </c>
      <c r="BK462">
        <f>$C462*BK461</f>
        <v/>
      </c>
      <c r="BL462">
        <f>$C462*BL461</f>
        <v/>
      </c>
      <c r="BM462">
        <f>$C462*BM461</f>
        <v/>
      </c>
      <c r="BN462">
        <f>$C462*BN461</f>
        <v/>
      </c>
      <c r="BO462">
        <f>$C462*BO461</f>
        <v/>
      </c>
      <c r="BP462">
        <f>$C462*BP461</f>
        <v/>
      </c>
      <c r="BQ462">
        <f>$C462*BQ461</f>
        <v/>
      </c>
      <c r="BR462">
        <f>$C462*BR461</f>
        <v/>
      </c>
      <c r="BS462">
        <f>$C462*BS461</f>
        <v/>
      </c>
      <c r="BT462">
        <f>$C462*BT461</f>
        <v/>
      </c>
      <c r="BU462">
        <f>$C462*BU461</f>
        <v/>
      </c>
      <c r="BV462">
        <f>$C462*BV461</f>
        <v/>
      </c>
      <c r="BW462">
        <f>$C462*BW461</f>
        <v/>
      </c>
      <c r="BX462">
        <f>$C462*BX461</f>
        <v/>
      </c>
      <c r="BY462">
        <f>$C462*BY461</f>
        <v/>
      </c>
      <c r="BZ462">
        <f>$C462*BZ461</f>
        <v/>
      </c>
      <c r="CA462">
        <f>$C462*CA461</f>
        <v/>
      </c>
      <c r="CB462">
        <f>$C462*CB461</f>
        <v/>
      </c>
      <c r="CC462">
        <f>$C462*CC461</f>
        <v/>
      </c>
      <c r="CD462">
        <f>$C462*CD461</f>
        <v/>
      </c>
      <c r="CE462">
        <f>$C462*CE461</f>
        <v/>
      </c>
      <c r="CF462">
        <f>$C462*CF461</f>
        <v/>
      </c>
      <c r="CG462">
        <f>$C462*CG461</f>
        <v/>
      </c>
      <c r="CH462">
        <f>$C462*CH461</f>
        <v/>
      </c>
      <c r="CI462">
        <f>$C462*CI461</f>
        <v/>
      </c>
      <c r="CJ462">
        <f>$C462*CJ461</f>
        <v/>
      </c>
      <c r="CK462">
        <f>$C462*CK461</f>
        <v/>
      </c>
      <c r="CL462">
        <f>$C462*CL461</f>
        <v/>
      </c>
      <c r="CM462">
        <f>$C462*CM461</f>
        <v/>
      </c>
      <c r="CN462">
        <f>$C462*CN461</f>
        <v/>
      </c>
      <c r="CO462">
        <f>$C462*CO461</f>
        <v/>
      </c>
      <c r="CP462">
        <f>$C462*CP461</f>
        <v/>
      </c>
      <c r="CQ462">
        <f>$C462*CQ461</f>
        <v/>
      </c>
      <c r="CR462">
        <f>$C462*CR461</f>
        <v/>
      </c>
      <c r="CS462">
        <f>$C462*CS461</f>
        <v/>
      </c>
      <c r="CT462">
        <f>$C462*CT461</f>
        <v/>
      </c>
      <c r="CU462">
        <f>$C462*CU461</f>
        <v/>
      </c>
      <c r="CV462">
        <f>$C462*CV461</f>
        <v/>
      </c>
      <c r="CW462">
        <f>$C462*CW461</f>
        <v/>
      </c>
      <c r="CX462">
        <f>$C462*CX461</f>
        <v/>
      </c>
      <c r="CY462">
        <f>$C462*CY461</f>
        <v/>
      </c>
      <c r="CZ462">
        <f>$C462*CZ461</f>
        <v/>
      </c>
      <c r="DA462">
        <f>$C462*DA461</f>
        <v/>
      </c>
      <c r="DB462">
        <f>$C462*DB461</f>
        <v/>
      </c>
      <c r="DC462">
        <f>$C462*DC461</f>
        <v/>
      </c>
    </row>
    <row r="463">
      <c r="B463" t="inlineStr">
        <is>
          <t>TSP-924</t>
        </is>
      </c>
      <c r="C463" t="inlineStr">
        <is>
          <t>No. of batches</t>
        </is>
      </c>
      <c r="D463">
        <f>IFERROR(INDEX(PP_Grid[#Data],$DD463,2),0)</f>
        <v/>
      </c>
      <c r="E463">
        <f>IFERROR(INDEX(PP_Grid[#Data],$DD463,3),0)</f>
        <v/>
      </c>
      <c r="F463">
        <f>IFERROR(INDEX(PP_Grid[#Data],$DD463,4),0)</f>
        <v/>
      </c>
      <c r="G463">
        <f>IFERROR(INDEX(PP_Grid[#Data],$DD463,5),0)</f>
        <v/>
      </c>
      <c r="H463">
        <f>IFERROR(INDEX(PP_Grid[#Data],$DD463,6),0)</f>
        <v/>
      </c>
      <c r="I463">
        <f>IFERROR(INDEX(PP_Grid[#Data],$DD463,7),0)</f>
        <v/>
      </c>
      <c r="J463">
        <f>IFERROR(INDEX(PP_Grid[#Data],$DD463,8),0)</f>
        <v/>
      </c>
      <c r="K463">
        <f>IFERROR(INDEX(PP_Grid[#Data],$DD463,9),0)</f>
        <v/>
      </c>
      <c r="L463">
        <f>IFERROR(INDEX(PP_Grid[#Data],$DD463,10),0)</f>
        <v/>
      </c>
      <c r="M463">
        <f>IFERROR(INDEX(PP_Grid[#Data],$DD463,11),0)</f>
        <v/>
      </c>
      <c r="N463">
        <f>IFERROR(INDEX(PP_Grid[#Data],$DD463,12),0)</f>
        <v/>
      </c>
      <c r="O463">
        <f>IFERROR(INDEX(PP_Grid[#Data],$DD463,13),0)</f>
        <v/>
      </c>
      <c r="P463">
        <f>IFERROR(INDEX(PP_Grid[#Data],$DD463,14),0)</f>
        <v/>
      </c>
      <c r="Q463">
        <f>IFERROR(INDEX(PP_Grid[#Data],$DD463,15),0)</f>
        <v/>
      </c>
      <c r="R463">
        <f>IFERROR(INDEX(PP_Grid[#Data],$DD463,16),0)</f>
        <v/>
      </c>
      <c r="S463">
        <f>IFERROR(INDEX(PP_Grid[#Data],$DD463,17),0)</f>
        <v/>
      </c>
      <c r="T463">
        <f>IFERROR(INDEX(PP_Grid[#Data],$DD463,18),0)</f>
        <v/>
      </c>
      <c r="U463">
        <f>IFERROR(INDEX(PP_Grid[#Data],$DD463,19),0)</f>
        <v/>
      </c>
      <c r="V463">
        <f>IFERROR(INDEX(PP_Grid[#Data],$DD463,20),0)</f>
        <v/>
      </c>
      <c r="W463">
        <f>IFERROR(INDEX(PP_Grid[#Data],$DD463,21),0)</f>
        <v/>
      </c>
      <c r="X463">
        <f>IFERROR(INDEX(PP_Grid[#Data],$DD463,22),0)</f>
        <v/>
      </c>
      <c r="Y463">
        <f>IFERROR(INDEX(PP_Grid[#Data],$DD463,23),0)</f>
        <v/>
      </c>
      <c r="Z463">
        <f>IFERROR(INDEX(PP_Grid[#Data],$DD463,24),0)</f>
        <v/>
      </c>
      <c r="AA463">
        <f>IFERROR(INDEX(PP_Grid[#Data],$DD463,25),0)</f>
        <v/>
      </c>
      <c r="AB463">
        <f>IFERROR(INDEX(PP_Grid[#Data],$DD463,26),0)</f>
        <v/>
      </c>
      <c r="AC463">
        <f>IFERROR(INDEX(PP_Grid[#Data],$DD463,27),0)</f>
        <v/>
      </c>
      <c r="AD463">
        <f>IFERROR(INDEX(PP_Grid[#Data],$DD463,28),0)</f>
        <v/>
      </c>
      <c r="AE463">
        <f>IFERROR(INDEX(PP_Grid[#Data],$DD463,29),0)</f>
        <v/>
      </c>
      <c r="AF463">
        <f>IFERROR(INDEX(PP_Grid[#Data],$DD463,30),0)</f>
        <v/>
      </c>
      <c r="AG463">
        <f>IFERROR(INDEX(PP_Grid[#Data],$DD463,31),0)</f>
        <v/>
      </c>
      <c r="AH463">
        <f>IFERROR(INDEX(PP_Grid[#Data],$DD463,32),0)</f>
        <v/>
      </c>
      <c r="AI463">
        <f>IFERROR(INDEX(PP_Grid[#Data],$DD463,33),0)</f>
        <v/>
      </c>
      <c r="AJ463">
        <f>IFERROR(INDEX(PP_Grid[#Data],$DD463,34),0)</f>
        <v/>
      </c>
      <c r="AK463">
        <f>IFERROR(INDEX(PP_Grid[#Data],$DD463,35),0)</f>
        <v/>
      </c>
      <c r="AL463">
        <f>IFERROR(INDEX(PP_Grid[#Data],$DD463,36),0)</f>
        <v/>
      </c>
      <c r="AM463">
        <f>IFERROR(INDEX(PP_Grid[#Data],$DD463,37),0)</f>
        <v/>
      </c>
      <c r="AN463">
        <f>IFERROR(INDEX(PP_Grid[#Data],$DD463,38),0)</f>
        <v/>
      </c>
      <c r="AO463">
        <f>IFERROR(INDEX(PP_Grid[#Data],$DD463,39),0)</f>
        <v/>
      </c>
      <c r="AP463">
        <f>IFERROR(INDEX(PP_Grid[#Data],$DD463,40),0)</f>
        <v/>
      </c>
      <c r="AQ463">
        <f>IFERROR(INDEX(PP_Grid[#Data],$DD463,41),0)</f>
        <v/>
      </c>
      <c r="AR463">
        <f>IFERROR(INDEX(PP_Grid[#Data],$DD463,42),0)</f>
        <v/>
      </c>
      <c r="AS463">
        <f>IFERROR(INDEX(PP_Grid[#Data],$DD463,43),0)</f>
        <v/>
      </c>
      <c r="AT463">
        <f>IFERROR(INDEX(PP_Grid[#Data],$DD463,44),0)</f>
        <v/>
      </c>
      <c r="AU463">
        <f>IFERROR(INDEX(PP_Grid[#Data],$DD463,45),0)</f>
        <v/>
      </c>
      <c r="AV463">
        <f>IFERROR(INDEX(PP_Grid[#Data],$DD463,46),0)</f>
        <v/>
      </c>
      <c r="AW463">
        <f>IFERROR(INDEX(PP_Grid[#Data],$DD463,47),0)</f>
        <v/>
      </c>
      <c r="AX463">
        <f>IFERROR(INDEX(PP_Grid[#Data],$DD463,48),0)</f>
        <v/>
      </c>
      <c r="AY463">
        <f>IFERROR(INDEX(PP_Grid[#Data],$DD463,49),0)</f>
        <v/>
      </c>
      <c r="AZ463">
        <f>IFERROR(INDEX(PP_Grid[#Data],$DD463,50),0)</f>
        <v/>
      </c>
      <c r="BA463">
        <f>IFERROR(INDEX(PP_Grid[#Data],$DD463,51),0)</f>
        <v/>
      </c>
      <c r="BB463">
        <f>IFERROR(INDEX(PP_Grid[#Data],$DD463,52),0)</f>
        <v/>
      </c>
      <c r="BC463">
        <f>IFERROR(INDEX(PP_Grid[#Data],$DD463,53),0)</f>
        <v/>
      </c>
      <c r="BD463">
        <f>IFERROR(INDEX(PP_Grid[#Data],$DD463,54),0)</f>
        <v/>
      </c>
      <c r="BE463">
        <f>IFERROR(INDEX(PP_Grid[#Data],$DD463,55),0)</f>
        <v/>
      </c>
      <c r="BF463">
        <f>IFERROR(INDEX(PP_Grid[#Data],$DD463,56),0)</f>
        <v/>
      </c>
      <c r="BG463">
        <f>IFERROR(INDEX(PP_Grid[#Data],$DD463,57),0)</f>
        <v/>
      </c>
      <c r="BH463">
        <f>IFERROR(INDEX(PP_Grid[#Data],$DD463,58),0)</f>
        <v/>
      </c>
      <c r="BI463">
        <f>IFERROR(INDEX(PP_Grid[#Data],$DD463,59),0)</f>
        <v/>
      </c>
      <c r="BJ463">
        <f>IFERROR(INDEX(PP_Grid[#Data],$DD463,60),0)</f>
        <v/>
      </c>
      <c r="BK463">
        <f>IFERROR(INDEX(PP_Grid[#Data],$DD463,61),0)</f>
        <v/>
      </c>
      <c r="BL463">
        <f>IFERROR(INDEX(PP_Grid[#Data],$DD463,62),0)</f>
        <v/>
      </c>
      <c r="BM463">
        <f>IFERROR(INDEX(PP_Grid[#Data],$DD463,63),0)</f>
        <v/>
      </c>
      <c r="BN463">
        <f>IFERROR(INDEX(PP_Grid[#Data],$DD463,64),0)</f>
        <v/>
      </c>
      <c r="BO463">
        <f>IFERROR(INDEX(PP_Grid[#Data],$DD463,65),0)</f>
        <v/>
      </c>
      <c r="BP463">
        <f>IFERROR(INDEX(PP_Grid[#Data],$DD463,66),0)</f>
        <v/>
      </c>
      <c r="BQ463">
        <f>IFERROR(INDEX(PP_Grid[#Data],$DD463,67),0)</f>
        <v/>
      </c>
      <c r="BR463">
        <f>IFERROR(INDEX(PP_Grid[#Data],$DD463,68),0)</f>
        <v/>
      </c>
      <c r="BS463">
        <f>IFERROR(INDEX(PP_Grid[#Data],$DD463,69),0)</f>
        <v/>
      </c>
      <c r="BT463">
        <f>IFERROR(INDEX(PP_Grid[#Data],$DD463,70),0)</f>
        <v/>
      </c>
      <c r="BU463">
        <f>IFERROR(INDEX(PP_Grid[#Data],$DD463,71),0)</f>
        <v/>
      </c>
      <c r="BV463">
        <f>IFERROR(INDEX(PP_Grid[#Data],$DD463,72),0)</f>
        <v/>
      </c>
      <c r="BW463">
        <f>IFERROR(INDEX(PP_Grid[#Data],$DD463,73),0)</f>
        <v/>
      </c>
      <c r="BX463">
        <f>IFERROR(INDEX(PP_Grid[#Data],$DD463,74),0)</f>
        <v/>
      </c>
      <c r="BY463">
        <f>IFERROR(INDEX(PP_Grid[#Data],$DD463,75),0)</f>
        <v/>
      </c>
      <c r="BZ463">
        <f>IFERROR(INDEX(PP_Grid[#Data],$DD463,76),0)</f>
        <v/>
      </c>
      <c r="CA463">
        <f>IFERROR(INDEX(PP_Grid[#Data],$DD463,77),0)</f>
        <v/>
      </c>
      <c r="CB463">
        <f>IFERROR(INDEX(PP_Grid[#Data],$DD463,78),0)</f>
        <v/>
      </c>
      <c r="CC463">
        <f>IFERROR(INDEX(PP_Grid[#Data],$DD463,79),0)</f>
        <v/>
      </c>
      <c r="CD463">
        <f>IFERROR(INDEX(PP_Grid[#Data],$DD463,80),0)</f>
        <v/>
      </c>
      <c r="CE463">
        <f>IFERROR(INDEX(PP_Grid[#Data],$DD463,81),0)</f>
        <v/>
      </c>
      <c r="CF463">
        <f>IFERROR(INDEX(PP_Grid[#Data],$DD463,82),0)</f>
        <v/>
      </c>
      <c r="CG463">
        <f>IFERROR(INDEX(PP_Grid[#Data],$DD463,83),0)</f>
        <v/>
      </c>
      <c r="CH463">
        <f>IFERROR(INDEX(PP_Grid[#Data],$DD463,84),0)</f>
        <v/>
      </c>
      <c r="CI463">
        <f>IFERROR(INDEX(PP_Grid[#Data],$DD463,85),0)</f>
        <v/>
      </c>
      <c r="CJ463">
        <f>IFERROR(INDEX(PP_Grid[#Data],$DD463,86),0)</f>
        <v/>
      </c>
      <c r="CK463">
        <f>IFERROR(INDEX(PP_Grid[#Data],$DD463,87),0)</f>
        <v/>
      </c>
      <c r="CL463">
        <f>IFERROR(INDEX(PP_Grid[#Data],$DD463,88),0)</f>
        <v/>
      </c>
      <c r="CM463">
        <f>IFERROR(INDEX(PP_Grid[#Data],$DD463,89),0)</f>
        <v/>
      </c>
      <c r="CN463">
        <f>IFERROR(INDEX(PP_Grid[#Data],$DD463,90),0)</f>
        <v/>
      </c>
      <c r="CO463">
        <f>IFERROR(INDEX(PP_Grid[#Data],$DD463,91),0)</f>
        <v/>
      </c>
      <c r="CP463">
        <f>IFERROR(INDEX(PP_Grid[#Data],$DD463,92),0)</f>
        <v/>
      </c>
      <c r="CQ463">
        <f>IFERROR(INDEX(PP_Grid[#Data],$DD463,93),0)</f>
        <v/>
      </c>
      <c r="CR463">
        <f>IFERROR(INDEX(PP_Grid[#Data],$DD463,94),0)</f>
        <v/>
      </c>
      <c r="CS463">
        <f>IFERROR(INDEX(PP_Grid[#Data],$DD463,95),0)</f>
        <v/>
      </c>
      <c r="CT463">
        <f>IFERROR(INDEX(PP_Grid[#Data],$DD463,96),0)</f>
        <v/>
      </c>
      <c r="CU463">
        <f>IFERROR(INDEX(PP_Grid[#Data],$DD463,97),0)</f>
        <v/>
      </c>
      <c r="CV463">
        <f>IFERROR(INDEX(PP_Grid[#Data],$DD463,98),0)</f>
        <v/>
      </c>
      <c r="CW463">
        <f>IFERROR(INDEX(PP_Grid[#Data],$DD463,99),0)</f>
        <v/>
      </c>
      <c r="CX463">
        <f>IFERROR(INDEX(PP_Grid[#Data],$DD463,100),0)</f>
        <v/>
      </c>
      <c r="CY463">
        <f>IFERROR(INDEX(PP_Grid[#Data],$DD463,101),0)</f>
        <v/>
      </c>
      <c r="CZ463">
        <f>IFERROR(INDEX(PP_Grid[#Data],$DD463,102),0)</f>
        <v/>
      </c>
      <c r="DA463">
        <f>IFERROR(INDEX(PP_Grid[#Data],$DD463,103),0)</f>
        <v/>
      </c>
      <c r="DB463">
        <f>IFERROR(INDEX(PP_Grid[#Data],$DD463,104),0)</f>
        <v/>
      </c>
      <c r="DC463">
        <f>IFERROR(INDEX(PP_Grid[#Data],$DD463,105),0)</f>
        <v/>
      </c>
      <c r="DD463" s="12">
        <f>IFERROR(MATCH($B463,PP_Grid[Intermediate],0),99999)</f>
        <v/>
      </c>
    </row>
    <row r="464">
      <c r="B464" t="inlineStr">
        <is>
          <t>使用量(kg)</t>
        </is>
      </c>
      <c r="C464">
        <f>SUMIFS(M_BOM[RM_Qty_Per_Batch],M_BOM[Intermediate],$B463,M_BOM[Part Name],$A406)</f>
        <v/>
      </c>
      <c r="D464">
        <f>$C464*D463</f>
        <v/>
      </c>
      <c r="E464">
        <f>$C464*E463</f>
        <v/>
      </c>
      <c r="F464">
        <f>$C464*F463</f>
        <v/>
      </c>
      <c r="G464">
        <f>$C464*G463</f>
        <v/>
      </c>
      <c r="H464">
        <f>$C464*H463</f>
        <v/>
      </c>
      <c r="I464">
        <f>$C464*I463</f>
        <v/>
      </c>
      <c r="J464">
        <f>$C464*J463</f>
        <v/>
      </c>
      <c r="K464">
        <f>$C464*K463</f>
        <v/>
      </c>
      <c r="L464">
        <f>$C464*L463</f>
        <v/>
      </c>
      <c r="M464">
        <f>$C464*M463</f>
        <v/>
      </c>
      <c r="N464">
        <f>$C464*N463</f>
        <v/>
      </c>
      <c r="O464">
        <f>$C464*O463</f>
        <v/>
      </c>
      <c r="P464">
        <f>$C464*P463</f>
        <v/>
      </c>
      <c r="Q464">
        <f>$C464*Q463</f>
        <v/>
      </c>
      <c r="R464">
        <f>$C464*R463</f>
        <v/>
      </c>
      <c r="S464">
        <f>$C464*S463</f>
        <v/>
      </c>
      <c r="T464">
        <f>$C464*T463</f>
        <v/>
      </c>
      <c r="U464">
        <f>$C464*U463</f>
        <v/>
      </c>
      <c r="V464">
        <f>$C464*V463</f>
        <v/>
      </c>
      <c r="W464">
        <f>$C464*W463</f>
        <v/>
      </c>
      <c r="X464">
        <f>$C464*X463</f>
        <v/>
      </c>
      <c r="Y464">
        <f>$C464*Y463</f>
        <v/>
      </c>
      <c r="Z464">
        <f>$C464*Z463</f>
        <v/>
      </c>
      <c r="AA464">
        <f>$C464*AA463</f>
        <v/>
      </c>
      <c r="AB464">
        <f>$C464*AB463</f>
        <v/>
      </c>
      <c r="AC464">
        <f>$C464*AC463</f>
        <v/>
      </c>
      <c r="AD464">
        <f>$C464*AD463</f>
        <v/>
      </c>
      <c r="AE464">
        <f>$C464*AE463</f>
        <v/>
      </c>
      <c r="AF464">
        <f>$C464*AF463</f>
        <v/>
      </c>
      <c r="AG464">
        <f>$C464*AG463</f>
        <v/>
      </c>
      <c r="AH464">
        <f>$C464*AH463</f>
        <v/>
      </c>
      <c r="AI464">
        <f>$C464*AI463</f>
        <v/>
      </c>
      <c r="AJ464">
        <f>$C464*AJ463</f>
        <v/>
      </c>
      <c r="AK464">
        <f>$C464*AK463</f>
        <v/>
      </c>
      <c r="AL464">
        <f>$C464*AL463</f>
        <v/>
      </c>
      <c r="AM464">
        <f>$C464*AM463</f>
        <v/>
      </c>
      <c r="AN464">
        <f>$C464*AN463</f>
        <v/>
      </c>
      <c r="AO464">
        <f>$C464*AO463</f>
        <v/>
      </c>
      <c r="AP464">
        <f>$C464*AP463</f>
        <v/>
      </c>
      <c r="AQ464">
        <f>$C464*AQ463</f>
        <v/>
      </c>
      <c r="AR464">
        <f>$C464*AR463</f>
        <v/>
      </c>
      <c r="AS464">
        <f>$C464*AS463</f>
        <v/>
      </c>
      <c r="AT464">
        <f>$C464*AT463</f>
        <v/>
      </c>
      <c r="AU464">
        <f>$C464*AU463</f>
        <v/>
      </c>
      <c r="AV464">
        <f>$C464*AV463</f>
        <v/>
      </c>
      <c r="AW464">
        <f>$C464*AW463</f>
        <v/>
      </c>
      <c r="AX464">
        <f>$C464*AX463</f>
        <v/>
      </c>
      <c r="AY464">
        <f>$C464*AY463</f>
        <v/>
      </c>
      <c r="AZ464">
        <f>$C464*AZ463</f>
        <v/>
      </c>
      <c r="BA464">
        <f>$C464*BA463</f>
        <v/>
      </c>
      <c r="BB464">
        <f>$C464*BB463</f>
        <v/>
      </c>
      <c r="BC464">
        <f>$C464*BC463</f>
        <v/>
      </c>
      <c r="BD464">
        <f>$C464*BD463</f>
        <v/>
      </c>
      <c r="BE464">
        <f>$C464*BE463</f>
        <v/>
      </c>
      <c r="BF464">
        <f>$C464*BF463</f>
        <v/>
      </c>
      <c r="BG464">
        <f>$C464*BG463</f>
        <v/>
      </c>
      <c r="BH464">
        <f>$C464*BH463</f>
        <v/>
      </c>
      <c r="BI464">
        <f>$C464*BI463</f>
        <v/>
      </c>
      <c r="BJ464">
        <f>$C464*BJ463</f>
        <v/>
      </c>
      <c r="BK464">
        <f>$C464*BK463</f>
        <v/>
      </c>
      <c r="BL464">
        <f>$C464*BL463</f>
        <v/>
      </c>
      <c r="BM464">
        <f>$C464*BM463</f>
        <v/>
      </c>
      <c r="BN464">
        <f>$C464*BN463</f>
        <v/>
      </c>
      <c r="BO464">
        <f>$C464*BO463</f>
        <v/>
      </c>
      <c r="BP464">
        <f>$C464*BP463</f>
        <v/>
      </c>
      <c r="BQ464">
        <f>$C464*BQ463</f>
        <v/>
      </c>
      <c r="BR464">
        <f>$C464*BR463</f>
        <v/>
      </c>
      <c r="BS464">
        <f>$C464*BS463</f>
        <v/>
      </c>
      <c r="BT464">
        <f>$C464*BT463</f>
        <v/>
      </c>
      <c r="BU464">
        <f>$C464*BU463</f>
        <v/>
      </c>
      <c r="BV464">
        <f>$C464*BV463</f>
        <v/>
      </c>
      <c r="BW464">
        <f>$C464*BW463</f>
        <v/>
      </c>
      <c r="BX464">
        <f>$C464*BX463</f>
        <v/>
      </c>
      <c r="BY464">
        <f>$C464*BY463</f>
        <v/>
      </c>
      <c r="BZ464">
        <f>$C464*BZ463</f>
        <v/>
      </c>
      <c r="CA464">
        <f>$C464*CA463</f>
        <v/>
      </c>
      <c r="CB464">
        <f>$C464*CB463</f>
        <v/>
      </c>
      <c r="CC464">
        <f>$C464*CC463</f>
        <v/>
      </c>
      <c r="CD464">
        <f>$C464*CD463</f>
        <v/>
      </c>
      <c r="CE464">
        <f>$C464*CE463</f>
        <v/>
      </c>
      <c r="CF464">
        <f>$C464*CF463</f>
        <v/>
      </c>
      <c r="CG464">
        <f>$C464*CG463</f>
        <v/>
      </c>
      <c r="CH464">
        <f>$C464*CH463</f>
        <v/>
      </c>
      <c r="CI464">
        <f>$C464*CI463</f>
        <v/>
      </c>
      <c r="CJ464">
        <f>$C464*CJ463</f>
        <v/>
      </c>
      <c r="CK464">
        <f>$C464*CK463</f>
        <v/>
      </c>
      <c r="CL464">
        <f>$C464*CL463</f>
        <v/>
      </c>
      <c r="CM464">
        <f>$C464*CM463</f>
        <v/>
      </c>
      <c r="CN464">
        <f>$C464*CN463</f>
        <v/>
      </c>
      <c r="CO464">
        <f>$C464*CO463</f>
        <v/>
      </c>
      <c r="CP464">
        <f>$C464*CP463</f>
        <v/>
      </c>
      <c r="CQ464">
        <f>$C464*CQ463</f>
        <v/>
      </c>
      <c r="CR464">
        <f>$C464*CR463</f>
        <v/>
      </c>
      <c r="CS464">
        <f>$C464*CS463</f>
        <v/>
      </c>
      <c r="CT464">
        <f>$C464*CT463</f>
        <v/>
      </c>
      <c r="CU464">
        <f>$C464*CU463</f>
        <v/>
      </c>
      <c r="CV464">
        <f>$C464*CV463</f>
        <v/>
      </c>
      <c r="CW464">
        <f>$C464*CW463</f>
        <v/>
      </c>
      <c r="CX464">
        <f>$C464*CX463</f>
        <v/>
      </c>
      <c r="CY464">
        <f>$C464*CY463</f>
        <v/>
      </c>
      <c r="CZ464">
        <f>$C464*CZ463</f>
        <v/>
      </c>
      <c r="DA464">
        <f>$C464*DA463</f>
        <v/>
      </c>
      <c r="DB464">
        <f>$C464*DB463</f>
        <v/>
      </c>
      <c r="DC464">
        <f>$C464*DC463</f>
        <v/>
      </c>
    </row>
    <row r="465">
      <c r="B465" t="inlineStr">
        <is>
          <t>TSP-925</t>
        </is>
      </c>
      <c r="C465" t="inlineStr">
        <is>
          <t>No. of batches</t>
        </is>
      </c>
      <c r="D465">
        <f>IFERROR(INDEX(PP_Grid[#Data],$DD465,2),0)</f>
        <v/>
      </c>
      <c r="E465">
        <f>IFERROR(INDEX(PP_Grid[#Data],$DD465,3),0)</f>
        <v/>
      </c>
      <c r="F465">
        <f>IFERROR(INDEX(PP_Grid[#Data],$DD465,4),0)</f>
        <v/>
      </c>
      <c r="G465">
        <f>IFERROR(INDEX(PP_Grid[#Data],$DD465,5),0)</f>
        <v/>
      </c>
      <c r="H465">
        <f>IFERROR(INDEX(PP_Grid[#Data],$DD465,6),0)</f>
        <v/>
      </c>
      <c r="I465">
        <f>IFERROR(INDEX(PP_Grid[#Data],$DD465,7),0)</f>
        <v/>
      </c>
      <c r="J465">
        <f>IFERROR(INDEX(PP_Grid[#Data],$DD465,8),0)</f>
        <v/>
      </c>
      <c r="K465">
        <f>IFERROR(INDEX(PP_Grid[#Data],$DD465,9),0)</f>
        <v/>
      </c>
      <c r="L465">
        <f>IFERROR(INDEX(PP_Grid[#Data],$DD465,10),0)</f>
        <v/>
      </c>
      <c r="M465">
        <f>IFERROR(INDEX(PP_Grid[#Data],$DD465,11),0)</f>
        <v/>
      </c>
      <c r="N465">
        <f>IFERROR(INDEX(PP_Grid[#Data],$DD465,12),0)</f>
        <v/>
      </c>
      <c r="O465">
        <f>IFERROR(INDEX(PP_Grid[#Data],$DD465,13),0)</f>
        <v/>
      </c>
      <c r="P465">
        <f>IFERROR(INDEX(PP_Grid[#Data],$DD465,14),0)</f>
        <v/>
      </c>
      <c r="Q465">
        <f>IFERROR(INDEX(PP_Grid[#Data],$DD465,15),0)</f>
        <v/>
      </c>
      <c r="R465">
        <f>IFERROR(INDEX(PP_Grid[#Data],$DD465,16),0)</f>
        <v/>
      </c>
      <c r="S465">
        <f>IFERROR(INDEX(PP_Grid[#Data],$DD465,17),0)</f>
        <v/>
      </c>
      <c r="T465">
        <f>IFERROR(INDEX(PP_Grid[#Data],$DD465,18),0)</f>
        <v/>
      </c>
      <c r="U465">
        <f>IFERROR(INDEX(PP_Grid[#Data],$DD465,19),0)</f>
        <v/>
      </c>
      <c r="V465">
        <f>IFERROR(INDEX(PP_Grid[#Data],$DD465,20),0)</f>
        <v/>
      </c>
      <c r="W465">
        <f>IFERROR(INDEX(PP_Grid[#Data],$DD465,21),0)</f>
        <v/>
      </c>
      <c r="X465">
        <f>IFERROR(INDEX(PP_Grid[#Data],$DD465,22),0)</f>
        <v/>
      </c>
      <c r="Y465">
        <f>IFERROR(INDEX(PP_Grid[#Data],$DD465,23),0)</f>
        <v/>
      </c>
      <c r="Z465">
        <f>IFERROR(INDEX(PP_Grid[#Data],$DD465,24),0)</f>
        <v/>
      </c>
      <c r="AA465">
        <f>IFERROR(INDEX(PP_Grid[#Data],$DD465,25),0)</f>
        <v/>
      </c>
      <c r="AB465">
        <f>IFERROR(INDEX(PP_Grid[#Data],$DD465,26),0)</f>
        <v/>
      </c>
      <c r="AC465">
        <f>IFERROR(INDEX(PP_Grid[#Data],$DD465,27),0)</f>
        <v/>
      </c>
      <c r="AD465">
        <f>IFERROR(INDEX(PP_Grid[#Data],$DD465,28),0)</f>
        <v/>
      </c>
      <c r="AE465">
        <f>IFERROR(INDEX(PP_Grid[#Data],$DD465,29),0)</f>
        <v/>
      </c>
      <c r="AF465">
        <f>IFERROR(INDEX(PP_Grid[#Data],$DD465,30),0)</f>
        <v/>
      </c>
      <c r="AG465">
        <f>IFERROR(INDEX(PP_Grid[#Data],$DD465,31),0)</f>
        <v/>
      </c>
      <c r="AH465">
        <f>IFERROR(INDEX(PP_Grid[#Data],$DD465,32),0)</f>
        <v/>
      </c>
      <c r="AI465">
        <f>IFERROR(INDEX(PP_Grid[#Data],$DD465,33),0)</f>
        <v/>
      </c>
      <c r="AJ465">
        <f>IFERROR(INDEX(PP_Grid[#Data],$DD465,34),0)</f>
        <v/>
      </c>
      <c r="AK465">
        <f>IFERROR(INDEX(PP_Grid[#Data],$DD465,35),0)</f>
        <v/>
      </c>
      <c r="AL465">
        <f>IFERROR(INDEX(PP_Grid[#Data],$DD465,36),0)</f>
        <v/>
      </c>
      <c r="AM465">
        <f>IFERROR(INDEX(PP_Grid[#Data],$DD465,37),0)</f>
        <v/>
      </c>
      <c r="AN465">
        <f>IFERROR(INDEX(PP_Grid[#Data],$DD465,38),0)</f>
        <v/>
      </c>
      <c r="AO465">
        <f>IFERROR(INDEX(PP_Grid[#Data],$DD465,39),0)</f>
        <v/>
      </c>
      <c r="AP465">
        <f>IFERROR(INDEX(PP_Grid[#Data],$DD465,40),0)</f>
        <v/>
      </c>
      <c r="AQ465">
        <f>IFERROR(INDEX(PP_Grid[#Data],$DD465,41),0)</f>
        <v/>
      </c>
      <c r="AR465">
        <f>IFERROR(INDEX(PP_Grid[#Data],$DD465,42),0)</f>
        <v/>
      </c>
      <c r="AS465">
        <f>IFERROR(INDEX(PP_Grid[#Data],$DD465,43),0)</f>
        <v/>
      </c>
      <c r="AT465">
        <f>IFERROR(INDEX(PP_Grid[#Data],$DD465,44),0)</f>
        <v/>
      </c>
      <c r="AU465">
        <f>IFERROR(INDEX(PP_Grid[#Data],$DD465,45),0)</f>
        <v/>
      </c>
      <c r="AV465">
        <f>IFERROR(INDEX(PP_Grid[#Data],$DD465,46),0)</f>
        <v/>
      </c>
      <c r="AW465">
        <f>IFERROR(INDEX(PP_Grid[#Data],$DD465,47),0)</f>
        <v/>
      </c>
      <c r="AX465">
        <f>IFERROR(INDEX(PP_Grid[#Data],$DD465,48),0)</f>
        <v/>
      </c>
      <c r="AY465">
        <f>IFERROR(INDEX(PP_Grid[#Data],$DD465,49),0)</f>
        <v/>
      </c>
      <c r="AZ465">
        <f>IFERROR(INDEX(PP_Grid[#Data],$DD465,50),0)</f>
        <v/>
      </c>
      <c r="BA465">
        <f>IFERROR(INDEX(PP_Grid[#Data],$DD465,51),0)</f>
        <v/>
      </c>
      <c r="BB465">
        <f>IFERROR(INDEX(PP_Grid[#Data],$DD465,52),0)</f>
        <v/>
      </c>
      <c r="BC465">
        <f>IFERROR(INDEX(PP_Grid[#Data],$DD465,53),0)</f>
        <v/>
      </c>
      <c r="BD465">
        <f>IFERROR(INDEX(PP_Grid[#Data],$DD465,54),0)</f>
        <v/>
      </c>
      <c r="BE465">
        <f>IFERROR(INDEX(PP_Grid[#Data],$DD465,55),0)</f>
        <v/>
      </c>
      <c r="BF465">
        <f>IFERROR(INDEX(PP_Grid[#Data],$DD465,56),0)</f>
        <v/>
      </c>
      <c r="BG465">
        <f>IFERROR(INDEX(PP_Grid[#Data],$DD465,57),0)</f>
        <v/>
      </c>
      <c r="BH465">
        <f>IFERROR(INDEX(PP_Grid[#Data],$DD465,58),0)</f>
        <v/>
      </c>
      <c r="BI465">
        <f>IFERROR(INDEX(PP_Grid[#Data],$DD465,59),0)</f>
        <v/>
      </c>
      <c r="BJ465">
        <f>IFERROR(INDEX(PP_Grid[#Data],$DD465,60),0)</f>
        <v/>
      </c>
      <c r="BK465">
        <f>IFERROR(INDEX(PP_Grid[#Data],$DD465,61),0)</f>
        <v/>
      </c>
      <c r="BL465">
        <f>IFERROR(INDEX(PP_Grid[#Data],$DD465,62),0)</f>
        <v/>
      </c>
      <c r="BM465">
        <f>IFERROR(INDEX(PP_Grid[#Data],$DD465,63),0)</f>
        <v/>
      </c>
      <c r="BN465">
        <f>IFERROR(INDEX(PP_Grid[#Data],$DD465,64),0)</f>
        <v/>
      </c>
      <c r="BO465">
        <f>IFERROR(INDEX(PP_Grid[#Data],$DD465,65),0)</f>
        <v/>
      </c>
      <c r="BP465">
        <f>IFERROR(INDEX(PP_Grid[#Data],$DD465,66),0)</f>
        <v/>
      </c>
      <c r="BQ465">
        <f>IFERROR(INDEX(PP_Grid[#Data],$DD465,67),0)</f>
        <v/>
      </c>
      <c r="BR465">
        <f>IFERROR(INDEX(PP_Grid[#Data],$DD465,68),0)</f>
        <v/>
      </c>
      <c r="BS465">
        <f>IFERROR(INDEX(PP_Grid[#Data],$DD465,69),0)</f>
        <v/>
      </c>
      <c r="BT465">
        <f>IFERROR(INDEX(PP_Grid[#Data],$DD465,70),0)</f>
        <v/>
      </c>
      <c r="BU465">
        <f>IFERROR(INDEX(PP_Grid[#Data],$DD465,71),0)</f>
        <v/>
      </c>
      <c r="BV465">
        <f>IFERROR(INDEX(PP_Grid[#Data],$DD465,72),0)</f>
        <v/>
      </c>
      <c r="BW465">
        <f>IFERROR(INDEX(PP_Grid[#Data],$DD465,73),0)</f>
        <v/>
      </c>
      <c r="BX465">
        <f>IFERROR(INDEX(PP_Grid[#Data],$DD465,74),0)</f>
        <v/>
      </c>
      <c r="BY465">
        <f>IFERROR(INDEX(PP_Grid[#Data],$DD465,75),0)</f>
        <v/>
      </c>
      <c r="BZ465">
        <f>IFERROR(INDEX(PP_Grid[#Data],$DD465,76),0)</f>
        <v/>
      </c>
      <c r="CA465">
        <f>IFERROR(INDEX(PP_Grid[#Data],$DD465,77),0)</f>
        <v/>
      </c>
      <c r="CB465">
        <f>IFERROR(INDEX(PP_Grid[#Data],$DD465,78),0)</f>
        <v/>
      </c>
      <c r="CC465">
        <f>IFERROR(INDEX(PP_Grid[#Data],$DD465,79),0)</f>
        <v/>
      </c>
      <c r="CD465">
        <f>IFERROR(INDEX(PP_Grid[#Data],$DD465,80),0)</f>
        <v/>
      </c>
      <c r="CE465">
        <f>IFERROR(INDEX(PP_Grid[#Data],$DD465,81),0)</f>
        <v/>
      </c>
      <c r="CF465">
        <f>IFERROR(INDEX(PP_Grid[#Data],$DD465,82),0)</f>
        <v/>
      </c>
      <c r="CG465">
        <f>IFERROR(INDEX(PP_Grid[#Data],$DD465,83),0)</f>
        <v/>
      </c>
      <c r="CH465">
        <f>IFERROR(INDEX(PP_Grid[#Data],$DD465,84),0)</f>
        <v/>
      </c>
      <c r="CI465">
        <f>IFERROR(INDEX(PP_Grid[#Data],$DD465,85),0)</f>
        <v/>
      </c>
      <c r="CJ465">
        <f>IFERROR(INDEX(PP_Grid[#Data],$DD465,86),0)</f>
        <v/>
      </c>
      <c r="CK465">
        <f>IFERROR(INDEX(PP_Grid[#Data],$DD465,87),0)</f>
        <v/>
      </c>
      <c r="CL465">
        <f>IFERROR(INDEX(PP_Grid[#Data],$DD465,88),0)</f>
        <v/>
      </c>
      <c r="CM465">
        <f>IFERROR(INDEX(PP_Grid[#Data],$DD465,89),0)</f>
        <v/>
      </c>
      <c r="CN465">
        <f>IFERROR(INDEX(PP_Grid[#Data],$DD465,90),0)</f>
        <v/>
      </c>
      <c r="CO465">
        <f>IFERROR(INDEX(PP_Grid[#Data],$DD465,91),0)</f>
        <v/>
      </c>
      <c r="CP465">
        <f>IFERROR(INDEX(PP_Grid[#Data],$DD465,92),0)</f>
        <v/>
      </c>
      <c r="CQ465">
        <f>IFERROR(INDEX(PP_Grid[#Data],$DD465,93),0)</f>
        <v/>
      </c>
      <c r="CR465">
        <f>IFERROR(INDEX(PP_Grid[#Data],$DD465,94),0)</f>
        <v/>
      </c>
      <c r="CS465">
        <f>IFERROR(INDEX(PP_Grid[#Data],$DD465,95),0)</f>
        <v/>
      </c>
      <c r="CT465">
        <f>IFERROR(INDEX(PP_Grid[#Data],$DD465,96),0)</f>
        <v/>
      </c>
      <c r="CU465">
        <f>IFERROR(INDEX(PP_Grid[#Data],$DD465,97),0)</f>
        <v/>
      </c>
      <c r="CV465">
        <f>IFERROR(INDEX(PP_Grid[#Data],$DD465,98),0)</f>
        <v/>
      </c>
      <c r="CW465">
        <f>IFERROR(INDEX(PP_Grid[#Data],$DD465,99),0)</f>
        <v/>
      </c>
      <c r="CX465">
        <f>IFERROR(INDEX(PP_Grid[#Data],$DD465,100),0)</f>
        <v/>
      </c>
      <c r="CY465">
        <f>IFERROR(INDEX(PP_Grid[#Data],$DD465,101),0)</f>
        <v/>
      </c>
      <c r="CZ465">
        <f>IFERROR(INDEX(PP_Grid[#Data],$DD465,102),0)</f>
        <v/>
      </c>
      <c r="DA465">
        <f>IFERROR(INDEX(PP_Grid[#Data],$DD465,103),0)</f>
        <v/>
      </c>
      <c r="DB465">
        <f>IFERROR(INDEX(PP_Grid[#Data],$DD465,104),0)</f>
        <v/>
      </c>
      <c r="DC465">
        <f>IFERROR(INDEX(PP_Grid[#Data],$DD465,105),0)</f>
        <v/>
      </c>
      <c r="DD465" s="12">
        <f>IFERROR(MATCH($B465,PP_Grid[Intermediate],0),99999)</f>
        <v/>
      </c>
    </row>
    <row r="466">
      <c r="B466" t="inlineStr">
        <is>
          <t>使用量(kg)</t>
        </is>
      </c>
      <c r="C466">
        <f>SUMIFS(M_BOM[RM_Qty_Per_Batch],M_BOM[Intermediate],$B465,M_BOM[Part Name],$A406)</f>
        <v/>
      </c>
      <c r="D466">
        <f>$C466*D465</f>
        <v/>
      </c>
      <c r="E466">
        <f>$C466*E465</f>
        <v/>
      </c>
      <c r="F466">
        <f>$C466*F465</f>
        <v/>
      </c>
      <c r="G466">
        <f>$C466*G465</f>
        <v/>
      </c>
      <c r="H466">
        <f>$C466*H465</f>
        <v/>
      </c>
      <c r="I466">
        <f>$C466*I465</f>
        <v/>
      </c>
      <c r="J466">
        <f>$C466*J465</f>
        <v/>
      </c>
      <c r="K466">
        <f>$C466*K465</f>
        <v/>
      </c>
      <c r="L466">
        <f>$C466*L465</f>
        <v/>
      </c>
      <c r="M466">
        <f>$C466*M465</f>
        <v/>
      </c>
      <c r="N466">
        <f>$C466*N465</f>
        <v/>
      </c>
      <c r="O466">
        <f>$C466*O465</f>
        <v/>
      </c>
      <c r="P466">
        <f>$C466*P465</f>
        <v/>
      </c>
      <c r="Q466">
        <f>$C466*Q465</f>
        <v/>
      </c>
      <c r="R466">
        <f>$C466*R465</f>
        <v/>
      </c>
      <c r="S466">
        <f>$C466*S465</f>
        <v/>
      </c>
      <c r="T466">
        <f>$C466*T465</f>
        <v/>
      </c>
      <c r="U466">
        <f>$C466*U465</f>
        <v/>
      </c>
      <c r="V466">
        <f>$C466*V465</f>
        <v/>
      </c>
      <c r="W466">
        <f>$C466*W465</f>
        <v/>
      </c>
      <c r="X466">
        <f>$C466*X465</f>
        <v/>
      </c>
      <c r="Y466">
        <f>$C466*Y465</f>
        <v/>
      </c>
      <c r="Z466">
        <f>$C466*Z465</f>
        <v/>
      </c>
      <c r="AA466">
        <f>$C466*AA465</f>
        <v/>
      </c>
      <c r="AB466">
        <f>$C466*AB465</f>
        <v/>
      </c>
      <c r="AC466">
        <f>$C466*AC465</f>
        <v/>
      </c>
      <c r="AD466">
        <f>$C466*AD465</f>
        <v/>
      </c>
      <c r="AE466">
        <f>$C466*AE465</f>
        <v/>
      </c>
      <c r="AF466">
        <f>$C466*AF465</f>
        <v/>
      </c>
      <c r="AG466">
        <f>$C466*AG465</f>
        <v/>
      </c>
      <c r="AH466">
        <f>$C466*AH465</f>
        <v/>
      </c>
      <c r="AI466">
        <f>$C466*AI465</f>
        <v/>
      </c>
      <c r="AJ466">
        <f>$C466*AJ465</f>
        <v/>
      </c>
      <c r="AK466">
        <f>$C466*AK465</f>
        <v/>
      </c>
      <c r="AL466">
        <f>$C466*AL465</f>
        <v/>
      </c>
      <c r="AM466">
        <f>$C466*AM465</f>
        <v/>
      </c>
      <c r="AN466">
        <f>$C466*AN465</f>
        <v/>
      </c>
      <c r="AO466">
        <f>$C466*AO465</f>
        <v/>
      </c>
      <c r="AP466">
        <f>$C466*AP465</f>
        <v/>
      </c>
      <c r="AQ466">
        <f>$C466*AQ465</f>
        <v/>
      </c>
      <c r="AR466">
        <f>$C466*AR465</f>
        <v/>
      </c>
      <c r="AS466">
        <f>$C466*AS465</f>
        <v/>
      </c>
      <c r="AT466">
        <f>$C466*AT465</f>
        <v/>
      </c>
      <c r="AU466">
        <f>$C466*AU465</f>
        <v/>
      </c>
      <c r="AV466">
        <f>$C466*AV465</f>
        <v/>
      </c>
      <c r="AW466">
        <f>$C466*AW465</f>
        <v/>
      </c>
      <c r="AX466">
        <f>$C466*AX465</f>
        <v/>
      </c>
      <c r="AY466">
        <f>$C466*AY465</f>
        <v/>
      </c>
      <c r="AZ466">
        <f>$C466*AZ465</f>
        <v/>
      </c>
      <c r="BA466">
        <f>$C466*BA465</f>
        <v/>
      </c>
      <c r="BB466">
        <f>$C466*BB465</f>
        <v/>
      </c>
      <c r="BC466">
        <f>$C466*BC465</f>
        <v/>
      </c>
      <c r="BD466">
        <f>$C466*BD465</f>
        <v/>
      </c>
      <c r="BE466">
        <f>$C466*BE465</f>
        <v/>
      </c>
      <c r="BF466">
        <f>$C466*BF465</f>
        <v/>
      </c>
      <c r="BG466">
        <f>$C466*BG465</f>
        <v/>
      </c>
      <c r="BH466">
        <f>$C466*BH465</f>
        <v/>
      </c>
      <c r="BI466">
        <f>$C466*BI465</f>
        <v/>
      </c>
      <c r="BJ466">
        <f>$C466*BJ465</f>
        <v/>
      </c>
      <c r="BK466">
        <f>$C466*BK465</f>
        <v/>
      </c>
      <c r="BL466">
        <f>$C466*BL465</f>
        <v/>
      </c>
      <c r="BM466">
        <f>$C466*BM465</f>
        <v/>
      </c>
      <c r="BN466">
        <f>$C466*BN465</f>
        <v/>
      </c>
      <c r="BO466">
        <f>$C466*BO465</f>
        <v/>
      </c>
      <c r="BP466">
        <f>$C466*BP465</f>
        <v/>
      </c>
      <c r="BQ466">
        <f>$C466*BQ465</f>
        <v/>
      </c>
      <c r="BR466">
        <f>$C466*BR465</f>
        <v/>
      </c>
      <c r="BS466">
        <f>$C466*BS465</f>
        <v/>
      </c>
      <c r="BT466">
        <f>$C466*BT465</f>
        <v/>
      </c>
      <c r="BU466">
        <f>$C466*BU465</f>
        <v/>
      </c>
      <c r="BV466">
        <f>$C466*BV465</f>
        <v/>
      </c>
      <c r="BW466">
        <f>$C466*BW465</f>
        <v/>
      </c>
      <c r="BX466">
        <f>$C466*BX465</f>
        <v/>
      </c>
      <c r="BY466">
        <f>$C466*BY465</f>
        <v/>
      </c>
      <c r="BZ466">
        <f>$C466*BZ465</f>
        <v/>
      </c>
      <c r="CA466">
        <f>$C466*CA465</f>
        <v/>
      </c>
      <c r="CB466">
        <f>$C466*CB465</f>
        <v/>
      </c>
      <c r="CC466">
        <f>$C466*CC465</f>
        <v/>
      </c>
      <c r="CD466">
        <f>$C466*CD465</f>
        <v/>
      </c>
      <c r="CE466">
        <f>$C466*CE465</f>
        <v/>
      </c>
      <c r="CF466">
        <f>$C466*CF465</f>
        <v/>
      </c>
      <c r="CG466">
        <f>$C466*CG465</f>
        <v/>
      </c>
      <c r="CH466">
        <f>$C466*CH465</f>
        <v/>
      </c>
      <c r="CI466">
        <f>$C466*CI465</f>
        <v/>
      </c>
      <c r="CJ466">
        <f>$C466*CJ465</f>
        <v/>
      </c>
      <c r="CK466">
        <f>$C466*CK465</f>
        <v/>
      </c>
      <c r="CL466">
        <f>$C466*CL465</f>
        <v/>
      </c>
      <c r="CM466">
        <f>$C466*CM465</f>
        <v/>
      </c>
      <c r="CN466">
        <f>$C466*CN465</f>
        <v/>
      </c>
      <c r="CO466">
        <f>$C466*CO465</f>
        <v/>
      </c>
      <c r="CP466">
        <f>$C466*CP465</f>
        <v/>
      </c>
      <c r="CQ466">
        <f>$C466*CQ465</f>
        <v/>
      </c>
      <c r="CR466">
        <f>$C466*CR465</f>
        <v/>
      </c>
      <c r="CS466">
        <f>$C466*CS465</f>
        <v/>
      </c>
      <c r="CT466">
        <f>$C466*CT465</f>
        <v/>
      </c>
      <c r="CU466">
        <f>$C466*CU465</f>
        <v/>
      </c>
      <c r="CV466">
        <f>$C466*CV465</f>
        <v/>
      </c>
      <c r="CW466">
        <f>$C466*CW465</f>
        <v/>
      </c>
      <c r="CX466">
        <f>$C466*CX465</f>
        <v/>
      </c>
      <c r="CY466">
        <f>$C466*CY465</f>
        <v/>
      </c>
      <c r="CZ466">
        <f>$C466*CZ465</f>
        <v/>
      </c>
      <c r="DA466">
        <f>$C466*DA465</f>
        <v/>
      </c>
      <c r="DB466">
        <f>$C466*DB465</f>
        <v/>
      </c>
      <c r="DC466">
        <f>$C466*DC465</f>
        <v/>
      </c>
    </row>
    <row r="467">
      <c r="B467" t="inlineStr">
        <is>
          <t>TSP-927</t>
        </is>
      </c>
      <c r="C467" t="inlineStr">
        <is>
          <t>No. of batches</t>
        </is>
      </c>
      <c r="D467">
        <f>IFERROR(INDEX(PP_Grid[#Data],$DD467,2),0)</f>
        <v/>
      </c>
      <c r="E467">
        <f>IFERROR(INDEX(PP_Grid[#Data],$DD467,3),0)</f>
        <v/>
      </c>
      <c r="F467">
        <f>IFERROR(INDEX(PP_Grid[#Data],$DD467,4),0)</f>
        <v/>
      </c>
      <c r="G467">
        <f>IFERROR(INDEX(PP_Grid[#Data],$DD467,5),0)</f>
        <v/>
      </c>
      <c r="H467">
        <f>IFERROR(INDEX(PP_Grid[#Data],$DD467,6),0)</f>
        <v/>
      </c>
      <c r="I467">
        <f>IFERROR(INDEX(PP_Grid[#Data],$DD467,7),0)</f>
        <v/>
      </c>
      <c r="J467">
        <f>IFERROR(INDEX(PP_Grid[#Data],$DD467,8),0)</f>
        <v/>
      </c>
      <c r="K467">
        <f>IFERROR(INDEX(PP_Grid[#Data],$DD467,9),0)</f>
        <v/>
      </c>
      <c r="L467">
        <f>IFERROR(INDEX(PP_Grid[#Data],$DD467,10),0)</f>
        <v/>
      </c>
      <c r="M467">
        <f>IFERROR(INDEX(PP_Grid[#Data],$DD467,11),0)</f>
        <v/>
      </c>
      <c r="N467">
        <f>IFERROR(INDEX(PP_Grid[#Data],$DD467,12),0)</f>
        <v/>
      </c>
      <c r="O467">
        <f>IFERROR(INDEX(PP_Grid[#Data],$DD467,13),0)</f>
        <v/>
      </c>
      <c r="P467">
        <f>IFERROR(INDEX(PP_Grid[#Data],$DD467,14),0)</f>
        <v/>
      </c>
      <c r="Q467">
        <f>IFERROR(INDEX(PP_Grid[#Data],$DD467,15),0)</f>
        <v/>
      </c>
      <c r="R467">
        <f>IFERROR(INDEX(PP_Grid[#Data],$DD467,16),0)</f>
        <v/>
      </c>
      <c r="S467">
        <f>IFERROR(INDEX(PP_Grid[#Data],$DD467,17),0)</f>
        <v/>
      </c>
      <c r="T467">
        <f>IFERROR(INDEX(PP_Grid[#Data],$DD467,18),0)</f>
        <v/>
      </c>
      <c r="U467">
        <f>IFERROR(INDEX(PP_Grid[#Data],$DD467,19),0)</f>
        <v/>
      </c>
      <c r="V467">
        <f>IFERROR(INDEX(PP_Grid[#Data],$DD467,20),0)</f>
        <v/>
      </c>
      <c r="W467">
        <f>IFERROR(INDEX(PP_Grid[#Data],$DD467,21),0)</f>
        <v/>
      </c>
      <c r="X467">
        <f>IFERROR(INDEX(PP_Grid[#Data],$DD467,22),0)</f>
        <v/>
      </c>
      <c r="Y467">
        <f>IFERROR(INDEX(PP_Grid[#Data],$DD467,23),0)</f>
        <v/>
      </c>
      <c r="Z467">
        <f>IFERROR(INDEX(PP_Grid[#Data],$DD467,24),0)</f>
        <v/>
      </c>
      <c r="AA467">
        <f>IFERROR(INDEX(PP_Grid[#Data],$DD467,25),0)</f>
        <v/>
      </c>
      <c r="AB467">
        <f>IFERROR(INDEX(PP_Grid[#Data],$DD467,26),0)</f>
        <v/>
      </c>
      <c r="AC467">
        <f>IFERROR(INDEX(PP_Grid[#Data],$DD467,27),0)</f>
        <v/>
      </c>
      <c r="AD467">
        <f>IFERROR(INDEX(PP_Grid[#Data],$DD467,28),0)</f>
        <v/>
      </c>
      <c r="AE467">
        <f>IFERROR(INDEX(PP_Grid[#Data],$DD467,29),0)</f>
        <v/>
      </c>
      <c r="AF467">
        <f>IFERROR(INDEX(PP_Grid[#Data],$DD467,30),0)</f>
        <v/>
      </c>
      <c r="AG467">
        <f>IFERROR(INDEX(PP_Grid[#Data],$DD467,31),0)</f>
        <v/>
      </c>
      <c r="AH467">
        <f>IFERROR(INDEX(PP_Grid[#Data],$DD467,32),0)</f>
        <v/>
      </c>
      <c r="AI467">
        <f>IFERROR(INDEX(PP_Grid[#Data],$DD467,33),0)</f>
        <v/>
      </c>
      <c r="AJ467">
        <f>IFERROR(INDEX(PP_Grid[#Data],$DD467,34),0)</f>
        <v/>
      </c>
      <c r="AK467">
        <f>IFERROR(INDEX(PP_Grid[#Data],$DD467,35),0)</f>
        <v/>
      </c>
      <c r="AL467">
        <f>IFERROR(INDEX(PP_Grid[#Data],$DD467,36),0)</f>
        <v/>
      </c>
      <c r="AM467">
        <f>IFERROR(INDEX(PP_Grid[#Data],$DD467,37),0)</f>
        <v/>
      </c>
      <c r="AN467">
        <f>IFERROR(INDEX(PP_Grid[#Data],$DD467,38),0)</f>
        <v/>
      </c>
      <c r="AO467">
        <f>IFERROR(INDEX(PP_Grid[#Data],$DD467,39),0)</f>
        <v/>
      </c>
      <c r="AP467">
        <f>IFERROR(INDEX(PP_Grid[#Data],$DD467,40),0)</f>
        <v/>
      </c>
      <c r="AQ467">
        <f>IFERROR(INDEX(PP_Grid[#Data],$DD467,41),0)</f>
        <v/>
      </c>
      <c r="AR467">
        <f>IFERROR(INDEX(PP_Grid[#Data],$DD467,42),0)</f>
        <v/>
      </c>
      <c r="AS467">
        <f>IFERROR(INDEX(PP_Grid[#Data],$DD467,43),0)</f>
        <v/>
      </c>
      <c r="AT467">
        <f>IFERROR(INDEX(PP_Grid[#Data],$DD467,44),0)</f>
        <v/>
      </c>
      <c r="AU467">
        <f>IFERROR(INDEX(PP_Grid[#Data],$DD467,45),0)</f>
        <v/>
      </c>
      <c r="AV467">
        <f>IFERROR(INDEX(PP_Grid[#Data],$DD467,46),0)</f>
        <v/>
      </c>
      <c r="AW467">
        <f>IFERROR(INDEX(PP_Grid[#Data],$DD467,47),0)</f>
        <v/>
      </c>
      <c r="AX467">
        <f>IFERROR(INDEX(PP_Grid[#Data],$DD467,48),0)</f>
        <v/>
      </c>
      <c r="AY467">
        <f>IFERROR(INDEX(PP_Grid[#Data],$DD467,49),0)</f>
        <v/>
      </c>
      <c r="AZ467">
        <f>IFERROR(INDEX(PP_Grid[#Data],$DD467,50),0)</f>
        <v/>
      </c>
      <c r="BA467">
        <f>IFERROR(INDEX(PP_Grid[#Data],$DD467,51),0)</f>
        <v/>
      </c>
      <c r="BB467">
        <f>IFERROR(INDEX(PP_Grid[#Data],$DD467,52),0)</f>
        <v/>
      </c>
      <c r="BC467">
        <f>IFERROR(INDEX(PP_Grid[#Data],$DD467,53),0)</f>
        <v/>
      </c>
      <c r="BD467">
        <f>IFERROR(INDEX(PP_Grid[#Data],$DD467,54),0)</f>
        <v/>
      </c>
      <c r="BE467">
        <f>IFERROR(INDEX(PP_Grid[#Data],$DD467,55),0)</f>
        <v/>
      </c>
      <c r="BF467">
        <f>IFERROR(INDEX(PP_Grid[#Data],$DD467,56),0)</f>
        <v/>
      </c>
      <c r="BG467">
        <f>IFERROR(INDEX(PP_Grid[#Data],$DD467,57),0)</f>
        <v/>
      </c>
      <c r="BH467">
        <f>IFERROR(INDEX(PP_Grid[#Data],$DD467,58),0)</f>
        <v/>
      </c>
      <c r="BI467">
        <f>IFERROR(INDEX(PP_Grid[#Data],$DD467,59),0)</f>
        <v/>
      </c>
      <c r="BJ467">
        <f>IFERROR(INDEX(PP_Grid[#Data],$DD467,60),0)</f>
        <v/>
      </c>
      <c r="BK467">
        <f>IFERROR(INDEX(PP_Grid[#Data],$DD467,61),0)</f>
        <v/>
      </c>
      <c r="BL467">
        <f>IFERROR(INDEX(PP_Grid[#Data],$DD467,62),0)</f>
        <v/>
      </c>
      <c r="BM467">
        <f>IFERROR(INDEX(PP_Grid[#Data],$DD467,63),0)</f>
        <v/>
      </c>
      <c r="BN467">
        <f>IFERROR(INDEX(PP_Grid[#Data],$DD467,64),0)</f>
        <v/>
      </c>
      <c r="BO467">
        <f>IFERROR(INDEX(PP_Grid[#Data],$DD467,65),0)</f>
        <v/>
      </c>
      <c r="BP467">
        <f>IFERROR(INDEX(PP_Grid[#Data],$DD467,66),0)</f>
        <v/>
      </c>
      <c r="BQ467">
        <f>IFERROR(INDEX(PP_Grid[#Data],$DD467,67),0)</f>
        <v/>
      </c>
      <c r="BR467">
        <f>IFERROR(INDEX(PP_Grid[#Data],$DD467,68),0)</f>
        <v/>
      </c>
      <c r="BS467">
        <f>IFERROR(INDEX(PP_Grid[#Data],$DD467,69),0)</f>
        <v/>
      </c>
      <c r="BT467">
        <f>IFERROR(INDEX(PP_Grid[#Data],$DD467,70),0)</f>
        <v/>
      </c>
      <c r="BU467">
        <f>IFERROR(INDEX(PP_Grid[#Data],$DD467,71),0)</f>
        <v/>
      </c>
      <c r="BV467">
        <f>IFERROR(INDEX(PP_Grid[#Data],$DD467,72),0)</f>
        <v/>
      </c>
      <c r="BW467">
        <f>IFERROR(INDEX(PP_Grid[#Data],$DD467,73),0)</f>
        <v/>
      </c>
      <c r="BX467">
        <f>IFERROR(INDEX(PP_Grid[#Data],$DD467,74),0)</f>
        <v/>
      </c>
      <c r="BY467">
        <f>IFERROR(INDEX(PP_Grid[#Data],$DD467,75),0)</f>
        <v/>
      </c>
      <c r="BZ467">
        <f>IFERROR(INDEX(PP_Grid[#Data],$DD467,76),0)</f>
        <v/>
      </c>
      <c r="CA467">
        <f>IFERROR(INDEX(PP_Grid[#Data],$DD467,77),0)</f>
        <v/>
      </c>
      <c r="CB467">
        <f>IFERROR(INDEX(PP_Grid[#Data],$DD467,78),0)</f>
        <v/>
      </c>
      <c r="CC467">
        <f>IFERROR(INDEX(PP_Grid[#Data],$DD467,79),0)</f>
        <v/>
      </c>
      <c r="CD467">
        <f>IFERROR(INDEX(PP_Grid[#Data],$DD467,80),0)</f>
        <v/>
      </c>
      <c r="CE467">
        <f>IFERROR(INDEX(PP_Grid[#Data],$DD467,81),0)</f>
        <v/>
      </c>
      <c r="CF467">
        <f>IFERROR(INDEX(PP_Grid[#Data],$DD467,82),0)</f>
        <v/>
      </c>
      <c r="CG467">
        <f>IFERROR(INDEX(PP_Grid[#Data],$DD467,83),0)</f>
        <v/>
      </c>
      <c r="CH467">
        <f>IFERROR(INDEX(PP_Grid[#Data],$DD467,84),0)</f>
        <v/>
      </c>
      <c r="CI467">
        <f>IFERROR(INDEX(PP_Grid[#Data],$DD467,85),0)</f>
        <v/>
      </c>
      <c r="CJ467">
        <f>IFERROR(INDEX(PP_Grid[#Data],$DD467,86),0)</f>
        <v/>
      </c>
      <c r="CK467">
        <f>IFERROR(INDEX(PP_Grid[#Data],$DD467,87),0)</f>
        <v/>
      </c>
      <c r="CL467">
        <f>IFERROR(INDEX(PP_Grid[#Data],$DD467,88),0)</f>
        <v/>
      </c>
      <c r="CM467">
        <f>IFERROR(INDEX(PP_Grid[#Data],$DD467,89),0)</f>
        <v/>
      </c>
      <c r="CN467">
        <f>IFERROR(INDEX(PP_Grid[#Data],$DD467,90),0)</f>
        <v/>
      </c>
      <c r="CO467">
        <f>IFERROR(INDEX(PP_Grid[#Data],$DD467,91),0)</f>
        <v/>
      </c>
      <c r="CP467">
        <f>IFERROR(INDEX(PP_Grid[#Data],$DD467,92),0)</f>
        <v/>
      </c>
      <c r="CQ467">
        <f>IFERROR(INDEX(PP_Grid[#Data],$DD467,93),0)</f>
        <v/>
      </c>
      <c r="CR467">
        <f>IFERROR(INDEX(PP_Grid[#Data],$DD467,94),0)</f>
        <v/>
      </c>
      <c r="CS467">
        <f>IFERROR(INDEX(PP_Grid[#Data],$DD467,95),0)</f>
        <v/>
      </c>
      <c r="CT467">
        <f>IFERROR(INDEX(PP_Grid[#Data],$DD467,96),0)</f>
        <v/>
      </c>
      <c r="CU467">
        <f>IFERROR(INDEX(PP_Grid[#Data],$DD467,97),0)</f>
        <v/>
      </c>
      <c r="CV467">
        <f>IFERROR(INDEX(PP_Grid[#Data],$DD467,98),0)</f>
        <v/>
      </c>
      <c r="CW467">
        <f>IFERROR(INDEX(PP_Grid[#Data],$DD467,99),0)</f>
        <v/>
      </c>
      <c r="CX467">
        <f>IFERROR(INDEX(PP_Grid[#Data],$DD467,100),0)</f>
        <v/>
      </c>
      <c r="CY467">
        <f>IFERROR(INDEX(PP_Grid[#Data],$DD467,101),0)</f>
        <v/>
      </c>
      <c r="CZ467">
        <f>IFERROR(INDEX(PP_Grid[#Data],$DD467,102),0)</f>
        <v/>
      </c>
      <c r="DA467">
        <f>IFERROR(INDEX(PP_Grid[#Data],$DD467,103),0)</f>
        <v/>
      </c>
      <c r="DB467">
        <f>IFERROR(INDEX(PP_Grid[#Data],$DD467,104),0)</f>
        <v/>
      </c>
      <c r="DC467">
        <f>IFERROR(INDEX(PP_Grid[#Data],$DD467,105),0)</f>
        <v/>
      </c>
      <c r="DD467" s="12">
        <f>IFERROR(MATCH($B467,PP_Grid[Intermediate],0),99999)</f>
        <v/>
      </c>
    </row>
    <row r="468">
      <c r="B468" t="inlineStr">
        <is>
          <t>使用量(kg)</t>
        </is>
      </c>
      <c r="C468">
        <f>SUMIFS(M_BOM[RM_Qty_Per_Batch],M_BOM[Intermediate],$B467,M_BOM[Part Name],$A406)</f>
        <v/>
      </c>
      <c r="D468">
        <f>$C468*D467</f>
        <v/>
      </c>
      <c r="E468">
        <f>$C468*E467</f>
        <v/>
      </c>
      <c r="F468">
        <f>$C468*F467</f>
        <v/>
      </c>
      <c r="G468">
        <f>$C468*G467</f>
        <v/>
      </c>
      <c r="H468">
        <f>$C468*H467</f>
        <v/>
      </c>
      <c r="I468">
        <f>$C468*I467</f>
        <v/>
      </c>
      <c r="J468">
        <f>$C468*J467</f>
        <v/>
      </c>
      <c r="K468">
        <f>$C468*K467</f>
        <v/>
      </c>
      <c r="L468">
        <f>$C468*L467</f>
        <v/>
      </c>
      <c r="M468">
        <f>$C468*M467</f>
        <v/>
      </c>
      <c r="N468">
        <f>$C468*N467</f>
        <v/>
      </c>
      <c r="O468">
        <f>$C468*O467</f>
        <v/>
      </c>
      <c r="P468">
        <f>$C468*P467</f>
        <v/>
      </c>
      <c r="Q468">
        <f>$C468*Q467</f>
        <v/>
      </c>
      <c r="R468">
        <f>$C468*R467</f>
        <v/>
      </c>
      <c r="S468">
        <f>$C468*S467</f>
        <v/>
      </c>
      <c r="T468">
        <f>$C468*T467</f>
        <v/>
      </c>
      <c r="U468">
        <f>$C468*U467</f>
        <v/>
      </c>
      <c r="V468">
        <f>$C468*V467</f>
        <v/>
      </c>
      <c r="W468">
        <f>$C468*W467</f>
        <v/>
      </c>
      <c r="X468">
        <f>$C468*X467</f>
        <v/>
      </c>
      <c r="Y468">
        <f>$C468*Y467</f>
        <v/>
      </c>
      <c r="Z468">
        <f>$C468*Z467</f>
        <v/>
      </c>
      <c r="AA468">
        <f>$C468*AA467</f>
        <v/>
      </c>
      <c r="AB468">
        <f>$C468*AB467</f>
        <v/>
      </c>
      <c r="AC468">
        <f>$C468*AC467</f>
        <v/>
      </c>
      <c r="AD468">
        <f>$C468*AD467</f>
        <v/>
      </c>
      <c r="AE468">
        <f>$C468*AE467</f>
        <v/>
      </c>
      <c r="AF468">
        <f>$C468*AF467</f>
        <v/>
      </c>
      <c r="AG468">
        <f>$C468*AG467</f>
        <v/>
      </c>
      <c r="AH468">
        <f>$C468*AH467</f>
        <v/>
      </c>
      <c r="AI468">
        <f>$C468*AI467</f>
        <v/>
      </c>
      <c r="AJ468">
        <f>$C468*AJ467</f>
        <v/>
      </c>
      <c r="AK468">
        <f>$C468*AK467</f>
        <v/>
      </c>
      <c r="AL468">
        <f>$C468*AL467</f>
        <v/>
      </c>
      <c r="AM468">
        <f>$C468*AM467</f>
        <v/>
      </c>
      <c r="AN468">
        <f>$C468*AN467</f>
        <v/>
      </c>
      <c r="AO468">
        <f>$C468*AO467</f>
        <v/>
      </c>
      <c r="AP468">
        <f>$C468*AP467</f>
        <v/>
      </c>
      <c r="AQ468">
        <f>$C468*AQ467</f>
        <v/>
      </c>
      <c r="AR468">
        <f>$C468*AR467</f>
        <v/>
      </c>
      <c r="AS468">
        <f>$C468*AS467</f>
        <v/>
      </c>
      <c r="AT468">
        <f>$C468*AT467</f>
        <v/>
      </c>
      <c r="AU468">
        <f>$C468*AU467</f>
        <v/>
      </c>
      <c r="AV468">
        <f>$C468*AV467</f>
        <v/>
      </c>
      <c r="AW468">
        <f>$C468*AW467</f>
        <v/>
      </c>
      <c r="AX468">
        <f>$C468*AX467</f>
        <v/>
      </c>
      <c r="AY468">
        <f>$C468*AY467</f>
        <v/>
      </c>
      <c r="AZ468">
        <f>$C468*AZ467</f>
        <v/>
      </c>
      <c r="BA468">
        <f>$C468*BA467</f>
        <v/>
      </c>
      <c r="BB468">
        <f>$C468*BB467</f>
        <v/>
      </c>
      <c r="BC468">
        <f>$C468*BC467</f>
        <v/>
      </c>
      <c r="BD468">
        <f>$C468*BD467</f>
        <v/>
      </c>
      <c r="BE468">
        <f>$C468*BE467</f>
        <v/>
      </c>
      <c r="BF468">
        <f>$C468*BF467</f>
        <v/>
      </c>
      <c r="BG468">
        <f>$C468*BG467</f>
        <v/>
      </c>
      <c r="BH468">
        <f>$C468*BH467</f>
        <v/>
      </c>
      <c r="BI468">
        <f>$C468*BI467</f>
        <v/>
      </c>
      <c r="BJ468">
        <f>$C468*BJ467</f>
        <v/>
      </c>
      <c r="BK468">
        <f>$C468*BK467</f>
        <v/>
      </c>
      <c r="BL468">
        <f>$C468*BL467</f>
        <v/>
      </c>
      <c r="BM468">
        <f>$C468*BM467</f>
        <v/>
      </c>
      <c r="BN468">
        <f>$C468*BN467</f>
        <v/>
      </c>
      <c r="BO468">
        <f>$C468*BO467</f>
        <v/>
      </c>
      <c r="BP468">
        <f>$C468*BP467</f>
        <v/>
      </c>
      <c r="BQ468">
        <f>$C468*BQ467</f>
        <v/>
      </c>
      <c r="BR468">
        <f>$C468*BR467</f>
        <v/>
      </c>
      <c r="BS468">
        <f>$C468*BS467</f>
        <v/>
      </c>
      <c r="BT468">
        <f>$C468*BT467</f>
        <v/>
      </c>
      <c r="BU468">
        <f>$C468*BU467</f>
        <v/>
      </c>
      <c r="BV468">
        <f>$C468*BV467</f>
        <v/>
      </c>
      <c r="BW468">
        <f>$C468*BW467</f>
        <v/>
      </c>
      <c r="BX468">
        <f>$C468*BX467</f>
        <v/>
      </c>
      <c r="BY468">
        <f>$C468*BY467</f>
        <v/>
      </c>
      <c r="BZ468">
        <f>$C468*BZ467</f>
        <v/>
      </c>
      <c r="CA468">
        <f>$C468*CA467</f>
        <v/>
      </c>
      <c r="CB468">
        <f>$C468*CB467</f>
        <v/>
      </c>
      <c r="CC468">
        <f>$C468*CC467</f>
        <v/>
      </c>
      <c r="CD468">
        <f>$C468*CD467</f>
        <v/>
      </c>
      <c r="CE468">
        <f>$C468*CE467</f>
        <v/>
      </c>
      <c r="CF468">
        <f>$C468*CF467</f>
        <v/>
      </c>
      <c r="CG468">
        <f>$C468*CG467</f>
        <v/>
      </c>
      <c r="CH468">
        <f>$C468*CH467</f>
        <v/>
      </c>
      <c r="CI468">
        <f>$C468*CI467</f>
        <v/>
      </c>
      <c r="CJ468">
        <f>$C468*CJ467</f>
        <v/>
      </c>
      <c r="CK468">
        <f>$C468*CK467</f>
        <v/>
      </c>
      <c r="CL468">
        <f>$C468*CL467</f>
        <v/>
      </c>
      <c r="CM468">
        <f>$C468*CM467</f>
        <v/>
      </c>
      <c r="CN468">
        <f>$C468*CN467</f>
        <v/>
      </c>
      <c r="CO468">
        <f>$C468*CO467</f>
        <v/>
      </c>
      <c r="CP468">
        <f>$C468*CP467</f>
        <v/>
      </c>
      <c r="CQ468">
        <f>$C468*CQ467</f>
        <v/>
      </c>
      <c r="CR468">
        <f>$C468*CR467</f>
        <v/>
      </c>
      <c r="CS468">
        <f>$C468*CS467</f>
        <v/>
      </c>
      <c r="CT468">
        <f>$C468*CT467</f>
        <v/>
      </c>
      <c r="CU468">
        <f>$C468*CU467</f>
        <v/>
      </c>
      <c r="CV468">
        <f>$C468*CV467</f>
        <v/>
      </c>
      <c r="CW468">
        <f>$C468*CW467</f>
        <v/>
      </c>
      <c r="CX468">
        <f>$C468*CX467</f>
        <v/>
      </c>
      <c r="CY468">
        <f>$C468*CY467</f>
        <v/>
      </c>
      <c r="CZ468">
        <f>$C468*CZ467</f>
        <v/>
      </c>
      <c r="DA468">
        <f>$C468*DA467</f>
        <v/>
      </c>
      <c r="DB468">
        <f>$C468*DB467</f>
        <v/>
      </c>
      <c r="DC468">
        <f>$C468*DC467</f>
        <v/>
      </c>
    </row>
    <row r="469">
      <c r="B469" t="inlineStr">
        <is>
          <t>TSP-928</t>
        </is>
      </c>
      <c r="C469" t="inlineStr">
        <is>
          <t>No. of batches</t>
        </is>
      </c>
      <c r="D469">
        <f>IFERROR(INDEX(PP_Grid[#Data],$DD469,2),0)</f>
        <v/>
      </c>
      <c r="E469">
        <f>IFERROR(INDEX(PP_Grid[#Data],$DD469,3),0)</f>
        <v/>
      </c>
      <c r="F469">
        <f>IFERROR(INDEX(PP_Grid[#Data],$DD469,4),0)</f>
        <v/>
      </c>
      <c r="G469">
        <f>IFERROR(INDEX(PP_Grid[#Data],$DD469,5),0)</f>
        <v/>
      </c>
      <c r="H469">
        <f>IFERROR(INDEX(PP_Grid[#Data],$DD469,6),0)</f>
        <v/>
      </c>
      <c r="I469">
        <f>IFERROR(INDEX(PP_Grid[#Data],$DD469,7),0)</f>
        <v/>
      </c>
      <c r="J469">
        <f>IFERROR(INDEX(PP_Grid[#Data],$DD469,8),0)</f>
        <v/>
      </c>
      <c r="K469">
        <f>IFERROR(INDEX(PP_Grid[#Data],$DD469,9),0)</f>
        <v/>
      </c>
      <c r="L469">
        <f>IFERROR(INDEX(PP_Grid[#Data],$DD469,10),0)</f>
        <v/>
      </c>
      <c r="M469">
        <f>IFERROR(INDEX(PP_Grid[#Data],$DD469,11),0)</f>
        <v/>
      </c>
      <c r="N469">
        <f>IFERROR(INDEX(PP_Grid[#Data],$DD469,12),0)</f>
        <v/>
      </c>
      <c r="O469">
        <f>IFERROR(INDEX(PP_Grid[#Data],$DD469,13),0)</f>
        <v/>
      </c>
      <c r="P469">
        <f>IFERROR(INDEX(PP_Grid[#Data],$DD469,14),0)</f>
        <v/>
      </c>
      <c r="Q469">
        <f>IFERROR(INDEX(PP_Grid[#Data],$DD469,15),0)</f>
        <v/>
      </c>
      <c r="R469">
        <f>IFERROR(INDEX(PP_Grid[#Data],$DD469,16),0)</f>
        <v/>
      </c>
      <c r="S469">
        <f>IFERROR(INDEX(PP_Grid[#Data],$DD469,17),0)</f>
        <v/>
      </c>
      <c r="T469">
        <f>IFERROR(INDEX(PP_Grid[#Data],$DD469,18),0)</f>
        <v/>
      </c>
      <c r="U469">
        <f>IFERROR(INDEX(PP_Grid[#Data],$DD469,19),0)</f>
        <v/>
      </c>
      <c r="V469">
        <f>IFERROR(INDEX(PP_Grid[#Data],$DD469,20),0)</f>
        <v/>
      </c>
      <c r="W469">
        <f>IFERROR(INDEX(PP_Grid[#Data],$DD469,21),0)</f>
        <v/>
      </c>
      <c r="X469">
        <f>IFERROR(INDEX(PP_Grid[#Data],$DD469,22),0)</f>
        <v/>
      </c>
      <c r="Y469">
        <f>IFERROR(INDEX(PP_Grid[#Data],$DD469,23),0)</f>
        <v/>
      </c>
      <c r="Z469">
        <f>IFERROR(INDEX(PP_Grid[#Data],$DD469,24),0)</f>
        <v/>
      </c>
      <c r="AA469">
        <f>IFERROR(INDEX(PP_Grid[#Data],$DD469,25),0)</f>
        <v/>
      </c>
      <c r="AB469">
        <f>IFERROR(INDEX(PP_Grid[#Data],$DD469,26),0)</f>
        <v/>
      </c>
      <c r="AC469">
        <f>IFERROR(INDEX(PP_Grid[#Data],$DD469,27),0)</f>
        <v/>
      </c>
      <c r="AD469">
        <f>IFERROR(INDEX(PP_Grid[#Data],$DD469,28),0)</f>
        <v/>
      </c>
      <c r="AE469">
        <f>IFERROR(INDEX(PP_Grid[#Data],$DD469,29),0)</f>
        <v/>
      </c>
      <c r="AF469">
        <f>IFERROR(INDEX(PP_Grid[#Data],$DD469,30),0)</f>
        <v/>
      </c>
      <c r="AG469">
        <f>IFERROR(INDEX(PP_Grid[#Data],$DD469,31),0)</f>
        <v/>
      </c>
      <c r="AH469">
        <f>IFERROR(INDEX(PP_Grid[#Data],$DD469,32),0)</f>
        <v/>
      </c>
      <c r="AI469">
        <f>IFERROR(INDEX(PP_Grid[#Data],$DD469,33),0)</f>
        <v/>
      </c>
      <c r="AJ469">
        <f>IFERROR(INDEX(PP_Grid[#Data],$DD469,34),0)</f>
        <v/>
      </c>
      <c r="AK469">
        <f>IFERROR(INDEX(PP_Grid[#Data],$DD469,35),0)</f>
        <v/>
      </c>
      <c r="AL469">
        <f>IFERROR(INDEX(PP_Grid[#Data],$DD469,36),0)</f>
        <v/>
      </c>
      <c r="AM469">
        <f>IFERROR(INDEX(PP_Grid[#Data],$DD469,37),0)</f>
        <v/>
      </c>
      <c r="AN469">
        <f>IFERROR(INDEX(PP_Grid[#Data],$DD469,38),0)</f>
        <v/>
      </c>
      <c r="AO469">
        <f>IFERROR(INDEX(PP_Grid[#Data],$DD469,39),0)</f>
        <v/>
      </c>
      <c r="AP469">
        <f>IFERROR(INDEX(PP_Grid[#Data],$DD469,40),0)</f>
        <v/>
      </c>
      <c r="AQ469">
        <f>IFERROR(INDEX(PP_Grid[#Data],$DD469,41),0)</f>
        <v/>
      </c>
      <c r="AR469">
        <f>IFERROR(INDEX(PP_Grid[#Data],$DD469,42),0)</f>
        <v/>
      </c>
      <c r="AS469">
        <f>IFERROR(INDEX(PP_Grid[#Data],$DD469,43),0)</f>
        <v/>
      </c>
      <c r="AT469">
        <f>IFERROR(INDEX(PP_Grid[#Data],$DD469,44),0)</f>
        <v/>
      </c>
      <c r="AU469">
        <f>IFERROR(INDEX(PP_Grid[#Data],$DD469,45),0)</f>
        <v/>
      </c>
      <c r="AV469">
        <f>IFERROR(INDEX(PP_Grid[#Data],$DD469,46),0)</f>
        <v/>
      </c>
      <c r="AW469">
        <f>IFERROR(INDEX(PP_Grid[#Data],$DD469,47),0)</f>
        <v/>
      </c>
      <c r="AX469">
        <f>IFERROR(INDEX(PP_Grid[#Data],$DD469,48),0)</f>
        <v/>
      </c>
      <c r="AY469">
        <f>IFERROR(INDEX(PP_Grid[#Data],$DD469,49),0)</f>
        <v/>
      </c>
      <c r="AZ469">
        <f>IFERROR(INDEX(PP_Grid[#Data],$DD469,50),0)</f>
        <v/>
      </c>
      <c r="BA469">
        <f>IFERROR(INDEX(PP_Grid[#Data],$DD469,51),0)</f>
        <v/>
      </c>
      <c r="BB469">
        <f>IFERROR(INDEX(PP_Grid[#Data],$DD469,52),0)</f>
        <v/>
      </c>
      <c r="BC469">
        <f>IFERROR(INDEX(PP_Grid[#Data],$DD469,53),0)</f>
        <v/>
      </c>
      <c r="BD469">
        <f>IFERROR(INDEX(PP_Grid[#Data],$DD469,54),0)</f>
        <v/>
      </c>
      <c r="BE469">
        <f>IFERROR(INDEX(PP_Grid[#Data],$DD469,55),0)</f>
        <v/>
      </c>
      <c r="BF469">
        <f>IFERROR(INDEX(PP_Grid[#Data],$DD469,56),0)</f>
        <v/>
      </c>
      <c r="BG469">
        <f>IFERROR(INDEX(PP_Grid[#Data],$DD469,57),0)</f>
        <v/>
      </c>
      <c r="BH469">
        <f>IFERROR(INDEX(PP_Grid[#Data],$DD469,58),0)</f>
        <v/>
      </c>
      <c r="BI469">
        <f>IFERROR(INDEX(PP_Grid[#Data],$DD469,59),0)</f>
        <v/>
      </c>
      <c r="BJ469">
        <f>IFERROR(INDEX(PP_Grid[#Data],$DD469,60),0)</f>
        <v/>
      </c>
      <c r="BK469">
        <f>IFERROR(INDEX(PP_Grid[#Data],$DD469,61),0)</f>
        <v/>
      </c>
      <c r="BL469">
        <f>IFERROR(INDEX(PP_Grid[#Data],$DD469,62),0)</f>
        <v/>
      </c>
      <c r="BM469">
        <f>IFERROR(INDEX(PP_Grid[#Data],$DD469,63),0)</f>
        <v/>
      </c>
      <c r="BN469">
        <f>IFERROR(INDEX(PP_Grid[#Data],$DD469,64),0)</f>
        <v/>
      </c>
      <c r="BO469">
        <f>IFERROR(INDEX(PP_Grid[#Data],$DD469,65),0)</f>
        <v/>
      </c>
      <c r="BP469">
        <f>IFERROR(INDEX(PP_Grid[#Data],$DD469,66),0)</f>
        <v/>
      </c>
      <c r="BQ469">
        <f>IFERROR(INDEX(PP_Grid[#Data],$DD469,67),0)</f>
        <v/>
      </c>
      <c r="BR469">
        <f>IFERROR(INDEX(PP_Grid[#Data],$DD469,68),0)</f>
        <v/>
      </c>
      <c r="BS469">
        <f>IFERROR(INDEX(PP_Grid[#Data],$DD469,69),0)</f>
        <v/>
      </c>
      <c r="BT469">
        <f>IFERROR(INDEX(PP_Grid[#Data],$DD469,70),0)</f>
        <v/>
      </c>
      <c r="BU469">
        <f>IFERROR(INDEX(PP_Grid[#Data],$DD469,71),0)</f>
        <v/>
      </c>
      <c r="BV469">
        <f>IFERROR(INDEX(PP_Grid[#Data],$DD469,72),0)</f>
        <v/>
      </c>
      <c r="BW469">
        <f>IFERROR(INDEX(PP_Grid[#Data],$DD469,73),0)</f>
        <v/>
      </c>
      <c r="BX469">
        <f>IFERROR(INDEX(PP_Grid[#Data],$DD469,74),0)</f>
        <v/>
      </c>
      <c r="BY469">
        <f>IFERROR(INDEX(PP_Grid[#Data],$DD469,75),0)</f>
        <v/>
      </c>
      <c r="BZ469">
        <f>IFERROR(INDEX(PP_Grid[#Data],$DD469,76),0)</f>
        <v/>
      </c>
      <c r="CA469">
        <f>IFERROR(INDEX(PP_Grid[#Data],$DD469,77),0)</f>
        <v/>
      </c>
      <c r="CB469">
        <f>IFERROR(INDEX(PP_Grid[#Data],$DD469,78),0)</f>
        <v/>
      </c>
      <c r="CC469">
        <f>IFERROR(INDEX(PP_Grid[#Data],$DD469,79),0)</f>
        <v/>
      </c>
      <c r="CD469">
        <f>IFERROR(INDEX(PP_Grid[#Data],$DD469,80),0)</f>
        <v/>
      </c>
      <c r="CE469">
        <f>IFERROR(INDEX(PP_Grid[#Data],$DD469,81),0)</f>
        <v/>
      </c>
      <c r="CF469">
        <f>IFERROR(INDEX(PP_Grid[#Data],$DD469,82),0)</f>
        <v/>
      </c>
      <c r="CG469">
        <f>IFERROR(INDEX(PP_Grid[#Data],$DD469,83),0)</f>
        <v/>
      </c>
      <c r="CH469">
        <f>IFERROR(INDEX(PP_Grid[#Data],$DD469,84),0)</f>
        <v/>
      </c>
      <c r="CI469">
        <f>IFERROR(INDEX(PP_Grid[#Data],$DD469,85),0)</f>
        <v/>
      </c>
      <c r="CJ469">
        <f>IFERROR(INDEX(PP_Grid[#Data],$DD469,86),0)</f>
        <v/>
      </c>
      <c r="CK469">
        <f>IFERROR(INDEX(PP_Grid[#Data],$DD469,87),0)</f>
        <v/>
      </c>
      <c r="CL469">
        <f>IFERROR(INDEX(PP_Grid[#Data],$DD469,88),0)</f>
        <v/>
      </c>
      <c r="CM469">
        <f>IFERROR(INDEX(PP_Grid[#Data],$DD469,89),0)</f>
        <v/>
      </c>
      <c r="CN469">
        <f>IFERROR(INDEX(PP_Grid[#Data],$DD469,90),0)</f>
        <v/>
      </c>
      <c r="CO469">
        <f>IFERROR(INDEX(PP_Grid[#Data],$DD469,91),0)</f>
        <v/>
      </c>
      <c r="CP469">
        <f>IFERROR(INDEX(PP_Grid[#Data],$DD469,92),0)</f>
        <v/>
      </c>
      <c r="CQ469">
        <f>IFERROR(INDEX(PP_Grid[#Data],$DD469,93),0)</f>
        <v/>
      </c>
      <c r="CR469">
        <f>IFERROR(INDEX(PP_Grid[#Data],$DD469,94),0)</f>
        <v/>
      </c>
      <c r="CS469">
        <f>IFERROR(INDEX(PP_Grid[#Data],$DD469,95),0)</f>
        <v/>
      </c>
      <c r="CT469">
        <f>IFERROR(INDEX(PP_Grid[#Data],$DD469,96),0)</f>
        <v/>
      </c>
      <c r="CU469">
        <f>IFERROR(INDEX(PP_Grid[#Data],$DD469,97),0)</f>
        <v/>
      </c>
      <c r="CV469">
        <f>IFERROR(INDEX(PP_Grid[#Data],$DD469,98),0)</f>
        <v/>
      </c>
      <c r="CW469">
        <f>IFERROR(INDEX(PP_Grid[#Data],$DD469,99),0)</f>
        <v/>
      </c>
      <c r="CX469">
        <f>IFERROR(INDEX(PP_Grid[#Data],$DD469,100),0)</f>
        <v/>
      </c>
      <c r="CY469">
        <f>IFERROR(INDEX(PP_Grid[#Data],$DD469,101),0)</f>
        <v/>
      </c>
      <c r="CZ469">
        <f>IFERROR(INDEX(PP_Grid[#Data],$DD469,102),0)</f>
        <v/>
      </c>
      <c r="DA469">
        <f>IFERROR(INDEX(PP_Grid[#Data],$DD469,103),0)</f>
        <v/>
      </c>
      <c r="DB469">
        <f>IFERROR(INDEX(PP_Grid[#Data],$DD469,104),0)</f>
        <v/>
      </c>
      <c r="DC469">
        <f>IFERROR(INDEX(PP_Grid[#Data],$DD469,105),0)</f>
        <v/>
      </c>
      <c r="DD469" s="12">
        <f>IFERROR(MATCH($B469,PP_Grid[Intermediate],0),99999)</f>
        <v/>
      </c>
    </row>
    <row r="470">
      <c r="B470" t="inlineStr">
        <is>
          <t>使用量(kg)</t>
        </is>
      </c>
      <c r="C470">
        <f>SUMIFS(M_BOM[RM_Qty_Per_Batch],M_BOM[Intermediate],$B469,M_BOM[Part Name],$A406)</f>
        <v/>
      </c>
      <c r="D470">
        <f>$C470*D469</f>
        <v/>
      </c>
      <c r="E470">
        <f>$C470*E469</f>
        <v/>
      </c>
      <c r="F470">
        <f>$C470*F469</f>
        <v/>
      </c>
      <c r="G470">
        <f>$C470*G469</f>
        <v/>
      </c>
      <c r="H470">
        <f>$C470*H469</f>
        <v/>
      </c>
      <c r="I470">
        <f>$C470*I469</f>
        <v/>
      </c>
      <c r="J470">
        <f>$C470*J469</f>
        <v/>
      </c>
      <c r="K470">
        <f>$C470*K469</f>
        <v/>
      </c>
      <c r="L470">
        <f>$C470*L469</f>
        <v/>
      </c>
      <c r="M470">
        <f>$C470*M469</f>
        <v/>
      </c>
      <c r="N470">
        <f>$C470*N469</f>
        <v/>
      </c>
      <c r="O470">
        <f>$C470*O469</f>
        <v/>
      </c>
      <c r="P470">
        <f>$C470*P469</f>
        <v/>
      </c>
      <c r="Q470">
        <f>$C470*Q469</f>
        <v/>
      </c>
      <c r="R470">
        <f>$C470*R469</f>
        <v/>
      </c>
      <c r="S470">
        <f>$C470*S469</f>
        <v/>
      </c>
      <c r="T470">
        <f>$C470*T469</f>
        <v/>
      </c>
      <c r="U470">
        <f>$C470*U469</f>
        <v/>
      </c>
      <c r="V470">
        <f>$C470*V469</f>
        <v/>
      </c>
      <c r="W470">
        <f>$C470*W469</f>
        <v/>
      </c>
      <c r="X470">
        <f>$C470*X469</f>
        <v/>
      </c>
      <c r="Y470">
        <f>$C470*Y469</f>
        <v/>
      </c>
      <c r="Z470">
        <f>$C470*Z469</f>
        <v/>
      </c>
      <c r="AA470">
        <f>$C470*AA469</f>
        <v/>
      </c>
      <c r="AB470">
        <f>$C470*AB469</f>
        <v/>
      </c>
      <c r="AC470">
        <f>$C470*AC469</f>
        <v/>
      </c>
      <c r="AD470">
        <f>$C470*AD469</f>
        <v/>
      </c>
      <c r="AE470">
        <f>$C470*AE469</f>
        <v/>
      </c>
      <c r="AF470">
        <f>$C470*AF469</f>
        <v/>
      </c>
      <c r="AG470">
        <f>$C470*AG469</f>
        <v/>
      </c>
      <c r="AH470">
        <f>$C470*AH469</f>
        <v/>
      </c>
      <c r="AI470">
        <f>$C470*AI469</f>
        <v/>
      </c>
      <c r="AJ470">
        <f>$C470*AJ469</f>
        <v/>
      </c>
      <c r="AK470">
        <f>$C470*AK469</f>
        <v/>
      </c>
      <c r="AL470">
        <f>$C470*AL469</f>
        <v/>
      </c>
      <c r="AM470">
        <f>$C470*AM469</f>
        <v/>
      </c>
      <c r="AN470">
        <f>$C470*AN469</f>
        <v/>
      </c>
      <c r="AO470">
        <f>$C470*AO469</f>
        <v/>
      </c>
      <c r="AP470">
        <f>$C470*AP469</f>
        <v/>
      </c>
      <c r="AQ470">
        <f>$C470*AQ469</f>
        <v/>
      </c>
      <c r="AR470">
        <f>$C470*AR469</f>
        <v/>
      </c>
      <c r="AS470">
        <f>$C470*AS469</f>
        <v/>
      </c>
      <c r="AT470">
        <f>$C470*AT469</f>
        <v/>
      </c>
      <c r="AU470">
        <f>$C470*AU469</f>
        <v/>
      </c>
      <c r="AV470">
        <f>$C470*AV469</f>
        <v/>
      </c>
      <c r="AW470">
        <f>$C470*AW469</f>
        <v/>
      </c>
      <c r="AX470">
        <f>$C470*AX469</f>
        <v/>
      </c>
      <c r="AY470">
        <f>$C470*AY469</f>
        <v/>
      </c>
      <c r="AZ470">
        <f>$C470*AZ469</f>
        <v/>
      </c>
      <c r="BA470">
        <f>$C470*BA469</f>
        <v/>
      </c>
      <c r="BB470">
        <f>$C470*BB469</f>
        <v/>
      </c>
      <c r="BC470">
        <f>$C470*BC469</f>
        <v/>
      </c>
      <c r="BD470">
        <f>$C470*BD469</f>
        <v/>
      </c>
      <c r="BE470">
        <f>$C470*BE469</f>
        <v/>
      </c>
      <c r="BF470">
        <f>$C470*BF469</f>
        <v/>
      </c>
      <c r="BG470">
        <f>$C470*BG469</f>
        <v/>
      </c>
      <c r="BH470">
        <f>$C470*BH469</f>
        <v/>
      </c>
      <c r="BI470">
        <f>$C470*BI469</f>
        <v/>
      </c>
      <c r="BJ470">
        <f>$C470*BJ469</f>
        <v/>
      </c>
      <c r="BK470">
        <f>$C470*BK469</f>
        <v/>
      </c>
      <c r="BL470">
        <f>$C470*BL469</f>
        <v/>
      </c>
      <c r="BM470">
        <f>$C470*BM469</f>
        <v/>
      </c>
      <c r="BN470">
        <f>$C470*BN469</f>
        <v/>
      </c>
      <c r="BO470">
        <f>$C470*BO469</f>
        <v/>
      </c>
      <c r="BP470">
        <f>$C470*BP469</f>
        <v/>
      </c>
      <c r="BQ470">
        <f>$C470*BQ469</f>
        <v/>
      </c>
      <c r="BR470">
        <f>$C470*BR469</f>
        <v/>
      </c>
      <c r="BS470">
        <f>$C470*BS469</f>
        <v/>
      </c>
      <c r="BT470">
        <f>$C470*BT469</f>
        <v/>
      </c>
      <c r="BU470">
        <f>$C470*BU469</f>
        <v/>
      </c>
      <c r="BV470">
        <f>$C470*BV469</f>
        <v/>
      </c>
      <c r="BW470">
        <f>$C470*BW469</f>
        <v/>
      </c>
      <c r="BX470">
        <f>$C470*BX469</f>
        <v/>
      </c>
      <c r="BY470">
        <f>$C470*BY469</f>
        <v/>
      </c>
      <c r="BZ470">
        <f>$C470*BZ469</f>
        <v/>
      </c>
      <c r="CA470">
        <f>$C470*CA469</f>
        <v/>
      </c>
      <c r="CB470">
        <f>$C470*CB469</f>
        <v/>
      </c>
      <c r="CC470">
        <f>$C470*CC469</f>
        <v/>
      </c>
      <c r="CD470">
        <f>$C470*CD469</f>
        <v/>
      </c>
      <c r="CE470">
        <f>$C470*CE469</f>
        <v/>
      </c>
      <c r="CF470">
        <f>$C470*CF469</f>
        <v/>
      </c>
      <c r="CG470">
        <f>$C470*CG469</f>
        <v/>
      </c>
      <c r="CH470">
        <f>$C470*CH469</f>
        <v/>
      </c>
      <c r="CI470">
        <f>$C470*CI469</f>
        <v/>
      </c>
      <c r="CJ470">
        <f>$C470*CJ469</f>
        <v/>
      </c>
      <c r="CK470">
        <f>$C470*CK469</f>
        <v/>
      </c>
      <c r="CL470">
        <f>$C470*CL469</f>
        <v/>
      </c>
      <c r="CM470">
        <f>$C470*CM469</f>
        <v/>
      </c>
      <c r="CN470">
        <f>$C470*CN469</f>
        <v/>
      </c>
      <c r="CO470">
        <f>$C470*CO469</f>
        <v/>
      </c>
      <c r="CP470">
        <f>$C470*CP469</f>
        <v/>
      </c>
      <c r="CQ470">
        <f>$C470*CQ469</f>
        <v/>
      </c>
      <c r="CR470">
        <f>$C470*CR469</f>
        <v/>
      </c>
      <c r="CS470">
        <f>$C470*CS469</f>
        <v/>
      </c>
      <c r="CT470">
        <f>$C470*CT469</f>
        <v/>
      </c>
      <c r="CU470">
        <f>$C470*CU469</f>
        <v/>
      </c>
      <c r="CV470">
        <f>$C470*CV469</f>
        <v/>
      </c>
      <c r="CW470">
        <f>$C470*CW469</f>
        <v/>
      </c>
      <c r="CX470">
        <f>$C470*CX469</f>
        <v/>
      </c>
      <c r="CY470">
        <f>$C470*CY469</f>
        <v/>
      </c>
      <c r="CZ470">
        <f>$C470*CZ469</f>
        <v/>
      </c>
      <c r="DA470">
        <f>$C470*DA469</f>
        <v/>
      </c>
      <c r="DB470">
        <f>$C470*DB469</f>
        <v/>
      </c>
      <c r="DC470">
        <f>$C470*DC469</f>
        <v/>
      </c>
    </row>
    <row r="471">
      <c r="B471" t="inlineStr">
        <is>
          <t>TSP-929</t>
        </is>
      </c>
      <c r="C471" t="inlineStr">
        <is>
          <t>No. of batches</t>
        </is>
      </c>
      <c r="D471">
        <f>IFERROR(INDEX(PP_Grid[#Data],$DD471,2),0)</f>
        <v/>
      </c>
      <c r="E471">
        <f>IFERROR(INDEX(PP_Grid[#Data],$DD471,3),0)</f>
        <v/>
      </c>
      <c r="F471">
        <f>IFERROR(INDEX(PP_Grid[#Data],$DD471,4),0)</f>
        <v/>
      </c>
      <c r="G471">
        <f>IFERROR(INDEX(PP_Grid[#Data],$DD471,5),0)</f>
        <v/>
      </c>
      <c r="H471">
        <f>IFERROR(INDEX(PP_Grid[#Data],$DD471,6),0)</f>
        <v/>
      </c>
      <c r="I471">
        <f>IFERROR(INDEX(PP_Grid[#Data],$DD471,7),0)</f>
        <v/>
      </c>
      <c r="J471">
        <f>IFERROR(INDEX(PP_Grid[#Data],$DD471,8),0)</f>
        <v/>
      </c>
      <c r="K471">
        <f>IFERROR(INDEX(PP_Grid[#Data],$DD471,9),0)</f>
        <v/>
      </c>
      <c r="L471">
        <f>IFERROR(INDEX(PP_Grid[#Data],$DD471,10),0)</f>
        <v/>
      </c>
      <c r="M471">
        <f>IFERROR(INDEX(PP_Grid[#Data],$DD471,11),0)</f>
        <v/>
      </c>
      <c r="N471">
        <f>IFERROR(INDEX(PP_Grid[#Data],$DD471,12),0)</f>
        <v/>
      </c>
      <c r="O471">
        <f>IFERROR(INDEX(PP_Grid[#Data],$DD471,13),0)</f>
        <v/>
      </c>
      <c r="P471">
        <f>IFERROR(INDEX(PP_Grid[#Data],$DD471,14),0)</f>
        <v/>
      </c>
      <c r="Q471">
        <f>IFERROR(INDEX(PP_Grid[#Data],$DD471,15),0)</f>
        <v/>
      </c>
      <c r="R471">
        <f>IFERROR(INDEX(PP_Grid[#Data],$DD471,16),0)</f>
        <v/>
      </c>
      <c r="S471">
        <f>IFERROR(INDEX(PP_Grid[#Data],$DD471,17),0)</f>
        <v/>
      </c>
      <c r="T471">
        <f>IFERROR(INDEX(PP_Grid[#Data],$DD471,18),0)</f>
        <v/>
      </c>
      <c r="U471">
        <f>IFERROR(INDEX(PP_Grid[#Data],$DD471,19),0)</f>
        <v/>
      </c>
      <c r="V471">
        <f>IFERROR(INDEX(PP_Grid[#Data],$DD471,20),0)</f>
        <v/>
      </c>
      <c r="W471">
        <f>IFERROR(INDEX(PP_Grid[#Data],$DD471,21),0)</f>
        <v/>
      </c>
      <c r="X471">
        <f>IFERROR(INDEX(PP_Grid[#Data],$DD471,22),0)</f>
        <v/>
      </c>
      <c r="Y471">
        <f>IFERROR(INDEX(PP_Grid[#Data],$DD471,23),0)</f>
        <v/>
      </c>
      <c r="Z471">
        <f>IFERROR(INDEX(PP_Grid[#Data],$DD471,24),0)</f>
        <v/>
      </c>
      <c r="AA471">
        <f>IFERROR(INDEX(PP_Grid[#Data],$DD471,25),0)</f>
        <v/>
      </c>
      <c r="AB471">
        <f>IFERROR(INDEX(PP_Grid[#Data],$DD471,26),0)</f>
        <v/>
      </c>
      <c r="AC471">
        <f>IFERROR(INDEX(PP_Grid[#Data],$DD471,27),0)</f>
        <v/>
      </c>
      <c r="AD471">
        <f>IFERROR(INDEX(PP_Grid[#Data],$DD471,28),0)</f>
        <v/>
      </c>
      <c r="AE471">
        <f>IFERROR(INDEX(PP_Grid[#Data],$DD471,29),0)</f>
        <v/>
      </c>
      <c r="AF471">
        <f>IFERROR(INDEX(PP_Grid[#Data],$DD471,30),0)</f>
        <v/>
      </c>
      <c r="AG471">
        <f>IFERROR(INDEX(PP_Grid[#Data],$DD471,31),0)</f>
        <v/>
      </c>
      <c r="AH471">
        <f>IFERROR(INDEX(PP_Grid[#Data],$DD471,32),0)</f>
        <v/>
      </c>
      <c r="AI471">
        <f>IFERROR(INDEX(PP_Grid[#Data],$DD471,33),0)</f>
        <v/>
      </c>
      <c r="AJ471">
        <f>IFERROR(INDEX(PP_Grid[#Data],$DD471,34),0)</f>
        <v/>
      </c>
      <c r="AK471">
        <f>IFERROR(INDEX(PP_Grid[#Data],$DD471,35),0)</f>
        <v/>
      </c>
      <c r="AL471">
        <f>IFERROR(INDEX(PP_Grid[#Data],$DD471,36),0)</f>
        <v/>
      </c>
      <c r="AM471">
        <f>IFERROR(INDEX(PP_Grid[#Data],$DD471,37),0)</f>
        <v/>
      </c>
      <c r="AN471">
        <f>IFERROR(INDEX(PP_Grid[#Data],$DD471,38),0)</f>
        <v/>
      </c>
      <c r="AO471">
        <f>IFERROR(INDEX(PP_Grid[#Data],$DD471,39),0)</f>
        <v/>
      </c>
      <c r="AP471">
        <f>IFERROR(INDEX(PP_Grid[#Data],$DD471,40),0)</f>
        <v/>
      </c>
      <c r="AQ471">
        <f>IFERROR(INDEX(PP_Grid[#Data],$DD471,41),0)</f>
        <v/>
      </c>
      <c r="AR471">
        <f>IFERROR(INDEX(PP_Grid[#Data],$DD471,42),0)</f>
        <v/>
      </c>
      <c r="AS471">
        <f>IFERROR(INDEX(PP_Grid[#Data],$DD471,43),0)</f>
        <v/>
      </c>
      <c r="AT471">
        <f>IFERROR(INDEX(PP_Grid[#Data],$DD471,44),0)</f>
        <v/>
      </c>
      <c r="AU471">
        <f>IFERROR(INDEX(PP_Grid[#Data],$DD471,45),0)</f>
        <v/>
      </c>
      <c r="AV471">
        <f>IFERROR(INDEX(PP_Grid[#Data],$DD471,46),0)</f>
        <v/>
      </c>
      <c r="AW471">
        <f>IFERROR(INDEX(PP_Grid[#Data],$DD471,47),0)</f>
        <v/>
      </c>
      <c r="AX471">
        <f>IFERROR(INDEX(PP_Grid[#Data],$DD471,48),0)</f>
        <v/>
      </c>
      <c r="AY471">
        <f>IFERROR(INDEX(PP_Grid[#Data],$DD471,49),0)</f>
        <v/>
      </c>
      <c r="AZ471">
        <f>IFERROR(INDEX(PP_Grid[#Data],$DD471,50),0)</f>
        <v/>
      </c>
      <c r="BA471">
        <f>IFERROR(INDEX(PP_Grid[#Data],$DD471,51),0)</f>
        <v/>
      </c>
      <c r="BB471">
        <f>IFERROR(INDEX(PP_Grid[#Data],$DD471,52),0)</f>
        <v/>
      </c>
      <c r="BC471">
        <f>IFERROR(INDEX(PP_Grid[#Data],$DD471,53),0)</f>
        <v/>
      </c>
      <c r="BD471">
        <f>IFERROR(INDEX(PP_Grid[#Data],$DD471,54),0)</f>
        <v/>
      </c>
      <c r="BE471">
        <f>IFERROR(INDEX(PP_Grid[#Data],$DD471,55),0)</f>
        <v/>
      </c>
      <c r="BF471">
        <f>IFERROR(INDEX(PP_Grid[#Data],$DD471,56),0)</f>
        <v/>
      </c>
      <c r="BG471">
        <f>IFERROR(INDEX(PP_Grid[#Data],$DD471,57),0)</f>
        <v/>
      </c>
      <c r="BH471">
        <f>IFERROR(INDEX(PP_Grid[#Data],$DD471,58),0)</f>
        <v/>
      </c>
      <c r="BI471">
        <f>IFERROR(INDEX(PP_Grid[#Data],$DD471,59),0)</f>
        <v/>
      </c>
      <c r="BJ471">
        <f>IFERROR(INDEX(PP_Grid[#Data],$DD471,60),0)</f>
        <v/>
      </c>
      <c r="BK471">
        <f>IFERROR(INDEX(PP_Grid[#Data],$DD471,61),0)</f>
        <v/>
      </c>
      <c r="BL471">
        <f>IFERROR(INDEX(PP_Grid[#Data],$DD471,62),0)</f>
        <v/>
      </c>
      <c r="BM471">
        <f>IFERROR(INDEX(PP_Grid[#Data],$DD471,63),0)</f>
        <v/>
      </c>
      <c r="BN471">
        <f>IFERROR(INDEX(PP_Grid[#Data],$DD471,64),0)</f>
        <v/>
      </c>
      <c r="BO471">
        <f>IFERROR(INDEX(PP_Grid[#Data],$DD471,65),0)</f>
        <v/>
      </c>
      <c r="BP471">
        <f>IFERROR(INDEX(PP_Grid[#Data],$DD471,66),0)</f>
        <v/>
      </c>
      <c r="BQ471">
        <f>IFERROR(INDEX(PP_Grid[#Data],$DD471,67),0)</f>
        <v/>
      </c>
      <c r="BR471">
        <f>IFERROR(INDEX(PP_Grid[#Data],$DD471,68),0)</f>
        <v/>
      </c>
      <c r="BS471">
        <f>IFERROR(INDEX(PP_Grid[#Data],$DD471,69),0)</f>
        <v/>
      </c>
      <c r="BT471">
        <f>IFERROR(INDEX(PP_Grid[#Data],$DD471,70),0)</f>
        <v/>
      </c>
      <c r="BU471">
        <f>IFERROR(INDEX(PP_Grid[#Data],$DD471,71),0)</f>
        <v/>
      </c>
      <c r="BV471">
        <f>IFERROR(INDEX(PP_Grid[#Data],$DD471,72),0)</f>
        <v/>
      </c>
      <c r="BW471">
        <f>IFERROR(INDEX(PP_Grid[#Data],$DD471,73),0)</f>
        <v/>
      </c>
      <c r="BX471">
        <f>IFERROR(INDEX(PP_Grid[#Data],$DD471,74),0)</f>
        <v/>
      </c>
      <c r="BY471">
        <f>IFERROR(INDEX(PP_Grid[#Data],$DD471,75),0)</f>
        <v/>
      </c>
      <c r="BZ471">
        <f>IFERROR(INDEX(PP_Grid[#Data],$DD471,76),0)</f>
        <v/>
      </c>
      <c r="CA471">
        <f>IFERROR(INDEX(PP_Grid[#Data],$DD471,77),0)</f>
        <v/>
      </c>
      <c r="CB471">
        <f>IFERROR(INDEX(PP_Grid[#Data],$DD471,78),0)</f>
        <v/>
      </c>
      <c r="CC471">
        <f>IFERROR(INDEX(PP_Grid[#Data],$DD471,79),0)</f>
        <v/>
      </c>
      <c r="CD471">
        <f>IFERROR(INDEX(PP_Grid[#Data],$DD471,80),0)</f>
        <v/>
      </c>
      <c r="CE471">
        <f>IFERROR(INDEX(PP_Grid[#Data],$DD471,81),0)</f>
        <v/>
      </c>
      <c r="CF471">
        <f>IFERROR(INDEX(PP_Grid[#Data],$DD471,82),0)</f>
        <v/>
      </c>
      <c r="CG471">
        <f>IFERROR(INDEX(PP_Grid[#Data],$DD471,83),0)</f>
        <v/>
      </c>
      <c r="CH471">
        <f>IFERROR(INDEX(PP_Grid[#Data],$DD471,84),0)</f>
        <v/>
      </c>
      <c r="CI471">
        <f>IFERROR(INDEX(PP_Grid[#Data],$DD471,85),0)</f>
        <v/>
      </c>
      <c r="CJ471">
        <f>IFERROR(INDEX(PP_Grid[#Data],$DD471,86),0)</f>
        <v/>
      </c>
      <c r="CK471">
        <f>IFERROR(INDEX(PP_Grid[#Data],$DD471,87),0)</f>
        <v/>
      </c>
      <c r="CL471">
        <f>IFERROR(INDEX(PP_Grid[#Data],$DD471,88),0)</f>
        <v/>
      </c>
      <c r="CM471">
        <f>IFERROR(INDEX(PP_Grid[#Data],$DD471,89),0)</f>
        <v/>
      </c>
      <c r="CN471">
        <f>IFERROR(INDEX(PP_Grid[#Data],$DD471,90),0)</f>
        <v/>
      </c>
      <c r="CO471">
        <f>IFERROR(INDEX(PP_Grid[#Data],$DD471,91),0)</f>
        <v/>
      </c>
      <c r="CP471">
        <f>IFERROR(INDEX(PP_Grid[#Data],$DD471,92),0)</f>
        <v/>
      </c>
      <c r="CQ471">
        <f>IFERROR(INDEX(PP_Grid[#Data],$DD471,93),0)</f>
        <v/>
      </c>
      <c r="CR471">
        <f>IFERROR(INDEX(PP_Grid[#Data],$DD471,94),0)</f>
        <v/>
      </c>
      <c r="CS471">
        <f>IFERROR(INDEX(PP_Grid[#Data],$DD471,95),0)</f>
        <v/>
      </c>
      <c r="CT471">
        <f>IFERROR(INDEX(PP_Grid[#Data],$DD471,96),0)</f>
        <v/>
      </c>
      <c r="CU471">
        <f>IFERROR(INDEX(PP_Grid[#Data],$DD471,97),0)</f>
        <v/>
      </c>
      <c r="CV471">
        <f>IFERROR(INDEX(PP_Grid[#Data],$DD471,98),0)</f>
        <v/>
      </c>
      <c r="CW471">
        <f>IFERROR(INDEX(PP_Grid[#Data],$DD471,99),0)</f>
        <v/>
      </c>
      <c r="CX471">
        <f>IFERROR(INDEX(PP_Grid[#Data],$DD471,100),0)</f>
        <v/>
      </c>
      <c r="CY471">
        <f>IFERROR(INDEX(PP_Grid[#Data],$DD471,101),0)</f>
        <v/>
      </c>
      <c r="CZ471">
        <f>IFERROR(INDEX(PP_Grid[#Data],$DD471,102),0)</f>
        <v/>
      </c>
      <c r="DA471">
        <f>IFERROR(INDEX(PP_Grid[#Data],$DD471,103),0)</f>
        <v/>
      </c>
      <c r="DB471">
        <f>IFERROR(INDEX(PP_Grid[#Data],$DD471,104),0)</f>
        <v/>
      </c>
      <c r="DC471">
        <f>IFERROR(INDEX(PP_Grid[#Data],$DD471,105),0)</f>
        <v/>
      </c>
      <c r="DD471" s="12">
        <f>IFERROR(MATCH($B471,PP_Grid[Intermediate],0),99999)</f>
        <v/>
      </c>
    </row>
    <row r="472">
      <c r="B472" t="inlineStr">
        <is>
          <t>使用量(kg)</t>
        </is>
      </c>
      <c r="C472">
        <f>SUMIFS(M_BOM[RM_Qty_Per_Batch],M_BOM[Intermediate],$B471,M_BOM[Part Name],$A406)</f>
        <v/>
      </c>
      <c r="D472">
        <f>$C472*D471</f>
        <v/>
      </c>
      <c r="E472">
        <f>$C472*E471</f>
        <v/>
      </c>
      <c r="F472">
        <f>$C472*F471</f>
        <v/>
      </c>
      <c r="G472">
        <f>$C472*G471</f>
        <v/>
      </c>
      <c r="H472">
        <f>$C472*H471</f>
        <v/>
      </c>
      <c r="I472">
        <f>$C472*I471</f>
        <v/>
      </c>
      <c r="J472">
        <f>$C472*J471</f>
        <v/>
      </c>
      <c r="K472">
        <f>$C472*K471</f>
        <v/>
      </c>
      <c r="L472">
        <f>$C472*L471</f>
        <v/>
      </c>
      <c r="M472">
        <f>$C472*M471</f>
        <v/>
      </c>
      <c r="N472">
        <f>$C472*N471</f>
        <v/>
      </c>
      <c r="O472">
        <f>$C472*O471</f>
        <v/>
      </c>
      <c r="P472">
        <f>$C472*P471</f>
        <v/>
      </c>
      <c r="Q472">
        <f>$C472*Q471</f>
        <v/>
      </c>
      <c r="R472">
        <f>$C472*R471</f>
        <v/>
      </c>
      <c r="S472">
        <f>$C472*S471</f>
        <v/>
      </c>
      <c r="T472">
        <f>$C472*T471</f>
        <v/>
      </c>
      <c r="U472">
        <f>$C472*U471</f>
        <v/>
      </c>
      <c r="V472">
        <f>$C472*V471</f>
        <v/>
      </c>
      <c r="W472">
        <f>$C472*W471</f>
        <v/>
      </c>
      <c r="X472">
        <f>$C472*X471</f>
        <v/>
      </c>
      <c r="Y472">
        <f>$C472*Y471</f>
        <v/>
      </c>
      <c r="Z472">
        <f>$C472*Z471</f>
        <v/>
      </c>
      <c r="AA472">
        <f>$C472*AA471</f>
        <v/>
      </c>
      <c r="AB472">
        <f>$C472*AB471</f>
        <v/>
      </c>
      <c r="AC472">
        <f>$C472*AC471</f>
        <v/>
      </c>
      <c r="AD472">
        <f>$C472*AD471</f>
        <v/>
      </c>
      <c r="AE472">
        <f>$C472*AE471</f>
        <v/>
      </c>
      <c r="AF472">
        <f>$C472*AF471</f>
        <v/>
      </c>
      <c r="AG472">
        <f>$C472*AG471</f>
        <v/>
      </c>
      <c r="AH472">
        <f>$C472*AH471</f>
        <v/>
      </c>
      <c r="AI472">
        <f>$C472*AI471</f>
        <v/>
      </c>
      <c r="AJ472">
        <f>$C472*AJ471</f>
        <v/>
      </c>
      <c r="AK472">
        <f>$C472*AK471</f>
        <v/>
      </c>
      <c r="AL472">
        <f>$C472*AL471</f>
        <v/>
      </c>
      <c r="AM472">
        <f>$C472*AM471</f>
        <v/>
      </c>
      <c r="AN472">
        <f>$C472*AN471</f>
        <v/>
      </c>
      <c r="AO472">
        <f>$C472*AO471</f>
        <v/>
      </c>
      <c r="AP472">
        <f>$C472*AP471</f>
        <v/>
      </c>
      <c r="AQ472">
        <f>$C472*AQ471</f>
        <v/>
      </c>
      <c r="AR472">
        <f>$C472*AR471</f>
        <v/>
      </c>
      <c r="AS472">
        <f>$C472*AS471</f>
        <v/>
      </c>
      <c r="AT472">
        <f>$C472*AT471</f>
        <v/>
      </c>
      <c r="AU472">
        <f>$C472*AU471</f>
        <v/>
      </c>
      <c r="AV472">
        <f>$C472*AV471</f>
        <v/>
      </c>
      <c r="AW472">
        <f>$C472*AW471</f>
        <v/>
      </c>
      <c r="AX472">
        <f>$C472*AX471</f>
        <v/>
      </c>
      <c r="AY472">
        <f>$C472*AY471</f>
        <v/>
      </c>
      <c r="AZ472">
        <f>$C472*AZ471</f>
        <v/>
      </c>
      <c r="BA472">
        <f>$C472*BA471</f>
        <v/>
      </c>
      <c r="BB472">
        <f>$C472*BB471</f>
        <v/>
      </c>
      <c r="BC472">
        <f>$C472*BC471</f>
        <v/>
      </c>
      <c r="BD472">
        <f>$C472*BD471</f>
        <v/>
      </c>
      <c r="BE472">
        <f>$C472*BE471</f>
        <v/>
      </c>
      <c r="BF472">
        <f>$C472*BF471</f>
        <v/>
      </c>
      <c r="BG472">
        <f>$C472*BG471</f>
        <v/>
      </c>
      <c r="BH472">
        <f>$C472*BH471</f>
        <v/>
      </c>
      <c r="BI472">
        <f>$C472*BI471</f>
        <v/>
      </c>
      <c r="BJ472">
        <f>$C472*BJ471</f>
        <v/>
      </c>
      <c r="BK472">
        <f>$C472*BK471</f>
        <v/>
      </c>
      <c r="BL472">
        <f>$C472*BL471</f>
        <v/>
      </c>
      <c r="BM472">
        <f>$C472*BM471</f>
        <v/>
      </c>
      <c r="BN472">
        <f>$C472*BN471</f>
        <v/>
      </c>
      <c r="BO472">
        <f>$C472*BO471</f>
        <v/>
      </c>
      <c r="BP472">
        <f>$C472*BP471</f>
        <v/>
      </c>
      <c r="BQ472">
        <f>$C472*BQ471</f>
        <v/>
      </c>
      <c r="BR472">
        <f>$C472*BR471</f>
        <v/>
      </c>
      <c r="BS472">
        <f>$C472*BS471</f>
        <v/>
      </c>
      <c r="BT472">
        <f>$C472*BT471</f>
        <v/>
      </c>
      <c r="BU472">
        <f>$C472*BU471</f>
        <v/>
      </c>
      <c r="BV472">
        <f>$C472*BV471</f>
        <v/>
      </c>
      <c r="BW472">
        <f>$C472*BW471</f>
        <v/>
      </c>
      <c r="BX472">
        <f>$C472*BX471</f>
        <v/>
      </c>
      <c r="BY472">
        <f>$C472*BY471</f>
        <v/>
      </c>
      <c r="BZ472">
        <f>$C472*BZ471</f>
        <v/>
      </c>
      <c r="CA472">
        <f>$C472*CA471</f>
        <v/>
      </c>
      <c r="CB472">
        <f>$C472*CB471</f>
        <v/>
      </c>
      <c r="CC472">
        <f>$C472*CC471</f>
        <v/>
      </c>
      <c r="CD472">
        <f>$C472*CD471</f>
        <v/>
      </c>
      <c r="CE472">
        <f>$C472*CE471</f>
        <v/>
      </c>
      <c r="CF472">
        <f>$C472*CF471</f>
        <v/>
      </c>
      <c r="CG472">
        <f>$C472*CG471</f>
        <v/>
      </c>
      <c r="CH472">
        <f>$C472*CH471</f>
        <v/>
      </c>
      <c r="CI472">
        <f>$C472*CI471</f>
        <v/>
      </c>
      <c r="CJ472">
        <f>$C472*CJ471</f>
        <v/>
      </c>
      <c r="CK472">
        <f>$C472*CK471</f>
        <v/>
      </c>
      <c r="CL472">
        <f>$C472*CL471</f>
        <v/>
      </c>
      <c r="CM472">
        <f>$C472*CM471</f>
        <v/>
      </c>
      <c r="CN472">
        <f>$C472*CN471</f>
        <v/>
      </c>
      <c r="CO472">
        <f>$C472*CO471</f>
        <v/>
      </c>
      <c r="CP472">
        <f>$C472*CP471</f>
        <v/>
      </c>
      <c r="CQ472">
        <f>$C472*CQ471</f>
        <v/>
      </c>
      <c r="CR472">
        <f>$C472*CR471</f>
        <v/>
      </c>
      <c r="CS472">
        <f>$C472*CS471</f>
        <v/>
      </c>
      <c r="CT472">
        <f>$C472*CT471</f>
        <v/>
      </c>
      <c r="CU472">
        <f>$C472*CU471</f>
        <v/>
      </c>
      <c r="CV472">
        <f>$C472*CV471</f>
        <v/>
      </c>
      <c r="CW472">
        <f>$C472*CW471</f>
        <v/>
      </c>
      <c r="CX472">
        <f>$C472*CX471</f>
        <v/>
      </c>
      <c r="CY472">
        <f>$C472*CY471</f>
        <v/>
      </c>
      <c r="CZ472">
        <f>$C472*CZ471</f>
        <v/>
      </c>
      <c r="DA472">
        <f>$C472*DA471</f>
        <v/>
      </c>
      <c r="DB472">
        <f>$C472*DB471</f>
        <v/>
      </c>
      <c r="DC472">
        <f>$C472*DC471</f>
        <v/>
      </c>
    </row>
    <row r="473">
      <c r="B473" t="inlineStr">
        <is>
          <t>TSP-930</t>
        </is>
      </c>
      <c r="C473" t="inlineStr">
        <is>
          <t>No. of batches</t>
        </is>
      </c>
      <c r="D473">
        <f>IFERROR(INDEX(PP_Grid[#Data],$DD473,2),0)</f>
        <v/>
      </c>
      <c r="E473">
        <f>IFERROR(INDEX(PP_Grid[#Data],$DD473,3),0)</f>
        <v/>
      </c>
      <c r="F473">
        <f>IFERROR(INDEX(PP_Grid[#Data],$DD473,4),0)</f>
        <v/>
      </c>
      <c r="G473">
        <f>IFERROR(INDEX(PP_Grid[#Data],$DD473,5),0)</f>
        <v/>
      </c>
      <c r="H473">
        <f>IFERROR(INDEX(PP_Grid[#Data],$DD473,6),0)</f>
        <v/>
      </c>
      <c r="I473">
        <f>IFERROR(INDEX(PP_Grid[#Data],$DD473,7),0)</f>
        <v/>
      </c>
      <c r="J473">
        <f>IFERROR(INDEX(PP_Grid[#Data],$DD473,8),0)</f>
        <v/>
      </c>
      <c r="K473">
        <f>IFERROR(INDEX(PP_Grid[#Data],$DD473,9),0)</f>
        <v/>
      </c>
      <c r="L473">
        <f>IFERROR(INDEX(PP_Grid[#Data],$DD473,10),0)</f>
        <v/>
      </c>
      <c r="M473">
        <f>IFERROR(INDEX(PP_Grid[#Data],$DD473,11),0)</f>
        <v/>
      </c>
      <c r="N473">
        <f>IFERROR(INDEX(PP_Grid[#Data],$DD473,12),0)</f>
        <v/>
      </c>
      <c r="O473">
        <f>IFERROR(INDEX(PP_Grid[#Data],$DD473,13),0)</f>
        <v/>
      </c>
      <c r="P473">
        <f>IFERROR(INDEX(PP_Grid[#Data],$DD473,14),0)</f>
        <v/>
      </c>
      <c r="Q473">
        <f>IFERROR(INDEX(PP_Grid[#Data],$DD473,15),0)</f>
        <v/>
      </c>
      <c r="R473">
        <f>IFERROR(INDEX(PP_Grid[#Data],$DD473,16),0)</f>
        <v/>
      </c>
      <c r="S473">
        <f>IFERROR(INDEX(PP_Grid[#Data],$DD473,17),0)</f>
        <v/>
      </c>
      <c r="T473">
        <f>IFERROR(INDEX(PP_Grid[#Data],$DD473,18),0)</f>
        <v/>
      </c>
      <c r="U473">
        <f>IFERROR(INDEX(PP_Grid[#Data],$DD473,19),0)</f>
        <v/>
      </c>
      <c r="V473">
        <f>IFERROR(INDEX(PP_Grid[#Data],$DD473,20),0)</f>
        <v/>
      </c>
      <c r="W473">
        <f>IFERROR(INDEX(PP_Grid[#Data],$DD473,21),0)</f>
        <v/>
      </c>
      <c r="X473">
        <f>IFERROR(INDEX(PP_Grid[#Data],$DD473,22),0)</f>
        <v/>
      </c>
      <c r="Y473">
        <f>IFERROR(INDEX(PP_Grid[#Data],$DD473,23),0)</f>
        <v/>
      </c>
      <c r="Z473">
        <f>IFERROR(INDEX(PP_Grid[#Data],$DD473,24),0)</f>
        <v/>
      </c>
      <c r="AA473">
        <f>IFERROR(INDEX(PP_Grid[#Data],$DD473,25),0)</f>
        <v/>
      </c>
      <c r="AB473">
        <f>IFERROR(INDEX(PP_Grid[#Data],$DD473,26),0)</f>
        <v/>
      </c>
      <c r="AC473">
        <f>IFERROR(INDEX(PP_Grid[#Data],$DD473,27),0)</f>
        <v/>
      </c>
      <c r="AD473">
        <f>IFERROR(INDEX(PP_Grid[#Data],$DD473,28),0)</f>
        <v/>
      </c>
      <c r="AE473">
        <f>IFERROR(INDEX(PP_Grid[#Data],$DD473,29),0)</f>
        <v/>
      </c>
      <c r="AF473">
        <f>IFERROR(INDEX(PP_Grid[#Data],$DD473,30),0)</f>
        <v/>
      </c>
      <c r="AG473">
        <f>IFERROR(INDEX(PP_Grid[#Data],$DD473,31),0)</f>
        <v/>
      </c>
      <c r="AH473">
        <f>IFERROR(INDEX(PP_Grid[#Data],$DD473,32),0)</f>
        <v/>
      </c>
      <c r="AI473">
        <f>IFERROR(INDEX(PP_Grid[#Data],$DD473,33),0)</f>
        <v/>
      </c>
      <c r="AJ473">
        <f>IFERROR(INDEX(PP_Grid[#Data],$DD473,34),0)</f>
        <v/>
      </c>
      <c r="AK473">
        <f>IFERROR(INDEX(PP_Grid[#Data],$DD473,35),0)</f>
        <v/>
      </c>
      <c r="AL473">
        <f>IFERROR(INDEX(PP_Grid[#Data],$DD473,36),0)</f>
        <v/>
      </c>
      <c r="AM473">
        <f>IFERROR(INDEX(PP_Grid[#Data],$DD473,37),0)</f>
        <v/>
      </c>
      <c r="AN473">
        <f>IFERROR(INDEX(PP_Grid[#Data],$DD473,38),0)</f>
        <v/>
      </c>
      <c r="AO473">
        <f>IFERROR(INDEX(PP_Grid[#Data],$DD473,39),0)</f>
        <v/>
      </c>
      <c r="AP473">
        <f>IFERROR(INDEX(PP_Grid[#Data],$DD473,40),0)</f>
        <v/>
      </c>
      <c r="AQ473">
        <f>IFERROR(INDEX(PP_Grid[#Data],$DD473,41),0)</f>
        <v/>
      </c>
      <c r="AR473">
        <f>IFERROR(INDEX(PP_Grid[#Data],$DD473,42),0)</f>
        <v/>
      </c>
      <c r="AS473">
        <f>IFERROR(INDEX(PP_Grid[#Data],$DD473,43),0)</f>
        <v/>
      </c>
      <c r="AT473">
        <f>IFERROR(INDEX(PP_Grid[#Data],$DD473,44),0)</f>
        <v/>
      </c>
      <c r="AU473">
        <f>IFERROR(INDEX(PP_Grid[#Data],$DD473,45),0)</f>
        <v/>
      </c>
      <c r="AV473">
        <f>IFERROR(INDEX(PP_Grid[#Data],$DD473,46),0)</f>
        <v/>
      </c>
      <c r="AW473">
        <f>IFERROR(INDEX(PP_Grid[#Data],$DD473,47),0)</f>
        <v/>
      </c>
      <c r="AX473">
        <f>IFERROR(INDEX(PP_Grid[#Data],$DD473,48),0)</f>
        <v/>
      </c>
      <c r="AY473">
        <f>IFERROR(INDEX(PP_Grid[#Data],$DD473,49),0)</f>
        <v/>
      </c>
      <c r="AZ473">
        <f>IFERROR(INDEX(PP_Grid[#Data],$DD473,50),0)</f>
        <v/>
      </c>
      <c r="BA473">
        <f>IFERROR(INDEX(PP_Grid[#Data],$DD473,51),0)</f>
        <v/>
      </c>
      <c r="BB473">
        <f>IFERROR(INDEX(PP_Grid[#Data],$DD473,52),0)</f>
        <v/>
      </c>
      <c r="BC473">
        <f>IFERROR(INDEX(PP_Grid[#Data],$DD473,53),0)</f>
        <v/>
      </c>
      <c r="BD473">
        <f>IFERROR(INDEX(PP_Grid[#Data],$DD473,54),0)</f>
        <v/>
      </c>
      <c r="BE473">
        <f>IFERROR(INDEX(PP_Grid[#Data],$DD473,55),0)</f>
        <v/>
      </c>
      <c r="BF473">
        <f>IFERROR(INDEX(PP_Grid[#Data],$DD473,56),0)</f>
        <v/>
      </c>
      <c r="BG473">
        <f>IFERROR(INDEX(PP_Grid[#Data],$DD473,57),0)</f>
        <v/>
      </c>
      <c r="BH473">
        <f>IFERROR(INDEX(PP_Grid[#Data],$DD473,58),0)</f>
        <v/>
      </c>
      <c r="BI473">
        <f>IFERROR(INDEX(PP_Grid[#Data],$DD473,59),0)</f>
        <v/>
      </c>
      <c r="BJ473">
        <f>IFERROR(INDEX(PP_Grid[#Data],$DD473,60),0)</f>
        <v/>
      </c>
      <c r="BK473">
        <f>IFERROR(INDEX(PP_Grid[#Data],$DD473,61),0)</f>
        <v/>
      </c>
      <c r="BL473">
        <f>IFERROR(INDEX(PP_Grid[#Data],$DD473,62),0)</f>
        <v/>
      </c>
      <c r="BM473">
        <f>IFERROR(INDEX(PP_Grid[#Data],$DD473,63),0)</f>
        <v/>
      </c>
      <c r="BN473">
        <f>IFERROR(INDEX(PP_Grid[#Data],$DD473,64),0)</f>
        <v/>
      </c>
      <c r="BO473">
        <f>IFERROR(INDEX(PP_Grid[#Data],$DD473,65),0)</f>
        <v/>
      </c>
      <c r="BP473">
        <f>IFERROR(INDEX(PP_Grid[#Data],$DD473,66),0)</f>
        <v/>
      </c>
      <c r="BQ473">
        <f>IFERROR(INDEX(PP_Grid[#Data],$DD473,67),0)</f>
        <v/>
      </c>
      <c r="BR473">
        <f>IFERROR(INDEX(PP_Grid[#Data],$DD473,68),0)</f>
        <v/>
      </c>
      <c r="BS473">
        <f>IFERROR(INDEX(PP_Grid[#Data],$DD473,69),0)</f>
        <v/>
      </c>
      <c r="BT473">
        <f>IFERROR(INDEX(PP_Grid[#Data],$DD473,70),0)</f>
        <v/>
      </c>
      <c r="BU473">
        <f>IFERROR(INDEX(PP_Grid[#Data],$DD473,71),0)</f>
        <v/>
      </c>
      <c r="BV473">
        <f>IFERROR(INDEX(PP_Grid[#Data],$DD473,72),0)</f>
        <v/>
      </c>
      <c r="BW473">
        <f>IFERROR(INDEX(PP_Grid[#Data],$DD473,73),0)</f>
        <v/>
      </c>
      <c r="BX473">
        <f>IFERROR(INDEX(PP_Grid[#Data],$DD473,74),0)</f>
        <v/>
      </c>
      <c r="BY473">
        <f>IFERROR(INDEX(PP_Grid[#Data],$DD473,75),0)</f>
        <v/>
      </c>
      <c r="BZ473">
        <f>IFERROR(INDEX(PP_Grid[#Data],$DD473,76),0)</f>
        <v/>
      </c>
      <c r="CA473">
        <f>IFERROR(INDEX(PP_Grid[#Data],$DD473,77),0)</f>
        <v/>
      </c>
      <c r="CB473">
        <f>IFERROR(INDEX(PP_Grid[#Data],$DD473,78),0)</f>
        <v/>
      </c>
      <c r="CC473">
        <f>IFERROR(INDEX(PP_Grid[#Data],$DD473,79),0)</f>
        <v/>
      </c>
      <c r="CD473">
        <f>IFERROR(INDEX(PP_Grid[#Data],$DD473,80),0)</f>
        <v/>
      </c>
      <c r="CE473">
        <f>IFERROR(INDEX(PP_Grid[#Data],$DD473,81),0)</f>
        <v/>
      </c>
      <c r="CF473">
        <f>IFERROR(INDEX(PP_Grid[#Data],$DD473,82),0)</f>
        <v/>
      </c>
      <c r="CG473">
        <f>IFERROR(INDEX(PP_Grid[#Data],$DD473,83),0)</f>
        <v/>
      </c>
      <c r="CH473">
        <f>IFERROR(INDEX(PP_Grid[#Data],$DD473,84),0)</f>
        <v/>
      </c>
      <c r="CI473">
        <f>IFERROR(INDEX(PP_Grid[#Data],$DD473,85),0)</f>
        <v/>
      </c>
      <c r="CJ473">
        <f>IFERROR(INDEX(PP_Grid[#Data],$DD473,86),0)</f>
        <v/>
      </c>
      <c r="CK473">
        <f>IFERROR(INDEX(PP_Grid[#Data],$DD473,87),0)</f>
        <v/>
      </c>
      <c r="CL473">
        <f>IFERROR(INDEX(PP_Grid[#Data],$DD473,88),0)</f>
        <v/>
      </c>
      <c r="CM473">
        <f>IFERROR(INDEX(PP_Grid[#Data],$DD473,89),0)</f>
        <v/>
      </c>
      <c r="CN473">
        <f>IFERROR(INDEX(PP_Grid[#Data],$DD473,90),0)</f>
        <v/>
      </c>
      <c r="CO473">
        <f>IFERROR(INDEX(PP_Grid[#Data],$DD473,91),0)</f>
        <v/>
      </c>
      <c r="CP473">
        <f>IFERROR(INDEX(PP_Grid[#Data],$DD473,92),0)</f>
        <v/>
      </c>
      <c r="CQ473">
        <f>IFERROR(INDEX(PP_Grid[#Data],$DD473,93),0)</f>
        <v/>
      </c>
      <c r="CR473">
        <f>IFERROR(INDEX(PP_Grid[#Data],$DD473,94),0)</f>
        <v/>
      </c>
      <c r="CS473">
        <f>IFERROR(INDEX(PP_Grid[#Data],$DD473,95),0)</f>
        <v/>
      </c>
      <c r="CT473">
        <f>IFERROR(INDEX(PP_Grid[#Data],$DD473,96),0)</f>
        <v/>
      </c>
      <c r="CU473">
        <f>IFERROR(INDEX(PP_Grid[#Data],$DD473,97),0)</f>
        <v/>
      </c>
      <c r="CV473">
        <f>IFERROR(INDEX(PP_Grid[#Data],$DD473,98),0)</f>
        <v/>
      </c>
      <c r="CW473">
        <f>IFERROR(INDEX(PP_Grid[#Data],$DD473,99),0)</f>
        <v/>
      </c>
      <c r="CX473">
        <f>IFERROR(INDEX(PP_Grid[#Data],$DD473,100),0)</f>
        <v/>
      </c>
      <c r="CY473">
        <f>IFERROR(INDEX(PP_Grid[#Data],$DD473,101),0)</f>
        <v/>
      </c>
      <c r="CZ473">
        <f>IFERROR(INDEX(PP_Grid[#Data],$DD473,102),0)</f>
        <v/>
      </c>
      <c r="DA473">
        <f>IFERROR(INDEX(PP_Grid[#Data],$DD473,103),0)</f>
        <v/>
      </c>
      <c r="DB473">
        <f>IFERROR(INDEX(PP_Grid[#Data],$DD473,104),0)</f>
        <v/>
      </c>
      <c r="DC473">
        <f>IFERROR(INDEX(PP_Grid[#Data],$DD473,105),0)</f>
        <v/>
      </c>
      <c r="DD473" s="12">
        <f>IFERROR(MATCH($B473,PP_Grid[Intermediate],0),99999)</f>
        <v/>
      </c>
    </row>
    <row r="474">
      <c r="B474" t="inlineStr">
        <is>
          <t>使用量(kg)</t>
        </is>
      </c>
      <c r="C474">
        <f>SUMIFS(M_BOM[RM_Qty_Per_Batch],M_BOM[Intermediate],$B473,M_BOM[Part Name],$A406)</f>
        <v/>
      </c>
      <c r="D474">
        <f>$C474*D473</f>
        <v/>
      </c>
      <c r="E474">
        <f>$C474*E473</f>
        <v/>
      </c>
      <c r="F474">
        <f>$C474*F473</f>
        <v/>
      </c>
      <c r="G474">
        <f>$C474*G473</f>
        <v/>
      </c>
      <c r="H474">
        <f>$C474*H473</f>
        <v/>
      </c>
      <c r="I474">
        <f>$C474*I473</f>
        <v/>
      </c>
      <c r="J474">
        <f>$C474*J473</f>
        <v/>
      </c>
      <c r="K474">
        <f>$C474*K473</f>
        <v/>
      </c>
      <c r="L474">
        <f>$C474*L473</f>
        <v/>
      </c>
      <c r="M474">
        <f>$C474*M473</f>
        <v/>
      </c>
      <c r="N474">
        <f>$C474*N473</f>
        <v/>
      </c>
      <c r="O474">
        <f>$C474*O473</f>
        <v/>
      </c>
      <c r="P474">
        <f>$C474*P473</f>
        <v/>
      </c>
      <c r="Q474">
        <f>$C474*Q473</f>
        <v/>
      </c>
      <c r="R474">
        <f>$C474*R473</f>
        <v/>
      </c>
      <c r="S474">
        <f>$C474*S473</f>
        <v/>
      </c>
      <c r="T474">
        <f>$C474*T473</f>
        <v/>
      </c>
      <c r="U474">
        <f>$C474*U473</f>
        <v/>
      </c>
      <c r="V474">
        <f>$C474*V473</f>
        <v/>
      </c>
      <c r="W474">
        <f>$C474*W473</f>
        <v/>
      </c>
      <c r="X474">
        <f>$C474*X473</f>
        <v/>
      </c>
      <c r="Y474">
        <f>$C474*Y473</f>
        <v/>
      </c>
      <c r="Z474">
        <f>$C474*Z473</f>
        <v/>
      </c>
      <c r="AA474">
        <f>$C474*AA473</f>
        <v/>
      </c>
      <c r="AB474">
        <f>$C474*AB473</f>
        <v/>
      </c>
      <c r="AC474">
        <f>$C474*AC473</f>
        <v/>
      </c>
      <c r="AD474">
        <f>$C474*AD473</f>
        <v/>
      </c>
      <c r="AE474">
        <f>$C474*AE473</f>
        <v/>
      </c>
      <c r="AF474">
        <f>$C474*AF473</f>
        <v/>
      </c>
      <c r="AG474">
        <f>$C474*AG473</f>
        <v/>
      </c>
      <c r="AH474">
        <f>$C474*AH473</f>
        <v/>
      </c>
      <c r="AI474">
        <f>$C474*AI473</f>
        <v/>
      </c>
      <c r="AJ474">
        <f>$C474*AJ473</f>
        <v/>
      </c>
      <c r="AK474">
        <f>$C474*AK473</f>
        <v/>
      </c>
      <c r="AL474">
        <f>$C474*AL473</f>
        <v/>
      </c>
      <c r="AM474">
        <f>$C474*AM473</f>
        <v/>
      </c>
      <c r="AN474">
        <f>$C474*AN473</f>
        <v/>
      </c>
      <c r="AO474">
        <f>$C474*AO473</f>
        <v/>
      </c>
      <c r="AP474">
        <f>$C474*AP473</f>
        <v/>
      </c>
      <c r="AQ474">
        <f>$C474*AQ473</f>
        <v/>
      </c>
      <c r="AR474">
        <f>$C474*AR473</f>
        <v/>
      </c>
      <c r="AS474">
        <f>$C474*AS473</f>
        <v/>
      </c>
      <c r="AT474">
        <f>$C474*AT473</f>
        <v/>
      </c>
      <c r="AU474">
        <f>$C474*AU473</f>
        <v/>
      </c>
      <c r="AV474">
        <f>$C474*AV473</f>
        <v/>
      </c>
      <c r="AW474">
        <f>$C474*AW473</f>
        <v/>
      </c>
      <c r="AX474">
        <f>$C474*AX473</f>
        <v/>
      </c>
      <c r="AY474">
        <f>$C474*AY473</f>
        <v/>
      </c>
      <c r="AZ474">
        <f>$C474*AZ473</f>
        <v/>
      </c>
      <c r="BA474">
        <f>$C474*BA473</f>
        <v/>
      </c>
      <c r="BB474">
        <f>$C474*BB473</f>
        <v/>
      </c>
      <c r="BC474">
        <f>$C474*BC473</f>
        <v/>
      </c>
      <c r="BD474">
        <f>$C474*BD473</f>
        <v/>
      </c>
      <c r="BE474">
        <f>$C474*BE473</f>
        <v/>
      </c>
      <c r="BF474">
        <f>$C474*BF473</f>
        <v/>
      </c>
      <c r="BG474">
        <f>$C474*BG473</f>
        <v/>
      </c>
      <c r="BH474">
        <f>$C474*BH473</f>
        <v/>
      </c>
      <c r="BI474">
        <f>$C474*BI473</f>
        <v/>
      </c>
      <c r="BJ474">
        <f>$C474*BJ473</f>
        <v/>
      </c>
      <c r="BK474">
        <f>$C474*BK473</f>
        <v/>
      </c>
      <c r="BL474">
        <f>$C474*BL473</f>
        <v/>
      </c>
      <c r="BM474">
        <f>$C474*BM473</f>
        <v/>
      </c>
      <c r="BN474">
        <f>$C474*BN473</f>
        <v/>
      </c>
      <c r="BO474">
        <f>$C474*BO473</f>
        <v/>
      </c>
      <c r="BP474">
        <f>$C474*BP473</f>
        <v/>
      </c>
      <c r="BQ474">
        <f>$C474*BQ473</f>
        <v/>
      </c>
      <c r="BR474">
        <f>$C474*BR473</f>
        <v/>
      </c>
      <c r="BS474">
        <f>$C474*BS473</f>
        <v/>
      </c>
      <c r="BT474">
        <f>$C474*BT473</f>
        <v/>
      </c>
      <c r="BU474">
        <f>$C474*BU473</f>
        <v/>
      </c>
      <c r="BV474">
        <f>$C474*BV473</f>
        <v/>
      </c>
      <c r="BW474">
        <f>$C474*BW473</f>
        <v/>
      </c>
      <c r="BX474">
        <f>$C474*BX473</f>
        <v/>
      </c>
      <c r="BY474">
        <f>$C474*BY473</f>
        <v/>
      </c>
      <c r="BZ474">
        <f>$C474*BZ473</f>
        <v/>
      </c>
      <c r="CA474">
        <f>$C474*CA473</f>
        <v/>
      </c>
      <c r="CB474">
        <f>$C474*CB473</f>
        <v/>
      </c>
      <c r="CC474">
        <f>$C474*CC473</f>
        <v/>
      </c>
      <c r="CD474">
        <f>$C474*CD473</f>
        <v/>
      </c>
      <c r="CE474">
        <f>$C474*CE473</f>
        <v/>
      </c>
      <c r="CF474">
        <f>$C474*CF473</f>
        <v/>
      </c>
      <c r="CG474">
        <f>$C474*CG473</f>
        <v/>
      </c>
      <c r="CH474">
        <f>$C474*CH473</f>
        <v/>
      </c>
      <c r="CI474">
        <f>$C474*CI473</f>
        <v/>
      </c>
      <c r="CJ474">
        <f>$C474*CJ473</f>
        <v/>
      </c>
      <c r="CK474">
        <f>$C474*CK473</f>
        <v/>
      </c>
      <c r="CL474">
        <f>$C474*CL473</f>
        <v/>
      </c>
      <c r="CM474">
        <f>$C474*CM473</f>
        <v/>
      </c>
      <c r="CN474">
        <f>$C474*CN473</f>
        <v/>
      </c>
      <c r="CO474">
        <f>$C474*CO473</f>
        <v/>
      </c>
      <c r="CP474">
        <f>$C474*CP473</f>
        <v/>
      </c>
      <c r="CQ474">
        <f>$C474*CQ473</f>
        <v/>
      </c>
      <c r="CR474">
        <f>$C474*CR473</f>
        <v/>
      </c>
      <c r="CS474">
        <f>$C474*CS473</f>
        <v/>
      </c>
      <c r="CT474">
        <f>$C474*CT473</f>
        <v/>
      </c>
      <c r="CU474">
        <f>$C474*CU473</f>
        <v/>
      </c>
      <c r="CV474">
        <f>$C474*CV473</f>
        <v/>
      </c>
      <c r="CW474">
        <f>$C474*CW473</f>
        <v/>
      </c>
      <c r="CX474">
        <f>$C474*CX473</f>
        <v/>
      </c>
      <c r="CY474">
        <f>$C474*CY473</f>
        <v/>
      </c>
      <c r="CZ474">
        <f>$C474*CZ473</f>
        <v/>
      </c>
      <c r="DA474">
        <f>$C474*DA473</f>
        <v/>
      </c>
      <c r="DB474">
        <f>$C474*DB473</f>
        <v/>
      </c>
      <c r="DC474">
        <f>$C474*DC473</f>
        <v/>
      </c>
    </row>
    <row r="475">
      <c r="B475" t="inlineStr">
        <is>
          <t>TSP-934</t>
        </is>
      </c>
      <c r="C475" t="inlineStr">
        <is>
          <t>No. of batches</t>
        </is>
      </c>
      <c r="D475">
        <f>IFERROR(INDEX(PP_Grid[#Data],$DD475,2),0)</f>
        <v/>
      </c>
      <c r="E475">
        <f>IFERROR(INDEX(PP_Grid[#Data],$DD475,3),0)</f>
        <v/>
      </c>
      <c r="F475">
        <f>IFERROR(INDEX(PP_Grid[#Data],$DD475,4),0)</f>
        <v/>
      </c>
      <c r="G475">
        <f>IFERROR(INDEX(PP_Grid[#Data],$DD475,5),0)</f>
        <v/>
      </c>
      <c r="H475">
        <f>IFERROR(INDEX(PP_Grid[#Data],$DD475,6),0)</f>
        <v/>
      </c>
      <c r="I475">
        <f>IFERROR(INDEX(PP_Grid[#Data],$DD475,7),0)</f>
        <v/>
      </c>
      <c r="J475">
        <f>IFERROR(INDEX(PP_Grid[#Data],$DD475,8),0)</f>
        <v/>
      </c>
      <c r="K475">
        <f>IFERROR(INDEX(PP_Grid[#Data],$DD475,9),0)</f>
        <v/>
      </c>
      <c r="L475">
        <f>IFERROR(INDEX(PP_Grid[#Data],$DD475,10),0)</f>
        <v/>
      </c>
      <c r="M475">
        <f>IFERROR(INDEX(PP_Grid[#Data],$DD475,11),0)</f>
        <v/>
      </c>
      <c r="N475">
        <f>IFERROR(INDEX(PP_Grid[#Data],$DD475,12),0)</f>
        <v/>
      </c>
      <c r="O475">
        <f>IFERROR(INDEX(PP_Grid[#Data],$DD475,13),0)</f>
        <v/>
      </c>
      <c r="P475">
        <f>IFERROR(INDEX(PP_Grid[#Data],$DD475,14),0)</f>
        <v/>
      </c>
      <c r="Q475">
        <f>IFERROR(INDEX(PP_Grid[#Data],$DD475,15),0)</f>
        <v/>
      </c>
      <c r="R475">
        <f>IFERROR(INDEX(PP_Grid[#Data],$DD475,16),0)</f>
        <v/>
      </c>
      <c r="S475">
        <f>IFERROR(INDEX(PP_Grid[#Data],$DD475,17),0)</f>
        <v/>
      </c>
      <c r="T475">
        <f>IFERROR(INDEX(PP_Grid[#Data],$DD475,18),0)</f>
        <v/>
      </c>
      <c r="U475">
        <f>IFERROR(INDEX(PP_Grid[#Data],$DD475,19),0)</f>
        <v/>
      </c>
      <c r="V475">
        <f>IFERROR(INDEX(PP_Grid[#Data],$DD475,20),0)</f>
        <v/>
      </c>
      <c r="W475">
        <f>IFERROR(INDEX(PP_Grid[#Data],$DD475,21),0)</f>
        <v/>
      </c>
      <c r="X475">
        <f>IFERROR(INDEX(PP_Grid[#Data],$DD475,22),0)</f>
        <v/>
      </c>
      <c r="Y475">
        <f>IFERROR(INDEX(PP_Grid[#Data],$DD475,23),0)</f>
        <v/>
      </c>
      <c r="Z475">
        <f>IFERROR(INDEX(PP_Grid[#Data],$DD475,24),0)</f>
        <v/>
      </c>
      <c r="AA475">
        <f>IFERROR(INDEX(PP_Grid[#Data],$DD475,25),0)</f>
        <v/>
      </c>
      <c r="AB475">
        <f>IFERROR(INDEX(PP_Grid[#Data],$DD475,26),0)</f>
        <v/>
      </c>
      <c r="AC475">
        <f>IFERROR(INDEX(PP_Grid[#Data],$DD475,27),0)</f>
        <v/>
      </c>
      <c r="AD475">
        <f>IFERROR(INDEX(PP_Grid[#Data],$DD475,28),0)</f>
        <v/>
      </c>
      <c r="AE475">
        <f>IFERROR(INDEX(PP_Grid[#Data],$DD475,29),0)</f>
        <v/>
      </c>
      <c r="AF475">
        <f>IFERROR(INDEX(PP_Grid[#Data],$DD475,30),0)</f>
        <v/>
      </c>
      <c r="AG475">
        <f>IFERROR(INDEX(PP_Grid[#Data],$DD475,31),0)</f>
        <v/>
      </c>
      <c r="AH475">
        <f>IFERROR(INDEX(PP_Grid[#Data],$DD475,32),0)</f>
        <v/>
      </c>
      <c r="AI475">
        <f>IFERROR(INDEX(PP_Grid[#Data],$DD475,33),0)</f>
        <v/>
      </c>
      <c r="AJ475">
        <f>IFERROR(INDEX(PP_Grid[#Data],$DD475,34),0)</f>
        <v/>
      </c>
      <c r="AK475">
        <f>IFERROR(INDEX(PP_Grid[#Data],$DD475,35),0)</f>
        <v/>
      </c>
      <c r="AL475">
        <f>IFERROR(INDEX(PP_Grid[#Data],$DD475,36),0)</f>
        <v/>
      </c>
      <c r="AM475">
        <f>IFERROR(INDEX(PP_Grid[#Data],$DD475,37),0)</f>
        <v/>
      </c>
      <c r="AN475">
        <f>IFERROR(INDEX(PP_Grid[#Data],$DD475,38),0)</f>
        <v/>
      </c>
      <c r="AO475">
        <f>IFERROR(INDEX(PP_Grid[#Data],$DD475,39),0)</f>
        <v/>
      </c>
      <c r="AP475">
        <f>IFERROR(INDEX(PP_Grid[#Data],$DD475,40),0)</f>
        <v/>
      </c>
      <c r="AQ475">
        <f>IFERROR(INDEX(PP_Grid[#Data],$DD475,41),0)</f>
        <v/>
      </c>
      <c r="AR475">
        <f>IFERROR(INDEX(PP_Grid[#Data],$DD475,42),0)</f>
        <v/>
      </c>
      <c r="AS475">
        <f>IFERROR(INDEX(PP_Grid[#Data],$DD475,43),0)</f>
        <v/>
      </c>
      <c r="AT475">
        <f>IFERROR(INDEX(PP_Grid[#Data],$DD475,44),0)</f>
        <v/>
      </c>
      <c r="AU475">
        <f>IFERROR(INDEX(PP_Grid[#Data],$DD475,45),0)</f>
        <v/>
      </c>
      <c r="AV475">
        <f>IFERROR(INDEX(PP_Grid[#Data],$DD475,46),0)</f>
        <v/>
      </c>
      <c r="AW475">
        <f>IFERROR(INDEX(PP_Grid[#Data],$DD475,47),0)</f>
        <v/>
      </c>
      <c r="AX475">
        <f>IFERROR(INDEX(PP_Grid[#Data],$DD475,48),0)</f>
        <v/>
      </c>
      <c r="AY475">
        <f>IFERROR(INDEX(PP_Grid[#Data],$DD475,49),0)</f>
        <v/>
      </c>
      <c r="AZ475">
        <f>IFERROR(INDEX(PP_Grid[#Data],$DD475,50),0)</f>
        <v/>
      </c>
      <c r="BA475">
        <f>IFERROR(INDEX(PP_Grid[#Data],$DD475,51),0)</f>
        <v/>
      </c>
      <c r="BB475">
        <f>IFERROR(INDEX(PP_Grid[#Data],$DD475,52),0)</f>
        <v/>
      </c>
      <c r="BC475">
        <f>IFERROR(INDEX(PP_Grid[#Data],$DD475,53),0)</f>
        <v/>
      </c>
      <c r="BD475">
        <f>IFERROR(INDEX(PP_Grid[#Data],$DD475,54),0)</f>
        <v/>
      </c>
      <c r="BE475">
        <f>IFERROR(INDEX(PP_Grid[#Data],$DD475,55),0)</f>
        <v/>
      </c>
      <c r="BF475">
        <f>IFERROR(INDEX(PP_Grid[#Data],$DD475,56),0)</f>
        <v/>
      </c>
      <c r="BG475">
        <f>IFERROR(INDEX(PP_Grid[#Data],$DD475,57),0)</f>
        <v/>
      </c>
      <c r="BH475">
        <f>IFERROR(INDEX(PP_Grid[#Data],$DD475,58),0)</f>
        <v/>
      </c>
      <c r="BI475">
        <f>IFERROR(INDEX(PP_Grid[#Data],$DD475,59),0)</f>
        <v/>
      </c>
      <c r="BJ475">
        <f>IFERROR(INDEX(PP_Grid[#Data],$DD475,60),0)</f>
        <v/>
      </c>
      <c r="BK475">
        <f>IFERROR(INDEX(PP_Grid[#Data],$DD475,61),0)</f>
        <v/>
      </c>
      <c r="BL475">
        <f>IFERROR(INDEX(PP_Grid[#Data],$DD475,62),0)</f>
        <v/>
      </c>
      <c r="BM475">
        <f>IFERROR(INDEX(PP_Grid[#Data],$DD475,63),0)</f>
        <v/>
      </c>
      <c r="BN475">
        <f>IFERROR(INDEX(PP_Grid[#Data],$DD475,64),0)</f>
        <v/>
      </c>
      <c r="BO475">
        <f>IFERROR(INDEX(PP_Grid[#Data],$DD475,65),0)</f>
        <v/>
      </c>
      <c r="BP475">
        <f>IFERROR(INDEX(PP_Grid[#Data],$DD475,66),0)</f>
        <v/>
      </c>
      <c r="BQ475">
        <f>IFERROR(INDEX(PP_Grid[#Data],$DD475,67),0)</f>
        <v/>
      </c>
      <c r="BR475">
        <f>IFERROR(INDEX(PP_Grid[#Data],$DD475,68),0)</f>
        <v/>
      </c>
      <c r="BS475">
        <f>IFERROR(INDEX(PP_Grid[#Data],$DD475,69),0)</f>
        <v/>
      </c>
      <c r="BT475">
        <f>IFERROR(INDEX(PP_Grid[#Data],$DD475,70),0)</f>
        <v/>
      </c>
      <c r="BU475">
        <f>IFERROR(INDEX(PP_Grid[#Data],$DD475,71),0)</f>
        <v/>
      </c>
      <c r="BV475">
        <f>IFERROR(INDEX(PP_Grid[#Data],$DD475,72),0)</f>
        <v/>
      </c>
      <c r="BW475">
        <f>IFERROR(INDEX(PP_Grid[#Data],$DD475,73),0)</f>
        <v/>
      </c>
      <c r="BX475">
        <f>IFERROR(INDEX(PP_Grid[#Data],$DD475,74),0)</f>
        <v/>
      </c>
      <c r="BY475">
        <f>IFERROR(INDEX(PP_Grid[#Data],$DD475,75),0)</f>
        <v/>
      </c>
      <c r="BZ475">
        <f>IFERROR(INDEX(PP_Grid[#Data],$DD475,76),0)</f>
        <v/>
      </c>
      <c r="CA475">
        <f>IFERROR(INDEX(PP_Grid[#Data],$DD475,77),0)</f>
        <v/>
      </c>
      <c r="CB475">
        <f>IFERROR(INDEX(PP_Grid[#Data],$DD475,78),0)</f>
        <v/>
      </c>
      <c r="CC475">
        <f>IFERROR(INDEX(PP_Grid[#Data],$DD475,79),0)</f>
        <v/>
      </c>
      <c r="CD475">
        <f>IFERROR(INDEX(PP_Grid[#Data],$DD475,80),0)</f>
        <v/>
      </c>
      <c r="CE475">
        <f>IFERROR(INDEX(PP_Grid[#Data],$DD475,81),0)</f>
        <v/>
      </c>
      <c r="CF475">
        <f>IFERROR(INDEX(PP_Grid[#Data],$DD475,82),0)</f>
        <v/>
      </c>
      <c r="CG475">
        <f>IFERROR(INDEX(PP_Grid[#Data],$DD475,83),0)</f>
        <v/>
      </c>
      <c r="CH475">
        <f>IFERROR(INDEX(PP_Grid[#Data],$DD475,84),0)</f>
        <v/>
      </c>
      <c r="CI475">
        <f>IFERROR(INDEX(PP_Grid[#Data],$DD475,85),0)</f>
        <v/>
      </c>
      <c r="CJ475">
        <f>IFERROR(INDEX(PP_Grid[#Data],$DD475,86),0)</f>
        <v/>
      </c>
      <c r="CK475">
        <f>IFERROR(INDEX(PP_Grid[#Data],$DD475,87),0)</f>
        <v/>
      </c>
      <c r="CL475">
        <f>IFERROR(INDEX(PP_Grid[#Data],$DD475,88),0)</f>
        <v/>
      </c>
      <c r="CM475">
        <f>IFERROR(INDEX(PP_Grid[#Data],$DD475,89),0)</f>
        <v/>
      </c>
      <c r="CN475">
        <f>IFERROR(INDEX(PP_Grid[#Data],$DD475,90),0)</f>
        <v/>
      </c>
      <c r="CO475">
        <f>IFERROR(INDEX(PP_Grid[#Data],$DD475,91),0)</f>
        <v/>
      </c>
      <c r="CP475">
        <f>IFERROR(INDEX(PP_Grid[#Data],$DD475,92),0)</f>
        <v/>
      </c>
      <c r="CQ475">
        <f>IFERROR(INDEX(PP_Grid[#Data],$DD475,93),0)</f>
        <v/>
      </c>
      <c r="CR475">
        <f>IFERROR(INDEX(PP_Grid[#Data],$DD475,94),0)</f>
        <v/>
      </c>
      <c r="CS475">
        <f>IFERROR(INDEX(PP_Grid[#Data],$DD475,95),0)</f>
        <v/>
      </c>
      <c r="CT475">
        <f>IFERROR(INDEX(PP_Grid[#Data],$DD475,96),0)</f>
        <v/>
      </c>
      <c r="CU475">
        <f>IFERROR(INDEX(PP_Grid[#Data],$DD475,97),0)</f>
        <v/>
      </c>
      <c r="CV475">
        <f>IFERROR(INDEX(PP_Grid[#Data],$DD475,98),0)</f>
        <v/>
      </c>
      <c r="CW475">
        <f>IFERROR(INDEX(PP_Grid[#Data],$DD475,99),0)</f>
        <v/>
      </c>
      <c r="CX475">
        <f>IFERROR(INDEX(PP_Grid[#Data],$DD475,100),0)</f>
        <v/>
      </c>
      <c r="CY475">
        <f>IFERROR(INDEX(PP_Grid[#Data],$DD475,101),0)</f>
        <v/>
      </c>
      <c r="CZ475">
        <f>IFERROR(INDEX(PP_Grid[#Data],$DD475,102),0)</f>
        <v/>
      </c>
      <c r="DA475">
        <f>IFERROR(INDEX(PP_Grid[#Data],$DD475,103),0)</f>
        <v/>
      </c>
      <c r="DB475">
        <f>IFERROR(INDEX(PP_Grid[#Data],$DD475,104),0)</f>
        <v/>
      </c>
      <c r="DC475">
        <f>IFERROR(INDEX(PP_Grid[#Data],$DD475,105),0)</f>
        <v/>
      </c>
      <c r="DD475" s="12">
        <f>IFERROR(MATCH($B475,PP_Grid[Intermediate],0),99999)</f>
        <v/>
      </c>
    </row>
    <row r="476">
      <c r="B476" t="inlineStr">
        <is>
          <t>使用量(kg)</t>
        </is>
      </c>
      <c r="C476">
        <f>SUMIFS(M_BOM[RM_Qty_Per_Batch],M_BOM[Intermediate],$B475,M_BOM[Part Name],$A406)</f>
        <v/>
      </c>
      <c r="D476">
        <f>$C476*D475</f>
        <v/>
      </c>
      <c r="E476">
        <f>$C476*E475</f>
        <v/>
      </c>
      <c r="F476">
        <f>$C476*F475</f>
        <v/>
      </c>
      <c r="G476">
        <f>$C476*G475</f>
        <v/>
      </c>
      <c r="H476">
        <f>$C476*H475</f>
        <v/>
      </c>
      <c r="I476">
        <f>$C476*I475</f>
        <v/>
      </c>
      <c r="J476">
        <f>$C476*J475</f>
        <v/>
      </c>
      <c r="K476">
        <f>$C476*K475</f>
        <v/>
      </c>
      <c r="L476">
        <f>$C476*L475</f>
        <v/>
      </c>
      <c r="M476">
        <f>$C476*M475</f>
        <v/>
      </c>
      <c r="N476">
        <f>$C476*N475</f>
        <v/>
      </c>
      <c r="O476">
        <f>$C476*O475</f>
        <v/>
      </c>
      <c r="P476">
        <f>$C476*P475</f>
        <v/>
      </c>
      <c r="Q476">
        <f>$C476*Q475</f>
        <v/>
      </c>
      <c r="R476">
        <f>$C476*R475</f>
        <v/>
      </c>
      <c r="S476">
        <f>$C476*S475</f>
        <v/>
      </c>
      <c r="T476">
        <f>$C476*T475</f>
        <v/>
      </c>
      <c r="U476">
        <f>$C476*U475</f>
        <v/>
      </c>
      <c r="V476">
        <f>$C476*V475</f>
        <v/>
      </c>
      <c r="W476">
        <f>$C476*W475</f>
        <v/>
      </c>
      <c r="X476">
        <f>$C476*X475</f>
        <v/>
      </c>
      <c r="Y476">
        <f>$C476*Y475</f>
        <v/>
      </c>
      <c r="Z476">
        <f>$C476*Z475</f>
        <v/>
      </c>
      <c r="AA476">
        <f>$C476*AA475</f>
        <v/>
      </c>
      <c r="AB476">
        <f>$C476*AB475</f>
        <v/>
      </c>
      <c r="AC476">
        <f>$C476*AC475</f>
        <v/>
      </c>
      <c r="AD476">
        <f>$C476*AD475</f>
        <v/>
      </c>
      <c r="AE476">
        <f>$C476*AE475</f>
        <v/>
      </c>
      <c r="AF476">
        <f>$C476*AF475</f>
        <v/>
      </c>
      <c r="AG476">
        <f>$C476*AG475</f>
        <v/>
      </c>
      <c r="AH476">
        <f>$C476*AH475</f>
        <v/>
      </c>
      <c r="AI476">
        <f>$C476*AI475</f>
        <v/>
      </c>
      <c r="AJ476">
        <f>$C476*AJ475</f>
        <v/>
      </c>
      <c r="AK476">
        <f>$C476*AK475</f>
        <v/>
      </c>
      <c r="AL476">
        <f>$C476*AL475</f>
        <v/>
      </c>
      <c r="AM476">
        <f>$C476*AM475</f>
        <v/>
      </c>
      <c r="AN476">
        <f>$C476*AN475</f>
        <v/>
      </c>
      <c r="AO476">
        <f>$C476*AO475</f>
        <v/>
      </c>
      <c r="AP476">
        <f>$C476*AP475</f>
        <v/>
      </c>
      <c r="AQ476">
        <f>$C476*AQ475</f>
        <v/>
      </c>
      <c r="AR476">
        <f>$C476*AR475</f>
        <v/>
      </c>
      <c r="AS476">
        <f>$C476*AS475</f>
        <v/>
      </c>
      <c r="AT476">
        <f>$C476*AT475</f>
        <v/>
      </c>
      <c r="AU476">
        <f>$C476*AU475</f>
        <v/>
      </c>
      <c r="AV476">
        <f>$C476*AV475</f>
        <v/>
      </c>
      <c r="AW476">
        <f>$C476*AW475</f>
        <v/>
      </c>
      <c r="AX476">
        <f>$C476*AX475</f>
        <v/>
      </c>
      <c r="AY476">
        <f>$C476*AY475</f>
        <v/>
      </c>
      <c r="AZ476">
        <f>$C476*AZ475</f>
        <v/>
      </c>
      <c r="BA476">
        <f>$C476*BA475</f>
        <v/>
      </c>
      <c r="BB476">
        <f>$C476*BB475</f>
        <v/>
      </c>
      <c r="BC476">
        <f>$C476*BC475</f>
        <v/>
      </c>
      <c r="BD476">
        <f>$C476*BD475</f>
        <v/>
      </c>
      <c r="BE476">
        <f>$C476*BE475</f>
        <v/>
      </c>
      <c r="BF476">
        <f>$C476*BF475</f>
        <v/>
      </c>
      <c r="BG476">
        <f>$C476*BG475</f>
        <v/>
      </c>
      <c r="BH476">
        <f>$C476*BH475</f>
        <v/>
      </c>
      <c r="BI476">
        <f>$C476*BI475</f>
        <v/>
      </c>
      <c r="BJ476">
        <f>$C476*BJ475</f>
        <v/>
      </c>
      <c r="BK476">
        <f>$C476*BK475</f>
        <v/>
      </c>
      <c r="BL476">
        <f>$C476*BL475</f>
        <v/>
      </c>
      <c r="BM476">
        <f>$C476*BM475</f>
        <v/>
      </c>
      <c r="BN476">
        <f>$C476*BN475</f>
        <v/>
      </c>
      <c r="BO476">
        <f>$C476*BO475</f>
        <v/>
      </c>
      <c r="BP476">
        <f>$C476*BP475</f>
        <v/>
      </c>
      <c r="BQ476">
        <f>$C476*BQ475</f>
        <v/>
      </c>
      <c r="BR476">
        <f>$C476*BR475</f>
        <v/>
      </c>
      <c r="BS476">
        <f>$C476*BS475</f>
        <v/>
      </c>
      <c r="BT476">
        <f>$C476*BT475</f>
        <v/>
      </c>
      <c r="BU476">
        <f>$C476*BU475</f>
        <v/>
      </c>
      <c r="BV476">
        <f>$C476*BV475</f>
        <v/>
      </c>
      <c r="BW476">
        <f>$C476*BW475</f>
        <v/>
      </c>
      <c r="BX476">
        <f>$C476*BX475</f>
        <v/>
      </c>
      <c r="BY476">
        <f>$C476*BY475</f>
        <v/>
      </c>
      <c r="BZ476">
        <f>$C476*BZ475</f>
        <v/>
      </c>
      <c r="CA476">
        <f>$C476*CA475</f>
        <v/>
      </c>
      <c r="CB476">
        <f>$C476*CB475</f>
        <v/>
      </c>
      <c r="CC476">
        <f>$C476*CC475</f>
        <v/>
      </c>
      <c r="CD476">
        <f>$C476*CD475</f>
        <v/>
      </c>
      <c r="CE476">
        <f>$C476*CE475</f>
        <v/>
      </c>
      <c r="CF476">
        <f>$C476*CF475</f>
        <v/>
      </c>
      <c r="CG476">
        <f>$C476*CG475</f>
        <v/>
      </c>
      <c r="CH476">
        <f>$C476*CH475</f>
        <v/>
      </c>
      <c r="CI476">
        <f>$C476*CI475</f>
        <v/>
      </c>
      <c r="CJ476">
        <f>$C476*CJ475</f>
        <v/>
      </c>
      <c r="CK476">
        <f>$C476*CK475</f>
        <v/>
      </c>
      <c r="CL476">
        <f>$C476*CL475</f>
        <v/>
      </c>
      <c r="CM476">
        <f>$C476*CM475</f>
        <v/>
      </c>
      <c r="CN476">
        <f>$C476*CN475</f>
        <v/>
      </c>
      <c r="CO476">
        <f>$C476*CO475</f>
        <v/>
      </c>
      <c r="CP476">
        <f>$C476*CP475</f>
        <v/>
      </c>
      <c r="CQ476">
        <f>$C476*CQ475</f>
        <v/>
      </c>
      <c r="CR476">
        <f>$C476*CR475</f>
        <v/>
      </c>
      <c r="CS476">
        <f>$C476*CS475</f>
        <v/>
      </c>
      <c r="CT476">
        <f>$C476*CT475</f>
        <v/>
      </c>
      <c r="CU476">
        <f>$C476*CU475</f>
        <v/>
      </c>
      <c r="CV476">
        <f>$C476*CV475</f>
        <v/>
      </c>
      <c r="CW476">
        <f>$C476*CW475</f>
        <v/>
      </c>
      <c r="CX476">
        <f>$C476*CX475</f>
        <v/>
      </c>
      <c r="CY476">
        <f>$C476*CY475</f>
        <v/>
      </c>
      <c r="CZ476">
        <f>$C476*CZ475</f>
        <v/>
      </c>
      <c r="DA476">
        <f>$C476*DA475</f>
        <v/>
      </c>
      <c r="DB476">
        <f>$C476*DB475</f>
        <v/>
      </c>
      <c r="DC476">
        <f>$C476*DC475</f>
        <v/>
      </c>
    </row>
    <row r="477">
      <c r="B477" t="inlineStr">
        <is>
          <t>TSP-935</t>
        </is>
      </c>
      <c r="C477" t="inlineStr">
        <is>
          <t>No. of batches</t>
        </is>
      </c>
      <c r="D477">
        <f>IFERROR(INDEX(PP_Grid[#Data],$DD477,2),0)</f>
        <v/>
      </c>
      <c r="E477">
        <f>IFERROR(INDEX(PP_Grid[#Data],$DD477,3),0)</f>
        <v/>
      </c>
      <c r="F477">
        <f>IFERROR(INDEX(PP_Grid[#Data],$DD477,4),0)</f>
        <v/>
      </c>
      <c r="G477">
        <f>IFERROR(INDEX(PP_Grid[#Data],$DD477,5),0)</f>
        <v/>
      </c>
      <c r="H477">
        <f>IFERROR(INDEX(PP_Grid[#Data],$DD477,6),0)</f>
        <v/>
      </c>
      <c r="I477">
        <f>IFERROR(INDEX(PP_Grid[#Data],$DD477,7),0)</f>
        <v/>
      </c>
      <c r="J477">
        <f>IFERROR(INDEX(PP_Grid[#Data],$DD477,8),0)</f>
        <v/>
      </c>
      <c r="K477">
        <f>IFERROR(INDEX(PP_Grid[#Data],$DD477,9),0)</f>
        <v/>
      </c>
      <c r="L477">
        <f>IFERROR(INDEX(PP_Grid[#Data],$DD477,10),0)</f>
        <v/>
      </c>
      <c r="M477">
        <f>IFERROR(INDEX(PP_Grid[#Data],$DD477,11),0)</f>
        <v/>
      </c>
      <c r="N477">
        <f>IFERROR(INDEX(PP_Grid[#Data],$DD477,12),0)</f>
        <v/>
      </c>
      <c r="O477">
        <f>IFERROR(INDEX(PP_Grid[#Data],$DD477,13),0)</f>
        <v/>
      </c>
      <c r="P477">
        <f>IFERROR(INDEX(PP_Grid[#Data],$DD477,14),0)</f>
        <v/>
      </c>
      <c r="Q477">
        <f>IFERROR(INDEX(PP_Grid[#Data],$DD477,15),0)</f>
        <v/>
      </c>
      <c r="R477">
        <f>IFERROR(INDEX(PP_Grid[#Data],$DD477,16),0)</f>
        <v/>
      </c>
      <c r="S477">
        <f>IFERROR(INDEX(PP_Grid[#Data],$DD477,17),0)</f>
        <v/>
      </c>
      <c r="T477">
        <f>IFERROR(INDEX(PP_Grid[#Data],$DD477,18),0)</f>
        <v/>
      </c>
      <c r="U477">
        <f>IFERROR(INDEX(PP_Grid[#Data],$DD477,19),0)</f>
        <v/>
      </c>
      <c r="V477">
        <f>IFERROR(INDEX(PP_Grid[#Data],$DD477,20),0)</f>
        <v/>
      </c>
      <c r="W477">
        <f>IFERROR(INDEX(PP_Grid[#Data],$DD477,21),0)</f>
        <v/>
      </c>
      <c r="X477">
        <f>IFERROR(INDEX(PP_Grid[#Data],$DD477,22),0)</f>
        <v/>
      </c>
      <c r="Y477">
        <f>IFERROR(INDEX(PP_Grid[#Data],$DD477,23),0)</f>
        <v/>
      </c>
      <c r="Z477">
        <f>IFERROR(INDEX(PP_Grid[#Data],$DD477,24),0)</f>
        <v/>
      </c>
      <c r="AA477">
        <f>IFERROR(INDEX(PP_Grid[#Data],$DD477,25),0)</f>
        <v/>
      </c>
      <c r="AB477">
        <f>IFERROR(INDEX(PP_Grid[#Data],$DD477,26),0)</f>
        <v/>
      </c>
      <c r="AC477">
        <f>IFERROR(INDEX(PP_Grid[#Data],$DD477,27),0)</f>
        <v/>
      </c>
      <c r="AD477">
        <f>IFERROR(INDEX(PP_Grid[#Data],$DD477,28),0)</f>
        <v/>
      </c>
      <c r="AE477">
        <f>IFERROR(INDEX(PP_Grid[#Data],$DD477,29),0)</f>
        <v/>
      </c>
      <c r="AF477">
        <f>IFERROR(INDEX(PP_Grid[#Data],$DD477,30),0)</f>
        <v/>
      </c>
      <c r="AG477">
        <f>IFERROR(INDEX(PP_Grid[#Data],$DD477,31),0)</f>
        <v/>
      </c>
      <c r="AH477">
        <f>IFERROR(INDEX(PP_Grid[#Data],$DD477,32),0)</f>
        <v/>
      </c>
      <c r="AI477">
        <f>IFERROR(INDEX(PP_Grid[#Data],$DD477,33),0)</f>
        <v/>
      </c>
      <c r="AJ477">
        <f>IFERROR(INDEX(PP_Grid[#Data],$DD477,34),0)</f>
        <v/>
      </c>
      <c r="AK477">
        <f>IFERROR(INDEX(PP_Grid[#Data],$DD477,35),0)</f>
        <v/>
      </c>
      <c r="AL477">
        <f>IFERROR(INDEX(PP_Grid[#Data],$DD477,36),0)</f>
        <v/>
      </c>
      <c r="AM477">
        <f>IFERROR(INDEX(PP_Grid[#Data],$DD477,37),0)</f>
        <v/>
      </c>
      <c r="AN477">
        <f>IFERROR(INDEX(PP_Grid[#Data],$DD477,38),0)</f>
        <v/>
      </c>
      <c r="AO477">
        <f>IFERROR(INDEX(PP_Grid[#Data],$DD477,39),0)</f>
        <v/>
      </c>
      <c r="AP477">
        <f>IFERROR(INDEX(PP_Grid[#Data],$DD477,40),0)</f>
        <v/>
      </c>
      <c r="AQ477">
        <f>IFERROR(INDEX(PP_Grid[#Data],$DD477,41),0)</f>
        <v/>
      </c>
      <c r="AR477">
        <f>IFERROR(INDEX(PP_Grid[#Data],$DD477,42),0)</f>
        <v/>
      </c>
      <c r="AS477">
        <f>IFERROR(INDEX(PP_Grid[#Data],$DD477,43),0)</f>
        <v/>
      </c>
      <c r="AT477">
        <f>IFERROR(INDEX(PP_Grid[#Data],$DD477,44),0)</f>
        <v/>
      </c>
      <c r="AU477">
        <f>IFERROR(INDEX(PP_Grid[#Data],$DD477,45),0)</f>
        <v/>
      </c>
      <c r="AV477">
        <f>IFERROR(INDEX(PP_Grid[#Data],$DD477,46),0)</f>
        <v/>
      </c>
      <c r="AW477">
        <f>IFERROR(INDEX(PP_Grid[#Data],$DD477,47),0)</f>
        <v/>
      </c>
      <c r="AX477">
        <f>IFERROR(INDEX(PP_Grid[#Data],$DD477,48),0)</f>
        <v/>
      </c>
      <c r="AY477">
        <f>IFERROR(INDEX(PP_Grid[#Data],$DD477,49),0)</f>
        <v/>
      </c>
      <c r="AZ477">
        <f>IFERROR(INDEX(PP_Grid[#Data],$DD477,50),0)</f>
        <v/>
      </c>
      <c r="BA477">
        <f>IFERROR(INDEX(PP_Grid[#Data],$DD477,51),0)</f>
        <v/>
      </c>
      <c r="BB477">
        <f>IFERROR(INDEX(PP_Grid[#Data],$DD477,52),0)</f>
        <v/>
      </c>
      <c r="BC477">
        <f>IFERROR(INDEX(PP_Grid[#Data],$DD477,53),0)</f>
        <v/>
      </c>
      <c r="BD477">
        <f>IFERROR(INDEX(PP_Grid[#Data],$DD477,54),0)</f>
        <v/>
      </c>
      <c r="BE477">
        <f>IFERROR(INDEX(PP_Grid[#Data],$DD477,55),0)</f>
        <v/>
      </c>
      <c r="BF477">
        <f>IFERROR(INDEX(PP_Grid[#Data],$DD477,56),0)</f>
        <v/>
      </c>
      <c r="BG477">
        <f>IFERROR(INDEX(PP_Grid[#Data],$DD477,57),0)</f>
        <v/>
      </c>
      <c r="BH477">
        <f>IFERROR(INDEX(PP_Grid[#Data],$DD477,58),0)</f>
        <v/>
      </c>
      <c r="BI477">
        <f>IFERROR(INDEX(PP_Grid[#Data],$DD477,59),0)</f>
        <v/>
      </c>
      <c r="BJ477">
        <f>IFERROR(INDEX(PP_Grid[#Data],$DD477,60),0)</f>
        <v/>
      </c>
      <c r="BK477">
        <f>IFERROR(INDEX(PP_Grid[#Data],$DD477,61),0)</f>
        <v/>
      </c>
      <c r="BL477">
        <f>IFERROR(INDEX(PP_Grid[#Data],$DD477,62),0)</f>
        <v/>
      </c>
      <c r="BM477">
        <f>IFERROR(INDEX(PP_Grid[#Data],$DD477,63),0)</f>
        <v/>
      </c>
      <c r="BN477">
        <f>IFERROR(INDEX(PP_Grid[#Data],$DD477,64),0)</f>
        <v/>
      </c>
      <c r="BO477">
        <f>IFERROR(INDEX(PP_Grid[#Data],$DD477,65),0)</f>
        <v/>
      </c>
      <c r="BP477">
        <f>IFERROR(INDEX(PP_Grid[#Data],$DD477,66),0)</f>
        <v/>
      </c>
      <c r="BQ477">
        <f>IFERROR(INDEX(PP_Grid[#Data],$DD477,67),0)</f>
        <v/>
      </c>
      <c r="BR477">
        <f>IFERROR(INDEX(PP_Grid[#Data],$DD477,68),0)</f>
        <v/>
      </c>
      <c r="BS477">
        <f>IFERROR(INDEX(PP_Grid[#Data],$DD477,69),0)</f>
        <v/>
      </c>
      <c r="BT477">
        <f>IFERROR(INDEX(PP_Grid[#Data],$DD477,70),0)</f>
        <v/>
      </c>
      <c r="BU477">
        <f>IFERROR(INDEX(PP_Grid[#Data],$DD477,71),0)</f>
        <v/>
      </c>
      <c r="BV477">
        <f>IFERROR(INDEX(PP_Grid[#Data],$DD477,72),0)</f>
        <v/>
      </c>
      <c r="BW477">
        <f>IFERROR(INDEX(PP_Grid[#Data],$DD477,73),0)</f>
        <v/>
      </c>
      <c r="BX477">
        <f>IFERROR(INDEX(PP_Grid[#Data],$DD477,74),0)</f>
        <v/>
      </c>
      <c r="BY477">
        <f>IFERROR(INDEX(PP_Grid[#Data],$DD477,75),0)</f>
        <v/>
      </c>
      <c r="BZ477">
        <f>IFERROR(INDEX(PP_Grid[#Data],$DD477,76),0)</f>
        <v/>
      </c>
      <c r="CA477">
        <f>IFERROR(INDEX(PP_Grid[#Data],$DD477,77),0)</f>
        <v/>
      </c>
      <c r="CB477">
        <f>IFERROR(INDEX(PP_Grid[#Data],$DD477,78),0)</f>
        <v/>
      </c>
      <c r="CC477">
        <f>IFERROR(INDEX(PP_Grid[#Data],$DD477,79),0)</f>
        <v/>
      </c>
      <c r="CD477">
        <f>IFERROR(INDEX(PP_Grid[#Data],$DD477,80),0)</f>
        <v/>
      </c>
      <c r="CE477">
        <f>IFERROR(INDEX(PP_Grid[#Data],$DD477,81),0)</f>
        <v/>
      </c>
      <c r="CF477">
        <f>IFERROR(INDEX(PP_Grid[#Data],$DD477,82),0)</f>
        <v/>
      </c>
      <c r="CG477">
        <f>IFERROR(INDEX(PP_Grid[#Data],$DD477,83),0)</f>
        <v/>
      </c>
      <c r="CH477">
        <f>IFERROR(INDEX(PP_Grid[#Data],$DD477,84),0)</f>
        <v/>
      </c>
      <c r="CI477">
        <f>IFERROR(INDEX(PP_Grid[#Data],$DD477,85),0)</f>
        <v/>
      </c>
      <c r="CJ477">
        <f>IFERROR(INDEX(PP_Grid[#Data],$DD477,86),0)</f>
        <v/>
      </c>
      <c r="CK477">
        <f>IFERROR(INDEX(PP_Grid[#Data],$DD477,87),0)</f>
        <v/>
      </c>
      <c r="CL477">
        <f>IFERROR(INDEX(PP_Grid[#Data],$DD477,88),0)</f>
        <v/>
      </c>
      <c r="CM477">
        <f>IFERROR(INDEX(PP_Grid[#Data],$DD477,89),0)</f>
        <v/>
      </c>
      <c r="CN477">
        <f>IFERROR(INDEX(PP_Grid[#Data],$DD477,90),0)</f>
        <v/>
      </c>
      <c r="CO477">
        <f>IFERROR(INDEX(PP_Grid[#Data],$DD477,91),0)</f>
        <v/>
      </c>
      <c r="CP477">
        <f>IFERROR(INDEX(PP_Grid[#Data],$DD477,92),0)</f>
        <v/>
      </c>
      <c r="CQ477">
        <f>IFERROR(INDEX(PP_Grid[#Data],$DD477,93),0)</f>
        <v/>
      </c>
      <c r="CR477">
        <f>IFERROR(INDEX(PP_Grid[#Data],$DD477,94),0)</f>
        <v/>
      </c>
      <c r="CS477">
        <f>IFERROR(INDEX(PP_Grid[#Data],$DD477,95),0)</f>
        <v/>
      </c>
      <c r="CT477">
        <f>IFERROR(INDEX(PP_Grid[#Data],$DD477,96),0)</f>
        <v/>
      </c>
      <c r="CU477">
        <f>IFERROR(INDEX(PP_Grid[#Data],$DD477,97),0)</f>
        <v/>
      </c>
      <c r="CV477">
        <f>IFERROR(INDEX(PP_Grid[#Data],$DD477,98),0)</f>
        <v/>
      </c>
      <c r="CW477">
        <f>IFERROR(INDEX(PP_Grid[#Data],$DD477,99),0)</f>
        <v/>
      </c>
      <c r="CX477">
        <f>IFERROR(INDEX(PP_Grid[#Data],$DD477,100),0)</f>
        <v/>
      </c>
      <c r="CY477">
        <f>IFERROR(INDEX(PP_Grid[#Data],$DD477,101),0)</f>
        <v/>
      </c>
      <c r="CZ477">
        <f>IFERROR(INDEX(PP_Grid[#Data],$DD477,102),0)</f>
        <v/>
      </c>
      <c r="DA477">
        <f>IFERROR(INDEX(PP_Grid[#Data],$DD477,103),0)</f>
        <v/>
      </c>
      <c r="DB477">
        <f>IFERROR(INDEX(PP_Grid[#Data],$DD477,104),0)</f>
        <v/>
      </c>
      <c r="DC477">
        <f>IFERROR(INDEX(PP_Grid[#Data],$DD477,105),0)</f>
        <v/>
      </c>
      <c r="DD477" s="12">
        <f>IFERROR(MATCH($B477,PP_Grid[Intermediate],0),99999)</f>
        <v/>
      </c>
    </row>
    <row r="478">
      <c r="B478" t="inlineStr">
        <is>
          <t>使用量(kg)</t>
        </is>
      </c>
      <c r="C478">
        <f>SUMIFS(M_BOM[RM_Qty_Per_Batch],M_BOM[Intermediate],$B477,M_BOM[Part Name],$A406)</f>
        <v/>
      </c>
      <c r="D478">
        <f>$C478*D477</f>
        <v/>
      </c>
      <c r="E478">
        <f>$C478*E477</f>
        <v/>
      </c>
      <c r="F478">
        <f>$C478*F477</f>
        <v/>
      </c>
      <c r="G478">
        <f>$C478*G477</f>
        <v/>
      </c>
      <c r="H478">
        <f>$C478*H477</f>
        <v/>
      </c>
      <c r="I478">
        <f>$C478*I477</f>
        <v/>
      </c>
      <c r="J478">
        <f>$C478*J477</f>
        <v/>
      </c>
      <c r="K478">
        <f>$C478*K477</f>
        <v/>
      </c>
      <c r="L478">
        <f>$C478*L477</f>
        <v/>
      </c>
      <c r="M478">
        <f>$C478*M477</f>
        <v/>
      </c>
      <c r="N478">
        <f>$C478*N477</f>
        <v/>
      </c>
      <c r="O478">
        <f>$C478*O477</f>
        <v/>
      </c>
      <c r="P478">
        <f>$C478*P477</f>
        <v/>
      </c>
      <c r="Q478">
        <f>$C478*Q477</f>
        <v/>
      </c>
      <c r="R478">
        <f>$C478*R477</f>
        <v/>
      </c>
      <c r="S478">
        <f>$C478*S477</f>
        <v/>
      </c>
      <c r="T478">
        <f>$C478*T477</f>
        <v/>
      </c>
      <c r="U478">
        <f>$C478*U477</f>
        <v/>
      </c>
      <c r="V478">
        <f>$C478*V477</f>
        <v/>
      </c>
      <c r="W478">
        <f>$C478*W477</f>
        <v/>
      </c>
      <c r="X478">
        <f>$C478*X477</f>
        <v/>
      </c>
      <c r="Y478">
        <f>$C478*Y477</f>
        <v/>
      </c>
      <c r="Z478">
        <f>$C478*Z477</f>
        <v/>
      </c>
      <c r="AA478">
        <f>$C478*AA477</f>
        <v/>
      </c>
      <c r="AB478">
        <f>$C478*AB477</f>
        <v/>
      </c>
      <c r="AC478">
        <f>$C478*AC477</f>
        <v/>
      </c>
      <c r="AD478">
        <f>$C478*AD477</f>
        <v/>
      </c>
      <c r="AE478">
        <f>$C478*AE477</f>
        <v/>
      </c>
      <c r="AF478">
        <f>$C478*AF477</f>
        <v/>
      </c>
      <c r="AG478">
        <f>$C478*AG477</f>
        <v/>
      </c>
      <c r="AH478">
        <f>$C478*AH477</f>
        <v/>
      </c>
      <c r="AI478">
        <f>$C478*AI477</f>
        <v/>
      </c>
      <c r="AJ478">
        <f>$C478*AJ477</f>
        <v/>
      </c>
      <c r="AK478">
        <f>$C478*AK477</f>
        <v/>
      </c>
      <c r="AL478">
        <f>$C478*AL477</f>
        <v/>
      </c>
      <c r="AM478">
        <f>$C478*AM477</f>
        <v/>
      </c>
      <c r="AN478">
        <f>$C478*AN477</f>
        <v/>
      </c>
      <c r="AO478">
        <f>$C478*AO477</f>
        <v/>
      </c>
      <c r="AP478">
        <f>$C478*AP477</f>
        <v/>
      </c>
      <c r="AQ478">
        <f>$C478*AQ477</f>
        <v/>
      </c>
      <c r="AR478">
        <f>$C478*AR477</f>
        <v/>
      </c>
      <c r="AS478">
        <f>$C478*AS477</f>
        <v/>
      </c>
      <c r="AT478">
        <f>$C478*AT477</f>
        <v/>
      </c>
      <c r="AU478">
        <f>$C478*AU477</f>
        <v/>
      </c>
      <c r="AV478">
        <f>$C478*AV477</f>
        <v/>
      </c>
      <c r="AW478">
        <f>$C478*AW477</f>
        <v/>
      </c>
      <c r="AX478">
        <f>$C478*AX477</f>
        <v/>
      </c>
      <c r="AY478">
        <f>$C478*AY477</f>
        <v/>
      </c>
      <c r="AZ478">
        <f>$C478*AZ477</f>
        <v/>
      </c>
      <c r="BA478">
        <f>$C478*BA477</f>
        <v/>
      </c>
      <c r="BB478">
        <f>$C478*BB477</f>
        <v/>
      </c>
      <c r="BC478">
        <f>$C478*BC477</f>
        <v/>
      </c>
      <c r="BD478">
        <f>$C478*BD477</f>
        <v/>
      </c>
      <c r="BE478">
        <f>$C478*BE477</f>
        <v/>
      </c>
      <c r="BF478">
        <f>$C478*BF477</f>
        <v/>
      </c>
      <c r="BG478">
        <f>$C478*BG477</f>
        <v/>
      </c>
      <c r="BH478">
        <f>$C478*BH477</f>
        <v/>
      </c>
      <c r="BI478">
        <f>$C478*BI477</f>
        <v/>
      </c>
      <c r="BJ478">
        <f>$C478*BJ477</f>
        <v/>
      </c>
      <c r="BK478">
        <f>$C478*BK477</f>
        <v/>
      </c>
      <c r="BL478">
        <f>$C478*BL477</f>
        <v/>
      </c>
      <c r="BM478">
        <f>$C478*BM477</f>
        <v/>
      </c>
      <c r="BN478">
        <f>$C478*BN477</f>
        <v/>
      </c>
      <c r="BO478">
        <f>$C478*BO477</f>
        <v/>
      </c>
      <c r="BP478">
        <f>$C478*BP477</f>
        <v/>
      </c>
      <c r="BQ478">
        <f>$C478*BQ477</f>
        <v/>
      </c>
      <c r="BR478">
        <f>$C478*BR477</f>
        <v/>
      </c>
      <c r="BS478">
        <f>$C478*BS477</f>
        <v/>
      </c>
      <c r="BT478">
        <f>$C478*BT477</f>
        <v/>
      </c>
      <c r="BU478">
        <f>$C478*BU477</f>
        <v/>
      </c>
      <c r="BV478">
        <f>$C478*BV477</f>
        <v/>
      </c>
      <c r="BW478">
        <f>$C478*BW477</f>
        <v/>
      </c>
      <c r="BX478">
        <f>$C478*BX477</f>
        <v/>
      </c>
      <c r="BY478">
        <f>$C478*BY477</f>
        <v/>
      </c>
      <c r="BZ478">
        <f>$C478*BZ477</f>
        <v/>
      </c>
      <c r="CA478">
        <f>$C478*CA477</f>
        <v/>
      </c>
      <c r="CB478">
        <f>$C478*CB477</f>
        <v/>
      </c>
      <c r="CC478">
        <f>$C478*CC477</f>
        <v/>
      </c>
      <c r="CD478">
        <f>$C478*CD477</f>
        <v/>
      </c>
      <c r="CE478">
        <f>$C478*CE477</f>
        <v/>
      </c>
      <c r="CF478">
        <f>$C478*CF477</f>
        <v/>
      </c>
      <c r="CG478">
        <f>$C478*CG477</f>
        <v/>
      </c>
      <c r="CH478">
        <f>$C478*CH477</f>
        <v/>
      </c>
      <c r="CI478">
        <f>$C478*CI477</f>
        <v/>
      </c>
      <c r="CJ478">
        <f>$C478*CJ477</f>
        <v/>
      </c>
      <c r="CK478">
        <f>$C478*CK477</f>
        <v/>
      </c>
      <c r="CL478">
        <f>$C478*CL477</f>
        <v/>
      </c>
      <c r="CM478">
        <f>$C478*CM477</f>
        <v/>
      </c>
      <c r="CN478">
        <f>$C478*CN477</f>
        <v/>
      </c>
      <c r="CO478">
        <f>$C478*CO477</f>
        <v/>
      </c>
      <c r="CP478">
        <f>$C478*CP477</f>
        <v/>
      </c>
      <c r="CQ478">
        <f>$C478*CQ477</f>
        <v/>
      </c>
      <c r="CR478">
        <f>$C478*CR477</f>
        <v/>
      </c>
      <c r="CS478">
        <f>$C478*CS477</f>
        <v/>
      </c>
      <c r="CT478">
        <f>$C478*CT477</f>
        <v/>
      </c>
      <c r="CU478">
        <f>$C478*CU477</f>
        <v/>
      </c>
      <c r="CV478">
        <f>$C478*CV477</f>
        <v/>
      </c>
      <c r="CW478">
        <f>$C478*CW477</f>
        <v/>
      </c>
      <c r="CX478">
        <f>$C478*CX477</f>
        <v/>
      </c>
      <c r="CY478">
        <f>$C478*CY477</f>
        <v/>
      </c>
      <c r="CZ478">
        <f>$C478*CZ477</f>
        <v/>
      </c>
      <c r="DA478">
        <f>$C478*DA477</f>
        <v/>
      </c>
      <c r="DB478">
        <f>$C478*DB477</f>
        <v/>
      </c>
      <c r="DC478">
        <f>$C478*DC477</f>
        <v/>
      </c>
    </row>
    <row r="479">
      <c r="B479" t="inlineStr">
        <is>
          <t>TSP-936</t>
        </is>
      </c>
      <c r="C479" t="inlineStr">
        <is>
          <t>No. of batches</t>
        </is>
      </c>
      <c r="D479">
        <f>IFERROR(INDEX(PP_Grid[#Data],$DD479,2),0)</f>
        <v/>
      </c>
      <c r="E479">
        <f>IFERROR(INDEX(PP_Grid[#Data],$DD479,3),0)</f>
        <v/>
      </c>
      <c r="F479">
        <f>IFERROR(INDEX(PP_Grid[#Data],$DD479,4),0)</f>
        <v/>
      </c>
      <c r="G479">
        <f>IFERROR(INDEX(PP_Grid[#Data],$DD479,5),0)</f>
        <v/>
      </c>
      <c r="H479">
        <f>IFERROR(INDEX(PP_Grid[#Data],$DD479,6),0)</f>
        <v/>
      </c>
      <c r="I479">
        <f>IFERROR(INDEX(PP_Grid[#Data],$DD479,7),0)</f>
        <v/>
      </c>
      <c r="J479">
        <f>IFERROR(INDEX(PP_Grid[#Data],$DD479,8),0)</f>
        <v/>
      </c>
      <c r="K479">
        <f>IFERROR(INDEX(PP_Grid[#Data],$DD479,9),0)</f>
        <v/>
      </c>
      <c r="L479">
        <f>IFERROR(INDEX(PP_Grid[#Data],$DD479,10),0)</f>
        <v/>
      </c>
      <c r="M479">
        <f>IFERROR(INDEX(PP_Grid[#Data],$DD479,11),0)</f>
        <v/>
      </c>
      <c r="N479">
        <f>IFERROR(INDEX(PP_Grid[#Data],$DD479,12),0)</f>
        <v/>
      </c>
      <c r="O479">
        <f>IFERROR(INDEX(PP_Grid[#Data],$DD479,13),0)</f>
        <v/>
      </c>
      <c r="P479">
        <f>IFERROR(INDEX(PP_Grid[#Data],$DD479,14),0)</f>
        <v/>
      </c>
      <c r="Q479">
        <f>IFERROR(INDEX(PP_Grid[#Data],$DD479,15),0)</f>
        <v/>
      </c>
      <c r="R479">
        <f>IFERROR(INDEX(PP_Grid[#Data],$DD479,16),0)</f>
        <v/>
      </c>
      <c r="S479">
        <f>IFERROR(INDEX(PP_Grid[#Data],$DD479,17),0)</f>
        <v/>
      </c>
      <c r="T479">
        <f>IFERROR(INDEX(PP_Grid[#Data],$DD479,18),0)</f>
        <v/>
      </c>
      <c r="U479">
        <f>IFERROR(INDEX(PP_Grid[#Data],$DD479,19),0)</f>
        <v/>
      </c>
      <c r="V479">
        <f>IFERROR(INDEX(PP_Grid[#Data],$DD479,20),0)</f>
        <v/>
      </c>
      <c r="W479">
        <f>IFERROR(INDEX(PP_Grid[#Data],$DD479,21),0)</f>
        <v/>
      </c>
      <c r="X479">
        <f>IFERROR(INDEX(PP_Grid[#Data],$DD479,22),0)</f>
        <v/>
      </c>
      <c r="Y479">
        <f>IFERROR(INDEX(PP_Grid[#Data],$DD479,23),0)</f>
        <v/>
      </c>
      <c r="Z479">
        <f>IFERROR(INDEX(PP_Grid[#Data],$DD479,24),0)</f>
        <v/>
      </c>
      <c r="AA479">
        <f>IFERROR(INDEX(PP_Grid[#Data],$DD479,25),0)</f>
        <v/>
      </c>
      <c r="AB479">
        <f>IFERROR(INDEX(PP_Grid[#Data],$DD479,26),0)</f>
        <v/>
      </c>
      <c r="AC479">
        <f>IFERROR(INDEX(PP_Grid[#Data],$DD479,27),0)</f>
        <v/>
      </c>
      <c r="AD479">
        <f>IFERROR(INDEX(PP_Grid[#Data],$DD479,28),0)</f>
        <v/>
      </c>
      <c r="AE479">
        <f>IFERROR(INDEX(PP_Grid[#Data],$DD479,29),0)</f>
        <v/>
      </c>
      <c r="AF479">
        <f>IFERROR(INDEX(PP_Grid[#Data],$DD479,30),0)</f>
        <v/>
      </c>
      <c r="AG479">
        <f>IFERROR(INDEX(PP_Grid[#Data],$DD479,31),0)</f>
        <v/>
      </c>
      <c r="AH479">
        <f>IFERROR(INDEX(PP_Grid[#Data],$DD479,32),0)</f>
        <v/>
      </c>
      <c r="AI479">
        <f>IFERROR(INDEX(PP_Grid[#Data],$DD479,33),0)</f>
        <v/>
      </c>
      <c r="AJ479">
        <f>IFERROR(INDEX(PP_Grid[#Data],$DD479,34),0)</f>
        <v/>
      </c>
      <c r="AK479">
        <f>IFERROR(INDEX(PP_Grid[#Data],$DD479,35),0)</f>
        <v/>
      </c>
      <c r="AL479">
        <f>IFERROR(INDEX(PP_Grid[#Data],$DD479,36),0)</f>
        <v/>
      </c>
      <c r="AM479">
        <f>IFERROR(INDEX(PP_Grid[#Data],$DD479,37),0)</f>
        <v/>
      </c>
      <c r="AN479">
        <f>IFERROR(INDEX(PP_Grid[#Data],$DD479,38),0)</f>
        <v/>
      </c>
      <c r="AO479">
        <f>IFERROR(INDEX(PP_Grid[#Data],$DD479,39),0)</f>
        <v/>
      </c>
      <c r="AP479">
        <f>IFERROR(INDEX(PP_Grid[#Data],$DD479,40),0)</f>
        <v/>
      </c>
      <c r="AQ479">
        <f>IFERROR(INDEX(PP_Grid[#Data],$DD479,41),0)</f>
        <v/>
      </c>
      <c r="AR479">
        <f>IFERROR(INDEX(PP_Grid[#Data],$DD479,42),0)</f>
        <v/>
      </c>
      <c r="AS479">
        <f>IFERROR(INDEX(PP_Grid[#Data],$DD479,43),0)</f>
        <v/>
      </c>
      <c r="AT479">
        <f>IFERROR(INDEX(PP_Grid[#Data],$DD479,44),0)</f>
        <v/>
      </c>
      <c r="AU479">
        <f>IFERROR(INDEX(PP_Grid[#Data],$DD479,45),0)</f>
        <v/>
      </c>
      <c r="AV479">
        <f>IFERROR(INDEX(PP_Grid[#Data],$DD479,46),0)</f>
        <v/>
      </c>
      <c r="AW479">
        <f>IFERROR(INDEX(PP_Grid[#Data],$DD479,47),0)</f>
        <v/>
      </c>
      <c r="AX479">
        <f>IFERROR(INDEX(PP_Grid[#Data],$DD479,48),0)</f>
        <v/>
      </c>
      <c r="AY479">
        <f>IFERROR(INDEX(PP_Grid[#Data],$DD479,49),0)</f>
        <v/>
      </c>
      <c r="AZ479">
        <f>IFERROR(INDEX(PP_Grid[#Data],$DD479,50),0)</f>
        <v/>
      </c>
      <c r="BA479">
        <f>IFERROR(INDEX(PP_Grid[#Data],$DD479,51),0)</f>
        <v/>
      </c>
      <c r="BB479">
        <f>IFERROR(INDEX(PP_Grid[#Data],$DD479,52),0)</f>
        <v/>
      </c>
      <c r="BC479">
        <f>IFERROR(INDEX(PP_Grid[#Data],$DD479,53),0)</f>
        <v/>
      </c>
      <c r="BD479">
        <f>IFERROR(INDEX(PP_Grid[#Data],$DD479,54),0)</f>
        <v/>
      </c>
      <c r="BE479">
        <f>IFERROR(INDEX(PP_Grid[#Data],$DD479,55),0)</f>
        <v/>
      </c>
      <c r="BF479">
        <f>IFERROR(INDEX(PP_Grid[#Data],$DD479,56),0)</f>
        <v/>
      </c>
      <c r="BG479">
        <f>IFERROR(INDEX(PP_Grid[#Data],$DD479,57),0)</f>
        <v/>
      </c>
      <c r="BH479">
        <f>IFERROR(INDEX(PP_Grid[#Data],$DD479,58),0)</f>
        <v/>
      </c>
      <c r="BI479">
        <f>IFERROR(INDEX(PP_Grid[#Data],$DD479,59),0)</f>
        <v/>
      </c>
      <c r="BJ479">
        <f>IFERROR(INDEX(PP_Grid[#Data],$DD479,60),0)</f>
        <v/>
      </c>
      <c r="BK479">
        <f>IFERROR(INDEX(PP_Grid[#Data],$DD479,61),0)</f>
        <v/>
      </c>
      <c r="BL479">
        <f>IFERROR(INDEX(PP_Grid[#Data],$DD479,62),0)</f>
        <v/>
      </c>
      <c r="BM479">
        <f>IFERROR(INDEX(PP_Grid[#Data],$DD479,63),0)</f>
        <v/>
      </c>
      <c r="BN479">
        <f>IFERROR(INDEX(PP_Grid[#Data],$DD479,64),0)</f>
        <v/>
      </c>
      <c r="BO479">
        <f>IFERROR(INDEX(PP_Grid[#Data],$DD479,65),0)</f>
        <v/>
      </c>
      <c r="BP479">
        <f>IFERROR(INDEX(PP_Grid[#Data],$DD479,66),0)</f>
        <v/>
      </c>
      <c r="BQ479">
        <f>IFERROR(INDEX(PP_Grid[#Data],$DD479,67),0)</f>
        <v/>
      </c>
      <c r="BR479">
        <f>IFERROR(INDEX(PP_Grid[#Data],$DD479,68),0)</f>
        <v/>
      </c>
      <c r="BS479">
        <f>IFERROR(INDEX(PP_Grid[#Data],$DD479,69),0)</f>
        <v/>
      </c>
      <c r="BT479">
        <f>IFERROR(INDEX(PP_Grid[#Data],$DD479,70),0)</f>
        <v/>
      </c>
      <c r="BU479">
        <f>IFERROR(INDEX(PP_Grid[#Data],$DD479,71),0)</f>
        <v/>
      </c>
      <c r="BV479">
        <f>IFERROR(INDEX(PP_Grid[#Data],$DD479,72),0)</f>
        <v/>
      </c>
      <c r="BW479">
        <f>IFERROR(INDEX(PP_Grid[#Data],$DD479,73),0)</f>
        <v/>
      </c>
      <c r="BX479">
        <f>IFERROR(INDEX(PP_Grid[#Data],$DD479,74),0)</f>
        <v/>
      </c>
      <c r="BY479">
        <f>IFERROR(INDEX(PP_Grid[#Data],$DD479,75),0)</f>
        <v/>
      </c>
      <c r="BZ479">
        <f>IFERROR(INDEX(PP_Grid[#Data],$DD479,76),0)</f>
        <v/>
      </c>
      <c r="CA479">
        <f>IFERROR(INDEX(PP_Grid[#Data],$DD479,77),0)</f>
        <v/>
      </c>
      <c r="CB479">
        <f>IFERROR(INDEX(PP_Grid[#Data],$DD479,78),0)</f>
        <v/>
      </c>
      <c r="CC479">
        <f>IFERROR(INDEX(PP_Grid[#Data],$DD479,79),0)</f>
        <v/>
      </c>
      <c r="CD479">
        <f>IFERROR(INDEX(PP_Grid[#Data],$DD479,80),0)</f>
        <v/>
      </c>
      <c r="CE479">
        <f>IFERROR(INDEX(PP_Grid[#Data],$DD479,81),0)</f>
        <v/>
      </c>
      <c r="CF479">
        <f>IFERROR(INDEX(PP_Grid[#Data],$DD479,82),0)</f>
        <v/>
      </c>
      <c r="CG479">
        <f>IFERROR(INDEX(PP_Grid[#Data],$DD479,83),0)</f>
        <v/>
      </c>
      <c r="CH479">
        <f>IFERROR(INDEX(PP_Grid[#Data],$DD479,84),0)</f>
        <v/>
      </c>
      <c r="CI479">
        <f>IFERROR(INDEX(PP_Grid[#Data],$DD479,85),0)</f>
        <v/>
      </c>
      <c r="CJ479">
        <f>IFERROR(INDEX(PP_Grid[#Data],$DD479,86),0)</f>
        <v/>
      </c>
      <c r="CK479">
        <f>IFERROR(INDEX(PP_Grid[#Data],$DD479,87),0)</f>
        <v/>
      </c>
      <c r="CL479">
        <f>IFERROR(INDEX(PP_Grid[#Data],$DD479,88),0)</f>
        <v/>
      </c>
      <c r="CM479">
        <f>IFERROR(INDEX(PP_Grid[#Data],$DD479,89),0)</f>
        <v/>
      </c>
      <c r="CN479">
        <f>IFERROR(INDEX(PP_Grid[#Data],$DD479,90),0)</f>
        <v/>
      </c>
      <c r="CO479">
        <f>IFERROR(INDEX(PP_Grid[#Data],$DD479,91),0)</f>
        <v/>
      </c>
      <c r="CP479">
        <f>IFERROR(INDEX(PP_Grid[#Data],$DD479,92),0)</f>
        <v/>
      </c>
      <c r="CQ479">
        <f>IFERROR(INDEX(PP_Grid[#Data],$DD479,93),0)</f>
        <v/>
      </c>
      <c r="CR479">
        <f>IFERROR(INDEX(PP_Grid[#Data],$DD479,94),0)</f>
        <v/>
      </c>
      <c r="CS479">
        <f>IFERROR(INDEX(PP_Grid[#Data],$DD479,95),0)</f>
        <v/>
      </c>
      <c r="CT479">
        <f>IFERROR(INDEX(PP_Grid[#Data],$DD479,96),0)</f>
        <v/>
      </c>
      <c r="CU479">
        <f>IFERROR(INDEX(PP_Grid[#Data],$DD479,97),0)</f>
        <v/>
      </c>
      <c r="CV479">
        <f>IFERROR(INDEX(PP_Grid[#Data],$DD479,98),0)</f>
        <v/>
      </c>
      <c r="CW479">
        <f>IFERROR(INDEX(PP_Grid[#Data],$DD479,99),0)</f>
        <v/>
      </c>
      <c r="CX479">
        <f>IFERROR(INDEX(PP_Grid[#Data],$DD479,100),0)</f>
        <v/>
      </c>
      <c r="CY479">
        <f>IFERROR(INDEX(PP_Grid[#Data],$DD479,101),0)</f>
        <v/>
      </c>
      <c r="CZ479">
        <f>IFERROR(INDEX(PP_Grid[#Data],$DD479,102),0)</f>
        <v/>
      </c>
      <c r="DA479">
        <f>IFERROR(INDEX(PP_Grid[#Data],$DD479,103),0)</f>
        <v/>
      </c>
      <c r="DB479">
        <f>IFERROR(INDEX(PP_Grid[#Data],$DD479,104),0)</f>
        <v/>
      </c>
      <c r="DC479">
        <f>IFERROR(INDEX(PP_Grid[#Data],$DD479,105),0)</f>
        <v/>
      </c>
      <c r="DD479" s="12">
        <f>IFERROR(MATCH($B479,PP_Grid[Intermediate],0),99999)</f>
        <v/>
      </c>
    </row>
    <row r="480">
      <c r="B480" t="inlineStr">
        <is>
          <t>使用量(kg)</t>
        </is>
      </c>
      <c r="C480">
        <f>SUMIFS(M_BOM[RM_Qty_Per_Batch],M_BOM[Intermediate],$B479,M_BOM[Part Name],$A406)</f>
        <v/>
      </c>
      <c r="D480">
        <f>$C480*D479</f>
        <v/>
      </c>
      <c r="E480">
        <f>$C480*E479</f>
        <v/>
      </c>
      <c r="F480">
        <f>$C480*F479</f>
        <v/>
      </c>
      <c r="G480">
        <f>$C480*G479</f>
        <v/>
      </c>
      <c r="H480">
        <f>$C480*H479</f>
        <v/>
      </c>
      <c r="I480">
        <f>$C480*I479</f>
        <v/>
      </c>
      <c r="J480">
        <f>$C480*J479</f>
        <v/>
      </c>
      <c r="K480">
        <f>$C480*K479</f>
        <v/>
      </c>
      <c r="L480">
        <f>$C480*L479</f>
        <v/>
      </c>
      <c r="M480">
        <f>$C480*M479</f>
        <v/>
      </c>
      <c r="N480">
        <f>$C480*N479</f>
        <v/>
      </c>
      <c r="O480">
        <f>$C480*O479</f>
        <v/>
      </c>
      <c r="P480">
        <f>$C480*P479</f>
        <v/>
      </c>
      <c r="Q480">
        <f>$C480*Q479</f>
        <v/>
      </c>
      <c r="R480">
        <f>$C480*R479</f>
        <v/>
      </c>
      <c r="S480">
        <f>$C480*S479</f>
        <v/>
      </c>
      <c r="T480">
        <f>$C480*T479</f>
        <v/>
      </c>
      <c r="U480">
        <f>$C480*U479</f>
        <v/>
      </c>
      <c r="V480">
        <f>$C480*V479</f>
        <v/>
      </c>
      <c r="W480">
        <f>$C480*W479</f>
        <v/>
      </c>
      <c r="X480">
        <f>$C480*X479</f>
        <v/>
      </c>
      <c r="Y480">
        <f>$C480*Y479</f>
        <v/>
      </c>
      <c r="Z480">
        <f>$C480*Z479</f>
        <v/>
      </c>
      <c r="AA480">
        <f>$C480*AA479</f>
        <v/>
      </c>
      <c r="AB480">
        <f>$C480*AB479</f>
        <v/>
      </c>
      <c r="AC480">
        <f>$C480*AC479</f>
        <v/>
      </c>
      <c r="AD480">
        <f>$C480*AD479</f>
        <v/>
      </c>
      <c r="AE480">
        <f>$C480*AE479</f>
        <v/>
      </c>
      <c r="AF480">
        <f>$C480*AF479</f>
        <v/>
      </c>
      <c r="AG480">
        <f>$C480*AG479</f>
        <v/>
      </c>
      <c r="AH480">
        <f>$C480*AH479</f>
        <v/>
      </c>
      <c r="AI480">
        <f>$C480*AI479</f>
        <v/>
      </c>
      <c r="AJ480">
        <f>$C480*AJ479</f>
        <v/>
      </c>
      <c r="AK480">
        <f>$C480*AK479</f>
        <v/>
      </c>
      <c r="AL480">
        <f>$C480*AL479</f>
        <v/>
      </c>
      <c r="AM480">
        <f>$C480*AM479</f>
        <v/>
      </c>
      <c r="AN480">
        <f>$C480*AN479</f>
        <v/>
      </c>
      <c r="AO480">
        <f>$C480*AO479</f>
        <v/>
      </c>
      <c r="AP480">
        <f>$C480*AP479</f>
        <v/>
      </c>
      <c r="AQ480">
        <f>$C480*AQ479</f>
        <v/>
      </c>
      <c r="AR480">
        <f>$C480*AR479</f>
        <v/>
      </c>
      <c r="AS480">
        <f>$C480*AS479</f>
        <v/>
      </c>
      <c r="AT480">
        <f>$C480*AT479</f>
        <v/>
      </c>
      <c r="AU480">
        <f>$C480*AU479</f>
        <v/>
      </c>
      <c r="AV480">
        <f>$C480*AV479</f>
        <v/>
      </c>
      <c r="AW480">
        <f>$C480*AW479</f>
        <v/>
      </c>
      <c r="AX480">
        <f>$C480*AX479</f>
        <v/>
      </c>
      <c r="AY480">
        <f>$C480*AY479</f>
        <v/>
      </c>
      <c r="AZ480">
        <f>$C480*AZ479</f>
        <v/>
      </c>
      <c r="BA480">
        <f>$C480*BA479</f>
        <v/>
      </c>
      <c r="BB480">
        <f>$C480*BB479</f>
        <v/>
      </c>
      <c r="BC480">
        <f>$C480*BC479</f>
        <v/>
      </c>
      <c r="BD480">
        <f>$C480*BD479</f>
        <v/>
      </c>
      <c r="BE480">
        <f>$C480*BE479</f>
        <v/>
      </c>
      <c r="BF480">
        <f>$C480*BF479</f>
        <v/>
      </c>
      <c r="BG480">
        <f>$C480*BG479</f>
        <v/>
      </c>
      <c r="BH480">
        <f>$C480*BH479</f>
        <v/>
      </c>
      <c r="BI480">
        <f>$C480*BI479</f>
        <v/>
      </c>
      <c r="BJ480">
        <f>$C480*BJ479</f>
        <v/>
      </c>
      <c r="BK480">
        <f>$C480*BK479</f>
        <v/>
      </c>
      <c r="BL480">
        <f>$C480*BL479</f>
        <v/>
      </c>
      <c r="BM480">
        <f>$C480*BM479</f>
        <v/>
      </c>
      <c r="BN480">
        <f>$C480*BN479</f>
        <v/>
      </c>
      <c r="BO480">
        <f>$C480*BO479</f>
        <v/>
      </c>
      <c r="BP480">
        <f>$C480*BP479</f>
        <v/>
      </c>
      <c r="BQ480">
        <f>$C480*BQ479</f>
        <v/>
      </c>
      <c r="BR480">
        <f>$C480*BR479</f>
        <v/>
      </c>
      <c r="BS480">
        <f>$C480*BS479</f>
        <v/>
      </c>
      <c r="BT480">
        <f>$C480*BT479</f>
        <v/>
      </c>
      <c r="BU480">
        <f>$C480*BU479</f>
        <v/>
      </c>
      <c r="BV480">
        <f>$C480*BV479</f>
        <v/>
      </c>
      <c r="BW480">
        <f>$C480*BW479</f>
        <v/>
      </c>
      <c r="BX480">
        <f>$C480*BX479</f>
        <v/>
      </c>
      <c r="BY480">
        <f>$C480*BY479</f>
        <v/>
      </c>
      <c r="BZ480">
        <f>$C480*BZ479</f>
        <v/>
      </c>
      <c r="CA480">
        <f>$C480*CA479</f>
        <v/>
      </c>
      <c r="CB480">
        <f>$C480*CB479</f>
        <v/>
      </c>
      <c r="CC480">
        <f>$C480*CC479</f>
        <v/>
      </c>
      <c r="CD480">
        <f>$C480*CD479</f>
        <v/>
      </c>
      <c r="CE480">
        <f>$C480*CE479</f>
        <v/>
      </c>
      <c r="CF480">
        <f>$C480*CF479</f>
        <v/>
      </c>
      <c r="CG480">
        <f>$C480*CG479</f>
        <v/>
      </c>
      <c r="CH480">
        <f>$C480*CH479</f>
        <v/>
      </c>
      <c r="CI480">
        <f>$C480*CI479</f>
        <v/>
      </c>
      <c r="CJ480">
        <f>$C480*CJ479</f>
        <v/>
      </c>
      <c r="CK480">
        <f>$C480*CK479</f>
        <v/>
      </c>
      <c r="CL480">
        <f>$C480*CL479</f>
        <v/>
      </c>
      <c r="CM480">
        <f>$C480*CM479</f>
        <v/>
      </c>
      <c r="CN480">
        <f>$C480*CN479</f>
        <v/>
      </c>
      <c r="CO480">
        <f>$C480*CO479</f>
        <v/>
      </c>
      <c r="CP480">
        <f>$C480*CP479</f>
        <v/>
      </c>
      <c r="CQ480">
        <f>$C480*CQ479</f>
        <v/>
      </c>
      <c r="CR480">
        <f>$C480*CR479</f>
        <v/>
      </c>
      <c r="CS480">
        <f>$C480*CS479</f>
        <v/>
      </c>
      <c r="CT480">
        <f>$C480*CT479</f>
        <v/>
      </c>
      <c r="CU480">
        <f>$C480*CU479</f>
        <v/>
      </c>
      <c r="CV480">
        <f>$C480*CV479</f>
        <v/>
      </c>
      <c r="CW480">
        <f>$C480*CW479</f>
        <v/>
      </c>
      <c r="CX480">
        <f>$C480*CX479</f>
        <v/>
      </c>
      <c r="CY480">
        <f>$C480*CY479</f>
        <v/>
      </c>
      <c r="CZ480">
        <f>$C480*CZ479</f>
        <v/>
      </c>
      <c r="DA480">
        <f>$C480*DA479</f>
        <v/>
      </c>
      <c r="DB480">
        <f>$C480*DB479</f>
        <v/>
      </c>
      <c r="DC480">
        <f>$C480*DC479</f>
        <v/>
      </c>
    </row>
    <row r="481">
      <c r="B481" t="inlineStr">
        <is>
          <t>TSP-937</t>
        </is>
      </c>
      <c r="C481" t="inlineStr">
        <is>
          <t>No. of batches</t>
        </is>
      </c>
      <c r="D481">
        <f>IFERROR(INDEX(PP_Grid[#Data],$DD481,2),0)</f>
        <v/>
      </c>
      <c r="E481">
        <f>IFERROR(INDEX(PP_Grid[#Data],$DD481,3),0)</f>
        <v/>
      </c>
      <c r="F481">
        <f>IFERROR(INDEX(PP_Grid[#Data],$DD481,4),0)</f>
        <v/>
      </c>
      <c r="G481">
        <f>IFERROR(INDEX(PP_Grid[#Data],$DD481,5),0)</f>
        <v/>
      </c>
      <c r="H481">
        <f>IFERROR(INDEX(PP_Grid[#Data],$DD481,6),0)</f>
        <v/>
      </c>
      <c r="I481">
        <f>IFERROR(INDEX(PP_Grid[#Data],$DD481,7),0)</f>
        <v/>
      </c>
      <c r="J481">
        <f>IFERROR(INDEX(PP_Grid[#Data],$DD481,8),0)</f>
        <v/>
      </c>
      <c r="K481">
        <f>IFERROR(INDEX(PP_Grid[#Data],$DD481,9),0)</f>
        <v/>
      </c>
      <c r="L481">
        <f>IFERROR(INDEX(PP_Grid[#Data],$DD481,10),0)</f>
        <v/>
      </c>
      <c r="M481">
        <f>IFERROR(INDEX(PP_Grid[#Data],$DD481,11),0)</f>
        <v/>
      </c>
      <c r="N481">
        <f>IFERROR(INDEX(PP_Grid[#Data],$DD481,12),0)</f>
        <v/>
      </c>
      <c r="O481">
        <f>IFERROR(INDEX(PP_Grid[#Data],$DD481,13),0)</f>
        <v/>
      </c>
      <c r="P481">
        <f>IFERROR(INDEX(PP_Grid[#Data],$DD481,14),0)</f>
        <v/>
      </c>
      <c r="Q481">
        <f>IFERROR(INDEX(PP_Grid[#Data],$DD481,15),0)</f>
        <v/>
      </c>
      <c r="R481">
        <f>IFERROR(INDEX(PP_Grid[#Data],$DD481,16),0)</f>
        <v/>
      </c>
      <c r="S481">
        <f>IFERROR(INDEX(PP_Grid[#Data],$DD481,17),0)</f>
        <v/>
      </c>
      <c r="T481">
        <f>IFERROR(INDEX(PP_Grid[#Data],$DD481,18),0)</f>
        <v/>
      </c>
      <c r="U481">
        <f>IFERROR(INDEX(PP_Grid[#Data],$DD481,19),0)</f>
        <v/>
      </c>
      <c r="V481">
        <f>IFERROR(INDEX(PP_Grid[#Data],$DD481,20),0)</f>
        <v/>
      </c>
      <c r="W481">
        <f>IFERROR(INDEX(PP_Grid[#Data],$DD481,21),0)</f>
        <v/>
      </c>
      <c r="X481">
        <f>IFERROR(INDEX(PP_Grid[#Data],$DD481,22),0)</f>
        <v/>
      </c>
      <c r="Y481">
        <f>IFERROR(INDEX(PP_Grid[#Data],$DD481,23),0)</f>
        <v/>
      </c>
      <c r="Z481">
        <f>IFERROR(INDEX(PP_Grid[#Data],$DD481,24),0)</f>
        <v/>
      </c>
      <c r="AA481">
        <f>IFERROR(INDEX(PP_Grid[#Data],$DD481,25),0)</f>
        <v/>
      </c>
      <c r="AB481">
        <f>IFERROR(INDEX(PP_Grid[#Data],$DD481,26),0)</f>
        <v/>
      </c>
      <c r="AC481">
        <f>IFERROR(INDEX(PP_Grid[#Data],$DD481,27),0)</f>
        <v/>
      </c>
      <c r="AD481">
        <f>IFERROR(INDEX(PP_Grid[#Data],$DD481,28),0)</f>
        <v/>
      </c>
      <c r="AE481">
        <f>IFERROR(INDEX(PP_Grid[#Data],$DD481,29),0)</f>
        <v/>
      </c>
      <c r="AF481">
        <f>IFERROR(INDEX(PP_Grid[#Data],$DD481,30),0)</f>
        <v/>
      </c>
      <c r="AG481">
        <f>IFERROR(INDEX(PP_Grid[#Data],$DD481,31),0)</f>
        <v/>
      </c>
      <c r="AH481">
        <f>IFERROR(INDEX(PP_Grid[#Data],$DD481,32),0)</f>
        <v/>
      </c>
      <c r="AI481">
        <f>IFERROR(INDEX(PP_Grid[#Data],$DD481,33),0)</f>
        <v/>
      </c>
      <c r="AJ481">
        <f>IFERROR(INDEX(PP_Grid[#Data],$DD481,34),0)</f>
        <v/>
      </c>
      <c r="AK481">
        <f>IFERROR(INDEX(PP_Grid[#Data],$DD481,35),0)</f>
        <v/>
      </c>
      <c r="AL481">
        <f>IFERROR(INDEX(PP_Grid[#Data],$DD481,36),0)</f>
        <v/>
      </c>
      <c r="AM481">
        <f>IFERROR(INDEX(PP_Grid[#Data],$DD481,37),0)</f>
        <v/>
      </c>
      <c r="AN481">
        <f>IFERROR(INDEX(PP_Grid[#Data],$DD481,38),0)</f>
        <v/>
      </c>
      <c r="AO481">
        <f>IFERROR(INDEX(PP_Grid[#Data],$DD481,39),0)</f>
        <v/>
      </c>
      <c r="AP481">
        <f>IFERROR(INDEX(PP_Grid[#Data],$DD481,40),0)</f>
        <v/>
      </c>
      <c r="AQ481">
        <f>IFERROR(INDEX(PP_Grid[#Data],$DD481,41),0)</f>
        <v/>
      </c>
      <c r="AR481">
        <f>IFERROR(INDEX(PP_Grid[#Data],$DD481,42),0)</f>
        <v/>
      </c>
      <c r="AS481">
        <f>IFERROR(INDEX(PP_Grid[#Data],$DD481,43),0)</f>
        <v/>
      </c>
      <c r="AT481">
        <f>IFERROR(INDEX(PP_Grid[#Data],$DD481,44),0)</f>
        <v/>
      </c>
      <c r="AU481">
        <f>IFERROR(INDEX(PP_Grid[#Data],$DD481,45),0)</f>
        <v/>
      </c>
      <c r="AV481">
        <f>IFERROR(INDEX(PP_Grid[#Data],$DD481,46),0)</f>
        <v/>
      </c>
      <c r="AW481">
        <f>IFERROR(INDEX(PP_Grid[#Data],$DD481,47),0)</f>
        <v/>
      </c>
      <c r="AX481">
        <f>IFERROR(INDEX(PP_Grid[#Data],$DD481,48),0)</f>
        <v/>
      </c>
      <c r="AY481">
        <f>IFERROR(INDEX(PP_Grid[#Data],$DD481,49),0)</f>
        <v/>
      </c>
      <c r="AZ481">
        <f>IFERROR(INDEX(PP_Grid[#Data],$DD481,50),0)</f>
        <v/>
      </c>
      <c r="BA481">
        <f>IFERROR(INDEX(PP_Grid[#Data],$DD481,51),0)</f>
        <v/>
      </c>
      <c r="BB481">
        <f>IFERROR(INDEX(PP_Grid[#Data],$DD481,52),0)</f>
        <v/>
      </c>
      <c r="BC481">
        <f>IFERROR(INDEX(PP_Grid[#Data],$DD481,53),0)</f>
        <v/>
      </c>
      <c r="BD481">
        <f>IFERROR(INDEX(PP_Grid[#Data],$DD481,54),0)</f>
        <v/>
      </c>
      <c r="BE481">
        <f>IFERROR(INDEX(PP_Grid[#Data],$DD481,55),0)</f>
        <v/>
      </c>
      <c r="BF481">
        <f>IFERROR(INDEX(PP_Grid[#Data],$DD481,56),0)</f>
        <v/>
      </c>
      <c r="BG481">
        <f>IFERROR(INDEX(PP_Grid[#Data],$DD481,57),0)</f>
        <v/>
      </c>
      <c r="BH481">
        <f>IFERROR(INDEX(PP_Grid[#Data],$DD481,58),0)</f>
        <v/>
      </c>
      <c r="BI481">
        <f>IFERROR(INDEX(PP_Grid[#Data],$DD481,59),0)</f>
        <v/>
      </c>
      <c r="BJ481">
        <f>IFERROR(INDEX(PP_Grid[#Data],$DD481,60),0)</f>
        <v/>
      </c>
      <c r="BK481">
        <f>IFERROR(INDEX(PP_Grid[#Data],$DD481,61),0)</f>
        <v/>
      </c>
      <c r="BL481">
        <f>IFERROR(INDEX(PP_Grid[#Data],$DD481,62),0)</f>
        <v/>
      </c>
      <c r="BM481">
        <f>IFERROR(INDEX(PP_Grid[#Data],$DD481,63),0)</f>
        <v/>
      </c>
      <c r="BN481">
        <f>IFERROR(INDEX(PP_Grid[#Data],$DD481,64),0)</f>
        <v/>
      </c>
      <c r="BO481">
        <f>IFERROR(INDEX(PP_Grid[#Data],$DD481,65),0)</f>
        <v/>
      </c>
      <c r="BP481">
        <f>IFERROR(INDEX(PP_Grid[#Data],$DD481,66),0)</f>
        <v/>
      </c>
      <c r="BQ481">
        <f>IFERROR(INDEX(PP_Grid[#Data],$DD481,67),0)</f>
        <v/>
      </c>
      <c r="BR481">
        <f>IFERROR(INDEX(PP_Grid[#Data],$DD481,68),0)</f>
        <v/>
      </c>
      <c r="BS481">
        <f>IFERROR(INDEX(PP_Grid[#Data],$DD481,69),0)</f>
        <v/>
      </c>
      <c r="BT481">
        <f>IFERROR(INDEX(PP_Grid[#Data],$DD481,70),0)</f>
        <v/>
      </c>
      <c r="BU481">
        <f>IFERROR(INDEX(PP_Grid[#Data],$DD481,71),0)</f>
        <v/>
      </c>
      <c r="BV481">
        <f>IFERROR(INDEX(PP_Grid[#Data],$DD481,72),0)</f>
        <v/>
      </c>
      <c r="BW481">
        <f>IFERROR(INDEX(PP_Grid[#Data],$DD481,73),0)</f>
        <v/>
      </c>
      <c r="BX481">
        <f>IFERROR(INDEX(PP_Grid[#Data],$DD481,74),0)</f>
        <v/>
      </c>
      <c r="BY481">
        <f>IFERROR(INDEX(PP_Grid[#Data],$DD481,75),0)</f>
        <v/>
      </c>
      <c r="BZ481">
        <f>IFERROR(INDEX(PP_Grid[#Data],$DD481,76),0)</f>
        <v/>
      </c>
      <c r="CA481">
        <f>IFERROR(INDEX(PP_Grid[#Data],$DD481,77),0)</f>
        <v/>
      </c>
      <c r="CB481">
        <f>IFERROR(INDEX(PP_Grid[#Data],$DD481,78),0)</f>
        <v/>
      </c>
      <c r="CC481">
        <f>IFERROR(INDEX(PP_Grid[#Data],$DD481,79),0)</f>
        <v/>
      </c>
      <c r="CD481">
        <f>IFERROR(INDEX(PP_Grid[#Data],$DD481,80),0)</f>
        <v/>
      </c>
      <c r="CE481">
        <f>IFERROR(INDEX(PP_Grid[#Data],$DD481,81),0)</f>
        <v/>
      </c>
      <c r="CF481">
        <f>IFERROR(INDEX(PP_Grid[#Data],$DD481,82),0)</f>
        <v/>
      </c>
      <c r="CG481">
        <f>IFERROR(INDEX(PP_Grid[#Data],$DD481,83),0)</f>
        <v/>
      </c>
      <c r="CH481">
        <f>IFERROR(INDEX(PP_Grid[#Data],$DD481,84),0)</f>
        <v/>
      </c>
      <c r="CI481">
        <f>IFERROR(INDEX(PP_Grid[#Data],$DD481,85),0)</f>
        <v/>
      </c>
      <c r="CJ481">
        <f>IFERROR(INDEX(PP_Grid[#Data],$DD481,86),0)</f>
        <v/>
      </c>
      <c r="CK481">
        <f>IFERROR(INDEX(PP_Grid[#Data],$DD481,87),0)</f>
        <v/>
      </c>
      <c r="CL481">
        <f>IFERROR(INDEX(PP_Grid[#Data],$DD481,88),0)</f>
        <v/>
      </c>
      <c r="CM481">
        <f>IFERROR(INDEX(PP_Grid[#Data],$DD481,89),0)</f>
        <v/>
      </c>
      <c r="CN481">
        <f>IFERROR(INDEX(PP_Grid[#Data],$DD481,90),0)</f>
        <v/>
      </c>
      <c r="CO481">
        <f>IFERROR(INDEX(PP_Grid[#Data],$DD481,91),0)</f>
        <v/>
      </c>
      <c r="CP481">
        <f>IFERROR(INDEX(PP_Grid[#Data],$DD481,92),0)</f>
        <v/>
      </c>
      <c r="CQ481">
        <f>IFERROR(INDEX(PP_Grid[#Data],$DD481,93),0)</f>
        <v/>
      </c>
      <c r="CR481">
        <f>IFERROR(INDEX(PP_Grid[#Data],$DD481,94),0)</f>
        <v/>
      </c>
      <c r="CS481">
        <f>IFERROR(INDEX(PP_Grid[#Data],$DD481,95),0)</f>
        <v/>
      </c>
      <c r="CT481">
        <f>IFERROR(INDEX(PP_Grid[#Data],$DD481,96),0)</f>
        <v/>
      </c>
      <c r="CU481">
        <f>IFERROR(INDEX(PP_Grid[#Data],$DD481,97),0)</f>
        <v/>
      </c>
      <c r="CV481">
        <f>IFERROR(INDEX(PP_Grid[#Data],$DD481,98),0)</f>
        <v/>
      </c>
      <c r="CW481">
        <f>IFERROR(INDEX(PP_Grid[#Data],$DD481,99),0)</f>
        <v/>
      </c>
      <c r="CX481">
        <f>IFERROR(INDEX(PP_Grid[#Data],$DD481,100),0)</f>
        <v/>
      </c>
      <c r="CY481">
        <f>IFERROR(INDEX(PP_Grid[#Data],$DD481,101),0)</f>
        <v/>
      </c>
      <c r="CZ481">
        <f>IFERROR(INDEX(PP_Grid[#Data],$DD481,102),0)</f>
        <v/>
      </c>
      <c r="DA481">
        <f>IFERROR(INDEX(PP_Grid[#Data],$DD481,103),0)</f>
        <v/>
      </c>
      <c r="DB481">
        <f>IFERROR(INDEX(PP_Grid[#Data],$DD481,104),0)</f>
        <v/>
      </c>
      <c r="DC481">
        <f>IFERROR(INDEX(PP_Grid[#Data],$DD481,105),0)</f>
        <v/>
      </c>
      <c r="DD481" s="12">
        <f>IFERROR(MATCH($B481,PP_Grid[Intermediate],0),99999)</f>
        <v/>
      </c>
    </row>
    <row r="482">
      <c r="B482" t="inlineStr">
        <is>
          <t>使用量(kg)</t>
        </is>
      </c>
      <c r="C482">
        <f>SUMIFS(M_BOM[RM_Qty_Per_Batch],M_BOM[Intermediate],$B481,M_BOM[Part Name],$A406)</f>
        <v/>
      </c>
      <c r="D482">
        <f>$C482*D481</f>
        <v/>
      </c>
      <c r="E482">
        <f>$C482*E481</f>
        <v/>
      </c>
      <c r="F482">
        <f>$C482*F481</f>
        <v/>
      </c>
      <c r="G482">
        <f>$C482*G481</f>
        <v/>
      </c>
      <c r="H482">
        <f>$C482*H481</f>
        <v/>
      </c>
      <c r="I482">
        <f>$C482*I481</f>
        <v/>
      </c>
      <c r="J482">
        <f>$C482*J481</f>
        <v/>
      </c>
      <c r="K482">
        <f>$C482*K481</f>
        <v/>
      </c>
      <c r="L482">
        <f>$C482*L481</f>
        <v/>
      </c>
      <c r="M482">
        <f>$C482*M481</f>
        <v/>
      </c>
      <c r="N482">
        <f>$C482*N481</f>
        <v/>
      </c>
      <c r="O482">
        <f>$C482*O481</f>
        <v/>
      </c>
      <c r="P482">
        <f>$C482*P481</f>
        <v/>
      </c>
      <c r="Q482">
        <f>$C482*Q481</f>
        <v/>
      </c>
      <c r="R482">
        <f>$C482*R481</f>
        <v/>
      </c>
      <c r="S482">
        <f>$C482*S481</f>
        <v/>
      </c>
      <c r="T482">
        <f>$C482*T481</f>
        <v/>
      </c>
      <c r="U482">
        <f>$C482*U481</f>
        <v/>
      </c>
      <c r="V482">
        <f>$C482*V481</f>
        <v/>
      </c>
      <c r="W482">
        <f>$C482*W481</f>
        <v/>
      </c>
      <c r="X482">
        <f>$C482*X481</f>
        <v/>
      </c>
      <c r="Y482">
        <f>$C482*Y481</f>
        <v/>
      </c>
      <c r="Z482">
        <f>$C482*Z481</f>
        <v/>
      </c>
      <c r="AA482">
        <f>$C482*AA481</f>
        <v/>
      </c>
      <c r="AB482">
        <f>$C482*AB481</f>
        <v/>
      </c>
      <c r="AC482">
        <f>$C482*AC481</f>
        <v/>
      </c>
      <c r="AD482">
        <f>$C482*AD481</f>
        <v/>
      </c>
      <c r="AE482">
        <f>$C482*AE481</f>
        <v/>
      </c>
      <c r="AF482">
        <f>$C482*AF481</f>
        <v/>
      </c>
      <c r="AG482">
        <f>$C482*AG481</f>
        <v/>
      </c>
      <c r="AH482">
        <f>$C482*AH481</f>
        <v/>
      </c>
      <c r="AI482">
        <f>$C482*AI481</f>
        <v/>
      </c>
      <c r="AJ482">
        <f>$C482*AJ481</f>
        <v/>
      </c>
      <c r="AK482">
        <f>$C482*AK481</f>
        <v/>
      </c>
      <c r="AL482">
        <f>$C482*AL481</f>
        <v/>
      </c>
      <c r="AM482">
        <f>$C482*AM481</f>
        <v/>
      </c>
      <c r="AN482">
        <f>$C482*AN481</f>
        <v/>
      </c>
      <c r="AO482">
        <f>$C482*AO481</f>
        <v/>
      </c>
      <c r="AP482">
        <f>$C482*AP481</f>
        <v/>
      </c>
      <c r="AQ482">
        <f>$C482*AQ481</f>
        <v/>
      </c>
      <c r="AR482">
        <f>$C482*AR481</f>
        <v/>
      </c>
      <c r="AS482">
        <f>$C482*AS481</f>
        <v/>
      </c>
      <c r="AT482">
        <f>$C482*AT481</f>
        <v/>
      </c>
      <c r="AU482">
        <f>$C482*AU481</f>
        <v/>
      </c>
      <c r="AV482">
        <f>$C482*AV481</f>
        <v/>
      </c>
      <c r="AW482">
        <f>$C482*AW481</f>
        <v/>
      </c>
      <c r="AX482">
        <f>$C482*AX481</f>
        <v/>
      </c>
      <c r="AY482">
        <f>$C482*AY481</f>
        <v/>
      </c>
      <c r="AZ482">
        <f>$C482*AZ481</f>
        <v/>
      </c>
      <c r="BA482">
        <f>$C482*BA481</f>
        <v/>
      </c>
      <c r="BB482">
        <f>$C482*BB481</f>
        <v/>
      </c>
      <c r="BC482">
        <f>$C482*BC481</f>
        <v/>
      </c>
      <c r="BD482">
        <f>$C482*BD481</f>
        <v/>
      </c>
      <c r="BE482">
        <f>$C482*BE481</f>
        <v/>
      </c>
      <c r="BF482">
        <f>$C482*BF481</f>
        <v/>
      </c>
      <c r="BG482">
        <f>$C482*BG481</f>
        <v/>
      </c>
      <c r="BH482">
        <f>$C482*BH481</f>
        <v/>
      </c>
      <c r="BI482">
        <f>$C482*BI481</f>
        <v/>
      </c>
      <c r="BJ482">
        <f>$C482*BJ481</f>
        <v/>
      </c>
      <c r="BK482">
        <f>$C482*BK481</f>
        <v/>
      </c>
      <c r="BL482">
        <f>$C482*BL481</f>
        <v/>
      </c>
      <c r="BM482">
        <f>$C482*BM481</f>
        <v/>
      </c>
      <c r="BN482">
        <f>$C482*BN481</f>
        <v/>
      </c>
      <c r="BO482">
        <f>$C482*BO481</f>
        <v/>
      </c>
      <c r="BP482">
        <f>$C482*BP481</f>
        <v/>
      </c>
      <c r="BQ482">
        <f>$C482*BQ481</f>
        <v/>
      </c>
      <c r="BR482">
        <f>$C482*BR481</f>
        <v/>
      </c>
      <c r="BS482">
        <f>$C482*BS481</f>
        <v/>
      </c>
      <c r="BT482">
        <f>$C482*BT481</f>
        <v/>
      </c>
      <c r="BU482">
        <f>$C482*BU481</f>
        <v/>
      </c>
      <c r="BV482">
        <f>$C482*BV481</f>
        <v/>
      </c>
      <c r="BW482">
        <f>$C482*BW481</f>
        <v/>
      </c>
      <c r="BX482">
        <f>$C482*BX481</f>
        <v/>
      </c>
      <c r="BY482">
        <f>$C482*BY481</f>
        <v/>
      </c>
      <c r="BZ482">
        <f>$C482*BZ481</f>
        <v/>
      </c>
      <c r="CA482">
        <f>$C482*CA481</f>
        <v/>
      </c>
      <c r="CB482">
        <f>$C482*CB481</f>
        <v/>
      </c>
      <c r="CC482">
        <f>$C482*CC481</f>
        <v/>
      </c>
      <c r="CD482">
        <f>$C482*CD481</f>
        <v/>
      </c>
      <c r="CE482">
        <f>$C482*CE481</f>
        <v/>
      </c>
      <c r="CF482">
        <f>$C482*CF481</f>
        <v/>
      </c>
      <c r="CG482">
        <f>$C482*CG481</f>
        <v/>
      </c>
      <c r="CH482">
        <f>$C482*CH481</f>
        <v/>
      </c>
      <c r="CI482">
        <f>$C482*CI481</f>
        <v/>
      </c>
      <c r="CJ482">
        <f>$C482*CJ481</f>
        <v/>
      </c>
      <c r="CK482">
        <f>$C482*CK481</f>
        <v/>
      </c>
      <c r="CL482">
        <f>$C482*CL481</f>
        <v/>
      </c>
      <c r="CM482">
        <f>$C482*CM481</f>
        <v/>
      </c>
      <c r="CN482">
        <f>$C482*CN481</f>
        <v/>
      </c>
      <c r="CO482">
        <f>$C482*CO481</f>
        <v/>
      </c>
      <c r="CP482">
        <f>$C482*CP481</f>
        <v/>
      </c>
      <c r="CQ482">
        <f>$C482*CQ481</f>
        <v/>
      </c>
      <c r="CR482">
        <f>$C482*CR481</f>
        <v/>
      </c>
      <c r="CS482">
        <f>$C482*CS481</f>
        <v/>
      </c>
      <c r="CT482">
        <f>$C482*CT481</f>
        <v/>
      </c>
      <c r="CU482">
        <f>$C482*CU481</f>
        <v/>
      </c>
      <c r="CV482">
        <f>$C482*CV481</f>
        <v/>
      </c>
      <c r="CW482">
        <f>$C482*CW481</f>
        <v/>
      </c>
      <c r="CX482">
        <f>$C482*CX481</f>
        <v/>
      </c>
      <c r="CY482">
        <f>$C482*CY481</f>
        <v/>
      </c>
      <c r="CZ482">
        <f>$C482*CZ481</f>
        <v/>
      </c>
      <c r="DA482">
        <f>$C482*DA481</f>
        <v/>
      </c>
      <c r="DB482">
        <f>$C482*DB481</f>
        <v/>
      </c>
      <c r="DC482">
        <f>$C482*DC481</f>
        <v/>
      </c>
    </row>
    <row r="483">
      <c r="B483" t="inlineStr">
        <is>
          <t>VSP-600</t>
        </is>
      </c>
      <c r="C483" t="inlineStr">
        <is>
          <t>No. of batches</t>
        </is>
      </c>
      <c r="D483">
        <f>IFERROR(INDEX(PP_Grid[#Data],$DD483,2),0)</f>
        <v/>
      </c>
      <c r="E483">
        <f>IFERROR(INDEX(PP_Grid[#Data],$DD483,3),0)</f>
        <v/>
      </c>
      <c r="F483">
        <f>IFERROR(INDEX(PP_Grid[#Data],$DD483,4),0)</f>
        <v/>
      </c>
      <c r="G483">
        <f>IFERROR(INDEX(PP_Grid[#Data],$DD483,5),0)</f>
        <v/>
      </c>
      <c r="H483">
        <f>IFERROR(INDEX(PP_Grid[#Data],$DD483,6),0)</f>
        <v/>
      </c>
      <c r="I483">
        <f>IFERROR(INDEX(PP_Grid[#Data],$DD483,7),0)</f>
        <v/>
      </c>
      <c r="J483">
        <f>IFERROR(INDEX(PP_Grid[#Data],$DD483,8),0)</f>
        <v/>
      </c>
      <c r="K483">
        <f>IFERROR(INDEX(PP_Grid[#Data],$DD483,9),0)</f>
        <v/>
      </c>
      <c r="L483">
        <f>IFERROR(INDEX(PP_Grid[#Data],$DD483,10),0)</f>
        <v/>
      </c>
      <c r="M483">
        <f>IFERROR(INDEX(PP_Grid[#Data],$DD483,11),0)</f>
        <v/>
      </c>
      <c r="N483">
        <f>IFERROR(INDEX(PP_Grid[#Data],$DD483,12),0)</f>
        <v/>
      </c>
      <c r="O483">
        <f>IFERROR(INDEX(PP_Grid[#Data],$DD483,13),0)</f>
        <v/>
      </c>
      <c r="P483">
        <f>IFERROR(INDEX(PP_Grid[#Data],$DD483,14),0)</f>
        <v/>
      </c>
      <c r="Q483">
        <f>IFERROR(INDEX(PP_Grid[#Data],$DD483,15),0)</f>
        <v/>
      </c>
      <c r="R483">
        <f>IFERROR(INDEX(PP_Grid[#Data],$DD483,16),0)</f>
        <v/>
      </c>
      <c r="S483">
        <f>IFERROR(INDEX(PP_Grid[#Data],$DD483,17),0)</f>
        <v/>
      </c>
      <c r="T483">
        <f>IFERROR(INDEX(PP_Grid[#Data],$DD483,18),0)</f>
        <v/>
      </c>
      <c r="U483">
        <f>IFERROR(INDEX(PP_Grid[#Data],$DD483,19),0)</f>
        <v/>
      </c>
      <c r="V483">
        <f>IFERROR(INDEX(PP_Grid[#Data],$DD483,20),0)</f>
        <v/>
      </c>
      <c r="W483">
        <f>IFERROR(INDEX(PP_Grid[#Data],$DD483,21),0)</f>
        <v/>
      </c>
      <c r="X483">
        <f>IFERROR(INDEX(PP_Grid[#Data],$DD483,22),0)</f>
        <v/>
      </c>
      <c r="Y483">
        <f>IFERROR(INDEX(PP_Grid[#Data],$DD483,23),0)</f>
        <v/>
      </c>
      <c r="Z483">
        <f>IFERROR(INDEX(PP_Grid[#Data],$DD483,24),0)</f>
        <v/>
      </c>
      <c r="AA483">
        <f>IFERROR(INDEX(PP_Grid[#Data],$DD483,25),0)</f>
        <v/>
      </c>
      <c r="AB483">
        <f>IFERROR(INDEX(PP_Grid[#Data],$DD483,26),0)</f>
        <v/>
      </c>
      <c r="AC483">
        <f>IFERROR(INDEX(PP_Grid[#Data],$DD483,27),0)</f>
        <v/>
      </c>
      <c r="AD483">
        <f>IFERROR(INDEX(PP_Grid[#Data],$DD483,28),0)</f>
        <v/>
      </c>
      <c r="AE483">
        <f>IFERROR(INDEX(PP_Grid[#Data],$DD483,29),0)</f>
        <v/>
      </c>
      <c r="AF483">
        <f>IFERROR(INDEX(PP_Grid[#Data],$DD483,30),0)</f>
        <v/>
      </c>
      <c r="AG483">
        <f>IFERROR(INDEX(PP_Grid[#Data],$DD483,31),0)</f>
        <v/>
      </c>
      <c r="AH483">
        <f>IFERROR(INDEX(PP_Grid[#Data],$DD483,32),0)</f>
        <v/>
      </c>
      <c r="AI483">
        <f>IFERROR(INDEX(PP_Grid[#Data],$DD483,33),0)</f>
        <v/>
      </c>
      <c r="AJ483">
        <f>IFERROR(INDEX(PP_Grid[#Data],$DD483,34),0)</f>
        <v/>
      </c>
      <c r="AK483">
        <f>IFERROR(INDEX(PP_Grid[#Data],$DD483,35),0)</f>
        <v/>
      </c>
      <c r="AL483">
        <f>IFERROR(INDEX(PP_Grid[#Data],$DD483,36),0)</f>
        <v/>
      </c>
      <c r="AM483">
        <f>IFERROR(INDEX(PP_Grid[#Data],$DD483,37),0)</f>
        <v/>
      </c>
      <c r="AN483">
        <f>IFERROR(INDEX(PP_Grid[#Data],$DD483,38),0)</f>
        <v/>
      </c>
      <c r="AO483">
        <f>IFERROR(INDEX(PP_Grid[#Data],$DD483,39),0)</f>
        <v/>
      </c>
      <c r="AP483">
        <f>IFERROR(INDEX(PP_Grid[#Data],$DD483,40),0)</f>
        <v/>
      </c>
      <c r="AQ483">
        <f>IFERROR(INDEX(PP_Grid[#Data],$DD483,41),0)</f>
        <v/>
      </c>
      <c r="AR483">
        <f>IFERROR(INDEX(PP_Grid[#Data],$DD483,42),0)</f>
        <v/>
      </c>
      <c r="AS483">
        <f>IFERROR(INDEX(PP_Grid[#Data],$DD483,43),0)</f>
        <v/>
      </c>
      <c r="AT483">
        <f>IFERROR(INDEX(PP_Grid[#Data],$DD483,44),0)</f>
        <v/>
      </c>
      <c r="AU483">
        <f>IFERROR(INDEX(PP_Grid[#Data],$DD483,45),0)</f>
        <v/>
      </c>
      <c r="AV483">
        <f>IFERROR(INDEX(PP_Grid[#Data],$DD483,46),0)</f>
        <v/>
      </c>
      <c r="AW483">
        <f>IFERROR(INDEX(PP_Grid[#Data],$DD483,47),0)</f>
        <v/>
      </c>
      <c r="AX483">
        <f>IFERROR(INDEX(PP_Grid[#Data],$DD483,48),0)</f>
        <v/>
      </c>
      <c r="AY483">
        <f>IFERROR(INDEX(PP_Grid[#Data],$DD483,49),0)</f>
        <v/>
      </c>
      <c r="AZ483">
        <f>IFERROR(INDEX(PP_Grid[#Data],$DD483,50),0)</f>
        <v/>
      </c>
      <c r="BA483">
        <f>IFERROR(INDEX(PP_Grid[#Data],$DD483,51),0)</f>
        <v/>
      </c>
      <c r="BB483">
        <f>IFERROR(INDEX(PP_Grid[#Data],$DD483,52),0)</f>
        <v/>
      </c>
      <c r="BC483">
        <f>IFERROR(INDEX(PP_Grid[#Data],$DD483,53),0)</f>
        <v/>
      </c>
      <c r="BD483">
        <f>IFERROR(INDEX(PP_Grid[#Data],$DD483,54),0)</f>
        <v/>
      </c>
      <c r="BE483">
        <f>IFERROR(INDEX(PP_Grid[#Data],$DD483,55),0)</f>
        <v/>
      </c>
      <c r="BF483">
        <f>IFERROR(INDEX(PP_Grid[#Data],$DD483,56),0)</f>
        <v/>
      </c>
      <c r="BG483">
        <f>IFERROR(INDEX(PP_Grid[#Data],$DD483,57),0)</f>
        <v/>
      </c>
      <c r="BH483">
        <f>IFERROR(INDEX(PP_Grid[#Data],$DD483,58),0)</f>
        <v/>
      </c>
      <c r="BI483">
        <f>IFERROR(INDEX(PP_Grid[#Data],$DD483,59),0)</f>
        <v/>
      </c>
      <c r="BJ483">
        <f>IFERROR(INDEX(PP_Grid[#Data],$DD483,60),0)</f>
        <v/>
      </c>
      <c r="BK483">
        <f>IFERROR(INDEX(PP_Grid[#Data],$DD483,61),0)</f>
        <v/>
      </c>
      <c r="BL483">
        <f>IFERROR(INDEX(PP_Grid[#Data],$DD483,62),0)</f>
        <v/>
      </c>
      <c r="BM483">
        <f>IFERROR(INDEX(PP_Grid[#Data],$DD483,63),0)</f>
        <v/>
      </c>
      <c r="BN483">
        <f>IFERROR(INDEX(PP_Grid[#Data],$DD483,64),0)</f>
        <v/>
      </c>
      <c r="BO483">
        <f>IFERROR(INDEX(PP_Grid[#Data],$DD483,65),0)</f>
        <v/>
      </c>
      <c r="BP483">
        <f>IFERROR(INDEX(PP_Grid[#Data],$DD483,66),0)</f>
        <v/>
      </c>
      <c r="BQ483">
        <f>IFERROR(INDEX(PP_Grid[#Data],$DD483,67),0)</f>
        <v/>
      </c>
      <c r="BR483">
        <f>IFERROR(INDEX(PP_Grid[#Data],$DD483,68),0)</f>
        <v/>
      </c>
      <c r="BS483">
        <f>IFERROR(INDEX(PP_Grid[#Data],$DD483,69),0)</f>
        <v/>
      </c>
      <c r="BT483">
        <f>IFERROR(INDEX(PP_Grid[#Data],$DD483,70),0)</f>
        <v/>
      </c>
      <c r="BU483">
        <f>IFERROR(INDEX(PP_Grid[#Data],$DD483,71),0)</f>
        <v/>
      </c>
      <c r="BV483">
        <f>IFERROR(INDEX(PP_Grid[#Data],$DD483,72),0)</f>
        <v/>
      </c>
      <c r="BW483">
        <f>IFERROR(INDEX(PP_Grid[#Data],$DD483,73),0)</f>
        <v/>
      </c>
      <c r="BX483">
        <f>IFERROR(INDEX(PP_Grid[#Data],$DD483,74),0)</f>
        <v/>
      </c>
      <c r="BY483">
        <f>IFERROR(INDEX(PP_Grid[#Data],$DD483,75),0)</f>
        <v/>
      </c>
      <c r="BZ483">
        <f>IFERROR(INDEX(PP_Grid[#Data],$DD483,76),0)</f>
        <v/>
      </c>
      <c r="CA483">
        <f>IFERROR(INDEX(PP_Grid[#Data],$DD483,77),0)</f>
        <v/>
      </c>
      <c r="CB483">
        <f>IFERROR(INDEX(PP_Grid[#Data],$DD483,78),0)</f>
        <v/>
      </c>
      <c r="CC483">
        <f>IFERROR(INDEX(PP_Grid[#Data],$DD483,79),0)</f>
        <v/>
      </c>
      <c r="CD483">
        <f>IFERROR(INDEX(PP_Grid[#Data],$DD483,80),0)</f>
        <v/>
      </c>
      <c r="CE483">
        <f>IFERROR(INDEX(PP_Grid[#Data],$DD483,81),0)</f>
        <v/>
      </c>
      <c r="CF483">
        <f>IFERROR(INDEX(PP_Grid[#Data],$DD483,82),0)</f>
        <v/>
      </c>
      <c r="CG483">
        <f>IFERROR(INDEX(PP_Grid[#Data],$DD483,83),0)</f>
        <v/>
      </c>
      <c r="CH483">
        <f>IFERROR(INDEX(PP_Grid[#Data],$DD483,84),0)</f>
        <v/>
      </c>
      <c r="CI483">
        <f>IFERROR(INDEX(PP_Grid[#Data],$DD483,85),0)</f>
        <v/>
      </c>
      <c r="CJ483">
        <f>IFERROR(INDEX(PP_Grid[#Data],$DD483,86),0)</f>
        <v/>
      </c>
      <c r="CK483">
        <f>IFERROR(INDEX(PP_Grid[#Data],$DD483,87),0)</f>
        <v/>
      </c>
      <c r="CL483">
        <f>IFERROR(INDEX(PP_Grid[#Data],$DD483,88),0)</f>
        <v/>
      </c>
      <c r="CM483">
        <f>IFERROR(INDEX(PP_Grid[#Data],$DD483,89),0)</f>
        <v/>
      </c>
      <c r="CN483">
        <f>IFERROR(INDEX(PP_Grid[#Data],$DD483,90),0)</f>
        <v/>
      </c>
      <c r="CO483">
        <f>IFERROR(INDEX(PP_Grid[#Data],$DD483,91),0)</f>
        <v/>
      </c>
      <c r="CP483">
        <f>IFERROR(INDEX(PP_Grid[#Data],$DD483,92),0)</f>
        <v/>
      </c>
      <c r="CQ483">
        <f>IFERROR(INDEX(PP_Grid[#Data],$DD483,93),0)</f>
        <v/>
      </c>
      <c r="CR483">
        <f>IFERROR(INDEX(PP_Grid[#Data],$DD483,94),0)</f>
        <v/>
      </c>
      <c r="CS483">
        <f>IFERROR(INDEX(PP_Grid[#Data],$DD483,95),0)</f>
        <v/>
      </c>
      <c r="CT483">
        <f>IFERROR(INDEX(PP_Grid[#Data],$DD483,96),0)</f>
        <v/>
      </c>
      <c r="CU483">
        <f>IFERROR(INDEX(PP_Grid[#Data],$DD483,97),0)</f>
        <v/>
      </c>
      <c r="CV483">
        <f>IFERROR(INDEX(PP_Grid[#Data],$DD483,98),0)</f>
        <v/>
      </c>
      <c r="CW483">
        <f>IFERROR(INDEX(PP_Grid[#Data],$DD483,99),0)</f>
        <v/>
      </c>
      <c r="CX483">
        <f>IFERROR(INDEX(PP_Grid[#Data],$DD483,100),0)</f>
        <v/>
      </c>
      <c r="CY483">
        <f>IFERROR(INDEX(PP_Grid[#Data],$DD483,101),0)</f>
        <v/>
      </c>
      <c r="CZ483">
        <f>IFERROR(INDEX(PP_Grid[#Data],$DD483,102),0)</f>
        <v/>
      </c>
      <c r="DA483">
        <f>IFERROR(INDEX(PP_Grid[#Data],$DD483,103),0)</f>
        <v/>
      </c>
      <c r="DB483">
        <f>IFERROR(INDEX(PP_Grid[#Data],$DD483,104),0)</f>
        <v/>
      </c>
      <c r="DC483">
        <f>IFERROR(INDEX(PP_Grid[#Data],$DD483,105),0)</f>
        <v/>
      </c>
      <c r="DD483" s="12">
        <f>IFERROR(MATCH($B483,PP_Grid[Intermediate],0),99999)</f>
        <v/>
      </c>
    </row>
    <row r="484">
      <c r="B484" t="inlineStr">
        <is>
          <t>使用量(kg)</t>
        </is>
      </c>
      <c r="C484">
        <f>SUMIFS(M_BOM[RM_Qty_Per_Batch],M_BOM[Intermediate],$B483,M_BOM[Part Name],$A406)</f>
        <v/>
      </c>
      <c r="D484">
        <f>$C484*D483</f>
        <v/>
      </c>
      <c r="E484">
        <f>$C484*E483</f>
        <v/>
      </c>
      <c r="F484">
        <f>$C484*F483</f>
        <v/>
      </c>
      <c r="G484">
        <f>$C484*G483</f>
        <v/>
      </c>
      <c r="H484">
        <f>$C484*H483</f>
        <v/>
      </c>
      <c r="I484">
        <f>$C484*I483</f>
        <v/>
      </c>
      <c r="J484">
        <f>$C484*J483</f>
        <v/>
      </c>
      <c r="K484">
        <f>$C484*K483</f>
        <v/>
      </c>
      <c r="L484">
        <f>$C484*L483</f>
        <v/>
      </c>
      <c r="M484">
        <f>$C484*M483</f>
        <v/>
      </c>
      <c r="N484">
        <f>$C484*N483</f>
        <v/>
      </c>
      <c r="O484">
        <f>$C484*O483</f>
        <v/>
      </c>
      <c r="P484">
        <f>$C484*P483</f>
        <v/>
      </c>
      <c r="Q484">
        <f>$C484*Q483</f>
        <v/>
      </c>
      <c r="R484">
        <f>$C484*R483</f>
        <v/>
      </c>
      <c r="S484">
        <f>$C484*S483</f>
        <v/>
      </c>
      <c r="T484">
        <f>$C484*T483</f>
        <v/>
      </c>
      <c r="U484">
        <f>$C484*U483</f>
        <v/>
      </c>
      <c r="V484">
        <f>$C484*V483</f>
        <v/>
      </c>
      <c r="W484">
        <f>$C484*W483</f>
        <v/>
      </c>
      <c r="X484">
        <f>$C484*X483</f>
        <v/>
      </c>
      <c r="Y484">
        <f>$C484*Y483</f>
        <v/>
      </c>
      <c r="Z484">
        <f>$C484*Z483</f>
        <v/>
      </c>
      <c r="AA484">
        <f>$C484*AA483</f>
        <v/>
      </c>
      <c r="AB484">
        <f>$C484*AB483</f>
        <v/>
      </c>
      <c r="AC484">
        <f>$C484*AC483</f>
        <v/>
      </c>
      <c r="AD484">
        <f>$C484*AD483</f>
        <v/>
      </c>
      <c r="AE484">
        <f>$C484*AE483</f>
        <v/>
      </c>
      <c r="AF484">
        <f>$C484*AF483</f>
        <v/>
      </c>
      <c r="AG484">
        <f>$C484*AG483</f>
        <v/>
      </c>
      <c r="AH484">
        <f>$C484*AH483</f>
        <v/>
      </c>
      <c r="AI484">
        <f>$C484*AI483</f>
        <v/>
      </c>
      <c r="AJ484">
        <f>$C484*AJ483</f>
        <v/>
      </c>
      <c r="AK484">
        <f>$C484*AK483</f>
        <v/>
      </c>
      <c r="AL484">
        <f>$C484*AL483</f>
        <v/>
      </c>
      <c r="AM484">
        <f>$C484*AM483</f>
        <v/>
      </c>
      <c r="AN484">
        <f>$C484*AN483</f>
        <v/>
      </c>
      <c r="AO484">
        <f>$C484*AO483</f>
        <v/>
      </c>
      <c r="AP484">
        <f>$C484*AP483</f>
        <v/>
      </c>
      <c r="AQ484">
        <f>$C484*AQ483</f>
        <v/>
      </c>
      <c r="AR484">
        <f>$C484*AR483</f>
        <v/>
      </c>
      <c r="AS484">
        <f>$C484*AS483</f>
        <v/>
      </c>
      <c r="AT484">
        <f>$C484*AT483</f>
        <v/>
      </c>
      <c r="AU484">
        <f>$C484*AU483</f>
        <v/>
      </c>
      <c r="AV484">
        <f>$C484*AV483</f>
        <v/>
      </c>
      <c r="AW484">
        <f>$C484*AW483</f>
        <v/>
      </c>
      <c r="AX484">
        <f>$C484*AX483</f>
        <v/>
      </c>
      <c r="AY484">
        <f>$C484*AY483</f>
        <v/>
      </c>
      <c r="AZ484">
        <f>$C484*AZ483</f>
        <v/>
      </c>
      <c r="BA484">
        <f>$C484*BA483</f>
        <v/>
      </c>
      <c r="BB484">
        <f>$C484*BB483</f>
        <v/>
      </c>
      <c r="BC484">
        <f>$C484*BC483</f>
        <v/>
      </c>
      <c r="BD484">
        <f>$C484*BD483</f>
        <v/>
      </c>
      <c r="BE484">
        <f>$C484*BE483</f>
        <v/>
      </c>
      <c r="BF484">
        <f>$C484*BF483</f>
        <v/>
      </c>
      <c r="BG484">
        <f>$C484*BG483</f>
        <v/>
      </c>
      <c r="BH484">
        <f>$C484*BH483</f>
        <v/>
      </c>
      <c r="BI484">
        <f>$C484*BI483</f>
        <v/>
      </c>
      <c r="BJ484">
        <f>$C484*BJ483</f>
        <v/>
      </c>
      <c r="BK484">
        <f>$C484*BK483</f>
        <v/>
      </c>
      <c r="BL484">
        <f>$C484*BL483</f>
        <v/>
      </c>
      <c r="BM484">
        <f>$C484*BM483</f>
        <v/>
      </c>
      <c r="BN484">
        <f>$C484*BN483</f>
        <v/>
      </c>
      <c r="BO484">
        <f>$C484*BO483</f>
        <v/>
      </c>
      <c r="BP484">
        <f>$C484*BP483</f>
        <v/>
      </c>
      <c r="BQ484">
        <f>$C484*BQ483</f>
        <v/>
      </c>
      <c r="BR484">
        <f>$C484*BR483</f>
        <v/>
      </c>
      <c r="BS484">
        <f>$C484*BS483</f>
        <v/>
      </c>
      <c r="BT484">
        <f>$C484*BT483</f>
        <v/>
      </c>
      <c r="BU484">
        <f>$C484*BU483</f>
        <v/>
      </c>
      <c r="BV484">
        <f>$C484*BV483</f>
        <v/>
      </c>
      <c r="BW484">
        <f>$C484*BW483</f>
        <v/>
      </c>
      <c r="BX484">
        <f>$C484*BX483</f>
        <v/>
      </c>
      <c r="BY484">
        <f>$C484*BY483</f>
        <v/>
      </c>
      <c r="BZ484">
        <f>$C484*BZ483</f>
        <v/>
      </c>
      <c r="CA484">
        <f>$C484*CA483</f>
        <v/>
      </c>
      <c r="CB484">
        <f>$C484*CB483</f>
        <v/>
      </c>
      <c r="CC484">
        <f>$C484*CC483</f>
        <v/>
      </c>
      <c r="CD484">
        <f>$C484*CD483</f>
        <v/>
      </c>
      <c r="CE484">
        <f>$C484*CE483</f>
        <v/>
      </c>
      <c r="CF484">
        <f>$C484*CF483</f>
        <v/>
      </c>
      <c r="CG484">
        <f>$C484*CG483</f>
        <v/>
      </c>
      <c r="CH484">
        <f>$C484*CH483</f>
        <v/>
      </c>
      <c r="CI484">
        <f>$C484*CI483</f>
        <v/>
      </c>
      <c r="CJ484">
        <f>$C484*CJ483</f>
        <v/>
      </c>
      <c r="CK484">
        <f>$C484*CK483</f>
        <v/>
      </c>
      <c r="CL484">
        <f>$C484*CL483</f>
        <v/>
      </c>
      <c r="CM484">
        <f>$C484*CM483</f>
        <v/>
      </c>
      <c r="CN484">
        <f>$C484*CN483</f>
        <v/>
      </c>
      <c r="CO484">
        <f>$C484*CO483</f>
        <v/>
      </c>
      <c r="CP484">
        <f>$C484*CP483</f>
        <v/>
      </c>
      <c r="CQ484">
        <f>$C484*CQ483</f>
        <v/>
      </c>
      <c r="CR484">
        <f>$C484*CR483</f>
        <v/>
      </c>
      <c r="CS484">
        <f>$C484*CS483</f>
        <v/>
      </c>
      <c r="CT484">
        <f>$C484*CT483</f>
        <v/>
      </c>
      <c r="CU484">
        <f>$C484*CU483</f>
        <v/>
      </c>
      <c r="CV484">
        <f>$C484*CV483</f>
        <v/>
      </c>
      <c r="CW484">
        <f>$C484*CW483</f>
        <v/>
      </c>
      <c r="CX484">
        <f>$C484*CX483</f>
        <v/>
      </c>
      <c r="CY484">
        <f>$C484*CY483</f>
        <v/>
      </c>
      <c r="CZ484">
        <f>$C484*CZ483</f>
        <v/>
      </c>
      <c r="DA484">
        <f>$C484*DA483</f>
        <v/>
      </c>
      <c r="DB484">
        <f>$C484*DB483</f>
        <v/>
      </c>
      <c r="DC484">
        <f>$C484*DC483</f>
        <v/>
      </c>
    </row>
    <row r="485">
      <c r="B485" t="inlineStr">
        <is>
          <t>VSP-602</t>
        </is>
      </c>
      <c r="C485" t="inlineStr">
        <is>
          <t>No. of batches</t>
        </is>
      </c>
      <c r="D485">
        <f>IFERROR(INDEX(PP_Grid[#Data],$DD485,2),0)</f>
        <v/>
      </c>
      <c r="E485">
        <f>IFERROR(INDEX(PP_Grid[#Data],$DD485,3),0)</f>
        <v/>
      </c>
      <c r="F485">
        <f>IFERROR(INDEX(PP_Grid[#Data],$DD485,4),0)</f>
        <v/>
      </c>
      <c r="G485">
        <f>IFERROR(INDEX(PP_Grid[#Data],$DD485,5),0)</f>
        <v/>
      </c>
      <c r="H485">
        <f>IFERROR(INDEX(PP_Grid[#Data],$DD485,6),0)</f>
        <v/>
      </c>
      <c r="I485">
        <f>IFERROR(INDEX(PP_Grid[#Data],$DD485,7),0)</f>
        <v/>
      </c>
      <c r="J485">
        <f>IFERROR(INDEX(PP_Grid[#Data],$DD485,8),0)</f>
        <v/>
      </c>
      <c r="K485">
        <f>IFERROR(INDEX(PP_Grid[#Data],$DD485,9),0)</f>
        <v/>
      </c>
      <c r="L485">
        <f>IFERROR(INDEX(PP_Grid[#Data],$DD485,10),0)</f>
        <v/>
      </c>
      <c r="M485">
        <f>IFERROR(INDEX(PP_Grid[#Data],$DD485,11),0)</f>
        <v/>
      </c>
      <c r="N485">
        <f>IFERROR(INDEX(PP_Grid[#Data],$DD485,12),0)</f>
        <v/>
      </c>
      <c r="O485">
        <f>IFERROR(INDEX(PP_Grid[#Data],$DD485,13),0)</f>
        <v/>
      </c>
      <c r="P485">
        <f>IFERROR(INDEX(PP_Grid[#Data],$DD485,14),0)</f>
        <v/>
      </c>
      <c r="Q485">
        <f>IFERROR(INDEX(PP_Grid[#Data],$DD485,15),0)</f>
        <v/>
      </c>
      <c r="R485">
        <f>IFERROR(INDEX(PP_Grid[#Data],$DD485,16),0)</f>
        <v/>
      </c>
      <c r="S485">
        <f>IFERROR(INDEX(PP_Grid[#Data],$DD485,17),0)</f>
        <v/>
      </c>
      <c r="T485">
        <f>IFERROR(INDEX(PP_Grid[#Data],$DD485,18),0)</f>
        <v/>
      </c>
      <c r="U485">
        <f>IFERROR(INDEX(PP_Grid[#Data],$DD485,19),0)</f>
        <v/>
      </c>
      <c r="V485">
        <f>IFERROR(INDEX(PP_Grid[#Data],$DD485,20),0)</f>
        <v/>
      </c>
      <c r="W485">
        <f>IFERROR(INDEX(PP_Grid[#Data],$DD485,21),0)</f>
        <v/>
      </c>
      <c r="X485">
        <f>IFERROR(INDEX(PP_Grid[#Data],$DD485,22),0)</f>
        <v/>
      </c>
      <c r="Y485">
        <f>IFERROR(INDEX(PP_Grid[#Data],$DD485,23),0)</f>
        <v/>
      </c>
      <c r="Z485">
        <f>IFERROR(INDEX(PP_Grid[#Data],$DD485,24),0)</f>
        <v/>
      </c>
      <c r="AA485">
        <f>IFERROR(INDEX(PP_Grid[#Data],$DD485,25),0)</f>
        <v/>
      </c>
      <c r="AB485">
        <f>IFERROR(INDEX(PP_Grid[#Data],$DD485,26),0)</f>
        <v/>
      </c>
      <c r="AC485">
        <f>IFERROR(INDEX(PP_Grid[#Data],$DD485,27),0)</f>
        <v/>
      </c>
      <c r="AD485">
        <f>IFERROR(INDEX(PP_Grid[#Data],$DD485,28),0)</f>
        <v/>
      </c>
      <c r="AE485">
        <f>IFERROR(INDEX(PP_Grid[#Data],$DD485,29),0)</f>
        <v/>
      </c>
      <c r="AF485">
        <f>IFERROR(INDEX(PP_Grid[#Data],$DD485,30),0)</f>
        <v/>
      </c>
      <c r="AG485">
        <f>IFERROR(INDEX(PP_Grid[#Data],$DD485,31),0)</f>
        <v/>
      </c>
      <c r="AH485">
        <f>IFERROR(INDEX(PP_Grid[#Data],$DD485,32),0)</f>
        <v/>
      </c>
      <c r="AI485">
        <f>IFERROR(INDEX(PP_Grid[#Data],$DD485,33),0)</f>
        <v/>
      </c>
      <c r="AJ485">
        <f>IFERROR(INDEX(PP_Grid[#Data],$DD485,34),0)</f>
        <v/>
      </c>
      <c r="AK485">
        <f>IFERROR(INDEX(PP_Grid[#Data],$DD485,35),0)</f>
        <v/>
      </c>
      <c r="AL485">
        <f>IFERROR(INDEX(PP_Grid[#Data],$DD485,36),0)</f>
        <v/>
      </c>
      <c r="AM485">
        <f>IFERROR(INDEX(PP_Grid[#Data],$DD485,37),0)</f>
        <v/>
      </c>
      <c r="AN485">
        <f>IFERROR(INDEX(PP_Grid[#Data],$DD485,38),0)</f>
        <v/>
      </c>
      <c r="AO485">
        <f>IFERROR(INDEX(PP_Grid[#Data],$DD485,39),0)</f>
        <v/>
      </c>
      <c r="AP485">
        <f>IFERROR(INDEX(PP_Grid[#Data],$DD485,40),0)</f>
        <v/>
      </c>
      <c r="AQ485">
        <f>IFERROR(INDEX(PP_Grid[#Data],$DD485,41),0)</f>
        <v/>
      </c>
      <c r="AR485">
        <f>IFERROR(INDEX(PP_Grid[#Data],$DD485,42),0)</f>
        <v/>
      </c>
      <c r="AS485">
        <f>IFERROR(INDEX(PP_Grid[#Data],$DD485,43),0)</f>
        <v/>
      </c>
      <c r="AT485">
        <f>IFERROR(INDEX(PP_Grid[#Data],$DD485,44),0)</f>
        <v/>
      </c>
      <c r="AU485">
        <f>IFERROR(INDEX(PP_Grid[#Data],$DD485,45),0)</f>
        <v/>
      </c>
      <c r="AV485">
        <f>IFERROR(INDEX(PP_Grid[#Data],$DD485,46),0)</f>
        <v/>
      </c>
      <c r="AW485">
        <f>IFERROR(INDEX(PP_Grid[#Data],$DD485,47),0)</f>
        <v/>
      </c>
      <c r="AX485">
        <f>IFERROR(INDEX(PP_Grid[#Data],$DD485,48),0)</f>
        <v/>
      </c>
      <c r="AY485">
        <f>IFERROR(INDEX(PP_Grid[#Data],$DD485,49),0)</f>
        <v/>
      </c>
      <c r="AZ485">
        <f>IFERROR(INDEX(PP_Grid[#Data],$DD485,50),0)</f>
        <v/>
      </c>
      <c r="BA485">
        <f>IFERROR(INDEX(PP_Grid[#Data],$DD485,51),0)</f>
        <v/>
      </c>
      <c r="BB485">
        <f>IFERROR(INDEX(PP_Grid[#Data],$DD485,52),0)</f>
        <v/>
      </c>
      <c r="BC485">
        <f>IFERROR(INDEX(PP_Grid[#Data],$DD485,53),0)</f>
        <v/>
      </c>
      <c r="BD485">
        <f>IFERROR(INDEX(PP_Grid[#Data],$DD485,54),0)</f>
        <v/>
      </c>
      <c r="BE485">
        <f>IFERROR(INDEX(PP_Grid[#Data],$DD485,55),0)</f>
        <v/>
      </c>
      <c r="BF485">
        <f>IFERROR(INDEX(PP_Grid[#Data],$DD485,56),0)</f>
        <v/>
      </c>
      <c r="BG485">
        <f>IFERROR(INDEX(PP_Grid[#Data],$DD485,57),0)</f>
        <v/>
      </c>
      <c r="BH485">
        <f>IFERROR(INDEX(PP_Grid[#Data],$DD485,58),0)</f>
        <v/>
      </c>
      <c r="BI485">
        <f>IFERROR(INDEX(PP_Grid[#Data],$DD485,59),0)</f>
        <v/>
      </c>
      <c r="BJ485">
        <f>IFERROR(INDEX(PP_Grid[#Data],$DD485,60),0)</f>
        <v/>
      </c>
      <c r="BK485">
        <f>IFERROR(INDEX(PP_Grid[#Data],$DD485,61),0)</f>
        <v/>
      </c>
      <c r="BL485">
        <f>IFERROR(INDEX(PP_Grid[#Data],$DD485,62),0)</f>
        <v/>
      </c>
      <c r="BM485">
        <f>IFERROR(INDEX(PP_Grid[#Data],$DD485,63),0)</f>
        <v/>
      </c>
      <c r="BN485">
        <f>IFERROR(INDEX(PP_Grid[#Data],$DD485,64),0)</f>
        <v/>
      </c>
      <c r="BO485">
        <f>IFERROR(INDEX(PP_Grid[#Data],$DD485,65),0)</f>
        <v/>
      </c>
      <c r="BP485">
        <f>IFERROR(INDEX(PP_Grid[#Data],$DD485,66),0)</f>
        <v/>
      </c>
      <c r="BQ485">
        <f>IFERROR(INDEX(PP_Grid[#Data],$DD485,67),0)</f>
        <v/>
      </c>
      <c r="BR485">
        <f>IFERROR(INDEX(PP_Grid[#Data],$DD485,68),0)</f>
        <v/>
      </c>
      <c r="BS485">
        <f>IFERROR(INDEX(PP_Grid[#Data],$DD485,69),0)</f>
        <v/>
      </c>
      <c r="BT485">
        <f>IFERROR(INDEX(PP_Grid[#Data],$DD485,70),0)</f>
        <v/>
      </c>
      <c r="BU485">
        <f>IFERROR(INDEX(PP_Grid[#Data],$DD485,71),0)</f>
        <v/>
      </c>
      <c r="BV485">
        <f>IFERROR(INDEX(PP_Grid[#Data],$DD485,72),0)</f>
        <v/>
      </c>
      <c r="BW485">
        <f>IFERROR(INDEX(PP_Grid[#Data],$DD485,73),0)</f>
        <v/>
      </c>
      <c r="BX485">
        <f>IFERROR(INDEX(PP_Grid[#Data],$DD485,74),0)</f>
        <v/>
      </c>
      <c r="BY485">
        <f>IFERROR(INDEX(PP_Grid[#Data],$DD485,75),0)</f>
        <v/>
      </c>
      <c r="BZ485">
        <f>IFERROR(INDEX(PP_Grid[#Data],$DD485,76),0)</f>
        <v/>
      </c>
      <c r="CA485">
        <f>IFERROR(INDEX(PP_Grid[#Data],$DD485,77),0)</f>
        <v/>
      </c>
      <c r="CB485">
        <f>IFERROR(INDEX(PP_Grid[#Data],$DD485,78),0)</f>
        <v/>
      </c>
      <c r="CC485">
        <f>IFERROR(INDEX(PP_Grid[#Data],$DD485,79),0)</f>
        <v/>
      </c>
      <c r="CD485">
        <f>IFERROR(INDEX(PP_Grid[#Data],$DD485,80),0)</f>
        <v/>
      </c>
      <c r="CE485">
        <f>IFERROR(INDEX(PP_Grid[#Data],$DD485,81),0)</f>
        <v/>
      </c>
      <c r="CF485">
        <f>IFERROR(INDEX(PP_Grid[#Data],$DD485,82),0)</f>
        <v/>
      </c>
      <c r="CG485">
        <f>IFERROR(INDEX(PP_Grid[#Data],$DD485,83),0)</f>
        <v/>
      </c>
      <c r="CH485">
        <f>IFERROR(INDEX(PP_Grid[#Data],$DD485,84),0)</f>
        <v/>
      </c>
      <c r="CI485">
        <f>IFERROR(INDEX(PP_Grid[#Data],$DD485,85),0)</f>
        <v/>
      </c>
      <c r="CJ485">
        <f>IFERROR(INDEX(PP_Grid[#Data],$DD485,86),0)</f>
        <v/>
      </c>
      <c r="CK485">
        <f>IFERROR(INDEX(PP_Grid[#Data],$DD485,87),0)</f>
        <v/>
      </c>
      <c r="CL485">
        <f>IFERROR(INDEX(PP_Grid[#Data],$DD485,88),0)</f>
        <v/>
      </c>
      <c r="CM485">
        <f>IFERROR(INDEX(PP_Grid[#Data],$DD485,89),0)</f>
        <v/>
      </c>
      <c r="CN485">
        <f>IFERROR(INDEX(PP_Grid[#Data],$DD485,90),0)</f>
        <v/>
      </c>
      <c r="CO485">
        <f>IFERROR(INDEX(PP_Grid[#Data],$DD485,91),0)</f>
        <v/>
      </c>
      <c r="CP485">
        <f>IFERROR(INDEX(PP_Grid[#Data],$DD485,92),0)</f>
        <v/>
      </c>
      <c r="CQ485">
        <f>IFERROR(INDEX(PP_Grid[#Data],$DD485,93),0)</f>
        <v/>
      </c>
      <c r="CR485">
        <f>IFERROR(INDEX(PP_Grid[#Data],$DD485,94),0)</f>
        <v/>
      </c>
      <c r="CS485">
        <f>IFERROR(INDEX(PP_Grid[#Data],$DD485,95),0)</f>
        <v/>
      </c>
      <c r="CT485">
        <f>IFERROR(INDEX(PP_Grid[#Data],$DD485,96),0)</f>
        <v/>
      </c>
      <c r="CU485">
        <f>IFERROR(INDEX(PP_Grid[#Data],$DD485,97),0)</f>
        <v/>
      </c>
      <c r="CV485">
        <f>IFERROR(INDEX(PP_Grid[#Data],$DD485,98),0)</f>
        <v/>
      </c>
      <c r="CW485">
        <f>IFERROR(INDEX(PP_Grid[#Data],$DD485,99),0)</f>
        <v/>
      </c>
      <c r="CX485">
        <f>IFERROR(INDEX(PP_Grid[#Data],$DD485,100),0)</f>
        <v/>
      </c>
      <c r="CY485">
        <f>IFERROR(INDEX(PP_Grid[#Data],$DD485,101),0)</f>
        <v/>
      </c>
      <c r="CZ485">
        <f>IFERROR(INDEX(PP_Grid[#Data],$DD485,102),0)</f>
        <v/>
      </c>
      <c r="DA485">
        <f>IFERROR(INDEX(PP_Grid[#Data],$DD485,103),0)</f>
        <v/>
      </c>
      <c r="DB485">
        <f>IFERROR(INDEX(PP_Grid[#Data],$DD485,104),0)</f>
        <v/>
      </c>
      <c r="DC485">
        <f>IFERROR(INDEX(PP_Grid[#Data],$DD485,105),0)</f>
        <v/>
      </c>
      <c r="DD485" s="12">
        <f>IFERROR(MATCH($B485,PP_Grid[Intermediate],0),99999)</f>
        <v/>
      </c>
    </row>
    <row r="486">
      <c r="B486" t="inlineStr">
        <is>
          <t>使用量(kg)</t>
        </is>
      </c>
      <c r="C486">
        <f>SUMIFS(M_BOM[RM_Qty_Per_Batch],M_BOM[Intermediate],$B485,M_BOM[Part Name],$A406)</f>
        <v/>
      </c>
      <c r="D486">
        <f>$C486*D485</f>
        <v/>
      </c>
      <c r="E486">
        <f>$C486*E485</f>
        <v/>
      </c>
      <c r="F486">
        <f>$C486*F485</f>
        <v/>
      </c>
      <c r="G486">
        <f>$C486*G485</f>
        <v/>
      </c>
      <c r="H486">
        <f>$C486*H485</f>
        <v/>
      </c>
      <c r="I486">
        <f>$C486*I485</f>
        <v/>
      </c>
      <c r="J486">
        <f>$C486*J485</f>
        <v/>
      </c>
      <c r="K486">
        <f>$C486*K485</f>
        <v/>
      </c>
      <c r="L486">
        <f>$C486*L485</f>
        <v/>
      </c>
      <c r="M486">
        <f>$C486*M485</f>
        <v/>
      </c>
      <c r="N486">
        <f>$C486*N485</f>
        <v/>
      </c>
      <c r="O486">
        <f>$C486*O485</f>
        <v/>
      </c>
      <c r="P486">
        <f>$C486*P485</f>
        <v/>
      </c>
      <c r="Q486">
        <f>$C486*Q485</f>
        <v/>
      </c>
      <c r="R486">
        <f>$C486*R485</f>
        <v/>
      </c>
      <c r="S486">
        <f>$C486*S485</f>
        <v/>
      </c>
      <c r="T486">
        <f>$C486*T485</f>
        <v/>
      </c>
      <c r="U486">
        <f>$C486*U485</f>
        <v/>
      </c>
      <c r="V486">
        <f>$C486*V485</f>
        <v/>
      </c>
      <c r="W486">
        <f>$C486*W485</f>
        <v/>
      </c>
      <c r="X486">
        <f>$C486*X485</f>
        <v/>
      </c>
      <c r="Y486">
        <f>$C486*Y485</f>
        <v/>
      </c>
      <c r="Z486">
        <f>$C486*Z485</f>
        <v/>
      </c>
      <c r="AA486">
        <f>$C486*AA485</f>
        <v/>
      </c>
      <c r="AB486">
        <f>$C486*AB485</f>
        <v/>
      </c>
      <c r="AC486">
        <f>$C486*AC485</f>
        <v/>
      </c>
      <c r="AD486">
        <f>$C486*AD485</f>
        <v/>
      </c>
      <c r="AE486">
        <f>$C486*AE485</f>
        <v/>
      </c>
      <c r="AF486">
        <f>$C486*AF485</f>
        <v/>
      </c>
      <c r="AG486">
        <f>$C486*AG485</f>
        <v/>
      </c>
      <c r="AH486">
        <f>$C486*AH485</f>
        <v/>
      </c>
      <c r="AI486">
        <f>$C486*AI485</f>
        <v/>
      </c>
      <c r="AJ486">
        <f>$C486*AJ485</f>
        <v/>
      </c>
      <c r="AK486">
        <f>$C486*AK485</f>
        <v/>
      </c>
      <c r="AL486">
        <f>$C486*AL485</f>
        <v/>
      </c>
      <c r="AM486">
        <f>$C486*AM485</f>
        <v/>
      </c>
      <c r="AN486">
        <f>$C486*AN485</f>
        <v/>
      </c>
      <c r="AO486">
        <f>$C486*AO485</f>
        <v/>
      </c>
      <c r="AP486">
        <f>$C486*AP485</f>
        <v/>
      </c>
      <c r="AQ486">
        <f>$C486*AQ485</f>
        <v/>
      </c>
      <c r="AR486">
        <f>$C486*AR485</f>
        <v/>
      </c>
      <c r="AS486">
        <f>$C486*AS485</f>
        <v/>
      </c>
      <c r="AT486">
        <f>$C486*AT485</f>
        <v/>
      </c>
      <c r="AU486">
        <f>$C486*AU485</f>
        <v/>
      </c>
      <c r="AV486">
        <f>$C486*AV485</f>
        <v/>
      </c>
      <c r="AW486">
        <f>$C486*AW485</f>
        <v/>
      </c>
      <c r="AX486">
        <f>$C486*AX485</f>
        <v/>
      </c>
      <c r="AY486">
        <f>$C486*AY485</f>
        <v/>
      </c>
      <c r="AZ486">
        <f>$C486*AZ485</f>
        <v/>
      </c>
      <c r="BA486">
        <f>$C486*BA485</f>
        <v/>
      </c>
      <c r="BB486">
        <f>$C486*BB485</f>
        <v/>
      </c>
      <c r="BC486">
        <f>$C486*BC485</f>
        <v/>
      </c>
      <c r="BD486">
        <f>$C486*BD485</f>
        <v/>
      </c>
      <c r="BE486">
        <f>$C486*BE485</f>
        <v/>
      </c>
      <c r="BF486">
        <f>$C486*BF485</f>
        <v/>
      </c>
      <c r="BG486">
        <f>$C486*BG485</f>
        <v/>
      </c>
      <c r="BH486">
        <f>$C486*BH485</f>
        <v/>
      </c>
      <c r="BI486">
        <f>$C486*BI485</f>
        <v/>
      </c>
      <c r="BJ486">
        <f>$C486*BJ485</f>
        <v/>
      </c>
      <c r="BK486">
        <f>$C486*BK485</f>
        <v/>
      </c>
      <c r="BL486">
        <f>$C486*BL485</f>
        <v/>
      </c>
      <c r="BM486">
        <f>$C486*BM485</f>
        <v/>
      </c>
      <c r="BN486">
        <f>$C486*BN485</f>
        <v/>
      </c>
      <c r="BO486">
        <f>$C486*BO485</f>
        <v/>
      </c>
      <c r="BP486">
        <f>$C486*BP485</f>
        <v/>
      </c>
      <c r="BQ486">
        <f>$C486*BQ485</f>
        <v/>
      </c>
      <c r="BR486">
        <f>$C486*BR485</f>
        <v/>
      </c>
      <c r="BS486">
        <f>$C486*BS485</f>
        <v/>
      </c>
      <c r="BT486">
        <f>$C486*BT485</f>
        <v/>
      </c>
      <c r="BU486">
        <f>$C486*BU485</f>
        <v/>
      </c>
      <c r="BV486">
        <f>$C486*BV485</f>
        <v/>
      </c>
      <c r="BW486">
        <f>$C486*BW485</f>
        <v/>
      </c>
      <c r="BX486">
        <f>$C486*BX485</f>
        <v/>
      </c>
      <c r="BY486">
        <f>$C486*BY485</f>
        <v/>
      </c>
      <c r="BZ486">
        <f>$C486*BZ485</f>
        <v/>
      </c>
      <c r="CA486">
        <f>$C486*CA485</f>
        <v/>
      </c>
      <c r="CB486">
        <f>$C486*CB485</f>
        <v/>
      </c>
      <c r="CC486">
        <f>$C486*CC485</f>
        <v/>
      </c>
      <c r="CD486">
        <f>$C486*CD485</f>
        <v/>
      </c>
      <c r="CE486">
        <f>$C486*CE485</f>
        <v/>
      </c>
      <c r="CF486">
        <f>$C486*CF485</f>
        <v/>
      </c>
      <c r="CG486">
        <f>$C486*CG485</f>
        <v/>
      </c>
      <c r="CH486">
        <f>$C486*CH485</f>
        <v/>
      </c>
      <c r="CI486">
        <f>$C486*CI485</f>
        <v/>
      </c>
      <c r="CJ486">
        <f>$C486*CJ485</f>
        <v/>
      </c>
      <c r="CK486">
        <f>$C486*CK485</f>
        <v/>
      </c>
      <c r="CL486">
        <f>$C486*CL485</f>
        <v/>
      </c>
      <c r="CM486">
        <f>$C486*CM485</f>
        <v/>
      </c>
      <c r="CN486">
        <f>$C486*CN485</f>
        <v/>
      </c>
      <c r="CO486">
        <f>$C486*CO485</f>
        <v/>
      </c>
      <c r="CP486">
        <f>$C486*CP485</f>
        <v/>
      </c>
      <c r="CQ486">
        <f>$C486*CQ485</f>
        <v/>
      </c>
      <c r="CR486">
        <f>$C486*CR485</f>
        <v/>
      </c>
      <c r="CS486">
        <f>$C486*CS485</f>
        <v/>
      </c>
      <c r="CT486">
        <f>$C486*CT485</f>
        <v/>
      </c>
      <c r="CU486">
        <f>$C486*CU485</f>
        <v/>
      </c>
      <c r="CV486">
        <f>$C486*CV485</f>
        <v/>
      </c>
      <c r="CW486">
        <f>$C486*CW485</f>
        <v/>
      </c>
      <c r="CX486">
        <f>$C486*CX485</f>
        <v/>
      </c>
      <c r="CY486">
        <f>$C486*CY485</f>
        <v/>
      </c>
      <c r="CZ486">
        <f>$C486*CZ485</f>
        <v/>
      </c>
      <c r="DA486">
        <f>$C486*DA485</f>
        <v/>
      </c>
      <c r="DB486">
        <f>$C486*DB485</f>
        <v/>
      </c>
      <c r="DC486">
        <f>$C486*DC485</f>
        <v/>
      </c>
    </row>
    <row r="487">
      <c r="B487" t="inlineStr">
        <is>
          <t>VSP-822</t>
        </is>
      </c>
      <c r="C487" t="inlineStr">
        <is>
          <t>No. of batches</t>
        </is>
      </c>
      <c r="D487">
        <f>IFERROR(INDEX(PP_Grid[#Data],$DD487,2),0)</f>
        <v/>
      </c>
      <c r="E487">
        <f>IFERROR(INDEX(PP_Grid[#Data],$DD487,3),0)</f>
        <v/>
      </c>
      <c r="F487">
        <f>IFERROR(INDEX(PP_Grid[#Data],$DD487,4),0)</f>
        <v/>
      </c>
      <c r="G487">
        <f>IFERROR(INDEX(PP_Grid[#Data],$DD487,5),0)</f>
        <v/>
      </c>
      <c r="H487">
        <f>IFERROR(INDEX(PP_Grid[#Data],$DD487,6),0)</f>
        <v/>
      </c>
      <c r="I487">
        <f>IFERROR(INDEX(PP_Grid[#Data],$DD487,7),0)</f>
        <v/>
      </c>
      <c r="J487">
        <f>IFERROR(INDEX(PP_Grid[#Data],$DD487,8),0)</f>
        <v/>
      </c>
      <c r="K487">
        <f>IFERROR(INDEX(PP_Grid[#Data],$DD487,9),0)</f>
        <v/>
      </c>
      <c r="L487">
        <f>IFERROR(INDEX(PP_Grid[#Data],$DD487,10),0)</f>
        <v/>
      </c>
      <c r="M487">
        <f>IFERROR(INDEX(PP_Grid[#Data],$DD487,11),0)</f>
        <v/>
      </c>
      <c r="N487">
        <f>IFERROR(INDEX(PP_Grid[#Data],$DD487,12),0)</f>
        <v/>
      </c>
      <c r="O487">
        <f>IFERROR(INDEX(PP_Grid[#Data],$DD487,13),0)</f>
        <v/>
      </c>
      <c r="P487">
        <f>IFERROR(INDEX(PP_Grid[#Data],$DD487,14),0)</f>
        <v/>
      </c>
      <c r="Q487">
        <f>IFERROR(INDEX(PP_Grid[#Data],$DD487,15),0)</f>
        <v/>
      </c>
      <c r="R487">
        <f>IFERROR(INDEX(PP_Grid[#Data],$DD487,16),0)</f>
        <v/>
      </c>
      <c r="S487">
        <f>IFERROR(INDEX(PP_Grid[#Data],$DD487,17),0)</f>
        <v/>
      </c>
      <c r="T487">
        <f>IFERROR(INDEX(PP_Grid[#Data],$DD487,18),0)</f>
        <v/>
      </c>
      <c r="U487">
        <f>IFERROR(INDEX(PP_Grid[#Data],$DD487,19),0)</f>
        <v/>
      </c>
      <c r="V487">
        <f>IFERROR(INDEX(PP_Grid[#Data],$DD487,20),0)</f>
        <v/>
      </c>
      <c r="W487">
        <f>IFERROR(INDEX(PP_Grid[#Data],$DD487,21),0)</f>
        <v/>
      </c>
      <c r="X487">
        <f>IFERROR(INDEX(PP_Grid[#Data],$DD487,22),0)</f>
        <v/>
      </c>
      <c r="Y487">
        <f>IFERROR(INDEX(PP_Grid[#Data],$DD487,23),0)</f>
        <v/>
      </c>
      <c r="Z487">
        <f>IFERROR(INDEX(PP_Grid[#Data],$DD487,24),0)</f>
        <v/>
      </c>
      <c r="AA487">
        <f>IFERROR(INDEX(PP_Grid[#Data],$DD487,25),0)</f>
        <v/>
      </c>
      <c r="AB487">
        <f>IFERROR(INDEX(PP_Grid[#Data],$DD487,26),0)</f>
        <v/>
      </c>
      <c r="AC487">
        <f>IFERROR(INDEX(PP_Grid[#Data],$DD487,27),0)</f>
        <v/>
      </c>
      <c r="AD487">
        <f>IFERROR(INDEX(PP_Grid[#Data],$DD487,28),0)</f>
        <v/>
      </c>
      <c r="AE487">
        <f>IFERROR(INDEX(PP_Grid[#Data],$DD487,29),0)</f>
        <v/>
      </c>
      <c r="AF487">
        <f>IFERROR(INDEX(PP_Grid[#Data],$DD487,30),0)</f>
        <v/>
      </c>
      <c r="AG487">
        <f>IFERROR(INDEX(PP_Grid[#Data],$DD487,31),0)</f>
        <v/>
      </c>
      <c r="AH487">
        <f>IFERROR(INDEX(PP_Grid[#Data],$DD487,32),0)</f>
        <v/>
      </c>
      <c r="AI487">
        <f>IFERROR(INDEX(PP_Grid[#Data],$DD487,33),0)</f>
        <v/>
      </c>
      <c r="AJ487">
        <f>IFERROR(INDEX(PP_Grid[#Data],$DD487,34),0)</f>
        <v/>
      </c>
      <c r="AK487">
        <f>IFERROR(INDEX(PP_Grid[#Data],$DD487,35),0)</f>
        <v/>
      </c>
      <c r="AL487">
        <f>IFERROR(INDEX(PP_Grid[#Data],$DD487,36),0)</f>
        <v/>
      </c>
      <c r="AM487">
        <f>IFERROR(INDEX(PP_Grid[#Data],$DD487,37),0)</f>
        <v/>
      </c>
      <c r="AN487">
        <f>IFERROR(INDEX(PP_Grid[#Data],$DD487,38),0)</f>
        <v/>
      </c>
      <c r="AO487">
        <f>IFERROR(INDEX(PP_Grid[#Data],$DD487,39),0)</f>
        <v/>
      </c>
      <c r="AP487">
        <f>IFERROR(INDEX(PP_Grid[#Data],$DD487,40),0)</f>
        <v/>
      </c>
      <c r="AQ487">
        <f>IFERROR(INDEX(PP_Grid[#Data],$DD487,41),0)</f>
        <v/>
      </c>
      <c r="AR487">
        <f>IFERROR(INDEX(PP_Grid[#Data],$DD487,42),0)</f>
        <v/>
      </c>
      <c r="AS487">
        <f>IFERROR(INDEX(PP_Grid[#Data],$DD487,43),0)</f>
        <v/>
      </c>
      <c r="AT487">
        <f>IFERROR(INDEX(PP_Grid[#Data],$DD487,44),0)</f>
        <v/>
      </c>
      <c r="AU487">
        <f>IFERROR(INDEX(PP_Grid[#Data],$DD487,45),0)</f>
        <v/>
      </c>
      <c r="AV487">
        <f>IFERROR(INDEX(PP_Grid[#Data],$DD487,46),0)</f>
        <v/>
      </c>
      <c r="AW487">
        <f>IFERROR(INDEX(PP_Grid[#Data],$DD487,47),0)</f>
        <v/>
      </c>
      <c r="AX487">
        <f>IFERROR(INDEX(PP_Grid[#Data],$DD487,48),0)</f>
        <v/>
      </c>
      <c r="AY487">
        <f>IFERROR(INDEX(PP_Grid[#Data],$DD487,49),0)</f>
        <v/>
      </c>
      <c r="AZ487">
        <f>IFERROR(INDEX(PP_Grid[#Data],$DD487,50),0)</f>
        <v/>
      </c>
      <c r="BA487">
        <f>IFERROR(INDEX(PP_Grid[#Data],$DD487,51),0)</f>
        <v/>
      </c>
      <c r="BB487">
        <f>IFERROR(INDEX(PP_Grid[#Data],$DD487,52),0)</f>
        <v/>
      </c>
      <c r="BC487">
        <f>IFERROR(INDEX(PP_Grid[#Data],$DD487,53),0)</f>
        <v/>
      </c>
      <c r="BD487">
        <f>IFERROR(INDEX(PP_Grid[#Data],$DD487,54),0)</f>
        <v/>
      </c>
      <c r="BE487">
        <f>IFERROR(INDEX(PP_Grid[#Data],$DD487,55),0)</f>
        <v/>
      </c>
      <c r="BF487">
        <f>IFERROR(INDEX(PP_Grid[#Data],$DD487,56),0)</f>
        <v/>
      </c>
      <c r="BG487">
        <f>IFERROR(INDEX(PP_Grid[#Data],$DD487,57),0)</f>
        <v/>
      </c>
      <c r="BH487">
        <f>IFERROR(INDEX(PP_Grid[#Data],$DD487,58),0)</f>
        <v/>
      </c>
      <c r="BI487">
        <f>IFERROR(INDEX(PP_Grid[#Data],$DD487,59),0)</f>
        <v/>
      </c>
      <c r="BJ487">
        <f>IFERROR(INDEX(PP_Grid[#Data],$DD487,60),0)</f>
        <v/>
      </c>
      <c r="BK487">
        <f>IFERROR(INDEX(PP_Grid[#Data],$DD487,61),0)</f>
        <v/>
      </c>
      <c r="BL487">
        <f>IFERROR(INDEX(PP_Grid[#Data],$DD487,62),0)</f>
        <v/>
      </c>
      <c r="BM487">
        <f>IFERROR(INDEX(PP_Grid[#Data],$DD487,63),0)</f>
        <v/>
      </c>
      <c r="BN487">
        <f>IFERROR(INDEX(PP_Grid[#Data],$DD487,64),0)</f>
        <v/>
      </c>
      <c r="BO487">
        <f>IFERROR(INDEX(PP_Grid[#Data],$DD487,65),0)</f>
        <v/>
      </c>
      <c r="BP487">
        <f>IFERROR(INDEX(PP_Grid[#Data],$DD487,66),0)</f>
        <v/>
      </c>
      <c r="BQ487">
        <f>IFERROR(INDEX(PP_Grid[#Data],$DD487,67),0)</f>
        <v/>
      </c>
      <c r="BR487">
        <f>IFERROR(INDEX(PP_Grid[#Data],$DD487,68),0)</f>
        <v/>
      </c>
      <c r="BS487">
        <f>IFERROR(INDEX(PP_Grid[#Data],$DD487,69),0)</f>
        <v/>
      </c>
      <c r="BT487">
        <f>IFERROR(INDEX(PP_Grid[#Data],$DD487,70),0)</f>
        <v/>
      </c>
      <c r="BU487">
        <f>IFERROR(INDEX(PP_Grid[#Data],$DD487,71),0)</f>
        <v/>
      </c>
      <c r="BV487">
        <f>IFERROR(INDEX(PP_Grid[#Data],$DD487,72),0)</f>
        <v/>
      </c>
      <c r="BW487">
        <f>IFERROR(INDEX(PP_Grid[#Data],$DD487,73),0)</f>
        <v/>
      </c>
      <c r="BX487">
        <f>IFERROR(INDEX(PP_Grid[#Data],$DD487,74),0)</f>
        <v/>
      </c>
      <c r="BY487">
        <f>IFERROR(INDEX(PP_Grid[#Data],$DD487,75),0)</f>
        <v/>
      </c>
      <c r="BZ487">
        <f>IFERROR(INDEX(PP_Grid[#Data],$DD487,76),0)</f>
        <v/>
      </c>
      <c r="CA487">
        <f>IFERROR(INDEX(PP_Grid[#Data],$DD487,77),0)</f>
        <v/>
      </c>
      <c r="CB487">
        <f>IFERROR(INDEX(PP_Grid[#Data],$DD487,78),0)</f>
        <v/>
      </c>
      <c r="CC487">
        <f>IFERROR(INDEX(PP_Grid[#Data],$DD487,79),0)</f>
        <v/>
      </c>
      <c r="CD487">
        <f>IFERROR(INDEX(PP_Grid[#Data],$DD487,80),0)</f>
        <v/>
      </c>
      <c r="CE487">
        <f>IFERROR(INDEX(PP_Grid[#Data],$DD487,81),0)</f>
        <v/>
      </c>
      <c r="CF487">
        <f>IFERROR(INDEX(PP_Grid[#Data],$DD487,82),0)</f>
        <v/>
      </c>
      <c r="CG487">
        <f>IFERROR(INDEX(PP_Grid[#Data],$DD487,83),0)</f>
        <v/>
      </c>
      <c r="CH487">
        <f>IFERROR(INDEX(PP_Grid[#Data],$DD487,84),0)</f>
        <v/>
      </c>
      <c r="CI487">
        <f>IFERROR(INDEX(PP_Grid[#Data],$DD487,85),0)</f>
        <v/>
      </c>
      <c r="CJ487">
        <f>IFERROR(INDEX(PP_Grid[#Data],$DD487,86),0)</f>
        <v/>
      </c>
      <c r="CK487">
        <f>IFERROR(INDEX(PP_Grid[#Data],$DD487,87),0)</f>
        <v/>
      </c>
      <c r="CL487">
        <f>IFERROR(INDEX(PP_Grid[#Data],$DD487,88),0)</f>
        <v/>
      </c>
      <c r="CM487">
        <f>IFERROR(INDEX(PP_Grid[#Data],$DD487,89),0)</f>
        <v/>
      </c>
      <c r="CN487">
        <f>IFERROR(INDEX(PP_Grid[#Data],$DD487,90),0)</f>
        <v/>
      </c>
      <c r="CO487">
        <f>IFERROR(INDEX(PP_Grid[#Data],$DD487,91),0)</f>
        <v/>
      </c>
      <c r="CP487">
        <f>IFERROR(INDEX(PP_Grid[#Data],$DD487,92),0)</f>
        <v/>
      </c>
      <c r="CQ487">
        <f>IFERROR(INDEX(PP_Grid[#Data],$DD487,93),0)</f>
        <v/>
      </c>
      <c r="CR487">
        <f>IFERROR(INDEX(PP_Grid[#Data],$DD487,94),0)</f>
        <v/>
      </c>
      <c r="CS487">
        <f>IFERROR(INDEX(PP_Grid[#Data],$DD487,95),0)</f>
        <v/>
      </c>
      <c r="CT487">
        <f>IFERROR(INDEX(PP_Grid[#Data],$DD487,96),0)</f>
        <v/>
      </c>
      <c r="CU487">
        <f>IFERROR(INDEX(PP_Grid[#Data],$DD487,97),0)</f>
        <v/>
      </c>
      <c r="CV487">
        <f>IFERROR(INDEX(PP_Grid[#Data],$DD487,98),0)</f>
        <v/>
      </c>
      <c r="CW487">
        <f>IFERROR(INDEX(PP_Grid[#Data],$DD487,99),0)</f>
        <v/>
      </c>
      <c r="CX487">
        <f>IFERROR(INDEX(PP_Grid[#Data],$DD487,100),0)</f>
        <v/>
      </c>
      <c r="CY487">
        <f>IFERROR(INDEX(PP_Grid[#Data],$DD487,101),0)</f>
        <v/>
      </c>
      <c r="CZ487">
        <f>IFERROR(INDEX(PP_Grid[#Data],$DD487,102),0)</f>
        <v/>
      </c>
      <c r="DA487">
        <f>IFERROR(INDEX(PP_Grid[#Data],$DD487,103),0)</f>
        <v/>
      </c>
      <c r="DB487">
        <f>IFERROR(INDEX(PP_Grid[#Data],$DD487,104),0)</f>
        <v/>
      </c>
      <c r="DC487">
        <f>IFERROR(INDEX(PP_Grid[#Data],$DD487,105),0)</f>
        <v/>
      </c>
      <c r="DD487" s="12">
        <f>IFERROR(MATCH($B487,PP_Grid[Intermediate],0),99999)</f>
        <v/>
      </c>
    </row>
    <row r="488">
      <c r="B488" t="inlineStr">
        <is>
          <t>使用量(kg)</t>
        </is>
      </c>
      <c r="C488">
        <f>SUMIFS(M_BOM[RM_Qty_Per_Batch],M_BOM[Intermediate],$B487,M_BOM[Part Name],$A406)</f>
        <v/>
      </c>
      <c r="D488">
        <f>$C488*D487</f>
        <v/>
      </c>
      <c r="E488">
        <f>$C488*E487</f>
        <v/>
      </c>
      <c r="F488">
        <f>$C488*F487</f>
        <v/>
      </c>
      <c r="G488">
        <f>$C488*G487</f>
        <v/>
      </c>
      <c r="H488">
        <f>$C488*H487</f>
        <v/>
      </c>
      <c r="I488">
        <f>$C488*I487</f>
        <v/>
      </c>
      <c r="J488">
        <f>$C488*J487</f>
        <v/>
      </c>
      <c r="K488">
        <f>$C488*K487</f>
        <v/>
      </c>
      <c r="L488">
        <f>$C488*L487</f>
        <v/>
      </c>
      <c r="M488">
        <f>$C488*M487</f>
        <v/>
      </c>
      <c r="N488">
        <f>$C488*N487</f>
        <v/>
      </c>
      <c r="O488">
        <f>$C488*O487</f>
        <v/>
      </c>
      <c r="P488">
        <f>$C488*P487</f>
        <v/>
      </c>
      <c r="Q488">
        <f>$C488*Q487</f>
        <v/>
      </c>
      <c r="R488">
        <f>$C488*R487</f>
        <v/>
      </c>
      <c r="S488">
        <f>$C488*S487</f>
        <v/>
      </c>
      <c r="T488">
        <f>$C488*T487</f>
        <v/>
      </c>
      <c r="U488">
        <f>$C488*U487</f>
        <v/>
      </c>
      <c r="V488">
        <f>$C488*V487</f>
        <v/>
      </c>
      <c r="W488">
        <f>$C488*W487</f>
        <v/>
      </c>
      <c r="X488">
        <f>$C488*X487</f>
        <v/>
      </c>
      <c r="Y488">
        <f>$C488*Y487</f>
        <v/>
      </c>
      <c r="Z488">
        <f>$C488*Z487</f>
        <v/>
      </c>
      <c r="AA488">
        <f>$C488*AA487</f>
        <v/>
      </c>
      <c r="AB488">
        <f>$C488*AB487</f>
        <v/>
      </c>
      <c r="AC488">
        <f>$C488*AC487</f>
        <v/>
      </c>
      <c r="AD488">
        <f>$C488*AD487</f>
        <v/>
      </c>
      <c r="AE488">
        <f>$C488*AE487</f>
        <v/>
      </c>
      <c r="AF488">
        <f>$C488*AF487</f>
        <v/>
      </c>
      <c r="AG488">
        <f>$C488*AG487</f>
        <v/>
      </c>
      <c r="AH488">
        <f>$C488*AH487</f>
        <v/>
      </c>
      <c r="AI488">
        <f>$C488*AI487</f>
        <v/>
      </c>
      <c r="AJ488">
        <f>$C488*AJ487</f>
        <v/>
      </c>
      <c r="AK488">
        <f>$C488*AK487</f>
        <v/>
      </c>
      <c r="AL488">
        <f>$C488*AL487</f>
        <v/>
      </c>
      <c r="AM488">
        <f>$C488*AM487</f>
        <v/>
      </c>
      <c r="AN488">
        <f>$C488*AN487</f>
        <v/>
      </c>
      <c r="AO488">
        <f>$C488*AO487</f>
        <v/>
      </c>
      <c r="AP488">
        <f>$C488*AP487</f>
        <v/>
      </c>
      <c r="AQ488">
        <f>$C488*AQ487</f>
        <v/>
      </c>
      <c r="AR488">
        <f>$C488*AR487</f>
        <v/>
      </c>
      <c r="AS488">
        <f>$C488*AS487</f>
        <v/>
      </c>
      <c r="AT488">
        <f>$C488*AT487</f>
        <v/>
      </c>
      <c r="AU488">
        <f>$C488*AU487</f>
        <v/>
      </c>
      <c r="AV488">
        <f>$C488*AV487</f>
        <v/>
      </c>
      <c r="AW488">
        <f>$C488*AW487</f>
        <v/>
      </c>
      <c r="AX488">
        <f>$C488*AX487</f>
        <v/>
      </c>
      <c r="AY488">
        <f>$C488*AY487</f>
        <v/>
      </c>
      <c r="AZ488">
        <f>$C488*AZ487</f>
        <v/>
      </c>
      <c r="BA488">
        <f>$C488*BA487</f>
        <v/>
      </c>
      <c r="BB488">
        <f>$C488*BB487</f>
        <v/>
      </c>
      <c r="BC488">
        <f>$C488*BC487</f>
        <v/>
      </c>
      <c r="BD488">
        <f>$C488*BD487</f>
        <v/>
      </c>
      <c r="BE488">
        <f>$C488*BE487</f>
        <v/>
      </c>
      <c r="BF488">
        <f>$C488*BF487</f>
        <v/>
      </c>
      <c r="BG488">
        <f>$C488*BG487</f>
        <v/>
      </c>
      <c r="BH488">
        <f>$C488*BH487</f>
        <v/>
      </c>
      <c r="BI488">
        <f>$C488*BI487</f>
        <v/>
      </c>
      <c r="BJ488">
        <f>$C488*BJ487</f>
        <v/>
      </c>
      <c r="BK488">
        <f>$C488*BK487</f>
        <v/>
      </c>
      <c r="BL488">
        <f>$C488*BL487</f>
        <v/>
      </c>
      <c r="BM488">
        <f>$C488*BM487</f>
        <v/>
      </c>
      <c r="BN488">
        <f>$C488*BN487</f>
        <v/>
      </c>
      <c r="BO488">
        <f>$C488*BO487</f>
        <v/>
      </c>
      <c r="BP488">
        <f>$C488*BP487</f>
        <v/>
      </c>
      <c r="BQ488">
        <f>$C488*BQ487</f>
        <v/>
      </c>
      <c r="BR488">
        <f>$C488*BR487</f>
        <v/>
      </c>
      <c r="BS488">
        <f>$C488*BS487</f>
        <v/>
      </c>
      <c r="BT488">
        <f>$C488*BT487</f>
        <v/>
      </c>
      <c r="BU488">
        <f>$C488*BU487</f>
        <v/>
      </c>
      <c r="BV488">
        <f>$C488*BV487</f>
        <v/>
      </c>
      <c r="BW488">
        <f>$C488*BW487</f>
        <v/>
      </c>
      <c r="BX488">
        <f>$C488*BX487</f>
        <v/>
      </c>
      <c r="BY488">
        <f>$C488*BY487</f>
        <v/>
      </c>
      <c r="BZ488">
        <f>$C488*BZ487</f>
        <v/>
      </c>
      <c r="CA488">
        <f>$C488*CA487</f>
        <v/>
      </c>
      <c r="CB488">
        <f>$C488*CB487</f>
        <v/>
      </c>
      <c r="CC488">
        <f>$C488*CC487</f>
        <v/>
      </c>
      <c r="CD488">
        <f>$C488*CD487</f>
        <v/>
      </c>
      <c r="CE488">
        <f>$C488*CE487</f>
        <v/>
      </c>
      <c r="CF488">
        <f>$C488*CF487</f>
        <v/>
      </c>
      <c r="CG488">
        <f>$C488*CG487</f>
        <v/>
      </c>
      <c r="CH488">
        <f>$C488*CH487</f>
        <v/>
      </c>
      <c r="CI488">
        <f>$C488*CI487</f>
        <v/>
      </c>
      <c r="CJ488">
        <f>$C488*CJ487</f>
        <v/>
      </c>
      <c r="CK488">
        <f>$C488*CK487</f>
        <v/>
      </c>
      <c r="CL488">
        <f>$C488*CL487</f>
        <v/>
      </c>
      <c r="CM488">
        <f>$C488*CM487</f>
        <v/>
      </c>
      <c r="CN488">
        <f>$C488*CN487</f>
        <v/>
      </c>
      <c r="CO488">
        <f>$C488*CO487</f>
        <v/>
      </c>
      <c r="CP488">
        <f>$C488*CP487</f>
        <v/>
      </c>
      <c r="CQ488">
        <f>$C488*CQ487</f>
        <v/>
      </c>
      <c r="CR488">
        <f>$C488*CR487</f>
        <v/>
      </c>
      <c r="CS488">
        <f>$C488*CS487</f>
        <v/>
      </c>
      <c r="CT488">
        <f>$C488*CT487</f>
        <v/>
      </c>
      <c r="CU488">
        <f>$C488*CU487</f>
        <v/>
      </c>
      <c r="CV488">
        <f>$C488*CV487</f>
        <v/>
      </c>
      <c r="CW488">
        <f>$C488*CW487</f>
        <v/>
      </c>
      <c r="CX488">
        <f>$C488*CX487</f>
        <v/>
      </c>
      <c r="CY488">
        <f>$C488*CY487</f>
        <v/>
      </c>
      <c r="CZ488">
        <f>$C488*CZ487</f>
        <v/>
      </c>
      <c r="DA488">
        <f>$C488*DA487</f>
        <v/>
      </c>
      <c r="DB488">
        <f>$C488*DB487</f>
        <v/>
      </c>
      <c r="DC488">
        <f>$C488*DC487</f>
        <v/>
      </c>
    </row>
    <row r="489">
      <c r="B489" t="inlineStr">
        <is>
          <t>VSP-910</t>
        </is>
      </c>
      <c r="C489" t="inlineStr">
        <is>
          <t>No. of batches</t>
        </is>
      </c>
      <c r="D489">
        <f>IFERROR(INDEX(PP_Grid[#Data],$DD489,2),0)</f>
        <v/>
      </c>
      <c r="E489">
        <f>IFERROR(INDEX(PP_Grid[#Data],$DD489,3),0)</f>
        <v/>
      </c>
      <c r="F489">
        <f>IFERROR(INDEX(PP_Grid[#Data],$DD489,4),0)</f>
        <v/>
      </c>
      <c r="G489">
        <f>IFERROR(INDEX(PP_Grid[#Data],$DD489,5),0)</f>
        <v/>
      </c>
      <c r="H489">
        <f>IFERROR(INDEX(PP_Grid[#Data],$DD489,6),0)</f>
        <v/>
      </c>
      <c r="I489">
        <f>IFERROR(INDEX(PP_Grid[#Data],$DD489,7),0)</f>
        <v/>
      </c>
      <c r="J489">
        <f>IFERROR(INDEX(PP_Grid[#Data],$DD489,8),0)</f>
        <v/>
      </c>
      <c r="K489">
        <f>IFERROR(INDEX(PP_Grid[#Data],$DD489,9),0)</f>
        <v/>
      </c>
      <c r="L489">
        <f>IFERROR(INDEX(PP_Grid[#Data],$DD489,10),0)</f>
        <v/>
      </c>
      <c r="M489">
        <f>IFERROR(INDEX(PP_Grid[#Data],$DD489,11),0)</f>
        <v/>
      </c>
      <c r="N489">
        <f>IFERROR(INDEX(PP_Grid[#Data],$DD489,12),0)</f>
        <v/>
      </c>
      <c r="O489">
        <f>IFERROR(INDEX(PP_Grid[#Data],$DD489,13),0)</f>
        <v/>
      </c>
      <c r="P489">
        <f>IFERROR(INDEX(PP_Grid[#Data],$DD489,14),0)</f>
        <v/>
      </c>
      <c r="Q489">
        <f>IFERROR(INDEX(PP_Grid[#Data],$DD489,15),0)</f>
        <v/>
      </c>
      <c r="R489">
        <f>IFERROR(INDEX(PP_Grid[#Data],$DD489,16),0)</f>
        <v/>
      </c>
      <c r="S489">
        <f>IFERROR(INDEX(PP_Grid[#Data],$DD489,17),0)</f>
        <v/>
      </c>
      <c r="T489">
        <f>IFERROR(INDEX(PP_Grid[#Data],$DD489,18),0)</f>
        <v/>
      </c>
      <c r="U489">
        <f>IFERROR(INDEX(PP_Grid[#Data],$DD489,19),0)</f>
        <v/>
      </c>
      <c r="V489">
        <f>IFERROR(INDEX(PP_Grid[#Data],$DD489,20),0)</f>
        <v/>
      </c>
      <c r="W489">
        <f>IFERROR(INDEX(PP_Grid[#Data],$DD489,21),0)</f>
        <v/>
      </c>
      <c r="X489">
        <f>IFERROR(INDEX(PP_Grid[#Data],$DD489,22),0)</f>
        <v/>
      </c>
      <c r="Y489">
        <f>IFERROR(INDEX(PP_Grid[#Data],$DD489,23),0)</f>
        <v/>
      </c>
      <c r="Z489">
        <f>IFERROR(INDEX(PP_Grid[#Data],$DD489,24),0)</f>
        <v/>
      </c>
      <c r="AA489">
        <f>IFERROR(INDEX(PP_Grid[#Data],$DD489,25),0)</f>
        <v/>
      </c>
      <c r="AB489">
        <f>IFERROR(INDEX(PP_Grid[#Data],$DD489,26),0)</f>
        <v/>
      </c>
      <c r="AC489">
        <f>IFERROR(INDEX(PP_Grid[#Data],$DD489,27),0)</f>
        <v/>
      </c>
      <c r="AD489">
        <f>IFERROR(INDEX(PP_Grid[#Data],$DD489,28),0)</f>
        <v/>
      </c>
      <c r="AE489">
        <f>IFERROR(INDEX(PP_Grid[#Data],$DD489,29),0)</f>
        <v/>
      </c>
      <c r="AF489">
        <f>IFERROR(INDEX(PP_Grid[#Data],$DD489,30),0)</f>
        <v/>
      </c>
      <c r="AG489">
        <f>IFERROR(INDEX(PP_Grid[#Data],$DD489,31),0)</f>
        <v/>
      </c>
      <c r="AH489">
        <f>IFERROR(INDEX(PP_Grid[#Data],$DD489,32),0)</f>
        <v/>
      </c>
      <c r="AI489">
        <f>IFERROR(INDEX(PP_Grid[#Data],$DD489,33),0)</f>
        <v/>
      </c>
      <c r="AJ489">
        <f>IFERROR(INDEX(PP_Grid[#Data],$DD489,34),0)</f>
        <v/>
      </c>
      <c r="AK489">
        <f>IFERROR(INDEX(PP_Grid[#Data],$DD489,35),0)</f>
        <v/>
      </c>
      <c r="AL489">
        <f>IFERROR(INDEX(PP_Grid[#Data],$DD489,36),0)</f>
        <v/>
      </c>
      <c r="AM489">
        <f>IFERROR(INDEX(PP_Grid[#Data],$DD489,37),0)</f>
        <v/>
      </c>
      <c r="AN489">
        <f>IFERROR(INDEX(PP_Grid[#Data],$DD489,38),0)</f>
        <v/>
      </c>
      <c r="AO489">
        <f>IFERROR(INDEX(PP_Grid[#Data],$DD489,39),0)</f>
        <v/>
      </c>
      <c r="AP489">
        <f>IFERROR(INDEX(PP_Grid[#Data],$DD489,40),0)</f>
        <v/>
      </c>
      <c r="AQ489">
        <f>IFERROR(INDEX(PP_Grid[#Data],$DD489,41),0)</f>
        <v/>
      </c>
      <c r="AR489">
        <f>IFERROR(INDEX(PP_Grid[#Data],$DD489,42),0)</f>
        <v/>
      </c>
      <c r="AS489">
        <f>IFERROR(INDEX(PP_Grid[#Data],$DD489,43),0)</f>
        <v/>
      </c>
      <c r="AT489">
        <f>IFERROR(INDEX(PP_Grid[#Data],$DD489,44),0)</f>
        <v/>
      </c>
      <c r="AU489">
        <f>IFERROR(INDEX(PP_Grid[#Data],$DD489,45),0)</f>
        <v/>
      </c>
      <c r="AV489">
        <f>IFERROR(INDEX(PP_Grid[#Data],$DD489,46),0)</f>
        <v/>
      </c>
      <c r="AW489">
        <f>IFERROR(INDEX(PP_Grid[#Data],$DD489,47),0)</f>
        <v/>
      </c>
      <c r="AX489">
        <f>IFERROR(INDEX(PP_Grid[#Data],$DD489,48),0)</f>
        <v/>
      </c>
      <c r="AY489">
        <f>IFERROR(INDEX(PP_Grid[#Data],$DD489,49),0)</f>
        <v/>
      </c>
      <c r="AZ489">
        <f>IFERROR(INDEX(PP_Grid[#Data],$DD489,50),0)</f>
        <v/>
      </c>
      <c r="BA489">
        <f>IFERROR(INDEX(PP_Grid[#Data],$DD489,51),0)</f>
        <v/>
      </c>
      <c r="BB489">
        <f>IFERROR(INDEX(PP_Grid[#Data],$DD489,52),0)</f>
        <v/>
      </c>
      <c r="BC489">
        <f>IFERROR(INDEX(PP_Grid[#Data],$DD489,53),0)</f>
        <v/>
      </c>
      <c r="BD489">
        <f>IFERROR(INDEX(PP_Grid[#Data],$DD489,54),0)</f>
        <v/>
      </c>
      <c r="BE489">
        <f>IFERROR(INDEX(PP_Grid[#Data],$DD489,55),0)</f>
        <v/>
      </c>
      <c r="BF489">
        <f>IFERROR(INDEX(PP_Grid[#Data],$DD489,56),0)</f>
        <v/>
      </c>
      <c r="BG489">
        <f>IFERROR(INDEX(PP_Grid[#Data],$DD489,57),0)</f>
        <v/>
      </c>
      <c r="BH489">
        <f>IFERROR(INDEX(PP_Grid[#Data],$DD489,58),0)</f>
        <v/>
      </c>
      <c r="BI489">
        <f>IFERROR(INDEX(PP_Grid[#Data],$DD489,59),0)</f>
        <v/>
      </c>
      <c r="BJ489">
        <f>IFERROR(INDEX(PP_Grid[#Data],$DD489,60),0)</f>
        <v/>
      </c>
      <c r="BK489">
        <f>IFERROR(INDEX(PP_Grid[#Data],$DD489,61),0)</f>
        <v/>
      </c>
      <c r="BL489">
        <f>IFERROR(INDEX(PP_Grid[#Data],$DD489,62),0)</f>
        <v/>
      </c>
      <c r="BM489">
        <f>IFERROR(INDEX(PP_Grid[#Data],$DD489,63),0)</f>
        <v/>
      </c>
      <c r="BN489">
        <f>IFERROR(INDEX(PP_Grid[#Data],$DD489,64),0)</f>
        <v/>
      </c>
      <c r="BO489">
        <f>IFERROR(INDEX(PP_Grid[#Data],$DD489,65),0)</f>
        <v/>
      </c>
      <c r="BP489">
        <f>IFERROR(INDEX(PP_Grid[#Data],$DD489,66),0)</f>
        <v/>
      </c>
      <c r="BQ489">
        <f>IFERROR(INDEX(PP_Grid[#Data],$DD489,67),0)</f>
        <v/>
      </c>
      <c r="BR489">
        <f>IFERROR(INDEX(PP_Grid[#Data],$DD489,68),0)</f>
        <v/>
      </c>
      <c r="BS489">
        <f>IFERROR(INDEX(PP_Grid[#Data],$DD489,69),0)</f>
        <v/>
      </c>
      <c r="BT489">
        <f>IFERROR(INDEX(PP_Grid[#Data],$DD489,70),0)</f>
        <v/>
      </c>
      <c r="BU489">
        <f>IFERROR(INDEX(PP_Grid[#Data],$DD489,71),0)</f>
        <v/>
      </c>
      <c r="BV489">
        <f>IFERROR(INDEX(PP_Grid[#Data],$DD489,72),0)</f>
        <v/>
      </c>
      <c r="BW489">
        <f>IFERROR(INDEX(PP_Grid[#Data],$DD489,73),0)</f>
        <v/>
      </c>
      <c r="BX489">
        <f>IFERROR(INDEX(PP_Grid[#Data],$DD489,74),0)</f>
        <v/>
      </c>
      <c r="BY489">
        <f>IFERROR(INDEX(PP_Grid[#Data],$DD489,75),0)</f>
        <v/>
      </c>
      <c r="BZ489">
        <f>IFERROR(INDEX(PP_Grid[#Data],$DD489,76),0)</f>
        <v/>
      </c>
      <c r="CA489">
        <f>IFERROR(INDEX(PP_Grid[#Data],$DD489,77),0)</f>
        <v/>
      </c>
      <c r="CB489">
        <f>IFERROR(INDEX(PP_Grid[#Data],$DD489,78),0)</f>
        <v/>
      </c>
      <c r="CC489">
        <f>IFERROR(INDEX(PP_Grid[#Data],$DD489,79),0)</f>
        <v/>
      </c>
      <c r="CD489">
        <f>IFERROR(INDEX(PP_Grid[#Data],$DD489,80),0)</f>
        <v/>
      </c>
      <c r="CE489">
        <f>IFERROR(INDEX(PP_Grid[#Data],$DD489,81),0)</f>
        <v/>
      </c>
      <c r="CF489">
        <f>IFERROR(INDEX(PP_Grid[#Data],$DD489,82),0)</f>
        <v/>
      </c>
      <c r="CG489">
        <f>IFERROR(INDEX(PP_Grid[#Data],$DD489,83),0)</f>
        <v/>
      </c>
      <c r="CH489">
        <f>IFERROR(INDEX(PP_Grid[#Data],$DD489,84),0)</f>
        <v/>
      </c>
      <c r="CI489">
        <f>IFERROR(INDEX(PP_Grid[#Data],$DD489,85),0)</f>
        <v/>
      </c>
      <c r="CJ489">
        <f>IFERROR(INDEX(PP_Grid[#Data],$DD489,86),0)</f>
        <v/>
      </c>
      <c r="CK489">
        <f>IFERROR(INDEX(PP_Grid[#Data],$DD489,87),0)</f>
        <v/>
      </c>
      <c r="CL489">
        <f>IFERROR(INDEX(PP_Grid[#Data],$DD489,88),0)</f>
        <v/>
      </c>
      <c r="CM489">
        <f>IFERROR(INDEX(PP_Grid[#Data],$DD489,89),0)</f>
        <v/>
      </c>
      <c r="CN489">
        <f>IFERROR(INDEX(PP_Grid[#Data],$DD489,90),0)</f>
        <v/>
      </c>
      <c r="CO489">
        <f>IFERROR(INDEX(PP_Grid[#Data],$DD489,91),0)</f>
        <v/>
      </c>
      <c r="CP489">
        <f>IFERROR(INDEX(PP_Grid[#Data],$DD489,92),0)</f>
        <v/>
      </c>
      <c r="CQ489">
        <f>IFERROR(INDEX(PP_Grid[#Data],$DD489,93),0)</f>
        <v/>
      </c>
      <c r="CR489">
        <f>IFERROR(INDEX(PP_Grid[#Data],$DD489,94),0)</f>
        <v/>
      </c>
      <c r="CS489">
        <f>IFERROR(INDEX(PP_Grid[#Data],$DD489,95),0)</f>
        <v/>
      </c>
      <c r="CT489">
        <f>IFERROR(INDEX(PP_Grid[#Data],$DD489,96),0)</f>
        <v/>
      </c>
      <c r="CU489">
        <f>IFERROR(INDEX(PP_Grid[#Data],$DD489,97),0)</f>
        <v/>
      </c>
      <c r="CV489">
        <f>IFERROR(INDEX(PP_Grid[#Data],$DD489,98),0)</f>
        <v/>
      </c>
      <c r="CW489">
        <f>IFERROR(INDEX(PP_Grid[#Data],$DD489,99),0)</f>
        <v/>
      </c>
      <c r="CX489">
        <f>IFERROR(INDEX(PP_Grid[#Data],$DD489,100),0)</f>
        <v/>
      </c>
      <c r="CY489">
        <f>IFERROR(INDEX(PP_Grid[#Data],$DD489,101),0)</f>
        <v/>
      </c>
      <c r="CZ489">
        <f>IFERROR(INDEX(PP_Grid[#Data],$DD489,102),0)</f>
        <v/>
      </c>
      <c r="DA489">
        <f>IFERROR(INDEX(PP_Grid[#Data],$DD489,103),0)</f>
        <v/>
      </c>
      <c r="DB489">
        <f>IFERROR(INDEX(PP_Grid[#Data],$DD489,104),0)</f>
        <v/>
      </c>
      <c r="DC489">
        <f>IFERROR(INDEX(PP_Grid[#Data],$DD489,105),0)</f>
        <v/>
      </c>
      <c r="DD489" s="12">
        <f>IFERROR(MATCH($B489,PP_Grid[Intermediate],0),99999)</f>
        <v/>
      </c>
    </row>
    <row r="490">
      <c r="B490" t="inlineStr">
        <is>
          <t>使用量(kg)</t>
        </is>
      </c>
      <c r="C490">
        <f>SUMIFS(M_BOM[RM_Qty_Per_Batch],M_BOM[Intermediate],$B489,M_BOM[Part Name],$A406)</f>
        <v/>
      </c>
      <c r="D490">
        <f>$C490*D489</f>
        <v/>
      </c>
      <c r="E490">
        <f>$C490*E489</f>
        <v/>
      </c>
      <c r="F490">
        <f>$C490*F489</f>
        <v/>
      </c>
      <c r="G490">
        <f>$C490*G489</f>
        <v/>
      </c>
      <c r="H490">
        <f>$C490*H489</f>
        <v/>
      </c>
      <c r="I490">
        <f>$C490*I489</f>
        <v/>
      </c>
      <c r="J490">
        <f>$C490*J489</f>
        <v/>
      </c>
      <c r="K490">
        <f>$C490*K489</f>
        <v/>
      </c>
      <c r="L490">
        <f>$C490*L489</f>
        <v/>
      </c>
      <c r="M490">
        <f>$C490*M489</f>
        <v/>
      </c>
      <c r="N490">
        <f>$C490*N489</f>
        <v/>
      </c>
      <c r="O490">
        <f>$C490*O489</f>
        <v/>
      </c>
      <c r="P490">
        <f>$C490*P489</f>
        <v/>
      </c>
      <c r="Q490">
        <f>$C490*Q489</f>
        <v/>
      </c>
      <c r="R490">
        <f>$C490*R489</f>
        <v/>
      </c>
      <c r="S490">
        <f>$C490*S489</f>
        <v/>
      </c>
      <c r="T490">
        <f>$C490*T489</f>
        <v/>
      </c>
      <c r="U490">
        <f>$C490*U489</f>
        <v/>
      </c>
      <c r="V490">
        <f>$C490*V489</f>
        <v/>
      </c>
      <c r="W490">
        <f>$C490*W489</f>
        <v/>
      </c>
      <c r="X490">
        <f>$C490*X489</f>
        <v/>
      </c>
      <c r="Y490">
        <f>$C490*Y489</f>
        <v/>
      </c>
      <c r="Z490">
        <f>$C490*Z489</f>
        <v/>
      </c>
      <c r="AA490">
        <f>$C490*AA489</f>
        <v/>
      </c>
      <c r="AB490">
        <f>$C490*AB489</f>
        <v/>
      </c>
      <c r="AC490">
        <f>$C490*AC489</f>
        <v/>
      </c>
      <c r="AD490">
        <f>$C490*AD489</f>
        <v/>
      </c>
      <c r="AE490">
        <f>$C490*AE489</f>
        <v/>
      </c>
      <c r="AF490">
        <f>$C490*AF489</f>
        <v/>
      </c>
      <c r="AG490">
        <f>$C490*AG489</f>
        <v/>
      </c>
      <c r="AH490">
        <f>$C490*AH489</f>
        <v/>
      </c>
      <c r="AI490">
        <f>$C490*AI489</f>
        <v/>
      </c>
      <c r="AJ490">
        <f>$C490*AJ489</f>
        <v/>
      </c>
      <c r="AK490">
        <f>$C490*AK489</f>
        <v/>
      </c>
      <c r="AL490">
        <f>$C490*AL489</f>
        <v/>
      </c>
      <c r="AM490">
        <f>$C490*AM489</f>
        <v/>
      </c>
      <c r="AN490">
        <f>$C490*AN489</f>
        <v/>
      </c>
      <c r="AO490">
        <f>$C490*AO489</f>
        <v/>
      </c>
      <c r="AP490">
        <f>$C490*AP489</f>
        <v/>
      </c>
      <c r="AQ490">
        <f>$C490*AQ489</f>
        <v/>
      </c>
      <c r="AR490">
        <f>$C490*AR489</f>
        <v/>
      </c>
      <c r="AS490">
        <f>$C490*AS489</f>
        <v/>
      </c>
      <c r="AT490">
        <f>$C490*AT489</f>
        <v/>
      </c>
      <c r="AU490">
        <f>$C490*AU489</f>
        <v/>
      </c>
      <c r="AV490">
        <f>$C490*AV489</f>
        <v/>
      </c>
      <c r="AW490">
        <f>$C490*AW489</f>
        <v/>
      </c>
      <c r="AX490">
        <f>$C490*AX489</f>
        <v/>
      </c>
      <c r="AY490">
        <f>$C490*AY489</f>
        <v/>
      </c>
      <c r="AZ490">
        <f>$C490*AZ489</f>
        <v/>
      </c>
      <c r="BA490">
        <f>$C490*BA489</f>
        <v/>
      </c>
      <c r="BB490">
        <f>$C490*BB489</f>
        <v/>
      </c>
      <c r="BC490">
        <f>$C490*BC489</f>
        <v/>
      </c>
      <c r="BD490">
        <f>$C490*BD489</f>
        <v/>
      </c>
      <c r="BE490">
        <f>$C490*BE489</f>
        <v/>
      </c>
      <c r="BF490">
        <f>$C490*BF489</f>
        <v/>
      </c>
      <c r="BG490">
        <f>$C490*BG489</f>
        <v/>
      </c>
      <c r="BH490">
        <f>$C490*BH489</f>
        <v/>
      </c>
      <c r="BI490">
        <f>$C490*BI489</f>
        <v/>
      </c>
      <c r="BJ490">
        <f>$C490*BJ489</f>
        <v/>
      </c>
      <c r="BK490">
        <f>$C490*BK489</f>
        <v/>
      </c>
      <c r="BL490">
        <f>$C490*BL489</f>
        <v/>
      </c>
      <c r="BM490">
        <f>$C490*BM489</f>
        <v/>
      </c>
      <c r="BN490">
        <f>$C490*BN489</f>
        <v/>
      </c>
      <c r="BO490">
        <f>$C490*BO489</f>
        <v/>
      </c>
      <c r="BP490">
        <f>$C490*BP489</f>
        <v/>
      </c>
      <c r="BQ490">
        <f>$C490*BQ489</f>
        <v/>
      </c>
      <c r="BR490">
        <f>$C490*BR489</f>
        <v/>
      </c>
      <c r="BS490">
        <f>$C490*BS489</f>
        <v/>
      </c>
      <c r="BT490">
        <f>$C490*BT489</f>
        <v/>
      </c>
      <c r="BU490">
        <f>$C490*BU489</f>
        <v/>
      </c>
      <c r="BV490">
        <f>$C490*BV489</f>
        <v/>
      </c>
      <c r="BW490">
        <f>$C490*BW489</f>
        <v/>
      </c>
      <c r="BX490">
        <f>$C490*BX489</f>
        <v/>
      </c>
      <c r="BY490">
        <f>$C490*BY489</f>
        <v/>
      </c>
      <c r="BZ490">
        <f>$C490*BZ489</f>
        <v/>
      </c>
      <c r="CA490">
        <f>$C490*CA489</f>
        <v/>
      </c>
      <c r="CB490">
        <f>$C490*CB489</f>
        <v/>
      </c>
      <c r="CC490">
        <f>$C490*CC489</f>
        <v/>
      </c>
      <c r="CD490">
        <f>$C490*CD489</f>
        <v/>
      </c>
      <c r="CE490">
        <f>$C490*CE489</f>
        <v/>
      </c>
      <c r="CF490">
        <f>$C490*CF489</f>
        <v/>
      </c>
      <c r="CG490">
        <f>$C490*CG489</f>
        <v/>
      </c>
      <c r="CH490">
        <f>$C490*CH489</f>
        <v/>
      </c>
      <c r="CI490">
        <f>$C490*CI489</f>
        <v/>
      </c>
      <c r="CJ490">
        <f>$C490*CJ489</f>
        <v/>
      </c>
      <c r="CK490">
        <f>$C490*CK489</f>
        <v/>
      </c>
      <c r="CL490">
        <f>$C490*CL489</f>
        <v/>
      </c>
      <c r="CM490">
        <f>$C490*CM489</f>
        <v/>
      </c>
      <c r="CN490">
        <f>$C490*CN489</f>
        <v/>
      </c>
      <c r="CO490">
        <f>$C490*CO489</f>
        <v/>
      </c>
      <c r="CP490">
        <f>$C490*CP489</f>
        <v/>
      </c>
      <c r="CQ490">
        <f>$C490*CQ489</f>
        <v/>
      </c>
      <c r="CR490">
        <f>$C490*CR489</f>
        <v/>
      </c>
      <c r="CS490">
        <f>$C490*CS489</f>
        <v/>
      </c>
      <c r="CT490">
        <f>$C490*CT489</f>
        <v/>
      </c>
      <c r="CU490">
        <f>$C490*CU489</f>
        <v/>
      </c>
      <c r="CV490">
        <f>$C490*CV489</f>
        <v/>
      </c>
      <c r="CW490">
        <f>$C490*CW489</f>
        <v/>
      </c>
      <c r="CX490">
        <f>$C490*CX489</f>
        <v/>
      </c>
      <c r="CY490">
        <f>$C490*CY489</f>
        <v/>
      </c>
      <c r="CZ490">
        <f>$C490*CZ489</f>
        <v/>
      </c>
      <c r="DA490">
        <f>$C490*DA489</f>
        <v/>
      </c>
      <c r="DB490">
        <f>$C490*DB489</f>
        <v/>
      </c>
      <c r="DC490">
        <f>$C490*DC489</f>
        <v/>
      </c>
    </row>
    <row r="491">
      <c r="B491" t="inlineStr">
        <is>
          <t>VSP-989</t>
        </is>
      </c>
      <c r="C491" t="inlineStr">
        <is>
          <t>No. of batches</t>
        </is>
      </c>
      <c r="D491">
        <f>IFERROR(INDEX(PP_Grid[#Data],$DD491,2),0)</f>
        <v/>
      </c>
      <c r="E491">
        <f>IFERROR(INDEX(PP_Grid[#Data],$DD491,3),0)</f>
        <v/>
      </c>
      <c r="F491">
        <f>IFERROR(INDEX(PP_Grid[#Data],$DD491,4),0)</f>
        <v/>
      </c>
      <c r="G491">
        <f>IFERROR(INDEX(PP_Grid[#Data],$DD491,5),0)</f>
        <v/>
      </c>
      <c r="H491">
        <f>IFERROR(INDEX(PP_Grid[#Data],$DD491,6),0)</f>
        <v/>
      </c>
      <c r="I491">
        <f>IFERROR(INDEX(PP_Grid[#Data],$DD491,7),0)</f>
        <v/>
      </c>
      <c r="J491">
        <f>IFERROR(INDEX(PP_Grid[#Data],$DD491,8),0)</f>
        <v/>
      </c>
      <c r="K491">
        <f>IFERROR(INDEX(PP_Grid[#Data],$DD491,9),0)</f>
        <v/>
      </c>
      <c r="L491">
        <f>IFERROR(INDEX(PP_Grid[#Data],$DD491,10),0)</f>
        <v/>
      </c>
      <c r="M491">
        <f>IFERROR(INDEX(PP_Grid[#Data],$DD491,11),0)</f>
        <v/>
      </c>
      <c r="N491">
        <f>IFERROR(INDEX(PP_Grid[#Data],$DD491,12),0)</f>
        <v/>
      </c>
      <c r="O491">
        <f>IFERROR(INDEX(PP_Grid[#Data],$DD491,13),0)</f>
        <v/>
      </c>
      <c r="P491">
        <f>IFERROR(INDEX(PP_Grid[#Data],$DD491,14),0)</f>
        <v/>
      </c>
      <c r="Q491">
        <f>IFERROR(INDEX(PP_Grid[#Data],$DD491,15),0)</f>
        <v/>
      </c>
      <c r="R491">
        <f>IFERROR(INDEX(PP_Grid[#Data],$DD491,16),0)</f>
        <v/>
      </c>
      <c r="S491">
        <f>IFERROR(INDEX(PP_Grid[#Data],$DD491,17),0)</f>
        <v/>
      </c>
      <c r="T491">
        <f>IFERROR(INDEX(PP_Grid[#Data],$DD491,18),0)</f>
        <v/>
      </c>
      <c r="U491">
        <f>IFERROR(INDEX(PP_Grid[#Data],$DD491,19),0)</f>
        <v/>
      </c>
      <c r="V491">
        <f>IFERROR(INDEX(PP_Grid[#Data],$DD491,20),0)</f>
        <v/>
      </c>
      <c r="W491">
        <f>IFERROR(INDEX(PP_Grid[#Data],$DD491,21),0)</f>
        <v/>
      </c>
      <c r="X491">
        <f>IFERROR(INDEX(PP_Grid[#Data],$DD491,22),0)</f>
        <v/>
      </c>
      <c r="Y491">
        <f>IFERROR(INDEX(PP_Grid[#Data],$DD491,23),0)</f>
        <v/>
      </c>
      <c r="Z491">
        <f>IFERROR(INDEX(PP_Grid[#Data],$DD491,24),0)</f>
        <v/>
      </c>
      <c r="AA491">
        <f>IFERROR(INDEX(PP_Grid[#Data],$DD491,25),0)</f>
        <v/>
      </c>
      <c r="AB491">
        <f>IFERROR(INDEX(PP_Grid[#Data],$DD491,26),0)</f>
        <v/>
      </c>
      <c r="AC491">
        <f>IFERROR(INDEX(PP_Grid[#Data],$DD491,27),0)</f>
        <v/>
      </c>
      <c r="AD491">
        <f>IFERROR(INDEX(PP_Grid[#Data],$DD491,28),0)</f>
        <v/>
      </c>
      <c r="AE491">
        <f>IFERROR(INDEX(PP_Grid[#Data],$DD491,29),0)</f>
        <v/>
      </c>
      <c r="AF491">
        <f>IFERROR(INDEX(PP_Grid[#Data],$DD491,30),0)</f>
        <v/>
      </c>
      <c r="AG491">
        <f>IFERROR(INDEX(PP_Grid[#Data],$DD491,31),0)</f>
        <v/>
      </c>
      <c r="AH491">
        <f>IFERROR(INDEX(PP_Grid[#Data],$DD491,32),0)</f>
        <v/>
      </c>
      <c r="AI491">
        <f>IFERROR(INDEX(PP_Grid[#Data],$DD491,33),0)</f>
        <v/>
      </c>
      <c r="AJ491">
        <f>IFERROR(INDEX(PP_Grid[#Data],$DD491,34),0)</f>
        <v/>
      </c>
      <c r="AK491">
        <f>IFERROR(INDEX(PP_Grid[#Data],$DD491,35),0)</f>
        <v/>
      </c>
      <c r="AL491">
        <f>IFERROR(INDEX(PP_Grid[#Data],$DD491,36),0)</f>
        <v/>
      </c>
      <c r="AM491">
        <f>IFERROR(INDEX(PP_Grid[#Data],$DD491,37),0)</f>
        <v/>
      </c>
      <c r="AN491">
        <f>IFERROR(INDEX(PP_Grid[#Data],$DD491,38),0)</f>
        <v/>
      </c>
      <c r="AO491">
        <f>IFERROR(INDEX(PP_Grid[#Data],$DD491,39),0)</f>
        <v/>
      </c>
      <c r="AP491">
        <f>IFERROR(INDEX(PP_Grid[#Data],$DD491,40),0)</f>
        <v/>
      </c>
      <c r="AQ491">
        <f>IFERROR(INDEX(PP_Grid[#Data],$DD491,41),0)</f>
        <v/>
      </c>
      <c r="AR491">
        <f>IFERROR(INDEX(PP_Grid[#Data],$DD491,42),0)</f>
        <v/>
      </c>
      <c r="AS491">
        <f>IFERROR(INDEX(PP_Grid[#Data],$DD491,43),0)</f>
        <v/>
      </c>
      <c r="AT491">
        <f>IFERROR(INDEX(PP_Grid[#Data],$DD491,44),0)</f>
        <v/>
      </c>
      <c r="AU491">
        <f>IFERROR(INDEX(PP_Grid[#Data],$DD491,45),0)</f>
        <v/>
      </c>
      <c r="AV491">
        <f>IFERROR(INDEX(PP_Grid[#Data],$DD491,46),0)</f>
        <v/>
      </c>
      <c r="AW491">
        <f>IFERROR(INDEX(PP_Grid[#Data],$DD491,47),0)</f>
        <v/>
      </c>
      <c r="AX491">
        <f>IFERROR(INDEX(PP_Grid[#Data],$DD491,48),0)</f>
        <v/>
      </c>
      <c r="AY491">
        <f>IFERROR(INDEX(PP_Grid[#Data],$DD491,49),0)</f>
        <v/>
      </c>
      <c r="AZ491">
        <f>IFERROR(INDEX(PP_Grid[#Data],$DD491,50),0)</f>
        <v/>
      </c>
      <c r="BA491">
        <f>IFERROR(INDEX(PP_Grid[#Data],$DD491,51),0)</f>
        <v/>
      </c>
      <c r="BB491">
        <f>IFERROR(INDEX(PP_Grid[#Data],$DD491,52),0)</f>
        <v/>
      </c>
      <c r="BC491">
        <f>IFERROR(INDEX(PP_Grid[#Data],$DD491,53),0)</f>
        <v/>
      </c>
      <c r="BD491">
        <f>IFERROR(INDEX(PP_Grid[#Data],$DD491,54),0)</f>
        <v/>
      </c>
      <c r="BE491">
        <f>IFERROR(INDEX(PP_Grid[#Data],$DD491,55),0)</f>
        <v/>
      </c>
      <c r="BF491">
        <f>IFERROR(INDEX(PP_Grid[#Data],$DD491,56),0)</f>
        <v/>
      </c>
      <c r="BG491">
        <f>IFERROR(INDEX(PP_Grid[#Data],$DD491,57),0)</f>
        <v/>
      </c>
      <c r="BH491">
        <f>IFERROR(INDEX(PP_Grid[#Data],$DD491,58),0)</f>
        <v/>
      </c>
      <c r="BI491">
        <f>IFERROR(INDEX(PP_Grid[#Data],$DD491,59),0)</f>
        <v/>
      </c>
      <c r="BJ491">
        <f>IFERROR(INDEX(PP_Grid[#Data],$DD491,60),0)</f>
        <v/>
      </c>
      <c r="BK491">
        <f>IFERROR(INDEX(PP_Grid[#Data],$DD491,61),0)</f>
        <v/>
      </c>
      <c r="BL491">
        <f>IFERROR(INDEX(PP_Grid[#Data],$DD491,62),0)</f>
        <v/>
      </c>
      <c r="BM491">
        <f>IFERROR(INDEX(PP_Grid[#Data],$DD491,63),0)</f>
        <v/>
      </c>
      <c r="BN491">
        <f>IFERROR(INDEX(PP_Grid[#Data],$DD491,64),0)</f>
        <v/>
      </c>
      <c r="BO491">
        <f>IFERROR(INDEX(PP_Grid[#Data],$DD491,65),0)</f>
        <v/>
      </c>
      <c r="BP491">
        <f>IFERROR(INDEX(PP_Grid[#Data],$DD491,66),0)</f>
        <v/>
      </c>
      <c r="BQ491">
        <f>IFERROR(INDEX(PP_Grid[#Data],$DD491,67),0)</f>
        <v/>
      </c>
      <c r="BR491">
        <f>IFERROR(INDEX(PP_Grid[#Data],$DD491,68),0)</f>
        <v/>
      </c>
      <c r="BS491">
        <f>IFERROR(INDEX(PP_Grid[#Data],$DD491,69),0)</f>
        <v/>
      </c>
      <c r="BT491">
        <f>IFERROR(INDEX(PP_Grid[#Data],$DD491,70),0)</f>
        <v/>
      </c>
      <c r="BU491">
        <f>IFERROR(INDEX(PP_Grid[#Data],$DD491,71),0)</f>
        <v/>
      </c>
      <c r="BV491">
        <f>IFERROR(INDEX(PP_Grid[#Data],$DD491,72),0)</f>
        <v/>
      </c>
      <c r="BW491">
        <f>IFERROR(INDEX(PP_Grid[#Data],$DD491,73),0)</f>
        <v/>
      </c>
      <c r="BX491">
        <f>IFERROR(INDEX(PP_Grid[#Data],$DD491,74),0)</f>
        <v/>
      </c>
      <c r="BY491">
        <f>IFERROR(INDEX(PP_Grid[#Data],$DD491,75),0)</f>
        <v/>
      </c>
      <c r="BZ491">
        <f>IFERROR(INDEX(PP_Grid[#Data],$DD491,76),0)</f>
        <v/>
      </c>
      <c r="CA491">
        <f>IFERROR(INDEX(PP_Grid[#Data],$DD491,77),0)</f>
        <v/>
      </c>
      <c r="CB491">
        <f>IFERROR(INDEX(PP_Grid[#Data],$DD491,78),0)</f>
        <v/>
      </c>
      <c r="CC491">
        <f>IFERROR(INDEX(PP_Grid[#Data],$DD491,79),0)</f>
        <v/>
      </c>
      <c r="CD491">
        <f>IFERROR(INDEX(PP_Grid[#Data],$DD491,80),0)</f>
        <v/>
      </c>
      <c r="CE491">
        <f>IFERROR(INDEX(PP_Grid[#Data],$DD491,81),0)</f>
        <v/>
      </c>
      <c r="CF491">
        <f>IFERROR(INDEX(PP_Grid[#Data],$DD491,82),0)</f>
        <v/>
      </c>
      <c r="CG491">
        <f>IFERROR(INDEX(PP_Grid[#Data],$DD491,83),0)</f>
        <v/>
      </c>
      <c r="CH491">
        <f>IFERROR(INDEX(PP_Grid[#Data],$DD491,84),0)</f>
        <v/>
      </c>
      <c r="CI491">
        <f>IFERROR(INDEX(PP_Grid[#Data],$DD491,85),0)</f>
        <v/>
      </c>
      <c r="CJ491">
        <f>IFERROR(INDEX(PP_Grid[#Data],$DD491,86),0)</f>
        <v/>
      </c>
      <c r="CK491">
        <f>IFERROR(INDEX(PP_Grid[#Data],$DD491,87),0)</f>
        <v/>
      </c>
      <c r="CL491">
        <f>IFERROR(INDEX(PP_Grid[#Data],$DD491,88),0)</f>
        <v/>
      </c>
      <c r="CM491">
        <f>IFERROR(INDEX(PP_Grid[#Data],$DD491,89),0)</f>
        <v/>
      </c>
      <c r="CN491">
        <f>IFERROR(INDEX(PP_Grid[#Data],$DD491,90),0)</f>
        <v/>
      </c>
      <c r="CO491">
        <f>IFERROR(INDEX(PP_Grid[#Data],$DD491,91),0)</f>
        <v/>
      </c>
      <c r="CP491">
        <f>IFERROR(INDEX(PP_Grid[#Data],$DD491,92),0)</f>
        <v/>
      </c>
      <c r="CQ491">
        <f>IFERROR(INDEX(PP_Grid[#Data],$DD491,93),0)</f>
        <v/>
      </c>
      <c r="CR491">
        <f>IFERROR(INDEX(PP_Grid[#Data],$DD491,94),0)</f>
        <v/>
      </c>
      <c r="CS491">
        <f>IFERROR(INDEX(PP_Grid[#Data],$DD491,95),0)</f>
        <v/>
      </c>
      <c r="CT491">
        <f>IFERROR(INDEX(PP_Grid[#Data],$DD491,96),0)</f>
        <v/>
      </c>
      <c r="CU491">
        <f>IFERROR(INDEX(PP_Grid[#Data],$DD491,97),0)</f>
        <v/>
      </c>
      <c r="CV491">
        <f>IFERROR(INDEX(PP_Grid[#Data],$DD491,98),0)</f>
        <v/>
      </c>
      <c r="CW491">
        <f>IFERROR(INDEX(PP_Grid[#Data],$DD491,99),0)</f>
        <v/>
      </c>
      <c r="CX491">
        <f>IFERROR(INDEX(PP_Grid[#Data],$DD491,100),0)</f>
        <v/>
      </c>
      <c r="CY491">
        <f>IFERROR(INDEX(PP_Grid[#Data],$DD491,101),0)</f>
        <v/>
      </c>
      <c r="CZ491">
        <f>IFERROR(INDEX(PP_Grid[#Data],$DD491,102),0)</f>
        <v/>
      </c>
      <c r="DA491">
        <f>IFERROR(INDEX(PP_Grid[#Data],$DD491,103),0)</f>
        <v/>
      </c>
      <c r="DB491">
        <f>IFERROR(INDEX(PP_Grid[#Data],$DD491,104),0)</f>
        <v/>
      </c>
      <c r="DC491">
        <f>IFERROR(INDEX(PP_Grid[#Data],$DD491,105),0)</f>
        <v/>
      </c>
      <c r="DD491" s="12">
        <f>IFERROR(MATCH($B491,PP_Grid[Intermediate],0),99999)</f>
        <v/>
      </c>
    </row>
    <row r="492">
      <c r="B492" t="inlineStr">
        <is>
          <t>使用量(kg)</t>
        </is>
      </c>
      <c r="C492">
        <f>SUMIFS(M_BOM[RM_Qty_Per_Batch],M_BOM[Intermediate],$B491,M_BOM[Part Name],$A406)</f>
        <v/>
      </c>
      <c r="D492">
        <f>$C492*D491</f>
        <v/>
      </c>
      <c r="E492">
        <f>$C492*E491</f>
        <v/>
      </c>
      <c r="F492">
        <f>$C492*F491</f>
        <v/>
      </c>
      <c r="G492">
        <f>$C492*G491</f>
        <v/>
      </c>
      <c r="H492">
        <f>$C492*H491</f>
        <v/>
      </c>
      <c r="I492">
        <f>$C492*I491</f>
        <v/>
      </c>
      <c r="J492">
        <f>$C492*J491</f>
        <v/>
      </c>
      <c r="K492">
        <f>$C492*K491</f>
        <v/>
      </c>
      <c r="L492">
        <f>$C492*L491</f>
        <v/>
      </c>
      <c r="M492">
        <f>$C492*M491</f>
        <v/>
      </c>
      <c r="N492">
        <f>$C492*N491</f>
        <v/>
      </c>
      <c r="O492">
        <f>$C492*O491</f>
        <v/>
      </c>
      <c r="P492">
        <f>$C492*P491</f>
        <v/>
      </c>
      <c r="Q492">
        <f>$C492*Q491</f>
        <v/>
      </c>
      <c r="R492">
        <f>$C492*R491</f>
        <v/>
      </c>
      <c r="S492">
        <f>$C492*S491</f>
        <v/>
      </c>
      <c r="T492">
        <f>$C492*T491</f>
        <v/>
      </c>
      <c r="U492">
        <f>$C492*U491</f>
        <v/>
      </c>
      <c r="V492">
        <f>$C492*V491</f>
        <v/>
      </c>
      <c r="W492">
        <f>$C492*W491</f>
        <v/>
      </c>
      <c r="X492">
        <f>$C492*X491</f>
        <v/>
      </c>
      <c r="Y492">
        <f>$C492*Y491</f>
        <v/>
      </c>
      <c r="Z492">
        <f>$C492*Z491</f>
        <v/>
      </c>
      <c r="AA492">
        <f>$C492*AA491</f>
        <v/>
      </c>
      <c r="AB492">
        <f>$C492*AB491</f>
        <v/>
      </c>
      <c r="AC492">
        <f>$C492*AC491</f>
        <v/>
      </c>
      <c r="AD492">
        <f>$C492*AD491</f>
        <v/>
      </c>
      <c r="AE492">
        <f>$C492*AE491</f>
        <v/>
      </c>
      <c r="AF492">
        <f>$C492*AF491</f>
        <v/>
      </c>
      <c r="AG492">
        <f>$C492*AG491</f>
        <v/>
      </c>
      <c r="AH492">
        <f>$C492*AH491</f>
        <v/>
      </c>
      <c r="AI492">
        <f>$C492*AI491</f>
        <v/>
      </c>
      <c r="AJ492">
        <f>$C492*AJ491</f>
        <v/>
      </c>
      <c r="AK492">
        <f>$C492*AK491</f>
        <v/>
      </c>
      <c r="AL492">
        <f>$C492*AL491</f>
        <v/>
      </c>
      <c r="AM492">
        <f>$C492*AM491</f>
        <v/>
      </c>
      <c r="AN492">
        <f>$C492*AN491</f>
        <v/>
      </c>
      <c r="AO492">
        <f>$C492*AO491</f>
        <v/>
      </c>
      <c r="AP492">
        <f>$C492*AP491</f>
        <v/>
      </c>
      <c r="AQ492">
        <f>$C492*AQ491</f>
        <v/>
      </c>
      <c r="AR492">
        <f>$C492*AR491</f>
        <v/>
      </c>
      <c r="AS492">
        <f>$C492*AS491</f>
        <v/>
      </c>
      <c r="AT492">
        <f>$C492*AT491</f>
        <v/>
      </c>
      <c r="AU492">
        <f>$C492*AU491</f>
        <v/>
      </c>
      <c r="AV492">
        <f>$C492*AV491</f>
        <v/>
      </c>
      <c r="AW492">
        <f>$C492*AW491</f>
        <v/>
      </c>
      <c r="AX492">
        <f>$C492*AX491</f>
        <v/>
      </c>
      <c r="AY492">
        <f>$C492*AY491</f>
        <v/>
      </c>
      <c r="AZ492">
        <f>$C492*AZ491</f>
        <v/>
      </c>
      <c r="BA492">
        <f>$C492*BA491</f>
        <v/>
      </c>
      <c r="BB492">
        <f>$C492*BB491</f>
        <v/>
      </c>
      <c r="BC492">
        <f>$C492*BC491</f>
        <v/>
      </c>
      <c r="BD492">
        <f>$C492*BD491</f>
        <v/>
      </c>
      <c r="BE492">
        <f>$C492*BE491</f>
        <v/>
      </c>
      <c r="BF492">
        <f>$C492*BF491</f>
        <v/>
      </c>
      <c r="BG492">
        <f>$C492*BG491</f>
        <v/>
      </c>
      <c r="BH492">
        <f>$C492*BH491</f>
        <v/>
      </c>
      <c r="BI492">
        <f>$C492*BI491</f>
        <v/>
      </c>
      <c r="BJ492">
        <f>$C492*BJ491</f>
        <v/>
      </c>
      <c r="BK492">
        <f>$C492*BK491</f>
        <v/>
      </c>
      <c r="BL492">
        <f>$C492*BL491</f>
        <v/>
      </c>
      <c r="BM492">
        <f>$C492*BM491</f>
        <v/>
      </c>
      <c r="BN492">
        <f>$C492*BN491</f>
        <v/>
      </c>
      <c r="BO492">
        <f>$C492*BO491</f>
        <v/>
      </c>
      <c r="BP492">
        <f>$C492*BP491</f>
        <v/>
      </c>
      <c r="BQ492">
        <f>$C492*BQ491</f>
        <v/>
      </c>
      <c r="BR492">
        <f>$C492*BR491</f>
        <v/>
      </c>
      <c r="BS492">
        <f>$C492*BS491</f>
        <v/>
      </c>
      <c r="BT492">
        <f>$C492*BT491</f>
        <v/>
      </c>
      <c r="BU492">
        <f>$C492*BU491</f>
        <v/>
      </c>
      <c r="BV492">
        <f>$C492*BV491</f>
        <v/>
      </c>
      <c r="BW492">
        <f>$C492*BW491</f>
        <v/>
      </c>
      <c r="BX492">
        <f>$C492*BX491</f>
        <v/>
      </c>
      <c r="BY492">
        <f>$C492*BY491</f>
        <v/>
      </c>
      <c r="BZ492">
        <f>$C492*BZ491</f>
        <v/>
      </c>
      <c r="CA492">
        <f>$C492*CA491</f>
        <v/>
      </c>
      <c r="CB492">
        <f>$C492*CB491</f>
        <v/>
      </c>
      <c r="CC492">
        <f>$C492*CC491</f>
        <v/>
      </c>
      <c r="CD492">
        <f>$C492*CD491</f>
        <v/>
      </c>
      <c r="CE492">
        <f>$C492*CE491</f>
        <v/>
      </c>
      <c r="CF492">
        <f>$C492*CF491</f>
        <v/>
      </c>
      <c r="CG492">
        <f>$C492*CG491</f>
        <v/>
      </c>
      <c r="CH492">
        <f>$C492*CH491</f>
        <v/>
      </c>
      <c r="CI492">
        <f>$C492*CI491</f>
        <v/>
      </c>
      <c r="CJ492">
        <f>$C492*CJ491</f>
        <v/>
      </c>
      <c r="CK492">
        <f>$C492*CK491</f>
        <v/>
      </c>
      <c r="CL492">
        <f>$C492*CL491</f>
        <v/>
      </c>
      <c r="CM492">
        <f>$C492*CM491</f>
        <v/>
      </c>
      <c r="CN492">
        <f>$C492*CN491</f>
        <v/>
      </c>
      <c r="CO492">
        <f>$C492*CO491</f>
        <v/>
      </c>
      <c r="CP492">
        <f>$C492*CP491</f>
        <v/>
      </c>
      <c r="CQ492">
        <f>$C492*CQ491</f>
        <v/>
      </c>
      <c r="CR492">
        <f>$C492*CR491</f>
        <v/>
      </c>
      <c r="CS492">
        <f>$C492*CS491</f>
        <v/>
      </c>
      <c r="CT492">
        <f>$C492*CT491</f>
        <v/>
      </c>
      <c r="CU492">
        <f>$C492*CU491</f>
        <v/>
      </c>
      <c r="CV492">
        <f>$C492*CV491</f>
        <v/>
      </c>
      <c r="CW492">
        <f>$C492*CW491</f>
        <v/>
      </c>
      <c r="CX492">
        <f>$C492*CX491</f>
        <v/>
      </c>
      <c r="CY492">
        <f>$C492*CY491</f>
        <v/>
      </c>
      <c r="CZ492">
        <f>$C492*CZ491</f>
        <v/>
      </c>
      <c r="DA492">
        <f>$C492*DA491</f>
        <v/>
      </c>
      <c r="DB492">
        <f>$C492*DB491</f>
        <v/>
      </c>
      <c r="DC492">
        <f>$C492*DC491</f>
        <v/>
      </c>
    </row>
    <row r="493">
      <c r="B493" t="inlineStr">
        <is>
          <t>VSP-990</t>
        </is>
      </c>
      <c r="C493" t="inlineStr">
        <is>
          <t>No. of batches</t>
        </is>
      </c>
      <c r="D493">
        <f>IFERROR(INDEX(PP_Grid[#Data],$DD493,2),0)</f>
        <v/>
      </c>
      <c r="E493">
        <f>IFERROR(INDEX(PP_Grid[#Data],$DD493,3),0)</f>
        <v/>
      </c>
      <c r="F493">
        <f>IFERROR(INDEX(PP_Grid[#Data],$DD493,4),0)</f>
        <v/>
      </c>
      <c r="G493">
        <f>IFERROR(INDEX(PP_Grid[#Data],$DD493,5),0)</f>
        <v/>
      </c>
      <c r="H493">
        <f>IFERROR(INDEX(PP_Grid[#Data],$DD493,6),0)</f>
        <v/>
      </c>
      <c r="I493">
        <f>IFERROR(INDEX(PP_Grid[#Data],$DD493,7),0)</f>
        <v/>
      </c>
      <c r="J493">
        <f>IFERROR(INDEX(PP_Grid[#Data],$DD493,8),0)</f>
        <v/>
      </c>
      <c r="K493">
        <f>IFERROR(INDEX(PP_Grid[#Data],$DD493,9),0)</f>
        <v/>
      </c>
      <c r="L493">
        <f>IFERROR(INDEX(PP_Grid[#Data],$DD493,10),0)</f>
        <v/>
      </c>
      <c r="M493">
        <f>IFERROR(INDEX(PP_Grid[#Data],$DD493,11),0)</f>
        <v/>
      </c>
      <c r="N493">
        <f>IFERROR(INDEX(PP_Grid[#Data],$DD493,12),0)</f>
        <v/>
      </c>
      <c r="O493">
        <f>IFERROR(INDEX(PP_Grid[#Data],$DD493,13),0)</f>
        <v/>
      </c>
      <c r="P493">
        <f>IFERROR(INDEX(PP_Grid[#Data],$DD493,14),0)</f>
        <v/>
      </c>
      <c r="Q493">
        <f>IFERROR(INDEX(PP_Grid[#Data],$DD493,15),0)</f>
        <v/>
      </c>
      <c r="R493">
        <f>IFERROR(INDEX(PP_Grid[#Data],$DD493,16),0)</f>
        <v/>
      </c>
      <c r="S493">
        <f>IFERROR(INDEX(PP_Grid[#Data],$DD493,17),0)</f>
        <v/>
      </c>
      <c r="T493">
        <f>IFERROR(INDEX(PP_Grid[#Data],$DD493,18),0)</f>
        <v/>
      </c>
      <c r="U493">
        <f>IFERROR(INDEX(PP_Grid[#Data],$DD493,19),0)</f>
        <v/>
      </c>
      <c r="V493">
        <f>IFERROR(INDEX(PP_Grid[#Data],$DD493,20),0)</f>
        <v/>
      </c>
      <c r="W493">
        <f>IFERROR(INDEX(PP_Grid[#Data],$DD493,21),0)</f>
        <v/>
      </c>
      <c r="X493">
        <f>IFERROR(INDEX(PP_Grid[#Data],$DD493,22),0)</f>
        <v/>
      </c>
      <c r="Y493">
        <f>IFERROR(INDEX(PP_Grid[#Data],$DD493,23),0)</f>
        <v/>
      </c>
      <c r="Z493">
        <f>IFERROR(INDEX(PP_Grid[#Data],$DD493,24),0)</f>
        <v/>
      </c>
      <c r="AA493">
        <f>IFERROR(INDEX(PP_Grid[#Data],$DD493,25),0)</f>
        <v/>
      </c>
      <c r="AB493">
        <f>IFERROR(INDEX(PP_Grid[#Data],$DD493,26),0)</f>
        <v/>
      </c>
      <c r="AC493">
        <f>IFERROR(INDEX(PP_Grid[#Data],$DD493,27),0)</f>
        <v/>
      </c>
      <c r="AD493">
        <f>IFERROR(INDEX(PP_Grid[#Data],$DD493,28),0)</f>
        <v/>
      </c>
      <c r="AE493">
        <f>IFERROR(INDEX(PP_Grid[#Data],$DD493,29),0)</f>
        <v/>
      </c>
      <c r="AF493">
        <f>IFERROR(INDEX(PP_Grid[#Data],$DD493,30),0)</f>
        <v/>
      </c>
      <c r="AG493">
        <f>IFERROR(INDEX(PP_Grid[#Data],$DD493,31),0)</f>
        <v/>
      </c>
      <c r="AH493">
        <f>IFERROR(INDEX(PP_Grid[#Data],$DD493,32),0)</f>
        <v/>
      </c>
      <c r="AI493">
        <f>IFERROR(INDEX(PP_Grid[#Data],$DD493,33),0)</f>
        <v/>
      </c>
      <c r="AJ493">
        <f>IFERROR(INDEX(PP_Grid[#Data],$DD493,34),0)</f>
        <v/>
      </c>
      <c r="AK493">
        <f>IFERROR(INDEX(PP_Grid[#Data],$DD493,35),0)</f>
        <v/>
      </c>
      <c r="AL493">
        <f>IFERROR(INDEX(PP_Grid[#Data],$DD493,36),0)</f>
        <v/>
      </c>
      <c r="AM493">
        <f>IFERROR(INDEX(PP_Grid[#Data],$DD493,37),0)</f>
        <v/>
      </c>
      <c r="AN493">
        <f>IFERROR(INDEX(PP_Grid[#Data],$DD493,38),0)</f>
        <v/>
      </c>
      <c r="AO493">
        <f>IFERROR(INDEX(PP_Grid[#Data],$DD493,39),0)</f>
        <v/>
      </c>
      <c r="AP493">
        <f>IFERROR(INDEX(PP_Grid[#Data],$DD493,40),0)</f>
        <v/>
      </c>
      <c r="AQ493">
        <f>IFERROR(INDEX(PP_Grid[#Data],$DD493,41),0)</f>
        <v/>
      </c>
      <c r="AR493">
        <f>IFERROR(INDEX(PP_Grid[#Data],$DD493,42),0)</f>
        <v/>
      </c>
      <c r="AS493">
        <f>IFERROR(INDEX(PP_Grid[#Data],$DD493,43),0)</f>
        <v/>
      </c>
      <c r="AT493">
        <f>IFERROR(INDEX(PP_Grid[#Data],$DD493,44),0)</f>
        <v/>
      </c>
      <c r="AU493">
        <f>IFERROR(INDEX(PP_Grid[#Data],$DD493,45),0)</f>
        <v/>
      </c>
      <c r="AV493">
        <f>IFERROR(INDEX(PP_Grid[#Data],$DD493,46),0)</f>
        <v/>
      </c>
      <c r="AW493">
        <f>IFERROR(INDEX(PP_Grid[#Data],$DD493,47),0)</f>
        <v/>
      </c>
      <c r="AX493">
        <f>IFERROR(INDEX(PP_Grid[#Data],$DD493,48),0)</f>
        <v/>
      </c>
      <c r="AY493">
        <f>IFERROR(INDEX(PP_Grid[#Data],$DD493,49),0)</f>
        <v/>
      </c>
      <c r="AZ493">
        <f>IFERROR(INDEX(PP_Grid[#Data],$DD493,50),0)</f>
        <v/>
      </c>
      <c r="BA493">
        <f>IFERROR(INDEX(PP_Grid[#Data],$DD493,51),0)</f>
        <v/>
      </c>
      <c r="BB493">
        <f>IFERROR(INDEX(PP_Grid[#Data],$DD493,52),0)</f>
        <v/>
      </c>
      <c r="BC493">
        <f>IFERROR(INDEX(PP_Grid[#Data],$DD493,53),0)</f>
        <v/>
      </c>
      <c r="BD493">
        <f>IFERROR(INDEX(PP_Grid[#Data],$DD493,54),0)</f>
        <v/>
      </c>
      <c r="BE493">
        <f>IFERROR(INDEX(PP_Grid[#Data],$DD493,55),0)</f>
        <v/>
      </c>
      <c r="BF493">
        <f>IFERROR(INDEX(PP_Grid[#Data],$DD493,56),0)</f>
        <v/>
      </c>
      <c r="BG493">
        <f>IFERROR(INDEX(PP_Grid[#Data],$DD493,57),0)</f>
        <v/>
      </c>
      <c r="BH493">
        <f>IFERROR(INDEX(PP_Grid[#Data],$DD493,58),0)</f>
        <v/>
      </c>
      <c r="BI493">
        <f>IFERROR(INDEX(PP_Grid[#Data],$DD493,59),0)</f>
        <v/>
      </c>
      <c r="BJ493">
        <f>IFERROR(INDEX(PP_Grid[#Data],$DD493,60),0)</f>
        <v/>
      </c>
      <c r="BK493">
        <f>IFERROR(INDEX(PP_Grid[#Data],$DD493,61),0)</f>
        <v/>
      </c>
      <c r="BL493">
        <f>IFERROR(INDEX(PP_Grid[#Data],$DD493,62),0)</f>
        <v/>
      </c>
      <c r="BM493">
        <f>IFERROR(INDEX(PP_Grid[#Data],$DD493,63),0)</f>
        <v/>
      </c>
      <c r="BN493">
        <f>IFERROR(INDEX(PP_Grid[#Data],$DD493,64),0)</f>
        <v/>
      </c>
      <c r="BO493">
        <f>IFERROR(INDEX(PP_Grid[#Data],$DD493,65),0)</f>
        <v/>
      </c>
      <c r="BP493">
        <f>IFERROR(INDEX(PP_Grid[#Data],$DD493,66),0)</f>
        <v/>
      </c>
      <c r="BQ493">
        <f>IFERROR(INDEX(PP_Grid[#Data],$DD493,67),0)</f>
        <v/>
      </c>
      <c r="BR493">
        <f>IFERROR(INDEX(PP_Grid[#Data],$DD493,68),0)</f>
        <v/>
      </c>
      <c r="BS493">
        <f>IFERROR(INDEX(PP_Grid[#Data],$DD493,69),0)</f>
        <v/>
      </c>
      <c r="BT493">
        <f>IFERROR(INDEX(PP_Grid[#Data],$DD493,70),0)</f>
        <v/>
      </c>
      <c r="BU493">
        <f>IFERROR(INDEX(PP_Grid[#Data],$DD493,71),0)</f>
        <v/>
      </c>
      <c r="BV493">
        <f>IFERROR(INDEX(PP_Grid[#Data],$DD493,72),0)</f>
        <v/>
      </c>
      <c r="BW493">
        <f>IFERROR(INDEX(PP_Grid[#Data],$DD493,73),0)</f>
        <v/>
      </c>
      <c r="BX493">
        <f>IFERROR(INDEX(PP_Grid[#Data],$DD493,74),0)</f>
        <v/>
      </c>
      <c r="BY493">
        <f>IFERROR(INDEX(PP_Grid[#Data],$DD493,75),0)</f>
        <v/>
      </c>
      <c r="BZ493">
        <f>IFERROR(INDEX(PP_Grid[#Data],$DD493,76),0)</f>
        <v/>
      </c>
      <c r="CA493">
        <f>IFERROR(INDEX(PP_Grid[#Data],$DD493,77),0)</f>
        <v/>
      </c>
      <c r="CB493">
        <f>IFERROR(INDEX(PP_Grid[#Data],$DD493,78),0)</f>
        <v/>
      </c>
      <c r="CC493">
        <f>IFERROR(INDEX(PP_Grid[#Data],$DD493,79),0)</f>
        <v/>
      </c>
      <c r="CD493">
        <f>IFERROR(INDEX(PP_Grid[#Data],$DD493,80),0)</f>
        <v/>
      </c>
      <c r="CE493">
        <f>IFERROR(INDEX(PP_Grid[#Data],$DD493,81),0)</f>
        <v/>
      </c>
      <c r="CF493">
        <f>IFERROR(INDEX(PP_Grid[#Data],$DD493,82),0)</f>
        <v/>
      </c>
      <c r="CG493">
        <f>IFERROR(INDEX(PP_Grid[#Data],$DD493,83),0)</f>
        <v/>
      </c>
      <c r="CH493">
        <f>IFERROR(INDEX(PP_Grid[#Data],$DD493,84),0)</f>
        <v/>
      </c>
      <c r="CI493">
        <f>IFERROR(INDEX(PP_Grid[#Data],$DD493,85),0)</f>
        <v/>
      </c>
      <c r="CJ493">
        <f>IFERROR(INDEX(PP_Grid[#Data],$DD493,86),0)</f>
        <v/>
      </c>
      <c r="CK493">
        <f>IFERROR(INDEX(PP_Grid[#Data],$DD493,87),0)</f>
        <v/>
      </c>
      <c r="CL493">
        <f>IFERROR(INDEX(PP_Grid[#Data],$DD493,88),0)</f>
        <v/>
      </c>
      <c r="CM493">
        <f>IFERROR(INDEX(PP_Grid[#Data],$DD493,89),0)</f>
        <v/>
      </c>
      <c r="CN493">
        <f>IFERROR(INDEX(PP_Grid[#Data],$DD493,90),0)</f>
        <v/>
      </c>
      <c r="CO493">
        <f>IFERROR(INDEX(PP_Grid[#Data],$DD493,91),0)</f>
        <v/>
      </c>
      <c r="CP493">
        <f>IFERROR(INDEX(PP_Grid[#Data],$DD493,92),0)</f>
        <v/>
      </c>
      <c r="CQ493">
        <f>IFERROR(INDEX(PP_Grid[#Data],$DD493,93),0)</f>
        <v/>
      </c>
      <c r="CR493">
        <f>IFERROR(INDEX(PP_Grid[#Data],$DD493,94),0)</f>
        <v/>
      </c>
      <c r="CS493">
        <f>IFERROR(INDEX(PP_Grid[#Data],$DD493,95),0)</f>
        <v/>
      </c>
      <c r="CT493">
        <f>IFERROR(INDEX(PP_Grid[#Data],$DD493,96),0)</f>
        <v/>
      </c>
      <c r="CU493">
        <f>IFERROR(INDEX(PP_Grid[#Data],$DD493,97),0)</f>
        <v/>
      </c>
      <c r="CV493">
        <f>IFERROR(INDEX(PP_Grid[#Data],$DD493,98),0)</f>
        <v/>
      </c>
      <c r="CW493">
        <f>IFERROR(INDEX(PP_Grid[#Data],$DD493,99),0)</f>
        <v/>
      </c>
      <c r="CX493">
        <f>IFERROR(INDEX(PP_Grid[#Data],$DD493,100),0)</f>
        <v/>
      </c>
      <c r="CY493">
        <f>IFERROR(INDEX(PP_Grid[#Data],$DD493,101),0)</f>
        <v/>
      </c>
      <c r="CZ493">
        <f>IFERROR(INDEX(PP_Grid[#Data],$DD493,102),0)</f>
        <v/>
      </c>
      <c r="DA493">
        <f>IFERROR(INDEX(PP_Grid[#Data],$DD493,103),0)</f>
        <v/>
      </c>
      <c r="DB493">
        <f>IFERROR(INDEX(PP_Grid[#Data],$DD493,104),0)</f>
        <v/>
      </c>
      <c r="DC493">
        <f>IFERROR(INDEX(PP_Grid[#Data],$DD493,105),0)</f>
        <v/>
      </c>
      <c r="DD493" s="12">
        <f>IFERROR(MATCH($B493,PP_Grid[Intermediate],0),99999)</f>
        <v/>
      </c>
    </row>
    <row r="494">
      <c r="B494" t="inlineStr">
        <is>
          <t>使用量(kg)</t>
        </is>
      </c>
      <c r="C494">
        <f>SUMIFS(M_BOM[RM_Qty_Per_Batch],M_BOM[Intermediate],$B493,M_BOM[Part Name],$A406)</f>
        <v/>
      </c>
      <c r="D494">
        <f>$C494*D493</f>
        <v/>
      </c>
      <c r="E494">
        <f>$C494*E493</f>
        <v/>
      </c>
      <c r="F494">
        <f>$C494*F493</f>
        <v/>
      </c>
      <c r="G494">
        <f>$C494*G493</f>
        <v/>
      </c>
      <c r="H494">
        <f>$C494*H493</f>
        <v/>
      </c>
      <c r="I494">
        <f>$C494*I493</f>
        <v/>
      </c>
      <c r="J494">
        <f>$C494*J493</f>
        <v/>
      </c>
      <c r="K494">
        <f>$C494*K493</f>
        <v/>
      </c>
      <c r="L494">
        <f>$C494*L493</f>
        <v/>
      </c>
      <c r="M494">
        <f>$C494*M493</f>
        <v/>
      </c>
      <c r="N494">
        <f>$C494*N493</f>
        <v/>
      </c>
      <c r="O494">
        <f>$C494*O493</f>
        <v/>
      </c>
      <c r="P494">
        <f>$C494*P493</f>
        <v/>
      </c>
      <c r="Q494">
        <f>$C494*Q493</f>
        <v/>
      </c>
      <c r="R494">
        <f>$C494*R493</f>
        <v/>
      </c>
      <c r="S494">
        <f>$C494*S493</f>
        <v/>
      </c>
      <c r="T494">
        <f>$C494*T493</f>
        <v/>
      </c>
      <c r="U494">
        <f>$C494*U493</f>
        <v/>
      </c>
      <c r="V494">
        <f>$C494*V493</f>
        <v/>
      </c>
      <c r="W494">
        <f>$C494*W493</f>
        <v/>
      </c>
      <c r="X494">
        <f>$C494*X493</f>
        <v/>
      </c>
      <c r="Y494">
        <f>$C494*Y493</f>
        <v/>
      </c>
      <c r="Z494">
        <f>$C494*Z493</f>
        <v/>
      </c>
      <c r="AA494">
        <f>$C494*AA493</f>
        <v/>
      </c>
      <c r="AB494">
        <f>$C494*AB493</f>
        <v/>
      </c>
      <c r="AC494">
        <f>$C494*AC493</f>
        <v/>
      </c>
      <c r="AD494">
        <f>$C494*AD493</f>
        <v/>
      </c>
      <c r="AE494">
        <f>$C494*AE493</f>
        <v/>
      </c>
      <c r="AF494">
        <f>$C494*AF493</f>
        <v/>
      </c>
      <c r="AG494">
        <f>$C494*AG493</f>
        <v/>
      </c>
      <c r="AH494">
        <f>$C494*AH493</f>
        <v/>
      </c>
      <c r="AI494">
        <f>$C494*AI493</f>
        <v/>
      </c>
      <c r="AJ494">
        <f>$C494*AJ493</f>
        <v/>
      </c>
      <c r="AK494">
        <f>$C494*AK493</f>
        <v/>
      </c>
      <c r="AL494">
        <f>$C494*AL493</f>
        <v/>
      </c>
      <c r="AM494">
        <f>$C494*AM493</f>
        <v/>
      </c>
      <c r="AN494">
        <f>$C494*AN493</f>
        <v/>
      </c>
      <c r="AO494">
        <f>$C494*AO493</f>
        <v/>
      </c>
      <c r="AP494">
        <f>$C494*AP493</f>
        <v/>
      </c>
      <c r="AQ494">
        <f>$C494*AQ493</f>
        <v/>
      </c>
      <c r="AR494">
        <f>$C494*AR493</f>
        <v/>
      </c>
      <c r="AS494">
        <f>$C494*AS493</f>
        <v/>
      </c>
      <c r="AT494">
        <f>$C494*AT493</f>
        <v/>
      </c>
      <c r="AU494">
        <f>$C494*AU493</f>
        <v/>
      </c>
      <c r="AV494">
        <f>$C494*AV493</f>
        <v/>
      </c>
      <c r="AW494">
        <f>$C494*AW493</f>
        <v/>
      </c>
      <c r="AX494">
        <f>$C494*AX493</f>
        <v/>
      </c>
      <c r="AY494">
        <f>$C494*AY493</f>
        <v/>
      </c>
      <c r="AZ494">
        <f>$C494*AZ493</f>
        <v/>
      </c>
      <c r="BA494">
        <f>$C494*BA493</f>
        <v/>
      </c>
      <c r="BB494">
        <f>$C494*BB493</f>
        <v/>
      </c>
      <c r="BC494">
        <f>$C494*BC493</f>
        <v/>
      </c>
      <c r="BD494">
        <f>$C494*BD493</f>
        <v/>
      </c>
      <c r="BE494">
        <f>$C494*BE493</f>
        <v/>
      </c>
      <c r="BF494">
        <f>$C494*BF493</f>
        <v/>
      </c>
      <c r="BG494">
        <f>$C494*BG493</f>
        <v/>
      </c>
      <c r="BH494">
        <f>$C494*BH493</f>
        <v/>
      </c>
      <c r="BI494">
        <f>$C494*BI493</f>
        <v/>
      </c>
      <c r="BJ494">
        <f>$C494*BJ493</f>
        <v/>
      </c>
      <c r="BK494">
        <f>$C494*BK493</f>
        <v/>
      </c>
      <c r="BL494">
        <f>$C494*BL493</f>
        <v/>
      </c>
      <c r="BM494">
        <f>$C494*BM493</f>
        <v/>
      </c>
      <c r="BN494">
        <f>$C494*BN493</f>
        <v/>
      </c>
      <c r="BO494">
        <f>$C494*BO493</f>
        <v/>
      </c>
      <c r="BP494">
        <f>$C494*BP493</f>
        <v/>
      </c>
      <c r="BQ494">
        <f>$C494*BQ493</f>
        <v/>
      </c>
      <c r="BR494">
        <f>$C494*BR493</f>
        <v/>
      </c>
      <c r="BS494">
        <f>$C494*BS493</f>
        <v/>
      </c>
      <c r="BT494">
        <f>$C494*BT493</f>
        <v/>
      </c>
      <c r="BU494">
        <f>$C494*BU493</f>
        <v/>
      </c>
      <c r="BV494">
        <f>$C494*BV493</f>
        <v/>
      </c>
      <c r="BW494">
        <f>$C494*BW493</f>
        <v/>
      </c>
      <c r="BX494">
        <f>$C494*BX493</f>
        <v/>
      </c>
      <c r="BY494">
        <f>$C494*BY493</f>
        <v/>
      </c>
      <c r="BZ494">
        <f>$C494*BZ493</f>
        <v/>
      </c>
      <c r="CA494">
        <f>$C494*CA493</f>
        <v/>
      </c>
      <c r="CB494">
        <f>$C494*CB493</f>
        <v/>
      </c>
      <c r="CC494">
        <f>$C494*CC493</f>
        <v/>
      </c>
      <c r="CD494">
        <f>$C494*CD493</f>
        <v/>
      </c>
      <c r="CE494">
        <f>$C494*CE493</f>
        <v/>
      </c>
      <c r="CF494">
        <f>$C494*CF493</f>
        <v/>
      </c>
      <c r="CG494">
        <f>$C494*CG493</f>
        <v/>
      </c>
      <c r="CH494">
        <f>$C494*CH493</f>
        <v/>
      </c>
      <c r="CI494">
        <f>$C494*CI493</f>
        <v/>
      </c>
      <c r="CJ494">
        <f>$C494*CJ493</f>
        <v/>
      </c>
      <c r="CK494">
        <f>$C494*CK493</f>
        <v/>
      </c>
      <c r="CL494">
        <f>$C494*CL493</f>
        <v/>
      </c>
      <c r="CM494">
        <f>$C494*CM493</f>
        <v/>
      </c>
      <c r="CN494">
        <f>$C494*CN493</f>
        <v/>
      </c>
      <c r="CO494">
        <f>$C494*CO493</f>
        <v/>
      </c>
      <c r="CP494">
        <f>$C494*CP493</f>
        <v/>
      </c>
      <c r="CQ494">
        <f>$C494*CQ493</f>
        <v/>
      </c>
      <c r="CR494">
        <f>$C494*CR493</f>
        <v/>
      </c>
      <c r="CS494">
        <f>$C494*CS493</f>
        <v/>
      </c>
      <c r="CT494">
        <f>$C494*CT493</f>
        <v/>
      </c>
      <c r="CU494">
        <f>$C494*CU493</f>
        <v/>
      </c>
      <c r="CV494">
        <f>$C494*CV493</f>
        <v/>
      </c>
      <c r="CW494">
        <f>$C494*CW493</f>
        <v/>
      </c>
      <c r="CX494">
        <f>$C494*CX493</f>
        <v/>
      </c>
      <c r="CY494">
        <f>$C494*CY493</f>
        <v/>
      </c>
      <c r="CZ494">
        <f>$C494*CZ493</f>
        <v/>
      </c>
      <c r="DA494">
        <f>$C494*DA493</f>
        <v/>
      </c>
      <c r="DB494">
        <f>$C494*DB493</f>
        <v/>
      </c>
      <c r="DC494">
        <f>$C494*DC493</f>
        <v/>
      </c>
    </row>
    <row r="495">
      <c r="B495" s="5" t="inlineStr">
        <is>
          <t>合計使用量(kg)/週</t>
        </is>
      </c>
      <c r="D495">
        <f>'Grid_Requirement'!B31</f>
        <v/>
      </c>
      <c r="E495">
        <f>'Grid_Requirement'!C31</f>
        <v/>
      </c>
      <c r="F495">
        <f>'Grid_Requirement'!D31</f>
        <v/>
      </c>
      <c r="G495">
        <f>'Grid_Requirement'!E31</f>
        <v/>
      </c>
      <c r="H495">
        <f>'Grid_Requirement'!F31</f>
        <v/>
      </c>
      <c r="I495">
        <f>'Grid_Requirement'!G31</f>
        <v/>
      </c>
      <c r="J495">
        <f>'Grid_Requirement'!H31</f>
        <v/>
      </c>
      <c r="K495">
        <f>'Grid_Requirement'!I31</f>
        <v/>
      </c>
      <c r="L495">
        <f>'Grid_Requirement'!J31</f>
        <v/>
      </c>
      <c r="M495">
        <f>'Grid_Requirement'!K31</f>
        <v/>
      </c>
      <c r="N495">
        <f>'Grid_Requirement'!L31</f>
        <v/>
      </c>
      <c r="O495">
        <f>'Grid_Requirement'!M31</f>
        <v/>
      </c>
      <c r="P495">
        <f>'Grid_Requirement'!N31</f>
        <v/>
      </c>
      <c r="Q495">
        <f>'Grid_Requirement'!O31</f>
        <v/>
      </c>
      <c r="R495">
        <f>'Grid_Requirement'!P31</f>
        <v/>
      </c>
      <c r="S495">
        <f>'Grid_Requirement'!Q31</f>
        <v/>
      </c>
      <c r="T495">
        <f>'Grid_Requirement'!R31</f>
        <v/>
      </c>
      <c r="U495">
        <f>'Grid_Requirement'!S31</f>
        <v/>
      </c>
      <c r="V495">
        <f>'Grid_Requirement'!T31</f>
        <v/>
      </c>
      <c r="W495">
        <f>'Grid_Requirement'!U31</f>
        <v/>
      </c>
      <c r="X495">
        <f>'Grid_Requirement'!V31</f>
        <v/>
      </c>
      <c r="Y495">
        <f>'Grid_Requirement'!W31</f>
        <v/>
      </c>
      <c r="Z495">
        <f>'Grid_Requirement'!X31</f>
        <v/>
      </c>
      <c r="AA495">
        <f>'Grid_Requirement'!Y31</f>
        <v/>
      </c>
      <c r="AB495">
        <f>'Grid_Requirement'!Z31</f>
        <v/>
      </c>
      <c r="AC495">
        <f>'Grid_Requirement'!AA31</f>
        <v/>
      </c>
      <c r="AD495">
        <f>'Grid_Requirement'!AB31</f>
        <v/>
      </c>
      <c r="AE495">
        <f>'Grid_Requirement'!AC31</f>
        <v/>
      </c>
      <c r="AF495">
        <f>'Grid_Requirement'!AD31</f>
        <v/>
      </c>
      <c r="AG495">
        <f>'Grid_Requirement'!AE31</f>
        <v/>
      </c>
      <c r="AH495">
        <f>'Grid_Requirement'!AF31</f>
        <v/>
      </c>
      <c r="AI495">
        <f>'Grid_Requirement'!AG31</f>
        <v/>
      </c>
      <c r="AJ495">
        <f>'Grid_Requirement'!AH31</f>
        <v/>
      </c>
      <c r="AK495">
        <f>'Grid_Requirement'!AI31</f>
        <v/>
      </c>
      <c r="AL495">
        <f>'Grid_Requirement'!AJ31</f>
        <v/>
      </c>
      <c r="AM495">
        <f>'Grid_Requirement'!AK31</f>
        <v/>
      </c>
      <c r="AN495">
        <f>'Grid_Requirement'!AL31</f>
        <v/>
      </c>
      <c r="AO495">
        <f>'Grid_Requirement'!AM31</f>
        <v/>
      </c>
      <c r="AP495">
        <f>'Grid_Requirement'!AN31</f>
        <v/>
      </c>
      <c r="AQ495">
        <f>'Grid_Requirement'!AO31</f>
        <v/>
      </c>
      <c r="AR495">
        <f>'Grid_Requirement'!AP31</f>
        <v/>
      </c>
      <c r="AS495">
        <f>'Grid_Requirement'!AQ31</f>
        <v/>
      </c>
      <c r="AT495">
        <f>'Grid_Requirement'!AR31</f>
        <v/>
      </c>
      <c r="AU495">
        <f>'Grid_Requirement'!AS31</f>
        <v/>
      </c>
      <c r="AV495">
        <f>'Grid_Requirement'!AT31</f>
        <v/>
      </c>
      <c r="AW495">
        <f>'Grid_Requirement'!AU31</f>
        <v/>
      </c>
      <c r="AX495">
        <f>'Grid_Requirement'!AV31</f>
        <v/>
      </c>
      <c r="AY495">
        <f>'Grid_Requirement'!AW31</f>
        <v/>
      </c>
      <c r="AZ495">
        <f>'Grid_Requirement'!AX31</f>
        <v/>
      </c>
      <c r="BA495">
        <f>'Grid_Requirement'!AY31</f>
        <v/>
      </c>
      <c r="BB495">
        <f>'Grid_Requirement'!AZ31</f>
        <v/>
      </c>
      <c r="BC495">
        <f>'Grid_Requirement'!BA31</f>
        <v/>
      </c>
      <c r="BD495">
        <f>'Grid_Requirement'!BB31</f>
        <v/>
      </c>
      <c r="BE495">
        <f>'Grid_Requirement'!BC31</f>
        <v/>
      </c>
      <c r="BF495">
        <f>'Grid_Requirement'!BD31</f>
        <v/>
      </c>
      <c r="BG495">
        <f>'Grid_Requirement'!BE31</f>
        <v/>
      </c>
      <c r="BH495">
        <f>'Grid_Requirement'!BF31</f>
        <v/>
      </c>
      <c r="BI495">
        <f>'Grid_Requirement'!BG31</f>
        <v/>
      </c>
      <c r="BJ495">
        <f>'Grid_Requirement'!BH31</f>
        <v/>
      </c>
      <c r="BK495">
        <f>'Grid_Requirement'!BI31</f>
        <v/>
      </c>
      <c r="BL495">
        <f>'Grid_Requirement'!BJ31</f>
        <v/>
      </c>
      <c r="BM495">
        <f>'Grid_Requirement'!BK31</f>
        <v/>
      </c>
      <c r="BN495">
        <f>'Grid_Requirement'!BL31</f>
        <v/>
      </c>
      <c r="BO495">
        <f>'Grid_Requirement'!BM31</f>
        <v/>
      </c>
      <c r="BP495">
        <f>'Grid_Requirement'!BN31</f>
        <v/>
      </c>
      <c r="BQ495">
        <f>'Grid_Requirement'!BO31</f>
        <v/>
      </c>
      <c r="BR495">
        <f>'Grid_Requirement'!BP31</f>
        <v/>
      </c>
      <c r="BS495">
        <f>'Grid_Requirement'!BQ31</f>
        <v/>
      </c>
      <c r="BT495">
        <f>'Grid_Requirement'!BR31</f>
        <v/>
      </c>
      <c r="BU495">
        <f>'Grid_Requirement'!BS31</f>
        <v/>
      </c>
      <c r="BV495">
        <f>'Grid_Requirement'!BT31</f>
        <v/>
      </c>
      <c r="BW495">
        <f>'Grid_Requirement'!BU31</f>
        <v/>
      </c>
      <c r="BX495">
        <f>'Grid_Requirement'!BV31</f>
        <v/>
      </c>
      <c r="BY495">
        <f>'Grid_Requirement'!BW31</f>
        <v/>
      </c>
      <c r="BZ495">
        <f>'Grid_Requirement'!BX31</f>
        <v/>
      </c>
      <c r="CA495">
        <f>'Grid_Requirement'!BY31</f>
        <v/>
      </c>
      <c r="CB495">
        <f>'Grid_Requirement'!BZ31</f>
        <v/>
      </c>
      <c r="CC495">
        <f>'Grid_Requirement'!CA31</f>
        <v/>
      </c>
      <c r="CD495">
        <f>'Grid_Requirement'!CB31</f>
        <v/>
      </c>
      <c r="CE495">
        <f>'Grid_Requirement'!CC31</f>
        <v/>
      </c>
      <c r="CF495">
        <f>'Grid_Requirement'!CD31</f>
        <v/>
      </c>
      <c r="CG495">
        <f>'Grid_Requirement'!CE31</f>
        <v/>
      </c>
      <c r="CH495">
        <f>'Grid_Requirement'!CF31</f>
        <v/>
      </c>
      <c r="CI495">
        <f>'Grid_Requirement'!CG31</f>
        <v/>
      </c>
      <c r="CJ495">
        <f>'Grid_Requirement'!CH31</f>
        <v/>
      </c>
      <c r="CK495">
        <f>'Grid_Requirement'!CI31</f>
        <v/>
      </c>
      <c r="CL495">
        <f>'Grid_Requirement'!CJ31</f>
        <v/>
      </c>
      <c r="CM495">
        <f>'Grid_Requirement'!CK31</f>
        <v/>
      </c>
      <c r="CN495">
        <f>'Grid_Requirement'!CL31</f>
        <v/>
      </c>
      <c r="CO495">
        <f>'Grid_Requirement'!CM31</f>
        <v/>
      </c>
      <c r="CP495">
        <f>'Grid_Requirement'!CN31</f>
        <v/>
      </c>
      <c r="CQ495">
        <f>'Grid_Requirement'!CO31</f>
        <v/>
      </c>
      <c r="CR495">
        <f>'Grid_Requirement'!CP31</f>
        <v/>
      </c>
      <c r="CS495">
        <f>'Grid_Requirement'!CQ31</f>
        <v/>
      </c>
      <c r="CT495">
        <f>'Grid_Requirement'!CR31</f>
        <v/>
      </c>
      <c r="CU495">
        <f>'Grid_Requirement'!CS31</f>
        <v/>
      </c>
      <c r="CV495">
        <f>'Grid_Requirement'!CT31</f>
        <v/>
      </c>
      <c r="CW495">
        <f>'Grid_Requirement'!CU31</f>
        <v/>
      </c>
      <c r="CX495">
        <f>'Grid_Requirement'!CV31</f>
        <v/>
      </c>
      <c r="CY495">
        <f>'Grid_Requirement'!CW31</f>
        <v/>
      </c>
      <c r="CZ495">
        <f>'Grid_Requirement'!CX31</f>
        <v/>
      </c>
      <c r="DA495">
        <f>'Grid_Requirement'!CY31</f>
        <v/>
      </c>
      <c r="DB495">
        <f>'Grid_Requirement'!CZ31</f>
        <v/>
      </c>
      <c r="DC495">
        <f>'Grid_Requirement'!DA31</f>
        <v/>
      </c>
    </row>
    <row r="496">
      <c r="B496" t="inlineStr">
        <is>
          <t>TTAF在庫(実績,kg)</t>
        </is>
      </c>
      <c r="D496">
        <f>'T_TTAFStock'!B35</f>
        <v/>
      </c>
      <c r="E496">
        <f>'T_TTAFStock'!C35</f>
        <v/>
      </c>
      <c r="F496">
        <f>'T_TTAFStock'!D35</f>
        <v/>
      </c>
      <c r="G496">
        <f>'T_TTAFStock'!E35</f>
        <v/>
      </c>
      <c r="H496">
        <f>'T_TTAFStock'!F35</f>
        <v/>
      </c>
      <c r="I496">
        <f>'T_TTAFStock'!G35</f>
        <v/>
      </c>
      <c r="J496">
        <f>'T_TTAFStock'!H35</f>
        <v/>
      </c>
      <c r="K496">
        <f>'T_TTAFStock'!I35</f>
        <v/>
      </c>
      <c r="L496">
        <f>'T_TTAFStock'!J35</f>
        <v/>
      </c>
      <c r="M496">
        <f>'T_TTAFStock'!K35</f>
        <v/>
      </c>
      <c r="N496">
        <f>'T_TTAFStock'!L35</f>
        <v/>
      </c>
      <c r="O496">
        <f>'T_TTAFStock'!M35</f>
        <v/>
      </c>
      <c r="P496">
        <f>'T_TTAFStock'!N35</f>
        <v/>
      </c>
      <c r="Q496">
        <f>'T_TTAFStock'!O35</f>
        <v/>
      </c>
      <c r="R496">
        <f>'T_TTAFStock'!P35</f>
        <v/>
      </c>
      <c r="S496">
        <f>'T_TTAFStock'!Q35</f>
        <v/>
      </c>
      <c r="T496">
        <f>'T_TTAFStock'!R35</f>
        <v/>
      </c>
      <c r="U496">
        <f>'T_TTAFStock'!S35</f>
        <v/>
      </c>
      <c r="V496">
        <f>'T_TTAFStock'!T35</f>
        <v/>
      </c>
      <c r="W496">
        <f>'T_TTAFStock'!U35</f>
        <v/>
      </c>
      <c r="X496">
        <f>'T_TTAFStock'!V35</f>
        <v/>
      </c>
      <c r="Y496">
        <f>'T_TTAFStock'!W35</f>
        <v/>
      </c>
      <c r="Z496">
        <f>'T_TTAFStock'!X35</f>
        <v/>
      </c>
      <c r="AA496">
        <f>'T_TTAFStock'!Y35</f>
        <v/>
      </c>
      <c r="AB496">
        <f>'T_TTAFStock'!Z35</f>
        <v/>
      </c>
      <c r="AC496">
        <f>'T_TTAFStock'!AA35</f>
        <v/>
      </c>
      <c r="AD496">
        <f>'T_TTAFStock'!AB35</f>
        <v/>
      </c>
      <c r="AE496">
        <f>'T_TTAFStock'!AC35</f>
        <v/>
      </c>
      <c r="AF496">
        <f>'T_TTAFStock'!AD35</f>
        <v/>
      </c>
      <c r="AG496">
        <f>'T_TTAFStock'!AE35</f>
        <v/>
      </c>
      <c r="AH496">
        <f>'T_TTAFStock'!AF35</f>
        <v/>
      </c>
      <c r="AI496">
        <f>'T_TTAFStock'!AG35</f>
        <v/>
      </c>
      <c r="AJ496">
        <f>'T_TTAFStock'!AH35</f>
        <v/>
      </c>
      <c r="AK496">
        <f>'T_TTAFStock'!AI35</f>
        <v/>
      </c>
      <c r="AL496">
        <f>'T_TTAFStock'!AJ35</f>
        <v/>
      </c>
      <c r="AM496">
        <f>'T_TTAFStock'!AK35</f>
        <v/>
      </c>
      <c r="AN496">
        <f>'T_TTAFStock'!AL35</f>
        <v/>
      </c>
      <c r="AO496">
        <f>'T_TTAFStock'!AM35</f>
        <v/>
      </c>
      <c r="AP496">
        <f>'T_TTAFStock'!AN35</f>
        <v/>
      </c>
      <c r="AQ496">
        <f>'T_TTAFStock'!AO35</f>
        <v/>
      </c>
      <c r="AR496">
        <f>'T_TTAFStock'!AP35</f>
        <v/>
      </c>
      <c r="AS496">
        <f>'T_TTAFStock'!AQ35</f>
        <v/>
      </c>
      <c r="AT496">
        <f>'T_TTAFStock'!AR35</f>
        <v/>
      </c>
      <c r="AU496">
        <f>'T_TTAFStock'!AS35</f>
        <v/>
      </c>
      <c r="AV496">
        <f>'T_TTAFStock'!AT35</f>
        <v/>
      </c>
      <c r="AW496">
        <f>'T_TTAFStock'!AU35</f>
        <v/>
      </c>
      <c r="AX496">
        <f>'T_TTAFStock'!AV35</f>
        <v/>
      </c>
      <c r="AY496">
        <f>'T_TTAFStock'!AW35</f>
        <v/>
      </c>
      <c r="AZ496">
        <f>'T_TTAFStock'!AX35</f>
        <v/>
      </c>
      <c r="BA496">
        <f>'T_TTAFStock'!AY35</f>
        <v/>
      </c>
      <c r="BB496">
        <f>'T_TTAFStock'!AZ35</f>
        <v/>
      </c>
      <c r="BC496">
        <f>'T_TTAFStock'!BA35</f>
        <v/>
      </c>
      <c r="BD496">
        <f>'T_TTAFStock'!BB35</f>
        <v/>
      </c>
      <c r="BE496">
        <f>'T_TTAFStock'!BC35</f>
        <v/>
      </c>
      <c r="BF496">
        <f>'T_TTAFStock'!BD35</f>
        <v/>
      </c>
      <c r="BG496">
        <f>'T_TTAFStock'!BE35</f>
        <v/>
      </c>
      <c r="BH496">
        <f>'T_TTAFStock'!BF35</f>
        <v/>
      </c>
      <c r="BI496">
        <f>'T_TTAFStock'!BG35</f>
        <v/>
      </c>
      <c r="BJ496">
        <f>'T_TTAFStock'!BH35</f>
        <v/>
      </c>
      <c r="BK496">
        <f>'T_TTAFStock'!BI35</f>
        <v/>
      </c>
      <c r="BL496">
        <f>'T_TTAFStock'!BJ35</f>
        <v/>
      </c>
      <c r="BM496">
        <f>'T_TTAFStock'!BK35</f>
        <v/>
      </c>
      <c r="BN496">
        <f>'T_TTAFStock'!BL35</f>
        <v/>
      </c>
      <c r="BO496">
        <f>'T_TTAFStock'!BM35</f>
        <v/>
      </c>
      <c r="BP496">
        <f>'T_TTAFStock'!BN35</f>
        <v/>
      </c>
      <c r="BQ496">
        <f>'T_TTAFStock'!BO35</f>
        <v/>
      </c>
      <c r="BR496">
        <f>'T_TTAFStock'!BP35</f>
        <v/>
      </c>
      <c r="BS496">
        <f>'T_TTAFStock'!BQ35</f>
        <v/>
      </c>
      <c r="BT496">
        <f>'T_TTAFStock'!BR35</f>
        <v/>
      </c>
      <c r="BU496">
        <f>'T_TTAFStock'!BS35</f>
        <v/>
      </c>
      <c r="BV496">
        <f>'T_TTAFStock'!BT35</f>
        <v/>
      </c>
      <c r="BW496">
        <f>'T_TTAFStock'!BU35</f>
        <v/>
      </c>
      <c r="BX496">
        <f>'T_TTAFStock'!BV35</f>
        <v/>
      </c>
      <c r="BY496">
        <f>'T_TTAFStock'!BW35</f>
        <v/>
      </c>
      <c r="BZ496">
        <f>'T_TTAFStock'!BX35</f>
        <v/>
      </c>
      <c r="CA496">
        <f>'T_TTAFStock'!BY35</f>
        <v/>
      </c>
      <c r="CB496">
        <f>'T_TTAFStock'!BZ35</f>
        <v/>
      </c>
      <c r="CC496">
        <f>'T_TTAFStock'!CA35</f>
        <v/>
      </c>
      <c r="CD496">
        <f>'T_TTAFStock'!CB35</f>
        <v/>
      </c>
      <c r="CE496">
        <f>'T_TTAFStock'!CC35</f>
        <v/>
      </c>
      <c r="CF496">
        <f>'T_TTAFStock'!CD35</f>
        <v/>
      </c>
      <c r="CG496">
        <f>'T_TTAFStock'!CE35</f>
        <v/>
      </c>
      <c r="CH496">
        <f>'T_TTAFStock'!CF35</f>
        <v/>
      </c>
      <c r="CI496">
        <f>'T_TTAFStock'!CG35</f>
        <v/>
      </c>
      <c r="CJ496">
        <f>'T_TTAFStock'!CH35</f>
        <v/>
      </c>
      <c r="CK496">
        <f>'T_TTAFStock'!CI35</f>
        <v/>
      </c>
      <c r="CL496">
        <f>'T_TTAFStock'!CJ35</f>
        <v/>
      </c>
      <c r="CM496">
        <f>'T_TTAFStock'!CK35</f>
        <v/>
      </c>
      <c r="CN496">
        <f>'T_TTAFStock'!CL35</f>
        <v/>
      </c>
      <c r="CO496">
        <f>'T_TTAFStock'!CM35</f>
        <v/>
      </c>
      <c r="CP496">
        <f>'T_TTAFStock'!CN35</f>
        <v/>
      </c>
      <c r="CQ496">
        <f>'T_TTAFStock'!CO35</f>
        <v/>
      </c>
      <c r="CR496">
        <f>'T_TTAFStock'!CP35</f>
        <v/>
      </c>
      <c r="CS496">
        <f>'T_TTAFStock'!CQ35</f>
        <v/>
      </c>
      <c r="CT496">
        <f>'T_TTAFStock'!CR35</f>
        <v/>
      </c>
      <c r="CU496">
        <f>'T_TTAFStock'!CS35</f>
        <v/>
      </c>
      <c r="CV496">
        <f>'T_TTAFStock'!CT35</f>
        <v/>
      </c>
      <c r="CW496">
        <f>'T_TTAFStock'!CU35</f>
        <v/>
      </c>
      <c r="CX496">
        <f>'T_TTAFStock'!CV35</f>
        <v/>
      </c>
      <c r="CY496">
        <f>'T_TTAFStock'!CW35</f>
        <v/>
      </c>
      <c r="CZ496">
        <f>'T_TTAFStock'!CX35</f>
        <v/>
      </c>
      <c r="DA496">
        <f>'T_TTAFStock'!CY35</f>
        <v/>
      </c>
      <c r="DB496">
        <f>'T_TTAFStock'!CZ35</f>
        <v/>
      </c>
      <c r="DC496">
        <f>'T_TTAFStock'!DA35</f>
        <v/>
      </c>
    </row>
    <row r="497">
      <c r="B497" t="inlineStr">
        <is>
          <t>自社在庫(実績,kg)</t>
        </is>
      </c>
      <c r="D497">
        <f>'T_SelfStock'!B35</f>
        <v/>
      </c>
      <c r="E497">
        <f>'T_SelfStock'!C35</f>
        <v/>
      </c>
      <c r="F497">
        <f>'T_SelfStock'!D35</f>
        <v/>
      </c>
      <c r="G497">
        <f>'T_SelfStock'!E35</f>
        <v/>
      </c>
      <c r="H497">
        <f>'T_SelfStock'!F35</f>
        <v/>
      </c>
      <c r="I497">
        <f>'T_SelfStock'!G35</f>
        <v/>
      </c>
      <c r="J497">
        <f>'T_SelfStock'!H35</f>
        <v/>
      </c>
      <c r="K497">
        <f>'T_SelfStock'!I35</f>
        <v/>
      </c>
      <c r="L497">
        <f>'T_SelfStock'!J35</f>
        <v/>
      </c>
      <c r="M497">
        <f>'T_SelfStock'!K35</f>
        <v/>
      </c>
      <c r="N497">
        <f>'T_SelfStock'!L35</f>
        <v/>
      </c>
      <c r="O497">
        <f>'T_SelfStock'!M35</f>
        <v/>
      </c>
      <c r="P497">
        <f>'T_SelfStock'!N35</f>
        <v/>
      </c>
      <c r="Q497">
        <f>'T_SelfStock'!O35</f>
        <v/>
      </c>
      <c r="R497">
        <f>'T_SelfStock'!P35</f>
        <v/>
      </c>
      <c r="S497">
        <f>'T_SelfStock'!Q35</f>
        <v/>
      </c>
      <c r="T497">
        <f>'T_SelfStock'!R35</f>
        <v/>
      </c>
      <c r="U497">
        <f>'T_SelfStock'!S35</f>
        <v/>
      </c>
      <c r="V497">
        <f>'T_SelfStock'!T35</f>
        <v/>
      </c>
      <c r="W497">
        <f>'T_SelfStock'!U35</f>
        <v/>
      </c>
      <c r="X497">
        <f>'T_SelfStock'!V35</f>
        <v/>
      </c>
      <c r="Y497">
        <f>'T_SelfStock'!W35</f>
        <v/>
      </c>
      <c r="Z497">
        <f>'T_SelfStock'!X35</f>
        <v/>
      </c>
      <c r="AA497">
        <f>'T_SelfStock'!Y35</f>
        <v/>
      </c>
      <c r="AB497">
        <f>'T_SelfStock'!Z35</f>
        <v/>
      </c>
      <c r="AC497">
        <f>'T_SelfStock'!AA35</f>
        <v/>
      </c>
      <c r="AD497">
        <f>'T_SelfStock'!AB35</f>
        <v/>
      </c>
      <c r="AE497">
        <f>'T_SelfStock'!AC35</f>
        <v/>
      </c>
      <c r="AF497">
        <f>'T_SelfStock'!AD35</f>
        <v/>
      </c>
      <c r="AG497">
        <f>'T_SelfStock'!AE35</f>
        <v/>
      </c>
      <c r="AH497">
        <f>'T_SelfStock'!AF35</f>
        <v/>
      </c>
      <c r="AI497">
        <f>'T_SelfStock'!AG35</f>
        <v/>
      </c>
      <c r="AJ497">
        <f>'T_SelfStock'!AH35</f>
        <v/>
      </c>
      <c r="AK497">
        <f>'T_SelfStock'!AI35</f>
        <v/>
      </c>
      <c r="AL497">
        <f>'T_SelfStock'!AJ35</f>
        <v/>
      </c>
      <c r="AM497">
        <f>'T_SelfStock'!AK35</f>
        <v/>
      </c>
      <c r="AN497">
        <f>'T_SelfStock'!AL35</f>
        <v/>
      </c>
      <c r="AO497">
        <f>'T_SelfStock'!AM35</f>
        <v/>
      </c>
      <c r="AP497">
        <f>'T_SelfStock'!AN35</f>
        <v/>
      </c>
      <c r="AQ497">
        <f>'T_SelfStock'!AO35</f>
        <v/>
      </c>
      <c r="AR497">
        <f>'T_SelfStock'!AP35</f>
        <v/>
      </c>
      <c r="AS497">
        <f>'T_SelfStock'!AQ35</f>
        <v/>
      </c>
      <c r="AT497">
        <f>'T_SelfStock'!AR35</f>
        <v/>
      </c>
      <c r="AU497">
        <f>'T_SelfStock'!AS35</f>
        <v/>
      </c>
      <c r="AV497">
        <f>'T_SelfStock'!AT35</f>
        <v/>
      </c>
      <c r="AW497">
        <f>'T_SelfStock'!AU35</f>
        <v/>
      </c>
      <c r="AX497">
        <f>'T_SelfStock'!AV35</f>
        <v/>
      </c>
      <c r="AY497">
        <f>'T_SelfStock'!AW35</f>
        <v/>
      </c>
      <c r="AZ497">
        <f>'T_SelfStock'!AX35</f>
        <v/>
      </c>
      <c r="BA497">
        <f>'T_SelfStock'!AY35</f>
        <v/>
      </c>
      <c r="BB497">
        <f>'T_SelfStock'!AZ35</f>
        <v/>
      </c>
      <c r="BC497">
        <f>'T_SelfStock'!BA35</f>
        <v/>
      </c>
      <c r="BD497">
        <f>'T_SelfStock'!BB35</f>
        <v/>
      </c>
      <c r="BE497">
        <f>'T_SelfStock'!BC35</f>
        <v/>
      </c>
      <c r="BF497">
        <f>'T_SelfStock'!BD35</f>
        <v/>
      </c>
      <c r="BG497">
        <f>'T_SelfStock'!BE35</f>
        <v/>
      </c>
      <c r="BH497">
        <f>'T_SelfStock'!BF35</f>
        <v/>
      </c>
      <c r="BI497">
        <f>'T_SelfStock'!BG35</f>
        <v/>
      </c>
      <c r="BJ497">
        <f>'T_SelfStock'!BH35</f>
        <v/>
      </c>
      <c r="BK497">
        <f>'T_SelfStock'!BI35</f>
        <v/>
      </c>
      <c r="BL497">
        <f>'T_SelfStock'!BJ35</f>
        <v/>
      </c>
      <c r="BM497">
        <f>'T_SelfStock'!BK35</f>
        <v/>
      </c>
      <c r="BN497">
        <f>'T_SelfStock'!BL35</f>
        <v/>
      </c>
      <c r="BO497">
        <f>'T_SelfStock'!BM35</f>
        <v/>
      </c>
      <c r="BP497">
        <f>'T_SelfStock'!BN35</f>
        <v/>
      </c>
      <c r="BQ497">
        <f>'T_SelfStock'!BO35</f>
        <v/>
      </c>
      <c r="BR497">
        <f>'T_SelfStock'!BP35</f>
        <v/>
      </c>
      <c r="BS497">
        <f>'T_SelfStock'!BQ35</f>
        <v/>
      </c>
      <c r="BT497">
        <f>'T_SelfStock'!BR35</f>
        <v/>
      </c>
      <c r="BU497">
        <f>'T_SelfStock'!BS35</f>
        <v/>
      </c>
      <c r="BV497">
        <f>'T_SelfStock'!BT35</f>
        <v/>
      </c>
      <c r="BW497">
        <f>'T_SelfStock'!BU35</f>
        <v/>
      </c>
      <c r="BX497">
        <f>'T_SelfStock'!BV35</f>
        <v/>
      </c>
      <c r="BY497">
        <f>'T_SelfStock'!BW35</f>
        <v/>
      </c>
      <c r="BZ497">
        <f>'T_SelfStock'!BX35</f>
        <v/>
      </c>
      <c r="CA497">
        <f>'T_SelfStock'!BY35</f>
        <v/>
      </c>
      <c r="CB497">
        <f>'T_SelfStock'!BZ35</f>
        <v/>
      </c>
      <c r="CC497">
        <f>'T_SelfStock'!CA35</f>
        <v/>
      </c>
      <c r="CD497">
        <f>'T_SelfStock'!CB35</f>
        <v/>
      </c>
      <c r="CE497">
        <f>'T_SelfStock'!CC35</f>
        <v/>
      </c>
      <c r="CF497">
        <f>'T_SelfStock'!CD35</f>
        <v/>
      </c>
      <c r="CG497">
        <f>'T_SelfStock'!CE35</f>
        <v/>
      </c>
      <c r="CH497">
        <f>'T_SelfStock'!CF35</f>
        <v/>
      </c>
      <c r="CI497">
        <f>'T_SelfStock'!CG35</f>
        <v/>
      </c>
      <c r="CJ497">
        <f>'T_SelfStock'!CH35</f>
        <v/>
      </c>
      <c r="CK497">
        <f>'T_SelfStock'!CI35</f>
        <v/>
      </c>
      <c r="CL497">
        <f>'T_SelfStock'!CJ35</f>
        <v/>
      </c>
      <c r="CM497">
        <f>'T_SelfStock'!CK35</f>
        <v/>
      </c>
      <c r="CN497">
        <f>'T_SelfStock'!CL35</f>
        <v/>
      </c>
      <c r="CO497">
        <f>'T_SelfStock'!CM35</f>
        <v/>
      </c>
      <c r="CP497">
        <f>'T_SelfStock'!CN35</f>
        <v/>
      </c>
      <c r="CQ497">
        <f>'T_SelfStock'!CO35</f>
        <v/>
      </c>
      <c r="CR497">
        <f>'T_SelfStock'!CP35</f>
        <v/>
      </c>
      <c r="CS497">
        <f>'T_SelfStock'!CQ35</f>
        <v/>
      </c>
      <c r="CT497">
        <f>'T_SelfStock'!CR35</f>
        <v/>
      </c>
      <c r="CU497">
        <f>'T_SelfStock'!CS35</f>
        <v/>
      </c>
      <c r="CV497">
        <f>'T_SelfStock'!CT35</f>
        <v/>
      </c>
      <c r="CW497">
        <f>'T_SelfStock'!CU35</f>
        <v/>
      </c>
      <c r="CX497">
        <f>'T_SelfStock'!CV35</f>
        <v/>
      </c>
      <c r="CY497">
        <f>'T_SelfStock'!CW35</f>
        <v/>
      </c>
      <c r="CZ497">
        <f>'T_SelfStock'!CX35</f>
        <v/>
      </c>
      <c r="DA497">
        <f>'T_SelfStock'!CY35</f>
        <v/>
      </c>
      <c r="DB497">
        <f>'T_SelfStock'!CZ35</f>
        <v/>
      </c>
      <c r="DC497">
        <f>'T_SelfStock'!DA35</f>
        <v/>
      </c>
    </row>
    <row r="498">
      <c r="B498" t="inlineStr">
        <is>
          <t>Order(発注予定,kg)</t>
        </is>
      </c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  <c r="AA498" s="23" t="n"/>
      <c r="AB498" s="23" t="n"/>
      <c r="AC498" s="23" t="n"/>
      <c r="AD498" s="23" t="n"/>
      <c r="AE498" s="23" t="n"/>
      <c r="AF498" s="23" t="n"/>
      <c r="AG498" s="23" t="n"/>
      <c r="AH498" s="23" t="n"/>
      <c r="AI498" s="23" t="n"/>
      <c r="AJ498" s="23" t="n"/>
      <c r="AK498" s="23" t="n"/>
      <c r="AL498" s="23" t="n"/>
      <c r="AM498" s="23" t="n"/>
      <c r="AN498" s="23" t="n"/>
      <c r="AO498" s="23" t="n"/>
      <c r="AP498" s="23" t="n"/>
      <c r="AQ498" s="23" t="n"/>
      <c r="AR498" s="23" t="n"/>
      <c r="AS498" s="23" t="n"/>
      <c r="AT498" s="23" t="n"/>
      <c r="AU498" s="23" t="n"/>
      <c r="AV498" s="23" t="n"/>
      <c r="AW498" s="23" t="n"/>
      <c r="AX498" s="23" t="n"/>
      <c r="AY498" s="23" t="n"/>
      <c r="AZ498" s="23" t="n"/>
      <c r="BA498" s="23" t="n"/>
      <c r="BB498" s="23" t="n"/>
      <c r="BC498" s="23" t="n"/>
      <c r="BD498" s="23" t="n"/>
      <c r="BE498" s="23" t="n"/>
      <c r="BF498" s="23" t="n"/>
      <c r="BG498" s="23" t="n"/>
      <c r="BH498" s="23" t="n"/>
      <c r="BI498" s="23" t="n"/>
      <c r="BJ498" s="23" t="n"/>
      <c r="BK498" s="23" t="n"/>
      <c r="BL498" s="23" t="n"/>
      <c r="BM498" s="23" t="n"/>
      <c r="BN498" s="23" t="n"/>
      <c r="BO498" s="23" t="n"/>
      <c r="BP498" s="23" t="n"/>
      <c r="BQ498" s="23" t="n"/>
      <c r="BR498" s="23" t="n"/>
      <c r="BS498" s="23" t="n"/>
      <c r="BT498" s="23" t="n"/>
      <c r="BU498" s="23" t="n"/>
      <c r="BV498" s="23" t="n"/>
      <c r="BW498" s="23" t="n"/>
      <c r="BX498" s="23" t="n"/>
      <c r="BY498" s="23" t="n"/>
      <c r="BZ498" s="23" t="n"/>
      <c r="CA498" s="23" t="n"/>
      <c r="CB498" s="23" t="n"/>
      <c r="CC498" s="23" t="n"/>
      <c r="CD498" s="23" t="n"/>
      <c r="CE498" s="23" t="n"/>
      <c r="CF498" s="23" t="n"/>
      <c r="CG498" s="23" t="n"/>
      <c r="CH498" s="23" t="n"/>
      <c r="CI498" s="23" t="n"/>
      <c r="CJ498" s="23" t="n"/>
      <c r="CK498" s="23" t="n"/>
      <c r="CL498" s="23" t="n"/>
      <c r="CM498" s="23" t="n"/>
      <c r="CN498" s="23" t="n"/>
      <c r="CO498" s="23" t="n"/>
      <c r="CP498" s="23" t="n"/>
      <c r="CQ498" s="23" t="n"/>
      <c r="CR498" s="23" t="n"/>
      <c r="CS498" s="23" t="n"/>
      <c r="CT498" s="23" t="n"/>
      <c r="CU498" s="23" t="n"/>
      <c r="CV498" s="23" t="n"/>
      <c r="CW498" s="23" t="n"/>
      <c r="CX498" s="23" t="n"/>
      <c r="CY498" s="23" t="n"/>
      <c r="CZ498" s="23" t="n"/>
      <c r="DA498" s="23" t="n"/>
      <c r="DB498" s="23" t="n"/>
      <c r="DC498" s="23" t="n"/>
      <c r="DE498" s="12" t="inlineStr">
        <is>
          <t>CHEM-1440</t>
        </is>
      </c>
    </row>
    <row r="499">
      <c r="B499" s="24" t="inlineStr">
        <is>
          <t>PO_No</t>
        </is>
      </c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  <c r="AD499" s="25" t="n"/>
      <c r="AE499" s="25" t="n"/>
      <c r="AF499" s="25" t="n"/>
      <c r="AG499" s="25" t="n"/>
      <c r="AH499" s="25" t="n"/>
      <c r="AI499" s="25" t="n"/>
      <c r="AJ499" s="25" t="n"/>
      <c r="AK499" s="25" t="n"/>
      <c r="AL499" s="25" t="n"/>
      <c r="AM499" s="25" t="n"/>
      <c r="AN499" s="25" t="n"/>
      <c r="AO499" s="25" t="n"/>
      <c r="AP499" s="25" t="n"/>
      <c r="AQ499" s="25" t="n"/>
      <c r="AR499" s="25" t="n"/>
      <c r="AS499" s="25" t="n"/>
      <c r="AT499" s="25" t="n"/>
      <c r="AU499" s="25" t="n"/>
      <c r="AV499" s="25" t="n"/>
      <c r="AW499" s="25" t="n"/>
      <c r="AX499" s="25" t="n"/>
      <c r="AY499" s="25" t="n"/>
      <c r="AZ499" s="25" t="n"/>
      <c r="BA499" s="25" t="n"/>
      <c r="BB499" s="25" t="n"/>
      <c r="BC499" s="25" t="n"/>
      <c r="BD499" s="25" t="n"/>
      <c r="BE499" s="25" t="n"/>
      <c r="BF499" s="25" t="n"/>
      <c r="BG499" s="25" t="n"/>
      <c r="BH499" s="25" t="n"/>
      <c r="BI499" s="25" t="n"/>
      <c r="BJ499" s="25" t="n"/>
      <c r="BK499" s="25" t="n"/>
      <c r="BL499" s="25" t="n"/>
      <c r="BM499" s="25" t="n"/>
      <c r="BN499" s="25" t="n"/>
      <c r="BO499" s="25" t="n"/>
      <c r="BP499" s="25" t="n"/>
      <c r="BQ499" s="25" t="n"/>
      <c r="BR499" s="25" t="n"/>
      <c r="BS499" s="25" t="n"/>
      <c r="BT499" s="25" t="n"/>
      <c r="BU499" s="25" t="n"/>
      <c r="BV499" s="25" t="n"/>
      <c r="BW499" s="25" t="n"/>
      <c r="BX499" s="25" t="n"/>
      <c r="BY499" s="25" t="n"/>
      <c r="BZ499" s="25" t="n"/>
      <c r="CA499" s="25" t="n"/>
      <c r="CB499" s="25" t="n"/>
      <c r="CC499" s="25" t="n"/>
      <c r="CD499" s="25" t="n"/>
      <c r="CE499" s="25" t="n"/>
      <c r="CF499" s="25" t="n"/>
      <c r="CG499" s="25" t="n"/>
      <c r="CH499" s="25" t="n"/>
      <c r="CI499" s="25" t="n"/>
      <c r="CJ499" s="25" t="n"/>
      <c r="CK499" s="25" t="n"/>
      <c r="CL499" s="25" t="n"/>
      <c r="CM499" s="25" t="n"/>
      <c r="CN499" s="25" t="n"/>
      <c r="CO499" s="25" t="n"/>
      <c r="CP499" s="25" t="n"/>
      <c r="CQ499" s="25" t="n"/>
      <c r="CR499" s="25" t="n"/>
      <c r="CS499" s="25" t="n"/>
      <c r="CT499" s="25" t="n"/>
      <c r="CU499" s="25" t="n"/>
      <c r="CV499" s="25" t="n"/>
      <c r="CW499" s="25" t="n"/>
      <c r="CX499" s="25" t="n"/>
      <c r="CY499" s="25" t="n"/>
      <c r="CZ499" s="25" t="n"/>
      <c r="DA499" s="25" t="n"/>
      <c r="DB499" s="25" t="n"/>
      <c r="DC499" s="25" t="n"/>
    </row>
    <row r="500">
      <c r="B500" s="5" t="inlineStr">
        <is>
          <t>合計在庫(週末時点,kg)</t>
        </is>
      </c>
      <c r="D500">
        <f>'Grid_Stock'!B31</f>
        <v/>
      </c>
      <c r="E500">
        <f>'Grid_Stock'!C31</f>
        <v/>
      </c>
      <c r="F500">
        <f>'Grid_Stock'!D31</f>
        <v/>
      </c>
      <c r="G500">
        <f>'Grid_Stock'!E31</f>
        <v/>
      </c>
      <c r="H500">
        <f>'Grid_Stock'!F31</f>
        <v/>
      </c>
      <c r="I500">
        <f>'Grid_Stock'!G31</f>
        <v/>
      </c>
      <c r="J500">
        <f>'Grid_Stock'!H31</f>
        <v/>
      </c>
      <c r="K500">
        <f>'Grid_Stock'!I31</f>
        <v/>
      </c>
      <c r="L500">
        <f>'Grid_Stock'!J31</f>
        <v/>
      </c>
      <c r="M500">
        <f>'Grid_Stock'!K31</f>
        <v/>
      </c>
      <c r="N500">
        <f>'Grid_Stock'!L31</f>
        <v/>
      </c>
      <c r="O500">
        <f>'Grid_Stock'!M31</f>
        <v/>
      </c>
      <c r="P500">
        <f>'Grid_Stock'!N31</f>
        <v/>
      </c>
      <c r="Q500">
        <f>'Grid_Stock'!O31</f>
        <v/>
      </c>
      <c r="R500">
        <f>'Grid_Stock'!P31</f>
        <v/>
      </c>
      <c r="S500">
        <f>'Grid_Stock'!Q31</f>
        <v/>
      </c>
      <c r="T500">
        <f>'Grid_Stock'!R31</f>
        <v/>
      </c>
      <c r="U500">
        <f>'Grid_Stock'!S31</f>
        <v/>
      </c>
      <c r="V500">
        <f>'Grid_Stock'!T31</f>
        <v/>
      </c>
      <c r="W500">
        <f>'Grid_Stock'!U31</f>
        <v/>
      </c>
      <c r="X500">
        <f>'Grid_Stock'!V31</f>
        <v/>
      </c>
      <c r="Y500">
        <f>'Grid_Stock'!W31</f>
        <v/>
      </c>
      <c r="Z500">
        <f>'Grid_Stock'!X31</f>
        <v/>
      </c>
      <c r="AA500">
        <f>'Grid_Stock'!Y31</f>
        <v/>
      </c>
      <c r="AB500">
        <f>'Grid_Stock'!Z31</f>
        <v/>
      </c>
      <c r="AC500">
        <f>'Grid_Stock'!AA31</f>
        <v/>
      </c>
      <c r="AD500">
        <f>'Grid_Stock'!AB31</f>
        <v/>
      </c>
      <c r="AE500">
        <f>'Grid_Stock'!AC31</f>
        <v/>
      </c>
      <c r="AF500">
        <f>'Grid_Stock'!AD31</f>
        <v/>
      </c>
      <c r="AG500">
        <f>'Grid_Stock'!AE31</f>
        <v/>
      </c>
      <c r="AH500">
        <f>'Grid_Stock'!AF31</f>
        <v/>
      </c>
      <c r="AI500">
        <f>'Grid_Stock'!AG31</f>
        <v/>
      </c>
      <c r="AJ500">
        <f>'Grid_Stock'!AH31</f>
        <v/>
      </c>
      <c r="AK500">
        <f>'Grid_Stock'!AI31</f>
        <v/>
      </c>
      <c r="AL500">
        <f>'Grid_Stock'!AJ31</f>
        <v/>
      </c>
      <c r="AM500">
        <f>'Grid_Stock'!AK31</f>
        <v/>
      </c>
      <c r="AN500">
        <f>'Grid_Stock'!AL31</f>
        <v/>
      </c>
      <c r="AO500">
        <f>'Grid_Stock'!AM31</f>
        <v/>
      </c>
      <c r="AP500">
        <f>'Grid_Stock'!AN31</f>
        <v/>
      </c>
      <c r="AQ500">
        <f>'Grid_Stock'!AO31</f>
        <v/>
      </c>
      <c r="AR500">
        <f>'Grid_Stock'!AP31</f>
        <v/>
      </c>
      <c r="AS500">
        <f>'Grid_Stock'!AQ31</f>
        <v/>
      </c>
      <c r="AT500">
        <f>'Grid_Stock'!AR31</f>
        <v/>
      </c>
      <c r="AU500">
        <f>'Grid_Stock'!AS31</f>
        <v/>
      </c>
      <c r="AV500">
        <f>'Grid_Stock'!AT31</f>
        <v/>
      </c>
      <c r="AW500">
        <f>'Grid_Stock'!AU31</f>
        <v/>
      </c>
      <c r="AX500">
        <f>'Grid_Stock'!AV31</f>
        <v/>
      </c>
      <c r="AY500">
        <f>'Grid_Stock'!AW31</f>
        <v/>
      </c>
      <c r="AZ500">
        <f>'Grid_Stock'!AX31</f>
        <v/>
      </c>
      <c r="BA500">
        <f>'Grid_Stock'!AY31</f>
        <v/>
      </c>
      <c r="BB500">
        <f>'Grid_Stock'!AZ31</f>
        <v/>
      </c>
      <c r="BC500">
        <f>'Grid_Stock'!BA31</f>
        <v/>
      </c>
      <c r="BD500">
        <f>'Grid_Stock'!BB31</f>
        <v/>
      </c>
      <c r="BE500">
        <f>'Grid_Stock'!BC31</f>
        <v/>
      </c>
      <c r="BF500">
        <f>'Grid_Stock'!BD31</f>
        <v/>
      </c>
      <c r="BG500">
        <f>'Grid_Stock'!BE31</f>
        <v/>
      </c>
      <c r="BH500">
        <f>'Grid_Stock'!BF31</f>
        <v/>
      </c>
      <c r="BI500">
        <f>'Grid_Stock'!BG31</f>
        <v/>
      </c>
      <c r="BJ500">
        <f>'Grid_Stock'!BH31</f>
        <v/>
      </c>
      <c r="BK500">
        <f>'Grid_Stock'!BI31</f>
        <v/>
      </c>
      <c r="BL500">
        <f>'Grid_Stock'!BJ31</f>
        <v/>
      </c>
      <c r="BM500">
        <f>'Grid_Stock'!BK31</f>
        <v/>
      </c>
      <c r="BN500">
        <f>'Grid_Stock'!BL31</f>
        <v/>
      </c>
      <c r="BO500">
        <f>'Grid_Stock'!BM31</f>
        <v/>
      </c>
      <c r="BP500">
        <f>'Grid_Stock'!BN31</f>
        <v/>
      </c>
      <c r="BQ500">
        <f>'Grid_Stock'!BO31</f>
        <v/>
      </c>
      <c r="BR500">
        <f>'Grid_Stock'!BP31</f>
        <v/>
      </c>
      <c r="BS500">
        <f>'Grid_Stock'!BQ31</f>
        <v/>
      </c>
      <c r="BT500">
        <f>'Grid_Stock'!BR31</f>
        <v/>
      </c>
      <c r="BU500">
        <f>'Grid_Stock'!BS31</f>
        <v/>
      </c>
      <c r="BV500">
        <f>'Grid_Stock'!BT31</f>
        <v/>
      </c>
      <c r="BW500">
        <f>'Grid_Stock'!BU31</f>
        <v/>
      </c>
      <c r="BX500">
        <f>'Grid_Stock'!BV31</f>
        <v/>
      </c>
      <c r="BY500">
        <f>'Grid_Stock'!BW31</f>
        <v/>
      </c>
      <c r="BZ500">
        <f>'Grid_Stock'!BX31</f>
        <v/>
      </c>
      <c r="CA500">
        <f>'Grid_Stock'!BY31</f>
        <v/>
      </c>
      <c r="CB500">
        <f>'Grid_Stock'!BZ31</f>
        <v/>
      </c>
      <c r="CC500">
        <f>'Grid_Stock'!CA31</f>
        <v/>
      </c>
      <c r="CD500">
        <f>'Grid_Stock'!CB31</f>
        <v/>
      </c>
      <c r="CE500">
        <f>'Grid_Stock'!CC31</f>
        <v/>
      </c>
      <c r="CF500">
        <f>'Grid_Stock'!CD31</f>
        <v/>
      </c>
      <c r="CG500">
        <f>'Grid_Stock'!CE31</f>
        <v/>
      </c>
      <c r="CH500">
        <f>'Grid_Stock'!CF31</f>
        <v/>
      </c>
      <c r="CI500">
        <f>'Grid_Stock'!CG31</f>
        <v/>
      </c>
      <c r="CJ500">
        <f>'Grid_Stock'!CH31</f>
        <v/>
      </c>
      <c r="CK500">
        <f>'Grid_Stock'!CI31</f>
        <v/>
      </c>
      <c r="CL500">
        <f>'Grid_Stock'!CJ31</f>
        <v/>
      </c>
      <c r="CM500">
        <f>'Grid_Stock'!CK31</f>
        <v/>
      </c>
      <c r="CN500">
        <f>'Grid_Stock'!CL31</f>
        <v/>
      </c>
      <c r="CO500">
        <f>'Grid_Stock'!CM31</f>
        <v/>
      </c>
      <c r="CP500">
        <f>'Grid_Stock'!CN31</f>
        <v/>
      </c>
      <c r="CQ500">
        <f>'Grid_Stock'!CO31</f>
        <v/>
      </c>
      <c r="CR500">
        <f>'Grid_Stock'!CP31</f>
        <v/>
      </c>
      <c r="CS500">
        <f>'Grid_Stock'!CQ31</f>
        <v/>
      </c>
      <c r="CT500">
        <f>'Grid_Stock'!CR31</f>
        <v/>
      </c>
      <c r="CU500">
        <f>'Grid_Stock'!CS31</f>
        <v/>
      </c>
      <c r="CV500">
        <f>'Grid_Stock'!CT31</f>
        <v/>
      </c>
      <c r="CW500">
        <f>'Grid_Stock'!CU31</f>
        <v/>
      </c>
      <c r="CX500">
        <f>'Grid_Stock'!CV31</f>
        <v/>
      </c>
      <c r="CY500">
        <f>'Grid_Stock'!CW31</f>
        <v/>
      </c>
      <c r="CZ500">
        <f>'Grid_Stock'!CX31</f>
        <v/>
      </c>
      <c r="DA500">
        <f>'Grid_Stock'!CY31</f>
        <v/>
      </c>
      <c r="DB500">
        <f>'Grid_Stock'!CZ31</f>
        <v/>
      </c>
      <c r="DC500">
        <f>'Grid_Stock'!DA31</f>
        <v/>
      </c>
    </row>
    <row r="501">
      <c r="B501" s="26" t="inlineStr">
        <is>
          <t>（発注の目安はDashboardの基準在庫[下限/上限]と色分けを参照）</t>
        </is>
      </c>
    </row>
    <row r="503">
      <c r="A503" s="21" t="inlineStr">
        <is>
          <t>CHEM-1780</t>
        </is>
      </c>
      <c r="B503" s="21" t="inlineStr">
        <is>
          <t>Diammonium Citrate</t>
        </is>
      </c>
      <c r="C503" s="22" t="n"/>
      <c r="D503" s="21" t="n"/>
      <c r="E503" s="21" t="n"/>
      <c r="F503" s="21" t="n"/>
      <c r="G503" s="21" t="n"/>
      <c r="H503" s="21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  <c r="AA503" s="21" t="n"/>
      <c r="AB503" s="21" t="n"/>
      <c r="AC503" s="21" t="n"/>
      <c r="AD503" s="21" t="n"/>
      <c r="AE503" s="21" t="n"/>
      <c r="AF503" s="21" t="n"/>
      <c r="AG503" s="21" t="n"/>
      <c r="AH503" s="21" t="n"/>
      <c r="AI503" s="21" t="n"/>
      <c r="AJ503" s="21" t="n"/>
      <c r="AK503" s="21" t="n"/>
      <c r="AL503" s="21" t="n"/>
      <c r="AM503" s="21" t="n"/>
      <c r="AN503" s="21" t="n"/>
      <c r="AO503" s="21" t="n"/>
      <c r="AP503" s="21" t="n"/>
      <c r="AQ503" s="21" t="n"/>
      <c r="AR503" s="21" t="n"/>
      <c r="AS503" s="21" t="n"/>
      <c r="AT503" s="21" t="n"/>
      <c r="AU503" s="21" t="n"/>
      <c r="AV503" s="21" t="n"/>
      <c r="AW503" s="21" t="n"/>
      <c r="AX503" s="21" t="n"/>
      <c r="AY503" s="21" t="n"/>
      <c r="AZ503" s="21" t="n"/>
      <c r="BA503" s="21" t="n"/>
      <c r="BB503" s="21" t="n"/>
      <c r="BC503" s="21" t="n"/>
      <c r="BD503" s="21" t="n"/>
      <c r="BE503" s="21" t="n"/>
      <c r="BF503" s="21" t="n"/>
      <c r="BG503" s="21" t="n"/>
      <c r="BH503" s="21" t="n"/>
      <c r="BI503" s="21" t="n"/>
      <c r="BJ503" s="21" t="n"/>
      <c r="BK503" s="21" t="n"/>
      <c r="BL503" s="21" t="n"/>
      <c r="BM503" s="21" t="n"/>
      <c r="BN503" s="21" t="n"/>
      <c r="BO503" s="21" t="n"/>
      <c r="BP503" s="21" t="n"/>
      <c r="BQ503" s="21" t="n"/>
      <c r="BR503" s="21" t="n"/>
      <c r="BS503" s="21" t="n"/>
      <c r="BT503" s="21" t="n"/>
      <c r="BU503" s="21" t="n"/>
      <c r="BV503" s="21" t="n"/>
      <c r="BW503" s="21" t="n"/>
      <c r="BX503" s="21" t="n"/>
      <c r="BY503" s="21" t="n"/>
      <c r="BZ503" s="21" t="n"/>
      <c r="CA503" s="21" t="n"/>
      <c r="CB503" s="21" t="n"/>
      <c r="CC503" s="21" t="n"/>
      <c r="CD503" s="21" t="n"/>
      <c r="CE503" s="21" t="n"/>
      <c r="CF503" s="21" t="n"/>
      <c r="CG503" s="21" t="n"/>
      <c r="CH503" s="21" t="n"/>
      <c r="CI503" s="21" t="n"/>
      <c r="CJ503" s="21" t="n"/>
      <c r="CK503" s="21" t="n"/>
      <c r="CL503" s="21" t="n"/>
      <c r="CM503" s="21" t="n"/>
      <c r="CN503" s="21" t="n"/>
      <c r="CO503" s="21" t="n"/>
      <c r="CP503" s="21" t="n"/>
      <c r="CQ503" s="21" t="n"/>
      <c r="CR503" s="21" t="n"/>
      <c r="CS503" s="21" t="n"/>
      <c r="CT503" s="21" t="n"/>
      <c r="CU503" s="21" t="n"/>
      <c r="CV503" s="21" t="n"/>
      <c r="CW503" s="21" t="n"/>
      <c r="CX503" s="21" t="n"/>
      <c r="CY503" s="21" t="n"/>
      <c r="CZ503" s="21" t="n"/>
      <c r="DA503" s="21" t="n"/>
      <c r="DB503" s="21" t="n"/>
      <c r="DC503" s="21" t="n"/>
    </row>
    <row r="504">
      <c r="B504" t="inlineStr">
        <is>
          <t>TSP-1499</t>
        </is>
      </c>
      <c r="C504" t="inlineStr">
        <is>
          <t>No. of batches</t>
        </is>
      </c>
      <c r="D504">
        <f>IFERROR(INDEX(PP_Grid[#Data],$DD504,2),0)</f>
        <v/>
      </c>
      <c r="E504">
        <f>IFERROR(INDEX(PP_Grid[#Data],$DD504,3),0)</f>
        <v/>
      </c>
      <c r="F504">
        <f>IFERROR(INDEX(PP_Grid[#Data],$DD504,4),0)</f>
        <v/>
      </c>
      <c r="G504">
        <f>IFERROR(INDEX(PP_Grid[#Data],$DD504,5),0)</f>
        <v/>
      </c>
      <c r="H504">
        <f>IFERROR(INDEX(PP_Grid[#Data],$DD504,6),0)</f>
        <v/>
      </c>
      <c r="I504">
        <f>IFERROR(INDEX(PP_Grid[#Data],$DD504,7),0)</f>
        <v/>
      </c>
      <c r="J504">
        <f>IFERROR(INDEX(PP_Grid[#Data],$DD504,8),0)</f>
        <v/>
      </c>
      <c r="K504">
        <f>IFERROR(INDEX(PP_Grid[#Data],$DD504,9),0)</f>
        <v/>
      </c>
      <c r="L504">
        <f>IFERROR(INDEX(PP_Grid[#Data],$DD504,10),0)</f>
        <v/>
      </c>
      <c r="M504">
        <f>IFERROR(INDEX(PP_Grid[#Data],$DD504,11),0)</f>
        <v/>
      </c>
      <c r="N504">
        <f>IFERROR(INDEX(PP_Grid[#Data],$DD504,12),0)</f>
        <v/>
      </c>
      <c r="O504">
        <f>IFERROR(INDEX(PP_Grid[#Data],$DD504,13),0)</f>
        <v/>
      </c>
      <c r="P504">
        <f>IFERROR(INDEX(PP_Grid[#Data],$DD504,14),0)</f>
        <v/>
      </c>
      <c r="Q504">
        <f>IFERROR(INDEX(PP_Grid[#Data],$DD504,15),0)</f>
        <v/>
      </c>
      <c r="R504">
        <f>IFERROR(INDEX(PP_Grid[#Data],$DD504,16),0)</f>
        <v/>
      </c>
      <c r="S504">
        <f>IFERROR(INDEX(PP_Grid[#Data],$DD504,17),0)</f>
        <v/>
      </c>
      <c r="T504">
        <f>IFERROR(INDEX(PP_Grid[#Data],$DD504,18),0)</f>
        <v/>
      </c>
      <c r="U504">
        <f>IFERROR(INDEX(PP_Grid[#Data],$DD504,19),0)</f>
        <v/>
      </c>
      <c r="V504">
        <f>IFERROR(INDEX(PP_Grid[#Data],$DD504,20),0)</f>
        <v/>
      </c>
      <c r="W504">
        <f>IFERROR(INDEX(PP_Grid[#Data],$DD504,21),0)</f>
        <v/>
      </c>
      <c r="X504">
        <f>IFERROR(INDEX(PP_Grid[#Data],$DD504,22),0)</f>
        <v/>
      </c>
      <c r="Y504">
        <f>IFERROR(INDEX(PP_Grid[#Data],$DD504,23),0)</f>
        <v/>
      </c>
      <c r="Z504">
        <f>IFERROR(INDEX(PP_Grid[#Data],$DD504,24),0)</f>
        <v/>
      </c>
      <c r="AA504">
        <f>IFERROR(INDEX(PP_Grid[#Data],$DD504,25),0)</f>
        <v/>
      </c>
      <c r="AB504">
        <f>IFERROR(INDEX(PP_Grid[#Data],$DD504,26),0)</f>
        <v/>
      </c>
      <c r="AC504">
        <f>IFERROR(INDEX(PP_Grid[#Data],$DD504,27),0)</f>
        <v/>
      </c>
      <c r="AD504">
        <f>IFERROR(INDEX(PP_Grid[#Data],$DD504,28),0)</f>
        <v/>
      </c>
      <c r="AE504">
        <f>IFERROR(INDEX(PP_Grid[#Data],$DD504,29),0)</f>
        <v/>
      </c>
      <c r="AF504">
        <f>IFERROR(INDEX(PP_Grid[#Data],$DD504,30),0)</f>
        <v/>
      </c>
      <c r="AG504">
        <f>IFERROR(INDEX(PP_Grid[#Data],$DD504,31),0)</f>
        <v/>
      </c>
      <c r="AH504">
        <f>IFERROR(INDEX(PP_Grid[#Data],$DD504,32),0)</f>
        <v/>
      </c>
      <c r="AI504">
        <f>IFERROR(INDEX(PP_Grid[#Data],$DD504,33),0)</f>
        <v/>
      </c>
      <c r="AJ504">
        <f>IFERROR(INDEX(PP_Grid[#Data],$DD504,34),0)</f>
        <v/>
      </c>
      <c r="AK504">
        <f>IFERROR(INDEX(PP_Grid[#Data],$DD504,35),0)</f>
        <v/>
      </c>
      <c r="AL504">
        <f>IFERROR(INDEX(PP_Grid[#Data],$DD504,36),0)</f>
        <v/>
      </c>
      <c r="AM504">
        <f>IFERROR(INDEX(PP_Grid[#Data],$DD504,37),0)</f>
        <v/>
      </c>
      <c r="AN504">
        <f>IFERROR(INDEX(PP_Grid[#Data],$DD504,38),0)</f>
        <v/>
      </c>
      <c r="AO504">
        <f>IFERROR(INDEX(PP_Grid[#Data],$DD504,39),0)</f>
        <v/>
      </c>
      <c r="AP504">
        <f>IFERROR(INDEX(PP_Grid[#Data],$DD504,40),0)</f>
        <v/>
      </c>
      <c r="AQ504">
        <f>IFERROR(INDEX(PP_Grid[#Data],$DD504,41),0)</f>
        <v/>
      </c>
      <c r="AR504">
        <f>IFERROR(INDEX(PP_Grid[#Data],$DD504,42),0)</f>
        <v/>
      </c>
      <c r="AS504">
        <f>IFERROR(INDEX(PP_Grid[#Data],$DD504,43),0)</f>
        <v/>
      </c>
      <c r="AT504">
        <f>IFERROR(INDEX(PP_Grid[#Data],$DD504,44),0)</f>
        <v/>
      </c>
      <c r="AU504">
        <f>IFERROR(INDEX(PP_Grid[#Data],$DD504,45),0)</f>
        <v/>
      </c>
      <c r="AV504">
        <f>IFERROR(INDEX(PP_Grid[#Data],$DD504,46),0)</f>
        <v/>
      </c>
      <c r="AW504">
        <f>IFERROR(INDEX(PP_Grid[#Data],$DD504,47),0)</f>
        <v/>
      </c>
      <c r="AX504">
        <f>IFERROR(INDEX(PP_Grid[#Data],$DD504,48),0)</f>
        <v/>
      </c>
      <c r="AY504">
        <f>IFERROR(INDEX(PP_Grid[#Data],$DD504,49),0)</f>
        <v/>
      </c>
      <c r="AZ504">
        <f>IFERROR(INDEX(PP_Grid[#Data],$DD504,50),0)</f>
        <v/>
      </c>
      <c r="BA504">
        <f>IFERROR(INDEX(PP_Grid[#Data],$DD504,51),0)</f>
        <v/>
      </c>
      <c r="BB504">
        <f>IFERROR(INDEX(PP_Grid[#Data],$DD504,52),0)</f>
        <v/>
      </c>
      <c r="BC504">
        <f>IFERROR(INDEX(PP_Grid[#Data],$DD504,53),0)</f>
        <v/>
      </c>
      <c r="BD504">
        <f>IFERROR(INDEX(PP_Grid[#Data],$DD504,54),0)</f>
        <v/>
      </c>
      <c r="BE504">
        <f>IFERROR(INDEX(PP_Grid[#Data],$DD504,55),0)</f>
        <v/>
      </c>
      <c r="BF504">
        <f>IFERROR(INDEX(PP_Grid[#Data],$DD504,56),0)</f>
        <v/>
      </c>
      <c r="BG504">
        <f>IFERROR(INDEX(PP_Grid[#Data],$DD504,57),0)</f>
        <v/>
      </c>
      <c r="BH504">
        <f>IFERROR(INDEX(PP_Grid[#Data],$DD504,58),0)</f>
        <v/>
      </c>
      <c r="BI504">
        <f>IFERROR(INDEX(PP_Grid[#Data],$DD504,59),0)</f>
        <v/>
      </c>
      <c r="BJ504">
        <f>IFERROR(INDEX(PP_Grid[#Data],$DD504,60),0)</f>
        <v/>
      </c>
      <c r="BK504">
        <f>IFERROR(INDEX(PP_Grid[#Data],$DD504,61),0)</f>
        <v/>
      </c>
      <c r="BL504">
        <f>IFERROR(INDEX(PP_Grid[#Data],$DD504,62),0)</f>
        <v/>
      </c>
      <c r="BM504">
        <f>IFERROR(INDEX(PP_Grid[#Data],$DD504,63),0)</f>
        <v/>
      </c>
      <c r="BN504">
        <f>IFERROR(INDEX(PP_Grid[#Data],$DD504,64),0)</f>
        <v/>
      </c>
      <c r="BO504">
        <f>IFERROR(INDEX(PP_Grid[#Data],$DD504,65),0)</f>
        <v/>
      </c>
      <c r="BP504">
        <f>IFERROR(INDEX(PP_Grid[#Data],$DD504,66),0)</f>
        <v/>
      </c>
      <c r="BQ504">
        <f>IFERROR(INDEX(PP_Grid[#Data],$DD504,67),0)</f>
        <v/>
      </c>
      <c r="BR504">
        <f>IFERROR(INDEX(PP_Grid[#Data],$DD504,68),0)</f>
        <v/>
      </c>
      <c r="BS504">
        <f>IFERROR(INDEX(PP_Grid[#Data],$DD504,69),0)</f>
        <v/>
      </c>
      <c r="BT504">
        <f>IFERROR(INDEX(PP_Grid[#Data],$DD504,70),0)</f>
        <v/>
      </c>
      <c r="BU504">
        <f>IFERROR(INDEX(PP_Grid[#Data],$DD504,71),0)</f>
        <v/>
      </c>
      <c r="BV504">
        <f>IFERROR(INDEX(PP_Grid[#Data],$DD504,72),0)</f>
        <v/>
      </c>
      <c r="BW504">
        <f>IFERROR(INDEX(PP_Grid[#Data],$DD504,73),0)</f>
        <v/>
      </c>
      <c r="BX504">
        <f>IFERROR(INDEX(PP_Grid[#Data],$DD504,74),0)</f>
        <v/>
      </c>
      <c r="BY504">
        <f>IFERROR(INDEX(PP_Grid[#Data],$DD504,75),0)</f>
        <v/>
      </c>
      <c r="BZ504">
        <f>IFERROR(INDEX(PP_Grid[#Data],$DD504,76),0)</f>
        <v/>
      </c>
      <c r="CA504">
        <f>IFERROR(INDEX(PP_Grid[#Data],$DD504,77),0)</f>
        <v/>
      </c>
      <c r="CB504">
        <f>IFERROR(INDEX(PP_Grid[#Data],$DD504,78),0)</f>
        <v/>
      </c>
      <c r="CC504">
        <f>IFERROR(INDEX(PP_Grid[#Data],$DD504,79),0)</f>
        <v/>
      </c>
      <c r="CD504">
        <f>IFERROR(INDEX(PP_Grid[#Data],$DD504,80),0)</f>
        <v/>
      </c>
      <c r="CE504">
        <f>IFERROR(INDEX(PP_Grid[#Data],$DD504,81),0)</f>
        <v/>
      </c>
      <c r="CF504">
        <f>IFERROR(INDEX(PP_Grid[#Data],$DD504,82),0)</f>
        <v/>
      </c>
      <c r="CG504">
        <f>IFERROR(INDEX(PP_Grid[#Data],$DD504,83),0)</f>
        <v/>
      </c>
      <c r="CH504">
        <f>IFERROR(INDEX(PP_Grid[#Data],$DD504,84),0)</f>
        <v/>
      </c>
      <c r="CI504">
        <f>IFERROR(INDEX(PP_Grid[#Data],$DD504,85),0)</f>
        <v/>
      </c>
      <c r="CJ504">
        <f>IFERROR(INDEX(PP_Grid[#Data],$DD504,86),0)</f>
        <v/>
      </c>
      <c r="CK504">
        <f>IFERROR(INDEX(PP_Grid[#Data],$DD504,87),0)</f>
        <v/>
      </c>
      <c r="CL504">
        <f>IFERROR(INDEX(PP_Grid[#Data],$DD504,88),0)</f>
        <v/>
      </c>
      <c r="CM504">
        <f>IFERROR(INDEX(PP_Grid[#Data],$DD504,89),0)</f>
        <v/>
      </c>
      <c r="CN504">
        <f>IFERROR(INDEX(PP_Grid[#Data],$DD504,90),0)</f>
        <v/>
      </c>
      <c r="CO504">
        <f>IFERROR(INDEX(PP_Grid[#Data],$DD504,91),0)</f>
        <v/>
      </c>
      <c r="CP504">
        <f>IFERROR(INDEX(PP_Grid[#Data],$DD504,92),0)</f>
        <v/>
      </c>
      <c r="CQ504">
        <f>IFERROR(INDEX(PP_Grid[#Data],$DD504,93),0)</f>
        <v/>
      </c>
      <c r="CR504">
        <f>IFERROR(INDEX(PP_Grid[#Data],$DD504,94),0)</f>
        <v/>
      </c>
      <c r="CS504">
        <f>IFERROR(INDEX(PP_Grid[#Data],$DD504,95),0)</f>
        <v/>
      </c>
      <c r="CT504">
        <f>IFERROR(INDEX(PP_Grid[#Data],$DD504,96),0)</f>
        <v/>
      </c>
      <c r="CU504">
        <f>IFERROR(INDEX(PP_Grid[#Data],$DD504,97),0)</f>
        <v/>
      </c>
      <c r="CV504">
        <f>IFERROR(INDEX(PP_Grid[#Data],$DD504,98),0)</f>
        <v/>
      </c>
      <c r="CW504">
        <f>IFERROR(INDEX(PP_Grid[#Data],$DD504,99),0)</f>
        <v/>
      </c>
      <c r="CX504">
        <f>IFERROR(INDEX(PP_Grid[#Data],$DD504,100),0)</f>
        <v/>
      </c>
      <c r="CY504">
        <f>IFERROR(INDEX(PP_Grid[#Data],$DD504,101),0)</f>
        <v/>
      </c>
      <c r="CZ504">
        <f>IFERROR(INDEX(PP_Grid[#Data],$DD504,102),0)</f>
        <v/>
      </c>
      <c r="DA504">
        <f>IFERROR(INDEX(PP_Grid[#Data],$DD504,103),0)</f>
        <v/>
      </c>
      <c r="DB504">
        <f>IFERROR(INDEX(PP_Grid[#Data],$DD504,104),0)</f>
        <v/>
      </c>
      <c r="DC504">
        <f>IFERROR(INDEX(PP_Grid[#Data],$DD504,105),0)</f>
        <v/>
      </c>
      <c r="DD504" s="12">
        <f>IFERROR(MATCH($B504,PP_Grid[Intermediate],0),99999)</f>
        <v/>
      </c>
    </row>
    <row r="505">
      <c r="B505" t="inlineStr">
        <is>
          <t>使用量(kg)</t>
        </is>
      </c>
      <c r="C505">
        <f>SUMIFS(M_BOM[RM_Qty_Per_Batch],M_BOM[Intermediate],$B504,M_BOM[Part Name],$A503)</f>
        <v/>
      </c>
      <c r="D505">
        <f>$C505*D504</f>
        <v/>
      </c>
      <c r="E505">
        <f>$C505*E504</f>
        <v/>
      </c>
      <c r="F505">
        <f>$C505*F504</f>
        <v/>
      </c>
      <c r="G505">
        <f>$C505*G504</f>
        <v/>
      </c>
      <c r="H505">
        <f>$C505*H504</f>
        <v/>
      </c>
      <c r="I505">
        <f>$C505*I504</f>
        <v/>
      </c>
      <c r="J505">
        <f>$C505*J504</f>
        <v/>
      </c>
      <c r="K505">
        <f>$C505*K504</f>
        <v/>
      </c>
      <c r="L505">
        <f>$C505*L504</f>
        <v/>
      </c>
      <c r="M505">
        <f>$C505*M504</f>
        <v/>
      </c>
      <c r="N505">
        <f>$C505*N504</f>
        <v/>
      </c>
      <c r="O505">
        <f>$C505*O504</f>
        <v/>
      </c>
      <c r="P505">
        <f>$C505*P504</f>
        <v/>
      </c>
      <c r="Q505">
        <f>$C505*Q504</f>
        <v/>
      </c>
      <c r="R505">
        <f>$C505*R504</f>
        <v/>
      </c>
      <c r="S505">
        <f>$C505*S504</f>
        <v/>
      </c>
      <c r="T505">
        <f>$C505*T504</f>
        <v/>
      </c>
      <c r="U505">
        <f>$C505*U504</f>
        <v/>
      </c>
      <c r="V505">
        <f>$C505*V504</f>
        <v/>
      </c>
      <c r="W505">
        <f>$C505*W504</f>
        <v/>
      </c>
      <c r="X505">
        <f>$C505*X504</f>
        <v/>
      </c>
      <c r="Y505">
        <f>$C505*Y504</f>
        <v/>
      </c>
      <c r="Z505">
        <f>$C505*Z504</f>
        <v/>
      </c>
      <c r="AA505">
        <f>$C505*AA504</f>
        <v/>
      </c>
      <c r="AB505">
        <f>$C505*AB504</f>
        <v/>
      </c>
      <c r="AC505">
        <f>$C505*AC504</f>
        <v/>
      </c>
      <c r="AD505">
        <f>$C505*AD504</f>
        <v/>
      </c>
      <c r="AE505">
        <f>$C505*AE504</f>
        <v/>
      </c>
      <c r="AF505">
        <f>$C505*AF504</f>
        <v/>
      </c>
      <c r="AG505">
        <f>$C505*AG504</f>
        <v/>
      </c>
      <c r="AH505">
        <f>$C505*AH504</f>
        <v/>
      </c>
      <c r="AI505">
        <f>$C505*AI504</f>
        <v/>
      </c>
      <c r="AJ505">
        <f>$C505*AJ504</f>
        <v/>
      </c>
      <c r="AK505">
        <f>$C505*AK504</f>
        <v/>
      </c>
      <c r="AL505">
        <f>$C505*AL504</f>
        <v/>
      </c>
      <c r="AM505">
        <f>$C505*AM504</f>
        <v/>
      </c>
      <c r="AN505">
        <f>$C505*AN504</f>
        <v/>
      </c>
      <c r="AO505">
        <f>$C505*AO504</f>
        <v/>
      </c>
      <c r="AP505">
        <f>$C505*AP504</f>
        <v/>
      </c>
      <c r="AQ505">
        <f>$C505*AQ504</f>
        <v/>
      </c>
      <c r="AR505">
        <f>$C505*AR504</f>
        <v/>
      </c>
      <c r="AS505">
        <f>$C505*AS504</f>
        <v/>
      </c>
      <c r="AT505">
        <f>$C505*AT504</f>
        <v/>
      </c>
      <c r="AU505">
        <f>$C505*AU504</f>
        <v/>
      </c>
      <c r="AV505">
        <f>$C505*AV504</f>
        <v/>
      </c>
      <c r="AW505">
        <f>$C505*AW504</f>
        <v/>
      </c>
      <c r="AX505">
        <f>$C505*AX504</f>
        <v/>
      </c>
      <c r="AY505">
        <f>$C505*AY504</f>
        <v/>
      </c>
      <c r="AZ505">
        <f>$C505*AZ504</f>
        <v/>
      </c>
      <c r="BA505">
        <f>$C505*BA504</f>
        <v/>
      </c>
      <c r="BB505">
        <f>$C505*BB504</f>
        <v/>
      </c>
      <c r="BC505">
        <f>$C505*BC504</f>
        <v/>
      </c>
      <c r="BD505">
        <f>$C505*BD504</f>
        <v/>
      </c>
      <c r="BE505">
        <f>$C505*BE504</f>
        <v/>
      </c>
      <c r="BF505">
        <f>$C505*BF504</f>
        <v/>
      </c>
      <c r="BG505">
        <f>$C505*BG504</f>
        <v/>
      </c>
      <c r="BH505">
        <f>$C505*BH504</f>
        <v/>
      </c>
      <c r="BI505">
        <f>$C505*BI504</f>
        <v/>
      </c>
      <c r="BJ505">
        <f>$C505*BJ504</f>
        <v/>
      </c>
      <c r="BK505">
        <f>$C505*BK504</f>
        <v/>
      </c>
      <c r="BL505">
        <f>$C505*BL504</f>
        <v/>
      </c>
      <c r="BM505">
        <f>$C505*BM504</f>
        <v/>
      </c>
      <c r="BN505">
        <f>$C505*BN504</f>
        <v/>
      </c>
      <c r="BO505">
        <f>$C505*BO504</f>
        <v/>
      </c>
      <c r="BP505">
        <f>$C505*BP504</f>
        <v/>
      </c>
      <c r="BQ505">
        <f>$C505*BQ504</f>
        <v/>
      </c>
      <c r="BR505">
        <f>$C505*BR504</f>
        <v/>
      </c>
      <c r="BS505">
        <f>$C505*BS504</f>
        <v/>
      </c>
      <c r="BT505">
        <f>$C505*BT504</f>
        <v/>
      </c>
      <c r="BU505">
        <f>$C505*BU504</f>
        <v/>
      </c>
      <c r="BV505">
        <f>$C505*BV504</f>
        <v/>
      </c>
      <c r="BW505">
        <f>$C505*BW504</f>
        <v/>
      </c>
      <c r="BX505">
        <f>$C505*BX504</f>
        <v/>
      </c>
      <c r="BY505">
        <f>$C505*BY504</f>
        <v/>
      </c>
      <c r="BZ505">
        <f>$C505*BZ504</f>
        <v/>
      </c>
      <c r="CA505">
        <f>$C505*CA504</f>
        <v/>
      </c>
      <c r="CB505">
        <f>$C505*CB504</f>
        <v/>
      </c>
      <c r="CC505">
        <f>$C505*CC504</f>
        <v/>
      </c>
      <c r="CD505">
        <f>$C505*CD504</f>
        <v/>
      </c>
      <c r="CE505">
        <f>$C505*CE504</f>
        <v/>
      </c>
      <c r="CF505">
        <f>$C505*CF504</f>
        <v/>
      </c>
      <c r="CG505">
        <f>$C505*CG504</f>
        <v/>
      </c>
      <c r="CH505">
        <f>$C505*CH504</f>
        <v/>
      </c>
      <c r="CI505">
        <f>$C505*CI504</f>
        <v/>
      </c>
      <c r="CJ505">
        <f>$C505*CJ504</f>
        <v/>
      </c>
      <c r="CK505">
        <f>$C505*CK504</f>
        <v/>
      </c>
      <c r="CL505">
        <f>$C505*CL504</f>
        <v/>
      </c>
      <c r="CM505">
        <f>$C505*CM504</f>
        <v/>
      </c>
      <c r="CN505">
        <f>$C505*CN504</f>
        <v/>
      </c>
      <c r="CO505">
        <f>$C505*CO504</f>
        <v/>
      </c>
      <c r="CP505">
        <f>$C505*CP504</f>
        <v/>
      </c>
      <c r="CQ505">
        <f>$C505*CQ504</f>
        <v/>
      </c>
      <c r="CR505">
        <f>$C505*CR504</f>
        <v/>
      </c>
      <c r="CS505">
        <f>$C505*CS504</f>
        <v/>
      </c>
      <c r="CT505">
        <f>$C505*CT504</f>
        <v/>
      </c>
      <c r="CU505">
        <f>$C505*CU504</f>
        <v/>
      </c>
      <c r="CV505">
        <f>$C505*CV504</f>
        <v/>
      </c>
      <c r="CW505">
        <f>$C505*CW504</f>
        <v/>
      </c>
      <c r="CX505">
        <f>$C505*CX504</f>
        <v/>
      </c>
      <c r="CY505">
        <f>$C505*CY504</f>
        <v/>
      </c>
      <c r="CZ505">
        <f>$C505*CZ504</f>
        <v/>
      </c>
      <c r="DA505">
        <f>$C505*DA504</f>
        <v/>
      </c>
      <c r="DB505">
        <f>$C505*DB504</f>
        <v/>
      </c>
      <c r="DC505">
        <f>$C505*DC504</f>
        <v/>
      </c>
    </row>
    <row r="506">
      <c r="B506" t="inlineStr">
        <is>
          <t>TSP-1555</t>
        </is>
      </c>
      <c r="C506" t="inlineStr">
        <is>
          <t>No. of batches</t>
        </is>
      </c>
      <c r="D506">
        <f>IFERROR(INDEX(PP_Grid[#Data],$DD506,2),0)</f>
        <v/>
      </c>
      <c r="E506">
        <f>IFERROR(INDEX(PP_Grid[#Data],$DD506,3),0)</f>
        <v/>
      </c>
      <c r="F506">
        <f>IFERROR(INDEX(PP_Grid[#Data],$DD506,4),0)</f>
        <v/>
      </c>
      <c r="G506">
        <f>IFERROR(INDEX(PP_Grid[#Data],$DD506,5),0)</f>
        <v/>
      </c>
      <c r="H506">
        <f>IFERROR(INDEX(PP_Grid[#Data],$DD506,6),0)</f>
        <v/>
      </c>
      <c r="I506">
        <f>IFERROR(INDEX(PP_Grid[#Data],$DD506,7),0)</f>
        <v/>
      </c>
      <c r="J506">
        <f>IFERROR(INDEX(PP_Grid[#Data],$DD506,8),0)</f>
        <v/>
      </c>
      <c r="K506">
        <f>IFERROR(INDEX(PP_Grid[#Data],$DD506,9),0)</f>
        <v/>
      </c>
      <c r="L506">
        <f>IFERROR(INDEX(PP_Grid[#Data],$DD506,10),0)</f>
        <v/>
      </c>
      <c r="M506">
        <f>IFERROR(INDEX(PP_Grid[#Data],$DD506,11),0)</f>
        <v/>
      </c>
      <c r="N506">
        <f>IFERROR(INDEX(PP_Grid[#Data],$DD506,12),0)</f>
        <v/>
      </c>
      <c r="O506">
        <f>IFERROR(INDEX(PP_Grid[#Data],$DD506,13),0)</f>
        <v/>
      </c>
      <c r="P506">
        <f>IFERROR(INDEX(PP_Grid[#Data],$DD506,14),0)</f>
        <v/>
      </c>
      <c r="Q506">
        <f>IFERROR(INDEX(PP_Grid[#Data],$DD506,15),0)</f>
        <v/>
      </c>
      <c r="R506">
        <f>IFERROR(INDEX(PP_Grid[#Data],$DD506,16),0)</f>
        <v/>
      </c>
      <c r="S506">
        <f>IFERROR(INDEX(PP_Grid[#Data],$DD506,17),0)</f>
        <v/>
      </c>
      <c r="T506">
        <f>IFERROR(INDEX(PP_Grid[#Data],$DD506,18),0)</f>
        <v/>
      </c>
      <c r="U506">
        <f>IFERROR(INDEX(PP_Grid[#Data],$DD506,19),0)</f>
        <v/>
      </c>
      <c r="V506">
        <f>IFERROR(INDEX(PP_Grid[#Data],$DD506,20),0)</f>
        <v/>
      </c>
      <c r="W506">
        <f>IFERROR(INDEX(PP_Grid[#Data],$DD506,21),0)</f>
        <v/>
      </c>
      <c r="X506">
        <f>IFERROR(INDEX(PP_Grid[#Data],$DD506,22),0)</f>
        <v/>
      </c>
      <c r="Y506">
        <f>IFERROR(INDEX(PP_Grid[#Data],$DD506,23),0)</f>
        <v/>
      </c>
      <c r="Z506">
        <f>IFERROR(INDEX(PP_Grid[#Data],$DD506,24),0)</f>
        <v/>
      </c>
      <c r="AA506">
        <f>IFERROR(INDEX(PP_Grid[#Data],$DD506,25),0)</f>
        <v/>
      </c>
      <c r="AB506">
        <f>IFERROR(INDEX(PP_Grid[#Data],$DD506,26),0)</f>
        <v/>
      </c>
      <c r="AC506">
        <f>IFERROR(INDEX(PP_Grid[#Data],$DD506,27),0)</f>
        <v/>
      </c>
      <c r="AD506">
        <f>IFERROR(INDEX(PP_Grid[#Data],$DD506,28),0)</f>
        <v/>
      </c>
      <c r="AE506">
        <f>IFERROR(INDEX(PP_Grid[#Data],$DD506,29),0)</f>
        <v/>
      </c>
      <c r="AF506">
        <f>IFERROR(INDEX(PP_Grid[#Data],$DD506,30),0)</f>
        <v/>
      </c>
      <c r="AG506">
        <f>IFERROR(INDEX(PP_Grid[#Data],$DD506,31),0)</f>
        <v/>
      </c>
      <c r="AH506">
        <f>IFERROR(INDEX(PP_Grid[#Data],$DD506,32),0)</f>
        <v/>
      </c>
      <c r="AI506">
        <f>IFERROR(INDEX(PP_Grid[#Data],$DD506,33),0)</f>
        <v/>
      </c>
      <c r="AJ506">
        <f>IFERROR(INDEX(PP_Grid[#Data],$DD506,34),0)</f>
        <v/>
      </c>
      <c r="AK506">
        <f>IFERROR(INDEX(PP_Grid[#Data],$DD506,35),0)</f>
        <v/>
      </c>
      <c r="AL506">
        <f>IFERROR(INDEX(PP_Grid[#Data],$DD506,36),0)</f>
        <v/>
      </c>
      <c r="AM506">
        <f>IFERROR(INDEX(PP_Grid[#Data],$DD506,37),0)</f>
        <v/>
      </c>
      <c r="AN506">
        <f>IFERROR(INDEX(PP_Grid[#Data],$DD506,38),0)</f>
        <v/>
      </c>
      <c r="AO506">
        <f>IFERROR(INDEX(PP_Grid[#Data],$DD506,39),0)</f>
        <v/>
      </c>
      <c r="AP506">
        <f>IFERROR(INDEX(PP_Grid[#Data],$DD506,40),0)</f>
        <v/>
      </c>
      <c r="AQ506">
        <f>IFERROR(INDEX(PP_Grid[#Data],$DD506,41),0)</f>
        <v/>
      </c>
      <c r="AR506">
        <f>IFERROR(INDEX(PP_Grid[#Data],$DD506,42),0)</f>
        <v/>
      </c>
      <c r="AS506">
        <f>IFERROR(INDEX(PP_Grid[#Data],$DD506,43),0)</f>
        <v/>
      </c>
      <c r="AT506">
        <f>IFERROR(INDEX(PP_Grid[#Data],$DD506,44),0)</f>
        <v/>
      </c>
      <c r="AU506">
        <f>IFERROR(INDEX(PP_Grid[#Data],$DD506,45),0)</f>
        <v/>
      </c>
      <c r="AV506">
        <f>IFERROR(INDEX(PP_Grid[#Data],$DD506,46),0)</f>
        <v/>
      </c>
      <c r="AW506">
        <f>IFERROR(INDEX(PP_Grid[#Data],$DD506,47),0)</f>
        <v/>
      </c>
      <c r="AX506">
        <f>IFERROR(INDEX(PP_Grid[#Data],$DD506,48),0)</f>
        <v/>
      </c>
      <c r="AY506">
        <f>IFERROR(INDEX(PP_Grid[#Data],$DD506,49),0)</f>
        <v/>
      </c>
      <c r="AZ506">
        <f>IFERROR(INDEX(PP_Grid[#Data],$DD506,50),0)</f>
        <v/>
      </c>
      <c r="BA506">
        <f>IFERROR(INDEX(PP_Grid[#Data],$DD506,51),0)</f>
        <v/>
      </c>
      <c r="BB506">
        <f>IFERROR(INDEX(PP_Grid[#Data],$DD506,52),0)</f>
        <v/>
      </c>
      <c r="BC506">
        <f>IFERROR(INDEX(PP_Grid[#Data],$DD506,53),0)</f>
        <v/>
      </c>
      <c r="BD506">
        <f>IFERROR(INDEX(PP_Grid[#Data],$DD506,54),0)</f>
        <v/>
      </c>
      <c r="BE506">
        <f>IFERROR(INDEX(PP_Grid[#Data],$DD506,55),0)</f>
        <v/>
      </c>
      <c r="BF506">
        <f>IFERROR(INDEX(PP_Grid[#Data],$DD506,56),0)</f>
        <v/>
      </c>
      <c r="BG506">
        <f>IFERROR(INDEX(PP_Grid[#Data],$DD506,57),0)</f>
        <v/>
      </c>
      <c r="BH506">
        <f>IFERROR(INDEX(PP_Grid[#Data],$DD506,58),0)</f>
        <v/>
      </c>
      <c r="BI506">
        <f>IFERROR(INDEX(PP_Grid[#Data],$DD506,59),0)</f>
        <v/>
      </c>
      <c r="BJ506">
        <f>IFERROR(INDEX(PP_Grid[#Data],$DD506,60),0)</f>
        <v/>
      </c>
      <c r="BK506">
        <f>IFERROR(INDEX(PP_Grid[#Data],$DD506,61),0)</f>
        <v/>
      </c>
      <c r="BL506">
        <f>IFERROR(INDEX(PP_Grid[#Data],$DD506,62),0)</f>
        <v/>
      </c>
      <c r="BM506">
        <f>IFERROR(INDEX(PP_Grid[#Data],$DD506,63),0)</f>
        <v/>
      </c>
      <c r="BN506">
        <f>IFERROR(INDEX(PP_Grid[#Data],$DD506,64),0)</f>
        <v/>
      </c>
      <c r="BO506">
        <f>IFERROR(INDEX(PP_Grid[#Data],$DD506,65),0)</f>
        <v/>
      </c>
      <c r="BP506">
        <f>IFERROR(INDEX(PP_Grid[#Data],$DD506,66),0)</f>
        <v/>
      </c>
      <c r="BQ506">
        <f>IFERROR(INDEX(PP_Grid[#Data],$DD506,67),0)</f>
        <v/>
      </c>
      <c r="BR506">
        <f>IFERROR(INDEX(PP_Grid[#Data],$DD506,68),0)</f>
        <v/>
      </c>
      <c r="BS506">
        <f>IFERROR(INDEX(PP_Grid[#Data],$DD506,69),0)</f>
        <v/>
      </c>
      <c r="BT506">
        <f>IFERROR(INDEX(PP_Grid[#Data],$DD506,70),0)</f>
        <v/>
      </c>
      <c r="BU506">
        <f>IFERROR(INDEX(PP_Grid[#Data],$DD506,71),0)</f>
        <v/>
      </c>
      <c r="BV506">
        <f>IFERROR(INDEX(PP_Grid[#Data],$DD506,72),0)</f>
        <v/>
      </c>
      <c r="BW506">
        <f>IFERROR(INDEX(PP_Grid[#Data],$DD506,73),0)</f>
        <v/>
      </c>
      <c r="BX506">
        <f>IFERROR(INDEX(PP_Grid[#Data],$DD506,74),0)</f>
        <v/>
      </c>
      <c r="BY506">
        <f>IFERROR(INDEX(PP_Grid[#Data],$DD506,75),0)</f>
        <v/>
      </c>
      <c r="BZ506">
        <f>IFERROR(INDEX(PP_Grid[#Data],$DD506,76),0)</f>
        <v/>
      </c>
      <c r="CA506">
        <f>IFERROR(INDEX(PP_Grid[#Data],$DD506,77),0)</f>
        <v/>
      </c>
      <c r="CB506">
        <f>IFERROR(INDEX(PP_Grid[#Data],$DD506,78),0)</f>
        <v/>
      </c>
      <c r="CC506">
        <f>IFERROR(INDEX(PP_Grid[#Data],$DD506,79),0)</f>
        <v/>
      </c>
      <c r="CD506">
        <f>IFERROR(INDEX(PP_Grid[#Data],$DD506,80),0)</f>
        <v/>
      </c>
      <c r="CE506">
        <f>IFERROR(INDEX(PP_Grid[#Data],$DD506,81),0)</f>
        <v/>
      </c>
      <c r="CF506">
        <f>IFERROR(INDEX(PP_Grid[#Data],$DD506,82),0)</f>
        <v/>
      </c>
      <c r="CG506">
        <f>IFERROR(INDEX(PP_Grid[#Data],$DD506,83),0)</f>
        <v/>
      </c>
      <c r="CH506">
        <f>IFERROR(INDEX(PP_Grid[#Data],$DD506,84),0)</f>
        <v/>
      </c>
      <c r="CI506">
        <f>IFERROR(INDEX(PP_Grid[#Data],$DD506,85),0)</f>
        <v/>
      </c>
      <c r="CJ506">
        <f>IFERROR(INDEX(PP_Grid[#Data],$DD506,86),0)</f>
        <v/>
      </c>
      <c r="CK506">
        <f>IFERROR(INDEX(PP_Grid[#Data],$DD506,87),0)</f>
        <v/>
      </c>
      <c r="CL506">
        <f>IFERROR(INDEX(PP_Grid[#Data],$DD506,88),0)</f>
        <v/>
      </c>
      <c r="CM506">
        <f>IFERROR(INDEX(PP_Grid[#Data],$DD506,89),0)</f>
        <v/>
      </c>
      <c r="CN506">
        <f>IFERROR(INDEX(PP_Grid[#Data],$DD506,90),0)</f>
        <v/>
      </c>
      <c r="CO506">
        <f>IFERROR(INDEX(PP_Grid[#Data],$DD506,91),0)</f>
        <v/>
      </c>
      <c r="CP506">
        <f>IFERROR(INDEX(PP_Grid[#Data],$DD506,92),0)</f>
        <v/>
      </c>
      <c r="CQ506">
        <f>IFERROR(INDEX(PP_Grid[#Data],$DD506,93),0)</f>
        <v/>
      </c>
      <c r="CR506">
        <f>IFERROR(INDEX(PP_Grid[#Data],$DD506,94),0)</f>
        <v/>
      </c>
      <c r="CS506">
        <f>IFERROR(INDEX(PP_Grid[#Data],$DD506,95),0)</f>
        <v/>
      </c>
      <c r="CT506">
        <f>IFERROR(INDEX(PP_Grid[#Data],$DD506,96),0)</f>
        <v/>
      </c>
      <c r="CU506">
        <f>IFERROR(INDEX(PP_Grid[#Data],$DD506,97),0)</f>
        <v/>
      </c>
      <c r="CV506">
        <f>IFERROR(INDEX(PP_Grid[#Data],$DD506,98),0)</f>
        <v/>
      </c>
      <c r="CW506">
        <f>IFERROR(INDEX(PP_Grid[#Data],$DD506,99),0)</f>
        <v/>
      </c>
      <c r="CX506">
        <f>IFERROR(INDEX(PP_Grid[#Data],$DD506,100),0)</f>
        <v/>
      </c>
      <c r="CY506">
        <f>IFERROR(INDEX(PP_Grid[#Data],$DD506,101),0)</f>
        <v/>
      </c>
      <c r="CZ506">
        <f>IFERROR(INDEX(PP_Grid[#Data],$DD506,102),0)</f>
        <v/>
      </c>
      <c r="DA506">
        <f>IFERROR(INDEX(PP_Grid[#Data],$DD506,103),0)</f>
        <v/>
      </c>
      <c r="DB506">
        <f>IFERROR(INDEX(PP_Grid[#Data],$DD506,104),0)</f>
        <v/>
      </c>
      <c r="DC506">
        <f>IFERROR(INDEX(PP_Grid[#Data],$DD506,105),0)</f>
        <v/>
      </c>
      <c r="DD506" s="12">
        <f>IFERROR(MATCH($B506,PP_Grid[Intermediate],0),99999)</f>
        <v/>
      </c>
    </row>
    <row r="507">
      <c r="B507" t="inlineStr">
        <is>
          <t>使用量(kg)</t>
        </is>
      </c>
      <c r="C507">
        <f>SUMIFS(M_BOM[RM_Qty_Per_Batch],M_BOM[Intermediate],$B506,M_BOM[Part Name],$A503)</f>
        <v/>
      </c>
      <c r="D507">
        <f>$C507*D506</f>
        <v/>
      </c>
      <c r="E507">
        <f>$C507*E506</f>
        <v/>
      </c>
      <c r="F507">
        <f>$C507*F506</f>
        <v/>
      </c>
      <c r="G507">
        <f>$C507*G506</f>
        <v/>
      </c>
      <c r="H507">
        <f>$C507*H506</f>
        <v/>
      </c>
      <c r="I507">
        <f>$C507*I506</f>
        <v/>
      </c>
      <c r="J507">
        <f>$C507*J506</f>
        <v/>
      </c>
      <c r="K507">
        <f>$C507*K506</f>
        <v/>
      </c>
      <c r="L507">
        <f>$C507*L506</f>
        <v/>
      </c>
      <c r="M507">
        <f>$C507*M506</f>
        <v/>
      </c>
      <c r="N507">
        <f>$C507*N506</f>
        <v/>
      </c>
      <c r="O507">
        <f>$C507*O506</f>
        <v/>
      </c>
      <c r="P507">
        <f>$C507*P506</f>
        <v/>
      </c>
      <c r="Q507">
        <f>$C507*Q506</f>
        <v/>
      </c>
      <c r="R507">
        <f>$C507*R506</f>
        <v/>
      </c>
      <c r="S507">
        <f>$C507*S506</f>
        <v/>
      </c>
      <c r="T507">
        <f>$C507*T506</f>
        <v/>
      </c>
      <c r="U507">
        <f>$C507*U506</f>
        <v/>
      </c>
      <c r="V507">
        <f>$C507*V506</f>
        <v/>
      </c>
      <c r="W507">
        <f>$C507*W506</f>
        <v/>
      </c>
      <c r="X507">
        <f>$C507*X506</f>
        <v/>
      </c>
      <c r="Y507">
        <f>$C507*Y506</f>
        <v/>
      </c>
      <c r="Z507">
        <f>$C507*Z506</f>
        <v/>
      </c>
      <c r="AA507">
        <f>$C507*AA506</f>
        <v/>
      </c>
      <c r="AB507">
        <f>$C507*AB506</f>
        <v/>
      </c>
      <c r="AC507">
        <f>$C507*AC506</f>
        <v/>
      </c>
      <c r="AD507">
        <f>$C507*AD506</f>
        <v/>
      </c>
      <c r="AE507">
        <f>$C507*AE506</f>
        <v/>
      </c>
      <c r="AF507">
        <f>$C507*AF506</f>
        <v/>
      </c>
      <c r="AG507">
        <f>$C507*AG506</f>
        <v/>
      </c>
      <c r="AH507">
        <f>$C507*AH506</f>
        <v/>
      </c>
      <c r="AI507">
        <f>$C507*AI506</f>
        <v/>
      </c>
      <c r="AJ507">
        <f>$C507*AJ506</f>
        <v/>
      </c>
      <c r="AK507">
        <f>$C507*AK506</f>
        <v/>
      </c>
      <c r="AL507">
        <f>$C507*AL506</f>
        <v/>
      </c>
      <c r="AM507">
        <f>$C507*AM506</f>
        <v/>
      </c>
      <c r="AN507">
        <f>$C507*AN506</f>
        <v/>
      </c>
      <c r="AO507">
        <f>$C507*AO506</f>
        <v/>
      </c>
      <c r="AP507">
        <f>$C507*AP506</f>
        <v/>
      </c>
      <c r="AQ507">
        <f>$C507*AQ506</f>
        <v/>
      </c>
      <c r="AR507">
        <f>$C507*AR506</f>
        <v/>
      </c>
      <c r="AS507">
        <f>$C507*AS506</f>
        <v/>
      </c>
      <c r="AT507">
        <f>$C507*AT506</f>
        <v/>
      </c>
      <c r="AU507">
        <f>$C507*AU506</f>
        <v/>
      </c>
      <c r="AV507">
        <f>$C507*AV506</f>
        <v/>
      </c>
      <c r="AW507">
        <f>$C507*AW506</f>
        <v/>
      </c>
      <c r="AX507">
        <f>$C507*AX506</f>
        <v/>
      </c>
      <c r="AY507">
        <f>$C507*AY506</f>
        <v/>
      </c>
      <c r="AZ507">
        <f>$C507*AZ506</f>
        <v/>
      </c>
      <c r="BA507">
        <f>$C507*BA506</f>
        <v/>
      </c>
      <c r="BB507">
        <f>$C507*BB506</f>
        <v/>
      </c>
      <c r="BC507">
        <f>$C507*BC506</f>
        <v/>
      </c>
      <c r="BD507">
        <f>$C507*BD506</f>
        <v/>
      </c>
      <c r="BE507">
        <f>$C507*BE506</f>
        <v/>
      </c>
      <c r="BF507">
        <f>$C507*BF506</f>
        <v/>
      </c>
      <c r="BG507">
        <f>$C507*BG506</f>
        <v/>
      </c>
      <c r="BH507">
        <f>$C507*BH506</f>
        <v/>
      </c>
      <c r="BI507">
        <f>$C507*BI506</f>
        <v/>
      </c>
      <c r="BJ507">
        <f>$C507*BJ506</f>
        <v/>
      </c>
      <c r="BK507">
        <f>$C507*BK506</f>
        <v/>
      </c>
      <c r="BL507">
        <f>$C507*BL506</f>
        <v/>
      </c>
      <c r="BM507">
        <f>$C507*BM506</f>
        <v/>
      </c>
      <c r="BN507">
        <f>$C507*BN506</f>
        <v/>
      </c>
      <c r="BO507">
        <f>$C507*BO506</f>
        <v/>
      </c>
      <c r="BP507">
        <f>$C507*BP506</f>
        <v/>
      </c>
      <c r="BQ507">
        <f>$C507*BQ506</f>
        <v/>
      </c>
      <c r="BR507">
        <f>$C507*BR506</f>
        <v/>
      </c>
      <c r="BS507">
        <f>$C507*BS506</f>
        <v/>
      </c>
      <c r="BT507">
        <f>$C507*BT506</f>
        <v/>
      </c>
      <c r="BU507">
        <f>$C507*BU506</f>
        <v/>
      </c>
      <c r="BV507">
        <f>$C507*BV506</f>
        <v/>
      </c>
      <c r="BW507">
        <f>$C507*BW506</f>
        <v/>
      </c>
      <c r="BX507">
        <f>$C507*BX506</f>
        <v/>
      </c>
      <c r="BY507">
        <f>$C507*BY506</f>
        <v/>
      </c>
      <c r="BZ507">
        <f>$C507*BZ506</f>
        <v/>
      </c>
      <c r="CA507">
        <f>$C507*CA506</f>
        <v/>
      </c>
      <c r="CB507">
        <f>$C507*CB506</f>
        <v/>
      </c>
      <c r="CC507">
        <f>$C507*CC506</f>
        <v/>
      </c>
      <c r="CD507">
        <f>$C507*CD506</f>
        <v/>
      </c>
      <c r="CE507">
        <f>$C507*CE506</f>
        <v/>
      </c>
      <c r="CF507">
        <f>$C507*CF506</f>
        <v/>
      </c>
      <c r="CG507">
        <f>$C507*CG506</f>
        <v/>
      </c>
      <c r="CH507">
        <f>$C507*CH506</f>
        <v/>
      </c>
      <c r="CI507">
        <f>$C507*CI506</f>
        <v/>
      </c>
      <c r="CJ507">
        <f>$C507*CJ506</f>
        <v/>
      </c>
      <c r="CK507">
        <f>$C507*CK506</f>
        <v/>
      </c>
      <c r="CL507">
        <f>$C507*CL506</f>
        <v/>
      </c>
      <c r="CM507">
        <f>$C507*CM506</f>
        <v/>
      </c>
      <c r="CN507">
        <f>$C507*CN506</f>
        <v/>
      </c>
      <c r="CO507">
        <f>$C507*CO506</f>
        <v/>
      </c>
      <c r="CP507">
        <f>$C507*CP506</f>
        <v/>
      </c>
      <c r="CQ507">
        <f>$C507*CQ506</f>
        <v/>
      </c>
      <c r="CR507">
        <f>$C507*CR506</f>
        <v/>
      </c>
      <c r="CS507">
        <f>$C507*CS506</f>
        <v/>
      </c>
      <c r="CT507">
        <f>$C507*CT506</f>
        <v/>
      </c>
      <c r="CU507">
        <f>$C507*CU506</f>
        <v/>
      </c>
      <c r="CV507">
        <f>$C507*CV506</f>
        <v/>
      </c>
      <c r="CW507">
        <f>$C507*CW506</f>
        <v/>
      </c>
      <c r="CX507">
        <f>$C507*CX506</f>
        <v/>
      </c>
      <c r="CY507">
        <f>$C507*CY506</f>
        <v/>
      </c>
      <c r="CZ507">
        <f>$C507*CZ506</f>
        <v/>
      </c>
      <c r="DA507">
        <f>$C507*DA506</f>
        <v/>
      </c>
      <c r="DB507">
        <f>$C507*DB506</f>
        <v/>
      </c>
      <c r="DC507">
        <f>$C507*DC506</f>
        <v/>
      </c>
    </row>
    <row r="508">
      <c r="B508" t="inlineStr">
        <is>
          <t>TSP-903</t>
        </is>
      </c>
      <c r="C508" t="inlineStr">
        <is>
          <t>No. of batches</t>
        </is>
      </c>
      <c r="D508">
        <f>IFERROR(INDEX(PP_Grid[#Data],$DD508,2),0)</f>
        <v/>
      </c>
      <c r="E508">
        <f>IFERROR(INDEX(PP_Grid[#Data],$DD508,3),0)</f>
        <v/>
      </c>
      <c r="F508">
        <f>IFERROR(INDEX(PP_Grid[#Data],$DD508,4),0)</f>
        <v/>
      </c>
      <c r="G508">
        <f>IFERROR(INDEX(PP_Grid[#Data],$DD508,5),0)</f>
        <v/>
      </c>
      <c r="H508">
        <f>IFERROR(INDEX(PP_Grid[#Data],$DD508,6),0)</f>
        <v/>
      </c>
      <c r="I508">
        <f>IFERROR(INDEX(PP_Grid[#Data],$DD508,7),0)</f>
        <v/>
      </c>
      <c r="J508">
        <f>IFERROR(INDEX(PP_Grid[#Data],$DD508,8),0)</f>
        <v/>
      </c>
      <c r="K508">
        <f>IFERROR(INDEX(PP_Grid[#Data],$DD508,9),0)</f>
        <v/>
      </c>
      <c r="L508">
        <f>IFERROR(INDEX(PP_Grid[#Data],$DD508,10),0)</f>
        <v/>
      </c>
      <c r="M508">
        <f>IFERROR(INDEX(PP_Grid[#Data],$DD508,11),0)</f>
        <v/>
      </c>
      <c r="N508">
        <f>IFERROR(INDEX(PP_Grid[#Data],$DD508,12),0)</f>
        <v/>
      </c>
      <c r="O508">
        <f>IFERROR(INDEX(PP_Grid[#Data],$DD508,13),0)</f>
        <v/>
      </c>
      <c r="P508">
        <f>IFERROR(INDEX(PP_Grid[#Data],$DD508,14),0)</f>
        <v/>
      </c>
      <c r="Q508">
        <f>IFERROR(INDEX(PP_Grid[#Data],$DD508,15),0)</f>
        <v/>
      </c>
      <c r="R508">
        <f>IFERROR(INDEX(PP_Grid[#Data],$DD508,16),0)</f>
        <v/>
      </c>
      <c r="S508">
        <f>IFERROR(INDEX(PP_Grid[#Data],$DD508,17),0)</f>
        <v/>
      </c>
      <c r="T508">
        <f>IFERROR(INDEX(PP_Grid[#Data],$DD508,18),0)</f>
        <v/>
      </c>
      <c r="U508">
        <f>IFERROR(INDEX(PP_Grid[#Data],$DD508,19),0)</f>
        <v/>
      </c>
      <c r="V508">
        <f>IFERROR(INDEX(PP_Grid[#Data],$DD508,20),0)</f>
        <v/>
      </c>
      <c r="W508">
        <f>IFERROR(INDEX(PP_Grid[#Data],$DD508,21),0)</f>
        <v/>
      </c>
      <c r="X508">
        <f>IFERROR(INDEX(PP_Grid[#Data],$DD508,22),0)</f>
        <v/>
      </c>
      <c r="Y508">
        <f>IFERROR(INDEX(PP_Grid[#Data],$DD508,23),0)</f>
        <v/>
      </c>
      <c r="Z508">
        <f>IFERROR(INDEX(PP_Grid[#Data],$DD508,24),0)</f>
        <v/>
      </c>
      <c r="AA508">
        <f>IFERROR(INDEX(PP_Grid[#Data],$DD508,25),0)</f>
        <v/>
      </c>
      <c r="AB508">
        <f>IFERROR(INDEX(PP_Grid[#Data],$DD508,26),0)</f>
        <v/>
      </c>
      <c r="AC508">
        <f>IFERROR(INDEX(PP_Grid[#Data],$DD508,27),0)</f>
        <v/>
      </c>
      <c r="AD508">
        <f>IFERROR(INDEX(PP_Grid[#Data],$DD508,28),0)</f>
        <v/>
      </c>
      <c r="AE508">
        <f>IFERROR(INDEX(PP_Grid[#Data],$DD508,29),0)</f>
        <v/>
      </c>
      <c r="AF508">
        <f>IFERROR(INDEX(PP_Grid[#Data],$DD508,30),0)</f>
        <v/>
      </c>
      <c r="AG508">
        <f>IFERROR(INDEX(PP_Grid[#Data],$DD508,31),0)</f>
        <v/>
      </c>
      <c r="AH508">
        <f>IFERROR(INDEX(PP_Grid[#Data],$DD508,32),0)</f>
        <v/>
      </c>
      <c r="AI508">
        <f>IFERROR(INDEX(PP_Grid[#Data],$DD508,33),0)</f>
        <v/>
      </c>
      <c r="AJ508">
        <f>IFERROR(INDEX(PP_Grid[#Data],$DD508,34),0)</f>
        <v/>
      </c>
      <c r="AK508">
        <f>IFERROR(INDEX(PP_Grid[#Data],$DD508,35),0)</f>
        <v/>
      </c>
      <c r="AL508">
        <f>IFERROR(INDEX(PP_Grid[#Data],$DD508,36),0)</f>
        <v/>
      </c>
      <c r="AM508">
        <f>IFERROR(INDEX(PP_Grid[#Data],$DD508,37),0)</f>
        <v/>
      </c>
      <c r="AN508">
        <f>IFERROR(INDEX(PP_Grid[#Data],$DD508,38),0)</f>
        <v/>
      </c>
      <c r="AO508">
        <f>IFERROR(INDEX(PP_Grid[#Data],$DD508,39),0)</f>
        <v/>
      </c>
      <c r="AP508">
        <f>IFERROR(INDEX(PP_Grid[#Data],$DD508,40),0)</f>
        <v/>
      </c>
      <c r="AQ508">
        <f>IFERROR(INDEX(PP_Grid[#Data],$DD508,41),0)</f>
        <v/>
      </c>
      <c r="AR508">
        <f>IFERROR(INDEX(PP_Grid[#Data],$DD508,42),0)</f>
        <v/>
      </c>
      <c r="AS508">
        <f>IFERROR(INDEX(PP_Grid[#Data],$DD508,43),0)</f>
        <v/>
      </c>
      <c r="AT508">
        <f>IFERROR(INDEX(PP_Grid[#Data],$DD508,44),0)</f>
        <v/>
      </c>
      <c r="AU508">
        <f>IFERROR(INDEX(PP_Grid[#Data],$DD508,45),0)</f>
        <v/>
      </c>
      <c r="AV508">
        <f>IFERROR(INDEX(PP_Grid[#Data],$DD508,46),0)</f>
        <v/>
      </c>
      <c r="AW508">
        <f>IFERROR(INDEX(PP_Grid[#Data],$DD508,47),0)</f>
        <v/>
      </c>
      <c r="AX508">
        <f>IFERROR(INDEX(PP_Grid[#Data],$DD508,48),0)</f>
        <v/>
      </c>
      <c r="AY508">
        <f>IFERROR(INDEX(PP_Grid[#Data],$DD508,49),0)</f>
        <v/>
      </c>
      <c r="AZ508">
        <f>IFERROR(INDEX(PP_Grid[#Data],$DD508,50),0)</f>
        <v/>
      </c>
      <c r="BA508">
        <f>IFERROR(INDEX(PP_Grid[#Data],$DD508,51),0)</f>
        <v/>
      </c>
      <c r="BB508">
        <f>IFERROR(INDEX(PP_Grid[#Data],$DD508,52),0)</f>
        <v/>
      </c>
      <c r="BC508">
        <f>IFERROR(INDEX(PP_Grid[#Data],$DD508,53),0)</f>
        <v/>
      </c>
      <c r="BD508">
        <f>IFERROR(INDEX(PP_Grid[#Data],$DD508,54),0)</f>
        <v/>
      </c>
      <c r="BE508">
        <f>IFERROR(INDEX(PP_Grid[#Data],$DD508,55),0)</f>
        <v/>
      </c>
      <c r="BF508">
        <f>IFERROR(INDEX(PP_Grid[#Data],$DD508,56),0)</f>
        <v/>
      </c>
      <c r="BG508">
        <f>IFERROR(INDEX(PP_Grid[#Data],$DD508,57),0)</f>
        <v/>
      </c>
      <c r="BH508">
        <f>IFERROR(INDEX(PP_Grid[#Data],$DD508,58),0)</f>
        <v/>
      </c>
      <c r="BI508">
        <f>IFERROR(INDEX(PP_Grid[#Data],$DD508,59),0)</f>
        <v/>
      </c>
      <c r="BJ508">
        <f>IFERROR(INDEX(PP_Grid[#Data],$DD508,60),0)</f>
        <v/>
      </c>
      <c r="BK508">
        <f>IFERROR(INDEX(PP_Grid[#Data],$DD508,61),0)</f>
        <v/>
      </c>
      <c r="BL508">
        <f>IFERROR(INDEX(PP_Grid[#Data],$DD508,62),0)</f>
        <v/>
      </c>
      <c r="BM508">
        <f>IFERROR(INDEX(PP_Grid[#Data],$DD508,63),0)</f>
        <v/>
      </c>
      <c r="BN508">
        <f>IFERROR(INDEX(PP_Grid[#Data],$DD508,64),0)</f>
        <v/>
      </c>
      <c r="BO508">
        <f>IFERROR(INDEX(PP_Grid[#Data],$DD508,65),0)</f>
        <v/>
      </c>
      <c r="BP508">
        <f>IFERROR(INDEX(PP_Grid[#Data],$DD508,66),0)</f>
        <v/>
      </c>
      <c r="BQ508">
        <f>IFERROR(INDEX(PP_Grid[#Data],$DD508,67),0)</f>
        <v/>
      </c>
      <c r="BR508">
        <f>IFERROR(INDEX(PP_Grid[#Data],$DD508,68),0)</f>
        <v/>
      </c>
      <c r="BS508">
        <f>IFERROR(INDEX(PP_Grid[#Data],$DD508,69),0)</f>
        <v/>
      </c>
      <c r="BT508">
        <f>IFERROR(INDEX(PP_Grid[#Data],$DD508,70),0)</f>
        <v/>
      </c>
      <c r="BU508">
        <f>IFERROR(INDEX(PP_Grid[#Data],$DD508,71),0)</f>
        <v/>
      </c>
      <c r="BV508">
        <f>IFERROR(INDEX(PP_Grid[#Data],$DD508,72),0)</f>
        <v/>
      </c>
      <c r="BW508">
        <f>IFERROR(INDEX(PP_Grid[#Data],$DD508,73),0)</f>
        <v/>
      </c>
      <c r="BX508">
        <f>IFERROR(INDEX(PP_Grid[#Data],$DD508,74),0)</f>
        <v/>
      </c>
      <c r="BY508">
        <f>IFERROR(INDEX(PP_Grid[#Data],$DD508,75),0)</f>
        <v/>
      </c>
      <c r="BZ508">
        <f>IFERROR(INDEX(PP_Grid[#Data],$DD508,76),0)</f>
        <v/>
      </c>
      <c r="CA508">
        <f>IFERROR(INDEX(PP_Grid[#Data],$DD508,77),0)</f>
        <v/>
      </c>
      <c r="CB508">
        <f>IFERROR(INDEX(PP_Grid[#Data],$DD508,78),0)</f>
        <v/>
      </c>
      <c r="CC508">
        <f>IFERROR(INDEX(PP_Grid[#Data],$DD508,79),0)</f>
        <v/>
      </c>
      <c r="CD508">
        <f>IFERROR(INDEX(PP_Grid[#Data],$DD508,80),0)</f>
        <v/>
      </c>
      <c r="CE508">
        <f>IFERROR(INDEX(PP_Grid[#Data],$DD508,81),0)</f>
        <v/>
      </c>
      <c r="CF508">
        <f>IFERROR(INDEX(PP_Grid[#Data],$DD508,82),0)</f>
        <v/>
      </c>
      <c r="CG508">
        <f>IFERROR(INDEX(PP_Grid[#Data],$DD508,83),0)</f>
        <v/>
      </c>
      <c r="CH508">
        <f>IFERROR(INDEX(PP_Grid[#Data],$DD508,84),0)</f>
        <v/>
      </c>
      <c r="CI508">
        <f>IFERROR(INDEX(PP_Grid[#Data],$DD508,85),0)</f>
        <v/>
      </c>
      <c r="CJ508">
        <f>IFERROR(INDEX(PP_Grid[#Data],$DD508,86),0)</f>
        <v/>
      </c>
      <c r="CK508">
        <f>IFERROR(INDEX(PP_Grid[#Data],$DD508,87),0)</f>
        <v/>
      </c>
      <c r="CL508">
        <f>IFERROR(INDEX(PP_Grid[#Data],$DD508,88),0)</f>
        <v/>
      </c>
      <c r="CM508">
        <f>IFERROR(INDEX(PP_Grid[#Data],$DD508,89),0)</f>
        <v/>
      </c>
      <c r="CN508">
        <f>IFERROR(INDEX(PP_Grid[#Data],$DD508,90),0)</f>
        <v/>
      </c>
      <c r="CO508">
        <f>IFERROR(INDEX(PP_Grid[#Data],$DD508,91),0)</f>
        <v/>
      </c>
      <c r="CP508">
        <f>IFERROR(INDEX(PP_Grid[#Data],$DD508,92),0)</f>
        <v/>
      </c>
      <c r="CQ508">
        <f>IFERROR(INDEX(PP_Grid[#Data],$DD508,93),0)</f>
        <v/>
      </c>
      <c r="CR508">
        <f>IFERROR(INDEX(PP_Grid[#Data],$DD508,94),0)</f>
        <v/>
      </c>
      <c r="CS508">
        <f>IFERROR(INDEX(PP_Grid[#Data],$DD508,95),0)</f>
        <v/>
      </c>
      <c r="CT508">
        <f>IFERROR(INDEX(PP_Grid[#Data],$DD508,96),0)</f>
        <v/>
      </c>
      <c r="CU508">
        <f>IFERROR(INDEX(PP_Grid[#Data],$DD508,97),0)</f>
        <v/>
      </c>
      <c r="CV508">
        <f>IFERROR(INDEX(PP_Grid[#Data],$DD508,98),0)</f>
        <v/>
      </c>
      <c r="CW508">
        <f>IFERROR(INDEX(PP_Grid[#Data],$DD508,99),0)</f>
        <v/>
      </c>
      <c r="CX508">
        <f>IFERROR(INDEX(PP_Grid[#Data],$DD508,100),0)</f>
        <v/>
      </c>
      <c r="CY508">
        <f>IFERROR(INDEX(PP_Grid[#Data],$DD508,101),0)</f>
        <v/>
      </c>
      <c r="CZ508">
        <f>IFERROR(INDEX(PP_Grid[#Data],$DD508,102),0)</f>
        <v/>
      </c>
      <c r="DA508">
        <f>IFERROR(INDEX(PP_Grid[#Data],$DD508,103),0)</f>
        <v/>
      </c>
      <c r="DB508">
        <f>IFERROR(INDEX(PP_Grid[#Data],$DD508,104),0)</f>
        <v/>
      </c>
      <c r="DC508">
        <f>IFERROR(INDEX(PP_Grid[#Data],$DD508,105),0)</f>
        <v/>
      </c>
      <c r="DD508" s="12">
        <f>IFERROR(MATCH($B508,PP_Grid[Intermediate],0),99999)</f>
        <v/>
      </c>
    </row>
    <row r="509">
      <c r="B509" t="inlineStr">
        <is>
          <t>使用量(kg)</t>
        </is>
      </c>
      <c r="C509">
        <f>SUMIFS(M_BOM[RM_Qty_Per_Batch],M_BOM[Intermediate],$B508,M_BOM[Part Name],$A503)</f>
        <v/>
      </c>
      <c r="D509">
        <f>$C509*D508</f>
        <v/>
      </c>
      <c r="E509">
        <f>$C509*E508</f>
        <v/>
      </c>
      <c r="F509">
        <f>$C509*F508</f>
        <v/>
      </c>
      <c r="G509">
        <f>$C509*G508</f>
        <v/>
      </c>
      <c r="H509">
        <f>$C509*H508</f>
        <v/>
      </c>
      <c r="I509">
        <f>$C509*I508</f>
        <v/>
      </c>
      <c r="J509">
        <f>$C509*J508</f>
        <v/>
      </c>
      <c r="K509">
        <f>$C509*K508</f>
        <v/>
      </c>
      <c r="L509">
        <f>$C509*L508</f>
        <v/>
      </c>
      <c r="M509">
        <f>$C509*M508</f>
        <v/>
      </c>
      <c r="N509">
        <f>$C509*N508</f>
        <v/>
      </c>
      <c r="O509">
        <f>$C509*O508</f>
        <v/>
      </c>
      <c r="P509">
        <f>$C509*P508</f>
        <v/>
      </c>
      <c r="Q509">
        <f>$C509*Q508</f>
        <v/>
      </c>
      <c r="R509">
        <f>$C509*R508</f>
        <v/>
      </c>
      <c r="S509">
        <f>$C509*S508</f>
        <v/>
      </c>
      <c r="T509">
        <f>$C509*T508</f>
        <v/>
      </c>
      <c r="U509">
        <f>$C509*U508</f>
        <v/>
      </c>
      <c r="V509">
        <f>$C509*V508</f>
        <v/>
      </c>
      <c r="W509">
        <f>$C509*W508</f>
        <v/>
      </c>
      <c r="X509">
        <f>$C509*X508</f>
        <v/>
      </c>
      <c r="Y509">
        <f>$C509*Y508</f>
        <v/>
      </c>
      <c r="Z509">
        <f>$C509*Z508</f>
        <v/>
      </c>
      <c r="AA509">
        <f>$C509*AA508</f>
        <v/>
      </c>
      <c r="AB509">
        <f>$C509*AB508</f>
        <v/>
      </c>
      <c r="AC509">
        <f>$C509*AC508</f>
        <v/>
      </c>
      <c r="AD509">
        <f>$C509*AD508</f>
        <v/>
      </c>
      <c r="AE509">
        <f>$C509*AE508</f>
        <v/>
      </c>
      <c r="AF509">
        <f>$C509*AF508</f>
        <v/>
      </c>
      <c r="AG509">
        <f>$C509*AG508</f>
        <v/>
      </c>
      <c r="AH509">
        <f>$C509*AH508</f>
        <v/>
      </c>
      <c r="AI509">
        <f>$C509*AI508</f>
        <v/>
      </c>
      <c r="AJ509">
        <f>$C509*AJ508</f>
        <v/>
      </c>
      <c r="AK509">
        <f>$C509*AK508</f>
        <v/>
      </c>
      <c r="AL509">
        <f>$C509*AL508</f>
        <v/>
      </c>
      <c r="AM509">
        <f>$C509*AM508</f>
        <v/>
      </c>
      <c r="AN509">
        <f>$C509*AN508</f>
        <v/>
      </c>
      <c r="AO509">
        <f>$C509*AO508</f>
        <v/>
      </c>
      <c r="AP509">
        <f>$C509*AP508</f>
        <v/>
      </c>
      <c r="AQ509">
        <f>$C509*AQ508</f>
        <v/>
      </c>
      <c r="AR509">
        <f>$C509*AR508</f>
        <v/>
      </c>
      <c r="AS509">
        <f>$C509*AS508</f>
        <v/>
      </c>
      <c r="AT509">
        <f>$C509*AT508</f>
        <v/>
      </c>
      <c r="AU509">
        <f>$C509*AU508</f>
        <v/>
      </c>
      <c r="AV509">
        <f>$C509*AV508</f>
        <v/>
      </c>
      <c r="AW509">
        <f>$C509*AW508</f>
        <v/>
      </c>
      <c r="AX509">
        <f>$C509*AX508</f>
        <v/>
      </c>
      <c r="AY509">
        <f>$C509*AY508</f>
        <v/>
      </c>
      <c r="AZ509">
        <f>$C509*AZ508</f>
        <v/>
      </c>
      <c r="BA509">
        <f>$C509*BA508</f>
        <v/>
      </c>
      <c r="BB509">
        <f>$C509*BB508</f>
        <v/>
      </c>
      <c r="BC509">
        <f>$C509*BC508</f>
        <v/>
      </c>
      <c r="BD509">
        <f>$C509*BD508</f>
        <v/>
      </c>
      <c r="BE509">
        <f>$C509*BE508</f>
        <v/>
      </c>
      <c r="BF509">
        <f>$C509*BF508</f>
        <v/>
      </c>
      <c r="BG509">
        <f>$C509*BG508</f>
        <v/>
      </c>
      <c r="BH509">
        <f>$C509*BH508</f>
        <v/>
      </c>
      <c r="BI509">
        <f>$C509*BI508</f>
        <v/>
      </c>
      <c r="BJ509">
        <f>$C509*BJ508</f>
        <v/>
      </c>
      <c r="BK509">
        <f>$C509*BK508</f>
        <v/>
      </c>
      <c r="BL509">
        <f>$C509*BL508</f>
        <v/>
      </c>
      <c r="BM509">
        <f>$C509*BM508</f>
        <v/>
      </c>
      <c r="BN509">
        <f>$C509*BN508</f>
        <v/>
      </c>
      <c r="BO509">
        <f>$C509*BO508</f>
        <v/>
      </c>
      <c r="BP509">
        <f>$C509*BP508</f>
        <v/>
      </c>
      <c r="BQ509">
        <f>$C509*BQ508</f>
        <v/>
      </c>
      <c r="BR509">
        <f>$C509*BR508</f>
        <v/>
      </c>
      <c r="BS509">
        <f>$C509*BS508</f>
        <v/>
      </c>
      <c r="BT509">
        <f>$C509*BT508</f>
        <v/>
      </c>
      <c r="BU509">
        <f>$C509*BU508</f>
        <v/>
      </c>
      <c r="BV509">
        <f>$C509*BV508</f>
        <v/>
      </c>
      <c r="BW509">
        <f>$C509*BW508</f>
        <v/>
      </c>
      <c r="BX509">
        <f>$C509*BX508</f>
        <v/>
      </c>
      <c r="BY509">
        <f>$C509*BY508</f>
        <v/>
      </c>
      <c r="BZ509">
        <f>$C509*BZ508</f>
        <v/>
      </c>
      <c r="CA509">
        <f>$C509*CA508</f>
        <v/>
      </c>
      <c r="CB509">
        <f>$C509*CB508</f>
        <v/>
      </c>
      <c r="CC509">
        <f>$C509*CC508</f>
        <v/>
      </c>
      <c r="CD509">
        <f>$C509*CD508</f>
        <v/>
      </c>
      <c r="CE509">
        <f>$C509*CE508</f>
        <v/>
      </c>
      <c r="CF509">
        <f>$C509*CF508</f>
        <v/>
      </c>
      <c r="CG509">
        <f>$C509*CG508</f>
        <v/>
      </c>
      <c r="CH509">
        <f>$C509*CH508</f>
        <v/>
      </c>
      <c r="CI509">
        <f>$C509*CI508</f>
        <v/>
      </c>
      <c r="CJ509">
        <f>$C509*CJ508</f>
        <v/>
      </c>
      <c r="CK509">
        <f>$C509*CK508</f>
        <v/>
      </c>
      <c r="CL509">
        <f>$C509*CL508</f>
        <v/>
      </c>
      <c r="CM509">
        <f>$C509*CM508</f>
        <v/>
      </c>
      <c r="CN509">
        <f>$C509*CN508</f>
        <v/>
      </c>
      <c r="CO509">
        <f>$C509*CO508</f>
        <v/>
      </c>
      <c r="CP509">
        <f>$C509*CP508</f>
        <v/>
      </c>
      <c r="CQ509">
        <f>$C509*CQ508</f>
        <v/>
      </c>
      <c r="CR509">
        <f>$C509*CR508</f>
        <v/>
      </c>
      <c r="CS509">
        <f>$C509*CS508</f>
        <v/>
      </c>
      <c r="CT509">
        <f>$C509*CT508</f>
        <v/>
      </c>
      <c r="CU509">
        <f>$C509*CU508</f>
        <v/>
      </c>
      <c r="CV509">
        <f>$C509*CV508</f>
        <v/>
      </c>
      <c r="CW509">
        <f>$C509*CW508</f>
        <v/>
      </c>
      <c r="CX509">
        <f>$C509*CX508</f>
        <v/>
      </c>
      <c r="CY509">
        <f>$C509*CY508</f>
        <v/>
      </c>
      <c r="CZ509">
        <f>$C509*CZ508</f>
        <v/>
      </c>
      <c r="DA509">
        <f>$C509*DA508</f>
        <v/>
      </c>
      <c r="DB509">
        <f>$C509*DB508</f>
        <v/>
      </c>
      <c r="DC509">
        <f>$C509*DC508</f>
        <v/>
      </c>
    </row>
    <row r="510">
      <c r="B510" s="5" t="inlineStr">
        <is>
          <t>合計使用量(kg)/週</t>
        </is>
      </c>
      <c r="D510">
        <f>'Grid_Requirement'!B32</f>
        <v/>
      </c>
      <c r="E510">
        <f>'Grid_Requirement'!C32</f>
        <v/>
      </c>
      <c r="F510">
        <f>'Grid_Requirement'!D32</f>
        <v/>
      </c>
      <c r="G510">
        <f>'Grid_Requirement'!E32</f>
        <v/>
      </c>
      <c r="H510">
        <f>'Grid_Requirement'!F32</f>
        <v/>
      </c>
      <c r="I510">
        <f>'Grid_Requirement'!G32</f>
        <v/>
      </c>
      <c r="J510">
        <f>'Grid_Requirement'!H32</f>
        <v/>
      </c>
      <c r="K510">
        <f>'Grid_Requirement'!I32</f>
        <v/>
      </c>
      <c r="L510">
        <f>'Grid_Requirement'!J32</f>
        <v/>
      </c>
      <c r="M510">
        <f>'Grid_Requirement'!K32</f>
        <v/>
      </c>
      <c r="N510">
        <f>'Grid_Requirement'!L32</f>
        <v/>
      </c>
      <c r="O510">
        <f>'Grid_Requirement'!M32</f>
        <v/>
      </c>
      <c r="P510">
        <f>'Grid_Requirement'!N32</f>
        <v/>
      </c>
      <c r="Q510">
        <f>'Grid_Requirement'!O32</f>
        <v/>
      </c>
      <c r="R510">
        <f>'Grid_Requirement'!P32</f>
        <v/>
      </c>
      <c r="S510">
        <f>'Grid_Requirement'!Q32</f>
        <v/>
      </c>
      <c r="T510">
        <f>'Grid_Requirement'!R32</f>
        <v/>
      </c>
      <c r="U510">
        <f>'Grid_Requirement'!S32</f>
        <v/>
      </c>
      <c r="V510">
        <f>'Grid_Requirement'!T32</f>
        <v/>
      </c>
      <c r="W510">
        <f>'Grid_Requirement'!U32</f>
        <v/>
      </c>
      <c r="X510">
        <f>'Grid_Requirement'!V32</f>
        <v/>
      </c>
      <c r="Y510">
        <f>'Grid_Requirement'!W32</f>
        <v/>
      </c>
      <c r="Z510">
        <f>'Grid_Requirement'!X32</f>
        <v/>
      </c>
      <c r="AA510">
        <f>'Grid_Requirement'!Y32</f>
        <v/>
      </c>
      <c r="AB510">
        <f>'Grid_Requirement'!Z32</f>
        <v/>
      </c>
      <c r="AC510">
        <f>'Grid_Requirement'!AA32</f>
        <v/>
      </c>
      <c r="AD510">
        <f>'Grid_Requirement'!AB32</f>
        <v/>
      </c>
      <c r="AE510">
        <f>'Grid_Requirement'!AC32</f>
        <v/>
      </c>
      <c r="AF510">
        <f>'Grid_Requirement'!AD32</f>
        <v/>
      </c>
      <c r="AG510">
        <f>'Grid_Requirement'!AE32</f>
        <v/>
      </c>
      <c r="AH510">
        <f>'Grid_Requirement'!AF32</f>
        <v/>
      </c>
      <c r="AI510">
        <f>'Grid_Requirement'!AG32</f>
        <v/>
      </c>
      <c r="AJ510">
        <f>'Grid_Requirement'!AH32</f>
        <v/>
      </c>
      <c r="AK510">
        <f>'Grid_Requirement'!AI32</f>
        <v/>
      </c>
      <c r="AL510">
        <f>'Grid_Requirement'!AJ32</f>
        <v/>
      </c>
      <c r="AM510">
        <f>'Grid_Requirement'!AK32</f>
        <v/>
      </c>
      <c r="AN510">
        <f>'Grid_Requirement'!AL32</f>
        <v/>
      </c>
      <c r="AO510">
        <f>'Grid_Requirement'!AM32</f>
        <v/>
      </c>
      <c r="AP510">
        <f>'Grid_Requirement'!AN32</f>
        <v/>
      </c>
      <c r="AQ510">
        <f>'Grid_Requirement'!AO32</f>
        <v/>
      </c>
      <c r="AR510">
        <f>'Grid_Requirement'!AP32</f>
        <v/>
      </c>
      <c r="AS510">
        <f>'Grid_Requirement'!AQ32</f>
        <v/>
      </c>
      <c r="AT510">
        <f>'Grid_Requirement'!AR32</f>
        <v/>
      </c>
      <c r="AU510">
        <f>'Grid_Requirement'!AS32</f>
        <v/>
      </c>
      <c r="AV510">
        <f>'Grid_Requirement'!AT32</f>
        <v/>
      </c>
      <c r="AW510">
        <f>'Grid_Requirement'!AU32</f>
        <v/>
      </c>
      <c r="AX510">
        <f>'Grid_Requirement'!AV32</f>
        <v/>
      </c>
      <c r="AY510">
        <f>'Grid_Requirement'!AW32</f>
        <v/>
      </c>
      <c r="AZ510">
        <f>'Grid_Requirement'!AX32</f>
        <v/>
      </c>
      <c r="BA510">
        <f>'Grid_Requirement'!AY32</f>
        <v/>
      </c>
      <c r="BB510">
        <f>'Grid_Requirement'!AZ32</f>
        <v/>
      </c>
      <c r="BC510">
        <f>'Grid_Requirement'!BA32</f>
        <v/>
      </c>
      <c r="BD510">
        <f>'Grid_Requirement'!BB32</f>
        <v/>
      </c>
      <c r="BE510">
        <f>'Grid_Requirement'!BC32</f>
        <v/>
      </c>
      <c r="BF510">
        <f>'Grid_Requirement'!BD32</f>
        <v/>
      </c>
      <c r="BG510">
        <f>'Grid_Requirement'!BE32</f>
        <v/>
      </c>
      <c r="BH510">
        <f>'Grid_Requirement'!BF32</f>
        <v/>
      </c>
      <c r="BI510">
        <f>'Grid_Requirement'!BG32</f>
        <v/>
      </c>
      <c r="BJ510">
        <f>'Grid_Requirement'!BH32</f>
        <v/>
      </c>
      <c r="BK510">
        <f>'Grid_Requirement'!BI32</f>
        <v/>
      </c>
      <c r="BL510">
        <f>'Grid_Requirement'!BJ32</f>
        <v/>
      </c>
      <c r="BM510">
        <f>'Grid_Requirement'!BK32</f>
        <v/>
      </c>
      <c r="BN510">
        <f>'Grid_Requirement'!BL32</f>
        <v/>
      </c>
      <c r="BO510">
        <f>'Grid_Requirement'!BM32</f>
        <v/>
      </c>
      <c r="BP510">
        <f>'Grid_Requirement'!BN32</f>
        <v/>
      </c>
      <c r="BQ510">
        <f>'Grid_Requirement'!BO32</f>
        <v/>
      </c>
      <c r="BR510">
        <f>'Grid_Requirement'!BP32</f>
        <v/>
      </c>
      <c r="BS510">
        <f>'Grid_Requirement'!BQ32</f>
        <v/>
      </c>
      <c r="BT510">
        <f>'Grid_Requirement'!BR32</f>
        <v/>
      </c>
      <c r="BU510">
        <f>'Grid_Requirement'!BS32</f>
        <v/>
      </c>
      <c r="BV510">
        <f>'Grid_Requirement'!BT32</f>
        <v/>
      </c>
      <c r="BW510">
        <f>'Grid_Requirement'!BU32</f>
        <v/>
      </c>
      <c r="BX510">
        <f>'Grid_Requirement'!BV32</f>
        <v/>
      </c>
      <c r="BY510">
        <f>'Grid_Requirement'!BW32</f>
        <v/>
      </c>
      <c r="BZ510">
        <f>'Grid_Requirement'!BX32</f>
        <v/>
      </c>
      <c r="CA510">
        <f>'Grid_Requirement'!BY32</f>
        <v/>
      </c>
      <c r="CB510">
        <f>'Grid_Requirement'!BZ32</f>
        <v/>
      </c>
      <c r="CC510">
        <f>'Grid_Requirement'!CA32</f>
        <v/>
      </c>
      <c r="CD510">
        <f>'Grid_Requirement'!CB32</f>
        <v/>
      </c>
      <c r="CE510">
        <f>'Grid_Requirement'!CC32</f>
        <v/>
      </c>
      <c r="CF510">
        <f>'Grid_Requirement'!CD32</f>
        <v/>
      </c>
      <c r="CG510">
        <f>'Grid_Requirement'!CE32</f>
        <v/>
      </c>
      <c r="CH510">
        <f>'Grid_Requirement'!CF32</f>
        <v/>
      </c>
      <c r="CI510">
        <f>'Grid_Requirement'!CG32</f>
        <v/>
      </c>
      <c r="CJ510">
        <f>'Grid_Requirement'!CH32</f>
        <v/>
      </c>
      <c r="CK510">
        <f>'Grid_Requirement'!CI32</f>
        <v/>
      </c>
      <c r="CL510">
        <f>'Grid_Requirement'!CJ32</f>
        <v/>
      </c>
      <c r="CM510">
        <f>'Grid_Requirement'!CK32</f>
        <v/>
      </c>
      <c r="CN510">
        <f>'Grid_Requirement'!CL32</f>
        <v/>
      </c>
      <c r="CO510">
        <f>'Grid_Requirement'!CM32</f>
        <v/>
      </c>
      <c r="CP510">
        <f>'Grid_Requirement'!CN32</f>
        <v/>
      </c>
      <c r="CQ510">
        <f>'Grid_Requirement'!CO32</f>
        <v/>
      </c>
      <c r="CR510">
        <f>'Grid_Requirement'!CP32</f>
        <v/>
      </c>
      <c r="CS510">
        <f>'Grid_Requirement'!CQ32</f>
        <v/>
      </c>
      <c r="CT510">
        <f>'Grid_Requirement'!CR32</f>
        <v/>
      </c>
      <c r="CU510">
        <f>'Grid_Requirement'!CS32</f>
        <v/>
      </c>
      <c r="CV510">
        <f>'Grid_Requirement'!CT32</f>
        <v/>
      </c>
      <c r="CW510">
        <f>'Grid_Requirement'!CU32</f>
        <v/>
      </c>
      <c r="CX510">
        <f>'Grid_Requirement'!CV32</f>
        <v/>
      </c>
      <c r="CY510">
        <f>'Grid_Requirement'!CW32</f>
        <v/>
      </c>
      <c r="CZ510">
        <f>'Grid_Requirement'!CX32</f>
        <v/>
      </c>
      <c r="DA510">
        <f>'Grid_Requirement'!CY32</f>
        <v/>
      </c>
      <c r="DB510">
        <f>'Grid_Requirement'!CZ32</f>
        <v/>
      </c>
      <c r="DC510">
        <f>'Grid_Requirement'!DA32</f>
        <v/>
      </c>
    </row>
    <row r="511">
      <c r="B511" t="inlineStr">
        <is>
          <t>TTAF在庫(実績,kg)</t>
        </is>
      </c>
      <c r="D511">
        <f>'T_TTAFStock'!B36</f>
        <v/>
      </c>
      <c r="E511">
        <f>'T_TTAFStock'!C36</f>
        <v/>
      </c>
      <c r="F511">
        <f>'T_TTAFStock'!D36</f>
        <v/>
      </c>
      <c r="G511">
        <f>'T_TTAFStock'!E36</f>
        <v/>
      </c>
      <c r="H511">
        <f>'T_TTAFStock'!F36</f>
        <v/>
      </c>
      <c r="I511">
        <f>'T_TTAFStock'!G36</f>
        <v/>
      </c>
      <c r="J511">
        <f>'T_TTAFStock'!H36</f>
        <v/>
      </c>
      <c r="K511">
        <f>'T_TTAFStock'!I36</f>
        <v/>
      </c>
      <c r="L511">
        <f>'T_TTAFStock'!J36</f>
        <v/>
      </c>
      <c r="M511">
        <f>'T_TTAFStock'!K36</f>
        <v/>
      </c>
      <c r="N511">
        <f>'T_TTAFStock'!L36</f>
        <v/>
      </c>
      <c r="O511">
        <f>'T_TTAFStock'!M36</f>
        <v/>
      </c>
      <c r="P511">
        <f>'T_TTAFStock'!N36</f>
        <v/>
      </c>
      <c r="Q511">
        <f>'T_TTAFStock'!O36</f>
        <v/>
      </c>
      <c r="R511">
        <f>'T_TTAFStock'!P36</f>
        <v/>
      </c>
      <c r="S511">
        <f>'T_TTAFStock'!Q36</f>
        <v/>
      </c>
      <c r="T511">
        <f>'T_TTAFStock'!R36</f>
        <v/>
      </c>
      <c r="U511">
        <f>'T_TTAFStock'!S36</f>
        <v/>
      </c>
      <c r="V511">
        <f>'T_TTAFStock'!T36</f>
        <v/>
      </c>
      <c r="W511">
        <f>'T_TTAFStock'!U36</f>
        <v/>
      </c>
      <c r="X511">
        <f>'T_TTAFStock'!V36</f>
        <v/>
      </c>
      <c r="Y511">
        <f>'T_TTAFStock'!W36</f>
        <v/>
      </c>
      <c r="Z511">
        <f>'T_TTAFStock'!X36</f>
        <v/>
      </c>
      <c r="AA511">
        <f>'T_TTAFStock'!Y36</f>
        <v/>
      </c>
      <c r="AB511">
        <f>'T_TTAFStock'!Z36</f>
        <v/>
      </c>
      <c r="AC511">
        <f>'T_TTAFStock'!AA36</f>
        <v/>
      </c>
      <c r="AD511">
        <f>'T_TTAFStock'!AB36</f>
        <v/>
      </c>
      <c r="AE511">
        <f>'T_TTAFStock'!AC36</f>
        <v/>
      </c>
      <c r="AF511">
        <f>'T_TTAFStock'!AD36</f>
        <v/>
      </c>
      <c r="AG511">
        <f>'T_TTAFStock'!AE36</f>
        <v/>
      </c>
      <c r="AH511">
        <f>'T_TTAFStock'!AF36</f>
        <v/>
      </c>
      <c r="AI511">
        <f>'T_TTAFStock'!AG36</f>
        <v/>
      </c>
      <c r="AJ511">
        <f>'T_TTAFStock'!AH36</f>
        <v/>
      </c>
      <c r="AK511">
        <f>'T_TTAFStock'!AI36</f>
        <v/>
      </c>
      <c r="AL511">
        <f>'T_TTAFStock'!AJ36</f>
        <v/>
      </c>
      <c r="AM511">
        <f>'T_TTAFStock'!AK36</f>
        <v/>
      </c>
      <c r="AN511">
        <f>'T_TTAFStock'!AL36</f>
        <v/>
      </c>
      <c r="AO511">
        <f>'T_TTAFStock'!AM36</f>
        <v/>
      </c>
      <c r="AP511">
        <f>'T_TTAFStock'!AN36</f>
        <v/>
      </c>
      <c r="AQ511">
        <f>'T_TTAFStock'!AO36</f>
        <v/>
      </c>
      <c r="AR511">
        <f>'T_TTAFStock'!AP36</f>
        <v/>
      </c>
      <c r="AS511">
        <f>'T_TTAFStock'!AQ36</f>
        <v/>
      </c>
      <c r="AT511">
        <f>'T_TTAFStock'!AR36</f>
        <v/>
      </c>
      <c r="AU511">
        <f>'T_TTAFStock'!AS36</f>
        <v/>
      </c>
      <c r="AV511">
        <f>'T_TTAFStock'!AT36</f>
        <v/>
      </c>
      <c r="AW511">
        <f>'T_TTAFStock'!AU36</f>
        <v/>
      </c>
      <c r="AX511">
        <f>'T_TTAFStock'!AV36</f>
        <v/>
      </c>
      <c r="AY511">
        <f>'T_TTAFStock'!AW36</f>
        <v/>
      </c>
      <c r="AZ511">
        <f>'T_TTAFStock'!AX36</f>
        <v/>
      </c>
      <c r="BA511">
        <f>'T_TTAFStock'!AY36</f>
        <v/>
      </c>
      <c r="BB511">
        <f>'T_TTAFStock'!AZ36</f>
        <v/>
      </c>
      <c r="BC511">
        <f>'T_TTAFStock'!BA36</f>
        <v/>
      </c>
      <c r="BD511">
        <f>'T_TTAFStock'!BB36</f>
        <v/>
      </c>
      <c r="BE511">
        <f>'T_TTAFStock'!BC36</f>
        <v/>
      </c>
      <c r="BF511">
        <f>'T_TTAFStock'!BD36</f>
        <v/>
      </c>
      <c r="BG511">
        <f>'T_TTAFStock'!BE36</f>
        <v/>
      </c>
      <c r="BH511">
        <f>'T_TTAFStock'!BF36</f>
        <v/>
      </c>
      <c r="BI511">
        <f>'T_TTAFStock'!BG36</f>
        <v/>
      </c>
      <c r="BJ511">
        <f>'T_TTAFStock'!BH36</f>
        <v/>
      </c>
      <c r="BK511">
        <f>'T_TTAFStock'!BI36</f>
        <v/>
      </c>
      <c r="BL511">
        <f>'T_TTAFStock'!BJ36</f>
        <v/>
      </c>
      <c r="BM511">
        <f>'T_TTAFStock'!BK36</f>
        <v/>
      </c>
      <c r="BN511">
        <f>'T_TTAFStock'!BL36</f>
        <v/>
      </c>
      <c r="BO511">
        <f>'T_TTAFStock'!BM36</f>
        <v/>
      </c>
      <c r="BP511">
        <f>'T_TTAFStock'!BN36</f>
        <v/>
      </c>
      <c r="BQ511">
        <f>'T_TTAFStock'!BO36</f>
        <v/>
      </c>
      <c r="BR511">
        <f>'T_TTAFStock'!BP36</f>
        <v/>
      </c>
      <c r="BS511">
        <f>'T_TTAFStock'!BQ36</f>
        <v/>
      </c>
      <c r="BT511">
        <f>'T_TTAFStock'!BR36</f>
        <v/>
      </c>
      <c r="BU511">
        <f>'T_TTAFStock'!BS36</f>
        <v/>
      </c>
      <c r="BV511">
        <f>'T_TTAFStock'!BT36</f>
        <v/>
      </c>
      <c r="BW511">
        <f>'T_TTAFStock'!BU36</f>
        <v/>
      </c>
      <c r="BX511">
        <f>'T_TTAFStock'!BV36</f>
        <v/>
      </c>
      <c r="BY511">
        <f>'T_TTAFStock'!BW36</f>
        <v/>
      </c>
      <c r="BZ511">
        <f>'T_TTAFStock'!BX36</f>
        <v/>
      </c>
      <c r="CA511">
        <f>'T_TTAFStock'!BY36</f>
        <v/>
      </c>
      <c r="CB511">
        <f>'T_TTAFStock'!BZ36</f>
        <v/>
      </c>
      <c r="CC511">
        <f>'T_TTAFStock'!CA36</f>
        <v/>
      </c>
      <c r="CD511">
        <f>'T_TTAFStock'!CB36</f>
        <v/>
      </c>
      <c r="CE511">
        <f>'T_TTAFStock'!CC36</f>
        <v/>
      </c>
      <c r="CF511">
        <f>'T_TTAFStock'!CD36</f>
        <v/>
      </c>
      <c r="CG511">
        <f>'T_TTAFStock'!CE36</f>
        <v/>
      </c>
      <c r="CH511">
        <f>'T_TTAFStock'!CF36</f>
        <v/>
      </c>
      <c r="CI511">
        <f>'T_TTAFStock'!CG36</f>
        <v/>
      </c>
      <c r="CJ511">
        <f>'T_TTAFStock'!CH36</f>
        <v/>
      </c>
      <c r="CK511">
        <f>'T_TTAFStock'!CI36</f>
        <v/>
      </c>
      <c r="CL511">
        <f>'T_TTAFStock'!CJ36</f>
        <v/>
      </c>
      <c r="CM511">
        <f>'T_TTAFStock'!CK36</f>
        <v/>
      </c>
      <c r="CN511">
        <f>'T_TTAFStock'!CL36</f>
        <v/>
      </c>
      <c r="CO511">
        <f>'T_TTAFStock'!CM36</f>
        <v/>
      </c>
      <c r="CP511">
        <f>'T_TTAFStock'!CN36</f>
        <v/>
      </c>
      <c r="CQ511">
        <f>'T_TTAFStock'!CO36</f>
        <v/>
      </c>
      <c r="CR511">
        <f>'T_TTAFStock'!CP36</f>
        <v/>
      </c>
      <c r="CS511">
        <f>'T_TTAFStock'!CQ36</f>
        <v/>
      </c>
      <c r="CT511">
        <f>'T_TTAFStock'!CR36</f>
        <v/>
      </c>
      <c r="CU511">
        <f>'T_TTAFStock'!CS36</f>
        <v/>
      </c>
      <c r="CV511">
        <f>'T_TTAFStock'!CT36</f>
        <v/>
      </c>
      <c r="CW511">
        <f>'T_TTAFStock'!CU36</f>
        <v/>
      </c>
      <c r="CX511">
        <f>'T_TTAFStock'!CV36</f>
        <v/>
      </c>
      <c r="CY511">
        <f>'T_TTAFStock'!CW36</f>
        <v/>
      </c>
      <c r="CZ511">
        <f>'T_TTAFStock'!CX36</f>
        <v/>
      </c>
      <c r="DA511">
        <f>'T_TTAFStock'!CY36</f>
        <v/>
      </c>
      <c r="DB511">
        <f>'T_TTAFStock'!CZ36</f>
        <v/>
      </c>
      <c r="DC511">
        <f>'T_TTAFStock'!DA36</f>
        <v/>
      </c>
    </row>
    <row r="512">
      <c r="B512" t="inlineStr">
        <is>
          <t>自社在庫(実績,kg)</t>
        </is>
      </c>
      <c r="D512">
        <f>'T_SelfStock'!B36</f>
        <v/>
      </c>
      <c r="E512">
        <f>'T_SelfStock'!C36</f>
        <v/>
      </c>
      <c r="F512">
        <f>'T_SelfStock'!D36</f>
        <v/>
      </c>
      <c r="G512">
        <f>'T_SelfStock'!E36</f>
        <v/>
      </c>
      <c r="H512">
        <f>'T_SelfStock'!F36</f>
        <v/>
      </c>
      <c r="I512">
        <f>'T_SelfStock'!G36</f>
        <v/>
      </c>
      <c r="J512">
        <f>'T_SelfStock'!H36</f>
        <v/>
      </c>
      <c r="K512">
        <f>'T_SelfStock'!I36</f>
        <v/>
      </c>
      <c r="L512">
        <f>'T_SelfStock'!J36</f>
        <v/>
      </c>
      <c r="M512">
        <f>'T_SelfStock'!K36</f>
        <v/>
      </c>
      <c r="N512">
        <f>'T_SelfStock'!L36</f>
        <v/>
      </c>
      <c r="O512">
        <f>'T_SelfStock'!M36</f>
        <v/>
      </c>
      <c r="P512">
        <f>'T_SelfStock'!N36</f>
        <v/>
      </c>
      <c r="Q512">
        <f>'T_SelfStock'!O36</f>
        <v/>
      </c>
      <c r="R512">
        <f>'T_SelfStock'!P36</f>
        <v/>
      </c>
      <c r="S512">
        <f>'T_SelfStock'!Q36</f>
        <v/>
      </c>
      <c r="T512">
        <f>'T_SelfStock'!R36</f>
        <v/>
      </c>
      <c r="U512">
        <f>'T_SelfStock'!S36</f>
        <v/>
      </c>
      <c r="V512">
        <f>'T_SelfStock'!T36</f>
        <v/>
      </c>
      <c r="W512">
        <f>'T_SelfStock'!U36</f>
        <v/>
      </c>
      <c r="X512">
        <f>'T_SelfStock'!V36</f>
        <v/>
      </c>
      <c r="Y512">
        <f>'T_SelfStock'!W36</f>
        <v/>
      </c>
      <c r="Z512">
        <f>'T_SelfStock'!X36</f>
        <v/>
      </c>
      <c r="AA512">
        <f>'T_SelfStock'!Y36</f>
        <v/>
      </c>
      <c r="AB512">
        <f>'T_SelfStock'!Z36</f>
        <v/>
      </c>
      <c r="AC512">
        <f>'T_SelfStock'!AA36</f>
        <v/>
      </c>
      <c r="AD512">
        <f>'T_SelfStock'!AB36</f>
        <v/>
      </c>
      <c r="AE512">
        <f>'T_SelfStock'!AC36</f>
        <v/>
      </c>
      <c r="AF512">
        <f>'T_SelfStock'!AD36</f>
        <v/>
      </c>
      <c r="AG512">
        <f>'T_SelfStock'!AE36</f>
        <v/>
      </c>
      <c r="AH512">
        <f>'T_SelfStock'!AF36</f>
        <v/>
      </c>
      <c r="AI512">
        <f>'T_SelfStock'!AG36</f>
        <v/>
      </c>
      <c r="AJ512">
        <f>'T_SelfStock'!AH36</f>
        <v/>
      </c>
      <c r="AK512">
        <f>'T_SelfStock'!AI36</f>
        <v/>
      </c>
      <c r="AL512">
        <f>'T_SelfStock'!AJ36</f>
        <v/>
      </c>
      <c r="AM512">
        <f>'T_SelfStock'!AK36</f>
        <v/>
      </c>
      <c r="AN512">
        <f>'T_SelfStock'!AL36</f>
        <v/>
      </c>
      <c r="AO512">
        <f>'T_SelfStock'!AM36</f>
        <v/>
      </c>
      <c r="AP512">
        <f>'T_SelfStock'!AN36</f>
        <v/>
      </c>
      <c r="AQ512">
        <f>'T_SelfStock'!AO36</f>
        <v/>
      </c>
      <c r="AR512">
        <f>'T_SelfStock'!AP36</f>
        <v/>
      </c>
      <c r="AS512">
        <f>'T_SelfStock'!AQ36</f>
        <v/>
      </c>
      <c r="AT512">
        <f>'T_SelfStock'!AR36</f>
        <v/>
      </c>
      <c r="AU512">
        <f>'T_SelfStock'!AS36</f>
        <v/>
      </c>
      <c r="AV512">
        <f>'T_SelfStock'!AT36</f>
        <v/>
      </c>
      <c r="AW512">
        <f>'T_SelfStock'!AU36</f>
        <v/>
      </c>
      <c r="AX512">
        <f>'T_SelfStock'!AV36</f>
        <v/>
      </c>
      <c r="AY512">
        <f>'T_SelfStock'!AW36</f>
        <v/>
      </c>
      <c r="AZ512">
        <f>'T_SelfStock'!AX36</f>
        <v/>
      </c>
      <c r="BA512">
        <f>'T_SelfStock'!AY36</f>
        <v/>
      </c>
      <c r="BB512">
        <f>'T_SelfStock'!AZ36</f>
        <v/>
      </c>
      <c r="BC512">
        <f>'T_SelfStock'!BA36</f>
        <v/>
      </c>
      <c r="BD512">
        <f>'T_SelfStock'!BB36</f>
        <v/>
      </c>
      <c r="BE512">
        <f>'T_SelfStock'!BC36</f>
        <v/>
      </c>
      <c r="BF512">
        <f>'T_SelfStock'!BD36</f>
        <v/>
      </c>
      <c r="BG512">
        <f>'T_SelfStock'!BE36</f>
        <v/>
      </c>
      <c r="BH512">
        <f>'T_SelfStock'!BF36</f>
        <v/>
      </c>
      <c r="BI512">
        <f>'T_SelfStock'!BG36</f>
        <v/>
      </c>
      <c r="BJ512">
        <f>'T_SelfStock'!BH36</f>
        <v/>
      </c>
      <c r="BK512">
        <f>'T_SelfStock'!BI36</f>
        <v/>
      </c>
      <c r="BL512">
        <f>'T_SelfStock'!BJ36</f>
        <v/>
      </c>
      <c r="BM512">
        <f>'T_SelfStock'!BK36</f>
        <v/>
      </c>
      <c r="BN512">
        <f>'T_SelfStock'!BL36</f>
        <v/>
      </c>
      <c r="BO512">
        <f>'T_SelfStock'!BM36</f>
        <v/>
      </c>
      <c r="BP512">
        <f>'T_SelfStock'!BN36</f>
        <v/>
      </c>
      <c r="BQ512">
        <f>'T_SelfStock'!BO36</f>
        <v/>
      </c>
      <c r="BR512">
        <f>'T_SelfStock'!BP36</f>
        <v/>
      </c>
      <c r="BS512">
        <f>'T_SelfStock'!BQ36</f>
        <v/>
      </c>
      <c r="BT512">
        <f>'T_SelfStock'!BR36</f>
        <v/>
      </c>
      <c r="BU512">
        <f>'T_SelfStock'!BS36</f>
        <v/>
      </c>
      <c r="BV512">
        <f>'T_SelfStock'!BT36</f>
        <v/>
      </c>
      <c r="BW512">
        <f>'T_SelfStock'!BU36</f>
        <v/>
      </c>
      <c r="BX512">
        <f>'T_SelfStock'!BV36</f>
        <v/>
      </c>
      <c r="BY512">
        <f>'T_SelfStock'!BW36</f>
        <v/>
      </c>
      <c r="BZ512">
        <f>'T_SelfStock'!BX36</f>
        <v/>
      </c>
      <c r="CA512">
        <f>'T_SelfStock'!BY36</f>
        <v/>
      </c>
      <c r="CB512">
        <f>'T_SelfStock'!BZ36</f>
        <v/>
      </c>
      <c r="CC512">
        <f>'T_SelfStock'!CA36</f>
        <v/>
      </c>
      <c r="CD512">
        <f>'T_SelfStock'!CB36</f>
        <v/>
      </c>
      <c r="CE512">
        <f>'T_SelfStock'!CC36</f>
        <v/>
      </c>
      <c r="CF512">
        <f>'T_SelfStock'!CD36</f>
        <v/>
      </c>
      <c r="CG512">
        <f>'T_SelfStock'!CE36</f>
        <v/>
      </c>
      <c r="CH512">
        <f>'T_SelfStock'!CF36</f>
        <v/>
      </c>
      <c r="CI512">
        <f>'T_SelfStock'!CG36</f>
        <v/>
      </c>
      <c r="CJ512">
        <f>'T_SelfStock'!CH36</f>
        <v/>
      </c>
      <c r="CK512">
        <f>'T_SelfStock'!CI36</f>
        <v/>
      </c>
      <c r="CL512">
        <f>'T_SelfStock'!CJ36</f>
        <v/>
      </c>
      <c r="CM512">
        <f>'T_SelfStock'!CK36</f>
        <v/>
      </c>
      <c r="CN512">
        <f>'T_SelfStock'!CL36</f>
        <v/>
      </c>
      <c r="CO512">
        <f>'T_SelfStock'!CM36</f>
        <v/>
      </c>
      <c r="CP512">
        <f>'T_SelfStock'!CN36</f>
        <v/>
      </c>
      <c r="CQ512">
        <f>'T_SelfStock'!CO36</f>
        <v/>
      </c>
      <c r="CR512">
        <f>'T_SelfStock'!CP36</f>
        <v/>
      </c>
      <c r="CS512">
        <f>'T_SelfStock'!CQ36</f>
        <v/>
      </c>
      <c r="CT512">
        <f>'T_SelfStock'!CR36</f>
        <v/>
      </c>
      <c r="CU512">
        <f>'T_SelfStock'!CS36</f>
        <v/>
      </c>
      <c r="CV512">
        <f>'T_SelfStock'!CT36</f>
        <v/>
      </c>
      <c r="CW512">
        <f>'T_SelfStock'!CU36</f>
        <v/>
      </c>
      <c r="CX512">
        <f>'T_SelfStock'!CV36</f>
        <v/>
      </c>
      <c r="CY512">
        <f>'T_SelfStock'!CW36</f>
        <v/>
      </c>
      <c r="CZ512">
        <f>'T_SelfStock'!CX36</f>
        <v/>
      </c>
      <c r="DA512">
        <f>'T_SelfStock'!CY36</f>
        <v/>
      </c>
      <c r="DB512">
        <f>'T_SelfStock'!CZ36</f>
        <v/>
      </c>
      <c r="DC512">
        <f>'T_SelfStock'!DA36</f>
        <v/>
      </c>
    </row>
    <row r="513">
      <c r="B513" t="inlineStr">
        <is>
          <t>Order(発注予定,kg)</t>
        </is>
      </c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  <c r="AA513" s="23" t="n"/>
      <c r="AB513" s="23" t="n"/>
      <c r="AC513" s="23" t="n"/>
      <c r="AD513" s="23" t="n"/>
      <c r="AE513" s="23" t="n"/>
      <c r="AF513" s="23" t="n"/>
      <c r="AG513" s="23" t="n"/>
      <c r="AH513" s="23" t="n"/>
      <c r="AI513" s="23" t="n"/>
      <c r="AJ513" s="23" t="n"/>
      <c r="AK513" s="23" t="n"/>
      <c r="AL513" s="23" t="n"/>
      <c r="AM513" s="23" t="n"/>
      <c r="AN513" s="23" t="n"/>
      <c r="AO513" s="23" t="n"/>
      <c r="AP513" s="23" t="n"/>
      <c r="AQ513" s="23" t="n"/>
      <c r="AR513" s="23" t="n"/>
      <c r="AS513" s="23" t="n"/>
      <c r="AT513" s="23" t="n"/>
      <c r="AU513" s="23" t="n"/>
      <c r="AV513" s="23" t="n"/>
      <c r="AW513" s="23" t="n"/>
      <c r="AX513" s="23" t="n"/>
      <c r="AY513" s="23" t="n"/>
      <c r="AZ513" s="23" t="n"/>
      <c r="BA513" s="23" t="n"/>
      <c r="BB513" s="23" t="n"/>
      <c r="BC513" s="23" t="n"/>
      <c r="BD513" s="23" t="n"/>
      <c r="BE513" s="23" t="n"/>
      <c r="BF513" s="23" t="n"/>
      <c r="BG513" s="23" t="n"/>
      <c r="BH513" s="23" t="n"/>
      <c r="BI513" s="23" t="n"/>
      <c r="BJ513" s="23" t="n"/>
      <c r="BK513" s="23" t="n"/>
      <c r="BL513" s="23" t="n"/>
      <c r="BM513" s="23" t="n"/>
      <c r="BN513" s="23" t="n"/>
      <c r="BO513" s="23" t="n"/>
      <c r="BP513" s="23" t="n"/>
      <c r="BQ513" s="23" t="n"/>
      <c r="BR513" s="23" t="n"/>
      <c r="BS513" s="23" t="n"/>
      <c r="BT513" s="23" t="n"/>
      <c r="BU513" s="23" t="n"/>
      <c r="BV513" s="23" t="n"/>
      <c r="BW513" s="23" t="n"/>
      <c r="BX513" s="23" t="n"/>
      <c r="BY513" s="23" t="n"/>
      <c r="BZ513" s="23" t="n"/>
      <c r="CA513" s="23" t="n"/>
      <c r="CB513" s="23" t="n"/>
      <c r="CC513" s="23" t="n"/>
      <c r="CD513" s="23" t="n"/>
      <c r="CE513" s="23" t="n"/>
      <c r="CF513" s="23" t="n"/>
      <c r="CG513" s="23" t="n"/>
      <c r="CH513" s="23" t="n"/>
      <c r="CI513" s="23" t="n"/>
      <c r="CJ513" s="23" t="n"/>
      <c r="CK513" s="23" t="n"/>
      <c r="CL513" s="23" t="n"/>
      <c r="CM513" s="23" t="n"/>
      <c r="CN513" s="23" t="n"/>
      <c r="CO513" s="23" t="n"/>
      <c r="CP513" s="23" t="n"/>
      <c r="CQ513" s="23" t="n"/>
      <c r="CR513" s="23" t="n"/>
      <c r="CS513" s="23" t="n"/>
      <c r="CT513" s="23" t="n"/>
      <c r="CU513" s="23" t="n"/>
      <c r="CV513" s="23" t="n"/>
      <c r="CW513" s="23" t="n"/>
      <c r="CX513" s="23" t="n"/>
      <c r="CY513" s="23" t="n"/>
      <c r="CZ513" s="23" t="n"/>
      <c r="DA513" s="23" t="n"/>
      <c r="DB513" s="23" t="n"/>
      <c r="DC513" s="23" t="n"/>
      <c r="DE513" s="12" t="inlineStr">
        <is>
          <t>CHEM-1780</t>
        </is>
      </c>
    </row>
    <row r="514">
      <c r="B514" s="24" t="inlineStr">
        <is>
          <t>PO_No</t>
        </is>
      </c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  <c r="AD514" s="25" t="n"/>
      <c r="AE514" s="25" t="n"/>
      <c r="AF514" s="25" t="n"/>
      <c r="AG514" s="25" t="n"/>
      <c r="AH514" s="25" t="n"/>
      <c r="AI514" s="25" t="n"/>
      <c r="AJ514" s="25" t="n"/>
      <c r="AK514" s="25" t="n"/>
      <c r="AL514" s="25" t="n"/>
      <c r="AM514" s="25" t="n"/>
      <c r="AN514" s="25" t="n"/>
      <c r="AO514" s="25" t="n"/>
      <c r="AP514" s="25" t="n"/>
      <c r="AQ514" s="25" t="n"/>
      <c r="AR514" s="25" t="n"/>
      <c r="AS514" s="25" t="n"/>
      <c r="AT514" s="25" t="n"/>
      <c r="AU514" s="25" t="n"/>
      <c r="AV514" s="25" t="n"/>
      <c r="AW514" s="25" t="n"/>
      <c r="AX514" s="25" t="n"/>
      <c r="AY514" s="25" t="n"/>
      <c r="AZ514" s="25" t="n"/>
      <c r="BA514" s="25" t="n"/>
      <c r="BB514" s="25" t="n"/>
      <c r="BC514" s="25" t="n"/>
      <c r="BD514" s="25" t="n"/>
      <c r="BE514" s="25" t="n"/>
      <c r="BF514" s="25" t="n"/>
      <c r="BG514" s="25" t="n"/>
      <c r="BH514" s="25" t="n"/>
      <c r="BI514" s="25" t="n"/>
      <c r="BJ514" s="25" t="n"/>
      <c r="BK514" s="25" t="n"/>
      <c r="BL514" s="25" t="n"/>
      <c r="BM514" s="25" t="n"/>
      <c r="BN514" s="25" t="n"/>
      <c r="BO514" s="25" t="n"/>
      <c r="BP514" s="25" t="n"/>
      <c r="BQ514" s="25" t="n"/>
      <c r="BR514" s="25" t="n"/>
      <c r="BS514" s="25" t="n"/>
      <c r="BT514" s="25" t="n"/>
      <c r="BU514" s="25" t="n"/>
      <c r="BV514" s="25" t="n"/>
      <c r="BW514" s="25" t="n"/>
      <c r="BX514" s="25" t="n"/>
      <c r="BY514" s="25" t="n"/>
      <c r="BZ514" s="25" t="n"/>
      <c r="CA514" s="25" t="n"/>
      <c r="CB514" s="25" t="n"/>
      <c r="CC514" s="25" t="n"/>
      <c r="CD514" s="25" t="n"/>
      <c r="CE514" s="25" t="n"/>
      <c r="CF514" s="25" t="n"/>
      <c r="CG514" s="25" t="n"/>
      <c r="CH514" s="25" t="n"/>
      <c r="CI514" s="25" t="n"/>
      <c r="CJ514" s="25" t="n"/>
      <c r="CK514" s="25" t="n"/>
      <c r="CL514" s="25" t="n"/>
      <c r="CM514" s="25" t="n"/>
      <c r="CN514" s="25" t="n"/>
      <c r="CO514" s="25" t="n"/>
      <c r="CP514" s="25" t="n"/>
      <c r="CQ514" s="25" t="n"/>
      <c r="CR514" s="25" t="n"/>
      <c r="CS514" s="25" t="n"/>
      <c r="CT514" s="25" t="n"/>
      <c r="CU514" s="25" t="n"/>
      <c r="CV514" s="25" t="n"/>
      <c r="CW514" s="25" t="n"/>
      <c r="CX514" s="25" t="n"/>
      <c r="CY514" s="25" t="n"/>
      <c r="CZ514" s="25" t="n"/>
      <c r="DA514" s="25" t="n"/>
      <c r="DB514" s="25" t="n"/>
      <c r="DC514" s="25" t="n"/>
    </row>
    <row r="515">
      <c r="B515" s="5" t="inlineStr">
        <is>
          <t>合計在庫(週末時点,kg)</t>
        </is>
      </c>
      <c r="D515">
        <f>'Grid_Stock'!B32</f>
        <v/>
      </c>
      <c r="E515">
        <f>'Grid_Stock'!C32</f>
        <v/>
      </c>
      <c r="F515">
        <f>'Grid_Stock'!D32</f>
        <v/>
      </c>
      <c r="G515">
        <f>'Grid_Stock'!E32</f>
        <v/>
      </c>
      <c r="H515">
        <f>'Grid_Stock'!F32</f>
        <v/>
      </c>
      <c r="I515">
        <f>'Grid_Stock'!G32</f>
        <v/>
      </c>
      <c r="J515">
        <f>'Grid_Stock'!H32</f>
        <v/>
      </c>
      <c r="K515">
        <f>'Grid_Stock'!I32</f>
        <v/>
      </c>
      <c r="L515">
        <f>'Grid_Stock'!J32</f>
        <v/>
      </c>
      <c r="M515">
        <f>'Grid_Stock'!K32</f>
        <v/>
      </c>
      <c r="N515">
        <f>'Grid_Stock'!L32</f>
        <v/>
      </c>
      <c r="O515">
        <f>'Grid_Stock'!M32</f>
        <v/>
      </c>
      <c r="P515">
        <f>'Grid_Stock'!N32</f>
        <v/>
      </c>
      <c r="Q515">
        <f>'Grid_Stock'!O32</f>
        <v/>
      </c>
      <c r="R515">
        <f>'Grid_Stock'!P32</f>
        <v/>
      </c>
      <c r="S515">
        <f>'Grid_Stock'!Q32</f>
        <v/>
      </c>
      <c r="T515">
        <f>'Grid_Stock'!R32</f>
        <v/>
      </c>
      <c r="U515">
        <f>'Grid_Stock'!S32</f>
        <v/>
      </c>
      <c r="V515">
        <f>'Grid_Stock'!T32</f>
        <v/>
      </c>
      <c r="W515">
        <f>'Grid_Stock'!U32</f>
        <v/>
      </c>
      <c r="X515">
        <f>'Grid_Stock'!V32</f>
        <v/>
      </c>
      <c r="Y515">
        <f>'Grid_Stock'!W32</f>
        <v/>
      </c>
      <c r="Z515">
        <f>'Grid_Stock'!X32</f>
        <v/>
      </c>
      <c r="AA515">
        <f>'Grid_Stock'!Y32</f>
        <v/>
      </c>
      <c r="AB515">
        <f>'Grid_Stock'!Z32</f>
        <v/>
      </c>
      <c r="AC515">
        <f>'Grid_Stock'!AA32</f>
        <v/>
      </c>
      <c r="AD515">
        <f>'Grid_Stock'!AB32</f>
        <v/>
      </c>
      <c r="AE515">
        <f>'Grid_Stock'!AC32</f>
        <v/>
      </c>
      <c r="AF515">
        <f>'Grid_Stock'!AD32</f>
        <v/>
      </c>
      <c r="AG515">
        <f>'Grid_Stock'!AE32</f>
        <v/>
      </c>
      <c r="AH515">
        <f>'Grid_Stock'!AF32</f>
        <v/>
      </c>
      <c r="AI515">
        <f>'Grid_Stock'!AG32</f>
        <v/>
      </c>
      <c r="AJ515">
        <f>'Grid_Stock'!AH32</f>
        <v/>
      </c>
      <c r="AK515">
        <f>'Grid_Stock'!AI32</f>
        <v/>
      </c>
      <c r="AL515">
        <f>'Grid_Stock'!AJ32</f>
        <v/>
      </c>
      <c r="AM515">
        <f>'Grid_Stock'!AK32</f>
        <v/>
      </c>
      <c r="AN515">
        <f>'Grid_Stock'!AL32</f>
        <v/>
      </c>
      <c r="AO515">
        <f>'Grid_Stock'!AM32</f>
        <v/>
      </c>
      <c r="AP515">
        <f>'Grid_Stock'!AN32</f>
        <v/>
      </c>
      <c r="AQ515">
        <f>'Grid_Stock'!AO32</f>
        <v/>
      </c>
      <c r="AR515">
        <f>'Grid_Stock'!AP32</f>
        <v/>
      </c>
      <c r="AS515">
        <f>'Grid_Stock'!AQ32</f>
        <v/>
      </c>
      <c r="AT515">
        <f>'Grid_Stock'!AR32</f>
        <v/>
      </c>
      <c r="AU515">
        <f>'Grid_Stock'!AS32</f>
        <v/>
      </c>
      <c r="AV515">
        <f>'Grid_Stock'!AT32</f>
        <v/>
      </c>
      <c r="AW515">
        <f>'Grid_Stock'!AU32</f>
        <v/>
      </c>
      <c r="AX515">
        <f>'Grid_Stock'!AV32</f>
        <v/>
      </c>
      <c r="AY515">
        <f>'Grid_Stock'!AW32</f>
        <v/>
      </c>
      <c r="AZ515">
        <f>'Grid_Stock'!AX32</f>
        <v/>
      </c>
      <c r="BA515">
        <f>'Grid_Stock'!AY32</f>
        <v/>
      </c>
      <c r="BB515">
        <f>'Grid_Stock'!AZ32</f>
        <v/>
      </c>
      <c r="BC515">
        <f>'Grid_Stock'!BA32</f>
        <v/>
      </c>
      <c r="BD515">
        <f>'Grid_Stock'!BB32</f>
        <v/>
      </c>
      <c r="BE515">
        <f>'Grid_Stock'!BC32</f>
        <v/>
      </c>
      <c r="BF515">
        <f>'Grid_Stock'!BD32</f>
        <v/>
      </c>
      <c r="BG515">
        <f>'Grid_Stock'!BE32</f>
        <v/>
      </c>
      <c r="BH515">
        <f>'Grid_Stock'!BF32</f>
        <v/>
      </c>
      <c r="BI515">
        <f>'Grid_Stock'!BG32</f>
        <v/>
      </c>
      <c r="BJ515">
        <f>'Grid_Stock'!BH32</f>
        <v/>
      </c>
      <c r="BK515">
        <f>'Grid_Stock'!BI32</f>
        <v/>
      </c>
      <c r="BL515">
        <f>'Grid_Stock'!BJ32</f>
        <v/>
      </c>
      <c r="BM515">
        <f>'Grid_Stock'!BK32</f>
        <v/>
      </c>
      <c r="BN515">
        <f>'Grid_Stock'!BL32</f>
        <v/>
      </c>
      <c r="BO515">
        <f>'Grid_Stock'!BM32</f>
        <v/>
      </c>
      <c r="BP515">
        <f>'Grid_Stock'!BN32</f>
        <v/>
      </c>
      <c r="BQ515">
        <f>'Grid_Stock'!BO32</f>
        <v/>
      </c>
      <c r="BR515">
        <f>'Grid_Stock'!BP32</f>
        <v/>
      </c>
      <c r="BS515">
        <f>'Grid_Stock'!BQ32</f>
        <v/>
      </c>
      <c r="BT515">
        <f>'Grid_Stock'!BR32</f>
        <v/>
      </c>
      <c r="BU515">
        <f>'Grid_Stock'!BS32</f>
        <v/>
      </c>
      <c r="BV515">
        <f>'Grid_Stock'!BT32</f>
        <v/>
      </c>
      <c r="BW515">
        <f>'Grid_Stock'!BU32</f>
        <v/>
      </c>
      <c r="BX515">
        <f>'Grid_Stock'!BV32</f>
        <v/>
      </c>
      <c r="BY515">
        <f>'Grid_Stock'!BW32</f>
        <v/>
      </c>
      <c r="BZ515">
        <f>'Grid_Stock'!BX32</f>
        <v/>
      </c>
      <c r="CA515">
        <f>'Grid_Stock'!BY32</f>
        <v/>
      </c>
      <c r="CB515">
        <f>'Grid_Stock'!BZ32</f>
        <v/>
      </c>
      <c r="CC515">
        <f>'Grid_Stock'!CA32</f>
        <v/>
      </c>
      <c r="CD515">
        <f>'Grid_Stock'!CB32</f>
        <v/>
      </c>
      <c r="CE515">
        <f>'Grid_Stock'!CC32</f>
        <v/>
      </c>
      <c r="CF515">
        <f>'Grid_Stock'!CD32</f>
        <v/>
      </c>
      <c r="CG515">
        <f>'Grid_Stock'!CE32</f>
        <v/>
      </c>
      <c r="CH515">
        <f>'Grid_Stock'!CF32</f>
        <v/>
      </c>
      <c r="CI515">
        <f>'Grid_Stock'!CG32</f>
        <v/>
      </c>
      <c r="CJ515">
        <f>'Grid_Stock'!CH32</f>
        <v/>
      </c>
      <c r="CK515">
        <f>'Grid_Stock'!CI32</f>
        <v/>
      </c>
      <c r="CL515">
        <f>'Grid_Stock'!CJ32</f>
        <v/>
      </c>
      <c r="CM515">
        <f>'Grid_Stock'!CK32</f>
        <v/>
      </c>
      <c r="CN515">
        <f>'Grid_Stock'!CL32</f>
        <v/>
      </c>
      <c r="CO515">
        <f>'Grid_Stock'!CM32</f>
        <v/>
      </c>
      <c r="CP515">
        <f>'Grid_Stock'!CN32</f>
        <v/>
      </c>
      <c r="CQ515">
        <f>'Grid_Stock'!CO32</f>
        <v/>
      </c>
      <c r="CR515">
        <f>'Grid_Stock'!CP32</f>
        <v/>
      </c>
      <c r="CS515">
        <f>'Grid_Stock'!CQ32</f>
        <v/>
      </c>
      <c r="CT515">
        <f>'Grid_Stock'!CR32</f>
        <v/>
      </c>
      <c r="CU515">
        <f>'Grid_Stock'!CS32</f>
        <v/>
      </c>
      <c r="CV515">
        <f>'Grid_Stock'!CT32</f>
        <v/>
      </c>
      <c r="CW515">
        <f>'Grid_Stock'!CU32</f>
        <v/>
      </c>
      <c r="CX515">
        <f>'Grid_Stock'!CV32</f>
        <v/>
      </c>
      <c r="CY515">
        <f>'Grid_Stock'!CW32</f>
        <v/>
      </c>
      <c r="CZ515">
        <f>'Grid_Stock'!CX32</f>
        <v/>
      </c>
      <c r="DA515">
        <f>'Grid_Stock'!CY32</f>
        <v/>
      </c>
      <c r="DB515">
        <f>'Grid_Stock'!CZ32</f>
        <v/>
      </c>
      <c r="DC515">
        <f>'Grid_Stock'!DA32</f>
        <v/>
      </c>
    </row>
    <row r="516">
      <c r="B516" s="26" t="inlineStr">
        <is>
          <t>（発注の目安はDashboardの基準在庫[下限/上限]と色分けを参照）</t>
        </is>
      </c>
    </row>
    <row r="518">
      <c r="A518" s="21" t="inlineStr">
        <is>
          <t>CHEM-1400</t>
        </is>
      </c>
      <c r="B518" s="21" t="inlineStr">
        <is>
          <t>Dispal</t>
        </is>
      </c>
      <c r="C518" s="22" t="n"/>
      <c r="D518" s="21" t="n"/>
      <c r="E518" s="21" t="n"/>
      <c r="F518" s="21" t="n"/>
      <c r="G518" s="21" t="n"/>
      <c r="H518" s="21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  <c r="AA518" s="21" t="n"/>
      <c r="AB518" s="21" t="n"/>
      <c r="AC518" s="21" t="n"/>
      <c r="AD518" s="21" t="n"/>
      <c r="AE518" s="21" t="n"/>
      <c r="AF518" s="21" t="n"/>
      <c r="AG518" s="21" t="n"/>
      <c r="AH518" s="21" t="n"/>
      <c r="AI518" s="21" t="n"/>
      <c r="AJ518" s="21" t="n"/>
      <c r="AK518" s="21" t="n"/>
      <c r="AL518" s="21" t="n"/>
      <c r="AM518" s="21" t="n"/>
      <c r="AN518" s="21" t="n"/>
      <c r="AO518" s="21" t="n"/>
      <c r="AP518" s="21" t="n"/>
      <c r="AQ518" s="21" t="n"/>
      <c r="AR518" s="21" t="n"/>
      <c r="AS518" s="21" t="n"/>
      <c r="AT518" s="21" t="n"/>
      <c r="AU518" s="21" t="n"/>
      <c r="AV518" s="21" t="n"/>
      <c r="AW518" s="21" t="n"/>
      <c r="AX518" s="21" t="n"/>
      <c r="AY518" s="21" t="n"/>
      <c r="AZ518" s="21" t="n"/>
      <c r="BA518" s="21" t="n"/>
      <c r="BB518" s="21" t="n"/>
      <c r="BC518" s="21" t="n"/>
      <c r="BD518" s="21" t="n"/>
      <c r="BE518" s="21" t="n"/>
      <c r="BF518" s="21" t="n"/>
      <c r="BG518" s="21" t="n"/>
      <c r="BH518" s="21" t="n"/>
      <c r="BI518" s="21" t="n"/>
      <c r="BJ518" s="21" t="n"/>
      <c r="BK518" s="21" t="n"/>
      <c r="BL518" s="21" t="n"/>
      <c r="BM518" s="21" t="n"/>
      <c r="BN518" s="21" t="n"/>
      <c r="BO518" s="21" t="n"/>
      <c r="BP518" s="21" t="n"/>
      <c r="BQ518" s="21" t="n"/>
      <c r="BR518" s="21" t="n"/>
      <c r="BS518" s="21" t="n"/>
      <c r="BT518" s="21" t="n"/>
      <c r="BU518" s="21" t="n"/>
      <c r="BV518" s="21" t="n"/>
      <c r="BW518" s="21" t="n"/>
      <c r="BX518" s="21" t="n"/>
      <c r="BY518" s="21" t="n"/>
      <c r="BZ518" s="21" t="n"/>
      <c r="CA518" s="21" t="n"/>
      <c r="CB518" s="21" t="n"/>
      <c r="CC518" s="21" t="n"/>
      <c r="CD518" s="21" t="n"/>
      <c r="CE518" s="21" t="n"/>
      <c r="CF518" s="21" t="n"/>
      <c r="CG518" s="21" t="n"/>
      <c r="CH518" s="21" t="n"/>
      <c r="CI518" s="21" t="n"/>
      <c r="CJ518" s="21" t="n"/>
      <c r="CK518" s="21" t="n"/>
      <c r="CL518" s="21" t="n"/>
      <c r="CM518" s="21" t="n"/>
      <c r="CN518" s="21" t="n"/>
      <c r="CO518" s="21" t="n"/>
      <c r="CP518" s="21" t="n"/>
      <c r="CQ518" s="21" t="n"/>
      <c r="CR518" s="21" t="n"/>
      <c r="CS518" s="21" t="n"/>
      <c r="CT518" s="21" t="n"/>
      <c r="CU518" s="21" t="n"/>
      <c r="CV518" s="21" t="n"/>
      <c r="CW518" s="21" t="n"/>
      <c r="CX518" s="21" t="n"/>
      <c r="CY518" s="21" t="n"/>
      <c r="CZ518" s="21" t="n"/>
      <c r="DA518" s="21" t="n"/>
      <c r="DB518" s="21" t="n"/>
      <c r="DC518" s="21" t="n"/>
    </row>
    <row r="519">
      <c r="B519" t="inlineStr">
        <is>
          <t>TSP-050</t>
        </is>
      </c>
      <c r="C519" t="inlineStr">
        <is>
          <t>No. of batches</t>
        </is>
      </c>
      <c r="D519">
        <f>IFERROR(INDEX(PP_Grid[#Data],$DD519,2),0)</f>
        <v/>
      </c>
      <c r="E519">
        <f>IFERROR(INDEX(PP_Grid[#Data],$DD519,3),0)</f>
        <v/>
      </c>
      <c r="F519">
        <f>IFERROR(INDEX(PP_Grid[#Data],$DD519,4),0)</f>
        <v/>
      </c>
      <c r="G519">
        <f>IFERROR(INDEX(PP_Grid[#Data],$DD519,5),0)</f>
        <v/>
      </c>
      <c r="H519">
        <f>IFERROR(INDEX(PP_Grid[#Data],$DD519,6),0)</f>
        <v/>
      </c>
      <c r="I519">
        <f>IFERROR(INDEX(PP_Grid[#Data],$DD519,7),0)</f>
        <v/>
      </c>
      <c r="J519">
        <f>IFERROR(INDEX(PP_Grid[#Data],$DD519,8),0)</f>
        <v/>
      </c>
      <c r="K519">
        <f>IFERROR(INDEX(PP_Grid[#Data],$DD519,9),0)</f>
        <v/>
      </c>
      <c r="L519">
        <f>IFERROR(INDEX(PP_Grid[#Data],$DD519,10),0)</f>
        <v/>
      </c>
      <c r="M519">
        <f>IFERROR(INDEX(PP_Grid[#Data],$DD519,11),0)</f>
        <v/>
      </c>
      <c r="N519">
        <f>IFERROR(INDEX(PP_Grid[#Data],$DD519,12),0)</f>
        <v/>
      </c>
      <c r="O519">
        <f>IFERROR(INDEX(PP_Grid[#Data],$DD519,13),0)</f>
        <v/>
      </c>
      <c r="P519">
        <f>IFERROR(INDEX(PP_Grid[#Data],$DD519,14),0)</f>
        <v/>
      </c>
      <c r="Q519">
        <f>IFERROR(INDEX(PP_Grid[#Data],$DD519,15),0)</f>
        <v/>
      </c>
      <c r="R519">
        <f>IFERROR(INDEX(PP_Grid[#Data],$DD519,16),0)</f>
        <v/>
      </c>
      <c r="S519">
        <f>IFERROR(INDEX(PP_Grid[#Data],$DD519,17),0)</f>
        <v/>
      </c>
      <c r="T519">
        <f>IFERROR(INDEX(PP_Grid[#Data],$DD519,18),0)</f>
        <v/>
      </c>
      <c r="U519">
        <f>IFERROR(INDEX(PP_Grid[#Data],$DD519,19),0)</f>
        <v/>
      </c>
      <c r="V519">
        <f>IFERROR(INDEX(PP_Grid[#Data],$DD519,20),0)</f>
        <v/>
      </c>
      <c r="W519">
        <f>IFERROR(INDEX(PP_Grid[#Data],$DD519,21),0)</f>
        <v/>
      </c>
      <c r="X519">
        <f>IFERROR(INDEX(PP_Grid[#Data],$DD519,22),0)</f>
        <v/>
      </c>
      <c r="Y519">
        <f>IFERROR(INDEX(PP_Grid[#Data],$DD519,23),0)</f>
        <v/>
      </c>
      <c r="Z519">
        <f>IFERROR(INDEX(PP_Grid[#Data],$DD519,24),0)</f>
        <v/>
      </c>
      <c r="AA519">
        <f>IFERROR(INDEX(PP_Grid[#Data],$DD519,25),0)</f>
        <v/>
      </c>
      <c r="AB519">
        <f>IFERROR(INDEX(PP_Grid[#Data],$DD519,26),0)</f>
        <v/>
      </c>
      <c r="AC519">
        <f>IFERROR(INDEX(PP_Grid[#Data],$DD519,27),0)</f>
        <v/>
      </c>
      <c r="AD519">
        <f>IFERROR(INDEX(PP_Grid[#Data],$DD519,28),0)</f>
        <v/>
      </c>
      <c r="AE519">
        <f>IFERROR(INDEX(PP_Grid[#Data],$DD519,29),0)</f>
        <v/>
      </c>
      <c r="AF519">
        <f>IFERROR(INDEX(PP_Grid[#Data],$DD519,30),0)</f>
        <v/>
      </c>
      <c r="AG519">
        <f>IFERROR(INDEX(PP_Grid[#Data],$DD519,31),0)</f>
        <v/>
      </c>
      <c r="AH519">
        <f>IFERROR(INDEX(PP_Grid[#Data],$DD519,32),0)</f>
        <v/>
      </c>
      <c r="AI519">
        <f>IFERROR(INDEX(PP_Grid[#Data],$DD519,33),0)</f>
        <v/>
      </c>
      <c r="AJ519">
        <f>IFERROR(INDEX(PP_Grid[#Data],$DD519,34),0)</f>
        <v/>
      </c>
      <c r="AK519">
        <f>IFERROR(INDEX(PP_Grid[#Data],$DD519,35),0)</f>
        <v/>
      </c>
      <c r="AL519">
        <f>IFERROR(INDEX(PP_Grid[#Data],$DD519,36),0)</f>
        <v/>
      </c>
      <c r="AM519">
        <f>IFERROR(INDEX(PP_Grid[#Data],$DD519,37),0)</f>
        <v/>
      </c>
      <c r="AN519">
        <f>IFERROR(INDEX(PP_Grid[#Data],$DD519,38),0)</f>
        <v/>
      </c>
      <c r="AO519">
        <f>IFERROR(INDEX(PP_Grid[#Data],$DD519,39),0)</f>
        <v/>
      </c>
      <c r="AP519">
        <f>IFERROR(INDEX(PP_Grid[#Data],$DD519,40),0)</f>
        <v/>
      </c>
      <c r="AQ519">
        <f>IFERROR(INDEX(PP_Grid[#Data],$DD519,41),0)</f>
        <v/>
      </c>
      <c r="AR519">
        <f>IFERROR(INDEX(PP_Grid[#Data],$DD519,42),0)</f>
        <v/>
      </c>
      <c r="AS519">
        <f>IFERROR(INDEX(PP_Grid[#Data],$DD519,43),0)</f>
        <v/>
      </c>
      <c r="AT519">
        <f>IFERROR(INDEX(PP_Grid[#Data],$DD519,44),0)</f>
        <v/>
      </c>
      <c r="AU519">
        <f>IFERROR(INDEX(PP_Grid[#Data],$DD519,45),0)</f>
        <v/>
      </c>
      <c r="AV519">
        <f>IFERROR(INDEX(PP_Grid[#Data],$DD519,46),0)</f>
        <v/>
      </c>
      <c r="AW519">
        <f>IFERROR(INDEX(PP_Grid[#Data],$DD519,47),0)</f>
        <v/>
      </c>
      <c r="AX519">
        <f>IFERROR(INDEX(PP_Grid[#Data],$DD519,48),0)</f>
        <v/>
      </c>
      <c r="AY519">
        <f>IFERROR(INDEX(PP_Grid[#Data],$DD519,49),0)</f>
        <v/>
      </c>
      <c r="AZ519">
        <f>IFERROR(INDEX(PP_Grid[#Data],$DD519,50),0)</f>
        <v/>
      </c>
      <c r="BA519">
        <f>IFERROR(INDEX(PP_Grid[#Data],$DD519,51),0)</f>
        <v/>
      </c>
      <c r="BB519">
        <f>IFERROR(INDEX(PP_Grid[#Data],$DD519,52),0)</f>
        <v/>
      </c>
      <c r="BC519">
        <f>IFERROR(INDEX(PP_Grid[#Data],$DD519,53),0)</f>
        <v/>
      </c>
      <c r="BD519">
        <f>IFERROR(INDEX(PP_Grid[#Data],$DD519,54),0)</f>
        <v/>
      </c>
      <c r="BE519">
        <f>IFERROR(INDEX(PP_Grid[#Data],$DD519,55),0)</f>
        <v/>
      </c>
      <c r="BF519">
        <f>IFERROR(INDEX(PP_Grid[#Data],$DD519,56),0)</f>
        <v/>
      </c>
      <c r="BG519">
        <f>IFERROR(INDEX(PP_Grid[#Data],$DD519,57),0)</f>
        <v/>
      </c>
      <c r="BH519">
        <f>IFERROR(INDEX(PP_Grid[#Data],$DD519,58),0)</f>
        <v/>
      </c>
      <c r="BI519">
        <f>IFERROR(INDEX(PP_Grid[#Data],$DD519,59),0)</f>
        <v/>
      </c>
      <c r="BJ519">
        <f>IFERROR(INDEX(PP_Grid[#Data],$DD519,60),0)</f>
        <v/>
      </c>
      <c r="BK519">
        <f>IFERROR(INDEX(PP_Grid[#Data],$DD519,61),0)</f>
        <v/>
      </c>
      <c r="BL519">
        <f>IFERROR(INDEX(PP_Grid[#Data],$DD519,62),0)</f>
        <v/>
      </c>
      <c r="BM519">
        <f>IFERROR(INDEX(PP_Grid[#Data],$DD519,63),0)</f>
        <v/>
      </c>
      <c r="BN519">
        <f>IFERROR(INDEX(PP_Grid[#Data],$DD519,64),0)</f>
        <v/>
      </c>
      <c r="BO519">
        <f>IFERROR(INDEX(PP_Grid[#Data],$DD519,65),0)</f>
        <v/>
      </c>
      <c r="BP519">
        <f>IFERROR(INDEX(PP_Grid[#Data],$DD519,66),0)</f>
        <v/>
      </c>
      <c r="BQ519">
        <f>IFERROR(INDEX(PP_Grid[#Data],$DD519,67),0)</f>
        <v/>
      </c>
      <c r="BR519">
        <f>IFERROR(INDEX(PP_Grid[#Data],$DD519,68),0)</f>
        <v/>
      </c>
      <c r="BS519">
        <f>IFERROR(INDEX(PP_Grid[#Data],$DD519,69),0)</f>
        <v/>
      </c>
      <c r="BT519">
        <f>IFERROR(INDEX(PP_Grid[#Data],$DD519,70),0)</f>
        <v/>
      </c>
      <c r="BU519">
        <f>IFERROR(INDEX(PP_Grid[#Data],$DD519,71),0)</f>
        <v/>
      </c>
      <c r="BV519">
        <f>IFERROR(INDEX(PP_Grid[#Data],$DD519,72),0)</f>
        <v/>
      </c>
      <c r="BW519">
        <f>IFERROR(INDEX(PP_Grid[#Data],$DD519,73),0)</f>
        <v/>
      </c>
      <c r="BX519">
        <f>IFERROR(INDEX(PP_Grid[#Data],$DD519,74),0)</f>
        <v/>
      </c>
      <c r="BY519">
        <f>IFERROR(INDEX(PP_Grid[#Data],$DD519,75),0)</f>
        <v/>
      </c>
      <c r="BZ519">
        <f>IFERROR(INDEX(PP_Grid[#Data],$DD519,76),0)</f>
        <v/>
      </c>
      <c r="CA519">
        <f>IFERROR(INDEX(PP_Grid[#Data],$DD519,77),0)</f>
        <v/>
      </c>
      <c r="CB519">
        <f>IFERROR(INDEX(PP_Grid[#Data],$DD519,78),0)</f>
        <v/>
      </c>
      <c r="CC519">
        <f>IFERROR(INDEX(PP_Grid[#Data],$DD519,79),0)</f>
        <v/>
      </c>
      <c r="CD519">
        <f>IFERROR(INDEX(PP_Grid[#Data],$DD519,80),0)</f>
        <v/>
      </c>
      <c r="CE519">
        <f>IFERROR(INDEX(PP_Grid[#Data],$DD519,81),0)</f>
        <v/>
      </c>
      <c r="CF519">
        <f>IFERROR(INDEX(PP_Grid[#Data],$DD519,82),0)</f>
        <v/>
      </c>
      <c r="CG519">
        <f>IFERROR(INDEX(PP_Grid[#Data],$DD519,83),0)</f>
        <v/>
      </c>
      <c r="CH519">
        <f>IFERROR(INDEX(PP_Grid[#Data],$DD519,84),0)</f>
        <v/>
      </c>
      <c r="CI519">
        <f>IFERROR(INDEX(PP_Grid[#Data],$DD519,85),0)</f>
        <v/>
      </c>
      <c r="CJ519">
        <f>IFERROR(INDEX(PP_Grid[#Data],$DD519,86),0)</f>
        <v/>
      </c>
      <c r="CK519">
        <f>IFERROR(INDEX(PP_Grid[#Data],$DD519,87),0)</f>
        <v/>
      </c>
      <c r="CL519">
        <f>IFERROR(INDEX(PP_Grid[#Data],$DD519,88),0)</f>
        <v/>
      </c>
      <c r="CM519">
        <f>IFERROR(INDEX(PP_Grid[#Data],$DD519,89),0)</f>
        <v/>
      </c>
      <c r="CN519">
        <f>IFERROR(INDEX(PP_Grid[#Data],$DD519,90),0)</f>
        <v/>
      </c>
      <c r="CO519">
        <f>IFERROR(INDEX(PP_Grid[#Data],$DD519,91),0)</f>
        <v/>
      </c>
      <c r="CP519">
        <f>IFERROR(INDEX(PP_Grid[#Data],$DD519,92),0)</f>
        <v/>
      </c>
      <c r="CQ519">
        <f>IFERROR(INDEX(PP_Grid[#Data],$DD519,93),0)</f>
        <v/>
      </c>
      <c r="CR519">
        <f>IFERROR(INDEX(PP_Grid[#Data],$DD519,94),0)</f>
        <v/>
      </c>
      <c r="CS519">
        <f>IFERROR(INDEX(PP_Grid[#Data],$DD519,95),0)</f>
        <v/>
      </c>
      <c r="CT519">
        <f>IFERROR(INDEX(PP_Grid[#Data],$DD519,96),0)</f>
        <v/>
      </c>
      <c r="CU519">
        <f>IFERROR(INDEX(PP_Grid[#Data],$DD519,97),0)</f>
        <v/>
      </c>
      <c r="CV519">
        <f>IFERROR(INDEX(PP_Grid[#Data],$DD519,98),0)</f>
        <v/>
      </c>
      <c r="CW519">
        <f>IFERROR(INDEX(PP_Grid[#Data],$DD519,99),0)</f>
        <v/>
      </c>
      <c r="CX519">
        <f>IFERROR(INDEX(PP_Grid[#Data],$DD519,100),0)</f>
        <v/>
      </c>
      <c r="CY519">
        <f>IFERROR(INDEX(PP_Grid[#Data],$DD519,101),0)</f>
        <v/>
      </c>
      <c r="CZ519">
        <f>IFERROR(INDEX(PP_Grid[#Data],$DD519,102),0)</f>
        <v/>
      </c>
      <c r="DA519">
        <f>IFERROR(INDEX(PP_Grid[#Data],$DD519,103),0)</f>
        <v/>
      </c>
      <c r="DB519">
        <f>IFERROR(INDEX(PP_Grid[#Data],$DD519,104),0)</f>
        <v/>
      </c>
      <c r="DC519">
        <f>IFERROR(INDEX(PP_Grid[#Data],$DD519,105),0)</f>
        <v/>
      </c>
      <c r="DD519" s="12">
        <f>IFERROR(MATCH($B519,PP_Grid[Intermediate],0),99999)</f>
        <v/>
      </c>
    </row>
    <row r="520">
      <c r="B520" t="inlineStr">
        <is>
          <t>使用量(kg)</t>
        </is>
      </c>
      <c r="C520">
        <f>SUMIFS(M_BOM[RM_Qty_Per_Batch],M_BOM[Intermediate],$B519,M_BOM[Part Name],$A518)</f>
        <v/>
      </c>
      <c r="D520">
        <f>$C520*D519</f>
        <v/>
      </c>
      <c r="E520">
        <f>$C520*E519</f>
        <v/>
      </c>
      <c r="F520">
        <f>$C520*F519</f>
        <v/>
      </c>
      <c r="G520">
        <f>$C520*G519</f>
        <v/>
      </c>
      <c r="H520">
        <f>$C520*H519</f>
        <v/>
      </c>
      <c r="I520">
        <f>$C520*I519</f>
        <v/>
      </c>
      <c r="J520">
        <f>$C520*J519</f>
        <v/>
      </c>
      <c r="K520">
        <f>$C520*K519</f>
        <v/>
      </c>
      <c r="L520">
        <f>$C520*L519</f>
        <v/>
      </c>
      <c r="M520">
        <f>$C520*M519</f>
        <v/>
      </c>
      <c r="N520">
        <f>$C520*N519</f>
        <v/>
      </c>
      <c r="O520">
        <f>$C520*O519</f>
        <v/>
      </c>
      <c r="P520">
        <f>$C520*P519</f>
        <v/>
      </c>
      <c r="Q520">
        <f>$C520*Q519</f>
        <v/>
      </c>
      <c r="R520">
        <f>$C520*R519</f>
        <v/>
      </c>
      <c r="S520">
        <f>$C520*S519</f>
        <v/>
      </c>
      <c r="T520">
        <f>$C520*T519</f>
        <v/>
      </c>
      <c r="U520">
        <f>$C520*U519</f>
        <v/>
      </c>
      <c r="V520">
        <f>$C520*V519</f>
        <v/>
      </c>
      <c r="W520">
        <f>$C520*W519</f>
        <v/>
      </c>
      <c r="X520">
        <f>$C520*X519</f>
        <v/>
      </c>
      <c r="Y520">
        <f>$C520*Y519</f>
        <v/>
      </c>
      <c r="Z520">
        <f>$C520*Z519</f>
        <v/>
      </c>
      <c r="AA520">
        <f>$C520*AA519</f>
        <v/>
      </c>
      <c r="AB520">
        <f>$C520*AB519</f>
        <v/>
      </c>
      <c r="AC520">
        <f>$C520*AC519</f>
        <v/>
      </c>
      <c r="AD520">
        <f>$C520*AD519</f>
        <v/>
      </c>
      <c r="AE520">
        <f>$C520*AE519</f>
        <v/>
      </c>
      <c r="AF520">
        <f>$C520*AF519</f>
        <v/>
      </c>
      <c r="AG520">
        <f>$C520*AG519</f>
        <v/>
      </c>
      <c r="AH520">
        <f>$C520*AH519</f>
        <v/>
      </c>
      <c r="AI520">
        <f>$C520*AI519</f>
        <v/>
      </c>
      <c r="AJ520">
        <f>$C520*AJ519</f>
        <v/>
      </c>
      <c r="AK520">
        <f>$C520*AK519</f>
        <v/>
      </c>
      <c r="AL520">
        <f>$C520*AL519</f>
        <v/>
      </c>
      <c r="AM520">
        <f>$C520*AM519</f>
        <v/>
      </c>
      <c r="AN520">
        <f>$C520*AN519</f>
        <v/>
      </c>
      <c r="AO520">
        <f>$C520*AO519</f>
        <v/>
      </c>
      <c r="AP520">
        <f>$C520*AP519</f>
        <v/>
      </c>
      <c r="AQ520">
        <f>$C520*AQ519</f>
        <v/>
      </c>
      <c r="AR520">
        <f>$C520*AR519</f>
        <v/>
      </c>
      <c r="AS520">
        <f>$C520*AS519</f>
        <v/>
      </c>
      <c r="AT520">
        <f>$C520*AT519</f>
        <v/>
      </c>
      <c r="AU520">
        <f>$C520*AU519</f>
        <v/>
      </c>
      <c r="AV520">
        <f>$C520*AV519</f>
        <v/>
      </c>
      <c r="AW520">
        <f>$C520*AW519</f>
        <v/>
      </c>
      <c r="AX520">
        <f>$C520*AX519</f>
        <v/>
      </c>
      <c r="AY520">
        <f>$C520*AY519</f>
        <v/>
      </c>
      <c r="AZ520">
        <f>$C520*AZ519</f>
        <v/>
      </c>
      <c r="BA520">
        <f>$C520*BA519</f>
        <v/>
      </c>
      <c r="BB520">
        <f>$C520*BB519</f>
        <v/>
      </c>
      <c r="BC520">
        <f>$C520*BC519</f>
        <v/>
      </c>
      <c r="BD520">
        <f>$C520*BD519</f>
        <v/>
      </c>
      <c r="BE520">
        <f>$C520*BE519</f>
        <v/>
      </c>
      <c r="BF520">
        <f>$C520*BF519</f>
        <v/>
      </c>
      <c r="BG520">
        <f>$C520*BG519</f>
        <v/>
      </c>
      <c r="BH520">
        <f>$C520*BH519</f>
        <v/>
      </c>
      <c r="BI520">
        <f>$C520*BI519</f>
        <v/>
      </c>
      <c r="BJ520">
        <f>$C520*BJ519</f>
        <v/>
      </c>
      <c r="BK520">
        <f>$C520*BK519</f>
        <v/>
      </c>
      <c r="BL520">
        <f>$C520*BL519</f>
        <v/>
      </c>
      <c r="BM520">
        <f>$C520*BM519</f>
        <v/>
      </c>
      <c r="BN520">
        <f>$C520*BN519</f>
        <v/>
      </c>
      <c r="BO520">
        <f>$C520*BO519</f>
        <v/>
      </c>
      <c r="BP520">
        <f>$C520*BP519</f>
        <v/>
      </c>
      <c r="BQ520">
        <f>$C520*BQ519</f>
        <v/>
      </c>
      <c r="BR520">
        <f>$C520*BR519</f>
        <v/>
      </c>
      <c r="BS520">
        <f>$C520*BS519</f>
        <v/>
      </c>
      <c r="BT520">
        <f>$C520*BT519</f>
        <v/>
      </c>
      <c r="BU520">
        <f>$C520*BU519</f>
        <v/>
      </c>
      <c r="BV520">
        <f>$C520*BV519</f>
        <v/>
      </c>
      <c r="BW520">
        <f>$C520*BW519</f>
        <v/>
      </c>
      <c r="BX520">
        <f>$C520*BX519</f>
        <v/>
      </c>
      <c r="BY520">
        <f>$C520*BY519</f>
        <v/>
      </c>
      <c r="BZ520">
        <f>$C520*BZ519</f>
        <v/>
      </c>
      <c r="CA520">
        <f>$C520*CA519</f>
        <v/>
      </c>
      <c r="CB520">
        <f>$C520*CB519</f>
        <v/>
      </c>
      <c r="CC520">
        <f>$C520*CC519</f>
        <v/>
      </c>
      <c r="CD520">
        <f>$C520*CD519</f>
        <v/>
      </c>
      <c r="CE520">
        <f>$C520*CE519</f>
        <v/>
      </c>
      <c r="CF520">
        <f>$C520*CF519</f>
        <v/>
      </c>
      <c r="CG520">
        <f>$C520*CG519</f>
        <v/>
      </c>
      <c r="CH520">
        <f>$C520*CH519</f>
        <v/>
      </c>
      <c r="CI520">
        <f>$C520*CI519</f>
        <v/>
      </c>
      <c r="CJ520">
        <f>$C520*CJ519</f>
        <v/>
      </c>
      <c r="CK520">
        <f>$C520*CK519</f>
        <v/>
      </c>
      <c r="CL520">
        <f>$C520*CL519</f>
        <v/>
      </c>
      <c r="CM520">
        <f>$C520*CM519</f>
        <v/>
      </c>
      <c r="CN520">
        <f>$C520*CN519</f>
        <v/>
      </c>
      <c r="CO520">
        <f>$C520*CO519</f>
        <v/>
      </c>
      <c r="CP520">
        <f>$C520*CP519</f>
        <v/>
      </c>
      <c r="CQ520">
        <f>$C520*CQ519</f>
        <v/>
      </c>
      <c r="CR520">
        <f>$C520*CR519</f>
        <v/>
      </c>
      <c r="CS520">
        <f>$C520*CS519</f>
        <v/>
      </c>
      <c r="CT520">
        <f>$C520*CT519</f>
        <v/>
      </c>
      <c r="CU520">
        <f>$C520*CU519</f>
        <v/>
      </c>
      <c r="CV520">
        <f>$C520*CV519</f>
        <v/>
      </c>
      <c r="CW520">
        <f>$C520*CW519</f>
        <v/>
      </c>
      <c r="CX520">
        <f>$C520*CX519</f>
        <v/>
      </c>
      <c r="CY520">
        <f>$C520*CY519</f>
        <v/>
      </c>
      <c r="CZ520">
        <f>$C520*CZ519</f>
        <v/>
      </c>
      <c r="DA520">
        <f>$C520*DA519</f>
        <v/>
      </c>
      <c r="DB520">
        <f>$C520*DB519</f>
        <v/>
      </c>
      <c r="DC520">
        <f>$C520*DC519</f>
        <v/>
      </c>
    </row>
    <row r="521">
      <c r="B521" t="inlineStr">
        <is>
          <t>TSP-078</t>
        </is>
      </c>
      <c r="C521" t="inlineStr">
        <is>
          <t>No. of batches</t>
        </is>
      </c>
      <c r="D521">
        <f>IFERROR(INDEX(PP_Grid[#Data],$DD521,2),0)</f>
        <v/>
      </c>
      <c r="E521">
        <f>IFERROR(INDEX(PP_Grid[#Data],$DD521,3),0)</f>
        <v/>
      </c>
      <c r="F521">
        <f>IFERROR(INDEX(PP_Grid[#Data],$DD521,4),0)</f>
        <v/>
      </c>
      <c r="G521">
        <f>IFERROR(INDEX(PP_Grid[#Data],$DD521,5),0)</f>
        <v/>
      </c>
      <c r="H521">
        <f>IFERROR(INDEX(PP_Grid[#Data],$DD521,6),0)</f>
        <v/>
      </c>
      <c r="I521">
        <f>IFERROR(INDEX(PP_Grid[#Data],$DD521,7),0)</f>
        <v/>
      </c>
      <c r="J521">
        <f>IFERROR(INDEX(PP_Grid[#Data],$DD521,8),0)</f>
        <v/>
      </c>
      <c r="K521">
        <f>IFERROR(INDEX(PP_Grid[#Data],$DD521,9),0)</f>
        <v/>
      </c>
      <c r="L521">
        <f>IFERROR(INDEX(PP_Grid[#Data],$DD521,10),0)</f>
        <v/>
      </c>
      <c r="M521">
        <f>IFERROR(INDEX(PP_Grid[#Data],$DD521,11),0)</f>
        <v/>
      </c>
      <c r="N521">
        <f>IFERROR(INDEX(PP_Grid[#Data],$DD521,12),0)</f>
        <v/>
      </c>
      <c r="O521">
        <f>IFERROR(INDEX(PP_Grid[#Data],$DD521,13),0)</f>
        <v/>
      </c>
      <c r="P521">
        <f>IFERROR(INDEX(PP_Grid[#Data],$DD521,14),0)</f>
        <v/>
      </c>
      <c r="Q521">
        <f>IFERROR(INDEX(PP_Grid[#Data],$DD521,15),0)</f>
        <v/>
      </c>
      <c r="R521">
        <f>IFERROR(INDEX(PP_Grid[#Data],$DD521,16),0)</f>
        <v/>
      </c>
      <c r="S521">
        <f>IFERROR(INDEX(PP_Grid[#Data],$DD521,17),0)</f>
        <v/>
      </c>
      <c r="T521">
        <f>IFERROR(INDEX(PP_Grid[#Data],$DD521,18),0)</f>
        <v/>
      </c>
      <c r="U521">
        <f>IFERROR(INDEX(PP_Grid[#Data],$DD521,19),0)</f>
        <v/>
      </c>
      <c r="V521">
        <f>IFERROR(INDEX(PP_Grid[#Data],$DD521,20),0)</f>
        <v/>
      </c>
      <c r="W521">
        <f>IFERROR(INDEX(PP_Grid[#Data],$DD521,21),0)</f>
        <v/>
      </c>
      <c r="X521">
        <f>IFERROR(INDEX(PP_Grid[#Data],$DD521,22),0)</f>
        <v/>
      </c>
      <c r="Y521">
        <f>IFERROR(INDEX(PP_Grid[#Data],$DD521,23),0)</f>
        <v/>
      </c>
      <c r="Z521">
        <f>IFERROR(INDEX(PP_Grid[#Data],$DD521,24),0)</f>
        <v/>
      </c>
      <c r="AA521">
        <f>IFERROR(INDEX(PP_Grid[#Data],$DD521,25),0)</f>
        <v/>
      </c>
      <c r="AB521">
        <f>IFERROR(INDEX(PP_Grid[#Data],$DD521,26),0)</f>
        <v/>
      </c>
      <c r="AC521">
        <f>IFERROR(INDEX(PP_Grid[#Data],$DD521,27),0)</f>
        <v/>
      </c>
      <c r="AD521">
        <f>IFERROR(INDEX(PP_Grid[#Data],$DD521,28),0)</f>
        <v/>
      </c>
      <c r="AE521">
        <f>IFERROR(INDEX(PP_Grid[#Data],$DD521,29),0)</f>
        <v/>
      </c>
      <c r="AF521">
        <f>IFERROR(INDEX(PP_Grid[#Data],$DD521,30),0)</f>
        <v/>
      </c>
      <c r="AG521">
        <f>IFERROR(INDEX(PP_Grid[#Data],$DD521,31),0)</f>
        <v/>
      </c>
      <c r="AH521">
        <f>IFERROR(INDEX(PP_Grid[#Data],$DD521,32),0)</f>
        <v/>
      </c>
      <c r="AI521">
        <f>IFERROR(INDEX(PP_Grid[#Data],$DD521,33),0)</f>
        <v/>
      </c>
      <c r="AJ521">
        <f>IFERROR(INDEX(PP_Grid[#Data],$DD521,34),0)</f>
        <v/>
      </c>
      <c r="AK521">
        <f>IFERROR(INDEX(PP_Grid[#Data],$DD521,35),0)</f>
        <v/>
      </c>
      <c r="AL521">
        <f>IFERROR(INDEX(PP_Grid[#Data],$DD521,36),0)</f>
        <v/>
      </c>
      <c r="AM521">
        <f>IFERROR(INDEX(PP_Grid[#Data],$DD521,37),0)</f>
        <v/>
      </c>
      <c r="AN521">
        <f>IFERROR(INDEX(PP_Grid[#Data],$DD521,38),0)</f>
        <v/>
      </c>
      <c r="AO521">
        <f>IFERROR(INDEX(PP_Grid[#Data],$DD521,39),0)</f>
        <v/>
      </c>
      <c r="AP521">
        <f>IFERROR(INDEX(PP_Grid[#Data],$DD521,40),0)</f>
        <v/>
      </c>
      <c r="AQ521">
        <f>IFERROR(INDEX(PP_Grid[#Data],$DD521,41),0)</f>
        <v/>
      </c>
      <c r="AR521">
        <f>IFERROR(INDEX(PP_Grid[#Data],$DD521,42),0)</f>
        <v/>
      </c>
      <c r="AS521">
        <f>IFERROR(INDEX(PP_Grid[#Data],$DD521,43),0)</f>
        <v/>
      </c>
      <c r="AT521">
        <f>IFERROR(INDEX(PP_Grid[#Data],$DD521,44),0)</f>
        <v/>
      </c>
      <c r="AU521">
        <f>IFERROR(INDEX(PP_Grid[#Data],$DD521,45),0)</f>
        <v/>
      </c>
      <c r="AV521">
        <f>IFERROR(INDEX(PP_Grid[#Data],$DD521,46),0)</f>
        <v/>
      </c>
      <c r="AW521">
        <f>IFERROR(INDEX(PP_Grid[#Data],$DD521,47),0)</f>
        <v/>
      </c>
      <c r="AX521">
        <f>IFERROR(INDEX(PP_Grid[#Data],$DD521,48),0)</f>
        <v/>
      </c>
      <c r="AY521">
        <f>IFERROR(INDEX(PP_Grid[#Data],$DD521,49),0)</f>
        <v/>
      </c>
      <c r="AZ521">
        <f>IFERROR(INDEX(PP_Grid[#Data],$DD521,50),0)</f>
        <v/>
      </c>
      <c r="BA521">
        <f>IFERROR(INDEX(PP_Grid[#Data],$DD521,51),0)</f>
        <v/>
      </c>
      <c r="BB521">
        <f>IFERROR(INDEX(PP_Grid[#Data],$DD521,52),0)</f>
        <v/>
      </c>
      <c r="BC521">
        <f>IFERROR(INDEX(PP_Grid[#Data],$DD521,53),0)</f>
        <v/>
      </c>
      <c r="BD521">
        <f>IFERROR(INDEX(PP_Grid[#Data],$DD521,54),0)</f>
        <v/>
      </c>
      <c r="BE521">
        <f>IFERROR(INDEX(PP_Grid[#Data],$DD521,55),0)</f>
        <v/>
      </c>
      <c r="BF521">
        <f>IFERROR(INDEX(PP_Grid[#Data],$DD521,56),0)</f>
        <v/>
      </c>
      <c r="BG521">
        <f>IFERROR(INDEX(PP_Grid[#Data],$DD521,57),0)</f>
        <v/>
      </c>
      <c r="BH521">
        <f>IFERROR(INDEX(PP_Grid[#Data],$DD521,58),0)</f>
        <v/>
      </c>
      <c r="BI521">
        <f>IFERROR(INDEX(PP_Grid[#Data],$DD521,59),0)</f>
        <v/>
      </c>
      <c r="BJ521">
        <f>IFERROR(INDEX(PP_Grid[#Data],$DD521,60),0)</f>
        <v/>
      </c>
      <c r="BK521">
        <f>IFERROR(INDEX(PP_Grid[#Data],$DD521,61),0)</f>
        <v/>
      </c>
      <c r="BL521">
        <f>IFERROR(INDEX(PP_Grid[#Data],$DD521,62),0)</f>
        <v/>
      </c>
      <c r="BM521">
        <f>IFERROR(INDEX(PP_Grid[#Data],$DD521,63),0)</f>
        <v/>
      </c>
      <c r="BN521">
        <f>IFERROR(INDEX(PP_Grid[#Data],$DD521,64),0)</f>
        <v/>
      </c>
      <c r="BO521">
        <f>IFERROR(INDEX(PP_Grid[#Data],$DD521,65),0)</f>
        <v/>
      </c>
      <c r="BP521">
        <f>IFERROR(INDEX(PP_Grid[#Data],$DD521,66),0)</f>
        <v/>
      </c>
      <c r="BQ521">
        <f>IFERROR(INDEX(PP_Grid[#Data],$DD521,67),0)</f>
        <v/>
      </c>
      <c r="BR521">
        <f>IFERROR(INDEX(PP_Grid[#Data],$DD521,68),0)</f>
        <v/>
      </c>
      <c r="BS521">
        <f>IFERROR(INDEX(PP_Grid[#Data],$DD521,69),0)</f>
        <v/>
      </c>
      <c r="BT521">
        <f>IFERROR(INDEX(PP_Grid[#Data],$DD521,70),0)</f>
        <v/>
      </c>
      <c r="BU521">
        <f>IFERROR(INDEX(PP_Grid[#Data],$DD521,71),0)</f>
        <v/>
      </c>
      <c r="BV521">
        <f>IFERROR(INDEX(PP_Grid[#Data],$DD521,72),0)</f>
        <v/>
      </c>
      <c r="BW521">
        <f>IFERROR(INDEX(PP_Grid[#Data],$DD521,73),0)</f>
        <v/>
      </c>
      <c r="BX521">
        <f>IFERROR(INDEX(PP_Grid[#Data],$DD521,74),0)</f>
        <v/>
      </c>
      <c r="BY521">
        <f>IFERROR(INDEX(PP_Grid[#Data],$DD521,75),0)</f>
        <v/>
      </c>
      <c r="BZ521">
        <f>IFERROR(INDEX(PP_Grid[#Data],$DD521,76),0)</f>
        <v/>
      </c>
      <c r="CA521">
        <f>IFERROR(INDEX(PP_Grid[#Data],$DD521,77),0)</f>
        <v/>
      </c>
      <c r="CB521">
        <f>IFERROR(INDEX(PP_Grid[#Data],$DD521,78),0)</f>
        <v/>
      </c>
      <c r="CC521">
        <f>IFERROR(INDEX(PP_Grid[#Data],$DD521,79),0)</f>
        <v/>
      </c>
      <c r="CD521">
        <f>IFERROR(INDEX(PP_Grid[#Data],$DD521,80),0)</f>
        <v/>
      </c>
      <c r="CE521">
        <f>IFERROR(INDEX(PP_Grid[#Data],$DD521,81),0)</f>
        <v/>
      </c>
      <c r="CF521">
        <f>IFERROR(INDEX(PP_Grid[#Data],$DD521,82),0)</f>
        <v/>
      </c>
      <c r="CG521">
        <f>IFERROR(INDEX(PP_Grid[#Data],$DD521,83),0)</f>
        <v/>
      </c>
      <c r="CH521">
        <f>IFERROR(INDEX(PP_Grid[#Data],$DD521,84),0)</f>
        <v/>
      </c>
      <c r="CI521">
        <f>IFERROR(INDEX(PP_Grid[#Data],$DD521,85),0)</f>
        <v/>
      </c>
      <c r="CJ521">
        <f>IFERROR(INDEX(PP_Grid[#Data],$DD521,86),0)</f>
        <v/>
      </c>
      <c r="CK521">
        <f>IFERROR(INDEX(PP_Grid[#Data],$DD521,87),0)</f>
        <v/>
      </c>
      <c r="CL521">
        <f>IFERROR(INDEX(PP_Grid[#Data],$DD521,88),0)</f>
        <v/>
      </c>
      <c r="CM521">
        <f>IFERROR(INDEX(PP_Grid[#Data],$DD521,89),0)</f>
        <v/>
      </c>
      <c r="CN521">
        <f>IFERROR(INDEX(PP_Grid[#Data],$DD521,90),0)</f>
        <v/>
      </c>
      <c r="CO521">
        <f>IFERROR(INDEX(PP_Grid[#Data],$DD521,91),0)</f>
        <v/>
      </c>
      <c r="CP521">
        <f>IFERROR(INDEX(PP_Grid[#Data],$DD521,92),0)</f>
        <v/>
      </c>
      <c r="CQ521">
        <f>IFERROR(INDEX(PP_Grid[#Data],$DD521,93),0)</f>
        <v/>
      </c>
      <c r="CR521">
        <f>IFERROR(INDEX(PP_Grid[#Data],$DD521,94),0)</f>
        <v/>
      </c>
      <c r="CS521">
        <f>IFERROR(INDEX(PP_Grid[#Data],$DD521,95),0)</f>
        <v/>
      </c>
      <c r="CT521">
        <f>IFERROR(INDEX(PP_Grid[#Data],$DD521,96),0)</f>
        <v/>
      </c>
      <c r="CU521">
        <f>IFERROR(INDEX(PP_Grid[#Data],$DD521,97),0)</f>
        <v/>
      </c>
      <c r="CV521">
        <f>IFERROR(INDEX(PP_Grid[#Data],$DD521,98),0)</f>
        <v/>
      </c>
      <c r="CW521">
        <f>IFERROR(INDEX(PP_Grid[#Data],$DD521,99),0)</f>
        <v/>
      </c>
      <c r="CX521">
        <f>IFERROR(INDEX(PP_Grid[#Data],$DD521,100),0)</f>
        <v/>
      </c>
      <c r="CY521">
        <f>IFERROR(INDEX(PP_Grid[#Data],$DD521,101),0)</f>
        <v/>
      </c>
      <c r="CZ521">
        <f>IFERROR(INDEX(PP_Grid[#Data],$DD521,102),0)</f>
        <v/>
      </c>
      <c r="DA521">
        <f>IFERROR(INDEX(PP_Grid[#Data],$DD521,103),0)</f>
        <v/>
      </c>
      <c r="DB521">
        <f>IFERROR(INDEX(PP_Grid[#Data],$DD521,104),0)</f>
        <v/>
      </c>
      <c r="DC521">
        <f>IFERROR(INDEX(PP_Grid[#Data],$DD521,105),0)</f>
        <v/>
      </c>
      <c r="DD521" s="12">
        <f>IFERROR(MATCH($B521,PP_Grid[Intermediate],0),99999)</f>
        <v/>
      </c>
    </row>
    <row r="522">
      <c r="B522" t="inlineStr">
        <is>
          <t>使用量(kg)</t>
        </is>
      </c>
      <c r="C522">
        <f>SUMIFS(M_BOM[RM_Qty_Per_Batch],M_BOM[Intermediate],$B521,M_BOM[Part Name],$A518)</f>
        <v/>
      </c>
      <c r="D522">
        <f>$C522*D521</f>
        <v/>
      </c>
      <c r="E522">
        <f>$C522*E521</f>
        <v/>
      </c>
      <c r="F522">
        <f>$C522*F521</f>
        <v/>
      </c>
      <c r="G522">
        <f>$C522*G521</f>
        <v/>
      </c>
      <c r="H522">
        <f>$C522*H521</f>
        <v/>
      </c>
      <c r="I522">
        <f>$C522*I521</f>
        <v/>
      </c>
      <c r="J522">
        <f>$C522*J521</f>
        <v/>
      </c>
      <c r="K522">
        <f>$C522*K521</f>
        <v/>
      </c>
      <c r="L522">
        <f>$C522*L521</f>
        <v/>
      </c>
      <c r="M522">
        <f>$C522*M521</f>
        <v/>
      </c>
      <c r="N522">
        <f>$C522*N521</f>
        <v/>
      </c>
      <c r="O522">
        <f>$C522*O521</f>
        <v/>
      </c>
      <c r="P522">
        <f>$C522*P521</f>
        <v/>
      </c>
      <c r="Q522">
        <f>$C522*Q521</f>
        <v/>
      </c>
      <c r="R522">
        <f>$C522*R521</f>
        <v/>
      </c>
      <c r="S522">
        <f>$C522*S521</f>
        <v/>
      </c>
      <c r="T522">
        <f>$C522*T521</f>
        <v/>
      </c>
      <c r="U522">
        <f>$C522*U521</f>
        <v/>
      </c>
      <c r="V522">
        <f>$C522*V521</f>
        <v/>
      </c>
      <c r="W522">
        <f>$C522*W521</f>
        <v/>
      </c>
      <c r="X522">
        <f>$C522*X521</f>
        <v/>
      </c>
      <c r="Y522">
        <f>$C522*Y521</f>
        <v/>
      </c>
      <c r="Z522">
        <f>$C522*Z521</f>
        <v/>
      </c>
      <c r="AA522">
        <f>$C522*AA521</f>
        <v/>
      </c>
      <c r="AB522">
        <f>$C522*AB521</f>
        <v/>
      </c>
      <c r="AC522">
        <f>$C522*AC521</f>
        <v/>
      </c>
      <c r="AD522">
        <f>$C522*AD521</f>
        <v/>
      </c>
      <c r="AE522">
        <f>$C522*AE521</f>
        <v/>
      </c>
      <c r="AF522">
        <f>$C522*AF521</f>
        <v/>
      </c>
      <c r="AG522">
        <f>$C522*AG521</f>
        <v/>
      </c>
      <c r="AH522">
        <f>$C522*AH521</f>
        <v/>
      </c>
      <c r="AI522">
        <f>$C522*AI521</f>
        <v/>
      </c>
      <c r="AJ522">
        <f>$C522*AJ521</f>
        <v/>
      </c>
      <c r="AK522">
        <f>$C522*AK521</f>
        <v/>
      </c>
      <c r="AL522">
        <f>$C522*AL521</f>
        <v/>
      </c>
      <c r="AM522">
        <f>$C522*AM521</f>
        <v/>
      </c>
      <c r="AN522">
        <f>$C522*AN521</f>
        <v/>
      </c>
      <c r="AO522">
        <f>$C522*AO521</f>
        <v/>
      </c>
      <c r="AP522">
        <f>$C522*AP521</f>
        <v/>
      </c>
      <c r="AQ522">
        <f>$C522*AQ521</f>
        <v/>
      </c>
      <c r="AR522">
        <f>$C522*AR521</f>
        <v/>
      </c>
      <c r="AS522">
        <f>$C522*AS521</f>
        <v/>
      </c>
      <c r="AT522">
        <f>$C522*AT521</f>
        <v/>
      </c>
      <c r="AU522">
        <f>$C522*AU521</f>
        <v/>
      </c>
      <c r="AV522">
        <f>$C522*AV521</f>
        <v/>
      </c>
      <c r="AW522">
        <f>$C522*AW521</f>
        <v/>
      </c>
      <c r="AX522">
        <f>$C522*AX521</f>
        <v/>
      </c>
      <c r="AY522">
        <f>$C522*AY521</f>
        <v/>
      </c>
      <c r="AZ522">
        <f>$C522*AZ521</f>
        <v/>
      </c>
      <c r="BA522">
        <f>$C522*BA521</f>
        <v/>
      </c>
      <c r="BB522">
        <f>$C522*BB521</f>
        <v/>
      </c>
      <c r="BC522">
        <f>$C522*BC521</f>
        <v/>
      </c>
      <c r="BD522">
        <f>$C522*BD521</f>
        <v/>
      </c>
      <c r="BE522">
        <f>$C522*BE521</f>
        <v/>
      </c>
      <c r="BF522">
        <f>$C522*BF521</f>
        <v/>
      </c>
      <c r="BG522">
        <f>$C522*BG521</f>
        <v/>
      </c>
      <c r="BH522">
        <f>$C522*BH521</f>
        <v/>
      </c>
      <c r="BI522">
        <f>$C522*BI521</f>
        <v/>
      </c>
      <c r="BJ522">
        <f>$C522*BJ521</f>
        <v/>
      </c>
      <c r="BK522">
        <f>$C522*BK521</f>
        <v/>
      </c>
      <c r="BL522">
        <f>$C522*BL521</f>
        <v/>
      </c>
      <c r="BM522">
        <f>$C522*BM521</f>
        <v/>
      </c>
      <c r="BN522">
        <f>$C522*BN521</f>
        <v/>
      </c>
      <c r="BO522">
        <f>$C522*BO521</f>
        <v/>
      </c>
      <c r="BP522">
        <f>$C522*BP521</f>
        <v/>
      </c>
      <c r="BQ522">
        <f>$C522*BQ521</f>
        <v/>
      </c>
      <c r="BR522">
        <f>$C522*BR521</f>
        <v/>
      </c>
      <c r="BS522">
        <f>$C522*BS521</f>
        <v/>
      </c>
      <c r="BT522">
        <f>$C522*BT521</f>
        <v/>
      </c>
      <c r="BU522">
        <f>$C522*BU521</f>
        <v/>
      </c>
      <c r="BV522">
        <f>$C522*BV521</f>
        <v/>
      </c>
      <c r="BW522">
        <f>$C522*BW521</f>
        <v/>
      </c>
      <c r="BX522">
        <f>$C522*BX521</f>
        <v/>
      </c>
      <c r="BY522">
        <f>$C522*BY521</f>
        <v/>
      </c>
      <c r="BZ522">
        <f>$C522*BZ521</f>
        <v/>
      </c>
      <c r="CA522">
        <f>$C522*CA521</f>
        <v/>
      </c>
      <c r="CB522">
        <f>$C522*CB521</f>
        <v/>
      </c>
      <c r="CC522">
        <f>$C522*CC521</f>
        <v/>
      </c>
      <c r="CD522">
        <f>$C522*CD521</f>
        <v/>
      </c>
      <c r="CE522">
        <f>$C522*CE521</f>
        <v/>
      </c>
      <c r="CF522">
        <f>$C522*CF521</f>
        <v/>
      </c>
      <c r="CG522">
        <f>$C522*CG521</f>
        <v/>
      </c>
      <c r="CH522">
        <f>$C522*CH521</f>
        <v/>
      </c>
      <c r="CI522">
        <f>$C522*CI521</f>
        <v/>
      </c>
      <c r="CJ522">
        <f>$C522*CJ521</f>
        <v/>
      </c>
      <c r="CK522">
        <f>$C522*CK521</f>
        <v/>
      </c>
      <c r="CL522">
        <f>$C522*CL521</f>
        <v/>
      </c>
      <c r="CM522">
        <f>$C522*CM521</f>
        <v/>
      </c>
      <c r="CN522">
        <f>$C522*CN521</f>
        <v/>
      </c>
      <c r="CO522">
        <f>$C522*CO521</f>
        <v/>
      </c>
      <c r="CP522">
        <f>$C522*CP521</f>
        <v/>
      </c>
      <c r="CQ522">
        <f>$C522*CQ521</f>
        <v/>
      </c>
      <c r="CR522">
        <f>$C522*CR521</f>
        <v/>
      </c>
      <c r="CS522">
        <f>$C522*CS521</f>
        <v/>
      </c>
      <c r="CT522">
        <f>$C522*CT521</f>
        <v/>
      </c>
      <c r="CU522">
        <f>$C522*CU521</f>
        <v/>
      </c>
      <c r="CV522">
        <f>$C522*CV521</f>
        <v/>
      </c>
      <c r="CW522">
        <f>$C522*CW521</f>
        <v/>
      </c>
      <c r="CX522">
        <f>$C522*CX521</f>
        <v/>
      </c>
      <c r="CY522">
        <f>$C522*CY521</f>
        <v/>
      </c>
      <c r="CZ522">
        <f>$C522*CZ521</f>
        <v/>
      </c>
      <c r="DA522">
        <f>$C522*DA521</f>
        <v/>
      </c>
      <c r="DB522">
        <f>$C522*DB521</f>
        <v/>
      </c>
      <c r="DC522">
        <f>$C522*DC521</f>
        <v/>
      </c>
    </row>
    <row r="523">
      <c r="B523" t="inlineStr">
        <is>
          <t>TSP-080</t>
        </is>
      </c>
      <c r="C523" t="inlineStr">
        <is>
          <t>No. of batches</t>
        </is>
      </c>
      <c r="D523">
        <f>IFERROR(INDEX(PP_Grid[#Data],$DD523,2),0)</f>
        <v/>
      </c>
      <c r="E523">
        <f>IFERROR(INDEX(PP_Grid[#Data],$DD523,3),0)</f>
        <v/>
      </c>
      <c r="F523">
        <f>IFERROR(INDEX(PP_Grid[#Data],$DD523,4),0)</f>
        <v/>
      </c>
      <c r="G523">
        <f>IFERROR(INDEX(PP_Grid[#Data],$DD523,5),0)</f>
        <v/>
      </c>
      <c r="H523">
        <f>IFERROR(INDEX(PP_Grid[#Data],$DD523,6),0)</f>
        <v/>
      </c>
      <c r="I523">
        <f>IFERROR(INDEX(PP_Grid[#Data],$DD523,7),0)</f>
        <v/>
      </c>
      <c r="J523">
        <f>IFERROR(INDEX(PP_Grid[#Data],$DD523,8),0)</f>
        <v/>
      </c>
      <c r="K523">
        <f>IFERROR(INDEX(PP_Grid[#Data],$DD523,9),0)</f>
        <v/>
      </c>
      <c r="L523">
        <f>IFERROR(INDEX(PP_Grid[#Data],$DD523,10),0)</f>
        <v/>
      </c>
      <c r="M523">
        <f>IFERROR(INDEX(PP_Grid[#Data],$DD523,11),0)</f>
        <v/>
      </c>
      <c r="N523">
        <f>IFERROR(INDEX(PP_Grid[#Data],$DD523,12),0)</f>
        <v/>
      </c>
      <c r="O523">
        <f>IFERROR(INDEX(PP_Grid[#Data],$DD523,13),0)</f>
        <v/>
      </c>
      <c r="P523">
        <f>IFERROR(INDEX(PP_Grid[#Data],$DD523,14),0)</f>
        <v/>
      </c>
      <c r="Q523">
        <f>IFERROR(INDEX(PP_Grid[#Data],$DD523,15),0)</f>
        <v/>
      </c>
      <c r="R523">
        <f>IFERROR(INDEX(PP_Grid[#Data],$DD523,16),0)</f>
        <v/>
      </c>
      <c r="S523">
        <f>IFERROR(INDEX(PP_Grid[#Data],$DD523,17),0)</f>
        <v/>
      </c>
      <c r="T523">
        <f>IFERROR(INDEX(PP_Grid[#Data],$DD523,18),0)</f>
        <v/>
      </c>
      <c r="U523">
        <f>IFERROR(INDEX(PP_Grid[#Data],$DD523,19),0)</f>
        <v/>
      </c>
      <c r="V523">
        <f>IFERROR(INDEX(PP_Grid[#Data],$DD523,20),0)</f>
        <v/>
      </c>
      <c r="W523">
        <f>IFERROR(INDEX(PP_Grid[#Data],$DD523,21),0)</f>
        <v/>
      </c>
      <c r="X523">
        <f>IFERROR(INDEX(PP_Grid[#Data],$DD523,22),0)</f>
        <v/>
      </c>
      <c r="Y523">
        <f>IFERROR(INDEX(PP_Grid[#Data],$DD523,23),0)</f>
        <v/>
      </c>
      <c r="Z523">
        <f>IFERROR(INDEX(PP_Grid[#Data],$DD523,24),0)</f>
        <v/>
      </c>
      <c r="AA523">
        <f>IFERROR(INDEX(PP_Grid[#Data],$DD523,25),0)</f>
        <v/>
      </c>
      <c r="AB523">
        <f>IFERROR(INDEX(PP_Grid[#Data],$DD523,26),0)</f>
        <v/>
      </c>
      <c r="AC523">
        <f>IFERROR(INDEX(PP_Grid[#Data],$DD523,27),0)</f>
        <v/>
      </c>
      <c r="AD523">
        <f>IFERROR(INDEX(PP_Grid[#Data],$DD523,28),0)</f>
        <v/>
      </c>
      <c r="AE523">
        <f>IFERROR(INDEX(PP_Grid[#Data],$DD523,29),0)</f>
        <v/>
      </c>
      <c r="AF523">
        <f>IFERROR(INDEX(PP_Grid[#Data],$DD523,30),0)</f>
        <v/>
      </c>
      <c r="AG523">
        <f>IFERROR(INDEX(PP_Grid[#Data],$DD523,31),0)</f>
        <v/>
      </c>
      <c r="AH523">
        <f>IFERROR(INDEX(PP_Grid[#Data],$DD523,32),0)</f>
        <v/>
      </c>
      <c r="AI523">
        <f>IFERROR(INDEX(PP_Grid[#Data],$DD523,33),0)</f>
        <v/>
      </c>
      <c r="AJ523">
        <f>IFERROR(INDEX(PP_Grid[#Data],$DD523,34),0)</f>
        <v/>
      </c>
      <c r="AK523">
        <f>IFERROR(INDEX(PP_Grid[#Data],$DD523,35),0)</f>
        <v/>
      </c>
      <c r="AL523">
        <f>IFERROR(INDEX(PP_Grid[#Data],$DD523,36),0)</f>
        <v/>
      </c>
      <c r="AM523">
        <f>IFERROR(INDEX(PP_Grid[#Data],$DD523,37),0)</f>
        <v/>
      </c>
      <c r="AN523">
        <f>IFERROR(INDEX(PP_Grid[#Data],$DD523,38),0)</f>
        <v/>
      </c>
      <c r="AO523">
        <f>IFERROR(INDEX(PP_Grid[#Data],$DD523,39),0)</f>
        <v/>
      </c>
      <c r="AP523">
        <f>IFERROR(INDEX(PP_Grid[#Data],$DD523,40),0)</f>
        <v/>
      </c>
      <c r="AQ523">
        <f>IFERROR(INDEX(PP_Grid[#Data],$DD523,41),0)</f>
        <v/>
      </c>
      <c r="AR523">
        <f>IFERROR(INDEX(PP_Grid[#Data],$DD523,42),0)</f>
        <v/>
      </c>
      <c r="AS523">
        <f>IFERROR(INDEX(PP_Grid[#Data],$DD523,43),0)</f>
        <v/>
      </c>
      <c r="AT523">
        <f>IFERROR(INDEX(PP_Grid[#Data],$DD523,44),0)</f>
        <v/>
      </c>
      <c r="AU523">
        <f>IFERROR(INDEX(PP_Grid[#Data],$DD523,45),0)</f>
        <v/>
      </c>
      <c r="AV523">
        <f>IFERROR(INDEX(PP_Grid[#Data],$DD523,46),0)</f>
        <v/>
      </c>
      <c r="AW523">
        <f>IFERROR(INDEX(PP_Grid[#Data],$DD523,47),0)</f>
        <v/>
      </c>
      <c r="AX523">
        <f>IFERROR(INDEX(PP_Grid[#Data],$DD523,48),0)</f>
        <v/>
      </c>
      <c r="AY523">
        <f>IFERROR(INDEX(PP_Grid[#Data],$DD523,49),0)</f>
        <v/>
      </c>
      <c r="AZ523">
        <f>IFERROR(INDEX(PP_Grid[#Data],$DD523,50),0)</f>
        <v/>
      </c>
      <c r="BA523">
        <f>IFERROR(INDEX(PP_Grid[#Data],$DD523,51),0)</f>
        <v/>
      </c>
      <c r="BB523">
        <f>IFERROR(INDEX(PP_Grid[#Data],$DD523,52),0)</f>
        <v/>
      </c>
      <c r="BC523">
        <f>IFERROR(INDEX(PP_Grid[#Data],$DD523,53),0)</f>
        <v/>
      </c>
      <c r="BD523">
        <f>IFERROR(INDEX(PP_Grid[#Data],$DD523,54),0)</f>
        <v/>
      </c>
      <c r="BE523">
        <f>IFERROR(INDEX(PP_Grid[#Data],$DD523,55),0)</f>
        <v/>
      </c>
      <c r="BF523">
        <f>IFERROR(INDEX(PP_Grid[#Data],$DD523,56),0)</f>
        <v/>
      </c>
      <c r="BG523">
        <f>IFERROR(INDEX(PP_Grid[#Data],$DD523,57),0)</f>
        <v/>
      </c>
      <c r="BH523">
        <f>IFERROR(INDEX(PP_Grid[#Data],$DD523,58),0)</f>
        <v/>
      </c>
      <c r="BI523">
        <f>IFERROR(INDEX(PP_Grid[#Data],$DD523,59),0)</f>
        <v/>
      </c>
      <c r="BJ523">
        <f>IFERROR(INDEX(PP_Grid[#Data],$DD523,60),0)</f>
        <v/>
      </c>
      <c r="BK523">
        <f>IFERROR(INDEX(PP_Grid[#Data],$DD523,61),0)</f>
        <v/>
      </c>
      <c r="BL523">
        <f>IFERROR(INDEX(PP_Grid[#Data],$DD523,62),0)</f>
        <v/>
      </c>
      <c r="BM523">
        <f>IFERROR(INDEX(PP_Grid[#Data],$DD523,63),0)</f>
        <v/>
      </c>
      <c r="BN523">
        <f>IFERROR(INDEX(PP_Grid[#Data],$DD523,64),0)</f>
        <v/>
      </c>
      <c r="BO523">
        <f>IFERROR(INDEX(PP_Grid[#Data],$DD523,65),0)</f>
        <v/>
      </c>
      <c r="BP523">
        <f>IFERROR(INDEX(PP_Grid[#Data],$DD523,66),0)</f>
        <v/>
      </c>
      <c r="BQ523">
        <f>IFERROR(INDEX(PP_Grid[#Data],$DD523,67),0)</f>
        <v/>
      </c>
      <c r="BR523">
        <f>IFERROR(INDEX(PP_Grid[#Data],$DD523,68),0)</f>
        <v/>
      </c>
      <c r="BS523">
        <f>IFERROR(INDEX(PP_Grid[#Data],$DD523,69),0)</f>
        <v/>
      </c>
      <c r="BT523">
        <f>IFERROR(INDEX(PP_Grid[#Data],$DD523,70),0)</f>
        <v/>
      </c>
      <c r="BU523">
        <f>IFERROR(INDEX(PP_Grid[#Data],$DD523,71),0)</f>
        <v/>
      </c>
      <c r="BV523">
        <f>IFERROR(INDEX(PP_Grid[#Data],$DD523,72),0)</f>
        <v/>
      </c>
      <c r="BW523">
        <f>IFERROR(INDEX(PP_Grid[#Data],$DD523,73),0)</f>
        <v/>
      </c>
      <c r="BX523">
        <f>IFERROR(INDEX(PP_Grid[#Data],$DD523,74),0)</f>
        <v/>
      </c>
      <c r="BY523">
        <f>IFERROR(INDEX(PP_Grid[#Data],$DD523,75),0)</f>
        <v/>
      </c>
      <c r="BZ523">
        <f>IFERROR(INDEX(PP_Grid[#Data],$DD523,76),0)</f>
        <v/>
      </c>
      <c r="CA523">
        <f>IFERROR(INDEX(PP_Grid[#Data],$DD523,77),0)</f>
        <v/>
      </c>
      <c r="CB523">
        <f>IFERROR(INDEX(PP_Grid[#Data],$DD523,78),0)</f>
        <v/>
      </c>
      <c r="CC523">
        <f>IFERROR(INDEX(PP_Grid[#Data],$DD523,79),0)</f>
        <v/>
      </c>
      <c r="CD523">
        <f>IFERROR(INDEX(PP_Grid[#Data],$DD523,80),0)</f>
        <v/>
      </c>
      <c r="CE523">
        <f>IFERROR(INDEX(PP_Grid[#Data],$DD523,81),0)</f>
        <v/>
      </c>
      <c r="CF523">
        <f>IFERROR(INDEX(PP_Grid[#Data],$DD523,82),0)</f>
        <v/>
      </c>
      <c r="CG523">
        <f>IFERROR(INDEX(PP_Grid[#Data],$DD523,83),0)</f>
        <v/>
      </c>
      <c r="CH523">
        <f>IFERROR(INDEX(PP_Grid[#Data],$DD523,84),0)</f>
        <v/>
      </c>
      <c r="CI523">
        <f>IFERROR(INDEX(PP_Grid[#Data],$DD523,85),0)</f>
        <v/>
      </c>
      <c r="CJ523">
        <f>IFERROR(INDEX(PP_Grid[#Data],$DD523,86),0)</f>
        <v/>
      </c>
      <c r="CK523">
        <f>IFERROR(INDEX(PP_Grid[#Data],$DD523,87),0)</f>
        <v/>
      </c>
      <c r="CL523">
        <f>IFERROR(INDEX(PP_Grid[#Data],$DD523,88),0)</f>
        <v/>
      </c>
      <c r="CM523">
        <f>IFERROR(INDEX(PP_Grid[#Data],$DD523,89),0)</f>
        <v/>
      </c>
      <c r="CN523">
        <f>IFERROR(INDEX(PP_Grid[#Data],$DD523,90),0)</f>
        <v/>
      </c>
      <c r="CO523">
        <f>IFERROR(INDEX(PP_Grid[#Data],$DD523,91),0)</f>
        <v/>
      </c>
      <c r="CP523">
        <f>IFERROR(INDEX(PP_Grid[#Data],$DD523,92),0)</f>
        <v/>
      </c>
      <c r="CQ523">
        <f>IFERROR(INDEX(PP_Grid[#Data],$DD523,93),0)</f>
        <v/>
      </c>
      <c r="CR523">
        <f>IFERROR(INDEX(PP_Grid[#Data],$DD523,94),0)</f>
        <v/>
      </c>
      <c r="CS523">
        <f>IFERROR(INDEX(PP_Grid[#Data],$DD523,95),0)</f>
        <v/>
      </c>
      <c r="CT523">
        <f>IFERROR(INDEX(PP_Grid[#Data],$DD523,96),0)</f>
        <v/>
      </c>
      <c r="CU523">
        <f>IFERROR(INDEX(PP_Grid[#Data],$DD523,97),0)</f>
        <v/>
      </c>
      <c r="CV523">
        <f>IFERROR(INDEX(PP_Grid[#Data],$DD523,98),0)</f>
        <v/>
      </c>
      <c r="CW523">
        <f>IFERROR(INDEX(PP_Grid[#Data],$DD523,99),0)</f>
        <v/>
      </c>
      <c r="CX523">
        <f>IFERROR(INDEX(PP_Grid[#Data],$DD523,100),0)</f>
        <v/>
      </c>
      <c r="CY523">
        <f>IFERROR(INDEX(PP_Grid[#Data],$DD523,101),0)</f>
        <v/>
      </c>
      <c r="CZ523">
        <f>IFERROR(INDEX(PP_Grid[#Data],$DD523,102),0)</f>
        <v/>
      </c>
      <c r="DA523">
        <f>IFERROR(INDEX(PP_Grid[#Data],$DD523,103),0)</f>
        <v/>
      </c>
      <c r="DB523">
        <f>IFERROR(INDEX(PP_Grid[#Data],$DD523,104),0)</f>
        <v/>
      </c>
      <c r="DC523">
        <f>IFERROR(INDEX(PP_Grid[#Data],$DD523,105),0)</f>
        <v/>
      </c>
      <c r="DD523" s="12">
        <f>IFERROR(MATCH($B523,PP_Grid[Intermediate],0),99999)</f>
        <v/>
      </c>
    </row>
    <row r="524">
      <c r="B524" t="inlineStr">
        <is>
          <t>使用量(kg)</t>
        </is>
      </c>
      <c r="C524">
        <f>SUMIFS(M_BOM[RM_Qty_Per_Batch],M_BOM[Intermediate],$B523,M_BOM[Part Name],$A518)</f>
        <v/>
      </c>
      <c r="D524">
        <f>$C524*D523</f>
        <v/>
      </c>
      <c r="E524">
        <f>$C524*E523</f>
        <v/>
      </c>
      <c r="F524">
        <f>$C524*F523</f>
        <v/>
      </c>
      <c r="G524">
        <f>$C524*G523</f>
        <v/>
      </c>
      <c r="H524">
        <f>$C524*H523</f>
        <v/>
      </c>
      <c r="I524">
        <f>$C524*I523</f>
        <v/>
      </c>
      <c r="J524">
        <f>$C524*J523</f>
        <v/>
      </c>
      <c r="K524">
        <f>$C524*K523</f>
        <v/>
      </c>
      <c r="L524">
        <f>$C524*L523</f>
        <v/>
      </c>
      <c r="M524">
        <f>$C524*M523</f>
        <v/>
      </c>
      <c r="N524">
        <f>$C524*N523</f>
        <v/>
      </c>
      <c r="O524">
        <f>$C524*O523</f>
        <v/>
      </c>
      <c r="P524">
        <f>$C524*P523</f>
        <v/>
      </c>
      <c r="Q524">
        <f>$C524*Q523</f>
        <v/>
      </c>
      <c r="R524">
        <f>$C524*R523</f>
        <v/>
      </c>
      <c r="S524">
        <f>$C524*S523</f>
        <v/>
      </c>
      <c r="T524">
        <f>$C524*T523</f>
        <v/>
      </c>
      <c r="U524">
        <f>$C524*U523</f>
        <v/>
      </c>
      <c r="V524">
        <f>$C524*V523</f>
        <v/>
      </c>
      <c r="W524">
        <f>$C524*W523</f>
        <v/>
      </c>
      <c r="X524">
        <f>$C524*X523</f>
        <v/>
      </c>
      <c r="Y524">
        <f>$C524*Y523</f>
        <v/>
      </c>
      <c r="Z524">
        <f>$C524*Z523</f>
        <v/>
      </c>
      <c r="AA524">
        <f>$C524*AA523</f>
        <v/>
      </c>
      <c r="AB524">
        <f>$C524*AB523</f>
        <v/>
      </c>
      <c r="AC524">
        <f>$C524*AC523</f>
        <v/>
      </c>
      <c r="AD524">
        <f>$C524*AD523</f>
        <v/>
      </c>
      <c r="AE524">
        <f>$C524*AE523</f>
        <v/>
      </c>
      <c r="AF524">
        <f>$C524*AF523</f>
        <v/>
      </c>
      <c r="AG524">
        <f>$C524*AG523</f>
        <v/>
      </c>
      <c r="AH524">
        <f>$C524*AH523</f>
        <v/>
      </c>
      <c r="AI524">
        <f>$C524*AI523</f>
        <v/>
      </c>
      <c r="AJ524">
        <f>$C524*AJ523</f>
        <v/>
      </c>
      <c r="AK524">
        <f>$C524*AK523</f>
        <v/>
      </c>
      <c r="AL524">
        <f>$C524*AL523</f>
        <v/>
      </c>
      <c r="AM524">
        <f>$C524*AM523</f>
        <v/>
      </c>
      <c r="AN524">
        <f>$C524*AN523</f>
        <v/>
      </c>
      <c r="AO524">
        <f>$C524*AO523</f>
        <v/>
      </c>
      <c r="AP524">
        <f>$C524*AP523</f>
        <v/>
      </c>
      <c r="AQ524">
        <f>$C524*AQ523</f>
        <v/>
      </c>
      <c r="AR524">
        <f>$C524*AR523</f>
        <v/>
      </c>
      <c r="AS524">
        <f>$C524*AS523</f>
        <v/>
      </c>
      <c r="AT524">
        <f>$C524*AT523</f>
        <v/>
      </c>
      <c r="AU524">
        <f>$C524*AU523</f>
        <v/>
      </c>
      <c r="AV524">
        <f>$C524*AV523</f>
        <v/>
      </c>
      <c r="AW524">
        <f>$C524*AW523</f>
        <v/>
      </c>
      <c r="AX524">
        <f>$C524*AX523</f>
        <v/>
      </c>
      <c r="AY524">
        <f>$C524*AY523</f>
        <v/>
      </c>
      <c r="AZ524">
        <f>$C524*AZ523</f>
        <v/>
      </c>
      <c r="BA524">
        <f>$C524*BA523</f>
        <v/>
      </c>
      <c r="BB524">
        <f>$C524*BB523</f>
        <v/>
      </c>
      <c r="BC524">
        <f>$C524*BC523</f>
        <v/>
      </c>
      <c r="BD524">
        <f>$C524*BD523</f>
        <v/>
      </c>
      <c r="BE524">
        <f>$C524*BE523</f>
        <v/>
      </c>
      <c r="BF524">
        <f>$C524*BF523</f>
        <v/>
      </c>
      <c r="BG524">
        <f>$C524*BG523</f>
        <v/>
      </c>
      <c r="BH524">
        <f>$C524*BH523</f>
        <v/>
      </c>
      <c r="BI524">
        <f>$C524*BI523</f>
        <v/>
      </c>
      <c r="BJ524">
        <f>$C524*BJ523</f>
        <v/>
      </c>
      <c r="BK524">
        <f>$C524*BK523</f>
        <v/>
      </c>
      <c r="BL524">
        <f>$C524*BL523</f>
        <v/>
      </c>
      <c r="BM524">
        <f>$C524*BM523</f>
        <v/>
      </c>
      <c r="BN524">
        <f>$C524*BN523</f>
        <v/>
      </c>
      <c r="BO524">
        <f>$C524*BO523</f>
        <v/>
      </c>
      <c r="BP524">
        <f>$C524*BP523</f>
        <v/>
      </c>
      <c r="BQ524">
        <f>$C524*BQ523</f>
        <v/>
      </c>
      <c r="BR524">
        <f>$C524*BR523</f>
        <v/>
      </c>
      <c r="BS524">
        <f>$C524*BS523</f>
        <v/>
      </c>
      <c r="BT524">
        <f>$C524*BT523</f>
        <v/>
      </c>
      <c r="BU524">
        <f>$C524*BU523</f>
        <v/>
      </c>
      <c r="BV524">
        <f>$C524*BV523</f>
        <v/>
      </c>
      <c r="BW524">
        <f>$C524*BW523</f>
        <v/>
      </c>
      <c r="BX524">
        <f>$C524*BX523</f>
        <v/>
      </c>
      <c r="BY524">
        <f>$C524*BY523</f>
        <v/>
      </c>
      <c r="BZ524">
        <f>$C524*BZ523</f>
        <v/>
      </c>
      <c r="CA524">
        <f>$C524*CA523</f>
        <v/>
      </c>
      <c r="CB524">
        <f>$C524*CB523</f>
        <v/>
      </c>
      <c r="CC524">
        <f>$C524*CC523</f>
        <v/>
      </c>
      <c r="CD524">
        <f>$C524*CD523</f>
        <v/>
      </c>
      <c r="CE524">
        <f>$C524*CE523</f>
        <v/>
      </c>
      <c r="CF524">
        <f>$C524*CF523</f>
        <v/>
      </c>
      <c r="CG524">
        <f>$C524*CG523</f>
        <v/>
      </c>
      <c r="CH524">
        <f>$C524*CH523</f>
        <v/>
      </c>
      <c r="CI524">
        <f>$C524*CI523</f>
        <v/>
      </c>
      <c r="CJ524">
        <f>$C524*CJ523</f>
        <v/>
      </c>
      <c r="CK524">
        <f>$C524*CK523</f>
        <v/>
      </c>
      <c r="CL524">
        <f>$C524*CL523</f>
        <v/>
      </c>
      <c r="CM524">
        <f>$C524*CM523</f>
        <v/>
      </c>
      <c r="CN524">
        <f>$C524*CN523</f>
        <v/>
      </c>
      <c r="CO524">
        <f>$C524*CO523</f>
        <v/>
      </c>
      <c r="CP524">
        <f>$C524*CP523</f>
        <v/>
      </c>
      <c r="CQ524">
        <f>$C524*CQ523</f>
        <v/>
      </c>
      <c r="CR524">
        <f>$C524*CR523</f>
        <v/>
      </c>
      <c r="CS524">
        <f>$C524*CS523</f>
        <v/>
      </c>
      <c r="CT524">
        <f>$C524*CT523</f>
        <v/>
      </c>
      <c r="CU524">
        <f>$C524*CU523</f>
        <v/>
      </c>
      <c r="CV524">
        <f>$C524*CV523</f>
        <v/>
      </c>
      <c r="CW524">
        <f>$C524*CW523</f>
        <v/>
      </c>
      <c r="CX524">
        <f>$C524*CX523</f>
        <v/>
      </c>
      <c r="CY524">
        <f>$C524*CY523</f>
        <v/>
      </c>
      <c r="CZ524">
        <f>$C524*CZ523</f>
        <v/>
      </c>
      <c r="DA524">
        <f>$C524*DA523</f>
        <v/>
      </c>
      <c r="DB524">
        <f>$C524*DB523</f>
        <v/>
      </c>
      <c r="DC524">
        <f>$C524*DC523</f>
        <v/>
      </c>
    </row>
    <row r="525">
      <c r="B525" t="inlineStr">
        <is>
          <t>TSP-105</t>
        </is>
      </c>
      <c r="C525" t="inlineStr">
        <is>
          <t>No. of batches</t>
        </is>
      </c>
      <c r="D525">
        <f>IFERROR(INDEX(PP_Grid[#Data],$DD525,2),0)</f>
        <v/>
      </c>
      <c r="E525">
        <f>IFERROR(INDEX(PP_Grid[#Data],$DD525,3),0)</f>
        <v/>
      </c>
      <c r="F525">
        <f>IFERROR(INDEX(PP_Grid[#Data],$DD525,4),0)</f>
        <v/>
      </c>
      <c r="G525">
        <f>IFERROR(INDEX(PP_Grid[#Data],$DD525,5),0)</f>
        <v/>
      </c>
      <c r="H525">
        <f>IFERROR(INDEX(PP_Grid[#Data],$DD525,6),0)</f>
        <v/>
      </c>
      <c r="I525">
        <f>IFERROR(INDEX(PP_Grid[#Data],$DD525,7),0)</f>
        <v/>
      </c>
      <c r="J525">
        <f>IFERROR(INDEX(PP_Grid[#Data],$DD525,8),0)</f>
        <v/>
      </c>
      <c r="K525">
        <f>IFERROR(INDEX(PP_Grid[#Data],$DD525,9),0)</f>
        <v/>
      </c>
      <c r="L525">
        <f>IFERROR(INDEX(PP_Grid[#Data],$DD525,10),0)</f>
        <v/>
      </c>
      <c r="M525">
        <f>IFERROR(INDEX(PP_Grid[#Data],$DD525,11),0)</f>
        <v/>
      </c>
      <c r="N525">
        <f>IFERROR(INDEX(PP_Grid[#Data],$DD525,12),0)</f>
        <v/>
      </c>
      <c r="O525">
        <f>IFERROR(INDEX(PP_Grid[#Data],$DD525,13),0)</f>
        <v/>
      </c>
      <c r="P525">
        <f>IFERROR(INDEX(PP_Grid[#Data],$DD525,14),0)</f>
        <v/>
      </c>
      <c r="Q525">
        <f>IFERROR(INDEX(PP_Grid[#Data],$DD525,15),0)</f>
        <v/>
      </c>
      <c r="R525">
        <f>IFERROR(INDEX(PP_Grid[#Data],$DD525,16),0)</f>
        <v/>
      </c>
      <c r="S525">
        <f>IFERROR(INDEX(PP_Grid[#Data],$DD525,17),0)</f>
        <v/>
      </c>
      <c r="T525">
        <f>IFERROR(INDEX(PP_Grid[#Data],$DD525,18),0)</f>
        <v/>
      </c>
      <c r="U525">
        <f>IFERROR(INDEX(PP_Grid[#Data],$DD525,19),0)</f>
        <v/>
      </c>
      <c r="V525">
        <f>IFERROR(INDEX(PP_Grid[#Data],$DD525,20),0)</f>
        <v/>
      </c>
      <c r="W525">
        <f>IFERROR(INDEX(PP_Grid[#Data],$DD525,21),0)</f>
        <v/>
      </c>
      <c r="X525">
        <f>IFERROR(INDEX(PP_Grid[#Data],$DD525,22),0)</f>
        <v/>
      </c>
      <c r="Y525">
        <f>IFERROR(INDEX(PP_Grid[#Data],$DD525,23),0)</f>
        <v/>
      </c>
      <c r="Z525">
        <f>IFERROR(INDEX(PP_Grid[#Data],$DD525,24),0)</f>
        <v/>
      </c>
      <c r="AA525">
        <f>IFERROR(INDEX(PP_Grid[#Data],$DD525,25),0)</f>
        <v/>
      </c>
      <c r="AB525">
        <f>IFERROR(INDEX(PP_Grid[#Data],$DD525,26),0)</f>
        <v/>
      </c>
      <c r="AC525">
        <f>IFERROR(INDEX(PP_Grid[#Data],$DD525,27),0)</f>
        <v/>
      </c>
      <c r="AD525">
        <f>IFERROR(INDEX(PP_Grid[#Data],$DD525,28),0)</f>
        <v/>
      </c>
      <c r="AE525">
        <f>IFERROR(INDEX(PP_Grid[#Data],$DD525,29),0)</f>
        <v/>
      </c>
      <c r="AF525">
        <f>IFERROR(INDEX(PP_Grid[#Data],$DD525,30),0)</f>
        <v/>
      </c>
      <c r="AG525">
        <f>IFERROR(INDEX(PP_Grid[#Data],$DD525,31),0)</f>
        <v/>
      </c>
      <c r="AH525">
        <f>IFERROR(INDEX(PP_Grid[#Data],$DD525,32),0)</f>
        <v/>
      </c>
      <c r="AI525">
        <f>IFERROR(INDEX(PP_Grid[#Data],$DD525,33),0)</f>
        <v/>
      </c>
      <c r="AJ525">
        <f>IFERROR(INDEX(PP_Grid[#Data],$DD525,34),0)</f>
        <v/>
      </c>
      <c r="AK525">
        <f>IFERROR(INDEX(PP_Grid[#Data],$DD525,35),0)</f>
        <v/>
      </c>
      <c r="AL525">
        <f>IFERROR(INDEX(PP_Grid[#Data],$DD525,36),0)</f>
        <v/>
      </c>
      <c r="AM525">
        <f>IFERROR(INDEX(PP_Grid[#Data],$DD525,37),0)</f>
        <v/>
      </c>
      <c r="AN525">
        <f>IFERROR(INDEX(PP_Grid[#Data],$DD525,38),0)</f>
        <v/>
      </c>
      <c r="AO525">
        <f>IFERROR(INDEX(PP_Grid[#Data],$DD525,39),0)</f>
        <v/>
      </c>
      <c r="AP525">
        <f>IFERROR(INDEX(PP_Grid[#Data],$DD525,40),0)</f>
        <v/>
      </c>
      <c r="AQ525">
        <f>IFERROR(INDEX(PP_Grid[#Data],$DD525,41),0)</f>
        <v/>
      </c>
      <c r="AR525">
        <f>IFERROR(INDEX(PP_Grid[#Data],$DD525,42),0)</f>
        <v/>
      </c>
      <c r="AS525">
        <f>IFERROR(INDEX(PP_Grid[#Data],$DD525,43),0)</f>
        <v/>
      </c>
      <c r="AT525">
        <f>IFERROR(INDEX(PP_Grid[#Data],$DD525,44),0)</f>
        <v/>
      </c>
      <c r="AU525">
        <f>IFERROR(INDEX(PP_Grid[#Data],$DD525,45),0)</f>
        <v/>
      </c>
      <c r="AV525">
        <f>IFERROR(INDEX(PP_Grid[#Data],$DD525,46),0)</f>
        <v/>
      </c>
      <c r="AW525">
        <f>IFERROR(INDEX(PP_Grid[#Data],$DD525,47),0)</f>
        <v/>
      </c>
      <c r="AX525">
        <f>IFERROR(INDEX(PP_Grid[#Data],$DD525,48),0)</f>
        <v/>
      </c>
      <c r="AY525">
        <f>IFERROR(INDEX(PP_Grid[#Data],$DD525,49),0)</f>
        <v/>
      </c>
      <c r="AZ525">
        <f>IFERROR(INDEX(PP_Grid[#Data],$DD525,50),0)</f>
        <v/>
      </c>
      <c r="BA525">
        <f>IFERROR(INDEX(PP_Grid[#Data],$DD525,51),0)</f>
        <v/>
      </c>
      <c r="BB525">
        <f>IFERROR(INDEX(PP_Grid[#Data],$DD525,52),0)</f>
        <v/>
      </c>
      <c r="BC525">
        <f>IFERROR(INDEX(PP_Grid[#Data],$DD525,53),0)</f>
        <v/>
      </c>
      <c r="BD525">
        <f>IFERROR(INDEX(PP_Grid[#Data],$DD525,54),0)</f>
        <v/>
      </c>
      <c r="BE525">
        <f>IFERROR(INDEX(PP_Grid[#Data],$DD525,55),0)</f>
        <v/>
      </c>
      <c r="BF525">
        <f>IFERROR(INDEX(PP_Grid[#Data],$DD525,56),0)</f>
        <v/>
      </c>
      <c r="BG525">
        <f>IFERROR(INDEX(PP_Grid[#Data],$DD525,57),0)</f>
        <v/>
      </c>
      <c r="BH525">
        <f>IFERROR(INDEX(PP_Grid[#Data],$DD525,58),0)</f>
        <v/>
      </c>
      <c r="BI525">
        <f>IFERROR(INDEX(PP_Grid[#Data],$DD525,59),0)</f>
        <v/>
      </c>
      <c r="BJ525">
        <f>IFERROR(INDEX(PP_Grid[#Data],$DD525,60),0)</f>
        <v/>
      </c>
      <c r="BK525">
        <f>IFERROR(INDEX(PP_Grid[#Data],$DD525,61),0)</f>
        <v/>
      </c>
      <c r="BL525">
        <f>IFERROR(INDEX(PP_Grid[#Data],$DD525,62),0)</f>
        <v/>
      </c>
      <c r="BM525">
        <f>IFERROR(INDEX(PP_Grid[#Data],$DD525,63),0)</f>
        <v/>
      </c>
      <c r="BN525">
        <f>IFERROR(INDEX(PP_Grid[#Data],$DD525,64),0)</f>
        <v/>
      </c>
      <c r="BO525">
        <f>IFERROR(INDEX(PP_Grid[#Data],$DD525,65),0)</f>
        <v/>
      </c>
      <c r="BP525">
        <f>IFERROR(INDEX(PP_Grid[#Data],$DD525,66),0)</f>
        <v/>
      </c>
      <c r="BQ525">
        <f>IFERROR(INDEX(PP_Grid[#Data],$DD525,67),0)</f>
        <v/>
      </c>
      <c r="BR525">
        <f>IFERROR(INDEX(PP_Grid[#Data],$DD525,68),0)</f>
        <v/>
      </c>
      <c r="BS525">
        <f>IFERROR(INDEX(PP_Grid[#Data],$DD525,69),0)</f>
        <v/>
      </c>
      <c r="BT525">
        <f>IFERROR(INDEX(PP_Grid[#Data],$DD525,70),0)</f>
        <v/>
      </c>
      <c r="BU525">
        <f>IFERROR(INDEX(PP_Grid[#Data],$DD525,71),0)</f>
        <v/>
      </c>
      <c r="BV525">
        <f>IFERROR(INDEX(PP_Grid[#Data],$DD525,72),0)</f>
        <v/>
      </c>
      <c r="BW525">
        <f>IFERROR(INDEX(PP_Grid[#Data],$DD525,73),0)</f>
        <v/>
      </c>
      <c r="BX525">
        <f>IFERROR(INDEX(PP_Grid[#Data],$DD525,74),0)</f>
        <v/>
      </c>
      <c r="BY525">
        <f>IFERROR(INDEX(PP_Grid[#Data],$DD525,75),0)</f>
        <v/>
      </c>
      <c r="BZ525">
        <f>IFERROR(INDEX(PP_Grid[#Data],$DD525,76),0)</f>
        <v/>
      </c>
      <c r="CA525">
        <f>IFERROR(INDEX(PP_Grid[#Data],$DD525,77),0)</f>
        <v/>
      </c>
      <c r="CB525">
        <f>IFERROR(INDEX(PP_Grid[#Data],$DD525,78),0)</f>
        <v/>
      </c>
      <c r="CC525">
        <f>IFERROR(INDEX(PP_Grid[#Data],$DD525,79),0)</f>
        <v/>
      </c>
      <c r="CD525">
        <f>IFERROR(INDEX(PP_Grid[#Data],$DD525,80),0)</f>
        <v/>
      </c>
      <c r="CE525">
        <f>IFERROR(INDEX(PP_Grid[#Data],$DD525,81),0)</f>
        <v/>
      </c>
      <c r="CF525">
        <f>IFERROR(INDEX(PP_Grid[#Data],$DD525,82),0)</f>
        <v/>
      </c>
      <c r="CG525">
        <f>IFERROR(INDEX(PP_Grid[#Data],$DD525,83),0)</f>
        <v/>
      </c>
      <c r="CH525">
        <f>IFERROR(INDEX(PP_Grid[#Data],$DD525,84),0)</f>
        <v/>
      </c>
      <c r="CI525">
        <f>IFERROR(INDEX(PP_Grid[#Data],$DD525,85),0)</f>
        <v/>
      </c>
      <c r="CJ525">
        <f>IFERROR(INDEX(PP_Grid[#Data],$DD525,86),0)</f>
        <v/>
      </c>
      <c r="CK525">
        <f>IFERROR(INDEX(PP_Grid[#Data],$DD525,87),0)</f>
        <v/>
      </c>
      <c r="CL525">
        <f>IFERROR(INDEX(PP_Grid[#Data],$DD525,88),0)</f>
        <v/>
      </c>
      <c r="CM525">
        <f>IFERROR(INDEX(PP_Grid[#Data],$DD525,89),0)</f>
        <v/>
      </c>
      <c r="CN525">
        <f>IFERROR(INDEX(PP_Grid[#Data],$DD525,90),0)</f>
        <v/>
      </c>
      <c r="CO525">
        <f>IFERROR(INDEX(PP_Grid[#Data],$DD525,91),0)</f>
        <v/>
      </c>
      <c r="CP525">
        <f>IFERROR(INDEX(PP_Grid[#Data],$DD525,92),0)</f>
        <v/>
      </c>
      <c r="CQ525">
        <f>IFERROR(INDEX(PP_Grid[#Data],$DD525,93),0)</f>
        <v/>
      </c>
      <c r="CR525">
        <f>IFERROR(INDEX(PP_Grid[#Data],$DD525,94),0)</f>
        <v/>
      </c>
      <c r="CS525">
        <f>IFERROR(INDEX(PP_Grid[#Data],$DD525,95),0)</f>
        <v/>
      </c>
      <c r="CT525">
        <f>IFERROR(INDEX(PP_Grid[#Data],$DD525,96),0)</f>
        <v/>
      </c>
      <c r="CU525">
        <f>IFERROR(INDEX(PP_Grid[#Data],$DD525,97),0)</f>
        <v/>
      </c>
      <c r="CV525">
        <f>IFERROR(INDEX(PP_Grid[#Data],$DD525,98),0)</f>
        <v/>
      </c>
      <c r="CW525">
        <f>IFERROR(INDEX(PP_Grid[#Data],$DD525,99),0)</f>
        <v/>
      </c>
      <c r="CX525">
        <f>IFERROR(INDEX(PP_Grid[#Data],$DD525,100),0)</f>
        <v/>
      </c>
      <c r="CY525">
        <f>IFERROR(INDEX(PP_Grid[#Data],$DD525,101),0)</f>
        <v/>
      </c>
      <c r="CZ525">
        <f>IFERROR(INDEX(PP_Grid[#Data],$DD525,102),0)</f>
        <v/>
      </c>
      <c r="DA525">
        <f>IFERROR(INDEX(PP_Grid[#Data],$DD525,103),0)</f>
        <v/>
      </c>
      <c r="DB525">
        <f>IFERROR(INDEX(PP_Grid[#Data],$DD525,104),0)</f>
        <v/>
      </c>
      <c r="DC525">
        <f>IFERROR(INDEX(PP_Grid[#Data],$DD525,105),0)</f>
        <v/>
      </c>
      <c r="DD525" s="12">
        <f>IFERROR(MATCH($B525,PP_Grid[Intermediate],0),99999)</f>
        <v/>
      </c>
    </row>
    <row r="526">
      <c r="B526" t="inlineStr">
        <is>
          <t>使用量(kg)</t>
        </is>
      </c>
      <c r="C526">
        <f>SUMIFS(M_BOM[RM_Qty_Per_Batch],M_BOM[Intermediate],$B525,M_BOM[Part Name],$A518)</f>
        <v/>
      </c>
      <c r="D526">
        <f>$C526*D525</f>
        <v/>
      </c>
      <c r="E526">
        <f>$C526*E525</f>
        <v/>
      </c>
      <c r="F526">
        <f>$C526*F525</f>
        <v/>
      </c>
      <c r="G526">
        <f>$C526*G525</f>
        <v/>
      </c>
      <c r="H526">
        <f>$C526*H525</f>
        <v/>
      </c>
      <c r="I526">
        <f>$C526*I525</f>
        <v/>
      </c>
      <c r="J526">
        <f>$C526*J525</f>
        <v/>
      </c>
      <c r="K526">
        <f>$C526*K525</f>
        <v/>
      </c>
      <c r="L526">
        <f>$C526*L525</f>
        <v/>
      </c>
      <c r="M526">
        <f>$C526*M525</f>
        <v/>
      </c>
      <c r="N526">
        <f>$C526*N525</f>
        <v/>
      </c>
      <c r="O526">
        <f>$C526*O525</f>
        <v/>
      </c>
      <c r="P526">
        <f>$C526*P525</f>
        <v/>
      </c>
      <c r="Q526">
        <f>$C526*Q525</f>
        <v/>
      </c>
      <c r="R526">
        <f>$C526*R525</f>
        <v/>
      </c>
      <c r="S526">
        <f>$C526*S525</f>
        <v/>
      </c>
      <c r="T526">
        <f>$C526*T525</f>
        <v/>
      </c>
      <c r="U526">
        <f>$C526*U525</f>
        <v/>
      </c>
      <c r="V526">
        <f>$C526*V525</f>
        <v/>
      </c>
      <c r="W526">
        <f>$C526*W525</f>
        <v/>
      </c>
      <c r="X526">
        <f>$C526*X525</f>
        <v/>
      </c>
      <c r="Y526">
        <f>$C526*Y525</f>
        <v/>
      </c>
      <c r="Z526">
        <f>$C526*Z525</f>
        <v/>
      </c>
      <c r="AA526">
        <f>$C526*AA525</f>
        <v/>
      </c>
      <c r="AB526">
        <f>$C526*AB525</f>
        <v/>
      </c>
      <c r="AC526">
        <f>$C526*AC525</f>
        <v/>
      </c>
      <c r="AD526">
        <f>$C526*AD525</f>
        <v/>
      </c>
      <c r="AE526">
        <f>$C526*AE525</f>
        <v/>
      </c>
      <c r="AF526">
        <f>$C526*AF525</f>
        <v/>
      </c>
      <c r="AG526">
        <f>$C526*AG525</f>
        <v/>
      </c>
      <c r="AH526">
        <f>$C526*AH525</f>
        <v/>
      </c>
      <c r="AI526">
        <f>$C526*AI525</f>
        <v/>
      </c>
      <c r="AJ526">
        <f>$C526*AJ525</f>
        <v/>
      </c>
      <c r="AK526">
        <f>$C526*AK525</f>
        <v/>
      </c>
      <c r="AL526">
        <f>$C526*AL525</f>
        <v/>
      </c>
      <c r="AM526">
        <f>$C526*AM525</f>
        <v/>
      </c>
      <c r="AN526">
        <f>$C526*AN525</f>
        <v/>
      </c>
      <c r="AO526">
        <f>$C526*AO525</f>
        <v/>
      </c>
      <c r="AP526">
        <f>$C526*AP525</f>
        <v/>
      </c>
      <c r="AQ526">
        <f>$C526*AQ525</f>
        <v/>
      </c>
      <c r="AR526">
        <f>$C526*AR525</f>
        <v/>
      </c>
      <c r="AS526">
        <f>$C526*AS525</f>
        <v/>
      </c>
      <c r="AT526">
        <f>$C526*AT525</f>
        <v/>
      </c>
      <c r="AU526">
        <f>$C526*AU525</f>
        <v/>
      </c>
      <c r="AV526">
        <f>$C526*AV525</f>
        <v/>
      </c>
      <c r="AW526">
        <f>$C526*AW525</f>
        <v/>
      </c>
      <c r="AX526">
        <f>$C526*AX525</f>
        <v/>
      </c>
      <c r="AY526">
        <f>$C526*AY525</f>
        <v/>
      </c>
      <c r="AZ526">
        <f>$C526*AZ525</f>
        <v/>
      </c>
      <c r="BA526">
        <f>$C526*BA525</f>
        <v/>
      </c>
      <c r="BB526">
        <f>$C526*BB525</f>
        <v/>
      </c>
      <c r="BC526">
        <f>$C526*BC525</f>
        <v/>
      </c>
      <c r="BD526">
        <f>$C526*BD525</f>
        <v/>
      </c>
      <c r="BE526">
        <f>$C526*BE525</f>
        <v/>
      </c>
      <c r="BF526">
        <f>$C526*BF525</f>
        <v/>
      </c>
      <c r="BG526">
        <f>$C526*BG525</f>
        <v/>
      </c>
      <c r="BH526">
        <f>$C526*BH525</f>
        <v/>
      </c>
      <c r="BI526">
        <f>$C526*BI525</f>
        <v/>
      </c>
      <c r="BJ526">
        <f>$C526*BJ525</f>
        <v/>
      </c>
      <c r="BK526">
        <f>$C526*BK525</f>
        <v/>
      </c>
      <c r="BL526">
        <f>$C526*BL525</f>
        <v/>
      </c>
      <c r="BM526">
        <f>$C526*BM525</f>
        <v/>
      </c>
      <c r="BN526">
        <f>$C526*BN525</f>
        <v/>
      </c>
      <c r="BO526">
        <f>$C526*BO525</f>
        <v/>
      </c>
      <c r="BP526">
        <f>$C526*BP525</f>
        <v/>
      </c>
      <c r="BQ526">
        <f>$C526*BQ525</f>
        <v/>
      </c>
      <c r="BR526">
        <f>$C526*BR525</f>
        <v/>
      </c>
      <c r="BS526">
        <f>$C526*BS525</f>
        <v/>
      </c>
      <c r="BT526">
        <f>$C526*BT525</f>
        <v/>
      </c>
      <c r="BU526">
        <f>$C526*BU525</f>
        <v/>
      </c>
      <c r="BV526">
        <f>$C526*BV525</f>
        <v/>
      </c>
      <c r="BW526">
        <f>$C526*BW525</f>
        <v/>
      </c>
      <c r="BX526">
        <f>$C526*BX525</f>
        <v/>
      </c>
      <c r="BY526">
        <f>$C526*BY525</f>
        <v/>
      </c>
      <c r="BZ526">
        <f>$C526*BZ525</f>
        <v/>
      </c>
      <c r="CA526">
        <f>$C526*CA525</f>
        <v/>
      </c>
      <c r="CB526">
        <f>$C526*CB525</f>
        <v/>
      </c>
      <c r="CC526">
        <f>$C526*CC525</f>
        <v/>
      </c>
      <c r="CD526">
        <f>$C526*CD525</f>
        <v/>
      </c>
      <c r="CE526">
        <f>$C526*CE525</f>
        <v/>
      </c>
      <c r="CF526">
        <f>$C526*CF525</f>
        <v/>
      </c>
      <c r="CG526">
        <f>$C526*CG525</f>
        <v/>
      </c>
      <c r="CH526">
        <f>$C526*CH525</f>
        <v/>
      </c>
      <c r="CI526">
        <f>$C526*CI525</f>
        <v/>
      </c>
      <c r="CJ526">
        <f>$C526*CJ525</f>
        <v/>
      </c>
      <c r="CK526">
        <f>$C526*CK525</f>
        <v/>
      </c>
      <c r="CL526">
        <f>$C526*CL525</f>
        <v/>
      </c>
      <c r="CM526">
        <f>$C526*CM525</f>
        <v/>
      </c>
      <c r="CN526">
        <f>$C526*CN525</f>
        <v/>
      </c>
      <c r="CO526">
        <f>$C526*CO525</f>
        <v/>
      </c>
      <c r="CP526">
        <f>$C526*CP525</f>
        <v/>
      </c>
      <c r="CQ526">
        <f>$C526*CQ525</f>
        <v/>
      </c>
      <c r="CR526">
        <f>$C526*CR525</f>
        <v/>
      </c>
      <c r="CS526">
        <f>$C526*CS525</f>
        <v/>
      </c>
      <c r="CT526">
        <f>$C526*CT525</f>
        <v/>
      </c>
      <c r="CU526">
        <f>$C526*CU525</f>
        <v/>
      </c>
      <c r="CV526">
        <f>$C526*CV525</f>
        <v/>
      </c>
      <c r="CW526">
        <f>$C526*CW525</f>
        <v/>
      </c>
      <c r="CX526">
        <f>$C526*CX525</f>
        <v/>
      </c>
      <c r="CY526">
        <f>$C526*CY525</f>
        <v/>
      </c>
      <c r="CZ526">
        <f>$C526*CZ525</f>
        <v/>
      </c>
      <c r="DA526">
        <f>$C526*DA525</f>
        <v/>
      </c>
      <c r="DB526">
        <f>$C526*DB525</f>
        <v/>
      </c>
      <c r="DC526">
        <f>$C526*DC525</f>
        <v/>
      </c>
    </row>
    <row r="527">
      <c r="B527" t="inlineStr">
        <is>
          <t>TSP-1499</t>
        </is>
      </c>
      <c r="C527" t="inlineStr">
        <is>
          <t>No. of batches</t>
        </is>
      </c>
      <c r="D527">
        <f>IFERROR(INDEX(PP_Grid[#Data],$DD527,2),0)</f>
        <v/>
      </c>
      <c r="E527">
        <f>IFERROR(INDEX(PP_Grid[#Data],$DD527,3),0)</f>
        <v/>
      </c>
      <c r="F527">
        <f>IFERROR(INDEX(PP_Grid[#Data],$DD527,4),0)</f>
        <v/>
      </c>
      <c r="G527">
        <f>IFERROR(INDEX(PP_Grid[#Data],$DD527,5),0)</f>
        <v/>
      </c>
      <c r="H527">
        <f>IFERROR(INDEX(PP_Grid[#Data],$DD527,6),0)</f>
        <v/>
      </c>
      <c r="I527">
        <f>IFERROR(INDEX(PP_Grid[#Data],$DD527,7),0)</f>
        <v/>
      </c>
      <c r="J527">
        <f>IFERROR(INDEX(PP_Grid[#Data],$DD527,8),0)</f>
        <v/>
      </c>
      <c r="K527">
        <f>IFERROR(INDEX(PP_Grid[#Data],$DD527,9),0)</f>
        <v/>
      </c>
      <c r="L527">
        <f>IFERROR(INDEX(PP_Grid[#Data],$DD527,10),0)</f>
        <v/>
      </c>
      <c r="M527">
        <f>IFERROR(INDEX(PP_Grid[#Data],$DD527,11),0)</f>
        <v/>
      </c>
      <c r="N527">
        <f>IFERROR(INDEX(PP_Grid[#Data],$DD527,12),0)</f>
        <v/>
      </c>
      <c r="O527">
        <f>IFERROR(INDEX(PP_Grid[#Data],$DD527,13),0)</f>
        <v/>
      </c>
      <c r="P527">
        <f>IFERROR(INDEX(PP_Grid[#Data],$DD527,14),0)</f>
        <v/>
      </c>
      <c r="Q527">
        <f>IFERROR(INDEX(PP_Grid[#Data],$DD527,15),0)</f>
        <v/>
      </c>
      <c r="R527">
        <f>IFERROR(INDEX(PP_Grid[#Data],$DD527,16),0)</f>
        <v/>
      </c>
      <c r="S527">
        <f>IFERROR(INDEX(PP_Grid[#Data],$DD527,17),0)</f>
        <v/>
      </c>
      <c r="T527">
        <f>IFERROR(INDEX(PP_Grid[#Data],$DD527,18),0)</f>
        <v/>
      </c>
      <c r="U527">
        <f>IFERROR(INDEX(PP_Grid[#Data],$DD527,19),0)</f>
        <v/>
      </c>
      <c r="V527">
        <f>IFERROR(INDEX(PP_Grid[#Data],$DD527,20),0)</f>
        <v/>
      </c>
      <c r="W527">
        <f>IFERROR(INDEX(PP_Grid[#Data],$DD527,21),0)</f>
        <v/>
      </c>
      <c r="X527">
        <f>IFERROR(INDEX(PP_Grid[#Data],$DD527,22),0)</f>
        <v/>
      </c>
      <c r="Y527">
        <f>IFERROR(INDEX(PP_Grid[#Data],$DD527,23),0)</f>
        <v/>
      </c>
      <c r="Z527">
        <f>IFERROR(INDEX(PP_Grid[#Data],$DD527,24),0)</f>
        <v/>
      </c>
      <c r="AA527">
        <f>IFERROR(INDEX(PP_Grid[#Data],$DD527,25),0)</f>
        <v/>
      </c>
      <c r="AB527">
        <f>IFERROR(INDEX(PP_Grid[#Data],$DD527,26),0)</f>
        <v/>
      </c>
      <c r="AC527">
        <f>IFERROR(INDEX(PP_Grid[#Data],$DD527,27),0)</f>
        <v/>
      </c>
      <c r="AD527">
        <f>IFERROR(INDEX(PP_Grid[#Data],$DD527,28),0)</f>
        <v/>
      </c>
      <c r="AE527">
        <f>IFERROR(INDEX(PP_Grid[#Data],$DD527,29),0)</f>
        <v/>
      </c>
      <c r="AF527">
        <f>IFERROR(INDEX(PP_Grid[#Data],$DD527,30),0)</f>
        <v/>
      </c>
      <c r="AG527">
        <f>IFERROR(INDEX(PP_Grid[#Data],$DD527,31),0)</f>
        <v/>
      </c>
      <c r="AH527">
        <f>IFERROR(INDEX(PP_Grid[#Data],$DD527,32),0)</f>
        <v/>
      </c>
      <c r="AI527">
        <f>IFERROR(INDEX(PP_Grid[#Data],$DD527,33),0)</f>
        <v/>
      </c>
      <c r="AJ527">
        <f>IFERROR(INDEX(PP_Grid[#Data],$DD527,34),0)</f>
        <v/>
      </c>
      <c r="AK527">
        <f>IFERROR(INDEX(PP_Grid[#Data],$DD527,35),0)</f>
        <v/>
      </c>
      <c r="AL527">
        <f>IFERROR(INDEX(PP_Grid[#Data],$DD527,36),0)</f>
        <v/>
      </c>
      <c r="AM527">
        <f>IFERROR(INDEX(PP_Grid[#Data],$DD527,37),0)</f>
        <v/>
      </c>
      <c r="AN527">
        <f>IFERROR(INDEX(PP_Grid[#Data],$DD527,38),0)</f>
        <v/>
      </c>
      <c r="AO527">
        <f>IFERROR(INDEX(PP_Grid[#Data],$DD527,39),0)</f>
        <v/>
      </c>
      <c r="AP527">
        <f>IFERROR(INDEX(PP_Grid[#Data],$DD527,40),0)</f>
        <v/>
      </c>
      <c r="AQ527">
        <f>IFERROR(INDEX(PP_Grid[#Data],$DD527,41),0)</f>
        <v/>
      </c>
      <c r="AR527">
        <f>IFERROR(INDEX(PP_Grid[#Data],$DD527,42),0)</f>
        <v/>
      </c>
      <c r="AS527">
        <f>IFERROR(INDEX(PP_Grid[#Data],$DD527,43),0)</f>
        <v/>
      </c>
      <c r="AT527">
        <f>IFERROR(INDEX(PP_Grid[#Data],$DD527,44),0)</f>
        <v/>
      </c>
      <c r="AU527">
        <f>IFERROR(INDEX(PP_Grid[#Data],$DD527,45),0)</f>
        <v/>
      </c>
      <c r="AV527">
        <f>IFERROR(INDEX(PP_Grid[#Data],$DD527,46),0)</f>
        <v/>
      </c>
      <c r="AW527">
        <f>IFERROR(INDEX(PP_Grid[#Data],$DD527,47),0)</f>
        <v/>
      </c>
      <c r="AX527">
        <f>IFERROR(INDEX(PP_Grid[#Data],$DD527,48),0)</f>
        <v/>
      </c>
      <c r="AY527">
        <f>IFERROR(INDEX(PP_Grid[#Data],$DD527,49),0)</f>
        <v/>
      </c>
      <c r="AZ527">
        <f>IFERROR(INDEX(PP_Grid[#Data],$DD527,50),0)</f>
        <v/>
      </c>
      <c r="BA527">
        <f>IFERROR(INDEX(PP_Grid[#Data],$DD527,51),0)</f>
        <v/>
      </c>
      <c r="BB527">
        <f>IFERROR(INDEX(PP_Grid[#Data],$DD527,52),0)</f>
        <v/>
      </c>
      <c r="BC527">
        <f>IFERROR(INDEX(PP_Grid[#Data],$DD527,53),0)</f>
        <v/>
      </c>
      <c r="BD527">
        <f>IFERROR(INDEX(PP_Grid[#Data],$DD527,54),0)</f>
        <v/>
      </c>
      <c r="BE527">
        <f>IFERROR(INDEX(PP_Grid[#Data],$DD527,55),0)</f>
        <v/>
      </c>
      <c r="BF527">
        <f>IFERROR(INDEX(PP_Grid[#Data],$DD527,56),0)</f>
        <v/>
      </c>
      <c r="BG527">
        <f>IFERROR(INDEX(PP_Grid[#Data],$DD527,57),0)</f>
        <v/>
      </c>
      <c r="BH527">
        <f>IFERROR(INDEX(PP_Grid[#Data],$DD527,58),0)</f>
        <v/>
      </c>
      <c r="BI527">
        <f>IFERROR(INDEX(PP_Grid[#Data],$DD527,59),0)</f>
        <v/>
      </c>
      <c r="BJ527">
        <f>IFERROR(INDEX(PP_Grid[#Data],$DD527,60),0)</f>
        <v/>
      </c>
      <c r="BK527">
        <f>IFERROR(INDEX(PP_Grid[#Data],$DD527,61),0)</f>
        <v/>
      </c>
      <c r="BL527">
        <f>IFERROR(INDEX(PP_Grid[#Data],$DD527,62),0)</f>
        <v/>
      </c>
      <c r="BM527">
        <f>IFERROR(INDEX(PP_Grid[#Data],$DD527,63),0)</f>
        <v/>
      </c>
      <c r="BN527">
        <f>IFERROR(INDEX(PP_Grid[#Data],$DD527,64),0)</f>
        <v/>
      </c>
      <c r="BO527">
        <f>IFERROR(INDEX(PP_Grid[#Data],$DD527,65),0)</f>
        <v/>
      </c>
      <c r="BP527">
        <f>IFERROR(INDEX(PP_Grid[#Data],$DD527,66),0)</f>
        <v/>
      </c>
      <c r="BQ527">
        <f>IFERROR(INDEX(PP_Grid[#Data],$DD527,67),0)</f>
        <v/>
      </c>
      <c r="BR527">
        <f>IFERROR(INDEX(PP_Grid[#Data],$DD527,68),0)</f>
        <v/>
      </c>
      <c r="BS527">
        <f>IFERROR(INDEX(PP_Grid[#Data],$DD527,69),0)</f>
        <v/>
      </c>
      <c r="BT527">
        <f>IFERROR(INDEX(PP_Grid[#Data],$DD527,70),0)</f>
        <v/>
      </c>
      <c r="BU527">
        <f>IFERROR(INDEX(PP_Grid[#Data],$DD527,71),0)</f>
        <v/>
      </c>
      <c r="BV527">
        <f>IFERROR(INDEX(PP_Grid[#Data],$DD527,72),0)</f>
        <v/>
      </c>
      <c r="BW527">
        <f>IFERROR(INDEX(PP_Grid[#Data],$DD527,73),0)</f>
        <v/>
      </c>
      <c r="BX527">
        <f>IFERROR(INDEX(PP_Grid[#Data],$DD527,74),0)</f>
        <v/>
      </c>
      <c r="BY527">
        <f>IFERROR(INDEX(PP_Grid[#Data],$DD527,75),0)</f>
        <v/>
      </c>
      <c r="BZ527">
        <f>IFERROR(INDEX(PP_Grid[#Data],$DD527,76),0)</f>
        <v/>
      </c>
      <c r="CA527">
        <f>IFERROR(INDEX(PP_Grid[#Data],$DD527,77),0)</f>
        <v/>
      </c>
      <c r="CB527">
        <f>IFERROR(INDEX(PP_Grid[#Data],$DD527,78),0)</f>
        <v/>
      </c>
      <c r="CC527">
        <f>IFERROR(INDEX(PP_Grid[#Data],$DD527,79),0)</f>
        <v/>
      </c>
      <c r="CD527">
        <f>IFERROR(INDEX(PP_Grid[#Data],$DD527,80),0)</f>
        <v/>
      </c>
      <c r="CE527">
        <f>IFERROR(INDEX(PP_Grid[#Data],$DD527,81),0)</f>
        <v/>
      </c>
      <c r="CF527">
        <f>IFERROR(INDEX(PP_Grid[#Data],$DD527,82),0)</f>
        <v/>
      </c>
      <c r="CG527">
        <f>IFERROR(INDEX(PP_Grid[#Data],$DD527,83),0)</f>
        <v/>
      </c>
      <c r="CH527">
        <f>IFERROR(INDEX(PP_Grid[#Data],$DD527,84),0)</f>
        <v/>
      </c>
      <c r="CI527">
        <f>IFERROR(INDEX(PP_Grid[#Data],$DD527,85),0)</f>
        <v/>
      </c>
      <c r="CJ527">
        <f>IFERROR(INDEX(PP_Grid[#Data],$DD527,86),0)</f>
        <v/>
      </c>
      <c r="CK527">
        <f>IFERROR(INDEX(PP_Grid[#Data],$DD527,87),0)</f>
        <v/>
      </c>
      <c r="CL527">
        <f>IFERROR(INDEX(PP_Grid[#Data],$DD527,88),0)</f>
        <v/>
      </c>
      <c r="CM527">
        <f>IFERROR(INDEX(PP_Grid[#Data],$DD527,89),0)</f>
        <v/>
      </c>
      <c r="CN527">
        <f>IFERROR(INDEX(PP_Grid[#Data],$DD527,90),0)</f>
        <v/>
      </c>
      <c r="CO527">
        <f>IFERROR(INDEX(PP_Grid[#Data],$DD527,91),0)</f>
        <v/>
      </c>
      <c r="CP527">
        <f>IFERROR(INDEX(PP_Grid[#Data],$DD527,92),0)</f>
        <v/>
      </c>
      <c r="CQ527">
        <f>IFERROR(INDEX(PP_Grid[#Data],$DD527,93),0)</f>
        <v/>
      </c>
      <c r="CR527">
        <f>IFERROR(INDEX(PP_Grid[#Data],$DD527,94),0)</f>
        <v/>
      </c>
      <c r="CS527">
        <f>IFERROR(INDEX(PP_Grid[#Data],$DD527,95),0)</f>
        <v/>
      </c>
      <c r="CT527">
        <f>IFERROR(INDEX(PP_Grid[#Data],$DD527,96),0)</f>
        <v/>
      </c>
      <c r="CU527">
        <f>IFERROR(INDEX(PP_Grid[#Data],$DD527,97),0)</f>
        <v/>
      </c>
      <c r="CV527">
        <f>IFERROR(INDEX(PP_Grid[#Data],$DD527,98),0)</f>
        <v/>
      </c>
      <c r="CW527">
        <f>IFERROR(INDEX(PP_Grid[#Data],$DD527,99),0)</f>
        <v/>
      </c>
      <c r="CX527">
        <f>IFERROR(INDEX(PP_Grid[#Data],$DD527,100),0)</f>
        <v/>
      </c>
      <c r="CY527">
        <f>IFERROR(INDEX(PP_Grid[#Data],$DD527,101),0)</f>
        <v/>
      </c>
      <c r="CZ527">
        <f>IFERROR(INDEX(PP_Grid[#Data],$DD527,102),0)</f>
        <v/>
      </c>
      <c r="DA527">
        <f>IFERROR(INDEX(PP_Grid[#Data],$DD527,103),0)</f>
        <v/>
      </c>
      <c r="DB527">
        <f>IFERROR(INDEX(PP_Grid[#Data],$DD527,104),0)</f>
        <v/>
      </c>
      <c r="DC527">
        <f>IFERROR(INDEX(PP_Grid[#Data],$DD527,105),0)</f>
        <v/>
      </c>
      <c r="DD527" s="12">
        <f>IFERROR(MATCH($B527,PP_Grid[Intermediate],0),99999)</f>
        <v/>
      </c>
    </row>
    <row r="528">
      <c r="B528" t="inlineStr">
        <is>
          <t>使用量(kg)</t>
        </is>
      </c>
      <c r="C528">
        <f>SUMIFS(M_BOM[RM_Qty_Per_Batch],M_BOM[Intermediate],$B527,M_BOM[Part Name],$A518)</f>
        <v/>
      </c>
      <c r="D528">
        <f>$C528*D527</f>
        <v/>
      </c>
      <c r="E528">
        <f>$C528*E527</f>
        <v/>
      </c>
      <c r="F528">
        <f>$C528*F527</f>
        <v/>
      </c>
      <c r="G528">
        <f>$C528*G527</f>
        <v/>
      </c>
      <c r="H528">
        <f>$C528*H527</f>
        <v/>
      </c>
      <c r="I528">
        <f>$C528*I527</f>
        <v/>
      </c>
      <c r="J528">
        <f>$C528*J527</f>
        <v/>
      </c>
      <c r="K528">
        <f>$C528*K527</f>
        <v/>
      </c>
      <c r="L528">
        <f>$C528*L527</f>
        <v/>
      </c>
      <c r="M528">
        <f>$C528*M527</f>
        <v/>
      </c>
      <c r="N528">
        <f>$C528*N527</f>
        <v/>
      </c>
      <c r="O528">
        <f>$C528*O527</f>
        <v/>
      </c>
      <c r="P528">
        <f>$C528*P527</f>
        <v/>
      </c>
      <c r="Q528">
        <f>$C528*Q527</f>
        <v/>
      </c>
      <c r="R528">
        <f>$C528*R527</f>
        <v/>
      </c>
      <c r="S528">
        <f>$C528*S527</f>
        <v/>
      </c>
      <c r="T528">
        <f>$C528*T527</f>
        <v/>
      </c>
      <c r="U528">
        <f>$C528*U527</f>
        <v/>
      </c>
      <c r="V528">
        <f>$C528*V527</f>
        <v/>
      </c>
      <c r="W528">
        <f>$C528*W527</f>
        <v/>
      </c>
      <c r="X528">
        <f>$C528*X527</f>
        <v/>
      </c>
      <c r="Y528">
        <f>$C528*Y527</f>
        <v/>
      </c>
      <c r="Z528">
        <f>$C528*Z527</f>
        <v/>
      </c>
      <c r="AA528">
        <f>$C528*AA527</f>
        <v/>
      </c>
      <c r="AB528">
        <f>$C528*AB527</f>
        <v/>
      </c>
      <c r="AC528">
        <f>$C528*AC527</f>
        <v/>
      </c>
      <c r="AD528">
        <f>$C528*AD527</f>
        <v/>
      </c>
      <c r="AE528">
        <f>$C528*AE527</f>
        <v/>
      </c>
      <c r="AF528">
        <f>$C528*AF527</f>
        <v/>
      </c>
      <c r="AG528">
        <f>$C528*AG527</f>
        <v/>
      </c>
      <c r="AH528">
        <f>$C528*AH527</f>
        <v/>
      </c>
      <c r="AI528">
        <f>$C528*AI527</f>
        <v/>
      </c>
      <c r="AJ528">
        <f>$C528*AJ527</f>
        <v/>
      </c>
      <c r="AK528">
        <f>$C528*AK527</f>
        <v/>
      </c>
      <c r="AL528">
        <f>$C528*AL527</f>
        <v/>
      </c>
      <c r="AM528">
        <f>$C528*AM527</f>
        <v/>
      </c>
      <c r="AN528">
        <f>$C528*AN527</f>
        <v/>
      </c>
      <c r="AO528">
        <f>$C528*AO527</f>
        <v/>
      </c>
      <c r="AP528">
        <f>$C528*AP527</f>
        <v/>
      </c>
      <c r="AQ528">
        <f>$C528*AQ527</f>
        <v/>
      </c>
      <c r="AR528">
        <f>$C528*AR527</f>
        <v/>
      </c>
      <c r="AS528">
        <f>$C528*AS527</f>
        <v/>
      </c>
      <c r="AT528">
        <f>$C528*AT527</f>
        <v/>
      </c>
      <c r="AU528">
        <f>$C528*AU527</f>
        <v/>
      </c>
      <c r="AV528">
        <f>$C528*AV527</f>
        <v/>
      </c>
      <c r="AW528">
        <f>$C528*AW527</f>
        <v/>
      </c>
      <c r="AX528">
        <f>$C528*AX527</f>
        <v/>
      </c>
      <c r="AY528">
        <f>$C528*AY527</f>
        <v/>
      </c>
      <c r="AZ528">
        <f>$C528*AZ527</f>
        <v/>
      </c>
      <c r="BA528">
        <f>$C528*BA527</f>
        <v/>
      </c>
      <c r="BB528">
        <f>$C528*BB527</f>
        <v/>
      </c>
      <c r="BC528">
        <f>$C528*BC527</f>
        <v/>
      </c>
      <c r="BD528">
        <f>$C528*BD527</f>
        <v/>
      </c>
      <c r="BE528">
        <f>$C528*BE527</f>
        <v/>
      </c>
      <c r="BF528">
        <f>$C528*BF527</f>
        <v/>
      </c>
      <c r="BG528">
        <f>$C528*BG527</f>
        <v/>
      </c>
      <c r="BH528">
        <f>$C528*BH527</f>
        <v/>
      </c>
      <c r="BI528">
        <f>$C528*BI527</f>
        <v/>
      </c>
      <c r="BJ528">
        <f>$C528*BJ527</f>
        <v/>
      </c>
      <c r="BK528">
        <f>$C528*BK527</f>
        <v/>
      </c>
      <c r="BL528">
        <f>$C528*BL527</f>
        <v/>
      </c>
      <c r="BM528">
        <f>$C528*BM527</f>
        <v/>
      </c>
      <c r="BN528">
        <f>$C528*BN527</f>
        <v/>
      </c>
      <c r="BO528">
        <f>$C528*BO527</f>
        <v/>
      </c>
      <c r="BP528">
        <f>$C528*BP527</f>
        <v/>
      </c>
      <c r="BQ528">
        <f>$C528*BQ527</f>
        <v/>
      </c>
      <c r="BR528">
        <f>$C528*BR527</f>
        <v/>
      </c>
      <c r="BS528">
        <f>$C528*BS527</f>
        <v/>
      </c>
      <c r="BT528">
        <f>$C528*BT527</f>
        <v/>
      </c>
      <c r="BU528">
        <f>$C528*BU527</f>
        <v/>
      </c>
      <c r="BV528">
        <f>$C528*BV527</f>
        <v/>
      </c>
      <c r="BW528">
        <f>$C528*BW527</f>
        <v/>
      </c>
      <c r="BX528">
        <f>$C528*BX527</f>
        <v/>
      </c>
      <c r="BY528">
        <f>$C528*BY527</f>
        <v/>
      </c>
      <c r="BZ528">
        <f>$C528*BZ527</f>
        <v/>
      </c>
      <c r="CA528">
        <f>$C528*CA527</f>
        <v/>
      </c>
      <c r="CB528">
        <f>$C528*CB527</f>
        <v/>
      </c>
      <c r="CC528">
        <f>$C528*CC527</f>
        <v/>
      </c>
      <c r="CD528">
        <f>$C528*CD527</f>
        <v/>
      </c>
      <c r="CE528">
        <f>$C528*CE527</f>
        <v/>
      </c>
      <c r="CF528">
        <f>$C528*CF527</f>
        <v/>
      </c>
      <c r="CG528">
        <f>$C528*CG527</f>
        <v/>
      </c>
      <c r="CH528">
        <f>$C528*CH527</f>
        <v/>
      </c>
      <c r="CI528">
        <f>$C528*CI527</f>
        <v/>
      </c>
      <c r="CJ528">
        <f>$C528*CJ527</f>
        <v/>
      </c>
      <c r="CK528">
        <f>$C528*CK527</f>
        <v/>
      </c>
      <c r="CL528">
        <f>$C528*CL527</f>
        <v/>
      </c>
      <c r="CM528">
        <f>$C528*CM527</f>
        <v/>
      </c>
      <c r="CN528">
        <f>$C528*CN527</f>
        <v/>
      </c>
      <c r="CO528">
        <f>$C528*CO527</f>
        <v/>
      </c>
      <c r="CP528">
        <f>$C528*CP527</f>
        <v/>
      </c>
      <c r="CQ528">
        <f>$C528*CQ527</f>
        <v/>
      </c>
      <c r="CR528">
        <f>$C528*CR527</f>
        <v/>
      </c>
      <c r="CS528">
        <f>$C528*CS527</f>
        <v/>
      </c>
      <c r="CT528">
        <f>$C528*CT527</f>
        <v/>
      </c>
      <c r="CU528">
        <f>$C528*CU527</f>
        <v/>
      </c>
      <c r="CV528">
        <f>$C528*CV527</f>
        <v/>
      </c>
      <c r="CW528">
        <f>$C528*CW527</f>
        <v/>
      </c>
      <c r="CX528">
        <f>$C528*CX527</f>
        <v/>
      </c>
      <c r="CY528">
        <f>$C528*CY527</f>
        <v/>
      </c>
      <c r="CZ528">
        <f>$C528*CZ527</f>
        <v/>
      </c>
      <c r="DA528">
        <f>$C528*DA527</f>
        <v/>
      </c>
      <c r="DB528">
        <f>$C528*DB527</f>
        <v/>
      </c>
      <c r="DC528">
        <f>$C528*DC527</f>
        <v/>
      </c>
    </row>
    <row r="529">
      <c r="B529" t="inlineStr">
        <is>
          <t>TSP-1555</t>
        </is>
      </c>
      <c r="C529" t="inlineStr">
        <is>
          <t>No. of batches</t>
        </is>
      </c>
      <c r="D529">
        <f>IFERROR(INDEX(PP_Grid[#Data],$DD529,2),0)</f>
        <v/>
      </c>
      <c r="E529">
        <f>IFERROR(INDEX(PP_Grid[#Data],$DD529,3),0)</f>
        <v/>
      </c>
      <c r="F529">
        <f>IFERROR(INDEX(PP_Grid[#Data],$DD529,4),0)</f>
        <v/>
      </c>
      <c r="G529">
        <f>IFERROR(INDEX(PP_Grid[#Data],$DD529,5),0)</f>
        <v/>
      </c>
      <c r="H529">
        <f>IFERROR(INDEX(PP_Grid[#Data],$DD529,6),0)</f>
        <v/>
      </c>
      <c r="I529">
        <f>IFERROR(INDEX(PP_Grid[#Data],$DD529,7),0)</f>
        <v/>
      </c>
      <c r="J529">
        <f>IFERROR(INDEX(PP_Grid[#Data],$DD529,8),0)</f>
        <v/>
      </c>
      <c r="K529">
        <f>IFERROR(INDEX(PP_Grid[#Data],$DD529,9),0)</f>
        <v/>
      </c>
      <c r="L529">
        <f>IFERROR(INDEX(PP_Grid[#Data],$DD529,10),0)</f>
        <v/>
      </c>
      <c r="M529">
        <f>IFERROR(INDEX(PP_Grid[#Data],$DD529,11),0)</f>
        <v/>
      </c>
      <c r="N529">
        <f>IFERROR(INDEX(PP_Grid[#Data],$DD529,12),0)</f>
        <v/>
      </c>
      <c r="O529">
        <f>IFERROR(INDEX(PP_Grid[#Data],$DD529,13),0)</f>
        <v/>
      </c>
      <c r="P529">
        <f>IFERROR(INDEX(PP_Grid[#Data],$DD529,14),0)</f>
        <v/>
      </c>
      <c r="Q529">
        <f>IFERROR(INDEX(PP_Grid[#Data],$DD529,15),0)</f>
        <v/>
      </c>
      <c r="R529">
        <f>IFERROR(INDEX(PP_Grid[#Data],$DD529,16),0)</f>
        <v/>
      </c>
      <c r="S529">
        <f>IFERROR(INDEX(PP_Grid[#Data],$DD529,17),0)</f>
        <v/>
      </c>
      <c r="T529">
        <f>IFERROR(INDEX(PP_Grid[#Data],$DD529,18),0)</f>
        <v/>
      </c>
      <c r="U529">
        <f>IFERROR(INDEX(PP_Grid[#Data],$DD529,19),0)</f>
        <v/>
      </c>
      <c r="V529">
        <f>IFERROR(INDEX(PP_Grid[#Data],$DD529,20),0)</f>
        <v/>
      </c>
      <c r="W529">
        <f>IFERROR(INDEX(PP_Grid[#Data],$DD529,21),0)</f>
        <v/>
      </c>
      <c r="X529">
        <f>IFERROR(INDEX(PP_Grid[#Data],$DD529,22),0)</f>
        <v/>
      </c>
      <c r="Y529">
        <f>IFERROR(INDEX(PP_Grid[#Data],$DD529,23),0)</f>
        <v/>
      </c>
      <c r="Z529">
        <f>IFERROR(INDEX(PP_Grid[#Data],$DD529,24),0)</f>
        <v/>
      </c>
      <c r="AA529">
        <f>IFERROR(INDEX(PP_Grid[#Data],$DD529,25),0)</f>
        <v/>
      </c>
      <c r="AB529">
        <f>IFERROR(INDEX(PP_Grid[#Data],$DD529,26),0)</f>
        <v/>
      </c>
      <c r="AC529">
        <f>IFERROR(INDEX(PP_Grid[#Data],$DD529,27),0)</f>
        <v/>
      </c>
      <c r="AD529">
        <f>IFERROR(INDEX(PP_Grid[#Data],$DD529,28),0)</f>
        <v/>
      </c>
      <c r="AE529">
        <f>IFERROR(INDEX(PP_Grid[#Data],$DD529,29),0)</f>
        <v/>
      </c>
      <c r="AF529">
        <f>IFERROR(INDEX(PP_Grid[#Data],$DD529,30),0)</f>
        <v/>
      </c>
      <c r="AG529">
        <f>IFERROR(INDEX(PP_Grid[#Data],$DD529,31),0)</f>
        <v/>
      </c>
      <c r="AH529">
        <f>IFERROR(INDEX(PP_Grid[#Data],$DD529,32),0)</f>
        <v/>
      </c>
      <c r="AI529">
        <f>IFERROR(INDEX(PP_Grid[#Data],$DD529,33),0)</f>
        <v/>
      </c>
      <c r="AJ529">
        <f>IFERROR(INDEX(PP_Grid[#Data],$DD529,34),0)</f>
        <v/>
      </c>
      <c r="AK529">
        <f>IFERROR(INDEX(PP_Grid[#Data],$DD529,35),0)</f>
        <v/>
      </c>
      <c r="AL529">
        <f>IFERROR(INDEX(PP_Grid[#Data],$DD529,36),0)</f>
        <v/>
      </c>
      <c r="AM529">
        <f>IFERROR(INDEX(PP_Grid[#Data],$DD529,37),0)</f>
        <v/>
      </c>
      <c r="AN529">
        <f>IFERROR(INDEX(PP_Grid[#Data],$DD529,38),0)</f>
        <v/>
      </c>
      <c r="AO529">
        <f>IFERROR(INDEX(PP_Grid[#Data],$DD529,39),0)</f>
        <v/>
      </c>
      <c r="AP529">
        <f>IFERROR(INDEX(PP_Grid[#Data],$DD529,40),0)</f>
        <v/>
      </c>
      <c r="AQ529">
        <f>IFERROR(INDEX(PP_Grid[#Data],$DD529,41),0)</f>
        <v/>
      </c>
      <c r="AR529">
        <f>IFERROR(INDEX(PP_Grid[#Data],$DD529,42),0)</f>
        <v/>
      </c>
      <c r="AS529">
        <f>IFERROR(INDEX(PP_Grid[#Data],$DD529,43),0)</f>
        <v/>
      </c>
      <c r="AT529">
        <f>IFERROR(INDEX(PP_Grid[#Data],$DD529,44),0)</f>
        <v/>
      </c>
      <c r="AU529">
        <f>IFERROR(INDEX(PP_Grid[#Data],$DD529,45),0)</f>
        <v/>
      </c>
      <c r="AV529">
        <f>IFERROR(INDEX(PP_Grid[#Data],$DD529,46),0)</f>
        <v/>
      </c>
      <c r="AW529">
        <f>IFERROR(INDEX(PP_Grid[#Data],$DD529,47),0)</f>
        <v/>
      </c>
      <c r="AX529">
        <f>IFERROR(INDEX(PP_Grid[#Data],$DD529,48),0)</f>
        <v/>
      </c>
      <c r="AY529">
        <f>IFERROR(INDEX(PP_Grid[#Data],$DD529,49),0)</f>
        <v/>
      </c>
      <c r="AZ529">
        <f>IFERROR(INDEX(PP_Grid[#Data],$DD529,50),0)</f>
        <v/>
      </c>
      <c r="BA529">
        <f>IFERROR(INDEX(PP_Grid[#Data],$DD529,51),0)</f>
        <v/>
      </c>
      <c r="BB529">
        <f>IFERROR(INDEX(PP_Grid[#Data],$DD529,52),0)</f>
        <v/>
      </c>
      <c r="BC529">
        <f>IFERROR(INDEX(PP_Grid[#Data],$DD529,53),0)</f>
        <v/>
      </c>
      <c r="BD529">
        <f>IFERROR(INDEX(PP_Grid[#Data],$DD529,54),0)</f>
        <v/>
      </c>
      <c r="BE529">
        <f>IFERROR(INDEX(PP_Grid[#Data],$DD529,55),0)</f>
        <v/>
      </c>
      <c r="BF529">
        <f>IFERROR(INDEX(PP_Grid[#Data],$DD529,56),0)</f>
        <v/>
      </c>
      <c r="BG529">
        <f>IFERROR(INDEX(PP_Grid[#Data],$DD529,57),0)</f>
        <v/>
      </c>
      <c r="BH529">
        <f>IFERROR(INDEX(PP_Grid[#Data],$DD529,58),0)</f>
        <v/>
      </c>
      <c r="BI529">
        <f>IFERROR(INDEX(PP_Grid[#Data],$DD529,59),0)</f>
        <v/>
      </c>
      <c r="BJ529">
        <f>IFERROR(INDEX(PP_Grid[#Data],$DD529,60),0)</f>
        <v/>
      </c>
      <c r="BK529">
        <f>IFERROR(INDEX(PP_Grid[#Data],$DD529,61),0)</f>
        <v/>
      </c>
      <c r="BL529">
        <f>IFERROR(INDEX(PP_Grid[#Data],$DD529,62),0)</f>
        <v/>
      </c>
      <c r="BM529">
        <f>IFERROR(INDEX(PP_Grid[#Data],$DD529,63),0)</f>
        <v/>
      </c>
      <c r="BN529">
        <f>IFERROR(INDEX(PP_Grid[#Data],$DD529,64),0)</f>
        <v/>
      </c>
      <c r="BO529">
        <f>IFERROR(INDEX(PP_Grid[#Data],$DD529,65),0)</f>
        <v/>
      </c>
      <c r="BP529">
        <f>IFERROR(INDEX(PP_Grid[#Data],$DD529,66),0)</f>
        <v/>
      </c>
      <c r="BQ529">
        <f>IFERROR(INDEX(PP_Grid[#Data],$DD529,67),0)</f>
        <v/>
      </c>
      <c r="BR529">
        <f>IFERROR(INDEX(PP_Grid[#Data],$DD529,68),0)</f>
        <v/>
      </c>
      <c r="BS529">
        <f>IFERROR(INDEX(PP_Grid[#Data],$DD529,69),0)</f>
        <v/>
      </c>
      <c r="BT529">
        <f>IFERROR(INDEX(PP_Grid[#Data],$DD529,70),0)</f>
        <v/>
      </c>
      <c r="BU529">
        <f>IFERROR(INDEX(PP_Grid[#Data],$DD529,71),0)</f>
        <v/>
      </c>
      <c r="BV529">
        <f>IFERROR(INDEX(PP_Grid[#Data],$DD529,72),0)</f>
        <v/>
      </c>
      <c r="BW529">
        <f>IFERROR(INDEX(PP_Grid[#Data],$DD529,73),0)</f>
        <v/>
      </c>
      <c r="BX529">
        <f>IFERROR(INDEX(PP_Grid[#Data],$DD529,74),0)</f>
        <v/>
      </c>
      <c r="BY529">
        <f>IFERROR(INDEX(PP_Grid[#Data],$DD529,75),0)</f>
        <v/>
      </c>
      <c r="BZ529">
        <f>IFERROR(INDEX(PP_Grid[#Data],$DD529,76),0)</f>
        <v/>
      </c>
      <c r="CA529">
        <f>IFERROR(INDEX(PP_Grid[#Data],$DD529,77),0)</f>
        <v/>
      </c>
      <c r="CB529">
        <f>IFERROR(INDEX(PP_Grid[#Data],$DD529,78),0)</f>
        <v/>
      </c>
      <c r="CC529">
        <f>IFERROR(INDEX(PP_Grid[#Data],$DD529,79),0)</f>
        <v/>
      </c>
      <c r="CD529">
        <f>IFERROR(INDEX(PP_Grid[#Data],$DD529,80),0)</f>
        <v/>
      </c>
      <c r="CE529">
        <f>IFERROR(INDEX(PP_Grid[#Data],$DD529,81),0)</f>
        <v/>
      </c>
      <c r="CF529">
        <f>IFERROR(INDEX(PP_Grid[#Data],$DD529,82),0)</f>
        <v/>
      </c>
      <c r="CG529">
        <f>IFERROR(INDEX(PP_Grid[#Data],$DD529,83),0)</f>
        <v/>
      </c>
      <c r="CH529">
        <f>IFERROR(INDEX(PP_Grid[#Data],$DD529,84),0)</f>
        <v/>
      </c>
      <c r="CI529">
        <f>IFERROR(INDEX(PP_Grid[#Data],$DD529,85),0)</f>
        <v/>
      </c>
      <c r="CJ529">
        <f>IFERROR(INDEX(PP_Grid[#Data],$DD529,86),0)</f>
        <v/>
      </c>
      <c r="CK529">
        <f>IFERROR(INDEX(PP_Grid[#Data],$DD529,87),0)</f>
        <v/>
      </c>
      <c r="CL529">
        <f>IFERROR(INDEX(PP_Grid[#Data],$DD529,88),0)</f>
        <v/>
      </c>
      <c r="CM529">
        <f>IFERROR(INDEX(PP_Grid[#Data],$DD529,89),0)</f>
        <v/>
      </c>
      <c r="CN529">
        <f>IFERROR(INDEX(PP_Grid[#Data],$DD529,90),0)</f>
        <v/>
      </c>
      <c r="CO529">
        <f>IFERROR(INDEX(PP_Grid[#Data],$DD529,91),0)</f>
        <v/>
      </c>
      <c r="CP529">
        <f>IFERROR(INDEX(PP_Grid[#Data],$DD529,92),0)</f>
        <v/>
      </c>
      <c r="CQ529">
        <f>IFERROR(INDEX(PP_Grid[#Data],$DD529,93),0)</f>
        <v/>
      </c>
      <c r="CR529">
        <f>IFERROR(INDEX(PP_Grid[#Data],$DD529,94),0)</f>
        <v/>
      </c>
      <c r="CS529">
        <f>IFERROR(INDEX(PP_Grid[#Data],$DD529,95),0)</f>
        <v/>
      </c>
      <c r="CT529">
        <f>IFERROR(INDEX(PP_Grid[#Data],$DD529,96),0)</f>
        <v/>
      </c>
      <c r="CU529">
        <f>IFERROR(INDEX(PP_Grid[#Data],$DD529,97),0)</f>
        <v/>
      </c>
      <c r="CV529">
        <f>IFERROR(INDEX(PP_Grid[#Data],$DD529,98),0)</f>
        <v/>
      </c>
      <c r="CW529">
        <f>IFERROR(INDEX(PP_Grid[#Data],$DD529,99),0)</f>
        <v/>
      </c>
      <c r="CX529">
        <f>IFERROR(INDEX(PP_Grid[#Data],$DD529,100),0)</f>
        <v/>
      </c>
      <c r="CY529">
        <f>IFERROR(INDEX(PP_Grid[#Data],$DD529,101),0)</f>
        <v/>
      </c>
      <c r="CZ529">
        <f>IFERROR(INDEX(PP_Grid[#Data],$DD529,102),0)</f>
        <v/>
      </c>
      <c r="DA529">
        <f>IFERROR(INDEX(PP_Grid[#Data],$DD529,103),0)</f>
        <v/>
      </c>
      <c r="DB529">
        <f>IFERROR(INDEX(PP_Grid[#Data],$DD529,104),0)</f>
        <v/>
      </c>
      <c r="DC529">
        <f>IFERROR(INDEX(PP_Grid[#Data],$DD529,105),0)</f>
        <v/>
      </c>
      <c r="DD529" s="12">
        <f>IFERROR(MATCH($B529,PP_Grid[Intermediate],0),99999)</f>
        <v/>
      </c>
    </row>
    <row r="530">
      <c r="B530" t="inlineStr">
        <is>
          <t>使用量(kg)</t>
        </is>
      </c>
      <c r="C530">
        <f>SUMIFS(M_BOM[RM_Qty_Per_Batch],M_BOM[Intermediate],$B529,M_BOM[Part Name],$A518)</f>
        <v/>
      </c>
      <c r="D530">
        <f>$C530*D529</f>
        <v/>
      </c>
      <c r="E530">
        <f>$C530*E529</f>
        <v/>
      </c>
      <c r="F530">
        <f>$C530*F529</f>
        <v/>
      </c>
      <c r="G530">
        <f>$C530*G529</f>
        <v/>
      </c>
      <c r="H530">
        <f>$C530*H529</f>
        <v/>
      </c>
      <c r="I530">
        <f>$C530*I529</f>
        <v/>
      </c>
      <c r="J530">
        <f>$C530*J529</f>
        <v/>
      </c>
      <c r="K530">
        <f>$C530*K529</f>
        <v/>
      </c>
      <c r="L530">
        <f>$C530*L529</f>
        <v/>
      </c>
      <c r="M530">
        <f>$C530*M529</f>
        <v/>
      </c>
      <c r="N530">
        <f>$C530*N529</f>
        <v/>
      </c>
      <c r="O530">
        <f>$C530*O529</f>
        <v/>
      </c>
      <c r="P530">
        <f>$C530*P529</f>
        <v/>
      </c>
      <c r="Q530">
        <f>$C530*Q529</f>
        <v/>
      </c>
      <c r="R530">
        <f>$C530*R529</f>
        <v/>
      </c>
      <c r="S530">
        <f>$C530*S529</f>
        <v/>
      </c>
      <c r="T530">
        <f>$C530*T529</f>
        <v/>
      </c>
      <c r="U530">
        <f>$C530*U529</f>
        <v/>
      </c>
      <c r="V530">
        <f>$C530*V529</f>
        <v/>
      </c>
      <c r="W530">
        <f>$C530*W529</f>
        <v/>
      </c>
      <c r="X530">
        <f>$C530*X529</f>
        <v/>
      </c>
      <c r="Y530">
        <f>$C530*Y529</f>
        <v/>
      </c>
      <c r="Z530">
        <f>$C530*Z529</f>
        <v/>
      </c>
      <c r="AA530">
        <f>$C530*AA529</f>
        <v/>
      </c>
      <c r="AB530">
        <f>$C530*AB529</f>
        <v/>
      </c>
      <c r="AC530">
        <f>$C530*AC529</f>
        <v/>
      </c>
      <c r="AD530">
        <f>$C530*AD529</f>
        <v/>
      </c>
      <c r="AE530">
        <f>$C530*AE529</f>
        <v/>
      </c>
      <c r="AF530">
        <f>$C530*AF529</f>
        <v/>
      </c>
      <c r="AG530">
        <f>$C530*AG529</f>
        <v/>
      </c>
      <c r="AH530">
        <f>$C530*AH529</f>
        <v/>
      </c>
      <c r="AI530">
        <f>$C530*AI529</f>
        <v/>
      </c>
      <c r="AJ530">
        <f>$C530*AJ529</f>
        <v/>
      </c>
      <c r="AK530">
        <f>$C530*AK529</f>
        <v/>
      </c>
      <c r="AL530">
        <f>$C530*AL529</f>
        <v/>
      </c>
      <c r="AM530">
        <f>$C530*AM529</f>
        <v/>
      </c>
      <c r="AN530">
        <f>$C530*AN529</f>
        <v/>
      </c>
      <c r="AO530">
        <f>$C530*AO529</f>
        <v/>
      </c>
      <c r="AP530">
        <f>$C530*AP529</f>
        <v/>
      </c>
      <c r="AQ530">
        <f>$C530*AQ529</f>
        <v/>
      </c>
      <c r="AR530">
        <f>$C530*AR529</f>
        <v/>
      </c>
      <c r="AS530">
        <f>$C530*AS529</f>
        <v/>
      </c>
      <c r="AT530">
        <f>$C530*AT529</f>
        <v/>
      </c>
      <c r="AU530">
        <f>$C530*AU529</f>
        <v/>
      </c>
      <c r="AV530">
        <f>$C530*AV529</f>
        <v/>
      </c>
      <c r="AW530">
        <f>$C530*AW529</f>
        <v/>
      </c>
      <c r="AX530">
        <f>$C530*AX529</f>
        <v/>
      </c>
      <c r="AY530">
        <f>$C530*AY529</f>
        <v/>
      </c>
      <c r="AZ530">
        <f>$C530*AZ529</f>
        <v/>
      </c>
      <c r="BA530">
        <f>$C530*BA529</f>
        <v/>
      </c>
      <c r="BB530">
        <f>$C530*BB529</f>
        <v/>
      </c>
      <c r="BC530">
        <f>$C530*BC529</f>
        <v/>
      </c>
      <c r="BD530">
        <f>$C530*BD529</f>
        <v/>
      </c>
      <c r="BE530">
        <f>$C530*BE529</f>
        <v/>
      </c>
      <c r="BF530">
        <f>$C530*BF529</f>
        <v/>
      </c>
      <c r="BG530">
        <f>$C530*BG529</f>
        <v/>
      </c>
      <c r="BH530">
        <f>$C530*BH529</f>
        <v/>
      </c>
      <c r="BI530">
        <f>$C530*BI529</f>
        <v/>
      </c>
      <c r="BJ530">
        <f>$C530*BJ529</f>
        <v/>
      </c>
      <c r="BK530">
        <f>$C530*BK529</f>
        <v/>
      </c>
      <c r="BL530">
        <f>$C530*BL529</f>
        <v/>
      </c>
      <c r="BM530">
        <f>$C530*BM529</f>
        <v/>
      </c>
      <c r="BN530">
        <f>$C530*BN529</f>
        <v/>
      </c>
      <c r="BO530">
        <f>$C530*BO529</f>
        <v/>
      </c>
      <c r="BP530">
        <f>$C530*BP529</f>
        <v/>
      </c>
      <c r="BQ530">
        <f>$C530*BQ529</f>
        <v/>
      </c>
      <c r="BR530">
        <f>$C530*BR529</f>
        <v/>
      </c>
      <c r="BS530">
        <f>$C530*BS529</f>
        <v/>
      </c>
      <c r="BT530">
        <f>$C530*BT529</f>
        <v/>
      </c>
      <c r="BU530">
        <f>$C530*BU529</f>
        <v/>
      </c>
      <c r="BV530">
        <f>$C530*BV529</f>
        <v/>
      </c>
      <c r="BW530">
        <f>$C530*BW529</f>
        <v/>
      </c>
      <c r="BX530">
        <f>$C530*BX529</f>
        <v/>
      </c>
      <c r="BY530">
        <f>$C530*BY529</f>
        <v/>
      </c>
      <c r="BZ530">
        <f>$C530*BZ529</f>
        <v/>
      </c>
      <c r="CA530">
        <f>$C530*CA529</f>
        <v/>
      </c>
      <c r="CB530">
        <f>$C530*CB529</f>
        <v/>
      </c>
      <c r="CC530">
        <f>$C530*CC529</f>
        <v/>
      </c>
      <c r="CD530">
        <f>$C530*CD529</f>
        <v/>
      </c>
      <c r="CE530">
        <f>$C530*CE529</f>
        <v/>
      </c>
      <c r="CF530">
        <f>$C530*CF529</f>
        <v/>
      </c>
      <c r="CG530">
        <f>$C530*CG529</f>
        <v/>
      </c>
      <c r="CH530">
        <f>$C530*CH529</f>
        <v/>
      </c>
      <c r="CI530">
        <f>$C530*CI529</f>
        <v/>
      </c>
      <c r="CJ530">
        <f>$C530*CJ529</f>
        <v/>
      </c>
      <c r="CK530">
        <f>$C530*CK529</f>
        <v/>
      </c>
      <c r="CL530">
        <f>$C530*CL529</f>
        <v/>
      </c>
      <c r="CM530">
        <f>$C530*CM529</f>
        <v/>
      </c>
      <c r="CN530">
        <f>$C530*CN529</f>
        <v/>
      </c>
      <c r="CO530">
        <f>$C530*CO529</f>
        <v/>
      </c>
      <c r="CP530">
        <f>$C530*CP529</f>
        <v/>
      </c>
      <c r="CQ530">
        <f>$C530*CQ529</f>
        <v/>
      </c>
      <c r="CR530">
        <f>$C530*CR529</f>
        <v/>
      </c>
      <c r="CS530">
        <f>$C530*CS529</f>
        <v/>
      </c>
      <c r="CT530">
        <f>$C530*CT529</f>
        <v/>
      </c>
      <c r="CU530">
        <f>$C530*CU529</f>
        <v/>
      </c>
      <c r="CV530">
        <f>$C530*CV529</f>
        <v/>
      </c>
      <c r="CW530">
        <f>$C530*CW529</f>
        <v/>
      </c>
      <c r="CX530">
        <f>$C530*CX529</f>
        <v/>
      </c>
      <c r="CY530">
        <f>$C530*CY529</f>
        <v/>
      </c>
      <c r="CZ530">
        <f>$C530*CZ529</f>
        <v/>
      </c>
      <c r="DA530">
        <f>$C530*DA529</f>
        <v/>
      </c>
      <c r="DB530">
        <f>$C530*DB529</f>
        <v/>
      </c>
      <c r="DC530">
        <f>$C530*DC529</f>
        <v/>
      </c>
    </row>
    <row r="531">
      <c r="B531" t="inlineStr">
        <is>
          <t>TSP-199</t>
        </is>
      </c>
      <c r="C531" t="inlineStr">
        <is>
          <t>No. of batches</t>
        </is>
      </c>
      <c r="D531">
        <f>IFERROR(INDEX(PP_Grid[#Data],$DD531,2),0)</f>
        <v/>
      </c>
      <c r="E531">
        <f>IFERROR(INDEX(PP_Grid[#Data],$DD531,3),0)</f>
        <v/>
      </c>
      <c r="F531">
        <f>IFERROR(INDEX(PP_Grid[#Data],$DD531,4),0)</f>
        <v/>
      </c>
      <c r="G531">
        <f>IFERROR(INDEX(PP_Grid[#Data],$DD531,5),0)</f>
        <v/>
      </c>
      <c r="H531">
        <f>IFERROR(INDEX(PP_Grid[#Data],$DD531,6),0)</f>
        <v/>
      </c>
      <c r="I531">
        <f>IFERROR(INDEX(PP_Grid[#Data],$DD531,7),0)</f>
        <v/>
      </c>
      <c r="J531">
        <f>IFERROR(INDEX(PP_Grid[#Data],$DD531,8),0)</f>
        <v/>
      </c>
      <c r="K531">
        <f>IFERROR(INDEX(PP_Grid[#Data],$DD531,9),0)</f>
        <v/>
      </c>
      <c r="L531">
        <f>IFERROR(INDEX(PP_Grid[#Data],$DD531,10),0)</f>
        <v/>
      </c>
      <c r="M531">
        <f>IFERROR(INDEX(PP_Grid[#Data],$DD531,11),0)</f>
        <v/>
      </c>
      <c r="N531">
        <f>IFERROR(INDEX(PP_Grid[#Data],$DD531,12),0)</f>
        <v/>
      </c>
      <c r="O531">
        <f>IFERROR(INDEX(PP_Grid[#Data],$DD531,13),0)</f>
        <v/>
      </c>
      <c r="P531">
        <f>IFERROR(INDEX(PP_Grid[#Data],$DD531,14),0)</f>
        <v/>
      </c>
      <c r="Q531">
        <f>IFERROR(INDEX(PP_Grid[#Data],$DD531,15),0)</f>
        <v/>
      </c>
      <c r="R531">
        <f>IFERROR(INDEX(PP_Grid[#Data],$DD531,16),0)</f>
        <v/>
      </c>
      <c r="S531">
        <f>IFERROR(INDEX(PP_Grid[#Data],$DD531,17),0)</f>
        <v/>
      </c>
      <c r="T531">
        <f>IFERROR(INDEX(PP_Grid[#Data],$DD531,18),0)</f>
        <v/>
      </c>
      <c r="U531">
        <f>IFERROR(INDEX(PP_Grid[#Data],$DD531,19),0)</f>
        <v/>
      </c>
      <c r="V531">
        <f>IFERROR(INDEX(PP_Grid[#Data],$DD531,20),0)</f>
        <v/>
      </c>
      <c r="W531">
        <f>IFERROR(INDEX(PP_Grid[#Data],$DD531,21),0)</f>
        <v/>
      </c>
      <c r="X531">
        <f>IFERROR(INDEX(PP_Grid[#Data],$DD531,22),0)</f>
        <v/>
      </c>
      <c r="Y531">
        <f>IFERROR(INDEX(PP_Grid[#Data],$DD531,23),0)</f>
        <v/>
      </c>
      <c r="Z531">
        <f>IFERROR(INDEX(PP_Grid[#Data],$DD531,24),0)</f>
        <v/>
      </c>
      <c r="AA531">
        <f>IFERROR(INDEX(PP_Grid[#Data],$DD531,25),0)</f>
        <v/>
      </c>
      <c r="AB531">
        <f>IFERROR(INDEX(PP_Grid[#Data],$DD531,26),0)</f>
        <v/>
      </c>
      <c r="AC531">
        <f>IFERROR(INDEX(PP_Grid[#Data],$DD531,27),0)</f>
        <v/>
      </c>
      <c r="AD531">
        <f>IFERROR(INDEX(PP_Grid[#Data],$DD531,28),0)</f>
        <v/>
      </c>
      <c r="AE531">
        <f>IFERROR(INDEX(PP_Grid[#Data],$DD531,29),0)</f>
        <v/>
      </c>
      <c r="AF531">
        <f>IFERROR(INDEX(PP_Grid[#Data],$DD531,30),0)</f>
        <v/>
      </c>
      <c r="AG531">
        <f>IFERROR(INDEX(PP_Grid[#Data],$DD531,31),0)</f>
        <v/>
      </c>
      <c r="AH531">
        <f>IFERROR(INDEX(PP_Grid[#Data],$DD531,32),0)</f>
        <v/>
      </c>
      <c r="AI531">
        <f>IFERROR(INDEX(PP_Grid[#Data],$DD531,33),0)</f>
        <v/>
      </c>
      <c r="AJ531">
        <f>IFERROR(INDEX(PP_Grid[#Data],$DD531,34),0)</f>
        <v/>
      </c>
      <c r="AK531">
        <f>IFERROR(INDEX(PP_Grid[#Data],$DD531,35),0)</f>
        <v/>
      </c>
      <c r="AL531">
        <f>IFERROR(INDEX(PP_Grid[#Data],$DD531,36),0)</f>
        <v/>
      </c>
      <c r="AM531">
        <f>IFERROR(INDEX(PP_Grid[#Data],$DD531,37),0)</f>
        <v/>
      </c>
      <c r="AN531">
        <f>IFERROR(INDEX(PP_Grid[#Data],$DD531,38),0)</f>
        <v/>
      </c>
      <c r="AO531">
        <f>IFERROR(INDEX(PP_Grid[#Data],$DD531,39),0)</f>
        <v/>
      </c>
      <c r="AP531">
        <f>IFERROR(INDEX(PP_Grid[#Data],$DD531,40),0)</f>
        <v/>
      </c>
      <c r="AQ531">
        <f>IFERROR(INDEX(PP_Grid[#Data],$DD531,41),0)</f>
        <v/>
      </c>
      <c r="AR531">
        <f>IFERROR(INDEX(PP_Grid[#Data],$DD531,42),0)</f>
        <v/>
      </c>
      <c r="AS531">
        <f>IFERROR(INDEX(PP_Grid[#Data],$DD531,43),0)</f>
        <v/>
      </c>
      <c r="AT531">
        <f>IFERROR(INDEX(PP_Grid[#Data],$DD531,44),0)</f>
        <v/>
      </c>
      <c r="AU531">
        <f>IFERROR(INDEX(PP_Grid[#Data],$DD531,45),0)</f>
        <v/>
      </c>
      <c r="AV531">
        <f>IFERROR(INDEX(PP_Grid[#Data],$DD531,46),0)</f>
        <v/>
      </c>
      <c r="AW531">
        <f>IFERROR(INDEX(PP_Grid[#Data],$DD531,47),0)</f>
        <v/>
      </c>
      <c r="AX531">
        <f>IFERROR(INDEX(PP_Grid[#Data],$DD531,48),0)</f>
        <v/>
      </c>
      <c r="AY531">
        <f>IFERROR(INDEX(PP_Grid[#Data],$DD531,49),0)</f>
        <v/>
      </c>
      <c r="AZ531">
        <f>IFERROR(INDEX(PP_Grid[#Data],$DD531,50),0)</f>
        <v/>
      </c>
      <c r="BA531">
        <f>IFERROR(INDEX(PP_Grid[#Data],$DD531,51),0)</f>
        <v/>
      </c>
      <c r="BB531">
        <f>IFERROR(INDEX(PP_Grid[#Data],$DD531,52),0)</f>
        <v/>
      </c>
      <c r="BC531">
        <f>IFERROR(INDEX(PP_Grid[#Data],$DD531,53),0)</f>
        <v/>
      </c>
      <c r="BD531">
        <f>IFERROR(INDEX(PP_Grid[#Data],$DD531,54),0)</f>
        <v/>
      </c>
      <c r="BE531">
        <f>IFERROR(INDEX(PP_Grid[#Data],$DD531,55),0)</f>
        <v/>
      </c>
      <c r="BF531">
        <f>IFERROR(INDEX(PP_Grid[#Data],$DD531,56),0)</f>
        <v/>
      </c>
      <c r="BG531">
        <f>IFERROR(INDEX(PP_Grid[#Data],$DD531,57),0)</f>
        <v/>
      </c>
      <c r="BH531">
        <f>IFERROR(INDEX(PP_Grid[#Data],$DD531,58),0)</f>
        <v/>
      </c>
      <c r="BI531">
        <f>IFERROR(INDEX(PP_Grid[#Data],$DD531,59),0)</f>
        <v/>
      </c>
      <c r="BJ531">
        <f>IFERROR(INDEX(PP_Grid[#Data],$DD531,60),0)</f>
        <v/>
      </c>
      <c r="BK531">
        <f>IFERROR(INDEX(PP_Grid[#Data],$DD531,61),0)</f>
        <v/>
      </c>
      <c r="BL531">
        <f>IFERROR(INDEX(PP_Grid[#Data],$DD531,62),0)</f>
        <v/>
      </c>
      <c r="BM531">
        <f>IFERROR(INDEX(PP_Grid[#Data],$DD531,63),0)</f>
        <v/>
      </c>
      <c r="BN531">
        <f>IFERROR(INDEX(PP_Grid[#Data],$DD531,64),0)</f>
        <v/>
      </c>
      <c r="BO531">
        <f>IFERROR(INDEX(PP_Grid[#Data],$DD531,65),0)</f>
        <v/>
      </c>
      <c r="BP531">
        <f>IFERROR(INDEX(PP_Grid[#Data],$DD531,66),0)</f>
        <v/>
      </c>
      <c r="BQ531">
        <f>IFERROR(INDEX(PP_Grid[#Data],$DD531,67),0)</f>
        <v/>
      </c>
      <c r="BR531">
        <f>IFERROR(INDEX(PP_Grid[#Data],$DD531,68),0)</f>
        <v/>
      </c>
      <c r="BS531">
        <f>IFERROR(INDEX(PP_Grid[#Data],$DD531,69),0)</f>
        <v/>
      </c>
      <c r="BT531">
        <f>IFERROR(INDEX(PP_Grid[#Data],$DD531,70),0)</f>
        <v/>
      </c>
      <c r="BU531">
        <f>IFERROR(INDEX(PP_Grid[#Data],$DD531,71),0)</f>
        <v/>
      </c>
      <c r="BV531">
        <f>IFERROR(INDEX(PP_Grid[#Data],$DD531,72),0)</f>
        <v/>
      </c>
      <c r="BW531">
        <f>IFERROR(INDEX(PP_Grid[#Data],$DD531,73),0)</f>
        <v/>
      </c>
      <c r="BX531">
        <f>IFERROR(INDEX(PP_Grid[#Data],$DD531,74),0)</f>
        <v/>
      </c>
      <c r="BY531">
        <f>IFERROR(INDEX(PP_Grid[#Data],$DD531,75),0)</f>
        <v/>
      </c>
      <c r="BZ531">
        <f>IFERROR(INDEX(PP_Grid[#Data],$DD531,76),0)</f>
        <v/>
      </c>
      <c r="CA531">
        <f>IFERROR(INDEX(PP_Grid[#Data],$DD531,77),0)</f>
        <v/>
      </c>
      <c r="CB531">
        <f>IFERROR(INDEX(PP_Grid[#Data],$DD531,78),0)</f>
        <v/>
      </c>
      <c r="CC531">
        <f>IFERROR(INDEX(PP_Grid[#Data],$DD531,79),0)</f>
        <v/>
      </c>
      <c r="CD531">
        <f>IFERROR(INDEX(PP_Grid[#Data],$DD531,80),0)</f>
        <v/>
      </c>
      <c r="CE531">
        <f>IFERROR(INDEX(PP_Grid[#Data],$DD531,81),0)</f>
        <v/>
      </c>
      <c r="CF531">
        <f>IFERROR(INDEX(PP_Grid[#Data],$DD531,82),0)</f>
        <v/>
      </c>
      <c r="CG531">
        <f>IFERROR(INDEX(PP_Grid[#Data],$DD531,83),0)</f>
        <v/>
      </c>
      <c r="CH531">
        <f>IFERROR(INDEX(PP_Grid[#Data],$DD531,84),0)</f>
        <v/>
      </c>
      <c r="CI531">
        <f>IFERROR(INDEX(PP_Grid[#Data],$DD531,85),0)</f>
        <v/>
      </c>
      <c r="CJ531">
        <f>IFERROR(INDEX(PP_Grid[#Data],$DD531,86),0)</f>
        <v/>
      </c>
      <c r="CK531">
        <f>IFERROR(INDEX(PP_Grid[#Data],$DD531,87),0)</f>
        <v/>
      </c>
      <c r="CL531">
        <f>IFERROR(INDEX(PP_Grid[#Data],$DD531,88),0)</f>
        <v/>
      </c>
      <c r="CM531">
        <f>IFERROR(INDEX(PP_Grid[#Data],$DD531,89),0)</f>
        <v/>
      </c>
      <c r="CN531">
        <f>IFERROR(INDEX(PP_Grid[#Data],$DD531,90),0)</f>
        <v/>
      </c>
      <c r="CO531">
        <f>IFERROR(INDEX(PP_Grid[#Data],$DD531,91),0)</f>
        <v/>
      </c>
      <c r="CP531">
        <f>IFERROR(INDEX(PP_Grid[#Data],$DD531,92),0)</f>
        <v/>
      </c>
      <c r="CQ531">
        <f>IFERROR(INDEX(PP_Grid[#Data],$DD531,93),0)</f>
        <v/>
      </c>
      <c r="CR531">
        <f>IFERROR(INDEX(PP_Grid[#Data],$DD531,94),0)</f>
        <v/>
      </c>
      <c r="CS531">
        <f>IFERROR(INDEX(PP_Grid[#Data],$DD531,95),0)</f>
        <v/>
      </c>
      <c r="CT531">
        <f>IFERROR(INDEX(PP_Grid[#Data],$DD531,96),0)</f>
        <v/>
      </c>
      <c r="CU531">
        <f>IFERROR(INDEX(PP_Grid[#Data],$DD531,97),0)</f>
        <v/>
      </c>
      <c r="CV531">
        <f>IFERROR(INDEX(PP_Grid[#Data],$DD531,98),0)</f>
        <v/>
      </c>
      <c r="CW531">
        <f>IFERROR(INDEX(PP_Grid[#Data],$DD531,99),0)</f>
        <v/>
      </c>
      <c r="CX531">
        <f>IFERROR(INDEX(PP_Grid[#Data],$DD531,100),0)</f>
        <v/>
      </c>
      <c r="CY531">
        <f>IFERROR(INDEX(PP_Grid[#Data],$DD531,101),0)</f>
        <v/>
      </c>
      <c r="CZ531">
        <f>IFERROR(INDEX(PP_Grid[#Data],$DD531,102),0)</f>
        <v/>
      </c>
      <c r="DA531">
        <f>IFERROR(INDEX(PP_Grid[#Data],$DD531,103),0)</f>
        <v/>
      </c>
      <c r="DB531">
        <f>IFERROR(INDEX(PP_Grid[#Data],$DD531,104),0)</f>
        <v/>
      </c>
      <c r="DC531">
        <f>IFERROR(INDEX(PP_Grid[#Data],$DD531,105),0)</f>
        <v/>
      </c>
      <c r="DD531" s="12">
        <f>IFERROR(MATCH($B531,PP_Grid[Intermediate],0),99999)</f>
        <v/>
      </c>
    </row>
    <row r="532">
      <c r="B532" t="inlineStr">
        <is>
          <t>使用量(kg)</t>
        </is>
      </c>
      <c r="C532">
        <f>SUMIFS(M_BOM[RM_Qty_Per_Batch],M_BOM[Intermediate],$B531,M_BOM[Part Name],$A518)</f>
        <v/>
      </c>
      <c r="D532">
        <f>$C532*D531</f>
        <v/>
      </c>
      <c r="E532">
        <f>$C532*E531</f>
        <v/>
      </c>
      <c r="F532">
        <f>$C532*F531</f>
        <v/>
      </c>
      <c r="G532">
        <f>$C532*G531</f>
        <v/>
      </c>
      <c r="H532">
        <f>$C532*H531</f>
        <v/>
      </c>
      <c r="I532">
        <f>$C532*I531</f>
        <v/>
      </c>
      <c r="J532">
        <f>$C532*J531</f>
        <v/>
      </c>
      <c r="K532">
        <f>$C532*K531</f>
        <v/>
      </c>
      <c r="L532">
        <f>$C532*L531</f>
        <v/>
      </c>
      <c r="M532">
        <f>$C532*M531</f>
        <v/>
      </c>
      <c r="N532">
        <f>$C532*N531</f>
        <v/>
      </c>
      <c r="O532">
        <f>$C532*O531</f>
        <v/>
      </c>
      <c r="P532">
        <f>$C532*P531</f>
        <v/>
      </c>
      <c r="Q532">
        <f>$C532*Q531</f>
        <v/>
      </c>
      <c r="R532">
        <f>$C532*R531</f>
        <v/>
      </c>
      <c r="S532">
        <f>$C532*S531</f>
        <v/>
      </c>
      <c r="T532">
        <f>$C532*T531</f>
        <v/>
      </c>
      <c r="U532">
        <f>$C532*U531</f>
        <v/>
      </c>
      <c r="V532">
        <f>$C532*V531</f>
        <v/>
      </c>
      <c r="W532">
        <f>$C532*W531</f>
        <v/>
      </c>
      <c r="X532">
        <f>$C532*X531</f>
        <v/>
      </c>
      <c r="Y532">
        <f>$C532*Y531</f>
        <v/>
      </c>
      <c r="Z532">
        <f>$C532*Z531</f>
        <v/>
      </c>
      <c r="AA532">
        <f>$C532*AA531</f>
        <v/>
      </c>
      <c r="AB532">
        <f>$C532*AB531</f>
        <v/>
      </c>
      <c r="AC532">
        <f>$C532*AC531</f>
        <v/>
      </c>
      <c r="AD532">
        <f>$C532*AD531</f>
        <v/>
      </c>
      <c r="AE532">
        <f>$C532*AE531</f>
        <v/>
      </c>
      <c r="AF532">
        <f>$C532*AF531</f>
        <v/>
      </c>
      <c r="AG532">
        <f>$C532*AG531</f>
        <v/>
      </c>
      <c r="AH532">
        <f>$C532*AH531</f>
        <v/>
      </c>
      <c r="AI532">
        <f>$C532*AI531</f>
        <v/>
      </c>
      <c r="AJ532">
        <f>$C532*AJ531</f>
        <v/>
      </c>
      <c r="AK532">
        <f>$C532*AK531</f>
        <v/>
      </c>
      <c r="AL532">
        <f>$C532*AL531</f>
        <v/>
      </c>
      <c r="AM532">
        <f>$C532*AM531</f>
        <v/>
      </c>
      <c r="AN532">
        <f>$C532*AN531</f>
        <v/>
      </c>
      <c r="AO532">
        <f>$C532*AO531</f>
        <v/>
      </c>
      <c r="AP532">
        <f>$C532*AP531</f>
        <v/>
      </c>
      <c r="AQ532">
        <f>$C532*AQ531</f>
        <v/>
      </c>
      <c r="AR532">
        <f>$C532*AR531</f>
        <v/>
      </c>
      <c r="AS532">
        <f>$C532*AS531</f>
        <v/>
      </c>
      <c r="AT532">
        <f>$C532*AT531</f>
        <v/>
      </c>
      <c r="AU532">
        <f>$C532*AU531</f>
        <v/>
      </c>
      <c r="AV532">
        <f>$C532*AV531</f>
        <v/>
      </c>
      <c r="AW532">
        <f>$C532*AW531</f>
        <v/>
      </c>
      <c r="AX532">
        <f>$C532*AX531</f>
        <v/>
      </c>
      <c r="AY532">
        <f>$C532*AY531</f>
        <v/>
      </c>
      <c r="AZ532">
        <f>$C532*AZ531</f>
        <v/>
      </c>
      <c r="BA532">
        <f>$C532*BA531</f>
        <v/>
      </c>
      <c r="BB532">
        <f>$C532*BB531</f>
        <v/>
      </c>
      <c r="BC532">
        <f>$C532*BC531</f>
        <v/>
      </c>
      <c r="BD532">
        <f>$C532*BD531</f>
        <v/>
      </c>
      <c r="BE532">
        <f>$C532*BE531</f>
        <v/>
      </c>
      <c r="BF532">
        <f>$C532*BF531</f>
        <v/>
      </c>
      <c r="BG532">
        <f>$C532*BG531</f>
        <v/>
      </c>
      <c r="BH532">
        <f>$C532*BH531</f>
        <v/>
      </c>
      <c r="BI532">
        <f>$C532*BI531</f>
        <v/>
      </c>
      <c r="BJ532">
        <f>$C532*BJ531</f>
        <v/>
      </c>
      <c r="BK532">
        <f>$C532*BK531</f>
        <v/>
      </c>
      <c r="BL532">
        <f>$C532*BL531</f>
        <v/>
      </c>
      <c r="BM532">
        <f>$C532*BM531</f>
        <v/>
      </c>
      <c r="BN532">
        <f>$C532*BN531</f>
        <v/>
      </c>
      <c r="BO532">
        <f>$C532*BO531</f>
        <v/>
      </c>
      <c r="BP532">
        <f>$C532*BP531</f>
        <v/>
      </c>
      <c r="BQ532">
        <f>$C532*BQ531</f>
        <v/>
      </c>
      <c r="BR532">
        <f>$C532*BR531</f>
        <v/>
      </c>
      <c r="BS532">
        <f>$C532*BS531</f>
        <v/>
      </c>
      <c r="BT532">
        <f>$C532*BT531</f>
        <v/>
      </c>
      <c r="BU532">
        <f>$C532*BU531</f>
        <v/>
      </c>
      <c r="BV532">
        <f>$C532*BV531</f>
        <v/>
      </c>
      <c r="BW532">
        <f>$C532*BW531</f>
        <v/>
      </c>
      <c r="BX532">
        <f>$C532*BX531</f>
        <v/>
      </c>
      <c r="BY532">
        <f>$C532*BY531</f>
        <v/>
      </c>
      <c r="BZ532">
        <f>$C532*BZ531</f>
        <v/>
      </c>
      <c r="CA532">
        <f>$C532*CA531</f>
        <v/>
      </c>
      <c r="CB532">
        <f>$C532*CB531</f>
        <v/>
      </c>
      <c r="CC532">
        <f>$C532*CC531</f>
        <v/>
      </c>
      <c r="CD532">
        <f>$C532*CD531</f>
        <v/>
      </c>
      <c r="CE532">
        <f>$C532*CE531</f>
        <v/>
      </c>
      <c r="CF532">
        <f>$C532*CF531</f>
        <v/>
      </c>
      <c r="CG532">
        <f>$C532*CG531</f>
        <v/>
      </c>
      <c r="CH532">
        <f>$C532*CH531</f>
        <v/>
      </c>
      <c r="CI532">
        <f>$C532*CI531</f>
        <v/>
      </c>
      <c r="CJ532">
        <f>$C532*CJ531</f>
        <v/>
      </c>
      <c r="CK532">
        <f>$C532*CK531</f>
        <v/>
      </c>
      <c r="CL532">
        <f>$C532*CL531</f>
        <v/>
      </c>
      <c r="CM532">
        <f>$C532*CM531</f>
        <v/>
      </c>
      <c r="CN532">
        <f>$C532*CN531</f>
        <v/>
      </c>
      <c r="CO532">
        <f>$C532*CO531</f>
        <v/>
      </c>
      <c r="CP532">
        <f>$C532*CP531</f>
        <v/>
      </c>
      <c r="CQ532">
        <f>$C532*CQ531</f>
        <v/>
      </c>
      <c r="CR532">
        <f>$C532*CR531</f>
        <v/>
      </c>
      <c r="CS532">
        <f>$C532*CS531</f>
        <v/>
      </c>
      <c r="CT532">
        <f>$C532*CT531</f>
        <v/>
      </c>
      <c r="CU532">
        <f>$C532*CU531</f>
        <v/>
      </c>
      <c r="CV532">
        <f>$C532*CV531</f>
        <v/>
      </c>
      <c r="CW532">
        <f>$C532*CW531</f>
        <v/>
      </c>
      <c r="CX532">
        <f>$C532*CX531</f>
        <v/>
      </c>
      <c r="CY532">
        <f>$C532*CY531</f>
        <v/>
      </c>
      <c r="CZ532">
        <f>$C532*CZ531</f>
        <v/>
      </c>
      <c r="DA532">
        <f>$C532*DA531</f>
        <v/>
      </c>
      <c r="DB532">
        <f>$C532*DB531</f>
        <v/>
      </c>
      <c r="DC532">
        <f>$C532*DC531</f>
        <v/>
      </c>
    </row>
    <row r="533">
      <c r="B533" t="inlineStr">
        <is>
          <t>TSP-205</t>
        </is>
      </c>
      <c r="C533" t="inlineStr">
        <is>
          <t>No. of batches</t>
        </is>
      </c>
      <c r="D533">
        <f>IFERROR(INDEX(PP_Grid[#Data],$DD533,2),0)</f>
        <v/>
      </c>
      <c r="E533">
        <f>IFERROR(INDEX(PP_Grid[#Data],$DD533,3),0)</f>
        <v/>
      </c>
      <c r="F533">
        <f>IFERROR(INDEX(PP_Grid[#Data],$DD533,4),0)</f>
        <v/>
      </c>
      <c r="G533">
        <f>IFERROR(INDEX(PP_Grid[#Data],$DD533,5),0)</f>
        <v/>
      </c>
      <c r="H533">
        <f>IFERROR(INDEX(PP_Grid[#Data],$DD533,6),0)</f>
        <v/>
      </c>
      <c r="I533">
        <f>IFERROR(INDEX(PP_Grid[#Data],$DD533,7),0)</f>
        <v/>
      </c>
      <c r="J533">
        <f>IFERROR(INDEX(PP_Grid[#Data],$DD533,8),0)</f>
        <v/>
      </c>
      <c r="K533">
        <f>IFERROR(INDEX(PP_Grid[#Data],$DD533,9),0)</f>
        <v/>
      </c>
      <c r="L533">
        <f>IFERROR(INDEX(PP_Grid[#Data],$DD533,10),0)</f>
        <v/>
      </c>
      <c r="M533">
        <f>IFERROR(INDEX(PP_Grid[#Data],$DD533,11),0)</f>
        <v/>
      </c>
      <c r="N533">
        <f>IFERROR(INDEX(PP_Grid[#Data],$DD533,12),0)</f>
        <v/>
      </c>
      <c r="O533">
        <f>IFERROR(INDEX(PP_Grid[#Data],$DD533,13),0)</f>
        <v/>
      </c>
      <c r="P533">
        <f>IFERROR(INDEX(PP_Grid[#Data],$DD533,14),0)</f>
        <v/>
      </c>
      <c r="Q533">
        <f>IFERROR(INDEX(PP_Grid[#Data],$DD533,15),0)</f>
        <v/>
      </c>
      <c r="R533">
        <f>IFERROR(INDEX(PP_Grid[#Data],$DD533,16),0)</f>
        <v/>
      </c>
      <c r="S533">
        <f>IFERROR(INDEX(PP_Grid[#Data],$DD533,17),0)</f>
        <v/>
      </c>
      <c r="T533">
        <f>IFERROR(INDEX(PP_Grid[#Data],$DD533,18),0)</f>
        <v/>
      </c>
      <c r="U533">
        <f>IFERROR(INDEX(PP_Grid[#Data],$DD533,19),0)</f>
        <v/>
      </c>
      <c r="V533">
        <f>IFERROR(INDEX(PP_Grid[#Data],$DD533,20),0)</f>
        <v/>
      </c>
      <c r="W533">
        <f>IFERROR(INDEX(PP_Grid[#Data],$DD533,21),0)</f>
        <v/>
      </c>
      <c r="X533">
        <f>IFERROR(INDEX(PP_Grid[#Data],$DD533,22),0)</f>
        <v/>
      </c>
      <c r="Y533">
        <f>IFERROR(INDEX(PP_Grid[#Data],$DD533,23),0)</f>
        <v/>
      </c>
      <c r="Z533">
        <f>IFERROR(INDEX(PP_Grid[#Data],$DD533,24),0)</f>
        <v/>
      </c>
      <c r="AA533">
        <f>IFERROR(INDEX(PP_Grid[#Data],$DD533,25),0)</f>
        <v/>
      </c>
      <c r="AB533">
        <f>IFERROR(INDEX(PP_Grid[#Data],$DD533,26),0)</f>
        <v/>
      </c>
      <c r="AC533">
        <f>IFERROR(INDEX(PP_Grid[#Data],$DD533,27),0)</f>
        <v/>
      </c>
      <c r="AD533">
        <f>IFERROR(INDEX(PP_Grid[#Data],$DD533,28),0)</f>
        <v/>
      </c>
      <c r="AE533">
        <f>IFERROR(INDEX(PP_Grid[#Data],$DD533,29),0)</f>
        <v/>
      </c>
      <c r="AF533">
        <f>IFERROR(INDEX(PP_Grid[#Data],$DD533,30),0)</f>
        <v/>
      </c>
      <c r="AG533">
        <f>IFERROR(INDEX(PP_Grid[#Data],$DD533,31),0)</f>
        <v/>
      </c>
      <c r="AH533">
        <f>IFERROR(INDEX(PP_Grid[#Data],$DD533,32),0)</f>
        <v/>
      </c>
      <c r="AI533">
        <f>IFERROR(INDEX(PP_Grid[#Data],$DD533,33),0)</f>
        <v/>
      </c>
      <c r="AJ533">
        <f>IFERROR(INDEX(PP_Grid[#Data],$DD533,34),0)</f>
        <v/>
      </c>
      <c r="AK533">
        <f>IFERROR(INDEX(PP_Grid[#Data],$DD533,35),0)</f>
        <v/>
      </c>
      <c r="AL533">
        <f>IFERROR(INDEX(PP_Grid[#Data],$DD533,36),0)</f>
        <v/>
      </c>
      <c r="AM533">
        <f>IFERROR(INDEX(PP_Grid[#Data],$DD533,37),0)</f>
        <v/>
      </c>
      <c r="AN533">
        <f>IFERROR(INDEX(PP_Grid[#Data],$DD533,38),0)</f>
        <v/>
      </c>
      <c r="AO533">
        <f>IFERROR(INDEX(PP_Grid[#Data],$DD533,39),0)</f>
        <v/>
      </c>
      <c r="AP533">
        <f>IFERROR(INDEX(PP_Grid[#Data],$DD533,40),0)</f>
        <v/>
      </c>
      <c r="AQ533">
        <f>IFERROR(INDEX(PP_Grid[#Data],$DD533,41),0)</f>
        <v/>
      </c>
      <c r="AR533">
        <f>IFERROR(INDEX(PP_Grid[#Data],$DD533,42),0)</f>
        <v/>
      </c>
      <c r="AS533">
        <f>IFERROR(INDEX(PP_Grid[#Data],$DD533,43),0)</f>
        <v/>
      </c>
      <c r="AT533">
        <f>IFERROR(INDEX(PP_Grid[#Data],$DD533,44),0)</f>
        <v/>
      </c>
      <c r="AU533">
        <f>IFERROR(INDEX(PP_Grid[#Data],$DD533,45),0)</f>
        <v/>
      </c>
      <c r="AV533">
        <f>IFERROR(INDEX(PP_Grid[#Data],$DD533,46),0)</f>
        <v/>
      </c>
      <c r="AW533">
        <f>IFERROR(INDEX(PP_Grid[#Data],$DD533,47),0)</f>
        <v/>
      </c>
      <c r="AX533">
        <f>IFERROR(INDEX(PP_Grid[#Data],$DD533,48),0)</f>
        <v/>
      </c>
      <c r="AY533">
        <f>IFERROR(INDEX(PP_Grid[#Data],$DD533,49),0)</f>
        <v/>
      </c>
      <c r="AZ533">
        <f>IFERROR(INDEX(PP_Grid[#Data],$DD533,50),0)</f>
        <v/>
      </c>
      <c r="BA533">
        <f>IFERROR(INDEX(PP_Grid[#Data],$DD533,51),0)</f>
        <v/>
      </c>
      <c r="BB533">
        <f>IFERROR(INDEX(PP_Grid[#Data],$DD533,52),0)</f>
        <v/>
      </c>
      <c r="BC533">
        <f>IFERROR(INDEX(PP_Grid[#Data],$DD533,53),0)</f>
        <v/>
      </c>
      <c r="BD533">
        <f>IFERROR(INDEX(PP_Grid[#Data],$DD533,54),0)</f>
        <v/>
      </c>
      <c r="BE533">
        <f>IFERROR(INDEX(PP_Grid[#Data],$DD533,55),0)</f>
        <v/>
      </c>
      <c r="BF533">
        <f>IFERROR(INDEX(PP_Grid[#Data],$DD533,56),0)</f>
        <v/>
      </c>
      <c r="BG533">
        <f>IFERROR(INDEX(PP_Grid[#Data],$DD533,57),0)</f>
        <v/>
      </c>
      <c r="BH533">
        <f>IFERROR(INDEX(PP_Grid[#Data],$DD533,58),0)</f>
        <v/>
      </c>
      <c r="BI533">
        <f>IFERROR(INDEX(PP_Grid[#Data],$DD533,59),0)</f>
        <v/>
      </c>
      <c r="BJ533">
        <f>IFERROR(INDEX(PP_Grid[#Data],$DD533,60),0)</f>
        <v/>
      </c>
      <c r="BK533">
        <f>IFERROR(INDEX(PP_Grid[#Data],$DD533,61),0)</f>
        <v/>
      </c>
      <c r="BL533">
        <f>IFERROR(INDEX(PP_Grid[#Data],$DD533,62),0)</f>
        <v/>
      </c>
      <c r="BM533">
        <f>IFERROR(INDEX(PP_Grid[#Data],$DD533,63),0)</f>
        <v/>
      </c>
      <c r="BN533">
        <f>IFERROR(INDEX(PP_Grid[#Data],$DD533,64),0)</f>
        <v/>
      </c>
      <c r="BO533">
        <f>IFERROR(INDEX(PP_Grid[#Data],$DD533,65),0)</f>
        <v/>
      </c>
      <c r="BP533">
        <f>IFERROR(INDEX(PP_Grid[#Data],$DD533,66),0)</f>
        <v/>
      </c>
      <c r="BQ533">
        <f>IFERROR(INDEX(PP_Grid[#Data],$DD533,67),0)</f>
        <v/>
      </c>
      <c r="BR533">
        <f>IFERROR(INDEX(PP_Grid[#Data],$DD533,68),0)</f>
        <v/>
      </c>
      <c r="BS533">
        <f>IFERROR(INDEX(PP_Grid[#Data],$DD533,69),0)</f>
        <v/>
      </c>
      <c r="BT533">
        <f>IFERROR(INDEX(PP_Grid[#Data],$DD533,70),0)</f>
        <v/>
      </c>
      <c r="BU533">
        <f>IFERROR(INDEX(PP_Grid[#Data],$DD533,71),0)</f>
        <v/>
      </c>
      <c r="BV533">
        <f>IFERROR(INDEX(PP_Grid[#Data],$DD533,72),0)</f>
        <v/>
      </c>
      <c r="BW533">
        <f>IFERROR(INDEX(PP_Grid[#Data],$DD533,73),0)</f>
        <v/>
      </c>
      <c r="BX533">
        <f>IFERROR(INDEX(PP_Grid[#Data],$DD533,74),0)</f>
        <v/>
      </c>
      <c r="BY533">
        <f>IFERROR(INDEX(PP_Grid[#Data],$DD533,75),0)</f>
        <v/>
      </c>
      <c r="BZ533">
        <f>IFERROR(INDEX(PP_Grid[#Data],$DD533,76),0)</f>
        <v/>
      </c>
      <c r="CA533">
        <f>IFERROR(INDEX(PP_Grid[#Data],$DD533,77),0)</f>
        <v/>
      </c>
      <c r="CB533">
        <f>IFERROR(INDEX(PP_Grid[#Data],$DD533,78),0)</f>
        <v/>
      </c>
      <c r="CC533">
        <f>IFERROR(INDEX(PP_Grid[#Data],$DD533,79),0)</f>
        <v/>
      </c>
      <c r="CD533">
        <f>IFERROR(INDEX(PP_Grid[#Data],$DD533,80),0)</f>
        <v/>
      </c>
      <c r="CE533">
        <f>IFERROR(INDEX(PP_Grid[#Data],$DD533,81),0)</f>
        <v/>
      </c>
      <c r="CF533">
        <f>IFERROR(INDEX(PP_Grid[#Data],$DD533,82),0)</f>
        <v/>
      </c>
      <c r="CG533">
        <f>IFERROR(INDEX(PP_Grid[#Data],$DD533,83),0)</f>
        <v/>
      </c>
      <c r="CH533">
        <f>IFERROR(INDEX(PP_Grid[#Data],$DD533,84),0)</f>
        <v/>
      </c>
      <c r="CI533">
        <f>IFERROR(INDEX(PP_Grid[#Data],$DD533,85),0)</f>
        <v/>
      </c>
      <c r="CJ533">
        <f>IFERROR(INDEX(PP_Grid[#Data],$DD533,86),0)</f>
        <v/>
      </c>
      <c r="CK533">
        <f>IFERROR(INDEX(PP_Grid[#Data],$DD533,87),0)</f>
        <v/>
      </c>
      <c r="CL533">
        <f>IFERROR(INDEX(PP_Grid[#Data],$DD533,88),0)</f>
        <v/>
      </c>
      <c r="CM533">
        <f>IFERROR(INDEX(PP_Grid[#Data],$DD533,89),0)</f>
        <v/>
      </c>
      <c r="CN533">
        <f>IFERROR(INDEX(PP_Grid[#Data],$DD533,90),0)</f>
        <v/>
      </c>
      <c r="CO533">
        <f>IFERROR(INDEX(PP_Grid[#Data],$DD533,91),0)</f>
        <v/>
      </c>
      <c r="CP533">
        <f>IFERROR(INDEX(PP_Grid[#Data],$DD533,92),0)</f>
        <v/>
      </c>
      <c r="CQ533">
        <f>IFERROR(INDEX(PP_Grid[#Data],$DD533,93),0)</f>
        <v/>
      </c>
      <c r="CR533">
        <f>IFERROR(INDEX(PP_Grid[#Data],$DD533,94),0)</f>
        <v/>
      </c>
      <c r="CS533">
        <f>IFERROR(INDEX(PP_Grid[#Data],$DD533,95),0)</f>
        <v/>
      </c>
      <c r="CT533">
        <f>IFERROR(INDEX(PP_Grid[#Data],$DD533,96),0)</f>
        <v/>
      </c>
      <c r="CU533">
        <f>IFERROR(INDEX(PP_Grid[#Data],$DD533,97),0)</f>
        <v/>
      </c>
      <c r="CV533">
        <f>IFERROR(INDEX(PP_Grid[#Data],$DD533,98),0)</f>
        <v/>
      </c>
      <c r="CW533">
        <f>IFERROR(INDEX(PP_Grid[#Data],$DD533,99),0)</f>
        <v/>
      </c>
      <c r="CX533">
        <f>IFERROR(INDEX(PP_Grid[#Data],$DD533,100),0)</f>
        <v/>
      </c>
      <c r="CY533">
        <f>IFERROR(INDEX(PP_Grid[#Data],$DD533,101),0)</f>
        <v/>
      </c>
      <c r="CZ533">
        <f>IFERROR(INDEX(PP_Grid[#Data],$DD533,102),0)</f>
        <v/>
      </c>
      <c r="DA533">
        <f>IFERROR(INDEX(PP_Grid[#Data],$DD533,103),0)</f>
        <v/>
      </c>
      <c r="DB533">
        <f>IFERROR(INDEX(PP_Grid[#Data],$DD533,104),0)</f>
        <v/>
      </c>
      <c r="DC533">
        <f>IFERROR(INDEX(PP_Grid[#Data],$DD533,105),0)</f>
        <v/>
      </c>
      <c r="DD533" s="12">
        <f>IFERROR(MATCH($B533,PP_Grid[Intermediate],0),99999)</f>
        <v/>
      </c>
    </row>
    <row r="534">
      <c r="B534" t="inlineStr">
        <is>
          <t>使用量(kg)</t>
        </is>
      </c>
      <c r="C534">
        <f>SUMIFS(M_BOM[RM_Qty_Per_Batch],M_BOM[Intermediate],$B533,M_BOM[Part Name],$A518)</f>
        <v/>
      </c>
      <c r="D534">
        <f>$C534*D533</f>
        <v/>
      </c>
      <c r="E534">
        <f>$C534*E533</f>
        <v/>
      </c>
      <c r="F534">
        <f>$C534*F533</f>
        <v/>
      </c>
      <c r="G534">
        <f>$C534*G533</f>
        <v/>
      </c>
      <c r="H534">
        <f>$C534*H533</f>
        <v/>
      </c>
      <c r="I534">
        <f>$C534*I533</f>
        <v/>
      </c>
      <c r="J534">
        <f>$C534*J533</f>
        <v/>
      </c>
      <c r="K534">
        <f>$C534*K533</f>
        <v/>
      </c>
      <c r="L534">
        <f>$C534*L533</f>
        <v/>
      </c>
      <c r="M534">
        <f>$C534*M533</f>
        <v/>
      </c>
      <c r="N534">
        <f>$C534*N533</f>
        <v/>
      </c>
      <c r="O534">
        <f>$C534*O533</f>
        <v/>
      </c>
      <c r="P534">
        <f>$C534*P533</f>
        <v/>
      </c>
      <c r="Q534">
        <f>$C534*Q533</f>
        <v/>
      </c>
      <c r="R534">
        <f>$C534*R533</f>
        <v/>
      </c>
      <c r="S534">
        <f>$C534*S533</f>
        <v/>
      </c>
      <c r="T534">
        <f>$C534*T533</f>
        <v/>
      </c>
      <c r="U534">
        <f>$C534*U533</f>
        <v/>
      </c>
      <c r="V534">
        <f>$C534*V533</f>
        <v/>
      </c>
      <c r="W534">
        <f>$C534*W533</f>
        <v/>
      </c>
      <c r="X534">
        <f>$C534*X533</f>
        <v/>
      </c>
      <c r="Y534">
        <f>$C534*Y533</f>
        <v/>
      </c>
      <c r="Z534">
        <f>$C534*Z533</f>
        <v/>
      </c>
      <c r="AA534">
        <f>$C534*AA533</f>
        <v/>
      </c>
      <c r="AB534">
        <f>$C534*AB533</f>
        <v/>
      </c>
      <c r="AC534">
        <f>$C534*AC533</f>
        <v/>
      </c>
      <c r="AD534">
        <f>$C534*AD533</f>
        <v/>
      </c>
      <c r="AE534">
        <f>$C534*AE533</f>
        <v/>
      </c>
      <c r="AF534">
        <f>$C534*AF533</f>
        <v/>
      </c>
      <c r="AG534">
        <f>$C534*AG533</f>
        <v/>
      </c>
      <c r="AH534">
        <f>$C534*AH533</f>
        <v/>
      </c>
      <c r="AI534">
        <f>$C534*AI533</f>
        <v/>
      </c>
      <c r="AJ534">
        <f>$C534*AJ533</f>
        <v/>
      </c>
      <c r="AK534">
        <f>$C534*AK533</f>
        <v/>
      </c>
      <c r="AL534">
        <f>$C534*AL533</f>
        <v/>
      </c>
      <c r="AM534">
        <f>$C534*AM533</f>
        <v/>
      </c>
      <c r="AN534">
        <f>$C534*AN533</f>
        <v/>
      </c>
      <c r="AO534">
        <f>$C534*AO533</f>
        <v/>
      </c>
      <c r="AP534">
        <f>$C534*AP533</f>
        <v/>
      </c>
      <c r="AQ534">
        <f>$C534*AQ533</f>
        <v/>
      </c>
      <c r="AR534">
        <f>$C534*AR533</f>
        <v/>
      </c>
      <c r="AS534">
        <f>$C534*AS533</f>
        <v/>
      </c>
      <c r="AT534">
        <f>$C534*AT533</f>
        <v/>
      </c>
      <c r="AU534">
        <f>$C534*AU533</f>
        <v/>
      </c>
      <c r="AV534">
        <f>$C534*AV533</f>
        <v/>
      </c>
      <c r="AW534">
        <f>$C534*AW533</f>
        <v/>
      </c>
      <c r="AX534">
        <f>$C534*AX533</f>
        <v/>
      </c>
      <c r="AY534">
        <f>$C534*AY533</f>
        <v/>
      </c>
      <c r="AZ534">
        <f>$C534*AZ533</f>
        <v/>
      </c>
      <c r="BA534">
        <f>$C534*BA533</f>
        <v/>
      </c>
      <c r="BB534">
        <f>$C534*BB533</f>
        <v/>
      </c>
      <c r="BC534">
        <f>$C534*BC533</f>
        <v/>
      </c>
      <c r="BD534">
        <f>$C534*BD533</f>
        <v/>
      </c>
      <c r="BE534">
        <f>$C534*BE533</f>
        <v/>
      </c>
      <c r="BF534">
        <f>$C534*BF533</f>
        <v/>
      </c>
      <c r="BG534">
        <f>$C534*BG533</f>
        <v/>
      </c>
      <c r="BH534">
        <f>$C534*BH533</f>
        <v/>
      </c>
      <c r="BI534">
        <f>$C534*BI533</f>
        <v/>
      </c>
      <c r="BJ534">
        <f>$C534*BJ533</f>
        <v/>
      </c>
      <c r="BK534">
        <f>$C534*BK533</f>
        <v/>
      </c>
      <c r="BL534">
        <f>$C534*BL533</f>
        <v/>
      </c>
      <c r="BM534">
        <f>$C534*BM533</f>
        <v/>
      </c>
      <c r="BN534">
        <f>$C534*BN533</f>
        <v/>
      </c>
      <c r="BO534">
        <f>$C534*BO533</f>
        <v/>
      </c>
      <c r="BP534">
        <f>$C534*BP533</f>
        <v/>
      </c>
      <c r="BQ534">
        <f>$C534*BQ533</f>
        <v/>
      </c>
      <c r="BR534">
        <f>$C534*BR533</f>
        <v/>
      </c>
      <c r="BS534">
        <f>$C534*BS533</f>
        <v/>
      </c>
      <c r="BT534">
        <f>$C534*BT533</f>
        <v/>
      </c>
      <c r="BU534">
        <f>$C534*BU533</f>
        <v/>
      </c>
      <c r="BV534">
        <f>$C534*BV533</f>
        <v/>
      </c>
      <c r="BW534">
        <f>$C534*BW533</f>
        <v/>
      </c>
      <c r="BX534">
        <f>$C534*BX533</f>
        <v/>
      </c>
      <c r="BY534">
        <f>$C534*BY533</f>
        <v/>
      </c>
      <c r="BZ534">
        <f>$C534*BZ533</f>
        <v/>
      </c>
      <c r="CA534">
        <f>$C534*CA533</f>
        <v/>
      </c>
      <c r="CB534">
        <f>$C534*CB533</f>
        <v/>
      </c>
      <c r="CC534">
        <f>$C534*CC533</f>
        <v/>
      </c>
      <c r="CD534">
        <f>$C534*CD533</f>
        <v/>
      </c>
      <c r="CE534">
        <f>$C534*CE533</f>
        <v/>
      </c>
      <c r="CF534">
        <f>$C534*CF533</f>
        <v/>
      </c>
      <c r="CG534">
        <f>$C534*CG533</f>
        <v/>
      </c>
      <c r="CH534">
        <f>$C534*CH533</f>
        <v/>
      </c>
      <c r="CI534">
        <f>$C534*CI533</f>
        <v/>
      </c>
      <c r="CJ534">
        <f>$C534*CJ533</f>
        <v/>
      </c>
      <c r="CK534">
        <f>$C534*CK533</f>
        <v/>
      </c>
      <c r="CL534">
        <f>$C534*CL533</f>
        <v/>
      </c>
      <c r="CM534">
        <f>$C534*CM533</f>
        <v/>
      </c>
      <c r="CN534">
        <f>$C534*CN533</f>
        <v/>
      </c>
      <c r="CO534">
        <f>$C534*CO533</f>
        <v/>
      </c>
      <c r="CP534">
        <f>$C534*CP533</f>
        <v/>
      </c>
      <c r="CQ534">
        <f>$C534*CQ533</f>
        <v/>
      </c>
      <c r="CR534">
        <f>$C534*CR533</f>
        <v/>
      </c>
      <c r="CS534">
        <f>$C534*CS533</f>
        <v/>
      </c>
      <c r="CT534">
        <f>$C534*CT533</f>
        <v/>
      </c>
      <c r="CU534">
        <f>$C534*CU533</f>
        <v/>
      </c>
      <c r="CV534">
        <f>$C534*CV533</f>
        <v/>
      </c>
      <c r="CW534">
        <f>$C534*CW533</f>
        <v/>
      </c>
      <c r="CX534">
        <f>$C534*CX533</f>
        <v/>
      </c>
      <c r="CY534">
        <f>$C534*CY533</f>
        <v/>
      </c>
      <c r="CZ534">
        <f>$C534*CZ533</f>
        <v/>
      </c>
      <c r="DA534">
        <f>$C534*DA533</f>
        <v/>
      </c>
      <c r="DB534">
        <f>$C534*DB533</f>
        <v/>
      </c>
      <c r="DC534">
        <f>$C534*DC533</f>
        <v/>
      </c>
    </row>
    <row r="535">
      <c r="B535" t="inlineStr">
        <is>
          <t>TSP-206</t>
        </is>
      </c>
      <c r="C535" t="inlineStr">
        <is>
          <t>No. of batches</t>
        </is>
      </c>
      <c r="D535">
        <f>IFERROR(INDEX(PP_Grid[#Data],$DD535,2),0)</f>
        <v/>
      </c>
      <c r="E535">
        <f>IFERROR(INDEX(PP_Grid[#Data],$DD535,3),0)</f>
        <v/>
      </c>
      <c r="F535">
        <f>IFERROR(INDEX(PP_Grid[#Data],$DD535,4),0)</f>
        <v/>
      </c>
      <c r="G535">
        <f>IFERROR(INDEX(PP_Grid[#Data],$DD535,5),0)</f>
        <v/>
      </c>
      <c r="H535">
        <f>IFERROR(INDEX(PP_Grid[#Data],$DD535,6),0)</f>
        <v/>
      </c>
      <c r="I535">
        <f>IFERROR(INDEX(PP_Grid[#Data],$DD535,7),0)</f>
        <v/>
      </c>
      <c r="J535">
        <f>IFERROR(INDEX(PP_Grid[#Data],$DD535,8),0)</f>
        <v/>
      </c>
      <c r="K535">
        <f>IFERROR(INDEX(PP_Grid[#Data],$DD535,9),0)</f>
        <v/>
      </c>
      <c r="L535">
        <f>IFERROR(INDEX(PP_Grid[#Data],$DD535,10),0)</f>
        <v/>
      </c>
      <c r="M535">
        <f>IFERROR(INDEX(PP_Grid[#Data],$DD535,11),0)</f>
        <v/>
      </c>
      <c r="N535">
        <f>IFERROR(INDEX(PP_Grid[#Data],$DD535,12),0)</f>
        <v/>
      </c>
      <c r="O535">
        <f>IFERROR(INDEX(PP_Grid[#Data],$DD535,13),0)</f>
        <v/>
      </c>
      <c r="P535">
        <f>IFERROR(INDEX(PP_Grid[#Data],$DD535,14),0)</f>
        <v/>
      </c>
      <c r="Q535">
        <f>IFERROR(INDEX(PP_Grid[#Data],$DD535,15),0)</f>
        <v/>
      </c>
      <c r="R535">
        <f>IFERROR(INDEX(PP_Grid[#Data],$DD535,16),0)</f>
        <v/>
      </c>
      <c r="S535">
        <f>IFERROR(INDEX(PP_Grid[#Data],$DD535,17),0)</f>
        <v/>
      </c>
      <c r="T535">
        <f>IFERROR(INDEX(PP_Grid[#Data],$DD535,18),0)</f>
        <v/>
      </c>
      <c r="U535">
        <f>IFERROR(INDEX(PP_Grid[#Data],$DD535,19),0)</f>
        <v/>
      </c>
      <c r="V535">
        <f>IFERROR(INDEX(PP_Grid[#Data],$DD535,20),0)</f>
        <v/>
      </c>
      <c r="W535">
        <f>IFERROR(INDEX(PP_Grid[#Data],$DD535,21),0)</f>
        <v/>
      </c>
      <c r="X535">
        <f>IFERROR(INDEX(PP_Grid[#Data],$DD535,22),0)</f>
        <v/>
      </c>
      <c r="Y535">
        <f>IFERROR(INDEX(PP_Grid[#Data],$DD535,23),0)</f>
        <v/>
      </c>
      <c r="Z535">
        <f>IFERROR(INDEX(PP_Grid[#Data],$DD535,24),0)</f>
        <v/>
      </c>
      <c r="AA535">
        <f>IFERROR(INDEX(PP_Grid[#Data],$DD535,25),0)</f>
        <v/>
      </c>
      <c r="AB535">
        <f>IFERROR(INDEX(PP_Grid[#Data],$DD535,26),0)</f>
        <v/>
      </c>
      <c r="AC535">
        <f>IFERROR(INDEX(PP_Grid[#Data],$DD535,27),0)</f>
        <v/>
      </c>
      <c r="AD535">
        <f>IFERROR(INDEX(PP_Grid[#Data],$DD535,28),0)</f>
        <v/>
      </c>
      <c r="AE535">
        <f>IFERROR(INDEX(PP_Grid[#Data],$DD535,29),0)</f>
        <v/>
      </c>
      <c r="AF535">
        <f>IFERROR(INDEX(PP_Grid[#Data],$DD535,30),0)</f>
        <v/>
      </c>
      <c r="AG535">
        <f>IFERROR(INDEX(PP_Grid[#Data],$DD535,31),0)</f>
        <v/>
      </c>
      <c r="AH535">
        <f>IFERROR(INDEX(PP_Grid[#Data],$DD535,32),0)</f>
        <v/>
      </c>
      <c r="AI535">
        <f>IFERROR(INDEX(PP_Grid[#Data],$DD535,33),0)</f>
        <v/>
      </c>
      <c r="AJ535">
        <f>IFERROR(INDEX(PP_Grid[#Data],$DD535,34),0)</f>
        <v/>
      </c>
      <c r="AK535">
        <f>IFERROR(INDEX(PP_Grid[#Data],$DD535,35),0)</f>
        <v/>
      </c>
      <c r="AL535">
        <f>IFERROR(INDEX(PP_Grid[#Data],$DD535,36),0)</f>
        <v/>
      </c>
      <c r="AM535">
        <f>IFERROR(INDEX(PP_Grid[#Data],$DD535,37),0)</f>
        <v/>
      </c>
      <c r="AN535">
        <f>IFERROR(INDEX(PP_Grid[#Data],$DD535,38),0)</f>
        <v/>
      </c>
      <c r="AO535">
        <f>IFERROR(INDEX(PP_Grid[#Data],$DD535,39),0)</f>
        <v/>
      </c>
      <c r="AP535">
        <f>IFERROR(INDEX(PP_Grid[#Data],$DD535,40),0)</f>
        <v/>
      </c>
      <c r="AQ535">
        <f>IFERROR(INDEX(PP_Grid[#Data],$DD535,41),0)</f>
        <v/>
      </c>
      <c r="AR535">
        <f>IFERROR(INDEX(PP_Grid[#Data],$DD535,42),0)</f>
        <v/>
      </c>
      <c r="AS535">
        <f>IFERROR(INDEX(PP_Grid[#Data],$DD535,43),0)</f>
        <v/>
      </c>
      <c r="AT535">
        <f>IFERROR(INDEX(PP_Grid[#Data],$DD535,44),0)</f>
        <v/>
      </c>
      <c r="AU535">
        <f>IFERROR(INDEX(PP_Grid[#Data],$DD535,45),0)</f>
        <v/>
      </c>
      <c r="AV535">
        <f>IFERROR(INDEX(PP_Grid[#Data],$DD535,46),0)</f>
        <v/>
      </c>
      <c r="AW535">
        <f>IFERROR(INDEX(PP_Grid[#Data],$DD535,47),0)</f>
        <v/>
      </c>
      <c r="AX535">
        <f>IFERROR(INDEX(PP_Grid[#Data],$DD535,48),0)</f>
        <v/>
      </c>
      <c r="AY535">
        <f>IFERROR(INDEX(PP_Grid[#Data],$DD535,49),0)</f>
        <v/>
      </c>
      <c r="AZ535">
        <f>IFERROR(INDEX(PP_Grid[#Data],$DD535,50),0)</f>
        <v/>
      </c>
      <c r="BA535">
        <f>IFERROR(INDEX(PP_Grid[#Data],$DD535,51),0)</f>
        <v/>
      </c>
      <c r="BB535">
        <f>IFERROR(INDEX(PP_Grid[#Data],$DD535,52),0)</f>
        <v/>
      </c>
      <c r="BC535">
        <f>IFERROR(INDEX(PP_Grid[#Data],$DD535,53),0)</f>
        <v/>
      </c>
      <c r="BD535">
        <f>IFERROR(INDEX(PP_Grid[#Data],$DD535,54),0)</f>
        <v/>
      </c>
      <c r="BE535">
        <f>IFERROR(INDEX(PP_Grid[#Data],$DD535,55),0)</f>
        <v/>
      </c>
      <c r="BF535">
        <f>IFERROR(INDEX(PP_Grid[#Data],$DD535,56),0)</f>
        <v/>
      </c>
      <c r="BG535">
        <f>IFERROR(INDEX(PP_Grid[#Data],$DD535,57),0)</f>
        <v/>
      </c>
      <c r="BH535">
        <f>IFERROR(INDEX(PP_Grid[#Data],$DD535,58),0)</f>
        <v/>
      </c>
      <c r="BI535">
        <f>IFERROR(INDEX(PP_Grid[#Data],$DD535,59),0)</f>
        <v/>
      </c>
      <c r="BJ535">
        <f>IFERROR(INDEX(PP_Grid[#Data],$DD535,60),0)</f>
        <v/>
      </c>
      <c r="BK535">
        <f>IFERROR(INDEX(PP_Grid[#Data],$DD535,61),0)</f>
        <v/>
      </c>
      <c r="BL535">
        <f>IFERROR(INDEX(PP_Grid[#Data],$DD535,62),0)</f>
        <v/>
      </c>
      <c r="BM535">
        <f>IFERROR(INDEX(PP_Grid[#Data],$DD535,63),0)</f>
        <v/>
      </c>
      <c r="BN535">
        <f>IFERROR(INDEX(PP_Grid[#Data],$DD535,64),0)</f>
        <v/>
      </c>
      <c r="BO535">
        <f>IFERROR(INDEX(PP_Grid[#Data],$DD535,65),0)</f>
        <v/>
      </c>
      <c r="BP535">
        <f>IFERROR(INDEX(PP_Grid[#Data],$DD535,66),0)</f>
        <v/>
      </c>
      <c r="BQ535">
        <f>IFERROR(INDEX(PP_Grid[#Data],$DD535,67),0)</f>
        <v/>
      </c>
      <c r="BR535">
        <f>IFERROR(INDEX(PP_Grid[#Data],$DD535,68),0)</f>
        <v/>
      </c>
      <c r="BS535">
        <f>IFERROR(INDEX(PP_Grid[#Data],$DD535,69),0)</f>
        <v/>
      </c>
      <c r="BT535">
        <f>IFERROR(INDEX(PP_Grid[#Data],$DD535,70),0)</f>
        <v/>
      </c>
      <c r="BU535">
        <f>IFERROR(INDEX(PP_Grid[#Data],$DD535,71),0)</f>
        <v/>
      </c>
      <c r="BV535">
        <f>IFERROR(INDEX(PP_Grid[#Data],$DD535,72),0)</f>
        <v/>
      </c>
      <c r="BW535">
        <f>IFERROR(INDEX(PP_Grid[#Data],$DD535,73),0)</f>
        <v/>
      </c>
      <c r="BX535">
        <f>IFERROR(INDEX(PP_Grid[#Data],$DD535,74),0)</f>
        <v/>
      </c>
      <c r="BY535">
        <f>IFERROR(INDEX(PP_Grid[#Data],$DD535,75),0)</f>
        <v/>
      </c>
      <c r="BZ535">
        <f>IFERROR(INDEX(PP_Grid[#Data],$DD535,76),0)</f>
        <v/>
      </c>
      <c r="CA535">
        <f>IFERROR(INDEX(PP_Grid[#Data],$DD535,77),0)</f>
        <v/>
      </c>
      <c r="CB535">
        <f>IFERROR(INDEX(PP_Grid[#Data],$DD535,78),0)</f>
        <v/>
      </c>
      <c r="CC535">
        <f>IFERROR(INDEX(PP_Grid[#Data],$DD535,79),0)</f>
        <v/>
      </c>
      <c r="CD535">
        <f>IFERROR(INDEX(PP_Grid[#Data],$DD535,80),0)</f>
        <v/>
      </c>
      <c r="CE535">
        <f>IFERROR(INDEX(PP_Grid[#Data],$DD535,81),0)</f>
        <v/>
      </c>
      <c r="CF535">
        <f>IFERROR(INDEX(PP_Grid[#Data],$DD535,82),0)</f>
        <v/>
      </c>
      <c r="CG535">
        <f>IFERROR(INDEX(PP_Grid[#Data],$DD535,83),0)</f>
        <v/>
      </c>
      <c r="CH535">
        <f>IFERROR(INDEX(PP_Grid[#Data],$DD535,84),0)</f>
        <v/>
      </c>
      <c r="CI535">
        <f>IFERROR(INDEX(PP_Grid[#Data],$DD535,85),0)</f>
        <v/>
      </c>
      <c r="CJ535">
        <f>IFERROR(INDEX(PP_Grid[#Data],$DD535,86),0)</f>
        <v/>
      </c>
      <c r="CK535">
        <f>IFERROR(INDEX(PP_Grid[#Data],$DD535,87),0)</f>
        <v/>
      </c>
      <c r="CL535">
        <f>IFERROR(INDEX(PP_Grid[#Data],$DD535,88),0)</f>
        <v/>
      </c>
      <c r="CM535">
        <f>IFERROR(INDEX(PP_Grid[#Data],$DD535,89),0)</f>
        <v/>
      </c>
      <c r="CN535">
        <f>IFERROR(INDEX(PP_Grid[#Data],$DD535,90),0)</f>
        <v/>
      </c>
      <c r="CO535">
        <f>IFERROR(INDEX(PP_Grid[#Data],$DD535,91),0)</f>
        <v/>
      </c>
      <c r="CP535">
        <f>IFERROR(INDEX(PP_Grid[#Data],$DD535,92),0)</f>
        <v/>
      </c>
      <c r="CQ535">
        <f>IFERROR(INDEX(PP_Grid[#Data],$DD535,93),0)</f>
        <v/>
      </c>
      <c r="CR535">
        <f>IFERROR(INDEX(PP_Grid[#Data],$DD535,94),0)</f>
        <v/>
      </c>
      <c r="CS535">
        <f>IFERROR(INDEX(PP_Grid[#Data],$DD535,95),0)</f>
        <v/>
      </c>
      <c r="CT535">
        <f>IFERROR(INDEX(PP_Grid[#Data],$DD535,96),0)</f>
        <v/>
      </c>
      <c r="CU535">
        <f>IFERROR(INDEX(PP_Grid[#Data],$DD535,97),0)</f>
        <v/>
      </c>
      <c r="CV535">
        <f>IFERROR(INDEX(PP_Grid[#Data],$DD535,98),0)</f>
        <v/>
      </c>
      <c r="CW535">
        <f>IFERROR(INDEX(PP_Grid[#Data],$DD535,99),0)</f>
        <v/>
      </c>
      <c r="CX535">
        <f>IFERROR(INDEX(PP_Grid[#Data],$DD535,100),0)</f>
        <v/>
      </c>
      <c r="CY535">
        <f>IFERROR(INDEX(PP_Grid[#Data],$DD535,101),0)</f>
        <v/>
      </c>
      <c r="CZ535">
        <f>IFERROR(INDEX(PP_Grid[#Data],$DD535,102),0)</f>
        <v/>
      </c>
      <c r="DA535">
        <f>IFERROR(INDEX(PP_Grid[#Data],$DD535,103),0)</f>
        <v/>
      </c>
      <c r="DB535">
        <f>IFERROR(INDEX(PP_Grid[#Data],$DD535,104),0)</f>
        <v/>
      </c>
      <c r="DC535">
        <f>IFERROR(INDEX(PP_Grid[#Data],$DD535,105),0)</f>
        <v/>
      </c>
      <c r="DD535" s="12">
        <f>IFERROR(MATCH($B535,PP_Grid[Intermediate],0),99999)</f>
        <v/>
      </c>
    </row>
    <row r="536">
      <c r="B536" t="inlineStr">
        <is>
          <t>使用量(kg)</t>
        </is>
      </c>
      <c r="C536">
        <f>SUMIFS(M_BOM[RM_Qty_Per_Batch],M_BOM[Intermediate],$B535,M_BOM[Part Name],$A518)</f>
        <v/>
      </c>
      <c r="D536">
        <f>$C536*D535</f>
        <v/>
      </c>
      <c r="E536">
        <f>$C536*E535</f>
        <v/>
      </c>
      <c r="F536">
        <f>$C536*F535</f>
        <v/>
      </c>
      <c r="G536">
        <f>$C536*G535</f>
        <v/>
      </c>
      <c r="H536">
        <f>$C536*H535</f>
        <v/>
      </c>
      <c r="I536">
        <f>$C536*I535</f>
        <v/>
      </c>
      <c r="J536">
        <f>$C536*J535</f>
        <v/>
      </c>
      <c r="K536">
        <f>$C536*K535</f>
        <v/>
      </c>
      <c r="L536">
        <f>$C536*L535</f>
        <v/>
      </c>
      <c r="M536">
        <f>$C536*M535</f>
        <v/>
      </c>
      <c r="N536">
        <f>$C536*N535</f>
        <v/>
      </c>
      <c r="O536">
        <f>$C536*O535</f>
        <v/>
      </c>
      <c r="P536">
        <f>$C536*P535</f>
        <v/>
      </c>
      <c r="Q536">
        <f>$C536*Q535</f>
        <v/>
      </c>
      <c r="R536">
        <f>$C536*R535</f>
        <v/>
      </c>
      <c r="S536">
        <f>$C536*S535</f>
        <v/>
      </c>
      <c r="T536">
        <f>$C536*T535</f>
        <v/>
      </c>
      <c r="U536">
        <f>$C536*U535</f>
        <v/>
      </c>
      <c r="V536">
        <f>$C536*V535</f>
        <v/>
      </c>
      <c r="W536">
        <f>$C536*W535</f>
        <v/>
      </c>
      <c r="X536">
        <f>$C536*X535</f>
        <v/>
      </c>
      <c r="Y536">
        <f>$C536*Y535</f>
        <v/>
      </c>
      <c r="Z536">
        <f>$C536*Z535</f>
        <v/>
      </c>
      <c r="AA536">
        <f>$C536*AA535</f>
        <v/>
      </c>
      <c r="AB536">
        <f>$C536*AB535</f>
        <v/>
      </c>
      <c r="AC536">
        <f>$C536*AC535</f>
        <v/>
      </c>
      <c r="AD536">
        <f>$C536*AD535</f>
        <v/>
      </c>
      <c r="AE536">
        <f>$C536*AE535</f>
        <v/>
      </c>
      <c r="AF536">
        <f>$C536*AF535</f>
        <v/>
      </c>
      <c r="AG536">
        <f>$C536*AG535</f>
        <v/>
      </c>
      <c r="AH536">
        <f>$C536*AH535</f>
        <v/>
      </c>
      <c r="AI536">
        <f>$C536*AI535</f>
        <v/>
      </c>
      <c r="AJ536">
        <f>$C536*AJ535</f>
        <v/>
      </c>
      <c r="AK536">
        <f>$C536*AK535</f>
        <v/>
      </c>
      <c r="AL536">
        <f>$C536*AL535</f>
        <v/>
      </c>
      <c r="AM536">
        <f>$C536*AM535</f>
        <v/>
      </c>
      <c r="AN536">
        <f>$C536*AN535</f>
        <v/>
      </c>
      <c r="AO536">
        <f>$C536*AO535</f>
        <v/>
      </c>
      <c r="AP536">
        <f>$C536*AP535</f>
        <v/>
      </c>
      <c r="AQ536">
        <f>$C536*AQ535</f>
        <v/>
      </c>
      <c r="AR536">
        <f>$C536*AR535</f>
        <v/>
      </c>
      <c r="AS536">
        <f>$C536*AS535</f>
        <v/>
      </c>
      <c r="AT536">
        <f>$C536*AT535</f>
        <v/>
      </c>
      <c r="AU536">
        <f>$C536*AU535</f>
        <v/>
      </c>
      <c r="AV536">
        <f>$C536*AV535</f>
        <v/>
      </c>
      <c r="AW536">
        <f>$C536*AW535</f>
        <v/>
      </c>
      <c r="AX536">
        <f>$C536*AX535</f>
        <v/>
      </c>
      <c r="AY536">
        <f>$C536*AY535</f>
        <v/>
      </c>
      <c r="AZ536">
        <f>$C536*AZ535</f>
        <v/>
      </c>
      <c r="BA536">
        <f>$C536*BA535</f>
        <v/>
      </c>
      <c r="BB536">
        <f>$C536*BB535</f>
        <v/>
      </c>
      <c r="BC536">
        <f>$C536*BC535</f>
        <v/>
      </c>
      <c r="BD536">
        <f>$C536*BD535</f>
        <v/>
      </c>
      <c r="BE536">
        <f>$C536*BE535</f>
        <v/>
      </c>
      <c r="BF536">
        <f>$C536*BF535</f>
        <v/>
      </c>
      <c r="BG536">
        <f>$C536*BG535</f>
        <v/>
      </c>
      <c r="BH536">
        <f>$C536*BH535</f>
        <v/>
      </c>
      <c r="BI536">
        <f>$C536*BI535</f>
        <v/>
      </c>
      <c r="BJ536">
        <f>$C536*BJ535</f>
        <v/>
      </c>
      <c r="BK536">
        <f>$C536*BK535</f>
        <v/>
      </c>
      <c r="BL536">
        <f>$C536*BL535</f>
        <v/>
      </c>
      <c r="BM536">
        <f>$C536*BM535</f>
        <v/>
      </c>
      <c r="BN536">
        <f>$C536*BN535</f>
        <v/>
      </c>
      <c r="BO536">
        <f>$C536*BO535</f>
        <v/>
      </c>
      <c r="BP536">
        <f>$C536*BP535</f>
        <v/>
      </c>
      <c r="BQ536">
        <f>$C536*BQ535</f>
        <v/>
      </c>
      <c r="BR536">
        <f>$C536*BR535</f>
        <v/>
      </c>
      <c r="BS536">
        <f>$C536*BS535</f>
        <v/>
      </c>
      <c r="BT536">
        <f>$C536*BT535</f>
        <v/>
      </c>
      <c r="BU536">
        <f>$C536*BU535</f>
        <v/>
      </c>
      <c r="BV536">
        <f>$C536*BV535</f>
        <v/>
      </c>
      <c r="BW536">
        <f>$C536*BW535</f>
        <v/>
      </c>
      <c r="BX536">
        <f>$C536*BX535</f>
        <v/>
      </c>
      <c r="BY536">
        <f>$C536*BY535</f>
        <v/>
      </c>
      <c r="BZ536">
        <f>$C536*BZ535</f>
        <v/>
      </c>
      <c r="CA536">
        <f>$C536*CA535</f>
        <v/>
      </c>
      <c r="CB536">
        <f>$C536*CB535</f>
        <v/>
      </c>
      <c r="CC536">
        <f>$C536*CC535</f>
        <v/>
      </c>
      <c r="CD536">
        <f>$C536*CD535</f>
        <v/>
      </c>
      <c r="CE536">
        <f>$C536*CE535</f>
        <v/>
      </c>
      <c r="CF536">
        <f>$C536*CF535</f>
        <v/>
      </c>
      <c r="CG536">
        <f>$C536*CG535</f>
        <v/>
      </c>
      <c r="CH536">
        <f>$C536*CH535</f>
        <v/>
      </c>
      <c r="CI536">
        <f>$C536*CI535</f>
        <v/>
      </c>
      <c r="CJ536">
        <f>$C536*CJ535</f>
        <v/>
      </c>
      <c r="CK536">
        <f>$C536*CK535</f>
        <v/>
      </c>
      <c r="CL536">
        <f>$C536*CL535</f>
        <v/>
      </c>
      <c r="CM536">
        <f>$C536*CM535</f>
        <v/>
      </c>
      <c r="CN536">
        <f>$C536*CN535</f>
        <v/>
      </c>
      <c r="CO536">
        <f>$C536*CO535</f>
        <v/>
      </c>
      <c r="CP536">
        <f>$C536*CP535</f>
        <v/>
      </c>
      <c r="CQ536">
        <f>$C536*CQ535</f>
        <v/>
      </c>
      <c r="CR536">
        <f>$C536*CR535</f>
        <v/>
      </c>
      <c r="CS536">
        <f>$C536*CS535</f>
        <v/>
      </c>
      <c r="CT536">
        <f>$C536*CT535</f>
        <v/>
      </c>
      <c r="CU536">
        <f>$C536*CU535</f>
        <v/>
      </c>
      <c r="CV536">
        <f>$C536*CV535</f>
        <v/>
      </c>
      <c r="CW536">
        <f>$C536*CW535</f>
        <v/>
      </c>
      <c r="CX536">
        <f>$C536*CX535</f>
        <v/>
      </c>
      <c r="CY536">
        <f>$C536*CY535</f>
        <v/>
      </c>
      <c r="CZ536">
        <f>$C536*CZ535</f>
        <v/>
      </c>
      <c r="DA536">
        <f>$C536*DA535</f>
        <v/>
      </c>
      <c r="DB536">
        <f>$C536*DB535</f>
        <v/>
      </c>
      <c r="DC536">
        <f>$C536*DC535</f>
        <v/>
      </c>
    </row>
    <row r="537">
      <c r="B537" t="inlineStr">
        <is>
          <t>TSP-225</t>
        </is>
      </c>
      <c r="C537" t="inlineStr">
        <is>
          <t>No. of batches</t>
        </is>
      </c>
      <c r="D537">
        <f>IFERROR(INDEX(PP_Grid[#Data],$DD537,2),0)</f>
        <v/>
      </c>
      <c r="E537">
        <f>IFERROR(INDEX(PP_Grid[#Data],$DD537,3),0)</f>
        <v/>
      </c>
      <c r="F537">
        <f>IFERROR(INDEX(PP_Grid[#Data],$DD537,4),0)</f>
        <v/>
      </c>
      <c r="G537">
        <f>IFERROR(INDEX(PP_Grid[#Data],$DD537,5),0)</f>
        <v/>
      </c>
      <c r="H537">
        <f>IFERROR(INDEX(PP_Grid[#Data],$DD537,6),0)</f>
        <v/>
      </c>
      <c r="I537">
        <f>IFERROR(INDEX(PP_Grid[#Data],$DD537,7),0)</f>
        <v/>
      </c>
      <c r="J537">
        <f>IFERROR(INDEX(PP_Grid[#Data],$DD537,8),0)</f>
        <v/>
      </c>
      <c r="K537">
        <f>IFERROR(INDEX(PP_Grid[#Data],$DD537,9),0)</f>
        <v/>
      </c>
      <c r="L537">
        <f>IFERROR(INDEX(PP_Grid[#Data],$DD537,10),0)</f>
        <v/>
      </c>
      <c r="M537">
        <f>IFERROR(INDEX(PP_Grid[#Data],$DD537,11),0)</f>
        <v/>
      </c>
      <c r="N537">
        <f>IFERROR(INDEX(PP_Grid[#Data],$DD537,12),0)</f>
        <v/>
      </c>
      <c r="O537">
        <f>IFERROR(INDEX(PP_Grid[#Data],$DD537,13),0)</f>
        <v/>
      </c>
      <c r="P537">
        <f>IFERROR(INDEX(PP_Grid[#Data],$DD537,14),0)</f>
        <v/>
      </c>
      <c r="Q537">
        <f>IFERROR(INDEX(PP_Grid[#Data],$DD537,15),0)</f>
        <v/>
      </c>
      <c r="R537">
        <f>IFERROR(INDEX(PP_Grid[#Data],$DD537,16),0)</f>
        <v/>
      </c>
      <c r="S537">
        <f>IFERROR(INDEX(PP_Grid[#Data],$DD537,17),0)</f>
        <v/>
      </c>
      <c r="T537">
        <f>IFERROR(INDEX(PP_Grid[#Data],$DD537,18),0)</f>
        <v/>
      </c>
      <c r="U537">
        <f>IFERROR(INDEX(PP_Grid[#Data],$DD537,19),0)</f>
        <v/>
      </c>
      <c r="V537">
        <f>IFERROR(INDEX(PP_Grid[#Data],$DD537,20),0)</f>
        <v/>
      </c>
      <c r="W537">
        <f>IFERROR(INDEX(PP_Grid[#Data],$DD537,21),0)</f>
        <v/>
      </c>
      <c r="X537">
        <f>IFERROR(INDEX(PP_Grid[#Data],$DD537,22),0)</f>
        <v/>
      </c>
      <c r="Y537">
        <f>IFERROR(INDEX(PP_Grid[#Data],$DD537,23),0)</f>
        <v/>
      </c>
      <c r="Z537">
        <f>IFERROR(INDEX(PP_Grid[#Data],$DD537,24),0)</f>
        <v/>
      </c>
      <c r="AA537">
        <f>IFERROR(INDEX(PP_Grid[#Data],$DD537,25),0)</f>
        <v/>
      </c>
      <c r="AB537">
        <f>IFERROR(INDEX(PP_Grid[#Data],$DD537,26),0)</f>
        <v/>
      </c>
      <c r="AC537">
        <f>IFERROR(INDEX(PP_Grid[#Data],$DD537,27),0)</f>
        <v/>
      </c>
      <c r="AD537">
        <f>IFERROR(INDEX(PP_Grid[#Data],$DD537,28),0)</f>
        <v/>
      </c>
      <c r="AE537">
        <f>IFERROR(INDEX(PP_Grid[#Data],$DD537,29),0)</f>
        <v/>
      </c>
      <c r="AF537">
        <f>IFERROR(INDEX(PP_Grid[#Data],$DD537,30),0)</f>
        <v/>
      </c>
      <c r="AG537">
        <f>IFERROR(INDEX(PP_Grid[#Data],$DD537,31),0)</f>
        <v/>
      </c>
      <c r="AH537">
        <f>IFERROR(INDEX(PP_Grid[#Data],$DD537,32),0)</f>
        <v/>
      </c>
      <c r="AI537">
        <f>IFERROR(INDEX(PP_Grid[#Data],$DD537,33),0)</f>
        <v/>
      </c>
      <c r="AJ537">
        <f>IFERROR(INDEX(PP_Grid[#Data],$DD537,34),0)</f>
        <v/>
      </c>
      <c r="AK537">
        <f>IFERROR(INDEX(PP_Grid[#Data],$DD537,35),0)</f>
        <v/>
      </c>
      <c r="AL537">
        <f>IFERROR(INDEX(PP_Grid[#Data],$DD537,36),0)</f>
        <v/>
      </c>
      <c r="AM537">
        <f>IFERROR(INDEX(PP_Grid[#Data],$DD537,37),0)</f>
        <v/>
      </c>
      <c r="AN537">
        <f>IFERROR(INDEX(PP_Grid[#Data],$DD537,38),0)</f>
        <v/>
      </c>
      <c r="AO537">
        <f>IFERROR(INDEX(PP_Grid[#Data],$DD537,39),0)</f>
        <v/>
      </c>
      <c r="AP537">
        <f>IFERROR(INDEX(PP_Grid[#Data],$DD537,40),0)</f>
        <v/>
      </c>
      <c r="AQ537">
        <f>IFERROR(INDEX(PP_Grid[#Data],$DD537,41),0)</f>
        <v/>
      </c>
      <c r="AR537">
        <f>IFERROR(INDEX(PP_Grid[#Data],$DD537,42),0)</f>
        <v/>
      </c>
      <c r="AS537">
        <f>IFERROR(INDEX(PP_Grid[#Data],$DD537,43),0)</f>
        <v/>
      </c>
      <c r="AT537">
        <f>IFERROR(INDEX(PP_Grid[#Data],$DD537,44),0)</f>
        <v/>
      </c>
      <c r="AU537">
        <f>IFERROR(INDEX(PP_Grid[#Data],$DD537,45),0)</f>
        <v/>
      </c>
      <c r="AV537">
        <f>IFERROR(INDEX(PP_Grid[#Data],$DD537,46),0)</f>
        <v/>
      </c>
      <c r="AW537">
        <f>IFERROR(INDEX(PP_Grid[#Data],$DD537,47),0)</f>
        <v/>
      </c>
      <c r="AX537">
        <f>IFERROR(INDEX(PP_Grid[#Data],$DD537,48),0)</f>
        <v/>
      </c>
      <c r="AY537">
        <f>IFERROR(INDEX(PP_Grid[#Data],$DD537,49),0)</f>
        <v/>
      </c>
      <c r="AZ537">
        <f>IFERROR(INDEX(PP_Grid[#Data],$DD537,50),0)</f>
        <v/>
      </c>
      <c r="BA537">
        <f>IFERROR(INDEX(PP_Grid[#Data],$DD537,51),0)</f>
        <v/>
      </c>
      <c r="BB537">
        <f>IFERROR(INDEX(PP_Grid[#Data],$DD537,52),0)</f>
        <v/>
      </c>
      <c r="BC537">
        <f>IFERROR(INDEX(PP_Grid[#Data],$DD537,53),0)</f>
        <v/>
      </c>
      <c r="BD537">
        <f>IFERROR(INDEX(PP_Grid[#Data],$DD537,54),0)</f>
        <v/>
      </c>
      <c r="BE537">
        <f>IFERROR(INDEX(PP_Grid[#Data],$DD537,55),0)</f>
        <v/>
      </c>
      <c r="BF537">
        <f>IFERROR(INDEX(PP_Grid[#Data],$DD537,56),0)</f>
        <v/>
      </c>
      <c r="BG537">
        <f>IFERROR(INDEX(PP_Grid[#Data],$DD537,57),0)</f>
        <v/>
      </c>
      <c r="BH537">
        <f>IFERROR(INDEX(PP_Grid[#Data],$DD537,58),0)</f>
        <v/>
      </c>
      <c r="BI537">
        <f>IFERROR(INDEX(PP_Grid[#Data],$DD537,59),0)</f>
        <v/>
      </c>
      <c r="BJ537">
        <f>IFERROR(INDEX(PP_Grid[#Data],$DD537,60),0)</f>
        <v/>
      </c>
      <c r="BK537">
        <f>IFERROR(INDEX(PP_Grid[#Data],$DD537,61),0)</f>
        <v/>
      </c>
      <c r="BL537">
        <f>IFERROR(INDEX(PP_Grid[#Data],$DD537,62),0)</f>
        <v/>
      </c>
      <c r="BM537">
        <f>IFERROR(INDEX(PP_Grid[#Data],$DD537,63),0)</f>
        <v/>
      </c>
      <c r="BN537">
        <f>IFERROR(INDEX(PP_Grid[#Data],$DD537,64),0)</f>
        <v/>
      </c>
      <c r="BO537">
        <f>IFERROR(INDEX(PP_Grid[#Data],$DD537,65),0)</f>
        <v/>
      </c>
      <c r="BP537">
        <f>IFERROR(INDEX(PP_Grid[#Data],$DD537,66),0)</f>
        <v/>
      </c>
      <c r="BQ537">
        <f>IFERROR(INDEX(PP_Grid[#Data],$DD537,67),0)</f>
        <v/>
      </c>
      <c r="BR537">
        <f>IFERROR(INDEX(PP_Grid[#Data],$DD537,68),0)</f>
        <v/>
      </c>
      <c r="BS537">
        <f>IFERROR(INDEX(PP_Grid[#Data],$DD537,69),0)</f>
        <v/>
      </c>
      <c r="BT537">
        <f>IFERROR(INDEX(PP_Grid[#Data],$DD537,70),0)</f>
        <v/>
      </c>
      <c r="BU537">
        <f>IFERROR(INDEX(PP_Grid[#Data],$DD537,71),0)</f>
        <v/>
      </c>
      <c r="BV537">
        <f>IFERROR(INDEX(PP_Grid[#Data],$DD537,72),0)</f>
        <v/>
      </c>
      <c r="BW537">
        <f>IFERROR(INDEX(PP_Grid[#Data],$DD537,73),0)</f>
        <v/>
      </c>
      <c r="BX537">
        <f>IFERROR(INDEX(PP_Grid[#Data],$DD537,74),0)</f>
        <v/>
      </c>
      <c r="BY537">
        <f>IFERROR(INDEX(PP_Grid[#Data],$DD537,75),0)</f>
        <v/>
      </c>
      <c r="BZ537">
        <f>IFERROR(INDEX(PP_Grid[#Data],$DD537,76),0)</f>
        <v/>
      </c>
      <c r="CA537">
        <f>IFERROR(INDEX(PP_Grid[#Data],$DD537,77),0)</f>
        <v/>
      </c>
      <c r="CB537">
        <f>IFERROR(INDEX(PP_Grid[#Data],$DD537,78),0)</f>
        <v/>
      </c>
      <c r="CC537">
        <f>IFERROR(INDEX(PP_Grid[#Data],$DD537,79),0)</f>
        <v/>
      </c>
      <c r="CD537">
        <f>IFERROR(INDEX(PP_Grid[#Data],$DD537,80),0)</f>
        <v/>
      </c>
      <c r="CE537">
        <f>IFERROR(INDEX(PP_Grid[#Data],$DD537,81),0)</f>
        <v/>
      </c>
      <c r="CF537">
        <f>IFERROR(INDEX(PP_Grid[#Data],$DD537,82),0)</f>
        <v/>
      </c>
      <c r="CG537">
        <f>IFERROR(INDEX(PP_Grid[#Data],$DD537,83),0)</f>
        <v/>
      </c>
      <c r="CH537">
        <f>IFERROR(INDEX(PP_Grid[#Data],$DD537,84),0)</f>
        <v/>
      </c>
      <c r="CI537">
        <f>IFERROR(INDEX(PP_Grid[#Data],$DD537,85),0)</f>
        <v/>
      </c>
      <c r="CJ537">
        <f>IFERROR(INDEX(PP_Grid[#Data],$DD537,86),0)</f>
        <v/>
      </c>
      <c r="CK537">
        <f>IFERROR(INDEX(PP_Grid[#Data],$DD537,87),0)</f>
        <v/>
      </c>
      <c r="CL537">
        <f>IFERROR(INDEX(PP_Grid[#Data],$DD537,88),0)</f>
        <v/>
      </c>
      <c r="CM537">
        <f>IFERROR(INDEX(PP_Grid[#Data],$DD537,89),0)</f>
        <v/>
      </c>
      <c r="CN537">
        <f>IFERROR(INDEX(PP_Grid[#Data],$DD537,90),0)</f>
        <v/>
      </c>
      <c r="CO537">
        <f>IFERROR(INDEX(PP_Grid[#Data],$DD537,91),0)</f>
        <v/>
      </c>
      <c r="CP537">
        <f>IFERROR(INDEX(PP_Grid[#Data],$DD537,92),0)</f>
        <v/>
      </c>
      <c r="CQ537">
        <f>IFERROR(INDEX(PP_Grid[#Data],$DD537,93),0)</f>
        <v/>
      </c>
      <c r="CR537">
        <f>IFERROR(INDEX(PP_Grid[#Data],$DD537,94),0)</f>
        <v/>
      </c>
      <c r="CS537">
        <f>IFERROR(INDEX(PP_Grid[#Data],$DD537,95),0)</f>
        <v/>
      </c>
      <c r="CT537">
        <f>IFERROR(INDEX(PP_Grid[#Data],$DD537,96),0)</f>
        <v/>
      </c>
      <c r="CU537">
        <f>IFERROR(INDEX(PP_Grid[#Data],$DD537,97),0)</f>
        <v/>
      </c>
      <c r="CV537">
        <f>IFERROR(INDEX(PP_Grid[#Data],$DD537,98),0)</f>
        <v/>
      </c>
      <c r="CW537">
        <f>IFERROR(INDEX(PP_Grid[#Data],$DD537,99),0)</f>
        <v/>
      </c>
      <c r="CX537">
        <f>IFERROR(INDEX(PP_Grid[#Data],$DD537,100),0)</f>
        <v/>
      </c>
      <c r="CY537">
        <f>IFERROR(INDEX(PP_Grid[#Data],$DD537,101),0)</f>
        <v/>
      </c>
      <c r="CZ537">
        <f>IFERROR(INDEX(PP_Grid[#Data],$DD537,102),0)</f>
        <v/>
      </c>
      <c r="DA537">
        <f>IFERROR(INDEX(PP_Grid[#Data],$DD537,103),0)</f>
        <v/>
      </c>
      <c r="DB537">
        <f>IFERROR(INDEX(PP_Grid[#Data],$DD537,104),0)</f>
        <v/>
      </c>
      <c r="DC537">
        <f>IFERROR(INDEX(PP_Grid[#Data],$DD537,105),0)</f>
        <v/>
      </c>
      <c r="DD537" s="12">
        <f>IFERROR(MATCH($B537,PP_Grid[Intermediate],0),99999)</f>
        <v/>
      </c>
    </row>
    <row r="538">
      <c r="B538" t="inlineStr">
        <is>
          <t>使用量(kg)</t>
        </is>
      </c>
      <c r="C538">
        <f>SUMIFS(M_BOM[RM_Qty_Per_Batch],M_BOM[Intermediate],$B537,M_BOM[Part Name],$A518)</f>
        <v/>
      </c>
      <c r="D538">
        <f>$C538*D537</f>
        <v/>
      </c>
      <c r="E538">
        <f>$C538*E537</f>
        <v/>
      </c>
      <c r="F538">
        <f>$C538*F537</f>
        <v/>
      </c>
      <c r="G538">
        <f>$C538*G537</f>
        <v/>
      </c>
      <c r="H538">
        <f>$C538*H537</f>
        <v/>
      </c>
      <c r="I538">
        <f>$C538*I537</f>
        <v/>
      </c>
      <c r="J538">
        <f>$C538*J537</f>
        <v/>
      </c>
      <c r="K538">
        <f>$C538*K537</f>
        <v/>
      </c>
      <c r="L538">
        <f>$C538*L537</f>
        <v/>
      </c>
      <c r="M538">
        <f>$C538*M537</f>
        <v/>
      </c>
      <c r="N538">
        <f>$C538*N537</f>
        <v/>
      </c>
      <c r="O538">
        <f>$C538*O537</f>
        <v/>
      </c>
      <c r="P538">
        <f>$C538*P537</f>
        <v/>
      </c>
      <c r="Q538">
        <f>$C538*Q537</f>
        <v/>
      </c>
      <c r="R538">
        <f>$C538*R537</f>
        <v/>
      </c>
      <c r="S538">
        <f>$C538*S537</f>
        <v/>
      </c>
      <c r="T538">
        <f>$C538*T537</f>
        <v/>
      </c>
      <c r="U538">
        <f>$C538*U537</f>
        <v/>
      </c>
      <c r="V538">
        <f>$C538*V537</f>
        <v/>
      </c>
      <c r="W538">
        <f>$C538*W537</f>
        <v/>
      </c>
      <c r="X538">
        <f>$C538*X537</f>
        <v/>
      </c>
      <c r="Y538">
        <f>$C538*Y537</f>
        <v/>
      </c>
      <c r="Z538">
        <f>$C538*Z537</f>
        <v/>
      </c>
      <c r="AA538">
        <f>$C538*AA537</f>
        <v/>
      </c>
      <c r="AB538">
        <f>$C538*AB537</f>
        <v/>
      </c>
      <c r="AC538">
        <f>$C538*AC537</f>
        <v/>
      </c>
      <c r="AD538">
        <f>$C538*AD537</f>
        <v/>
      </c>
      <c r="AE538">
        <f>$C538*AE537</f>
        <v/>
      </c>
      <c r="AF538">
        <f>$C538*AF537</f>
        <v/>
      </c>
      <c r="AG538">
        <f>$C538*AG537</f>
        <v/>
      </c>
      <c r="AH538">
        <f>$C538*AH537</f>
        <v/>
      </c>
      <c r="AI538">
        <f>$C538*AI537</f>
        <v/>
      </c>
      <c r="AJ538">
        <f>$C538*AJ537</f>
        <v/>
      </c>
      <c r="AK538">
        <f>$C538*AK537</f>
        <v/>
      </c>
      <c r="AL538">
        <f>$C538*AL537</f>
        <v/>
      </c>
      <c r="AM538">
        <f>$C538*AM537</f>
        <v/>
      </c>
      <c r="AN538">
        <f>$C538*AN537</f>
        <v/>
      </c>
      <c r="AO538">
        <f>$C538*AO537</f>
        <v/>
      </c>
      <c r="AP538">
        <f>$C538*AP537</f>
        <v/>
      </c>
      <c r="AQ538">
        <f>$C538*AQ537</f>
        <v/>
      </c>
      <c r="AR538">
        <f>$C538*AR537</f>
        <v/>
      </c>
      <c r="AS538">
        <f>$C538*AS537</f>
        <v/>
      </c>
      <c r="AT538">
        <f>$C538*AT537</f>
        <v/>
      </c>
      <c r="AU538">
        <f>$C538*AU537</f>
        <v/>
      </c>
      <c r="AV538">
        <f>$C538*AV537</f>
        <v/>
      </c>
      <c r="AW538">
        <f>$C538*AW537</f>
        <v/>
      </c>
      <c r="AX538">
        <f>$C538*AX537</f>
        <v/>
      </c>
      <c r="AY538">
        <f>$C538*AY537</f>
        <v/>
      </c>
      <c r="AZ538">
        <f>$C538*AZ537</f>
        <v/>
      </c>
      <c r="BA538">
        <f>$C538*BA537</f>
        <v/>
      </c>
      <c r="BB538">
        <f>$C538*BB537</f>
        <v/>
      </c>
      <c r="BC538">
        <f>$C538*BC537</f>
        <v/>
      </c>
      <c r="BD538">
        <f>$C538*BD537</f>
        <v/>
      </c>
      <c r="BE538">
        <f>$C538*BE537</f>
        <v/>
      </c>
      <c r="BF538">
        <f>$C538*BF537</f>
        <v/>
      </c>
      <c r="BG538">
        <f>$C538*BG537</f>
        <v/>
      </c>
      <c r="BH538">
        <f>$C538*BH537</f>
        <v/>
      </c>
      <c r="BI538">
        <f>$C538*BI537</f>
        <v/>
      </c>
      <c r="BJ538">
        <f>$C538*BJ537</f>
        <v/>
      </c>
      <c r="BK538">
        <f>$C538*BK537</f>
        <v/>
      </c>
      <c r="BL538">
        <f>$C538*BL537</f>
        <v/>
      </c>
      <c r="BM538">
        <f>$C538*BM537</f>
        <v/>
      </c>
      <c r="BN538">
        <f>$C538*BN537</f>
        <v/>
      </c>
      <c r="BO538">
        <f>$C538*BO537</f>
        <v/>
      </c>
      <c r="BP538">
        <f>$C538*BP537</f>
        <v/>
      </c>
      <c r="BQ538">
        <f>$C538*BQ537</f>
        <v/>
      </c>
      <c r="BR538">
        <f>$C538*BR537</f>
        <v/>
      </c>
      <c r="BS538">
        <f>$C538*BS537</f>
        <v/>
      </c>
      <c r="BT538">
        <f>$C538*BT537</f>
        <v/>
      </c>
      <c r="BU538">
        <f>$C538*BU537</f>
        <v/>
      </c>
      <c r="BV538">
        <f>$C538*BV537</f>
        <v/>
      </c>
      <c r="BW538">
        <f>$C538*BW537</f>
        <v/>
      </c>
      <c r="BX538">
        <f>$C538*BX537</f>
        <v/>
      </c>
      <c r="BY538">
        <f>$C538*BY537</f>
        <v/>
      </c>
      <c r="BZ538">
        <f>$C538*BZ537</f>
        <v/>
      </c>
      <c r="CA538">
        <f>$C538*CA537</f>
        <v/>
      </c>
      <c r="CB538">
        <f>$C538*CB537</f>
        <v/>
      </c>
      <c r="CC538">
        <f>$C538*CC537</f>
        <v/>
      </c>
      <c r="CD538">
        <f>$C538*CD537</f>
        <v/>
      </c>
      <c r="CE538">
        <f>$C538*CE537</f>
        <v/>
      </c>
      <c r="CF538">
        <f>$C538*CF537</f>
        <v/>
      </c>
      <c r="CG538">
        <f>$C538*CG537</f>
        <v/>
      </c>
      <c r="CH538">
        <f>$C538*CH537</f>
        <v/>
      </c>
      <c r="CI538">
        <f>$C538*CI537</f>
        <v/>
      </c>
      <c r="CJ538">
        <f>$C538*CJ537</f>
        <v/>
      </c>
      <c r="CK538">
        <f>$C538*CK537</f>
        <v/>
      </c>
      <c r="CL538">
        <f>$C538*CL537</f>
        <v/>
      </c>
      <c r="CM538">
        <f>$C538*CM537</f>
        <v/>
      </c>
      <c r="CN538">
        <f>$C538*CN537</f>
        <v/>
      </c>
      <c r="CO538">
        <f>$C538*CO537</f>
        <v/>
      </c>
      <c r="CP538">
        <f>$C538*CP537</f>
        <v/>
      </c>
      <c r="CQ538">
        <f>$C538*CQ537</f>
        <v/>
      </c>
      <c r="CR538">
        <f>$C538*CR537</f>
        <v/>
      </c>
      <c r="CS538">
        <f>$C538*CS537</f>
        <v/>
      </c>
      <c r="CT538">
        <f>$C538*CT537</f>
        <v/>
      </c>
      <c r="CU538">
        <f>$C538*CU537</f>
        <v/>
      </c>
      <c r="CV538">
        <f>$C538*CV537</f>
        <v/>
      </c>
      <c r="CW538">
        <f>$C538*CW537</f>
        <v/>
      </c>
      <c r="CX538">
        <f>$C538*CX537</f>
        <v/>
      </c>
      <c r="CY538">
        <f>$C538*CY537</f>
        <v/>
      </c>
      <c r="CZ538">
        <f>$C538*CZ537</f>
        <v/>
      </c>
      <c r="DA538">
        <f>$C538*DA537</f>
        <v/>
      </c>
      <c r="DB538">
        <f>$C538*DB537</f>
        <v/>
      </c>
      <c r="DC538">
        <f>$C538*DC537</f>
        <v/>
      </c>
    </row>
    <row r="539">
      <c r="B539" t="inlineStr">
        <is>
          <t>TSP-360</t>
        </is>
      </c>
      <c r="C539" t="inlineStr">
        <is>
          <t>No. of batches</t>
        </is>
      </c>
      <c r="D539">
        <f>IFERROR(INDEX(PP_Grid[#Data],$DD539,2),0)</f>
        <v/>
      </c>
      <c r="E539">
        <f>IFERROR(INDEX(PP_Grid[#Data],$DD539,3),0)</f>
        <v/>
      </c>
      <c r="F539">
        <f>IFERROR(INDEX(PP_Grid[#Data],$DD539,4),0)</f>
        <v/>
      </c>
      <c r="G539">
        <f>IFERROR(INDEX(PP_Grid[#Data],$DD539,5),0)</f>
        <v/>
      </c>
      <c r="H539">
        <f>IFERROR(INDEX(PP_Grid[#Data],$DD539,6),0)</f>
        <v/>
      </c>
      <c r="I539">
        <f>IFERROR(INDEX(PP_Grid[#Data],$DD539,7),0)</f>
        <v/>
      </c>
      <c r="J539">
        <f>IFERROR(INDEX(PP_Grid[#Data],$DD539,8),0)</f>
        <v/>
      </c>
      <c r="K539">
        <f>IFERROR(INDEX(PP_Grid[#Data],$DD539,9),0)</f>
        <v/>
      </c>
      <c r="L539">
        <f>IFERROR(INDEX(PP_Grid[#Data],$DD539,10),0)</f>
        <v/>
      </c>
      <c r="M539">
        <f>IFERROR(INDEX(PP_Grid[#Data],$DD539,11),0)</f>
        <v/>
      </c>
      <c r="N539">
        <f>IFERROR(INDEX(PP_Grid[#Data],$DD539,12),0)</f>
        <v/>
      </c>
      <c r="O539">
        <f>IFERROR(INDEX(PP_Grid[#Data],$DD539,13),0)</f>
        <v/>
      </c>
      <c r="P539">
        <f>IFERROR(INDEX(PP_Grid[#Data],$DD539,14),0)</f>
        <v/>
      </c>
      <c r="Q539">
        <f>IFERROR(INDEX(PP_Grid[#Data],$DD539,15),0)</f>
        <v/>
      </c>
      <c r="R539">
        <f>IFERROR(INDEX(PP_Grid[#Data],$DD539,16),0)</f>
        <v/>
      </c>
      <c r="S539">
        <f>IFERROR(INDEX(PP_Grid[#Data],$DD539,17),0)</f>
        <v/>
      </c>
      <c r="T539">
        <f>IFERROR(INDEX(PP_Grid[#Data],$DD539,18),0)</f>
        <v/>
      </c>
      <c r="U539">
        <f>IFERROR(INDEX(PP_Grid[#Data],$DD539,19),0)</f>
        <v/>
      </c>
      <c r="V539">
        <f>IFERROR(INDEX(PP_Grid[#Data],$DD539,20),0)</f>
        <v/>
      </c>
      <c r="W539">
        <f>IFERROR(INDEX(PP_Grid[#Data],$DD539,21),0)</f>
        <v/>
      </c>
      <c r="X539">
        <f>IFERROR(INDEX(PP_Grid[#Data],$DD539,22),0)</f>
        <v/>
      </c>
      <c r="Y539">
        <f>IFERROR(INDEX(PP_Grid[#Data],$DD539,23),0)</f>
        <v/>
      </c>
      <c r="Z539">
        <f>IFERROR(INDEX(PP_Grid[#Data],$DD539,24),0)</f>
        <v/>
      </c>
      <c r="AA539">
        <f>IFERROR(INDEX(PP_Grid[#Data],$DD539,25),0)</f>
        <v/>
      </c>
      <c r="AB539">
        <f>IFERROR(INDEX(PP_Grid[#Data],$DD539,26),0)</f>
        <v/>
      </c>
      <c r="AC539">
        <f>IFERROR(INDEX(PP_Grid[#Data],$DD539,27),0)</f>
        <v/>
      </c>
      <c r="AD539">
        <f>IFERROR(INDEX(PP_Grid[#Data],$DD539,28),0)</f>
        <v/>
      </c>
      <c r="AE539">
        <f>IFERROR(INDEX(PP_Grid[#Data],$DD539,29),0)</f>
        <v/>
      </c>
      <c r="AF539">
        <f>IFERROR(INDEX(PP_Grid[#Data],$DD539,30),0)</f>
        <v/>
      </c>
      <c r="AG539">
        <f>IFERROR(INDEX(PP_Grid[#Data],$DD539,31),0)</f>
        <v/>
      </c>
      <c r="AH539">
        <f>IFERROR(INDEX(PP_Grid[#Data],$DD539,32),0)</f>
        <v/>
      </c>
      <c r="AI539">
        <f>IFERROR(INDEX(PP_Grid[#Data],$DD539,33),0)</f>
        <v/>
      </c>
      <c r="AJ539">
        <f>IFERROR(INDEX(PP_Grid[#Data],$DD539,34),0)</f>
        <v/>
      </c>
      <c r="AK539">
        <f>IFERROR(INDEX(PP_Grid[#Data],$DD539,35),0)</f>
        <v/>
      </c>
      <c r="AL539">
        <f>IFERROR(INDEX(PP_Grid[#Data],$DD539,36),0)</f>
        <v/>
      </c>
      <c r="AM539">
        <f>IFERROR(INDEX(PP_Grid[#Data],$DD539,37),0)</f>
        <v/>
      </c>
      <c r="AN539">
        <f>IFERROR(INDEX(PP_Grid[#Data],$DD539,38),0)</f>
        <v/>
      </c>
      <c r="AO539">
        <f>IFERROR(INDEX(PP_Grid[#Data],$DD539,39),0)</f>
        <v/>
      </c>
      <c r="AP539">
        <f>IFERROR(INDEX(PP_Grid[#Data],$DD539,40),0)</f>
        <v/>
      </c>
      <c r="AQ539">
        <f>IFERROR(INDEX(PP_Grid[#Data],$DD539,41),0)</f>
        <v/>
      </c>
      <c r="AR539">
        <f>IFERROR(INDEX(PP_Grid[#Data],$DD539,42),0)</f>
        <v/>
      </c>
      <c r="AS539">
        <f>IFERROR(INDEX(PP_Grid[#Data],$DD539,43),0)</f>
        <v/>
      </c>
      <c r="AT539">
        <f>IFERROR(INDEX(PP_Grid[#Data],$DD539,44),0)</f>
        <v/>
      </c>
      <c r="AU539">
        <f>IFERROR(INDEX(PP_Grid[#Data],$DD539,45),0)</f>
        <v/>
      </c>
      <c r="AV539">
        <f>IFERROR(INDEX(PP_Grid[#Data],$DD539,46),0)</f>
        <v/>
      </c>
      <c r="AW539">
        <f>IFERROR(INDEX(PP_Grid[#Data],$DD539,47),0)</f>
        <v/>
      </c>
      <c r="AX539">
        <f>IFERROR(INDEX(PP_Grid[#Data],$DD539,48),0)</f>
        <v/>
      </c>
      <c r="AY539">
        <f>IFERROR(INDEX(PP_Grid[#Data],$DD539,49),0)</f>
        <v/>
      </c>
      <c r="AZ539">
        <f>IFERROR(INDEX(PP_Grid[#Data],$DD539,50),0)</f>
        <v/>
      </c>
      <c r="BA539">
        <f>IFERROR(INDEX(PP_Grid[#Data],$DD539,51),0)</f>
        <v/>
      </c>
      <c r="BB539">
        <f>IFERROR(INDEX(PP_Grid[#Data],$DD539,52),0)</f>
        <v/>
      </c>
      <c r="BC539">
        <f>IFERROR(INDEX(PP_Grid[#Data],$DD539,53),0)</f>
        <v/>
      </c>
      <c r="BD539">
        <f>IFERROR(INDEX(PP_Grid[#Data],$DD539,54),0)</f>
        <v/>
      </c>
      <c r="BE539">
        <f>IFERROR(INDEX(PP_Grid[#Data],$DD539,55),0)</f>
        <v/>
      </c>
      <c r="BF539">
        <f>IFERROR(INDEX(PP_Grid[#Data],$DD539,56),0)</f>
        <v/>
      </c>
      <c r="BG539">
        <f>IFERROR(INDEX(PP_Grid[#Data],$DD539,57),0)</f>
        <v/>
      </c>
      <c r="BH539">
        <f>IFERROR(INDEX(PP_Grid[#Data],$DD539,58),0)</f>
        <v/>
      </c>
      <c r="BI539">
        <f>IFERROR(INDEX(PP_Grid[#Data],$DD539,59),0)</f>
        <v/>
      </c>
      <c r="BJ539">
        <f>IFERROR(INDEX(PP_Grid[#Data],$DD539,60),0)</f>
        <v/>
      </c>
      <c r="BK539">
        <f>IFERROR(INDEX(PP_Grid[#Data],$DD539,61),0)</f>
        <v/>
      </c>
      <c r="BL539">
        <f>IFERROR(INDEX(PP_Grid[#Data],$DD539,62),0)</f>
        <v/>
      </c>
      <c r="BM539">
        <f>IFERROR(INDEX(PP_Grid[#Data],$DD539,63),0)</f>
        <v/>
      </c>
      <c r="BN539">
        <f>IFERROR(INDEX(PP_Grid[#Data],$DD539,64),0)</f>
        <v/>
      </c>
      <c r="BO539">
        <f>IFERROR(INDEX(PP_Grid[#Data],$DD539,65),0)</f>
        <v/>
      </c>
      <c r="BP539">
        <f>IFERROR(INDEX(PP_Grid[#Data],$DD539,66),0)</f>
        <v/>
      </c>
      <c r="BQ539">
        <f>IFERROR(INDEX(PP_Grid[#Data],$DD539,67),0)</f>
        <v/>
      </c>
      <c r="BR539">
        <f>IFERROR(INDEX(PP_Grid[#Data],$DD539,68),0)</f>
        <v/>
      </c>
      <c r="BS539">
        <f>IFERROR(INDEX(PP_Grid[#Data],$DD539,69),0)</f>
        <v/>
      </c>
      <c r="BT539">
        <f>IFERROR(INDEX(PP_Grid[#Data],$DD539,70),0)</f>
        <v/>
      </c>
      <c r="BU539">
        <f>IFERROR(INDEX(PP_Grid[#Data],$DD539,71),0)</f>
        <v/>
      </c>
      <c r="BV539">
        <f>IFERROR(INDEX(PP_Grid[#Data],$DD539,72),0)</f>
        <v/>
      </c>
      <c r="BW539">
        <f>IFERROR(INDEX(PP_Grid[#Data],$DD539,73),0)</f>
        <v/>
      </c>
      <c r="BX539">
        <f>IFERROR(INDEX(PP_Grid[#Data],$DD539,74),0)</f>
        <v/>
      </c>
      <c r="BY539">
        <f>IFERROR(INDEX(PP_Grid[#Data],$DD539,75),0)</f>
        <v/>
      </c>
      <c r="BZ539">
        <f>IFERROR(INDEX(PP_Grid[#Data],$DD539,76),0)</f>
        <v/>
      </c>
      <c r="CA539">
        <f>IFERROR(INDEX(PP_Grid[#Data],$DD539,77),0)</f>
        <v/>
      </c>
      <c r="CB539">
        <f>IFERROR(INDEX(PP_Grid[#Data],$DD539,78),0)</f>
        <v/>
      </c>
      <c r="CC539">
        <f>IFERROR(INDEX(PP_Grid[#Data],$DD539,79),0)</f>
        <v/>
      </c>
      <c r="CD539">
        <f>IFERROR(INDEX(PP_Grid[#Data],$DD539,80),0)</f>
        <v/>
      </c>
      <c r="CE539">
        <f>IFERROR(INDEX(PP_Grid[#Data],$DD539,81),0)</f>
        <v/>
      </c>
      <c r="CF539">
        <f>IFERROR(INDEX(PP_Grid[#Data],$DD539,82),0)</f>
        <v/>
      </c>
      <c r="CG539">
        <f>IFERROR(INDEX(PP_Grid[#Data],$DD539,83),0)</f>
        <v/>
      </c>
      <c r="CH539">
        <f>IFERROR(INDEX(PP_Grid[#Data],$DD539,84),0)</f>
        <v/>
      </c>
      <c r="CI539">
        <f>IFERROR(INDEX(PP_Grid[#Data],$DD539,85),0)</f>
        <v/>
      </c>
      <c r="CJ539">
        <f>IFERROR(INDEX(PP_Grid[#Data],$DD539,86),0)</f>
        <v/>
      </c>
      <c r="CK539">
        <f>IFERROR(INDEX(PP_Grid[#Data],$DD539,87),0)</f>
        <v/>
      </c>
      <c r="CL539">
        <f>IFERROR(INDEX(PP_Grid[#Data],$DD539,88),0)</f>
        <v/>
      </c>
      <c r="CM539">
        <f>IFERROR(INDEX(PP_Grid[#Data],$DD539,89),0)</f>
        <v/>
      </c>
      <c r="CN539">
        <f>IFERROR(INDEX(PP_Grid[#Data],$DD539,90),0)</f>
        <v/>
      </c>
      <c r="CO539">
        <f>IFERROR(INDEX(PP_Grid[#Data],$DD539,91),0)</f>
        <v/>
      </c>
      <c r="CP539">
        <f>IFERROR(INDEX(PP_Grid[#Data],$DD539,92),0)</f>
        <v/>
      </c>
      <c r="CQ539">
        <f>IFERROR(INDEX(PP_Grid[#Data],$DD539,93),0)</f>
        <v/>
      </c>
      <c r="CR539">
        <f>IFERROR(INDEX(PP_Grid[#Data],$DD539,94),0)</f>
        <v/>
      </c>
      <c r="CS539">
        <f>IFERROR(INDEX(PP_Grid[#Data],$DD539,95),0)</f>
        <v/>
      </c>
      <c r="CT539">
        <f>IFERROR(INDEX(PP_Grid[#Data],$DD539,96),0)</f>
        <v/>
      </c>
      <c r="CU539">
        <f>IFERROR(INDEX(PP_Grid[#Data],$DD539,97),0)</f>
        <v/>
      </c>
      <c r="CV539">
        <f>IFERROR(INDEX(PP_Grid[#Data],$DD539,98),0)</f>
        <v/>
      </c>
      <c r="CW539">
        <f>IFERROR(INDEX(PP_Grid[#Data],$DD539,99),0)</f>
        <v/>
      </c>
      <c r="CX539">
        <f>IFERROR(INDEX(PP_Grid[#Data],$DD539,100),0)</f>
        <v/>
      </c>
      <c r="CY539">
        <f>IFERROR(INDEX(PP_Grid[#Data],$DD539,101),0)</f>
        <v/>
      </c>
      <c r="CZ539">
        <f>IFERROR(INDEX(PP_Grid[#Data],$DD539,102),0)</f>
        <v/>
      </c>
      <c r="DA539">
        <f>IFERROR(INDEX(PP_Grid[#Data],$DD539,103),0)</f>
        <v/>
      </c>
      <c r="DB539">
        <f>IFERROR(INDEX(PP_Grid[#Data],$DD539,104),0)</f>
        <v/>
      </c>
      <c r="DC539">
        <f>IFERROR(INDEX(PP_Grid[#Data],$DD539,105),0)</f>
        <v/>
      </c>
      <c r="DD539" s="12">
        <f>IFERROR(MATCH($B539,PP_Grid[Intermediate],0),99999)</f>
        <v/>
      </c>
    </row>
    <row r="540">
      <c r="B540" t="inlineStr">
        <is>
          <t>使用量(kg)</t>
        </is>
      </c>
      <c r="C540">
        <f>SUMIFS(M_BOM[RM_Qty_Per_Batch],M_BOM[Intermediate],$B539,M_BOM[Part Name],$A518)</f>
        <v/>
      </c>
      <c r="D540">
        <f>$C540*D539</f>
        <v/>
      </c>
      <c r="E540">
        <f>$C540*E539</f>
        <v/>
      </c>
      <c r="F540">
        <f>$C540*F539</f>
        <v/>
      </c>
      <c r="G540">
        <f>$C540*G539</f>
        <v/>
      </c>
      <c r="H540">
        <f>$C540*H539</f>
        <v/>
      </c>
      <c r="I540">
        <f>$C540*I539</f>
        <v/>
      </c>
      <c r="J540">
        <f>$C540*J539</f>
        <v/>
      </c>
      <c r="K540">
        <f>$C540*K539</f>
        <v/>
      </c>
      <c r="L540">
        <f>$C540*L539</f>
        <v/>
      </c>
      <c r="M540">
        <f>$C540*M539</f>
        <v/>
      </c>
      <c r="N540">
        <f>$C540*N539</f>
        <v/>
      </c>
      <c r="O540">
        <f>$C540*O539</f>
        <v/>
      </c>
      <c r="P540">
        <f>$C540*P539</f>
        <v/>
      </c>
      <c r="Q540">
        <f>$C540*Q539</f>
        <v/>
      </c>
      <c r="R540">
        <f>$C540*R539</f>
        <v/>
      </c>
      <c r="S540">
        <f>$C540*S539</f>
        <v/>
      </c>
      <c r="T540">
        <f>$C540*T539</f>
        <v/>
      </c>
      <c r="U540">
        <f>$C540*U539</f>
        <v/>
      </c>
      <c r="V540">
        <f>$C540*V539</f>
        <v/>
      </c>
      <c r="W540">
        <f>$C540*W539</f>
        <v/>
      </c>
      <c r="X540">
        <f>$C540*X539</f>
        <v/>
      </c>
      <c r="Y540">
        <f>$C540*Y539</f>
        <v/>
      </c>
      <c r="Z540">
        <f>$C540*Z539</f>
        <v/>
      </c>
      <c r="AA540">
        <f>$C540*AA539</f>
        <v/>
      </c>
      <c r="AB540">
        <f>$C540*AB539</f>
        <v/>
      </c>
      <c r="AC540">
        <f>$C540*AC539</f>
        <v/>
      </c>
      <c r="AD540">
        <f>$C540*AD539</f>
        <v/>
      </c>
      <c r="AE540">
        <f>$C540*AE539</f>
        <v/>
      </c>
      <c r="AF540">
        <f>$C540*AF539</f>
        <v/>
      </c>
      <c r="AG540">
        <f>$C540*AG539</f>
        <v/>
      </c>
      <c r="AH540">
        <f>$C540*AH539</f>
        <v/>
      </c>
      <c r="AI540">
        <f>$C540*AI539</f>
        <v/>
      </c>
      <c r="AJ540">
        <f>$C540*AJ539</f>
        <v/>
      </c>
      <c r="AK540">
        <f>$C540*AK539</f>
        <v/>
      </c>
      <c r="AL540">
        <f>$C540*AL539</f>
        <v/>
      </c>
      <c r="AM540">
        <f>$C540*AM539</f>
        <v/>
      </c>
      <c r="AN540">
        <f>$C540*AN539</f>
        <v/>
      </c>
      <c r="AO540">
        <f>$C540*AO539</f>
        <v/>
      </c>
      <c r="AP540">
        <f>$C540*AP539</f>
        <v/>
      </c>
      <c r="AQ540">
        <f>$C540*AQ539</f>
        <v/>
      </c>
      <c r="AR540">
        <f>$C540*AR539</f>
        <v/>
      </c>
      <c r="AS540">
        <f>$C540*AS539</f>
        <v/>
      </c>
      <c r="AT540">
        <f>$C540*AT539</f>
        <v/>
      </c>
      <c r="AU540">
        <f>$C540*AU539</f>
        <v/>
      </c>
      <c r="AV540">
        <f>$C540*AV539</f>
        <v/>
      </c>
      <c r="AW540">
        <f>$C540*AW539</f>
        <v/>
      </c>
      <c r="AX540">
        <f>$C540*AX539</f>
        <v/>
      </c>
      <c r="AY540">
        <f>$C540*AY539</f>
        <v/>
      </c>
      <c r="AZ540">
        <f>$C540*AZ539</f>
        <v/>
      </c>
      <c r="BA540">
        <f>$C540*BA539</f>
        <v/>
      </c>
      <c r="BB540">
        <f>$C540*BB539</f>
        <v/>
      </c>
      <c r="BC540">
        <f>$C540*BC539</f>
        <v/>
      </c>
      <c r="BD540">
        <f>$C540*BD539</f>
        <v/>
      </c>
      <c r="BE540">
        <f>$C540*BE539</f>
        <v/>
      </c>
      <c r="BF540">
        <f>$C540*BF539</f>
        <v/>
      </c>
      <c r="BG540">
        <f>$C540*BG539</f>
        <v/>
      </c>
      <c r="BH540">
        <f>$C540*BH539</f>
        <v/>
      </c>
      <c r="BI540">
        <f>$C540*BI539</f>
        <v/>
      </c>
      <c r="BJ540">
        <f>$C540*BJ539</f>
        <v/>
      </c>
      <c r="BK540">
        <f>$C540*BK539</f>
        <v/>
      </c>
      <c r="BL540">
        <f>$C540*BL539</f>
        <v/>
      </c>
      <c r="BM540">
        <f>$C540*BM539</f>
        <v/>
      </c>
      <c r="BN540">
        <f>$C540*BN539</f>
        <v/>
      </c>
      <c r="BO540">
        <f>$C540*BO539</f>
        <v/>
      </c>
      <c r="BP540">
        <f>$C540*BP539</f>
        <v/>
      </c>
      <c r="BQ540">
        <f>$C540*BQ539</f>
        <v/>
      </c>
      <c r="BR540">
        <f>$C540*BR539</f>
        <v/>
      </c>
      <c r="BS540">
        <f>$C540*BS539</f>
        <v/>
      </c>
      <c r="BT540">
        <f>$C540*BT539</f>
        <v/>
      </c>
      <c r="BU540">
        <f>$C540*BU539</f>
        <v/>
      </c>
      <c r="BV540">
        <f>$C540*BV539</f>
        <v/>
      </c>
      <c r="BW540">
        <f>$C540*BW539</f>
        <v/>
      </c>
      <c r="BX540">
        <f>$C540*BX539</f>
        <v/>
      </c>
      <c r="BY540">
        <f>$C540*BY539</f>
        <v/>
      </c>
      <c r="BZ540">
        <f>$C540*BZ539</f>
        <v/>
      </c>
      <c r="CA540">
        <f>$C540*CA539</f>
        <v/>
      </c>
      <c r="CB540">
        <f>$C540*CB539</f>
        <v/>
      </c>
      <c r="CC540">
        <f>$C540*CC539</f>
        <v/>
      </c>
      <c r="CD540">
        <f>$C540*CD539</f>
        <v/>
      </c>
      <c r="CE540">
        <f>$C540*CE539</f>
        <v/>
      </c>
      <c r="CF540">
        <f>$C540*CF539</f>
        <v/>
      </c>
      <c r="CG540">
        <f>$C540*CG539</f>
        <v/>
      </c>
      <c r="CH540">
        <f>$C540*CH539</f>
        <v/>
      </c>
      <c r="CI540">
        <f>$C540*CI539</f>
        <v/>
      </c>
      <c r="CJ540">
        <f>$C540*CJ539</f>
        <v/>
      </c>
      <c r="CK540">
        <f>$C540*CK539</f>
        <v/>
      </c>
      <c r="CL540">
        <f>$C540*CL539</f>
        <v/>
      </c>
      <c r="CM540">
        <f>$C540*CM539</f>
        <v/>
      </c>
      <c r="CN540">
        <f>$C540*CN539</f>
        <v/>
      </c>
      <c r="CO540">
        <f>$C540*CO539</f>
        <v/>
      </c>
      <c r="CP540">
        <f>$C540*CP539</f>
        <v/>
      </c>
      <c r="CQ540">
        <f>$C540*CQ539</f>
        <v/>
      </c>
      <c r="CR540">
        <f>$C540*CR539</f>
        <v/>
      </c>
      <c r="CS540">
        <f>$C540*CS539</f>
        <v/>
      </c>
      <c r="CT540">
        <f>$C540*CT539</f>
        <v/>
      </c>
      <c r="CU540">
        <f>$C540*CU539</f>
        <v/>
      </c>
      <c r="CV540">
        <f>$C540*CV539</f>
        <v/>
      </c>
      <c r="CW540">
        <f>$C540*CW539</f>
        <v/>
      </c>
      <c r="CX540">
        <f>$C540*CX539</f>
        <v/>
      </c>
      <c r="CY540">
        <f>$C540*CY539</f>
        <v/>
      </c>
      <c r="CZ540">
        <f>$C540*CZ539</f>
        <v/>
      </c>
      <c r="DA540">
        <f>$C540*DA539</f>
        <v/>
      </c>
      <c r="DB540">
        <f>$C540*DB539</f>
        <v/>
      </c>
      <c r="DC540">
        <f>$C540*DC539</f>
        <v/>
      </c>
    </row>
    <row r="541">
      <c r="B541" t="inlineStr">
        <is>
          <t>TSP-367</t>
        </is>
      </c>
      <c r="C541" t="inlineStr">
        <is>
          <t>No. of batches</t>
        </is>
      </c>
      <c r="D541">
        <f>IFERROR(INDEX(PP_Grid[#Data],$DD541,2),0)</f>
        <v/>
      </c>
      <c r="E541">
        <f>IFERROR(INDEX(PP_Grid[#Data],$DD541,3),0)</f>
        <v/>
      </c>
      <c r="F541">
        <f>IFERROR(INDEX(PP_Grid[#Data],$DD541,4),0)</f>
        <v/>
      </c>
      <c r="G541">
        <f>IFERROR(INDEX(PP_Grid[#Data],$DD541,5),0)</f>
        <v/>
      </c>
      <c r="H541">
        <f>IFERROR(INDEX(PP_Grid[#Data],$DD541,6),0)</f>
        <v/>
      </c>
      <c r="I541">
        <f>IFERROR(INDEX(PP_Grid[#Data],$DD541,7),0)</f>
        <v/>
      </c>
      <c r="J541">
        <f>IFERROR(INDEX(PP_Grid[#Data],$DD541,8),0)</f>
        <v/>
      </c>
      <c r="K541">
        <f>IFERROR(INDEX(PP_Grid[#Data],$DD541,9),0)</f>
        <v/>
      </c>
      <c r="L541">
        <f>IFERROR(INDEX(PP_Grid[#Data],$DD541,10),0)</f>
        <v/>
      </c>
      <c r="M541">
        <f>IFERROR(INDEX(PP_Grid[#Data],$DD541,11),0)</f>
        <v/>
      </c>
      <c r="N541">
        <f>IFERROR(INDEX(PP_Grid[#Data],$DD541,12),0)</f>
        <v/>
      </c>
      <c r="O541">
        <f>IFERROR(INDEX(PP_Grid[#Data],$DD541,13),0)</f>
        <v/>
      </c>
      <c r="P541">
        <f>IFERROR(INDEX(PP_Grid[#Data],$DD541,14),0)</f>
        <v/>
      </c>
      <c r="Q541">
        <f>IFERROR(INDEX(PP_Grid[#Data],$DD541,15),0)</f>
        <v/>
      </c>
      <c r="R541">
        <f>IFERROR(INDEX(PP_Grid[#Data],$DD541,16),0)</f>
        <v/>
      </c>
      <c r="S541">
        <f>IFERROR(INDEX(PP_Grid[#Data],$DD541,17),0)</f>
        <v/>
      </c>
      <c r="T541">
        <f>IFERROR(INDEX(PP_Grid[#Data],$DD541,18),0)</f>
        <v/>
      </c>
      <c r="U541">
        <f>IFERROR(INDEX(PP_Grid[#Data],$DD541,19),0)</f>
        <v/>
      </c>
      <c r="V541">
        <f>IFERROR(INDEX(PP_Grid[#Data],$DD541,20),0)</f>
        <v/>
      </c>
      <c r="W541">
        <f>IFERROR(INDEX(PP_Grid[#Data],$DD541,21),0)</f>
        <v/>
      </c>
      <c r="X541">
        <f>IFERROR(INDEX(PP_Grid[#Data],$DD541,22),0)</f>
        <v/>
      </c>
      <c r="Y541">
        <f>IFERROR(INDEX(PP_Grid[#Data],$DD541,23),0)</f>
        <v/>
      </c>
      <c r="Z541">
        <f>IFERROR(INDEX(PP_Grid[#Data],$DD541,24),0)</f>
        <v/>
      </c>
      <c r="AA541">
        <f>IFERROR(INDEX(PP_Grid[#Data],$DD541,25),0)</f>
        <v/>
      </c>
      <c r="AB541">
        <f>IFERROR(INDEX(PP_Grid[#Data],$DD541,26),0)</f>
        <v/>
      </c>
      <c r="AC541">
        <f>IFERROR(INDEX(PP_Grid[#Data],$DD541,27),0)</f>
        <v/>
      </c>
      <c r="AD541">
        <f>IFERROR(INDEX(PP_Grid[#Data],$DD541,28),0)</f>
        <v/>
      </c>
      <c r="AE541">
        <f>IFERROR(INDEX(PP_Grid[#Data],$DD541,29),0)</f>
        <v/>
      </c>
      <c r="AF541">
        <f>IFERROR(INDEX(PP_Grid[#Data],$DD541,30),0)</f>
        <v/>
      </c>
      <c r="AG541">
        <f>IFERROR(INDEX(PP_Grid[#Data],$DD541,31),0)</f>
        <v/>
      </c>
      <c r="AH541">
        <f>IFERROR(INDEX(PP_Grid[#Data],$DD541,32),0)</f>
        <v/>
      </c>
      <c r="AI541">
        <f>IFERROR(INDEX(PP_Grid[#Data],$DD541,33),0)</f>
        <v/>
      </c>
      <c r="AJ541">
        <f>IFERROR(INDEX(PP_Grid[#Data],$DD541,34),0)</f>
        <v/>
      </c>
      <c r="AK541">
        <f>IFERROR(INDEX(PP_Grid[#Data],$DD541,35),0)</f>
        <v/>
      </c>
      <c r="AL541">
        <f>IFERROR(INDEX(PP_Grid[#Data],$DD541,36),0)</f>
        <v/>
      </c>
      <c r="AM541">
        <f>IFERROR(INDEX(PP_Grid[#Data],$DD541,37),0)</f>
        <v/>
      </c>
      <c r="AN541">
        <f>IFERROR(INDEX(PP_Grid[#Data],$DD541,38),0)</f>
        <v/>
      </c>
      <c r="AO541">
        <f>IFERROR(INDEX(PP_Grid[#Data],$DD541,39),0)</f>
        <v/>
      </c>
      <c r="AP541">
        <f>IFERROR(INDEX(PP_Grid[#Data],$DD541,40),0)</f>
        <v/>
      </c>
      <c r="AQ541">
        <f>IFERROR(INDEX(PP_Grid[#Data],$DD541,41),0)</f>
        <v/>
      </c>
      <c r="AR541">
        <f>IFERROR(INDEX(PP_Grid[#Data],$DD541,42),0)</f>
        <v/>
      </c>
      <c r="AS541">
        <f>IFERROR(INDEX(PP_Grid[#Data],$DD541,43),0)</f>
        <v/>
      </c>
      <c r="AT541">
        <f>IFERROR(INDEX(PP_Grid[#Data],$DD541,44),0)</f>
        <v/>
      </c>
      <c r="AU541">
        <f>IFERROR(INDEX(PP_Grid[#Data],$DD541,45),0)</f>
        <v/>
      </c>
      <c r="AV541">
        <f>IFERROR(INDEX(PP_Grid[#Data],$DD541,46),0)</f>
        <v/>
      </c>
      <c r="AW541">
        <f>IFERROR(INDEX(PP_Grid[#Data],$DD541,47),0)</f>
        <v/>
      </c>
      <c r="AX541">
        <f>IFERROR(INDEX(PP_Grid[#Data],$DD541,48),0)</f>
        <v/>
      </c>
      <c r="AY541">
        <f>IFERROR(INDEX(PP_Grid[#Data],$DD541,49),0)</f>
        <v/>
      </c>
      <c r="AZ541">
        <f>IFERROR(INDEX(PP_Grid[#Data],$DD541,50),0)</f>
        <v/>
      </c>
      <c r="BA541">
        <f>IFERROR(INDEX(PP_Grid[#Data],$DD541,51),0)</f>
        <v/>
      </c>
      <c r="BB541">
        <f>IFERROR(INDEX(PP_Grid[#Data],$DD541,52),0)</f>
        <v/>
      </c>
      <c r="BC541">
        <f>IFERROR(INDEX(PP_Grid[#Data],$DD541,53),0)</f>
        <v/>
      </c>
      <c r="BD541">
        <f>IFERROR(INDEX(PP_Grid[#Data],$DD541,54),0)</f>
        <v/>
      </c>
      <c r="BE541">
        <f>IFERROR(INDEX(PP_Grid[#Data],$DD541,55),0)</f>
        <v/>
      </c>
      <c r="BF541">
        <f>IFERROR(INDEX(PP_Grid[#Data],$DD541,56),0)</f>
        <v/>
      </c>
      <c r="BG541">
        <f>IFERROR(INDEX(PP_Grid[#Data],$DD541,57),0)</f>
        <v/>
      </c>
      <c r="BH541">
        <f>IFERROR(INDEX(PP_Grid[#Data],$DD541,58),0)</f>
        <v/>
      </c>
      <c r="BI541">
        <f>IFERROR(INDEX(PP_Grid[#Data],$DD541,59),0)</f>
        <v/>
      </c>
      <c r="BJ541">
        <f>IFERROR(INDEX(PP_Grid[#Data],$DD541,60),0)</f>
        <v/>
      </c>
      <c r="BK541">
        <f>IFERROR(INDEX(PP_Grid[#Data],$DD541,61),0)</f>
        <v/>
      </c>
      <c r="BL541">
        <f>IFERROR(INDEX(PP_Grid[#Data],$DD541,62),0)</f>
        <v/>
      </c>
      <c r="BM541">
        <f>IFERROR(INDEX(PP_Grid[#Data],$DD541,63),0)</f>
        <v/>
      </c>
      <c r="BN541">
        <f>IFERROR(INDEX(PP_Grid[#Data],$DD541,64),0)</f>
        <v/>
      </c>
      <c r="BO541">
        <f>IFERROR(INDEX(PP_Grid[#Data],$DD541,65),0)</f>
        <v/>
      </c>
      <c r="BP541">
        <f>IFERROR(INDEX(PP_Grid[#Data],$DD541,66),0)</f>
        <v/>
      </c>
      <c r="BQ541">
        <f>IFERROR(INDEX(PP_Grid[#Data],$DD541,67),0)</f>
        <v/>
      </c>
      <c r="BR541">
        <f>IFERROR(INDEX(PP_Grid[#Data],$DD541,68),0)</f>
        <v/>
      </c>
      <c r="BS541">
        <f>IFERROR(INDEX(PP_Grid[#Data],$DD541,69),0)</f>
        <v/>
      </c>
      <c r="BT541">
        <f>IFERROR(INDEX(PP_Grid[#Data],$DD541,70),0)</f>
        <v/>
      </c>
      <c r="BU541">
        <f>IFERROR(INDEX(PP_Grid[#Data],$DD541,71),0)</f>
        <v/>
      </c>
      <c r="BV541">
        <f>IFERROR(INDEX(PP_Grid[#Data],$DD541,72),0)</f>
        <v/>
      </c>
      <c r="BW541">
        <f>IFERROR(INDEX(PP_Grid[#Data],$DD541,73),0)</f>
        <v/>
      </c>
      <c r="BX541">
        <f>IFERROR(INDEX(PP_Grid[#Data],$DD541,74),0)</f>
        <v/>
      </c>
      <c r="BY541">
        <f>IFERROR(INDEX(PP_Grid[#Data],$DD541,75),0)</f>
        <v/>
      </c>
      <c r="BZ541">
        <f>IFERROR(INDEX(PP_Grid[#Data],$DD541,76),0)</f>
        <v/>
      </c>
      <c r="CA541">
        <f>IFERROR(INDEX(PP_Grid[#Data],$DD541,77),0)</f>
        <v/>
      </c>
      <c r="CB541">
        <f>IFERROR(INDEX(PP_Grid[#Data],$DD541,78),0)</f>
        <v/>
      </c>
      <c r="CC541">
        <f>IFERROR(INDEX(PP_Grid[#Data],$DD541,79),0)</f>
        <v/>
      </c>
      <c r="CD541">
        <f>IFERROR(INDEX(PP_Grid[#Data],$DD541,80),0)</f>
        <v/>
      </c>
      <c r="CE541">
        <f>IFERROR(INDEX(PP_Grid[#Data],$DD541,81),0)</f>
        <v/>
      </c>
      <c r="CF541">
        <f>IFERROR(INDEX(PP_Grid[#Data],$DD541,82),0)</f>
        <v/>
      </c>
      <c r="CG541">
        <f>IFERROR(INDEX(PP_Grid[#Data],$DD541,83),0)</f>
        <v/>
      </c>
      <c r="CH541">
        <f>IFERROR(INDEX(PP_Grid[#Data],$DD541,84),0)</f>
        <v/>
      </c>
      <c r="CI541">
        <f>IFERROR(INDEX(PP_Grid[#Data],$DD541,85),0)</f>
        <v/>
      </c>
      <c r="CJ541">
        <f>IFERROR(INDEX(PP_Grid[#Data],$DD541,86),0)</f>
        <v/>
      </c>
      <c r="CK541">
        <f>IFERROR(INDEX(PP_Grid[#Data],$DD541,87),0)</f>
        <v/>
      </c>
      <c r="CL541">
        <f>IFERROR(INDEX(PP_Grid[#Data],$DD541,88),0)</f>
        <v/>
      </c>
      <c r="CM541">
        <f>IFERROR(INDEX(PP_Grid[#Data],$DD541,89),0)</f>
        <v/>
      </c>
      <c r="CN541">
        <f>IFERROR(INDEX(PP_Grid[#Data],$DD541,90),0)</f>
        <v/>
      </c>
      <c r="CO541">
        <f>IFERROR(INDEX(PP_Grid[#Data],$DD541,91),0)</f>
        <v/>
      </c>
      <c r="CP541">
        <f>IFERROR(INDEX(PP_Grid[#Data],$DD541,92),0)</f>
        <v/>
      </c>
      <c r="CQ541">
        <f>IFERROR(INDEX(PP_Grid[#Data],$DD541,93),0)</f>
        <v/>
      </c>
      <c r="CR541">
        <f>IFERROR(INDEX(PP_Grid[#Data],$DD541,94),0)</f>
        <v/>
      </c>
      <c r="CS541">
        <f>IFERROR(INDEX(PP_Grid[#Data],$DD541,95),0)</f>
        <v/>
      </c>
      <c r="CT541">
        <f>IFERROR(INDEX(PP_Grid[#Data],$DD541,96),0)</f>
        <v/>
      </c>
      <c r="CU541">
        <f>IFERROR(INDEX(PP_Grid[#Data],$DD541,97),0)</f>
        <v/>
      </c>
      <c r="CV541">
        <f>IFERROR(INDEX(PP_Grid[#Data],$DD541,98),0)</f>
        <v/>
      </c>
      <c r="CW541">
        <f>IFERROR(INDEX(PP_Grid[#Data],$DD541,99),0)</f>
        <v/>
      </c>
      <c r="CX541">
        <f>IFERROR(INDEX(PP_Grid[#Data],$DD541,100),0)</f>
        <v/>
      </c>
      <c r="CY541">
        <f>IFERROR(INDEX(PP_Grid[#Data],$DD541,101),0)</f>
        <v/>
      </c>
      <c r="CZ541">
        <f>IFERROR(INDEX(PP_Grid[#Data],$DD541,102),0)</f>
        <v/>
      </c>
      <c r="DA541">
        <f>IFERROR(INDEX(PP_Grid[#Data],$DD541,103),0)</f>
        <v/>
      </c>
      <c r="DB541">
        <f>IFERROR(INDEX(PP_Grid[#Data],$DD541,104),0)</f>
        <v/>
      </c>
      <c r="DC541">
        <f>IFERROR(INDEX(PP_Grid[#Data],$DD541,105),0)</f>
        <v/>
      </c>
      <c r="DD541" s="12">
        <f>IFERROR(MATCH($B541,PP_Grid[Intermediate],0),99999)</f>
        <v/>
      </c>
    </row>
    <row r="542">
      <c r="B542" t="inlineStr">
        <is>
          <t>使用量(kg)</t>
        </is>
      </c>
      <c r="C542">
        <f>SUMIFS(M_BOM[RM_Qty_Per_Batch],M_BOM[Intermediate],$B541,M_BOM[Part Name],$A518)</f>
        <v/>
      </c>
      <c r="D542">
        <f>$C542*D541</f>
        <v/>
      </c>
      <c r="E542">
        <f>$C542*E541</f>
        <v/>
      </c>
      <c r="F542">
        <f>$C542*F541</f>
        <v/>
      </c>
      <c r="G542">
        <f>$C542*G541</f>
        <v/>
      </c>
      <c r="H542">
        <f>$C542*H541</f>
        <v/>
      </c>
      <c r="I542">
        <f>$C542*I541</f>
        <v/>
      </c>
      <c r="J542">
        <f>$C542*J541</f>
        <v/>
      </c>
      <c r="K542">
        <f>$C542*K541</f>
        <v/>
      </c>
      <c r="L542">
        <f>$C542*L541</f>
        <v/>
      </c>
      <c r="M542">
        <f>$C542*M541</f>
        <v/>
      </c>
      <c r="N542">
        <f>$C542*N541</f>
        <v/>
      </c>
      <c r="O542">
        <f>$C542*O541</f>
        <v/>
      </c>
      <c r="P542">
        <f>$C542*P541</f>
        <v/>
      </c>
      <c r="Q542">
        <f>$C542*Q541</f>
        <v/>
      </c>
      <c r="R542">
        <f>$C542*R541</f>
        <v/>
      </c>
      <c r="S542">
        <f>$C542*S541</f>
        <v/>
      </c>
      <c r="T542">
        <f>$C542*T541</f>
        <v/>
      </c>
      <c r="U542">
        <f>$C542*U541</f>
        <v/>
      </c>
      <c r="V542">
        <f>$C542*V541</f>
        <v/>
      </c>
      <c r="W542">
        <f>$C542*W541</f>
        <v/>
      </c>
      <c r="X542">
        <f>$C542*X541</f>
        <v/>
      </c>
      <c r="Y542">
        <f>$C542*Y541</f>
        <v/>
      </c>
      <c r="Z542">
        <f>$C542*Z541</f>
        <v/>
      </c>
      <c r="AA542">
        <f>$C542*AA541</f>
        <v/>
      </c>
      <c r="AB542">
        <f>$C542*AB541</f>
        <v/>
      </c>
      <c r="AC542">
        <f>$C542*AC541</f>
        <v/>
      </c>
      <c r="AD542">
        <f>$C542*AD541</f>
        <v/>
      </c>
      <c r="AE542">
        <f>$C542*AE541</f>
        <v/>
      </c>
      <c r="AF542">
        <f>$C542*AF541</f>
        <v/>
      </c>
      <c r="AG542">
        <f>$C542*AG541</f>
        <v/>
      </c>
      <c r="AH542">
        <f>$C542*AH541</f>
        <v/>
      </c>
      <c r="AI542">
        <f>$C542*AI541</f>
        <v/>
      </c>
      <c r="AJ542">
        <f>$C542*AJ541</f>
        <v/>
      </c>
      <c r="AK542">
        <f>$C542*AK541</f>
        <v/>
      </c>
      <c r="AL542">
        <f>$C542*AL541</f>
        <v/>
      </c>
      <c r="AM542">
        <f>$C542*AM541</f>
        <v/>
      </c>
      <c r="AN542">
        <f>$C542*AN541</f>
        <v/>
      </c>
      <c r="AO542">
        <f>$C542*AO541</f>
        <v/>
      </c>
      <c r="AP542">
        <f>$C542*AP541</f>
        <v/>
      </c>
      <c r="AQ542">
        <f>$C542*AQ541</f>
        <v/>
      </c>
      <c r="AR542">
        <f>$C542*AR541</f>
        <v/>
      </c>
      <c r="AS542">
        <f>$C542*AS541</f>
        <v/>
      </c>
      <c r="AT542">
        <f>$C542*AT541</f>
        <v/>
      </c>
      <c r="AU542">
        <f>$C542*AU541</f>
        <v/>
      </c>
      <c r="AV542">
        <f>$C542*AV541</f>
        <v/>
      </c>
      <c r="AW542">
        <f>$C542*AW541</f>
        <v/>
      </c>
      <c r="AX542">
        <f>$C542*AX541</f>
        <v/>
      </c>
      <c r="AY542">
        <f>$C542*AY541</f>
        <v/>
      </c>
      <c r="AZ542">
        <f>$C542*AZ541</f>
        <v/>
      </c>
      <c r="BA542">
        <f>$C542*BA541</f>
        <v/>
      </c>
      <c r="BB542">
        <f>$C542*BB541</f>
        <v/>
      </c>
      <c r="BC542">
        <f>$C542*BC541</f>
        <v/>
      </c>
      <c r="BD542">
        <f>$C542*BD541</f>
        <v/>
      </c>
      <c r="BE542">
        <f>$C542*BE541</f>
        <v/>
      </c>
      <c r="BF542">
        <f>$C542*BF541</f>
        <v/>
      </c>
      <c r="BG542">
        <f>$C542*BG541</f>
        <v/>
      </c>
      <c r="BH542">
        <f>$C542*BH541</f>
        <v/>
      </c>
      <c r="BI542">
        <f>$C542*BI541</f>
        <v/>
      </c>
      <c r="BJ542">
        <f>$C542*BJ541</f>
        <v/>
      </c>
      <c r="BK542">
        <f>$C542*BK541</f>
        <v/>
      </c>
      <c r="BL542">
        <f>$C542*BL541</f>
        <v/>
      </c>
      <c r="BM542">
        <f>$C542*BM541</f>
        <v/>
      </c>
      <c r="BN542">
        <f>$C542*BN541</f>
        <v/>
      </c>
      <c r="BO542">
        <f>$C542*BO541</f>
        <v/>
      </c>
      <c r="BP542">
        <f>$C542*BP541</f>
        <v/>
      </c>
      <c r="BQ542">
        <f>$C542*BQ541</f>
        <v/>
      </c>
      <c r="BR542">
        <f>$C542*BR541</f>
        <v/>
      </c>
      <c r="BS542">
        <f>$C542*BS541</f>
        <v/>
      </c>
      <c r="BT542">
        <f>$C542*BT541</f>
        <v/>
      </c>
      <c r="BU542">
        <f>$C542*BU541</f>
        <v/>
      </c>
      <c r="BV542">
        <f>$C542*BV541</f>
        <v/>
      </c>
      <c r="BW542">
        <f>$C542*BW541</f>
        <v/>
      </c>
      <c r="BX542">
        <f>$C542*BX541</f>
        <v/>
      </c>
      <c r="BY542">
        <f>$C542*BY541</f>
        <v/>
      </c>
      <c r="BZ542">
        <f>$C542*BZ541</f>
        <v/>
      </c>
      <c r="CA542">
        <f>$C542*CA541</f>
        <v/>
      </c>
      <c r="CB542">
        <f>$C542*CB541</f>
        <v/>
      </c>
      <c r="CC542">
        <f>$C542*CC541</f>
        <v/>
      </c>
      <c r="CD542">
        <f>$C542*CD541</f>
        <v/>
      </c>
      <c r="CE542">
        <f>$C542*CE541</f>
        <v/>
      </c>
      <c r="CF542">
        <f>$C542*CF541</f>
        <v/>
      </c>
      <c r="CG542">
        <f>$C542*CG541</f>
        <v/>
      </c>
      <c r="CH542">
        <f>$C542*CH541</f>
        <v/>
      </c>
      <c r="CI542">
        <f>$C542*CI541</f>
        <v/>
      </c>
      <c r="CJ542">
        <f>$C542*CJ541</f>
        <v/>
      </c>
      <c r="CK542">
        <f>$C542*CK541</f>
        <v/>
      </c>
      <c r="CL542">
        <f>$C542*CL541</f>
        <v/>
      </c>
      <c r="CM542">
        <f>$C542*CM541</f>
        <v/>
      </c>
      <c r="CN542">
        <f>$C542*CN541</f>
        <v/>
      </c>
      <c r="CO542">
        <f>$C542*CO541</f>
        <v/>
      </c>
      <c r="CP542">
        <f>$C542*CP541</f>
        <v/>
      </c>
      <c r="CQ542">
        <f>$C542*CQ541</f>
        <v/>
      </c>
      <c r="CR542">
        <f>$C542*CR541</f>
        <v/>
      </c>
      <c r="CS542">
        <f>$C542*CS541</f>
        <v/>
      </c>
      <c r="CT542">
        <f>$C542*CT541</f>
        <v/>
      </c>
      <c r="CU542">
        <f>$C542*CU541</f>
        <v/>
      </c>
      <c r="CV542">
        <f>$C542*CV541</f>
        <v/>
      </c>
      <c r="CW542">
        <f>$C542*CW541</f>
        <v/>
      </c>
      <c r="CX542">
        <f>$C542*CX541</f>
        <v/>
      </c>
      <c r="CY542">
        <f>$C542*CY541</f>
        <v/>
      </c>
      <c r="CZ542">
        <f>$C542*CZ541</f>
        <v/>
      </c>
      <c r="DA542">
        <f>$C542*DA541</f>
        <v/>
      </c>
      <c r="DB542">
        <f>$C542*DB541</f>
        <v/>
      </c>
      <c r="DC542">
        <f>$C542*DC541</f>
        <v/>
      </c>
    </row>
    <row r="543">
      <c r="B543" t="inlineStr">
        <is>
          <t>TSP-369</t>
        </is>
      </c>
      <c r="C543" t="inlineStr">
        <is>
          <t>No. of batches</t>
        </is>
      </c>
      <c r="D543">
        <f>IFERROR(INDEX(PP_Grid[#Data],$DD543,2),0)</f>
        <v/>
      </c>
      <c r="E543">
        <f>IFERROR(INDEX(PP_Grid[#Data],$DD543,3),0)</f>
        <v/>
      </c>
      <c r="F543">
        <f>IFERROR(INDEX(PP_Grid[#Data],$DD543,4),0)</f>
        <v/>
      </c>
      <c r="G543">
        <f>IFERROR(INDEX(PP_Grid[#Data],$DD543,5),0)</f>
        <v/>
      </c>
      <c r="H543">
        <f>IFERROR(INDEX(PP_Grid[#Data],$DD543,6),0)</f>
        <v/>
      </c>
      <c r="I543">
        <f>IFERROR(INDEX(PP_Grid[#Data],$DD543,7),0)</f>
        <v/>
      </c>
      <c r="J543">
        <f>IFERROR(INDEX(PP_Grid[#Data],$DD543,8),0)</f>
        <v/>
      </c>
      <c r="K543">
        <f>IFERROR(INDEX(PP_Grid[#Data],$DD543,9),0)</f>
        <v/>
      </c>
      <c r="L543">
        <f>IFERROR(INDEX(PP_Grid[#Data],$DD543,10),0)</f>
        <v/>
      </c>
      <c r="M543">
        <f>IFERROR(INDEX(PP_Grid[#Data],$DD543,11),0)</f>
        <v/>
      </c>
      <c r="N543">
        <f>IFERROR(INDEX(PP_Grid[#Data],$DD543,12),0)</f>
        <v/>
      </c>
      <c r="O543">
        <f>IFERROR(INDEX(PP_Grid[#Data],$DD543,13),0)</f>
        <v/>
      </c>
      <c r="P543">
        <f>IFERROR(INDEX(PP_Grid[#Data],$DD543,14),0)</f>
        <v/>
      </c>
      <c r="Q543">
        <f>IFERROR(INDEX(PP_Grid[#Data],$DD543,15),0)</f>
        <v/>
      </c>
      <c r="R543">
        <f>IFERROR(INDEX(PP_Grid[#Data],$DD543,16),0)</f>
        <v/>
      </c>
      <c r="S543">
        <f>IFERROR(INDEX(PP_Grid[#Data],$DD543,17),0)</f>
        <v/>
      </c>
      <c r="T543">
        <f>IFERROR(INDEX(PP_Grid[#Data],$DD543,18),0)</f>
        <v/>
      </c>
      <c r="U543">
        <f>IFERROR(INDEX(PP_Grid[#Data],$DD543,19),0)</f>
        <v/>
      </c>
      <c r="V543">
        <f>IFERROR(INDEX(PP_Grid[#Data],$DD543,20),0)</f>
        <v/>
      </c>
      <c r="W543">
        <f>IFERROR(INDEX(PP_Grid[#Data],$DD543,21),0)</f>
        <v/>
      </c>
      <c r="X543">
        <f>IFERROR(INDEX(PP_Grid[#Data],$DD543,22),0)</f>
        <v/>
      </c>
      <c r="Y543">
        <f>IFERROR(INDEX(PP_Grid[#Data],$DD543,23),0)</f>
        <v/>
      </c>
      <c r="Z543">
        <f>IFERROR(INDEX(PP_Grid[#Data],$DD543,24),0)</f>
        <v/>
      </c>
      <c r="AA543">
        <f>IFERROR(INDEX(PP_Grid[#Data],$DD543,25),0)</f>
        <v/>
      </c>
      <c r="AB543">
        <f>IFERROR(INDEX(PP_Grid[#Data],$DD543,26),0)</f>
        <v/>
      </c>
      <c r="AC543">
        <f>IFERROR(INDEX(PP_Grid[#Data],$DD543,27),0)</f>
        <v/>
      </c>
      <c r="AD543">
        <f>IFERROR(INDEX(PP_Grid[#Data],$DD543,28),0)</f>
        <v/>
      </c>
      <c r="AE543">
        <f>IFERROR(INDEX(PP_Grid[#Data],$DD543,29),0)</f>
        <v/>
      </c>
      <c r="AF543">
        <f>IFERROR(INDEX(PP_Grid[#Data],$DD543,30),0)</f>
        <v/>
      </c>
      <c r="AG543">
        <f>IFERROR(INDEX(PP_Grid[#Data],$DD543,31),0)</f>
        <v/>
      </c>
      <c r="AH543">
        <f>IFERROR(INDEX(PP_Grid[#Data],$DD543,32),0)</f>
        <v/>
      </c>
      <c r="AI543">
        <f>IFERROR(INDEX(PP_Grid[#Data],$DD543,33),0)</f>
        <v/>
      </c>
      <c r="AJ543">
        <f>IFERROR(INDEX(PP_Grid[#Data],$DD543,34),0)</f>
        <v/>
      </c>
      <c r="AK543">
        <f>IFERROR(INDEX(PP_Grid[#Data],$DD543,35),0)</f>
        <v/>
      </c>
      <c r="AL543">
        <f>IFERROR(INDEX(PP_Grid[#Data],$DD543,36),0)</f>
        <v/>
      </c>
      <c r="AM543">
        <f>IFERROR(INDEX(PP_Grid[#Data],$DD543,37),0)</f>
        <v/>
      </c>
      <c r="AN543">
        <f>IFERROR(INDEX(PP_Grid[#Data],$DD543,38),0)</f>
        <v/>
      </c>
      <c r="AO543">
        <f>IFERROR(INDEX(PP_Grid[#Data],$DD543,39),0)</f>
        <v/>
      </c>
      <c r="AP543">
        <f>IFERROR(INDEX(PP_Grid[#Data],$DD543,40),0)</f>
        <v/>
      </c>
      <c r="AQ543">
        <f>IFERROR(INDEX(PP_Grid[#Data],$DD543,41),0)</f>
        <v/>
      </c>
      <c r="AR543">
        <f>IFERROR(INDEX(PP_Grid[#Data],$DD543,42),0)</f>
        <v/>
      </c>
      <c r="AS543">
        <f>IFERROR(INDEX(PP_Grid[#Data],$DD543,43),0)</f>
        <v/>
      </c>
      <c r="AT543">
        <f>IFERROR(INDEX(PP_Grid[#Data],$DD543,44),0)</f>
        <v/>
      </c>
      <c r="AU543">
        <f>IFERROR(INDEX(PP_Grid[#Data],$DD543,45),0)</f>
        <v/>
      </c>
      <c r="AV543">
        <f>IFERROR(INDEX(PP_Grid[#Data],$DD543,46),0)</f>
        <v/>
      </c>
      <c r="AW543">
        <f>IFERROR(INDEX(PP_Grid[#Data],$DD543,47),0)</f>
        <v/>
      </c>
      <c r="AX543">
        <f>IFERROR(INDEX(PP_Grid[#Data],$DD543,48),0)</f>
        <v/>
      </c>
      <c r="AY543">
        <f>IFERROR(INDEX(PP_Grid[#Data],$DD543,49),0)</f>
        <v/>
      </c>
      <c r="AZ543">
        <f>IFERROR(INDEX(PP_Grid[#Data],$DD543,50),0)</f>
        <v/>
      </c>
      <c r="BA543">
        <f>IFERROR(INDEX(PP_Grid[#Data],$DD543,51),0)</f>
        <v/>
      </c>
      <c r="BB543">
        <f>IFERROR(INDEX(PP_Grid[#Data],$DD543,52),0)</f>
        <v/>
      </c>
      <c r="BC543">
        <f>IFERROR(INDEX(PP_Grid[#Data],$DD543,53),0)</f>
        <v/>
      </c>
      <c r="BD543">
        <f>IFERROR(INDEX(PP_Grid[#Data],$DD543,54),0)</f>
        <v/>
      </c>
      <c r="BE543">
        <f>IFERROR(INDEX(PP_Grid[#Data],$DD543,55),0)</f>
        <v/>
      </c>
      <c r="BF543">
        <f>IFERROR(INDEX(PP_Grid[#Data],$DD543,56),0)</f>
        <v/>
      </c>
      <c r="BG543">
        <f>IFERROR(INDEX(PP_Grid[#Data],$DD543,57),0)</f>
        <v/>
      </c>
      <c r="BH543">
        <f>IFERROR(INDEX(PP_Grid[#Data],$DD543,58),0)</f>
        <v/>
      </c>
      <c r="BI543">
        <f>IFERROR(INDEX(PP_Grid[#Data],$DD543,59),0)</f>
        <v/>
      </c>
      <c r="BJ543">
        <f>IFERROR(INDEX(PP_Grid[#Data],$DD543,60),0)</f>
        <v/>
      </c>
      <c r="BK543">
        <f>IFERROR(INDEX(PP_Grid[#Data],$DD543,61),0)</f>
        <v/>
      </c>
      <c r="BL543">
        <f>IFERROR(INDEX(PP_Grid[#Data],$DD543,62),0)</f>
        <v/>
      </c>
      <c r="BM543">
        <f>IFERROR(INDEX(PP_Grid[#Data],$DD543,63),0)</f>
        <v/>
      </c>
      <c r="BN543">
        <f>IFERROR(INDEX(PP_Grid[#Data],$DD543,64),0)</f>
        <v/>
      </c>
      <c r="BO543">
        <f>IFERROR(INDEX(PP_Grid[#Data],$DD543,65),0)</f>
        <v/>
      </c>
      <c r="BP543">
        <f>IFERROR(INDEX(PP_Grid[#Data],$DD543,66),0)</f>
        <v/>
      </c>
      <c r="BQ543">
        <f>IFERROR(INDEX(PP_Grid[#Data],$DD543,67),0)</f>
        <v/>
      </c>
      <c r="BR543">
        <f>IFERROR(INDEX(PP_Grid[#Data],$DD543,68),0)</f>
        <v/>
      </c>
      <c r="BS543">
        <f>IFERROR(INDEX(PP_Grid[#Data],$DD543,69),0)</f>
        <v/>
      </c>
      <c r="BT543">
        <f>IFERROR(INDEX(PP_Grid[#Data],$DD543,70),0)</f>
        <v/>
      </c>
      <c r="BU543">
        <f>IFERROR(INDEX(PP_Grid[#Data],$DD543,71),0)</f>
        <v/>
      </c>
      <c r="BV543">
        <f>IFERROR(INDEX(PP_Grid[#Data],$DD543,72),0)</f>
        <v/>
      </c>
      <c r="BW543">
        <f>IFERROR(INDEX(PP_Grid[#Data],$DD543,73),0)</f>
        <v/>
      </c>
      <c r="BX543">
        <f>IFERROR(INDEX(PP_Grid[#Data],$DD543,74),0)</f>
        <v/>
      </c>
      <c r="BY543">
        <f>IFERROR(INDEX(PP_Grid[#Data],$DD543,75),0)</f>
        <v/>
      </c>
      <c r="BZ543">
        <f>IFERROR(INDEX(PP_Grid[#Data],$DD543,76),0)</f>
        <v/>
      </c>
      <c r="CA543">
        <f>IFERROR(INDEX(PP_Grid[#Data],$DD543,77),0)</f>
        <v/>
      </c>
      <c r="CB543">
        <f>IFERROR(INDEX(PP_Grid[#Data],$DD543,78),0)</f>
        <v/>
      </c>
      <c r="CC543">
        <f>IFERROR(INDEX(PP_Grid[#Data],$DD543,79),0)</f>
        <v/>
      </c>
      <c r="CD543">
        <f>IFERROR(INDEX(PP_Grid[#Data],$DD543,80),0)</f>
        <v/>
      </c>
      <c r="CE543">
        <f>IFERROR(INDEX(PP_Grid[#Data],$DD543,81),0)</f>
        <v/>
      </c>
      <c r="CF543">
        <f>IFERROR(INDEX(PP_Grid[#Data],$DD543,82),0)</f>
        <v/>
      </c>
      <c r="CG543">
        <f>IFERROR(INDEX(PP_Grid[#Data],$DD543,83),0)</f>
        <v/>
      </c>
      <c r="CH543">
        <f>IFERROR(INDEX(PP_Grid[#Data],$DD543,84),0)</f>
        <v/>
      </c>
      <c r="CI543">
        <f>IFERROR(INDEX(PP_Grid[#Data],$DD543,85),0)</f>
        <v/>
      </c>
      <c r="CJ543">
        <f>IFERROR(INDEX(PP_Grid[#Data],$DD543,86),0)</f>
        <v/>
      </c>
      <c r="CK543">
        <f>IFERROR(INDEX(PP_Grid[#Data],$DD543,87),0)</f>
        <v/>
      </c>
      <c r="CL543">
        <f>IFERROR(INDEX(PP_Grid[#Data],$DD543,88),0)</f>
        <v/>
      </c>
      <c r="CM543">
        <f>IFERROR(INDEX(PP_Grid[#Data],$DD543,89),0)</f>
        <v/>
      </c>
      <c r="CN543">
        <f>IFERROR(INDEX(PP_Grid[#Data],$DD543,90),0)</f>
        <v/>
      </c>
      <c r="CO543">
        <f>IFERROR(INDEX(PP_Grid[#Data],$DD543,91),0)</f>
        <v/>
      </c>
      <c r="CP543">
        <f>IFERROR(INDEX(PP_Grid[#Data],$DD543,92),0)</f>
        <v/>
      </c>
      <c r="CQ543">
        <f>IFERROR(INDEX(PP_Grid[#Data],$DD543,93),0)</f>
        <v/>
      </c>
      <c r="CR543">
        <f>IFERROR(INDEX(PP_Grid[#Data],$DD543,94),0)</f>
        <v/>
      </c>
      <c r="CS543">
        <f>IFERROR(INDEX(PP_Grid[#Data],$DD543,95),0)</f>
        <v/>
      </c>
      <c r="CT543">
        <f>IFERROR(INDEX(PP_Grid[#Data],$DD543,96),0)</f>
        <v/>
      </c>
      <c r="CU543">
        <f>IFERROR(INDEX(PP_Grid[#Data],$DD543,97),0)</f>
        <v/>
      </c>
      <c r="CV543">
        <f>IFERROR(INDEX(PP_Grid[#Data],$DD543,98),0)</f>
        <v/>
      </c>
      <c r="CW543">
        <f>IFERROR(INDEX(PP_Grid[#Data],$DD543,99),0)</f>
        <v/>
      </c>
      <c r="CX543">
        <f>IFERROR(INDEX(PP_Grid[#Data],$DD543,100),0)</f>
        <v/>
      </c>
      <c r="CY543">
        <f>IFERROR(INDEX(PP_Grid[#Data],$DD543,101),0)</f>
        <v/>
      </c>
      <c r="CZ543">
        <f>IFERROR(INDEX(PP_Grid[#Data],$DD543,102),0)</f>
        <v/>
      </c>
      <c r="DA543">
        <f>IFERROR(INDEX(PP_Grid[#Data],$DD543,103),0)</f>
        <v/>
      </c>
      <c r="DB543">
        <f>IFERROR(INDEX(PP_Grid[#Data],$DD543,104),0)</f>
        <v/>
      </c>
      <c r="DC543">
        <f>IFERROR(INDEX(PP_Grid[#Data],$DD543,105),0)</f>
        <v/>
      </c>
      <c r="DD543" s="12">
        <f>IFERROR(MATCH($B543,PP_Grid[Intermediate],0),99999)</f>
        <v/>
      </c>
    </row>
    <row r="544">
      <c r="B544" t="inlineStr">
        <is>
          <t>使用量(kg)</t>
        </is>
      </c>
      <c r="C544">
        <f>SUMIFS(M_BOM[RM_Qty_Per_Batch],M_BOM[Intermediate],$B543,M_BOM[Part Name],$A518)</f>
        <v/>
      </c>
      <c r="D544">
        <f>$C544*D543</f>
        <v/>
      </c>
      <c r="E544">
        <f>$C544*E543</f>
        <v/>
      </c>
      <c r="F544">
        <f>$C544*F543</f>
        <v/>
      </c>
      <c r="G544">
        <f>$C544*G543</f>
        <v/>
      </c>
      <c r="H544">
        <f>$C544*H543</f>
        <v/>
      </c>
      <c r="I544">
        <f>$C544*I543</f>
        <v/>
      </c>
      <c r="J544">
        <f>$C544*J543</f>
        <v/>
      </c>
      <c r="K544">
        <f>$C544*K543</f>
        <v/>
      </c>
      <c r="L544">
        <f>$C544*L543</f>
        <v/>
      </c>
      <c r="M544">
        <f>$C544*M543</f>
        <v/>
      </c>
      <c r="N544">
        <f>$C544*N543</f>
        <v/>
      </c>
      <c r="O544">
        <f>$C544*O543</f>
        <v/>
      </c>
      <c r="P544">
        <f>$C544*P543</f>
        <v/>
      </c>
      <c r="Q544">
        <f>$C544*Q543</f>
        <v/>
      </c>
      <c r="R544">
        <f>$C544*R543</f>
        <v/>
      </c>
      <c r="S544">
        <f>$C544*S543</f>
        <v/>
      </c>
      <c r="T544">
        <f>$C544*T543</f>
        <v/>
      </c>
      <c r="U544">
        <f>$C544*U543</f>
        <v/>
      </c>
      <c r="V544">
        <f>$C544*V543</f>
        <v/>
      </c>
      <c r="W544">
        <f>$C544*W543</f>
        <v/>
      </c>
      <c r="X544">
        <f>$C544*X543</f>
        <v/>
      </c>
      <c r="Y544">
        <f>$C544*Y543</f>
        <v/>
      </c>
      <c r="Z544">
        <f>$C544*Z543</f>
        <v/>
      </c>
      <c r="AA544">
        <f>$C544*AA543</f>
        <v/>
      </c>
      <c r="AB544">
        <f>$C544*AB543</f>
        <v/>
      </c>
      <c r="AC544">
        <f>$C544*AC543</f>
        <v/>
      </c>
      <c r="AD544">
        <f>$C544*AD543</f>
        <v/>
      </c>
      <c r="AE544">
        <f>$C544*AE543</f>
        <v/>
      </c>
      <c r="AF544">
        <f>$C544*AF543</f>
        <v/>
      </c>
      <c r="AG544">
        <f>$C544*AG543</f>
        <v/>
      </c>
      <c r="AH544">
        <f>$C544*AH543</f>
        <v/>
      </c>
      <c r="AI544">
        <f>$C544*AI543</f>
        <v/>
      </c>
      <c r="AJ544">
        <f>$C544*AJ543</f>
        <v/>
      </c>
      <c r="AK544">
        <f>$C544*AK543</f>
        <v/>
      </c>
      <c r="AL544">
        <f>$C544*AL543</f>
        <v/>
      </c>
      <c r="AM544">
        <f>$C544*AM543</f>
        <v/>
      </c>
      <c r="AN544">
        <f>$C544*AN543</f>
        <v/>
      </c>
      <c r="AO544">
        <f>$C544*AO543</f>
        <v/>
      </c>
      <c r="AP544">
        <f>$C544*AP543</f>
        <v/>
      </c>
      <c r="AQ544">
        <f>$C544*AQ543</f>
        <v/>
      </c>
      <c r="AR544">
        <f>$C544*AR543</f>
        <v/>
      </c>
      <c r="AS544">
        <f>$C544*AS543</f>
        <v/>
      </c>
      <c r="AT544">
        <f>$C544*AT543</f>
        <v/>
      </c>
      <c r="AU544">
        <f>$C544*AU543</f>
        <v/>
      </c>
      <c r="AV544">
        <f>$C544*AV543</f>
        <v/>
      </c>
      <c r="AW544">
        <f>$C544*AW543</f>
        <v/>
      </c>
      <c r="AX544">
        <f>$C544*AX543</f>
        <v/>
      </c>
      <c r="AY544">
        <f>$C544*AY543</f>
        <v/>
      </c>
      <c r="AZ544">
        <f>$C544*AZ543</f>
        <v/>
      </c>
      <c r="BA544">
        <f>$C544*BA543</f>
        <v/>
      </c>
      <c r="BB544">
        <f>$C544*BB543</f>
        <v/>
      </c>
      <c r="BC544">
        <f>$C544*BC543</f>
        <v/>
      </c>
      <c r="BD544">
        <f>$C544*BD543</f>
        <v/>
      </c>
      <c r="BE544">
        <f>$C544*BE543</f>
        <v/>
      </c>
      <c r="BF544">
        <f>$C544*BF543</f>
        <v/>
      </c>
      <c r="BG544">
        <f>$C544*BG543</f>
        <v/>
      </c>
      <c r="BH544">
        <f>$C544*BH543</f>
        <v/>
      </c>
      <c r="BI544">
        <f>$C544*BI543</f>
        <v/>
      </c>
      <c r="BJ544">
        <f>$C544*BJ543</f>
        <v/>
      </c>
      <c r="BK544">
        <f>$C544*BK543</f>
        <v/>
      </c>
      <c r="BL544">
        <f>$C544*BL543</f>
        <v/>
      </c>
      <c r="BM544">
        <f>$C544*BM543</f>
        <v/>
      </c>
      <c r="BN544">
        <f>$C544*BN543</f>
        <v/>
      </c>
      <c r="BO544">
        <f>$C544*BO543</f>
        <v/>
      </c>
      <c r="BP544">
        <f>$C544*BP543</f>
        <v/>
      </c>
      <c r="BQ544">
        <f>$C544*BQ543</f>
        <v/>
      </c>
      <c r="BR544">
        <f>$C544*BR543</f>
        <v/>
      </c>
      <c r="BS544">
        <f>$C544*BS543</f>
        <v/>
      </c>
      <c r="BT544">
        <f>$C544*BT543</f>
        <v/>
      </c>
      <c r="BU544">
        <f>$C544*BU543</f>
        <v/>
      </c>
      <c r="BV544">
        <f>$C544*BV543</f>
        <v/>
      </c>
      <c r="BW544">
        <f>$C544*BW543</f>
        <v/>
      </c>
      <c r="BX544">
        <f>$C544*BX543</f>
        <v/>
      </c>
      <c r="BY544">
        <f>$C544*BY543</f>
        <v/>
      </c>
      <c r="BZ544">
        <f>$C544*BZ543</f>
        <v/>
      </c>
      <c r="CA544">
        <f>$C544*CA543</f>
        <v/>
      </c>
      <c r="CB544">
        <f>$C544*CB543</f>
        <v/>
      </c>
      <c r="CC544">
        <f>$C544*CC543</f>
        <v/>
      </c>
      <c r="CD544">
        <f>$C544*CD543</f>
        <v/>
      </c>
      <c r="CE544">
        <f>$C544*CE543</f>
        <v/>
      </c>
      <c r="CF544">
        <f>$C544*CF543</f>
        <v/>
      </c>
      <c r="CG544">
        <f>$C544*CG543</f>
        <v/>
      </c>
      <c r="CH544">
        <f>$C544*CH543</f>
        <v/>
      </c>
      <c r="CI544">
        <f>$C544*CI543</f>
        <v/>
      </c>
      <c r="CJ544">
        <f>$C544*CJ543</f>
        <v/>
      </c>
      <c r="CK544">
        <f>$C544*CK543</f>
        <v/>
      </c>
      <c r="CL544">
        <f>$C544*CL543</f>
        <v/>
      </c>
      <c r="CM544">
        <f>$C544*CM543</f>
        <v/>
      </c>
      <c r="CN544">
        <f>$C544*CN543</f>
        <v/>
      </c>
      <c r="CO544">
        <f>$C544*CO543</f>
        <v/>
      </c>
      <c r="CP544">
        <f>$C544*CP543</f>
        <v/>
      </c>
      <c r="CQ544">
        <f>$C544*CQ543</f>
        <v/>
      </c>
      <c r="CR544">
        <f>$C544*CR543</f>
        <v/>
      </c>
      <c r="CS544">
        <f>$C544*CS543</f>
        <v/>
      </c>
      <c r="CT544">
        <f>$C544*CT543</f>
        <v/>
      </c>
      <c r="CU544">
        <f>$C544*CU543</f>
        <v/>
      </c>
      <c r="CV544">
        <f>$C544*CV543</f>
        <v/>
      </c>
      <c r="CW544">
        <f>$C544*CW543</f>
        <v/>
      </c>
      <c r="CX544">
        <f>$C544*CX543</f>
        <v/>
      </c>
      <c r="CY544">
        <f>$C544*CY543</f>
        <v/>
      </c>
      <c r="CZ544">
        <f>$C544*CZ543</f>
        <v/>
      </c>
      <c r="DA544">
        <f>$C544*DA543</f>
        <v/>
      </c>
      <c r="DB544">
        <f>$C544*DB543</f>
        <v/>
      </c>
      <c r="DC544">
        <f>$C544*DC543</f>
        <v/>
      </c>
    </row>
    <row r="545">
      <c r="B545" t="inlineStr">
        <is>
          <t>TSP-402</t>
        </is>
      </c>
      <c r="C545" t="inlineStr">
        <is>
          <t>No. of batches</t>
        </is>
      </c>
      <c r="D545">
        <f>IFERROR(INDEX(PP_Grid[#Data],$DD545,2),0)</f>
        <v/>
      </c>
      <c r="E545">
        <f>IFERROR(INDEX(PP_Grid[#Data],$DD545,3),0)</f>
        <v/>
      </c>
      <c r="F545">
        <f>IFERROR(INDEX(PP_Grid[#Data],$DD545,4),0)</f>
        <v/>
      </c>
      <c r="G545">
        <f>IFERROR(INDEX(PP_Grid[#Data],$DD545,5),0)</f>
        <v/>
      </c>
      <c r="H545">
        <f>IFERROR(INDEX(PP_Grid[#Data],$DD545,6),0)</f>
        <v/>
      </c>
      <c r="I545">
        <f>IFERROR(INDEX(PP_Grid[#Data],$DD545,7),0)</f>
        <v/>
      </c>
      <c r="J545">
        <f>IFERROR(INDEX(PP_Grid[#Data],$DD545,8),0)</f>
        <v/>
      </c>
      <c r="K545">
        <f>IFERROR(INDEX(PP_Grid[#Data],$DD545,9),0)</f>
        <v/>
      </c>
      <c r="L545">
        <f>IFERROR(INDEX(PP_Grid[#Data],$DD545,10),0)</f>
        <v/>
      </c>
      <c r="M545">
        <f>IFERROR(INDEX(PP_Grid[#Data],$DD545,11),0)</f>
        <v/>
      </c>
      <c r="N545">
        <f>IFERROR(INDEX(PP_Grid[#Data],$DD545,12),0)</f>
        <v/>
      </c>
      <c r="O545">
        <f>IFERROR(INDEX(PP_Grid[#Data],$DD545,13),0)</f>
        <v/>
      </c>
      <c r="P545">
        <f>IFERROR(INDEX(PP_Grid[#Data],$DD545,14),0)</f>
        <v/>
      </c>
      <c r="Q545">
        <f>IFERROR(INDEX(PP_Grid[#Data],$DD545,15),0)</f>
        <v/>
      </c>
      <c r="R545">
        <f>IFERROR(INDEX(PP_Grid[#Data],$DD545,16),0)</f>
        <v/>
      </c>
      <c r="S545">
        <f>IFERROR(INDEX(PP_Grid[#Data],$DD545,17),0)</f>
        <v/>
      </c>
      <c r="T545">
        <f>IFERROR(INDEX(PP_Grid[#Data],$DD545,18),0)</f>
        <v/>
      </c>
      <c r="U545">
        <f>IFERROR(INDEX(PP_Grid[#Data],$DD545,19),0)</f>
        <v/>
      </c>
      <c r="V545">
        <f>IFERROR(INDEX(PP_Grid[#Data],$DD545,20),0)</f>
        <v/>
      </c>
      <c r="W545">
        <f>IFERROR(INDEX(PP_Grid[#Data],$DD545,21),0)</f>
        <v/>
      </c>
      <c r="X545">
        <f>IFERROR(INDEX(PP_Grid[#Data],$DD545,22),0)</f>
        <v/>
      </c>
      <c r="Y545">
        <f>IFERROR(INDEX(PP_Grid[#Data],$DD545,23),0)</f>
        <v/>
      </c>
      <c r="Z545">
        <f>IFERROR(INDEX(PP_Grid[#Data],$DD545,24),0)</f>
        <v/>
      </c>
      <c r="AA545">
        <f>IFERROR(INDEX(PP_Grid[#Data],$DD545,25),0)</f>
        <v/>
      </c>
      <c r="AB545">
        <f>IFERROR(INDEX(PP_Grid[#Data],$DD545,26),0)</f>
        <v/>
      </c>
      <c r="AC545">
        <f>IFERROR(INDEX(PP_Grid[#Data],$DD545,27),0)</f>
        <v/>
      </c>
      <c r="AD545">
        <f>IFERROR(INDEX(PP_Grid[#Data],$DD545,28),0)</f>
        <v/>
      </c>
      <c r="AE545">
        <f>IFERROR(INDEX(PP_Grid[#Data],$DD545,29),0)</f>
        <v/>
      </c>
      <c r="AF545">
        <f>IFERROR(INDEX(PP_Grid[#Data],$DD545,30),0)</f>
        <v/>
      </c>
      <c r="AG545">
        <f>IFERROR(INDEX(PP_Grid[#Data],$DD545,31),0)</f>
        <v/>
      </c>
      <c r="AH545">
        <f>IFERROR(INDEX(PP_Grid[#Data],$DD545,32),0)</f>
        <v/>
      </c>
      <c r="AI545">
        <f>IFERROR(INDEX(PP_Grid[#Data],$DD545,33),0)</f>
        <v/>
      </c>
      <c r="AJ545">
        <f>IFERROR(INDEX(PP_Grid[#Data],$DD545,34),0)</f>
        <v/>
      </c>
      <c r="AK545">
        <f>IFERROR(INDEX(PP_Grid[#Data],$DD545,35),0)</f>
        <v/>
      </c>
      <c r="AL545">
        <f>IFERROR(INDEX(PP_Grid[#Data],$DD545,36),0)</f>
        <v/>
      </c>
      <c r="AM545">
        <f>IFERROR(INDEX(PP_Grid[#Data],$DD545,37),0)</f>
        <v/>
      </c>
      <c r="AN545">
        <f>IFERROR(INDEX(PP_Grid[#Data],$DD545,38),0)</f>
        <v/>
      </c>
      <c r="AO545">
        <f>IFERROR(INDEX(PP_Grid[#Data],$DD545,39),0)</f>
        <v/>
      </c>
      <c r="AP545">
        <f>IFERROR(INDEX(PP_Grid[#Data],$DD545,40),0)</f>
        <v/>
      </c>
      <c r="AQ545">
        <f>IFERROR(INDEX(PP_Grid[#Data],$DD545,41),0)</f>
        <v/>
      </c>
      <c r="AR545">
        <f>IFERROR(INDEX(PP_Grid[#Data],$DD545,42),0)</f>
        <v/>
      </c>
      <c r="AS545">
        <f>IFERROR(INDEX(PP_Grid[#Data],$DD545,43),0)</f>
        <v/>
      </c>
      <c r="AT545">
        <f>IFERROR(INDEX(PP_Grid[#Data],$DD545,44),0)</f>
        <v/>
      </c>
      <c r="AU545">
        <f>IFERROR(INDEX(PP_Grid[#Data],$DD545,45),0)</f>
        <v/>
      </c>
      <c r="AV545">
        <f>IFERROR(INDEX(PP_Grid[#Data],$DD545,46),0)</f>
        <v/>
      </c>
      <c r="AW545">
        <f>IFERROR(INDEX(PP_Grid[#Data],$DD545,47),0)</f>
        <v/>
      </c>
      <c r="AX545">
        <f>IFERROR(INDEX(PP_Grid[#Data],$DD545,48),0)</f>
        <v/>
      </c>
      <c r="AY545">
        <f>IFERROR(INDEX(PP_Grid[#Data],$DD545,49),0)</f>
        <v/>
      </c>
      <c r="AZ545">
        <f>IFERROR(INDEX(PP_Grid[#Data],$DD545,50),0)</f>
        <v/>
      </c>
      <c r="BA545">
        <f>IFERROR(INDEX(PP_Grid[#Data],$DD545,51),0)</f>
        <v/>
      </c>
      <c r="BB545">
        <f>IFERROR(INDEX(PP_Grid[#Data],$DD545,52),0)</f>
        <v/>
      </c>
      <c r="BC545">
        <f>IFERROR(INDEX(PP_Grid[#Data],$DD545,53),0)</f>
        <v/>
      </c>
      <c r="BD545">
        <f>IFERROR(INDEX(PP_Grid[#Data],$DD545,54),0)</f>
        <v/>
      </c>
      <c r="BE545">
        <f>IFERROR(INDEX(PP_Grid[#Data],$DD545,55),0)</f>
        <v/>
      </c>
      <c r="BF545">
        <f>IFERROR(INDEX(PP_Grid[#Data],$DD545,56),0)</f>
        <v/>
      </c>
      <c r="BG545">
        <f>IFERROR(INDEX(PP_Grid[#Data],$DD545,57),0)</f>
        <v/>
      </c>
      <c r="BH545">
        <f>IFERROR(INDEX(PP_Grid[#Data],$DD545,58),0)</f>
        <v/>
      </c>
      <c r="BI545">
        <f>IFERROR(INDEX(PP_Grid[#Data],$DD545,59),0)</f>
        <v/>
      </c>
      <c r="BJ545">
        <f>IFERROR(INDEX(PP_Grid[#Data],$DD545,60),0)</f>
        <v/>
      </c>
      <c r="BK545">
        <f>IFERROR(INDEX(PP_Grid[#Data],$DD545,61),0)</f>
        <v/>
      </c>
      <c r="BL545">
        <f>IFERROR(INDEX(PP_Grid[#Data],$DD545,62),0)</f>
        <v/>
      </c>
      <c r="BM545">
        <f>IFERROR(INDEX(PP_Grid[#Data],$DD545,63),0)</f>
        <v/>
      </c>
      <c r="BN545">
        <f>IFERROR(INDEX(PP_Grid[#Data],$DD545,64),0)</f>
        <v/>
      </c>
      <c r="BO545">
        <f>IFERROR(INDEX(PP_Grid[#Data],$DD545,65),0)</f>
        <v/>
      </c>
      <c r="BP545">
        <f>IFERROR(INDEX(PP_Grid[#Data],$DD545,66),0)</f>
        <v/>
      </c>
      <c r="BQ545">
        <f>IFERROR(INDEX(PP_Grid[#Data],$DD545,67),0)</f>
        <v/>
      </c>
      <c r="BR545">
        <f>IFERROR(INDEX(PP_Grid[#Data],$DD545,68),0)</f>
        <v/>
      </c>
      <c r="BS545">
        <f>IFERROR(INDEX(PP_Grid[#Data],$DD545,69),0)</f>
        <v/>
      </c>
      <c r="BT545">
        <f>IFERROR(INDEX(PP_Grid[#Data],$DD545,70),0)</f>
        <v/>
      </c>
      <c r="BU545">
        <f>IFERROR(INDEX(PP_Grid[#Data],$DD545,71),0)</f>
        <v/>
      </c>
      <c r="BV545">
        <f>IFERROR(INDEX(PP_Grid[#Data],$DD545,72),0)</f>
        <v/>
      </c>
      <c r="BW545">
        <f>IFERROR(INDEX(PP_Grid[#Data],$DD545,73),0)</f>
        <v/>
      </c>
      <c r="BX545">
        <f>IFERROR(INDEX(PP_Grid[#Data],$DD545,74),0)</f>
        <v/>
      </c>
      <c r="BY545">
        <f>IFERROR(INDEX(PP_Grid[#Data],$DD545,75),0)</f>
        <v/>
      </c>
      <c r="BZ545">
        <f>IFERROR(INDEX(PP_Grid[#Data],$DD545,76),0)</f>
        <v/>
      </c>
      <c r="CA545">
        <f>IFERROR(INDEX(PP_Grid[#Data],$DD545,77),0)</f>
        <v/>
      </c>
      <c r="CB545">
        <f>IFERROR(INDEX(PP_Grid[#Data],$DD545,78),0)</f>
        <v/>
      </c>
      <c r="CC545">
        <f>IFERROR(INDEX(PP_Grid[#Data],$DD545,79),0)</f>
        <v/>
      </c>
      <c r="CD545">
        <f>IFERROR(INDEX(PP_Grid[#Data],$DD545,80),0)</f>
        <v/>
      </c>
      <c r="CE545">
        <f>IFERROR(INDEX(PP_Grid[#Data],$DD545,81),0)</f>
        <v/>
      </c>
      <c r="CF545">
        <f>IFERROR(INDEX(PP_Grid[#Data],$DD545,82),0)</f>
        <v/>
      </c>
      <c r="CG545">
        <f>IFERROR(INDEX(PP_Grid[#Data],$DD545,83),0)</f>
        <v/>
      </c>
      <c r="CH545">
        <f>IFERROR(INDEX(PP_Grid[#Data],$DD545,84),0)</f>
        <v/>
      </c>
      <c r="CI545">
        <f>IFERROR(INDEX(PP_Grid[#Data],$DD545,85),0)</f>
        <v/>
      </c>
      <c r="CJ545">
        <f>IFERROR(INDEX(PP_Grid[#Data],$DD545,86),0)</f>
        <v/>
      </c>
      <c r="CK545">
        <f>IFERROR(INDEX(PP_Grid[#Data],$DD545,87),0)</f>
        <v/>
      </c>
      <c r="CL545">
        <f>IFERROR(INDEX(PP_Grid[#Data],$DD545,88),0)</f>
        <v/>
      </c>
      <c r="CM545">
        <f>IFERROR(INDEX(PP_Grid[#Data],$DD545,89),0)</f>
        <v/>
      </c>
      <c r="CN545">
        <f>IFERROR(INDEX(PP_Grid[#Data],$DD545,90),0)</f>
        <v/>
      </c>
      <c r="CO545">
        <f>IFERROR(INDEX(PP_Grid[#Data],$DD545,91),0)</f>
        <v/>
      </c>
      <c r="CP545">
        <f>IFERROR(INDEX(PP_Grid[#Data],$DD545,92),0)</f>
        <v/>
      </c>
      <c r="CQ545">
        <f>IFERROR(INDEX(PP_Grid[#Data],$DD545,93),0)</f>
        <v/>
      </c>
      <c r="CR545">
        <f>IFERROR(INDEX(PP_Grid[#Data],$DD545,94),0)</f>
        <v/>
      </c>
      <c r="CS545">
        <f>IFERROR(INDEX(PP_Grid[#Data],$DD545,95),0)</f>
        <v/>
      </c>
      <c r="CT545">
        <f>IFERROR(INDEX(PP_Grid[#Data],$DD545,96),0)</f>
        <v/>
      </c>
      <c r="CU545">
        <f>IFERROR(INDEX(PP_Grid[#Data],$DD545,97),0)</f>
        <v/>
      </c>
      <c r="CV545">
        <f>IFERROR(INDEX(PP_Grid[#Data],$DD545,98),0)</f>
        <v/>
      </c>
      <c r="CW545">
        <f>IFERROR(INDEX(PP_Grid[#Data],$DD545,99),0)</f>
        <v/>
      </c>
      <c r="CX545">
        <f>IFERROR(INDEX(PP_Grid[#Data],$DD545,100),0)</f>
        <v/>
      </c>
      <c r="CY545">
        <f>IFERROR(INDEX(PP_Grid[#Data],$DD545,101),0)</f>
        <v/>
      </c>
      <c r="CZ545">
        <f>IFERROR(INDEX(PP_Grid[#Data],$DD545,102),0)</f>
        <v/>
      </c>
      <c r="DA545">
        <f>IFERROR(INDEX(PP_Grid[#Data],$DD545,103),0)</f>
        <v/>
      </c>
      <c r="DB545">
        <f>IFERROR(INDEX(PP_Grid[#Data],$DD545,104),0)</f>
        <v/>
      </c>
      <c r="DC545">
        <f>IFERROR(INDEX(PP_Grid[#Data],$DD545,105),0)</f>
        <v/>
      </c>
      <c r="DD545" s="12">
        <f>IFERROR(MATCH($B545,PP_Grid[Intermediate],0),99999)</f>
        <v/>
      </c>
    </row>
    <row r="546">
      <c r="B546" t="inlineStr">
        <is>
          <t>使用量(kg)</t>
        </is>
      </c>
      <c r="C546">
        <f>SUMIFS(M_BOM[RM_Qty_Per_Batch],M_BOM[Intermediate],$B545,M_BOM[Part Name],$A518)</f>
        <v/>
      </c>
      <c r="D546">
        <f>$C546*D545</f>
        <v/>
      </c>
      <c r="E546">
        <f>$C546*E545</f>
        <v/>
      </c>
      <c r="F546">
        <f>$C546*F545</f>
        <v/>
      </c>
      <c r="G546">
        <f>$C546*G545</f>
        <v/>
      </c>
      <c r="H546">
        <f>$C546*H545</f>
        <v/>
      </c>
      <c r="I546">
        <f>$C546*I545</f>
        <v/>
      </c>
      <c r="J546">
        <f>$C546*J545</f>
        <v/>
      </c>
      <c r="K546">
        <f>$C546*K545</f>
        <v/>
      </c>
      <c r="L546">
        <f>$C546*L545</f>
        <v/>
      </c>
      <c r="M546">
        <f>$C546*M545</f>
        <v/>
      </c>
      <c r="N546">
        <f>$C546*N545</f>
        <v/>
      </c>
      <c r="O546">
        <f>$C546*O545</f>
        <v/>
      </c>
      <c r="P546">
        <f>$C546*P545</f>
        <v/>
      </c>
      <c r="Q546">
        <f>$C546*Q545</f>
        <v/>
      </c>
      <c r="R546">
        <f>$C546*R545</f>
        <v/>
      </c>
      <c r="S546">
        <f>$C546*S545</f>
        <v/>
      </c>
      <c r="T546">
        <f>$C546*T545</f>
        <v/>
      </c>
      <c r="U546">
        <f>$C546*U545</f>
        <v/>
      </c>
      <c r="V546">
        <f>$C546*V545</f>
        <v/>
      </c>
      <c r="W546">
        <f>$C546*W545</f>
        <v/>
      </c>
      <c r="X546">
        <f>$C546*X545</f>
        <v/>
      </c>
      <c r="Y546">
        <f>$C546*Y545</f>
        <v/>
      </c>
      <c r="Z546">
        <f>$C546*Z545</f>
        <v/>
      </c>
      <c r="AA546">
        <f>$C546*AA545</f>
        <v/>
      </c>
      <c r="AB546">
        <f>$C546*AB545</f>
        <v/>
      </c>
      <c r="AC546">
        <f>$C546*AC545</f>
        <v/>
      </c>
      <c r="AD546">
        <f>$C546*AD545</f>
        <v/>
      </c>
      <c r="AE546">
        <f>$C546*AE545</f>
        <v/>
      </c>
      <c r="AF546">
        <f>$C546*AF545</f>
        <v/>
      </c>
      <c r="AG546">
        <f>$C546*AG545</f>
        <v/>
      </c>
      <c r="AH546">
        <f>$C546*AH545</f>
        <v/>
      </c>
      <c r="AI546">
        <f>$C546*AI545</f>
        <v/>
      </c>
      <c r="AJ546">
        <f>$C546*AJ545</f>
        <v/>
      </c>
      <c r="AK546">
        <f>$C546*AK545</f>
        <v/>
      </c>
      <c r="AL546">
        <f>$C546*AL545</f>
        <v/>
      </c>
      <c r="AM546">
        <f>$C546*AM545</f>
        <v/>
      </c>
      <c r="AN546">
        <f>$C546*AN545</f>
        <v/>
      </c>
      <c r="AO546">
        <f>$C546*AO545</f>
        <v/>
      </c>
      <c r="AP546">
        <f>$C546*AP545</f>
        <v/>
      </c>
      <c r="AQ546">
        <f>$C546*AQ545</f>
        <v/>
      </c>
      <c r="AR546">
        <f>$C546*AR545</f>
        <v/>
      </c>
      <c r="AS546">
        <f>$C546*AS545</f>
        <v/>
      </c>
      <c r="AT546">
        <f>$C546*AT545</f>
        <v/>
      </c>
      <c r="AU546">
        <f>$C546*AU545</f>
        <v/>
      </c>
      <c r="AV546">
        <f>$C546*AV545</f>
        <v/>
      </c>
      <c r="AW546">
        <f>$C546*AW545</f>
        <v/>
      </c>
      <c r="AX546">
        <f>$C546*AX545</f>
        <v/>
      </c>
      <c r="AY546">
        <f>$C546*AY545</f>
        <v/>
      </c>
      <c r="AZ546">
        <f>$C546*AZ545</f>
        <v/>
      </c>
      <c r="BA546">
        <f>$C546*BA545</f>
        <v/>
      </c>
      <c r="BB546">
        <f>$C546*BB545</f>
        <v/>
      </c>
      <c r="BC546">
        <f>$C546*BC545</f>
        <v/>
      </c>
      <c r="BD546">
        <f>$C546*BD545</f>
        <v/>
      </c>
      <c r="BE546">
        <f>$C546*BE545</f>
        <v/>
      </c>
      <c r="BF546">
        <f>$C546*BF545</f>
        <v/>
      </c>
      <c r="BG546">
        <f>$C546*BG545</f>
        <v/>
      </c>
      <c r="BH546">
        <f>$C546*BH545</f>
        <v/>
      </c>
      <c r="BI546">
        <f>$C546*BI545</f>
        <v/>
      </c>
      <c r="BJ546">
        <f>$C546*BJ545</f>
        <v/>
      </c>
      <c r="BK546">
        <f>$C546*BK545</f>
        <v/>
      </c>
      <c r="BL546">
        <f>$C546*BL545</f>
        <v/>
      </c>
      <c r="BM546">
        <f>$C546*BM545</f>
        <v/>
      </c>
      <c r="BN546">
        <f>$C546*BN545</f>
        <v/>
      </c>
      <c r="BO546">
        <f>$C546*BO545</f>
        <v/>
      </c>
      <c r="BP546">
        <f>$C546*BP545</f>
        <v/>
      </c>
      <c r="BQ546">
        <f>$C546*BQ545</f>
        <v/>
      </c>
      <c r="BR546">
        <f>$C546*BR545</f>
        <v/>
      </c>
      <c r="BS546">
        <f>$C546*BS545</f>
        <v/>
      </c>
      <c r="BT546">
        <f>$C546*BT545</f>
        <v/>
      </c>
      <c r="BU546">
        <f>$C546*BU545</f>
        <v/>
      </c>
      <c r="BV546">
        <f>$C546*BV545</f>
        <v/>
      </c>
      <c r="BW546">
        <f>$C546*BW545</f>
        <v/>
      </c>
      <c r="BX546">
        <f>$C546*BX545</f>
        <v/>
      </c>
      <c r="BY546">
        <f>$C546*BY545</f>
        <v/>
      </c>
      <c r="BZ546">
        <f>$C546*BZ545</f>
        <v/>
      </c>
      <c r="CA546">
        <f>$C546*CA545</f>
        <v/>
      </c>
      <c r="CB546">
        <f>$C546*CB545</f>
        <v/>
      </c>
      <c r="CC546">
        <f>$C546*CC545</f>
        <v/>
      </c>
      <c r="CD546">
        <f>$C546*CD545</f>
        <v/>
      </c>
      <c r="CE546">
        <f>$C546*CE545</f>
        <v/>
      </c>
      <c r="CF546">
        <f>$C546*CF545</f>
        <v/>
      </c>
      <c r="CG546">
        <f>$C546*CG545</f>
        <v/>
      </c>
      <c r="CH546">
        <f>$C546*CH545</f>
        <v/>
      </c>
      <c r="CI546">
        <f>$C546*CI545</f>
        <v/>
      </c>
      <c r="CJ546">
        <f>$C546*CJ545</f>
        <v/>
      </c>
      <c r="CK546">
        <f>$C546*CK545</f>
        <v/>
      </c>
      <c r="CL546">
        <f>$C546*CL545</f>
        <v/>
      </c>
      <c r="CM546">
        <f>$C546*CM545</f>
        <v/>
      </c>
      <c r="CN546">
        <f>$C546*CN545</f>
        <v/>
      </c>
      <c r="CO546">
        <f>$C546*CO545</f>
        <v/>
      </c>
      <c r="CP546">
        <f>$C546*CP545</f>
        <v/>
      </c>
      <c r="CQ546">
        <f>$C546*CQ545</f>
        <v/>
      </c>
      <c r="CR546">
        <f>$C546*CR545</f>
        <v/>
      </c>
      <c r="CS546">
        <f>$C546*CS545</f>
        <v/>
      </c>
      <c r="CT546">
        <f>$C546*CT545</f>
        <v/>
      </c>
      <c r="CU546">
        <f>$C546*CU545</f>
        <v/>
      </c>
      <c r="CV546">
        <f>$C546*CV545</f>
        <v/>
      </c>
      <c r="CW546">
        <f>$C546*CW545</f>
        <v/>
      </c>
      <c r="CX546">
        <f>$C546*CX545</f>
        <v/>
      </c>
      <c r="CY546">
        <f>$C546*CY545</f>
        <v/>
      </c>
      <c r="CZ546">
        <f>$C546*CZ545</f>
        <v/>
      </c>
      <c r="DA546">
        <f>$C546*DA545</f>
        <v/>
      </c>
      <c r="DB546">
        <f>$C546*DB545</f>
        <v/>
      </c>
      <c r="DC546">
        <f>$C546*DC545</f>
        <v/>
      </c>
    </row>
    <row r="547">
      <c r="B547" t="inlineStr">
        <is>
          <t>TSP-403</t>
        </is>
      </c>
      <c r="C547" t="inlineStr">
        <is>
          <t>No. of batches</t>
        </is>
      </c>
      <c r="D547">
        <f>IFERROR(INDEX(PP_Grid[#Data],$DD547,2),0)</f>
        <v/>
      </c>
      <c r="E547">
        <f>IFERROR(INDEX(PP_Grid[#Data],$DD547,3),0)</f>
        <v/>
      </c>
      <c r="F547">
        <f>IFERROR(INDEX(PP_Grid[#Data],$DD547,4),0)</f>
        <v/>
      </c>
      <c r="G547">
        <f>IFERROR(INDEX(PP_Grid[#Data],$DD547,5),0)</f>
        <v/>
      </c>
      <c r="H547">
        <f>IFERROR(INDEX(PP_Grid[#Data],$DD547,6),0)</f>
        <v/>
      </c>
      <c r="I547">
        <f>IFERROR(INDEX(PP_Grid[#Data],$DD547,7),0)</f>
        <v/>
      </c>
      <c r="J547">
        <f>IFERROR(INDEX(PP_Grid[#Data],$DD547,8),0)</f>
        <v/>
      </c>
      <c r="K547">
        <f>IFERROR(INDEX(PP_Grid[#Data],$DD547,9),0)</f>
        <v/>
      </c>
      <c r="L547">
        <f>IFERROR(INDEX(PP_Grid[#Data],$DD547,10),0)</f>
        <v/>
      </c>
      <c r="M547">
        <f>IFERROR(INDEX(PP_Grid[#Data],$DD547,11),0)</f>
        <v/>
      </c>
      <c r="N547">
        <f>IFERROR(INDEX(PP_Grid[#Data],$DD547,12),0)</f>
        <v/>
      </c>
      <c r="O547">
        <f>IFERROR(INDEX(PP_Grid[#Data],$DD547,13),0)</f>
        <v/>
      </c>
      <c r="P547">
        <f>IFERROR(INDEX(PP_Grid[#Data],$DD547,14),0)</f>
        <v/>
      </c>
      <c r="Q547">
        <f>IFERROR(INDEX(PP_Grid[#Data],$DD547,15),0)</f>
        <v/>
      </c>
      <c r="R547">
        <f>IFERROR(INDEX(PP_Grid[#Data],$DD547,16),0)</f>
        <v/>
      </c>
      <c r="S547">
        <f>IFERROR(INDEX(PP_Grid[#Data],$DD547,17),0)</f>
        <v/>
      </c>
      <c r="T547">
        <f>IFERROR(INDEX(PP_Grid[#Data],$DD547,18),0)</f>
        <v/>
      </c>
      <c r="U547">
        <f>IFERROR(INDEX(PP_Grid[#Data],$DD547,19),0)</f>
        <v/>
      </c>
      <c r="V547">
        <f>IFERROR(INDEX(PP_Grid[#Data],$DD547,20),0)</f>
        <v/>
      </c>
      <c r="W547">
        <f>IFERROR(INDEX(PP_Grid[#Data],$DD547,21),0)</f>
        <v/>
      </c>
      <c r="X547">
        <f>IFERROR(INDEX(PP_Grid[#Data],$DD547,22),0)</f>
        <v/>
      </c>
      <c r="Y547">
        <f>IFERROR(INDEX(PP_Grid[#Data],$DD547,23),0)</f>
        <v/>
      </c>
      <c r="Z547">
        <f>IFERROR(INDEX(PP_Grid[#Data],$DD547,24),0)</f>
        <v/>
      </c>
      <c r="AA547">
        <f>IFERROR(INDEX(PP_Grid[#Data],$DD547,25),0)</f>
        <v/>
      </c>
      <c r="AB547">
        <f>IFERROR(INDEX(PP_Grid[#Data],$DD547,26),0)</f>
        <v/>
      </c>
      <c r="AC547">
        <f>IFERROR(INDEX(PP_Grid[#Data],$DD547,27),0)</f>
        <v/>
      </c>
      <c r="AD547">
        <f>IFERROR(INDEX(PP_Grid[#Data],$DD547,28),0)</f>
        <v/>
      </c>
      <c r="AE547">
        <f>IFERROR(INDEX(PP_Grid[#Data],$DD547,29),0)</f>
        <v/>
      </c>
      <c r="AF547">
        <f>IFERROR(INDEX(PP_Grid[#Data],$DD547,30),0)</f>
        <v/>
      </c>
      <c r="AG547">
        <f>IFERROR(INDEX(PP_Grid[#Data],$DD547,31),0)</f>
        <v/>
      </c>
      <c r="AH547">
        <f>IFERROR(INDEX(PP_Grid[#Data],$DD547,32),0)</f>
        <v/>
      </c>
      <c r="AI547">
        <f>IFERROR(INDEX(PP_Grid[#Data],$DD547,33),0)</f>
        <v/>
      </c>
      <c r="AJ547">
        <f>IFERROR(INDEX(PP_Grid[#Data],$DD547,34),0)</f>
        <v/>
      </c>
      <c r="AK547">
        <f>IFERROR(INDEX(PP_Grid[#Data],$DD547,35),0)</f>
        <v/>
      </c>
      <c r="AL547">
        <f>IFERROR(INDEX(PP_Grid[#Data],$DD547,36),0)</f>
        <v/>
      </c>
      <c r="AM547">
        <f>IFERROR(INDEX(PP_Grid[#Data],$DD547,37),0)</f>
        <v/>
      </c>
      <c r="AN547">
        <f>IFERROR(INDEX(PP_Grid[#Data],$DD547,38),0)</f>
        <v/>
      </c>
      <c r="AO547">
        <f>IFERROR(INDEX(PP_Grid[#Data],$DD547,39),0)</f>
        <v/>
      </c>
      <c r="AP547">
        <f>IFERROR(INDEX(PP_Grid[#Data],$DD547,40),0)</f>
        <v/>
      </c>
      <c r="AQ547">
        <f>IFERROR(INDEX(PP_Grid[#Data],$DD547,41),0)</f>
        <v/>
      </c>
      <c r="AR547">
        <f>IFERROR(INDEX(PP_Grid[#Data],$DD547,42),0)</f>
        <v/>
      </c>
      <c r="AS547">
        <f>IFERROR(INDEX(PP_Grid[#Data],$DD547,43),0)</f>
        <v/>
      </c>
      <c r="AT547">
        <f>IFERROR(INDEX(PP_Grid[#Data],$DD547,44),0)</f>
        <v/>
      </c>
      <c r="AU547">
        <f>IFERROR(INDEX(PP_Grid[#Data],$DD547,45),0)</f>
        <v/>
      </c>
      <c r="AV547">
        <f>IFERROR(INDEX(PP_Grid[#Data],$DD547,46),0)</f>
        <v/>
      </c>
      <c r="AW547">
        <f>IFERROR(INDEX(PP_Grid[#Data],$DD547,47),0)</f>
        <v/>
      </c>
      <c r="AX547">
        <f>IFERROR(INDEX(PP_Grid[#Data],$DD547,48),0)</f>
        <v/>
      </c>
      <c r="AY547">
        <f>IFERROR(INDEX(PP_Grid[#Data],$DD547,49),0)</f>
        <v/>
      </c>
      <c r="AZ547">
        <f>IFERROR(INDEX(PP_Grid[#Data],$DD547,50),0)</f>
        <v/>
      </c>
      <c r="BA547">
        <f>IFERROR(INDEX(PP_Grid[#Data],$DD547,51),0)</f>
        <v/>
      </c>
      <c r="BB547">
        <f>IFERROR(INDEX(PP_Grid[#Data],$DD547,52),0)</f>
        <v/>
      </c>
      <c r="BC547">
        <f>IFERROR(INDEX(PP_Grid[#Data],$DD547,53),0)</f>
        <v/>
      </c>
      <c r="BD547">
        <f>IFERROR(INDEX(PP_Grid[#Data],$DD547,54),0)</f>
        <v/>
      </c>
      <c r="BE547">
        <f>IFERROR(INDEX(PP_Grid[#Data],$DD547,55),0)</f>
        <v/>
      </c>
      <c r="BF547">
        <f>IFERROR(INDEX(PP_Grid[#Data],$DD547,56),0)</f>
        <v/>
      </c>
      <c r="BG547">
        <f>IFERROR(INDEX(PP_Grid[#Data],$DD547,57),0)</f>
        <v/>
      </c>
      <c r="BH547">
        <f>IFERROR(INDEX(PP_Grid[#Data],$DD547,58),0)</f>
        <v/>
      </c>
      <c r="BI547">
        <f>IFERROR(INDEX(PP_Grid[#Data],$DD547,59),0)</f>
        <v/>
      </c>
      <c r="BJ547">
        <f>IFERROR(INDEX(PP_Grid[#Data],$DD547,60),0)</f>
        <v/>
      </c>
      <c r="BK547">
        <f>IFERROR(INDEX(PP_Grid[#Data],$DD547,61),0)</f>
        <v/>
      </c>
      <c r="BL547">
        <f>IFERROR(INDEX(PP_Grid[#Data],$DD547,62),0)</f>
        <v/>
      </c>
      <c r="BM547">
        <f>IFERROR(INDEX(PP_Grid[#Data],$DD547,63),0)</f>
        <v/>
      </c>
      <c r="BN547">
        <f>IFERROR(INDEX(PP_Grid[#Data],$DD547,64),0)</f>
        <v/>
      </c>
      <c r="BO547">
        <f>IFERROR(INDEX(PP_Grid[#Data],$DD547,65),0)</f>
        <v/>
      </c>
      <c r="BP547">
        <f>IFERROR(INDEX(PP_Grid[#Data],$DD547,66),0)</f>
        <v/>
      </c>
      <c r="BQ547">
        <f>IFERROR(INDEX(PP_Grid[#Data],$DD547,67),0)</f>
        <v/>
      </c>
      <c r="BR547">
        <f>IFERROR(INDEX(PP_Grid[#Data],$DD547,68),0)</f>
        <v/>
      </c>
      <c r="BS547">
        <f>IFERROR(INDEX(PP_Grid[#Data],$DD547,69),0)</f>
        <v/>
      </c>
      <c r="BT547">
        <f>IFERROR(INDEX(PP_Grid[#Data],$DD547,70),0)</f>
        <v/>
      </c>
      <c r="BU547">
        <f>IFERROR(INDEX(PP_Grid[#Data],$DD547,71),0)</f>
        <v/>
      </c>
      <c r="BV547">
        <f>IFERROR(INDEX(PP_Grid[#Data],$DD547,72),0)</f>
        <v/>
      </c>
      <c r="BW547">
        <f>IFERROR(INDEX(PP_Grid[#Data],$DD547,73),0)</f>
        <v/>
      </c>
      <c r="BX547">
        <f>IFERROR(INDEX(PP_Grid[#Data],$DD547,74),0)</f>
        <v/>
      </c>
      <c r="BY547">
        <f>IFERROR(INDEX(PP_Grid[#Data],$DD547,75),0)</f>
        <v/>
      </c>
      <c r="BZ547">
        <f>IFERROR(INDEX(PP_Grid[#Data],$DD547,76),0)</f>
        <v/>
      </c>
      <c r="CA547">
        <f>IFERROR(INDEX(PP_Grid[#Data],$DD547,77),0)</f>
        <v/>
      </c>
      <c r="CB547">
        <f>IFERROR(INDEX(PP_Grid[#Data],$DD547,78),0)</f>
        <v/>
      </c>
      <c r="CC547">
        <f>IFERROR(INDEX(PP_Grid[#Data],$DD547,79),0)</f>
        <v/>
      </c>
      <c r="CD547">
        <f>IFERROR(INDEX(PP_Grid[#Data],$DD547,80),0)</f>
        <v/>
      </c>
      <c r="CE547">
        <f>IFERROR(INDEX(PP_Grid[#Data],$DD547,81),0)</f>
        <v/>
      </c>
      <c r="CF547">
        <f>IFERROR(INDEX(PP_Grid[#Data],$DD547,82),0)</f>
        <v/>
      </c>
      <c r="CG547">
        <f>IFERROR(INDEX(PP_Grid[#Data],$DD547,83),0)</f>
        <v/>
      </c>
      <c r="CH547">
        <f>IFERROR(INDEX(PP_Grid[#Data],$DD547,84),0)</f>
        <v/>
      </c>
      <c r="CI547">
        <f>IFERROR(INDEX(PP_Grid[#Data],$DD547,85),0)</f>
        <v/>
      </c>
      <c r="CJ547">
        <f>IFERROR(INDEX(PP_Grid[#Data],$DD547,86),0)</f>
        <v/>
      </c>
      <c r="CK547">
        <f>IFERROR(INDEX(PP_Grid[#Data],$DD547,87),0)</f>
        <v/>
      </c>
      <c r="CL547">
        <f>IFERROR(INDEX(PP_Grid[#Data],$DD547,88),0)</f>
        <v/>
      </c>
      <c r="CM547">
        <f>IFERROR(INDEX(PP_Grid[#Data],$DD547,89),0)</f>
        <v/>
      </c>
      <c r="CN547">
        <f>IFERROR(INDEX(PP_Grid[#Data],$DD547,90),0)</f>
        <v/>
      </c>
      <c r="CO547">
        <f>IFERROR(INDEX(PP_Grid[#Data],$DD547,91),0)</f>
        <v/>
      </c>
      <c r="CP547">
        <f>IFERROR(INDEX(PP_Grid[#Data],$DD547,92),0)</f>
        <v/>
      </c>
      <c r="CQ547">
        <f>IFERROR(INDEX(PP_Grid[#Data],$DD547,93),0)</f>
        <v/>
      </c>
      <c r="CR547">
        <f>IFERROR(INDEX(PP_Grid[#Data],$DD547,94),0)</f>
        <v/>
      </c>
      <c r="CS547">
        <f>IFERROR(INDEX(PP_Grid[#Data],$DD547,95),0)</f>
        <v/>
      </c>
      <c r="CT547">
        <f>IFERROR(INDEX(PP_Grid[#Data],$DD547,96),0)</f>
        <v/>
      </c>
      <c r="CU547">
        <f>IFERROR(INDEX(PP_Grid[#Data],$DD547,97),0)</f>
        <v/>
      </c>
      <c r="CV547">
        <f>IFERROR(INDEX(PP_Grid[#Data],$DD547,98),0)</f>
        <v/>
      </c>
      <c r="CW547">
        <f>IFERROR(INDEX(PP_Grid[#Data],$DD547,99),0)</f>
        <v/>
      </c>
      <c r="CX547">
        <f>IFERROR(INDEX(PP_Grid[#Data],$DD547,100),0)</f>
        <v/>
      </c>
      <c r="CY547">
        <f>IFERROR(INDEX(PP_Grid[#Data],$DD547,101),0)</f>
        <v/>
      </c>
      <c r="CZ547">
        <f>IFERROR(INDEX(PP_Grid[#Data],$DD547,102),0)</f>
        <v/>
      </c>
      <c r="DA547">
        <f>IFERROR(INDEX(PP_Grid[#Data],$DD547,103),0)</f>
        <v/>
      </c>
      <c r="DB547">
        <f>IFERROR(INDEX(PP_Grid[#Data],$DD547,104),0)</f>
        <v/>
      </c>
      <c r="DC547">
        <f>IFERROR(INDEX(PP_Grid[#Data],$DD547,105),0)</f>
        <v/>
      </c>
      <c r="DD547" s="12">
        <f>IFERROR(MATCH($B547,PP_Grid[Intermediate],0),99999)</f>
        <v/>
      </c>
    </row>
    <row r="548">
      <c r="B548" t="inlineStr">
        <is>
          <t>使用量(kg)</t>
        </is>
      </c>
      <c r="C548">
        <f>SUMIFS(M_BOM[RM_Qty_Per_Batch],M_BOM[Intermediate],$B547,M_BOM[Part Name],$A518)</f>
        <v/>
      </c>
      <c r="D548">
        <f>$C548*D547</f>
        <v/>
      </c>
      <c r="E548">
        <f>$C548*E547</f>
        <v/>
      </c>
      <c r="F548">
        <f>$C548*F547</f>
        <v/>
      </c>
      <c r="G548">
        <f>$C548*G547</f>
        <v/>
      </c>
      <c r="H548">
        <f>$C548*H547</f>
        <v/>
      </c>
      <c r="I548">
        <f>$C548*I547</f>
        <v/>
      </c>
      <c r="J548">
        <f>$C548*J547</f>
        <v/>
      </c>
      <c r="K548">
        <f>$C548*K547</f>
        <v/>
      </c>
      <c r="L548">
        <f>$C548*L547</f>
        <v/>
      </c>
      <c r="M548">
        <f>$C548*M547</f>
        <v/>
      </c>
      <c r="N548">
        <f>$C548*N547</f>
        <v/>
      </c>
      <c r="O548">
        <f>$C548*O547</f>
        <v/>
      </c>
      <c r="P548">
        <f>$C548*P547</f>
        <v/>
      </c>
      <c r="Q548">
        <f>$C548*Q547</f>
        <v/>
      </c>
      <c r="R548">
        <f>$C548*R547</f>
        <v/>
      </c>
      <c r="S548">
        <f>$C548*S547</f>
        <v/>
      </c>
      <c r="T548">
        <f>$C548*T547</f>
        <v/>
      </c>
      <c r="U548">
        <f>$C548*U547</f>
        <v/>
      </c>
      <c r="V548">
        <f>$C548*V547</f>
        <v/>
      </c>
      <c r="W548">
        <f>$C548*W547</f>
        <v/>
      </c>
      <c r="X548">
        <f>$C548*X547</f>
        <v/>
      </c>
      <c r="Y548">
        <f>$C548*Y547</f>
        <v/>
      </c>
      <c r="Z548">
        <f>$C548*Z547</f>
        <v/>
      </c>
      <c r="AA548">
        <f>$C548*AA547</f>
        <v/>
      </c>
      <c r="AB548">
        <f>$C548*AB547</f>
        <v/>
      </c>
      <c r="AC548">
        <f>$C548*AC547</f>
        <v/>
      </c>
      <c r="AD548">
        <f>$C548*AD547</f>
        <v/>
      </c>
      <c r="AE548">
        <f>$C548*AE547</f>
        <v/>
      </c>
      <c r="AF548">
        <f>$C548*AF547</f>
        <v/>
      </c>
      <c r="AG548">
        <f>$C548*AG547</f>
        <v/>
      </c>
      <c r="AH548">
        <f>$C548*AH547</f>
        <v/>
      </c>
      <c r="AI548">
        <f>$C548*AI547</f>
        <v/>
      </c>
      <c r="AJ548">
        <f>$C548*AJ547</f>
        <v/>
      </c>
      <c r="AK548">
        <f>$C548*AK547</f>
        <v/>
      </c>
      <c r="AL548">
        <f>$C548*AL547</f>
        <v/>
      </c>
      <c r="AM548">
        <f>$C548*AM547</f>
        <v/>
      </c>
      <c r="AN548">
        <f>$C548*AN547</f>
        <v/>
      </c>
      <c r="AO548">
        <f>$C548*AO547</f>
        <v/>
      </c>
      <c r="AP548">
        <f>$C548*AP547</f>
        <v/>
      </c>
      <c r="AQ548">
        <f>$C548*AQ547</f>
        <v/>
      </c>
      <c r="AR548">
        <f>$C548*AR547</f>
        <v/>
      </c>
      <c r="AS548">
        <f>$C548*AS547</f>
        <v/>
      </c>
      <c r="AT548">
        <f>$C548*AT547</f>
        <v/>
      </c>
      <c r="AU548">
        <f>$C548*AU547</f>
        <v/>
      </c>
      <c r="AV548">
        <f>$C548*AV547</f>
        <v/>
      </c>
      <c r="AW548">
        <f>$C548*AW547</f>
        <v/>
      </c>
      <c r="AX548">
        <f>$C548*AX547</f>
        <v/>
      </c>
      <c r="AY548">
        <f>$C548*AY547</f>
        <v/>
      </c>
      <c r="AZ548">
        <f>$C548*AZ547</f>
        <v/>
      </c>
      <c r="BA548">
        <f>$C548*BA547</f>
        <v/>
      </c>
      <c r="BB548">
        <f>$C548*BB547</f>
        <v/>
      </c>
      <c r="BC548">
        <f>$C548*BC547</f>
        <v/>
      </c>
      <c r="BD548">
        <f>$C548*BD547</f>
        <v/>
      </c>
      <c r="BE548">
        <f>$C548*BE547</f>
        <v/>
      </c>
      <c r="BF548">
        <f>$C548*BF547</f>
        <v/>
      </c>
      <c r="BG548">
        <f>$C548*BG547</f>
        <v/>
      </c>
      <c r="BH548">
        <f>$C548*BH547</f>
        <v/>
      </c>
      <c r="BI548">
        <f>$C548*BI547</f>
        <v/>
      </c>
      <c r="BJ548">
        <f>$C548*BJ547</f>
        <v/>
      </c>
      <c r="BK548">
        <f>$C548*BK547</f>
        <v/>
      </c>
      <c r="BL548">
        <f>$C548*BL547</f>
        <v/>
      </c>
      <c r="BM548">
        <f>$C548*BM547</f>
        <v/>
      </c>
      <c r="BN548">
        <f>$C548*BN547</f>
        <v/>
      </c>
      <c r="BO548">
        <f>$C548*BO547</f>
        <v/>
      </c>
      <c r="BP548">
        <f>$C548*BP547</f>
        <v/>
      </c>
      <c r="BQ548">
        <f>$C548*BQ547</f>
        <v/>
      </c>
      <c r="BR548">
        <f>$C548*BR547</f>
        <v/>
      </c>
      <c r="BS548">
        <f>$C548*BS547</f>
        <v/>
      </c>
      <c r="BT548">
        <f>$C548*BT547</f>
        <v/>
      </c>
      <c r="BU548">
        <f>$C548*BU547</f>
        <v/>
      </c>
      <c r="BV548">
        <f>$C548*BV547</f>
        <v/>
      </c>
      <c r="BW548">
        <f>$C548*BW547</f>
        <v/>
      </c>
      <c r="BX548">
        <f>$C548*BX547</f>
        <v/>
      </c>
      <c r="BY548">
        <f>$C548*BY547</f>
        <v/>
      </c>
      <c r="BZ548">
        <f>$C548*BZ547</f>
        <v/>
      </c>
      <c r="CA548">
        <f>$C548*CA547</f>
        <v/>
      </c>
      <c r="CB548">
        <f>$C548*CB547</f>
        <v/>
      </c>
      <c r="CC548">
        <f>$C548*CC547</f>
        <v/>
      </c>
      <c r="CD548">
        <f>$C548*CD547</f>
        <v/>
      </c>
      <c r="CE548">
        <f>$C548*CE547</f>
        <v/>
      </c>
      <c r="CF548">
        <f>$C548*CF547</f>
        <v/>
      </c>
      <c r="CG548">
        <f>$C548*CG547</f>
        <v/>
      </c>
      <c r="CH548">
        <f>$C548*CH547</f>
        <v/>
      </c>
      <c r="CI548">
        <f>$C548*CI547</f>
        <v/>
      </c>
      <c r="CJ548">
        <f>$C548*CJ547</f>
        <v/>
      </c>
      <c r="CK548">
        <f>$C548*CK547</f>
        <v/>
      </c>
      <c r="CL548">
        <f>$C548*CL547</f>
        <v/>
      </c>
      <c r="CM548">
        <f>$C548*CM547</f>
        <v/>
      </c>
      <c r="CN548">
        <f>$C548*CN547</f>
        <v/>
      </c>
      <c r="CO548">
        <f>$C548*CO547</f>
        <v/>
      </c>
      <c r="CP548">
        <f>$C548*CP547</f>
        <v/>
      </c>
      <c r="CQ548">
        <f>$C548*CQ547</f>
        <v/>
      </c>
      <c r="CR548">
        <f>$C548*CR547</f>
        <v/>
      </c>
      <c r="CS548">
        <f>$C548*CS547</f>
        <v/>
      </c>
      <c r="CT548">
        <f>$C548*CT547</f>
        <v/>
      </c>
      <c r="CU548">
        <f>$C548*CU547</f>
        <v/>
      </c>
      <c r="CV548">
        <f>$C548*CV547</f>
        <v/>
      </c>
      <c r="CW548">
        <f>$C548*CW547</f>
        <v/>
      </c>
      <c r="CX548">
        <f>$C548*CX547</f>
        <v/>
      </c>
      <c r="CY548">
        <f>$C548*CY547</f>
        <v/>
      </c>
      <c r="CZ548">
        <f>$C548*CZ547</f>
        <v/>
      </c>
      <c r="DA548">
        <f>$C548*DA547</f>
        <v/>
      </c>
      <c r="DB548">
        <f>$C548*DB547</f>
        <v/>
      </c>
      <c r="DC548">
        <f>$C548*DC547</f>
        <v/>
      </c>
    </row>
    <row r="549">
      <c r="B549" t="inlineStr">
        <is>
          <t>TSP-404</t>
        </is>
      </c>
      <c r="C549" t="inlineStr">
        <is>
          <t>No. of batches</t>
        </is>
      </c>
      <c r="D549">
        <f>IFERROR(INDEX(PP_Grid[#Data],$DD549,2),0)</f>
        <v/>
      </c>
      <c r="E549">
        <f>IFERROR(INDEX(PP_Grid[#Data],$DD549,3),0)</f>
        <v/>
      </c>
      <c r="F549">
        <f>IFERROR(INDEX(PP_Grid[#Data],$DD549,4),0)</f>
        <v/>
      </c>
      <c r="G549">
        <f>IFERROR(INDEX(PP_Grid[#Data],$DD549,5),0)</f>
        <v/>
      </c>
      <c r="H549">
        <f>IFERROR(INDEX(PP_Grid[#Data],$DD549,6),0)</f>
        <v/>
      </c>
      <c r="I549">
        <f>IFERROR(INDEX(PP_Grid[#Data],$DD549,7),0)</f>
        <v/>
      </c>
      <c r="J549">
        <f>IFERROR(INDEX(PP_Grid[#Data],$DD549,8),0)</f>
        <v/>
      </c>
      <c r="K549">
        <f>IFERROR(INDEX(PP_Grid[#Data],$DD549,9),0)</f>
        <v/>
      </c>
      <c r="L549">
        <f>IFERROR(INDEX(PP_Grid[#Data],$DD549,10),0)</f>
        <v/>
      </c>
      <c r="M549">
        <f>IFERROR(INDEX(PP_Grid[#Data],$DD549,11),0)</f>
        <v/>
      </c>
      <c r="N549">
        <f>IFERROR(INDEX(PP_Grid[#Data],$DD549,12),0)</f>
        <v/>
      </c>
      <c r="O549">
        <f>IFERROR(INDEX(PP_Grid[#Data],$DD549,13),0)</f>
        <v/>
      </c>
      <c r="P549">
        <f>IFERROR(INDEX(PP_Grid[#Data],$DD549,14),0)</f>
        <v/>
      </c>
      <c r="Q549">
        <f>IFERROR(INDEX(PP_Grid[#Data],$DD549,15),0)</f>
        <v/>
      </c>
      <c r="R549">
        <f>IFERROR(INDEX(PP_Grid[#Data],$DD549,16),0)</f>
        <v/>
      </c>
      <c r="S549">
        <f>IFERROR(INDEX(PP_Grid[#Data],$DD549,17),0)</f>
        <v/>
      </c>
      <c r="T549">
        <f>IFERROR(INDEX(PP_Grid[#Data],$DD549,18),0)</f>
        <v/>
      </c>
      <c r="U549">
        <f>IFERROR(INDEX(PP_Grid[#Data],$DD549,19),0)</f>
        <v/>
      </c>
      <c r="V549">
        <f>IFERROR(INDEX(PP_Grid[#Data],$DD549,20),0)</f>
        <v/>
      </c>
      <c r="W549">
        <f>IFERROR(INDEX(PP_Grid[#Data],$DD549,21),0)</f>
        <v/>
      </c>
      <c r="X549">
        <f>IFERROR(INDEX(PP_Grid[#Data],$DD549,22),0)</f>
        <v/>
      </c>
      <c r="Y549">
        <f>IFERROR(INDEX(PP_Grid[#Data],$DD549,23),0)</f>
        <v/>
      </c>
      <c r="Z549">
        <f>IFERROR(INDEX(PP_Grid[#Data],$DD549,24),0)</f>
        <v/>
      </c>
      <c r="AA549">
        <f>IFERROR(INDEX(PP_Grid[#Data],$DD549,25),0)</f>
        <v/>
      </c>
      <c r="AB549">
        <f>IFERROR(INDEX(PP_Grid[#Data],$DD549,26),0)</f>
        <v/>
      </c>
      <c r="AC549">
        <f>IFERROR(INDEX(PP_Grid[#Data],$DD549,27),0)</f>
        <v/>
      </c>
      <c r="AD549">
        <f>IFERROR(INDEX(PP_Grid[#Data],$DD549,28),0)</f>
        <v/>
      </c>
      <c r="AE549">
        <f>IFERROR(INDEX(PP_Grid[#Data],$DD549,29),0)</f>
        <v/>
      </c>
      <c r="AF549">
        <f>IFERROR(INDEX(PP_Grid[#Data],$DD549,30),0)</f>
        <v/>
      </c>
      <c r="AG549">
        <f>IFERROR(INDEX(PP_Grid[#Data],$DD549,31),0)</f>
        <v/>
      </c>
      <c r="AH549">
        <f>IFERROR(INDEX(PP_Grid[#Data],$DD549,32),0)</f>
        <v/>
      </c>
      <c r="AI549">
        <f>IFERROR(INDEX(PP_Grid[#Data],$DD549,33),0)</f>
        <v/>
      </c>
      <c r="AJ549">
        <f>IFERROR(INDEX(PP_Grid[#Data],$DD549,34),0)</f>
        <v/>
      </c>
      <c r="AK549">
        <f>IFERROR(INDEX(PP_Grid[#Data],$DD549,35),0)</f>
        <v/>
      </c>
      <c r="AL549">
        <f>IFERROR(INDEX(PP_Grid[#Data],$DD549,36),0)</f>
        <v/>
      </c>
      <c r="AM549">
        <f>IFERROR(INDEX(PP_Grid[#Data],$DD549,37),0)</f>
        <v/>
      </c>
      <c r="AN549">
        <f>IFERROR(INDEX(PP_Grid[#Data],$DD549,38),0)</f>
        <v/>
      </c>
      <c r="AO549">
        <f>IFERROR(INDEX(PP_Grid[#Data],$DD549,39),0)</f>
        <v/>
      </c>
      <c r="AP549">
        <f>IFERROR(INDEX(PP_Grid[#Data],$DD549,40),0)</f>
        <v/>
      </c>
      <c r="AQ549">
        <f>IFERROR(INDEX(PP_Grid[#Data],$DD549,41),0)</f>
        <v/>
      </c>
      <c r="AR549">
        <f>IFERROR(INDEX(PP_Grid[#Data],$DD549,42),0)</f>
        <v/>
      </c>
      <c r="AS549">
        <f>IFERROR(INDEX(PP_Grid[#Data],$DD549,43),0)</f>
        <v/>
      </c>
      <c r="AT549">
        <f>IFERROR(INDEX(PP_Grid[#Data],$DD549,44),0)</f>
        <v/>
      </c>
      <c r="AU549">
        <f>IFERROR(INDEX(PP_Grid[#Data],$DD549,45),0)</f>
        <v/>
      </c>
      <c r="AV549">
        <f>IFERROR(INDEX(PP_Grid[#Data],$DD549,46),0)</f>
        <v/>
      </c>
      <c r="AW549">
        <f>IFERROR(INDEX(PP_Grid[#Data],$DD549,47),0)</f>
        <v/>
      </c>
      <c r="AX549">
        <f>IFERROR(INDEX(PP_Grid[#Data],$DD549,48),0)</f>
        <v/>
      </c>
      <c r="AY549">
        <f>IFERROR(INDEX(PP_Grid[#Data],$DD549,49),0)</f>
        <v/>
      </c>
      <c r="AZ549">
        <f>IFERROR(INDEX(PP_Grid[#Data],$DD549,50),0)</f>
        <v/>
      </c>
      <c r="BA549">
        <f>IFERROR(INDEX(PP_Grid[#Data],$DD549,51),0)</f>
        <v/>
      </c>
      <c r="BB549">
        <f>IFERROR(INDEX(PP_Grid[#Data],$DD549,52),0)</f>
        <v/>
      </c>
      <c r="BC549">
        <f>IFERROR(INDEX(PP_Grid[#Data],$DD549,53),0)</f>
        <v/>
      </c>
      <c r="BD549">
        <f>IFERROR(INDEX(PP_Grid[#Data],$DD549,54),0)</f>
        <v/>
      </c>
      <c r="BE549">
        <f>IFERROR(INDEX(PP_Grid[#Data],$DD549,55),0)</f>
        <v/>
      </c>
      <c r="BF549">
        <f>IFERROR(INDEX(PP_Grid[#Data],$DD549,56),0)</f>
        <v/>
      </c>
      <c r="BG549">
        <f>IFERROR(INDEX(PP_Grid[#Data],$DD549,57),0)</f>
        <v/>
      </c>
      <c r="BH549">
        <f>IFERROR(INDEX(PP_Grid[#Data],$DD549,58),0)</f>
        <v/>
      </c>
      <c r="BI549">
        <f>IFERROR(INDEX(PP_Grid[#Data],$DD549,59),0)</f>
        <v/>
      </c>
      <c r="BJ549">
        <f>IFERROR(INDEX(PP_Grid[#Data],$DD549,60),0)</f>
        <v/>
      </c>
      <c r="BK549">
        <f>IFERROR(INDEX(PP_Grid[#Data],$DD549,61),0)</f>
        <v/>
      </c>
      <c r="BL549">
        <f>IFERROR(INDEX(PP_Grid[#Data],$DD549,62),0)</f>
        <v/>
      </c>
      <c r="BM549">
        <f>IFERROR(INDEX(PP_Grid[#Data],$DD549,63),0)</f>
        <v/>
      </c>
      <c r="BN549">
        <f>IFERROR(INDEX(PP_Grid[#Data],$DD549,64),0)</f>
        <v/>
      </c>
      <c r="BO549">
        <f>IFERROR(INDEX(PP_Grid[#Data],$DD549,65),0)</f>
        <v/>
      </c>
      <c r="BP549">
        <f>IFERROR(INDEX(PP_Grid[#Data],$DD549,66),0)</f>
        <v/>
      </c>
      <c r="BQ549">
        <f>IFERROR(INDEX(PP_Grid[#Data],$DD549,67),0)</f>
        <v/>
      </c>
      <c r="BR549">
        <f>IFERROR(INDEX(PP_Grid[#Data],$DD549,68),0)</f>
        <v/>
      </c>
      <c r="BS549">
        <f>IFERROR(INDEX(PP_Grid[#Data],$DD549,69),0)</f>
        <v/>
      </c>
      <c r="BT549">
        <f>IFERROR(INDEX(PP_Grid[#Data],$DD549,70),0)</f>
        <v/>
      </c>
      <c r="BU549">
        <f>IFERROR(INDEX(PP_Grid[#Data],$DD549,71),0)</f>
        <v/>
      </c>
      <c r="BV549">
        <f>IFERROR(INDEX(PP_Grid[#Data],$DD549,72),0)</f>
        <v/>
      </c>
      <c r="BW549">
        <f>IFERROR(INDEX(PP_Grid[#Data],$DD549,73),0)</f>
        <v/>
      </c>
      <c r="BX549">
        <f>IFERROR(INDEX(PP_Grid[#Data],$DD549,74),0)</f>
        <v/>
      </c>
      <c r="BY549">
        <f>IFERROR(INDEX(PP_Grid[#Data],$DD549,75),0)</f>
        <v/>
      </c>
      <c r="BZ549">
        <f>IFERROR(INDEX(PP_Grid[#Data],$DD549,76),0)</f>
        <v/>
      </c>
      <c r="CA549">
        <f>IFERROR(INDEX(PP_Grid[#Data],$DD549,77),0)</f>
        <v/>
      </c>
      <c r="CB549">
        <f>IFERROR(INDEX(PP_Grid[#Data],$DD549,78),0)</f>
        <v/>
      </c>
      <c r="CC549">
        <f>IFERROR(INDEX(PP_Grid[#Data],$DD549,79),0)</f>
        <v/>
      </c>
      <c r="CD549">
        <f>IFERROR(INDEX(PP_Grid[#Data],$DD549,80),0)</f>
        <v/>
      </c>
      <c r="CE549">
        <f>IFERROR(INDEX(PP_Grid[#Data],$DD549,81),0)</f>
        <v/>
      </c>
      <c r="CF549">
        <f>IFERROR(INDEX(PP_Grid[#Data],$DD549,82),0)</f>
        <v/>
      </c>
      <c r="CG549">
        <f>IFERROR(INDEX(PP_Grid[#Data],$DD549,83),0)</f>
        <v/>
      </c>
      <c r="CH549">
        <f>IFERROR(INDEX(PP_Grid[#Data],$DD549,84),0)</f>
        <v/>
      </c>
      <c r="CI549">
        <f>IFERROR(INDEX(PP_Grid[#Data],$DD549,85),0)</f>
        <v/>
      </c>
      <c r="CJ549">
        <f>IFERROR(INDEX(PP_Grid[#Data],$DD549,86),0)</f>
        <v/>
      </c>
      <c r="CK549">
        <f>IFERROR(INDEX(PP_Grid[#Data],$DD549,87),0)</f>
        <v/>
      </c>
      <c r="CL549">
        <f>IFERROR(INDEX(PP_Grid[#Data],$DD549,88),0)</f>
        <v/>
      </c>
      <c r="CM549">
        <f>IFERROR(INDEX(PP_Grid[#Data],$DD549,89),0)</f>
        <v/>
      </c>
      <c r="CN549">
        <f>IFERROR(INDEX(PP_Grid[#Data],$DD549,90),0)</f>
        <v/>
      </c>
      <c r="CO549">
        <f>IFERROR(INDEX(PP_Grid[#Data],$DD549,91),0)</f>
        <v/>
      </c>
      <c r="CP549">
        <f>IFERROR(INDEX(PP_Grid[#Data],$DD549,92),0)</f>
        <v/>
      </c>
      <c r="CQ549">
        <f>IFERROR(INDEX(PP_Grid[#Data],$DD549,93),0)</f>
        <v/>
      </c>
      <c r="CR549">
        <f>IFERROR(INDEX(PP_Grid[#Data],$DD549,94),0)</f>
        <v/>
      </c>
      <c r="CS549">
        <f>IFERROR(INDEX(PP_Grid[#Data],$DD549,95),0)</f>
        <v/>
      </c>
      <c r="CT549">
        <f>IFERROR(INDEX(PP_Grid[#Data],$DD549,96),0)</f>
        <v/>
      </c>
      <c r="CU549">
        <f>IFERROR(INDEX(PP_Grid[#Data],$DD549,97),0)</f>
        <v/>
      </c>
      <c r="CV549">
        <f>IFERROR(INDEX(PP_Grid[#Data],$DD549,98),0)</f>
        <v/>
      </c>
      <c r="CW549">
        <f>IFERROR(INDEX(PP_Grid[#Data],$DD549,99),0)</f>
        <v/>
      </c>
      <c r="CX549">
        <f>IFERROR(INDEX(PP_Grid[#Data],$DD549,100),0)</f>
        <v/>
      </c>
      <c r="CY549">
        <f>IFERROR(INDEX(PP_Grid[#Data],$DD549,101),0)</f>
        <v/>
      </c>
      <c r="CZ549">
        <f>IFERROR(INDEX(PP_Grid[#Data],$DD549,102),0)</f>
        <v/>
      </c>
      <c r="DA549">
        <f>IFERROR(INDEX(PP_Grid[#Data],$DD549,103),0)</f>
        <v/>
      </c>
      <c r="DB549">
        <f>IFERROR(INDEX(PP_Grid[#Data],$DD549,104),0)</f>
        <v/>
      </c>
      <c r="DC549">
        <f>IFERROR(INDEX(PP_Grid[#Data],$DD549,105),0)</f>
        <v/>
      </c>
      <c r="DD549" s="12">
        <f>IFERROR(MATCH($B549,PP_Grid[Intermediate],0),99999)</f>
        <v/>
      </c>
    </row>
    <row r="550">
      <c r="B550" t="inlineStr">
        <is>
          <t>使用量(kg)</t>
        </is>
      </c>
      <c r="C550">
        <f>SUMIFS(M_BOM[RM_Qty_Per_Batch],M_BOM[Intermediate],$B549,M_BOM[Part Name],$A518)</f>
        <v/>
      </c>
      <c r="D550">
        <f>$C550*D549</f>
        <v/>
      </c>
      <c r="E550">
        <f>$C550*E549</f>
        <v/>
      </c>
      <c r="F550">
        <f>$C550*F549</f>
        <v/>
      </c>
      <c r="G550">
        <f>$C550*G549</f>
        <v/>
      </c>
      <c r="H550">
        <f>$C550*H549</f>
        <v/>
      </c>
      <c r="I550">
        <f>$C550*I549</f>
        <v/>
      </c>
      <c r="J550">
        <f>$C550*J549</f>
        <v/>
      </c>
      <c r="K550">
        <f>$C550*K549</f>
        <v/>
      </c>
      <c r="L550">
        <f>$C550*L549</f>
        <v/>
      </c>
      <c r="M550">
        <f>$C550*M549</f>
        <v/>
      </c>
      <c r="N550">
        <f>$C550*N549</f>
        <v/>
      </c>
      <c r="O550">
        <f>$C550*O549</f>
        <v/>
      </c>
      <c r="P550">
        <f>$C550*P549</f>
        <v/>
      </c>
      <c r="Q550">
        <f>$C550*Q549</f>
        <v/>
      </c>
      <c r="R550">
        <f>$C550*R549</f>
        <v/>
      </c>
      <c r="S550">
        <f>$C550*S549</f>
        <v/>
      </c>
      <c r="T550">
        <f>$C550*T549</f>
        <v/>
      </c>
      <c r="U550">
        <f>$C550*U549</f>
        <v/>
      </c>
      <c r="V550">
        <f>$C550*V549</f>
        <v/>
      </c>
      <c r="W550">
        <f>$C550*W549</f>
        <v/>
      </c>
      <c r="X550">
        <f>$C550*X549</f>
        <v/>
      </c>
      <c r="Y550">
        <f>$C550*Y549</f>
        <v/>
      </c>
      <c r="Z550">
        <f>$C550*Z549</f>
        <v/>
      </c>
      <c r="AA550">
        <f>$C550*AA549</f>
        <v/>
      </c>
      <c r="AB550">
        <f>$C550*AB549</f>
        <v/>
      </c>
      <c r="AC550">
        <f>$C550*AC549</f>
        <v/>
      </c>
      <c r="AD550">
        <f>$C550*AD549</f>
        <v/>
      </c>
      <c r="AE550">
        <f>$C550*AE549</f>
        <v/>
      </c>
      <c r="AF550">
        <f>$C550*AF549</f>
        <v/>
      </c>
      <c r="AG550">
        <f>$C550*AG549</f>
        <v/>
      </c>
      <c r="AH550">
        <f>$C550*AH549</f>
        <v/>
      </c>
      <c r="AI550">
        <f>$C550*AI549</f>
        <v/>
      </c>
      <c r="AJ550">
        <f>$C550*AJ549</f>
        <v/>
      </c>
      <c r="AK550">
        <f>$C550*AK549</f>
        <v/>
      </c>
      <c r="AL550">
        <f>$C550*AL549</f>
        <v/>
      </c>
      <c r="AM550">
        <f>$C550*AM549</f>
        <v/>
      </c>
      <c r="AN550">
        <f>$C550*AN549</f>
        <v/>
      </c>
      <c r="AO550">
        <f>$C550*AO549</f>
        <v/>
      </c>
      <c r="AP550">
        <f>$C550*AP549</f>
        <v/>
      </c>
      <c r="AQ550">
        <f>$C550*AQ549</f>
        <v/>
      </c>
      <c r="AR550">
        <f>$C550*AR549</f>
        <v/>
      </c>
      <c r="AS550">
        <f>$C550*AS549</f>
        <v/>
      </c>
      <c r="AT550">
        <f>$C550*AT549</f>
        <v/>
      </c>
      <c r="AU550">
        <f>$C550*AU549</f>
        <v/>
      </c>
      <c r="AV550">
        <f>$C550*AV549</f>
        <v/>
      </c>
      <c r="AW550">
        <f>$C550*AW549</f>
        <v/>
      </c>
      <c r="AX550">
        <f>$C550*AX549</f>
        <v/>
      </c>
      <c r="AY550">
        <f>$C550*AY549</f>
        <v/>
      </c>
      <c r="AZ550">
        <f>$C550*AZ549</f>
        <v/>
      </c>
      <c r="BA550">
        <f>$C550*BA549</f>
        <v/>
      </c>
      <c r="BB550">
        <f>$C550*BB549</f>
        <v/>
      </c>
      <c r="BC550">
        <f>$C550*BC549</f>
        <v/>
      </c>
      <c r="BD550">
        <f>$C550*BD549</f>
        <v/>
      </c>
      <c r="BE550">
        <f>$C550*BE549</f>
        <v/>
      </c>
      <c r="BF550">
        <f>$C550*BF549</f>
        <v/>
      </c>
      <c r="BG550">
        <f>$C550*BG549</f>
        <v/>
      </c>
      <c r="BH550">
        <f>$C550*BH549</f>
        <v/>
      </c>
      <c r="BI550">
        <f>$C550*BI549</f>
        <v/>
      </c>
      <c r="BJ550">
        <f>$C550*BJ549</f>
        <v/>
      </c>
      <c r="BK550">
        <f>$C550*BK549</f>
        <v/>
      </c>
      <c r="BL550">
        <f>$C550*BL549</f>
        <v/>
      </c>
      <c r="BM550">
        <f>$C550*BM549</f>
        <v/>
      </c>
      <c r="BN550">
        <f>$C550*BN549</f>
        <v/>
      </c>
      <c r="BO550">
        <f>$C550*BO549</f>
        <v/>
      </c>
      <c r="BP550">
        <f>$C550*BP549</f>
        <v/>
      </c>
      <c r="BQ550">
        <f>$C550*BQ549</f>
        <v/>
      </c>
      <c r="BR550">
        <f>$C550*BR549</f>
        <v/>
      </c>
      <c r="BS550">
        <f>$C550*BS549</f>
        <v/>
      </c>
      <c r="BT550">
        <f>$C550*BT549</f>
        <v/>
      </c>
      <c r="BU550">
        <f>$C550*BU549</f>
        <v/>
      </c>
      <c r="BV550">
        <f>$C550*BV549</f>
        <v/>
      </c>
      <c r="BW550">
        <f>$C550*BW549</f>
        <v/>
      </c>
      <c r="BX550">
        <f>$C550*BX549</f>
        <v/>
      </c>
      <c r="BY550">
        <f>$C550*BY549</f>
        <v/>
      </c>
      <c r="BZ550">
        <f>$C550*BZ549</f>
        <v/>
      </c>
      <c r="CA550">
        <f>$C550*CA549</f>
        <v/>
      </c>
      <c r="CB550">
        <f>$C550*CB549</f>
        <v/>
      </c>
      <c r="CC550">
        <f>$C550*CC549</f>
        <v/>
      </c>
      <c r="CD550">
        <f>$C550*CD549</f>
        <v/>
      </c>
      <c r="CE550">
        <f>$C550*CE549</f>
        <v/>
      </c>
      <c r="CF550">
        <f>$C550*CF549</f>
        <v/>
      </c>
      <c r="CG550">
        <f>$C550*CG549</f>
        <v/>
      </c>
      <c r="CH550">
        <f>$C550*CH549</f>
        <v/>
      </c>
      <c r="CI550">
        <f>$C550*CI549</f>
        <v/>
      </c>
      <c r="CJ550">
        <f>$C550*CJ549</f>
        <v/>
      </c>
      <c r="CK550">
        <f>$C550*CK549</f>
        <v/>
      </c>
      <c r="CL550">
        <f>$C550*CL549</f>
        <v/>
      </c>
      <c r="CM550">
        <f>$C550*CM549</f>
        <v/>
      </c>
      <c r="CN550">
        <f>$C550*CN549</f>
        <v/>
      </c>
      <c r="CO550">
        <f>$C550*CO549</f>
        <v/>
      </c>
      <c r="CP550">
        <f>$C550*CP549</f>
        <v/>
      </c>
      <c r="CQ550">
        <f>$C550*CQ549</f>
        <v/>
      </c>
      <c r="CR550">
        <f>$C550*CR549</f>
        <v/>
      </c>
      <c r="CS550">
        <f>$C550*CS549</f>
        <v/>
      </c>
      <c r="CT550">
        <f>$C550*CT549</f>
        <v/>
      </c>
      <c r="CU550">
        <f>$C550*CU549</f>
        <v/>
      </c>
      <c r="CV550">
        <f>$C550*CV549</f>
        <v/>
      </c>
      <c r="CW550">
        <f>$C550*CW549</f>
        <v/>
      </c>
      <c r="CX550">
        <f>$C550*CX549</f>
        <v/>
      </c>
      <c r="CY550">
        <f>$C550*CY549</f>
        <v/>
      </c>
      <c r="CZ550">
        <f>$C550*CZ549</f>
        <v/>
      </c>
      <c r="DA550">
        <f>$C550*DA549</f>
        <v/>
      </c>
      <c r="DB550">
        <f>$C550*DB549</f>
        <v/>
      </c>
      <c r="DC550">
        <f>$C550*DC549</f>
        <v/>
      </c>
    </row>
    <row r="551">
      <c r="B551" t="inlineStr">
        <is>
          <t>TSP-405</t>
        </is>
      </c>
      <c r="C551" t="inlineStr">
        <is>
          <t>No. of batches</t>
        </is>
      </c>
      <c r="D551">
        <f>IFERROR(INDEX(PP_Grid[#Data],$DD551,2),0)</f>
        <v/>
      </c>
      <c r="E551">
        <f>IFERROR(INDEX(PP_Grid[#Data],$DD551,3),0)</f>
        <v/>
      </c>
      <c r="F551">
        <f>IFERROR(INDEX(PP_Grid[#Data],$DD551,4),0)</f>
        <v/>
      </c>
      <c r="G551">
        <f>IFERROR(INDEX(PP_Grid[#Data],$DD551,5),0)</f>
        <v/>
      </c>
      <c r="H551">
        <f>IFERROR(INDEX(PP_Grid[#Data],$DD551,6),0)</f>
        <v/>
      </c>
      <c r="I551">
        <f>IFERROR(INDEX(PP_Grid[#Data],$DD551,7),0)</f>
        <v/>
      </c>
      <c r="J551">
        <f>IFERROR(INDEX(PP_Grid[#Data],$DD551,8),0)</f>
        <v/>
      </c>
      <c r="K551">
        <f>IFERROR(INDEX(PP_Grid[#Data],$DD551,9),0)</f>
        <v/>
      </c>
      <c r="L551">
        <f>IFERROR(INDEX(PP_Grid[#Data],$DD551,10),0)</f>
        <v/>
      </c>
      <c r="M551">
        <f>IFERROR(INDEX(PP_Grid[#Data],$DD551,11),0)</f>
        <v/>
      </c>
      <c r="N551">
        <f>IFERROR(INDEX(PP_Grid[#Data],$DD551,12),0)</f>
        <v/>
      </c>
      <c r="O551">
        <f>IFERROR(INDEX(PP_Grid[#Data],$DD551,13),0)</f>
        <v/>
      </c>
      <c r="P551">
        <f>IFERROR(INDEX(PP_Grid[#Data],$DD551,14),0)</f>
        <v/>
      </c>
      <c r="Q551">
        <f>IFERROR(INDEX(PP_Grid[#Data],$DD551,15),0)</f>
        <v/>
      </c>
      <c r="R551">
        <f>IFERROR(INDEX(PP_Grid[#Data],$DD551,16),0)</f>
        <v/>
      </c>
      <c r="S551">
        <f>IFERROR(INDEX(PP_Grid[#Data],$DD551,17),0)</f>
        <v/>
      </c>
      <c r="T551">
        <f>IFERROR(INDEX(PP_Grid[#Data],$DD551,18),0)</f>
        <v/>
      </c>
      <c r="U551">
        <f>IFERROR(INDEX(PP_Grid[#Data],$DD551,19),0)</f>
        <v/>
      </c>
      <c r="V551">
        <f>IFERROR(INDEX(PP_Grid[#Data],$DD551,20),0)</f>
        <v/>
      </c>
      <c r="W551">
        <f>IFERROR(INDEX(PP_Grid[#Data],$DD551,21),0)</f>
        <v/>
      </c>
      <c r="X551">
        <f>IFERROR(INDEX(PP_Grid[#Data],$DD551,22),0)</f>
        <v/>
      </c>
      <c r="Y551">
        <f>IFERROR(INDEX(PP_Grid[#Data],$DD551,23),0)</f>
        <v/>
      </c>
      <c r="Z551">
        <f>IFERROR(INDEX(PP_Grid[#Data],$DD551,24),0)</f>
        <v/>
      </c>
      <c r="AA551">
        <f>IFERROR(INDEX(PP_Grid[#Data],$DD551,25),0)</f>
        <v/>
      </c>
      <c r="AB551">
        <f>IFERROR(INDEX(PP_Grid[#Data],$DD551,26),0)</f>
        <v/>
      </c>
      <c r="AC551">
        <f>IFERROR(INDEX(PP_Grid[#Data],$DD551,27),0)</f>
        <v/>
      </c>
      <c r="AD551">
        <f>IFERROR(INDEX(PP_Grid[#Data],$DD551,28),0)</f>
        <v/>
      </c>
      <c r="AE551">
        <f>IFERROR(INDEX(PP_Grid[#Data],$DD551,29),0)</f>
        <v/>
      </c>
      <c r="AF551">
        <f>IFERROR(INDEX(PP_Grid[#Data],$DD551,30),0)</f>
        <v/>
      </c>
      <c r="AG551">
        <f>IFERROR(INDEX(PP_Grid[#Data],$DD551,31),0)</f>
        <v/>
      </c>
      <c r="AH551">
        <f>IFERROR(INDEX(PP_Grid[#Data],$DD551,32),0)</f>
        <v/>
      </c>
      <c r="AI551">
        <f>IFERROR(INDEX(PP_Grid[#Data],$DD551,33),0)</f>
        <v/>
      </c>
      <c r="AJ551">
        <f>IFERROR(INDEX(PP_Grid[#Data],$DD551,34),0)</f>
        <v/>
      </c>
      <c r="AK551">
        <f>IFERROR(INDEX(PP_Grid[#Data],$DD551,35),0)</f>
        <v/>
      </c>
      <c r="AL551">
        <f>IFERROR(INDEX(PP_Grid[#Data],$DD551,36),0)</f>
        <v/>
      </c>
      <c r="AM551">
        <f>IFERROR(INDEX(PP_Grid[#Data],$DD551,37),0)</f>
        <v/>
      </c>
      <c r="AN551">
        <f>IFERROR(INDEX(PP_Grid[#Data],$DD551,38),0)</f>
        <v/>
      </c>
      <c r="AO551">
        <f>IFERROR(INDEX(PP_Grid[#Data],$DD551,39),0)</f>
        <v/>
      </c>
      <c r="AP551">
        <f>IFERROR(INDEX(PP_Grid[#Data],$DD551,40),0)</f>
        <v/>
      </c>
      <c r="AQ551">
        <f>IFERROR(INDEX(PP_Grid[#Data],$DD551,41),0)</f>
        <v/>
      </c>
      <c r="AR551">
        <f>IFERROR(INDEX(PP_Grid[#Data],$DD551,42),0)</f>
        <v/>
      </c>
      <c r="AS551">
        <f>IFERROR(INDEX(PP_Grid[#Data],$DD551,43),0)</f>
        <v/>
      </c>
      <c r="AT551">
        <f>IFERROR(INDEX(PP_Grid[#Data],$DD551,44),0)</f>
        <v/>
      </c>
      <c r="AU551">
        <f>IFERROR(INDEX(PP_Grid[#Data],$DD551,45),0)</f>
        <v/>
      </c>
      <c r="AV551">
        <f>IFERROR(INDEX(PP_Grid[#Data],$DD551,46),0)</f>
        <v/>
      </c>
      <c r="AW551">
        <f>IFERROR(INDEX(PP_Grid[#Data],$DD551,47),0)</f>
        <v/>
      </c>
      <c r="AX551">
        <f>IFERROR(INDEX(PP_Grid[#Data],$DD551,48),0)</f>
        <v/>
      </c>
      <c r="AY551">
        <f>IFERROR(INDEX(PP_Grid[#Data],$DD551,49),0)</f>
        <v/>
      </c>
      <c r="AZ551">
        <f>IFERROR(INDEX(PP_Grid[#Data],$DD551,50),0)</f>
        <v/>
      </c>
      <c r="BA551">
        <f>IFERROR(INDEX(PP_Grid[#Data],$DD551,51),0)</f>
        <v/>
      </c>
      <c r="BB551">
        <f>IFERROR(INDEX(PP_Grid[#Data],$DD551,52),0)</f>
        <v/>
      </c>
      <c r="BC551">
        <f>IFERROR(INDEX(PP_Grid[#Data],$DD551,53),0)</f>
        <v/>
      </c>
      <c r="BD551">
        <f>IFERROR(INDEX(PP_Grid[#Data],$DD551,54),0)</f>
        <v/>
      </c>
      <c r="BE551">
        <f>IFERROR(INDEX(PP_Grid[#Data],$DD551,55),0)</f>
        <v/>
      </c>
      <c r="BF551">
        <f>IFERROR(INDEX(PP_Grid[#Data],$DD551,56),0)</f>
        <v/>
      </c>
      <c r="BG551">
        <f>IFERROR(INDEX(PP_Grid[#Data],$DD551,57),0)</f>
        <v/>
      </c>
      <c r="BH551">
        <f>IFERROR(INDEX(PP_Grid[#Data],$DD551,58),0)</f>
        <v/>
      </c>
      <c r="BI551">
        <f>IFERROR(INDEX(PP_Grid[#Data],$DD551,59),0)</f>
        <v/>
      </c>
      <c r="BJ551">
        <f>IFERROR(INDEX(PP_Grid[#Data],$DD551,60),0)</f>
        <v/>
      </c>
      <c r="BK551">
        <f>IFERROR(INDEX(PP_Grid[#Data],$DD551,61),0)</f>
        <v/>
      </c>
      <c r="BL551">
        <f>IFERROR(INDEX(PP_Grid[#Data],$DD551,62),0)</f>
        <v/>
      </c>
      <c r="BM551">
        <f>IFERROR(INDEX(PP_Grid[#Data],$DD551,63),0)</f>
        <v/>
      </c>
      <c r="BN551">
        <f>IFERROR(INDEX(PP_Grid[#Data],$DD551,64),0)</f>
        <v/>
      </c>
      <c r="BO551">
        <f>IFERROR(INDEX(PP_Grid[#Data],$DD551,65),0)</f>
        <v/>
      </c>
      <c r="BP551">
        <f>IFERROR(INDEX(PP_Grid[#Data],$DD551,66),0)</f>
        <v/>
      </c>
      <c r="BQ551">
        <f>IFERROR(INDEX(PP_Grid[#Data],$DD551,67),0)</f>
        <v/>
      </c>
      <c r="BR551">
        <f>IFERROR(INDEX(PP_Grid[#Data],$DD551,68),0)</f>
        <v/>
      </c>
      <c r="BS551">
        <f>IFERROR(INDEX(PP_Grid[#Data],$DD551,69),0)</f>
        <v/>
      </c>
      <c r="BT551">
        <f>IFERROR(INDEX(PP_Grid[#Data],$DD551,70),0)</f>
        <v/>
      </c>
      <c r="BU551">
        <f>IFERROR(INDEX(PP_Grid[#Data],$DD551,71),0)</f>
        <v/>
      </c>
      <c r="BV551">
        <f>IFERROR(INDEX(PP_Grid[#Data],$DD551,72),0)</f>
        <v/>
      </c>
      <c r="BW551">
        <f>IFERROR(INDEX(PP_Grid[#Data],$DD551,73),0)</f>
        <v/>
      </c>
      <c r="BX551">
        <f>IFERROR(INDEX(PP_Grid[#Data],$DD551,74),0)</f>
        <v/>
      </c>
      <c r="BY551">
        <f>IFERROR(INDEX(PP_Grid[#Data],$DD551,75),0)</f>
        <v/>
      </c>
      <c r="BZ551">
        <f>IFERROR(INDEX(PP_Grid[#Data],$DD551,76),0)</f>
        <v/>
      </c>
      <c r="CA551">
        <f>IFERROR(INDEX(PP_Grid[#Data],$DD551,77),0)</f>
        <v/>
      </c>
      <c r="CB551">
        <f>IFERROR(INDEX(PP_Grid[#Data],$DD551,78),0)</f>
        <v/>
      </c>
      <c r="CC551">
        <f>IFERROR(INDEX(PP_Grid[#Data],$DD551,79),0)</f>
        <v/>
      </c>
      <c r="CD551">
        <f>IFERROR(INDEX(PP_Grid[#Data],$DD551,80),0)</f>
        <v/>
      </c>
      <c r="CE551">
        <f>IFERROR(INDEX(PP_Grid[#Data],$DD551,81),0)</f>
        <v/>
      </c>
      <c r="CF551">
        <f>IFERROR(INDEX(PP_Grid[#Data],$DD551,82),0)</f>
        <v/>
      </c>
      <c r="CG551">
        <f>IFERROR(INDEX(PP_Grid[#Data],$DD551,83),0)</f>
        <v/>
      </c>
      <c r="CH551">
        <f>IFERROR(INDEX(PP_Grid[#Data],$DD551,84),0)</f>
        <v/>
      </c>
      <c r="CI551">
        <f>IFERROR(INDEX(PP_Grid[#Data],$DD551,85),0)</f>
        <v/>
      </c>
      <c r="CJ551">
        <f>IFERROR(INDEX(PP_Grid[#Data],$DD551,86),0)</f>
        <v/>
      </c>
      <c r="CK551">
        <f>IFERROR(INDEX(PP_Grid[#Data],$DD551,87),0)</f>
        <v/>
      </c>
      <c r="CL551">
        <f>IFERROR(INDEX(PP_Grid[#Data],$DD551,88),0)</f>
        <v/>
      </c>
      <c r="CM551">
        <f>IFERROR(INDEX(PP_Grid[#Data],$DD551,89),0)</f>
        <v/>
      </c>
      <c r="CN551">
        <f>IFERROR(INDEX(PP_Grid[#Data],$DD551,90),0)</f>
        <v/>
      </c>
      <c r="CO551">
        <f>IFERROR(INDEX(PP_Grid[#Data],$DD551,91),0)</f>
        <v/>
      </c>
      <c r="CP551">
        <f>IFERROR(INDEX(PP_Grid[#Data],$DD551,92),0)</f>
        <v/>
      </c>
      <c r="CQ551">
        <f>IFERROR(INDEX(PP_Grid[#Data],$DD551,93),0)</f>
        <v/>
      </c>
      <c r="CR551">
        <f>IFERROR(INDEX(PP_Grid[#Data],$DD551,94),0)</f>
        <v/>
      </c>
      <c r="CS551">
        <f>IFERROR(INDEX(PP_Grid[#Data],$DD551,95),0)</f>
        <v/>
      </c>
      <c r="CT551">
        <f>IFERROR(INDEX(PP_Grid[#Data],$DD551,96),0)</f>
        <v/>
      </c>
      <c r="CU551">
        <f>IFERROR(INDEX(PP_Grid[#Data],$DD551,97),0)</f>
        <v/>
      </c>
      <c r="CV551">
        <f>IFERROR(INDEX(PP_Grid[#Data],$DD551,98),0)</f>
        <v/>
      </c>
      <c r="CW551">
        <f>IFERROR(INDEX(PP_Grid[#Data],$DD551,99),0)</f>
        <v/>
      </c>
      <c r="CX551">
        <f>IFERROR(INDEX(PP_Grid[#Data],$DD551,100),0)</f>
        <v/>
      </c>
      <c r="CY551">
        <f>IFERROR(INDEX(PP_Grid[#Data],$DD551,101),0)</f>
        <v/>
      </c>
      <c r="CZ551">
        <f>IFERROR(INDEX(PP_Grid[#Data],$DD551,102),0)</f>
        <v/>
      </c>
      <c r="DA551">
        <f>IFERROR(INDEX(PP_Grid[#Data],$DD551,103),0)</f>
        <v/>
      </c>
      <c r="DB551">
        <f>IFERROR(INDEX(PP_Grid[#Data],$DD551,104),0)</f>
        <v/>
      </c>
      <c r="DC551">
        <f>IFERROR(INDEX(PP_Grid[#Data],$DD551,105),0)</f>
        <v/>
      </c>
      <c r="DD551" s="12">
        <f>IFERROR(MATCH($B551,PP_Grid[Intermediate],0),99999)</f>
        <v/>
      </c>
    </row>
    <row r="552">
      <c r="B552" t="inlineStr">
        <is>
          <t>使用量(kg)</t>
        </is>
      </c>
      <c r="C552">
        <f>SUMIFS(M_BOM[RM_Qty_Per_Batch],M_BOM[Intermediate],$B551,M_BOM[Part Name],$A518)</f>
        <v/>
      </c>
      <c r="D552">
        <f>$C552*D551</f>
        <v/>
      </c>
      <c r="E552">
        <f>$C552*E551</f>
        <v/>
      </c>
      <c r="F552">
        <f>$C552*F551</f>
        <v/>
      </c>
      <c r="G552">
        <f>$C552*G551</f>
        <v/>
      </c>
      <c r="H552">
        <f>$C552*H551</f>
        <v/>
      </c>
      <c r="I552">
        <f>$C552*I551</f>
        <v/>
      </c>
      <c r="J552">
        <f>$C552*J551</f>
        <v/>
      </c>
      <c r="K552">
        <f>$C552*K551</f>
        <v/>
      </c>
      <c r="L552">
        <f>$C552*L551</f>
        <v/>
      </c>
      <c r="M552">
        <f>$C552*M551</f>
        <v/>
      </c>
      <c r="N552">
        <f>$C552*N551</f>
        <v/>
      </c>
      <c r="O552">
        <f>$C552*O551</f>
        <v/>
      </c>
      <c r="P552">
        <f>$C552*P551</f>
        <v/>
      </c>
      <c r="Q552">
        <f>$C552*Q551</f>
        <v/>
      </c>
      <c r="R552">
        <f>$C552*R551</f>
        <v/>
      </c>
      <c r="S552">
        <f>$C552*S551</f>
        <v/>
      </c>
      <c r="T552">
        <f>$C552*T551</f>
        <v/>
      </c>
      <c r="U552">
        <f>$C552*U551</f>
        <v/>
      </c>
      <c r="V552">
        <f>$C552*V551</f>
        <v/>
      </c>
      <c r="W552">
        <f>$C552*W551</f>
        <v/>
      </c>
      <c r="X552">
        <f>$C552*X551</f>
        <v/>
      </c>
      <c r="Y552">
        <f>$C552*Y551</f>
        <v/>
      </c>
      <c r="Z552">
        <f>$C552*Z551</f>
        <v/>
      </c>
      <c r="AA552">
        <f>$C552*AA551</f>
        <v/>
      </c>
      <c r="AB552">
        <f>$C552*AB551</f>
        <v/>
      </c>
      <c r="AC552">
        <f>$C552*AC551</f>
        <v/>
      </c>
      <c r="AD552">
        <f>$C552*AD551</f>
        <v/>
      </c>
      <c r="AE552">
        <f>$C552*AE551</f>
        <v/>
      </c>
      <c r="AF552">
        <f>$C552*AF551</f>
        <v/>
      </c>
      <c r="AG552">
        <f>$C552*AG551</f>
        <v/>
      </c>
      <c r="AH552">
        <f>$C552*AH551</f>
        <v/>
      </c>
      <c r="AI552">
        <f>$C552*AI551</f>
        <v/>
      </c>
      <c r="AJ552">
        <f>$C552*AJ551</f>
        <v/>
      </c>
      <c r="AK552">
        <f>$C552*AK551</f>
        <v/>
      </c>
      <c r="AL552">
        <f>$C552*AL551</f>
        <v/>
      </c>
      <c r="AM552">
        <f>$C552*AM551</f>
        <v/>
      </c>
      <c r="AN552">
        <f>$C552*AN551</f>
        <v/>
      </c>
      <c r="AO552">
        <f>$C552*AO551</f>
        <v/>
      </c>
      <c r="AP552">
        <f>$C552*AP551</f>
        <v/>
      </c>
      <c r="AQ552">
        <f>$C552*AQ551</f>
        <v/>
      </c>
      <c r="AR552">
        <f>$C552*AR551</f>
        <v/>
      </c>
      <c r="AS552">
        <f>$C552*AS551</f>
        <v/>
      </c>
      <c r="AT552">
        <f>$C552*AT551</f>
        <v/>
      </c>
      <c r="AU552">
        <f>$C552*AU551</f>
        <v/>
      </c>
      <c r="AV552">
        <f>$C552*AV551</f>
        <v/>
      </c>
      <c r="AW552">
        <f>$C552*AW551</f>
        <v/>
      </c>
      <c r="AX552">
        <f>$C552*AX551</f>
        <v/>
      </c>
      <c r="AY552">
        <f>$C552*AY551</f>
        <v/>
      </c>
      <c r="AZ552">
        <f>$C552*AZ551</f>
        <v/>
      </c>
      <c r="BA552">
        <f>$C552*BA551</f>
        <v/>
      </c>
      <c r="BB552">
        <f>$C552*BB551</f>
        <v/>
      </c>
      <c r="BC552">
        <f>$C552*BC551</f>
        <v/>
      </c>
      <c r="BD552">
        <f>$C552*BD551</f>
        <v/>
      </c>
      <c r="BE552">
        <f>$C552*BE551</f>
        <v/>
      </c>
      <c r="BF552">
        <f>$C552*BF551</f>
        <v/>
      </c>
      <c r="BG552">
        <f>$C552*BG551</f>
        <v/>
      </c>
      <c r="BH552">
        <f>$C552*BH551</f>
        <v/>
      </c>
      <c r="BI552">
        <f>$C552*BI551</f>
        <v/>
      </c>
      <c r="BJ552">
        <f>$C552*BJ551</f>
        <v/>
      </c>
      <c r="BK552">
        <f>$C552*BK551</f>
        <v/>
      </c>
      <c r="BL552">
        <f>$C552*BL551</f>
        <v/>
      </c>
      <c r="BM552">
        <f>$C552*BM551</f>
        <v/>
      </c>
      <c r="BN552">
        <f>$C552*BN551</f>
        <v/>
      </c>
      <c r="BO552">
        <f>$C552*BO551</f>
        <v/>
      </c>
      <c r="BP552">
        <f>$C552*BP551</f>
        <v/>
      </c>
      <c r="BQ552">
        <f>$C552*BQ551</f>
        <v/>
      </c>
      <c r="BR552">
        <f>$C552*BR551</f>
        <v/>
      </c>
      <c r="BS552">
        <f>$C552*BS551</f>
        <v/>
      </c>
      <c r="BT552">
        <f>$C552*BT551</f>
        <v/>
      </c>
      <c r="BU552">
        <f>$C552*BU551</f>
        <v/>
      </c>
      <c r="BV552">
        <f>$C552*BV551</f>
        <v/>
      </c>
      <c r="BW552">
        <f>$C552*BW551</f>
        <v/>
      </c>
      <c r="BX552">
        <f>$C552*BX551</f>
        <v/>
      </c>
      <c r="BY552">
        <f>$C552*BY551</f>
        <v/>
      </c>
      <c r="BZ552">
        <f>$C552*BZ551</f>
        <v/>
      </c>
      <c r="CA552">
        <f>$C552*CA551</f>
        <v/>
      </c>
      <c r="CB552">
        <f>$C552*CB551</f>
        <v/>
      </c>
      <c r="CC552">
        <f>$C552*CC551</f>
        <v/>
      </c>
      <c r="CD552">
        <f>$C552*CD551</f>
        <v/>
      </c>
      <c r="CE552">
        <f>$C552*CE551</f>
        <v/>
      </c>
      <c r="CF552">
        <f>$C552*CF551</f>
        <v/>
      </c>
      <c r="CG552">
        <f>$C552*CG551</f>
        <v/>
      </c>
      <c r="CH552">
        <f>$C552*CH551</f>
        <v/>
      </c>
      <c r="CI552">
        <f>$C552*CI551</f>
        <v/>
      </c>
      <c r="CJ552">
        <f>$C552*CJ551</f>
        <v/>
      </c>
      <c r="CK552">
        <f>$C552*CK551</f>
        <v/>
      </c>
      <c r="CL552">
        <f>$C552*CL551</f>
        <v/>
      </c>
      <c r="CM552">
        <f>$C552*CM551</f>
        <v/>
      </c>
      <c r="CN552">
        <f>$C552*CN551</f>
        <v/>
      </c>
      <c r="CO552">
        <f>$C552*CO551</f>
        <v/>
      </c>
      <c r="CP552">
        <f>$C552*CP551</f>
        <v/>
      </c>
      <c r="CQ552">
        <f>$C552*CQ551</f>
        <v/>
      </c>
      <c r="CR552">
        <f>$C552*CR551</f>
        <v/>
      </c>
      <c r="CS552">
        <f>$C552*CS551</f>
        <v/>
      </c>
      <c r="CT552">
        <f>$C552*CT551</f>
        <v/>
      </c>
      <c r="CU552">
        <f>$C552*CU551</f>
        <v/>
      </c>
      <c r="CV552">
        <f>$C552*CV551</f>
        <v/>
      </c>
      <c r="CW552">
        <f>$C552*CW551</f>
        <v/>
      </c>
      <c r="CX552">
        <f>$C552*CX551</f>
        <v/>
      </c>
      <c r="CY552">
        <f>$C552*CY551</f>
        <v/>
      </c>
      <c r="CZ552">
        <f>$C552*CZ551</f>
        <v/>
      </c>
      <c r="DA552">
        <f>$C552*DA551</f>
        <v/>
      </c>
      <c r="DB552">
        <f>$C552*DB551</f>
        <v/>
      </c>
      <c r="DC552">
        <f>$C552*DC551</f>
        <v/>
      </c>
    </row>
    <row r="553">
      <c r="B553" t="inlineStr">
        <is>
          <t>TSP-544</t>
        </is>
      </c>
      <c r="C553" t="inlineStr">
        <is>
          <t>No. of batches</t>
        </is>
      </c>
      <c r="D553">
        <f>IFERROR(INDEX(PP_Grid[#Data],$DD553,2),0)</f>
        <v/>
      </c>
      <c r="E553">
        <f>IFERROR(INDEX(PP_Grid[#Data],$DD553,3),0)</f>
        <v/>
      </c>
      <c r="F553">
        <f>IFERROR(INDEX(PP_Grid[#Data],$DD553,4),0)</f>
        <v/>
      </c>
      <c r="G553">
        <f>IFERROR(INDEX(PP_Grid[#Data],$DD553,5),0)</f>
        <v/>
      </c>
      <c r="H553">
        <f>IFERROR(INDEX(PP_Grid[#Data],$DD553,6),0)</f>
        <v/>
      </c>
      <c r="I553">
        <f>IFERROR(INDEX(PP_Grid[#Data],$DD553,7),0)</f>
        <v/>
      </c>
      <c r="J553">
        <f>IFERROR(INDEX(PP_Grid[#Data],$DD553,8),0)</f>
        <v/>
      </c>
      <c r="K553">
        <f>IFERROR(INDEX(PP_Grid[#Data],$DD553,9),0)</f>
        <v/>
      </c>
      <c r="L553">
        <f>IFERROR(INDEX(PP_Grid[#Data],$DD553,10),0)</f>
        <v/>
      </c>
      <c r="M553">
        <f>IFERROR(INDEX(PP_Grid[#Data],$DD553,11),0)</f>
        <v/>
      </c>
      <c r="N553">
        <f>IFERROR(INDEX(PP_Grid[#Data],$DD553,12),0)</f>
        <v/>
      </c>
      <c r="O553">
        <f>IFERROR(INDEX(PP_Grid[#Data],$DD553,13),0)</f>
        <v/>
      </c>
      <c r="P553">
        <f>IFERROR(INDEX(PP_Grid[#Data],$DD553,14),0)</f>
        <v/>
      </c>
      <c r="Q553">
        <f>IFERROR(INDEX(PP_Grid[#Data],$DD553,15),0)</f>
        <v/>
      </c>
      <c r="R553">
        <f>IFERROR(INDEX(PP_Grid[#Data],$DD553,16),0)</f>
        <v/>
      </c>
      <c r="S553">
        <f>IFERROR(INDEX(PP_Grid[#Data],$DD553,17),0)</f>
        <v/>
      </c>
      <c r="T553">
        <f>IFERROR(INDEX(PP_Grid[#Data],$DD553,18),0)</f>
        <v/>
      </c>
      <c r="U553">
        <f>IFERROR(INDEX(PP_Grid[#Data],$DD553,19),0)</f>
        <v/>
      </c>
      <c r="V553">
        <f>IFERROR(INDEX(PP_Grid[#Data],$DD553,20),0)</f>
        <v/>
      </c>
      <c r="W553">
        <f>IFERROR(INDEX(PP_Grid[#Data],$DD553,21),0)</f>
        <v/>
      </c>
      <c r="X553">
        <f>IFERROR(INDEX(PP_Grid[#Data],$DD553,22),0)</f>
        <v/>
      </c>
      <c r="Y553">
        <f>IFERROR(INDEX(PP_Grid[#Data],$DD553,23),0)</f>
        <v/>
      </c>
      <c r="Z553">
        <f>IFERROR(INDEX(PP_Grid[#Data],$DD553,24),0)</f>
        <v/>
      </c>
      <c r="AA553">
        <f>IFERROR(INDEX(PP_Grid[#Data],$DD553,25),0)</f>
        <v/>
      </c>
      <c r="AB553">
        <f>IFERROR(INDEX(PP_Grid[#Data],$DD553,26),0)</f>
        <v/>
      </c>
      <c r="AC553">
        <f>IFERROR(INDEX(PP_Grid[#Data],$DD553,27),0)</f>
        <v/>
      </c>
      <c r="AD553">
        <f>IFERROR(INDEX(PP_Grid[#Data],$DD553,28),0)</f>
        <v/>
      </c>
      <c r="AE553">
        <f>IFERROR(INDEX(PP_Grid[#Data],$DD553,29),0)</f>
        <v/>
      </c>
      <c r="AF553">
        <f>IFERROR(INDEX(PP_Grid[#Data],$DD553,30),0)</f>
        <v/>
      </c>
      <c r="AG553">
        <f>IFERROR(INDEX(PP_Grid[#Data],$DD553,31),0)</f>
        <v/>
      </c>
      <c r="AH553">
        <f>IFERROR(INDEX(PP_Grid[#Data],$DD553,32),0)</f>
        <v/>
      </c>
      <c r="AI553">
        <f>IFERROR(INDEX(PP_Grid[#Data],$DD553,33),0)</f>
        <v/>
      </c>
      <c r="AJ553">
        <f>IFERROR(INDEX(PP_Grid[#Data],$DD553,34),0)</f>
        <v/>
      </c>
      <c r="AK553">
        <f>IFERROR(INDEX(PP_Grid[#Data],$DD553,35),0)</f>
        <v/>
      </c>
      <c r="AL553">
        <f>IFERROR(INDEX(PP_Grid[#Data],$DD553,36),0)</f>
        <v/>
      </c>
      <c r="AM553">
        <f>IFERROR(INDEX(PP_Grid[#Data],$DD553,37),0)</f>
        <v/>
      </c>
      <c r="AN553">
        <f>IFERROR(INDEX(PP_Grid[#Data],$DD553,38),0)</f>
        <v/>
      </c>
      <c r="AO553">
        <f>IFERROR(INDEX(PP_Grid[#Data],$DD553,39),0)</f>
        <v/>
      </c>
      <c r="AP553">
        <f>IFERROR(INDEX(PP_Grid[#Data],$DD553,40),0)</f>
        <v/>
      </c>
      <c r="AQ553">
        <f>IFERROR(INDEX(PP_Grid[#Data],$DD553,41),0)</f>
        <v/>
      </c>
      <c r="AR553">
        <f>IFERROR(INDEX(PP_Grid[#Data],$DD553,42),0)</f>
        <v/>
      </c>
      <c r="AS553">
        <f>IFERROR(INDEX(PP_Grid[#Data],$DD553,43),0)</f>
        <v/>
      </c>
      <c r="AT553">
        <f>IFERROR(INDEX(PP_Grid[#Data],$DD553,44),0)</f>
        <v/>
      </c>
      <c r="AU553">
        <f>IFERROR(INDEX(PP_Grid[#Data],$DD553,45),0)</f>
        <v/>
      </c>
      <c r="AV553">
        <f>IFERROR(INDEX(PP_Grid[#Data],$DD553,46),0)</f>
        <v/>
      </c>
      <c r="AW553">
        <f>IFERROR(INDEX(PP_Grid[#Data],$DD553,47),0)</f>
        <v/>
      </c>
      <c r="AX553">
        <f>IFERROR(INDEX(PP_Grid[#Data],$DD553,48),0)</f>
        <v/>
      </c>
      <c r="AY553">
        <f>IFERROR(INDEX(PP_Grid[#Data],$DD553,49),0)</f>
        <v/>
      </c>
      <c r="AZ553">
        <f>IFERROR(INDEX(PP_Grid[#Data],$DD553,50),0)</f>
        <v/>
      </c>
      <c r="BA553">
        <f>IFERROR(INDEX(PP_Grid[#Data],$DD553,51),0)</f>
        <v/>
      </c>
      <c r="BB553">
        <f>IFERROR(INDEX(PP_Grid[#Data],$DD553,52),0)</f>
        <v/>
      </c>
      <c r="BC553">
        <f>IFERROR(INDEX(PP_Grid[#Data],$DD553,53),0)</f>
        <v/>
      </c>
      <c r="BD553">
        <f>IFERROR(INDEX(PP_Grid[#Data],$DD553,54),0)</f>
        <v/>
      </c>
      <c r="BE553">
        <f>IFERROR(INDEX(PP_Grid[#Data],$DD553,55),0)</f>
        <v/>
      </c>
      <c r="BF553">
        <f>IFERROR(INDEX(PP_Grid[#Data],$DD553,56),0)</f>
        <v/>
      </c>
      <c r="BG553">
        <f>IFERROR(INDEX(PP_Grid[#Data],$DD553,57),0)</f>
        <v/>
      </c>
      <c r="BH553">
        <f>IFERROR(INDEX(PP_Grid[#Data],$DD553,58),0)</f>
        <v/>
      </c>
      <c r="BI553">
        <f>IFERROR(INDEX(PP_Grid[#Data],$DD553,59),0)</f>
        <v/>
      </c>
      <c r="BJ553">
        <f>IFERROR(INDEX(PP_Grid[#Data],$DD553,60),0)</f>
        <v/>
      </c>
      <c r="BK553">
        <f>IFERROR(INDEX(PP_Grid[#Data],$DD553,61),0)</f>
        <v/>
      </c>
      <c r="BL553">
        <f>IFERROR(INDEX(PP_Grid[#Data],$DD553,62),0)</f>
        <v/>
      </c>
      <c r="BM553">
        <f>IFERROR(INDEX(PP_Grid[#Data],$DD553,63),0)</f>
        <v/>
      </c>
      <c r="BN553">
        <f>IFERROR(INDEX(PP_Grid[#Data],$DD553,64),0)</f>
        <v/>
      </c>
      <c r="BO553">
        <f>IFERROR(INDEX(PP_Grid[#Data],$DD553,65),0)</f>
        <v/>
      </c>
      <c r="BP553">
        <f>IFERROR(INDEX(PP_Grid[#Data],$DD553,66),0)</f>
        <v/>
      </c>
      <c r="BQ553">
        <f>IFERROR(INDEX(PP_Grid[#Data],$DD553,67),0)</f>
        <v/>
      </c>
      <c r="BR553">
        <f>IFERROR(INDEX(PP_Grid[#Data],$DD553,68),0)</f>
        <v/>
      </c>
      <c r="BS553">
        <f>IFERROR(INDEX(PP_Grid[#Data],$DD553,69),0)</f>
        <v/>
      </c>
      <c r="BT553">
        <f>IFERROR(INDEX(PP_Grid[#Data],$DD553,70),0)</f>
        <v/>
      </c>
      <c r="BU553">
        <f>IFERROR(INDEX(PP_Grid[#Data],$DD553,71),0)</f>
        <v/>
      </c>
      <c r="BV553">
        <f>IFERROR(INDEX(PP_Grid[#Data],$DD553,72),0)</f>
        <v/>
      </c>
      <c r="BW553">
        <f>IFERROR(INDEX(PP_Grid[#Data],$DD553,73),0)</f>
        <v/>
      </c>
      <c r="BX553">
        <f>IFERROR(INDEX(PP_Grid[#Data],$DD553,74),0)</f>
        <v/>
      </c>
      <c r="BY553">
        <f>IFERROR(INDEX(PP_Grid[#Data],$DD553,75),0)</f>
        <v/>
      </c>
      <c r="BZ553">
        <f>IFERROR(INDEX(PP_Grid[#Data],$DD553,76),0)</f>
        <v/>
      </c>
      <c r="CA553">
        <f>IFERROR(INDEX(PP_Grid[#Data],$DD553,77),0)</f>
        <v/>
      </c>
      <c r="CB553">
        <f>IFERROR(INDEX(PP_Grid[#Data],$DD553,78),0)</f>
        <v/>
      </c>
      <c r="CC553">
        <f>IFERROR(INDEX(PP_Grid[#Data],$DD553,79),0)</f>
        <v/>
      </c>
      <c r="CD553">
        <f>IFERROR(INDEX(PP_Grid[#Data],$DD553,80),0)</f>
        <v/>
      </c>
      <c r="CE553">
        <f>IFERROR(INDEX(PP_Grid[#Data],$DD553,81),0)</f>
        <v/>
      </c>
      <c r="CF553">
        <f>IFERROR(INDEX(PP_Grid[#Data],$DD553,82),0)</f>
        <v/>
      </c>
      <c r="CG553">
        <f>IFERROR(INDEX(PP_Grid[#Data],$DD553,83),0)</f>
        <v/>
      </c>
      <c r="CH553">
        <f>IFERROR(INDEX(PP_Grid[#Data],$DD553,84),0)</f>
        <v/>
      </c>
      <c r="CI553">
        <f>IFERROR(INDEX(PP_Grid[#Data],$DD553,85),0)</f>
        <v/>
      </c>
      <c r="CJ553">
        <f>IFERROR(INDEX(PP_Grid[#Data],$DD553,86),0)</f>
        <v/>
      </c>
      <c r="CK553">
        <f>IFERROR(INDEX(PP_Grid[#Data],$DD553,87),0)</f>
        <v/>
      </c>
      <c r="CL553">
        <f>IFERROR(INDEX(PP_Grid[#Data],$DD553,88),0)</f>
        <v/>
      </c>
      <c r="CM553">
        <f>IFERROR(INDEX(PP_Grid[#Data],$DD553,89),0)</f>
        <v/>
      </c>
      <c r="CN553">
        <f>IFERROR(INDEX(PP_Grid[#Data],$DD553,90),0)</f>
        <v/>
      </c>
      <c r="CO553">
        <f>IFERROR(INDEX(PP_Grid[#Data],$DD553,91),0)</f>
        <v/>
      </c>
      <c r="CP553">
        <f>IFERROR(INDEX(PP_Grid[#Data],$DD553,92),0)</f>
        <v/>
      </c>
      <c r="CQ553">
        <f>IFERROR(INDEX(PP_Grid[#Data],$DD553,93),0)</f>
        <v/>
      </c>
      <c r="CR553">
        <f>IFERROR(INDEX(PP_Grid[#Data],$DD553,94),0)</f>
        <v/>
      </c>
      <c r="CS553">
        <f>IFERROR(INDEX(PP_Grid[#Data],$DD553,95),0)</f>
        <v/>
      </c>
      <c r="CT553">
        <f>IFERROR(INDEX(PP_Grid[#Data],$DD553,96),0)</f>
        <v/>
      </c>
      <c r="CU553">
        <f>IFERROR(INDEX(PP_Grid[#Data],$DD553,97),0)</f>
        <v/>
      </c>
      <c r="CV553">
        <f>IFERROR(INDEX(PP_Grid[#Data],$DD553,98),0)</f>
        <v/>
      </c>
      <c r="CW553">
        <f>IFERROR(INDEX(PP_Grid[#Data],$DD553,99),0)</f>
        <v/>
      </c>
      <c r="CX553">
        <f>IFERROR(INDEX(PP_Grid[#Data],$DD553,100),0)</f>
        <v/>
      </c>
      <c r="CY553">
        <f>IFERROR(INDEX(PP_Grid[#Data],$DD553,101),0)</f>
        <v/>
      </c>
      <c r="CZ553">
        <f>IFERROR(INDEX(PP_Grid[#Data],$DD553,102),0)</f>
        <v/>
      </c>
      <c r="DA553">
        <f>IFERROR(INDEX(PP_Grid[#Data],$DD553,103),0)</f>
        <v/>
      </c>
      <c r="DB553">
        <f>IFERROR(INDEX(PP_Grid[#Data],$DD553,104),0)</f>
        <v/>
      </c>
      <c r="DC553">
        <f>IFERROR(INDEX(PP_Grid[#Data],$DD553,105),0)</f>
        <v/>
      </c>
      <c r="DD553" s="12">
        <f>IFERROR(MATCH($B553,PP_Grid[Intermediate],0),99999)</f>
        <v/>
      </c>
    </row>
    <row r="554">
      <c r="B554" t="inlineStr">
        <is>
          <t>使用量(kg)</t>
        </is>
      </c>
      <c r="C554">
        <f>SUMIFS(M_BOM[RM_Qty_Per_Batch],M_BOM[Intermediate],$B553,M_BOM[Part Name],$A518)</f>
        <v/>
      </c>
      <c r="D554">
        <f>$C554*D553</f>
        <v/>
      </c>
      <c r="E554">
        <f>$C554*E553</f>
        <v/>
      </c>
      <c r="F554">
        <f>$C554*F553</f>
        <v/>
      </c>
      <c r="G554">
        <f>$C554*G553</f>
        <v/>
      </c>
      <c r="H554">
        <f>$C554*H553</f>
        <v/>
      </c>
      <c r="I554">
        <f>$C554*I553</f>
        <v/>
      </c>
      <c r="J554">
        <f>$C554*J553</f>
        <v/>
      </c>
      <c r="K554">
        <f>$C554*K553</f>
        <v/>
      </c>
      <c r="L554">
        <f>$C554*L553</f>
        <v/>
      </c>
      <c r="M554">
        <f>$C554*M553</f>
        <v/>
      </c>
      <c r="N554">
        <f>$C554*N553</f>
        <v/>
      </c>
      <c r="O554">
        <f>$C554*O553</f>
        <v/>
      </c>
      <c r="P554">
        <f>$C554*P553</f>
        <v/>
      </c>
      <c r="Q554">
        <f>$C554*Q553</f>
        <v/>
      </c>
      <c r="R554">
        <f>$C554*R553</f>
        <v/>
      </c>
      <c r="S554">
        <f>$C554*S553</f>
        <v/>
      </c>
      <c r="T554">
        <f>$C554*T553</f>
        <v/>
      </c>
      <c r="U554">
        <f>$C554*U553</f>
        <v/>
      </c>
      <c r="V554">
        <f>$C554*V553</f>
        <v/>
      </c>
      <c r="W554">
        <f>$C554*W553</f>
        <v/>
      </c>
      <c r="X554">
        <f>$C554*X553</f>
        <v/>
      </c>
      <c r="Y554">
        <f>$C554*Y553</f>
        <v/>
      </c>
      <c r="Z554">
        <f>$C554*Z553</f>
        <v/>
      </c>
      <c r="AA554">
        <f>$C554*AA553</f>
        <v/>
      </c>
      <c r="AB554">
        <f>$C554*AB553</f>
        <v/>
      </c>
      <c r="AC554">
        <f>$C554*AC553</f>
        <v/>
      </c>
      <c r="AD554">
        <f>$C554*AD553</f>
        <v/>
      </c>
      <c r="AE554">
        <f>$C554*AE553</f>
        <v/>
      </c>
      <c r="AF554">
        <f>$C554*AF553</f>
        <v/>
      </c>
      <c r="AG554">
        <f>$C554*AG553</f>
        <v/>
      </c>
      <c r="AH554">
        <f>$C554*AH553</f>
        <v/>
      </c>
      <c r="AI554">
        <f>$C554*AI553</f>
        <v/>
      </c>
      <c r="AJ554">
        <f>$C554*AJ553</f>
        <v/>
      </c>
      <c r="AK554">
        <f>$C554*AK553</f>
        <v/>
      </c>
      <c r="AL554">
        <f>$C554*AL553</f>
        <v/>
      </c>
      <c r="AM554">
        <f>$C554*AM553</f>
        <v/>
      </c>
      <c r="AN554">
        <f>$C554*AN553</f>
        <v/>
      </c>
      <c r="AO554">
        <f>$C554*AO553</f>
        <v/>
      </c>
      <c r="AP554">
        <f>$C554*AP553</f>
        <v/>
      </c>
      <c r="AQ554">
        <f>$C554*AQ553</f>
        <v/>
      </c>
      <c r="AR554">
        <f>$C554*AR553</f>
        <v/>
      </c>
      <c r="AS554">
        <f>$C554*AS553</f>
        <v/>
      </c>
      <c r="AT554">
        <f>$C554*AT553</f>
        <v/>
      </c>
      <c r="AU554">
        <f>$C554*AU553</f>
        <v/>
      </c>
      <c r="AV554">
        <f>$C554*AV553</f>
        <v/>
      </c>
      <c r="AW554">
        <f>$C554*AW553</f>
        <v/>
      </c>
      <c r="AX554">
        <f>$C554*AX553</f>
        <v/>
      </c>
      <c r="AY554">
        <f>$C554*AY553</f>
        <v/>
      </c>
      <c r="AZ554">
        <f>$C554*AZ553</f>
        <v/>
      </c>
      <c r="BA554">
        <f>$C554*BA553</f>
        <v/>
      </c>
      <c r="BB554">
        <f>$C554*BB553</f>
        <v/>
      </c>
      <c r="BC554">
        <f>$C554*BC553</f>
        <v/>
      </c>
      <c r="BD554">
        <f>$C554*BD553</f>
        <v/>
      </c>
      <c r="BE554">
        <f>$C554*BE553</f>
        <v/>
      </c>
      <c r="BF554">
        <f>$C554*BF553</f>
        <v/>
      </c>
      <c r="BG554">
        <f>$C554*BG553</f>
        <v/>
      </c>
      <c r="BH554">
        <f>$C554*BH553</f>
        <v/>
      </c>
      <c r="BI554">
        <f>$C554*BI553</f>
        <v/>
      </c>
      <c r="BJ554">
        <f>$C554*BJ553</f>
        <v/>
      </c>
      <c r="BK554">
        <f>$C554*BK553</f>
        <v/>
      </c>
      <c r="BL554">
        <f>$C554*BL553</f>
        <v/>
      </c>
      <c r="BM554">
        <f>$C554*BM553</f>
        <v/>
      </c>
      <c r="BN554">
        <f>$C554*BN553</f>
        <v/>
      </c>
      <c r="BO554">
        <f>$C554*BO553</f>
        <v/>
      </c>
      <c r="BP554">
        <f>$C554*BP553</f>
        <v/>
      </c>
      <c r="BQ554">
        <f>$C554*BQ553</f>
        <v/>
      </c>
      <c r="BR554">
        <f>$C554*BR553</f>
        <v/>
      </c>
      <c r="BS554">
        <f>$C554*BS553</f>
        <v/>
      </c>
      <c r="BT554">
        <f>$C554*BT553</f>
        <v/>
      </c>
      <c r="BU554">
        <f>$C554*BU553</f>
        <v/>
      </c>
      <c r="BV554">
        <f>$C554*BV553</f>
        <v/>
      </c>
      <c r="BW554">
        <f>$C554*BW553</f>
        <v/>
      </c>
      <c r="BX554">
        <f>$C554*BX553</f>
        <v/>
      </c>
      <c r="BY554">
        <f>$C554*BY553</f>
        <v/>
      </c>
      <c r="BZ554">
        <f>$C554*BZ553</f>
        <v/>
      </c>
      <c r="CA554">
        <f>$C554*CA553</f>
        <v/>
      </c>
      <c r="CB554">
        <f>$C554*CB553</f>
        <v/>
      </c>
      <c r="CC554">
        <f>$C554*CC553</f>
        <v/>
      </c>
      <c r="CD554">
        <f>$C554*CD553</f>
        <v/>
      </c>
      <c r="CE554">
        <f>$C554*CE553</f>
        <v/>
      </c>
      <c r="CF554">
        <f>$C554*CF553</f>
        <v/>
      </c>
      <c r="CG554">
        <f>$C554*CG553</f>
        <v/>
      </c>
      <c r="CH554">
        <f>$C554*CH553</f>
        <v/>
      </c>
      <c r="CI554">
        <f>$C554*CI553</f>
        <v/>
      </c>
      <c r="CJ554">
        <f>$C554*CJ553</f>
        <v/>
      </c>
      <c r="CK554">
        <f>$C554*CK553</f>
        <v/>
      </c>
      <c r="CL554">
        <f>$C554*CL553</f>
        <v/>
      </c>
      <c r="CM554">
        <f>$C554*CM553</f>
        <v/>
      </c>
      <c r="CN554">
        <f>$C554*CN553</f>
        <v/>
      </c>
      <c r="CO554">
        <f>$C554*CO553</f>
        <v/>
      </c>
      <c r="CP554">
        <f>$C554*CP553</f>
        <v/>
      </c>
      <c r="CQ554">
        <f>$C554*CQ553</f>
        <v/>
      </c>
      <c r="CR554">
        <f>$C554*CR553</f>
        <v/>
      </c>
      <c r="CS554">
        <f>$C554*CS553</f>
        <v/>
      </c>
      <c r="CT554">
        <f>$C554*CT553</f>
        <v/>
      </c>
      <c r="CU554">
        <f>$C554*CU553</f>
        <v/>
      </c>
      <c r="CV554">
        <f>$C554*CV553</f>
        <v/>
      </c>
      <c r="CW554">
        <f>$C554*CW553</f>
        <v/>
      </c>
      <c r="CX554">
        <f>$C554*CX553</f>
        <v/>
      </c>
      <c r="CY554">
        <f>$C554*CY553</f>
        <v/>
      </c>
      <c r="CZ554">
        <f>$C554*CZ553</f>
        <v/>
      </c>
      <c r="DA554">
        <f>$C554*DA553</f>
        <v/>
      </c>
      <c r="DB554">
        <f>$C554*DB553</f>
        <v/>
      </c>
      <c r="DC554">
        <f>$C554*DC553</f>
        <v/>
      </c>
    </row>
    <row r="555">
      <c r="B555" t="inlineStr">
        <is>
          <t>TSP-558</t>
        </is>
      </c>
      <c r="C555" t="inlineStr">
        <is>
          <t>No. of batches</t>
        </is>
      </c>
      <c r="D555">
        <f>IFERROR(INDEX(PP_Grid[#Data],$DD555,2),0)</f>
        <v/>
      </c>
      <c r="E555">
        <f>IFERROR(INDEX(PP_Grid[#Data],$DD555,3),0)</f>
        <v/>
      </c>
      <c r="F555">
        <f>IFERROR(INDEX(PP_Grid[#Data],$DD555,4),0)</f>
        <v/>
      </c>
      <c r="G555">
        <f>IFERROR(INDEX(PP_Grid[#Data],$DD555,5),0)</f>
        <v/>
      </c>
      <c r="H555">
        <f>IFERROR(INDEX(PP_Grid[#Data],$DD555,6),0)</f>
        <v/>
      </c>
      <c r="I555">
        <f>IFERROR(INDEX(PP_Grid[#Data],$DD555,7),0)</f>
        <v/>
      </c>
      <c r="J555">
        <f>IFERROR(INDEX(PP_Grid[#Data],$DD555,8),0)</f>
        <v/>
      </c>
      <c r="K555">
        <f>IFERROR(INDEX(PP_Grid[#Data],$DD555,9),0)</f>
        <v/>
      </c>
      <c r="L555">
        <f>IFERROR(INDEX(PP_Grid[#Data],$DD555,10),0)</f>
        <v/>
      </c>
      <c r="M555">
        <f>IFERROR(INDEX(PP_Grid[#Data],$DD555,11),0)</f>
        <v/>
      </c>
      <c r="N555">
        <f>IFERROR(INDEX(PP_Grid[#Data],$DD555,12),0)</f>
        <v/>
      </c>
      <c r="O555">
        <f>IFERROR(INDEX(PP_Grid[#Data],$DD555,13),0)</f>
        <v/>
      </c>
      <c r="P555">
        <f>IFERROR(INDEX(PP_Grid[#Data],$DD555,14),0)</f>
        <v/>
      </c>
      <c r="Q555">
        <f>IFERROR(INDEX(PP_Grid[#Data],$DD555,15),0)</f>
        <v/>
      </c>
      <c r="R555">
        <f>IFERROR(INDEX(PP_Grid[#Data],$DD555,16),0)</f>
        <v/>
      </c>
      <c r="S555">
        <f>IFERROR(INDEX(PP_Grid[#Data],$DD555,17),0)</f>
        <v/>
      </c>
      <c r="T555">
        <f>IFERROR(INDEX(PP_Grid[#Data],$DD555,18),0)</f>
        <v/>
      </c>
      <c r="U555">
        <f>IFERROR(INDEX(PP_Grid[#Data],$DD555,19),0)</f>
        <v/>
      </c>
      <c r="V555">
        <f>IFERROR(INDEX(PP_Grid[#Data],$DD555,20),0)</f>
        <v/>
      </c>
      <c r="W555">
        <f>IFERROR(INDEX(PP_Grid[#Data],$DD555,21),0)</f>
        <v/>
      </c>
      <c r="X555">
        <f>IFERROR(INDEX(PP_Grid[#Data],$DD555,22),0)</f>
        <v/>
      </c>
      <c r="Y555">
        <f>IFERROR(INDEX(PP_Grid[#Data],$DD555,23),0)</f>
        <v/>
      </c>
      <c r="Z555">
        <f>IFERROR(INDEX(PP_Grid[#Data],$DD555,24),0)</f>
        <v/>
      </c>
      <c r="AA555">
        <f>IFERROR(INDEX(PP_Grid[#Data],$DD555,25),0)</f>
        <v/>
      </c>
      <c r="AB555">
        <f>IFERROR(INDEX(PP_Grid[#Data],$DD555,26),0)</f>
        <v/>
      </c>
      <c r="AC555">
        <f>IFERROR(INDEX(PP_Grid[#Data],$DD555,27),0)</f>
        <v/>
      </c>
      <c r="AD555">
        <f>IFERROR(INDEX(PP_Grid[#Data],$DD555,28),0)</f>
        <v/>
      </c>
      <c r="AE555">
        <f>IFERROR(INDEX(PP_Grid[#Data],$DD555,29),0)</f>
        <v/>
      </c>
      <c r="AF555">
        <f>IFERROR(INDEX(PP_Grid[#Data],$DD555,30),0)</f>
        <v/>
      </c>
      <c r="AG555">
        <f>IFERROR(INDEX(PP_Grid[#Data],$DD555,31),0)</f>
        <v/>
      </c>
      <c r="AH555">
        <f>IFERROR(INDEX(PP_Grid[#Data],$DD555,32),0)</f>
        <v/>
      </c>
      <c r="AI555">
        <f>IFERROR(INDEX(PP_Grid[#Data],$DD555,33),0)</f>
        <v/>
      </c>
      <c r="AJ555">
        <f>IFERROR(INDEX(PP_Grid[#Data],$DD555,34),0)</f>
        <v/>
      </c>
      <c r="AK555">
        <f>IFERROR(INDEX(PP_Grid[#Data],$DD555,35),0)</f>
        <v/>
      </c>
      <c r="AL555">
        <f>IFERROR(INDEX(PP_Grid[#Data],$DD555,36),0)</f>
        <v/>
      </c>
      <c r="AM555">
        <f>IFERROR(INDEX(PP_Grid[#Data],$DD555,37),0)</f>
        <v/>
      </c>
      <c r="AN555">
        <f>IFERROR(INDEX(PP_Grid[#Data],$DD555,38),0)</f>
        <v/>
      </c>
      <c r="AO555">
        <f>IFERROR(INDEX(PP_Grid[#Data],$DD555,39),0)</f>
        <v/>
      </c>
      <c r="AP555">
        <f>IFERROR(INDEX(PP_Grid[#Data],$DD555,40),0)</f>
        <v/>
      </c>
      <c r="AQ555">
        <f>IFERROR(INDEX(PP_Grid[#Data],$DD555,41),0)</f>
        <v/>
      </c>
      <c r="AR555">
        <f>IFERROR(INDEX(PP_Grid[#Data],$DD555,42),0)</f>
        <v/>
      </c>
      <c r="AS555">
        <f>IFERROR(INDEX(PP_Grid[#Data],$DD555,43),0)</f>
        <v/>
      </c>
      <c r="AT555">
        <f>IFERROR(INDEX(PP_Grid[#Data],$DD555,44),0)</f>
        <v/>
      </c>
      <c r="AU555">
        <f>IFERROR(INDEX(PP_Grid[#Data],$DD555,45),0)</f>
        <v/>
      </c>
      <c r="AV555">
        <f>IFERROR(INDEX(PP_Grid[#Data],$DD555,46),0)</f>
        <v/>
      </c>
      <c r="AW555">
        <f>IFERROR(INDEX(PP_Grid[#Data],$DD555,47),0)</f>
        <v/>
      </c>
      <c r="AX555">
        <f>IFERROR(INDEX(PP_Grid[#Data],$DD555,48),0)</f>
        <v/>
      </c>
      <c r="AY555">
        <f>IFERROR(INDEX(PP_Grid[#Data],$DD555,49),0)</f>
        <v/>
      </c>
      <c r="AZ555">
        <f>IFERROR(INDEX(PP_Grid[#Data],$DD555,50),0)</f>
        <v/>
      </c>
      <c r="BA555">
        <f>IFERROR(INDEX(PP_Grid[#Data],$DD555,51),0)</f>
        <v/>
      </c>
      <c r="BB555">
        <f>IFERROR(INDEX(PP_Grid[#Data],$DD555,52),0)</f>
        <v/>
      </c>
      <c r="BC555">
        <f>IFERROR(INDEX(PP_Grid[#Data],$DD555,53),0)</f>
        <v/>
      </c>
      <c r="BD555">
        <f>IFERROR(INDEX(PP_Grid[#Data],$DD555,54),0)</f>
        <v/>
      </c>
      <c r="BE555">
        <f>IFERROR(INDEX(PP_Grid[#Data],$DD555,55),0)</f>
        <v/>
      </c>
      <c r="BF555">
        <f>IFERROR(INDEX(PP_Grid[#Data],$DD555,56),0)</f>
        <v/>
      </c>
      <c r="BG555">
        <f>IFERROR(INDEX(PP_Grid[#Data],$DD555,57),0)</f>
        <v/>
      </c>
      <c r="BH555">
        <f>IFERROR(INDEX(PP_Grid[#Data],$DD555,58),0)</f>
        <v/>
      </c>
      <c r="BI555">
        <f>IFERROR(INDEX(PP_Grid[#Data],$DD555,59),0)</f>
        <v/>
      </c>
      <c r="BJ555">
        <f>IFERROR(INDEX(PP_Grid[#Data],$DD555,60),0)</f>
        <v/>
      </c>
      <c r="BK555">
        <f>IFERROR(INDEX(PP_Grid[#Data],$DD555,61),0)</f>
        <v/>
      </c>
      <c r="BL555">
        <f>IFERROR(INDEX(PP_Grid[#Data],$DD555,62),0)</f>
        <v/>
      </c>
      <c r="BM555">
        <f>IFERROR(INDEX(PP_Grid[#Data],$DD555,63),0)</f>
        <v/>
      </c>
      <c r="BN555">
        <f>IFERROR(INDEX(PP_Grid[#Data],$DD555,64),0)</f>
        <v/>
      </c>
      <c r="BO555">
        <f>IFERROR(INDEX(PP_Grid[#Data],$DD555,65),0)</f>
        <v/>
      </c>
      <c r="BP555">
        <f>IFERROR(INDEX(PP_Grid[#Data],$DD555,66),0)</f>
        <v/>
      </c>
      <c r="BQ555">
        <f>IFERROR(INDEX(PP_Grid[#Data],$DD555,67),0)</f>
        <v/>
      </c>
      <c r="BR555">
        <f>IFERROR(INDEX(PP_Grid[#Data],$DD555,68),0)</f>
        <v/>
      </c>
      <c r="BS555">
        <f>IFERROR(INDEX(PP_Grid[#Data],$DD555,69),0)</f>
        <v/>
      </c>
      <c r="BT555">
        <f>IFERROR(INDEX(PP_Grid[#Data],$DD555,70),0)</f>
        <v/>
      </c>
      <c r="BU555">
        <f>IFERROR(INDEX(PP_Grid[#Data],$DD555,71),0)</f>
        <v/>
      </c>
      <c r="BV555">
        <f>IFERROR(INDEX(PP_Grid[#Data],$DD555,72),0)</f>
        <v/>
      </c>
      <c r="BW555">
        <f>IFERROR(INDEX(PP_Grid[#Data],$DD555,73),0)</f>
        <v/>
      </c>
      <c r="BX555">
        <f>IFERROR(INDEX(PP_Grid[#Data],$DD555,74),0)</f>
        <v/>
      </c>
      <c r="BY555">
        <f>IFERROR(INDEX(PP_Grid[#Data],$DD555,75),0)</f>
        <v/>
      </c>
      <c r="BZ555">
        <f>IFERROR(INDEX(PP_Grid[#Data],$DD555,76),0)</f>
        <v/>
      </c>
      <c r="CA555">
        <f>IFERROR(INDEX(PP_Grid[#Data],$DD555,77),0)</f>
        <v/>
      </c>
      <c r="CB555">
        <f>IFERROR(INDEX(PP_Grid[#Data],$DD555,78),0)</f>
        <v/>
      </c>
      <c r="CC555">
        <f>IFERROR(INDEX(PP_Grid[#Data],$DD555,79),0)</f>
        <v/>
      </c>
      <c r="CD555">
        <f>IFERROR(INDEX(PP_Grid[#Data],$DD555,80),0)</f>
        <v/>
      </c>
      <c r="CE555">
        <f>IFERROR(INDEX(PP_Grid[#Data],$DD555,81),0)</f>
        <v/>
      </c>
      <c r="CF555">
        <f>IFERROR(INDEX(PP_Grid[#Data],$DD555,82),0)</f>
        <v/>
      </c>
      <c r="CG555">
        <f>IFERROR(INDEX(PP_Grid[#Data],$DD555,83),0)</f>
        <v/>
      </c>
      <c r="CH555">
        <f>IFERROR(INDEX(PP_Grid[#Data],$DD555,84),0)</f>
        <v/>
      </c>
      <c r="CI555">
        <f>IFERROR(INDEX(PP_Grid[#Data],$DD555,85),0)</f>
        <v/>
      </c>
      <c r="CJ555">
        <f>IFERROR(INDEX(PP_Grid[#Data],$DD555,86),0)</f>
        <v/>
      </c>
      <c r="CK555">
        <f>IFERROR(INDEX(PP_Grid[#Data],$DD555,87),0)</f>
        <v/>
      </c>
      <c r="CL555">
        <f>IFERROR(INDEX(PP_Grid[#Data],$DD555,88),0)</f>
        <v/>
      </c>
      <c r="CM555">
        <f>IFERROR(INDEX(PP_Grid[#Data],$DD555,89),0)</f>
        <v/>
      </c>
      <c r="CN555">
        <f>IFERROR(INDEX(PP_Grid[#Data],$DD555,90),0)</f>
        <v/>
      </c>
      <c r="CO555">
        <f>IFERROR(INDEX(PP_Grid[#Data],$DD555,91),0)</f>
        <v/>
      </c>
      <c r="CP555">
        <f>IFERROR(INDEX(PP_Grid[#Data],$DD555,92),0)</f>
        <v/>
      </c>
      <c r="CQ555">
        <f>IFERROR(INDEX(PP_Grid[#Data],$DD555,93),0)</f>
        <v/>
      </c>
      <c r="CR555">
        <f>IFERROR(INDEX(PP_Grid[#Data],$DD555,94),0)</f>
        <v/>
      </c>
      <c r="CS555">
        <f>IFERROR(INDEX(PP_Grid[#Data],$DD555,95),0)</f>
        <v/>
      </c>
      <c r="CT555">
        <f>IFERROR(INDEX(PP_Grid[#Data],$DD555,96),0)</f>
        <v/>
      </c>
      <c r="CU555">
        <f>IFERROR(INDEX(PP_Grid[#Data],$DD555,97),0)</f>
        <v/>
      </c>
      <c r="CV555">
        <f>IFERROR(INDEX(PP_Grid[#Data],$DD555,98),0)</f>
        <v/>
      </c>
      <c r="CW555">
        <f>IFERROR(INDEX(PP_Grid[#Data],$DD555,99),0)</f>
        <v/>
      </c>
      <c r="CX555">
        <f>IFERROR(INDEX(PP_Grid[#Data],$DD555,100),0)</f>
        <v/>
      </c>
      <c r="CY555">
        <f>IFERROR(INDEX(PP_Grid[#Data],$DD555,101),0)</f>
        <v/>
      </c>
      <c r="CZ555">
        <f>IFERROR(INDEX(PP_Grid[#Data],$DD555,102),0)</f>
        <v/>
      </c>
      <c r="DA555">
        <f>IFERROR(INDEX(PP_Grid[#Data],$DD555,103),0)</f>
        <v/>
      </c>
      <c r="DB555">
        <f>IFERROR(INDEX(PP_Grid[#Data],$DD555,104),0)</f>
        <v/>
      </c>
      <c r="DC555">
        <f>IFERROR(INDEX(PP_Grid[#Data],$DD555,105),0)</f>
        <v/>
      </c>
      <c r="DD555" s="12">
        <f>IFERROR(MATCH($B555,PP_Grid[Intermediate],0),99999)</f>
        <v/>
      </c>
    </row>
    <row r="556">
      <c r="B556" t="inlineStr">
        <is>
          <t>使用量(kg)</t>
        </is>
      </c>
      <c r="C556">
        <f>SUMIFS(M_BOM[RM_Qty_Per_Batch],M_BOM[Intermediate],$B555,M_BOM[Part Name],$A518)</f>
        <v/>
      </c>
      <c r="D556">
        <f>$C556*D555</f>
        <v/>
      </c>
      <c r="E556">
        <f>$C556*E555</f>
        <v/>
      </c>
      <c r="F556">
        <f>$C556*F555</f>
        <v/>
      </c>
      <c r="G556">
        <f>$C556*G555</f>
        <v/>
      </c>
      <c r="H556">
        <f>$C556*H555</f>
        <v/>
      </c>
      <c r="I556">
        <f>$C556*I555</f>
        <v/>
      </c>
      <c r="J556">
        <f>$C556*J555</f>
        <v/>
      </c>
      <c r="K556">
        <f>$C556*K555</f>
        <v/>
      </c>
      <c r="L556">
        <f>$C556*L555</f>
        <v/>
      </c>
      <c r="M556">
        <f>$C556*M555</f>
        <v/>
      </c>
      <c r="N556">
        <f>$C556*N555</f>
        <v/>
      </c>
      <c r="O556">
        <f>$C556*O555</f>
        <v/>
      </c>
      <c r="P556">
        <f>$C556*P555</f>
        <v/>
      </c>
      <c r="Q556">
        <f>$C556*Q555</f>
        <v/>
      </c>
      <c r="R556">
        <f>$C556*R555</f>
        <v/>
      </c>
      <c r="S556">
        <f>$C556*S555</f>
        <v/>
      </c>
      <c r="T556">
        <f>$C556*T555</f>
        <v/>
      </c>
      <c r="U556">
        <f>$C556*U555</f>
        <v/>
      </c>
      <c r="V556">
        <f>$C556*V555</f>
        <v/>
      </c>
      <c r="W556">
        <f>$C556*W555</f>
        <v/>
      </c>
      <c r="X556">
        <f>$C556*X555</f>
        <v/>
      </c>
      <c r="Y556">
        <f>$C556*Y555</f>
        <v/>
      </c>
      <c r="Z556">
        <f>$C556*Z555</f>
        <v/>
      </c>
      <c r="AA556">
        <f>$C556*AA555</f>
        <v/>
      </c>
      <c r="AB556">
        <f>$C556*AB555</f>
        <v/>
      </c>
      <c r="AC556">
        <f>$C556*AC555</f>
        <v/>
      </c>
      <c r="AD556">
        <f>$C556*AD555</f>
        <v/>
      </c>
      <c r="AE556">
        <f>$C556*AE555</f>
        <v/>
      </c>
      <c r="AF556">
        <f>$C556*AF555</f>
        <v/>
      </c>
      <c r="AG556">
        <f>$C556*AG555</f>
        <v/>
      </c>
      <c r="AH556">
        <f>$C556*AH555</f>
        <v/>
      </c>
      <c r="AI556">
        <f>$C556*AI555</f>
        <v/>
      </c>
      <c r="AJ556">
        <f>$C556*AJ555</f>
        <v/>
      </c>
      <c r="AK556">
        <f>$C556*AK555</f>
        <v/>
      </c>
      <c r="AL556">
        <f>$C556*AL555</f>
        <v/>
      </c>
      <c r="AM556">
        <f>$C556*AM555</f>
        <v/>
      </c>
      <c r="AN556">
        <f>$C556*AN555</f>
        <v/>
      </c>
      <c r="AO556">
        <f>$C556*AO555</f>
        <v/>
      </c>
      <c r="AP556">
        <f>$C556*AP555</f>
        <v/>
      </c>
      <c r="AQ556">
        <f>$C556*AQ555</f>
        <v/>
      </c>
      <c r="AR556">
        <f>$C556*AR555</f>
        <v/>
      </c>
      <c r="AS556">
        <f>$C556*AS555</f>
        <v/>
      </c>
      <c r="AT556">
        <f>$C556*AT555</f>
        <v/>
      </c>
      <c r="AU556">
        <f>$C556*AU555</f>
        <v/>
      </c>
      <c r="AV556">
        <f>$C556*AV555</f>
        <v/>
      </c>
      <c r="AW556">
        <f>$C556*AW555</f>
        <v/>
      </c>
      <c r="AX556">
        <f>$C556*AX555</f>
        <v/>
      </c>
      <c r="AY556">
        <f>$C556*AY555</f>
        <v/>
      </c>
      <c r="AZ556">
        <f>$C556*AZ555</f>
        <v/>
      </c>
      <c r="BA556">
        <f>$C556*BA555</f>
        <v/>
      </c>
      <c r="BB556">
        <f>$C556*BB555</f>
        <v/>
      </c>
      <c r="BC556">
        <f>$C556*BC555</f>
        <v/>
      </c>
      <c r="BD556">
        <f>$C556*BD555</f>
        <v/>
      </c>
      <c r="BE556">
        <f>$C556*BE555</f>
        <v/>
      </c>
      <c r="BF556">
        <f>$C556*BF555</f>
        <v/>
      </c>
      <c r="BG556">
        <f>$C556*BG555</f>
        <v/>
      </c>
      <c r="BH556">
        <f>$C556*BH555</f>
        <v/>
      </c>
      <c r="BI556">
        <f>$C556*BI555</f>
        <v/>
      </c>
      <c r="BJ556">
        <f>$C556*BJ555</f>
        <v/>
      </c>
      <c r="BK556">
        <f>$C556*BK555</f>
        <v/>
      </c>
      <c r="BL556">
        <f>$C556*BL555</f>
        <v/>
      </c>
      <c r="BM556">
        <f>$C556*BM555</f>
        <v/>
      </c>
      <c r="BN556">
        <f>$C556*BN555</f>
        <v/>
      </c>
      <c r="BO556">
        <f>$C556*BO555</f>
        <v/>
      </c>
      <c r="BP556">
        <f>$C556*BP555</f>
        <v/>
      </c>
      <c r="BQ556">
        <f>$C556*BQ555</f>
        <v/>
      </c>
      <c r="BR556">
        <f>$C556*BR555</f>
        <v/>
      </c>
      <c r="BS556">
        <f>$C556*BS555</f>
        <v/>
      </c>
      <c r="BT556">
        <f>$C556*BT555</f>
        <v/>
      </c>
      <c r="BU556">
        <f>$C556*BU555</f>
        <v/>
      </c>
      <c r="BV556">
        <f>$C556*BV555</f>
        <v/>
      </c>
      <c r="BW556">
        <f>$C556*BW555</f>
        <v/>
      </c>
      <c r="BX556">
        <f>$C556*BX555</f>
        <v/>
      </c>
      <c r="BY556">
        <f>$C556*BY555</f>
        <v/>
      </c>
      <c r="BZ556">
        <f>$C556*BZ555</f>
        <v/>
      </c>
      <c r="CA556">
        <f>$C556*CA555</f>
        <v/>
      </c>
      <c r="CB556">
        <f>$C556*CB555</f>
        <v/>
      </c>
      <c r="CC556">
        <f>$C556*CC555</f>
        <v/>
      </c>
      <c r="CD556">
        <f>$C556*CD555</f>
        <v/>
      </c>
      <c r="CE556">
        <f>$C556*CE555</f>
        <v/>
      </c>
      <c r="CF556">
        <f>$C556*CF555</f>
        <v/>
      </c>
      <c r="CG556">
        <f>$C556*CG555</f>
        <v/>
      </c>
      <c r="CH556">
        <f>$C556*CH555</f>
        <v/>
      </c>
      <c r="CI556">
        <f>$C556*CI555</f>
        <v/>
      </c>
      <c r="CJ556">
        <f>$C556*CJ555</f>
        <v/>
      </c>
      <c r="CK556">
        <f>$C556*CK555</f>
        <v/>
      </c>
      <c r="CL556">
        <f>$C556*CL555</f>
        <v/>
      </c>
      <c r="CM556">
        <f>$C556*CM555</f>
        <v/>
      </c>
      <c r="CN556">
        <f>$C556*CN555</f>
        <v/>
      </c>
      <c r="CO556">
        <f>$C556*CO555</f>
        <v/>
      </c>
      <c r="CP556">
        <f>$C556*CP555</f>
        <v/>
      </c>
      <c r="CQ556">
        <f>$C556*CQ555</f>
        <v/>
      </c>
      <c r="CR556">
        <f>$C556*CR555</f>
        <v/>
      </c>
      <c r="CS556">
        <f>$C556*CS555</f>
        <v/>
      </c>
      <c r="CT556">
        <f>$C556*CT555</f>
        <v/>
      </c>
      <c r="CU556">
        <f>$C556*CU555</f>
        <v/>
      </c>
      <c r="CV556">
        <f>$C556*CV555</f>
        <v/>
      </c>
      <c r="CW556">
        <f>$C556*CW555</f>
        <v/>
      </c>
      <c r="CX556">
        <f>$C556*CX555</f>
        <v/>
      </c>
      <c r="CY556">
        <f>$C556*CY555</f>
        <v/>
      </c>
      <c r="CZ556">
        <f>$C556*CZ555</f>
        <v/>
      </c>
      <c r="DA556">
        <f>$C556*DA555</f>
        <v/>
      </c>
      <c r="DB556">
        <f>$C556*DB555</f>
        <v/>
      </c>
      <c r="DC556">
        <f>$C556*DC555</f>
        <v/>
      </c>
    </row>
    <row r="557">
      <c r="B557" t="inlineStr">
        <is>
          <t>TSP-618</t>
        </is>
      </c>
      <c r="C557" t="inlineStr">
        <is>
          <t>No. of batches</t>
        </is>
      </c>
      <c r="D557">
        <f>IFERROR(INDEX(PP_Grid[#Data],$DD557,2),0)</f>
        <v/>
      </c>
      <c r="E557">
        <f>IFERROR(INDEX(PP_Grid[#Data],$DD557,3),0)</f>
        <v/>
      </c>
      <c r="F557">
        <f>IFERROR(INDEX(PP_Grid[#Data],$DD557,4),0)</f>
        <v/>
      </c>
      <c r="G557">
        <f>IFERROR(INDEX(PP_Grid[#Data],$DD557,5),0)</f>
        <v/>
      </c>
      <c r="H557">
        <f>IFERROR(INDEX(PP_Grid[#Data],$DD557,6),0)</f>
        <v/>
      </c>
      <c r="I557">
        <f>IFERROR(INDEX(PP_Grid[#Data],$DD557,7),0)</f>
        <v/>
      </c>
      <c r="J557">
        <f>IFERROR(INDEX(PP_Grid[#Data],$DD557,8),0)</f>
        <v/>
      </c>
      <c r="K557">
        <f>IFERROR(INDEX(PP_Grid[#Data],$DD557,9),0)</f>
        <v/>
      </c>
      <c r="L557">
        <f>IFERROR(INDEX(PP_Grid[#Data],$DD557,10),0)</f>
        <v/>
      </c>
      <c r="M557">
        <f>IFERROR(INDEX(PP_Grid[#Data],$DD557,11),0)</f>
        <v/>
      </c>
      <c r="N557">
        <f>IFERROR(INDEX(PP_Grid[#Data],$DD557,12),0)</f>
        <v/>
      </c>
      <c r="O557">
        <f>IFERROR(INDEX(PP_Grid[#Data],$DD557,13),0)</f>
        <v/>
      </c>
      <c r="P557">
        <f>IFERROR(INDEX(PP_Grid[#Data],$DD557,14),0)</f>
        <v/>
      </c>
      <c r="Q557">
        <f>IFERROR(INDEX(PP_Grid[#Data],$DD557,15),0)</f>
        <v/>
      </c>
      <c r="R557">
        <f>IFERROR(INDEX(PP_Grid[#Data],$DD557,16),0)</f>
        <v/>
      </c>
      <c r="S557">
        <f>IFERROR(INDEX(PP_Grid[#Data],$DD557,17),0)</f>
        <v/>
      </c>
      <c r="T557">
        <f>IFERROR(INDEX(PP_Grid[#Data],$DD557,18),0)</f>
        <v/>
      </c>
      <c r="U557">
        <f>IFERROR(INDEX(PP_Grid[#Data],$DD557,19),0)</f>
        <v/>
      </c>
      <c r="V557">
        <f>IFERROR(INDEX(PP_Grid[#Data],$DD557,20),0)</f>
        <v/>
      </c>
      <c r="W557">
        <f>IFERROR(INDEX(PP_Grid[#Data],$DD557,21),0)</f>
        <v/>
      </c>
      <c r="X557">
        <f>IFERROR(INDEX(PP_Grid[#Data],$DD557,22),0)</f>
        <v/>
      </c>
      <c r="Y557">
        <f>IFERROR(INDEX(PP_Grid[#Data],$DD557,23),0)</f>
        <v/>
      </c>
      <c r="Z557">
        <f>IFERROR(INDEX(PP_Grid[#Data],$DD557,24),0)</f>
        <v/>
      </c>
      <c r="AA557">
        <f>IFERROR(INDEX(PP_Grid[#Data],$DD557,25),0)</f>
        <v/>
      </c>
      <c r="AB557">
        <f>IFERROR(INDEX(PP_Grid[#Data],$DD557,26),0)</f>
        <v/>
      </c>
      <c r="AC557">
        <f>IFERROR(INDEX(PP_Grid[#Data],$DD557,27),0)</f>
        <v/>
      </c>
      <c r="AD557">
        <f>IFERROR(INDEX(PP_Grid[#Data],$DD557,28),0)</f>
        <v/>
      </c>
      <c r="AE557">
        <f>IFERROR(INDEX(PP_Grid[#Data],$DD557,29),0)</f>
        <v/>
      </c>
      <c r="AF557">
        <f>IFERROR(INDEX(PP_Grid[#Data],$DD557,30),0)</f>
        <v/>
      </c>
      <c r="AG557">
        <f>IFERROR(INDEX(PP_Grid[#Data],$DD557,31),0)</f>
        <v/>
      </c>
      <c r="AH557">
        <f>IFERROR(INDEX(PP_Grid[#Data],$DD557,32),0)</f>
        <v/>
      </c>
      <c r="AI557">
        <f>IFERROR(INDEX(PP_Grid[#Data],$DD557,33),0)</f>
        <v/>
      </c>
      <c r="AJ557">
        <f>IFERROR(INDEX(PP_Grid[#Data],$DD557,34),0)</f>
        <v/>
      </c>
      <c r="AK557">
        <f>IFERROR(INDEX(PP_Grid[#Data],$DD557,35),0)</f>
        <v/>
      </c>
      <c r="AL557">
        <f>IFERROR(INDEX(PP_Grid[#Data],$DD557,36),0)</f>
        <v/>
      </c>
      <c r="AM557">
        <f>IFERROR(INDEX(PP_Grid[#Data],$DD557,37),0)</f>
        <v/>
      </c>
      <c r="AN557">
        <f>IFERROR(INDEX(PP_Grid[#Data],$DD557,38),0)</f>
        <v/>
      </c>
      <c r="AO557">
        <f>IFERROR(INDEX(PP_Grid[#Data],$DD557,39),0)</f>
        <v/>
      </c>
      <c r="AP557">
        <f>IFERROR(INDEX(PP_Grid[#Data],$DD557,40),0)</f>
        <v/>
      </c>
      <c r="AQ557">
        <f>IFERROR(INDEX(PP_Grid[#Data],$DD557,41),0)</f>
        <v/>
      </c>
      <c r="AR557">
        <f>IFERROR(INDEX(PP_Grid[#Data],$DD557,42),0)</f>
        <v/>
      </c>
      <c r="AS557">
        <f>IFERROR(INDEX(PP_Grid[#Data],$DD557,43),0)</f>
        <v/>
      </c>
      <c r="AT557">
        <f>IFERROR(INDEX(PP_Grid[#Data],$DD557,44),0)</f>
        <v/>
      </c>
      <c r="AU557">
        <f>IFERROR(INDEX(PP_Grid[#Data],$DD557,45),0)</f>
        <v/>
      </c>
      <c r="AV557">
        <f>IFERROR(INDEX(PP_Grid[#Data],$DD557,46),0)</f>
        <v/>
      </c>
      <c r="AW557">
        <f>IFERROR(INDEX(PP_Grid[#Data],$DD557,47),0)</f>
        <v/>
      </c>
      <c r="AX557">
        <f>IFERROR(INDEX(PP_Grid[#Data],$DD557,48),0)</f>
        <v/>
      </c>
      <c r="AY557">
        <f>IFERROR(INDEX(PP_Grid[#Data],$DD557,49),0)</f>
        <v/>
      </c>
      <c r="AZ557">
        <f>IFERROR(INDEX(PP_Grid[#Data],$DD557,50),0)</f>
        <v/>
      </c>
      <c r="BA557">
        <f>IFERROR(INDEX(PP_Grid[#Data],$DD557,51),0)</f>
        <v/>
      </c>
      <c r="BB557">
        <f>IFERROR(INDEX(PP_Grid[#Data],$DD557,52),0)</f>
        <v/>
      </c>
      <c r="BC557">
        <f>IFERROR(INDEX(PP_Grid[#Data],$DD557,53),0)</f>
        <v/>
      </c>
      <c r="BD557">
        <f>IFERROR(INDEX(PP_Grid[#Data],$DD557,54),0)</f>
        <v/>
      </c>
      <c r="BE557">
        <f>IFERROR(INDEX(PP_Grid[#Data],$DD557,55),0)</f>
        <v/>
      </c>
      <c r="BF557">
        <f>IFERROR(INDEX(PP_Grid[#Data],$DD557,56),0)</f>
        <v/>
      </c>
      <c r="BG557">
        <f>IFERROR(INDEX(PP_Grid[#Data],$DD557,57),0)</f>
        <v/>
      </c>
      <c r="BH557">
        <f>IFERROR(INDEX(PP_Grid[#Data],$DD557,58),0)</f>
        <v/>
      </c>
      <c r="BI557">
        <f>IFERROR(INDEX(PP_Grid[#Data],$DD557,59),0)</f>
        <v/>
      </c>
      <c r="BJ557">
        <f>IFERROR(INDEX(PP_Grid[#Data],$DD557,60),0)</f>
        <v/>
      </c>
      <c r="BK557">
        <f>IFERROR(INDEX(PP_Grid[#Data],$DD557,61),0)</f>
        <v/>
      </c>
      <c r="BL557">
        <f>IFERROR(INDEX(PP_Grid[#Data],$DD557,62),0)</f>
        <v/>
      </c>
      <c r="BM557">
        <f>IFERROR(INDEX(PP_Grid[#Data],$DD557,63),0)</f>
        <v/>
      </c>
      <c r="BN557">
        <f>IFERROR(INDEX(PP_Grid[#Data],$DD557,64),0)</f>
        <v/>
      </c>
      <c r="BO557">
        <f>IFERROR(INDEX(PP_Grid[#Data],$DD557,65),0)</f>
        <v/>
      </c>
      <c r="BP557">
        <f>IFERROR(INDEX(PP_Grid[#Data],$DD557,66),0)</f>
        <v/>
      </c>
      <c r="BQ557">
        <f>IFERROR(INDEX(PP_Grid[#Data],$DD557,67),0)</f>
        <v/>
      </c>
      <c r="BR557">
        <f>IFERROR(INDEX(PP_Grid[#Data],$DD557,68),0)</f>
        <v/>
      </c>
      <c r="BS557">
        <f>IFERROR(INDEX(PP_Grid[#Data],$DD557,69),0)</f>
        <v/>
      </c>
      <c r="BT557">
        <f>IFERROR(INDEX(PP_Grid[#Data],$DD557,70),0)</f>
        <v/>
      </c>
      <c r="BU557">
        <f>IFERROR(INDEX(PP_Grid[#Data],$DD557,71),0)</f>
        <v/>
      </c>
      <c r="BV557">
        <f>IFERROR(INDEX(PP_Grid[#Data],$DD557,72),0)</f>
        <v/>
      </c>
      <c r="BW557">
        <f>IFERROR(INDEX(PP_Grid[#Data],$DD557,73),0)</f>
        <v/>
      </c>
      <c r="BX557">
        <f>IFERROR(INDEX(PP_Grid[#Data],$DD557,74),0)</f>
        <v/>
      </c>
      <c r="BY557">
        <f>IFERROR(INDEX(PP_Grid[#Data],$DD557,75),0)</f>
        <v/>
      </c>
      <c r="BZ557">
        <f>IFERROR(INDEX(PP_Grid[#Data],$DD557,76),0)</f>
        <v/>
      </c>
      <c r="CA557">
        <f>IFERROR(INDEX(PP_Grid[#Data],$DD557,77),0)</f>
        <v/>
      </c>
      <c r="CB557">
        <f>IFERROR(INDEX(PP_Grid[#Data],$DD557,78),0)</f>
        <v/>
      </c>
      <c r="CC557">
        <f>IFERROR(INDEX(PP_Grid[#Data],$DD557,79),0)</f>
        <v/>
      </c>
      <c r="CD557">
        <f>IFERROR(INDEX(PP_Grid[#Data],$DD557,80),0)</f>
        <v/>
      </c>
      <c r="CE557">
        <f>IFERROR(INDEX(PP_Grid[#Data],$DD557,81),0)</f>
        <v/>
      </c>
      <c r="CF557">
        <f>IFERROR(INDEX(PP_Grid[#Data],$DD557,82),0)</f>
        <v/>
      </c>
      <c r="CG557">
        <f>IFERROR(INDEX(PP_Grid[#Data],$DD557,83),0)</f>
        <v/>
      </c>
      <c r="CH557">
        <f>IFERROR(INDEX(PP_Grid[#Data],$DD557,84),0)</f>
        <v/>
      </c>
      <c r="CI557">
        <f>IFERROR(INDEX(PP_Grid[#Data],$DD557,85),0)</f>
        <v/>
      </c>
      <c r="CJ557">
        <f>IFERROR(INDEX(PP_Grid[#Data],$DD557,86),0)</f>
        <v/>
      </c>
      <c r="CK557">
        <f>IFERROR(INDEX(PP_Grid[#Data],$DD557,87),0)</f>
        <v/>
      </c>
      <c r="CL557">
        <f>IFERROR(INDEX(PP_Grid[#Data],$DD557,88),0)</f>
        <v/>
      </c>
      <c r="CM557">
        <f>IFERROR(INDEX(PP_Grid[#Data],$DD557,89),0)</f>
        <v/>
      </c>
      <c r="CN557">
        <f>IFERROR(INDEX(PP_Grid[#Data],$DD557,90),0)</f>
        <v/>
      </c>
      <c r="CO557">
        <f>IFERROR(INDEX(PP_Grid[#Data],$DD557,91),0)</f>
        <v/>
      </c>
      <c r="CP557">
        <f>IFERROR(INDEX(PP_Grid[#Data],$DD557,92),0)</f>
        <v/>
      </c>
      <c r="CQ557">
        <f>IFERROR(INDEX(PP_Grid[#Data],$DD557,93),0)</f>
        <v/>
      </c>
      <c r="CR557">
        <f>IFERROR(INDEX(PP_Grid[#Data],$DD557,94),0)</f>
        <v/>
      </c>
      <c r="CS557">
        <f>IFERROR(INDEX(PP_Grid[#Data],$DD557,95),0)</f>
        <v/>
      </c>
      <c r="CT557">
        <f>IFERROR(INDEX(PP_Grid[#Data],$DD557,96),0)</f>
        <v/>
      </c>
      <c r="CU557">
        <f>IFERROR(INDEX(PP_Grid[#Data],$DD557,97),0)</f>
        <v/>
      </c>
      <c r="CV557">
        <f>IFERROR(INDEX(PP_Grid[#Data],$DD557,98),0)</f>
        <v/>
      </c>
      <c r="CW557">
        <f>IFERROR(INDEX(PP_Grid[#Data],$DD557,99),0)</f>
        <v/>
      </c>
      <c r="CX557">
        <f>IFERROR(INDEX(PP_Grid[#Data],$DD557,100),0)</f>
        <v/>
      </c>
      <c r="CY557">
        <f>IFERROR(INDEX(PP_Grid[#Data],$DD557,101),0)</f>
        <v/>
      </c>
      <c r="CZ557">
        <f>IFERROR(INDEX(PP_Grid[#Data],$DD557,102),0)</f>
        <v/>
      </c>
      <c r="DA557">
        <f>IFERROR(INDEX(PP_Grid[#Data],$DD557,103),0)</f>
        <v/>
      </c>
      <c r="DB557">
        <f>IFERROR(INDEX(PP_Grid[#Data],$DD557,104),0)</f>
        <v/>
      </c>
      <c r="DC557">
        <f>IFERROR(INDEX(PP_Grid[#Data],$DD557,105),0)</f>
        <v/>
      </c>
      <c r="DD557" s="12">
        <f>IFERROR(MATCH($B557,PP_Grid[Intermediate],0),99999)</f>
        <v/>
      </c>
    </row>
    <row r="558">
      <c r="B558" t="inlineStr">
        <is>
          <t>使用量(kg)</t>
        </is>
      </c>
      <c r="C558">
        <f>SUMIFS(M_BOM[RM_Qty_Per_Batch],M_BOM[Intermediate],$B557,M_BOM[Part Name],$A518)</f>
        <v/>
      </c>
      <c r="D558">
        <f>$C558*D557</f>
        <v/>
      </c>
      <c r="E558">
        <f>$C558*E557</f>
        <v/>
      </c>
      <c r="F558">
        <f>$C558*F557</f>
        <v/>
      </c>
      <c r="G558">
        <f>$C558*G557</f>
        <v/>
      </c>
      <c r="H558">
        <f>$C558*H557</f>
        <v/>
      </c>
      <c r="I558">
        <f>$C558*I557</f>
        <v/>
      </c>
      <c r="J558">
        <f>$C558*J557</f>
        <v/>
      </c>
      <c r="K558">
        <f>$C558*K557</f>
        <v/>
      </c>
      <c r="L558">
        <f>$C558*L557</f>
        <v/>
      </c>
      <c r="M558">
        <f>$C558*M557</f>
        <v/>
      </c>
      <c r="N558">
        <f>$C558*N557</f>
        <v/>
      </c>
      <c r="O558">
        <f>$C558*O557</f>
        <v/>
      </c>
      <c r="P558">
        <f>$C558*P557</f>
        <v/>
      </c>
      <c r="Q558">
        <f>$C558*Q557</f>
        <v/>
      </c>
      <c r="R558">
        <f>$C558*R557</f>
        <v/>
      </c>
      <c r="S558">
        <f>$C558*S557</f>
        <v/>
      </c>
      <c r="T558">
        <f>$C558*T557</f>
        <v/>
      </c>
      <c r="U558">
        <f>$C558*U557</f>
        <v/>
      </c>
      <c r="V558">
        <f>$C558*V557</f>
        <v/>
      </c>
      <c r="W558">
        <f>$C558*W557</f>
        <v/>
      </c>
      <c r="X558">
        <f>$C558*X557</f>
        <v/>
      </c>
      <c r="Y558">
        <f>$C558*Y557</f>
        <v/>
      </c>
      <c r="Z558">
        <f>$C558*Z557</f>
        <v/>
      </c>
      <c r="AA558">
        <f>$C558*AA557</f>
        <v/>
      </c>
      <c r="AB558">
        <f>$C558*AB557</f>
        <v/>
      </c>
      <c r="AC558">
        <f>$C558*AC557</f>
        <v/>
      </c>
      <c r="AD558">
        <f>$C558*AD557</f>
        <v/>
      </c>
      <c r="AE558">
        <f>$C558*AE557</f>
        <v/>
      </c>
      <c r="AF558">
        <f>$C558*AF557</f>
        <v/>
      </c>
      <c r="AG558">
        <f>$C558*AG557</f>
        <v/>
      </c>
      <c r="AH558">
        <f>$C558*AH557</f>
        <v/>
      </c>
      <c r="AI558">
        <f>$C558*AI557</f>
        <v/>
      </c>
      <c r="AJ558">
        <f>$C558*AJ557</f>
        <v/>
      </c>
      <c r="AK558">
        <f>$C558*AK557</f>
        <v/>
      </c>
      <c r="AL558">
        <f>$C558*AL557</f>
        <v/>
      </c>
      <c r="AM558">
        <f>$C558*AM557</f>
        <v/>
      </c>
      <c r="AN558">
        <f>$C558*AN557</f>
        <v/>
      </c>
      <c r="AO558">
        <f>$C558*AO557</f>
        <v/>
      </c>
      <c r="AP558">
        <f>$C558*AP557</f>
        <v/>
      </c>
      <c r="AQ558">
        <f>$C558*AQ557</f>
        <v/>
      </c>
      <c r="AR558">
        <f>$C558*AR557</f>
        <v/>
      </c>
      <c r="AS558">
        <f>$C558*AS557</f>
        <v/>
      </c>
      <c r="AT558">
        <f>$C558*AT557</f>
        <v/>
      </c>
      <c r="AU558">
        <f>$C558*AU557</f>
        <v/>
      </c>
      <c r="AV558">
        <f>$C558*AV557</f>
        <v/>
      </c>
      <c r="AW558">
        <f>$C558*AW557</f>
        <v/>
      </c>
      <c r="AX558">
        <f>$C558*AX557</f>
        <v/>
      </c>
      <c r="AY558">
        <f>$C558*AY557</f>
        <v/>
      </c>
      <c r="AZ558">
        <f>$C558*AZ557</f>
        <v/>
      </c>
      <c r="BA558">
        <f>$C558*BA557</f>
        <v/>
      </c>
      <c r="BB558">
        <f>$C558*BB557</f>
        <v/>
      </c>
      <c r="BC558">
        <f>$C558*BC557</f>
        <v/>
      </c>
      <c r="BD558">
        <f>$C558*BD557</f>
        <v/>
      </c>
      <c r="BE558">
        <f>$C558*BE557</f>
        <v/>
      </c>
      <c r="BF558">
        <f>$C558*BF557</f>
        <v/>
      </c>
      <c r="BG558">
        <f>$C558*BG557</f>
        <v/>
      </c>
      <c r="BH558">
        <f>$C558*BH557</f>
        <v/>
      </c>
      <c r="BI558">
        <f>$C558*BI557</f>
        <v/>
      </c>
      <c r="BJ558">
        <f>$C558*BJ557</f>
        <v/>
      </c>
      <c r="BK558">
        <f>$C558*BK557</f>
        <v/>
      </c>
      <c r="BL558">
        <f>$C558*BL557</f>
        <v/>
      </c>
      <c r="BM558">
        <f>$C558*BM557</f>
        <v/>
      </c>
      <c r="BN558">
        <f>$C558*BN557</f>
        <v/>
      </c>
      <c r="BO558">
        <f>$C558*BO557</f>
        <v/>
      </c>
      <c r="BP558">
        <f>$C558*BP557</f>
        <v/>
      </c>
      <c r="BQ558">
        <f>$C558*BQ557</f>
        <v/>
      </c>
      <c r="BR558">
        <f>$C558*BR557</f>
        <v/>
      </c>
      <c r="BS558">
        <f>$C558*BS557</f>
        <v/>
      </c>
      <c r="BT558">
        <f>$C558*BT557</f>
        <v/>
      </c>
      <c r="BU558">
        <f>$C558*BU557</f>
        <v/>
      </c>
      <c r="BV558">
        <f>$C558*BV557</f>
        <v/>
      </c>
      <c r="BW558">
        <f>$C558*BW557</f>
        <v/>
      </c>
      <c r="BX558">
        <f>$C558*BX557</f>
        <v/>
      </c>
      <c r="BY558">
        <f>$C558*BY557</f>
        <v/>
      </c>
      <c r="BZ558">
        <f>$C558*BZ557</f>
        <v/>
      </c>
      <c r="CA558">
        <f>$C558*CA557</f>
        <v/>
      </c>
      <c r="CB558">
        <f>$C558*CB557</f>
        <v/>
      </c>
      <c r="CC558">
        <f>$C558*CC557</f>
        <v/>
      </c>
      <c r="CD558">
        <f>$C558*CD557</f>
        <v/>
      </c>
      <c r="CE558">
        <f>$C558*CE557</f>
        <v/>
      </c>
      <c r="CF558">
        <f>$C558*CF557</f>
        <v/>
      </c>
      <c r="CG558">
        <f>$C558*CG557</f>
        <v/>
      </c>
      <c r="CH558">
        <f>$C558*CH557</f>
        <v/>
      </c>
      <c r="CI558">
        <f>$C558*CI557</f>
        <v/>
      </c>
      <c r="CJ558">
        <f>$C558*CJ557</f>
        <v/>
      </c>
      <c r="CK558">
        <f>$C558*CK557</f>
        <v/>
      </c>
      <c r="CL558">
        <f>$C558*CL557</f>
        <v/>
      </c>
      <c r="CM558">
        <f>$C558*CM557</f>
        <v/>
      </c>
      <c r="CN558">
        <f>$C558*CN557</f>
        <v/>
      </c>
      <c r="CO558">
        <f>$C558*CO557</f>
        <v/>
      </c>
      <c r="CP558">
        <f>$C558*CP557</f>
        <v/>
      </c>
      <c r="CQ558">
        <f>$C558*CQ557</f>
        <v/>
      </c>
      <c r="CR558">
        <f>$C558*CR557</f>
        <v/>
      </c>
      <c r="CS558">
        <f>$C558*CS557</f>
        <v/>
      </c>
      <c r="CT558">
        <f>$C558*CT557</f>
        <v/>
      </c>
      <c r="CU558">
        <f>$C558*CU557</f>
        <v/>
      </c>
      <c r="CV558">
        <f>$C558*CV557</f>
        <v/>
      </c>
      <c r="CW558">
        <f>$C558*CW557</f>
        <v/>
      </c>
      <c r="CX558">
        <f>$C558*CX557</f>
        <v/>
      </c>
      <c r="CY558">
        <f>$C558*CY557</f>
        <v/>
      </c>
      <c r="CZ558">
        <f>$C558*CZ557</f>
        <v/>
      </c>
      <c r="DA558">
        <f>$C558*DA557</f>
        <v/>
      </c>
      <c r="DB558">
        <f>$C558*DB557</f>
        <v/>
      </c>
      <c r="DC558">
        <f>$C558*DC557</f>
        <v/>
      </c>
    </row>
    <row r="559">
      <c r="B559" t="inlineStr">
        <is>
          <t>TSP-620</t>
        </is>
      </c>
      <c r="C559" t="inlineStr">
        <is>
          <t>No. of batches</t>
        </is>
      </c>
      <c r="D559">
        <f>IFERROR(INDEX(PP_Grid[#Data],$DD559,2),0)</f>
        <v/>
      </c>
      <c r="E559">
        <f>IFERROR(INDEX(PP_Grid[#Data],$DD559,3),0)</f>
        <v/>
      </c>
      <c r="F559">
        <f>IFERROR(INDEX(PP_Grid[#Data],$DD559,4),0)</f>
        <v/>
      </c>
      <c r="G559">
        <f>IFERROR(INDEX(PP_Grid[#Data],$DD559,5),0)</f>
        <v/>
      </c>
      <c r="H559">
        <f>IFERROR(INDEX(PP_Grid[#Data],$DD559,6),0)</f>
        <v/>
      </c>
      <c r="I559">
        <f>IFERROR(INDEX(PP_Grid[#Data],$DD559,7),0)</f>
        <v/>
      </c>
      <c r="J559">
        <f>IFERROR(INDEX(PP_Grid[#Data],$DD559,8),0)</f>
        <v/>
      </c>
      <c r="K559">
        <f>IFERROR(INDEX(PP_Grid[#Data],$DD559,9),0)</f>
        <v/>
      </c>
      <c r="L559">
        <f>IFERROR(INDEX(PP_Grid[#Data],$DD559,10),0)</f>
        <v/>
      </c>
      <c r="M559">
        <f>IFERROR(INDEX(PP_Grid[#Data],$DD559,11),0)</f>
        <v/>
      </c>
      <c r="N559">
        <f>IFERROR(INDEX(PP_Grid[#Data],$DD559,12),0)</f>
        <v/>
      </c>
      <c r="O559">
        <f>IFERROR(INDEX(PP_Grid[#Data],$DD559,13),0)</f>
        <v/>
      </c>
      <c r="P559">
        <f>IFERROR(INDEX(PP_Grid[#Data],$DD559,14),0)</f>
        <v/>
      </c>
      <c r="Q559">
        <f>IFERROR(INDEX(PP_Grid[#Data],$DD559,15),0)</f>
        <v/>
      </c>
      <c r="R559">
        <f>IFERROR(INDEX(PP_Grid[#Data],$DD559,16),0)</f>
        <v/>
      </c>
      <c r="S559">
        <f>IFERROR(INDEX(PP_Grid[#Data],$DD559,17),0)</f>
        <v/>
      </c>
      <c r="T559">
        <f>IFERROR(INDEX(PP_Grid[#Data],$DD559,18),0)</f>
        <v/>
      </c>
      <c r="U559">
        <f>IFERROR(INDEX(PP_Grid[#Data],$DD559,19),0)</f>
        <v/>
      </c>
      <c r="V559">
        <f>IFERROR(INDEX(PP_Grid[#Data],$DD559,20),0)</f>
        <v/>
      </c>
      <c r="W559">
        <f>IFERROR(INDEX(PP_Grid[#Data],$DD559,21),0)</f>
        <v/>
      </c>
      <c r="X559">
        <f>IFERROR(INDEX(PP_Grid[#Data],$DD559,22),0)</f>
        <v/>
      </c>
      <c r="Y559">
        <f>IFERROR(INDEX(PP_Grid[#Data],$DD559,23),0)</f>
        <v/>
      </c>
      <c r="Z559">
        <f>IFERROR(INDEX(PP_Grid[#Data],$DD559,24),0)</f>
        <v/>
      </c>
      <c r="AA559">
        <f>IFERROR(INDEX(PP_Grid[#Data],$DD559,25),0)</f>
        <v/>
      </c>
      <c r="AB559">
        <f>IFERROR(INDEX(PP_Grid[#Data],$DD559,26),0)</f>
        <v/>
      </c>
      <c r="AC559">
        <f>IFERROR(INDEX(PP_Grid[#Data],$DD559,27),0)</f>
        <v/>
      </c>
      <c r="AD559">
        <f>IFERROR(INDEX(PP_Grid[#Data],$DD559,28),0)</f>
        <v/>
      </c>
      <c r="AE559">
        <f>IFERROR(INDEX(PP_Grid[#Data],$DD559,29),0)</f>
        <v/>
      </c>
      <c r="AF559">
        <f>IFERROR(INDEX(PP_Grid[#Data],$DD559,30),0)</f>
        <v/>
      </c>
      <c r="AG559">
        <f>IFERROR(INDEX(PP_Grid[#Data],$DD559,31),0)</f>
        <v/>
      </c>
      <c r="AH559">
        <f>IFERROR(INDEX(PP_Grid[#Data],$DD559,32),0)</f>
        <v/>
      </c>
      <c r="AI559">
        <f>IFERROR(INDEX(PP_Grid[#Data],$DD559,33),0)</f>
        <v/>
      </c>
      <c r="AJ559">
        <f>IFERROR(INDEX(PP_Grid[#Data],$DD559,34),0)</f>
        <v/>
      </c>
      <c r="AK559">
        <f>IFERROR(INDEX(PP_Grid[#Data],$DD559,35),0)</f>
        <v/>
      </c>
      <c r="AL559">
        <f>IFERROR(INDEX(PP_Grid[#Data],$DD559,36),0)</f>
        <v/>
      </c>
      <c r="AM559">
        <f>IFERROR(INDEX(PP_Grid[#Data],$DD559,37),0)</f>
        <v/>
      </c>
      <c r="AN559">
        <f>IFERROR(INDEX(PP_Grid[#Data],$DD559,38),0)</f>
        <v/>
      </c>
      <c r="AO559">
        <f>IFERROR(INDEX(PP_Grid[#Data],$DD559,39),0)</f>
        <v/>
      </c>
      <c r="AP559">
        <f>IFERROR(INDEX(PP_Grid[#Data],$DD559,40),0)</f>
        <v/>
      </c>
      <c r="AQ559">
        <f>IFERROR(INDEX(PP_Grid[#Data],$DD559,41),0)</f>
        <v/>
      </c>
      <c r="AR559">
        <f>IFERROR(INDEX(PP_Grid[#Data],$DD559,42),0)</f>
        <v/>
      </c>
      <c r="AS559">
        <f>IFERROR(INDEX(PP_Grid[#Data],$DD559,43),0)</f>
        <v/>
      </c>
      <c r="AT559">
        <f>IFERROR(INDEX(PP_Grid[#Data],$DD559,44),0)</f>
        <v/>
      </c>
      <c r="AU559">
        <f>IFERROR(INDEX(PP_Grid[#Data],$DD559,45),0)</f>
        <v/>
      </c>
      <c r="AV559">
        <f>IFERROR(INDEX(PP_Grid[#Data],$DD559,46),0)</f>
        <v/>
      </c>
      <c r="AW559">
        <f>IFERROR(INDEX(PP_Grid[#Data],$DD559,47),0)</f>
        <v/>
      </c>
      <c r="AX559">
        <f>IFERROR(INDEX(PP_Grid[#Data],$DD559,48),0)</f>
        <v/>
      </c>
      <c r="AY559">
        <f>IFERROR(INDEX(PP_Grid[#Data],$DD559,49),0)</f>
        <v/>
      </c>
      <c r="AZ559">
        <f>IFERROR(INDEX(PP_Grid[#Data],$DD559,50),0)</f>
        <v/>
      </c>
      <c r="BA559">
        <f>IFERROR(INDEX(PP_Grid[#Data],$DD559,51),0)</f>
        <v/>
      </c>
      <c r="BB559">
        <f>IFERROR(INDEX(PP_Grid[#Data],$DD559,52),0)</f>
        <v/>
      </c>
      <c r="BC559">
        <f>IFERROR(INDEX(PP_Grid[#Data],$DD559,53),0)</f>
        <v/>
      </c>
      <c r="BD559">
        <f>IFERROR(INDEX(PP_Grid[#Data],$DD559,54),0)</f>
        <v/>
      </c>
      <c r="BE559">
        <f>IFERROR(INDEX(PP_Grid[#Data],$DD559,55),0)</f>
        <v/>
      </c>
      <c r="BF559">
        <f>IFERROR(INDEX(PP_Grid[#Data],$DD559,56),0)</f>
        <v/>
      </c>
      <c r="BG559">
        <f>IFERROR(INDEX(PP_Grid[#Data],$DD559,57),0)</f>
        <v/>
      </c>
      <c r="BH559">
        <f>IFERROR(INDEX(PP_Grid[#Data],$DD559,58),0)</f>
        <v/>
      </c>
      <c r="BI559">
        <f>IFERROR(INDEX(PP_Grid[#Data],$DD559,59),0)</f>
        <v/>
      </c>
      <c r="BJ559">
        <f>IFERROR(INDEX(PP_Grid[#Data],$DD559,60),0)</f>
        <v/>
      </c>
      <c r="BK559">
        <f>IFERROR(INDEX(PP_Grid[#Data],$DD559,61),0)</f>
        <v/>
      </c>
      <c r="BL559">
        <f>IFERROR(INDEX(PP_Grid[#Data],$DD559,62),0)</f>
        <v/>
      </c>
      <c r="BM559">
        <f>IFERROR(INDEX(PP_Grid[#Data],$DD559,63),0)</f>
        <v/>
      </c>
      <c r="BN559">
        <f>IFERROR(INDEX(PP_Grid[#Data],$DD559,64),0)</f>
        <v/>
      </c>
      <c r="BO559">
        <f>IFERROR(INDEX(PP_Grid[#Data],$DD559,65),0)</f>
        <v/>
      </c>
      <c r="BP559">
        <f>IFERROR(INDEX(PP_Grid[#Data],$DD559,66),0)</f>
        <v/>
      </c>
      <c r="BQ559">
        <f>IFERROR(INDEX(PP_Grid[#Data],$DD559,67),0)</f>
        <v/>
      </c>
      <c r="BR559">
        <f>IFERROR(INDEX(PP_Grid[#Data],$DD559,68),0)</f>
        <v/>
      </c>
      <c r="BS559">
        <f>IFERROR(INDEX(PP_Grid[#Data],$DD559,69),0)</f>
        <v/>
      </c>
      <c r="BT559">
        <f>IFERROR(INDEX(PP_Grid[#Data],$DD559,70),0)</f>
        <v/>
      </c>
      <c r="BU559">
        <f>IFERROR(INDEX(PP_Grid[#Data],$DD559,71),0)</f>
        <v/>
      </c>
      <c r="BV559">
        <f>IFERROR(INDEX(PP_Grid[#Data],$DD559,72),0)</f>
        <v/>
      </c>
      <c r="BW559">
        <f>IFERROR(INDEX(PP_Grid[#Data],$DD559,73),0)</f>
        <v/>
      </c>
      <c r="BX559">
        <f>IFERROR(INDEX(PP_Grid[#Data],$DD559,74),0)</f>
        <v/>
      </c>
      <c r="BY559">
        <f>IFERROR(INDEX(PP_Grid[#Data],$DD559,75),0)</f>
        <v/>
      </c>
      <c r="BZ559">
        <f>IFERROR(INDEX(PP_Grid[#Data],$DD559,76),0)</f>
        <v/>
      </c>
      <c r="CA559">
        <f>IFERROR(INDEX(PP_Grid[#Data],$DD559,77),0)</f>
        <v/>
      </c>
      <c r="CB559">
        <f>IFERROR(INDEX(PP_Grid[#Data],$DD559,78),0)</f>
        <v/>
      </c>
      <c r="CC559">
        <f>IFERROR(INDEX(PP_Grid[#Data],$DD559,79),0)</f>
        <v/>
      </c>
      <c r="CD559">
        <f>IFERROR(INDEX(PP_Grid[#Data],$DD559,80),0)</f>
        <v/>
      </c>
      <c r="CE559">
        <f>IFERROR(INDEX(PP_Grid[#Data],$DD559,81),0)</f>
        <v/>
      </c>
      <c r="CF559">
        <f>IFERROR(INDEX(PP_Grid[#Data],$DD559,82),0)</f>
        <v/>
      </c>
      <c r="CG559">
        <f>IFERROR(INDEX(PP_Grid[#Data],$DD559,83),0)</f>
        <v/>
      </c>
      <c r="CH559">
        <f>IFERROR(INDEX(PP_Grid[#Data],$DD559,84),0)</f>
        <v/>
      </c>
      <c r="CI559">
        <f>IFERROR(INDEX(PP_Grid[#Data],$DD559,85),0)</f>
        <v/>
      </c>
      <c r="CJ559">
        <f>IFERROR(INDEX(PP_Grid[#Data],$DD559,86),0)</f>
        <v/>
      </c>
      <c r="CK559">
        <f>IFERROR(INDEX(PP_Grid[#Data],$DD559,87),0)</f>
        <v/>
      </c>
      <c r="CL559">
        <f>IFERROR(INDEX(PP_Grid[#Data],$DD559,88),0)</f>
        <v/>
      </c>
      <c r="CM559">
        <f>IFERROR(INDEX(PP_Grid[#Data],$DD559,89),0)</f>
        <v/>
      </c>
      <c r="CN559">
        <f>IFERROR(INDEX(PP_Grid[#Data],$DD559,90),0)</f>
        <v/>
      </c>
      <c r="CO559">
        <f>IFERROR(INDEX(PP_Grid[#Data],$DD559,91),0)</f>
        <v/>
      </c>
      <c r="CP559">
        <f>IFERROR(INDEX(PP_Grid[#Data],$DD559,92),0)</f>
        <v/>
      </c>
      <c r="CQ559">
        <f>IFERROR(INDEX(PP_Grid[#Data],$DD559,93),0)</f>
        <v/>
      </c>
      <c r="CR559">
        <f>IFERROR(INDEX(PP_Grid[#Data],$DD559,94),0)</f>
        <v/>
      </c>
      <c r="CS559">
        <f>IFERROR(INDEX(PP_Grid[#Data],$DD559,95),0)</f>
        <v/>
      </c>
      <c r="CT559">
        <f>IFERROR(INDEX(PP_Grid[#Data],$DD559,96),0)</f>
        <v/>
      </c>
      <c r="CU559">
        <f>IFERROR(INDEX(PP_Grid[#Data],$DD559,97),0)</f>
        <v/>
      </c>
      <c r="CV559">
        <f>IFERROR(INDEX(PP_Grid[#Data],$DD559,98),0)</f>
        <v/>
      </c>
      <c r="CW559">
        <f>IFERROR(INDEX(PP_Grid[#Data],$DD559,99),0)</f>
        <v/>
      </c>
      <c r="CX559">
        <f>IFERROR(INDEX(PP_Grid[#Data],$DD559,100),0)</f>
        <v/>
      </c>
      <c r="CY559">
        <f>IFERROR(INDEX(PP_Grid[#Data],$DD559,101),0)</f>
        <v/>
      </c>
      <c r="CZ559">
        <f>IFERROR(INDEX(PP_Grid[#Data],$DD559,102),0)</f>
        <v/>
      </c>
      <c r="DA559">
        <f>IFERROR(INDEX(PP_Grid[#Data],$DD559,103),0)</f>
        <v/>
      </c>
      <c r="DB559">
        <f>IFERROR(INDEX(PP_Grid[#Data],$DD559,104),0)</f>
        <v/>
      </c>
      <c r="DC559">
        <f>IFERROR(INDEX(PP_Grid[#Data],$DD559,105),0)</f>
        <v/>
      </c>
      <c r="DD559" s="12">
        <f>IFERROR(MATCH($B559,PP_Grid[Intermediate],0),99999)</f>
        <v/>
      </c>
    </row>
    <row r="560">
      <c r="B560" t="inlineStr">
        <is>
          <t>使用量(kg)</t>
        </is>
      </c>
      <c r="C560">
        <f>SUMIFS(M_BOM[RM_Qty_Per_Batch],M_BOM[Intermediate],$B559,M_BOM[Part Name],$A518)</f>
        <v/>
      </c>
      <c r="D560">
        <f>$C560*D559</f>
        <v/>
      </c>
      <c r="E560">
        <f>$C560*E559</f>
        <v/>
      </c>
      <c r="F560">
        <f>$C560*F559</f>
        <v/>
      </c>
      <c r="G560">
        <f>$C560*G559</f>
        <v/>
      </c>
      <c r="H560">
        <f>$C560*H559</f>
        <v/>
      </c>
      <c r="I560">
        <f>$C560*I559</f>
        <v/>
      </c>
      <c r="J560">
        <f>$C560*J559</f>
        <v/>
      </c>
      <c r="K560">
        <f>$C560*K559</f>
        <v/>
      </c>
      <c r="L560">
        <f>$C560*L559</f>
        <v/>
      </c>
      <c r="M560">
        <f>$C560*M559</f>
        <v/>
      </c>
      <c r="N560">
        <f>$C560*N559</f>
        <v/>
      </c>
      <c r="O560">
        <f>$C560*O559</f>
        <v/>
      </c>
      <c r="P560">
        <f>$C560*P559</f>
        <v/>
      </c>
      <c r="Q560">
        <f>$C560*Q559</f>
        <v/>
      </c>
      <c r="R560">
        <f>$C560*R559</f>
        <v/>
      </c>
      <c r="S560">
        <f>$C560*S559</f>
        <v/>
      </c>
      <c r="T560">
        <f>$C560*T559</f>
        <v/>
      </c>
      <c r="U560">
        <f>$C560*U559</f>
        <v/>
      </c>
      <c r="V560">
        <f>$C560*V559</f>
        <v/>
      </c>
      <c r="W560">
        <f>$C560*W559</f>
        <v/>
      </c>
      <c r="X560">
        <f>$C560*X559</f>
        <v/>
      </c>
      <c r="Y560">
        <f>$C560*Y559</f>
        <v/>
      </c>
      <c r="Z560">
        <f>$C560*Z559</f>
        <v/>
      </c>
      <c r="AA560">
        <f>$C560*AA559</f>
        <v/>
      </c>
      <c r="AB560">
        <f>$C560*AB559</f>
        <v/>
      </c>
      <c r="AC560">
        <f>$C560*AC559</f>
        <v/>
      </c>
      <c r="AD560">
        <f>$C560*AD559</f>
        <v/>
      </c>
      <c r="AE560">
        <f>$C560*AE559</f>
        <v/>
      </c>
      <c r="AF560">
        <f>$C560*AF559</f>
        <v/>
      </c>
      <c r="AG560">
        <f>$C560*AG559</f>
        <v/>
      </c>
      <c r="AH560">
        <f>$C560*AH559</f>
        <v/>
      </c>
      <c r="AI560">
        <f>$C560*AI559</f>
        <v/>
      </c>
      <c r="AJ560">
        <f>$C560*AJ559</f>
        <v/>
      </c>
      <c r="AK560">
        <f>$C560*AK559</f>
        <v/>
      </c>
      <c r="AL560">
        <f>$C560*AL559</f>
        <v/>
      </c>
      <c r="AM560">
        <f>$C560*AM559</f>
        <v/>
      </c>
      <c r="AN560">
        <f>$C560*AN559</f>
        <v/>
      </c>
      <c r="AO560">
        <f>$C560*AO559</f>
        <v/>
      </c>
      <c r="AP560">
        <f>$C560*AP559</f>
        <v/>
      </c>
      <c r="AQ560">
        <f>$C560*AQ559</f>
        <v/>
      </c>
      <c r="AR560">
        <f>$C560*AR559</f>
        <v/>
      </c>
      <c r="AS560">
        <f>$C560*AS559</f>
        <v/>
      </c>
      <c r="AT560">
        <f>$C560*AT559</f>
        <v/>
      </c>
      <c r="AU560">
        <f>$C560*AU559</f>
        <v/>
      </c>
      <c r="AV560">
        <f>$C560*AV559</f>
        <v/>
      </c>
      <c r="AW560">
        <f>$C560*AW559</f>
        <v/>
      </c>
      <c r="AX560">
        <f>$C560*AX559</f>
        <v/>
      </c>
      <c r="AY560">
        <f>$C560*AY559</f>
        <v/>
      </c>
      <c r="AZ560">
        <f>$C560*AZ559</f>
        <v/>
      </c>
      <c r="BA560">
        <f>$C560*BA559</f>
        <v/>
      </c>
      <c r="BB560">
        <f>$C560*BB559</f>
        <v/>
      </c>
      <c r="BC560">
        <f>$C560*BC559</f>
        <v/>
      </c>
      <c r="BD560">
        <f>$C560*BD559</f>
        <v/>
      </c>
      <c r="BE560">
        <f>$C560*BE559</f>
        <v/>
      </c>
      <c r="BF560">
        <f>$C560*BF559</f>
        <v/>
      </c>
      <c r="BG560">
        <f>$C560*BG559</f>
        <v/>
      </c>
      <c r="BH560">
        <f>$C560*BH559</f>
        <v/>
      </c>
      <c r="BI560">
        <f>$C560*BI559</f>
        <v/>
      </c>
      <c r="BJ560">
        <f>$C560*BJ559</f>
        <v/>
      </c>
      <c r="BK560">
        <f>$C560*BK559</f>
        <v/>
      </c>
      <c r="BL560">
        <f>$C560*BL559</f>
        <v/>
      </c>
      <c r="BM560">
        <f>$C560*BM559</f>
        <v/>
      </c>
      <c r="BN560">
        <f>$C560*BN559</f>
        <v/>
      </c>
      <c r="BO560">
        <f>$C560*BO559</f>
        <v/>
      </c>
      <c r="BP560">
        <f>$C560*BP559</f>
        <v/>
      </c>
      <c r="BQ560">
        <f>$C560*BQ559</f>
        <v/>
      </c>
      <c r="BR560">
        <f>$C560*BR559</f>
        <v/>
      </c>
      <c r="BS560">
        <f>$C560*BS559</f>
        <v/>
      </c>
      <c r="BT560">
        <f>$C560*BT559</f>
        <v/>
      </c>
      <c r="BU560">
        <f>$C560*BU559</f>
        <v/>
      </c>
      <c r="BV560">
        <f>$C560*BV559</f>
        <v/>
      </c>
      <c r="BW560">
        <f>$C560*BW559</f>
        <v/>
      </c>
      <c r="BX560">
        <f>$C560*BX559</f>
        <v/>
      </c>
      <c r="BY560">
        <f>$C560*BY559</f>
        <v/>
      </c>
      <c r="BZ560">
        <f>$C560*BZ559</f>
        <v/>
      </c>
      <c r="CA560">
        <f>$C560*CA559</f>
        <v/>
      </c>
      <c r="CB560">
        <f>$C560*CB559</f>
        <v/>
      </c>
      <c r="CC560">
        <f>$C560*CC559</f>
        <v/>
      </c>
      <c r="CD560">
        <f>$C560*CD559</f>
        <v/>
      </c>
      <c r="CE560">
        <f>$C560*CE559</f>
        <v/>
      </c>
      <c r="CF560">
        <f>$C560*CF559</f>
        <v/>
      </c>
      <c r="CG560">
        <f>$C560*CG559</f>
        <v/>
      </c>
      <c r="CH560">
        <f>$C560*CH559</f>
        <v/>
      </c>
      <c r="CI560">
        <f>$C560*CI559</f>
        <v/>
      </c>
      <c r="CJ560">
        <f>$C560*CJ559</f>
        <v/>
      </c>
      <c r="CK560">
        <f>$C560*CK559</f>
        <v/>
      </c>
      <c r="CL560">
        <f>$C560*CL559</f>
        <v/>
      </c>
      <c r="CM560">
        <f>$C560*CM559</f>
        <v/>
      </c>
      <c r="CN560">
        <f>$C560*CN559</f>
        <v/>
      </c>
      <c r="CO560">
        <f>$C560*CO559</f>
        <v/>
      </c>
      <c r="CP560">
        <f>$C560*CP559</f>
        <v/>
      </c>
      <c r="CQ560">
        <f>$C560*CQ559</f>
        <v/>
      </c>
      <c r="CR560">
        <f>$C560*CR559</f>
        <v/>
      </c>
      <c r="CS560">
        <f>$C560*CS559</f>
        <v/>
      </c>
      <c r="CT560">
        <f>$C560*CT559</f>
        <v/>
      </c>
      <c r="CU560">
        <f>$C560*CU559</f>
        <v/>
      </c>
      <c r="CV560">
        <f>$C560*CV559</f>
        <v/>
      </c>
      <c r="CW560">
        <f>$C560*CW559</f>
        <v/>
      </c>
      <c r="CX560">
        <f>$C560*CX559</f>
        <v/>
      </c>
      <c r="CY560">
        <f>$C560*CY559</f>
        <v/>
      </c>
      <c r="CZ560">
        <f>$C560*CZ559</f>
        <v/>
      </c>
      <c r="DA560">
        <f>$C560*DA559</f>
        <v/>
      </c>
      <c r="DB560">
        <f>$C560*DB559</f>
        <v/>
      </c>
      <c r="DC560">
        <f>$C560*DC559</f>
        <v/>
      </c>
    </row>
    <row r="561">
      <c r="B561" t="inlineStr">
        <is>
          <t>TSP-623</t>
        </is>
      </c>
      <c r="C561" t="inlineStr">
        <is>
          <t>No. of batches</t>
        </is>
      </c>
      <c r="D561">
        <f>IFERROR(INDEX(PP_Grid[#Data],$DD561,2),0)</f>
        <v/>
      </c>
      <c r="E561">
        <f>IFERROR(INDEX(PP_Grid[#Data],$DD561,3),0)</f>
        <v/>
      </c>
      <c r="F561">
        <f>IFERROR(INDEX(PP_Grid[#Data],$DD561,4),0)</f>
        <v/>
      </c>
      <c r="G561">
        <f>IFERROR(INDEX(PP_Grid[#Data],$DD561,5),0)</f>
        <v/>
      </c>
      <c r="H561">
        <f>IFERROR(INDEX(PP_Grid[#Data],$DD561,6),0)</f>
        <v/>
      </c>
      <c r="I561">
        <f>IFERROR(INDEX(PP_Grid[#Data],$DD561,7),0)</f>
        <v/>
      </c>
      <c r="J561">
        <f>IFERROR(INDEX(PP_Grid[#Data],$DD561,8),0)</f>
        <v/>
      </c>
      <c r="K561">
        <f>IFERROR(INDEX(PP_Grid[#Data],$DD561,9),0)</f>
        <v/>
      </c>
      <c r="L561">
        <f>IFERROR(INDEX(PP_Grid[#Data],$DD561,10),0)</f>
        <v/>
      </c>
      <c r="M561">
        <f>IFERROR(INDEX(PP_Grid[#Data],$DD561,11),0)</f>
        <v/>
      </c>
      <c r="N561">
        <f>IFERROR(INDEX(PP_Grid[#Data],$DD561,12),0)</f>
        <v/>
      </c>
      <c r="O561">
        <f>IFERROR(INDEX(PP_Grid[#Data],$DD561,13),0)</f>
        <v/>
      </c>
      <c r="P561">
        <f>IFERROR(INDEX(PP_Grid[#Data],$DD561,14),0)</f>
        <v/>
      </c>
      <c r="Q561">
        <f>IFERROR(INDEX(PP_Grid[#Data],$DD561,15),0)</f>
        <v/>
      </c>
      <c r="R561">
        <f>IFERROR(INDEX(PP_Grid[#Data],$DD561,16),0)</f>
        <v/>
      </c>
      <c r="S561">
        <f>IFERROR(INDEX(PP_Grid[#Data],$DD561,17),0)</f>
        <v/>
      </c>
      <c r="T561">
        <f>IFERROR(INDEX(PP_Grid[#Data],$DD561,18),0)</f>
        <v/>
      </c>
      <c r="U561">
        <f>IFERROR(INDEX(PP_Grid[#Data],$DD561,19),0)</f>
        <v/>
      </c>
      <c r="V561">
        <f>IFERROR(INDEX(PP_Grid[#Data],$DD561,20),0)</f>
        <v/>
      </c>
      <c r="W561">
        <f>IFERROR(INDEX(PP_Grid[#Data],$DD561,21),0)</f>
        <v/>
      </c>
      <c r="X561">
        <f>IFERROR(INDEX(PP_Grid[#Data],$DD561,22),0)</f>
        <v/>
      </c>
      <c r="Y561">
        <f>IFERROR(INDEX(PP_Grid[#Data],$DD561,23),0)</f>
        <v/>
      </c>
      <c r="Z561">
        <f>IFERROR(INDEX(PP_Grid[#Data],$DD561,24),0)</f>
        <v/>
      </c>
      <c r="AA561">
        <f>IFERROR(INDEX(PP_Grid[#Data],$DD561,25),0)</f>
        <v/>
      </c>
      <c r="AB561">
        <f>IFERROR(INDEX(PP_Grid[#Data],$DD561,26),0)</f>
        <v/>
      </c>
      <c r="AC561">
        <f>IFERROR(INDEX(PP_Grid[#Data],$DD561,27),0)</f>
        <v/>
      </c>
      <c r="AD561">
        <f>IFERROR(INDEX(PP_Grid[#Data],$DD561,28),0)</f>
        <v/>
      </c>
      <c r="AE561">
        <f>IFERROR(INDEX(PP_Grid[#Data],$DD561,29),0)</f>
        <v/>
      </c>
      <c r="AF561">
        <f>IFERROR(INDEX(PP_Grid[#Data],$DD561,30),0)</f>
        <v/>
      </c>
      <c r="AG561">
        <f>IFERROR(INDEX(PP_Grid[#Data],$DD561,31),0)</f>
        <v/>
      </c>
      <c r="AH561">
        <f>IFERROR(INDEX(PP_Grid[#Data],$DD561,32),0)</f>
        <v/>
      </c>
      <c r="AI561">
        <f>IFERROR(INDEX(PP_Grid[#Data],$DD561,33),0)</f>
        <v/>
      </c>
      <c r="AJ561">
        <f>IFERROR(INDEX(PP_Grid[#Data],$DD561,34),0)</f>
        <v/>
      </c>
      <c r="AK561">
        <f>IFERROR(INDEX(PP_Grid[#Data],$DD561,35),0)</f>
        <v/>
      </c>
      <c r="AL561">
        <f>IFERROR(INDEX(PP_Grid[#Data],$DD561,36),0)</f>
        <v/>
      </c>
      <c r="AM561">
        <f>IFERROR(INDEX(PP_Grid[#Data],$DD561,37),0)</f>
        <v/>
      </c>
      <c r="AN561">
        <f>IFERROR(INDEX(PP_Grid[#Data],$DD561,38),0)</f>
        <v/>
      </c>
      <c r="AO561">
        <f>IFERROR(INDEX(PP_Grid[#Data],$DD561,39),0)</f>
        <v/>
      </c>
      <c r="AP561">
        <f>IFERROR(INDEX(PP_Grid[#Data],$DD561,40),0)</f>
        <v/>
      </c>
      <c r="AQ561">
        <f>IFERROR(INDEX(PP_Grid[#Data],$DD561,41),0)</f>
        <v/>
      </c>
      <c r="AR561">
        <f>IFERROR(INDEX(PP_Grid[#Data],$DD561,42),0)</f>
        <v/>
      </c>
      <c r="AS561">
        <f>IFERROR(INDEX(PP_Grid[#Data],$DD561,43),0)</f>
        <v/>
      </c>
      <c r="AT561">
        <f>IFERROR(INDEX(PP_Grid[#Data],$DD561,44),0)</f>
        <v/>
      </c>
      <c r="AU561">
        <f>IFERROR(INDEX(PP_Grid[#Data],$DD561,45),0)</f>
        <v/>
      </c>
      <c r="AV561">
        <f>IFERROR(INDEX(PP_Grid[#Data],$DD561,46),0)</f>
        <v/>
      </c>
      <c r="AW561">
        <f>IFERROR(INDEX(PP_Grid[#Data],$DD561,47),0)</f>
        <v/>
      </c>
      <c r="AX561">
        <f>IFERROR(INDEX(PP_Grid[#Data],$DD561,48),0)</f>
        <v/>
      </c>
      <c r="AY561">
        <f>IFERROR(INDEX(PP_Grid[#Data],$DD561,49),0)</f>
        <v/>
      </c>
      <c r="AZ561">
        <f>IFERROR(INDEX(PP_Grid[#Data],$DD561,50),0)</f>
        <v/>
      </c>
      <c r="BA561">
        <f>IFERROR(INDEX(PP_Grid[#Data],$DD561,51),0)</f>
        <v/>
      </c>
      <c r="BB561">
        <f>IFERROR(INDEX(PP_Grid[#Data],$DD561,52),0)</f>
        <v/>
      </c>
      <c r="BC561">
        <f>IFERROR(INDEX(PP_Grid[#Data],$DD561,53),0)</f>
        <v/>
      </c>
      <c r="BD561">
        <f>IFERROR(INDEX(PP_Grid[#Data],$DD561,54),0)</f>
        <v/>
      </c>
      <c r="BE561">
        <f>IFERROR(INDEX(PP_Grid[#Data],$DD561,55),0)</f>
        <v/>
      </c>
      <c r="BF561">
        <f>IFERROR(INDEX(PP_Grid[#Data],$DD561,56),0)</f>
        <v/>
      </c>
      <c r="BG561">
        <f>IFERROR(INDEX(PP_Grid[#Data],$DD561,57),0)</f>
        <v/>
      </c>
      <c r="BH561">
        <f>IFERROR(INDEX(PP_Grid[#Data],$DD561,58),0)</f>
        <v/>
      </c>
      <c r="BI561">
        <f>IFERROR(INDEX(PP_Grid[#Data],$DD561,59),0)</f>
        <v/>
      </c>
      <c r="BJ561">
        <f>IFERROR(INDEX(PP_Grid[#Data],$DD561,60),0)</f>
        <v/>
      </c>
      <c r="BK561">
        <f>IFERROR(INDEX(PP_Grid[#Data],$DD561,61),0)</f>
        <v/>
      </c>
      <c r="BL561">
        <f>IFERROR(INDEX(PP_Grid[#Data],$DD561,62),0)</f>
        <v/>
      </c>
      <c r="BM561">
        <f>IFERROR(INDEX(PP_Grid[#Data],$DD561,63),0)</f>
        <v/>
      </c>
      <c r="BN561">
        <f>IFERROR(INDEX(PP_Grid[#Data],$DD561,64),0)</f>
        <v/>
      </c>
      <c r="BO561">
        <f>IFERROR(INDEX(PP_Grid[#Data],$DD561,65),0)</f>
        <v/>
      </c>
      <c r="BP561">
        <f>IFERROR(INDEX(PP_Grid[#Data],$DD561,66),0)</f>
        <v/>
      </c>
      <c r="BQ561">
        <f>IFERROR(INDEX(PP_Grid[#Data],$DD561,67),0)</f>
        <v/>
      </c>
      <c r="BR561">
        <f>IFERROR(INDEX(PP_Grid[#Data],$DD561,68),0)</f>
        <v/>
      </c>
      <c r="BS561">
        <f>IFERROR(INDEX(PP_Grid[#Data],$DD561,69),0)</f>
        <v/>
      </c>
      <c r="BT561">
        <f>IFERROR(INDEX(PP_Grid[#Data],$DD561,70),0)</f>
        <v/>
      </c>
      <c r="BU561">
        <f>IFERROR(INDEX(PP_Grid[#Data],$DD561,71),0)</f>
        <v/>
      </c>
      <c r="BV561">
        <f>IFERROR(INDEX(PP_Grid[#Data],$DD561,72),0)</f>
        <v/>
      </c>
      <c r="BW561">
        <f>IFERROR(INDEX(PP_Grid[#Data],$DD561,73),0)</f>
        <v/>
      </c>
      <c r="BX561">
        <f>IFERROR(INDEX(PP_Grid[#Data],$DD561,74),0)</f>
        <v/>
      </c>
      <c r="BY561">
        <f>IFERROR(INDEX(PP_Grid[#Data],$DD561,75),0)</f>
        <v/>
      </c>
      <c r="BZ561">
        <f>IFERROR(INDEX(PP_Grid[#Data],$DD561,76),0)</f>
        <v/>
      </c>
      <c r="CA561">
        <f>IFERROR(INDEX(PP_Grid[#Data],$DD561,77),0)</f>
        <v/>
      </c>
      <c r="CB561">
        <f>IFERROR(INDEX(PP_Grid[#Data],$DD561,78),0)</f>
        <v/>
      </c>
      <c r="CC561">
        <f>IFERROR(INDEX(PP_Grid[#Data],$DD561,79),0)</f>
        <v/>
      </c>
      <c r="CD561">
        <f>IFERROR(INDEX(PP_Grid[#Data],$DD561,80),0)</f>
        <v/>
      </c>
      <c r="CE561">
        <f>IFERROR(INDEX(PP_Grid[#Data],$DD561,81),0)</f>
        <v/>
      </c>
      <c r="CF561">
        <f>IFERROR(INDEX(PP_Grid[#Data],$DD561,82),0)</f>
        <v/>
      </c>
      <c r="CG561">
        <f>IFERROR(INDEX(PP_Grid[#Data],$DD561,83),0)</f>
        <v/>
      </c>
      <c r="CH561">
        <f>IFERROR(INDEX(PP_Grid[#Data],$DD561,84),0)</f>
        <v/>
      </c>
      <c r="CI561">
        <f>IFERROR(INDEX(PP_Grid[#Data],$DD561,85),0)</f>
        <v/>
      </c>
      <c r="CJ561">
        <f>IFERROR(INDEX(PP_Grid[#Data],$DD561,86),0)</f>
        <v/>
      </c>
      <c r="CK561">
        <f>IFERROR(INDEX(PP_Grid[#Data],$DD561,87),0)</f>
        <v/>
      </c>
      <c r="CL561">
        <f>IFERROR(INDEX(PP_Grid[#Data],$DD561,88),0)</f>
        <v/>
      </c>
      <c r="CM561">
        <f>IFERROR(INDEX(PP_Grid[#Data],$DD561,89),0)</f>
        <v/>
      </c>
      <c r="CN561">
        <f>IFERROR(INDEX(PP_Grid[#Data],$DD561,90),0)</f>
        <v/>
      </c>
      <c r="CO561">
        <f>IFERROR(INDEX(PP_Grid[#Data],$DD561,91),0)</f>
        <v/>
      </c>
      <c r="CP561">
        <f>IFERROR(INDEX(PP_Grid[#Data],$DD561,92),0)</f>
        <v/>
      </c>
      <c r="CQ561">
        <f>IFERROR(INDEX(PP_Grid[#Data],$DD561,93),0)</f>
        <v/>
      </c>
      <c r="CR561">
        <f>IFERROR(INDEX(PP_Grid[#Data],$DD561,94),0)</f>
        <v/>
      </c>
      <c r="CS561">
        <f>IFERROR(INDEX(PP_Grid[#Data],$DD561,95),0)</f>
        <v/>
      </c>
      <c r="CT561">
        <f>IFERROR(INDEX(PP_Grid[#Data],$DD561,96),0)</f>
        <v/>
      </c>
      <c r="CU561">
        <f>IFERROR(INDEX(PP_Grid[#Data],$DD561,97),0)</f>
        <v/>
      </c>
      <c r="CV561">
        <f>IFERROR(INDEX(PP_Grid[#Data],$DD561,98),0)</f>
        <v/>
      </c>
      <c r="CW561">
        <f>IFERROR(INDEX(PP_Grid[#Data],$DD561,99),0)</f>
        <v/>
      </c>
      <c r="CX561">
        <f>IFERROR(INDEX(PP_Grid[#Data],$DD561,100),0)</f>
        <v/>
      </c>
      <c r="CY561">
        <f>IFERROR(INDEX(PP_Grid[#Data],$DD561,101),0)</f>
        <v/>
      </c>
      <c r="CZ561">
        <f>IFERROR(INDEX(PP_Grid[#Data],$DD561,102),0)</f>
        <v/>
      </c>
      <c r="DA561">
        <f>IFERROR(INDEX(PP_Grid[#Data],$DD561,103),0)</f>
        <v/>
      </c>
      <c r="DB561">
        <f>IFERROR(INDEX(PP_Grid[#Data],$DD561,104),0)</f>
        <v/>
      </c>
      <c r="DC561">
        <f>IFERROR(INDEX(PP_Grid[#Data],$DD561,105),0)</f>
        <v/>
      </c>
      <c r="DD561" s="12">
        <f>IFERROR(MATCH($B561,PP_Grid[Intermediate],0),99999)</f>
        <v/>
      </c>
    </row>
    <row r="562">
      <c r="B562" t="inlineStr">
        <is>
          <t>使用量(kg)</t>
        </is>
      </c>
      <c r="C562">
        <f>SUMIFS(M_BOM[RM_Qty_Per_Batch],M_BOM[Intermediate],$B561,M_BOM[Part Name],$A518)</f>
        <v/>
      </c>
      <c r="D562">
        <f>$C562*D561</f>
        <v/>
      </c>
      <c r="E562">
        <f>$C562*E561</f>
        <v/>
      </c>
      <c r="F562">
        <f>$C562*F561</f>
        <v/>
      </c>
      <c r="G562">
        <f>$C562*G561</f>
        <v/>
      </c>
      <c r="H562">
        <f>$C562*H561</f>
        <v/>
      </c>
      <c r="I562">
        <f>$C562*I561</f>
        <v/>
      </c>
      <c r="J562">
        <f>$C562*J561</f>
        <v/>
      </c>
      <c r="K562">
        <f>$C562*K561</f>
        <v/>
      </c>
      <c r="L562">
        <f>$C562*L561</f>
        <v/>
      </c>
      <c r="M562">
        <f>$C562*M561</f>
        <v/>
      </c>
      <c r="N562">
        <f>$C562*N561</f>
        <v/>
      </c>
      <c r="O562">
        <f>$C562*O561</f>
        <v/>
      </c>
      <c r="P562">
        <f>$C562*P561</f>
        <v/>
      </c>
      <c r="Q562">
        <f>$C562*Q561</f>
        <v/>
      </c>
      <c r="R562">
        <f>$C562*R561</f>
        <v/>
      </c>
      <c r="S562">
        <f>$C562*S561</f>
        <v/>
      </c>
      <c r="T562">
        <f>$C562*T561</f>
        <v/>
      </c>
      <c r="U562">
        <f>$C562*U561</f>
        <v/>
      </c>
      <c r="V562">
        <f>$C562*V561</f>
        <v/>
      </c>
      <c r="W562">
        <f>$C562*W561</f>
        <v/>
      </c>
      <c r="X562">
        <f>$C562*X561</f>
        <v/>
      </c>
      <c r="Y562">
        <f>$C562*Y561</f>
        <v/>
      </c>
      <c r="Z562">
        <f>$C562*Z561</f>
        <v/>
      </c>
      <c r="AA562">
        <f>$C562*AA561</f>
        <v/>
      </c>
      <c r="AB562">
        <f>$C562*AB561</f>
        <v/>
      </c>
      <c r="AC562">
        <f>$C562*AC561</f>
        <v/>
      </c>
      <c r="AD562">
        <f>$C562*AD561</f>
        <v/>
      </c>
      <c r="AE562">
        <f>$C562*AE561</f>
        <v/>
      </c>
      <c r="AF562">
        <f>$C562*AF561</f>
        <v/>
      </c>
      <c r="AG562">
        <f>$C562*AG561</f>
        <v/>
      </c>
      <c r="AH562">
        <f>$C562*AH561</f>
        <v/>
      </c>
      <c r="AI562">
        <f>$C562*AI561</f>
        <v/>
      </c>
      <c r="AJ562">
        <f>$C562*AJ561</f>
        <v/>
      </c>
      <c r="AK562">
        <f>$C562*AK561</f>
        <v/>
      </c>
      <c r="AL562">
        <f>$C562*AL561</f>
        <v/>
      </c>
      <c r="AM562">
        <f>$C562*AM561</f>
        <v/>
      </c>
      <c r="AN562">
        <f>$C562*AN561</f>
        <v/>
      </c>
      <c r="AO562">
        <f>$C562*AO561</f>
        <v/>
      </c>
      <c r="AP562">
        <f>$C562*AP561</f>
        <v/>
      </c>
      <c r="AQ562">
        <f>$C562*AQ561</f>
        <v/>
      </c>
      <c r="AR562">
        <f>$C562*AR561</f>
        <v/>
      </c>
      <c r="AS562">
        <f>$C562*AS561</f>
        <v/>
      </c>
      <c r="AT562">
        <f>$C562*AT561</f>
        <v/>
      </c>
      <c r="AU562">
        <f>$C562*AU561</f>
        <v/>
      </c>
      <c r="AV562">
        <f>$C562*AV561</f>
        <v/>
      </c>
      <c r="AW562">
        <f>$C562*AW561</f>
        <v/>
      </c>
      <c r="AX562">
        <f>$C562*AX561</f>
        <v/>
      </c>
      <c r="AY562">
        <f>$C562*AY561</f>
        <v/>
      </c>
      <c r="AZ562">
        <f>$C562*AZ561</f>
        <v/>
      </c>
      <c r="BA562">
        <f>$C562*BA561</f>
        <v/>
      </c>
      <c r="BB562">
        <f>$C562*BB561</f>
        <v/>
      </c>
      <c r="BC562">
        <f>$C562*BC561</f>
        <v/>
      </c>
      <c r="BD562">
        <f>$C562*BD561</f>
        <v/>
      </c>
      <c r="BE562">
        <f>$C562*BE561</f>
        <v/>
      </c>
      <c r="BF562">
        <f>$C562*BF561</f>
        <v/>
      </c>
      <c r="BG562">
        <f>$C562*BG561</f>
        <v/>
      </c>
      <c r="BH562">
        <f>$C562*BH561</f>
        <v/>
      </c>
      <c r="BI562">
        <f>$C562*BI561</f>
        <v/>
      </c>
      <c r="BJ562">
        <f>$C562*BJ561</f>
        <v/>
      </c>
      <c r="BK562">
        <f>$C562*BK561</f>
        <v/>
      </c>
      <c r="BL562">
        <f>$C562*BL561</f>
        <v/>
      </c>
      <c r="BM562">
        <f>$C562*BM561</f>
        <v/>
      </c>
      <c r="BN562">
        <f>$C562*BN561</f>
        <v/>
      </c>
      <c r="BO562">
        <f>$C562*BO561</f>
        <v/>
      </c>
      <c r="BP562">
        <f>$C562*BP561</f>
        <v/>
      </c>
      <c r="BQ562">
        <f>$C562*BQ561</f>
        <v/>
      </c>
      <c r="BR562">
        <f>$C562*BR561</f>
        <v/>
      </c>
      <c r="BS562">
        <f>$C562*BS561</f>
        <v/>
      </c>
      <c r="BT562">
        <f>$C562*BT561</f>
        <v/>
      </c>
      <c r="BU562">
        <f>$C562*BU561</f>
        <v/>
      </c>
      <c r="BV562">
        <f>$C562*BV561</f>
        <v/>
      </c>
      <c r="BW562">
        <f>$C562*BW561</f>
        <v/>
      </c>
      <c r="BX562">
        <f>$C562*BX561</f>
        <v/>
      </c>
      <c r="BY562">
        <f>$C562*BY561</f>
        <v/>
      </c>
      <c r="BZ562">
        <f>$C562*BZ561</f>
        <v/>
      </c>
      <c r="CA562">
        <f>$C562*CA561</f>
        <v/>
      </c>
      <c r="CB562">
        <f>$C562*CB561</f>
        <v/>
      </c>
      <c r="CC562">
        <f>$C562*CC561</f>
        <v/>
      </c>
      <c r="CD562">
        <f>$C562*CD561</f>
        <v/>
      </c>
      <c r="CE562">
        <f>$C562*CE561</f>
        <v/>
      </c>
      <c r="CF562">
        <f>$C562*CF561</f>
        <v/>
      </c>
      <c r="CG562">
        <f>$C562*CG561</f>
        <v/>
      </c>
      <c r="CH562">
        <f>$C562*CH561</f>
        <v/>
      </c>
      <c r="CI562">
        <f>$C562*CI561</f>
        <v/>
      </c>
      <c r="CJ562">
        <f>$C562*CJ561</f>
        <v/>
      </c>
      <c r="CK562">
        <f>$C562*CK561</f>
        <v/>
      </c>
      <c r="CL562">
        <f>$C562*CL561</f>
        <v/>
      </c>
      <c r="CM562">
        <f>$C562*CM561</f>
        <v/>
      </c>
      <c r="CN562">
        <f>$C562*CN561</f>
        <v/>
      </c>
      <c r="CO562">
        <f>$C562*CO561</f>
        <v/>
      </c>
      <c r="CP562">
        <f>$C562*CP561</f>
        <v/>
      </c>
      <c r="CQ562">
        <f>$C562*CQ561</f>
        <v/>
      </c>
      <c r="CR562">
        <f>$C562*CR561</f>
        <v/>
      </c>
      <c r="CS562">
        <f>$C562*CS561</f>
        <v/>
      </c>
      <c r="CT562">
        <f>$C562*CT561</f>
        <v/>
      </c>
      <c r="CU562">
        <f>$C562*CU561</f>
        <v/>
      </c>
      <c r="CV562">
        <f>$C562*CV561</f>
        <v/>
      </c>
      <c r="CW562">
        <f>$C562*CW561</f>
        <v/>
      </c>
      <c r="CX562">
        <f>$C562*CX561</f>
        <v/>
      </c>
      <c r="CY562">
        <f>$C562*CY561</f>
        <v/>
      </c>
      <c r="CZ562">
        <f>$C562*CZ561</f>
        <v/>
      </c>
      <c r="DA562">
        <f>$C562*DA561</f>
        <v/>
      </c>
      <c r="DB562">
        <f>$C562*DB561</f>
        <v/>
      </c>
      <c r="DC562">
        <f>$C562*DC561</f>
        <v/>
      </c>
    </row>
    <row r="563">
      <c r="B563" t="inlineStr">
        <is>
          <t>TSP-655</t>
        </is>
      </c>
      <c r="C563" t="inlineStr">
        <is>
          <t>No. of batches</t>
        </is>
      </c>
      <c r="D563">
        <f>IFERROR(INDEX(PP_Grid[#Data],$DD563,2),0)</f>
        <v/>
      </c>
      <c r="E563">
        <f>IFERROR(INDEX(PP_Grid[#Data],$DD563,3),0)</f>
        <v/>
      </c>
      <c r="F563">
        <f>IFERROR(INDEX(PP_Grid[#Data],$DD563,4),0)</f>
        <v/>
      </c>
      <c r="G563">
        <f>IFERROR(INDEX(PP_Grid[#Data],$DD563,5),0)</f>
        <v/>
      </c>
      <c r="H563">
        <f>IFERROR(INDEX(PP_Grid[#Data],$DD563,6),0)</f>
        <v/>
      </c>
      <c r="I563">
        <f>IFERROR(INDEX(PP_Grid[#Data],$DD563,7),0)</f>
        <v/>
      </c>
      <c r="J563">
        <f>IFERROR(INDEX(PP_Grid[#Data],$DD563,8),0)</f>
        <v/>
      </c>
      <c r="K563">
        <f>IFERROR(INDEX(PP_Grid[#Data],$DD563,9),0)</f>
        <v/>
      </c>
      <c r="L563">
        <f>IFERROR(INDEX(PP_Grid[#Data],$DD563,10),0)</f>
        <v/>
      </c>
      <c r="M563">
        <f>IFERROR(INDEX(PP_Grid[#Data],$DD563,11),0)</f>
        <v/>
      </c>
      <c r="N563">
        <f>IFERROR(INDEX(PP_Grid[#Data],$DD563,12),0)</f>
        <v/>
      </c>
      <c r="O563">
        <f>IFERROR(INDEX(PP_Grid[#Data],$DD563,13),0)</f>
        <v/>
      </c>
      <c r="P563">
        <f>IFERROR(INDEX(PP_Grid[#Data],$DD563,14),0)</f>
        <v/>
      </c>
      <c r="Q563">
        <f>IFERROR(INDEX(PP_Grid[#Data],$DD563,15),0)</f>
        <v/>
      </c>
      <c r="R563">
        <f>IFERROR(INDEX(PP_Grid[#Data],$DD563,16),0)</f>
        <v/>
      </c>
      <c r="S563">
        <f>IFERROR(INDEX(PP_Grid[#Data],$DD563,17),0)</f>
        <v/>
      </c>
      <c r="T563">
        <f>IFERROR(INDEX(PP_Grid[#Data],$DD563,18),0)</f>
        <v/>
      </c>
      <c r="U563">
        <f>IFERROR(INDEX(PP_Grid[#Data],$DD563,19),0)</f>
        <v/>
      </c>
      <c r="V563">
        <f>IFERROR(INDEX(PP_Grid[#Data],$DD563,20),0)</f>
        <v/>
      </c>
      <c r="W563">
        <f>IFERROR(INDEX(PP_Grid[#Data],$DD563,21),0)</f>
        <v/>
      </c>
      <c r="X563">
        <f>IFERROR(INDEX(PP_Grid[#Data],$DD563,22),0)</f>
        <v/>
      </c>
      <c r="Y563">
        <f>IFERROR(INDEX(PP_Grid[#Data],$DD563,23),0)</f>
        <v/>
      </c>
      <c r="Z563">
        <f>IFERROR(INDEX(PP_Grid[#Data],$DD563,24),0)</f>
        <v/>
      </c>
      <c r="AA563">
        <f>IFERROR(INDEX(PP_Grid[#Data],$DD563,25),0)</f>
        <v/>
      </c>
      <c r="AB563">
        <f>IFERROR(INDEX(PP_Grid[#Data],$DD563,26),0)</f>
        <v/>
      </c>
      <c r="AC563">
        <f>IFERROR(INDEX(PP_Grid[#Data],$DD563,27),0)</f>
        <v/>
      </c>
      <c r="AD563">
        <f>IFERROR(INDEX(PP_Grid[#Data],$DD563,28),0)</f>
        <v/>
      </c>
      <c r="AE563">
        <f>IFERROR(INDEX(PP_Grid[#Data],$DD563,29),0)</f>
        <v/>
      </c>
      <c r="AF563">
        <f>IFERROR(INDEX(PP_Grid[#Data],$DD563,30),0)</f>
        <v/>
      </c>
      <c r="AG563">
        <f>IFERROR(INDEX(PP_Grid[#Data],$DD563,31),0)</f>
        <v/>
      </c>
      <c r="AH563">
        <f>IFERROR(INDEX(PP_Grid[#Data],$DD563,32),0)</f>
        <v/>
      </c>
      <c r="AI563">
        <f>IFERROR(INDEX(PP_Grid[#Data],$DD563,33),0)</f>
        <v/>
      </c>
      <c r="AJ563">
        <f>IFERROR(INDEX(PP_Grid[#Data],$DD563,34),0)</f>
        <v/>
      </c>
      <c r="AK563">
        <f>IFERROR(INDEX(PP_Grid[#Data],$DD563,35),0)</f>
        <v/>
      </c>
      <c r="AL563">
        <f>IFERROR(INDEX(PP_Grid[#Data],$DD563,36),0)</f>
        <v/>
      </c>
      <c r="AM563">
        <f>IFERROR(INDEX(PP_Grid[#Data],$DD563,37),0)</f>
        <v/>
      </c>
      <c r="AN563">
        <f>IFERROR(INDEX(PP_Grid[#Data],$DD563,38),0)</f>
        <v/>
      </c>
      <c r="AO563">
        <f>IFERROR(INDEX(PP_Grid[#Data],$DD563,39),0)</f>
        <v/>
      </c>
      <c r="AP563">
        <f>IFERROR(INDEX(PP_Grid[#Data],$DD563,40),0)</f>
        <v/>
      </c>
      <c r="AQ563">
        <f>IFERROR(INDEX(PP_Grid[#Data],$DD563,41),0)</f>
        <v/>
      </c>
      <c r="AR563">
        <f>IFERROR(INDEX(PP_Grid[#Data],$DD563,42),0)</f>
        <v/>
      </c>
      <c r="AS563">
        <f>IFERROR(INDEX(PP_Grid[#Data],$DD563,43),0)</f>
        <v/>
      </c>
      <c r="AT563">
        <f>IFERROR(INDEX(PP_Grid[#Data],$DD563,44),0)</f>
        <v/>
      </c>
      <c r="AU563">
        <f>IFERROR(INDEX(PP_Grid[#Data],$DD563,45),0)</f>
        <v/>
      </c>
      <c r="AV563">
        <f>IFERROR(INDEX(PP_Grid[#Data],$DD563,46),0)</f>
        <v/>
      </c>
      <c r="AW563">
        <f>IFERROR(INDEX(PP_Grid[#Data],$DD563,47),0)</f>
        <v/>
      </c>
      <c r="AX563">
        <f>IFERROR(INDEX(PP_Grid[#Data],$DD563,48),0)</f>
        <v/>
      </c>
      <c r="AY563">
        <f>IFERROR(INDEX(PP_Grid[#Data],$DD563,49),0)</f>
        <v/>
      </c>
      <c r="AZ563">
        <f>IFERROR(INDEX(PP_Grid[#Data],$DD563,50),0)</f>
        <v/>
      </c>
      <c r="BA563">
        <f>IFERROR(INDEX(PP_Grid[#Data],$DD563,51),0)</f>
        <v/>
      </c>
      <c r="BB563">
        <f>IFERROR(INDEX(PP_Grid[#Data],$DD563,52),0)</f>
        <v/>
      </c>
      <c r="BC563">
        <f>IFERROR(INDEX(PP_Grid[#Data],$DD563,53),0)</f>
        <v/>
      </c>
      <c r="BD563">
        <f>IFERROR(INDEX(PP_Grid[#Data],$DD563,54),0)</f>
        <v/>
      </c>
      <c r="BE563">
        <f>IFERROR(INDEX(PP_Grid[#Data],$DD563,55),0)</f>
        <v/>
      </c>
      <c r="BF563">
        <f>IFERROR(INDEX(PP_Grid[#Data],$DD563,56),0)</f>
        <v/>
      </c>
      <c r="BG563">
        <f>IFERROR(INDEX(PP_Grid[#Data],$DD563,57),0)</f>
        <v/>
      </c>
      <c r="BH563">
        <f>IFERROR(INDEX(PP_Grid[#Data],$DD563,58),0)</f>
        <v/>
      </c>
      <c r="BI563">
        <f>IFERROR(INDEX(PP_Grid[#Data],$DD563,59),0)</f>
        <v/>
      </c>
      <c r="BJ563">
        <f>IFERROR(INDEX(PP_Grid[#Data],$DD563,60),0)</f>
        <v/>
      </c>
      <c r="BK563">
        <f>IFERROR(INDEX(PP_Grid[#Data],$DD563,61),0)</f>
        <v/>
      </c>
      <c r="BL563">
        <f>IFERROR(INDEX(PP_Grid[#Data],$DD563,62),0)</f>
        <v/>
      </c>
      <c r="BM563">
        <f>IFERROR(INDEX(PP_Grid[#Data],$DD563,63),0)</f>
        <v/>
      </c>
      <c r="BN563">
        <f>IFERROR(INDEX(PP_Grid[#Data],$DD563,64),0)</f>
        <v/>
      </c>
      <c r="BO563">
        <f>IFERROR(INDEX(PP_Grid[#Data],$DD563,65),0)</f>
        <v/>
      </c>
      <c r="BP563">
        <f>IFERROR(INDEX(PP_Grid[#Data],$DD563,66),0)</f>
        <v/>
      </c>
      <c r="BQ563">
        <f>IFERROR(INDEX(PP_Grid[#Data],$DD563,67),0)</f>
        <v/>
      </c>
      <c r="BR563">
        <f>IFERROR(INDEX(PP_Grid[#Data],$DD563,68),0)</f>
        <v/>
      </c>
      <c r="BS563">
        <f>IFERROR(INDEX(PP_Grid[#Data],$DD563,69),0)</f>
        <v/>
      </c>
      <c r="BT563">
        <f>IFERROR(INDEX(PP_Grid[#Data],$DD563,70),0)</f>
        <v/>
      </c>
      <c r="BU563">
        <f>IFERROR(INDEX(PP_Grid[#Data],$DD563,71),0)</f>
        <v/>
      </c>
      <c r="BV563">
        <f>IFERROR(INDEX(PP_Grid[#Data],$DD563,72),0)</f>
        <v/>
      </c>
      <c r="BW563">
        <f>IFERROR(INDEX(PP_Grid[#Data],$DD563,73),0)</f>
        <v/>
      </c>
      <c r="BX563">
        <f>IFERROR(INDEX(PP_Grid[#Data],$DD563,74),0)</f>
        <v/>
      </c>
      <c r="BY563">
        <f>IFERROR(INDEX(PP_Grid[#Data],$DD563,75),0)</f>
        <v/>
      </c>
      <c r="BZ563">
        <f>IFERROR(INDEX(PP_Grid[#Data],$DD563,76),0)</f>
        <v/>
      </c>
      <c r="CA563">
        <f>IFERROR(INDEX(PP_Grid[#Data],$DD563,77),0)</f>
        <v/>
      </c>
      <c r="CB563">
        <f>IFERROR(INDEX(PP_Grid[#Data],$DD563,78),0)</f>
        <v/>
      </c>
      <c r="CC563">
        <f>IFERROR(INDEX(PP_Grid[#Data],$DD563,79),0)</f>
        <v/>
      </c>
      <c r="CD563">
        <f>IFERROR(INDEX(PP_Grid[#Data],$DD563,80),0)</f>
        <v/>
      </c>
      <c r="CE563">
        <f>IFERROR(INDEX(PP_Grid[#Data],$DD563,81),0)</f>
        <v/>
      </c>
      <c r="CF563">
        <f>IFERROR(INDEX(PP_Grid[#Data],$DD563,82),0)</f>
        <v/>
      </c>
      <c r="CG563">
        <f>IFERROR(INDEX(PP_Grid[#Data],$DD563,83),0)</f>
        <v/>
      </c>
      <c r="CH563">
        <f>IFERROR(INDEX(PP_Grid[#Data],$DD563,84),0)</f>
        <v/>
      </c>
      <c r="CI563">
        <f>IFERROR(INDEX(PP_Grid[#Data],$DD563,85),0)</f>
        <v/>
      </c>
      <c r="CJ563">
        <f>IFERROR(INDEX(PP_Grid[#Data],$DD563,86),0)</f>
        <v/>
      </c>
      <c r="CK563">
        <f>IFERROR(INDEX(PP_Grid[#Data],$DD563,87),0)</f>
        <v/>
      </c>
      <c r="CL563">
        <f>IFERROR(INDEX(PP_Grid[#Data],$DD563,88),0)</f>
        <v/>
      </c>
      <c r="CM563">
        <f>IFERROR(INDEX(PP_Grid[#Data],$DD563,89),0)</f>
        <v/>
      </c>
      <c r="CN563">
        <f>IFERROR(INDEX(PP_Grid[#Data],$DD563,90),0)</f>
        <v/>
      </c>
      <c r="CO563">
        <f>IFERROR(INDEX(PP_Grid[#Data],$DD563,91),0)</f>
        <v/>
      </c>
      <c r="CP563">
        <f>IFERROR(INDEX(PP_Grid[#Data],$DD563,92),0)</f>
        <v/>
      </c>
      <c r="CQ563">
        <f>IFERROR(INDEX(PP_Grid[#Data],$DD563,93),0)</f>
        <v/>
      </c>
      <c r="CR563">
        <f>IFERROR(INDEX(PP_Grid[#Data],$DD563,94),0)</f>
        <v/>
      </c>
      <c r="CS563">
        <f>IFERROR(INDEX(PP_Grid[#Data],$DD563,95),0)</f>
        <v/>
      </c>
      <c r="CT563">
        <f>IFERROR(INDEX(PP_Grid[#Data],$DD563,96),0)</f>
        <v/>
      </c>
      <c r="CU563">
        <f>IFERROR(INDEX(PP_Grid[#Data],$DD563,97),0)</f>
        <v/>
      </c>
      <c r="CV563">
        <f>IFERROR(INDEX(PP_Grid[#Data],$DD563,98),0)</f>
        <v/>
      </c>
      <c r="CW563">
        <f>IFERROR(INDEX(PP_Grid[#Data],$DD563,99),0)</f>
        <v/>
      </c>
      <c r="CX563">
        <f>IFERROR(INDEX(PP_Grid[#Data],$DD563,100),0)</f>
        <v/>
      </c>
      <c r="CY563">
        <f>IFERROR(INDEX(PP_Grid[#Data],$DD563,101),0)</f>
        <v/>
      </c>
      <c r="CZ563">
        <f>IFERROR(INDEX(PP_Grid[#Data],$DD563,102),0)</f>
        <v/>
      </c>
      <c r="DA563">
        <f>IFERROR(INDEX(PP_Grid[#Data],$DD563,103),0)</f>
        <v/>
      </c>
      <c r="DB563">
        <f>IFERROR(INDEX(PP_Grid[#Data],$DD563,104),0)</f>
        <v/>
      </c>
      <c r="DC563">
        <f>IFERROR(INDEX(PP_Grid[#Data],$DD563,105),0)</f>
        <v/>
      </c>
      <c r="DD563" s="12">
        <f>IFERROR(MATCH($B563,PP_Grid[Intermediate],0),99999)</f>
        <v/>
      </c>
    </row>
    <row r="564">
      <c r="B564" t="inlineStr">
        <is>
          <t>使用量(kg)</t>
        </is>
      </c>
      <c r="C564">
        <f>SUMIFS(M_BOM[RM_Qty_Per_Batch],M_BOM[Intermediate],$B563,M_BOM[Part Name],$A518)</f>
        <v/>
      </c>
      <c r="D564">
        <f>$C564*D563</f>
        <v/>
      </c>
      <c r="E564">
        <f>$C564*E563</f>
        <v/>
      </c>
      <c r="F564">
        <f>$C564*F563</f>
        <v/>
      </c>
      <c r="G564">
        <f>$C564*G563</f>
        <v/>
      </c>
      <c r="H564">
        <f>$C564*H563</f>
        <v/>
      </c>
      <c r="I564">
        <f>$C564*I563</f>
        <v/>
      </c>
      <c r="J564">
        <f>$C564*J563</f>
        <v/>
      </c>
      <c r="K564">
        <f>$C564*K563</f>
        <v/>
      </c>
      <c r="L564">
        <f>$C564*L563</f>
        <v/>
      </c>
      <c r="M564">
        <f>$C564*M563</f>
        <v/>
      </c>
      <c r="N564">
        <f>$C564*N563</f>
        <v/>
      </c>
      <c r="O564">
        <f>$C564*O563</f>
        <v/>
      </c>
      <c r="P564">
        <f>$C564*P563</f>
        <v/>
      </c>
      <c r="Q564">
        <f>$C564*Q563</f>
        <v/>
      </c>
      <c r="R564">
        <f>$C564*R563</f>
        <v/>
      </c>
      <c r="S564">
        <f>$C564*S563</f>
        <v/>
      </c>
      <c r="T564">
        <f>$C564*T563</f>
        <v/>
      </c>
      <c r="U564">
        <f>$C564*U563</f>
        <v/>
      </c>
      <c r="V564">
        <f>$C564*V563</f>
        <v/>
      </c>
      <c r="W564">
        <f>$C564*W563</f>
        <v/>
      </c>
      <c r="X564">
        <f>$C564*X563</f>
        <v/>
      </c>
      <c r="Y564">
        <f>$C564*Y563</f>
        <v/>
      </c>
      <c r="Z564">
        <f>$C564*Z563</f>
        <v/>
      </c>
      <c r="AA564">
        <f>$C564*AA563</f>
        <v/>
      </c>
      <c r="AB564">
        <f>$C564*AB563</f>
        <v/>
      </c>
      <c r="AC564">
        <f>$C564*AC563</f>
        <v/>
      </c>
      <c r="AD564">
        <f>$C564*AD563</f>
        <v/>
      </c>
      <c r="AE564">
        <f>$C564*AE563</f>
        <v/>
      </c>
      <c r="AF564">
        <f>$C564*AF563</f>
        <v/>
      </c>
      <c r="AG564">
        <f>$C564*AG563</f>
        <v/>
      </c>
      <c r="AH564">
        <f>$C564*AH563</f>
        <v/>
      </c>
      <c r="AI564">
        <f>$C564*AI563</f>
        <v/>
      </c>
      <c r="AJ564">
        <f>$C564*AJ563</f>
        <v/>
      </c>
      <c r="AK564">
        <f>$C564*AK563</f>
        <v/>
      </c>
      <c r="AL564">
        <f>$C564*AL563</f>
        <v/>
      </c>
      <c r="AM564">
        <f>$C564*AM563</f>
        <v/>
      </c>
      <c r="AN564">
        <f>$C564*AN563</f>
        <v/>
      </c>
      <c r="AO564">
        <f>$C564*AO563</f>
        <v/>
      </c>
      <c r="AP564">
        <f>$C564*AP563</f>
        <v/>
      </c>
      <c r="AQ564">
        <f>$C564*AQ563</f>
        <v/>
      </c>
      <c r="AR564">
        <f>$C564*AR563</f>
        <v/>
      </c>
      <c r="AS564">
        <f>$C564*AS563</f>
        <v/>
      </c>
      <c r="AT564">
        <f>$C564*AT563</f>
        <v/>
      </c>
      <c r="AU564">
        <f>$C564*AU563</f>
        <v/>
      </c>
      <c r="AV564">
        <f>$C564*AV563</f>
        <v/>
      </c>
      <c r="AW564">
        <f>$C564*AW563</f>
        <v/>
      </c>
      <c r="AX564">
        <f>$C564*AX563</f>
        <v/>
      </c>
      <c r="AY564">
        <f>$C564*AY563</f>
        <v/>
      </c>
      <c r="AZ564">
        <f>$C564*AZ563</f>
        <v/>
      </c>
      <c r="BA564">
        <f>$C564*BA563</f>
        <v/>
      </c>
      <c r="BB564">
        <f>$C564*BB563</f>
        <v/>
      </c>
      <c r="BC564">
        <f>$C564*BC563</f>
        <v/>
      </c>
      <c r="BD564">
        <f>$C564*BD563</f>
        <v/>
      </c>
      <c r="BE564">
        <f>$C564*BE563</f>
        <v/>
      </c>
      <c r="BF564">
        <f>$C564*BF563</f>
        <v/>
      </c>
      <c r="BG564">
        <f>$C564*BG563</f>
        <v/>
      </c>
      <c r="BH564">
        <f>$C564*BH563</f>
        <v/>
      </c>
      <c r="BI564">
        <f>$C564*BI563</f>
        <v/>
      </c>
      <c r="BJ564">
        <f>$C564*BJ563</f>
        <v/>
      </c>
      <c r="BK564">
        <f>$C564*BK563</f>
        <v/>
      </c>
      <c r="BL564">
        <f>$C564*BL563</f>
        <v/>
      </c>
      <c r="BM564">
        <f>$C564*BM563</f>
        <v/>
      </c>
      <c r="BN564">
        <f>$C564*BN563</f>
        <v/>
      </c>
      <c r="BO564">
        <f>$C564*BO563</f>
        <v/>
      </c>
      <c r="BP564">
        <f>$C564*BP563</f>
        <v/>
      </c>
      <c r="BQ564">
        <f>$C564*BQ563</f>
        <v/>
      </c>
      <c r="BR564">
        <f>$C564*BR563</f>
        <v/>
      </c>
      <c r="BS564">
        <f>$C564*BS563</f>
        <v/>
      </c>
      <c r="BT564">
        <f>$C564*BT563</f>
        <v/>
      </c>
      <c r="BU564">
        <f>$C564*BU563</f>
        <v/>
      </c>
      <c r="BV564">
        <f>$C564*BV563</f>
        <v/>
      </c>
      <c r="BW564">
        <f>$C564*BW563</f>
        <v/>
      </c>
      <c r="BX564">
        <f>$C564*BX563</f>
        <v/>
      </c>
      <c r="BY564">
        <f>$C564*BY563</f>
        <v/>
      </c>
      <c r="BZ564">
        <f>$C564*BZ563</f>
        <v/>
      </c>
      <c r="CA564">
        <f>$C564*CA563</f>
        <v/>
      </c>
      <c r="CB564">
        <f>$C564*CB563</f>
        <v/>
      </c>
      <c r="CC564">
        <f>$C564*CC563</f>
        <v/>
      </c>
      <c r="CD564">
        <f>$C564*CD563</f>
        <v/>
      </c>
      <c r="CE564">
        <f>$C564*CE563</f>
        <v/>
      </c>
      <c r="CF564">
        <f>$C564*CF563</f>
        <v/>
      </c>
      <c r="CG564">
        <f>$C564*CG563</f>
        <v/>
      </c>
      <c r="CH564">
        <f>$C564*CH563</f>
        <v/>
      </c>
      <c r="CI564">
        <f>$C564*CI563</f>
        <v/>
      </c>
      <c r="CJ564">
        <f>$C564*CJ563</f>
        <v/>
      </c>
      <c r="CK564">
        <f>$C564*CK563</f>
        <v/>
      </c>
      <c r="CL564">
        <f>$C564*CL563</f>
        <v/>
      </c>
      <c r="CM564">
        <f>$C564*CM563</f>
        <v/>
      </c>
      <c r="CN564">
        <f>$C564*CN563</f>
        <v/>
      </c>
      <c r="CO564">
        <f>$C564*CO563</f>
        <v/>
      </c>
      <c r="CP564">
        <f>$C564*CP563</f>
        <v/>
      </c>
      <c r="CQ564">
        <f>$C564*CQ563</f>
        <v/>
      </c>
      <c r="CR564">
        <f>$C564*CR563</f>
        <v/>
      </c>
      <c r="CS564">
        <f>$C564*CS563</f>
        <v/>
      </c>
      <c r="CT564">
        <f>$C564*CT563</f>
        <v/>
      </c>
      <c r="CU564">
        <f>$C564*CU563</f>
        <v/>
      </c>
      <c r="CV564">
        <f>$C564*CV563</f>
        <v/>
      </c>
      <c r="CW564">
        <f>$C564*CW563</f>
        <v/>
      </c>
      <c r="CX564">
        <f>$C564*CX563</f>
        <v/>
      </c>
      <c r="CY564">
        <f>$C564*CY563</f>
        <v/>
      </c>
      <c r="CZ564">
        <f>$C564*CZ563</f>
        <v/>
      </c>
      <c r="DA564">
        <f>$C564*DA563</f>
        <v/>
      </c>
      <c r="DB564">
        <f>$C564*DB563</f>
        <v/>
      </c>
      <c r="DC564">
        <f>$C564*DC563</f>
        <v/>
      </c>
    </row>
    <row r="565">
      <c r="B565" t="inlineStr">
        <is>
          <t>TSP-656</t>
        </is>
      </c>
      <c r="C565" t="inlineStr">
        <is>
          <t>No. of batches</t>
        </is>
      </c>
      <c r="D565">
        <f>IFERROR(INDEX(PP_Grid[#Data],$DD565,2),0)</f>
        <v/>
      </c>
      <c r="E565">
        <f>IFERROR(INDEX(PP_Grid[#Data],$DD565,3),0)</f>
        <v/>
      </c>
      <c r="F565">
        <f>IFERROR(INDEX(PP_Grid[#Data],$DD565,4),0)</f>
        <v/>
      </c>
      <c r="G565">
        <f>IFERROR(INDEX(PP_Grid[#Data],$DD565,5),0)</f>
        <v/>
      </c>
      <c r="H565">
        <f>IFERROR(INDEX(PP_Grid[#Data],$DD565,6),0)</f>
        <v/>
      </c>
      <c r="I565">
        <f>IFERROR(INDEX(PP_Grid[#Data],$DD565,7),0)</f>
        <v/>
      </c>
      <c r="J565">
        <f>IFERROR(INDEX(PP_Grid[#Data],$DD565,8),0)</f>
        <v/>
      </c>
      <c r="K565">
        <f>IFERROR(INDEX(PP_Grid[#Data],$DD565,9),0)</f>
        <v/>
      </c>
      <c r="L565">
        <f>IFERROR(INDEX(PP_Grid[#Data],$DD565,10),0)</f>
        <v/>
      </c>
      <c r="M565">
        <f>IFERROR(INDEX(PP_Grid[#Data],$DD565,11),0)</f>
        <v/>
      </c>
      <c r="N565">
        <f>IFERROR(INDEX(PP_Grid[#Data],$DD565,12),0)</f>
        <v/>
      </c>
      <c r="O565">
        <f>IFERROR(INDEX(PP_Grid[#Data],$DD565,13),0)</f>
        <v/>
      </c>
      <c r="P565">
        <f>IFERROR(INDEX(PP_Grid[#Data],$DD565,14),0)</f>
        <v/>
      </c>
      <c r="Q565">
        <f>IFERROR(INDEX(PP_Grid[#Data],$DD565,15),0)</f>
        <v/>
      </c>
      <c r="R565">
        <f>IFERROR(INDEX(PP_Grid[#Data],$DD565,16),0)</f>
        <v/>
      </c>
      <c r="S565">
        <f>IFERROR(INDEX(PP_Grid[#Data],$DD565,17),0)</f>
        <v/>
      </c>
      <c r="T565">
        <f>IFERROR(INDEX(PP_Grid[#Data],$DD565,18),0)</f>
        <v/>
      </c>
      <c r="U565">
        <f>IFERROR(INDEX(PP_Grid[#Data],$DD565,19),0)</f>
        <v/>
      </c>
      <c r="V565">
        <f>IFERROR(INDEX(PP_Grid[#Data],$DD565,20),0)</f>
        <v/>
      </c>
      <c r="W565">
        <f>IFERROR(INDEX(PP_Grid[#Data],$DD565,21),0)</f>
        <v/>
      </c>
      <c r="X565">
        <f>IFERROR(INDEX(PP_Grid[#Data],$DD565,22),0)</f>
        <v/>
      </c>
      <c r="Y565">
        <f>IFERROR(INDEX(PP_Grid[#Data],$DD565,23),0)</f>
        <v/>
      </c>
      <c r="Z565">
        <f>IFERROR(INDEX(PP_Grid[#Data],$DD565,24),0)</f>
        <v/>
      </c>
      <c r="AA565">
        <f>IFERROR(INDEX(PP_Grid[#Data],$DD565,25),0)</f>
        <v/>
      </c>
      <c r="AB565">
        <f>IFERROR(INDEX(PP_Grid[#Data],$DD565,26),0)</f>
        <v/>
      </c>
      <c r="AC565">
        <f>IFERROR(INDEX(PP_Grid[#Data],$DD565,27),0)</f>
        <v/>
      </c>
      <c r="AD565">
        <f>IFERROR(INDEX(PP_Grid[#Data],$DD565,28),0)</f>
        <v/>
      </c>
      <c r="AE565">
        <f>IFERROR(INDEX(PP_Grid[#Data],$DD565,29),0)</f>
        <v/>
      </c>
      <c r="AF565">
        <f>IFERROR(INDEX(PP_Grid[#Data],$DD565,30),0)</f>
        <v/>
      </c>
      <c r="AG565">
        <f>IFERROR(INDEX(PP_Grid[#Data],$DD565,31),0)</f>
        <v/>
      </c>
      <c r="AH565">
        <f>IFERROR(INDEX(PP_Grid[#Data],$DD565,32),0)</f>
        <v/>
      </c>
      <c r="AI565">
        <f>IFERROR(INDEX(PP_Grid[#Data],$DD565,33),0)</f>
        <v/>
      </c>
      <c r="AJ565">
        <f>IFERROR(INDEX(PP_Grid[#Data],$DD565,34),0)</f>
        <v/>
      </c>
      <c r="AK565">
        <f>IFERROR(INDEX(PP_Grid[#Data],$DD565,35),0)</f>
        <v/>
      </c>
      <c r="AL565">
        <f>IFERROR(INDEX(PP_Grid[#Data],$DD565,36),0)</f>
        <v/>
      </c>
      <c r="AM565">
        <f>IFERROR(INDEX(PP_Grid[#Data],$DD565,37),0)</f>
        <v/>
      </c>
      <c r="AN565">
        <f>IFERROR(INDEX(PP_Grid[#Data],$DD565,38),0)</f>
        <v/>
      </c>
      <c r="AO565">
        <f>IFERROR(INDEX(PP_Grid[#Data],$DD565,39),0)</f>
        <v/>
      </c>
      <c r="AP565">
        <f>IFERROR(INDEX(PP_Grid[#Data],$DD565,40),0)</f>
        <v/>
      </c>
      <c r="AQ565">
        <f>IFERROR(INDEX(PP_Grid[#Data],$DD565,41),0)</f>
        <v/>
      </c>
      <c r="AR565">
        <f>IFERROR(INDEX(PP_Grid[#Data],$DD565,42),0)</f>
        <v/>
      </c>
      <c r="AS565">
        <f>IFERROR(INDEX(PP_Grid[#Data],$DD565,43),0)</f>
        <v/>
      </c>
      <c r="AT565">
        <f>IFERROR(INDEX(PP_Grid[#Data],$DD565,44),0)</f>
        <v/>
      </c>
      <c r="AU565">
        <f>IFERROR(INDEX(PP_Grid[#Data],$DD565,45),0)</f>
        <v/>
      </c>
      <c r="AV565">
        <f>IFERROR(INDEX(PP_Grid[#Data],$DD565,46),0)</f>
        <v/>
      </c>
      <c r="AW565">
        <f>IFERROR(INDEX(PP_Grid[#Data],$DD565,47),0)</f>
        <v/>
      </c>
      <c r="AX565">
        <f>IFERROR(INDEX(PP_Grid[#Data],$DD565,48),0)</f>
        <v/>
      </c>
      <c r="AY565">
        <f>IFERROR(INDEX(PP_Grid[#Data],$DD565,49),0)</f>
        <v/>
      </c>
      <c r="AZ565">
        <f>IFERROR(INDEX(PP_Grid[#Data],$DD565,50),0)</f>
        <v/>
      </c>
      <c r="BA565">
        <f>IFERROR(INDEX(PP_Grid[#Data],$DD565,51),0)</f>
        <v/>
      </c>
      <c r="BB565">
        <f>IFERROR(INDEX(PP_Grid[#Data],$DD565,52),0)</f>
        <v/>
      </c>
      <c r="BC565">
        <f>IFERROR(INDEX(PP_Grid[#Data],$DD565,53),0)</f>
        <v/>
      </c>
      <c r="BD565">
        <f>IFERROR(INDEX(PP_Grid[#Data],$DD565,54),0)</f>
        <v/>
      </c>
      <c r="BE565">
        <f>IFERROR(INDEX(PP_Grid[#Data],$DD565,55),0)</f>
        <v/>
      </c>
      <c r="BF565">
        <f>IFERROR(INDEX(PP_Grid[#Data],$DD565,56),0)</f>
        <v/>
      </c>
      <c r="BG565">
        <f>IFERROR(INDEX(PP_Grid[#Data],$DD565,57),0)</f>
        <v/>
      </c>
      <c r="BH565">
        <f>IFERROR(INDEX(PP_Grid[#Data],$DD565,58),0)</f>
        <v/>
      </c>
      <c r="BI565">
        <f>IFERROR(INDEX(PP_Grid[#Data],$DD565,59),0)</f>
        <v/>
      </c>
      <c r="BJ565">
        <f>IFERROR(INDEX(PP_Grid[#Data],$DD565,60),0)</f>
        <v/>
      </c>
      <c r="BK565">
        <f>IFERROR(INDEX(PP_Grid[#Data],$DD565,61),0)</f>
        <v/>
      </c>
      <c r="BL565">
        <f>IFERROR(INDEX(PP_Grid[#Data],$DD565,62),0)</f>
        <v/>
      </c>
      <c r="BM565">
        <f>IFERROR(INDEX(PP_Grid[#Data],$DD565,63),0)</f>
        <v/>
      </c>
      <c r="BN565">
        <f>IFERROR(INDEX(PP_Grid[#Data],$DD565,64),0)</f>
        <v/>
      </c>
      <c r="BO565">
        <f>IFERROR(INDEX(PP_Grid[#Data],$DD565,65),0)</f>
        <v/>
      </c>
      <c r="BP565">
        <f>IFERROR(INDEX(PP_Grid[#Data],$DD565,66),0)</f>
        <v/>
      </c>
      <c r="BQ565">
        <f>IFERROR(INDEX(PP_Grid[#Data],$DD565,67),0)</f>
        <v/>
      </c>
      <c r="BR565">
        <f>IFERROR(INDEX(PP_Grid[#Data],$DD565,68),0)</f>
        <v/>
      </c>
      <c r="BS565">
        <f>IFERROR(INDEX(PP_Grid[#Data],$DD565,69),0)</f>
        <v/>
      </c>
      <c r="BT565">
        <f>IFERROR(INDEX(PP_Grid[#Data],$DD565,70),0)</f>
        <v/>
      </c>
      <c r="BU565">
        <f>IFERROR(INDEX(PP_Grid[#Data],$DD565,71),0)</f>
        <v/>
      </c>
      <c r="BV565">
        <f>IFERROR(INDEX(PP_Grid[#Data],$DD565,72),0)</f>
        <v/>
      </c>
      <c r="BW565">
        <f>IFERROR(INDEX(PP_Grid[#Data],$DD565,73),0)</f>
        <v/>
      </c>
      <c r="BX565">
        <f>IFERROR(INDEX(PP_Grid[#Data],$DD565,74),0)</f>
        <v/>
      </c>
      <c r="BY565">
        <f>IFERROR(INDEX(PP_Grid[#Data],$DD565,75),0)</f>
        <v/>
      </c>
      <c r="BZ565">
        <f>IFERROR(INDEX(PP_Grid[#Data],$DD565,76),0)</f>
        <v/>
      </c>
      <c r="CA565">
        <f>IFERROR(INDEX(PP_Grid[#Data],$DD565,77),0)</f>
        <v/>
      </c>
      <c r="CB565">
        <f>IFERROR(INDEX(PP_Grid[#Data],$DD565,78),0)</f>
        <v/>
      </c>
      <c r="CC565">
        <f>IFERROR(INDEX(PP_Grid[#Data],$DD565,79),0)</f>
        <v/>
      </c>
      <c r="CD565">
        <f>IFERROR(INDEX(PP_Grid[#Data],$DD565,80),0)</f>
        <v/>
      </c>
      <c r="CE565">
        <f>IFERROR(INDEX(PP_Grid[#Data],$DD565,81),0)</f>
        <v/>
      </c>
      <c r="CF565">
        <f>IFERROR(INDEX(PP_Grid[#Data],$DD565,82),0)</f>
        <v/>
      </c>
      <c r="CG565">
        <f>IFERROR(INDEX(PP_Grid[#Data],$DD565,83),0)</f>
        <v/>
      </c>
      <c r="CH565">
        <f>IFERROR(INDEX(PP_Grid[#Data],$DD565,84),0)</f>
        <v/>
      </c>
      <c r="CI565">
        <f>IFERROR(INDEX(PP_Grid[#Data],$DD565,85),0)</f>
        <v/>
      </c>
      <c r="CJ565">
        <f>IFERROR(INDEX(PP_Grid[#Data],$DD565,86),0)</f>
        <v/>
      </c>
      <c r="CK565">
        <f>IFERROR(INDEX(PP_Grid[#Data],$DD565,87),0)</f>
        <v/>
      </c>
      <c r="CL565">
        <f>IFERROR(INDEX(PP_Grid[#Data],$DD565,88),0)</f>
        <v/>
      </c>
      <c r="CM565">
        <f>IFERROR(INDEX(PP_Grid[#Data],$DD565,89),0)</f>
        <v/>
      </c>
      <c r="CN565">
        <f>IFERROR(INDEX(PP_Grid[#Data],$DD565,90),0)</f>
        <v/>
      </c>
      <c r="CO565">
        <f>IFERROR(INDEX(PP_Grid[#Data],$DD565,91),0)</f>
        <v/>
      </c>
      <c r="CP565">
        <f>IFERROR(INDEX(PP_Grid[#Data],$DD565,92),0)</f>
        <v/>
      </c>
      <c r="CQ565">
        <f>IFERROR(INDEX(PP_Grid[#Data],$DD565,93),0)</f>
        <v/>
      </c>
      <c r="CR565">
        <f>IFERROR(INDEX(PP_Grid[#Data],$DD565,94),0)</f>
        <v/>
      </c>
      <c r="CS565">
        <f>IFERROR(INDEX(PP_Grid[#Data],$DD565,95),0)</f>
        <v/>
      </c>
      <c r="CT565">
        <f>IFERROR(INDEX(PP_Grid[#Data],$DD565,96),0)</f>
        <v/>
      </c>
      <c r="CU565">
        <f>IFERROR(INDEX(PP_Grid[#Data],$DD565,97),0)</f>
        <v/>
      </c>
      <c r="CV565">
        <f>IFERROR(INDEX(PP_Grid[#Data],$DD565,98),0)</f>
        <v/>
      </c>
      <c r="CW565">
        <f>IFERROR(INDEX(PP_Grid[#Data],$DD565,99),0)</f>
        <v/>
      </c>
      <c r="CX565">
        <f>IFERROR(INDEX(PP_Grid[#Data],$DD565,100),0)</f>
        <v/>
      </c>
      <c r="CY565">
        <f>IFERROR(INDEX(PP_Grid[#Data],$DD565,101),0)</f>
        <v/>
      </c>
      <c r="CZ565">
        <f>IFERROR(INDEX(PP_Grid[#Data],$DD565,102),0)</f>
        <v/>
      </c>
      <c r="DA565">
        <f>IFERROR(INDEX(PP_Grid[#Data],$DD565,103),0)</f>
        <v/>
      </c>
      <c r="DB565">
        <f>IFERROR(INDEX(PP_Grid[#Data],$DD565,104),0)</f>
        <v/>
      </c>
      <c r="DC565">
        <f>IFERROR(INDEX(PP_Grid[#Data],$DD565,105),0)</f>
        <v/>
      </c>
      <c r="DD565" s="12">
        <f>IFERROR(MATCH($B565,PP_Grid[Intermediate],0),99999)</f>
        <v/>
      </c>
    </row>
    <row r="566">
      <c r="B566" t="inlineStr">
        <is>
          <t>使用量(kg)</t>
        </is>
      </c>
      <c r="C566">
        <f>SUMIFS(M_BOM[RM_Qty_Per_Batch],M_BOM[Intermediate],$B565,M_BOM[Part Name],$A518)</f>
        <v/>
      </c>
      <c r="D566">
        <f>$C566*D565</f>
        <v/>
      </c>
      <c r="E566">
        <f>$C566*E565</f>
        <v/>
      </c>
      <c r="F566">
        <f>$C566*F565</f>
        <v/>
      </c>
      <c r="G566">
        <f>$C566*G565</f>
        <v/>
      </c>
      <c r="H566">
        <f>$C566*H565</f>
        <v/>
      </c>
      <c r="I566">
        <f>$C566*I565</f>
        <v/>
      </c>
      <c r="J566">
        <f>$C566*J565</f>
        <v/>
      </c>
      <c r="K566">
        <f>$C566*K565</f>
        <v/>
      </c>
      <c r="L566">
        <f>$C566*L565</f>
        <v/>
      </c>
      <c r="M566">
        <f>$C566*M565</f>
        <v/>
      </c>
      <c r="N566">
        <f>$C566*N565</f>
        <v/>
      </c>
      <c r="O566">
        <f>$C566*O565</f>
        <v/>
      </c>
      <c r="P566">
        <f>$C566*P565</f>
        <v/>
      </c>
      <c r="Q566">
        <f>$C566*Q565</f>
        <v/>
      </c>
      <c r="R566">
        <f>$C566*R565</f>
        <v/>
      </c>
      <c r="S566">
        <f>$C566*S565</f>
        <v/>
      </c>
      <c r="T566">
        <f>$C566*T565</f>
        <v/>
      </c>
      <c r="U566">
        <f>$C566*U565</f>
        <v/>
      </c>
      <c r="V566">
        <f>$C566*V565</f>
        <v/>
      </c>
      <c r="W566">
        <f>$C566*W565</f>
        <v/>
      </c>
      <c r="X566">
        <f>$C566*X565</f>
        <v/>
      </c>
      <c r="Y566">
        <f>$C566*Y565</f>
        <v/>
      </c>
      <c r="Z566">
        <f>$C566*Z565</f>
        <v/>
      </c>
      <c r="AA566">
        <f>$C566*AA565</f>
        <v/>
      </c>
      <c r="AB566">
        <f>$C566*AB565</f>
        <v/>
      </c>
      <c r="AC566">
        <f>$C566*AC565</f>
        <v/>
      </c>
      <c r="AD566">
        <f>$C566*AD565</f>
        <v/>
      </c>
      <c r="AE566">
        <f>$C566*AE565</f>
        <v/>
      </c>
      <c r="AF566">
        <f>$C566*AF565</f>
        <v/>
      </c>
      <c r="AG566">
        <f>$C566*AG565</f>
        <v/>
      </c>
      <c r="AH566">
        <f>$C566*AH565</f>
        <v/>
      </c>
      <c r="AI566">
        <f>$C566*AI565</f>
        <v/>
      </c>
      <c r="AJ566">
        <f>$C566*AJ565</f>
        <v/>
      </c>
      <c r="AK566">
        <f>$C566*AK565</f>
        <v/>
      </c>
      <c r="AL566">
        <f>$C566*AL565</f>
        <v/>
      </c>
      <c r="AM566">
        <f>$C566*AM565</f>
        <v/>
      </c>
      <c r="AN566">
        <f>$C566*AN565</f>
        <v/>
      </c>
      <c r="AO566">
        <f>$C566*AO565</f>
        <v/>
      </c>
      <c r="AP566">
        <f>$C566*AP565</f>
        <v/>
      </c>
      <c r="AQ566">
        <f>$C566*AQ565</f>
        <v/>
      </c>
      <c r="AR566">
        <f>$C566*AR565</f>
        <v/>
      </c>
      <c r="AS566">
        <f>$C566*AS565</f>
        <v/>
      </c>
      <c r="AT566">
        <f>$C566*AT565</f>
        <v/>
      </c>
      <c r="AU566">
        <f>$C566*AU565</f>
        <v/>
      </c>
      <c r="AV566">
        <f>$C566*AV565</f>
        <v/>
      </c>
      <c r="AW566">
        <f>$C566*AW565</f>
        <v/>
      </c>
      <c r="AX566">
        <f>$C566*AX565</f>
        <v/>
      </c>
      <c r="AY566">
        <f>$C566*AY565</f>
        <v/>
      </c>
      <c r="AZ566">
        <f>$C566*AZ565</f>
        <v/>
      </c>
      <c r="BA566">
        <f>$C566*BA565</f>
        <v/>
      </c>
      <c r="BB566">
        <f>$C566*BB565</f>
        <v/>
      </c>
      <c r="BC566">
        <f>$C566*BC565</f>
        <v/>
      </c>
      <c r="BD566">
        <f>$C566*BD565</f>
        <v/>
      </c>
      <c r="BE566">
        <f>$C566*BE565</f>
        <v/>
      </c>
      <c r="BF566">
        <f>$C566*BF565</f>
        <v/>
      </c>
      <c r="BG566">
        <f>$C566*BG565</f>
        <v/>
      </c>
      <c r="BH566">
        <f>$C566*BH565</f>
        <v/>
      </c>
      <c r="BI566">
        <f>$C566*BI565</f>
        <v/>
      </c>
      <c r="BJ566">
        <f>$C566*BJ565</f>
        <v/>
      </c>
      <c r="BK566">
        <f>$C566*BK565</f>
        <v/>
      </c>
      <c r="BL566">
        <f>$C566*BL565</f>
        <v/>
      </c>
      <c r="BM566">
        <f>$C566*BM565</f>
        <v/>
      </c>
      <c r="BN566">
        <f>$C566*BN565</f>
        <v/>
      </c>
      <c r="BO566">
        <f>$C566*BO565</f>
        <v/>
      </c>
      <c r="BP566">
        <f>$C566*BP565</f>
        <v/>
      </c>
      <c r="BQ566">
        <f>$C566*BQ565</f>
        <v/>
      </c>
      <c r="BR566">
        <f>$C566*BR565</f>
        <v/>
      </c>
      <c r="BS566">
        <f>$C566*BS565</f>
        <v/>
      </c>
      <c r="BT566">
        <f>$C566*BT565</f>
        <v/>
      </c>
      <c r="BU566">
        <f>$C566*BU565</f>
        <v/>
      </c>
      <c r="BV566">
        <f>$C566*BV565</f>
        <v/>
      </c>
      <c r="BW566">
        <f>$C566*BW565</f>
        <v/>
      </c>
      <c r="BX566">
        <f>$C566*BX565</f>
        <v/>
      </c>
      <c r="BY566">
        <f>$C566*BY565</f>
        <v/>
      </c>
      <c r="BZ566">
        <f>$C566*BZ565</f>
        <v/>
      </c>
      <c r="CA566">
        <f>$C566*CA565</f>
        <v/>
      </c>
      <c r="CB566">
        <f>$C566*CB565</f>
        <v/>
      </c>
      <c r="CC566">
        <f>$C566*CC565</f>
        <v/>
      </c>
      <c r="CD566">
        <f>$C566*CD565</f>
        <v/>
      </c>
      <c r="CE566">
        <f>$C566*CE565</f>
        <v/>
      </c>
      <c r="CF566">
        <f>$C566*CF565</f>
        <v/>
      </c>
      <c r="CG566">
        <f>$C566*CG565</f>
        <v/>
      </c>
      <c r="CH566">
        <f>$C566*CH565</f>
        <v/>
      </c>
      <c r="CI566">
        <f>$C566*CI565</f>
        <v/>
      </c>
      <c r="CJ566">
        <f>$C566*CJ565</f>
        <v/>
      </c>
      <c r="CK566">
        <f>$C566*CK565</f>
        <v/>
      </c>
      <c r="CL566">
        <f>$C566*CL565</f>
        <v/>
      </c>
      <c r="CM566">
        <f>$C566*CM565</f>
        <v/>
      </c>
      <c r="CN566">
        <f>$C566*CN565</f>
        <v/>
      </c>
      <c r="CO566">
        <f>$C566*CO565</f>
        <v/>
      </c>
      <c r="CP566">
        <f>$C566*CP565</f>
        <v/>
      </c>
      <c r="CQ566">
        <f>$C566*CQ565</f>
        <v/>
      </c>
      <c r="CR566">
        <f>$C566*CR565</f>
        <v/>
      </c>
      <c r="CS566">
        <f>$C566*CS565</f>
        <v/>
      </c>
      <c r="CT566">
        <f>$C566*CT565</f>
        <v/>
      </c>
      <c r="CU566">
        <f>$C566*CU565</f>
        <v/>
      </c>
      <c r="CV566">
        <f>$C566*CV565</f>
        <v/>
      </c>
      <c r="CW566">
        <f>$C566*CW565</f>
        <v/>
      </c>
      <c r="CX566">
        <f>$C566*CX565</f>
        <v/>
      </c>
      <c r="CY566">
        <f>$C566*CY565</f>
        <v/>
      </c>
      <c r="CZ566">
        <f>$C566*CZ565</f>
        <v/>
      </c>
      <c r="DA566">
        <f>$C566*DA565</f>
        <v/>
      </c>
      <c r="DB566">
        <f>$C566*DB565</f>
        <v/>
      </c>
      <c r="DC566">
        <f>$C566*DC565</f>
        <v/>
      </c>
    </row>
    <row r="567">
      <c r="B567" t="inlineStr">
        <is>
          <t>TSP-710</t>
        </is>
      </c>
      <c r="C567" t="inlineStr">
        <is>
          <t>No. of batches</t>
        </is>
      </c>
      <c r="D567">
        <f>IFERROR(INDEX(PP_Grid[#Data],$DD567,2),0)</f>
        <v/>
      </c>
      <c r="E567">
        <f>IFERROR(INDEX(PP_Grid[#Data],$DD567,3),0)</f>
        <v/>
      </c>
      <c r="F567">
        <f>IFERROR(INDEX(PP_Grid[#Data],$DD567,4),0)</f>
        <v/>
      </c>
      <c r="G567">
        <f>IFERROR(INDEX(PP_Grid[#Data],$DD567,5),0)</f>
        <v/>
      </c>
      <c r="H567">
        <f>IFERROR(INDEX(PP_Grid[#Data],$DD567,6),0)</f>
        <v/>
      </c>
      <c r="I567">
        <f>IFERROR(INDEX(PP_Grid[#Data],$DD567,7),0)</f>
        <v/>
      </c>
      <c r="J567">
        <f>IFERROR(INDEX(PP_Grid[#Data],$DD567,8),0)</f>
        <v/>
      </c>
      <c r="K567">
        <f>IFERROR(INDEX(PP_Grid[#Data],$DD567,9),0)</f>
        <v/>
      </c>
      <c r="L567">
        <f>IFERROR(INDEX(PP_Grid[#Data],$DD567,10),0)</f>
        <v/>
      </c>
      <c r="M567">
        <f>IFERROR(INDEX(PP_Grid[#Data],$DD567,11),0)</f>
        <v/>
      </c>
      <c r="N567">
        <f>IFERROR(INDEX(PP_Grid[#Data],$DD567,12),0)</f>
        <v/>
      </c>
      <c r="O567">
        <f>IFERROR(INDEX(PP_Grid[#Data],$DD567,13),0)</f>
        <v/>
      </c>
      <c r="P567">
        <f>IFERROR(INDEX(PP_Grid[#Data],$DD567,14),0)</f>
        <v/>
      </c>
      <c r="Q567">
        <f>IFERROR(INDEX(PP_Grid[#Data],$DD567,15),0)</f>
        <v/>
      </c>
      <c r="R567">
        <f>IFERROR(INDEX(PP_Grid[#Data],$DD567,16),0)</f>
        <v/>
      </c>
      <c r="S567">
        <f>IFERROR(INDEX(PP_Grid[#Data],$DD567,17),0)</f>
        <v/>
      </c>
      <c r="T567">
        <f>IFERROR(INDEX(PP_Grid[#Data],$DD567,18),0)</f>
        <v/>
      </c>
      <c r="U567">
        <f>IFERROR(INDEX(PP_Grid[#Data],$DD567,19),0)</f>
        <v/>
      </c>
      <c r="V567">
        <f>IFERROR(INDEX(PP_Grid[#Data],$DD567,20),0)</f>
        <v/>
      </c>
      <c r="W567">
        <f>IFERROR(INDEX(PP_Grid[#Data],$DD567,21),0)</f>
        <v/>
      </c>
      <c r="X567">
        <f>IFERROR(INDEX(PP_Grid[#Data],$DD567,22),0)</f>
        <v/>
      </c>
      <c r="Y567">
        <f>IFERROR(INDEX(PP_Grid[#Data],$DD567,23),0)</f>
        <v/>
      </c>
      <c r="Z567">
        <f>IFERROR(INDEX(PP_Grid[#Data],$DD567,24),0)</f>
        <v/>
      </c>
      <c r="AA567">
        <f>IFERROR(INDEX(PP_Grid[#Data],$DD567,25),0)</f>
        <v/>
      </c>
      <c r="AB567">
        <f>IFERROR(INDEX(PP_Grid[#Data],$DD567,26),0)</f>
        <v/>
      </c>
      <c r="AC567">
        <f>IFERROR(INDEX(PP_Grid[#Data],$DD567,27),0)</f>
        <v/>
      </c>
      <c r="AD567">
        <f>IFERROR(INDEX(PP_Grid[#Data],$DD567,28),0)</f>
        <v/>
      </c>
      <c r="AE567">
        <f>IFERROR(INDEX(PP_Grid[#Data],$DD567,29),0)</f>
        <v/>
      </c>
      <c r="AF567">
        <f>IFERROR(INDEX(PP_Grid[#Data],$DD567,30),0)</f>
        <v/>
      </c>
      <c r="AG567">
        <f>IFERROR(INDEX(PP_Grid[#Data],$DD567,31),0)</f>
        <v/>
      </c>
      <c r="AH567">
        <f>IFERROR(INDEX(PP_Grid[#Data],$DD567,32),0)</f>
        <v/>
      </c>
      <c r="AI567">
        <f>IFERROR(INDEX(PP_Grid[#Data],$DD567,33),0)</f>
        <v/>
      </c>
      <c r="AJ567">
        <f>IFERROR(INDEX(PP_Grid[#Data],$DD567,34),0)</f>
        <v/>
      </c>
      <c r="AK567">
        <f>IFERROR(INDEX(PP_Grid[#Data],$DD567,35),0)</f>
        <v/>
      </c>
      <c r="AL567">
        <f>IFERROR(INDEX(PP_Grid[#Data],$DD567,36),0)</f>
        <v/>
      </c>
      <c r="AM567">
        <f>IFERROR(INDEX(PP_Grid[#Data],$DD567,37),0)</f>
        <v/>
      </c>
      <c r="AN567">
        <f>IFERROR(INDEX(PP_Grid[#Data],$DD567,38),0)</f>
        <v/>
      </c>
      <c r="AO567">
        <f>IFERROR(INDEX(PP_Grid[#Data],$DD567,39),0)</f>
        <v/>
      </c>
      <c r="AP567">
        <f>IFERROR(INDEX(PP_Grid[#Data],$DD567,40),0)</f>
        <v/>
      </c>
      <c r="AQ567">
        <f>IFERROR(INDEX(PP_Grid[#Data],$DD567,41),0)</f>
        <v/>
      </c>
      <c r="AR567">
        <f>IFERROR(INDEX(PP_Grid[#Data],$DD567,42),0)</f>
        <v/>
      </c>
      <c r="AS567">
        <f>IFERROR(INDEX(PP_Grid[#Data],$DD567,43),0)</f>
        <v/>
      </c>
      <c r="AT567">
        <f>IFERROR(INDEX(PP_Grid[#Data],$DD567,44),0)</f>
        <v/>
      </c>
      <c r="AU567">
        <f>IFERROR(INDEX(PP_Grid[#Data],$DD567,45),0)</f>
        <v/>
      </c>
      <c r="AV567">
        <f>IFERROR(INDEX(PP_Grid[#Data],$DD567,46),0)</f>
        <v/>
      </c>
      <c r="AW567">
        <f>IFERROR(INDEX(PP_Grid[#Data],$DD567,47),0)</f>
        <v/>
      </c>
      <c r="AX567">
        <f>IFERROR(INDEX(PP_Grid[#Data],$DD567,48),0)</f>
        <v/>
      </c>
      <c r="AY567">
        <f>IFERROR(INDEX(PP_Grid[#Data],$DD567,49),0)</f>
        <v/>
      </c>
      <c r="AZ567">
        <f>IFERROR(INDEX(PP_Grid[#Data],$DD567,50),0)</f>
        <v/>
      </c>
      <c r="BA567">
        <f>IFERROR(INDEX(PP_Grid[#Data],$DD567,51),0)</f>
        <v/>
      </c>
      <c r="BB567">
        <f>IFERROR(INDEX(PP_Grid[#Data],$DD567,52),0)</f>
        <v/>
      </c>
      <c r="BC567">
        <f>IFERROR(INDEX(PP_Grid[#Data],$DD567,53),0)</f>
        <v/>
      </c>
      <c r="BD567">
        <f>IFERROR(INDEX(PP_Grid[#Data],$DD567,54),0)</f>
        <v/>
      </c>
      <c r="BE567">
        <f>IFERROR(INDEX(PP_Grid[#Data],$DD567,55),0)</f>
        <v/>
      </c>
      <c r="BF567">
        <f>IFERROR(INDEX(PP_Grid[#Data],$DD567,56),0)</f>
        <v/>
      </c>
      <c r="BG567">
        <f>IFERROR(INDEX(PP_Grid[#Data],$DD567,57),0)</f>
        <v/>
      </c>
      <c r="BH567">
        <f>IFERROR(INDEX(PP_Grid[#Data],$DD567,58),0)</f>
        <v/>
      </c>
      <c r="BI567">
        <f>IFERROR(INDEX(PP_Grid[#Data],$DD567,59),0)</f>
        <v/>
      </c>
      <c r="BJ567">
        <f>IFERROR(INDEX(PP_Grid[#Data],$DD567,60),0)</f>
        <v/>
      </c>
      <c r="BK567">
        <f>IFERROR(INDEX(PP_Grid[#Data],$DD567,61),0)</f>
        <v/>
      </c>
      <c r="BL567">
        <f>IFERROR(INDEX(PP_Grid[#Data],$DD567,62),0)</f>
        <v/>
      </c>
      <c r="BM567">
        <f>IFERROR(INDEX(PP_Grid[#Data],$DD567,63),0)</f>
        <v/>
      </c>
      <c r="BN567">
        <f>IFERROR(INDEX(PP_Grid[#Data],$DD567,64),0)</f>
        <v/>
      </c>
      <c r="BO567">
        <f>IFERROR(INDEX(PP_Grid[#Data],$DD567,65),0)</f>
        <v/>
      </c>
      <c r="BP567">
        <f>IFERROR(INDEX(PP_Grid[#Data],$DD567,66),0)</f>
        <v/>
      </c>
      <c r="BQ567">
        <f>IFERROR(INDEX(PP_Grid[#Data],$DD567,67),0)</f>
        <v/>
      </c>
      <c r="BR567">
        <f>IFERROR(INDEX(PP_Grid[#Data],$DD567,68),0)</f>
        <v/>
      </c>
      <c r="BS567">
        <f>IFERROR(INDEX(PP_Grid[#Data],$DD567,69),0)</f>
        <v/>
      </c>
      <c r="BT567">
        <f>IFERROR(INDEX(PP_Grid[#Data],$DD567,70),0)</f>
        <v/>
      </c>
      <c r="BU567">
        <f>IFERROR(INDEX(PP_Grid[#Data],$DD567,71),0)</f>
        <v/>
      </c>
      <c r="BV567">
        <f>IFERROR(INDEX(PP_Grid[#Data],$DD567,72),0)</f>
        <v/>
      </c>
      <c r="BW567">
        <f>IFERROR(INDEX(PP_Grid[#Data],$DD567,73),0)</f>
        <v/>
      </c>
      <c r="BX567">
        <f>IFERROR(INDEX(PP_Grid[#Data],$DD567,74),0)</f>
        <v/>
      </c>
      <c r="BY567">
        <f>IFERROR(INDEX(PP_Grid[#Data],$DD567,75),0)</f>
        <v/>
      </c>
      <c r="BZ567">
        <f>IFERROR(INDEX(PP_Grid[#Data],$DD567,76),0)</f>
        <v/>
      </c>
      <c r="CA567">
        <f>IFERROR(INDEX(PP_Grid[#Data],$DD567,77),0)</f>
        <v/>
      </c>
      <c r="CB567">
        <f>IFERROR(INDEX(PP_Grid[#Data],$DD567,78),0)</f>
        <v/>
      </c>
      <c r="CC567">
        <f>IFERROR(INDEX(PP_Grid[#Data],$DD567,79),0)</f>
        <v/>
      </c>
      <c r="CD567">
        <f>IFERROR(INDEX(PP_Grid[#Data],$DD567,80),0)</f>
        <v/>
      </c>
      <c r="CE567">
        <f>IFERROR(INDEX(PP_Grid[#Data],$DD567,81),0)</f>
        <v/>
      </c>
      <c r="CF567">
        <f>IFERROR(INDEX(PP_Grid[#Data],$DD567,82),0)</f>
        <v/>
      </c>
      <c r="CG567">
        <f>IFERROR(INDEX(PP_Grid[#Data],$DD567,83),0)</f>
        <v/>
      </c>
      <c r="CH567">
        <f>IFERROR(INDEX(PP_Grid[#Data],$DD567,84),0)</f>
        <v/>
      </c>
      <c r="CI567">
        <f>IFERROR(INDEX(PP_Grid[#Data],$DD567,85),0)</f>
        <v/>
      </c>
      <c r="CJ567">
        <f>IFERROR(INDEX(PP_Grid[#Data],$DD567,86),0)</f>
        <v/>
      </c>
      <c r="CK567">
        <f>IFERROR(INDEX(PP_Grid[#Data],$DD567,87),0)</f>
        <v/>
      </c>
      <c r="CL567">
        <f>IFERROR(INDEX(PP_Grid[#Data],$DD567,88),0)</f>
        <v/>
      </c>
      <c r="CM567">
        <f>IFERROR(INDEX(PP_Grid[#Data],$DD567,89),0)</f>
        <v/>
      </c>
      <c r="CN567">
        <f>IFERROR(INDEX(PP_Grid[#Data],$DD567,90),0)</f>
        <v/>
      </c>
      <c r="CO567">
        <f>IFERROR(INDEX(PP_Grid[#Data],$DD567,91),0)</f>
        <v/>
      </c>
      <c r="CP567">
        <f>IFERROR(INDEX(PP_Grid[#Data],$DD567,92),0)</f>
        <v/>
      </c>
      <c r="CQ567">
        <f>IFERROR(INDEX(PP_Grid[#Data],$DD567,93),0)</f>
        <v/>
      </c>
      <c r="CR567">
        <f>IFERROR(INDEX(PP_Grid[#Data],$DD567,94),0)</f>
        <v/>
      </c>
      <c r="CS567">
        <f>IFERROR(INDEX(PP_Grid[#Data],$DD567,95),0)</f>
        <v/>
      </c>
      <c r="CT567">
        <f>IFERROR(INDEX(PP_Grid[#Data],$DD567,96),0)</f>
        <v/>
      </c>
      <c r="CU567">
        <f>IFERROR(INDEX(PP_Grid[#Data],$DD567,97),0)</f>
        <v/>
      </c>
      <c r="CV567">
        <f>IFERROR(INDEX(PP_Grid[#Data],$DD567,98),0)</f>
        <v/>
      </c>
      <c r="CW567">
        <f>IFERROR(INDEX(PP_Grid[#Data],$DD567,99),0)</f>
        <v/>
      </c>
      <c r="CX567">
        <f>IFERROR(INDEX(PP_Grid[#Data],$DD567,100),0)</f>
        <v/>
      </c>
      <c r="CY567">
        <f>IFERROR(INDEX(PP_Grid[#Data],$DD567,101),0)</f>
        <v/>
      </c>
      <c r="CZ567">
        <f>IFERROR(INDEX(PP_Grid[#Data],$DD567,102),0)</f>
        <v/>
      </c>
      <c r="DA567">
        <f>IFERROR(INDEX(PP_Grid[#Data],$DD567,103),0)</f>
        <v/>
      </c>
      <c r="DB567">
        <f>IFERROR(INDEX(PP_Grid[#Data],$DD567,104),0)</f>
        <v/>
      </c>
      <c r="DC567">
        <f>IFERROR(INDEX(PP_Grid[#Data],$DD567,105),0)</f>
        <v/>
      </c>
      <c r="DD567" s="12">
        <f>IFERROR(MATCH($B567,PP_Grid[Intermediate],0),99999)</f>
        <v/>
      </c>
    </row>
    <row r="568">
      <c r="B568" t="inlineStr">
        <is>
          <t>使用量(kg)</t>
        </is>
      </c>
      <c r="C568">
        <f>SUMIFS(M_BOM[RM_Qty_Per_Batch],M_BOM[Intermediate],$B567,M_BOM[Part Name],$A518)</f>
        <v/>
      </c>
      <c r="D568">
        <f>$C568*D567</f>
        <v/>
      </c>
      <c r="E568">
        <f>$C568*E567</f>
        <v/>
      </c>
      <c r="F568">
        <f>$C568*F567</f>
        <v/>
      </c>
      <c r="G568">
        <f>$C568*G567</f>
        <v/>
      </c>
      <c r="H568">
        <f>$C568*H567</f>
        <v/>
      </c>
      <c r="I568">
        <f>$C568*I567</f>
        <v/>
      </c>
      <c r="J568">
        <f>$C568*J567</f>
        <v/>
      </c>
      <c r="K568">
        <f>$C568*K567</f>
        <v/>
      </c>
      <c r="L568">
        <f>$C568*L567</f>
        <v/>
      </c>
      <c r="M568">
        <f>$C568*M567</f>
        <v/>
      </c>
      <c r="N568">
        <f>$C568*N567</f>
        <v/>
      </c>
      <c r="O568">
        <f>$C568*O567</f>
        <v/>
      </c>
      <c r="P568">
        <f>$C568*P567</f>
        <v/>
      </c>
      <c r="Q568">
        <f>$C568*Q567</f>
        <v/>
      </c>
      <c r="R568">
        <f>$C568*R567</f>
        <v/>
      </c>
      <c r="S568">
        <f>$C568*S567</f>
        <v/>
      </c>
      <c r="T568">
        <f>$C568*T567</f>
        <v/>
      </c>
      <c r="U568">
        <f>$C568*U567</f>
        <v/>
      </c>
      <c r="V568">
        <f>$C568*V567</f>
        <v/>
      </c>
      <c r="W568">
        <f>$C568*W567</f>
        <v/>
      </c>
      <c r="X568">
        <f>$C568*X567</f>
        <v/>
      </c>
      <c r="Y568">
        <f>$C568*Y567</f>
        <v/>
      </c>
      <c r="Z568">
        <f>$C568*Z567</f>
        <v/>
      </c>
      <c r="AA568">
        <f>$C568*AA567</f>
        <v/>
      </c>
      <c r="AB568">
        <f>$C568*AB567</f>
        <v/>
      </c>
      <c r="AC568">
        <f>$C568*AC567</f>
        <v/>
      </c>
      <c r="AD568">
        <f>$C568*AD567</f>
        <v/>
      </c>
      <c r="AE568">
        <f>$C568*AE567</f>
        <v/>
      </c>
      <c r="AF568">
        <f>$C568*AF567</f>
        <v/>
      </c>
      <c r="AG568">
        <f>$C568*AG567</f>
        <v/>
      </c>
      <c r="AH568">
        <f>$C568*AH567</f>
        <v/>
      </c>
      <c r="AI568">
        <f>$C568*AI567</f>
        <v/>
      </c>
      <c r="AJ568">
        <f>$C568*AJ567</f>
        <v/>
      </c>
      <c r="AK568">
        <f>$C568*AK567</f>
        <v/>
      </c>
      <c r="AL568">
        <f>$C568*AL567</f>
        <v/>
      </c>
      <c r="AM568">
        <f>$C568*AM567</f>
        <v/>
      </c>
      <c r="AN568">
        <f>$C568*AN567</f>
        <v/>
      </c>
      <c r="AO568">
        <f>$C568*AO567</f>
        <v/>
      </c>
      <c r="AP568">
        <f>$C568*AP567</f>
        <v/>
      </c>
      <c r="AQ568">
        <f>$C568*AQ567</f>
        <v/>
      </c>
      <c r="AR568">
        <f>$C568*AR567</f>
        <v/>
      </c>
      <c r="AS568">
        <f>$C568*AS567</f>
        <v/>
      </c>
      <c r="AT568">
        <f>$C568*AT567</f>
        <v/>
      </c>
      <c r="AU568">
        <f>$C568*AU567</f>
        <v/>
      </c>
      <c r="AV568">
        <f>$C568*AV567</f>
        <v/>
      </c>
      <c r="AW568">
        <f>$C568*AW567</f>
        <v/>
      </c>
      <c r="AX568">
        <f>$C568*AX567</f>
        <v/>
      </c>
      <c r="AY568">
        <f>$C568*AY567</f>
        <v/>
      </c>
      <c r="AZ568">
        <f>$C568*AZ567</f>
        <v/>
      </c>
      <c r="BA568">
        <f>$C568*BA567</f>
        <v/>
      </c>
      <c r="BB568">
        <f>$C568*BB567</f>
        <v/>
      </c>
      <c r="BC568">
        <f>$C568*BC567</f>
        <v/>
      </c>
      <c r="BD568">
        <f>$C568*BD567</f>
        <v/>
      </c>
      <c r="BE568">
        <f>$C568*BE567</f>
        <v/>
      </c>
      <c r="BF568">
        <f>$C568*BF567</f>
        <v/>
      </c>
      <c r="BG568">
        <f>$C568*BG567</f>
        <v/>
      </c>
      <c r="BH568">
        <f>$C568*BH567</f>
        <v/>
      </c>
      <c r="BI568">
        <f>$C568*BI567</f>
        <v/>
      </c>
      <c r="BJ568">
        <f>$C568*BJ567</f>
        <v/>
      </c>
      <c r="BK568">
        <f>$C568*BK567</f>
        <v/>
      </c>
      <c r="BL568">
        <f>$C568*BL567</f>
        <v/>
      </c>
      <c r="BM568">
        <f>$C568*BM567</f>
        <v/>
      </c>
      <c r="BN568">
        <f>$C568*BN567</f>
        <v/>
      </c>
      <c r="BO568">
        <f>$C568*BO567</f>
        <v/>
      </c>
      <c r="BP568">
        <f>$C568*BP567</f>
        <v/>
      </c>
      <c r="BQ568">
        <f>$C568*BQ567</f>
        <v/>
      </c>
      <c r="BR568">
        <f>$C568*BR567</f>
        <v/>
      </c>
      <c r="BS568">
        <f>$C568*BS567</f>
        <v/>
      </c>
      <c r="BT568">
        <f>$C568*BT567</f>
        <v/>
      </c>
      <c r="BU568">
        <f>$C568*BU567</f>
        <v/>
      </c>
      <c r="BV568">
        <f>$C568*BV567</f>
        <v/>
      </c>
      <c r="BW568">
        <f>$C568*BW567</f>
        <v/>
      </c>
      <c r="BX568">
        <f>$C568*BX567</f>
        <v/>
      </c>
      <c r="BY568">
        <f>$C568*BY567</f>
        <v/>
      </c>
      <c r="BZ568">
        <f>$C568*BZ567</f>
        <v/>
      </c>
      <c r="CA568">
        <f>$C568*CA567</f>
        <v/>
      </c>
      <c r="CB568">
        <f>$C568*CB567</f>
        <v/>
      </c>
      <c r="CC568">
        <f>$C568*CC567</f>
        <v/>
      </c>
      <c r="CD568">
        <f>$C568*CD567</f>
        <v/>
      </c>
      <c r="CE568">
        <f>$C568*CE567</f>
        <v/>
      </c>
      <c r="CF568">
        <f>$C568*CF567</f>
        <v/>
      </c>
      <c r="CG568">
        <f>$C568*CG567</f>
        <v/>
      </c>
      <c r="CH568">
        <f>$C568*CH567</f>
        <v/>
      </c>
      <c r="CI568">
        <f>$C568*CI567</f>
        <v/>
      </c>
      <c r="CJ568">
        <f>$C568*CJ567</f>
        <v/>
      </c>
      <c r="CK568">
        <f>$C568*CK567</f>
        <v/>
      </c>
      <c r="CL568">
        <f>$C568*CL567</f>
        <v/>
      </c>
      <c r="CM568">
        <f>$C568*CM567</f>
        <v/>
      </c>
      <c r="CN568">
        <f>$C568*CN567</f>
        <v/>
      </c>
      <c r="CO568">
        <f>$C568*CO567</f>
        <v/>
      </c>
      <c r="CP568">
        <f>$C568*CP567</f>
        <v/>
      </c>
      <c r="CQ568">
        <f>$C568*CQ567</f>
        <v/>
      </c>
      <c r="CR568">
        <f>$C568*CR567</f>
        <v/>
      </c>
      <c r="CS568">
        <f>$C568*CS567</f>
        <v/>
      </c>
      <c r="CT568">
        <f>$C568*CT567</f>
        <v/>
      </c>
      <c r="CU568">
        <f>$C568*CU567</f>
        <v/>
      </c>
      <c r="CV568">
        <f>$C568*CV567</f>
        <v/>
      </c>
      <c r="CW568">
        <f>$C568*CW567</f>
        <v/>
      </c>
      <c r="CX568">
        <f>$C568*CX567</f>
        <v/>
      </c>
      <c r="CY568">
        <f>$C568*CY567</f>
        <v/>
      </c>
      <c r="CZ568">
        <f>$C568*CZ567</f>
        <v/>
      </c>
      <c r="DA568">
        <f>$C568*DA567</f>
        <v/>
      </c>
      <c r="DB568">
        <f>$C568*DB567</f>
        <v/>
      </c>
      <c r="DC568">
        <f>$C568*DC567</f>
        <v/>
      </c>
    </row>
    <row r="569">
      <c r="B569" t="inlineStr">
        <is>
          <t>TSP-828</t>
        </is>
      </c>
      <c r="C569" t="inlineStr">
        <is>
          <t>No. of batches</t>
        </is>
      </c>
      <c r="D569">
        <f>IFERROR(INDEX(PP_Grid[#Data],$DD569,2),0)</f>
        <v/>
      </c>
      <c r="E569">
        <f>IFERROR(INDEX(PP_Grid[#Data],$DD569,3),0)</f>
        <v/>
      </c>
      <c r="F569">
        <f>IFERROR(INDEX(PP_Grid[#Data],$DD569,4),0)</f>
        <v/>
      </c>
      <c r="G569">
        <f>IFERROR(INDEX(PP_Grid[#Data],$DD569,5),0)</f>
        <v/>
      </c>
      <c r="H569">
        <f>IFERROR(INDEX(PP_Grid[#Data],$DD569,6),0)</f>
        <v/>
      </c>
      <c r="I569">
        <f>IFERROR(INDEX(PP_Grid[#Data],$DD569,7),0)</f>
        <v/>
      </c>
      <c r="J569">
        <f>IFERROR(INDEX(PP_Grid[#Data],$DD569,8),0)</f>
        <v/>
      </c>
      <c r="K569">
        <f>IFERROR(INDEX(PP_Grid[#Data],$DD569,9),0)</f>
        <v/>
      </c>
      <c r="L569">
        <f>IFERROR(INDEX(PP_Grid[#Data],$DD569,10),0)</f>
        <v/>
      </c>
      <c r="M569">
        <f>IFERROR(INDEX(PP_Grid[#Data],$DD569,11),0)</f>
        <v/>
      </c>
      <c r="N569">
        <f>IFERROR(INDEX(PP_Grid[#Data],$DD569,12),0)</f>
        <v/>
      </c>
      <c r="O569">
        <f>IFERROR(INDEX(PP_Grid[#Data],$DD569,13),0)</f>
        <v/>
      </c>
      <c r="P569">
        <f>IFERROR(INDEX(PP_Grid[#Data],$DD569,14),0)</f>
        <v/>
      </c>
      <c r="Q569">
        <f>IFERROR(INDEX(PP_Grid[#Data],$DD569,15),0)</f>
        <v/>
      </c>
      <c r="R569">
        <f>IFERROR(INDEX(PP_Grid[#Data],$DD569,16),0)</f>
        <v/>
      </c>
      <c r="S569">
        <f>IFERROR(INDEX(PP_Grid[#Data],$DD569,17),0)</f>
        <v/>
      </c>
      <c r="T569">
        <f>IFERROR(INDEX(PP_Grid[#Data],$DD569,18),0)</f>
        <v/>
      </c>
      <c r="U569">
        <f>IFERROR(INDEX(PP_Grid[#Data],$DD569,19),0)</f>
        <v/>
      </c>
      <c r="V569">
        <f>IFERROR(INDEX(PP_Grid[#Data],$DD569,20),0)</f>
        <v/>
      </c>
      <c r="W569">
        <f>IFERROR(INDEX(PP_Grid[#Data],$DD569,21),0)</f>
        <v/>
      </c>
      <c r="X569">
        <f>IFERROR(INDEX(PP_Grid[#Data],$DD569,22),0)</f>
        <v/>
      </c>
      <c r="Y569">
        <f>IFERROR(INDEX(PP_Grid[#Data],$DD569,23),0)</f>
        <v/>
      </c>
      <c r="Z569">
        <f>IFERROR(INDEX(PP_Grid[#Data],$DD569,24),0)</f>
        <v/>
      </c>
      <c r="AA569">
        <f>IFERROR(INDEX(PP_Grid[#Data],$DD569,25),0)</f>
        <v/>
      </c>
      <c r="AB569">
        <f>IFERROR(INDEX(PP_Grid[#Data],$DD569,26),0)</f>
        <v/>
      </c>
      <c r="AC569">
        <f>IFERROR(INDEX(PP_Grid[#Data],$DD569,27),0)</f>
        <v/>
      </c>
      <c r="AD569">
        <f>IFERROR(INDEX(PP_Grid[#Data],$DD569,28),0)</f>
        <v/>
      </c>
      <c r="AE569">
        <f>IFERROR(INDEX(PP_Grid[#Data],$DD569,29),0)</f>
        <v/>
      </c>
      <c r="AF569">
        <f>IFERROR(INDEX(PP_Grid[#Data],$DD569,30),0)</f>
        <v/>
      </c>
      <c r="AG569">
        <f>IFERROR(INDEX(PP_Grid[#Data],$DD569,31),0)</f>
        <v/>
      </c>
      <c r="AH569">
        <f>IFERROR(INDEX(PP_Grid[#Data],$DD569,32),0)</f>
        <v/>
      </c>
      <c r="AI569">
        <f>IFERROR(INDEX(PP_Grid[#Data],$DD569,33),0)</f>
        <v/>
      </c>
      <c r="AJ569">
        <f>IFERROR(INDEX(PP_Grid[#Data],$DD569,34),0)</f>
        <v/>
      </c>
      <c r="AK569">
        <f>IFERROR(INDEX(PP_Grid[#Data],$DD569,35),0)</f>
        <v/>
      </c>
      <c r="AL569">
        <f>IFERROR(INDEX(PP_Grid[#Data],$DD569,36),0)</f>
        <v/>
      </c>
      <c r="AM569">
        <f>IFERROR(INDEX(PP_Grid[#Data],$DD569,37),0)</f>
        <v/>
      </c>
      <c r="AN569">
        <f>IFERROR(INDEX(PP_Grid[#Data],$DD569,38),0)</f>
        <v/>
      </c>
      <c r="AO569">
        <f>IFERROR(INDEX(PP_Grid[#Data],$DD569,39),0)</f>
        <v/>
      </c>
      <c r="AP569">
        <f>IFERROR(INDEX(PP_Grid[#Data],$DD569,40),0)</f>
        <v/>
      </c>
      <c r="AQ569">
        <f>IFERROR(INDEX(PP_Grid[#Data],$DD569,41),0)</f>
        <v/>
      </c>
      <c r="AR569">
        <f>IFERROR(INDEX(PP_Grid[#Data],$DD569,42),0)</f>
        <v/>
      </c>
      <c r="AS569">
        <f>IFERROR(INDEX(PP_Grid[#Data],$DD569,43),0)</f>
        <v/>
      </c>
      <c r="AT569">
        <f>IFERROR(INDEX(PP_Grid[#Data],$DD569,44),0)</f>
        <v/>
      </c>
      <c r="AU569">
        <f>IFERROR(INDEX(PP_Grid[#Data],$DD569,45),0)</f>
        <v/>
      </c>
      <c r="AV569">
        <f>IFERROR(INDEX(PP_Grid[#Data],$DD569,46),0)</f>
        <v/>
      </c>
      <c r="AW569">
        <f>IFERROR(INDEX(PP_Grid[#Data],$DD569,47),0)</f>
        <v/>
      </c>
      <c r="AX569">
        <f>IFERROR(INDEX(PP_Grid[#Data],$DD569,48),0)</f>
        <v/>
      </c>
      <c r="AY569">
        <f>IFERROR(INDEX(PP_Grid[#Data],$DD569,49),0)</f>
        <v/>
      </c>
      <c r="AZ569">
        <f>IFERROR(INDEX(PP_Grid[#Data],$DD569,50),0)</f>
        <v/>
      </c>
      <c r="BA569">
        <f>IFERROR(INDEX(PP_Grid[#Data],$DD569,51),0)</f>
        <v/>
      </c>
      <c r="BB569">
        <f>IFERROR(INDEX(PP_Grid[#Data],$DD569,52),0)</f>
        <v/>
      </c>
      <c r="BC569">
        <f>IFERROR(INDEX(PP_Grid[#Data],$DD569,53),0)</f>
        <v/>
      </c>
      <c r="BD569">
        <f>IFERROR(INDEX(PP_Grid[#Data],$DD569,54),0)</f>
        <v/>
      </c>
      <c r="BE569">
        <f>IFERROR(INDEX(PP_Grid[#Data],$DD569,55),0)</f>
        <v/>
      </c>
      <c r="BF569">
        <f>IFERROR(INDEX(PP_Grid[#Data],$DD569,56),0)</f>
        <v/>
      </c>
      <c r="BG569">
        <f>IFERROR(INDEX(PP_Grid[#Data],$DD569,57),0)</f>
        <v/>
      </c>
      <c r="BH569">
        <f>IFERROR(INDEX(PP_Grid[#Data],$DD569,58),0)</f>
        <v/>
      </c>
      <c r="BI569">
        <f>IFERROR(INDEX(PP_Grid[#Data],$DD569,59),0)</f>
        <v/>
      </c>
      <c r="BJ569">
        <f>IFERROR(INDEX(PP_Grid[#Data],$DD569,60),0)</f>
        <v/>
      </c>
      <c r="BK569">
        <f>IFERROR(INDEX(PP_Grid[#Data],$DD569,61),0)</f>
        <v/>
      </c>
      <c r="BL569">
        <f>IFERROR(INDEX(PP_Grid[#Data],$DD569,62),0)</f>
        <v/>
      </c>
      <c r="BM569">
        <f>IFERROR(INDEX(PP_Grid[#Data],$DD569,63),0)</f>
        <v/>
      </c>
      <c r="BN569">
        <f>IFERROR(INDEX(PP_Grid[#Data],$DD569,64),0)</f>
        <v/>
      </c>
      <c r="BO569">
        <f>IFERROR(INDEX(PP_Grid[#Data],$DD569,65),0)</f>
        <v/>
      </c>
      <c r="BP569">
        <f>IFERROR(INDEX(PP_Grid[#Data],$DD569,66),0)</f>
        <v/>
      </c>
      <c r="BQ569">
        <f>IFERROR(INDEX(PP_Grid[#Data],$DD569,67),0)</f>
        <v/>
      </c>
      <c r="BR569">
        <f>IFERROR(INDEX(PP_Grid[#Data],$DD569,68),0)</f>
        <v/>
      </c>
      <c r="BS569">
        <f>IFERROR(INDEX(PP_Grid[#Data],$DD569,69),0)</f>
        <v/>
      </c>
      <c r="BT569">
        <f>IFERROR(INDEX(PP_Grid[#Data],$DD569,70),0)</f>
        <v/>
      </c>
      <c r="BU569">
        <f>IFERROR(INDEX(PP_Grid[#Data],$DD569,71),0)</f>
        <v/>
      </c>
      <c r="BV569">
        <f>IFERROR(INDEX(PP_Grid[#Data],$DD569,72),0)</f>
        <v/>
      </c>
      <c r="BW569">
        <f>IFERROR(INDEX(PP_Grid[#Data],$DD569,73),0)</f>
        <v/>
      </c>
      <c r="BX569">
        <f>IFERROR(INDEX(PP_Grid[#Data],$DD569,74),0)</f>
        <v/>
      </c>
      <c r="BY569">
        <f>IFERROR(INDEX(PP_Grid[#Data],$DD569,75),0)</f>
        <v/>
      </c>
      <c r="BZ569">
        <f>IFERROR(INDEX(PP_Grid[#Data],$DD569,76),0)</f>
        <v/>
      </c>
      <c r="CA569">
        <f>IFERROR(INDEX(PP_Grid[#Data],$DD569,77),0)</f>
        <v/>
      </c>
      <c r="CB569">
        <f>IFERROR(INDEX(PP_Grid[#Data],$DD569,78),0)</f>
        <v/>
      </c>
      <c r="CC569">
        <f>IFERROR(INDEX(PP_Grid[#Data],$DD569,79),0)</f>
        <v/>
      </c>
      <c r="CD569">
        <f>IFERROR(INDEX(PP_Grid[#Data],$DD569,80),0)</f>
        <v/>
      </c>
      <c r="CE569">
        <f>IFERROR(INDEX(PP_Grid[#Data],$DD569,81),0)</f>
        <v/>
      </c>
      <c r="CF569">
        <f>IFERROR(INDEX(PP_Grid[#Data],$DD569,82),0)</f>
        <v/>
      </c>
      <c r="CG569">
        <f>IFERROR(INDEX(PP_Grid[#Data],$DD569,83),0)</f>
        <v/>
      </c>
      <c r="CH569">
        <f>IFERROR(INDEX(PP_Grid[#Data],$DD569,84),0)</f>
        <v/>
      </c>
      <c r="CI569">
        <f>IFERROR(INDEX(PP_Grid[#Data],$DD569,85),0)</f>
        <v/>
      </c>
      <c r="CJ569">
        <f>IFERROR(INDEX(PP_Grid[#Data],$DD569,86),0)</f>
        <v/>
      </c>
      <c r="CK569">
        <f>IFERROR(INDEX(PP_Grid[#Data],$DD569,87),0)</f>
        <v/>
      </c>
      <c r="CL569">
        <f>IFERROR(INDEX(PP_Grid[#Data],$DD569,88),0)</f>
        <v/>
      </c>
      <c r="CM569">
        <f>IFERROR(INDEX(PP_Grid[#Data],$DD569,89),0)</f>
        <v/>
      </c>
      <c r="CN569">
        <f>IFERROR(INDEX(PP_Grid[#Data],$DD569,90),0)</f>
        <v/>
      </c>
      <c r="CO569">
        <f>IFERROR(INDEX(PP_Grid[#Data],$DD569,91),0)</f>
        <v/>
      </c>
      <c r="CP569">
        <f>IFERROR(INDEX(PP_Grid[#Data],$DD569,92),0)</f>
        <v/>
      </c>
      <c r="CQ569">
        <f>IFERROR(INDEX(PP_Grid[#Data],$DD569,93),0)</f>
        <v/>
      </c>
      <c r="CR569">
        <f>IFERROR(INDEX(PP_Grid[#Data],$DD569,94),0)</f>
        <v/>
      </c>
      <c r="CS569">
        <f>IFERROR(INDEX(PP_Grid[#Data],$DD569,95),0)</f>
        <v/>
      </c>
      <c r="CT569">
        <f>IFERROR(INDEX(PP_Grid[#Data],$DD569,96),0)</f>
        <v/>
      </c>
      <c r="CU569">
        <f>IFERROR(INDEX(PP_Grid[#Data],$DD569,97),0)</f>
        <v/>
      </c>
      <c r="CV569">
        <f>IFERROR(INDEX(PP_Grid[#Data],$DD569,98),0)</f>
        <v/>
      </c>
      <c r="CW569">
        <f>IFERROR(INDEX(PP_Grid[#Data],$DD569,99),0)</f>
        <v/>
      </c>
      <c r="CX569">
        <f>IFERROR(INDEX(PP_Grid[#Data],$DD569,100),0)</f>
        <v/>
      </c>
      <c r="CY569">
        <f>IFERROR(INDEX(PP_Grid[#Data],$DD569,101),0)</f>
        <v/>
      </c>
      <c r="CZ569">
        <f>IFERROR(INDEX(PP_Grid[#Data],$DD569,102),0)</f>
        <v/>
      </c>
      <c r="DA569">
        <f>IFERROR(INDEX(PP_Grid[#Data],$DD569,103),0)</f>
        <v/>
      </c>
      <c r="DB569">
        <f>IFERROR(INDEX(PP_Grid[#Data],$DD569,104),0)</f>
        <v/>
      </c>
      <c r="DC569">
        <f>IFERROR(INDEX(PP_Grid[#Data],$DD569,105),0)</f>
        <v/>
      </c>
      <c r="DD569" s="12">
        <f>IFERROR(MATCH($B569,PP_Grid[Intermediate],0),99999)</f>
        <v/>
      </c>
    </row>
    <row r="570">
      <c r="B570" t="inlineStr">
        <is>
          <t>使用量(kg)</t>
        </is>
      </c>
      <c r="C570">
        <f>SUMIFS(M_BOM[RM_Qty_Per_Batch],M_BOM[Intermediate],$B569,M_BOM[Part Name],$A518)</f>
        <v/>
      </c>
      <c r="D570">
        <f>$C570*D569</f>
        <v/>
      </c>
      <c r="E570">
        <f>$C570*E569</f>
        <v/>
      </c>
      <c r="F570">
        <f>$C570*F569</f>
        <v/>
      </c>
      <c r="G570">
        <f>$C570*G569</f>
        <v/>
      </c>
      <c r="H570">
        <f>$C570*H569</f>
        <v/>
      </c>
      <c r="I570">
        <f>$C570*I569</f>
        <v/>
      </c>
      <c r="J570">
        <f>$C570*J569</f>
        <v/>
      </c>
      <c r="K570">
        <f>$C570*K569</f>
        <v/>
      </c>
      <c r="L570">
        <f>$C570*L569</f>
        <v/>
      </c>
      <c r="M570">
        <f>$C570*M569</f>
        <v/>
      </c>
      <c r="N570">
        <f>$C570*N569</f>
        <v/>
      </c>
      <c r="O570">
        <f>$C570*O569</f>
        <v/>
      </c>
      <c r="P570">
        <f>$C570*P569</f>
        <v/>
      </c>
      <c r="Q570">
        <f>$C570*Q569</f>
        <v/>
      </c>
      <c r="R570">
        <f>$C570*R569</f>
        <v/>
      </c>
      <c r="S570">
        <f>$C570*S569</f>
        <v/>
      </c>
      <c r="T570">
        <f>$C570*T569</f>
        <v/>
      </c>
      <c r="U570">
        <f>$C570*U569</f>
        <v/>
      </c>
      <c r="V570">
        <f>$C570*V569</f>
        <v/>
      </c>
      <c r="W570">
        <f>$C570*W569</f>
        <v/>
      </c>
      <c r="X570">
        <f>$C570*X569</f>
        <v/>
      </c>
      <c r="Y570">
        <f>$C570*Y569</f>
        <v/>
      </c>
      <c r="Z570">
        <f>$C570*Z569</f>
        <v/>
      </c>
      <c r="AA570">
        <f>$C570*AA569</f>
        <v/>
      </c>
      <c r="AB570">
        <f>$C570*AB569</f>
        <v/>
      </c>
      <c r="AC570">
        <f>$C570*AC569</f>
        <v/>
      </c>
      <c r="AD570">
        <f>$C570*AD569</f>
        <v/>
      </c>
      <c r="AE570">
        <f>$C570*AE569</f>
        <v/>
      </c>
      <c r="AF570">
        <f>$C570*AF569</f>
        <v/>
      </c>
      <c r="AG570">
        <f>$C570*AG569</f>
        <v/>
      </c>
      <c r="AH570">
        <f>$C570*AH569</f>
        <v/>
      </c>
      <c r="AI570">
        <f>$C570*AI569</f>
        <v/>
      </c>
      <c r="AJ570">
        <f>$C570*AJ569</f>
        <v/>
      </c>
      <c r="AK570">
        <f>$C570*AK569</f>
        <v/>
      </c>
      <c r="AL570">
        <f>$C570*AL569</f>
        <v/>
      </c>
      <c r="AM570">
        <f>$C570*AM569</f>
        <v/>
      </c>
      <c r="AN570">
        <f>$C570*AN569</f>
        <v/>
      </c>
      <c r="AO570">
        <f>$C570*AO569</f>
        <v/>
      </c>
      <c r="AP570">
        <f>$C570*AP569</f>
        <v/>
      </c>
      <c r="AQ570">
        <f>$C570*AQ569</f>
        <v/>
      </c>
      <c r="AR570">
        <f>$C570*AR569</f>
        <v/>
      </c>
      <c r="AS570">
        <f>$C570*AS569</f>
        <v/>
      </c>
      <c r="AT570">
        <f>$C570*AT569</f>
        <v/>
      </c>
      <c r="AU570">
        <f>$C570*AU569</f>
        <v/>
      </c>
      <c r="AV570">
        <f>$C570*AV569</f>
        <v/>
      </c>
      <c r="AW570">
        <f>$C570*AW569</f>
        <v/>
      </c>
      <c r="AX570">
        <f>$C570*AX569</f>
        <v/>
      </c>
      <c r="AY570">
        <f>$C570*AY569</f>
        <v/>
      </c>
      <c r="AZ570">
        <f>$C570*AZ569</f>
        <v/>
      </c>
      <c r="BA570">
        <f>$C570*BA569</f>
        <v/>
      </c>
      <c r="BB570">
        <f>$C570*BB569</f>
        <v/>
      </c>
      <c r="BC570">
        <f>$C570*BC569</f>
        <v/>
      </c>
      <c r="BD570">
        <f>$C570*BD569</f>
        <v/>
      </c>
      <c r="BE570">
        <f>$C570*BE569</f>
        <v/>
      </c>
      <c r="BF570">
        <f>$C570*BF569</f>
        <v/>
      </c>
      <c r="BG570">
        <f>$C570*BG569</f>
        <v/>
      </c>
      <c r="BH570">
        <f>$C570*BH569</f>
        <v/>
      </c>
      <c r="BI570">
        <f>$C570*BI569</f>
        <v/>
      </c>
      <c r="BJ570">
        <f>$C570*BJ569</f>
        <v/>
      </c>
      <c r="BK570">
        <f>$C570*BK569</f>
        <v/>
      </c>
      <c r="BL570">
        <f>$C570*BL569</f>
        <v/>
      </c>
      <c r="BM570">
        <f>$C570*BM569</f>
        <v/>
      </c>
      <c r="BN570">
        <f>$C570*BN569</f>
        <v/>
      </c>
      <c r="BO570">
        <f>$C570*BO569</f>
        <v/>
      </c>
      <c r="BP570">
        <f>$C570*BP569</f>
        <v/>
      </c>
      <c r="BQ570">
        <f>$C570*BQ569</f>
        <v/>
      </c>
      <c r="BR570">
        <f>$C570*BR569</f>
        <v/>
      </c>
      <c r="BS570">
        <f>$C570*BS569</f>
        <v/>
      </c>
      <c r="BT570">
        <f>$C570*BT569</f>
        <v/>
      </c>
      <c r="BU570">
        <f>$C570*BU569</f>
        <v/>
      </c>
      <c r="BV570">
        <f>$C570*BV569</f>
        <v/>
      </c>
      <c r="BW570">
        <f>$C570*BW569</f>
        <v/>
      </c>
      <c r="BX570">
        <f>$C570*BX569</f>
        <v/>
      </c>
      <c r="BY570">
        <f>$C570*BY569</f>
        <v/>
      </c>
      <c r="BZ570">
        <f>$C570*BZ569</f>
        <v/>
      </c>
      <c r="CA570">
        <f>$C570*CA569</f>
        <v/>
      </c>
      <c r="CB570">
        <f>$C570*CB569</f>
        <v/>
      </c>
      <c r="CC570">
        <f>$C570*CC569</f>
        <v/>
      </c>
      <c r="CD570">
        <f>$C570*CD569</f>
        <v/>
      </c>
      <c r="CE570">
        <f>$C570*CE569</f>
        <v/>
      </c>
      <c r="CF570">
        <f>$C570*CF569</f>
        <v/>
      </c>
      <c r="CG570">
        <f>$C570*CG569</f>
        <v/>
      </c>
      <c r="CH570">
        <f>$C570*CH569</f>
        <v/>
      </c>
      <c r="CI570">
        <f>$C570*CI569</f>
        <v/>
      </c>
      <c r="CJ570">
        <f>$C570*CJ569</f>
        <v/>
      </c>
      <c r="CK570">
        <f>$C570*CK569</f>
        <v/>
      </c>
      <c r="CL570">
        <f>$C570*CL569</f>
        <v/>
      </c>
      <c r="CM570">
        <f>$C570*CM569</f>
        <v/>
      </c>
      <c r="CN570">
        <f>$C570*CN569</f>
        <v/>
      </c>
      <c r="CO570">
        <f>$C570*CO569</f>
        <v/>
      </c>
      <c r="CP570">
        <f>$C570*CP569</f>
        <v/>
      </c>
      <c r="CQ570">
        <f>$C570*CQ569</f>
        <v/>
      </c>
      <c r="CR570">
        <f>$C570*CR569</f>
        <v/>
      </c>
      <c r="CS570">
        <f>$C570*CS569</f>
        <v/>
      </c>
      <c r="CT570">
        <f>$C570*CT569</f>
        <v/>
      </c>
      <c r="CU570">
        <f>$C570*CU569</f>
        <v/>
      </c>
      <c r="CV570">
        <f>$C570*CV569</f>
        <v/>
      </c>
      <c r="CW570">
        <f>$C570*CW569</f>
        <v/>
      </c>
      <c r="CX570">
        <f>$C570*CX569</f>
        <v/>
      </c>
      <c r="CY570">
        <f>$C570*CY569</f>
        <v/>
      </c>
      <c r="CZ570">
        <f>$C570*CZ569</f>
        <v/>
      </c>
      <c r="DA570">
        <f>$C570*DA569</f>
        <v/>
      </c>
      <c r="DB570">
        <f>$C570*DB569</f>
        <v/>
      </c>
      <c r="DC570">
        <f>$C570*DC569</f>
        <v/>
      </c>
    </row>
    <row r="571">
      <c r="B571" t="inlineStr">
        <is>
          <t>TSP-903</t>
        </is>
      </c>
      <c r="C571" t="inlineStr">
        <is>
          <t>No. of batches</t>
        </is>
      </c>
      <c r="D571">
        <f>IFERROR(INDEX(PP_Grid[#Data],$DD571,2),0)</f>
        <v/>
      </c>
      <c r="E571">
        <f>IFERROR(INDEX(PP_Grid[#Data],$DD571,3),0)</f>
        <v/>
      </c>
      <c r="F571">
        <f>IFERROR(INDEX(PP_Grid[#Data],$DD571,4),0)</f>
        <v/>
      </c>
      <c r="G571">
        <f>IFERROR(INDEX(PP_Grid[#Data],$DD571,5),0)</f>
        <v/>
      </c>
      <c r="H571">
        <f>IFERROR(INDEX(PP_Grid[#Data],$DD571,6),0)</f>
        <v/>
      </c>
      <c r="I571">
        <f>IFERROR(INDEX(PP_Grid[#Data],$DD571,7),0)</f>
        <v/>
      </c>
      <c r="J571">
        <f>IFERROR(INDEX(PP_Grid[#Data],$DD571,8),0)</f>
        <v/>
      </c>
      <c r="K571">
        <f>IFERROR(INDEX(PP_Grid[#Data],$DD571,9),0)</f>
        <v/>
      </c>
      <c r="L571">
        <f>IFERROR(INDEX(PP_Grid[#Data],$DD571,10),0)</f>
        <v/>
      </c>
      <c r="M571">
        <f>IFERROR(INDEX(PP_Grid[#Data],$DD571,11),0)</f>
        <v/>
      </c>
      <c r="N571">
        <f>IFERROR(INDEX(PP_Grid[#Data],$DD571,12),0)</f>
        <v/>
      </c>
      <c r="O571">
        <f>IFERROR(INDEX(PP_Grid[#Data],$DD571,13),0)</f>
        <v/>
      </c>
      <c r="P571">
        <f>IFERROR(INDEX(PP_Grid[#Data],$DD571,14),0)</f>
        <v/>
      </c>
      <c r="Q571">
        <f>IFERROR(INDEX(PP_Grid[#Data],$DD571,15),0)</f>
        <v/>
      </c>
      <c r="R571">
        <f>IFERROR(INDEX(PP_Grid[#Data],$DD571,16),0)</f>
        <v/>
      </c>
      <c r="S571">
        <f>IFERROR(INDEX(PP_Grid[#Data],$DD571,17),0)</f>
        <v/>
      </c>
      <c r="T571">
        <f>IFERROR(INDEX(PP_Grid[#Data],$DD571,18),0)</f>
        <v/>
      </c>
      <c r="U571">
        <f>IFERROR(INDEX(PP_Grid[#Data],$DD571,19),0)</f>
        <v/>
      </c>
      <c r="V571">
        <f>IFERROR(INDEX(PP_Grid[#Data],$DD571,20),0)</f>
        <v/>
      </c>
      <c r="W571">
        <f>IFERROR(INDEX(PP_Grid[#Data],$DD571,21),0)</f>
        <v/>
      </c>
      <c r="X571">
        <f>IFERROR(INDEX(PP_Grid[#Data],$DD571,22),0)</f>
        <v/>
      </c>
      <c r="Y571">
        <f>IFERROR(INDEX(PP_Grid[#Data],$DD571,23),0)</f>
        <v/>
      </c>
      <c r="Z571">
        <f>IFERROR(INDEX(PP_Grid[#Data],$DD571,24),0)</f>
        <v/>
      </c>
      <c r="AA571">
        <f>IFERROR(INDEX(PP_Grid[#Data],$DD571,25),0)</f>
        <v/>
      </c>
      <c r="AB571">
        <f>IFERROR(INDEX(PP_Grid[#Data],$DD571,26),0)</f>
        <v/>
      </c>
      <c r="AC571">
        <f>IFERROR(INDEX(PP_Grid[#Data],$DD571,27),0)</f>
        <v/>
      </c>
      <c r="AD571">
        <f>IFERROR(INDEX(PP_Grid[#Data],$DD571,28),0)</f>
        <v/>
      </c>
      <c r="AE571">
        <f>IFERROR(INDEX(PP_Grid[#Data],$DD571,29),0)</f>
        <v/>
      </c>
      <c r="AF571">
        <f>IFERROR(INDEX(PP_Grid[#Data],$DD571,30),0)</f>
        <v/>
      </c>
      <c r="AG571">
        <f>IFERROR(INDEX(PP_Grid[#Data],$DD571,31),0)</f>
        <v/>
      </c>
      <c r="AH571">
        <f>IFERROR(INDEX(PP_Grid[#Data],$DD571,32),0)</f>
        <v/>
      </c>
      <c r="AI571">
        <f>IFERROR(INDEX(PP_Grid[#Data],$DD571,33),0)</f>
        <v/>
      </c>
      <c r="AJ571">
        <f>IFERROR(INDEX(PP_Grid[#Data],$DD571,34),0)</f>
        <v/>
      </c>
      <c r="AK571">
        <f>IFERROR(INDEX(PP_Grid[#Data],$DD571,35),0)</f>
        <v/>
      </c>
      <c r="AL571">
        <f>IFERROR(INDEX(PP_Grid[#Data],$DD571,36),0)</f>
        <v/>
      </c>
      <c r="AM571">
        <f>IFERROR(INDEX(PP_Grid[#Data],$DD571,37),0)</f>
        <v/>
      </c>
      <c r="AN571">
        <f>IFERROR(INDEX(PP_Grid[#Data],$DD571,38),0)</f>
        <v/>
      </c>
      <c r="AO571">
        <f>IFERROR(INDEX(PP_Grid[#Data],$DD571,39),0)</f>
        <v/>
      </c>
      <c r="AP571">
        <f>IFERROR(INDEX(PP_Grid[#Data],$DD571,40),0)</f>
        <v/>
      </c>
      <c r="AQ571">
        <f>IFERROR(INDEX(PP_Grid[#Data],$DD571,41),0)</f>
        <v/>
      </c>
      <c r="AR571">
        <f>IFERROR(INDEX(PP_Grid[#Data],$DD571,42),0)</f>
        <v/>
      </c>
      <c r="AS571">
        <f>IFERROR(INDEX(PP_Grid[#Data],$DD571,43),0)</f>
        <v/>
      </c>
      <c r="AT571">
        <f>IFERROR(INDEX(PP_Grid[#Data],$DD571,44),0)</f>
        <v/>
      </c>
      <c r="AU571">
        <f>IFERROR(INDEX(PP_Grid[#Data],$DD571,45),0)</f>
        <v/>
      </c>
      <c r="AV571">
        <f>IFERROR(INDEX(PP_Grid[#Data],$DD571,46),0)</f>
        <v/>
      </c>
      <c r="AW571">
        <f>IFERROR(INDEX(PP_Grid[#Data],$DD571,47),0)</f>
        <v/>
      </c>
      <c r="AX571">
        <f>IFERROR(INDEX(PP_Grid[#Data],$DD571,48),0)</f>
        <v/>
      </c>
      <c r="AY571">
        <f>IFERROR(INDEX(PP_Grid[#Data],$DD571,49),0)</f>
        <v/>
      </c>
      <c r="AZ571">
        <f>IFERROR(INDEX(PP_Grid[#Data],$DD571,50),0)</f>
        <v/>
      </c>
      <c r="BA571">
        <f>IFERROR(INDEX(PP_Grid[#Data],$DD571,51),0)</f>
        <v/>
      </c>
      <c r="BB571">
        <f>IFERROR(INDEX(PP_Grid[#Data],$DD571,52),0)</f>
        <v/>
      </c>
      <c r="BC571">
        <f>IFERROR(INDEX(PP_Grid[#Data],$DD571,53),0)</f>
        <v/>
      </c>
      <c r="BD571">
        <f>IFERROR(INDEX(PP_Grid[#Data],$DD571,54),0)</f>
        <v/>
      </c>
      <c r="BE571">
        <f>IFERROR(INDEX(PP_Grid[#Data],$DD571,55),0)</f>
        <v/>
      </c>
      <c r="BF571">
        <f>IFERROR(INDEX(PP_Grid[#Data],$DD571,56),0)</f>
        <v/>
      </c>
      <c r="BG571">
        <f>IFERROR(INDEX(PP_Grid[#Data],$DD571,57),0)</f>
        <v/>
      </c>
      <c r="BH571">
        <f>IFERROR(INDEX(PP_Grid[#Data],$DD571,58),0)</f>
        <v/>
      </c>
      <c r="BI571">
        <f>IFERROR(INDEX(PP_Grid[#Data],$DD571,59),0)</f>
        <v/>
      </c>
      <c r="BJ571">
        <f>IFERROR(INDEX(PP_Grid[#Data],$DD571,60),0)</f>
        <v/>
      </c>
      <c r="BK571">
        <f>IFERROR(INDEX(PP_Grid[#Data],$DD571,61),0)</f>
        <v/>
      </c>
      <c r="BL571">
        <f>IFERROR(INDEX(PP_Grid[#Data],$DD571,62),0)</f>
        <v/>
      </c>
      <c r="BM571">
        <f>IFERROR(INDEX(PP_Grid[#Data],$DD571,63),0)</f>
        <v/>
      </c>
      <c r="BN571">
        <f>IFERROR(INDEX(PP_Grid[#Data],$DD571,64),0)</f>
        <v/>
      </c>
      <c r="BO571">
        <f>IFERROR(INDEX(PP_Grid[#Data],$DD571,65),0)</f>
        <v/>
      </c>
      <c r="BP571">
        <f>IFERROR(INDEX(PP_Grid[#Data],$DD571,66),0)</f>
        <v/>
      </c>
      <c r="BQ571">
        <f>IFERROR(INDEX(PP_Grid[#Data],$DD571,67),0)</f>
        <v/>
      </c>
      <c r="BR571">
        <f>IFERROR(INDEX(PP_Grid[#Data],$DD571,68),0)</f>
        <v/>
      </c>
      <c r="BS571">
        <f>IFERROR(INDEX(PP_Grid[#Data],$DD571,69),0)</f>
        <v/>
      </c>
      <c r="BT571">
        <f>IFERROR(INDEX(PP_Grid[#Data],$DD571,70),0)</f>
        <v/>
      </c>
      <c r="BU571">
        <f>IFERROR(INDEX(PP_Grid[#Data],$DD571,71),0)</f>
        <v/>
      </c>
      <c r="BV571">
        <f>IFERROR(INDEX(PP_Grid[#Data],$DD571,72),0)</f>
        <v/>
      </c>
      <c r="BW571">
        <f>IFERROR(INDEX(PP_Grid[#Data],$DD571,73),0)</f>
        <v/>
      </c>
      <c r="BX571">
        <f>IFERROR(INDEX(PP_Grid[#Data],$DD571,74),0)</f>
        <v/>
      </c>
      <c r="BY571">
        <f>IFERROR(INDEX(PP_Grid[#Data],$DD571,75),0)</f>
        <v/>
      </c>
      <c r="BZ571">
        <f>IFERROR(INDEX(PP_Grid[#Data],$DD571,76),0)</f>
        <v/>
      </c>
      <c r="CA571">
        <f>IFERROR(INDEX(PP_Grid[#Data],$DD571,77),0)</f>
        <v/>
      </c>
      <c r="CB571">
        <f>IFERROR(INDEX(PP_Grid[#Data],$DD571,78),0)</f>
        <v/>
      </c>
      <c r="CC571">
        <f>IFERROR(INDEX(PP_Grid[#Data],$DD571,79),0)</f>
        <v/>
      </c>
      <c r="CD571">
        <f>IFERROR(INDEX(PP_Grid[#Data],$DD571,80),0)</f>
        <v/>
      </c>
      <c r="CE571">
        <f>IFERROR(INDEX(PP_Grid[#Data],$DD571,81),0)</f>
        <v/>
      </c>
      <c r="CF571">
        <f>IFERROR(INDEX(PP_Grid[#Data],$DD571,82),0)</f>
        <v/>
      </c>
      <c r="CG571">
        <f>IFERROR(INDEX(PP_Grid[#Data],$DD571,83),0)</f>
        <v/>
      </c>
      <c r="CH571">
        <f>IFERROR(INDEX(PP_Grid[#Data],$DD571,84),0)</f>
        <v/>
      </c>
      <c r="CI571">
        <f>IFERROR(INDEX(PP_Grid[#Data],$DD571,85),0)</f>
        <v/>
      </c>
      <c r="CJ571">
        <f>IFERROR(INDEX(PP_Grid[#Data],$DD571,86),0)</f>
        <v/>
      </c>
      <c r="CK571">
        <f>IFERROR(INDEX(PP_Grid[#Data],$DD571,87),0)</f>
        <v/>
      </c>
      <c r="CL571">
        <f>IFERROR(INDEX(PP_Grid[#Data],$DD571,88),0)</f>
        <v/>
      </c>
      <c r="CM571">
        <f>IFERROR(INDEX(PP_Grid[#Data],$DD571,89),0)</f>
        <v/>
      </c>
      <c r="CN571">
        <f>IFERROR(INDEX(PP_Grid[#Data],$DD571,90),0)</f>
        <v/>
      </c>
      <c r="CO571">
        <f>IFERROR(INDEX(PP_Grid[#Data],$DD571,91),0)</f>
        <v/>
      </c>
      <c r="CP571">
        <f>IFERROR(INDEX(PP_Grid[#Data],$DD571,92),0)</f>
        <v/>
      </c>
      <c r="CQ571">
        <f>IFERROR(INDEX(PP_Grid[#Data],$DD571,93),0)</f>
        <v/>
      </c>
      <c r="CR571">
        <f>IFERROR(INDEX(PP_Grid[#Data],$DD571,94),0)</f>
        <v/>
      </c>
      <c r="CS571">
        <f>IFERROR(INDEX(PP_Grid[#Data],$DD571,95),0)</f>
        <v/>
      </c>
      <c r="CT571">
        <f>IFERROR(INDEX(PP_Grid[#Data],$DD571,96),0)</f>
        <v/>
      </c>
      <c r="CU571">
        <f>IFERROR(INDEX(PP_Grid[#Data],$DD571,97),0)</f>
        <v/>
      </c>
      <c r="CV571">
        <f>IFERROR(INDEX(PP_Grid[#Data],$DD571,98),0)</f>
        <v/>
      </c>
      <c r="CW571">
        <f>IFERROR(INDEX(PP_Grid[#Data],$DD571,99),0)</f>
        <v/>
      </c>
      <c r="CX571">
        <f>IFERROR(INDEX(PP_Grid[#Data],$DD571,100),0)</f>
        <v/>
      </c>
      <c r="CY571">
        <f>IFERROR(INDEX(PP_Grid[#Data],$DD571,101),0)</f>
        <v/>
      </c>
      <c r="CZ571">
        <f>IFERROR(INDEX(PP_Grid[#Data],$DD571,102),0)</f>
        <v/>
      </c>
      <c r="DA571">
        <f>IFERROR(INDEX(PP_Grid[#Data],$DD571,103),0)</f>
        <v/>
      </c>
      <c r="DB571">
        <f>IFERROR(INDEX(PP_Grid[#Data],$DD571,104),0)</f>
        <v/>
      </c>
      <c r="DC571">
        <f>IFERROR(INDEX(PP_Grid[#Data],$DD571,105),0)</f>
        <v/>
      </c>
      <c r="DD571" s="12">
        <f>IFERROR(MATCH($B571,PP_Grid[Intermediate],0),99999)</f>
        <v/>
      </c>
    </row>
    <row r="572">
      <c r="B572" t="inlineStr">
        <is>
          <t>使用量(kg)</t>
        </is>
      </c>
      <c r="C572">
        <f>SUMIFS(M_BOM[RM_Qty_Per_Batch],M_BOM[Intermediate],$B571,M_BOM[Part Name],$A518)</f>
        <v/>
      </c>
      <c r="D572">
        <f>$C572*D571</f>
        <v/>
      </c>
      <c r="E572">
        <f>$C572*E571</f>
        <v/>
      </c>
      <c r="F572">
        <f>$C572*F571</f>
        <v/>
      </c>
      <c r="G572">
        <f>$C572*G571</f>
        <v/>
      </c>
      <c r="H572">
        <f>$C572*H571</f>
        <v/>
      </c>
      <c r="I572">
        <f>$C572*I571</f>
        <v/>
      </c>
      <c r="J572">
        <f>$C572*J571</f>
        <v/>
      </c>
      <c r="K572">
        <f>$C572*K571</f>
        <v/>
      </c>
      <c r="L572">
        <f>$C572*L571</f>
        <v/>
      </c>
      <c r="M572">
        <f>$C572*M571</f>
        <v/>
      </c>
      <c r="N572">
        <f>$C572*N571</f>
        <v/>
      </c>
      <c r="O572">
        <f>$C572*O571</f>
        <v/>
      </c>
      <c r="P572">
        <f>$C572*P571</f>
        <v/>
      </c>
      <c r="Q572">
        <f>$C572*Q571</f>
        <v/>
      </c>
      <c r="R572">
        <f>$C572*R571</f>
        <v/>
      </c>
      <c r="S572">
        <f>$C572*S571</f>
        <v/>
      </c>
      <c r="T572">
        <f>$C572*T571</f>
        <v/>
      </c>
      <c r="U572">
        <f>$C572*U571</f>
        <v/>
      </c>
      <c r="V572">
        <f>$C572*V571</f>
        <v/>
      </c>
      <c r="W572">
        <f>$C572*W571</f>
        <v/>
      </c>
      <c r="X572">
        <f>$C572*X571</f>
        <v/>
      </c>
      <c r="Y572">
        <f>$C572*Y571</f>
        <v/>
      </c>
      <c r="Z572">
        <f>$C572*Z571</f>
        <v/>
      </c>
      <c r="AA572">
        <f>$C572*AA571</f>
        <v/>
      </c>
      <c r="AB572">
        <f>$C572*AB571</f>
        <v/>
      </c>
      <c r="AC572">
        <f>$C572*AC571</f>
        <v/>
      </c>
      <c r="AD572">
        <f>$C572*AD571</f>
        <v/>
      </c>
      <c r="AE572">
        <f>$C572*AE571</f>
        <v/>
      </c>
      <c r="AF572">
        <f>$C572*AF571</f>
        <v/>
      </c>
      <c r="AG572">
        <f>$C572*AG571</f>
        <v/>
      </c>
      <c r="AH572">
        <f>$C572*AH571</f>
        <v/>
      </c>
      <c r="AI572">
        <f>$C572*AI571</f>
        <v/>
      </c>
      <c r="AJ572">
        <f>$C572*AJ571</f>
        <v/>
      </c>
      <c r="AK572">
        <f>$C572*AK571</f>
        <v/>
      </c>
      <c r="AL572">
        <f>$C572*AL571</f>
        <v/>
      </c>
      <c r="AM572">
        <f>$C572*AM571</f>
        <v/>
      </c>
      <c r="AN572">
        <f>$C572*AN571</f>
        <v/>
      </c>
      <c r="AO572">
        <f>$C572*AO571</f>
        <v/>
      </c>
      <c r="AP572">
        <f>$C572*AP571</f>
        <v/>
      </c>
      <c r="AQ572">
        <f>$C572*AQ571</f>
        <v/>
      </c>
      <c r="AR572">
        <f>$C572*AR571</f>
        <v/>
      </c>
      <c r="AS572">
        <f>$C572*AS571</f>
        <v/>
      </c>
      <c r="AT572">
        <f>$C572*AT571</f>
        <v/>
      </c>
      <c r="AU572">
        <f>$C572*AU571</f>
        <v/>
      </c>
      <c r="AV572">
        <f>$C572*AV571</f>
        <v/>
      </c>
      <c r="AW572">
        <f>$C572*AW571</f>
        <v/>
      </c>
      <c r="AX572">
        <f>$C572*AX571</f>
        <v/>
      </c>
      <c r="AY572">
        <f>$C572*AY571</f>
        <v/>
      </c>
      <c r="AZ572">
        <f>$C572*AZ571</f>
        <v/>
      </c>
      <c r="BA572">
        <f>$C572*BA571</f>
        <v/>
      </c>
      <c r="BB572">
        <f>$C572*BB571</f>
        <v/>
      </c>
      <c r="BC572">
        <f>$C572*BC571</f>
        <v/>
      </c>
      <c r="BD572">
        <f>$C572*BD571</f>
        <v/>
      </c>
      <c r="BE572">
        <f>$C572*BE571</f>
        <v/>
      </c>
      <c r="BF572">
        <f>$C572*BF571</f>
        <v/>
      </c>
      <c r="BG572">
        <f>$C572*BG571</f>
        <v/>
      </c>
      <c r="BH572">
        <f>$C572*BH571</f>
        <v/>
      </c>
      <c r="BI572">
        <f>$C572*BI571</f>
        <v/>
      </c>
      <c r="BJ572">
        <f>$C572*BJ571</f>
        <v/>
      </c>
      <c r="BK572">
        <f>$C572*BK571</f>
        <v/>
      </c>
      <c r="BL572">
        <f>$C572*BL571</f>
        <v/>
      </c>
      <c r="BM572">
        <f>$C572*BM571</f>
        <v/>
      </c>
      <c r="BN572">
        <f>$C572*BN571</f>
        <v/>
      </c>
      <c r="BO572">
        <f>$C572*BO571</f>
        <v/>
      </c>
      <c r="BP572">
        <f>$C572*BP571</f>
        <v/>
      </c>
      <c r="BQ572">
        <f>$C572*BQ571</f>
        <v/>
      </c>
      <c r="BR572">
        <f>$C572*BR571</f>
        <v/>
      </c>
      <c r="BS572">
        <f>$C572*BS571</f>
        <v/>
      </c>
      <c r="BT572">
        <f>$C572*BT571</f>
        <v/>
      </c>
      <c r="BU572">
        <f>$C572*BU571</f>
        <v/>
      </c>
      <c r="BV572">
        <f>$C572*BV571</f>
        <v/>
      </c>
      <c r="BW572">
        <f>$C572*BW571</f>
        <v/>
      </c>
      <c r="BX572">
        <f>$C572*BX571</f>
        <v/>
      </c>
      <c r="BY572">
        <f>$C572*BY571</f>
        <v/>
      </c>
      <c r="BZ572">
        <f>$C572*BZ571</f>
        <v/>
      </c>
      <c r="CA572">
        <f>$C572*CA571</f>
        <v/>
      </c>
      <c r="CB572">
        <f>$C572*CB571</f>
        <v/>
      </c>
      <c r="CC572">
        <f>$C572*CC571</f>
        <v/>
      </c>
      <c r="CD572">
        <f>$C572*CD571</f>
        <v/>
      </c>
      <c r="CE572">
        <f>$C572*CE571</f>
        <v/>
      </c>
      <c r="CF572">
        <f>$C572*CF571</f>
        <v/>
      </c>
      <c r="CG572">
        <f>$C572*CG571</f>
        <v/>
      </c>
      <c r="CH572">
        <f>$C572*CH571</f>
        <v/>
      </c>
      <c r="CI572">
        <f>$C572*CI571</f>
        <v/>
      </c>
      <c r="CJ572">
        <f>$C572*CJ571</f>
        <v/>
      </c>
      <c r="CK572">
        <f>$C572*CK571</f>
        <v/>
      </c>
      <c r="CL572">
        <f>$C572*CL571</f>
        <v/>
      </c>
      <c r="CM572">
        <f>$C572*CM571</f>
        <v/>
      </c>
      <c r="CN572">
        <f>$C572*CN571</f>
        <v/>
      </c>
      <c r="CO572">
        <f>$C572*CO571</f>
        <v/>
      </c>
      <c r="CP572">
        <f>$C572*CP571</f>
        <v/>
      </c>
      <c r="CQ572">
        <f>$C572*CQ571</f>
        <v/>
      </c>
      <c r="CR572">
        <f>$C572*CR571</f>
        <v/>
      </c>
      <c r="CS572">
        <f>$C572*CS571</f>
        <v/>
      </c>
      <c r="CT572">
        <f>$C572*CT571</f>
        <v/>
      </c>
      <c r="CU572">
        <f>$C572*CU571</f>
        <v/>
      </c>
      <c r="CV572">
        <f>$C572*CV571</f>
        <v/>
      </c>
      <c r="CW572">
        <f>$C572*CW571</f>
        <v/>
      </c>
      <c r="CX572">
        <f>$C572*CX571</f>
        <v/>
      </c>
      <c r="CY572">
        <f>$C572*CY571</f>
        <v/>
      </c>
      <c r="CZ572">
        <f>$C572*CZ571</f>
        <v/>
      </c>
      <c r="DA572">
        <f>$C572*DA571</f>
        <v/>
      </c>
      <c r="DB572">
        <f>$C572*DB571</f>
        <v/>
      </c>
      <c r="DC572">
        <f>$C572*DC571</f>
        <v/>
      </c>
    </row>
    <row r="573">
      <c r="B573" t="inlineStr">
        <is>
          <t>TSP-959</t>
        </is>
      </c>
      <c r="C573" t="inlineStr">
        <is>
          <t>No. of batches</t>
        </is>
      </c>
      <c r="D573">
        <f>IFERROR(INDEX(PP_Grid[#Data],$DD573,2),0)</f>
        <v/>
      </c>
      <c r="E573">
        <f>IFERROR(INDEX(PP_Grid[#Data],$DD573,3),0)</f>
        <v/>
      </c>
      <c r="F573">
        <f>IFERROR(INDEX(PP_Grid[#Data],$DD573,4),0)</f>
        <v/>
      </c>
      <c r="G573">
        <f>IFERROR(INDEX(PP_Grid[#Data],$DD573,5),0)</f>
        <v/>
      </c>
      <c r="H573">
        <f>IFERROR(INDEX(PP_Grid[#Data],$DD573,6),0)</f>
        <v/>
      </c>
      <c r="I573">
        <f>IFERROR(INDEX(PP_Grid[#Data],$DD573,7),0)</f>
        <v/>
      </c>
      <c r="J573">
        <f>IFERROR(INDEX(PP_Grid[#Data],$DD573,8),0)</f>
        <v/>
      </c>
      <c r="K573">
        <f>IFERROR(INDEX(PP_Grid[#Data],$DD573,9),0)</f>
        <v/>
      </c>
      <c r="L573">
        <f>IFERROR(INDEX(PP_Grid[#Data],$DD573,10),0)</f>
        <v/>
      </c>
      <c r="M573">
        <f>IFERROR(INDEX(PP_Grid[#Data],$DD573,11),0)</f>
        <v/>
      </c>
      <c r="N573">
        <f>IFERROR(INDEX(PP_Grid[#Data],$DD573,12),0)</f>
        <v/>
      </c>
      <c r="O573">
        <f>IFERROR(INDEX(PP_Grid[#Data],$DD573,13),0)</f>
        <v/>
      </c>
      <c r="P573">
        <f>IFERROR(INDEX(PP_Grid[#Data],$DD573,14),0)</f>
        <v/>
      </c>
      <c r="Q573">
        <f>IFERROR(INDEX(PP_Grid[#Data],$DD573,15),0)</f>
        <v/>
      </c>
      <c r="R573">
        <f>IFERROR(INDEX(PP_Grid[#Data],$DD573,16),0)</f>
        <v/>
      </c>
      <c r="S573">
        <f>IFERROR(INDEX(PP_Grid[#Data],$DD573,17),0)</f>
        <v/>
      </c>
      <c r="T573">
        <f>IFERROR(INDEX(PP_Grid[#Data],$DD573,18),0)</f>
        <v/>
      </c>
      <c r="U573">
        <f>IFERROR(INDEX(PP_Grid[#Data],$DD573,19),0)</f>
        <v/>
      </c>
      <c r="V573">
        <f>IFERROR(INDEX(PP_Grid[#Data],$DD573,20),0)</f>
        <v/>
      </c>
      <c r="W573">
        <f>IFERROR(INDEX(PP_Grid[#Data],$DD573,21),0)</f>
        <v/>
      </c>
      <c r="X573">
        <f>IFERROR(INDEX(PP_Grid[#Data],$DD573,22),0)</f>
        <v/>
      </c>
      <c r="Y573">
        <f>IFERROR(INDEX(PP_Grid[#Data],$DD573,23),0)</f>
        <v/>
      </c>
      <c r="Z573">
        <f>IFERROR(INDEX(PP_Grid[#Data],$DD573,24),0)</f>
        <v/>
      </c>
      <c r="AA573">
        <f>IFERROR(INDEX(PP_Grid[#Data],$DD573,25),0)</f>
        <v/>
      </c>
      <c r="AB573">
        <f>IFERROR(INDEX(PP_Grid[#Data],$DD573,26),0)</f>
        <v/>
      </c>
      <c r="AC573">
        <f>IFERROR(INDEX(PP_Grid[#Data],$DD573,27),0)</f>
        <v/>
      </c>
      <c r="AD573">
        <f>IFERROR(INDEX(PP_Grid[#Data],$DD573,28),0)</f>
        <v/>
      </c>
      <c r="AE573">
        <f>IFERROR(INDEX(PP_Grid[#Data],$DD573,29),0)</f>
        <v/>
      </c>
      <c r="AF573">
        <f>IFERROR(INDEX(PP_Grid[#Data],$DD573,30),0)</f>
        <v/>
      </c>
      <c r="AG573">
        <f>IFERROR(INDEX(PP_Grid[#Data],$DD573,31),0)</f>
        <v/>
      </c>
      <c r="AH573">
        <f>IFERROR(INDEX(PP_Grid[#Data],$DD573,32),0)</f>
        <v/>
      </c>
      <c r="AI573">
        <f>IFERROR(INDEX(PP_Grid[#Data],$DD573,33),0)</f>
        <v/>
      </c>
      <c r="AJ573">
        <f>IFERROR(INDEX(PP_Grid[#Data],$DD573,34),0)</f>
        <v/>
      </c>
      <c r="AK573">
        <f>IFERROR(INDEX(PP_Grid[#Data],$DD573,35),0)</f>
        <v/>
      </c>
      <c r="AL573">
        <f>IFERROR(INDEX(PP_Grid[#Data],$DD573,36),0)</f>
        <v/>
      </c>
      <c r="AM573">
        <f>IFERROR(INDEX(PP_Grid[#Data],$DD573,37),0)</f>
        <v/>
      </c>
      <c r="AN573">
        <f>IFERROR(INDEX(PP_Grid[#Data],$DD573,38),0)</f>
        <v/>
      </c>
      <c r="AO573">
        <f>IFERROR(INDEX(PP_Grid[#Data],$DD573,39),0)</f>
        <v/>
      </c>
      <c r="AP573">
        <f>IFERROR(INDEX(PP_Grid[#Data],$DD573,40),0)</f>
        <v/>
      </c>
      <c r="AQ573">
        <f>IFERROR(INDEX(PP_Grid[#Data],$DD573,41),0)</f>
        <v/>
      </c>
      <c r="AR573">
        <f>IFERROR(INDEX(PP_Grid[#Data],$DD573,42),0)</f>
        <v/>
      </c>
      <c r="AS573">
        <f>IFERROR(INDEX(PP_Grid[#Data],$DD573,43),0)</f>
        <v/>
      </c>
      <c r="AT573">
        <f>IFERROR(INDEX(PP_Grid[#Data],$DD573,44),0)</f>
        <v/>
      </c>
      <c r="AU573">
        <f>IFERROR(INDEX(PP_Grid[#Data],$DD573,45),0)</f>
        <v/>
      </c>
      <c r="AV573">
        <f>IFERROR(INDEX(PP_Grid[#Data],$DD573,46),0)</f>
        <v/>
      </c>
      <c r="AW573">
        <f>IFERROR(INDEX(PP_Grid[#Data],$DD573,47),0)</f>
        <v/>
      </c>
      <c r="AX573">
        <f>IFERROR(INDEX(PP_Grid[#Data],$DD573,48),0)</f>
        <v/>
      </c>
      <c r="AY573">
        <f>IFERROR(INDEX(PP_Grid[#Data],$DD573,49),0)</f>
        <v/>
      </c>
      <c r="AZ573">
        <f>IFERROR(INDEX(PP_Grid[#Data],$DD573,50),0)</f>
        <v/>
      </c>
      <c r="BA573">
        <f>IFERROR(INDEX(PP_Grid[#Data],$DD573,51),0)</f>
        <v/>
      </c>
      <c r="BB573">
        <f>IFERROR(INDEX(PP_Grid[#Data],$DD573,52),0)</f>
        <v/>
      </c>
      <c r="BC573">
        <f>IFERROR(INDEX(PP_Grid[#Data],$DD573,53),0)</f>
        <v/>
      </c>
      <c r="BD573">
        <f>IFERROR(INDEX(PP_Grid[#Data],$DD573,54),0)</f>
        <v/>
      </c>
      <c r="BE573">
        <f>IFERROR(INDEX(PP_Grid[#Data],$DD573,55),0)</f>
        <v/>
      </c>
      <c r="BF573">
        <f>IFERROR(INDEX(PP_Grid[#Data],$DD573,56),0)</f>
        <v/>
      </c>
      <c r="BG573">
        <f>IFERROR(INDEX(PP_Grid[#Data],$DD573,57),0)</f>
        <v/>
      </c>
      <c r="BH573">
        <f>IFERROR(INDEX(PP_Grid[#Data],$DD573,58),0)</f>
        <v/>
      </c>
      <c r="BI573">
        <f>IFERROR(INDEX(PP_Grid[#Data],$DD573,59),0)</f>
        <v/>
      </c>
      <c r="BJ573">
        <f>IFERROR(INDEX(PP_Grid[#Data],$DD573,60),0)</f>
        <v/>
      </c>
      <c r="BK573">
        <f>IFERROR(INDEX(PP_Grid[#Data],$DD573,61),0)</f>
        <v/>
      </c>
      <c r="BL573">
        <f>IFERROR(INDEX(PP_Grid[#Data],$DD573,62),0)</f>
        <v/>
      </c>
      <c r="BM573">
        <f>IFERROR(INDEX(PP_Grid[#Data],$DD573,63),0)</f>
        <v/>
      </c>
      <c r="BN573">
        <f>IFERROR(INDEX(PP_Grid[#Data],$DD573,64),0)</f>
        <v/>
      </c>
      <c r="BO573">
        <f>IFERROR(INDEX(PP_Grid[#Data],$DD573,65),0)</f>
        <v/>
      </c>
      <c r="BP573">
        <f>IFERROR(INDEX(PP_Grid[#Data],$DD573,66),0)</f>
        <v/>
      </c>
      <c r="BQ573">
        <f>IFERROR(INDEX(PP_Grid[#Data],$DD573,67),0)</f>
        <v/>
      </c>
      <c r="BR573">
        <f>IFERROR(INDEX(PP_Grid[#Data],$DD573,68),0)</f>
        <v/>
      </c>
      <c r="BS573">
        <f>IFERROR(INDEX(PP_Grid[#Data],$DD573,69),0)</f>
        <v/>
      </c>
      <c r="BT573">
        <f>IFERROR(INDEX(PP_Grid[#Data],$DD573,70),0)</f>
        <v/>
      </c>
      <c r="BU573">
        <f>IFERROR(INDEX(PP_Grid[#Data],$DD573,71),0)</f>
        <v/>
      </c>
      <c r="BV573">
        <f>IFERROR(INDEX(PP_Grid[#Data],$DD573,72),0)</f>
        <v/>
      </c>
      <c r="BW573">
        <f>IFERROR(INDEX(PP_Grid[#Data],$DD573,73),0)</f>
        <v/>
      </c>
      <c r="BX573">
        <f>IFERROR(INDEX(PP_Grid[#Data],$DD573,74),0)</f>
        <v/>
      </c>
      <c r="BY573">
        <f>IFERROR(INDEX(PP_Grid[#Data],$DD573,75),0)</f>
        <v/>
      </c>
      <c r="BZ573">
        <f>IFERROR(INDEX(PP_Grid[#Data],$DD573,76),0)</f>
        <v/>
      </c>
      <c r="CA573">
        <f>IFERROR(INDEX(PP_Grid[#Data],$DD573,77),0)</f>
        <v/>
      </c>
      <c r="CB573">
        <f>IFERROR(INDEX(PP_Grid[#Data],$DD573,78),0)</f>
        <v/>
      </c>
      <c r="CC573">
        <f>IFERROR(INDEX(PP_Grid[#Data],$DD573,79),0)</f>
        <v/>
      </c>
      <c r="CD573">
        <f>IFERROR(INDEX(PP_Grid[#Data],$DD573,80),0)</f>
        <v/>
      </c>
      <c r="CE573">
        <f>IFERROR(INDEX(PP_Grid[#Data],$DD573,81),0)</f>
        <v/>
      </c>
      <c r="CF573">
        <f>IFERROR(INDEX(PP_Grid[#Data],$DD573,82),0)</f>
        <v/>
      </c>
      <c r="CG573">
        <f>IFERROR(INDEX(PP_Grid[#Data],$DD573,83),0)</f>
        <v/>
      </c>
      <c r="CH573">
        <f>IFERROR(INDEX(PP_Grid[#Data],$DD573,84),0)</f>
        <v/>
      </c>
      <c r="CI573">
        <f>IFERROR(INDEX(PP_Grid[#Data],$DD573,85),0)</f>
        <v/>
      </c>
      <c r="CJ573">
        <f>IFERROR(INDEX(PP_Grid[#Data],$DD573,86),0)</f>
        <v/>
      </c>
      <c r="CK573">
        <f>IFERROR(INDEX(PP_Grid[#Data],$DD573,87),0)</f>
        <v/>
      </c>
      <c r="CL573">
        <f>IFERROR(INDEX(PP_Grid[#Data],$DD573,88),0)</f>
        <v/>
      </c>
      <c r="CM573">
        <f>IFERROR(INDEX(PP_Grid[#Data],$DD573,89),0)</f>
        <v/>
      </c>
      <c r="CN573">
        <f>IFERROR(INDEX(PP_Grid[#Data],$DD573,90),0)</f>
        <v/>
      </c>
      <c r="CO573">
        <f>IFERROR(INDEX(PP_Grid[#Data],$DD573,91),0)</f>
        <v/>
      </c>
      <c r="CP573">
        <f>IFERROR(INDEX(PP_Grid[#Data],$DD573,92),0)</f>
        <v/>
      </c>
      <c r="CQ573">
        <f>IFERROR(INDEX(PP_Grid[#Data],$DD573,93),0)</f>
        <v/>
      </c>
      <c r="CR573">
        <f>IFERROR(INDEX(PP_Grid[#Data],$DD573,94),0)</f>
        <v/>
      </c>
      <c r="CS573">
        <f>IFERROR(INDEX(PP_Grid[#Data],$DD573,95),0)</f>
        <v/>
      </c>
      <c r="CT573">
        <f>IFERROR(INDEX(PP_Grid[#Data],$DD573,96),0)</f>
        <v/>
      </c>
      <c r="CU573">
        <f>IFERROR(INDEX(PP_Grid[#Data],$DD573,97),0)</f>
        <v/>
      </c>
      <c r="CV573">
        <f>IFERROR(INDEX(PP_Grid[#Data],$DD573,98),0)</f>
        <v/>
      </c>
      <c r="CW573">
        <f>IFERROR(INDEX(PP_Grid[#Data],$DD573,99),0)</f>
        <v/>
      </c>
      <c r="CX573">
        <f>IFERROR(INDEX(PP_Grid[#Data],$DD573,100),0)</f>
        <v/>
      </c>
      <c r="CY573">
        <f>IFERROR(INDEX(PP_Grid[#Data],$DD573,101),0)</f>
        <v/>
      </c>
      <c r="CZ573">
        <f>IFERROR(INDEX(PP_Grid[#Data],$DD573,102),0)</f>
        <v/>
      </c>
      <c r="DA573">
        <f>IFERROR(INDEX(PP_Grid[#Data],$DD573,103),0)</f>
        <v/>
      </c>
      <c r="DB573">
        <f>IFERROR(INDEX(PP_Grid[#Data],$DD573,104),0)</f>
        <v/>
      </c>
      <c r="DC573">
        <f>IFERROR(INDEX(PP_Grid[#Data],$DD573,105),0)</f>
        <v/>
      </c>
      <c r="DD573" s="12">
        <f>IFERROR(MATCH($B573,PP_Grid[Intermediate],0),99999)</f>
        <v/>
      </c>
    </row>
    <row r="574">
      <c r="B574" t="inlineStr">
        <is>
          <t>使用量(kg)</t>
        </is>
      </c>
      <c r="C574">
        <f>SUMIFS(M_BOM[RM_Qty_Per_Batch],M_BOM[Intermediate],$B573,M_BOM[Part Name],$A518)</f>
        <v/>
      </c>
      <c r="D574">
        <f>$C574*D573</f>
        <v/>
      </c>
      <c r="E574">
        <f>$C574*E573</f>
        <v/>
      </c>
      <c r="F574">
        <f>$C574*F573</f>
        <v/>
      </c>
      <c r="G574">
        <f>$C574*G573</f>
        <v/>
      </c>
      <c r="H574">
        <f>$C574*H573</f>
        <v/>
      </c>
      <c r="I574">
        <f>$C574*I573</f>
        <v/>
      </c>
      <c r="J574">
        <f>$C574*J573</f>
        <v/>
      </c>
      <c r="K574">
        <f>$C574*K573</f>
        <v/>
      </c>
      <c r="L574">
        <f>$C574*L573</f>
        <v/>
      </c>
      <c r="M574">
        <f>$C574*M573</f>
        <v/>
      </c>
      <c r="N574">
        <f>$C574*N573</f>
        <v/>
      </c>
      <c r="O574">
        <f>$C574*O573</f>
        <v/>
      </c>
      <c r="P574">
        <f>$C574*P573</f>
        <v/>
      </c>
      <c r="Q574">
        <f>$C574*Q573</f>
        <v/>
      </c>
      <c r="R574">
        <f>$C574*R573</f>
        <v/>
      </c>
      <c r="S574">
        <f>$C574*S573</f>
        <v/>
      </c>
      <c r="T574">
        <f>$C574*T573</f>
        <v/>
      </c>
      <c r="U574">
        <f>$C574*U573</f>
        <v/>
      </c>
      <c r="V574">
        <f>$C574*V573</f>
        <v/>
      </c>
      <c r="W574">
        <f>$C574*W573</f>
        <v/>
      </c>
      <c r="X574">
        <f>$C574*X573</f>
        <v/>
      </c>
      <c r="Y574">
        <f>$C574*Y573</f>
        <v/>
      </c>
      <c r="Z574">
        <f>$C574*Z573</f>
        <v/>
      </c>
      <c r="AA574">
        <f>$C574*AA573</f>
        <v/>
      </c>
      <c r="AB574">
        <f>$C574*AB573</f>
        <v/>
      </c>
      <c r="AC574">
        <f>$C574*AC573</f>
        <v/>
      </c>
      <c r="AD574">
        <f>$C574*AD573</f>
        <v/>
      </c>
      <c r="AE574">
        <f>$C574*AE573</f>
        <v/>
      </c>
      <c r="AF574">
        <f>$C574*AF573</f>
        <v/>
      </c>
      <c r="AG574">
        <f>$C574*AG573</f>
        <v/>
      </c>
      <c r="AH574">
        <f>$C574*AH573</f>
        <v/>
      </c>
      <c r="AI574">
        <f>$C574*AI573</f>
        <v/>
      </c>
      <c r="AJ574">
        <f>$C574*AJ573</f>
        <v/>
      </c>
      <c r="AK574">
        <f>$C574*AK573</f>
        <v/>
      </c>
      <c r="AL574">
        <f>$C574*AL573</f>
        <v/>
      </c>
      <c r="AM574">
        <f>$C574*AM573</f>
        <v/>
      </c>
      <c r="AN574">
        <f>$C574*AN573</f>
        <v/>
      </c>
      <c r="AO574">
        <f>$C574*AO573</f>
        <v/>
      </c>
      <c r="AP574">
        <f>$C574*AP573</f>
        <v/>
      </c>
      <c r="AQ574">
        <f>$C574*AQ573</f>
        <v/>
      </c>
      <c r="AR574">
        <f>$C574*AR573</f>
        <v/>
      </c>
      <c r="AS574">
        <f>$C574*AS573</f>
        <v/>
      </c>
      <c r="AT574">
        <f>$C574*AT573</f>
        <v/>
      </c>
      <c r="AU574">
        <f>$C574*AU573</f>
        <v/>
      </c>
      <c r="AV574">
        <f>$C574*AV573</f>
        <v/>
      </c>
      <c r="AW574">
        <f>$C574*AW573</f>
        <v/>
      </c>
      <c r="AX574">
        <f>$C574*AX573</f>
        <v/>
      </c>
      <c r="AY574">
        <f>$C574*AY573</f>
        <v/>
      </c>
      <c r="AZ574">
        <f>$C574*AZ573</f>
        <v/>
      </c>
      <c r="BA574">
        <f>$C574*BA573</f>
        <v/>
      </c>
      <c r="BB574">
        <f>$C574*BB573</f>
        <v/>
      </c>
      <c r="BC574">
        <f>$C574*BC573</f>
        <v/>
      </c>
      <c r="BD574">
        <f>$C574*BD573</f>
        <v/>
      </c>
      <c r="BE574">
        <f>$C574*BE573</f>
        <v/>
      </c>
      <c r="BF574">
        <f>$C574*BF573</f>
        <v/>
      </c>
      <c r="BG574">
        <f>$C574*BG573</f>
        <v/>
      </c>
      <c r="BH574">
        <f>$C574*BH573</f>
        <v/>
      </c>
      <c r="BI574">
        <f>$C574*BI573</f>
        <v/>
      </c>
      <c r="BJ574">
        <f>$C574*BJ573</f>
        <v/>
      </c>
      <c r="BK574">
        <f>$C574*BK573</f>
        <v/>
      </c>
      <c r="BL574">
        <f>$C574*BL573</f>
        <v/>
      </c>
      <c r="BM574">
        <f>$C574*BM573</f>
        <v/>
      </c>
      <c r="BN574">
        <f>$C574*BN573</f>
        <v/>
      </c>
      <c r="BO574">
        <f>$C574*BO573</f>
        <v/>
      </c>
      <c r="BP574">
        <f>$C574*BP573</f>
        <v/>
      </c>
      <c r="BQ574">
        <f>$C574*BQ573</f>
        <v/>
      </c>
      <c r="BR574">
        <f>$C574*BR573</f>
        <v/>
      </c>
      <c r="BS574">
        <f>$C574*BS573</f>
        <v/>
      </c>
      <c r="BT574">
        <f>$C574*BT573</f>
        <v/>
      </c>
      <c r="BU574">
        <f>$C574*BU573</f>
        <v/>
      </c>
      <c r="BV574">
        <f>$C574*BV573</f>
        <v/>
      </c>
      <c r="BW574">
        <f>$C574*BW573</f>
        <v/>
      </c>
      <c r="BX574">
        <f>$C574*BX573</f>
        <v/>
      </c>
      <c r="BY574">
        <f>$C574*BY573</f>
        <v/>
      </c>
      <c r="BZ574">
        <f>$C574*BZ573</f>
        <v/>
      </c>
      <c r="CA574">
        <f>$C574*CA573</f>
        <v/>
      </c>
      <c r="CB574">
        <f>$C574*CB573</f>
        <v/>
      </c>
      <c r="CC574">
        <f>$C574*CC573</f>
        <v/>
      </c>
      <c r="CD574">
        <f>$C574*CD573</f>
        <v/>
      </c>
      <c r="CE574">
        <f>$C574*CE573</f>
        <v/>
      </c>
      <c r="CF574">
        <f>$C574*CF573</f>
        <v/>
      </c>
      <c r="CG574">
        <f>$C574*CG573</f>
        <v/>
      </c>
      <c r="CH574">
        <f>$C574*CH573</f>
        <v/>
      </c>
      <c r="CI574">
        <f>$C574*CI573</f>
        <v/>
      </c>
      <c r="CJ574">
        <f>$C574*CJ573</f>
        <v/>
      </c>
      <c r="CK574">
        <f>$C574*CK573</f>
        <v/>
      </c>
      <c r="CL574">
        <f>$C574*CL573</f>
        <v/>
      </c>
      <c r="CM574">
        <f>$C574*CM573</f>
        <v/>
      </c>
      <c r="CN574">
        <f>$C574*CN573</f>
        <v/>
      </c>
      <c r="CO574">
        <f>$C574*CO573</f>
        <v/>
      </c>
      <c r="CP574">
        <f>$C574*CP573</f>
        <v/>
      </c>
      <c r="CQ574">
        <f>$C574*CQ573</f>
        <v/>
      </c>
      <c r="CR574">
        <f>$C574*CR573</f>
        <v/>
      </c>
      <c r="CS574">
        <f>$C574*CS573</f>
        <v/>
      </c>
      <c r="CT574">
        <f>$C574*CT573</f>
        <v/>
      </c>
      <c r="CU574">
        <f>$C574*CU573</f>
        <v/>
      </c>
      <c r="CV574">
        <f>$C574*CV573</f>
        <v/>
      </c>
      <c r="CW574">
        <f>$C574*CW573</f>
        <v/>
      </c>
      <c r="CX574">
        <f>$C574*CX573</f>
        <v/>
      </c>
      <c r="CY574">
        <f>$C574*CY573</f>
        <v/>
      </c>
      <c r="CZ574">
        <f>$C574*CZ573</f>
        <v/>
      </c>
      <c r="DA574">
        <f>$C574*DA573</f>
        <v/>
      </c>
      <c r="DB574">
        <f>$C574*DB573</f>
        <v/>
      </c>
      <c r="DC574">
        <f>$C574*DC573</f>
        <v/>
      </c>
    </row>
    <row r="575">
      <c r="B575" t="inlineStr">
        <is>
          <t>TSP-966</t>
        </is>
      </c>
      <c r="C575" t="inlineStr">
        <is>
          <t>No. of batches</t>
        </is>
      </c>
      <c r="D575">
        <f>IFERROR(INDEX(PP_Grid[#Data],$DD575,2),0)</f>
        <v/>
      </c>
      <c r="E575">
        <f>IFERROR(INDEX(PP_Grid[#Data],$DD575,3),0)</f>
        <v/>
      </c>
      <c r="F575">
        <f>IFERROR(INDEX(PP_Grid[#Data],$DD575,4),0)</f>
        <v/>
      </c>
      <c r="G575">
        <f>IFERROR(INDEX(PP_Grid[#Data],$DD575,5),0)</f>
        <v/>
      </c>
      <c r="H575">
        <f>IFERROR(INDEX(PP_Grid[#Data],$DD575,6),0)</f>
        <v/>
      </c>
      <c r="I575">
        <f>IFERROR(INDEX(PP_Grid[#Data],$DD575,7),0)</f>
        <v/>
      </c>
      <c r="J575">
        <f>IFERROR(INDEX(PP_Grid[#Data],$DD575,8),0)</f>
        <v/>
      </c>
      <c r="K575">
        <f>IFERROR(INDEX(PP_Grid[#Data],$DD575,9),0)</f>
        <v/>
      </c>
      <c r="L575">
        <f>IFERROR(INDEX(PP_Grid[#Data],$DD575,10),0)</f>
        <v/>
      </c>
      <c r="M575">
        <f>IFERROR(INDEX(PP_Grid[#Data],$DD575,11),0)</f>
        <v/>
      </c>
      <c r="N575">
        <f>IFERROR(INDEX(PP_Grid[#Data],$DD575,12),0)</f>
        <v/>
      </c>
      <c r="O575">
        <f>IFERROR(INDEX(PP_Grid[#Data],$DD575,13),0)</f>
        <v/>
      </c>
      <c r="P575">
        <f>IFERROR(INDEX(PP_Grid[#Data],$DD575,14),0)</f>
        <v/>
      </c>
      <c r="Q575">
        <f>IFERROR(INDEX(PP_Grid[#Data],$DD575,15),0)</f>
        <v/>
      </c>
      <c r="R575">
        <f>IFERROR(INDEX(PP_Grid[#Data],$DD575,16),0)</f>
        <v/>
      </c>
      <c r="S575">
        <f>IFERROR(INDEX(PP_Grid[#Data],$DD575,17),0)</f>
        <v/>
      </c>
      <c r="T575">
        <f>IFERROR(INDEX(PP_Grid[#Data],$DD575,18),0)</f>
        <v/>
      </c>
      <c r="U575">
        <f>IFERROR(INDEX(PP_Grid[#Data],$DD575,19),0)</f>
        <v/>
      </c>
      <c r="V575">
        <f>IFERROR(INDEX(PP_Grid[#Data],$DD575,20),0)</f>
        <v/>
      </c>
      <c r="W575">
        <f>IFERROR(INDEX(PP_Grid[#Data],$DD575,21),0)</f>
        <v/>
      </c>
      <c r="X575">
        <f>IFERROR(INDEX(PP_Grid[#Data],$DD575,22),0)</f>
        <v/>
      </c>
      <c r="Y575">
        <f>IFERROR(INDEX(PP_Grid[#Data],$DD575,23),0)</f>
        <v/>
      </c>
      <c r="Z575">
        <f>IFERROR(INDEX(PP_Grid[#Data],$DD575,24),0)</f>
        <v/>
      </c>
      <c r="AA575">
        <f>IFERROR(INDEX(PP_Grid[#Data],$DD575,25),0)</f>
        <v/>
      </c>
      <c r="AB575">
        <f>IFERROR(INDEX(PP_Grid[#Data],$DD575,26),0)</f>
        <v/>
      </c>
      <c r="AC575">
        <f>IFERROR(INDEX(PP_Grid[#Data],$DD575,27),0)</f>
        <v/>
      </c>
      <c r="AD575">
        <f>IFERROR(INDEX(PP_Grid[#Data],$DD575,28),0)</f>
        <v/>
      </c>
      <c r="AE575">
        <f>IFERROR(INDEX(PP_Grid[#Data],$DD575,29),0)</f>
        <v/>
      </c>
      <c r="AF575">
        <f>IFERROR(INDEX(PP_Grid[#Data],$DD575,30),0)</f>
        <v/>
      </c>
      <c r="AG575">
        <f>IFERROR(INDEX(PP_Grid[#Data],$DD575,31),0)</f>
        <v/>
      </c>
      <c r="AH575">
        <f>IFERROR(INDEX(PP_Grid[#Data],$DD575,32),0)</f>
        <v/>
      </c>
      <c r="AI575">
        <f>IFERROR(INDEX(PP_Grid[#Data],$DD575,33),0)</f>
        <v/>
      </c>
      <c r="AJ575">
        <f>IFERROR(INDEX(PP_Grid[#Data],$DD575,34),0)</f>
        <v/>
      </c>
      <c r="AK575">
        <f>IFERROR(INDEX(PP_Grid[#Data],$DD575,35),0)</f>
        <v/>
      </c>
      <c r="AL575">
        <f>IFERROR(INDEX(PP_Grid[#Data],$DD575,36),0)</f>
        <v/>
      </c>
      <c r="AM575">
        <f>IFERROR(INDEX(PP_Grid[#Data],$DD575,37),0)</f>
        <v/>
      </c>
      <c r="AN575">
        <f>IFERROR(INDEX(PP_Grid[#Data],$DD575,38),0)</f>
        <v/>
      </c>
      <c r="AO575">
        <f>IFERROR(INDEX(PP_Grid[#Data],$DD575,39),0)</f>
        <v/>
      </c>
      <c r="AP575">
        <f>IFERROR(INDEX(PP_Grid[#Data],$DD575,40),0)</f>
        <v/>
      </c>
      <c r="AQ575">
        <f>IFERROR(INDEX(PP_Grid[#Data],$DD575,41),0)</f>
        <v/>
      </c>
      <c r="AR575">
        <f>IFERROR(INDEX(PP_Grid[#Data],$DD575,42),0)</f>
        <v/>
      </c>
      <c r="AS575">
        <f>IFERROR(INDEX(PP_Grid[#Data],$DD575,43),0)</f>
        <v/>
      </c>
      <c r="AT575">
        <f>IFERROR(INDEX(PP_Grid[#Data],$DD575,44),0)</f>
        <v/>
      </c>
      <c r="AU575">
        <f>IFERROR(INDEX(PP_Grid[#Data],$DD575,45),0)</f>
        <v/>
      </c>
      <c r="AV575">
        <f>IFERROR(INDEX(PP_Grid[#Data],$DD575,46),0)</f>
        <v/>
      </c>
      <c r="AW575">
        <f>IFERROR(INDEX(PP_Grid[#Data],$DD575,47),0)</f>
        <v/>
      </c>
      <c r="AX575">
        <f>IFERROR(INDEX(PP_Grid[#Data],$DD575,48),0)</f>
        <v/>
      </c>
      <c r="AY575">
        <f>IFERROR(INDEX(PP_Grid[#Data],$DD575,49),0)</f>
        <v/>
      </c>
      <c r="AZ575">
        <f>IFERROR(INDEX(PP_Grid[#Data],$DD575,50),0)</f>
        <v/>
      </c>
      <c r="BA575">
        <f>IFERROR(INDEX(PP_Grid[#Data],$DD575,51),0)</f>
        <v/>
      </c>
      <c r="BB575">
        <f>IFERROR(INDEX(PP_Grid[#Data],$DD575,52),0)</f>
        <v/>
      </c>
      <c r="BC575">
        <f>IFERROR(INDEX(PP_Grid[#Data],$DD575,53),0)</f>
        <v/>
      </c>
      <c r="BD575">
        <f>IFERROR(INDEX(PP_Grid[#Data],$DD575,54),0)</f>
        <v/>
      </c>
      <c r="BE575">
        <f>IFERROR(INDEX(PP_Grid[#Data],$DD575,55),0)</f>
        <v/>
      </c>
      <c r="BF575">
        <f>IFERROR(INDEX(PP_Grid[#Data],$DD575,56),0)</f>
        <v/>
      </c>
      <c r="BG575">
        <f>IFERROR(INDEX(PP_Grid[#Data],$DD575,57),0)</f>
        <v/>
      </c>
      <c r="BH575">
        <f>IFERROR(INDEX(PP_Grid[#Data],$DD575,58),0)</f>
        <v/>
      </c>
      <c r="BI575">
        <f>IFERROR(INDEX(PP_Grid[#Data],$DD575,59),0)</f>
        <v/>
      </c>
      <c r="BJ575">
        <f>IFERROR(INDEX(PP_Grid[#Data],$DD575,60),0)</f>
        <v/>
      </c>
      <c r="BK575">
        <f>IFERROR(INDEX(PP_Grid[#Data],$DD575,61),0)</f>
        <v/>
      </c>
      <c r="BL575">
        <f>IFERROR(INDEX(PP_Grid[#Data],$DD575,62),0)</f>
        <v/>
      </c>
      <c r="BM575">
        <f>IFERROR(INDEX(PP_Grid[#Data],$DD575,63),0)</f>
        <v/>
      </c>
      <c r="BN575">
        <f>IFERROR(INDEX(PP_Grid[#Data],$DD575,64),0)</f>
        <v/>
      </c>
      <c r="BO575">
        <f>IFERROR(INDEX(PP_Grid[#Data],$DD575,65),0)</f>
        <v/>
      </c>
      <c r="BP575">
        <f>IFERROR(INDEX(PP_Grid[#Data],$DD575,66),0)</f>
        <v/>
      </c>
      <c r="BQ575">
        <f>IFERROR(INDEX(PP_Grid[#Data],$DD575,67),0)</f>
        <v/>
      </c>
      <c r="BR575">
        <f>IFERROR(INDEX(PP_Grid[#Data],$DD575,68),0)</f>
        <v/>
      </c>
      <c r="BS575">
        <f>IFERROR(INDEX(PP_Grid[#Data],$DD575,69),0)</f>
        <v/>
      </c>
      <c r="BT575">
        <f>IFERROR(INDEX(PP_Grid[#Data],$DD575,70),0)</f>
        <v/>
      </c>
      <c r="BU575">
        <f>IFERROR(INDEX(PP_Grid[#Data],$DD575,71),0)</f>
        <v/>
      </c>
      <c r="BV575">
        <f>IFERROR(INDEX(PP_Grid[#Data],$DD575,72),0)</f>
        <v/>
      </c>
      <c r="BW575">
        <f>IFERROR(INDEX(PP_Grid[#Data],$DD575,73),0)</f>
        <v/>
      </c>
      <c r="BX575">
        <f>IFERROR(INDEX(PP_Grid[#Data],$DD575,74),0)</f>
        <v/>
      </c>
      <c r="BY575">
        <f>IFERROR(INDEX(PP_Grid[#Data],$DD575,75),0)</f>
        <v/>
      </c>
      <c r="BZ575">
        <f>IFERROR(INDEX(PP_Grid[#Data],$DD575,76),0)</f>
        <v/>
      </c>
      <c r="CA575">
        <f>IFERROR(INDEX(PP_Grid[#Data],$DD575,77),0)</f>
        <v/>
      </c>
      <c r="CB575">
        <f>IFERROR(INDEX(PP_Grid[#Data],$DD575,78),0)</f>
        <v/>
      </c>
      <c r="CC575">
        <f>IFERROR(INDEX(PP_Grid[#Data],$DD575,79),0)</f>
        <v/>
      </c>
      <c r="CD575">
        <f>IFERROR(INDEX(PP_Grid[#Data],$DD575,80),0)</f>
        <v/>
      </c>
      <c r="CE575">
        <f>IFERROR(INDEX(PP_Grid[#Data],$DD575,81),0)</f>
        <v/>
      </c>
      <c r="CF575">
        <f>IFERROR(INDEX(PP_Grid[#Data],$DD575,82),0)</f>
        <v/>
      </c>
      <c r="CG575">
        <f>IFERROR(INDEX(PP_Grid[#Data],$DD575,83),0)</f>
        <v/>
      </c>
      <c r="CH575">
        <f>IFERROR(INDEX(PP_Grid[#Data],$DD575,84),0)</f>
        <v/>
      </c>
      <c r="CI575">
        <f>IFERROR(INDEX(PP_Grid[#Data],$DD575,85),0)</f>
        <v/>
      </c>
      <c r="CJ575">
        <f>IFERROR(INDEX(PP_Grid[#Data],$DD575,86),0)</f>
        <v/>
      </c>
      <c r="CK575">
        <f>IFERROR(INDEX(PP_Grid[#Data],$DD575,87),0)</f>
        <v/>
      </c>
      <c r="CL575">
        <f>IFERROR(INDEX(PP_Grid[#Data],$DD575,88),0)</f>
        <v/>
      </c>
      <c r="CM575">
        <f>IFERROR(INDEX(PP_Grid[#Data],$DD575,89),0)</f>
        <v/>
      </c>
      <c r="CN575">
        <f>IFERROR(INDEX(PP_Grid[#Data],$DD575,90),0)</f>
        <v/>
      </c>
      <c r="CO575">
        <f>IFERROR(INDEX(PP_Grid[#Data],$DD575,91),0)</f>
        <v/>
      </c>
      <c r="CP575">
        <f>IFERROR(INDEX(PP_Grid[#Data],$DD575,92),0)</f>
        <v/>
      </c>
      <c r="CQ575">
        <f>IFERROR(INDEX(PP_Grid[#Data],$DD575,93),0)</f>
        <v/>
      </c>
      <c r="CR575">
        <f>IFERROR(INDEX(PP_Grid[#Data],$DD575,94),0)</f>
        <v/>
      </c>
      <c r="CS575">
        <f>IFERROR(INDEX(PP_Grid[#Data],$DD575,95),0)</f>
        <v/>
      </c>
      <c r="CT575">
        <f>IFERROR(INDEX(PP_Grid[#Data],$DD575,96),0)</f>
        <v/>
      </c>
      <c r="CU575">
        <f>IFERROR(INDEX(PP_Grid[#Data],$DD575,97),0)</f>
        <v/>
      </c>
      <c r="CV575">
        <f>IFERROR(INDEX(PP_Grid[#Data],$DD575,98),0)</f>
        <v/>
      </c>
      <c r="CW575">
        <f>IFERROR(INDEX(PP_Grid[#Data],$DD575,99),0)</f>
        <v/>
      </c>
      <c r="CX575">
        <f>IFERROR(INDEX(PP_Grid[#Data],$DD575,100),0)</f>
        <v/>
      </c>
      <c r="CY575">
        <f>IFERROR(INDEX(PP_Grid[#Data],$DD575,101),0)</f>
        <v/>
      </c>
      <c r="CZ575">
        <f>IFERROR(INDEX(PP_Grid[#Data],$DD575,102),0)</f>
        <v/>
      </c>
      <c r="DA575">
        <f>IFERROR(INDEX(PP_Grid[#Data],$DD575,103),0)</f>
        <v/>
      </c>
      <c r="DB575">
        <f>IFERROR(INDEX(PP_Grid[#Data],$DD575,104),0)</f>
        <v/>
      </c>
      <c r="DC575">
        <f>IFERROR(INDEX(PP_Grid[#Data],$DD575,105),0)</f>
        <v/>
      </c>
      <c r="DD575" s="12">
        <f>IFERROR(MATCH($B575,PP_Grid[Intermediate],0),99999)</f>
        <v/>
      </c>
    </row>
    <row r="576">
      <c r="B576" t="inlineStr">
        <is>
          <t>使用量(kg)</t>
        </is>
      </c>
      <c r="C576">
        <f>SUMIFS(M_BOM[RM_Qty_Per_Batch],M_BOM[Intermediate],$B575,M_BOM[Part Name],$A518)</f>
        <v/>
      </c>
      <c r="D576">
        <f>$C576*D575</f>
        <v/>
      </c>
      <c r="E576">
        <f>$C576*E575</f>
        <v/>
      </c>
      <c r="F576">
        <f>$C576*F575</f>
        <v/>
      </c>
      <c r="G576">
        <f>$C576*G575</f>
        <v/>
      </c>
      <c r="H576">
        <f>$C576*H575</f>
        <v/>
      </c>
      <c r="I576">
        <f>$C576*I575</f>
        <v/>
      </c>
      <c r="J576">
        <f>$C576*J575</f>
        <v/>
      </c>
      <c r="K576">
        <f>$C576*K575</f>
        <v/>
      </c>
      <c r="L576">
        <f>$C576*L575</f>
        <v/>
      </c>
      <c r="M576">
        <f>$C576*M575</f>
        <v/>
      </c>
      <c r="N576">
        <f>$C576*N575</f>
        <v/>
      </c>
      <c r="O576">
        <f>$C576*O575</f>
        <v/>
      </c>
      <c r="P576">
        <f>$C576*P575</f>
        <v/>
      </c>
      <c r="Q576">
        <f>$C576*Q575</f>
        <v/>
      </c>
      <c r="R576">
        <f>$C576*R575</f>
        <v/>
      </c>
      <c r="S576">
        <f>$C576*S575</f>
        <v/>
      </c>
      <c r="T576">
        <f>$C576*T575</f>
        <v/>
      </c>
      <c r="U576">
        <f>$C576*U575</f>
        <v/>
      </c>
      <c r="V576">
        <f>$C576*V575</f>
        <v/>
      </c>
      <c r="W576">
        <f>$C576*W575</f>
        <v/>
      </c>
      <c r="X576">
        <f>$C576*X575</f>
        <v/>
      </c>
      <c r="Y576">
        <f>$C576*Y575</f>
        <v/>
      </c>
      <c r="Z576">
        <f>$C576*Z575</f>
        <v/>
      </c>
      <c r="AA576">
        <f>$C576*AA575</f>
        <v/>
      </c>
      <c r="AB576">
        <f>$C576*AB575</f>
        <v/>
      </c>
      <c r="AC576">
        <f>$C576*AC575</f>
        <v/>
      </c>
      <c r="AD576">
        <f>$C576*AD575</f>
        <v/>
      </c>
      <c r="AE576">
        <f>$C576*AE575</f>
        <v/>
      </c>
      <c r="AF576">
        <f>$C576*AF575</f>
        <v/>
      </c>
      <c r="AG576">
        <f>$C576*AG575</f>
        <v/>
      </c>
      <c r="AH576">
        <f>$C576*AH575</f>
        <v/>
      </c>
      <c r="AI576">
        <f>$C576*AI575</f>
        <v/>
      </c>
      <c r="AJ576">
        <f>$C576*AJ575</f>
        <v/>
      </c>
      <c r="AK576">
        <f>$C576*AK575</f>
        <v/>
      </c>
      <c r="AL576">
        <f>$C576*AL575</f>
        <v/>
      </c>
      <c r="AM576">
        <f>$C576*AM575</f>
        <v/>
      </c>
      <c r="AN576">
        <f>$C576*AN575</f>
        <v/>
      </c>
      <c r="AO576">
        <f>$C576*AO575</f>
        <v/>
      </c>
      <c r="AP576">
        <f>$C576*AP575</f>
        <v/>
      </c>
      <c r="AQ576">
        <f>$C576*AQ575</f>
        <v/>
      </c>
      <c r="AR576">
        <f>$C576*AR575</f>
        <v/>
      </c>
      <c r="AS576">
        <f>$C576*AS575</f>
        <v/>
      </c>
      <c r="AT576">
        <f>$C576*AT575</f>
        <v/>
      </c>
      <c r="AU576">
        <f>$C576*AU575</f>
        <v/>
      </c>
      <c r="AV576">
        <f>$C576*AV575</f>
        <v/>
      </c>
      <c r="AW576">
        <f>$C576*AW575</f>
        <v/>
      </c>
      <c r="AX576">
        <f>$C576*AX575</f>
        <v/>
      </c>
      <c r="AY576">
        <f>$C576*AY575</f>
        <v/>
      </c>
      <c r="AZ576">
        <f>$C576*AZ575</f>
        <v/>
      </c>
      <c r="BA576">
        <f>$C576*BA575</f>
        <v/>
      </c>
      <c r="BB576">
        <f>$C576*BB575</f>
        <v/>
      </c>
      <c r="BC576">
        <f>$C576*BC575</f>
        <v/>
      </c>
      <c r="BD576">
        <f>$C576*BD575</f>
        <v/>
      </c>
      <c r="BE576">
        <f>$C576*BE575</f>
        <v/>
      </c>
      <c r="BF576">
        <f>$C576*BF575</f>
        <v/>
      </c>
      <c r="BG576">
        <f>$C576*BG575</f>
        <v/>
      </c>
      <c r="BH576">
        <f>$C576*BH575</f>
        <v/>
      </c>
      <c r="BI576">
        <f>$C576*BI575</f>
        <v/>
      </c>
      <c r="BJ576">
        <f>$C576*BJ575</f>
        <v/>
      </c>
      <c r="BK576">
        <f>$C576*BK575</f>
        <v/>
      </c>
      <c r="BL576">
        <f>$C576*BL575</f>
        <v/>
      </c>
      <c r="BM576">
        <f>$C576*BM575</f>
        <v/>
      </c>
      <c r="BN576">
        <f>$C576*BN575</f>
        <v/>
      </c>
      <c r="BO576">
        <f>$C576*BO575</f>
        <v/>
      </c>
      <c r="BP576">
        <f>$C576*BP575</f>
        <v/>
      </c>
      <c r="BQ576">
        <f>$C576*BQ575</f>
        <v/>
      </c>
      <c r="BR576">
        <f>$C576*BR575</f>
        <v/>
      </c>
      <c r="BS576">
        <f>$C576*BS575</f>
        <v/>
      </c>
      <c r="BT576">
        <f>$C576*BT575</f>
        <v/>
      </c>
      <c r="BU576">
        <f>$C576*BU575</f>
        <v/>
      </c>
      <c r="BV576">
        <f>$C576*BV575</f>
        <v/>
      </c>
      <c r="BW576">
        <f>$C576*BW575</f>
        <v/>
      </c>
      <c r="BX576">
        <f>$C576*BX575</f>
        <v/>
      </c>
      <c r="BY576">
        <f>$C576*BY575</f>
        <v/>
      </c>
      <c r="BZ576">
        <f>$C576*BZ575</f>
        <v/>
      </c>
      <c r="CA576">
        <f>$C576*CA575</f>
        <v/>
      </c>
      <c r="CB576">
        <f>$C576*CB575</f>
        <v/>
      </c>
      <c r="CC576">
        <f>$C576*CC575</f>
        <v/>
      </c>
      <c r="CD576">
        <f>$C576*CD575</f>
        <v/>
      </c>
      <c r="CE576">
        <f>$C576*CE575</f>
        <v/>
      </c>
      <c r="CF576">
        <f>$C576*CF575</f>
        <v/>
      </c>
      <c r="CG576">
        <f>$C576*CG575</f>
        <v/>
      </c>
      <c r="CH576">
        <f>$C576*CH575</f>
        <v/>
      </c>
      <c r="CI576">
        <f>$C576*CI575</f>
        <v/>
      </c>
      <c r="CJ576">
        <f>$C576*CJ575</f>
        <v/>
      </c>
      <c r="CK576">
        <f>$C576*CK575</f>
        <v/>
      </c>
      <c r="CL576">
        <f>$C576*CL575</f>
        <v/>
      </c>
      <c r="CM576">
        <f>$C576*CM575</f>
        <v/>
      </c>
      <c r="CN576">
        <f>$C576*CN575</f>
        <v/>
      </c>
      <c r="CO576">
        <f>$C576*CO575</f>
        <v/>
      </c>
      <c r="CP576">
        <f>$C576*CP575</f>
        <v/>
      </c>
      <c r="CQ576">
        <f>$C576*CQ575</f>
        <v/>
      </c>
      <c r="CR576">
        <f>$C576*CR575</f>
        <v/>
      </c>
      <c r="CS576">
        <f>$C576*CS575</f>
        <v/>
      </c>
      <c r="CT576">
        <f>$C576*CT575</f>
        <v/>
      </c>
      <c r="CU576">
        <f>$C576*CU575</f>
        <v/>
      </c>
      <c r="CV576">
        <f>$C576*CV575</f>
        <v/>
      </c>
      <c r="CW576">
        <f>$C576*CW575</f>
        <v/>
      </c>
      <c r="CX576">
        <f>$C576*CX575</f>
        <v/>
      </c>
      <c r="CY576">
        <f>$C576*CY575</f>
        <v/>
      </c>
      <c r="CZ576">
        <f>$C576*CZ575</f>
        <v/>
      </c>
      <c r="DA576">
        <f>$C576*DA575</f>
        <v/>
      </c>
      <c r="DB576">
        <f>$C576*DB575</f>
        <v/>
      </c>
      <c r="DC576">
        <f>$C576*DC575</f>
        <v/>
      </c>
    </row>
    <row r="577">
      <c r="B577" t="inlineStr">
        <is>
          <t>VSP-600</t>
        </is>
      </c>
      <c r="C577" t="inlineStr">
        <is>
          <t>No. of batches</t>
        </is>
      </c>
      <c r="D577">
        <f>IFERROR(INDEX(PP_Grid[#Data],$DD577,2),0)</f>
        <v/>
      </c>
      <c r="E577">
        <f>IFERROR(INDEX(PP_Grid[#Data],$DD577,3),0)</f>
        <v/>
      </c>
      <c r="F577">
        <f>IFERROR(INDEX(PP_Grid[#Data],$DD577,4),0)</f>
        <v/>
      </c>
      <c r="G577">
        <f>IFERROR(INDEX(PP_Grid[#Data],$DD577,5),0)</f>
        <v/>
      </c>
      <c r="H577">
        <f>IFERROR(INDEX(PP_Grid[#Data],$DD577,6),0)</f>
        <v/>
      </c>
      <c r="I577">
        <f>IFERROR(INDEX(PP_Grid[#Data],$DD577,7),0)</f>
        <v/>
      </c>
      <c r="J577">
        <f>IFERROR(INDEX(PP_Grid[#Data],$DD577,8),0)</f>
        <v/>
      </c>
      <c r="K577">
        <f>IFERROR(INDEX(PP_Grid[#Data],$DD577,9),0)</f>
        <v/>
      </c>
      <c r="L577">
        <f>IFERROR(INDEX(PP_Grid[#Data],$DD577,10),0)</f>
        <v/>
      </c>
      <c r="M577">
        <f>IFERROR(INDEX(PP_Grid[#Data],$DD577,11),0)</f>
        <v/>
      </c>
      <c r="N577">
        <f>IFERROR(INDEX(PP_Grid[#Data],$DD577,12),0)</f>
        <v/>
      </c>
      <c r="O577">
        <f>IFERROR(INDEX(PP_Grid[#Data],$DD577,13),0)</f>
        <v/>
      </c>
      <c r="P577">
        <f>IFERROR(INDEX(PP_Grid[#Data],$DD577,14),0)</f>
        <v/>
      </c>
      <c r="Q577">
        <f>IFERROR(INDEX(PP_Grid[#Data],$DD577,15),0)</f>
        <v/>
      </c>
      <c r="R577">
        <f>IFERROR(INDEX(PP_Grid[#Data],$DD577,16),0)</f>
        <v/>
      </c>
      <c r="S577">
        <f>IFERROR(INDEX(PP_Grid[#Data],$DD577,17),0)</f>
        <v/>
      </c>
      <c r="T577">
        <f>IFERROR(INDEX(PP_Grid[#Data],$DD577,18),0)</f>
        <v/>
      </c>
      <c r="U577">
        <f>IFERROR(INDEX(PP_Grid[#Data],$DD577,19),0)</f>
        <v/>
      </c>
      <c r="V577">
        <f>IFERROR(INDEX(PP_Grid[#Data],$DD577,20),0)</f>
        <v/>
      </c>
      <c r="W577">
        <f>IFERROR(INDEX(PP_Grid[#Data],$DD577,21),0)</f>
        <v/>
      </c>
      <c r="X577">
        <f>IFERROR(INDEX(PP_Grid[#Data],$DD577,22),0)</f>
        <v/>
      </c>
      <c r="Y577">
        <f>IFERROR(INDEX(PP_Grid[#Data],$DD577,23),0)</f>
        <v/>
      </c>
      <c r="Z577">
        <f>IFERROR(INDEX(PP_Grid[#Data],$DD577,24),0)</f>
        <v/>
      </c>
      <c r="AA577">
        <f>IFERROR(INDEX(PP_Grid[#Data],$DD577,25),0)</f>
        <v/>
      </c>
      <c r="AB577">
        <f>IFERROR(INDEX(PP_Grid[#Data],$DD577,26),0)</f>
        <v/>
      </c>
      <c r="AC577">
        <f>IFERROR(INDEX(PP_Grid[#Data],$DD577,27),0)</f>
        <v/>
      </c>
      <c r="AD577">
        <f>IFERROR(INDEX(PP_Grid[#Data],$DD577,28),0)</f>
        <v/>
      </c>
      <c r="AE577">
        <f>IFERROR(INDEX(PP_Grid[#Data],$DD577,29),0)</f>
        <v/>
      </c>
      <c r="AF577">
        <f>IFERROR(INDEX(PP_Grid[#Data],$DD577,30),0)</f>
        <v/>
      </c>
      <c r="AG577">
        <f>IFERROR(INDEX(PP_Grid[#Data],$DD577,31),0)</f>
        <v/>
      </c>
      <c r="AH577">
        <f>IFERROR(INDEX(PP_Grid[#Data],$DD577,32),0)</f>
        <v/>
      </c>
      <c r="AI577">
        <f>IFERROR(INDEX(PP_Grid[#Data],$DD577,33),0)</f>
        <v/>
      </c>
      <c r="AJ577">
        <f>IFERROR(INDEX(PP_Grid[#Data],$DD577,34),0)</f>
        <v/>
      </c>
      <c r="AK577">
        <f>IFERROR(INDEX(PP_Grid[#Data],$DD577,35),0)</f>
        <v/>
      </c>
      <c r="AL577">
        <f>IFERROR(INDEX(PP_Grid[#Data],$DD577,36),0)</f>
        <v/>
      </c>
      <c r="AM577">
        <f>IFERROR(INDEX(PP_Grid[#Data],$DD577,37),0)</f>
        <v/>
      </c>
      <c r="AN577">
        <f>IFERROR(INDEX(PP_Grid[#Data],$DD577,38),0)</f>
        <v/>
      </c>
      <c r="AO577">
        <f>IFERROR(INDEX(PP_Grid[#Data],$DD577,39),0)</f>
        <v/>
      </c>
      <c r="AP577">
        <f>IFERROR(INDEX(PP_Grid[#Data],$DD577,40),0)</f>
        <v/>
      </c>
      <c r="AQ577">
        <f>IFERROR(INDEX(PP_Grid[#Data],$DD577,41),0)</f>
        <v/>
      </c>
      <c r="AR577">
        <f>IFERROR(INDEX(PP_Grid[#Data],$DD577,42),0)</f>
        <v/>
      </c>
      <c r="AS577">
        <f>IFERROR(INDEX(PP_Grid[#Data],$DD577,43),0)</f>
        <v/>
      </c>
      <c r="AT577">
        <f>IFERROR(INDEX(PP_Grid[#Data],$DD577,44),0)</f>
        <v/>
      </c>
      <c r="AU577">
        <f>IFERROR(INDEX(PP_Grid[#Data],$DD577,45),0)</f>
        <v/>
      </c>
      <c r="AV577">
        <f>IFERROR(INDEX(PP_Grid[#Data],$DD577,46),0)</f>
        <v/>
      </c>
      <c r="AW577">
        <f>IFERROR(INDEX(PP_Grid[#Data],$DD577,47),0)</f>
        <v/>
      </c>
      <c r="AX577">
        <f>IFERROR(INDEX(PP_Grid[#Data],$DD577,48),0)</f>
        <v/>
      </c>
      <c r="AY577">
        <f>IFERROR(INDEX(PP_Grid[#Data],$DD577,49),0)</f>
        <v/>
      </c>
      <c r="AZ577">
        <f>IFERROR(INDEX(PP_Grid[#Data],$DD577,50),0)</f>
        <v/>
      </c>
      <c r="BA577">
        <f>IFERROR(INDEX(PP_Grid[#Data],$DD577,51),0)</f>
        <v/>
      </c>
      <c r="BB577">
        <f>IFERROR(INDEX(PP_Grid[#Data],$DD577,52),0)</f>
        <v/>
      </c>
      <c r="BC577">
        <f>IFERROR(INDEX(PP_Grid[#Data],$DD577,53),0)</f>
        <v/>
      </c>
      <c r="BD577">
        <f>IFERROR(INDEX(PP_Grid[#Data],$DD577,54),0)</f>
        <v/>
      </c>
      <c r="BE577">
        <f>IFERROR(INDEX(PP_Grid[#Data],$DD577,55),0)</f>
        <v/>
      </c>
      <c r="BF577">
        <f>IFERROR(INDEX(PP_Grid[#Data],$DD577,56),0)</f>
        <v/>
      </c>
      <c r="BG577">
        <f>IFERROR(INDEX(PP_Grid[#Data],$DD577,57),0)</f>
        <v/>
      </c>
      <c r="BH577">
        <f>IFERROR(INDEX(PP_Grid[#Data],$DD577,58),0)</f>
        <v/>
      </c>
      <c r="BI577">
        <f>IFERROR(INDEX(PP_Grid[#Data],$DD577,59),0)</f>
        <v/>
      </c>
      <c r="BJ577">
        <f>IFERROR(INDEX(PP_Grid[#Data],$DD577,60),0)</f>
        <v/>
      </c>
      <c r="BK577">
        <f>IFERROR(INDEX(PP_Grid[#Data],$DD577,61),0)</f>
        <v/>
      </c>
      <c r="BL577">
        <f>IFERROR(INDEX(PP_Grid[#Data],$DD577,62),0)</f>
        <v/>
      </c>
      <c r="BM577">
        <f>IFERROR(INDEX(PP_Grid[#Data],$DD577,63),0)</f>
        <v/>
      </c>
      <c r="BN577">
        <f>IFERROR(INDEX(PP_Grid[#Data],$DD577,64),0)</f>
        <v/>
      </c>
      <c r="BO577">
        <f>IFERROR(INDEX(PP_Grid[#Data],$DD577,65),0)</f>
        <v/>
      </c>
      <c r="BP577">
        <f>IFERROR(INDEX(PP_Grid[#Data],$DD577,66),0)</f>
        <v/>
      </c>
      <c r="BQ577">
        <f>IFERROR(INDEX(PP_Grid[#Data],$DD577,67),0)</f>
        <v/>
      </c>
      <c r="BR577">
        <f>IFERROR(INDEX(PP_Grid[#Data],$DD577,68),0)</f>
        <v/>
      </c>
      <c r="BS577">
        <f>IFERROR(INDEX(PP_Grid[#Data],$DD577,69),0)</f>
        <v/>
      </c>
      <c r="BT577">
        <f>IFERROR(INDEX(PP_Grid[#Data],$DD577,70),0)</f>
        <v/>
      </c>
      <c r="BU577">
        <f>IFERROR(INDEX(PP_Grid[#Data],$DD577,71),0)</f>
        <v/>
      </c>
      <c r="BV577">
        <f>IFERROR(INDEX(PP_Grid[#Data],$DD577,72),0)</f>
        <v/>
      </c>
      <c r="BW577">
        <f>IFERROR(INDEX(PP_Grid[#Data],$DD577,73),0)</f>
        <v/>
      </c>
      <c r="BX577">
        <f>IFERROR(INDEX(PP_Grid[#Data],$DD577,74),0)</f>
        <v/>
      </c>
      <c r="BY577">
        <f>IFERROR(INDEX(PP_Grid[#Data],$DD577,75),0)</f>
        <v/>
      </c>
      <c r="BZ577">
        <f>IFERROR(INDEX(PP_Grid[#Data],$DD577,76),0)</f>
        <v/>
      </c>
      <c r="CA577">
        <f>IFERROR(INDEX(PP_Grid[#Data],$DD577,77),0)</f>
        <v/>
      </c>
      <c r="CB577">
        <f>IFERROR(INDEX(PP_Grid[#Data],$DD577,78),0)</f>
        <v/>
      </c>
      <c r="CC577">
        <f>IFERROR(INDEX(PP_Grid[#Data],$DD577,79),0)</f>
        <v/>
      </c>
      <c r="CD577">
        <f>IFERROR(INDEX(PP_Grid[#Data],$DD577,80),0)</f>
        <v/>
      </c>
      <c r="CE577">
        <f>IFERROR(INDEX(PP_Grid[#Data],$DD577,81),0)</f>
        <v/>
      </c>
      <c r="CF577">
        <f>IFERROR(INDEX(PP_Grid[#Data],$DD577,82),0)</f>
        <v/>
      </c>
      <c r="CG577">
        <f>IFERROR(INDEX(PP_Grid[#Data],$DD577,83),0)</f>
        <v/>
      </c>
      <c r="CH577">
        <f>IFERROR(INDEX(PP_Grid[#Data],$DD577,84),0)</f>
        <v/>
      </c>
      <c r="CI577">
        <f>IFERROR(INDEX(PP_Grid[#Data],$DD577,85),0)</f>
        <v/>
      </c>
      <c r="CJ577">
        <f>IFERROR(INDEX(PP_Grid[#Data],$DD577,86),0)</f>
        <v/>
      </c>
      <c r="CK577">
        <f>IFERROR(INDEX(PP_Grid[#Data],$DD577,87),0)</f>
        <v/>
      </c>
      <c r="CL577">
        <f>IFERROR(INDEX(PP_Grid[#Data],$DD577,88),0)</f>
        <v/>
      </c>
      <c r="CM577">
        <f>IFERROR(INDEX(PP_Grid[#Data],$DD577,89),0)</f>
        <v/>
      </c>
      <c r="CN577">
        <f>IFERROR(INDEX(PP_Grid[#Data],$DD577,90),0)</f>
        <v/>
      </c>
      <c r="CO577">
        <f>IFERROR(INDEX(PP_Grid[#Data],$DD577,91),0)</f>
        <v/>
      </c>
      <c r="CP577">
        <f>IFERROR(INDEX(PP_Grid[#Data],$DD577,92),0)</f>
        <v/>
      </c>
      <c r="CQ577">
        <f>IFERROR(INDEX(PP_Grid[#Data],$DD577,93),0)</f>
        <v/>
      </c>
      <c r="CR577">
        <f>IFERROR(INDEX(PP_Grid[#Data],$DD577,94),0)</f>
        <v/>
      </c>
      <c r="CS577">
        <f>IFERROR(INDEX(PP_Grid[#Data],$DD577,95),0)</f>
        <v/>
      </c>
      <c r="CT577">
        <f>IFERROR(INDEX(PP_Grid[#Data],$DD577,96),0)</f>
        <v/>
      </c>
      <c r="CU577">
        <f>IFERROR(INDEX(PP_Grid[#Data],$DD577,97),0)</f>
        <v/>
      </c>
      <c r="CV577">
        <f>IFERROR(INDEX(PP_Grid[#Data],$DD577,98),0)</f>
        <v/>
      </c>
      <c r="CW577">
        <f>IFERROR(INDEX(PP_Grid[#Data],$DD577,99),0)</f>
        <v/>
      </c>
      <c r="CX577">
        <f>IFERROR(INDEX(PP_Grid[#Data],$DD577,100),0)</f>
        <v/>
      </c>
      <c r="CY577">
        <f>IFERROR(INDEX(PP_Grid[#Data],$DD577,101),0)</f>
        <v/>
      </c>
      <c r="CZ577">
        <f>IFERROR(INDEX(PP_Grid[#Data],$DD577,102),0)</f>
        <v/>
      </c>
      <c r="DA577">
        <f>IFERROR(INDEX(PP_Grid[#Data],$DD577,103),0)</f>
        <v/>
      </c>
      <c r="DB577">
        <f>IFERROR(INDEX(PP_Grid[#Data],$DD577,104),0)</f>
        <v/>
      </c>
      <c r="DC577">
        <f>IFERROR(INDEX(PP_Grid[#Data],$DD577,105),0)</f>
        <v/>
      </c>
      <c r="DD577" s="12">
        <f>IFERROR(MATCH($B577,PP_Grid[Intermediate],0),99999)</f>
        <v/>
      </c>
    </row>
    <row r="578">
      <c r="B578" t="inlineStr">
        <is>
          <t>使用量(kg)</t>
        </is>
      </c>
      <c r="C578">
        <f>SUMIFS(M_BOM[RM_Qty_Per_Batch],M_BOM[Intermediate],$B577,M_BOM[Part Name],$A518)</f>
        <v/>
      </c>
      <c r="D578">
        <f>$C578*D577</f>
        <v/>
      </c>
      <c r="E578">
        <f>$C578*E577</f>
        <v/>
      </c>
      <c r="F578">
        <f>$C578*F577</f>
        <v/>
      </c>
      <c r="G578">
        <f>$C578*G577</f>
        <v/>
      </c>
      <c r="H578">
        <f>$C578*H577</f>
        <v/>
      </c>
      <c r="I578">
        <f>$C578*I577</f>
        <v/>
      </c>
      <c r="J578">
        <f>$C578*J577</f>
        <v/>
      </c>
      <c r="K578">
        <f>$C578*K577</f>
        <v/>
      </c>
      <c r="L578">
        <f>$C578*L577</f>
        <v/>
      </c>
      <c r="M578">
        <f>$C578*M577</f>
        <v/>
      </c>
      <c r="N578">
        <f>$C578*N577</f>
        <v/>
      </c>
      <c r="O578">
        <f>$C578*O577</f>
        <v/>
      </c>
      <c r="P578">
        <f>$C578*P577</f>
        <v/>
      </c>
      <c r="Q578">
        <f>$C578*Q577</f>
        <v/>
      </c>
      <c r="R578">
        <f>$C578*R577</f>
        <v/>
      </c>
      <c r="S578">
        <f>$C578*S577</f>
        <v/>
      </c>
      <c r="T578">
        <f>$C578*T577</f>
        <v/>
      </c>
      <c r="U578">
        <f>$C578*U577</f>
        <v/>
      </c>
      <c r="V578">
        <f>$C578*V577</f>
        <v/>
      </c>
      <c r="W578">
        <f>$C578*W577</f>
        <v/>
      </c>
      <c r="X578">
        <f>$C578*X577</f>
        <v/>
      </c>
      <c r="Y578">
        <f>$C578*Y577</f>
        <v/>
      </c>
      <c r="Z578">
        <f>$C578*Z577</f>
        <v/>
      </c>
      <c r="AA578">
        <f>$C578*AA577</f>
        <v/>
      </c>
      <c r="AB578">
        <f>$C578*AB577</f>
        <v/>
      </c>
      <c r="AC578">
        <f>$C578*AC577</f>
        <v/>
      </c>
      <c r="AD578">
        <f>$C578*AD577</f>
        <v/>
      </c>
      <c r="AE578">
        <f>$C578*AE577</f>
        <v/>
      </c>
      <c r="AF578">
        <f>$C578*AF577</f>
        <v/>
      </c>
      <c r="AG578">
        <f>$C578*AG577</f>
        <v/>
      </c>
      <c r="AH578">
        <f>$C578*AH577</f>
        <v/>
      </c>
      <c r="AI578">
        <f>$C578*AI577</f>
        <v/>
      </c>
      <c r="AJ578">
        <f>$C578*AJ577</f>
        <v/>
      </c>
      <c r="AK578">
        <f>$C578*AK577</f>
        <v/>
      </c>
      <c r="AL578">
        <f>$C578*AL577</f>
        <v/>
      </c>
      <c r="AM578">
        <f>$C578*AM577</f>
        <v/>
      </c>
      <c r="AN578">
        <f>$C578*AN577</f>
        <v/>
      </c>
      <c r="AO578">
        <f>$C578*AO577</f>
        <v/>
      </c>
      <c r="AP578">
        <f>$C578*AP577</f>
        <v/>
      </c>
      <c r="AQ578">
        <f>$C578*AQ577</f>
        <v/>
      </c>
      <c r="AR578">
        <f>$C578*AR577</f>
        <v/>
      </c>
      <c r="AS578">
        <f>$C578*AS577</f>
        <v/>
      </c>
      <c r="AT578">
        <f>$C578*AT577</f>
        <v/>
      </c>
      <c r="AU578">
        <f>$C578*AU577</f>
        <v/>
      </c>
      <c r="AV578">
        <f>$C578*AV577</f>
        <v/>
      </c>
      <c r="AW578">
        <f>$C578*AW577</f>
        <v/>
      </c>
      <c r="AX578">
        <f>$C578*AX577</f>
        <v/>
      </c>
      <c r="AY578">
        <f>$C578*AY577</f>
        <v/>
      </c>
      <c r="AZ578">
        <f>$C578*AZ577</f>
        <v/>
      </c>
      <c r="BA578">
        <f>$C578*BA577</f>
        <v/>
      </c>
      <c r="BB578">
        <f>$C578*BB577</f>
        <v/>
      </c>
      <c r="BC578">
        <f>$C578*BC577</f>
        <v/>
      </c>
      <c r="BD578">
        <f>$C578*BD577</f>
        <v/>
      </c>
      <c r="BE578">
        <f>$C578*BE577</f>
        <v/>
      </c>
      <c r="BF578">
        <f>$C578*BF577</f>
        <v/>
      </c>
      <c r="BG578">
        <f>$C578*BG577</f>
        <v/>
      </c>
      <c r="BH578">
        <f>$C578*BH577</f>
        <v/>
      </c>
      <c r="BI578">
        <f>$C578*BI577</f>
        <v/>
      </c>
      <c r="BJ578">
        <f>$C578*BJ577</f>
        <v/>
      </c>
      <c r="BK578">
        <f>$C578*BK577</f>
        <v/>
      </c>
      <c r="BL578">
        <f>$C578*BL577</f>
        <v/>
      </c>
      <c r="BM578">
        <f>$C578*BM577</f>
        <v/>
      </c>
      <c r="BN578">
        <f>$C578*BN577</f>
        <v/>
      </c>
      <c r="BO578">
        <f>$C578*BO577</f>
        <v/>
      </c>
      <c r="BP578">
        <f>$C578*BP577</f>
        <v/>
      </c>
      <c r="BQ578">
        <f>$C578*BQ577</f>
        <v/>
      </c>
      <c r="BR578">
        <f>$C578*BR577</f>
        <v/>
      </c>
      <c r="BS578">
        <f>$C578*BS577</f>
        <v/>
      </c>
      <c r="BT578">
        <f>$C578*BT577</f>
        <v/>
      </c>
      <c r="BU578">
        <f>$C578*BU577</f>
        <v/>
      </c>
      <c r="BV578">
        <f>$C578*BV577</f>
        <v/>
      </c>
      <c r="BW578">
        <f>$C578*BW577</f>
        <v/>
      </c>
      <c r="BX578">
        <f>$C578*BX577</f>
        <v/>
      </c>
      <c r="BY578">
        <f>$C578*BY577</f>
        <v/>
      </c>
      <c r="BZ578">
        <f>$C578*BZ577</f>
        <v/>
      </c>
      <c r="CA578">
        <f>$C578*CA577</f>
        <v/>
      </c>
      <c r="CB578">
        <f>$C578*CB577</f>
        <v/>
      </c>
      <c r="CC578">
        <f>$C578*CC577</f>
        <v/>
      </c>
      <c r="CD578">
        <f>$C578*CD577</f>
        <v/>
      </c>
      <c r="CE578">
        <f>$C578*CE577</f>
        <v/>
      </c>
      <c r="CF578">
        <f>$C578*CF577</f>
        <v/>
      </c>
      <c r="CG578">
        <f>$C578*CG577</f>
        <v/>
      </c>
      <c r="CH578">
        <f>$C578*CH577</f>
        <v/>
      </c>
      <c r="CI578">
        <f>$C578*CI577</f>
        <v/>
      </c>
      <c r="CJ578">
        <f>$C578*CJ577</f>
        <v/>
      </c>
      <c r="CK578">
        <f>$C578*CK577</f>
        <v/>
      </c>
      <c r="CL578">
        <f>$C578*CL577</f>
        <v/>
      </c>
      <c r="CM578">
        <f>$C578*CM577</f>
        <v/>
      </c>
      <c r="CN578">
        <f>$C578*CN577</f>
        <v/>
      </c>
      <c r="CO578">
        <f>$C578*CO577</f>
        <v/>
      </c>
      <c r="CP578">
        <f>$C578*CP577</f>
        <v/>
      </c>
      <c r="CQ578">
        <f>$C578*CQ577</f>
        <v/>
      </c>
      <c r="CR578">
        <f>$C578*CR577</f>
        <v/>
      </c>
      <c r="CS578">
        <f>$C578*CS577</f>
        <v/>
      </c>
      <c r="CT578">
        <f>$C578*CT577</f>
        <v/>
      </c>
      <c r="CU578">
        <f>$C578*CU577</f>
        <v/>
      </c>
      <c r="CV578">
        <f>$C578*CV577</f>
        <v/>
      </c>
      <c r="CW578">
        <f>$C578*CW577</f>
        <v/>
      </c>
      <c r="CX578">
        <f>$C578*CX577</f>
        <v/>
      </c>
      <c r="CY578">
        <f>$C578*CY577</f>
        <v/>
      </c>
      <c r="CZ578">
        <f>$C578*CZ577</f>
        <v/>
      </c>
      <c r="DA578">
        <f>$C578*DA577</f>
        <v/>
      </c>
      <c r="DB578">
        <f>$C578*DB577</f>
        <v/>
      </c>
      <c r="DC578">
        <f>$C578*DC577</f>
        <v/>
      </c>
    </row>
    <row r="579">
      <c r="B579" t="inlineStr">
        <is>
          <t>VSP-601</t>
        </is>
      </c>
      <c r="C579" t="inlineStr">
        <is>
          <t>No. of batches</t>
        </is>
      </c>
      <c r="D579">
        <f>IFERROR(INDEX(PP_Grid[#Data],$DD579,2),0)</f>
        <v/>
      </c>
      <c r="E579">
        <f>IFERROR(INDEX(PP_Grid[#Data],$DD579,3),0)</f>
        <v/>
      </c>
      <c r="F579">
        <f>IFERROR(INDEX(PP_Grid[#Data],$DD579,4),0)</f>
        <v/>
      </c>
      <c r="G579">
        <f>IFERROR(INDEX(PP_Grid[#Data],$DD579,5),0)</f>
        <v/>
      </c>
      <c r="H579">
        <f>IFERROR(INDEX(PP_Grid[#Data],$DD579,6),0)</f>
        <v/>
      </c>
      <c r="I579">
        <f>IFERROR(INDEX(PP_Grid[#Data],$DD579,7),0)</f>
        <v/>
      </c>
      <c r="J579">
        <f>IFERROR(INDEX(PP_Grid[#Data],$DD579,8),0)</f>
        <v/>
      </c>
      <c r="K579">
        <f>IFERROR(INDEX(PP_Grid[#Data],$DD579,9),0)</f>
        <v/>
      </c>
      <c r="L579">
        <f>IFERROR(INDEX(PP_Grid[#Data],$DD579,10),0)</f>
        <v/>
      </c>
      <c r="M579">
        <f>IFERROR(INDEX(PP_Grid[#Data],$DD579,11),0)</f>
        <v/>
      </c>
      <c r="N579">
        <f>IFERROR(INDEX(PP_Grid[#Data],$DD579,12),0)</f>
        <v/>
      </c>
      <c r="O579">
        <f>IFERROR(INDEX(PP_Grid[#Data],$DD579,13),0)</f>
        <v/>
      </c>
      <c r="P579">
        <f>IFERROR(INDEX(PP_Grid[#Data],$DD579,14),0)</f>
        <v/>
      </c>
      <c r="Q579">
        <f>IFERROR(INDEX(PP_Grid[#Data],$DD579,15),0)</f>
        <v/>
      </c>
      <c r="R579">
        <f>IFERROR(INDEX(PP_Grid[#Data],$DD579,16),0)</f>
        <v/>
      </c>
      <c r="S579">
        <f>IFERROR(INDEX(PP_Grid[#Data],$DD579,17),0)</f>
        <v/>
      </c>
      <c r="T579">
        <f>IFERROR(INDEX(PP_Grid[#Data],$DD579,18),0)</f>
        <v/>
      </c>
      <c r="U579">
        <f>IFERROR(INDEX(PP_Grid[#Data],$DD579,19),0)</f>
        <v/>
      </c>
      <c r="V579">
        <f>IFERROR(INDEX(PP_Grid[#Data],$DD579,20),0)</f>
        <v/>
      </c>
      <c r="W579">
        <f>IFERROR(INDEX(PP_Grid[#Data],$DD579,21),0)</f>
        <v/>
      </c>
      <c r="X579">
        <f>IFERROR(INDEX(PP_Grid[#Data],$DD579,22),0)</f>
        <v/>
      </c>
      <c r="Y579">
        <f>IFERROR(INDEX(PP_Grid[#Data],$DD579,23),0)</f>
        <v/>
      </c>
      <c r="Z579">
        <f>IFERROR(INDEX(PP_Grid[#Data],$DD579,24),0)</f>
        <v/>
      </c>
      <c r="AA579">
        <f>IFERROR(INDEX(PP_Grid[#Data],$DD579,25),0)</f>
        <v/>
      </c>
      <c r="AB579">
        <f>IFERROR(INDEX(PP_Grid[#Data],$DD579,26),0)</f>
        <v/>
      </c>
      <c r="AC579">
        <f>IFERROR(INDEX(PP_Grid[#Data],$DD579,27),0)</f>
        <v/>
      </c>
      <c r="AD579">
        <f>IFERROR(INDEX(PP_Grid[#Data],$DD579,28),0)</f>
        <v/>
      </c>
      <c r="AE579">
        <f>IFERROR(INDEX(PP_Grid[#Data],$DD579,29),0)</f>
        <v/>
      </c>
      <c r="AF579">
        <f>IFERROR(INDEX(PP_Grid[#Data],$DD579,30),0)</f>
        <v/>
      </c>
      <c r="AG579">
        <f>IFERROR(INDEX(PP_Grid[#Data],$DD579,31),0)</f>
        <v/>
      </c>
      <c r="AH579">
        <f>IFERROR(INDEX(PP_Grid[#Data],$DD579,32),0)</f>
        <v/>
      </c>
      <c r="AI579">
        <f>IFERROR(INDEX(PP_Grid[#Data],$DD579,33),0)</f>
        <v/>
      </c>
      <c r="AJ579">
        <f>IFERROR(INDEX(PP_Grid[#Data],$DD579,34),0)</f>
        <v/>
      </c>
      <c r="AK579">
        <f>IFERROR(INDEX(PP_Grid[#Data],$DD579,35),0)</f>
        <v/>
      </c>
      <c r="AL579">
        <f>IFERROR(INDEX(PP_Grid[#Data],$DD579,36),0)</f>
        <v/>
      </c>
      <c r="AM579">
        <f>IFERROR(INDEX(PP_Grid[#Data],$DD579,37),0)</f>
        <v/>
      </c>
      <c r="AN579">
        <f>IFERROR(INDEX(PP_Grid[#Data],$DD579,38),0)</f>
        <v/>
      </c>
      <c r="AO579">
        <f>IFERROR(INDEX(PP_Grid[#Data],$DD579,39),0)</f>
        <v/>
      </c>
      <c r="AP579">
        <f>IFERROR(INDEX(PP_Grid[#Data],$DD579,40),0)</f>
        <v/>
      </c>
      <c r="AQ579">
        <f>IFERROR(INDEX(PP_Grid[#Data],$DD579,41),0)</f>
        <v/>
      </c>
      <c r="AR579">
        <f>IFERROR(INDEX(PP_Grid[#Data],$DD579,42),0)</f>
        <v/>
      </c>
      <c r="AS579">
        <f>IFERROR(INDEX(PP_Grid[#Data],$DD579,43),0)</f>
        <v/>
      </c>
      <c r="AT579">
        <f>IFERROR(INDEX(PP_Grid[#Data],$DD579,44),0)</f>
        <v/>
      </c>
      <c r="AU579">
        <f>IFERROR(INDEX(PP_Grid[#Data],$DD579,45),0)</f>
        <v/>
      </c>
      <c r="AV579">
        <f>IFERROR(INDEX(PP_Grid[#Data],$DD579,46),0)</f>
        <v/>
      </c>
      <c r="AW579">
        <f>IFERROR(INDEX(PP_Grid[#Data],$DD579,47),0)</f>
        <v/>
      </c>
      <c r="AX579">
        <f>IFERROR(INDEX(PP_Grid[#Data],$DD579,48),0)</f>
        <v/>
      </c>
      <c r="AY579">
        <f>IFERROR(INDEX(PP_Grid[#Data],$DD579,49),0)</f>
        <v/>
      </c>
      <c r="AZ579">
        <f>IFERROR(INDEX(PP_Grid[#Data],$DD579,50),0)</f>
        <v/>
      </c>
      <c r="BA579">
        <f>IFERROR(INDEX(PP_Grid[#Data],$DD579,51),0)</f>
        <v/>
      </c>
      <c r="BB579">
        <f>IFERROR(INDEX(PP_Grid[#Data],$DD579,52),0)</f>
        <v/>
      </c>
      <c r="BC579">
        <f>IFERROR(INDEX(PP_Grid[#Data],$DD579,53),0)</f>
        <v/>
      </c>
      <c r="BD579">
        <f>IFERROR(INDEX(PP_Grid[#Data],$DD579,54),0)</f>
        <v/>
      </c>
      <c r="BE579">
        <f>IFERROR(INDEX(PP_Grid[#Data],$DD579,55),0)</f>
        <v/>
      </c>
      <c r="BF579">
        <f>IFERROR(INDEX(PP_Grid[#Data],$DD579,56),0)</f>
        <v/>
      </c>
      <c r="BG579">
        <f>IFERROR(INDEX(PP_Grid[#Data],$DD579,57),0)</f>
        <v/>
      </c>
      <c r="BH579">
        <f>IFERROR(INDEX(PP_Grid[#Data],$DD579,58),0)</f>
        <v/>
      </c>
      <c r="BI579">
        <f>IFERROR(INDEX(PP_Grid[#Data],$DD579,59),0)</f>
        <v/>
      </c>
      <c r="BJ579">
        <f>IFERROR(INDEX(PP_Grid[#Data],$DD579,60),0)</f>
        <v/>
      </c>
      <c r="BK579">
        <f>IFERROR(INDEX(PP_Grid[#Data],$DD579,61),0)</f>
        <v/>
      </c>
      <c r="BL579">
        <f>IFERROR(INDEX(PP_Grid[#Data],$DD579,62),0)</f>
        <v/>
      </c>
      <c r="BM579">
        <f>IFERROR(INDEX(PP_Grid[#Data],$DD579,63),0)</f>
        <v/>
      </c>
      <c r="BN579">
        <f>IFERROR(INDEX(PP_Grid[#Data],$DD579,64),0)</f>
        <v/>
      </c>
      <c r="BO579">
        <f>IFERROR(INDEX(PP_Grid[#Data],$DD579,65),0)</f>
        <v/>
      </c>
      <c r="BP579">
        <f>IFERROR(INDEX(PP_Grid[#Data],$DD579,66),0)</f>
        <v/>
      </c>
      <c r="BQ579">
        <f>IFERROR(INDEX(PP_Grid[#Data],$DD579,67),0)</f>
        <v/>
      </c>
      <c r="BR579">
        <f>IFERROR(INDEX(PP_Grid[#Data],$DD579,68),0)</f>
        <v/>
      </c>
      <c r="BS579">
        <f>IFERROR(INDEX(PP_Grid[#Data],$DD579,69),0)</f>
        <v/>
      </c>
      <c r="BT579">
        <f>IFERROR(INDEX(PP_Grid[#Data],$DD579,70),0)</f>
        <v/>
      </c>
      <c r="BU579">
        <f>IFERROR(INDEX(PP_Grid[#Data],$DD579,71),0)</f>
        <v/>
      </c>
      <c r="BV579">
        <f>IFERROR(INDEX(PP_Grid[#Data],$DD579,72),0)</f>
        <v/>
      </c>
      <c r="BW579">
        <f>IFERROR(INDEX(PP_Grid[#Data],$DD579,73),0)</f>
        <v/>
      </c>
      <c r="BX579">
        <f>IFERROR(INDEX(PP_Grid[#Data],$DD579,74),0)</f>
        <v/>
      </c>
      <c r="BY579">
        <f>IFERROR(INDEX(PP_Grid[#Data],$DD579,75),0)</f>
        <v/>
      </c>
      <c r="BZ579">
        <f>IFERROR(INDEX(PP_Grid[#Data],$DD579,76),0)</f>
        <v/>
      </c>
      <c r="CA579">
        <f>IFERROR(INDEX(PP_Grid[#Data],$DD579,77),0)</f>
        <v/>
      </c>
      <c r="CB579">
        <f>IFERROR(INDEX(PP_Grid[#Data],$DD579,78),0)</f>
        <v/>
      </c>
      <c r="CC579">
        <f>IFERROR(INDEX(PP_Grid[#Data],$DD579,79),0)</f>
        <v/>
      </c>
      <c r="CD579">
        <f>IFERROR(INDEX(PP_Grid[#Data],$DD579,80),0)</f>
        <v/>
      </c>
      <c r="CE579">
        <f>IFERROR(INDEX(PP_Grid[#Data],$DD579,81),0)</f>
        <v/>
      </c>
      <c r="CF579">
        <f>IFERROR(INDEX(PP_Grid[#Data],$DD579,82),0)</f>
        <v/>
      </c>
      <c r="CG579">
        <f>IFERROR(INDEX(PP_Grid[#Data],$DD579,83),0)</f>
        <v/>
      </c>
      <c r="CH579">
        <f>IFERROR(INDEX(PP_Grid[#Data],$DD579,84),0)</f>
        <v/>
      </c>
      <c r="CI579">
        <f>IFERROR(INDEX(PP_Grid[#Data],$DD579,85),0)</f>
        <v/>
      </c>
      <c r="CJ579">
        <f>IFERROR(INDEX(PP_Grid[#Data],$DD579,86),0)</f>
        <v/>
      </c>
      <c r="CK579">
        <f>IFERROR(INDEX(PP_Grid[#Data],$DD579,87),0)</f>
        <v/>
      </c>
      <c r="CL579">
        <f>IFERROR(INDEX(PP_Grid[#Data],$DD579,88),0)</f>
        <v/>
      </c>
      <c r="CM579">
        <f>IFERROR(INDEX(PP_Grid[#Data],$DD579,89),0)</f>
        <v/>
      </c>
      <c r="CN579">
        <f>IFERROR(INDEX(PP_Grid[#Data],$DD579,90),0)</f>
        <v/>
      </c>
      <c r="CO579">
        <f>IFERROR(INDEX(PP_Grid[#Data],$DD579,91),0)</f>
        <v/>
      </c>
      <c r="CP579">
        <f>IFERROR(INDEX(PP_Grid[#Data],$DD579,92),0)</f>
        <v/>
      </c>
      <c r="CQ579">
        <f>IFERROR(INDEX(PP_Grid[#Data],$DD579,93),0)</f>
        <v/>
      </c>
      <c r="CR579">
        <f>IFERROR(INDEX(PP_Grid[#Data],$DD579,94),0)</f>
        <v/>
      </c>
      <c r="CS579">
        <f>IFERROR(INDEX(PP_Grid[#Data],$DD579,95),0)</f>
        <v/>
      </c>
      <c r="CT579">
        <f>IFERROR(INDEX(PP_Grid[#Data],$DD579,96),0)</f>
        <v/>
      </c>
      <c r="CU579">
        <f>IFERROR(INDEX(PP_Grid[#Data],$DD579,97),0)</f>
        <v/>
      </c>
      <c r="CV579">
        <f>IFERROR(INDEX(PP_Grid[#Data],$DD579,98),0)</f>
        <v/>
      </c>
      <c r="CW579">
        <f>IFERROR(INDEX(PP_Grid[#Data],$DD579,99),0)</f>
        <v/>
      </c>
      <c r="CX579">
        <f>IFERROR(INDEX(PP_Grid[#Data],$DD579,100),0)</f>
        <v/>
      </c>
      <c r="CY579">
        <f>IFERROR(INDEX(PP_Grid[#Data],$DD579,101),0)</f>
        <v/>
      </c>
      <c r="CZ579">
        <f>IFERROR(INDEX(PP_Grid[#Data],$DD579,102),0)</f>
        <v/>
      </c>
      <c r="DA579">
        <f>IFERROR(INDEX(PP_Grid[#Data],$DD579,103),0)</f>
        <v/>
      </c>
      <c r="DB579">
        <f>IFERROR(INDEX(PP_Grid[#Data],$DD579,104),0)</f>
        <v/>
      </c>
      <c r="DC579">
        <f>IFERROR(INDEX(PP_Grid[#Data],$DD579,105),0)</f>
        <v/>
      </c>
      <c r="DD579" s="12">
        <f>IFERROR(MATCH($B579,PP_Grid[Intermediate],0),99999)</f>
        <v/>
      </c>
    </row>
    <row r="580">
      <c r="B580" t="inlineStr">
        <is>
          <t>使用量(kg)</t>
        </is>
      </c>
      <c r="C580">
        <f>SUMIFS(M_BOM[RM_Qty_Per_Batch],M_BOM[Intermediate],$B579,M_BOM[Part Name],$A518)</f>
        <v/>
      </c>
      <c r="D580">
        <f>$C580*D579</f>
        <v/>
      </c>
      <c r="E580">
        <f>$C580*E579</f>
        <v/>
      </c>
      <c r="F580">
        <f>$C580*F579</f>
        <v/>
      </c>
      <c r="G580">
        <f>$C580*G579</f>
        <v/>
      </c>
      <c r="H580">
        <f>$C580*H579</f>
        <v/>
      </c>
      <c r="I580">
        <f>$C580*I579</f>
        <v/>
      </c>
      <c r="J580">
        <f>$C580*J579</f>
        <v/>
      </c>
      <c r="K580">
        <f>$C580*K579</f>
        <v/>
      </c>
      <c r="L580">
        <f>$C580*L579</f>
        <v/>
      </c>
      <c r="M580">
        <f>$C580*M579</f>
        <v/>
      </c>
      <c r="N580">
        <f>$C580*N579</f>
        <v/>
      </c>
      <c r="O580">
        <f>$C580*O579</f>
        <v/>
      </c>
      <c r="P580">
        <f>$C580*P579</f>
        <v/>
      </c>
      <c r="Q580">
        <f>$C580*Q579</f>
        <v/>
      </c>
      <c r="R580">
        <f>$C580*R579</f>
        <v/>
      </c>
      <c r="S580">
        <f>$C580*S579</f>
        <v/>
      </c>
      <c r="T580">
        <f>$C580*T579</f>
        <v/>
      </c>
      <c r="U580">
        <f>$C580*U579</f>
        <v/>
      </c>
      <c r="V580">
        <f>$C580*V579</f>
        <v/>
      </c>
      <c r="W580">
        <f>$C580*W579</f>
        <v/>
      </c>
      <c r="X580">
        <f>$C580*X579</f>
        <v/>
      </c>
      <c r="Y580">
        <f>$C580*Y579</f>
        <v/>
      </c>
      <c r="Z580">
        <f>$C580*Z579</f>
        <v/>
      </c>
      <c r="AA580">
        <f>$C580*AA579</f>
        <v/>
      </c>
      <c r="AB580">
        <f>$C580*AB579</f>
        <v/>
      </c>
      <c r="AC580">
        <f>$C580*AC579</f>
        <v/>
      </c>
      <c r="AD580">
        <f>$C580*AD579</f>
        <v/>
      </c>
      <c r="AE580">
        <f>$C580*AE579</f>
        <v/>
      </c>
      <c r="AF580">
        <f>$C580*AF579</f>
        <v/>
      </c>
      <c r="AG580">
        <f>$C580*AG579</f>
        <v/>
      </c>
      <c r="AH580">
        <f>$C580*AH579</f>
        <v/>
      </c>
      <c r="AI580">
        <f>$C580*AI579</f>
        <v/>
      </c>
      <c r="AJ580">
        <f>$C580*AJ579</f>
        <v/>
      </c>
      <c r="AK580">
        <f>$C580*AK579</f>
        <v/>
      </c>
      <c r="AL580">
        <f>$C580*AL579</f>
        <v/>
      </c>
      <c r="AM580">
        <f>$C580*AM579</f>
        <v/>
      </c>
      <c r="AN580">
        <f>$C580*AN579</f>
        <v/>
      </c>
      <c r="AO580">
        <f>$C580*AO579</f>
        <v/>
      </c>
      <c r="AP580">
        <f>$C580*AP579</f>
        <v/>
      </c>
      <c r="AQ580">
        <f>$C580*AQ579</f>
        <v/>
      </c>
      <c r="AR580">
        <f>$C580*AR579</f>
        <v/>
      </c>
      <c r="AS580">
        <f>$C580*AS579</f>
        <v/>
      </c>
      <c r="AT580">
        <f>$C580*AT579</f>
        <v/>
      </c>
      <c r="AU580">
        <f>$C580*AU579</f>
        <v/>
      </c>
      <c r="AV580">
        <f>$C580*AV579</f>
        <v/>
      </c>
      <c r="AW580">
        <f>$C580*AW579</f>
        <v/>
      </c>
      <c r="AX580">
        <f>$C580*AX579</f>
        <v/>
      </c>
      <c r="AY580">
        <f>$C580*AY579</f>
        <v/>
      </c>
      <c r="AZ580">
        <f>$C580*AZ579</f>
        <v/>
      </c>
      <c r="BA580">
        <f>$C580*BA579</f>
        <v/>
      </c>
      <c r="BB580">
        <f>$C580*BB579</f>
        <v/>
      </c>
      <c r="BC580">
        <f>$C580*BC579</f>
        <v/>
      </c>
      <c r="BD580">
        <f>$C580*BD579</f>
        <v/>
      </c>
      <c r="BE580">
        <f>$C580*BE579</f>
        <v/>
      </c>
      <c r="BF580">
        <f>$C580*BF579</f>
        <v/>
      </c>
      <c r="BG580">
        <f>$C580*BG579</f>
        <v/>
      </c>
      <c r="BH580">
        <f>$C580*BH579</f>
        <v/>
      </c>
      <c r="BI580">
        <f>$C580*BI579</f>
        <v/>
      </c>
      <c r="BJ580">
        <f>$C580*BJ579</f>
        <v/>
      </c>
      <c r="BK580">
        <f>$C580*BK579</f>
        <v/>
      </c>
      <c r="BL580">
        <f>$C580*BL579</f>
        <v/>
      </c>
      <c r="BM580">
        <f>$C580*BM579</f>
        <v/>
      </c>
      <c r="BN580">
        <f>$C580*BN579</f>
        <v/>
      </c>
      <c r="BO580">
        <f>$C580*BO579</f>
        <v/>
      </c>
      <c r="BP580">
        <f>$C580*BP579</f>
        <v/>
      </c>
      <c r="BQ580">
        <f>$C580*BQ579</f>
        <v/>
      </c>
      <c r="BR580">
        <f>$C580*BR579</f>
        <v/>
      </c>
      <c r="BS580">
        <f>$C580*BS579</f>
        <v/>
      </c>
      <c r="BT580">
        <f>$C580*BT579</f>
        <v/>
      </c>
      <c r="BU580">
        <f>$C580*BU579</f>
        <v/>
      </c>
      <c r="BV580">
        <f>$C580*BV579</f>
        <v/>
      </c>
      <c r="BW580">
        <f>$C580*BW579</f>
        <v/>
      </c>
      <c r="BX580">
        <f>$C580*BX579</f>
        <v/>
      </c>
      <c r="BY580">
        <f>$C580*BY579</f>
        <v/>
      </c>
      <c r="BZ580">
        <f>$C580*BZ579</f>
        <v/>
      </c>
      <c r="CA580">
        <f>$C580*CA579</f>
        <v/>
      </c>
      <c r="CB580">
        <f>$C580*CB579</f>
        <v/>
      </c>
      <c r="CC580">
        <f>$C580*CC579</f>
        <v/>
      </c>
      <c r="CD580">
        <f>$C580*CD579</f>
        <v/>
      </c>
      <c r="CE580">
        <f>$C580*CE579</f>
        <v/>
      </c>
      <c r="CF580">
        <f>$C580*CF579</f>
        <v/>
      </c>
      <c r="CG580">
        <f>$C580*CG579</f>
        <v/>
      </c>
      <c r="CH580">
        <f>$C580*CH579</f>
        <v/>
      </c>
      <c r="CI580">
        <f>$C580*CI579</f>
        <v/>
      </c>
      <c r="CJ580">
        <f>$C580*CJ579</f>
        <v/>
      </c>
      <c r="CK580">
        <f>$C580*CK579</f>
        <v/>
      </c>
      <c r="CL580">
        <f>$C580*CL579</f>
        <v/>
      </c>
      <c r="CM580">
        <f>$C580*CM579</f>
        <v/>
      </c>
      <c r="CN580">
        <f>$C580*CN579</f>
        <v/>
      </c>
      <c r="CO580">
        <f>$C580*CO579</f>
        <v/>
      </c>
      <c r="CP580">
        <f>$C580*CP579</f>
        <v/>
      </c>
      <c r="CQ580">
        <f>$C580*CQ579</f>
        <v/>
      </c>
      <c r="CR580">
        <f>$C580*CR579</f>
        <v/>
      </c>
      <c r="CS580">
        <f>$C580*CS579</f>
        <v/>
      </c>
      <c r="CT580">
        <f>$C580*CT579</f>
        <v/>
      </c>
      <c r="CU580">
        <f>$C580*CU579</f>
        <v/>
      </c>
      <c r="CV580">
        <f>$C580*CV579</f>
        <v/>
      </c>
      <c r="CW580">
        <f>$C580*CW579</f>
        <v/>
      </c>
      <c r="CX580">
        <f>$C580*CX579</f>
        <v/>
      </c>
      <c r="CY580">
        <f>$C580*CY579</f>
        <v/>
      </c>
      <c r="CZ580">
        <f>$C580*CZ579</f>
        <v/>
      </c>
      <c r="DA580">
        <f>$C580*DA579</f>
        <v/>
      </c>
      <c r="DB580">
        <f>$C580*DB579</f>
        <v/>
      </c>
      <c r="DC580">
        <f>$C580*DC579</f>
        <v/>
      </c>
    </row>
    <row r="581">
      <c r="B581" t="inlineStr">
        <is>
          <t>VSP-602</t>
        </is>
      </c>
      <c r="C581" t="inlineStr">
        <is>
          <t>No. of batches</t>
        </is>
      </c>
      <c r="D581">
        <f>IFERROR(INDEX(PP_Grid[#Data],$DD581,2),0)</f>
        <v/>
      </c>
      <c r="E581">
        <f>IFERROR(INDEX(PP_Grid[#Data],$DD581,3),0)</f>
        <v/>
      </c>
      <c r="F581">
        <f>IFERROR(INDEX(PP_Grid[#Data],$DD581,4),0)</f>
        <v/>
      </c>
      <c r="G581">
        <f>IFERROR(INDEX(PP_Grid[#Data],$DD581,5),0)</f>
        <v/>
      </c>
      <c r="H581">
        <f>IFERROR(INDEX(PP_Grid[#Data],$DD581,6),0)</f>
        <v/>
      </c>
      <c r="I581">
        <f>IFERROR(INDEX(PP_Grid[#Data],$DD581,7),0)</f>
        <v/>
      </c>
      <c r="J581">
        <f>IFERROR(INDEX(PP_Grid[#Data],$DD581,8),0)</f>
        <v/>
      </c>
      <c r="K581">
        <f>IFERROR(INDEX(PP_Grid[#Data],$DD581,9),0)</f>
        <v/>
      </c>
      <c r="L581">
        <f>IFERROR(INDEX(PP_Grid[#Data],$DD581,10),0)</f>
        <v/>
      </c>
      <c r="M581">
        <f>IFERROR(INDEX(PP_Grid[#Data],$DD581,11),0)</f>
        <v/>
      </c>
      <c r="N581">
        <f>IFERROR(INDEX(PP_Grid[#Data],$DD581,12),0)</f>
        <v/>
      </c>
      <c r="O581">
        <f>IFERROR(INDEX(PP_Grid[#Data],$DD581,13),0)</f>
        <v/>
      </c>
      <c r="P581">
        <f>IFERROR(INDEX(PP_Grid[#Data],$DD581,14),0)</f>
        <v/>
      </c>
      <c r="Q581">
        <f>IFERROR(INDEX(PP_Grid[#Data],$DD581,15),0)</f>
        <v/>
      </c>
      <c r="R581">
        <f>IFERROR(INDEX(PP_Grid[#Data],$DD581,16),0)</f>
        <v/>
      </c>
      <c r="S581">
        <f>IFERROR(INDEX(PP_Grid[#Data],$DD581,17),0)</f>
        <v/>
      </c>
      <c r="T581">
        <f>IFERROR(INDEX(PP_Grid[#Data],$DD581,18),0)</f>
        <v/>
      </c>
      <c r="U581">
        <f>IFERROR(INDEX(PP_Grid[#Data],$DD581,19),0)</f>
        <v/>
      </c>
      <c r="V581">
        <f>IFERROR(INDEX(PP_Grid[#Data],$DD581,20),0)</f>
        <v/>
      </c>
      <c r="W581">
        <f>IFERROR(INDEX(PP_Grid[#Data],$DD581,21),0)</f>
        <v/>
      </c>
      <c r="X581">
        <f>IFERROR(INDEX(PP_Grid[#Data],$DD581,22),0)</f>
        <v/>
      </c>
      <c r="Y581">
        <f>IFERROR(INDEX(PP_Grid[#Data],$DD581,23),0)</f>
        <v/>
      </c>
      <c r="Z581">
        <f>IFERROR(INDEX(PP_Grid[#Data],$DD581,24),0)</f>
        <v/>
      </c>
      <c r="AA581">
        <f>IFERROR(INDEX(PP_Grid[#Data],$DD581,25),0)</f>
        <v/>
      </c>
      <c r="AB581">
        <f>IFERROR(INDEX(PP_Grid[#Data],$DD581,26),0)</f>
        <v/>
      </c>
      <c r="AC581">
        <f>IFERROR(INDEX(PP_Grid[#Data],$DD581,27),0)</f>
        <v/>
      </c>
      <c r="AD581">
        <f>IFERROR(INDEX(PP_Grid[#Data],$DD581,28),0)</f>
        <v/>
      </c>
      <c r="AE581">
        <f>IFERROR(INDEX(PP_Grid[#Data],$DD581,29),0)</f>
        <v/>
      </c>
      <c r="AF581">
        <f>IFERROR(INDEX(PP_Grid[#Data],$DD581,30),0)</f>
        <v/>
      </c>
      <c r="AG581">
        <f>IFERROR(INDEX(PP_Grid[#Data],$DD581,31),0)</f>
        <v/>
      </c>
      <c r="AH581">
        <f>IFERROR(INDEX(PP_Grid[#Data],$DD581,32),0)</f>
        <v/>
      </c>
      <c r="AI581">
        <f>IFERROR(INDEX(PP_Grid[#Data],$DD581,33),0)</f>
        <v/>
      </c>
      <c r="AJ581">
        <f>IFERROR(INDEX(PP_Grid[#Data],$DD581,34),0)</f>
        <v/>
      </c>
      <c r="AK581">
        <f>IFERROR(INDEX(PP_Grid[#Data],$DD581,35),0)</f>
        <v/>
      </c>
      <c r="AL581">
        <f>IFERROR(INDEX(PP_Grid[#Data],$DD581,36),0)</f>
        <v/>
      </c>
      <c r="AM581">
        <f>IFERROR(INDEX(PP_Grid[#Data],$DD581,37),0)</f>
        <v/>
      </c>
      <c r="AN581">
        <f>IFERROR(INDEX(PP_Grid[#Data],$DD581,38),0)</f>
        <v/>
      </c>
      <c r="AO581">
        <f>IFERROR(INDEX(PP_Grid[#Data],$DD581,39),0)</f>
        <v/>
      </c>
      <c r="AP581">
        <f>IFERROR(INDEX(PP_Grid[#Data],$DD581,40),0)</f>
        <v/>
      </c>
      <c r="AQ581">
        <f>IFERROR(INDEX(PP_Grid[#Data],$DD581,41),0)</f>
        <v/>
      </c>
      <c r="AR581">
        <f>IFERROR(INDEX(PP_Grid[#Data],$DD581,42),0)</f>
        <v/>
      </c>
      <c r="AS581">
        <f>IFERROR(INDEX(PP_Grid[#Data],$DD581,43),0)</f>
        <v/>
      </c>
      <c r="AT581">
        <f>IFERROR(INDEX(PP_Grid[#Data],$DD581,44),0)</f>
        <v/>
      </c>
      <c r="AU581">
        <f>IFERROR(INDEX(PP_Grid[#Data],$DD581,45),0)</f>
        <v/>
      </c>
      <c r="AV581">
        <f>IFERROR(INDEX(PP_Grid[#Data],$DD581,46),0)</f>
        <v/>
      </c>
      <c r="AW581">
        <f>IFERROR(INDEX(PP_Grid[#Data],$DD581,47),0)</f>
        <v/>
      </c>
      <c r="AX581">
        <f>IFERROR(INDEX(PP_Grid[#Data],$DD581,48),0)</f>
        <v/>
      </c>
      <c r="AY581">
        <f>IFERROR(INDEX(PP_Grid[#Data],$DD581,49),0)</f>
        <v/>
      </c>
      <c r="AZ581">
        <f>IFERROR(INDEX(PP_Grid[#Data],$DD581,50),0)</f>
        <v/>
      </c>
      <c r="BA581">
        <f>IFERROR(INDEX(PP_Grid[#Data],$DD581,51),0)</f>
        <v/>
      </c>
      <c r="BB581">
        <f>IFERROR(INDEX(PP_Grid[#Data],$DD581,52),0)</f>
        <v/>
      </c>
      <c r="BC581">
        <f>IFERROR(INDEX(PP_Grid[#Data],$DD581,53),0)</f>
        <v/>
      </c>
      <c r="BD581">
        <f>IFERROR(INDEX(PP_Grid[#Data],$DD581,54),0)</f>
        <v/>
      </c>
      <c r="BE581">
        <f>IFERROR(INDEX(PP_Grid[#Data],$DD581,55),0)</f>
        <v/>
      </c>
      <c r="BF581">
        <f>IFERROR(INDEX(PP_Grid[#Data],$DD581,56),0)</f>
        <v/>
      </c>
      <c r="BG581">
        <f>IFERROR(INDEX(PP_Grid[#Data],$DD581,57),0)</f>
        <v/>
      </c>
      <c r="BH581">
        <f>IFERROR(INDEX(PP_Grid[#Data],$DD581,58),0)</f>
        <v/>
      </c>
      <c r="BI581">
        <f>IFERROR(INDEX(PP_Grid[#Data],$DD581,59),0)</f>
        <v/>
      </c>
      <c r="BJ581">
        <f>IFERROR(INDEX(PP_Grid[#Data],$DD581,60),0)</f>
        <v/>
      </c>
      <c r="BK581">
        <f>IFERROR(INDEX(PP_Grid[#Data],$DD581,61),0)</f>
        <v/>
      </c>
      <c r="BL581">
        <f>IFERROR(INDEX(PP_Grid[#Data],$DD581,62),0)</f>
        <v/>
      </c>
      <c r="BM581">
        <f>IFERROR(INDEX(PP_Grid[#Data],$DD581,63),0)</f>
        <v/>
      </c>
      <c r="BN581">
        <f>IFERROR(INDEX(PP_Grid[#Data],$DD581,64),0)</f>
        <v/>
      </c>
      <c r="BO581">
        <f>IFERROR(INDEX(PP_Grid[#Data],$DD581,65),0)</f>
        <v/>
      </c>
      <c r="BP581">
        <f>IFERROR(INDEX(PP_Grid[#Data],$DD581,66),0)</f>
        <v/>
      </c>
      <c r="BQ581">
        <f>IFERROR(INDEX(PP_Grid[#Data],$DD581,67),0)</f>
        <v/>
      </c>
      <c r="BR581">
        <f>IFERROR(INDEX(PP_Grid[#Data],$DD581,68),0)</f>
        <v/>
      </c>
      <c r="BS581">
        <f>IFERROR(INDEX(PP_Grid[#Data],$DD581,69),0)</f>
        <v/>
      </c>
      <c r="BT581">
        <f>IFERROR(INDEX(PP_Grid[#Data],$DD581,70),0)</f>
        <v/>
      </c>
      <c r="BU581">
        <f>IFERROR(INDEX(PP_Grid[#Data],$DD581,71),0)</f>
        <v/>
      </c>
      <c r="BV581">
        <f>IFERROR(INDEX(PP_Grid[#Data],$DD581,72),0)</f>
        <v/>
      </c>
      <c r="BW581">
        <f>IFERROR(INDEX(PP_Grid[#Data],$DD581,73),0)</f>
        <v/>
      </c>
      <c r="BX581">
        <f>IFERROR(INDEX(PP_Grid[#Data],$DD581,74),0)</f>
        <v/>
      </c>
      <c r="BY581">
        <f>IFERROR(INDEX(PP_Grid[#Data],$DD581,75),0)</f>
        <v/>
      </c>
      <c r="BZ581">
        <f>IFERROR(INDEX(PP_Grid[#Data],$DD581,76),0)</f>
        <v/>
      </c>
      <c r="CA581">
        <f>IFERROR(INDEX(PP_Grid[#Data],$DD581,77),0)</f>
        <v/>
      </c>
      <c r="CB581">
        <f>IFERROR(INDEX(PP_Grid[#Data],$DD581,78),0)</f>
        <v/>
      </c>
      <c r="CC581">
        <f>IFERROR(INDEX(PP_Grid[#Data],$DD581,79),0)</f>
        <v/>
      </c>
      <c r="CD581">
        <f>IFERROR(INDEX(PP_Grid[#Data],$DD581,80),0)</f>
        <v/>
      </c>
      <c r="CE581">
        <f>IFERROR(INDEX(PP_Grid[#Data],$DD581,81),0)</f>
        <v/>
      </c>
      <c r="CF581">
        <f>IFERROR(INDEX(PP_Grid[#Data],$DD581,82),0)</f>
        <v/>
      </c>
      <c r="CG581">
        <f>IFERROR(INDEX(PP_Grid[#Data],$DD581,83),0)</f>
        <v/>
      </c>
      <c r="CH581">
        <f>IFERROR(INDEX(PP_Grid[#Data],$DD581,84),0)</f>
        <v/>
      </c>
      <c r="CI581">
        <f>IFERROR(INDEX(PP_Grid[#Data],$DD581,85),0)</f>
        <v/>
      </c>
      <c r="CJ581">
        <f>IFERROR(INDEX(PP_Grid[#Data],$DD581,86),0)</f>
        <v/>
      </c>
      <c r="CK581">
        <f>IFERROR(INDEX(PP_Grid[#Data],$DD581,87),0)</f>
        <v/>
      </c>
      <c r="CL581">
        <f>IFERROR(INDEX(PP_Grid[#Data],$DD581,88),0)</f>
        <v/>
      </c>
      <c r="CM581">
        <f>IFERROR(INDEX(PP_Grid[#Data],$DD581,89),0)</f>
        <v/>
      </c>
      <c r="CN581">
        <f>IFERROR(INDEX(PP_Grid[#Data],$DD581,90),0)</f>
        <v/>
      </c>
      <c r="CO581">
        <f>IFERROR(INDEX(PP_Grid[#Data],$DD581,91),0)</f>
        <v/>
      </c>
      <c r="CP581">
        <f>IFERROR(INDEX(PP_Grid[#Data],$DD581,92),0)</f>
        <v/>
      </c>
      <c r="CQ581">
        <f>IFERROR(INDEX(PP_Grid[#Data],$DD581,93),0)</f>
        <v/>
      </c>
      <c r="CR581">
        <f>IFERROR(INDEX(PP_Grid[#Data],$DD581,94),0)</f>
        <v/>
      </c>
      <c r="CS581">
        <f>IFERROR(INDEX(PP_Grid[#Data],$DD581,95),0)</f>
        <v/>
      </c>
      <c r="CT581">
        <f>IFERROR(INDEX(PP_Grid[#Data],$DD581,96),0)</f>
        <v/>
      </c>
      <c r="CU581">
        <f>IFERROR(INDEX(PP_Grid[#Data],$DD581,97),0)</f>
        <v/>
      </c>
      <c r="CV581">
        <f>IFERROR(INDEX(PP_Grid[#Data],$DD581,98),0)</f>
        <v/>
      </c>
      <c r="CW581">
        <f>IFERROR(INDEX(PP_Grid[#Data],$DD581,99),0)</f>
        <v/>
      </c>
      <c r="CX581">
        <f>IFERROR(INDEX(PP_Grid[#Data],$DD581,100),0)</f>
        <v/>
      </c>
      <c r="CY581">
        <f>IFERROR(INDEX(PP_Grid[#Data],$DD581,101),0)</f>
        <v/>
      </c>
      <c r="CZ581">
        <f>IFERROR(INDEX(PP_Grid[#Data],$DD581,102),0)</f>
        <v/>
      </c>
      <c r="DA581">
        <f>IFERROR(INDEX(PP_Grid[#Data],$DD581,103),0)</f>
        <v/>
      </c>
      <c r="DB581">
        <f>IFERROR(INDEX(PP_Grid[#Data],$DD581,104),0)</f>
        <v/>
      </c>
      <c r="DC581">
        <f>IFERROR(INDEX(PP_Grid[#Data],$DD581,105),0)</f>
        <v/>
      </c>
      <c r="DD581" s="12">
        <f>IFERROR(MATCH($B581,PP_Grid[Intermediate],0),99999)</f>
        <v/>
      </c>
    </row>
    <row r="582">
      <c r="B582" t="inlineStr">
        <is>
          <t>使用量(kg)</t>
        </is>
      </c>
      <c r="C582">
        <f>SUMIFS(M_BOM[RM_Qty_Per_Batch],M_BOM[Intermediate],$B581,M_BOM[Part Name],$A518)</f>
        <v/>
      </c>
      <c r="D582">
        <f>$C582*D581</f>
        <v/>
      </c>
      <c r="E582">
        <f>$C582*E581</f>
        <v/>
      </c>
      <c r="F582">
        <f>$C582*F581</f>
        <v/>
      </c>
      <c r="G582">
        <f>$C582*G581</f>
        <v/>
      </c>
      <c r="H582">
        <f>$C582*H581</f>
        <v/>
      </c>
      <c r="I582">
        <f>$C582*I581</f>
        <v/>
      </c>
      <c r="J582">
        <f>$C582*J581</f>
        <v/>
      </c>
      <c r="K582">
        <f>$C582*K581</f>
        <v/>
      </c>
      <c r="L582">
        <f>$C582*L581</f>
        <v/>
      </c>
      <c r="M582">
        <f>$C582*M581</f>
        <v/>
      </c>
      <c r="N582">
        <f>$C582*N581</f>
        <v/>
      </c>
      <c r="O582">
        <f>$C582*O581</f>
        <v/>
      </c>
      <c r="P582">
        <f>$C582*P581</f>
        <v/>
      </c>
      <c r="Q582">
        <f>$C582*Q581</f>
        <v/>
      </c>
      <c r="R582">
        <f>$C582*R581</f>
        <v/>
      </c>
      <c r="S582">
        <f>$C582*S581</f>
        <v/>
      </c>
      <c r="T582">
        <f>$C582*T581</f>
        <v/>
      </c>
      <c r="U582">
        <f>$C582*U581</f>
        <v/>
      </c>
      <c r="V582">
        <f>$C582*V581</f>
        <v/>
      </c>
      <c r="W582">
        <f>$C582*W581</f>
        <v/>
      </c>
      <c r="X582">
        <f>$C582*X581</f>
        <v/>
      </c>
      <c r="Y582">
        <f>$C582*Y581</f>
        <v/>
      </c>
      <c r="Z582">
        <f>$C582*Z581</f>
        <v/>
      </c>
      <c r="AA582">
        <f>$C582*AA581</f>
        <v/>
      </c>
      <c r="AB582">
        <f>$C582*AB581</f>
        <v/>
      </c>
      <c r="AC582">
        <f>$C582*AC581</f>
        <v/>
      </c>
      <c r="AD582">
        <f>$C582*AD581</f>
        <v/>
      </c>
      <c r="AE582">
        <f>$C582*AE581</f>
        <v/>
      </c>
      <c r="AF582">
        <f>$C582*AF581</f>
        <v/>
      </c>
      <c r="AG582">
        <f>$C582*AG581</f>
        <v/>
      </c>
      <c r="AH582">
        <f>$C582*AH581</f>
        <v/>
      </c>
      <c r="AI582">
        <f>$C582*AI581</f>
        <v/>
      </c>
      <c r="AJ582">
        <f>$C582*AJ581</f>
        <v/>
      </c>
      <c r="AK582">
        <f>$C582*AK581</f>
        <v/>
      </c>
      <c r="AL582">
        <f>$C582*AL581</f>
        <v/>
      </c>
      <c r="AM582">
        <f>$C582*AM581</f>
        <v/>
      </c>
      <c r="AN582">
        <f>$C582*AN581</f>
        <v/>
      </c>
      <c r="AO582">
        <f>$C582*AO581</f>
        <v/>
      </c>
      <c r="AP582">
        <f>$C582*AP581</f>
        <v/>
      </c>
      <c r="AQ582">
        <f>$C582*AQ581</f>
        <v/>
      </c>
      <c r="AR582">
        <f>$C582*AR581</f>
        <v/>
      </c>
      <c r="AS582">
        <f>$C582*AS581</f>
        <v/>
      </c>
      <c r="AT582">
        <f>$C582*AT581</f>
        <v/>
      </c>
      <c r="AU582">
        <f>$C582*AU581</f>
        <v/>
      </c>
      <c r="AV582">
        <f>$C582*AV581</f>
        <v/>
      </c>
      <c r="AW582">
        <f>$C582*AW581</f>
        <v/>
      </c>
      <c r="AX582">
        <f>$C582*AX581</f>
        <v/>
      </c>
      <c r="AY582">
        <f>$C582*AY581</f>
        <v/>
      </c>
      <c r="AZ582">
        <f>$C582*AZ581</f>
        <v/>
      </c>
      <c r="BA582">
        <f>$C582*BA581</f>
        <v/>
      </c>
      <c r="BB582">
        <f>$C582*BB581</f>
        <v/>
      </c>
      <c r="BC582">
        <f>$C582*BC581</f>
        <v/>
      </c>
      <c r="BD582">
        <f>$C582*BD581</f>
        <v/>
      </c>
      <c r="BE582">
        <f>$C582*BE581</f>
        <v/>
      </c>
      <c r="BF582">
        <f>$C582*BF581</f>
        <v/>
      </c>
      <c r="BG582">
        <f>$C582*BG581</f>
        <v/>
      </c>
      <c r="BH582">
        <f>$C582*BH581</f>
        <v/>
      </c>
      <c r="BI582">
        <f>$C582*BI581</f>
        <v/>
      </c>
      <c r="BJ582">
        <f>$C582*BJ581</f>
        <v/>
      </c>
      <c r="BK582">
        <f>$C582*BK581</f>
        <v/>
      </c>
      <c r="BL582">
        <f>$C582*BL581</f>
        <v/>
      </c>
      <c r="BM582">
        <f>$C582*BM581</f>
        <v/>
      </c>
      <c r="BN582">
        <f>$C582*BN581</f>
        <v/>
      </c>
      <c r="BO582">
        <f>$C582*BO581</f>
        <v/>
      </c>
      <c r="BP582">
        <f>$C582*BP581</f>
        <v/>
      </c>
      <c r="BQ582">
        <f>$C582*BQ581</f>
        <v/>
      </c>
      <c r="BR582">
        <f>$C582*BR581</f>
        <v/>
      </c>
      <c r="BS582">
        <f>$C582*BS581</f>
        <v/>
      </c>
      <c r="BT582">
        <f>$C582*BT581</f>
        <v/>
      </c>
      <c r="BU582">
        <f>$C582*BU581</f>
        <v/>
      </c>
      <c r="BV582">
        <f>$C582*BV581</f>
        <v/>
      </c>
      <c r="BW582">
        <f>$C582*BW581</f>
        <v/>
      </c>
      <c r="BX582">
        <f>$C582*BX581</f>
        <v/>
      </c>
      <c r="BY582">
        <f>$C582*BY581</f>
        <v/>
      </c>
      <c r="BZ582">
        <f>$C582*BZ581</f>
        <v/>
      </c>
      <c r="CA582">
        <f>$C582*CA581</f>
        <v/>
      </c>
      <c r="CB582">
        <f>$C582*CB581</f>
        <v/>
      </c>
      <c r="CC582">
        <f>$C582*CC581</f>
        <v/>
      </c>
      <c r="CD582">
        <f>$C582*CD581</f>
        <v/>
      </c>
      <c r="CE582">
        <f>$C582*CE581</f>
        <v/>
      </c>
      <c r="CF582">
        <f>$C582*CF581</f>
        <v/>
      </c>
      <c r="CG582">
        <f>$C582*CG581</f>
        <v/>
      </c>
      <c r="CH582">
        <f>$C582*CH581</f>
        <v/>
      </c>
      <c r="CI582">
        <f>$C582*CI581</f>
        <v/>
      </c>
      <c r="CJ582">
        <f>$C582*CJ581</f>
        <v/>
      </c>
      <c r="CK582">
        <f>$C582*CK581</f>
        <v/>
      </c>
      <c r="CL582">
        <f>$C582*CL581</f>
        <v/>
      </c>
      <c r="CM582">
        <f>$C582*CM581</f>
        <v/>
      </c>
      <c r="CN582">
        <f>$C582*CN581</f>
        <v/>
      </c>
      <c r="CO582">
        <f>$C582*CO581</f>
        <v/>
      </c>
      <c r="CP582">
        <f>$C582*CP581</f>
        <v/>
      </c>
      <c r="CQ582">
        <f>$C582*CQ581</f>
        <v/>
      </c>
      <c r="CR582">
        <f>$C582*CR581</f>
        <v/>
      </c>
      <c r="CS582">
        <f>$C582*CS581</f>
        <v/>
      </c>
      <c r="CT582">
        <f>$C582*CT581</f>
        <v/>
      </c>
      <c r="CU582">
        <f>$C582*CU581</f>
        <v/>
      </c>
      <c r="CV582">
        <f>$C582*CV581</f>
        <v/>
      </c>
      <c r="CW582">
        <f>$C582*CW581</f>
        <v/>
      </c>
      <c r="CX582">
        <f>$C582*CX581</f>
        <v/>
      </c>
      <c r="CY582">
        <f>$C582*CY581</f>
        <v/>
      </c>
      <c r="CZ582">
        <f>$C582*CZ581</f>
        <v/>
      </c>
      <c r="DA582">
        <f>$C582*DA581</f>
        <v/>
      </c>
      <c r="DB582">
        <f>$C582*DB581</f>
        <v/>
      </c>
      <c r="DC582">
        <f>$C582*DC581</f>
        <v/>
      </c>
    </row>
    <row r="583">
      <c r="B583" t="inlineStr">
        <is>
          <t>VSP-820</t>
        </is>
      </c>
      <c r="C583" t="inlineStr">
        <is>
          <t>No. of batches</t>
        </is>
      </c>
      <c r="D583">
        <f>IFERROR(INDEX(PP_Grid[#Data],$DD583,2),0)</f>
        <v/>
      </c>
      <c r="E583">
        <f>IFERROR(INDEX(PP_Grid[#Data],$DD583,3),0)</f>
        <v/>
      </c>
      <c r="F583">
        <f>IFERROR(INDEX(PP_Grid[#Data],$DD583,4),0)</f>
        <v/>
      </c>
      <c r="G583">
        <f>IFERROR(INDEX(PP_Grid[#Data],$DD583,5),0)</f>
        <v/>
      </c>
      <c r="H583">
        <f>IFERROR(INDEX(PP_Grid[#Data],$DD583,6),0)</f>
        <v/>
      </c>
      <c r="I583">
        <f>IFERROR(INDEX(PP_Grid[#Data],$DD583,7),0)</f>
        <v/>
      </c>
      <c r="J583">
        <f>IFERROR(INDEX(PP_Grid[#Data],$DD583,8),0)</f>
        <v/>
      </c>
      <c r="K583">
        <f>IFERROR(INDEX(PP_Grid[#Data],$DD583,9),0)</f>
        <v/>
      </c>
      <c r="L583">
        <f>IFERROR(INDEX(PP_Grid[#Data],$DD583,10),0)</f>
        <v/>
      </c>
      <c r="M583">
        <f>IFERROR(INDEX(PP_Grid[#Data],$DD583,11),0)</f>
        <v/>
      </c>
      <c r="N583">
        <f>IFERROR(INDEX(PP_Grid[#Data],$DD583,12),0)</f>
        <v/>
      </c>
      <c r="O583">
        <f>IFERROR(INDEX(PP_Grid[#Data],$DD583,13),0)</f>
        <v/>
      </c>
      <c r="P583">
        <f>IFERROR(INDEX(PP_Grid[#Data],$DD583,14),0)</f>
        <v/>
      </c>
      <c r="Q583">
        <f>IFERROR(INDEX(PP_Grid[#Data],$DD583,15),0)</f>
        <v/>
      </c>
      <c r="R583">
        <f>IFERROR(INDEX(PP_Grid[#Data],$DD583,16),0)</f>
        <v/>
      </c>
      <c r="S583">
        <f>IFERROR(INDEX(PP_Grid[#Data],$DD583,17),0)</f>
        <v/>
      </c>
      <c r="T583">
        <f>IFERROR(INDEX(PP_Grid[#Data],$DD583,18),0)</f>
        <v/>
      </c>
      <c r="U583">
        <f>IFERROR(INDEX(PP_Grid[#Data],$DD583,19),0)</f>
        <v/>
      </c>
      <c r="V583">
        <f>IFERROR(INDEX(PP_Grid[#Data],$DD583,20),0)</f>
        <v/>
      </c>
      <c r="W583">
        <f>IFERROR(INDEX(PP_Grid[#Data],$DD583,21),0)</f>
        <v/>
      </c>
      <c r="X583">
        <f>IFERROR(INDEX(PP_Grid[#Data],$DD583,22),0)</f>
        <v/>
      </c>
      <c r="Y583">
        <f>IFERROR(INDEX(PP_Grid[#Data],$DD583,23),0)</f>
        <v/>
      </c>
      <c r="Z583">
        <f>IFERROR(INDEX(PP_Grid[#Data],$DD583,24),0)</f>
        <v/>
      </c>
      <c r="AA583">
        <f>IFERROR(INDEX(PP_Grid[#Data],$DD583,25),0)</f>
        <v/>
      </c>
      <c r="AB583">
        <f>IFERROR(INDEX(PP_Grid[#Data],$DD583,26),0)</f>
        <v/>
      </c>
      <c r="AC583">
        <f>IFERROR(INDEX(PP_Grid[#Data],$DD583,27),0)</f>
        <v/>
      </c>
      <c r="AD583">
        <f>IFERROR(INDEX(PP_Grid[#Data],$DD583,28),0)</f>
        <v/>
      </c>
      <c r="AE583">
        <f>IFERROR(INDEX(PP_Grid[#Data],$DD583,29),0)</f>
        <v/>
      </c>
      <c r="AF583">
        <f>IFERROR(INDEX(PP_Grid[#Data],$DD583,30),0)</f>
        <v/>
      </c>
      <c r="AG583">
        <f>IFERROR(INDEX(PP_Grid[#Data],$DD583,31),0)</f>
        <v/>
      </c>
      <c r="AH583">
        <f>IFERROR(INDEX(PP_Grid[#Data],$DD583,32),0)</f>
        <v/>
      </c>
      <c r="AI583">
        <f>IFERROR(INDEX(PP_Grid[#Data],$DD583,33),0)</f>
        <v/>
      </c>
      <c r="AJ583">
        <f>IFERROR(INDEX(PP_Grid[#Data],$DD583,34),0)</f>
        <v/>
      </c>
      <c r="AK583">
        <f>IFERROR(INDEX(PP_Grid[#Data],$DD583,35),0)</f>
        <v/>
      </c>
      <c r="AL583">
        <f>IFERROR(INDEX(PP_Grid[#Data],$DD583,36),0)</f>
        <v/>
      </c>
      <c r="AM583">
        <f>IFERROR(INDEX(PP_Grid[#Data],$DD583,37),0)</f>
        <v/>
      </c>
      <c r="AN583">
        <f>IFERROR(INDEX(PP_Grid[#Data],$DD583,38),0)</f>
        <v/>
      </c>
      <c r="AO583">
        <f>IFERROR(INDEX(PP_Grid[#Data],$DD583,39),0)</f>
        <v/>
      </c>
      <c r="AP583">
        <f>IFERROR(INDEX(PP_Grid[#Data],$DD583,40),0)</f>
        <v/>
      </c>
      <c r="AQ583">
        <f>IFERROR(INDEX(PP_Grid[#Data],$DD583,41),0)</f>
        <v/>
      </c>
      <c r="AR583">
        <f>IFERROR(INDEX(PP_Grid[#Data],$DD583,42),0)</f>
        <v/>
      </c>
      <c r="AS583">
        <f>IFERROR(INDEX(PP_Grid[#Data],$DD583,43),0)</f>
        <v/>
      </c>
      <c r="AT583">
        <f>IFERROR(INDEX(PP_Grid[#Data],$DD583,44),0)</f>
        <v/>
      </c>
      <c r="AU583">
        <f>IFERROR(INDEX(PP_Grid[#Data],$DD583,45),0)</f>
        <v/>
      </c>
      <c r="AV583">
        <f>IFERROR(INDEX(PP_Grid[#Data],$DD583,46),0)</f>
        <v/>
      </c>
      <c r="AW583">
        <f>IFERROR(INDEX(PP_Grid[#Data],$DD583,47),0)</f>
        <v/>
      </c>
      <c r="AX583">
        <f>IFERROR(INDEX(PP_Grid[#Data],$DD583,48),0)</f>
        <v/>
      </c>
      <c r="AY583">
        <f>IFERROR(INDEX(PP_Grid[#Data],$DD583,49),0)</f>
        <v/>
      </c>
      <c r="AZ583">
        <f>IFERROR(INDEX(PP_Grid[#Data],$DD583,50),0)</f>
        <v/>
      </c>
      <c r="BA583">
        <f>IFERROR(INDEX(PP_Grid[#Data],$DD583,51),0)</f>
        <v/>
      </c>
      <c r="BB583">
        <f>IFERROR(INDEX(PP_Grid[#Data],$DD583,52),0)</f>
        <v/>
      </c>
      <c r="BC583">
        <f>IFERROR(INDEX(PP_Grid[#Data],$DD583,53),0)</f>
        <v/>
      </c>
      <c r="BD583">
        <f>IFERROR(INDEX(PP_Grid[#Data],$DD583,54),0)</f>
        <v/>
      </c>
      <c r="BE583">
        <f>IFERROR(INDEX(PP_Grid[#Data],$DD583,55),0)</f>
        <v/>
      </c>
      <c r="BF583">
        <f>IFERROR(INDEX(PP_Grid[#Data],$DD583,56),0)</f>
        <v/>
      </c>
      <c r="BG583">
        <f>IFERROR(INDEX(PP_Grid[#Data],$DD583,57),0)</f>
        <v/>
      </c>
      <c r="BH583">
        <f>IFERROR(INDEX(PP_Grid[#Data],$DD583,58),0)</f>
        <v/>
      </c>
      <c r="BI583">
        <f>IFERROR(INDEX(PP_Grid[#Data],$DD583,59),0)</f>
        <v/>
      </c>
      <c r="BJ583">
        <f>IFERROR(INDEX(PP_Grid[#Data],$DD583,60),0)</f>
        <v/>
      </c>
      <c r="BK583">
        <f>IFERROR(INDEX(PP_Grid[#Data],$DD583,61),0)</f>
        <v/>
      </c>
      <c r="BL583">
        <f>IFERROR(INDEX(PP_Grid[#Data],$DD583,62),0)</f>
        <v/>
      </c>
      <c r="BM583">
        <f>IFERROR(INDEX(PP_Grid[#Data],$DD583,63),0)</f>
        <v/>
      </c>
      <c r="BN583">
        <f>IFERROR(INDEX(PP_Grid[#Data],$DD583,64),0)</f>
        <v/>
      </c>
      <c r="BO583">
        <f>IFERROR(INDEX(PP_Grid[#Data],$DD583,65),0)</f>
        <v/>
      </c>
      <c r="BP583">
        <f>IFERROR(INDEX(PP_Grid[#Data],$DD583,66),0)</f>
        <v/>
      </c>
      <c r="BQ583">
        <f>IFERROR(INDEX(PP_Grid[#Data],$DD583,67),0)</f>
        <v/>
      </c>
      <c r="BR583">
        <f>IFERROR(INDEX(PP_Grid[#Data],$DD583,68),0)</f>
        <v/>
      </c>
      <c r="BS583">
        <f>IFERROR(INDEX(PP_Grid[#Data],$DD583,69),0)</f>
        <v/>
      </c>
      <c r="BT583">
        <f>IFERROR(INDEX(PP_Grid[#Data],$DD583,70),0)</f>
        <v/>
      </c>
      <c r="BU583">
        <f>IFERROR(INDEX(PP_Grid[#Data],$DD583,71),0)</f>
        <v/>
      </c>
      <c r="BV583">
        <f>IFERROR(INDEX(PP_Grid[#Data],$DD583,72),0)</f>
        <v/>
      </c>
      <c r="BW583">
        <f>IFERROR(INDEX(PP_Grid[#Data],$DD583,73),0)</f>
        <v/>
      </c>
      <c r="BX583">
        <f>IFERROR(INDEX(PP_Grid[#Data],$DD583,74),0)</f>
        <v/>
      </c>
      <c r="BY583">
        <f>IFERROR(INDEX(PP_Grid[#Data],$DD583,75),0)</f>
        <v/>
      </c>
      <c r="BZ583">
        <f>IFERROR(INDEX(PP_Grid[#Data],$DD583,76),0)</f>
        <v/>
      </c>
      <c r="CA583">
        <f>IFERROR(INDEX(PP_Grid[#Data],$DD583,77),0)</f>
        <v/>
      </c>
      <c r="CB583">
        <f>IFERROR(INDEX(PP_Grid[#Data],$DD583,78),0)</f>
        <v/>
      </c>
      <c r="CC583">
        <f>IFERROR(INDEX(PP_Grid[#Data],$DD583,79),0)</f>
        <v/>
      </c>
      <c r="CD583">
        <f>IFERROR(INDEX(PP_Grid[#Data],$DD583,80),0)</f>
        <v/>
      </c>
      <c r="CE583">
        <f>IFERROR(INDEX(PP_Grid[#Data],$DD583,81),0)</f>
        <v/>
      </c>
      <c r="CF583">
        <f>IFERROR(INDEX(PP_Grid[#Data],$DD583,82),0)</f>
        <v/>
      </c>
      <c r="CG583">
        <f>IFERROR(INDEX(PP_Grid[#Data],$DD583,83),0)</f>
        <v/>
      </c>
      <c r="CH583">
        <f>IFERROR(INDEX(PP_Grid[#Data],$DD583,84),0)</f>
        <v/>
      </c>
      <c r="CI583">
        <f>IFERROR(INDEX(PP_Grid[#Data],$DD583,85),0)</f>
        <v/>
      </c>
      <c r="CJ583">
        <f>IFERROR(INDEX(PP_Grid[#Data],$DD583,86),0)</f>
        <v/>
      </c>
      <c r="CK583">
        <f>IFERROR(INDEX(PP_Grid[#Data],$DD583,87),0)</f>
        <v/>
      </c>
      <c r="CL583">
        <f>IFERROR(INDEX(PP_Grid[#Data],$DD583,88),0)</f>
        <v/>
      </c>
      <c r="CM583">
        <f>IFERROR(INDEX(PP_Grid[#Data],$DD583,89),0)</f>
        <v/>
      </c>
      <c r="CN583">
        <f>IFERROR(INDEX(PP_Grid[#Data],$DD583,90),0)</f>
        <v/>
      </c>
      <c r="CO583">
        <f>IFERROR(INDEX(PP_Grid[#Data],$DD583,91),0)</f>
        <v/>
      </c>
      <c r="CP583">
        <f>IFERROR(INDEX(PP_Grid[#Data],$DD583,92),0)</f>
        <v/>
      </c>
      <c r="CQ583">
        <f>IFERROR(INDEX(PP_Grid[#Data],$DD583,93),0)</f>
        <v/>
      </c>
      <c r="CR583">
        <f>IFERROR(INDEX(PP_Grid[#Data],$DD583,94),0)</f>
        <v/>
      </c>
      <c r="CS583">
        <f>IFERROR(INDEX(PP_Grid[#Data],$DD583,95),0)</f>
        <v/>
      </c>
      <c r="CT583">
        <f>IFERROR(INDEX(PP_Grid[#Data],$DD583,96),0)</f>
        <v/>
      </c>
      <c r="CU583">
        <f>IFERROR(INDEX(PP_Grid[#Data],$DD583,97),0)</f>
        <v/>
      </c>
      <c r="CV583">
        <f>IFERROR(INDEX(PP_Grid[#Data],$DD583,98),0)</f>
        <v/>
      </c>
      <c r="CW583">
        <f>IFERROR(INDEX(PP_Grid[#Data],$DD583,99),0)</f>
        <v/>
      </c>
      <c r="CX583">
        <f>IFERROR(INDEX(PP_Grid[#Data],$DD583,100),0)</f>
        <v/>
      </c>
      <c r="CY583">
        <f>IFERROR(INDEX(PP_Grid[#Data],$DD583,101),0)</f>
        <v/>
      </c>
      <c r="CZ583">
        <f>IFERROR(INDEX(PP_Grid[#Data],$DD583,102),0)</f>
        <v/>
      </c>
      <c r="DA583">
        <f>IFERROR(INDEX(PP_Grid[#Data],$DD583,103),0)</f>
        <v/>
      </c>
      <c r="DB583">
        <f>IFERROR(INDEX(PP_Grid[#Data],$DD583,104),0)</f>
        <v/>
      </c>
      <c r="DC583">
        <f>IFERROR(INDEX(PP_Grid[#Data],$DD583,105),0)</f>
        <v/>
      </c>
      <c r="DD583" s="12">
        <f>IFERROR(MATCH($B583,PP_Grid[Intermediate],0),99999)</f>
        <v/>
      </c>
    </row>
    <row r="584">
      <c r="B584" t="inlineStr">
        <is>
          <t>使用量(kg)</t>
        </is>
      </c>
      <c r="C584">
        <f>SUMIFS(M_BOM[RM_Qty_Per_Batch],M_BOM[Intermediate],$B583,M_BOM[Part Name],$A518)</f>
        <v/>
      </c>
      <c r="D584">
        <f>$C584*D583</f>
        <v/>
      </c>
      <c r="E584">
        <f>$C584*E583</f>
        <v/>
      </c>
      <c r="F584">
        <f>$C584*F583</f>
        <v/>
      </c>
      <c r="G584">
        <f>$C584*G583</f>
        <v/>
      </c>
      <c r="H584">
        <f>$C584*H583</f>
        <v/>
      </c>
      <c r="I584">
        <f>$C584*I583</f>
        <v/>
      </c>
      <c r="J584">
        <f>$C584*J583</f>
        <v/>
      </c>
      <c r="K584">
        <f>$C584*K583</f>
        <v/>
      </c>
      <c r="L584">
        <f>$C584*L583</f>
        <v/>
      </c>
      <c r="M584">
        <f>$C584*M583</f>
        <v/>
      </c>
      <c r="N584">
        <f>$C584*N583</f>
        <v/>
      </c>
      <c r="O584">
        <f>$C584*O583</f>
        <v/>
      </c>
      <c r="P584">
        <f>$C584*P583</f>
        <v/>
      </c>
      <c r="Q584">
        <f>$C584*Q583</f>
        <v/>
      </c>
      <c r="R584">
        <f>$C584*R583</f>
        <v/>
      </c>
      <c r="S584">
        <f>$C584*S583</f>
        <v/>
      </c>
      <c r="T584">
        <f>$C584*T583</f>
        <v/>
      </c>
      <c r="U584">
        <f>$C584*U583</f>
        <v/>
      </c>
      <c r="V584">
        <f>$C584*V583</f>
        <v/>
      </c>
      <c r="W584">
        <f>$C584*W583</f>
        <v/>
      </c>
      <c r="X584">
        <f>$C584*X583</f>
        <v/>
      </c>
      <c r="Y584">
        <f>$C584*Y583</f>
        <v/>
      </c>
      <c r="Z584">
        <f>$C584*Z583</f>
        <v/>
      </c>
      <c r="AA584">
        <f>$C584*AA583</f>
        <v/>
      </c>
      <c r="AB584">
        <f>$C584*AB583</f>
        <v/>
      </c>
      <c r="AC584">
        <f>$C584*AC583</f>
        <v/>
      </c>
      <c r="AD584">
        <f>$C584*AD583</f>
        <v/>
      </c>
      <c r="AE584">
        <f>$C584*AE583</f>
        <v/>
      </c>
      <c r="AF584">
        <f>$C584*AF583</f>
        <v/>
      </c>
      <c r="AG584">
        <f>$C584*AG583</f>
        <v/>
      </c>
      <c r="AH584">
        <f>$C584*AH583</f>
        <v/>
      </c>
      <c r="AI584">
        <f>$C584*AI583</f>
        <v/>
      </c>
      <c r="AJ584">
        <f>$C584*AJ583</f>
        <v/>
      </c>
      <c r="AK584">
        <f>$C584*AK583</f>
        <v/>
      </c>
      <c r="AL584">
        <f>$C584*AL583</f>
        <v/>
      </c>
      <c r="AM584">
        <f>$C584*AM583</f>
        <v/>
      </c>
      <c r="AN584">
        <f>$C584*AN583</f>
        <v/>
      </c>
      <c r="AO584">
        <f>$C584*AO583</f>
        <v/>
      </c>
      <c r="AP584">
        <f>$C584*AP583</f>
        <v/>
      </c>
      <c r="AQ584">
        <f>$C584*AQ583</f>
        <v/>
      </c>
      <c r="AR584">
        <f>$C584*AR583</f>
        <v/>
      </c>
      <c r="AS584">
        <f>$C584*AS583</f>
        <v/>
      </c>
      <c r="AT584">
        <f>$C584*AT583</f>
        <v/>
      </c>
      <c r="AU584">
        <f>$C584*AU583</f>
        <v/>
      </c>
      <c r="AV584">
        <f>$C584*AV583</f>
        <v/>
      </c>
      <c r="AW584">
        <f>$C584*AW583</f>
        <v/>
      </c>
      <c r="AX584">
        <f>$C584*AX583</f>
        <v/>
      </c>
      <c r="AY584">
        <f>$C584*AY583</f>
        <v/>
      </c>
      <c r="AZ584">
        <f>$C584*AZ583</f>
        <v/>
      </c>
      <c r="BA584">
        <f>$C584*BA583</f>
        <v/>
      </c>
      <c r="BB584">
        <f>$C584*BB583</f>
        <v/>
      </c>
      <c r="BC584">
        <f>$C584*BC583</f>
        <v/>
      </c>
      <c r="BD584">
        <f>$C584*BD583</f>
        <v/>
      </c>
      <c r="BE584">
        <f>$C584*BE583</f>
        <v/>
      </c>
      <c r="BF584">
        <f>$C584*BF583</f>
        <v/>
      </c>
      <c r="BG584">
        <f>$C584*BG583</f>
        <v/>
      </c>
      <c r="BH584">
        <f>$C584*BH583</f>
        <v/>
      </c>
      <c r="BI584">
        <f>$C584*BI583</f>
        <v/>
      </c>
      <c r="BJ584">
        <f>$C584*BJ583</f>
        <v/>
      </c>
      <c r="BK584">
        <f>$C584*BK583</f>
        <v/>
      </c>
      <c r="BL584">
        <f>$C584*BL583</f>
        <v/>
      </c>
      <c r="BM584">
        <f>$C584*BM583</f>
        <v/>
      </c>
      <c r="BN584">
        <f>$C584*BN583</f>
        <v/>
      </c>
      <c r="BO584">
        <f>$C584*BO583</f>
        <v/>
      </c>
      <c r="BP584">
        <f>$C584*BP583</f>
        <v/>
      </c>
      <c r="BQ584">
        <f>$C584*BQ583</f>
        <v/>
      </c>
      <c r="BR584">
        <f>$C584*BR583</f>
        <v/>
      </c>
      <c r="BS584">
        <f>$C584*BS583</f>
        <v/>
      </c>
      <c r="BT584">
        <f>$C584*BT583</f>
        <v/>
      </c>
      <c r="BU584">
        <f>$C584*BU583</f>
        <v/>
      </c>
      <c r="BV584">
        <f>$C584*BV583</f>
        <v/>
      </c>
      <c r="BW584">
        <f>$C584*BW583</f>
        <v/>
      </c>
      <c r="BX584">
        <f>$C584*BX583</f>
        <v/>
      </c>
      <c r="BY584">
        <f>$C584*BY583</f>
        <v/>
      </c>
      <c r="BZ584">
        <f>$C584*BZ583</f>
        <v/>
      </c>
      <c r="CA584">
        <f>$C584*CA583</f>
        <v/>
      </c>
      <c r="CB584">
        <f>$C584*CB583</f>
        <v/>
      </c>
      <c r="CC584">
        <f>$C584*CC583</f>
        <v/>
      </c>
      <c r="CD584">
        <f>$C584*CD583</f>
        <v/>
      </c>
      <c r="CE584">
        <f>$C584*CE583</f>
        <v/>
      </c>
      <c r="CF584">
        <f>$C584*CF583</f>
        <v/>
      </c>
      <c r="CG584">
        <f>$C584*CG583</f>
        <v/>
      </c>
      <c r="CH584">
        <f>$C584*CH583</f>
        <v/>
      </c>
      <c r="CI584">
        <f>$C584*CI583</f>
        <v/>
      </c>
      <c r="CJ584">
        <f>$C584*CJ583</f>
        <v/>
      </c>
      <c r="CK584">
        <f>$C584*CK583</f>
        <v/>
      </c>
      <c r="CL584">
        <f>$C584*CL583</f>
        <v/>
      </c>
      <c r="CM584">
        <f>$C584*CM583</f>
        <v/>
      </c>
      <c r="CN584">
        <f>$C584*CN583</f>
        <v/>
      </c>
      <c r="CO584">
        <f>$C584*CO583</f>
        <v/>
      </c>
      <c r="CP584">
        <f>$C584*CP583</f>
        <v/>
      </c>
      <c r="CQ584">
        <f>$C584*CQ583</f>
        <v/>
      </c>
      <c r="CR584">
        <f>$C584*CR583</f>
        <v/>
      </c>
      <c r="CS584">
        <f>$C584*CS583</f>
        <v/>
      </c>
      <c r="CT584">
        <f>$C584*CT583</f>
        <v/>
      </c>
      <c r="CU584">
        <f>$C584*CU583</f>
        <v/>
      </c>
      <c r="CV584">
        <f>$C584*CV583</f>
        <v/>
      </c>
      <c r="CW584">
        <f>$C584*CW583</f>
        <v/>
      </c>
      <c r="CX584">
        <f>$C584*CX583</f>
        <v/>
      </c>
      <c r="CY584">
        <f>$C584*CY583</f>
        <v/>
      </c>
      <c r="CZ584">
        <f>$C584*CZ583</f>
        <v/>
      </c>
      <c r="DA584">
        <f>$C584*DA583</f>
        <v/>
      </c>
      <c r="DB584">
        <f>$C584*DB583</f>
        <v/>
      </c>
      <c r="DC584">
        <f>$C584*DC583</f>
        <v/>
      </c>
    </row>
    <row r="585">
      <c r="B585" t="inlineStr">
        <is>
          <t>VSP-822</t>
        </is>
      </c>
      <c r="C585" t="inlineStr">
        <is>
          <t>No. of batches</t>
        </is>
      </c>
      <c r="D585">
        <f>IFERROR(INDEX(PP_Grid[#Data],$DD585,2),0)</f>
        <v/>
      </c>
      <c r="E585">
        <f>IFERROR(INDEX(PP_Grid[#Data],$DD585,3),0)</f>
        <v/>
      </c>
      <c r="F585">
        <f>IFERROR(INDEX(PP_Grid[#Data],$DD585,4),0)</f>
        <v/>
      </c>
      <c r="G585">
        <f>IFERROR(INDEX(PP_Grid[#Data],$DD585,5),0)</f>
        <v/>
      </c>
      <c r="H585">
        <f>IFERROR(INDEX(PP_Grid[#Data],$DD585,6),0)</f>
        <v/>
      </c>
      <c r="I585">
        <f>IFERROR(INDEX(PP_Grid[#Data],$DD585,7),0)</f>
        <v/>
      </c>
      <c r="J585">
        <f>IFERROR(INDEX(PP_Grid[#Data],$DD585,8),0)</f>
        <v/>
      </c>
      <c r="K585">
        <f>IFERROR(INDEX(PP_Grid[#Data],$DD585,9),0)</f>
        <v/>
      </c>
      <c r="L585">
        <f>IFERROR(INDEX(PP_Grid[#Data],$DD585,10),0)</f>
        <v/>
      </c>
      <c r="M585">
        <f>IFERROR(INDEX(PP_Grid[#Data],$DD585,11),0)</f>
        <v/>
      </c>
      <c r="N585">
        <f>IFERROR(INDEX(PP_Grid[#Data],$DD585,12),0)</f>
        <v/>
      </c>
      <c r="O585">
        <f>IFERROR(INDEX(PP_Grid[#Data],$DD585,13),0)</f>
        <v/>
      </c>
      <c r="P585">
        <f>IFERROR(INDEX(PP_Grid[#Data],$DD585,14),0)</f>
        <v/>
      </c>
      <c r="Q585">
        <f>IFERROR(INDEX(PP_Grid[#Data],$DD585,15),0)</f>
        <v/>
      </c>
      <c r="R585">
        <f>IFERROR(INDEX(PP_Grid[#Data],$DD585,16),0)</f>
        <v/>
      </c>
      <c r="S585">
        <f>IFERROR(INDEX(PP_Grid[#Data],$DD585,17),0)</f>
        <v/>
      </c>
      <c r="T585">
        <f>IFERROR(INDEX(PP_Grid[#Data],$DD585,18),0)</f>
        <v/>
      </c>
      <c r="U585">
        <f>IFERROR(INDEX(PP_Grid[#Data],$DD585,19),0)</f>
        <v/>
      </c>
      <c r="V585">
        <f>IFERROR(INDEX(PP_Grid[#Data],$DD585,20),0)</f>
        <v/>
      </c>
      <c r="W585">
        <f>IFERROR(INDEX(PP_Grid[#Data],$DD585,21),0)</f>
        <v/>
      </c>
      <c r="X585">
        <f>IFERROR(INDEX(PP_Grid[#Data],$DD585,22),0)</f>
        <v/>
      </c>
      <c r="Y585">
        <f>IFERROR(INDEX(PP_Grid[#Data],$DD585,23),0)</f>
        <v/>
      </c>
      <c r="Z585">
        <f>IFERROR(INDEX(PP_Grid[#Data],$DD585,24),0)</f>
        <v/>
      </c>
      <c r="AA585">
        <f>IFERROR(INDEX(PP_Grid[#Data],$DD585,25),0)</f>
        <v/>
      </c>
      <c r="AB585">
        <f>IFERROR(INDEX(PP_Grid[#Data],$DD585,26),0)</f>
        <v/>
      </c>
      <c r="AC585">
        <f>IFERROR(INDEX(PP_Grid[#Data],$DD585,27),0)</f>
        <v/>
      </c>
      <c r="AD585">
        <f>IFERROR(INDEX(PP_Grid[#Data],$DD585,28),0)</f>
        <v/>
      </c>
      <c r="AE585">
        <f>IFERROR(INDEX(PP_Grid[#Data],$DD585,29),0)</f>
        <v/>
      </c>
      <c r="AF585">
        <f>IFERROR(INDEX(PP_Grid[#Data],$DD585,30),0)</f>
        <v/>
      </c>
      <c r="AG585">
        <f>IFERROR(INDEX(PP_Grid[#Data],$DD585,31),0)</f>
        <v/>
      </c>
      <c r="AH585">
        <f>IFERROR(INDEX(PP_Grid[#Data],$DD585,32),0)</f>
        <v/>
      </c>
      <c r="AI585">
        <f>IFERROR(INDEX(PP_Grid[#Data],$DD585,33),0)</f>
        <v/>
      </c>
      <c r="AJ585">
        <f>IFERROR(INDEX(PP_Grid[#Data],$DD585,34),0)</f>
        <v/>
      </c>
      <c r="AK585">
        <f>IFERROR(INDEX(PP_Grid[#Data],$DD585,35),0)</f>
        <v/>
      </c>
      <c r="AL585">
        <f>IFERROR(INDEX(PP_Grid[#Data],$DD585,36),0)</f>
        <v/>
      </c>
      <c r="AM585">
        <f>IFERROR(INDEX(PP_Grid[#Data],$DD585,37),0)</f>
        <v/>
      </c>
      <c r="AN585">
        <f>IFERROR(INDEX(PP_Grid[#Data],$DD585,38),0)</f>
        <v/>
      </c>
      <c r="AO585">
        <f>IFERROR(INDEX(PP_Grid[#Data],$DD585,39),0)</f>
        <v/>
      </c>
      <c r="AP585">
        <f>IFERROR(INDEX(PP_Grid[#Data],$DD585,40),0)</f>
        <v/>
      </c>
      <c r="AQ585">
        <f>IFERROR(INDEX(PP_Grid[#Data],$DD585,41),0)</f>
        <v/>
      </c>
      <c r="AR585">
        <f>IFERROR(INDEX(PP_Grid[#Data],$DD585,42),0)</f>
        <v/>
      </c>
      <c r="AS585">
        <f>IFERROR(INDEX(PP_Grid[#Data],$DD585,43),0)</f>
        <v/>
      </c>
      <c r="AT585">
        <f>IFERROR(INDEX(PP_Grid[#Data],$DD585,44),0)</f>
        <v/>
      </c>
      <c r="AU585">
        <f>IFERROR(INDEX(PP_Grid[#Data],$DD585,45),0)</f>
        <v/>
      </c>
      <c r="AV585">
        <f>IFERROR(INDEX(PP_Grid[#Data],$DD585,46),0)</f>
        <v/>
      </c>
      <c r="AW585">
        <f>IFERROR(INDEX(PP_Grid[#Data],$DD585,47),0)</f>
        <v/>
      </c>
      <c r="AX585">
        <f>IFERROR(INDEX(PP_Grid[#Data],$DD585,48),0)</f>
        <v/>
      </c>
      <c r="AY585">
        <f>IFERROR(INDEX(PP_Grid[#Data],$DD585,49),0)</f>
        <v/>
      </c>
      <c r="AZ585">
        <f>IFERROR(INDEX(PP_Grid[#Data],$DD585,50),0)</f>
        <v/>
      </c>
      <c r="BA585">
        <f>IFERROR(INDEX(PP_Grid[#Data],$DD585,51),0)</f>
        <v/>
      </c>
      <c r="BB585">
        <f>IFERROR(INDEX(PP_Grid[#Data],$DD585,52),0)</f>
        <v/>
      </c>
      <c r="BC585">
        <f>IFERROR(INDEX(PP_Grid[#Data],$DD585,53),0)</f>
        <v/>
      </c>
      <c r="BD585">
        <f>IFERROR(INDEX(PP_Grid[#Data],$DD585,54),0)</f>
        <v/>
      </c>
      <c r="BE585">
        <f>IFERROR(INDEX(PP_Grid[#Data],$DD585,55),0)</f>
        <v/>
      </c>
      <c r="BF585">
        <f>IFERROR(INDEX(PP_Grid[#Data],$DD585,56),0)</f>
        <v/>
      </c>
      <c r="BG585">
        <f>IFERROR(INDEX(PP_Grid[#Data],$DD585,57),0)</f>
        <v/>
      </c>
      <c r="BH585">
        <f>IFERROR(INDEX(PP_Grid[#Data],$DD585,58),0)</f>
        <v/>
      </c>
      <c r="BI585">
        <f>IFERROR(INDEX(PP_Grid[#Data],$DD585,59),0)</f>
        <v/>
      </c>
      <c r="BJ585">
        <f>IFERROR(INDEX(PP_Grid[#Data],$DD585,60),0)</f>
        <v/>
      </c>
      <c r="BK585">
        <f>IFERROR(INDEX(PP_Grid[#Data],$DD585,61),0)</f>
        <v/>
      </c>
      <c r="BL585">
        <f>IFERROR(INDEX(PP_Grid[#Data],$DD585,62),0)</f>
        <v/>
      </c>
      <c r="BM585">
        <f>IFERROR(INDEX(PP_Grid[#Data],$DD585,63),0)</f>
        <v/>
      </c>
      <c r="BN585">
        <f>IFERROR(INDEX(PP_Grid[#Data],$DD585,64),0)</f>
        <v/>
      </c>
      <c r="BO585">
        <f>IFERROR(INDEX(PP_Grid[#Data],$DD585,65),0)</f>
        <v/>
      </c>
      <c r="BP585">
        <f>IFERROR(INDEX(PP_Grid[#Data],$DD585,66),0)</f>
        <v/>
      </c>
      <c r="BQ585">
        <f>IFERROR(INDEX(PP_Grid[#Data],$DD585,67),0)</f>
        <v/>
      </c>
      <c r="BR585">
        <f>IFERROR(INDEX(PP_Grid[#Data],$DD585,68),0)</f>
        <v/>
      </c>
      <c r="BS585">
        <f>IFERROR(INDEX(PP_Grid[#Data],$DD585,69),0)</f>
        <v/>
      </c>
      <c r="BT585">
        <f>IFERROR(INDEX(PP_Grid[#Data],$DD585,70),0)</f>
        <v/>
      </c>
      <c r="BU585">
        <f>IFERROR(INDEX(PP_Grid[#Data],$DD585,71),0)</f>
        <v/>
      </c>
      <c r="BV585">
        <f>IFERROR(INDEX(PP_Grid[#Data],$DD585,72),0)</f>
        <v/>
      </c>
      <c r="BW585">
        <f>IFERROR(INDEX(PP_Grid[#Data],$DD585,73),0)</f>
        <v/>
      </c>
      <c r="BX585">
        <f>IFERROR(INDEX(PP_Grid[#Data],$DD585,74),0)</f>
        <v/>
      </c>
      <c r="BY585">
        <f>IFERROR(INDEX(PP_Grid[#Data],$DD585,75),0)</f>
        <v/>
      </c>
      <c r="BZ585">
        <f>IFERROR(INDEX(PP_Grid[#Data],$DD585,76),0)</f>
        <v/>
      </c>
      <c r="CA585">
        <f>IFERROR(INDEX(PP_Grid[#Data],$DD585,77),0)</f>
        <v/>
      </c>
      <c r="CB585">
        <f>IFERROR(INDEX(PP_Grid[#Data],$DD585,78),0)</f>
        <v/>
      </c>
      <c r="CC585">
        <f>IFERROR(INDEX(PP_Grid[#Data],$DD585,79),0)</f>
        <v/>
      </c>
      <c r="CD585">
        <f>IFERROR(INDEX(PP_Grid[#Data],$DD585,80),0)</f>
        <v/>
      </c>
      <c r="CE585">
        <f>IFERROR(INDEX(PP_Grid[#Data],$DD585,81),0)</f>
        <v/>
      </c>
      <c r="CF585">
        <f>IFERROR(INDEX(PP_Grid[#Data],$DD585,82),0)</f>
        <v/>
      </c>
      <c r="CG585">
        <f>IFERROR(INDEX(PP_Grid[#Data],$DD585,83),0)</f>
        <v/>
      </c>
      <c r="CH585">
        <f>IFERROR(INDEX(PP_Grid[#Data],$DD585,84),0)</f>
        <v/>
      </c>
      <c r="CI585">
        <f>IFERROR(INDEX(PP_Grid[#Data],$DD585,85),0)</f>
        <v/>
      </c>
      <c r="CJ585">
        <f>IFERROR(INDEX(PP_Grid[#Data],$DD585,86),0)</f>
        <v/>
      </c>
      <c r="CK585">
        <f>IFERROR(INDEX(PP_Grid[#Data],$DD585,87),0)</f>
        <v/>
      </c>
      <c r="CL585">
        <f>IFERROR(INDEX(PP_Grid[#Data],$DD585,88),0)</f>
        <v/>
      </c>
      <c r="CM585">
        <f>IFERROR(INDEX(PP_Grid[#Data],$DD585,89),0)</f>
        <v/>
      </c>
      <c r="CN585">
        <f>IFERROR(INDEX(PP_Grid[#Data],$DD585,90),0)</f>
        <v/>
      </c>
      <c r="CO585">
        <f>IFERROR(INDEX(PP_Grid[#Data],$DD585,91),0)</f>
        <v/>
      </c>
      <c r="CP585">
        <f>IFERROR(INDEX(PP_Grid[#Data],$DD585,92),0)</f>
        <v/>
      </c>
      <c r="CQ585">
        <f>IFERROR(INDEX(PP_Grid[#Data],$DD585,93),0)</f>
        <v/>
      </c>
      <c r="CR585">
        <f>IFERROR(INDEX(PP_Grid[#Data],$DD585,94),0)</f>
        <v/>
      </c>
      <c r="CS585">
        <f>IFERROR(INDEX(PP_Grid[#Data],$DD585,95),0)</f>
        <v/>
      </c>
      <c r="CT585">
        <f>IFERROR(INDEX(PP_Grid[#Data],$DD585,96),0)</f>
        <v/>
      </c>
      <c r="CU585">
        <f>IFERROR(INDEX(PP_Grid[#Data],$DD585,97),0)</f>
        <v/>
      </c>
      <c r="CV585">
        <f>IFERROR(INDEX(PP_Grid[#Data],$DD585,98),0)</f>
        <v/>
      </c>
      <c r="CW585">
        <f>IFERROR(INDEX(PP_Grid[#Data],$DD585,99),0)</f>
        <v/>
      </c>
      <c r="CX585">
        <f>IFERROR(INDEX(PP_Grid[#Data],$DD585,100),0)</f>
        <v/>
      </c>
      <c r="CY585">
        <f>IFERROR(INDEX(PP_Grid[#Data],$DD585,101),0)</f>
        <v/>
      </c>
      <c r="CZ585">
        <f>IFERROR(INDEX(PP_Grid[#Data],$DD585,102),0)</f>
        <v/>
      </c>
      <c r="DA585">
        <f>IFERROR(INDEX(PP_Grid[#Data],$DD585,103),0)</f>
        <v/>
      </c>
      <c r="DB585">
        <f>IFERROR(INDEX(PP_Grid[#Data],$DD585,104),0)</f>
        <v/>
      </c>
      <c r="DC585">
        <f>IFERROR(INDEX(PP_Grid[#Data],$DD585,105),0)</f>
        <v/>
      </c>
      <c r="DD585" s="12">
        <f>IFERROR(MATCH($B585,PP_Grid[Intermediate],0),99999)</f>
        <v/>
      </c>
    </row>
    <row r="586">
      <c r="B586" t="inlineStr">
        <is>
          <t>使用量(kg)</t>
        </is>
      </c>
      <c r="C586">
        <f>SUMIFS(M_BOM[RM_Qty_Per_Batch],M_BOM[Intermediate],$B585,M_BOM[Part Name],$A518)</f>
        <v/>
      </c>
      <c r="D586">
        <f>$C586*D585</f>
        <v/>
      </c>
      <c r="E586">
        <f>$C586*E585</f>
        <v/>
      </c>
      <c r="F586">
        <f>$C586*F585</f>
        <v/>
      </c>
      <c r="G586">
        <f>$C586*G585</f>
        <v/>
      </c>
      <c r="H586">
        <f>$C586*H585</f>
        <v/>
      </c>
      <c r="I586">
        <f>$C586*I585</f>
        <v/>
      </c>
      <c r="J586">
        <f>$C586*J585</f>
        <v/>
      </c>
      <c r="K586">
        <f>$C586*K585</f>
        <v/>
      </c>
      <c r="L586">
        <f>$C586*L585</f>
        <v/>
      </c>
      <c r="M586">
        <f>$C586*M585</f>
        <v/>
      </c>
      <c r="N586">
        <f>$C586*N585</f>
        <v/>
      </c>
      <c r="O586">
        <f>$C586*O585</f>
        <v/>
      </c>
      <c r="P586">
        <f>$C586*P585</f>
        <v/>
      </c>
      <c r="Q586">
        <f>$C586*Q585</f>
        <v/>
      </c>
      <c r="R586">
        <f>$C586*R585</f>
        <v/>
      </c>
      <c r="S586">
        <f>$C586*S585</f>
        <v/>
      </c>
      <c r="T586">
        <f>$C586*T585</f>
        <v/>
      </c>
      <c r="U586">
        <f>$C586*U585</f>
        <v/>
      </c>
      <c r="V586">
        <f>$C586*V585</f>
        <v/>
      </c>
      <c r="W586">
        <f>$C586*W585</f>
        <v/>
      </c>
      <c r="X586">
        <f>$C586*X585</f>
        <v/>
      </c>
      <c r="Y586">
        <f>$C586*Y585</f>
        <v/>
      </c>
      <c r="Z586">
        <f>$C586*Z585</f>
        <v/>
      </c>
      <c r="AA586">
        <f>$C586*AA585</f>
        <v/>
      </c>
      <c r="AB586">
        <f>$C586*AB585</f>
        <v/>
      </c>
      <c r="AC586">
        <f>$C586*AC585</f>
        <v/>
      </c>
      <c r="AD586">
        <f>$C586*AD585</f>
        <v/>
      </c>
      <c r="AE586">
        <f>$C586*AE585</f>
        <v/>
      </c>
      <c r="AF586">
        <f>$C586*AF585</f>
        <v/>
      </c>
      <c r="AG586">
        <f>$C586*AG585</f>
        <v/>
      </c>
      <c r="AH586">
        <f>$C586*AH585</f>
        <v/>
      </c>
      <c r="AI586">
        <f>$C586*AI585</f>
        <v/>
      </c>
      <c r="AJ586">
        <f>$C586*AJ585</f>
        <v/>
      </c>
      <c r="AK586">
        <f>$C586*AK585</f>
        <v/>
      </c>
      <c r="AL586">
        <f>$C586*AL585</f>
        <v/>
      </c>
      <c r="AM586">
        <f>$C586*AM585</f>
        <v/>
      </c>
      <c r="AN586">
        <f>$C586*AN585</f>
        <v/>
      </c>
      <c r="AO586">
        <f>$C586*AO585</f>
        <v/>
      </c>
      <c r="AP586">
        <f>$C586*AP585</f>
        <v/>
      </c>
      <c r="AQ586">
        <f>$C586*AQ585</f>
        <v/>
      </c>
      <c r="AR586">
        <f>$C586*AR585</f>
        <v/>
      </c>
      <c r="AS586">
        <f>$C586*AS585</f>
        <v/>
      </c>
      <c r="AT586">
        <f>$C586*AT585</f>
        <v/>
      </c>
      <c r="AU586">
        <f>$C586*AU585</f>
        <v/>
      </c>
      <c r="AV586">
        <f>$C586*AV585</f>
        <v/>
      </c>
      <c r="AW586">
        <f>$C586*AW585</f>
        <v/>
      </c>
      <c r="AX586">
        <f>$C586*AX585</f>
        <v/>
      </c>
      <c r="AY586">
        <f>$C586*AY585</f>
        <v/>
      </c>
      <c r="AZ586">
        <f>$C586*AZ585</f>
        <v/>
      </c>
      <c r="BA586">
        <f>$C586*BA585</f>
        <v/>
      </c>
      <c r="BB586">
        <f>$C586*BB585</f>
        <v/>
      </c>
      <c r="BC586">
        <f>$C586*BC585</f>
        <v/>
      </c>
      <c r="BD586">
        <f>$C586*BD585</f>
        <v/>
      </c>
      <c r="BE586">
        <f>$C586*BE585</f>
        <v/>
      </c>
      <c r="BF586">
        <f>$C586*BF585</f>
        <v/>
      </c>
      <c r="BG586">
        <f>$C586*BG585</f>
        <v/>
      </c>
      <c r="BH586">
        <f>$C586*BH585</f>
        <v/>
      </c>
      <c r="BI586">
        <f>$C586*BI585</f>
        <v/>
      </c>
      <c r="BJ586">
        <f>$C586*BJ585</f>
        <v/>
      </c>
      <c r="BK586">
        <f>$C586*BK585</f>
        <v/>
      </c>
      <c r="BL586">
        <f>$C586*BL585</f>
        <v/>
      </c>
      <c r="BM586">
        <f>$C586*BM585</f>
        <v/>
      </c>
      <c r="BN586">
        <f>$C586*BN585</f>
        <v/>
      </c>
      <c r="BO586">
        <f>$C586*BO585</f>
        <v/>
      </c>
      <c r="BP586">
        <f>$C586*BP585</f>
        <v/>
      </c>
      <c r="BQ586">
        <f>$C586*BQ585</f>
        <v/>
      </c>
      <c r="BR586">
        <f>$C586*BR585</f>
        <v/>
      </c>
      <c r="BS586">
        <f>$C586*BS585</f>
        <v/>
      </c>
      <c r="BT586">
        <f>$C586*BT585</f>
        <v/>
      </c>
      <c r="BU586">
        <f>$C586*BU585</f>
        <v/>
      </c>
      <c r="BV586">
        <f>$C586*BV585</f>
        <v/>
      </c>
      <c r="BW586">
        <f>$C586*BW585</f>
        <v/>
      </c>
      <c r="BX586">
        <f>$C586*BX585</f>
        <v/>
      </c>
      <c r="BY586">
        <f>$C586*BY585</f>
        <v/>
      </c>
      <c r="BZ586">
        <f>$C586*BZ585</f>
        <v/>
      </c>
      <c r="CA586">
        <f>$C586*CA585</f>
        <v/>
      </c>
      <c r="CB586">
        <f>$C586*CB585</f>
        <v/>
      </c>
      <c r="CC586">
        <f>$C586*CC585</f>
        <v/>
      </c>
      <c r="CD586">
        <f>$C586*CD585</f>
        <v/>
      </c>
      <c r="CE586">
        <f>$C586*CE585</f>
        <v/>
      </c>
      <c r="CF586">
        <f>$C586*CF585</f>
        <v/>
      </c>
      <c r="CG586">
        <f>$C586*CG585</f>
        <v/>
      </c>
      <c r="CH586">
        <f>$C586*CH585</f>
        <v/>
      </c>
      <c r="CI586">
        <f>$C586*CI585</f>
        <v/>
      </c>
      <c r="CJ586">
        <f>$C586*CJ585</f>
        <v/>
      </c>
      <c r="CK586">
        <f>$C586*CK585</f>
        <v/>
      </c>
      <c r="CL586">
        <f>$C586*CL585</f>
        <v/>
      </c>
      <c r="CM586">
        <f>$C586*CM585</f>
        <v/>
      </c>
      <c r="CN586">
        <f>$C586*CN585</f>
        <v/>
      </c>
      <c r="CO586">
        <f>$C586*CO585</f>
        <v/>
      </c>
      <c r="CP586">
        <f>$C586*CP585</f>
        <v/>
      </c>
      <c r="CQ586">
        <f>$C586*CQ585</f>
        <v/>
      </c>
      <c r="CR586">
        <f>$C586*CR585</f>
        <v/>
      </c>
      <c r="CS586">
        <f>$C586*CS585</f>
        <v/>
      </c>
      <c r="CT586">
        <f>$C586*CT585</f>
        <v/>
      </c>
      <c r="CU586">
        <f>$C586*CU585</f>
        <v/>
      </c>
      <c r="CV586">
        <f>$C586*CV585</f>
        <v/>
      </c>
      <c r="CW586">
        <f>$C586*CW585</f>
        <v/>
      </c>
      <c r="CX586">
        <f>$C586*CX585</f>
        <v/>
      </c>
      <c r="CY586">
        <f>$C586*CY585</f>
        <v/>
      </c>
      <c r="CZ586">
        <f>$C586*CZ585</f>
        <v/>
      </c>
      <c r="DA586">
        <f>$C586*DA585</f>
        <v/>
      </c>
      <c r="DB586">
        <f>$C586*DB585</f>
        <v/>
      </c>
      <c r="DC586">
        <f>$C586*DC585</f>
        <v/>
      </c>
    </row>
    <row r="587">
      <c r="B587" t="inlineStr">
        <is>
          <t>VSP-910</t>
        </is>
      </c>
      <c r="C587" t="inlineStr">
        <is>
          <t>No. of batches</t>
        </is>
      </c>
      <c r="D587">
        <f>IFERROR(INDEX(PP_Grid[#Data],$DD587,2),0)</f>
        <v/>
      </c>
      <c r="E587">
        <f>IFERROR(INDEX(PP_Grid[#Data],$DD587,3),0)</f>
        <v/>
      </c>
      <c r="F587">
        <f>IFERROR(INDEX(PP_Grid[#Data],$DD587,4),0)</f>
        <v/>
      </c>
      <c r="G587">
        <f>IFERROR(INDEX(PP_Grid[#Data],$DD587,5),0)</f>
        <v/>
      </c>
      <c r="H587">
        <f>IFERROR(INDEX(PP_Grid[#Data],$DD587,6),0)</f>
        <v/>
      </c>
      <c r="I587">
        <f>IFERROR(INDEX(PP_Grid[#Data],$DD587,7),0)</f>
        <v/>
      </c>
      <c r="J587">
        <f>IFERROR(INDEX(PP_Grid[#Data],$DD587,8),0)</f>
        <v/>
      </c>
      <c r="K587">
        <f>IFERROR(INDEX(PP_Grid[#Data],$DD587,9),0)</f>
        <v/>
      </c>
      <c r="L587">
        <f>IFERROR(INDEX(PP_Grid[#Data],$DD587,10),0)</f>
        <v/>
      </c>
      <c r="M587">
        <f>IFERROR(INDEX(PP_Grid[#Data],$DD587,11),0)</f>
        <v/>
      </c>
      <c r="N587">
        <f>IFERROR(INDEX(PP_Grid[#Data],$DD587,12),0)</f>
        <v/>
      </c>
      <c r="O587">
        <f>IFERROR(INDEX(PP_Grid[#Data],$DD587,13),0)</f>
        <v/>
      </c>
      <c r="P587">
        <f>IFERROR(INDEX(PP_Grid[#Data],$DD587,14),0)</f>
        <v/>
      </c>
      <c r="Q587">
        <f>IFERROR(INDEX(PP_Grid[#Data],$DD587,15),0)</f>
        <v/>
      </c>
      <c r="R587">
        <f>IFERROR(INDEX(PP_Grid[#Data],$DD587,16),0)</f>
        <v/>
      </c>
      <c r="S587">
        <f>IFERROR(INDEX(PP_Grid[#Data],$DD587,17),0)</f>
        <v/>
      </c>
      <c r="T587">
        <f>IFERROR(INDEX(PP_Grid[#Data],$DD587,18),0)</f>
        <v/>
      </c>
      <c r="U587">
        <f>IFERROR(INDEX(PP_Grid[#Data],$DD587,19),0)</f>
        <v/>
      </c>
      <c r="V587">
        <f>IFERROR(INDEX(PP_Grid[#Data],$DD587,20),0)</f>
        <v/>
      </c>
      <c r="W587">
        <f>IFERROR(INDEX(PP_Grid[#Data],$DD587,21),0)</f>
        <v/>
      </c>
      <c r="X587">
        <f>IFERROR(INDEX(PP_Grid[#Data],$DD587,22),0)</f>
        <v/>
      </c>
      <c r="Y587">
        <f>IFERROR(INDEX(PP_Grid[#Data],$DD587,23),0)</f>
        <v/>
      </c>
      <c r="Z587">
        <f>IFERROR(INDEX(PP_Grid[#Data],$DD587,24),0)</f>
        <v/>
      </c>
      <c r="AA587">
        <f>IFERROR(INDEX(PP_Grid[#Data],$DD587,25),0)</f>
        <v/>
      </c>
      <c r="AB587">
        <f>IFERROR(INDEX(PP_Grid[#Data],$DD587,26),0)</f>
        <v/>
      </c>
      <c r="AC587">
        <f>IFERROR(INDEX(PP_Grid[#Data],$DD587,27),0)</f>
        <v/>
      </c>
      <c r="AD587">
        <f>IFERROR(INDEX(PP_Grid[#Data],$DD587,28),0)</f>
        <v/>
      </c>
      <c r="AE587">
        <f>IFERROR(INDEX(PP_Grid[#Data],$DD587,29),0)</f>
        <v/>
      </c>
      <c r="AF587">
        <f>IFERROR(INDEX(PP_Grid[#Data],$DD587,30),0)</f>
        <v/>
      </c>
      <c r="AG587">
        <f>IFERROR(INDEX(PP_Grid[#Data],$DD587,31),0)</f>
        <v/>
      </c>
      <c r="AH587">
        <f>IFERROR(INDEX(PP_Grid[#Data],$DD587,32),0)</f>
        <v/>
      </c>
      <c r="AI587">
        <f>IFERROR(INDEX(PP_Grid[#Data],$DD587,33),0)</f>
        <v/>
      </c>
      <c r="AJ587">
        <f>IFERROR(INDEX(PP_Grid[#Data],$DD587,34),0)</f>
        <v/>
      </c>
      <c r="AK587">
        <f>IFERROR(INDEX(PP_Grid[#Data],$DD587,35),0)</f>
        <v/>
      </c>
      <c r="AL587">
        <f>IFERROR(INDEX(PP_Grid[#Data],$DD587,36),0)</f>
        <v/>
      </c>
      <c r="AM587">
        <f>IFERROR(INDEX(PP_Grid[#Data],$DD587,37),0)</f>
        <v/>
      </c>
      <c r="AN587">
        <f>IFERROR(INDEX(PP_Grid[#Data],$DD587,38),0)</f>
        <v/>
      </c>
      <c r="AO587">
        <f>IFERROR(INDEX(PP_Grid[#Data],$DD587,39),0)</f>
        <v/>
      </c>
      <c r="AP587">
        <f>IFERROR(INDEX(PP_Grid[#Data],$DD587,40),0)</f>
        <v/>
      </c>
      <c r="AQ587">
        <f>IFERROR(INDEX(PP_Grid[#Data],$DD587,41),0)</f>
        <v/>
      </c>
      <c r="AR587">
        <f>IFERROR(INDEX(PP_Grid[#Data],$DD587,42),0)</f>
        <v/>
      </c>
      <c r="AS587">
        <f>IFERROR(INDEX(PP_Grid[#Data],$DD587,43),0)</f>
        <v/>
      </c>
      <c r="AT587">
        <f>IFERROR(INDEX(PP_Grid[#Data],$DD587,44),0)</f>
        <v/>
      </c>
      <c r="AU587">
        <f>IFERROR(INDEX(PP_Grid[#Data],$DD587,45),0)</f>
        <v/>
      </c>
      <c r="AV587">
        <f>IFERROR(INDEX(PP_Grid[#Data],$DD587,46),0)</f>
        <v/>
      </c>
      <c r="AW587">
        <f>IFERROR(INDEX(PP_Grid[#Data],$DD587,47),0)</f>
        <v/>
      </c>
      <c r="AX587">
        <f>IFERROR(INDEX(PP_Grid[#Data],$DD587,48),0)</f>
        <v/>
      </c>
      <c r="AY587">
        <f>IFERROR(INDEX(PP_Grid[#Data],$DD587,49),0)</f>
        <v/>
      </c>
      <c r="AZ587">
        <f>IFERROR(INDEX(PP_Grid[#Data],$DD587,50),0)</f>
        <v/>
      </c>
      <c r="BA587">
        <f>IFERROR(INDEX(PP_Grid[#Data],$DD587,51),0)</f>
        <v/>
      </c>
      <c r="BB587">
        <f>IFERROR(INDEX(PP_Grid[#Data],$DD587,52),0)</f>
        <v/>
      </c>
      <c r="BC587">
        <f>IFERROR(INDEX(PP_Grid[#Data],$DD587,53),0)</f>
        <v/>
      </c>
      <c r="BD587">
        <f>IFERROR(INDEX(PP_Grid[#Data],$DD587,54),0)</f>
        <v/>
      </c>
      <c r="BE587">
        <f>IFERROR(INDEX(PP_Grid[#Data],$DD587,55),0)</f>
        <v/>
      </c>
      <c r="BF587">
        <f>IFERROR(INDEX(PP_Grid[#Data],$DD587,56),0)</f>
        <v/>
      </c>
      <c r="BG587">
        <f>IFERROR(INDEX(PP_Grid[#Data],$DD587,57),0)</f>
        <v/>
      </c>
      <c r="BH587">
        <f>IFERROR(INDEX(PP_Grid[#Data],$DD587,58),0)</f>
        <v/>
      </c>
      <c r="BI587">
        <f>IFERROR(INDEX(PP_Grid[#Data],$DD587,59),0)</f>
        <v/>
      </c>
      <c r="BJ587">
        <f>IFERROR(INDEX(PP_Grid[#Data],$DD587,60),0)</f>
        <v/>
      </c>
      <c r="BK587">
        <f>IFERROR(INDEX(PP_Grid[#Data],$DD587,61),0)</f>
        <v/>
      </c>
      <c r="BL587">
        <f>IFERROR(INDEX(PP_Grid[#Data],$DD587,62),0)</f>
        <v/>
      </c>
      <c r="BM587">
        <f>IFERROR(INDEX(PP_Grid[#Data],$DD587,63),0)</f>
        <v/>
      </c>
      <c r="BN587">
        <f>IFERROR(INDEX(PP_Grid[#Data],$DD587,64),0)</f>
        <v/>
      </c>
      <c r="BO587">
        <f>IFERROR(INDEX(PP_Grid[#Data],$DD587,65),0)</f>
        <v/>
      </c>
      <c r="BP587">
        <f>IFERROR(INDEX(PP_Grid[#Data],$DD587,66),0)</f>
        <v/>
      </c>
      <c r="BQ587">
        <f>IFERROR(INDEX(PP_Grid[#Data],$DD587,67),0)</f>
        <v/>
      </c>
      <c r="BR587">
        <f>IFERROR(INDEX(PP_Grid[#Data],$DD587,68),0)</f>
        <v/>
      </c>
      <c r="BS587">
        <f>IFERROR(INDEX(PP_Grid[#Data],$DD587,69),0)</f>
        <v/>
      </c>
      <c r="BT587">
        <f>IFERROR(INDEX(PP_Grid[#Data],$DD587,70),0)</f>
        <v/>
      </c>
      <c r="BU587">
        <f>IFERROR(INDEX(PP_Grid[#Data],$DD587,71),0)</f>
        <v/>
      </c>
      <c r="BV587">
        <f>IFERROR(INDEX(PP_Grid[#Data],$DD587,72),0)</f>
        <v/>
      </c>
      <c r="BW587">
        <f>IFERROR(INDEX(PP_Grid[#Data],$DD587,73),0)</f>
        <v/>
      </c>
      <c r="BX587">
        <f>IFERROR(INDEX(PP_Grid[#Data],$DD587,74),0)</f>
        <v/>
      </c>
      <c r="BY587">
        <f>IFERROR(INDEX(PP_Grid[#Data],$DD587,75),0)</f>
        <v/>
      </c>
      <c r="BZ587">
        <f>IFERROR(INDEX(PP_Grid[#Data],$DD587,76),0)</f>
        <v/>
      </c>
      <c r="CA587">
        <f>IFERROR(INDEX(PP_Grid[#Data],$DD587,77),0)</f>
        <v/>
      </c>
      <c r="CB587">
        <f>IFERROR(INDEX(PP_Grid[#Data],$DD587,78),0)</f>
        <v/>
      </c>
      <c r="CC587">
        <f>IFERROR(INDEX(PP_Grid[#Data],$DD587,79),0)</f>
        <v/>
      </c>
      <c r="CD587">
        <f>IFERROR(INDEX(PP_Grid[#Data],$DD587,80),0)</f>
        <v/>
      </c>
      <c r="CE587">
        <f>IFERROR(INDEX(PP_Grid[#Data],$DD587,81),0)</f>
        <v/>
      </c>
      <c r="CF587">
        <f>IFERROR(INDEX(PP_Grid[#Data],$DD587,82),0)</f>
        <v/>
      </c>
      <c r="CG587">
        <f>IFERROR(INDEX(PP_Grid[#Data],$DD587,83),0)</f>
        <v/>
      </c>
      <c r="CH587">
        <f>IFERROR(INDEX(PP_Grid[#Data],$DD587,84),0)</f>
        <v/>
      </c>
      <c r="CI587">
        <f>IFERROR(INDEX(PP_Grid[#Data],$DD587,85),0)</f>
        <v/>
      </c>
      <c r="CJ587">
        <f>IFERROR(INDEX(PP_Grid[#Data],$DD587,86),0)</f>
        <v/>
      </c>
      <c r="CK587">
        <f>IFERROR(INDEX(PP_Grid[#Data],$DD587,87),0)</f>
        <v/>
      </c>
      <c r="CL587">
        <f>IFERROR(INDEX(PP_Grid[#Data],$DD587,88),0)</f>
        <v/>
      </c>
      <c r="CM587">
        <f>IFERROR(INDEX(PP_Grid[#Data],$DD587,89),0)</f>
        <v/>
      </c>
      <c r="CN587">
        <f>IFERROR(INDEX(PP_Grid[#Data],$DD587,90),0)</f>
        <v/>
      </c>
      <c r="CO587">
        <f>IFERROR(INDEX(PP_Grid[#Data],$DD587,91),0)</f>
        <v/>
      </c>
      <c r="CP587">
        <f>IFERROR(INDEX(PP_Grid[#Data],$DD587,92),0)</f>
        <v/>
      </c>
      <c r="CQ587">
        <f>IFERROR(INDEX(PP_Grid[#Data],$DD587,93),0)</f>
        <v/>
      </c>
      <c r="CR587">
        <f>IFERROR(INDEX(PP_Grid[#Data],$DD587,94),0)</f>
        <v/>
      </c>
      <c r="CS587">
        <f>IFERROR(INDEX(PP_Grid[#Data],$DD587,95),0)</f>
        <v/>
      </c>
      <c r="CT587">
        <f>IFERROR(INDEX(PP_Grid[#Data],$DD587,96),0)</f>
        <v/>
      </c>
      <c r="CU587">
        <f>IFERROR(INDEX(PP_Grid[#Data],$DD587,97),0)</f>
        <v/>
      </c>
      <c r="CV587">
        <f>IFERROR(INDEX(PP_Grid[#Data],$DD587,98),0)</f>
        <v/>
      </c>
      <c r="CW587">
        <f>IFERROR(INDEX(PP_Grid[#Data],$DD587,99),0)</f>
        <v/>
      </c>
      <c r="CX587">
        <f>IFERROR(INDEX(PP_Grid[#Data],$DD587,100),0)</f>
        <v/>
      </c>
      <c r="CY587">
        <f>IFERROR(INDEX(PP_Grid[#Data],$DD587,101),0)</f>
        <v/>
      </c>
      <c r="CZ587">
        <f>IFERROR(INDEX(PP_Grid[#Data],$DD587,102),0)</f>
        <v/>
      </c>
      <c r="DA587">
        <f>IFERROR(INDEX(PP_Grid[#Data],$DD587,103),0)</f>
        <v/>
      </c>
      <c r="DB587">
        <f>IFERROR(INDEX(PP_Grid[#Data],$DD587,104),0)</f>
        <v/>
      </c>
      <c r="DC587">
        <f>IFERROR(INDEX(PP_Grid[#Data],$DD587,105),0)</f>
        <v/>
      </c>
      <c r="DD587" s="12">
        <f>IFERROR(MATCH($B587,PP_Grid[Intermediate],0),99999)</f>
        <v/>
      </c>
    </row>
    <row r="588">
      <c r="B588" t="inlineStr">
        <is>
          <t>使用量(kg)</t>
        </is>
      </c>
      <c r="C588">
        <f>SUMIFS(M_BOM[RM_Qty_Per_Batch],M_BOM[Intermediate],$B587,M_BOM[Part Name],$A518)</f>
        <v/>
      </c>
      <c r="D588">
        <f>$C588*D587</f>
        <v/>
      </c>
      <c r="E588">
        <f>$C588*E587</f>
        <v/>
      </c>
      <c r="F588">
        <f>$C588*F587</f>
        <v/>
      </c>
      <c r="G588">
        <f>$C588*G587</f>
        <v/>
      </c>
      <c r="H588">
        <f>$C588*H587</f>
        <v/>
      </c>
      <c r="I588">
        <f>$C588*I587</f>
        <v/>
      </c>
      <c r="J588">
        <f>$C588*J587</f>
        <v/>
      </c>
      <c r="K588">
        <f>$C588*K587</f>
        <v/>
      </c>
      <c r="L588">
        <f>$C588*L587</f>
        <v/>
      </c>
      <c r="M588">
        <f>$C588*M587</f>
        <v/>
      </c>
      <c r="N588">
        <f>$C588*N587</f>
        <v/>
      </c>
      <c r="O588">
        <f>$C588*O587</f>
        <v/>
      </c>
      <c r="P588">
        <f>$C588*P587</f>
        <v/>
      </c>
      <c r="Q588">
        <f>$C588*Q587</f>
        <v/>
      </c>
      <c r="R588">
        <f>$C588*R587</f>
        <v/>
      </c>
      <c r="S588">
        <f>$C588*S587</f>
        <v/>
      </c>
      <c r="T588">
        <f>$C588*T587</f>
        <v/>
      </c>
      <c r="U588">
        <f>$C588*U587</f>
        <v/>
      </c>
      <c r="V588">
        <f>$C588*V587</f>
        <v/>
      </c>
      <c r="W588">
        <f>$C588*W587</f>
        <v/>
      </c>
      <c r="X588">
        <f>$C588*X587</f>
        <v/>
      </c>
      <c r="Y588">
        <f>$C588*Y587</f>
        <v/>
      </c>
      <c r="Z588">
        <f>$C588*Z587</f>
        <v/>
      </c>
      <c r="AA588">
        <f>$C588*AA587</f>
        <v/>
      </c>
      <c r="AB588">
        <f>$C588*AB587</f>
        <v/>
      </c>
      <c r="AC588">
        <f>$C588*AC587</f>
        <v/>
      </c>
      <c r="AD588">
        <f>$C588*AD587</f>
        <v/>
      </c>
      <c r="AE588">
        <f>$C588*AE587</f>
        <v/>
      </c>
      <c r="AF588">
        <f>$C588*AF587</f>
        <v/>
      </c>
      <c r="AG588">
        <f>$C588*AG587</f>
        <v/>
      </c>
      <c r="AH588">
        <f>$C588*AH587</f>
        <v/>
      </c>
      <c r="AI588">
        <f>$C588*AI587</f>
        <v/>
      </c>
      <c r="AJ588">
        <f>$C588*AJ587</f>
        <v/>
      </c>
      <c r="AK588">
        <f>$C588*AK587</f>
        <v/>
      </c>
      <c r="AL588">
        <f>$C588*AL587</f>
        <v/>
      </c>
      <c r="AM588">
        <f>$C588*AM587</f>
        <v/>
      </c>
      <c r="AN588">
        <f>$C588*AN587</f>
        <v/>
      </c>
      <c r="AO588">
        <f>$C588*AO587</f>
        <v/>
      </c>
      <c r="AP588">
        <f>$C588*AP587</f>
        <v/>
      </c>
      <c r="AQ588">
        <f>$C588*AQ587</f>
        <v/>
      </c>
      <c r="AR588">
        <f>$C588*AR587</f>
        <v/>
      </c>
      <c r="AS588">
        <f>$C588*AS587</f>
        <v/>
      </c>
      <c r="AT588">
        <f>$C588*AT587</f>
        <v/>
      </c>
      <c r="AU588">
        <f>$C588*AU587</f>
        <v/>
      </c>
      <c r="AV588">
        <f>$C588*AV587</f>
        <v/>
      </c>
      <c r="AW588">
        <f>$C588*AW587</f>
        <v/>
      </c>
      <c r="AX588">
        <f>$C588*AX587</f>
        <v/>
      </c>
      <c r="AY588">
        <f>$C588*AY587</f>
        <v/>
      </c>
      <c r="AZ588">
        <f>$C588*AZ587</f>
        <v/>
      </c>
      <c r="BA588">
        <f>$C588*BA587</f>
        <v/>
      </c>
      <c r="BB588">
        <f>$C588*BB587</f>
        <v/>
      </c>
      <c r="BC588">
        <f>$C588*BC587</f>
        <v/>
      </c>
      <c r="BD588">
        <f>$C588*BD587</f>
        <v/>
      </c>
      <c r="BE588">
        <f>$C588*BE587</f>
        <v/>
      </c>
      <c r="BF588">
        <f>$C588*BF587</f>
        <v/>
      </c>
      <c r="BG588">
        <f>$C588*BG587</f>
        <v/>
      </c>
      <c r="BH588">
        <f>$C588*BH587</f>
        <v/>
      </c>
      <c r="BI588">
        <f>$C588*BI587</f>
        <v/>
      </c>
      <c r="BJ588">
        <f>$C588*BJ587</f>
        <v/>
      </c>
      <c r="BK588">
        <f>$C588*BK587</f>
        <v/>
      </c>
      <c r="BL588">
        <f>$C588*BL587</f>
        <v/>
      </c>
      <c r="BM588">
        <f>$C588*BM587</f>
        <v/>
      </c>
      <c r="BN588">
        <f>$C588*BN587</f>
        <v/>
      </c>
      <c r="BO588">
        <f>$C588*BO587</f>
        <v/>
      </c>
      <c r="BP588">
        <f>$C588*BP587</f>
        <v/>
      </c>
      <c r="BQ588">
        <f>$C588*BQ587</f>
        <v/>
      </c>
      <c r="BR588">
        <f>$C588*BR587</f>
        <v/>
      </c>
      <c r="BS588">
        <f>$C588*BS587</f>
        <v/>
      </c>
      <c r="BT588">
        <f>$C588*BT587</f>
        <v/>
      </c>
      <c r="BU588">
        <f>$C588*BU587</f>
        <v/>
      </c>
      <c r="BV588">
        <f>$C588*BV587</f>
        <v/>
      </c>
      <c r="BW588">
        <f>$C588*BW587</f>
        <v/>
      </c>
      <c r="BX588">
        <f>$C588*BX587</f>
        <v/>
      </c>
      <c r="BY588">
        <f>$C588*BY587</f>
        <v/>
      </c>
      <c r="BZ588">
        <f>$C588*BZ587</f>
        <v/>
      </c>
      <c r="CA588">
        <f>$C588*CA587</f>
        <v/>
      </c>
      <c r="CB588">
        <f>$C588*CB587</f>
        <v/>
      </c>
      <c r="CC588">
        <f>$C588*CC587</f>
        <v/>
      </c>
      <c r="CD588">
        <f>$C588*CD587</f>
        <v/>
      </c>
      <c r="CE588">
        <f>$C588*CE587</f>
        <v/>
      </c>
      <c r="CF588">
        <f>$C588*CF587</f>
        <v/>
      </c>
      <c r="CG588">
        <f>$C588*CG587</f>
        <v/>
      </c>
      <c r="CH588">
        <f>$C588*CH587</f>
        <v/>
      </c>
      <c r="CI588">
        <f>$C588*CI587</f>
        <v/>
      </c>
      <c r="CJ588">
        <f>$C588*CJ587</f>
        <v/>
      </c>
      <c r="CK588">
        <f>$C588*CK587</f>
        <v/>
      </c>
      <c r="CL588">
        <f>$C588*CL587</f>
        <v/>
      </c>
      <c r="CM588">
        <f>$C588*CM587</f>
        <v/>
      </c>
      <c r="CN588">
        <f>$C588*CN587</f>
        <v/>
      </c>
      <c r="CO588">
        <f>$C588*CO587</f>
        <v/>
      </c>
      <c r="CP588">
        <f>$C588*CP587</f>
        <v/>
      </c>
      <c r="CQ588">
        <f>$C588*CQ587</f>
        <v/>
      </c>
      <c r="CR588">
        <f>$C588*CR587</f>
        <v/>
      </c>
      <c r="CS588">
        <f>$C588*CS587</f>
        <v/>
      </c>
      <c r="CT588">
        <f>$C588*CT587</f>
        <v/>
      </c>
      <c r="CU588">
        <f>$C588*CU587</f>
        <v/>
      </c>
      <c r="CV588">
        <f>$C588*CV587</f>
        <v/>
      </c>
      <c r="CW588">
        <f>$C588*CW587</f>
        <v/>
      </c>
      <c r="CX588">
        <f>$C588*CX587</f>
        <v/>
      </c>
      <c r="CY588">
        <f>$C588*CY587</f>
        <v/>
      </c>
      <c r="CZ588">
        <f>$C588*CZ587</f>
        <v/>
      </c>
      <c r="DA588">
        <f>$C588*DA587</f>
        <v/>
      </c>
      <c r="DB588">
        <f>$C588*DB587</f>
        <v/>
      </c>
      <c r="DC588">
        <f>$C588*DC587</f>
        <v/>
      </c>
    </row>
    <row r="589">
      <c r="B589" t="inlineStr">
        <is>
          <t>VSP-989</t>
        </is>
      </c>
      <c r="C589" t="inlineStr">
        <is>
          <t>No. of batches</t>
        </is>
      </c>
      <c r="D589">
        <f>IFERROR(INDEX(PP_Grid[#Data],$DD589,2),0)</f>
        <v/>
      </c>
      <c r="E589">
        <f>IFERROR(INDEX(PP_Grid[#Data],$DD589,3),0)</f>
        <v/>
      </c>
      <c r="F589">
        <f>IFERROR(INDEX(PP_Grid[#Data],$DD589,4),0)</f>
        <v/>
      </c>
      <c r="G589">
        <f>IFERROR(INDEX(PP_Grid[#Data],$DD589,5),0)</f>
        <v/>
      </c>
      <c r="H589">
        <f>IFERROR(INDEX(PP_Grid[#Data],$DD589,6),0)</f>
        <v/>
      </c>
      <c r="I589">
        <f>IFERROR(INDEX(PP_Grid[#Data],$DD589,7),0)</f>
        <v/>
      </c>
      <c r="J589">
        <f>IFERROR(INDEX(PP_Grid[#Data],$DD589,8),0)</f>
        <v/>
      </c>
      <c r="K589">
        <f>IFERROR(INDEX(PP_Grid[#Data],$DD589,9),0)</f>
        <v/>
      </c>
      <c r="L589">
        <f>IFERROR(INDEX(PP_Grid[#Data],$DD589,10),0)</f>
        <v/>
      </c>
      <c r="M589">
        <f>IFERROR(INDEX(PP_Grid[#Data],$DD589,11),0)</f>
        <v/>
      </c>
      <c r="N589">
        <f>IFERROR(INDEX(PP_Grid[#Data],$DD589,12),0)</f>
        <v/>
      </c>
      <c r="O589">
        <f>IFERROR(INDEX(PP_Grid[#Data],$DD589,13),0)</f>
        <v/>
      </c>
      <c r="P589">
        <f>IFERROR(INDEX(PP_Grid[#Data],$DD589,14),0)</f>
        <v/>
      </c>
      <c r="Q589">
        <f>IFERROR(INDEX(PP_Grid[#Data],$DD589,15),0)</f>
        <v/>
      </c>
      <c r="R589">
        <f>IFERROR(INDEX(PP_Grid[#Data],$DD589,16),0)</f>
        <v/>
      </c>
      <c r="S589">
        <f>IFERROR(INDEX(PP_Grid[#Data],$DD589,17),0)</f>
        <v/>
      </c>
      <c r="T589">
        <f>IFERROR(INDEX(PP_Grid[#Data],$DD589,18),0)</f>
        <v/>
      </c>
      <c r="U589">
        <f>IFERROR(INDEX(PP_Grid[#Data],$DD589,19),0)</f>
        <v/>
      </c>
      <c r="V589">
        <f>IFERROR(INDEX(PP_Grid[#Data],$DD589,20),0)</f>
        <v/>
      </c>
      <c r="W589">
        <f>IFERROR(INDEX(PP_Grid[#Data],$DD589,21),0)</f>
        <v/>
      </c>
      <c r="X589">
        <f>IFERROR(INDEX(PP_Grid[#Data],$DD589,22),0)</f>
        <v/>
      </c>
      <c r="Y589">
        <f>IFERROR(INDEX(PP_Grid[#Data],$DD589,23),0)</f>
        <v/>
      </c>
      <c r="Z589">
        <f>IFERROR(INDEX(PP_Grid[#Data],$DD589,24),0)</f>
        <v/>
      </c>
      <c r="AA589">
        <f>IFERROR(INDEX(PP_Grid[#Data],$DD589,25),0)</f>
        <v/>
      </c>
      <c r="AB589">
        <f>IFERROR(INDEX(PP_Grid[#Data],$DD589,26),0)</f>
        <v/>
      </c>
      <c r="AC589">
        <f>IFERROR(INDEX(PP_Grid[#Data],$DD589,27),0)</f>
        <v/>
      </c>
      <c r="AD589">
        <f>IFERROR(INDEX(PP_Grid[#Data],$DD589,28),0)</f>
        <v/>
      </c>
      <c r="AE589">
        <f>IFERROR(INDEX(PP_Grid[#Data],$DD589,29),0)</f>
        <v/>
      </c>
      <c r="AF589">
        <f>IFERROR(INDEX(PP_Grid[#Data],$DD589,30),0)</f>
        <v/>
      </c>
      <c r="AG589">
        <f>IFERROR(INDEX(PP_Grid[#Data],$DD589,31),0)</f>
        <v/>
      </c>
      <c r="AH589">
        <f>IFERROR(INDEX(PP_Grid[#Data],$DD589,32),0)</f>
        <v/>
      </c>
      <c r="AI589">
        <f>IFERROR(INDEX(PP_Grid[#Data],$DD589,33),0)</f>
        <v/>
      </c>
      <c r="AJ589">
        <f>IFERROR(INDEX(PP_Grid[#Data],$DD589,34),0)</f>
        <v/>
      </c>
      <c r="AK589">
        <f>IFERROR(INDEX(PP_Grid[#Data],$DD589,35),0)</f>
        <v/>
      </c>
      <c r="AL589">
        <f>IFERROR(INDEX(PP_Grid[#Data],$DD589,36),0)</f>
        <v/>
      </c>
      <c r="AM589">
        <f>IFERROR(INDEX(PP_Grid[#Data],$DD589,37),0)</f>
        <v/>
      </c>
      <c r="AN589">
        <f>IFERROR(INDEX(PP_Grid[#Data],$DD589,38),0)</f>
        <v/>
      </c>
      <c r="AO589">
        <f>IFERROR(INDEX(PP_Grid[#Data],$DD589,39),0)</f>
        <v/>
      </c>
      <c r="AP589">
        <f>IFERROR(INDEX(PP_Grid[#Data],$DD589,40),0)</f>
        <v/>
      </c>
      <c r="AQ589">
        <f>IFERROR(INDEX(PP_Grid[#Data],$DD589,41),0)</f>
        <v/>
      </c>
      <c r="AR589">
        <f>IFERROR(INDEX(PP_Grid[#Data],$DD589,42),0)</f>
        <v/>
      </c>
      <c r="AS589">
        <f>IFERROR(INDEX(PP_Grid[#Data],$DD589,43),0)</f>
        <v/>
      </c>
      <c r="AT589">
        <f>IFERROR(INDEX(PP_Grid[#Data],$DD589,44),0)</f>
        <v/>
      </c>
      <c r="AU589">
        <f>IFERROR(INDEX(PP_Grid[#Data],$DD589,45),0)</f>
        <v/>
      </c>
      <c r="AV589">
        <f>IFERROR(INDEX(PP_Grid[#Data],$DD589,46),0)</f>
        <v/>
      </c>
      <c r="AW589">
        <f>IFERROR(INDEX(PP_Grid[#Data],$DD589,47),0)</f>
        <v/>
      </c>
      <c r="AX589">
        <f>IFERROR(INDEX(PP_Grid[#Data],$DD589,48),0)</f>
        <v/>
      </c>
      <c r="AY589">
        <f>IFERROR(INDEX(PP_Grid[#Data],$DD589,49),0)</f>
        <v/>
      </c>
      <c r="AZ589">
        <f>IFERROR(INDEX(PP_Grid[#Data],$DD589,50),0)</f>
        <v/>
      </c>
      <c r="BA589">
        <f>IFERROR(INDEX(PP_Grid[#Data],$DD589,51),0)</f>
        <v/>
      </c>
      <c r="BB589">
        <f>IFERROR(INDEX(PP_Grid[#Data],$DD589,52),0)</f>
        <v/>
      </c>
      <c r="BC589">
        <f>IFERROR(INDEX(PP_Grid[#Data],$DD589,53),0)</f>
        <v/>
      </c>
      <c r="BD589">
        <f>IFERROR(INDEX(PP_Grid[#Data],$DD589,54),0)</f>
        <v/>
      </c>
      <c r="BE589">
        <f>IFERROR(INDEX(PP_Grid[#Data],$DD589,55),0)</f>
        <v/>
      </c>
      <c r="BF589">
        <f>IFERROR(INDEX(PP_Grid[#Data],$DD589,56),0)</f>
        <v/>
      </c>
      <c r="BG589">
        <f>IFERROR(INDEX(PP_Grid[#Data],$DD589,57),0)</f>
        <v/>
      </c>
      <c r="BH589">
        <f>IFERROR(INDEX(PP_Grid[#Data],$DD589,58),0)</f>
        <v/>
      </c>
      <c r="BI589">
        <f>IFERROR(INDEX(PP_Grid[#Data],$DD589,59),0)</f>
        <v/>
      </c>
      <c r="BJ589">
        <f>IFERROR(INDEX(PP_Grid[#Data],$DD589,60),0)</f>
        <v/>
      </c>
      <c r="BK589">
        <f>IFERROR(INDEX(PP_Grid[#Data],$DD589,61),0)</f>
        <v/>
      </c>
      <c r="BL589">
        <f>IFERROR(INDEX(PP_Grid[#Data],$DD589,62),0)</f>
        <v/>
      </c>
      <c r="BM589">
        <f>IFERROR(INDEX(PP_Grid[#Data],$DD589,63),0)</f>
        <v/>
      </c>
      <c r="BN589">
        <f>IFERROR(INDEX(PP_Grid[#Data],$DD589,64),0)</f>
        <v/>
      </c>
      <c r="BO589">
        <f>IFERROR(INDEX(PP_Grid[#Data],$DD589,65),0)</f>
        <v/>
      </c>
      <c r="BP589">
        <f>IFERROR(INDEX(PP_Grid[#Data],$DD589,66),0)</f>
        <v/>
      </c>
      <c r="BQ589">
        <f>IFERROR(INDEX(PP_Grid[#Data],$DD589,67),0)</f>
        <v/>
      </c>
      <c r="BR589">
        <f>IFERROR(INDEX(PP_Grid[#Data],$DD589,68),0)</f>
        <v/>
      </c>
      <c r="BS589">
        <f>IFERROR(INDEX(PP_Grid[#Data],$DD589,69),0)</f>
        <v/>
      </c>
      <c r="BT589">
        <f>IFERROR(INDEX(PP_Grid[#Data],$DD589,70),0)</f>
        <v/>
      </c>
      <c r="BU589">
        <f>IFERROR(INDEX(PP_Grid[#Data],$DD589,71),0)</f>
        <v/>
      </c>
      <c r="BV589">
        <f>IFERROR(INDEX(PP_Grid[#Data],$DD589,72),0)</f>
        <v/>
      </c>
      <c r="BW589">
        <f>IFERROR(INDEX(PP_Grid[#Data],$DD589,73),0)</f>
        <v/>
      </c>
      <c r="BX589">
        <f>IFERROR(INDEX(PP_Grid[#Data],$DD589,74),0)</f>
        <v/>
      </c>
      <c r="BY589">
        <f>IFERROR(INDEX(PP_Grid[#Data],$DD589,75),0)</f>
        <v/>
      </c>
      <c r="BZ589">
        <f>IFERROR(INDEX(PP_Grid[#Data],$DD589,76),0)</f>
        <v/>
      </c>
      <c r="CA589">
        <f>IFERROR(INDEX(PP_Grid[#Data],$DD589,77),0)</f>
        <v/>
      </c>
      <c r="CB589">
        <f>IFERROR(INDEX(PP_Grid[#Data],$DD589,78),0)</f>
        <v/>
      </c>
      <c r="CC589">
        <f>IFERROR(INDEX(PP_Grid[#Data],$DD589,79),0)</f>
        <v/>
      </c>
      <c r="CD589">
        <f>IFERROR(INDEX(PP_Grid[#Data],$DD589,80),0)</f>
        <v/>
      </c>
      <c r="CE589">
        <f>IFERROR(INDEX(PP_Grid[#Data],$DD589,81),0)</f>
        <v/>
      </c>
      <c r="CF589">
        <f>IFERROR(INDEX(PP_Grid[#Data],$DD589,82),0)</f>
        <v/>
      </c>
      <c r="CG589">
        <f>IFERROR(INDEX(PP_Grid[#Data],$DD589,83),0)</f>
        <v/>
      </c>
      <c r="CH589">
        <f>IFERROR(INDEX(PP_Grid[#Data],$DD589,84),0)</f>
        <v/>
      </c>
      <c r="CI589">
        <f>IFERROR(INDEX(PP_Grid[#Data],$DD589,85),0)</f>
        <v/>
      </c>
      <c r="CJ589">
        <f>IFERROR(INDEX(PP_Grid[#Data],$DD589,86),0)</f>
        <v/>
      </c>
      <c r="CK589">
        <f>IFERROR(INDEX(PP_Grid[#Data],$DD589,87),0)</f>
        <v/>
      </c>
      <c r="CL589">
        <f>IFERROR(INDEX(PP_Grid[#Data],$DD589,88),0)</f>
        <v/>
      </c>
      <c r="CM589">
        <f>IFERROR(INDEX(PP_Grid[#Data],$DD589,89),0)</f>
        <v/>
      </c>
      <c r="CN589">
        <f>IFERROR(INDEX(PP_Grid[#Data],$DD589,90),0)</f>
        <v/>
      </c>
      <c r="CO589">
        <f>IFERROR(INDEX(PP_Grid[#Data],$DD589,91),0)</f>
        <v/>
      </c>
      <c r="CP589">
        <f>IFERROR(INDEX(PP_Grid[#Data],$DD589,92),0)</f>
        <v/>
      </c>
      <c r="CQ589">
        <f>IFERROR(INDEX(PP_Grid[#Data],$DD589,93),0)</f>
        <v/>
      </c>
      <c r="CR589">
        <f>IFERROR(INDEX(PP_Grid[#Data],$DD589,94),0)</f>
        <v/>
      </c>
      <c r="CS589">
        <f>IFERROR(INDEX(PP_Grid[#Data],$DD589,95),0)</f>
        <v/>
      </c>
      <c r="CT589">
        <f>IFERROR(INDEX(PP_Grid[#Data],$DD589,96),0)</f>
        <v/>
      </c>
      <c r="CU589">
        <f>IFERROR(INDEX(PP_Grid[#Data],$DD589,97),0)</f>
        <v/>
      </c>
      <c r="CV589">
        <f>IFERROR(INDEX(PP_Grid[#Data],$DD589,98),0)</f>
        <v/>
      </c>
      <c r="CW589">
        <f>IFERROR(INDEX(PP_Grid[#Data],$DD589,99),0)</f>
        <v/>
      </c>
      <c r="CX589">
        <f>IFERROR(INDEX(PP_Grid[#Data],$DD589,100),0)</f>
        <v/>
      </c>
      <c r="CY589">
        <f>IFERROR(INDEX(PP_Grid[#Data],$DD589,101),0)</f>
        <v/>
      </c>
      <c r="CZ589">
        <f>IFERROR(INDEX(PP_Grid[#Data],$DD589,102),0)</f>
        <v/>
      </c>
      <c r="DA589">
        <f>IFERROR(INDEX(PP_Grid[#Data],$DD589,103),0)</f>
        <v/>
      </c>
      <c r="DB589">
        <f>IFERROR(INDEX(PP_Grid[#Data],$DD589,104),0)</f>
        <v/>
      </c>
      <c r="DC589">
        <f>IFERROR(INDEX(PP_Grid[#Data],$DD589,105),0)</f>
        <v/>
      </c>
      <c r="DD589" s="12">
        <f>IFERROR(MATCH($B589,PP_Grid[Intermediate],0),99999)</f>
        <v/>
      </c>
    </row>
    <row r="590">
      <c r="B590" t="inlineStr">
        <is>
          <t>使用量(kg)</t>
        </is>
      </c>
      <c r="C590">
        <f>SUMIFS(M_BOM[RM_Qty_Per_Batch],M_BOM[Intermediate],$B589,M_BOM[Part Name],$A518)</f>
        <v/>
      </c>
      <c r="D590">
        <f>$C590*D589</f>
        <v/>
      </c>
      <c r="E590">
        <f>$C590*E589</f>
        <v/>
      </c>
      <c r="F590">
        <f>$C590*F589</f>
        <v/>
      </c>
      <c r="G590">
        <f>$C590*G589</f>
        <v/>
      </c>
      <c r="H590">
        <f>$C590*H589</f>
        <v/>
      </c>
      <c r="I590">
        <f>$C590*I589</f>
        <v/>
      </c>
      <c r="J590">
        <f>$C590*J589</f>
        <v/>
      </c>
      <c r="K590">
        <f>$C590*K589</f>
        <v/>
      </c>
      <c r="L590">
        <f>$C590*L589</f>
        <v/>
      </c>
      <c r="M590">
        <f>$C590*M589</f>
        <v/>
      </c>
      <c r="N590">
        <f>$C590*N589</f>
        <v/>
      </c>
      <c r="O590">
        <f>$C590*O589</f>
        <v/>
      </c>
      <c r="P590">
        <f>$C590*P589</f>
        <v/>
      </c>
      <c r="Q590">
        <f>$C590*Q589</f>
        <v/>
      </c>
      <c r="R590">
        <f>$C590*R589</f>
        <v/>
      </c>
      <c r="S590">
        <f>$C590*S589</f>
        <v/>
      </c>
      <c r="T590">
        <f>$C590*T589</f>
        <v/>
      </c>
      <c r="U590">
        <f>$C590*U589</f>
        <v/>
      </c>
      <c r="V590">
        <f>$C590*V589</f>
        <v/>
      </c>
      <c r="W590">
        <f>$C590*W589</f>
        <v/>
      </c>
      <c r="X590">
        <f>$C590*X589</f>
        <v/>
      </c>
      <c r="Y590">
        <f>$C590*Y589</f>
        <v/>
      </c>
      <c r="Z590">
        <f>$C590*Z589</f>
        <v/>
      </c>
      <c r="AA590">
        <f>$C590*AA589</f>
        <v/>
      </c>
      <c r="AB590">
        <f>$C590*AB589</f>
        <v/>
      </c>
      <c r="AC590">
        <f>$C590*AC589</f>
        <v/>
      </c>
      <c r="AD590">
        <f>$C590*AD589</f>
        <v/>
      </c>
      <c r="AE590">
        <f>$C590*AE589</f>
        <v/>
      </c>
      <c r="AF590">
        <f>$C590*AF589</f>
        <v/>
      </c>
      <c r="AG590">
        <f>$C590*AG589</f>
        <v/>
      </c>
      <c r="AH590">
        <f>$C590*AH589</f>
        <v/>
      </c>
      <c r="AI590">
        <f>$C590*AI589</f>
        <v/>
      </c>
      <c r="AJ590">
        <f>$C590*AJ589</f>
        <v/>
      </c>
      <c r="AK590">
        <f>$C590*AK589</f>
        <v/>
      </c>
      <c r="AL590">
        <f>$C590*AL589</f>
        <v/>
      </c>
      <c r="AM590">
        <f>$C590*AM589</f>
        <v/>
      </c>
      <c r="AN590">
        <f>$C590*AN589</f>
        <v/>
      </c>
      <c r="AO590">
        <f>$C590*AO589</f>
        <v/>
      </c>
      <c r="AP590">
        <f>$C590*AP589</f>
        <v/>
      </c>
      <c r="AQ590">
        <f>$C590*AQ589</f>
        <v/>
      </c>
      <c r="AR590">
        <f>$C590*AR589</f>
        <v/>
      </c>
      <c r="AS590">
        <f>$C590*AS589</f>
        <v/>
      </c>
      <c r="AT590">
        <f>$C590*AT589</f>
        <v/>
      </c>
      <c r="AU590">
        <f>$C590*AU589</f>
        <v/>
      </c>
      <c r="AV590">
        <f>$C590*AV589</f>
        <v/>
      </c>
      <c r="AW590">
        <f>$C590*AW589</f>
        <v/>
      </c>
      <c r="AX590">
        <f>$C590*AX589</f>
        <v/>
      </c>
      <c r="AY590">
        <f>$C590*AY589</f>
        <v/>
      </c>
      <c r="AZ590">
        <f>$C590*AZ589</f>
        <v/>
      </c>
      <c r="BA590">
        <f>$C590*BA589</f>
        <v/>
      </c>
      <c r="BB590">
        <f>$C590*BB589</f>
        <v/>
      </c>
      <c r="BC590">
        <f>$C590*BC589</f>
        <v/>
      </c>
      <c r="BD590">
        <f>$C590*BD589</f>
        <v/>
      </c>
      <c r="BE590">
        <f>$C590*BE589</f>
        <v/>
      </c>
      <c r="BF590">
        <f>$C590*BF589</f>
        <v/>
      </c>
      <c r="BG590">
        <f>$C590*BG589</f>
        <v/>
      </c>
      <c r="BH590">
        <f>$C590*BH589</f>
        <v/>
      </c>
      <c r="BI590">
        <f>$C590*BI589</f>
        <v/>
      </c>
      <c r="BJ590">
        <f>$C590*BJ589</f>
        <v/>
      </c>
      <c r="BK590">
        <f>$C590*BK589</f>
        <v/>
      </c>
      <c r="BL590">
        <f>$C590*BL589</f>
        <v/>
      </c>
      <c r="BM590">
        <f>$C590*BM589</f>
        <v/>
      </c>
      <c r="BN590">
        <f>$C590*BN589</f>
        <v/>
      </c>
      <c r="BO590">
        <f>$C590*BO589</f>
        <v/>
      </c>
      <c r="BP590">
        <f>$C590*BP589</f>
        <v/>
      </c>
      <c r="BQ590">
        <f>$C590*BQ589</f>
        <v/>
      </c>
      <c r="BR590">
        <f>$C590*BR589</f>
        <v/>
      </c>
      <c r="BS590">
        <f>$C590*BS589</f>
        <v/>
      </c>
      <c r="BT590">
        <f>$C590*BT589</f>
        <v/>
      </c>
      <c r="BU590">
        <f>$C590*BU589</f>
        <v/>
      </c>
      <c r="BV590">
        <f>$C590*BV589</f>
        <v/>
      </c>
      <c r="BW590">
        <f>$C590*BW589</f>
        <v/>
      </c>
      <c r="BX590">
        <f>$C590*BX589</f>
        <v/>
      </c>
      <c r="BY590">
        <f>$C590*BY589</f>
        <v/>
      </c>
      <c r="BZ590">
        <f>$C590*BZ589</f>
        <v/>
      </c>
      <c r="CA590">
        <f>$C590*CA589</f>
        <v/>
      </c>
      <c r="CB590">
        <f>$C590*CB589</f>
        <v/>
      </c>
      <c r="CC590">
        <f>$C590*CC589</f>
        <v/>
      </c>
      <c r="CD590">
        <f>$C590*CD589</f>
        <v/>
      </c>
      <c r="CE590">
        <f>$C590*CE589</f>
        <v/>
      </c>
      <c r="CF590">
        <f>$C590*CF589</f>
        <v/>
      </c>
      <c r="CG590">
        <f>$C590*CG589</f>
        <v/>
      </c>
      <c r="CH590">
        <f>$C590*CH589</f>
        <v/>
      </c>
      <c r="CI590">
        <f>$C590*CI589</f>
        <v/>
      </c>
      <c r="CJ590">
        <f>$C590*CJ589</f>
        <v/>
      </c>
      <c r="CK590">
        <f>$C590*CK589</f>
        <v/>
      </c>
      <c r="CL590">
        <f>$C590*CL589</f>
        <v/>
      </c>
      <c r="CM590">
        <f>$C590*CM589</f>
        <v/>
      </c>
      <c r="CN590">
        <f>$C590*CN589</f>
        <v/>
      </c>
      <c r="CO590">
        <f>$C590*CO589</f>
        <v/>
      </c>
      <c r="CP590">
        <f>$C590*CP589</f>
        <v/>
      </c>
      <c r="CQ590">
        <f>$C590*CQ589</f>
        <v/>
      </c>
      <c r="CR590">
        <f>$C590*CR589</f>
        <v/>
      </c>
      <c r="CS590">
        <f>$C590*CS589</f>
        <v/>
      </c>
      <c r="CT590">
        <f>$C590*CT589</f>
        <v/>
      </c>
      <c r="CU590">
        <f>$C590*CU589</f>
        <v/>
      </c>
      <c r="CV590">
        <f>$C590*CV589</f>
        <v/>
      </c>
      <c r="CW590">
        <f>$C590*CW589</f>
        <v/>
      </c>
      <c r="CX590">
        <f>$C590*CX589</f>
        <v/>
      </c>
      <c r="CY590">
        <f>$C590*CY589</f>
        <v/>
      </c>
      <c r="CZ590">
        <f>$C590*CZ589</f>
        <v/>
      </c>
      <c r="DA590">
        <f>$C590*DA589</f>
        <v/>
      </c>
      <c r="DB590">
        <f>$C590*DB589</f>
        <v/>
      </c>
      <c r="DC590">
        <f>$C590*DC589</f>
        <v/>
      </c>
    </row>
    <row r="591">
      <c r="B591" t="inlineStr">
        <is>
          <t>VSP-990</t>
        </is>
      </c>
      <c r="C591" t="inlineStr">
        <is>
          <t>No. of batches</t>
        </is>
      </c>
      <c r="D591">
        <f>IFERROR(INDEX(PP_Grid[#Data],$DD591,2),0)</f>
        <v/>
      </c>
      <c r="E591">
        <f>IFERROR(INDEX(PP_Grid[#Data],$DD591,3),0)</f>
        <v/>
      </c>
      <c r="F591">
        <f>IFERROR(INDEX(PP_Grid[#Data],$DD591,4),0)</f>
        <v/>
      </c>
      <c r="G591">
        <f>IFERROR(INDEX(PP_Grid[#Data],$DD591,5),0)</f>
        <v/>
      </c>
      <c r="H591">
        <f>IFERROR(INDEX(PP_Grid[#Data],$DD591,6),0)</f>
        <v/>
      </c>
      <c r="I591">
        <f>IFERROR(INDEX(PP_Grid[#Data],$DD591,7),0)</f>
        <v/>
      </c>
      <c r="J591">
        <f>IFERROR(INDEX(PP_Grid[#Data],$DD591,8),0)</f>
        <v/>
      </c>
      <c r="K591">
        <f>IFERROR(INDEX(PP_Grid[#Data],$DD591,9),0)</f>
        <v/>
      </c>
      <c r="L591">
        <f>IFERROR(INDEX(PP_Grid[#Data],$DD591,10),0)</f>
        <v/>
      </c>
      <c r="M591">
        <f>IFERROR(INDEX(PP_Grid[#Data],$DD591,11),0)</f>
        <v/>
      </c>
      <c r="N591">
        <f>IFERROR(INDEX(PP_Grid[#Data],$DD591,12),0)</f>
        <v/>
      </c>
      <c r="O591">
        <f>IFERROR(INDEX(PP_Grid[#Data],$DD591,13),0)</f>
        <v/>
      </c>
      <c r="P591">
        <f>IFERROR(INDEX(PP_Grid[#Data],$DD591,14),0)</f>
        <v/>
      </c>
      <c r="Q591">
        <f>IFERROR(INDEX(PP_Grid[#Data],$DD591,15),0)</f>
        <v/>
      </c>
      <c r="R591">
        <f>IFERROR(INDEX(PP_Grid[#Data],$DD591,16),0)</f>
        <v/>
      </c>
      <c r="S591">
        <f>IFERROR(INDEX(PP_Grid[#Data],$DD591,17),0)</f>
        <v/>
      </c>
      <c r="T591">
        <f>IFERROR(INDEX(PP_Grid[#Data],$DD591,18),0)</f>
        <v/>
      </c>
      <c r="U591">
        <f>IFERROR(INDEX(PP_Grid[#Data],$DD591,19),0)</f>
        <v/>
      </c>
      <c r="V591">
        <f>IFERROR(INDEX(PP_Grid[#Data],$DD591,20),0)</f>
        <v/>
      </c>
      <c r="W591">
        <f>IFERROR(INDEX(PP_Grid[#Data],$DD591,21),0)</f>
        <v/>
      </c>
      <c r="X591">
        <f>IFERROR(INDEX(PP_Grid[#Data],$DD591,22),0)</f>
        <v/>
      </c>
      <c r="Y591">
        <f>IFERROR(INDEX(PP_Grid[#Data],$DD591,23),0)</f>
        <v/>
      </c>
      <c r="Z591">
        <f>IFERROR(INDEX(PP_Grid[#Data],$DD591,24),0)</f>
        <v/>
      </c>
      <c r="AA591">
        <f>IFERROR(INDEX(PP_Grid[#Data],$DD591,25),0)</f>
        <v/>
      </c>
      <c r="AB591">
        <f>IFERROR(INDEX(PP_Grid[#Data],$DD591,26),0)</f>
        <v/>
      </c>
      <c r="AC591">
        <f>IFERROR(INDEX(PP_Grid[#Data],$DD591,27),0)</f>
        <v/>
      </c>
      <c r="AD591">
        <f>IFERROR(INDEX(PP_Grid[#Data],$DD591,28),0)</f>
        <v/>
      </c>
      <c r="AE591">
        <f>IFERROR(INDEX(PP_Grid[#Data],$DD591,29),0)</f>
        <v/>
      </c>
      <c r="AF591">
        <f>IFERROR(INDEX(PP_Grid[#Data],$DD591,30),0)</f>
        <v/>
      </c>
      <c r="AG591">
        <f>IFERROR(INDEX(PP_Grid[#Data],$DD591,31),0)</f>
        <v/>
      </c>
      <c r="AH591">
        <f>IFERROR(INDEX(PP_Grid[#Data],$DD591,32),0)</f>
        <v/>
      </c>
      <c r="AI591">
        <f>IFERROR(INDEX(PP_Grid[#Data],$DD591,33),0)</f>
        <v/>
      </c>
      <c r="AJ591">
        <f>IFERROR(INDEX(PP_Grid[#Data],$DD591,34),0)</f>
        <v/>
      </c>
      <c r="AK591">
        <f>IFERROR(INDEX(PP_Grid[#Data],$DD591,35),0)</f>
        <v/>
      </c>
      <c r="AL591">
        <f>IFERROR(INDEX(PP_Grid[#Data],$DD591,36),0)</f>
        <v/>
      </c>
      <c r="AM591">
        <f>IFERROR(INDEX(PP_Grid[#Data],$DD591,37),0)</f>
        <v/>
      </c>
      <c r="AN591">
        <f>IFERROR(INDEX(PP_Grid[#Data],$DD591,38),0)</f>
        <v/>
      </c>
      <c r="AO591">
        <f>IFERROR(INDEX(PP_Grid[#Data],$DD591,39),0)</f>
        <v/>
      </c>
      <c r="AP591">
        <f>IFERROR(INDEX(PP_Grid[#Data],$DD591,40),0)</f>
        <v/>
      </c>
      <c r="AQ591">
        <f>IFERROR(INDEX(PP_Grid[#Data],$DD591,41),0)</f>
        <v/>
      </c>
      <c r="AR591">
        <f>IFERROR(INDEX(PP_Grid[#Data],$DD591,42),0)</f>
        <v/>
      </c>
      <c r="AS591">
        <f>IFERROR(INDEX(PP_Grid[#Data],$DD591,43),0)</f>
        <v/>
      </c>
      <c r="AT591">
        <f>IFERROR(INDEX(PP_Grid[#Data],$DD591,44),0)</f>
        <v/>
      </c>
      <c r="AU591">
        <f>IFERROR(INDEX(PP_Grid[#Data],$DD591,45),0)</f>
        <v/>
      </c>
      <c r="AV591">
        <f>IFERROR(INDEX(PP_Grid[#Data],$DD591,46),0)</f>
        <v/>
      </c>
      <c r="AW591">
        <f>IFERROR(INDEX(PP_Grid[#Data],$DD591,47),0)</f>
        <v/>
      </c>
      <c r="AX591">
        <f>IFERROR(INDEX(PP_Grid[#Data],$DD591,48),0)</f>
        <v/>
      </c>
      <c r="AY591">
        <f>IFERROR(INDEX(PP_Grid[#Data],$DD591,49),0)</f>
        <v/>
      </c>
      <c r="AZ591">
        <f>IFERROR(INDEX(PP_Grid[#Data],$DD591,50),0)</f>
        <v/>
      </c>
      <c r="BA591">
        <f>IFERROR(INDEX(PP_Grid[#Data],$DD591,51),0)</f>
        <v/>
      </c>
      <c r="BB591">
        <f>IFERROR(INDEX(PP_Grid[#Data],$DD591,52),0)</f>
        <v/>
      </c>
      <c r="BC591">
        <f>IFERROR(INDEX(PP_Grid[#Data],$DD591,53),0)</f>
        <v/>
      </c>
      <c r="BD591">
        <f>IFERROR(INDEX(PP_Grid[#Data],$DD591,54),0)</f>
        <v/>
      </c>
      <c r="BE591">
        <f>IFERROR(INDEX(PP_Grid[#Data],$DD591,55),0)</f>
        <v/>
      </c>
      <c r="BF591">
        <f>IFERROR(INDEX(PP_Grid[#Data],$DD591,56),0)</f>
        <v/>
      </c>
      <c r="BG591">
        <f>IFERROR(INDEX(PP_Grid[#Data],$DD591,57),0)</f>
        <v/>
      </c>
      <c r="BH591">
        <f>IFERROR(INDEX(PP_Grid[#Data],$DD591,58),0)</f>
        <v/>
      </c>
      <c r="BI591">
        <f>IFERROR(INDEX(PP_Grid[#Data],$DD591,59),0)</f>
        <v/>
      </c>
      <c r="BJ591">
        <f>IFERROR(INDEX(PP_Grid[#Data],$DD591,60),0)</f>
        <v/>
      </c>
      <c r="BK591">
        <f>IFERROR(INDEX(PP_Grid[#Data],$DD591,61),0)</f>
        <v/>
      </c>
      <c r="BL591">
        <f>IFERROR(INDEX(PP_Grid[#Data],$DD591,62),0)</f>
        <v/>
      </c>
      <c r="BM591">
        <f>IFERROR(INDEX(PP_Grid[#Data],$DD591,63),0)</f>
        <v/>
      </c>
      <c r="BN591">
        <f>IFERROR(INDEX(PP_Grid[#Data],$DD591,64),0)</f>
        <v/>
      </c>
      <c r="BO591">
        <f>IFERROR(INDEX(PP_Grid[#Data],$DD591,65),0)</f>
        <v/>
      </c>
      <c r="BP591">
        <f>IFERROR(INDEX(PP_Grid[#Data],$DD591,66),0)</f>
        <v/>
      </c>
      <c r="BQ591">
        <f>IFERROR(INDEX(PP_Grid[#Data],$DD591,67),0)</f>
        <v/>
      </c>
      <c r="BR591">
        <f>IFERROR(INDEX(PP_Grid[#Data],$DD591,68),0)</f>
        <v/>
      </c>
      <c r="BS591">
        <f>IFERROR(INDEX(PP_Grid[#Data],$DD591,69),0)</f>
        <v/>
      </c>
      <c r="BT591">
        <f>IFERROR(INDEX(PP_Grid[#Data],$DD591,70),0)</f>
        <v/>
      </c>
      <c r="BU591">
        <f>IFERROR(INDEX(PP_Grid[#Data],$DD591,71),0)</f>
        <v/>
      </c>
      <c r="BV591">
        <f>IFERROR(INDEX(PP_Grid[#Data],$DD591,72),0)</f>
        <v/>
      </c>
      <c r="BW591">
        <f>IFERROR(INDEX(PP_Grid[#Data],$DD591,73),0)</f>
        <v/>
      </c>
      <c r="BX591">
        <f>IFERROR(INDEX(PP_Grid[#Data],$DD591,74),0)</f>
        <v/>
      </c>
      <c r="BY591">
        <f>IFERROR(INDEX(PP_Grid[#Data],$DD591,75),0)</f>
        <v/>
      </c>
      <c r="BZ591">
        <f>IFERROR(INDEX(PP_Grid[#Data],$DD591,76),0)</f>
        <v/>
      </c>
      <c r="CA591">
        <f>IFERROR(INDEX(PP_Grid[#Data],$DD591,77),0)</f>
        <v/>
      </c>
      <c r="CB591">
        <f>IFERROR(INDEX(PP_Grid[#Data],$DD591,78),0)</f>
        <v/>
      </c>
      <c r="CC591">
        <f>IFERROR(INDEX(PP_Grid[#Data],$DD591,79),0)</f>
        <v/>
      </c>
      <c r="CD591">
        <f>IFERROR(INDEX(PP_Grid[#Data],$DD591,80),0)</f>
        <v/>
      </c>
      <c r="CE591">
        <f>IFERROR(INDEX(PP_Grid[#Data],$DD591,81),0)</f>
        <v/>
      </c>
      <c r="CF591">
        <f>IFERROR(INDEX(PP_Grid[#Data],$DD591,82),0)</f>
        <v/>
      </c>
      <c r="CG591">
        <f>IFERROR(INDEX(PP_Grid[#Data],$DD591,83),0)</f>
        <v/>
      </c>
      <c r="CH591">
        <f>IFERROR(INDEX(PP_Grid[#Data],$DD591,84),0)</f>
        <v/>
      </c>
      <c r="CI591">
        <f>IFERROR(INDEX(PP_Grid[#Data],$DD591,85),0)</f>
        <v/>
      </c>
      <c r="CJ591">
        <f>IFERROR(INDEX(PP_Grid[#Data],$DD591,86),0)</f>
        <v/>
      </c>
      <c r="CK591">
        <f>IFERROR(INDEX(PP_Grid[#Data],$DD591,87),0)</f>
        <v/>
      </c>
      <c r="CL591">
        <f>IFERROR(INDEX(PP_Grid[#Data],$DD591,88),0)</f>
        <v/>
      </c>
      <c r="CM591">
        <f>IFERROR(INDEX(PP_Grid[#Data],$DD591,89),0)</f>
        <v/>
      </c>
      <c r="CN591">
        <f>IFERROR(INDEX(PP_Grid[#Data],$DD591,90),0)</f>
        <v/>
      </c>
      <c r="CO591">
        <f>IFERROR(INDEX(PP_Grid[#Data],$DD591,91),0)</f>
        <v/>
      </c>
      <c r="CP591">
        <f>IFERROR(INDEX(PP_Grid[#Data],$DD591,92),0)</f>
        <v/>
      </c>
      <c r="CQ591">
        <f>IFERROR(INDEX(PP_Grid[#Data],$DD591,93),0)</f>
        <v/>
      </c>
      <c r="CR591">
        <f>IFERROR(INDEX(PP_Grid[#Data],$DD591,94),0)</f>
        <v/>
      </c>
      <c r="CS591">
        <f>IFERROR(INDEX(PP_Grid[#Data],$DD591,95),0)</f>
        <v/>
      </c>
      <c r="CT591">
        <f>IFERROR(INDEX(PP_Grid[#Data],$DD591,96),0)</f>
        <v/>
      </c>
      <c r="CU591">
        <f>IFERROR(INDEX(PP_Grid[#Data],$DD591,97),0)</f>
        <v/>
      </c>
      <c r="CV591">
        <f>IFERROR(INDEX(PP_Grid[#Data],$DD591,98),0)</f>
        <v/>
      </c>
      <c r="CW591">
        <f>IFERROR(INDEX(PP_Grid[#Data],$DD591,99),0)</f>
        <v/>
      </c>
      <c r="CX591">
        <f>IFERROR(INDEX(PP_Grid[#Data],$DD591,100),0)</f>
        <v/>
      </c>
      <c r="CY591">
        <f>IFERROR(INDEX(PP_Grid[#Data],$DD591,101),0)</f>
        <v/>
      </c>
      <c r="CZ591">
        <f>IFERROR(INDEX(PP_Grid[#Data],$DD591,102),0)</f>
        <v/>
      </c>
      <c r="DA591">
        <f>IFERROR(INDEX(PP_Grid[#Data],$DD591,103),0)</f>
        <v/>
      </c>
      <c r="DB591">
        <f>IFERROR(INDEX(PP_Grid[#Data],$DD591,104),0)</f>
        <v/>
      </c>
      <c r="DC591">
        <f>IFERROR(INDEX(PP_Grid[#Data],$DD591,105),0)</f>
        <v/>
      </c>
      <c r="DD591" s="12">
        <f>IFERROR(MATCH($B591,PP_Grid[Intermediate],0),99999)</f>
        <v/>
      </c>
    </row>
    <row r="592">
      <c r="B592" t="inlineStr">
        <is>
          <t>使用量(kg)</t>
        </is>
      </c>
      <c r="C592">
        <f>SUMIFS(M_BOM[RM_Qty_Per_Batch],M_BOM[Intermediate],$B591,M_BOM[Part Name],$A518)</f>
        <v/>
      </c>
      <c r="D592">
        <f>$C592*D591</f>
        <v/>
      </c>
      <c r="E592">
        <f>$C592*E591</f>
        <v/>
      </c>
      <c r="F592">
        <f>$C592*F591</f>
        <v/>
      </c>
      <c r="G592">
        <f>$C592*G591</f>
        <v/>
      </c>
      <c r="H592">
        <f>$C592*H591</f>
        <v/>
      </c>
      <c r="I592">
        <f>$C592*I591</f>
        <v/>
      </c>
      <c r="J592">
        <f>$C592*J591</f>
        <v/>
      </c>
      <c r="K592">
        <f>$C592*K591</f>
        <v/>
      </c>
      <c r="L592">
        <f>$C592*L591</f>
        <v/>
      </c>
      <c r="M592">
        <f>$C592*M591</f>
        <v/>
      </c>
      <c r="N592">
        <f>$C592*N591</f>
        <v/>
      </c>
      <c r="O592">
        <f>$C592*O591</f>
        <v/>
      </c>
      <c r="P592">
        <f>$C592*P591</f>
        <v/>
      </c>
      <c r="Q592">
        <f>$C592*Q591</f>
        <v/>
      </c>
      <c r="R592">
        <f>$C592*R591</f>
        <v/>
      </c>
      <c r="S592">
        <f>$C592*S591</f>
        <v/>
      </c>
      <c r="T592">
        <f>$C592*T591</f>
        <v/>
      </c>
      <c r="U592">
        <f>$C592*U591</f>
        <v/>
      </c>
      <c r="V592">
        <f>$C592*V591</f>
        <v/>
      </c>
      <c r="W592">
        <f>$C592*W591</f>
        <v/>
      </c>
      <c r="X592">
        <f>$C592*X591</f>
        <v/>
      </c>
      <c r="Y592">
        <f>$C592*Y591</f>
        <v/>
      </c>
      <c r="Z592">
        <f>$C592*Z591</f>
        <v/>
      </c>
      <c r="AA592">
        <f>$C592*AA591</f>
        <v/>
      </c>
      <c r="AB592">
        <f>$C592*AB591</f>
        <v/>
      </c>
      <c r="AC592">
        <f>$C592*AC591</f>
        <v/>
      </c>
      <c r="AD592">
        <f>$C592*AD591</f>
        <v/>
      </c>
      <c r="AE592">
        <f>$C592*AE591</f>
        <v/>
      </c>
      <c r="AF592">
        <f>$C592*AF591</f>
        <v/>
      </c>
      <c r="AG592">
        <f>$C592*AG591</f>
        <v/>
      </c>
      <c r="AH592">
        <f>$C592*AH591</f>
        <v/>
      </c>
      <c r="AI592">
        <f>$C592*AI591</f>
        <v/>
      </c>
      <c r="AJ592">
        <f>$C592*AJ591</f>
        <v/>
      </c>
      <c r="AK592">
        <f>$C592*AK591</f>
        <v/>
      </c>
      <c r="AL592">
        <f>$C592*AL591</f>
        <v/>
      </c>
      <c r="AM592">
        <f>$C592*AM591</f>
        <v/>
      </c>
      <c r="AN592">
        <f>$C592*AN591</f>
        <v/>
      </c>
      <c r="AO592">
        <f>$C592*AO591</f>
        <v/>
      </c>
      <c r="AP592">
        <f>$C592*AP591</f>
        <v/>
      </c>
      <c r="AQ592">
        <f>$C592*AQ591</f>
        <v/>
      </c>
      <c r="AR592">
        <f>$C592*AR591</f>
        <v/>
      </c>
      <c r="AS592">
        <f>$C592*AS591</f>
        <v/>
      </c>
      <c r="AT592">
        <f>$C592*AT591</f>
        <v/>
      </c>
      <c r="AU592">
        <f>$C592*AU591</f>
        <v/>
      </c>
      <c r="AV592">
        <f>$C592*AV591</f>
        <v/>
      </c>
      <c r="AW592">
        <f>$C592*AW591</f>
        <v/>
      </c>
      <c r="AX592">
        <f>$C592*AX591</f>
        <v/>
      </c>
      <c r="AY592">
        <f>$C592*AY591</f>
        <v/>
      </c>
      <c r="AZ592">
        <f>$C592*AZ591</f>
        <v/>
      </c>
      <c r="BA592">
        <f>$C592*BA591</f>
        <v/>
      </c>
      <c r="BB592">
        <f>$C592*BB591</f>
        <v/>
      </c>
      <c r="BC592">
        <f>$C592*BC591</f>
        <v/>
      </c>
      <c r="BD592">
        <f>$C592*BD591</f>
        <v/>
      </c>
      <c r="BE592">
        <f>$C592*BE591</f>
        <v/>
      </c>
      <c r="BF592">
        <f>$C592*BF591</f>
        <v/>
      </c>
      <c r="BG592">
        <f>$C592*BG591</f>
        <v/>
      </c>
      <c r="BH592">
        <f>$C592*BH591</f>
        <v/>
      </c>
      <c r="BI592">
        <f>$C592*BI591</f>
        <v/>
      </c>
      <c r="BJ592">
        <f>$C592*BJ591</f>
        <v/>
      </c>
      <c r="BK592">
        <f>$C592*BK591</f>
        <v/>
      </c>
      <c r="BL592">
        <f>$C592*BL591</f>
        <v/>
      </c>
      <c r="BM592">
        <f>$C592*BM591</f>
        <v/>
      </c>
      <c r="BN592">
        <f>$C592*BN591</f>
        <v/>
      </c>
      <c r="BO592">
        <f>$C592*BO591</f>
        <v/>
      </c>
      <c r="BP592">
        <f>$C592*BP591</f>
        <v/>
      </c>
      <c r="BQ592">
        <f>$C592*BQ591</f>
        <v/>
      </c>
      <c r="BR592">
        <f>$C592*BR591</f>
        <v/>
      </c>
      <c r="BS592">
        <f>$C592*BS591</f>
        <v/>
      </c>
      <c r="BT592">
        <f>$C592*BT591</f>
        <v/>
      </c>
      <c r="BU592">
        <f>$C592*BU591</f>
        <v/>
      </c>
      <c r="BV592">
        <f>$C592*BV591</f>
        <v/>
      </c>
      <c r="BW592">
        <f>$C592*BW591</f>
        <v/>
      </c>
      <c r="BX592">
        <f>$C592*BX591</f>
        <v/>
      </c>
      <c r="BY592">
        <f>$C592*BY591</f>
        <v/>
      </c>
      <c r="BZ592">
        <f>$C592*BZ591</f>
        <v/>
      </c>
      <c r="CA592">
        <f>$C592*CA591</f>
        <v/>
      </c>
      <c r="CB592">
        <f>$C592*CB591</f>
        <v/>
      </c>
      <c r="CC592">
        <f>$C592*CC591</f>
        <v/>
      </c>
      <c r="CD592">
        <f>$C592*CD591</f>
        <v/>
      </c>
      <c r="CE592">
        <f>$C592*CE591</f>
        <v/>
      </c>
      <c r="CF592">
        <f>$C592*CF591</f>
        <v/>
      </c>
      <c r="CG592">
        <f>$C592*CG591</f>
        <v/>
      </c>
      <c r="CH592">
        <f>$C592*CH591</f>
        <v/>
      </c>
      <c r="CI592">
        <f>$C592*CI591</f>
        <v/>
      </c>
      <c r="CJ592">
        <f>$C592*CJ591</f>
        <v/>
      </c>
      <c r="CK592">
        <f>$C592*CK591</f>
        <v/>
      </c>
      <c r="CL592">
        <f>$C592*CL591</f>
        <v/>
      </c>
      <c r="CM592">
        <f>$C592*CM591</f>
        <v/>
      </c>
      <c r="CN592">
        <f>$C592*CN591</f>
        <v/>
      </c>
      <c r="CO592">
        <f>$C592*CO591</f>
        <v/>
      </c>
      <c r="CP592">
        <f>$C592*CP591</f>
        <v/>
      </c>
      <c r="CQ592">
        <f>$C592*CQ591</f>
        <v/>
      </c>
      <c r="CR592">
        <f>$C592*CR591</f>
        <v/>
      </c>
      <c r="CS592">
        <f>$C592*CS591</f>
        <v/>
      </c>
      <c r="CT592">
        <f>$C592*CT591</f>
        <v/>
      </c>
      <c r="CU592">
        <f>$C592*CU591</f>
        <v/>
      </c>
      <c r="CV592">
        <f>$C592*CV591</f>
        <v/>
      </c>
      <c r="CW592">
        <f>$C592*CW591</f>
        <v/>
      </c>
      <c r="CX592">
        <f>$C592*CX591</f>
        <v/>
      </c>
      <c r="CY592">
        <f>$C592*CY591</f>
        <v/>
      </c>
      <c r="CZ592">
        <f>$C592*CZ591</f>
        <v/>
      </c>
      <c r="DA592">
        <f>$C592*DA591</f>
        <v/>
      </c>
      <c r="DB592">
        <f>$C592*DB591</f>
        <v/>
      </c>
      <c r="DC592">
        <f>$C592*DC591</f>
        <v/>
      </c>
    </row>
    <row r="593">
      <c r="B593" s="5" t="inlineStr">
        <is>
          <t>合計使用量(kg)/週</t>
        </is>
      </c>
      <c r="D593">
        <f>'Grid_Requirement'!B33</f>
        <v/>
      </c>
      <c r="E593">
        <f>'Grid_Requirement'!C33</f>
        <v/>
      </c>
      <c r="F593">
        <f>'Grid_Requirement'!D33</f>
        <v/>
      </c>
      <c r="G593">
        <f>'Grid_Requirement'!E33</f>
        <v/>
      </c>
      <c r="H593">
        <f>'Grid_Requirement'!F33</f>
        <v/>
      </c>
      <c r="I593">
        <f>'Grid_Requirement'!G33</f>
        <v/>
      </c>
      <c r="J593">
        <f>'Grid_Requirement'!H33</f>
        <v/>
      </c>
      <c r="K593">
        <f>'Grid_Requirement'!I33</f>
        <v/>
      </c>
      <c r="L593">
        <f>'Grid_Requirement'!J33</f>
        <v/>
      </c>
      <c r="M593">
        <f>'Grid_Requirement'!K33</f>
        <v/>
      </c>
      <c r="N593">
        <f>'Grid_Requirement'!L33</f>
        <v/>
      </c>
      <c r="O593">
        <f>'Grid_Requirement'!M33</f>
        <v/>
      </c>
      <c r="P593">
        <f>'Grid_Requirement'!N33</f>
        <v/>
      </c>
      <c r="Q593">
        <f>'Grid_Requirement'!O33</f>
        <v/>
      </c>
      <c r="R593">
        <f>'Grid_Requirement'!P33</f>
        <v/>
      </c>
      <c r="S593">
        <f>'Grid_Requirement'!Q33</f>
        <v/>
      </c>
      <c r="T593">
        <f>'Grid_Requirement'!R33</f>
        <v/>
      </c>
      <c r="U593">
        <f>'Grid_Requirement'!S33</f>
        <v/>
      </c>
      <c r="V593">
        <f>'Grid_Requirement'!T33</f>
        <v/>
      </c>
      <c r="W593">
        <f>'Grid_Requirement'!U33</f>
        <v/>
      </c>
      <c r="X593">
        <f>'Grid_Requirement'!V33</f>
        <v/>
      </c>
      <c r="Y593">
        <f>'Grid_Requirement'!W33</f>
        <v/>
      </c>
      <c r="Z593">
        <f>'Grid_Requirement'!X33</f>
        <v/>
      </c>
      <c r="AA593">
        <f>'Grid_Requirement'!Y33</f>
        <v/>
      </c>
      <c r="AB593">
        <f>'Grid_Requirement'!Z33</f>
        <v/>
      </c>
      <c r="AC593">
        <f>'Grid_Requirement'!AA33</f>
        <v/>
      </c>
      <c r="AD593">
        <f>'Grid_Requirement'!AB33</f>
        <v/>
      </c>
      <c r="AE593">
        <f>'Grid_Requirement'!AC33</f>
        <v/>
      </c>
      <c r="AF593">
        <f>'Grid_Requirement'!AD33</f>
        <v/>
      </c>
      <c r="AG593">
        <f>'Grid_Requirement'!AE33</f>
        <v/>
      </c>
      <c r="AH593">
        <f>'Grid_Requirement'!AF33</f>
        <v/>
      </c>
      <c r="AI593">
        <f>'Grid_Requirement'!AG33</f>
        <v/>
      </c>
      <c r="AJ593">
        <f>'Grid_Requirement'!AH33</f>
        <v/>
      </c>
      <c r="AK593">
        <f>'Grid_Requirement'!AI33</f>
        <v/>
      </c>
      <c r="AL593">
        <f>'Grid_Requirement'!AJ33</f>
        <v/>
      </c>
      <c r="AM593">
        <f>'Grid_Requirement'!AK33</f>
        <v/>
      </c>
      <c r="AN593">
        <f>'Grid_Requirement'!AL33</f>
        <v/>
      </c>
      <c r="AO593">
        <f>'Grid_Requirement'!AM33</f>
        <v/>
      </c>
      <c r="AP593">
        <f>'Grid_Requirement'!AN33</f>
        <v/>
      </c>
      <c r="AQ593">
        <f>'Grid_Requirement'!AO33</f>
        <v/>
      </c>
      <c r="AR593">
        <f>'Grid_Requirement'!AP33</f>
        <v/>
      </c>
      <c r="AS593">
        <f>'Grid_Requirement'!AQ33</f>
        <v/>
      </c>
      <c r="AT593">
        <f>'Grid_Requirement'!AR33</f>
        <v/>
      </c>
      <c r="AU593">
        <f>'Grid_Requirement'!AS33</f>
        <v/>
      </c>
      <c r="AV593">
        <f>'Grid_Requirement'!AT33</f>
        <v/>
      </c>
      <c r="AW593">
        <f>'Grid_Requirement'!AU33</f>
        <v/>
      </c>
      <c r="AX593">
        <f>'Grid_Requirement'!AV33</f>
        <v/>
      </c>
      <c r="AY593">
        <f>'Grid_Requirement'!AW33</f>
        <v/>
      </c>
      <c r="AZ593">
        <f>'Grid_Requirement'!AX33</f>
        <v/>
      </c>
      <c r="BA593">
        <f>'Grid_Requirement'!AY33</f>
        <v/>
      </c>
      <c r="BB593">
        <f>'Grid_Requirement'!AZ33</f>
        <v/>
      </c>
      <c r="BC593">
        <f>'Grid_Requirement'!BA33</f>
        <v/>
      </c>
      <c r="BD593">
        <f>'Grid_Requirement'!BB33</f>
        <v/>
      </c>
      <c r="BE593">
        <f>'Grid_Requirement'!BC33</f>
        <v/>
      </c>
      <c r="BF593">
        <f>'Grid_Requirement'!BD33</f>
        <v/>
      </c>
      <c r="BG593">
        <f>'Grid_Requirement'!BE33</f>
        <v/>
      </c>
      <c r="BH593">
        <f>'Grid_Requirement'!BF33</f>
        <v/>
      </c>
      <c r="BI593">
        <f>'Grid_Requirement'!BG33</f>
        <v/>
      </c>
      <c r="BJ593">
        <f>'Grid_Requirement'!BH33</f>
        <v/>
      </c>
      <c r="BK593">
        <f>'Grid_Requirement'!BI33</f>
        <v/>
      </c>
      <c r="BL593">
        <f>'Grid_Requirement'!BJ33</f>
        <v/>
      </c>
      <c r="BM593">
        <f>'Grid_Requirement'!BK33</f>
        <v/>
      </c>
      <c r="BN593">
        <f>'Grid_Requirement'!BL33</f>
        <v/>
      </c>
      <c r="BO593">
        <f>'Grid_Requirement'!BM33</f>
        <v/>
      </c>
      <c r="BP593">
        <f>'Grid_Requirement'!BN33</f>
        <v/>
      </c>
      <c r="BQ593">
        <f>'Grid_Requirement'!BO33</f>
        <v/>
      </c>
      <c r="BR593">
        <f>'Grid_Requirement'!BP33</f>
        <v/>
      </c>
      <c r="BS593">
        <f>'Grid_Requirement'!BQ33</f>
        <v/>
      </c>
      <c r="BT593">
        <f>'Grid_Requirement'!BR33</f>
        <v/>
      </c>
      <c r="BU593">
        <f>'Grid_Requirement'!BS33</f>
        <v/>
      </c>
      <c r="BV593">
        <f>'Grid_Requirement'!BT33</f>
        <v/>
      </c>
      <c r="BW593">
        <f>'Grid_Requirement'!BU33</f>
        <v/>
      </c>
      <c r="BX593">
        <f>'Grid_Requirement'!BV33</f>
        <v/>
      </c>
      <c r="BY593">
        <f>'Grid_Requirement'!BW33</f>
        <v/>
      </c>
      <c r="BZ593">
        <f>'Grid_Requirement'!BX33</f>
        <v/>
      </c>
      <c r="CA593">
        <f>'Grid_Requirement'!BY33</f>
        <v/>
      </c>
      <c r="CB593">
        <f>'Grid_Requirement'!BZ33</f>
        <v/>
      </c>
      <c r="CC593">
        <f>'Grid_Requirement'!CA33</f>
        <v/>
      </c>
      <c r="CD593">
        <f>'Grid_Requirement'!CB33</f>
        <v/>
      </c>
      <c r="CE593">
        <f>'Grid_Requirement'!CC33</f>
        <v/>
      </c>
      <c r="CF593">
        <f>'Grid_Requirement'!CD33</f>
        <v/>
      </c>
      <c r="CG593">
        <f>'Grid_Requirement'!CE33</f>
        <v/>
      </c>
      <c r="CH593">
        <f>'Grid_Requirement'!CF33</f>
        <v/>
      </c>
      <c r="CI593">
        <f>'Grid_Requirement'!CG33</f>
        <v/>
      </c>
      <c r="CJ593">
        <f>'Grid_Requirement'!CH33</f>
        <v/>
      </c>
      <c r="CK593">
        <f>'Grid_Requirement'!CI33</f>
        <v/>
      </c>
      <c r="CL593">
        <f>'Grid_Requirement'!CJ33</f>
        <v/>
      </c>
      <c r="CM593">
        <f>'Grid_Requirement'!CK33</f>
        <v/>
      </c>
      <c r="CN593">
        <f>'Grid_Requirement'!CL33</f>
        <v/>
      </c>
      <c r="CO593">
        <f>'Grid_Requirement'!CM33</f>
        <v/>
      </c>
      <c r="CP593">
        <f>'Grid_Requirement'!CN33</f>
        <v/>
      </c>
      <c r="CQ593">
        <f>'Grid_Requirement'!CO33</f>
        <v/>
      </c>
      <c r="CR593">
        <f>'Grid_Requirement'!CP33</f>
        <v/>
      </c>
      <c r="CS593">
        <f>'Grid_Requirement'!CQ33</f>
        <v/>
      </c>
      <c r="CT593">
        <f>'Grid_Requirement'!CR33</f>
        <v/>
      </c>
      <c r="CU593">
        <f>'Grid_Requirement'!CS33</f>
        <v/>
      </c>
      <c r="CV593">
        <f>'Grid_Requirement'!CT33</f>
        <v/>
      </c>
      <c r="CW593">
        <f>'Grid_Requirement'!CU33</f>
        <v/>
      </c>
      <c r="CX593">
        <f>'Grid_Requirement'!CV33</f>
        <v/>
      </c>
      <c r="CY593">
        <f>'Grid_Requirement'!CW33</f>
        <v/>
      </c>
      <c r="CZ593">
        <f>'Grid_Requirement'!CX33</f>
        <v/>
      </c>
      <c r="DA593">
        <f>'Grid_Requirement'!CY33</f>
        <v/>
      </c>
      <c r="DB593">
        <f>'Grid_Requirement'!CZ33</f>
        <v/>
      </c>
      <c r="DC593">
        <f>'Grid_Requirement'!DA33</f>
        <v/>
      </c>
    </row>
    <row r="594">
      <c r="B594" t="inlineStr">
        <is>
          <t>TTAF在庫(実績,kg)</t>
        </is>
      </c>
      <c r="D594">
        <f>'T_TTAFStock'!B37</f>
        <v/>
      </c>
      <c r="E594">
        <f>'T_TTAFStock'!C37</f>
        <v/>
      </c>
      <c r="F594">
        <f>'T_TTAFStock'!D37</f>
        <v/>
      </c>
      <c r="G594">
        <f>'T_TTAFStock'!E37</f>
        <v/>
      </c>
      <c r="H594">
        <f>'T_TTAFStock'!F37</f>
        <v/>
      </c>
      <c r="I594">
        <f>'T_TTAFStock'!G37</f>
        <v/>
      </c>
      <c r="J594">
        <f>'T_TTAFStock'!H37</f>
        <v/>
      </c>
      <c r="K594">
        <f>'T_TTAFStock'!I37</f>
        <v/>
      </c>
      <c r="L594">
        <f>'T_TTAFStock'!J37</f>
        <v/>
      </c>
      <c r="M594">
        <f>'T_TTAFStock'!K37</f>
        <v/>
      </c>
      <c r="N594">
        <f>'T_TTAFStock'!L37</f>
        <v/>
      </c>
      <c r="O594">
        <f>'T_TTAFStock'!M37</f>
        <v/>
      </c>
      <c r="P594">
        <f>'T_TTAFStock'!N37</f>
        <v/>
      </c>
      <c r="Q594">
        <f>'T_TTAFStock'!O37</f>
        <v/>
      </c>
      <c r="R594">
        <f>'T_TTAFStock'!P37</f>
        <v/>
      </c>
      <c r="S594">
        <f>'T_TTAFStock'!Q37</f>
        <v/>
      </c>
      <c r="T594">
        <f>'T_TTAFStock'!R37</f>
        <v/>
      </c>
      <c r="U594">
        <f>'T_TTAFStock'!S37</f>
        <v/>
      </c>
      <c r="V594">
        <f>'T_TTAFStock'!T37</f>
        <v/>
      </c>
      <c r="W594">
        <f>'T_TTAFStock'!U37</f>
        <v/>
      </c>
      <c r="X594">
        <f>'T_TTAFStock'!V37</f>
        <v/>
      </c>
      <c r="Y594">
        <f>'T_TTAFStock'!W37</f>
        <v/>
      </c>
      <c r="Z594">
        <f>'T_TTAFStock'!X37</f>
        <v/>
      </c>
      <c r="AA594">
        <f>'T_TTAFStock'!Y37</f>
        <v/>
      </c>
      <c r="AB594">
        <f>'T_TTAFStock'!Z37</f>
        <v/>
      </c>
      <c r="AC594">
        <f>'T_TTAFStock'!AA37</f>
        <v/>
      </c>
      <c r="AD594">
        <f>'T_TTAFStock'!AB37</f>
        <v/>
      </c>
      <c r="AE594">
        <f>'T_TTAFStock'!AC37</f>
        <v/>
      </c>
      <c r="AF594">
        <f>'T_TTAFStock'!AD37</f>
        <v/>
      </c>
      <c r="AG594">
        <f>'T_TTAFStock'!AE37</f>
        <v/>
      </c>
      <c r="AH594">
        <f>'T_TTAFStock'!AF37</f>
        <v/>
      </c>
      <c r="AI594">
        <f>'T_TTAFStock'!AG37</f>
        <v/>
      </c>
      <c r="AJ594">
        <f>'T_TTAFStock'!AH37</f>
        <v/>
      </c>
      <c r="AK594">
        <f>'T_TTAFStock'!AI37</f>
        <v/>
      </c>
      <c r="AL594">
        <f>'T_TTAFStock'!AJ37</f>
        <v/>
      </c>
      <c r="AM594">
        <f>'T_TTAFStock'!AK37</f>
        <v/>
      </c>
      <c r="AN594">
        <f>'T_TTAFStock'!AL37</f>
        <v/>
      </c>
      <c r="AO594">
        <f>'T_TTAFStock'!AM37</f>
        <v/>
      </c>
      <c r="AP594">
        <f>'T_TTAFStock'!AN37</f>
        <v/>
      </c>
      <c r="AQ594">
        <f>'T_TTAFStock'!AO37</f>
        <v/>
      </c>
      <c r="AR594">
        <f>'T_TTAFStock'!AP37</f>
        <v/>
      </c>
      <c r="AS594">
        <f>'T_TTAFStock'!AQ37</f>
        <v/>
      </c>
      <c r="AT594">
        <f>'T_TTAFStock'!AR37</f>
        <v/>
      </c>
      <c r="AU594">
        <f>'T_TTAFStock'!AS37</f>
        <v/>
      </c>
      <c r="AV594">
        <f>'T_TTAFStock'!AT37</f>
        <v/>
      </c>
      <c r="AW594">
        <f>'T_TTAFStock'!AU37</f>
        <v/>
      </c>
      <c r="AX594">
        <f>'T_TTAFStock'!AV37</f>
        <v/>
      </c>
      <c r="AY594">
        <f>'T_TTAFStock'!AW37</f>
        <v/>
      </c>
      <c r="AZ594">
        <f>'T_TTAFStock'!AX37</f>
        <v/>
      </c>
      <c r="BA594">
        <f>'T_TTAFStock'!AY37</f>
        <v/>
      </c>
      <c r="BB594">
        <f>'T_TTAFStock'!AZ37</f>
        <v/>
      </c>
      <c r="BC594">
        <f>'T_TTAFStock'!BA37</f>
        <v/>
      </c>
      <c r="BD594">
        <f>'T_TTAFStock'!BB37</f>
        <v/>
      </c>
      <c r="BE594">
        <f>'T_TTAFStock'!BC37</f>
        <v/>
      </c>
      <c r="BF594">
        <f>'T_TTAFStock'!BD37</f>
        <v/>
      </c>
      <c r="BG594">
        <f>'T_TTAFStock'!BE37</f>
        <v/>
      </c>
      <c r="BH594">
        <f>'T_TTAFStock'!BF37</f>
        <v/>
      </c>
      <c r="BI594">
        <f>'T_TTAFStock'!BG37</f>
        <v/>
      </c>
      <c r="BJ594">
        <f>'T_TTAFStock'!BH37</f>
        <v/>
      </c>
      <c r="BK594">
        <f>'T_TTAFStock'!BI37</f>
        <v/>
      </c>
      <c r="BL594">
        <f>'T_TTAFStock'!BJ37</f>
        <v/>
      </c>
      <c r="BM594">
        <f>'T_TTAFStock'!BK37</f>
        <v/>
      </c>
      <c r="BN594">
        <f>'T_TTAFStock'!BL37</f>
        <v/>
      </c>
      <c r="BO594">
        <f>'T_TTAFStock'!BM37</f>
        <v/>
      </c>
      <c r="BP594">
        <f>'T_TTAFStock'!BN37</f>
        <v/>
      </c>
      <c r="BQ594">
        <f>'T_TTAFStock'!BO37</f>
        <v/>
      </c>
      <c r="BR594">
        <f>'T_TTAFStock'!BP37</f>
        <v/>
      </c>
      <c r="BS594">
        <f>'T_TTAFStock'!BQ37</f>
        <v/>
      </c>
      <c r="BT594">
        <f>'T_TTAFStock'!BR37</f>
        <v/>
      </c>
      <c r="BU594">
        <f>'T_TTAFStock'!BS37</f>
        <v/>
      </c>
      <c r="BV594">
        <f>'T_TTAFStock'!BT37</f>
        <v/>
      </c>
      <c r="BW594">
        <f>'T_TTAFStock'!BU37</f>
        <v/>
      </c>
      <c r="BX594">
        <f>'T_TTAFStock'!BV37</f>
        <v/>
      </c>
      <c r="BY594">
        <f>'T_TTAFStock'!BW37</f>
        <v/>
      </c>
      <c r="BZ594">
        <f>'T_TTAFStock'!BX37</f>
        <v/>
      </c>
      <c r="CA594">
        <f>'T_TTAFStock'!BY37</f>
        <v/>
      </c>
      <c r="CB594">
        <f>'T_TTAFStock'!BZ37</f>
        <v/>
      </c>
      <c r="CC594">
        <f>'T_TTAFStock'!CA37</f>
        <v/>
      </c>
      <c r="CD594">
        <f>'T_TTAFStock'!CB37</f>
        <v/>
      </c>
      <c r="CE594">
        <f>'T_TTAFStock'!CC37</f>
        <v/>
      </c>
      <c r="CF594">
        <f>'T_TTAFStock'!CD37</f>
        <v/>
      </c>
      <c r="CG594">
        <f>'T_TTAFStock'!CE37</f>
        <v/>
      </c>
      <c r="CH594">
        <f>'T_TTAFStock'!CF37</f>
        <v/>
      </c>
      <c r="CI594">
        <f>'T_TTAFStock'!CG37</f>
        <v/>
      </c>
      <c r="CJ594">
        <f>'T_TTAFStock'!CH37</f>
        <v/>
      </c>
      <c r="CK594">
        <f>'T_TTAFStock'!CI37</f>
        <v/>
      </c>
      <c r="CL594">
        <f>'T_TTAFStock'!CJ37</f>
        <v/>
      </c>
      <c r="CM594">
        <f>'T_TTAFStock'!CK37</f>
        <v/>
      </c>
      <c r="CN594">
        <f>'T_TTAFStock'!CL37</f>
        <v/>
      </c>
      <c r="CO594">
        <f>'T_TTAFStock'!CM37</f>
        <v/>
      </c>
      <c r="CP594">
        <f>'T_TTAFStock'!CN37</f>
        <v/>
      </c>
      <c r="CQ594">
        <f>'T_TTAFStock'!CO37</f>
        <v/>
      </c>
      <c r="CR594">
        <f>'T_TTAFStock'!CP37</f>
        <v/>
      </c>
      <c r="CS594">
        <f>'T_TTAFStock'!CQ37</f>
        <v/>
      </c>
      <c r="CT594">
        <f>'T_TTAFStock'!CR37</f>
        <v/>
      </c>
      <c r="CU594">
        <f>'T_TTAFStock'!CS37</f>
        <v/>
      </c>
      <c r="CV594">
        <f>'T_TTAFStock'!CT37</f>
        <v/>
      </c>
      <c r="CW594">
        <f>'T_TTAFStock'!CU37</f>
        <v/>
      </c>
      <c r="CX594">
        <f>'T_TTAFStock'!CV37</f>
        <v/>
      </c>
      <c r="CY594">
        <f>'T_TTAFStock'!CW37</f>
        <v/>
      </c>
      <c r="CZ594">
        <f>'T_TTAFStock'!CX37</f>
        <v/>
      </c>
      <c r="DA594">
        <f>'T_TTAFStock'!CY37</f>
        <v/>
      </c>
      <c r="DB594">
        <f>'T_TTAFStock'!CZ37</f>
        <v/>
      </c>
      <c r="DC594">
        <f>'T_TTAFStock'!DA37</f>
        <v/>
      </c>
    </row>
    <row r="595">
      <c r="B595" t="inlineStr">
        <is>
          <t>自社在庫(実績,kg)</t>
        </is>
      </c>
      <c r="D595">
        <f>'T_SelfStock'!B37</f>
        <v/>
      </c>
      <c r="E595">
        <f>'T_SelfStock'!C37</f>
        <v/>
      </c>
      <c r="F595">
        <f>'T_SelfStock'!D37</f>
        <v/>
      </c>
      <c r="G595">
        <f>'T_SelfStock'!E37</f>
        <v/>
      </c>
      <c r="H595">
        <f>'T_SelfStock'!F37</f>
        <v/>
      </c>
      <c r="I595">
        <f>'T_SelfStock'!G37</f>
        <v/>
      </c>
      <c r="J595">
        <f>'T_SelfStock'!H37</f>
        <v/>
      </c>
      <c r="K595">
        <f>'T_SelfStock'!I37</f>
        <v/>
      </c>
      <c r="L595">
        <f>'T_SelfStock'!J37</f>
        <v/>
      </c>
      <c r="M595">
        <f>'T_SelfStock'!K37</f>
        <v/>
      </c>
      <c r="N595">
        <f>'T_SelfStock'!L37</f>
        <v/>
      </c>
      <c r="O595">
        <f>'T_SelfStock'!M37</f>
        <v/>
      </c>
      <c r="P595">
        <f>'T_SelfStock'!N37</f>
        <v/>
      </c>
      <c r="Q595">
        <f>'T_SelfStock'!O37</f>
        <v/>
      </c>
      <c r="R595">
        <f>'T_SelfStock'!P37</f>
        <v/>
      </c>
      <c r="S595">
        <f>'T_SelfStock'!Q37</f>
        <v/>
      </c>
      <c r="T595">
        <f>'T_SelfStock'!R37</f>
        <v/>
      </c>
      <c r="U595">
        <f>'T_SelfStock'!S37</f>
        <v/>
      </c>
      <c r="V595">
        <f>'T_SelfStock'!T37</f>
        <v/>
      </c>
      <c r="W595">
        <f>'T_SelfStock'!U37</f>
        <v/>
      </c>
      <c r="X595">
        <f>'T_SelfStock'!V37</f>
        <v/>
      </c>
      <c r="Y595">
        <f>'T_SelfStock'!W37</f>
        <v/>
      </c>
      <c r="Z595">
        <f>'T_SelfStock'!X37</f>
        <v/>
      </c>
      <c r="AA595">
        <f>'T_SelfStock'!Y37</f>
        <v/>
      </c>
      <c r="AB595">
        <f>'T_SelfStock'!Z37</f>
        <v/>
      </c>
      <c r="AC595">
        <f>'T_SelfStock'!AA37</f>
        <v/>
      </c>
      <c r="AD595">
        <f>'T_SelfStock'!AB37</f>
        <v/>
      </c>
      <c r="AE595">
        <f>'T_SelfStock'!AC37</f>
        <v/>
      </c>
      <c r="AF595">
        <f>'T_SelfStock'!AD37</f>
        <v/>
      </c>
      <c r="AG595">
        <f>'T_SelfStock'!AE37</f>
        <v/>
      </c>
      <c r="AH595">
        <f>'T_SelfStock'!AF37</f>
        <v/>
      </c>
      <c r="AI595">
        <f>'T_SelfStock'!AG37</f>
        <v/>
      </c>
      <c r="AJ595">
        <f>'T_SelfStock'!AH37</f>
        <v/>
      </c>
      <c r="AK595">
        <f>'T_SelfStock'!AI37</f>
        <v/>
      </c>
      <c r="AL595">
        <f>'T_SelfStock'!AJ37</f>
        <v/>
      </c>
      <c r="AM595">
        <f>'T_SelfStock'!AK37</f>
        <v/>
      </c>
      <c r="AN595">
        <f>'T_SelfStock'!AL37</f>
        <v/>
      </c>
      <c r="AO595">
        <f>'T_SelfStock'!AM37</f>
        <v/>
      </c>
      <c r="AP595">
        <f>'T_SelfStock'!AN37</f>
        <v/>
      </c>
      <c r="AQ595">
        <f>'T_SelfStock'!AO37</f>
        <v/>
      </c>
      <c r="AR595">
        <f>'T_SelfStock'!AP37</f>
        <v/>
      </c>
      <c r="AS595">
        <f>'T_SelfStock'!AQ37</f>
        <v/>
      </c>
      <c r="AT595">
        <f>'T_SelfStock'!AR37</f>
        <v/>
      </c>
      <c r="AU595">
        <f>'T_SelfStock'!AS37</f>
        <v/>
      </c>
      <c r="AV595">
        <f>'T_SelfStock'!AT37</f>
        <v/>
      </c>
      <c r="AW595">
        <f>'T_SelfStock'!AU37</f>
        <v/>
      </c>
      <c r="AX595">
        <f>'T_SelfStock'!AV37</f>
        <v/>
      </c>
      <c r="AY595">
        <f>'T_SelfStock'!AW37</f>
        <v/>
      </c>
      <c r="AZ595">
        <f>'T_SelfStock'!AX37</f>
        <v/>
      </c>
      <c r="BA595">
        <f>'T_SelfStock'!AY37</f>
        <v/>
      </c>
      <c r="BB595">
        <f>'T_SelfStock'!AZ37</f>
        <v/>
      </c>
      <c r="BC595">
        <f>'T_SelfStock'!BA37</f>
        <v/>
      </c>
      <c r="BD595">
        <f>'T_SelfStock'!BB37</f>
        <v/>
      </c>
      <c r="BE595">
        <f>'T_SelfStock'!BC37</f>
        <v/>
      </c>
      <c r="BF595">
        <f>'T_SelfStock'!BD37</f>
        <v/>
      </c>
      <c r="BG595">
        <f>'T_SelfStock'!BE37</f>
        <v/>
      </c>
      <c r="BH595">
        <f>'T_SelfStock'!BF37</f>
        <v/>
      </c>
      <c r="BI595">
        <f>'T_SelfStock'!BG37</f>
        <v/>
      </c>
      <c r="BJ595">
        <f>'T_SelfStock'!BH37</f>
        <v/>
      </c>
      <c r="BK595">
        <f>'T_SelfStock'!BI37</f>
        <v/>
      </c>
      <c r="BL595">
        <f>'T_SelfStock'!BJ37</f>
        <v/>
      </c>
      <c r="BM595">
        <f>'T_SelfStock'!BK37</f>
        <v/>
      </c>
      <c r="BN595">
        <f>'T_SelfStock'!BL37</f>
        <v/>
      </c>
      <c r="BO595">
        <f>'T_SelfStock'!BM37</f>
        <v/>
      </c>
      <c r="BP595">
        <f>'T_SelfStock'!BN37</f>
        <v/>
      </c>
      <c r="BQ595">
        <f>'T_SelfStock'!BO37</f>
        <v/>
      </c>
      <c r="BR595">
        <f>'T_SelfStock'!BP37</f>
        <v/>
      </c>
      <c r="BS595">
        <f>'T_SelfStock'!BQ37</f>
        <v/>
      </c>
      <c r="BT595">
        <f>'T_SelfStock'!BR37</f>
        <v/>
      </c>
      <c r="BU595">
        <f>'T_SelfStock'!BS37</f>
        <v/>
      </c>
      <c r="BV595">
        <f>'T_SelfStock'!BT37</f>
        <v/>
      </c>
      <c r="BW595">
        <f>'T_SelfStock'!BU37</f>
        <v/>
      </c>
      <c r="BX595">
        <f>'T_SelfStock'!BV37</f>
        <v/>
      </c>
      <c r="BY595">
        <f>'T_SelfStock'!BW37</f>
        <v/>
      </c>
      <c r="BZ595">
        <f>'T_SelfStock'!BX37</f>
        <v/>
      </c>
      <c r="CA595">
        <f>'T_SelfStock'!BY37</f>
        <v/>
      </c>
      <c r="CB595">
        <f>'T_SelfStock'!BZ37</f>
        <v/>
      </c>
      <c r="CC595">
        <f>'T_SelfStock'!CA37</f>
        <v/>
      </c>
      <c r="CD595">
        <f>'T_SelfStock'!CB37</f>
        <v/>
      </c>
      <c r="CE595">
        <f>'T_SelfStock'!CC37</f>
        <v/>
      </c>
      <c r="CF595">
        <f>'T_SelfStock'!CD37</f>
        <v/>
      </c>
      <c r="CG595">
        <f>'T_SelfStock'!CE37</f>
        <v/>
      </c>
      <c r="CH595">
        <f>'T_SelfStock'!CF37</f>
        <v/>
      </c>
      <c r="CI595">
        <f>'T_SelfStock'!CG37</f>
        <v/>
      </c>
      <c r="CJ595">
        <f>'T_SelfStock'!CH37</f>
        <v/>
      </c>
      <c r="CK595">
        <f>'T_SelfStock'!CI37</f>
        <v/>
      </c>
      <c r="CL595">
        <f>'T_SelfStock'!CJ37</f>
        <v/>
      </c>
      <c r="CM595">
        <f>'T_SelfStock'!CK37</f>
        <v/>
      </c>
      <c r="CN595">
        <f>'T_SelfStock'!CL37</f>
        <v/>
      </c>
      <c r="CO595">
        <f>'T_SelfStock'!CM37</f>
        <v/>
      </c>
      <c r="CP595">
        <f>'T_SelfStock'!CN37</f>
        <v/>
      </c>
      <c r="CQ595">
        <f>'T_SelfStock'!CO37</f>
        <v/>
      </c>
      <c r="CR595">
        <f>'T_SelfStock'!CP37</f>
        <v/>
      </c>
      <c r="CS595">
        <f>'T_SelfStock'!CQ37</f>
        <v/>
      </c>
      <c r="CT595">
        <f>'T_SelfStock'!CR37</f>
        <v/>
      </c>
      <c r="CU595">
        <f>'T_SelfStock'!CS37</f>
        <v/>
      </c>
      <c r="CV595">
        <f>'T_SelfStock'!CT37</f>
        <v/>
      </c>
      <c r="CW595">
        <f>'T_SelfStock'!CU37</f>
        <v/>
      </c>
      <c r="CX595">
        <f>'T_SelfStock'!CV37</f>
        <v/>
      </c>
      <c r="CY595">
        <f>'T_SelfStock'!CW37</f>
        <v/>
      </c>
      <c r="CZ595">
        <f>'T_SelfStock'!CX37</f>
        <v/>
      </c>
      <c r="DA595">
        <f>'T_SelfStock'!CY37</f>
        <v/>
      </c>
      <c r="DB595">
        <f>'T_SelfStock'!CZ37</f>
        <v/>
      </c>
      <c r="DC595">
        <f>'T_SelfStock'!DA37</f>
        <v/>
      </c>
    </row>
    <row r="596">
      <c r="B596" t="inlineStr">
        <is>
          <t>Order(発注予定,kg)</t>
        </is>
      </c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  <c r="AA596" s="23" t="n"/>
      <c r="AB596" s="23" t="n"/>
      <c r="AC596" s="23" t="n"/>
      <c r="AD596" s="23" t="n"/>
      <c r="AE596" s="23" t="n"/>
      <c r="AF596" s="23" t="n"/>
      <c r="AG596" s="23" t="n"/>
      <c r="AH596" s="23" t="n"/>
      <c r="AI596" s="23" t="n"/>
      <c r="AJ596" s="23" t="n"/>
      <c r="AK596" s="23" t="n"/>
      <c r="AL596" s="23" t="n"/>
      <c r="AM596" s="23" t="n"/>
      <c r="AN596" s="23" t="n"/>
      <c r="AO596" s="23" t="n"/>
      <c r="AP596" s="23" t="n"/>
      <c r="AQ596" s="23" t="n"/>
      <c r="AR596" s="23" t="n"/>
      <c r="AS596" s="23" t="n"/>
      <c r="AT596" s="23" t="n"/>
      <c r="AU596" s="23" t="n"/>
      <c r="AV596" s="23" t="n"/>
      <c r="AW596" s="23" t="n"/>
      <c r="AX596" s="23" t="n"/>
      <c r="AY596" s="23" t="n"/>
      <c r="AZ596" s="23" t="n"/>
      <c r="BA596" s="23" t="n"/>
      <c r="BB596" s="23" t="n"/>
      <c r="BC596" s="23" t="n"/>
      <c r="BD596" s="23" t="n"/>
      <c r="BE596" s="23" t="n"/>
      <c r="BF596" s="23" t="n"/>
      <c r="BG596" s="23" t="n"/>
      <c r="BH596" s="23" t="n"/>
      <c r="BI596" s="23" t="n"/>
      <c r="BJ596" s="23" t="n"/>
      <c r="BK596" s="23" t="n"/>
      <c r="BL596" s="23" t="n"/>
      <c r="BM596" s="23" t="n"/>
      <c r="BN596" s="23" t="n"/>
      <c r="BO596" s="23" t="n"/>
      <c r="BP596" s="23" t="n"/>
      <c r="BQ596" s="23" t="n"/>
      <c r="BR596" s="23" t="n"/>
      <c r="BS596" s="23" t="n"/>
      <c r="BT596" s="23" t="n"/>
      <c r="BU596" s="23" t="n"/>
      <c r="BV596" s="23" t="n"/>
      <c r="BW596" s="23" t="n"/>
      <c r="BX596" s="23" t="n"/>
      <c r="BY596" s="23" t="n"/>
      <c r="BZ596" s="23" t="n"/>
      <c r="CA596" s="23" t="n"/>
      <c r="CB596" s="23" t="n"/>
      <c r="CC596" s="23" t="n"/>
      <c r="CD596" s="23" t="n"/>
      <c r="CE596" s="23" t="n"/>
      <c r="CF596" s="23" t="n"/>
      <c r="CG596" s="23" t="n"/>
      <c r="CH596" s="23" t="n"/>
      <c r="CI596" s="23" t="n"/>
      <c r="CJ596" s="23" t="n"/>
      <c r="CK596" s="23" t="n"/>
      <c r="CL596" s="23" t="n"/>
      <c r="CM596" s="23" t="n"/>
      <c r="CN596" s="23" t="n"/>
      <c r="CO596" s="23" t="n"/>
      <c r="CP596" s="23" t="n"/>
      <c r="CQ596" s="23" t="n"/>
      <c r="CR596" s="23" t="n"/>
      <c r="CS596" s="23" t="n"/>
      <c r="CT596" s="23" t="n"/>
      <c r="CU596" s="23" t="n"/>
      <c r="CV596" s="23" t="n"/>
      <c r="CW596" s="23" t="n"/>
      <c r="CX596" s="23" t="n"/>
      <c r="CY596" s="23" t="n"/>
      <c r="CZ596" s="23" t="n"/>
      <c r="DA596" s="23" t="n"/>
      <c r="DB596" s="23" t="n"/>
      <c r="DC596" s="23" t="n"/>
      <c r="DE596" s="12" t="inlineStr">
        <is>
          <t>CHEM-1400</t>
        </is>
      </c>
    </row>
    <row r="597">
      <c r="B597" s="24" t="inlineStr">
        <is>
          <t>PO_No</t>
        </is>
      </c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  <c r="AD597" s="25" t="n"/>
      <c r="AE597" s="25" t="n"/>
      <c r="AF597" s="25" t="n"/>
      <c r="AG597" s="25" t="n"/>
      <c r="AH597" s="25" t="n"/>
      <c r="AI597" s="25" t="n"/>
      <c r="AJ597" s="25" t="n"/>
      <c r="AK597" s="25" t="n"/>
      <c r="AL597" s="25" t="n"/>
      <c r="AM597" s="25" t="n"/>
      <c r="AN597" s="25" t="n"/>
      <c r="AO597" s="25" t="n"/>
      <c r="AP597" s="25" t="n"/>
      <c r="AQ597" s="25" t="n"/>
      <c r="AR597" s="25" t="n"/>
      <c r="AS597" s="25" t="n"/>
      <c r="AT597" s="25" t="n"/>
      <c r="AU597" s="25" t="n"/>
      <c r="AV597" s="25" t="n"/>
      <c r="AW597" s="25" t="n"/>
      <c r="AX597" s="25" t="n"/>
      <c r="AY597" s="25" t="n"/>
      <c r="AZ597" s="25" t="n"/>
      <c r="BA597" s="25" t="n"/>
      <c r="BB597" s="25" t="n"/>
      <c r="BC597" s="25" t="n"/>
      <c r="BD597" s="25" t="n"/>
      <c r="BE597" s="25" t="n"/>
      <c r="BF597" s="25" t="n"/>
      <c r="BG597" s="25" t="n"/>
      <c r="BH597" s="25" t="n"/>
      <c r="BI597" s="25" t="n"/>
      <c r="BJ597" s="25" t="n"/>
      <c r="BK597" s="25" t="n"/>
      <c r="BL597" s="25" t="n"/>
      <c r="BM597" s="25" t="n"/>
      <c r="BN597" s="25" t="n"/>
      <c r="BO597" s="25" t="n"/>
      <c r="BP597" s="25" t="n"/>
      <c r="BQ597" s="25" t="n"/>
      <c r="BR597" s="25" t="n"/>
      <c r="BS597" s="25" t="n"/>
      <c r="BT597" s="25" t="n"/>
      <c r="BU597" s="25" t="n"/>
      <c r="BV597" s="25" t="n"/>
      <c r="BW597" s="25" t="n"/>
      <c r="BX597" s="25" t="n"/>
      <c r="BY597" s="25" t="n"/>
      <c r="BZ597" s="25" t="n"/>
      <c r="CA597" s="25" t="n"/>
      <c r="CB597" s="25" t="n"/>
      <c r="CC597" s="25" t="n"/>
      <c r="CD597" s="25" t="n"/>
      <c r="CE597" s="25" t="n"/>
      <c r="CF597" s="25" t="n"/>
      <c r="CG597" s="25" t="n"/>
      <c r="CH597" s="25" t="n"/>
      <c r="CI597" s="25" t="n"/>
      <c r="CJ597" s="25" t="n"/>
      <c r="CK597" s="25" t="n"/>
      <c r="CL597" s="25" t="n"/>
      <c r="CM597" s="25" t="n"/>
      <c r="CN597" s="25" t="n"/>
      <c r="CO597" s="25" t="n"/>
      <c r="CP597" s="25" t="n"/>
      <c r="CQ597" s="25" t="n"/>
      <c r="CR597" s="25" t="n"/>
      <c r="CS597" s="25" t="n"/>
      <c r="CT597" s="25" t="n"/>
      <c r="CU597" s="25" t="n"/>
      <c r="CV597" s="25" t="n"/>
      <c r="CW597" s="25" t="n"/>
      <c r="CX597" s="25" t="n"/>
      <c r="CY597" s="25" t="n"/>
      <c r="CZ597" s="25" t="n"/>
      <c r="DA597" s="25" t="n"/>
      <c r="DB597" s="25" t="n"/>
      <c r="DC597" s="25" t="n"/>
    </row>
    <row r="598">
      <c r="B598" s="5" t="inlineStr">
        <is>
          <t>合計在庫(週末時点,kg)</t>
        </is>
      </c>
      <c r="D598">
        <f>'Grid_Stock'!B33</f>
        <v/>
      </c>
      <c r="E598">
        <f>'Grid_Stock'!C33</f>
        <v/>
      </c>
      <c r="F598">
        <f>'Grid_Stock'!D33</f>
        <v/>
      </c>
      <c r="G598">
        <f>'Grid_Stock'!E33</f>
        <v/>
      </c>
      <c r="H598">
        <f>'Grid_Stock'!F33</f>
        <v/>
      </c>
      <c r="I598">
        <f>'Grid_Stock'!G33</f>
        <v/>
      </c>
      <c r="J598">
        <f>'Grid_Stock'!H33</f>
        <v/>
      </c>
      <c r="K598">
        <f>'Grid_Stock'!I33</f>
        <v/>
      </c>
      <c r="L598">
        <f>'Grid_Stock'!J33</f>
        <v/>
      </c>
      <c r="M598">
        <f>'Grid_Stock'!K33</f>
        <v/>
      </c>
      <c r="N598">
        <f>'Grid_Stock'!L33</f>
        <v/>
      </c>
      <c r="O598">
        <f>'Grid_Stock'!M33</f>
        <v/>
      </c>
      <c r="P598">
        <f>'Grid_Stock'!N33</f>
        <v/>
      </c>
      <c r="Q598">
        <f>'Grid_Stock'!O33</f>
        <v/>
      </c>
      <c r="R598">
        <f>'Grid_Stock'!P33</f>
        <v/>
      </c>
      <c r="S598">
        <f>'Grid_Stock'!Q33</f>
        <v/>
      </c>
      <c r="T598">
        <f>'Grid_Stock'!R33</f>
        <v/>
      </c>
      <c r="U598">
        <f>'Grid_Stock'!S33</f>
        <v/>
      </c>
      <c r="V598">
        <f>'Grid_Stock'!T33</f>
        <v/>
      </c>
      <c r="W598">
        <f>'Grid_Stock'!U33</f>
        <v/>
      </c>
      <c r="X598">
        <f>'Grid_Stock'!V33</f>
        <v/>
      </c>
      <c r="Y598">
        <f>'Grid_Stock'!W33</f>
        <v/>
      </c>
      <c r="Z598">
        <f>'Grid_Stock'!X33</f>
        <v/>
      </c>
      <c r="AA598">
        <f>'Grid_Stock'!Y33</f>
        <v/>
      </c>
      <c r="AB598">
        <f>'Grid_Stock'!Z33</f>
        <v/>
      </c>
      <c r="AC598">
        <f>'Grid_Stock'!AA33</f>
        <v/>
      </c>
      <c r="AD598">
        <f>'Grid_Stock'!AB33</f>
        <v/>
      </c>
      <c r="AE598">
        <f>'Grid_Stock'!AC33</f>
        <v/>
      </c>
      <c r="AF598">
        <f>'Grid_Stock'!AD33</f>
        <v/>
      </c>
      <c r="AG598">
        <f>'Grid_Stock'!AE33</f>
        <v/>
      </c>
      <c r="AH598">
        <f>'Grid_Stock'!AF33</f>
        <v/>
      </c>
      <c r="AI598">
        <f>'Grid_Stock'!AG33</f>
        <v/>
      </c>
      <c r="AJ598">
        <f>'Grid_Stock'!AH33</f>
        <v/>
      </c>
      <c r="AK598">
        <f>'Grid_Stock'!AI33</f>
        <v/>
      </c>
      <c r="AL598">
        <f>'Grid_Stock'!AJ33</f>
        <v/>
      </c>
      <c r="AM598">
        <f>'Grid_Stock'!AK33</f>
        <v/>
      </c>
      <c r="AN598">
        <f>'Grid_Stock'!AL33</f>
        <v/>
      </c>
      <c r="AO598">
        <f>'Grid_Stock'!AM33</f>
        <v/>
      </c>
      <c r="AP598">
        <f>'Grid_Stock'!AN33</f>
        <v/>
      </c>
      <c r="AQ598">
        <f>'Grid_Stock'!AO33</f>
        <v/>
      </c>
      <c r="AR598">
        <f>'Grid_Stock'!AP33</f>
        <v/>
      </c>
      <c r="AS598">
        <f>'Grid_Stock'!AQ33</f>
        <v/>
      </c>
      <c r="AT598">
        <f>'Grid_Stock'!AR33</f>
        <v/>
      </c>
      <c r="AU598">
        <f>'Grid_Stock'!AS33</f>
        <v/>
      </c>
      <c r="AV598">
        <f>'Grid_Stock'!AT33</f>
        <v/>
      </c>
      <c r="AW598">
        <f>'Grid_Stock'!AU33</f>
        <v/>
      </c>
      <c r="AX598">
        <f>'Grid_Stock'!AV33</f>
        <v/>
      </c>
      <c r="AY598">
        <f>'Grid_Stock'!AW33</f>
        <v/>
      </c>
      <c r="AZ598">
        <f>'Grid_Stock'!AX33</f>
        <v/>
      </c>
      <c r="BA598">
        <f>'Grid_Stock'!AY33</f>
        <v/>
      </c>
      <c r="BB598">
        <f>'Grid_Stock'!AZ33</f>
        <v/>
      </c>
      <c r="BC598">
        <f>'Grid_Stock'!BA33</f>
        <v/>
      </c>
      <c r="BD598">
        <f>'Grid_Stock'!BB33</f>
        <v/>
      </c>
      <c r="BE598">
        <f>'Grid_Stock'!BC33</f>
        <v/>
      </c>
      <c r="BF598">
        <f>'Grid_Stock'!BD33</f>
        <v/>
      </c>
      <c r="BG598">
        <f>'Grid_Stock'!BE33</f>
        <v/>
      </c>
      <c r="BH598">
        <f>'Grid_Stock'!BF33</f>
        <v/>
      </c>
      <c r="BI598">
        <f>'Grid_Stock'!BG33</f>
        <v/>
      </c>
      <c r="BJ598">
        <f>'Grid_Stock'!BH33</f>
        <v/>
      </c>
      <c r="BK598">
        <f>'Grid_Stock'!BI33</f>
        <v/>
      </c>
      <c r="BL598">
        <f>'Grid_Stock'!BJ33</f>
        <v/>
      </c>
      <c r="BM598">
        <f>'Grid_Stock'!BK33</f>
        <v/>
      </c>
      <c r="BN598">
        <f>'Grid_Stock'!BL33</f>
        <v/>
      </c>
      <c r="BO598">
        <f>'Grid_Stock'!BM33</f>
        <v/>
      </c>
      <c r="BP598">
        <f>'Grid_Stock'!BN33</f>
        <v/>
      </c>
      <c r="BQ598">
        <f>'Grid_Stock'!BO33</f>
        <v/>
      </c>
      <c r="BR598">
        <f>'Grid_Stock'!BP33</f>
        <v/>
      </c>
      <c r="BS598">
        <f>'Grid_Stock'!BQ33</f>
        <v/>
      </c>
      <c r="BT598">
        <f>'Grid_Stock'!BR33</f>
        <v/>
      </c>
      <c r="BU598">
        <f>'Grid_Stock'!BS33</f>
        <v/>
      </c>
      <c r="BV598">
        <f>'Grid_Stock'!BT33</f>
        <v/>
      </c>
      <c r="BW598">
        <f>'Grid_Stock'!BU33</f>
        <v/>
      </c>
      <c r="BX598">
        <f>'Grid_Stock'!BV33</f>
        <v/>
      </c>
      <c r="BY598">
        <f>'Grid_Stock'!BW33</f>
        <v/>
      </c>
      <c r="BZ598">
        <f>'Grid_Stock'!BX33</f>
        <v/>
      </c>
      <c r="CA598">
        <f>'Grid_Stock'!BY33</f>
        <v/>
      </c>
      <c r="CB598">
        <f>'Grid_Stock'!BZ33</f>
        <v/>
      </c>
      <c r="CC598">
        <f>'Grid_Stock'!CA33</f>
        <v/>
      </c>
      <c r="CD598">
        <f>'Grid_Stock'!CB33</f>
        <v/>
      </c>
      <c r="CE598">
        <f>'Grid_Stock'!CC33</f>
        <v/>
      </c>
      <c r="CF598">
        <f>'Grid_Stock'!CD33</f>
        <v/>
      </c>
      <c r="CG598">
        <f>'Grid_Stock'!CE33</f>
        <v/>
      </c>
      <c r="CH598">
        <f>'Grid_Stock'!CF33</f>
        <v/>
      </c>
      <c r="CI598">
        <f>'Grid_Stock'!CG33</f>
        <v/>
      </c>
      <c r="CJ598">
        <f>'Grid_Stock'!CH33</f>
        <v/>
      </c>
      <c r="CK598">
        <f>'Grid_Stock'!CI33</f>
        <v/>
      </c>
      <c r="CL598">
        <f>'Grid_Stock'!CJ33</f>
        <v/>
      </c>
      <c r="CM598">
        <f>'Grid_Stock'!CK33</f>
        <v/>
      </c>
      <c r="CN598">
        <f>'Grid_Stock'!CL33</f>
        <v/>
      </c>
      <c r="CO598">
        <f>'Grid_Stock'!CM33</f>
        <v/>
      </c>
      <c r="CP598">
        <f>'Grid_Stock'!CN33</f>
        <v/>
      </c>
      <c r="CQ598">
        <f>'Grid_Stock'!CO33</f>
        <v/>
      </c>
      <c r="CR598">
        <f>'Grid_Stock'!CP33</f>
        <v/>
      </c>
      <c r="CS598">
        <f>'Grid_Stock'!CQ33</f>
        <v/>
      </c>
      <c r="CT598">
        <f>'Grid_Stock'!CR33</f>
        <v/>
      </c>
      <c r="CU598">
        <f>'Grid_Stock'!CS33</f>
        <v/>
      </c>
      <c r="CV598">
        <f>'Grid_Stock'!CT33</f>
        <v/>
      </c>
      <c r="CW598">
        <f>'Grid_Stock'!CU33</f>
        <v/>
      </c>
      <c r="CX598">
        <f>'Grid_Stock'!CV33</f>
        <v/>
      </c>
      <c r="CY598">
        <f>'Grid_Stock'!CW33</f>
        <v/>
      </c>
      <c r="CZ598">
        <f>'Grid_Stock'!CX33</f>
        <v/>
      </c>
      <c r="DA598">
        <f>'Grid_Stock'!CY33</f>
        <v/>
      </c>
      <c r="DB598">
        <f>'Grid_Stock'!CZ33</f>
        <v/>
      </c>
      <c r="DC598">
        <f>'Grid_Stock'!DA33</f>
        <v/>
      </c>
    </row>
    <row r="599">
      <c r="B599" s="26" t="inlineStr">
        <is>
          <t>（発注の目安はDashboardの基準在庫[下限/上限]と色分けを参照）</t>
        </is>
      </c>
    </row>
    <row r="601">
      <c r="A601" s="21" t="inlineStr">
        <is>
          <t>CHEM-1650</t>
        </is>
      </c>
      <c r="B601" s="21" t="inlineStr">
        <is>
          <t>Duasyn Acid Blue</t>
        </is>
      </c>
      <c r="C601" s="22" t="n"/>
      <c r="D601" s="21" t="n"/>
      <c r="E601" s="21" t="n"/>
      <c r="F601" s="21" t="n"/>
      <c r="G601" s="21" t="n"/>
      <c r="H601" s="21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  <c r="AA601" s="21" t="n"/>
      <c r="AB601" s="21" t="n"/>
      <c r="AC601" s="21" t="n"/>
      <c r="AD601" s="21" t="n"/>
      <c r="AE601" s="21" t="n"/>
      <c r="AF601" s="21" t="n"/>
      <c r="AG601" s="21" t="n"/>
      <c r="AH601" s="21" t="n"/>
      <c r="AI601" s="21" t="n"/>
      <c r="AJ601" s="21" t="n"/>
      <c r="AK601" s="21" t="n"/>
      <c r="AL601" s="21" t="n"/>
      <c r="AM601" s="21" t="n"/>
      <c r="AN601" s="21" t="n"/>
      <c r="AO601" s="21" t="n"/>
      <c r="AP601" s="21" t="n"/>
      <c r="AQ601" s="21" t="n"/>
      <c r="AR601" s="21" t="n"/>
      <c r="AS601" s="21" t="n"/>
      <c r="AT601" s="21" t="n"/>
      <c r="AU601" s="21" t="n"/>
      <c r="AV601" s="21" t="n"/>
      <c r="AW601" s="21" t="n"/>
      <c r="AX601" s="21" t="n"/>
      <c r="AY601" s="21" t="n"/>
      <c r="AZ601" s="21" t="n"/>
      <c r="BA601" s="21" t="n"/>
      <c r="BB601" s="21" t="n"/>
      <c r="BC601" s="21" t="n"/>
      <c r="BD601" s="21" t="n"/>
      <c r="BE601" s="21" t="n"/>
      <c r="BF601" s="21" t="n"/>
      <c r="BG601" s="21" t="n"/>
      <c r="BH601" s="21" t="n"/>
      <c r="BI601" s="21" t="n"/>
      <c r="BJ601" s="21" t="n"/>
      <c r="BK601" s="21" t="n"/>
      <c r="BL601" s="21" t="n"/>
      <c r="BM601" s="21" t="n"/>
      <c r="BN601" s="21" t="n"/>
      <c r="BO601" s="21" t="n"/>
      <c r="BP601" s="21" t="n"/>
      <c r="BQ601" s="21" t="n"/>
      <c r="BR601" s="21" t="n"/>
      <c r="BS601" s="21" t="n"/>
      <c r="BT601" s="21" t="n"/>
      <c r="BU601" s="21" t="n"/>
      <c r="BV601" s="21" t="n"/>
      <c r="BW601" s="21" t="n"/>
      <c r="BX601" s="21" t="n"/>
      <c r="BY601" s="21" t="n"/>
      <c r="BZ601" s="21" t="n"/>
      <c r="CA601" s="21" t="n"/>
      <c r="CB601" s="21" t="n"/>
      <c r="CC601" s="21" t="n"/>
      <c r="CD601" s="21" t="n"/>
      <c r="CE601" s="21" t="n"/>
      <c r="CF601" s="21" t="n"/>
      <c r="CG601" s="21" t="n"/>
      <c r="CH601" s="21" t="n"/>
      <c r="CI601" s="21" t="n"/>
      <c r="CJ601" s="21" t="n"/>
      <c r="CK601" s="21" t="n"/>
      <c r="CL601" s="21" t="n"/>
      <c r="CM601" s="21" t="n"/>
      <c r="CN601" s="21" t="n"/>
      <c r="CO601" s="21" t="n"/>
      <c r="CP601" s="21" t="n"/>
      <c r="CQ601" s="21" t="n"/>
      <c r="CR601" s="21" t="n"/>
      <c r="CS601" s="21" t="n"/>
      <c r="CT601" s="21" t="n"/>
      <c r="CU601" s="21" t="n"/>
      <c r="CV601" s="21" t="n"/>
      <c r="CW601" s="21" t="n"/>
      <c r="CX601" s="21" t="n"/>
      <c r="CY601" s="21" t="n"/>
      <c r="CZ601" s="21" t="n"/>
      <c r="DA601" s="21" t="n"/>
      <c r="DB601" s="21" t="n"/>
      <c r="DC601" s="21" t="n"/>
    </row>
    <row r="602">
      <c r="B602" t="inlineStr">
        <is>
          <t>TSP-1388</t>
        </is>
      </c>
      <c r="C602" t="inlineStr">
        <is>
          <t>No. of batches</t>
        </is>
      </c>
      <c r="D602">
        <f>IFERROR(INDEX(PP_Grid[#Data],$DD602,2),0)</f>
        <v/>
      </c>
      <c r="E602">
        <f>IFERROR(INDEX(PP_Grid[#Data],$DD602,3),0)</f>
        <v/>
      </c>
      <c r="F602">
        <f>IFERROR(INDEX(PP_Grid[#Data],$DD602,4),0)</f>
        <v/>
      </c>
      <c r="G602">
        <f>IFERROR(INDEX(PP_Grid[#Data],$DD602,5),0)</f>
        <v/>
      </c>
      <c r="H602">
        <f>IFERROR(INDEX(PP_Grid[#Data],$DD602,6),0)</f>
        <v/>
      </c>
      <c r="I602">
        <f>IFERROR(INDEX(PP_Grid[#Data],$DD602,7),0)</f>
        <v/>
      </c>
      <c r="J602">
        <f>IFERROR(INDEX(PP_Grid[#Data],$DD602,8),0)</f>
        <v/>
      </c>
      <c r="K602">
        <f>IFERROR(INDEX(PP_Grid[#Data],$DD602,9),0)</f>
        <v/>
      </c>
      <c r="L602">
        <f>IFERROR(INDEX(PP_Grid[#Data],$DD602,10),0)</f>
        <v/>
      </c>
      <c r="M602">
        <f>IFERROR(INDEX(PP_Grid[#Data],$DD602,11),0)</f>
        <v/>
      </c>
      <c r="N602">
        <f>IFERROR(INDEX(PP_Grid[#Data],$DD602,12),0)</f>
        <v/>
      </c>
      <c r="O602">
        <f>IFERROR(INDEX(PP_Grid[#Data],$DD602,13),0)</f>
        <v/>
      </c>
      <c r="P602">
        <f>IFERROR(INDEX(PP_Grid[#Data],$DD602,14),0)</f>
        <v/>
      </c>
      <c r="Q602">
        <f>IFERROR(INDEX(PP_Grid[#Data],$DD602,15),0)</f>
        <v/>
      </c>
      <c r="R602">
        <f>IFERROR(INDEX(PP_Grid[#Data],$DD602,16),0)</f>
        <v/>
      </c>
      <c r="S602">
        <f>IFERROR(INDEX(PP_Grid[#Data],$DD602,17),0)</f>
        <v/>
      </c>
      <c r="T602">
        <f>IFERROR(INDEX(PP_Grid[#Data],$DD602,18),0)</f>
        <v/>
      </c>
      <c r="U602">
        <f>IFERROR(INDEX(PP_Grid[#Data],$DD602,19),0)</f>
        <v/>
      </c>
      <c r="V602">
        <f>IFERROR(INDEX(PP_Grid[#Data],$DD602,20),0)</f>
        <v/>
      </c>
      <c r="W602">
        <f>IFERROR(INDEX(PP_Grid[#Data],$DD602,21),0)</f>
        <v/>
      </c>
      <c r="X602">
        <f>IFERROR(INDEX(PP_Grid[#Data],$DD602,22),0)</f>
        <v/>
      </c>
      <c r="Y602">
        <f>IFERROR(INDEX(PP_Grid[#Data],$DD602,23),0)</f>
        <v/>
      </c>
      <c r="Z602">
        <f>IFERROR(INDEX(PP_Grid[#Data],$DD602,24),0)</f>
        <v/>
      </c>
      <c r="AA602">
        <f>IFERROR(INDEX(PP_Grid[#Data],$DD602,25),0)</f>
        <v/>
      </c>
      <c r="AB602">
        <f>IFERROR(INDEX(PP_Grid[#Data],$DD602,26),0)</f>
        <v/>
      </c>
      <c r="AC602">
        <f>IFERROR(INDEX(PP_Grid[#Data],$DD602,27),0)</f>
        <v/>
      </c>
      <c r="AD602">
        <f>IFERROR(INDEX(PP_Grid[#Data],$DD602,28),0)</f>
        <v/>
      </c>
      <c r="AE602">
        <f>IFERROR(INDEX(PP_Grid[#Data],$DD602,29),0)</f>
        <v/>
      </c>
      <c r="AF602">
        <f>IFERROR(INDEX(PP_Grid[#Data],$DD602,30),0)</f>
        <v/>
      </c>
      <c r="AG602">
        <f>IFERROR(INDEX(PP_Grid[#Data],$DD602,31),0)</f>
        <v/>
      </c>
      <c r="AH602">
        <f>IFERROR(INDEX(PP_Grid[#Data],$DD602,32),0)</f>
        <v/>
      </c>
      <c r="AI602">
        <f>IFERROR(INDEX(PP_Grid[#Data],$DD602,33),0)</f>
        <v/>
      </c>
      <c r="AJ602">
        <f>IFERROR(INDEX(PP_Grid[#Data],$DD602,34),0)</f>
        <v/>
      </c>
      <c r="AK602">
        <f>IFERROR(INDEX(PP_Grid[#Data],$DD602,35),0)</f>
        <v/>
      </c>
      <c r="AL602">
        <f>IFERROR(INDEX(PP_Grid[#Data],$DD602,36),0)</f>
        <v/>
      </c>
      <c r="AM602">
        <f>IFERROR(INDEX(PP_Grid[#Data],$DD602,37),0)</f>
        <v/>
      </c>
      <c r="AN602">
        <f>IFERROR(INDEX(PP_Grid[#Data],$DD602,38),0)</f>
        <v/>
      </c>
      <c r="AO602">
        <f>IFERROR(INDEX(PP_Grid[#Data],$DD602,39),0)</f>
        <v/>
      </c>
      <c r="AP602">
        <f>IFERROR(INDEX(PP_Grid[#Data],$DD602,40),0)</f>
        <v/>
      </c>
      <c r="AQ602">
        <f>IFERROR(INDEX(PP_Grid[#Data],$DD602,41),0)</f>
        <v/>
      </c>
      <c r="AR602">
        <f>IFERROR(INDEX(PP_Grid[#Data],$DD602,42),0)</f>
        <v/>
      </c>
      <c r="AS602">
        <f>IFERROR(INDEX(PP_Grid[#Data],$DD602,43),0)</f>
        <v/>
      </c>
      <c r="AT602">
        <f>IFERROR(INDEX(PP_Grid[#Data],$DD602,44),0)</f>
        <v/>
      </c>
      <c r="AU602">
        <f>IFERROR(INDEX(PP_Grid[#Data],$DD602,45),0)</f>
        <v/>
      </c>
      <c r="AV602">
        <f>IFERROR(INDEX(PP_Grid[#Data],$DD602,46),0)</f>
        <v/>
      </c>
      <c r="AW602">
        <f>IFERROR(INDEX(PP_Grid[#Data],$DD602,47),0)</f>
        <v/>
      </c>
      <c r="AX602">
        <f>IFERROR(INDEX(PP_Grid[#Data],$DD602,48),0)</f>
        <v/>
      </c>
      <c r="AY602">
        <f>IFERROR(INDEX(PP_Grid[#Data],$DD602,49),0)</f>
        <v/>
      </c>
      <c r="AZ602">
        <f>IFERROR(INDEX(PP_Grid[#Data],$DD602,50),0)</f>
        <v/>
      </c>
      <c r="BA602">
        <f>IFERROR(INDEX(PP_Grid[#Data],$DD602,51),0)</f>
        <v/>
      </c>
      <c r="BB602">
        <f>IFERROR(INDEX(PP_Grid[#Data],$DD602,52),0)</f>
        <v/>
      </c>
      <c r="BC602">
        <f>IFERROR(INDEX(PP_Grid[#Data],$DD602,53),0)</f>
        <v/>
      </c>
      <c r="BD602">
        <f>IFERROR(INDEX(PP_Grid[#Data],$DD602,54),0)</f>
        <v/>
      </c>
      <c r="BE602">
        <f>IFERROR(INDEX(PP_Grid[#Data],$DD602,55),0)</f>
        <v/>
      </c>
      <c r="BF602">
        <f>IFERROR(INDEX(PP_Grid[#Data],$DD602,56),0)</f>
        <v/>
      </c>
      <c r="BG602">
        <f>IFERROR(INDEX(PP_Grid[#Data],$DD602,57),0)</f>
        <v/>
      </c>
      <c r="BH602">
        <f>IFERROR(INDEX(PP_Grid[#Data],$DD602,58),0)</f>
        <v/>
      </c>
      <c r="BI602">
        <f>IFERROR(INDEX(PP_Grid[#Data],$DD602,59),0)</f>
        <v/>
      </c>
      <c r="BJ602">
        <f>IFERROR(INDEX(PP_Grid[#Data],$DD602,60),0)</f>
        <v/>
      </c>
      <c r="BK602">
        <f>IFERROR(INDEX(PP_Grid[#Data],$DD602,61),0)</f>
        <v/>
      </c>
      <c r="BL602">
        <f>IFERROR(INDEX(PP_Grid[#Data],$DD602,62),0)</f>
        <v/>
      </c>
      <c r="BM602">
        <f>IFERROR(INDEX(PP_Grid[#Data],$DD602,63),0)</f>
        <v/>
      </c>
      <c r="BN602">
        <f>IFERROR(INDEX(PP_Grid[#Data],$DD602,64),0)</f>
        <v/>
      </c>
      <c r="BO602">
        <f>IFERROR(INDEX(PP_Grid[#Data],$DD602,65),0)</f>
        <v/>
      </c>
      <c r="BP602">
        <f>IFERROR(INDEX(PP_Grid[#Data],$DD602,66),0)</f>
        <v/>
      </c>
      <c r="BQ602">
        <f>IFERROR(INDEX(PP_Grid[#Data],$DD602,67),0)</f>
        <v/>
      </c>
      <c r="BR602">
        <f>IFERROR(INDEX(PP_Grid[#Data],$DD602,68),0)</f>
        <v/>
      </c>
      <c r="BS602">
        <f>IFERROR(INDEX(PP_Grid[#Data],$DD602,69),0)</f>
        <v/>
      </c>
      <c r="BT602">
        <f>IFERROR(INDEX(PP_Grid[#Data],$DD602,70),0)</f>
        <v/>
      </c>
      <c r="BU602">
        <f>IFERROR(INDEX(PP_Grid[#Data],$DD602,71),0)</f>
        <v/>
      </c>
      <c r="BV602">
        <f>IFERROR(INDEX(PP_Grid[#Data],$DD602,72),0)</f>
        <v/>
      </c>
      <c r="BW602">
        <f>IFERROR(INDEX(PP_Grid[#Data],$DD602,73),0)</f>
        <v/>
      </c>
      <c r="BX602">
        <f>IFERROR(INDEX(PP_Grid[#Data],$DD602,74),0)</f>
        <v/>
      </c>
      <c r="BY602">
        <f>IFERROR(INDEX(PP_Grid[#Data],$DD602,75),0)</f>
        <v/>
      </c>
      <c r="BZ602">
        <f>IFERROR(INDEX(PP_Grid[#Data],$DD602,76),0)</f>
        <v/>
      </c>
      <c r="CA602">
        <f>IFERROR(INDEX(PP_Grid[#Data],$DD602,77),0)</f>
        <v/>
      </c>
      <c r="CB602">
        <f>IFERROR(INDEX(PP_Grid[#Data],$DD602,78),0)</f>
        <v/>
      </c>
      <c r="CC602">
        <f>IFERROR(INDEX(PP_Grid[#Data],$DD602,79),0)</f>
        <v/>
      </c>
      <c r="CD602">
        <f>IFERROR(INDEX(PP_Grid[#Data],$DD602,80),0)</f>
        <v/>
      </c>
      <c r="CE602">
        <f>IFERROR(INDEX(PP_Grid[#Data],$DD602,81),0)</f>
        <v/>
      </c>
      <c r="CF602">
        <f>IFERROR(INDEX(PP_Grid[#Data],$DD602,82),0)</f>
        <v/>
      </c>
      <c r="CG602">
        <f>IFERROR(INDEX(PP_Grid[#Data],$DD602,83),0)</f>
        <v/>
      </c>
      <c r="CH602">
        <f>IFERROR(INDEX(PP_Grid[#Data],$DD602,84),0)</f>
        <v/>
      </c>
      <c r="CI602">
        <f>IFERROR(INDEX(PP_Grid[#Data],$DD602,85),0)</f>
        <v/>
      </c>
      <c r="CJ602">
        <f>IFERROR(INDEX(PP_Grid[#Data],$DD602,86),0)</f>
        <v/>
      </c>
      <c r="CK602">
        <f>IFERROR(INDEX(PP_Grid[#Data],$DD602,87),0)</f>
        <v/>
      </c>
      <c r="CL602">
        <f>IFERROR(INDEX(PP_Grid[#Data],$DD602,88),0)</f>
        <v/>
      </c>
      <c r="CM602">
        <f>IFERROR(INDEX(PP_Grid[#Data],$DD602,89),0)</f>
        <v/>
      </c>
      <c r="CN602">
        <f>IFERROR(INDEX(PP_Grid[#Data],$DD602,90),0)</f>
        <v/>
      </c>
      <c r="CO602">
        <f>IFERROR(INDEX(PP_Grid[#Data],$DD602,91),0)</f>
        <v/>
      </c>
      <c r="CP602">
        <f>IFERROR(INDEX(PP_Grid[#Data],$DD602,92),0)</f>
        <v/>
      </c>
      <c r="CQ602">
        <f>IFERROR(INDEX(PP_Grid[#Data],$DD602,93),0)</f>
        <v/>
      </c>
      <c r="CR602">
        <f>IFERROR(INDEX(PP_Grid[#Data],$DD602,94),0)</f>
        <v/>
      </c>
      <c r="CS602">
        <f>IFERROR(INDEX(PP_Grid[#Data],$DD602,95),0)</f>
        <v/>
      </c>
      <c r="CT602">
        <f>IFERROR(INDEX(PP_Grid[#Data],$DD602,96),0)</f>
        <v/>
      </c>
      <c r="CU602">
        <f>IFERROR(INDEX(PP_Grid[#Data],$DD602,97),0)</f>
        <v/>
      </c>
      <c r="CV602">
        <f>IFERROR(INDEX(PP_Grid[#Data],$DD602,98),0)</f>
        <v/>
      </c>
      <c r="CW602">
        <f>IFERROR(INDEX(PP_Grid[#Data],$DD602,99),0)</f>
        <v/>
      </c>
      <c r="CX602">
        <f>IFERROR(INDEX(PP_Grid[#Data],$DD602,100),0)</f>
        <v/>
      </c>
      <c r="CY602">
        <f>IFERROR(INDEX(PP_Grid[#Data],$DD602,101),0)</f>
        <v/>
      </c>
      <c r="CZ602">
        <f>IFERROR(INDEX(PP_Grid[#Data],$DD602,102),0)</f>
        <v/>
      </c>
      <c r="DA602">
        <f>IFERROR(INDEX(PP_Grid[#Data],$DD602,103),0)</f>
        <v/>
      </c>
      <c r="DB602">
        <f>IFERROR(INDEX(PP_Grid[#Data],$DD602,104),0)</f>
        <v/>
      </c>
      <c r="DC602">
        <f>IFERROR(INDEX(PP_Grid[#Data],$DD602,105),0)</f>
        <v/>
      </c>
      <c r="DD602" s="12">
        <f>IFERROR(MATCH($B602,PP_Grid[Intermediate],0),99999)</f>
        <v/>
      </c>
    </row>
    <row r="603">
      <c r="B603" t="inlineStr">
        <is>
          <t>使用量(kg)</t>
        </is>
      </c>
      <c r="C603">
        <f>SUMIFS(M_BOM[RM_Qty_Per_Batch],M_BOM[Intermediate],$B602,M_BOM[Part Name],$A601)</f>
        <v/>
      </c>
      <c r="D603">
        <f>$C603*D602</f>
        <v/>
      </c>
      <c r="E603">
        <f>$C603*E602</f>
        <v/>
      </c>
      <c r="F603">
        <f>$C603*F602</f>
        <v/>
      </c>
      <c r="G603">
        <f>$C603*G602</f>
        <v/>
      </c>
      <c r="H603">
        <f>$C603*H602</f>
        <v/>
      </c>
      <c r="I603">
        <f>$C603*I602</f>
        <v/>
      </c>
      <c r="J603">
        <f>$C603*J602</f>
        <v/>
      </c>
      <c r="K603">
        <f>$C603*K602</f>
        <v/>
      </c>
      <c r="L603">
        <f>$C603*L602</f>
        <v/>
      </c>
      <c r="M603">
        <f>$C603*M602</f>
        <v/>
      </c>
      <c r="N603">
        <f>$C603*N602</f>
        <v/>
      </c>
      <c r="O603">
        <f>$C603*O602</f>
        <v/>
      </c>
      <c r="P603">
        <f>$C603*P602</f>
        <v/>
      </c>
      <c r="Q603">
        <f>$C603*Q602</f>
        <v/>
      </c>
      <c r="R603">
        <f>$C603*R602</f>
        <v/>
      </c>
      <c r="S603">
        <f>$C603*S602</f>
        <v/>
      </c>
      <c r="T603">
        <f>$C603*T602</f>
        <v/>
      </c>
      <c r="U603">
        <f>$C603*U602</f>
        <v/>
      </c>
      <c r="V603">
        <f>$C603*V602</f>
        <v/>
      </c>
      <c r="W603">
        <f>$C603*W602</f>
        <v/>
      </c>
      <c r="X603">
        <f>$C603*X602</f>
        <v/>
      </c>
      <c r="Y603">
        <f>$C603*Y602</f>
        <v/>
      </c>
      <c r="Z603">
        <f>$C603*Z602</f>
        <v/>
      </c>
      <c r="AA603">
        <f>$C603*AA602</f>
        <v/>
      </c>
      <c r="AB603">
        <f>$C603*AB602</f>
        <v/>
      </c>
      <c r="AC603">
        <f>$C603*AC602</f>
        <v/>
      </c>
      <c r="AD603">
        <f>$C603*AD602</f>
        <v/>
      </c>
      <c r="AE603">
        <f>$C603*AE602</f>
        <v/>
      </c>
      <c r="AF603">
        <f>$C603*AF602</f>
        <v/>
      </c>
      <c r="AG603">
        <f>$C603*AG602</f>
        <v/>
      </c>
      <c r="AH603">
        <f>$C603*AH602</f>
        <v/>
      </c>
      <c r="AI603">
        <f>$C603*AI602</f>
        <v/>
      </c>
      <c r="AJ603">
        <f>$C603*AJ602</f>
        <v/>
      </c>
      <c r="AK603">
        <f>$C603*AK602</f>
        <v/>
      </c>
      <c r="AL603">
        <f>$C603*AL602</f>
        <v/>
      </c>
      <c r="AM603">
        <f>$C603*AM602</f>
        <v/>
      </c>
      <c r="AN603">
        <f>$C603*AN602</f>
        <v/>
      </c>
      <c r="AO603">
        <f>$C603*AO602</f>
        <v/>
      </c>
      <c r="AP603">
        <f>$C603*AP602</f>
        <v/>
      </c>
      <c r="AQ603">
        <f>$C603*AQ602</f>
        <v/>
      </c>
      <c r="AR603">
        <f>$C603*AR602</f>
        <v/>
      </c>
      <c r="AS603">
        <f>$C603*AS602</f>
        <v/>
      </c>
      <c r="AT603">
        <f>$C603*AT602</f>
        <v/>
      </c>
      <c r="AU603">
        <f>$C603*AU602</f>
        <v/>
      </c>
      <c r="AV603">
        <f>$C603*AV602</f>
        <v/>
      </c>
      <c r="AW603">
        <f>$C603*AW602</f>
        <v/>
      </c>
      <c r="AX603">
        <f>$C603*AX602</f>
        <v/>
      </c>
      <c r="AY603">
        <f>$C603*AY602</f>
        <v/>
      </c>
      <c r="AZ603">
        <f>$C603*AZ602</f>
        <v/>
      </c>
      <c r="BA603">
        <f>$C603*BA602</f>
        <v/>
      </c>
      <c r="BB603">
        <f>$C603*BB602</f>
        <v/>
      </c>
      <c r="BC603">
        <f>$C603*BC602</f>
        <v/>
      </c>
      <c r="BD603">
        <f>$C603*BD602</f>
        <v/>
      </c>
      <c r="BE603">
        <f>$C603*BE602</f>
        <v/>
      </c>
      <c r="BF603">
        <f>$C603*BF602</f>
        <v/>
      </c>
      <c r="BG603">
        <f>$C603*BG602</f>
        <v/>
      </c>
      <c r="BH603">
        <f>$C603*BH602</f>
        <v/>
      </c>
      <c r="BI603">
        <f>$C603*BI602</f>
        <v/>
      </c>
      <c r="BJ603">
        <f>$C603*BJ602</f>
        <v/>
      </c>
      <c r="BK603">
        <f>$C603*BK602</f>
        <v/>
      </c>
      <c r="BL603">
        <f>$C603*BL602</f>
        <v/>
      </c>
      <c r="BM603">
        <f>$C603*BM602</f>
        <v/>
      </c>
      <c r="BN603">
        <f>$C603*BN602</f>
        <v/>
      </c>
      <c r="BO603">
        <f>$C603*BO602</f>
        <v/>
      </c>
      <c r="BP603">
        <f>$C603*BP602</f>
        <v/>
      </c>
      <c r="BQ603">
        <f>$C603*BQ602</f>
        <v/>
      </c>
      <c r="BR603">
        <f>$C603*BR602</f>
        <v/>
      </c>
      <c r="BS603">
        <f>$C603*BS602</f>
        <v/>
      </c>
      <c r="BT603">
        <f>$C603*BT602</f>
        <v/>
      </c>
      <c r="BU603">
        <f>$C603*BU602</f>
        <v/>
      </c>
      <c r="BV603">
        <f>$C603*BV602</f>
        <v/>
      </c>
      <c r="BW603">
        <f>$C603*BW602</f>
        <v/>
      </c>
      <c r="BX603">
        <f>$C603*BX602</f>
        <v/>
      </c>
      <c r="BY603">
        <f>$C603*BY602</f>
        <v/>
      </c>
      <c r="BZ603">
        <f>$C603*BZ602</f>
        <v/>
      </c>
      <c r="CA603">
        <f>$C603*CA602</f>
        <v/>
      </c>
      <c r="CB603">
        <f>$C603*CB602</f>
        <v/>
      </c>
      <c r="CC603">
        <f>$C603*CC602</f>
        <v/>
      </c>
      <c r="CD603">
        <f>$C603*CD602</f>
        <v/>
      </c>
      <c r="CE603">
        <f>$C603*CE602</f>
        <v/>
      </c>
      <c r="CF603">
        <f>$C603*CF602</f>
        <v/>
      </c>
      <c r="CG603">
        <f>$C603*CG602</f>
        <v/>
      </c>
      <c r="CH603">
        <f>$C603*CH602</f>
        <v/>
      </c>
      <c r="CI603">
        <f>$C603*CI602</f>
        <v/>
      </c>
      <c r="CJ603">
        <f>$C603*CJ602</f>
        <v/>
      </c>
      <c r="CK603">
        <f>$C603*CK602</f>
        <v/>
      </c>
      <c r="CL603">
        <f>$C603*CL602</f>
        <v/>
      </c>
      <c r="CM603">
        <f>$C603*CM602</f>
        <v/>
      </c>
      <c r="CN603">
        <f>$C603*CN602</f>
        <v/>
      </c>
      <c r="CO603">
        <f>$C603*CO602</f>
        <v/>
      </c>
      <c r="CP603">
        <f>$C603*CP602</f>
        <v/>
      </c>
      <c r="CQ603">
        <f>$C603*CQ602</f>
        <v/>
      </c>
      <c r="CR603">
        <f>$C603*CR602</f>
        <v/>
      </c>
      <c r="CS603">
        <f>$C603*CS602</f>
        <v/>
      </c>
      <c r="CT603">
        <f>$C603*CT602</f>
        <v/>
      </c>
      <c r="CU603">
        <f>$C603*CU602</f>
        <v/>
      </c>
      <c r="CV603">
        <f>$C603*CV602</f>
        <v/>
      </c>
      <c r="CW603">
        <f>$C603*CW602</f>
        <v/>
      </c>
      <c r="CX603">
        <f>$C603*CX602</f>
        <v/>
      </c>
      <c r="CY603">
        <f>$C603*CY602</f>
        <v/>
      </c>
      <c r="CZ603">
        <f>$C603*CZ602</f>
        <v/>
      </c>
      <c r="DA603">
        <f>$C603*DA602</f>
        <v/>
      </c>
      <c r="DB603">
        <f>$C603*DB602</f>
        <v/>
      </c>
      <c r="DC603">
        <f>$C603*DC602</f>
        <v/>
      </c>
    </row>
    <row r="604">
      <c r="B604" t="inlineStr">
        <is>
          <t>TSP-402</t>
        </is>
      </c>
      <c r="C604" t="inlineStr">
        <is>
          <t>No. of batches</t>
        </is>
      </c>
      <c r="D604">
        <f>IFERROR(INDEX(PP_Grid[#Data],$DD604,2),0)</f>
        <v/>
      </c>
      <c r="E604">
        <f>IFERROR(INDEX(PP_Grid[#Data],$DD604,3),0)</f>
        <v/>
      </c>
      <c r="F604">
        <f>IFERROR(INDEX(PP_Grid[#Data],$DD604,4),0)</f>
        <v/>
      </c>
      <c r="G604">
        <f>IFERROR(INDEX(PP_Grid[#Data],$DD604,5),0)</f>
        <v/>
      </c>
      <c r="H604">
        <f>IFERROR(INDEX(PP_Grid[#Data],$DD604,6),0)</f>
        <v/>
      </c>
      <c r="I604">
        <f>IFERROR(INDEX(PP_Grid[#Data],$DD604,7),0)</f>
        <v/>
      </c>
      <c r="J604">
        <f>IFERROR(INDEX(PP_Grid[#Data],$DD604,8),0)</f>
        <v/>
      </c>
      <c r="K604">
        <f>IFERROR(INDEX(PP_Grid[#Data],$DD604,9),0)</f>
        <v/>
      </c>
      <c r="L604">
        <f>IFERROR(INDEX(PP_Grid[#Data],$DD604,10),0)</f>
        <v/>
      </c>
      <c r="M604">
        <f>IFERROR(INDEX(PP_Grid[#Data],$DD604,11),0)</f>
        <v/>
      </c>
      <c r="N604">
        <f>IFERROR(INDEX(PP_Grid[#Data],$DD604,12),0)</f>
        <v/>
      </c>
      <c r="O604">
        <f>IFERROR(INDEX(PP_Grid[#Data],$DD604,13),0)</f>
        <v/>
      </c>
      <c r="P604">
        <f>IFERROR(INDEX(PP_Grid[#Data],$DD604,14),0)</f>
        <v/>
      </c>
      <c r="Q604">
        <f>IFERROR(INDEX(PP_Grid[#Data],$DD604,15),0)</f>
        <v/>
      </c>
      <c r="R604">
        <f>IFERROR(INDEX(PP_Grid[#Data],$DD604,16),0)</f>
        <v/>
      </c>
      <c r="S604">
        <f>IFERROR(INDEX(PP_Grid[#Data],$DD604,17),0)</f>
        <v/>
      </c>
      <c r="T604">
        <f>IFERROR(INDEX(PP_Grid[#Data],$DD604,18),0)</f>
        <v/>
      </c>
      <c r="U604">
        <f>IFERROR(INDEX(PP_Grid[#Data],$DD604,19),0)</f>
        <v/>
      </c>
      <c r="V604">
        <f>IFERROR(INDEX(PP_Grid[#Data],$DD604,20),0)</f>
        <v/>
      </c>
      <c r="W604">
        <f>IFERROR(INDEX(PP_Grid[#Data],$DD604,21),0)</f>
        <v/>
      </c>
      <c r="X604">
        <f>IFERROR(INDEX(PP_Grid[#Data],$DD604,22),0)</f>
        <v/>
      </c>
      <c r="Y604">
        <f>IFERROR(INDEX(PP_Grid[#Data],$DD604,23),0)</f>
        <v/>
      </c>
      <c r="Z604">
        <f>IFERROR(INDEX(PP_Grid[#Data],$DD604,24),0)</f>
        <v/>
      </c>
      <c r="AA604">
        <f>IFERROR(INDEX(PP_Grid[#Data],$DD604,25),0)</f>
        <v/>
      </c>
      <c r="AB604">
        <f>IFERROR(INDEX(PP_Grid[#Data],$DD604,26),0)</f>
        <v/>
      </c>
      <c r="AC604">
        <f>IFERROR(INDEX(PP_Grid[#Data],$DD604,27),0)</f>
        <v/>
      </c>
      <c r="AD604">
        <f>IFERROR(INDEX(PP_Grid[#Data],$DD604,28),0)</f>
        <v/>
      </c>
      <c r="AE604">
        <f>IFERROR(INDEX(PP_Grid[#Data],$DD604,29),0)</f>
        <v/>
      </c>
      <c r="AF604">
        <f>IFERROR(INDEX(PP_Grid[#Data],$DD604,30),0)</f>
        <v/>
      </c>
      <c r="AG604">
        <f>IFERROR(INDEX(PP_Grid[#Data],$DD604,31),0)</f>
        <v/>
      </c>
      <c r="AH604">
        <f>IFERROR(INDEX(PP_Grid[#Data],$DD604,32),0)</f>
        <v/>
      </c>
      <c r="AI604">
        <f>IFERROR(INDEX(PP_Grid[#Data],$DD604,33),0)</f>
        <v/>
      </c>
      <c r="AJ604">
        <f>IFERROR(INDEX(PP_Grid[#Data],$DD604,34),0)</f>
        <v/>
      </c>
      <c r="AK604">
        <f>IFERROR(INDEX(PP_Grid[#Data],$DD604,35),0)</f>
        <v/>
      </c>
      <c r="AL604">
        <f>IFERROR(INDEX(PP_Grid[#Data],$DD604,36),0)</f>
        <v/>
      </c>
      <c r="AM604">
        <f>IFERROR(INDEX(PP_Grid[#Data],$DD604,37),0)</f>
        <v/>
      </c>
      <c r="AN604">
        <f>IFERROR(INDEX(PP_Grid[#Data],$DD604,38),0)</f>
        <v/>
      </c>
      <c r="AO604">
        <f>IFERROR(INDEX(PP_Grid[#Data],$DD604,39),0)</f>
        <v/>
      </c>
      <c r="AP604">
        <f>IFERROR(INDEX(PP_Grid[#Data],$DD604,40),0)</f>
        <v/>
      </c>
      <c r="AQ604">
        <f>IFERROR(INDEX(PP_Grid[#Data],$DD604,41),0)</f>
        <v/>
      </c>
      <c r="AR604">
        <f>IFERROR(INDEX(PP_Grid[#Data],$DD604,42),0)</f>
        <v/>
      </c>
      <c r="AS604">
        <f>IFERROR(INDEX(PP_Grid[#Data],$DD604,43),0)</f>
        <v/>
      </c>
      <c r="AT604">
        <f>IFERROR(INDEX(PP_Grid[#Data],$DD604,44),0)</f>
        <v/>
      </c>
      <c r="AU604">
        <f>IFERROR(INDEX(PP_Grid[#Data],$DD604,45),0)</f>
        <v/>
      </c>
      <c r="AV604">
        <f>IFERROR(INDEX(PP_Grid[#Data],$DD604,46),0)</f>
        <v/>
      </c>
      <c r="AW604">
        <f>IFERROR(INDEX(PP_Grid[#Data],$DD604,47),0)</f>
        <v/>
      </c>
      <c r="AX604">
        <f>IFERROR(INDEX(PP_Grid[#Data],$DD604,48),0)</f>
        <v/>
      </c>
      <c r="AY604">
        <f>IFERROR(INDEX(PP_Grid[#Data],$DD604,49),0)</f>
        <v/>
      </c>
      <c r="AZ604">
        <f>IFERROR(INDEX(PP_Grid[#Data],$DD604,50),0)</f>
        <v/>
      </c>
      <c r="BA604">
        <f>IFERROR(INDEX(PP_Grid[#Data],$DD604,51),0)</f>
        <v/>
      </c>
      <c r="BB604">
        <f>IFERROR(INDEX(PP_Grid[#Data],$DD604,52),0)</f>
        <v/>
      </c>
      <c r="BC604">
        <f>IFERROR(INDEX(PP_Grid[#Data],$DD604,53),0)</f>
        <v/>
      </c>
      <c r="BD604">
        <f>IFERROR(INDEX(PP_Grid[#Data],$DD604,54),0)</f>
        <v/>
      </c>
      <c r="BE604">
        <f>IFERROR(INDEX(PP_Grid[#Data],$DD604,55),0)</f>
        <v/>
      </c>
      <c r="BF604">
        <f>IFERROR(INDEX(PP_Grid[#Data],$DD604,56),0)</f>
        <v/>
      </c>
      <c r="BG604">
        <f>IFERROR(INDEX(PP_Grid[#Data],$DD604,57),0)</f>
        <v/>
      </c>
      <c r="BH604">
        <f>IFERROR(INDEX(PP_Grid[#Data],$DD604,58),0)</f>
        <v/>
      </c>
      <c r="BI604">
        <f>IFERROR(INDEX(PP_Grid[#Data],$DD604,59),0)</f>
        <v/>
      </c>
      <c r="BJ604">
        <f>IFERROR(INDEX(PP_Grid[#Data],$DD604,60),0)</f>
        <v/>
      </c>
      <c r="BK604">
        <f>IFERROR(INDEX(PP_Grid[#Data],$DD604,61),0)</f>
        <v/>
      </c>
      <c r="BL604">
        <f>IFERROR(INDEX(PP_Grid[#Data],$DD604,62),0)</f>
        <v/>
      </c>
      <c r="BM604">
        <f>IFERROR(INDEX(PP_Grid[#Data],$DD604,63),0)</f>
        <v/>
      </c>
      <c r="BN604">
        <f>IFERROR(INDEX(PP_Grid[#Data],$DD604,64),0)</f>
        <v/>
      </c>
      <c r="BO604">
        <f>IFERROR(INDEX(PP_Grid[#Data],$DD604,65),0)</f>
        <v/>
      </c>
      <c r="BP604">
        <f>IFERROR(INDEX(PP_Grid[#Data],$DD604,66),0)</f>
        <v/>
      </c>
      <c r="BQ604">
        <f>IFERROR(INDEX(PP_Grid[#Data],$DD604,67),0)</f>
        <v/>
      </c>
      <c r="BR604">
        <f>IFERROR(INDEX(PP_Grid[#Data],$DD604,68),0)</f>
        <v/>
      </c>
      <c r="BS604">
        <f>IFERROR(INDEX(PP_Grid[#Data],$DD604,69),0)</f>
        <v/>
      </c>
      <c r="BT604">
        <f>IFERROR(INDEX(PP_Grid[#Data],$DD604,70),0)</f>
        <v/>
      </c>
      <c r="BU604">
        <f>IFERROR(INDEX(PP_Grid[#Data],$DD604,71),0)</f>
        <v/>
      </c>
      <c r="BV604">
        <f>IFERROR(INDEX(PP_Grid[#Data],$DD604,72),0)</f>
        <v/>
      </c>
      <c r="BW604">
        <f>IFERROR(INDEX(PP_Grid[#Data],$DD604,73),0)</f>
        <v/>
      </c>
      <c r="BX604">
        <f>IFERROR(INDEX(PP_Grid[#Data],$DD604,74),0)</f>
        <v/>
      </c>
      <c r="BY604">
        <f>IFERROR(INDEX(PP_Grid[#Data],$DD604,75),0)</f>
        <v/>
      </c>
      <c r="BZ604">
        <f>IFERROR(INDEX(PP_Grid[#Data],$DD604,76),0)</f>
        <v/>
      </c>
      <c r="CA604">
        <f>IFERROR(INDEX(PP_Grid[#Data],$DD604,77),0)</f>
        <v/>
      </c>
      <c r="CB604">
        <f>IFERROR(INDEX(PP_Grid[#Data],$DD604,78),0)</f>
        <v/>
      </c>
      <c r="CC604">
        <f>IFERROR(INDEX(PP_Grid[#Data],$DD604,79),0)</f>
        <v/>
      </c>
      <c r="CD604">
        <f>IFERROR(INDEX(PP_Grid[#Data],$DD604,80),0)</f>
        <v/>
      </c>
      <c r="CE604">
        <f>IFERROR(INDEX(PP_Grid[#Data],$DD604,81),0)</f>
        <v/>
      </c>
      <c r="CF604">
        <f>IFERROR(INDEX(PP_Grid[#Data],$DD604,82),0)</f>
        <v/>
      </c>
      <c r="CG604">
        <f>IFERROR(INDEX(PP_Grid[#Data],$DD604,83),0)</f>
        <v/>
      </c>
      <c r="CH604">
        <f>IFERROR(INDEX(PP_Grid[#Data],$DD604,84),0)</f>
        <v/>
      </c>
      <c r="CI604">
        <f>IFERROR(INDEX(PP_Grid[#Data],$DD604,85),0)</f>
        <v/>
      </c>
      <c r="CJ604">
        <f>IFERROR(INDEX(PP_Grid[#Data],$DD604,86),0)</f>
        <v/>
      </c>
      <c r="CK604">
        <f>IFERROR(INDEX(PP_Grid[#Data],$DD604,87),0)</f>
        <v/>
      </c>
      <c r="CL604">
        <f>IFERROR(INDEX(PP_Grid[#Data],$DD604,88),0)</f>
        <v/>
      </c>
      <c r="CM604">
        <f>IFERROR(INDEX(PP_Grid[#Data],$DD604,89),0)</f>
        <v/>
      </c>
      <c r="CN604">
        <f>IFERROR(INDEX(PP_Grid[#Data],$DD604,90),0)</f>
        <v/>
      </c>
      <c r="CO604">
        <f>IFERROR(INDEX(PP_Grid[#Data],$DD604,91),0)</f>
        <v/>
      </c>
      <c r="CP604">
        <f>IFERROR(INDEX(PP_Grid[#Data],$DD604,92),0)</f>
        <v/>
      </c>
      <c r="CQ604">
        <f>IFERROR(INDEX(PP_Grid[#Data],$DD604,93),0)</f>
        <v/>
      </c>
      <c r="CR604">
        <f>IFERROR(INDEX(PP_Grid[#Data],$DD604,94),0)</f>
        <v/>
      </c>
      <c r="CS604">
        <f>IFERROR(INDEX(PP_Grid[#Data],$DD604,95),0)</f>
        <v/>
      </c>
      <c r="CT604">
        <f>IFERROR(INDEX(PP_Grid[#Data],$DD604,96),0)</f>
        <v/>
      </c>
      <c r="CU604">
        <f>IFERROR(INDEX(PP_Grid[#Data],$DD604,97),0)</f>
        <v/>
      </c>
      <c r="CV604">
        <f>IFERROR(INDEX(PP_Grid[#Data],$DD604,98),0)</f>
        <v/>
      </c>
      <c r="CW604">
        <f>IFERROR(INDEX(PP_Grid[#Data],$DD604,99),0)</f>
        <v/>
      </c>
      <c r="CX604">
        <f>IFERROR(INDEX(PP_Grid[#Data],$DD604,100),0)</f>
        <v/>
      </c>
      <c r="CY604">
        <f>IFERROR(INDEX(PP_Grid[#Data],$DD604,101),0)</f>
        <v/>
      </c>
      <c r="CZ604">
        <f>IFERROR(INDEX(PP_Grid[#Data],$DD604,102),0)</f>
        <v/>
      </c>
      <c r="DA604">
        <f>IFERROR(INDEX(PP_Grid[#Data],$DD604,103),0)</f>
        <v/>
      </c>
      <c r="DB604">
        <f>IFERROR(INDEX(PP_Grid[#Data],$DD604,104),0)</f>
        <v/>
      </c>
      <c r="DC604">
        <f>IFERROR(INDEX(PP_Grid[#Data],$DD604,105),0)</f>
        <v/>
      </c>
      <c r="DD604" s="12">
        <f>IFERROR(MATCH($B604,PP_Grid[Intermediate],0),99999)</f>
        <v/>
      </c>
    </row>
    <row r="605">
      <c r="B605" t="inlineStr">
        <is>
          <t>使用量(kg)</t>
        </is>
      </c>
      <c r="C605">
        <f>SUMIFS(M_BOM[RM_Qty_Per_Batch],M_BOM[Intermediate],$B604,M_BOM[Part Name],$A601)</f>
        <v/>
      </c>
      <c r="D605">
        <f>$C605*D604</f>
        <v/>
      </c>
      <c r="E605">
        <f>$C605*E604</f>
        <v/>
      </c>
      <c r="F605">
        <f>$C605*F604</f>
        <v/>
      </c>
      <c r="G605">
        <f>$C605*G604</f>
        <v/>
      </c>
      <c r="H605">
        <f>$C605*H604</f>
        <v/>
      </c>
      <c r="I605">
        <f>$C605*I604</f>
        <v/>
      </c>
      <c r="J605">
        <f>$C605*J604</f>
        <v/>
      </c>
      <c r="K605">
        <f>$C605*K604</f>
        <v/>
      </c>
      <c r="L605">
        <f>$C605*L604</f>
        <v/>
      </c>
      <c r="M605">
        <f>$C605*M604</f>
        <v/>
      </c>
      <c r="N605">
        <f>$C605*N604</f>
        <v/>
      </c>
      <c r="O605">
        <f>$C605*O604</f>
        <v/>
      </c>
      <c r="P605">
        <f>$C605*P604</f>
        <v/>
      </c>
      <c r="Q605">
        <f>$C605*Q604</f>
        <v/>
      </c>
      <c r="R605">
        <f>$C605*R604</f>
        <v/>
      </c>
      <c r="S605">
        <f>$C605*S604</f>
        <v/>
      </c>
      <c r="T605">
        <f>$C605*T604</f>
        <v/>
      </c>
      <c r="U605">
        <f>$C605*U604</f>
        <v/>
      </c>
      <c r="V605">
        <f>$C605*V604</f>
        <v/>
      </c>
      <c r="W605">
        <f>$C605*W604</f>
        <v/>
      </c>
      <c r="X605">
        <f>$C605*X604</f>
        <v/>
      </c>
      <c r="Y605">
        <f>$C605*Y604</f>
        <v/>
      </c>
      <c r="Z605">
        <f>$C605*Z604</f>
        <v/>
      </c>
      <c r="AA605">
        <f>$C605*AA604</f>
        <v/>
      </c>
      <c r="AB605">
        <f>$C605*AB604</f>
        <v/>
      </c>
      <c r="AC605">
        <f>$C605*AC604</f>
        <v/>
      </c>
      <c r="AD605">
        <f>$C605*AD604</f>
        <v/>
      </c>
      <c r="AE605">
        <f>$C605*AE604</f>
        <v/>
      </c>
      <c r="AF605">
        <f>$C605*AF604</f>
        <v/>
      </c>
      <c r="AG605">
        <f>$C605*AG604</f>
        <v/>
      </c>
      <c r="AH605">
        <f>$C605*AH604</f>
        <v/>
      </c>
      <c r="AI605">
        <f>$C605*AI604</f>
        <v/>
      </c>
      <c r="AJ605">
        <f>$C605*AJ604</f>
        <v/>
      </c>
      <c r="AK605">
        <f>$C605*AK604</f>
        <v/>
      </c>
      <c r="AL605">
        <f>$C605*AL604</f>
        <v/>
      </c>
      <c r="AM605">
        <f>$C605*AM604</f>
        <v/>
      </c>
      <c r="AN605">
        <f>$C605*AN604</f>
        <v/>
      </c>
      <c r="AO605">
        <f>$C605*AO604</f>
        <v/>
      </c>
      <c r="AP605">
        <f>$C605*AP604</f>
        <v/>
      </c>
      <c r="AQ605">
        <f>$C605*AQ604</f>
        <v/>
      </c>
      <c r="AR605">
        <f>$C605*AR604</f>
        <v/>
      </c>
      <c r="AS605">
        <f>$C605*AS604</f>
        <v/>
      </c>
      <c r="AT605">
        <f>$C605*AT604</f>
        <v/>
      </c>
      <c r="AU605">
        <f>$C605*AU604</f>
        <v/>
      </c>
      <c r="AV605">
        <f>$C605*AV604</f>
        <v/>
      </c>
      <c r="AW605">
        <f>$C605*AW604</f>
        <v/>
      </c>
      <c r="AX605">
        <f>$C605*AX604</f>
        <v/>
      </c>
      <c r="AY605">
        <f>$C605*AY604</f>
        <v/>
      </c>
      <c r="AZ605">
        <f>$C605*AZ604</f>
        <v/>
      </c>
      <c r="BA605">
        <f>$C605*BA604</f>
        <v/>
      </c>
      <c r="BB605">
        <f>$C605*BB604</f>
        <v/>
      </c>
      <c r="BC605">
        <f>$C605*BC604</f>
        <v/>
      </c>
      <c r="BD605">
        <f>$C605*BD604</f>
        <v/>
      </c>
      <c r="BE605">
        <f>$C605*BE604</f>
        <v/>
      </c>
      <c r="BF605">
        <f>$C605*BF604</f>
        <v/>
      </c>
      <c r="BG605">
        <f>$C605*BG604</f>
        <v/>
      </c>
      <c r="BH605">
        <f>$C605*BH604</f>
        <v/>
      </c>
      <c r="BI605">
        <f>$C605*BI604</f>
        <v/>
      </c>
      <c r="BJ605">
        <f>$C605*BJ604</f>
        <v/>
      </c>
      <c r="BK605">
        <f>$C605*BK604</f>
        <v/>
      </c>
      <c r="BL605">
        <f>$C605*BL604</f>
        <v/>
      </c>
      <c r="BM605">
        <f>$C605*BM604</f>
        <v/>
      </c>
      <c r="BN605">
        <f>$C605*BN604</f>
        <v/>
      </c>
      <c r="BO605">
        <f>$C605*BO604</f>
        <v/>
      </c>
      <c r="BP605">
        <f>$C605*BP604</f>
        <v/>
      </c>
      <c r="BQ605">
        <f>$C605*BQ604</f>
        <v/>
      </c>
      <c r="BR605">
        <f>$C605*BR604</f>
        <v/>
      </c>
      <c r="BS605">
        <f>$C605*BS604</f>
        <v/>
      </c>
      <c r="BT605">
        <f>$C605*BT604</f>
        <v/>
      </c>
      <c r="BU605">
        <f>$C605*BU604</f>
        <v/>
      </c>
      <c r="BV605">
        <f>$C605*BV604</f>
        <v/>
      </c>
      <c r="BW605">
        <f>$C605*BW604</f>
        <v/>
      </c>
      <c r="BX605">
        <f>$C605*BX604</f>
        <v/>
      </c>
      <c r="BY605">
        <f>$C605*BY604</f>
        <v/>
      </c>
      <c r="BZ605">
        <f>$C605*BZ604</f>
        <v/>
      </c>
      <c r="CA605">
        <f>$C605*CA604</f>
        <v/>
      </c>
      <c r="CB605">
        <f>$C605*CB604</f>
        <v/>
      </c>
      <c r="CC605">
        <f>$C605*CC604</f>
        <v/>
      </c>
      <c r="CD605">
        <f>$C605*CD604</f>
        <v/>
      </c>
      <c r="CE605">
        <f>$C605*CE604</f>
        <v/>
      </c>
      <c r="CF605">
        <f>$C605*CF604</f>
        <v/>
      </c>
      <c r="CG605">
        <f>$C605*CG604</f>
        <v/>
      </c>
      <c r="CH605">
        <f>$C605*CH604</f>
        <v/>
      </c>
      <c r="CI605">
        <f>$C605*CI604</f>
        <v/>
      </c>
      <c r="CJ605">
        <f>$C605*CJ604</f>
        <v/>
      </c>
      <c r="CK605">
        <f>$C605*CK604</f>
        <v/>
      </c>
      <c r="CL605">
        <f>$C605*CL604</f>
        <v/>
      </c>
      <c r="CM605">
        <f>$C605*CM604</f>
        <v/>
      </c>
      <c r="CN605">
        <f>$C605*CN604</f>
        <v/>
      </c>
      <c r="CO605">
        <f>$C605*CO604</f>
        <v/>
      </c>
      <c r="CP605">
        <f>$C605*CP604</f>
        <v/>
      </c>
      <c r="CQ605">
        <f>$C605*CQ604</f>
        <v/>
      </c>
      <c r="CR605">
        <f>$C605*CR604</f>
        <v/>
      </c>
      <c r="CS605">
        <f>$C605*CS604</f>
        <v/>
      </c>
      <c r="CT605">
        <f>$C605*CT604</f>
        <v/>
      </c>
      <c r="CU605">
        <f>$C605*CU604</f>
        <v/>
      </c>
      <c r="CV605">
        <f>$C605*CV604</f>
        <v/>
      </c>
      <c r="CW605">
        <f>$C605*CW604</f>
        <v/>
      </c>
      <c r="CX605">
        <f>$C605*CX604</f>
        <v/>
      </c>
      <c r="CY605">
        <f>$C605*CY604</f>
        <v/>
      </c>
      <c r="CZ605">
        <f>$C605*CZ604</f>
        <v/>
      </c>
      <c r="DA605">
        <f>$C605*DA604</f>
        <v/>
      </c>
      <c r="DB605">
        <f>$C605*DB604</f>
        <v/>
      </c>
      <c r="DC605">
        <f>$C605*DC604</f>
        <v/>
      </c>
    </row>
    <row r="606">
      <c r="B606" t="inlineStr">
        <is>
          <t>TSP-403</t>
        </is>
      </c>
      <c r="C606" t="inlineStr">
        <is>
          <t>No. of batches</t>
        </is>
      </c>
      <c r="D606">
        <f>IFERROR(INDEX(PP_Grid[#Data],$DD606,2),0)</f>
        <v/>
      </c>
      <c r="E606">
        <f>IFERROR(INDEX(PP_Grid[#Data],$DD606,3),0)</f>
        <v/>
      </c>
      <c r="F606">
        <f>IFERROR(INDEX(PP_Grid[#Data],$DD606,4),0)</f>
        <v/>
      </c>
      <c r="G606">
        <f>IFERROR(INDEX(PP_Grid[#Data],$DD606,5),0)</f>
        <v/>
      </c>
      <c r="H606">
        <f>IFERROR(INDEX(PP_Grid[#Data],$DD606,6),0)</f>
        <v/>
      </c>
      <c r="I606">
        <f>IFERROR(INDEX(PP_Grid[#Data],$DD606,7),0)</f>
        <v/>
      </c>
      <c r="J606">
        <f>IFERROR(INDEX(PP_Grid[#Data],$DD606,8),0)</f>
        <v/>
      </c>
      <c r="K606">
        <f>IFERROR(INDEX(PP_Grid[#Data],$DD606,9),0)</f>
        <v/>
      </c>
      <c r="L606">
        <f>IFERROR(INDEX(PP_Grid[#Data],$DD606,10),0)</f>
        <v/>
      </c>
      <c r="M606">
        <f>IFERROR(INDEX(PP_Grid[#Data],$DD606,11),0)</f>
        <v/>
      </c>
      <c r="N606">
        <f>IFERROR(INDEX(PP_Grid[#Data],$DD606,12),0)</f>
        <v/>
      </c>
      <c r="O606">
        <f>IFERROR(INDEX(PP_Grid[#Data],$DD606,13),0)</f>
        <v/>
      </c>
      <c r="P606">
        <f>IFERROR(INDEX(PP_Grid[#Data],$DD606,14),0)</f>
        <v/>
      </c>
      <c r="Q606">
        <f>IFERROR(INDEX(PP_Grid[#Data],$DD606,15),0)</f>
        <v/>
      </c>
      <c r="R606">
        <f>IFERROR(INDEX(PP_Grid[#Data],$DD606,16),0)</f>
        <v/>
      </c>
      <c r="S606">
        <f>IFERROR(INDEX(PP_Grid[#Data],$DD606,17),0)</f>
        <v/>
      </c>
      <c r="T606">
        <f>IFERROR(INDEX(PP_Grid[#Data],$DD606,18),0)</f>
        <v/>
      </c>
      <c r="U606">
        <f>IFERROR(INDEX(PP_Grid[#Data],$DD606,19),0)</f>
        <v/>
      </c>
      <c r="V606">
        <f>IFERROR(INDEX(PP_Grid[#Data],$DD606,20),0)</f>
        <v/>
      </c>
      <c r="W606">
        <f>IFERROR(INDEX(PP_Grid[#Data],$DD606,21),0)</f>
        <v/>
      </c>
      <c r="X606">
        <f>IFERROR(INDEX(PP_Grid[#Data],$DD606,22),0)</f>
        <v/>
      </c>
      <c r="Y606">
        <f>IFERROR(INDEX(PP_Grid[#Data],$DD606,23),0)</f>
        <v/>
      </c>
      <c r="Z606">
        <f>IFERROR(INDEX(PP_Grid[#Data],$DD606,24),0)</f>
        <v/>
      </c>
      <c r="AA606">
        <f>IFERROR(INDEX(PP_Grid[#Data],$DD606,25),0)</f>
        <v/>
      </c>
      <c r="AB606">
        <f>IFERROR(INDEX(PP_Grid[#Data],$DD606,26),0)</f>
        <v/>
      </c>
      <c r="AC606">
        <f>IFERROR(INDEX(PP_Grid[#Data],$DD606,27),0)</f>
        <v/>
      </c>
      <c r="AD606">
        <f>IFERROR(INDEX(PP_Grid[#Data],$DD606,28),0)</f>
        <v/>
      </c>
      <c r="AE606">
        <f>IFERROR(INDEX(PP_Grid[#Data],$DD606,29),0)</f>
        <v/>
      </c>
      <c r="AF606">
        <f>IFERROR(INDEX(PP_Grid[#Data],$DD606,30),0)</f>
        <v/>
      </c>
      <c r="AG606">
        <f>IFERROR(INDEX(PP_Grid[#Data],$DD606,31),0)</f>
        <v/>
      </c>
      <c r="AH606">
        <f>IFERROR(INDEX(PP_Grid[#Data],$DD606,32),0)</f>
        <v/>
      </c>
      <c r="AI606">
        <f>IFERROR(INDEX(PP_Grid[#Data],$DD606,33),0)</f>
        <v/>
      </c>
      <c r="AJ606">
        <f>IFERROR(INDEX(PP_Grid[#Data],$DD606,34),0)</f>
        <v/>
      </c>
      <c r="AK606">
        <f>IFERROR(INDEX(PP_Grid[#Data],$DD606,35),0)</f>
        <v/>
      </c>
      <c r="AL606">
        <f>IFERROR(INDEX(PP_Grid[#Data],$DD606,36),0)</f>
        <v/>
      </c>
      <c r="AM606">
        <f>IFERROR(INDEX(PP_Grid[#Data],$DD606,37),0)</f>
        <v/>
      </c>
      <c r="AN606">
        <f>IFERROR(INDEX(PP_Grid[#Data],$DD606,38),0)</f>
        <v/>
      </c>
      <c r="AO606">
        <f>IFERROR(INDEX(PP_Grid[#Data],$DD606,39),0)</f>
        <v/>
      </c>
      <c r="AP606">
        <f>IFERROR(INDEX(PP_Grid[#Data],$DD606,40),0)</f>
        <v/>
      </c>
      <c r="AQ606">
        <f>IFERROR(INDEX(PP_Grid[#Data],$DD606,41),0)</f>
        <v/>
      </c>
      <c r="AR606">
        <f>IFERROR(INDEX(PP_Grid[#Data],$DD606,42),0)</f>
        <v/>
      </c>
      <c r="AS606">
        <f>IFERROR(INDEX(PP_Grid[#Data],$DD606,43),0)</f>
        <v/>
      </c>
      <c r="AT606">
        <f>IFERROR(INDEX(PP_Grid[#Data],$DD606,44),0)</f>
        <v/>
      </c>
      <c r="AU606">
        <f>IFERROR(INDEX(PP_Grid[#Data],$DD606,45),0)</f>
        <v/>
      </c>
      <c r="AV606">
        <f>IFERROR(INDEX(PP_Grid[#Data],$DD606,46),0)</f>
        <v/>
      </c>
      <c r="AW606">
        <f>IFERROR(INDEX(PP_Grid[#Data],$DD606,47),0)</f>
        <v/>
      </c>
      <c r="AX606">
        <f>IFERROR(INDEX(PP_Grid[#Data],$DD606,48),0)</f>
        <v/>
      </c>
      <c r="AY606">
        <f>IFERROR(INDEX(PP_Grid[#Data],$DD606,49),0)</f>
        <v/>
      </c>
      <c r="AZ606">
        <f>IFERROR(INDEX(PP_Grid[#Data],$DD606,50),0)</f>
        <v/>
      </c>
      <c r="BA606">
        <f>IFERROR(INDEX(PP_Grid[#Data],$DD606,51),0)</f>
        <v/>
      </c>
      <c r="BB606">
        <f>IFERROR(INDEX(PP_Grid[#Data],$DD606,52),0)</f>
        <v/>
      </c>
      <c r="BC606">
        <f>IFERROR(INDEX(PP_Grid[#Data],$DD606,53),0)</f>
        <v/>
      </c>
      <c r="BD606">
        <f>IFERROR(INDEX(PP_Grid[#Data],$DD606,54),0)</f>
        <v/>
      </c>
      <c r="BE606">
        <f>IFERROR(INDEX(PP_Grid[#Data],$DD606,55),0)</f>
        <v/>
      </c>
      <c r="BF606">
        <f>IFERROR(INDEX(PP_Grid[#Data],$DD606,56),0)</f>
        <v/>
      </c>
      <c r="BG606">
        <f>IFERROR(INDEX(PP_Grid[#Data],$DD606,57),0)</f>
        <v/>
      </c>
      <c r="BH606">
        <f>IFERROR(INDEX(PP_Grid[#Data],$DD606,58),0)</f>
        <v/>
      </c>
      <c r="BI606">
        <f>IFERROR(INDEX(PP_Grid[#Data],$DD606,59),0)</f>
        <v/>
      </c>
      <c r="BJ606">
        <f>IFERROR(INDEX(PP_Grid[#Data],$DD606,60),0)</f>
        <v/>
      </c>
      <c r="BK606">
        <f>IFERROR(INDEX(PP_Grid[#Data],$DD606,61),0)</f>
        <v/>
      </c>
      <c r="BL606">
        <f>IFERROR(INDEX(PP_Grid[#Data],$DD606,62),0)</f>
        <v/>
      </c>
      <c r="BM606">
        <f>IFERROR(INDEX(PP_Grid[#Data],$DD606,63),0)</f>
        <v/>
      </c>
      <c r="BN606">
        <f>IFERROR(INDEX(PP_Grid[#Data],$DD606,64),0)</f>
        <v/>
      </c>
      <c r="BO606">
        <f>IFERROR(INDEX(PP_Grid[#Data],$DD606,65),0)</f>
        <v/>
      </c>
      <c r="BP606">
        <f>IFERROR(INDEX(PP_Grid[#Data],$DD606,66),0)</f>
        <v/>
      </c>
      <c r="BQ606">
        <f>IFERROR(INDEX(PP_Grid[#Data],$DD606,67),0)</f>
        <v/>
      </c>
      <c r="BR606">
        <f>IFERROR(INDEX(PP_Grid[#Data],$DD606,68),0)</f>
        <v/>
      </c>
      <c r="BS606">
        <f>IFERROR(INDEX(PP_Grid[#Data],$DD606,69),0)</f>
        <v/>
      </c>
      <c r="BT606">
        <f>IFERROR(INDEX(PP_Grid[#Data],$DD606,70),0)</f>
        <v/>
      </c>
      <c r="BU606">
        <f>IFERROR(INDEX(PP_Grid[#Data],$DD606,71),0)</f>
        <v/>
      </c>
      <c r="BV606">
        <f>IFERROR(INDEX(PP_Grid[#Data],$DD606,72),0)</f>
        <v/>
      </c>
      <c r="BW606">
        <f>IFERROR(INDEX(PP_Grid[#Data],$DD606,73),0)</f>
        <v/>
      </c>
      <c r="BX606">
        <f>IFERROR(INDEX(PP_Grid[#Data],$DD606,74),0)</f>
        <v/>
      </c>
      <c r="BY606">
        <f>IFERROR(INDEX(PP_Grid[#Data],$DD606,75),0)</f>
        <v/>
      </c>
      <c r="BZ606">
        <f>IFERROR(INDEX(PP_Grid[#Data],$DD606,76),0)</f>
        <v/>
      </c>
      <c r="CA606">
        <f>IFERROR(INDEX(PP_Grid[#Data],$DD606,77),0)</f>
        <v/>
      </c>
      <c r="CB606">
        <f>IFERROR(INDEX(PP_Grid[#Data],$DD606,78),0)</f>
        <v/>
      </c>
      <c r="CC606">
        <f>IFERROR(INDEX(PP_Grid[#Data],$DD606,79),0)</f>
        <v/>
      </c>
      <c r="CD606">
        <f>IFERROR(INDEX(PP_Grid[#Data],$DD606,80),0)</f>
        <v/>
      </c>
      <c r="CE606">
        <f>IFERROR(INDEX(PP_Grid[#Data],$DD606,81),0)</f>
        <v/>
      </c>
      <c r="CF606">
        <f>IFERROR(INDEX(PP_Grid[#Data],$DD606,82),0)</f>
        <v/>
      </c>
      <c r="CG606">
        <f>IFERROR(INDEX(PP_Grid[#Data],$DD606,83),0)</f>
        <v/>
      </c>
      <c r="CH606">
        <f>IFERROR(INDEX(PP_Grid[#Data],$DD606,84),0)</f>
        <v/>
      </c>
      <c r="CI606">
        <f>IFERROR(INDEX(PP_Grid[#Data],$DD606,85),0)</f>
        <v/>
      </c>
      <c r="CJ606">
        <f>IFERROR(INDEX(PP_Grid[#Data],$DD606,86),0)</f>
        <v/>
      </c>
      <c r="CK606">
        <f>IFERROR(INDEX(PP_Grid[#Data],$DD606,87),0)</f>
        <v/>
      </c>
      <c r="CL606">
        <f>IFERROR(INDEX(PP_Grid[#Data],$DD606,88),0)</f>
        <v/>
      </c>
      <c r="CM606">
        <f>IFERROR(INDEX(PP_Grid[#Data],$DD606,89),0)</f>
        <v/>
      </c>
      <c r="CN606">
        <f>IFERROR(INDEX(PP_Grid[#Data],$DD606,90),0)</f>
        <v/>
      </c>
      <c r="CO606">
        <f>IFERROR(INDEX(PP_Grid[#Data],$DD606,91),0)</f>
        <v/>
      </c>
      <c r="CP606">
        <f>IFERROR(INDEX(PP_Grid[#Data],$DD606,92),0)</f>
        <v/>
      </c>
      <c r="CQ606">
        <f>IFERROR(INDEX(PP_Grid[#Data],$DD606,93),0)</f>
        <v/>
      </c>
      <c r="CR606">
        <f>IFERROR(INDEX(PP_Grid[#Data],$DD606,94),0)</f>
        <v/>
      </c>
      <c r="CS606">
        <f>IFERROR(INDEX(PP_Grid[#Data],$DD606,95),0)</f>
        <v/>
      </c>
      <c r="CT606">
        <f>IFERROR(INDEX(PP_Grid[#Data],$DD606,96),0)</f>
        <v/>
      </c>
      <c r="CU606">
        <f>IFERROR(INDEX(PP_Grid[#Data],$DD606,97),0)</f>
        <v/>
      </c>
      <c r="CV606">
        <f>IFERROR(INDEX(PP_Grid[#Data],$DD606,98),0)</f>
        <v/>
      </c>
      <c r="CW606">
        <f>IFERROR(INDEX(PP_Grid[#Data],$DD606,99),0)</f>
        <v/>
      </c>
      <c r="CX606">
        <f>IFERROR(INDEX(PP_Grid[#Data],$DD606,100),0)</f>
        <v/>
      </c>
      <c r="CY606">
        <f>IFERROR(INDEX(PP_Grid[#Data],$DD606,101),0)</f>
        <v/>
      </c>
      <c r="CZ606">
        <f>IFERROR(INDEX(PP_Grid[#Data],$DD606,102),0)</f>
        <v/>
      </c>
      <c r="DA606">
        <f>IFERROR(INDEX(PP_Grid[#Data],$DD606,103),0)</f>
        <v/>
      </c>
      <c r="DB606">
        <f>IFERROR(INDEX(PP_Grid[#Data],$DD606,104),0)</f>
        <v/>
      </c>
      <c r="DC606">
        <f>IFERROR(INDEX(PP_Grid[#Data],$DD606,105),0)</f>
        <v/>
      </c>
      <c r="DD606" s="12">
        <f>IFERROR(MATCH($B606,PP_Grid[Intermediate],0),99999)</f>
        <v/>
      </c>
    </row>
    <row r="607">
      <c r="B607" t="inlineStr">
        <is>
          <t>使用量(kg)</t>
        </is>
      </c>
      <c r="C607">
        <f>SUMIFS(M_BOM[RM_Qty_Per_Batch],M_BOM[Intermediate],$B606,M_BOM[Part Name],$A601)</f>
        <v/>
      </c>
      <c r="D607">
        <f>$C607*D606</f>
        <v/>
      </c>
      <c r="E607">
        <f>$C607*E606</f>
        <v/>
      </c>
      <c r="F607">
        <f>$C607*F606</f>
        <v/>
      </c>
      <c r="G607">
        <f>$C607*G606</f>
        <v/>
      </c>
      <c r="H607">
        <f>$C607*H606</f>
        <v/>
      </c>
      <c r="I607">
        <f>$C607*I606</f>
        <v/>
      </c>
      <c r="J607">
        <f>$C607*J606</f>
        <v/>
      </c>
      <c r="K607">
        <f>$C607*K606</f>
        <v/>
      </c>
      <c r="L607">
        <f>$C607*L606</f>
        <v/>
      </c>
      <c r="M607">
        <f>$C607*M606</f>
        <v/>
      </c>
      <c r="N607">
        <f>$C607*N606</f>
        <v/>
      </c>
      <c r="O607">
        <f>$C607*O606</f>
        <v/>
      </c>
      <c r="P607">
        <f>$C607*P606</f>
        <v/>
      </c>
      <c r="Q607">
        <f>$C607*Q606</f>
        <v/>
      </c>
      <c r="R607">
        <f>$C607*R606</f>
        <v/>
      </c>
      <c r="S607">
        <f>$C607*S606</f>
        <v/>
      </c>
      <c r="T607">
        <f>$C607*T606</f>
        <v/>
      </c>
      <c r="U607">
        <f>$C607*U606</f>
        <v/>
      </c>
      <c r="V607">
        <f>$C607*V606</f>
        <v/>
      </c>
      <c r="W607">
        <f>$C607*W606</f>
        <v/>
      </c>
      <c r="X607">
        <f>$C607*X606</f>
        <v/>
      </c>
      <c r="Y607">
        <f>$C607*Y606</f>
        <v/>
      </c>
      <c r="Z607">
        <f>$C607*Z606</f>
        <v/>
      </c>
      <c r="AA607">
        <f>$C607*AA606</f>
        <v/>
      </c>
      <c r="AB607">
        <f>$C607*AB606</f>
        <v/>
      </c>
      <c r="AC607">
        <f>$C607*AC606</f>
        <v/>
      </c>
      <c r="AD607">
        <f>$C607*AD606</f>
        <v/>
      </c>
      <c r="AE607">
        <f>$C607*AE606</f>
        <v/>
      </c>
      <c r="AF607">
        <f>$C607*AF606</f>
        <v/>
      </c>
      <c r="AG607">
        <f>$C607*AG606</f>
        <v/>
      </c>
      <c r="AH607">
        <f>$C607*AH606</f>
        <v/>
      </c>
      <c r="AI607">
        <f>$C607*AI606</f>
        <v/>
      </c>
      <c r="AJ607">
        <f>$C607*AJ606</f>
        <v/>
      </c>
      <c r="AK607">
        <f>$C607*AK606</f>
        <v/>
      </c>
      <c r="AL607">
        <f>$C607*AL606</f>
        <v/>
      </c>
      <c r="AM607">
        <f>$C607*AM606</f>
        <v/>
      </c>
      <c r="AN607">
        <f>$C607*AN606</f>
        <v/>
      </c>
      <c r="AO607">
        <f>$C607*AO606</f>
        <v/>
      </c>
      <c r="AP607">
        <f>$C607*AP606</f>
        <v/>
      </c>
      <c r="AQ607">
        <f>$C607*AQ606</f>
        <v/>
      </c>
      <c r="AR607">
        <f>$C607*AR606</f>
        <v/>
      </c>
      <c r="AS607">
        <f>$C607*AS606</f>
        <v/>
      </c>
      <c r="AT607">
        <f>$C607*AT606</f>
        <v/>
      </c>
      <c r="AU607">
        <f>$C607*AU606</f>
        <v/>
      </c>
      <c r="AV607">
        <f>$C607*AV606</f>
        <v/>
      </c>
      <c r="AW607">
        <f>$C607*AW606</f>
        <v/>
      </c>
      <c r="AX607">
        <f>$C607*AX606</f>
        <v/>
      </c>
      <c r="AY607">
        <f>$C607*AY606</f>
        <v/>
      </c>
      <c r="AZ607">
        <f>$C607*AZ606</f>
        <v/>
      </c>
      <c r="BA607">
        <f>$C607*BA606</f>
        <v/>
      </c>
      <c r="BB607">
        <f>$C607*BB606</f>
        <v/>
      </c>
      <c r="BC607">
        <f>$C607*BC606</f>
        <v/>
      </c>
      <c r="BD607">
        <f>$C607*BD606</f>
        <v/>
      </c>
      <c r="BE607">
        <f>$C607*BE606</f>
        <v/>
      </c>
      <c r="BF607">
        <f>$C607*BF606</f>
        <v/>
      </c>
      <c r="BG607">
        <f>$C607*BG606</f>
        <v/>
      </c>
      <c r="BH607">
        <f>$C607*BH606</f>
        <v/>
      </c>
      <c r="BI607">
        <f>$C607*BI606</f>
        <v/>
      </c>
      <c r="BJ607">
        <f>$C607*BJ606</f>
        <v/>
      </c>
      <c r="BK607">
        <f>$C607*BK606</f>
        <v/>
      </c>
      <c r="BL607">
        <f>$C607*BL606</f>
        <v/>
      </c>
      <c r="BM607">
        <f>$C607*BM606</f>
        <v/>
      </c>
      <c r="BN607">
        <f>$C607*BN606</f>
        <v/>
      </c>
      <c r="BO607">
        <f>$C607*BO606</f>
        <v/>
      </c>
      <c r="BP607">
        <f>$C607*BP606</f>
        <v/>
      </c>
      <c r="BQ607">
        <f>$C607*BQ606</f>
        <v/>
      </c>
      <c r="BR607">
        <f>$C607*BR606</f>
        <v/>
      </c>
      <c r="BS607">
        <f>$C607*BS606</f>
        <v/>
      </c>
      <c r="BT607">
        <f>$C607*BT606</f>
        <v/>
      </c>
      <c r="BU607">
        <f>$C607*BU606</f>
        <v/>
      </c>
      <c r="BV607">
        <f>$C607*BV606</f>
        <v/>
      </c>
      <c r="BW607">
        <f>$C607*BW606</f>
        <v/>
      </c>
      <c r="BX607">
        <f>$C607*BX606</f>
        <v/>
      </c>
      <c r="BY607">
        <f>$C607*BY606</f>
        <v/>
      </c>
      <c r="BZ607">
        <f>$C607*BZ606</f>
        <v/>
      </c>
      <c r="CA607">
        <f>$C607*CA606</f>
        <v/>
      </c>
      <c r="CB607">
        <f>$C607*CB606</f>
        <v/>
      </c>
      <c r="CC607">
        <f>$C607*CC606</f>
        <v/>
      </c>
      <c r="CD607">
        <f>$C607*CD606</f>
        <v/>
      </c>
      <c r="CE607">
        <f>$C607*CE606</f>
        <v/>
      </c>
      <c r="CF607">
        <f>$C607*CF606</f>
        <v/>
      </c>
      <c r="CG607">
        <f>$C607*CG606</f>
        <v/>
      </c>
      <c r="CH607">
        <f>$C607*CH606</f>
        <v/>
      </c>
      <c r="CI607">
        <f>$C607*CI606</f>
        <v/>
      </c>
      <c r="CJ607">
        <f>$C607*CJ606</f>
        <v/>
      </c>
      <c r="CK607">
        <f>$C607*CK606</f>
        <v/>
      </c>
      <c r="CL607">
        <f>$C607*CL606</f>
        <v/>
      </c>
      <c r="CM607">
        <f>$C607*CM606</f>
        <v/>
      </c>
      <c r="CN607">
        <f>$C607*CN606</f>
        <v/>
      </c>
      <c r="CO607">
        <f>$C607*CO606</f>
        <v/>
      </c>
      <c r="CP607">
        <f>$C607*CP606</f>
        <v/>
      </c>
      <c r="CQ607">
        <f>$C607*CQ606</f>
        <v/>
      </c>
      <c r="CR607">
        <f>$C607*CR606</f>
        <v/>
      </c>
      <c r="CS607">
        <f>$C607*CS606</f>
        <v/>
      </c>
      <c r="CT607">
        <f>$C607*CT606</f>
        <v/>
      </c>
      <c r="CU607">
        <f>$C607*CU606</f>
        <v/>
      </c>
      <c r="CV607">
        <f>$C607*CV606</f>
        <v/>
      </c>
      <c r="CW607">
        <f>$C607*CW606</f>
        <v/>
      </c>
      <c r="CX607">
        <f>$C607*CX606</f>
        <v/>
      </c>
      <c r="CY607">
        <f>$C607*CY606</f>
        <v/>
      </c>
      <c r="CZ607">
        <f>$C607*CZ606</f>
        <v/>
      </c>
      <c r="DA607">
        <f>$C607*DA606</f>
        <v/>
      </c>
      <c r="DB607">
        <f>$C607*DB606</f>
        <v/>
      </c>
      <c r="DC607">
        <f>$C607*DC606</f>
        <v/>
      </c>
    </row>
    <row r="608">
      <c r="B608" t="inlineStr">
        <is>
          <t>TSP-404</t>
        </is>
      </c>
      <c r="C608" t="inlineStr">
        <is>
          <t>No. of batches</t>
        </is>
      </c>
      <c r="D608">
        <f>IFERROR(INDEX(PP_Grid[#Data],$DD608,2),0)</f>
        <v/>
      </c>
      <c r="E608">
        <f>IFERROR(INDEX(PP_Grid[#Data],$DD608,3),0)</f>
        <v/>
      </c>
      <c r="F608">
        <f>IFERROR(INDEX(PP_Grid[#Data],$DD608,4),0)</f>
        <v/>
      </c>
      <c r="G608">
        <f>IFERROR(INDEX(PP_Grid[#Data],$DD608,5),0)</f>
        <v/>
      </c>
      <c r="H608">
        <f>IFERROR(INDEX(PP_Grid[#Data],$DD608,6),0)</f>
        <v/>
      </c>
      <c r="I608">
        <f>IFERROR(INDEX(PP_Grid[#Data],$DD608,7),0)</f>
        <v/>
      </c>
      <c r="J608">
        <f>IFERROR(INDEX(PP_Grid[#Data],$DD608,8),0)</f>
        <v/>
      </c>
      <c r="K608">
        <f>IFERROR(INDEX(PP_Grid[#Data],$DD608,9),0)</f>
        <v/>
      </c>
      <c r="L608">
        <f>IFERROR(INDEX(PP_Grid[#Data],$DD608,10),0)</f>
        <v/>
      </c>
      <c r="M608">
        <f>IFERROR(INDEX(PP_Grid[#Data],$DD608,11),0)</f>
        <v/>
      </c>
      <c r="N608">
        <f>IFERROR(INDEX(PP_Grid[#Data],$DD608,12),0)</f>
        <v/>
      </c>
      <c r="O608">
        <f>IFERROR(INDEX(PP_Grid[#Data],$DD608,13),0)</f>
        <v/>
      </c>
      <c r="P608">
        <f>IFERROR(INDEX(PP_Grid[#Data],$DD608,14),0)</f>
        <v/>
      </c>
      <c r="Q608">
        <f>IFERROR(INDEX(PP_Grid[#Data],$DD608,15),0)</f>
        <v/>
      </c>
      <c r="R608">
        <f>IFERROR(INDEX(PP_Grid[#Data],$DD608,16),0)</f>
        <v/>
      </c>
      <c r="S608">
        <f>IFERROR(INDEX(PP_Grid[#Data],$DD608,17),0)</f>
        <v/>
      </c>
      <c r="T608">
        <f>IFERROR(INDEX(PP_Grid[#Data],$DD608,18),0)</f>
        <v/>
      </c>
      <c r="U608">
        <f>IFERROR(INDEX(PP_Grid[#Data],$DD608,19),0)</f>
        <v/>
      </c>
      <c r="V608">
        <f>IFERROR(INDEX(PP_Grid[#Data],$DD608,20),0)</f>
        <v/>
      </c>
      <c r="W608">
        <f>IFERROR(INDEX(PP_Grid[#Data],$DD608,21),0)</f>
        <v/>
      </c>
      <c r="X608">
        <f>IFERROR(INDEX(PP_Grid[#Data],$DD608,22),0)</f>
        <v/>
      </c>
      <c r="Y608">
        <f>IFERROR(INDEX(PP_Grid[#Data],$DD608,23),0)</f>
        <v/>
      </c>
      <c r="Z608">
        <f>IFERROR(INDEX(PP_Grid[#Data],$DD608,24),0)</f>
        <v/>
      </c>
      <c r="AA608">
        <f>IFERROR(INDEX(PP_Grid[#Data],$DD608,25),0)</f>
        <v/>
      </c>
      <c r="AB608">
        <f>IFERROR(INDEX(PP_Grid[#Data],$DD608,26),0)</f>
        <v/>
      </c>
      <c r="AC608">
        <f>IFERROR(INDEX(PP_Grid[#Data],$DD608,27),0)</f>
        <v/>
      </c>
      <c r="AD608">
        <f>IFERROR(INDEX(PP_Grid[#Data],$DD608,28),0)</f>
        <v/>
      </c>
      <c r="AE608">
        <f>IFERROR(INDEX(PP_Grid[#Data],$DD608,29),0)</f>
        <v/>
      </c>
      <c r="AF608">
        <f>IFERROR(INDEX(PP_Grid[#Data],$DD608,30),0)</f>
        <v/>
      </c>
      <c r="AG608">
        <f>IFERROR(INDEX(PP_Grid[#Data],$DD608,31),0)</f>
        <v/>
      </c>
      <c r="AH608">
        <f>IFERROR(INDEX(PP_Grid[#Data],$DD608,32),0)</f>
        <v/>
      </c>
      <c r="AI608">
        <f>IFERROR(INDEX(PP_Grid[#Data],$DD608,33),0)</f>
        <v/>
      </c>
      <c r="AJ608">
        <f>IFERROR(INDEX(PP_Grid[#Data],$DD608,34),0)</f>
        <v/>
      </c>
      <c r="AK608">
        <f>IFERROR(INDEX(PP_Grid[#Data],$DD608,35),0)</f>
        <v/>
      </c>
      <c r="AL608">
        <f>IFERROR(INDEX(PP_Grid[#Data],$DD608,36),0)</f>
        <v/>
      </c>
      <c r="AM608">
        <f>IFERROR(INDEX(PP_Grid[#Data],$DD608,37),0)</f>
        <v/>
      </c>
      <c r="AN608">
        <f>IFERROR(INDEX(PP_Grid[#Data],$DD608,38),0)</f>
        <v/>
      </c>
      <c r="AO608">
        <f>IFERROR(INDEX(PP_Grid[#Data],$DD608,39),0)</f>
        <v/>
      </c>
      <c r="AP608">
        <f>IFERROR(INDEX(PP_Grid[#Data],$DD608,40),0)</f>
        <v/>
      </c>
      <c r="AQ608">
        <f>IFERROR(INDEX(PP_Grid[#Data],$DD608,41),0)</f>
        <v/>
      </c>
      <c r="AR608">
        <f>IFERROR(INDEX(PP_Grid[#Data],$DD608,42),0)</f>
        <v/>
      </c>
      <c r="AS608">
        <f>IFERROR(INDEX(PP_Grid[#Data],$DD608,43),0)</f>
        <v/>
      </c>
      <c r="AT608">
        <f>IFERROR(INDEX(PP_Grid[#Data],$DD608,44),0)</f>
        <v/>
      </c>
      <c r="AU608">
        <f>IFERROR(INDEX(PP_Grid[#Data],$DD608,45),0)</f>
        <v/>
      </c>
      <c r="AV608">
        <f>IFERROR(INDEX(PP_Grid[#Data],$DD608,46),0)</f>
        <v/>
      </c>
      <c r="AW608">
        <f>IFERROR(INDEX(PP_Grid[#Data],$DD608,47),0)</f>
        <v/>
      </c>
      <c r="AX608">
        <f>IFERROR(INDEX(PP_Grid[#Data],$DD608,48),0)</f>
        <v/>
      </c>
      <c r="AY608">
        <f>IFERROR(INDEX(PP_Grid[#Data],$DD608,49),0)</f>
        <v/>
      </c>
      <c r="AZ608">
        <f>IFERROR(INDEX(PP_Grid[#Data],$DD608,50),0)</f>
        <v/>
      </c>
      <c r="BA608">
        <f>IFERROR(INDEX(PP_Grid[#Data],$DD608,51),0)</f>
        <v/>
      </c>
      <c r="BB608">
        <f>IFERROR(INDEX(PP_Grid[#Data],$DD608,52),0)</f>
        <v/>
      </c>
      <c r="BC608">
        <f>IFERROR(INDEX(PP_Grid[#Data],$DD608,53),0)</f>
        <v/>
      </c>
      <c r="BD608">
        <f>IFERROR(INDEX(PP_Grid[#Data],$DD608,54),0)</f>
        <v/>
      </c>
      <c r="BE608">
        <f>IFERROR(INDEX(PP_Grid[#Data],$DD608,55),0)</f>
        <v/>
      </c>
      <c r="BF608">
        <f>IFERROR(INDEX(PP_Grid[#Data],$DD608,56),0)</f>
        <v/>
      </c>
      <c r="BG608">
        <f>IFERROR(INDEX(PP_Grid[#Data],$DD608,57),0)</f>
        <v/>
      </c>
      <c r="BH608">
        <f>IFERROR(INDEX(PP_Grid[#Data],$DD608,58),0)</f>
        <v/>
      </c>
      <c r="BI608">
        <f>IFERROR(INDEX(PP_Grid[#Data],$DD608,59),0)</f>
        <v/>
      </c>
      <c r="BJ608">
        <f>IFERROR(INDEX(PP_Grid[#Data],$DD608,60),0)</f>
        <v/>
      </c>
      <c r="BK608">
        <f>IFERROR(INDEX(PP_Grid[#Data],$DD608,61),0)</f>
        <v/>
      </c>
      <c r="BL608">
        <f>IFERROR(INDEX(PP_Grid[#Data],$DD608,62),0)</f>
        <v/>
      </c>
      <c r="BM608">
        <f>IFERROR(INDEX(PP_Grid[#Data],$DD608,63),0)</f>
        <v/>
      </c>
      <c r="BN608">
        <f>IFERROR(INDEX(PP_Grid[#Data],$DD608,64),0)</f>
        <v/>
      </c>
      <c r="BO608">
        <f>IFERROR(INDEX(PP_Grid[#Data],$DD608,65),0)</f>
        <v/>
      </c>
      <c r="BP608">
        <f>IFERROR(INDEX(PP_Grid[#Data],$DD608,66),0)</f>
        <v/>
      </c>
      <c r="BQ608">
        <f>IFERROR(INDEX(PP_Grid[#Data],$DD608,67),0)</f>
        <v/>
      </c>
      <c r="BR608">
        <f>IFERROR(INDEX(PP_Grid[#Data],$DD608,68),0)</f>
        <v/>
      </c>
      <c r="BS608">
        <f>IFERROR(INDEX(PP_Grid[#Data],$DD608,69),0)</f>
        <v/>
      </c>
      <c r="BT608">
        <f>IFERROR(INDEX(PP_Grid[#Data],$DD608,70),0)</f>
        <v/>
      </c>
      <c r="BU608">
        <f>IFERROR(INDEX(PP_Grid[#Data],$DD608,71),0)</f>
        <v/>
      </c>
      <c r="BV608">
        <f>IFERROR(INDEX(PP_Grid[#Data],$DD608,72),0)</f>
        <v/>
      </c>
      <c r="BW608">
        <f>IFERROR(INDEX(PP_Grid[#Data],$DD608,73),0)</f>
        <v/>
      </c>
      <c r="BX608">
        <f>IFERROR(INDEX(PP_Grid[#Data],$DD608,74),0)</f>
        <v/>
      </c>
      <c r="BY608">
        <f>IFERROR(INDEX(PP_Grid[#Data],$DD608,75),0)</f>
        <v/>
      </c>
      <c r="BZ608">
        <f>IFERROR(INDEX(PP_Grid[#Data],$DD608,76),0)</f>
        <v/>
      </c>
      <c r="CA608">
        <f>IFERROR(INDEX(PP_Grid[#Data],$DD608,77),0)</f>
        <v/>
      </c>
      <c r="CB608">
        <f>IFERROR(INDEX(PP_Grid[#Data],$DD608,78),0)</f>
        <v/>
      </c>
      <c r="CC608">
        <f>IFERROR(INDEX(PP_Grid[#Data],$DD608,79),0)</f>
        <v/>
      </c>
      <c r="CD608">
        <f>IFERROR(INDEX(PP_Grid[#Data],$DD608,80),0)</f>
        <v/>
      </c>
      <c r="CE608">
        <f>IFERROR(INDEX(PP_Grid[#Data],$DD608,81),0)</f>
        <v/>
      </c>
      <c r="CF608">
        <f>IFERROR(INDEX(PP_Grid[#Data],$DD608,82),0)</f>
        <v/>
      </c>
      <c r="CG608">
        <f>IFERROR(INDEX(PP_Grid[#Data],$DD608,83),0)</f>
        <v/>
      </c>
      <c r="CH608">
        <f>IFERROR(INDEX(PP_Grid[#Data],$DD608,84),0)</f>
        <v/>
      </c>
      <c r="CI608">
        <f>IFERROR(INDEX(PP_Grid[#Data],$DD608,85),0)</f>
        <v/>
      </c>
      <c r="CJ608">
        <f>IFERROR(INDEX(PP_Grid[#Data],$DD608,86),0)</f>
        <v/>
      </c>
      <c r="CK608">
        <f>IFERROR(INDEX(PP_Grid[#Data],$DD608,87),0)</f>
        <v/>
      </c>
      <c r="CL608">
        <f>IFERROR(INDEX(PP_Grid[#Data],$DD608,88),0)</f>
        <v/>
      </c>
      <c r="CM608">
        <f>IFERROR(INDEX(PP_Grid[#Data],$DD608,89),0)</f>
        <v/>
      </c>
      <c r="CN608">
        <f>IFERROR(INDEX(PP_Grid[#Data],$DD608,90),0)</f>
        <v/>
      </c>
      <c r="CO608">
        <f>IFERROR(INDEX(PP_Grid[#Data],$DD608,91),0)</f>
        <v/>
      </c>
      <c r="CP608">
        <f>IFERROR(INDEX(PP_Grid[#Data],$DD608,92),0)</f>
        <v/>
      </c>
      <c r="CQ608">
        <f>IFERROR(INDEX(PP_Grid[#Data],$DD608,93),0)</f>
        <v/>
      </c>
      <c r="CR608">
        <f>IFERROR(INDEX(PP_Grid[#Data],$DD608,94),0)</f>
        <v/>
      </c>
      <c r="CS608">
        <f>IFERROR(INDEX(PP_Grid[#Data],$DD608,95),0)</f>
        <v/>
      </c>
      <c r="CT608">
        <f>IFERROR(INDEX(PP_Grid[#Data],$DD608,96),0)</f>
        <v/>
      </c>
      <c r="CU608">
        <f>IFERROR(INDEX(PP_Grid[#Data],$DD608,97),0)</f>
        <v/>
      </c>
      <c r="CV608">
        <f>IFERROR(INDEX(PP_Grid[#Data],$DD608,98),0)</f>
        <v/>
      </c>
      <c r="CW608">
        <f>IFERROR(INDEX(PP_Grid[#Data],$DD608,99),0)</f>
        <v/>
      </c>
      <c r="CX608">
        <f>IFERROR(INDEX(PP_Grid[#Data],$DD608,100),0)</f>
        <v/>
      </c>
      <c r="CY608">
        <f>IFERROR(INDEX(PP_Grid[#Data],$DD608,101),0)</f>
        <v/>
      </c>
      <c r="CZ608">
        <f>IFERROR(INDEX(PP_Grid[#Data],$DD608,102),0)</f>
        <v/>
      </c>
      <c r="DA608">
        <f>IFERROR(INDEX(PP_Grid[#Data],$DD608,103),0)</f>
        <v/>
      </c>
      <c r="DB608">
        <f>IFERROR(INDEX(PP_Grid[#Data],$DD608,104),0)</f>
        <v/>
      </c>
      <c r="DC608">
        <f>IFERROR(INDEX(PP_Grid[#Data],$DD608,105),0)</f>
        <v/>
      </c>
      <c r="DD608" s="12">
        <f>IFERROR(MATCH($B608,PP_Grid[Intermediate],0),99999)</f>
        <v/>
      </c>
    </row>
    <row r="609">
      <c r="B609" t="inlineStr">
        <is>
          <t>使用量(kg)</t>
        </is>
      </c>
      <c r="C609">
        <f>SUMIFS(M_BOM[RM_Qty_Per_Batch],M_BOM[Intermediate],$B608,M_BOM[Part Name],$A601)</f>
        <v/>
      </c>
      <c r="D609">
        <f>$C609*D608</f>
        <v/>
      </c>
      <c r="E609">
        <f>$C609*E608</f>
        <v/>
      </c>
      <c r="F609">
        <f>$C609*F608</f>
        <v/>
      </c>
      <c r="G609">
        <f>$C609*G608</f>
        <v/>
      </c>
      <c r="H609">
        <f>$C609*H608</f>
        <v/>
      </c>
      <c r="I609">
        <f>$C609*I608</f>
        <v/>
      </c>
      <c r="J609">
        <f>$C609*J608</f>
        <v/>
      </c>
      <c r="K609">
        <f>$C609*K608</f>
        <v/>
      </c>
      <c r="L609">
        <f>$C609*L608</f>
        <v/>
      </c>
      <c r="M609">
        <f>$C609*M608</f>
        <v/>
      </c>
      <c r="N609">
        <f>$C609*N608</f>
        <v/>
      </c>
      <c r="O609">
        <f>$C609*O608</f>
        <v/>
      </c>
      <c r="P609">
        <f>$C609*P608</f>
        <v/>
      </c>
      <c r="Q609">
        <f>$C609*Q608</f>
        <v/>
      </c>
      <c r="R609">
        <f>$C609*R608</f>
        <v/>
      </c>
      <c r="S609">
        <f>$C609*S608</f>
        <v/>
      </c>
      <c r="T609">
        <f>$C609*T608</f>
        <v/>
      </c>
      <c r="U609">
        <f>$C609*U608</f>
        <v/>
      </c>
      <c r="V609">
        <f>$C609*V608</f>
        <v/>
      </c>
      <c r="W609">
        <f>$C609*W608</f>
        <v/>
      </c>
      <c r="X609">
        <f>$C609*X608</f>
        <v/>
      </c>
      <c r="Y609">
        <f>$C609*Y608</f>
        <v/>
      </c>
      <c r="Z609">
        <f>$C609*Z608</f>
        <v/>
      </c>
      <c r="AA609">
        <f>$C609*AA608</f>
        <v/>
      </c>
      <c r="AB609">
        <f>$C609*AB608</f>
        <v/>
      </c>
      <c r="AC609">
        <f>$C609*AC608</f>
        <v/>
      </c>
      <c r="AD609">
        <f>$C609*AD608</f>
        <v/>
      </c>
      <c r="AE609">
        <f>$C609*AE608</f>
        <v/>
      </c>
      <c r="AF609">
        <f>$C609*AF608</f>
        <v/>
      </c>
      <c r="AG609">
        <f>$C609*AG608</f>
        <v/>
      </c>
      <c r="AH609">
        <f>$C609*AH608</f>
        <v/>
      </c>
      <c r="AI609">
        <f>$C609*AI608</f>
        <v/>
      </c>
      <c r="AJ609">
        <f>$C609*AJ608</f>
        <v/>
      </c>
      <c r="AK609">
        <f>$C609*AK608</f>
        <v/>
      </c>
      <c r="AL609">
        <f>$C609*AL608</f>
        <v/>
      </c>
      <c r="AM609">
        <f>$C609*AM608</f>
        <v/>
      </c>
      <c r="AN609">
        <f>$C609*AN608</f>
        <v/>
      </c>
      <c r="AO609">
        <f>$C609*AO608</f>
        <v/>
      </c>
      <c r="AP609">
        <f>$C609*AP608</f>
        <v/>
      </c>
      <c r="AQ609">
        <f>$C609*AQ608</f>
        <v/>
      </c>
      <c r="AR609">
        <f>$C609*AR608</f>
        <v/>
      </c>
      <c r="AS609">
        <f>$C609*AS608</f>
        <v/>
      </c>
      <c r="AT609">
        <f>$C609*AT608</f>
        <v/>
      </c>
      <c r="AU609">
        <f>$C609*AU608</f>
        <v/>
      </c>
      <c r="AV609">
        <f>$C609*AV608</f>
        <v/>
      </c>
      <c r="AW609">
        <f>$C609*AW608</f>
        <v/>
      </c>
      <c r="AX609">
        <f>$C609*AX608</f>
        <v/>
      </c>
      <c r="AY609">
        <f>$C609*AY608</f>
        <v/>
      </c>
      <c r="AZ609">
        <f>$C609*AZ608</f>
        <v/>
      </c>
      <c r="BA609">
        <f>$C609*BA608</f>
        <v/>
      </c>
      <c r="BB609">
        <f>$C609*BB608</f>
        <v/>
      </c>
      <c r="BC609">
        <f>$C609*BC608</f>
        <v/>
      </c>
      <c r="BD609">
        <f>$C609*BD608</f>
        <v/>
      </c>
      <c r="BE609">
        <f>$C609*BE608</f>
        <v/>
      </c>
      <c r="BF609">
        <f>$C609*BF608</f>
        <v/>
      </c>
      <c r="BG609">
        <f>$C609*BG608</f>
        <v/>
      </c>
      <c r="BH609">
        <f>$C609*BH608</f>
        <v/>
      </c>
      <c r="BI609">
        <f>$C609*BI608</f>
        <v/>
      </c>
      <c r="BJ609">
        <f>$C609*BJ608</f>
        <v/>
      </c>
      <c r="BK609">
        <f>$C609*BK608</f>
        <v/>
      </c>
      <c r="BL609">
        <f>$C609*BL608</f>
        <v/>
      </c>
      <c r="BM609">
        <f>$C609*BM608</f>
        <v/>
      </c>
      <c r="BN609">
        <f>$C609*BN608</f>
        <v/>
      </c>
      <c r="BO609">
        <f>$C609*BO608</f>
        <v/>
      </c>
      <c r="BP609">
        <f>$C609*BP608</f>
        <v/>
      </c>
      <c r="BQ609">
        <f>$C609*BQ608</f>
        <v/>
      </c>
      <c r="BR609">
        <f>$C609*BR608</f>
        <v/>
      </c>
      <c r="BS609">
        <f>$C609*BS608</f>
        <v/>
      </c>
      <c r="BT609">
        <f>$C609*BT608</f>
        <v/>
      </c>
      <c r="BU609">
        <f>$C609*BU608</f>
        <v/>
      </c>
      <c r="BV609">
        <f>$C609*BV608</f>
        <v/>
      </c>
      <c r="BW609">
        <f>$C609*BW608</f>
        <v/>
      </c>
      <c r="BX609">
        <f>$C609*BX608</f>
        <v/>
      </c>
      <c r="BY609">
        <f>$C609*BY608</f>
        <v/>
      </c>
      <c r="BZ609">
        <f>$C609*BZ608</f>
        <v/>
      </c>
      <c r="CA609">
        <f>$C609*CA608</f>
        <v/>
      </c>
      <c r="CB609">
        <f>$C609*CB608</f>
        <v/>
      </c>
      <c r="CC609">
        <f>$C609*CC608</f>
        <v/>
      </c>
      <c r="CD609">
        <f>$C609*CD608</f>
        <v/>
      </c>
      <c r="CE609">
        <f>$C609*CE608</f>
        <v/>
      </c>
      <c r="CF609">
        <f>$C609*CF608</f>
        <v/>
      </c>
      <c r="CG609">
        <f>$C609*CG608</f>
        <v/>
      </c>
      <c r="CH609">
        <f>$C609*CH608</f>
        <v/>
      </c>
      <c r="CI609">
        <f>$C609*CI608</f>
        <v/>
      </c>
      <c r="CJ609">
        <f>$C609*CJ608</f>
        <v/>
      </c>
      <c r="CK609">
        <f>$C609*CK608</f>
        <v/>
      </c>
      <c r="CL609">
        <f>$C609*CL608</f>
        <v/>
      </c>
      <c r="CM609">
        <f>$C609*CM608</f>
        <v/>
      </c>
      <c r="CN609">
        <f>$C609*CN608</f>
        <v/>
      </c>
      <c r="CO609">
        <f>$C609*CO608</f>
        <v/>
      </c>
      <c r="CP609">
        <f>$C609*CP608</f>
        <v/>
      </c>
      <c r="CQ609">
        <f>$C609*CQ608</f>
        <v/>
      </c>
      <c r="CR609">
        <f>$C609*CR608</f>
        <v/>
      </c>
      <c r="CS609">
        <f>$C609*CS608</f>
        <v/>
      </c>
      <c r="CT609">
        <f>$C609*CT608</f>
        <v/>
      </c>
      <c r="CU609">
        <f>$C609*CU608</f>
        <v/>
      </c>
      <c r="CV609">
        <f>$C609*CV608</f>
        <v/>
      </c>
      <c r="CW609">
        <f>$C609*CW608</f>
        <v/>
      </c>
      <c r="CX609">
        <f>$C609*CX608</f>
        <v/>
      </c>
      <c r="CY609">
        <f>$C609*CY608</f>
        <v/>
      </c>
      <c r="CZ609">
        <f>$C609*CZ608</f>
        <v/>
      </c>
      <c r="DA609">
        <f>$C609*DA608</f>
        <v/>
      </c>
      <c r="DB609">
        <f>$C609*DB608</f>
        <v/>
      </c>
      <c r="DC609">
        <f>$C609*DC608</f>
        <v/>
      </c>
    </row>
    <row r="610">
      <c r="B610" t="inlineStr">
        <is>
          <t>TSP-405</t>
        </is>
      </c>
      <c r="C610" t="inlineStr">
        <is>
          <t>No. of batches</t>
        </is>
      </c>
      <c r="D610">
        <f>IFERROR(INDEX(PP_Grid[#Data],$DD610,2),0)</f>
        <v/>
      </c>
      <c r="E610">
        <f>IFERROR(INDEX(PP_Grid[#Data],$DD610,3),0)</f>
        <v/>
      </c>
      <c r="F610">
        <f>IFERROR(INDEX(PP_Grid[#Data],$DD610,4),0)</f>
        <v/>
      </c>
      <c r="G610">
        <f>IFERROR(INDEX(PP_Grid[#Data],$DD610,5),0)</f>
        <v/>
      </c>
      <c r="H610">
        <f>IFERROR(INDEX(PP_Grid[#Data],$DD610,6),0)</f>
        <v/>
      </c>
      <c r="I610">
        <f>IFERROR(INDEX(PP_Grid[#Data],$DD610,7),0)</f>
        <v/>
      </c>
      <c r="J610">
        <f>IFERROR(INDEX(PP_Grid[#Data],$DD610,8),0)</f>
        <v/>
      </c>
      <c r="K610">
        <f>IFERROR(INDEX(PP_Grid[#Data],$DD610,9),0)</f>
        <v/>
      </c>
      <c r="L610">
        <f>IFERROR(INDEX(PP_Grid[#Data],$DD610,10),0)</f>
        <v/>
      </c>
      <c r="M610">
        <f>IFERROR(INDEX(PP_Grid[#Data],$DD610,11),0)</f>
        <v/>
      </c>
      <c r="N610">
        <f>IFERROR(INDEX(PP_Grid[#Data],$DD610,12),0)</f>
        <v/>
      </c>
      <c r="O610">
        <f>IFERROR(INDEX(PP_Grid[#Data],$DD610,13),0)</f>
        <v/>
      </c>
      <c r="P610">
        <f>IFERROR(INDEX(PP_Grid[#Data],$DD610,14),0)</f>
        <v/>
      </c>
      <c r="Q610">
        <f>IFERROR(INDEX(PP_Grid[#Data],$DD610,15),0)</f>
        <v/>
      </c>
      <c r="R610">
        <f>IFERROR(INDEX(PP_Grid[#Data],$DD610,16),0)</f>
        <v/>
      </c>
      <c r="S610">
        <f>IFERROR(INDEX(PP_Grid[#Data],$DD610,17),0)</f>
        <v/>
      </c>
      <c r="T610">
        <f>IFERROR(INDEX(PP_Grid[#Data],$DD610,18),0)</f>
        <v/>
      </c>
      <c r="U610">
        <f>IFERROR(INDEX(PP_Grid[#Data],$DD610,19),0)</f>
        <v/>
      </c>
      <c r="V610">
        <f>IFERROR(INDEX(PP_Grid[#Data],$DD610,20),0)</f>
        <v/>
      </c>
      <c r="W610">
        <f>IFERROR(INDEX(PP_Grid[#Data],$DD610,21),0)</f>
        <v/>
      </c>
      <c r="X610">
        <f>IFERROR(INDEX(PP_Grid[#Data],$DD610,22),0)</f>
        <v/>
      </c>
      <c r="Y610">
        <f>IFERROR(INDEX(PP_Grid[#Data],$DD610,23),0)</f>
        <v/>
      </c>
      <c r="Z610">
        <f>IFERROR(INDEX(PP_Grid[#Data],$DD610,24),0)</f>
        <v/>
      </c>
      <c r="AA610">
        <f>IFERROR(INDEX(PP_Grid[#Data],$DD610,25),0)</f>
        <v/>
      </c>
      <c r="AB610">
        <f>IFERROR(INDEX(PP_Grid[#Data],$DD610,26),0)</f>
        <v/>
      </c>
      <c r="AC610">
        <f>IFERROR(INDEX(PP_Grid[#Data],$DD610,27),0)</f>
        <v/>
      </c>
      <c r="AD610">
        <f>IFERROR(INDEX(PP_Grid[#Data],$DD610,28),0)</f>
        <v/>
      </c>
      <c r="AE610">
        <f>IFERROR(INDEX(PP_Grid[#Data],$DD610,29),0)</f>
        <v/>
      </c>
      <c r="AF610">
        <f>IFERROR(INDEX(PP_Grid[#Data],$DD610,30),0)</f>
        <v/>
      </c>
      <c r="AG610">
        <f>IFERROR(INDEX(PP_Grid[#Data],$DD610,31),0)</f>
        <v/>
      </c>
      <c r="AH610">
        <f>IFERROR(INDEX(PP_Grid[#Data],$DD610,32),0)</f>
        <v/>
      </c>
      <c r="AI610">
        <f>IFERROR(INDEX(PP_Grid[#Data],$DD610,33),0)</f>
        <v/>
      </c>
      <c r="AJ610">
        <f>IFERROR(INDEX(PP_Grid[#Data],$DD610,34),0)</f>
        <v/>
      </c>
      <c r="AK610">
        <f>IFERROR(INDEX(PP_Grid[#Data],$DD610,35),0)</f>
        <v/>
      </c>
      <c r="AL610">
        <f>IFERROR(INDEX(PP_Grid[#Data],$DD610,36),0)</f>
        <v/>
      </c>
      <c r="AM610">
        <f>IFERROR(INDEX(PP_Grid[#Data],$DD610,37),0)</f>
        <v/>
      </c>
      <c r="AN610">
        <f>IFERROR(INDEX(PP_Grid[#Data],$DD610,38),0)</f>
        <v/>
      </c>
      <c r="AO610">
        <f>IFERROR(INDEX(PP_Grid[#Data],$DD610,39),0)</f>
        <v/>
      </c>
      <c r="AP610">
        <f>IFERROR(INDEX(PP_Grid[#Data],$DD610,40),0)</f>
        <v/>
      </c>
      <c r="AQ610">
        <f>IFERROR(INDEX(PP_Grid[#Data],$DD610,41),0)</f>
        <v/>
      </c>
      <c r="AR610">
        <f>IFERROR(INDEX(PP_Grid[#Data],$DD610,42),0)</f>
        <v/>
      </c>
      <c r="AS610">
        <f>IFERROR(INDEX(PP_Grid[#Data],$DD610,43),0)</f>
        <v/>
      </c>
      <c r="AT610">
        <f>IFERROR(INDEX(PP_Grid[#Data],$DD610,44),0)</f>
        <v/>
      </c>
      <c r="AU610">
        <f>IFERROR(INDEX(PP_Grid[#Data],$DD610,45),0)</f>
        <v/>
      </c>
      <c r="AV610">
        <f>IFERROR(INDEX(PP_Grid[#Data],$DD610,46),0)</f>
        <v/>
      </c>
      <c r="AW610">
        <f>IFERROR(INDEX(PP_Grid[#Data],$DD610,47),0)</f>
        <v/>
      </c>
      <c r="AX610">
        <f>IFERROR(INDEX(PP_Grid[#Data],$DD610,48),0)</f>
        <v/>
      </c>
      <c r="AY610">
        <f>IFERROR(INDEX(PP_Grid[#Data],$DD610,49),0)</f>
        <v/>
      </c>
      <c r="AZ610">
        <f>IFERROR(INDEX(PP_Grid[#Data],$DD610,50),0)</f>
        <v/>
      </c>
      <c r="BA610">
        <f>IFERROR(INDEX(PP_Grid[#Data],$DD610,51),0)</f>
        <v/>
      </c>
      <c r="BB610">
        <f>IFERROR(INDEX(PP_Grid[#Data],$DD610,52),0)</f>
        <v/>
      </c>
      <c r="BC610">
        <f>IFERROR(INDEX(PP_Grid[#Data],$DD610,53),0)</f>
        <v/>
      </c>
      <c r="BD610">
        <f>IFERROR(INDEX(PP_Grid[#Data],$DD610,54),0)</f>
        <v/>
      </c>
      <c r="BE610">
        <f>IFERROR(INDEX(PP_Grid[#Data],$DD610,55),0)</f>
        <v/>
      </c>
      <c r="BF610">
        <f>IFERROR(INDEX(PP_Grid[#Data],$DD610,56),0)</f>
        <v/>
      </c>
      <c r="BG610">
        <f>IFERROR(INDEX(PP_Grid[#Data],$DD610,57),0)</f>
        <v/>
      </c>
      <c r="BH610">
        <f>IFERROR(INDEX(PP_Grid[#Data],$DD610,58),0)</f>
        <v/>
      </c>
      <c r="BI610">
        <f>IFERROR(INDEX(PP_Grid[#Data],$DD610,59),0)</f>
        <v/>
      </c>
      <c r="BJ610">
        <f>IFERROR(INDEX(PP_Grid[#Data],$DD610,60),0)</f>
        <v/>
      </c>
      <c r="BK610">
        <f>IFERROR(INDEX(PP_Grid[#Data],$DD610,61),0)</f>
        <v/>
      </c>
      <c r="BL610">
        <f>IFERROR(INDEX(PP_Grid[#Data],$DD610,62),0)</f>
        <v/>
      </c>
      <c r="BM610">
        <f>IFERROR(INDEX(PP_Grid[#Data],$DD610,63),0)</f>
        <v/>
      </c>
      <c r="BN610">
        <f>IFERROR(INDEX(PP_Grid[#Data],$DD610,64),0)</f>
        <v/>
      </c>
      <c r="BO610">
        <f>IFERROR(INDEX(PP_Grid[#Data],$DD610,65),0)</f>
        <v/>
      </c>
      <c r="BP610">
        <f>IFERROR(INDEX(PP_Grid[#Data],$DD610,66),0)</f>
        <v/>
      </c>
      <c r="BQ610">
        <f>IFERROR(INDEX(PP_Grid[#Data],$DD610,67),0)</f>
        <v/>
      </c>
      <c r="BR610">
        <f>IFERROR(INDEX(PP_Grid[#Data],$DD610,68),0)</f>
        <v/>
      </c>
      <c r="BS610">
        <f>IFERROR(INDEX(PP_Grid[#Data],$DD610,69),0)</f>
        <v/>
      </c>
      <c r="BT610">
        <f>IFERROR(INDEX(PP_Grid[#Data],$DD610,70),0)</f>
        <v/>
      </c>
      <c r="BU610">
        <f>IFERROR(INDEX(PP_Grid[#Data],$DD610,71),0)</f>
        <v/>
      </c>
      <c r="BV610">
        <f>IFERROR(INDEX(PP_Grid[#Data],$DD610,72),0)</f>
        <v/>
      </c>
      <c r="BW610">
        <f>IFERROR(INDEX(PP_Grid[#Data],$DD610,73),0)</f>
        <v/>
      </c>
      <c r="BX610">
        <f>IFERROR(INDEX(PP_Grid[#Data],$DD610,74),0)</f>
        <v/>
      </c>
      <c r="BY610">
        <f>IFERROR(INDEX(PP_Grid[#Data],$DD610,75),0)</f>
        <v/>
      </c>
      <c r="BZ610">
        <f>IFERROR(INDEX(PP_Grid[#Data],$DD610,76),0)</f>
        <v/>
      </c>
      <c r="CA610">
        <f>IFERROR(INDEX(PP_Grid[#Data],$DD610,77),0)</f>
        <v/>
      </c>
      <c r="CB610">
        <f>IFERROR(INDEX(PP_Grid[#Data],$DD610,78),0)</f>
        <v/>
      </c>
      <c r="CC610">
        <f>IFERROR(INDEX(PP_Grid[#Data],$DD610,79),0)</f>
        <v/>
      </c>
      <c r="CD610">
        <f>IFERROR(INDEX(PP_Grid[#Data],$DD610,80),0)</f>
        <v/>
      </c>
      <c r="CE610">
        <f>IFERROR(INDEX(PP_Grid[#Data],$DD610,81),0)</f>
        <v/>
      </c>
      <c r="CF610">
        <f>IFERROR(INDEX(PP_Grid[#Data],$DD610,82),0)</f>
        <v/>
      </c>
      <c r="CG610">
        <f>IFERROR(INDEX(PP_Grid[#Data],$DD610,83),0)</f>
        <v/>
      </c>
      <c r="CH610">
        <f>IFERROR(INDEX(PP_Grid[#Data],$DD610,84),0)</f>
        <v/>
      </c>
      <c r="CI610">
        <f>IFERROR(INDEX(PP_Grid[#Data],$DD610,85),0)</f>
        <v/>
      </c>
      <c r="CJ610">
        <f>IFERROR(INDEX(PP_Grid[#Data],$DD610,86),0)</f>
        <v/>
      </c>
      <c r="CK610">
        <f>IFERROR(INDEX(PP_Grid[#Data],$DD610,87),0)</f>
        <v/>
      </c>
      <c r="CL610">
        <f>IFERROR(INDEX(PP_Grid[#Data],$DD610,88),0)</f>
        <v/>
      </c>
      <c r="CM610">
        <f>IFERROR(INDEX(PP_Grid[#Data],$DD610,89),0)</f>
        <v/>
      </c>
      <c r="CN610">
        <f>IFERROR(INDEX(PP_Grid[#Data],$DD610,90),0)</f>
        <v/>
      </c>
      <c r="CO610">
        <f>IFERROR(INDEX(PP_Grid[#Data],$DD610,91),0)</f>
        <v/>
      </c>
      <c r="CP610">
        <f>IFERROR(INDEX(PP_Grid[#Data],$DD610,92),0)</f>
        <v/>
      </c>
      <c r="CQ610">
        <f>IFERROR(INDEX(PP_Grid[#Data],$DD610,93),0)</f>
        <v/>
      </c>
      <c r="CR610">
        <f>IFERROR(INDEX(PP_Grid[#Data],$DD610,94),0)</f>
        <v/>
      </c>
      <c r="CS610">
        <f>IFERROR(INDEX(PP_Grid[#Data],$DD610,95),0)</f>
        <v/>
      </c>
      <c r="CT610">
        <f>IFERROR(INDEX(PP_Grid[#Data],$DD610,96),0)</f>
        <v/>
      </c>
      <c r="CU610">
        <f>IFERROR(INDEX(PP_Grid[#Data],$DD610,97),0)</f>
        <v/>
      </c>
      <c r="CV610">
        <f>IFERROR(INDEX(PP_Grid[#Data],$DD610,98),0)</f>
        <v/>
      </c>
      <c r="CW610">
        <f>IFERROR(INDEX(PP_Grid[#Data],$DD610,99),0)</f>
        <v/>
      </c>
      <c r="CX610">
        <f>IFERROR(INDEX(PP_Grid[#Data],$DD610,100),0)</f>
        <v/>
      </c>
      <c r="CY610">
        <f>IFERROR(INDEX(PP_Grid[#Data],$DD610,101),0)</f>
        <v/>
      </c>
      <c r="CZ610">
        <f>IFERROR(INDEX(PP_Grid[#Data],$DD610,102),0)</f>
        <v/>
      </c>
      <c r="DA610">
        <f>IFERROR(INDEX(PP_Grid[#Data],$DD610,103),0)</f>
        <v/>
      </c>
      <c r="DB610">
        <f>IFERROR(INDEX(PP_Grid[#Data],$DD610,104),0)</f>
        <v/>
      </c>
      <c r="DC610">
        <f>IFERROR(INDEX(PP_Grid[#Data],$DD610,105),0)</f>
        <v/>
      </c>
      <c r="DD610" s="12">
        <f>IFERROR(MATCH($B610,PP_Grid[Intermediate],0),99999)</f>
        <v/>
      </c>
    </row>
    <row r="611">
      <c r="B611" t="inlineStr">
        <is>
          <t>使用量(kg)</t>
        </is>
      </c>
      <c r="C611">
        <f>SUMIFS(M_BOM[RM_Qty_Per_Batch],M_BOM[Intermediate],$B610,M_BOM[Part Name],$A601)</f>
        <v/>
      </c>
      <c r="D611">
        <f>$C611*D610</f>
        <v/>
      </c>
      <c r="E611">
        <f>$C611*E610</f>
        <v/>
      </c>
      <c r="F611">
        <f>$C611*F610</f>
        <v/>
      </c>
      <c r="G611">
        <f>$C611*G610</f>
        <v/>
      </c>
      <c r="H611">
        <f>$C611*H610</f>
        <v/>
      </c>
      <c r="I611">
        <f>$C611*I610</f>
        <v/>
      </c>
      <c r="J611">
        <f>$C611*J610</f>
        <v/>
      </c>
      <c r="K611">
        <f>$C611*K610</f>
        <v/>
      </c>
      <c r="L611">
        <f>$C611*L610</f>
        <v/>
      </c>
      <c r="M611">
        <f>$C611*M610</f>
        <v/>
      </c>
      <c r="N611">
        <f>$C611*N610</f>
        <v/>
      </c>
      <c r="O611">
        <f>$C611*O610</f>
        <v/>
      </c>
      <c r="P611">
        <f>$C611*P610</f>
        <v/>
      </c>
      <c r="Q611">
        <f>$C611*Q610</f>
        <v/>
      </c>
      <c r="R611">
        <f>$C611*R610</f>
        <v/>
      </c>
      <c r="S611">
        <f>$C611*S610</f>
        <v/>
      </c>
      <c r="T611">
        <f>$C611*T610</f>
        <v/>
      </c>
      <c r="U611">
        <f>$C611*U610</f>
        <v/>
      </c>
      <c r="V611">
        <f>$C611*V610</f>
        <v/>
      </c>
      <c r="W611">
        <f>$C611*W610</f>
        <v/>
      </c>
      <c r="X611">
        <f>$C611*X610</f>
        <v/>
      </c>
      <c r="Y611">
        <f>$C611*Y610</f>
        <v/>
      </c>
      <c r="Z611">
        <f>$C611*Z610</f>
        <v/>
      </c>
      <c r="AA611">
        <f>$C611*AA610</f>
        <v/>
      </c>
      <c r="AB611">
        <f>$C611*AB610</f>
        <v/>
      </c>
      <c r="AC611">
        <f>$C611*AC610</f>
        <v/>
      </c>
      <c r="AD611">
        <f>$C611*AD610</f>
        <v/>
      </c>
      <c r="AE611">
        <f>$C611*AE610</f>
        <v/>
      </c>
      <c r="AF611">
        <f>$C611*AF610</f>
        <v/>
      </c>
      <c r="AG611">
        <f>$C611*AG610</f>
        <v/>
      </c>
      <c r="AH611">
        <f>$C611*AH610</f>
        <v/>
      </c>
      <c r="AI611">
        <f>$C611*AI610</f>
        <v/>
      </c>
      <c r="AJ611">
        <f>$C611*AJ610</f>
        <v/>
      </c>
      <c r="AK611">
        <f>$C611*AK610</f>
        <v/>
      </c>
      <c r="AL611">
        <f>$C611*AL610</f>
        <v/>
      </c>
      <c r="AM611">
        <f>$C611*AM610</f>
        <v/>
      </c>
      <c r="AN611">
        <f>$C611*AN610</f>
        <v/>
      </c>
      <c r="AO611">
        <f>$C611*AO610</f>
        <v/>
      </c>
      <c r="AP611">
        <f>$C611*AP610</f>
        <v/>
      </c>
      <c r="AQ611">
        <f>$C611*AQ610</f>
        <v/>
      </c>
      <c r="AR611">
        <f>$C611*AR610</f>
        <v/>
      </c>
      <c r="AS611">
        <f>$C611*AS610</f>
        <v/>
      </c>
      <c r="AT611">
        <f>$C611*AT610</f>
        <v/>
      </c>
      <c r="AU611">
        <f>$C611*AU610</f>
        <v/>
      </c>
      <c r="AV611">
        <f>$C611*AV610</f>
        <v/>
      </c>
      <c r="AW611">
        <f>$C611*AW610</f>
        <v/>
      </c>
      <c r="AX611">
        <f>$C611*AX610</f>
        <v/>
      </c>
      <c r="AY611">
        <f>$C611*AY610</f>
        <v/>
      </c>
      <c r="AZ611">
        <f>$C611*AZ610</f>
        <v/>
      </c>
      <c r="BA611">
        <f>$C611*BA610</f>
        <v/>
      </c>
      <c r="BB611">
        <f>$C611*BB610</f>
        <v/>
      </c>
      <c r="BC611">
        <f>$C611*BC610</f>
        <v/>
      </c>
      <c r="BD611">
        <f>$C611*BD610</f>
        <v/>
      </c>
      <c r="BE611">
        <f>$C611*BE610</f>
        <v/>
      </c>
      <c r="BF611">
        <f>$C611*BF610</f>
        <v/>
      </c>
      <c r="BG611">
        <f>$C611*BG610</f>
        <v/>
      </c>
      <c r="BH611">
        <f>$C611*BH610</f>
        <v/>
      </c>
      <c r="BI611">
        <f>$C611*BI610</f>
        <v/>
      </c>
      <c r="BJ611">
        <f>$C611*BJ610</f>
        <v/>
      </c>
      <c r="BK611">
        <f>$C611*BK610</f>
        <v/>
      </c>
      <c r="BL611">
        <f>$C611*BL610</f>
        <v/>
      </c>
      <c r="BM611">
        <f>$C611*BM610</f>
        <v/>
      </c>
      <c r="BN611">
        <f>$C611*BN610</f>
        <v/>
      </c>
      <c r="BO611">
        <f>$C611*BO610</f>
        <v/>
      </c>
      <c r="BP611">
        <f>$C611*BP610</f>
        <v/>
      </c>
      <c r="BQ611">
        <f>$C611*BQ610</f>
        <v/>
      </c>
      <c r="BR611">
        <f>$C611*BR610</f>
        <v/>
      </c>
      <c r="BS611">
        <f>$C611*BS610</f>
        <v/>
      </c>
      <c r="BT611">
        <f>$C611*BT610</f>
        <v/>
      </c>
      <c r="BU611">
        <f>$C611*BU610</f>
        <v/>
      </c>
      <c r="BV611">
        <f>$C611*BV610</f>
        <v/>
      </c>
      <c r="BW611">
        <f>$C611*BW610</f>
        <v/>
      </c>
      <c r="BX611">
        <f>$C611*BX610</f>
        <v/>
      </c>
      <c r="BY611">
        <f>$C611*BY610</f>
        <v/>
      </c>
      <c r="BZ611">
        <f>$C611*BZ610</f>
        <v/>
      </c>
      <c r="CA611">
        <f>$C611*CA610</f>
        <v/>
      </c>
      <c r="CB611">
        <f>$C611*CB610</f>
        <v/>
      </c>
      <c r="CC611">
        <f>$C611*CC610</f>
        <v/>
      </c>
      <c r="CD611">
        <f>$C611*CD610</f>
        <v/>
      </c>
      <c r="CE611">
        <f>$C611*CE610</f>
        <v/>
      </c>
      <c r="CF611">
        <f>$C611*CF610</f>
        <v/>
      </c>
      <c r="CG611">
        <f>$C611*CG610</f>
        <v/>
      </c>
      <c r="CH611">
        <f>$C611*CH610</f>
        <v/>
      </c>
      <c r="CI611">
        <f>$C611*CI610</f>
        <v/>
      </c>
      <c r="CJ611">
        <f>$C611*CJ610</f>
        <v/>
      </c>
      <c r="CK611">
        <f>$C611*CK610</f>
        <v/>
      </c>
      <c r="CL611">
        <f>$C611*CL610</f>
        <v/>
      </c>
      <c r="CM611">
        <f>$C611*CM610</f>
        <v/>
      </c>
      <c r="CN611">
        <f>$C611*CN610</f>
        <v/>
      </c>
      <c r="CO611">
        <f>$C611*CO610</f>
        <v/>
      </c>
      <c r="CP611">
        <f>$C611*CP610</f>
        <v/>
      </c>
      <c r="CQ611">
        <f>$C611*CQ610</f>
        <v/>
      </c>
      <c r="CR611">
        <f>$C611*CR610</f>
        <v/>
      </c>
      <c r="CS611">
        <f>$C611*CS610</f>
        <v/>
      </c>
      <c r="CT611">
        <f>$C611*CT610</f>
        <v/>
      </c>
      <c r="CU611">
        <f>$C611*CU610</f>
        <v/>
      </c>
      <c r="CV611">
        <f>$C611*CV610</f>
        <v/>
      </c>
      <c r="CW611">
        <f>$C611*CW610</f>
        <v/>
      </c>
      <c r="CX611">
        <f>$C611*CX610</f>
        <v/>
      </c>
      <c r="CY611">
        <f>$C611*CY610</f>
        <v/>
      </c>
      <c r="CZ611">
        <f>$C611*CZ610</f>
        <v/>
      </c>
      <c r="DA611">
        <f>$C611*DA610</f>
        <v/>
      </c>
      <c r="DB611">
        <f>$C611*DB610</f>
        <v/>
      </c>
      <c r="DC611">
        <f>$C611*DC610</f>
        <v/>
      </c>
    </row>
    <row r="612">
      <c r="B612" t="inlineStr">
        <is>
          <t>TSP-620</t>
        </is>
      </c>
      <c r="C612" t="inlineStr">
        <is>
          <t>No. of batches</t>
        </is>
      </c>
      <c r="D612">
        <f>IFERROR(INDEX(PP_Grid[#Data],$DD612,2),0)</f>
        <v/>
      </c>
      <c r="E612">
        <f>IFERROR(INDEX(PP_Grid[#Data],$DD612,3),0)</f>
        <v/>
      </c>
      <c r="F612">
        <f>IFERROR(INDEX(PP_Grid[#Data],$DD612,4),0)</f>
        <v/>
      </c>
      <c r="G612">
        <f>IFERROR(INDEX(PP_Grid[#Data],$DD612,5),0)</f>
        <v/>
      </c>
      <c r="H612">
        <f>IFERROR(INDEX(PP_Grid[#Data],$DD612,6),0)</f>
        <v/>
      </c>
      <c r="I612">
        <f>IFERROR(INDEX(PP_Grid[#Data],$DD612,7),0)</f>
        <v/>
      </c>
      <c r="J612">
        <f>IFERROR(INDEX(PP_Grid[#Data],$DD612,8),0)</f>
        <v/>
      </c>
      <c r="K612">
        <f>IFERROR(INDEX(PP_Grid[#Data],$DD612,9),0)</f>
        <v/>
      </c>
      <c r="L612">
        <f>IFERROR(INDEX(PP_Grid[#Data],$DD612,10),0)</f>
        <v/>
      </c>
      <c r="M612">
        <f>IFERROR(INDEX(PP_Grid[#Data],$DD612,11),0)</f>
        <v/>
      </c>
      <c r="N612">
        <f>IFERROR(INDEX(PP_Grid[#Data],$DD612,12),0)</f>
        <v/>
      </c>
      <c r="O612">
        <f>IFERROR(INDEX(PP_Grid[#Data],$DD612,13),0)</f>
        <v/>
      </c>
      <c r="P612">
        <f>IFERROR(INDEX(PP_Grid[#Data],$DD612,14),0)</f>
        <v/>
      </c>
      <c r="Q612">
        <f>IFERROR(INDEX(PP_Grid[#Data],$DD612,15),0)</f>
        <v/>
      </c>
      <c r="R612">
        <f>IFERROR(INDEX(PP_Grid[#Data],$DD612,16),0)</f>
        <v/>
      </c>
      <c r="S612">
        <f>IFERROR(INDEX(PP_Grid[#Data],$DD612,17),0)</f>
        <v/>
      </c>
      <c r="T612">
        <f>IFERROR(INDEX(PP_Grid[#Data],$DD612,18),0)</f>
        <v/>
      </c>
      <c r="U612">
        <f>IFERROR(INDEX(PP_Grid[#Data],$DD612,19),0)</f>
        <v/>
      </c>
      <c r="V612">
        <f>IFERROR(INDEX(PP_Grid[#Data],$DD612,20),0)</f>
        <v/>
      </c>
      <c r="W612">
        <f>IFERROR(INDEX(PP_Grid[#Data],$DD612,21),0)</f>
        <v/>
      </c>
      <c r="X612">
        <f>IFERROR(INDEX(PP_Grid[#Data],$DD612,22),0)</f>
        <v/>
      </c>
      <c r="Y612">
        <f>IFERROR(INDEX(PP_Grid[#Data],$DD612,23),0)</f>
        <v/>
      </c>
      <c r="Z612">
        <f>IFERROR(INDEX(PP_Grid[#Data],$DD612,24),0)</f>
        <v/>
      </c>
      <c r="AA612">
        <f>IFERROR(INDEX(PP_Grid[#Data],$DD612,25),0)</f>
        <v/>
      </c>
      <c r="AB612">
        <f>IFERROR(INDEX(PP_Grid[#Data],$DD612,26),0)</f>
        <v/>
      </c>
      <c r="AC612">
        <f>IFERROR(INDEX(PP_Grid[#Data],$DD612,27),0)</f>
        <v/>
      </c>
      <c r="AD612">
        <f>IFERROR(INDEX(PP_Grid[#Data],$DD612,28),0)</f>
        <v/>
      </c>
      <c r="AE612">
        <f>IFERROR(INDEX(PP_Grid[#Data],$DD612,29),0)</f>
        <v/>
      </c>
      <c r="AF612">
        <f>IFERROR(INDEX(PP_Grid[#Data],$DD612,30),0)</f>
        <v/>
      </c>
      <c r="AG612">
        <f>IFERROR(INDEX(PP_Grid[#Data],$DD612,31),0)</f>
        <v/>
      </c>
      <c r="AH612">
        <f>IFERROR(INDEX(PP_Grid[#Data],$DD612,32),0)</f>
        <v/>
      </c>
      <c r="AI612">
        <f>IFERROR(INDEX(PP_Grid[#Data],$DD612,33),0)</f>
        <v/>
      </c>
      <c r="AJ612">
        <f>IFERROR(INDEX(PP_Grid[#Data],$DD612,34),0)</f>
        <v/>
      </c>
      <c r="AK612">
        <f>IFERROR(INDEX(PP_Grid[#Data],$DD612,35),0)</f>
        <v/>
      </c>
      <c r="AL612">
        <f>IFERROR(INDEX(PP_Grid[#Data],$DD612,36),0)</f>
        <v/>
      </c>
      <c r="AM612">
        <f>IFERROR(INDEX(PP_Grid[#Data],$DD612,37),0)</f>
        <v/>
      </c>
      <c r="AN612">
        <f>IFERROR(INDEX(PP_Grid[#Data],$DD612,38),0)</f>
        <v/>
      </c>
      <c r="AO612">
        <f>IFERROR(INDEX(PP_Grid[#Data],$DD612,39),0)</f>
        <v/>
      </c>
      <c r="AP612">
        <f>IFERROR(INDEX(PP_Grid[#Data],$DD612,40),0)</f>
        <v/>
      </c>
      <c r="AQ612">
        <f>IFERROR(INDEX(PP_Grid[#Data],$DD612,41),0)</f>
        <v/>
      </c>
      <c r="AR612">
        <f>IFERROR(INDEX(PP_Grid[#Data],$DD612,42),0)</f>
        <v/>
      </c>
      <c r="AS612">
        <f>IFERROR(INDEX(PP_Grid[#Data],$DD612,43),0)</f>
        <v/>
      </c>
      <c r="AT612">
        <f>IFERROR(INDEX(PP_Grid[#Data],$DD612,44),0)</f>
        <v/>
      </c>
      <c r="AU612">
        <f>IFERROR(INDEX(PP_Grid[#Data],$DD612,45),0)</f>
        <v/>
      </c>
      <c r="AV612">
        <f>IFERROR(INDEX(PP_Grid[#Data],$DD612,46),0)</f>
        <v/>
      </c>
      <c r="AW612">
        <f>IFERROR(INDEX(PP_Grid[#Data],$DD612,47),0)</f>
        <v/>
      </c>
      <c r="AX612">
        <f>IFERROR(INDEX(PP_Grid[#Data],$DD612,48),0)</f>
        <v/>
      </c>
      <c r="AY612">
        <f>IFERROR(INDEX(PP_Grid[#Data],$DD612,49),0)</f>
        <v/>
      </c>
      <c r="AZ612">
        <f>IFERROR(INDEX(PP_Grid[#Data],$DD612,50),0)</f>
        <v/>
      </c>
      <c r="BA612">
        <f>IFERROR(INDEX(PP_Grid[#Data],$DD612,51),0)</f>
        <v/>
      </c>
      <c r="BB612">
        <f>IFERROR(INDEX(PP_Grid[#Data],$DD612,52),0)</f>
        <v/>
      </c>
      <c r="BC612">
        <f>IFERROR(INDEX(PP_Grid[#Data],$DD612,53),0)</f>
        <v/>
      </c>
      <c r="BD612">
        <f>IFERROR(INDEX(PP_Grid[#Data],$DD612,54),0)</f>
        <v/>
      </c>
      <c r="BE612">
        <f>IFERROR(INDEX(PP_Grid[#Data],$DD612,55),0)</f>
        <v/>
      </c>
      <c r="BF612">
        <f>IFERROR(INDEX(PP_Grid[#Data],$DD612,56),0)</f>
        <v/>
      </c>
      <c r="BG612">
        <f>IFERROR(INDEX(PP_Grid[#Data],$DD612,57),0)</f>
        <v/>
      </c>
      <c r="BH612">
        <f>IFERROR(INDEX(PP_Grid[#Data],$DD612,58),0)</f>
        <v/>
      </c>
      <c r="BI612">
        <f>IFERROR(INDEX(PP_Grid[#Data],$DD612,59),0)</f>
        <v/>
      </c>
      <c r="BJ612">
        <f>IFERROR(INDEX(PP_Grid[#Data],$DD612,60),0)</f>
        <v/>
      </c>
      <c r="BK612">
        <f>IFERROR(INDEX(PP_Grid[#Data],$DD612,61),0)</f>
        <v/>
      </c>
      <c r="BL612">
        <f>IFERROR(INDEX(PP_Grid[#Data],$DD612,62),0)</f>
        <v/>
      </c>
      <c r="BM612">
        <f>IFERROR(INDEX(PP_Grid[#Data],$DD612,63),0)</f>
        <v/>
      </c>
      <c r="BN612">
        <f>IFERROR(INDEX(PP_Grid[#Data],$DD612,64),0)</f>
        <v/>
      </c>
      <c r="BO612">
        <f>IFERROR(INDEX(PP_Grid[#Data],$DD612,65),0)</f>
        <v/>
      </c>
      <c r="BP612">
        <f>IFERROR(INDEX(PP_Grid[#Data],$DD612,66),0)</f>
        <v/>
      </c>
      <c r="BQ612">
        <f>IFERROR(INDEX(PP_Grid[#Data],$DD612,67),0)</f>
        <v/>
      </c>
      <c r="BR612">
        <f>IFERROR(INDEX(PP_Grid[#Data],$DD612,68),0)</f>
        <v/>
      </c>
      <c r="BS612">
        <f>IFERROR(INDEX(PP_Grid[#Data],$DD612,69),0)</f>
        <v/>
      </c>
      <c r="BT612">
        <f>IFERROR(INDEX(PP_Grid[#Data],$DD612,70),0)</f>
        <v/>
      </c>
      <c r="BU612">
        <f>IFERROR(INDEX(PP_Grid[#Data],$DD612,71),0)</f>
        <v/>
      </c>
      <c r="BV612">
        <f>IFERROR(INDEX(PP_Grid[#Data],$DD612,72),0)</f>
        <v/>
      </c>
      <c r="BW612">
        <f>IFERROR(INDEX(PP_Grid[#Data],$DD612,73),0)</f>
        <v/>
      </c>
      <c r="BX612">
        <f>IFERROR(INDEX(PP_Grid[#Data],$DD612,74),0)</f>
        <v/>
      </c>
      <c r="BY612">
        <f>IFERROR(INDEX(PP_Grid[#Data],$DD612,75),0)</f>
        <v/>
      </c>
      <c r="BZ612">
        <f>IFERROR(INDEX(PP_Grid[#Data],$DD612,76),0)</f>
        <v/>
      </c>
      <c r="CA612">
        <f>IFERROR(INDEX(PP_Grid[#Data],$DD612,77),0)</f>
        <v/>
      </c>
      <c r="CB612">
        <f>IFERROR(INDEX(PP_Grid[#Data],$DD612,78),0)</f>
        <v/>
      </c>
      <c r="CC612">
        <f>IFERROR(INDEX(PP_Grid[#Data],$DD612,79),0)</f>
        <v/>
      </c>
      <c r="CD612">
        <f>IFERROR(INDEX(PP_Grid[#Data],$DD612,80),0)</f>
        <v/>
      </c>
      <c r="CE612">
        <f>IFERROR(INDEX(PP_Grid[#Data],$DD612,81),0)</f>
        <v/>
      </c>
      <c r="CF612">
        <f>IFERROR(INDEX(PP_Grid[#Data],$DD612,82),0)</f>
        <v/>
      </c>
      <c r="CG612">
        <f>IFERROR(INDEX(PP_Grid[#Data],$DD612,83),0)</f>
        <v/>
      </c>
      <c r="CH612">
        <f>IFERROR(INDEX(PP_Grid[#Data],$DD612,84),0)</f>
        <v/>
      </c>
      <c r="CI612">
        <f>IFERROR(INDEX(PP_Grid[#Data],$DD612,85),0)</f>
        <v/>
      </c>
      <c r="CJ612">
        <f>IFERROR(INDEX(PP_Grid[#Data],$DD612,86),0)</f>
        <v/>
      </c>
      <c r="CK612">
        <f>IFERROR(INDEX(PP_Grid[#Data],$DD612,87),0)</f>
        <v/>
      </c>
      <c r="CL612">
        <f>IFERROR(INDEX(PP_Grid[#Data],$DD612,88),0)</f>
        <v/>
      </c>
      <c r="CM612">
        <f>IFERROR(INDEX(PP_Grid[#Data],$DD612,89),0)</f>
        <v/>
      </c>
      <c r="CN612">
        <f>IFERROR(INDEX(PP_Grid[#Data],$DD612,90),0)</f>
        <v/>
      </c>
      <c r="CO612">
        <f>IFERROR(INDEX(PP_Grid[#Data],$DD612,91),0)</f>
        <v/>
      </c>
      <c r="CP612">
        <f>IFERROR(INDEX(PP_Grid[#Data],$DD612,92),0)</f>
        <v/>
      </c>
      <c r="CQ612">
        <f>IFERROR(INDEX(PP_Grid[#Data],$DD612,93),0)</f>
        <v/>
      </c>
      <c r="CR612">
        <f>IFERROR(INDEX(PP_Grid[#Data],$DD612,94),0)</f>
        <v/>
      </c>
      <c r="CS612">
        <f>IFERROR(INDEX(PP_Grid[#Data],$DD612,95),0)</f>
        <v/>
      </c>
      <c r="CT612">
        <f>IFERROR(INDEX(PP_Grid[#Data],$DD612,96),0)</f>
        <v/>
      </c>
      <c r="CU612">
        <f>IFERROR(INDEX(PP_Grid[#Data],$DD612,97),0)</f>
        <v/>
      </c>
      <c r="CV612">
        <f>IFERROR(INDEX(PP_Grid[#Data],$DD612,98),0)</f>
        <v/>
      </c>
      <c r="CW612">
        <f>IFERROR(INDEX(PP_Grid[#Data],$DD612,99),0)</f>
        <v/>
      </c>
      <c r="CX612">
        <f>IFERROR(INDEX(PP_Grid[#Data],$DD612,100),0)</f>
        <v/>
      </c>
      <c r="CY612">
        <f>IFERROR(INDEX(PP_Grid[#Data],$DD612,101),0)</f>
        <v/>
      </c>
      <c r="CZ612">
        <f>IFERROR(INDEX(PP_Grid[#Data],$DD612,102),0)</f>
        <v/>
      </c>
      <c r="DA612">
        <f>IFERROR(INDEX(PP_Grid[#Data],$DD612,103),0)</f>
        <v/>
      </c>
      <c r="DB612">
        <f>IFERROR(INDEX(PP_Grid[#Data],$DD612,104),0)</f>
        <v/>
      </c>
      <c r="DC612">
        <f>IFERROR(INDEX(PP_Grid[#Data],$DD612,105),0)</f>
        <v/>
      </c>
      <c r="DD612" s="12">
        <f>IFERROR(MATCH($B612,PP_Grid[Intermediate],0),99999)</f>
        <v/>
      </c>
    </row>
    <row r="613">
      <c r="B613" t="inlineStr">
        <is>
          <t>使用量(kg)</t>
        </is>
      </c>
      <c r="C613">
        <f>SUMIFS(M_BOM[RM_Qty_Per_Batch],M_BOM[Intermediate],$B612,M_BOM[Part Name],$A601)</f>
        <v/>
      </c>
      <c r="D613">
        <f>$C613*D612</f>
        <v/>
      </c>
      <c r="E613">
        <f>$C613*E612</f>
        <v/>
      </c>
      <c r="F613">
        <f>$C613*F612</f>
        <v/>
      </c>
      <c r="G613">
        <f>$C613*G612</f>
        <v/>
      </c>
      <c r="H613">
        <f>$C613*H612</f>
        <v/>
      </c>
      <c r="I613">
        <f>$C613*I612</f>
        <v/>
      </c>
      <c r="J613">
        <f>$C613*J612</f>
        <v/>
      </c>
      <c r="K613">
        <f>$C613*K612</f>
        <v/>
      </c>
      <c r="L613">
        <f>$C613*L612</f>
        <v/>
      </c>
      <c r="M613">
        <f>$C613*M612</f>
        <v/>
      </c>
      <c r="N613">
        <f>$C613*N612</f>
        <v/>
      </c>
      <c r="O613">
        <f>$C613*O612</f>
        <v/>
      </c>
      <c r="P613">
        <f>$C613*P612</f>
        <v/>
      </c>
      <c r="Q613">
        <f>$C613*Q612</f>
        <v/>
      </c>
      <c r="R613">
        <f>$C613*R612</f>
        <v/>
      </c>
      <c r="S613">
        <f>$C613*S612</f>
        <v/>
      </c>
      <c r="T613">
        <f>$C613*T612</f>
        <v/>
      </c>
      <c r="U613">
        <f>$C613*U612</f>
        <v/>
      </c>
      <c r="V613">
        <f>$C613*V612</f>
        <v/>
      </c>
      <c r="W613">
        <f>$C613*W612</f>
        <v/>
      </c>
      <c r="X613">
        <f>$C613*X612</f>
        <v/>
      </c>
      <c r="Y613">
        <f>$C613*Y612</f>
        <v/>
      </c>
      <c r="Z613">
        <f>$C613*Z612</f>
        <v/>
      </c>
      <c r="AA613">
        <f>$C613*AA612</f>
        <v/>
      </c>
      <c r="AB613">
        <f>$C613*AB612</f>
        <v/>
      </c>
      <c r="AC613">
        <f>$C613*AC612</f>
        <v/>
      </c>
      <c r="AD613">
        <f>$C613*AD612</f>
        <v/>
      </c>
      <c r="AE613">
        <f>$C613*AE612</f>
        <v/>
      </c>
      <c r="AF613">
        <f>$C613*AF612</f>
        <v/>
      </c>
      <c r="AG613">
        <f>$C613*AG612</f>
        <v/>
      </c>
      <c r="AH613">
        <f>$C613*AH612</f>
        <v/>
      </c>
      <c r="AI613">
        <f>$C613*AI612</f>
        <v/>
      </c>
      <c r="AJ613">
        <f>$C613*AJ612</f>
        <v/>
      </c>
      <c r="AK613">
        <f>$C613*AK612</f>
        <v/>
      </c>
      <c r="AL613">
        <f>$C613*AL612</f>
        <v/>
      </c>
      <c r="AM613">
        <f>$C613*AM612</f>
        <v/>
      </c>
      <c r="AN613">
        <f>$C613*AN612</f>
        <v/>
      </c>
      <c r="AO613">
        <f>$C613*AO612</f>
        <v/>
      </c>
      <c r="AP613">
        <f>$C613*AP612</f>
        <v/>
      </c>
      <c r="AQ613">
        <f>$C613*AQ612</f>
        <v/>
      </c>
      <c r="AR613">
        <f>$C613*AR612</f>
        <v/>
      </c>
      <c r="AS613">
        <f>$C613*AS612</f>
        <v/>
      </c>
      <c r="AT613">
        <f>$C613*AT612</f>
        <v/>
      </c>
      <c r="AU613">
        <f>$C613*AU612</f>
        <v/>
      </c>
      <c r="AV613">
        <f>$C613*AV612</f>
        <v/>
      </c>
      <c r="AW613">
        <f>$C613*AW612</f>
        <v/>
      </c>
      <c r="AX613">
        <f>$C613*AX612</f>
        <v/>
      </c>
      <c r="AY613">
        <f>$C613*AY612</f>
        <v/>
      </c>
      <c r="AZ613">
        <f>$C613*AZ612</f>
        <v/>
      </c>
      <c r="BA613">
        <f>$C613*BA612</f>
        <v/>
      </c>
      <c r="BB613">
        <f>$C613*BB612</f>
        <v/>
      </c>
      <c r="BC613">
        <f>$C613*BC612</f>
        <v/>
      </c>
      <c r="BD613">
        <f>$C613*BD612</f>
        <v/>
      </c>
      <c r="BE613">
        <f>$C613*BE612</f>
        <v/>
      </c>
      <c r="BF613">
        <f>$C613*BF612</f>
        <v/>
      </c>
      <c r="BG613">
        <f>$C613*BG612</f>
        <v/>
      </c>
      <c r="BH613">
        <f>$C613*BH612</f>
        <v/>
      </c>
      <c r="BI613">
        <f>$C613*BI612</f>
        <v/>
      </c>
      <c r="BJ613">
        <f>$C613*BJ612</f>
        <v/>
      </c>
      <c r="BK613">
        <f>$C613*BK612</f>
        <v/>
      </c>
      <c r="BL613">
        <f>$C613*BL612</f>
        <v/>
      </c>
      <c r="BM613">
        <f>$C613*BM612</f>
        <v/>
      </c>
      <c r="BN613">
        <f>$C613*BN612</f>
        <v/>
      </c>
      <c r="BO613">
        <f>$C613*BO612</f>
        <v/>
      </c>
      <c r="BP613">
        <f>$C613*BP612</f>
        <v/>
      </c>
      <c r="BQ613">
        <f>$C613*BQ612</f>
        <v/>
      </c>
      <c r="BR613">
        <f>$C613*BR612</f>
        <v/>
      </c>
      <c r="BS613">
        <f>$C613*BS612</f>
        <v/>
      </c>
      <c r="BT613">
        <f>$C613*BT612</f>
        <v/>
      </c>
      <c r="BU613">
        <f>$C613*BU612</f>
        <v/>
      </c>
      <c r="BV613">
        <f>$C613*BV612</f>
        <v/>
      </c>
      <c r="BW613">
        <f>$C613*BW612</f>
        <v/>
      </c>
      <c r="BX613">
        <f>$C613*BX612</f>
        <v/>
      </c>
      <c r="BY613">
        <f>$C613*BY612</f>
        <v/>
      </c>
      <c r="BZ613">
        <f>$C613*BZ612</f>
        <v/>
      </c>
      <c r="CA613">
        <f>$C613*CA612</f>
        <v/>
      </c>
      <c r="CB613">
        <f>$C613*CB612</f>
        <v/>
      </c>
      <c r="CC613">
        <f>$C613*CC612</f>
        <v/>
      </c>
      <c r="CD613">
        <f>$C613*CD612</f>
        <v/>
      </c>
      <c r="CE613">
        <f>$C613*CE612</f>
        <v/>
      </c>
      <c r="CF613">
        <f>$C613*CF612</f>
        <v/>
      </c>
      <c r="CG613">
        <f>$C613*CG612</f>
        <v/>
      </c>
      <c r="CH613">
        <f>$C613*CH612</f>
        <v/>
      </c>
      <c r="CI613">
        <f>$C613*CI612</f>
        <v/>
      </c>
      <c r="CJ613">
        <f>$C613*CJ612</f>
        <v/>
      </c>
      <c r="CK613">
        <f>$C613*CK612</f>
        <v/>
      </c>
      <c r="CL613">
        <f>$C613*CL612</f>
        <v/>
      </c>
      <c r="CM613">
        <f>$C613*CM612</f>
        <v/>
      </c>
      <c r="CN613">
        <f>$C613*CN612</f>
        <v/>
      </c>
      <c r="CO613">
        <f>$C613*CO612</f>
        <v/>
      </c>
      <c r="CP613">
        <f>$C613*CP612</f>
        <v/>
      </c>
      <c r="CQ613">
        <f>$C613*CQ612</f>
        <v/>
      </c>
      <c r="CR613">
        <f>$C613*CR612</f>
        <v/>
      </c>
      <c r="CS613">
        <f>$C613*CS612</f>
        <v/>
      </c>
      <c r="CT613">
        <f>$C613*CT612</f>
        <v/>
      </c>
      <c r="CU613">
        <f>$C613*CU612</f>
        <v/>
      </c>
      <c r="CV613">
        <f>$C613*CV612</f>
        <v/>
      </c>
      <c r="CW613">
        <f>$C613*CW612</f>
        <v/>
      </c>
      <c r="CX613">
        <f>$C613*CX612</f>
        <v/>
      </c>
      <c r="CY613">
        <f>$C613*CY612</f>
        <v/>
      </c>
      <c r="CZ613">
        <f>$C613*CZ612</f>
        <v/>
      </c>
      <c r="DA613">
        <f>$C613*DA612</f>
        <v/>
      </c>
      <c r="DB613">
        <f>$C613*DB612</f>
        <v/>
      </c>
      <c r="DC613">
        <f>$C613*DC612</f>
        <v/>
      </c>
    </row>
    <row r="614">
      <c r="B614" t="inlineStr">
        <is>
          <t>TSP-623</t>
        </is>
      </c>
      <c r="C614" t="inlineStr">
        <is>
          <t>No. of batches</t>
        </is>
      </c>
      <c r="D614">
        <f>IFERROR(INDEX(PP_Grid[#Data],$DD614,2),0)</f>
        <v/>
      </c>
      <c r="E614">
        <f>IFERROR(INDEX(PP_Grid[#Data],$DD614,3),0)</f>
        <v/>
      </c>
      <c r="F614">
        <f>IFERROR(INDEX(PP_Grid[#Data],$DD614,4),0)</f>
        <v/>
      </c>
      <c r="G614">
        <f>IFERROR(INDEX(PP_Grid[#Data],$DD614,5),0)</f>
        <v/>
      </c>
      <c r="H614">
        <f>IFERROR(INDEX(PP_Grid[#Data],$DD614,6),0)</f>
        <v/>
      </c>
      <c r="I614">
        <f>IFERROR(INDEX(PP_Grid[#Data],$DD614,7),0)</f>
        <v/>
      </c>
      <c r="J614">
        <f>IFERROR(INDEX(PP_Grid[#Data],$DD614,8),0)</f>
        <v/>
      </c>
      <c r="K614">
        <f>IFERROR(INDEX(PP_Grid[#Data],$DD614,9),0)</f>
        <v/>
      </c>
      <c r="L614">
        <f>IFERROR(INDEX(PP_Grid[#Data],$DD614,10),0)</f>
        <v/>
      </c>
      <c r="M614">
        <f>IFERROR(INDEX(PP_Grid[#Data],$DD614,11),0)</f>
        <v/>
      </c>
      <c r="N614">
        <f>IFERROR(INDEX(PP_Grid[#Data],$DD614,12),0)</f>
        <v/>
      </c>
      <c r="O614">
        <f>IFERROR(INDEX(PP_Grid[#Data],$DD614,13),0)</f>
        <v/>
      </c>
      <c r="P614">
        <f>IFERROR(INDEX(PP_Grid[#Data],$DD614,14),0)</f>
        <v/>
      </c>
      <c r="Q614">
        <f>IFERROR(INDEX(PP_Grid[#Data],$DD614,15),0)</f>
        <v/>
      </c>
      <c r="R614">
        <f>IFERROR(INDEX(PP_Grid[#Data],$DD614,16),0)</f>
        <v/>
      </c>
      <c r="S614">
        <f>IFERROR(INDEX(PP_Grid[#Data],$DD614,17),0)</f>
        <v/>
      </c>
      <c r="T614">
        <f>IFERROR(INDEX(PP_Grid[#Data],$DD614,18),0)</f>
        <v/>
      </c>
      <c r="U614">
        <f>IFERROR(INDEX(PP_Grid[#Data],$DD614,19),0)</f>
        <v/>
      </c>
      <c r="V614">
        <f>IFERROR(INDEX(PP_Grid[#Data],$DD614,20),0)</f>
        <v/>
      </c>
      <c r="W614">
        <f>IFERROR(INDEX(PP_Grid[#Data],$DD614,21),0)</f>
        <v/>
      </c>
      <c r="X614">
        <f>IFERROR(INDEX(PP_Grid[#Data],$DD614,22),0)</f>
        <v/>
      </c>
      <c r="Y614">
        <f>IFERROR(INDEX(PP_Grid[#Data],$DD614,23),0)</f>
        <v/>
      </c>
      <c r="Z614">
        <f>IFERROR(INDEX(PP_Grid[#Data],$DD614,24),0)</f>
        <v/>
      </c>
      <c r="AA614">
        <f>IFERROR(INDEX(PP_Grid[#Data],$DD614,25),0)</f>
        <v/>
      </c>
      <c r="AB614">
        <f>IFERROR(INDEX(PP_Grid[#Data],$DD614,26),0)</f>
        <v/>
      </c>
      <c r="AC614">
        <f>IFERROR(INDEX(PP_Grid[#Data],$DD614,27),0)</f>
        <v/>
      </c>
      <c r="AD614">
        <f>IFERROR(INDEX(PP_Grid[#Data],$DD614,28),0)</f>
        <v/>
      </c>
      <c r="AE614">
        <f>IFERROR(INDEX(PP_Grid[#Data],$DD614,29),0)</f>
        <v/>
      </c>
      <c r="AF614">
        <f>IFERROR(INDEX(PP_Grid[#Data],$DD614,30),0)</f>
        <v/>
      </c>
      <c r="AG614">
        <f>IFERROR(INDEX(PP_Grid[#Data],$DD614,31),0)</f>
        <v/>
      </c>
      <c r="AH614">
        <f>IFERROR(INDEX(PP_Grid[#Data],$DD614,32),0)</f>
        <v/>
      </c>
      <c r="AI614">
        <f>IFERROR(INDEX(PP_Grid[#Data],$DD614,33),0)</f>
        <v/>
      </c>
      <c r="AJ614">
        <f>IFERROR(INDEX(PP_Grid[#Data],$DD614,34),0)</f>
        <v/>
      </c>
      <c r="AK614">
        <f>IFERROR(INDEX(PP_Grid[#Data],$DD614,35),0)</f>
        <v/>
      </c>
      <c r="AL614">
        <f>IFERROR(INDEX(PP_Grid[#Data],$DD614,36),0)</f>
        <v/>
      </c>
      <c r="AM614">
        <f>IFERROR(INDEX(PP_Grid[#Data],$DD614,37),0)</f>
        <v/>
      </c>
      <c r="AN614">
        <f>IFERROR(INDEX(PP_Grid[#Data],$DD614,38),0)</f>
        <v/>
      </c>
      <c r="AO614">
        <f>IFERROR(INDEX(PP_Grid[#Data],$DD614,39),0)</f>
        <v/>
      </c>
      <c r="AP614">
        <f>IFERROR(INDEX(PP_Grid[#Data],$DD614,40),0)</f>
        <v/>
      </c>
      <c r="AQ614">
        <f>IFERROR(INDEX(PP_Grid[#Data],$DD614,41),0)</f>
        <v/>
      </c>
      <c r="AR614">
        <f>IFERROR(INDEX(PP_Grid[#Data],$DD614,42),0)</f>
        <v/>
      </c>
      <c r="AS614">
        <f>IFERROR(INDEX(PP_Grid[#Data],$DD614,43),0)</f>
        <v/>
      </c>
      <c r="AT614">
        <f>IFERROR(INDEX(PP_Grid[#Data],$DD614,44),0)</f>
        <v/>
      </c>
      <c r="AU614">
        <f>IFERROR(INDEX(PP_Grid[#Data],$DD614,45),0)</f>
        <v/>
      </c>
      <c r="AV614">
        <f>IFERROR(INDEX(PP_Grid[#Data],$DD614,46),0)</f>
        <v/>
      </c>
      <c r="AW614">
        <f>IFERROR(INDEX(PP_Grid[#Data],$DD614,47),0)</f>
        <v/>
      </c>
      <c r="AX614">
        <f>IFERROR(INDEX(PP_Grid[#Data],$DD614,48),0)</f>
        <v/>
      </c>
      <c r="AY614">
        <f>IFERROR(INDEX(PP_Grid[#Data],$DD614,49),0)</f>
        <v/>
      </c>
      <c r="AZ614">
        <f>IFERROR(INDEX(PP_Grid[#Data],$DD614,50),0)</f>
        <v/>
      </c>
      <c r="BA614">
        <f>IFERROR(INDEX(PP_Grid[#Data],$DD614,51),0)</f>
        <v/>
      </c>
      <c r="BB614">
        <f>IFERROR(INDEX(PP_Grid[#Data],$DD614,52),0)</f>
        <v/>
      </c>
      <c r="BC614">
        <f>IFERROR(INDEX(PP_Grid[#Data],$DD614,53),0)</f>
        <v/>
      </c>
      <c r="BD614">
        <f>IFERROR(INDEX(PP_Grid[#Data],$DD614,54),0)</f>
        <v/>
      </c>
      <c r="BE614">
        <f>IFERROR(INDEX(PP_Grid[#Data],$DD614,55),0)</f>
        <v/>
      </c>
      <c r="BF614">
        <f>IFERROR(INDEX(PP_Grid[#Data],$DD614,56),0)</f>
        <v/>
      </c>
      <c r="BG614">
        <f>IFERROR(INDEX(PP_Grid[#Data],$DD614,57),0)</f>
        <v/>
      </c>
      <c r="BH614">
        <f>IFERROR(INDEX(PP_Grid[#Data],$DD614,58),0)</f>
        <v/>
      </c>
      <c r="BI614">
        <f>IFERROR(INDEX(PP_Grid[#Data],$DD614,59),0)</f>
        <v/>
      </c>
      <c r="BJ614">
        <f>IFERROR(INDEX(PP_Grid[#Data],$DD614,60),0)</f>
        <v/>
      </c>
      <c r="BK614">
        <f>IFERROR(INDEX(PP_Grid[#Data],$DD614,61),0)</f>
        <v/>
      </c>
      <c r="BL614">
        <f>IFERROR(INDEX(PP_Grid[#Data],$DD614,62),0)</f>
        <v/>
      </c>
      <c r="BM614">
        <f>IFERROR(INDEX(PP_Grid[#Data],$DD614,63),0)</f>
        <v/>
      </c>
      <c r="BN614">
        <f>IFERROR(INDEX(PP_Grid[#Data],$DD614,64),0)</f>
        <v/>
      </c>
      <c r="BO614">
        <f>IFERROR(INDEX(PP_Grid[#Data],$DD614,65),0)</f>
        <v/>
      </c>
      <c r="BP614">
        <f>IFERROR(INDEX(PP_Grid[#Data],$DD614,66),0)</f>
        <v/>
      </c>
      <c r="BQ614">
        <f>IFERROR(INDEX(PP_Grid[#Data],$DD614,67),0)</f>
        <v/>
      </c>
      <c r="BR614">
        <f>IFERROR(INDEX(PP_Grid[#Data],$DD614,68),0)</f>
        <v/>
      </c>
      <c r="BS614">
        <f>IFERROR(INDEX(PP_Grid[#Data],$DD614,69),0)</f>
        <v/>
      </c>
      <c r="BT614">
        <f>IFERROR(INDEX(PP_Grid[#Data],$DD614,70),0)</f>
        <v/>
      </c>
      <c r="BU614">
        <f>IFERROR(INDEX(PP_Grid[#Data],$DD614,71),0)</f>
        <v/>
      </c>
      <c r="BV614">
        <f>IFERROR(INDEX(PP_Grid[#Data],$DD614,72),0)</f>
        <v/>
      </c>
      <c r="BW614">
        <f>IFERROR(INDEX(PP_Grid[#Data],$DD614,73),0)</f>
        <v/>
      </c>
      <c r="BX614">
        <f>IFERROR(INDEX(PP_Grid[#Data],$DD614,74),0)</f>
        <v/>
      </c>
      <c r="BY614">
        <f>IFERROR(INDEX(PP_Grid[#Data],$DD614,75),0)</f>
        <v/>
      </c>
      <c r="BZ614">
        <f>IFERROR(INDEX(PP_Grid[#Data],$DD614,76),0)</f>
        <v/>
      </c>
      <c r="CA614">
        <f>IFERROR(INDEX(PP_Grid[#Data],$DD614,77),0)</f>
        <v/>
      </c>
      <c r="CB614">
        <f>IFERROR(INDEX(PP_Grid[#Data],$DD614,78),0)</f>
        <v/>
      </c>
      <c r="CC614">
        <f>IFERROR(INDEX(PP_Grid[#Data],$DD614,79),0)</f>
        <v/>
      </c>
      <c r="CD614">
        <f>IFERROR(INDEX(PP_Grid[#Data],$DD614,80),0)</f>
        <v/>
      </c>
      <c r="CE614">
        <f>IFERROR(INDEX(PP_Grid[#Data],$DD614,81),0)</f>
        <v/>
      </c>
      <c r="CF614">
        <f>IFERROR(INDEX(PP_Grid[#Data],$DD614,82),0)</f>
        <v/>
      </c>
      <c r="CG614">
        <f>IFERROR(INDEX(PP_Grid[#Data],$DD614,83),0)</f>
        <v/>
      </c>
      <c r="CH614">
        <f>IFERROR(INDEX(PP_Grid[#Data],$DD614,84),0)</f>
        <v/>
      </c>
      <c r="CI614">
        <f>IFERROR(INDEX(PP_Grid[#Data],$DD614,85),0)</f>
        <v/>
      </c>
      <c r="CJ614">
        <f>IFERROR(INDEX(PP_Grid[#Data],$DD614,86),0)</f>
        <v/>
      </c>
      <c r="CK614">
        <f>IFERROR(INDEX(PP_Grid[#Data],$DD614,87),0)</f>
        <v/>
      </c>
      <c r="CL614">
        <f>IFERROR(INDEX(PP_Grid[#Data],$DD614,88),0)</f>
        <v/>
      </c>
      <c r="CM614">
        <f>IFERROR(INDEX(PP_Grid[#Data],$DD614,89),0)</f>
        <v/>
      </c>
      <c r="CN614">
        <f>IFERROR(INDEX(PP_Grid[#Data],$DD614,90),0)</f>
        <v/>
      </c>
      <c r="CO614">
        <f>IFERROR(INDEX(PP_Grid[#Data],$DD614,91),0)</f>
        <v/>
      </c>
      <c r="CP614">
        <f>IFERROR(INDEX(PP_Grid[#Data],$DD614,92),0)</f>
        <v/>
      </c>
      <c r="CQ614">
        <f>IFERROR(INDEX(PP_Grid[#Data],$DD614,93),0)</f>
        <v/>
      </c>
      <c r="CR614">
        <f>IFERROR(INDEX(PP_Grid[#Data],$DD614,94),0)</f>
        <v/>
      </c>
      <c r="CS614">
        <f>IFERROR(INDEX(PP_Grid[#Data],$DD614,95),0)</f>
        <v/>
      </c>
      <c r="CT614">
        <f>IFERROR(INDEX(PP_Grid[#Data],$DD614,96),0)</f>
        <v/>
      </c>
      <c r="CU614">
        <f>IFERROR(INDEX(PP_Grid[#Data],$DD614,97),0)</f>
        <v/>
      </c>
      <c r="CV614">
        <f>IFERROR(INDEX(PP_Grid[#Data],$DD614,98),0)</f>
        <v/>
      </c>
      <c r="CW614">
        <f>IFERROR(INDEX(PP_Grid[#Data],$DD614,99),0)</f>
        <v/>
      </c>
      <c r="CX614">
        <f>IFERROR(INDEX(PP_Grid[#Data],$DD614,100),0)</f>
        <v/>
      </c>
      <c r="CY614">
        <f>IFERROR(INDEX(PP_Grid[#Data],$DD614,101),0)</f>
        <v/>
      </c>
      <c r="CZ614">
        <f>IFERROR(INDEX(PP_Grid[#Data],$DD614,102),0)</f>
        <v/>
      </c>
      <c r="DA614">
        <f>IFERROR(INDEX(PP_Grid[#Data],$DD614,103),0)</f>
        <v/>
      </c>
      <c r="DB614">
        <f>IFERROR(INDEX(PP_Grid[#Data],$DD614,104),0)</f>
        <v/>
      </c>
      <c r="DC614">
        <f>IFERROR(INDEX(PP_Grid[#Data],$DD614,105),0)</f>
        <v/>
      </c>
      <c r="DD614" s="12">
        <f>IFERROR(MATCH($B614,PP_Grid[Intermediate],0),99999)</f>
        <v/>
      </c>
    </row>
    <row r="615">
      <c r="B615" t="inlineStr">
        <is>
          <t>使用量(kg)</t>
        </is>
      </c>
      <c r="C615">
        <f>SUMIFS(M_BOM[RM_Qty_Per_Batch],M_BOM[Intermediate],$B614,M_BOM[Part Name],$A601)</f>
        <v/>
      </c>
      <c r="D615">
        <f>$C615*D614</f>
        <v/>
      </c>
      <c r="E615">
        <f>$C615*E614</f>
        <v/>
      </c>
      <c r="F615">
        <f>$C615*F614</f>
        <v/>
      </c>
      <c r="G615">
        <f>$C615*G614</f>
        <v/>
      </c>
      <c r="H615">
        <f>$C615*H614</f>
        <v/>
      </c>
      <c r="I615">
        <f>$C615*I614</f>
        <v/>
      </c>
      <c r="J615">
        <f>$C615*J614</f>
        <v/>
      </c>
      <c r="K615">
        <f>$C615*K614</f>
        <v/>
      </c>
      <c r="L615">
        <f>$C615*L614</f>
        <v/>
      </c>
      <c r="M615">
        <f>$C615*M614</f>
        <v/>
      </c>
      <c r="N615">
        <f>$C615*N614</f>
        <v/>
      </c>
      <c r="O615">
        <f>$C615*O614</f>
        <v/>
      </c>
      <c r="P615">
        <f>$C615*P614</f>
        <v/>
      </c>
      <c r="Q615">
        <f>$C615*Q614</f>
        <v/>
      </c>
      <c r="R615">
        <f>$C615*R614</f>
        <v/>
      </c>
      <c r="S615">
        <f>$C615*S614</f>
        <v/>
      </c>
      <c r="T615">
        <f>$C615*T614</f>
        <v/>
      </c>
      <c r="U615">
        <f>$C615*U614</f>
        <v/>
      </c>
      <c r="V615">
        <f>$C615*V614</f>
        <v/>
      </c>
      <c r="W615">
        <f>$C615*W614</f>
        <v/>
      </c>
      <c r="X615">
        <f>$C615*X614</f>
        <v/>
      </c>
      <c r="Y615">
        <f>$C615*Y614</f>
        <v/>
      </c>
      <c r="Z615">
        <f>$C615*Z614</f>
        <v/>
      </c>
      <c r="AA615">
        <f>$C615*AA614</f>
        <v/>
      </c>
      <c r="AB615">
        <f>$C615*AB614</f>
        <v/>
      </c>
      <c r="AC615">
        <f>$C615*AC614</f>
        <v/>
      </c>
      <c r="AD615">
        <f>$C615*AD614</f>
        <v/>
      </c>
      <c r="AE615">
        <f>$C615*AE614</f>
        <v/>
      </c>
      <c r="AF615">
        <f>$C615*AF614</f>
        <v/>
      </c>
      <c r="AG615">
        <f>$C615*AG614</f>
        <v/>
      </c>
      <c r="AH615">
        <f>$C615*AH614</f>
        <v/>
      </c>
      <c r="AI615">
        <f>$C615*AI614</f>
        <v/>
      </c>
      <c r="AJ615">
        <f>$C615*AJ614</f>
        <v/>
      </c>
      <c r="AK615">
        <f>$C615*AK614</f>
        <v/>
      </c>
      <c r="AL615">
        <f>$C615*AL614</f>
        <v/>
      </c>
      <c r="AM615">
        <f>$C615*AM614</f>
        <v/>
      </c>
      <c r="AN615">
        <f>$C615*AN614</f>
        <v/>
      </c>
      <c r="AO615">
        <f>$C615*AO614</f>
        <v/>
      </c>
      <c r="AP615">
        <f>$C615*AP614</f>
        <v/>
      </c>
      <c r="AQ615">
        <f>$C615*AQ614</f>
        <v/>
      </c>
      <c r="AR615">
        <f>$C615*AR614</f>
        <v/>
      </c>
      <c r="AS615">
        <f>$C615*AS614</f>
        <v/>
      </c>
      <c r="AT615">
        <f>$C615*AT614</f>
        <v/>
      </c>
      <c r="AU615">
        <f>$C615*AU614</f>
        <v/>
      </c>
      <c r="AV615">
        <f>$C615*AV614</f>
        <v/>
      </c>
      <c r="AW615">
        <f>$C615*AW614</f>
        <v/>
      </c>
      <c r="AX615">
        <f>$C615*AX614</f>
        <v/>
      </c>
      <c r="AY615">
        <f>$C615*AY614</f>
        <v/>
      </c>
      <c r="AZ615">
        <f>$C615*AZ614</f>
        <v/>
      </c>
      <c r="BA615">
        <f>$C615*BA614</f>
        <v/>
      </c>
      <c r="BB615">
        <f>$C615*BB614</f>
        <v/>
      </c>
      <c r="BC615">
        <f>$C615*BC614</f>
        <v/>
      </c>
      <c r="BD615">
        <f>$C615*BD614</f>
        <v/>
      </c>
      <c r="BE615">
        <f>$C615*BE614</f>
        <v/>
      </c>
      <c r="BF615">
        <f>$C615*BF614</f>
        <v/>
      </c>
      <c r="BG615">
        <f>$C615*BG614</f>
        <v/>
      </c>
      <c r="BH615">
        <f>$C615*BH614</f>
        <v/>
      </c>
      <c r="BI615">
        <f>$C615*BI614</f>
        <v/>
      </c>
      <c r="BJ615">
        <f>$C615*BJ614</f>
        <v/>
      </c>
      <c r="BK615">
        <f>$C615*BK614</f>
        <v/>
      </c>
      <c r="BL615">
        <f>$C615*BL614</f>
        <v/>
      </c>
      <c r="BM615">
        <f>$C615*BM614</f>
        <v/>
      </c>
      <c r="BN615">
        <f>$C615*BN614</f>
        <v/>
      </c>
      <c r="BO615">
        <f>$C615*BO614</f>
        <v/>
      </c>
      <c r="BP615">
        <f>$C615*BP614</f>
        <v/>
      </c>
      <c r="BQ615">
        <f>$C615*BQ614</f>
        <v/>
      </c>
      <c r="BR615">
        <f>$C615*BR614</f>
        <v/>
      </c>
      <c r="BS615">
        <f>$C615*BS614</f>
        <v/>
      </c>
      <c r="BT615">
        <f>$C615*BT614</f>
        <v/>
      </c>
      <c r="BU615">
        <f>$C615*BU614</f>
        <v/>
      </c>
      <c r="BV615">
        <f>$C615*BV614</f>
        <v/>
      </c>
      <c r="BW615">
        <f>$C615*BW614</f>
        <v/>
      </c>
      <c r="BX615">
        <f>$C615*BX614</f>
        <v/>
      </c>
      <c r="BY615">
        <f>$C615*BY614</f>
        <v/>
      </c>
      <c r="BZ615">
        <f>$C615*BZ614</f>
        <v/>
      </c>
      <c r="CA615">
        <f>$C615*CA614</f>
        <v/>
      </c>
      <c r="CB615">
        <f>$C615*CB614</f>
        <v/>
      </c>
      <c r="CC615">
        <f>$C615*CC614</f>
        <v/>
      </c>
      <c r="CD615">
        <f>$C615*CD614</f>
        <v/>
      </c>
      <c r="CE615">
        <f>$C615*CE614</f>
        <v/>
      </c>
      <c r="CF615">
        <f>$C615*CF614</f>
        <v/>
      </c>
      <c r="CG615">
        <f>$C615*CG614</f>
        <v/>
      </c>
      <c r="CH615">
        <f>$C615*CH614</f>
        <v/>
      </c>
      <c r="CI615">
        <f>$C615*CI614</f>
        <v/>
      </c>
      <c r="CJ615">
        <f>$C615*CJ614</f>
        <v/>
      </c>
      <c r="CK615">
        <f>$C615*CK614</f>
        <v/>
      </c>
      <c r="CL615">
        <f>$C615*CL614</f>
        <v/>
      </c>
      <c r="CM615">
        <f>$C615*CM614</f>
        <v/>
      </c>
      <c r="CN615">
        <f>$C615*CN614</f>
        <v/>
      </c>
      <c r="CO615">
        <f>$C615*CO614</f>
        <v/>
      </c>
      <c r="CP615">
        <f>$C615*CP614</f>
        <v/>
      </c>
      <c r="CQ615">
        <f>$C615*CQ614</f>
        <v/>
      </c>
      <c r="CR615">
        <f>$C615*CR614</f>
        <v/>
      </c>
      <c r="CS615">
        <f>$C615*CS614</f>
        <v/>
      </c>
      <c r="CT615">
        <f>$C615*CT614</f>
        <v/>
      </c>
      <c r="CU615">
        <f>$C615*CU614</f>
        <v/>
      </c>
      <c r="CV615">
        <f>$C615*CV614</f>
        <v/>
      </c>
      <c r="CW615">
        <f>$C615*CW614</f>
        <v/>
      </c>
      <c r="CX615">
        <f>$C615*CX614</f>
        <v/>
      </c>
      <c r="CY615">
        <f>$C615*CY614</f>
        <v/>
      </c>
      <c r="CZ615">
        <f>$C615*CZ614</f>
        <v/>
      </c>
      <c r="DA615">
        <f>$C615*DA614</f>
        <v/>
      </c>
      <c r="DB615">
        <f>$C615*DB614</f>
        <v/>
      </c>
      <c r="DC615">
        <f>$C615*DC614</f>
        <v/>
      </c>
    </row>
    <row r="616">
      <c r="B616" t="inlineStr">
        <is>
          <t>TSP-655</t>
        </is>
      </c>
      <c r="C616" t="inlineStr">
        <is>
          <t>No. of batches</t>
        </is>
      </c>
      <c r="D616">
        <f>IFERROR(INDEX(PP_Grid[#Data],$DD616,2),0)</f>
        <v/>
      </c>
      <c r="E616">
        <f>IFERROR(INDEX(PP_Grid[#Data],$DD616,3),0)</f>
        <v/>
      </c>
      <c r="F616">
        <f>IFERROR(INDEX(PP_Grid[#Data],$DD616,4),0)</f>
        <v/>
      </c>
      <c r="G616">
        <f>IFERROR(INDEX(PP_Grid[#Data],$DD616,5),0)</f>
        <v/>
      </c>
      <c r="H616">
        <f>IFERROR(INDEX(PP_Grid[#Data],$DD616,6),0)</f>
        <v/>
      </c>
      <c r="I616">
        <f>IFERROR(INDEX(PP_Grid[#Data],$DD616,7),0)</f>
        <v/>
      </c>
      <c r="J616">
        <f>IFERROR(INDEX(PP_Grid[#Data],$DD616,8),0)</f>
        <v/>
      </c>
      <c r="K616">
        <f>IFERROR(INDEX(PP_Grid[#Data],$DD616,9),0)</f>
        <v/>
      </c>
      <c r="L616">
        <f>IFERROR(INDEX(PP_Grid[#Data],$DD616,10),0)</f>
        <v/>
      </c>
      <c r="M616">
        <f>IFERROR(INDEX(PP_Grid[#Data],$DD616,11),0)</f>
        <v/>
      </c>
      <c r="N616">
        <f>IFERROR(INDEX(PP_Grid[#Data],$DD616,12),0)</f>
        <v/>
      </c>
      <c r="O616">
        <f>IFERROR(INDEX(PP_Grid[#Data],$DD616,13),0)</f>
        <v/>
      </c>
      <c r="P616">
        <f>IFERROR(INDEX(PP_Grid[#Data],$DD616,14),0)</f>
        <v/>
      </c>
      <c r="Q616">
        <f>IFERROR(INDEX(PP_Grid[#Data],$DD616,15),0)</f>
        <v/>
      </c>
      <c r="R616">
        <f>IFERROR(INDEX(PP_Grid[#Data],$DD616,16),0)</f>
        <v/>
      </c>
      <c r="S616">
        <f>IFERROR(INDEX(PP_Grid[#Data],$DD616,17),0)</f>
        <v/>
      </c>
      <c r="T616">
        <f>IFERROR(INDEX(PP_Grid[#Data],$DD616,18),0)</f>
        <v/>
      </c>
      <c r="U616">
        <f>IFERROR(INDEX(PP_Grid[#Data],$DD616,19),0)</f>
        <v/>
      </c>
      <c r="V616">
        <f>IFERROR(INDEX(PP_Grid[#Data],$DD616,20),0)</f>
        <v/>
      </c>
      <c r="W616">
        <f>IFERROR(INDEX(PP_Grid[#Data],$DD616,21),0)</f>
        <v/>
      </c>
      <c r="X616">
        <f>IFERROR(INDEX(PP_Grid[#Data],$DD616,22),0)</f>
        <v/>
      </c>
      <c r="Y616">
        <f>IFERROR(INDEX(PP_Grid[#Data],$DD616,23),0)</f>
        <v/>
      </c>
      <c r="Z616">
        <f>IFERROR(INDEX(PP_Grid[#Data],$DD616,24),0)</f>
        <v/>
      </c>
      <c r="AA616">
        <f>IFERROR(INDEX(PP_Grid[#Data],$DD616,25),0)</f>
        <v/>
      </c>
      <c r="AB616">
        <f>IFERROR(INDEX(PP_Grid[#Data],$DD616,26),0)</f>
        <v/>
      </c>
      <c r="AC616">
        <f>IFERROR(INDEX(PP_Grid[#Data],$DD616,27),0)</f>
        <v/>
      </c>
      <c r="AD616">
        <f>IFERROR(INDEX(PP_Grid[#Data],$DD616,28),0)</f>
        <v/>
      </c>
      <c r="AE616">
        <f>IFERROR(INDEX(PP_Grid[#Data],$DD616,29),0)</f>
        <v/>
      </c>
      <c r="AF616">
        <f>IFERROR(INDEX(PP_Grid[#Data],$DD616,30),0)</f>
        <v/>
      </c>
      <c r="AG616">
        <f>IFERROR(INDEX(PP_Grid[#Data],$DD616,31),0)</f>
        <v/>
      </c>
      <c r="AH616">
        <f>IFERROR(INDEX(PP_Grid[#Data],$DD616,32),0)</f>
        <v/>
      </c>
      <c r="AI616">
        <f>IFERROR(INDEX(PP_Grid[#Data],$DD616,33),0)</f>
        <v/>
      </c>
      <c r="AJ616">
        <f>IFERROR(INDEX(PP_Grid[#Data],$DD616,34),0)</f>
        <v/>
      </c>
      <c r="AK616">
        <f>IFERROR(INDEX(PP_Grid[#Data],$DD616,35),0)</f>
        <v/>
      </c>
      <c r="AL616">
        <f>IFERROR(INDEX(PP_Grid[#Data],$DD616,36),0)</f>
        <v/>
      </c>
      <c r="AM616">
        <f>IFERROR(INDEX(PP_Grid[#Data],$DD616,37),0)</f>
        <v/>
      </c>
      <c r="AN616">
        <f>IFERROR(INDEX(PP_Grid[#Data],$DD616,38),0)</f>
        <v/>
      </c>
      <c r="AO616">
        <f>IFERROR(INDEX(PP_Grid[#Data],$DD616,39),0)</f>
        <v/>
      </c>
      <c r="AP616">
        <f>IFERROR(INDEX(PP_Grid[#Data],$DD616,40),0)</f>
        <v/>
      </c>
      <c r="AQ616">
        <f>IFERROR(INDEX(PP_Grid[#Data],$DD616,41),0)</f>
        <v/>
      </c>
      <c r="AR616">
        <f>IFERROR(INDEX(PP_Grid[#Data],$DD616,42),0)</f>
        <v/>
      </c>
      <c r="AS616">
        <f>IFERROR(INDEX(PP_Grid[#Data],$DD616,43),0)</f>
        <v/>
      </c>
      <c r="AT616">
        <f>IFERROR(INDEX(PP_Grid[#Data],$DD616,44),0)</f>
        <v/>
      </c>
      <c r="AU616">
        <f>IFERROR(INDEX(PP_Grid[#Data],$DD616,45),0)</f>
        <v/>
      </c>
      <c r="AV616">
        <f>IFERROR(INDEX(PP_Grid[#Data],$DD616,46),0)</f>
        <v/>
      </c>
      <c r="AW616">
        <f>IFERROR(INDEX(PP_Grid[#Data],$DD616,47),0)</f>
        <v/>
      </c>
      <c r="AX616">
        <f>IFERROR(INDEX(PP_Grid[#Data],$DD616,48),0)</f>
        <v/>
      </c>
      <c r="AY616">
        <f>IFERROR(INDEX(PP_Grid[#Data],$DD616,49),0)</f>
        <v/>
      </c>
      <c r="AZ616">
        <f>IFERROR(INDEX(PP_Grid[#Data],$DD616,50),0)</f>
        <v/>
      </c>
      <c r="BA616">
        <f>IFERROR(INDEX(PP_Grid[#Data],$DD616,51),0)</f>
        <v/>
      </c>
      <c r="BB616">
        <f>IFERROR(INDEX(PP_Grid[#Data],$DD616,52),0)</f>
        <v/>
      </c>
      <c r="BC616">
        <f>IFERROR(INDEX(PP_Grid[#Data],$DD616,53),0)</f>
        <v/>
      </c>
      <c r="BD616">
        <f>IFERROR(INDEX(PP_Grid[#Data],$DD616,54),0)</f>
        <v/>
      </c>
      <c r="BE616">
        <f>IFERROR(INDEX(PP_Grid[#Data],$DD616,55),0)</f>
        <v/>
      </c>
      <c r="BF616">
        <f>IFERROR(INDEX(PP_Grid[#Data],$DD616,56),0)</f>
        <v/>
      </c>
      <c r="BG616">
        <f>IFERROR(INDEX(PP_Grid[#Data],$DD616,57),0)</f>
        <v/>
      </c>
      <c r="BH616">
        <f>IFERROR(INDEX(PP_Grid[#Data],$DD616,58),0)</f>
        <v/>
      </c>
      <c r="BI616">
        <f>IFERROR(INDEX(PP_Grid[#Data],$DD616,59),0)</f>
        <v/>
      </c>
      <c r="BJ616">
        <f>IFERROR(INDEX(PP_Grid[#Data],$DD616,60),0)</f>
        <v/>
      </c>
      <c r="BK616">
        <f>IFERROR(INDEX(PP_Grid[#Data],$DD616,61),0)</f>
        <v/>
      </c>
      <c r="BL616">
        <f>IFERROR(INDEX(PP_Grid[#Data],$DD616,62),0)</f>
        <v/>
      </c>
      <c r="BM616">
        <f>IFERROR(INDEX(PP_Grid[#Data],$DD616,63),0)</f>
        <v/>
      </c>
      <c r="BN616">
        <f>IFERROR(INDEX(PP_Grid[#Data],$DD616,64),0)</f>
        <v/>
      </c>
      <c r="BO616">
        <f>IFERROR(INDEX(PP_Grid[#Data],$DD616,65),0)</f>
        <v/>
      </c>
      <c r="BP616">
        <f>IFERROR(INDEX(PP_Grid[#Data],$DD616,66),0)</f>
        <v/>
      </c>
      <c r="BQ616">
        <f>IFERROR(INDEX(PP_Grid[#Data],$DD616,67),0)</f>
        <v/>
      </c>
      <c r="BR616">
        <f>IFERROR(INDEX(PP_Grid[#Data],$DD616,68),0)</f>
        <v/>
      </c>
      <c r="BS616">
        <f>IFERROR(INDEX(PP_Grid[#Data],$DD616,69),0)</f>
        <v/>
      </c>
      <c r="BT616">
        <f>IFERROR(INDEX(PP_Grid[#Data],$DD616,70),0)</f>
        <v/>
      </c>
      <c r="BU616">
        <f>IFERROR(INDEX(PP_Grid[#Data],$DD616,71),0)</f>
        <v/>
      </c>
      <c r="BV616">
        <f>IFERROR(INDEX(PP_Grid[#Data],$DD616,72),0)</f>
        <v/>
      </c>
      <c r="BW616">
        <f>IFERROR(INDEX(PP_Grid[#Data],$DD616,73),0)</f>
        <v/>
      </c>
      <c r="BX616">
        <f>IFERROR(INDEX(PP_Grid[#Data],$DD616,74),0)</f>
        <v/>
      </c>
      <c r="BY616">
        <f>IFERROR(INDEX(PP_Grid[#Data],$DD616,75),0)</f>
        <v/>
      </c>
      <c r="BZ616">
        <f>IFERROR(INDEX(PP_Grid[#Data],$DD616,76),0)</f>
        <v/>
      </c>
      <c r="CA616">
        <f>IFERROR(INDEX(PP_Grid[#Data],$DD616,77),0)</f>
        <v/>
      </c>
      <c r="CB616">
        <f>IFERROR(INDEX(PP_Grid[#Data],$DD616,78),0)</f>
        <v/>
      </c>
      <c r="CC616">
        <f>IFERROR(INDEX(PP_Grid[#Data],$DD616,79),0)</f>
        <v/>
      </c>
      <c r="CD616">
        <f>IFERROR(INDEX(PP_Grid[#Data],$DD616,80),0)</f>
        <v/>
      </c>
      <c r="CE616">
        <f>IFERROR(INDEX(PP_Grid[#Data],$DD616,81),0)</f>
        <v/>
      </c>
      <c r="CF616">
        <f>IFERROR(INDEX(PP_Grid[#Data],$DD616,82),0)</f>
        <v/>
      </c>
      <c r="CG616">
        <f>IFERROR(INDEX(PP_Grid[#Data],$DD616,83),0)</f>
        <v/>
      </c>
      <c r="CH616">
        <f>IFERROR(INDEX(PP_Grid[#Data],$DD616,84),0)</f>
        <v/>
      </c>
      <c r="CI616">
        <f>IFERROR(INDEX(PP_Grid[#Data],$DD616,85),0)</f>
        <v/>
      </c>
      <c r="CJ616">
        <f>IFERROR(INDEX(PP_Grid[#Data],$DD616,86),0)</f>
        <v/>
      </c>
      <c r="CK616">
        <f>IFERROR(INDEX(PP_Grid[#Data],$DD616,87),0)</f>
        <v/>
      </c>
      <c r="CL616">
        <f>IFERROR(INDEX(PP_Grid[#Data],$DD616,88),0)</f>
        <v/>
      </c>
      <c r="CM616">
        <f>IFERROR(INDEX(PP_Grid[#Data],$DD616,89),0)</f>
        <v/>
      </c>
      <c r="CN616">
        <f>IFERROR(INDEX(PP_Grid[#Data],$DD616,90),0)</f>
        <v/>
      </c>
      <c r="CO616">
        <f>IFERROR(INDEX(PP_Grid[#Data],$DD616,91),0)</f>
        <v/>
      </c>
      <c r="CP616">
        <f>IFERROR(INDEX(PP_Grid[#Data],$DD616,92),0)</f>
        <v/>
      </c>
      <c r="CQ616">
        <f>IFERROR(INDEX(PP_Grid[#Data],$DD616,93),0)</f>
        <v/>
      </c>
      <c r="CR616">
        <f>IFERROR(INDEX(PP_Grid[#Data],$DD616,94),0)</f>
        <v/>
      </c>
      <c r="CS616">
        <f>IFERROR(INDEX(PP_Grid[#Data],$DD616,95),0)</f>
        <v/>
      </c>
      <c r="CT616">
        <f>IFERROR(INDEX(PP_Grid[#Data],$DD616,96),0)</f>
        <v/>
      </c>
      <c r="CU616">
        <f>IFERROR(INDEX(PP_Grid[#Data],$DD616,97),0)</f>
        <v/>
      </c>
      <c r="CV616">
        <f>IFERROR(INDEX(PP_Grid[#Data],$DD616,98),0)</f>
        <v/>
      </c>
      <c r="CW616">
        <f>IFERROR(INDEX(PP_Grid[#Data],$DD616,99),0)</f>
        <v/>
      </c>
      <c r="CX616">
        <f>IFERROR(INDEX(PP_Grid[#Data],$DD616,100),0)</f>
        <v/>
      </c>
      <c r="CY616">
        <f>IFERROR(INDEX(PP_Grid[#Data],$DD616,101),0)</f>
        <v/>
      </c>
      <c r="CZ616">
        <f>IFERROR(INDEX(PP_Grid[#Data],$DD616,102),0)</f>
        <v/>
      </c>
      <c r="DA616">
        <f>IFERROR(INDEX(PP_Grid[#Data],$DD616,103),0)</f>
        <v/>
      </c>
      <c r="DB616">
        <f>IFERROR(INDEX(PP_Grid[#Data],$DD616,104),0)</f>
        <v/>
      </c>
      <c r="DC616">
        <f>IFERROR(INDEX(PP_Grid[#Data],$DD616,105),0)</f>
        <v/>
      </c>
      <c r="DD616" s="12">
        <f>IFERROR(MATCH($B616,PP_Grid[Intermediate],0),99999)</f>
        <v/>
      </c>
    </row>
    <row r="617">
      <c r="B617" t="inlineStr">
        <is>
          <t>使用量(kg)</t>
        </is>
      </c>
      <c r="C617">
        <f>SUMIFS(M_BOM[RM_Qty_Per_Batch],M_BOM[Intermediate],$B616,M_BOM[Part Name],$A601)</f>
        <v/>
      </c>
      <c r="D617">
        <f>$C617*D616</f>
        <v/>
      </c>
      <c r="E617">
        <f>$C617*E616</f>
        <v/>
      </c>
      <c r="F617">
        <f>$C617*F616</f>
        <v/>
      </c>
      <c r="G617">
        <f>$C617*G616</f>
        <v/>
      </c>
      <c r="H617">
        <f>$C617*H616</f>
        <v/>
      </c>
      <c r="I617">
        <f>$C617*I616</f>
        <v/>
      </c>
      <c r="J617">
        <f>$C617*J616</f>
        <v/>
      </c>
      <c r="K617">
        <f>$C617*K616</f>
        <v/>
      </c>
      <c r="L617">
        <f>$C617*L616</f>
        <v/>
      </c>
      <c r="M617">
        <f>$C617*M616</f>
        <v/>
      </c>
      <c r="N617">
        <f>$C617*N616</f>
        <v/>
      </c>
      <c r="O617">
        <f>$C617*O616</f>
        <v/>
      </c>
      <c r="P617">
        <f>$C617*P616</f>
        <v/>
      </c>
      <c r="Q617">
        <f>$C617*Q616</f>
        <v/>
      </c>
      <c r="R617">
        <f>$C617*R616</f>
        <v/>
      </c>
      <c r="S617">
        <f>$C617*S616</f>
        <v/>
      </c>
      <c r="T617">
        <f>$C617*T616</f>
        <v/>
      </c>
      <c r="U617">
        <f>$C617*U616</f>
        <v/>
      </c>
      <c r="V617">
        <f>$C617*V616</f>
        <v/>
      </c>
      <c r="W617">
        <f>$C617*W616</f>
        <v/>
      </c>
      <c r="X617">
        <f>$C617*X616</f>
        <v/>
      </c>
      <c r="Y617">
        <f>$C617*Y616</f>
        <v/>
      </c>
      <c r="Z617">
        <f>$C617*Z616</f>
        <v/>
      </c>
      <c r="AA617">
        <f>$C617*AA616</f>
        <v/>
      </c>
      <c r="AB617">
        <f>$C617*AB616</f>
        <v/>
      </c>
      <c r="AC617">
        <f>$C617*AC616</f>
        <v/>
      </c>
      <c r="AD617">
        <f>$C617*AD616</f>
        <v/>
      </c>
      <c r="AE617">
        <f>$C617*AE616</f>
        <v/>
      </c>
      <c r="AF617">
        <f>$C617*AF616</f>
        <v/>
      </c>
      <c r="AG617">
        <f>$C617*AG616</f>
        <v/>
      </c>
      <c r="AH617">
        <f>$C617*AH616</f>
        <v/>
      </c>
      <c r="AI617">
        <f>$C617*AI616</f>
        <v/>
      </c>
      <c r="AJ617">
        <f>$C617*AJ616</f>
        <v/>
      </c>
      <c r="AK617">
        <f>$C617*AK616</f>
        <v/>
      </c>
      <c r="AL617">
        <f>$C617*AL616</f>
        <v/>
      </c>
      <c r="AM617">
        <f>$C617*AM616</f>
        <v/>
      </c>
      <c r="AN617">
        <f>$C617*AN616</f>
        <v/>
      </c>
      <c r="AO617">
        <f>$C617*AO616</f>
        <v/>
      </c>
      <c r="AP617">
        <f>$C617*AP616</f>
        <v/>
      </c>
      <c r="AQ617">
        <f>$C617*AQ616</f>
        <v/>
      </c>
      <c r="AR617">
        <f>$C617*AR616</f>
        <v/>
      </c>
      <c r="AS617">
        <f>$C617*AS616</f>
        <v/>
      </c>
      <c r="AT617">
        <f>$C617*AT616</f>
        <v/>
      </c>
      <c r="AU617">
        <f>$C617*AU616</f>
        <v/>
      </c>
      <c r="AV617">
        <f>$C617*AV616</f>
        <v/>
      </c>
      <c r="AW617">
        <f>$C617*AW616</f>
        <v/>
      </c>
      <c r="AX617">
        <f>$C617*AX616</f>
        <v/>
      </c>
      <c r="AY617">
        <f>$C617*AY616</f>
        <v/>
      </c>
      <c r="AZ617">
        <f>$C617*AZ616</f>
        <v/>
      </c>
      <c r="BA617">
        <f>$C617*BA616</f>
        <v/>
      </c>
      <c r="BB617">
        <f>$C617*BB616</f>
        <v/>
      </c>
      <c r="BC617">
        <f>$C617*BC616</f>
        <v/>
      </c>
      <c r="BD617">
        <f>$C617*BD616</f>
        <v/>
      </c>
      <c r="BE617">
        <f>$C617*BE616</f>
        <v/>
      </c>
      <c r="BF617">
        <f>$C617*BF616</f>
        <v/>
      </c>
      <c r="BG617">
        <f>$C617*BG616</f>
        <v/>
      </c>
      <c r="BH617">
        <f>$C617*BH616</f>
        <v/>
      </c>
      <c r="BI617">
        <f>$C617*BI616</f>
        <v/>
      </c>
      <c r="BJ617">
        <f>$C617*BJ616</f>
        <v/>
      </c>
      <c r="BK617">
        <f>$C617*BK616</f>
        <v/>
      </c>
      <c r="BL617">
        <f>$C617*BL616</f>
        <v/>
      </c>
      <c r="BM617">
        <f>$C617*BM616</f>
        <v/>
      </c>
      <c r="BN617">
        <f>$C617*BN616</f>
        <v/>
      </c>
      <c r="BO617">
        <f>$C617*BO616</f>
        <v/>
      </c>
      <c r="BP617">
        <f>$C617*BP616</f>
        <v/>
      </c>
      <c r="BQ617">
        <f>$C617*BQ616</f>
        <v/>
      </c>
      <c r="BR617">
        <f>$C617*BR616</f>
        <v/>
      </c>
      <c r="BS617">
        <f>$C617*BS616</f>
        <v/>
      </c>
      <c r="BT617">
        <f>$C617*BT616</f>
        <v/>
      </c>
      <c r="BU617">
        <f>$C617*BU616</f>
        <v/>
      </c>
      <c r="BV617">
        <f>$C617*BV616</f>
        <v/>
      </c>
      <c r="BW617">
        <f>$C617*BW616</f>
        <v/>
      </c>
      <c r="BX617">
        <f>$C617*BX616</f>
        <v/>
      </c>
      <c r="BY617">
        <f>$C617*BY616</f>
        <v/>
      </c>
      <c r="BZ617">
        <f>$C617*BZ616</f>
        <v/>
      </c>
      <c r="CA617">
        <f>$C617*CA616</f>
        <v/>
      </c>
      <c r="CB617">
        <f>$C617*CB616</f>
        <v/>
      </c>
      <c r="CC617">
        <f>$C617*CC616</f>
        <v/>
      </c>
      <c r="CD617">
        <f>$C617*CD616</f>
        <v/>
      </c>
      <c r="CE617">
        <f>$C617*CE616</f>
        <v/>
      </c>
      <c r="CF617">
        <f>$C617*CF616</f>
        <v/>
      </c>
      <c r="CG617">
        <f>$C617*CG616</f>
        <v/>
      </c>
      <c r="CH617">
        <f>$C617*CH616</f>
        <v/>
      </c>
      <c r="CI617">
        <f>$C617*CI616</f>
        <v/>
      </c>
      <c r="CJ617">
        <f>$C617*CJ616</f>
        <v/>
      </c>
      <c r="CK617">
        <f>$C617*CK616</f>
        <v/>
      </c>
      <c r="CL617">
        <f>$C617*CL616</f>
        <v/>
      </c>
      <c r="CM617">
        <f>$C617*CM616</f>
        <v/>
      </c>
      <c r="CN617">
        <f>$C617*CN616</f>
        <v/>
      </c>
      <c r="CO617">
        <f>$C617*CO616</f>
        <v/>
      </c>
      <c r="CP617">
        <f>$C617*CP616</f>
        <v/>
      </c>
      <c r="CQ617">
        <f>$C617*CQ616</f>
        <v/>
      </c>
      <c r="CR617">
        <f>$C617*CR616</f>
        <v/>
      </c>
      <c r="CS617">
        <f>$C617*CS616</f>
        <v/>
      </c>
      <c r="CT617">
        <f>$C617*CT616</f>
        <v/>
      </c>
      <c r="CU617">
        <f>$C617*CU616</f>
        <v/>
      </c>
      <c r="CV617">
        <f>$C617*CV616</f>
        <v/>
      </c>
      <c r="CW617">
        <f>$C617*CW616</f>
        <v/>
      </c>
      <c r="CX617">
        <f>$C617*CX616</f>
        <v/>
      </c>
      <c r="CY617">
        <f>$C617*CY616</f>
        <v/>
      </c>
      <c r="CZ617">
        <f>$C617*CZ616</f>
        <v/>
      </c>
      <c r="DA617">
        <f>$C617*DA616</f>
        <v/>
      </c>
      <c r="DB617">
        <f>$C617*DB616</f>
        <v/>
      </c>
      <c r="DC617">
        <f>$C617*DC616</f>
        <v/>
      </c>
    </row>
    <row r="618">
      <c r="B618" t="inlineStr">
        <is>
          <t>TSP-903</t>
        </is>
      </c>
      <c r="C618" t="inlineStr">
        <is>
          <t>No. of batches</t>
        </is>
      </c>
      <c r="D618">
        <f>IFERROR(INDEX(PP_Grid[#Data],$DD618,2),0)</f>
        <v/>
      </c>
      <c r="E618">
        <f>IFERROR(INDEX(PP_Grid[#Data],$DD618,3),0)</f>
        <v/>
      </c>
      <c r="F618">
        <f>IFERROR(INDEX(PP_Grid[#Data],$DD618,4),0)</f>
        <v/>
      </c>
      <c r="G618">
        <f>IFERROR(INDEX(PP_Grid[#Data],$DD618,5),0)</f>
        <v/>
      </c>
      <c r="H618">
        <f>IFERROR(INDEX(PP_Grid[#Data],$DD618,6),0)</f>
        <v/>
      </c>
      <c r="I618">
        <f>IFERROR(INDEX(PP_Grid[#Data],$DD618,7),0)</f>
        <v/>
      </c>
      <c r="J618">
        <f>IFERROR(INDEX(PP_Grid[#Data],$DD618,8),0)</f>
        <v/>
      </c>
      <c r="K618">
        <f>IFERROR(INDEX(PP_Grid[#Data],$DD618,9),0)</f>
        <v/>
      </c>
      <c r="L618">
        <f>IFERROR(INDEX(PP_Grid[#Data],$DD618,10),0)</f>
        <v/>
      </c>
      <c r="M618">
        <f>IFERROR(INDEX(PP_Grid[#Data],$DD618,11),0)</f>
        <v/>
      </c>
      <c r="N618">
        <f>IFERROR(INDEX(PP_Grid[#Data],$DD618,12),0)</f>
        <v/>
      </c>
      <c r="O618">
        <f>IFERROR(INDEX(PP_Grid[#Data],$DD618,13),0)</f>
        <v/>
      </c>
      <c r="P618">
        <f>IFERROR(INDEX(PP_Grid[#Data],$DD618,14),0)</f>
        <v/>
      </c>
      <c r="Q618">
        <f>IFERROR(INDEX(PP_Grid[#Data],$DD618,15),0)</f>
        <v/>
      </c>
      <c r="R618">
        <f>IFERROR(INDEX(PP_Grid[#Data],$DD618,16),0)</f>
        <v/>
      </c>
      <c r="S618">
        <f>IFERROR(INDEX(PP_Grid[#Data],$DD618,17),0)</f>
        <v/>
      </c>
      <c r="T618">
        <f>IFERROR(INDEX(PP_Grid[#Data],$DD618,18),0)</f>
        <v/>
      </c>
      <c r="U618">
        <f>IFERROR(INDEX(PP_Grid[#Data],$DD618,19),0)</f>
        <v/>
      </c>
      <c r="V618">
        <f>IFERROR(INDEX(PP_Grid[#Data],$DD618,20),0)</f>
        <v/>
      </c>
      <c r="W618">
        <f>IFERROR(INDEX(PP_Grid[#Data],$DD618,21),0)</f>
        <v/>
      </c>
      <c r="X618">
        <f>IFERROR(INDEX(PP_Grid[#Data],$DD618,22),0)</f>
        <v/>
      </c>
      <c r="Y618">
        <f>IFERROR(INDEX(PP_Grid[#Data],$DD618,23),0)</f>
        <v/>
      </c>
      <c r="Z618">
        <f>IFERROR(INDEX(PP_Grid[#Data],$DD618,24),0)</f>
        <v/>
      </c>
      <c r="AA618">
        <f>IFERROR(INDEX(PP_Grid[#Data],$DD618,25),0)</f>
        <v/>
      </c>
      <c r="AB618">
        <f>IFERROR(INDEX(PP_Grid[#Data],$DD618,26),0)</f>
        <v/>
      </c>
      <c r="AC618">
        <f>IFERROR(INDEX(PP_Grid[#Data],$DD618,27),0)</f>
        <v/>
      </c>
      <c r="AD618">
        <f>IFERROR(INDEX(PP_Grid[#Data],$DD618,28),0)</f>
        <v/>
      </c>
      <c r="AE618">
        <f>IFERROR(INDEX(PP_Grid[#Data],$DD618,29),0)</f>
        <v/>
      </c>
      <c r="AF618">
        <f>IFERROR(INDEX(PP_Grid[#Data],$DD618,30),0)</f>
        <v/>
      </c>
      <c r="AG618">
        <f>IFERROR(INDEX(PP_Grid[#Data],$DD618,31),0)</f>
        <v/>
      </c>
      <c r="AH618">
        <f>IFERROR(INDEX(PP_Grid[#Data],$DD618,32),0)</f>
        <v/>
      </c>
      <c r="AI618">
        <f>IFERROR(INDEX(PP_Grid[#Data],$DD618,33),0)</f>
        <v/>
      </c>
      <c r="AJ618">
        <f>IFERROR(INDEX(PP_Grid[#Data],$DD618,34),0)</f>
        <v/>
      </c>
      <c r="AK618">
        <f>IFERROR(INDEX(PP_Grid[#Data],$DD618,35),0)</f>
        <v/>
      </c>
      <c r="AL618">
        <f>IFERROR(INDEX(PP_Grid[#Data],$DD618,36),0)</f>
        <v/>
      </c>
      <c r="AM618">
        <f>IFERROR(INDEX(PP_Grid[#Data],$DD618,37),0)</f>
        <v/>
      </c>
      <c r="AN618">
        <f>IFERROR(INDEX(PP_Grid[#Data],$DD618,38),0)</f>
        <v/>
      </c>
      <c r="AO618">
        <f>IFERROR(INDEX(PP_Grid[#Data],$DD618,39),0)</f>
        <v/>
      </c>
      <c r="AP618">
        <f>IFERROR(INDEX(PP_Grid[#Data],$DD618,40),0)</f>
        <v/>
      </c>
      <c r="AQ618">
        <f>IFERROR(INDEX(PP_Grid[#Data],$DD618,41),0)</f>
        <v/>
      </c>
      <c r="AR618">
        <f>IFERROR(INDEX(PP_Grid[#Data],$DD618,42),0)</f>
        <v/>
      </c>
      <c r="AS618">
        <f>IFERROR(INDEX(PP_Grid[#Data],$DD618,43),0)</f>
        <v/>
      </c>
      <c r="AT618">
        <f>IFERROR(INDEX(PP_Grid[#Data],$DD618,44),0)</f>
        <v/>
      </c>
      <c r="AU618">
        <f>IFERROR(INDEX(PP_Grid[#Data],$DD618,45),0)</f>
        <v/>
      </c>
      <c r="AV618">
        <f>IFERROR(INDEX(PP_Grid[#Data],$DD618,46),0)</f>
        <v/>
      </c>
      <c r="AW618">
        <f>IFERROR(INDEX(PP_Grid[#Data],$DD618,47),0)</f>
        <v/>
      </c>
      <c r="AX618">
        <f>IFERROR(INDEX(PP_Grid[#Data],$DD618,48),0)</f>
        <v/>
      </c>
      <c r="AY618">
        <f>IFERROR(INDEX(PP_Grid[#Data],$DD618,49),0)</f>
        <v/>
      </c>
      <c r="AZ618">
        <f>IFERROR(INDEX(PP_Grid[#Data],$DD618,50),0)</f>
        <v/>
      </c>
      <c r="BA618">
        <f>IFERROR(INDEX(PP_Grid[#Data],$DD618,51),0)</f>
        <v/>
      </c>
      <c r="BB618">
        <f>IFERROR(INDEX(PP_Grid[#Data],$DD618,52),0)</f>
        <v/>
      </c>
      <c r="BC618">
        <f>IFERROR(INDEX(PP_Grid[#Data],$DD618,53),0)</f>
        <v/>
      </c>
      <c r="BD618">
        <f>IFERROR(INDEX(PP_Grid[#Data],$DD618,54),0)</f>
        <v/>
      </c>
      <c r="BE618">
        <f>IFERROR(INDEX(PP_Grid[#Data],$DD618,55),0)</f>
        <v/>
      </c>
      <c r="BF618">
        <f>IFERROR(INDEX(PP_Grid[#Data],$DD618,56),0)</f>
        <v/>
      </c>
      <c r="BG618">
        <f>IFERROR(INDEX(PP_Grid[#Data],$DD618,57),0)</f>
        <v/>
      </c>
      <c r="BH618">
        <f>IFERROR(INDEX(PP_Grid[#Data],$DD618,58),0)</f>
        <v/>
      </c>
      <c r="BI618">
        <f>IFERROR(INDEX(PP_Grid[#Data],$DD618,59),0)</f>
        <v/>
      </c>
      <c r="BJ618">
        <f>IFERROR(INDEX(PP_Grid[#Data],$DD618,60),0)</f>
        <v/>
      </c>
      <c r="BK618">
        <f>IFERROR(INDEX(PP_Grid[#Data],$DD618,61),0)</f>
        <v/>
      </c>
      <c r="BL618">
        <f>IFERROR(INDEX(PP_Grid[#Data],$DD618,62),0)</f>
        <v/>
      </c>
      <c r="BM618">
        <f>IFERROR(INDEX(PP_Grid[#Data],$DD618,63),0)</f>
        <v/>
      </c>
      <c r="BN618">
        <f>IFERROR(INDEX(PP_Grid[#Data],$DD618,64),0)</f>
        <v/>
      </c>
      <c r="BO618">
        <f>IFERROR(INDEX(PP_Grid[#Data],$DD618,65),0)</f>
        <v/>
      </c>
      <c r="BP618">
        <f>IFERROR(INDEX(PP_Grid[#Data],$DD618,66),0)</f>
        <v/>
      </c>
      <c r="BQ618">
        <f>IFERROR(INDEX(PP_Grid[#Data],$DD618,67),0)</f>
        <v/>
      </c>
      <c r="BR618">
        <f>IFERROR(INDEX(PP_Grid[#Data],$DD618,68),0)</f>
        <v/>
      </c>
      <c r="BS618">
        <f>IFERROR(INDEX(PP_Grid[#Data],$DD618,69),0)</f>
        <v/>
      </c>
      <c r="BT618">
        <f>IFERROR(INDEX(PP_Grid[#Data],$DD618,70),0)</f>
        <v/>
      </c>
      <c r="BU618">
        <f>IFERROR(INDEX(PP_Grid[#Data],$DD618,71),0)</f>
        <v/>
      </c>
      <c r="BV618">
        <f>IFERROR(INDEX(PP_Grid[#Data],$DD618,72),0)</f>
        <v/>
      </c>
      <c r="BW618">
        <f>IFERROR(INDEX(PP_Grid[#Data],$DD618,73),0)</f>
        <v/>
      </c>
      <c r="BX618">
        <f>IFERROR(INDEX(PP_Grid[#Data],$DD618,74),0)</f>
        <v/>
      </c>
      <c r="BY618">
        <f>IFERROR(INDEX(PP_Grid[#Data],$DD618,75),0)</f>
        <v/>
      </c>
      <c r="BZ618">
        <f>IFERROR(INDEX(PP_Grid[#Data],$DD618,76),0)</f>
        <v/>
      </c>
      <c r="CA618">
        <f>IFERROR(INDEX(PP_Grid[#Data],$DD618,77),0)</f>
        <v/>
      </c>
      <c r="CB618">
        <f>IFERROR(INDEX(PP_Grid[#Data],$DD618,78),0)</f>
        <v/>
      </c>
      <c r="CC618">
        <f>IFERROR(INDEX(PP_Grid[#Data],$DD618,79),0)</f>
        <v/>
      </c>
      <c r="CD618">
        <f>IFERROR(INDEX(PP_Grid[#Data],$DD618,80),0)</f>
        <v/>
      </c>
      <c r="CE618">
        <f>IFERROR(INDEX(PP_Grid[#Data],$DD618,81),0)</f>
        <v/>
      </c>
      <c r="CF618">
        <f>IFERROR(INDEX(PP_Grid[#Data],$DD618,82),0)</f>
        <v/>
      </c>
      <c r="CG618">
        <f>IFERROR(INDEX(PP_Grid[#Data],$DD618,83),0)</f>
        <v/>
      </c>
      <c r="CH618">
        <f>IFERROR(INDEX(PP_Grid[#Data],$DD618,84),0)</f>
        <v/>
      </c>
      <c r="CI618">
        <f>IFERROR(INDEX(PP_Grid[#Data],$DD618,85),0)</f>
        <v/>
      </c>
      <c r="CJ618">
        <f>IFERROR(INDEX(PP_Grid[#Data],$DD618,86),0)</f>
        <v/>
      </c>
      <c r="CK618">
        <f>IFERROR(INDEX(PP_Grid[#Data],$DD618,87),0)</f>
        <v/>
      </c>
      <c r="CL618">
        <f>IFERROR(INDEX(PP_Grid[#Data],$DD618,88),0)</f>
        <v/>
      </c>
      <c r="CM618">
        <f>IFERROR(INDEX(PP_Grid[#Data],$DD618,89),0)</f>
        <v/>
      </c>
      <c r="CN618">
        <f>IFERROR(INDEX(PP_Grid[#Data],$DD618,90),0)</f>
        <v/>
      </c>
      <c r="CO618">
        <f>IFERROR(INDEX(PP_Grid[#Data],$DD618,91),0)</f>
        <v/>
      </c>
      <c r="CP618">
        <f>IFERROR(INDEX(PP_Grid[#Data],$DD618,92),0)</f>
        <v/>
      </c>
      <c r="CQ618">
        <f>IFERROR(INDEX(PP_Grid[#Data],$DD618,93),0)</f>
        <v/>
      </c>
      <c r="CR618">
        <f>IFERROR(INDEX(PP_Grid[#Data],$DD618,94),0)</f>
        <v/>
      </c>
      <c r="CS618">
        <f>IFERROR(INDEX(PP_Grid[#Data],$DD618,95),0)</f>
        <v/>
      </c>
      <c r="CT618">
        <f>IFERROR(INDEX(PP_Grid[#Data],$DD618,96),0)</f>
        <v/>
      </c>
      <c r="CU618">
        <f>IFERROR(INDEX(PP_Grid[#Data],$DD618,97),0)</f>
        <v/>
      </c>
      <c r="CV618">
        <f>IFERROR(INDEX(PP_Grid[#Data],$DD618,98),0)</f>
        <v/>
      </c>
      <c r="CW618">
        <f>IFERROR(INDEX(PP_Grid[#Data],$DD618,99),0)</f>
        <v/>
      </c>
      <c r="CX618">
        <f>IFERROR(INDEX(PP_Grid[#Data],$DD618,100),0)</f>
        <v/>
      </c>
      <c r="CY618">
        <f>IFERROR(INDEX(PP_Grid[#Data],$DD618,101),0)</f>
        <v/>
      </c>
      <c r="CZ618">
        <f>IFERROR(INDEX(PP_Grid[#Data],$DD618,102),0)</f>
        <v/>
      </c>
      <c r="DA618">
        <f>IFERROR(INDEX(PP_Grid[#Data],$DD618,103),0)</f>
        <v/>
      </c>
      <c r="DB618">
        <f>IFERROR(INDEX(PP_Grid[#Data],$DD618,104),0)</f>
        <v/>
      </c>
      <c r="DC618">
        <f>IFERROR(INDEX(PP_Grid[#Data],$DD618,105),0)</f>
        <v/>
      </c>
      <c r="DD618" s="12">
        <f>IFERROR(MATCH($B618,PP_Grid[Intermediate],0),99999)</f>
        <v/>
      </c>
    </row>
    <row r="619">
      <c r="B619" t="inlineStr">
        <is>
          <t>使用量(kg)</t>
        </is>
      </c>
      <c r="C619">
        <f>SUMIFS(M_BOM[RM_Qty_Per_Batch],M_BOM[Intermediate],$B618,M_BOM[Part Name],$A601)</f>
        <v/>
      </c>
      <c r="D619">
        <f>$C619*D618</f>
        <v/>
      </c>
      <c r="E619">
        <f>$C619*E618</f>
        <v/>
      </c>
      <c r="F619">
        <f>$C619*F618</f>
        <v/>
      </c>
      <c r="G619">
        <f>$C619*G618</f>
        <v/>
      </c>
      <c r="H619">
        <f>$C619*H618</f>
        <v/>
      </c>
      <c r="I619">
        <f>$C619*I618</f>
        <v/>
      </c>
      <c r="J619">
        <f>$C619*J618</f>
        <v/>
      </c>
      <c r="K619">
        <f>$C619*K618</f>
        <v/>
      </c>
      <c r="L619">
        <f>$C619*L618</f>
        <v/>
      </c>
      <c r="M619">
        <f>$C619*M618</f>
        <v/>
      </c>
      <c r="N619">
        <f>$C619*N618</f>
        <v/>
      </c>
      <c r="O619">
        <f>$C619*O618</f>
        <v/>
      </c>
      <c r="P619">
        <f>$C619*P618</f>
        <v/>
      </c>
      <c r="Q619">
        <f>$C619*Q618</f>
        <v/>
      </c>
      <c r="R619">
        <f>$C619*R618</f>
        <v/>
      </c>
      <c r="S619">
        <f>$C619*S618</f>
        <v/>
      </c>
      <c r="T619">
        <f>$C619*T618</f>
        <v/>
      </c>
      <c r="U619">
        <f>$C619*U618</f>
        <v/>
      </c>
      <c r="V619">
        <f>$C619*V618</f>
        <v/>
      </c>
      <c r="W619">
        <f>$C619*W618</f>
        <v/>
      </c>
      <c r="X619">
        <f>$C619*X618</f>
        <v/>
      </c>
      <c r="Y619">
        <f>$C619*Y618</f>
        <v/>
      </c>
      <c r="Z619">
        <f>$C619*Z618</f>
        <v/>
      </c>
      <c r="AA619">
        <f>$C619*AA618</f>
        <v/>
      </c>
      <c r="AB619">
        <f>$C619*AB618</f>
        <v/>
      </c>
      <c r="AC619">
        <f>$C619*AC618</f>
        <v/>
      </c>
      <c r="AD619">
        <f>$C619*AD618</f>
        <v/>
      </c>
      <c r="AE619">
        <f>$C619*AE618</f>
        <v/>
      </c>
      <c r="AF619">
        <f>$C619*AF618</f>
        <v/>
      </c>
      <c r="AG619">
        <f>$C619*AG618</f>
        <v/>
      </c>
      <c r="AH619">
        <f>$C619*AH618</f>
        <v/>
      </c>
      <c r="AI619">
        <f>$C619*AI618</f>
        <v/>
      </c>
      <c r="AJ619">
        <f>$C619*AJ618</f>
        <v/>
      </c>
      <c r="AK619">
        <f>$C619*AK618</f>
        <v/>
      </c>
      <c r="AL619">
        <f>$C619*AL618</f>
        <v/>
      </c>
      <c r="AM619">
        <f>$C619*AM618</f>
        <v/>
      </c>
      <c r="AN619">
        <f>$C619*AN618</f>
        <v/>
      </c>
      <c r="AO619">
        <f>$C619*AO618</f>
        <v/>
      </c>
      <c r="AP619">
        <f>$C619*AP618</f>
        <v/>
      </c>
      <c r="AQ619">
        <f>$C619*AQ618</f>
        <v/>
      </c>
      <c r="AR619">
        <f>$C619*AR618</f>
        <v/>
      </c>
      <c r="AS619">
        <f>$C619*AS618</f>
        <v/>
      </c>
      <c r="AT619">
        <f>$C619*AT618</f>
        <v/>
      </c>
      <c r="AU619">
        <f>$C619*AU618</f>
        <v/>
      </c>
      <c r="AV619">
        <f>$C619*AV618</f>
        <v/>
      </c>
      <c r="AW619">
        <f>$C619*AW618</f>
        <v/>
      </c>
      <c r="AX619">
        <f>$C619*AX618</f>
        <v/>
      </c>
      <c r="AY619">
        <f>$C619*AY618</f>
        <v/>
      </c>
      <c r="AZ619">
        <f>$C619*AZ618</f>
        <v/>
      </c>
      <c r="BA619">
        <f>$C619*BA618</f>
        <v/>
      </c>
      <c r="BB619">
        <f>$C619*BB618</f>
        <v/>
      </c>
      <c r="BC619">
        <f>$C619*BC618</f>
        <v/>
      </c>
      <c r="BD619">
        <f>$C619*BD618</f>
        <v/>
      </c>
      <c r="BE619">
        <f>$C619*BE618</f>
        <v/>
      </c>
      <c r="BF619">
        <f>$C619*BF618</f>
        <v/>
      </c>
      <c r="BG619">
        <f>$C619*BG618</f>
        <v/>
      </c>
      <c r="BH619">
        <f>$C619*BH618</f>
        <v/>
      </c>
      <c r="BI619">
        <f>$C619*BI618</f>
        <v/>
      </c>
      <c r="BJ619">
        <f>$C619*BJ618</f>
        <v/>
      </c>
      <c r="BK619">
        <f>$C619*BK618</f>
        <v/>
      </c>
      <c r="BL619">
        <f>$C619*BL618</f>
        <v/>
      </c>
      <c r="BM619">
        <f>$C619*BM618</f>
        <v/>
      </c>
      <c r="BN619">
        <f>$C619*BN618</f>
        <v/>
      </c>
      <c r="BO619">
        <f>$C619*BO618</f>
        <v/>
      </c>
      <c r="BP619">
        <f>$C619*BP618</f>
        <v/>
      </c>
      <c r="BQ619">
        <f>$C619*BQ618</f>
        <v/>
      </c>
      <c r="BR619">
        <f>$C619*BR618</f>
        <v/>
      </c>
      <c r="BS619">
        <f>$C619*BS618</f>
        <v/>
      </c>
      <c r="BT619">
        <f>$C619*BT618</f>
        <v/>
      </c>
      <c r="BU619">
        <f>$C619*BU618</f>
        <v/>
      </c>
      <c r="BV619">
        <f>$C619*BV618</f>
        <v/>
      </c>
      <c r="BW619">
        <f>$C619*BW618</f>
        <v/>
      </c>
      <c r="BX619">
        <f>$C619*BX618</f>
        <v/>
      </c>
      <c r="BY619">
        <f>$C619*BY618</f>
        <v/>
      </c>
      <c r="BZ619">
        <f>$C619*BZ618</f>
        <v/>
      </c>
      <c r="CA619">
        <f>$C619*CA618</f>
        <v/>
      </c>
      <c r="CB619">
        <f>$C619*CB618</f>
        <v/>
      </c>
      <c r="CC619">
        <f>$C619*CC618</f>
        <v/>
      </c>
      <c r="CD619">
        <f>$C619*CD618</f>
        <v/>
      </c>
      <c r="CE619">
        <f>$C619*CE618</f>
        <v/>
      </c>
      <c r="CF619">
        <f>$C619*CF618</f>
        <v/>
      </c>
      <c r="CG619">
        <f>$C619*CG618</f>
        <v/>
      </c>
      <c r="CH619">
        <f>$C619*CH618</f>
        <v/>
      </c>
      <c r="CI619">
        <f>$C619*CI618</f>
        <v/>
      </c>
      <c r="CJ619">
        <f>$C619*CJ618</f>
        <v/>
      </c>
      <c r="CK619">
        <f>$C619*CK618</f>
        <v/>
      </c>
      <c r="CL619">
        <f>$C619*CL618</f>
        <v/>
      </c>
      <c r="CM619">
        <f>$C619*CM618</f>
        <v/>
      </c>
      <c r="CN619">
        <f>$C619*CN618</f>
        <v/>
      </c>
      <c r="CO619">
        <f>$C619*CO618</f>
        <v/>
      </c>
      <c r="CP619">
        <f>$C619*CP618</f>
        <v/>
      </c>
      <c r="CQ619">
        <f>$C619*CQ618</f>
        <v/>
      </c>
      <c r="CR619">
        <f>$C619*CR618</f>
        <v/>
      </c>
      <c r="CS619">
        <f>$C619*CS618</f>
        <v/>
      </c>
      <c r="CT619">
        <f>$C619*CT618</f>
        <v/>
      </c>
      <c r="CU619">
        <f>$C619*CU618</f>
        <v/>
      </c>
      <c r="CV619">
        <f>$C619*CV618</f>
        <v/>
      </c>
      <c r="CW619">
        <f>$C619*CW618</f>
        <v/>
      </c>
      <c r="CX619">
        <f>$C619*CX618</f>
        <v/>
      </c>
      <c r="CY619">
        <f>$C619*CY618</f>
        <v/>
      </c>
      <c r="CZ619">
        <f>$C619*CZ618</f>
        <v/>
      </c>
      <c r="DA619">
        <f>$C619*DA618</f>
        <v/>
      </c>
      <c r="DB619">
        <f>$C619*DB618</f>
        <v/>
      </c>
      <c r="DC619">
        <f>$C619*DC618</f>
        <v/>
      </c>
    </row>
    <row r="620">
      <c r="B620" t="inlineStr">
        <is>
          <t>TSP-934</t>
        </is>
      </c>
      <c r="C620" t="inlineStr">
        <is>
          <t>No. of batches</t>
        </is>
      </c>
      <c r="D620">
        <f>IFERROR(INDEX(PP_Grid[#Data],$DD620,2),0)</f>
        <v/>
      </c>
      <c r="E620">
        <f>IFERROR(INDEX(PP_Grid[#Data],$DD620,3),0)</f>
        <v/>
      </c>
      <c r="F620">
        <f>IFERROR(INDEX(PP_Grid[#Data],$DD620,4),0)</f>
        <v/>
      </c>
      <c r="G620">
        <f>IFERROR(INDEX(PP_Grid[#Data],$DD620,5),0)</f>
        <v/>
      </c>
      <c r="H620">
        <f>IFERROR(INDEX(PP_Grid[#Data],$DD620,6),0)</f>
        <v/>
      </c>
      <c r="I620">
        <f>IFERROR(INDEX(PP_Grid[#Data],$DD620,7),0)</f>
        <v/>
      </c>
      <c r="J620">
        <f>IFERROR(INDEX(PP_Grid[#Data],$DD620,8),0)</f>
        <v/>
      </c>
      <c r="K620">
        <f>IFERROR(INDEX(PP_Grid[#Data],$DD620,9),0)</f>
        <v/>
      </c>
      <c r="L620">
        <f>IFERROR(INDEX(PP_Grid[#Data],$DD620,10),0)</f>
        <v/>
      </c>
      <c r="M620">
        <f>IFERROR(INDEX(PP_Grid[#Data],$DD620,11),0)</f>
        <v/>
      </c>
      <c r="N620">
        <f>IFERROR(INDEX(PP_Grid[#Data],$DD620,12),0)</f>
        <v/>
      </c>
      <c r="O620">
        <f>IFERROR(INDEX(PP_Grid[#Data],$DD620,13),0)</f>
        <v/>
      </c>
      <c r="P620">
        <f>IFERROR(INDEX(PP_Grid[#Data],$DD620,14),0)</f>
        <v/>
      </c>
      <c r="Q620">
        <f>IFERROR(INDEX(PP_Grid[#Data],$DD620,15),0)</f>
        <v/>
      </c>
      <c r="R620">
        <f>IFERROR(INDEX(PP_Grid[#Data],$DD620,16),0)</f>
        <v/>
      </c>
      <c r="S620">
        <f>IFERROR(INDEX(PP_Grid[#Data],$DD620,17),0)</f>
        <v/>
      </c>
      <c r="T620">
        <f>IFERROR(INDEX(PP_Grid[#Data],$DD620,18),0)</f>
        <v/>
      </c>
      <c r="U620">
        <f>IFERROR(INDEX(PP_Grid[#Data],$DD620,19),0)</f>
        <v/>
      </c>
      <c r="V620">
        <f>IFERROR(INDEX(PP_Grid[#Data],$DD620,20),0)</f>
        <v/>
      </c>
      <c r="W620">
        <f>IFERROR(INDEX(PP_Grid[#Data],$DD620,21),0)</f>
        <v/>
      </c>
      <c r="X620">
        <f>IFERROR(INDEX(PP_Grid[#Data],$DD620,22),0)</f>
        <v/>
      </c>
      <c r="Y620">
        <f>IFERROR(INDEX(PP_Grid[#Data],$DD620,23),0)</f>
        <v/>
      </c>
      <c r="Z620">
        <f>IFERROR(INDEX(PP_Grid[#Data],$DD620,24),0)</f>
        <v/>
      </c>
      <c r="AA620">
        <f>IFERROR(INDEX(PP_Grid[#Data],$DD620,25),0)</f>
        <v/>
      </c>
      <c r="AB620">
        <f>IFERROR(INDEX(PP_Grid[#Data],$DD620,26),0)</f>
        <v/>
      </c>
      <c r="AC620">
        <f>IFERROR(INDEX(PP_Grid[#Data],$DD620,27),0)</f>
        <v/>
      </c>
      <c r="AD620">
        <f>IFERROR(INDEX(PP_Grid[#Data],$DD620,28),0)</f>
        <v/>
      </c>
      <c r="AE620">
        <f>IFERROR(INDEX(PP_Grid[#Data],$DD620,29),0)</f>
        <v/>
      </c>
      <c r="AF620">
        <f>IFERROR(INDEX(PP_Grid[#Data],$DD620,30),0)</f>
        <v/>
      </c>
      <c r="AG620">
        <f>IFERROR(INDEX(PP_Grid[#Data],$DD620,31),0)</f>
        <v/>
      </c>
      <c r="AH620">
        <f>IFERROR(INDEX(PP_Grid[#Data],$DD620,32),0)</f>
        <v/>
      </c>
      <c r="AI620">
        <f>IFERROR(INDEX(PP_Grid[#Data],$DD620,33),0)</f>
        <v/>
      </c>
      <c r="AJ620">
        <f>IFERROR(INDEX(PP_Grid[#Data],$DD620,34),0)</f>
        <v/>
      </c>
      <c r="AK620">
        <f>IFERROR(INDEX(PP_Grid[#Data],$DD620,35),0)</f>
        <v/>
      </c>
      <c r="AL620">
        <f>IFERROR(INDEX(PP_Grid[#Data],$DD620,36),0)</f>
        <v/>
      </c>
      <c r="AM620">
        <f>IFERROR(INDEX(PP_Grid[#Data],$DD620,37),0)</f>
        <v/>
      </c>
      <c r="AN620">
        <f>IFERROR(INDEX(PP_Grid[#Data],$DD620,38),0)</f>
        <v/>
      </c>
      <c r="AO620">
        <f>IFERROR(INDEX(PP_Grid[#Data],$DD620,39),0)</f>
        <v/>
      </c>
      <c r="AP620">
        <f>IFERROR(INDEX(PP_Grid[#Data],$DD620,40),0)</f>
        <v/>
      </c>
      <c r="AQ620">
        <f>IFERROR(INDEX(PP_Grid[#Data],$DD620,41),0)</f>
        <v/>
      </c>
      <c r="AR620">
        <f>IFERROR(INDEX(PP_Grid[#Data],$DD620,42),0)</f>
        <v/>
      </c>
      <c r="AS620">
        <f>IFERROR(INDEX(PP_Grid[#Data],$DD620,43),0)</f>
        <v/>
      </c>
      <c r="AT620">
        <f>IFERROR(INDEX(PP_Grid[#Data],$DD620,44),0)</f>
        <v/>
      </c>
      <c r="AU620">
        <f>IFERROR(INDEX(PP_Grid[#Data],$DD620,45),0)</f>
        <v/>
      </c>
      <c r="AV620">
        <f>IFERROR(INDEX(PP_Grid[#Data],$DD620,46),0)</f>
        <v/>
      </c>
      <c r="AW620">
        <f>IFERROR(INDEX(PP_Grid[#Data],$DD620,47),0)</f>
        <v/>
      </c>
      <c r="AX620">
        <f>IFERROR(INDEX(PP_Grid[#Data],$DD620,48),0)</f>
        <v/>
      </c>
      <c r="AY620">
        <f>IFERROR(INDEX(PP_Grid[#Data],$DD620,49),0)</f>
        <v/>
      </c>
      <c r="AZ620">
        <f>IFERROR(INDEX(PP_Grid[#Data],$DD620,50),0)</f>
        <v/>
      </c>
      <c r="BA620">
        <f>IFERROR(INDEX(PP_Grid[#Data],$DD620,51),0)</f>
        <v/>
      </c>
      <c r="BB620">
        <f>IFERROR(INDEX(PP_Grid[#Data],$DD620,52),0)</f>
        <v/>
      </c>
      <c r="BC620">
        <f>IFERROR(INDEX(PP_Grid[#Data],$DD620,53),0)</f>
        <v/>
      </c>
      <c r="BD620">
        <f>IFERROR(INDEX(PP_Grid[#Data],$DD620,54),0)</f>
        <v/>
      </c>
      <c r="BE620">
        <f>IFERROR(INDEX(PP_Grid[#Data],$DD620,55),0)</f>
        <v/>
      </c>
      <c r="BF620">
        <f>IFERROR(INDEX(PP_Grid[#Data],$DD620,56),0)</f>
        <v/>
      </c>
      <c r="BG620">
        <f>IFERROR(INDEX(PP_Grid[#Data],$DD620,57),0)</f>
        <v/>
      </c>
      <c r="BH620">
        <f>IFERROR(INDEX(PP_Grid[#Data],$DD620,58),0)</f>
        <v/>
      </c>
      <c r="BI620">
        <f>IFERROR(INDEX(PP_Grid[#Data],$DD620,59),0)</f>
        <v/>
      </c>
      <c r="BJ620">
        <f>IFERROR(INDEX(PP_Grid[#Data],$DD620,60),0)</f>
        <v/>
      </c>
      <c r="BK620">
        <f>IFERROR(INDEX(PP_Grid[#Data],$DD620,61),0)</f>
        <v/>
      </c>
      <c r="BL620">
        <f>IFERROR(INDEX(PP_Grid[#Data],$DD620,62),0)</f>
        <v/>
      </c>
      <c r="BM620">
        <f>IFERROR(INDEX(PP_Grid[#Data],$DD620,63),0)</f>
        <v/>
      </c>
      <c r="BN620">
        <f>IFERROR(INDEX(PP_Grid[#Data],$DD620,64),0)</f>
        <v/>
      </c>
      <c r="BO620">
        <f>IFERROR(INDEX(PP_Grid[#Data],$DD620,65),0)</f>
        <v/>
      </c>
      <c r="BP620">
        <f>IFERROR(INDEX(PP_Grid[#Data],$DD620,66),0)</f>
        <v/>
      </c>
      <c r="BQ620">
        <f>IFERROR(INDEX(PP_Grid[#Data],$DD620,67),0)</f>
        <v/>
      </c>
      <c r="BR620">
        <f>IFERROR(INDEX(PP_Grid[#Data],$DD620,68),0)</f>
        <v/>
      </c>
      <c r="BS620">
        <f>IFERROR(INDEX(PP_Grid[#Data],$DD620,69),0)</f>
        <v/>
      </c>
      <c r="BT620">
        <f>IFERROR(INDEX(PP_Grid[#Data],$DD620,70),0)</f>
        <v/>
      </c>
      <c r="BU620">
        <f>IFERROR(INDEX(PP_Grid[#Data],$DD620,71),0)</f>
        <v/>
      </c>
      <c r="BV620">
        <f>IFERROR(INDEX(PP_Grid[#Data],$DD620,72),0)</f>
        <v/>
      </c>
      <c r="BW620">
        <f>IFERROR(INDEX(PP_Grid[#Data],$DD620,73),0)</f>
        <v/>
      </c>
      <c r="BX620">
        <f>IFERROR(INDEX(PP_Grid[#Data],$DD620,74),0)</f>
        <v/>
      </c>
      <c r="BY620">
        <f>IFERROR(INDEX(PP_Grid[#Data],$DD620,75),0)</f>
        <v/>
      </c>
      <c r="BZ620">
        <f>IFERROR(INDEX(PP_Grid[#Data],$DD620,76),0)</f>
        <v/>
      </c>
      <c r="CA620">
        <f>IFERROR(INDEX(PP_Grid[#Data],$DD620,77),0)</f>
        <v/>
      </c>
      <c r="CB620">
        <f>IFERROR(INDEX(PP_Grid[#Data],$DD620,78),0)</f>
        <v/>
      </c>
      <c r="CC620">
        <f>IFERROR(INDEX(PP_Grid[#Data],$DD620,79),0)</f>
        <v/>
      </c>
      <c r="CD620">
        <f>IFERROR(INDEX(PP_Grid[#Data],$DD620,80),0)</f>
        <v/>
      </c>
      <c r="CE620">
        <f>IFERROR(INDEX(PP_Grid[#Data],$DD620,81),0)</f>
        <v/>
      </c>
      <c r="CF620">
        <f>IFERROR(INDEX(PP_Grid[#Data],$DD620,82),0)</f>
        <v/>
      </c>
      <c r="CG620">
        <f>IFERROR(INDEX(PP_Grid[#Data],$DD620,83),0)</f>
        <v/>
      </c>
      <c r="CH620">
        <f>IFERROR(INDEX(PP_Grid[#Data],$DD620,84),0)</f>
        <v/>
      </c>
      <c r="CI620">
        <f>IFERROR(INDEX(PP_Grid[#Data],$DD620,85),0)</f>
        <v/>
      </c>
      <c r="CJ620">
        <f>IFERROR(INDEX(PP_Grid[#Data],$DD620,86),0)</f>
        <v/>
      </c>
      <c r="CK620">
        <f>IFERROR(INDEX(PP_Grid[#Data],$DD620,87),0)</f>
        <v/>
      </c>
      <c r="CL620">
        <f>IFERROR(INDEX(PP_Grid[#Data],$DD620,88),0)</f>
        <v/>
      </c>
      <c r="CM620">
        <f>IFERROR(INDEX(PP_Grid[#Data],$DD620,89),0)</f>
        <v/>
      </c>
      <c r="CN620">
        <f>IFERROR(INDEX(PP_Grid[#Data],$DD620,90),0)</f>
        <v/>
      </c>
      <c r="CO620">
        <f>IFERROR(INDEX(PP_Grid[#Data],$DD620,91),0)</f>
        <v/>
      </c>
      <c r="CP620">
        <f>IFERROR(INDEX(PP_Grid[#Data],$DD620,92),0)</f>
        <v/>
      </c>
      <c r="CQ620">
        <f>IFERROR(INDEX(PP_Grid[#Data],$DD620,93),0)</f>
        <v/>
      </c>
      <c r="CR620">
        <f>IFERROR(INDEX(PP_Grid[#Data],$DD620,94),0)</f>
        <v/>
      </c>
      <c r="CS620">
        <f>IFERROR(INDEX(PP_Grid[#Data],$DD620,95),0)</f>
        <v/>
      </c>
      <c r="CT620">
        <f>IFERROR(INDEX(PP_Grid[#Data],$DD620,96),0)</f>
        <v/>
      </c>
      <c r="CU620">
        <f>IFERROR(INDEX(PP_Grid[#Data],$DD620,97),0)</f>
        <v/>
      </c>
      <c r="CV620">
        <f>IFERROR(INDEX(PP_Grid[#Data],$DD620,98),0)</f>
        <v/>
      </c>
      <c r="CW620">
        <f>IFERROR(INDEX(PP_Grid[#Data],$DD620,99),0)</f>
        <v/>
      </c>
      <c r="CX620">
        <f>IFERROR(INDEX(PP_Grid[#Data],$DD620,100),0)</f>
        <v/>
      </c>
      <c r="CY620">
        <f>IFERROR(INDEX(PP_Grid[#Data],$DD620,101),0)</f>
        <v/>
      </c>
      <c r="CZ620">
        <f>IFERROR(INDEX(PP_Grid[#Data],$DD620,102),0)</f>
        <v/>
      </c>
      <c r="DA620">
        <f>IFERROR(INDEX(PP_Grid[#Data],$DD620,103),0)</f>
        <v/>
      </c>
      <c r="DB620">
        <f>IFERROR(INDEX(PP_Grid[#Data],$DD620,104),0)</f>
        <v/>
      </c>
      <c r="DC620">
        <f>IFERROR(INDEX(PP_Grid[#Data],$DD620,105),0)</f>
        <v/>
      </c>
      <c r="DD620" s="12">
        <f>IFERROR(MATCH($B620,PP_Grid[Intermediate],0),99999)</f>
        <v/>
      </c>
    </row>
    <row r="621">
      <c r="B621" t="inlineStr">
        <is>
          <t>使用量(kg)</t>
        </is>
      </c>
      <c r="C621">
        <f>SUMIFS(M_BOM[RM_Qty_Per_Batch],M_BOM[Intermediate],$B620,M_BOM[Part Name],$A601)</f>
        <v/>
      </c>
      <c r="D621">
        <f>$C621*D620</f>
        <v/>
      </c>
      <c r="E621">
        <f>$C621*E620</f>
        <v/>
      </c>
      <c r="F621">
        <f>$C621*F620</f>
        <v/>
      </c>
      <c r="G621">
        <f>$C621*G620</f>
        <v/>
      </c>
      <c r="H621">
        <f>$C621*H620</f>
        <v/>
      </c>
      <c r="I621">
        <f>$C621*I620</f>
        <v/>
      </c>
      <c r="J621">
        <f>$C621*J620</f>
        <v/>
      </c>
      <c r="K621">
        <f>$C621*K620</f>
        <v/>
      </c>
      <c r="L621">
        <f>$C621*L620</f>
        <v/>
      </c>
      <c r="M621">
        <f>$C621*M620</f>
        <v/>
      </c>
      <c r="N621">
        <f>$C621*N620</f>
        <v/>
      </c>
      <c r="O621">
        <f>$C621*O620</f>
        <v/>
      </c>
      <c r="P621">
        <f>$C621*P620</f>
        <v/>
      </c>
      <c r="Q621">
        <f>$C621*Q620</f>
        <v/>
      </c>
      <c r="R621">
        <f>$C621*R620</f>
        <v/>
      </c>
      <c r="S621">
        <f>$C621*S620</f>
        <v/>
      </c>
      <c r="T621">
        <f>$C621*T620</f>
        <v/>
      </c>
      <c r="U621">
        <f>$C621*U620</f>
        <v/>
      </c>
      <c r="V621">
        <f>$C621*V620</f>
        <v/>
      </c>
      <c r="W621">
        <f>$C621*W620</f>
        <v/>
      </c>
      <c r="X621">
        <f>$C621*X620</f>
        <v/>
      </c>
      <c r="Y621">
        <f>$C621*Y620</f>
        <v/>
      </c>
      <c r="Z621">
        <f>$C621*Z620</f>
        <v/>
      </c>
      <c r="AA621">
        <f>$C621*AA620</f>
        <v/>
      </c>
      <c r="AB621">
        <f>$C621*AB620</f>
        <v/>
      </c>
      <c r="AC621">
        <f>$C621*AC620</f>
        <v/>
      </c>
      <c r="AD621">
        <f>$C621*AD620</f>
        <v/>
      </c>
      <c r="AE621">
        <f>$C621*AE620</f>
        <v/>
      </c>
      <c r="AF621">
        <f>$C621*AF620</f>
        <v/>
      </c>
      <c r="AG621">
        <f>$C621*AG620</f>
        <v/>
      </c>
      <c r="AH621">
        <f>$C621*AH620</f>
        <v/>
      </c>
      <c r="AI621">
        <f>$C621*AI620</f>
        <v/>
      </c>
      <c r="AJ621">
        <f>$C621*AJ620</f>
        <v/>
      </c>
      <c r="AK621">
        <f>$C621*AK620</f>
        <v/>
      </c>
      <c r="AL621">
        <f>$C621*AL620</f>
        <v/>
      </c>
      <c r="AM621">
        <f>$C621*AM620</f>
        <v/>
      </c>
      <c r="AN621">
        <f>$C621*AN620</f>
        <v/>
      </c>
      <c r="AO621">
        <f>$C621*AO620</f>
        <v/>
      </c>
      <c r="AP621">
        <f>$C621*AP620</f>
        <v/>
      </c>
      <c r="AQ621">
        <f>$C621*AQ620</f>
        <v/>
      </c>
      <c r="AR621">
        <f>$C621*AR620</f>
        <v/>
      </c>
      <c r="AS621">
        <f>$C621*AS620</f>
        <v/>
      </c>
      <c r="AT621">
        <f>$C621*AT620</f>
        <v/>
      </c>
      <c r="AU621">
        <f>$C621*AU620</f>
        <v/>
      </c>
      <c r="AV621">
        <f>$C621*AV620</f>
        <v/>
      </c>
      <c r="AW621">
        <f>$C621*AW620</f>
        <v/>
      </c>
      <c r="AX621">
        <f>$C621*AX620</f>
        <v/>
      </c>
      <c r="AY621">
        <f>$C621*AY620</f>
        <v/>
      </c>
      <c r="AZ621">
        <f>$C621*AZ620</f>
        <v/>
      </c>
      <c r="BA621">
        <f>$C621*BA620</f>
        <v/>
      </c>
      <c r="BB621">
        <f>$C621*BB620</f>
        <v/>
      </c>
      <c r="BC621">
        <f>$C621*BC620</f>
        <v/>
      </c>
      <c r="BD621">
        <f>$C621*BD620</f>
        <v/>
      </c>
      <c r="BE621">
        <f>$C621*BE620</f>
        <v/>
      </c>
      <c r="BF621">
        <f>$C621*BF620</f>
        <v/>
      </c>
      <c r="BG621">
        <f>$C621*BG620</f>
        <v/>
      </c>
      <c r="BH621">
        <f>$C621*BH620</f>
        <v/>
      </c>
      <c r="BI621">
        <f>$C621*BI620</f>
        <v/>
      </c>
      <c r="BJ621">
        <f>$C621*BJ620</f>
        <v/>
      </c>
      <c r="BK621">
        <f>$C621*BK620</f>
        <v/>
      </c>
      <c r="BL621">
        <f>$C621*BL620</f>
        <v/>
      </c>
      <c r="BM621">
        <f>$C621*BM620</f>
        <v/>
      </c>
      <c r="BN621">
        <f>$C621*BN620</f>
        <v/>
      </c>
      <c r="BO621">
        <f>$C621*BO620</f>
        <v/>
      </c>
      <c r="BP621">
        <f>$C621*BP620</f>
        <v/>
      </c>
      <c r="BQ621">
        <f>$C621*BQ620</f>
        <v/>
      </c>
      <c r="BR621">
        <f>$C621*BR620</f>
        <v/>
      </c>
      <c r="BS621">
        <f>$C621*BS620</f>
        <v/>
      </c>
      <c r="BT621">
        <f>$C621*BT620</f>
        <v/>
      </c>
      <c r="BU621">
        <f>$C621*BU620</f>
        <v/>
      </c>
      <c r="BV621">
        <f>$C621*BV620</f>
        <v/>
      </c>
      <c r="BW621">
        <f>$C621*BW620</f>
        <v/>
      </c>
      <c r="BX621">
        <f>$C621*BX620</f>
        <v/>
      </c>
      <c r="BY621">
        <f>$C621*BY620</f>
        <v/>
      </c>
      <c r="BZ621">
        <f>$C621*BZ620</f>
        <v/>
      </c>
      <c r="CA621">
        <f>$C621*CA620</f>
        <v/>
      </c>
      <c r="CB621">
        <f>$C621*CB620</f>
        <v/>
      </c>
      <c r="CC621">
        <f>$C621*CC620</f>
        <v/>
      </c>
      <c r="CD621">
        <f>$C621*CD620</f>
        <v/>
      </c>
      <c r="CE621">
        <f>$C621*CE620</f>
        <v/>
      </c>
      <c r="CF621">
        <f>$C621*CF620</f>
        <v/>
      </c>
      <c r="CG621">
        <f>$C621*CG620</f>
        <v/>
      </c>
      <c r="CH621">
        <f>$C621*CH620</f>
        <v/>
      </c>
      <c r="CI621">
        <f>$C621*CI620</f>
        <v/>
      </c>
      <c r="CJ621">
        <f>$C621*CJ620</f>
        <v/>
      </c>
      <c r="CK621">
        <f>$C621*CK620</f>
        <v/>
      </c>
      <c r="CL621">
        <f>$C621*CL620</f>
        <v/>
      </c>
      <c r="CM621">
        <f>$C621*CM620</f>
        <v/>
      </c>
      <c r="CN621">
        <f>$C621*CN620</f>
        <v/>
      </c>
      <c r="CO621">
        <f>$C621*CO620</f>
        <v/>
      </c>
      <c r="CP621">
        <f>$C621*CP620</f>
        <v/>
      </c>
      <c r="CQ621">
        <f>$C621*CQ620</f>
        <v/>
      </c>
      <c r="CR621">
        <f>$C621*CR620</f>
        <v/>
      </c>
      <c r="CS621">
        <f>$C621*CS620</f>
        <v/>
      </c>
      <c r="CT621">
        <f>$C621*CT620</f>
        <v/>
      </c>
      <c r="CU621">
        <f>$C621*CU620</f>
        <v/>
      </c>
      <c r="CV621">
        <f>$C621*CV620</f>
        <v/>
      </c>
      <c r="CW621">
        <f>$C621*CW620</f>
        <v/>
      </c>
      <c r="CX621">
        <f>$C621*CX620</f>
        <v/>
      </c>
      <c r="CY621">
        <f>$C621*CY620</f>
        <v/>
      </c>
      <c r="CZ621">
        <f>$C621*CZ620</f>
        <v/>
      </c>
      <c r="DA621">
        <f>$C621*DA620</f>
        <v/>
      </c>
      <c r="DB621">
        <f>$C621*DB620</f>
        <v/>
      </c>
      <c r="DC621">
        <f>$C621*DC620</f>
        <v/>
      </c>
    </row>
    <row r="622">
      <c r="B622" t="inlineStr">
        <is>
          <t>TSP-935</t>
        </is>
      </c>
      <c r="C622" t="inlineStr">
        <is>
          <t>No. of batches</t>
        </is>
      </c>
      <c r="D622">
        <f>IFERROR(INDEX(PP_Grid[#Data],$DD622,2),0)</f>
        <v/>
      </c>
      <c r="E622">
        <f>IFERROR(INDEX(PP_Grid[#Data],$DD622,3),0)</f>
        <v/>
      </c>
      <c r="F622">
        <f>IFERROR(INDEX(PP_Grid[#Data],$DD622,4),0)</f>
        <v/>
      </c>
      <c r="G622">
        <f>IFERROR(INDEX(PP_Grid[#Data],$DD622,5),0)</f>
        <v/>
      </c>
      <c r="H622">
        <f>IFERROR(INDEX(PP_Grid[#Data],$DD622,6),0)</f>
        <v/>
      </c>
      <c r="I622">
        <f>IFERROR(INDEX(PP_Grid[#Data],$DD622,7),0)</f>
        <v/>
      </c>
      <c r="J622">
        <f>IFERROR(INDEX(PP_Grid[#Data],$DD622,8),0)</f>
        <v/>
      </c>
      <c r="K622">
        <f>IFERROR(INDEX(PP_Grid[#Data],$DD622,9),0)</f>
        <v/>
      </c>
      <c r="L622">
        <f>IFERROR(INDEX(PP_Grid[#Data],$DD622,10),0)</f>
        <v/>
      </c>
      <c r="M622">
        <f>IFERROR(INDEX(PP_Grid[#Data],$DD622,11),0)</f>
        <v/>
      </c>
      <c r="N622">
        <f>IFERROR(INDEX(PP_Grid[#Data],$DD622,12),0)</f>
        <v/>
      </c>
      <c r="O622">
        <f>IFERROR(INDEX(PP_Grid[#Data],$DD622,13),0)</f>
        <v/>
      </c>
      <c r="P622">
        <f>IFERROR(INDEX(PP_Grid[#Data],$DD622,14),0)</f>
        <v/>
      </c>
      <c r="Q622">
        <f>IFERROR(INDEX(PP_Grid[#Data],$DD622,15),0)</f>
        <v/>
      </c>
      <c r="R622">
        <f>IFERROR(INDEX(PP_Grid[#Data],$DD622,16),0)</f>
        <v/>
      </c>
      <c r="S622">
        <f>IFERROR(INDEX(PP_Grid[#Data],$DD622,17),0)</f>
        <v/>
      </c>
      <c r="T622">
        <f>IFERROR(INDEX(PP_Grid[#Data],$DD622,18),0)</f>
        <v/>
      </c>
      <c r="U622">
        <f>IFERROR(INDEX(PP_Grid[#Data],$DD622,19),0)</f>
        <v/>
      </c>
      <c r="V622">
        <f>IFERROR(INDEX(PP_Grid[#Data],$DD622,20),0)</f>
        <v/>
      </c>
      <c r="W622">
        <f>IFERROR(INDEX(PP_Grid[#Data],$DD622,21),0)</f>
        <v/>
      </c>
      <c r="X622">
        <f>IFERROR(INDEX(PP_Grid[#Data],$DD622,22),0)</f>
        <v/>
      </c>
      <c r="Y622">
        <f>IFERROR(INDEX(PP_Grid[#Data],$DD622,23),0)</f>
        <v/>
      </c>
      <c r="Z622">
        <f>IFERROR(INDEX(PP_Grid[#Data],$DD622,24),0)</f>
        <v/>
      </c>
      <c r="AA622">
        <f>IFERROR(INDEX(PP_Grid[#Data],$DD622,25),0)</f>
        <v/>
      </c>
      <c r="AB622">
        <f>IFERROR(INDEX(PP_Grid[#Data],$DD622,26),0)</f>
        <v/>
      </c>
      <c r="AC622">
        <f>IFERROR(INDEX(PP_Grid[#Data],$DD622,27),0)</f>
        <v/>
      </c>
      <c r="AD622">
        <f>IFERROR(INDEX(PP_Grid[#Data],$DD622,28),0)</f>
        <v/>
      </c>
      <c r="AE622">
        <f>IFERROR(INDEX(PP_Grid[#Data],$DD622,29),0)</f>
        <v/>
      </c>
      <c r="AF622">
        <f>IFERROR(INDEX(PP_Grid[#Data],$DD622,30),0)</f>
        <v/>
      </c>
      <c r="AG622">
        <f>IFERROR(INDEX(PP_Grid[#Data],$DD622,31),0)</f>
        <v/>
      </c>
      <c r="AH622">
        <f>IFERROR(INDEX(PP_Grid[#Data],$DD622,32),0)</f>
        <v/>
      </c>
      <c r="AI622">
        <f>IFERROR(INDEX(PP_Grid[#Data],$DD622,33),0)</f>
        <v/>
      </c>
      <c r="AJ622">
        <f>IFERROR(INDEX(PP_Grid[#Data],$DD622,34),0)</f>
        <v/>
      </c>
      <c r="AK622">
        <f>IFERROR(INDEX(PP_Grid[#Data],$DD622,35),0)</f>
        <v/>
      </c>
      <c r="AL622">
        <f>IFERROR(INDEX(PP_Grid[#Data],$DD622,36),0)</f>
        <v/>
      </c>
      <c r="AM622">
        <f>IFERROR(INDEX(PP_Grid[#Data],$DD622,37),0)</f>
        <v/>
      </c>
      <c r="AN622">
        <f>IFERROR(INDEX(PP_Grid[#Data],$DD622,38),0)</f>
        <v/>
      </c>
      <c r="AO622">
        <f>IFERROR(INDEX(PP_Grid[#Data],$DD622,39),0)</f>
        <v/>
      </c>
      <c r="AP622">
        <f>IFERROR(INDEX(PP_Grid[#Data],$DD622,40),0)</f>
        <v/>
      </c>
      <c r="AQ622">
        <f>IFERROR(INDEX(PP_Grid[#Data],$DD622,41),0)</f>
        <v/>
      </c>
      <c r="AR622">
        <f>IFERROR(INDEX(PP_Grid[#Data],$DD622,42),0)</f>
        <v/>
      </c>
      <c r="AS622">
        <f>IFERROR(INDEX(PP_Grid[#Data],$DD622,43),0)</f>
        <v/>
      </c>
      <c r="AT622">
        <f>IFERROR(INDEX(PP_Grid[#Data],$DD622,44),0)</f>
        <v/>
      </c>
      <c r="AU622">
        <f>IFERROR(INDEX(PP_Grid[#Data],$DD622,45),0)</f>
        <v/>
      </c>
      <c r="AV622">
        <f>IFERROR(INDEX(PP_Grid[#Data],$DD622,46),0)</f>
        <v/>
      </c>
      <c r="AW622">
        <f>IFERROR(INDEX(PP_Grid[#Data],$DD622,47),0)</f>
        <v/>
      </c>
      <c r="AX622">
        <f>IFERROR(INDEX(PP_Grid[#Data],$DD622,48),0)</f>
        <v/>
      </c>
      <c r="AY622">
        <f>IFERROR(INDEX(PP_Grid[#Data],$DD622,49),0)</f>
        <v/>
      </c>
      <c r="AZ622">
        <f>IFERROR(INDEX(PP_Grid[#Data],$DD622,50),0)</f>
        <v/>
      </c>
      <c r="BA622">
        <f>IFERROR(INDEX(PP_Grid[#Data],$DD622,51),0)</f>
        <v/>
      </c>
      <c r="BB622">
        <f>IFERROR(INDEX(PP_Grid[#Data],$DD622,52),0)</f>
        <v/>
      </c>
      <c r="BC622">
        <f>IFERROR(INDEX(PP_Grid[#Data],$DD622,53),0)</f>
        <v/>
      </c>
      <c r="BD622">
        <f>IFERROR(INDEX(PP_Grid[#Data],$DD622,54),0)</f>
        <v/>
      </c>
      <c r="BE622">
        <f>IFERROR(INDEX(PP_Grid[#Data],$DD622,55),0)</f>
        <v/>
      </c>
      <c r="BF622">
        <f>IFERROR(INDEX(PP_Grid[#Data],$DD622,56),0)</f>
        <v/>
      </c>
      <c r="BG622">
        <f>IFERROR(INDEX(PP_Grid[#Data],$DD622,57),0)</f>
        <v/>
      </c>
      <c r="BH622">
        <f>IFERROR(INDEX(PP_Grid[#Data],$DD622,58),0)</f>
        <v/>
      </c>
      <c r="BI622">
        <f>IFERROR(INDEX(PP_Grid[#Data],$DD622,59),0)</f>
        <v/>
      </c>
      <c r="BJ622">
        <f>IFERROR(INDEX(PP_Grid[#Data],$DD622,60),0)</f>
        <v/>
      </c>
      <c r="BK622">
        <f>IFERROR(INDEX(PP_Grid[#Data],$DD622,61),0)</f>
        <v/>
      </c>
      <c r="BL622">
        <f>IFERROR(INDEX(PP_Grid[#Data],$DD622,62),0)</f>
        <v/>
      </c>
      <c r="BM622">
        <f>IFERROR(INDEX(PP_Grid[#Data],$DD622,63),0)</f>
        <v/>
      </c>
      <c r="BN622">
        <f>IFERROR(INDEX(PP_Grid[#Data],$DD622,64),0)</f>
        <v/>
      </c>
      <c r="BO622">
        <f>IFERROR(INDEX(PP_Grid[#Data],$DD622,65),0)</f>
        <v/>
      </c>
      <c r="BP622">
        <f>IFERROR(INDEX(PP_Grid[#Data],$DD622,66),0)</f>
        <v/>
      </c>
      <c r="BQ622">
        <f>IFERROR(INDEX(PP_Grid[#Data],$DD622,67),0)</f>
        <v/>
      </c>
      <c r="BR622">
        <f>IFERROR(INDEX(PP_Grid[#Data],$DD622,68),0)</f>
        <v/>
      </c>
      <c r="BS622">
        <f>IFERROR(INDEX(PP_Grid[#Data],$DD622,69),0)</f>
        <v/>
      </c>
      <c r="BT622">
        <f>IFERROR(INDEX(PP_Grid[#Data],$DD622,70),0)</f>
        <v/>
      </c>
      <c r="BU622">
        <f>IFERROR(INDEX(PP_Grid[#Data],$DD622,71),0)</f>
        <v/>
      </c>
      <c r="BV622">
        <f>IFERROR(INDEX(PP_Grid[#Data],$DD622,72),0)</f>
        <v/>
      </c>
      <c r="BW622">
        <f>IFERROR(INDEX(PP_Grid[#Data],$DD622,73),0)</f>
        <v/>
      </c>
      <c r="BX622">
        <f>IFERROR(INDEX(PP_Grid[#Data],$DD622,74),0)</f>
        <v/>
      </c>
      <c r="BY622">
        <f>IFERROR(INDEX(PP_Grid[#Data],$DD622,75),0)</f>
        <v/>
      </c>
      <c r="BZ622">
        <f>IFERROR(INDEX(PP_Grid[#Data],$DD622,76),0)</f>
        <v/>
      </c>
      <c r="CA622">
        <f>IFERROR(INDEX(PP_Grid[#Data],$DD622,77),0)</f>
        <v/>
      </c>
      <c r="CB622">
        <f>IFERROR(INDEX(PP_Grid[#Data],$DD622,78),0)</f>
        <v/>
      </c>
      <c r="CC622">
        <f>IFERROR(INDEX(PP_Grid[#Data],$DD622,79),0)</f>
        <v/>
      </c>
      <c r="CD622">
        <f>IFERROR(INDEX(PP_Grid[#Data],$DD622,80),0)</f>
        <v/>
      </c>
      <c r="CE622">
        <f>IFERROR(INDEX(PP_Grid[#Data],$DD622,81),0)</f>
        <v/>
      </c>
      <c r="CF622">
        <f>IFERROR(INDEX(PP_Grid[#Data],$DD622,82),0)</f>
        <v/>
      </c>
      <c r="CG622">
        <f>IFERROR(INDEX(PP_Grid[#Data],$DD622,83),0)</f>
        <v/>
      </c>
      <c r="CH622">
        <f>IFERROR(INDEX(PP_Grid[#Data],$DD622,84),0)</f>
        <v/>
      </c>
      <c r="CI622">
        <f>IFERROR(INDEX(PP_Grid[#Data],$DD622,85),0)</f>
        <v/>
      </c>
      <c r="CJ622">
        <f>IFERROR(INDEX(PP_Grid[#Data],$DD622,86),0)</f>
        <v/>
      </c>
      <c r="CK622">
        <f>IFERROR(INDEX(PP_Grid[#Data],$DD622,87),0)</f>
        <v/>
      </c>
      <c r="CL622">
        <f>IFERROR(INDEX(PP_Grid[#Data],$DD622,88),0)</f>
        <v/>
      </c>
      <c r="CM622">
        <f>IFERROR(INDEX(PP_Grid[#Data],$DD622,89),0)</f>
        <v/>
      </c>
      <c r="CN622">
        <f>IFERROR(INDEX(PP_Grid[#Data],$DD622,90),0)</f>
        <v/>
      </c>
      <c r="CO622">
        <f>IFERROR(INDEX(PP_Grid[#Data],$DD622,91),0)</f>
        <v/>
      </c>
      <c r="CP622">
        <f>IFERROR(INDEX(PP_Grid[#Data],$DD622,92),0)</f>
        <v/>
      </c>
      <c r="CQ622">
        <f>IFERROR(INDEX(PP_Grid[#Data],$DD622,93),0)</f>
        <v/>
      </c>
      <c r="CR622">
        <f>IFERROR(INDEX(PP_Grid[#Data],$DD622,94),0)</f>
        <v/>
      </c>
      <c r="CS622">
        <f>IFERROR(INDEX(PP_Grid[#Data],$DD622,95),0)</f>
        <v/>
      </c>
      <c r="CT622">
        <f>IFERROR(INDEX(PP_Grid[#Data],$DD622,96),0)</f>
        <v/>
      </c>
      <c r="CU622">
        <f>IFERROR(INDEX(PP_Grid[#Data],$DD622,97),0)</f>
        <v/>
      </c>
      <c r="CV622">
        <f>IFERROR(INDEX(PP_Grid[#Data],$DD622,98),0)</f>
        <v/>
      </c>
      <c r="CW622">
        <f>IFERROR(INDEX(PP_Grid[#Data],$DD622,99),0)</f>
        <v/>
      </c>
      <c r="CX622">
        <f>IFERROR(INDEX(PP_Grid[#Data],$DD622,100),0)</f>
        <v/>
      </c>
      <c r="CY622">
        <f>IFERROR(INDEX(PP_Grid[#Data],$DD622,101),0)</f>
        <v/>
      </c>
      <c r="CZ622">
        <f>IFERROR(INDEX(PP_Grid[#Data],$DD622,102),0)</f>
        <v/>
      </c>
      <c r="DA622">
        <f>IFERROR(INDEX(PP_Grid[#Data],$DD622,103),0)</f>
        <v/>
      </c>
      <c r="DB622">
        <f>IFERROR(INDEX(PP_Grid[#Data],$DD622,104),0)</f>
        <v/>
      </c>
      <c r="DC622">
        <f>IFERROR(INDEX(PP_Grid[#Data],$DD622,105),0)</f>
        <v/>
      </c>
      <c r="DD622" s="12">
        <f>IFERROR(MATCH($B622,PP_Grid[Intermediate],0),99999)</f>
        <v/>
      </c>
    </row>
    <row r="623">
      <c r="B623" t="inlineStr">
        <is>
          <t>使用量(kg)</t>
        </is>
      </c>
      <c r="C623">
        <f>SUMIFS(M_BOM[RM_Qty_Per_Batch],M_BOM[Intermediate],$B622,M_BOM[Part Name],$A601)</f>
        <v/>
      </c>
      <c r="D623">
        <f>$C623*D622</f>
        <v/>
      </c>
      <c r="E623">
        <f>$C623*E622</f>
        <v/>
      </c>
      <c r="F623">
        <f>$C623*F622</f>
        <v/>
      </c>
      <c r="G623">
        <f>$C623*G622</f>
        <v/>
      </c>
      <c r="H623">
        <f>$C623*H622</f>
        <v/>
      </c>
      <c r="I623">
        <f>$C623*I622</f>
        <v/>
      </c>
      <c r="J623">
        <f>$C623*J622</f>
        <v/>
      </c>
      <c r="K623">
        <f>$C623*K622</f>
        <v/>
      </c>
      <c r="L623">
        <f>$C623*L622</f>
        <v/>
      </c>
      <c r="M623">
        <f>$C623*M622</f>
        <v/>
      </c>
      <c r="N623">
        <f>$C623*N622</f>
        <v/>
      </c>
      <c r="O623">
        <f>$C623*O622</f>
        <v/>
      </c>
      <c r="P623">
        <f>$C623*P622</f>
        <v/>
      </c>
      <c r="Q623">
        <f>$C623*Q622</f>
        <v/>
      </c>
      <c r="R623">
        <f>$C623*R622</f>
        <v/>
      </c>
      <c r="S623">
        <f>$C623*S622</f>
        <v/>
      </c>
      <c r="T623">
        <f>$C623*T622</f>
        <v/>
      </c>
      <c r="U623">
        <f>$C623*U622</f>
        <v/>
      </c>
      <c r="V623">
        <f>$C623*V622</f>
        <v/>
      </c>
      <c r="W623">
        <f>$C623*W622</f>
        <v/>
      </c>
      <c r="X623">
        <f>$C623*X622</f>
        <v/>
      </c>
      <c r="Y623">
        <f>$C623*Y622</f>
        <v/>
      </c>
      <c r="Z623">
        <f>$C623*Z622</f>
        <v/>
      </c>
      <c r="AA623">
        <f>$C623*AA622</f>
        <v/>
      </c>
      <c r="AB623">
        <f>$C623*AB622</f>
        <v/>
      </c>
      <c r="AC623">
        <f>$C623*AC622</f>
        <v/>
      </c>
      <c r="AD623">
        <f>$C623*AD622</f>
        <v/>
      </c>
      <c r="AE623">
        <f>$C623*AE622</f>
        <v/>
      </c>
      <c r="AF623">
        <f>$C623*AF622</f>
        <v/>
      </c>
      <c r="AG623">
        <f>$C623*AG622</f>
        <v/>
      </c>
      <c r="AH623">
        <f>$C623*AH622</f>
        <v/>
      </c>
      <c r="AI623">
        <f>$C623*AI622</f>
        <v/>
      </c>
      <c r="AJ623">
        <f>$C623*AJ622</f>
        <v/>
      </c>
      <c r="AK623">
        <f>$C623*AK622</f>
        <v/>
      </c>
      <c r="AL623">
        <f>$C623*AL622</f>
        <v/>
      </c>
      <c r="AM623">
        <f>$C623*AM622</f>
        <v/>
      </c>
      <c r="AN623">
        <f>$C623*AN622</f>
        <v/>
      </c>
      <c r="AO623">
        <f>$C623*AO622</f>
        <v/>
      </c>
      <c r="AP623">
        <f>$C623*AP622</f>
        <v/>
      </c>
      <c r="AQ623">
        <f>$C623*AQ622</f>
        <v/>
      </c>
      <c r="AR623">
        <f>$C623*AR622</f>
        <v/>
      </c>
      <c r="AS623">
        <f>$C623*AS622</f>
        <v/>
      </c>
      <c r="AT623">
        <f>$C623*AT622</f>
        <v/>
      </c>
      <c r="AU623">
        <f>$C623*AU622</f>
        <v/>
      </c>
      <c r="AV623">
        <f>$C623*AV622</f>
        <v/>
      </c>
      <c r="AW623">
        <f>$C623*AW622</f>
        <v/>
      </c>
      <c r="AX623">
        <f>$C623*AX622</f>
        <v/>
      </c>
      <c r="AY623">
        <f>$C623*AY622</f>
        <v/>
      </c>
      <c r="AZ623">
        <f>$C623*AZ622</f>
        <v/>
      </c>
      <c r="BA623">
        <f>$C623*BA622</f>
        <v/>
      </c>
      <c r="BB623">
        <f>$C623*BB622</f>
        <v/>
      </c>
      <c r="BC623">
        <f>$C623*BC622</f>
        <v/>
      </c>
      <c r="BD623">
        <f>$C623*BD622</f>
        <v/>
      </c>
      <c r="BE623">
        <f>$C623*BE622</f>
        <v/>
      </c>
      <c r="BF623">
        <f>$C623*BF622</f>
        <v/>
      </c>
      <c r="BG623">
        <f>$C623*BG622</f>
        <v/>
      </c>
      <c r="BH623">
        <f>$C623*BH622</f>
        <v/>
      </c>
      <c r="BI623">
        <f>$C623*BI622</f>
        <v/>
      </c>
      <c r="BJ623">
        <f>$C623*BJ622</f>
        <v/>
      </c>
      <c r="BK623">
        <f>$C623*BK622</f>
        <v/>
      </c>
      <c r="BL623">
        <f>$C623*BL622</f>
        <v/>
      </c>
      <c r="BM623">
        <f>$C623*BM622</f>
        <v/>
      </c>
      <c r="BN623">
        <f>$C623*BN622</f>
        <v/>
      </c>
      <c r="BO623">
        <f>$C623*BO622</f>
        <v/>
      </c>
      <c r="BP623">
        <f>$C623*BP622</f>
        <v/>
      </c>
      <c r="BQ623">
        <f>$C623*BQ622</f>
        <v/>
      </c>
      <c r="BR623">
        <f>$C623*BR622</f>
        <v/>
      </c>
      <c r="BS623">
        <f>$C623*BS622</f>
        <v/>
      </c>
      <c r="BT623">
        <f>$C623*BT622</f>
        <v/>
      </c>
      <c r="BU623">
        <f>$C623*BU622</f>
        <v/>
      </c>
      <c r="BV623">
        <f>$C623*BV622</f>
        <v/>
      </c>
      <c r="BW623">
        <f>$C623*BW622</f>
        <v/>
      </c>
      <c r="BX623">
        <f>$C623*BX622</f>
        <v/>
      </c>
      <c r="BY623">
        <f>$C623*BY622</f>
        <v/>
      </c>
      <c r="BZ623">
        <f>$C623*BZ622</f>
        <v/>
      </c>
      <c r="CA623">
        <f>$C623*CA622</f>
        <v/>
      </c>
      <c r="CB623">
        <f>$C623*CB622</f>
        <v/>
      </c>
      <c r="CC623">
        <f>$C623*CC622</f>
        <v/>
      </c>
      <c r="CD623">
        <f>$C623*CD622</f>
        <v/>
      </c>
      <c r="CE623">
        <f>$C623*CE622</f>
        <v/>
      </c>
      <c r="CF623">
        <f>$C623*CF622</f>
        <v/>
      </c>
      <c r="CG623">
        <f>$C623*CG622</f>
        <v/>
      </c>
      <c r="CH623">
        <f>$C623*CH622</f>
        <v/>
      </c>
      <c r="CI623">
        <f>$C623*CI622</f>
        <v/>
      </c>
      <c r="CJ623">
        <f>$C623*CJ622</f>
        <v/>
      </c>
      <c r="CK623">
        <f>$C623*CK622</f>
        <v/>
      </c>
      <c r="CL623">
        <f>$C623*CL622</f>
        <v/>
      </c>
      <c r="CM623">
        <f>$C623*CM622</f>
        <v/>
      </c>
      <c r="CN623">
        <f>$C623*CN622</f>
        <v/>
      </c>
      <c r="CO623">
        <f>$C623*CO622</f>
        <v/>
      </c>
      <c r="CP623">
        <f>$C623*CP622</f>
        <v/>
      </c>
      <c r="CQ623">
        <f>$C623*CQ622</f>
        <v/>
      </c>
      <c r="CR623">
        <f>$C623*CR622</f>
        <v/>
      </c>
      <c r="CS623">
        <f>$C623*CS622</f>
        <v/>
      </c>
      <c r="CT623">
        <f>$C623*CT622</f>
        <v/>
      </c>
      <c r="CU623">
        <f>$C623*CU622</f>
        <v/>
      </c>
      <c r="CV623">
        <f>$C623*CV622</f>
        <v/>
      </c>
      <c r="CW623">
        <f>$C623*CW622</f>
        <v/>
      </c>
      <c r="CX623">
        <f>$C623*CX622</f>
        <v/>
      </c>
      <c r="CY623">
        <f>$C623*CY622</f>
        <v/>
      </c>
      <c r="CZ623">
        <f>$C623*CZ622</f>
        <v/>
      </c>
      <c r="DA623">
        <f>$C623*DA622</f>
        <v/>
      </c>
      <c r="DB623">
        <f>$C623*DB622</f>
        <v/>
      </c>
      <c r="DC623">
        <f>$C623*DC622</f>
        <v/>
      </c>
    </row>
    <row r="624">
      <c r="B624" t="inlineStr">
        <is>
          <t>TSP-936</t>
        </is>
      </c>
      <c r="C624" t="inlineStr">
        <is>
          <t>No. of batches</t>
        </is>
      </c>
      <c r="D624">
        <f>IFERROR(INDEX(PP_Grid[#Data],$DD624,2),0)</f>
        <v/>
      </c>
      <c r="E624">
        <f>IFERROR(INDEX(PP_Grid[#Data],$DD624,3),0)</f>
        <v/>
      </c>
      <c r="F624">
        <f>IFERROR(INDEX(PP_Grid[#Data],$DD624,4),0)</f>
        <v/>
      </c>
      <c r="G624">
        <f>IFERROR(INDEX(PP_Grid[#Data],$DD624,5),0)</f>
        <v/>
      </c>
      <c r="H624">
        <f>IFERROR(INDEX(PP_Grid[#Data],$DD624,6),0)</f>
        <v/>
      </c>
      <c r="I624">
        <f>IFERROR(INDEX(PP_Grid[#Data],$DD624,7),0)</f>
        <v/>
      </c>
      <c r="J624">
        <f>IFERROR(INDEX(PP_Grid[#Data],$DD624,8),0)</f>
        <v/>
      </c>
      <c r="K624">
        <f>IFERROR(INDEX(PP_Grid[#Data],$DD624,9),0)</f>
        <v/>
      </c>
      <c r="L624">
        <f>IFERROR(INDEX(PP_Grid[#Data],$DD624,10),0)</f>
        <v/>
      </c>
      <c r="M624">
        <f>IFERROR(INDEX(PP_Grid[#Data],$DD624,11),0)</f>
        <v/>
      </c>
      <c r="N624">
        <f>IFERROR(INDEX(PP_Grid[#Data],$DD624,12),0)</f>
        <v/>
      </c>
      <c r="O624">
        <f>IFERROR(INDEX(PP_Grid[#Data],$DD624,13),0)</f>
        <v/>
      </c>
      <c r="P624">
        <f>IFERROR(INDEX(PP_Grid[#Data],$DD624,14),0)</f>
        <v/>
      </c>
      <c r="Q624">
        <f>IFERROR(INDEX(PP_Grid[#Data],$DD624,15),0)</f>
        <v/>
      </c>
      <c r="R624">
        <f>IFERROR(INDEX(PP_Grid[#Data],$DD624,16),0)</f>
        <v/>
      </c>
      <c r="S624">
        <f>IFERROR(INDEX(PP_Grid[#Data],$DD624,17),0)</f>
        <v/>
      </c>
      <c r="T624">
        <f>IFERROR(INDEX(PP_Grid[#Data],$DD624,18),0)</f>
        <v/>
      </c>
      <c r="U624">
        <f>IFERROR(INDEX(PP_Grid[#Data],$DD624,19),0)</f>
        <v/>
      </c>
      <c r="V624">
        <f>IFERROR(INDEX(PP_Grid[#Data],$DD624,20),0)</f>
        <v/>
      </c>
      <c r="W624">
        <f>IFERROR(INDEX(PP_Grid[#Data],$DD624,21),0)</f>
        <v/>
      </c>
      <c r="X624">
        <f>IFERROR(INDEX(PP_Grid[#Data],$DD624,22),0)</f>
        <v/>
      </c>
      <c r="Y624">
        <f>IFERROR(INDEX(PP_Grid[#Data],$DD624,23),0)</f>
        <v/>
      </c>
      <c r="Z624">
        <f>IFERROR(INDEX(PP_Grid[#Data],$DD624,24),0)</f>
        <v/>
      </c>
      <c r="AA624">
        <f>IFERROR(INDEX(PP_Grid[#Data],$DD624,25),0)</f>
        <v/>
      </c>
      <c r="AB624">
        <f>IFERROR(INDEX(PP_Grid[#Data],$DD624,26),0)</f>
        <v/>
      </c>
      <c r="AC624">
        <f>IFERROR(INDEX(PP_Grid[#Data],$DD624,27),0)</f>
        <v/>
      </c>
      <c r="AD624">
        <f>IFERROR(INDEX(PP_Grid[#Data],$DD624,28),0)</f>
        <v/>
      </c>
      <c r="AE624">
        <f>IFERROR(INDEX(PP_Grid[#Data],$DD624,29),0)</f>
        <v/>
      </c>
      <c r="AF624">
        <f>IFERROR(INDEX(PP_Grid[#Data],$DD624,30),0)</f>
        <v/>
      </c>
      <c r="AG624">
        <f>IFERROR(INDEX(PP_Grid[#Data],$DD624,31),0)</f>
        <v/>
      </c>
      <c r="AH624">
        <f>IFERROR(INDEX(PP_Grid[#Data],$DD624,32),0)</f>
        <v/>
      </c>
      <c r="AI624">
        <f>IFERROR(INDEX(PP_Grid[#Data],$DD624,33),0)</f>
        <v/>
      </c>
      <c r="AJ624">
        <f>IFERROR(INDEX(PP_Grid[#Data],$DD624,34),0)</f>
        <v/>
      </c>
      <c r="AK624">
        <f>IFERROR(INDEX(PP_Grid[#Data],$DD624,35),0)</f>
        <v/>
      </c>
      <c r="AL624">
        <f>IFERROR(INDEX(PP_Grid[#Data],$DD624,36),0)</f>
        <v/>
      </c>
      <c r="AM624">
        <f>IFERROR(INDEX(PP_Grid[#Data],$DD624,37),0)</f>
        <v/>
      </c>
      <c r="AN624">
        <f>IFERROR(INDEX(PP_Grid[#Data],$DD624,38),0)</f>
        <v/>
      </c>
      <c r="AO624">
        <f>IFERROR(INDEX(PP_Grid[#Data],$DD624,39),0)</f>
        <v/>
      </c>
      <c r="AP624">
        <f>IFERROR(INDEX(PP_Grid[#Data],$DD624,40),0)</f>
        <v/>
      </c>
      <c r="AQ624">
        <f>IFERROR(INDEX(PP_Grid[#Data],$DD624,41),0)</f>
        <v/>
      </c>
      <c r="AR624">
        <f>IFERROR(INDEX(PP_Grid[#Data],$DD624,42),0)</f>
        <v/>
      </c>
      <c r="AS624">
        <f>IFERROR(INDEX(PP_Grid[#Data],$DD624,43),0)</f>
        <v/>
      </c>
      <c r="AT624">
        <f>IFERROR(INDEX(PP_Grid[#Data],$DD624,44),0)</f>
        <v/>
      </c>
      <c r="AU624">
        <f>IFERROR(INDEX(PP_Grid[#Data],$DD624,45),0)</f>
        <v/>
      </c>
      <c r="AV624">
        <f>IFERROR(INDEX(PP_Grid[#Data],$DD624,46),0)</f>
        <v/>
      </c>
      <c r="AW624">
        <f>IFERROR(INDEX(PP_Grid[#Data],$DD624,47),0)</f>
        <v/>
      </c>
      <c r="AX624">
        <f>IFERROR(INDEX(PP_Grid[#Data],$DD624,48),0)</f>
        <v/>
      </c>
      <c r="AY624">
        <f>IFERROR(INDEX(PP_Grid[#Data],$DD624,49),0)</f>
        <v/>
      </c>
      <c r="AZ624">
        <f>IFERROR(INDEX(PP_Grid[#Data],$DD624,50),0)</f>
        <v/>
      </c>
      <c r="BA624">
        <f>IFERROR(INDEX(PP_Grid[#Data],$DD624,51),0)</f>
        <v/>
      </c>
      <c r="BB624">
        <f>IFERROR(INDEX(PP_Grid[#Data],$DD624,52),0)</f>
        <v/>
      </c>
      <c r="BC624">
        <f>IFERROR(INDEX(PP_Grid[#Data],$DD624,53),0)</f>
        <v/>
      </c>
      <c r="BD624">
        <f>IFERROR(INDEX(PP_Grid[#Data],$DD624,54),0)</f>
        <v/>
      </c>
      <c r="BE624">
        <f>IFERROR(INDEX(PP_Grid[#Data],$DD624,55),0)</f>
        <v/>
      </c>
      <c r="BF624">
        <f>IFERROR(INDEX(PP_Grid[#Data],$DD624,56),0)</f>
        <v/>
      </c>
      <c r="BG624">
        <f>IFERROR(INDEX(PP_Grid[#Data],$DD624,57),0)</f>
        <v/>
      </c>
      <c r="BH624">
        <f>IFERROR(INDEX(PP_Grid[#Data],$DD624,58),0)</f>
        <v/>
      </c>
      <c r="BI624">
        <f>IFERROR(INDEX(PP_Grid[#Data],$DD624,59),0)</f>
        <v/>
      </c>
      <c r="BJ624">
        <f>IFERROR(INDEX(PP_Grid[#Data],$DD624,60),0)</f>
        <v/>
      </c>
      <c r="BK624">
        <f>IFERROR(INDEX(PP_Grid[#Data],$DD624,61),0)</f>
        <v/>
      </c>
      <c r="BL624">
        <f>IFERROR(INDEX(PP_Grid[#Data],$DD624,62),0)</f>
        <v/>
      </c>
      <c r="BM624">
        <f>IFERROR(INDEX(PP_Grid[#Data],$DD624,63),0)</f>
        <v/>
      </c>
      <c r="BN624">
        <f>IFERROR(INDEX(PP_Grid[#Data],$DD624,64),0)</f>
        <v/>
      </c>
      <c r="BO624">
        <f>IFERROR(INDEX(PP_Grid[#Data],$DD624,65),0)</f>
        <v/>
      </c>
      <c r="BP624">
        <f>IFERROR(INDEX(PP_Grid[#Data],$DD624,66),0)</f>
        <v/>
      </c>
      <c r="BQ624">
        <f>IFERROR(INDEX(PP_Grid[#Data],$DD624,67),0)</f>
        <v/>
      </c>
      <c r="BR624">
        <f>IFERROR(INDEX(PP_Grid[#Data],$DD624,68),0)</f>
        <v/>
      </c>
      <c r="BS624">
        <f>IFERROR(INDEX(PP_Grid[#Data],$DD624,69),0)</f>
        <v/>
      </c>
      <c r="BT624">
        <f>IFERROR(INDEX(PP_Grid[#Data],$DD624,70),0)</f>
        <v/>
      </c>
      <c r="BU624">
        <f>IFERROR(INDEX(PP_Grid[#Data],$DD624,71),0)</f>
        <v/>
      </c>
      <c r="BV624">
        <f>IFERROR(INDEX(PP_Grid[#Data],$DD624,72),0)</f>
        <v/>
      </c>
      <c r="BW624">
        <f>IFERROR(INDEX(PP_Grid[#Data],$DD624,73),0)</f>
        <v/>
      </c>
      <c r="BX624">
        <f>IFERROR(INDEX(PP_Grid[#Data],$DD624,74),0)</f>
        <v/>
      </c>
      <c r="BY624">
        <f>IFERROR(INDEX(PP_Grid[#Data],$DD624,75),0)</f>
        <v/>
      </c>
      <c r="BZ624">
        <f>IFERROR(INDEX(PP_Grid[#Data],$DD624,76),0)</f>
        <v/>
      </c>
      <c r="CA624">
        <f>IFERROR(INDEX(PP_Grid[#Data],$DD624,77),0)</f>
        <v/>
      </c>
      <c r="CB624">
        <f>IFERROR(INDEX(PP_Grid[#Data],$DD624,78),0)</f>
        <v/>
      </c>
      <c r="CC624">
        <f>IFERROR(INDEX(PP_Grid[#Data],$DD624,79),0)</f>
        <v/>
      </c>
      <c r="CD624">
        <f>IFERROR(INDEX(PP_Grid[#Data],$DD624,80),0)</f>
        <v/>
      </c>
      <c r="CE624">
        <f>IFERROR(INDEX(PP_Grid[#Data],$DD624,81),0)</f>
        <v/>
      </c>
      <c r="CF624">
        <f>IFERROR(INDEX(PP_Grid[#Data],$DD624,82),0)</f>
        <v/>
      </c>
      <c r="CG624">
        <f>IFERROR(INDEX(PP_Grid[#Data],$DD624,83),0)</f>
        <v/>
      </c>
      <c r="CH624">
        <f>IFERROR(INDEX(PP_Grid[#Data],$DD624,84),0)</f>
        <v/>
      </c>
      <c r="CI624">
        <f>IFERROR(INDEX(PP_Grid[#Data],$DD624,85),0)</f>
        <v/>
      </c>
      <c r="CJ624">
        <f>IFERROR(INDEX(PP_Grid[#Data],$DD624,86),0)</f>
        <v/>
      </c>
      <c r="CK624">
        <f>IFERROR(INDEX(PP_Grid[#Data],$DD624,87),0)</f>
        <v/>
      </c>
      <c r="CL624">
        <f>IFERROR(INDEX(PP_Grid[#Data],$DD624,88),0)</f>
        <v/>
      </c>
      <c r="CM624">
        <f>IFERROR(INDEX(PP_Grid[#Data],$DD624,89),0)</f>
        <v/>
      </c>
      <c r="CN624">
        <f>IFERROR(INDEX(PP_Grid[#Data],$DD624,90),0)</f>
        <v/>
      </c>
      <c r="CO624">
        <f>IFERROR(INDEX(PP_Grid[#Data],$DD624,91),0)</f>
        <v/>
      </c>
      <c r="CP624">
        <f>IFERROR(INDEX(PP_Grid[#Data],$DD624,92),0)</f>
        <v/>
      </c>
      <c r="CQ624">
        <f>IFERROR(INDEX(PP_Grid[#Data],$DD624,93),0)</f>
        <v/>
      </c>
      <c r="CR624">
        <f>IFERROR(INDEX(PP_Grid[#Data],$DD624,94),0)</f>
        <v/>
      </c>
      <c r="CS624">
        <f>IFERROR(INDEX(PP_Grid[#Data],$DD624,95),0)</f>
        <v/>
      </c>
      <c r="CT624">
        <f>IFERROR(INDEX(PP_Grid[#Data],$DD624,96),0)</f>
        <v/>
      </c>
      <c r="CU624">
        <f>IFERROR(INDEX(PP_Grid[#Data],$DD624,97),0)</f>
        <v/>
      </c>
      <c r="CV624">
        <f>IFERROR(INDEX(PP_Grid[#Data],$DD624,98),0)</f>
        <v/>
      </c>
      <c r="CW624">
        <f>IFERROR(INDEX(PP_Grid[#Data],$DD624,99),0)</f>
        <v/>
      </c>
      <c r="CX624">
        <f>IFERROR(INDEX(PP_Grid[#Data],$DD624,100),0)</f>
        <v/>
      </c>
      <c r="CY624">
        <f>IFERROR(INDEX(PP_Grid[#Data],$DD624,101),0)</f>
        <v/>
      </c>
      <c r="CZ624">
        <f>IFERROR(INDEX(PP_Grid[#Data],$DD624,102),0)</f>
        <v/>
      </c>
      <c r="DA624">
        <f>IFERROR(INDEX(PP_Grid[#Data],$DD624,103),0)</f>
        <v/>
      </c>
      <c r="DB624">
        <f>IFERROR(INDEX(PP_Grid[#Data],$DD624,104),0)</f>
        <v/>
      </c>
      <c r="DC624">
        <f>IFERROR(INDEX(PP_Grid[#Data],$DD624,105),0)</f>
        <v/>
      </c>
      <c r="DD624" s="12">
        <f>IFERROR(MATCH($B624,PP_Grid[Intermediate],0),99999)</f>
        <v/>
      </c>
    </row>
    <row r="625">
      <c r="B625" t="inlineStr">
        <is>
          <t>使用量(kg)</t>
        </is>
      </c>
      <c r="C625">
        <f>SUMIFS(M_BOM[RM_Qty_Per_Batch],M_BOM[Intermediate],$B624,M_BOM[Part Name],$A601)</f>
        <v/>
      </c>
      <c r="D625">
        <f>$C625*D624</f>
        <v/>
      </c>
      <c r="E625">
        <f>$C625*E624</f>
        <v/>
      </c>
      <c r="F625">
        <f>$C625*F624</f>
        <v/>
      </c>
      <c r="G625">
        <f>$C625*G624</f>
        <v/>
      </c>
      <c r="H625">
        <f>$C625*H624</f>
        <v/>
      </c>
      <c r="I625">
        <f>$C625*I624</f>
        <v/>
      </c>
      <c r="J625">
        <f>$C625*J624</f>
        <v/>
      </c>
      <c r="K625">
        <f>$C625*K624</f>
        <v/>
      </c>
      <c r="L625">
        <f>$C625*L624</f>
        <v/>
      </c>
      <c r="M625">
        <f>$C625*M624</f>
        <v/>
      </c>
      <c r="N625">
        <f>$C625*N624</f>
        <v/>
      </c>
      <c r="O625">
        <f>$C625*O624</f>
        <v/>
      </c>
      <c r="P625">
        <f>$C625*P624</f>
        <v/>
      </c>
      <c r="Q625">
        <f>$C625*Q624</f>
        <v/>
      </c>
      <c r="R625">
        <f>$C625*R624</f>
        <v/>
      </c>
      <c r="S625">
        <f>$C625*S624</f>
        <v/>
      </c>
      <c r="T625">
        <f>$C625*T624</f>
        <v/>
      </c>
      <c r="U625">
        <f>$C625*U624</f>
        <v/>
      </c>
      <c r="V625">
        <f>$C625*V624</f>
        <v/>
      </c>
      <c r="W625">
        <f>$C625*W624</f>
        <v/>
      </c>
      <c r="X625">
        <f>$C625*X624</f>
        <v/>
      </c>
      <c r="Y625">
        <f>$C625*Y624</f>
        <v/>
      </c>
      <c r="Z625">
        <f>$C625*Z624</f>
        <v/>
      </c>
      <c r="AA625">
        <f>$C625*AA624</f>
        <v/>
      </c>
      <c r="AB625">
        <f>$C625*AB624</f>
        <v/>
      </c>
      <c r="AC625">
        <f>$C625*AC624</f>
        <v/>
      </c>
      <c r="AD625">
        <f>$C625*AD624</f>
        <v/>
      </c>
      <c r="AE625">
        <f>$C625*AE624</f>
        <v/>
      </c>
      <c r="AF625">
        <f>$C625*AF624</f>
        <v/>
      </c>
      <c r="AG625">
        <f>$C625*AG624</f>
        <v/>
      </c>
      <c r="AH625">
        <f>$C625*AH624</f>
        <v/>
      </c>
      <c r="AI625">
        <f>$C625*AI624</f>
        <v/>
      </c>
      <c r="AJ625">
        <f>$C625*AJ624</f>
        <v/>
      </c>
      <c r="AK625">
        <f>$C625*AK624</f>
        <v/>
      </c>
      <c r="AL625">
        <f>$C625*AL624</f>
        <v/>
      </c>
      <c r="AM625">
        <f>$C625*AM624</f>
        <v/>
      </c>
      <c r="AN625">
        <f>$C625*AN624</f>
        <v/>
      </c>
      <c r="AO625">
        <f>$C625*AO624</f>
        <v/>
      </c>
      <c r="AP625">
        <f>$C625*AP624</f>
        <v/>
      </c>
      <c r="AQ625">
        <f>$C625*AQ624</f>
        <v/>
      </c>
      <c r="AR625">
        <f>$C625*AR624</f>
        <v/>
      </c>
      <c r="AS625">
        <f>$C625*AS624</f>
        <v/>
      </c>
      <c r="AT625">
        <f>$C625*AT624</f>
        <v/>
      </c>
      <c r="AU625">
        <f>$C625*AU624</f>
        <v/>
      </c>
      <c r="AV625">
        <f>$C625*AV624</f>
        <v/>
      </c>
      <c r="AW625">
        <f>$C625*AW624</f>
        <v/>
      </c>
      <c r="AX625">
        <f>$C625*AX624</f>
        <v/>
      </c>
      <c r="AY625">
        <f>$C625*AY624</f>
        <v/>
      </c>
      <c r="AZ625">
        <f>$C625*AZ624</f>
        <v/>
      </c>
      <c r="BA625">
        <f>$C625*BA624</f>
        <v/>
      </c>
      <c r="BB625">
        <f>$C625*BB624</f>
        <v/>
      </c>
      <c r="BC625">
        <f>$C625*BC624</f>
        <v/>
      </c>
      <c r="BD625">
        <f>$C625*BD624</f>
        <v/>
      </c>
      <c r="BE625">
        <f>$C625*BE624</f>
        <v/>
      </c>
      <c r="BF625">
        <f>$C625*BF624</f>
        <v/>
      </c>
      <c r="BG625">
        <f>$C625*BG624</f>
        <v/>
      </c>
      <c r="BH625">
        <f>$C625*BH624</f>
        <v/>
      </c>
      <c r="BI625">
        <f>$C625*BI624</f>
        <v/>
      </c>
      <c r="BJ625">
        <f>$C625*BJ624</f>
        <v/>
      </c>
      <c r="BK625">
        <f>$C625*BK624</f>
        <v/>
      </c>
      <c r="BL625">
        <f>$C625*BL624</f>
        <v/>
      </c>
      <c r="BM625">
        <f>$C625*BM624</f>
        <v/>
      </c>
      <c r="BN625">
        <f>$C625*BN624</f>
        <v/>
      </c>
      <c r="BO625">
        <f>$C625*BO624</f>
        <v/>
      </c>
      <c r="BP625">
        <f>$C625*BP624</f>
        <v/>
      </c>
      <c r="BQ625">
        <f>$C625*BQ624</f>
        <v/>
      </c>
      <c r="BR625">
        <f>$C625*BR624</f>
        <v/>
      </c>
      <c r="BS625">
        <f>$C625*BS624</f>
        <v/>
      </c>
      <c r="BT625">
        <f>$C625*BT624</f>
        <v/>
      </c>
      <c r="BU625">
        <f>$C625*BU624</f>
        <v/>
      </c>
      <c r="BV625">
        <f>$C625*BV624</f>
        <v/>
      </c>
      <c r="BW625">
        <f>$C625*BW624</f>
        <v/>
      </c>
      <c r="BX625">
        <f>$C625*BX624</f>
        <v/>
      </c>
      <c r="BY625">
        <f>$C625*BY624</f>
        <v/>
      </c>
      <c r="BZ625">
        <f>$C625*BZ624</f>
        <v/>
      </c>
      <c r="CA625">
        <f>$C625*CA624</f>
        <v/>
      </c>
      <c r="CB625">
        <f>$C625*CB624</f>
        <v/>
      </c>
      <c r="CC625">
        <f>$C625*CC624</f>
        <v/>
      </c>
      <c r="CD625">
        <f>$C625*CD624</f>
        <v/>
      </c>
      <c r="CE625">
        <f>$C625*CE624</f>
        <v/>
      </c>
      <c r="CF625">
        <f>$C625*CF624</f>
        <v/>
      </c>
      <c r="CG625">
        <f>$C625*CG624</f>
        <v/>
      </c>
      <c r="CH625">
        <f>$C625*CH624</f>
        <v/>
      </c>
      <c r="CI625">
        <f>$C625*CI624</f>
        <v/>
      </c>
      <c r="CJ625">
        <f>$C625*CJ624</f>
        <v/>
      </c>
      <c r="CK625">
        <f>$C625*CK624</f>
        <v/>
      </c>
      <c r="CL625">
        <f>$C625*CL624</f>
        <v/>
      </c>
      <c r="CM625">
        <f>$C625*CM624</f>
        <v/>
      </c>
      <c r="CN625">
        <f>$C625*CN624</f>
        <v/>
      </c>
      <c r="CO625">
        <f>$C625*CO624</f>
        <v/>
      </c>
      <c r="CP625">
        <f>$C625*CP624</f>
        <v/>
      </c>
      <c r="CQ625">
        <f>$C625*CQ624</f>
        <v/>
      </c>
      <c r="CR625">
        <f>$C625*CR624</f>
        <v/>
      </c>
      <c r="CS625">
        <f>$C625*CS624</f>
        <v/>
      </c>
      <c r="CT625">
        <f>$C625*CT624</f>
        <v/>
      </c>
      <c r="CU625">
        <f>$C625*CU624</f>
        <v/>
      </c>
      <c r="CV625">
        <f>$C625*CV624</f>
        <v/>
      </c>
      <c r="CW625">
        <f>$C625*CW624</f>
        <v/>
      </c>
      <c r="CX625">
        <f>$C625*CX624</f>
        <v/>
      </c>
      <c r="CY625">
        <f>$C625*CY624</f>
        <v/>
      </c>
      <c r="CZ625">
        <f>$C625*CZ624</f>
        <v/>
      </c>
      <c r="DA625">
        <f>$C625*DA624</f>
        <v/>
      </c>
      <c r="DB625">
        <f>$C625*DB624</f>
        <v/>
      </c>
      <c r="DC625">
        <f>$C625*DC624</f>
        <v/>
      </c>
    </row>
    <row r="626">
      <c r="B626" t="inlineStr">
        <is>
          <t>TSP-937</t>
        </is>
      </c>
      <c r="C626" t="inlineStr">
        <is>
          <t>No. of batches</t>
        </is>
      </c>
      <c r="D626">
        <f>IFERROR(INDEX(PP_Grid[#Data],$DD626,2),0)</f>
        <v/>
      </c>
      <c r="E626">
        <f>IFERROR(INDEX(PP_Grid[#Data],$DD626,3),0)</f>
        <v/>
      </c>
      <c r="F626">
        <f>IFERROR(INDEX(PP_Grid[#Data],$DD626,4),0)</f>
        <v/>
      </c>
      <c r="G626">
        <f>IFERROR(INDEX(PP_Grid[#Data],$DD626,5),0)</f>
        <v/>
      </c>
      <c r="H626">
        <f>IFERROR(INDEX(PP_Grid[#Data],$DD626,6),0)</f>
        <v/>
      </c>
      <c r="I626">
        <f>IFERROR(INDEX(PP_Grid[#Data],$DD626,7),0)</f>
        <v/>
      </c>
      <c r="J626">
        <f>IFERROR(INDEX(PP_Grid[#Data],$DD626,8),0)</f>
        <v/>
      </c>
      <c r="K626">
        <f>IFERROR(INDEX(PP_Grid[#Data],$DD626,9),0)</f>
        <v/>
      </c>
      <c r="L626">
        <f>IFERROR(INDEX(PP_Grid[#Data],$DD626,10),0)</f>
        <v/>
      </c>
      <c r="M626">
        <f>IFERROR(INDEX(PP_Grid[#Data],$DD626,11),0)</f>
        <v/>
      </c>
      <c r="N626">
        <f>IFERROR(INDEX(PP_Grid[#Data],$DD626,12),0)</f>
        <v/>
      </c>
      <c r="O626">
        <f>IFERROR(INDEX(PP_Grid[#Data],$DD626,13),0)</f>
        <v/>
      </c>
      <c r="P626">
        <f>IFERROR(INDEX(PP_Grid[#Data],$DD626,14),0)</f>
        <v/>
      </c>
      <c r="Q626">
        <f>IFERROR(INDEX(PP_Grid[#Data],$DD626,15),0)</f>
        <v/>
      </c>
      <c r="R626">
        <f>IFERROR(INDEX(PP_Grid[#Data],$DD626,16),0)</f>
        <v/>
      </c>
      <c r="S626">
        <f>IFERROR(INDEX(PP_Grid[#Data],$DD626,17),0)</f>
        <v/>
      </c>
      <c r="T626">
        <f>IFERROR(INDEX(PP_Grid[#Data],$DD626,18),0)</f>
        <v/>
      </c>
      <c r="U626">
        <f>IFERROR(INDEX(PP_Grid[#Data],$DD626,19),0)</f>
        <v/>
      </c>
      <c r="V626">
        <f>IFERROR(INDEX(PP_Grid[#Data],$DD626,20),0)</f>
        <v/>
      </c>
      <c r="W626">
        <f>IFERROR(INDEX(PP_Grid[#Data],$DD626,21),0)</f>
        <v/>
      </c>
      <c r="X626">
        <f>IFERROR(INDEX(PP_Grid[#Data],$DD626,22),0)</f>
        <v/>
      </c>
      <c r="Y626">
        <f>IFERROR(INDEX(PP_Grid[#Data],$DD626,23),0)</f>
        <v/>
      </c>
      <c r="Z626">
        <f>IFERROR(INDEX(PP_Grid[#Data],$DD626,24),0)</f>
        <v/>
      </c>
      <c r="AA626">
        <f>IFERROR(INDEX(PP_Grid[#Data],$DD626,25),0)</f>
        <v/>
      </c>
      <c r="AB626">
        <f>IFERROR(INDEX(PP_Grid[#Data],$DD626,26),0)</f>
        <v/>
      </c>
      <c r="AC626">
        <f>IFERROR(INDEX(PP_Grid[#Data],$DD626,27),0)</f>
        <v/>
      </c>
      <c r="AD626">
        <f>IFERROR(INDEX(PP_Grid[#Data],$DD626,28),0)</f>
        <v/>
      </c>
      <c r="AE626">
        <f>IFERROR(INDEX(PP_Grid[#Data],$DD626,29),0)</f>
        <v/>
      </c>
      <c r="AF626">
        <f>IFERROR(INDEX(PP_Grid[#Data],$DD626,30),0)</f>
        <v/>
      </c>
      <c r="AG626">
        <f>IFERROR(INDEX(PP_Grid[#Data],$DD626,31),0)</f>
        <v/>
      </c>
      <c r="AH626">
        <f>IFERROR(INDEX(PP_Grid[#Data],$DD626,32),0)</f>
        <v/>
      </c>
      <c r="AI626">
        <f>IFERROR(INDEX(PP_Grid[#Data],$DD626,33),0)</f>
        <v/>
      </c>
      <c r="AJ626">
        <f>IFERROR(INDEX(PP_Grid[#Data],$DD626,34),0)</f>
        <v/>
      </c>
      <c r="AK626">
        <f>IFERROR(INDEX(PP_Grid[#Data],$DD626,35),0)</f>
        <v/>
      </c>
      <c r="AL626">
        <f>IFERROR(INDEX(PP_Grid[#Data],$DD626,36),0)</f>
        <v/>
      </c>
      <c r="AM626">
        <f>IFERROR(INDEX(PP_Grid[#Data],$DD626,37),0)</f>
        <v/>
      </c>
      <c r="AN626">
        <f>IFERROR(INDEX(PP_Grid[#Data],$DD626,38),0)</f>
        <v/>
      </c>
      <c r="AO626">
        <f>IFERROR(INDEX(PP_Grid[#Data],$DD626,39),0)</f>
        <v/>
      </c>
      <c r="AP626">
        <f>IFERROR(INDEX(PP_Grid[#Data],$DD626,40),0)</f>
        <v/>
      </c>
      <c r="AQ626">
        <f>IFERROR(INDEX(PP_Grid[#Data],$DD626,41),0)</f>
        <v/>
      </c>
      <c r="AR626">
        <f>IFERROR(INDEX(PP_Grid[#Data],$DD626,42),0)</f>
        <v/>
      </c>
      <c r="AS626">
        <f>IFERROR(INDEX(PP_Grid[#Data],$DD626,43),0)</f>
        <v/>
      </c>
      <c r="AT626">
        <f>IFERROR(INDEX(PP_Grid[#Data],$DD626,44),0)</f>
        <v/>
      </c>
      <c r="AU626">
        <f>IFERROR(INDEX(PP_Grid[#Data],$DD626,45),0)</f>
        <v/>
      </c>
      <c r="AV626">
        <f>IFERROR(INDEX(PP_Grid[#Data],$DD626,46),0)</f>
        <v/>
      </c>
      <c r="AW626">
        <f>IFERROR(INDEX(PP_Grid[#Data],$DD626,47),0)</f>
        <v/>
      </c>
      <c r="AX626">
        <f>IFERROR(INDEX(PP_Grid[#Data],$DD626,48),0)</f>
        <v/>
      </c>
      <c r="AY626">
        <f>IFERROR(INDEX(PP_Grid[#Data],$DD626,49),0)</f>
        <v/>
      </c>
      <c r="AZ626">
        <f>IFERROR(INDEX(PP_Grid[#Data],$DD626,50),0)</f>
        <v/>
      </c>
      <c r="BA626">
        <f>IFERROR(INDEX(PP_Grid[#Data],$DD626,51),0)</f>
        <v/>
      </c>
      <c r="BB626">
        <f>IFERROR(INDEX(PP_Grid[#Data],$DD626,52),0)</f>
        <v/>
      </c>
      <c r="BC626">
        <f>IFERROR(INDEX(PP_Grid[#Data],$DD626,53),0)</f>
        <v/>
      </c>
      <c r="BD626">
        <f>IFERROR(INDEX(PP_Grid[#Data],$DD626,54),0)</f>
        <v/>
      </c>
      <c r="BE626">
        <f>IFERROR(INDEX(PP_Grid[#Data],$DD626,55),0)</f>
        <v/>
      </c>
      <c r="BF626">
        <f>IFERROR(INDEX(PP_Grid[#Data],$DD626,56),0)</f>
        <v/>
      </c>
      <c r="BG626">
        <f>IFERROR(INDEX(PP_Grid[#Data],$DD626,57),0)</f>
        <v/>
      </c>
      <c r="BH626">
        <f>IFERROR(INDEX(PP_Grid[#Data],$DD626,58),0)</f>
        <v/>
      </c>
      <c r="BI626">
        <f>IFERROR(INDEX(PP_Grid[#Data],$DD626,59),0)</f>
        <v/>
      </c>
      <c r="BJ626">
        <f>IFERROR(INDEX(PP_Grid[#Data],$DD626,60),0)</f>
        <v/>
      </c>
      <c r="BK626">
        <f>IFERROR(INDEX(PP_Grid[#Data],$DD626,61),0)</f>
        <v/>
      </c>
      <c r="BL626">
        <f>IFERROR(INDEX(PP_Grid[#Data],$DD626,62),0)</f>
        <v/>
      </c>
      <c r="BM626">
        <f>IFERROR(INDEX(PP_Grid[#Data],$DD626,63),0)</f>
        <v/>
      </c>
      <c r="BN626">
        <f>IFERROR(INDEX(PP_Grid[#Data],$DD626,64),0)</f>
        <v/>
      </c>
      <c r="BO626">
        <f>IFERROR(INDEX(PP_Grid[#Data],$DD626,65),0)</f>
        <v/>
      </c>
      <c r="BP626">
        <f>IFERROR(INDEX(PP_Grid[#Data],$DD626,66),0)</f>
        <v/>
      </c>
      <c r="BQ626">
        <f>IFERROR(INDEX(PP_Grid[#Data],$DD626,67),0)</f>
        <v/>
      </c>
      <c r="BR626">
        <f>IFERROR(INDEX(PP_Grid[#Data],$DD626,68),0)</f>
        <v/>
      </c>
      <c r="BS626">
        <f>IFERROR(INDEX(PP_Grid[#Data],$DD626,69),0)</f>
        <v/>
      </c>
      <c r="BT626">
        <f>IFERROR(INDEX(PP_Grid[#Data],$DD626,70),0)</f>
        <v/>
      </c>
      <c r="BU626">
        <f>IFERROR(INDEX(PP_Grid[#Data],$DD626,71),0)</f>
        <v/>
      </c>
      <c r="BV626">
        <f>IFERROR(INDEX(PP_Grid[#Data],$DD626,72),0)</f>
        <v/>
      </c>
      <c r="BW626">
        <f>IFERROR(INDEX(PP_Grid[#Data],$DD626,73),0)</f>
        <v/>
      </c>
      <c r="BX626">
        <f>IFERROR(INDEX(PP_Grid[#Data],$DD626,74),0)</f>
        <v/>
      </c>
      <c r="BY626">
        <f>IFERROR(INDEX(PP_Grid[#Data],$DD626,75),0)</f>
        <v/>
      </c>
      <c r="BZ626">
        <f>IFERROR(INDEX(PP_Grid[#Data],$DD626,76),0)</f>
        <v/>
      </c>
      <c r="CA626">
        <f>IFERROR(INDEX(PP_Grid[#Data],$DD626,77),0)</f>
        <v/>
      </c>
      <c r="CB626">
        <f>IFERROR(INDEX(PP_Grid[#Data],$DD626,78),0)</f>
        <v/>
      </c>
      <c r="CC626">
        <f>IFERROR(INDEX(PP_Grid[#Data],$DD626,79),0)</f>
        <v/>
      </c>
      <c r="CD626">
        <f>IFERROR(INDEX(PP_Grid[#Data],$DD626,80),0)</f>
        <v/>
      </c>
      <c r="CE626">
        <f>IFERROR(INDEX(PP_Grid[#Data],$DD626,81),0)</f>
        <v/>
      </c>
      <c r="CF626">
        <f>IFERROR(INDEX(PP_Grid[#Data],$DD626,82),0)</f>
        <v/>
      </c>
      <c r="CG626">
        <f>IFERROR(INDEX(PP_Grid[#Data],$DD626,83),0)</f>
        <v/>
      </c>
      <c r="CH626">
        <f>IFERROR(INDEX(PP_Grid[#Data],$DD626,84),0)</f>
        <v/>
      </c>
      <c r="CI626">
        <f>IFERROR(INDEX(PP_Grid[#Data],$DD626,85),0)</f>
        <v/>
      </c>
      <c r="CJ626">
        <f>IFERROR(INDEX(PP_Grid[#Data],$DD626,86),0)</f>
        <v/>
      </c>
      <c r="CK626">
        <f>IFERROR(INDEX(PP_Grid[#Data],$DD626,87),0)</f>
        <v/>
      </c>
      <c r="CL626">
        <f>IFERROR(INDEX(PP_Grid[#Data],$DD626,88),0)</f>
        <v/>
      </c>
      <c r="CM626">
        <f>IFERROR(INDEX(PP_Grid[#Data],$DD626,89),0)</f>
        <v/>
      </c>
      <c r="CN626">
        <f>IFERROR(INDEX(PP_Grid[#Data],$DD626,90),0)</f>
        <v/>
      </c>
      <c r="CO626">
        <f>IFERROR(INDEX(PP_Grid[#Data],$DD626,91),0)</f>
        <v/>
      </c>
      <c r="CP626">
        <f>IFERROR(INDEX(PP_Grid[#Data],$DD626,92),0)</f>
        <v/>
      </c>
      <c r="CQ626">
        <f>IFERROR(INDEX(PP_Grid[#Data],$DD626,93),0)</f>
        <v/>
      </c>
      <c r="CR626">
        <f>IFERROR(INDEX(PP_Grid[#Data],$DD626,94),0)</f>
        <v/>
      </c>
      <c r="CS626">
        <f>IFERROR(INDEX(PP_Grid[#Data],$DD626,95),0)</f>
        <v/>
      </c>
      <c r="CT626">
        <f>IFERROR(INDEX(PP_Grid[#Data],$DD626,96),0)</f>
        <v/>
      </c>
      <c r="CU626">
        <f>IFERROR(INDEX(PP_Grid[#Data],$DD626,97),0)</f>
        <v/>
      </c>
      <c r="CV626">
        <f>IFERROR(INDEX(PP_Grid[#Data],$DD626,98),0)</f>
        <v/>
      </c>
      <c r="CW626">
        <f>IFERROR(INDEX(PP_Grid[#Data],$DD626,99),0)</f>
        <v/>
      </c>
      <c r="CX626">
        <f>IFERROR(INDEX(PP_Grid[#Data],$DD626,100),0)</f>
        <v/>
      </c>
      <c r="CY626">
        <f>IFERROR(INDEX(PP_Grid[#Data],$DD626,101),0)</f>
        <v/>
      </c>
      <c r="CZ626">
        <f>IFERROR(INDEX(PP_Grid[#Data],$DD626,102),0)</f>
        <v/>
      </c>
      <c r="DA626">
        <f>IFERROR(INDEX(PP_Grid[#Data],$DD626,103),0)</f>
        <v/>
      </c>
      <c r="DB626">
        <f>IFERROR(INDEX(PP_Grid[#Data],$DD626,104),0)</f>
        <v/>
      </c>
      <c r="DC626">
        <f>IFERROR(INDEX(PP_Grid[#Data],$DD626,105),0)</f>
        <v/>
      </c>
      <c r="DD626" s="12">
        <f>IFERROR(MATCH($B626,PP_Grid[Intermediate],0),99999)</f>
        <v/>
      </c>
    </row>
    <row r="627">
      <c r="B627" t="inlineStr">
        <is>
          <t>使用量(kg)</t>
        </is>
      </c>
      <c r="C627">
        <f>SUMIFS(M_BOM[RM_Qty_Per_Batch],M_BOM[Intermediate],$B626,M_BOM[Part Name],$A601)</f>
        <v/>
      </c>
      <c r="D627">
        <f>$C627*D626</f>
        <v/>
      </c>
      <c r="E627">
        <f>$C627*E626</f>
        <v/>
      </c>
      <c r="F627">
        <f>$C627*F626</f>
        <v/>
      </c>
      <c r="G627">
        <f>$C627*G626</f>
        <v/>
      </c>
      <c r="H627">
        <f>$C627*H626</f>
        <v/>
      </c>
      <c r="I627">
        <f>$C627*I626</f>
        <v/>
      </c>
      <c r="J627">
        <f>$C627*J626</f>
        <v/>
      </c>
      <c r="K627">
        <f>$C627*K626</f>
        <v/>
      </c>
      <c r="L627">
        <f>$C627*L626</f>
        <v/>
      </c>
      <c r="M627">
        <f>$C627*M626</f>
        <v/>
      </c>
      <c r="N627">
        <f>$C627*N626</f>
        <v/>
      </c>
      <c r="O627">
        <f>$C627*O626</f>
        <v/>
      </c>
      <c r="P627">
        <f>$C627*P626</f>
        <v/>
      </c>
      <c r="Q627">
        <f>$C627*Q626</f>
        <v/>
      </c>
      <c r="R627">
        <f>$C627*R626</f>
        <v/>
      </c>
      <c r="S627">
        <f>$C627*S626</f>
        <v/>
      </c>
      <c r="T627">
        <f>$C627*T626</f>
        <v/>
      </c>
      <c r="U627">
        <f>$C627*U626</f>
        <v/>
      </c>
      <c r="V627">
        <f>$C627*V626</f>
        <v/>
      </c>
      <c r="W627">
        <f>$C627*W626</f>
        <v/>
      </c>
      <c r="X627">
        <f>$C627*X626</f>
        <v/>
      </c>
      <c r="Y627">
        <f>$C627*Y626</f>
        <v/>
      </c>
      <c r="Z627">
        <f>$C627*Z626</f>
        <v/>
      </c>
      <c r="AA627">
        <f>$C627*AA626</f>
        <v/>
      </c>
      <c r="AB627">
        <f>$C627*AB626</f>
        <v/>
      </c>
      <c r="AC627">
        <f>$C627*AC626</f>
        <v/>
      </c>
      <c r="AD627">
        <f>$C627*AD626</f>
        <v/>
      </c>
      <c r="AE627">
        <f>$C627*AE626</f>
        <v/>
      </c>
      <c r="AF627">
        <f>$C627*AF626</f>
        <v/>
      </c>
      <c r="AG627">
        <f>$C627*AG626</f>
        <v/>
      </c>
      <c r="AH627">
        <f>$C627*AH626</f>
        <v/>
      </c>
      <c r="AI627">
        <f>$C627*AI626</f>
        <v/>
      </c>
      <c r="AJ627">
        <f>$C627*AJ626</f>
        <v/>
      </c>
      <c r="AK627">
        <f>$C627*AK626</f>
        <v/>
      </c>
      <c r="AL627">
        <f>$C627*AL626</f>
        <v/>
      </c>
      <c r="AM627">
        <f>$C627*AM626</f>
        <v/>
      </c>
      <c r="AN627">
        <f>$C627*AN626</f>
        <v/>
      </c>
      <c r="AO627">
        <f>$C627*AO626</f>
        <v/>
      </c>
      <c r="AP627">
        <f>$C627*AP626</f>
        <v/>
      </c>
      <c r="AQ627">
        <f>$C627*AQ626</f>
        <v/>
      </c>
      <c r="AR627">
        <f>$C627*AR626</f>
        <v/>
      </c>
      <c r="AS627">
        <f>$C627*AS626</f>
        <v/>
      </c>
      <c r="AT627">
        <f>$C627*AT626</f>
        <v/>
      </c>
      <c r="AU627">
        <f>$C627*AU626</f>
        <v/>
      </c>
      <c r="AV627">
        <f>$C627*AV626</f>
        <v/>
      </c>
      <c r="AW627">
        <f>$C627*AW626</f>
        <v/>
      </c>
      <c r="AX627">
        <f>$C627*AX626</f>
        <v/>
      </c>
      <c r="AY627">
        <f>$C627*AY626</f>
        <v/>
      </c>
      <c r="AZ627">
        <f>$C627*AZ626</f>
        <v/>
      </c>
      <c r="BA627">
        <f>$C627*BA626</f>
        <v/>
      </c>
      <c r="BB627">
        <f>$C627*BB626</f>
        <v/>
      </c>
      <c r="BC627">
        <f>$C627*BC626</f>
        <v/>
      </c>
      <c r="BD627">
        <f>$C627*BD626</f>
        <v/>
      </c>
      <c r="BE627">
        <f>$C627*BE626</f>
        <v/>
      </c>
      <c r="BF627">
        <f>$C627*BF626</f>
        <v/>
      </c>
      <c r="BG627">
        <f>$C627*BG626</f>
        <v/>
      </c>
      <c r="BH627">
        <f>$C627*BH626</f>
        <v/>
      </c>
      <c r="BI627">
        <f>$C627*BI626</f>
        <v/>
      </c>
      <c r="BJ627">
        <f>$C627*BJ626</f>
        <v/>
      </c>
      <c r="BK627">
        <f>$C627*BK626</f>
        <v/>
      </c>
      <c r="BL627">
        <f>$C627*BL626</f>
        <v/>
      </c>
      <c r="BM627">
        <f>$C627*BM626</f>
        <v/>
      </c>
      <c r="BN627">
        <f>$C627*BN626</f>
        <v/>
      </c>
      <c r="BO627">
        <f>$C627*BO626</f>
        <v/>
      </c>
      <c r="BP627">
        <f>$C627*BP626</f>
        <v/>
      </c>
      <c r="BQ627">
        <f>$C627*BQ626</f>
        <v/>
      </c>
      <c r="BR627">
        <f>$C627*BR626</f>
        <v/>
      </c>
      <c r="BS627">
        <f>$C627*BS626</f>
        <v/>
      </c>
      <c r="BT627">
        <f>$C627*BT626</f>
        <v/>
      </c>
      <c r="BU627">
        <f>$C627*BU626</f>
        <v/>
      </c>
      <c r="BV627">
        <f>$C627*BV626</f>
        <v/>
      </c>
      <c r="BW627">
        <f>$C627*BW626</f>
        <v/>
      </c>
      <c r="BX627">
        <f>$C627*BX626</f>
        <v/>
      </c>
      <c r="BY627">
        <f>$C627*BY626</f>
        <v/>
      </c>
      <c r="BZ627">
        <f>$C627*BZ626</f>
        <v/>
      </c>
      <c r="CA627">
        <f>$C627*CA626</f>
        <v/>
      </c>
      <c r="CB627">
        <f>$C627*CB626</f>
        <v/>
      </c>
      <c r="CC627">
        <f>$C627*CC626</f>
        <v/>
      </c>
      <c r="CD627">
        <f>$C627*CD626</f>
        <v/>
      </c>
      <c r="CE627">
        <f>$C627*CE626</f>
        <v/>
      </c>
      <c r="CF627">
        <f>$C627*CF626</f>
        <v/>
      </c>
      <c r="CG627">
        <f>$C627*CG626</f>
        <v/>
      </c>
      <c r="CH627">
        <f>$C627*CH626</f>
        <v/>
      </c>
      <c r="CI627">
        <f>$C627*CI626</f>
        <v/>
      </c>
      <c r="CJ627">
        <f>$C627*CJ626</f>
        <v/>
      </c>
      <c r="CK627">
        <f>$C627*CK626</f>
        <v/>
      </c>
      <c r="CL627">
        <f>$C627*CL626</f>
        <v/>
      </c>
      <c r="CM627">
        <f>$C627*CM626</f>
        <v/>
      </c>
      <c r="CN627">
        <f>$C627*CN626</f>
        <v/>
      </c>
      <c r="CO627">
        <f>$C627*CO626</f>
        <v/>
      </c>
      <c r="CP627">
        <f>$C627*CP626</f>
        <v/>
      </c>
      <c r="CQ627">
        <f>$C627*CQ626</f>
        <v/>
      </c>
      <c r="CR627">
        <f>$C627*CR626</f>
        <v/>
      </c>
      <c r="CS627">
        <f>$C627*CS626</f>
        <v/>
      </c>
      <c r="CT627">
        <f>$C627*CT626</f>
        <v/>
      </c>
      <c r="CU627">
        <f>$C627*CU626</f>
        <v/>
      </c>
      <c r="CV627">
        <f>$C627*CV626</f>
        <v/>
      </c>
      <c r="CW627">
        <f>$C627*CW626</f>
        <v/>
      </c>
      <c r="CX627">
        <f>$C627*CX626</f>
        <v/>
      </c>
      <c r="CY627">
        <f>$C627*CY626</f>
        <v/>
      </c>
      <c r="CZ627">
        <f>$C627*CZ626</f>
        <v/>
      </c>
      <c r="DA627">
        <f>$C627*DA626</f>
        <v/>
      </c>
      <c r="DB627">
        <f>$C627*DB626</f>
        <v/>
      </c>
      <c r="DC627">
        <f>$C627*DC626</f>
        <v/>
      </c>
    </row>
    <row r="628">
      <c r="B628" t="inlineStr">
        <is>
          <t>TSP-959</t>
        </is>
      </c>
      <c r="C628" t="inlineStr">
        <is>
          <t>No. of batches</t>
        </is>
      </c>
      <c r="D628">
        <f>IFERROR(INDEX(PP_Grid[#Data],$DD628,2),0)</f>
        <v/>
      </c>
      <c r="E628">
        <f>IFERROR(INDEX(PP_Grid[#Data],$DD628,3),0)</f>
        <v/>
      </c>
      <c r="F628">
        <f>IFERROR(INDEX(PP_Grid[#Data],$DD628,4),0)</f>
        <v/>
      </c>
      <c r="G628">
        <f>IFERROR(INDEX(PP_Grid[#Data],$DD628,5),0)</f>
        <v/>
      </c>
      <c r="H628">
        <f>IFERROR(INDEX(PP_Grid[#Data],$DD628,6),0)</f>
        <v/>
      </c>
      <c r="I628">
        <f>IFERROR(INDEX(PP_Grid[#Data],$DD628,7),0)</f>
        <v/>
      </c>
      <c r="J628">
        <f>IFERROR(INDEX(PP_Grid[#Data],$DD628,8),0)</f>
        <v/>
      </c>
      <c r="K628">
        <f>IFERROR(INDEX(PP_Grid[#Data],$DD628,9),0)</f>
        <v/>
      </c>
      <c r="L628">
        <f>IFERROR(INDEX(PP_Grid[#Data],$DD628,10),0)</f>
        <v/>
      </c>
      <c r="M628">
        <f>IFERROR(INDEX(PP_Grid[#Data],$DD628,11),0)</f>
        <v/>
      </c>
      <c r="N628">
        <f>IFERROR(INDEX(PP_Grid[#Data],$DD628,12),0)</f>
        <v/>
      </c>
      <c r="O628">
        <f>IFERROR(INDEX(PP_Grid[#Data],$DD628,13),0)</f>
        <v/>
      </c>
      <c r="P628">
        <f>IFERROR(INDEX(PP_Grid[#Data],$DD628,14),0)</f>
        <v/>
      </c>
      <c r="Q628">
        <f>IFERROR(INDEX(PP_Grid[#Data],$DD628,15),0)</f>
        <v/>
      </c>
      <c r="R628">
        <f>IFERROR(INDEX(PP_Grid[#Data],$DD628,16),0)</f>
        <v/>
      </c>
      <c r="S628">
        <f>IFERROR(INDEX(PP_Grid[#Data],$DD628,17),0)</f>
        <v/>
      </c>
      <c r="T628">
        <f>IFERROR(INDEX(PP_Grid[#Data],$DD628,18),0)</f>
        <v/>
      </c>
      <c r="U628">
        <f>IFERROR(INDEX(PP_Grid[#Data],$DD628,19),0)</f>
        <v/>
      </c>
      <c r="V628">
        <f>IFERROR(INDEX(PP_Grid[#Data],$DD628,20),0)</f>
        <v/>
      </c>
      <c r="W628">
        <f>IFERROR(INDEX(PP_Grid[#Data],$DD628,21),0)</f>
        <v/>
      </c>
      <c r="X628">
        <f>IFERROR(INDEX(PP_Grid[#Data],$DD628,22),0)</f>
        <v/>
      </c>
      <c r="Y628">
        <f>IFERROR(INDEX(PP_Grid[#Data],$DD628,23),0)</f>
        <v/>
      </c>
      <c r="Z628">
        <f>IFERROR(INDEX(PP_Grid[#Data],$DD628,24),0)</f>
        <v/>
      </c>
      <c r="AA628">
        <f>IFERROR(INDEX(PP_Grid[#Data],$DD628,25),0)</f>
        <v/>
      </c>
      <c r="AB628">
        <f>IFERROR(INDEX(PP_Grid[#Data],$DD628,26),0)</f>
        <v/>
      </c>
      <c r="AC628">
        <f>IFERROR(INDEX(PP_Grid[#Data],$DD628,27),0)</f>
        <v/>
      </c>
      <c r="AD628">
        <f>IFERROR(INDEX(PP_Grid[#Data],$DD628,28),0)</f>
        <v/>
      </c>
      <c r="AE628">
        <f>IFERROR(INDEX(PP_Grid[#Data],$DD628,29),0)</f>
        <v/>
      </c>
      <c r="AF628">
        <f>IFERROR(INDEX(PP_Grid[#Data],$DD628,30),0)</f>
        <v/>
      </c>
      <c r="AG628">
        <f>IFERROR(INDEX(PP_Grid[#Data],$DD628,31),0)</f>
        <v/>
      </c>
      <c r="AH628">
        <f>IFERROR(INDEX(PP_Grid[#Data],$DD628,32),0)</f>
        <v/>
      </c>
      <c r="AI628">
        <f>IFERROR(INDEX(PP_Grid[#Data],$DD628,33),0)</f>
        <v/>
      </c>
      <c r="AJ628">
        <f>IFERROR(INDEX(PP_Grid[#Data],$DD628,34),0)</f>
        <v/>
      </c>
      <c r="AK628">
        <f>IFERROR(INDEX(PP_Grid[#Data],$DD628,35),0)</f>
        <v/>
      </c>
      <c r="AL628">
        <f>IFERROR(INDEX(PP_Grid[#Data],$DD628,36),0)</f>
        <v/>
      </c>
      <c r="AM628">
        <f>IFERROR(INDEX(PP_Grid[#Data],$DD628,37),0)</f>
        <v/>
      </c>
      <c r="AN628">
        <f>IFERROR(INDEX(PP_Grid[#Data],$DD628,38),0)</f>
        <v/>
      </c>
      <c r="AO628">
        <f>IFERROR(INDEX(PP_Grid[#Data],$DD628,39),0)</f>
        <v/>
      </c>
      <c r="AP628">
        <f>IFERROR(INDEX(PP_Grid[#Data],$DD628,40),0)</f>
        <v/>
      </c>
      <c r="AQ628">
        <f>IFERROR(INDEX(PP_Grid[#Data],$DD628,41),0)</f>
        <v/>
      </c>
      <c r="AR628">
        <f>IFERROR(INDEX(PP_Grid[#Data],$DD628,42),0)</f>
        <v/>
      </c>
      <c r="AS628">
        <f>IFERROR(INDEX(PP_Grid[#Data],$DD628,43),0)</f>
        <v/>
      </c>
      <c r="AT628">
        <f>IFERROR(INDEX(PP_Grid[#Data],$DD628,44),0)</f>
        <v/>
      </c>
      <c r="AU628">
        <f>IFERROR(INDEX(PP_Grid[#Data],$DD628,45),0)</f>
        <v/>
      </c>
      <c r="AV628">
        <f>IFERROR(INDEX(PP_Grid[#Data],$DD628,46),0)</f>
        <v/>
      </c>
      <c r="AW628">
        <f>IFERROR(INDEX(PP_Grid[#Data],$DD628,47),0)</f>
        <v/>
      </c>
      <c r="AX628">
        <f>IFERROR(INDEX(PP_Grid[#Data],$DD628,48),0)</f>
        <v/>
      </c>
      <c r="AY628">
        <f>IFERROR(INDEX(PP_Grid[#Data],$DD628,49),0)</f>
        <v/>
      </c>
      <c r="AZ628">
        <f>IFERROR(INDEX(PP_Grid[#Data],$DD628,50),0)</f>
        <v/>
      </c>
      <c r="BA628">
        <f>IFERROR(INDEX(PP_Grid[#Data],$DD628,51),0)</f>
        <v/>
      </c>
      <c r="BB628">
        <f>IFERROR(INDEX(PP_Grid[#Data],$DD628,52),0)</f>
        <v/>
      </c>
      <c r="BC628">
        <f>IFERROR(INDEX(PP_Grid[#Data],$DD628,53),0)</f>
        <v/>
      </c>
      <c r="BD628">
        <f>IFERROR(INDEX(PP_Grid[#Data],$DD628,54),0)</f>
        <v/>
      </c>
      <c r="BE628">
        <f>IFERROR(INDEX(PP_Grid[#Data],$DD628,55),0)</f>
        <v/>
      </c>
      <c r="BF628">
        <f>IFERROR(INDEX(PP_Grid[#Data],$DD628,56),0)</f>
        <v/>
      </c>
      <c r="BG628">
        <f>IFERROR(INDEX(PP_Grid[#Data],$DD628,57),0)</f>
        <v/>
      </c>
      <c r="BH628">
        <f>IFERROR(INDEX(PP_Grid[#Data],$DD628,58),0)</f>
        <v/>
      </c>
      <c r="BI628">
        <f>IFERROR(INDEX(PP_Grid[#Data],$DD628,59),0)</f>
        <v/>
      </c>
      <c r="BJ628">
        <f>IFERROR(INDEX(PP_Grid[#Data],$DD628,60),0)</f>
        <v/>
      </c>
      <c r="BK628">
        <f>IFERROR(INDEX(PP_Grid[#Data],$DD628,61),0)</f>
        <v/>
      </c>
      <c r="BL628">
        <f>IFERROR(INDEX(PP_Grid[#Data],$DD628,62),0)</f>
        <v/>
      </c>
      <c r="BM628">
        <f>IFERROR(INDEX(PP_Grid[#Data],$DD628,63),0)</f>
        <v/>
      </c>
      <c r="BN628">
        <f>IFERROR(INDEX(PP_Grid[#Data],$DD628,64),0)</f>
        <v/>
      </c>
      <c r="BO628">
        <f>IFERROR(INDEX(PP_Grid[#Data],$DD628,65),0)</f>
        <v/>
      </c>
      <c r="BP628">
        <f>IFERROR(INDEX(PP_Grid[#Data],$DD628,66),0)</f>
        <v/>
      </c>
      <c r="BQ628">
        <f>IFERROR(INDEX(PP_Grid[#Data],$DD628,67),0)</f>
        <v/>
      </c>
      <c r="BR628">
        <f>IFERROR(INDEX(PP_Grid[#Data],$DD628,68),0)</f>
        <v/>
      </c>
      <c r="BS628">
        <f>IFERROR(INDEX(PP_Grid[#Data],$DD628,69),0)</f>
        <v/>
      </c>
      <c r="BT628">
        <f>IFERROR(INDEX(PP_Grid[#Data],$DD628,70),0)</f>
        <v/>
      </c>
      <c r="BU628">
        <f>IFERROR(INDEX(PP_Grid[#Data],$DD628,71),0)</f>
        <v/>
      </c>
      <c r="BV628">
        <f>IFERROR(INDEX(PP_Grid[#Data],$DD628,72),0)</f>
        <v/>
      </c>
      <c r="BW628">
        <f>IFERROR(INDEX(PP_Grid[#Data],$DD628,73),0)</f>
        <v/>
      </c>
      <c r="BX628">
        <f>IFERROR(INDEX(PP_Grid[#Data],$DD628,74),0)</f>
        <v/>
      </c>
      <c r="BY628">
        <f>IFERROR(INDEX(PP_Grid[#Data],$DD628,75),0)</f>
        <v/>
      </c>
      <c r="BZ628">
        <f>IFERROR(INDEX(PP_Grid[#Data],$DD628,76),0)</f>
        <v/>
      </c>
      <c r="CA628">
        <f>IFERROR(INDEX(PP_Grid[#Data],$DD628,77),0)</f>
        <v/>
      </c>
      <c r="CB628">
        <f>IFERROR(INDEX(PP_Grid[#Data],$DD628,78),0)</f>
        <v/>
      </c>
      <c r="CC628">
        <f>IFERROR(INDEX(PP_Grid[#Data],$DD628,79),0)</f>
        <v/>
      </c>
      <c r="CD628">
        <f>IFERROR(INDEX(PP_Grid[#Data],$DD628,80),0)</f>
        <v/>
      </c>
      <c r="CE628">
        <f>IFERROR(INDEX(PP_Grid[#Data],$DD628,81),0)</f>
        <v/>
      </c>
      <c r="CF628">
        <f>IFERROR(INDEX(PP_Grid[#Data],$DD628,82),0)</f>
        <v/>
      </c>
      <c r="CG628">
        <f>IFERROR(INDEX(PP_Grid[#Data],$DD628,83),0)</f>
        <v/>
      </c>
      <c r="CH628">
        <f>IFERROR(INDEX(PP_Grid[#Data],$DD628,84),0)</f>
        <v/>
      </c>
      <c r="CI628">
        <f>IFERROR(INDEX(PP_Grid[#Data],$DD628,85),0)</f>
        <v/>
      </c>
      <c r="CJ628">
        <f>IFERROR(INDEX(PP_Grid[#Data],$DD628,86),0)</f>
        <v/>
      </c>
      <c r="CK628">
        <f>IFERROR(INDEX(PP_Grid[#Data],$DD628,87),0)</f>
        <v/>
      </c>
      <c r="CL628">
        <f>IFERROR(INDEX(PP_Grid[#Data],$DD628,88),0)</f>
        <v/>
      </c>
      <c r="CM628">
        <f>IFERROR(INDEX(PP_Grid[#Data],$DD628,89),0)</f>
        <v/>
      </c>
      <c r="CN628">
        <f>IFERROR(INDEX(PP_Grid[#Data],$DD628,90),0)</f>
        <v/>
      </c>
      <c r="CO628">
        <f>IFERROR(INDEX(PP_Grid[#Data],$DD628,91),0)</f>
        <v/>
      </c>
      <c r="CP628">
        <f>IFERROR(INDEX(PP_Grid[#Data],$DD628,92),0)</f>
        <v/>
      </c>
      <c r="CQ628">
        <f>IFERROR(INDEX(PP_Grid[#Data],$DD628,93),0)</f>
        <v/>
      </c>
      <c r="CR628">
        <f>IFERROR(INDEX(PP_Grid[#Data],$DD628,94),0)</f>
        <v/>
      </c>
      <c r="CS628">
        <f>IFERROR(INDEX(PP_Grid[#Data],$DD628,95),0)</f>
        <v/>
      </c>
      <c r="CT628">
        <f>IFERROR(INDEX(PP_Grid[#Data],$DD628,96),0)</f>
        <v/>
      </c>
      <c r="CU628">
        <f>IFERROR(INDEX(PP_Grid[#Data],$DD628,97),0)</f>
        <v/>
      </c>
      <c r="CV628">
        <f>IFERROR(INDEX(PP_Grid[#Data],$DD628,98),0)</f>
        <v/>
      </c>
      <c r="CW628">
        <f>IFERROR(INDEX(PP_Grid[#Data],$DD628,99),0)</f>
        <v/>
      </c>
      <c r="CX628">
        <f>IFERROR(INDEX(PP_Grid[#Data],$DD628,100),0)</f>
        <v/>
      </c>
      <c r="CY628">
        <f>IFERROR(INDEX(PP_Grid[#Data],$DD628,101),0)</f>
        <v/>
      </c>
      <c r="CZ628">
        <f>IFERROR(INDEX(PP_Grid[#Data],$DD628,102),0)</f>
        <v/>
      </c>
      <c r="DA628">
        <f>IFERROR(INDEX(PP_Grid[#Data],$DD628,103),0)</f>
        <v/>
      </c>
      <c r="DB628">
        <f>IFERROR(INDEX(PP_Grid[#Data],$DD628,104),0)</f>
        <v/>
      </c>
      <c r="DC628">
        <f>IFERROR(INDEX(PP_Grid[#Data],$DD628,105),0)</f>
        <v/>
      </c>
      <c r="DD628" s="12">
        <f>IFERROR(MATCH($B628,PP_Grid[Intermediate],0),99999)</f>
        <v/>
      </c>
    </row>
    <row r="629">
      <c r="B629" t="inlineStr">
        <is>
          <t>使用量(kg)</t>
        </is>
      </c>
      <c r="C629">
        <f>SUMIFS(M_BOM[RM_Qty_Per_Batch],M_BOM[Intermediate],$B628,M_BOM[Part Name],$A601)</f>
        <v/>
      </c>
      <c r="D629">
        <f>$C629*D628</f>
        <v/>
      </c>
      <c r="E629">
        <f>$C629*E628</f>
        <v/>
      </c>
      <c r="F629">
        <f>$C629*F628</f>
        <v/>
      </c>
      <c r="G629">
        <f>$C629*G628</f>
        <v/>
      </c>
      <c r="H629">
        <f>$C629*H628</f>
        <v/>
      </c>
      <c r="I629">
        <f>$C629*I628</f>
        <v/>
      </c>
      <c r="J629">
        <f>$C629*J628</f>
        <v/>
      </c>
      <c r="K629">
        <f>$C629*K628</f>
        <v/>
      </c>
      <c r="L629">
        <f>$C629*L628</f>
        <v/>
      </c>
      <c r="M629">
        <f>$C629*M628</f>
        <v/>
      </c>
      <c r="N629">
        <f>$C629*N628</f>
        <v/>
      </c>
      <c r="O629">
        <f>$C629*O628</f>
        <v/>
      </c>
      <c r="P629">
        <f>$C629*P628</f>
        <v/>
      </c>
      <c r="Q629">
        <f>$C629*Q628</f>
        <v/>
      </c>
      <c r="R629">
        <f>$C629*R628</f>
        <v/>
      </c>
      <c r="S629">
        <f>$C629*S628</f>
        <v/>
      </c>
      <c r="T629">
        <f>$C629*T628</f>
        <v/>
      </c>
      <c r="U629">
        <f>$C629*U628</f>
        <v/>
      </c>
      <c r="V629">
        <f>$C629*V628</f>
        <v/>
      </c>
      <c r="W629">
        <f>$C629*W628</f>
        <v/>
      </c>
      <c r="X629">
        <f>$C629*X628</f>
        <v/>
      </c>
      <c r="Y629">
        <f>$C629*Y628</f>
        <v/>
      </c>
      <c r="Z629">
        <f>$C629*Z628</f>
        <v/>
      </c>
      <c r="AA629">
        <f>$C629*AA628</f>
        <v/>
      </c>
      <c r="AB629">
        <f>$C629*AB628</f>
        <v/>
      </c>
      <c r="AC629">
        <f>$C629*AC628</f>
        <v/>
      </c>
      <c r="AD629">
        <f>$C629*AD628</f>
        <v/>
      </c>
      <c r="AE629">
        <f>$C629*AE628</f>
        <v/>
      </c>
      <c r="AF629">
        <f>$C629*AF628</f>
        <v/>
      </c>
      <c r="AG629">
        <f>$C629*AG628</f>
        <v/>
      </c>
      <c r="AH629">
        <f>$C629*AH628</f>
        <v/>
      </c>
      <c r="AI629">
        <f>$C629*AI628</f>
        <v/>
      </c>
      <c r="AJ629">
        <f>$C629*AJ628</f>
        <v/>
      </c>
      <c r="AK629">
        <f>$C629*AK628</f>
        <v/>
      </c>
      <c r="AL629">
        <f>$C629*AL628</f>
        <v/>
      </c>
      <c r="AM629">
        <f>$C629*AM628</f>
        <v/>
      </c>
      <c r="AN629">
        <f>$C629*AN628</f>
        <v/>
      </c>
      <c r="AO629">
        <f>$C629*AO628</f>
        <v/>
      </c>
      <c r="AP629">
        <f>$C629*AP628</f>
        <v/>
      </c>
      <c r="AQ629">
        <f>$C629*AQ628</f>
        <v/>
      </c>
      <c r="AR629">
        <f>$C629*AR628</f>
        <v/>
      </c>
      <c r="AS629">
        <f>$C629*AS628</f>
        <v/>
      </c>
      <c r="AT629">
        <f>$C629*AT628</f>
        <v/>
      </c>
      <c r="AU629">
        <f>$C629*AU628</f>
        <v/>
      </c>
      <c r="AV629">
        <f>$C629*AV628</f>
        <v/>
      </c>
      <c r="AW629">
        <f>$C629*AW628</f>
        <v/>
      </c>
      <c r="AX629">
        <f>$C629*AX628</f>
        <v/>
      </c>
      <c r="AY629">
        <f>$C629*AY628</f>
        <v/>
      </c>
      <c r="AZ629">
        <f>$C629*AZ628</f>
        <v/>
      </c>
      <c r="BA629">
        <f>$C629*BA628</f>
        <v/>
      </c>
      <c r="BB629">
        <f>$C629*BB628</f>
        <v/>
      </c>
      <c r="BC629">
        <f>$C629*BC628</f>
        <v/>
      </c>
      <c r="BD629">
        <f>$C629*BD628</f>
        <v/>
      </c>
      <c r="BE629">
        <f>$C629*BE628</f>
        <v/>
      </c>
      <c r="BF629">
        <f>$C629*BF628</f>
        <v/>
      </c>
      <c r="BG629">
        <f>$C629*BG628</f>
        <v/>
      </c>
      <c r="BH629">
        <f>$C629*BH628</f>
        <v/>
      </c>
      <c r="BI629">
        <f>$C629*BI628</f>
        <v/>
      </c>
      <c r="BJ629">
        <f>$C629*BJ628</f>
        <v/>
      </c>
      <c r="BK629">
        <f>$C629*BK628</f>
        <v/>
      </c>
      <c r="BL629">
        <f>$C629*BL628</f>
        <v/>
      </c>
      <c r="BM629">
        <f>$C629*BM628</f>
        <v/>
      </c>
      <c r="BN629">
        <f>$C629*BN628</f>
        <v/>
      </c>
      <c r="BO629">
        <f>$C629*BO628</f>
        <v/>
      </c>
      <c r="BP629">
        <f>$C629*BP628</f>
        <v/>
      </c>
      <c r="BQ629">
        <f>$C629*BQ628</f>
        <v/>
      </c>
      <c r="BR629">
        <f>$C629*BR628</f>
        <v/>
      </c>
      <c r="BS629">
        <f>$C629*BS628</f>
        <v/>
      </c>
      <c r="BT629">
        <f>$C629*BT628</f>
        <v/>
      </c>
      <c r="BU629">
        <f>$C629*BU628</f>
        <v/>
      </c>
      <c r="BV629">
        <f>$C629*BV628</f>
        <v/>
      </c>
      <c r="BW629">
        <f>$C629*BW628</f>
        <v/>
      </c>
      <c r="BX629">
        <f>$C629*BX628</f>
        <v/>
      </c>
      <c r="BY629">
        <f>$C629*BY628</f>
        <v/>
      </c>
      <c r="BZ629">
        <f>$C629*BZ628</f>
        <v/>
      </c>
      <c r="CA629">
        <f>$C629*CA628</f>
        <v/>
      </c>
      <c r="CB629">
        <f>$C629*CB628</f>
        <v/>
      </c>
      <c r="CC629">
        <f>$C629*CC628</f>
        <v/>
      </c>
      <c r="CD629">
        <f>$C629*CD628</f>
        <v/>
      </c>
      <c r="CE629">
        <f>$C629*CE628</f>
        <v/>
      </c>
      <c r="CF629">
        <f>$C629*CF628</f>
        <v/>
      </c>
      <c r="CG629">
        <f>$C629*CG628</f>
        <v/>
      </c>
      <c r="CH629">
        <f>$C629*CH628</f>
        <v/>
      </c>
      <c r="CI629">
        <f>$C629*CI628</f>
        <v/>
      </c>
      <c r="CJ629">
        <f>$C629*CJ628</f>
        <v/>
      </c>
      <c r="CK629">
        <f>$C629*CK628</f>
        <v/>
      </c>
      <c r="CL629">
        <f>$C629*CL628</f>
        <v/>
      </c>
      <c r="CM629">
        <f>$C629*CM628</f>
        <v/>
      </c>
      <c r="CN629">
        <f>$C629*CN628</f>
        <v/>
      </c>
      <c r="CO629">
        <f>$C629*CO628</f>
        <v/>
      </c>
      <c r="CP629">
        <f>$C629*CP628</f>
        <v/>
      </c>
      <c r="CQ629">
        <f>$C629*CQ628</f>
        <v/>
      </c>
      <c r="CR629">
        <f>$C629*CR628</f>
        <v/>
      </c>
      <c r="CS629">
        <f>$C629*CS628</f>
        <v/>
      </c>
      <c r="CT629">
        <f>$C629*CT628</f>
        <v/>
      </c>
      <c r="CU629">
        <f>$C629*CU628</f>
        <v/>
      </c>
      <c r="CV629">
        <f>$C629*CV628</f>
        <v/>
      </c>
      <c r="CW629">
        <f>$C629*CW628</f>
        <v/>
      </c>
      <c r="CX629">
        <f>$C629*CX628</f>
        <v/>
      </c>
      <c r="CY629">
        <f>$C629*CY628</f>
        <v/>
      </c>
      <c r="CZ629">
        <f>$C629*CZ628</f>
        <v/>
      </c>
      <c r="DA629">
        <f>$C629*DA628</f>
        <v/>
      </c>
      <c r="DB629">
        <f>$C629*DB628</f>
        <v/>
      </c>
      <c r="DC629">
        <f>$C629*DC628</f>
        <v/>
      </c>
    </row>
    <row r="630">
      <c r="B630" t="inlineStr">
        <is>
          <t>VSP-600</t>
        </is>
      </c>
      <c r="C630" t="inlineStr">
        <is>
          <t>No. of batches</t>
        </is>
      </c>
      <c r="D630">
        <f>IFERROR(INDEX(PP_Grid[#Data],$DD630,2),0)</f>
        <v/>
      </c>
      <c r="E630">
        <f>IFERROR(INDEX(PP_Grid[#Data],$DD630,3),0)</f>
        <v/>
      </c>
      <c r="F630">
        <f>IFERROR(INDEX(PP_Grid[#Data],$DD630,4),0)</f>
        <v/>
      </c>
      <c r="G630">
        <f>IFERROR(INDEX(PP_Grid[#Data],$DD630,5),0)</f>
        <v/>
      </c>
      <c r="H630">
        <f>IFERROR(INDEX(PP_Grid[#Data],$DD630,6),0)</f>
        <v/>
      </c>
      <c r="I630">
        <f>IFERROR(INDEX(PP_Grid[#Data],$DD630,7),0)</f>
        <v/>
      </c>
      <c r="J630">
        <f>IFERROR(INDEX(PP_Grid[#Data],$DD630,8),0)</f>
        <v/>
      </c>
      <c r="K630">
        <f>IFERROR(INDEX(PP_Grid[#Data],$DD630,9),0)</f>
        <v/>
      </c>
      <c r="L630">
        <f>IFERROR(INDEX(PP_Grid[#Data],$DD630,10),0)</f>
        <v/>
      </c>
      <c r="M630">
        <f>IFERROR(INDEX(PP_Grid[#Data],$DD630,11),0)</f>
        <v/>
      </c>
      <c r="N630">
        <f>IFERROR(INDEX(PP_Grid[#Data],$DD630,12),0)</f>
        <v/>
      </c>
      <c r="O630">
        <f>IFERROR(INDEX(PP_Grid[#Data],$DD630,13),0)</f>
        <v/>
      </c>
      <c r="P630">
        <f>IFERROR(INDEX(PP_Grid[#Data],$DD630,14),0)</f>
        <v/>
      </c>
      <c r="Q630">
        <f>IFERROR(INDEX(PP_Grid[#Data],$DD630,15),0)</f>
        <v/>
      </c>
      <c r="R630">
        <f>IFERROR(INDEX(PP_Grid[#Data],$DD630,16),0)</f>
        <v/>
      </c>
      <c r="S630">
        <f>IFERROR(INDEX(PP_Grid[#Data],$DD630,17),0)</f>
        <v/>
      </c>
      <c r="T630">
        <f>IFERROR(INDEX(PP_Grid[#Data],$DD630,18),0)</f>
        <v/>
      </c>
      <c r="U630">
        <f>IFERROR(INDEX(PP_Grid[#Data],$DD630,19),0)</f>
        <v/>
      </c>
      <c r="V630">
        <f>IFERROR(INDEX(PP_Grid[#Data],$DD630,20),0)</f>
        <v/>
      </c>
      <c r="W630">
        <f>IFERROR(INDEX(PP_Grid[#Data],$DD630,21),0)</f>
        <v/>
      </c>
      <c r="X630">
        <f>IFERROR(INDEX(PP_Grid[#Data],$DD630,22),0)</f>
        <v/>
      </c>
      <c r="Y630">
        <f>IFERROR(INDEX(PP_Grid[#Data],$DD630,23),0)</f>
        <v/>
      </c>
      <c r="Z630">
        <f>IFERROR(INDEX(PP_Grid[#Data],$DD630,24),0)</f>
        <v/>
      </c>
      <c r="AA630">
        <f>IFERROR(INDEX(PP_Grid[#Data],$DD630,25),0)</f>
        <v/>
      </c>
      <c r="AB630">
        <f>IFERROR(INDEX(PP_Grid[#Data],$DD630,26),0)</f>
        <v/>
      </c>
      <c r="AC630">
        <f>IFERROR(INDEX(PP_Grid[#Data],$DD630,27),0)</f>
        <v/>
      </c>
      <c r="AD630">
        <f>IFERROR(INDEX(PP_Grid[#Data],$DD630,28),0)</f>
        <v/>
      </c>
      <c r="AE630">
        <f>IFERROR(INDEX(PP_Grid[#Data],$DD630,29),0)</f>
        <v/>
      </c>
      <c r="AF630">
        <f>IFERROR(INDEX(PP_Grid[#Data],$DD630,30),0)</f>
        <v/>
      </c>
      <c r="AG630">
        <f>IFERROR(INDEX(PP_Grid[#Data],$DD630,31),0)</f>
        <v/>
      </c>
      <c r="AH630">
        <f>IFERROR(INDEX(PP_Grid[#Data],$DD630,32),0)</f>
        <v/>
      </c>
      <c r="AI630">
        <f>IFERROR(INDEX(PP_Grid[#Data],$DD630,33),0)</f>
        <v/>
      </c>
      <c r="AJ630">
        <f>IFERROR(INDEX(PP_Grid[#Data],$DD630,34),0)</f>
        <v/>
      </c>
      <c r="AK630">
        <f>IFERROR(INDEX(PP_Grid[#Data],$DD630,35),0)</f>
        <v/>
      </c>
      <c r="AL630">
        <f>IFERROR(INDEX(PP_Grid[#Data],$DD630,36),0)</f>
        <v/>
      </c>
      <c r="AM630">
        <f>IFERROR(INDEX(PP_Grid[#Data],$DD630,37),0)</f>
        <v/>
      </c>
      <c r="AN630">
        <f>IFERROR(INDEX(PP_Grid[#Data],$DD630,38),0)</f>
        <v/>
      </c>
      <c r="AO630">
        <f>IFERROR(INDEX(PP_Grid[#Data],$DD630,39),0)</f>
        <v/>
      </c>
      <c r="AP630">
        <f>IFERROR(INDEX(PP_Grid[#Data],$DD630,40),0)</f>
        <v/>
      </c>
      <c r="AQ630">
        <f>IFERROR(INDEX(PP_Grid[#Data],$DD630,41),0)</f>
        <v/>
      </c>
      <c r="AR630">
        <f>IFERROR(INDEX(PP_Grid[#Data],$DD630,42),0)</f>
        <v/>
      </c>
      <c r="AS630">
        <f>IFERROR(INDEX(PP_Grid[#Data],$DD630,43),0)</f>
        <v/>
      </c>
      <c r="AT630">
        <f>IFERROR(INDEX(PP_Grid[#Data],$DD630,44),0)</f>
        <v/>
      </c>
      <c r="AU630">
        <f>IFERROR(INDEX(PP_Grid[#Data],$DD630,45),0)</f>
        <v/>
      </c>
      <c r="AV630">
        <f>IFERROR(INDEX(PP_Grid[#Data],$DD630,46),0)</f>
        <v/>
      </c>
      <c r="AW630">
        <f>IFERROR(INDEX(PP_Grid[#Data],$DD630,47),0)</f>
        <v/>
      </c>
      <c r="AX630">
        <f>IFERROR(INDEX(PP_Grid[#Data],$DD630,48),0)</f>
        <v/>
      </c>
      <c r="AY630">
        <f>IFERROR(INDEX(PP_Grid[#Data],$DD630,49),0)</f>
        <v/>
      </c>
      <c r="AZ630">
        <f>IFERROR(INDEX(PP_Grid[#Data],$DD630,50),0)</f>
        <v/>
      </c>
      <c r="BA630">
        <f>IFERROR(INDEX(PP_Grid[#Data],$DD630,51),0)</f>
        <v/>
      </c>
      <c r="BB630">
        <f>IFERROR(INDEX(PP_Grid[#Data],$DD630,52),0)</f>
        <v/>
      </c>
      <c r="BC630">
        <f>IFERROR(INDEX(PP_Grid[#Data],$DD630,53),0)</f>
        <v/>
      </c>
      <c r="BD630">
        <f>IFERROR(INDEX(PP_Grid[#Data],$DD630,54),0)</f>
        <v/>
      </c>
      <c r="BE630">
        <f>IFERROR(INDEX(PP_Grid[#Data],$DD630,55),0)</f>
        <v/>
      </c>
      <c r="BF630">
        <f>IFERROR(INDEX(PP_Grid[#Data],$DD630,56),0)</f>
        <v/>
      </c>
      <c r="BG630">
        <f>IFERROR(INDEX(PP_Grid[#Data],$DD630,57),0)</f>
        <v/>
      </c>
      <c r="BH630">
        <f>IFERROR(INDEX(PP_Grid[#Data],$DD630,58),0)</f>
        <v/>
      </c>
      <c r="BI630">
        <f>IFERROR(INDEX(PP_Grid[#Data],$DD630,59),0)</f>
        <v/>
      </c>
      <c r="BJ630">
        <f>IFERROR(INDEX(PP_Grid[#Data],$DD630,60),0)</f>
        <v/>
      </c>
      <c r="BK630">
        <f>IFERROR(INDEX(PP_Grid[#Data],$DD630,61),0)</f>
        <v/>
      </c>
      <c r="BL630">
        <f>IFERROR(INDEX(PP_Grid[#Data],$DD630,62),0)</f>
        <v/>
      </c>
      <c r="BM630">
        <f>IFERROR(INDEX(PP_Grid[#Data],$DD630,63),0)</f>
        <v/>
      </c>
      <c r="BN630">
        <f>IFERROR(INDEX(PP_Grid[#Data],$DD630,64),0)</f>
        <v/>
      </c>
      <c r="BO630">
        <f>IFERROR(INDEX(PP_Grid[#Data],$DD630,65),0)</f>
        <v/>
      </c>
      <c r="BP630">
        <f>IFERROR(INDEX(PP_Grid[#Data],$DD630,66),0)</f>
        <v/>
      </c>
      <c r="BQ630">
        <f>IFERROR(INDEX(PP_Grid[#Data],$DD630,67),0)</f>
        <v/>
      </c>
      <c r="BR630">
        <f>IFERROR(INDEX(PP_Grid[#Data],$DD630,68),0)</f>
        <v/>
      </c>
      <c r="BS630">
        <f>IFERROR(INDEX(PP_Grid[#Data],$DD630,69),0)</f>
        <v/>
      </c>
      <c r="BT630">
        <f>IFERROR(INDEX(PP_Grid[#Data],$DD630,70),0)</f>
        <v/>
      </c>
      <c r="BU630">
        <f>IFERROR(INDEX(PP_Grid[#Data],$DD630,71),0)</f>
        <v/>
      </c>
      <c r="BV630">
        <f>IFERROR(INDEX(PP_Grid[#Data],$DD630,72),0)</f>
        <v/>
      </c>
      <c r="BW630">
        <f>IFERROR(INDEX(PP_Grid[#Data],$DD630,73),0)</f>
        <v/>
      </c>
      <c r="BX630">
        <f>IFERROR(INDEX(PP_Grid[#Data],$DD630,74),0)</f>
        <v/>
      </c>
      <c r="BY630">
        <f>IFERROR(INDEX(PP_Grid[#Data],$DD630,75),0)</f>
        <v/>
      </c>
      <c r="BZ630">
        <f>IFERROR(INDEX(PP_Grid[#Data],$DD630,76),0)</f>
        <v/>
      </c>
      <c r="CA630">
        <f>IFERROR(INDEX(PP_Grid[#Data],$DD630,77),0)</f>
        <v/>
      </c>
      <c r="CB630">
        <f>IFERROR(INDEX(PP_Grid[#Data],$DD630,78),0)</f>
        <v/>
      </c>
      <c r="CC630">
        <f>IFERROR(INDEX(PP_Grid[#Data],$DD630,79),0)</f>
        <v/>
      </c>
      <c r="CD630">
        <f>IFERROR(INDEX(PP_Grid[#Data],$DD630,80),0)</f>
        <v/>
      </c>
      <c r="CE630">
        <f>IFERROR(INDEX(PP_Grid[#Data],$DD630,81),0)</f>
        <v/>
      </c>
      <c r="CF630">
        <f>IFERROR(INDEX(PP_Grid[#Data],$DD630,82),0)</f>
        <v/>
      </c>
      <c r="CG630">
        <f>IFERROR(INDEX(PP_Grid[#Data],$DD630,83),0)</f>
        <v/>
      </c>
      <c r="CH630">
        <f>IFERROR(INDEX(PP_Grid[#Data],$DD630,84),0)</f>
        <v/>
      </c>
      <c r="CI630">
        <f>IFERROR(INDEX(PP_Grid[#Data],$DD630,85),0)</f>
        <v/>
      </c>
      <c r="CJ630">
        <f>IFERROR(INDEX(PP_Grid[#Data],$DD630,86),0)</f>
        <v/>
      </c>
      <c r="CK630">
        <f>IFERROR(INDEX(PP_Grid[#Data],$DD630,87),0)</f>
        <v/>
      </c>
      <c r="CL630">
        <f>IFERROR(INDEX(PP_Grid[#Data],$DD630,88),0)</f>
        <v/>
      </c>
      <c r="CM630">
        <f>IFERROR(INDEX(PP_Grid[#Data],$DD630,89),0)</f>
        <v/>
      </c>
      <c r="CN630">
        <f>IFERROR(INDEX(PP_Grid[#Data],$DD630,90),0)</f>
        <v/>
      </c>
      <c r="CO630">
        <f>IFERROR(INDEX(PP_Grid[#Data],$DD630,91),0)</f>
        <v/>
      </c>
      <c r="CP630">
        <f>IFERROR(INDEX(PP_Grid[#Data],$DD630,92),0)</f>
        <v/>
      </c>
      <c r="CQ630">
        <f>IFERROR(INDEX(PP_Grid[#Data],$DD630,93),0)</f>
        <v/>
      </c>
      <c r="CR630">
        <f>IFERROR(INDEX(PP_Grid[#Data],$DD630,94),0)</f>
        <v/>
      </c>
      <c r="CS630">
        <f>IFERROR(INDEX(PP_Grid[#Data],$DD630,95),0)</f>
        <v/>
      </c>
      <c r="CT630">
        <f>IFERROR(INDEX(PP_Grid[#Data],$DD630,96),0)</f>
        <v/>
      </c>
      <c r="CU630">
        <f>IFERROR(INDEX(PP_Grid[#Data],$DD630,97),0)</f>
        <v/>
      </c>
      <c r="CV630">
        <f>IFERROR(INDEX(PP_Grid[#Data],$DD630,98),0)</f>
        <v/>
      </c>
      <c r="CW630">
        <f>IFERROR(INDEX(PP_Grid[#Data],$DD630,99),0)</f>
        <v/>
      </c>
      <c r="CX630">
        <f>IFERROR(INDEX(PP_Grid[#Data],$DD630,100),0)</f>
        <v/>
      </c>
      <c r="CY630">
        <f>IFERROR(INDEX(PP_Grid[#Data],$DD630,101),0)</f>
        <v/>
      </c>
      <c r="CZ630">
        <f>IFERROR(INDEX(PP_Grid[#Data],$DD630,102),0)</f>
        <v/>
      </c>
      <c r="DA630">
        <f>IFERROR(INDEX(PP_Grid[#Data],$DD630,103),0)</f>
        <v/>
      </c>
      <c r="DB630">
        <f>IFERROR(INDEX(PP_Grid[#Data],$DD630,104),0)</f>
        <v/>
      </c>
      <c r="DC630">
        <f>IFERROR(INDEX(PP_Grid[#Data],$DD630,105),0)</f>
        <v/>
      </c>
      <c r="DD630" s="12">
        <f>IFERROR(MATCH($B630,PP_Grid[Intermediate],0),99999)</f>
        <v/>
      </c>
    </row>
    <row r="631">
      <c r="B631" t="inlineStr">
        <is>
          <t>使用量(kg)</t>
        </is>
      </c>
      <c r="C631">
        <f>SUMIFS(M_BOM[RM_Qty_Per_Batch],M_BOM[Intermediate],$B630,M_BOM[Part Name],$A601)</f>
        <v/>
      </c>
      <c r="D631">
        <f>$C631*D630</f>
        <v/>
      </c>
      <c r="E631">
        <f>$C631*E630</f>
        <v/>
      </c>
      <c r="F631">
        <f>$C631*F630</f>
        <v/>
      </c>
      <c r="G631">
        <f>$C631*G630</f>
        <v/>
      </c>
      <c r="H631">
        <f>$C631*H630</f>
        <v/>
      </c>
      <c r="I631">
        <f>$C631*I630</f>
        <v/>
      </c>
      <c r="J631">
        <f>$C631*J630</f>
        <v/>
      </c>
      <c r="K631">
        <f>$C631*K630</f>
        <v/>
      </c>
      <c r="L631">
        <f>$C631*L630</f>
        <v/>
      </c>
      <c r="M631">
        <f>$C631*M630</f>
        <v/>
      </c>
      <c r="N631">
        <f>$C631*N630</f>
        <v/>
      </c>
      <c r="O631">
        <f>$C631*O630</f>
        <v/>
      </c>
      <c r="P631">
        <f>$C631*P630</f>
        <v/>
      </c>
      <c r="Q631">
        <f>$C631*Q630</f>
        <v/>
      </c>
      <c r="R631">
        <f>$C631*R630</f>
        <v/>
      </c>
      <c r="S631">
        <f>$C631*S630</f>
        <v/>
      </c>
      <c r="T631">
        <f>$C631*T630</f>
        <v/>
      </c>
      <c r="U631">
        <f>$C631*U630</f>
        <v/>
      </c>
      <c r="V631">
        <f>$C631*V630</f>
        <v/>
      </c>
      <c r="W631">
        <f>$C631*W630</f>
        <v/>
      </c>
      <c r="X631">
        <f>$C631*X630</f>
        <v/>
      </c>
      <c r="Y631">
        <f>$C631*Y630</f>
        <v/>
      </c>
      <c r="Z631">
        <f>$C631*Z630</f>
        <v/>
      </c>
      <c r="AA631">
        <f>$C631*AA630</f>
        <v/>
      </c>
      <c r="AB631">
        <f>$C631*AB630</f>
        <v/>
      </c>
      <c r="AC631">
        <f>$C631*AC630</f>
        <v/>
      </c>
      <c r="AD631">
        <f>$C631*AD630</f>
        <v/>
      </c>
      <c r="AE631">
        <f>$C631*AE630</f>
        <v/>
      </c>
      <c r="AF631">
        <f>$C631*AF630</f>
        <v/>
      </c>
      <c r="AG631">
        <f>$C631*AG630</f>
        <v/>
      </c>
      <c r="AH631">
        <f>$C631*AH630</f>
        <v/>
      </c>
      <c r="AI631">
        <f>$C631*AI630</f>
        <v/>
      </c>
      <c r="AJ631">
        <f>$C631*AJ630</f>
        <v/>
      </c>
      <c r="AK631">
        <f>$C631*AK630</f>
        <v/>
      </c>
      <c r="AL631">
        <f>$C631*AL630</f>
        <v/>
      </c>
      <c r="AM631">
        <f>$C631*AM630</f>
        <v/>
      </c>
      <c r="AN631">
        <f>$C631*AN630</f>
        <v/>
      </c>
      <c r="AO631">
        <f>$C631*AO630</f>
        <v/>
      </c>
      <c r="AP631">
        <f>$C631*AP630</f>
        <v/>
      </c>
      <c r="AQ631">
        <f>$C631*AQ630</f>
        <v/>
      </c>
      <c r="AR631">
        <f>$C631*AR630</f>
        <v/>
      </c>
      <c r="AS631">
        <f>$C631*AS630</f>
        <v/>
      </c>
      <c r="AT631">
        <f>$C631*AT630</f>
        <v/>
      </c>
      <c r="AU631">
        <f>$C631*AU630</f>
        <v/>
      </c>
      <c r="AV631">
        <f>$C631*AV630</f>
        <v/>
      </c>
      <c r="AW631">
        <f>$C631*AW630</f>
        <v/>
      </c>
      <c r="AX631">
        <f>$C631*AX630</f>
        <v/>
      </c>
      <c r="AY631">
        <f>$C631*AY630</f>
        <v/>
      </c>
      <c r="AZ631">
        <f>$C631*AZ630</f>
        <v/>
      </c>
      <c r="BA631">
        <f>$C631*BA630</f>
        <v/>
      </c>
      <c r="BB631">
        <f>$C631*BB630</f>
        <v/>
      </c>
      <c r="BC631">
        <f>$C631*BC630</f>
        <v/>
      </c>
      <c r="BD631">
        <f>$C631*BD630</f>
        <v/>
      </c>
      <c r="BE631">
        <f>$C631*BE630</f>
        <v/>
      </c>
      <c r="BF631">
        <f>$C631*BF630</f>
        <v/>
      </c>
      <c r="BG631">
        <f>$C631*BG630</f>
        <v/>
      </c>
      <c r="BH631">
        <f>$C631*BH630</f>
        <v/>
      </c>
      <c r="BI631">
        <f>$C631*BI630</f>
        <v/>
      </c>
      <c r="BJ631">
        <f>$C631*BJ630</f>
        <v/>
      </c>
      <c r="BK631">
        <f>$C631*BK630</f>
        <v/>
      </c>
      <c r="BL631">
        <f>$C631*BL630</f>
        <v/>
      </c>
      <c r="BM631">
        <f>$C631*BM630</f>
        <v/>
      </c>
      <c r="BN631">
        <f>$C631*BN630</f>
        <v/>
      </c>
      <c r="BO631">
        <f>$C631*BO630</f>
        <v/>
      </c>
      <c r="BP631">
        <f>$C631*BP630</f>
        <v/>
      </c>
      <c r="BQ631">
        <f>$C631*BQ630</f>
        <v/>
      </c>
      <c r="BR631">
        <f>$C631*BR630</f>
        <v/>
      </c>
      <c r="BS631">
        <f>$C631*BS630</f>
        <v/>
      </c>
      <c r="BT631">
        <f>$C631*BT630</f>
        <v/>
      </c>
      <c r="BU631">
        <f>$C631*BU630</f>
        <v/>
      </c>
      <c r="BV631">
        <f>$C631*BV630</f>
        <v/>
      </c>
      <c r="BW631">
        <f>$C631*BW630</f>
        <v/>
      </c>
      <c r="BX631">
        <f>$C631*BX630</f>
        <v/>
      </c>
      <c r="BY631">
        <f>$C631*BY630</f>
        <v/>
      </c>
      <c r="BZ631">
        <f>$C631*BZ630</f>
        <v/>
      </c>
      <c r="CA631">
        <f>$C631*CA630</f>
        <v/>
      </c>
      <c r="CB631">
        <f>$C631*CB630</f>
        <v/>
      </c>
      <c r="CC631">
        <f>$C631*CC630</f>
        <v/>
      </c>
      <c r="CD631">
        <f>$C631*CD630</f>
        <v/>
      </c>
      <c r="CE631">
        <f>$C631*CE630</f>
        <v/>
      </c>
      <c r="CF631">
        <f>$C631*CF630</f>
        <v/>
      </c>
      <c r="CG631">
        <f>$C631*CG630</f>
        <v/>
      </c>
      <c r="CH631">
        <f>$C631*CH630</f>
        <v/>
      </c>
      <c r="CI631">
        <f>$C631*CI630</f>
        <v/>
      </c>
      <c r="CJ631">
        <f>$C631*CJ630</f>
        <v/>
      </c>
      <c r="CK631">
        <f>$C631*CK630</f>
        <v/>
      </c>
      <c r="CL631">
        <f>$C631*CL630</f>
        <v/>
      </c>
      <c r="CM631">
        <f>$C631*CM630</f>
        <v/>
      </c>
      <c r="CN631">
        <f>$C631*CN630</f>
        <v/>
      </c>
      <c r="CO631">
        <f>$C631*CO630</f>
        <v/>
      </c>
      <c r="CP631">
        <f>$C631*CP630</f>
        <v/>
      </c>
      <c r="CQ631">
        <f>$C631*CQ630</f>
        <v/>
      </c>
      <c r="CR631">
        <f>$C631*CR630</f>
        <v/>
      </c>
      <c r="CS631">
        <f>$C631*CS630</f>
        <v/>
      </c>
      <c r="CT631">
        <f>$C631*CT630</f>
        <v/>
      </c>
      <c r="CU631">
        <f>$C631*CU630</f>
        <v/>
      </c>
      <c r="CV631">
        <f>$C631*CV630</f>
        <v/>
      </c>
      <c r="CW631">
        <f>$C631*CW630</f>
        <v/>
      </c>
      <c r="CX631">
        <f>$C631*CX630</f>
        <v/>
      </c>
      <c r="CY631">
        <f>$C631*CY630</f>
        <v/>
      </c>
      <c r="CZ631">
        <f>$C631*CZ630</f>
        <v/>
      </c>
      <c r="DA631">
        <f>$C631*DA630</f>
        <v/>
      </c>
      <c r="DB631">
        <f>$C631*DB630</f>
        <v/>
      </c>
      <c r="DC631">
        <f>$C631*DC630</f>
        <v/>
      </c>
    </row>
    <row r="632">
      <c r="B632" t="inlineStr">
        <is>
          <t>VSP-822</t>
        </is>
      </c>
      <c r="C632" t="inlineStr">
        <is>
          <t>No. of batches</t>
        </is>
      </c>
      <c r="D632">
        <f>IFERROR(INDEX(PP_Grid[#Data],$DD632,2),0)</f>
        <v/>
      </c>
      <c r="E632">
        <f>IFERROR(INDEX(PP_Grid[#Data],$DD632,3),0)</f>
        <v/>
      </c>
      <c r="F632">
        <f>IFERROR(INDEX(PP_Grid[#Data],$DD632,4),0)</f>
        <v/>
      </c>
      <c r="G632">
        <f>IFERROR(INDEX(PP_Grid[#Data],$DD632,5),0)</f>
        <v/>
      </c>
      <c r="H632">
        <f>IFERROR(INDEX(PP_Grid[#Data],$DD632,6),0)</f>
        <v/>
      </c>
      <c r="I632">
        <f>IFERROR(INDEX(PP_Grid[#Data],$DD632,7),0)</f>
        <v/>
      </c>
      <c r="J632">
        <f>IFERROR(INDEX(PP_Grid[#Data],$DD632,8),0)</f>
        <v/>
      </c>
      <c r="K632">
        <f>IFERROR(INDEX(PP_Grid[#Data],$DD632,9),0)</f>
        <v/>
      </c>
      <c r="L632">
        <f>IFERROR(INDEX(PP_Grid[#Data],$DD632,10),0)</f>
        <v/>
      </c>
      <c r="M632">
        <f>IFERROR(INDEX(PP_Grid[#Data],$DD632,11),0)</f>
        <v/>
      </c>
      <c r="N632">
        <f>IFERROR(INDEX(PP_Grid[#Data],$DD632,12),0)</f>
        <v/>
      </c>
      <c r="O632">
        <f>IFERROR(INDEX(PP_Grid[#Data],$DD632,13),0)</f>
        <v/>
      </c>
      <c r="P632">
        <f>IFERROR(INDEX(PP_Grid[#Data],$DD632,14),0)</f>
        <v/>
      </c>
      <c r="Q632">
        <f>IFERROR(INDEX(PP_Grid[#Data],$DD632,15),0)</f>
        <v/>
      </c>
      <c r="R632">
        <f>IFERROR(INDEX(PP_Grid[#Data],$DD632,16),0)</f>
        <v/>
      </c>
      <c r="S632">
        <f>IFERROR(INDEX(PP_Grid[#Data],$DD632,17),0)</f>
        <v/>
      </c>
      <c r="T632">
        <f>IFERROR(INDEX(PP_Grid[#Data],$DD632,18),0)</f>
        <v/>
      </c>
      <c r="U632">
        <f>IFERROR(INDEX(PP_Grid[#Data],$DD632,19),0)</f>
        <v/>
      </c>
      <c r="V632">
        <f>IFERROR(INDEX(PP_Grid[#Data],$DD632,20),0)</f>
        <v/>
      </c>
      <c r="W632">
        <f>IFERROR(INDEX(PP_Grid[#Data],$DD632,21),0)</f>
        <v/>
      </c>
      <c r="X632">
        <f>IFERROR(INDEX(PP_Grid[#Data],$DD632,22),0)</f>
        <v/>
      </c>
      <c r="Y632">
        <f>IFERROR(INDEX(PP_Grid[#Data],$DD632,23),0)</f>
        <v/>
      </c>
      <c r="Z632">
        <f>IFERROR(INDEX(PP_Grid[#Data],$DD632,24),0)</f>
        <v/>
      </c>
      <c r="AA632">
        <f>IFERROR(INDEX(PP_Grid[#Data],$DD632,25),0)</f>
        <v/>
      </c>
      <c r="AB632">
        <f>IFERROR(INDEX(PP_Grid[#Data],$DD632,26),0)</f>
        <v/>
      </c>
      <c r="AC632">
        <f>IFERROR(INDEX(PP_Grid[#Data],$DD632,27),0)</f>
        <v/>
      </c>
      <c r="AD632">
        <f>IFERROR(INDEX(PP_Grid[#Data],$DD632,28),0)</f>
        <v/>
      </c>
      <c r="AE632">
        <f>IFERROR(INDEX(PP_Grid[#Data],$DD632,29),0)</f>
        <v/>
      </c>
      <c r="AF632">
        <f>IFERROR(INDEX(PP_Grid[#Data],$DD632,30),0)</f>
        <v/>
      </c>
      <c r="AG632">
        <f>IFERROR(INDEX(PP_Grid[#Data],$DD632,31),0)</f>
        <v/>
      </c>
      <c r="AH632">
        <f>IFERROR(INDEX(PP_Grid[#Data],$DD632,32),0)</f>
        <v/>
      </c>
      <c r="AI632">
        <f>IFERROR(INDEX(PP_Grid[#Data],$DD632,33),0)</f>
        <v/>
      </c>
      <c r="AJ632">
        <f>IFERROR(INDEX(PP_Grid[#Data],$DD632,34),0)</f>
        <v/>
      </c>
      <c r="AK632">
        <f>IFERROR(INDEX(PP_Grid[#Data],$DD632,35),0)</f>
        <v/>
      </c>
      <c r="AL632">
        <f>IFERROR(INDEX(PP_Grid[#Data],$DD632,36),0)</f>
        <v/>
      </c>
      <c r="AM632">
        <f>IFERROR(INDEX(PP_Grid[#Data],$DD632,37),0)</f>
        <v/>
      </c>
      <c r="AN632">
        <f>IFERROR(INDEX(PP_Grid[#Data],$DD632,38),0)</f>
        <v/>
      </c>
      <c r="AO632">
        <f>IFERROR(INDEX(PP_Grid[#Data],$DD632,39),0)</f>
        <v/>
      </c>
      <c r="AP632">
        <f>IFERROR(INDEX(PP_Grid[#Data],$DD632,40),0)</f>
        <v/>
      </c>
      <c r="AQ632">
        <f>IFERROR(INDEX(PP_Grid[#Data],$DD632,41),0)</f>
        <v/>
      </c>
      <c r="AR632">
        <f>IFERROR(INDEX(PP_Grid[#Data],$DD632,42),0)</f>
        <v/>
      </c>
      <c r="AS632">
        <f>IFERROR(INDEX(PP_Grid[#Data],$DD632,43),0)</f>
        <v/>
      </c>
      <c r="AT632">
        <f>IFERROR(INDEX(PP_Grid[#Data],$DD632,44),0)</f>
        <v/>
      </c>
      <c r="AU632">
        <f>IFERROR(INDEX(PP_Grid[#Data],$DD632,45),0)</f>
        <v/>
      </c>
      <c r="AV632">
        <f>IFERROR(INDEX(PP_Grid[#Data],$DD632,46),0)</f>
        <v/>
      </c>
      <c r="AW632">
        <f>IFERROR(INDEX(PP_Grid[#Data],$DD632,47),0)</f>
        <v/>
      </c>
      <c r="AX632">
        <f>IFERROR(INDEX(PP_Grid[#Data],$DD632,48),0)</f>
        <v/>
      </c>
      <c r="AY632">
        <f>IFERROR(INDEX(PP_Grid[#Data],$DD632,49),0)</f>
        <v/>
      </c>
      <c r="AZ632">
        <f>IFERROR(INDEX(PP_Grid[#Data],$DD632,50),0)</f>
        <v/>
      </c>
      <c r="BA632">
        <f>IFERROR(INDEX(PP_Grid[#Data],$DD632,51),0)</f>
        <v/>
      </c>
      <c r="BB632">
        <f>IFERROR(INDEX(PP_Grid[#Data],$DD632,52),0)</f>
        <v/>
      </c>
      <c r="BC632">
        <f>IFERROR(INDEX(PP_Grid[#Data],$DD632,53),0)</f>
        <v/>
      </c>
      <c r="BD632">
        <f>IFERROR(INDEX(PP_Grid[#Data],$DD632,54),0)</f>
        <v/>
      </c>
      <c r="BE632">
        <f>IFERROR(INDEX(PP_Grid[#Data],$DD632,55),0)</f>
        <v/>
      </c>
      <c r="BF632">
        <f>IFERROR(INDEX(PP_Grid[#Data],$DD632,56),0)</f>
        <v/>
      </c>
      <c r="BG632">
        <f>IFERROR(INDEX(PP_Grid[#Data],$DD632,57),0)</f>
        <v/>
      </c>
      <c r="BH632">
        <f>IFERROR(INDEX(PP_Grid[#Data],$DD632,58),0)</f>
        <v/>
      </c>
      <c r="BI632">
        <f>IFERROR(INDEX(PP_Grid[#Data],$DD632,59),0)</f>
        <v/>
      </c>
      <c r="BJ632">
        <f>IFERROR(INDEX(PP_Grid[#Data],$DD632,60),0)</f>
        <v/>
      </c>
      <c r="BK632">
        <f>IFERROR(INDEX(PP_Grid[#Data],$DD632,61),0)</f>
        <v/>
      </c>
      <c r="BL632">
        <f>IFERROR(INDEX(PP_Grid[#Data],$DD632,62),0)</f>
        <v/>
      </c>
      <c r="BM632">
        <f>IFERROR(INDEX(PP_Grid[#Data],$DD632,63),0)</f>
        <v/>
      </c>
      <c r="BN632">
        <f>IFERROR(INDEX(PP_Grid[#Data],$DD632,64),0)</f>
        <v/>
      </c>
      <c r="BO632">
        <f>IFERROR(INDEX(PP_Grid[#Data],$DD632,65),0)</f>
        <v/>
      </c>
      <c r="BP632">
        <f>IFERROR(INDEX(PP_Grid[#Data],$DD632,66),0)</f>
        <v/>
      </c>
      <c r="BQ632">
        <f>IFERROR(INDEX(PP_Grid[#Data],$DD632,67),0)</f>
        <v/>
      </c>
      <c r="BR632">
        <f>IFERROR(INDEX(PP_Grid[#Data],$DD632,68),0)</f>
        <v/>
      </c>
      <c r="BS632">
        <f>IFERROR(INDEX(PP_Grid[#Data],$DD632,69),0)</f>
        <v/>
      </c>
      <c r="BT632">
        <f>IFERROR(INDEX(PP_Grid[#Data],$DD632,70),0)</f>
        <v/>
      </c>
      <c r="BU632">
        <f>IFERROR(INDEX(PP_Grid[#Data],$DD632,71),0)</f>
        <v/>
      </c>
      <c r="BV632">
        <f>IFERROR(INDEX(PP_Grid[#Data],$DD632,72),0)</f>
        <v/>
      </c>
      <c r="BW632">
        <f>IFERROR(INDEX(PP_Grid[#Data],$DD632,73),0)</f>
        <v/>
      </c>
      <c r="BX632">
        <f>IFERROR(INDEX(PP_Grid[#Data],$DD632,74),0)</f>
        <v/>
      </c>
      <c r="BY632">
        <f>IFERROR(INDEX(PP_Grid[#Data],$DD632,75),0)</f>
        <v/>
      </c>
      <c r="BZ632">
        <f>IFERROR(INDEX(PP_Grid[#Data],$DD632,76),0)</f>
        <v/>
      </c>
      <c r="CA632">
        <f>IFERROR(INDEX(PP_Grid[#Data],$DD632,77),0)</f>
        <v/>
      </c>
      <c r="CB632">
        <f>IFERROR(INDEX(PP_Grid[#Data],$DD632,78),0)</f>
        <v/>
      </c>
      <c r="CC632">
        <f>IFERROR(INDEX(PP_Grid[#Data],$DD632,79),0)</f>
        <v/>
      </c>
      <c r="CD632">
        <f>IFERROR(INDEX(PP_Grid[#Data],$DD632,80),0)</f>
        <v/>
      </c>
      <c r="CE632">
        <f>IFERROR(INDEX(PP_Grid[#Data],$DD632,81),0)</f>
        <v/>
      </c>
      <c r="CF632">
        <f>IFERROR(INDEX(PP_Grid[#Data],$DD632,82),0)</f>
        <v/>
      </c>
      <c r="CG632">
        <f>IFERROR(INDEX(PP_Grid[#Data],$DD632,83),0)</f>
        <v/>
      </c>
      <c r="CH632">
        <f>IFERROR(INDEX(PP_Grid[#Data],$DD632,84),0)</f>
        <v/>
      </c>
      <c r="CI632">
        <f>IFERROR(INDEX(PP_Grid[#Data],$DD632,85),0)</f>
        <v/>
      </c>
      <c r="CJ632">
        <f>IFERROR(INDEX(PP_Grid[#Data],$DD632,86),0)</f>
        <v/>
      </c>
      <c r="CK632">
        <f>IFERROR(INDEX(PP_Grid[#Data],$DD632,87),0)</f>
        <v/>
      </c>
      <c r="CL632">
        <f>IFERROR(INDEX(PP_Grid[#Data],$DD632,88),0)</f>
        <v/>
      </c>
      <c r="CM632">
        <f>IFERROR(INDEX(PP_Grid[#Data],$DD632,89),0)</f>
        <v/>
      </c>
      <c r="CN632">
        <f>IFERROR(INDEX(PP_Grid[#Data],$DD632,90),0)</f>
        <v/>
      </c>
      <c r="CO632">
        <f>IFERROR(INDEX(PP_Grid[#Data],$DD632,91),0)</f>
        <v/>
      </c>
      <c r="CP632">
        <f>IFERROR(INDEX(PP_Grid[#Data],$DD632,92),0)</f>
        <v/>
      </c>
      <c r="CQ632">
        <f>IFERROR(INDEX(PP_Grid[#Data],$DD632,93),0)</f>
        <v/>
      </c>
      <c r="CR632">
        <f>IFERROR(INDEX(PP_Grid[#Data],$DD632,94),0)</f>
        <v/>
      </c>
      <c r="CS632">
        <f>IFERROR(INDEX(PP_Grid[#Data],$DD632,95),0)</f>
        <v/>
      </c>
      <c r="CT632">
        <f>IFERROR(INDEX(PP_Grid[#Data],$DD632,96),0)</f>
        <v/>
      </c>
      <c r="CU632">
        <f>IFERROR(INDEX(PP_Grid[#Data],$DD632,97),0)</f>
        <v/>
      </c>
      <c r="CV632">
        <f>IFERROR(INDEX(PP_Grid[#Data],$DD632,98),0)</f>
        <v/>
      </c>
      <c r="CW632">
        <f>IFERROR(INDEX(PP_Grid[#Data],$DD632,99),0)</f>
        <v/>
      </c>
      <c r="CX632">
        <f>IFERROR(INDEX(PP_Grid[#Data],$DD632,100),0)</f>
        <v/>
      </c>
      <c r="CY632">
        <f>IFERROR(INDEX(PP_Grid[#Data],$DD632,101),0)</f>
        <v/>
      </c>
      <c r="CZ632">
        <f>IFERROR(INDEX(PP_Grid[#Data],$DD632,102),0)</f>
        <v/>
      </c>
      <c r="DA632">
        <f>IFERROR(INDEX(PP_Grid[#Data],$DD632,103),0)</f>
        <v/>
      </c>
      <c r="DB632">
        <f>IFERROR(INDEX(PP_Grid[#Data],$DD632,104),0)</f>
        <v/>
      </c>
      <c r="DC632">
        <f>IFERROR(INDEX(PP_Grid[#Data],$DD632,105),0)</f>
        <v/>
      </c>
      <c r="DD632" s="12">
        <f>IFERROR(MATCH($B632,PP_Grid[Intermediate],0),99999)</f>
        <v/>
      </c>
    </row>
    <row r="633">
      <c r="B633" t="inlineStr">
        <is>
          <t>使用量(kg)</t>
        </is>
      </c>
      <c r="C633">
        <f>SUMIFS(M_BOM[RM_Qty_Per_Batch],M_BOM[Intermediate],$B632,M_BOM[Part Name],$A601)</f>
        <v/>
      </c>
      <c r="D633">
        <f>$C633*D632</f>
        <v/>
      </c>
      <c r="E633">
        <f>$C633*E632</f>
        <v/>
      </c>
      <c r="F633">
        <f>$C633*F632</f>
        <v/>
      </c>
      <c r="G633">
        <f>$C633*G632</f>
        <v/>
      </c>
      <c r="H633">
        <f>$C633*H632</f>
        <v/>
      </c>
      <c r="I633">
        <f>$C633*I632</f>
        <v/>
      </c>
      <c r="J633">
        <f>$C633*J632</f>
        <v/>
      </c>
      <c r="K633">
        <f>$C633*K632</f>
        <v/>
      </c>
      <c r="L633">
        <f>$C633*L632</f>
        <v/>
      </c>
      <c r="M633">
        <f>$C633*M632</f>
        <v/>
      </c>
      <c r="N633">
        <f>$C633*N632</f>
        <v/>
      </c>
      <c r="O633">
        <f>$C633*O632</f>
        <v/>
      </c>
      <c r="P633">
        <f>$C633*P632</f>
        <v/>
      </c>
      <c r="Q633">
        <f>$C633*Q632</f>
        <v/>
      </c>
      <c r="R633">
        <f>$C633*R632</f>
        <v/>
      </c>
      <c r="S633">
        <f>$C633*S632</f>
        <v/>
      </c>
      <c r="T633">
        <f>$C633*T632</f>
        <v/>
      </c>
      <c r="U633">
        <f>$C633*U632</f>
        <v/>
      </c>
      <c r="V633">
        <f>$C633*V632</f>
        <v/>
      </c>
      <c r="W633">
        <f>$C633*W632</f>
        <v/>
      </c>
      <c r="X633">
        <f>$C633*X632</f>
        <v/>
      </c>
      <c r="Y633">
        <f>$C633*Y632</f>
        <v/>
      </c>
      <c r="Z633">
        <f>$C633*Z632</f>
        <v/>
      </c>
      <c r="AA633">
        <f>$C633*AA632</f>
        <v/>
      </c>
      <c r="AB633">
        <f>$C633*AB632</f>
        <v/>
      </c>
      <c r="AC633">
        <f>$C633*AC632</f>
        <v/>
      </c>
      <c r="AD633">
        <f>$C633*AD632</f>
        <v/>
      </c>
      <c r="AE633">
        <f>$C633*AE632</f>
        <v/>
      </c>
      <c r="AF633">
        <f>$C633*AF632</f>
        <v/>
      </c>
      <c r="AG633">
        <f>$C633*AG632</f>
        <v/>
      </c>
      <c r="AH633">
        <f>$C633*AH632</f>
        <v/>
      </c>
      <c r="AI633">
        <f>$C633*AI632</f>
        <v/>
      </c>
      <c r="AJ633">
        <f>$C633*AJ632</f>
        <v/>
      </c>
      <c r="AK633">
        <f>$C633*AK632</f>
        <v/>
      </c>
      <c r="AL633">
        <f>$C633*AL632</f>
        <v/>
      </c>
      <c r="AM633">
        <f>$C633*AM632</f>
        <v/>
      </c>
      <c r="AN633">
        <f>$C633*AN632</f>
        <v/>
      </c>
      <c r="AO633">
        <f>$C633*AO632</f>
        <v/>
      </c>
      <c r="AP633">
        <f>$C633*AP632</f>
        <v/>
      </c>
      <c r="AQ633">
        <f>$C633*AQ632</f>
        <v/>
      </c>
      <c r="AR633">
        <f>$C633*AR632</f>
        <v/>
      </c>
      <c r="AS633">
        <f>$C633*AS632</f>
        <v/>
      </c>
      <c r="AT633">
        <f>$C633*AT632</f>
        <v/>
      </c>
      <c r="AU633">
        <f>$C633*AU632</f>
        <v/>
      </c>
      <c r="AV633">
        <f>$C633*AV632</f>
        <v/>
      </c>
      <c r="AW633">
        <f>$C633*AW632</f>
        <v/>
      </c>
      <c r="AX633">
        <f>$C633*AX632</f>
        <v/>
      </c>
      <c r="AY633">
        <f>$C633*AY632</f>
        <v/>
      </c>
      <c r="AZ633">
        <f>$C633*AZ632</f>
        <v/>
      </c>
      <c r="BA633">
        <f>$C633*BA632</f>
        <v/>
      </c>
      <c r="BB633">
        <f>$C633*BB632</f>
        <v/>
      </c>
      <c r="BC633">
        <f>$C633*BC632</f>
        <v/>
      </c>
      <c r="BD633">
        <f>$C633*BD632</f>
        <v/>
      </c>
      <c r="BE633">
        <f>$C633*BE632</f>
        <v/>
      </c>
      <c r="BF633">
        <f>$C633*BF632</f>
        <v/>
      </c>
      <c r="BG633">
        <f>$C633*BG632</f>
        <v/>
      </c>
      <c r="BH633">
        <f>$C633*BH632</f>
        <v/>
      </c>
      <c r="BI633">
        <f>$C633*BI632</f>
        <v/>
      </c>
      <c r="BJ633">
        <f>$C633*BJ632</f>
        <v/>
      </c>
      <c r="BK633">
        <f>$C633*BK632</f>
        <v/>
      </c>
      <c r="BL633">
        <f>$C633*BL632</f>
        <v/>
      </c>
      <c r="BM633">
        <f>$C633*BM632</f>
        <v/>
      </c>
      <c r="BN633">
        <f>$C633*BN632</f>
        <v/>
      </c>
      <c r="BO633">
        <f>$C633*BO632</f>
        <v/>
      </c>
      <c r="BP633">
        <f>$C633*BP632</f>
        <v/>
      </c>
      <c r="BQ633">
        <f>$C633*BQ632</f>
        <v/>
      </c>
      <c r="BR633">
        <f>$C633*BR632</f>
        <v/>
      </c>
      <c r="BS633">
        <f>$C633*BS632</f>
        <v/>
      </c>
      <c r="BT633">
        <f>$C633*BT632</f>
        <v/>
      </c>
      <c r="BU633">
        <f>$C633*BU632</f>
        <v/>
      </c>
      <c r="BV633">
        <f>$C633*BV632</f>
        <v/>
      </c>
      <c r="BW633">
        <f>$C633*BW632</f>
        <v/>
      </c>
      <c r="BX633">
        <f>$C633*BX632</f>
        <v/>
      </c>
      <c r="BY633">
        <f>$C633*BY632</f>
        <v/>
      </c>
      <c r="BZ633">
        <f>$C633*BZ632</f>
        <v/>
      </c>
      <c r="CA633">
        <f>$C633*CA632</f>
        <v/>
      </c>
      <c r="CB633">
        <f>$C633*CB632</f>
        <v/>
      </c>
      <c r="CC633">
        <f>$C633*CC632</f>
        <v/>
      </c>
      <c r="CD633">
        <f>$C633*CD632</f>
        <v/>
      </c>
      <c r="CE633">
        <f>$C633*CE632</f>
        <v/>
      </c>
      <c r="CF633">
        <f>$C633*CF632</f>
        <v/>
      </c>
      <c r="CG633">
        <f>$C633*CG632</f>
        <v/>
      </c>
      <c r="CH633">
        <f>$C633*CH632</f>
        <v/>
      </c>
      <c r="CI633">
        <f>$C633*CI632</f>
        <v/>
      </c>
      <c r="CJ633">
        <f>$C633*CJ632</f>
        <v/>
      </c>
      <c r="CK633">
        <f>$C633*CK632</f>
        <v/>
      </c>
      <c r="CL633">
        <f>$C633*CL632</f>
        <v/>
      </c>
      <c r="CM633">
        <f>$C633*CM632</f>
        <v/>
      </c>
      <c r="CN633">
        <f>$C633*CN632</f>
        <v/>
      </c>
      <c r="CO633">
        <f>$C633*CO632</f>
        <v/>
      </c>
      <c r="CP633">
        <f>$C633*CP632</f>
        <v/>
      </c>
      <c r="CQ633">
        <f>$C633*CQ632</f>
        <v/>
      </c>
      <c r="CR633">
        <f>$C633*CR632</f>
        <v/>
      </c>
      <c r="CS633">
        <f>$C633*CS632</f>
        <v/>
      </c>
      <c r="CT633">
        <f>$C633*CT632</f>
        <v/>
      </c>
      <c r="CU633">
        <f>$C633*CU632</f>
        <v/>
      </c>
      <c r="CV633">
        <f>$C633*CV632</f>
        <v/>
      </c>
      <c r="CW633">
        <f>$C633*CW632</f>
        <v/>
      </c>
      <c r="CX633">
        <f>$C633*CX632</f>
        <v/>
      </c>
      <c r="CY633">
        <f>$C633*CY632</f>
        <v/>
      </c>
      <c r="CZ633">
        <f>$C633*CZ632</f>
        <v/>
      </c>
      <c r="DA633">
        <f>$C633*DA632</f>
        <v/>
      </c>
      <c r="DB633">
        <f>$C633*DB632</f>
        <v/>
      </c>
      <c r="DC633">
        <f>$C633*DC632</f>
        <v/>
      </c>
    </row>
    <row r="634">
      <c r="B634" t="inlineStr">
        <is>
          <t>VSP-910</t>
        </is>
      </c>
      <c r="C634" t="inlineStr">
        <is>
          <t>No. of batches</t>
        </is>
      </c>
      <c r="D634">
        <f>IFERROR(INDEX(PP_Grid[#Data],$DD634,2),0)</f>
        <v/>
      </c>
      <c r="E634">
        <f>IFERROR(INDEX(PP_Grid[#Data],$DD634,3),0)</f>
        <v/>
      </c>
      <c r="F634">
        <f>IFERROR(INDEX(PP_Grid[#Data],$DD634,4),0)</f>
        <v/>
      </c>
      <c r="G634">
        <f>IFERROR(INDEX(PP_Grid[#Data],$DD634,5),0)</f>
        <v/>
      </c>
      <c r="H634">
        <f>IFERROR(INDEX(PP_Grid[#Data],$DD634,6),0)</f>
        <v/>
      </c>
      <c r="I634">
        <f>IFERROR(INDEX(PP_Grid[#Data],$DD634,7),0)</f>
        <v/>
      </c>
      <c r="J634">
        <f>IFERROR(INDEX(PP_Grid[#Data],$DD634,8),0)</f>
        <v/>
      </c>
      <c r="K634">
        <f>IFERROR(INDEX(PP_Grid[#Data],$DD634,9),0)</f>
        <v/>
      </c>
      <c r="L634">
        <f>IFERROR(INDEX(PP_Grid[#Data],$DD634,10),0)</f>
        <v/>
      </c>
      <c r="M634">
        <f>IFERROR(INDEX(PP_Grid[#Data],$DD634,11),0)</f>
        <v/>
      </c>
      <c r="N634">
        <f>IFERROR(INDEX(PP_Grid[#Data],$DD634,12),0)</f>
        <v/>
      </c>
      <c r="O634">
        <f>IFERROR(INDEX(PP_Grid[#Data],$DD634,13),0)</f>
        <v/>
      </c>
      <c r="P634">
        <f>IFERROR(INDEX(PP_Grid[#Data],$DD634,14),0)</f>
        <v/>
      </c>
      <c r="Q634">
        <f>IFERROR(INDEX(PP_Grid[#Data],$DD634,15),0)</f>
        <v/>
      </c>
      <c r="R634">
        <f>IFERROR(INDEX(PP_Grid[#Data],$DD634,16),0)</f>
        <v/>
      </c>
      <c r="S634">
        <f>IFERROR(INDEX(PP_Grid[#Data],$DD634,17),0)</f>
        <v/>
      </c>
      <c r="T634">
        <f>IFERROR(INDEX(PP_Grid[#Data],$DD634,18),0)</f>
        <v/>
      </c>
      <c r="U634">
        <f>IFERROR(INDEX(PP_Grid[#Data],$DD634,19),0)</f>
        <v/>
      </c>
      <c r="V634">
        <f>IFERROR(INDEX(PP_Grid[#Data],$DD634,20),0)</f>
        <v/>
      </c>
      <c r="W634">
        <f>IFERROR(INDEX(PP_Grid[#Data],$DD634,21),0)</f>
        <v/>
      </c>
      <c r="X634">
        <f>IFERROR(INDEX(PP_Grid[#Data],$DD634,22),0)</f>
        <v/>
      </c>
      <c r="Y634">
        <f>IFERROR(INDEX(PP_Grid[#Data],$DD634,23),0)</f>
        <v/>
      </c>
      <c r="Z634">
        <f>IFERROR(INDEX(PP_Grid[#Data],$DD634,24),0)</f>
        <v/>
      </c>
      <c r="AA634">
        <f>IFERROR(INDEX(PP_Grid[#Data],$DD634,25),0)</f>
        <v/>
      </c>
      <c r="AB634">
        <f>IFERROR(INDEX(PP_Grid[#Data],$DD634,26),0)</f>
        <v/>
      </c>
      <c r="AC634">
        <f>IFERROR(INDEX(PP_Grid[#Data],$DD634,27),0)</f>
        <v/>
      </c>
      <c r="AD634">
        <f>IFERROR(INDEX(PP_Grid[#Data],$DD634,28),0)</f>
        <v/>
      </c>
      <c r="AE634">
        <f>IFERROR(INDEX(PP_Grid[#Data],$DD634,29),0)</f>
        <v/>
      </c>
      <c r="AF634">
        <f>IFERROR(INDEX(PP_Grid[#Data],$DD634,30),0)</f>
        <v/>
      </c>
      <c r="AG634">
        <f>IFERROR(INDEX(PP_Grid[#Data],$DD634,31),0)</f>
        <v/>
      </c>
      <c r="AH634">
        <f>IFERROR(INDEX(PP_Grid[#Data],$DD634,32),0)</f>
        <v/>
      </c>
      <c r="AI634">
        <f>IFERROR(INDEX(PP_Grid[#Data],$DD634,33),0)</f>
        <v/>
      </c>
      <c r="AJ634">
        <f>IFERROR(INDEX(PP_Grid[#Data],$DD634,34),0)</f>
        <v/>
      </c>
      <c r="AK634">
        <f>IFERROR(INDEX(PP_Grid[#Data],$DD634,35),0)</f>
        <v/>
      </c>
      <c r="AL634">
        <f>IFERROR(INDEX(PP_Grid[#Data],$DD634,36),0)</f>
        <v/>
      </c>
      <c r="AM634">
        <f>IFERROR(INDEX(PP_Grid[#Data],$DD634,37),0)</f>
        <v/>
      </c>
      <c r="AN634">
        <f>IFERROR(INDEX(PP_Grid[#Data],$DD634,38),0)</f>
        <v/>
      </c>
      <c r="AO634">
        <f>IFERROR(INDEX(PP_Grid[#Data],$DD634,39),0)</f>
        <v/>
      </c>
      <c r="AP634">
        <f>IFERROR(INDEX(PP_Grid[#Data],$DD634,40),0)</f>
        <v/>
      </c>
      <c r="AQ634">
        <f>IFERROR(INDEX(PP_Grid[#Data],$DD634,41),0)</f>
        <v/>
      </c>
      <c r="AR634">
        <f>IFERROR(INDEX(PP_Grid[#Data],$DD634,42),0)</f>
        <v/>
      </c>
      <c r="AS634">
        <f>IFERROR(INDEX(PP_Grid[#Data],$DD634,43),0)</f>
        <v/>
      </c>
      <c r="AT634">
        <f>IFERROR(INDEX(PP_Grid[#Data],$DD634,44),0)</f>
        <v/>
      </c>
      <c r="AU634">
        <f>IFERROR(INDEX(PP_Grid[#Data],$DD634,45),0)</f>
        <v/>
      </c>
      <c r="AV634">
        <f>IFERROR(INDEX(PP_Grid[#Data],$DD634,46),0)</f>
        <v/>
      </c>
      <c r="AW634">
        <f>IFERROR(INDEX(PP_Grid[#Data],$DD634,47),0)</f>
        <v/>
      </c>
      <c r="AX634">
        <f>IFERROR(INDEX(PP_Grid[#Data],$DD634,48),0)</f>
        <v/>
      </c>
      <c r="AY634">
        <f>IFERROR(INDEX(PP_Grid[#Data],$DD634,49),0)</f>
        <v/>
      </c>
      <c r="AZ634">
        <f>IFERROR(INDEX(PP_Grid[#Data],$DD634,50),0)</f>
        <v/>
      </c>
      <c r="BA634">
        <f>IFERROR(INDEX(PP_Grid[#Data],$DD634,51),0)</f>
        <v/>
      </c>
      <c r="BB634">
        <f>IFERROR(INDEX(PP_Grid[#Data],$DD634,52),0)</f>
        <v/>
      </c>
      <c r="BC634">
        <f>IFERROR(INDEX(PP_Grid[#Data],$DD634,53),0)</f>
        <v/>
      </c>
      <c r="BD634">
        <f>IFERROR(INDEX(PP_Grid[#Data],$DD634,54),0)</f>
        <v/>
      </c>
      <c r="BE634">
        <f>IFERROR(INDEX(PP_Grid[#Data],$DD634,55),0)</f>
        <v/>
      </c>
      <c r="BF634">
        <f>IFERROR(INDEX(PP_Grid[#Data],$DD634,56),0)</f>
        <v/>
      </c>
      <c r="BG634">
        <f>IFERROR(INDEX(PP_Grid[#Data],$DD634,57),0)</f>
        <v/>
      </c>
      <c r="BH634">
        <f>IFERROR(INDEX(PP_Grid[#Data],$DD634,58),0)</f>
        <v/>
      </c>
      <c r="BI634">
        <f>IFERROR(INDEX(PP_Grid[#Data],$DD634,59),0)</f>
        <v/>
      </c>
      <c r="BJ634">
        <f>IFERROR(INDEX(PP_Grid[#Data],$DD634,60),0)</f>
        <v/>
      </c>
      <c r="BK634">
        <f>IFERROR(INDEX(PP_Grid[#Data],$DD634,61),0)</f>
        <v/>
      </c>
      <c r="BL634">
        <f>IFERROR(INDEX(PP_Grid[#Data],$DD634,62),0)</f>
        <v/>
      </c>
      <c r="BM634">
        <f>IFERROR(INDEX(PP_Grid[#Data],$DD634,63),0)</f>
        <v/>
      </c>
      <c r="BN634">
        <f>IFERROR(INDEX(PP_Grid[#Data],$DD634,64),0)</f>
        <v/>
      </c>
      <c r="BO634">
        <f>IFERROR(INDEX(PP_Grid[#Data],$DD634,65),0)</f>
        <v/>
      </c>
      <c r="BP634">
        <f>IFERROR(INDEX(PP_Grid[#Data],$DD634,66),0)</f>
        <v/>
      </c>
      <c r="BQ634">
        <f>IFERROR(INDEX(PP_Grid[#Data],$DD634,67),0)</f>
        <v/>
      </c>
      <c r="BR634">
        <f>IFERROR(INDEX(PP_Grid[#Data],$DD634,68),0)</f>
        <v/>
      </c>
      <c r="BS634">
        <f>IFERROR(INDEX(PP_Grid[#Data],$DD634,69),0)</f>
        <v/>
      </c>
      <c r="BT634">
        <f>IFERROR(INDEX(PP_Grid[#Data],$DD634,70),0)</f>
        <v/>
      </c>
      <c r="BU634">
        <f>IFERROR(INDEX(PP_Grid[#Data],$DD634,71),0)</f>
        <v/>
      </c>
      <c r="BV634">
        <f>IFERROR(INDEX(PP_Grid[#Data],$DD634,72),0)</f>
        <v/>
      </c>
      <c r="BW634">
        <f>IFERROR(INDEX(PP_Grid[#Data],$DD634,73),0)</f>
        <v/>
      </c>
      <c r="BX634">
        <f>IFERROR(INDEX(PP_Grid[#Data],$DD634,74),0)</f>
        <v/>
      </c>
      <c r="BY634">
        <f>IFERROR(INDEX(PP_Grid[#Data],$DD634,75),0)</f>
        <v/>
      </c>
      <c r="BZ634">
        <f>IFERROR(INDEX(PP_Grid[#Data],$DD634,76),0)</f>
        <v/>
      </c>
      <c r="CA634">
        <f>IFERROR(INDEX(PP_Grid[#Data],$DD634,77),0)</f>
        <v/>
      </c>
      <c r="CB634">
        <f>IFERROR(INDEX(PP_Grid[#Data],$DD634,78),0)</f>
        <v/>
      </c>
      <c r="CC634">
        <f>IFERROR(INDEX(PP_Grid[#Data],$DD634,79),0)</f>
        <v/>
      </c>
      <c r="CD634">
        <f>IFERROR(INDEX(PP_Grid[#Data],$DD634,80),0)</f>
        <v/>
      </c>
      <c r="CE634">
        <f>IFERROR(INDEX(PP_Grid[#Data],$DD634,81),0)</f>
        <v/>
      </c>
      <c r="CF634">
        <f>IFERROR(INDEX(PP_Grid[#Data],$DD634,82),0)</f>
        <v/>
      </c>
      <c r="CG634">
        <f>IFERROR(INDEX(PP_Grid[#Data],$DD634,83),0)</f>
        <v/>
      </c>
      <c r="CH634">
        <f>IFERROR(INDEX(PP_Grid[#Data],$DD634,84),0)</f>
        <v/>
      </c>
      <c r="CI634">
        <f>IFERROR(INDEX(PP_Grid[#Data],$DD634,85),0)</f>
        <v/>
      </c>
      <c r="CJ634">
        <f>IFERROR(INDEX(PP_Grid[#Data],$DD634,86),0)</f>
        <v/>
      </c>
      <c r="CK634">
        <f>IFERROR(INDEX(PP_Grid[#Data],$DD634,87),0)</f>
        <v/>
      </c>
      <c r="CL634">
        <f>IFERROR(INDEX(PP_Grid[#Data],$DD634,88),0)</f>
        <v/>
      </c>
      <c r="CM634">
        <f>IFERROR(INDEX(PP_Grid[#Data],$DD634,89),0)</f>
        <v/>
      </c>
      <c r="CN634">
        <f>IFERROR(INDEX(PP_Grid[#Data],$DD634,90),0)</f>
        <v/>
      </c>
      <c r="CO634">
        <f>IFERROR(INDEX(PP_Grid[#Data],$DD634,91),0)</f>
        <v/>
      </c>
      <c r="CP634">
        <f>IFERROR(INDEX(PP_Grid[#Data],$DD634,92),0)</f>
        <v/>
      </c>
      <c r="CQ634">
        <f>IFERROR(INDEX(PP_Grid[#Data],$DD634,93),0)</f>
        <v/>
      </c>
      <c r="CR634">
        <f>IFERROR(INDEX(PP_Grid[#Data],$DD634,94),0)</f>
        <v/>
      </c>
      <c r="CS634">
        <f>IFERROR(INDEX(PP_Grid[#Data],$DD634,95),0)</f>
        <v/>
      </c>
      <c r="CT634">
        <f>IFERROR(INDEX(PP_Grid[#Data],$DD634,96),0)</f>
        <v/>
      </c>
      <c r="CU634">
        <f>IFERROR(INDEX(PP_Grid[#Data],$DD634,97),0)</f>
        <v/>
      </c>
      <c r="CV634">
        <f>IFERROR(INDEX(PP_Grid[#Data],$DD634,98),0)</f>
        <v/>
      </c>
      <c r="CW634">
        <f>IFERROR(INDEX(PP_Grid[#Data],$DD634,99),0)</f>
        <v/>
      </c>
      <c r="CX634">
        <f>IFERROR(INDEX(PP_Grid[#Data],$DD634,100),0)</f>
        <v/>
      </c>
      <c r="CY634">
        <f>IFERROR(INDEX(PP_Grid[#Data],$DD634,101),0)</f>
        <v/>
      </c>
      <c r="CZ634">
        <f>IFERROR(INDEX(PP_Grid[#Data],$DD634,102),0)</f>
        <v/>
      </c>
      <c r="DA634">
        <f>IFERROR(INDEX(PP_Grid[#Data],$DD634,103),0)</f>
        <v/>
      </c>
      <c r="DB634">
        <f>IFERROR(INDEX(PP_Grid[#Data],$DD634,104),0)</f>
        <v/>
      </c>
      <c r="DC634">
        <f>IFERROR(INDEX(PP_Grid[#Data],$DD634,105),0)</f>
        <v/>
      </c>
      <c r="DD634" s="12">
        <f>IFERROR(MATCH($B634,PP_Grid[Intermediate],0),99999)</f>
        <v/>
      </c>
    </row>
    <row r="635">
      <c r="B635" t="inlineStr">
        <is>
          <t>使用量(kg)</t>
        </is>
      </c>
      <c r="C635">
        <f>SUMIFS(M_BOM[RM_Qty_Per_Batch],M_BOM[Intermediate],$B634,M_BOM[Part Name],$A601)</f>
        <v/>
      </c>
      <c r="D635">
        <f>$C635*D634</f>
        <v/>
      </c>
      <c r="E635">
        <f>$C635*E634</f>
        <v/>
      </c>
      <c r="F635">
        <f>$C635*F634</f>
        <v/>
      </c>
      <c r="G635">
        <f>$C635*G634</f>
        <v/>
      </c>
      <c r="H635">
        <f>$C635*H634</f>
        <v/>
      </c>
      <c r="I635">
        <f>$C635*I634</f>
        <v/>
      </c>
      <c r="J635">
        <f>$C635*J634</f>
        <v/>
      </c>
      <c r="K635">
        <f>$C635*K634</f>
        <v/>
      </c>
      <c r="L635">
        <f>$C635*L634</f>
        <v/>
      </c>
      <c r="M635">
        <f>$C635*M634</f>
        <v/>
      </c>
      <c r="N635">
        <f>$C635*N634</f>
        <v/>
      </c>
      <c r="O635">
        <f>$C635*O634</f>
        <v/>
      </c>
      <c r="P635">
        <f>$C635*P634</f>
        <v/>
      </c>
      <c r="Q635">
        <f>$C635*Q634</f>
        <v/>
      </c>
      <c r="R635">
        <f>$C635*R634</f>
        <v/>
      </c>
      <c r="S635">
        <f>$C635*S634</f>
        <v/>
      </c>
      <c r="T635">
        <f>$C635*T634</f>
        <v/>
      </c>
      <c r="U635">
        <f>$C635*U634</f>
        <v/>
      </c>
      <c r="V635">
        <f>$C635*V634</f>
        <v/>
      </c>
      <c r="W635">
        <f>$C635*W634</f>
        <v/>
      </c>
      <c r="X635">
        <f>$C635*X634</f>
        <v/>
      </c>
      <c r="Y635">
        <f>$C635*Y634</f>
        <v/>
      </c>
      <c r="Z635">
        <f>$C635*Z634</f>
        <v/>
      </c>
      <c r="AA635">
        <f>$C635*AA634</f>
        <v/>
      </c>
      <c r="AB635">
        <f>$C635*AB634</f>
        <v/>
      </c>
      <c r="AC635">
        <f>$C635*AC634</f>
        <v/>
      </c>
      <c r="AD635">
        <f>$C635*AD634</f>
        <v/>
      </c>
      <c r="AE635">
        <f>$C635*AE634</f>
        <v/>
      </c>
      <c r="AF635">
        <f>$C635*AF634</f>
        <v/>
      </c>
      <c r="AG635">
        <f>$C635*AG634</f>
        <v/>
      </c>
      <c r="AH635">
        <f>$C635*AH634</f>
        <v/>
      </c>
      <c r="AI635">
        <f>$C635*AI634</f>
        <v/>
      </c>
      <c r="AJ635">
        <f>$C635*AJ634</f>
        <v/>
      </c>
      <c r="AK635">
        <f>$C635*AK634</f>
        <v/>
      </c>
      <c r="AL635">
        <f>$C635*AL634</f>
        <v/>
      </c>
      <c r="AM635">
        <f>$C635*AM634</f>
        <v/>
      </c>
      <c r="AN635">
        <f>$C635*AN634</f>
        <v/>
      </c>
      <c r="AO635">
        <f>$C635*AO634</f>
        <v/>
      </c>
      <c r="AP635">
        <f>$C635*AP634</f>
        <v/>
      </c>
      <c r="AQ635">
        <f>$C635*AQ634</f>
        <v/>
      </c>
      <c r="AR635">
        <f>$C635*AR634</f>
        <v/>
      </c>
      <c r="AS635">
        <f>$C635*AS634</f>
        <v/>
      </c>
      <c r="AT635">
        <f>$C635*AT634</f>
        <v/>
      </c>
      <c r="AU635">
        <f>$C635*AU634</f>
        <v/>
      </c>
      <c r="AV635">
        <f>$C635*AV634</f>
        <v/>
      </c>
      <c r="AW635">
        <f>$C635*AW634</f>
        <v/>
      </c>
      <c r="AX635">
        <f>$C635*AX634</f>
        <v/>
      </c>
      <c r="AY635">
        <f>$C635*AY634</f>
        <v/>
      </c>
      <c r="AZ635">
        <f>$C635*AZ634</f>
        <v/>
      </c>
      <c r="BA635">
        <f>$C635*BA634</f>
        <v/>
      </c>
      <c r="BB635">
        <f>$C635*BB634</f>
        <v/>
      </c>
      <c r="BC635">
        <f>$C635*BC634</f>
        <v/>
      </c>
      <c r="BD635">
        <f>$C635*BD634</f>
        <v/>
      </c>
      <c r="BE635">
        <f>$C635*BE634</f>
        <v/>
      </c>
      <c r="BF635">
        <f>$C635*BF634</f>
        <v/>
      </c>
      <c r="BG635">
        <f>$C635*BG634</f>
        <v/>
      </c>
      <c r="BH635">
        <f>$C635*BH634</f>
        <v/>
      </c>
      <c r="BI635">
        <f>$C635*BI634</f>
        <v/>
      </c>
      <c r="BJ635">
        <f>$C635*BJ634</f>
        <v/>
      </c>
      <c r="BK635">
        <f>$C635*BK634</f>
        <v/>
      </c>
      <c r="BL635">
        <f>$C635*BL634</f>
        <v/>
      </c>
      <c r="BM635">
        <f>$C635*BM634</f>
        <v/>
      </c>
      <c r="BN635">
        <f>$C635*BN634</f>
        <v/>
      </c>
      <c r="BO635">
        <f>$C635*BO634</f>
        <v/>
      </c>
      <c r="BP635">
        <f>$C635*BP634</f>
        <v/>
      </c>
      <c r="BQ635">
        <f>$C635*BQ634</f>
        <v/>
      </c>
      <c r="BR635">
        <f>$C635*BR634</f>
        <v/>
      </c>
      <c r="BS635">
        <f>$C635*BS634</f>
        <v/>
      </c>
      <c r="BT635">
        <f>$C635*BT634</f>
        <v/>
      </c>
      <c r="BU635">
        <f>$C635*BU634</f>
        <v/>
      </c>
      <c r="BV635">
        <f>$C635*BV634</f>
        <v/>
      </c>
      <c r="BW635">
        <f>$C635*BW634</f>
        <v/>
      </c>
      <c r="BX635">
        <f>$C635*BX634</f>
        <v/>
      </c>
      <c r="BY635">
        <f>$C635*BY634</f>
        <v/>
      </c>
      <c r="BZ635">
        <f>$C635*BZ634</f>
        <v/>
      </c>
      <c r="CA635">
        <f>$C635*CA634</f>
        <v/>
      </c>
      <c r="CB635">
        <f>$C635*CB634</f>
        <v/>
      </c>
      <c r="CC635">
        <f>$C635*CC634</f>
        <v/>
      </c>
      <c r="CD635">
        <f>$C635*CD634</f>
        <v/>
      </c>
      <c r="CE635">
        <f>$C635*CE634</f>
        <v/>
      </c>
      <c r="CF635">
        <f>$C635*CF634</f>
        <v/>
      </c>
      <c r="CG635">
        <f>$C635*CG634</f>
        <v/>
      </c>
      <c r="CH635">
        <f>$C635*CH634</f>
        <v/>
      </c>
      <c r="CI635">
        <f>$C635*CI634</f>
        <v/>
      </c>
      <c r="CJ635">
        <f>$C635*CJ634</f>
        <v/>
      </c>
      <c r="CK635">
        <f>$C635*CK634</f>
        <v/>
      </c>
      <c r="CL635">
        <f>$C635*CL634</f>
        <v/>
      </c>
      <c r="CM635">
        <f>$C635*CM634</f>
        <v/>
      </c>
      <c r="CN635">
        <f>$C635*CN634</f>
        <v/>
      </c>
      <c r="CO635">
        <f>$C635*CO634</f>
        <v/>
      </c>
      <c r="CP635">
        <f>$C635*CP634</f>
        <v/>
      </c>
      <c r="CQ635">
        <f>$C635*CQ634</f>
        <v/>
      </c>
      <c r="CR635">
        <f>$C635*CR634</f>
        <v/>
      </c>
      <c r="CS635">
        <f>$C635*CS634</f>
        <v/>
      </c>
      <c r="CT635">
        <f>$C635*CT634</f>
        <v/>
      </c>
      <c r="CU635">
        <f>$C635*CU634</f>
        <v/>
      </c>
      <c r="CV635">
        <f>$C635*CV634</f>
        <v/>
      </c>
      <c r="CW635">
        <f>$C635*CW634</f>
        <v/>
      </c>
      <c r="CX635">
        <f>$C635*CX634</f>
        <v/>
      </c>
      <c r="CY635">
        <f>$C635*CY634</f>
        <v/>
      </c>
      <c r="CZ635">
        <f>$C635*CZ634</f>
        <v/>
      </c>
      <c r="DA635">
        <f>$C635*DA634</f>
        <v/>
      </c>
      <c r="DB635">
        <f>$C635*DB634</f>
        <v/>
      </c>
      <c r="DC635">
        <f>$C635*DC634</f>
        <v/>
      </c>
    </row>
    <row r="636">
      <c r="B636" t="inlineStr">
        <is>
          <t>VSP-990</t>
        </is>
      </c>
      <c r="C636" t="inlineStr">
        <is>
          <t>No. of batches</t>
        </is>
      </c>
      <c r="D636">
        <f>IFERROR(INDEX(PP_Grid[#Data],$DD636,2),0)</f>
        <v/>
      </c>
      <c r="E636">
        <f>IFERROR(INDEX(PP_Grid[#Data],$DD636,3),0)</f>
        <v/>
      </c>
      <c r="F636">
        <f>IFERROR(INDEX(PP_Grid[#Data],$DD636,4),0)</f>
        <v/>
      </c>
      <c r="G636">
        <f>IFERROR(INDEX(PP_Grid[#Data],$DD636,5),0)</f>
        <v/>
      </c>
      <c r="H636">
        <f>IFERROR(INDEX(PP_Grid[#Data],$DD636,6),0)</f>
        <v/>
      </c>
      <c r="I636">
        <f>IFERROR(INDEX(PP_Grid[#Data],$DD636,7),0)</f>
        <v/>
      </c>
      <c r="J636">
        <f>IFERROR(INDEX(PP_Grid[#Data],$DD636,8),0)</f>
        <v/>
      </c>
      <c r="K636">
        <f>IFERROR(INDEX(PP_Grid[#Data],$DD636,9),0)</f>
        <v/>
      </c>
      <c r="L636">
        <f>IFERROR(INDEX(PP_Grid[#Data],$DD636,10),0)</f>
        <v/>
      </c>
      <c r="M636">
        <f>IFERROR(INDEX(PP_Grid[#Data],$DD636,11),0)</f>
        <v/>
      </c>
      <c r="N636">
        <f>IFERROR(INDEX(PP_Grid[#Data],$DD636,12),0)</f>
        <v/>
      </c>
      <c r="O636">
        <f>IFERROR(INDEX(PP_Grid[#Data],$DD636,13),0)</f>
        <v/>
      </c>
      <c r="P636">
        <f>IFERROR(INDEX(PP_Grid[#Data],$DD636,14),0)</f>
        <v/>
      </c>
      <c r="Q636">
        <f>IFERROR(INDEX(PP_Grid[#Data],$DD636,15),0)</f>
        <v/>
      </c>
      <c r="R636">
        <f>IFERROR(INDEX(PP_Grid[#Data],$DD636,16),0)</f>
        <v/>
      </c>
      <c r="S636">
        <f>IFERROR(INDEX(PP_Grid[#Data],$DD636,17),0)</f>
        <v/>
      </c>
      <c r="T636">
        <f>IFERROR(INDEX(PP_Grid[#Data],$DD636,18),0)</f>
        <v/>
      </c>
      <c r="U636">
        <f>IFERROR(INDEX(PP_Grid[#Data],$DD636,19),0)</f>
        <v/>
      </c>
      <c r="V636">
        <f>IFERROR(INDEX(PP_Grid[#Data],$DD636,20),0)</f>
        <v/>
      </c>
      <c r="W636">
        <f>IFERROR(INDEX(PP_Grid[#Data],$DD636,21),0)</f>
        <v/>
      </c>
      <c r="X636">
        <f>IFERROR(INDEX(PP_Grid[#Data],$DD636,22),0)</f>
        <v/>
      </c>
      <c r="Y636">
        <f>IFERROR(INDEX(PP_Grid[#Data],$DD636,23),0)</f>
        <v/>
      </c>
      <c r="Z636">
        <f>IFERROR(INDEX(PP_Grid[#Data],$DD636,24),0)</f>
        <v/>
      </c>
      <c r="AA636">
        <f>IFERROR(INDEX(PP_Grid[#Data],$DD636,25),0)</f>
        <v/>
      </c>
      <c r="AB636">
        <f>IFERROR(INDEX(PP_Grid[#Data],$DD636,26),0)</f>
        <v/>
      </c>
      <c r="AC636">
        <f>IFERROR(INDEX(PP_Grid[#Data],$DD636,27),0)</f>
        <v/>
      </c>
      <c r="AD636">
        <f>IFERROR(INDEX(PP_Grid[#Data],$DD636,28),0)</f>
        <v/>
      </c>
      <c r="AE636">
        <f>IFERROR(INDEX(PP_Grid[#Data],$DD636,29),0)</f>
        <v/>
      </c>
      <c r="AF636">
        <f>IFERROR(INDEX(PP_Grid[#Data],$DD636,30),0)</f>
        <v/>
      </c>
      <c r="AG636">
        <f>IFERROR(INDEX(PP_Grid[#Data],$DD636,31),0)</f>
        <v/>
      </c>
      <c r="AH636">
        <f>IFERROR(INDEX(PP_Grid[#Data],$DD636,32),0)</f>
        <v/>
      </c>
      <c r="AI636">
        <f>IFERROR(INDEX(PP_Grid[#Data],$DD636,33),0)</f>
        <v/>
      </c>
      <c r="AJ636">
        <f>IFERROR(INDEX(PP_Grid[#Data],$DD636,34),0)</f>
        <v/>
      </c>
      <c r="AK636">
        <f>IFERROR(INDEX(PP_Grid[#Data],$DD636,35),0)</f>
        <v/>
      </c>
      <c r="AL636">
        <f>IFERROR(INDEX(PP_Grid[#Data],$DD636,36),0)</f>
        <v/>
      </c>
      <c r="AM636">
        <f>IFERROR(INDEX(PP_Grid[#Data],$DD636,37),0)</f>
        <v/>
      </c>
      <c r="AN636">
        <f>IFERROR(INDEX(PP_Grid[#Data],$DD636,38),0)</f>
        <v/>
      </c>
      <c r="AO636">
        <f>IFERROR(INDEX(PP_Grid[#Data],$DD636,39),0)</f>
        <v/>
      </c>
      <c r="AP636">
        <f>IFERROR(INDEX(PP_Grid[#Data],$DD636,40),0)</f>
        <v/>
      </c>
      <c r="AQ636">
        <f>IFERROR(INDEX(PP_Grid[#Data],$DD636,41),0)</f>
        <v/>
      </c>
      <c r="AR636">
        <f>IFERROR(INDEX(PP_Grid[#Data],$DD636,42),0)</f>
        <v/>
      </c>
      <c r="AS636">
        <f>IFERROR(INDEX(PP_Grid[#Data],$DD636,43),0)</f>
        <v/>
      </c>
      <c r="AT636">
        <f>IFERROR(INDEX(PP_Grid[#Data],$DD636,44),0)</f>
        <v/>
      </c>
      <c r="AU636">
        <f>IFERROR(INDEX(PP_Grid[#Data],$DD636,45),0)</f>
        <v/>
      </c>
      <c r="AV636">
        <f>IFERROR(INDEX(PP_Grid[#Data],$DD636,46),0)</f>
        <v/>
      </c>
      <c r="AW636">
        <f>IFERROR(INDEX(PP_Grid[#Data],$DD636,47),0)</f>
        <v/>
      </c>
      <c r="AX636">
        <f>IFERROR(INDEX(PP_Grid[#Data],$DD636,48),0)</f>
        <v/>
      </c>
      <c r="AY636">
        <f>IFERROR(INDEX(PP_Grid[#Data],$DD636,49),0)</f>
        <v/>
      </c>
      <c r="AZ636">
        <f>IFERROR(INDEX(PP_Grid[#Data],$DD636,50),0)</f>
        <v/>
      </c>
      <c r="BA636">
        <f>IFERROR(INDEX(PP_Grid[#Data],$DD636,51),0)</f>
        <v/>
      </c>
      <c r="BB636">
        <f>IFERROR(INDEX(PP_Grid[#Data],$DD636,52),0)</f>
        <v/>
      </c>
      <c r="BC636">
        <f>IFERROR(INDEX(PP_Grid[#Data],$DD636,53),0)</f>
        <v/>
      </c>
      <c r="BD636">
        <f>IFERROR(INDEX(PP_Grid[#Data],$DD636,54),0)</f>
        <v/>
      </c>
      <c r="BE636">
        <f>IFERROR(INDEX(PP_Grid[#Data],$DD636,55),0)</f>
        <v/>
      </c>
      <c r="BF636">
        <f>IFERROR(INDEX(PP_Grid[#Data],$DD636,56),0)</f>
        <v/>
      </c>
      <c r="BG636">
        <f>IFERROR(INDEX(PP_Grid[#Data],$DD636,57),0)</f>
        <v/>
      </c>
      <c r="BH636">
        <f>IFERROR(INDEX(PP_Grid[#Data],$DD636,58),0)</f>
        <v/>
      </c>
      <c r="BI636">
        <f>IFERROR(INDEX(PP_Grid[#Data],$DD636,59),0)</f>
        <v/>
      </c>
      <c r="BJ636">
        <f>IFERROR(INDEX(PP_Grid[#Data],$DD636,60),0)</f>
        <v/>
      </c>
      <c r="BK636">
        <f>IFERROR(INDEX(PP_Grid[#Data],$DD636,61),0)</f>
        <v/>
      </c>
      <c r="BL636">
        <f>IFERROR(INDEX(PP_Grid[#Data],$DD636,62),0)</f>
        <v/>
      </c>
      <c r="BM636">
        <f>IFERROR(INDEX(PP_Grid[#Data],$DD636,63),0)</f>
        <v/>
      </c>
      <c r="BN636">
        <f>IFERROR(INDEX(PP_Grid[#Data],$DD636,64),0)</f>
        <v/>
      </c>
      <c r="BO636">
        <f>IFERROR(INDEX(PP_Grid[#Data],$DD636,65),0)</f>
        <v/>
      </c>
      <c r="BP636">
        <f>IFERROR(INDEX(PP_Grid[#Data],$DD636,66),0)</f>
        <v/>
      </c>
      <c r="BQ636">
        <f>IFERROR(INDEX(PP_Grid[#Data],$DD636,67),0)</f>
        <v/>
      </c>
      <c r="BR636">
        <f>IFERROR(INDEX(PP_Grid[#Data],$DD636,68),0)</f>
        <v/>
      </c>
      <c r="BS636">
        <f>IFERROR(INDEX(PP_Grid[#Data],$DD636,69),0)</f>
        <v/>
      </c>
      <c r="BT636">
        <f>IFERROR(INDEX(PP_Grid[#Data],$DD636,70),0)</f>
        <v/>
      </c>
      <c r="BU636">
        <f>IFERROR(INDEX(PP_Grid[#Data],$DD636,71),0)</f>
        <v/>
      </c>
      <c r="BV636">
        <f>IFERROR(INDEX(PP_Grid[#Data],$DD636,72),0)</f>
        <v/>
      </c>
      <c r="BW636">
        <f>IFERROR(INDEX(PP_Grid[#Data],$DD636,73),0)</f>
        <v/>
      </c>
      <c r="BX636">
        <f>IFERROR(INDEX(PP_Grid[#Data],$DD636,74),0)</f>
        <v/>
      </c>
      <c r="BY636">
        <f>IFERROR(INDEX(PP_Grid[#Data],$DD636,75),0)</f>
        <v/>
      </c>
      <c r="BZ636">
        <f>IFERROR(INDEX(PP_Grid[#Data],$DD636,76),0)</f>
        <v/>
      </c>
      <c r="CA636">
        <f>IFERROR(INDEX(PP_Grid[#Data],$DD636,77),0)</f>
        <v/>
      </c>
      <c r="CB636">
        <f>IFERROR(INDEX(PP_Grid[#Data],$DD636,78),0)</f>
        <v/>
      </c>
      <c r="CC636">
        <f>IFERROR(INDEX(PP_Grid[#Data],$DD636,79),0)</f>
        <v/>
      </c>
      <c r="CD636">
        <f>IFERROR(INDEX(PP_Grid[#Data],$DD636,80),0)</f>
        <v/>
      </c>
      <c r="CE636">
        <f>IFERROR(INDEX(PP_Grid[#Data],$DD636,81),0)</f>
        <v/>
      </c>
      <c r="CF636">
        <f>IFERROR(INDEX(PP_Grid[#Data],$DD636,82),0)</f>
        <v/>
      </c>
      <c r="CG636">
        <f>IFERROR(INDEX(PP_Grid[#Data],$DD636,83),0)</f>
        <v/>
      </c>
      <c r="CH636">
        <f>IFERROR(INDEX(PP_Grid[#Data],$DD636,84),0)</f>
        <v/>
      </c>
      <c r="CI636">
        <f>IFERROR(INDEX(PP_Grid[#Data],$DD636,85),0)</f>
        <v/>
      </c>
      <c r="CJ636">
        <f>IFERROR(INDEX(PP_Grid[#Data],$DD636,86),0)</f>
        <v/>
      </c>
      <c r="CK636">
        <f>IFERROR(INDEX(PP_Grid[#Data],$DD636,87),0)</f>
        <v/>
      </c>
      <c r="CL636">
        <f>IFERROR(INDEX(PP_Grid[#Data],$DD636,88),0)</f>
        <v/>
      </c>
      <c r="CM636">
        <f>IFERROR(INDEX(PP_Grid[#Data],$DD636,89),0)</f>
        <v/>
      </c>
      <c r="CN636">
        <f>IFERROR(INDEX(PP_Grid[#Data],$DD636,90),0)</f>
        <v/>
      </c>
      <c r="CO636">
        <f>IFERROR(INDEX(PP_Grid[#Data],$DD636,91),0)</f>
        <v/>
      </c>
      <c r="CP636">
        <f>IFERROR(INDEX(PP_Grid[#Data],$DD636,92),0)</f>
        <v/>
      </c>
      <c r="CQ636">
        <f>IFERROR(INDEX(PP_Grid[#Data],$DD636,93),0)</f>
        <v/>
      </c>
      <c r="CR636">
        <f>IFERROR(INDEX(PP_Grid[#Data],$DD636,94),0)</f>
        <v/>
      </c>
      <c r="CS636">
        <f>IFERROR(INDEX(PP_Grid[#Data],$DD636,95),0)</f>
        <v/>
      </c>
      <c r="CT636">
        <f>IFERROR(INDEX(PP_Grid[#Data],$DD636,96),0)</f>
        <v/>
      </c>
      <c r="CU636">
        <f>IFERROR(INDEX(PP_Grid[#Data],$DD636,97),0)</f>
        <v/>
      </c>
      <c r="CV636">
        <f>IFERROR(INDEX(PP_Grid[#Data],$DD636,98),0)</f>
        <v/>
      </c>
      <c r="CW636">
        <f>IFERROR(INDEX(PP_Grid[#Data],$DD636,99),0)</f>
        <v/>
      </c>
      <c r="CX636">
        <f>IFERROR(INDEX(PP_Grid[#Data],$DD636,100),0)</f>
        <v/>
      </c>
      <c r="CY636">
        <f>IFERROR(INDEX(PP_Grid[#Data],$DD636,101),0)</f>
        <v/>
      </c>
      <c r="CZ636">
        <f>IFERROR(INDEX(PP_Grid[#Data],$DD636,102),0)</f>
        <v/>
      </c>
      <c r="DA636">
        <f>IFERROR(INDEX(PP_Grid[#Data],$DD636,103),0)</f>
        <v/>
      </c>
      <c r="DB636">
        <f>IFERROR(INDEX(PP_Grid[#Data],$DD636,104),0)</f>
        <v/>
      </c>
      <c r="DC636">
        <f>IFERROR(INDEX(PP_Grid[#Data],$DD636,105),0)</f>
        <v/>
      </c>
      <c r="DD636" s="12">
        <f>IFERROR(MATCH($B636,PP_Grid[Intermediate],0),99999)</f>
        <v/>
      </c>
    </row>
    <row r="637">
      <c r="B637" t="inlineStr">
        <is>
          <t>使用量(kg)</t>
        </is>
      </c>
      <c r="C637">
        <f>SUMIFS(M_BOM[RM_Qty_Per_Batch],M_BOM[Intermediate],$B636,M_BOM[Part Name],$A601)</f>
        <v/>
      </c>
      <c r="D637">
        <f>$C637*D636</f>
        <v/>
      </c>
      <c r="E637">
        <f>$C637*E636</f>
        <v/>
      </c>
      <c r="F637">
        <f>$C637*F636</f>
        <v/>
      </c>
      <c r="G637">
        <f>$C637*G636</f>
        <v/>
      </c>
      <c r="H637">
        <f>$C637*H636</f>
        <v/>
      </c>
      <c r="I637">
        <f>$C637*I636</f>
        <v/>
      </c>
      <c r="J637">
        <f>$C637*J636</f>
        <v/>
      </c>
      <c r="K637">
        <f>$C637*K636</f>
        <v/>
      </c>
      <c r="L637">
        <f>$C637*L636</f>
        <v/>
      </c>
      <c r="M637">
        <f>$C637*M636</f>
        <v/>
      </c>
      <c r="N637">
        <f>$C637*N636</f>
        <v/>
      </c>
      <c r="O637">
        <f>$C637*O636</f>
        <v/>
      </c>
      <c r="P637">
        <f>$C637*P636</f>
        <v/>
      </c>
      <c r="Q637">
        <f>$C637*Q636</f>
        <v/>
      </c>
      <c r="R637">
        <f>$C637*R636</f>
        <v/>
      </c>
      <c r="S637">
        <f>$C637*S636</f>
        <v/>
      </c>
      <c r="T637">
        <f>$C637*T636</f>
        <v/>
      </c>
      <c r="U637">
        <f>$C637*U636</f>
        <v/>
      </c>
      <c r="V637">
        <f>$C637*V636</f>
        <v/>
      </c>
      <c r="W637">
        <f>$C637*W636</f>
        <v/>
      </c>
      <c r="X637">
        <f>$C637*X636</f>
        <v/>
      </c>
      <c r="Y637">
        <f>$C637*Y636</f>
        <v/>
      </c>
      <c r="Z637">
        <f>$C637*Z636</f>
        <v/>
      </c>
      <c r="AA637">
        <f>$C637*AA636</f>
        <v/>
      </c>
      <c r="AB637">
        <f>$C637*AB636</f>
        <v/>
      </c>
      <c r="AC637">
        <f>$C637*AC636</f>
        <v/>
      </c>
      <c r="AD637">
        <f>$C637*AD636</f>
        <v/>
      </c>
      <c r="AE637">
        <f>$C637*AE636</f>
        <v/>
      </c>
      <c r="AF637">
        <f>$C637*AF636</f>
        <v/>
      </c>
      <c r="AG637">
        <f>$C637*AG636</f>
        <v/>
      </c>
      <c r="AH637">
        <f>$C637*AH636</f>
        <v/>
      </c>
      <c r="AI637">
        <f>$C637*AI636</f>
        <v/>
      </c>
      <c r="AJ637">
        <f>$C637*AJ636</f>
        <v/>
      </c>
      <c r="AK637">
        <f>$C637*AK636</f>
        <v/>
      </c>
      <c r="AL637">
        <f>$C637*AL636</f>
        <v/>
      </c>
      <c r="AM637">
        <f>$C637*AM636</f>
        <v/>
      </c>
      <c r="AN637">
        <f>$C637*AN636</f>
        <v/>
      </c>
      <c r="AO637">
        <f>$C637*AO636</f>
        <v/>
      </c>
      <c r="AP637">
        <f>$C637*AP636</f>
        <v/>
      </c>
      <c r="AQ637">
        <f>$C637*AQ636</f>
        <v/>
      </c>
      <c r="AR637">
        <f>$C637*AR636</f>
        <v/>
      </c>
      <c r="AS637">
        <f>$C637*AS636</f>
        <v/>
      </c>
      <c r="AT637">
        <f>$C637*AT636</f>
        <v/>
      </c>
      <c r="AU637">
        <f>$C637*AU636</f>
        <v/>
      </c>
      <c r="AV637">
        <f>$C637*AV636</f>
        <v/>
      </c>
      <c r="AW637">
        <f>$C637*AW636</f>
        <v/>
      </c>
      <c r="AX637">
        <f>$C637*AX636</f>
        <v/>
      </c>
      <c r="AY637">
        <f>$C637*AY636</f>
        <v/>
      </c>
      <c r="AZ637">
        <f>$C637*AZ636</f>
        <v/>
      </c>
      <c r="BA637">
        <f>$C637*BA636</f>
        <v/>
      </c>
      <c r="BB637">
        <f>$C637*BB636</f>
        <v/>
      </c>
      <c r="BC637">
        <f>$C637*BC636</f>
        <v/>
      </c>
      <c r="BD637">
        <f>$C637*BD636</f>
        <v/>
      </c>
      <c r="BE637">
        <f>$C637*BE636</f>
        <v/>
      </c>
      <c r="BF637">
        <f>$C637*BF636</f>
        <v/>
      </c>
      <c r="BG637">
        <f>$C637*BG636</f>
        <v/>
      </c>
      <c r="BH637">
        <f>$C637*BH636</f>
        <v/>
      </c>
      <c r="BI637">
        <f>$C637*BI636</f>
        <v/>
      </c>
      <c r="BJ637">
        <f>$C637*BJ636</f>
        <v/>
      </c>
      <c r="BK637">
        <f>$C637*BK636</f>
        <v/>
      </c>
      <c r="BL637">
        <f>$C637*BL636</f>
        <v/>
      </c>
      <c r="BM637">
        <f>$C637*BM636</f>
        <v/>
      </c>
      <c r="BN637">
        <f>$C637*BN636</f>
        <v/>
      </c>
      <c r="BO637">
        <f>$C637*BO636</f>
        <v/>
      </c>
      <c r="BP637">
        <f>$C637*BP636</f>
        <v/>
      </c>
      <c r="BQ637">
        <f>$C637*BQ636</f>
        <v/>
      </c>
      <c r="BR637">
        <f>$C637*BR636</f>
        <v/>
      </c>
      <c r="BS637">
        <f>$C637*BS636</f>
        <v/>
      </c>
      <c r="BT637">
        <f>$C637*BT636</f>
        <v/>
      </c>
      <c r="BU637">
        <f>$C637*BU636</f>
        <v/>
      </c>
      <c r="BV637">
        <f>$C637*BV636</f>
        <v/>
      </c>
      <c r="BW637">
        <f>$C637*BW636</f>
        <v/>
      </c>
      <c r="BX637">
        <f>$C637*BX636</f>
        <v/>
      </c>
      <c r="BY637">
        <f>$C637*BY636</f>
        <v/>
      </c>
      <c r="BZ637">
        <f>$C637*BZ636</f>
        <v/>
      </c>
      <c r="CA637">
        <f>$C637*CA636</f>
        <v/>
      </c>
      <c r="CB637">
        <f>$C637*CB636</f>
        <v/>
      </c>
      <c r="CC637">
        <f>$C637*CC636</f>
        <v/>
      </c>
      <c r="CD637">
        <f>$C637*CD636</f>
        <v/>
      </c>
      <c r="CE637">
        <f>$C637*CE636</f>
        <v/>
      </c>
      <c r="CF637">
        <f>$C637*CF636</f>
        <v/>
      </c>
      <c r="CG637">
        <f>$C637*CG636</f>
        <v/>
      </c>
      <c r="CH637">
        <f>$C637*CH636</f>
        <v/>
      </c>
      <c r="CI637">
        <f>$C637*CI636</f>
        <v/>
      </c>
      <c r="CJ637">
        <f>$C637*CJ636</f>
        <v/>
      </c>
      <c r="CK637">
        <f>$C637*CK636</f>
        <v/>
      </c>
      <c r="CL637">
        <f>$C637*CL636</f>
        <v/>
      </c>
      <c r="CM637">
        <f>$C637*CM636</f>
        <v/>
      </c>
      <c r="CN637">
        <f>$C637*CN636</f>
        <v/>
      </c>
      <c r="CO637">
        <f>$C637*CO636</f>
        <v/>
      </c>
      <c r="CP637">
        <f>$C637*CP636</f>
        <v/>
      </c>
      <c r="CQ637">
        <f>$C637*CQ636</f>
        <v/>
      </c>
      <c r="CR637">
        <f>$C637*CR636</f>
        <v/>
      </c>
      <c r="CS637">
        <f>$C637*CS636</f>
        <v/>
      </c>
      <c r="CT637">
        <f>$C637*CT636</f>
        <v/>
      </c>
      <c r="CU637">
        <f>$C637*CU636</f>
        <v/>
      </c>
      <c r="CV637">
        <f>$C637*CV636</f>
        <v/>
      </c>
      <c r="CW637">
        <f>$C637*CW636</f>
        <v/>
      </c>
      <c r="CX637">
        <f>$C637*CX636</f>
        <v/>
      </c>
      <c r="CY637">
        <f>$C637*CY636</f>
        <v/>
      </c>
      <c r="CZ637">
        <f>$C637*CZ636</f>
        <v/>
      </c>
      <c r="DA637">
        <f>$C637*DA636</f>
        <v/>
      </c>
      <c r="DB637">
        <f>$C637*DB636</f>
        <v/>
      </c>
      <c r="DC637">
        <f>$C637*DC636</f>
        <v/>
      </c>
    </row>
    <row r="638">
      <c r="B638" s="5" t="inlineStr">
        <is>
          <t>合計使用量(kg)/週</t>
        </is>
      </c>
      <c r="D638">
        <f>'Grid_Requirement'!B34</f>
        <v/>
      </c>
      <c r="E638">
        <f>'Grid_Requirement'!C34</f>
        <v/>
      </c>
      <c r="F638">
        <f>'Grid_Requirement'!D34</f>
        <v/>
      </c>
      <c r="G638">
        <f>'Grid_Requirement'!E34</f>
        <v/>
      </c>
      <c r="H638">
        <f>'Grid_Requirement'!F34</f>
        <v/>
      </c>
      <c r="I638">
        <f>'Grid_Requirement'!G34</f>
        <v/>
      </c>
      <c r="J638">
        <f>'Grid_Requirement'!H34</f>
        <v/>
      </c>
      <c r="K638">
        <f>'Grid_Requirement'!I34</f>
        <v/>
      </c>
      <c r="L638">
        <f>'Grid_Requirement'!J34</f>
        <v/>
      </c>
      <c r="M638">
        <f>'Grid_Requirement'!K34</f>
        <v/>
      </c>
      <c r="N638">
        <f>'Grid_Requirement'!L34</f>
        <v/>
      </c>
      <c r="O638">
        <f>'Grid_Requirement'!M34</f>
        <v/>
      </c>
      <c r="P638">
        <f>'Grid_Requirement'!N34</f>
        <v/>
      </c>
      <c r="Q638">
        <f>'Grid_Requirement'!O34</f>
        <v/>
      </c>
      <c r="R638">
        <f>'Grid_Requirement'!P34</f>
        <v/>
      </c>
      <c r="S638">
        <f>'Grid_Requirement'!Q34</f>
        <v/>
      </c>
      <c r="T638">
        <f>'Grid_Requirement'!R34</f>
        <v/>
      </c>
      <c r="U638">
        <f>'Grid_Requirement'!S34</f>
        <v/>
      </c>
      <c r="V638">
        <f>'Grid_Requirement'!T34</f>
        <v/>
      </c>
      <c r="W638">
        <f>'Grid_Requirement'!U34</f>
        <v/>
      </c>
      <c r="X638">
        <f>'Grid_Requirement'!V34</f>
        <v/>
      </c>
      <c r="Y638">
        <f>'Grid_Requirement'!W34</f>
        <v/>
      </c>
      <c r="Z638">
        <f>'Grid_Requirement'!X34</f>
        <v/>
      </c>
      <c r="AA638">
        <f>'Grid_Requirement'!Y34</f>
        <v/>
      </c>
      <c r="AB638">
        <f>'Grid_Requirement'!Z34</f>
        <v/>
      </c>
      <c r="AC638">
        <f>'Grid_Requirement'!AA34</f>
        <v/>
      </c>
      <c r="AD638">
        <f>'Grid_Requirement'!AB34</f>
        <v/>
      </c>
      <c r="AE638">
        <f>'Grid_Requirement'!AC34</f>
        <v/>
      </c>
      <c r="AF638">
        <f>'Grid_Requirement'!AD34</f>
        <v/>
      </c>
      <c r="AG638">
        <f>'Grid_Requirement'!AE34</f>
        <v/>
      </c>
      <c r="AH638">
        <f>'Grid_Requirement'!AF34</f>
        <v/>
      </c>
      <c r="AI638">
        <f>'Grid_Requirement'!AG34</f>
        <v/>
      </c>
      <c r="AJ638">
        <f>'Grid_Requirement'!AH34</f>
        <v/>
      </c>
      <c r="AK638">
        <f>'Grid_Requirement'!AI34</f>
        <v/>
      </c>
      <c r="AL638">
        <f>'Grid_Requirement'!AJ34</f>
        <v/>
      </c>
      <c r="AM638">
        <f>'Grid_Requirement'!AK34</f>
        <v/>
      </c>
      <c r="AN638">
        <f>'Grid_Requirement'!AL34</f>
        <v/>
      </c>
      <c r="AO638">
        <f>'Grid_Requirement'!AM34</f>
        <v/>
      </c>
      <c r="AP638">
        <f>'Grid_Requirement'!AN34</f>
        <v/>
      </c>
      <c r="AQ638">
        <f>'Grid_Requirement'!AO34</f>
        <v/>
      </c>
      <c r="AR638">
        <f>'Grid_Requirement'!AP34</f>
        <v/>
      </c>
      <c r="AS638">
        <f>'Grid_Requirement'!AQ34</f>
        <v/>
      </c>
      <c r="AT638">
        <f>'Grid_Requirement'!AR34</f>
        <v/>
      </c>
      <c r="AU638">
        <f>'Grid_Requirement'!AS34</f>
        <v/>
      </c>
      <c r="AV638">
        <f>'Grid_Requirement'!AT34</f>
        <v/>
      </c>
      <c r="AW638">
        <f>'Grid_Requirement'!AU34</f>
        <v/>
      </c>
      <c r="AX638">
        <f>'Grid_Requirement'!AV34</f>
        <v/>
      </c>
      <c r="AY638">
        <f>'Grid_Requirement'!AW34</f>
        <v/>
      </c>
      <c r="AZ638">
        <f>'Grid_Requirement'!AX34</f>
        <v/>
      </c>
      <c r="BA638">
        <f>'Grid_Requirement'!AY34</f>
        <v/>
      </c>
      <c r="BB638">
        <f>'Grid_Requirement'!AZ34</f>
        <v/>
      </c>
      <c r="BC638">
        <f>'Grid_Requirement'!BA34</f>
        <v/>
      </c>
      <c r="BD638">
        <f>'Grid_Requirement'!BB34</f>
        <v/>
      </c>
      <c r="BE638">
        <f>'Grid_Requirement'!BC34</f>
        <v/>
      </c>
      <c r="BF638">
        <f>'Grid_Requirement'!BD34</f>
        <v/>
      </c>
      <c r="BG638">
        <f>'Grid_Requirement'!BE34</f>
        <v/>
      </c>
      <c r="BH638">
        <f>'Grid_Requirement'!BF34</f>
        <v/>
      </c>
      <c r="BI638">
        <f>'Grid_Requirement'!BG34</f>
        <v/>
      </c>
      <c r="BJ638">
        <f>'Grid_Requirement'!BH34</f>
        <v/>
      </c>
      <c r="BK638">
        <f>'Grid_Requirement'!BI34</f>
        <v/>
      </c>
      <c r="BL638">
        <f>'Grid_Requirement'!BJ34</f>
        <v/>
      </c>
      <c r="BM638">
        <f>'Grid_Requirement'!BK34</f>
        <v/>
      </c>
      <c r="BN638">
        <f>'Grid_Requirement'!BL34</f>
        <v/>
      </c>
      <c r="BO638">
        <f>'Grid_Requirement'!BM34</f>
        <v/>
      </c>
      <c r="BP638">
        <f>'Grid_Requirement'!BN34</f>
        <v/>
      </c>
      <c r="BQ638">
        <f>'Grid_Requirement'!BO34</f>
        <v/>
      </c>
      <c r="BR638">
        <f>'Grid_Requirement'!BP34</f>
        <v/>
      </c>
      <c r="BS638">
        <f>'Grid_Requirement'!BQ34</f>
        <v/>
      </c>
      <c r="BT638">
        <f>'Grid_Requirement'!BR34</f>
        <v/>
      </c>
      <c r="BU638">
        <f>'Grid_Requirement'!BS34</f>
        <v/>
      </c>
      <c r="BV638">
        <f>'Grid_Requirement'!BT34</f>
        <v/>
      </c>
      <c r="BW638">
        <f>'Grid_Requirement'!BU34</f>
        <v/>
      </c>
      <c r="BX638">
        <f>'Grid_Requirement'!BV34</f>
        <v/>
      </c>
      <c r="BY638">
        <f>'Grid_Requirement'!BW34</f>
        <v/>
      </c>
      <c r="BZ638">
        <f>'Grid_Requirement'!BX34</f>
        <v/>
      </c>
      <c r="CA638">
        <f>'Grid_Requirement'!BY34</f>
        <v/>
      </c>
      <c r="CB638">
        <f>'Grid_Requirement'!BZ34</f>
        <v/>
      </c>
      <c r="CC638">
        <f>'Grid_Requirement'!CA34</f>
        <v/>
      </c>
      <c r="CD638">
        <f>'Grid_Requirement'!CB34</f>
        <v/>
      </c>
      <c r="CE638">
        <f>'Grid_Requirement'!CC34</f>
        <v/>
      </c>
      <c r="CF638">
        <f>'Grid_Requirement'!CD34</f>
        <v/>
      </c>
      <c r="CG638">
        <f>'Grid_Requirement'!CE34</f>
        <v/>
      </c>
      <c r="CH638">
        <f>'Grid_Requirement'!CF34</f>
        <v/>
      </c>
      <c r="CI638">
        <f>'Grid_Requirement'!CG34</f>
        <v/>
      </c>
      <c r="CJ638">
        <f>'Grid_Requirement'!CH34</f>
        <v/>
      </c>
      <c r="CK638">
        <f>'Grid_Requirement'!CI34</f>
        <v/>
      </c>
      <c r="CL638">
        <f>'Grid_Requirement'!CJ34</f>
        <v/>
      </c>
      <c r="CM638">
        <f>'Grid_Requirement'!CK34</f>
        <v/>
      </c>
      <c r="CN638">
        <f>'Grid_Requirement'!CL34</f>
        <v/>
      </c>
      <c r="CO638">
        <f>'Grid_Requirement'!CM34</f>
        <v/>
      </c>
      <c r="CP638">
        <f>'Grid_Requirement'!CN34</f>
        <v/>
      </c>
      <c r="CQ638">
        <f>'Grid_Requirement'!CO34</f>
        <v/>
      </c>
      <c r="CR638">
        <f>'Grid_Requirement'!CP34</f>
        <v/>
      </c>
      <c r="CS638">
        <f>'Grid_Requirement'!CQ34</f>
        <v/>
      </c>
      <c r="CT638">
        <f>'Grid_Requirement'!CR34</f>
        <v/>
      </c>
      <c r="CU638">
        <f>'Grid_Requirement'!CS34</f>
        <v/>
      </c>
      <c r="CV638">
        <f>'Grid_Requirement'!CT34</f>
        <v/>
      </c>
      <c r="CW638">
        <f>'Grid_Requirement'!CU34</f>
        <v/>
      </c>
      <c r="CX638">
        <f>'Grid_Requirement'!CV34</f>
        <v/>
      </c>
      <c r="CY638">
        <f>'Grid_Requirement'!CW34</f>
        <v/>
      </c>
      <c r="CZ638">
        <f>'Grid_Requirement'!CX34</f>
        <v/>
      </c>
      <c r="DA638">
        <f>'Grid_Requirement'!CY34</f>
        <v/>
      </c>
      <c r="DB638">
        <f>'Grid_Requirement'!CZ34</f>
        <v/>
      </c>
      <c r="DC638">
        <f>'Grid_Requirement'!DA34</f>
        <v/>
      </c>
    </row>
    <row r="639">
      <c r="B639" t="inlineStr">
        <is>
          <t>TTAF在庫(実績,kg)</t>
        </is>
      </c>
      <c r="D639">
        <f>'T_TTAFStock'!B38</f>
        <v/>
      </c>
      <c r="E639">
        <f>'T_TTAFStock'!C38</f>
        <v/>
      </c>
      <c r="F639">
        <f>'T_TTAFStock'!D38</f>
        <v/>
      </c>
      <c r="G639">
        <f>'T_TTAFStock'!E38</f>
        <v/>
      </c>
      <c r="H639">
        <f>'T_TTAFStock'!F38</f>
        <v/>
      </c>
      <c r="I639">
        <f>'T_TTAFStock'!G38</f>
        <v/>
      </c>
      <c r="J639">
        <f>'T_TTAFStock'!H38</f>
        <v/>
      </c>
      <c r="K639">
        <f>'T_TTAFStock'!I38</f>
        <v/>
      </c>
      <c r="L639">
        <f>'T_TTAFStock'!J38</f>
        <v/>
      </c>
      <c r="M639">
        <f>'T_TTAFStock'!K38</f>
        <v/>
      </c>
      <c r="N639">
        <f>'T_TTAFStock'!L38</f>
        <v/>
      </c>
      <c r="O639">
        <f>'T_TTAFStock'!M38</f>
        <v/>
      </c>
      <c r="P639">
        <f>'T_TTAFStock'!N38</f>
        <v/>
      </c>
      <c r="Q639">
        <f>'T_TTAFStock'!O38</f>
        <v/>
      </c>
      <c r="R639">
        <f>'T_TTAFStock'!P38</f>
        <v/>
      </c>
      <c r="S639">
        <f>'T_TTAFStock'!Q38</f>
        <v/>
      </c>
      <c r="T639">
        <f>'T_TTAFStock'!R38</f>
        <v/>
      </c>
      <c r="U639">
        <f>'T_TTAFStock'!S38</f>
        <v/>
      </c>
      <c r="V639">
        <f>'T_TTAFStock'!T38</f>
        <v/>
      </c>
      <c r="W639">
        <f>'T_TTAFStock'!U38</f>
        <v/>
      </c>
      <c r="X639">
        <f>'T_TTAFStock'!V38</f>
        <v/>
      </c>
      <c r="Y639">
        <f>'T_TTAFStock'!W38</f>
        <v/>
      </c>
      <c r="Z639">
        <f>'T_TTAFStock'!X38</f>
        <v/>
      </c>
      <c r="AA639">
        <f>'T_TTAFStock'!Y38</f>
        <v/>
      </c>
      <c r="AB639">
        <f>'T_TTAFStock'!Z38</f>
        <v/>
      </c>
      <c r="AC639">
        <f>'T_TTAFStock'!AA38</f>
        <v/>
      </c>
      <c r="AD639">
        <f>'T_TTAFStock'!AB38</f>
        <v/>
      </c>
      <c r="AE639">
        <f>'T_TTAFStock'!AC38</f>
        <v/>
      </c>
      <c r="AF639">
        <f>'T_TTAFStock'!AD38</f>
        <v/>
      </c>
      <c r="AG639">
        <f>'T_TTAFStock'!AE38</f>
        <v/>
      </c>
      <c r="AH639">
        <f>'T_TTAFStock'!AF38</f>
        <v/>
      </c>
      <c r="AI639">
        <f>'T_TTAFStock'!AG38</f>
        <v/>
      </c>
      <c r="AJ639">
        <f>'T_TTAFStock'!AH38</f>
        <v/>
      </c>
      <c r="AK639">
        <f>'T_TTAFStock'!AI38</f>
        <v/>
      </c>
      <c r="AL639">
        <f>'T_TTAFStock'!AJ38</f>
        <v/>
      </c>
      <c r="AM639">
        <f>'T_TTAFStock'!AK38</f>
        <v/>
      </c>
      <c r="AN639">
        <f>'T_TTAFStock'!AL38</f>
        <v/>
      </c>
      <c r="AO639">
        <f>'T_TTAFStock'!AM38</f>
        <v/>
      </c>
      <c r="AP639">
        <f>'T_TTAFStock'!AN38</f>
        <v/>
      </c>
      <c r="AQ639">
        <f>'T_TTAFStock'!AO38</f>
        <v/>
      </c>
      <c r="AR639">
        <f>'T_TTAFStock'!AP38</f>
        <v/>
      </c>
      <c r="AS639">
        <f>'T_TTAFStock'!AQ38</f>
        <v/>
      </c>
      <c r="AT639">
        <f>'T_TTAFStock'!AR38</f>
        <v/>
      </c>
      <c r="AU639">
        <f>'T_TTAFStock'!AS38</f>
        <v/>
      </c>
      <c r="AV639">
        <f>'T_TTAFStock'!AT38</f>
        <v/>
      </c>
      <c r="AW639">
        <f>'T_TTAFStock'!AU38</f>
        <v/>
      </c>
      <c r="AX639">
        <f>'T_TTAFStock'!AV38</f>
        <v/>
      </c>
      <c r="AY639">
        <f>'T_TTAFStock'!AW38</f>
        <v/>
      </c>
      <c r="AZ639">
        <f>'T_TTAFStock'!AX38</f>
        <v/>
      </c>
      <c r="BA639">
        <f>'T_TTAFStock'!AY38</f>
        <v/>
      </c>
      <c r="BB639">
        <f>'T_TTAFStock'!AZ38</f>
        <v/>
      </c>
      <c r="BC639">
        <f>'T_TTAFStock'!BA38</f>
        <v/>
      </c>
      <c r="BD639">
        <f>'T_TTAFStock'!BB38</f>
        <v/>
      </c>
      <c r="BE639">
        <f>'T_TTAFStock'!BC38</f>
        <v/>
      </c>
      <c r="BF639">
        <f>'T_TTAFStock'!BD38</f>
        <v/>
      </c>
      <c r="BG639">
        <f>'T_TTAFStock'!BE38</f>
        <v/>
      </c>
      <c r="BH639">
        <f>'T_TTAFStock'!BF38</f>
        <v/>
      </c>
      <c r="BI639">
        <f>'T_TTAFStock'!BG38</f>
        <v/>
      </c>
      <c r="BJ639">
        <f>'T_TTAFStock'!BH38</f>
        <v/>
      </c>
      <c r="BK639">
        <f>'T_TTAFStock'!BI38</f>
        <v/>
      </c>
      <c r="BL639">
        <f>'T_TTAFStock'!BJ38</f>
        <v/>
      </c>
      <c r="BM639">
        <f>'T_TTAFStock'!BK38</f>
        <v/>
      </c>
      <c r="BN639">
        <f>'T_TTAFStock'!BL38</f>
        <v/>
      </c>
      <c r="BO639">
        <f>'T_TTAFStock'!BM38</f>
        <v/>
      </c>
      <c r="BP639">
        <f>'T_TTAFStock'!BN38</f>
        <v/>
      </c>
      <c r="BQ639">
        <f>'T_TTAFStock'!BO38</f>
        <v/>
      </c>
      <c r="BR639">
        <f>'T_TTAFStock'!BP38</f>
        <v/>
      </c>
      <c r="BS639">
        <f>'T_TTAFStock'!BQ38</f>
        <v/>
      </c>
      <c r="BT639">
        <f>'T_TTAFStock'!BR38</f>
        <v/>
      </c>
      <c r="BU639">
        <f>'T_TTAFStock'!BS38</f>
        <v/>
      </c>
      <c r="BV639">
        <f>'T_TTAFStock'!BT38</f>
        <v/>
      </c>
      <c r="BW639">
        <f>'T_TTAFStock'!BU38</f>
        <v/>
      </c>
      <c r="BX639">
        <f>'T_TTAFStock'!BV38</f>
        <v/>
      </c>
      <c r="BY639">
        <f>'T_TTAFStock'!BW38</f>
        <v/>
      </c>
      <c r="BZ639">
        <f>'T_TTAFStock'!BX38</f>
        <v/>
      </c>
      <c r="CA639">
        <f>'T_TTAFStock'!BY38</f>
        <v/>
      </c>
      <c r="CB639">
        <f>'T_TTAFStock'!BZ38</f>
        <v/>
      </c>
      <c r="CC639">
        <f>'T_TTAFStock'!CA38</f>
        <v/>
      </c>
      <c r="CD639">
        <f>'T_TTAFStock'!CB38</f>
        <v/>
      </c>
      <c r="CE639">
        <f>'T_TTAFStock'!CC38</f>
        <v/>
      </c>
      <c r="CF639">
        <f>'T_TTAFStock'!CD38</f>
        <v/>
      </c>
      <c r="CG639">
        <f>'T_TTAFStock'!CE38</f>
        <v/>
      </c>
      <c r="CH639">
        <f>'T_TTAFStock'!CF38</f>
        <v/>
      </c>
      <c r="CI639">
        <f>'T_TTAFStock'!CG38</f>
        <v/>
      </c>
      <c r="CJ639">
        <f>'T_TTAFStock'!CH38</f>
        <v/>
      </c>
      <c r="CK639">
        <f>'T_TTAFStock'!CI38</f>
        <v/>
      </c>
      <c r="CL639">
        <f>'T_TTAFStock'!CJ38</f>
        <v/>
      </c>
      <c r="CM639">
        <f>'T_TTAFStock'!CK38</f>
        <v/>
      </c>
      <c r="CN639">
        <f>'T_TTAFStock'!CL38</f>
        <v/>
      </c>
      <c r="CO639">
        <f>'T_TTAFStock'!CM38</f>
        <v/>
      </c>
      <c r="CP639">
        <f>'T_TTAFStock'!CN38</f>
        <v/>
      </c>
      <c r="CQ639">
        <f>'T_TTAFStock'!CO38</f>
        <v/>
      </c>
      <c r="CR639">
        <f>'T_TTAFStock'!CP38</f>
        <v/>
      </c>
      <c r="CS639">
        <f>'T_TTAFStock'!CQ38</f>
        <v/>
      </c>
      <c r="CT639">
        <f>'T_TTAFStock'!CR38</f>
        <v/>
      </c>
      <c r="CU639">
        <f>'T_TTAFStock'!CS38</f>
        <v/>
      </c>
      <c r="CV639">
        <f>'T_TTAFStock'!CT38</f>
        <v/>
      </c>
      <c r="CW639">
        <f>'T_TTAFStock'!CU38</f>
        <v/>
      </c>
      <c r="CX639">
        <f>'T_TTAFStock'!CV38</f>
        <v/>
      </c>
      <c r="CY639">
        <f>'T_TTAFStock'!CW38</f>
        <v/>
      </c>
      <c r="CZ639">
        <f>'T_TTAFStock'!CX38</f>
        <v/>
      </c>
      <c r="DA639">
        <f>'T_TTAFStock'!CY38</f>
        <v/>
      </c>
      <c r="DB639">
        <f>'T_TTAFStock'!CZ38</f>
        <v/>
      </c>
      <c r="DC639">
        <f>'T_TTAFStock'!DA38</f>
        <v/>
      </c>
    </row>
    <row r="640">
      <c r="B640" t="inlineStr">
        <is>
          <t>自社在庫(実績,kg)</t>
        </is>
      </c>
      <c r="D640">
        <f>'T_SelfStock'!B38</f>
        <v/>
      </c>
      <c r="E640">
        <f>'T_SelfStock'!C38</f>
        <v/>
      </c>
      <c r="F640">
        <f>'T_SelfStock'!D38</f>
        <v/>
      </c>
      <c r="G640">
        <f>'T_SelfStock'!E38</f>
        <v/>
      </c>
      <c r="H640">
        <f>'T_SelfStock'!F38</f>
        <v/>
      </c>
      <c r="I640">
        <f>'T_SelfStock'!G38</f>
        <v/>
      </c>
      <c r="J640">
        <f>'T_SelfStock'!H38</f>
        <v/>
      </c>
      <c r="K640">
        <f>'T_SelfStock'!I38</f>
        <v/>
      </c>
      <c r="L640">
        <f>'T_SelfStock'!J38</f>
        <v/>
      </c>
      <c r="M640">
        <f>'T_SelfStock'!K38</f>
        <v/>
      </c>
      <c r="N640">
        <f>'T_SelfStock'!L38</f>
        <v/>
      </c>
      <c r="O640">
        <f>'T_SelfStock'!M38</f>
        <v/>
      </c>
      <c r="P640">
        <f>'T_SelfStock'!N38</f>
        <v/>
      </c>
      <c r="Q640">
        <f>'T_SelfStock'!O38</f>
        <v/>
      </c>
      <c r="R640">
        <f>'T_SelfStock'!P38</f>
        <v/>
      </c>
      <c r="S640">
        <f>'T_SelfStock'!Q38</f>
        <v/>
      </c>
      <c r="T640">
        <f>'T_SelfStock'!R38</f>
        <v/>
      </c>
      <c r="U640">
        <f>'T_SelfStock'!S38</f>
        <v/>
      </c>
      <c r="V640">
        <f>'T_SelfStock'!T38</f>
        <v/>
      </c>
      <c r="W640">
        <f>'T_SelfStock'!U38</f>
        <v/>
      </c>
      <c r="X640">
        <f>'T_SelfStock'!V38</f>
        <v/>
      </c>
      <c r="Y640">
        <f>'T_SelfStock'!W38</f>
        <v/>
      </c>
      <c r="Z640">
        <f>'T_SelfStock'!X38</f>
        <v/>
      </c>
      <c r="AA640">
        <f>'T_SelfStock'!Y38</f>
        <v/>
      </c>
      <c r="AB640">
        <f>'T_SelfStock'!Z38</f>
        <v/>
      </c>
      <c r="AC640">
        <f>'T_SelfStock'!AA38</f>
        <v/>
      </c>
      <c r="AD640">
        <f>'T_SelfStock'!AB38</f>
        <v/>
      </c>
      <c r="AE640">
        <f>'T_SelfStock'!AC38</f>
        <v/>
      </c>
      <c r="AF640">
        <f>'T_SelfStock'!AD38</f>
        <v/>
      </c>
      <c r="AG640">
        <f>'T_SelfStock'!AE38</f>
        <v/>
      </c>
      <c r="AH640">
        <f>'T_SelfStock'!AF38</f>
        <v/>
      </c>
      <c r="AI640">
        <f>'T_SelfStock'!AG38</f>
        <v/>
      </c>
      <c r="AJ640">
        <f>'T_SelfStock'!AH38</f>
        <v/>
      </c>
      <c r="AK640">
        <f>'T_SelfStock'!AI38</f>
        <v/>
      </c>
      <c r="AL640">
        <f>'T_SelfStock'!AJ38</f>
        <v/>
      </c>
      <c r="AM640">
        <f>'T_SelfStock'!AK38</f>
        <v/>
      </c>
      <c r="AN640">
        <f>'T_SelfStock'!AL38</f>
        <v/>
      </c>
      <c r="AO640">
        <f>'T_SelfStock'!AM38</f>
        <v/>
      </c>
      <c r="AP640">
        <f>'T_SelfStock'!AN38</f>
        <v/>
      </c>
      <c r="AQ640">
        <f>'T_SelfStock'!AO38</f>
        <v/>
      </c>
      <c r="AR640">
        <f>'T_SelfStock'!AP38</f>
        <v/>
      </c>
      <c r="AS640">
        <f>'T_SelfStock'!AQ38</f>
        <v/>
      </c>
      <c r="AT640">
        <f>'T_SelfStock'!AR38</f>
        <v/>
      </c>
      <c r="AU640">
        <f>'T_SelfStock'!AS38</f>
        <v/>
      </c>
      <c r="AV640">
        <f>'T_SelfStock'!AT38</f>
        <v/>
      </c>
      <c r="AW640">
        <f>'T_SelfStock'!AU38</f>
        <v/>
      </c>
      <c r="AX640">
        <f>'T_SelfStock'!AV38</f>
        <v/>
      </c>
      <c r="AY640">
        <f>'T_SelfStock'!AW38</f>
        <v/>
      </c>
      <c r="AZ640">
        <f>'T_SelfStock'!AX38</f>
        <v/>
      </c>
      <c r="BA640">
        <f>'T_SelfStock'!AY38</f>
        <v/>
      </c>
      <c r="BB640">
        <f>'T_SelfStock'!AZ38</f>
        <v/>
      </c>
      <c r="BC640">
        <f>'T_SelfStock'!BA38</f>
        <v/>
      </c>
      <c r="BD640">
        <f>'T_SelfStock'!BB38</f>
        <v/>
      </c>
      <c r="BE640">
        <f>'T_SelfStock'!BC38</f>
        <v/>
      </c>
      <c r="BF640">
        <f>'T_SelfStock'!BD38</f>
        <v/>
      </c>
      <c r="BG640">
        <f>'T_SelfStock'!BE38</f>
        <v/>
      </c>
      <c r="BH640">
        <f>'T_SelfStock'!BF38</f>
        <v/>
      </c>
      <c r="BI640">
        <f>'T_SelfStock'!BG38</f>
        <v/>
      </c>
      <c r="BJ640">
        <f>'T_SelfStock'!BH38</f>
        <v/>
      </c>
      <c r="BK640">
        <f>'T_SelfStock'!BI38</f>
        <v/>
      </c>
      <c r="BL640">
        <f>'T_SelfStock'!BJ38</f>
        <v/>
      </c>
      <c r="BM640">
        <f>'T_SelfStock'!BK38</f>
        <v/>
      </c>
      <c r="BN640">
        <f>'T_SelfStock'!BL38</f>
        <v/>
      </c>
      <c r="BO640">
        <f>'T_SelfStock'!BM38</f>
        <v/>
      </c>
      <c r="BP640">
        <f>'T_SelfStock'!BN38</f>
        <v/>
      </c>
      <c r="BQ640">
        <f>'T_SelfStock'!BO38</f>
        <v/>
      </c>
      <c r="BR640">
        <f>'T_SelfStock'!BP38</f>
        <v/>
      </c>
      <c r="BS640">
        <f>'T_SelfStock'!BQ38</f>
        <v/>
      </c>
      <c r="BT640">
        <f>'T_SelfStock'!BR38</f>
        <v/>
      </c>
      <c r="BU640">
        <f>'T_SelfStock'!BS38</f>
        <v/>
      </c>
      <c r="BV640">
        <f>'T_SelfStock'!BT38</f>
        <v/>
      </c>
      <c r="BW640">
        <f>'T_SelfStock'!BU38</f>
        <v/>
      </c>
      <c r="BX640">
        <f>'T_SelfStock'!BV38</f>
        <v/>
      </c>
      <c r="BY640">
        <f>'T_SelfStock'!BW38</f>
        <v/>
      </c>
      <c r="BZ640">
        <f>'T_SelfStock'!BX38</f>
        <v/>
      </c>
      <c r="CA640">
        <f>'T_SelfStock'!BY38</f>
        <v/>
      </c>
      <c r="CB640">
        <f>'T_SelfStock'!BZ38</f>
        <v/>
      </c>
      <c r="CC640">
        <f>'T_SelfStock'!CA38</f>
        <v/>
      </c>
      <c r="CD640">
        <f>'T_SelfStock'!CB38</f>
        <v/>
      </c>
      <c r="CE640">
        <f>'T_SelfStock'!CC38</f>
        <v/>
      </c>
      <c r="CF640">
        <f>'T_SelfStock'!CD38</f>
        <v/>
      </c>
      <c r="CG640">
        <f>'T_SelfStock'!CE38</f>
        <v/>
      </c>
      <c r="CH640">
        <f>'T_SelfStock'!CF38</f>
        <v/>
      </c>
      <c r="CI640">
        <f>'T_SelfStock'!CG38</f>
        <v/>
      </c>
      <c r="CJ640">
        <f>'T_SelfStock'!CH38</f>
        <v/>
      </c>
      <c r="CK640">
        <f>'T_SelfStock'!CI38</f>
        <v/>
      </c>
      <c r="CL640">
        <f>'T_SelfStock'!CJ38</f>
        <v/>
      </c>
      <c r="CM640">
        <f>'T_SelfStock'!CK38</f>
        <v/>
      </c>
      <c r="CN640">
        <f>'T_SelfStock'!CL38</f>
        <v/>
      </c>
      <c r="CO640">
        <f>'T_SelfStock'!CM38</f>
        <v/>
      </c>
      <c r="CP640">
        <f>'T_SelfStock'!CN38</f>
        <v/>
      </c>
      <c r="CQ640">
        <f>'T_SelfStock'!CO38</f>
        <v/>
      </c>
      <c r="CR640">
        <f>'T_SelfStock'!CP38</f>
        <v/>
      </c>
      <c r="CS640">
        <f>'T_SelfStock'!CQ38</f>
        <v/>
      </c>
      <c r="CT640">
        <f>'T_SelfStock'!CR38</f>
        <v/>
      </c>
      <c r="CU640">
        <f>'T_SelfStock'!CS38</f>
        <v/>
      </c>
      <c r="CV640">
        <f>'T_SelfStock'!CT38</f>
        <v/>
      </c>
      <c r="CW640">
        <f>'T_SelfStock'!CU38</f>
        <v/>
      </c>
      <c r="CX640">
        <f>'T_SelfStock'!CV38</f>
        <v/>
      </c>
      <c r="CY640">
        <f>'T_SelfStock'!CW38</f>
        <v/>
      </c>
      <c r="CZ640">
        <f>'T_SelfStock'!CX38</f>
        <v/>
      </c>
      <c r="DA640">
        <f>'T_SelfStock'!CY38</f>
        <v/>
      </c>
      <c r="DB640">
        <f>'T_SelfStock'!CZ38</f>
        <v/>
      </c>
      <c r="DC640">
        <f>'T_SelfStock'!DA38</f>
        <v/>
      </c>
    </row>
    <row r="641">
      <c r="B641" t="inlineStr">
        <is>
          <t>Order(発注予定,kg)</t>
        </is>
      </c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  <c r="AA641" s="23" t="n"/>
      <c r="AB641" s="23" t="n"/>
      <c r="AC641" s="23" t="n"/>
      <c r="AD641" s="23" t="n"/>
      <c r="AE641" s="23" t="n"/>
      <c r="AF641" s="23" t="n"/>
      <c r="AG641" s="23" t="n"/>
      <c r="AH641" s="23" t="n"/>
      <c r="AI641" s="23" t="n"/>
      <c r="AJ641" s="23" t="n"/>
      <c r="AK641" s="23" t="n"/>
      <c r="AL641" s="23" t="n"/>
      <c r="AM641" s="23" t="n"/>
      <c r="AN641" s="23" t="n"/>
      <c r="AO641" s="23" t="n"/>
      <c r="AP641" s="23" t="n"/>
      <c r="AQ641" s="23" t="n"/>
      <c r="AR641" s="23" t="n"/>
      <c r="AS641" s="23" t="n"/>
      <c r="AT641" s="23" t="n"/>
      <c r="AU641" s="23" t="n"/>
      <c r="AV641" s="23" t="n"/>
      <c r="AW641" s="23" t="n"/>
      <c r="AX641" s="23" t="n"/>
      <c r="AY641" s="23" t="n"/>
      <c r="AZ641" s="23" t="n"/>
      <c r="BA641" s="23" t="n"/>
      <c r="BB641" s="23" t="n"/>
      <c r="BC641" s="23" t="n"/>
      <c r="BD641" s="23" t="n"/>
      <c r="BE641" s="23" t="n"/>
      <c r="BF641" s="23" t="n"/>
      <c r="BG641" s="23" t="n"/>
      <c r="BH641" s="23" t="n"/>
      <c r="BI641" s="23" t="n"/>
      <c r="BJ641" s="23" t="n"/>
      <c r="BK641" s="23" t="n"/>
      <c r="BL641" s="23" t="n"/>
      <c r="BM641" s="23" t="n"/>
      <c r="BN641" s="23" t="n"/>
      <c r="BO641" s="23" t="n"/>
      <c r="BP641" s="23" t="n"/>
      <c r="BQ641" s="23" t="n"/>
      <c r="BR641" s="23" t="n"/>
      <c r="BS641" s="23" t="n"/>
      <c r="BT641" s="23" t="n"/>
      <c r="BU641" s="23" t="n"/>
      <c r="BV641" s="23" t="n"/>
      <c r="BW641" s="23" t="n"/>
      <c r="BX641" s="23" t="n"/>
      <c r="BY641" s="23" t="n"/>
      <c r="BZ641" s="23" t="n"/>
      <c r="CA641" s="23" t="n"/>
      <c r="CB641" s="23" t="n"/>
      <c r="CC641" s="23" t="n"/>
      <c r="CD641" s="23" t="n"/>
      <c r="CE641" s="23" t="n"/>
      <c r="CF641" s="23" t="n"/>
      <c r="CG641" s="23" t="n"/>
      <c r="CH641" s="23" t="n"/>
      <c r="CI641" s="23" t="n"/>
      <c r="CJ641" s="23" t="n"/>
      <c r="CK641" s="23" t="n"/>
      <c r="CL641" s="23" t="n"/>
      <c r="CM641" s="23" t="n"/>
      <c r="CN641" s="23" t="n"/>
      <c r="CO641" s="23" t="n"/>
      <c r="CP641" s="23" t="n"/>
      <c r="CQ641" s="23" t="n"/>
      <c r="CR641" s="23" t="n"/>
      <c r="CS641" s="23" t="n"/>
      <c r="CT641" s="23" t="n"/>
      <c r="CU641" s="23" t="n"/>
      <c r="CV641" s="23" t="n"/>
      <c r="CW641" s="23" t="n"/>
      <c r="CX641" s="23" t="n"/>
      <c r="CY641" s="23" t="n"/>
      <c r="CZ641" s="23" t="n"/>
      <c r="DA641" s="23" t="n"/>
      <c r="DB641" s="23" t="n"/>
      <c r="DC641" s="23" t="n"/>
      <c r="DE641" s="12" t="inlineStr">
        <is>
          <t>CHEM-1650</t>
        </is>
      </c>
    </row>
    <row r="642">
      <c r="B642" s="24" t="inlineStr">
        <is>
          <t>PO_No</t>
        </is>
      </c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  <c r="AD642" s="25" t="n"/>
      <c r="AE642" s="25" t="n"/>
      <c r="AF642" s="25" t="n"/>
      <c r="AG642" s="25" t="n"/>
      <c r="AH642" s="25" t="n"/>
      <c r="AI642" s="25" t="n"/>
      <c r="AJ642" s="25" t="n"/>
      <c r="AK642" s="25" t="n"/>
      <c r="AL642" s="25" t="n"/>
      <c r="AM642" s="25" t="n"/>
      <c r="AN642" s="25" t="n"/>
      <c r="AO642" s="25" t="n"/>
      <c r="AP642" s="25" t="n"/>
      <c r="AQ642" s="25" t="n"/>
      <c r="AR642" s="25" t="n"/>
      <c r="AS642" s="25" t="n"/>
      <c r="AT642" s="25" t="n"/>
      <c r="AU642" s="25" t="n"/>
      <c r="AV642" s="25" t="n"/>
      <c r="AW642" s="25" t="n"/>
      <c r="AX642" s="25" t="n"/>
      <c r="AY642" s="25" t="n"/>
      <c r="AZ642" s="25" t="n"/>
      <c r="BA642" s="25" t="n"/>
      <c r="BB642" s="25" t="n"/>
      <c r="BC642" s="25" t="n"/>
      <c r="BD642" s="25" t="n"/>
      <c r="BE642" s="25" t="n"/>
      <c r="BF642" s="25" t="n"/>
      <c r="BG642" s="25" t="n"/>
      <c r="BH642" s="25" t="n"/>
      <c r="BI642" s="25" t="n"/>
      <c r="BJ642" s="25" t="n"/>
      <c r="BK642" s="25" t="n"/>
      <c r="BL642" s="25" t="n"/>
      <c r="BM642" s="25" t="n"/>
      <c r="BN642" s="25" t="n"/>
      <c r="BO642" s="25" t="n"/>
      <c r="BP642" s="25" t="n"/>
      <c r="BQ642" s="25" t="n"/>
      <c r="BR642" s="25" t="n"/>
      <c r="BS642" s="25" t="n"/>
      <c r="BT642" s="25" t="n"/>
      <c r="BU642" s="25" t="n"/>
      <c r="BV642" s="25" t="n"/>
      <c r="BW642" s="25" t="n"/>
      <c r="BX642" s="25" t="n"/>
      <c r="BY642" s="25" t="n"/>
      <c r="BZ642" s="25" t="n"/>
      <c r="CA642" s="25" t="n"/>
      <c r="CB642" s="25" t="n"/>
      <c r="CC642" s="25" t="n"/>
      <c r="CD642" s="25" t="n"/>
      <c r="CE642" s="25" t="n"/>
      <c r="CF642" s="25" t="n"/>
      <c r="CG642" s="25" t="n"/>
      <c r="CH642" s="25" t="n"/>
      <c r="CI642" s="25" t="n"/>
      <c r="CJ642" s="25" t="n"/>
      <c r="CK642" s="25" t="n"/>
      <c r="CL642" s="25" t="n"/>
      <c r="CM642" s="25" t="n"/>
      <c r="CN642" s="25" t="n"/>
      <c r="CO642" s="25" t="n"/>
      <c r="CP642" s="25" t="n"/>
      <c r="CQ642" s="25" t="n"/>
      <c r="CR642" s="25" t="n"/>
      <c r="CS642" s="25" t="n"/>
      <c r="CT642" s="25" t="n"/>
      <c r="CU642" s="25" t="n"/>
      <c r="CV642" s="25" t="n"/>
      <c r="CW642" s="25" t="n"/>
      <c r="CX642" s="25" t="n"/>
      <c r="CY642" s="25" t="n"/>
      <c r="CZ642" s="25" t="n"/>
      <c r="DA642" s="25" t="n"/>
      <c r="DB642" s="25" t="n"/>
      <c r="DC642" s="25" t="n"/>
    </row>
    <row r="643">
      <c r="B643" s="5" t="inlineStr">
        <is>
          <t>合計在庫(週末時点,kg)</t>
        </is>
      </c>
      <c r="D643">
        <f>'Grid_Stock'!B34</f>
        <v/>
      </c>
      <c r="E643">
        <f>'Grid_Stock'!C34</f>
        <v/>
      </c>
      <c r="F643">
        <f>'Grid_Stock'!D34</f>
        <v/>
      </c>
      <c r="G643">
        <f>'Grid_Stock'!E34</f>
        <v/>
      </c>
      <c r="H643">
        <f>'Grid_Stock'!F34</f>
        <v/>
      </c>
      <c r="I643">
        <f>'Grid_Stock'!G34</f>
        <v/>
      </c>
      <c r="J643">
        <f>'Grid_Stock'!H34</f>
        <v/>
      </c>
      <c r="K643">
        <f>'Grid_Stock'!I34</f>
        <v/>
      </c>
      <c r="L643">
        <f>'Grid_Stock'!J34</f>
        <v/>
      </c>
      <c r="M643">
        <f>'Grid_Stock'!K34</f>
        <v/>
      </c>
      <c r="N643">
        <f>'Grid_Stock'!L34</f>
        <v/>
      </c>
      <c r="O643">
        <f>'Grid_Stock'!M34</f>
        <v/>
      </c>
      <c r="P643">
        <f>'Grid_Stock'!N34</f>
        <v/>
      </c>
      <c r="Q643">
        <f>'Grid_Stock'!O34</f>
        <v/>
      </c>
      <c r="R643">
        <f>'Grid_Stock'!P34</f>
        <v/>
      </c>
      <c r="S643">
        <f>'Grid_Stock'!Q34</f>
        <v/>
      </c>
      <c r="T643">
        <f>'Grid_Stock'!R34</f>
        <v/>
      </c>
      <c r="U643">
        <f>'Grid_Stock'!S34</f>
        <v/>
      </c>
      <c r="V643">
        <f>'Grid_Stock'!T34</f>
        <v/>
      </c>
      <c r="W643">
        <f>'Grid_Stock'!U34</f>
        <v/>
      </c>
      <c r="X643">
        <f>'Grid_Stock'!V34</f>
        <v/>
      </c>
      <c r="Y643">
        <f>'Grid_Stock'!W34</f>
        <v/>
      </c>
      <c r="Z643">
        <f>'Grid_Stock'!X34</f>
        <v/>
      </c>
      <c r="AA643">
        <f>'Grid_Stock'!Y34</f>
        <v/>
      </c>
      <c r="AB643">
        <f>'Grid_Stock'!Z34</f>
        <v/>
      </c>
      <c r="AC643">
        <f>'Grid_Stock'!AA34</f>
        <v/>
      </c>
      <c r="AD643">
        <f>'Grid_Stock'!AB34</f>
        <v/>
      </c>
      <c r="AE643">
        <f>'Grid_Stock'!AC34</f>
        <v/>
      </c>
      <c r="AF643">
        <f>'Grid_Stock'!AD34</f>
        <v/>
      </c>
      <c r="AG643">
        <f>'Grid_Stock'!AE34</f>
        <v/>
      </c>
      <c r="AH643">
        <f>'Grid_Stock'!AF34</f>
        <v/>
      </c>
      <c r="AI643">
        <f>'Grid_Stock'!AG34</f>
        <v/>
      </c>
      <c r="AJ643">
        <f>'Grid_Stock'!AH34</f>
        <v/>
      </c>
      <c r="AK643">
        <f>'Grid_Stock'!AI34</f>
        <v/>
      </c>
      <c r="AL643">
        <f>'Grid_Stock'!AJ34</f>
        <v/>
      </c>
      <c r="AM643">
        <f>'Grid_Stock'!AK34</f>
        <v/>
      </c>
      <c r="AN643">
        <f>'Grid_Stock'!AL34</f>
        <v/>
      </c>
      <c r="AO643">
        <f>'Grid_Stock'!AM34</f>
        <v/>
      </c>
      <c r="AP643">
        <f>'Grid_Stock'!AN34</f>
        <v/>
      </c>
      <c r="AQ643">
        <f>'Grid_Stock'!AO34</f>
        <v/>
      </c>
      <c r="AR643">
        <f>'Grid_Stock'!AP34</f>
        <v/>
      </c>
      <c r="AS643">
        <f>'Grid_Stock'!AQ34</f>
        <v/>
      </c>
      <c r="AT643">
        <f>'Grid_Stock'!AR34</f>
        <v/>
      </c>
      <c r="AU643">
        <f>'Grid_Stock'!AS34</f>
        <v/>
      </c>
      <c r="AV643">
        <f>'Grid_Stock'!AT34</f>
        <v/>
      </c>
      <c r="AW643">
        <f>'Grid_Stock'!AU34</f>
        <v/>
      </c>
      <c r="AX643">
        <f>'Grid_Stock'!AV34</f>
        <v/>
      </c>
      <c r="AY643">
        <f>'Grid_Stock'!AW34</f>
        <v/>
      </c>
      <c r="AZ643">
        <f>'Grid_Stock'!AX34</f>
        <v/>
      </c>
      <c r="BA643">
        <f>'Grid_Stock'!AY34</f>
        <v/>
      </c>
      <c r="BB643">
        <f>'Grid_Stock'!AZ34</f>
        <v/>
      </c>
      <c r="BC643">
        <f>'Grid_Stock'!BA34</f>
        <v/>
      </c>
      <c r="BD643">
        <f>'Grid_Stock'!BB34</f>
        <v/>
      </c>
      <c r="BE643">
        <f>'Grid_Stock'!BC34</f>
        <v/>
      </c>
      <c r="BF643">
        <f>'Grid_Stock'!BD34</f>
        <v/>
      </c>
      <c r="BG643">
        <f>'Grid_Stock'!BE34</f>
        <v/>
      </c>
      <c r="BH643">
        <f>'Grid_Stock'!BF34</f>
        <v/>
      </c>
      <c r="BI643">
        <f>'Grid_Stock'!BG34</f>
        <v/>
      </c>
      <c r="BJ643">
        <f>'Grid_Stock'!BH34</f>
        <v/>
      </c>
      <c r="BK643">
        <f>'Grid_Stock'!BI34</f>
        <v/>
      </c>
      <c r="BL643">
        <f>'Grid_Stock'!BJ34</f>
        <v/>
      </c>
      <c r="BM643">
        <f>'Grid_Stock'!BK34</f>
        <v/>
      </c>
      <c r="BN643">
        <f>'Grid_Stock'!BL34</f>
        <v/>
      </c>
      <c r="BO643">
        <f>'Grid_Stock'!BM34</f>
        <v/>
      </c>
      <c r="BP643">
        <f>'Grid_Stock'!BN34</f>
        <v/>
      </c>
      <c r="BQ643">
        <f>'Grid_Stock'!BO34</f>
        <v/>
      </c>
      <c r="BR643">
        <f>'Grid_Stock'!BP34</f>
        <v/>
      </c>
      <c r="BS643">
        <f>'Grid_Stock'!BQ34</f>
        <v/>
      </c>
      <c r="BT643">
        <f>'Grid_Stock'!BR34</f>
        <v/>
      </c>
      <c r="BU643">
        <f>'Grid_Stock'!BS34</f>
        <v/>
      </c>
      <c r="BV643">
        <f>'Grid_Stock'!BT34</f>
        <v/>
      </c>
      <c r="BW643">
        <f>'Grid_Stock'!BU34</f>
        <v/>
      </c>
      <c r="BX643">
        <f>'Grid_Stock'!BV34</f>
        <v/>
      </c>
      <c r="BY643">
        <f>'Grid_Stock'!BW34</f>
        <v/>
      </c>
      <c r="BZ643">
        <f>'Grid_Stock'!BX34</f>
        <v/>
      </c>
      <c r="CA643">
        <f>'Grid_Stock'!BY34</f>
        <v/>
      </c>
      <c r="CB643">
        <f>'Grid_Stock'!BZ34</f>
        <v/>
      </c>
      <c r="CC643">
        <f>'Grid_Stock'!CA34</f>
        <v/>
      </c>
      <c r="CD643">
        <f>'Grid_Stock'!CB34</f>
        <v/>
      </c>
      <c r="CE643">
        <f>'Grid_Stock'!CC34</f>
        <v/>
      </c>
      <c r="CF643">
        <f>'Grid_Stock'!CD34</f>
        <v/>
      </c>
      <c r="CG643">
        <f>'Grid_Stock'!CE34</f>
        <v/>
      </c>
      <c r="CH643">
        <f>'Grid_Stock'!CF34</f>
        <v/>
      </c>
      <c r="CI643">
        <f>'Grid_Stock'!CG34</f>
        <v/>
      </c>
      <c r="CJ643">
        <f>'Grid_Stock'!CH34</f>
        <v/>
      </c>
      <c r="CK643">
        <f>'Grid_Stock'!CI34</f>
        <v/>
      </c>
      <c r="CL643">
        <f>'Grid_Stock'!CJ34</f>
        <v/>
      </c>
      <c r="CM643">
        <f>'Grid_Stock'!CK34</f>
        <v/>
      </c>
      <c r="CN643">
        <f>'Grid_Stock'!CL34</f>
        <v/>
      </c>
      <c r="CO643">
        <f>'Grid_Stock'!CM34</f>
        <v/>
      </c>
      <c r="CP643">
        <f>'Grid_Stock'!CN34</f>
        <v/>
      </c>
      <c r="CQ643">
        <f>'Grid_Stock'!CO34</f>
        <v/>
      </c>
      <c r="CR643">
        <f>'Grid_Stock'!CP34</f>
        <v/>
      </c>
      <c r="CS643">
        <f>'Grid_Stock'!CQ34</f>
        <v/>
      </c>
      <c r="CT643">
        <f>'Grid_Stock'!CR34</f>
        <v/>
      </c>
      <c r="CU643">
        <f>'Grid_Stock'!CS34</f>
        <v/>
      </c>
      <c r="CV643">
        <f>'Grid_Stock'!CT34</f>
        <v/>
      </c>
      <c r="CW643">
        <f>'Grid_Stock'!CU34</f>
        <v/>
      </c>
      <c r="CX643">
        <f>'Grid_Stock'!CV34</f>
        <v/>
      </c>
      <c r="CY643">
        <f>'Grid_Stock'!CW34</f>
        <v/>
      </c>
      <c r="CZ643">
        <f>'Grid_Stock'!CX34</f>
        <v/>
      </c>
      <c r="DA643">
        <f>'Grid_Stock'!CY34</f>
        <v/>
      </c>
      <c r="DB643">
        <f>'Grid_Stock'!CZ34</f>
        <v/>
      </c>
      <c r="DC643">
        <f>'Grid_Stock'!DA34</f>
        <v/>
      </c>
    </row>
    <row r="644">
      <c r="B644" s="26" t="inlineStr">
        <is>
          <t>（発注の目安はDashboardの基準在庫[下限/上限]と色分けを参照）</t>
        </is>
      </c>
    </row>
    <row r="646">
      <c r="A646" s="21" t="inlineStr">
        <is>
          <t>CHEM-1660</t>
        </is>
      </c>
      <c r="B646" s="21" t="inlineStr">
        <is>
          <t>GW-3394</t>
        </is>
      </c>
      <c r="C646" s="22" t="n"/>
      <c r="D646" s="21" t="n"/>
      <c r="E646" s="21" t="n"/>
      <c r="F646" s="21" t="n"/>
      <c r="G646" s="21" t="n"/>
      <c r="H646" s="21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  <c r="AA646" s="21" t="n"/>
      <c r="AB646" s="21" t="n"/>
      <c r="AC646" s="21" t="n"/>
      <c r="AD646" s="21" t="n"/>
      <c r="AE646" s="21" t="n"/>
      <c r="AF646" s="21" t="n"/>
      <c r="AG646" s="21" t="n"/>
      <c r="AH646" s="21" t="n"/>
      <c r="AI646" s="21" t="n"/>
      <c r="AJ646" s="21" t="n"/>
      <c r="AK646" s="21" t="n"/>
      <c r="AL646" s="21" t="n"/>
      <c r="AM646" s="21" t="n"/>
      <c r="AN646" s="21" t="n"/>
      <c r="AO646" s="21" t="n"/>
      <c r="AP646" s="21" t="n"/>
      <c r="AQ646" s="21" t="n"/>
      <c r="AR646" s="21" t="n"/>
      <c r="AS646" s="21" t="n"/>
      <c r="AT646" s="21" t="n"/>
      <c r="AU646" s="21" t="n"/>
      <c r="AV646" s="21" t="n"/>
      <c r="AW646" s="21" t="n"/>
      <c r="AX646" s="21" t="n"/>
      <c r="AY646" s="21" t="n"/>
      <c r="AZ646" s="21" t="n"/>
      <c r="BA646" s="21" t="n"/>
      <c r="BB646" s="21" t="n"/>
      <c r="BC646" s="21" t="n"/>
      <c r="BD646" s="21" t="n"/>
      <c r="BE646" s="21" t="n"/>
      <c r="BF646" s="21" t="n"/>
      <c r="BG646" s="21" t="n"/>
      <c r="BH646" s="21" t="n"/>
      <c r="BI646" s="21" t="n"/>
      <c r="BJ646" s="21" t="n"/>
      <c r="BK646" s="21" t="n"/>
      <c r="BL646" s="21" t="n"/>
      <c r="BM646" s="21" t="n"/>
      <c r="BN646" s="21" t="n"/>
      <c r="BO646" s="21" t="n"/>
      <c r="BP646" s="21" t="n"/>
      <c r="BQ646" s="21" t="n"/>
      <c r="BR646" s="21" t="n"/>
      <c r="BS646" s="21" t="n"/>
      <c r="BT646" s="21" t="n"/>
      <c r="BU646" s="21" t="n"/>
      <c r="BV646" s="21" t="n"/>
      <c r="BW646" s="21" t="n"/>
      <c r="BX646" s="21" t="n"/>
      <c r="BY646" s="21" t="n"/>
      <c r="BZ646" s="21" t="n"/>
      <c r="CA646" s="21" t="n"/>
      <c r="CB646" s="21" t="n"/>
      <c r="CC646" s="21" t="n"/>
      <c r="CD646" s="21" t="n"/>
      <c r="CE646" s="21" t="n"/>
      <c r="CF646" s="21" t="n"/>
      <c r="CG646" s="21" t="n"/>
      <c r="CH646" s="21" t="n"/>
      <c r="CI646" s="21" t="n"/>
      <c r="CJ646" s="21" t="n"/>
      <c r="CK646" s="21" t="n"/>
      <c r="CL646" s="21" t="n"/>
      <c r="CM646" s="21" t="n"/>
      <c r="CN646" s="21" t="n"/>
      <c r="CO646" s="21" t="n"/>
      <c r="CP646" s="21" t="n"/>
      <c r="CQ646" s="21" t="n"/>
      <c r="CR646" s="21" t="n"/>
      <c r="CS646" s="21" t="n"/>
      <c r="CT646" s="21" t="n"/>
      <c r="CU646" s="21" t="n"/>
      <c r="CV646" s="21" t="n"/>
      <c r="CW646" s="21" t="n"/>
      <c r="CX646" s="21" t="n"/>
      <c r="CY646" s="21" t="n"/>
      <c r="CZ646" s="21" t="n"/>
      <c r="DA646" s="21" t="n"/>
      <c r="DB646" s="21" t="n"/>
      <c r="DC646" s="21" t="n"/>
    </row>
    <row r="647">
      <c r="B647" t="inlineStr">
        <is>
          <t>TSP-655</t>
        </is>
      </c>
      <c r="C647" t="inlineStr">
        <is>
          <t>No. of batches</t>
        </is>
      </c>
      <c r="D647">
        <f>IFERROR(INDEX(PP_Grid[#Data],$DD647,2),0)</f>
        <v/>
      </c>
      <c r="E647">
        <f>IFERROR(INDEX(PP_Grid[#Data],$DD647,3),0)</f>
        <v/>
      </c>
      <c r="F647">
        <f>IFERROR(INDEX(PP_Grid[#Data],$DD647,4),0)</f>
        <v/>
      </c>
      <c r="G647">
        <f>IFERROR(INDEX(PP_Grid[#Data],$DD647,5),0)</f>
        <v/>
      </c>
      <c r="H647">
        <f>IFERROR(INDEX(PP_Grid[#Data],$DD647,6),0)</f>
        <v/>
      </c>
      <c r="I647">
        <f>IFERROR(INDEX(PP_Grid[#Data],$DD647,7),0)</f>
        <v/>
      </c>
      <c r="J647">
        <f>IFERROR(INDEX(PP_Grid[#Data],$DD647,8),0)</f>
        <v/>
      </c>
      <c r="K647">
        <f>IFERROR(INDEX(PP_Grid[#Data],$DD647,9),0)</f>
        <v/>
      </c>
      <c r="L647">
        <f>IFERROR(INDEX(PP_Grid[#Data],$DD647,10),0)</f>
        <v/>
      </c>
      <c r="M647">
        <f>IFERROR(INDEX(PP_Grid[#Data],$DD647,11),0)</f>
        <v/>
      </c>
      <c r="N647">
        <f>IFERROR(INDEX(PP_Grid[#Data],$DD647,12),0)</f>
        <v/>
      </c>
      <c r="O647">
        <f>IFERROR(INDEX(PP_Grid[#Data],$DD647,13),0)</f>
        <v/>
      </c>
      <c r="P647">
        <f>IFERROR(INDEX(PP_Grid[#Data],$DD647,14),0)</f>
        <v/>
      </c>
      <c r="Q647">
        <f>IFERROR(INDEX(PP_Grid[#Data],$DD647,15),0)</f>
        <v/>
      </c>
      <c r="R647">
        <f>IFERROR(INDEX(PP_Grid[#Data],$DD647,16),0)</f>
        <v/>
      </c>
      <c r="S647">
        <f>IFERROR(INDEX(PP_Grid[#Data],$DD647,17),0)</f>
        <v/>
      </c>
      <c r="T647">
        <f>IFERROR(INDEX(PP_Grid[#Data],$DD647,18),0)</f>
        <v/>
      </c>
      <c r="U647">
        <f>IFERROR(INDEX(PP_Grid[#Data],$DD647,19),0)</f>
        <v/>
      </c>
      <c r="V647">
        <f>IFERROR(INDEX(PP_Grid[#Data],$DD647,20),0)</f>
        <v/>
      </c>
      <c r="W647">
        <f>IFERROR(INDEX(PP_Grid[#Data],$DD647,21),0)</f>
        <v/>
      </c>
      <c r="X647">
        <f>IFERROR(INDEX(PP_Grid[#Data],$DD647,22),0)</f>
        <v/>
      </c>
      <c r="Y647">
        <f>IFERROR(INDEX(PP_Grid[#Data],$DD647,23),0)</f>
        <v/>
      </c>
      <c r="Z647">
        <f>IFERROR(INDEX(PP_Grid[#Data],$DD647,24),0)</f>
        <v/>
      </c>
      <c r="AA647">
        <f>IFERROR(INDEX(PP_Grid[#Data],$DD647,25),0)</f>
        <v/>
      </c>
      <c r="AB647">
        <f>IFERROR(INDEX(PP_Grid[#Data],$DD647,26),0)</f>
        <v/>
      </c>
      <c r="AC647">
        <f>IFERROR(INDEX(PP_Grid[#Data],$DD647,27),0)</f>
        <v/>
      </c>
      <c r="AD647">
        <f>IFERROR(INDEX(PP_Grid[#Data],$DD647,28),0)</f>
        <v/>
      </c>
      <c r="AE647">
        <f>IFERROR(INDEX(PP_Grid[#Data],$DD647,29),0)</f>
        <v/>
      </c>
      <c r="AF647">
        <f>IFERROR(INDEX(PP_Grid[#Data],$DD647,30),0)</f>
        <v/>
      </c>
      <c r="AG647">
        <f>IFERROR(INDEX(PP_Grid[#Data],$DD647,31),0)</f>
        <v/>
      </c>
      <c r="AH647">
        <f>IFERROR(INDEX(PP_Grid[#Data],$DD647,32),0)</f>
        <v/>
      </c>
      <c r="AI647">
        <f>IFERROR(INDEX(PP_Grid[#Data],$DD647,33),0)</f>
        <v/>
      </c>
      <c r="AJ647">
        <f>IFERROR(INDEX(PP_Grid[#Data],$DD647,34),0)</f>
        <v/>
      </c>
      <c r="AK647">
        <f>IFERROR(INDEX(PP_Grid[#Data],$DD647,35),0)</f>
        <v/>
      </c>
      <c r="AL647">
        <f>IFERROR(INDEX(PP_Grid[#Data],$DD647,36),0)</f>
        <v/>
      </c>
      <c r="AM647">
        <f>IFERROR(INDEX(PP_Grid[#Data],$DD647,37),0)</f>
        <v/>
      </c>
      <c r="AN647">
        <f>IFERROR(INDEX(PP_Grid[#Data],$DD647,38),0)</f>
        <v/>
      </c>
      <c r="AO647">
        <f>IFERROR(INDEX(PP_Grid[#Data],$DD647,39),0)</f>
        <v/>
      </c>
      <c r="AP647">
        <f>IFERROR(INDEX(PP_Grid[#Data],$DD647,40),0)</f>
        <v/>
      </c>
      <c r="AQ647">
        <f>IFERROR(INDEX(PP_Grid[#Data],$DD647,41),0)</f>
        <v/>
      </c>
      <c r="AR647">
        <f>IFERROR(INDEX(PP_Grid[#Data],$DD647,42),0)</f>
        <v/>
      </c>
      <c r="AS647">
        <f>IFERROR(INDEX(PP_Grid[#Data],$DD647,43),0)</f>
        <v/>
      </c>
      <c r="AT647">
        <f>IFERROR(INDEX(PP_Grid[#Data],$DD647,44),0)</f>
        <v/>
      </c>
      <c r="AU647">
        <f>IFERROR(INDEX(PP_Grid[#Data],$DD647,45),0)</f>
        <v/>
      </c>
      <c r="AV647">
        <f>IFERROR(INDEX(PP_Grid[#Data],$DD647,46),0)</f>
        <v/>
      </c>
      <c r="AW647">
        <f>IFERROR(INDEX(PP_Grid[#Data],$DD647,47),0)</f>
        <v/>
      </c>
      <c r="AX647">
        <f>IFERROR(INDEX(PP_Grid[#Data],$DD647,48),0)</f>
        <v/>
      </c>
      <c r="AY647">
        <f>IFERROR(INDEX(PP_Grid[#Data],$DD647,49),0)</f>
        <v/>
      </c>
      <c r="AZ647">
        <f>IFERROR(INDEX(PP_Grid[#Data],$DD647,50),0)</f>
        <v/>
      </c>
      <c r="BA647">
        <f>IFERROR(INDEX(PP_Grid[#Data],$DD647,51),0)</f>
        <v/>
      </c>
      <c r="BB647">
        <f>IFERROR(INDEX(PP_Grid[#Data],$DD647,52),0)</f>
        <v/>
      </c>
      <c r="BC647">
        <f>IFERROR(INDEX(PP_Grid[#Data],$DD647,53),0)</f>
        <v/>
      </c>
      <c r="BD647">
        <f>IFERROR(INDEX(PP_Grid[#Data],$DD647,54),0)</f>
        <v/>
      </c>
      <c r="BE647">
        <f>IFERROR(INDEX(PP_Grid[#Data],$DD647,55),0)</f>
        <v/>
      </c>
      <c r="BF647">
        <f>IFERROR(INDEX(PP_Grid[#Data],$DD647,56),0)</f>
        <v/>
      </c>
      <c r="BG647">
        <f>IFERROR(INDEX(PP_Grid[#Data],$DD647,57),0)</f>
        <v/>
      </c>
      <c r="BH647">
        <f>IFERROR(INDEX(PP_Grid[#Data],$DD647,58),0)</f>
        <v/>
      </c>
      <c r="BI647">
        <f>IFERROR(INDEX(PP_Grid[#Data],$DD647,59),0)</f>
        <v/>
      </c>
      <c r="BJ647">
        <f>IFERROR(INDEX(PP_Grid[#Data],$DD647,60),0)</f>
        <v/>
      </c>
      <c r="BK647">
        <f>IFERROR(INDEX(PP_Grid[#Data],$DD647,61),0)</f>
        <v/>
      </c>
      <c r="BL647">
        <f>IFERROR(INDEX(PP_Grid[#Data],$DD647,62),0)</f>
        <v/>
      </c>
      <c r="BM647">
        <f>IFERROR(INDEX(PP_Grid[#Data],$DD647,63),0)</f>
        <v/>
      </c>
      <c r="BN647">
        <f>IFERROR(INDEX(PP_Grid[#Data],$DD647,64),0)</f>
        <v/>
      </c>
      <c r="BO647">
        <f>IFERROR(INDEX(PP_Grid[#Data],$DD647,65),0)</f>
        <v/>
      </c>
      <c r="BP647">
        <f>IFERROR(INDEX(PP_Grid[#Data],$DD647,66),0)</f>
        <v/>
      </c>
      <c r="BQ647">
        <f>IFERROR(INDEX(PP_Grid[#Data],$DD647,67),0)</f>
        <v/>
      </c>
      <c r="BR647">
        <f>IFERROR(INDEX(PP_Grid[#Data],$DD647,68),0)</f>
        <v/>
      </c>
      <c r="BS647">
        <f>IFERROR(INDEX(PP_Grid[#Data],$DD647,69),0)</f>
        <v/>
      </c>
      <c r="BT647">
        <f>IFERROR(INDEX(PP_Grid[#Data],$DD647,70),0)</f>
        <v/>
      </c>
      <c r="BU647">
        <f>IFERROR(INDEX(PP_Grid[#Data],$DD647,71),0)</f>
        <v/>
      </c>
      <c r="BV647">
        <f>IFERROR(INDEX(PP_Grid[#Data],$DD647,72),0)</f>
        <v/>
      </c>
      <c r="BW647">
        <f>IFERROR(INDEX(PP_Grid[#Data],$DD647,73),0)</f>
        <v/>
      </c>
      <c r="BX647">
        <f>IFERROR(INDEX(PP_Grid[#Data],$DD647,74),0)</f>
        <v/>
      </c>
      <c r="BY647">
        <f>IFERROR(INDEX(PP_Grid[#Data],$DD647,75),0)</f>
        <v/>
      </c>
      <c r="BZ647">
        <f>IFERROR(INDEX(PP_Grid[#Data],$DD647,76),0)</f>
        <v/>
      </c>
      <c r="CA647">
        <f>IFERROR(INDEX(PP_Grid[#Data],$DD647,77),0)</f>
        <v/>
      </c>
      <c r="CB647">
        <f>IFERROR(INDEX(PP_Grid[#Data],$DD647,78),0)</f>
        <v/>
      </c>
      <c r="CC647">
        <f>IFERROR(INDEX(PP_Grid[#Data],$DD647,79),0)</f>
        <v/>
      </c>
      <c r="CD647">
        <f>IFERROR(INDEX(PP_Grid[#Data],$DD647,80),0)</f>
        <v/>
      </c>
      <c r="CE647">
        <f>IFERROR(INDEX(PP_Grid[#Data],$DD647,81),0)</f>
        <v/>
      </c>
      <c r="CF647">
        <f>IFERROR(INDEX(PP_Grid[#Data],$DD647,82),0)</f>
        <v/>
      </c>
      <c r="CG647">
        <f>IFERROR(INDEX(PP_Grid[#Data],$DD647,83),0)</f>
        <v/>
      </c>
      <c r="CH647">
        <f>IFERROR(INDEX(PP_Grid[#Data],$DD647,84),0)</f>
        <v/>
      </c>
      <c r="CI647">
        <f>IFERROR(INDEX(PP_Grid[#Data],$DD647,85),0)</f>
        <v/>
      </c>
      <c r="CJ647">
        <f>IFERROR(INDEX(PP_Grid[#Data],$DD647,86),0)</f>
        <v/>
      </c>
      <c r="CK647">
        <f>IFERROR(INDEX(PP_Grid[#Data],$DD647,87),0)</f>
        <v/>
      </c>
      <c r="CL647">
        <f>IFERROR(INDEX(PP_Grid[#Data],$DD647,88),0)</f>
        <v/>
      </c>
      <c r="CM647">
        <f>IFERROR(INDEX(PP_Grid[#Data],$DD647,89),0)</f>
        <v/>
      </c>
      <c r="CN647">
        <f>IFERROR(INDEX(PP_Grid[#Data],$DD647,90),0)</f>
        <v/>
      </c>
      <c r="CO647">
        <f>IFERROR(INDEX(PP_Grid[#Data],$DD647,91),0)</f>
        <v/>
      </c>
      <c r="CP647">
        <f>IFERROR(INDEX(PP_Grid[#Data],$DD647,92),0)</f>
        <v/>
      </c>
      <c r="CQ647">
        <f>IFERROR(INDEX(PP_Grid[#Data],$DD647,93),0)</f>
        <v/>
      </c>
      <c r="CR647">
        <f>IFERROR(INDEX(PP_Grid[#Data],$DD647,94),0)</f>
        <v/>
      </c>
      <c r="CS647">
        <f>IFERROR(INDEX(PP_Grid[#Data],$DD647,95),0)</f>
        <v/>
      </c>
      <c r="CT647">
        <f>IFERROR(INDEX(PP_Grid[#Data],$DD647,96),0)</f>
        <v/>
      </c>
      <c r="CU647">
        <f>IFERROR(INDEX(PP_Grid[#Data],$DD647,97),0)</f>
        <v/>
      </c>
      <c r="CV647">
        <f>IFERROR(INDEX(PP_Grid[#Data],$DD647,98),0)</f>
        <v/>
      </c>
      <c r="CW647">
        <f>IFERROR(INDEX(PP_Grid[#Data],$DD647,99),0)</f>
        <v/>
      </c>
      <c r="CX647">
        <f>IFERROR(INDEX(PP_Grid[#Data],$DD647,100),0)</f>
        <v/>
      </c>
      <c r="CY647">
        <f>IFERROR(INDEX(PP_Grid[#Data],$DD647,101),0)</f>
        <v/>
      </c>
      <c r="CZ647">
        <f>IFERROR(INDEX(PP_Grid[#Data],$DD647,102),0)</f>
        <v/>
      </c>
      <c r="DA647">
        <f>IFERROR(INDEX(PP_Grid[#Data],$DD647,103),0)</f>
        <v/>
      </c>
      <c r="DB647">
        <f>IFERROR(INDEX(PP_Grid[#Data],$DD647,104),0)</f>
        <v/>
      </c>
      <c r="DC647">
        <f>IFERROR(INDEX(PP_Grid[#Data],$DD647,105),0)</f>
        <v/>
      </c>
      <c r="DD647" s="12">
        <f>IFERROR(MATCH($B647,PP_Grid[Intermediate],0),99999)</f>
        <v/>
      </c>
    </row>
    <row r="648">
      <c r="B648" t="inlineStr">
        <is>
          <t>使用量(kg)</t>
        </is>
      </c>
      <c r="C648">
        <f>SUMIFS(M_BOM[RM_Qty_Per_Batch],M_BOM[Intermediate],$B647,M_BOM[Part Name],$A646)</f>
        <v/>
      </c>
      <c r="D648">
        <f>$C648*D647</f>
        <v/>
      </c>
      <c r="E648">
        <f>$C648*E647</f>
        <v/>
      </c>
      <c r="F648">
        <f>$C648*F647</f>
        <v/>
      </c>
      <c r="G648">
        <f>$C648*G647</f>
        <v/>
      </c>
      <c r="H648">
        <f>$C648*H647</f>
        <v/>
      </c>
      <c r="I648">
        <f>$C648*I647</f>
        <v/>
      </c>
      <c r="J648">
        <f>$C648*J647</f>
        <v/>
      </c>
      <c r="K648">
        <f>$C648*K647</f>
        <v/>
      </c>
      <c r="L648">
        <f>$C648*L647</f>
        <v/>
      </c>
      <c r="M648">
        <f>$C648*M647</f>
        <v/>
      </c>
      <c r="N648">
        <f>$C648*N647</f>
        <v/>
      </c>
      <c r="O648">
        <f>$C648*O647</f>
        <v/>
      </c>
      <c r="P648">
        <f>$C648*P647</f>
        <v/>
      </c>
      <c r="Q648">
        <f>$C648*Q647</f>
        <v/>
      </c>
      <c r="R648">
        <f>$C648*R647</f>
        <v/>
      </c>
      <c r="S648">
        <f>$C648*S647</f>
        <v/>
      </c>
      <c r="T648">
        <f>$C648*T647</f>
        <v/>
      </c>
      <c r="U648">
        <f>$C648*U647</f>
        <v/>
      </c>
      <c r="V648">
        <f>$C648*V647</f>
        <v/>
      </c>
      <c r="W648">
        <f>$C648*W647</f>
        <v/>
      </c>
      <c r="X648">
        <f>$C648*X647</f>
        <v/>
      </c>
      <c r="Y648">
        <f>$C648*Y647</f>
        <v/>
      </c>
      <c r="Z648">
        <f>$C648*Z647</f>
        <v/>
      </c>
      <c r="AA648">
        <f>$C648*AA647</f>
        <v/>
      </c>
      <c r="AB648">
        <f>$C648*AB647</f>
        <v/>
      </c>
      <c r="AC648">
        <f>$C648*AC647</f>
        <v/>
      </c>
      <c r="AD648">
        <f>$C648*AD647</f>
        <v/>
      </c>
      <c r="AE648">
        <f>$C648*AE647</f>
        <v/>
      </c>
      <c r="AF648">
        <f>$C648*AF647</f>
        <v/>
      </c>
      <c r="AG648">
        <f>$C648*AG647</f>
        <v/>
      </c>
      <c r="AH648">
        <f>$C648*AH647</f>
        <v/>
      </c>
      <c r="AI648">
        <f>$C648*AI647</f>
        <v/>
      </c>
      <c r="AJ648">
        <f>$C648*AJ647</f>
        <v/>
      </c>
      <c r="AK648">
        <f>$C648*AK647</f>
        <v/>
      </c>
      <c r="AL648">
        <f>$C648*AL647</f>
        <v/>
      </c>
      <c r="AM648">
        <f>$C648*AM647</f>
        <v/>
      </c>
      <c r="AN648">
        <f>$C648*AN647</f>
        <v/>
      </c>
      <c r="AO648">
        <f>$C648*AO647</f>
        <v/>
      </c>
      <c r="AP648">
        <f>$C648*AP647</f>
        <v/>
      </c>
      <c r="AQ648">
        <f>$C648*AQ647</f>
        <v/>
      </c>
      <c r="AR648">
        <f>$C648*AR647</f>
        <v/>
      </c>
      <c r="AS648">
        <f>$C648*AS647</f>
        <v/>
      </c>
      <c r="AT648">
        <f>$C648*AT647</f>
        <v/>
      </c>
      <c r="AU648">
        <f>$C648*AU647</f>
        <v/>
      </c>
      <c r="AV648">
        <f>$C648*AV647</f>
        <v/>
      </c>
      <c r="AW648">
        <f>$C648*AW647</f>
        <v/>
      </c>
      <c r="AX648">
        <f>$C648*AX647</f>
        <v/>
      </c>
      <c r="AY648">
        <f>$C648*AY647</f>
        <v/>
      </c>
      <c r="AZ648">
        <f>$C648*AZ647</f>
        <v/>
      </c>
      <c r="BA648">
        <f>$C648*BA647</f>
        <v/>
      </c>
      <c r="BB648">
        <f>$C648*BB647</f>
        <v/>
      </c>
      <c r="BC648">
        <f>$C648*BC647</f>
        <v/>
      </c>
      <c r="BD648">
        <f>$C648*BD647</f>
        <v/>
      </c>
      <c r="BE648">
        <f>$C648*BE647</f>
        <v/>
      </c>
      <c r="BF648">
        <f>$C648*BF647</f>
        <v/>
      </c>
      <c r="BG648">
        <f>$C648*BG647</f>
        <v/>
      </c>
      <c r="BH648">
        <f>$C648*BH647</f>
        <v/>
      </c>
      <c r="BI648">
        <f>$C648*BI647</f>
        <v/>
      </c>
      <c r="BJ648">
        <f>$C648*BJ647</f>
        <v/>
      </c>
      <c r="BK648">
        <f>$C648*BK647</f>
        <v/>
      </c>
      <c r="BL648">
        <f>$C648*BL647</f>
        <v/>
      </c>
      <c r="BM648">
        <f>$C648*BM647</f>
        <v/>
      </c>
      <c r="BN648">
        <f>$C648*BN647</f>
        <v/>
      </c>
      <c r="BO648">
        <f>$C648*BO647</f>
        <v/>
      </c>
      <c r="BP648">
        <f>$C648*BP647</f>
        <v/>
      </c>
      <c r="BQ648">
        <f>$C648*BQ647</f>
        <v/>
      </c>
      <c r="BR648">
        <f>$C648*BR647</f>
        <v/>
      </c>
      <c r="BS648">
        <f>$C648*BS647</f>
        <v/>
      </c>
      <c r="BT648">
        <f>$C648*BT647</f>
        <v/>
      </c>
      <c r="BU648">
        <f>$C648*BU647</f>
        <v/>
      </c>
      <c r="BV648">
        <f>$C648*BV647</f>
        <v/>
      </c>
      <c r="BW648">
        <f>$C648*BW647</f>
        <v/>
      </c>
      <c r="BX648">
        <f>$C648*BX647</f>
        <v/>
      </c>
      <c r="BY648">
        <f>$C648*BY647</f>
        <v/>
      </c>
      <c r="BZ648">
        <f>$C648*BZ647</f>
        <v/>
      </c>
      <c r="CA648">
        <f>$C648*CA647</f>
        <v/>
      </c>
      <c r="CB648">
        <f>$C648*CB647</f>
        <v/>
      </c>
      <c r="CC648">
        <f>$C648*CC647</f>
        <v/>
      </c>
      <c r="CD648">
        <f>$C648*CD647</f>
        <v/>
      </c>
      <c r="CE648">
        <f>$C648*CE647</f>
        <v/>
      </c>
      <c r="CF648">
        <f>$C648*CF647</f>
        <v/>
      </c>
      <c r="CG648">
        <f>$C648*CG647</f>
        <v/>
      </c>
      <c r="CH648">
        <f>$C648*CH647</f>
        <v/>
      </c>
      <c r="CI648">
        <f>$C648*CI647</f>
        <v/>
      </c>
      <c r="CJ648">
        <f>$C648*CJ647</f>
        <v/>
      </c>
      <c r="CK648">
        <f>$C648*CK647</f>
        <v/>
      </c>
      <c r="CL648">
        <f>$C648*CL647</f>
        <v/>
      </c>
      <c r="CM648">
        <f>$C648*CM647</f>
        <v/>
      </c>
      <c r="CN648">
        <f>$C648*CN647</f>
        <v/>
      </c>
      <c r="CO648">
        <f>$C648*CO647</f>
        <v/>
      </c>
      <c r="CP648">
        <f>$C648*CP647</f>
        <v/>
      </c>
      <c r="CQ648">
        <f>$C648*CQ647</f>
        <v/>
      </c>
      <c r="CR648">
        <f>$C648*CR647</f>
        <v/>
      </c>
      <c r="CS648">
        <f>$C648*CS647</f>
        <v/>
      </c>
      <c r="CT648">
        <f>$C648*CT647</f>
        <v/>
      </c>
      <c r="CU648">
        <f>$C648*CU647</f>
        <v/>
      </c>
      <c r="CV648">
        <f>$C648*CV647</f>
        <v/>
      </c>
      <c r="CW648">
        <f>$C648*CW647</f>
        <v/>
      </c>
      <c r="CX648">
        <f>$C648*CX647</f>
        <v/>
      </c>
      <c r="CY648">
        <f>$C648*CY647</f>
        <v/>
      </c>
      <c r="CZ648">
        <f>$C648*CZ647</f>
        <v/>
      </c>
      <c r="DA648">
        <f>$C648*DA647</f>
        <v/>
      </c>
      <c r="DB648">
        <f>$C648*DB647</f>
        <v/>
      </c>
      <c r="DC648">
        <f>$C648*DC647</f>
        <v/>
      </c>
    </row>
    <row r="649">
      <c r="B649" t="inlineStr">
        <is>
          <t>TSP-656</t>
        </is>
      </c>
      <c r="C649" t="inlineStr">
        <is>
          <t>No. of batches</t>
        </is>
      </c>
      <c r="D649">
        <f>IFERROR(INDEX(PP_Grid[#Data],$DD649,2),0)</f>
        <v/>
      </c>
      <c r="E649">
        <f>IFERROR(INDEX(PP_Grid[#Data],$DD649,3),0)</f>
        <v/>
      </c>
      <c r="F649">
        <f>IFERROR(INDEX(PP_Grid[#Data],$DD649,4),0)</f>
        <v/>
      </c>
      <c r="G649">
        <f>IFERROR(INDEX(PP_Grid[#Data],$DD649,5),0)</f>
        <v/>
      </c>
      <c r="H649">
        <f>IFERROR(INDEX(PP_Grid[#Data],$DD649,6),0)</f>
        <v/>
      </c>
      <c r="I649">
        <f>IFERROR(INDEX(PP_Grid[#Data],$DD649,7),0)</f>
        <v/>
      </c>
      <c r="J649">
        <f>IFERROR(INDEX(PP_Grid[#Data],$DD649,8),0)</f>
        <v/>
      </c>
      <c r="K649">
        <f>IFERROR(INDEX(PP_Grid[#Data],$DD649,9),0)</f>
        <v/>
      </c>
      <c r="L649">
        <f>IFERROR(INDEX(PP_Grid[#Data],$DD649,10),0)</f>
        <v/>
      </c>
      <c r="M649">
        <f>IFERROR(INDEX(PP_Grid[#Data],$DD649,11),0)</f>
        <v/>
      </c>
      <c r="N649">
        <f>IFERROR(INDEX(PP_Grid[#Data],$DD649,12),0)</f>
        <v/>
      </c>
      <c r="O649">
        <f>IFERROR(INDEX(PP_Grid[#Data],$DD649,13),0)</f>
        <v/>
      </c>
      <c r="P649">
        <f>IFERROR(INDEX(PP_Grid[#Data],$DD649,14),0)</f>
        <v/>
      </c>
      <c r="Q649">
        <f>IFERROR(INDEX(PP_Grid[#Data],$DD649,15),0)</f>
        <v/>
      </c>
      <c r="R649">
        <f>IFERROR(INDEX(PP_Grid[#Data],$DD649,16),0)</f>
        <v/>
      </c>
      <c r="S649">
        <f>IFERROR(INDEX(PP_Grid[#Data],$DD649,17),0)</f>
        <v/>
      </c>
      <c r="T649">
        <f>IFERROR(INDEX(PP_Grid[#Data],$DD649,18),0)</f>
        <v/>
      </c>
      <c r="U649">
        <f>IFERROR(INDEX(PP_Grid[#Data],$DD649,19),0)</f>
        <v/>
      </c>
      <c r="V649">
        <f>IFERROR(INDEX(PP_Grid[#Data],$DD649,20),0)</f>
        <v/>
      </c>
      <c r="W649">
        <f>IFERROR(INDEX(PP_Grid[#Data],$DD649,21),0)</f>
        <v/>
      </c>
      <c r="X649">
        <f>IFERROR(INDEX(PP_Grid[#Data],$DD649,22),0)</f>
        <v/>
      </c>
      <c r="Y649">
        <f>IFERROR(INDEX(PP_Grid[#Data],$DD649,23),0)</f>
        <v/>
      </c>
      <c r="Z649">
        <f>IFERROR(INDEX(PP_Grid[#Data],$DD649,24),0)</f>
        <v/>
      </c>
      <c r="AA649">
        <f>IFERROR(INDEX(PP_Grid[#Data],$DD649,25),0)</f>
        <v/>
      </c>
      <c r="AB649">
        <f>IFERROR(INDEX(PP_Grid[#Data],$DD649,26),0)</f>
        <v/>
      </c>
      <c r="AC649">
        <f>IFERROR(INDEX(PP_Grid[#Data],$DD649,27),0)</f>
        <v/>
      </c>
      <c r="AD649">
        <f>IFERROR(INDEX(PP_Grid[#Data],$DD649,28),0)</f>
        <v/>
      </c>
      <c r="AE649">
        <f>IFERROR(INDEX(PP_Grid[#Data],$DD649,29),0)</f>
        <v/>
      </c>
      <c r="AF649">
        <f>IFERROR(INDEX(PP_Grid[#Data],$DD649,30),0)</f>
        <v/>
      </c>
      <c r="AG649">
        <f>IFERROR(INDEX(PP_Grid[#Data],$DD649,31),0)</f>
        <v/>
      </c>
      <c r="AH649">
        <f>IFERROR(INDEX(PP_Grid[#Data],$DD649,32),0)</f>
        <v/>
      </c>
      <c r="AI649">
        <f>IFERROR(INDEX(PP_Grid[#Data],$DD649,33),0)</f>
        <v/>
      </c>
      <c r="AJ649">
        <f>IFERROR(INDEX(PP_Grid[#Data],$DD649,34),0)</f>
        <v/>
      </c>
      <c r="AK649">
        <f>IFERROR(INDEX(PP_Grid[#Data],$DD649,35),0)</f>
        <v/>
      </c>
      <c r="AL649">
        <f>IFERROR(INDEX(PP_Grid[#Data],$DD649,36),0)</f>
        <v/>
      </c>
      <c r="AM649">
        <f>IFERROR(INDEX(PP_Grid[#Data],$DD649,37),0)</f>
        <v/>
      </c>
      <c r="AN649">
        <f>IFERROR(INDEX(PP_Grid[#Data],$DD649,38),0)</f>
        <v/>
      </c>
      <c r="AO649">
        <f>IFERROR(INDEX(PP_Grid[#Data],$DD649,39),0)</f>
        <v/>
      </c>
      <c r="AP649">
        <f>IFERROR(INDEX(PP_Grid[#Data],$DD649,40),0)</f>
        <v/>
      </c>
      <c r="AQ649">
        <f>IFERROR(INDEX(PP_Grid[#Data],$DD649,41),0)</f>
        <v/>
      </c>
      <c r="AR649">
        <f>IFERROR(INDEX(PP_Grid[#Data],$DD649,42),0)</f>
        <v/>
      </c>
      <c r="AS649">
        <f>IFERROR(INDEX(PP_Grid[#Data],$DD649,43),0)</f>
        <v/>
      </c>
      <c r="AT649">
        <f>IFERROR(INDEX(PP_Grid[#Data],$DD649,44),0)</f>
        <v/>
      </c>
      <c r="AU649">
        <f>IFERROR(INDEX(PP_Grid[#Data],$DD649,45),0)</f>
        <v/>
      </c>
      <c r="AV649">
        <f>IFERROR(INDEX(PP_Grid[#Data],$DD649,46),0)</f>
        <v/>
      </c>
      <c r="AW649">
        <f>IFERROR(INDEX(PP_Grid[#Data],$DD649,47),0)</f>
        <v/>
      </c>
      <c r="AX649">
        <f>IFERROR(INDEX(PP_Grid[#Data],$DD649,48),0)</f>
        <v/>
      </c>
      <c r="AY649">
        <f>IFERROR(INDEX(PP_Grid[#Data],$DD649,49),0)</f>
        <v/>
      </c>
      <c r="AZ649">
        <f>IFERROR(INDEX(PP_Grid[#Data],$DD649,50),0)</f>
        <v/>
      </c>
      <c r="BA649">
        <f>IFERROR(INDEX(PP_Grid[#Data],$DD649,51),0)</f>
        <v/>
      </c>
      <c r="BB649">
        <f>IFERROR(INDEX(PP_Grid[#Data],$DD649,52),0)</f>
        <v/>
      </c>
      <c r="BC649">
        <f>IFERROR(INDEX(PP_Grid[#Data],$DD649,53),0)</f>
        <v/>
      </c>
      <c r="BD649">
        <f>IFERROR(INDEX(PP_Grid[#Data],$DD649,54),0)</f>
        <v/>
      </c>
      <c r="BE649">
        <f>IFERROR(INDEX(PP_Grid[#Data],$DD649,55),0)</f>
        <v/>
      </c>
      <c r="BF649">
        <f>IFERROR(INDEX(PP_Grid[#Data],$DD649,56),0)</f>
        <v/>
      </c>
      <c r="BG649">
        <f>IFERROR(INDEX(PP_Grid[#Data],$DD649,57),0)</f>
        <v/>
      </c>
      <c r="BH649">
        <f>IFERROR(INDEX(PP_Grid[#Data],$DD649,58),0)</f>
        <v/>
      </c>
      <c r="BI649">
        <f>IFERROR(INDEX(PP_Grid[#Data],$DD649,59),0)</f>
        <v/>
      </c>
      <c r="BJ649">
        <f>IFERROR(INDEX(PP_Grid[#Data],$DD649,60),0)</f>
        <v/>
      </c>
      <c r="BK649">
        <f>IFERROR(INDEX(PP_Grid[#Data],$DD649,61),0)</f>
        <v/>
      </c>
      <c r="BL649">
        <f>IFERROR(INDEX(PP_Grid[#Data],$DD649,62),0)</f>
        <v/>
      </c>
      <c r="BM649">
        <f>IFERROR(INDEX(PP_Grid[#Data],$DD649,63),0)</f>
        <v/>
      </c>
      <c r="BN649">
        <f>IFERROR(INDEX(PP_Grid[#Data],$DD649,64),0)</f>
        <v/>
      </c>
      <c r="BO649">
        <f>IFERROR(INDEX(PP_Grid[#Data],$DD649,65),0)</f>
        <v/>
      </c>
      <c r="BP649">
        <f>IFERROR(INDEX(PP_Grid[#Data],$DD649,66),0)</f>
        <v/>
      </c>
      <c r="BQ649">
        <f>IFERROR(INDEX(PP_Grid[#Data],$DD649,67),0)</f>
        <v/>
      </c>
      <c r="BR649">
        <f>IFERROR(INDEX(PP_Grid[#Data],$DD649,68),0)</f>
        <v/>
      </c>
      <c r="BS649">
        <f>IFERROR(INDEX(PP_Grid[#Data],$DD649,69),0)</f>
        <v/>
      </c>
      <c r="BT649">
        <f>IFERROR(INDEX(PP_Grid[#Data],$DD649,70),0)</f>
        <v/>
      </c>
      <c r="BU649">
        <f>IFERROR(INDEX(PP_Grid[#Data],$DD649,71),0)</f>
        <v/>
      </c>
      <c r="BV649">
        <f>IFERROR(INDEX(PP_Grid[#Data],$DD649,72),0)</f>
        <v/>
      </c>
      <c r="BW649">
        <f>IFERROR(INDEX(PP_Grid[#Data],$DD649,73),0)</f>
        <v/>
      </c>
      <c r="BX649">
        <f>IFERROR(INDEX(PP_Grid[#Data],$DD649,74),0)</f>
        <v/>
      </c>
      <c r="BY649">
        <f>IFERROR(INDEX(PP_Grid[#Data],$DD649,75),0)</f>
        <v/>
      </c>
      <c r="BZ649">
        <f>IFERROR(INDEX(PP_Grid[#Data],$DD649,76),0)</f>
        <v/>
      </c>
      <c r="CA649">
        <f>IFERROR(INDEX(PP_Grid[#Data],$DD649,77),0)</f>
        <v/>
      </c>
      <c r="CB649">
        <f>IFERROR(INDEX(PP_Grid[#Data],$DD649,78),0)</f>
        <v/>
      </c>
      <c r="CC649">
        <f>IFERROR(INDEX(PP_Grid[#Data],$DD649,79),0)</f>
        <v/>
      </c>
      <c r="CD649">
        <f>IFERROR(INDEX(PP_Grid[#Data],$DD649,80),0)</f>
        <v/>
      </c>
      <c r="CE649">
        <f>IFERROR(INDEX(PP_Grid[#Data],$DD649,81),0)</f>
        <v/>
      </c>
      <c r="CF649">
        <f>IFERROR(INDEX(PP_Grid[#Data],$DD649,82),0)</f>
        <v/>
      </c>
      <c r="CG649">
        <f>IFERROR(INDEX(PP_Grid[#Data],$DD649,83),0)</f>
        <v/>
      </c>
      <c r="CH649">
        <f>IFERROR(INDEX(PP_Grid[#Data],$DD649,84),0)</f>
        <v/>
      </c>
      <c r="CI649">
        <f>IFERROR(INDEX(PP_Grid[#Data],$DD649,85),0)</f>
        <v/>
      </c>
      <c r="CJ649">
        <f>IFERROR(INDEX(PP_Grid[#Data],$DD649,86),0)</f>
        <v/>
      </c>
      <c r="CK649">
        <f>IFERROR(INDEX(PP_Grid[#Data],$DD649,87),0)</f>
        <v/>
      </c>
      <c r="CL649">
        <f>IFERROR(INDEX(PP_Grid[#Data],$DD649,88),0)</f>
        <v/>
      </c>
      <c r="CM649">
        <f>IFERROR(INDEX(PP_Grid[#Data],$DD649,89),0)</f>
        <v/>
      </c>
      <c r="CN649">
        <f>IFERROR(INDEX(PP_Grid[#Data],$DD649,90),0)</f>
        <v/>
      </c>
      <c r="CO649">
        <f>IFERROR(INDEX(PP_Grid[#Data],$DD649,91),0)</f>
        <v/>
      </c>
      <c r="CP649">
        <f>IFERROR(INDEX(PP_Grid[#Data],$DD649,92),0)</f>
        <v/>
      </c>
      <c r="CQ649">
        <f>IFERROR(INDEX(PP_Grid[#Data],$DD649,93),0)</f>
        <v/>
      </c>
      <c r="CR649">
        <f>IFERROR(INDEX(PP_Grid[#Data],$DD649,94),0)</f>
        <v/>
      </c>
      <c r="CS649">
        <f>IFERROR(INDEX(PP_Grid[#Data],$DD649,95),0)</f>
        <v/>
      </c>
      <c r="CT649">
        <f>IFERROR(INDEX(PP_Grid[#Data],$DD649,96),0)</f>
        <v/>
      </c>
      <c r="CU649">
        <f>IFERROR(INDEX(PP_Grid[#Data],$DD649,97),0)</f>
        <v/>
      </c>
      <c r="CV649">
        <f>IFERROR(INDEX(PP_Grid[#Data],$DD649,98),0)</f>
        <v/>
      </c>
      <c r="CW649">
        <f>IFERROR(INDEX(PP_Grid[#Data],$DD649,99),0)</f>
        <v/>
      </c>
      <c r="CX649">
        <f>IFERROR(INDEX(PP_Grid[#Data],$DD649,100),0)</f>
        <v/>
      </c>
      <c r="CY649">
        <f>IFERROR(INDEX(PP_Grid[#Data],$DD649,101),0)</f>
        <v/>
      </c>
      <c r="CZ649">
        <f>IFERROR(INDEX(PP_Grid[#Data],$DD649,102),0)</f>
        <v/>
      </c>
      <c r="DA649">
        <f>IFERROR(INDEX(PP_Grid[#Data],$DD649,103),0)</f>
        <v/>
      </c>
      <c r="DB649">
        <f>IFERROR(INDEX(PP_Grid[#Data],$DD649,104),0)</f>
        <v/>
      </c>
      <c r="DC649">
        <f>IFERROR(INDEX(PP_Grid[#Data],$DD649,105),0)</f>
        <v/>
      </c>
      <c r="DD649" s="12">
        <f>IFERROR(MATCH($B649,PP_Grid[Intermediate],0),99999)</f>
        <v/>
      </c>
    </row>
    <row r="650">
      <c r="B650" t="inlineStr">
        <is>
          <t>使用量(kg)</t>
        </is>
      </c>
      <c r="C650">
        <f>SUMIFS(M_BOM[RM_Qty_Per_Batch],M_BOM[Intermediate],$B649,M_BOM[Part Name],$A646)</f>
        <v/>
      </c>
      <c r="D650">
        <f>$C650*D649</f>
        <v/>
      </c>
      <c r="E650">
        <f>$C650*E649</f>
        <v/>
      </c>
      <c r="F650">
        <f>$C650*F649</f>
        <v/>
      </c>
      <c r="G650">
        <f>$C650*G649</f>
        <v/>
      </c>
      <c r="H650">
        <f>$C650*H649</f>
        <v/>
      </c>
      <c r="I650">
        <f>$C650*I649</f>
        <v/>
      </c>
      <c r="J650">
        <f>$C650*J649</f>
        <v/>
      </c>
      <c r="K650">
        <f>$C650*K649</f>
        <v/>
      </c>
      <c r="L650">
        <f>$C650*L649</f>
        <v/>
      </c>
      <c r="M650">
        <f>$C650*M649</f>
        <v/>
      </c>
      <c r="N650">
        <f>$C650*N649</f>
        <v/>
      </c>
      <c r="O650">
        <f>$C650*O649</f>
        <v/>
      </c>
      <c r="P650">
        <f>$C650*P649</f>
        <v/>
      </c>
      <c r="Q650">
        <f>$C650*Q649</f>
        <v/>
      </c>
      <c r="R650">
        <f>$C650*R649</f>
        <v/>
      </c>
      <c r="S650">
        <f>$C650*S649</f>
        <v/>
      </c>
      <c r="T650">
        <f>$C650*T649</f>
        <v/>
      </c>
      <c r="U650">
        <f>$C650*U649</f>
        <v/>
      </c>
      <c r="V650">
        <f>$C650*V649</f>
        <v/>
      </c>
      <c r="W650">
        <f>$C650*W649</f>
        <v/>
      </c>
      <c r="X650">
        <f>$C650*X649</f>
        <v/>
      </c>
      <c r="Y650">
        <f>$C650*Y649</f>
        <v/>
      </c>
      <c r="Z650">
        <f>$C650*Z649</f>
        <v/>
      </c>
      <c r="AA650">
        <f>$C650*AA649</f>
        <v/>
      </c>
      <c r="AB650">
        <f>$C650*AB649</f>
        <v/>
      </c>
      <c r="AC650">
        <f>$C650*AC649</f>
        <v/>
      </c>
      <c r="AD650">
        <f>$C650*AD649</f>
        <v/>
      </c>
      <c r="AE650">
        <f>$C650*AE649</f>
        <v/>
      </c>
      <c r="AF650">
        <f>$C650*AF649</f>
        <v/>
      </c>
      <c r="AG650">
        <f>$C650*AG649</f>
        <v/>
      </c>
      <c r="AH650">
        <f>$C650*AH649</f>
        <v/>
      </c>
      <c r="AI650">
        <f>$C650*AI649</f>
        <v/>
      </c>
      <c r="AJ650">
        <f>$C650*AJ649</f>
        <v/>
      </c>
      <c r="AK650">
        <f>$C650*AK649</f>
        <v/>
      </c>
      <c r="AL650">
        <f>$C650*AL649</f>
        <v/>
      </c>
      <c r="AM650">
        <f>$C650*AM649</f>
        <v/>
      </c>
      <c r="AN650">
        <f>$C650*AN649</f>
        <v/>
      </c>
      <c r="AO650">
        <f>$C650*AO649</f>
        <v/>
      </c>
      <c r="AP650">
        <f>$C650*AP649</f>
        <v/>
      </c>
      <c r="AQ650">
        <f>$C650*AQ649</f>
        <v/>
      </c>
      <c r="AR650">
        <f>$C650*AR649</f>
        <v/>
      </c>
      <c r="AS650">
        <f>$C650*AS649</f>
        <v/>
      </c>
      <c r="AT650">
        <f>$C650*AT649</f>
        <v/>
      </c>
      <c r="AU650">
        <f>$C650*AU649</f>
        <v/>
      </c>
      <c r="AV650">
        <f>$C650*AV649</f>
        <v/>
      </c>
      <c r="AW650">
        <f>$C650*AW649</f>
        <v/>
      </c>
      <c r="AX650">
        <f>$C650*AX649</f>
        <v/>
      </c>
      <c r="AY650">
        <f>$C650*AY649</f>
        <v/>
      </c>
      <c r="AZ650">
        <f>$C650*AZ649</f>
        <v/>
      </c>
      <c r="BA650">
        <f>$C650*BA649</f>
        <v/>
      </c>
      <c r="BB650">
        <f>$C650*BB649</f>
        <v/>
      </c>
      <c r="BC650">
        <f>$C650*BC649</f>
        <v/>
      </c>
      <c r="BD650">
        <f>$C650*BD649</f>
        <v/>
      </c>
      <c r="BE650">
        <f>$C650*BE649</f>
        <v/>
      </c>
      <c r="BF650">
        <f>$C650*BF649</f>
        <v/>
      </c>
      <c r="BG650">
        <f>$C650*BG649</f>
        <v/>
      </c>
      <c r="BH650">
        <f>$C650*BH649</f>
        <v/>
      </c>
      <c r="BI650">
        <f>$C650*BI649</f>
        <v/>
      </c>
      <c r="BJ650">
        <f>$C650*BJ649</f>
        <v/>
      </c>
      <c r="BK650">
        <f>$C650*BK649</f>
        <v/>
      </c>
      <c r="BL650">
        <f>$C650*BL649</f>
        <v/>
      </c>
      <c r="BM650">
        <f>$C650*BM649</f>
        <v/>
      </c>
      <c r="BN650">
        <f>$C650*BN649</f>
        <v/>
      </c>
      <c r="BO650">
        <f>$C650*BO649</f>
        <v/>
      </c>
      <c r="BP650">
        <f>$C650*BP649</f>
        <v/>
      </c>
      <c r="BQ650">
        <f>$C650*BQ649</f>
        <v/>
      </c>
      <c r="BR650">
        <f>$C650*BR649</f>
        <v/>
      </c>
      <c r="BS650">
        <f>$C650*BS649</f>
        <v/>
      </c>
      <c r="BT650">
        <f>$C650*BT649</f>
        <v/>
      </c>
      <c r="BU650">
        <f>$C650*BU649</f>
        <v/>
      </c>
      <c r="BV650">
        <f>$C650*BV649</f>
        <v/>
      </c>
      <c r="BW650">
        <f>$C650*BW649</f>
        <v/>
      </c>
      <c r="BX650">
        <f>$C650*BX649</f>
        <v/>
      </c>
      <c r="BY650">
        <f>$C650*BY649</f>
        <v/>
      </c>
      <c r="BZ650">
        <f>$C650*BZ649</f>
        <v/>
      </c>
      <c r="CA650">
        <f>$C650*CA649</f>
        <v/>
      </c>
      <c r="CB650">
        <f>$C650*CB649</f>
        <v/>
      </c>
      <c r="CC650">
        <f>$C650*CC649</f>
        <v/>
      </c>
      <c r="CD650">
        <f>$C650*CD649</f>
        <v/>
      </c>
      <c r="CE650">
        <f>$C650*CE649</f>
        <v/>
      </c>
      <c r="CF650">
        <f>$C650*CF649</f>
        <v/>
      </c>
      <c r="CG650">
        <f>$C650*CG649</f>
        <v/>
      </c>
      <c r="CH650">
        <f>$C650*CH649</f>
        <v/>
      </c>
      <c r="CI650">
        <f>$C650*CI649</f>
        <v/>
      </c>
      <c r="CJ650">
        <f>$C650*CJ649</f>
        <v/>
      </c>
      <c r="CK650">
        <f>$C650*CK649</f>
        <v/>
      </c>
      <c r="CL650">
        <f>$C650*CL649</f>
        <v/>
      </c>
      <c r="CM650">
        <f>$C650*CM649</f>
        <v/>
      </c>
      <c r="CN650">
        <f>$C650*CN649</f>
        <v/>
      </c>
      <c r="CO650">
        <f>$C650*CO649</f>
        <v/>
      </c>
      <c r="CP650">
        <f>$C650*CP649</f>
        <v/>
      </c>
      <c r="CQ650">
        <f>$C650*CQ649</f>
        <v/>
      </c>
      <c r="CR650">
        <f>$C650*CR649</f>
        <v/>
      </c>
      <c r="CS650">
        <f>$C650*CS649</f>
        <v/>
      </c>
      <c r="CT650">
        <f>$C650*CT649</f>
        <v/>
      </c>
      <c r="CU650">
        <f>$C650*CU649</f>
        <v/>
      </c>
      <c r="CV650">
        <f>$C650*CV649</f>
        <v/>
      </c>
      <c r="CW650">
        <f>$C650*CW649</f>
        <v/>
      </c>
      <c r="CX650">
        <f>$C650*CX649</f>
        <v/>
      </c>
      <c r="CY650">
        <f>$C650*CY649</f>
        <v/>
      </c>
      <c r="CZ650">
        <f>$C650*CZ649</f>
        <v/>
      </c>
      <c r="DA650">
        <f>$C650*DA649</f>
        <v/>
      </c>
      <c r="DB650">
        <f>$C650*DB649</f>
        <v/>
      </c>
      <c r="DC650">
        <f>$C650*DC649</f>
        <v/>
      </c>
    </row>
    <row r="651">
      <c r="B651" t="inlineStr">
        <is>
          <t>VSP-820</t>
        </is>
      </c>
      <c r="C651" t="inlineStr">
        <is>
          <t>No. of batches</t>
        </is>
      </c>
      <c r="D651">
        <f>IFERROR(INDEX(PP_Grid[#Data],$DD651,2),0)</f>
        <v/>
      </c>
      <c r="E651">
        <f>IFERROR(INDEX(PP_Grid[#Data],$DD651,3),0)</f>
        <v/>
      </c>
      <c r="F651">
        <f>IFERROR(INDEX(PP_Grid[#Data],$DD651,4),0)</f>
        <v/>
      </c>
      <c r="G651">
        <f>IFERROR(INDEX(PP_Grid[#Data],$DD651,5),0)</f>
        <v/>
      </c>
      <c r="H651">
        <f>IFERROR(INDEX(PP_Grid[#Data],$DD651,6),0)</f>
        <v/>
      </c>
      <c r="I651">
        <f>IFERROR(INDEX(PP_Grid[#Data],$DD651,7),0)</f>
        <v/>
      </c>
      <c r="J651">
        <f>IFERROR(INDEX(PP_Grid[#Data],$DD651,8),0)</f>
        <v/>
      </c>
      <c r="K651">
        <f>IFERROR(INDEX(PP_Grid[#Data],$DD651,9),0)</f>
        <v/>
      </c>
      <c r="L651">
        <f>IFERROR(INDEX(PP_Grid[#Data],$DD651,10),0)</f>
        <v/>
      </c>
      <c r="M651">
        <f>IFERROR(INDEX(PP_Grid[#Data],$DD651,11),0)</f>
        <v/>
      </c>
      <c r="N651">
        <f>IFERROR(INDEX(PP_Grid[#Data],$DD651,12),0)</f>
        <v/>
      </c>
      <c r="O651">
        <f>IFERROR(INDEX(PP_Grid[#Data],$DD651,13),0)</f>
        <v/>
      </c>
      <c r="P651">
        <f>IFERROR(INDEX(PP_Grid[#Data],$DD651,14),0)</f>
        <v/>
      </c>
      <c r="Q651">
        <f>IFERROR(INDEX(PP_Grid[#Data],$DD651,15),0)</f>
        <v/>
      </c>
      <c r="R651">
        <f>IFERROR(INDEX(PP_Grid[#Data],$DD651,16),0)</f>
        <v/>
      </c>
      <c r="S651">
        <f>IFERROR(INDEX(PP_Grid[#Data],$DD651,17),0)</f>
        <v/>
      </c>
      <c r="T651">
        <f>IFERROR(INDEX(PP_Grid[#Data],$DD651,18),0)</f>
        <v/>
      </c>
      <c r="U651">
        <f>IFERROR(INDEX(PP_Grid[#Data],$DD651,19),0)</f>
        <v/>
      </c>
      <c r="V651">
        <f>IFERROR(INDEX(PP_Grid[#Data],$DD651,20),0)</f>
        <v/>
      </c>
      <c r="W651">
        <f>IFERROR(INDEX(PP_Grid[#Data],$DD651,21),0)</f>
        <v/>
      </c>
      <c r="X651">
        <f>IFERROR(INDEX(PP_Grid[#Data],$DD651,22),0)</f>
        <v/>
      </c>
      <c r="Y651">
        <f>IFERROR(INDEX(PP_Grid[#Data],$DD651,23),0)</f>
        <v/>
      </c>
      <c r="Z651">
        <f>IFERROR(INDEX(PP_Grid[#Data],$DD651,24),0)</f>
        <v/>
      </c>
      <c r="AA651">
        <f>IFERROR(INDEX(PP_Grid[#Data],$DD651,25),0)</f>
        <v/>
      </c>
      <c r="AB651">
        <f>IFERROR(INDEX(PP_Grid[#Data],$DD651,26),0)</f>
        <v/>
      </c>
      <c r="AC651">
        <f>IFERROR(INDEX(PP_Grid[#Data],$DD651,27),0)</f>
        <v/>
      </c>
      <c r="AD651">
        <f>IFERROR(INDEX(PP_Grid[#Data],$DD651,28),0)</f>
        <v/>
      </c>
      <c r="AE651">
        <f>IFERROR(INDEX(PP_Grid[#Data],$DD651,29),0)</f>
        <v/>
      </c>
      <c r="AF651">
        <f>IFERROR(INDEX(PP_Grid[#Data],$DD651,30),0)</f>
        <v/>
      </c>
      <c r="AG651">
        <f>IFERROR(INDEX(PP_Grid[#Data],$DD651,31),0)</f>
        <v/>
      </c>
      <c r="AH651">
        <f>IFERROR(INDEX(PP_Grid[#Data],$DD651,32),0)</f>
        <v/>
      </c>
      <c r="AI651">
        <f>IFERROR(INDEX(PP_Grid[#Data],$DD651,33),0)</f>
        <v/>
      </c>
      <c r="AJ651">
        <f>IFERROR(INDEX(PP_Grid[#Data],$DD651,34),0)</f>
        <v/>
      </c>
      <c r="AK651">
        <f>IFERROR(INDEX(PP_Grid[#Data],$DD651,35),0)</f>
        <v/>
      </c>
      <c r="AL651">
        <f>IFERROR(INDEX(PP_Grid[#Data],$DD651,36),0)</f>
        <v/>
      </c>
      <c r="AM651">
        <f>IFERROR(INDEX(PP_Grid[#Data],$DD651,37),0)</f>
        <v/>
      </c>
      <c r="AN651">
        <f>IFERROR(INDEX(PP_Grid[#Data],$DD651,38),0)</f>
        <v/>
      </c>
      <c r="AO651">
        <f>IFERROR(INDEX(PP_Grid[#Data],$DD651,39),0)</f>
        <v/>
      </c>
      <c r="AP651">
        <f>IFERROR(INDEX(PP_Grid[#Data],$DD651,40),0)</f>
        <v/>
      </c>
      <c r="AQ651">
        <f>IFERROR(INDEX(PP_Grid[#Data],$DD651,41),0)</f>
        <v/>
      </c>
      <c r="AR651">
        <f>IFERROR(INDEX(PP_Grid[#Data],$DD651,42),0)</f>
        <v/>
      </c>
      <c r="AS651">
        <f>IFERROR(INDEX(PP_Grid[#Data],$DD651,43),0)</f>
        <v/>
      </c>
      <c r="AT651">
        <f>IFERROR(INDEX(PP_Grid[#Data],$DD651,44),0)</f>
        <v/>
      </c>
      <c r="AU651">
        <f>IFERROR(INDEX(PP_Grid[#Data],$DD651,45),0)</f>
        <v/>
      </c>
      <c r="AV651">
        <f>IFERROR(INDEX(PP_Grid[#Data],$DD651,46),0)</f>
        <v/>
      </c>
      <c r="AW651">
        <f>IFERROR(INDEX(PP_Grid[#Data],$DD651,47),0)</f>
        <v/>
      </c>
      <c r="AX651">
        <f>IFERROR(INDEX(PP_Grid[#Data],$DD651,48),0)</f>
        <v/>
      </c>
      <c r="AY651">
        <f>IFERROR(INDEX(PP_Grid[#Data],$DD651,49),0)</f>
        <v/>
      </c>
      <c r="AZ651">
        <f>IFERROR(INDEX(PP_Grid[#Data],$DD651,50),0)</f>
        <v/>
      </c>
      <c r="BA651">
        <f>IFERROR(INDEX(PP_Grid[#Data],$DD651,51),0)</f>
        <v/>
      </c>
      <c r="BB651">
        <f>IFERROR(INDEX(PP_Grid[#Data],$DD651,52),0)</f>
        <v/>
      </c>
      <c r="BC651">
        <f>IFERROR(INDEX(PP_Grid[#Data],$DD651,53),0)</f>
        <v/>
      </c>
      <c r="BD651">
        <f>IFERROR(INDEX(PP_Grid[#Data],$DD651,54),0)</f>
        <v/>
      </c>
      <c r="BE651">
        <f>IFERROR(INDEX(PP_Grid[#Data],$DD651,55),0)</f>
        <v/>
      </c>
      <c r="BF651">
        <f>IFERROR(INDEX(PP_Grid[#Data],$DD651,56),0)</f>
        <v/>
      </c>
      <c r="BG651">
        <f>IFERROR(INDEX(PP_Grid[#Data],$DD651,57),0)</f>
        <v/>
      </c>
      <c r="BH651">
        <f>IFERROR(INDEX(PP_Grid[#Data],$DD651,58),0)</f>
        <v/>
      </c>
      <c r="BI651">
        <f>IFERROR(INDEX(PP_Grid[#Data],$DD651,59),0)</f>
        <v/>
      </c>
      <c r="BJ651">
        <f>IFERROR(INDEX(PP_Grid[#Data],$DD651,60),0)</f>
        <v/>
      </c>
      <c r="BK651">
        <f>IFERROR(INDEX(PP_Grid[#Data],$DD651,61),0)</f>
        <v/>
      </c>
      <c r="BL651">
        <f>IFERROR(INDEX(PP_Grid[#Data],$DD651,62),0)</f>
        <v/>
      </c>
      <c r="BM651">
        <f>IFERROR(INDEX(PP_Grid[#Data],$DD651,63),0)</f>
        <v/>
      </c>
      <c r="BN651">
        <f>IFERROR(INDEX(PP_Grid[#Data],$DD651,64),0)</f>
        <v/>
      </c>
      <c r="BO651">
        <f>IFERROR(INDEX(PP_Grid[#Data],$DD651,65),0)</f>
        <v/>
      </c>
      <c r="BP651">
        <f>IFERROR(INDEX(PP_Grid[#Data],$DD651,66),0)</f>
        <v/>
      </c>
      <c r="BQ651">
        <f>IFERROR(INDEX(PP_Grid[#Data],$DD651,67),0)</f>
        <v/>
      </c>
      <c r="BR651">
        <f>IFERROR(INDEX(PP_Grid[#Data],$DD651,68),0)</f>
        <v/>
      </c>
      <c r="BS651">
        <f>IFERROR(INDEX(PP_Grid[#Data],$DD651,69),0)</f>
        <v/>
      </c>
      <c r="BT651">
        <f>IFERROR(INDEX(PP_Grid[#Data],$DD651,70),0)</f>
        <v/>
      </c>
      <c r="BU651">
        <f>IFERROR(INDEX(PP_Grid[#Data],$DD651,71),0)</f>
        <v/>
      </c>
      <c r="BV651">
        <f>IFERROR(INDEX(PP_Grid[#Data],$DD651,72),0)</f>
        <v/>
      </c>
      <c r="BW651">
        <f>IFERROR(INDEX(PP_Grid[#Data],$DD651,73),0)</f>
        <v/>
      </c>
      <c r="BX651">
        <f>IFERROR(INDEX(PP_Grid[#Data],$DD651,74),0)</f>
        <v/>
      </c>
      <c r="BY651">
        <f>IFERROR(INDEX(PP_Grid[#Data],$DD651,75),0)</f>
        <v/>
      </c>
      <c r="BZ651">
        <f>IFERROR(INDEX(PP_Grid[#Data],$DD651,76),0)</f>
        <v/>
      </c>
      <c r="CA651">
        <f>IFERROR(INDEX(PP_Grid[#Data],$DD651,77),0)</f>
        <v/>
      </c>
      <c r="CB651">
        <f>IFERROR(INDEX(PP_Grid[#Data],$DD651,78),0)</f>
        <v/>
      </c>
      <c r="CC651">
        <f>IFERROR(INDEX(PP_Grid[#Data],$DD651,79),0)</f>
        <v/>
      </c>
      <c r="CD651">
        <f>IFERROR(INDEX(PP_Grid[#Data],$DD651,80),0)</f>
        <v/>
      </c>
      <c r="CE651">
        <f>IFERROR(INDEX(PP_Grid[#Data],$DD651,81),0)</f>
        <v/>
      </c>
      <c r="CF651">
        <f>IFERROR(INDEX(PP_Grid[#Data],$DD651,82),0)</f>
        <v/>
      </c>
      <c r="CG651">
        <f>IFERROR(INDEX(PP_Grid[#Data],$DD651,83),0)</f>
        <v/>
      </c>
      <c r="CH651">
        <f>IFERROR(INDEX(PP_Grid[#Data],$DD651,84),0)</f>
        <v/>
      </c>
      <c r="CI651">
        <f>IFERROR(INDEX(PP_Grid[#Data],$DD651,85),0)</f>
        <v/>
      </c>
      <c r="CJ651">
        <f>IFERROR(INDEX(PP_Grid[#Data],$DD651,86),0)</f>
        <v/>
      </c>
      <c r="CK651">
        <f>IFERROR(INDEX(PP_Grid[#Data],$DD651,87),0)</f>
        <v/>
      </c>
      <c r="CL651">
        <f>IFERROR(INDEX(PP_Grid[#Data],$DD651,88),0)</f>
        <v/>
      </c>
      <c r="CM651">
        <f>IFERROR(INDEX(PP_Grid[#Data],$DD651,89),0)</f>
        <v/>
      </c>
      <c r="CN651">
        <f>IFERROR(INDEX(PP_Grid[#Data],$DD651,90),0)</f>
        <v/>
      </c>
      <c r="CO651">
        <f>IFERROR(INDEX(PP_Grid[#Data],$DD651,91),0)</f>
        <v/>
      </c>
      <c r="CP651">
        <f>IFERROR(INDEX(PP_Grid[#Data],$DD651,92),0)</f>
        <v/>
      </c>
      <c r="CQ651">
        <f>IFERROR(INDEX(PP_Grid[#Data],$DD651,93),0)</f>
        <v/>
      </c>
      <c r="CR651">
        <f>IFERROR(INDEX(PP_Grid[#Data],$DD651,94),0)</f>
        <v/>
      </c>
      <c r="CS651">
        <f>IFERROR(INDEX(PP_Grid[#Data],$DD651,95),0)</f>
        <v/>
      </c>
      <c r="CT651">
        <f>IFERROR(INDEX(PP_Grid[#Data],$DD651,96),0)</f>
        <v/>
      </c>
      <c r="CU651">
        <f>IFERROR(INDEX(PP_Grid[#Data],$DD651,97),0)</f>
        <v/>
      </c>
      <c r="CV651">
        <f>IFERROR(INDEX(PP_Grid[#Data],$DD651,98),0)</f>
        <v/>
      </c>
      <c r="CW651">
        <f>IFERROR(INDEX(PP_Grid[#Data],$DD651,99),0)</f>
        <v/>
      </c>
      <c r="CX651">
        <f>IFERROR(INDEX(PP_Grid[#Data],$DD651,100),0)</f>
        <v/>
      </c>
      <c r="CY651">
        <f>IFERROR(INDEX(PP_Grid[#Data],$DD651,101),0)</f>
        <v/>
      </c>
      <c r="CZ651">
        <f>IFERROR(INDEX(PP_Grid[#Data],$DD651,102),0)</f>
        <v/>
      </c>
      <c r="DA651">
        <f>IFERROR(INDEX(PP_Grid[#Data],$DD651,103),0)</f>
        <v/>
      </c>
      <c r="DB651">
        <f>IFERROR(INDEX(PP_Grid[#Data],$DD651,104),0)</f>
        <v/>
      </c>
      <c r="DC651">
        <f>IFERROR(INDEX(PP_Grid[#Data],$DD651,105),0)</f>
        <v/>
      </c>
      <c r="DD651" s="12">
        <f>IFERROR(MATCH($B651,PP_Grid[Intermediate],0),99999)</f>
        <v/>
      </c>
    </row>
    <row r="652">
      <c r="B652" t="inlineStr">
        <is>
          <t>使用量(kg)</t>
        </is>
      </c>
      <c r="C652">
        <f>SUMIFS(M_BOM[RM_Qty_Per_Batch],M_BOM[Intermediate],$B651,M_BOM[Part Name],$A646)</f>
        <v/>
      </c>
      <c r="D652">
        <f>$C652*D651</f>
        <v/>
      </c>
      <c r="E652">
        <f>$C652*E651</f>
        <v/>
      </c>
      <c r="F652">
        <f>$C652*F651</f>
        <v/>
      </c>
      <c r="G652">
        <f>$C652*G651</f>
        <v/>
      </c>
      <c r="H652">
        <f>$C652*H651</f>
        <v/>
      </c>
      <c r="I652">
        <f>$C652*I651</f>
        <v/>
      </c>
      <c r="J652">
        <f>$C652*J651</f>
        <v/>
      </c>
      <c r="K652">
        <f>$C652*K651</f>
        <v/>
      </c>
      <c r="L652">
        <f>$C652*L651</f>
        <v/>
      </c>
      <c r="M652">
        <f>$C652*M651</f>
        <v/>
      </c>
      <c r="N652">
        <f>$C652*N651</f>
        <v/>
      </c>
      <c r="O652">
        <f>$C652*O651</f>
        <v/>
      </c>
      <c r="P652">
        <f>$C652*P651</f>
        <v/>
      </c>
      <c r="Q652">
        <f>$C652*Q651</f>
        <v/>
      </c>
      <c r="R652">
        <f>$C652*R651</f>
        <v/>
      </c>
      <c r="S652">
        <f>$C652*S651</f>
        <v/>
      </c>
      <c r="T652">
        <f>$C652*T651</f>
        <v/>
      </c>
      <c r="U652">
        <f>$C652*U651</f>
        <v/>
      </c>
      <c r="V652">
        <f>$C652*V651</f>
        <v/>
      </c>
      <c r="W652">
        <f>$C652*W651</f>
        <v/>
      </c>
      <c r="X652">
        <f>$C652*X651</f>
        <v/>
      </c>
      <c r="Y652">
        <f>$C652*Y651</f>
        <v/>
      </c>
      <c r="Z652">
        <f>$C652*Z651</f>
        <v/>
      </c>
      <c r="AA652">
        <f>$C652*AA651</f>
        <v/>
      </c>
      <c r="AB652">
        <f>$C652*AB651</f>
        <v/>
      </c>
      <c r="AC652">
        <f>$C652*AC651</f>
        <v/>
      </c>
      <c r="AD652">
        <f>$C652*AD651</f>
        <v/>
      </c>
      <c r="AE652">
        <f>$C652*AE651</f>
        <v/>
      </c>
      <c r="AF652">
        <f>$C652*AF651</f>
        <v/>
      </c>
      <c r="AG652">
        <f>$C652*AG651</f>
        <v/>
      </c>
      <c r="AH652">
        <f>$C652*AH651</f>
        <v/>
      </c>
      <c r="AI652">
        <f>$C652*AI651</f>
        <v/>
      </c>
      <c r="AJ652">
        <f>$C652*AJ651</f>
        <v/>
      </c>
      <c r="AK652">
        <f>$C652*AK651</f>
        <v/>
      </c>
      <c r="AL652">
        <f>$C652*AL651</f>
        <v/>
      </c>
      <c r="AM652">
        <f>$C652*AM651</f>
        <v/>
      </c>
      <c r="AN652">
        <f>$C652*AN651</f>
        <v/>
      </c>
      <c r="AO652">
        <f>$C652*AO651</f>
        <v/>
      </c>
      <c r="AP652">
        <f>$C652*AP651</f>
        <v/>
      </c>
      <c r="AQ652">
        <f>$C652*AQ651</f>
        <v/>
      </c>
      <c r="AR652">
        <f>$C652*AR651</f>
        <v/>
      </c>
      <c r="AS652">
        <f>$C652*AS651</f>
        <v/>
      </c>
      <c r="AT652">
        <f>$C652*AT651</f>
        <v/>
      </c>
      <c r="AU652">
        <f>$C652*AU651</f>
        <v/>
      </c>
      <c r="AV652">
        <f>$C652*AV651</f>
        <v/>
      </c>
      <c r="AW652">
        <f>$C652*AW651</f>
        <v/>
      </c>
      <c r="AX652">
        <f>$C652*AX651</f>
        <v/>
      </c>
      <c r="AY652">
        <f>$C652*AY651</f>
        <v/>
      </c>
      <c r="AZ652">
        <f>$C652*AZ651</f>
        <v/>
      </c>
      <c r="BA652">
        <f>$C652*BA651</f>
        <v/>
      </c>
      <c r="BB652">
        <f>$C652*BB651</f>
        <v/>
      </c>
      <c r="BC652">
        <f>$C652*BC651</f>
        <v/>
      </c>
      <c r="BD652">
        <f>$C652*BD651</f>
        <v/>
      </c>
      <c r="BE652">
        <f>$C652*BE651</f>
        <v/>
      </c>
      <c r="BF652">
        <f>$C652*BF651</f>
        <v/>
      </c>
      <c r="BG652">
        <f>$C652*BG651</f>
        <v/>
      </c>
      <c r="BH652">
        <f>$C652*BH651</f>
        <v/>
      </c>
      <c r="BI652">
        <f>$C652*BI651</f>
        <v/>
      </c>
      <c r="BJ652">
        <f>$C652*BJ651</f>
        <v/>
      </c>
      <c r="BK652">
        <f>$C652*BK651</f>
        <v/>
      </c>
      <c r="BL652">
        <f>$C652*BL651</f>
        <v/>
      </c>
      <c r="BM652">
        <f>$C652*BM651</f>
        <v/>
      </c>
      <c r="BN652">
        <f>$C652*BN651</f>
        <v/>
      </c>
      <c r="BO652">
        <f>$C652*BO651</f>
        <v/>
      </c>
      <c r="BP652">
        <f>$C652*BP651</f>
        <v/>
      </c>
      <c r="BQ652">
        <f>$C652*BQ651</f>
        <v/>
      </c>
      <c r="BR652">
        <f>$C652*BR651</f>
        <v/>
      </c>
      <c r="BS652">
        <f>$C652*BS651</f>
        <v/>
      </c>
      <c r="BT652">
        <f>$C652*BT651</f>
        <v/>
      </c>
      <c r="BU652">
        <f>$C652*BU651</f>
        <v/>
      </c>
      <c r="BV652">
        <f>$C652*BV651</f>
        <v/>
      </c>
      <c r="BW652">
        <f>$C652*BW651</f>
        <v/>
      </c>
      <c r="BX652">
        <f>$C652*BX651</f>
        <v/>
      </c>
      <c r="BY652">
        <f>$C652*BY651</f>
        <v/>
      </c>
      <c r="BZ652">
        <f>$C652*BZ651</f>
        <v/>
      </c>
      <c r="CA652">
        <f>$C652*CA651</f>
        <v/>
      </c>
      <c r="CB652">
        <f>$C652*CB651</f>
        <v/>
      </c>
      <c r="CC652">
        <f>$C652*CC651</f>
        <v/>
      </c>
      <c r="CD652">
        <f>$C652*CD651</f>
        <v/>
      </c>
      <c r="CE652">
        <f>$C652*CE651</f>
        <v/>
      </c>
      <c r="CF652">
        <f>$C652*CF651</f>
        <v/>
      </c>
      <c r="CG652">
        <f>$C652*CG651</f>
        <v/>
      </c>
      <c r="CH652">
        <f>$C652*CH651</f>
        <v/>
      </c>
      <c r="CI652">
        <f>$C652*CI651</f>
        <v/>
      </c>
      <c r="CJ652">
        <f>$C652*CJ651</f>
        <v/>
      </c>
      <c r="CK652">
        <f>$C652*CK651</f>
        <v/>
      </c>
      <c r="CL652">
        <f>$C652*CL651</f>
        <v/>
      </c>
      <c r="CM652">
        <f>$C652*CM651</f>
        <v/>
      </c>
      <c r="CN652">
        <f>$C652*CN651</f>
        <v/>
      </c>
      <c r="CO652">
        <f>$C652*CO651</f>
        <v/>
      </c>
      <c r="CP652">
        <f>$C652*CP651</f>
        <v/>
      </c>
      <c r="CQ652">
        <f>$C652*CQ651</f>
        <v/>
      </c>
      <c r="CR652">
        <f>$C652*CR651</f>
        <v/>
      </c>
      <c r="CS652">
        <f>$C652*CS651</f>
        <v/>
      </c>
      <c r="CT652">
        <f>$C652*CT651</f>
        <v/>
      </c>
      <c r="CU652">
        <f>$C652*CU651</f>
        <v/>
      </c>
      <c r="CV652">
        <f>$C652*CV651</f>
        <v/>
      </c>
      <c r="CW652">
        <f>$C652*CW651</f>
        <v/>
      </c>
      <c r="CX652">
        <f>$C652*CX651</f>
        <v/>
      </c>
      <c r="CY652">
        <f>$C652*CY651</f>
        <v/>
      </c>
      <c r="CZ652">
        <f>$C652*CZ651</f>
        <v/>
      </c>
      <c r="DA652">
        <f>$C652*DA651</f>
        <v/>
      </c>
      <c r="DB652">
        <f>$C652*DB651</f>
        <v/>
      </c>
      <c r="DC652">
        <f>$C652*DC651</f>
        <v/>
      </c>
    </row>
    <row r="653">
      <c r="B653" t="inlineStr">
        <is>
          <t>VSP-822</t>
        </is>
      </c>
      <c r="C653" t="inlineStr">
        <is>
          <t>No. of batches</t>
        </is>
      </c>
      <c r="D653">
        <f>IFERROR(INDEX(PP_Grid[#Data],$DD653,2),0)</f>
        <v/>
      </c>
      <c r="E653">
        <f>IFERROR(INDEX(PP_Grid[#Data],$DD653,3),0)</f>
        <v/>
      </c>
      <c r="F653">
        <f>IFERROR(INDEX(PP_Grid[#Data],$DD653,4),0)</f>
        <v/>
      </c>
      <c r="G653">
        <f>IFERROR(INDEX(PP_Grid[#Data],$DD653,5),0)</f>
        <v/>
      </c>
      <c r="H653">
        <f>IFERROR(INDEX(PP_Grid[#Data],$DD653,6),0)</f>
        <v/>
      </c>
      <c r="I653">
        <f>IFERROR(INDEX(PP_Grid[#Data],$DD653,7),0)</f>
        <v/>
      </c>
      <c r="J653">
        <f>IFERROR(INDEX(PP_Grid[#Data],$DD653,8),0)</f>
        <v/>
      </c>
      <c r="K653">
        <f>IFERROR(INDEX(PP_Grid[#Data],$DD653,9),0)</f>
        <v/>
      </c>
      <c r="L653">
        <f>IFERROR(INDEX(PP_Grid[#Data],$DD653,10),0)</f>
        <v/>
      </c>
      <c r="M653">
        <f>IFERROR(INDEX(PP_Grid[#Data],$DD653,11),0)</f>
        <v/>
      </c>
      <c r="N653">
        <f>IFERROR(INDEX(PP_Grid[#Data],$DD653,12),0)</f>
        <v/>
      </c>
      <c r="O653">
        <f>IFERROR(INDEX(PP_Grid[#Data],$DD653,13),0)</f>
        <v/>
      </c>
      <c r="P653">
        <f>IFERROR(INDEX(PP_Grid[#Data],$DD653,14),0)</f>
        <v/>
      </c>
      <c r="Q653">
        <f>IFERROR(INDEX(PP_Grid[#Data],$DD653,15),0)</f>
        <v/>
      </c>
      <c r="R653">
        <f>IFERROR(INDEX(PP_Grid[#Data],$DD653,16),0)</f>
        <v/>
      </c>
      <c r="S653">
        <f>IFERROR(INDEX(PP_Grid[#Data],$DD653,17),0)</f>
        <v/>
      </c>
      <c r="T653">
        <f>IFERROR(INDEX(PP_Grid[#Data],$DD653,18),0)</f>
        <v/>
      </c>
      <c r="U653">
        <f>IFERROR(INDEX(PP_Grid[#Data],$DD653,19),0)</f>
        <v/>
      </c>
      <c r="V653">
        <f>IFERROR(INDEX(PP_Grid[#Data],$DD653,20),0)</f>
        <v/>
      </c>
      <c r="W653">
        <f>IFERROR(INDEX(PP_Grid[#Data],$DD653,21),0)</f>
        <v/>
      </c>
      <c r="X653">
        <f>IFERROR(INDEX(PP_Grid[#Data],$DD653,22),0)</f>
        <v/>
      </c>
      <c r="Y653">
        <f>IFERROR(INDEX(PP_Grid[#Data],$DD653,23),0)</f>
        <v/>
      </c>
      <c r="Z653">
        <f>IFERROR(INDEX(PP_Grid[#Data],$DD653,24),0)</f>
        <v/>
      </c>
      <c r="AA653">
        <f>IFERROR(INDEX(PP_Grid[#Data],$DD653,25),0)</f>
        <v/>
      </c>
      <c r="AB653">
        <f>IFERROR(INDEX(PP_Grid[#Data],$DD653,26),0)</f>
        <v/>
      </c>
      <c r="AC653">
        <f>IFERROR(INDEX(PP_Grid[#Data],$DD653,27),0)</f>
        <v/>
      </c>
      <c r="AD653">
        <f>IFERROR(INDEX(PP_Grid[#Data],$DD653,28),0)</f>
        <v/>
      </c>
      <c r="AE653">
        <f>IFERROR(INDEX(PP_Grid[#Data],$DD653,29),0)</f>
        <v/>
      </c>
      <c r="AF653">
        <f>IFERROR(INDEX(PP_Grid[#Data],$DD653,30),0)</f>
        <v/>
      </c>
      <c r="AG653">
        <f>IFERROR(INDEX(PP_Grid[#Data],$DD653,31),0)</f>
        <v/>
      </c>
      <c r="AH653">
        <f>IFERROR(INDEX(PP_Grid[#Data],$DD653,32),0)</f>
        <v/>
      </c>
      <c r="AI653">
        <f>IFERROR(INDEX(PP_Grid[#Data],$DD653,33),0)</f>
        <v/>
      </c>
      <c r="AJ653">
        <f>IFERROR(INDEX(PP_Grid[#Data],$DD653,34),0)</f>
        <v/>
      </c>
      <c r="AK653">
        <f>IFERROR(INDEX(PP_Grid[#Data],$DD653,35),0)</f>
        <v/>
      </c>
      <c r="AL653">
        <f>IFERROR(INDEX(PP_Grid[#Data],$DD653,36),0)</f>
        <v/>
      </c>
      <c r="AM653">
        <f>IFERROR(INDEX(PP_Grid[#Data],$DD653,37),0)</f>
        <v/>
      </c>
      <c r="AN653">
        <f>IFERROR(INDEX(PP_Grid[#Data],$DD653,38),0)</f>
        <v/>
      </c>
      <c r="AO653">
        <f>IFERROR(INDEX(PP_Grid[#Data],$DD653,39),0)</f>
        <v/>
      </c>
      <c r="AP653">
        <f>IFERROR(INDEX(PP_Grid[#Data],$DD653,40),0)</f>
        <v/>
      </c>
      <c r="AQ653">
        <f>IFERROR(INDEX(PP_Grid[#Data],$DD653,41),0)</f>
        <v/>
      </c>
      <c r="AR653">
        <f>IFERROR(INDEX(PP_Grid[#Data],$DD653,42),0)</f>
        <v/>
      </c>
      <c r="AS653">
        <f>IFERROR(INDEX(PP_Grid[#Data],$DD653,43),0)</f>
        <v/>
      </c>
      <c r="AT653">
        <f>IFERROR(INDEX(PP_Grid[#Data],$DD653,44),0)</f>
        <v/>
      </c>
      <c r="AU653">
        <f>IFERROR(INDEX(PP_Grid[#Data],$DD653,45),0)</f>
        <v/>
      </c>
      <c r="AV653">
        <f>IFERROR(INDEX(PP_Grid[#Data],$DD653,46),0)</f>
        <v/>
      </c>
      <c r="AW653">
        <f>IFERROR(INDEX(PP_Grid[#Data],$DD653,47),0)</f>
        <v/>
      </c>
      <c r="AX653">
        <f>IFERROR(INDEX(PP_Grid[#Data],$DD653,48),0)</f>
        <v/>
      </c>
      <c r="AY653">
        <f>IFERROR(INDEX(PP_Grid[#Data],$DD653,49),0)</f>
        <v/>
      </c>
      <c r="AZ653">
        <f>IFERROR(INDEX(PP_Grid[#Data],$DD653,50),0)</f>
        <v/>
      </c>
      <c r="BA653">
        <f>IFERROR(INDEX(PP_Grid[#Data],$DD653,51),0)</f>
        <v/>
      </c>
      <c r="BB653">
        <f>IFERROR(INDEX(PP_Grid[#Data],$DD653,52),0)</f>
        <v/>
      </c>
      <c r="BC653">
        <f>IFERROR(INDEX(PP_Grid[#Data],$DD653,53),0)</f>
        <v/>
      </c>
      <c r="BD653">
        <f>IFERROR(INDEX(PP_Grid[#Data],$DD653,54),0)</f>
        <v/>
      </c>
      <c r="BE653">
        <f>IFERROR(INDEX(PP_Grid[#Data],$DD653,55),0)</f>
        <v/>
      </c>
      <c r="BF653">
        <f>IFERROR(INDEX(PP_Grid[#Data],$DD653,56),0)</f>
        <v/>
      </c>
      <c r="BG653">
        <f>IFERROR(INDEX(PP_Grid[#Data],$DD653,57),0)</f>
        <v/>
      </c>
      <c r="BH653">
        <f>IFERROR(INDEX(PP_Grid[#Data],$DD653,58),0)</f>
        <v/>
      </c>
      <c r="BI653">
        <f>IFERROR(INDEX(PP_Grid[#Data],$DD653,59),0)</f>
        <v/>
      </c>
      <c r="BJ653">
        <f>IFERROR(INDEX(PP_Grid[#Data],$DD653,60),0)</f>
        <v/>
      </c>
      <c r="BK653">
        <f>IFERROR(INDEX(PP_Grid[#Data],$DD653,61),0)</f>
        <v/>
      </c>
      <c r="BL653">
        <f>IFERROR(INDEX(PP_Grid[#Data],$DD653,62),0)</f>
        <v/>
      </c>
      <c r="BM653">
        <f>IFERROR(INDEX(PP_Grid[#Data],$DD653,63),0)</f>
        <v/>
      </c>
      <c r="BN653">
        <f>IFERROR(INDEX(PP_Grid[#Data],$DD653,64),0)</f>
        <v/>
      </c>
      <c r="BO653">
        <f>IFERROR(INDEX(PP_Grid[#Data],$DD653,65),0)</f>
        <v/>
      </c>
      <c r="BP653">
        <f>IFERROR(INDEX(PP_Grid[#Data],$DD653,66),0)</f>
        <v/>
      </c>
      <c r="BQ653">
        <f>IFERROR(INDEX(PP_Grid[#Data],$DD653,67),0)</f>
        <v/>
      </c>
      <c r="BR653">
        <f>IFERROR(INDEX(PP_Grid[#Data],$DD653,68),0)</f>
        <v/>
      </c>
      <c r="BS653">
        <f>IFERROR(INDEX(PP_Grid[#Data],$DD653,69),0)</f>
        <v/>
      </c>
      <c r="BT653">
        <f>IFERROR(INDEX(PP_Grid[#Data],$DD653,70),0)</f>
        <v/>
      </c>
      <c r="BU653">
        <f>IFERROR(INDEX(PP_Grid[#Data],$DD653,71),0)</f>
        <v/>
      </c>
      <c r="BV653">
        <f>IFERROR(INDEX(PP_Grid[#Data],$DD653,72),0)</f>
        <v/>
      </c>
      <c r="BW653">
        <f>IFERROR(INDEX(PP_Grid[#Data],$DD653,73),0)</f>
        <v/>
      </c>
      <c r="BX653">
        <f>IFERROR(INDEX(PP_Grid[#Data],$DD653,74),0)</f>
        <v/>
      </c>
      <c r="BY653">
        <f>IFERROR(INDEX(PP_Grid[#Data],$DD653,75),0)</f>
        <v/>
      </c>
      <c r="BZ653">
        <f>IFERROR(INDEX(PP_Grid[#Data],$DD653,76),0)</f>
        <v/>
      </c>
      <c r="CA653">
        <f>IFERROR(INDEX(PP_Grid[#Data],$DD653,77),0)</f>
        <v/>
      </c>
      <c r="CB653">
        <f>IFERROR(INDEX(PP_Grid[#Data],$DD653,78),0)</f>
        <v/>
      </c>
      <c r="CC653">
        <f>IFERROR(INDEX(PP_Grid[#Data],$DD653,79),0)</f>
        <v/>
      </c>
      <c r="CD653">
        <f>IFERROR(INDEX(PP_Grid[#Data],$DD653,80),0)</f>
        <v/>
      </c>
      <c r="CE653">
        <f>IFERROR(INDEX(PP_Grid[#Data],$DD653,81),0)</f>
        <v/>
      </c>
      <c r="CF653">
        <f>IFERROR(INDEX(PP_Grid[#Data],$DD653,82),0)</f>
        <v/>
      </c>
      <c r="CG653">
        <f>IFERROR(INDEX(PP_Grid[#Data],$DD653,83),0)</f>
        <v/>
      </c>
      <c r="CH653">
        <f>IFERROR(INDEX(PP_Grid[#Data],$DD653,84),0)</f>
        <v/>
      </c>
      <c r="CI653">
        <f>IFERROR(INDEX(PP_Grid[#Data],$DD653,85),0)</f>
        <v/>
      </c>
      <c r="CJ653">
        <f>IFERROR(INDEX(PP_Grid[#Data],$DD653,86),0)</f>
        <v/>
      </c>
      <c r="CK653">
        <f>IFERROR(INDEX(PP_Grid[#Data],$DD653,87),0)</f>
        <v/>
      </c>
      <c r="CL653">
        <f>IFERROR(INDEX(PP_Grid[#Data],$DD653,88),0)</f>
        <v/>
      </c>
      <c r="CM653">
        <f>IFERROR(INDEX(PP_Grid[#Data],$DD653,89),0)</f>
        <v/>
      </c>
      <c r="CN653">
        <f>IFERROR(INDEX(PP_Grid[#Data],$DD653,90),0)</f>
        <v/>
      </c>
      <c r="CO653">
        <f>IFERROR(INDEX(PP_Grid[#Data],$DD653,91),0)</f>
        <v/>
      </c>
      <c r="CP653">
        <f>IFERROR(INDEX(PP_Grid[#Data],$DD653,92),0)</f>
        <v/>
      </c>
      <c r="CQ653">
        <f>IFERROR(INDEX(PP_Grid[#Data],$DD653,93),0)</f>
        <v/>
      </c>
      <c r="CR653">
        <f>IFERROR(INDEX(PP_Grid[#Data],$DD653,94),0)</f>
        <v/>
      </c>
      <c r="CS653">
        <f>IFERROR(INDEX(PP_Grid[#Data],$DD653,95),0)</f>
        <v/>
      </c>
      <c r="CT653">
        <f>IFERROR(INDEX(PP_Grid[#Data],$DD653,96),0)</f>
        <v/>
      </c>
      <c r="CU653">
        <f>IFERROR(INDEX(PP_Grid[#Data],$DD653,97),0)</f>
        <v/>
      </c>
      <c r="CV653">
        <f>IFERROR(INDEX(PP_Grid[#Data],$DD653,98),0)</f>
        <v/>
      </c>
      <c r="CW653">
        <f>IFERROR(INDEX(PP_Grid[#Data],$DD653,99),0)</f>
        <v/>
      </c>
      <c r="CX653">
        <f>IFERROR(INDEX(PP_Grid[#Data],$DD653,100),0)</f>
        <v/>
      </c>
      <c r="CY653">
        <f>IFERROR(INDEX(PP_Grid[#Data],$DD653,101),0)</f>
        <v/>
      </c>
      <c r="CZ653">
        <f>IFERROR(INDEX(PP_Grid[#Data],$DD653,102),0)</f>
        <v/>
      </c>
      <c r="DA653">
        <f>IFERROR(INDEX(PP_Grid[#Data],$DD653,103),0)</f>
        <v/>
      </c>
      <c r="DB653">
        <f>IFERROR(INDEX(PP_Grid[#Data],$DD653,104),0)</f>
        <v/>
      </c>
      <c r="DC653">
        <f>IFERROR(INDEX(PP_Grid[#Data],$DD653,105),0)</f>
        <v/>
      </c>
      <c r="DD653" s="12">
        <f>IFERROR(MATCH($B653,PP_Grid[Intermediate],0),99999)</f>
        <v/>
      </c>
    </row>
    <row r="654">
      <c r="B654" t="inlineStr">
        <is>
          <t>使用量(kg)</t>
        </is>
      </c>
      <c r="C654">
        <f>SUMIFS(M_BOM[RM_Qty_Per_Batch],M_BOM[Intermediate],$B653,M_BOM[Part Name],$A646)</f>
        <v/>
      </c>
      <c r="D654">
        <f>$C654*D653</f>
        <v/>
      </c>
      <c r="E654">
        <f>$C654*E653</f>
        <v/>
      </c>
      <c r="F654">
        <f>$C654*F653</f>
        <v/>
      </c>
      <c r="G654">
        <f>$C654*G653</f>
        <v/>
      </c>
      <c r="H654">
        <f>$C654*H653</f>
        <v/>
      </c>
      <c r="I654">
        <f>$C654*I653</f>
        <v/>
      </c>
      <c r="J654">
        <f>$C654*J653</f>
        <v/>
      </c>
      <c r="K654">
        <f>$C654*K653</f>
        <v/>
      </c>
      <c r="L654">
        <f>$C654*L653</f>
        <v/>
      </c>
      <c r="M654">
        <f>$C654*M653</f>
        <v/>
      </c>
      <c r="N654">
        <f>$C654*N653</f>
        <v/>
      </c>
      <c r="O654">
        <f>$C654*O653</f>
        <v/>
      </c>
      <c r="P654">
        <f>$C654*P653</f>
        <v/>
      </c>
      <c r="Q654">
        <f>$C654*Q653</f>
        <v/>
      </c>
      <c r="R654">
        <f>$C654*R653</f>
        <v/>
      </c>
      <c r="S654">
        <f>$C654*S653</f>
        <v/>
      </c>
      <c r="T654">
        <f>$C654*T653</f>
        <v/>
      </c>
      <c r="U654">
        <f>$C654*U653</f>
        <v/>
      </c>
      <c r="V654">
        <f>$C654*V653</f>
        <v/>
      </c>
      <c r="W654">
        <f>$C654*W653</f>
        <v/>
      </c>
      <c r="X654">
        <f>$C654*X653</f>
        <v/>
      </c>
      <c r="Y654">
        <f>$C654*Y653</f>
        <v/>
      </c>
      <c r="Z654">
        <f>$C654*Z653</f>
        <v/>
      </c>
      <c r="AA654">
        <f>$C654*AA653</f>
        <v/>
      </c>
      <c r="AB654">
        <f>$C654*AB653</f>
        <v/>
      </c>
      <c r="AC654">
        <f>$C654*AC653</f>
        <v/>
      </c>
      <c r="AD654">
        <f>$C654*AD653</f>
        <v/>
      </c>
      <c r="AE654">
        <f>$C654*AE653</f>
        <v/>
      </c>
      <c r="AF654">
        <f>$C654*AF653</f>
        <v/>
      </c>
      <c r="AG654">
        <f>$C654*AG653</f>
        <v/>
      </c>
      <c r="AH654">
        <f>$C654*AH653</f>
        <v/>
      </c>
      <c r="AI654">
        <f>$C654*AI653</f>
        <v/>
      </c>
      <c r="AJ654">
        <f>$C654*AJ653</f>
        <v/>
      </c>
      <c r="AK654">
        <f>$C654*AK653</f>
        <v/>
      </c>
      <c r="AL654">
        <f>$C654*AL653</f>
        <v/>
      </c>
      <c r="AM654">
        <f>$C654*AM653</f>
        <v/>
      </c>
      <c r="AN654">
        <f>$C654*AN653</f>
        <v/>
      </c>
      <c r="AO654">
        <f>$C654*AO653</f>
        <v/>
      </c>
      <c r="AP654">
        <f>$C654*AP653</f>
        <v/>
      </c>
      <c r="AQ654">
        <f>$C654*AQ653</f>
        <v/>
      </c>
      <c r="AR654">
        <f>$C654*AR653</f>
        <v/>
      </c>
      <c r="AS654">
        <f>$C654*AS653</f>
        <v/>
      </c>
      <c r="AT654">
        <f>$C654*AT653</f>
        <v/>
      </c>
      <c r="AU654">
        <f>$C654*AU653</f>
        <v/>
      </c>
      <c r="AV654">
        <f>$C654*AV653</f>
        <v/>
      </c>
      <c r="AW654">
        <f>$C654*AW653</f>
        <v/>
      </c>
      <c r="AX654">
        <f>$C654*AX653</f>
        <v/>
      </c>
      <c r="AY654">
        <f>$C654*AY653</f>
        <v/>
      </c>
      <c r="AZ654">
        <f>$C654*AZ653</f>
        <v/>
      </c>
      <c r="BA654">
        <f>$C654*BA653</f>
        <v/>
      </c>
      <c r="BB654">
        <f>$C654*BB653</f>
        <v/>
      </c>
      <c r="BC654">
        <f>$C654*BC653</f>
        <v/>
      </c>
      <c r="BD654">
        <f>$C654*BD653</f>
        <v/>
      </c>
      <c r="BE654">
        <f>$C654*BE653</f>
        <v/>
      </c>
      <c r="BF654">
        <f>$C654*BF653</f>
        <v/>
      </c>
      <c r="BG654">
        <f>$C654*BG653</f>
        <v/>
      </c>
      <c r="BH654">
        <f>$C654*BH653</f>
        <v/>
      </c>
      <c r="BI654">
        <f>$C654*BI653</f>
        <v/>
      </c>
      <c r="BJ654">
        <f>$C654*BJ653</f>
        <v/>
      </c>
      <c r="BK654">
        <f>$C654*BK653</f>
        <v/>
      </c>
      <c r="BL654">
        <f>$C654*BL653</f>
        <v/>
      </c>
      <c r="BM654">
        <f>$C654*BM653</f>
        <v/>
      </c>
      <c r="BN654">
        <f>$C654*BN653</f>
        <v/>
      </c>
      <c r="BO654">
        <f>$C654*BO653</f>
        <v/>
      </c>
      <c r="BP654">
        <f>$C654*BP653</f>
        <v/>
      </c>
      <c r="BQ654">
        <f>$C654*BQ653</f>
        <v/>
      </c>
      <c r="BR654">
        <f>$C654*BR653</f>
        <v/>
      </c>
      <c r="BS654">
        <f>$C654*BS653</f>
        <v/>
      </c>
      <c r="BT654">
        <f>$C654*BT653</f>
        <v/>
      </c>
      <c r="BU654">
        <f>$C654*BU653</f>
        <v/>
      </c>
      <c r="BV654">
        <f>$C654*BV653</f>
        <v/>
      </c>
      <c r="BW654">
        <f>$C654*BW653</f>
        <v/>
      </c>
      <c r="BX654">
        <f>$C654*BX653</f>
        <v/>
      </c>
      <c r="BY654">
        <f>$C654*BY653</f>
        <v/>
      </c>
      <c r="BZ654">
        <f>$C654*BZ653</f>
        <v/>
      </c>
      <c r="CA654">
        <f>$C654*CA653</f>
        <v/>
      </c>
      <c r="CB654">
        <f>$C654*CB653</f>
        <v/>
      </c>
      <c r="CC654">
        <f>$C654*CC653</f>
        <v/>
      </c>
      <c r="CD654">
        <f>$C654*CD653</f>
        <v/>
      </c>
      <c r="CE654">
        <f>$C654*CE653</f>
        <v/>
      </c>
      <c r="CF654">
        <f>$C654*CF653</f>
        <v/>
      </c>
      <c r="CG654">
        <f>$C654*CG653</f>
        <v/>
      </c>
      <c r="CH654">
        <f>$C654*CH653</f>
        <v/>
      </c>
      <c r="CI654">
        <f>$C654*CI653</f>
        <v/>
      </c>
      <c r="CJ654">
        <f>$C654*CJ653</f>
        <v/>
      </c>
      <c r="CK654">
        <f>$C654*CK653</f>
        <v/>
      </c>
      <c r="CL654">
        <f>$C654*CL653</f>
        <v/>
      </c>
      <c r="CM654">
        <f>$C654*CM653</f>
        <v/>
      </c>
      <c r="CN654">
        <f>$C654*CN653</f>
        <v/>
      </c>
      <c r="CO654">
        <f>$C654*CO653</f>
        <v/>
      </c>
      <c r="CP654">
        <f>$C654*CP653</f>
        <v/>
      </c>
      <c r="CQ654">
        <f>$C654*CQ653</f>
        <v/>
      </c>
      <c r="CR654">
        <f>$C654*CR653</f>
        <v/>
      </c>
      <c r="CS654">
        <f>$C654*CS653</f>
        <v/>
      </c>
      <c r="CT654">
        <f>$C654*CT653</f>
        <v/>
      </c>
      <c r="CU654">
        <f>$C654*CU653</f>
        <v/>
      </c>
      <c r="CV654">
        <f>$C654*CV653</f>
        <v/>
      </c>
      <c r="CW654">
        <f>$C654*CW653</f>
        <v/>
      </c>
      <c r="CX654">
        <f>$C654*CX653</f>
        <v/>
      </c>
      <c r="CY654">
        <f>$C654*CY653</f>
        <v/>
      </c>
      <c r="CZ654">
        <f>$C654*CZ653</f>
        <v/>
      </c>
      <c r="DA654">
        <f>$C654*DA653</f>
        <v/>
      </c>
      <c r="DB654">
        <f>$C654*DB653</f>
        <v/>
      </c>
      <c r="DC654">
        <f>$C654*DC653</f>
        <v/>
      </c>
    </row>
    <row r="655">
      <c r="B655" t="inlineStr">
        <is>
          <t>VSP-910</t>
        </is>
      </c>
      <c r="C655" t="inlineStr">
        <is>
          <t>No. of batches</t>
        </is>
      </c>
      <c r="D655">
        <f>IFERROR(INDEX(PP_Grid[#Data],$DD655,2),0)</f>
        <v/>
      </c>
      <c r="E655">
        <f>IFERROR(INDEX(PP_Grid[#Data],$DD655,3),0)</f>
        <v/>
      </c>
      <c r="F655">
        <f>IFERROR(INDEX(PP_Grid[#Data],$DD655,4),0)</f>
        <v/>
      </c>
      <c r="G655">
        <f>IFERROR(INDEX(PP_Grid[#Data],$DD655,5),0)</f>
        <v/>
      </c>
      <c r="H655">
        <f>IFERROR(INDEX(PP_Grid[#Data],$DD655,6),0)</f>
        <v/>
      </c>
      <c r="I655">
        <f>IFERROR(INDEX(PP_Grid[#Data],$DD655,7),0)</f>
        <v/>
      </c>
      <c r="J655">
        <f>IFERROR(INDEX(PP_Grid[#Data],$DD655,8),0)</f>
        <v/>
      </c>
      <c r="K655">
        <f>IFERROR(INDEX(PP_Grid[#Data],$DD655,9),0)</f>
        <v/>
      </c>
      <c r="L655">
        <f>IFERROR(INDEX(PP_Grid[#Data],$DD655,10),0)</f>
        <v/>
      </c>
      <c r="M655">
        <f>IFERROR(INDEX(PP_Grid[#Data],$DD655,11),0)</f>
        <v/>
      </c>
      <c r="N655">
        <f>IFERROR(INDEX(PP_Grid[#Data],$DD655,12),0)</f>
        <v/>
      </c>
      <c r="O655">
        <f>IFERROR(INDEX(PP_Grid[#Data],$DD655,13),0)</f>
        <v/>
      </c>
      <c r="P655">
        <f>IFERROR(INDEX(PP_Grid[#Data],$DD655,14),0)</f>
        <v/>
      </c>
      <c r="Q655">
        <f>IFERROR(INDEX(PP_Grid[#Data],$DD655,15),0)</f>
        <v/>
      </c>
      <c r="R655">
        <f>IFERROR(INDEX(PP_Grid[#Data],$DD655,16),0)</f>
        <v/>
      </c>
      <c r="S655">
        <f>IFERROR(INDEX(PP_Grid[#Data],$DD655,17),0)</f>
        <v/>
      </c>
      <c r="T655">
        <f>IFERROR(INDEX(PP_Grid[#Data],$DD655,18),0)</f>
        <v/>
      </c>
      <c r="U655">
        <f>IFERROR(INDEX(PP_Grid[#Data],$DD655,19),0)</f>
        <v/>
      </c>
      <c r="V655">
        <f>IFERROR(INDEX(PP_Grid[#Data],$DD655,20),0)</f>
        <v/>
      </c>
      <c r="W655">
        <f>IFERROR(INDEX(PP_Grid[#Data],$DD655,21),0)</f>
        <v/>
      </c>
      <c r="X655">
        <f>IFERROR(INDEX(PP_Grid[#Data],$DD655,22),0)</f>
        <v/>
      </c>
      <c r="Y655">
        <f>IFERROR(INDEX(PP_Grid[#Data],$DD655,23),0)</f>
        <v/>
      </c>
      <c r="Z655">
        <f>IFERROR(INDEX(PP_Grid[#Data],$DD655,24),0)</f>
        <v/>
      </c>
      <c r="AA655">
        <f>IFERROR(INDEX(PP_Grid[#Data],$DD655,25),0)</f>
        <v/>
      </c>
      <c r="AB655">
        <f>IFERROR(INDEX(PP_Grid[#Data],$DD655,26),0)</f>
        <v/>
      </c>
      <c r="AC655">
        <f>IFERROR(INDEX(PP_Grid[#Data],$DD655,27),0)</f>
        <v/>
      </c>
      <c r="AD655">
        <f>IFERROR(INDEX(PP_Grid[#Data],$DD655,28),0)</f>
        <v/>
      </c>
      <c r="AE655">
        <f>IFERROR(INDEX(PP_Grid[#Data],$DD655,29),0)</f>
        <v/>
      </c>
      <c r="AF655">
        <f>IFERROR(INDEX(PP_Grid[#Data],$DD655,30),0)</f>
        <v/>
      </c>
      <c r="AG655">
        <f>IFERROR(INDEX(PP_Grid[#Data],$DD655,31),0)</f>
        <v/>
      </c>
      <c r="AH655">
        <f>IFERROR(INDEX(PP_Grid[#Data],$DD655,32),0)</f>
        <v/>
      </c>
      <c r="AI655">
        <f>IFERROR(INDEX(PP_Grid[#Data],$DD655,33),0)</f>
        <v/>
      </c>
      <c r="AJ655">
        <f>IFERROR(INDEX(PP_Grid[#Data],$DD655,34),0)</f>
        <v/>
      </c>
      <c r="AK655">
        <f>IFERROR(INDEX(PP_Grid[#Data],$DD655,35),0)</f>
        <v/>
      </c>
      <c r="AL655">
        <f>IFERROR(INDEX(PP_Grid[#Data],$DD655,36),0)</f>
        <v/>
      </c>
      <c r="AM655">
        <f>IFERROR(INDEX(PP_Grid[#Data],$DD655,37),0)</f>
        <v/>
      </c>
      <c r="AN655">
        <f>IFERROR(INDEX(PP_Grid[#Data],$DD655,38),0)</f>
        <v/>
      </c>
      <c r="AO655">
        <f>IFERROR(INDEX(PP_Grid[#Data],$DD655,39),0)</f>
        <v/>
      </c>
      <c r="AP655">
        <f>IFERROR(INDEX(PP_Grid[#Data],$DD655,40),0)</f>
        <v/>
      </c>
      <c r="AQ655">
        <f>IFERROR(INDEX(PP_Grid[#Data],$DD655,41),0)</f>
        <v/>
      </c>
      <c r="AR655">
        <f>IFERROR(INDEX(PP_Grid[#Data],$DD655,42),0)</f>
        <v/>
      </c>
      <c r="AS655">
        <f>IFERROR(INDEX(PP_Grid[#Data],$DD655,43),0)</f>
        <v/>
      </c>
      <c r="AT655">
        <f>IFERROR(INDEX(PP_Grid[#Data],$DD655,44),0)</f>
        <v/>
      </c>
      <c r="AU655">
        <f>IFERROR(INDEX(PP_Grid[#Data],$DD655,45),0)</f>
        <v/>
      </c>
      <c r="AV655">
        <f>IFERROR(INDEX(PP_Grid[#Data],$DD655,46),0)</f>
        <v/>
      </c>
      <c r="AW655">
        <f>IFERROR(INDEX(PP_Grid[#Data],$DD655,47),0)</f>
        <v/>
      </c>
      <c r="AX655">
        <f>IFERROR(INDEX(PP_Grid[#Data],$DD655,48),0)</f>
        <v/>
      </c>
      <c r="AY655">
        <f>IFERROR(INDEX(PP_Grid[#Data],$DD655,49),0)</f>
        <v/>
      </c>
      <c r="AZ655">
        <f>IFERROR(INDEX(PP_Grid[#Data],$DD655,50),0)</f>
        <v/>
      </c>
      <c r="BA655">
        <f>IFERROR(INDEX(PP_Grid[#Data],$DD655,51),0)</f>
        <v/>
      </c>
      <c r="BB655">
        <f>IFERROR(INDEX(PP_Grid[#Data],$DD655,52),0)</f>
        <v/>
      </c>
      <c r="BC655">
        <f>IFERROR(INDEX(PP_Grid[#Data],$DD655,53),0)</f>
        <v/>
      </c>
      <c r="BD655">
        <f>IFERROR(INDEX(PP_Grid[#Data],$DD655,54),0)</f>
        <v/>
      </c>
      <c r="BE655">
        <f>IFERROR(INDEX(PP_Grid[#Data],$DD655,55),0)</f>
        <v/>
      </c>
      <c r="BF655">
        <f>IFERROR(INDEX(PP_Grid[#Data],$DD655,56),0)</f>
        <v/>
      </c>
      <c r="BG655">
        <f>IFERROR(INDEX(PP_Grid[#Data],$DD655,57),0)</f>
        <v/>
      </c>
      <c r="BH655">
        <f>IFERROR(INDEX(PP_Grid[#Data],$DD655,58),0)</f>
        <v/>
      </c>
      <c r="BI655">
        <f>IFERROR(INDEX(PP_Grid[#Data],$DD655,59),0)</f>
        <v/>
      </c>
      <c r="BJ655">
        <f>IFERROR(INDEX(PP_Grid[#Data],$DD655,60),0)</f>
        <v/>
      </c>
      <c r="BK655">
        <f>IFERROR(INDEX(PP_Grid[#Data],$DD655,61),0)</f>
        <v/>
      </c>
      <c r="BL655">
        <f>IFERROR(INDEX(PP_Grid[#Data],$DD655,62),0)</f>
        <v/>
      </c>
      <c r="BM655">
        <f>IFERROR(INDEX(PP_Grid[#Data],$DD655,63),0)</f>
        <v/>
      </c>
      <c r="BN655">
        <f>IFERROR(INDEX(PP_Grid[#Data],$DD655,64),0)</f>
        <v/>
      </c>
      <c r="BO655">
        <f>IFERROR(INDEX(PP_Grid[#Data],$DD655,65),0)</f>
        <v/>
      </c>
      <c r="BP655">
        <f>IFERROR(INDEX(PP_Grid[#Data],$DD655,66),0)</f>
        <v/>
      </c>
      <c r="BQ655">
        <f>IFERROR(INDEX(PP_Grid[#Data],$DD655,67),0)</f>
        <v/>
      </c>
      <c r="BR655">
        <f>IFERROR(INDEX(PP_Grid[#Data],$DD655,68),0)</f>
        <v/>
      </c>
      <c r="BS655">
        <f>IFERROR(INDEX(PP_Grid[#Data],$DD655,69),0)</f>
        <v/>
      </c>
      <c r="BT655">
        <f>IFERROR(INDEX(PP_Grid[#Data],$DD655,70),0)</f>
        <v/>
      </c>
      <c r="BU655">
        <f>IFERROR(INDEX(PP_Grid[#Data],$DD655,71),0)</f>
        <v/>
      </c>
      <c r="BV655">
        <f>IFERROR(INDEX(PP_Grid[#Data],$DD655,72),0)</f>
        <v/>
      </c>
      <c r="BW655">
        <f>IFERROR(INDEX(PP_Grid[#Data],$DD655,73),0)</f>
        <v/>
      </c>
      <c r="BX655">
        <f>IFERROR(INDEX(PP_Grid[#Data],$DD655,74),0)</f>
        <v/>
      </c>
      <c r="BY655">
        <f>IFERROR(INDEX(PP_Grid[#Data],$DD655,75),0)</f>
        <v/>
      </c>
      <c r="BZ655">
        <f>IFERROR(INDEX(PP_Grid[#Data],$DD655,76),0)</f>
        <v/>
      </c>
      <c r="CA655">
        <f>IFERROR(INDEX(PP_Grid[#Data],$DD655,77),0)</f>
        <v/>
      </c>
      <c r="CB655">
        <f>IFERROR(INDEX(PP_Grid[#Data],$DD655,78),0)</f>
        <v/>
      </c>
      <c r="CC655">
        <f>IFERROR(INDEX(PP_Grid[#Data],$DD655,79),0)</f>
        <v/>
      </c>
      <c r="CD655">
        <f>IFERROR(INDEX(PP_Grid[#Data],$DD655,80),0)</f>
        <v/>
      </c>
      <c r="CE655">
        <f>IFERROR(INDEX(PP_Grid[#Data],$DD655,81),0)</f>
        <v/>
      </c>
      <c r="CF655">
        <f>IFERROR(INDEX(PP_Grid[#Data],$DD655,82),0)</f>
        <v/>
      </c>
      <c r="CG655">
        <f>IFERROR(INDEX(PP_Grid[#Data],$DD655,83),0)</f>
        <v/>
      </c>
      <c r="CH655">
        <f>IFERROR(INDEX(PP_Grid[#Data],$DD655,84),0)</f>
        <v/>
      </c>
      <c r="CI655">
        <f>IFERROR(INDEX(PP_Grid[#Data],$DD655,85),0)</f>
        <v/>
      </c>
      <c r="CJ655">
        <f>IFERROR(INDEX(PP_Grid[#Data],$DD655,86),0)</f>
        <v/>
      </c>
      <c r="CK655">
        <f>IFERROR(INDEX(PP_Grid[#Data],$DD655,87),0)</f>
        <v/>
      </c>
      <c r="CL655">
        <f>IFERROR(INDEX(PP_Grid[#Data],$DD655,88),0)</f>
        <v/>
      </c>
      <c r="CM655">
        <f>IFERROR(INDEX(PP_Grid[#Data],$DD655,89),0)</f>
        <v/>
      </c>
      <c r="CN655">
        <f>IFERROR(INDEX(PP_Grid[#Data],$DD655,90),0)</f>
        <v/>
      </c>
      <c r="CO655">
        <f>IFERROR(INDEX(PP_Grid[#Data],$DD655,91),0)</f>
        <v/>
      </c>
      <c r="CP655">
        <f>IFERROR(INDEX(PP_Grid[#Data],$DD655,92),0)</f>
        <v/>
      </c>
      <c r="CQ655">
        <f>IFERROR(INDEX(PP_Grid[#Data],$DD655,93),0)</f>
        <v/>
      </c>
      <c r="CR655">
        <f>IFERROR(INDEX(PP_Grid[#Data],$DD655,94),0)</f>
        <v/>
      </c>
      <c r="CS655">
        <f>IFERROR(INDEX(PP_Grid[#Data],$DD655,95),0)</f>
        <v/>
      </c>
      <c r="CT655">
        <f>IFERROR(INDEX(PP_Grid[#Data],$DD655,96),0)</f>
        <v/>
      </c>
      <c r="CU655">
        <f>IFERROR(INDEX(PP_Grid[#Data],$DD655,97),0)</f>
        <v/>
      </c>
      <c r="CV655">
        <f>IFERROR(INDEX(PP_Grid[#Data],$DD655,98),0)</f>
        <v/>
      </c>
      <c r="CW655">
        <f>IFERROR(INDEX(PP_Grid[#Data],$DD655,99),0)</f>
        <v/>
      </c>
      <c r="CX655">
        <f>IFERROR(INDEX(PP_Grid[#Data],$DD655,100),0)</f>
        <v/>
      </c>
      <c r="CY655">
        <f>IFERROR(INDEX(PP_Grid[#Data],$DD655,101),0)</f>
        <v/>
      </c>
      <c r="CZ655">
        <f>IFERROR(INDEX(PP_Grid[#Data],$DD655,102),0)</f>
        <v/>
      </c>
      <c r="DA655">
        <f>IFERROR(INDEX(PP_Grid[#Data],$DD655,103),0)</f>
        <v/>
      </c>
      <c r="DB655">
        <f>IFERROR(INDEX(PP_Grid[#Data],$DD655,104),0)</f>
        <v/>
      </c>
      <c r="DC655">
        <f>IFERROR(INDEX(PP_Grid[#Data],$DD655,105),0)</f>
        <v/>
      </c>
      <c r="DD655" s="12">
        <f>IFERROR(MATCH($B655,PP_Grid[Intermediate],0),99999)</f>
        <v/>
      </c>
    </row>
    <row r="656">
      <c r="B656" t="inlineStr">
        <is>
          <t>使用量(kg)</t>
        </is>
      </c>
      <c r="C656">
        <f>SUMIFS(M_BOM[RM_Qty_Per_Batch],M_BOM[Intermediate],$B655,M_BOM[Part Name],$A646)</f>
        <v/>
      </c>
      <c r="D656">
        <f>$C656*D655</f>
        <v/>
      </c>
      <c r="E656">
        <f>$C656*E655</f>
        <v/>
      </c>
      <c r="F656">
        <f>$C656*F655</f>
        <v/>
      </c>
      <c r="G656">
        <f>$C656*G655</f>
        <v/>
      </c>
      <c r="H656">
        <f>$C656*H655</f>
        <v/>
      </c>
      <c r="I656">
        <f>$C656*I655</f>
        <v/>
      </c>
      <c r="J656">
        <f>$C656*J655</f>
        <v/>
      </c>
      <c r="K656">
        <f>$C656*K655</f>
        <v/>
      </c>
      <c r="L656">
        <f>$C656*L655</f>
        <v/>
      </c>
      <c r="M656">
        <f>$C656*M655</f>
        <v/>
      </c>
      <c r="N656">
        <f>$C656*N655</f>
        <v/>
      </c>
      <c r="O656">
        <f>$C656*O655</f>
        <v/>
      </c>
      <c r="P656">
        <f>$C656*P655</f>
        <v/>
      </c>
      <c r="Q656">
        <f>$C656*Q655</f>
        <v/>
      </c>
      <c r="R656">
        <f>$C656*R655</f>
        <v/>
      </c>
      <c r="S656">
        <f>$C656*S655</f>
        <v/>
      </c>
      <c r="T656">
        <f>$C656*T655</f>
        <v/>
      </c>
      <c r="U656">
        <f>$C656*U655</f>
        <v/>
      </c>
      <c r="V656">
        <f>$C656*V655</f>
        <v/>
      </c>
      <c r="W656">
        <f>$C656*W655</f>
        <v/>
      </c>
      <c r="X656">
        <f>$C656*X655</f>
        <v/>
      </c>
      <c r="Y656">
        <f>$C656*Y655</f>
        <v/>
      </c>
      <c r="Z656">
        <f>$C656*Z655</f>
        <v/>
      </c>
      <c r="AA656">
        <f>$C656*AA655</f>
        <v/>
      </c>
      <c r="AB656">
        <f>$C656*AB655</f>
        <v/>
      </c>
      <c r="AC656">
        <f>$C656*AC655</f>
        <v/>
      </c>
      <c r="AD656">
        <f>$C656*AD655</f>
        <v/>
      </c>
      <c r="AE656">
        <f>$C656*AE655</f>
        <v/>
      </c>
      <c r="AF656">
        <f>$C656*AF655</f>
        <v/>
      </c>
      <c r="AG656">
        <f>$C656*AG655</f>
        <v/>
      </c>
      <c r="AH656">
        <f>$C656*AH655</f>
        <v/>
      </c>
      <c r="AI656">
        <f>$C656*AI655</f>
        <v/>
      </c>
      <c r="AJ656">
        <f>$C656*AJ655</f>
        <v/>
      </c>
      <c r="AK656">
        <f>$C656*AK655</f>
        <v/>
      </c>
      <c r="AL656">
        <f>$C656*AL655</f>
        <v/>
      </c>
      <c r="AM656">
        <f>$C656*AM655</f>
        <v/>
      </c>
      <c r="AN656">
        <f>$C656*AN655</f>
        <v/>
      </c>
      <c r="AO656">
        <f>$C656*AO655</f>
        <v/>
      </c>
      <c r="AP656">
        <f>$C656*AP655</f>
        <v/>
      </c>
      <c r="AQ656">
        <f>$C656*AQ655</f>
        <v/>
      </c>
      <c r="AR656">
        <f>$C656*AR655</f>
        <v/>
      </c>
      <c r="AS656">
        <f>$C656*AS655</f>
        <v/>
      </c>
      <c r="AT656">
        <f>$C656*AT655</f>
        <v/>
      </c>
      <c r="AU656">
        <f>$C656*AU655</f>
        <v/>
      </c>
      <c r="AV656">
        <f>$C656*AV655</f>
        <v/>
      </c>
      <c r="AW656">
        <f>$C656*AW655</f>
        <v/>
      </c>
      <c r="AX656">
        <f>$C656*AX655</f>
        <v/>
      </c>
      <c r="AY656">
        <f>$C656*AY655</f>
        <v/>
      </c>
      <c r="AZ656">
        <f>$C656*AZ655</f>
        <v/>
      </c>
      <c r="BA656">
        <f>$C656*BA655</f>
        <v/>
      </c>
      <c r="BB656">
        <f>$C656*BB655</f>
        <v/>
      </c>
      <c r="BC656">
        <f>$C656*BC655</f>
        <v/>
      </c>
      <c r="BD656">
        <f>$C656*BD655</f>
        <v/>
      </c>
      <c r="BE656">
        <f>$C656*BE655</f>
        <v/>
      </c>
      <c r="BF656">
        <f>$C656*BF655</f>
        <v/>
      </c>
      <c r="BG656">
        <f>$C656*BG655</f>
        <v/>
      </c>
      <c r="BH656">
        <f>$C656*BH655</f>
        <v/>
      </c>
      <c r="BI656">
        <f>$C656*BI655</f>
        <v/>
      </c>
      <c r="BJ656">
        <f>$C656*BJ655</f>
        <v/>
      </c>
      <c r="BK656">
        <f>$C656*BK655</f>
        <v/>
      </c>
      <c r="BL656">
        <f>$C656*BL655</f>
        <v/>
      </c>
      <c r="BM656">
        <f>$C656*BM655</f>
        <v/>
      </c>
      <c r="BN656">
        <f>$C656*BN655</f>
        <v/>
      </c>
      <c r="BO656">
        <f>$C656*BO655</f>
        <v/>
      </c>
      <c r="BP656">
        <f>$C656*BP655</f>
        <v/>
      </c>
      <c r="BQ656">
        <f>$C656*BQ655</f>
        <v/>
      </c>
      <c r="BR656">
        <f>$C656*BR655</f>
        <v/>
      </c>
      <c r="BS656">
        <f>$C656*BS655</f>
        <v/>
      </c>
      <c r="BT656">
        <f>$C656*BT655</f>
        <v/>
      </c>
      <c r="BU656">
        <f>$C656*BU655</f>
        <v/>
      </c>
      <c r="BV656">
        <f>$C656*BV655</f>
        <v/>
      </c>
      <c r="BW656">
        <f>$C656*BW655</f>
        <v/>
      </c>
      <c r="BX656">
        <f>$C656*BX655</f>
        <v/>
      </c>
      <c r="BY656">
        <f>$C656*BY655</f>
        <v/>
      </c>
      <c r="BZ656">
        <f>$C656*BZ655</f>
        <v/>
      </c>
      <c r="CA656">
        <f>$C656*CA655</f>
        <v/>
      </c>
      <c r="CB656">
        <f>$C656*CB655</f>
        <v/>
      </c>
      <c r="CC656">
        <f>$C656*CC655</f>
        <v/>
      </c>
      <c r="CD656">
        <f>$C656*CD655</f>
        <v/>
      </c>
      <c r="CE656">
        <f>$C656*CE655</f>
        <v/>
      </c>
      <c r="CF656">
        <f>$C656*CF655</f>
        <v/>
      </c>
      <c r="CG656">
        <f>$C656*CG655</f>
        <v/>
      </c>
      <c r="CH656">
        <f>$C656*CH655</f>
        <v/>
      </c>
      <c r="CI656">
        <f>$C656*CI655</f>
        <v/>
      </c>
      <c r="CJ656">
        <f>$C656*CJ655</f>
        <v/>
      </c>
      <c r="CK656">
        <f>$C656*CK655</f>
        <v/>
      </c>
      <c r="CL656">
        <f>$C656*CL655</f>
        <v/>
      </c>
      <c r="CM656">
        <f>$C656*CM655</f>
        <v/>
      </c>
      <c r="CN656">
        <f>$C656*CN655</f>
        <v/>
      </c>
      <c r="CO656">
        <f>$C656*CO655</f>
        <v/>
      </c>
      <c r="CP656">
        <f>$C656*CP655</f>
        <v/>
      </c>
      <c r="CQ656">
        <f>$C656*CQ655</f>
        <v/>
      </c>
      <c r="CR656">
        <f>$C656*CR655</f>
        <v/>
      </c>
      <c r="CS656">
        <f>$C656*CS655</f>
        <v/>
      </c>
      <c r="CT656">
        <f>$C656*CT655</f>
        <v/>
      </c>
      <c r="CU656">
        <f>$C656*CU655</f>
        <v/>
      </c>
      <c r="CV656">
        <f>$C656*CV655</f>
        <v/>
      </c>
      <c r="CW656">
        <f>$C656*CW655</f>
        <v/>
      </c>
      <c r="CX656">
        <f>$C656*CX655</f>
        <v/>
      </c>
      <c r="CY656">
        <f>$C656*CY655</f>
        <v/>
      </c>
      <c r="CZ656">
        <f>$C656*CZ655</f>
        <v/>
      </c>
      <c r="DA656">
        <f>$C656*DA655</f>
        <v/>
      </c>
      <c r="DB656">
        <f>$C656*DB655</f>
        <v/>
      </c>
      <c r="DC656">
        <f>$C656*DC655</f>
        <v/>
      </c>
    </row>
    <row r="657">
      <c r="B657" t="inlineStr">
        <is>
          <t>VSP-989</t>
        </is>
      </c>
      <c r="C657" t="inlineStr">
        <is>
          <t>No. of batches</t>
        </is>
      </c>
      <c r="D657">
        <f>IFERROR(INDEX(PP_Grid[#Data],$DD657,2),0)</f>
        <v/>
      </c>
      <c r="E657">
        <f>IFERROR(INDEX(PP_Grid[#Data],$DD657,3),0)</f>
        <v/>
      </c>
      <c r="F657">
        <f>IFERROR(INDEX(PP_Grid[#Data],$DD657,4),0)</f>
        <v/>
      </c>
      <c r="G657">
        <f>IFERROR(INDEX(PP_Grid[#Data],$DD657,5),0)</f>
        <v/>
      </c>
      <c r="H657">
        <f>IFERROR(INDEX(PP_Grid[#Data],$DD657,6),0)</f>
        <v/>
      </c>
      <c r="I657">
        <f>IFERROR(INDEX(PP_Grid[#Data],$DD657,7),0)</f>
        <v/>
      </c>
      <c r="J657">
        <f>IFERROR(INDEX(PP_Grid[#Data],$DD657,8),0)</f>
        <v/>
      </c>
      <c r="K657">
        <f>IFERROR(INDEX(PP_Grid[#Data],$DD657,9),0)</f>
        <v/>
      </c>
      <c r="L657">
        <f>IFERROR(INDEX(PP_Grid[#Data],$DD657,10),0)</f>
        <v/>
      </c>
      <c r="M657">
        <f>IFERROR(INDEX(PP_Grid[#Data],$DD657,11),0)</f>
        <v/>
      </c>
      <c r="N657">
        <f>IFERROR(INDEX(PP_Grid[#Data],$DD657,12),0)</f>
        <v/>
      </c>
      <c r="O657">
        <f>IFERROR(INDEX(PP_Grid[#Data],$DD657,13),0)</f>
        <v/>
      </c>
      <c r="P657">
        <f>IFERROR(INDEX(PP_Grid[#Data],$DD657,14),0)</f>
        <v/>
      </c>
      <c r="Q657">
        <f>IFERROR(INDEX(PP_Grid[#Data],$DD657,15),0)</f>
        <v/>
      </c>
      <c r="R657">
        <f>IFERROR(INDEX(PP_Grid[#Data],$DD657,16),0)</f>
        <v/>
      </c>
      <c r="S657">
        <f>IFERROR(INDEX(PP_Grid[#Data],$DD657,17),0)</f>
        <v/>
      </c>
      <c r="T657">
        <f>IFERROR(INDEX(PP_Grid[#Data],$DD657,18),0)</f>
        <v/>
      </c>
      <c r="U657">
        <f>IFERROR(INDEX(PP_Grid[#Data],$DD657,19),0)</f>
        <v/>
      </c>
      <c r="V657">
        <f>IFERROR(INDEX(PP_Grid[#Data],$DD657,20),0)</f>
        <v/>
      </c>
      <c r="W657">
        <f>IFERROR(INDEX(PP_Grid[#Data],$DD657,21),0)</f>
        <v/>
      </c>
      <c r="X657">
        <f>IFERROR(INDEX(PP_Grid[#Data],$DD657,22),0)</f>
        <v/>
      </c>
      <c r="Y657">
        <f>IFERROR(INDEX(PP_Grid[#Data],$DD657,23),0)</f>
        <v/>
      </c>
      <c r="Z657">
        <f>IFERROR(INDEX(PP_Grid[#Data],$DD657,24),0)</f>
        <v/>
      </c>
      <c r="AA657">
        <f>IFERROR(INDEX(PP_Grid[#Data],$DD657,25),0)</f>
        <v/>
      </c>
      <c r="AB657">
        <f>IFERROR(INDEX(PP_Grid[#Data],$DD657,26),0)</f>
        <v/>
      </c>
      <c r="AC657">
        <f>IFERROR(INDEX(PP_Grid[#Data],$DD657,27),0)</f>
        <v/>
      </c>
      <c r="AD657">
        <f>IFERROR(INDEX(PP_Grid[#Data],$DD657,28),0)</f>
        <v/>
      </c>
      <c r="AE657">
        <f>IFERROR(INDEX(PP_Grid[#Data],$DD657,29),0)</f>
        <v/>
      </c>
      <c r="AF657">
        <f>IFERROR(INDEX(PP_Grid[#Data],$DD657,30),0)</f>
        <v/>
      </c>
      <c r="AG657">
        <f>IFERROR(INDEX(PP_Grid[#Data],$DD657,31),0)</f>
        <v/>
      </c>
      <c r="AH657">
        <f>IFERROR(INDEX(PP_Grid[#Data],$DD657,32),0)</f>
        <v/>
      </c>
      <c r="AI657">
        <f>IFERROR(INDEX(PP_Grid[#Data],$DD657,33),0)</f>
        <v/>
      </c>
      <c r="AJ657">
        <f>IFERROR(INDEX(PP_Grid[#Data],$DD657,34),0)</f>
        <v/>
      </c>
      <c r="AK657">
        <f>IFERROR(INDEX(PP_Grid[#Data],$DD657,35),0)</f>
        <v/>
      </c>
      <c r="AL657">
        <f>IFERROR(INDEX(PP_Grid[#Data],$DD657,36),0)</f>
        <v/>
      </c>
      <c r="AM657">
        <f>IFERROR(INDEX(PP_Grid[#Data],$DD657,37),0)</f>
        <v/>
      </c>
      <c r="AN657">
        <f>IFERROR(INDEX(PP_Grid[#Data],$DD657,38),0)</f>
        <v/>
      </c>
      <c r="AO657">
        <f>IFERROR(INDEX(PP_Grid[#Data],$DD657,39),0)</f>
        <v/>
      </c>
      <c r="AP657">
        <f>IFERROR(INDEX(PP_Grid[#Data],$DD657,40),0)</f>
        <v/>
      </c>
      <c r="AQ657">
        <f>IFERROR(INDEX(PP_Grid[#Data],$DD657,41),0)</f>
        <v/>
      </c>
      <c r="AR657">
        <f>IFERROR(INDEX(PP_Grid[#Data],$DD657,42),0)</f>
        <v/>
      </c>
      <c r="AS657">
        <f>IFERROR(INDEX(PP_Grid[#Data],$DD657,43),0)</f>
        <v/>
      </c>
      <c r="AT657">
        <f>IFERROR(INDEX(PP_Grid[#Data],$DD657,44),0)</f>
        <v/>
      </c>
      <c r="AU657">
        <f>IFERROR(INDEX(PP_Grid[#Data],$DD657,45),0)</f>
        <v/>
      </c>
      <c r="AV657">
        <f>IFERROR(INDEX(PP_Grid[#Data],$DD657,46),0)</f>
        <v/>
      </c>
      <c r="AW657">
        <f>IFERROR(INDEX(PP_Grid[#Data],$DD657,47),0)</f>
        <v/>
      </c>
      <c r="AX657">
        <f>IFERROR(INDEX(PP_Grid[#Data],$DD657,48),0)</f>
        <v/>
      </c>
      <c r="AY657">
        <f>IFERROR(INDEX(PP_Grid[#Data],$DD657,49),0)</f>
        <v/>
      </c>
      <c r="AZ657">
        <f>IFERROR(INDEX(PP_Grid[#Data],$DD657,50),0)</f>
        <v/>
      </c>
      <c r="BA657">
        <f>IFERROR(INDEX(PP_Grid[#Data],$DD657,51),0)</f>
        <v/>
      </c>
      <c r="BB657">
        <f>IFERROR(INDEX(PP_Grid[#Data],$DD657,52),0)</f>
        <v/>
      </c>
      <c r="BC657">
        <f>IFERROR(INDEX(PP_Grid[#Data],$DD657,53),0)</f>
        <v/>
      </c>
      <c r="BD657">
        <f>IFERROR(INDEX(PP_Grid[#Data],$DD657,54),0)</f>
        <v/>
      </c>
      <c r="BE657">
        <f>IFERROR(INDEX(PP_Grid[#Data],$DD657,55),0)</f>
        <v/>
      </c>
      <c r="BF657">
        <f>IFERROR(INDEX(PP_Grid[#Data],$DD657,56),0)</f>
        <v/>
      </c>
      <c r="BG657">
        <f>IFERROR(INDEX(PP_Grid[#Data],$DD657,57),0)</f>
        <v/>
      </c>
      <c r="BH657">
        <f>IFERROR(INDEX(PP_Grid[#Data],$DD657,58),0)</f>
        <v/>
      </c>
      <c r="BI657">
        <f>IFERROR(INDEX(PP_Grid[#Data],$DD657,59),0)</f>
        <v/>
      </c>
      <c r="BJ657">
        <f>IFERROR(INDEX(PP_Grid[#Data],$DD657,60),0)</f>
        <v/>
      </c>
      <c r="BK657">
        <f>IFERROR(INDEX(PP_Grid[#Data],$DD657,61),0)</f>
        <v/>
      </c>
      <c r="BL657">
        <f>IFERROR(INDEX(PP_Grid[#Data],$DD657,62),0)</f>
        <v/>
      </c>
      <c r="BM657">
        <f>IFERROR(INDEX(PP_Grid[#Data],$DD657,63),0)</f>
        <v/>
      </c>
      <c r="BN657">
        <f>IFERROR(INDEX(PP_Grid[#Data],$DD657,64),0)</f>
        <v/>
      </c>
      <c r="BO657">
        <f>IFERROR(INDEX(PP_Grid[#Data],$DD657,65),0)</f>
        <v/>
      </c>
      <c r="BP657">
        <f>IFERROR(INDEX(PP_Grid[#Data],$DD657,66),0)</f>
        <v/>
      </c>
      <c r="BQ657">
        <f>IFERROR(INDEX(PP_Grid[#Data],$DD657,67),0)</f>
        <v/>
      </c>
      <c r="BR657">
        <f>IFERROR(INDEX(PP_Grid[#Data],$DD657,68),0)</f>
        <v/>
      </c>
      <c r="BS657">
        <f>IFERROR(INDEX(PP_Grid[#Data],$DD657,69),0)</f>
        <v/>
      </c>
      <c r="BT657">
        <f>IFERROR(INDEX(PP_Grid[#Data],$DD657,70),0)</f>
        <v/>
      </c>
      <c r="BU657">
        <f>IFERROR(INDEX(PP_Grid[#Data],$DD657,71),0)</f>
        <v/>
      </c>
      <c r="BV657">
        <f>IFERROR(INDEX(PP_Grid[#Data],$DD657,72),0)</f>
        <v/>
      </c>
      <c r="BW657">
        <f>IFERROR(INDEX(PP_Grid[#Data],$DD657,73),0)</f>
        <v/>
      </c>
      <c r="BX657">
        <f>IFERROR(INDEX(PP_Grid[#Data],$DD657,74),0)</f>
        <v/>
      </c>
      <c r="BY657">
        <f>IFERROR(INDEX(PP_Grid[#Data],$DD657,75),0)</f>
        <v/>
      </c>
      <c r="BZ657">
        <f>IFERROR(INDEX(PP_Grid[#Data],$DD657,76),0)</f>
        <v/>
      </c>
      <c r="CA657">
        <f>IFERROR(INDEX(PP_Grid[#Data],$DD657,77),0)</f>
        <v/>
      </c>
      <c r="CB657">
        <f>IFERROR(INDEX(PP_Grid[#Data],$DD657,78),0)</f>
        <v/>
      </c>
      <c r="CC657">
        <f>IFERROR(INDEX(PP_Grid[#Data],$DD657,79),0)</f>
        <v/>
      </c>
      <c r="CD657">
        <f>IFERROR(INDEX(PP_Grid[#Data],$DD657,80),0)</f>
        <v/>
      </c>
      <c r="CE657">
        <f>IFERROR(INDEX(PP_Grid[#Data],$DD657,81),0)</f>
        <v/>
      </c>
      <c r="CF657">
        <f>IFERROR(INDEX(PP_Grid[#Data],$DD657,82),0)</f>
        <v/>
      </c>
      <c r="CG657">
        <f>IFERROR(INDEX(PP_Grid[#Data],$DD657,83),0)</f>
        <v/>
      </c>
      <c r="CH657">
        <f>IFERROR(INDEX(PP_Grid[#Data],$DD657,84),0)</f>
        <v/>
      </c>
      <c r="CI657">
        <f>IFERROR(INDEX(PP_Grid[#Data],$DD657,85),0)</f>
        <v/>
      </c>
      <c r="CJ657">
        <f>IFERROR(INDEX(PP_Grid[#Data],$DD657,86),0)</f>
        <v/>
      </c>
      <c r="CK657">
        <f>IFERROR(INDEX(PP_Grid[#Data],$DD657,87),0)</f>
        <v/>
      </c>
      <c r="CL657">
        <f>IFERROR(INDEX(PP_Grid[#Data],$DD657,88),0)</f>
        <v/>
      </c>
      <c r="CM657">
        <f>IFERROR(INDEX(PP_Grid[#Data],$DD657,89),0)</f>
        <v/>
      </c>
      <c r="CN657">
        <f>IFERROR(INDEX(PP_Grid[#Data],$DD657,90),0)</f>
        <v/>
      </c>
      <c r="CO657">
        <f>IFERROR(INDEX(PP_Grid[#Data],$DD657,91),0)</f>
        <v/>
      </c>
      <c r="CP657">
        <f>IFERROR(INDEX(PP_Grid[#Data],$DD657,92),0)</f>
        <v/>
      </c>
      <c r="CQ657">
        <f>IFERROR(INDEX(PP_Grid[#Data],$DD657,93),0)</f>
        <v/>
      </c>
      <c r="CR657">
        <f>IFERROR(INDEX(PP_Grid[#Data],$DD657,94),0)</f>
        <v/>
      </c>
      <c r="CS657">
        <f>IFERROR(INDEX(PP_Grid[#Data],$DD657,95),0)</f>
        <v/>
      </c>
      <c r="CT657">
        <f>IFERROR(INDEX(PP_Grid[#Data],$DD657,96),0)</f>
        <v/>
      </c>
      <c r="CU657">
        <f>IFERROR(INDEX(PP_Grid[#Data],$DD657,97),0)</f>
        <v/>
      </c>
      <c r="CV657">
        <f>IFERROR(INDEX(PP_Grid[#Data],$DD657,98),0)</f>
        <v/>
      </c>
      <c r="CW657">
        <f>IFERROR(INDEX(PP_Grid[#Data],$DD657,99),0)</f>
        <v/>
      </c>
      <c r="CX657">
        <f>IFERROR(INDEX(PP_Grid[#Data],$DD657,100),0)</f>
        <v/>
      </c>
      <c r="CY657">
        <f>IFERROR(INDEX(PP_Grid[#Data],$DD657,101),0)</f>
        <v/>
      </c>
      <c r="CZ657">
        <f>IFERROR(INDEX(PP_Grid[#Data],$DD657,102),0)</f>
        <v/>
      </c>
      <c r="DA657">
        <f>IFERROR(INDEX(PP_Grid[#Data],$DD657,103),0)</f>
        <v/>
      </c>
      <c r="DB657">
        <f>IFERROR(INDEX(PP_Grid[#Data],$DD657,104),0)</f>
        <v/>
      </c>
      <c r="DC657">
        <f>IFERROR(INDEX(PP_Grid[#Data],$DD657,105),0)</f>
        <v/>
      </c>
      <c r="DD657" s="12">
        <f>IFERROR(MATCH($B657,PP_Grid[Intermediate],0),99999)</f>
        <v/>
      </c>
    </row>
    <row r="658">
      <c r="B658" t="inlineStr">
        <is>
          <t>使用量(kg)</t>
        </is>
      </c>
      <c r="C658">
        <f>SUMIFS(M_BOM[RM_Qty_Per_Batch],M_BOM[Intermediate],$B657,M_BOM[Part Name],$A646)</f>
        <v/>
      </c>
      <c r="D658">
        <f>$C658*D657</f>
        <v/>
      </c>
      <c r="E658">
        <f>$C658*E657</f>
        <v/>
      </c>
      <c r="F658">
        <f>$C658*F657</f>
        <v/>
      </c>
      <c r="G658">
        <f>$C658*G657</f>
        <v/>
      </c>
      <c r="H658">
        <f>$C658*H657</f>
        <v/>
      </c>
      <c r="I658">
        <f>$C658*I657</f>
        <v/>
      </c>
      <c r="J658">
        <f>$C658*J657</f>
        <v/>
      </c>
      <c r="K658">
        <f>$C658*K657</f>
        <v/>
      </c>
      <c r="L658">
        <f>$C658*L657</f>
        <v/>
      </c>
      <c r="M658">
        <f>$C658*M657</f>
        <v/>
      </c>
      <c r="N658">
        <f>$C658*N657</f>
        <v/>
      </c>
      <c r="O658">
        <f>$C658*O657</f>
        <v/>
      </c>
      <c r="P658">
        <f>$C658*P657</f>
        <v/>
      </c>
      <c r="Q658">
        <f>$C658*Q657</f>
        <v/>
      </c>
      <c r="R658">
        <f>$C658*R657</f>
        <v/>
      </c>
      <c r="S658">
        <f>$C658*S657</f>
        <v/>
      </c>
      <c r="T658">
        <f>$C658*T657</f>
        <v/>
      </c>
      <c r="U658">
        <f>$C658*U657</f>
        <v/>
      </c>
      <c r="V658">
        <f>$C658*V657</f>
        <v/>
      </c>
      <c r="W658">
        <f>$C658*W657</f>
        <v/>
      </c>
      <c r="X658">
        <f>$C658*X657</f>
        <v/>
      </c>
      <c r="Y658">
        <f>$C658*Y657</f>
        <v/>
      </c>
      <c r="Z658">
        <f>$C658*Z657</f>
        <v/>
      </c>
      <c r="AA658">
        <f>$C658*AA657</f>
        <v/>
      </c>
      <c r="AB658">
        <f>$C658*AB657</f>
        <v/>
      </c>
      <c r="AC658">
        <f>$C658*AC657</f>
        <v/>
      </c>
      <c r="AD658">
        <f>$C658*AD657</f>
        <v/>
      </c>
      <c r="AE658">
        <f>$C658*AE657</f>
        <v/>
      </c>
      <c r="AF658">
        <f>$C658*AF657</f>
        <v/>
      </c>
      <c r="AG658">
        <f>$C658*AG657</f>
        <v/>
      </c>
      <c r="AH658">
        <f>$C658*AH657</f>
        <v/>
      </c>
      <c r="AI658">
        <f>$C658*AI657</f>
        <v/>
      </c>
      <c r="AJ658">
        <f>$C658*AJ657</f>
        <v/>
      </c>
      <c r="AK658">
        <f>$C658*AK657</f>
        <v/>
      </c>
      <c r="AL658">
        <f>$C658*AL657</f>
        <v/>
      </c>
      <c r="AM658">
        <f>$C658*AM657</f>
        <v/>
      </c>
      <c r="AN658">
        <f>$C658*AN657</f>
        <v/>
      </c>
      <c r="AO658">
        <f>$C658*AO657</f>
        <v/>
      </c>
      <c r="AP658">
        <f>$C658*AP657</f>
        <v/>
      </c>
      <c r="AQ658">
        <f>$C658*AQ657</f>
        <v/>
      </c>
      <c r="AR658">
        <f>$C658*AR657</f>
        <v/>
      </c>
      <c r="AS658">
        <f>$C658*AS657</f>
        <v/>
      </c>
      <c r="AT658">
        <f>$C658*AT657</f>
        <v/>
      </c>
      <c r="AU658">
        <f>$C658*AU657</f>
        <v/>
      </c>
      <c r="AV658">
        <f>$C658*AV657</f>
        <v/>
      </c>
      <c r="AW658">
        <f>$C658*AW657</f>
        <v/>
      </c>
      <c r="AX658">
        <f>$C658*AX657</f>
        <v/>
      </c>
      <c r="AY658">
        <f>$C658*AY657</f>
        <v/>
      </c>
      <c r="AZ658">
        <f>$C658*AZ657</f>
        <v/>
      </c>
      <c r="BA658">
        <f>$C658*BA657</f>
        <v/>
      </c>
      <c r="BB658">
        <f>$C658*BB657</f>
        <v/>
      </c>
      <c r="BC658">
        <f>$C658*BC657</f>
        <v/>
      </c>
      <c r="BD658">
        <f>$C658*BD657</f>
        <v/>
      </c>
      <c r="BE658">
        <f>$C658*BE657</f>
        <v/>
      </c>
      <c r="BF658">
        <f>$C658*BF657</f>
        <v/>
      </c>
      <c r="BG658">
        <f>$C658*BG657</f>
        <v/>
      </c>
      <c r="BH658">
        <f>$C658*BH657</f>
        <v/>
      </c>
      <c r="BI658">
        <f>$C658*BI657</f>
        <v/>
      </c>
      <c r="BJ658">
        <f>$C658*BJ657</f>
        <v/>
      </c>
      <c r="BK658">
        <f>$C658*BK657</f>
        <v/>
      </c>
      <c r="BL658">
        <f>$C658*BL657</f>
        <v/>
      </c>
      <c r="BM658">
        <f>$C658*BM657</f>
        <v/>
      </c>
      <c r="BN658">
        <f>$C658*BN657</f>
        <v/>
      </c>
      <c r="BO658">
        <f>$C658*BO657</f>
        <v/>
      </c>
      <c r="BP658">
        <f>$C658*BP657</f>
        <v/>
      </c>
      <c r="BQ658">
        <f>$C658*BQ657</f>
        <v/>
      </c>
      <c r="BR658">
        <f>$C658*BR657</f>
        <v/>
      </c>
      <c r="BS658">
        <f>$C658*BS657</f>
        <v/>
      </c>
      <c r="BT658">
        <f>$C658*BT657</f>
        <v/>
      </c>
      <c r="BU658">
        <f>$C658*BU657</f>
        <v/>
      </c>
      <c r="BV658">
        <f>$C658*BV657</f>
        <v/>
      </c>
      <c r="BW658">
        <f>$C658*BW657</f>
        <v/>
      </c>
      <c r="BX658">
        <f>$C658*BX657</f>
        <v/>
      </c>
      <c r="BY658">
        <f>$C658*BY657</f>
        <v/>
      </c>
      <c r="BZ658">
        <f>$C658*BZ657</f>
        <v/>
      </c>
      <c r="CA658">
        <f>$C658*CA657</f>
        <v/>
      </c>
      <c r="CB658">
        <f>$C658*CB657</f>
        <v/>
      </c>
      <c r="CC658">
        <f>$C658*CC657</f>
        <v/>
      </c>
      <c r="CD658">
        <f>$C658*CD657</f>
        <v/>
      </c>
      <c r="CE658">
        <f>$C658*CE657</f>
        <v/>
      </c>
      <c r="CF658">
        <f>$C658*CF657</f>
        <v/>
      </c>
      <c r="CG658">
        <f>$C658*CG657</f>
        <v/>
      </c>
      <c r="CH658">
        <f>$C658*CH657</f>
        <v/>
      </c>
      <c r="CI658">
        <f>$C658*CI657</f>
        <v/>
      </c>
      <c r="CJ658">
        <f>$C658*CJ657</f>
        <v/>
      </c>
      <c r="CK658">
        <f>$C658*CK657</f>
        <v/>
      </c>
      <c r="CL658">
        <f>$C658*CL657</f>
        <v/>
      </c>
      <c r="CM658">
        <f>$C658*CM657</f>
        <v/>
      </c>
      <c r="CN658">
        <f>$C658*CN657</f>
        <v/>
      </c>
      <c r="CO658">
        <f>$C658*CO657</f>
        <v/>
      </c>
      <c r="CP658">
        <f>$C658*CP657</f>
        <v/>
      </c>
      <c r="CQ658">
        <f>$C658*CQ657</f>
        <v/>
      </c>
      <c r="CR658">
        <f>$C658*CR657</f>
        <v/>
      </c>
      <c r="CS658">
        <f>$C658*CS657</f>
        <v/>
      </c>
      <c r="CT658">
        <f>$C658*CT657</f>
        <v/>
      </c>
      <c r="CU658">
        <f>$C658*CU657</f>
        <v/>
      </c>
      <c r="CV658">
        <f>$C658*CV657</f>
        <v/>
      </c>
      <c r="CW658">
        <f>$C658*CW657</f>
        <v/>
      </c>
      <c r="CX658">
        <f>$C658*CX657</f>
        <v/>
      </c>
      <c r="CY658">
        <f>$C658*CY657</f>
        <v/>
      </c>
      <c r="CZ658">
        <f>$C658*CZ657</f>
        <v/>
      </c>
      <c r="DA658">
        <f>$C658*DA657</f>
        <v/>
      </c>
      <c r="DB658">
        <f>$C658*DB657</f>
        <v/>
      </c>
      <c r="DC658">
        <f>$C658*DC657</f>
        <v/>
      </c>
    </row>
    <row r="659">
      <c r="B659" t="inlineStr">
        <is>
          <t>VSP-990</t>
        </is>
      </c>
      <c r="C659" t="inlineStr">
        <is>
          <t>No. of batches</t>
        </is>
      </c>
      <c r="D659">
        <f>IFERROR(INDEX(PP_Grid[#Data],$DD659,2),0)</f>
        <v/>
      </c>
      <c r="E659">
        <f>IFERROR(INDEX(PP_Grid[#Data],$DD659,3),0)</f>
        <v/>
      </c>
      <c r="F659">
        <f>IFERROR(INDEX(PP_Grid[#Data],$DD659,4),0)</f>
        <v/>
      </c>
      <c r="G659">
        <f>IFERROR(INDEX(PP_Grid[#Data],$DD659,5),0)</f>
        <v/>
      </c>
      <c r="H659">
        <f>IFERROR(INDEX(PP_Grid[#Data],$DD659,6),0)</f>
        <v/>
      </c>
      <c r="I659">
        <f>IFERROR(INDEX(PP_Grid[#Data],$DD659,7),0)</f>
        <v/>
      </c>
      <c r="J659">
        <f>IFERROR(INDEX(PP_Grid[#Data],$DD659,8),0)</f>
        <v/>
      </c>
      <c r="K659">
        <f>IFERROR(INDEX(PP_Grid[#Data],$DD659,9),0)</f>
        <v/>
      </c>
      <c r="L659">
        <f>IFERROR(INDEX(PP_Grid[#Data],$DD659,10),0)</f>
        <v/>
      </c>
      <c r="M659">
        <f>IFERROR(INDEX(PP_Grid[#Data],$DD659,11),0)</f>
        <v/>
      </c>
      <c r="N659">
        <f>IFERROR(INDEX(PP_Grid[#Data],$DD659,12),0)</f>
        <v/>
      </c>
      <c r="O659">
        <f>IFERROR(INDEX(PP_Grid[#Data],$DD659,13),0)</f>
        <v/>
      </c>
      <c r="P659">
        <f>IFERROR(INDEX(PP_Grid[#Data],$DD659,14),0)</f>
        <v/>
      </c>
      <c r="Q659">
        <f>IFERROR(INDEX(PP_Grid[#Data],$DD659,15),0)</f>
        <v/>
      </c>
      <c r="R659">
        <f>IFERROR(INDEX(PP_Grid[#Data],$DD659,16),0)</f>
        <v/>
      </c>
      <c r="S659">
        <f>IFERROR(INDEX(PP_Grid[#Data],$DD659,17),0)</f>
        <v/>
      </c>
      <c r="T659">
        <f>IFERROR(INDEX(PP_Grid[#Data],$DD659,18),0)</f>
        <v/>
      </c>
      <c r="U659">
        <f>IFERROR(INDEX(PP_Grid[#Data],$DD659,19),0)</f>
        <v/>
      </c>
      <c r="V659">
        <f>IFERROR(INDEX(PP_Grid[#Data],$DD659,20),0)</f>
        <v/>
      </c>
      <c r="W659">
        <f>IFERROR(INDEX(PP_Grid[#Data],$DD659,21),0)</f>
        <v/>
      </c>
      <c r="X659">
        <f>IFERROR(INDEX(PP_Grid[#Data],$DD659,22),0)</f>
        <v/>
      </c>
      <c r="Y659">
        <f>IFERROR(INDEX(PP_Grid[#Data],$DD659,23),0)</f>
        <v/>
      </c>
      <c r="Z659">
        <f>IFERROR(INDEX(PP_Grid[#Data],$DD659,24),0)</f>
        <v/>
      </c>
      <c r="AA659">
        <f>IFERROR(INDEX(PP_Grid[#Data],$DD659,25),0)</f>
        <v/>
      </c>
      <c r="AB659">
        <f>IFERROR(INDEX(PP_Grid[#Data],$DD659,26),0)</f>
        <v/>
      </c>
      <c r="AC659">
        <f>IFERROR(INDEX(PP_Grid[#Data],$DD659,27),0)</f>
        <v/>
      </c>
      <c r="AD659">
        <f>IFERROR(INDEX(PP_Grid[#Data],$DD659,28),0)</f>
        <v/>
      </c>
      <c r="AE659">
        <f>IFERROR(INDEX(PP_Grid[#Data],$DD659,29),0)</f>
        <v/>
      </c>
      <c r="AF659">
        <f>IFERROR(INDEX(PP_Grid[#Data],$DD659,30),0)</f>
        <v/>
      </c>
      <c r="AG659">
        <f>IFERROR(INDEX(PP_Grid[#Data],$DD659,31),0)</f>
        <v/>
      </c>
      <c r="AH659">
        <f>IFERROR(INDEX(PP_Grid[#Data],$DD659,32),0)</f>
        <v/>
      </c>
      <c r="AI659">
        <f>IFERROR(INDEX(PP_Grid[#Data],$DD659,33),0)</f>
        <v/>
      </c>
      <c r="AJ659">
        <f>IFERROR(INDEX(PP_Grid[#Data],$DD659,34),0)</f>
        <v/>
      </c>
      <c r="AK659">
        <f>IFERROR(INDEX(PP_Grid[#Data],$DD659,35),0)</f>
        <v/>
      </c>
      <c r="AL659">
        <f>IFERROR(INDEX(PP_Grid[#Data],$DD659,36),0)</f>
        <v/>
      </c>
      <c r="AM659">
        <f>IFERROR(INDEX(PP_Grid[#Data],$DD659,37),0)</f>
        <v/>
      </c>
      <c r="AN659">
        <f>IFERROR(INDEX(PP_Grid[#Data],$DD659,38),0)</f>
        <v/>
      </c>
      <c r="AO659">
        <f>IFERROR(INDEX(PP_Grid[#Data],$DD659,39),0)</f>
        <v/>
      </c>
      <c r="AP659">
        <f>IFERROR(INDEX(PP_Grid[#Data],$DD659,40),0)</f>
        <v/>
      </c>
      <c r="AQ659">
        <f>IFERROR(INDEX(PP_Grid[#Data],$DD659,41),0)</f>
        <v/>
      </c>
      <c r="AR659">
        <f>IFERROR(INDEX(PP_Grid[#Data],$DD659,42),0)</f>
        <v/>
      </c>
      <c r="AS659">
        <f>IFERROR(INDEX(PP_Grid[#Data],$DD659,43),0)</f>
        <v/>
      </c>
      <c r="AT659">
        <f>IFERROR(INDEX(PP_Grid[#Data],$DD659,44),0)</f>
        <v/>
      </c>
      <c r="AU659">
        <f>IFERROR(INDEX(PP_Grid[#Data],$DD659,45),0)</f>
        <v/>
      </c>
      <c r="AV659">
        <f>IFERROR(INDEX(PP_Grid[#Data],$DD659,46),0)</f>
        <v/>
      </c>
      <c r="AW659">
        <f>IFERROR(INDEX(PP_Grid[#Data],$DD659,47),0)</f>
        <v/>
      </c>
      <c r="AX659">
        <f>IFERROR(INDEX(PP_Grid[#Data],$DD659,48),0)</f>
        <v/>
      </c>
      <c r="AY659">
        <f>IFERROR(INDEX(PP_Grid[#Data],$DD659,49),0)</f>
        <v/>
      </c>
      <c r="AZ659">
        <f>IFERROR(INDEX(PP_Grid[#Data],$DD659,50),0)</f>
        <v/>
      </c>
      <c r="BA659">
        <f>IFERROR(INDEX(PP_Grid[#Data],$DD659,51),0)</f>
        <v/>
      </c>
      <c r="BB659">
        <f>IFERROR(INDEX(PP_Grid[#Data],$DD659,52),0)</f>
        <v/>
      </c>
      <c r="BC659">
        <f>IFERROR(INDEX(PP_Grid[#Data],$DD659,53),0)</f>
        <v/>
      </c>
      <c r="BD659">
        <f>IFERROR(INDEX(PP_Grid[#Data],$DD659,54),0)</f>
        <v/>
      </c>
      <c r="BE659">
        <f>IFERROR(INDEX(PP_Grid[#Data],$DD659,55),0)</f>
        <v/>
      </c>
      <c r="BF659">
        <f>IFERROR(INDEX(PP_Grid[#Data],$DD659,56),0)</f>
        <v/>
      </c>
      <c r="BG659">
        <f>IFERROR(INDEX(PP_Grid[#Data],$DD659,57),0)</f>
        <v/>
      </c>
      <c r="BH659">
        <f>IFERROR(INDEX(PP_Grid[#Data],$DD659,58),0)</f>
        <v/>
      </c>
      <c r="BI659">
        <f>IFERROR(INDEX(PP_Grid[#Data],$DD659,59),0)</f>
        <v/>
      </c>
      <c r="BJ659">
        <f>IFERROR(INDEX(PP_Grid[#Data],$DD659,60),0)</f>
        <v/>
      </c>
      <c r="BK659">
        <f>IFERROR(INDEX(PP_Grid[#Data],$DD659,61),0)</f>
        <v/>
      </c>
      <c r="BL659">
        <f>IFERROR(INDEX(PP_Grid[#Data],$DD659,62),0)</f>
        <v/>
      </c>
      <c r="BM659">
        <f>IFERROR(INDEX(PP_Grid[#Data],$DD659,63),0)</f>
        <v/>
      </c>
      <c r="BN659">
        <f>IFERROR(INDEX(PP_Grid[#Data],$DD659,64),0)</f>
        <v/>
      </c>
      <c r="BO659">
        <f>IFERROR(INDEX(PP_Grid[#Data],$DD659,65),0)</f>
        <v/>
      </c>
      <c r="BP659">
        <f>IFERROR(INDEX(PP_Grid[#Data],$DD659,66),0)</f>
        <v/>
      </c>
      <c r="BQ659">
        <f>IFERROR(INDEX(PP_Grid[#Data],$DD659,67),0)</f>
        <v/>
      </c>
      <c r="BR659">
        <f>IFERROR(INDEX(PP_Grid[#Data],$DD659,68),0)</f>
        <v/>
      </c>
      <c r="BS659">
        <f>IFERROR(INDEX(PP_Grid[#Data],$DD659,69),0)</f>
        <v/>
      </c>
      <c r="BT659">
        <f>IFERROR(INDEX(PP_Grid[#Data],$DD659,70),0)</f>
        <v/>
      </c>
      <c r="BU659">
        <f>IFERROR(INDEX(PP_Grid[#Data],$DD659,71),0)</f>
        <v/>
      </c>
      <c r="BV659">
        <f>IFERROR(INDEX(PP_Grid[#Data],$DD659,72),0)</f>
        <v/>
      </c>
      <c r="BW659">
        <f>IFERROR(INDEX(PP_Grid[#Data],$DD659,73),0)</f>
        <v/>
      </c>
      <c r="BX659">
        <f>IFERROR(INDEX(PP_Grid[#Data],$DD659,74),0)</f>
        <v/>
      </c>
      <c r="BY659">
        <f>IFERROR(INDEX(PP_Grid[#Data],$DD659,75),0)</f>
        <v/>
      </c>
      <c r="BZ659">
        <f>IFERROR(INDEX(PP_Grid[#Data],$DD659,76),0)</f>
        <v/>
      </c>
      <c r="CA659">
        <f>IFERROR(INDEX(PP_Grid[#Data],$DD659,77),0)</f>
        <v/>
      </c>
      <c r="CB659">
        <f>IFERROR(INDEX(PP_Grid[#Data],$DD659,78),0)</f>
        <v/>
      </c>
      <c r="CC659">
        <f>IFERROR(INDEX(PP_Grid[#Data],$DD659,79),0)</f>
        <v/>
      </c>
      <c r="CD659">
        <f>IFERROR(INDEX(PP_Grid[#Data],$DD659,80),0)</f>
        <v/>
      </c>
      <c r="CE659">
        <f>IFERROR(INDEX(PP_Grid[#Data],$DD659,81),0)</f>
        <v/>
      </c>
      <c r="CF659">
        <f>IFERROR(INDEX(PP_Grid[#Data],$DD659,82),0)</f>
        <v/>
      </c>
      <c r="CG659">
        <f>IFERROR(INDEX(PP_Grid[#Data],$DD659,83),0)</f>
        <v/>
      </c>
      <c r="CH659">
        <f>IFERROR(INDEX(PP_Grid[#Data],$DD659,84),0)</f>
        <v/>
      </c>
      <c r="CI659">
        <f>IFERROR(INDEX(PP_Grid[#Data],$DD659,85),0)</f>
        <v/>
      </c>
      <c r="CJ659">
        <f>IFERROR(INDEX(PP_Grid[#Data],$DD659,86),0)</f>
        <v/>
      </c>
      <c r="CK659">
        <f>IFERROR(INDEX(PP_Grid[#Data],$DD659,87),0)</f>
        <v/>
      </c>
      <c r="CL659">
        <f>IFERROR(INDEX(PP_Grid[#Data],$DD659,88),0)</f>
        <v/>
      </c>
      <c r="CM659">
        <f>IFERROR(INDEX(PP_Grid[#Data],$DD659,89),0)</f>
        <v/>
      </c>
      <c r="CN659">
        <f>IFERROR(INDEX(PP_Grid[#Data],$DD659,90),0)</f>
        <v/>
      </c>
      <c r="CO659">
        <f>IFERROR(INDEX(PP_Grid[#Data],$DD659,91),0)</f>
        <v/>
      </c>
      <c r="CP659">
        <f>IFERROR(INDEX(PP_Grid[#Data],$DD659,92),0)</f>
        <v/>
      </c>
      <c r="CQ659">
        <f>IFERROR(INDEX(PP_Grid[#Data],$DD659,93),0)</f>
        <v/>
      </c>
      <c r="CR659">
        <f>IFERROR(INDEX(PP_Grid[#Data],$DD659,94),0)</f>
        <v/>
      </c>
      <c r="CS659">
        <f>IFERROR(INDEX(PP_Grid[#Data],$DD659,95),0)</f>
        <v/>
      </c>
      <c r="CT659">
        <f>IFERROR(INDEX(PP_Grid[#Data],$DD659,96),0)</f>
        <v/>
      </c>
      <c r="CU659">
        <f>IFERROR(INDEX(PP_Grid[#Data],$DD659,97),0)</f>
        <v/>
      </c>
      <c r="CV659">
        <f>IFERROR(INDEX(PP_Grid[#Data],$DD659,98),0)</f>
        <v/>
      </c>
      <c r="CW659">
        <f>IFERROR(INDEX(PP_Grid[#Data],$DD659,99),0)</f>
        <v/>
      </c>
      <c r="CX659">
        <f>IFERROR(INDEX(PP_Grid[#Data],$DD659,100),0)</f>
        <v/>
      </c>
      <c r="CY659">
        <f>IFERROR(INDEX(PP_Grid[#Data],$DD659,101),0)</f>
        <v/>
      </c>
      <c r="CZ659">
        <f>IFERROR(INDEX(PP_Grid[#Data],$DD659,102),0)</f>
        <v/>
      </c>
      <c r="DA659">
        <f>IFERROR(INDEX(PP_Grid[#Data],$DD659,103),0)</f>
        <v/>
      </c>
      <c r="DB659">
        <f>IFERROR(INDEX(PP_Grid[#Data],$DD659,104),0)</f>
        <v/>
      </c>
      <c r="DC659">
        <f>IFERROR(INDEX(PP_Grid[#Data],$DD659,105),0)</f>
        <v/>
      </c>
      <c r="DD659" s="12">
        <f>IFERROR(MATCH($B659,PP_Grid[Intermediate],0),99999)</f>
        <v/>
      </c>
    </row>
    <row r="660">
      <c r="B660" t="inlineStr">
        <is>
          <t>使用量(kg)</t>
        </is>
      </c>
      <c r="C660">
        <f>SUMIFS(M_BOM[RM_Qty_Per_Batch],M_BOM[Intermediate],$B659,M_BOM[Part Name],$A646)</f>
        <v/>
      </c>
      <c r="D660">
        <f>$C660*D659</f>
        <v/>
      </c>
      <c r="E660">
        <f>$C660*E659</f>
        <v/>
      </c>
      <c r="F660">
        <f>$C660*F659</f>
        <v/>
      </c>
      <c r="G660">
        <f>$C660*G659</f>
        <v/>
      </c>
      <c r="H660">
        <f>$C660*H659</f>
        <v/>
      </c>
      <c r="I660">
        <f>$C660*I659</f>
        <v/>
      </c>
      <c r="J660">
        <f>$C660*J659</f>
        <v/>
      </c>
      <c r="K660">
        <f>$C660*K659</f>
        <v/>
      </c>
      <c r="L660">
        <f>$C660*L659</f>
        <v/>
      </c>
      <c r="M660">
        <f>$C660*M659</f>
        <v/>
      </c>
      <c r="N660">
        <f>$C660*N659</f>
        <v/>
      </c>
      <c r="O660">
        <f>$C660*O659</f>
        <v/>
      </c>
      <c r="P660">
        <f>$C660*P659</f>
        <v/>
      </c>
      <c r="Q660">
        <f>$C660*Q659</f>
        <v/>
      </c>
      <c r="R660">
        <f>$C660*R659</f>
        <v/>
      </c>
      <c r="S660">
        <f>$C660*S659</f>
        <v/>
      </c>
      <c r="T660">
        <f>$C660*T659</f>
        <v/>
      </c>
      <c r="U660">
        <f>$C660*U659</f>
        <v/>
      </c>
      <c r="V660">
        <f>$C660*V659</f>
        <v/>
      </c>
      <c r="W660">
        <f>$C660*W659</f>
        <v/>
      </c>
      <c r="X660">
        <f>$C660*X659</f>
        <v/>
      </c>
      <c r="Y660">
        <f>$C660*Y659</f>
        <v/>
      </c>
      <c r="Z660">
        <f>$C660*Z659</f>
        <v/>
      </c>
      <c r="AA660">
        <f>$C660*AA659</f>
        <v/>
      </c>
      <c r="AB660">
        <f>$C660*AB659</f>
        <v/>
      </c>
      <c r="AC660">
        <f>$C660*AC659</f>
        <v/>
      </c>
      <c r="AD660">
        <f>$C660*AD659</f>
        <v/>
      </c>
      <c r="AE660">
        <f>$C660*AE659</f>
        <v/>
      </c>
      <c r="AF660">
        <f>$C660*AF659</f>
        <v/>
      </c>
      <c r="AG660">
        <f>$C660*AG659</f>
        <v/>
      </c>
      <c r="AH660">
        <f>$C660*AH659</f>
        <v/>
      </c>
      <c r="AI660">
        <f>$C660*AI659</f>
        <v/>
      </c>
      <c r="AJ660">
        <f>$C660*AJ659</f>
        <v/>
      </c>
      <c r="AK660">
        <f>$C660*AK659</f>
        <v/>
      </c>
      <c r="AL660">
        <f>$C660*AL659</f>
        <v/>
      </c>
      <c r="AM660">
        <f>$C660*AM659</f>
        <v/>
      </c>
      <c r="AN660">
        <f>$C660*AN659</f>
        <v/>
      </c>
      <c r="AO660">
        <f>$C660*AO659</f>
        <v/>
      </c>
      <c r="AP660">
        <f>$C660*AP659</f>
        <v/>
      </c>
      <c r="AQ660">
        <f>$C660*AQ659</f>
        <v/>
      </c>
      <c r="AR660">
        <f>$C660*AR659</f>
        <v/>
      </c>
      <c r="AS660">
        <f>$C660*AS659</f>
        <v/>
      </c>
      <c r="AT660">
        <f>$C660*AT659</f>
        <v/>
      </c>
      <c r="AU660">
        <f>$C660*AU659</f>
        <v/>
      </c>
      <c r="AV660">
        <f>$C660*AV659</f>
        <v/>
      </c>
      <c r="AW660">
        <f>$C660*AW659</f>
        <v/>
      </c>
      <c r="AX660">
        <f>$C660*AX659</f>
        <v/>
      </c>
      <c r="AY660">
        <f>$C660*AY659</f>
        <v/>
      </c>
      <c r="AZ660">
        <f>$C660*AZ659</f>
        <v/>
      </c>
      <c r="BA660">
        <f>$C660*BA659</f>
        <v/>
      </c>
      <c r="BB660">
        <f>$C660*BB659</f>
        <v/>
      </c>
      <c r="BC660">
        <f>$C660*BC659</f>
        <v/>
      </c>
      <c r="BD660">
        <f>$C660*BD659</f>
        <v/>
      </c>
      <c r="BE660">
        <f>$C660*BE659</f>
        <v/>
      </c>
      <c r="BF660">
        <f>$C660*BF659</f>
        <v/>
      </c>
      <c r="BG660">
        <f>$C660*BG659</f>
        <v/>
      </c>
      <c r="BH660">
        <f>$C660*BH659</f>
        <v/>
      </c>
      <c r="BI660">
        <f>$C660*BI659</f>
        <v/>
      </c>
      <c r="BJ660">
        <f>$C660*BJ659</f>
        <v/>
      </c>
      <c r="BK660">
        <f>$C660*BK659</f>
        <v/>
      </c>
      <c r="BL660">
        <f>$C660*BL659</f>
        <v/>
      </c>
      <c r="BM660">
        <f>$C660*BM659</f>
        <v/>
      </c>
      <c r="BN660">
        <f>$C660*BN659</f>
        <v/>
      </c>
      <c r="BO660">
        <f>$C660*BO659</f>
        <v/>
      </c>
      <c r="BP660">
        <f>$C660*BP659</f>
        <v/>
      </c>
      <c r="BQ660">
        <f>$C660*BQ659</f>
        <v/>
      </c>
      <c r="BR660">
        <f>$C660*BR659</f>
        <v/>
      </c>
      <c r="BS660">
        <f>$C660*BS659</f>
        <v/>
      </c>
      <c r="BT660">
        <f>$C660*BT659</f>
        <v/>
      </c>
      <c r="BU660">
        <f>$C660*BU659</f>
        <v/>
      </c>
      <c r="BV660">
        <f>$C660*BV659</f>
        <v/>
      </c>
      <c r="BW660">
        <f>$C660*BW659</f>
        <v/>
      </c>
      <c r="BX660">
        <f>$C660*BX659</f>
        <v/>
      </c>
      <c r="BY660">
        <f>$C660*BY659</f>
        <v/>
      </c>
      <c r="BZ660">
        <f>$C660*BZ659</f>
        <v/>
      </c>
      <c r="CA660">
        <f>$C660*CA659</f>
        <v/>
      </c>
      <c r="CB660">
        <f>$C660*CB659</f>
        <v/>
      </c>
      <c r="CC660">
        <f>$C660*CC659</f>
        <v/>
      </c>
      <c r="CD660">
        <f>$C660*CD659</f>
        <v/>
      </c>
      <c r="CE660">
        <f>$C660*CE659</f>
        <v/>
      </c>
      <c r="CF660">
        <f>$C660*CF659</f>
        <v/>
      </c>
      <c r="CG660">
        <f>$C660*CG659</f>
        <v/>
      </c>
      <c r="CH660">
        <f>$C660*CH659</f>
        <v/>
      </c>
      <c r="CI660">
        <f>$C660*CI659</f>
        <v/>
      </c>
      <c r="CJ660">
        <f>$C660*CJ659</f>
        <v/>
      </c>
      <c r="CK660">
        <f>$C660*CK659</f>
        <v/>
      </c>
      <c r="CL660">
        <f>$C660*CL659</f>
        <v/>
      </c>
      <c r="CM660">
        <f>$C660*CM659</f>
        <v/>
      </c>
      <c r="CN660">
        <f>$C660*CN659</f>
        <v/>
      </c>
      <c r="CO660">
        <f>$C660*CO659</f>
        <v/>
      </c>
      <c r="CP660">
        <f>$C660*CP659</f>
        <v/>
      </c>
      <c r="CQ660">
        <f>$C660*CQ659</f>
        <v/>
      </c>
      <c r="CR660">
        <f>$C660*CR659</f>
        <v/>
      </c>
      <c r="CS660">
        <f>$C660*CS659</f>
        <v/>
      </c>
      <c r="CT660">
        <f>$C660*CT659</f>
        <v/>
      </c>
      <c r="CU660">
        <f>$C660*CU659</f>
        <v/>
      </c>
      <c r="CV660">
        <f>$C660*CV659</f>
        <v/>
      </c>
      <c r="CW660">
        <f>$C660*CW659</f>
        <v/>
      </c>
      <c r="CX660">
        <f>$C660*CX659</f>
        <v/>
      </c>
      <c r="CY660">
        <f>$C660*CY659</f>
        <v/>
      </c>
      <c r="CZ660">
        <f>$C660*CZ659</f>
        <v/>
      </c>
      <c r="DA660">
        <f>$C660*DA659</f>
        <v/>
      </c>
      <c r="DB660">
        <f>$C660*DB659</f>
        <v/>
      </c>
      <c r="DC660">
        <f>$C660*DC659</f>
        <v/>
      </c>
    </row>
    <row r="661">
      <c r="B661" s="5" t="inlineStr">
        <is>
          <t>合計使用量(kg)/週</t>
        </is>
      </c>
      <c r="D661">
        <f>'Grid_Requirement'!B35</f>
        <v/>
      </c>
      <c r="E661">
        <f>'Grid_Requirement'!C35</f>
        <v/>
      </c>
      <c r="F661">
        <f>'Grid_Requirement'!D35</f>
        <v/>
      </c>
      <c r="G661">
        <f>'Grid_Requirement'!E35</f>
        <v/>
      </c>
      <c r="H661">
        <f>'Grid_Requirement'!F35</f>
        <v/>
      </c>
      <c r="I661">
        <f>'Grid_Requirement'!G35</f>
        <v/>
      </c>
      <c r="J661">
        <f>'Grid_Requirement'!H35</f>
        <v/>
      </c>
      <c r="K661">
        <f>'Grid_Requirement'!I35</f>
        <v/>
      </c>
      <c r="L661">
        <f>'Grid_Requirement'!J35</f>
        <v/>
      </c>
      <c r="M661">
        <f>'Grid_Requirement'!K35</f>
        <v/>
      </c>
      <c r="N661">
        <f>'Grid_Requirement'!L35</f>
        <v/>
      </c>
      <c r="O661">
        <f>'Grid_Requirement'!M35</f>
        <v/>
      </c>
      <c r="P661">
        <f>'Grid_Requirement'!N35</f>
        <v/>
      </c>
      <c r="Q661">
        <f>'Grid_Requirement'!O35</f>
        <v/>
      </c>
      <c r="R661">
        <f>'Grid_Requirement'!P35</f>
        <v/>
      </c>
      <c r="S661">
        <f>'Grid_Requirement'!Q35</f>
        <v/>
      </c>
      <c r="T661">
        <f>'Grid_Requirement'!R35</f>
        <v/>
      </c>
      <c r="U661">
        <f>'Grid_Requirement'!S35</f>
        <v/>
      </c>
      <c r="V661">
        <f>'Grid_Requirement'!T35</f>
        <v/>
      </c>
      <c r="W661">
        <f>'Grid_Requirement'!U35</f>
        <v/>
      </c>
      <c r="X661">
        <f>'Grid_Requirement'!V35</f>
        <v/>
      </c>
      <c r="Y661">
        <f>'Grid_Requirement'!W35</f>
        <v/>
      </c>
      <c r="Z661">
        <f>'Grid_Requirement'!X35</f>
        <v/>
      </c>
      <c r="AA661">
        <f>'Grid_Requirement'!Y35</f>
        <v/>
      </c>
      <c r="AB661">
        <f>'Grid_Requirement'!Z35</f>
        <v/>
      </c>
      <c r="AC661">
        <f>'Grid_Requirement'!AA35</f>
        <v/>
      </c>
      <c r="AD661">
        <f>'Grid_Requirement'!AB35</f>
        <v/>
      </c>
      <c r="AE661">
        <f>'Grid_Requirement'!AC35</f>
        <v/>
      </c>
      <c r="AF661">
        <f>'Grid_Requirement'!AD35</f>
        <v/>
      </c>
      <c r="AG661">
        <f>'Grid_Requirement'!AE35</f>
        <v/>
      </c>
      <c r="AH661">
        <f>'Grid_Requirement'!AF35</f>
        <v/>
      </c>
      <c r="AI661">
        <f>'Grid_Requirement'!AG35</f>
        <v/>
      </c>
      <c r="AJ661">
        <f>'Grid_Requirement'!AH35</f>
        <v/>
      </c>
      <c r="AK661">
        <f>'Grid_Requirement'!AI35</f>
        <v/>
      </c>
      <c r="AL661">
        <f>'Grid_Requirement'!AJ35</f>
        <v/>
      </c>
      <c r="AM661">
        <f>'Grid_Requirement'!AK35</f>
        <v/>
      </c>
      <c r="AN661">
        <f>'Grid_Requirement'!AL35</f>
        <v/>
      </c>
      <c r="AO661">
        <f>'Grid_Requirement'!AM35</f>
        <v/>
      </c>
      <c r="AP661">
        <f>'Grid_Requirement'!AN35</f>
        <v/>
      </c>
      <c r="AQ661">
        <f>'Grid_Requirement'!AO35</f>
        <v/>
      </c>
      <c r="AR661">
        <f>'Grid_Requirement'!AP35</f>
        <v/>
      </c>
      <c r="AS661">
        <f>'Grid_Requirement'!AQ35</f>
        <v/>
      </c>
      <c r="AT661">
        <f>'Grid_Requirement'!AR35</f>
        <v/>
      </c>
      <c r="AU661">
        <f>'Grid_Requirement'!AS35</f>
        <v/>
      </c>
      <c r="AV661">
        <f>'Grid_Requirement'!AT35</f>
        <v/>
      </c>
      <c r="AW661">
        <f>'Grid_Requirement'!AU35</f>
        <v/>
      </c>
      <c r="AX661">
        <f>'Grid_Requirement'!AV35</f>
        <v/>
      </c>
      <c r="AY661">
        <f>'Grid_Requirement'!AW35</f>
        <v/>
      </c>
      <c r="AZ661">
        <f>'Grid_Requirement'!AX35</f>
        <v/>
      </c>
      <c r="BA661">
        <f>'Grid_Requirement'!AY35</f>
        <v/>
      </c>
      <c r="BB661">
        <f>'Grid_Requirement'!AZ35</f>
        <v/>
      </c>
      <c r="BC661">
        <f>'Grid_Requirement'!BA35</f>
        <v/>
      </c>
      <c r="BD661">
        <f>'Grid_Requirement'!BB35</f>
        <v/>
      </c>
      <c r="BE661">
        <f>'Grid_Requirement'!BC35</f>
        <v/>
      </c>
      <c r="BF661">
        <f>'Grid_Requirement'!BD35</f>
        <v/>
      </c>
      <c r="BG661">
        <f>'Grid_Requirement'!BE35</f>
        <v/>
      </c>
      <c r="BH661">
        <f>'Grid_Requirement'!BF35</f>
        <v/>
      </c>
      <c r="BI661">
        <f>'Grid_Requirement'!BG35</f>
        <v/>
      </c>
      <c r="BJ661">
        <f>'Grid_Requirement'!BH35</f>
        <v/>
      </c>
      <c r="BK661">
        <f>'Grid_Requirement'!BI35</f>
        <v/>
      </c>
      <c r="BL661">
        <f>'Grid_Requirement'!BJ35</f>
        <v/>
      </c>
      <c r="BM661">
        <f>'Grid_Requirement'!BK35</f>
        <v/>
      </c>
      <c r="BN661">
        <f>'Grid_Requirement'!BL35</f>
        <v/>
      </c>
      <c r="BO661">
        <f>'Grid_Requirement'!BM35</f>
        <v/>
      </c>
      <c r="BP661">
        <f>'Grid_Requirement'!BN35</f>
        <v/>
      </c>
      <c r="BQ661">
        <f>'Grid_Requirement'!BO35</f>
        <v/>
      </c>
      <c r="BR661">
        <f>'Grid_Requirement'!BP35</f>
        <v/>
      </c>
      <c r="BS661">
        <f>'Grid_Requirement'!BQ35</f>
        <v/>
      </c>
      <c r="BT661">
        <f>'Grid_Requirement'!BR35</f>
        <v/>
      </c>
      <c r="BU661">
        <f>'Grid_Requirement'!BS35</f>
        <v/>
      </c>
      <c r="BV661">
        <f>'Grid_Requirement'!BT35</f>
        <v/>
      </c>
      <c r="BW661">
        <f>'Grid_Requirement'!BU35</f>
        <v/>
      </c>
      <c r="BX661">
        <f>'Grid_Requirement'!BV35</f>
        <v/>
      </c>
      <c r="BY661">
        <f>'Grid_Requirement'!BW35</f>
        <v/>
      </c>
      <c r="BZ661">
        <f>'Grid_Requirement'!BX35</f>
        <v/>
      </c>
      <c r="CA661">
        <f>'Grid_Requirement'!BY35</f>
        <v/>
      </c>
      <c r="CB661">
        <f>'Grid_Requirement'!BZ35</f>
        <v/>
      </c>
      <c r="CC661">
        <f>'Grid_Requirement'!CA35</f>
        <v/>
      </c>
      <c r="CD661">
        <f>'Grid_Requirement'!CB35</f>
        <v/>
      </c>
      <c r="CE661">
        <f>'Grid_Requirement'!CC35</f>
        <v/>
      </c>
      <c r="CF661">
        <f>'Grid_Requirement'!CD35</f>
        <v/>
      </c>
      <c r="CG661">
        <f>'Grid_Requirement'!CE35</f>
        <v/>
      </c>
      <c r="CH661">
        <f>'Grid_Requirement'!CF35</f>
        <v/>
      </c>
      <c r="CI661">
        <f>'Grid_Requirement'!CG35</f>
        <v/>
      </c>
      <c r="CJ661">
        <f>'Grid_Requirement'!CH35</f>
        <v/>
      </c>
      <c r="CK661">
        <f>'Grid_Requirement'!CI35</f>
        <v/>
      </c>
      <c r="CL661">
        <f>'Grid_Requirement'!CJ35</f>
        <v/>
      </c>
      <c r="CM661">
        <f>'Grid_Requirement'!CK35</f>
        <v/>
      </c>
      <c r="CN661">
        <f>'Grid_Requirement'!CL35</f>
        <v/>
      </c>
      <c r="CO661">
        <f>'Grid_Requirement'!CM35</f>
        <v/>
      </c>
      <c r="CP661">
        <f>'Grid_Requirement'!CN35</f>
        <v/>
      </c>
      <c r="CQ661">
        <f>'Grid_Requirement'!CO35</f>
        <v/>
      </c>
      <c r="CR661">
        <f>'Grid_Requirement'!CP35</f>
        <v/>
      </c>
      <c r="CS661">
        <f>'Grid_Requirement'!CQ35</f>
        <v/>
      </c>
      <c r="CT661">
        <f>'Grid_Requirement'!CR35</f>
        <v/>
      </c>
      <c r="CU661">
        <f>'Grid_Requirement'!CS35</f>
        <v/>
      </c>
      <c r="CV661">
        <f>'Grid_Requirement'!CT35</f>
        <v/>
      </c>
      <c r="CW661">
        <f>'Grid_Requirement'!CU35</f>
        <v/>
      </c>
      <c r="CX661">
        <f>'Grid_Requirement'!CV35</f>
        <v/>
      </c>
      <c r="CY661">
        <f>'Grid_Requirement'!CW35</f>
        <v/>
      </c>
      <c r="CZ661">
        <f>'Grid_Requirement'!CX35</f>
        <v/>
      </c>
      <c r="DA661">
        <f>'Grid_Requirement'!CY35</f>
        <v/>
      </c>
      <c r="DB661">
        <f>'Grid_Requirement'!CZ35</f>
        <v/>
      </c>
      <c r="DC661">
        <f>'Grid_Requirement'!DA35</f>
        <v/>
      </c>
    </row>
    <row r="662">
      <c r="B662" t="inlineStr">
        <is>
          <t>TTAF在庫(実績,kg)</t>
        </is>
      </c>
      <c r="D662">
        <f>'T_TTAFStock'!B39</f>
        <v/>
      </c>
      <c r="E662">
        <f>'T_TTAFStock'!C39</f>
        <v/>
      </c>
      <c r="F662">
        <f>'T_TTAFStock'!D39</f>
        <v/>
      </c>
      <c r="G662">
        <f>'T_TTAFStock'!E39</f>
        <v/>
      </c>
      <c r="H662">
        <f>'T_TTAFStock'!F39</f>
        <v/>
      </c>
      <c r="I662">
        <f>'T_TTAFStock'!G39</f>
        <v/>
      </c>
      <c r="J662">
        <f>'T_TTAFStock'!H39</f>
        <v/>
      </c>
      <c r="K662">
        <f>'T_TTAFStock'!I39</f>
        <v/>
      </c>
      <c r="L662">
        <f>'T_TTAFStock'!J39</f>
        <v/>
      </c>
      <c r="M662">
        <f>'T_TTAFStock'!K39</f>
        <v/>
      </c>
      <c r="N662">
        <f>'T_TTAFStock'!L39</f>
        <v/>
      </c>
      <c r="O662">
        <f>'T_TTAFStock'!M39</f>
        <v/>
      </c>
      <c r="P662">
        <f>'T_TTAFStock'!N39</f>
        <v/>
      </c>
      <c r="Q662">
        <f>'T_TTAFStock'!O39</f>
        <v/>
      </c>
      <c r="R662">
        <f>'T_TTAFStock'!P39</f>
        <v/>
      </c>
      <c r="S662">
        <f>'T_TTAFStock'!Q39</f>
        <v/>
      </c>
      <c r="T662">
        <f>'T_TTAFStock'!R39</f>
        <v/>
      </c>
      <c r="U662">
        <f>'T_TTAFStock'!S39</f>
        <v/>
      </c>
      <c r="V662">
        <f>'T_TTAFStock'!T39</f>
        <v/>
      </c>
      <c r="W662">
        <f>'T_TTAFStock'!U39</f>
        <v/>
      </c>
      <c r="X662">
        <f>'T_TTAFStock'!V39</f>
        <v/>
      </c>
      <c r="Y662">
        <f>'T_TTAFStock'!W39</f>
        <v/>
      </c>
      <c r="Z662">
        <f>'T_TTAFStock'!X39</f>
        <v/>
      </c>
      <c r="AA662">
        <f>'T_TTAFStock'!Y39</f>
        <v/>
      </c>
      <c r="AB662">
        <f>'T_TTAFStock'!Z39</f>
        <v/>
      </c>
      <c r="AC662">
        <f>'T_TTAFStock'!AA39</f>
        <v/>
      </c>
      <c r="AD662">
        <f>'T_TTAFStock'!AB39</f>
        <v/>
      </c>
      <c r="AE662">
        <f>'T_TTAFStock'!AC39</f>
        <v/>
      </c>
      <c r="AF662">
        <f>'T_TTAFStock'!AD39</f>
        <v/>
      </c>
      <c r="AG662">
        <f>'T_TTAFStock'!AE39</f>
        <v/>
      </c>
      <c r="AH662">
        <f>'T_TTAFStock'!AF39</f>
        <v/>
      </c>
      <c r="AI662">
        <f>'T_TTAFStock'!AG39</f>
        <v/>
      </c>
      <c r="AJ662">
        <f>'T_TTAFStock'!AH39</f>
        <v/>
      </c>
      <c r="AK662">
        <f>'T_TTAFStock'!AI39</f>
        <v/>
      </c>
      <c r="AL662">
        <f>'T_TTAFStock'!AJ39</f>
        <v/>
      </c>
      <c r="AM662">
        <f>'T_TTAFStock'!AK39</f>
        <v/>
      </c>
      <c r="AN662">
        <f>'T_TTAFStock'!AL39</f>
        <v/>
      </c>
      <c r="AO662">
        <f>'T_TTAFStock'!AM39</f>
        <v/>
      </c>
      <c r="AP662">
        <f>'T_TTAFStock'!AN39</f>
        <v/>
      </c>
      <c r="AQ662">
        <f>'T_TTAFStock'!AO39</f>
        <v/>
      </c>
      <c r="AR662">
        <f>'T_TTAFStock'!AP39</f>
        <v/>
      </c>
      <c r="AS662">
        <f>'T_TTAFStock'!AQ39</f>
        <v/>
      </c>
      <c r="AT662">
        <f>'T_TTAFStock'!AR39</f>
        <v/>
      </c>
      <c r="AU662">
        <f>'T_TTAFStock'!AS39</f>
        <v/>
      </c>
      <c r="AV662">
        <f>'T_TTAFStock'!AT39</f>
        <v/>
      </c>
      <c r="AW662">
        <f>'T_TTAFStock'!AU39</f>
        <v/>
      </c>
      <c r="AX662">
        <f>'T_TTAFStock'!AV39</f>
        <v/>
      </c>
      <c r="AY662">
        <f>'T_TTAFStock'!AW39</f>
        <v/>
      </c>
      <c r="AZ662">
        <f>'T_TTAFStock'!AX39</f>
        <v/>
      </c>
      <c r="BA662">
        <f>'T_TTAFStock'!AY39</f>
        <v/>
      </c>
      <c r="BB662">
        <f>'T_TTAFStock'!AZ39</f>
        <v/>
      </c>
      <c r="BC662">
        <f>'T_TTAFStock'!BA39</f>
        <v/>
      </c>
      <c r="BD662">
        <f>'T_TTAFStock'!BB39</f>
        <v/>
      </c>
      <c r="BE662">
        <f>'T_TTAFStock'!BC39</f>
        <v/>
      </c>
      <c r="BF662">
        <f>'T_TTAFStock'!BD39</f>
        <v/>
      </c>
      <c r="BG662">
        <f>'T_TTAFStock'!BE39</f>
        <v/>
      </c>
      <c r="BH662">
        <f>'T_TTAFStock'!BF39</f>
        <v/>
      </c>
      <c r="BI662">
        <f>'T_TTAFStock'!BG39</f>
        <v/>
      </c>
      <c r="BJ662">
        <f>'T_TTAFStock'!BH39</f>
        <v/>
      </c>
      <c r="BK662">
        <f>'T_TTAFStock'!BI39</f>
        <v/>
      </c>
      <c r="BL662">
        <f>'T_TTAFStock'!BJ39</f>
        <v/>
      </c>
      <c r="BM662">
        <f>'T_TTAFStock'!BK39</f>
        <v/>
      </c>
      <c r="BN662">
        <f>'T_TTAFStock'!BL39</f>
        <v/>
      </c>
      <c r="BO662">
        <f>'T_TTAFStock'!BM39</f>
        <v/>
      </c>
      <c r="BP662">
        <f>'T_TTAFStock'!BN39</f>
        <v/>
      </c>
      <c r="BQ662">
        <f>'T_TTAFStock'!BO39</f>
        <v/>
      </c>
      <c r="BR662">
        <f>'T_TTAFStock'!BP39</f>
        <v/>
      </c>
      <c r="BS662">
        <f>'T_TTAFStock'!BQ39</f>
        <v/>
      </c>
      <c r="BT662">
        <f>'T_TTAFStock'!BR39</f>
        <v/>
      </c>
      <c r="BU662">
        <f>'T_TTAFStock'!BS39</f>
        <v/>
      </c>
      <c r="BV662">
        <f>'T_TTAFStock'!BT39</f>
        <v/>
      </c>
      <c r="BW662">
        <f>'T_TTAFStock'!BU39</f>
        <v/>
      </c>
      <c r="BX662">
        <f>'T_TTAFStock'!BV39</f>
        <v/>
      </c>
      <c r="BY662">
        <f>'T_TTAFStock'!BW39</f>
        <v/>
      </c>
      <c r="BZ662">
        <f>'T_TTAFStock'!BX39</f>
        <v/>
      </c>
      <c r="CA662">
        <f>'T_TTAFStock'!BY39</f>
        <v/>
      </c>
      <c r="CB662">
        <f>'T_TTAFStock'!BZ39</f>
        <v/>
      </c>
      <c r="CC662">
        <f>'T_TTAFStock'!CA39</f>
        <v/>
      </c>
      <c r="CD662">
        <f>'T_TTAFStock'!CB39</f>
        <v/>
      </c>
      <c r="CE662">
        <f>'T_TTAFStock'!CC39</f>
        <v/>
      </c>
      <c r="CF662">
        <f>'T_TTAFStock'!CD39</f>
        <v/>
      </c>
      <c r="CG662">
        <f>'T_TTAFStock'!CE39</f>
        <v/>
      </c>
      <c r="CH662">
        <f>'T_TTAFStock'!CF39</f>
        <v/>
      </c>
      <c r="CI662">
        <f>'T_TTAFStock'!CG39</f>
        <v/>
      </c>
      <c r="CJ662">
        <f>'T_TTAFStock'!CH39</f>
        <v/>
      </c>
      <c r="CK662">
        <f>'T_TTAFStock'!CI39</f>
        <v/>
      </c>
      <c r="CL662">
        <f>'T_TTAFStock'!CJ39</f>
        <v/>
      </c>
      <c r="CM662">
        <f>'T_TTAFStock'!CK39</f>
        <v/>
      </c>
      <c r="CN662">
        <f>'T_TTAFStock'!CL39</f>
        <v/>
      </c>
      <c r="CO662">
        <f>'T_TTAFStock'!CM39</f>
        <v/>
      </c>
      <c r="CP662">
        <f>'T_TTAFStock'!CN39</f>
        <v/>
      </c>
      <c r="CQ662">
        <f>'T_TTAFStock'!CO39</f>
        <v/>
      </c>
      <c r="CR662">
        <f>'T_TTAFStock'!CP39</f>
        <v/>
      </c>
      <c r="CS662">
        <f>'T_TTAFStock'!CQ39</f>
        <v/>
      </c>
      <c r="CT662">
        <f>'T_TTAFStock'!CR39</f>
        <v/>
      </c>
      <c r="CU662">
        <f>'T_TTAFStock'!CS39</f>
        <v/>
      </c>
      <c r="CV662">
        <f>'T_TTAFStock'!CT39</f>
        <v/>
      </c>
      <c r="CW662">
        <f>'T_TTAFStock'!CU39</f>
        <v/>
      </c>
      <c r="CX662">
        <f>'T_TTAFStock'!CV39</f>
        <v/>
      </c>
      <c r="CY662">
        <f>'T_TTAFStock'!CW39</f>
        <v/>
      </c>
      <c r="CZ662">
        <f>'T_TTAFStock'!CX39</f>
        <v/>
      </c>
      <c r="DA662">
        <f>'T_TTAFStock'!CY39</f>
        <v/>
      </c>
      <c r="DB662">
        <f>'T_TTAFStock'!CZ39</f>
        <v/>
      </c>
      <c r="DC662">
        <f>'T_TTAFStock'!DA39</f>
        <v/>
      </c>
    </row>
    <row r="663">
      <c r="B663" t="inlineStr">
        <is>
          <t>自社在庫(実績,kg)</t>
        </is>
      </c>
      <c r="D663">
        <f>'T_SelfStock'!B39</f>
        <v/>
      </c>
      <c r="E663">
        <f>'T_SelfStock'!C39</f>
        <v/>
      </c>
      <c r="F663">
        <f>'T_SelfStock'!D39</f>
        <v/>
      </c>
      <c r="G663">
        <f>'T_SelfStock'!E39</f>
        <v/>
      </c>
      <c r="H663">
        <f>'T_SelfStock'!F39</f>
        <v/>
      </c>
      <c r="I663">
        <f>'T_SelfStock'!G39</f>
        <v/>
      </c>
      <c r="J663">
        <f>'T_SelfStock'!H39</f>
        <v/>
      </c>
      <c r="K663">
        <f>'T_SelfStock'!I39</f>
        <v/>
      </c>
      <c r="L663">
        <f>'T_SelfStock'!J39</f>
        <v/>
      </c>
      <c r="M663">
        <f>'T_SelfStock'!K39</f>
        <v/>
      </c>
      <c r="N663">
        <f>'T_SelfStock'!L39</f>
        <v/>
      </c>
      <c r="O663">
        <f>'T_SelfStock'!M39</f>
        <v/>
      </c>
      <c r="P663">
        <f>'T_SelfStock'!N39</f>
        <v/>
      </c>
      <c r="Q663">
        <f>'T_SelfStock'!O39</f>
        <v/>
      </c>
      <c r="R663">
        <f>'T_SelfStock'!P39</f>
        <v/>
      </c>
      <c r="S663">
        <f>'T_SelfStock'!Q39</f>
        <v/>
      </c>
      <c r="T663">
        <f>'T_SelfStock'!R39</f>
        <v/>
      </c>
      <c r="U663">
        <f>'T_SelfStock'!S39</f>
        <v/>
      </c>
      <c r="V663">
        <f>'T_SelfStock'!T39</f>
        <v/>
      </c>
      <c r="W663">
        <f>'T_SelfStock'!U39</f>
        <v/>
      </c>
      <c r="X663">
        <f>'T_SelfStock'!V39</f>
        <v/>
      </c>
      <c r="Y663">
        <f>'T_SelfStock'!W39</f>
        <v/>
      </c>
      <c r="Z663">
        <f>'T_SelfStock'!X39</f>
        <v/>
      </c>
      <c r="AA663">
        <f>'T_SelfStock'!Y39</f>
        <v/>
      </c>
      <c r="AB663">
        <f>'T_SelfStock'!Z39</f>
        <v/>
      </c>
      <c r="AC663">
        <f>'T_SelfStock'!AA39</f>
        <v/>
      </c>
      <c r="AD663">
        <f>'T_SelfStock'!AB39</f>
        <v/>
      </c>
      <c r="AE663">
        <f>'T_SelfStock'!AC39</f>
        <v/>
      </c>
      <c r="AF663">
        <f>'T_SelfStock'!AD39</f>
        <v/>
      </c>
      <c r="AG663">
        <f>'T_SelfStock'!AE39</f>
        <v/>
      </c>
      <c r="AH663">
        <f>'T_SelfStock'!AF39</f>
        <v/>
      </c>
      <c r="AI663">
        <f>'T_SelfStock'!AG39</f>
        <v/>
      </c>
      <c r="AJ663">
        <f>'T_SelfStock'!AH39</f>
        <v/>
      </c>
      <c r="AK663">
        <f>'T_SelfStock'!AI39</f>
        <v/>
      </c>
      <c r="AL663">
        <f>'T_SelfStock'!AJ39</f>
        <v/>
      </c>
      <c r="AM663">
        <f>'T_SelfStock'!AK39</f>
        <v/>
      </c>
      <c r="AN663">
        <f>'T_SelfStock'!AL39</f>
        <v/>
      </c>
      <c r="AO663">
        <f>'T_SelfStock'!AM39</f>
        <v/>
      </c>
      <c r="AP663">
        <f>'T_SelfStock'!AN39</f>
        <v/>
      </c>
      <c r="AQ663">
        <f>'T_SelfStock'!AO39</f>
        <v/>
      </c>
      <c r="AR663">
        <f>'T_SelfStock'!AP39</f>
        <v/>
      </c>
      <c r="AS663">
        <f>'T_SelfStock'!AQ39</f>
        <v/>
      </c>
      <c r="AT663">
        <f>'T_SelfStock'!AR39</f>
        <v/>
      </c>
      <c r="AU663">
        <f>'T_SelfStock'!AS39</f>
        <v/>
      </c>
      <c r="AV663">
        <f>'T_SelfStock'!AT39</f>
        <v/>
      </c>
      <c r="AW663">
        <f>'T_SelfStock'!AU39</f>
        <v/>
      </c>
      <c r="AX663">
        <f>'T_SelfStock'!AV39</f>
        <v/>
      </c>
      <c r="AY663">
        <f>'T_SelfStock'!AW39</f>
        <v/>
      </c>
      <c r="AZ663">
        <f>'T_SelfStock'!AX39</f>
        <v/>
      </c>
      <c r="BA663">
        <f>'T_SelfStock'!AY39</f>
        <v/>
      </c>
      <c r="BB663">
        <f>'T_SelfStock'!AZ39</f>
        <v/>
      </c>
      <c r="BC663">
        <f>'T_SelfStock'!BA39</f>
        <v/>
      </c>
      <c r="BD663">
        <f>'T_SelfStock'!BB39</f>
        <v/>
      </c>
      <c r="BE663">
        <f>'T_SelfStock'!BC39</f>
        <v/>
      </c>
      <c r="BF663">
        <f>'T_SelfStock'!BD39</f>
        <v/>
      </c>
      <c r="BG663">
        <f>'T_SelfStock'!BE39</f>
        <v/>
      </c>
      <c r="BH663">
        <f>'T_SelfStock'!BF39</f>
        <v/>
      </c>
      <c r="BI663">
        <f>'T_SelfStock'!BG39</f>
        <v/>
      </c>
      <c r="BJ663">
        <f>'T_SelfStock'!BH39</f>
        <v/>
      </c>
      <c r="BK663">
        <f>'T_SelfStock'!BI39</f>
        <v/>
      </c>
      <c r="BL663">
        <f>'T_SelfStock'!BJ39</f>
        <v/>
      </c>
      <c r="BM663">
        <f>'T_SelfStock'!BK39</f>
        <v/>
      </c>
      <c r="BN663">
        <f>'T_SelfStock'!BL39</f>
        <v/>
      </c>
      <c r="BO663">
        <f>'T_SelfStock'!BM39</f>
        <v/>
      </c>
      <c r="BP663">
        <f>'T_SelfStock'!BN39</f>
        <v/>
      </c>
      <c r="BQ663">
        <f>'T_SelfStock'!BO39</f>
        <v/>
      </c>
      <c r="BR663">
        <f>'T_SelfStock'!BP39</f>
        <v/>
      </c>
      <c r="BS663">
        <f>'T_SelfStock'!BQ39</f>
        <v/>
      </c>
      <c r="BT663">
        <f>'T_SelfStock'!BR39</f>
        <v/>
      </c>
      <c r="BU663">
        <f>'T_SelfStock'!BS39</f>
        <v/>
      </c>
      <c r="BV663">
        <f>'T_SelfStock'!BT39</f>
        <v/>
      </c>
      <c r="BW663">
        <f>'T_SelfStock'!BU39</f>
        <v/>
      </c>
      <c r="BX663">
        <f>'T_SelfStock'!BV39</f>
        <v/>
      </c>
      <c r="BY663">
        <f>'T_SelfStock'!BW39</f>
        <v/>
      </c>
      <c r="BZ663">
        <f>'T_SelfStock'!BX39</f>
        <v/>
      </c>
      <c r="CA663">
        <f>'T_SelfStock'!BY39</f>
        <v/>
      </c>
      <c r="CB663">
        <f>'T_SelfStock'!BZ39</f>
        <v/>
      </c>
      <c r="CC663">
        <f>'T_SelfStock'!CA39</f>
        <v/>
      </c>
      <c r="CD663">
        <f>'T_SelfStock'!CB39</f>
        <v/>
      </c>
      <c r="CE663">
        <f>'T_SelfStock'!CC39</f>
        <v/>
      </c>
      <c r="CF663">
        <f>'T_SelfStock'!CD39</f>
        <v/>
      </c>
      <c r="CG663">
        <f>'T_SelfStock'!CE39</f>
        <v/>
      </c>
      <c r="CH663">
        <f>'T_SelfStock'!CF39</f>
        <v/>
      </c>
      <c r="CI663">
        <f>'T_SelfStock'!CG39</f>
        <v/>
      </c>
      <c r="CJ663">
        <f>'T_SelfStock'!CH39</f>
        <v/>
      </c>
      <c r="CK663">
        <f>'T_SelfStock'!CI39</f>
        <v/>
      </c>
      <c r="CL663">
        <f>'T_SelfStock'!CJ39</f>
        <v/>
      </c>
      <c r="CM663">
        <f>'T_SelfStock'!CK39</f>
        <v/>
      </c>
      <c r="CN663">
        <f>'T_SelfStock'!CL39</f>
        <v/>
      </c>
      <c r="CO663">
        <f>'T_SelfStock'!CM39</f>
        <v/>
      </c>
      <c r="CP663">
        <f>'T_SelfStock'!CN39</f>
        <v/>
      </c>
      <c r="CQ663">
        <f>'T_SelfStock'!CO39</f>
        <v/>
      </c>
      <c r="CR663">
        <f>'T_SelfStock'!CP39</f>
        <v/>
      </c>
      <c r="CS663">
        <f>'T_SelfStock'!CQ39</f>
        <v/>
      </c>
      <c r="CT663">
        <f>'T_SelfStock'!CR39</f>
        <v/>
      </c>
      <c r="CU663">
        <f>'T_SelfStock'!CS39</f>
        <v/>
      </c>
      <c r="CV663">
        <f>'T_SelfStock'!CT39</f>
        <v/>
      </c>
      <c r="CW663">
        <f>'T_SelfStock'!CU39</f>
        <v/>
      </c>
      <c r="CX663">
        <f>'T_SelfStock'!CV39</f>
        <v/>
      </c>
      <c r="CY663">
        <f>'T_SelfStock'!CW39</f>
        <v/>
      </c>
      <c r="CZ663">
        <f>'T_SelfStock'!CX39</f>
        <v/>
      </c>
      <c r="DA663">
        <f>'T_SelfStock'!CY39</f>
        <v/>
      </c>
      <c r="DB663">
        <f>'T_SelfStock'!CZ39</f>
        <v/>
      </c>
      <c r="DC663">
        <f>'T_SelfStock'!DA39</f>
        <v/>
      </c>
    </row>
    <row r="664">
      <c r="B664" t="inlineStr">
        <is>
          <t>Order(発注予定,kg)</t>
        </is>
      </c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  <c r="AA664" s="23" t="n"/>
      <c r="AB664" s="23" t="n"/>
      <c r="AC664" s="23" t="n"/>
      <c r="AD664" s="23" t="n"/>
      <c r="AE664" s="23" t="n"/>
      <c r="AF664" s="23" t="n"/>
      <c r="AG664" s="23" t="n"/>
      <c r="AH664" s="23" t="n"/>
      <c r="AI664" s="23" t="n"/>
      <c r="AJ664" s="23" t="n"/>
      <c r="AK664" s="23" t="n"/>
      <c r="AL664" s="23" t="n"/>
      <c r="AM664" s="23" t="n"/>
      <c r="AN664" s="23" t="n"/>
      <c r="AO664" s="23" t="n"/>
      <c r="AP664" s="23" t="n"/>
      <c r="AQ664" s="23" t="n"/>
      <c r="AR664" s="23" t="n"/>
      <c r="AS664" s="23" t="n"/>
      <c r="AT664" s="23" t="n"/>
      <c r="AU664" s="23" t="n"/>
      <c r="AV664" s="23" t="n"/>
      <c r="AW664" s="23" t="n"/>
      <c r="AX664" s="23" t="n"/>
      <c r="AY664" s="23" t="n"/>
      <c r="AZ664" s="23" t="n"/>
      <c r="BA664" s="23" t="n"/>
      <c r="BB664" s="23" t="n"/>
      <c r="BC664" s="23" t="n"/>
      <c r="BD664" s="23" t="n"/>
      <c r="BE664" s="23" t="n"/>
      <c r="BF664" s="23" t="n"/>
      <c r="BG664" s="23" t="n"/>
      <c r="BH664" s="23" t="n"/>
      <c r="BI664" s="23" t="n"/>
      <c r="BJ664" s="23" t="n"/>
      <c r="BK664" s="23" t="n"/>
      <c r="BL664" s="23" t="n"/>
      <c r="BM664" s="23" t="n"/>
      <c r="BN664" s="23" t="n"/>
      <c r="BO664" s="23" t="n"/>
      <c r="BP664" s="23" t="n"/>
      <c r="BQ664" s="23" t="n"/>
      <c r="BR664" s="23" t="n"/>
      <c r="BS664" s="23" t="n"/>
      <c r="BT664" s="23" t="n"/>
      <c r="BU664" s="23" t="n"/>
      <c r="BV664" s="23" t="n"/>
      <c r="BW664" s="23" t="n"/>
      <c r="BX664" s="23" t="n"/>
      <c r="BY664" s="23" t="n"/>
      <c r="BZ664" s="23" t="n"/>
      <c r="CA664" s="23" t="n"/>
      <c r="CB664" s="23" t="n"/>
      <c r="CC664" s="23" t="n"/>
      <c r="CD664" s="23" t="n"/>
      <c r="CE664" s="23" t="n"/>
      <c r="CF664" s="23" t="n"/>
      <c r="CG664" s="23" t="n"/>
      <c r="CH664" s="23" t="n"/>
      <c r="CI664" s="23" t="n"/>
      <c r="CJ664" s="23" t="n"/>
      <c r="CK664" s="23" t="n"/>
      <c r="CL664" s="23" t="n"/>
      <c r="CM664" s="23" t="n"/>
      <c r="CN664" s="23" t="n"/>
      <c r="CO664" s="23" t="n"/>
      <c r="CP664" s="23" t="n"/>
      <c r="CQ664" s="23" t="n"/>
      <c r="CR664" s="23" t="n"/>
      <c r="CS664" s="23" t="n"/>
      <c r="CT664" s="23" t="n"/>
      <c r="CU664" s="23" t="n"/>
      <c r="CV664" s="23" t="n"/>
      <c r="CW664" s="23" t="n"/>
      <c r="CX664" s="23" t="n"/>
      <c r="CY664" s="23" t="n"/>
      <c r="CZ664" s="23" t="n"/>
      <c r="DA664" s="23" t="n"/>
      <c r="DB664" s="23" t="n"/>
      <c r="DC664" s="23" t="n"/>
      <c r="DE664" s="12" t="inlineStr">
        <is>
          <t>CHEM-1660</t>
        </is>
      </c>
    </row>
    <row r="665">
      <c r="B665" s="24" t="inlineStr">
        <is>
          <t>PO_No</t>
        </is>
      </c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  <c r="AD665" s="25" t="n"/>
      <c r="AE665" s="25" t="n"/>
      <c r="AF665" s="25" t="n"/>
      <c r="AG665" s="25" t="n"/>
      <c r="AH665" s="25" t="n"/>
      <c r="AI665" s="25" t="n"/>
      <c r="AJ665" s="25" t="n"/>
      <c r="AK665" s="25" t="n"/>
      <c r="AL665" s="25" t="n"/>
      <c r="AM665" s="25" t="n"/>
      <c r="AN665" s="25" t="n"/>
      <c r="AO665" s="25" t="n"/>
      <c r="AP665" s="25" t="n"/>
      <c r="AQ665" s="25" t="n"/>
      <c r="AR665" s="25" t="n"/>
      <c r="AS665" s="25" t="n"/>
      <c r="AT665" s="25" t="n"/>
      <c r="AU665" s="25" t="n"/>
      <c r="AV665" s="25" t="n"/>
      <c r="AW665" s="25" t="n"/>
      <c r="AX665" s="25" t="n"/>
      <c r="AY665" s="25" t="n"/>
      <c r="AZ665" s="25" t="n"/>
      <c r="BA665" s="25" t="n"/>
      <c r="BB665" s="25" t="n"/>
      <c r="BC665" s="25" t="n"/>
      <c r="BD665" s="25" t="n"/>
      <c r="BE665" s="25" t="n"/>
      <c r="BF665" s="25" t="n"/>
      <c r="BG665" s="25" t="n"/>
      <c r="BH665" s="25" t="n"/>
      <c r="BI665" s="25" t="n"/>
      <c r="BJ665" s="25" t="n"/>
      <c r="BK665" s="25" t="n"/>
      <c r="BL665" s="25" t="n"/>
      <c r="BM665" s="25" t="n"/>
      <c r="BN665" s="25" t="n"/>
      <c r="BO665" s="25" t="n"/>
      <c r="BP665" s="25" t="n"/>
      <c r="BQ665" s="25" t="n"/>
      <c r="BR665" s="25" t="n"/>
      <c r="BS665" s="25" t="n"/>
      <c r="BT665" s="25" t="n"/>
      <c r="BU665" s="25" t="n"/>
      <c r="BV665" s="25" t="n"/>
      <c r="BW665" s="25" t="n"/>
      <c r="BX665" s="25" t="n"/>
      <c r="BY665" s="25" t="n"/>
      <c r="BZ665" s="25" t="n"/>
      <c r="CA665" s="25" t="n"/>
      <c r="CB665" s="25" t="n"/>
      <c r="CC665" s="25" t="n"/>
      <c r="CD665" s="25" t="n"/>
      <c r="CE665" s="25" t="n"/>
      <c r="CF665" s="25" t="n"/>
      <c r="CG665" s="25" t="n"/>
      <c r="CH665" s="25" t="n"/>
      <c r="CI665" s="25" t="n"/>
      <c r="CJ665" s="25" t="n"/>
      <c r="CK665" s="25" t="n"/>
      <c r="CL665" s="25" t="n"/>
      <c r="CM665" s="25" t="n"/>
      <c r="CN665" s="25" t="n"/>
      <c r="CO665" s="25" t="n"/>
      <c r="CP665" s="25" t="n"/>
      <c r="CQ665" s="25" t="n"/>
      <c r="CR665" s="25" t="n"/>
      <c r="CS665" s="25" t="n"/>
      <c r="CT665" s="25" t="n"/>
      <c r="CU665" s="25" t="n"/>
      <c r="CV665" s="25" t="n"/>
      <c r="CW665" s="25" t="n"/>
      <c r="CX665" s="25" t="n"/>
      <c r="CY665" s="25" t="n"/>
      <c r="CZ665" s="25" t="n"/>
      <c r="DA665" s="25" t="n"/>
      <c r="DB665" s="25" t="n"/>
      <c r="DC665" s="25" t="n"/>
    </row>
    <row r="666">
      <c r="B666" s="5" t="inlineStr">
        <is>
          <t>合計在庫(週末時点,kg)</t>
        </is>
      </c>
      <c r="D666">
        <f>'Grid_Stock'!B35</f>
        <v/>
      </c>
      <c r="E666">
        <f>'Grid_Stock'!C35</f>
        <v/>
      </c>
      <c r="F666">
        <f>'Grid_Stock'!D35</f>
        <v/>
      </c>
      <c r="G666">
        <f>'Grid_Stock'!E35</f>
        <v/>
      </c>
      <c r="H666">
        <f>'Grid_Stock'!F35</f>
        <v/>
      </c>
      <c r="I666">
        <f>'Grid_Stock'!G35</f>
        <v/>
      </c>
      <c r="J666">
        <f>'Grid_Stock'!H35</f>
        <v/>
      </c>
      <c r="K666">
        <f>'Grid_Stock'!I35</f>
        <v/>
      </c>
      <c r="L666">
        <f>'Grid_Stock'!J35</f>
        <v/>
      </c>
      <c r="M666">
        <f>'Grid_Stock'!K35</f>
        <v/>
      </c>
      <c r="N666">
        <f>'Grid_Stock'!L35</f>
        <v/>
      </c>
      <c r="O666">
        <f>'Grid_Stock'!M35</f>
        <v/>
      </c>
      <c r="P666">
        <f>'Grid_Stock'!N35</f>
        <v/>
      </c>
      <c r="Q666">
        <f>'Grid_Stock'!O35</f>
        <v/>
      </c>
      <c r="R666">
        <f>'Grid_Stock'!P35</f>
        <v/>
      </c>
      <c r="S666">
        <f>'Grid_Stock'!Q35</f>
        <v/>
      </c>
      <c r="T666">
        <f>'Grid_Stock'!R35</f>
        <v/>
      </c>
      <c r="U666">
        <f>'Grid_Stock'!S35</f>
        <v/>
      </c>
      <c r="V666">
        <f>'Grid_Stock'!T35</f>
        <v/>
      </c>
      <c r="W666">
        <f>'Grid_Stock'!U35</f>
        <v/>
      </c>
      <c r="X666">
        <f>'Grid_Stock'!V35</f>
        <v/>
      </c>
      <c r="Y666">
        <f>'Grid_Stock'!W35</f>
        <v/>
      </c>
      <c r="Z666">
        <f>'Grid_Stock'!X35</f>
        <v/>
      </c>
      <c r="AA666">
        <f>'Grid_Stock'!Y35</f>
        <v/>
      </c>
      <c r="AB666">
        <f>'Grid_Stock'!Z35</f>
        <v/>
      </c>
      <c r="AC666">
        <f>'Grid_Stock'!AA35</f>
        <v/>
      </c>
      <c r="AD666">
        <f>'Grid_Stock'!AB35</f>
        <v/>
      </c>
      <c r="AE666">
        <f>'Grid_Stock'!AC35</f>
        <v/>
      </c>
      <c r="AF666">
        <f>'Grid_Stock'!AD35</f>
        <v/>
      </c>
      <c r="AG666">
        <f>'Grid_Stock'!AE35</f>
        <v/>
      </c>
      <c r="AH666">
        <f>'Grid_Stock'!AF35</f>
        <v/>
      </c>
      <c r="AI666">
        <f>'Grid_Stock'!AG35</f>
        <v/>
      </c>
      <c r="AJ666">
        <f>'Grid_Stock'!AH35</f>
        <v/>
      </c>
      <c r="AK666">
        <f>'Grid_Stock'!AI35</f>
        <v/>
      </c>
      <c r="AL666">
        <f>'Grid_Stock'!AJ35</f>
        <v/>
      </c>
      <c r="AM666">
        <f>'Grid_Stock'!AK35</f>
        <v/>
      </c>
      <c r="AN666">
        <f>'Grid_Stock'!AL35</f>
        <v/>
      </c>
      <c r="AO666">
        <f>'Grid_Stock'!AM35</f>
        <v/>
      </c>
      <c r="AP666">
        <f>'Grid_Stock'!AN35</f>
        <v/>
      </c>
      <c r="AQ666">
        <f>'Grid_Stock'!AO35</f>
        <v/>
      </c>
      <c r="AR666">
        <f>'Grid_Stock'!AP35</f>
        <v/>
      </c>
      <c r="AS666">
        <f>'Grid_Stock'!AQ35</f>
        <v/>
      </c>
      <c r="AT666">
        <f>'Grid_Stock'!AR35</f>
        <v/>
      </c>
      <c r="AU666">
        <f>'Grid_Stock'!AS35</f>
        <v/>
      </c>
      <c r="AV666">
        <f>'Grid_Stock'!AT35</f>
        <v/>
      </c>
      <c r="AW666">
        <f>'Grid_Stock'!AU35</f>
        <v/>
      </c>
      <c r="AX666">
        <f>'Grid_Stock'!AV35</f>
        <v/>
      </c>
      <c r="AY666">
        <f>'Grid_Stock'!AW35</f>
        <v/>
      </c>
      <c r="AZ666">
        <f>'Grid_Stock'!AX35</f>
        <v/>
      </c>
      <c r="BA666">
        <f>'Grid_Stock'!AY35</f>
        <v/>
      </c>
      <c r="BB666">
        <f>'Grid_Stock'!AZ35</f>
        <v/>
      </c>
      <c r="BC666">
        <f>'Grid_Stock'!BA35</f>
        <v/>
      </c>
      <c r="BD666">
        <f>'Grid_Stock'!BB35</f>
        <v/>
      </c>
      <c r="BE666">
        <f>'Grid_Stock'!BC35</f>
        <v/>
      </c>
      <c r="BF666">
        <f>'Grid_Stock'!BD35</f>
        <v/>
      </c>
      <c r="BG666">
        <f>'Grid_Stock'!BE35</f>
        <v/>
      </c>
      <c r="BH666">
        <f>'Grid_Stock'!BF35</f>
        <v/>
      </c>
      <c r="BI666">
        <f>'Grid_Stock'!BG35</f>
        <v/>
      </c>
      <c r="BJ666">
        <f>'Grid_Stock'!BH35</f>
        <v/>
      </c>
      <c r="BK666">
        <f>'Grid_Stock'!BI35</f>
        <v/>
      </c>
      <c r="BL666">
        <f>'Grid_Stock'!BJ35</f>
        <v/>
      </c>
      <c r="BM666">
        <f>'Grid_Stock'!BK35</f>
        <v/>
      </c>
      <c r="BN666">
        <f>'Grid_Stock'!BL35</f>
        <v/>
      </c>
      <c r="BO666">
        <f>'Grid_Stock'!BM35</f>
        <v/>
      </c>
      <c r="BP666">
        <f>'Grid_Stock'!BN35</f>
        <v/>
      </c>
      <c r="BQ666">
        <f>'Grid_Stock'!BO35</f>
        <v/>
      </c>
      <c r="BR666">
        <f>'Grid_Stock'!BP35</f>
        <v/>
      </c>
      <c r="BS666">
        <f>'Grid_Stock'!BQ35</f>
        <v/>
      </c>
      <c r="BT666">
        <f>'Grid_Stock'!BR35</f>
        <v/>
      </c>
      <c r="BU666">
        <f>'Grid_Stock'!BS35</f>
        <v/>
      </c>
      <c r="BV666">
        <f>'Grid_Stock'!BT35</f>
        <v/>
      </c>
      <c r="BW666">
        <f>'Grid_Stock'!BU35</f>
        <v/>
      </c>
      <c r="BX666">
        <f>'Grid_Stock'!BV35</f>
        <v/>
      </c>
      <c r="BY666">
        <f>'Grid_Stock'!BW35</f>
        <v/>
      </c>
      <c r="BZ666">
        <f>'Grid_Stock'!BX35</f>
        <v/>
      </c>
      <c r="CA666">
        <f>'Grid_Stock'!BY35</f>
        <v/>
      </c>
      <c r="CB666">
        <f>'Grid_Stock'!BZ35</f>
        <v/>
      </c>
      <c r="CC666">
        <f>'Grid_Stock'!CA35</f>
        <v/>
      </c>
      <c r="CD666">
        <f>'Grid_Stock'!CB35</f>
        <v/>
      </c>
      <c r="CE666">
        <f>'Grid_Stock'!CC35</f>
        <v/>
      </c>
      <c r="CF666">
        <f>'Grid_Stock'!CD35</f>
        <v/>
      </c>
      <c r="CG666">
        <f>'Grid_Stock'!CE35</f>
        <v/>
      </c>
      <c r="CH666">
        <f>'Grid_Stock'!CF35</f>
        <v/>
      </c>
      <c r="CI666">
        <f>'Grid_Stock'!CG35</f>
        <v/>
      </c>
      <c r="CJ666">
        <f>'Grid_Stock'!CH35</f>
        <v/>
      </c>
      <c r="CK666">
        <f>'Grid_Stock'!CI35</f>
        <v/>
      </c>
      <c r="CL666">
        <f>'Grid_Stock'!CJ35</f>
        <v/>
      </c>
      <c r="CM666">
        <f>'Grid_Stock'!CK35</f>
        <v/>
      </c>
      <c r="CN666">
        <f>'Grid_Stock'!CL35</f>
        <v/>
      </c>
      <c r="CO666">
        <f>'Grid_Stock'!CM35</f>
        <v/>
      </c>
      <c r="CP666">
        <f>'Grid_Stock'!CN35</f>
        <v/>
      </c>
      <c r="CQ666">
        <f>'Grid_Stock'!CO35</f>
        <v/>
      </c>
      <c r="CR666">
        <f>'Grid_Stock'!CP35</f>
        <v/>
      </c>
      <c r="CS666">
        <f>'Grid_Stock'!CQ35</f>
        <v/>
      </c>
      <c r="CT666">
        <f>'Grid_Stock'!CR35</f>
        <v/>
      </c>
      <c r="CU666">
        <f>'Grid_Stock'!CS35</f>
        <v/>
      </c>
      <c r="CV666">
        <f>'Grid_Stock'!CT35</f>
        <v/>
      </c>
      <c r="CW666">
        <f>'Grid_Stock'!CU35</f>
        <v/>
      </c>
      <c r="CX666">
        <f>'Grid_Stock'!CV35</f>
        <v/>
      </c>
      <c r="CY666">
        <f>'Grid_Stock'!CW35</f>
        <v/>
      </c>
      <c r="CZ666">
        <f>'Grid_Stock'!CX35</f>
        <v/>
      </c>
      <c r="DA666">
        <f>'Grid_Stock'!CY35</f>
        <v/>
      </c>
      <c r="DB666">
        <f>'Grid_Stock'!CZ35</f>
        <v/>
      </c>
      <c r="DC666">
        <f>'Grid_Stock'!DA35</f>
        <v/>
      </c>
    </row>
    <row r="667">
      <c r="B667" s="26" t="inlineStr">
        <is>
          <t>（発注の目安はDashboardの基準在庫[下限/上限]と色分けを参照）</t>
        </is>
      </c>
    </row>
    <row r="669">
      <c r="A669" s="21" t="inlineStr">
        <is>
          <t>CHEM-1420</t>
        </is>
      </c>
      <c r="B669" s="21" t="inlineStr">
        <is>
          <t>HEC SE900</t>
        </is>
      </c>
      <c r="C669" s="22" t="n"/>
      <c r="D669" s="21" t="n"/>
      <c r="E669" s="21" t="n"/>
      <c r="F669" s="21" t="n"/>
      <c r="G669" s="21" t="n"/>
      <c r="H669" s="21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  <c r="AA669" s="21" t="n"/>
      <c r="AB669" s="21" t="n"/>
      <c r="AC669" s="21" t="n"/>
      <c r="AD669" s="21" t="n"/>
      <c r="AE669" s="21" t="n"/>
      <c r="AF669" s="21" t="n"/>
      <c r="AG669" s="21" t="n"/>
      <c r="AH669" s="21" t="n"/>
      <c r="AI669" s="21" t="n"/>
      <c r="AJ669" s="21" t="n"/>
      <c r="AK669" s="21" t="n"/>
      <c r="AL669" s="21" t="n"/>
      <c r="AM669" s="21" t="n"/>
      <c r="AN669" s="21" t="n"/>
      <c r="AO669" s="21" t="n"/>
      <c r="AP669" s="21" t="n"/>
      <c r="AQ669" s="21" t="n"/>
      <c r="AR669" s="21" t="n"/>
      <c r="AS669" s="21" t="n"/>
      <c r="AT669" s="21" t="n"/>
      <c r="AU669" s="21" t="n"/>
      <c r="AV669" s="21" t="n"/>
      <c r="AW669" s="21" t="n"/>
      <c r="AX669" s="21" t="n"/>
      <c r="AY669" s="21" t="n"/>
      <c r="AZ669" s="21" t="n"/>
      <c r="BA669" s="21" t="n"/>
      <c r="BB669" s="21" t="n"/>
      <c r="BC669" s="21" t="n"/>
      <c r="BD669" s="21" t="n"/>
      <c r="BE669" s="21" t="n"/>
      <c r="BF669" s="21" t="n"/>
      <c r="BG669" s="21" t="n"/>
      <c r="BH669" s="21" t="n"/>
      <c r="BI669" s="21" t="n"/>
      <c r="BJ669" s="21" t="n"/>
      <c r="BK669" s="21" t="n"/>
      <c r="BL669" s="21" t="n"/>
      <c r="BM669" s="21" t="n"/>
      <c r="BN669" s="21" t="n"/>
      <c r="BO669" s="21" t="n"/>
      <c r="BP669" s="21" t="n"/>
      <c r="BQ669" s="21" t="n"/>
      <c r="BR669" s="21" t="n"/>
      <c r="BS669" s="21" t="n"/>
      <c r="BT669" s="21" t="n"/>
      <c r="BU669" s="21" t="n"/>
      <c r="BV669" s="21" t="n"/>
      <c r="BW669" s="21" t="n"/>
      <c r="BX669" s="21" t="n"/>
      <c r="BY669" s="21" t="n"/>
      <c r="BZ669" s="21" t="n"/>
      <c r="CA669" s="21" t="n"/>
      <c r="CB669" s="21" t="n"/>
      <c r="CC669" s="21" t="n"/>
      <c r="CD669" s="21" t="n"/>
      <c r="CE669" s="21" t="n"/>
      <c r="CF669" s="21" t="n"/>
      <c r="CG669" s="21" t="n"/>
      <c r="CH669" s="21" t="n"/>
      <c r="CI669" s="21" t="n"/>
      <c r="CJ669" s="21" t="n"/>
      <c r="CK669" s="21" t="n"/>
      <c r="CL669" s="21" t="n"/>
      <c r="CM669" s="21" t="n"/>
      <c r="CN669" s="21" t="n"/>
      <c r="CO669" s="21" t="n"/>
      <c r="CP669" s="21" t="n"/>
      <c r="CQ669" s="21" t="n"/>
      <c r="CR669" s="21" t="n"/>
      <c r="CS669" s="21" t="n"/>
      <c r="CT669" s="21" t="n"/>
      <c r="CU669" s="21" t="n"/>
      <c r="CV669" s="21" t="n"/>
      <c r="CW669" s="21" t="n"/>
      <c r="CX669" s="21" t="n"/>
      <c r="CY669" s="21" t="n"/>
      <c r="CZ669" s="21" t="n"/>
      <c r="DA669" s="21" t="n"/>
      <c r="DB669" s="21" t="n"/>
      <c r="DC669" s="21" t="n"/>
    </row>
    <row r="670">
      <c r="B670" t="inlineStr">
        <is>
          <t>TSP-049</t>
        </is>
      </c>
      <c r="C670" t="inlineStr">
        <is>
          <t>No. of batches</t>
        </is>
      </c>
      <c r="D670">
        <f>IFERROR(INDEX(PP_Grid[#Data],$DD670,2),0)</f>
        <v/>
      </c>
      <c r="E670">
        <f>IFERROR(INDEX(PP_Grid[#Data],$DD670,3),0)</f>
        <v/>
      </c>
      <c r="F670">
        <f>IFERROR(INDEX(PP_Grid[#Data],$DD670,4),0)</f>
        <v/>
      </c>
      <c r="G670">
        <f>IFERROR(INDEX(PP_Grid[#Data],$DD670,5),0)</f>
        <v/>
      </c>
      <c r="H670">
        <f>IFERROR(INDEX(PP_Grid[#Data],$DD670,6),0)</f>
        <v/>
      </c>
      <c r="I670">
        <f>IFERROR(INDEX(PP_Grid[#Data],$DD670,7),0)</f>
        <v/>
      </c>
      <c r="J670">
        <f>IFERROR(INDEX(PP_Grid[#Data],$DD670,8),0)</f>
        <v/>
      </c>
      <c r="K670">
        <f>IFERROR(INDEX(PP_Grid[#Data],$DD670,9),0)</f>
        <v/>
      </c>
      <c r="L670">
        <f>IFERROR(INDEX(PP_Grid[#Data],$DD670,10),0)</f>
        <v/>
      </c>
      <c r="M670">
        <f>IFERROR(INDEX(PP_Grid[#Data],$DD670,11),0)</f>
        <v/>
      </c>
      <c r="N670">
        <f>IFERROR(INDEX(PP_Grid[#Data],$DD670,12),0)</f>
        <v/>
      </c>
      <c r="O670">
        <f>IFERROR(INDEX(PP_Grid[#Data],$DD670,13),0)</f>
        <v/>
      </c>
      <c r="P670">
        <f>IFERROR(INDEX(PP_Grid[#Data],$DD670,14),0)</f>
        <v/>
      </c>
      <c r="Q670">
        <f>IFERROR(INDEX(PP_Grid[#Data],$DD670,15),0)</f>
        <v/>
      </c>
      <c r="R670">
        <f>IFERROR(INDEX(PP_Grid[#Data],$DD670,16),0)</f>
        <v/>
      </c>
      <c r="S670">
        <f>IFERROR(INDEX(PP_Grid[#Data],$DD670,17),0)</f>
        <v/>
      </c>
      <c r="T670">
        <f>IFERROR(INDEX(PP_Grid[#Data],$DD670,18),0)</f>
        <v/>
      </c>
      <c r="U670">
        <f>IFERROR(INDEX(PP_Grid[#Data],$DD670,19),0)</f>
        <v/>
      </c>
      <c r="V670">
        <f>IFERROR(INDEX(PP_Grid[#Data],$DD670,20),0)</f>
        <v/>
      </c>
      <c r="W670">
        <f>IFERROR(INDEX(PP_Grid[#Data],$DD670,21),0)</f>
        <v/>
      </c>
      <c r="X670">
        <f>IFERROR(INDEX(PP_Grid[#Data],$DD670,22),0)</f>
        <v/>
      </c>
      <c r="Y670">
        <f>IFERROR(INDEX(PP_Grid[#Data],$DD670,23),0)</f>
        <v/>
      </c>
      <c r="Z670">
        <f>IFERROR(INDEX(PP_Grid[#Data],$DD670,24),0)</f>
        <v/>
      </c>
      <c r="AA670">
        <f>IFERROR(INDEX(PP_Grid[#Data],$DD670,25),0)</f>
        <v/>
      </c>
      <c r="AB670">
        <f>IFERROR(INDEX(PP_Grid[#Data],$DD670,26),0)</f>
        <v/>
      </c>
      <c r="AC670">
        <f>IFERROR(INDEX(PP_Grid[#Data],$DD670,27),0)</f>
        <v/>
      </c>
      <c r="AD670">
        <f>IFERROR(INDEX(PP_Grid[#Data],$DD670,28),0)</f>
        <v/>
      </c>
      <c r="AE670">
        <f>IFERROR(INDEX(PP_Grid[#Data],$DD670,29),0)</f>
        <v/>
      </c>
      <c r="AF670">
        <f>IFERROR(INDEX(PP_Grid[#Data],$DD670,30),0)</f>
        <v/>
      </c>
      <c r="AG670">
        <f>IFERROR(INDEX(PP_Grid[#Data],$DD670,31),0)</f>
        <v/>
      </c>
      <c r="AH670">
        <f>IFERROR(INDEX(PP_Grid[#Data],$DD670,32),0)</f>
        <v/>
      </c>
      <c r="AI670">
        <f>IFERROR(INDEX(PP_Grid[#Data],$DD670,33),0)</f>
        <v/>
      </c>
      <c r="AJ670">
        <f>IFERROR(INDEX(PP_Grid[#Data],$DD670,34),0)</f>
        <v/>
      </c>
      <c r="AK670">
        <f>IFERROR(INDEX(PP_Grid[#Data],$DD670,35),0)</f>
        <v/>
      </c>
      <c r="AL670">
        <f>IFERROR(INDEX(PP_Grid[#Data],$DD670,36),0)</f>
        <v/>
      </c>
      <c r="AM670">
        <f>IFERROR(INDEX(PP_Grid[#Data],$DD670,37),0)</f>
        <v/>
      </c>
      <c r="AN670">
        <f>IFERROR(INDEX(PP_Grid[#Data],$DD670,38),0)</f>
        <v/>
      </c>
      <c r="AO670">
        <f>IFERROR(INDEX(PP_Grid[#Data],$DD670,39),0)</f>
        <v/>
      </c>
      <c r="AP670">
        <f>IFERROR(INDEX(PP_Grid[#Data],$DD670,40),0)</f>
        <v/>
      </c>
      <c r="AQ670">
        <f>IFERROR(INDEX(PP_Grid[#Data],$DD670,41),0)</f>
        <v/>
      </c>
      <c r="AR670">
        <f>IFERROR(INDEX(PP_Grid[#Data],$DD670,42),0)</f>
        <v/>
      </c>
      <c r="AS670">
        <f>IFERROR(INDEX(PP_Grid[#Data],$DD670,43),0)</f>
        <v/>
      </c>
      <c r="AT670">
        <f>IFERROR(INDEX(PP_Grid[#Data],$DD670,44),0)</f>
        <v/>
      </c>
      <c r="AU670">
        <f>IFERROR(INDEX(PP_Grid[#Data],$DD670,45),0)</f>
        <v/>
      </c>
      <c r="AV670">
        <f>IFERROR(INDEX(PP_Grid[#Data],$DD670,46),0)</f>
        <v/>
      </c>
      <c r="AW670">
        <f>IFERROR(INDEX(PP_Grid[#Data],$DD670,47),0)</f>
        <v/>
      </c>
      <c r="AX670">
        <f>IFERROR(INDEX(PP_Grid[#Data],$DD670,48),0)</f>
        <v/>
      </c>
      <c r="AY670">
        <f>IFERROR(INDEX(PP_Grid[#Data],$DD670,49),0)</f>
        <v/>
      </c>
      <c r="AZ670">
        <f>IFERROR(INDEX(PP_Grid[#Data],$DD670,50),0)</f>
        <v/>
      </c>
      <c r="BA670">
        <f>IFERROR(INDEX(PP_Grid[#Data],$DD670,51),0)</f>
        <v/>
      </c>
      <c r="BB670">
        <f>IFERROR(INDEX(PP_Grid[#Data],$DD670,52),0)</f>
        <v/>
      </c>
      <c r="BC670">
        <f>IFERROR(INDEX(PP_Grid[#Data],$DD670,53),0)</f>
        <v/>
      </c>
      <c r="BD670">
        <f>IFERROR(INDEX(PP_Grid[#Data],$DD670,54),0)</f>
        <v/>
      </c>
      <c r="BE670">
        <f>IFERROR(INDEX(PP_Grid[#Data],$DD670,55),0)</f>
        <v/>
      </c>
      <c r="BF670">
        <f>IFERROR(INDEX(PP_Grid[#Data],$DD670,56),0)</f>
        <v/>
      </c>
      <c r="BG670">
        <f>IFERROR(INDEX(PP_Grid[#Data],$DD670,57),0)</f>
        <v/>
      </c>
      <c r="BH670">
        <f>IFERROR(INDEX(PP_Grid[#Data],$DD670,58),0)</f>
        <v/>
      </c>
      <c r="BI670">
        <f>IFERROR(INDEX(PP_Grid[#Data],$DD670,59),0)</f>
        <v/>
      </c>
      <c r="BJ670">
        <f>IFERROR(INDEX(PP_Grid[#Data],$DD670,60),0)</f>
        <v/>
      </c>
      <c r="BK670">
        <f>IFERROR(INDEX(PP_Grid[#Data],$DD670,61),0)</f>
        <v/>
      </c>
      <c r="BL670">
        <f>IFERROR(INDEX(PP_Grid[#Data],$DD670,62),0)</f>
        <v/>
      </c>
      <c r="BM670">
        <f>IFERROR(INDEX(PP_Grid[#Data],$DD670,63),0)</f>
        <v/>
      </c>
      <c r="BN670">
        <f>IFERROR(INDEX(PP_Grid[#Data],$DD670,64),0)</f>
        <v/>
      </c>
      <c r="BO670">
        <f>IFERROR(INDEX(PP_Grid[#Data],$DD670,65),0)</f>
        <v/>
      </c>
      <c r="BP670">
        <f>IFERROR(INDEX(PP_Grid[#Data],$DD670,66),0)</f>
        <v/>
      </c>
      <c r="BQ670">
        <f>IFERROR(INDEX(PP_Grid[#Data],$DD670,67),0)</f>
        <v/>
      </c>
      <c r="BR670">
        <f>IFERROR(INDEX(PP_Grid[#Data],$DD670,68),0)</f>
        <v/>
      </c>
      <c r="BS670">
        <f>IFERROR(INDEX(PP_Grid[#Data],$DD670,69),0)</f>
        <v/>
      </c>
      <c r="BT670">
        <f>IFERROR(INDEX(PP_Grid[#Data],$DD670,70),0)</f>
        <v/>
      </c>
      <c r="BU670">
        <f>IFERROR(INDEX(PP_Grid[#Data],$DD670,71),0)</f>
        <v/>
      </c>
      <c r="BV670">
        <f>IFERROR(INDEX(PP_Grid[#Data],$DD670,72),0)</f>
        <v/>
      </c>
      <c r="BW670">
        <f>IFERROR(INDEX(PP_Grid[#Data],$DD670,73),0)</f>
        <v/>
      </c>
      <c r="BX670">
        <f>IFERROR(INDEX(PP_Grid[#Data],$DD670,74),0)</f>
        <v/>
      </c>
      <c r="BY670">
        <f>IFERROR(INDEX(PP_Grid[#Data],$DD670,75),0)</f>
        <v/>
      </c>
      <c r="BZ670">
        <f>IFERROR(INDEX(PP_Grid[#Data],$DD670,76),0)</f>
        <v/>
      </c>
      <c r="CA670">
        <f>IFERROR(INDEX(PP_Grid[#Data],$DD670,77),0)</f>
        <v/>
      </c>
      <c r="CB670">
        <f>IFERROR(INDEX(PP_Grid[#Data],$DD670,78),0)</f>
        <v/>
      </c>
      <c r="CC670">
        <f>IFERROR(INDEX(PP_Grid[#Data],$DD670,79),0)</f>
        <v/>
      </c>
      <c r="CD670">
        <f>IFERROR(INDEX(PP_Grid[#Data],$DD670,80),0)</f>
        <v/>
      </c>
      <c r="CE670">
        <f>IFERROR(INDEX(PP_Grid[#Data],$DD670,81),0)</f>
        <v/>
      </c>
      <c r="CF670">
        <f>IFERROR(INDEX(PP_Grid[#Data],$DD670,82),0)</f>
        <v/>
      </c>
      <c r="CG670">
        <f>IFERROR(INDEX(PP_Grid[#Data],$DD670,83),0)</f>
        <v/>
      </c>
      <c r="CH670">
        <f>IFERROR(INDEX(PP_Grid[#Data],$DD670,84),0)</f>
        <v/>
      </c>
      <c r="CI670">
        <f>IFERROR(INDEX(PP_Grid[#Data],$DD670,85),0)</f>
        <v/>
      </c>
      <c r="CJ670">
        <f>IFERROR(INDEX(PP_Grid[#Data],$DD670,86),0)</f>
        <v/>
      </c>
      <c r="CK670">
        <f>IFERROR(INDEX(PP_Grid[#Data],$DD670,87),0)</f>
        <v/>
      </c>
      <c r="CL670">
        <f>IFERROR(INDEX(PP_Grid[#Data],$DD670,88),0)</f>
        <v/>
      </c>
      <c r="CM670">
        <f>IFERROR(INDEX(PP_Grid[#Data],$DD670,89),0)</f>
        <v/>
      </c>
      <c r="CN670">
        <f>IFERROR(INDEX(PP_Grid[#Data],$DD670,90),0)</f>
        <v/>
      </c>
      <c r="CO670">
        <f>IFERROR(INDEX(PP_Grid[#Data],$DD670,91),0)</f>
        <v/>
      </c>
      <c r="CP670">
        <f>IFERROR(INDEX(PP_Grid[#Data],$DD670,92),0)</f>
        <v/>
      </c>
      <c r="CQ670">
        <f>IFERROR(INDEX(PP_Grid[#Data],$DD670,93),0)</f>
        <v/>
      </c>
      <c r="CR670">
        <f>IFERROR(INDEX(PP_Grid[#Data],$DD670,94),0)</f>
        <v/>
      </c>
      <c r="CS670">
        <f>IFERROR(INDEX(PP_Grid[#Data],$DD670,95),0)</f>
        <v/>
      </c>
      <c r="CT670">
        <f>IFERROR(INDEX(PP_Grid[#Data],$DD670,96),0)</f>
        <v/>
      </c>
      <c r="CU670">
        <f>IFERROR(INDEX(PP_Grid[#Data],$DD670,97),0)</f>
        <v/>
      </c>
      <c r="CV670">
        <f>IFERROR(INDEX(PP_Grid[#Data],$DD670,98),0)</f>
        <v/>
      </c>
      <c r="CW670">
        <f>IFERROR(INDEX(PP_Grid[#Data],$DD670,99),0)</f>
        <v/>
      </c>
      <c r="CX670">
        <f>IFERROR(INDEX(PP_Grid[#Data],$DD670,100),0)</f>
        <v/>
      </c>
      <c r="CY670">
        <f>IFERROR(INDEX(PP_Grid[#Data],$DD670,101),0)</f>
        <v/>
      </c>
      <c r="CZ670">
        <f>IFERROR(INDEX(PP_Grid[#Data],$DD670,102),0)</f>
        <v/>
      </c>
      <c r="DA670">
        <f>IFERROR(INDEX(PP_Grid[#Data],$DD670,103),0)</f>
        <v/>
      </c>
      <c r="DB670">
        <f>IFERROR(INDEX(PP_Grid[#Data],$DD670,104),0)</f>
        <v/>
      </c>
      <c r="DC670">
        <f>IFERROR(INDEX(PP_Grid[#Data],$DD670,105),0)</f>
        <v/>
      </c>
      <c r="DD670" s="12">
        <f>IFERROR(MATCH($B670,PP_Grid[Intermediate],0),99999)</f>
        <v/>
      </c>
    </row>
    <row r="671">
      <c r="B671" t="inlineStr">
        <is>
          <t>使用量(kg)</t>
        </is>
      </c>
      <c r="C671">
        <f>SUMIFS(M_BOM[RM_Qty_Per_Batch],M_BOM[Intermediate],$B670,M_BOM[Part Name],$A669)</f>
        <v/>
      </c>
      <c r="D671">
        <f>$C671*D670</f>
        <v/>
      </c>
      <c r="E671">
        <f>$C671*E670</f>
        <v/>
      </c>
      <c r="F671">
        <f>$C671*F670</f>
        <v/>
      </c>
      <c r="G671">
        <f>$C671*G670</f>
        <v/>
      </c>
      <c r="H671">
        <f>$C671*H670</f>
        <v/>
      </c>
      <c r="I671">
        <f>$C671*I670</f>
        <v/>
      </c>
      <c r="J671">
        <f>$C671*J670</f>
        <v/>
      </c>
      <c r="K671">
        <f>$C671*K670</f>
        <v/>
      </c>
      <c r="L671">
        <f>$C671*L670</f>
        <v/>
      </c>
      <c r="M671">
        <f>$C671*M670</f>
        <v/>
      </c>
      <c r="N671">
        <f>$C671*N670</f>
        <v/>
      </c>
      <c r="O671">
        <f>$C671*O670</f>
        <v/>
      </c>
      <c r="P671">
        <f>$C671*P670</f>
        <v/>
      </c>
      <c r="Q671">
        <f>$C671*Q670</f>
        <v/>
      </c>
      <c r="R671">
        <f>$C671*R670</f>
        <v/>
      </c>
      <c r="S671">
        <f>$C671*S670</f>
        <v/>
      </c>
      <c r="T671">
        <f>$C671*T670</f>
        <v/>
      </c>
      <c r="U671">
        <f>$C671*U670</f>
        <v/>
      </c>
      <c r="V671">
        <f>$C671*V670</f>
        <v/>
      </c>
      <c r="W671">
        <f>$C671*W670</f>
        <v/>
      </c>
      <c r="X671">
        <f>$C671*X670</f>
        <v/>
      </c>
      <c r="Y671">
        <f>$C671*Y670</f>
        <v/>
      </c>
      <c r="Z671">
        <f>$C671*Z670</f>
        <v/>
      </c>
      <c r="AA671">
        <f>$C671*AA670</f>
        <v/>
      </c>
      <c r="AB671">
        <f>$C671*AB670</f>
        <v/>
      </c>
      <c r="AC671">
        <f>$C671*AC670</f>
        <v/>
      </c>
      <c r="AD671">
        <f>$C671*AD670</f>
        <v/>
      </c>
      <c r="AE671">
        <f>$C671*AE670</f>
        <v/>
      </c>
      <c r="AF671">
        <f>$C671*AF670</f>
        <v/>
      </c>
      <c r="AG671">
        <f>$C671*AG670</f>
        <v/>
      </c>
      <c r="AH671">
        <f>$C671*AH670</f>
        <v/>
      </c>
      <c r="AI671">
        <f>$C671*AI670</f>
        <v/>
      </c>
      <c r="AJ671">
        <f>$C671*AJ670</f>
        <v/>
      </c>
      <c r="AK671">
        <f>$C671*AK670</f>
        <v/>
      </c>
      <c r="AL671">
        <f>$C671*AL670</f>
        <v/>
      </c>
      <c r="AM671">
        <f>$C671*AM670</f>
        <v/>
      </c>
      <c r="AN671">
        <f>$C671*AN670</f>
        <v/>
      </c>
      <c r="AO671">
        <f>$C671*AO670</f>
        <v/>
      </c>
      <c r="AP671">
        <f>$C671*AP670</f>
        <v/>
      </c>
      <c r="AQ671">
        <f>$C671*AQ670</f>
        <v/>
      </c>
      <c r="AR671">
        <f>$C671*AR670</f>
        <v/>
      </c>
      <c r="AS671">
        <f>$C671*AS670</f>
        <v/>
      </c>
      <c r="AT671">
        <f>$C671*AT670</f>
        <v/>
      </c>
      <c r="AU671">
        <f>$C671*AU670</f>
        <v/>
      </c>
      <c r="AV671">
        <f>$C671*AV670</f>
        <v/>
      </c>
      <c r="AW671">
        <f>$C671*AW670</f>
        <v/>
      </c>
      <c r="AX671">
        <f>$C671*AX670</f>
        <v/>
      </c>
      <c r="AY671">
        <f>$C671*AY670</f>
        <v/>
      </c>
      <c r="AZ671">
        <f>$C671*AZ670</f>
        <v/>
      </c>
      <c r="BA671">
        <f>$C671*BA670</f>
        <v/>
      </c>
      <c r="BB671">
        <f>$C671*BB670</f>
        <v/>
      </c>
      <c r="BC671">
        <f>$C671*BC670</f>
        <v/>
      </c>
      <c r="BD671">
        <f>$C671*BD670</f>
        <v/>
      </c>
      <c r="BE671">
        <f>$C671*BE670</f>
        <v/>
      </c>
      <c r="BF671">
        <f>$C671*BF670</f>
        <v/>
      </c>
      <c r="BG671">
        <f>$C671*BG670</f>
        <v/>
      </c>
      <c r="BH671">
        <f>$C671*BH670</f>
        <v/>
      </c>
      <c r="BI671">
        <f>$C671*BI670</f>
        <v/>
      </c>
      <c r="BJ671">
        <f>$C671*BJ670</f>
        <v/>
      </c>
      <c r="BK671">
        <f>$C671*BK670</f>
        <v/>
      </c>
      <c r="BL671">
        <f>$C671*BL670</f>
        <v/>
      </c>
      <c r="BM671">
        <f>$C671*BM670</f>
        <v/>
      </c>
      <c r="BN671">
        <f>$C671*BN670</f>
        <v/>
      </c>
      <c r="BO671">
        <f>$C671*BO670</f>
        <v/>
      </c>
      <c r="BP671">
        <f>$C671*BP670</f>
        <v/>
      </c>
      <c r="BQ671">
        <f>$C671*BQ670</f>
        <v/>
      </c>
      <c r="BR671">
        <f>$C671*BR670</f>
        <v/>
      </c>
      <c r="BS671">
        <f>$C671*BS670</f>
        <v/>
      </c>
      <c r="BT671">
        <f>$C671*BT670</f>
        <v/>
      </c>
      <c r="BU671">
        <f>$C671*BU670</f>
        <v/>
      </c>
      <c r="BV671">
        <f>$C671*BV670</f>
        <v/>
      </c>
      <c r="BW671">
        <f>$C671*BW670</f>
        <v/>
      </c>
      <c r="BX671">
        <f>$C671*BX670</f>
        <v/>
      </c>
      <c r="BY671">
        <f>$C671*BY670</f>
        <v/>
      </c>
      <c r="BZ671">
        <f>$C671*BZ670</f>
        <v/>
      </c>
      <c r="CA671">
        <f>$C671*CA670</f>
        <v/>
      </c>
      <c r="CB671">
        <f>$C671*CB670</f>
        <v/>
      </c>
      <c r="CC671">
        <f>$C671*CC670</f>
        <v/>
      </c>
      <c r="CD671">
        <f>$C671*CD670</f>
        <v/>
      </c>
      <c r="CE671">
        <f>$C671*CE670</f>
        <v/>
      </c>
      <c r="CF671">
        <f>$C671*CF670</f>
        <v/>
      </c>
      <c r="CG671">
        <f>$C671*CG670</f>
        <v/>
      </c>
      <c r="CH671">
        <f>$C671*CH670</f>
        <v/>
      </c>
      <c r="CI671">
        <f>$C671*CI670</f>
        <v/>
      </c>
      <c r="CJ671">
        <f>$C671*CJ670</f>
        <v/>
      </c>
      <c r="CK671">
        <f>$C671*CK670</f>
        <v/>
      </c>
      <c r="CL671">
        <f>$C671*CL670</f>
        <v/>
      </c>
      <c r="CM671">
        <f>$C671*CM670</f>
        <v/>
      </c>
      <c r="CN671">
        <f>$C671*CN670</f>
        <v/>
      </c>
      <c r="CO671">
        <f>$C671*CO670</f>
        <v/>
      </c>
      <c r="CP671">
        <f>$C671*CP670</f>
        <v/>
      </c>
      <c r="CQ671">
        <f>$C671*CQ670</f>
        <v/>
      </c>
      <c r="CR671">
        <f>$C671*CR670</f>
        <v/>
      </c>
      <c r="CS671">
        <f>$C671*CS670</f>
        <v/>
      </c>
      <c r="CT671">
        <f>$C671*CT670</f>
        <v/>
      </c>
      <c r="CU671">
        <f>$C671*CU670</f>
        <v/>
      </c>
      <c r="CV671">
        <f>$C671*CV670</f>
        <v/>
      </c>
      <c r="CW671">
        <f>$C671*CW670</f>
        <v/>
      </c>
      <c r="CX671">
        <f>$C671*CX670</f>
        <v/>
      </c>
      <c r="CY671">
        <f>$C671*CY670</f>
        <v/>
      </c>
      <c r="CZ671">
        <f>$C671*CZ670</f>
        <v/>
      </c>
      <c r="DA671">
        <f>$C671*DA670</f>
        <v/>
      </c>
      <c r="DB671">
        <f>$C671*DB670</f>
        <v/>
      </c>
      <c r="DC671">
        <f>$C671*DC670</f>
        <v/>
      </c>
    </row>
    <row r="672">
      <c r="B672" t="inlineStr">
        <is>
          <t>TSP-050</t>
        </is>
      </c>
      <c r="C672" t="inlineStr">
        <is>
          <t>No. of batches</t>
        </is>
      </c>
      <c r="D672">
        <f>IFERROR(INDEX(PP_Grid[#Data],$DD672,2),0)</f>
        <v/>
      </c>
      <c r="E672">
        <f>IFERROR(INDEX(PP_Grid[#Data],$DD672,3),0)</f>
        <v/>
      </c>
      <c r="F672">
        <f>IFERROR(INDEX(PP_Grid[#Data],$DD672,4),0)</f>
        <v/>
      </c>
      <c r="G672">
        <f>IFERROR(INDEX(PP_Grid[#Data],$DD672,5),0)</f>
        <v/>
      </c>
      <c r="H672">
        <f>IFERROR(INDEX(PP_Grid[#Data],$DD672,6),0)</f>
        <v/>
      </c>
      <c r="I672">
        <f>IFERROR(INDEX(PP_Grid[#Data],$DD672,7),0)</f>
        <v/>
      </c>
      <c r="J672">
        <f>IFERROR(INDEX(PP_Grid[#Data],$DD672,8),0)</f>
        <v/>
      </c>
      <c r="K672">
        <f>IFERROR(INDEX(PP_Grid[#Data],$DD672,9),0)</f>
        <v/>
      </c>
      <c r="L672">
        <f>IFERROR(INDEX(PP_Grid[#Data],$DD672,10),0)</f>
        <v/>
      </c>
      <c r="M672">
        <f>IFERROR(INDEX(PP_Grid[#Data],$DD672,11),0)</f>
        <v/>
      </c>
      <c r="N672">
        <f>IFERROR(INDEX(PP_Grid[#Data],$DD672,12),0)</f>
        <v/>
      </c>
      <c r="O672">
        <f>IFERROR(INDEX(PP_Grid[#Data],$DD672,13),0)</f>
        <v/>
      </c>
      <c r="P672">
        <f>IFERROR(INDEX(PP_Grid[#Data],$DD672,14),0)</f>
        <v/>
      </c>
      <c r="Q672">
        <f>IFERROR(INDEX(PP_Grid[#Data],$DD672,15),0)</f>
        <v/>
      </c>
      <c r="R672">
        <f>IFERROR(INDEX(PP_Grid[#Data],$DD672,16),0)</f>
        <v/>
      </c>
      <c r="S672">
        <f>IFERROR(INDEX(PP_Grid[#Data],$DD672,17),0)</f>
        <v/>
      </c>
      <c r="T672">
        <f>IFERROR(INDEX(PP_Grid[#Data],$DD672,18),0)</f>
        <v/>
      </c>
      <c r="U672">
        <f>IFERROR(INDEX(PP_Grid[#Data],$DD672,19),0)</f>
        <v/>
      </c>
      <c r="V672">
        <f>IFERROR(INDEX(PP_Grid[#Data],$DD672,20),0)</f>
        <v/>
      </c>
      <c r="W672">
        <f>IFERROR(INDEX(PP_Grid[#Data],$DD672,21),0)</f>
        <v/>
      </c>
      <c r="X672">
        <f>IFERROR(INDEX(PP_Grid[#Data],$DD672,22),0)</f>
        <v/>
      </c>
      <c r="Y672">
        <f>IFERROR(INDEX(PP_Grid[#Data],$DD672,23),0)</f>
        <v/>
      </c>
      <c r="Z672">
        <f>IFERROR(INDEX(PP_Grid[#Data],$DD672,24),0)</f>
        <v/>
      </c>
      <c r="AA672">
        <f>IFERROR(INDEX(PP_Grid[#Data],$DD672,25),0)</f>
        <v/>
      </c>
      <c r="AB672">
        <f>IFERROR(INDEX(PP_Grid[#Data],$DD672,26),0)</f>
        <v/>
      </c>
      <c r="AC672">
        <f>IFERROR(INDEX(PP_Grid[#Data],$DD672,27),0)</f>
        <v/>
      </c>
      <c r="AD672">
        <f>IFERROR(INDEX(PP_Grid[#Data],$DD672,28),0)</f>
        <v/>
      </c>
      <c r="AE672">
        <f>IFERROR(INDEX(PP_Grid[#Data],$DD672,29),0)</f>
        <v/>
      </c>
      <c r="AF672">
        <f>IFERROR(INDEX(PP_Grid[#Data],$DD672,30),0)</f>
        <v/>
      </c>
      <c r="AG672">
        <f>IFERROR(INDEX(PP_Grid[#Data],$DD672,31),0)</f>
        <v/>
      </c>
      <c r="AH672">
        <f>IFERROR(INDEX(PP_Grid[#Data],$DD672,32),0)</f>
        <v/>
      </c>
      <c r="AI672">
        <f>IFERROR(INDEX(PP_Grid[#Data],$DD672,33),0)</f>
        <v/>
      </c>
      <c r="AJ672">
        <f>IFERROR(INDEX(PP_Grid[#Data],$DD672,34),0)</f>
        <v/>
      </c>
      <c r="AK672">
        <f>IFERROR(INDEX(PP_Grid[#Data],$DD672,35),0)</f>
        <v/>
      </c>
      <c r="AL672">
        <f>IFERROR(INDEX(PP_Grid[#Data],$DD672,36),0)</f>
        <v/>
      </c>
      <c r="AM672">
        <f>IFERROR(INDEX(PP_Grid[#Data],$DD672,37),0)</f>
        <v/>
      </c>
      <c r="AN672">
        <f>IFERROR(INDEX(PP_Grid[#Data],$DD672,38),0)</f>
        <v/>
      </c>
      <c r="AO672">
        <f>IFERROR(INDEX(PP_Grid[#Data],$DD672,39),0)</f>
        <v/>
      </c>
      <c r="AP672">
        <f>IFERROR(INDEX(PP_Grid[#Data],$DD672,40),0)</f>
        <v/>
      </c>
      <c r="AQ672">
        <f>IFERROR(INDEX(PP_Grid[#Data],$DD672,41),0)</f>
        <v/>
      </c>
      <c r="AR672">
        <f>IFERROR(INDEX(PP_Grid[#Data],$DD672,42),0)</f>
        <v/>
      </c>
      <c r="AS672">
        <f>IFERROR(INDEX(PP_Grid[#Data],$DD672,43),0)</f>
        <v/>
      </c>
      <c r="AT672">
        <f>IFERROR(INDEX(PP_Grid[#Data],$DD672,44),0)</f>
        <v/>
      </c>
      <c r="AU672">
        <f>IFERROR(INDEX(PP_Grid[#Data],$DD672,45),0)</f>
        <v/>
      </c>
      <c r="AV672">
        <f>IFERROR(INDEX(PP_Grid[#Data],$DD672,46),0)</f>
        <v/>
      </c>
      <c r="AW672">
        <f>IFERROR(INDEX(PP_Grid[#Data],$DD672,47),0)</f>
        <v/>
      </c>
      <c r="AX672">
        <f>IFERROR(INDEX(PP_Grid[#Data],$DD672,48),0)</f>
        <v/>
      </c>
      <c r="AY672">
        <f>IFERROR(INDEX(PP_Grid[#Data],$DD672,49),0)</f>
        <v/>
      </c>
      <c r="AZ672">
        <f>IFERROR(INDEX(PP_Grid[#Data],$DD672,50),0)</f>
        <v/>
      </c>
      <c r="BA672">
        <f>IFERROR(INDEX(PP_Grid[#Data],$DD672,51),0)</f>
        <v/>
      </c>
      <c r="BB672">
        <f>IFERROR(INDEX(PP_Grid[#Data],$DD672,52),0)</f>
        <v/>
      </c>
      <c r="BC672">
        <f>IFERROR(INDEX(PP_Grid[#Data],$DD672,53),0)</f>
        <v/>
      </c>
      <c r="BD672">
        <f>IFERROR(INDEX(PP_Grid[#Data],$DD672,54),0)</f>
        <v/>
      </c>
      <c r="BE672">
        <f>IFERROR(INDEX(PP_Grid[#Data],$DD672,55),0)</f>
        <v/>
      </c>
      <c r="BF672">
        <f>IFERROR(INDEX(PP_Grid[#Data],$DD672,56),0)</f>
        <v/>
      </c>
      <c r="BG672">
        <f>IFERROR(INDEX(PP_Grid[#Data],$DD672,57),0)</f>
        <v/>
      </c>
      <c r="BH672">
        <f>IFERROR(INDEX(PP_Grid[#Data],$DD672,58),0)</f>
        <v/>
      </c>
      <c r="BI672">
        <f>IFERROR(INDEX(PP_Grid[#Data],$DD672,59),0)</f>
        <v/>
      </c>
      <c r="BJ672">
        <f>IFERROR(INDEX(PP_Grid[#Data],$DD672,60),0)</f>
        <v/>
      </c>
      <c r="BK672">
        <f>IFERROR(INDEX(PP_Grid[#Data],$DD672,61),0)</f>
        <v/>
      </c>
      <c r="BL672">
        <f>IFERROR(INDEX(PP_Grid[#Data],$DD672,62),0)</f>
        <v/>
      </c>
      <c r="BM672">
        <f>IFERROR(INDEX(PP_Grid[#Data],$DD672,63),0)</f>
        <v/>
      </c>
      <c r="BN672">
        <f>IFERROR(INDEX(PP_Grid[#Data],$DD672,64),0)</f>
        <v/>
      </c>
      <c r="BO672">
        <f>IFERROR(INDEX(PP_Grid[#Data],$DD672,65),0)</f>
        <v/>
      </c>
      <c r="BP672">
        <f>IFERROR(INDEX(PP_Grid[#Data],$DD672,66),0)</f>
        <v/>
      </c>
      <c r="BQ672">
        <f>IFERROR(INDEX(PP_Grid[#Data],$DD672,67),0)</f>
        <v/>
      </c>
      <c r="BR672">
        <f>IFERROR(INDEX(PP_Grid[#Data],$DD672,68),0)</f>
        <v/>
      </c>
      <c r="BS672">
        <f>IFERROR(INDEX(PP_Grid[#Data],$DD672,69),0)</f>
        <v/>
      </c>
      <c r="BT672">
        <f>IFERROR(INDEX(PP_Grid[#Data],$DD672,70),0)</f>
        <v/>
      </c>
      <c r="BU672">
        <f>IFERROR(INDEX(PP_Grid[#Data],$DD672,71),0)</f>
        <v/>
      </c>
      <c r="BV672">
        <f>IFERROR(INDEX(PP_Grid[#Data],$DD672,72),0)</f>
        <v/>
      </c>
      <c r="BW672">
        <f>IFERROR(INDEX(PP_Grid[#Data],$DD672,73),0)</f>
        <v/>
      </c>
      <c r="BX672">
        <f>IFERROR(INDEX(PP_Grid[#Data],$DD672,74),0)</f>
        <v/>
      </c>
      <c r="BY672">
        <f>IFERROR(INDEX(PP_Grid[#Data],$DD672,75),0)</f>
        <v/>
      </c>
      <c r="BZ672">
        <f>IFERROR(INDEX(PP_Grid[#Data],$DD672,76),0)</f>
        <v/>
      </c>
      <c r="CA672">
        <f>IFERROR(INDEX(PP_Grid[#Data],$DD672,77),0)</f>
        <v/>
      </c>
      <c r="CB672">
        <f>IFERROR(INDEX(PP_Grid[#Data],$DD672,78),0)</f>
        <v/>
      </c>
      <c r="CC672">
        <f>IFERROR(INDEX(PP_Grid[#Data],$DD672,79),0)</f>
        <v/>
      </c>
      <c r="CD672">
        <f>IFERROR(INDEX(PP_Grid[#Data],$DD672,80),0)</f>
        <v/>
      </c>
      <c r="CE672">
        <f>IFERROR(INDEX(PP_Grid[#Data],$DD672,81),0)</f>
        <v/>
      </c>
      <c r="CF672">
        <f>IFERROR(INDEX(PP_Grid[#Data],$DD672,82),0)</f>
        <v/>
      </c>
      <c r="CG672">
        <f>IFERROR(INDEX(PP_Grid[#Data],$DD672,83),0)</f>
        <v/>
      </c>
      <c r="CH672">
        <f>IFERROR(INDEX(PP_Grid[#Data],$DD672,84),0)</f>
        <v/>
      </c>
      <c r="CI672">
        <f>IFERROR(INDEX(PP_Grid[#Data],$DD672,85),0)</f>
        <v/>
      </c>
      <c r="CJ672">
        <f>IFERROR(INDEX(PP_Grid[#Data],$DD672,86),0)</f>
        <v/>
      </c>
      <c r="CK672">
        <f>IFERROR(INDEX(PP_Grid[#Data],$DD672,87),0)</f>
        <v/>
      </c>
      <c r="CL672">
        <f>IFERROR(INDEX(PP_Grid[#Data],$DD672,88),0)</f>
        <v/>
      </c>
      <c r="CM672">
        <f>IFERROR(INDEX(PP_Grid[#Data],$DD672,89),0)</f>
        <v/>
      </c>
      <c r="CN672">
        <f>IFERROR(INDEX(PP_Grid[#Data],$DD672,90),0)</f>
        <v/>
      </c>
      <c r="CO672">
        <f>IFERROR(INDEX(PP_Grid[#Data],$DD672,91),0)</f>
        <v/>
      </c>
      <c r="CP672">
        <f>IFERROR(INDEX(PP_Grid[#Data],$DD672,92),0)</f>
        <v/>
      </c>
      <c r="CQ672">
        <f>IFERROR(INDEX(PP_Grid[#Data],$DD672,93),0)</f>
        <v/>
      </c>
      <c r="CR672">
        <f>IFERROR(INDEX(PP_Grid[#Data],$DD672,94),0)</f>
        <v/>
      </c>
      <c r="CS672">
        <f>IFERROR(INDEX(PP_Grid[#Data],$DD672,95),0)</f>
        <v/>
      </c>
      <c r="CT672">
        <f>IFERROR(INDEX(PP_Grid[#Data],$DD672,96),0)</f>
        <v/>
      </c>
      <c r="CU672">
        <f>IFERROR(INDEX(PP_Grid[#Data],$DD672,97),0)</f>
        <v/>
      </c>
      <c r="CV672">
        <f>IFERROR(INDEX(PP_Grid[#Data],$DD672,98),0)</f>
        <v/>
      </c>
      <c r="CW672">
        <f>IFERROR(INDEX(PP_Grid[#Data],$DD672,99),0)</f>
        <v/>
      </c>
      <c r="CX672">
        <f>IFERROR(INDEX(PP_Grid[#Data],$DD672,100),0)</f>
        <v/>
      </c>
      <c r="CY672">
        <f>IFERROR(INDEX(PP_Grid[#Data],$DD672,101),0)</f>
        <v/>
      </c>
      <c r="CZ672">
        <f>IFERROR(INDEX(PP_Grid[#Data],$DD672,102),0)</f>
        <v/>
      </c>
      <c r="DA672">
        <f>IFERROR(INDEX(PP_Grid[#Data],$DD672,103),0)</f>
        <v/>
      </c>
      <c r="DB672">
        <f>IFERROR(INDEX(PP_Grid[#Data],$DD672,104),0)</f>
        <v/>
      </c>
      <c r="DC672">
        <f>IFERROR(INDEX(PP_Grid[#Data],$DD672,105),0)</f>
        <v/>
      </c>
      <c r="DD672" s="12">
        <f>IFERROR(MATCH($B672,PP_Grid[Intermediate],0),99999)</f>
        <v/>
      </c>
    </row>
    <row r="673">
      <c r="B673" t="inlineStr">
        <is>
          <t>使用量(kg)</t>
        </is>
      </c>
      <c r="C673">
        <f>SUMIFS(M_BOM[RM_Qty_Per_Batch],M_BOM[Intermediate],$B672,M_BOM[Part Name],$A669)</f>
        <v/>
      </c>
      <c r="D673">
        <f>$C673*D672</f>
        <v/>
      </c>
      <c r="E673">
        <f>$C673*E672</f>
        <v/>
      </c>
      <c r="F673">
        <f>$C673*F672</f>
        <v/>
      </c>
      <c r="G673">
        <f>$C673*G672</f>
        <v/>
      </c>
      <c r="H673">
        <f>$C673*H672</f>
        <v/>
      </c>
      <c r="I673">
        <f>$C673*I672</f>
        <v/>
      </c>
      <c r="J673">
        <f>$C673*J672</f>
        <v/>
      </c>
      <c r="K673">
        <f>$C673*K672</f>
        <v/>
      </c>
      <c r="L673">
        <f>$C673*L672</f>
        <v/>
      </c>
      <c r="M673">
        <f>$C673*M672</f>
        <v/>
      </c>
      <c r="N673">
        <f>$C673*N672</f>
        <v/>
      </c>
      <c r="O673">
        <f>$C673*O672</f>
        <v/>
      </c>
      <c r="P673">
        <f>$C673*P672</f>
        <v/>
      </c>
      <c r="Q673">
        <f>$C673*Q672</f>
        <v/>
      </c>
      <c r="R673">
        <f>$C673*R672</f>
        <v/>
      </c>
      <c r="S673">
        <f>$C673*S672</f>
        <v/>
      </c>
      <c r="T673">
        <f>$C673*T672</f>
        <v/>
      </c>
      <c r="U673">
        <f>$C673*U672</f>
        <v/>
      </c>
      <c r="V673">
        <f>$C673*V672</f>
        <v/>
      </c>
      <c r="W673">
        <f>$C673*W672</f>
        <v/>
      </c>
      <c r="X673">
        <f>$C673*X672</f>
        <v/>
      </c>
      <c r="Y673">
        <f>$C673*Y672</f>
        <v/>
      </c>
      <c r="Z673">
        <f>$C673*Z672</f>
        <v/>
      </c>
      <c r="AA673">
        <f>$C673*AA672</f>
        <v/>
      </c>
      <c r="AB673">
        <f>$C673*AB672</f>
        <v/>
      </c>
      <c r="AC673">
        <f>$C673*AC672</f>
        <v/>
      </c>
      <c r="AD673">
        <f>$C673*AD672</f>
        <v/>
      </c>
      <c r="AE673">
        <f>$C673*AE672</f>
        <v/>
      </c>
      <c r="AF673">
        <f>$C673*AF672</f>
        <v/>
      </c>
      <c r="AG673">
        <f>$C673*AG672</f>
        <v/>
      </c>
      <c r="AH673">
        <f>$C673*AH672</f>
        <v/>
      </c>
      <c r="AI673">
        <f>$C673*AI672</f>
        <v/>
      </c>
      <c r="AJ673">
        <f>$C673*AJ672</f>
        <v/>
      </c>
      <c r="AK673">
        <f>$C673*AK672</f>
        <v/>
      </c>
      <c r="AL673">
        <f>$C673*AL672</f>
        <v/>
      </c>
      <c r="AM673">
        <f>$C673*AM672</f>
        <v/>
      </c>
      <c r="AN673">
        <f>$C673*AN672</f>
        <v/>
      </c>
      <c r="AO673">
        <f>$C673*AO672</f>
        <v/>
      </c>
      <c r="AP673">
        <f>$C673*AP672</f>
        <v/>
      </c>
      <c r="AQ673">
        <f>$C673*AQ672</f>
        <v/>
      </c>
      <c r="AR673">
        <f>$C673*AR672</f>
        <v/>
      </c>
      <c r="AS673">
        <f>$C673*AS672</f>
        <v/>
      </c>
      <c r="AT673">
        <f>$C673*AT672</f>
        <v/>
      </c>
      <c r="AU673">
        <f>$C673*AU672</f>
        <v/>
      </c>
      <c r="AV673">
        <f>$C673*AV672</f>
        <v/>
      </c>
      <c r="AW673">
        <f>$C673*AW672</f>
        <v/>
      </c>
      <c r="AX673">
        <f>$C673*AX672</f>
        <v/>
      </c>
      <c r="AY673">
        <f>$C673*AY672</f>
        <v/>
      </c>
      <c r="AZ673">
        <f>$C673*AZ672</f>
        <v/>
      </c>
      <c r="BA673">
        <f>$C673*BA672</f>
        <v/>
      </c>
      <c r="BB673">
        <f>$C673*BB672</f>
        <v/>
      </c>
      <c r="BC673">
        <f>$C673*BC672</f>
        <v/>
      </c>
      <c r="BD673">
        <f>$C673*BD672</f>
        <v/>
      </c>
      <c r="BE673">
        <f>$C673*BE672</f>
        <v/>
      </c>
      <c r="BF673">
        <f>$C673*BF672</f>
        <v/>
      </c>
      <c r="BG673">
        <f>$C673*BG672</f>
        <v/>
      </c>
      <c r="BH673">
        <f>$C673*BH672</f>
        <v/>
      </c>
      <c r="BI673">
        <f>$C673*BI672</f>
        <v/>
      </c>
      <c r="BJ673">
        <f>$C673*BJ672</f>
        <v/>
      </c>
      <c r="BK673">
        <f>$C673*BK672</f>
        <v/>
      </c>
      <c r="BL673">
        <f>$C673*BL672</f>
        <v/>
      </c>
      <c r="BM673">
        <f>$C673*BM672</f>
        <v/>
      </c>
      <c r="BN673">
        <f>$C673*BN672</f>
        <v/>
      </c>
      <c r="BO673">
        <f>$C673*BO672</f>
        <v/>
      </c>
      <c r="BP673">
        <f>$C673*BP672</f>
        <v/>
      </c>
      <c r="BQ673">
        <f>$C673*BQ672</f>
        <v/>
      </c>
      <c r="BR673">
        <f>$C673*BR672</f>
        <v/>
      </c>
      <c r="BS673">
        <f>$C673*BS672</f>
        <v/>
      </c>
      <c r="BT673">
        <f>$C673*BT672</f>
        <v/>
      </c>
      <c r="BU673">
        <f>$C673*BU672</f>
        <v/>
      </c>
      <c r="BV673">
        <f>$C673*BV672</f>
        <v/>
      </c>
      <c r="BW673">
        <f>$C673*BW672</f>
        <v/>
      </c>
      <c r="BX673">
        <f>$C673*BX672</f>
        <v/>
      </c>
      <c r="BY673">
        <f>$C673*BY672</f>
        <v/>
      </c>
      <c r="BZ673">
        <f>$C673*BZ672</f>
        <v/>
      </c>
      <c r="CA673">
        <f>$C673*CA672</f>
        <v/>
      </c>
      <c r="CB673">
        <f>$C673*CB672</f>
        <v/>
      </c>
      <c r="CC673">
        <f>$C673*CC672</f>
        <v/>
      </c>
      <c r="CD673">
        <f>$C673*CD672</f>
        <v/>
      </c>
      <c r="CE673">
        <f>$C673*CE672</f>
        <v/>
      </c>
      <c r="CF673">
        <f>$C673*CF672</f>
        <v/>
      </c>
      <c r="CG673">
        <f>$C673*CG672</f>
        <v/>
      </c>
      <c r="CH673">
        <f>$C673*CH672</f>
        <v/>
      </c>
      <c r="CI673">
        <f>$C673*CI672</f>
        <v/>
      </c>
      <c r="CJ673">
        <f>$C673*CJ672</f>
        <v/>
      </c>
      <c r="CK673">
        <f>$C673*CK672</f>
        <v/>
      </c>
      <c r="CL673">
        <f>$C673*CL672</f>
        <v/>
      </c>
      <c r="CM673">
        <f>$C673*CM672</f>
        <v/>
      </c>
      <c r="CN673">
        <f>$C673*CN672</f>
        <v/>
      </c>
      <c r="CO673">
        <f>$C673*CO672</f>
        <v/>
      </c>
      <c r="CP673">
        <f>$C673*CP672</f>
        <v/>
      </c>
      <c r="CQ673">
        <f>$C673*CQ672</f>
        <v/>
      </c>
      <c r="CR673">
        <f>$C673*CR672</f>
        <v/>
      </c>
      <c r="CS673">
        <f>$C673*CS672</f>
        <v/>
      </c>
      <c r="CT673">
        <f>$C673*CT672</f>
        <v/>
      </c>
      <c r="CU673">
        <f>$C673*CU672</f>
        <v/>
      </c>
      <c r="CV673">
        <f>$C673*CV672</f>
        <v/>
      </c>
      <c r="CW673">
        <f>$C673*CW672</f>
        <v/>
      </c>
      <c r="CX673">
        <f>$C673*CX672</f>
        <v/>
      </c>
      <c r="CY673">
        <f>$C673*CY672</f>
        <v/>
      </c>
      <c r="CZ673">
        <f>$C673*CZ672</f>
        <v/>
      </c>
      <c r="DA673">
        <f>$C673*DA672</f>
        <v/>
      </c>
      <c r="DB673">
        <f>$C673*DB672</f>
        <v/>
      </c>
      <c r="DC673">
        <f>$C673*DC672</f>
        <v/>
      </c>
    </row>
    <row r="674">
      <c r="B674" t="inlineStr">
        <is>
          <t>TSP-067</t>
        </is>
      </c>
      <c r="C674" t="inlineStr">
        <is>
          <t>No. of batches</t>
        </is>
      </c>
      <c r="D674">
        <f>IFERROR(INDEX(PP_Grid[#Data],$DD674,2),0)</f>
        <v/>
      </c>
      <c r="E674">
        <f>IFERROR(INDEX(PP_Grid[#Data],$DD674,3),0)</f>
        <v/>
      </c>
      <c r="F674">
        <f>IFERROR(INDEX(PP_Grid[#Data],$DD674,4),0)</f>
        <v/>
      </c>
      <c r="G674">
        <f>IFERROR(INDEX(PP_Grid[#Data],$DD674,5),0)</f>
        <v/>
      </c>
      <c r="H674">
        <f>IFERROR(INDEX(PP_Grid[#Data],$DD674,6),0)</f>
        <v/>
      </c>
      <c r="I674">
        <f>IFERROR(INDEX(PP_Grid[#Data],$DD674,7),0)</f>
        <v/>
      </c>
      <c r="J674">
        <f>IFERROR(INDEX(PP_Grid[#Data],$DD674,8),0)</f>
        <v/>
      </c>
      <c r="K674">
        <f>IFERROR(INDEX(PP_Grid[#Data],$DD674,9),0)</f>
        <v/>
      </c>
      <c r="L674">
        <f>IFERROR(INDEX(PP_Grid[#Data],$DD674,10),0)</f>
        <v/>
      </c>
      <c r="M674">
        <f>IFERROR(INDEX(PP_Grid[#Data],$DD674,11),0)</f>
        <v/>
      </c>
      <c r="N674">
        <f>IFERROR(INDEX(PP_Grid[#Data],$DD674,12),0)</f>
        <v/>
      </c>
      <c r="O674">
        <f>IFERROR(INDEX(PP_Grid[#Data],$DD674,13),0)</f>
        <v/>
      </c>
      <c r="P674">
        <f>IFERROR(INDEX(PP_Grid[#Data],$DD674,14),0)</f>
        <v/>
      </c>
      <c r="Q674">
        <f>IFERROR(INDEX(PP_Grid[#Data],$DD674,15),0)</f>
        <v/>
      </c>
      <c r="R674">
        <f>IFERROR(INDEX(PP_Grid[#Data],$DD674,16),0)</f>
        <v/>
      </c>
      <c r="S674">
        <f>IFERROR(INDEX(PP_Grid[#Data],$DD674,17),0)</f>
        <v/>
      </c>
      <c r="T674">
        <f>IFERROR(INDEX(PP_Grid[#Data],$DD674,18),0)</f>
        <v/>
      </c>
      <c r="U674">
        <f>IFERROR(INDEX(PP_Grid[#Data],$DD674,19),0)</f>
        <v/>
      </c>
      <c r="V674">
        <f>IFERROR(INDEX(PP_Grid[#Data],$DD674,20),0)</f>
        <v/>
      </c>
      <c r="W674">
        <f>IFERROR(INDEX(PP_Grid[#Data],$DD674,21),0)</f>
        <v/>
      </c>
      <c r="X674">
        <f>IFERROR(INDEX(PP_Grid[#Data],$DD674,22),0)</f>
        <v/>
      </c>
      <c r="Y674">
        <f>IFERROR(INDEX(PP_Grid[#Data],$DD674,23),0)</f>
        <v/>
      </c>
      <c r="Z674">
        <f>IFERROR(INDEX(PP_Grid[#Data],$DD674,24),0)</f>
        <v/>
      </c>
      <c r="AA674">
        <f>IFERROR(INDEX(PP_Grid[#Data],$DD674,25),0)</f>
        <v/>
      </c>
      <c r="AB674">
        <f>IFERROR(INDEX(PP_Grid[#Data],$DD674,26),0)</f>
        <v/>
      </c>
      <c r="AC674">
        <f>IFERROR(INDEX(PP_Grid[#Data],$DD674,27),0)</f>
        <v/>
      </c>
      <c r="AD674">
        <f>IFERROR(INDEX(PP_Grid[#Data],$DD674,28),0)</f>
        <v/>
      </c>
      <c r="AE674">
        <f>IFERROR(INDEX(PP_Grid[#Data],$DD674,29),0)</f>
        <v/>
      </c>
      <c r="AF674">
        <f>IFERROR(INDEX(PP_Grid[#Data],$DD674,30),0)</f>
        <v/>
      </c>
      <c r="AG674">
        <f>IFERROR(INDEX(PP_Grid[#Data],$DD674,31),0)</f>
        <v/>
      </c>
      <c r="AH674">
        <f>IFERROR(INDEX(PP_Grid[#Data],$DD674,32),0)</f>
        <v/>
      </c>
      <c r="AI674">
        <f>IFERROR(INDEX(PP_Grid[#Data],$DD674,33),0)</f>
        <v/>
      </c>
      <c r="AJ674">
        <f>IFERROR(INDEX(PP_Grid[#Data],$DD674,34),0)</f>
        <v/>
      </c>
      <c r="AK674">
        <f>IFERROR(INDEX(PP_Grid[#Data],$DD674,35),0)</f>
        <v/>
      </c>
      <c r="AL674">
        <f>IFERROR(INDEX(PP_Grid[#Data],$DD674,36),0)</f>
        <v/>
      </c>
      <c r="AM674">
        <f>IFERROR(INDEX(PP_Grid[#Data],$DD674,37),0)</f>
        <v/>
      </c>
      <c r="AN674">
        <f>IFERROR(INDEX(PP_Grid[#Data],$DD674,38),0)</f>
        <v/>
      </c>
      <c r="AO674">
        <f>IFERROR(INDEX(PP_Grid[#Data],$DD674,39),0)</f>
        <v/>
      </c>
      <c r="AP674">
        <f>IFERROR(INDEX(PP_Grid[#Data],$DD674,40),0)</f>
        <v/>
      </c>
      <c r="AQ674">
        <f>IFERROR(INDEX(PP_Grid[#Data],$DD674,41),0)</f>
        <v/>
      </c>
      <c r="AR674">
        <f>IFERROR(INDEX(PP_Grid[#Data],$DD674,42),0)</f>
        <v/>
      </c>
      <c r="AS674">
        <f>IFERROR(INDEX(PP_Grid[#Data],$DD674,43),0)</f>
        <v/>
      </c>
      <c r="AT674">
        <f>IFERROR(INDEX(PP_Grid[#Data],$DD674,44),0)</f>
        <v/>
      </c>
      <c r="AU674">
        <f>IFERROR(INDEX(PP_Grid[#Data],$DD674,45),0)</f>
        <v/>
      </c>
      <c r="AV674">
        <f>IFERROR(INDEX(PP_Grid[#Data],$DD674,46),0)</f>
        <v/>
      </c>
      <c r="AW674">
        <f>IFERROR(INDEX(PP_Grid[#Data],$DD674,47),0)</f>
        <v/>
      </c>
      <c r="AX674">
        <f>IFERROR(INDEX(PP_Grid[#Data],$DD674,48),0)</f>
        <v/>
      </c>
      <c r="AY674">
        <f>IFERROR(INDEX(PP_Grid[#Data],$DD674,49),0)</f>
        <v/>
      </c>
      <c r="AZ674">
        <f>IFERROR(INDEX(PP_Grid[#Data],$DD674,50),0)</f>
        <v/>
      </c>
      <c r="BA674">
        <f>IFERROR(INDEX(PP_Grid[#Data],$DD674,51),0)</f>
        <v/>
      </c>
      <c r="BB674">
        <f>IFERROR(INDEX(PP_Grid[#Data],$DD674,52),0)</f>
        <v/>
      </c>
      <c r="BC674">
        <f>IFERROR(INDEX(PP_Grid[#Data],$DD674,53),0)</f>
        <v/>
      </c>
      <c r="BD674">
        <f>IFERROR(INDEX(PP_Grid[#Data],$DD674,54),0)</f>
        <v/>
      </c>
      <c r="BE674">
        <f>IFERROR(INDEX(PP_Grid[#Data],$DD674,55),0)</f>
        <v/>
      </c>
      <c r="BF674">
        <f>IFERROR(INDEX(PP_Grid[#Data],$DD674,56),0)</f>
        <v/>
      </c>
      <c r="BG674">
        <f>IFERROR(INDEX(PP_Grid[#Data],$DD674,57),0)</f>
        <v/>
      </c>
      <c r="BH674">
        <f>IFERROR(INDEX(PP_Grid[#Data],$DD674,58),0)</f>
        <v/>
      </c>
      <c r="BI674">
        <f>IFERROR(INDEX(PP_Grid[#Data],$DD674,59),0)</f>
        <v/>
      </c>
      <c r="BJ674">
        <f>IFERROR(INDEX(PP_Grid[#Data],$DD674,60),0)</f>
        <v/>
      </c>
      <c r="BK674">
        <f>IFERROR(INDEX(PP_Grid[#Data],$DD674,61),0)</f>
        <v/>
      </c>
      <c r="BL674">
        <f>IFERROR(INDEX(PP_Grid[#Data],$DD674,62),0)</f>
        <v/>
      </c>
      <c r="BM674">
        <f>IFERROR(INDEX(PP_Grid[#Data],$DD674,63),0)</f>
        <v/>
      </c>
      <c r="BN674">
        <f>IFERROR(INDEX(PP_Grid[#Data],$DD674,64),0)</f>
        <v/>
      </c>
      <c r="BO674">
        <f>IFERROR(INDEX(PP_Grid[#Data],$DD674,65),0)</f>
        <v/>
      </c>
      <c r="BP674">
        <f>IFERROR(INDEX(PP_Grid[#Data],$DD674,66),0)</f>
        <v/>
      </c>
      <c r="BQ674">
        <f>IFERROR(INDEX(PP_Grid[#Data],$DD674,67),0)</f>
        <v/>
      </c>
      <c r="BR674">
        <f>IFERROR(INDEX(PP_Grid[#Data],$DD674,68),0)</f>
        <v/>
      </c>
      <c r="BS674">
        <f>IFERROR(INDEX(PP_Grid[#Data],$DD674,69),0)</f>
        <v/>
      </c>
      <c r="BT674">
        <f>IFERROR(INDEX(PP_Grid[#Data],$DD674,70),0)</f>
        <v/>
      </c>
      <c r="BU674">
        <f>IFERROR(INDEX(PP_Grid[#Data],$DD674,71),0)</f>
        <v/>
      </c>
      <c r="BV674">
        <f>IFERROR(INDEX(PP_Grid[#Data],$DD674,72),0)</f>
        <v/>
      </c>
      <c r="BW674">
        <f>IFERROR(INDEX(PP_Grid[#Data],$DD674,73),0)</f>
        <v/>
      </c>
      <c r="BX674">
        <f>IFERROR(INDEX(PP_Grid[#Data],$DD674,74),0)</f>
        <v/>
      </c>
      <c r="BY674">
        <f>IFERROR(INDEX(PP_Grid[#Data],$DD674,75),0)</f>
        <v/>
      </c>
      <c r="BZ674">
        <f>IFERROR(INDEX(PP_Grid[#Data],$DD674,76),0)</f>
        <v/>
      </c>
      <c r="CA674">
        <f>IFERROR(INDEX(PP_Grid[#Data],$DD674,77),0)</f>
        <v/>
      </c>
      <c r="CB674">
        <f>IFERROR(INDEX(PP_Grid[#Data],$DD674,78),0)</f>
        <v/>
      </c>
      <c r="CC674">
        <f>IFERROR(INDEX(PP_Grid[#Data],$DD674,79),0)</f>
        <v/>
      </c>
      <c r="CD674">
        <f>IFERROR(INDEX(PP_Grid[#Data],$DD674,80),0)</f>
        <v/>
      </c>
      <c r="CE674">
        <f>IFERROR(INDEX(PP_Grid[#Data],$DD674,81),0)</f>
        <v/>
      </c>
      <c r="CF674">
        <f>IFERROR(INDEX(PP_Grid[#Data],$DD674,82),0)</f>
        <v/>
      </c>
      <c r="CG674">
        <f>IFERROR(INDEX(PP_Grid[#Data],$DD674,83),0)</f>
        <v/>
      </c>
      <c r="CH674">
        <f>IFERROR(INDEX(PP_Grid[#Data],$DD674,84),0)</f>
        <v/>
      </c>
      <c r="CI674">
        <f>IFERROR(INDEX(PP_Grid[#Data],$DD674,85),0)</f>
        <v/>
      </c>
      <c r="CJ674">
        <f>IFERROR(INDEX(PP_Grid[#Data],$DD674,86),0)</f>
        <v/>
      </c>
      <c r="CK674">
        <f>IFERROR(INDEX(PP_Grid[#Data],$DD674,87),0)</f>
        <v/>
      </c>
      <c r="CL674">
        <f>IFERROR(INDEX(PP_Grid[#Data],$DD674,88),0)</f>
        <v/>
      </c>
      <c r="CM674">
        <f>IFERROR(INDEX(PP_Grid[#Data],$DD674,89),0)</f>
        <v/>
      </c>
      <c r="CN674">
        <f>IFERROR(INDEX(PP_Grid[#Data],$DD674,90),0)</f>
        <v/>
      </c>
      <c r="CO674">
        <f>IFERROR(INDEX(PP_Grid[#Data],$DD674,91),0)</f>
        <v/>
      </c>
      <c r="CP674">
        <f>IFERROR(INDEX(PP_Grid[#Data],$DD674,92),0)</f>
        <v/>
      </c>
      <c r="CQ674">
        <f>IFERROR(INDEX(PP_Grid[#Data],$DD674,93),0)</f>
        <v/>
      </c>
      <c r="CR674">
        <f>IFERROR(INDEX(PP_Grid[#Data],$DD674,94),0)</f>
        <v/>
      </c>
      <c r="CS674">
        <f>IFERROR(INDEX(PP_Grid[#Data],$DD674,95),0)</f>
        <v/>
      </c>
      <c r="CT674">
        <f>IFERROR(INDEX(PP_Grid[#Data],$DD674,96),0)</f>
        <v/>
      </c>
      <c r="CU674">
        <f>IFERROR(INDEX(PP_Grid[#Data],$DD674,97),0)</f>
        <v/>
      </c>
      <c r="CV674">
        <f>IFERROR(INDEX(PP_Grid[#Data],$DD674,98),0)</f>
        <v/>
      </c>
      <c r="CW674">
        <f>IFERROR(INDEX(PP_Grid[#Data],$DD674,99),0)</f>
        <v/>
      </c>
      <c r="CX674">
        <f>IFERROR(INDEX(PP_Grid[#Data],$DD674,100),0)</f>
        <v/>
      </c>
      <c r="CY674">
        <f>IFERROR(INDEX(PP_Grid[#Data],$DD674,101),0)</f>
        <v/>
      </c>
      <c r="CZ674">
        <f>IFERROR(INDEX(PP_Grid[#Data],$DD674,102),0)</f>
        <v/>
      </c>
      <c r="DA674">
        <f>IFERROR(INDEX(PP_Grid[#Data],$DD674,103),0)</f>
        <v/>
      </c>
      <c r="DB674">
        <f>IFERROR(INDEX(PP_Grid[#Data],$DD674,104),0)</f>
        <v/>
      </c>
      <c r="DC674">
        <f>IFERROR(INDEX(PP_Grid[#Data],$DD674,105),0)</f>
        <v/>
      </c>
      <c r="DD674" s="12">
        <f>IFERROR(MATCH($B674,PP_Grid[Intermediate],0),99999)</f>
        <v/>
      </c>
    </row>
    <row r="675">
      <c r="B675" t="inlineStr">
        <is>
          <t>使用量(kg)</t>
        </is>
      </c>
      <c r="C675">
        <f>SUMIFS(M_BOM[RM_Qty_Per_Batch],M_BOM[Intermediate],$B674,M_BOM[Part Name],$A669)</f>
        <v/>
      </c>
      <c r="D675">
        <f>$C675*D674</f>
        <v/>
      </c>
      <c r="E675">
        <f>$C675*E674</f>
        <v/>
      </c>
      <c r="F675">
        <f>$C675*F674</f>
        <v/>
      </c>
      <c r="G675">
        <f>$C675*G674</f>
        <v/>
      </c>
      <c r="H675">
        <f>$C675*H674</f>
        <v/>
      </c>
      <c r="I675">
        <f>$C675*I674</f>
        <v/>
      </c>
      <c r="J675">
        <f>$C675*J674</f>
        <v/>
      </c>
      <c r="K675">
        <f>$C675*K674</f>
        <v/>
      </c>
      <c r="L675">
        <f>$C675*L674</f>
        <v/>
      </c>
      <c r="M675">
        <f>$C675*M674</f>
        <v/>
      </c>
      <c r="N675">
        <f>$C675*N674</f>
        <v/>
      </c>
      <c r="O675">
        <f>$C675*O674</f>
        <v/>
      </c>
      <c r="P675">
        <f>$C675*P674</f>
        <v/>
      </c>
      <c r="Q675">
        <f>$C675*Q674</f>
        <v/>
      </c>
      <c r="R675">
        <f>$C675*R674</f>
        <v/>
      </c>
      <c r="S675">
        <f>$C675*S674</f>
        <v/>
      </c>
      <c r="T675">
        <f>$C675*T674</f>
        <v/>
      </c>
      <c r="U675">
        <f>$C675*U674</f>
        <v/>
      </c>
      <c r="V675">
        <f>$C675*V674</f>
        <v/>
      </c>
      <c r="W675">
        <f>$C675*W674</f>
        <v/>
      </c>
      <c r="X675">
        <f>$C675*X674</f>
        <v/>
      </c>
      <c r="Y675">
        <f>$C675*Y674</f>
        <v/>
      </c>
      <c r="Z675">
        <f>$C675*Z674</f>
        <v/>
      </c>
      <c r="AA675">
        <f>$C675*AA674</f>
        <v/>
      </c>
      <c r="AB675">
        <f>$C675*AB674</f>
        <v/>
      </c>
      <c r="AC675">
        <f>$C675*AC674</f>
        <v/>
      </c>
      <c r="AD675">
        <f>$C675*AD674</f>
        <v/>
      </c>
      <c r="AE675">
        <f>$C675*AE674</f>
        <v/>
      </c>
      <c r="AF675">
        <f>$C675*AF674</f>
        <v/>
      </c>
      <c r="AG675">
        <f>$C675*AG674</f>
        <v/>
      </c>
      <c r="AH675">
        <f>$C675*AH674</f>
        <v/>
      </c>
      <c r="AI675">
        <f>$C675*AI674</f>
        <v/>
      </c>
      <c r="AJ675">
        <f>$C675*AJ674</f>
        <v/>
      </c>
      <c r="AK675">
        <f>$C675*AK674</f>
        <v/>
      </c>
      <c r="AL675">
        <f>$C675*AL674</f>
        <v/>
      </c>
      <c r="AM675">
        <f>$C675*AM674</f>
        <v/>
      </c>
      <c r="AN675">
        <f>$C675*AN674</f>
        <v/>
      </c>
      <c r="AO675">
        <f>$C675*AO674</f>
        <v/>
      </c>
      <c r="AP675">
        <f>$C675*AP674</f>
        <v/>
      </c>
      <c r="AQ675">
        <f>$C675*AQ674</f>
        <v/>
      </c>
      <c r="AR675">
        <f>$C675*AR674</f>
        <v/>
      </c>
      <c r="AS675">
        <f>$C675*AS674</f>
        <v/>
      </c>
      <c r="AT675">
        <f>$C675*AT674</f>
        <v/>
      </c>
      <c r="AU675">
        <f>$C675*AU674</f>
        <v/>
      </c>
      <c r="AV675">
        <f>$C675*AV674</f>
        <v/>
      </c>
      <c r="AW675">
        <f>$C675*AW674</f>
        <v/>
      </c>
      <c r="AX675">
        <f>$C675*AX674</f>
        <v/>
      </c>
      <c r="AY675">
        <f>$C675*AY674</f>
        <v/>
      </c>
      <c r="AZ675">
        <f>$C675*AZ674</f>
        <v/>
      </c>
      <c r="BA675">
        <f>$C675*BA674</f>
        <v/>
      </c>
      <c r="BB675">
        <f>$C675*BB674</f>
        <v/>
      </c>
      <c r="BC675">
        <f>$C675*BC674</f>
        <v/>
      </c>
      <c r="BD675">
        <f>$C675*BD674</f>
        <v/>
      </c>
      <c r="BE675">
        <f>$C675*BE674</f>
        <v/>
      </c>
      <c r="BF675">
        <f>$C675*BF674</f>
        <v/>
      </c>
      <c r="BG675">
        <f>$C675*BG674</f>
        <v/>
      </c>
      <c r="BH675">
        <f>$C675*BH674</f>
        <v/>
      </c>
      <c r="BI675">
        <f>$C675*BI674</f>
        <v/>
      </c>
      <c r="BJ675">
        <f>$C675*BJ674</f>
        <v/>
      </c>
      <c r="BK675">
        <f>$C675*BK674</f>
        <v/>
      </c>
      <c r="BL675">
        <f>$C675*BL674</f>
        <v/>
      </c>
      <c r="BM675">
        <f>$C675*BM674</f>
        <v/>
      </c>
      <c r="BN675">
        <f>$C675*BN674</f>
        <v/>
      </c>
      <c r="BO675">
        <f>$C675*BO674</f>
        <v/>
      </c>
      <c r="BP675">
        <f>$C675*BP674</f>
        <v/>
      </c>
      <c r="BQ675">
        <f>$C675*BQ674</f>
        <v/>
      </c>
      <c r="BR675">
        <f>$C675*BR674</f>
        <v/>
      </c>
      <c r="BS675">
        <f>$C675*BS674</f>
        <v/>
      </c>
      <c r="BT675">
        <f>$C675*BT674</f>
        <v/>
      </c>
      <c r="BU675">
        <f>$C675*BU674</f>
        <v/>
      </c>
      <c r="BV675">
        <f>$C675*BV674</f>
        <v/>
      </c>
      <c r="BW675">
        <f>$C675*BW674</f>
        <v/>
      </c>
      <c r="BX675">
        <f>$C675*BX674</f>
        <v/>
      </c>
      <c r="BY675">
        <f>$C675*BY674</f>
        <v/>
      </c>
      <c r="BZ675">
        <f>$C675*BZ674</f>
        <v/>
      </c>
      <c r="CA675">
        <f>$C675*CA674</f>
        <v/>
      </c>
      <c r="CB675">
        <f>$C675*CB674</f>
        <v/>
      </c>
      <c r="CC675">
        <f>$C675*CC674</f>
        <v/>
      </c>
      <c r="CD675">
        <f>$C675*CD674</f>
        <v/>
      </c>
      <c r="CE675">
        <f>$C675*CE674</f>
        <v/>
      </c>
      <c r="CF675">
        <f>$C675*CF674</f>
        <v/>
      </c>
      <c r="CG675">
        <f>$C675*CG674</f>
        <v/>
      </c>
      <c r="CH675">
        <f>$C675*CH674</f>
        <v/>
      </c>
      <c r="CI675">
        <f>$C675*CI674</f>
        <v/>
      </c>
      <c r="CJ675">
        <f>$C675*CJ674</f>
        <v/>
      </c>
      <c r="CK675">
        <f>$C675*CK674</f>
        <v/>
      </c>
      <c r="CL675">
        <f>$C675*CL674</f>
        <v/>
      </c>
      <c r="CM675">
        <f>$C675*CM674</f>
        <v/>
      </c>
      <c r="CN675">
        <f>$C675*CN674</f>
        <v/>
      </c>
      <c r="CO675">
        <f>$C675*CO674</f>
        <v/>
      </c>
      <c r="CP675">
        <f>$C675*CP674</f>
        <v/>
      </c>
      <c r="CQ675">
        <f>$C675*CQ674</f>
        <v/>
      </c>
      <c r="CR675">
        <f>$C675*CR674</f>
        <v/>
      </c>
      <c r="CS675">
        <f>$C675*CS674</f>
        <v/>
      </c>
      <c r="CT675">
        <f>$C675*CT674</f>
        <v/>
      </c>
      <c r="CU675">
        <f>$C675*CU674</f>
        <v/>
      </c>
      <c r="CV675">
        <f>$C675*CV674</f>
        <v/>
      </c>
      <c r="CW675">
        <f>$C675*CW674</f>
        <v/>
      </c>
      <c r="CX675">
        <f>$C675*CX674</f>
        <v/>
      </c>
      <c r="CY675">
        <f>$C675*CY674</f>
        <v/>
      </c>
      <c r="CZ675">
        <f>$C675*CZ674</f>
        <v/>
      </c>
      <c r="DA675">
        <f>$C675*DA674</f>
        <v/>
      </c>
      <c r="DB675">
        <f>$C675*DB674</f>
        <v/>
      </c>
      <c r="DC675">
        <f>$C675*DC674</f>
        <v/>
      </c>
    </row>
    <row r="676">
      <c r="B676" t="inlineStr">
        <is>
          <t>TSP-069</t>
        </is>
      </c>
      <c r="C676" t="inlineStr">
        <is>
          <t>No. of batches</t>
        </is>
      </c>
      <c r="D676">
        <f>IFERROR(INDEX(PP_Grid[#Data],$DD676,2),0)</f>
        <v/>
      </c>
      <c r="E676">
        <f>IFERROR(INDEX(PP_Grid[#Data],$DD676,3),0)</f>
        <v/>
      </c>
      <c r="F676">
        <f>IFERROR(INDEX(PP_Grid[#Data],$DD676,4),0)</f>
        <v/>
      </c>
      <c r="G676">
        <f>IFERROR(INDEX(PP_Grid[#Data],$DD676,5),0)</f>
        <v/>
      </c>
      <c r="H676">
        <f>IFERROR(INDEX(PP_Grid[#Data],$DD676,6),0)</f>
        <v/>
      </c>
      <c r="I676">
        <f>IFERROR(INDEX(PP_Grid[#Data],$DD676,7),0)</f>
        <v/>
      </c>
      <c r="J676">
        <f>IFERROR(INDEX(PP_Grid[#Data],$DD676,8),0)</f>
        <v/>
      </c>
      <c r="K676">
        <f>IFERROR(INDEX(PP_Grid[#Data],$DD676,9),0)</f>
        <v/>
      </c>
      <c r="L676">
        <f>IFERROR(INDEX(PP_Grid[#Data],$DD676,10),0)</f>
        <v/>
      </c>
      <c r="M676">
        <f>IFERROR(INDEX(PP_Grid[#Data],$DD676,11),0)</f>
        <v/>
      </c>
      <c r="N676">
        <f>IFERROR(INDEX(PP_Grid[#Data],$DD676,12),0)</f>
        <v/>
      </c>
      <c r="O676">
        <f>IFERROR(INDEX(PP_Grid[#Data],$DD676,13),0)</f>
        <v/>
      </c>
      <c r="P676">
        <f>IFERROR(INDEX(PP_Grid[#Data],$DD676,14),0)</f>
        <v/>
      </c>
      <c r="Q676">
        <f>IFERROR(INDEX(PP_Grid[#Data],$DD676,15),0)</f>
        <v/>
      </c>
      <c r="R676">
        <f>IFERROR(INDEX(PP_Grid[#Data],$DD676,16),0)</f>
        <v/>
      </c>
      <c r="S676">
        <f>IFERROR(INDEX(PP_Grid[#Data],$DD676,17),0)</f>
        <v/>
      </c>
      <c r="T676">
        <f>IFERROR(INDEX(PP_Grid[#Data],$DD676,18),0)</f>
        <v/>
      </c>
      <c r="U676">
        <f>IFERROR(INDEX(PP_Grid[#Data],$DD676,19),0)</f>
        <v/>
      </c>
      <c r="V676">
        <f>IFERROR(INDEX(PP_Grid[#Data],$DD676,20),0)</f>
        <v/>
      </c>
      <c r="W676">
        <f>IFERROR(INDEX(PP_Grid[#Data],$DD676,21),0)</f>
        <v/>
      </c>
      <c r="X676">
        <f>IFERROR(INDEX(PP_Grid[#Data],$DD676,22),0)</f>
        <v/>
      </c>
      <c r="Y676">
        <f>IFERROR(INDEX(PP_Grid[#Data],$DD676,23),0)</f>
        <v/>
      </c>
      <c r="Z676">
        <f>IFERROR(INDEX(PP_Grid[#Data],$DD676,24),0)</f>
        <v/>
      </c>
      <c r="AA676">
        <f>IFERROR(INDEX(PP_Grid[#Data],$DD676,25),0)</f>
        <v/>
      </c>
      <c r="AB676">
        <f>IFERROR(INDEX(PP_Grid[#Data],$DD676,26),0)</f>
        <v/>
      </c>
      <c r="AC676">
        <f>IFERROR(INDEX(PP_Grid[#Data],$DD676,27),0)</f>
        <v/>
      </c>
      <c r="AD676">
        <f>IFERROR(INDEX(PP_Grid[#Data],$DD676,28),0)</f>
        <v/>
      </c>
      <c r="AE676">
        <f>IFERROR(INDEX(PP_Grid[#Data],$DD676,29),0)</f>
        <v/>
      </c>
      <c r="AF676">
        <f>IFERROR(INDEX(PP_Grid[#Data],$DD676,30),0)</f>
        <v/>
      </c>
      <c r="AG676">
        <f>IFERROR(INDEX(PP_Grid[#Data],$DD676,31),0)</f>
        <v/>
      </c>
      <c r="AH676">
        <f>IFERROR(INDEX(PP_Grid[#Data],$DD676,32),0)</f>
        <v/>
      </c>
      <c r="AI676">
        <f>IFERROR(INDEX(PP_Grid[#Data],$DD676,33),0)</f>
        <v/>
      </c>
      <c r="AJ676">
        <f>IFERROR(INDEX(PP_Grid[#Data],$DD676,34),0)</f>
        <v/>
      </c>
      <c r="AK676">
        <f>IFERROR(INDEX(PP_Grid[#Data],$DD676,35),0)</f>
        <v/>
      </c>
      <c r="AL676">
        <f>IFERROR(INDEX(PP_Grid[#Data],$DD676,36),0)</f>
        <v/>
      </c>
      <c r="AM676">
        <f>IFERROR(INDEX(PP_Grid[#Data],$DD676,37),0)</f>
        <v/>
      </c>
      <c r="AN676">
        <f>IFERROR(INDEX(PP_Grid[#Data],$DD676,38),0)</f>
        <v/>
      </c>
      <c r="AO676">
        <f>IFERROR(INDEX(PP_Grid[#Data],$DD676,39),0)</f>
        <v/>
      </c>
      <c r="AP676">
        <f>IFERROR(INDEX(PP_Grid[#Data],$DD676,40),0)</f>
        <v/>
      </c>
      <c r="AQ676">
        <f>IFERROR(INDEX(PP_Grid[#Data],$DD676,41),0)</f>
        <v/>
      </c>
      <c r="AR676">
        <f>IFERROR(INDEX(PP_Grid[#Data],$DD676,42),0)</f>
        <v/>
      </c>
      <c r="AS676">
        <f>IFERROR(INDEX(PP_Grid[#Data],$DD676,43),0)</f>
        <v/>
      </c>
      <c r="AT676">
        <f>IFERROR(INDEX(PP_Grid[#Data],$DD676,44),0)</f>
        <v/>
      </c>
      <c r="AU676">
        <f>IFERROR(INDEX(PP_Grid[#Data],$DD676,45),0)</f>
        <v/>
      </c>
      <c r="AV676">
        <f>IFERROR(INDEX(PP_Grid[#Data],$DD676,46),0)</f>
        <v/>
      </c>
      <c r="AW676">
        <f>IFERROR(INDEX(PP_Grid[#Data],$DD676,47),0)</f>
        <v/>
      </c>
      <c r="AX676">
        <f>IFERROR(INDEX(PP_Grid[#Data],$DD676,48),0)</f>
        <v/>
      </c>
      <c r="AY676">
        <f>IFERROR(INDEX(PP_Grid[#Data],$DD676,49),0)</f>
        <v/>
      </c>
      <c r="AZ676">
        <f>IFERROR(INDEX(PP_Grid[#Data],$DD676,50),0)</f>
        <v/>
      </c>
      <c r="BA676">
        <f>IFERROR(INDEX(PP_Grid[#Data],$DD676,51),0)</f>
        <v/>
      </c>
      <c r="BB676">
        <f>IFERROR(INDEX(PP_Grid[#Data],$DD676,52),0)</f>
        <v/>
      </c>
      <c r="BC676">
        <f>IFERROR(INDEX(PP_Grid[#Data],$DD676,53),0)</f>
        <v/>
      </c>
      <c r="BD676">
        <f>IFERROR(INDEX(PP_Grid[#Data],$DD676,54),0)</f>
        <v/>
      </c>
      <c r="BE676">
        <f>IFERROR(INDEX(PP_Grid[#Data],$DD676,55),0)</f>
        <v/>
      </c>
      <c r="BF676">
        <f>IFERROR(INDEX(PP_Grid[#Data],$DD676,56),0)</f>
        <v/>
      </c>
      <c r="BG676">
        <f>IFERROR(INDEX(PP_Grid[#Data],$DD676,57),0)</f>
        <v/>
      </c>
      <c r="BH676">
        <f>IFERROR(INDEX(PP_Grid[#Data],$DD676,58),0)</f>
        <v/>
      </c>
      <c r="BI676">
        <f>IFERROR(INDEX(PP_Grid[#Data],$DD676,59),0)</f>
        <v/>
      </c>
      <c r="BJ676">
        <f>IFERROR(INDEX(PP_Grid[#Data],$DD676,60),0)</f>
        <v/>
      </c>
      <c r="BK676">
        <f>IFERROR(INDEX(PP_Grid[#Data],$DD676,61),0)</f>
        <v/>
      </c>
      <c r="BL676">
        <f>IFERROR(INDEX(PP_Grid[#Data],$DD676,62),0)</f>
        <v/>
      </c>
      <c r="BM676">
        <f>IFERROR(INDEX(PP_Grid[#Data],$DD676,63),0)</f>
        <v/>
      </c>
      <c r="BN676">
        <f>IFERROR(INDEX(PP_Grid[#Data],$DD676,64),0)</f>
        <v/>
      </c>
      <c r="BO676">
        <f>IFERROR(INDEX(PP_Grid[#Data],$DD676,65),0)</f>
        <v/>
      </c>
      <c r="BP676">
        <f>IFERROR(INDEX(PP_Grid[#Data],$DD676,66),0)</f>
        <v/>
      </c>
      <c r="BQ676">
        <f>IFERROR(INDEX(PP_Grid[#Data],$DD676,67),0)</f>
        <v/>
      </c>
      <c r="BR676">
        <f>IFERROR(INDEX(PP_Grid[#Data],$DD676,68),0)</f>
        <v/>
      </c>
      <c r="BS676">
        <f>IFERROR(INDEX(PP_Grid[#Data],$DD676,69),0)</f>
        <v/>
      </c>
      <c r="BT676">
        <f>IFERROR(INDEX(PP_Grid[#Data],$DD676,70),0)</f>
        <v/>
      </c>
      <c r="BU676">
        <f>IFERROR(INDEX(PP_Grid[#Data],$DD676,71),0)</f>
        <v/>
      </c>
      <c r="BV676">
        <f>IFERROR(INDEX(PP_Grid[#Data],$DD676,72),0)</f>
        <v/>
      </c>
      <c r="BW676">
        <f>IFERROR(INDEX(PP_Grid[#Data],$DD676,73),0)</f>
        <v/>
      </c>
      <c r="BX676">
        <f>IFERROR(INDEX(PP_Grid[#Data],$DD676,74),0)</f>
        <v/>
      </c>
      <c r="BY676">
        <f>IFERROR(INDEX(PP_Grid[#Data],$DD676,75),0)</f>
        <v/>
      </c>
      <c r="BZ676">
        <f>IFERROR(INDEX(PP_Grid[#Data],$DD676,76),0)</f>
        <v/>
      </c>
      <c r="CA676">
        <f>IFERROR(INDEX(PP_Grid[#Data],$DD676,77),0)</f>
        <v/>
      </c>
      <c r="CB676">
        <f>IFERROR(INDEX(PP_Grid[#Data],$DD676,78),0)</f>
        <v/>
      </c>
      <c r="CC676">
        <f>IFERROR(INDEX(PP_Grid[#Data],$DD676,79),0)</f>
        <v/>
      </c>
      <c r="CD676">
        <f>IFERROR(INDEX(PP_Grid[#Data],$DD676,80),0)</f>
        <v/>
      </c>
      <c r="CE676">
        <f>IFERROR(INDEX(PP_Grid[#Data],$DD676,81),0)</f>
        <v/>
      </c>
      <c r="CF676">
        <f>IFERROR(INDEX(PP_Grid[#Data],$DD676,82),0)</f>
        <v/>
      </c>
      <c r="CG676">
        <f>IFERROR(INDEX(PP_Grid[#Data],$DD676,83),0)</f>
        <v/>
      </c>
      <c r="CH676">
        <f>IFERROR(INDEX(PP_Grid[#Data],$DD676,84),0)</f>
        <v/>
      </c>
      <c r="CI676">
        <f>IFERROR(INDEX(PP_Grid[#Data],$DD676,85),0)</f>
        <v/>
      </c>
      <c r="CJ676">
        <f>IFERROR(INDEX(PP_Grid[#Data],$DD676,86),0)</f>
        <v/>
      </c>
      <c r="CK676">
        <f>IFERROR(INDEX(PP_Grid[#Data],$DD676,87),0)</f>
        <v/>
      </c>
      <c r="CL676">
        <f>IFERROR(INDEX(PP_Grid[#Data],$DD676,88),0)</f>
        <v/>
      </c>
      <c r="CM676">
        <f>IFERROR(INDEX(PP_Grid[#Data],$DD676,89),0)</f>
        <v/>
      </c>
      <c r="CN676">
        <f>IFERROR(INDEX(PP_Grid[#Data],$DD676,90),0)</f>
        <v/>
      </c>
      <c r="CO676">
        <f>IFERROR(INDEX(PP_Grid[#Data],$DD676,91),0)</f>
        <v/>
      </c>
      <c r="CP676">
        <f>IFERROR(INDEX(PP_Grid[#Data],$DD676,92),0)</f>
        <v/>
      </c>
      <c r="CQ676">
        <f>IFERROR(INDEX(PP_Grid[#Data],$DD676,93),0)</f>
        <v/>
      </c>
      <c r="CR676">
        <f>IFERROR(INDEX(PP_Grid[#Data],$DD676,94),0)</f>
        <v/>
      </c>
      <c r="CS676">
        <f>IFERROR(INDEX(PP_Grid[#Data],$DD676,95),0)</f>
        <v/>
      </c>
      <c r="CT676">
        <f>IFERROR(INDEX(PP_Grid[#Data],$DD676,96),0)</f>
        <v/>
      </c>
      <c r="CU676">
        <f>IFERROR(INDEX(PP_Grid[#Data],$DD676,97),0)</f>
        <v/>
      </c>
      <c r="CV676">
        <f>IFERROR(INDEX(PP_Grid[#Data],$DD676,98),0)</f>
        <v/>
      </c>
      <c r="CW676">
        <f>IFERROR(INDEX(PP_Grid[#Data],$DD676,99),0)</f>
        <v/>
      </c>
      <c r="CX676">
        <f>IFERROR(INDEX(PP_Grid[#Data],$DD676,100),0)</f>
        <v/>
      </c>
      <c r="CY676">
        <f>IFERROR(INDEX(PP_Grid[#Data],$DD676,101),0)</f>
        <v/>
      </c>
      <c r="CZ676">
        <f>IFERROR(INDEX(PP_Grid[#Data],$DD676,102),0)</f>
        <v/>
      </c>
      <c r="DA676">
        <f>IFERROR(INDEX(PP_Grid[#Data],$DD676,103),0)</f>
        <v/>
      </c>
      <c r="DB676">
        <f>IFERROR(INDEX(PP_Grid[#Data],$DD676,104),0)</f>
        <v/>
      </c>
      <c r="DC676">
        <f>IFERROR(INDEX(PP_Grid[#Data],$DD676,105),0)</f>
        <v/>
      </c>
      <c r="DD676" s="12">
        <f>IFERROR(MATCH($B676,PP_Grid[Intermediate],0),99999)</f>
        <v/>
      </c>
    </row>
    <row r="677">
      <c r="B677" t="inlineStr">
        <is>
          <t>使用量(kg)</t>
        </is>
      </c>
      <c r="C677">
        <f>SUMIFS(M_BOM[RM_Qty_Per_Batch],M_BOM[Intermediate],$B676,M_BOM[Part Name],$A669)</f>
        <v/>
      </c>
      <c r="D677">
        <f>$C677*D676</f>
        <v/>
      </c>
      <c r="E677">
        <f>$C677*E676</f>
        <v/>
      </c>
      <c r="F677">
        <f>$C677*F676</f>
        <v/>
      </c>
      <c r="G677">
        <f>$C677*G676</f>
        <v/>
      </c>
      <c r="H677">
        <f>$C677*H676</f>
        <v/>
      </c>
      <c r="I677">
        <f>$C677*I676</f>
        <v/>
      </c>
      <c r="J677">
        <f>$C677*J676</f>
        <v/>
      </c>
      <c r="K677">
        <f>$C677*K676</f>
        <v/>
      </c>
      <c r="L677">
        <f>$C677*L676</f>
        <v/>
      </c>
      <c r="M677">
        <f>$C677*M676</f>
        <v/>
      </c>
      <c r="N677">
        <f>$C677*N676</f>
        <v/>
      </c>
      <c r="O677">
        <f>$C677*O676</f>
        <v/>
      </c>
      <c r="P677">
        <f>$C677*P676</f>
        <v/>
      </c>
      <c r="Q677">
        <f>$C677*Q676</f>
        <v/>
      </c>
      <c r="R677">
        <f>$C677*R676</f>
        <v/>
      </c>
      <c r="S677">
        <f>$C677*S676</f>
        <v/>
      </c>
      <c r="T677">
        <f>$C677*T676</f>
        <v/>
      </c>
      <c r="U677">
        <f>$C677*U676</f>
        <v/>
      </c>
      <c r="V677">
        <f>$C677*V676</f>
        <v/>
      </c>
      <c r="W677">
        <f>$C677*W676</f>
        <v/>
      </c>
      <c r="X677">
        <f>$C677*X676</f>
        <v/>
      </c>
      <c r="Y677">
        <f>$C677*Y676</f>
        <v/>
      </c>
      <c r="Z677">
        <f>$C677*Z676</f>
        <v/>
      </c>
      <c r="AA677">
        <f>$C677*AA676</f>
        <v/>
      </c>
      <c r="AB677">
        <f>$C677*AB676</f>
        <v/>
      </c>
      <c r="AC677">
        <f>$C677*AC676</f>
        <v/>
      </c>
      <c r="AD677">
        <f>$C677*AD676</f>
        <v/>
      </c>
      <c r="AE677">
        <f>$C677*AE676</f>
        <v/>
      </c>
      <c r="AF677">
        <f>$C677*AF676</f>
        <v/>
      </c>
      <c r="AG677">
        <f>$C677*AG676</f>
        <v/>
      </c>
      <c r="AH677">
        <f>$C677*AH676</f>
        <v/>
      </c>
      <c r="AI677">
        <f>$C677*AI676</f>
        <v/>
      </c>
      <c r="AJ677">
        <f>$C677*AJ676</f>
        <v/>
      </c>
      <c r="AK677">
        <f>$C677*AK676</f>
        <v/>
      </c>
      <c r="AL677">
        <f>$C677*AL676</f>
        <v/>
      </c>
      <c r="AM677">
        <f>$C677*AM676</f>
        <v/>
      </c>
      <c r="AN677">
        <f>$C677*AN676</f>
        <v/>
      </c>
      <c r="AO677">
        <f>$C677*AO676</f>
        <v/>
      </c>
      <c r="AP677">
        <f>$C677*AP676</f>
        <v/>
      </c>
      <c r="AQ677">
        <f>$C677*AQ676</f>
        <v/>
      </c>
      <c r="AR677">
        <f>$C677*AR676</f>
        <v/>
      </c>
      <c r="AS677">
        <f>$C677*AS676</f>
        <v/>
      </c>
      <c r="AT677">
        <f>$C677*AT676</f>
        <v/>
      </c>
      <c r="AU677">
        <f>$C677*AU676</f>
        <v/>
      </c>
      <c r="AV677">
        <f>$C677*AV676</f>
        <v/>
      </c>
      <c r="AW677">
        <f>$C677*AW676</f>
        <v/>
      </c>
      <c r="AX677">
        <f>$C677*AX676</f>
        <v/>
      </c>
      <c r="AY677">
        <f>$C677*AY676</f>
        <v/>
      </c>
      <c r="AZ677">
        <f>$C677*AZ676</f>
        <v/>
      </c>
      <c r="BA677">
        <f>$C677*BA676</f>
        <v/>
      </c>
      <c r="BB677">
        <f>$C677*BB676</f>
        <v/>
      </c>
      <c r="BC677">
        <f>$C677*BC676</f>
        <v/>
      </c>
      <c r="BD677">
        <f>$C677*BD676</f>
        <v/>
      </c>
      <c r="BE677">
        <f>$C677*BE676</f>
        <v/>
      </c>
      <c r="BF677">
        <f>$C677*BF676</f>
        <v/>
      </c>
      <c r="BG677">
        <f>$C677*BG676</f>
        <v/>
      </c>
      <c r="BH677">
        <f>$C677*BH676</f>
        <v/>
      </c>
      <c r="BI677">
        <f>$C677*BI676</f>
        <v/>
      </c>
      <c r="BJ677">
        <f>$C677*BJ676</f>
        <v/>
      </c>
      <c r="BK677">
        <f>$C677*BK676</f>
        <v/>
      </c>
      <c r="BL677">
        <f>$C677*BL676</f>
        <v/>
      </c>
      <c r="BM677">
        <f>$C677*BM676</f>
        <v/>
      </c>
      <c r="BN677">
        <f>$C677*BN676</f>
        <v/>
      </c>
      <c r="BO677">
        <f>$C677*BO676</f>
        <v/>
      </c>
      <c r="BP677">
        <f>$C677*BP676</f>
        <v/>
      </c>
      <c r="BQ677">
        <f>$C677*BQ676</f>
        <v/>
      </c>
      <c r="BR677">
        <f>$C677*BR676</f>
        <v/>
      </c>
      <c r="BS677">
        <f>$C677*BS676</f>
        <v/>
      </c>
      <c r="BT677">
        <f>$C677*BT676</f>
        <v/>
      </c>
      <c r="BU677">
        <f>$C677*BU676</f>
        <v/>
      </c>
      <c r="BV677">
        <f>$C677*BV676</f>
        <v/>
      </c>
      <c r="BW677">
        <f>$C677*BW676</f>
        <v/>
      </c>
      <c r="BX677">
        <f>$C677*BX676</f>
        <v/>
      </c>
      <c r="BY677">
        <f>$C677*BY676</f>
        <v/>
      </c>
      <c r="BZ677">
        <f>$C677*BZ676</f>
        <v/>
      </c>
      <c r="CA677">
        <f>$C677*CA676</f>
        <v/>
      </c>
      <c r="CB677">
        <f>$C677*CB676</f>
        <v/>
      </c>
      <c r="CC677">
        <f>$C677*CC676</f>
        <v/>
      </c>
      <c r="CD677">
        <f>$C677*CD676</f>
        <v/>
      </c>
      <c r="CE677">
        <f>$C677*CE676</f>
        <v/>
      </c>
      <c r="CF677">
        <f>$C677*CF676</f>
        <v/>
      </c>
      <c r="CG677">
        <f>$C677*CG676</f>
        <v/>
      </c>
      <c r="CH677">
        <f>$C677*CH676</f>
        <v/>
      </c>
      <c r="CI677">
        <f>$C677*CI676</f>
        <v/>
      </c>
      <c r="CJ677">
        <f>$C677*CJ676</f>
        <v/>
      </c>
      <c r="CK677">
        <f>$C677*CK676</f>
        <v/>
      </c>
      <c r="CL677">
        <f>$C677*CL676</f>
        <v/>
      </c>
      <c r="CM677">
        <f>$C677*CM676</f>
        <v/>
      </c>
      <c r="CN677">
        <f>$C677*CN676</f>
        <v/>
      </c>
      <c r="CO677">
        <f>$C677*CO676</f>
        <v/>
      </c>
      <c r="CP677">
        <f>$C677*CP676</f>
        <v/>
      </c>
      <c r="CQ677">
        <f>$C677*CQ676</f>
        <v/>
      </c>
      <c r="CR677">
        <f>$C677*CR676</f>
        <v/>
      </c>
      <c r="CS677">
        <f>$C677*CS676</f>
        <v/>
      </c>
      <c r="CT677">
        <f>$C677*CT676</f>
        <v/>
      </c>
      <c r="CU677">
        <f>$C677*CU676</f>
        <v/>
      </c>
      <c r="CV677">
        <f>$C677*CV676</f>
        <v/>
      </c>
      <c r="CW677">
        <f>$C677*CW676</f>
        <v/>
      </c>
      <c r="CX677">
        <f>$C677*CX676</f>
        <v/>
      </c>
      <c r="CY677">
        <f>$C677*CY676</f>
        <v/>
      </c>
      <c r="CZ677">
        <f>$C677*CZ676</f>
        <v/>
      </c>
      <c r="DA677">
        <f>$C677*DA676</f>
        <v/>
      </c>
      <c r="DB677">
        <f>$C677*DB676</f>
        <v/>
      </c>
      <c r="DC677">
        <f>$C677*DC676</f>
        <v/>
      </c>
    </row>
    <row r="678">
      <c r="B678" t="inlineStr">
        <is>
          <t>TSP-078</t>
        </is>
      </c>
      <c r="C678" t="inlineStr">
        <is>
          <t>No. of batches</t>
        </is>
      </c>
      <c r="D678">
        <f>IFERROR(INDEX(PP_Grid[#Data],$DD678,2),0)</f>
        <v/>
      </c>
      <c r="E678">
        <f>IFERROR(INDEX(PP_Grid[#Data],$DD678,3),0)</f>
        <v/>
      </c>
      <c r="F678">
        <f>IFERROR(INDEX(PP_Grid[#Data],$DD678,4),0)</f>
        <v/>
      </c>
      <c r="G678">
        <f>IFERROR(INDEX(PP_Grid[#Data],$DD678,5),0)</f>
        <v/>
      </c>
      <c r="H678">
        <f>IFERROR(INDEX(PP_Grid[#Data],$DD678,6),0)</f>
        <v/>
      </c>
      <c r="I678">
        <f>IFERROR(INDEX(PP_Grid[#Data],$DD678,7),0)</f>
        <v/>
      </c>
      <c r="J678">
        <f>IFERROR(INDEX(PP_Grid[#Data],$DD678,8),0)</f>
        <v/>
      </c>
      <c r="K678">
        <f>IFERROR(INDEX(PP_Grid[#Data],$DD678,9),0)</f>
        <v/>
      </c>
      <c r="L678">
        <f>IFERROR(INDEX(PP_Grid[#Data],$DD678,10),0)</f>
        <v/>
      </c>
      <c r="M678">
        <f>IFERROR(INDEX(PP_Grid[#Data],$DD678,11),0)</f>
        <v/>
      </c>
      <c r="N678">
        <f>IFERROR(INDEX(PP_Grid[#Data],$DD678,12),0)</f>
        <v/>
      </c>
      <c r="O678">
        <f>IFERROR(INDEX(PP_Grid[#Data],$DD678,13),0)</f>
        <v/>
      </c>
      <c r="P678">
        <f>IFERROR(INDEX(PP_Grid[#Data],$DD678,14),0)</f>
        <v/>
      </c>
      <c r="Q678">
        <f>IFERROR(INDEX(PP_Grid[#Data],$DD678,15),0)</f>
        <v/>
      </c>
      <c r="R678">
        <f>IFERROR(INDEX(PP_Grid[#Data],$DD678,16),0)</f>
        <v/>
      </c>
      <c r="S678">
        <f>IFERROR(INDEX(PP_Grid[#Data],$DD678,17),0)</f>
        <v/>
      </c>
      <c r="T678">
        <f>IFERROR(INDEX(PP_Grid[#Data],$DD678,18),0)</f>
        <v/>
      </c>
      <c r="U678">
        <f>IFERROR(INDEX(PP_Grid[#Data],$DD678,19),0)</f>
        <v/>
      </c>
      <c r="V678">
        <f>IFERROR(INDEX(PP_Grid[#Data],$DD678,20),0)</f>
        <v/>
      </c>
      <c r="W678">
        <f>IFERROR(INDEX(PP_Grid[#Data],$DD678,21),0)</f>
        <v/>
      </c>
      <c r="X678">
        <f>IFERROR(INDEX(PP_Grid[#Data],$DD678,22),0)</f>
        <v/>
      </c>
      <c r="Y678">
        <f>IFERROR(INDEX(PP_Grid[#Data],$DD678,23),0)</f>
        <v/>
      </c>
      <c r="Z678">
        <f>IFERROR(INDEX(PP_Grid[#Data],$DD678,24),0)</f>
        <v/>
      </c>
      <c r="AA678">
        <f>IFERROR(INDEX(PP_Grid[#Data],$DD678,25),0)</f>
        <v/>
      </c>
      <c r="AB678">
        <f>IFERROR(INDEX(PP_Grid[#Data],$DD678,26),0)</f>
        <v/>
      </c>
      <c r="AC678">
        <f>IFERROR(INDEX(PP_Grid[#Data],$DD678,27),0)</f>
        <v/>
      </c>
      <c r="AD678">
        <f>IFERROR(INDEX(PP_Grid[#Data],$DD678,28),0)</f>
        <v/>
      </c>
      <c r="AE678">
        <f>IFERROR(INDEX(PP_Grid[#Data],$DD678,29),0)</f>
        <v/>
      </c>
      <c r="AF678">
        <f>IFERROR(INDEX(PP_Grid[#Data],$DD678,30),0)</f>
        <v/>
      </c>
      <c r="AG678">
        <f>IFERROR(INDEX(PP_Grid[#Data],$DD678,31),0)</f>
        <v/>
      </c>
      <c r="AH678">
        <f>IFERROR(INDEX(PP_Grid[#Data],$DD678,32),0)</f>
        <v/>
      </c>
      <c r="AI678">
        <f>IFERROR(INDEX(PP_Grid[#Data],$DD678,33),0)</f>
        <v/>
      </c>
      <c r="AJ678">
        <f>IFERROR(INDEX(PP_Grid[#Data],$DD678,34),0)</f>
        <v/>
      </c>
      <c r="AK678">
        <f>IFERROR(INDEX(PP_Grid[#Data],$DD678,35),0)</f>
        <v/>
      </c>
      <c r="AL678">
        <f>IFERROR(INDEX(PP_Grid[#Data],$DD678,36),0)</f>
        <v/>
      </c>
      <c r="AM678">
        <f>IFERROR(INDEX(PP_Grid[#Data],$DD678,37),0)</f>
        <v/>
      </c>
      <c r="AN678">
        <f>IFERROR(INDEX(PP_Grid[#Data],$DD678,38),0)</f>
        <v/>
      </c>
      <c r="AO678">
        <f>IFERROR(INDEX(PP_Grid[#Data],$DD678,39),0)</f>
        <v/>
      </c>
      <c r="AP678">
        <f>IFERROR(INDEX(PP_Grid[#Data],$DD678,40),0)</f>
        <v/>
      </c>
      <c r="AQ678">
        <f>IFERROR(INDEX(PP_Grid[#Data],$DD678,41),0)</f>
        <v/>
      </c>
      <c r="AR678">
        <f>IFERROR(INDEX(PP_Grid[#Data],$DD678,42),0)</f>
        <v/>
      </c>
      <c r="AS678">
        <f>IFERROR(INDEX(PP_Grid[#Data],$DD678,43),0)</f>
        <v/>
      </c>
      <c r="AT678">
        <f>IFERROR(INDEX(PP_Grid[#Data],$DD678,44),0)</f>
        <v/>
      </c>
      <c r="AU678">
        <f>IFERROR(INDEX(PP_Grid[#Data],$DD678,45),0)</f>
        <v/>
      </c>
      <c r="AV678">
        <f>IFERROR(INDEX(PP_Grid[#Data],$DD678,46),0)</f>
        <v/>
      </c>
      <c r="AW678">
        <f>IFERROR(INDEX(PP_Grid[#Data],$DD678,47),0)</f>
        <v/>
      </c>
      <c r="AX678">
        <f>IFERROR(INDEX(PP_Grid[#Data],$DD678,48),0)</f>
        <v/>
      </c>
      <c r="AY678">
        <f>IFERROR(INDEX(PP_Grid[#Data],$DD678,49),0)</f>
        <v/>
      </c>
      <c r="AZ678">
        <f>IFERROR(INDEX(PP_Grid[#Data],$DD678,50),0)</f>
        <v/>
      </c>
      <c r="BA678">
        <f>IFERROR(INDEX(PP_Grid[#Data],$DD678,51),0)</f>
        <v/>
      </c>
      <c r="BB678">
        <f>IFERROR(INDEX(PP_Grid[#Data],$DD678,52),0)</f>
        <v/>
      </c>
      <c r="BC678">
        <f>IFERROR(INDEX(PP_Grid[#Data],$DD678,53),0)</f>
        <v/>
      </c>
      <c r="BD678">
        <f>IFERROR(INDEX(PP_Grid[#Data],$DD678,54),0)</f>
        <v/>
      </c>
      <c r="BE678">
        <f>IFERROR(INDEX(PP_Grid[#Data],$DD678,55),0)</f>
        <v/>
      </c>
      <c r="BF678">
        <f>IFERROR(INDEX(PP_Grid[#Data],$DD678,56),0)</f>
        <v/>
      </c>
      <c r="BG678">
        <f>IFERROR(INDEX(PP_Grid[#Data],$DD678,57),0)</f>
        <v/>
      </c>
      <c r="BH678">
        <f>IFERROR(INDEX(PP_Grid[#Data],$DD678,58),0)</f>
        <v/>
      </c>
      <c r="BI678">
        <f>IFERROR(INDEX(PP_Grid[#Data],$DD678,59),0)</f>
        <v/>
      </c>
      <c r="BJ678">
        <f>IFERROR(INDEX(PP_Grid[#Data],$DD678,60),0)</f>
        <v/>
      </c>
      <c r="BK678">
        <f>IFERROR(INDEX(PP_Grid[#Data],$DD678,61),0)</f>
        <v/>
      </c>
      <c r="BL678">
        <f>IFERROR(INDEX(PP_Grid[#Data],$DD678,62),0)</f>
        <v/>
      </c>
      <c r="BM678">
        <f>IFERROR(INDEX(PP_Grid[#Data],$DD678,63),0)</f>
        <v/>
      </c>
      <c r="BN678">
        <f>IFERROR(INDEX(PP_Grid[#Data],$DD678,64),0)</f>
        <v/>
      </c>
      <c r="BO678">
        <f>IFERROR(INDEX(PP_Grid[#Data],$DD678,65),0)</f>
        <v/>
      </c>
      <c r="BP678">
        <f>IFERROR(INDEX(PP_Grid[#Data],$DD678,66),0)</f>
        <v/>
      </c>
      <c r="BQ678">
        <f>IFERROR(INDEX(PP_Grid[#Data],$DD678,67),0)</f>
        <v/>
      </c>
      <c r="BR678">
        <f>IFERROR(INDEX(PP_Grid[#Data],$DD678,68),0)</f>
        <v/>
      </c>
      <c r="BS678">
        <f>IFERROR(INDEX(PP_Grid[#Data],$DD678,69),0)</f>
        <v/>
      </c>
      <c r="BT678">
        <f>IFERROR(INDEX(PP_Grid[#Data],$DD678,70),0)</f>
        <v/>
      </c>
      <c r="BU678">
        <f>IFERROR(INDEX(PP_Grid[#Data],$DD678,71),0)</f>
        <v/>
      </c>
      <c r="BV678">
        <f>IFERROR(INDEX(PP_Grid[#Data],$DD678,72),0)</f>
        <v/>
      </c>
      <c r="BW678">
        <f>IFERROR(INDEX(PP_Grid[#Data],$DD678,73),0)</f>
        <v/>
      </c>
      <c r="BX678">
        <f>IFERROR(INDEX(PP_Grid[#Data],$DD678,74),0)</f>
        <v/>
      </c>
      <c r="BY678">
        <f>IFERROR(INDEX(PP_Grid[#Data],$DD678,75),0)</f>
        <v/>
      </c>
      <c r="BZ678">
        <f>IFERROR(INDEX(PP_Grid[#Data],$DD678,76),0)</f>
        <v/>
      </c>
      <c r="CA678">
        <f>IFERROR(INDEX(PP_Grid[#Data],$DD678,77),0)</f>
        <v/>
      </c>
      <c r="CB678">
        <f>IFERROR(INDEX(PP_Grid[#Data],$DD678,78),0)</f>
        <v/>
      </c>
      <c r="CC678">
        <f>IFERROR(INDEX(PP_Grid[#Data],$DD678,79),0)</f>
        <v/>
      </c>
      <c r="CD678">
        <f>IFERROR(INDEX(PP_Grid[#Data],$DD678,80),0)</f>
        <v/>
      </c>
      <c r="CE678">
        <f>IFERROR(INDEX(PP_Grid[#Data],$DD678,81),0)</f>
        <v/>
      </c>
      <c r="CF678">
        <f>IFERROR(INDEX(PP_Grid[#Data],$DD678,82),0)</f>
        <v/>
      </c>
      <c r="CG678">
        <f>IFERROR(INDEX(PP_Grid[#Data],$DD678,83),0)</f>
        <v/>
      </c>
      <c r="CH678">
        <f>IFERROR(INDEX(PP_Grid[#Data],$DD678,84),0)</f>
        <v/>
      </c>
      <c r="CI678">
        <f>IFERROR(INDEX(PP_Grid[#Data],$DD678,85),0)</f>
        <v/>
      </c>
      <c r="CJ678">
        <f>IFERROR(INDEX(PP_Grid[#Data],$DD678,86),0)</f>
        <v/>
      </c>
      <c r="CK678">
        <f>IFERROR(INDEX(PP_Grid[#Data],$DD678,87),0)</f>
        <v/>
      </c>
      <c r="CL678">
        <f>IFERROR(INDEX(PP_Grid[#Data],$DD678,88),0)</f>
        <v/>
      </c>
      <c r="CM678">
        <f>IFERROR(INDEX(PP_Grid[#Data],$DD678,89),0)</f>
        <v/>
      </c>
      <c r="CN678">
        <f>IFERROR(INDEX(PP_Grid[#Data],$DD678,90),0)</f>
        <v/>
      </c>
      <c r="CO678">
        <f>IFERROR(INDEX(PP_Grid[#Data],$DD678,91),0)</f>
        <v/>
      </c>
      <c r="CP678">
        <f>IFERROR(INDEX(PP_Grid[#Data],$DD678,92),0)</f>
        <v/>
      </c>
      <c r="CQ678">
        <f>IFERROR(INDEX(PP_Grid[#Data],$DD678,93),0)</f>
        <v/>
      </c>
      <c r="CR678">
        <f>IFERROR(INDEX(PP_Grid[#Data],$DD678,94),0)</f>
        <v/>
      </c>
      <c r="CS678">
        <f>IFERROR(INDEX(PP_Grid[#Data],$DD678,95),0)</f>
        <v/>
      </c>
      <c r="CT678">
        <f>IFERROR(INDEX(PP_Grid[#Data],$DD678,96),0)</f>
        <v/>
      </c>
      <c r="CU678">
        <f>IFERROR(INDEX(PP_Grid[#Data],$DD678,97),0)</f>
        <v/>
      </c>
      <c r="CV678">
        <f>IFERROR(INDEX(PP_Grid[#Data],$DD678,98),0)</f>
        <v/>
      </c>
      <c r="CW678">
        <f>IFERROR(INDEX(PP_Grid[#Data],$DD678,99),0)</f>
        <v/>
      </c>
      <c r="CX678">
        <f>IFERROR(INDEX(PP_Grid[#Data],$DD678,100),0)</f>
        <v/>
      </c>
      <c r="CY678">
        <f>IFERROR(INDEX(PP_Grid[#Data],$DD678,101),0)</f>
        <v/>
      </c>
      <c r="CZ678">
        <f>IFERROR(INDEX(PP_Grid[#Data],$DD678,102),0)</f>
        <v/>
      </c>
      <c r="DA678">
        <f>IFERROR(INDEX(PP_Grid[#Data],$DD678,103),0)</f>
        <v/>
      </c>
      <c r="DB678">
        <f>IFERROR(INDEX(PP_Grid[#Data],$DD678,104),0)</f>
        <v/>
      </c>
      <c r="DC678">
        <f>IFERROR(INDEX(PP_Grid[#Data],$DD678,105),0)</f>
        <v/>
      </c>
      <c r="DD678" s="12">
        <f>IFERROR(MATCH($B678,PP_Grid[Intermediate],0),99999)</f>
        <v/>
      </c>
    </row>
    <row r="679">
      <c r="B679" t="inlineStr">
        <is>
          <t>使用量(kg)</t>
        </is>
      </c>
      <c r="C679">
        <f>SUMIFS(M_BOM[RM_Qty_Per_Batch],M_BOM[Intermediate],$B678,M_BOM[Part Name],$A669)</f>
        <v/>
      </c>
      <c r="D679">
        <f>$C679*D678</f>
        <v/>
      </c>
      <c r="E679">
        <f>$C679*E678</f>
        <v/>
      </c>
      <c r="F679">
        <f>$C679*F678</f>
        <v/>
      </c>
      <c r="G679">
        <f>$C679*G678</f>
        <v/>
      </c>
      <c r="H679">
        <f>$C679*H678</f>
        <v/>
      </c>
      <c r="I679">
        <f>$C679*I678</f>
        <v/>
      </c>
      <c r="J679">
        <f>$C679*J678</f>
        <v/>
      </c>
      <c r="K679">
        <f>$C679*K678</f>
        <v/>
      </c>
      <c r="L679">
        <f>$C679*L678</f>
        <v/>
      </c>
      <c r="M679">
        <f>$C679*M678</f>
        <v/>
      </c>
      <c r="N679">
        <f>$C679*N678</f>
        <v/>
      </c>
      <c r="O679">
        <f>$C679*O678</f>
        <v/>
      </c>
      <c r="P679">
        <f>$C679*P678</f>
        <v/>
      </c>
      <c r="Q679">
        <f>$C679*Q678</f>
        <v/>
      </c>
      <c r="R679">
        <f>$C679*R678</f>
        <v/>
      </c>
      <c r="S679">
        <f>$C679*S678</f>
        <v/>
      </c>
      <c r="T679">
        <f>$C679*T678</f>
        <v/>
      </c>
      <c r="U679">
        <f>$C679*U678</f>
        <v/>
      </c>
      <c r="V679">
        <f>$C679*V678</f>
        <v/>
      </c>
      <c r="W679">
        <f>$C679*W678</f>
        <v/>
      </c>
      <c r="X679">
        <f>$C679*X678</f>
        <v/>
      </c>
      <c r="Y679">
        <f>$C679*Y678</f>
        <v/>
      </c>
      <c r="Z679">
        <f>$C679*Z678</f>
        <v/>
      </c>
      <c r="AA679">
        <f>$C679*AA678</f>
        <v/>
      </c>
      <c r="AB679">
        <f>$C679*AB678</f>
        <v/>
      </c>
      <c r="AC679">
        <f>$C679*AC678</f>
        <v/>
      </c>
      <c r="AD679">
        <f>$C679*AD678</f>
        <v/>
      </c>
      <c r="AE679">
        <f>$C679*AE678</f>
        <v/>
      </c>
      <c r="AF679">
        <f>$C679*AF678</f>
        <v/>
      </c>
      <c r="AG679">
        <f>$C679*AG678</f>
        <v/>
      </c>
      <c r="AH679">
        <f>$C679*AH678</f>
        <v/>
      </c>
      <c r="AI679">
        <f>$C679*AI678</f>
        <v/>
      </c>
      <c r="AJ679">
        <f>$C679*AJ678</f>
        <v/>
      </c>
      <c r="AK679">
        <f>$C679*AK678</f>
        <v/>
      </c>
      <c r="AL679">
        <f>$C679*AL678</f>
        <v/>
      </c>
      <c r="AM679">
        <f>$C679*AM678</f>
        <v/>
      </c>
      <c r="AN679">
        <f>$C679*AN678</f>
        <v/>
      </c>
      <c r="AO679">
        <f>$C679*AO678</f>
        <v/>
      </c>
      <c r="AP679">
        <f>$C679*AP678</f>
        <v/>
      </c>
      <c r="AQ679">
        <f>$C679*AQ678</f>
        <v/>
      </c>
      <c r="AR679">
        <f>$C679*AR678</f>
        <v/>
      </c>
      <c r="AS679">
        <f>$C679*AS678</f>
        <v/>
      </c>
      <c r="AT679">
        <f>$C679*AT678</f>
        <v/>
      </c>
      <c r="AU679">
        <f>$C679*AU678</f>
        <v/>
      </c>
      <c r="AV679">
        <f>$C679*AV678</f>
        <v/>
      </c>
      <c r="AW679">
        <f>$C679*AW678</f>
        <v/>
      </c>
      <c r="AX679">
        <f>$C679*AX678</f>
        <v/>
      </c>
      <c r="AY679">
        <f>$C679*AY678</f>
        <v/>
      </c>
      <c r="AZ679">
        <f>$C679*AZ678</f>
        <v/>
      </c>
      <c r="BA679">
        <f>$C679*BA678</f>
        <v/>
      </c>
      <c r="BB679">
        <f>$C679*BB678</f>
        <v/>
      </c>
      <c r="BC679">
        <f>$C679*BC678</f>
        <v/>
      </c>
      <c r="BD679">
        <f>$C679*BD678</f>
        <v/>
      </c>
      <c r="BE679">
        <f>$C679*BE678</f>
        <v/>
      </c>
      <c r="BF679">
        <f>$C679*BF678</f>
        <v/>
      </c>
      <c r="BG679">
        <f>$C679*BG678</f>
        <v/>
      </c>
      <c r="BH679">
        <f>$C679*BH678</f>
        <v/>
      </c>
      <c r="BI679">
        <f>$C679*BI678</f>
        <v/>
      </c>
      <c r="BJ679">
        <f>$C679*BJ678</f>
        <v/>
      </c>
      <c r="BK679">
        <f>$C679*BK678</f>
        <v/>
      </c>
      <c r="BL679">
        <f>$C679*BL678</f>
        <v/>
      </c>
      <c r="BM679">
        <f>$C679*BM678</f>
        <v/>
      </c>
      <c r="BN679">
        <f>$C679*BN678</f>
        <v/>
      </c>
      <c r="BO679">
        <f>$C679*BO678</f>
        <v/>
      </c>
      <c r="BP679">
        <f>$C679*BP678</f>
        <v/>
      </c>
      <c r="BQ679">
        <f>$C679*BQ678</f>
        <v/>
      </c>
      <c r="BR679">
        <f>$C679*BR678</f>
        <v/>
      </c>
      <c r="BS679">
        <f>$C679*BS678</f>
        <v/>
      </c>
      <c r="BT679">
        <f>$C679*BT678</f>
        <v/>
      </c>
      <c r="BU679">
        <f>$C679*BU678</f>
        <v/>
      </c>
      <c r="BV679">
        <f>$C679*BV678</f>
        <v/>
      </c>
      <c r="BW679">
        <f>$C679*BW678</f>
        <v/>
      </c>
      <c r="BX679">
        <f>$C679*BX678</f>
        <v/>
      </c>
      <c r="BY679">
        <f>$C679*BY678</f>
        <v/>
      </c>
      <c r="BZ679">
        <f>$C679*BZ678</f>
        <v/>
      </c>
      <c r="CA679">
        <f>$C679*CA678</f>
        <v/>
      </c>
      <c r="CB679">
        <f>$C679*CB678</f>
        <v/>
      </c>
      <c r="CC679">
        <f>$C679*CC678</f>
        <v/>
      </c>
      <c r="CD679">
        <f>$C679*CD678</f>
        <v/>
      </c>
      <c r="CE679">
        <f>$C679*CE678</f>
        <v/>
      </c>
      <c r="CF679">
        <f>$C679*CF678</f>
        <v/>
      </c>
      <c r="CG679">
        <f>$C679*CG678</f>
        <v/>
      </c>
      <c r="CH679">
        <f>$C679*CH678</f>
        <v/>
      </c>
      <c r="CI679">
        <f>$C679*CI678</f>
        <v/>
      </c>
      <c r="CJ679">
        <f>$C679*CJ678</f>
        <v/>
      </c>
      <c r="CK679">
        <f>$C679*CK678</f>
        <v/>
      </c>
      <c r="CL679">
        <f>$C679*CL678</f>
        <v/>
      </c>
      <c r="CM679">
        <f>$C679*CM678</f>
        <v/>
      </c>
      <c r="CN679">
        <f>$C679*CN678</f>
        <v/>
      </c>
      <c r="CO679">
        <f>$C679*CO678</f>
        <v/>
      </c>
      <c r="CP679">
        <f>$C679*CP678</f>
        <v/>
      </c>
      <c r="CQ679">
        <f>$C679*CQ678</f>
        <v/>
      </c>
      <c r="CR679">
        <f>$C679*CR678</f>
        <v/>
      </c>
      <c r="CS679">
        <f>$C679*CS678</f>
        <v/>
      </c>
      <c r="CT679">
        <f>$C679*CT678</f>
        <v/>
      </c>
      <c r="CU679">
        <f>$C679*CU678</f>
        <v/>
      </c>
      <c r="CV679">
        <f>$C679*CV678</f>
        <v/>
      </c>
      <c r="CW679">
        <f>$C679*CW678</f>
        <v/>
      </c>
      <c r="CX679">
        <f>$C679*CX678</f>
        <v/>
      </c>
      <c r="CY679">
        <f>$C679*CY678</f>
        <v/>
      </c>
      <c r="CZ679">
        <f>$C679*CZ678</f>
        <v/>
      </c>
      <c r="DA679">
        <f>$C679*DA678</f>
        <v/>
      </c>
      <c r="DB679">
        <f>$C679*DB678</f>
        <v/>
      </c>
      <c r="DC679">
        <f>$C679*DC678</f>
        <v/>
      </c>
    </row>
    <row r="680">
      <c r="B680" t="inlineStr">
        <is>
          <t>TSP-080</t>
        </is>
      </c>
      <c r="C680" t="inlineStr">
        <is>
          <t>No. of batches</t>
        </is>
      </c>
      <c r="D680">
        <f>IFERROR(INDEX(PP_Grid[#Data],$DD680,2),0)</f>
        <v/>
      </c>
      <c r="E680">
        <f>IFERROR(INDEX(PP_Grid[#Data],$DD680,3),0)</f>
        <v/>
      </c>
      <c r="F680">
        <f>IFERROR(INDEX(PP_Grid[#Data],$DD680,4),0)</f>
        <v/>
      </c>
      <c r="G680">
        <f>IFERROR(INDEX(PP_Grid[#Data],$DD680,5),0)</f>
        <v/>
      </c>
      <c r="H680">
        <f>IFERROR(INDEX(PP_Grid[#Data],$DD680,6),0)</f>
        <v/>
      </c>
      <c r="I680">
        <f>IFERROR(INDEX(PP_Grid[#Data],$DD680,7),0)</f>
        <v/>
      </c>
      <c r="J680">
        <f>IFERROR(INDEX(PP_Grid[#Data],$DD680,8),0)</f>
        <v/>
      </c>
      <c r="K680">
        <f>IFERROR(INDEX(PP_Grid[#Data],$DD680,9),0)</f>
        <v/>
      </c>
      <c r="L680">
        <f>IFERROR(INDEX(PP_Grid[#Data],$DD680,10),0)</f>
        <v/>
      </c>
      <c r="M680">
        <f>IFERROR(INDEX(PP_Grid[#Data],$DD680,11),0)</f>
        <v/>
      </c>
      <c r="N680">
        <f>IFERROR(INDEX(PP_Grid[#Data],$DD680,12),0)</f>
        <v/>
      </c>
      <c r="O680">
        <f>IFERROR(INDEX(PP_Grid[#Data],$DD680,13),0)</f>
        <v/>
      </c>
      <c r="P680">
        <f>IFERROR(INDEX(PP_Grid[#Data],$DD680,14),0)</f>
        <v/>
      </c>
      <c r="Q680">
        <f>IFERROR(INDEX(PP_Grid[#Data],$DD680,15),0)</f>
        <v/>
      </c>
      <c r="R680">
        <f>IFERROR(INDEX(PP_Grid[#Data],$DD680,16),0)</f>
        <v/>
      </c>
      <c r="S680">
        <f>IFERROR(INDEX(PP_Grid[#Data],$DD680,17),0)</f>
        <v/>
      </c>
      <c r="T680">
        <f>IFERROR(INDEX(PP_Grid[#Data],$DD680,18),0)</f>
        <v/>
      </c>
      <c r="U680">
        <f>IFERROR(INDEX(PP_Grid[#Data],$DD680,19),0)</f>
        <v/>
      </c>
      <c r="V680">
        <f>IFERROR(INDEX(PP_Grid[#Data],$DD680,20),0)</f>
        <v/>
      </c>
      <c r="W680">
        <f>IFERROR(INDEX(PP_Grid[#Data],$DD680,21),0)</f>
        <v/>
      </c>
      <c r="X680">
        <f>IFERROR(INDEX(PP_Grid[#Data],$DD680,22),0)</f>
        <v/>
      </c>
      <c r="Y680">
        <f>IFERROR(INDEX(PP_Grid[#Data],$DD680,23),0)</f>
        <v/>
      </c>
      <c r="Z680">
        <f>IFERROR(INDEX(PP_Grid[#Data],$DD680,24),0)</f>
        <v/>
      </c>
      <c r="AA680">
        <f>IFERROR(INDEX(PP_Grid[#Data],$DD680,25),0)</f>
        <v/>
      </c>
      <c r="AB680">
        <f>IFERROR(INDEX(PP_Grid[#Data],$DD680,26),0)</f>
        <v/>
      </c>
      <c r="AC680">
        <f>IFERROR(INDEX(PP_Grid[#Data],$DD680,27),0)</f>
        <v/>
      </c>
      <c r="AD680">
        <f>IFERROR(INDEX(PP_Grid[#Data],$DD680,28),0)</f>
        <v/>
      </c>
      <c r="AE680">
        <f>IFERROR(INDEX(PP_Grid[#Data],$DD680,29),0)</f>
        <v/>
      </c>
      <c r="AF680">
        <f>IFERROR(INDEX(PP_Grid[#Data],$DD680,30),0)</f>
        <v/>
      </c>
      <c r="AG680">
        <f>IFERROR(INDEX(PP_Grid[#Data],$DD680,31),0)</f>
        <v/>
      </c>
      <c r="AH680">
        <f>IFERROR(INDEX(PP_Grid[#Data],$DD680,32),0)</f>
        <v/>
      </c>
      <c r="AI680">
        <f>IFERROR(INDEX(PP_Grid[#Data],$DD680,33),0)</f>
        <v/>
      </c>
      <c r="AJ680">
        <f>IFERROR(INDEX(PP_Grid[#Data],$DD680,34),0)</f>
        <v/>
      </c>
      <c r="AK680">
        <f>IFERROR(INDEX(PP_Grid[#Data],$DD680,35),0)</f>
        <v/>
      </c>
      <c r="AL680">
        <f>IFERROR(INDEX(PP_Grid[#Data],$DD680,36),0)</f>
        <v/>
      </c>
      <c r="AM680">
        <f>IFERROR(INDEX(PP_Grid[#Data],$DD680,37),0)</f>
        <v/>
      </c>
      <c r="AN680">
        <f>IFERROR(INDEX(PP_Grid[#Data],$DD680,38),0)</f>
        <v/>
      </c>
      <c r="AO680">
        <f>IFERROR(INDEX(PP_Grid[#Data],$DD680,39),0)</f>
        <v/>
      </c>
      <c r="AP680">
        <f>IFERROR(INDEX(PP_Grid[#Data],$DD680,40),0)</f>
        <v/>
      </c>
      <c r="AQ680">
        <f>IFERROR(INDEX(PP_Grid[#Data],$DD680,41),0)</f>
        <v/>
      </c>
      <c r="AR680">
        <f>IFERROR(INDEX(PP_Grid[#Data],$DD680,42),0)</f>
        <v/>
      </c>
      <c r="AS680">
        <f>IFERROR(INDEX(PP_Grid[#Data],$DD680,43),0)</f>
        <v/>
      </c>
      <c r="AT680">
        <f>IFERROR(INDEX(PP_Grid[#Data],$DD680,44),0)</f>
        <v/>
      </c>
      <c r="AU680">
        <f>IFERROR(INDEX(PP_Grid[#Data],$DD680,45),0)</f>
        <v/>
      </c>
      <c r="AV680">
        <f>IFERROR(INDEX(PP_Grid[#Data],$DD680,46),0)</f>
        <v/>
      </c>
      <c r="AW680">
        <f>IFERROR(INDEX(PP_Grid[#Data],$DD680,47),0)</f>
        <v/>
      </c>
      <c r="AX680">
        <f>IFERROR(INDEX(PP_Grid[#Data],$DD680,48),0)</f>
        <v/>
      </c>
      <c r="AY680">
        <f>IFERROR(INDEX(PP_Grid[#Data],$DD680,49),0)</f>
        <v/>
      </c>
      <c r="AZ680">
        <f>IFERROR(INDEX(PP_Grid[#Data],$DD680,50),0)</f>
        <v/>
      </c>
      <c r="BA680">
        <f>IFERROR(INDEX(PP_Grid[#Data],$DD680,51),0)</f>
        <v/>
      </c>
      <c r="BB680">
        <f>IFERROR(INDEX(PP_Grid[#Data],$DD680,52),0)</f>
        <v/>
      </c>
      <c r="BC680">
        <f>IFERROR(INDEX(PP_Grid[#Data],$DD680,53),0)</f>
        <v/>
      </c>
      <c r="BD680">
        <f>IFERROR(INDEX(PP_Grid[#Data],$DD680,54),0)</f>
        <v/>
      </c>
      <c r="BE680">
        <f>IFERROR(INDEX(PP_Grid[#Data],$DD680,55),0)</f>
        <v/>
      </c>
      <c r="BF680">
        <f>IFERROR(INDEX(PP_Grid[#Data],$DD680,56),0)</f>
        <v/>
      </c>
      <c r="BG680">
        <f>IFERROR(INDEX(PP_Grid[#Data],$DD680,57),0)</f>
        <v/>
      </c>
      <c r="BH680">
        <f>IFERROR(INDEX(PP_Grid[#Data],$DD680,58),0)</f>
        <v/>
      </c>
      <c r="BI680">
        <f>IFERROR(INDEX(PP_Grid[#Data],$DD680,59),0)</f>
        <v/>
      </c>
      <c r="BJ680">
        <f>IFERROR(INDEX(PP_Grid[#Data],$DD680,60),0)</f>
        <v/>
      </c>
      <c r="BK680">
        <f>IFERROR(INDEX(PP_Grid[#Data],$DD680,61),0)</f>
        <v/>
      </c>
      <c r="BL680">
        <f>IFERROR(INDEX(PP_Grid[#Data],$DD680,62),0)</f>
        <v/>
      </c>
      <c r="BM680">
        <f>IFERROR(INDEX(PP_Grid[#Data],$DD680,63),0)</f>
        <v/>
      </c>
      <c r="BN680">
        <f>IFERROR(INDEX(PP_Grid[#Data],$DD680,64),0)</f>
        <v/>
      </c>
      <c r="BO680">
        <f>IFERROR(INDEX(PP_Grid[#Data],$DD680,65),0)</f>
        <v/>
      </c>
      <c r="BP680">
        <f>IFERROR(INDEX(PP_Grid[#Data],$DD680,66),0)</f>
        <v/>
      </c>
      <c r="BQ680">
        <f>IFERROR(INDEX(PP_Grid[#Data],$DD680,67),0)</f>
        <v/>
      </c>
      <c r="BR680">
        <f>IFERROR(INDEX(PP_Grid[#Data],$DD680,68),0)</f>
        <v/>
      </c>
      <c r="BS680">
        <f>IFERROR(INDEX(PP_Grid[#Data],$DD680,69),0)</f>
        <v/>
      </c>
      <c r="BT680">
        <f>IFERROR(INDEX(PP_Grid[#Data],$DD680,70),0)</f>
        <v/>
      </c>
      <c r="BU680">
        <f>IFERROR(INDEX(PP_Grid[#Data],$DD680,71),0)</f>
        <v/>
      </c>
      <c r="BV680">
        <f>IFERROR(INDEX(PP_Grid[#Data],$DD680,72),0)</f>
        <v/>
      </c>
      <c r="BW680">
        <f>IFERROR(INDEX(PP_Grid[#Data],$DD680,73),0)</f>
        <v/>
      </c>
      <c r="BX680">
        <f>IFERROR(INDEX(PP_Grid[#Data],$DD680,74),0)</f>
        <v/>
      </c>
      <c r="BY680">
        <f>IFERROR(INDEX(PP_Grid[#Data],$DD680,75),0)</f>
        <v/>
      </c>
      <c r="BZ680">
        <f>IFERROR(INDEX(PP_Grid[#Data],$DD680,76),0)</f>
        <v/>
      </c>
      <c r="CA680">
        <f>IFERROR(INDEX(PP_Grid[#Data],$DD680,77),0)</f>
        <v/>
      </c>
      <c r="CB680">
        <f>IFERROR(INDEX(PP_Grid[#Data],$DD680,78),0)</f>
        <v/>
      </c>
      <c r="CC680">
        <f>IFERROR(INDEX(PP_Grid[#Data],$DD680,79),0)</f>
        <v/>
      </c>
      <c r="CD680">
        <f>IFERROR(INDEX(PP_Grid[#Data],$DD680,80),0)</f>
        <v/>
      </c>
      <c r="CE680">
        <f>IFERROR(INDEX(PP_Grid[#Data],$DD680,81),0)</f>
        <v/>
      </c>
      <c r="CF680">
        <f>IFERROR(INDEX(PP_Grid[#Data],$DD680,82),0)</f>
        <v/>
      </c>
      <c r="CG680">
        <f>IFERROR(INDEX(PP_Grid[#Data],$DD680,83),0)</f>
        <v/>
      </c>
      <c r="CH680">
        <f>IFERROR(INDEX(PP_Grid[#Data],$DD680,84),0)</f>
        <v/>
      </c>
      <c r="CI680">
        <f>IFERROR(INDEX(PP_Grid[#Data],$DD680,85),0)</f>
        <v/>
      </c>
      <c r="CJ680">
        <f>IFERROR(INDEX(PP_Grid[#Data],$DD680,86),0)</f>
        <v/>
      </c>
      <c r="CK680">
        <f>IFERROR(INDEX(PP_Grid[#Data],$DD680,87),0)</f>
        <v/>
      </c>
      <c r="CL680">
        <f>IFERROR(INDEX(PP_Grid[#Data],$DD680,88),0)</f>
        <v/>
      </c>
      <c r="CM680">
        <f>IFERROR(INDEX(PP_Grid[#Data],$DD680,89),0)</f>
        <v/>
      </c>
      <c r="CN680">
        <f>IFERROR(INDEX(PP_Grid[#Data],$DD680,90),0)</f>
        <v/>
      </c>
      <c r="CO680">
        <f>IFERROR(INDEX(PP_Grid[#Data],$DD680,91),0)</f>
        <v/>
      </c>
      <c r="CP680">
        <f>IFERROR(INDEX(PP_Grid[#Data],$DD680,92),0)</f>
        <v/>
      </c>
      <c r="CQ680">
        <f>IFERROR(INDEX(PP_Grid[#Data],$DD680,93),0)</f>
        <v/>
      </c>
      <c r="CR680">
        <f>IFERROR(INDEX(PP_Grid[#Data],$DD680,94),0)</f>
        <v/>
      </c>
      <c r="CS680">
        <f>IFERROR(INDEX(PP_Grid[#Data],$DD680,95),0)</f>
        <v/>
      </c>
      <c r="CT680">
        <f>IFERROR(INDEX(PP_Grid[#Data],$DD680,96),0)</f>
        <v/>
      </c>
      <c r="CU680">
        <f>IFERROR(INDEX(PP_Grid[#Data],$DD680,97),0)</f>
        <v/>
      </c>
      <c r="CV680">
        <f>IFERROR(INDEX(PP_Grid[#Data],$DD680,98),0)</f>
        <v/>
      </c>
      <c r="CW680">
        <f>IFERROR(INDEX(PP_Grid[#Data],$DD680,99),0)</f>
        <v/>
      </c>
      <c r="CX680">
        <f>IFERROR(INDEX(PP_Grid[#Data],$DD680,100),0)</f>
        <v/>
      </c>
      <c r="CY680">
        <f>IFERROR(INDEX(PP_Grid[#Data],$DD680,101),0)</f>
        <v/>
      </c>
      <c r="CZ680">
        <f>IFERROR(INDEX(PP_Grid[#Data],$DD680,102),0)</f>
        <v/>
      </c>
      <c r="DA680">
        <f>IFERROR(INDEX(PP_Grid[#Data],$DD680,103),0)</f>
        <v/>
      </c>
      <c r="DB680">
        <f>IFERROR(INDEX(PP_Grid[#Data],$DD680,104),0)</f>
        <v/>
      </c>
      <c r="DC680">
        <f>IFERROR(INDEX(PP_Grid[#Data],$DD680,105),0)</f>
        <v/>
      </c>
      <c r="DD680" s="12">
        <f>IFERROR(MATCH($B680,PP_Grid[Intermediate],0),99999)</f>
        <v/>
      </c>
    </row>
    <row r="681">
      <c r="B681" t="inlineStr">
        <is>
          <t>使用量(kg)</t>
        </is>
      </c>
      <c r="C681">
        <f>SUMIFS(M_BOM[RM_Qty_Per_Batch],M_BOM[Intermediate],$B680,M_BOM[Part Name],$A669)</f>
        <v/>
      </c>
      <c r="D681">
        <f>$C681*D680</f>
        <v/>
      </c>
      <c r="E681">
        <f>$C681*E680</f>
        <v/>
      </c>
      <c r="F681">
        <f>$C681*F680</f>
        <v/>
      </c>
      <c r="G681">
        <f>$C681*G680</f>
        <v/>
      </c>
      <c r="H681">
        <f>$C681*H680</f>
        <v/>
      </c>
      <c r="I681">
        <f>$C681*I680</f>
        <v/>
      </c>
      <c r="J681">
        <f>$C681*J680</f>
        <v/>
      </c>
      <c r="K681">
        <f>$C681*K680</f>
        <v/>
      </c>
      <c r="L681">
        <f>$C681*L680</f>
        <v/>
      </c>
      <c r="M681">
        <f>$C681*M680</f>
        <v/>
      </c>
      <c r="N681">
        <f>$C681*N680</f>
        <v/>
      </c>
      <c r="O681">
        <f>$C681*O680</f>
        <v/>
      </c>
      <c r="P681">
        <f>$C681*P680</f>
        <v/>
      </c>
      <c r="Q681">
        <f>$C681*Q680</f>
        <v/>
      </c>
      <c r="R681">
        <f>$C681*R680</f>
        <v/>
      </c>
      <c r="S681">
        <f>$C681*S680</f>
        <v/>
      </c>
      <c r="T681">
        <f>$C681*T680</f>
        <v/>
      </c>
      <c r="U681">
        <f>$C681*U680</f>
        <v/>
      </c>
      <c r="V681">
        <f>$C681*V680</f>
        <v/>
      </c>
      <c r="W681">
        <f>$C681*W680</f>
        <v/>
      </c>
      <c r="X681">
        <f>$C681*X680</f>
        <v/>
      </c>
      <c r="Y681">
        <f>$C681*Y680</f>
        <v/>
      </c>
      <c r="Z681">
        <f>$C681*Z680</f>
        <v/>
      </c>
      <c r="AA681">
        <f>$C681*AA680</f>
        <v/>
      </c>
      <c r="AB681">
        <f>$C681*AB680</f>
        <v/>
      </c>
      <c r="AC681">
        <f>$C681*AC680</f>
        <v/>
      </c>
      <c r="AD681">
        <f>$C681*AD680</f>
        <v/>
      </c>
      <c r="AE681">
        <f>$C681*AE680</f>
        <v/>
      </c>
      <c r="AF681">
        <f>$C681*AF680</f>
        <v/>
      </c>
      <c r="AG681">
        <f>$C681*AG680</f>
        <v/>
      </c>
      <c r="AH681">
        <f>$C681*AH680</f>
        <v/>
      </c>
      <c r="AI681">
        <f>$C681*AI680</f>
        <v/>
      </c>
      <c r="AJ681">
        <f>$C681*AJ680</f>
        <v/>
      </c>
      <c r="AK681">
        <f>$C681*AK680</f>
        <v/>
      </c>
      <c r="AL681">
        <f>$C681*AL680</f>
        <v/>
      </c>
      <c r="AM681">
        <f>$C681*AM680</f>
        <v/>
      </c>
      <c r="AN681">
        <f>$C681*AN680</f>
        <v/>
      </c>
      <c r="AO681">
        <f>$C681*AO680</f>
        <v/>
      </c>
      <c r="AP681">
        <f>$C681*AP680</f>
        <v/>
      </c>
      <c r="AQ681">
        <f>$C681*AQ680</f>
        <v/>
      </c>
      <c r="AR681">
        <f>$C681*AR680</f>
        <v/>
      </c>
      <c r="AS681">
        <f>$C681*AS680</f>
        <v/>
      </c>
      <c r="AT681">
        <f>$C681*AT680</f>
        <v/>
      </c>
      <c r="AU681">
        <f>$C681*AU680</f>
        <v/>
      </c>
      <c r="AV681">
        <f>$C681*AV680</f>
        <v/>
      </c>
      <c r="AW681">
        <f>$C681*AW680</f>
        <v/>
      </c>
      <c r="AX681">
        <f>$C681*AX680</f>
        <v/>
      </c>
      <c r="AY681">
        <f>$C681*AY680</f>
        <v/>
      </c>
      <c r="AZ681">
        <f>$C681*AZ680</f>
        <v/>
      </c>
      <c r="BA681">
        <f>$C681*BA680</f>
        <v/>
      </c>
      <c r="BB681">
        <f>$C681*BB680</f>
        <v/>
      </c>
      <c r="BC681">
        <f>$C681*BC680</f>
        <v/>
      </c>
      <c r="BD681">
        <f>$C681*BD680</f>
        <v/>
      </c>
      <c r="BE681">
        <f>$C681*BE680</f>
        <v/>
      </c>
      <c r="BF681">
        <f>$C681*BF680</f>
        <v/>
      </c>
      <c r="BG681">
        <f>$C681*BG680</f>
        <v/>
      </c>
      <c r="BH681">
        <f>$C681*BH680</f>
        <v/>
      </c>
      <c r="BI681">
        <f>$C681*BI680</f>
        <v/>
      </c>
      <c r="BJ681">
        <f>$C681*BJ680</f>
        <v/>
      </c>
      <c r="BK681">
        <f>$C681*BK680</f>
        <v/>
      </c>
      <c r="BL681">
        <f>$C681*BL680</f>
        <v/>
      </c>
      <c r="BM681">
        <f>$C681*BM680</f>
        <v/>
      </c>
      <c r="BN681">
        <f>$C681*BN680</f>
        <v/>
      </c>
      <c r="BO681">
        <f>$C681*BO680</f>
        <v/>
      </c>
      <c r="BP681">
        <f>$C681*BP680</f>
        <v/>
      </c>
      <c r="BQ681">
        <f>$C681*BQ680</f>
        <v/>
      </c>
      <c r="BR681">
        <f>$C681*BR680</f>
        <v/>
      </c>
      <c r="BS681">
        <f>$C681*BS680</f>
        <v/>
      </c>
      <c r="BT681">
        <f>$C681*BT680</f>
        <v/>
      </c>
      <c r="BU681">
        <f>$C681*BU680</f>
        <v/>
      </c>
      <c r="BV681">
        <f>$C681*BV680</f>
        <v/>
      </c>
      <c r="BW681">
        <f>$C681*BW680</f>
        <v/>
      </c>
      <c r="BX681">
        <f>$C681*BX680</f>
        <v/>
      </c>
      <c r="BY681">
        <f>$C681*BY680</f>
        <v/>
      </c>
      <c r="BZ681">
        <f>$C681*BZ680</f>
        <v/>
      </c>
      <c r="CA681">
        <f>$C681*CA680</f>
        <v/>
      </c>
      <c r="CB681">
        <f>$C681*CB680</f>
        <v/>
      </c>
      <c r="CC681">
        <f>$C681*CC680</f>
        <v/>
      </c>
      <c r="CD681">
        <f>$C681*CD680</f>
        <v/>
      </c>
      <c r="CE681">
        <f>$C681*CE680</f>
        <v/>
      </c>
      <c r="CF681">
        <f>$C681*CF680</f>
        <v/>
      </c>
      <c r="CG681">
        <f>$C681*CG680</f>
        <v/>
      </c>
      <c r="CH681">
        <f>$C681*CH680</f>
        <v/>
      </c>
      <c r="CI681">
        <f>$C681*CI680</f>
        <v/>
      </c>
      <c r="CJ681">
        <f>$C681*CJ680</f>
        <v/>
      </c>
      <c r="CK681">
        <f>$C681*CK680</f>
        <v/>
      </c>
      <c r="CL681">
        <f>$C681*CL680</f>
        <v/>
      </c>
      <c r="CM681">
        <f>$C681*CM680</f>
        <v/>
      </c>
      <c r="CN681">
        <f>$C681*CN680</f>
        <v/>
      </c>
      <c r="CO681">
        <f>$C681*CO680</f>
        <v/>
      </c>
      <c r="CP681">
        <f>$C681*CP680</f>
        <v/>
      </c>
      <c r="CQ681">
        <f>$C681*CQ680</f>
        <v/>
      </c>
      <c r="CR681">
        <f>$C681*CR680</f>
        <v/>
      </c>
      <c r="CS681">
        <f>$C681*CS680</f>
        <v/>
      </c>
      <c r="CT681">
        <f>$C681*CT680</f>
        <v/>
      </c>
      <c r="CU681">
        <f>$C681*CU680</f>
        <v/>
      </c>
      <c r="CV681">
        <f>$C681*CV680</f>
        <v/>
      </c>
      <c r="CW681">
        <f>$C681*CW680</f>
        <v/>
      </c>
      <c r="CX681">
        <f>$C681*CX680</f>
        <v/>
      </c>
      <c r="CY681">
        <f>$C681*CY680</f>
        <v/>
      </c>
      <c r="CZ681">
        <f>$C681*CZ680</f>
        <v/>
      </c>
      <c r="DA681">
        <f>$C681*DA680</f>
        <v/>
      </c>
      <c r="DB681">
        <f>$C681*DB680</f>
        <v/>
      </c>
      <c r="DC681">
        <f>$C681*DC680</f>
        <v/>
      </c>
    </row>
    <row r="682">
      <c r="B682" t="inlineStr">
        <is>
          <t>TSP-104</t>
        </is>
      </c>
      <c r="C682" t="inlineStr">
        <is>
          <t>No. of batches</t>
        </is>
      </c>
      <c r="D682">
        <f>IFERROR(INDEX(PP_Grid[#Data],$DD682,2),0)</f>
        <v/>
      </c>
      <c r="E682">
        <f>IFERROR(INDEX(PP_Grid[#Data],$DD682,3),0)</f>
        <v/>
      </c>
      <c r="F682">
        <f>IFERROR(INDEX(PP_Grid[#Data],$DD682,4),0)</f>
        <v/>
      </c>
      <c r="G682">
        <f>IFERROR(INDEX(PP_Grid[#Data],$DD682,5),0)</f>
        <v/>
      </c>
      <c r="H682">
        <f>IFERROR(INDEX(PP_Grid[#Data],$DD682,6),0)</f>
        <v/>
      </c>
      <c r="I682">
        <f>IFERROR(INDEX(PP_Grid[#Data],$DD682,7),0)</f>
        <v/>
      </c>
      <c r="J682">
        <f>IFERROR(INDEX(PP_Grid[#Data],$DD682,8),0)</f>
        <v/>
      </c>
      <c r="K682">
        <f>IFERROR(INDEX(PP_Grid[#Data],$DD682,9),0)</f>
        <v/>
      </c>
      <c r="L682">
        <f>IFERROR(INDEX(PP_Grid[#Data],$DD682,10),0)</f>
        <v/>
      </c>
      <c r="M682">
        <f>IFERROR(INDEX(PP_Grid[#Data],$DD682,11),0)</f>
        <v/>
      </c>
      <c r="N682">
        <f>IFERROR(INDEX(PP_Grid[#Data],$DD682,12),0)</f>
        <v/>
      </c>
      <c r="O682">
        <f>IFERROR(INDEX(PP_Grid[#Data],$DD682,13),0)</f>
        <v/>
      </c>
      <c r="P682">
        <f>IFERROR(INDEX(PP_Grid[#Data],$DD682,14),0)</f>
        <v/>
      </c>
      <c r="Q682">
        <f>IFERROR(INDEX(PP_Grid[#Data],$DD682,15),0)</f>
        <v/>
      </c>
      <c r="R682">
        <f>IFERROR(INDEX(PP_Grid[#Data],$DD682,16),0)</f>
        <v/>
      </c>
      <c r="S682">
        <f>IFERROR(INDEX(PP_Grid[#Data],$DD682,17),0)</f>
        <v/>
      </c>
      <c r="T682">
        <f>IFERROR(INDEX(PP_Grid[#Data],$DD682,18),0)</f>
        <v/>
      </c>
      <c r="U682">
        <f>IFERROR(INDEX(PP_Grid[#Data],$DD682,19),0)</f>
        <v/>
      </c>
      <c r="V682">
        <f>IFERROR(INDEX(PP_Grid[#Data],$DD682,20),0)</f>
        <v/>
      </c>
      <c r="W682">
        <f>IFERROR(INDEX(PP_Grid[#Data],$DD682,21),0)</f>
        <v/>
      </c>
      <c r="X682">
        <f>IFERROR(INDEX(PP_Grid[#Data],$DD682,22),0)</f>
        <v/>
      </c>
      <c r="Y682">
        <f>IFERROR(INDEX(PP_Grid[#Data],$DD682,23),0)</f>
        <v/>
      </c>
      <c r="Z682">
        <f>IFERROR(INDEX(PP_Grid[#Data],$DD682,24),0)</f>
        <v/>
      </c>
      <c r="AA682">
        <f>IFERROR(INDEX(PP_Grid[#Data],$DD682,25),0)</f>
        <v/>
      </c>
      <c r="AB682">
        <f>IFERROR(INDEX(PP_Grid[#Data],$DD682,26),0)</f>
        <v/>
      </c>
      <c r="AC682">
        <f>IFERROR(INDEX(PP_Grid[#Data],$DD682,27),0)</f>
        <v/>
      </c>
      <c r="AD682">
        <f>IFERROR(INDEX(PP_Grid[#Data],$DD682,28),0)</f>
        <v/>
      </c>
      <c r="AE682">
        <f>IFERROR(INDEX(PP_Grid[#Data],$DD682,29),0)</f>
        <v/>
      </c>
      <c r="AF682">
        <f>IFERROR(INDEX(PP_Grid[#Data],$DD682,30),0)</f>
        <v/>
      </c>
      <c r="AG682">
        <f>IFERROR(INDEX(PP_Grid[#Data],$DD682,31),0)</f>
        <v/>
      </c>
      <c r="AH682">
        <f>IFERROR(INDEX(PP_Grid[#Data],$DD682,32),0)</f>
        <v/>
      </c>
      <c r="AI682">
        <f>IFERROR(INDEX(PP_Grid[#Data],$DD682,33),0)</f>
        <v/>
      </c>
      <c r="AJ682">
        <f>IFERROR(INDEX(PP_Grid[#Data],$DD682,34),0)</f>
        <v/>
      </c>
      <c r="AK682">
        <f>IFERROR(INDEX(PP_Grid[#Data],$DD682,35),0)</f>
        <v/>
      </c>
      <c r="AL682">
        <f>IFERROR(INDEX(PP_Grid[#Data],$DD682,36),0)</f>
        <v/>
      </c>
      <c r="AM682">
        <f>IFERROR(INDEX(PP_Grid[#Data],$DD682,37),0)</f>
        <v/>
      </c>
      <c r="AN682">
        <f>IFERROR(INDEX(PP_Grid[#Data],$DD682,38),0)</f>
        <v/>
      </c>
      <c r="AO682">
        <f>IFERROR(INDEX(PP_Grid[#Data],$DD682,39),0)</f>
        <v/>
      </c>
      <c r="AP682">
        <f>IFERROR(INDEX(PP_Grid[#Data],$DD682,40),0)</f>
        <v/>
      </c>
      <c r="AQ682">
        <f>IFERROR(INDEX(PP_Grid[#Data],$DD682,41),0)</f>
        <v/>
      </c>
      <c r="AR682">
        <f>IFERROR(INDEX(PP_Grid[#Data],$DD682,42),0)</f>
        <v/>
      </c>
      <c r="AS682">
        <f>IFERROR(INDEX(PP_Grid[#Data],$DD682,43),0)</f>
        <v/>
      </c>
      <c r="AT682">
        <f>IFERROR(INDEX(PP_Grid[#Data],$DD682,44),0)</f>
        <v/>
      </c>
      <c r="AU682">
        <f>IFERROR(INDEX(PP_Grid[#Data],$DD682,45),0)</f>
        <v/>
      </c>
      <c r="AV682">
        <f>IFERROR(INDEX(PP_Grid[#Data],$DD682,46),0)</f>
        <v/>
      </c>
      <c r="AW682">
        <f>IFERROR(INDEX(PP_Grid[#Data],$DD682,47),0)</f>
        <v/>
      </c>
      <c r="AX682">
        <f>IFERROR(INDEX(PP_Grid[#Data],$DD682,48),0)</f>
        <v/>
      </c>
      <c r="AY682">
        <f>IFERROR(INDEX(PP_Grid[#Data],$DD682,49),0)</f>
        <v/>
      </c>
      <c r="AZ682">
        <f>IFERROR(INDEX(PP_Grid[#Data],$DD682,50),0)</f>
        <v/>
      </c>
      <c r="BA682">
        <f>IFERROR(INDEX(PP_Grid[#Data],$DD682,51),0)</f>
        <v/>
      </c>
      <c r="BB682">
        <f>IFERROR(INDEX(PP_Grid[#Data],$DD682,52),0)</f>
        <v/>
      </c>
      <c r="BC682">
        <f>IFERROR(INDEX(PP_Grid[#Data],$DD682,53),0)</f>
        <v/>
      </c>
      <c r="BD682">
        <f>IFERROR(INDEX(PP_Grid[#Data],$DD682,54),0)</f>
        <v/>
      </c>
      <c r="BE682">
        <f>IFERROR(INDEX(PP_Grid[#Data],$DD682,55),0)</f>
        <v/>
      </c>
      <c r="BF682">
        <f>IFERROR(INDEX(PP_Grid[#Data],$DD682,56),0)</f>
        <v/>
      </c>
      <c r="BG682">
        <f>IFERROR(INDEX(PP_Grid[#Data],$DD682,57),0)</f>
        <v/>
      </c>
      <c r="BH682">
        <f>IFERROR(INDEX(PP_Grid[#Data],$DD682,58),0)</f>
        <v/>
      </c>
      <c r="BI682">
        <f>IFERROR(INDEX(PP_Grid[#Data],$DD682,59),0)</f>
        <v/>
      </c>
      <c r="BJ682">
        <f>IFERROR(INDEX(PP_Grid[#Data],$DD682,60),0)</f>
        <v/>
      </c>
      <c r="BK682">
        <f>IFERROR(INDEX(PP_Grid[#Data],$DD682,61),0)</f>
        <v/>
      </c>
      <c r="BL682">
        <f>IFERROR(INDEX(PP_Grid[#Data],$DD682,62),0)</f>
        <v/>
      </c>
      <c r="BM682">
        <f>IFERROR(INDEX(PP_Grid[#Data],$DD682,63),0)</f>
        <v/>
      </c>
      <c r="BN682">
        <f>IFERROR(INDEX(PP_Grid[#Data],$DD682,64),0)</f>
        <v/>
      </c>
      <c r="BO682">
        <f>IFERROR(INDEX(PP_Grid[#Data],$DD682,65),0)</f>
        <v/>
      </c>
      <c r="BP682">
        <f>IFERROR(INDEX(PP_Grid[#Data],$DD682,66),0)</f>
        <v/>
      </c>
      <c r="BQ682">
        <f>IFERROR(INDEX(PP_Grid[#Data],$DD682,67),0)</f>
        <v/>
      </c>
      <c r="BR682">
        <f>IFERROR(INDEX(PP_Grid[#Data],$DD682,68),0)</f>
        <v/>
      </c>
      <c r="BS682">
        <f>IFERROR(INDEX(PP_Grid[#Data],$DD682,69),0)</f>
        <v/>
      </c>
      <c r="BT682">
        <f>IFERROR(INDEX(PP_Grid[#Data],$DD682,70),0)</f>
        <v/>
      </c>
      <c r="BU682">
        <f>IFERROR(INDEX(PP_Grid[#Data],$DD682,71),0)</f>
        <v/>
      </c>
      <c r="BV682">
        <f>IFERROR(INDEX(PP_Grid[#Data],$DD682,72),0)</f>
        <v/>
      </c>
      <c r="BW682">
        <f>IFERROR(INDEX(PP_Grid[#Data],$DD682,73),0)</f>
        <v/>
      </c>
      <c r="BX682">
        <f>IFERROR(INDEX(PP_Grid[#Data],$DD682,74),0)</f>
        <v/>
      </c>
      <c r="BY682">
        <f>IFERROR(INDEX(PP_Grid[#Data],$DD682,75),0)</f>
        <v/>
      </c>
      <c r="BZ682">
        <f>IFERROR(INDEX(PP_Grid[#Data],$DD682,76),0)</f>
        <v/>
      </c>
      <c r="CA682">
        <f>IFERROR(INDEX(PP_Grid[#Data],$DD682,77),0)</f>
        <v/>
      </c>
      <c r="CB682">
        <f>IFERROR(INDEX(PP_Grid[#Data],$DD682,78),0)</f>
        <v/>
      </c>
      <c r="CC682">
        <f>IFERROR(INDEX(PP_Grid[#Data],$DD682,79),0)</f>
        <v/>
      </c>
      <c r="CD682">
        <f>IFERROR(INDEX(PP_Grid[#Data],$DD682,80),0)</f>
        <v/>
      </c>
      <c r="CE682">
        <f>IFERROR(INDEX(PP_Grid[#Data],$DD682,81),0)</f>
        <v/>
      </c>
      <c r="CF682">
        <f>IFERROR(INDEX(PP_Grid[#Data],$DD682,82),0)</f>
        <v/>
      </c>
      <c r="CG682">
        <f>IFERROR(INDEX(PP_Grid[#Data],$DD682,83),0)</f>
        <v/>
      </c>
      <c r="CH682">
        <f>IFERROR(INDEX(PP_Grid[#Data],$DD682,84),0)</f>
        <v/>
      </c>
      <c r="CI682">
        <f>IFERROR(INDEX(PP_Grid[#Data],$DD682,85),0)</f>
        <v/>
      </c>
      <c r="CJ682">
        <f>IFERROR(INDEX(PP_Grid[#Data],$DD682,86),0)</f>
        <v/>
      </c>
      <c r="CK682">
        <f>IFERROR(INDEX(PP_Grid[#Data],$DD682,87),0)</f>
        <v/>
      </c>
      <c r="CL682">
        <f>IFERROR(INDEX(PP_Grid[#Data],$DD682,88),0)</f>
        <v/>
      </c>
      <c r="CM682">
        <f>IFERROR(INDEX(PP_Grid[#Data],$DD682,89),0)</f>
        <v/>
      </c>
      <c r="CN682">
        <f>IFERROR(INDEX(PP_Grid[#Data],$DD682,90),0)</f>
        <v/>
      </c>
      <c r="CO682">
        <f>IFERROR(INDEX(PP_Grid[#Data],$DD682,91),0)</f>
        <v/>
      </c>
      <c r="CP682">
        <f>IFERROR(INDEX(PP_Grid[#Data],$DD682,92),0)</f>
        <v/>
      </c>
      <c r="CQ682">
        <f>IFERROR(INDEX(PP_Grid[#Data],$DD682,93),0)</f>
        <v/>
      </c>
      <c r="CR682">
        <f>IFERROR(INDEX(PP_Grid[#Data],$DD682,94),0)</f>
        <v/>
      </c>
      <c r="CS682">
        <f>IFERROR(INDEX(PP_Grid[#Data],$DD682,95),0)</f>
        <v/>
      </c>
      <c r="CT682">
        <f>IFERROR(INDEX(PP_Grid[#Data],$DD682,96),0)</f>
        <v/>
      </c>
      <c r="CU682">
        <f>IFERROR(INDEX(PP_Grid[#Data],$DD682,97),0)</f>
        <v/>
      </c>
      <c r="CV682">
        <f>IFERROR(INDEX(PP_Grid[#Data],$DD682,98),0)</f>
        <v/>
      </c>
      <c r="CW682">
        <f>IFERROR(INDEX(PP_Grid[#Data],$DD682,99),0)</f>
        <v/>
      </c>
      <c r="CX682">
        <f>IFERROR(INDEX(PP_Grid[#Data],$DD682,100),0)</f>
        <v/>
      </c>
      <c r="CY682">
        <f>IFERROR(INDEX(PP_Grid[#Data],$DD682,101),0)</f>
        <v/>
      </c>
      <c r="CZ682">
        <f>IFERROR(INDEX(PP_Grid[#Data],$DD682,102),0)</f>
        <v/>
      </c>
      <c r="DA682">
        <f>IFERROR(INDEX(PP_Grid[#Data],$DD682,103),0)</f>
        <v/>
      </c>
      <c r="DB682">
        <f>IFERROR(INDEX(PP_Grid[#Data],$DD682,104),0)</f>
        <v/>
      </c>
      <c r="DC682">
        <f>IFERROR(INDEX(PP_Grid[#Data],$DD682,105),0)</f>
        <v/>
      </c>
      <c r="DD682" s="12">
        <f>IFERROR(MATCH($B682,PP_Grid[Intermediate],0),99999)</f>
        <v/>
      </c>
    </row>
    <row r="683">
      <c r="B683" t="inlineStr">
        <is>
          <t>使用量(kg)</t>
        </is>
      </c>
      <c r="C683">
        <f>SUMIFS(M_BOM[RM_Qty_Per_Batch],M_BOM[Intermediate],$B682,M_BOM[Part Name],$A669)</f>
        <v/>
      </c>
      <c r="D683">
        <f>$C683*D682</f>
        <v/>
      </c>
      <c r="E683">
        <f>$C683*E682</f>
        <v/>
      </c>
      <c r="F683">
        <f>$C683*F682</f>
        <v/>
      </c>
      <c r="G683">
        <f>$C683*G682</f>
        <v/>
      </c>
      <c r="H683">
        <f>$C683*H682</f>
        <v/>
      </c>
      <c r="I683">
        <f>$C683*I682</f>
        <v/>
      </c>
      <c r="J683">
        <f>$C683*J682</f>
        <v/>
      </c>
      <c r="K683">
        <f>$C683*K682</f>
        <v/>
      </c>
      <c r="L683">
        <f>$C683*L682</f>
        <v/>
      </c>
      <c r="M683">
        <f>$C683*M682</f>
        <v/>
      </c>
      <c r="N683">
        <f>$C683*N682</f>
        <v/>
      </c>
      <c r="O683">
        <f>$C683*O682</f>
        <v/>
      </c>
      <c r="P683">
        <f>$C683*P682</f>
        <v/>
      </c>
      <c r="Q683">
        <f>$C683*Q682</f>
        <v/>
      </c>
      <c r="R683">
        <f>$C683*R682</f>
        <v/>
      </c>
      <c r="S683">
        <f>$C683*S682</f>
        <v/>
      </c>
      <c r="T683">
        <f>$C683*T682</f>
        <v/>
      </c>
      <c r="U683">
        <f>$C683*U682</f>
        <v/>
      </c>
      <c r="V683">
        <f>$C683*V682</f>
        <v/>
      </c>
      <c r="W683">
        <f>$C683*W682</f>
        <v/>
      </c>
      <c r="X683">
        <f>$C683*X682</f>
        <v/>
      </c>
      <c r="Y683">
        <f>$C683*Y682</f>
        <v/>
      </c>
      <c r="Z683">
        <f>$C683*Z682</f>
        <v/>
      </c>
      <c r="AA683">
        <f>$C683*AA682</f>
        <v/>
      </c>
      <c r="AB683">
        <f>$C683*AB682</f>
        <v/>
      </c>
      <c r="AC683">
        <f>$C683*AC682</f>
        <v/>
      </c>
      <c r="AD683">
        <f>$C683*AD682</f>
        <v/>
      </c>
      <c r="AE683">
        <f>$C683*AE682</f>
        <v/>
      </c>
      <c r="AF683">
        <f>$C683*AF682</f>
        <v/>
      </c>
      <c r="AG683">
        <f>$C683*AG682</f>
        <v/>
      </c>
      <c r="AH683">
        <f>$C683*AH682</f>
        <v/>
      </c>
      <c r="AI683">
        <f>$C683*AI682</f>
        <v/>
      </c>
      <c r="AJ683">
        <f>$C683*AJ682</f>
        <v/>
      </c>
      <c r="AK683">
        <f>$C683*AK682</f>
        <v/>
      </c>
      <c r="AL683">
        <f>$C683*AL682</f>
        <v/>
      </c>
      <c r="AM683">
        <f>$C683*AM682</f>
        <v/>
      </c>
      <c r="AN683">
        <f>$C683*AN682</f>
        <v/>
      </c>
      <c r="AO683">
        <f>$C683*AO682</f>
        <v/>
      </c>
      <c r="AP683">
        <f>$C683*AP682</f>
        <v/>
      </c>
      <c r="AQ683">
        <f>$C683*AQ682</f>
        <v/>
      </c>
      <c r="AR683">
        <f>$C683*AR682</f>
        <v/>
      </c>
      <c r="AS683">
        <f>$C683*AS682</f>
        <v/>
      </c>
      <c r="AT683">
        <f>$C683*AT682</f>
        <v/>
      </c>
      <c r="AU683">
        <f>$C683*AU682</f>
        <v/>
      </c>
      <c r="AV683">
        <f>$C683*AV682</f>
        <v/>
      </c>
      <c r="AW683">
        <f>$C683*AW682</f>
        <v/>
      </c>
      <c r="AX683">
        <f>$C683*AX682</f>
        <v/>
      </c>
      <c r="AY683">
        <f>$C683*AY682</f>
        <v/>
      </c>
      <c r="AZ683">
        <f>$C683*AZ682</f>
        <v/>
      </c>
      <c r="BA683">
        <f>$C683*BA682</f>
        <v/>
      </c>
      <c r="BB683">
        <f>$C683*BB682</f>
        <v/>
      </c>
      <c r="BC683">
        <f>$C683*BC682</f>
        <v/>
      </c>
      <c r="BD683">
        <f>$C683*BD682</f>
        <v/>
      </c>
      <c r="BE683">
        <f>$C683*BE682</f>
        <v/>
      </c>
      <c r="BF683">
        <f>$C683*BF682</f>
        <v/>
      </c>
      <c r="BG683">
        <f>$C683*BG682</f>
        <v/>
      </c>
      <c r="BH683">
        <f>$C683*BH682</f>
        <v/>
      </c>
      <c r="BI683">
        <f>$C683*BI682</f>
        <v/>
      </c>
      <c r="BJ683">
        <f>$C683*BJ682</f>
        <v/>
      </c>
      <c r="BK683">
        <f>$C683*BK682</f>
        <v/>
      </c>
      <c r="BL683">
        <f>$C683*BL682</f>
        <v/>
      </c>
      <c r="BM683">
        <f>$C683*BM682</f>
        <v/>
      </c>
      <c r="BN683">
        <f>$C683*BN682</f>
        <v/>
      </c>
      <c r="BO683">
        <f>$C683*BO682</f>
        <v/>
      </c>
      <c r="BP683">
        <f>$C683*BP682</f>
        <v/>
      </c>
      <c r="BQ683">
        <f>$C683*BQ682</f>
        <v/>
      </c>
      <c r="BR683">
        <f>$C683*BR682</f>
        <v/>
      </c>
      <c r="BS683">
        <f>$C683*BS682</f>
        <v/>
      </c>
      <c r="BT683">
        <f>$C683*BT682</f>
        <v/>
      </c>
      <c r="BU683">
        <f>$C683*BU682</f>
        <v/>
      </c>
      <c r="BV683">
        <f>$C683*BV682</f>
        <v/>
      </c>
      <c r="BW683">
        <f>$C683*BW682</f>
        <v/>
      </c>
      <c r="BX683">
        <f>$C683*BX682</f>
        <v/>
      </c>
      <c r="BY683">
        <f>$C683*BY682</f>
        <v/>
      </c>
      <c r="BZ683">
        <f>$C683*BZ682</f>
        <v/>
      </c>
      <c r="CA683">
        <f>$C683*CA682</f>
        <v/>
      </c>
      <c r="CB683">
        <f>$C683*CB682</f>
        <v/>
      </c>
      <c r="CC683">
        <f>$C683*CC682</f>
        <v/>
      </c>
      <c r="CD683">
        <f>$C683*CD682</f>
        <v/>
      </c>
      <c r="CE683">
        <f>$C683*CE682</f>
        <v/>
      </c>
      <c r="CF683">
        <f>$C683*CF682</f>
        <v/>
      </c>
      <c r="CG683">
        <f>$C683*CG682</f>
        <v/>
      </c>
      <c r="CH683">
        <f>$C683*CH682</f>
        <v/>
      </c>
      <c r="CI683">
        <f>$C683*CI682</f>
        <v/>
      </c>
      <c r="CJ683">
        <f>$C683*CJ682</f>
        <v/>
      </c>
      <c r="CK683">
        <f>$C683*CK682</f>
        <v/>
      </c>
      <c r="CL683">
        <f>$C683*CL682</f>
        <v/>
      </c>
      <c r="CM683">
        <f>$C683*CM682</f>
        <v/>
      </c>
      <c r="CN683">
        <f>$C683*CN682</f>
        <v/>
      </c>
      <c r="CO683">
        <f>$C683*CO682</f>
        <v/>
      </c>
      <c r="CP683">
        <f>$C683*CP682</f>
        <v/>
      </c>
      <c r="CQ683">
        <f>$C683*CQ682</f>
        <v/>
      </c>
      <c r="CR683">
        <f>$C683*CR682</f>
        <v/>
      </c>
      <c r="CS683">
        <f>$C683*CS682</f>
        <v/>
      </c>
      <c r="CT683">
        <f>$C683*CT682</f>
        <v/>
      </c>
      <c r="CU683">
        <f>$C683*CU682</f>
        <v/>
      </c>
      <c r="CV683">
        <f>$C683*CV682</f>
        <v/>
      </c>
      <c r="CW683">
        <f>$C683*CW682</f>
        <v/>
      </c>
      <c r="CX683">
        <f>$C683*CX682</f>
        <v/>
      </c>
      <c r="CY683">
        <f>$C683*CY682</f>
        <v/>
      </c>
      <c r="CZ683">
        <f>$C683*CZ682</f>
        <v/>
      </c>
      <c r="DA683">
        <f>$C683*DA682</f>
        <v/>
      </c>
      <c r="DB683">
        <f>$C683*DB682</f>
        <v/>
      </c>
      <c r="DC683">
        <f>$C683*DC682</f>
        <v/>
      </c>
    </row>
    <row r="684">
      <c r="B684" t="inlineStr">
        <is>
          <t>TSP-105</t>
        </is>
      </c>
      <c r="C684" t="inlineStr">
        <is>
          <t>No. of batches</t>
        </is>
      </c>
      <c r="D684">
        <f>IFERROR(INDEX(PP_Grid[#Data],$DD684,2),0)</f>
        <v/>
      </c>
      <c r="E684">
        <f>IFERROR(INDEX(PP_Grid[#Data],$DD684,3),0)</f>
        <v/>
      </c>
      <c r="F684">
        <f>IFERROR(INDEX(PP_Grid[#Data],$DD684,4),0)</f>
        <v/>
      </c>
      <c r="G684">
        <f>IFERROR(INDEX(PP_Grid[#Data],$DD684,5),0)</f>
        <v/>
      </c>
      <c r="H684">
        <f>IFERROR(INDEX(PP_Grid[#Data],$DD684,6),0)</f>
        <v/>
      </c>
      <c r="I684">
        <f>IFERROR(INDEX(PP_Grid[#Data],$DD684,7),0)</f>
        <v/>
      </c>
      <c r="J684">
        <f>IFERROR(INDEX(PP_Grid[#Data],$DD684,8),0)</f>
        <v/>
      </c>
      <c r="K684">
        <f>IFERROR(INDEX(PP_Grid[#Data],$DD684,9),0)</f>
        <v/>
      </c>
      <c r="L684">
        <f>IFERROR(INDEX(PP_Grid[#Data],$DD684,10),0)</f>
        <v/>
      </c>
      <c r="M684">
        <f>IFERROR(INDEX(PP_Grid[#Data],$DD684,11),0)</f>
        <v/>
      </c>
      <c r="N684">
        <f>IFERROR(INDEX(PP_Grid[#Data],$DD684,12),0)</f>
        <v/>
      </c>
      <c r="O684">
        <f>IFERROR(INDEX(PP_Grid[#Data],$DD684,13),0)</f>
        <v/>
      </c>
      <c r="P684">
        <f>IFERROR(INDEX(PP_Grid[#Data],$DD684,14),0)</f>
        <v/>
      </c>
      <c r="Q684">
        <f>IFERROR(INDEX(PP_Grid[#Data],$DD684,15),0)</f>
        <v/>
      </c>
      <c r="R684">
        <f>IFERROR(INDEX(PP_Grid[#Data],$DD684,16),0)</f>
        <v/>
      </c>
      <c r="S684">
        <f>IFERROR(INDEX(PP_Grid[#Data],$DD684,17),0)</f>
        <v/>
      </c>
      <c r="T684">
        <f>IFERROR(INDEX(PP_Grid[#Data],$DD684,18),0)</f>
        <v/>
      </c>
      <c r="U684">
        <f>IFERROR(INDEX(PP_Grid[#Data],$DD684,19),0)</f>
        <v/>
      </c>
      <c r="V684">
        <f>IFERROR(INDEX(PP_Grid[#Data],$DD684,20),0)</f>
        <v/>
      </c>
      <c r="W684">
        <f>IFERROR(INDEX(PP_Grid[#Data],$DD684,21),0)</f>
        <v/>
      </c>
      <c r="X684">
        <f>IFERROR(INDEX(PP_Grid[#Data],$DD684,22),0)</f>
        <v/>
      </c>
      <c r="Y684">
        <f>IFERROR(INDEX(PP_Grid[#Data],$DD684,23),0)</f>
        <v/>
      </c>
      <c r="Z684">
        <f>IFERROR(INDEX(PP_Grid[#Data],$DD684,24),0)</f>
        <v/>
      </c>
      <c r="AA684">
        <f>IFERROR(INDEX(PP_Grid[#Data],$DD684,25),0)</f>
        <v/>
      </c>
      <c r="AB684">
        <f>IFERROR(INDEX(PP_Grid[#Data],$DD684,26),0)</f>
        <v/>
      </c>
      <c r="AC684">
        <f>IFERROR(INDEX(PP_Grid[#Data],$DD684,27),0)</f>
        <v/>
      </c>
      <c r="AD684">
        <f>IFERROR(INDEX(PP_Grid[#Data],$DD684,28),0)</f>
        <v/>
      </c>
      <c r="AE684">
        <f>IFERROR(INDEX(PP_Grid[#Data],$DD684,29),0)</f>
        <v/>
      </c>
      <c r="AF684">
        <f>IFERROR(INDEX(PP_Grid[#Data],$DD684,30),0)</f>
        <v/>
      </c>
      <c r="AG684">
        <f>IFERROR(INDEX(PP_Grid[#Data],$DD684,31),0)</f>
        <v/>
      </c>
      <c r="AH684">
        <f>IFERROR(INDEX(PP_Grid[#Data],$DD684,32),0)</f>
        <v/>
      </c>
      <c r="AI684">
        <f>IFERROR(INDEX(PP_Grid[#Data],$DD684,33),0)</f>
        <v/>
      </c>
      <c r="AJ684">
        <f>IFERROR(INDEX(PP_Grid[#Data],$DD684,34),0)</f>
        <v/>
      </c>
      <c r="AK684">
        <f>IFERROR(INDEX(PP_Grid[#Data],$DD684,35),0)</f>
        <v/>
      </c>
      <c r="AL684">
        <f>IFERROR(INDEX(PP_Grid[#Data],$DD684,36),0)</f>
        <v/>
      </c>
      <c r="AM684">
        <f>IFERROR(INDEX(PP_Grid[#Data],$DD684,37),0)</f>
        <v/>
      </c>
      <c r="AN684">
        <f>IFERROR(INDEX(PP_Grid[#Data],$DD684,38),0)</f>
        <v/>
      </c>
      <c r="AO684">
        <f>IFERROR(INDEX(PP_Grid[#Data],$DD684,39),0)</f>
        <v/>
      </c>
      <c r="AP684">
        <f>IFERROR(INDEX(PP_Grid[#Data],$DD684,40),0)</f>
        <v/>
      </c>
      <c r="AQ684">
        <f>IFERROR(INDEX(PP_Grid[#Data],$DD684,41),0)</f>
        <v/>
      </c>
      <c r="AR684">
        <f>IFERROR(INDEX(PP_Grid[#Data],$DD684,42),0)</f>
        <v/>
      </c>
      <c r="AS684">
        <f>IFERROR(INDEX(PP_Grid[#Data],$DD684,43),0)</f>
        <v/>
      </c>
      <c r="AT684">
        <f>IFERROR(INDEX(PP_Grid[#Data],$DD684,44),0)</f>
        <v/>
      </c>
      <c r="AU684">
        <f>IFERROR(INDEX(PP_Grid[#Data],$DD684,45),0)</f>
        <v/>
      </c>
      <c r="AV684">
        <f>IFERROR(INDEX(PP_Grid[#Data],$DD684,46),0)</f>
        <v/>
      </c>
      <c r="AW684">
        <f>IFERROR(INDEX(PP_Grid[#Data],$DD684,47),0)</f>
        <v/>
      </c>
      <c r="AX684">
        <f>IFERROR(INDEX(PP_Grid[#Data],$DD684,48),0)</f>
        <v/>
      </c>
      <c r="AY684">
        <f>IFERROR(INDEX(PP_Grid[#Data],$DD684,49),0)</f>
        <v/>
      </c>
      <c r="AZ684">
        <f>IFERROR(INDEX(PP_Grid[#Data],$DD684,50),0)</f>
        <v/>
      </c>
      <c r="BA684">
        <f>IFERROR(INDEX(PP_Grid[#Data],$DD684,51),0)</f>
        <v/>
      </c>
      <c r="BB684">
        <f>IFERROR(INDEX(PP_Grid[#Data],$DD684,52),0)</f>
        <v/>
      </c>
      <c r="BC684">
        <f>IFERROR(INDEX(PP_Grid[#Data],$DD684,53),0)</f>
        <v/>
      </c>
      <c r="BD684">
        <f>IFERROR(INDEX(PP_Grid[#Data],$DD684,54),0)</f>
        <v/>
      </c>
      <c r="BE684">
        <f>IFERROR(INDEX(PP_Grid[#Data],$DD684,55),0)</f>
        <v/>
      </c>
      <c r="BF684">
        <f>IFERROR(INDEX(PP_Grid[#Data],$DD684,56),0)</f>
        <v/>
      </c>
      <c r="BG684">
        <f>IFERROR(INDEX(PP_Grid[#Data],$DD684,57),0)</f>
        <v/>
      </c>
      <c r="BH684">
        <f>IFERROR(INDEX(PP_Grid[#Data],$DD684,58),0)</f>
        <v/>
      </c>
      <c r="BI684">
        <f>IFERROR(INDEX(PP_Grid[#Data],$DD684,59),0)</f>
        <v/>
      </c>
      <c r="BJ684">
        <f>IFERROR(INDEX(PP_Grid[#Data],$DD684,60),0)</f>
        <v/>
      </c>
      <c r="BK684">
        <f>IFERROR(INDEX(PP_Grid[#Data],$DD684,61),0)</f>
        <v/>
      </c>
      <c r="BL684">
        <f>IFERROR(INDEX(PP_Grid[#Data],$DD684,62),0)</f>
        <v/>
      </c>
      <c r="BM684">
        <f>IFERROR(INDEX(PP_Grid[#Data],$DD684,63),0)</f>
        <v/>
      </c>
      <c r="BN684">
        <f>IFERROR(INDEX(PP_Grid[#Data],$DD684,64),0)</f>
        <v/>
      </c>
      <c r="BO684">
        <f>IFERROR(INDEX(PP_Grid[#Data],$DD684,65),0)</f>
        <v/>
      </c>
      <c r="BP684">
        <f>IFERROR(INDEX(PP_Grid[#Data],$DD684,66),0)</f>
        <v/>
      </c>
      <c r="BQ684">
        <f>IFERROR(INDEX(PP_Grid[#Data],$DD684,67),0)</f>
        <v/>
      </c>
      <c r="BR684">
        <f>IFERROR(INDEX(PP_Grid[#Data],$DD684,68),0)</f>
        <v/>
      </c>
      <c r="BS684">
        <f>IFERROR(INDEX(PP_Grid[#Data],$DD684,69),0)</f>
        <v/>
      </c>
      <c r="BT684">
        <f>IFERROR(INDEX(PP_Grid[#Data],$DD684,70),0)</f>
        <v/>
      </c>
      <c r="BU684">
        <f>IFERROR(INDEX(PP_Grid[#Data],$DD684,71),0)</f>
        <v/>
      </c>
      <c r="BV684">
        <f>IFERROR(INDEX(PP_Grid[#Data],$DD684,72),0)</f>
        <v/>
      </c>
      <c r="BW684">
        <f>IFERROR(INDEX(PP_Grid[#Data],$DD684,73),0)</f>
        <v/>
      </c>
      <c r="BX684">
        <f>IFERROR(INDEX(PP_Grid[#Data],$DD684,74),0)</f>
        <v/>
      </c>
      <c r="BY684">
        <f>IFERROR(INDEX(PP_Grid[#Data],$DD684,75),0)</f>
        <v/>
      </c>
      <c r="BZ684">
        <f>IFERROR(INDEX(PP_Grid[#Data],$DD684,76),0)</f>
        <v/>
      </c>
      <c r="CA684">
        <f>IFERROR(INDEX(PP_Grid[#Data],$DD684,77),0)</f>
        <v/>
      </c>
      <c r="CB684">
        <f>IFERROR(INDEX(PP_Grid[#Data],$DD684,78),0)</f>
        <v/>
      </c>
      <c r="CC684">
        <f>IFERROR(INDEX(PP_Grid[#Data],$DD684,79),0)</f>
        <v/>
      </c>
      <c r="CD684">
        <f>IFERROR(INDEX(PP_Grid[#Data],$DD684,80),0)</f>
        <v/>
      </c>
      <c r="CE684">
        <f>IFERROR(INDEX(PP_Grid[#Data],$DD684,81),0)</f>
        <v/>
      </c>
      <c r="CF684">
        <f>IFERROR(INDEX(PP_Grid[#Data],$DD684,82),0)</f>
        <v/>
      </c>
      <c r="CG684">
        <f>IFERROR(INDEX(PP_Grid[#Data],$DD684,83),0)</f>
        <v/>
      </c>
      <c r="CH684">
        <f>IFERROR(INDEX(PP_Grid[#Data],$DD684,84),0)</f>
        <v/>
      </c>
      <c r="CI684">
        <f>IFERROR(INDEX(PP_Grid[#Data],$DD684,85),0)</f>
        <v/>
      </c>
      <c r="CJ684">
        <f>IFERROR(INDEX(PP_Grid[#Data],$DD684,86),0)</f>
        <v/>
      </c>
      <c r="CK684">
        <f>IFERROR(INDEX(PP_Grid[#Data],$DD684,87),0)</f>
        <v/>
      </c>
      <c r="CL684">
        <f>IFERROR(INDEX(PP_Grid[#Data],$DD684,88),0)</f>
        <v/>
      </c>
      <c r="CM684">
        <f>IFERROR(INDEX(PP_Grid[#Data],$DD684,89),0)</f>
        <v/>
      </c>
      <c r="CN684">
        <f>IFERROR(INDEX(PP_Grid[#Data],$DD684,90),0)</f>
        <v/>
      </c>
      <c r="CO684">
        <f>IFERROR(INDEX(PP_Grid[#Data],$DD684,91),0)</f>
        <v/>
      </c>
      <c r="CP684">
        <f>IFERROR(INDEX(PP_Grid[#Data],$DD684,92),0)</f>
        <v/>
      </c>
      <c r="CQ684">
        <f>IFERROR(INDEX(PP_Grid[#Data],$DD684,93),0)</f>
        <v/>
      </c>
      <c r="CR684">
        <f>IFERROR(INDEX(PP_Grid[#Data],$DD684,94),0)</f>
        <v/>
      </c>
      <c r="CS684">
        <f>IFERROR(INDEX(PP_Grid[#Data],$DD684,95),0)</f>
        <v/>
      </c>
      <c r="CT684">
        <f>IFERROR(INDEX(PP_Grid[#Data],$DD684,96),0)</f>
        <v/>
      </c>
      <c r="CU684">
        <f>IFERROR(INDEX(PP_Grid[#Data],$DD684,97),0)</f>
        <v/>
      </c>
      <c r="CV684">
        <f>IFERROR(INDEX(PP_Grid[#Data],$DD684,98),0)</f>
        <v/>
      </c>
      <c r="CW684">
        <f>IFERROR(INDEX(PP_Grid[#Data],$DD684,99),0)</f>
        <v/>
      </c>
      <c r="CX684">
        <f>IFERROR(INDEX(PP_Grid[#Data],$DD684,100),0)</f>
        <v/>
      </c>
      <c r="CY684">
        <f>IFERROR(INDEX(PP_Grid[#Data],$DD684,101),0)</f>
        <v/>
      </c>
      <c r="CZ684">
        <f>IFERROR(INDEX(PP_Grid[#Data],$DD684,102),0)</f>
        <v/>
      </c>
      <c r="DA684">
        <f>IFERROR(INDEX(PP_Grid[#Data],$DD684,103),0)</f>
        <v/>
      </c>
      <c r="DB684">
        <f>IFERROR(INDEX(PP_Grid[#Data],$DD684,104),0)</f>
        <v/>
      </c>
      <c r="DC684">
        <f>IFERROR(INDEX(PP_Grid[#Data],$DD684,105),0)</f>
        <v/>
      </c>
      <c r="DD684" s="12">
        <f>IFERROR(MATCH($B684,PP_Grid[Intermediate],0),99999)</f>
        <v/>
      </c>
    </row>
    <row r="685">
      <c r="B685" t="inlineStr">
        <is>
          <t>使用量(kg)</t>
        </is>
      </c>
      <c r="C685">
        <f>SUMIFS(M_BOM[RM_Qty_Per_Batch],M_BOM[Intermediate],$B684,M_BOM[Part Name],$A669)</f>
        <v/>
      </c>
      <c r="D685">
        <f>$C685*D684</f>
        <v/>
      </c>
      <c r="E685">
        <f>$C685*E684</f>
        <v/>
      </c>
      <c r="F685">
        <f>$C685*F684</f>
        <v/>
      </c>
      <c r="G685">
        <f>$C685*G684</f>
        <v/>
      </c>
      <c r="H685">
        <f>$C685*H684</f>
        <v/>
      </c>
      <c r="I685">
        <f>$C685*I684</f>
        <v/>
      </c>
      <c r="J685">
        <f>$C685*J684</f>
        <v/>
      </c>
      <c r="K685">
        <f>$C685*K684</f>
        <v/>
      </c>
      <c r="L685">
        <f>$C685*L684</f>
        <v/>
      </c>
      <c r="M685">
        <f>$C685*M684</f>
        <v/>
      </c>
      <c r="N685">
        <f>$C685*N684</f>
        <v/>
      </c>
      <c r="O685">
        <f>$C685*O684</f>
        <v/>
      </c>
      <c r="P685">
        <f>$C685*P684</f>
        <v/>
      </c>
      <c r="Q685">
        <f>$C685*Q684</f>
        <v/>
      </c>
      <c r="R685">
        <f>$C685*R684</f>
        <v/>
      </c>
      <c r="S685">
        <f>$C685*S684</f>
        <v/>
      </c>
      <c r="T685">
        <f>$C685*T684</f>
        <v/>
      </c>
      <c r="U685">
        <f>$C685*U684</f>
        <v/>
      </c>
      <c r="V685">
        <f>$C685*V684</f>
        <v/>
      </c>
      <c r="W685">
        <f>$C685*W684</f>
        <v/>
      </c>
      <c r="X685">
        <f>$C685*X684</f>
        <v/>
      </c>
      <c r="Y685">
        <f>$C685*Y684</f>
        <v/>
      </c>
      <c r="Z685">
        <f>$C685*Z684</f>
        <v/>
      </c>
      <c r="AA685">
        <f>$C685*AA684</f>
        <v/>
      </c>
      <c r="AB685">
        <f>$C685*AB684</f>
        <v/>
      </c>
      <c r="AC685">
        <f>$C685*AC684</f>
        <v/>
      </c>
      <c r="AD685">
        <f>$C685*AD684</f>
        <v/>
      </c>
      <c r="AE685">
        <f>$C685*AE684</f>
        <v/>
      </c>
      <c r="AF685">
        <f>$C685*AF684</f>
        <v/>
      </c>
      <c r="AG685">
        <f>$C685*AG684</f>
        <v/>
      </c>
      <c r="AH685">
        <f>$C685*AH684</f>
        <v/>
      </c>
      <c r="AI685">
        <f>$C685*AI684</f>
        <v/>
      </c>
      <c r="AJ685">
        <f>$C685*AJ684</f>
        <v/>
      </c>
      <c r="AK685">
        <f>$C685*AK684</f>
        <v/>
      </c>
      <c r="AL685">
        <f>$C685*AL684</f>
        <v/>
      </c>
      <c r="AM685">
        <f>$C685*AM684</f>
        <v/>
      </c>
      <c r="AN685">
        <f>$C685*AN684</f>
        <v/>
      </c>
      <c r="AO685">
        <f>$C685*AO684</f>
        <v/>
      </c>
      <c r="AP685">
        <f>$C685*AP684</f>
        <v/>
      </c>
      <c r="AQ685">
        <f>$C685*AQ684</f>
        <v/>
      </c>
      <c r="AR685">
        <f>$C685*AR684</f>
        <v/>
      </c>
      <c r="AS685">
        <f>$C685*AS684</f>
        <v/>
      </c>
      <c r="AT685">
        <f>$C685*AT684</f>
        <v/>
      </c>
      <c r="AU685">
        <f>$C685*AU684</f>
        <v/>
      </c>
      <c r="AV685">
        <f>$C685*AV684</f>
        <v/>
      </c>
      <c r="AW685">
        <f>$C685*AW684</f>
        <v/>
      </c>
      <c r="AX685">
        <f>$C685*AX684</f>
        <v/>
      </c>
      <c r="AY685">
        <f>$C685*AY684</f>
        <v/>
      </c>
      <c r="AZ685">
        <f>$C685*AZ684</f>
        <v/>
      </c>
      <c r="BA685">
        <f>$C685*BA684</f>
        <v/>
      </c>
      <c r="BB685">
        <f>$C685*BB684</f>
        <v/>
      </c>
      <c r="BC685">
        <f>$C685*BC684</f>
        <v/>
      </c>
      <c r="BD685">
        <f>$C685*BD684</f>
        <v/>
      </c>
      <c r="BE685">
        <f>$C685*BE684</f>
        <v/>
      </c>
      <c r="BF685">
        <f>$C685*BF684</f>
        <v/>
      </c>
      <c r="BG685">
        <f>$C685*BG684</f>
        <v/>
      </c>
      <c r="BH685">
        <f>$C685*BH684</f>
        <v/>
      </c>
      <c r="BI685">
        <f>$C685*BI684</f>
        <v/>
      </c>
      <c r="BJ685">
        <f>$C685*BJ684</f>
        <v/>
      </c>
      <c r="BK685">
        <f>$C685*BK684</f>
        <v/>
      </c>
      <c r="BL685">
        <f>$C685*BL684</f>
        <v/>
      </c>
      <c r="BM685">
        <f>$C685*BM684</f>
        <v/>
      </c>
      <c r="BN685">
        <f>$C685*BN684</f>
        <v/>
      </c>
      <c r="BO685">
        <f>$C685*BO684</f>
        <v/>
      </c>
      <c r="BP685">
        <f>$C685*BP684</f>
        <v/>
      </c>
      <c r="BQ685">
        <f>$C685*BQ684</f>
        <v/>
      </c>
      <c r="BR685">
        <f>$C685*BR684</f>
        <v/>
      </c>
      <c r="BS685">
        <f>$C685*BS684</f>
        <v/>
      </c>
      <c r="BT685">
        <f>$C685*BT684</f>
        <v/>
      </c>
      <c r="BU685">
        <f>$C685*BU684</f>
        <v/>
      </c>
      <c r="BV685">
        <f>$C685*BV684</f>
        <v/>
      </c>
      <c r="BW685">
        <f>$C685*BW684</f>
        <v/>
      </c>
      <c r="BX685">
        <f>$C685*BX684</f>
        <v/>
      </c>
      <c r="BY685">
        <f>$C685*BY684</f>
        <v/>
      </c>
      <c r="BZ685">
        <f>$C685*BZ684</f>
        <v/>
      </c>
      <c r="CA685">
        <f>$C685*CA684</f>
        <v/>
      </c>
      <c r="CB685">
        <f>$C685*CB684</f>
        <v/>
      </c>
      <c r="CC685">
        <f>$C685*CC684</f>
        <v/>
      </c>
      <c r="CD685">
        <f>$C685*CD684</f>
        <v/>
      </c>
      <c r="CE685">
        <f>$C685*CE684</f>
        <v/>
      </c>
      <c r="CF685">
        <f>$C685*CF684</f>
        <v/>
      </c>
      <c r="CG685">
        <f>$C685*CG684</f>
        <v/>
      </c>
      <c r="CH685">
        <f>$C685*CH684</f>
        <v/>
      </c>
      <c r="CI685">
        <f>$C685*CI684</f>
        <v/>
      </c>
      <c r="CJ685">
        <f>$C685*CJ684</f>
        <v/>
      </c>
      <c r="CK685">
        <f>$C685*CK684</f>
        <v/>
      </c>
      <c r="CL685">
        <f>$C685*CL684</f>
        <v/>
      </c>
      <c r="CM685">
        <f>$C685*CM684</f>
        <v/>
      </c>
      <c r="CN685">
        <f>$C685*CN684</f>
        <v/>
      </c>
      <c r="CO685">
        <f>$C685*CO684</f>
        <v/>
      </c>
      <c r="CP685">
        <f>$C685*CP684</f>
        <v/>
      </c>
      <c r="CQ685">
        <f>$C685*CQ684</f>
        <v/>
      </c>
      <c r="CR685">
        <f>$C685*CR684</f>
        <v/>
      </c>
      <c r="CS685">
        <f>$C685*CS684</f>
        <v/>
      </c>
      <c r="CT685">
        <f>$C685*CT684</f>
        <v/>
      </c>
      <c r="CU685">
        <f>$C685*CU684</f>
        <v/>
      </c>
      <c r="CV685">
        <f>$C685*CV684</f>
        <v/>
      </c>
      <c r="CW685">
        <f>$C685*CW684</f>
        <v/>
      </c>
      <c r="CX685">
        <f>$C685*CX684</f>
        <v/>
      </c>
      <c r="CY685">
        <f>$C685*CY684</f>
        <v/>
      </c>
      <c r="CZ685">
        <f>$C685*CZ684</f>
        <v/>
      </c>
      <c r="DA685">
        <f>$C685*DA684</f>
        <v/>
      </c>
      <c r="DB685">
        <f>$C685*DB684</f>
        <v/>
      </c>
      <c r="DC685">
        <f>$C685*DC684</f>
        <v/>
      </c>
    </row>
    <row r="686">
      <c r="B686" t="inlineStr">
        <is>
          <t>TSP-1388</t>
        </is>
      </c>
      <c r="C686" t="inlineStr">
        <is>
          <t>No. of batches</t>
        </is>
      </c>
      <c r="D686">
        <f>IFERROR(INDEX(PP_Grid[#Data],$DD686,2),0)</f>
        <v/>
      </c>
      <c r="E686">
        <f>IFERROR(INDEX(PP_Grid[#Data],$DD686,3),0)</f>
        <v/>
      </c>
      <c r="F686">
        <f>IFERROR(INDEX(PP_Grid[#Data],$DD686,4),0)</f>
        <v/>
      </c>
      <c r="G686">
        <f>IFERROR(INDEX(PP_Grid[#Data],$DD686,5),0)</f>
        <v/>
      </c>
      <c r="H686">
        <f>IFERROR(INDEX(PP_Grid[#Data],$DD686,6),0)</f>
        <v/>
      </c>
      <c r="I686">
        <f>IFERROR(INDEX(PP_Grid[#Data],$DD686,7),0)</f>
        <v/>
      </c>
      <c r="J686">
        <f>IFERROR(INDEX(PP_Grid[#Data],$DD686,8),0)</f>
        <v/>
      </c>
      <c r="K686">
        <f>IFERROR(INDEX(PP_Grid[#Data],$DD686,9),0)</f>
        <v/>
      </c>
      <c r="L686">
        <f>IFERROR(INDEX(PP_Grid[#Data],$DD686,10),0)</f>
        <v/>
      </c>
      <c r="M686">
        <f>IFERROR(INDEX(PP_Grid[#Data],$DD686,11),0)</f>
        <v/>
      </c>
      <c r="N686">
        <f>IFERROR(INDEX(PP_Grid[#Data],$DD686,12),0)</f>
        <v/>
      </c>
      <c r="O686">
        <f>IFERROR(INDEX(PP_Grid[#Data],$DD686,13),0)</f>
        <v/>
      </c>
      <c r="P686">
        <f>IFERROR(INDEX(PP_Grid[#Data],$DD686,14),0)</f>
        <v/>
      </c>
      <c r="Q686">
        <f>IFERROR(INDEX(PP_Grid[#Data],$DD686,15),0)</f>
        <v/>
      </c>
      <c r="R686">
        <f>IFERROR(INDEX(PP_Grid[#Data],$DD686,16),0)</f>
        <v/>
      </c>
      <c r="S686">
        <f>IFERROR(INDEX(PP_Grid[#Data],$DD686,17),0)</f>
        <v/>
      </c>
      <c r="T686">
        <f>IFERROR(INDEX(PP_Grid[#Data],$DD686,18),0)</f>
        <v/>
      </c>
      <c r="U686">
        <f>IFERROR(INDEX(PP_Grid[#Data],$DD686,19),0)</f>
        <v/>
      </c>
      <c r="V686">
        <f>IFERROR(INDEX(PP_Grid[#Data],$DD686,20),0)</f>
        <v/>
      </c>
      <c r="W686">
        <f>IFERROR(INDEX(PP_Grid[#Data],$DD686,21),0)</f>
        <v/>
      </c>
      <c r="X686">
        <f>IFERROR(INDEX(PP_Grid[#Data],$DD686,22),0)</f>
        <v/>
      </c>
      <c r="Y686">
        <f>IFERROR(INDEX(PP_Grid[#Data],$DD686,23),0)</f>
        <v/>
      </c>
      <c r="Z686">
        <f>IFERROR(INDEX(PP_Grid[#Data],$DD686,24),0)</f>
        <v/>
      </c>
      <c r="AA686">
        <f>IFERROR(INDEX(PP_Grid[#Data],$DD686,25),0)</f>
        <v/>
      </c>
      <c r="AB686">
        <f>IFERROR(INDEX(PP_Grid[#Data],$DD686,26),0)</f>
        <v/>
      </c>
      <c r="AC686">
        <f>IFERROR(INDEX(PP_Grid[#Data],$DD686,27),0)</f>
        <v/>
      </c>
      <c r="AD686">
        <f>IFERROR(INDEX(PP_Grid[#Data],$DD686,28),0)</f>
        <v/>
      </c>
      <c r="AE686">
        <f>IFERROR(INDEX(PP_Grid[#Data],$DD686,29),0)</f>
        <v/>
      </c>
      <c r="AF686">
        <f>IFERROR(INDEX(PP_Grid[#Data],$DD686,30),0)</f>
        <v/>
      </c>
      <c r="AG686">
        <f>IFERROR(INDEX(PP_Grid[#Data],$DD686,31),0)</f>
        <v/>
      </c>
      <c r="AH686">
        <f>IFERROR(INDEX(PP_Grid[#Data],$DD686,32),0)</f>
        <v/>
      </c>
      <c r="AI686">
        <f>IFERROR(INDEX(PP_Grid[#Data],$DD686,33),0)</f>
        <v/>
      </c>
      <c r="AJ686">
        <f>IFERROR(INDEX(PP_Grid[#Data],$DD686,34),0)</f>
        <v/>
      </c>
      <c r="AK686">
        <f>IFERROR(INDEX(PP_Grid[#Data],$DD686,35),0)</f>
        <v/>
      </c>
      <c r="AL686">
        <f>IFERROR(INDEX(PP_Grid[#Data],$DD686,36),0)</f>
        <v/>
      </c>
      <c r="AM686">
        <f>IFERROR(INDEX(PP_Grid[#Data],$DD686,37),0)</f>
        <v/>
      </c>
      <c r="AN686">
        <f>IFERROR(INDEX(PP_Grid[#Data],$DD686,38),0)</f>
        <v/>
      </c>
      <c r="AO686">
        <f>IFERROR(INDEX(PP_Grid[#Data],$DD686,39),0)</f>
        <v/>
      </c>
      <c r="AP686">
        <f>IFERROR(INDEX(PP_Grid[#Data],$DD686,40),0)</f>
        <v/>
      </c>
      <c r="AQ686">
        <f>IFERROR(INDEX(PP_Grid[#Data],$DD686,41),0)</f>
        <v/>
      </c>
      <c r="AR686">
        <f>IFERROR(INDEX(PP_Grid[#Data],$DD686,42),0)</f>
        <v/>
      </c>
      <c r="AS686">
        <f>IFERROR(INDEX(PP_Grid[#Data],$DD686,43),0)</f>
        <v/>
      </c>
      <c r="AT686">
        <f>IFERROR(INDEX(PP_Grid[#Data],$DD686,44),0)</f>
        <v/>
      </c>
      <c r="AU686">
        <f>IFERROR(INDEX(PP_Grid[#Data],$DD686,45),0)</f>
        <v/>
      </c>
      <c r="AV686">
        <f>IFERROR(INDEX(PP_Grid[#Data],$DD686,46),0)</f>
        <v/>
      </c>
      <c r="AW686">
        <f>IFERROR(INDEX(PP_Grid[#Data],$DD686,47),0)</f>
        <v/>
      </c>
      <c r="AX686">
        <f>IFERROR(INDEX(PP_Grid[#Data],$DD686,48),0)</f>
        <v/>
      </c>
      <c r="AY686">
        <f>IFERROR(INDEX(PP_Grid[#Data],$DD686,49),0)</f>
        <v/>
      </c>
      <c r="AZ686">
        <f>IFERROR(INDEX(PP_Grid[#Data],$DD686,50),0)</f>
        <v/>
      </c>
      <c r="BA686">
        <f>IFERROR(INDEX(PP_Grid[#Data],$DD686,51),0)</f>
        <v/>
      </c>
      <c r="BB686">
        <f>IFERROR(INDEX(PP_Grid[#Data],$DD686,52),0)</f>
        <v/>
      </c>
      <c r="BC686">
        <f>IFERROR(INDEX(PP_Grid[#Data],$DD686,53),0)</f>
        <v/>
      </c>
      <c r="BD686">
        <f>IFERROR(INDEX(PP_Grid[#Data],$DD686,54),0)</f>
        <v/>
      </c>
      <c r="BE686">
        <f>IFERROR(INDEX(PP_Grid[#Data],$DD686,55),0)</f>
        <v/>
      </c>
      <c r="BF686">
        <f>IFERROR(INDEX(PP_Grid[#Data],$DD686,56),0)</f>
        <v/>
      </c>
      <c r="BG686">
        <f>IFERROR(INDEX(PP_Grid[#Data],$DD686,57),0)</f>
        <v/>
      </c>
      <c r="BH686">
        <f>IFERROR(INDEX(PP_Grid[#Data],$DD686,58),0)</f>
        <v/>
      </c>
      <c r="BI686">
        <f>IFERROR(INDEX(PP_Grid[#Data],$DD686,59),0)</f>
        <v/>
      </c>
      <c r="BJ686">
        <f>IFERROR(INDEX(PP_Grid[#Data],$DD686,60),0)</f>
        <v/>
      </c>
      <c r="BK686">
        <f>IFERROR(INDEX(PP_Grid[#Data],$DD686,61),0)</f>
        <v/>
      </c>
      <c r="BL686">
        <f>IFERROR(INDEX(PP_Grid[#Data],$DD686,62),0)</f>
        <v/>
      </c>
      <c r="BM686">
        <f>IFERROR(INDEX(PP_Grid[#Data],$DD686,63),0)</f>
        <v/>
      </c>
      <c r="BN686">
        <f>IFERROR(INDEX(PP_Grid[#Data],$DD686,64),0)</f>
        <v/>
      </c>
      <c r="BO686">
        <f>IFERROR(INDEX(PP_Grid[#Data],$DD686,65),0)</f>
        <v/>
      </c>
      <c r="BP686">
        <f>IFERROR(INDEX(PP_Grid[#Data],$DD686,66),0)</f>
        <v/>
      </c>
      <c r="BQ686">
        <f>IFERROR(INDEX(PP_Grid[#Data],$DD686,67),0)</f>
        <v/>
      </c>
      <c r="BR686">
        <f>IFERROR(INDEX(PP_Grid[#Data],$DD686,68),0)</f>
        <v/>
      </c>
      <c r="BS686">
        <f>IFERROR(INDEX(PP_Grid[#Data],$DD686,69),0)</f>
        <v/>
      </c>
      <c r="BT686">
        <f>IFERROR(INDEX(PP_Grid[#Data],$DD686,70),0)</f>
        <v/>
      </c>
      <c r="BU686">
        <f>IFERROR(INDEX(PP_Grid[#Data],$DD686,71),0)</f>
        <v/>
      </c>
      <c r="BV686">
        <f>IFERROR(INDEX(PP_Grid[#Data],$DD686,72),0)</f>
        <v/>
      </c>
      <c r="BW686">
        <f>IFERROR(INDEX(PP_Grid[#Data],$DD686,73),0)</f>
        <v/>
      </c>
      <c r="BX686">
        <f>IFERROR(INDEX(PP_Grid[#Data],$DD686,74),0)</f>
        <v/>
      </c>
      <c r="BY686">
        <f>IFERROR(INDEX(PP_Grid[#Data],$DD686,75),0)</f>
        <v/>
      </c>
      <c r="BZ686">
        <f>IFERROR(INDEX(PP_Grid[#Data],$DD686,76),0)</f>
        <v/>
      </c>
      <c r="CA686">
        <f>IFERROR(INDEX(PP_Grid[#Data],$DD686,77),0)</f>
        <v/>
      </c>
      <c r="CB686">
        <f>IFERROR(INDEX(PP_Grid[#Data],$DD686,78),0)</f>
        <v/>
      </c>
      <c r="CC686">
        <f>IFERROR(INDEX(PP_Grid[#Data],$DD686,79),0)</f>
        <v/>
      </c>
      <c r="CD686">
        <f>IFERROR(INDEX(PP_Grid[#Data],$DD686,80),0)</f>
        <v/>
      </c>
      <c r="CE686">
        <f>IFERROR(INDEX(PP_Grid[#Data],$DD686,81),0)</f>
        <v/>
      </c>
      <c r="CF686">
        <f>IFERROR(INDEX(PP_Grid[#Data],$DD686,82),0)</f>
        <v/>
      </c>
      <c r="CG686">
        <f>IFERROR(INDEX(PP_Grid[#Data],$DD686,83),0)</f>
        <v/>
      </c>
      <c r="CH686">
        <f>IFERROR(INDEX(PP_Grid[#Data],$DD686,84),0)</f>
        <v/>
      </c>
      <c r="CI686">
        <f>IFERROR(INDEX(PP_Grid[#Data],$DD686,85),0)</f>
        <v/>
      </c>
      <c r="CJ686">
        <f>IFERROR(INDEX(PP_Grid[#Data],$DD686,86),0)</f>
        <v/>
      </c>
      <c r="CK686">
        <f>IFERROR(INDEX(PP_Grid[#Data],$DD686,87),0)</f>
        <v/>
      </c>
      <c r="CL686">
        <f>IFERROR(INDEX(PP_Grid[#Data],$DD686,88),0)</f>
        <v/>
      </c>
      <c r="CM686">
        <f>IFERROR(INDEX(PP_Grid[#Data],$DD686,89),0)</f>
        <v/>
      </c>
      <c r="CN686">
        <f>IFERROR(INDEX(PP_Grid[#Data],$DD686,90),0)</f>
        <v/>
      </c>
      <c r="CO686">
        <f>IFERROR(INDEX(PP_Grid[#Data],$DD686,91),0)</f>
        <v/>
      </c>
      <c r="CP686">
        <f>IFERROR(INDEX(PP_Grid[#Data],$DD686,92),0)</f>
        <v/>
      </c>
      <c r="CQ686">
        <f>IFERROR(INDEX(PP_Grid[#Data],$DD686,93),0)</f>
        <v/>
      </c>
      <c r="CR686">
        <f>IFERROR(INDEX(PP_Grid[#Data],$DD686,94),0)</f>
        <v/>
      </c>
      <c r="CS686">
        <f>IFERROR(INDEX(PP_Grid[#Data],$DD686,95),0)</f>
        <v/>
      </c>
      <c r="CT686">
        <f>IFERROR(INDEX(PP_Grid[#Data],$DD686,96),0)</f>
        <v/>
      </c>
      <c r="CU686">
        <f>IFERROR(INDEX(PP_Grid[#Data],$DD686,97),0)</f>
        <v/>
      </c>
      <c r="CV686">
        <f>IFERROR(INDEX(PP_Grid[#Data],$DD686,98),0)</f>
        <v/>
      </c>
      <c r="CW686">
        <f>IFERROR(INDEX(PP_Grid[#Data],$DD686,99),0)</f>
        <v/>
      </c>
      <c r="CX686">
        <f>IFERROR(INDEX(PP_Grid[#Data],$DD686,100),0)</f>
        <v/>
      </c>
      <c r="CY686">
        <f>IFERROR(INDEX(PP_Grid[#Data],$DD686,101),0)</f>
        <v/>
      </c>
      <c r="CZ686">
        <f>IFERROR(INDEX(PP_Grid[#Data],$DD686,102),0)</f>
        <v/>
      </c>
      <c r="DA686">
        <f>IFERROR(INDEX(PP_Grid[#Data],$DD686,103),0)</f>
        <v/>
      </c>
      <c r="DB686">
        <f>IFERROR(INDEX(PP_Grid[#Data],$DD686,104),0)</f>
        <v/>
      </c>
      <c r="DC686">
        <f>IFERROR(INDEX(PP_Grid[#Data],$DD686,105),0)</f>
        <v/>
      </c>
      <c r="DD686" s="12">
        <f>IFERROR(MATCH($B686,PP_Grid[Intermediate],0),99999)</f>
        <v/>
      </c>
    </row>
    <row r="687">
      <c r="B687" t="inlineStr">
        <is>
          <t>使用量(kg)</t>
        </is>
      </c>
      <c r="C687">
        <f>SUMIFS(M_BOM[RM_Qty_Per_Batch],M_BOM[Intermediate],$B686,M_BOM[Part Name],$A669)</f>
        <v/>
      </c>
      <c r="D687">
        <f>$C687*D686</f>
        <v/>
      </c>
      <c r="E687">
        <f>$C687*E686</f>
        <v/>
      </c>
      <c r="F687">
        <f>$C687*F686</f>
        <v/>
      </c>
      <c r="G687">
        <f>$C687*G686</f>
        <v/>
      </c>
      <c r="H687">
        <f>$C687*H686</f>
        <v/>
      </c>
      <c r="I687">
        <f>$C687*I686</f>
        <v/>
      </c>
      <c r="J687">
        <f>$C687*J686</f>
        <v/>
      </c>
      <c r="K687">
        <f>$C687*K686</f>
        <v/>
      </c>
      <c r="L687">
        <f>$C687*L686</f>
        <v/>
      </c>
      <c r="M687">
        <f>$C687*M686</f>
        <v/>
      </c>
      <c r="N687">
        <f>$C687*N686</f>
        <v/>
      </c>
      <c r="O687">
        <f>$C687*O686</f>
        <v/>
      </c>
      <c r="P687">
        <f>$C687*P686</f>
        <v/>
      </c>
      <c r="Q687">
        <f>$C687*Q686</f>
        <v/>
      </c>
      <c r="R687">
        <f>$C687*R686</f>
        <v/>
      </c>
      <c r="S687">
        <f>$C687*S686</f>
        <v/>
      </c>
      <c r="T687">
        <f>$C687*T686</f>
        <v/>
      </c>
      <c r="U687">
        <f>$C687*U686</f>
        <v/>
      </c>
      <c r="V687">
        <f>$C687*V686</f>
        <v/>
      </c>
      <c r="W687">
        <f>$C687*W686</f>
        <v/>
      </c>
      <c r="X687">
        <f>$C687*X686</f>
        <v/>
      </c>
      <c r="Y687">
        <f>$C687*Y686</f>
        <v/>
      </c>
      <c r="Z687">
        <f>$C687*Z686</f>
        <v/>
      </c>
      <c r="AA687">
        <f>$C687*AA686</f>
        <v/>
      </c>
      <c r="AB687">
        <f>$C687*AB686</f>
        <v/>
      </c>
      <c r="AC687">
        <f>$C687*AC686</f>
        <v/>
      </c>
      <c r="AD687">
        <f>$C687*AD686</f>
        <v/>
      </c>
      <c r="AE687">
        <f>$C687*AE686</f>
        <v/>
      </c>
      <c r="AF687">
        <f>$C687*AF686</f>
        <v/>
      </c>
      <c r="AG687">
        <f>$C687*AG686</f>
        <v/>
      </c>
      <c r="AH687">
        <f>$C687*AH686</f>
        <v/>
      </c>
      <c r="AI687">
        <f>$C687*AI686</f>
        <v/>
      </c>
      <c r="AJ687">
        <f>$C687*AJ686</f>
        <v/>
      </c>
      <c r="AK687">
        <f>$C687*AK686</f>
        <v/>
      </c>
      <c r="AL687">
        <f>$C687*AL686</f>
        <v/>
      </c>
      <c r="AM687">
        <f>$C687*AM686</f>
        <v/>
      </c>
      <c r="AN687">
        <f>$C687*AN686</f>
        <v/>
      </c>
      <c r="AO687">
        <f>$C687*AO686</f>
        <v/>
      </c>
      <c r="AP687">
        <f>$C687*AP686</f>
        <v/>
      </c>
      <c r="AQ687">
        <f>$C687*AQ686</f>
        <v/>
      </c>
      <c r="AR687">
        <f>$C687*AR686</f>
        <v/>
      </c>
      <c r="AS687">
        <f>$C687*AS686</f>
        <v/>
      </c>
      <c r="AT687">
        <f>$C687*AT686</f>
        <v/>
      </c>
      <c r="AU687">
        <f>$C687*AU686</f>
        <v/>
      </c>
      <c r="AV687">
        <f>$C687*AV686</f>
        <v/>
      </c>
      <c r="AW687">
        <f>$C687*AW686</f>
        <v/>
      </c>
      <c r="AX687">
        <f>$C687*AX686</f>
        <v/>
      </c>
      <c r="AY687">
        <f>$C687*AY686</f>
        <v/>
      </c>
      <c r="AZ687">
        <f>$C687*AZ686</f>
        <v/>
      </c>
      <c r="BA687">
        <f>$C687*BA686</f>
        <v/>
      </c>
      <c r="BB687">
        <f>$C687*BB686</f>
        <v/>
      </c>
      <c r="BC687">
        <f>$C687*BC686</f>
        <v/>
      </c>
      <c r="BD687">
        <f>$C687*BD686</f>
        <v/>
      </c>
      <c r="BE687">
        <f>$C687*BE686</f>
        <v/>
      </c>
      <c r="BF687">
        <f>$C687*BF686</f>
        <v/>
      </c>
      <c r="BG687">
        <f>$C687*BG686</f>
        <v/>
      </c>
      <c r="BH687">
        <f>$C687*BH686</f>
        <v/>
      </c>
      <c r="BI687">
        <f>$C687*BI686</f>
        <v/>
      </c>
      <c r="BJ687">
        <f>$C687*BJ686</f>
        <v/>
      </c>
      <c r="BK687">
        <f>$C687*BK686</f>
        <v/>
      </c>
      <c r="BL687">
        <f>$C687*BL686</f>
        <v/>
      </c>
      <c r="BM687">
        <f>$C687*BM686</f>
        <v/>
      </c>
      <c r="BN687">
        <f>$C687*BN686</f>
        <v/>
      </c>
      <c r="BO687">
        <f>$C687*BO686</f>
        <v/>
      </c>
      <c r="BP687">
        <f>$C687*BP686</f>
        <v/>
      </c>
      <c r="BQ687">
        <f>$C687*BQ686</f>
        <v/>
      </c>
      <c r="BR687">
        <f>$C687*BR686</f>
        <v/>
      </c>
      <c r="BS687">
        <f>$C687*BS686</f>
        <v/>
      </c>
      <c r="BT687">
        <f>$C687*BT686</f>
        <v/>
      </c>
      <c r="BU687">
        <f>$C687*BU686</f>
        <v/>
      </c>
      <c r="BV687">
        <f>$C687*BV686</f>
        <v/>
      </c>
      <c r="BW687">
        <f>$C687*BW686</f>
        <v/>
      </c>
      <c r="BX687">
        <f>$C687*BX686</f>
        <v/>
      </c>
      <c r="BY687">
        <f>$C687*BY686</f>
        <v/>
      </c>
      <c r="BZ687">
        <f>$C687*BZ686</f>
        <v/>
      </c>
      <c r="CA687">
        <f>$C687*CA686</f>
        <v/>
      </c>
      <c r="CB687">
        <f>$C687*CB686</f>
        <v/>
      </c>
      <c r="CC687">
        <f>$C687*CC686</f>
        <v/>
      </c>
      <c r="CD687">
        <f>$C687*CD686</f>
        <v/>
      </c>
      <c r="CE687">
        <f>$C687*CE686</f>
        <v/>
      </c>
      <c r="CF687">
        <f>$C687*CF686</f>
        <v/>
      </c>
      <c r="CG687">
        <f>$C687*CG686</f>
        <v/>
      </c>
      <c r="CH687">
        <f>$C687*CH686</f>
        <v/>
      </c>
      <c r="CI687">
        <f>$C687*CI686</f>
        <v/>
      </c>
      <c r="CJ687">
        <f>$C687*CJ686</f>
        <v/>
      </c>
      <c r="CK687">
        <f>$C687*CK686</f>
        <v/>
      </c>
      <c r="CL687">
        <f>$C687*CL686</f>
        <v/>
      </c>
      <c r="CM687">
        <f>$C687*CM686</f>
        <v/>
      </c>
      <c r="CN687">
        <f>$C687*CN686</f>
        <v/>
      </c>
      <c r="CO687">
        <f>$C687*CO686</f>
        <v/>
      </c>
      <c r="CP687">
        <f>$C687*CP686</f>
        <v/>
      </c>
      <c r="CQ687">
        <f>$C687*CQ686</f>
        <v/>
      </c>
      <c r="CR687">
        <f>$C687*CR686</f>
        <v/>
      </c>
      <c r="CS687">
        <f>$C687*CS686</f>
        <v/>
      </c>
      <c r="CT687">
        <f>$C687*CT686</f>
        <v/>
      </c>
      <c r="CU687">
        <f>$C687*CU686</f>
        <v/>
      </c>
      <c r="CV687">
        <f>$C687*CV686</f>
        <v/>
      </c>
      <c r="CW687">
        <f>$C687*CW686</f>
        <v/>
      </c>
      <c r="CX687">
        <f>$C687*CX686</f>
        <v/>
      </c>
      <c r="CY687">
        <f>$C687*CY686</f>
        <v/>
      </c>
      <c r="CZ687">
        <f>$C687*CZ686</f>
        <v/>
      </c>
      <c r="DA687">
        <f>$C687*DA686</f>
        <v/>
      </c>
      <c r="DB687">
        <f>$C687*DB686</f>
        <v/>
      </c>
      <c r="DC687">
        <f>$C687*DC686</f>
        <v/>
      </c>
    </row>
    <row r="688">
      <c r="B688" t="inlineStr">
        <is>
          <t>TSP-1444</t>
        </is>
      </c>
      <c r="C688" t="inlineStr">
        <is>
          <t>No. of batches</t>
        </is>
      </c>
      <c r="D688">
        <f>IFERROR(INDEX(PP_Grid[#Data],$DD688,2),0)</f>
        <v/>
      </c>
      <c r="E688">
        <f>IFERROR(INDEX(PP_Grid[#Data],$DD688,3),0)</f>
        <v/>
      </c>
      <c r="F688">
        <f>IFERROR(INDEX(PP_Grid[#Data],$DD688,4),0)</f>
        <v/>
      </c>
      <c r="G688">
        <f>IFERROR(INDEX(PP_Grid[#Data],$DD688,5),0)</f>
        <v/>
      </c>
      <c r="H688">
        <f>IFERROR(INDEX(PP_Grid[#Data],$DD688,6),0)</f>
        <v/>
      </c>
      <c r="I688">
        <f>IFERROR(INDEX(PP_Grid[#Data],$DD688,7),0)</f>
        <v/>
      </c>
      <c r="J688">
        <f>IFERROR(INDEX(PP_Grid[#Data],$DD688,8),0)</f>
        <v/>
      </c>
      <c r="K688">
        <f>IFERROR(INDEX(PP_Grid[#Data],$DD688,9),0)</f>
        <v/>
      </c>
      <c r="L688">
        <f>IFERROR(INDEX(PP_Grid[#Data],$DD688,10),0)</f>
        <v/>
      </c>
      <c r="M688">
        <f>IFERROR(INDEX(PP_Grid[#Data],$DD688,11),0)</f>
        <v/>
      </c>
      <c r="N688">
        <f>IFERROR(INDEX(PP_Grid[#Data],$DD688,12),0)</f>
        <v/>
      </c>
      <c r="O688">
        <f>IFERROR(INDEX(PP_Grid[#Data],$DD688,13),0)</f>
        <v/>
      </c>
      <c r="P688">
        <f>IFERROR(INDEX(PP_Grid[#Data],$DD688,14),0)</f>
        <v/>
      </c>
      <c r="Q688">
        <f>IFERROR(INDEX(PP_Grid[#Data],$DD688,15),0)</f>
        <v/>
      </c>
      <c r="R688">
        <f>IFERROR(INDEX(PP_Grid[#Data],$DD688,16),0)</f>
        <v/>
      </c>
      <c r="S688">
        <f>IFERROR(INDEX(PP_Grid[#Data],$DD688,17),0)</f>
        <v/>
      </c>
      <c r="T688">
        <f>IFERROR(INDEX(PP_Grid[#Data],$DD688,18),0)</f>
        <v/>
      </c>
      <c r="U688">
        <f>IFERROR(INDEX(PP_Grid[#Data],$DD688,19),0)</f>
        <v/>
      </c>
      <c r="V688">
        <f>IFERROR(INDEX(PP_Grid[#Data],$DD688,20),0)</f>
        <v/>
      </c>
      <c r="W688">
        <f>IFERROR(INDEX(PP_Grid[#Data],$DD688,21),0)</f>
        <v/>
      </c>
      <c r="X688">
        <f>IFERROR(INDEX(PP_Grid[#Data],$DD688,22),0)</f>
        <v/>
      </c>
      <c r="Y688">
        <f>IFERROR(INDEX(PP_Grid[#Data],$DD688,23),0)</f>
        <v/>
      </c>
      <c r="Z688">
        <f>IFERROR(INDEX(PP_Grid[#Data],$DD688,24),0)</f>
        <v/>
      </c>
      <c r="AA688">
        <f>IFERROR(INDEX(PP_Grid[#Data],$DD688,25),0)</f>
        <v/>
      </c>
      <c r="AB688">
        <f>IFERROR(INDEX(PP_Grid[#Data],$DD688,26),0)</f>
        <v/>
      </c>
      <c r="AC688">
        <f>IFERROR(INDEX(PP_Grid[#Data],$DD688,27),0)</f>
        <v/>
      </c>
      <c r="AD688">
        <f>IFERROR(INDEX(PP_Grid[#Data],$DD688,28),0)</f>
        <v/>
      </c>
      <c r="AE688">
        <f>IFERROR(INDEX(PP_Grid[#Data],$DD688,29),0)</f>
        <v/>
      </c>
      <c r="AF688">
        <f>IFERROR(INDEX(PP_Grid[#Data],$DD688,30),0)</f>
        <v/>
      </c>
      <c r="AG688">
        <f>IFERROR(INDEX(PP_Grid[#Data],$DD688,31),0)</f>
        <v/>
      </c>
      <c r="AH688">
        <f>IFERROR(INDEX(PP_Grid[#Data],$DD688,32),0)</f>
        <v/>
      </c>
      <c r="AI688">
        <f>IFERROR(INDEX(PP_Grid[#Data],$DD688,33),0)</f>
        <v/>
      </c>
      <c r="AJ688">
        <f>IFERROR(INDEX(PP_Grid[#Data],$DD688,34),0)</f>
        <v/>
      </c>
      <c r="AK688">
        <f>IFERROR(INDEX(PP_Grid[#Data],$DD688,35),0)</f>
        <v/>
      </c>
      <c r="AL688">
        <f>IFERROR(INDEX(PP_Grid[#Data],$DD688,36),0)</f>
        <v/>
      </c>
      <c r="AM688">
        <f>IFERROR(INDEX(PP_Grid[#Data],$DD688,37),0)</f>
        <v/>
      </c>
      <c r="AN688">
        <f>IFERROR(INDEX(PP_Grid[#Data],$DD688,38),0)</f>
        <v/>
      </c>
      <c r="AO688">
        <f>IFERROR(INDEX(PP_Grid[#Data],$DD688,39),0)</f>
        <v/>
      </c>
      <c r="AP688">
        <f>IFERROR(INDEX(PP_Grid[#Data],$DD688,40),0)</f>
        <v/>
      </c>
      <c r="AQ688">
        <f>IFERROR(INDEX(PP_Grid[#Data],$DD688,41),0)</f>
        <v/>
      </c>
      <c r="AR688">
        <f>IFERROR(INDEX(PP_Grid[#Data],$DD688,42),0)</f>
        <v/>
      </c>
      <c r="AS688">
        <f>IFERROR(INDEX(PP_Grid[#Data],$DD688,43),0)</f>
        <v/>
      </c>
      <c r="AT688">
        <f>IFERROR(INDEX(PP_Grid[#Data],$DD688,44),0)</f>
        <v/>
      </c>
      <c r="AU688">
        <f>IFERROR(INDEX(PP_Grid[#Data],$DD688,45),0)</f>
        <v/>
      </c>
      <c r="AV688">
        <f>IFERROR(INDEX(PP_Grid[#Data],$DD688,46),0)</f>
        <v/>
      </c>
      <c r="AW688">
        <f>IFERROR(INDEX(PP_Grid[#Data],$DD688,47),0)</f>
        <v/>
      </c>
      <c r="AX688">
        <f>IFERROR(INDEX(PP_Grid[#Data],$DD688,48),0)</f>
        <v/>
      </c>
      <c r="AY688">
        <f>IFERROR(INDEX(PP_Grid[#Data],$DD688,49),0)</f>
        <v/>
      </c>
      <c r="AZ688">
        <f>IFERROR(INDEX(PP_Grid[#Data],$DD688,50),0)</f>
        <v/>
      </c>
      <c r="BA688">
        <f>IFERROR(INDEX(PP_Grid[#Data],$DD688,51),0)</f>
        <v/>
      </c>
      <c r="BB688">
        <f>IFERROR(INDEX(PP_Grid[#Data],$DD688,52),0)</f>
        <v/>
      </c>
      <c r="BC688">
        <f>IFERROR(INDEX(PP_Grid[#Data],$DD688,53),0)</f>
        <v/>
      </c>
      <c r="BD688">
        <f>IFERROR(INDEX(PP_Grid[#Data],$DD688,54),0)</f>
        <v/>
      </c>
      <c r="BE688">
        <f>IFERROR(INDEX(PP_Grid[#Data],$DD688,55),0)</f>
        <v/>
      </c>
      <c r="BF688">
        <f>IFERROR(INDEX(PP_Grid[#Data],$DD688,56),0)</f>
        <v/>
      </c>
      <c r="BG688">
        <f>IFERROR(INDEX(PP_Grid[#Data],$DD688,57),0)</f>
        <v/>
      </c>
      <c r="BH688">
        <f>IFERROR(INDEX(PP_Grid[#Data],$DD688,58),0)</f>
        <v/>
      </c>
      <c r="BI688">
        <f>IFERROR(INDEX(PP_Grid[#Data],$DD688,59),0)</f>
        <v/>
      </c>
      <c r="BJ688">
        <f>IFERROR(INDEX(PP_Grid[#Data],$DD688,60),0)</f>
        <v/>
      </c>
      <c r="BK688">
        <f>IFERROR(INDEX(PP_Grid[#Data],$DD688,61),0)</f>
        <v/>
      </c>
      <c r="BL688">
        <f>IFERROR(INDEX(PP_Grid[#Data],$DD688,62),0)</f>
        <v/>
      </c>
      <c r="BM688">
        <f>IFERROR(INDEX(PP_Grid[#Data],$DD688,63),0)</f>
        <v/>
      </c>
      <c r="BN688">
        <f>IFERROR(INDEX(PP_Grid[#Data],$DD688,64),0)</f>
        <v/>
      </c>
      <c r="BO688">
        <f>IFERROR(INDEX(PP_Grid[#Data],$DD688,65),0)</f>
        <v/>
      </c>
      <c r="BP688">
        <f>IFERROR(INDEX(PP_Grid[#Data],$DD688,66),0)</f>
        <v/>
      </c>
      <c r="BQ688">
        <f>IFERROR(INDEX(PP_Grid[#Data],$DD688,67),0)</f>
        <v/>
      </c>
      <c r="BR688">
        <f>IFERROR(INDEX(PP_Grid[#Data],$DD688,68),0)</f>
        <v/>
      </c>
      <c r="BS688">
        <f>IFERROR(INDEX(PP_Grid[#Data],$DD688,69),0)</f>
        <v/>
      </c>
      <c r="BT688">
        <f>IFERROR(INDEX(PP_Grid[#Data],$DD688,70),0)</f>
        <v/>
      </c>
      <c r="BU688">
        <f>IFERROR(INDEX(PP_Grid[#Data],$DD688,71),0)</f>
        <v/>
      </c>
      <c r="BV688">
        <f>IFERROR(INDEX(PP_Grid[#Data],$DD688,72),0)</f>
        <v/>
      </c>
      <c r="BW688">
        <f>IFERROR(INDEX(PP_Grid[#Data],$DD688,73),0)</f>
        <v/>
      </c>
      <c r="BX688">
        <f>IFERROR(INDEX(PP_Grid[#Data],$DD688,74),0)</f>
        <v/>
      </c>
      <c r="BY688">
        <f>IFERROR(INDEX(PP_Grid[#Data],$DD688,75),0)</f>
        <v/>
      </c>
      <c r="BZ688">
        <f>IFERROR(INDEX(PP_Grid[#Data],$DD688,76),0)</f>
        <v/>
      </c>
      <c r="CA688">
        <f>IFERROR(INDEX(PP_Grid[#Data],$DD688,77),0)</f>
        <v/>
      </c>
      <c r="CB688">
        <f>IFERROR(INDEX(PP_Grid[#Data],$DD688,78),0)</f>
        <v/>
      </c>
      <c r="CC688">
        <f>IFERROR(INDEX(PP_Grid[#Data],$DD688,79),0)</f>
        <v/>
      </c>
      <c r="CD688">
        <f>IFERROR(INDEX(PP_Grid[#Data],$DD688,80),0)</f>
        <v/>
      </c>
      <c r="CE688">
        <f>IFERROR(INDEX(PP_Grid[#Data],$DD688,81),0)</f>
        <v/>
      </c>
      <c r="CF688">
        <f>IFERROR(INDEX(PP_Grid[#Data],$DD688,82),0)</f>
        <v/>
      </c>
      <c r="CG688">
        <f>IFERROR(INDEX(PP_Grid[#Data],$DD688,83),0)</f>
        <v/>
      </c>
      <c r="CH688">
        <f>IFERROR(INDEX(PP_Grid[#Data],$DD688,84),0)</f>
        <v/>
      </c>
      <c r="CI688">
        <f>IFERROR(INDEX(PP_Grid[#Data],$DD688,85),0)</f>
        <v/>
      </c>
      <c r="CJ688">
        <f>IFERROR(INDEX(PP_Grid[#Data],$DD688,86),0)</f>
        <v/>
      </c>
      <c r="CK688">
        <f>IFERROR(INDEX(PP_Grid[#Data],$DD688,87),0)</f>
        <v/>
      </c>
      <c r="CL688">
        <f>IFERROR(INDEX(PP_Grid[#Data],$DD688,88),0)</f>
        <v/>
      </c>
      <c r="CM688">
        <f>IFERROR(INDEX(PP_Grid[#Data],$DD688,89),0)</f>
        <v/>
      </c>
      <c r="CN688">
        <f>IFERROR(INDEX(PP_Grid[#Data],$DD688,90),0)</f>
        <v/>
      </c>
      <c r="CO688">
        <f>IFERROR(INDEX(PP_Grid[#Data],$DD688,91),0)</f>
        <v/>
      </c>
      <c r="CP688">
        <f>IFERROR(INDEX(PP_Grid[#Data],$DD688,92),0)</f>
        <v/>
      </c>
      <c r="CQ688">
        <f>IFERROR(INDEX(PP_Grid[#Data],$DD688,93),0)</f>
        <v/>
      </c>
      <c r="CR688">
        <f>IFERROR(INDEX(PP_Grid[#Data],$DD688,94),0)</f>
        <v/>
      </c>
      <c r="CS688">
        <f>IFERROR(INDEX(PP_Grid[#Data],$DD688,95),0)</f>
        <v/>
      </c>
      <c r="CT688">
        <f>IFERROR(INDEX(PP_Grid[#Data],$DD688,96),0)</f>
        <v/>
      </c>
      <c r="CU688">
        <f>IFERROR(INDEX(PP_Grid[#Data],$DD688,97),0)</f>
        <v/>
      </c>
      <c r="CV688">
        <f>IFERROR(INDEX(PP_Grid[#Data],$DD688,98),0)</f>
        <v/>
      </c>
      <c r="CW688">
        <f>IFERROR(INDEX(PP_Grid[#Data],$DD688,99),0)</f>
        <v/>
      </c>
      <c r="CX688">
        <f>IFERROR(INDEX(PP_Grid[#Data],$DD688,100),0)</f>
        <v/>
      </c>
      <c r="CY688">
        <f>IFERROR(INDEX(PP_Grid[#Data],$DD688,101),0)</f>
        <v/>
      </c>
      <c r="CZ688">
        <f>IFERROR(INDEX(PP_Grid[#Data],$DD688,102),0)</f>
        <v/>
      </c>
      <c r="DA688">
        <f>IFERROR(INDEX(PP_Grid[#Data],$DD688,103),0)</f>
        <v/>
      </c>
      <c r="DB688">
        <f>IFERROR(INDEX(PP_Grid[#Data],$DD688,104),0)</f>
        <v/>
      </c>
      <c r="DC688">
        <f>IFERROR(INDEX(PP_Grid[#Data],$DD688,105),0)</f>
        <v/>
      </c>
      <c r="DD688" s="12">
        <f>IFERROR(MATCH($B688,PP_Grid[Intermediate],0),99999)</f>
        <v/>
      </c>
    </row>
    <row r="689">
      <c r="B689" t="inlineStr">
        <is>
          <t>使用量(kg)</t>
        </is>
      </c>
      <c r="C689">
        <f>SUMIFS(M_BOM[RM_Qty_Per_Batch],M_BOM[Intermediate],$B688,M_BOM[Part Name],$A669)</f>
        <v/>
      </c>
      <c r="D689">
        <f>$C689*D688</f>
        <v/>
      </c>
      <c r="E689">
        <f>$C689*E688</f>
        <v/>
      </c>
      <c r="F689">
        <f>$C689*F688</f>
        <v/>
      </c>
      <c r="G689">
        <f>$C689*G688</f>
        <v/>
      </c>
      <c r="H689">
        <f>$C689*H688</f>
        <v/>
      </c>
      <c r="I689">
        <f>$C689*I688</f>
        <v/>
      </c>
      <c r="J689">
        <f>$C689*J688</f>
        <v/>
      </c>
      <c r="K689">
        <f>$C689*K688</f>
        <v/>
      </c>
      <c r="L689">
        <f>$C689*L688</f>
        <v/>
      </c>
      <c r="M689">
        <f>$C689*M688</f>
        <v/>
      </c>
      <c r="N689">
        <f>$C689*N688</f>
        <v/>
      </c>
      <c r="O689">
        <f>$C689*O688</f>
        <v/>
      </c>
      <c r="P689">
        <f>$C689*P688</f>
        <v/>
      </c>
      <c r="Q689">
        <f>$C689*Q688</f>
        <v/>
      </c>
      <c r="R689">
        <f>$C689*R688</f>
        <v/>
      </c>
      <c r="S689">
        <f>$C689*S688</f>
        <v/>
      </c>
      <c r="T689">
        <f>$C689*T688</f>
        <v/>
      </c>
      <c r="U689">
        <f>$C689*U688</f>
        <v/>
      </c>
      <c r="V689">
        <f>$C689*V688</f>
        <v/>
      </c>
      <c r="W689">
        <f>$C689*W688</f>
        <v/>
      </c>
      <c r="X689">
        <f>$C689*X688</f>
        <v/>
      </c>
      <c r="Y689">
        <f>$C689*Y688</f>
        <v/>
      </c>
      <c r="Z689">
        <f>$C689*Z688</f>
        <v/>
      </c>
      <c r="AA689">
        <f>$C689*AA688</f>
        <v/>
      </c>
      <c r="AB689">
        <f>$C689*AB688</f>
        <v/>
      </c>
      <c r="AC689">
        <f>$C689*AC688</f>
        <v/>
      </c>
      <c r="AD689">
        <f>$C689*AD688</f>
        <v/>
      </c>
      <c r="AE689">
        <f>$C689*AE688</f>
        <v/>
      </c>
      <c r="AF689">
        <f>$C689*AF688</f>
        <v/>
      </c>
      <c r="AG689">
        <f>$C689*AG688</f>
        <v/>
      </c>
      <c r="AH689">
        <f>$C689*AH688</f>
        <v/>
      </c>
      <c r="AI689">
        <f>$C689*AI688</f>
        <v/>
      </c>
      <c r="AJ689">
        <f>$C689*AJ688</f>
        <v/>
      </c>
      <c r="AK689">
        <f>$C689*AK688</f>
        <v/>
      </c>
      <c r="AL689">
        <f>$C689*AL688</f>
        <v/>
      </c>
      <c r="AM689">
        <f>$C689*AM688</f>
        <v/>
      </c>
      <c r="AN689">
        <f>$C689*AN688</f>
        <v/>
      </c>
      <c r="AO689">
        <f>$C689*AO688</f>
        <v/>
      </c>
      <c r="AP689">
        <f>$C689*AP688</f>
        <v/>
      </c>
      <c r="AQ689">
        <f>$C689*AQ688</f>
        <v/>
      </c>
      <c r="AR689">
        <f>$C689*AR688</f>
        <v/>
      </c>
      <c r="AS689">
        <f>$C689*AS688</f>
        <v/>
      </c>
      <c r="AT689">
        <f>$C689*AT688</f>
        <v/>
      </c>
      <c r="AU689">
        <f>$C689*AU688</f>
        <v/>
      </c>
      <c r="AV689">
        <f>$C689*AV688</f>
        <v/>
      </c>
      <c r="AW689">
        <f>$C689*AW688</f>
        <v/>
      </c>
      <c r="AX689">
        <f>$C689*AX688</f>
        <v/>
      </c>
      <c r="AY689">
        <f>$C689*AY688</f>
        <v/>
      </c>
      <c r="AZ689">
        <f>$C689*AZ688</f>
        <v/>
      </c>
      <c r="BA689">
        <f>$C689*BA688</f>
        <v/>
      </c>
      <c r="BB689">
        <f>$C689*BB688</f>
        <v/>
      </c>
      <c r="BC689">
        <f>$C689*BC688</f>
        <v/>
      </c>
      <c r="BD689">
        <f>$C689*BD688</f>
        <v/>
      </c>
      <c r="BE689">
        <f>$C689*BE688</f>
        <v/>
      </c>
      <c r="BF689">
        <f>$C689*BF688</f>
        <v/>
      </c>
      <c r="BG689">
        <f>$C689*BG688</f>
        <v/>
      </c>
      <c r="BH689">
        <f>$C689*BH688</f>
        <v/>
      </c>
      <c r="BI689">
        <f>$C689*BI688</f>
        <v/>
      </c>
      <c r="BJ689">
        <f>$C689*BJ688</f>
        <v/>
      </c>
      <c r="BK689">
        <f>$C689*BK688</f>
        <v/>
      </c>
      <c r="BL689">
        <f>$C689*BL688</f>
        <v/>
      </c>
      <c r="BM689">
        <f>$C689*BM688</f>
        <v/>
      </c>
      <c r="BN689">
        <f>$C689*BN688</f>
        <v/>
      </c>
      <c r="BO689">
        <f>$C689*BO688</f>
        <v/>
      </c>
      <c r="BP689">
        <f>$C689*BP688</f>
        <v/>
      </c>
      <c r="BQ689">
        <f>$C689*BQ688</f>
        <v/>
      </c>
      <c r="BR689">
        <f>$C689*BR688</f>
        <v/>
      </c>
      <c r="BS689">
        <f>$C689*BS688</f>
        <v/>
      </c>
      <c r="BT689">
        <f>$C689*BT688</f>
        <v/>
      </c>
      <c r="BU689">
        <f>$C689*BU688</f>
        <v/>
      </c>
      <c r="BV689">
        <f>$C689*BV688</f>
        <v/>
      </c>
      <c r="BW689">
        <f>$C689*BW688</f>
        <v/>
      </c>
      <c r="BX689">
        <f>$C689*BX688</f>
        <v/>
      </c>
      <c r="BY689">
        <f>$C689*BY688</f>
        <v/>
      </c>
      <c r="BZ689">
        <f>$C689*BZ688</f>
        <v/>
      </c>
      <c r="CA689">
        <f>$C689*CA688</f>
        <v/>
      </c>
      <c r="CB689">
        <f>$C689*CB688</f>
        <v/>
      </c>
      <c r="CC689">
        <f>$C689*CC688</f>
        <v/>
      </c>
      <c r="CD689">
        <f>$C689*CD688</f>
        <v/>
      </c>
      <c r="CE689">
        <f>$C689*CE688</f>
        <v/>
      </c>
      <c r="CF689">
        <f>$C689*CF688</f>
        <v/>
      </c>
      <c r="CG689">
        <f>$C689*CG688</f>
        <v/>
      </c>
      <c r="CH689">
        <f>$C689*CH688</f>
        <v/>
      </c>
      <c r="CI689">
        <f>$C689*CI688</f>
        <v/>
      </c>
      <c r="CJ689">
        <f>$C689*CJ688</f>
        <v/>
      </c>
      <c r="CK689">
        <f>$C689*CK688</f>
        <v/>
      </c>
      <c r="CL689">
        <f>$C689*CL688</f>
        <v/>
      </c>
      <c r="CM689">
        <f>$C689*CM688</f>
        <v/>
      </c>
      <c r="CN689">
        <f>$C689*CN688</f>
        <v/>
      </c>
      <c r="CO689">
        <f>$C689*CO688</f>
        <v/>
      </c>
      <c r="CP689">
        <f>$C689*CP688</f>
        <v/>
      </c>
      <c r="CQ689">
        <f>$C689*CQ688</f>
        <v/>
      </c>
      <c r="CR689">
        <f>$C689*CR688</f>
        <v/>
      </c>
      <c r="CS689">
        <f>$C689*CS688</f>
        <v/>
      </c>
      <c r="CT689">
        <f>$C689*CT688</f>
        <v/>
      </c>
      <c r="CU689">
        <f>$C689*CU688</f>
        <v/>
      </c>
      <c r="CV689">
        <f>$C689*CV688</f>
        <v/>
      </c>
      <c r="CW689">
        <f>$C689*CW688</f>
        <v/>
      </c>
      <c r="CX689">
        <f>$C689*CX688</f>
        <v/>
      </c>
      <c r="CY689">
        <f>$C689*CY688</f>
        <v/>
      </c>
      <c r="CZ689">
        <f>$C689*CZ688</f>
        <v/>
      </c>
      <c r="DA689">
        <f>$C689*DA688</f>
        <v/>
      </c>
      <c r="DB689">
        <f>$C689*DB688</f>
        <v/>
      </c>
      <c r="DC689">
        <f>$C689*DC688</f>
        <v/>
      </c>
    </row>
    <row r="690">
      <c r="B690" t="inlineStr">
        <is>
          <t>TSP-1445</t>
        </is>
      </c>
      <c r="C690" t="inlineStr">
        <is>
          <t>No. of batches</t>
        </is>
      </c>
      <c r="D690">
        <f>IFERROR(INDEX(PP_Grid[#Data],$DD690,2),0)</f>
        <v/>
      </c>
      <c r="E690">
        <f>IFERROR(INDEX(PP_Grid[#Data],$DD690,3),0)</f>
        <v/>
      </c>
      <c r="F690">
        <f>IFERROR(INDEX(PP_Grid[#Data],$DD690,4),0)</f>
        <v/>
      </c>
      <c r="G690">
        <f>IFERROR(INDEX(PP_Grid[#Data],$DD690,5),0)</f>
        <v/>
      </c>
      <c r="H690">
        <f>IFERROR(INDEX(PP_Grid[#Data],$DD690,6),0)</f>
        <v/>
      </c>
      <c r="I690">
        <f>IFERROR(INDEX(PP_Grid[#Data],$DD690,7),0)</f>
        <v/>
      </c>
      <c r="J690">
        <f>IFERROR(INDEX(PP_Grid[#Data],$DD690,8),0)</f>
        <v/>
      </c>
      <c r="K690">
        <f>IFERROR(INDEX(PP_Grid[#Data],$DD690,9),0)</f>
        <v/>
      </c>
      <c r="L690">
        <f>IFERROR(INDEX(PP_Grid[#Data],$DD690,10),0)</f>
        <v/>
      </c>
      <c r="M690">
        <f>IFERROR(INDEX(PP_Grid[#Data],$DD690,11),0)</f>
        <v/>
      </c>
      <c r="N690">
        <f>IFERROR(INDEX(PP_Grid[#Data],$DD690,12),0)</f>
        <v/>
      </c>
      <c r="O690">
        <f>IFERROR(INDEX(PP_Grid[#Data],$DD690,13),0)</f>
        <v/>
      </c>
      <c r="P690">
        <f>IFERROR(INDEX(PP_Grid[#Data],$DD690,14),0)</f>
        <v/>
      </c>
      <c r="Q690">
        <f>IFERROR(INDEX(PP_Grid[#Data],$DD690,15),0)</f>
        <v/>
      </c>
      <c r="R690">
        <f>IFERROR(INDEX(PP_Grid[#Data],$DD690,16),0)</f>
        <v/>
      </c>
      <c r="S690">
        <f>IFERROR(INDEX(PP_Grid[#Data],$DD690,17),0)</f>
        <v/>
      </c>
      <c r="T690">
        <f>IFERROR(INDEX(PP_Grid[#Data],$DD690,18),0)</f>
        <v/>
      </c>
      <c r="U690">
        <f>IFERROR(INDEX(PP_Grid[#Data],$DD690,19),0)</f>
        <v/>
      </c>
      <c r="V690">
        <f>IFERROR(INDEX(PP_Grid[#Data],$DD690,20),0)</f>
        <v/>
      </c>
      <c r="W690">
        <f>IFERROR(INDEX(PP_Grid[#Data],$DD690,21),0)</f>
        <v/>
      </c>
      <c r="X690">
        <f>IFERROR(INDEX(PP_Grid[#Data],$DD690,22),0)</f>
        <v/>
      </c>
      <c r="Y690">
        <f>IFERROR(INDEX(PP_Grid[#Data],$DD690,23),0)</f>
        <v/>
      </c>
      <c r="Z690">
        <f>IFERROR(INDEX(PP_Grid[#Data],$DD690,24),0)</f>
        <v/>
      </c>
      <c r="AA690">
        <f>IFERROR(INDEX(PP_Grid[#Data],$DD690,25),0)</f>
        <v/>
      </c>
      <c r="AB690">
        <f>IFERROR(INDEX(PP_Grid[#Data],$DD690,26),0)</f>
        <v/>
      </c>
      <c r="AC690">
        <f>IFERROR(INDEX(PP_Grid[#Data],$DD690,27),0)</f>
        <v/>
      </c>
      <c r="AD690">
        <f>IFERROR(INDEX(PP_Grid[#Data],$DD690,28),0)</f>
        <v/>
      </c>
      <c r="AE690">
        <f>IFERROR(INDEX(PP_Grid[#Data],$DD690,29),0)</f>
        <v/>
      </c>
      <c r="AF690">
        <f>IFERROR(INDEX(PP_Grid[#Data],$DD690,30),0)</f>
        <v/>
      </c>
      <c r="AG690">
        <f>IFERROR(INDEX(PP_Grid[#Data],$DD690,31),0)</f>
        <v/>
      </c>
      <c r="AH690">
        <f>IFERROR(INDEX(PP_Grid[#Data],$DD690,32),0)</f>
        <v/>
      </c>
      <c r="AI690">
        <f>IFERROR(INDEX(PP_Grid[#Data],$DD690,33),0)</f>
        <v/>
      </c>
      <c r="AJ690">
        <f>IFERROR(INDEX(PP_Grid[#Data],$DD690,34),0)</f>
        <v/>
      </c>
      <c r="AK690">
        <f>IFERROR(INDEX(PP_Grid[#Data],$DD690,35),0)</f>
        <v/>
      </c>
      <c r="AL690">
        <f>IFERROR(INDEX(PP_Grid[#Data],$DD690,36),0)</f>
        <v/>
      </c>
      <c r="AM690">
        <f>IFERROR(INDEX(PP_Grid[#Data],$DD690,37),0)</f>
        <v/>
      </c>
      <c r="AN690">
        <f>IFERROR(INDEX(PP_Grid[#Data],$DD690,38),0)</f>
        <v/>
      </c>
      <c r="AO690">
        <f>IFERROR(INDEX(PP_Grid[#Data],$DD690,39),0)</f>
        <v/>
      </c>
      <c r="AP690">
        <f>IFERROR(INDEX(PP_Grid[#Data],$DD690,40),0)</f>
        <v/>
      </c>
      <c r="AQ690">
        <f>IFERROR(INDEX(PP_Grid[#Data],$DD690,41),0)</f>
        <v/>
      </c>
      <c r="AR690">
        <f>IFERROR(INDEX(PP_Grid[#Data],$DD690,42),0)</f>
        <v/>
      </c>
      <c r="AS690">
        <f>IFERROR(INDEX(PP_Grid[#Data],$DD690,43),0)</f>
        <v/>
      </c>
      <c r="AT690">
        <f>IFERROR(INDEX(PP_Grid[#Data],$DD690,44),0)</f>
        <v/>
      </c>
      <c r="AU690">
        <f>IFERROR(INDEX(PP_Grid[#Data],$DD690,45),0)</f>
        <v/>
      </c>
      <c r="AV690">
        <f>IFERROR(INDEX(PP_Grid[#Data],$DD690,46),0)</f>
        <v/>
      </c>
      <c r="AW690">
        <f>IFERROR(INDEX(PP_Grid[#Data],$DD690,47),0)</f>
        <v/>
      </c>
      <c r="AX690">
        <f>IFERROR(INDEX(PP_Grid[#Data],$DD690,48),0)</f>
        <v/>
      </c>
      <c r="AY690">
        <f>IFERROR(INDEX(PP_Grid[#Data],$DD690,49),0)</f>
        <v/>
      </c>
      <c r="AZ690">
        <f>IFERROR(INDEX(PP_Grid[#Data],$DD690,50),0)</f>
        <v/>
      </c>
      <c r="BA690">
        <f>IFERROR(INDEX(PP_Grid[#Data],$DD690,51),0)</f>
        <v/>
      </c>
      <c r="BB690">
        <f>IFERROR(INDEX(PP_Grid[#Data],$DD690,52),0)</f>
        <v/>
      </c>
      <c r="BC690">
        <f>IFERROR(INDEX(PP_Grid[#Data],$DD690,53),0)</f>
        <v/>
      </c>
      <c r="BD690">
        <f>IFERROR(INDEX(PP_Grid[#Data],$DD690,54),0)</f>
        <v/>
      </c>
      <c r="BE690">
        <f>IFERROR(INDEX(PP_Grid[#Data],$DD690,55),0)</f>
        <v/>
      </c>
      <c r="BF690">
        <f>IFERROR(INDEX(PP_Grid[#Data],$DD690,56),0)</f>
        <v/>
      </c>
      <c r="BG690">
        <f>IFERROR(INDEX(PP_Grid[#Data],$DD690,57),0)</f>
        <v/>
      </c>
      <c r="BH690">
        <f>IFERROR(INDEX(PP_Grid[#Data],$DD690,58),0)</f>
        <v/>
      </c>
      <c r="BI690">
        <f>IFERROR(INDEX(PP_Grid[#Data],$DD690,59),0)</f>
        <v/>
      </c>
      <c r="BJ690">
        <f>IFERROR(INDEX(PP_Grid[#Data],$DD690,60),0)</f>
        <v/>
      </c>
      <c r="BK690">
        <f>IFERROR(INDEX(PP_Grid[#Data],$DD690,61),0)</f>
        <v/>
      </c>
      <c r="BL690">
        <f>IFERROR(INDEX(PP_Grid[#Data],$DD690,62),0)</f>
        <v/>
      </c>
      <c r="BM690">
        <f>IFERROR(INDEX(PP_Grid[#Data],$DD690,63),0)</f>
        <v/>
      </c>
      <c r="BN690">
        <f>IFERROR(INDEX(PP_Grid[#Data],$DD690,64),0)</f>
        <v/>
      </c>
      <c r="BO690">
        <f>IFERROR(INDEX(PP_Grid[#Data],$DD690,65),0)</f>
        <v/>
      </c>
      <c r="BP690">
        <f>IFERROR(INDEX(PP_Grid[#Data],$DD690,66),0)</f>
        <v/>
      </c>
      <c r="BQ690">
        <f>IFERROR(INDEX(PP_Grid[#Data],$DD690,67),0)</f>
        <v/>
      </c>
      <c r="BR690">
        <f>IFERROR(INDEX(PP_Grid[#Data],$DD690,68),0)</f>
        <v/>
      </c>
      <c r="BS690">
        <f>IFERROR(INDEX(PP_Grid[#Data],$DD690,69),0)</f>
        <v/>
      </c>
      <c r="BT690">
        <f>IFERROR(INDEX(PP_Grid[#Data],$DD690,70),0)</f>
        <v/>
      </c>
      <c r="BU690">
        <f>IFERROR(INDEX(PP_Grid[#Data],$DD690,71),0)</f>
        <v/>
      </c>
      <c r="BV690">
        <f>IFERROR(INDEX(PP_Grid[#Data],$DD690,72),0)</f>
        <v/>
      </c>
      <c r="BW690">
        <f>IFERROR(INDEX(PP_Grid[#Data],$DD690,73),0)</f>
        <v/>
      </c>
      <c r="BX690">
        <f>IFERROR(INDEX(PP_Grid[#Data],$DD690,74),0)</f>
        <v/>
      </c>
      <c r="BY690">
        <f>IFERROR(INDEX(PP_Grid[#Data],$DD690,75),0)</f>
        <v/>
      </c>
      <c r="BZ690">
        <f>IFERROR(INDEX(PP_Grid[#Data],$DD690,76),0)</f>
        <v/>
      </c>
      <c r="CA690">
        <f>IFERROR(INDEX(PP_Grid[#Data],$DD690,77),0)</f>
        <v/>
      </c>
      <c r="CB690">
        <f>IFERROR(INDEX(PP_Grid[#Data],$DD690,78),0)</f>
        <v/>
      </c>
      <c r="CC690">
        <f>IFERROR(INDEX(PP_Grid[#Data],$DD690,79),0)</f>
        <v/>
      </c>
      <c r="CD690">
        <f>IFERROR(INDEX(PP_Grid[#Data],$DD690,80),0)</f>
        <v/>
      </c>
      <c r="CE690">
        <f>IFERROR(INDEX(PP_Grid[#Data],$DD690,81),0)</f>
        <v/>
      </c>
      <c r="CF690">
        <f>IFERROR(INDEX(PP_Grid[#Data],$DD690,82),0)</f>
        <v/>
      </c>
      <c r="CG690">
        <f>IFERROR(INDEX(PP_Grid[#Data],$DD690,83),0)</f>
        <v/>
      </c>
      <c r="CH690">
        <f>IFERROR(INDEX(PP_Grid[#Data],$DD690,84),0)</f>
        <v/>
      </c>
      <c r="CI690">
        <f>IFERROR(INDEX(PP_Grid[#Data],$DD690,85),0)</f>
        <v/>
      </c>
      <c r="CJ690">
        <f>IFERROR(INDEX(PP_Grid[#Data],$DD690,86),0)</f>
        <v/>
      </c>
      <c r="CK690">
        <f>IFERROR(INDEX(PP_Grid[#Data],$DD690,87),0)</f>
        <v/>
      </c>
      <c r="CL690">
        <f>IFERROR(INDEX(PP_Grid[#Data],$DD690,88),0)</f>
        <v/>
      </c>
      <c r="CM690">
        <f>IFERROR(INDEX(PP_Grid[#Data],$DD690,89),0)</f>
        <v/>
      </c>
      <c r="CN690">
        <f>IFERROR(INDEX(PP_Grid[#Data],$DD690,90),0)</f>
        <v/>
      </c>
      <c r="CO690">
        <f>IFERROR(INDEX(PP_Grid[#Data],$DD690,91),0)</f>
        <v/>
      </c>
      <c r="CP690">
        <f>IFERROR(INDEX(PP_Grid[#Data],$DD690,92),0)</f>
        <v/>
      </c>
      <c r="CQ690">
        <f>IFERROR(INDEX(PP_Grid[#Data],$DD690,93),0)</f>
        <v/>
      </c>
      <c r="CR690">
        <f>IFERROR(INDEX(PP_Grid[#Data],$DD690,94),0)</f>
        <v/>
      </c>
      <c r="CS690">
        <f>IFERROR(INDEX(PP_Grid[#Data],$DD690,95),0)</f>
        <v/>
      </c>
      <c r="CT690">
        <f>IFERROR(INDEX(PP_Grid[#Data],$DD690,96),0)</f>
        <v/>
      </c>
      <c r="CU690">
        <f>IFERROR(INDEX(PP_Grid[#Data],$DD690,97),0)</f>
        <v/>
      </c>
      <c r="CV690">
        <f>IFERROR(INDEX(PP_Grid[#Data],$DD690,98),0)</f>
        <v/>
      </c>
      <c r="CW690">
        <f>IFERROR(INDEX(PP_Grid[#Data],$DD690,99),0)</f>
        <v/>
      </c>
      <c r="CX690">
        <f>IFERROR(INDEX(PP_Grid[#Data],$DD690,100),0)</f>
        <v/>
      </c>
      <c r="CY690">
        <f>IFERROR(INDEX(PP_Grid[#Data],$DD690,101),0)</f>
        <v/>
      </c>
      <c r="CZ690">
        <f>IFERROR(INDEX(PP_Grid[#Data],$DD690,102),0)</f>
        <v/>
      </c>
      <c r="DA690">
        <f>IFERROR(INDEX(PP_Grid[#Data],$DD690,103),0)</f>
        <v/>
      </c>
      <c r="DB690">
        <f>IFERROR(INDEX(PP_Grid[#Data],$DD690,104),0)</f>
        <v/>
      </c>
      <c r="DC690">
        <f>IFERROR(INDEX(PP_Grid[#Data],$DD690,105),0)</f>
        <v/>
      </c>
      <c r="DD690" s="12">
        <f>IFERROR(MATCH($B690,PP_Grid[Intermediate],0),99999)</f>
        <v/>
      </c>
    </row>
    <row r="691">
      <c r="B691" t="inlineStr">
        <is>
          <t>使用量(kg)</t>
        </is>
      </c>
      <c r="C691">
        <f>SUMIFS(M_BOM[RM_Qty_Per_Batch],M_BOM[Intermediate],$B690,M_BOM[Part Name],$A669)</f>
        <v/>
      </c>
      <c r="D691">
        <f>$C691*D690</f>
        <v/>
      </c>
      <c r="E691">
        <f>$C691*E690</f>
        <v/>
      </c>
      <c r="F691">
        <f>$C691*F690</f>
        <v/>
      </c>
      <c r="G691">
        <f>$C691*G690</f>
        <v/>
      </c>
      <c r="H691">
        <f>$C691*H690</f>
        <v/>
      </c>
      <c r="I691">
        <f>$C691*I690</f>
        <v/>
      </c>
      <c r="J691">
        <f>$C691*J690</f>
        <v/>
      </c>
      <c r="K691">
        <f>$C691*K690</f>
        <v/>
      </c>
      <c r="L691">
        <f>$C691*L690</f>
        <v/>
      </c>
      <c r="M691">
        <f>$C691*M690</f>
        <v/>
      </c>
      <c r="N691">
        <f>$C691*N690</f>
        <v/>
      </c>
      <c r="O691">
        <f>$C691*O690</f>
        <v/>
      </c>
      <c r="P691">
        <f>$C691*P690</f>
        <v/>
      </c>
      <c r="Q691">
        <f>$C691*Q690</f>
        <v/>
      </c>
      <c r="R691">
        <f>$C691*R690</f>
        <v/>
      </c>
      <c r="S691">
        <f>$C691*S690</f>
        <v/>
      </c>
      <c r="T691">
        <f>$C691*T690</f>
        <v/>
      </c>
      <c r="U691">
        <f>$C691*U690</f>
        <v/>
      </c>
      <c r="V691">
        <f>$C691*V690</f>
        <v/>
      </c>
      <c r="W691">
        <f>$C691*W690</f>
        <v/>
      </c>
      <c r="X691">
        <f>$C691*X690</f>
        <v/>
      </c>
      <c r="Y691">
        <f>$C691*Y690</f>
        <v/>
      </c>
      <c r="Z691">
        <f>$C691*Z690</f>
        <v/>
      </c>
      <c r="AA691">
        <f>$C691*AA690</f>
        <v/>
      </c>
      <c r="AB691">
        <f>$C691*AB690</f>
        <v/>
      </c>
      <c r="AC691">
        <f>$C691*AC690</f>
        <v/>
      </c>
      <c r="AD691">
        <f>$C691*AD690</f>
        <v/>
      </c>
      <c r="AE691">
        <f>$C691*AE690</f>
        <v/>
      </c>
      <c r="AF691">
        <f>$C691*AF690</f>
        <v/>
      </c>
      <c r="AG691">
        <f>$C691*AG690</f>
        <v/>
      </c>
      <c r="AH691">
        <f>$C691*AH690</f>
        <v/>
      </c>
      <c r="AI691">
        <f>$C691*AI690</f>
        <v/>
      </c>
      <c r="AJ691">
        <f>$C691*AJ690</f>
        <v/>
      </c>
      <c r="AK691">
        <f>$C691*AK690</f>
        <v/>
      </c>
      <c r="AL691">
        <f>$C691*AL690</f>
        <v/>
      </c>
      <c r="AM691">
        <f>$C691*AM690</f>
        <v/>
      </c>
      <c r="AN691">
        <f>$C691*AN690</f>
        <v/>
      </c>
      <c r="AO691">
        <f>$C691*AO690</f>
        <v/>
      </c>
      <c r="AP691">
        <f>$C691*AP690</f>
        <v/>
      </c>
      <c r="AQ691">
        <f>$C691*AQ690</f>
        <v/>
      </c>
      <c r="AR691">
        <f>$C691*AR690</f>
        <v/>
      </c>
      <c r="AS691">
        <f>$C691*AS690</f>
        <v/>
      </c>
      <c r="AT691">
        <f>$C691*AT690</f>
        <v/>
      </c>
      <c r="AU691">
        <f>$C691*AU690</f>
        <v/>
      </c>
      <c r="AV691">
        <f>$C691*AV690</f>
        <v/>
      </c>
      <c r="AW691">
        <f>$C691*AW690</f>
        <v/>
      </c>
      <c r="AX691">
        <f>$C691*AX690</f>
        <v/>
      </c>
      <c r="AY691">
        <f>$C691*AY690</f>
        <v/>
      </c>
      <c r="AZ691">
        <f>$C691*AZ690</f>
        <v/>
      </c>
      <c r="BA691">
        <f>$C691*BA690</f>
        <v/>
      </c>
      <c r="BB691">
        <f>$C691*BB690</f>
        <v/>
      </c>
      <c r="BC691">
        <f>$C691*BC690</f>
        <v/>
      </c>
      <c r="BD691">
        <f>$C691*BD690</f>
        <v/>
      </c>
      <c r="BE691">
        <f>$C691*BE690</f>
        <v/>
      </c>
      <c r="BF691">
        <f>$C691*BF690</f>
        <v/>
      </c>
      <c r="BG691">
        <f>$C691*BG690</f>
        <v/>
      </c>
      <c r="BH691">
        <f>$C691*BH690</f>
        <v/>
      </c>
      <c r="BI691">
        <f>$C691*BI690</f>
        <v/>
      </c>
      <c r="BJ691">
        <f>$C691*BJ690</f>
        <v/>
      </c>
      <c r="BK691">
        <f>$C691*BK690</f>
        <v/>
      </c>
      <c r="BL691">
        <f>$C691*BL690</f>
        <v/>
      </c>
      <c r="BM691">
        <f>$C691*BM690</f>
        <v/>
      </c>
      <c r="BN691">
        <f>$C691*BN690</f>
        <v/>
      </c>
      <c r="BO691">
        <f>$C691*BO690</f>
        <v/>
      </c>
      <c r="BP691">
        <f>$C691*BP690</f>
        <v/>
      </c>
      <c r="BQ691">
        <f>$C691*BQ690</f>
        <v/>
      </c>
      <c r="BR691">
        <f>$C691*BR690</f>
        <v/>
      </c>
      <c r="BS691">
        <f>$C691*BS690</f>
        <v/>
      </c>
      <c r="BT691">
        <f>$C691*BT690</f>
        <v/>
      </c>
      <c r="BU691">
        <f>$C691*BU690</f>
        <v/>
      </c>
      <c r="BV691">
        <f>$C691*BV690</f>
        <v/>
      </c>
      <c r="BW691">
        <f>$C691*BW690</f>
        <v/>
      </c>
      <c r="BX691">
        <f>$C691*BX690</f>
        <v/>
      </c>
      <c r="BY691">
        <f>$C691*BY690</f>
        <v/>
      </c>
      <c r="BZ691">
        <f>$C691*BZ690</f>
        <v/>
      </c>
      <c r="CA691">
        <f>$C691*CA690</f>
        <v/>
      </c>
      <c r="CB691">
        <f>$C691*CB690</f>
        <v/>
      </c>
      <c r="CC691">
        <f>$C691*CC690</f>
        <v/>
      </c>
      <c r="CD691">
        <f>$C691*CD690</f>
        <v/>
      </c>
      <c r="CE691">
        <f>$C691*CE690</f>
        <v/>
      </c>
      <c r="CF691">
        <f>$C691*CF690</f>
        <v/>
      </c>
      <c r="CG691">
        <f>$C691*CG690</f>
        <v/>
      </c>
      <c r="CH691">
        <f>$C691*CH690</f>
        <v/>
      </c>
      <c r="CI691">
        <f>$C691*CI690</f>
        <v/>
      </c>
      <c r="CJ691">
        <f>$C691*CJ690</f>
        <v/>
      </c>
      <c r="CK691">
        <f>$C691*CK690</f>
        <v/>
      </c>
      <c r="CL691">
        <f>$C691*CL690</f>
        <v/>
      </c>
      <c r="CM691">
        <f>$C691*CM690</f>
        <v/>
      </c>
      <c r="CN691">
        <f>$C691*CN690</f>
        <v/>
      </c>
      <c r="CO691">
        <f>$C691*CO690</f>
        <v/>
      </c>
      <c r="CP691">
        <f>$C691*CP690</f>
        <v/>
      </c>
      <c r="CQ691">
        <f>$C691*CQ690</f>
        <v/>
      </c>
      <c r="CR691">
        <f>$C691*CR690</f>
        <v/>
      </c>
      <c r="CS691">
        <f>$C691*CS690</f>
        <v/>
      </c>
      <c r="CT691">
        <f>$C691*CT690</f>
        <v/>
      </c>
      <c r="CU691">
        <f>$C691*CU690</f>
        <v/>
      </c>
      <c r="CV691">
        <f>$C691*CV690</f>
        <v/>
      </c>
      <c r="CW691">
        <f>$C691*CW690</f>
        <v/>
      </c>
      <c r="CX691">
        <f>$C691*CX690</f>
        <v/>
      </c>
      <c r="CY691">
        <f>$C691*CY690</f>
        <v/>
      </c>
      <c r="CZ691">
        <f>$C691*CZ690</f>
        <v/>
      </c>
      <c r="DA691">
        <f>$C691*DA690</f>
        <v/>
      </c>
      <c r="DB691">
        <f>$C691*DB690</f>
        <v/>
      </c>
      <c r="DC691">
        <f>$C691*DC690</f>
        <v/>
      </c>
    </row>
    <row r="692">
      <c r="B692" t="inlineStr">
        <is>
          <t>TSP-1446</t>
        </is>
      </c>
      <c r="C692" t="inlineStr">
        <is>
          <t>No. of batches</t>
        </is>
      </c>
      <c r="D692">
        <f>IFERROR(INDEX(PP_Grid[#Data],$DD692,2),0)</f>
        <v/>
      </c>
      <c r="E692">
        <f>IFERROR(INDEX(PP_Grid[#Data],$DD692,3),0)</f>
        <v/>
      </c>
      <c r="F692">
        <f>IFERROR(INDEX(PP_Grid[#Data],$DD692,4),0)</f>
        <v/>
      </c>
      <c r="G692">
        <f>IFERROR(INDEX(PP_Grid[#Data],$DD692,5),0)</f>
        <v/>
      </c>
      <c r="H692">
        <f>IFERROR(INDEX(PP_Grid[#Data],$DD692,6),0)</f>
        <v/>
      </c>
      <c r="I692">
        <f>IFERROR(INDEX(PP_Grid[#Data],$DD692,7),0)</f>
        <v/>
      </c>
      <c r="J692">
        <f>IFERROR(INDEX(PP_Grid[#Data],$DD692,8),0)</f>
        <v/>
      </c>
      <c r="K692">
        <f>IFERROR(INDEX(PP_Grid[#Data],$DD692,9),0)</f>
        <v/>
      </c>
      <c r="L692">
        <f>IFERROR(INDEX(PP_Grid[#Data],$DD692,10),0)</f>
        <v/>
      </c>
      <c r="M692">
        <f>IFERROR(INDEX(PP_Grid[#Data],$DD692,11),0)</f>
        <v/>
      </c>
      <c r="N692">
        <f>IFERROR(INDEX(PP_Grid[#Data],$DD692,12),0)</f>
        <v/>
      </c>
      <c r="O692">
        <f>IFERROR(INDEX(PP_Grid[#Data],$DD692,13),0)</f>
        <v/>
      </c>
      <c r="P692">
        <f>IFERROR(INDEX(PP_Grid[#Data],$DD692,14),0)</f>
        <v/>
      </c>
      <c r="Q692">
        <f>IFERROR(INDEX(PP_Grid[#Data],$DD692,15),0)</f>
        <v/>
      </c>
      <c r="R692">
        <f>IFERROR(INDEX(PP_Grid[#Data],$DD692,16),0)</f>
        <v/>
      </c>
      <c r="S692">
        <f>IFERROR(INDEX(PP_Grid[#Data],$DD692,17),0)</f>
        <v/>
      </c>
      <c r="T692">
        <f>IFERROR(INDEX(PP_Grid[#Data],$DD692,18),0)</f>
        <v/>
      </c>
      <c r="U692">
        <f>IFERROR(INDEX(PP_Grid[#Data],$DD692,19),0)</f>
        <v/>
      </c>
      <c r="V692">
        <f>IFERROR(INDEX(PP_Grid[#Data],$DD692,20),0)</f>
        <v/>
      </c>
      <c r="W692">
        <f>IFERROR(INDEX(PP_Grid[#Data],$DD692,21),0)</f>
        <v/>
      </c>
      <c r="X692">
        <f>IFERROR(INDEX(PP_Grid[#Data],$DD692,22),0)</f>
        <v/>
      </c>
      <c r="Y692">
        <f>IFERROR(INDEX(PP_Grid[#Data],$DD692,23),0)</f>
        <v/>
      </c>
      <c r="Z692">
        <f>IFERROR(INDEX(PP_Grid[#Data],$DD692,24),0)</f>
        <v/>
      </c>
      <c r="AA692">
        <f>IFERROR(INDEX(PP_Grid[#Data],$DD692,25),0)</f>
        <v/>
      </c>
      <c r="AB692">
        <f>IFERROR(INDEX(PP_Grid[#Data],$DD692,26),0)</f>
        <v/>
      </c>
      <c r="AC692">
        <f>IFERROR(INDEX(PP_Grid[#Data],$DD692,27),0)</f>
        <v/>
      </c>
      <c r="AD692">
        <f>IFERROR(INDEX(PP_Grid[#Data],$DD692,28),0)</f>
        <v/>
      </c>
      <c r="AE692">
        <f>IFERROR(INDEX(PP_Grid[#Data],$DD692,29),0)</f>
        <v/>
      </c>
      <c r="AF692">
        <f>IFERROR(INDEX(PP_Grid[#Data],$DD692,30),0)</f>
        <v/>
      </c>
      <c r="AG692">
        <f>IFERROR(INDEX(PP_Grid[#Data],$DD692,31),0)</f>
        <v/>
      </c>
      <c r="AH692">
        <f>IFERROR(INDEX(PP_Grid[#Data],$DD692,32),0)</f>
        <v/>
      </c>
      <c r="AI692">
        <f>IFERROR(INDEX(PP_Grid[#Data],$DD692,33),0)</f>
        <v/>
      </c>
      <c r="AJ692">
        <f>IFERROR(INDEX(PP_Grid[#Data],$DD692,34),0)</f>
        <v/>
      </c>
      <c r="AK692">
        <f>IFERROR(INDEX(PP_Grid[#Data],$DD692,35),0)</f>
        <v/>
      </c>
      <c r="AL692">
        <f>IFERROR(INDEX(PP_Grid[#Data],$DD692,36),0)</f>
        <v/>
      </c>
      <c r="AM692">
        <f>IFERROR(INDEX(PP_Grid[#Data],$DD692,37),0)</f>
        <v/>
      </c>
      <c r="AN692">
        <f>IFERROR(INDEX(PP_Grid[#Data],$DD692,38),0)</f>
        <v/>
      </c>
      <c r="AO692">
        <f>IFERROR(INDEX(PP_Grid[#Data],$DD692,39),0)</f>
        <v/>
      </c>
      <c r="AP692">
        <f>IFERROR(INDEX(PP_Grid[#Data],$DD692,40),0)</f>
        <v/>
      </c>
      <c r="AQ692">
        <f>IFERROR(INDEX(PP_Grid[#Data],$DD692,41),0)</f>
        <v/>
      </c>
      <c r="AR692">
        <f>IFERROR(INDEX(PP_Grid[#Data],$DD692,42),0)</f>
        <v/>
      </c>
      <c r="AS692">
        <f>IFERROR(INDEX(PP_Grid[#Data],$DD692,43),0)</f>
        <v/>
      </c>
      <c r="AT692">
        <f>IFERROR(INDEX(PP_Grid[#Data],$DD692,44),0)</f>
        <v/>
      </c>
      <c r="AU692">
        <f>IFERROR(INDEX(PP_Grid[#Data],$DD692,45),0)</f>
        <v/>
      </c>
      <c r="AV692">
        <f>IFERROR(INDEX(PP_Grid[#Data],$DD692,46),0)</f>
        <v/>
      </c>
      <c r="AW692">
        <f>IFERROR(INDEX(PP_Grid[#Data],$DD692,47),0)</f>
        <v/>
      </c>
      <c r="AX692">
        <f>IFERROR(INDEX(PP_Grid[#Data],$DD692,48),0)</f>
        <v/>
      </c>
      <c r="AY692">
        <f>IFERROR(INDEX(PP_Grid[#Data],$DD692,49),0)</f>
        <v/>
      </c>
      <c r="AZ692">
        <f>IFERROR(INDEX(PP_Grid[#Data],$DD692,50),0)</f>
        <v/>
      </c>
      <c r="BA692">
        <f>IFERROR(INDEX(PP_Grid[#Data],$DD692,51),0)</f>
        <v/>
      </c>
      <c r="BB692">
        <f>IFERROR(INDEX(PP_Grid[#Data],$DD692,52),0)</f>
        <v/>
      </c>
      <c r="BC692">
        <f>IFERROR(INDEX(PP_Grid[#Data],$DD692,53),0)</f>
        <v/>
      </c>
      <c r="BD692">
        <f>IFERROR(INDEX(PP_Grid[#Data],$DD692,54),0)</f>
        <v/>
      </c>
      <c r="BE692">
        <f>IFERROR(INDEX(PP_Grid[#Data],$DD692,55),0)</f>
        <v/>
      </c>
      <c r="BF692">
        <f>IFERROR(INDEX(PP_Grid[#Data],$DD692,56),0)</f>
        <v/>
      </c>
      <c r="BG692">
        <f>IFERROR(INDEX(PP_Grid[#Data],$DD692,57),0)</f>
        <v/>
      </c>
      <c r="BH692">
        <f>IFERROR(INDEX(PP_Grid[#Data],$DD692,58),0)</f>
        <v/>
      </c>
      <c r="BI692">
        <f>IFERROR(INDEX(PP_Grid[#Data],$DD692,59),0)</f>
        <v/>
      </c>
      <c r="BJ692">
        <f>IFERROR(INDEX(PP_Grid[#Data],$DD692,60),0)</f>
        <v/>
      </c>
      <c r="BK692">
        <f>IFERROR(INDEX(PP_Grid[#Data],$DD692,61),0)</f>
        <v/>
      </c>
      <c r="BL692">
        <f>IFERROR(INDEX(PP_Grid[#Data],$DD692,62),0)</f>
        <v/>
      </c>
      <c r="BM692">
        <f>IFERROR(INDEX(PP_Grid[#Data],$DD692,63),0)</f>
        <v/>
      </c>
      <c r="BN692">
        <f>IFERROR(INDEX(PP_Grid[#Data],$DD692,64),0)</f>
        <v/>
      </c>
      <c r="BO692">
        <f>IFERROR(INDEX(PP_Grid[#Data],$DD692,65),0)</f>
        <v/>
      </c>
      <c r="BP692">
        <f>IFERROR(INDEX(PP_Grid[#Data],$DD692,66),0)</f>
        <v/>
      </c>
      <c r="BQ692">
        <f>IFERROR(INDEX(PP_Grid[#Data],$DD692,67),0)</f>
        <v/>
      </c>
      <c r="BR692">
        <f>IFERROR(INDEX(PP_Grid[#Data],$DD692,68),0)</f>
        <v/>
      </c>
      <c r="BS692">
        <f>IFERROR(INDEX(PP_Grid[#Data],$DD692,69),0)</f>
        <v/>
      </c>
      <c r="BT692">
        <f>IFERROR(INDEX(PP_Grid[#Data],$DD692,70),0)</f>
        <v/>
      </c>
      <c r="BU692">
        <f>IFERROR(INDEX(PP_Grid[#Data],$DD692,71),0)</f>
        <v/>
      </c>
      <c r="BV692">
        <f>IFERROR(INDEX(PP_Grid[#Data],$DD692,72),0)</f>
        <v/>
      </c>
      <c r="BW692">
        <f>IFERROR(INDEX(PP_Grid[#Data],$DD692,73),0)</f>
        <v/>
      </c>
      <c r="BX692">
        <f>IFERROR(INDEX(PP_Grid[#Data],$DD692,74),0)</f>
        <v/>
      </c>
      <c r="BY692">
        <f>IFERROR(INDEX(PP_Grid[#Data],$DD692,75),0)</f>
        <v/>
      </c>
      <c r="BZ692">
        <f>IFERROR(INDEX(PP_Grid[#Data],$DD692,76),0)</f>
        <v/>
      </c>
      <c r="CA692">
        <f>IFERROR(INDEX(PP_Grid[#Data],$DD692,77),0)</f>
        <v/>
      </c>
      <c r="CB692">
        <f>IFERROR(INDEX(PP_Grid[#Data],$DD692,78),0)</f>
        <v/>
      </c>
      <c r="CC692">
        <f>IFERROR(INDEX(PP_Grid[#Data],$DD692,79),0)</f>
        <v/>
      </c>
      <c r="CD692">
        <f>IFERROR(INDEX(PP_Grid[#Data],$DD692,80),0)</f>
        <v/>
      </c>
      <c r="CE692">
        <f>IFERROR(INDEX(PP_Grid[#Data],$DD692,81),0)</f>
        <v/>
      </c>
      <c r="CF692">
        <f>IFERROR(INDEX(PP_Grid[#Data],$DD692,82),0)</f>
        <v/>
      </c>
      <c r="CG692">
        <f>IFERROR(INDEX(PP_Grid[#Data],$DD692,83),0)</f>
        <v/>
      </c>
      <c r="CH692">
        <f>IFERROR(INDEX(PP_Grid[#Data],$DD692,84),0)</f>
        <v/>
      </c>
      <c r="CI692">
        <f>IFERROR(INDEX(PP_Grid[#Data],$DD692,85),0)</f>
        <v/>
      </c>
      <c r="CJ692">
        <f>IFERROR(INDEX(PP_Grid[#Data],$DD692,86),0)</f>
        <v/>
      </c>
      <c r="CK692">
        <f>IFERROR(INDEX(PP_Grid[#Data],$DD692,87),0)</f>
        <v/>
      </c>
      <c r="CL692">
        <f>IFERROR(INDEX(PP_Grid[#Data],$DD692,88),0)</f>
        <v/>
      </c>
      <c r="CM692">
        <f>IFERROR(INDEX(PP_Grid[#Data],$DD692,89),0)</f>
        <v/>
      </c>
      <c r="CN692">
        <f>IFERROR(INDEX(PP_Grid[#Data],$DD692,90),0)</f>
        <v/>
      </c>
      <c r="CO692">
        <f>IFERROR(INDEX(PP_Grid[#Data],$DD692,91),0)</f>
        <v/>
      </c>
      <c r="CP692">
        <f>IFERROR(INDEX(PP_Grid[#Data],$DD692,92),0)</f>
        <v/>
      </c>
      <c r="CQ692">
        <f>IFERROR(INDEX(PP_Grid[#Data],$DD692,93),0)</f>
        <v/>
      </c>
      <c r="CR692">
        <f>IFERROR(INDEX(PP_Grid[#Data],$DD692,94),0)</f>
        <v/>
      </c>
      <c r="CS692">
        <f>IFERROR(INDEX(PP_Grid[#Data],$DD692,95),0)</f>
        <v/>
      </c>
      <c r="CT692">
        <f>IFERROR(INDEX(PP_Grid[#Data],$DD692,96),0)</f>
        <v/>
      </c>
      <c r="CU692">
        <f>IFERROR(INDEX(PP_Grid[#Data],$DD692,97),0)</f>
        <v/>
      </c>
      <c r="CV692">
        <f>IFERROR(INDEX(PP_Grid[#Data],$DD692,98),0)</f>
        <v/>
      </c>
      <c r="CW692">
        <f>IFERROR(INDEX(PP_Grid[#Data],$DD692,99),0)</f>
        <v/>
      </c>
      <c r="CX692">
        <f>IFERROR(INDEX(PP_Grid[#Data],$DD692,100),0)</f>
        <v/>
      </c>
      <c r="CY692">
        <f>IFERROR(INDEX(PP_Grid[#Data],$DD692,101),0)</f>
        <v/>
      </c>
      <c r="CZ692">
        <f>IFERROR(INDEX(PP_Grid[#Data],$DD692,102),0)</f>
        <v/>
      </c>
      <c r="DA692">
        <f>IFERROR(INDEX(PP_Grid[#Data],$DD692,103),0)</f>
        <v/>
      </c>
      <c r="DB692">
        <f>IFERROR(INDEX(PP_Grid[#Data],$DD692,104),0)</f>
        <v/>
      </c>
      <c r="DC692">
        <f>IFERROR(INDEX(PP_Grid[#Data],$DD692,105),0)</f>
        <v/>
      </c>
      <c r="DD692" s="12">
        <f>IFERROR(MATCH($B692,PP_Grid[Intermediate],0),99999)</f>
        <v/>
      </c>
    </row>
    <row r="693">
      <c r="B693" t="inlineStr">
        <is>
          <t>使用量(kg)</t>
        </is>
      </c>
      <c r="C693">
        <f>SUMIFS(M_BOM[RM_Qty_Per_Batch],M_BOM[Intermediate],$B692,M_BOM[Part Name],$A669)</f>
        <v/>
      </c>
      <c r="D693">
        <f>$C693*D692</f>
        <v/>
      </c>
      <c r="E693">
        <f>$C693*E692</f>
        <v/>
      </c>
      <c r="F693">
        <f>$C693*F692</f>
        <v/>
      </c>
      <c r="G693">
        <f>$C693*G692</f>
        <v/>
      </c>
      <c r="H693">
        <f>$C693*H692</f>
        <v/>
      </c>
      <c r="I693">
        <f>$C693*I692</f>
        <v/>
      </c>
      <c r="J693">
        <f>$C693*J692</f>
        <v/>
      </c>
      <c r="K693">
        <f>$C693*K692</f>
        <v/>
      </c>
      <c r="L693">
        <f>$C693*L692</f>
        <v/>
      </c>
      <c r="M693">
        <f>$C693*M692</f>
        <v/>
      </c>
      <c r="N693">
        <f>$C693*N692</f>
        <v/>
      </c>
      <c r="O693">
        <f>$C693*O692</f>
        <v/>
      </c>
      <c r="P693">
        <f>$C693*P692</f>
        <v/>
      </c>
      <c r="Q693">
        <f>$C693*Q692</f>
        <v/>
      </c>
      <c r="R693">
        <f>$C693*R692</f>
        <v/>
      </c>
      <c r="S693">
        <f>$C693*S692</f>
        <v/>
      </c>
      <c r="T693">
        <f>$C693*T692</f>
        <v/>
      </c>
      <c r="U693">
        <f>$C693*U692</f>
        <v/>
      </c>
      <c r="V693">
        <f>$C693*V692</f>
        <v/>
      </c>
      <c r="W693">
        <f>$C693*W692</f>
        <v/>
      </c>
      <c r="X693">
        <f>$C693*X692</f>
        <v/>
      </c>
      <c r="Y693">
        <f>$C693*Y692</f>
        <v/>
      </c>
      <c r="Z693">
        <f>$C693*Z692</f>
        <v/>
      </c>
      <c r="AA693">
        <f>$C693*AA692</f>
        <v/>
      </c>
      <c r="AB693">
        <f>$C693*AB692</f>
        <v/>
      </c>
      <c r="AC693">
        <f>$C693*AC692</f>
        <v/>
      </c>
      <c r="AD693">
        <f>$C693*AD692</f>
        <v/>
      </c>
      <c r="AE693">
        <f>$C693*AE692</f>
        <v/>
      </c>
      <c r="AF693">
        <f>$C693*AF692</f>
        <v/>
      </c>
      <c r="AG693">
        <f>$C693*AG692</f>
        <v/>
      </c>
      <c r="AH693">
        <f>$C693*AH692</f>
        <v/>
      </c>
      <c r="AI693">
        <f>$C693*AI692</f>
        <v/>
      </c>
      <c r="AJ693">
        <f>$C693*AJ692</f>
        <v/>
      </c>
      <c r="AK693">
        <f>$C693*AK692</f>
        <v/>
      </c>
      <c r="AL693">
        <f>$C693*AL692</f>
        <v/>
      </c>
      <c r="AM693">
        <f>$C693*AM692</f>
        <v/>
      </c>
      <c r="AN693">
        <f>$C693*AN692</f>
        <v/>
      </c>
      <c r="AO693">
        <f>$C693*AO692</f>
        <v/>
      </c>
      <c r="AP693">
        <f>$C693*AP692</f>
        <v/>
      </c>
      <c r="AQ693">
        <f>$C693*AQ692</f>
        <v/>
      </c>
      <c r="AR693">
        <f>$C693*AR692</f>
        <v/>
      </c>
      <c r="AS693">
        <f>$C693*AS692</f>
        <v/>
      </c>
      <c r="AT693">
        <f>$C693*AT692</f>
        <v/>
      </c>
      <c r="AU693">
        <f>$C693*AU692</f>
        <v/>
      </c>
      <c r="AV693">
        <f>$C693*AV692</f>
        <v/>
      </c>
      <c r="AW693">
        <f>$C693*AW692</f>
        <v/>
      </c>
      <c r="AX693">
        <f>$C693*AX692</f>
        <v/>
      </c>
      <c r="AY693">
        <f>$C693*AY692</f>
        <v/>
      </c>
      <c r="AZ693">
        <f>$C693*AZ692</f>
        <v/>
      </c>
      <c r="BA693">
        <f>$C693*BA692</f>
        <v/>
      </c>
      <c r="BB693">
        <f>$C693*BB692</f>
        <v/>
      </c>
      <c r="BC693">
        <f>$C693*BC692</f>
        <v/>
      </c>
      <c r="BD693">
        <f>$C693*BD692</f>
        <v/>
      </c>
      <c r="BE693">
        <f>$C693*BE692</f>
        <v/>
      </c>
      <c r="BF693">
        <f>$C693*BF692</f>
        <v/>
      </c>
      <c r="BG693">
        <f>$C693*BG692</f>
        <v/>
      </c>
      <c r="BH693">
        <f>$C693*BH692</f>
        <v/>
      </c>
      <c r="BI693">
        <f>$C693*BI692</f>
        <v/>
      </c>
      <c r="BJ693">
        <f>$C693*BJ692</f>
        <v/>
      </c>
      <c r="BK693">
        <f>$C693*BK692</f>
        <v/>
      </c>
      <c r="BL693">
        <f>$C693*BL692</f>
        <v/>
      </c>
      <c r="BM693">
        <f>$C693*BM692</f>
        <v/>
      </c>
      <c r="BN693">
        <f>$C693*BN692</f>
        <v/>
      </c>
      <c r="BO693">
        <f>$C693*BO692</f>
        <v/>
      </c>
      <c r="BP693">
        <f>$C693*BP692</f>
        <v/>
      </c>
      <c r="BQ693">
        <f>$C693*BQ692</f>
        <v/>
      </c>
      <c r="BR693">
        <f>$C693*BR692</f>
        <v/>
      </c>
      <c r="BS693">
        <f>$C693*BS692</f>
        <v/>
      </c>
      <c r="BT693">
        <f>$C693*BT692</f>
        <v/>
      </c>
      <c r="BU693">
        <f>$C693*BU692</f>
        <v/>
      </c>
      <c r="BV693">
        <f>$C693*BV692</f>
        <v/>
      </c>
      <c r="BW693">
        <f>$C693*BW692</f>
        <v/>
      </c>
      <c r="BX693">
        <f>$C693*BX692</f>
        <v/>
      </c>
      <c r="BY693">
        <f>$C693*BY692</f>
        <v/>
      </c>
      <c r="BZ693">
        <f>$C693*BZ692</f>
        <v/>
      </c>
      <c r="CA693">
        <f>$C693*CA692</f>
        <v/>
      </c>
      <c r="CB693">
        <f>$C693*CB692</f>
        <v/>
      </c>
      <c r="CC693">
        <f>$C693*CC692</f>
        <v/>
      </c>
      <c r="CD693">
        <f>$C693*CD692</f>
        <v/>
      </c>
      <c r="CE693">
        <f>$C693*CE692</f>
        <v/>
      </c>
      <c r="CF693">
        <f>$C693*CF692</f>
        <v/>
      </c>
      <c r="CG693">
        <f>$C693*CG692</f>
        <v/>
      </c>
      <c r="CH693">
        <f>$C693*CH692</f>
        <v/>
      </c>
      <c r="CI693">
        <f>$C693*CI692</f>
        <v/>
      </c>
      <c r="CJ693">
        <f>$C693*CJ692</f>
        <v/>
      </c>
      <c r="CK693">
        <f>$C693*CK692</f>
        <v/>
      </c>
      <c r="CL693">
        <f>$C693*CL692</f>
        <v/>
      </c>
      <c r="CM693">
        <f>$C693*CM692</f>
        <v/>
      </c>
      <c r="CN693">
        <f>$C693*CN692</f>
        <v/>
      </c>
      <c r="CO693">
        <f>$C693*CO692</f>
        <v/>
      </c>
      <c r="CP693">
        <f>$C693*CP692</f>
        <v/>
      </c>
      <c r="CQ693">
        <f>$C693*CQ692</f>
        <v/>
      </c>
      <c r="CR693">
        <f>$C693*CR692</f>
        <v/>
      </c>
      <c r="CS693">
        <f>$C693*CS692</f>
        <v/>
      </c>
      <c r="CT693">
        <f>$C693*CT692</f>
        <v/>
      </c>
      <c r="CU693">
        <f>$C693*CU692</f>
        <v/>
      </c>
      <c r="CV693">
        <f>$C693*CV692</f>
        <v/>
      </c>
      <c r="CW693">
        <f>$C693*CW692</f>
        <v/>
      </c>
      <c r="CX693">
        <f>$C693*CX692</f>
        <v/>
      </c>
      <c r="CY693">
        <f>$C693*CY692</f>
        <v/>
      </c>
      <c r="CZ693">
        <f>$C693*CZ692</f>
        <v/>
      </c>
      <c r="DA693">
        <f>$C693*DA692</f>
        <v/>
      </c>
      <c r="DB693">
        <f>$C693*DB692</f>
        <v/>
      </c>
      <c r="DC693">
        <f>$C693*DC692</f>
        <v/>
      </c>
    </row>
    <row r="694">
      <c r="B694" t="inlineStr">
        <is>
          <t>TSP-1448</t>
        </is>
      </c>
      <c r="C694" t="inlineStr">
        <is>
          <t>No. of batches</t>
        </is>
      </c>
      <c r="D694">
        <f>IFERROR(INDEX(PP_Grid[#Data],$DD694,2),0)</f>
        <v/>
      </c>
      <c r="E694">
        <f>IFERROR(INDEX(PP_Grid[#Data],$DD694,3),0)</f>
        <v/>
      </c>
      <c r="F694">
        <f>IFERROR(INDEX(PP_Grid[#Data],$DD694,4),0)</f>
        <v/>
      </c>
      <c r="G694">
        <f>IFERROR(INDEX(PP_Grid[#Data],$DD694,5),0)</f>
        <v/>
      </c>
      <c r="H694">
        <f>IFERROR(INDEX(PP_Grid[#Data],$DD694,6),0)</f>
        <v/>
      </c>
      <c r="I694">
        <f>IFERROR(INDEX(PP_Grid[#Data],$DD694,7),0)</f>
        <v/>
      </c>
      <c r="J694">
        <f>IFERROR(INDEX(PP_Grid[#Data],$DD694,8),0)</f>
        <v/>
      </c>
      <c r="K694">
        <f>IFERROR(INDEX(PP_Grid[#Data],$DD694,9),0)</f>
        <v/>
      </c>
      <c r="L694">
        <f>IFERROR(INDEX(PP_Grid[#Data],$DD694,10),0)</f>
        <v/>
      </c>
      <c r="M694">
        <f>IFERROR(INDEX(PP_Grid[#Data],$DD694,11),0)</f>
        <v/>
      </c>
      <c r="N694">
        <f>IFERROR(INDEX(PP_Grid[#Data],$DD694,12),0)</f>
        <v/>
      </c>
      <c r="O694">
        <f>IFERROR(INDEX(PP_Grid[#Data],$DD694,13),0)</f>
        <v/>
      </c>
      <c r="P694">
        <f>IFERROR(INDEX(PP_Grid[#Data],$DD694,14),0)</f>
        <v/>
      </c>
      <c r="Q694">
        <f>IFERROR(INDEX(PP_Grid[#Data],$DD694,15),0)</f>
        <v/>
      </c>
      <c r="R694">
        <f>IFERROR(INDEX(PP_Grid[#Data],$DD694,16),0)</f>
        <v/>
      </c>
      <c r="S694">
        <f>IFERROR(INDEX(PP_Grid[#Data],$DD694,17),0)</f>
        <v/>
      </c>
      <c r="T694">
        <f>IFERROR(INDEX(PP_Grid[#Data],$DD694,18),0)</f>
        <v/>
      </c>
      <c r="U694">
        <f>IFERROR(INDEX(PP_Grid[#Data],$DD694,19),0)</f>
        <v/>
      </c>
      <c r="V694">
        <f>IFERROR(INDEX(PP_Grid[#Data],$DD694,20),0)</f>
        <v/>
      </c>
      <c r="W694">
        <f>IFERROR(INDEX(PP_Grid[#Data],$DD694,21),0)</f>
        <v/>
      </c>
      <c r="X694">
        <f>IFERROR(INDEX(PP_Grid[#Data],$DD694,22),0)</f>
        <v/>
      </c>
      <c r="Y694">
        <f>IFERROR(INDEX(PP_Grid[#Data],$DD694,23),0)</f>
        <v/>
      </c>
      <c r="Z694">
        <f>IFERROR(INDEX(PP_Grid[#Data],$DD694,24),0)</f>
        <v/>
      </c>
      <c r="AA694">
        <f>IFERROR(INDEX(PP_Grid[#Data],$DD694,25),0)</f>
        <v/>
      </c>
      <c r="AB694">
        <f>IFERROR(INDEX(PP_Grid[#Data],$DD694,26),0)</f>
        <v/>
      </c>
      <c r="AC694">
        <f>IFERROR(INDEX(PP_Grid[#Data],$DD694,27),0)</f>
        <v/>
      </c>
      <c r="AD694">
        <f>IFERROR(INDEX(PP_Grid[#Data],$DD694,28),0)</f>
        <v/>
      </c>
      <c r="AE694">
        <f>IFERROR(INDEX(PP_Grid[#Data],$DD694,29),0)</f>
        <v/>
      </c>
      <c r="AF694">
        <f>IFERROR(INDEX(PP_Grid[#Data],$DD694,30),0)</f>
        <v/>
      </c>
      <c r="AG694">
        <f>IFERROR(INDEX(PP_Grid[#Data],$DD694,31),0)</f>
        <v/>
      </c>
      <c r="AH694">
        <f>IFERROR(INDEX(PP_Grid[#Data],$DD694,32),0)</f>
        <v/>
      </c>
      <c r="AI694">
        <f>IFERROR(INDEX(PP_Grid[#Data],$DD694,33),0)</f>
        <v/>
      </c>
      <c r="AJ694">
        <f>IFERROR(INDEX(PP_Grid[#Data],$DD694,34),0)</f>
        <v/>
      </c>
      <c r="AK694">
        <f>IFERROR(INDEX(PP_Grid[#Data],$DD694,35),0)</f>
        <v/>
      </c>
      <c r="AL694">
        <f>IFERROR(INDEX(PP_Grid[#Data],$DD694,36),0)</f>
        <v/>
      </c>
      <c r="AM694">
        <f>IFERROR(INDEX(PP_Grid[#Data],$DD694,37),0)</f>
        <v/>
      </c>
      <c r="AN694">
        <f>IFERROR(INDEX(PP_Grid[#Data],$DD694,38),0)</f>
        <v/>
      </c>
      <c r="AO694">
        <f>IFERROR(INDEX(PP_Grid[#Data],$DD694,39),0)</f>
        <v/>
      </c>
      <c r="AP694">
        <f>IFERROR(INDEX(PP_Grid[#Data],$DD694,40),0)</f>
        <v/>
      </c>
      <c r="AQ694">
        <f>IFERROR(INDEX(PP_Grid[#Data],$DD694,41),0)</f>
        <v/>
      </c>
      <c r="AR694">
        <f>IFERROR(INDEX(PP_Grid[#Data],$DD694,42),0)</f>
        <v/>
      </c>
      <c r="AS694">
        <f>IFERROR(INDEX(PP_Grid[#Data],$DD694,43),0)</f>
        <v/>
      </c>
      <c r="AT694">
        <f>IFERROR(INDEX(PP_Grid[#Data],$DD694,44),0)</f>
        <v/>
      </c>
      <c r="AU694">
        <f>IFERROR(INDEX(PP_Grid[#Data],$DD694,45),0)</f>
        <v/>
      </c>
      <c r="AV694">
        <f>IFERROR(INDEX(PP_Grid[#Data],$DD694,46),0)</f>
        <v/>
      </c>
      <c r="AW694">
        <f>IFERROR(INDEX(PP_Grid[#Data],$DD694,47),0)</f>
        <v/>
      </c>
      <c r="AX694">
        <f>IFERROR(INDEX(PP_Grid[#Data],$DD694,48),0)</f>
        <v/>
      </c>
      <c r="AY694">
        <f>IFERROR(INDEX(PP_Grid[#Data],$DD694,49),0)</f>
        <v/>
      </c>
      <c r="AZ694">
        <f>IFERROR(INDEX(PP_Grid[#Data],$DD694,50),0)</f>
        <v/>
      </c>
      <c r="BA694">
        <f>IFERROR(INDEX(PP_Grid[#Data],$DD694,51),0)</f>
        <v/>
      </c>
      <c r="BB694">
        <f>IFERROR(INDEX(PP_Grid[#Data],$DD694,52),0)</f>
        <v/>
      </c>
      <c r="BC694">
        <f>IFERROR(INDEX(PP_Grid[#Data],$DD694,53),0)</f>
        <v/>
      </c>
      <c r="BD694">
        <f>IFERROR(INDEX(PP_Grid[#Data],$DD694,54),0)</f>
        <v/>
      </c>
      <c r="BE694">
        <f>IFERROR(INDEX(PP_Grid[#Data],$DD694,55),0)</f>
        <v/>
      </c>
      <c r="BF694">
        <f>IFERROR(INDEX(PP_Grid[#Data],$DD694,56),0)</f>
        <v/>
      </c>
      <c r="BG694">
        <f>IFERROR(INDEX(PP_Grid[#Data],$DD694,57),0)</f>
        <v/>
      </c>
      <c r="BH694">
        <f>IFERROR(INDEX(PP_Grid[#Data],$DD694,58),0)</f>
        <v/>
      </c>
      <c r="BI694">
        <f>IFERROR(INDEX(PP_Grid[#Data],$DD694,59),0)</f>
        <v/>
      </c>
      <c r="BJ694">
        <f>IFERROR(INDEX(PP_Grid[#Data],$DD694,60),0)</f>
        <v/>
      </c>
      <c r="BK694">
        <f>IFERROR(INDEX(PP_Grid[#Data],$DD694,61),0)</f>
        <v/>
      </c>
      <c r="BL694">
        <f>IFERROR(INDEX(PP_Grid[#Data],$DD694,62),0)</f>
        <v/>
      </c>
      <c r="BM694">
        <f>IFERROR(INDEX(PP_Grid[#Data],$DD694,63),0)</f>
        <v/>
      </c>
      <c r="BN694">
        <f>IFERROR(INDEX(PP_Grid[#Data],$DD694,64),0)</f>
        <v/>
      </c>
      <c r="BO694">
        <f>IFERROR(INDEX(PP_Grid[#Data],$DD694,65),0)</f>
        <v/>
      </c>
      <c r="BP694">
        <f>IFERROR(INDEX(PP_Grid[#Data],$DD694,66),0)</f>
        <v/>
      </c>
      <c r="BQ694">
        <f>IFERROR(INDEX(PP_Grid[#Data],$DD694,67),0)</f>
        <v/>
      </c>
      <c r="BR694">
        <f>IFERROR(INDEX(PP_Grid[#Data],$DD694,68),0)</f>
        <v/>
      </c>
      <c r="BS694">
        <f>IFERROR(INDEX(PP_Grid[#Data],$DD694,69),0)</f>
        <v/>
      </c>
      <c r="BT694">
        <f>IFERROR(INDEX(PP_Grid[#Data],$DD694,70),0)</f>
        <v/>
      </c>
      <c r="BU694">
        <f>IFERROR(INDEX(PP_Grid[#Data],$DD694,71),0)</f>
        <v/>
      </c>
      <c r="BV694">
        <f>IFERROR(INDEX(PP_Grid[#Data],$DD694,72),0)</f>
        <v/>
      </c>
      <c r="BW694">
        <f>IFERROR(INDEX(PP_Grid[#Data],$DD694,73),0)</f>
        <v/>
      </c>
      <c r="BX694">
        <f>IFERROR(INDEX(PP_Grid[#Data],$DD694,74),0)</f>
        <v/>
      </c>
      <c r="BY694">
        <f>IFERROR(INDEX(PP_Grid[#Data],$DD694,75),0)</f>
        <v/>
      </c>
      <c r="BZ694">
        <f>IFERROR(INDEX(PP_Grid[#Data],$DD694,76),0)</f>
        <v/>
      </c>
      <c r="CA694">
        <f>IFERROR(INDEX(PP_Grid[#Data],$DD694,77),0)</f>
        <v/>
      </c>
      <c r="CB694">
        <f>IFERROR(INDEX(PP_Grid[#Data],$DD694,78),0)</f>
        <v/>
      </c>
      <c r="CC694">
        <f>IFERROR(INDEX(PP_Grid[#Data],$DD694,79),0)</f>
        <v/>
      </c>
      <c r="CD694">
        <f>IFERROR(INDEX(PP_Grid[#Data],$DD694,80),0)</f>
        <v/>
      </c>
      <c r="CE694">
        <f>IFERROR(INDEX(PP_Grid[#Data],$DD694,81),0)</f>
        <v/>
      </c>
      <c r="CF694">
        <f>IFERROR(INDEX(PP_Grid[#Data],$DD694,82),0)</f>
        <v/>
      </c>
      <c r="CG694">
        <f>IFERROR(INDEX(PP_Grid[#Data],$DD694,83),0)</f>
        <v/>
      </c>
      <c r="CH694">
        <f>IFERROR(INDEX(PP_Grid[#Data],$DD694,84),0)</f>
        <v/>
      </c>
      <c r="CI694">
        <f>IFERROR(INDEX(PP_Grid[#Data],$DD694,85),0)</f>
        <v/>
      </c>
      <c r="CJ694">
        <f>IFERROR(INDEX(PP_Grid[#Data],$DD694,86),0)</f>
        <v/>
      </c>
      <c r="CK694">
        <f>IFERROR(INDEX(PP_Grid[#Data],$DD694,87),0)</f>
        <v/>
      </c>
      <c r="CL694">
        <f>IFERROR(INDEX(PP_Grid[#Data],$DD694,88),0)</f>
        <v/>
      </c>
      <c r="CM694">
        <f>IFERROR(INDEX(PP_Grid[#Data],$DD694,89),0)</f>
        <v/>
      </c>
      <c r="CN694">
        <f>IFERROR(INDEX(PP_Grid[#Data],$DD694,90),0)</f>
        <v/>
      </c>
      <c r="CO694">
        <f>IFERROR(INDEX(PP_Grid[#Data],$DD694,91),0)</f>
        <v/>
      </c>
      <c r="CP694">
        <f>IFERROR(INDEX(PP_Grid[#Data],$DD694,92),0)</f>
        <v/>
      </c>
      <c r="CQ694">
        <f>IFERROR(INDEX(PP_Grid[#Data],$DD694,93),0)</f>
        <v/>
      </c>
      <c r="CR694">
        <f>IFERROR(INDEX(PP_Grid[#Data],$DD694,94),0)</f>
        <v/>
      </c>
      <c r="CS694">
        <f>IFERROR(INDEX(PP_Grid[#Data],$DD694,95),0)</f>
        <v/>
      </c>
      <c r="CT694">
        <f>IFERROR(INDEX(PP_Grid[#Data],$DD694,96),0)</f>
        <v/>
      </c>
      <c r="CU694">
        <f>IFERROR(INDEX(PP_Grid[#Data],$DD694,97),0)</f>
        <v/>
      </c>
      <c r="CV694">
        <f>IFERROR(INDEX(PP_Grid[#Data],$DD694,98),0)</f>
        <v/>
      </c>
      <c r="CW694">
        <f>IFERROR(INDEX(PP_Grid[#Data],$DD694,99),0)</f>
        <v/>
      </c>
      <c r="CX694">
        <f>IFERROR(INDEX(PP_Grid[#Data],$DD694,100),0)</f>
        <v/>
      </c>
      <c r="CY694">
        <f>IFERROR(INDEX(PP_Grid[#Data],$DD694,101),0)</f>
        <v/>
      </c>
      <c r="CZ694">
        <f>IFERROR(INDEX(PP_Grid[#Data],$DD694,102),0)</f>
        <v/>
      </c>
      <c r="DA694">
        <f>IFERROR(INDEX(PP_Grid[#Data],$DD694,103),0)</f>
        <v/>
      </c>
      <c r="DB694">
        <f>IFERROR(INDEX(PP_Grid[#Data],$DD694,104),0)</f>
        <v/>
      </c>
      <c r="DC694">
        <f>IFERROR(INDEX(PP_Grid[#Data],$DD694,105),0)</f>
        <v/>
      </c>
      <c r="DD694" s="12">
        <f>IFERROR(MATCH($B694,PP_Grid[Intermediate],0),99999)</f>
        <v/>
      </c>
    </row>
    <row r="695">
      <c r="B695" t="inlineStr">
        <is>
          <t>使用量(kg)</t>
        </is>
      </c>
      <c r="C695">
        <f>SUMIFS(M_BOM[RM_Qty_Per_Batch],M_BOM[Intermediate],$B694,M_BOM[Part Name],$A669)</f>
        <v/>
      </c>
      <c r="D695">
        <f>$C695*D694</f>
        <v/>
      </c>
      <c r="E695">
        <f>$C695*E694</f>
        <v/>
      </c>
      <c r="F695">
        <f>$C695*F694</f>
        <v/>
      </c>
      <c r="G695">
        <f>$C695*G694</f>
        <v/>
      </c>
      <c r="H695">
        <f>$C695*H694</f>
        <v/>
      </c>
      <c r="I695">
        <f>$C695*I694</f>
        <v/>
      </c>
      <c r="J695">
        <f>$C695*J694</f>
        <v/>
      </c>
      <c r="K695">
        <f>$C695*K694</f>
        <v/>
      </c>
      <c r="L695">
        <f>$C695*L694</f>
        <v/>
      </c>
      <c r="M695">
        <f>$C695*M694</f>
        <v/>
      </c>
      <c r="N695">
        <f>$C695*N694</f>
        <v/>
      </c>
      <c r="O695">
        <f>$C695*O694</f>
        <v/>
      </c>
      <c r="P695">
        <f>$C695*P694</f>
        <v/>
      </c>
      <c r="Q695">
        <f>$C695*Q694</f>
        <v/>
      </c>
      <c r="R695">
        <f>$C695*R694</f>
        <v/>
      </c>
      <c r="S695">
        <f>$C695*S694</f>
        <v/>
      </c>
      <c r="T695">
        <f>$C695*T694</f>
        <v/>
      </c>
      <c r="U695">
        <f>$C695*U694</f>
        <v/>
      </c>
      <c r="V695">
        <f>$C695*V694</f>
        <v/>
      </c>
      <c r="W695">
        <f>$C695*W694</f>
        <v/>
      </c>
      <c r="X695">
        <f>$C695*X694</f>
        <v/>
      </c>
      <c r="Y695">
        <f>$C695*Y694</f>
        <v/>
      </c>
      <c r="Z695">
        <f>$C695*Z694</f>
        <v/>
      </c>
      <c r="AA695">
        <f>$C695*AA694</f>
        <v/>
      </c>
      <c r="AB695">
        <f>$C695*AB694</f>
        <v/>
      </c>
      <c r="AC695">
        <f>$C695*AC694</f>
        <v/>
      </c>
      <c r="AD695">
        <f>$C695*AD694</f>
        <v/>
      </c>
      <c r="AE695">
        <f>$C695*AE694</f>
        <v/>
      </c>
      <c r="AF695">
        <f>$C695*AF694</f>
        <v/>
      </c>
      <c r="AG695">
        <f>$C695*AG694</f>
        <v/>
      </c>
      <c r="AH695">
        <f>$C695*AH694</f>
        <v/>
      </c>
      <c r="AI695">
        <f>$C695*AI694</f>
        <v/>
      </c>
      <c r="AJ695">
        <f>$C695*AJ694</f>
        <v/>
      </c>
      <c r="AK695">
        <f>$C695*AK694</f>
        <v/>
      </c>
      <c r="AL695">
        <f>$C695*AL694</f>
        <v/>
      </c>
      <c r="AM695">
        <f>$C695*AM694</f>
        <v/>
      </c>
      <c r="AN695">
        <f>$C695*AN694</f>
        <v/>
      </c>
      <c r="AO695">
        <f>$C695*AO694</f>
        <v/>
      </c>
      <c r="AP695">
        <f>$C695*AP694</f>
        <v/>
      </c>
      <c r="AQ695">
        <f>$C695*AQ694</f>
        <v/>
      </c>
      <c r="AR695">
        <f>$C695*AR694</f>
        <v/>
      </c>
      <c r="AS695">
        <f>$C695*AS694</f>
        <v/>
      </c>
      <c r="AT695">
        <f>$C695*AT694</f>
        <v/>
      </c>
      <c r="AU695">
        <f>$C695*AU694</f>
        <v/>
      </c>
      <c r="AV695">
        <f>$C695*AV694</f>
        <v/>
      </c>
      <c r="AW695">
        <f>$C695*AW694</f>
        <v/>
      </c>
      <c r="AX695">
        <f>$C695*AX694</f>
        <v/>
      </c>
      <c r="AY695">
        <f>$C695*AY694</f>
        <v/>
      </c>
      <c r="AZ695">
        <f>$C695*AZ694</f>
        <v/>
      </c>
      <c r="BA695">
        <f>$C695*BA694</f>
        <v/>
      </c>
      <c r="BB695">
        <f>$C695*BB694</f>
        <v/>
      </c>
      <c r="BC695">
        <f>$C695*BC694</f>
        <v/>
      </c>
      <c r="BD695">
        <f>$C695*BD694</f>
        <v/>
      </c>
      <c r="BE695">
        <f>$C695*BE694</f>
        <v/>
      </c>
      <c r="BF695">
        <f>$C695*BF694</f>
        <v/>
      </c>
      <c r="BG695">
        <f>$C695*BG694</f>
        <v/>
      </c>
      <c r="BH695">
        <f>$C695*BH694</f>
        <v/>
      </c>
      <c r="BI695">
        <f>$C695*BI694</f>
        <v/>
      </c>
      <c r="BJ695">
        <f>$C695*BJ694</f>
        <v/>
      </c>
      <c r="BK695">
        <f>$C695*BK694</f>
        <v/>
      </c>
      <c r="BL695">
        <f>$C695*BL694</f>
        <v/>
      </c>
      <c r="BM695">
        <f>$C695*BM694</f>
        <v/>
      </c>
      <c r="BN695">
        <f>$C695*BN694</f>
        <v/>
      </c>
      <c r="BO695">
        <f>$C695*BO694</f>
        <v/>
      </c>
      <c r="BP695">
        <f>$C695*BP694</f>
        <v/>
      </c>
      <c r="BQ695">
        <f>$C695*BQ694</f>
        <v/>
      </c>
      <c r="BR695">
        <f>$C695*BR694</f>
        <v/>
      </c>
      <c r="BS695">
        <f>$C695*BS694</f>
        <v/>
      </c>
      <c r="BT695">
        <f>$C695*BT694</f>
        <v/>
      </c>
      <c r="BU695">
        <f>$C695*BU694</f>
        <v/>
      </c>
      <c r="BV695">
        <f>$C695*BV694</f>
        <v/>
      </c>
      <c r="BW695">
        <f>$C695*BW694</f>
        <v/>
      </c>
      <c r="BX695">
        <f>$C695*BX694</f>
        <v/>
      </c>
      <c r="BY695">
        <f>$C695*BY694</f>
        <v/>
      </c>
      <c r="BZ695">
        <f>$C695*BZ694</f>
        <v/>
      </c>
      <c r="CA695">
        <f>$C695*CA694</f>
        <v/>
      </c>
      <c r="CB695">
        <f>$C695*CB694</f>
        <v/>
      </c>
      <c r="CC695">
        <f>$C695*CC694</f>
        <v/>
      </c>
      <c r="CD695">
        <f>$C695*CD694</f>
        <v/>
      </c>
      <c r="CE695">
        <f>$C695*CE694</f>
        <v/>
      </c>
      <c r="CF695">
        <f>$C695*CF694</f>
        <v/>
      </c>
      <c r="CG695">
        <f>$C695*CG694</f>
        <v/>
      </c>
      <c r="CH695">
        <f>$C695*CH694</f>
        <v/>
      </c>
      <c r="CI695">
        <f>$C695*CI694</f>
        <v/>
      </c>
      <c r="CJ695">
        <f>$C695*CJ694</f>
        <v/>
      </c>
      <c r="CK695">
        <f>$C695*CK694</f>
        <v/>
      </c>
      <c r="CL695">
        <f>$C695*CL694</f>
        <v/>
      </c>
      <c r="CM695">
        <f>$C695*CM694</f>
        <v/>
      </c>
      <c r="CN695">
        <f>$C695*CN694</f>
        <v/>
      </c>
      <c r="CO695">
        <f>$C695*CO694</f>
        <v/>
      </c>
      <c r="CP695">
        <f>$C695*CP694</f>
        <v/>
      </c>
      <c r="CQ695">
        <f>$C695*CQ694</f>
        <v/>
      </c>
      <c r="CR695">
        <f>$C695*CR694</f>
        <v/>
      </c>
      <c r="CS695">
        <f>$C695*CS694</f>
        <v/>
      </c>
      <c r="CT695">
        <f>$C695*CT694</f>
        <v/>
      </c>
      <c r="CU695">
        <f>$C695*CU694</f>
        <v/>
      </c>
      <c r="CV695">
        <f>$C695*CV694</f>
        <v/>
      </c>
      <c r="CW695">
        <f>$C695*CW694</f>
        <v/>
      </c>
      <c r="CX695">
        <f>$C695*CX694</f>
        <v/>
      </c>
      <c r="CY695">
        <f>$C695*CY694</f>
        <v/>
      </c>
      <c r="CZ695">
        <f>$C695*CZ694</f>
        <v/>
      </c>
      <c r="DA695">
        <f>$C695*DA694</f>
        <v/>
      </c>
      <c r="DB695">
        <f>$C695*DB694</f>
        <v/>
      </c>
      <c r="DC695">
        <f>$C695*DC694</f>
        <v/>
      </c>
    </row>
    <row r="696">
      <c r="B696" t="inlineStr">
        <is>
          <t>TSP-1449</t>
        </is>
      </c>
      <c r="C696" t="inlineStr">
        <is>
          <t>No. of batches</t>
        </is>
      </c>
      <c r="D696">
        <f>IFERROR(INDEX(PP_Grid[#Data],$DD696,2),0)</f>
        <v/>
      </c>
      <c r="E696">
        <f>IFERROR(INDEX(PP_Grid[#Data],$DD696,3),0)</f>
        <v/>
      </c>
      <c r="F696">
        <f>IFERROR(INDEX(PP_Grid[#Data],$DD696,4),0)</f>
        <v/>
      </c>
      <c r="G696">
        <f>IFERROR(INDEX(PP_Grid[#Data],$DD696,5),0)</f>
        <v/>
      </c>
      <c r="H696">
        <f>IFERROR(INDEX(PP_Grid[#Data],$DD696,6),0)</f>
        <v/>
      </c>
      <c r="I696">
        <f>IFERROR(INDEX(PP_Grid[#Data],$DD696,7),0)</f>
        <v/>
      </c>
      <c r="J696">
        <f>IFERROR(INDEX(PP_Grid[#Data],$DD696,8),0)</f>
        <v/>
      </c>
      <c r="K696">
        <f>IFERROR(INDEX(PP_Grid[#Data],$DD696,9),0)</f>
        <v/>
      </c>
      <c r="L696">
        <f>IFERROR(INDEX(PP_Grid[#Data],$DD696,10),0)</f>
        <v/>
      </c>
      <c r="M696">
        <f>IFERROR(INDEX(PP_Grid[#Data],$DD696,11),0)</f>
        <v/>
      </c>
      <c r="N696">
        <f>IFERROR(INDEX(PP_Grid[#Data],$DD696,12),0)</f>
        <v/>
      </c>
      <c r="O696">
        <f>IFERROR(INDEX(PP_Grid[#Data],$DD696,13),0)</f>
        <v/>
      </c>
      <c r="P696">
        <f>IFERROR(INDEX(PP_Grid[#Data],$DD696,14),0)</f>
        <v/>
      </c>
      <c r="Q696">
        <f>IFERROR(INDEX(PP_Grid[#Data],$DD696,15),0)</f>
        <v/>
      </c>
      <c r="R696">
        <f>IFERROR(INDEX(PP_Grid[#Data],$DD696,16),0)</f>
        <v/>
      </c>
      <c r="S696">
        <f>IFERROR(INDEX(PP_Grid[#Data],$DD696,17),0)</f>
        <v/>
      </c>
      <c r="T696">
        <f>IFERROR(INDEX(PP_Grid[#Data],$DD696,18),0)</f>
        <v/>
      </c>
      <c r="U696">
        <f>IFERROR(INDEX(PP_Grid[#Data],$DD696,19),0)</f>
        <v/>
      </c>
      <c r="V696">
        <f>IFERROR(INDEX(PP_Grid[#Data],$DD696,20),0)</f>
        <v/>
      </c>
      <c r="W696">
        <f>IFERROR(INDEX(PP_Grid[#Data],$DD696,21),0)</f>
        <v/>
      </c>
      <c r="X696">
        <f>IFERROR(INDEX(PP_Grid[#Data],$DD696,22),0)</f>
        <v/>
      </c>
      <c r="Y696">
        <f>IFERROR(INDEX(PP_Grid[#Data],$DD696,23),0)</f>
        <v/>
      </c>
      <c r="Z696">
        <f>IFERROR(INDEX(PP_Grid[#Data],$DD696,24),0)</f>
        <v/>
      </c>
      <c r="AA696">
        <f>IFERROR(INDEX(PP_Grid[#Data],$DD696,25),0)</f>
        <v/>
      </c>
      <c r="AB696">
        <f>IFERROR(INDEX(PP_Grid[#Data],$DD696,26),0)</f>
        <v/>
      </c>
      <c r="AC696">
        <f>IFERROR(INDEX(PP_Grid[#Data],$DD696,27),0)</f>
        <v/>
      </c>
      <c r="AD696">
        <f>IFERROR(INDEX(PP_Grid[#Data],$DD696,28),0)</f>
        <v/>
      </c>
      <c r="AE696">
        <f>IFERROR(INDEX(PP_Grid[#Data],$DD696,29),0)</f>
        <v/>
      </c>
      <c r="AF696">
        <f>IFERROR(INDEX(PP_Grid[#Data],$DD696,30),0)</f>
        <v/>
      </c>
      <c r="AG696">
        <f>IFERROR(INDEX(PP_Grid[#Data],$DD696,31),0)</f>
        <v/>
      </c>
      <c r="AH696">
        <f>IFERROR(INDEX(PP_Grid[#Data],$DD696,32),0)</f>
        <v/>
      </c>
      <c r="AI696">
        <f>IFERROR(INDEX(PP_Grid[#Data],$DD696,33),0)</f>
        <v/>
      </c>
      <c r="AJ696">
        <f>IFERROR(INDEX(PP_Grid[#Data],$DD696,34),0)</f>
        <v/>
      </c>
      <c r="AK696">
        <f>IFERROR(INDEX(PP_Grid[#Data],$DD696,35),0)</f>
        <v/>
      </c>
      <c r="AL696">
        <f>IFERROR(INDEX(PP_Grid[#Data],$DD696,36),0)</f>
        <v/>
      </c>
      <c r="AM696">
        <f>IFERROR(INDEX(PP_Grid[#Data],$DD696,37),0)</f>
        <v/>
      </c>
      <c r="AN696">
        <f>IFERROR(INDEX(PP_Grid[#Data],$DD696,38),0)</f>
        <v/>
      </c>
      <c r="AO696">
        <f>IFERROR(INDEX(PP_Grid[#Data],$DD696,39),0)</f>
        <v/>
      </c>
      <c r="AP696">
        <f>IFERROR(INDEX(PP_Grid[#Data],$DD696,40),0)</f>
        <v/>
      </c>
      <c r="AQ696">
        <f>IFERROR(INDEX(PP_Grid[#Data],$DD696,41),0)</f>
        <v/>
      </c>
      <c r="AR696">
        <f>IFERROR(INDEX(PP_Grid[#Data],$DD696,42),0)</f>
        <v/>
      </c>
      <c r="AS696">
        <f>IFERROR(INDEX(PP_Grid[#Data],$DD696,43),0)</f>
        <v/>
      </c>
      <c r="AT696">
        <f>IFERROR(INDEX(PP_Grid[#Data],$DD696,44),0)</f>
        <v/>
      </c>
      <c r="AU696">
        <f>IFERROR(INDEX(PP_Grid[#Data],$DD696,45),0)</f>
        <v/>
      </c>
      <c r="AV696">
        <f>IFERROR(INDEX(PP_Grid[#Data],$DD696,46),0)</f>
        <v/>
      </c>
      <c r="AW696">
        <f>IFERROR(INDEX(PP_Grid[#Data],$DD696,47),0)</f>
        <v/>
      </c>
      <c r="AX696">
        <f>IFERROR(INDEX(PP_Grid[#Data],$DD696,48),0)</f>
        <v/>
      </c>
      <c r="AY696">
        <f>IFERROR(INDEX(PP_Grid[#Data],$DD696,49),0)</f>
        <v/>
      </c>
      <c r="AZ696">
        <f>IFERROR(INDEX(PP_Grid[#Data],$DD696,50),0)</f>
        <v/>
      </c>
      <c r="BA696">
        <f>IFERROR(INDEX(PP_Grid[#Data],$DD696,51),0)</f>
        <v/>
      </c>
      <c r="BB696">
        <f>IFERROR(INDEX(PP_Grid[#Data],$DD696,52),0)</f>
        <v/>
      </c>
      <c r="BC696">
        <f>IFERROR(INDEX(PP_Grid[#Data],$DD696,53),0)</f>
        <v/>
      </c>
      <c r="BD696">
        <f>IFERROR(INDEX(PP_Grid[#Data],$DD696,54),0)</f>
        <v/>
      </c>
      <c r="BE696">
        <f>IFERROR(INDEX(PP_Grid[#Data],$DD696,55),0)</f>
        <v/>
      </c>
      <c r="BF696">
        <f>IFERROR(INDEX(PP_Grid[#Data],$DD696,56),0)</f>
        <v/>
      </c>
      <c r="BG696">
        <f>IFERROR(INDEX(PP_Grid[#Data],$DD696,57),0)</f>
        <v/>
      </c>
      <c r="BH696">
        <f>IFERROR(INDEX(PP_Grid[#Data],$DD696,58),0)</f>
        <v/>
      </c>
      <c r="BI696">
        <f>IFERROR(INDEX(PP_Grid[#Data],$DD696,59),0)</f>
        <v/>
      </c>
      <c r="BJ696">
        <f>IFERROR(INDEX(PP_Grid[#Data],$DD696,60),0)</f>
        <v/>
      </c>
      <c r="BK696">
        <f>IFERROR(INDEX(PP_Grid[#Data],$DD696,61),0)</f>
        <v/>
      </c>
      <c r="BL696">
        <f>IFERROR(INDEX(PP_Grid[#Data],$DD696,62),0)</f>
        <v/>
      </c>
      <c r="BM696">
        <f>IFERROR(INDEX(PP_Grid[#Data],$DD696,63),0)</f>
        <v/>
      </c>
      <c r="BN696">
        <f>IFERROR(INDEX(PP_Grid[#Data],$DD696,64),0)</f>
        <v/>
      </c>
      <c r="BO696">
        <f>IFERROR(INDEX(PP_Grid[#Data],$DD696,65),0)</f>
        <v/>
      </c>
      <c r="BP696">
        <f>IFERROR(INDEX(PP_Grid[#Data],$DD696,66),0)</f>
        <v/>
      </c>
      <c r="BQ696">
        <f>IFERROR(INDEX(PP_Grid[#Data],$DD696,67),0)</f>
        <v/>
      </c>
      <c r="BR696">
        <f>IFERROR(INDEX(PP_Grid[#Data],$DD696,68),0)</f>
        <v/>
      </c>
      <c r="BS696">
        <f>IFERROR(INDEX(PP_Grid[#Data],$DD696,69),0)</f>
        <v/>
      </c>
      <c r="BT696">
        <f>IFERROR(INDEX(PP_Grid[#Data],$DD696,70),0)</f>
        <v/>
      </c>
      <c r="BU696">
        <f>IFERROR(INDEX(PP_Grid[#Data],$DD696,71),0)</f>
        <v/>
      </c>
      <c r="BV696">
        <f>IFERROR(INDEX(PP_Grid[#Data],$DD696,72),0)</f>
        <v/>
      </c>
      <c r="BW696">
        <f>IFERROR(INDEX(PP_Grid[#Data],$DD696,73),0)</f>
        <v/>
      </c>
      <c r="BX696">
        <f>IFERROR(INDEX(PP_Grid[#Data],$DD696,74),0)</f>
        <v/>
      </c>
      <c r="BY696">
        <f>IFERROR(INDEX(PP_Grid[#Data],$DD696,75),0)</f>
        <v/>
      </c>
      <c r="BZ696">
        <f>IFERROR(INDEX(PP_Grid[#Data],$DD696,76),0)</f>
        <v/>
      </c>
      <c r="CA696">
        <f>IFERROR(INDEX(PP_Grid[#Data],$DD696,77),0)</f>
        <v/>
      </c>
      <c r="CB696">
        <f>IFERROR(INDEX(PP_Grid[#Data],$DD696,78),0)</f>
        <v/>
      </c>
      <c r="CC696">
        <f>IFERROR(INDEX(PP_Grid[#Data],$DD696,79),0)</f>
        <v/>
      </c>
      <c r="CD696">
        <f>IFERROR(INDEX(PP_Grid[#Data],$DD696,80),0)</f>
        <v/>
      </c>
      <c r="CE696">
        <f>IFERROR(INDEX(PP_Grid[#Data],$DD696,81),0)</f>
        <v/>
      </c>
      <c r="CF696">
        <f>IFERROR(INDEX(PP_Grid[#Data],$DD696,82),0)</f>
        <v/>
      </c>
      <c r="CG696">
        <f>IFERROR(INDEX(PP_Grid[#Data],$DD696,83),0)</f>
        <v/>
      </c>
      <c r="CH696">
        <f>IFERROR(INDEX(PP_Grid[#Data],$DD696,84),0)</f>
        <v/>
      </c>
      <c r="CI696">
        <f>IFERROR(INDEX(PP_Grid[#Data],$DD696,85),0)</f>
        <v/>
      </c>
      <c r="CJ696">
        <f>IFERROR(INDEX(PP_Grid[#Data],$DD696,86),0)</f>
        <v/>
      </c>
      <c r="CK696">
        <f>IFERROR(INDEX(PP_Grid[#Data],$DD696,87),0)</f>
        <v/>
      </c>
      <c r="CL696">
        <f>IFERROR(INDEX(PP_Grid[#Data],$DD696,88),0)</f>
        <v/>
      </c>
      <c r="CM696">
        <f>IFERROR(INDEX(PP_Grid[#Data],$DD696,89),0)</f>
        <v/>
      </c>
      <c r="CN696">
        <f>IFERROR(INDEX(PP_Grid[#Data],$DD696,90),0)</f>
        <v/>
      </c>
      <c r="CO696">
        <f>IFERROR(INDEX(PP_Grid[#Data],$DD696,91),0)</f>
        <v/>
      </c>
      <c r="CP696">
        <f>IFERROR(INDEX(PP_Grid[#Data],$DD696,92),0)</f>
        <v/>
      </c>
      <c r="CQ696">
        <f>IFERROR(INDEX(PP_Grid[#Data],$DD696,93),0)</f>
        <v/>
      </c>
      <c r="CR696">
        <f>IFERROR(INDEX(PP_Grid[#Data],$DD696,94),0)</f>
        <v/>
      </c>
      <c r="CS696">
        <f>IFERROR(INDEX(PP_Grid[#Data],$DD696,95),0)</f>
        <v/>
      </c>
      <c r="CT696">
        <f>IFERROR(INDEX(PP_Grid[#Data],$DD696,96),0)</f>
        <v/>
      </c>
      <c r="CU696">
        <f>IFERROR(INDEX(PP_Grid[#Data],$DD696,97),0)</f>
        <v/>
      </c>
      <c r="CV696">
        <f>IFERROR(INDEX(PP_Grid[#Data],$DD696,98),0)</f>
        <v/>
      </c>
      <c r="CW696">
        <f>IFERROR(INDEX(PP_Grid[#Data],$DD696,99),0)</f>
        <v/>
      </c>
      <c r="CX696">
        <f>IFERROR(INDEX(PP_Grid[#Data],$DD696,100),0)</f>
        <v/>
      </c>
      <c r="CY696">
        <f>IFERROR(INDEX(PP_Grid[#Data],$DD696,101),0)</f>
        <v/>
      </c>
      <c r="CZ696">
        <f>IFERROR(INDEX(PP_Grid[#Data],$DD696,102),0)</f>
        <v/>
      </c>
      <c r="DA696">
        <f>IFERROR(INDEX(PP_Grid[#Data],$DD696,103),0)</f>
        <v/>
      </c>
      <c r="DB696">
        <f>IFERROR(INDEX(PP_Grid[#Data],$DD696,104),0)</f>
        <v/>
      </c>
      <c r="DC696">
        <f>IFERROR(INDEX(PP_Grid[#Data],$DD696,105),0)</f>
        <v/>
      </c>
      <c r="DD696" s="12">
        <f>IFERROR(MATCH($B696,PP_Grid[Intermediate],0),99999)</f>
        <v/>
      </c>
    </row>
    <row r="697">
      <c r="B697" t="inlineStr">
        <is>
          <t>使用量(kg)</t>
        </is>
      </c>
      <c r="C697">
        <f>SUMIFS(M_BOM[RM_Qty_Per_Batch],M_BOM[Intermediate],$B696,M_BOM[Part Name],$A669)</f>
        <v/>
      </c>
      <c r="D697">
        <f>$C697*D696</f>
        <v/>
      </c>
      <c r="E697">
        <f>$C697*E696</f>
        <v/>
      </c>
      <c r="F697">
        <f>$C697*F696</f>
        <v/>
      </c>
      <c r="G697">
        <f>$C697*G696</f>
        <v/>
      </c>
      <c r="H697">
        <f>$C697*H696</f>
        <v/>
      </c>
      <c r="I697">
        <f>$C697*I696</f>
        <v/>
      </c>
      <c r="J697">
        <f>$C697*J696</f>
        <v/>
      </c>
      <c r="K697">
        <f>$C697*K696</f>
        <v/>
      </c>
      <c r="L697">
        <f>$C697*L696</f>
        <v/>
      </c>
      <c r="M697">
        <f>$C697*M696</f>
        <v/>
      </c>
      <c r="N697">
        <f>$C697*N696</f>
        <v/>
      </c>
      <c r="O697">
        <f>$C697*O696</f>
        <v/>
      </c>
      <c r="P697">
        <f>$C697*P696</f>
        <v/>
      </c>
      <c r="Q697">
        <f>$C697*Q696</f>
        <v/>
      </c>
      <c r="R697">
        <f>$C697*R696</f>
        <v/>
      </c>
      <c r="S697">
        <f>$C697*S696</f>
        <v/>
      </c>
      <c r="T697">
        <f>$C697*T696</f>
        <v/>
      </c>
      <c r="U697">
        <f>$C697*U696</f>
        <v/>
      </c>
      <c r="V697">
        <f>$C697*V696</f>
        <v/>
      </c>
      <c r="W697">
        <f>$C697*W696</f>
        <v/>
      </c>
      <c r="X697">
        <f>$C697*X696</f>
        <v/>
      </c>
      <c r="Y697">
        <f>$C697*Y696</f>
        <v/>
      </c>
      <c r="Z697">
        <f>$C697*Z696</f>
        <v/>
      </c>
      <c r="AA697">
        <f>$C697*AA696</f>
        <v/>
      </c>
      <c r="AB697">
        <f>$C697*AB696</f>
        <v/>
      </c>
      <c r="AC697">
        <f>$C697*AC696</f>
        <v/>
      </c>
      <c r="AD697">
        <f>$C697*AD696</f>
        <v/>
      </c>
      <c r="AE697">
        <f>$C697*AE696</f>
        <v/>
      </c>
      <c r="AF697">
        <f>$C697*AF696</f>
        <v/>
      </c>
      <c r="AG697">
        <f>$C697*AG696</f>
        <v/>
      </c>
      <c r="AH697">
        <f>$C697*AH696</f>
        <v/>
      </c>
      <c r="AI697">
        <f>$C697*AI696</f>
        <v/>
      </c>
      <c r="AJ697">
        <f>$C697*AJ696</f>
        <v/>
      </c>
      <c r="AK697">
        <f>$C697*AK696</f>
        <v/>
      </c>
      <c r="AL697">
        <f>$C697*AL696</f>
        <v/>
      </c>
      <c r="AM697">
        <f>$C697*AM696</f>
        <v/>
      </c>
      <c r="AN697">
        <f>$C697*AN696</f>
        <v/>
      </c>
      <c r="AO697">
        <f>$C697*AO696</f>
        <v/>
      </c>
      <c r="AP697">
        <f>$C697*AP696</f>
        <v/>
      </c>
      <c r="AQ697">
        <f>$C697*AQ696</f>
        <v/>
      </c>
      <c r="AR697">
        <f>$C697*AR696</f>
        <v/>
      </c>
      <c r="AS697">
        <f>$C697*AS696</f>
        <v/>
      </c>
      <c r="AT697">
        <f>$C697*AT696</f>
        <v/>
      </c>
      <c r="AU697">
        <f>$C697*AU696</f>
        <v/>
      </c>
      <c r="AV697">
        <f>$C697*AV696</f>
        <v/>
      </c>
      <c r="AW697">
        <f>$C697*AW696</f>
        <v/>
      </c>
      <c r="AX697">
        <f>$C697*AX696</f>
        <v/>
      </c>
      <c r="AY697">
        <f>$C697*AY696</f>
        <v/>
      </c>
      <c r="AZ697">
        <f>$C697*AZ696</f>
        <v/>
      </c>
      <c r="BA697">
        <f>$C697*BA696</f>
        <v/>
      </c>
      <c r="BB697">
        <f>$C697*BB696</f>
        <v/>
      </c>
      <c r="BC697">
        <f>$C697*BC696</f>
        <v/>
      </c>
      <c r="BD697">
        <f>$C697*BD696</f>
        <v/>
      </c>
      <c r="BE697">
        <f>$C697*BE696</f>
        <v/>
      </c>
      <c r="BF697">
        <f>$C697*BF696</f>
        <v/>
      </c>
      <c r="BG697">
        <f>$C697*BG696</f>
        <v/>
      </c>
      <c r="BH697">
        <f>$C697*BH696</f>
        <v/>
      </c>
      <c r="BI697">
        <f>$C697*BI696</f>
        <v/>
      </c>
      <c r="BJ697">
        <f>$C697*BJ696</f>
        <v/>
      </c>
      <c r="BK697">
        <f>$C697*BK696</f>
        <v/>
      </c>
      <c r="BL697">
        <f>$C697*BL696</f>
        <v/>
      </c>
      <c r="BM697">
        <f>$C697*BM696</f>
        <v/>
      </c>
      <c r="BN697">
        <f>$C697*BN696</f>
        <v/>
      </c>
      <c r="BO697">
        <f>$C697*BO696</f>
        <v/>
      </c>
      <c r="BP697">
        <f>$C697*BP696</f>
        <v/>
      </c>
      <c r="BQ697">
        <f>$C697*BQ696</f>
        <v/>
      </c>
      <c r="BR697">
        <f>$C697*BR696</f>
        <v/>
      </c>
      <c r="BS697">
        <f>$C697*BS696</f>
        <v/>
      </c>
      <c r="BT697">
        <f>$C697*BT696</f>
        <v/>
      </c>
      <c r="BU697">
        <f>$C697*BU696</f>
        <v/>
      </c>
      <c r="BV697">
        <f>$C697*BV696</f>
        <v/>
      </c>
      <c r="BW697">
        <f>$C697*BW696</f>
        <v/>
      </c>
      <c r="BX697">
        <f>$C697*BX696</f>
        <v/>
      </c>
      <c r="BY697">
        <f>$C697*BY696</f>
        <v/>
      </c>
      <c r="BZ697">
        <f>$C697*BZ696</f>
        <v/>
      </c>
      <c r="CA697">
        <f>$C697*CA696</f>
        <v/>
      </c>
      <c r="CB697">
        <f>$C697*CB696</f>
        <v/>
      </c>
      <c r="CC697">
        <f>$C697*CC696</f>
        <v/>
      </c>
      <c r="CD697">
        <f>$C697*CD696</f>
        <v/>
      </c>
      <c r="CE697">
        <f>$C697*CE696</f>
        <v/>
      </c>
      <c r="CF697">
        <f>$C697*CF696</f>
        <v/>
      </c>
      <c r="CG697">
        <f>$C697*CG696</f>
        <v/>
      </c>
      <c r="CH697">
        <f>$C697*CH696</f>
        <v/>
      </c>
      <c r="CI697">
        <f>$C697*CI696</f>
        <v/>
      </c>
      <c r="CJ697">
        <f>$C697*CJ696</f>
        <v/>
      </c>
      <c r="CK697">
        <f>$C697*CK696</f>
        <v/>
      </c>
      <c r="CL697">
        <f>$C697*CL696</f>
        <v/>
      </c>
      <c r="CM697">
        <f>$C697*CM696</f>
        <v/>
      </c>
      <c r="CN697">
        <f>$C697*CN696</f>
        <v/>
      </c>
      <c r="CO697">
        <f>$C697*CO696</f>
        <v/>
      </c>
      <c r="CP697">
        <f>$C697*CP696</f>
        <v/>
      </c>
      <c r="CQ697">
        <f>$C697*CQ696</f>
        <v/>
      </c>
      <c r="CR697">
        <f>$C697*CR696</f>
        <v/>
      </c>
      <c r="CS697">
        <f>$C697*CS696</f>
        <v/>
      </c>
      <c r="CT697">
        <f>$C697*CT696</f>
        <v/>
      </c>
      <c r="CU697">
        <f>$C697*CU696</f>
        <v/>
      </c>
      <c r="CV697">
        <f>$C697*CV696</f>
        <v/>
      </c>
      <c r="CW697">
        <f>$C697*CW696</f>
        <v/>
      </c>
      <c r="CX697">
        <f>$C697*CX696</f>
        <v/>
      </c>
      <c r="CY697">
        <f>$C697*CY696</f>
        <v/>
      </c>
      <c r="CZ697">
        <f>$C697*CZ696</f>
        <v/>
      </c>
      <c r="DA697">
        <f>$C697*DA696</f>
        <v/>
      </c>
      <c r="DB697">
        <f>$C697*DB696</f>
        <v/>
      </c>
      <c r="DC697">
        <f>$C697*DC696</f>
        <v/>
      </c>
    </row>
    <row r="698">
      <c r="B698" t="inlineStr">
        <is>
          <t>TSP-1499</t>
        </is>
      </c>
      <c r="C698" t="inlineStr">
        <is>
          <t>No. of batches</t>
        </is>
      </c>
      <c r="D698">
        <f>IFERROR(INDEX(PP_Grid[#Data],$DD698,2),0)</f>
        <v/>
      </c>
      <c r="E698">
        <f>IFERROR(INDEX(PP_Grid[#Data],$DD698,3),0)</f>
        <v/>
      </c>
      <c r="F698">
        <f>IFERROR(INDEX(PP_Grid[#Data],$DD698,4),0)</f>
        <v/>
      </c>
      <c r="G698">
        <f>IFERROR(INDEX(PP_Grid[#Data],$DD698,5),0)</f>
        <v/>
      </c>
      <c r="H698">
        <f>IFERROR(INDEX(PP_Grid[#Data],$DD698,6),0)</f>
        <v/>
      </c>
      <c r="I698">
        <f>IFERROR(INDEX(PP_Grid[#Data],$DD698,7),0)</f>
        <v/>
      </c>
      <c r="J698">
        <f>IFERROR(INDEX(PP_Grid[#Data],$DD698,8),0)</f>
        <v/>
      </c>
      <c r="K698">
        <f>IFERROR(INDEX(PP_Grid[#Data],$DD698,9),0)</f>
        <v/>
      </c>
      <c r="L698">
        <f>IFERROR(INDEX(PP_Grid[#Data],$DD698,10),0)</f>
        <v/>
      </c>
      <c r="M698">
        <f>IFERROR(INDEX(PP_Grid[#Data],$DD698,11),0)</f>
        <v/>
      </c>
      <c r="N698">
        <f>IFERROR(INDEX(PP_Grid[#Data],$DD698,12),0)</f>
        <v/>
      </c>
      <c r="O698">
        <f>IFERROR(INDEX(PP_Grid[#Data],$DD698,13),0)</f>
        <v/>
      </c>
      <c r="P698">
        <f>IFERROR(INDEX(PP_Grid[#Data],$DD698,14),0)</f>
        <v/>
      </c>
      <c r="Q698">
        <f>IFERROR(INDEX(PP_Grid[#Data],$DD698,15),0)</f>
        <v/>
      </c>
      <c r="R698">
        <f>IFERROR(INDEX(PP_Grid[#Data],$DD698,16),0)</f>
        <v/>
      </c>
      <c r="S698">
        <f>IFERROR(INDEX(PP_Grid[#Data],$DD698,17),0)</f>
        <v/>
      </c>
      <c r="T698">
        <f>IFERROR(INDEX(PP_Grid[#Data],$DD698,18),0)</f>
        <v/>
      </c>
      <c r="U698">
        <f>IFERROR(INDEX(PP_Grid[#Data],$DD698,19),0)</f>
        <v/>
      </c>
      <c r="V698">
        <f>IFERROR(INDEX(PP_Grid[#Data],$DD698,20),0)</f>
        <v/>
      </c>
      <c r="W698">
        <f>IFERROR(INDEX(PP_Grid[#Data],$DD698,21),0)</f>
        <v/>
      </c>
      <c r="X698">
        <f>IFERROR(INDEX(PP_Grid[#Data],$DD698,22),0)</f>
        <v/>
      </c>
      <c r="Y698">
        <f>IFERROR(INDEX(PP_Grid[#Data],$DD698,23),0)</f>
        <v/>
      </c>
      <c r="Z698">
        <f>IFERROR(INDEX(PP_Grid[#Data],$DD698,24),0)</f>
        <v/>
      </c>
      <c r="AA698">
        <f>IFERROR(INDEX(PP_Grid[#Data],$DD698,25),0)</f>
        <v/>
      </c>
      <c r="AB698">
        <f>IFERROR(INDEX(PP_Grid[#Data],$DD698,26),0)</f>
        <v/>
      </c>
      <c r="AC698">
        <f>IFERROR(INDEX(PP_Grid[#Data],$DD698,27),0)</f>
        <v/>
      </c>
      <c r="AD698">
        <f>IFERROR(INDEX(PP_Grid[#Data],$DD698,28),0)</f>
        <v/>
      </c>
      <c r="AE698">
        <f>IFERROR(INDEX(PP_Grid[#Data],$DD698,29),0)</f>
        <v/>
      </c>
      <c r="AF698">
        <f>IFERROR(INDEX(PP_Grid[#Data],$DD698,30),0)</f>
        <v/>
      </c>
      <c r="AG698">
        <f>IFERROR(INDEX(PP_Grid[#Data],$DD698,31),0)</f>
        <v/>
      </c>
      <c r="AH698">
        <f>IFERROR(INDEX(PP_Grid[#Data],$DD698,32),0)</f>
        <v/>
      </c>
      <c r="AI698">
        <f>IFERROR(INDEX(PP_Grid[#Data],$DD698,33),0)</f>
        <v/>
      </c>
      <c r="AJ698">
        <f>IFERROR(INDEX(PP_Grid[#Data],$DD698,34),0)</f>
        <v/>
      </c>
      <c r="AK698">
        <f>IFERROR(INDEX(PP_Grid[#Data],$DD698,35),0)</f>
        <v/>
      </c>
      <c r="AL698">
        <f>IFERROR(INDEX(PP_Grid[#Data],$DD698,36),0)</f>
        <v/>
      </c>
      <c r="AM698">
        <f>IFERROR(INDEX(PP_Grid[#Data],$DD698,37),0)</f>
        <v/>
      </c>
      <c r="AN698">
        <f>IFERROR(INDEX(PP_Grid[#Data],$DD698,38),0)</f>
        <v/>
      </c>
      <c r="AO698">
        <f>IFERROR(INDEX(PP_Grid[#Data],$DD698,39),0)</f>
        <v/>
      </c>
      <c r="AP698">
        <f>IFERROR(INDEX(PP_Grid[#Data],$DD698,40),0)</f>
        <v/>
      </c>
      <c r="AQ698">
        <f>IFERROR(INDEX(PP_Grid[#Data],$DD698,41),0)</f>
        <v/>
      </c>
      <c r="AR698">
        <f>IFERROR(INDEX(PP_Grid[#Data],$DD698,42),0)</f>
        <v/>
      </c>
      <c r="AS698">
        <f>IFERROR(INDEX(PP_Grid[#Data],$DD698,43),0)</f>
        <v/>
      </c>
      <c r="AT698">
        <f>IFERROR(INDEX(PP_Grid[#Data],$DD698,44),0)</f>
        <v/>
      </c>
      <c r="AU698">
        <f>IFERROR(INDEX(PP_Grid[#Data],$DD698,45),0)</f>
        <v/>
      </c>
      <c r="AV698">
        <f>IFERROR(INDEX(PP_Grid[#Data],$DD698,46),0)</f>
        <v/>
      </c>
      <c r="AW698">
        <f>IFERROR(INDEX(PP_Grid[#Data],$DD698,47),0)</f>
        <v/>
      </c>
      <c r="AX698">
        <f>IFERROR(INDEX(PP_Grid[#Data],$DD698,48),0)</f>
        <v/>
      </c>
      <c r="AY698">
        <f>IFERROR(INDEX(PP_Grid[#Data],$DD698,49),0)</f>
        <v/>
      </c>
      <c r="AZ698">
        <f>IFERROR(INDEX(PP_Grid[#Data],$DD698,50),0)</f>
        <v/>
      </c>
      <c r="BA698">
        <f>IFERROR(INDEX(PP_Grid[#Data],$DD698,51),0)</f>
        <v/>
      </c>
      <c r="BB698">
        <f>IFERROR(INDEX(PP_Grid[#Data],$DD698,52),0)</f>
        <v/>
      </c>
      <c r="BC698">
        <f>IFERROR(INDEX(PP_Grid[#Data],$DD698,53),0)</f>
        <v/>
      </c>
      <c r="BD698">
        <f>IFERROR(INDEX(PP_Grid[#Data],$DD698,54),0)</f>
        <v/>
      </c>
      <c r="BE698">
        <f>IFERROR(INDEX(PP_Grid[#Data],$DD698,55),0)</f>
        <v/>
      </c>
      <c r="BF698">
        <f>IFERROR(INDEX(PP_Grid[#Data],$DD698,56),0)</f>
        <v/>
      </c>
      <c r="BG698">
        <f>IFERROR(INDEX(PP_Grid[#Data],$DD698,57),0)</f>
        <v/>
      </c>
      <c r="BH698">
        <f>IFERROR(INDEX(PP_Grid[#Data],$DD698,58),0)</f>
        <v/>
      </c>
      <c r="BI698">
        <f>IFERROR(INDEX(PP_Grid[#Data],$DD698,59),0)</f>
        <v/>
      </c>
      <c r="BJ698">
        <f>IFERROR(INDEX(PP_Grid[#Data],$DD698,60),0)</f>
        <v/>
      </c>
      <c r="BK698">
        <f>IFERROR(INDEX(PP_Grid[#Data],$DD698,61),0)</f>
        <v/>
      </c>
      <c r="BL698">
        <f>IFERROR(INDEX(PP_Grid[#Data],$DD698,62),0)</f>
        <v/>
      </c>
      <c r="BM698">
        <f>IFERROR(INDEX(PP_Grid[#Data],$DD698,63),0)</f>
        <v/>
      </c>
      <c r="BN698">
        <f>IFERROR(INDEX(PP_Grid[#Data],$DD698,64),0)</f>
        <v/>
      </c>
      <c r="BO698">
        <f>IFERROR(INDEX(PP_Grid[#Data],$DD698,65),0)</f>
        <v/>
      </c>
      <c r="BP698">
        <f>IFERROR(INDEX(PP_Grid[#Data],$DD698,66),0)</f>
        <v/>
      </c>
      <c r="BQ698">
        <f>IFERROR(INDEX(PP_Grid[#Data],$DD698,67),0)</f>
        <v/>
      </c>
      <c r="BR698">
        <f>IFERROR(INDEX(PP_Grid[#Data],$DD698,68),0)</f>
        <v/>
      </c>
      <c r="BS698">
        <f>IFERROR(INDEX(PP_Grid[#Data],$DD698,69),0)</f>
        <v/>
      </c>
      <c r="BT698">
        <f>IFERROR(INDEX(PP_Grid[#Data],$DD698,70),0)</f>
        <v/>
      </c>
      <c r="BU698">
        <f>IFERROR(INDEX(PP_Grid[#Data],$DD698,71),0)</f>
        <v/>
      </c>
      <c r="BV698">
        <f>IFERROR(INDEX(PP_Grid[#Data],$DD698,72),0)</f>
        <v/>
      </c>
      <c r="BW698">
        <f>IFERROR(INDEX(PP_Grid[#Data],$DD698,73),0)</f>
        <v/>
      </c>
      <c r="BX698">
        <f>IFERROR(INDEX(PP_Grid[#Data],$DD698,74),0)</f>
        <v/>
      </c>
      <c r="BY698">
        <f>IFERROR(INDEX(PP_Grid[#Data],$DD698,75),0)</f>
        <v/>
      </c>
      <c r="BZ698">
        <f>IFERROR(INDEX(PP_Grid[#Data],$DD698,76),0)</f>
        <v/>
      </c>
      <c r="CA698">
        <f>IFERROR(INDEX(PP_Grid[#Data],$DD698,77),0)</f>
        <v/>
      </c>
      <c r="CB698">
        <f>IFERROR(INDEX(PP_Grid[#Data],$DD698,78),0)</f>
        <v/>
      </c>
      <c r="CC698">
        <f>IFERROR(INDEX(PP_Grid[#Data],$DD698,79),0)</f>
        <v/>
      </c>
      <c r="CD698">
        <f>IFERROR(INDEX(PP_Grid[#Data],$DD698,80),0)</f>
        <v/>
      </c>
      <c r="CE698">
        <f>IFERROR(INDEX(PP_Grid[#Data],$DD698,81),0)</f>
        <v/>
      </c>
      <c r="CF698">
        <f>IFERROR(INDEX(PP_Grid[#Data],$DD698,82),0)</f>
        <v/>
      </c>
      <c r="CG698">
        <f>IFERROR(INDEX(PP_Grid[#Data],$DD698,83),0)</f>
        <v/>
      </c>
      <c r="CH698">
        <f>IFERROR(INDEX(PP_Grid[#Data],$DD698,84),0)</f>
        <v/>
      </c>
      <c r="CI698">
        <f>IFERROR(INDEX(PP_Grid[#Data],$DD698,85),0)</f>
        <v/>
      </c>
      <c r="CJ698">
        <f>IFERROR(INDEX(PP_Grid[#Data],$DD698,86),0)</f>
        <v/>
      </c>
      <c r="CK698">
        <f>IFERROR(INDEX(PP_Grid[#Data],$DD698,87),0)</f>
        <v/>
      </c>
      <c r="CL698">
        <f>IFERROR(INDEX(PP_Grid[#Data],$DD698,88),0)</f>
        <v/>
      </c>
      <c r="CM698">
        <f>IFERROR(INDEX(PP_Grid[#Data],$DD698,89),0)</f>
        <v/>
      </c>
      <c r="CN698">
        <f>IFERROR(INDEX(PP_Grid[#Data],$DD698,90),0)</f>
        <v/>
      </c>
      <c r="CO698">
        <f>IFERROR(INDEX(PP_Grid[#Data],$DD698,91),0)</f>
        <v/>
      </c>
      <c r="CP698">
        <f>IFERROR(INDEX(PP_Grid[#Data],$DD698,92),0)</f>
        <v/>
      </c>
      <c r="CQ698">
        <f>IFERROR(INDEX(PP_Grid[#Data],$DD698,93),0)</f>
        <v/>
      </c>
      <c r="CR698">
        <f>IFERROR(INDEX(PP_Grid[#Data],$DD698,94),0)</f>
        <v/>
      </c>
      <c r="CS698">
        <f>IFERROR(INDEX(PP_Grid[#Data],$DD698,95),0)</f>
        <v/>
      </c>
      <c r="CT698">
        <f>IFERROR(INDEX(PP_Grid[#Data],$DD698,96),0)</f>
        <v/>
      </c>
      <c r="CU698">
        <f>IFERROR(INDEX(PP_Grid[#Data],$DD698,97),0)</f>
        <v/>
      </c>
      <c r="CV698">
        <f>IFERROR(INDEX(PP_Grid[#Data],$DD698,98),0)</f>
        <v/>
      </c>
      <c r="CW698">
        <f>IFERROR(INDEX(PP_Grid[#Data],$DD698,99),0)</f>
        <v/>
      </c>
      <c r="CX698">
        <f>IFERROR(INDEX(PP_Grid[#Data],$DD698,100),0)</f>
        <v/>
      </c>
      <c r="CY698">
        <f>IFERROR(INDEX(PP_Grid[#Data],$DD698,101),0)</f>
        <v/>
      </c>
      <c r="CZ698">
        <f>IFERROR(INDEX(PP_Grid[#Data],$DD698,102),0)</f>
        <v/>
      </c>
      <c r="DA698">
        <f>IFERROR(INDEX(PP_Grid[#Data],$DD698,103),0)</f>
        <v/>
      </c>
      <c r="DB698">
        <f>IFERROR(INDEX(PP_Grid[#Data],$DD698,104),0)</f>
        <v/>
      </c>
      <c r="DC698">
        <f>IFERROR(INDEX(PP_Grid[#Data],$DD698,105),0)</f>
        <v/>
      </c>
      <c r="DD698" s="12">
        <f>IFERROR(MATCH($B698,PP_Grid[Intermediate],0),99999)</f>
        <v/>
      </c>
    </row>
    <row r="699">
      <c r="B699" t="inlineStr">
        <is>
          <t>使用量(kg)</t>
        </is>
      </c>
      <c r="C699">
        <f>SUMIFS(M_BOM[RM_Qty_Per_Batch],M_BOM[Intermediate],$B698,M_BOM[Part Name],$A669)</f>
        <v/>
      </c>
      <c r="D699">
        <f>$C699*D698</f>
        <v/>
      </c>
      <c r="E699">
        <f>$C699*E698</f>
        <v/>
      </c>
      <c r="F699">
        <f>$C699*F698</f>
        <v/>
      </c>
      <c r="G699">
        <f>$C699*G698</f>
        <v/>
      </c>
      <c r="H699">
        <f>$C699*H698</f>
        <v/>
      </c>
      <c r="I699">
        <f>$C699*I698</f>
        <v/>
      </c>
      <c r="J699">
        <f>$C699*J698</f>
        <v/>
      </c>
      <c r="K699">
        <f>$C699*K698</f>
        <v/>
      </c>
      <c r="L699">
        <f>$C699*L698</f>
        <v/>
      </c>
      <c r="M699">
        <f>$C699*M698</f>
        <v/>
      </c>
      <c r="N699">
        <f>$C699*N698</f>
        <v/>
      </c>
      <c r="O699">
        <f>$C699*O698</f>
        <v/>
      </c>
      <c r="P699">
        <f>$C699*P698</f>
        <v/>
      </c>
      <c r="Q699">
        <f>$C699*Q698</f>
        <v/>
      </c>
      <c r="R699">
        <f>$C699*R698</f>
        <v/>
      </c>
      <c r="S699">
        <f>$C699*S698</f>
        <v/>
      </c>
      <c r="T699">
        <f>$C699*T698</f>
        <v/>
      </c>
      <c r="U699">
        <f>$C699*U698</f>
        <v/>
      </c>
      <c r="V699">
        <f>$C699*V698</f>
        <v/>
      </c>
      <c r="W699">
        <f>$C699*W698</f>
        <v/>
      </c>
      <c r="X699">
        <f>$C699*X698</f>
        <v/>
      </c>
      <c r="Y699">
        <f>$C699*Y698</f>
        <v/>
      </c>
      <c r="Z699">
        <f>$C699*Z698</f>
        <v/>
      </c>
      <c r="AA699">
        <f>$C699*AA698</f>
        <v/>
      </c>
      <c r="AB699">
        <f>$C699*AB698</f>
        <v/>
      </c>
      <c r="AC699">
        <f>$C699*AC698</f>
        <v/>
      </c>
      <c r="AD699">
        <f>$C699*AD698</f>
        <v/>
      </c>
      <c r="AE699">
        <f>$C699*AE698</f>
        <v/>
      </c>
      <c r="AF699">
        <f>$C699*AF698</f>
        <v/>
      </c>
      <c r="AG699">
        <f>$C699*AG698</f>
        <v/>
      </c>
      <c r="AH699">
        <f>$C699*AH698</f>
        <v/>
      </c>
      <c r="AI699">
        <f>$C699*AI698</f>
        <v/>
      </c>
      <c r="AJ699">
        <f>$C699*AJ698</f>
        <v/>
      </c>
      <c r="AK699">
        <f>$C699*AK698</f>
        <v/>
      </c>
      <c r="AL699">
        <f>$C699*AL698</f>
        <v/>
      </c>
      <c r="AM699">
        <f>$C699*AM698</f>
        <v/>
      </c>
      <c r="AN699">
        <f>$C699*AN698</f>
        <v/>
      </c>
      <c r="AO699">
        <f>$C699*AO698</f>
        <v/>
      </c>
      <c r="AP699">
        <f>$C699*AP698</f>
        <v/>
      </c>
      <c r="AQ699">
        <f>$C699*AQ698</f>
        <v/>
      </c>
      <c r="AR699">
        <f>$C699*AR698</f>
        <v/>
      </c>
      <c r="AS699">
        <f>$C699*AS698</f>
        <v/>
      </c>
      <c r="AT699">
        <f>$C699*AT698</f>
        <v/>
      </c>
      <c r="AU699">
        <f>$C699*AU698</f>
        <v/>
      </c>
      <c r="AV699">
        <f>$C699*AV698</f>
        <v/>
      </c>
      <c r="AW699">
        <f>$C699*AW698</f>
        <v/>
      </c>
      <c r="AX699">
        <f>$C699*AX698</f>
        <v/>
      </c>
      <c r="AY699">
        <f>$C699*AY698</f>
        <v/>
      </c>
      <c r="AZ699">
        <f>$C699*AZ698</f>
        <v/>
      </c>
      <c r="BA699">
        <f>$C699*BA698</f>
        <v/>
      </c>
      <c r="BB699">
        <f>$C699*BB698</f>
        <v/>
      </c>
      <c r="BC699">
        <f>$C699*BC698</f>
        <v/>
      </c>
      <c r="BD699">
        <f>$C699*BD698</f>
        <v/>
      </c>
      <c r="BE699">
        <f>$C699*BE698</f>
        <v/>
      </c>
      <c r="BF699">
        <f>$C699*BF698</f>
        <v/>
      </c>
      <c r="BG699">
        <f>$C699*BG698</f>
        <v/>
      </c>
      <c r="BH699">
        <f>$C699*BH698</f>
        <v/>
      </c>
      <c r="BI699">
        <f>$C699*BI698</f>
        <v/>
      </c>
      <c r="BJ699">
        <f>$C699*BJ698</f>
        <v/>
      </c>
      <c r="BK699">
        <f>$C699*BK698</f>
        <v/>
      </c>
      <c r="BL699">
        <f>$C699*BL698</f>
        <v/>
      </c>
      <c r="BM699">
        <f>$C699*BM698</f>
        <v/>
      </c>
      <c r="BN699">
        <f>$C699*BN698</f>
        <v/>
      </c>
      <c r="BO699">
        <f>$C699*BO698</f>
        <v/>
      </c>
      <c r="BP699">
        <f>$C699*BP698</f>
        <v/>
      </c>
      <c r="BQ699">
        <f>$C699*BQ698</f>
        <v/>
      </c>
      <c r="BR699">
        <f>$C699*BR698</f>
        <v/>
      </c>
      <c r="BS699">
        <f>$C699*BS698</f>
        <v/>
      </c>
      <c r="BT699">
        <f>$C699*BT698</f>
        <v/>
      </c>
      <c r="BU699">
        <f>$C699*BU698</f>
        <v/>
      </c>
      <c r="BV699">
        <f>$C699*BV698</f>
        <v/>
      </c>
      <c r="BW699">
        <f>$C699*BW698</f>
        <v/>
      </c>
      <c r="BX699">
        <f>$C699*BX698</f>
        <v/>
      </c>
      <c r="BY699">
        <f>$C699*BY698</f>
        <v/>
      </c>
      <c r="BZ699">
        <f>$C699*BZ698</f>
        <v/>
      </c>
      <c r="CA699">
        <f>$C699*CA698</f>
        <v/>
      </c>
      <c r="CB699">
        <f>$C699*CB698</f>
        <v/>
      </c>
      <c r="CC699">
        <f>$C699*CC698</f>
        <v/>
      </c>
      <c r="CD699">
        <f>$C699*CD698</f>
        <v/>
      </c>
      <c r="CE699">
        <f>$C699*CE698</f>
        <v/>
      </c>
      <c r="CF699">
        <f>$C699*CF698</f>
        <v/>
      </c>
      <c r="CG699">
        <f>$C699*CG698</f>
        <v/>
      </c>
      <c r="CH699">
        <f>$C699*CH698</f>
        <v/>
      </c>
      <c r="CI699">
        <f>$C699*CI698</f>
        <v/>
      </c>
      <c r="CJ699">
        <f>$C699*CJ698</f>
        <v/>
      </c>
      <c r="CK699">
        <f>$C699*CK698</f>
        <v/>
      </c>
      <c r="CL699">
        <f>$C699*CL698</f>
        <v/>
      </c>
      <c r="CM699">
        <f>$C699*CM698</f>
        <v/>
      </c>
      <c r="CN699">
        <f>$C699*CN698</f>
        <v/>
      </c>
      <c r="CO699">
        <f>$C699*CO698</f>
        <v/>
      </c>
      <c r="CP699">
        <f>$C699*CP698</f>
        <v/>
      </c>
      <c r="CQ699">
        <f>$C699*CQ698</f>
        <v/>
      </c>
      <c r="CR699">
        <f>$C699*CR698</f>
        <v/>
      </c>
      <c r="CS699">
        <f>$C699*CS698</f>
        <v/>
      </c>
      <c r="CT699">
        <f>$C699*CT698</f>
        <v/>
      </c>
      <c r="CU699">
        <f>$C699*CU698</f>
        <v/>
      </c>
      <c r="CV699">
        <f>$C699*CV698</f>
        <v/>
      </c>
      <c r="CW699">
        <f>$C699*CW698</f>
        <v/>
      </c>
      <c r="CX699">
        <f>$C699*CX698</f>
        <v/>
      </c>
      <c r="CY699">
        <f>$C699*CY698</f>
        <v/>
      </c>
      <c r="CZ699">
        <f>$C699*CZ698</f>
        <v/>
      </c>
      <c r="DA699">
        <f>$C699*DA698</f>
        <v/>
      </c>
      <c r="DB699">
        <f>$C699*DB698</f>
        <v/>
      </c>
      <c r="DC699">
        <f>$C699*DC698</f>
        <v/>
      </c>
    </row>
    <row r="700">
      <c r="B700" t="inlineStr">
        <is>
          <t>TSP-1555</t>
        </is>
      </c>
      <c r="C700" t="inlineStr">
        <is>
          <t>No. of batches</t>
        </is>
      </c>
      <c r="D700">
        <f>IFERROR(INDEX(PP_Grid[#Data],$DD700,2),0)</f>
        <v/>
      </c>
      <c r="E700">
        <f>IFERROR(INDEX(PP_Grid[#Data],$DD700,3),0)</f>
        <v/>
      </c>
      <c r="F700">
        <f>IFERROR(INDEX(PP_Grid[#Data],$DD700,4),0)</f>
        <v/>
      </c>
      <c r="G700">
        <f>IFERROR(INDEX(PP_Grid[#Data],$DD700,5),0)</f>
        <v/>
      </c>
      <c r="H700">
        <f>IFERROR(INDEX(PP_Grid[#Data],$DD700,6),0)</f>
        <v/>
      </c>
      <c r="I700">
        <f>IFERROR(INDEX(PP_Grid[#Data],$DD700,7),0)</f>
        <v/>
      </c>
      <c r="J700">
        <f>IFERROR(INDEX(PP_Grid[#Data],$DD700,8),0)</f>
        <v/>
      </c>
      <c r="K700">
        <f>IFERROR(INDEX(PP_Grid[#Data],$DD700,9),0)</f>
        <v/>
      </c>
      <c r="L700">
        <f>IFERROR(INDEX(PP_Grid[#Data],$DD700,10),0)</f>
        <v/>
      </c>
      <c r="M700">
        <f>IFERROR(INDEX(PP_Grid[#Data],$DD700,11),0)</f>
        <v/>
      </c>
      <c r="N700">
        <f>IFERROR(INDEX(PP_Grid[#Data],$DD700,12),0)</f>
        <v/>
      </c>
      <c r="O700">
        <f>IFERROR(INDEX(PP_Grid[#Data],$DD700,13),0)</f>
        <v/>
      </c>
      <c r="P700">
        <f>IFERROR(INDEX(PP_Grid[#Data],$DD700,14),0)</f>
        <v/>
      </c>
      <c r="Q700">
        <f>IFERROR(INDEX(PP_Grid[#Data],$DD700,15),0)</f>
        <v/>
      </c>
      <c r="R700">
        <f>IFERROR(INDEX(PP_Grid[#Data],$DD700,16),0)</f>
        <v/>
      </c>
      <c r="S700">
        <f>IFERROR(INDEX(PP_Grid[#Data],$DD700,17),0)</f>
        <v/>
      </c>
      <c r="T700">
        <f>IFERROR(INDEX(PP_Grid[#Data],$DD700,18),0)</f>
        <v/>
      </c>
      <c r="U700">
        <f>IFERROR(INDEX(PP_Grid[#Data],$DD700,19),0)</f>
        <v/>
      </c>
      <c r="V700">
        <f>IFERROR(INDEX(PP_Grid[#Data],$DD700,20),0)</f>
        <v/>
      </c>
      <c r="W700">
        <f>IFERROR(INDEX(PP_Grid[#Data],$DD700,21),0)</f>
        <v/>
      </c>
      <c r="X700">
        <f>IFERROR(INDEX(PP_Grid[#Data],$DD700,22),0)</f>
        <v/>
      </c>
      <c r="Y700">
        <f>IFERROR(INDEX(PP_Grid[#Data],$DD700,23),0)</f>
        <v/>
      </c>
      <c r="Z700">
        <f>IFERROR(INDEX(PP_Grid[#Data],$DD700,24),0)</f>
        <v/>
      </c>
      <c r="AA700">
        <f>IFERROR(INDEX(PP_Grid[#Data],$DD700,25),0)</f>
        <v/>
      </c>
      <c r="AB700">
        <f>IFERROR(INDEX(PP_Grid[#Data],$DD700,26),0)</f>
        <v/>
      </c>
      <c r="AC700">
        <f>IFERROR(INDEX(PP_Grid[#Data],$DD700,27),0)</f>
        <v/>
      </c>
      <c r="AD700">
        <f>IFERROR(INDEX(PP_Grid[#Data],$DD700,28),0)</f>
        <v/>
      </c>
      <c r="AE700">
        <f>IFERROR(INDEX(PP_Grid[#Data],$DD700,29),0)</f>
        <v/>
      </c>
      <c r="AF700">
        <f>IFERROR(INDEX(PP_Grid[#Data],$DD700,30),0)</f>
        <v/>
      </c>
      <c r="AG700">
        <f>IFERROR(INDEX(PP_Grid[#Data],$DD700,31),0)</f>
        <v/>
      </c>
      <c r="AH700">
        <f>IFERROR(INDEX(PP_Grid[#Data],$DD700,32),0)</f>
        <v/>
      </c>
      <c r="AI700">
        <f>IFERROR(INDEX(PP_Grid[#Data],$DD700,33),0)</f>
        <v/>
      </c>
      <c r="AJ700">
        <f>IFERROR(INDEX(PP_Grid[#Data],$DD700,34),0)</f>
        <v/>
      </c>
      <c r="AK700">
        <f>IFERROR(INDEX(PP_Grid[#Data],$DD700,35),0)</f>
        <v/>
      </c>
      <c r="AL700">
        <f>IFERROR(INDEX(PP_Grid[#Data],$DD700,36),0)</f>
        <v/>
      </c>
      <c r="AM700">
        <f>IFERROR(INDEX(PP_Grid[#Data],$DD700,37),0)</f>
        <v/>
      </c>
      <c r="AN700">
        <f>IFERROR(INDEX(PP_Grid[#Data],$DD700,38),0)</f>
        <v/>
      </c>
      <c r="AO700">
        <f>IFERROR(INDEX(PP_Grid[#Data],$DD700,39),0)</f>
        <v/>
      </c>
      <c r="AP700">
        <f>IFERROR(INDEX(PP_Grid[#Data],$DD700,40),0)</f>
        <v/>
      </c>
      <c r="AQ700">
        <f>IFERROR(INDEX(PP_Grid[#Data],$DD700,41),0)</f>
        <v/>
      </c>
      <c r="AR700">
        <f>IFERROR(INDEX(PP_Grid[#Data],$DD700,42),0)</f>
        <v/>
      </c>
      <c r="AS700">
        <f>IFERROR(INDEX(PP_Grid[#Data],$DD700,43),0)</f>
        <v/>
      </c>
      <c r="AT700">
        <f>IFERROR(INDEX(PP_Grid[#Data],$DD700,44),0)</f>
        <v/>
      </c>
      <c r="AU700">
        <f>IFERROR(INDEX(PP_Grid[#Data],$DD700,45),0)</f>
        <v/>
      </c>
      <c r="AV700">
        <f>IFERROR(INDEX(PP_Grid[#Data],$DD700,46),0)</f>
        <v/>
      </c>
      <c r="AW700">
        <f>IFERROR(INDEX(PP_Grid[#Data],$DD700,47),0)</f>
        <v/>
      </c>
      <c r="AX700">
        <f>IFERROR(INDEX(PP_Grid[#Data],$DD700,48),0)</f>
        <v/>
      </c>
      <c r="AY700">
        <f>IFERROR(INDEX(PP_Grid[#Data],$DD700,49),0)</f>
        <v/>
      </c>
      <c r="AZ700">
        <f>IFERROR(INDEX(PP_Grid[#Data],$DD700,50),0)</f>
        <v/>
      </c>
      <c r="BA700">
        <f>IFERROR(INDEX(PP_Grid[#Data],$DD700,51),0)</f>
        <v/>
      </c>
      <c r="BB700">
        <f>IFERROR(INDEX(PP_Grid[#Data],$DD700,52),0)</f>
        <v/>
      </c>
      <c r="BC700">
        <f>IFERROR(INDEX(PP_Grid[#Data],$DD700,53),0)</f>
        <v/>
      </c>
      <c r="BD700">
        <f>IFERROR(INDEX(PP_Grid[#Data],$DD700,54),0)</f>
        <v/>
      </c>
      <c r="BE700">
        <f>IFERROR(INDEX(PP_Grid[#Data],$DD700,55),0)</f>
        <v/>
      </c>
      <c r="BF700">
        <f>IFERROR(INDEX(PP_Grid[#Data],$DD700,56),0)</f>
        <v/>
      </c>
      <c r="BG700">
        <f>IFERROR(INDEX(PP_Grid[#Data],$DD700,57),0)</f>
        <v/>
      </c>
      <c r="BH700">
        <f>IFERROR(INDEX(PP_Grid[#Data],$DD700,58),0)</f>
        <v/>
      </c>
      <c r="BI700">
        <f>IFERROR(INDEX(PP_Grid[#Data],$DD700,59),0)</f>
        <v/>
      </c>
      <c r="BJ700">
        <f>IFERROR(INDEX(PP_Grid[#Data],$DD700,60),0)</f>
        <v/>
      </c>
      <c r="BK700">
        <f>IFERROR(INDEX(PP_Grid[#Data],$DD700,61),0)</f>
        <v/>
      </c>
      <c r="BL700">
        <f>IFERROR(INDEX(PP_Grid[#Data],$DD700,62),0)</f>
        <v/>
      </c>
      <c r="BM700">
        <f>IFERROR(INDEX(PP_Grid[#Data],$DD700,63),0)</f>
        <v/>
      </c>
      <c r="BN700">
        <f>IFERROR(INDEX(PP_Grid[#Data],$DD700,64),0)</f>
        <v/>
      </c>
      <c r="BO700">
        <f>IFERROR(INDEX(PP_Grid[#Data],$DD700,65),0)</f>
        <v/>
      </c>
      <c r="BP700">
        <f>IFERROR(INDEX(PP_Grid[#Data],$DD700,66),0)</f>
        <v/>
      </c>
      <c r="BQ700">
        <f>IFERROR(INDEX(PP_Grid[#Data],$DD700,67),0)</f>
        <v/>
      </c>
      <c r="BR700">
        <f>IFERROR(INDEX(PP_Grid[#Data],$DD700,68),0)</f>
        <v/>
      </c>
      <c r="BS700">
        <f>IFERROR(INDEX(PP_Grid[#Data],$DD700,69),0)</f>
        <v/>
      </c>
      <c r="BT700">
        <f>IFERROR(INDEX(PP_Grid[#Data],$DD700,70),0)</f>
        <v/>
      </c>
      <c r="BU700">
        <f>IFERROR(INDEX(PP_Grid[#Data],$DD700,71),0)</f>
        <v/>
      </c>
      <c r="BV700">
        <f>IFERROR(INDEX(PP_Grid[#Data],$DD700,72),0)</f>
        <v/>
      </c>
      <c r="BW700">
        <f>IFERROR(INDEX(PP_Grid[#Data],$DD700,73),0)</f>
        <v/>
      </c>
      <c r="BX700">
        <f>IFERROR(INDEX(PP_Grid[#Data],$DD700,74),0)</f>
        <v/>
      </c>
      <c r="BY700">
        <f>IFERROR(INDEX(PP_Grid[#Data],$DD700,75),0)</f>
        <v/>
      </c>
      <c r="BZ700">
        <f>IFERROR(INDEX(PP_Grid[#Data],$DD700,76),0)</f>
        <v/>
      </c>
      <c r="CA700">
        <f>IFERROR(INDEX(PP_Grid[#Data],$DD700,77),0)</f>
        <v/>
      </c>
      <c r="CB700">
        <f>IFERROR(INDEX(PP_Grid[#Data],$DD700,78),0)</f>
        <v/>
      </c>
      <c r="CC700">
        <f>IFERROR(INDEX(PP_Grid[#Data],$DD700,79),0)</f>
        <v/>
      </c>
      <c r="CD700">
        <f>IFERROR(INDEX(PP_Grid[#Data],$DD700,80),0)</f>
        <v/>
      </c>
      <c r="CE700">
        <f>IFERROR(INDEX(PP_Grid[#Data],$DD700,81),0)</f>
        <v/>
      </c>
      <c r="CF700">
        <f>IFERROR(INDEX(PP_Grid[#Data],$DD700,82),0)</f>
        <v/>
      </c>
      <c r="CG700">
        <f>IFERROR(INDEX(PP_Grid[#Data],$DD700,83),0)</f>
        <v/>
      </c>
      <c r="CH700">
        <f>IFERROR(INDEX(PP_Grid[#Data],$DD700,84),0)</f>
        <v/>
      </c>
      <c r="CI700">
        <f>IFERROR(INDEX(PP_Grid[#Data],$DD700,85),0)</f>
        <v/>
      </c>
      <c r="CJ700">
        <f>IFERROR(INDEX(PP_Grid[#Data],$DD700,86),0)</f>
        <v/>
      </c>
      <c r="CK700">
        <f>IFERROR(INDEX(PP_Grid[#Data],$DD700,87),0)</f>
        <v/>
      </c>
      <c r="CL700">
        <f>IFERROR(INDEX(PP_Grid[#Data],$DD700,88),0)</f>
        <v/>
      </c>
      <c r="CM700">
        <f>IFERROR(INDEX(PP_Grid[#Data],$DD700,89),0)</f>
        <v/>
      </c>
      <c r="CN700">
        <f>IFERROR(INDEX(PP_Grid[#Data],$DD700,90),0)</f>
        <v/>
      </c>
      <c r="CO700">
        <f>IFERROR(INDEX(PP_Grid[#Data],$DD700,91),0)</f>
        <v/>
      </c>
      <c r="CP700">
        <f>IFERROR(INDEX(PP_Grid[#Data],$DD700,92),0)</f>
        <v/>
      </c>
      <c r="CQ700">
        <f>IFERROR(INDEX(PP_Grid[#Data],$DD700,93),0)</f>
        <v/>
      </c>
      <c r="CR700">
        <f>IFERROR(INDEX(PP_Grid[#Data],$DD700,94),0)</f>
        <v/>
      </c>
      <c r="CS700">
        <f>IFERROR(INDEX(PP_Grid[#Data],$DD700,95),0)</f>
        <v/>
      </c>
      <c r="CT700">
        <f>IFERROR(INDEX(PP_Grid[#Data],$DD700,96),0)</f>
        <v/>
      </c>
      <c r="CU700">
        <f>IFERROR(INDEX(PP_Grid[#Data],$DD700,97),0)</f>
        <v/>
      </c>
      <c r="CV700">
        <f>IFERROR(INDEX(PP_Grid[#Data],$DD700,98),0)</f>
        <v/>
      </c>
      <c r="CW700">
        <f>IFERROR(INDEX(PP_Grid[#Data],$DD700,99),0)</f>
        <v/>
      </c>
      <c r="CX700">
        <f>IFERROR(INDEX(PP_Grid[#Data],$DD700,100),0)</f>
        <v/>
      </c>
      <c r="CY700">
        <f>IFERROR(INDEX(PP_Grid[#Data],$DD700,101),0)</f>
        <v/>
      </c>
      <c r="CZ700">
        <f>IFERROR(INDEX(PP_Grid[#Data],$DD700,102),0)</f>
        <v/>
      </c>
      <c r="DA700">
        <f>IFERROR(INDEX(PP_Grid[#Data],$DD700,103),0)</f>
        <v/>
      </c>
      <c r="DB700">
        <f>IFERROR(INDEX(PP_Grid[#Data],$DD700,104),0)</f>
        <v/>
      </c>
      <c r="DC700">
        <f>IFERROR(INDEX(PP_Grid[#Data],$DD700,105),0)</f>
        <v/>
      </c>
      <c r="DD700" s="12">
        <f>IFERROR(MATCH($B700,PP_Grid[Intermediate],0),99999)</f>
        <v/>
      </c>
    </row>
    <row r="701">
      <c r="B701" t="inlineStr">
        <is>
          <t>使用量(kg)</t>
        </is>
      </c>
      <c r="C701">
        <f>SUMIFS(M_BOM[RM_Qty_Per_Batch],M_BOM[Intermediate],$B700,M_BOM[Part Name],$A669)</f>
        <v/>
      </c>
      <c r="D701">
        <f>$C701*D700</f>
        <v/>
      </c>
      <c r="E701">
        <f>$C701*E700</f>
        <v/>
      </c>
      <c r="F701">
        <f>$C701*F700</f>
        <v/>
      </c>
      <c r="G701">
        <f>$C701*G700</f>
        <v/>
      </c>
      <c r="H701">
        <f>$C701*H700</f>
        <v/>
      </c>
      <c r="I701">
        <f>$C701*I700</f>
        <v/>
      </c>
      <c r="J701">
        <f>$C701*J700</f>
        <v/>
      </c>
      <c r="K701">
        <f>$C701*K700</f>
        <v/>
      </c>
      <c r="L701">
        <f>$C701*L700</f>
        <v/>
      </c>
      <c r="M701">
        <f>$C701*M700</f>
        <v/>
      </c>
      <c r="N701">
        <f>$C701*N700</f>
        <v/>
      </c>
      <c r="O701">
        <f>$C701*O700</f>
        <v/>
      </c>
      <c r="P701">
        <f>$C701*P700</f>
        <v/>
      </c>
      <c r="Q701">
        <f>$C701*Q700</f>
        <v/>
      </c>
      <c r="R701">
        <f>$C701*R700</f>
        <v/>
      </c>
      <c r="S701">
        <f>$C701*S700</f>
        <v/>
      </c>
      <c r="T701">
        <f>$C701*T700</f>
        <v/>
      </c>
      <c r="U701">
        <f>$C701*U700</f>
        <v/>
      </c>
      <c r="V701">
        <f>$C701*V700</f>
        <v/>
      </c>
      <c r="W701">
        <f>$C701*W700</f>
        <v/>
      </c>
      <c r="X701">
        <f>$C701*X700</f>
        <v/>
      </c>
      <c r="Y701">
        <f>$C701*Y700</f>
        <v/>
      </c>
      <c r="Z701">
        <f>$C701*Z700</f>
        <v/>
      </c>
      <c r="AA701">
        <f>$C701*AA700</f>
        <v/>
      </c>
      <c r="AB701">
        <f>$C701*AB700</f>
        <v/>
      </c>
      <c r="AC701">
        <f>$C701*AC700</f>
        <v/>
      </c>
      <c r="AD701">
        <f>$C701*AD700</f>
        <v/>
      </c>
      <c r="AE701">
        <f>$C701*AE700</f>
        <v/>
      </c>
      <c r="AF701">
        <f>$C701*AF700</f>
        <v/>
      </c>
      <c r="AG701">
        <f>$C701*AG700</f>
        <v/>
      </c>
      <c r="AH701">
        <f>$C701*AH700</f>
        <v/>
      </c>
      <c r="AI701">
        <f>$C701*AI700</f>
        <v/>
      </c>
      <c r="AJ701">
        <f>$C701*AJ700</f>
        <v/>
      </c>
      <c r="AK701">
        <f>$C701*AK700</f>
        <v/>
      </c>
      <c r="AL701">
        <f>$C701*AL700</f>
        <v/>
      </c>
      <c r="AM701">
        <f>$C701*AM700</f>
        <v/>
      </c>
      <c r="AN701">
        <f>$C701*AN700</f>
        <v/>
      </c>
      <c r="AO701">
        <f>$C701*AO700</f>
        <v/>
      </c>
      <c r="AP701">
        <f>$C701*AP700</f>
        <v/>
      </c>
      <c r="AQ701">
        <f>$C701*AQ700</f>
        <v/>
      </c>
      <c r="AR701">
        <f>$C701*AR700</f>
        <v/>
      </c>
      <c r="AS701">
        <f>$C701*AS700</f>
        <v/>
      </c>
      <c r="AT701">
        <f>$C701*AT700</f>
        <v/>
      </c>
      <c r="AU701">
        <f>$C701*AU700</f>
        <v/>
      </c>
      <c r="AV701">
        <f>$C701*AV700</f>
        <v/>
      </c>
      <c r="AW701">
        <f>$C701*AW700</f>
        <v/>
      </c>
      <c r="AX701">
        <f>$C701*AX700</f>
        <v/>
      </c>
      <c r="AY701">
        <f>$C701*AY700</f>
        <v/>
      </c>
      <c r="AZ701">
        <f>$C701*AZ700</f>
        <v/>
      </c>
      <c r="BA701">
        <f>$C701*BA700</f>
        <v/>
      </c>
      <c r="BB701">
        <f>$C701*BB700</f>
        <v/>
      </c>
      <c r="BC701">
        <f>$C701*BC700</f>
        <v/>
      </c>
      <c r="BD701">
        <f>$C701*BD700</f>
        <v/>
      </c>
      <c r="BE701">
        <f>$C701*BE700</f>
        <v/>
      </c>
      <c r="BF701">
        <f>$C701*BF700</f>
        <v/>
      </c>
      <c r="BG701">
        <f>$C701*BG700</f>
        <v/>
      </c>
      <c r="BH701">
        <f>$C701*BH700</f>
        <v/>
      </c>
      <c r="BI701">
        <f>$C701*BI700</f>
        <v/>
      </c>
      <c r="BJ701">
        <f>$C701*BJ700</f>
        <v/>
      </c>
      <c r="BK701">
        <f>$C701*BK700</f>
        <v/>
      </c>
      <c r="BL701">
        <f>$C701*BL700</f>
        <v/>
      </c>
      <c r="BM701">
        <f>$C701*BM700</f>
        <v/>
      </c>
      <c r="BN701">
        <f>$C701*BN700</f>
        <v/>
      </c>
      <c r="BO701">
        <f>$C701*BO700</f>
        <v/>
      </c>
      <c r="BP701">
        <f>$C701*BP700</f>
        <v/>
      </c>
      <c r="BQ701">
        <f>$C701*BQ700</f>
        <v/>
      </c>
      <c r="BR701">
        <f>$C701*BR700</f>
        <v/>
      </c>
      <c r="BS701">
        <f>$C701*BS700</f>
        <v/>
      </c>
      <c r="BT701">
        <f>$C701*BT700</f>
        <v/>
      </c>
      <c r="BU701">
        <f>$C701*BU700</f>
        <v/>
      </c>
      <c r="BV701">
        <f>$C701*BV700</f>
        <v/>
      </c>
      <c r="BW701">
        <f>$C701*BW700</f>
        <v/>
      </c>
      <c r="BX701">
        <f>$C701*BX700</f>
        <v/>
      </c>
      <c r="BY701">
        <f>$C701*BY700</f>
        <v/>
      </c>
      <c r="BZ701">
        <f>$C701*BZ700</f>
        <v/>
      </c>
      <c r="CA701">
        <f>$C701*CA700</f>
        <v/>
      </c>
      <c r="CB701">
        <f>$C701*CB700</f>
        <v/>
      </c>
      <c r="CC701">
        <f>$C701*CC700</f>
        <v/>
      </c>
      <c r="CD701">
        <f>$C701*CD700</f>
        <v/>
      </c>
      <c r="CE701">
        <f>$C701*CE700</f>
        <v/>
      </c>
      <c r="CF701">
        <f>$C701*CF700</f>
        <v/>
      </c>
      <c r="CG701">
        <f>$C701*CG700</f>
        <v/>
      </c>
      <c r="CH701">
        <f>$C701*CH700</f>
        <v/>
      </c>
      <c r="CI701">
        <f>$C701*CI700</f>
        <v/>
      </c>
      <c r="CJ701">
        <f>$C701*CJ700</f>
        <v/>
      </c>
      <c r="CK701">
        <f>$C701*CK700</f>
        <v/>
      </c>
      <c r="CL701">
        <f>$C701*CL700</f>
        <v/>
      </c>
      <c r="CM701">
        <f>$C701*CM700</f>
        <v/>
      </c>
      <c r="CN701">
        <f>$C701*CN700</f>
        <v/>
      </c>
      <c r="CO701">
        <f>$C701*CO700</f>
        <v/>
      </c>
      <c r="CP701">
        <f>$C701*CP700</f>
        <v/>
      </c>
      <c r="CQ701">
        <f>$C701*CQ700</f>
        <v/>
      </c>
      <c r="CR701">
        <f>$C701*CR700</f>
        <v/>
      </c>
      <c r="CS701">
        <f>$C701*CS700</f>
        <v/>
      </c>
      <c r="CT701">
        <f>$C701*CT700</f>
        <v/>
      </c>
      <c r="CU701">
        <f>$C701*CU700</f>
        <v/>
      </c>
      <c r="CV701">
        <f>$C701*CV700</f>
        <v/>
      </c>
      <c r="CW701">
        <f>$C701*CW700</f>
        <v/>
      </c>
      <c r="CX701">
        <f>$C701*CX700</f>
        <v/>
      </c>
      <c r="CY701">
        <f>$C701*CY700</f>
        <v/>
      </c>
      <c r="CZ701">
        <f>$C701*CZ700</f>
        <v/>
      </c>
      <c r="DA701">
        <f>$C701*DA700</f>
        <v/>
      </c>
      <c r="DB701">
        <f>$C701*DB700</f>
        <v/>
      </c>
      <c r="DC701">
        <f>$C701*DC700</f>
        <v/>
      </c>
    </row>
    <row r="702">
      <c r="B702" t="inlineStr">
        <is>
          <t>TSP-1558</t>
        </is>
      </c>
      <c r="C702" t="inlineStr">
        <is>
          <t>No. of batches</t>
        </is>
      </c>
      <c r="D702">
        <f>IFERROR(INDEX(PP_Grid[#Data],$DD702,2),0)</f>
        <v/>
      </c>
      <c r="E702">
        <f>IFERROR(INDEX(PP_Grid[#Data],$DD702,3),0)</f>
        <v/>
      </c>
      <c r="F702">
        <f>IFERROR(INDEX(PP_Grid[#Data],$DD702,4),0)</f>
        <v/>
      </c>
      <c r="G702">
        <f>IFERROR(INDEX(PP_Grid[#Data],$DD702,5),0)</f>
        <v/>
      </c>
      <c r="H702">
        <f>IFERROR(INDEX(PP_Grid[#Data],$DD702,6),0)</f>
        <v/>
      </c>
      <c r="I702">
        <f>IFERROR(INDEX(PP_Grid[#Data],$DD702,7),0)</f>
        <v/>
      </c>
      <c r="J702">
        <f>IFERROR(INDEX(PP_Grid[#Data],$DD702,8),0)</f>
        <v/>
      </c>
      <c r="K702">
        <f>IFERROR(INDEX(PP_Grid[#Data],$DD702,9),0)</f>
        <v/>
      </c>
      <c r="L702">
        <f>IFERROR(INDEX(PP_Grid[#Data],$DD702,10),0)</f>
        <v/>
      </c>
      <c r="M702">
        <f>IFERROR(INDEX(PP_Grid[#Data],$DD702,11),0)</f>
        <v/>
      </c>
      <c r="N702">
        <f>IFERROR(INDEX(PP_Grid[#Data],$DD702,12),0)</f>
        <v/>
      </c>
      <c r="O702">
        <f>IFERROR(INDEX(PP_Grid[#Data],$DD702,13),0)</f>
        <v/>
      </c>
      <c r="P702">
        <f>IFERROR(INDEX(PP_Grid[#Data],$DD702,14),0)</f>
        <v/>
      </c>
      <c r="Q702">
        <f>IFERROR(INDEX(PP_Grid[#Data],$DD702,15),0)</f>
        <v/>
      </c>
      <c r="R702">
        <f>IFERROR(INDEX(PP_Grid[#Data],$DD702,16),0)</f>
        <v/>
      </c>
      <c r="S702">
        <f>IFERROR(INDEX(PP_Grid[#Data],$DD702,17),0)</f>
        <v/>
      </c>
      <c r="T702">
        <f>IFERROR(INDEX(PP_Grid[#Data],$DD702,18),0)</f>
        <v/>
      </c>
      <c r="U702">
        <f>IFERROR(INDEX(PP_Grid[#Data],$DD702,19),0)</f>
        <v/>
      </c>
      <c r="V702">
        <f>IFERROR(INDEX(PP_Grid[#Data],$DD702,20),0)</f>
        <v/>
      </c>
      <c r="W702">
        <f>IFERROR(INDEX(PP_Grid[#Data],$DD702,21),0)</f>
        <v/>
      </c>
      <c r="X702">
        <f>IFERROR(INDEX(PP_Grid[#Data],$DD702,22),0)</f>
        <v/>
      </c>
      <c r="Y702">
        <f>IFERROR(INDEX(PP_Grid[#Data],$DD702,23),0)</f>
        <v/>
      </c>
      <c r="Z702">
        <f>IFERROR(INDEX(PP_Grid[#Data],$DD702,24),0)</f>
        <v/>
      </c>
      <c r="AA702">
        <f>IFERROR(INDEX(PP_Grid[#Data],$DD702,25),0)</f>
        <v/>
      </c>
      <c r="AB702">
        <f>IFERROR(INDEX(PP_Grid[#Data],$DD702,26),0)</f>
        <v/>
      </c>
      <c r="AC702">
        <f>IFERROR(INDEX(PP_Grid[#Data],$DD702,27),0)</f>
        <v/>
      </c>
      <c r="AD702">
        <f>IFERROR(INDEX(PP_Grid[#Data],$DD702,28),0)</f>
        <v/>
      </c>
      <c r="AE702">
        <f>IFERROR(INDEX(PP_Grid[#Data],$DD702,29),0)</f>
        <v/>
      </c>
      <c r="AF702">
        <f>IFERROR(INDEX(PP_Grid[#Data],$DD702,30),0)</f>
        <v/>
      </c>
      <c r="AG702">
        <f>IFERROR(INDEX(PP_Grid[#Data],$DD702,31),0)</f>
        <v/>
      </c>
      <c r="AH702">
        <f>IFERROR(INDEX(PP_Grid[#Data],$DD702,32),0)</f>
        <v/>
      </c>
      <c r="AI702">
        <f>IFERROR(INDEX(PP_Grid[#Data],$DD702,33),0)</f>
        <v/>
      </c>
      <c r="AJ702">
        <f>IFERROR(INDEX(PP_Grid[#Data],$DD702,34),0)</f>
        <v/>
      </c>
      <c r="AK702">
        <f>IFERROR(INDEX(PP_Grid[#Data],$DD702,35),0)</f>
        <v/>
      </c>
      <c r="AL702">
        <f>IFERROR(INDEX(PP_Grid[#Data],$DD702,36),0)</f>
        <v/>
      </c>
      <c r="AM702">
        <f>IFERROR(INDEX(PP_Grid[#Data],$DD702,37),0)</f>
        <v/>
      </c>
      <c r="AN702">
        <f>IFERROR(INDEX(PP_Grid[#Data],$DD702,38),0)</f>
        <v/>
      </c>
      <c r="AO702">
        <f>IFERROR(INDEX(PP_Grid[#Data],$DD702,39),0)</f>
        <v/>
      </c>
      <c r="AP702">
        <f>IFERROR(INDEX(PP_Grid[#Data],$DD702,40),0)</f>
        <v/>
      </c>
      <c r="AQ702">
        <f>IFERROR(INDEX(PP_Grid[#Data],$DD702,41),0)</f>
        <v/>
      </c>
      <c r="AR702">
        <f>IFERROR(INDEX(PP_Grid[#Data],$DD702,42),0)</f>
        <v/>
      </c>
      <c r="AS702">
        <f>IFERROR(INDEX(PP_Grid[#Data],$DD702,43),0)</f>
        <v/>
      </c>
      <c r="AT702">
        <f>IFERROR(INDEX(PP_Grid[#Data],$DD702,44),0)</f>
        <v/>
      </c>
      <c r="AU702">
        <f>IFERROR(INDEX(PP_Grid[#Data],$DD702,45),0)</f>
        <v/>
      </c>
      <c r="AV702">
        <f>IFERROR(INDEX(PP_Grid[#Data],$DD702,46),0)</f>
        <v/>
      </c>
      <c r="AW702">
        <f>IFERROR(INDEX(PP_Grid[#Data],$DD702,47),0)</f>
        <v/>
      </c>
      <c r="AX702">
        <f>IFERROR(INDEX(PP_Grid[#Data],$DD702,48),0)</f>
        <v/>
      </c>
      <c r="AY702">
        <f>IFERROR(INDEX(PP_Grid[#Data],$DD702,49),0)</f>
        <v/>
      </c>
      <c r="AZ702">
        <f>IFERROR(INDEX(PP_Grid[#Data],$DD702,50),0)</f>
        <v/>
      </c>
      <c r="BA702">
        <f>IFERROR(INDEX(PP_Grid[#Data],$DD702,51),0)</f>
        <v/>
      </c>
      <c r="BB702">
        <f>IFERROR(INDEX(PP_Grid[#Data],$DD702,52),0)</f>
        <v/>
      </c>
      <c r="BC702">
        <f>IFERROR(INDEX(PP_Grid[#Data],$DD702,53),0)</f>
        <v/>
      </c>
      <c r="BD702">
        <f>IFERROR(INDEX(PP_Grid[#Data],$DD702,54),0)</f>
        <v/>
      </c>
      <c r="BE702">
        <f>IFERROR(INDEX(PP_Grid[#Data],$DD702,55),0)</f>
        <v/>
      </c>
      <c r="BF702">
        <f>IFERROR(INDEX(PP_Grid[#Data],$DD702,56),0)</f>
        <v/>
      </c>
      <c r="BG702">
        <f>IFERROR(INDEX(PP_Grid[#Data],$DD702,57),0)</f>
        <v/>
      </c>
      <c r="BH702">
        <f>IFERROR(INDEX(PP_Grid[#Data],$DD702,58),0)</f>
        <v/>
      </c>
      <c r="BI702">
        <f>IFERROR(INDEX(PP_Grid[#Data],$DD702,59),0)</f>
        <v/>
      </c>
      <c r="BJ702">
        <f>IFERROR(INDEX(PP_Grid[#Data],$DD702,60),0)</f>
        <v/>
      </c>
      <c r="BK702">
        <f>IFERROR(INDEX(PP_Grid[#Data],$DD702,61),0)</f>
        <v/>
      </c>
      <c r="BL702">
        <f>IFERROR(INDEX(PP_Grid[#Data],$DD702,62),0)</f>
        <v/>
      </c>
      <c r="BM702">
        <f>IFERROR(INDEX(PP_Grid[#Data],$DD702,63),0)</f>
        <v/>
      </c>
      <c r="BN702">
        <f>IFERROR(INDEX(PP_Grid[#Data],$DD702,64),0)</f>
        <v/>
      </c>
      <c r="BO702">
        <f>IFERROR(INDEX(PP_Grid[#Data],$DD702,65),0)</f>
        <v/>
      </c>
      <c r="BP702">
        <f>IFERROR(INDEX(PP_Grid[#Data],$DD702,66),0)</f>
        <v/>
      </c>
      <c r="BQ702">
        <f>IFERROR(INDEX(PP_Grid[#Data],$DD702,67),0)</f>
        <v/>
      </c>
      <c r="BR702">
        <f>IFERROR(INDEX(PP_Grid[#Data],$DD702,68),0)</f>
        <v/>
      </c>
      <c r="BS702">
        <f>IFERROR(INDEX(PP_Grid[#Data],$DD702,69),0)</f>
        <v/>
      </c>
      <c r="BT702">
        <f>IFERROR(INDEX(PP_Grid[#Data],$DD702,70),0)</f>
        <v/>
      </c>
      <c r="BU702">
        <f>IFERROR(INDEX(PP_Grid[#Data],$DD702,71),0)</f>
        <v/>
      </c>
      <c r="BV702">
        <f>IFERROR(INDEX(PP_Grid[#Data],$DD702,72),0)</f>
        <v/>
      </c>
      <c r="BW702">
        <f>IFERROR(INDEX(PP_Grid[#Data],$DD702,73),0)</f>
        <v/>
      </c>
      <c r="BX702">
        <f>IFERROR(INDEX(PP_Grid[#Data],$DD702,74),0)</f>
        <v/>
      </c>
      <c r="BY702">
        <f>IFERROR(INDEX(PP_Grid[#Data],$DD702,75),0)</f>
        <v/>
      </c>
      <c r="BZ702">
        <f>IFERROR(INDEX(PP_Grid[#Data],$DD702,76),0)</f>
        <v/>
      </c>
      <c r="CA702">
        <f>IFERROR(INDEX(PP_Grid[#Data],$DD702,77),0)</f>
        <v/>
      </c>
      <c r="CB702">
        <f>IFERROR(INDEX(PP_Grid[#Data],$DD702,78),0)</f>
        <v/>
      </c>
      <c r="CC702">
        <f>IFERROR(INDEX(PP_Grid[#Data],$DD702,79),0)</f>
        <v/>
      </c>
      <c r="CD702">
        <f>IFERROR(INDEX(PP_Grid[#Data],$DD702,80),0)</f>
        <v/>
      </c>
      <c r="CE702">
        <f>IFERROR(INDEX(PP_Grid[#Data],$DD702,81),0)</f>
        <v/>
      </c>
      <c r="CF702">
        <f>IFERROR(INDEX(PP_Grid[#Data],$DD702,82),0)</f>
        <v/>
      </c>
      <c r="CG702">
        <f>IFERROR(INDEX(PP_Grid[#Data],$DD702,83),0)</f>
        <v/>
      </c>
      <c r="CH702">
        <f>IFERROR(INDEX(PP_Grid[#Data],$DD702,84),0)</f>
        <v/>
      </c>
      <c r="CI702">
        <f>IFERROR(INDEX(PP_Grid[#Data],$DD702,85),0)</f>
        <v/>
      </c>
      <c r="CJ702">
        <f>IFERROR(INDEX(PP_Grid[#Data],$DD702,86),0)</f>
        <v/>
      </c>
      <c r="CK702">
        <f>IFERROR(INDEX(PP_Grid[#Data],$DD702,87),0)</f>
        <v/>
      </c>
      <c r="CL702">
        <f>IFERROR(INDEX(PP_Grid[#Data],$DD702,88),0)</f>
        <v/>
      </c>
      <c r="CM702">
        <f>IFERROR(INDEX(PP_Grid[#Data],$DD702,89),0)</f>
        <v/>
      </c>
      <c r="CN702">
        <f>IFERROR(INDEX(PP_Grid[#Data],$DD702,90),0)</f>
        <v/>
      </c>
      <c r="CO702">
        <f>IFERROR(INDEX(PP_Grid[#Data],$DD702,91),0)</f>
        <v/>
      </c>
      <c r="CP702">
        <f>IFERROR(INDEX(PP_Grid[#Data],$DD702,92),0)</f>
        <v/>
      </c>
      <c r="CQ702">
        <f>IFERROR(INDEX(PP_Grid[#Data],$DD702,93),0)</f>
        <v/>
      </c>
      <c r="CR702">
        <f>IFERROR(INDEX(PP_Grid[#Data],$DD702,94),0)</f>
        <v/>
      </c>
      <c r="CS702">
        <f>IFERROR(INDEX(PP_Grid[#Data],$DD702,95),0)</f>
        <v/>
      </c>
      <c r="CT702">
        <f>IFERROR(INDEX(PP_Grid[#Data],$DD702,96),0)</f>
        <v/>
      </c>
      <c r="CU702">
        <f>IFERROR(INDEX(PP_Grid[#Data],$DD702,97),0)</f>
        <v/>
      </c>
      <c r="CV702">
        <f>IFERROR(INDEX(PP_Grid[#Data],$DD702,98),0)</f>
        <v/>
      </c>
      <c r="CW702">
        <f>IFERROR(INDEX(PP_Grid[#Data],$DD702,99),0)</f>
        <v/>
      </c>
      <c r="CX702">
        <f>IFERROR(INDEX(PP_Grid[#Data],$DD702,100),0)</f>
        <v/>
      </c>
      <c r="CY702">
        <f>IFERROR(INDEX(PP_Grid[#Data],$DD702,101),0)</f>
        <v/>
      </c>
      <c r="CZ702">
        <f>IFERROR(INDEX(PP_Grid[#Data],$DD702,102),0)</f>
        <v/>
      </c>
      <c r="DA702">
        <f>IFERROR(INDEX(PP_Grid[#Data],$DD702,103),0)</f>
        <v/>
      </c>
      <c r="DB702">
        <f>IFERROR(INDEX(PP_Grid[#Data],$DD702,104),0)</f>
        <v/>
      </c>
      <c r="DC702">
        <f>IFERROR(INDEX(PP_Grid[#Data],$DD702,105),0)</f>
        <v/>
      </c>
      <c r="DD702" s="12">
        <f>IFERROR(MATCH($B702,PP_Grid[Intermediate],0),99999)</f>
        <v/>
      </c>
    </row>
    <row r="703">
      <c r="B703" t="inlineStr">
        <is>
          <t>使用量(kg)</t>
        </is>
      </c>
      <c r="C703">
        <f>SUMIFS(M_BOM[RM_Qty_Per_Batch],M_BOM[Intermediate],$B702,M_BOM[Part Name],$A669)</f>
        <v/>
      </c>
      <c r="D703">
        <f>$C703*D702</f>
        <v/>
      </c>
      <c r="E703">
        <f>$C703*E702</f>
        <v/>
      </c>
      <c r="F703">
        <f>$C703*F702</f>
        <v/>
      </c>
      <c r="G703">
        <f>$C703*G702</f>
        <v/>
      </c>
      <c r="H703">
        <f>$C703*H702</f>
        <v/>
      </c>
      <c r="I703">
        <f>$C703*I702</f>
        <v/>
      </c>
      <c r="J703">
        <f>$C703*J702</f>
        <v/>
      </c>
      <c r="K703">
        <f>$C703*K702</f>
        <v/>
      </c>
      <c r="L703">
        <f>$C703*L702</f>
        <v/>
      </c>
      <c r="M703">
        <f>$C703*M702</f>
        <v/>
      </c>
      <c r="N703">
        <f>$C703*N702</f>
        <v/>
      </c>
      <c r="O703">
        <f>$C703*O702</f>
        <v/>
      </c>
      <c r="P703">
        <f>$C703*P702</f>
        <v/>
      </c>
      <c r="Q703">
        <f>$C703*Q702</f>
        <v/>
      </c>
      <c r="R703">
        <f>$C703*R702</f>
        <v/>
      </c>
      <c r="S703">
        <f>$C703*S702</f>
        <v/>
      </c>
      <c r="T703">
        <f>$C703*T702</f>
        <v/>
      </c>
      <c r="U703">
        <f>$C703*U702</f>
        <v/>
      </c>
      <c r="V703">
        <f>$C703*V702</f>
        <v/>
      </c>
      <c r="W703">
        <f>$C703*W702</f>
        <v/>
      </c>
      <c r="X703">
        <f>$C703*X702</f>
        <v/>
      </c>
      <c r="Y703">
        <f>$C703*Y702</f>
        <v/>
      </c>
      <c r="Z703">
        <f>$C703*Z702</f>
        <v/>
      </c>
      <c r="AA703">
        <f>$C703*AA702</f>
        <v/>
      </c>
      <c r="AB703">
        <f>$C703*AB702</f>
        <v/>
      </c>
      <c r="AC703">
        <f>$C703*AC702</f>
        <v/>
      </c>
      <c r="AD703">
        <f>$C703*AD702</f>
        <v/>
      </c>
      <c r="AE703">
        <f>$C703*AE702</f>
        <v/>
      </c>
      <c r="AF703">
        <f>$C703*AF702</f>
        <v/>
      </c>
      <c r="AG703">
        <f>$C703*AG702</f>
        <v/>
      </c>
      <c r="AH703">
        <f>$C703*AH702</f>
        <v/>
      </c>
      <c r="AI703">
        <f>$C703*AI702</f>
        <v/>
      </c>
      <c r="AJ703">
        <f>$C703*AJ702</f>
        <v/>
      </c>
      <c r="AK703">
        <f>$C703*AK702</f>
        <v/>
      </c>
      <c r="AL703">
        <f>$C703*AL702</f>
        <v/>
      </c>
      <c r="AM703">
        <f>$C703*AM702</f>
        <v/>
      </c>
      <c r="AN703">
        <f>$C703*AN702</f>
        <v/>
      </c>
      <c r="AO703">
        <f>$C703*AO702</f>
        <v/>
      </c>
      <c r="AP703">
        <f>$C703*AP702</f>
        <v/>
      </c>
      <c r="AQ703">
        <f>$C703*AQ702</f>
        <v/>
      </c>
      <c r="AR703">
        <f>$C703*AR702</f>
        <v/>
      </c>
      <c r="AS703">
        <f>$C703*AS702</f>
        <v/>
      </c>
      <c r="AT703">
        <f>$C703*AT702</f>
        <v/>
      </c>
      <c r="AU703">
        <f>$C703*AU702</f>
        <v/>
      </c>
      <c r="AV703">
        <f>$C703*AV702</f>
        <v/>
      </c>
      <c r="AW703">
        <f>$C703*AW702</f>
        <v/>
      </c>
      <c r="AX703">
        <f>$C703*AX702</f>
        <v/>
      </c>
      <c r="AY703">
        <f>$C703*AY702</f>
        <v/>
      </c>
      <c r="AZ703">
        <f>$C703*AZ702</f>
        <v/>
      </c>
      <c r="BA703">
        <f>$C703*BA702</f>
        <v/>
      </c>
      <c r="BB703">
        <f>$C703*BB702</f>
        <v/>
      </c>
      <c r="BC703">
        <f>$C703*BC702</f>
        <v/>
      </c>
      <c r="BD703">
        <f>$C703*BD702</f>
        <v/>
      </c>
      <c r="BE703">
        <f>$C703*BE702</f>
        <v/>
      </c>
      <c r="BF703">
        <f>$C703*BF702</f>
        <v/>
      </c>
      <c r="BG703">
        <f>$C703*BG702</f>
        <v/>
      </c>
      <c r="BH703">
        <f>$C703*BH702</f>
        <v/>
      </c>
      <c r="BI703">
        <f>$C703*BI702</f>
        <v/>
      </c>
      <c r="BJ703">
        <f>$C703*BJ702</f>
        <v/>
      </c>
      <c r="BK703">
        <f>$C703*BK702</f>
        <v/>
      </c>
      <c r="BL703">
        <f>$C703*BL702</f>
        <v/>
      </c>
      <c r="BM703">
        <f>$C703*BM702</f>
        <v/>
      </c>
      <c r="BN703">
        <f>$C703*BN702</f>
        <v/>
      </c>
      <c r="BO703">
        <f>$C703*BO702</f>
        <v/>
      </c>
      <c r="BP703">
        <f>$C703*BP702</f>
        <v/>
      </c>
      <c r="BQ703">
        <f>$C703*BQ702</f>
        <v/>
      </c>
      <c r="BR703">
        <f>$C703*BR702</f>
        <v/>
      </c>
      <c r="BS703">
        <f>$C703*BS702</f>
        <v/>
      </c>
      <c r="BT703">
        <f>$C703*BT702</f>
        <v/>
      </c>
      <c r="BU703">
        <f>$C703*BU702</f>
        <v/>
      </c>
      <c r="BV703">
        <f>$C703*BV702</f>
        <v/>
      </c>
      <c r="BW703">
        <f>$C703*BW702</f>
        <v/>
      </c>
      <c r="BX703">
        <f>$C703*BX702</f>
        <v/>
      </c>
      <c r="BY703">
        <f>$C703*BY702</f>
        <v/>
      </c>
      <c r="BZ703">
        <f>$C703*BZ702</f>
        <v/>
      </c>
      <c r="CA703">
        <f>$C703*CA702</f>
        <v/>
      </c>
      <c r="CB703">
        <f>$C703*CB702</f>
        <v/>
      </c>
      <c r="CC703">
        <f>$C703*CC702</f>
        <v/>
      </c>
      <c r="CD703">
        <f>$C703*CD702</f>
        <v/>
      </c>
      <c r="CE703">
        <f>$C703*CE702</f>
        <v/>
      </c>
      <c r="CF703">
        <f>$C703*CF702</f>
        <v/>
      </c>
      <c r="CG703">
        <f>$C703*CG702</f>
        <v/>
      </c>
      <c r="CH703">
        <f>$C703*CH702</f>
        <v/>
      </c>
      <c r="CI703">
        <f>$C703*CI702</f>
        <v/>
      </c>
      <c r="CJ703">
        <f>$C703*CJ702</f>
        <v/>
      </c>
      <c r="CK703">
        <f>$C703*CK702</f>
        <v/>
      </c>
      <c r="CL703">
        <f>$C703*CL702</f>
        <v/>
      </c>
      <c r="CM703">
        <f>$C703*CM702</f>
        <v/>
      </c>
      <c r="CN703">
        <f>$C703*CN702</f>
        <v/>
      </c>
      <c r="CO703">
        <f>$C703*CO702</f>
        <v/>
      </c>
      <c r="CP703">
        <f>$C703*CP702</f>
        <v/>
      </c>
      <c r="CQ703">
        <f>$C703*CQ702</f>
        <v/>
      </c>
      <c r="CR703">
        <f>$C703*CR702</f>
        <v/>
      </c>
      <c r="CS703">
        <f>$C703*CS702</f>
        <v/>
      </c>
      <c r="CT703">
        <f>$C703*CT702</f>
        <v/>
      </c>
      <c r="CU703">
        <f>$C703*CU702</f>
        <v/>
      </c>
      <c r="CV703">
        <f>$C703*CV702</f>
        <v/>
      </c>
      <c r="CW703">
        <f>$C703*CW702</f>
        <v/>
      </c>
      <c r="CX703">
        <f>$C703*CX702</f>
        <v/>
      </c>
      <c r="CY703">
        <f>$C703*CY702</f>
        <v/>
      </c>
      <c r="CZ703">
        <f>$C703*CZ702</f>
        <v/>
      </c>
      <c r="DA703">
        <f>$C703*DA702</f>
        <v/>
      </c>
      <c r="DB703">
        <f>$C703*DB702</f>
        <v/>
      </c>
      <c r="DC703">
        <f>$C703*DC702</f>
        <v/>
      </c>
    </row>
    <row r="704">
      <c r="B704" t="inlineStr">
        <is>
          <t>TSP-1559</t>
        </is>
      </c>
      <c r="C704" t="inlineStr">
        <is>
          <t>No. of batches</t>
        </is>
      </c>
      <c r="D704">
        <f>IFERROR(INDEX(PP_Grid[#Data],$DD704,2),0)</f>
        <v/>
      </c>
      <c r="E704">
        <f>IFERROR(INDEX(PP_Grid[#Data],$DD704,3),0)</f>
        <v/>
      </c>
      <c r="F704">
        <f>IFERROR(INDEX(PP_Grid[#Data],$DD704,4),0)</f>
        <v/>
      </c>
      <c r="G704">
        <f>IFERROR(INDEX(PP_Grid[#Data],$DD704,5),0)</f>
        <v/>
      </c>
      <c r="H704">
        <f>IFERROR(INDEX(PP_Grid[#Data],$DD704,6),0)</f>
        <v/>
      </c>
      <c r="I704">
        <f>IFERROR(INDEX(PP_Grid[#Data],$DD704,7),0)</f>
        <v/>
      </c>
      <c r="J704">
        <f>IFERROR(INDEX(PP_Grid[#Data],$DD704,8),0)</f>
        <v/>
      </c>
      <c r="K704">
        <f>IFERROR(INDEX(PP_Grid[#Data],$DD704,9),0)</f>
        <v/>
      </c>
      <c r="L704">
        <f>IFERROR(INDEX(PP_Grid[#Data],$DD704,10),0)</f>
        <v/>
      </c>
      <c r="M704">
        <f>IFERROR(INDEX(PP_Grid[#Data],$DD704,11),0)</f>
        <v/>
      </c>
      <c r="N704">
        <f>IFERROR(INDEX(PP_Grid[#Data],$DD704,12),0)</f>
        <v/>
      </c>
      <c r="O704">
        <f>IFERROR(INDEX(PP_Grid[#Data],$DD704,13),0)</f>
        <v/>
      </c>
      <c r="P704">
        <f>IFERROR(INDEX(PP_Grid[#Data],$DD704,14),0)</f>
        <v/>
      </c>
      <c r="Q704">
        <f>IFERROR(INDEX(PP_Grid[#Data],$DD704,15),0)</f>
        <v/>
      </c>
      <c r="R704">
        <f>IFERROR(INDEX(PP_Grid[#Data],$DD704,16),0)</f>
        <v/>
      </c>
      <c r="S704">
        <f>IFERROR(INDEX(PP_Grid[#Data],$DD704,17),0)</f>
        <v/>
      </c>
      <c r="T704">
        <f>IFERROR(INDEX(PP_Grid[#Data],$DD704,18),0)</f>
        <v/>
      </c>
      <c r="U704">
        <f>IFERROR(INDEX(PP_Grid[#Data],$DD704,19),0)</f>
        <v/>
      </c>
      <c r="V704">
        <f>IFERROR(INDEX(PP_Grid[#Data],$DD704,20),0)</f>
        <v/>
      </c>
      <c r="W704">
        <f>IFERROR(INDEX(PP_Grid[#Data],$DD704,21),0)</f>
        <v/>
      </c>
      <c r="X704">
        <f>IFERROR(INDEX(PP_Grid[#Data],$DD704,22),0)</f>
        <v/>
      </c>
      <c r="Y704">
        <f>IFERROR(INDEX(PP_Grid[#Data],$DD704,23),0)</f>
        <v/>
      </c>
      <c r="Z704">
        <f>IFERROR(INDEX(PP_Grid[#Data],$DD704,24),0)</f>
        <v/>
      </c>
      <c r="AA704">
        <f>IFERROR(INDEX(PP_Grid[#Data],$DD704,25),0)</f>
        <v/>
      </c>
      <c r="AB704">
        <f>IFERROR(INDEX(PP_Grid[#Data],$DD704,26),0)</f>
        <v/>
      </c>
      <c r="AC704">
        <f>IFERROR(INDEX(PP_Grid[#Data],$DD704,27),0)</f>
        <v/>
      </c>
      <c r="AD704">
        <f>IFERROR(INDEX(PP_Grid[#Data],$DD704,28),0)</f>
        <v/>
      </c>
      <c r="AE704">
        <f>IFERROR(INDEX(PP_Grid[#Data],$DD704,29),0)</f>
        <v/>
      </c>
      <c r="AF704">
        <f>IFERROR(INDEX(PP_Grid[#Data],$DD704,30),0)</f>
        <v/>
      </c>
      <c r="AG704">
        <f>IFERROR(INDEX(PP_Grid[#Data],$DD704,31),0)</f>
        <v/>
      </c>
      <c r="AH704">
        <f>IFERROR(INDEX(PP_Grid[#Data],$DD704,32),0)</f>
        <v/>
      </c>
      <c r="AI704">
        <f>IFERROR(INDEX(PP_Grid[#Data],$DD704,33),0)</f>
        <v/>
      </c>
      <c r="AJ704">
        <f>IFERROR(INDEX(PP_Grid[#Data],$DD704,34),0)</f>
        <v/>
      </c>
      <c r="AK704">
        <f>IFERROR(INDEX(PP_Grid[#Data],$DD704,35),0)</f>
        <v/>
      </c>
      <c r="AL704">
        <f>IFERROR(INDEX(PP_Grid[#Data],$DD704,36),0)</f>
        <v/>
      </c>
      <c r="AM704">
        <f>IFERROR(INDEX(PP_Grid[#Data],$DD704,37),0)</f>
        <v/>
      </c>
      <c r="AN704">
        <f>IFERROR(INDEX(PP_Grid[#Data],$DD704,38),0)</f>
        <v/>
      </c>
      <c r="AO704">
        <f>IFERROR(INDEX(PP_Grid[#Data],$DD704,39),0)</f>
        <v/>
      </c>
      <c r="AP704">
        <f>IFERROR(INDEX(PP_Grid[#Data],$DD704,40),0)</f>
        <v/>
      </c>
      <c r="AQ704">
        <f>IFERROR(INDEX(PP_Grid[#Data],$DD704,41),0)</f>
        <v/>
      </c>
      <c r="AR704">
        <f>IFERROR(INDEX(PP_Grid[#Data],$DD704,42),0)</f>
        <v/>
      </c>
      <c r="AS704">
        <f>IFERROR(INDEX(PP_Grid[#Data],$DD704,43),0)</f>
        <v/>
      </c>
      <c r="AT704">
        <f>IFERROR(INDEX(PP_Grid[#Data],$DD704,44),0)</f>
        <v/>
      </c>
      <c r="AU704">
        <f>IFERROR(INDEX(PP_Grid[#Data],$DD704,45),0)</f>
        <v/>
      </c>
      <c r="AV704">
        <f>IFERROR(INDEX(PP_Grid[#Data],$DD704,46),0)</f>
        <v/>
      </c>
      <c r="AW704">
        <f>IFERROR(INDEX(PP_Grid[#Data],$DD704,47),0)</f>
        <v/>
      </c>
      <c r="AX704">
        <f>IFERROR(INDEX(PP_Grid[#Data],$DD704,48),0)</f>
        <v/>
      </c>
      <c r="AY704">
        <f>IFERROR(INDEX(PP_Grid[#Data],$DD704,49),0)</f>
        <v/>
      </c>
      <c r="AZ704">
        <f>IFERROR(INDEX(PP_Grid[#Data],$DD704,50),0)</f>
        <v/>
      </c>
      <c r="BA704">
        <f>IFERROR(INDEX(PP_Grid[#Data],$DD704,51),0)</f>
        <v/>
      </c>
      <c r="BB704">
        <f>IFERROR(INDEX(PP_Grid[#Data],$DD704,52),0)</f>
        <v/>
      </c>
      <c r="BC704">
        <f>IFERROR(INDEX(PP_Grid[#Data],$DD704,53),0)</f>
        <v/>
      </c>
      <c r="BD704">
        <f>IFERROR(INDEX(PP_Grid[#Data],$DD704,54),0)</f>
        <v/>
      </c>
      <c r="BE704">
        <f>IFERROR(INDEX(PP_Grid[#Data],$DD704,55),0)</f>
        <v/>
      </c>
      <c r="BF704">
        <f>IFERROR(INDEX(PP_Grid[#Data],$DD704,56),0)</f>
        <v/>
      </c>
      <c r="BG704">
        <f>IFERROR(INDEX(PP_Grid[#Data],$DD704,57),0)</f>
        <v/>
      </c>
      <c r="BH704">
        <f>IFERROR(INDEX(PP_Grid[#Data],$DD704,58),0)</f>
        <v/>
      </c>
      <c r="BI704">
        <f>IFERROR(INDEX(PP_Grid[#Data],$DD704,59),0)</f>
        <v/>
      </c>
      <c r="BJ704">
        <f>IFERROR(INDEX(PP_Grid[#Data],$DD704,60),0)</f>
        <v/>
      </c>
      <c r="BK704">
        <f>IFERROR(INDEX(PP_Grid[#Data],$DD704,61),0)</f>
        <v/>
      </c>
      <c r="BL704">
        <f>IFERROR(INDEX(PP_Grid[#Data],$DD704,62),0)</f>
        <v/>
      </c>
      <c r="BM704">
        <f>IFERROR(INDEX(PP_Grid[#Data],$DD704,63),0)</f>
        <v/>
      </c>
      <c r="BN704">
        <f>IFERROR(INDEX(PP_Grid[#Data],$DD704,64),0)</f>
        <v/>
      </c>
      <c r="BO704">
        <f>IFERROR(INDEX(PP_Grid[#Data],$DD704,65),0)</f>
        <v/>
      </c>
      <c r="BP704">
        <f>IFERROR(INDEX(PP_Grid[#Data],$DD704,66),0)</f>
        <v/>
      </c>
      <c r="BQ704">
        <f>IFERROR(INDEX(PP_Grid[#Data],$DD704,67),0)</f>
        <v/>
      </c>
      <c r="BR704">
        <f>IFERROR(INDEX(PP_Grid[#Data],$DD704,68),0)</f>
        <v/>
      </c>
      <c r="BS704">
        <f>IFERROR(INDEX(PP_Grid[#Data],$DD704,69),0)</f>
        <v/>
      </c>
      <c r="BT704">
        <f>IFERROR(INDEX(PP_Grid[#Data],$DD704,70),0)</f>
        <v/>
      </c>
      <c r="BU704">
        <f>IFERROR(INDEX(PP_Grid[#Data],$DD704,71),0)</f>
        <v/>
      </c>
      <c r="BV704">
        <f>IFERROR(INDEX(PP_Grid[#Data],$DD704,72),0)</f>
        <v/>
      </c>
      <c r="BW704">
        <f>IFERROR(INDEX(PP_Grid[#Data],$DD704,73),0)</f>
        <v/>
      </c>
      <c r="BX704">
        <f>IFERROR(INDEX(PP_Grid[#Data],$DD704,74),0)</f>
        <v/>
      </c>
      <c r="BY704">
        <f>IFERROR(INDEX(PP_Grid[#Data],$DD704,75),0)</f>
        <v/>
      </c>
      <c r="BZ704">
        <f>IFERROR(INDEX(PP_Grid[#Data],$DD704,76),0)</f>
        <v/>
      </c>
      <c r="CA704">
        <f>IFERROR(INDEX(PP_Grid[#Data],$DD704,77),0)</f>
        <v/>
      </c>
      <c r="CB704">
        <f>IFERROR(INDEX(PP_Grid[#Data],$DD704,78),0)</f>
        <v/>
      </c>
      <c r="CC704">
        <f>IFERROR(INDEX(PP_Grid[#Data],$DD704,79),0)</f>
        <v/>
      </c>
      <c r="CD704">
        <f>IFERROR(INDEX(PP_Grid[#Data],$DD704,80),0)</f>
        <v/>
      </c>
      <c r="CE704">
        <f>IFERROR(INDEX(PP_Grid[#Data],$DD704,81),0)</f>
        <v/>
      </c>
      <c r="CF704">
        <f>IFERROR(INDEX(PP_Grid[#Data],$DD704,82),0)</f>
        <v/>
      </c>
      <c r="CG704">
        <f>IFERROR(INDEX(PP_Grid[#Data],$DD704,83),0)</f>
        <v/>
      </c>
      <c r="CH704">
        <f>IFERROR(INDEX(PP_Grid[#Data],$DD704,84),0)</f>
        <v/>
      </c>
      <c r="CI704">
        <f>IFERROR(INDEX(PP_Grid[#Data],$DD704,85),0)</f>
        <v/>
      </c>
      <c r="CJ704">
        <f>IFERROR(INDEX(PP_Grid[#Data],$DD704,86),0)</f>
        <v/>
      </c>
      <c r="CK704">
        <f>IFERROR(INDEX(PP_Grid[#Data],$DD704,87),0)</f>
        <v/>
      </c>
      <c r="CL704">
        <f>IFERROR(INDEX(PP_Grid[#Data],$DD704,88),0)</f>
        <v/>
      </c>
      <c r="CM704">
        <f>IFERROR(INDEX(PP_Grid[#Data],$DD704,89),0)</f>
        <v/>
      </c>
      <c r="CN704">
        <f>IFERROR(INDEX(PP_Grid[#Data],$DD704,90),0)</f>
        <v/>
      </c>
      <c r="CO704">
        <f>IFERROR(INDEX(PP_Grid[#Data],$DD704,91),0)</f>
        <v/>
      </c>
      <c r="CP704">
        <f>IFERROR(INDEX(PP_Grid[#Data],$DD704,92),0)</f>
        <v/>
      </c>
      <c r="CQ704">
        <f>IFERROR(INDEX(PP_Grid[#Data],$DD704,93),0)</f>
        <v/>
      </c>
      <c r="CR704">
        <f>IFERROR(INDEX(PP_Grid[#Data],$DD704,94),0)</f>
        <v/>
      </c>
      <c r="CS704">
        <f>IFERROR(INDEX(PP_Grid[#Data],$DD704,95),0)</f>
        <v/>
      </c>
      <c r="CT704">
        <f>IFERROR(INDEX(PP_Grid[#Data],$DD704,96),0)</f>
        <v/>
      </c>
      <c r="CU704">
        <f>IFERROR(INDEX(PP_Grid[#Data],$DD704,97),0)</f>
        <v/>
      </c>
      <c r="CV704">
        <f>IFERROR(INDEX(PP_Grid[#Data],$DD704,98),0)</f>
        <v/>
      </c>
      <c r="CW704">
        <f>IFERROR(INDEX(PP_Grid[#Data],$DD704,99),0)</f>
        <v/>
      </c>
      <c r="CX704">
        <f>IFERROR(INDEX(PP_Grid[#Data],$DD704,100),0)</f>
        <v/>
      </c>
      <c r="CY704">
        <f>IFERROR(INDEX(PP_Grid[#Data],$DD704,101),0)</f>
        <v/>
      </c>
      <c r="CZ704">
        <f>IFERROR(INDEX(PP_Grid[#Data],$DD704,102),0)</f>
        <v/>
      </c>
      <c r="DA704">
        <f>IFERROR(INDEX(PP_Grid[#Data],$DD704,103),0)</f>
        <v/>
      </c>
      <c r="DB704">
        <f>IFERROR(INDEX(PP_Grid[#Data],$DD704,104),0)</f>
        <v/>
      </c>
      <c r="DC704">
        <f>IFERROR(INDEX(PP_Grid[#Data],$DD704,105),0)</f>
        <v/>
      </c>
      <c r="DD704" s="12">
        <f>IFERROR(MATCH($B704,PP_Grid[Intermediate],0),99999)</f>
        <v/>
      </c>
    </row>
    <row r="705">
      <c r="B705" t="inlineStr">
        <is>
          <t>使用量(kg)</t>
        </is>
      </c>
      <c r="C705">
        <f>SUMIFS(M_BOM[RM_Qty_Per_Batch],M_BOM[Intermediate],$B704,M_BOM[Part Name],$A669)</f>
        <v/>
      </c>
      <c r="D705">
        <f>$C705*D704</f>
        <v/>
      </c>
      <c r="E705">
        <f>$C705*E704</f>
        <v/>
      </c>
      <c r="F705">
        <f>$C705*F704</f>
        <v/>
      </c>
      <c r="G705">
        <f>$C705*G704</f>
        <v/>
      </c>
      <c r="H705">
        <f>$C705*H704</f>
        <v/>
      </c>
      <c r="I705">
        <f>$C705*I704</f>
        <v/>
      </c>
      <c r="J705">
        <f>$C705*J704</f>
        <v/>
      </c>
      <c r="K705">
        <f>$C705*K704</f>
        <v/>
      </c>
      <c r="L705">
        <f>$C705*L704</f>
        <v/>
      </c>
      <c r="M705">
        <f>$C705*M704</f>
        <v/>
      </c>
      <c r="N705">
        <f>$C705*N704</f>
        <v/>
      </c>
      <c r="O705">
        <f>$C705*O704</f>
        <v/>
      </c>
      <c r="P705">
        <f>$C705*P704</f>
        <v/>
      </c>
      <c r="Q705">
        <f>$C705*Q704</f>
        <v/>
      </c>
      <c r="R705">
        <f>$C705*R704</f>
        <v/>
      </c>
      <c r="S705">
        <f>$C705*S704</f>
        <v/>
      </c>
      <c r="T705">
        <f>$C705*T704</f>
        <v/>
      </c>
      <c r="U705">
        <f>$C705*U704</f>
        <v/>
      </c>
      <c r="V705">
        <f>$C705*V704</f>
        <v/>
      </c>
      <c r="W705">
        <f>$C705*W704</f>
        <v/>
      </c>
      <c r="X705">
        <f>$C705*X704</f>
        <v/>
      </c>
      <c r="Y705">
        <f>$C705*Y704</f>
        <v/>
      </c>
      <c r="Z705">
        <f>$C705*Z704</f>
        <v/>
      </c>
      <c r="AA705">
        <f>$C705*AA704</f>
        <v/>
      </c>
      <c r="AB705">
        <f>$C705*AB704</f>
        <v/>
      </c>
      <c r="AC705">
        <f>$C705*AC704</f>
        <v/>
      </c>
      <c r="AD705">
        <f>$C705*AD704</f>
        <v/>
      </c>
      <c r="AE705">
        <f>$C705*AE704</f>
        <v/>
      </c>
      <c r="AF705">
        <f>$C705*AF704</f>
        <v/>
      </c>
      <c r="AG705">
        <f>$C705*AG704</f>
        <v/>
      </c>
      <c r="AH705">
        <f>$C705*AH704</f>
        <v/>
      </c>
      <c r="AI705">
        <f>$C705*AI704</f>
        <v/>
      </c>
      <c r="AJ705">
        <f>$C705*AJ704</f>
        <v/>
      </c>
      <c r="AK705">
        <f>$C705*AK704</f>
        <v/>
      </c>
      <c r="AL705">
        <f>$C705*AL704</f>
        <v/>
      </c>
      <c r="AM705">
        <f>$C705*AM704</f>
        <v/>
      </c>
      <c r="AN705">
        <f>$C705*AN704</f>
        <v/>
      </c>
      <c r="AO705">
        <f>$C705*AO704</f>
        <v/>
      </c>
      <c r="AP705">
        <f>$C705*AP704</f>
        <v/>
      </c>
      <c r="AQ705">
        <f>$C705*AQ704</f>
        <v/>
      </c>
      <c r="AR705">
        <f>$C705*AR704</f>
        <v/>
      </c>
      <c r="AS705">
        <f>$C705*AS704</f>
        <v/>
      </c>
      <c r="AT705">
        <f>$C705*AT704</f>
        <v/>
      </c>
      <c r="AU705">
        <f>$C705*AU704</f>
        <v/>
      </c>
      <c r="AV705">
        <f>$C705*AV704</f>
        <v/>
      </c>
      <c r="AW705">
        <f>$C705*AW704</f>
        <v/>
      </c>
      <c r="AX705">
        <f>$C705*AX704</f>
        <v/>
      </c>
      <c r="AY705">
        <f>$C705*AY704</f>
        <v/>
      </c>
      <c r="AZ705">
        <f>$C705*AZ704</f>
        <v/>
      </c>
      <c r="BA705">
        <f>$C705*BA704</f>
        <v/>
      </c>
      <c r="BB705">
        <f>$C705*BB704</f>
        <v/>
      </c>
      <c r="BC705">
        <f>$C705*BC704</f>
        <v/>
      </c>
      <c r="BD705">
        <f>$C705*BD704</f>
        <v/>
      </c>
      <c r="BE705">
        <f>$C705*BE704</f>
        <v/>
      </c>
      <c r="BF705">
        <f>$C705*BF704</f>
        <v/>
      </c>
      <c r="BG705">
        <f>$C705*BG704</f>
        <v/>
      </c>
      <c r="BH705">
        <f>$C705*BH704</f>
        <v/>
      </c>
      <c r="BI705">
        <f>$C705*BI704</f>
        <v/>
      </c>
      <c r="BJ705">
        <f>$C705*BJ704</f>
        <v/>
      </c>
      <c r="BK705">
        <f>$C705*BK704</f>
        <v/>
      </c>
      <c r="BL705">
        <f>$C705*BL704</f>
        <v/>
      </c>
      <c r="BM705">
        <f>$C705*BM704</f>
        <v/>
      </c>
      <c r="BN705">
        <f>$C705*BN704</f>
        <v/>
      </c>
      <c r="BO705">
        <f>$C705*BO704</f>
        <v/>
      </c>
      <c r="BP705">
        <f>$C705*BP704</f>
        <v/>
      </c>
      <c r="BQ705">
        <f>$C705*BQ704</f>
        <v/>
      </c>
      <c r="BR705">
        <f>$C705*BR704</f>
        <v/>
      </c>
      <c r="BS705">
        <f>$C705*BS704</f>
        <v/>
      </c>
      <c r="BT705">
        <f>$C705*BT704</f>
        <v/>
      </c>
      <c r="BU705">
        <f>$C705*BU704</f>
        <v/>
      </c>
      <c r="BV705">
        <f>$C705*BV704</f>
        <v/>
      </c>
      <c r="BW705">
        <f>$C705*BW704</f>
        <v/>
      </c>
      <c r="BX705">
        <f>$C705*BX704</f>
        <v/>
      </c>
      <c r="BY705">
        <f>$C705*BY704</f>
        <v/>
      </c>
      <c r="BZ705">
        <f>$C705*BZ704</f>
        <v/>
      </c>
      <c r="CA705">
        <f>$C705*CA704</f>
        <v/>
      </c>
      <c r="CB705">
        <f>$C705*CB704</f>
        <v/>
      </c>
      <c r="CC705">
        <f>$C705*CC704</f>
        <v/>
      </c>
      <c r="CD705">
        <f>$C705*CD704</f>
        <v/>
      </c>
      <c r="CE705">
        <f>$C705*CE704</f>
        <v/>
      </c>
      <c r="CF705">
        <f>$C705*CF704</f>
        <v/>
      </c>
      <c r="CG705">
        <f>$C705*CG704</f>
        <v/>
      </c>
      <c r="CH705">
        <f>$C705*CH704</f>
        <v/>
      </c>
      <c r="CI705">
        <f>$C705*CI704</f>
        <v/>
      </c>
      <c r="CJ705">
        <f>$C705*CJ704</f>
        <v/>
      </c>
      <c r="CK705">
        <f>$C705*CK704</f>
        <v/>
      </c>
      <c r="CL705">
        <f>$C705*CL704</f>
        <v/>
      </c>
      <c r="CM705">
        <f>$C705*CM704</f>
        <v/>
      </c>
      <c r="CN705">
        <f>$C705*CN704</f>
        <v/>
      </c>
      <c r="CO705">
        <f>$C705*CO704</f>
        <v/>
      </c>
      <c r="CP705">
        <f>$C705*CP704</f>
        <v/>
      </c>
      <c r="CQ705">
        <f>$C705*CQ704</f>
        <v/>
      </c>
      <c r="CR705">
        <f>$C705*CR704</f>
        <v/>
      </c>
      <c r="CS705">
        <f>$C705*CS704</f>
        <v/>
      </c>
      <c r="CT705">
        <f>$C705*CT704</f>
        <v/>
      </c>
      <c r="CU705">
        <f>$C705*CU704</f>
        <v/>
      </c>
      <c r="CV705">
        <f>$C705*CV704</f>
        <v/>
      </c>
      <c r="CW705">
        <f>$C705*CW704</f>
        <v/>
      </c>
      <c r="CX705">
        <f>$C705*CX704</f>
        <v/>
      </c>
      <c r="CY705">
        <f>$C705*CY704</f>
        <v/>
      </c>
      <c r="CZ705">
        <f>$C705*CZ704</f>
        <v/>
      </c>
      <c r="DA705">
        <f>$C705*DA704</f>
        <v/>
      </c>
      <c r="DB705">
        <f>$C705*DB704</f>
        <v/>
      </c>
      <c r="DC705">
        <f>$C705*DC704</f>
        <v/>
      </c>
    </row>
    <row r="706">
      <c r="B706" t="inlineStr">
        <is>
          <t>TSP-199</t>
        </is>
      </c>
      <c r="C706" t="inlineStr">
        <is>
          <t>No. of batches</t>
        </is>
      </c>
      <c r="D706">
        <f>IFERROR(INDEX(PP_Grid[#Data],$DD706,2),0)</f>
        <v/>
      </c>
      <c r="E706">
        <f>IFERROR(INDEX(PP_Grid[#Data],$DD706,3),0)</f>
        <v/>
      </c>
      <c r="F706">
        <f>IFERROR(INDEX(PP_Grid[#Data],$DD706,4),0)</f>
        <v/>
      </c>
      <c r="G706">
        <f>IFERROR(INDEX(PP_Grid[#Data],$DD706,5),0)</f>
        <v/>
      </c>
      <c r="H706">
        <f>IFERROR(INDEX(PP_Grid[#Data],$DD706,6),0)</f>
        <v/>
      </c>
      <c r="I706">
        <f>IFERROR(INDEX(PP_Grid[#Data],$DD706,7),0)</f>
        <v/>
      </c>
      <c r="J706">
        <f>IFERROR(INDEX(PP_Grid[#Data],$DD706,8),0)</f>
        <v/>
      </c>
      <c r="K706">
        <f>IFERROR(INDEX(PP_Grid[#Data],$DD706,9),0)</f>
        <v/>
      </c>
      <c r="L706">
        <f>IFERROR(INDEX(PP_Grid[#Data],$DD706,10),0)</f>
        <v/>
      </c>
      <c r="M706">
        <f>IFERROR(INDEX(PP_Grid[#Data],$DD706,11),0)</f>
        <v/>
      </c>
      <c r="N706">
        <f>IFERROR(INDEX(PP_Grid[#Data],$DD706,12),0)</f>
        <v/>
      </c>
      <c r="O706">
        <f>IFERROR(INDEX(PP_Grid[#Data],$DD706,13),0)</f>
        <v/>
      </c>
      <c r="P706">
        <f>IFERROR(INDEX(PP_Grid[#Data],$DD706,14),0)</f>
        <v/>
      </c>
      <c r="Q706">
        <f>IFERROR(INDEX(PP_Grid[#Data],$DD706,15),0)</f>
        <v/>
      </c>
      <c r="R706">
        <f>IFERROR(INDEX(PP_Grid[#Data],$DD706,16),0)</f>
        <v/>
      </c>
      <c r="S706">
        <f>IFERROR(INDEX(PP_Grid[#Data],$DD706,17),0)</f>
        <v/>
      </c>
      <c r="T706">
        <f>IFERROR(INDEX(PP_Grid[#Data],$DD706,18),0)</f>
        <v/>
      </c>
      <c r="U706">
        <f>IFERROR(INDEX(PP_Grid[#Data],$DD706,19),0)</f>
        <v/>
      </c>
      <c r="V706">
        <f>IFERROR(INDEX(PP_Grid[#Data],$DD706,20),0)</f>
        <v/>
      </c>
      <c r="W706">
        <f>IFERROR(INDEX(PP_Grid[#Data],$DD706,21),0)</f>
        <v/>
      </c>
      <c r="X706">
        <f>IFERROR(INDEX(PP_Grid[#Data],$DD706,22),0)</f>
        <v/>
      </c>
      <c r="Y706">
        <f>IFERROR(INDEX(PP_Grid[#Data],$DD706,23),0)</f>
        <v/>
      </c>
      <c r="Z706">
        <f>IFERROR(INDEX(PP_Grid[#Data],$DD706,24),0)</f>
        <v/>
      </c>
      <c r="AA706">
        <f>IFERROR(INDEX(PP_Grid[#Data],$DD706,25),0)</f>
        <v/>
      </c>
      <c r="AB706">
        <f>IFERROR(INDEX(PP_Grid[#Data],$DD706,26),0)</f>
        <v/>
      </c>
      <c r="AC706">
        <f>IFERROR(INDEX(PP_Grid[#Data],$DD706,27),0)</f>
        <v/>
      </c>
      <c r="AD706">
        <f>IFERROR(INDEX(PP_Grid[#Data],$DD706,28),0)</f>
        <v/>
      </c>
      <c r="AE706">
        <f>IFERROR(INDEX(PP_Grid[#Data],$DD706,29),0)</f>
        <v/>
      </c>
      <c r="AF706">
        <f>IFERROR(INDEX(PP_Grid[#Data],$DD706,30),0)</f>
        <v/>
      </c>
      <c r="AG706">
        <f>IFERROR(INDEX(PP_Grid[#Data],$DD706,31),0)</f>
        <v/>
      </c>
      <c r="AH706">
        <f>IFERROR(INDEX(PP_Grid[#Data],$DD706,32),0)</f>
        <v/>
      </c>
      <c r="AI706">
        <f>IFERROR(INDEX(PP_Grid[#Data],$DD706,33),0)</f>
        <v/>
      </c>
      <c r="AJ706">
        <f>IFERROR(INDEX(PP_Grid[#Data],$DD706,34),0)</f>
        <v/>
      </c>
      <c r="AK706">
        <f>IFERROR(INDEX(PP_Grid[#Data],$DD706,35),0)</f>
        <v/>
      </c>
      <c r="AL706">
        <f>IFERROR(INDEX(PP_Grid[#Data],$DD706,36),0)</f>
        <v/>
      </c>
      <c r="AM706">
        <f>IFERROR(INDEX(PP_Grid[#Data],$DD706,37),0)</f>
        <v/>
      </c>
      <c r="AN706">
        <f>IFERROR(INDEX(PP_Grid[#Data],$DD706,38),0)</f>
        <v/>
      </c>
      <c r="AO706">
        <f>IFERROR(INDEX(PP_Grid[#Data],$DD706,39),0)</f>
        <v/>
      </c>
      <c r="AP706">
        <f>IFERROR(INDEX(PP_Grid[#Data],$DD706,40),0)</f>
        <v/>
      </c>
      <c r="AQ706">
        <f>IFERROR(INDEX(PP_Grid[#Data],$DD706,41),0)</f>
        <v/>
      </c>
      <c r="AR706">
        <f>IFERROR(INDEX(PP_Grid[#Data],$DD706,42),0)</f>
        <v/>
      </c>
      <c r="AS706">
        <f>IFERROR(INDEX(PP_Grid[#Data],$DD706,43),0)</f>
        <v/>
      </c>
      <c r="AT706">
        <f>IFERROR(INDEX(PP_Grid[#Data],$DD706,44),0)</f>
        <v/>
      </c>
      <c r="AU706">
        <f>IFERROR(INDEX(PP_Grid[#Data],$DD706,45),0)</f>
        <v/>
      </c>
      <c r="AV706">
        <f>IFERROR(INDEX(PP_Grid[#Data],$DD706,46),0)</f>
        <v/>
      </c>
      <c r="AW706">
        <f>IFERROR(INDEX(PP_Grid[#Data],$DD706,47),0)</f>
        <v/>
      </c>
      <c r="AX706">
        <f>IFERROR(INDEX(PP_Grid[#Data],$DD706,48),0)</f>
        <v/>
      </c>
      <c r="AY706">
        <f>IFERROR(INDEX(PP_Grid[#Data],$DD706,49),0)</f>
        <v/>
      </c>
      <c r="AZ706">
        <f>IFERROR(INDEX(PP_Grid[#Data],$DD706,50),0)</f>
        <v/>
      </c>
      <c r="BA706">
        <f>IFERROR(INDEX(PP_Grid[#Data],$DD706,51),0)</f>
        <v/>
      </c>
      <c r="BB706">
        <f>IFERROR(INDEX(PP_Grid[#Data],$DD706,52),0)</f>
        <v/>
      </c>
      <c r="BC706">
        <f>IFERROR(INDEX(PP_Grid[#Data],$DD706,53),0)</f>
        <v/>
      </c>
      <c r="BD706">
        <f>IFERROR(INDEX(PP_Grid[#Data],$DD706,54),0)</f>
        <v/>
      </c>
      <c r="BE706">
        <f>IFERROR(INDEX(PP_Grid[#Data],$DD706,55),0)</f>
        <v/>
      </c>
      <c r="BF706">
        <f>IFERROR(INDEX(PP_Grid[#Data],$DD706,56),0)</f>
        <v/>
      </c>
      <c r="BG706">
        <f>IFERROR(INDEX(PP_Grid[#Data],$DD706,57),0)</f>
        <v/>
      </c>
      <c r="BH706">
        <f>IFERROR(INDEX(PP_Grid[#Data],$DD706,58),0)</f>
        <v/>
      </c>
      <c r="BI706">
        <f>IFERROR(INDEX(PP_Grid[#Data],$DD706,59),0)</f>
        <v/>
      </c>
      <c r="BJ706">
        <f>IFERROR(INDEX(PP_Grid[#Data],$DD706,60),0)</f>
        <v/>
      </c>
      <c r="BK706">
        <f>IFERROR(INDEX(PP_Grid[#Data],$DD706,61),0)</f>
        <v/>
      </c>
      <c r="BL706">
        <f>IFERROR(INDEX(PP_Grid[#Data],$DD706,62),0)</f>
        <v/>
      </c>
      <c r="BM706">
        <f>IFERROR(INDEX(PP_Grid[#Data],$DD706,63),0)</f>
        <v/>
      </c>
      <c r="BN706">
        <f>IFERROR(INDEX(PP_Grid[#Data],$DD706,64),0)</f>
        <v/>
      </c>
      <c r="BO706">
        <f>IFERROR(INDEX(PP_Grid[#Data],$DD706,65),0)</f>
        <v/>
      </c>
      <c r="BP706">
        <f>IFERROR(INDEX(PP_Grid[#Data],$DD706,66),0)</f>
        <v/>
      </c>
      <c r="BQ706">
        <f>IFERROR(INDEX(PP_Grid[#Data],$DD706,67),0)</f>
        <v/>
      </c>
      <c r="BR706">
        <f>IFERROR(INDEX(PP_Grid[#Data],$DD706,68),0)</f>
        <v/>
      </c>
      <c r="BS706">
        <f>IFERROR(INDEX(PP_Grid[#Data],$DD706,69),0)</f>
        <v/>
      </c>
      <c r="BT706">
        <f>IFERROR(INDEX(PP_Grid[#Data],$DD706,70),0)</f>
        <v/>
      </c>
      <c r="BU706">
        <f>IFERROR(INDEX(PP_Grid[#Data],$DD706,71),0)</f>
        <v/>
      </c>
      <c r="BV706">
        <f>IFERROR(INDEX(PP_Grid[#Data],$DD706,72),0)</f>
        <v/>
      </c>
      <c r="BW706">
        <f>IFERROR(INDEX(PP_Grid[#Data],$DD706,73),0)</f>
        <v/>
      </c>
      <c r="BX706">
        <f>IFERROR(INDEX(PP_Grid[#Data],$DD706,74),0)</f>
        <v/>
      </c>
      <c r="BY706">
        <f>IFERROR(INDEX(PP_Grid[#Data],$DD706,75),0)</f>
        <v/>
      </c>
      <c r="BZ706">
        <f>IFERROR(INDEX(PP_Grid[#Data],$DD706,76),0)</f>
        <v/>
      </c>
      <c r="CA706">
        <f>IFERROR(INDEX(PP_Grid[#Data],$DD706,77),0)</f>
        <v/>
      </c>
      <c r="CB706">
        <f>IFERROR(INDEX(PP_Grid[#Data],$DD706,78),0)</f>
        <v/>
      </c>
      <c r="CC706">
        <f>IFERROR(INDEX(PP_Grid[#Data],$DD706,79),0)</f>
        <v/>
      </c>
      <c r="CD706">
        <f>IFERROR(INDEX(PP_Grid[#Data],$DD706,80),0)</f>
        <v/>
      </c>
      <c r="CE706">
        <f>IFERROR(INDEX(PP_Grid[#Data],$DD706,81),0)</f>
        <v/>
      </c>
      <c r="CF706">
        <f>IFERROR(INDEX(PP_Grid[#Data],$DD706,82),0)</f>
        <v/>
      </c>
      <c r="CG706">
        <f>IFERROR(INDEX(PP_Grid[#Data],$DD706,83),0)</f>
        <v/>
      </c>
      <c r="CH706">
        <f>IFERROR(INDEX(PP_Grid[#Data],$DD706,84),0)</f>
        <v/>
      </c>
      <c r="CI706">
        <f>IFERROR(INDEX(PP_Grid[#Data],$DD706,85),0)</f>
        <v/>
      </c>
      <c r="CJ706">
        <f>IFERROR(INDEX(PP_Grid[#Data],$DD706,86),0)</f>
        <v/>
      </c>
      <c r="CK706">
        <f>IFERROR(INDEX(PP_Grid[#Data],$DD706,87),0)</f>
        <v/>
      </c>
      <c r="CL706">
        <f>IFERROR(INDEX(PP_Grid[#Data],$DD706,88),0)</f>
        <v/>
      </c>
      <c r="CM706">
        <f>IFERROR(INDEX(PP_Grid[#Data],$DD706,89),0)</f>
        <v/>
      </c>
      <c r="CN706">
        <f>IFERROR(INDEX(PP_Grid[#Data],$DD706,90),0)</f>
        <v/>
      </c>
      <c r="CO706">
        <f>IFERROR(INDEX(PP_Grid[#Data],$DD706,91),0)</f>
        <v/>
      </c>
      <c r="CP706">
        <f>IFERROR(INDEX(PP_Grid[#Data],$DD706,92),0)</f>
        <v/>
      </c>
      <c r="CQ706">
        <f>IFERROR(INDEX(PP_Grid[#Data],$DD706,93),0)</f>
        <v/>
      </c>
      <c r="CR706">
        <f>IFERROR(INDEX(PP_Grid[#Data],$DD706,94),0)</f>
        <v/>
      </c>
      <c r="CS706">
        <f>IFERROR(INDEX(PP_Grid[#Data],$DD706,95),0)</f>
        <v/>
      </c>
      <c r="CT706">
        <f>IFERROR(INDEX(PP_Grid[#Data],$DD706,96),0)</f>
        <v/>
      </c>
      <c r="CU706">
        <f>IFERROR(INDEX(PP_Grid[#Data],$DD706,97),0)</f>
        <v/>
      </c>
      <c r="CV706">
        <f>IFERROR(INDEX(PP_Grid[#Data],$DD706,98),0)</f>
        <v/>
      </c>
      <c r="CW706">
        <f>IFERROR(INDEX(PP_Grid[#Data],$DD706,99),0)</f>
        <v/>
      </c>
      <c r="CX706">
        <f>IFERROR(INDEX(PP_Grid[#Data],$DD706,100),0)</f>
        <v/>
      </c>
      <c r="CY706">
        <f>IFERROR(INDEX(PP_Grid[#Data],$DD706,101),0)</f>
        <v/>
      </c>
      <c r="CZ706">
        <f>IFERROR(INDEX(PP_Grid[#Data],$DD706,102),0)</f>
        <v/>
      </c>
      <c r="DA706">
        <f>IFERROR(INDEX(PP_Grid[#Data],$DD706,103),0)</f>
        <v/>
      </c>
      <c r="DB706">
        <f>IFERROR(INDEX(PP_Grid[#Data],$DD706,104),0)</f>
        <v/>
      </c>
      <c r="DC706">
        <f>IFERROR(INDEX(PP_Grid[#Data],$DD706,105),0)</f>
        <v/>
      </c>
      <c r="DD706" s="12">
        <f>IFERROR(MATCH($B706,PP_Grid[Intermediate],0),99999)</f>
        <v/>
      </c>
    </row>
    <row r="707">
      <c r="B707" t="inlineStr">
        <is>
          <t>使用量(kg)</t>
        </is>
      </c>
      <c r="C707">
        <f>SUMIFS(M_BOM[RM_Qty_Per_Batch],M_BOM[Intermediate],$B706,M_BOM[Part Name],$A669)</f>
        <v/>
      </c>
      <c r="D707">
        <f>$C707*D706</f>
        <v/>
      </c>
      <c r="E707">
        <f>$C707*E706</f>
        <v/>
      </c>
      <c r="F707">
        <f>$C707*F706</f>
        <v/>
      </c>
      <c r="G707">
        <f>$C707*G706</f>
        <v/>
      </c>
      <c r="H707">
        <f>$C707*H706</f>
        <v/>
      </c>
      <c r="I707">
        <f>$C707*I706</f>
        <v/>
      </c>
      <c r="J707">
        <f>$C707*J706</f>
        <v/>
      </c>
      <c r="K707">
        <f>$C707*K706</f>
        <v/>
      </c>
      <c r="L707">
        <f>$C707*L706</f>
        <v/>
      </c>
      <c r="M707">
        <f>$C707*M706</f>
        <v/>
      </c>
      <c r="N707">
        <f>$C707*N706</f>
        <v/>
      </c>
      <c r="O707">
        <f>$C707*O706</f>
        <v/>
      </c>
      <c r="P707">
        <f>$C707*P706</f>
        <v/>
      </c>
      <c r="Q707">
        <f>$C707*Q706</f>
        <v/>
      </c>
      <c r="R707">
        <f>$C707*R706</f>
        <v/>
      </c>
      <c r="S707">
        <f>$C707*S706</f>
        <v/>
      </c>
      <c r="T707">
        <f>$C707*T706</f>
        <v/>
      </c>
      <c r="U707">
        <f>$C707*U706</f>
        <v/>
      </c>
      <c r="V707">
        <f>$C707*V706</f>
        <v/>
      </c>
      <c r="W707">
        <f>$C707*W706</f>
        <v/>
      </c>
      <c r="X707">
        <f>$C707*X706</f>
        <v/>
      </c>
      <c r="Y707">
        <f>$C707*Y706</f>
        <v/>
      </c>
      <c r="Z707">
        <f>$C707*Z706</f>
        <v/>
      </c>
      <c r="AA707">
        <f>$C707*AA706</f>
        <v/>
      </c>
      <c r="AB707">
        <f>$C707*AB706</f>
        <v/>
      </c>
      <c r="AC707">
        <f>$C707*AC706</f>
        <v/>
      </c>
      <c r="AD707">
        <f>$C707*AD706</f>
        <v/>
      </c>
      <c r="AE707">
        <f>$C707*AE706</f>
        <v/>
      </c>
      <c r="AF707">
        <f>$C707*AF706</f>
        <v/>
      </c>
      <c r="AG707">
        <f>$C707*AG706</f>
        <v/>
      </c>
      <c r="AH707">
        <f>$C707*AH706</f>
        <v/>
      </c>
      <c r="AI707">
        <f>$C707*AI706</f>
        <v/>
      </c>
      <c r="AJ707">
        <f>$C707*AJ706</f>
        <v/>
      </c>
      <c r="AK707">
        <f>$C707*AK706</f>
        <v/>
      </c>
      <c r="AL707">
        <f>$C707*AL706</f>
        <v/>
      </c>
      <c r="AM707">
        <f>$C707*AM706</f>
        <v/>
      </c>
      <c r="AN707">
        <f>$C707*AN706</f>
        <v/>
      </c>
      <c r="AO707">
        <f>$C707*AO706</f>
        <v/>
      </c>
      <c r="AP707">
        <f>$C707*AP706</f>
        <v/>
      </c>
      <c r="AQ707">
        <f>$C707*AQ706</f>
        <v/>
      </c>
      <c r="AR707">
        <f>$C707*AR706</f>
        <v/>
      </c>
      <c r="AS707">
        <f>$C707*AS706</f>
        <v/>
      </c>
      <c r="AT707">
        <f>$C707*AT706</f>
        <v/>
      </c>
      <c r="AU707">
        <f>$C707*AU706</f>
        <v/>
      </c>
      <c r="AV707">
        <f>$C707*AV706</f>
        <v/>
      </c>
      <c r="AW707">
        <f>$C707*AW706</f>
        <v/>
      </c>
      <c r="AX707">
        <f>$C707*AX706</f>
        <v/>
      </c>
      <c r="AY707">
        <f>$C707*AY706</f>
        <v/>
      </c>
      <c r="AZ707">
        <f>$C707*AZ706</f>
        <v/>
      </c>
      <c r="BA707">
        <f>$C707*BA706</f>
        <v/>
      </c>
      <c r="BB707">
        <f>$C707*BB706</f>
        <v/>
      </c>
      <c r="BC707">
        <f>$C707*BC706</f>
        <v/>
      </c>
      <c r="BD707">
        <f>$C707*BD706</f>
        <v/>
      </c>
      <c r="BE707">
        <f>$C707*BE706</f>
        <v/>
      </c>
      <c r="BF707">
        <f>$C707*BF706</f>
        <v/>
      </c>
      <c r="BG707">
        <f>$C707*BG706</f>
        <v/>
      </c>
      <c r="BH707">
        <f>$C707*BH706</f>
        <v/>
      </c>
      <c r="BI707">
        <f>$C707*BI706</f>
        <v/>
      </c>
      <c r="BJ707">
        <f>$C707*BJ706</f>
        <v/>
      </c>
      <c r="BK707">
        <f>$C707*BK706</f>
        <v/>
      </c>
      <c r="BL707">
        <f>$C707*BL706</f>
        <v/>
      </c>
      <c r="BM707">
        <f>$C707*BM706</f>
        <v/>
      </c>
      <c r="BN707">
        <f>$C707*BN706</f>
        <v/>
      </c>
      <c r="BO707">
        <f>$C707*BO706</f>
        <v/>
      </c>
      <c r="BP707">
        <f>$C707*BP706</f>
        <v/>
      </c>
      <c r="BQ707">
        <f>$C707*BQ706</f>
        <v/>
      </c>
      <c r="BR707">
        <f>$C707*BR706</f>
        <v/>
      </c>
      <c r="BS707">
        <f>$C707*BS706</f>
        <v/>
      </c>
      <c r="BT707">
        <f>$C707*BT706</f>
        <v/>
      </c>
      <c r="BU707">
        <f>$C707*BU706</f>
        <v/>
      </c>
      <c r="BV707">
        <f>$C707*BV706</f>
        <v/>
      </c>
      <c r="BW707">
        <f>$C707*BW706</f>
        <v/>
      </c>
      <c r="BX707">
        <f>$C707*BX706</f>
        <v/>
      </c>
      <c r="BY707">
        <f>$C707*BY706</f>
        <v/>
      </c>
      <c r="BZ707">
        <f>$C707*BZ706</f>
        <v/>
      </c>
      <c r="CA707">
        <f>$C707*CA706</f>
        <v/>
      </c>
      <c r="CB707">
        <f>$C707*CB706</f>
        <v/>
      </c>
      <c r="CC707">
        <f>$C707*CC706</f>
        <v/>
      </c>
      <c r="CD707">
        <f>$C707*CD706</f>
        <v/>
      </c>
      <c r="CE707">
        <f>$C707*CE706</f>
        <v/>
      </c>
      <c r="CF707">
        <f>$C707*CF706</f>
        <v/>
      </c>
      <c r="CG707">
        <f>$C707*CG706</f>
        <v/>
      </c>
      <c r="CH707">
        <f>$C707*CH706</f>
        <v/>
      </c>
      <c r="CI707">
        <f>$C707*CI706</f>
        <v/>
      </c>
      <c r="CJ707">
        <f>$C707*CJ706</f>
        <v/>
      </c>
      <c r="CK707">
        <f>$C707*CK706</f>
        <v/>
      </c>
      <c r="CL707">
        <f>$C707*CL706</f>
        <v/>
      </c>
      <c r="CM707">
        <f>$C707*CM706</f>
        <v/>
      </c>
      <c r="CN707">
        <f>$C707*CN706</f>
        <v/>
      </c>
      <c r="CO707">
        <f>$C707*CO706</f>
        <v/>
      </c>
      <c r="CP707">
        <f>$C707*CP706</f>
        <v/>
      </c>
      <c r="CQ707">
        <f>$C707*CQ706</f>
        <v/>
      </c>
      <c r="CR707">
        <f>$C707*CR706</f>
        <v/>
      </c>
      <c r="CS707">
        <f>$C707*CS706</f>
        <v/>
      </c>
      <c r="CT707">
        <f>$C707*CT706</f>
        <v/>
      </c>
      <c r="CU707">
        <f>$C707*CU706</f>
        <v/>
      </c>
      <c r="CV707">
        <f>$C707*CV706</f>
        <v/>
      </c>
      <c r="CW707">
        <f>$C707*CW706</f>
        <v/>
      </c>
      <c r="CX707">
        <f>$C707*CX706</f>
        <v/>
      </c>
      <c r="CY707">
        <f>$C707*CY706</f>
        <v/>
      </c>
      <c r="CZ707">
        <f>$C707*CZ706</f>
        <v/>
      </c>
      <c r="DA707">
        <f>$C707*DA706</f>
        <v/>
      </c>
      <c r="DB707">
        <f>$C707*DB706</f>
        <v/>
      </c>
      <c r="DC707">
        <f>$C707*DC706</f>
        <v/>
      </c>
    </row>
    <row r="708">
      <c r="B708" t="inlineStr">
        <is>
          <t>TSP-205</t>
        </is>
      </c>
      <c r="C708" t="inlineStr">
        <is>
          <t>No. of batches</t>
        </is>
      </c>
      <c r="D708">
        <f>IFERROR(INDEX(PP_Grid[#Data],$DD708,2),0)</f>
        <v/>
      </c>
      <c r="E708">
        <f>IFERROR(INDEX(PP_Grid[#Data],$DD708,3),0)</f>
        <v/>
      </c>
      <c r="F708">
        <f>IFERROR(INDEX(PP_Grid[#Data],$DD708,4),0)</f>
        <v/>
      </c>
      <c r="G708">
        <f>IFERROR(INDEX(PP_Grid[#Data],$DD708,5),0)</f>
        <v/>
      </c>
      <c r="H708">
        <f>IFERROR(INDEX(PP_Grid[#Data],$DD708,6),0)</f>
        <v/>
      </c>
      <c r="I708">
        <f>IFERROR(INDEX(PP_Grid[#Data],$DD708,7),0)</f>
        <v/>
      </c>
      <c r="J708">
        <f>IFERROR(INDEX(PP_Grid[#Data],$DD708,8),0)</f>
        <v/>
      </c>
      <c r="K708">
        <f>IFERROR(INDEX(PP_Grid[#Data],$DD708,9),0)</f>
        <v/>
      </c>
      <c r="L708">
        <f>IFERROR(INDEX(PP_Grid[#Data],$DD708,10),0)</f>
        <v/>
      </c>
      <c r="M708">
        <f>IFERROR(INDEX(PP_Grid[#Data],$DD708,11),0)</f>
        <v/>
      </c>
      <c r="N708">
        <f>IFERROR(INDEX(PP_Grid[#Data],$DD708,12),0)</f>
        <v/>
      </c>
      <c r="O708">
        <f>IFERROR(INDEX(PP_Grid[#Data],$DD708,13),0)</f>
        <v/>
      </c>
      <c r="P708">
        <f>IFERROR(INDEX(PP_Grid[#Data],$DD708,14),0)</f>
        <v/>
      </c>
      <c r="Q708">
        <f>IFERROR(INDEX(PP_Grid[#Data],$DD708,15),0)</f>
        <v/>
      </c>
      <c r="R708">
        <f>IFERROR(INDEX(PP_Grid[#Data],$DD708,16),0)</f>
        <v/>
      </c>
      <c r="S708">
        <f>IFERROR(INDEX(PP_Grid[#Data],$DD708,17),0)</f>
        <v/>
      </c>
      <c r="T708">
        <f>IFERROR(INDEX(PP_Grid[#Data],$DD708,18),0)</f>
        <v/>
      </c>
      <c r="U708">
        <f>IFERROR(INDEX(PP_Grid[#Data],$DD708,19),0)</f>
        <v/>
      </c>
      <c r="V708">
        <f>IFERROR(INDEX(PP_Grid[#Data],$DD708,20),0)</f>
        <v/>
      </c>
      <c r="W708">
        <f>IFERROR(INDEX(PP_Grid[#Data],$DD708,21),0)</f>
        <v/>
      </c>
      <c r="X708">
        <f>IFERROR(INDEX(PP_Grid[#Data],$DD708,22),0)</f>
        <v/>
      </c>
      <c r="Y708">
        <f>IFERROR(INDEX(PP_Grid[#Data],$DD708,23),0)</f>
        <v/>
      </c>
      <c r="Z708">
        <f>IFERROR(INDEX(PP_Grid[#Data],$DD708,24),0)</f>
        <v/>
      </c>
      <c r="AA708">
        <f>IFERROR(INDEX(PP_Grid[#Data],$DD708,25),0)</f>
        <v/>
      </c>
      <c r="AB708">
        <f>IFERROR(INDEX(PP_Grid[#Data],$DD708,26),0)</f>
        <v/>
      </c>
      <c r="AC708">
        <f>IFERROR(INDEX(PP_Grid[#Data],$DD708,27),0)</f>
        <v/>
      </c>
      <c r="AD708">
        <f>IFERROR(INDEX(PP_Grid[#Data],$DD708,28),0)</f>
        <v/>
      </c>
      <c r="AE708">
        <f>IFERROR(INDEX(PP_Grid[#Data],$DD708,29),0)</f>
        <v/>
      </c>
      <c r="AF708">
        <f>IFERROR(INDEX(PP_Grid[#Data],$DD708,30),0)</f>
        <v/>
      </c>
      <c r="AG708">
        <f>IFERROR(INDEX(PP_Grid[#Data],$DD708,31),0)</f>
        <v/>
      </c>
      <c r="AH708">
        <f>IFERROR(INDEX(PP_Grid[#Data],$DD708,32),0)</f>
        <v/>
      </c>
      <c r="AI708">
        <f>IFERROR(INDEX(PP_Grid[#Data],$DD708,33),0)</f>
        <v/>
      </c>
      <c r="AJ708">
        <f>IFERROR(INDEX(PP_Grid[#Data],$DD708,34),0)</f>
        <v/>
      </c>
      <c r="AK708">
        <f>IFERROR(INDEX(PP_Grid[#Data],$DD708,35),0)</f>
        <v/>
      </c>
      <c r="AL708">
        <f>IFERROR(INDEX(PP_Grid[#Data],$DD708,36),0)</f>
        <v/>
      </c>
      <c r="AM708">
        <f>IFERROR(INDEX(PP_Grid[#Data],$DD708,37),0)</f>
        <v/>
      </c>
      <c r="AN708">
        <f>IFERROR(INDEX(PP_Grid[#Data],$DD708,38),0)</f>
        <v/>
      </c>
      <c r="AO708">
        <f>IFERROR(INDEX(PP_Grid[#Data],$DD708,39),0)</f>
        <v/>
      </c>
      <c r="AP708">
        <f>IFERROR(INDEX(PP_Grid[#Data],$DD708,40),0)</f>
        <v/>
      </c>
      <c r="AQ708">
        <f>IFERROR(INDEX(PP_Grid[#Data],$DD708,41),0)</f>
        <v/>
      </c>
      <c r="AR708">
        <f>IFERROR(INDEX(PP_Grid[#Data],$DD708,42),0)</f>
        <v/>
      </c>
      <c r="AS708">
        <f>IFERROR(INDEX(PP_Grid[#Data],$DD708,43),0)</f>
        <v/>
      </c>
      <c r="AT708">
        <f>IFERROR(INDEX(PP_Grid[#Data],$DD708,44),0)</f>
        <v/>
      </c>
      <c r="AU708">
        <f>IFERROR(INDEX(PP_Grid[#Data],$DD708,45),0)</f>
        <v/>
      </c>
      <c r="AV708">
        <f>IFERROR(INDEX(PP_Grid[#Data],$DD708,46),0)</f>
        <v/>
      </c>
      <c r="AW708">
        <f>IFERROR(INDEX(PP_Grid[#Data],$DD708,47),0)</f>
        <v/>
      </c>
      <c r="AX708">
        <f>IFERROR(INDEX(PP_Grid[#Data],$DD708,48),0)</f>
        <v/>
      </c>
      <c r="AY708">
        <f>IFERROR(INDEX(PP_Grid[#Data],$DD708,49),0)</f>
        <v/>
      </c>
      <c r="AZ708">
        <f>IFERROR(INDEX(PP_Grid[#Data],$DD708,50),0)</f>
        <v/>
      </c>
      <c r="BA708">
        <f>IFERROR(INDEX(PP_Grid[#Data],$DD708,51),0)</f>
        <v/>
      </c>
      <c r="BB708">
        <f>IFERROR(INDEX(PP_Grid[#Data],$DD708,52),0)</f>
        <v/>
      </c>
      <c r="BC708">
        <f>IFERROR(INDEX(PP_Grid[#Data],$DD708,53),0)</f>
        <v/>
      </c>
      <c r="BD708">
        <f>IFERROR(INDEX(PP_Grid[#Data],$DD708,54),0)</f>
        <v/>
      </c>
      <c r="BE708">
        <f>IFERROR(INDEX(PP_Grid[#Data],$DD708,55),0)</f>
        <v/>
      </c>
      <c r="BF708">
        <f>IFERROR(INDEX(PP_Grid[#Data],$DD708,56),0)</f>
        <v/>
      </c>
      <c r="BG708">
        <f>IFERROR(INDEX(PP_Grid[#Data],$DD708,57),0)</f>
        <v/>
      </c>
      <c r="BH708">
        <f>IFERROR(INDEX(PP_Grid[#Data],$DD708,58),0)</f>
        <v/>
      </c>
      <c r="BI708">
        <f>IFERROR(INDEX(PP_Grid[#Data],$DD708,59),0)</f>
        <v/>
      </c>
      <c r="BJ708">
        <f>IFERROR(INDEX(PP_Grid[#Data],$DD708,60),0)</f>
        <v/>
      </c>
      <c r="BK708">
        <f>IFERROR(INDEX(PP_Grid[#Data],$DD708,61),0)</f>
        <v/>
      </c>
      <c r="BL708">
        <f>IFERROR(INDEX(PP_Grid[#Data],$DD708,62),0)</f>
        <v/>
      </c>
      <c r="BM708">
        <f>IFERROR(INDEX(PP_Grid[#Data],$DD708,63),0)</f>
        <v/>
      </c>
      <c r="BN708">
        <f>IFERROR(INDEX(PP_Grid[#Data],$DD708,64),0)</f>
        <v/>
      </c>
      <c r="BO708">
        <f>IFERROR(INDEX(PP_Grid[#Data],$DD708,65),0)</f>
        <v/>
      </c>
      <c r="BP708">
        <f>IFERROR(INDEX(PP_Grid[#Data],$DD708,66),0)</f>
        <v/>
      </c>
      <c r="BQ708">
        <f>IFERROR(INDEX(PP_Grid[#Data],$DD708,67),0)</f>
        <v/>
      </c>
      <c r="BR708">
        <f>IFERROR(INDEX(PP_Grid[#Data],$DD708,68),0)</f>
        <v/>
      </c>
      <c r="BS708">
        <f>IFERROR(INDEX(PP_Grid[#Data],$DD708,69),0)</f>
        <v/>
      </c>
      <c r="BT708">
        <f>IFERROR(INDEX(PP_Grid[#Data],$DD708,70),0)</f>
        <v/>
      </c>
      <c r="BU708">
        <f>IFERROR(INDEX(PP_Grid[#Data],$DD708,71),0)</f>
        <v/>
      </c>
      <c r="BV708">
        <f>IFERROR(INDEX(PP_Grid[#Data],$DD708,72),0)</f>
        <v/>
      </c>
      <c r="BW708">
        <f>IFERROR(INDEX(PP_Grid[#Data],$DD708,73),0)</f>
        <v/>
      </c>
      <c r="BX708">
        <f>IFERROR(INDEX(PP_Grid[#Data],$DD708,74),0)</f>
        <v/>
      </c>
      <c r="BY708">
        <f>IFERROR(INDEX(PP_Grid[#Data],$DD708,75),0)</f>
        <v/>
      </c>
      <c r="BZ708">
        <f>IFERROR(INDEX(PP_Grid[#Data],$DD708,76),0)</f>
        <v/>
      </c>
      <c r="CA708">
        <f>IFERROR(INDEX(PP_Grid[#Data],$DD708,77),0)</f>
        <v/>
      </c>
      <c r="CB708">
        <f>IFERROR(INDEX(PP_Grid[#Data],$DD708,78),0)</f>
        <v/>
      </c>
      <c r="CC708">
        <f>IFERROR(INDEX(PP_Grid[#Data],$DD708,79),0)</f>
        <v/>
      </c>
      <c r="CD708">
        <f>IFERROR(INDEX(PP_Grid[#Data],$DD708,80),0)</f>
        <v/>
      </c>
      <c r="CE708">
        <f>IFERROR(INDEX(PP_Grid[#Data],$DD708,81),0)</f>
        <v/>
      </c>
      <c r="CF708">
        <f>IFERROR(INDEX(PP_Grid[#Data],$DD708,82),0)</f>
        <v/>
      </c>
      <c r="CG708">
        <f>IFERROR(INDEX(PP_Grid[#Data],$DD708,83),0)</f>
        <v/>
      </c>
      <c r="CH708">
        <f>IFERROR(INDEX(PP_Grid[#Data],$DD708,84),0)</f>
        <v/>
      </c>
      <c r="CI708">
        <f>IFERROR(INDEX(PP_Grid[#Data],$DD708,85),0)</f>
        <v/>
      </c>
      <c r="CJ708">
        <f>IFERROR(INDEX(PP_Grid[#Data],$DD708,86),0)</f>
        <v/>
      </c>
      <c r="CK708">
        <f>IFERROR(INDEX(PP_Grid[#Data],$DD708,87),0)</f>
        <v/>
      </c>
      <c r="CL708">
        <f>IFERROR(INDEX(PP_Grid[#Data],$DD708,88),0)</f>
        <v/>
      </c>
      <c r="CM708">
        <f>IFERROR(INDEX(PP_Grid[#Data],$DD708,89),0)</f>
        <v/>
      </c>
      <c r="CN708">
        <f>IFERROR(INDEX(PP_Grid[#Data],$DD708,90),0)</f>
        <v/>
      </c>
      <c r="CO708">
        <f>IFERROR(INDEX(PP_Grid[#Data],$DD708,91),0)</f>
        <v/>
      </c>
      <c r="CP708">
        <f>IFERROR(INDEX(PP_Grid[#Data],$DD708,92),0)</f>
        <v/>
      </c>
      <c r="CQ708">
        <f>IFERROR(INDEX(PP_Grid[#Data],$DD708,93),0)</f>
        <v/>
      </c>
      <c r="CR708">
        <f>IFERROR(INDEX(PP_Grid[#Data],$DD708,94),0)</f>
        <v/>
      </c>
      <c r="CS708">
        <f>IFERROR(INDEX(PP_Grid[#Data],$DD708,95),0)</f>
        <v/>
      </c>
      <c r="CT708">
        <f>IFERROR(INDEX(PP_Grid[#Data],$DD708,96),0)</f>
        <v/>
      </c>
      <c r="CU708">
        <f>IFERROR(INDEX(PP_Grid[#Data],$DD708,97),0)</f>
        <v/>
      </c>
      <c r="CV708">
        <f>IFERROR(INDEX(PP_Grid[#Data],$DD708,98),0)</f>
        <v/>
      </c>
      <c r="CW708">
        <f>IFERROR(INDEX(PP_Grid[#Data],$DD708,99),0)</f>
        <v/>
      </c>
      <c r="CX708">
        <f>IFERROR(INDEX(PP_Grid[#Data],$DD708,100),0)</f>
        <v/>
      </c>
      <c r="CY708">
        <f>IFERROR(INDEX(PP_Grid[#Data],$DD708,101),0)</f>
        <v/>
      </c>
      <c r="CZ708">
        <f>IFERROR(INDEX(PP_Grid[#Data],$DD708,102),0)</f>
        <v/>
      </c>
      <c r="DA708">
        <f>IFERROR(INDEX(PP_Grid[#Data],$DD708,103),0)</f>
        <v/>
      </c>
      <c r="DB708">
        <f>IFERROR(INDEX(PP_Grid[#Data],$DD708,104),0)</f>
        <v/>
      </c>
      <c r="DC708">
        <f>IFERROR(INDEX(PP_Grid[#Data],$DD708,105),0)</f>
        <v/>
      </c>
      <c r="DD708" s="12">
        <f>IFERROR(MATCH($B708,PP_Grid[Intermediate],0),99999)</f>
        <v/>
      </c>
    </row>
    <row r="709">
      <c r="B709" t="inlineStr">
        <is>
          <t>使用量(kg)</t>
        </is>
      </c>
      <c r="C709">
        <f>SUMIFS(M_BOM[RM_Qty_Per_Batch],M_BOM[Intermediate],$B708,M_BOM[Part Name],$A669)</f>
        <v/>
      </c>
      <c r="D709">
        <f>$C709*D708</f>
        <v/>
      </c>
      <c r="E709">
        <f>$C709*E708</f>
        <v/>
      </c>
      <c r="F709">
        <f>$C709*F708</f>
        <v/>
      </c>
      <c r="G709">
        <f>$C709*G708</f>
        <v/>
      </c>
      <c r="H709">
        <f>$C709*H708</f>
        <v/>
      </c>
      <c r="I709">
        <f>$C709*I708</f>
        <v/>
      </c>
      <c r="J709">
        <f>$C709*J708</f>
        <v/>
      </c>
      <c r="K709">
        <f>$C709*K708</f>
        <v/>
      </c>
      <c r="L709">
        <f>$C709*L708</f>
        <v/>
      </c>
      <c r="M709">
        <f>$C709*M708</f>
        <v/>
      </c>
      <c r="N709">
        <f>$C709*N708</f>
        <v/>
      </c>
      <c r="O709">
        <f>$C709*O708</f>
        <v/>
      </c>
      <c r="P709">
        <f>$C709*P708</f>
        <v/>
      </c>
      <c r="Q709">
        <f>$C709*Q708</f>
        <v/>
      </c>
      <c r="R709">
        <f>$C709*R708</f>
        <v/>
      </c>
      <c r="S709">
        <f>$C709*S708</f>
        <v/>
      </c>
      <c r="T709">
        <f>$C709*T708</f>
        <v/>
      </c>
      <c r="U709">
        <f>$C709*U708</f>
        <v/>
      </c>
      <c r="V709">
        <f>$C709*V708</f>
        <v/>
      </c>
      <c r="W709">
        <f>$C709*W708</f>
        <v/>
      </c>
      <c r="X709">
        <f>$C709*X708</f>
        <v/>
      </c>
      <c r="Y709">
        <f>$C709*Y708</f>
        <v/>
      </c>
      <c r="Z709">
        <f>$C709*Z708</f>
        <v/>
      </c>
      <c r="AA709">
        <f>$C709*AA708</f>
        <v/>
      </c>
      <c r="AB709">
        <f>$C709*AB708</f>
        <v/>
      </c>
      <c r="AC709">
        <f>$C709*AC708</f>
        <v/>
      </c>
      <c r="AD709">
        <f>$C709*AD708</f>
        <v/>
      </c>
      <c r="AE709">
        <f>$C709*AE708</f>
        <v/>
      </c>
      <c r="AF709">
        <f>$C709*AF708</f>
        <v/>
      </c>
      <c r="AG709">
        <f>$C709*AG708</f>
        <v/>
      </c>
      <c r="AH709">
        <f>$C709*AH708</f>
        <v/>
      </c>
      <c r="AI709">
        <f>$C709*AI708</f>
        <v/>
      </c>
      <c r="AJ709">
        <f>$C709*AJ708</f>
        <v/>
      </c>
      <c r="AK709">
        <f>$C709*AK708</f>
        <v/>
      </c>
      <c r="AL709">
        <f>$C709*AL708</f>
        <v/>
      </c>
      <c r="AM709">
        <f>$C709*AM708</f>
        <v/>
      </c>
      <c r="AN709">
        <f>$C709*AN708</f>
        <v/>
      </c>
      <c r="AO709">
        <f>$C709*AO708</f>
        <v/>
      </c>
      <c r="AP709">
        <f>$C709*AP708</f>
        <v/>
      </c>
      <c r="AQ709">
        <f>$C709*AQ708</f>
        <v/>
      </c>
      <c r="AR709">
        <f>$C709*AR708</f>
        <v/>
      </c>
      <c r="AS709">
        <f>$C709*AS708</f>
        <v/>
      </c>
      <c r="AT709">
        <f>$C709*AT708</f>
        <v/>
      </c>
      <c r="AU709">
        <f>$C709*AU708</f>
        <v/>
      </c>
      <c r="AV709">
        <f>$C709*AV708</f>
        <v/>
      </c>
      <c r="AW709">
        <f>$C709*AW708</f>
        <v/>
      </c>
      <c r="AX709">
        <f>$C709*AX708</f>
        <v/>
      </c>
      <c r="AY709">
        <f>$C709*AY708</f>
        <v/>
      </c>
      <c r="AZ709">
        <f>$C709*AZ708</f>
        <v/>
      </c>
      <c r="BA709">
        <f>$C709*BA708</f>
        <v/>
      </c>
      <c r="BB709">
        <f>$C709*BB708</f>
        <v/>
      </c>
      <c r="BC709">
        <f>$C709*BC708</f>
        <v/>
      </c>
      <c r="BD709">
        <f>$C709*BD708</f>
        <v/>
      </c>
      <c r="BE709">
        <f>$C709*BE708</f>
        <v/>
      </c>
      <c r="BF709">
        <f>$C709*BF708</f>
        <v/>
      </c>
      <c r="BG709">
        <f>$C709*BG708</f>
        <v/>
      </c>
      <c r="BH709">
        <f>$C709*BH708</f>
        <v/>
      </c>
      <c r="BI709">
        <f>$C709*BI708</f>
        <v/>
      </c>
      <c r="BJ709">
        <f>$C709*BJ708</f>
        <v/>
      </c>
      <c r="BK709">
        <f>$C709*BK708</f>
        <v/>
      </c>
      <c r="BL709">
        <f>$C709*BL708</f>
        <v/>
      </c>
      <c r="BM709">
        <f>$C709*BM708</f>
        <v/>
      </c>
      <c r="BN709">
        <f>$C709*BN708</f>
        <v/>
      </c>
      <c r="BO709">
        <f>$C709*BO708</f>
        <v/>
      </c>
      <c r="BP709">
        <f>$C709*BP708</f>
        <v/>
      </c>
      <c r="BQ709">
        <f>$C709*BQ708</f>
        <v/>
      </c>
      <c r="BR709">
        <f>$C709*BR708</f>
        <v/>
      </c>
      <c r="BS709">
        <f>$C709*BS708</f>
        <v/>
      </c>
      <c r="BT709">
        <f>$C709*BT708</f>
        <v/>
      </c>
      <c r="BU709">
        <f>$C709*BU708</f>
        <v/>
      </c>
      <c r="BV709">
        <f>$C709*BV708</f>
        <v/>
      </c>
      <c r="BW709">
        <f>$C709*BW708</f>
        <v/>
      </c>
      <c r="BX709">
        <f>$C709*BX708</f>
        <v/>
      </c>
      <c r="BY709">
        <f>$C709*BY708</f>
        <v/>
      </c>
      <c r="BZ709">
        <f>$C709*BZ708</f>
        <v/>
      </c>
      <c r="CA709">
        <f>$C709*CA708</f>
        <v/>
      </c>
      <c r="CB709">
        <f>$C709*CB708</f>
        <v/>
      </c>
      <c r="CC709">
        <f>$C709*CC708</f>
        <v/>
      </c>
      <c r="CD709">
        <f>$C709*CD708</f>
        <v/>
      </c>
      <c r="CE709">
        <f>$C709*CE708</f>
        <v/>
      </c>
      <c r="CF709">
        <f>$C709*CF708</f>
        <v/>
      </c>
      <c r="CG709">
        <f>$C709*CG708</f>
        <v/>
      </c>
      <c r="CH709">
        <f>$C709*CH708</f>
        <v/>
      </c>
      <c r="CI709">
        <f>$C709*CI708</f>
        <v/>
      </c>
      <c r="CJ709">
        <f>$C709*CJ708</f>
        <v/>
      </c>
      <c r="CK709">
        <f>$C709*CK708</f>
        <v/>
      </c>
      <c r="CL709">
        <f>$C709*CL708</f>
        <v/>
      </c>
      <c r="CM709">
        <f>$C709*CM708</f>
        <v/>
      </c>
      <c r="CN709">
        <f>$C709*CN708</f>
        <v/>
      </c>
      <c r="CO709">
        <f>$C709*CO708</f>
        <v/>
      </c>
      <c r="CP709">
        <f>$C709*CP708</f>
        <v/>
      </c>
      <c r="CQ709">
        <f>$C709*CQ708</f>
        <v/>
      </c>
      <c r="CR709">
        <f>$C709*CR708</f>
        <v/>
      </c>
      <c r="CS709">
        <f>$C709*CS708</f>
        <v/>
      </c>
      <c r="CT709">
        <f>$C709*CT708</f>
        <v/>
      </c>
      <c r="CU709">
        <f>$C709*CU708</f>
        <v/>
      </c>
      <c r="CV709">
        <f>$C709*CV708</f>
        <v/>
      </c>
      <c r="CW709">
        <f>$C709*CW708</f>
        <v/>
      </c>
      <c r="CX709">
        <f>$C709*CX708</f>
        <v/>
      </c>
      <c r="CY709">
        <f>$C709*CY708</f>
        <v/>
      </c>
      <c r="CZ709">
        <f>$C709*CZ708</f>
        <v/>
      </c>
      <c r="DA709">
        <f>$C709*DA708</f>
        <v/>
      </c>
      <c r="DB709">
        <f>$C709*DB708</f>
        <v/>
      </c>
      <c r="DC709">
        <f>$C709*DC708</f>
        <v/>
      </c>
    </row>
    <row r="710">
      <c r="B710" t="inlineStr">
        <is>
          <t>TSP-206</t>
        </is>
      </c>
      <c r="C710" t="inlineStr">
        <is>
          <t>No. of batches</t>
        </is>
      </c>
      <c r="D710">
        <f>IFERROR(INDEX(PP_Grid[#Data],$DD710,2),0)</f>
        <v/>
      </c>
      <c r="E710">
        <f>IFERROR(INDEX(PP_Grid[#Data],$DD710,3),0)</f>
        <v/>
      </c>
      <c r="F710">
        <f>IFERROR(INDEX(PP_Grid[#Data],$DD710,4),0)</f>
        <v/>
      </c>
      <c r="G710">
        <f>IFERROR(INDEX(PP_Grid[#Data],$DD710,5),0)</f>
        <v/>
      </c>
      <c r="H710">
        <f>IFERROR(INDEX(PP_Grid[#Data],$DD710,6),0)</f>
        <v/>
      </c>
      <c r="I710">
        <f>IFERROR(INDEX(PP_Grid[#Data],$DD710,7),0)</f>
        <v/>
      </c>
      <c r="J710">
        <f>IFERROR(INDEX(PP_Grid[#Data],$DD710,8),0)</f>
        <v/>
      </c>
      <c r="K710">
        <f>IFERROR(INDEX(PP_Grid[#Data],$DD710,9),0)</f>
        <v/>
      </c>
      <c r="L710">
        <f>IFERROR(INDEX(PP_Grid[#Data],$DD710,10),0)</f>
        <v/>
      </c>
      <c r="M710">
        <f>IFERROR(INDEX(PP_Grid[#Data],$DD710,11),0)</f>
        <v/>
      </c>
      <c r="N710">
        <f>IFERROR(INDEX(PP_Grid[#Data],$DD710,12),0)</f>
        <v/>
      </c>
      <c r="O710">
        <f>IFERROR(INDEX(PP_Grid[#Data],$DD710,13),0)</f>
        <v/>
      </c>
      <c r="P710">
        <f>IFERROR(INDEX(PP_Grid[#Data],$DD710,14),0)</f>
        <v/>
      </c>
      <c r="Q710">
        <f>IFERROR(INDEX(PP_Grid[#Data],$DD710,15),0)</f>
        <v/>
      </c>
      <c r="R710">
        <f>IFERROR(INDEX(PP_Grid[#Data],$DD710,16),0)</f>
        <v/>
      </c>
      <c r="S710">
        <f>IFERROR(INDEX(PP_Grid[#Data],$DD710,17),0)</f>
        <v/>
      </c>
      <c r="T710">
        <f>IFERROR(INDEX(PP_Grid[#Data],$DD710,18),0)</f>
        <v/>
      </c>
      <c r="U710">
        <f>IFERROR(INDEX(PP_Grid[#Data],$DD710,19),0)</f>
        <v/>
      </c>
      <c r="V710">
        <f>IFERROR(INDEX(PP_Grid[#Data],$DD710,20),0)</f>
        <v/>
      </c>
      <c r="W710">
        <f>IFERROR(INDEX(PP_Grid[#Data],$DD710,21),0)</f>
        <v/>
      </c>
      <c r="X710">
        <f>IFERROR(INDEX(PP_Grid[#Data],$DD710,22),0)</f>
        <v/>
      </c>
      <c r="Y710">
        <f>IFERROR(INDEX(PP_Grid[#Data],$DD710,23),0)</f>
        <v/>
      </c>
      <c r="Z710">
        <f>IFERROR(INDEX(PP_Grid[#Data],$DD710,24),0)</f>
        <v/>
      </c>
      <c r="AA710">
        <f>IFERROR(INDEX(PP_Grid[#Data],$DD710,25),0)</f>
        <v/>
      </c>
      <c r="AB710">
        <f>IFERROR(INDEX(PP_Grid[#Data],$DD710,26),0)</f>
        <v/>
      </c>
      <c r="AC710">
        <f>IFERROR(INDEX(PP_Grid[#Data],$DD710,27),0)</f>
        <v/>
      </c>
      <c r="AD710">
        <f>IFERROR(INDEX(PP_Grid[#Data],$DD710,28),0)</f>
        <v/>
      </c>
      <c r="AE710">
        <f>IFERROR(INDEX(PP_Grid[#Data],$DD710,29),0)</f>
        <v/>
      </c>
      <c r="AF710">
        <f>IFERROR(INDEX(PP_Grid[#Data],$DD710,30),0)</f>
        <v/>
      </c>
      <c r="AG710">
        <f>IFERROR(INDEX(PP_Grid[#Data],$DD710,31),0)</f>
        <v/>
      </c>
      <c r="AH710">
        <f>IFERROR(INDEX(PP_Grid[#Data],$DD710,32),0)</f>
        <v/>
      </c>
      <c r="AI710">
        <f>IFERROR(INDEX(PP_Grid[#Data],$DD710,33),0)</f>
        <v/>
      </c>
      <c r="AJ710">
        <f>IFERROR(INDEX(PP_Grid[#Data],$DD710,34),0)</f>
        <v/>
      </c>
      <c r="AK710">
        <f>IFERROR(INDEX(PP_Grid[#Data],$DD710,35),0)</f>
        <v/>
      </c>
      <c r="AL710">
        <f>IFERROR(INDEX(PP_Grid[#Data],$DD710,36),0)</f>
        <v/>
      </c>
      <c r="AM710">
        <f>IFERROR(INDEX(PP_Grid[#Data],$DD710,37),0)</f>
        <v/>
      </c>
      <c r="AN710">
        <f>IFERROR(INDEX(PP_Grid[#Data],$DD710,38),0)</f>
        <v/>
      </c>
      <c r="AO710">
        <f>IFERROR(INDEX(PP_Grid[#Data],$DD710,39),0)</f>
        <v/>
      </c>
      <c r="AP710">
        <f>IFERROR(INDEX(PP_Grid[#Data],$DD710,40),0)</f>
        <v/>
      </c>
      <c r="AQ710">
        <f>IFERROR(INDEX(PP_Grid[#Data],$DD710,41),0)</f>
        <v/>
      </c>
      <c r="AR710">
        <f>IFERROR(INDEX(PP_Grid[#Data],$DD710,42),0)</f>
        <v/>
      </c>
      <c r="AS710">
        <f>IFERROR(INDEX(PP_Grid[#Data],$DD710,43),0)</f>
        <v/>
      </c>
      <c r="AT710">
        <f>IFERROR(INDEX(PP_Grid[#Data],$DD710,44),0)</f>
        <v/>
      </c>
      <c r="AU710">
        <f>IFERROR(INDEX(PP_Grid[#Data],$DD710,45),0)</f>
        <v/>
      </c>
      <c r="AV710">
        <f>IFERROR(INDEX(PP_Grid[#Data],$DD710,46),0)</f>
        <v/>
      </c>
      <c r="AW710">
        <f>IFERROR(INDEX(PP_Grid[#Data],$DD710,47),0)</f>
        <v/>
      </c>
      <c r="AX710">
        <f>IFERROR(INDEX(PP_Grid[#Data],$DD710,48),0)</f>
        <v/>
      </c>
      <c r="AY710">
        <f>IFERROR(INDEX(PP_Grid[#Data],$DD710,49),0)</f>
        <v/>
      </c>
      <c r="AZ710">
        <f>IFERROR(INDEX(PP_Grid[#Data],$DD710,50),0)</f>
        <v/>
      </c>
      <c r="BA710">
        <f>IFERROR(INDEX(PP_Grid[#Data],$DD710,51),0)</f>
        <v/>
      </c>
      <c r="BB710">
        <f>IFERROR(INDEX(PP_Grid[#Data],$DD710,52),0)</f>
        <v/>
      </c>
      <c r="BC710">
        <f>IFERROR(INDEX(PP_Grid[#Data],$DD710,53),0)</f>
        <v/>
      </c>
      <c r="BD710">
        <f>IFERROR(INDEX(PP_Grid[#Data],$DD710,54),0)</f>
        <v/>
      </c>
      <c r="BE710">
        <f>IFERROR(INDEX(PP_Grid[#Data],$DD710,55),0)</f>
        <v/>
      </c>
      <c r="BF710">
        <f>IFERROR(INDEX(PP_Grid[#Data],$DD710,56),0)</f>
        <v/>
      </c>
      <c r="BG710">
        <f>IFERROR(INDEX(PP_Grid[#Data],$DD710,57),0)</f>
        <v/>
      </c>
      <c r="BH710">
        <f>IFERROR(INDEX(PP_Grid[#Data],$DD710,58),0)</f>
        <v/>
      </c>
      <c r="BI710">
        <f>IFERROR(INDEX(PP_Grid[#Data],$DD710,59),0)</f>
        <v/>
      </c>
      <c r="BJ710">
        <f>IFERROR(INDEX(PP_Grid[#Data],$DD710,60),0)</f>
        <v/>
      </c>
      <c r="BK710">
        <f>IFERROR(INDEX(PP_Grid[#Data],$DD710,61),0)</f>
        <v/>
      </c>
      <c r="BL710">
        <f>IFERROR(INDEX(PP_Grid[#Data],$DD710,62),0)</f>
        <v/>
      </c>
      <c r="BM710">
        <f>IFERROR(INDEX(PP_Grid[#Data],$DD710,63),0)</f>
        <v/>
      </c>
      <c r="BN710">
        <f>IFERROR(INDEX(PP_Grid[#Data],$DD710,64),0)</f>
        <v/>
      </c>
      <c r="BO710">
        <f>IFERROR(INDEX(PP_Grid[#Data],$DD710,65),0)</f>
        <v/>
      </c>
      <c r="BP710">
        <f>IFERROR(INDEX(PP_Grid[#Data],$DD710,66),0)</f>
        <v/>
      </c>
      <c r="BQ710">
        <f>IFERROR(INDEX(PP_Grid[#Data],$DD710,67),0)</f>
        <v/>
      </c>
      <c r="BR710">
        <f>IFERROR(INDEX(PP_Grid[#Data],$DD710,68),0)</f>
        <v/>
      </c>
      <c r="BS710">
        <f>IFERROR(INDEX(PP_Grid[#Data],$DD710,69),0)</f>
        <v/>
      </c>
      <c r="BT710">
        <f>IFERROR(INDEX(PP_Grid[#Data],$DD710,70),0)</f>
        <v/>
      </c>
      <c r="BU710">
        <f>IFERROR(INDEX(PP_Grid[#Data],$DD710,71),0)</f>
        <v/>
      </c>
      <c r="BV710">
        <f>IFERROR(INDEX(PP_Grid[#Data],$DD710,72),0)</f>
        <v/>
      </c>
      <c r="BW710">
        <f>IFERROR(INDEX(PP_Grid[#Data],$DD710,73),0)</f>
        <v/>
      </c>
      <c r="BX710">
        <f>IFERROR(INDEX(PP_Grid[#Data],$DD710,74),0)</f>
        <v/>
      </c>
      <c r="BY710">
        <f>IFERROR(INDEX(PP_Grid[#Data],$DD710,75),0)</f>
        <v/>
      </c>
      <c r="BZ710">
        <f>IFERROR(INDEX(PP_Grid[#Data],$DD710,76),0)</f>
        <v/>
      </c>
      <c r="CA710">
        <f>IFERROR(INDEX(PP_Grid[#Data],$DD710,77),0)</f>
        <v/>
      </c>
      <c r="CB710">
        <f>IFERROR(INDEX(PP_Grid[#Data],$DD710,78),0)</f>
        <v/>
      </c>
      <c r="CC710">
        <f>IFERROR(INDEX(PP_Grid[#Data],$DD710,79),0)</f>
        <v/>
      </c>
      <c r="CD710">
        <f>IFERROR(INDEX(PP_Grid[#Data],$DD710,80),0)</f>
        <v/>
      </c>
      <c r="CE710">
        <f>IFERROR(INDEX(PP_Grid[#Data],$DD710,81),0)</f>
        <v/>
      </c>
      <c r="CF710">
        <f>IFERROR(INDEX(PP_Grid[#Data],$DD710,82),0)</f>
        <v/>
      </c>
      <c r="CG710">
        <f>IFERROR(INDEX(PP_Grid[#Data],$DD710,83),0)</f>
        <v/>
      </c>
      <c r="CH710">
        <f>IFERROR(INDEX(PP_Grid[#Data],$DD710,84),0)</f>
        <v/>
      </c>
      <c r="CI710">
        <f>IFERROR(INDEX(PP_Grid[#Data],$DD710,85),0)</f>
        <v/>
      </c>
      <c r="CJ710">
        <f>IFERROR(INDEX(PP_Grid[#Data],$DD710,86),0)</f>
        <v/>
      </c>
      <c r="CK710">
        <f>IFERROR(INDEX(PP_Grid[#Data],$DD710,87),0)</f>
        <v/>
      </c>
      <c r="CL710">
        <f>IFERROR(INDEX(PP_Grid[#Data],$DD710,88),0)</f>
        <v/>
      </c>
      <c r="CM710">
        <f>IFERROR(INDEX(PP_Grid[#Data],$DD710,89),0)</f>
        <v/>
      </c>
      <c r="CN710">
        <f>IFERROR(INDEX(PP_Grid[#Data],$DD710,90),0)</f>
        <v/>
      </c>
      <c r="CO710">
        <f>IFERROR(INDEX(PP_Grid[#Data],$DD710,91),0)</f>
        <v/>
      </c>
      <c r="CP710">
        <f>IFERROR(INDEX(PP_Grid[#Data],$DD710,92),0)</f>
        <v/>
      </c>
      <c r="CQ710">
        <f>IFERROR(INDEX(PP_Grid[#Data],$DD710,93),0)</f>
        <v/>
      </c>
      <c r="CR710">
        <f>IFERROR(INDEX(PP_Grid[#Data],$DD710,94),0)</f>
        <v/>
      </c>
      <c r="CS710">
        <f>IFERROR(INDEX(PP_Grid[#Data],$DD710,95),0)</f>
        <v/>
      </c>
      <c r="CT710">
        <f>IFERROR(INDEX(PP_Grid[#Data],$DD710,96),0)</f>
        <v/>
      </c>
      <c r="CU710">
        <f>IFERROR(INDEX(PP_Grid[#Data],$DD710,97),0)</f>
        <v/>
      </c>
      <c r="CV710">
        <f>IFERROR(INDEX(PP_Grid[#Data],$DD710,98),0)</f>
        <v/>
      </c>
      <c r="CW710">
        <f>IFERROR(INDEX(PP_Grid[#Data],$DD710,99),0)</f>
        <v/>
      </c>
      <c r="CX710">
        <f>IFERROR(INDEX(PP_Grid[#Data],$DD710,100),0)</f>
        <v/>
      </c>
      <c r="CY710">
        <f>IFERROR(INDEX(PP_Grid[#Data],$DD710,101),0)</f>
        <v/>
      </c>
      <c r="CZ710">
        <f>IFERROR(INDEX(PP_Grid[#Data],$DD710,102),0)</f>
        <v/>
      </c>
      <c r="DA710">
        <f>IFERROR(INDEX(PP_Grid[#Data],$DD710,103),0)</f>
        <v/>
      </c>
      <c r="DB710">
        <f>IFERROR(INDEX(PP_Grid[#Data],$DD710,104),0)</f>
        <v/>
      </c>
      <c r="DC710">
        <f>IFERROR(INDEX(PP_Grid[#Data],$DD710,105),0)</f>
        <v/>
      </c>
      <c r="DD710" s="12">
        <f>IFERROR(MATCH($B710,PP_Grid[Intermediate],0),99999)</f>
        <v/>
      </c>
    </row>
    <row r="711">
      <c r="B711" t="inlineStr">
        <is>
          <t>使用量(kg)</t>
        </is>
      </c>
      <c r="C711">
        <f>SUMIFS(M_BOM[RM_Qty_Per_Batch],M_BOM[Intermediate],$B710,M_BOM[Part Name],$A669)</f>
        <v/>
      </c>
      <c r="D711">
        <f>$C711*D710</f>
        <v/>
      </c>
      <c r="E711">
        <f>$C711*E710</f>
        <v/>
      </c>
      <c r="F711">
        <f>$C711*F710</f>
        <v/>
      </c>
      <c r="G711">
        <f>$C711*G710</f>
        <v/>
      </c>
      <c r="H711">
        <f>$C711*H710</f>
        <v/>
      </c>
      <c r="I711">
        <f>$C711*I710</f>
        <v/>
      </c>
      <c r="J711">
        <f>$C711*J710</f>
        <v/>
      </c>
      <c r="K711">
        <f>$C711*K710</f>
        <v/>
      </c>
      <c r="L711">
        <f>$C711*L710</f>
        <v/>
      </c>
      <c r="M711">
        <f>$C711*M710</f>
        <v/>
      </c>
      <c r="N711">
        <f>$C711*N710</f>
        <v/>
      </c>
      <c r="O711">
        <f>$C711*O710</f>
        <v/>
      </c>
      <c r="P711">
        <f>$C711*P710</f>
        <v/>
      </c>
      <c r="Q711">
        <f>$C711*Q710</f>
        <v/>
      </c>
      <c r="R711">
        <f>$C711*R710</f>
        <v/>
      </c>
      <c r="S711">
        <f>$C711*S710</f>
        <v/>
      </c>
      <c r="T711">
        <f>$C711*T710</f>
        <v/>
      </c>
      <c r="U711">
        <f>$C711*U710</f>
        <v/>
      </c>
      <c r="V711">
        <f>$C711*V710</f>
        <v/>
      </c>
      <c r="W711">
        <f>$C711*W710</f>
        <v/>
      </c>
      <c r="X711">
        <f>$C711*X710</f>
        <v/>
      </c>
      <c r="Y711">
        <f>$C711*Y710</f>
        <v/>
      </c>
      <c r="Z711">
        <f>$C711*Z710</f>
        <v/>
      </c>
      <c r="AA711">
        <f>$C711*AA710</f>
        <v/>
      </c>
      <c r="AB711">
        <f>$C711*AB710</f>
        <v/>
      </c>
      <c r="AC711">
        <f>$C711*AC710</f>
        <v/>
      </c>
      <c r="AD711">
        <f>$C711*AD710</f>
        <v/>
      </c>
      <c r="AE711">
        <f>$C711*AE710</f>
        <v/>
      </c>
      <c r="AF711">
        <f>$C711*AF710</f>
        <v/>
      </c>
      <c r="AG711">
        <f>$C711*AG710</f>
        <v/>
      </c>
      <c r="AH711">
        <f>$C711*AH710</f>
        <v/>
      </c>
      <c r="AI711">
        <f>$C711*AI710</f>
        <v/>
      </c>
      <c r="AJ711">
        <f>$C711*AJ710</f>
        <v/>
      </c>
      <c r="AK711">
        <f>$C711*AK710</f>
        <v/>
      </c>
      <c r="AL711">
        <f>$C711*AL710</f>
        <v/>
      </c>
      <c r="AM711">
        <f>$C711*AM710</f>
        <v/>
      </c>
      <c r="AN711">
        <f>$C711*AN710</f>
        <v/>
      </c>
      <c r="AO711">
        <f>$C711*AO710</f>
        <v/>
      </c>
      <c r="AP711">
        <f>$C711*AP710</f>
        <v/>
      </c>
      <c r="AQ711">
        <f>$C711*AQ710</f>
        <v/>
      </c>
      <c r="AR711">
        <f>$C711*AR710</f>
        <v/>
      </c>
      <c r="AS711">
        <f>$C711*AS710</f>
        <v/>
      </c>
      <c r="AT711">
        <f>$C711*AT710</f>
        <v/>
      </c>
      <c r="AU711">
        <f>$C711*AU710</f>
        <v/>
      </c>
      <c r="AV711">
        <f>$C711*AV710</f>
        <v/>
      </c>
      <c r="AW711">
        <f>$C711*AW710</f>
        <v/>
      </c>
      <c r="AX711">
        <f>$C711*AX710</f>
        <v/>
      </c>
      <c r="AY711">
        <f>$C711*AY710</f>
        <v/>
      </c>
      <c r="AZ711">
        <f>$C711*AZ710</f>
        <v/>
      </c>
      <c r="BA711">
        <f>$C711*BA710</f>
        <v/>
      </c>
      <c r="BB711">
        <f>$C711*BB710</f>
        <v/>
      </c>
      <c r="BC711">
        <f>$C711*BC710</f>
        <v/>
      </c>
      <c r="BD711">
        <f>$C711*BD710</f>
        <v/>
      </c>
      <c r="BE711">
        <f>$C711*BE710</f>
        <v/>
      </c>
      <c r="BF711">
        <f>$C711*BF710</f>
        <v/>
      </c>
      <c r="BG711">
        <f>$C711*BG710</f>
        <v/>
      </c>
      <c r="BH711">
        <f>$C711*BH710</f>
        <v/>
      </c>
      <c r="BI711">
        <f>$C711*BI710</f>
        <v/>
      </c>
      <c r="BJ711">
        <f>$C711*BJ710</f>
        <v/>
      </c>
      <c r="BK711">
        <f>$C711*BK710</f>
        <v/>
      </c>
      <c r="BL711">
        <f>$C711*BL710</f>
        <v/>
      </c>
      <c r="BM711">
        <f>$C711*BM710</f>
        <v/>
      </c>
      <c r="BN711">
        <f>$C711*BN710</f>
        <v/>
      </c>
      <c r="BO711">
        <f>$C711*BO710</f>
        <v/>
      </c>
      <c r="BP711">
        <f>$C711*BP710</f>
        <v/>
      </c>
      <c r="BQ711">
        <f>$C711*BQ710</f>
        <v/>
      </c>
      <c r="BR711">
        <f>$C711*BR710</f>
        <v/>
      </c>
      <c r="BS711">
        <f>$C711*BS710</f>
        <v/>
      </c>
      <c r="BT711">
        <f>$C711*BT710</f>
        <v/>
      </c>
      <c r="BU711">
        <f>$C711*BU710</f>
        <v/>
      </c>
      <c r="BV711">
        <f>$C711*BV710</f>
        <v/>
      </c>
      <c r="BW711">
        <f>$C711*BW710</f>
        <v/>
      </c>
      <c r="BX711">
        <f>$C711*BX710</f>
        <v/>
      </c>
      <c r="BY711">
        <f>$C711*BY710</f>
        <v/>
      </c>
      <c r="BZ711">
        <f>$C711*BZ710</f>
        <v/>
      </c>
      <c r="CA711">
        <f>$C711*CA710</f>
        <v/>
      </c>
      <c r="CB711">
        <f>$C711*CB710</f>
        <v/>
      </c>
      <c r="CC711">
        <f>$C711*CC710</f>
        <v/>
      </c>
      <c r="CD711">
        <f>$C711*CD710</f>
        <v/>
      </c>
      <c r="CE711">
        <f>$C711*CE710</f>
        <v/>
      </c>
      <c r="CF711">
        <f>$C711*CF710</f>
        <v/>
      </c>
      <c r="CG711">
        <f>$C711*CG710</f>
        <v/>
      </c>
      <c r="CH711">
        <f>$C711*CH710</f>
        <v/>
      </c>
      <c r="CI711">
        <f>$C711*CI710</f>
        <v/>
      </c>
      <c r="CJ711">
        <f>$C711*CJ710</f>
        <v/>
      </c>
      <c r="CK711">
        <f>$C711*CK710</f>
        <v/>
      </c>
      <c r="CL711">
        <f>$C711*CL710</f>
        <v/>
      </c>
      <c r="CM711">
        <f>$C711*CM710</f>
        <v/>
      </c>
      <c r="CN711">
        <f>$C711*CN710</f>
        <v/>
      </c>
      <c r="CO711">
        <f>$C711*CO710</f>
        <v/>
      </c>
      <c r="CP711">
        <f>$C711*CP710</f>
        <v/>
      </c>
      <c r="CQ711">
        <f>$C711*CQ710</f>
        <v/>
      </c>
      <c r="CR711">
        <f>$C711*CR710</f>
        <v/>
      </c>
      <c r="CS711">
        <f>$C711*CS710</f>
        <v/>
      </c>
      <c r="CT711">
        <f>$C711*CT710</f>
        <v/>
      </c>
      <c r="CU711">
        <f>$C711*CU710</f>
        <v/>
      </c>
      <c r="CV711">
        <f>$C711*CV710</f>
        <v/>
      </c>
      <c r="CW711">
        <f>$C711*CW710</f>
        <v/>
      </c>
      <c r="CX711">
        <f>$C711*CX710</f>
        <v/>
      </c>
      <c r="CY711">
        <f>$C711*CY710</f>
        <v/>
      </c>
      <c r="CZ711">
        <f>$C711*CZ710</f>
        <v/>
      </c>
      <c r="DA711">
        <f>$C711*DA710</f>
        <v/>
      </c>
      <c r="DB711">
        <f>$C711*DB710</f>
        <v/>
      </c>
      <c r="DC711">
        <f>$C711*DC710</f>
        <v/>
      </c>
    </row>
    <row r="712">
      <c r="B712" t="inlineStr">
        <is>
          <t>TSP-224</t>
        </is>
      </c>
      <c r="C712" t="inlineStr">
        <is>
          <t>No. of batches</t>
        </is>
      </c>
      <c r="D712">
        <f>IFERROR(INDEX(PP_Grid[#Data],$DD712,2),0)</f>
        <v/>
      </c>
      <c r="E712">
        <f>IFERROR(INDEX(PP_Grid[#Data],$DD712,3),0)</f>
        <v/>
      </c>
      <c r="F712">
        <f>IFERROR(INDEX(PP_Grid[#Data],$DD712,4),0)</f>
        <v/>
      </c>
      <c r="G712">
        <f>IFERROR(INDEX(PP_Grid[#Data],$DD712,5),0)</f>
        <v/>
      </c>
      <c r="H712">
        <f>IFERROR(INDEX(PP_Grid[#Data],$DD712,6),0)</f>
        <v/>
      </c>
      <c r="I712">
        <f>IFERROR(INDEX(PP_Grid[#Data],$DD712,7),0)</f>
        <v/>
      </c>
      <c r="J712">
        <f>IFERROR(INDEX(PP_Grid[#Data],$DD712,8),0)</f>
        <v/>
      </c>
      <c r="K712">
        <f>IFERROR(INDEX(PP_Grid[#Data],$DD712,9),0)</f>
        <v/>
      </c>
      <c r="L712">
        <f>IFERROR(INDEX(PP_Grid[#Data],$DD712,10),0)</f>
        <v/>
      </c>
      <c r="M712">
        <f>IFERROR(INDEX(PP_Grid[#Data],$DD712,11),0)</f>
        <v/>
      </c>
      <c r="N712">
        <f>IFERROR(INDEX(PP_Grid[#Data],$DD712,12),0)</f>
        <v/>
      </c>
      <c r="O712">
        <f>IFERROR(INDEX(PP_Grid[#Data],$DD712,13),0)</f>
        <v/>
      </c>
      <c r="P712">
        <f>IFERROR(INDEX(PP_Grid[#Data],$DD712,14),0)</f>
        <v/>
      </c>
      <c r="Q712">
        <f>IFERROR(INDEX(PP_Grid[#Data],$DD712,15),0)</f>
        <v/>
      </c>
      <c r="R712">
        <f>IFERROR(INDEX(PP_Grid[#Data],$DD712,16),0)</f>
        <v/>
      </c>
      <c r="S712">
        <f>IFERROR(INDEX(PP_Grid[#Data],$DD712,17),0)</f>
        <v/>
      </c>
      <c r="T712">
        <f>IFERROR(INDEX(PP_Grid[#Data],$DD712,18),0)</f>
        <v/>
      </c>
      <c r="U712">
        <f>IFERROR(INDEX(PP_Grid[#Data],$DD712,19),0)</f>
        <v/>
      </c>
      <c r="V712">
        <f>IFERROR(INDEX(PP_Grid[#Data],$DD712,20),0)</f>
        <v/>
      </c>
      <c r="W712">
        <f>IFERROR(INDEX(PP_Grid[#Data],$DD712,21),0)</f>
        <v/>
      </c>
      <c r="X712">
        <f>IFERROR(INDEX(PP_Grid[#Data],$DD712,22),0)</f>
        <v/>
      </c>
      <c r="Y712">
        <f>IFERROR(INDEX(PP_Grid[#Data],$DD712,23),0)</f>
        <v/>
      </c>
      <c r="Z712">
        <f>IFERROR(INDEX(PP_Grid[#Data],$DD712,24),0)</f>
        <v/>
      </c>
      <c r="AA712">
        <f>IFERROR(INDEX(PP_Grid[#Data],$DD712,25),0)</f>
        <v/>
      </c>
      <c r="AB712">
        <f>IFERROR(INDEX(PP_Grid[#Data],$DD712,26),0)</f>
        <v/>
      </c>
      <c r="AC712">
        <f>IFERROR(INDEX(PP_Grid[#Data],$DD712,27),0)</f>
        <v/>
      </c>
      <c r="AD712">
        <f>IFERROR(INDEX(PP_Grid[#Data],$DD712,28),0)</f>
        <v/>
      </c>
      <c r="AE712">
        <f>IFERROR(INDEX(PP_Grid[#Data],$DD712,29),0)</f>
        <v/>
      </c>
      <c r="AF712">
        <f>IFERROR(INDEX(PP_Grid[#Data],$DD712,30),0)</f>
        <v/>
      </c>
      <c r="AG712">
        <f>IFERROR(INDEX(PP_Grid[#Data],$DD712,31),0)</f>
        <v/>
      </c>
      <c r="AH712">
        <f>IFERROR(INDEX(PP_Grid[#Data],$DD712,32),0)</f>
        <v/>
      </c>
      <c r="AI712">
        <f>IFERROR(INDEX(PP_Grid[#Data],$DD712,33),0)</f>
        <v/>
      </c>
      <c r="AJ712">
        <f>IFERROR(INDEX(PP_Grid[#Data],$DD712,34),0)</f>
        <v/>
      </c>
      <c r="AK712">
        <f>IFERROR(INDEX(PP_Grid[#Data],$DD712,35),0)</f>
        <v/>
      </c>
      <c r="AL712">
        <f>IFERROR(INDEX(PP_Grid[#Data],$DD712,36),0)</f>
        <v/>
      </c>
      <c r="AM712">
        <f>IFERROR(INDEX(PP_Grid[#Data],$DD712,37),0)</f>
        <v/>
      </c>
      <c r="AN712">
        <f>IFERROR(INDEX(PP_Grid[#Data],$DD712,38),0)</f>
        <v/>
      </c>
      <c r="AO712">
        <f>IFERROR(INDEX(PP_Grid[#Data],$DD712,39),0)</f>
        <v/>
      </c>
      <c r="AP712">
        <f>IFERROR(INDEX(PP_Grid[#Data],$DD712,40),0)</f>
        <v/>
      </c>
      <c r="AQ712">
        <f>IFERROR(INDEX(PP_Grid[#Data],$DD712,41),0)</f>
        <v/>
      </c>
      <c r="AR712">
        <f>IFERROR(INDEX(PP_Grid[#Data],$DD712,42),0)</f>
        <v/>
      </c>
      <c r="AS712">
        <f>IFERROR(INDEX(PP_Grid[#Data],$DD712,43),0)</f>
        <v/>
      </c>
      <c r="AT712">
        <f>IFERROR(INDEX(PP_Grid[#Data],$DD712,44),0)</f>
        <v/>
      </c>
      <c r="AU712">
        <f>IFERROR(INDEX(PP_Grid[#Data],$DD712,45),0)</f>
        <v/>
      </c>
      <c r="AV712">
        <f>IFERROR(INDEX(PP_Grid[#Data],$DD712,46),0)</f>
        <v/>
      </c>
      <c r="AW712">
        <f>IFERROR(INDEX(PP_Grid[#Data],$DD712,47),0)</f>
        <v/>
      </c>
      <c r="AX712">
        <f>IFERROR(INDEX(PP_Grid[#Data],$DD712,48),0)</f>
        <v/>
      </c>
      <c r="AY712">
        <f>IFERROR(INDEX(PP_Grid[#Data],$DD712,49),0)</f>
        <v/>
      </c>
      <c r="AZ712">
        <f>IFERROR(INDEX(PP_Grid[#Data],$DD712,50),0)</f>
        <v/>
      </c>
      <c r="BA712">
        <f>IFERROR(INDEX(PP_Grid[#Data],$DD712,51),0)</f>
        <v/>
      </c>
      <c r="BB712">
        <f>IFERROR(INDEX(PP_Grid[#Data],$DD712,52),0)</f>
        <v/>
      </c>
      <c r="BC712">
        <f>IFERROR(INDEX(PP_Grid[#Data],$DD712,53),0)</f>
        <v/>
      </c>
      <c r="BD712">
        <f>IFERROR(INDEX(PP_Grid[#Data],$DD712,54),0)</f>
        <v/>
      </c>
      <c r="BE712">
        <f>IFERROR(INDEX(PP_Grid[#Data],$DD712,55),0)</f>
        <v/>
      </c>
      <c r="BF712">
        <f>IFERROR(INDEX(PP_Grid[#Data],$DD712,56),0)</f>
        <v/>
      </c>
      <c r="BG712">
        <f>IFERROR(INDEX(PP_Grid[#Data],$DD712,57),0)</f>
        <v/>
      </c>
      <c r="BH712">
        <f>IFERROR(INDEX(PP_Grid[#Data],$DD712,58),0)</f>
        <v/>
      </c>
      <c r="BI712">
        <f>IFERROR(INDEX(PP_Grid[#Data],$DD712,59),0)</f>
        <v/>
      </c>
      <c r="BJ712">
        <f>IFERROR(INDEX(PP_Grid[#Data],$DD712,60),0)</f>
        <v/>
      </c>
      <c r="BK712">
        <f>IFERROR(INDEX(PP_Grid[#Data],$DD712,61),0)</f>
        <v/>
      </c>
      <c r="BL712">
        <f>IFERROR(INDEX(PP_Grid[#Data],$DD712,62),0)</f>
        <v/>
      </c>
      <c r="BM712">
        <f>IFERROR(INDEX(PP_Grid[#Data],$DD712,63),0)</f>
        <v/>
      </c>
      <c r="BN712">
        <f>IFERROR(INDEX(PP_Grid[#Data],$DD712,64),0)</f>
        <v/>
      </c>
      <c r="BO712">
        <f>IFERROR(INDEX(PP_Grid[#Data],$DD712,65),0)</f>
        <v/>
      </c>
      <c r="BP712">
        <f>IFERROR(INDEX(PP_Grid[#Data],$DD712,66),0)</f>
        <v/>
      </c>
      <c r="BQ712">
        <f>IFERROR(INDEX(PP_Grid[#Data],$DD712,67),0)</f>
        <v/>
      </c>
      <c r="BR712">
        <f>IFERROR(INDEX(PP_Grid[#Data],$DD712,68),0)</f>
        <v/>
      </c>
      <c r="BS712">
        <f>IFERROR(INDEX(PP_Grid[#Data],$DD712,69),0)</f>
        <v/>
      </c>
      <c r="BT712">
        <f>IFERROR(INDEX(PP_Grid[#Data],$DD712,70),0)</f>
        <v/>
      </c>
      <c r="BU712">
        <f>IFERROR(INDEX(PP_Grid[#Data],$DD712,71),0)</f>
        <v/>
      </c>
      <c r="BV712">
        <f>IFERROR(INDEX(PP_Grid[#Data],$DD712,72),0)</f>
        <v/>
      </c>
      <c r="BW712">
        <f>IFERROR(INDEX(PP_Grid[#Data],$DD712,73),0)</f>
        <v/>
      </c>
      <c r="BX712">
        <f>IFERROR(INDEX(PP_Grid[#Data],$DD712,74),0)</f>
        <v/>
      </c>
      <c r="BY712">
        <f>IFERROR(INDEX(PP_Grid[#Data],$DD712,75),0)</f>
        <v/>
      </c>
      <c r="BZ712">
        <f>IFERROR(INDEX(PP_Grid[#Data],$DD712,76),0)</f>
        <v/>
      </c>
      <c r="CA712">
        <f>IFERROR(INDEX(PP_Grid[#Data],$DD712,77),0)</f>
        <v/>
      </c>
      <c r="CB712">
        <f>IFERROR(INDEX(PP_Grid[#Data],$DD712,78),0)</f>
        <v/>
      </c>
      <c r="CC712">
        <f>IFERROR(INDEX(PP_Grid[#Data],$DD712,79),0)</f>
        <v/>
      </c>
      <c r="CD712">
        <f>IFERROR(INDEX(PP_Grid[#Data],$DD712,80),0)</f>
        <v/>
      </c>
      <c r="CE712">
        <f>IFERROR(INDEX(PP_Grid[#Data],$DD712,81),0)</f>
        <v/>
      </c>
      <c r="CF712">
        <f>IFERROR(INDEX(PP_Grid[#Data],$DD712,82),0)</f>
        <v/>
      </c>
      <c r="CG712">
        <f>IFERROR(INDEX(PP_Grid[#Data],$DD712,83),0)</f>
        <v/>
      </c>
      <c r="CH712">
        <f>IFERROR(INDEX(PP_Grid[#Data],$DD712,84),0)</f>
        <v/>
      </c>
      <c r="CI712">
        <f>IFERROR(INDEX(PP_Grid[#Data],$DD712,85),0)</f>
        <v/>
      </c>
      <c r="CJ712">
        <f>IFERROR(INDEX(PP_Grid[#Data],$DD712,86),0)</f>
        <v/>
      </c>
      <c r="CK712">
        <f>IFERROR(INDEX(PP_Grid[#Data],$DD712,87),0)</f>
        <v/>
      </c>
      <c r="CL712">
        <f>IFERROR(INDEX(PP_Grid[#Data],$DD712,88),0)</f>
        <v/>
      </c>
      <c r="CM712">
        <f>IFERROR(INDEX(PP_Grid[#Data],$DD712,89),0)</f>
        <v/>
      </c>
      <c r="CN712">
        <f>IFERROR(INDEX(PP_Grid[#Data],$DD712,90),0)</f>
        <v/>
      </c>
      <c r="CO712">
        <f>IFERROR(INDEX(PP_Grid[#Data],$DD712,91),0)</f>
        <v/>
      </c>
      <c r="CP712">
        <f>IFERROR(INDEX(PP_Grid[#Data],$DD712,92),0)</f>
        <v/>
      </c>
      <c r="CQ712">
        <f>IFERROR(INDEX(PP_Grid[#Data],$DD712,93),0)</f>
        <v/>
      </c>
      <c r="CR712">
        <f>IFERROR(INDEX(PP_Grid[#Data],$DD712,94),0)</f>
        <v/>
      </c>
      <c r="CS712">
        <f>IFERROR(INDEX(PP_Grid[#Data],$DD712,95),0)</f>
        <v/>
      </c>
      <c r="CT712">
        <f>IFERROR(INDEX(PP_Grid[#Data],$DD712,96),0)</f>
        <v/>
      </c>
      <c r="CU712">
        <f>IFERROR(INDEX(PP_Grid[#Data],$DD712,97),0)</f>
        <v/>
      </c>
      <c r="CV712">
        <f>IFERROR(INDEX(PP_Grid[#Data],$DD712,98),0)</f>
        <v/>
      </c>
      <c r="CW712">
        <f>IFERROR(INDEX(PP_Grid[#Data],$DD712,99),0)</f>
        <v/>
      </c>
      <c r="CX712">
        <f>IFERROR(INDEX(PP_Grid[#Data],$DD712,100),0)</f>
        <v/>
      </c>
      <c r="CY712">
        <f>IFERROR(INDEX(PP_Grid[#Data],$DD712,101),0)</f>
        <v/>
      </c>
      <c r="CZ712">
        <f>IFERROR(INDEX(PP_Grid[#Data],$DD712,102),0)</f>
        <v/>
      </c>
      <c r="DA712">
        <f>IFERROR(INDEX(PP_Grid[#Data],$DD712,103),0)</f>
        <v/>
      </c>
      <c r="DB712">
        <f>IFERROR(INDEX(PP_Grid[#Data],$DD712,104),0)</f>
        <v/>
      </c>
      <c r="DC712">
        <f>IFERROR(INDEX(PP_Grid[#Data],$DD712,105),0)</f>
        <v/>
      </c>
      <c r="DD712" s="12">
        <f>IFERROR(MATCH($B712,PP_Grid[Intermediate],0),99999)</f>
        <v/>
      </c>
    </row>
    <row r="713">
      <c r="B713" t="inlineStr">
        <is>
          <t>使用量(kg)</t>
        </is>
      </c>
      <c r="C713">
        <f>SUMIFS(M_BOM[RM_Qty_Per_Batch],M_BOM[Intermediate],$B712,M_BOM[Part Name],$A669)</f>
        <v/>
      </c>
      <c r="D713">
        <f>$C713*D712</f>
        <v/>
      </c>
      <c r="E713">
        <f>$C713*E712</f>
        <v/>
      </c>
      <c r="F713">
        <f>$C713*F712</f>
        <v/>
      </c>
      <c r="G713">
        <f>$C713*G712</f>
        <v/>
      </c>
      <c r="H713">
        <f>$C713*H712</f>
        <v/>
      </c>
      <c r="I713">
        <f>$C713*I712</f>
        <v/>
      </c>
      <c r="J713">
        <f>$C713*J712</f>
        <v/>
      </c>
      <c r="K713">
        <f>$C713*K712</f>
        <v/>
      </c>
      <c r="L713">
        <f>$C713*L712</f>
        <v/>
      </c>
      <c r="M713">
        <f>$C713*M712</f>
        <v/>
      </c>
      <c r="N713">
        <f>$C713*N712</f>
        <v/>
      </c>
      <c r="O713">
        <f>$C713*O712</f>
        <v/>
      </c>
      <c r="P713">
        <f>$C713*P712</f>
        <v/>
      </c>
      <c r="Q713">
        <f>$C713*Q712</f>
        <v/>
      </c>
      <c r="R713">
        <f>$C713*R712</f>
        <v/>
      </c>
      <c r="S713">
        <f>$C713*S712</f>
        <v/>
      </c>
      <c r="T713">
        <f>$C713*T712</f>
        <v/>
      </c>
      <c r="U713">
        <f>$C713*U712</f>
        <v/>
      </c>
      <c r="V713">
        <f>$C713*V712</f>
        <v/>
      </c>
      <c r="W713">
        <f>$C713*W712</f>
        <v/>
      </c>
      <c r="X713">
        <f>$C713*X712</f>
        <v/>
      </c>
      <c r="Y713">
        <f>$C713*Y712</f>
        <v/>
      </c>
      <c r="Z713">
        <f>$C713*Z712</f>
        <v/>
      </c>
      <c r="AA713">
        <f>$C713*AA712</f>
        <v/>
      </c>
      <c r="AB713">
        <f>$C713*AB712</f>
        <v/>
      </c>
      <c r="AC713">
        <f>$C713*AC712</f>
        <v/>
      </c>
      <c r="AD713">
        <f>$C713*AD712</f>
        <v/>
      </c>
      <c r="AE713">
        <f>$C713*AE712</f>
        <v/>
      </c>
      <c r="AF713">
        <f>$C713*AF712</f>
        <v/>
      </c>
      <c r="AG713">
        <f>$C713*AG712</f>
        <v/>
      </c>
      <c r="AH713">
        <f>$C713*AH712</f>
        <v/>
      </c>
      <c r="AI713">
        <f>$C713*AI712</f>
        <v/>
      </c>
      <c r="AJ713">
        <f>$C713*AJ712</f>
        <v/>
      </c>
      <c r="AK713">
        <f>$C713*AK712</f>
        <v/>
      </c>
      <c r="AL713">
        <f>$C713*AL712</f>
        <v/>
      </c>
      <c r="AM713">
        <f>$C713*AM712</f>
        <v/>
      </c>
      <c r="AN713">
        <f>$C713*AN712</f>
        <v/>
      </c>
      <c r="AO713">
        <f>$C713*AO712</f>
        <v/>
      </c>
      <c r="AP713">
        <f>$C713*AP712</f>
        <v/>
      </c>
      <c r="AQ713">
        <f>$C713*AQ712</f>
        <v/>
      </c>
      <c r="AR713">
        <f>$C713*AR712</f>
        <v/>
      </c>
      <c r="AS713">
        <f>$C713*AS712</f>
        <v/>
      </c>
      <c r="AT713">
        <f>$C713*AT712</f>
        <v/>
      </c>
      <c r="AU713">
        <f>$C713*AU712</f>
        <v/>
      </c>
      <c r="AV713">
        <f>$C713*AV712</f>
        <v/>
      </c>
      <c r="AW713">
        <f>$C713*AW712</f>
        <v/>
      </c>
      <c r="AX713">
        <f>$C713*AX712</f>
        <v/>
      </c>
      <c r="AY713">
        <f>$C713*AY712</f>
        <v/>
      </c>
      <c r="AZ713">
        <f>$C713*AZ712</f>
        <v/>
      </c>
      <c r="BA713">
        <f>$C713*BA712</f>
        <v/>
      </c>
      <c r="BB713">
        <f>$C713*BB712</f>
        <v/>
      </c>
      <c r="BC713">
        <f>$C713*BC712</f>
        <v/>
      </c>
      <c r="BD713">
        <f>$C713*BD712</f>
        <v/>
      </c>
      <c r="BE713">
        <f>$C713*BE712</f>
        <v/>
      </c>
      <c r="BF713">
        <f>$C713*BF712</f>
        <v/>
      </c>
      <c r="BG713">
        <f>$C713*BG712</f>
        <v/>
      </c>
      <c r="BH713">
        <f>$C713*BH712</f>
        <v/>
      </c>
      <c r="BI713">
        <f>$C713*BI712</f>
        <v/>
      </c>
      <c r="BJ713">
        <f>$C713*BJ712</f>
        <v/>
      </c>
      <c r="BK713">
        <f>$C713*BK712</f>
        <v/>
      </c>
      <c r="BL713">
        <f>$C713*BL712</f>
        <v/>
      </c>
      <c r="BM713">
        <f>$C713*BM712</f>
        <v/>
      </c>
      <c r="BN713">
        <f>$C713*BN712</f>
        <v/>
      </c>
      <c r="BO713">
        <f>$C713*BO712</f>
        <v/>
      </c>
      <c r="BP713">
        <f>$C713*BP712</f>
        <v/>
      </c>
      <c r="BQ713">
        <f>$C713*BQ712</f>
        <v/>
      </c>
      <c r="BR713">
        <f>$C713*BR712</f>
        <v/>
      </c>
      <c r="BS713">
        <f>$C713*BS712</f>
        <v/>
      </c>
      <c r="BT713">
        <f>$C713*BT712</f>
        <v/>
      </c>
      <c r="BU713">
        <f>$C713*BU712</f>
        <v/>
      </c>
      <c r="BV713">
        <f>$C713*BV712</f>
        <v/>
      </c>
      <c r="BW713">
        <f>$C713*BW712</f>
        <v/>
      </c>
      <c r="BX713">
        <f>$C713*BX712</f>
        <v/>
      </c>
      <c r="BY713">
        <f>$C713*BY712</f>
        <v/>
      </c>
      <c r="BZ713">
        <f>$C713*BZ712</f>
        <v/>
      </c>
      <c r="CA713">
        <f>$C713*CA712</f>
        <v/>
      </c>
      <c r="CB713">
        <f>$C713*CB712</f>
        <v/>
      </c>
      <c r="CC713">
        <f>$C713*CC712</f>
        <v/>
      </c>
      <c r="CD713">
        <f>$C713*CD712</f>
        <v/>
      </c>
      <c r="CE713">
        <f>$C713*CE712</f>
        <v/>
      </c>
      <c r="CF713">
        <f>$C713*CF712</f>
        <v/>
      </c>
      <c r="CG713">
        <f>$C713*CG712</f>
        <v/>
      </c>
      <c r="CH713">
        <f>$C713*CH712</f>
        <v/>
      </c>
      <c r="CI713">
        <f>$C713*CI712</f>
        <v/>
      </c>
      <c r="CJ713">
        <f>$C713*CJ712</f>
        <v/>
      </c>
      <c r="CK713">
        <f>$C713*CK712</f>
        <v/>
      </c>
      <c r="CL713">
        <f>$C713*CL712</f>
        <v/>
      </c>
      <c r="CM713">
        <f>$C713*CM712</f>
        <v/>
      </c>
      <c r="CN713">
        <f>$C713*CN712</f>
        <v/>
      </c>
      <c r="CO713">
        <f>$C713*CO712</f>
        <v/>
      </c>
      <c r="CP713">
        <f>$C713*CP712</f>
        <v/>
      </c>
      <c r="CQ713">
        <f>$C713*CQ712</f>
        <v/>
      </c>
      <c r="CR713">
        <f>$C713*CR712</f>
        <v/>
      </c>
      <c r="CS713">
        <f>$C713*CS712</f>
        <v/>
      </c>
      <c r="CT713">
        <f>$C713*CT712</f>
        <v/>
      </c>
      <c r="CU713">
        <f>$C713*CU712</f>
        <v/>
      </c>
      <c r="CV713">
        <f>$C713*CV712</f>
        <v/>
      </c>
      <c r="CW713">
        <f>$C713*CW712</f>
        <v/>
      </c>
      <c r="CX713">
        <f>$C713*CX712</f>
        <v/>
      </c>
      <c r="CY713">
        <f>$C713*CY712</f>
        <v/>
      </c>
      <c r="CZ713">
        <f>$C713*CZ712</f>
        <v/>
      </c>
      <c r="DA713">
        <f>$C713*DA712</f>
        <v/>
      </c>
      <c r="DB713">
        <f>$C713*DB712</f>
        <v/>
      </c>
      <c r="DC713">
        <f>$C713*DC712</f>
        <v/>
      </c>
    </row>
    <row r="714">
      <c r="B714" t="inlineStr">
        <is>
          <t>TSP-225</t>
        </is>
      </c>
      <c r="C714" t="inlineStr">
        <is>
          <t>No. of batches</t>
        </is>
      </c>
      <c r="D714">
        <f>IFERROR(INDEX(PP_Grid[#Data],$DD714,2),0)</f>
        <v/>
      </c>
      <c r="E714">
        <f>IFERROR(INDEX(PP_Grid[#Data],$DD714,3),0)</f>
        <v/>
      </c>
      <c r="F714">
        <f>IFERROR(INDEX(PP_Grid[#Data],$DD714,4),0)</f>
        <v/>
      </c>
      <c r="G714">
        <f>IFERROR(INDEX(PP_Grid[#Data],$DD714,5),0)</f>
        <v/>
      </c>
      <c r="H714">
        <f>IFERROR(INDEX(PP_Grid[#Data],$DD714,6),0)</f>
        <v/>
      </c>
      <c r="I714">
        <f>IFERROR(INDEX(PP_Grid[#Data],$DD714,7),0)</f>
        <v/>
      </c>
      <c r="J714">
        <f>IFERROR(INDEX(PP_Grid[#Data],$DD714,8),0)</f>
        <v/>
      </c>
      <c r="K714">
        <f>IFERROR(INDEX(PP_Grid[#Data],$DD714,9),0)</f>
        <v/>
      </c>
      <c r="L714">
        <f>IFERROR(INDEX(PP_Grid[#Data],$DD714,10),0)</f>
        <v/>
      </c>
      <c r="M714">
        <f>IFERROR(INDEX(PP_Grid[#Data],$DD714,11),0)</f>
        <v/>
      </c>
      <c r="N714">
        <f>IFERROR(INDEX(PP_Grid[#Data],$DD714,12),0)</f>
        <v/>
      </c>
      <c r="O714">
        <f>IFERROR(INDEX(PP_Grid[#Data],$DD714,13),0)</f>
        <v/>
      </c>
      <c r="P714">
        <f>IFERROR(INDEX(PP_Grid[#Data],$DD714,14),0)</f>
        <v/>
      </c>
      <c r="Q714">
        <f>IFERROR(INDEX(PP_Grid[#Data],$DD714,15),0)</f>
        <v/>
      </c>
      <c r="R714">
        <f>IFERROR(INDEX(PP_Grid[#Data],$DD714,16),0)</f>
        <v/>
      </c>
      <c r="S714">
        <f>IFERROR(INDEX(PP_Grid[#Data],$DD714,17),0)</f>
        <v/>
      </c>
      <c r="T714">
        <f>IFERROR(INDEX(PP_Grid[#Data],$DD714,18),0)</f>
        <v/>
      </c>
      <c r="U714">
        <f>IFERROR(INDEX(PP_Grid[#Data],$DD714,19),0)</f>
        <v/>
      </c>
      <c r="V714">
        <f>IFERROR(INDEX(PP_Grid[#Data],$DD714,20),0)</f>
        <v/>
      </c>
      <c r="W714">
        <f>IFERROR(INDEX(PP_Grid[#Data],$DD714,21),0)</f>
        <v/>
      </c>
      <c r="X714">
        <f>IFERROR(INDEX(PP_Grid[#Data],$DD714,22),0)</f>
        <v/>
      </c>
      <c r="Y714">
        <f>IFERROR(INDEX(PP_Grid[#Data],$DD714,23),0)</f>
        <v/>
      </c>
      <c r="Z714">
        <f>IFERROR(INDEX(PP_Grid[#Data],$DD714,24),0)</f>
        <v/>
      </c>
      <c r="AA714">
        <f>IFERROR(INDEX(PP_Grid[#Data],$DD714,25),0)</f>
        <v/>
      </c>
      <c r="AB714">
        <f>IFERROR(INDEX(PP_Grid[#Data],$DD714,26),0)</f>
        <v/>
      </c>
      <c r="AC714">
        <f>IFERROR(INDEX(PP_Grid[#Data],$DD714,27),0)</f>
        <v/>
      </c>
      <c r="AD714">
        <f>IFERROR(INDEX(PP_Grid[#Data],$DD714,28),0)</f>
        <v/>
      </c>
      <c r="AE714">
        <f>IFERROR(INDEX(PP_Grid[#Data],$DD714,29),0)</f>
        <v/>
      </c>
      <c r="AF714">
        <f>IFERROR(INDEX(PP_Grid[#Data],$DD714,30),0)</f>
        <v/>
      </c>
      <c r="AG714">
        <f>IFERROR(INDEX(PP_Grid[#Data],$DD714,31),0)</f>
        <v/>
      </c>
      <c r="AH714">
        <f>IFERROR(INDEX(PP_Grid[#Data],$DD714,32),0)</f>
        <v/>
      </c>
      <c r="AI714">
        <f>IFERROR(INDEX(PP_Grid[#Data],$DD714,33),0)</f>
        <v/>
      </c>
      <c r="AJ714">
        <f>IFERROR(INDEX(PP_Grid[#Data],$DD714,34),0)</f>
        <v/>
      </c>
      <c r="AK714">
        <f>IFERROR(INDEX(PP_Grid[#Data],$DD714,35),0)</f>
        <v/>
      </c>
      <c r="AL714">
        <f>IFERROR(INDEX(PP_Grid[#Data],$DD714,36),0)</f>
        <v/>
      </c>
      <c r="AM714">
        <f>IFERROR(INDEX(PP_Grid[#Data],$DD714,37),0)</f>
        <v/>
      </c>
      <c r="AN714">
        <f>IFERROR(INDEX(PP_Grid[#Data],$DD714,38),0)</f>
        <v/>
      </c>
      <c r="AO714">
        <f>IFERROR(INDEX(PP_Grid[#Data],$DD714,39),0)</f>
        <v/>
      </c>
      <c r="AP714">
        <f>IFERROR(INDEX(PP_Grid[#Data],$DD714,40),0)</f>
        <v/>
      </c>
      <c r="AQ714">
        <f>IFERROR(INDEX(PP_Grid[#Data],$DD714,41),0)</f>
        <v/>
      </c>
      <c r="AR714">
        <f>IFERROR(INDEX(PP_Grid[#Data],$DD714,42),0)</f>
        <v/>
      </c>
      <c r="AS714">
        <f>IFERROR(INDEX(PP_Grid[#Data],$DD714,43),0)</f>
        <v/>
      </c>
      <c r="AT714">
        <f>IFERROR(INDEX(PP_Grid[#Data],$DD714,44),0)</f>
        <v/>
      </c>
      <c r="AU714">
        <f>IFERROR(INDEX(PP_Grid[#Data],$DD714,45),0)</f>
        <v/>
      </c>
      <c r="AV714">
        <f>IFERROR(INDEX(PP_Grid[#Data],$DD714,46),0)</f>
        <v/>
      </c>
      <c r="AW714">
        <f>IFERROR(INDEX(PP_Grid[#Data],$DD714,47),0)</f>
        <v/>
      </c>
      <c r="AX714">
        <f>IFERROR(INDEX(PP_Grid[#Data],$DD714,48),0)</f>
        <v/>
      </c>
      <c r="AY714">
        <f>IFERROR(INDEX(PP_Grid[#Data],$DD714,49),0)</f>
        <v/>
      </c>
      <c r="AZ714">
        <f>IFERROR(INDEX(PP_Grid[#Data],$DD714,50),0)</f>
        <v/>
      </c>
      <c r="BA714">
        <f>IFERROR(INDEX(PP_Grid[#Data],$DD714,51),0)</f>
        <v/>
      </c>
      <c r="BB714">
        <f>IFERROR(INDEX(PP_Grid[#Data],$DD714,52),0)</f>
        <v/>
      </c>
      <c r="BC714">
        <f>IFERROR(INDEX(PP_Grid[#Data],$DD714,53),0)</f>
        <v/>
      </c>
      <c r="BD714">
        <f>IFERROR(INDEX(PP_Grid[#Data],$DD714,54),0)</f>
        <v/>
      </c>
      <c r="BE714">
        <f>IFERROR(INDEX(PP_Grid[#Data],$DD714,55),0)</f>
        <v/>
      </c>
      <c r="BF714">
        <f>IFERROR(INDEX(PP_Grid[#Data],$DD714,56),0)</f>
        <v/>
      </c>
      <c r="BG714">
        <f>IFERROR(INDEX(PP_Grid[#Data],$DD714,57),0)</f>
        <v/>
      </c>
      <c r="BH714">
        <f>IFERROR(INDEX(PP_Grid[#Data],$DD714,58),0)</f>
        <v/>
      </c>
      <c r="BI714">
        <f>IFERROR(INDEX(PP_Grid[#Data],$DD714,59),0)</f>
        <v/>
      </c>
      <c r="BJ714">
        <f>IFERROR(INDEX(PP_Grid[#Data],$DD714,60),0)</f>
        <v/>
      </c>
      <c r="BK714">
        <f>IFERROR(INDEX(PP_Grid[#Data],$DD714,61),0)</f>
        <v/>
      </c>
      <c r="BL714">
        <f>IFERROR(INDEX(PP_Grid[#Data],$DD714,62),0)</f>
        <v/>
      </c>
      <c r="BM714">
        <f>IFERROR(INDEX(PP_Grid[#Data],$DD714,63),0)</f>
        <v/>
      </c>
      <c r="BN714">
        <f>IFERROR(INDEX(PP_Grid[#Data],$DD714,64),0)</f>
        <v/>
      </c>
      <c r="BO714">
        <f>IFERROR(INDEX(PP_Grid[#Data],$DD714,65),0)</f>
        <v/>
      </c>
      <c r="BP714">
        <f>IFERROR(INDEX(PP_Grid[#Data],$DD714,66),0)</f>
        <v/>
      </c>
      <c r="BQ714">
        <f>IFERROR(INDEX(PP_Grid[#Data],$DD714,67),0)</f>
        <v/>
      </c>
      <c r="BR714">
        <f>IFERROR(INDEX(PP_Grid[#Data],$DD714,68),0)</f>
        <v/>
      </c>
      <c r="BS714">
        <f>IFERROR(INDEX(PP_Grid[#Data],$DD714,69),0)</f>
        <v/>
      </c>
      <c r="BT714">
        <f>IFERROR(INDEX(PP_Grid[#Data],$DD714,70),0)</f>
        <v/>
      </c>
      <c r="BU714">
        <f>IFERROR(INDEX(PP_Grid[#Data],$DD714,71),0)</f>
        <v/>
      </c>
      <c r="BV714">
        <f>IFERROR(INDEX(PP_Grid[#Data],$DD714,72),0)</f>
        <v/>
      </c>
      <c r="BW714">
        <f>IFERROR(INDEX(PP_Grid[#Data],$DD714,73),0)</f>
        <v/>
      </c>
      <c r="BX714">
        <f>IFERROR(INDEX(PP_Grid[#Data],$DD714,74),0)</f>
        <v/>
      </c>
      <c r="BY714">
        <f>IFERROR(INDEX(PP_Grid[#Data],$DD714,75),0)</f>
        <v/>
      </c>
      <c r="BZ714">
        <f>IFERROR(INDEX(PP_Grid[#Data],$DD714,76),0)</f>
        <v/>
      </c>
      <c r="CA714">
        <f>IFERROR(INDEX(PP_Grid[#Data],$DD714,77),0)</f>
        <v/>
      </c>
      <c r="CB714">
        <f>IFERROR(INDEX(PP_Grid[#Data],$DD714,78),0)</f>
        <v/>
      </c>
      <c r="CC714">
        <f>IFERROR(INDEX(PP_Grid[#Data],$DD714,79),0)</f>
        <v/>
      </c>
      <c r="CD714">
        <f>IFERROR(INDEX(PP_Grid[#Data],$DD714,80),0)</f>
        <v/>
      </c>
      <c r="CE714">
        <f>IFERROR(INDEX(PP_Grid[#Data],$DD714,81),0)</f>
        <v/>
      </c>
      <c r="CF714">
        <f>IFERROR(INDEX(PP_Grid[#Data],$DD714,82),0)</f>
        <v/>
      </c>
      <c r="CG714">
        <f>IFERROR(INDEX(PP_Grid[#Data],$DD714,83),0)</f>
        <v/>
      </c>
      <c r="CH714">
        <f>IFERROR(INDEX(PP_Grid[#Data],$DD714,84),0)</f>
        <v/>
      </c>
      <c r="CI714">
        <f>IFERROR(INDEX(PP_Grid[#Data],$DD714,85),0)</f>
        <v/>
      </c>
      <c r="CJ714">
        <f>IFERROR(INDEX(PP_Grid[#Data],$DD714,86),0)</f>
        <v/>
      </c>
      <c r="CK714">
        <f>IFERROR(INDEX(PP_Grid[#Data],$DD714,87),0)</f>
        <v/>
      </c>
      <c r="CL714">
        <f>IFERROR(INDEX(PP_Grid[#Data],$DD714,88),0)</f>
        <v/>
      </c>
      <c r="CM714">
        <f>IFERROR(INDEX(PP_Grid[#Data],$DD714,89),0)</f>
        <v/>
      </c>
      <c r="CN714">
        <f>IFERROR(INDEX(PP_Grid[#Data],$DD714,90),0)</f>
        <v/>
      </c>
      <c r="CO714">
        <f>IFERROR(INDEX(PP_Grid[#Data],$DD714,91),0)</f>
        <v/>
      </c>
      <c r="CP714">
        <f>IFERROR(INDEX(PP_Grid[#Data],$DD714,92),0)</f>
        <v/>
      </c>
      <c r="CQ714">
        <f>IFERROR(INDEX(PP_Grid[#Data],$DD714,93),0)</f>
        <v/>
      </c>
      <c r="CR714">
        <f>IFERROR(INDEX(PP_Grid[#Data],$DD714,94),0)</f>
        <v/>
      </c>
      <c r="CS714">
        <f>IFERROR(INDEX(PP_Grid[#Data],$DD714,95),0)</f>
        <v/>
      </c>
      <c r="CT714">
        <f>IFERROR(INDEX(PP_Grid[#Data],$DD714,96),0)</f>
        <v/>
      </c>
      <c r="CU714">
        <f>IFERROR(INDEX(PP_Grid[#Data],$DD714,97),0)</f>
        <v/>
      </c>
      <c r="CV714">
        <f>IFERROR(INDEX(PP_Grid[#Data],$DD714,98),0)</f>
        <v/>
      </c>
      <c r="CW714">
        <f>IFERROR(INDEX(PP_Grid[#Data],$DD714,99),0)</f>
        <v/>
      </c>
      <c r="CX714">
        <f>IFERROR(INDEX(PP_Grid[#Data],$DD714,100),0)</f>
        <v/>
      </c>
      <c r="CY714">
        <f>IFERROR(INDEX(PP_Grid[#Data],$DD714,101),0)</f>
        <v/>
      </c>
      <c r="CZ714">
        <f>IFERROR(INDEX(PP_Grid[#Data],$DD714,102),0)</f>
        <v/>
      </c>
      <c r="DA714">
        <f>IFERROR(INDEX(PP_Grid[#Data],$DD714,103),0)</f>
        <v/>
      </c>
      <c r="DB714">
        <f>IFERROR(INDEX(PP_Grid[#Data],$DD714,104),0)</f>
        <v/>
      </c>
      <c r="DC714">
        <f>IFERROR(INDEX(PP_Grid[#Data],$DD714,105),0)</f>
        <v/>
      </c>
      <c r="DD714" s="12">
        <f>IFERROR(MATCH($B714,PP_Grid[Intermediate],0),99999)</f>
        <v/>
      </c>
    </row>
    <row r="715">
      <c r="B715" t="inlineStr">
        <is>
          <t>使用量(kg)</t>
        </is>
      </c>
      <c r="C715">
        <f>SUMIFS(M_BOM[RM_Qty_Per_Batch],M_BOM[Intermediate],$B714,M_BOM[Part Name],$A669)</f>
        <v/>
      </c>
      <c r="D715">
        <f>$C715*D714</f>
        <v/>
      </c>
      <c r="E715">
        <f>$C715*E714</f>
        <v/>
      </c>
      <c r="F715">
        <f>$C715*F714</f>
        <v/>
      </c>
      <c r="G715">
        <f>$C715*G714</f>
        <v/>
      </c>
      <c r="H715">
        <f>$C715*H714</f>
        <v/>
      </c>
      <c r="I715">
        <f>$C715*I714</f>
        <v/>
      </c>
      <c r="J715">
        <f>$C715*J714</f>
        <v/>
      </c>
      <c r="K715">
        <f>$C715*K714</f>
        <v/>
      </c>
      <c r="L715">
        <f>$C715*L714</f>
        <v/>
      </c>
      <c r="M715">
        <f>$C715*M714</f>
        <v/>
      </c>
      <c r="N715">
        <f>$C715*N714</f>
        <v/>
      </c>
      <c r="O715">
        <f>$C715*O714</f>
        <v/>
      </c>
      <c r="P715">
        <f>$C715*P714</f>
        <v/>
      </c>
      <c r="Q715">
        <f>$C715*Q714</f>
        <v/>
      </c>
      <c r="R715">
        <f>$C715*R714</f>
        <v/>
      </c>
      <c r="S715">
        <f>$C715*S714</f>
        <v/>
      </c>
      <c r="T715">
        <f>$C715*T714</f>
        <v/>
      </c>
      <c r="U715">
        <f>$C715*U714</f>
        <v/>
      </c>
      <c r="V715">
        <f>$C715*V714</f>
        <v/>
      </c>
      <c r="W715">
        <f>$C715*W714</f>
        <v/>
      </c>
      <c r="X715">
        <f>$C715*X714</f>
        <v/>
      </c>
      <c r="Y715">
        <f>$C715*Y714</f>
        <v/>
      </c>
      <c r="Z715">
        <f>$C715*Z714</f>
        <v/>
      </c>
      <c r="AA715">
        <f>$C715*AA714</f>
        <v/>
      </c>
      <c r="AB715">
        <f>$C715*AB714</f>
        <v/>
      </c>
      <c r="AC715">
        <f>$C715*AC714</f>
        <v/>
      </c>
      <c r="AD715">
        <f>$C715*AD714</f>
        <v/>
      </c>
      <c r="AE715">
        <f>$C715*AE714</f>
        <v/>
      </c>
      <c r="AF715">
        <f>$C715*AF714</f>
        <v/>
      </c>
      <c r="AG715">
        <f>$C715*AG714</f>
        <v/>
      </c>
      <c r="AH715">
        <f>$C715*AH714</f>
        <v/>
      </c>
      <c r="AI715">
        <f>$C715*AI714</f>
        <v/>
      </c>
      <c r="AJ715">
        <f>$C715*AJ714</f>
        <v/>
      </c>
      <c r="AK715">
        <f>$C715*AK714</f>
        <v/>
      </c>
      <c r="AL715">
        <f>$C715*AL714</f>
        <v/>
      </c>
      <c r="AM715">
        <f>$C715*AM714</f>
        <v/>
      </c>
      <c r="AN715">
        <f>$C715*AN714</f>
        <v/>
      </c>
      <c r="AO715">
        <f>$C715*AO714</f>
        <v/>
      </c>
      <c r="AP715">
        <f>$C715*AP714</f>
        <v/>
      </c>
      <c r="AQ715">
        <f>$C715*AQ714</f>
        <v/>
      </c>
      <c r="AR715">
        <f>$C715*AR714</f>
        <v/>
      </c>
      <c r="AS715">
        <f>$C715*AS714</f>
        <v/>
      </c>
      <c r="AT715">
        <f>$C715*AT714</f>
        <v/>
      </c>
      <c r="AU715">
        <f>$C715*AU714</f>
        <v/>
      </c>
      <c r="AV715">
        <f>$C715*AV714</f>
        <v/>
      </c>
      <c r="AW715">
        <f>$C715*AW714</f>
        <v/>
      </c>
      <c r="AX715">
        <f>$C715*AX714</f>
        <v/>
      </c>
      <c r="AY715">
        <f>$C715*AY714</f>
        <v/>
      </c>
      <c r="AZ715">
        <f>$C715*AZ714</f>
        <v/>
      </c>
      <c r="BA715">
        <f>$C715*BA714</f>
        <v/>
      </c>
      <c r="BB715">
        <f>$C715*BB714</f>
        <v/>
      </c>
      <c r="BC715">
        <f>$C715*BC714</f>
        <v/>
      </c>
      <c r="BD715">
        <f>$C715*BD714</f>
        <v/>
      </c>
      <c r="BE715">
        <f>$C715*BE714</f>
        <v/>
      </c>
      <c r="BF715">
        <f>$C715*BF714</f>
        <v/>
      </c>
      <c r="BG715">
        <f>$C715*BG714</f>
        <v/>
      </c>
      <c r="BH715">
        <f>$C715*BH714</f>
        <v/>
      </c>
      <c r="BI715">
        <f>$C715*BI714</f>
        <v/>
      </c>
      <c r="BJ715">
        <f>$C715*BJ714</f>
        <v/>
      </c>
      <c r="BK715">
        <f>$C715*BK714</f>
        <v/>
      </c>
      <c r="BL715">
        <f>$C715*BL714</f>
        <v/>
      </c>
      <c r="BM715">
        <f>$C715*BM714</f>
        <v/>
      </c>
      <c r="BN715">
        <f>$C715*BN714</f>
        <v/>
      </c>
      <c r="BO715">
        <f>$C715*BO714</f>
        <v/>
      </c>
      <c r="BP715">
        <f>$C715*BP714</f>
        <v/>
      </c>
      <c r="BQ715">
        <f>$C715*BQ714</f>
        <v/>
      </c>
      <c r="BR715">
        <f>$C715*BR714</f>
        <v/>
      </c>
      <c r="BS715">
        <f>$C715*BS714</f>
        <v/>
      </c>
      <c r="BT715">
        <f>$C715*BT714</f>
        <v/>
      </c>
      <c r="BU715">
        <f>$C715*BU714</f>
        <v/>
      </c>
      <c r="BV715">
        <f>$C715*BV714</f>
        <v/>
      </c>
      <c r="BW715">
        <f>$C715*BW714</f>
        <v/>
      </c>
      <c r="BX715">
        <f>$C715*BX714</f>
        <v/>
      </c>
      <c r="BY715">
        <f>$C715*BY714</f>
        <v/>
      </c>
      <c r="BZ715">
        <f>$C715*BZ714</f>
        <v/>
      </c>
      <c r="CA715">
        <f>$C715*CA714</f>
        <v/>
      </c>
      <c r="CB715">
        <f>$C715*CB714</f>
        <v/>
      </c>
      <c r="CC715">
        <f>$C715*CC714</f>
        <v/>
      </c>
      <c r="CD715">
        <f>$C715*CD714</f>
        <v/>
      </c>
      <c r="CE715">
        <f>$C715*CE714</f>
        <v/>
      </c>
      <c r="CF715">
        <f>$C715*CF714</f>
        <v/>
      </c>
      <c r="CG715">
        <f>$C715*CG714</f>
        <v/>
      </c>
      <c r="CH715">
        <f>$C715*CH714</f>
        <v/>
      </c>
      <c r="CI715">
        <f>$C715*CI714</f>
        <v/>
      </c>
      <c r="CJ715">
        <f>$C715*CJ714</f>
        <v/>
      </c>
      <c r="CK715">
        <f>$C715*CK714</f>
        <v/>
      </c>
      <c r="CL715">
        <f>$C715*CL714</f>
        <v/>
      </c>
      <c r="CM715">
        <f>$C715*CM714</f>
        <v/>
      </c>
      <c r="CN715">
        <f>$C715*CN714</f>
        <v/>
      </c>
      <c r="CO715">
        <f>$C715*CO714</f>
        <v/>
      </c>
      <c r="CP715">
        <f>$C715*CP714</f>
        <v/>
      </c>
      <c r="CQ715">
        <f>$C715*CQ714</f>
        <v/>
      </c>
      <c r="CR715">
        <f>$C715*CR714</f>
        <v/>
      </c>
      <c r="CS715">
        <f>$C715*CS714</f>
        <v/>
      </c>
      <c r="CT715">
        <f>$C715*CT714</f>
        <v/>
      </c>
      <c r="CU715">
        <f>$C715*CU714</f>
        <v/>
      </c>
      <c r="CV715">
        <f>$C715*CV714</f>
        <v/>
      </c>
      <c r="CW715">
        <f>$C715*CW714</f>
        <v/>
      </c>
      <c r="CX715">
        <f>$C715*CX714</f>
        <v/>
      </c>
      <c r="CY715">
        <f>$C715*CY714</f>
        <v/>
      </c>
      <c r="CZ715">
        <f>$C715*CZ714</f>
        <v/>
      </c>
      <c r="DA715">
        <f>$C715*DA714</f>
        <v/>
      </c>
      <c r="DB715">
        <f>$C715*DB714</f>
        <v/>
      </c>
      <c r="DC715">
        <f>$C715*DC714</f>
        <v/>
      </c>
    </row>
    <row r="716">
      <c r="B716" t="inlineStr">
        <is>
          <t>TSP-360</t>
        </is>
      </c>
      <c r="C716" t="inlineStr">
        <is>
          <t>No. of batches</t>
        </is>
      </c>
      <c r="D716">
        <f>IFERROR(INDEX(PP_Grid[#Data],$DD716,2),0)</f>
        <v/>
      </c>
      <c r="E716">
        <f>IFERROR(INDEX(PP_Grid[#Data],$DD716,3),0)</f>
        <v/>
      </c>
      <c r="F716">
        <f>IFERROR(INDEX(PP_Grid[#Data],$DD716,4),0)</f>
        <v/>
      </c>
      <c r="G716">
        <f>IFERROR(INDEX(PP_Grid[#Data],$DD716,5),0)</f>
        <v/>
      </c>
      <c r="H716">
        <f>IFERROR(INDEX(PP_Grid[#Data],$DD716,6),0)</f>
        <v/>
      </c>
      <c r="I716">
        <f>IFERROR(INDEX(PP_Grid[#Data],$DD716,7),0)</f>
        <v/>
      </c>
      <c r="J716">
        <f>IFERROR(INDEX(PP_Grid[#Data],$DD716,8),0)</f>
        <v/>
      </c>
      <c r="K716">
        <f>IFERROR(INDEX(PP_Grid[#Data],$DD716,9),0)</f>
        <v/>
      </c>
      <c r="L716">
        <f>IFERROR(INDEX(PP_Grid[#Data],$DD716,10),0)</f>
        <v/>
      </c>
      <c r="M716">
        <f>IFERROR(INDEX(PP_Grid[#Data],$DD716,11),0)</f>
        <v/>
      </c>
      <c r="N716">
        <f>IFERROR(INDEX(PP_Grid[#Data],$DD716,12),0)</f>
        <v/>
      </c>
      <c r="O716">
        <f>IFERROR(INDEX(PP_Grid[#Data],$DD716,13),0)</f>
        <v/>
      </c>
      <c r="P716">
        <f>IFERROR(INDEX(PP_Grid[#Data],$DD716,14),0)</f>
        <v/>
      </c>
      <c r="Q716">
        <f>IFERROR(INDEX(PP_Grid[#Data],$DD716,15),0)</f>
        <v/>
      </c>
      <c r="R716">
        <f>IFERROR(INDEX(PP_Grid[#Data],$DD716,16),0)</f>
        <v/>
      </c>
      <c r="S716">
        <f>IFERROR(INDEX(PP_Grid[#Data],$DD716,17),0)</f>
        <v/>
      </c>
      <c r="T716">
        <f>IFERROR(INDEX(PP_Grid[#Data],$DD716,18),0)</f>
        <v/>
      </c>
      <c r="U716">
        <f>IFERROR(INDEX(PP_Grid[#Data],$DD716,19),0)</f>
        <v/>
      </c>
      <c r="V716">
        <f>IFERROR(INDEX(PP_Grid[#Data],$DD716,20),0)</f>
        <v/>
      </c>
      <c r="W716">
        <f>IFERROR(INDEX(PP_Grid[#Data],$DD716,21),0)</f>
        <v/>
      </c>
      <c r="X716">
        <f>IFERROR(INDEX(PP_Grid[#Data],$DD716,22),0)</f>
        <v/>
      </c>
      <c r="Y716">
        <f>IFERROR(INDEX(PP_Grid[#Data],$DD716,23),0)</f>
        <v/>
      </c>
      <c r="Z716">
        <f>IFERROR(INDEX(PP_Grid[#Data],$DD716,24),0)</f>
        <v/>
      </c>
      <c r="AA716">
        <f>IFERROR(INDEX(PP_Grid[#Data],$DD716,25),0)</f>
        <v/>
      </c>
      <c r="AB716">
        <f>IFERROR(INDEX(PP_Grid[#Data],$DD716,26),0)</f>
        <v/>
      </c>
      <c r="AC716">
        <f>IFERROR(INDEX(PP_Grid[#Data],$DD716,27),0)</f>
        <v/>
      </c>
      <c r="AD716">
        <f>IFERROR(INDEX(PP_Grid[#Data],$DD716,28),0)</f>
        <v/>
      </c>
      <c r="AE716">
        <f>IFERROR(INDEX(PP_Grid[#Data],$DD716,29),0)</f>
        <v/>
      </c>
      <c r="AF716">
        <f>IFERROR(INDEX(PP_Grid[#Data],$DD716,30),0)</f>
        <v/>
      </c>
      <c r="AG716">
        <f>IFERROR(INDEX(PP_Grid[#Data],$DD716,31),0)</f>
        <v/>
      </c>
      <c r="AH716">
        <f>IFERROR(INDEX(PP_Grid[#Data],$DD716,32),0)</f>
        <v/>
      </c>
      <c r="AI716">
        <f>IFERROR(INDEX(PP_Grid[#Data],$DD716,33),0)</f>
        <v/>
      </c>
      <c r="AJ716">
        <f>IFERROR(INDEX(PP_Grid[#Data],$DD716,34),0)</f>
        <v/>
      </c>
      <c r="AK716">
        <f>IFERROR(INDEX(PP_Grid[#Data],$DD716,35),0)</f>
        <v/>
      </c>
      <c r="AL716">
        <f>IFERROR(INDEX(PP_Grid[#Data],$DD716,36),0)</f>
        <v/>
      </c>
      <c r="AM716">
        <f>IFERROR(INDEX(PP_Grid[#Data],$DD716,37),0)</f>
        <v/>
      </c>
      <c r="AN716">
        <f>IFERROR(INDEX(PP_Grid[#Data],$DD716,38),0)</f>
        <v/>
      </c>
      <c r="AO716">
        <f>IFERROR(INDEX(PP_Grid[#Data],$DD716,39),0)</f>
        <v/>
      </c>
      <c r="AP716">
        <f>IFERROR(INDEX(PP_Grid[#Data],$DD716,40),0)</f>
        <v/>
      </c>
      <c r="AQ716">
        <f>IFERROR(INDEX(PP_Grid[#Data],$DD716,41),0)</f>
        <v/>
      </c>
      <c r="AR716">
        <f>IFERROR(INDEX(PP_Grid[#Data],$DD716,42),0)</f>
        <v/>
      </c>
      <c r="AS716">
        <f>IFERROR(INDEX(PP_Grid[#Data],$DD716,43),0)</f>
        <v/>
      </c>
      <c r="AT716">
        <f>IFERROR(INDEX(PP_Grid[#Data],$DD716,44),0)</f>
        <v/>
      </c>
      <c r="AU716">
        <f>IFERROR(INDEX(PP_Grid[#Data],$DD716,45),0)</f>
        <v/>
      </c>
      <c r="AV716">
        <f>IFERROR(INDEX(PP_Grid[#Data],$DD716,46),0)</f>
        <v/>
      </c>
      <c r="AW716">
        <f>IFERROR(INDEX(PP_Grid[#Data],$DD716,47),0)</f>
        <v/>
      </c>
      <c r="AX716">
        <f>IFERROR(INDEX(PP_Grid[#Data],$DD716,48),0)</f>
        <v/>
      </c>
      <c r="AY716">
        <f>IFERROR(INDEX(PP_Grid[#Data],$DD716,49),0)</f>
        <v/>
      </c>
      <c r="AZ716">
        <f>IFERROR(INDEX(PP_Grid[#Data],$DD716,50),0)</f>
        <v/>
      </c>
      <c r="BA716">
        <f>IFERROR(INDEX(PP_Grid[#Data],$DD716,51),0)</f>
        <v/>
      </c>
      <c r="BB716">
        <f>IFERROR(INDEX(PP_Grid[#Data],$DD716,52),0)</f>
        <v/>
      </c>
      <c r="BC716">
        <f>IFERROR(INDEX(PP_Grid[#Data],$DD716,53),0)</f>
        <v/>
      </c>
      <c r="BD716">
        <f>IFERROR(INDEX(PP_Grid[#Data],$DD716,54),0)</f>
        <v/>
      </c>
      <c r="BE716">
        <f>IFERROR(INDEX(PP_Grid[#Data],$DD716,55),0)</f>
        <v/>
      </c>
      <c r="BF716">
        <f>IFERROR(INDEX(PP_Grid[#Data],$DD716,56),0)</f>
        <v/>
      </c>
      <c r="BG716">
        <f>IFERROR(INDEX(PP_Grid[#Data],$DD716,57),0)</f>
        <v/>
      </c>
      <c r="BH716">
        <f>IFERROR(INDEX(PP_Grid[#Data],$DD716,58),0)</f>
        <v/>
      </c>
      <c r="BI716">
        <f>IFERROR(INDEX(PP_Grid[#Data],$DD716,59),0)</f>
        <v/>
      </c>
      <c r="BJ716">
        <f>IFERROR(INDEX(PP_Grid[#Data],$DD716,60),0)</f>
        <v/>
      </c>
      <c r="BK716">
        <f>IFERROR(INDEX(PP_Grid[#Data],$DD716,61),0)</f>
        <v/>
      </c>
      <c r="BL716">
        <f>IFERROR(INDEX(PP_Grid[#Data],$DD716,62),0)</f>
        <v/>
      </c>
      <c r="BM716">
        <f>IFERROR(INDEX(PP_Grid[#Data],$DD716,63),0)</f>
        <v/>
      </c>
      <c r="BN716">
        <f>IFERROR(INDEX(PP_Grid[#Data],$DD716,64),0)</f>
        <v/>
      </c>
      <c r="BO716">
        <f>IFERROR(INDEX(PP_Grid[#Data],$DD716,65),0)</f>
        <v/>
      </c>
      <c r="BP716">
        <f>IFERROR(INDEX(PP_Grid[#Data],$DD716,66),0)</f>
        <v/>
      </c>
      <c r="BQ716">
        <f>IFERROR(INDEX(PP_Grid[#Data],$DD716,67),0)</f>
        <v/>
      </c>
      <c r="BR716">
        <f>IFERROR(INDEX(PP_Grid[#Data],$DD716,68),0)</f>
        <v/>
      </c>
      <c r="BS716">
        <f>IFERROR(INDEX(PP_Grid[#Data],$DD716,69),0)</f>
        <v/>
      </c>
      <c r="BT716">
        <f>IFERROR(INDEX(PP_Grid[#Data],$DD716,70),0)</f>
        <v/>
      </c>
      <c r="BU716">
        <f>IFERROR(INDEX(PP_Grid[#Data],$DD716,71),0)</f>
        <v/>
      </c>
      <c r="BV716">
        <f>IFERROR(INDEX(PP_Grid[#Data],$DD716,72),0)</f>
        <v/>
      </c>
      <c r="BW716">
        <f>IFERROR(INDEX(PP_Grid[#Data],$DD716,73),0)</f>
        <v/>
      </c>
      <c r="BX716">
        <f>IFERROR(INDEX(PP_Grid[#Data],$DD716,74),0)</f>
        <v/>
      </c>
      <c r="BY716">
        <f>IFERROR(INDEX(PP_Grid[#Data],$DD716,75),0)</f>
        <v/>
      </c>
      <c r="BZ716">
        <f>IFERROR(INDEX(PP_Grid[#Data],$DD716,76),0)</f>
        <v/>
      </c>
      <c r="CA716">
        <f>IFERROR(INDEX(PP_Grid[#Data],$DD716,77),0)</f>
        <v/>
      </c>
      <c r="CB716">
        <f>IFERROR(INDEX(PP_Grid[#Data],$DD716,78),0)</f>
        <v/>
      </c>
      <c r="CC716">
        <f>IFERROR(INDEX(PP_Grid[#Data],$DD716,79),0)</f>
        <v/>
      </c>
      <c r="CD716">
        <f>IFERROR(INDEX(PP_Grid[#Data],$DD716,80),0)</f>
        <v/>
      </c>
      <c r="CE716">
        <f>IFERROR(INDEX(PP_Grid[#Data],$DD716,81),0)</f>
        <v/>
      </c>
      <c r="CF716">
        <f>IFERROR(INDEX(PP_Grid[#Data],$DD716,82),0)</f>
        <v/>
      </c>
      <c r="CG716">
        <f>IFERROR(INDEX(PP_Grid[#Data],$DD716,83),0)</f>
        <v/>
      </c>
      <c r="CH716">
        <f>IFERROR(INDEX(PP_Grid[#Data],$DD716,84),0)</f>
        <v/>
      </c>
      <c r="CI716">
        <f>IFERROR(INDEX(PP_Grid[#Data],$DD716,85),0)</f>
        <v/>
      </c>
      <c r="CJ716">
        <f>IFERROR(INDEX(PP_Grid[#Data],$DD716,86),0)</f>
        <v/>
      </c>
      <c r="CK716">
        <f>IFERROR(INDEX(PP_Grid[#Data],$DD716,87),0)</f>
        <v/>
      </c>
      <c r="CL716">
        <f>IFERROR(INDEX(PP_Grid[#Data],$DD716,88),0)</f>
        <v/>
      </c>
      <c r="CM716">
        <f>IFERROR(INDEX(PP_Grid[#Data],$DD716,89),0)</f>
        <v/>
      </c>
      <c r="CN716">
        <f>IFERROR(INDEX(PP_Grid[#Data],$DD716,90),0)</f>
        <v/>
      </c>
      <c r="CO716">
        <f>IFERROR(INDEX(PP_Grid[#Data],$DD716,91),0)</f>
        <v/>
      </c>
      <c r="CP716">
        <f>IFERROR(INDEX(PP_Grid[#Data],$DD716,92),0)</f>
        <v/>
      </c>
      <c r="CQ716">
        <f>IFERROR(INDEX(PP_Grid[#Data],$DD716,93),0)</f>
        <v/>
      </c>
      <c r="CR716">
        <f>IFERROR(INDEX(PP_Grid[#Data],$DD716,94),0)</f>
        <v/>
      </c>
      <c r="CS716">
        <f>IFERROR(INDEX(PP_Grid[#Data],$DD716,95),0)</f>
        <v/>
      </c>
      <c r="CT716">
        <f>IFERROR(INDEX(PP_Grid[#Data],$DD716,96),0)</f>
        <v/>
      </c>
      <c r="CU716">
        <f>IFERROR(INDEX(PP_Grid[#Data],$DD716,97),0)</f>
        <v/>
      </c>
      <c r="CV716">
        <f>IFERROR(INDEX(PP_Grid[#Data],$DD716,98),0)</f>
        <v/>
      </c>
      <c r="CW716">
        <f>IFERROR(INDEX(PP_Grid[#Data],$DD716,99),0)</f>
        <v/>
      </c>
      <c r="CX716">
        <f>IFERROR(INDEX(PP_Grid[#Data],$DD716,100),0)</f>
        <v/>
      </c>
      <c r="CY716">
        <f>IFERROR(INDEX(PP_Grid[#Data],$DD716,101),0)</f>
        <v/>
      </c>
      <c r="CZ716">
        <f>IFERROR(INDEX(PP_Grid[#Data],$DD716,102),0)</f>
        <v/>
      </c>
      <c r="DA716">
        <f>IFERROR(INDEX(PP_Grid[#Data],$DD716,103),0)</f>
        <v/>
      </c>
      <c r="DB716">
        <f>IFERROR(INDEX(PP_Grid[#Data],$DD716,104),0)</f>
        <v/>
      </c>
      <c r="DC716">
        <f>IFERROR(INDEX(PP_Grid[#Data],$DD716,105),0)</f>
        <v/>
      </c>
      <c r="DD716" s="12">
        <f>IFERROR(MATCH($B716,PP_Grid[Intermediate],0),99999)</f>
        <v/>
      </c>
    </row>
    <row r="717">
      <c r="B717" t="inlineStr">
        <is>
          <t>使用量(kg)</t>
        </is>
      </c>
      <c r="C717">
        <f>SUMIFS(M_BOM[RM_Qty_Per_Batch],M_BOM[Intermediate],$B716,M_BOM[Part Name],$A669)</f>
        <v/>
      </c>
      <c r="D717">
        <f>$C717*D716</f>
        <v/>
      </c>
      <c r="E717">
        <f>$C717*E716</f>
        <v/>
      </c>
      <c r="F717">
        <f>$C717*F716</f>
        <v/>
      </c>
      <c r="G717">
        <f>$C717*G716</f>
        <v/>
      </c>
      <c r="H717">
        <f>$C717*H716</f>
        <v/>
      </c>
      <c r="I717">
        <f>$C717*I716</f>
        <v/>
      </c>
      <c r="J717">
        <f>$C717*J716</f>
        <v/>
      </c>
      <c r="K717">
        <f>$C717*K716</f>
        <v/>
      </c>
      <c r="L717">
        <f>$C717*L716</f>
        <v/>
      </c>
      <c r="M717">
        <f>$C717*M716</f>
        <v/>
      </c>
      <c r="N717">
        <f>$C717*N716</f>
        <v/>
      </c>
      <c r="O717">
        <f>$C717*O716</f>
        <v/>
      </c>
      <c r="P717">
        <f>$C717*P716</f>
        <v/>
      </c>
      <c r="Q717">
        <f>$C717*Q716</f>
        <v/>
      </c>
      <c r="R717">
        <f>$C717*R716</f>
        <v/>
      </c>
      <c r="S717">
        <f>$C717*S716</f>
        <v/>
      </c>
      <c r="T717">
        <f>$C717*T716</f>
        <v/>
      </c>
      <c r="U717">
        <f>$C717*U716</f>
        <v/>
      </c>
      <c r="V717">
        <f>$C717*V716</f>
        <v/>
      </c>
      <c r="W717">
        <f>$C717*W716</f>
        <v/>
      </c>
      <c r="X717">
        <f>$C717*X716</f>
        <v/>
      </c>
      <c r="Y717">
        <f>$C717*Y716</f>
        <v/>
      </c>
      <c r="Z717">
        <f>$C717*Z716</f>
        <v/>
      </c>
      <c r="AA717">
        <f>$C717*AA716</f>
        <v/>
      </c>
      <c r="AB717">
        <f>$C717*AB716</f>
        <v/>
      </c>
      <c r="AC717">
        <f>$C717*AC716</f>
        <v/>
      </c>
      <c r="AD717">
        <f>$C717*AD716</f>
        <v/>
      </c>
      <c r="AE717">
        <f>$C717*AE716</f>
        <v/>
      </c>
      <c r="AF717">
        <f>$C717*AF716</f>
        <v/>
      </c>
      <c r="AG717">
        <f>$C717*AG716</f>
        <v/>
      </c>
      <c r="AH717">
        <f>$C717*AH716</f>
        <v/>
      </c>
      <c r="AI717">
        <f>$C717*AI716</f>
        <v/>
      </c>
      <c r="AJ717">
        <f>$C717*AJ716</f>
        <v/>
      </c>
      <c r="AK717">
        <f>$C717*AK716</f>
        <v/>
      </c>
      <c r="AL717">
        <f>$C717*AL716</f>
        <v/>
      </c>
      <c r="AM717">
        <f>$C717*AM716</f>
        <v/>
      </c>
      <c r="AN717">
        <f>$C717*AN716</f>
        <v/>
      </c>
      <c r="AO717">
        <f>$C717*AO716</f>
        <v/>
      </c>
      <c r="AP717">
        <f>$C717*AP716</f>
        <v/>
      </c>
      <c r="AQ717">
        <f>$C717*AQ716</f>
        <v/>
      </c>
      <c r="AR717">
        <f>$C717*AR716</f>
        <v/>
      </c>
      <c r="AS717">
        <f>$C717*AS716</f>
        <v/>
      </c>
      <c r="AT717">
        <f>$C717*AT716</f>
        <v/>
      </c>
      <c r="AU717">
        <f>$C717*AU716</f>
        <v/>
      </c>
      <c r="AV717">
        <f>$C717*AV716</f>
        <v/>
      </c>
      <c r="AW717">
        <f>$C717*AW716</f>
        <v/>
      </c>
      <c r="AX717">
        <f>$C717*AX716</f>
        <v/>
      </c>
      <c r="AY717">
        <f>$C717*AY716</f>
        <v/>
      </c>
      <c r="AZ717">
        <f>$C717*AZ716</f>
        <v/>
      </c>
      <c r="BA717">
        <f>$C717*BA716</f>
        <v/>
      </c>
      <c r="BB717">
        <f>$C717*BB716</f>
        <v/>
      </c>
      <c r="BC717">
        <f>$C717*BC716</f>
        <v/>
      </c>
      <c r="BD717">
        <f>$C717*BD716</f>
        <v/>
      </c>
      <c r="BE717">
        <f>$C717*BE716</f>
        <v/>
      </c>
      <c r="BF717">
        <f>$C717*BF716</f>
        <v/>
      </c>
      <c r="BG717">
        <f>$C717*BG716</f>
        <v/>
      </c>
      <c r="BH717">
        <f>$C717*BH716</f>
        <v/>
      </c>
      <c r="BI717">
        <f>$C717*BI716</f>
        <v/>
      </c>
      <c r="BJ717">
        <f>$C717*BJ716</f>
        <v/>
      </c>
      <c r="BK717">
        <f>$C717*BK716</f>
        <v/>
      </c>
      <c r="BL717">
        <f>$C717*BL716</f>
        <v/>
      </c>
      <c r="BM717">
        <f>$C717*BM716</f>
        <v/>
      </c>
      <c r="BN717">
        <f>$C717*BN716</f>
        <v/>
      </c>
      <c r="BO717">
        <f>$C717*BO716</f>
        <v/>
      </c>
      <c r="BP717">
        <f>$C717*BP716</f>
        <v/>
      </c>
      <c r="BQ717">
        <f>$C717*BQ716</f>
        <v/>
      </c>
      <c r="BR717">
        <f>$C717*BR716</f>
        <v/>
      </c>
      <c r="BS717">
        <f>$C717*BS716</f>
        <v/>
      </c>
      <c r="BT717">
        <f>$C717*BT716</f>
        <v/>
      </c>
      <c r="BU717">
        <f>$C717*BU716</f>
        <v/>
      </c>
      <c r="BV717">
        <f>$C717*BV716</f>
        <v/>
      </c>
      <c r="BW717">
        <f>$C717*BW716</f>
        <v/>
      </c>
      <c r="BX717">
        <f>$C717*BX716</f>
        <v/>
      </c>
      <c r="BY717">
        <f>$C717*BY716</f>
        <v/>
      </c>
      <c r="BZ717">
        <f>$C717*BZ716</f>
        <v/>
      </c>
      <c r="CA717">
        <f>$C717*CA716</f>
        <v/>
      </c>
      <c r="CB717">
        <f>$C717*CB716</f>
        <v/>
      </c>
      <c r="CC717">
        <f>$C717*CC716</f>
        <v/>
      </c>
      <c r="CD717">
        <f>$C717*CD716</f>
        <v/>
      </c>
      <c r="CE717">
        <f>$C717*CE716</f>
        <v/>
      </c>
      <c r="CF717">
        <f>$C717*CF716</f>
        <v/>
      </c>
      <c r="CG717">
        <f>$C717*CG716</f>
        <v/>
      </c>
      <c r="CH717">
        <f>$C717*CH716</f>
        <v/>
      </c>
      <c r="CI717">
        <f>$C717*CI716</f>
        <v/>
      </c>
      <c r="CJ717">
        <f>$C717*CJ716</f>
        <v/>
      </c>
      <c r="CK717">
        <f>$C717*CK716</f>
        <v/>
      </c>
      <c r="CL717">
        <f>$C717*CL716</f>
        <v/>
      </c>
      <c r="CM717">
        <f>$C717*CM716</f>
        <v/>
      </c>
      <c r="CN717">
        <f>$C717*CN716</f>
        <v/>
      </c>
      <c r="CO717">
        <f>$C717*CO716</f>
        <v/>
      </c>
      <c r="CP717">
        <f>$C717*CP716</f>
        <v/>
      </c>
      <c r="CQ717">
        <f>$C717*CQ716</f>
        <v/>
      </c>
      <c r="CR717">
        <f>$C717*CR716</f>
        <v/>
      </c>
      <c r="CS717">
        <f>$C717*CS716</f>
        <v/>
      </c>
      <c r="CT717">
        <f>$C717*CT716</f>
        <v/>
      </c>
      <c r="CU717">
        <f>$C717*CU716</f>
        <v/>
      </c>
      <c r="CV717">
        <f>$C717*CV716</f>
        <v/>
      </c>
      <c r="CW717">
        <f>$C717*CW716</f>
        <v/>
      </c>
      <c r="CX717">
        <f>$C717*CX716</f>
        <v/>
      </c>
      <c r="CY717">
        <f>$C717*CY716</f>
        <v/>
      </c>
      <c r="CZ717">
        <f>$C717*CZ716</f>
        <v/>
      </c>
      <c r="DA717">
        <f>$C717*DA716</f>
        <v/>
      </c>
      <c r="DB717">
        <f>$C717*DB716</f>
        <v/>
      </c>
      <c r="DC717">
        <f>$C717*DC716</f>
        <v/>
      </c>
    </row>
    <row r="718">
      <c r="B718" t="inlineStr">
        <is>
          <t>TSP-367</t>
        </is>
      </c>
      <c r="C718" t="inlineStr">
        <is>
          <t>No. of batches</t>
        </is>
      </c>
      <c r="D718">
        <f>IFERROR(INDEX(PP_Grid[#Data],$DD718,2),0)</f>
        <v/>
      </c>
      <c r="E718">
        <f>IFERROR(INDEX(PP_Grid[#Data],$DD718,3),0)</f>
        <v/>
      </c>
      <c r="F718">
        <f>IFERROR(INDEX(PP_Grid[#Data],$DD718,4),0)</f>
        <v/>
      </c>
      <c r="G718">
        <f>IFERROR(INDEX(PP_Grid[#Data],$DD718,5),0)</f>
        <v/>
      </c>
      <c r="H718">
        <f>IFERROR(INDEX(PP_Grid[#Data],$DD718,6),0)</f>
        <v/>
      </c>
      <c r="I718">
        <f>IFERROR(INDEX(PP_Grid[#Data],$DD718,7),0)</f>
        <v/>
      </c>
      <c r="J718">
        <f>IFERROR(INDEX(PP_Grid[#Data],$DD718,8),0)</f>
        <v/>
      </c>
      <c r="K718">
        <f>IFERROR(INDEX(PP_Grid[#Data],$DD718,9),0)</f>
        <v/>
      </c>
      <c r="L718">
        <f>IFERROR(INDEX(PP_Grid[#Data],$DD718,10),0)</f>
        <v/>
      </c>
      <c r="M718">
        <f>IFERROR(INDEX(PP_Grid[#Data],$DD718,11),0)</f>
        <v/>
      </c>
      <c r="N718">
        <f>IFERROR(INDEX(PP_Grid[#Data],$DD718,12),0)</f>
        <v/>
      </c>
      <c r="O718">
        <f>IFERROR(INDEX(PP_Grid[#Data],$DD718,13),0)</f>
        <v/>
      </c>
      <c r="P718">
        <f>IFERROR(INDEX(PP_Grid[#Data],$DD718,14),0)</f>
        <v/>
      </c>
      <c r="Q718">
        <f>IFERROR(INDEX(PP_Grid[#Data],$DD718,15),0)</f>
        <v/>
      </c>
      <c r="R718">
        <f>IFERROR(INDEX(PP_Grid[#Data],$DD718,16),0)</f>
        <v/>
      </c>
      <c r="S718">
        <f>IFERROR(INDEX(PP_Grid[#Data],$DD718,17),0)</f>
        <v/>
      </c>
      <c r="T718">
        <f>IFERROR(INDEX(PP_Grid[#Data],$DD718,18),0)</f>
        <v/>
      </c>
      <c r="U718">
        <f>IFERROR(INDEX(PP_Grid[#Data],$DD718,19),0)</f>
        <v/>
      </c>
      <c r="V718">
        <f>IFERROR(INDEX(PP_Grid[#Data],$DD718,20),0)</f>
        <v/>
      </c>
      <c r="W718">
        <f>IFERROR(INDEX(PP_Grid[#Data],$DD718,21),0)</f>
        <v/>
      </c>
      <c r="X718">
        <f>IFERROR(INDEX(PP_Grid[#Data],$DD718,22),0)</f>
        <v/>
      </c>
      <c r="Y718">
        <f>IFERROR(INDEX(PP_Grid[#Data],$DD718,23),0)</f>
        <v/>
      </c>
      <c r="Z718">
        <f>IFERROR(INDEX(PP_Grid[#Data],$DD718,24),0)</f>
        <v/>
      </c>
      <c r="AA718">
        <f>IFERROR(INDEX(PP_Grid[#Data],$DD718,25),0)</f>
        <v/>
      </c>
      <c r="AB718">
        <f>IFERROR(INDEX(PP_Grid[#Data],$DD718,26),0)</f>
        <v/>
      </c>
      <c r="AC718">
        <f>IFERROR(INDEX(PP_Grid[#Data],$DD718,27),0)</f>
        <v/>
      </c>
      <c r="AD718">
        <f>IFERROR(INDEX(PP_Grid[#Data],$DD718,28),0)</f>
        <v/>
      </c>
      <c r="AE718">
        <f>IFERROR(INDEX(PP_Grid[#Data],$DD718,29),0)</f>
        <v/>
      </c>
      <c r="AF718">
        <f>IFERROR(INDEX(PP_Grid[#Data],$DD718,30),0)</f>
        <v/>
      </c>
      <c r="AG718">
        <f>IFERROR(INDEX(PP_Grid[#Data],$DD718,31),0)</f>
        <v/>
      </c>
      <c r="AH718">
        <f>IFERROR(INDEX(PP_Grid[#Data],$DD718,32),0)</f>
        <v/>
      </c>
      <c r="AI718">
        <f>IFERROR(INDEX(PP_Grid[#Data],$DD718,33),0)</f>
        <v/>
      </c>
      <c r="AJ718">
        <f>IFERROR(INDEX(PP_Grid[#Data],$DD718,34),0)</f>
        <v/>
      </c>
      <c r="AK718">
        <f>IFERROR(INDEX(PP_Grid[#Data],$DD718,35),0)</f>
        <v/>
      </c>
      <c r="AL718">
        <f>IFERROR(INDEX(PP_Grid[#Data],$DD718,36),0)</f>
        <v/>
      </c>
      <c r="AM718">
        <f>IFERROR(INDEX(PP_Grid[#Data],$DD718,37),0)</f>
        <v/>
      </c>
      <c r="AN718">
        <f>IFERROR(INDEX(PP_Grid[#Data],$DD718,38),0)</f>
        <v/>
      </c>
      <c r="AO718">
        <f>IFERROR(INDEX(PP_Grid[#Data],$DD718,39),0)</f>
        <v/>
      </c>
      <c r="AP718">
        <f>IFERROR(INDEX(PP_Grid[#Data],$DD718,40),0)</f>
        <v/>
      </c>
      <c r="AQ718">
        <f>IFERROR(INDEX(PP_Grid[#Data],$DD718,41),0)</f>
        <v/>
      </c>
      <c r="AR718">
        <f>IFERROR(INDEX(PP_Grid[#Data],$DD718,42),0)</f>
        <v/>
      </c>
      <c r="AS718">
        <f>IFERROR(INDEX(PP_Grid[#Data],$DD718,43),0)</f>
        <v/>
      </c>
      <c r="AT718">
        <f>IFERROR(INDEX(PP_Grid[#Data],$DD718,44),0)</f>
        <v/>
      </c>
      <c r="AU718">
        <f>IFERROR(INDEX(PP_Grid[#Data],$DD718,45),0)</f>
        <v/>
      </c>
      <c r="AV718">
        <f>IFERROR(INDEX(PP_Grid[#Data],$DD718,46),0)</f>
        <v/>
      </c>
      <c r="AW718">
        <f>IFERROR(INDEX(PP_Grid[#Data],$DD718,47),0)</f>
        <v/>
      </c>
      <c r="AX718">
        <f>IFERROR(INDEX(PP_Grid[#Data],$DD718,48),0)</f>
        <v/>
      </c>
      <c r="AY718">
        <f>IFERROR(INDEX(PP_Grid[#Data],$DD718,49),0)</f>
        <v/>
      </c>
      <c r="AZ718">
        <f>IFERROR(INDEX(PP_Grid[#Data],$DD718,50),0)</f>
        <v/>
      </c>
      <c r="BA718">
        <f>IFERROR(INDEX(PP_Grid[#Data],$DD718,51),0)</f>
        <v/>
      </c>
      <c r="BB718">
        <f>IFERROR(INDEX(PP_Grid[#Data],$DD718,52),0)</f>
        <v/>
      </c>
      <c r="BC718">
        <f>IFERROR(INDEX(PP_Grid[#Data],$DD718,53),0)</f>
        <v/>
      </c>
      <c r="BD718">
        <f>IFERROR(INDEX(PP_Grid[#Data],$DD718,54),0)</f>
        <v/>
      </c>
      <c r="BE718">
        <f>IFERROR(INDEX(PP_Grid[#Data],$DD718,55),0)</f>
        <v/>
      </c>
      <c r="BF718">
        <f>IFERROR(INDEX(PP_Grid[#Data],$DD718,56),0)</f>
        <v/>
      </c>
      <c r="BG718">
        <f>IFERROR(INDEX(PP_Grid[#Data],$DD718,57),0)</f>
        <v/>
      </c>
      <c r="BH718">
        <f>IFERROR(INDEX(PP_Grid[#Data],$DD718,58),0)</f>
        <v/>
      </c>
      <c r="BI718">
        <f>IFERROR(INDEX(PP_Grid[#Data],$DD718,59),0)</f>
        <v/>
      </c>
      <c r="BJ718">
        <f>IFERROR(INDEX(PP_Grid[#Data],$DD718,60),0)</f>
        <v/>
      </c>
      <c r="BK718">
        <f>IFERROR(INDEX(PP_Grid[#Data],$DD718,61),0)</f>
        <v/>
      </c>
      <c r="BL718">
        <f>IFERROR(INDEX(PP_Grid[#Data],$DD718,62),0)</f>
        <v/>
      </c>
      <c r="BM718">
        <f>IFERROR(INDEX(PP_Grid[#Data],$DD718,63),0)</f>
        <v/>
      </c>
      <c r="BN718">
        <f>IFERROR(INDEX(PP_Grid[#Data],$DD718,64),0)</f>
        <v/>
      </c>
      <c r="BO718">
        <f>IFERROR(INDEX(PP_Grid[#Data],$DD718,65),0)</f>
        <v/>
      </c>
      <c r="BP718">
        <f>IFERROR(INDEX(PP_Grid[#Data],$DD718,66),0)</f>
        <v/>
      </c>
      <c r="BQ718">
        <f>IFERROR(INDEX(PP_Grid[#Data],$DD718,67),0)</f>
        <v/>
      </c>
      <c r="BR718">
        <f>IFERROR(INDEX(PP_Grid[#Data],$DD718,68),0)</f>
        <v/>
      </c>
      <c r="BS718">
        <f>IFERROR(INDEX(PP_Grid[#Data],$DD718,69),0)</f>
        <v/>
      </c>
      <c r="BT718">
        <f>IFERROR(INDEX(PP_Grid[#Data],$DD718,70),0)</f>
        <v/>
      </c>
      <c r="BU718">
        <f>IFERROR(INDEX(PP_Grid[#Data],$DD718,71),0)</f>
        <v/>
      </c>
      <c r="BV718">
        <f>IFERROR(INDEX(PP_Grid[#Data],$DD718,72),0)</f>
        <v/>
      </c>
      <c r="BW718">
        <f>IFERROR(INDEX(PP_Grid[#Data],$DD718,73),0)</f>
        <v/>
      </c>
      <c r="BX718">
        <f>IFERROR(INDEX(PP_Grid[#Data],$DD718,74),0)</f>
        <v/>
      </c>
      <c r="BY718">
        <f>IFERROR(INDEX(PP_Grid[#Data],$DD718,75),0)</f>
        <v/>
      </c>
      <c r="BZ718">
        <f>IFERROR(INDEX(PP_Grid[#Data],$DD718,76),0)</f>
        <v/>
      </c>
      <c r="CA718">
        <f>IFERROR(INDEX(PP_Grid[#Data],$DD718,77),0)</f>
        <v/>
      </c>
      <c r="CB718">
        <f>IFERROR(INDEX(PP_Grid[#Data],$DD718,78),0)</f>
        <v/>
      </c>
      <c r="CC718">
        <f>IFERROR(INDEX(PP_Grid[#Data],$DD718,79),0)</f>
        <v/>
      </c>
      <c r="CD718">
        <f>IFERROR(INDEX(PP_Grid[#Data],$DD718,80),0)</f>
        <v/>
      </c>
      <c r="CE718">
        <f>IFERROR(INDEX(PP_Grid[#Data],$DD718,81),0)</f>
        <v/>
      </c>
      <c r="CF718">
        <f>IFERROR(INDEX(PP_Grid[#Data],$DD718,82),0)</f>
        <v/>
      </c>
      <c r="CG718">
        <f>IFERROR(INDEX(PP_Grid[#Data],$DD718,83),0)</f>
        <v/>
      </c>
      <c r="CH718">
        <f>IFERROR(INDEX(PP_Grid[#Data],$DD718,84),0)</f>
        <v/>
      </c>
      <c r="CI718">
        <f>IFERROR(INDEX(PP_Grid[#Data],$DD718,85),0)</f>
        <v/>
      </c>
      <c r="CJ718">
        <f>IFERROR(INDEX(PP_Grid[#Data],$DD718,86),0)</f>
        <v/>
      </c>
      <c r="CK718">
        <f>IFERROR(INDEX(PP_Grid[#Data],$DD718,87),0)</f>
        <v/>
      </c>
      <c r="CL718">
        <f>IFERROR(INDEX(PP_Grid[#Data],$DD718,88),0)</f>
        <v/>
      </c>
      <c r="CM718">
        <f>IFERROR(INDEX(PP_Grid[#Data],$DD718,89),0)</f>
        <v/>
      </c>
      <c r="CN718">
        <f>IFERROR(INDEX(PP_Grid[#Data],$DD718,90),0)</f>
        <v/>
      </c>
      <c r="CO718">
        <f>IFERROR(INDEX(PP_Grid[#Data],$DD718,91),0)</f>
        <v/>
      </c>
      <c r="CP718">
        <f>IFERROR(INDEX(PP_Grid[#Data],$DD718,92),0)</f>
        <v/>
      </c>
      <c r="CQ718">
        <f>IFERROR(INDEX(PP_Grid[#Data],$DD718,93),0)</f>
        <v/>
      </c>
      <c r="CR718">
        <f>IFERROR(INDEX(PP_Grid[#Data],$DD718,94),0)</f>
        <v/>
      </c>
      <c r="CS718">
        <f>IFERROR(INDEX(PP_Grid[#Data],$DD718,95),0)</f>
        <v/>
      </c>
      <c r="CT718">
        <f>IFERROR(INDEX(PP_Grid[#Data],$DD718,96),0)</f>
        <v/>
      </c>
      <c r="CU718">
        <f>IFERROR(INDEX(PP_Grid[#Data],$DD718,97),0)</f>
        <v/>
      </c>
      <c r="CV718">
        <f>IFERROR(INDEX(PP_Grid[#Data],$DD718,98),0)</f>
        <v/>
      </c>
      <c r="CW718">
        <f>IFERROR(INDEX(PP_Grid[#Data],$DD718,99),0)</f>
        <v/>
      </c>
      <c r="CX718">
        <f>IFERROR(INDEX(PP_Grid[#Data],$DD718,100),0)</f>
        <v/>
      </c>
      <c r="CY718">
        <f>IFERROR(INDEX(PP_Grid[#Data],$DD718,101),0)</f>
        <v/>
      </c>
      <c r="CZ718">
        <f>IFERROR(INDEX(PP_Grid[#Data],$DD718,102),0)</f>
        <v/>
      </c>
      <c r="DA718">
        <f>IFERROR(INDEX(PP_Grid[#Data],$DD718,103),0)</f>
        <v/>
      </c>
      <c r="DB718">
        <f>IFERROR(INDEX(PP_Grid[#Data],$DD718,104),0)</f>
        <v/>
      </c>
      <c r="DC718">
        <f>IFERROR(INDEX(PP_Grid[#Data],$DD718,105),0)</f>
        <v/>
      </c>
      <c r="DD718" s="12">
        <f>IFERROR(MATCH($B718,PP_Grid[Intermediate],0),99999)</f>
        <v/>
      </c>
    </row>
    <row r="719">
      <c r="B719" t="inlineStr">
        <is>
          <t>使用量(kg)</t>
        </is>
      </c>
      <c r="C719">
        <f>SUMIFS(M_BOM[RM_Qty_Per_Batch],M_BOM[Intermediate],$B718,M_BOM[Part Name],$A669)</f>
        <v/>
      </c>
      <c r="D719">
        <f>$C719*D718</f>
        <v/>
      </c>
      <c r="E719">
        <f>$C719*E718</f>
        <v/>
      </c>
      <c r="F719">
        <f>$C719*F718</f>
        <v/>
      </c>
      <c r="G719">
        <f>$C719*G718</f>
        <v/>
      </c>
      <c r="H719">
        <f>$C719*H718</f>
        <v/>
      </c>
      <c r="I719">
        <f>$C719*I718</f>
        <v/>
      </c>
      <c r="J719">
        <f>$C719*J718</f>
        <v/>
      </c>
      <c r="K719">
        <f>$C719*K718</f>
        <v/>
      </c>
      <c r="L719">
        <f>$C719*L718</f>
        <v/>
      </c>
      <c r="M719">
        <f>$C719*M718</f>
        <v/>
      </c>
      <c r="N719">
        <f>$C719*N718</f>
        <v/>
      </c>
      <c r="O719">
        <f>$C719*O718</f>
        <v/>
      </c>
      <c r="P719">
        <f>$C719*P718</f>
        <v/>
      </c>
      <c r="Q719">
        <f>$C719*Q718</f>
        <v/>
      </c>
      <c r="R719">
        <f>$C719*R718</f>
        <v/>
      </c>
      <c r="S719">
        <f>$C719*S718</f>
        <v/>
      </c>
      <c r="T719">
        <f>$C719*T718</f>
        <v/>
      </c>
      <c r="U719">
        <f>$C719*U718</f>
        <v/>
      </c>
      <c r="V719">
        <f>$C719*V718</f>
        <v/>
      </c>
      <c r="W719">
        <f>$C719*W718</f>
        <v/>
      </c>
      <c r="X719">
        <f>$C719*X718</f>
        <v/>
      </c>
      <c r="Y719">
        <f>$C719*Y718</f>
        <v/>
      </c>
      <c r="Z719">
        <f>$C719*Z718</f>
        <v/>
      </c>
      <c r="AA719">
        <f>$C719*AA718</f>
        <v/>
      </c>
      <c r="AB719">
        <f>$C719*AB718</f>
        <v/>
      </c>
      <c r="AC719">
        <f>$C719*AC718</f>
        <v/>
      </c>
      <c r="AD719">
        <f>$C719*AD718</f>
        <v/>
      </c>
      <c r="AE719">
        <f>$C719*AE718</f>
        <v/>
      </c>
      <c r="AF719">
        <f>$C719*AF718</f>
        <v/>
      </c>
      <c r="AG719">
        <f>$C719*AG718</f>
        <v/>
      </c>
      <c r="AH719">
        <f>$C719*AH718</f>
        <v/>
      </c>
      <c r="AI719">
        <f>$C719*AI718</f>
        <v/>
      </c>
      <c r="AJ719">
        <f>$C719*AJ718</f>
        <v/>
      </c>
      <c r="AK719">
        <f>$C719*AK718</f>
        <v/>
      </c>
      <c r="AL719">
        <f>$C719*AL718</f>
        <v/>
      </c>
      <c r="AM719">
        <f>$C719*AM718</f>
        <v/>
      </c>
      <c r="AN719">
        <f>$C719*AN718</f>
        <v/>
      </c>
      <c r="AO719">
        <f>$C719*AO718</f>
        <v/>
      </c>
      <c r="AP719">
        <f>$C719*AP718</f>
        <v/>
      </c>
      <c r="AQ719">
        <f>$C719*AQ718</f>
        <v/>
      </c>
      <c r="AR719">
        <f>$C719*AR718</f>
        <v/>
      </c>
      <c r="AS719">
        <f>$C719*AS718</f>
        <v/>
      </c>
      <c r="AT719">
        <f>$C719*AT718</f>
        <v/>
      </c>
      <c r="AU719">
        <f>$C719*AU718</f>
        <v/>
      </c>
      <c r="AV719">
        <f>$C719*AV718</f>
        <v/>
      </c>
      <c r="AW719">
        <f>$C719*AW718</f>
        <v/>
      </c>
      <c r="AX719">
        <f>$C719*AX718</f>
        <v/>
      </c>
      <c r="AY719">
        <f>$C719*AY718</f>
        <v/>
      </c>
      <c r="AZ719">
        <f>$C719*AZ718</f>
        <v/>
      </c>
      <c r="BA719">
        <f>$C719*BA718</f>
        <v/>
      </c>
      <c r="BB719">
        <f>$C719*BB718</f>
        <v/>
      </c>
      <c r="BC719">
        <f>$C719*BC718</f>
        <v/>
      </c>
      <c r="BD719">
        <f>$C719*BD718</f>
        <v/>
      </c>
      <c r="BE719">
        <f>$C719*BE718</f>
        <v/>
      </c>
      <c r="BF719">
        <f>$C719*BF718</f>
        <v/>
      </c>
      <c r="BG719">
        <f>$C719*BG718</f>
        <v/>
      </c>
      <c r="BH719">
        <f>$C719*BH718</f>
        <v/>
      </c>
      <c r="BI719">
        <f>$C719*BI718</f>
        <v/>
      </c>
      <c r="BJ719">
        <f>$C719*BJ718</f>
        <v/>
      </c>
      <c r="BK719">
        <f>$C719*BK718</f>
        <v/>
      </c>
      <c r="BL719">
        <f>$C719*BL718</f>
        <v/>
      </c>
      <c r="BM719">
        <f>$C719*BM718</f>
        <v/>
      </c>
      <c r="BN719">
        <f>$C719*BN718</f>
        <v/>
      </c>
      <c r="BO719">
        <f>$C719*BO718</f>
        <v/>
      </c>
      <c r="BP719">
        <f>$C719*BP718</f>
        <v/>
      </c>
      <c r="BQ719">
        <f>$C719*BQ718</f>
        <v/>
      </c>
      <c r="BR719">
        <f>$C719*BR718</f>
        <v/>
      </c>
      <c r="BS719">
        <f>$C719*BS718</f>
        <v/>
      </c>
      <c r="BT719">
        <f>$C719*BT718</f>
        <v/>
      </c>
      <c r="BU719">
        <f>$C719*BU718</f>
        <v/>
      </c>
      <c r="BV719">
        <f>$C719*BV718</f>
        <v/>
      </c>
      <c r="BW719">
        <f>$C719*BW718</f>
        <v/>
      </c>
      <c r="BX719">
        <f>$C719*BX718</f>
        <v/>
      </c>
      <c r="BY719">
        <f>$C719*BY718</f>
        <v/>
      </c>
      <c r="BZ719">
        <f>$C719*BZ718</f>
        <v/>
      </c>
      <c r="CA719">
        <f>$C719*CA718</f>
        <v/>
      </c>
      <c r="CB719">
        <f>$C719*CB718</f>
        <v/>
      </c>
      <c r="CC719">
        <f>$C719*CC718</f>
        <v/>
      </c>
      <c r="CD719">
        <f>$C719*CD718</f>
        <v/>
      </c>
      <c r="CE719">
        <f>$C719*CE718</f>
        <v/>
      </c>
      <c r="CF719">
        <f>$C719*CF718</f>
        <v/>
      </c>
      <c r="CG719">
        <f>$C719*CG718</f>
        <v/>
      </c>
      <c r="CH719">
        <f>$C719*CH718</f>
        <v/>
      </c>
      <c r="CI719">
        <f>$C719*CI718</f>
        <v/>
      </c>
      <c r="CJ719">
        <f>$C719*CJ718</f>
        <v/>
      </c>
      <c r="CK719">
        <f>$C719*CK718</f>
        <v/>
      </c>
      <c r="CL719">
        <f>$C719*CL718</f>
        <v/>
      </c>
      <c r="CM719">
        <f>$C719*CM718</f>
        <v/>
      </c>
      <c r="CN719">
        <f>$C719*CN718</f>
        <v/>
      </c>
      <c r="CO719">
        <f>$C719*CO718</f>
        <v/>
      </c>
      <c r="CP719">
        <f>$C719*CP718</f>
        <v/>
      </c>
      <c r="CQ719">
        <f>$C719*CQ718</f>
        <v/>
      </c>
      <c r="CR719">
        <f>$C719*CR718</f>
        <v/>
      </c>
      <c r="CS719">
        <f>$C719*CS718</f>
        <v/>
      </c>
      <c r="CT719">
        <f>$C719*CT718</f>
        <v/>
      </c>
      <c r="CU719">
        <f>$C719*CU718</f>
        <v/>
      </c>
      <c r="CV719">
        <f>$C719*CV718</f>
        <v/>
      </c>
      <c r="CW719">
        <f>$C719*CW718</f>
        <v/>
      </c>
      <c r="CX719">
        <f>$C719*CX718</f>
        <v/>
      </c>
      <c r="CY719">
        <f>$C719*CY718</f>
        <v/>
      </c>
      <c r="CZ719">
        <f>$C719*CZ718</f>
        <v/>
      </c>
      <c r="DA719">
        <f>$C719*DA718</f>
        <v/>
      </c>
      <c r="DB719">
        <f>$C719*DB718</f>
        <v/>
      </c>
      <c r="DC719">
        <f>$C719*DC718</f>
        <v/>
      </c>
    </row>
    <row r="720">
      <c r="B720" t="inlineStr">
        <is>
          <t>TSP-369</t>
        </is>
      </c>
      <c r="C720" t="inlineStr">
        <is>
          <t>No. of batches</t>
        </is>
      </c>
      <c r="D720">
        <f>IFERROR(INDEX(PP_Grid[#Data],$DD720,2),0)</f>
        <v/>
      </c>
      <c r="E720">
        <f>IFERROR(INDEX(PP_Grid[#Data],$DD720,3),0)</f>
        <v/>
      </c>
      <c r="F720">
        <f>IFERROR(INDEX(PP_Grid[#Data],$DD720,4),0)</f>
        <v/>
      </c>
      <c r="G720">
        <f>IFERROR(INDEX(PP_Grid[#Data],$DD720,5),0)</f>
        <v/>
      </c>
      <c r="H720">
        <f>IFERROR(INDEX(PP_Grid[#Data],$DD720,6),0)</f>
        <v/>
      </c>
      <c r="I720">
        <f>IFERROR(INDEX(PP_Grid[#Data],$DD720,7),0)</f>
        <v/>
      </c>
      <c r="J720">
        <f>IFERROR(INDEX(PP_Grid[#Data],$DD720,8),0)</f>
        <v/>
      </c>
      <c r="K720">
        <f>IFERROR(INDEX(PP_Grid[#Data],$DD720,9),0)</f>
        <v/>
      </c>
      <c r="L720">
        <f>IFERROR(INDEX(PP_Grid[#Data],$DD720,10),0)</f>
        <v/>
      </c>
      <c r="M720">
        <f>IFERROR(INDEX(PP_Grid[#Data],$DD720,11),0)</f>
        <v/>
      </c>
      <c r="N720">
        <f>IFERROR(INDEX(PP_Grid[#Data],$DD720,12),0)</f>
        <v/>
      </c>
      <c r="O720">
        <f>IFERROR(INDEX(PP_Grid[#Data],$DD720,13),0)</f>
        <v/>
      </c>
      <c r="P720">
        <f>IFERROR(INDEX(PP_Grid[#Data],$DD720,14),0)</f>
        <v/>
      </c>
      <c r="Q720">
        <f>IFERROR(INDEX(PP_Grid[#Data],$DD720,15),0)</f>
        <v/>
      </c>
      <c r="R720">
        <f>IFERROR(INDEX(PP_Grid[#Data],$DD720,16),0)</f>
        <v/>
      </c>
      <c r="S720">
        <f>IFERROR(INDEX(PP_Grid[#Data],$DD720,17),0)</f>
        <v/>
      </c>
      <c r="T720">
        <f>IFERROR(INDEX(PP_Grid[#Data],$DD720,18),0)</f>
        <v/>
      </c>
      <c r="U720">
        <f>IFERROR(INDEX(PP_Grid[#Data],$DD720,19),0)</f>
        <v/>
      </c>
      <c r="V720">
        <f>IFERROR(INDEX(PP_Grid[#Data],$DD720,20),0)</f>
        <v/>
      </c>
      <c r="W720">
        <f>IFERROR(INDEX(PP_Grid[#Data],$DD720,21),0)</f>
        <v/>
      </c>
      <c r="X720">
        <f>IFERROR(INDEX(PP_Grid[#Data],$DD720,22),0)</f>
        <v/>
      </c>
      <c r="Y720">
        <f>IFERROR(INDEX(PP_Grid[#Data],$DD720,23),0)</f>
        <v/>
      </c>
      <c r="Z720">
        <f>IFERROR(INDEX(PP_Grid[#Data],$DD720,24),0)</f>
        <v/>
      </c>
      <c r="AA720">
        <f>IFERROR(INDEX(PP_Grid[#Data],$DD720,25),0)</f>
        <v/>
      </c>
      <c r="AB720">
        <f>IFERROR(INDEX(PP_Grid[#Data],$DD720,26),0)</f>
        <v/>
      </c>
      <c r="AC720">
        <f>IFERROR(INDEX(PP_Grid[#Data],$DD720,27),0)</f>
        <v/>
      </c>
      <c r="AD720">
        <f>IFERROR(INDEX(PP_Grid[#Data],$DD720,28),0)</f>
        <v/>
      </c>
      <c r="AE720">
        <f>IFERROR(INDEX(PP_Grid[#Data],$DD720,29),0)</f>
        <v/>
      </c>
      <c r="AF720">
        <f>IFERROR(INDEX(PP_Grid[#Data],$DD720,30),0)</f>
        <v/>
      </c>
      <c r="AG720">
        <f>IFERROR(INDEX(PP_Grid[#Data],$DD720,31),0)</f>
        <v/>
      </c>
      <c r="AH720">
        <f>IFERROR(INDEX(PP_Grid[#Data],$DD720,32),0)</f>
        <v/>
      </c>
      <c r="AI720">
        <f>IFERROR(INDEX(PP_Grid[#Data],$DD720,33),0)</f>
        <v/>
      </c>
      <c r="AJ720">
        <f>IFERROR(INDEX(PP_Grid[#Data],$DD720,34),0)</f>
        <v/>
      </c>
      <c r="AK720">
        <f>IFERROR(INDEX(PP_Grid[#Data],$DD720,35),0)</f>
        <v/>
      </c>
      <c r="AL720">
        <f>IFERROR(INDEX(PP_Grid[#Data],$DD720,36),0)</f>
        <v/>
      </c>
      <c r="AM720">
        <f>IFERROR(INDEX(PP_Grid[#Data],$DD720,37),0)</f>
        <v/>
      </c>
      <c r="AN720">
        <f>IFERROR(INDEX(PP_Grid[#Data],$DD720,38),0)</f>
        <v/>
      </c>
      <c r="AO720">
        <f>IFERROR(INDEX(PP_Grid[#Data],$DD720,39),0)</f>
        <v/>
      </c>
      <c r="AP720">
        <f>IFERROR(INDEX(PP_Grid[#Data],$DD720,40),0)</f>
        <v/>
      </c>
      <c r="AQ720">
        <f>IFERROR(INDEX(PP_Grid[#Data],$DD720,41),0)</f>
        <v/>
      </c>
      <c r="AR720">
        <f>IFERROR(INDEX(PP_Grid[#Data],$DD720,42),0)</f>
        <v/>
      </c>
      <c r="AS720">
        <f>IFERROR(INDEX(PP_Grid[#Data],$DD720,43),0)</f>
        <v/>
      </c>
      <c r="AT720">
        <f>IFERROR(INDEX(PP_Grid[#Data],$DD720,44),0)</f>
        <v/>
      </c>
      <c r="AU720">
        <f>IFERROR(INDEX(PP_Grid[#Data],$DD720,45),0)</f>
        <v/>
      </c>
      <c r="AV720">
        <f>IFERROR(INDEX(PP_Grid[#Data],$DD720,46),0)</f>
        <v/>
      </c>
      <c r="AW720">
        <f>IFERROR(INDEX(PP_Grid[#Data],$DD720,47),0)</f>
        <v/>
      </c>
      <c r="AX720">
        <f>IFERROR(INDEX(PP_Grid[#Data],$DD720,48),0)</f>
        <v/>
      </c>
      <c r="AY720">
        <f>IFERROR(INDEX(PP_Grid[#Data],$DD720,49),0)</f>
        <v/>
      </c>
      <c r="AZ720">
        <f>IFERROR(INDEX(PP_Grid[#Data],$DD720,50),0)</f>
        <v/>
      </c>
      <c r="BA720">
        <f>IFERROR(INDEX(PP_Grid[#Data],$DD720,51),0)</f>
        <v/>
      </c>
      <c r="BB720">
        <f>IFERROR(INDEX(PP_Grid[#Data],$DD720,52),0)</f>
        <v/>
      </c>
      <c r="BC720">
        <f>IFERROR(INDEX(PP_Grid[#Data],$DD720,53),0)</f>
        <v/>
      </c>
      <c r="BD720">
        <f>IFERROR(INDEX(PP_Grid[#Data],$DD720,54),0)</f>
        <v/>
      </c>
      <c r="BE720">
        <f>IFERROR(INDEX(PP_Grid[#Data],$DD720,55),0)</f>
        <v/>
      </c>
      <c r="BF720">
        <f>IFERROR(INDEX(PP_Grid[#Data],$DD720,56),0)</f>
        <v/>
      </c>
      <c r="BG720">
        <f>IFERROR(INDEX(PP_Grid[#Data],$DD720,57),0)</f>
        <v/>
      </c>
      <c r="BH720">
        <f>IFERROR(INDEX(PP_Grid[#Data],$DD720,58),0)</f>
        <v/>
      </c>
      <c r="BI720">
        <f>IFERROR(INDEX(PP_Grid[#Data],$DD720,59),0)</f>
        <v/>
      </c>
      <c r="BJ720">
        <f>IFERROR(INDEX(PP_Grid[#Data],$DD720,60),0)</f>
        <v/>
      </c>
      <c r="BK720">
        <f>IFERROR(INDEX(PP_Grid[#Data],$DD720,61),0)</f>
        <v/>
      </c>
      <c r="BL720">
        <f>IFERROR(INDEX(PP_Grid[#Data],$DD720,62),0)</f>
        <v/>
      </c>
      <c r="BM720">
        <f>IFERROR(INDEX(PP_Grid[#Data],$DD720,63),0)</f>
        <v/>
      </c>
      <c r="BN720">
        <f>IFERROR(INDEX(PP_Grid[#Data],$DD720,64),0)</f>
        <v/>
      </c>
      <c r="BO720">
        <f>IFERROR(INDEX(PP_Grid[#Data],$DD720,65),0)</f>
        <v/>
      </c>
      <c r="BP720">
        <f>IFERROR(INDEX(PP_Grid[#Data],$DD720,66),0)</f>
        <v/>
      </c>
      <c r="BQ720">
        <f>IFERROR(INDEX(PP_Grid[#Data],$DD720,67),0)</f>
        <v/>
      </c>
      <c r="BR720">
        <f>IFERROR(INDEX(PP_Grid[#Data],$DD720,68),0)</f>
        <v/>
      </c>
      <c r="BS720">
        <f>IFERROR(INDEX(PP_Grid[#Data],$DD720,69),0)</f>
        <v/>
      </c>
      <c r="BT720">
        <f>IFERROR(INDEX(PP_Grid[#Data],$DD720,70),0)</f>
        <v/>
      </c>
      <c r="BU720">
        <f>IFERROR(INDEX(PP_Grid[#Data],$DD720,71),0)</f>
        <v/>
      </c>
      <c r="BV720">
        <f>IFERROR(INDEX(PP_Grid[#Data],$DD720,72),0)</f>
        <v/>
      </c>
      <c r="BW720">
        <f>IFERROR(INDEX(PP_Grid[#Data],$DD720,73),0)</f>
        <v/>
      </c>
      <c r="BX720">
        <f>IFERROR(INDEX(PP_Grid[#Data],$DD720,74),0)</f>
        <v/>
      </c>
      <c r="BY720">
        <f>IFERROR(INDEX(PP_Grid[#Data],$DD720,75),0)</f>
        <v/>
      </c>
      <c r="BZ720">
        <f>IFERROR(INDEX(PP_Grid[#Data],$DD720,76),0)</f>
        <v/>
      </c>
      <c r="CA720">
        <f>IFERROR(INDEX(PP_Grid[#Data],$DD720,77),0)</f>
        <v/>
      </c>
      <c r="CB720">
        <f>IFERROR(INDEX(PP_Grid[#Data],$DD720,78),0)</f>
        <v/>
      </c>
      <c r="CC720">
        <f>IFERROR(INDEX(PP_Grid[#Data],$DD720,79),0)</f>
        <v/>
      </c>
      <c r="CD720">
        <f>IFERROR(INDEX(PP_Grid[#Data],$DD720,80),0)</f>
        <v/>
      </c>
      <c r="CE720">
        <f>IFERROR(INDEX(PP_Grid[#Data],$DD720,81),0)</f>
        <v/>
      </c>
      <c r="CF720">
        <f>IFERROR(INDEX(PP_Grid[#Data],$DD720,82),0)</f>
        <v/>
      </c>
      <c r="CG720">
        <f>IFERROR(INDEX(PP_Grid[#Data],$DD720,83),0)</f>
        <v/>
      </c>
      <c r="CH720">
        <f>IFERROR(INDEX(PP_Grid[#Data],$DD720,84),0)</f>
        <v/>
      </c>
      <c r="CI720">
        <f>IFERROR(INDEX(PP_Grid[#Data],$DD720,85),0)</f>
        <v/>
      </c>
      <c r="CJ720">
        <f>IFERROR(INDEX(PP_Grid[#Data],$DD720,86),0)</f>
        <v/>
      </c>
      <c r="CK720">
        <f>IFERROR(INDEX(PP_Grid[#Data],$DD720,87),0)</f>
        <v/>
      </c>
      <c r="CL720">
        <f>IFERROR(INDEX(PP_Grid[#Data],$DD720,88),0)</f>
        <v/>
      </c>
      <c r="CM720">
        <f>IFERROR(INDEX(PP_Grid[#Data],$DD720,89),0)</f>
        <v/>
      </c>
      <c r="CN720">
        <f>IFERROR(INDEX(PP_Grid[#Data],$DD720,90),0)</f>
        <v/>
      </c>
      <c r="CO720">
        <f>IFERROR(INDEX(PP_Grid[#Data],$DD720,91),0)</f>
        <v/>
      </c>
      <c r="CP720">
        <f>IFERROR(INDEX(PP_Grid[#Data],$DD720,92),0)</f>
        <v/>
      </c>
      <c r="CQ720">
        <f>IFERROR(INDEX(PP_Grid[#Data],$DD720,93),0)</f>
        <v/>
      </c>
      <c r="CR720">
        <f>IFERROR(INDEX(PP_Grid[#Data],$DD720,94),0)</f>
        <v/>
      </c>
      <c r="CS720">
        <f>IFERROR(INDEX(PP_Grid[#Data],$DD720,95),0)</f>
        <v/>
      </c>
      <c r="CT720">
        <f>IFERROR(INDEX(PP_Grid[#Data],$DD720,96),0)</f>
        <v/>
      </c>
      <c r="CU720">
        <f>IFERROR(INDEX(PP_Grid[#Data],$DD720,97),0)</f>
        <v/>
      </c>
      <c r="CV720">
        <f>IFERROR(INDEX(PP_Grid[#Data],$DD720,98),0)</f>
        <v/>
      </c>
      <c r="CW720">
        <f>IFERROR(INDEX(PP_Grid[#Data],$DD720,99),0)</f>
        <v/>
      </c>
      <c r="CX720">
        <f>IFERROR(INDEX(PP_Grid[#Data],$DD720,100),0)</f>
        <v/>
      </c>
      <c r="CY720">
        <f>IFERROR(INDEX(PP_Grid[#Data],$DD720,101),0)</f>
        <v/>
      </c>
      <c r="CZ720">
        <f>IFERROR(INDEX(PP_Grid[#Data],$DD720,102),0)</f>
        <v/>
      </c>
      <c r="DA720">
        <f>IFERROR(INDEX(PP_Grid[#Data],$DD720,103),0)</f>
        <v/>
      </c>
      <c r="DB720">
        <f>IFERROR(INDEX(PP_Grid[#Data],$DD720,104),0)</f>
        <v/>
      </c>
      <c r="DC720">
        <f>IFERROR(INDEX(PP_Grid[#Data],$DD720,105),0)</f>
        <v/>
      </c>
      <c r="DD720" s="12">
        <f>IFERROR(MATCH($B720,PP_Grid[Intermediate],0),99999)</f>
        <v/>
      </c>
    </row>
    <row r="721">
      <c r="B721" t="inlineStr">
        <is>
          <t>使用量(kg)</t>
        </is>
      </c>
      <c r="C721">
        <f>SUMIFS(M_BOM[RM_Qty_Per_Batch],M_BOM[Intermediate],$B720,M_BOM[Part Name],$A669)</f>
        <v/>
      </c>
      <c r="D721">
        <f>$C721*D720</f>
        <v/>
      </c>
      <c r="E721">
        <f>$C721*E720</f>
        <v/>
      </c>
      <c r="F721">
        <f>$C721*F720</f>
        <v/>
      </c>
      <c r="G721">
        <f>$C721*G720</f>
        <v/>
      </c>
      <c r="H721">
        <f>$C721*H720</f>
        <v/>
      </c>
      <c r="I721">
        <f>$C721*I720</f>
        <v/>
      </c>
      <c r="J721">
        <f>$C721*J720</f>
        <v/>
      </c>
      <c r="K721">
        <f>$C721*K720</f>
        <v/>
      </c>
      <c r="L721">
        <f>$C721*L720</f>
        <v/>
      </c>
      <c r="M721">
        <f>$C721*M720</f>
        <v/>
      </c>
      <c r="N721">
        <f>$C721*N720</f>
        <v/>
      </c>
      <c r="O721">
        <f>$C721*O720</f>
        <v/>
      </c>
      <c r="P721">
        <f>$C721*P720</f>
        <v/>
      </c>
      <c r="Q721">
        <f>$C721*Q720</f>
        <v/>
      </c>
      <c r="R721">
        <f>$C721*R720</f>
        <v/>
      </c>
      <c r="S721">
        <f>$C721*S720</f>
        <v/>
      </c>
      <c r="T721">
        <f>$C721*T720</f>
        <v/>
      </c>
      <c r="U721">
        <f>$C721*U720</f>
        <v/>
      </c>
      <c r="V721">
        <f>$C721*V720</f>
        <v/>
      </c>
      <c r="W721">
        <f>$C721*W720</f>
        <v/>
      </c>
      <c r="X721">
        <f>$C721*X720</f>
        <v/>
      </c>
      <c r="Y721">
        <f>$C721*Y720</f>
        <v/>
      </c>
      <c r="Z721">
        <f>$C721*Z720</f>
        <v/>
      </c>
      <c r="AA721">
        <f>$C721*AA720</f>
        <v/>
      </c>
      <c r="AB721">
        <f>$C721*AB720</f>
        <v/>
      </c>
      <c r="AC721">
        <f>$C721*AC720</f>
        <v/>
      </c>
      <c r="AD721">
        <f>$C721*AD720</f>
        <v/>
      </c>
      <c r="AE721">
        <f>$C721*AE720</f>
        <v/>
      </c>
      <c r="AF721">
        <f>$C721*AF720</f>
        <v/>
      </c>
      <c r="AG721">
        <f>$C721*AG720</f>
        <v/>
      </c>
      <c r="AH721">
        <f>$C721*AH720</f>
        <v/>
      </c>
      <c r="AI721">
        <f>$C721*AI720</f>
        <v/>
      </c>
      <c r="AJ721">
        <f>$C721*AJ720</f>
        <v/>
      </c>
      <c r="AK721">
        <f>$C721*AK720</f>
        <v/>
      </c>
      <c r="AL721">
        <f>$C721*AL720</f>
        <v/>
      </c>
      <c r="AM721">
        <f>$C721*AM720</f>
        <v/>
      </c>
      <c r="AN721">
        <f>$C721*AN720</f>
        <v/>
      </c>
      <c r="AO721">
        <f>$C721*AO720</f>
        <v/>
      </c>
      <c r="AP721">
        <f>$C721*AP720</f>
        <v/>
      </c>
      <c r="AQ721">
        <f>$C721*AQ720</f>
        <v/>
      </c>
      <c r="AR721">
        <f>$C721*AR720</f>
        <v/>
      </c>
      <c r="AS721">
        <f>$C721*AS720</f>
        <v/>
      </c>
      <c r="AT721">
        <f>$C721*AT720</f>
        <v/>
      </c>
      <c r="AU721">
        <f>$C721*AU720</f>
        <v/>
      </c>
      <c r="AV721">
        <f>$C721*AV720</f>
        <v/>
      </c>
      <c r="AW721">
        <f>$C721*AW720</f>
        <v/>
      </c>
      <c r="AX721">
        <f>$C721*AX720</f>
        <v/>
      </c>
      <c r="AY721">
        <f>$C721*AY720</f>
        <v/>
      </c>
      <c r="AZ721">
        <f>$C721*AZ720</f>
        <v/>
      </c>
      <c r="BA721">
        <f>$C721*BA720</f>
        <v/>
      </c>
      <c r="BB721">
        <f>$C721*BB720</f>
        <v/>
      </c>
      <c r="BC721">
        <f>$C721*BC720</f>
        <v/>
      </c>
      <c r="BD721">
        <f>$C721*BD720</f>
        <v/>
      </c>
      <c r="BE721">
        <f>$C721*BE720</f>
        <v/>
      </c>
      <c r="BF721">
        <f>$C721*BF720</f>
        <v/>
      </c>
      <c r="BG721">
        <f>$C721*BG720</f>
        <v/>
      </c>
      <c r="BH721">
        <f>$C721*BH720</f>
        <v/>
      </c>
      <c r="BI721">
        <f>$C721*BI720</f>
        <v/>
      </c>
      <c r="BJ721">
        <f>$C721*BJ720</f>
        <v/>
      </c>
      <c r="BK721">
        <f>$C721*BK720</f>
        <v/>
      </c>
      <c r="BL721">
        <f>$C721*BL720</f>
        <v/>
      </c>
      <c r="BM721">
        <f>$C721*BM720</f>
        <v/>
      </c>
      <c r="BN721">
        <f>$C721*BN720</f>
        <v/>
      </c>
      <c r="BO721">
        <f>$C721*BO720</f>
        <v/>
      </c>
      <c r="BP721">
        <f>$C721*BP720</f>
        <v/>
      </c>
      <c r="BQ721">
        <f>$C721*BQ720</f>
        <v/>
      </c>
      <c r="BR721">
        <f>$C721*BR720</f>
        <v/>
      </c>
      <c r="BS721">
        <f>$C721*BS720</f>
        <v/>
      </c>
      <c r="BT721">
        <f>$C721*BT720</f>
        <v/>
      </c>
      <c r="BU721">
        <f>$C721*BU720</f>
        <v/>
      </c>
      <c r="BV721">
        <f>$C721*BV720</f>
        <v/>
      </c>
      <c r="BW721">
        <f>$C721*BW720</f>
        <v/>
      </c>
      <c r="BX721">
        <f>$C721*BX720</f>
        <v/>
      </c>
      <c r="BY721">
        <f>$C721*BY720</f>
        <v/>
      </c>
      <c r="BZ721">
        <f>$C721*BZ720</f>
        <v/>
      </c>
      <c r="CA721">
        <f>$C721*CA720</f>
        <v/>
      </c>
      <c r="CB721">
        <f>$C721*CB720</f>
        <v/>
      </c>
      <c r="CC721">
        <f>$C721*CC720</f>
        <v/>
      </c>
      <c r="CD721">
        <f>$C721*CD720</f>
        <v/>
      </c>
      <c r="CE721">
        <f>$C721*CE720</f>
        <v/>
      </c>
      <c r="CF721">
        <f>$C721*CF720</f>
        <v/>
      </c>
      <c r="CG721">
        <f>$C721*CG720</f>
        <v/>
      </c>
      <c r="CH721">
        <f>$C721*CH720</f>
        <v/>
      </c>
      <c r="CI721">
        <f>$C721*CI720</f>
        <v/>
      </c>
      <c r="CJ721">
        <f>$C721*CJ720</f>
        <v/>
      </c>
      <c r="CK721">
        <f>$C721*CK720</f>
        <v/>
      </c>
      <c r="CL721">
        <f>$C721*CL720</f>
        <v/>
      </c>
      <c r="CM721">
        <f>$C721*CM720</f>
        <v/>
      </c>
      <c r="CN721">
        <f>$C721*CN720</f>
        <v/>
      </c>
      <c r="CO721">
        <f>$C721*CO720</f>
        <v/>
      </c>
      <c r="CP721">
        <f>$C721*CP720</f>
        <v/>
      </c>
      <c r="CQ721">
        <f>$C721*CQ720</f>
        <v/>
      </c>
      <c r="CR721">
        <f>$C721*CR720</f>
        <v/>
      </c>
      <c r="CS721">
        <f>$C721*CS720</f>
        <v/>
      </c>
      <c r="CT721">
        <f>$C721*CT720</f>
        <v/>
      </c>
      <c r="CU721">
        <f>$C721*CU720</f>
        <v/>
      </c>
      <c r="CV721">
        <f>$C721*CV720</f>
        <v/>
      </c>
      <c r="CW721">
        <f>$C721*CW720</f>
        <v/>
      </c>
      <c r="CX721">
        <f>$C721*CX720</f>
        <v/>
      </c>
      <c r="CY721">
        <f>$C721*CY720</f>
        <v/>
      </c>
      <c r="CZ721">
        <f>$C721*CZ720</f>
        <v/>
      </c>
      <c r="DA721">
        <f>$C721*DA720</f>
        <v/>
      </c>
      <c r="DB721">
        <f>$C721*DB720</f>
        <v/>
      </c>
      <c r="DC721">
        <f>$C721*DC720</f>
        <v/>
      </c>
    </row>
    <row r="722">
      <c r="B722" t="inlineStr">
        <is>
          <t>TSP-402</t>
        </is>
      </c>
      <c r="C722" t="inlineStr">
        <is>
          <t>No. of batches</t>
        </is>
      </c>
      <c r="D722">
        <f>IFERROR(INDEX(PP_Grid[#Data],$DD722,2),0)</f>
        <v/>
      </c>
      <c r="E722">
        <f>IFERROR(INDEX(PP_Grid[#Data],$DD722,3),0)</f>
        <v/>
      </c>
      <c r="F722">
        <f>IFERROR(INDEX(PP_Grid[#Data],$DD722,4),0)</f>
        <v/>
      </c>
      <c r="G722">
        <f>IFERROR(INDEX(PP_Grid[#Data],$DD722,5),0)</f>
        <v/>
      </c>
      <c r="H722">
        <f>IFERROR(INDEX(PP_Grid[#Data],$DD722,6),0)</f>
        <v/>
      </c>
      <c r="I722">
        <f>IFERROR(INDEX(PP_Grid[#Data],$DD722,7),0)</f>
        <v/>
      </c>
      <c r="J722">
        <f>IFERROR(INDEX(PP_Grid[#Data],$DD722,8),0)</f>
        <v/>
      </c>
      <c r="K722">
        <f>IFERROR(INDEX(PP_Grid[#Data],$DD722,9),0)</f>
        <v/>
      </c>
      <c r="L722">
        <f>IFERROR(INDEX(PP_Grid[#Data],$DD722,10),0)</f>
        <v/>
      </c>
      <c r="M722">
        <f>IFERROR(INDEX(PP_Grid[#Data],$DD722,11),0)</f>
        <v/>
      </c>
      <c r="N722">
        <f>IFERROR(INDEX(PP_Grid[#Data],$DD722,12),0)</f>
        <v/>
      </c>
      <c r="O722">
        <f>IFERROR(INDEX(PP_Grid[#Data],$DD722,13),0)</f>
        <v/>
      </c>
      <c r="P722">
        <f>IFERROR(INDEX(PP_Grid[#Data],$DD722,14),0)</f>
        <v/>
      </c>
      <c r="Q722">
        <f>IFERROR(INDEX(PP_Grid[#Data],$DD722,15),0)</f>
        <v/>
      </c>
      <c r="R722">
        <f>IFERROR(INDEX(PP_Grid[#Data],$DD722,16),0)</f>
        <v/>
      </c>
      <c r="S722">
        <f>IFERROR(INDEX(PP_Grid[#Data],$DD722,17),0)</f>
        <v/>
      </c>
      <c r="T722">
        <f>IFERROR(INDEX(PP_Grid[#Data],$DD722,18),0)</f>
        <v/>
      </c>
      <c r="U722">
        <f>IFERROR(INDEX(PP_Grid[#Data],$DD722,19),0)</f>
        <v/>
      </c>
      <c r="V722">
        <f>IFERROR(INDEX(PP_Grid[#Data],$DD722,20),0)</f>
        <v/>
      </c>
      <c r="W722">
        <f>IFERROR(INDEX(PP_Grid[#Data],$DD722,21),0)</f>
        <v/>
      </c>
      <c r="X722">
        <f>IFERROR(INDEX(PP_Grid[#Data],$DD722,22),0)</f>
        <v/>
      </c>
      <c r="Y722">
        <f>IFERROR(INDEX(PP_Grid[#Data],$DD722,23),0)</f>
        <v/>
      </c>
      <c r="Z722">
        <f>IFERROR(INDEX(PP_Grid[#Data],$DD722,24),0)</f>
        <v/>
      </c>
      <c r="AA722">
        <f>IFERROR(INDEX(PP_Grid[#Data],$DD722,25),0)</f>
        <v/>
      </c>
      <c r="AB722">
        <f>IFERROR(INDEX(PP_Grid[#Data],$DD722,26),0)</f>
        <v/>
      </c>
      <c r="AC722">
        <f>IFERROR(INDEX(PP_Grid[#Data],$DD722,27),0)</f>
        <v/>
      </c>
      <c r="AD722">
        <f>IFERROR(INDEX(PP_Grid[#Data],$DD722,28),0)</f>
        <v/>
      </c>
      <c r="AE722">
        <f>IFERROR(INDEX(PP_Grid[#Data],$DD722,29),0)</f>
        <v/>
      </c>
      <c r="AF722">
        <f>IFERROR(INDEX(PP_Grid[#Data],$DD722,30),0)</f>
        <v/>
      </c>
      <c r="AG722">
        <f>IFERROR(INDEX(PP_Grid[#Data],$DD722,31),0)</f>
        <v/>
      </c>
      <c r="AH722">
        <f>IFERROR(INDEX(PP_Grid[#Data],$DD722,32),0)</f>
        <v/>
      </c>
      <c r="AI722">
        <f>IFERROR(INDEX(PP_Grid[#Data],$DD722,33),0)</f>
        <v/>
      </c>
      <c r="AJ722">
        <f>IFERROR(INDEX(PP_Grid[#Data],$DD722,34),0)</f>
        <v/>
      </c>
      <c r="AK722">
        <f>IFERROR(INDEX(PP_Grid[#Data],$DD722,35),0)</f>
        <v/>
      </c>
      <c r="AL722">
        <f>IFERROR(INDEX(PP_Grid[#Data],$DD722,36),0)</f>
        <v/>
      </c>
      <c r="AM722">
        <f>IFERROR(INDEX(PP_Grid[#Data],$DD722,37),0)</f>
        <v/>
      </c>
      <c r="AN722">
        <f>IFERROR(INDEX(PP_Grid[#Data],$DD722,38),0)</f>
        <v/>
      </c>
      <c r="AO722">
        <f>IFERROR(INDEX(PP_Grid[#Data],$DD722,39),0)</f>
        <v/>
      </c>
      <c r="AP722">
        <f>IFERROR(INDEX(PP_Grid[#Data],$DD722,40),0)</f>
        <v/>
      </c>
      <c r="AQ722">
        <f>IFERROR(INDEX(PP_Grid[#Data],$DD722,41),0)</f>
        <v/>
      </c>
      <c r="AR722">
        <f>IFERROR(INDEX(PP_Grid[#Data],$DD722,42),0)</f>
        <v/>
      </c>
      <c r="AS722">
        <f>IFERROR(INDEX(PP_Grid[#Data],$DD722,43),0)</f>
        <v/>
      </c>
      <c r="AT722">
        <f>IFERROR(INDEX(PP_Grid[#Data],$DD722,44),0)</f>
        <v/>
      </c>
      <c r="AU722">
        <f>IFERROR(INDEX(PP_Grid[#Data],$DD722,45),0)</f>
        <v/>
      </c>
      <c r="AV722">
        <f>IFERROR(INDEX(PP_Grid[#Data],$DD722,46),0)</f>
        <v/>
      </c>
      <c r="AW722">
        <f>IFERROR(INDEX(PP_Grid[#Data],$DD722,47),0)</f>
        <v/>
      </c>
      <c r="AX722">
        <f>IFERROR(INDEX(PP_Grid[#Data],$DD722,48),0)</f>
        <v/>
      </c>
      <c r="AY722">
        <f>IFERROR(INDEX(PP_Grid[#Data],$DD722,49),0)</f>
        <v/>
      </c>
      <c r="AZ722">
        <f>IFERROR(INDEX(PP_Grid[#Data],$DD722,50),0)</f>
        <v/>
      </c>
      <c r="BA722">
        <f>IFERROR(INDEX(PP_Grid[#Data],$DD722,51),0)</f>
        <v/>
      </c>
      <c r="BB722">
        <f>IFERROR(INDEX(PP_Grid[#Data],$DD722,52),0)</f>
        <v/>
      </c>
      <c r="BC722">
        <f>IFERROR(INDEX(PP_Grid[#Data],$DD722,53),0)</f>
        <v/>
      </c>
      <c r="BD722">
        <f>IFERROR(INDEX(PP_Grid[#Data],$DD722,54),0)</f>
        <v/>
      </c>
      <c r="BE722">
        <f>IFERROR(INDEX(PP_Grid[#Data],$DD722,55),0)</f>
        <v/>
      </c>
      <c r="BF722">
        <f>IFERROR(INDEX(PP_Grid[#Data],$DD722,56),0)</f>
        <v/>
      </c>
      <c r="BG722">
        <f>IFERROR(INDEX(PP_Grid[#Data],$DD722,57),0)</f>
        <v/>
      </c>
      <c r="BH722">
        <f>IFERROR(INDEX(PP_Grid[#Data],$DD722,58),0)</f>
        <v/>
      </c>
      <c r="BI722">
        <f>IFERROR(INDEX(PP_Grid[#Data],$DD722,59),0)</f>
        <v/>
      </c>
      <c r="BJ722">
        <f>IFERROR(INDEX(PP_Grid[#Data],$DD722,60),0)</f>
        <v/>
      </c>
      <c r="BK722">
        <f>IFERROR(INDEX(PP_Grid[#Data],$DD722,61),0)</f>
        <v/>
      </c>
      <c r="BL722">
        <f>IFERROR(INDEX(PP_Grid[#Data],$DD722,62),0)</f>
        <v/>
      </c>
      <c r="BM722">
        <f>IFERROR(INDEX(PP_Grid[#Data],$DD722,63),0)</f>
        <v/>
      </c>
      <c r="BN722">
        <f>IFERROR(INDEX(PP_Grid[#Data],$DD722,64),0)</f>
        <v/>
      </c>
      <c r="BO722">
        <f>IFERROR(INDEX(PP_Grid[#Data],$DD722,65),0)</f>
        <v/>
      </c>
      <c r="BP722">
        <f>IFERROR(INDEX(PP_Grid[#Data],$DD722,66),0)</f>
        <v/>
      </c>
      <c r="BQ722">
        <f>IFERROR(INDEX(PP_Grid[#Data],$DD722,67),0)</f>
        <v/>
      </c>
      <c r="BR722">
        <f>IFERROR(INDEX(PP_Grid[#Data],$DD722,68),0)</f>
        <v/>
      </c>
      <c r="BS722">
        <f>IFERROR(INDEX(PP_Grid[#Data],$DD722,69),0)</f>
        <v/>
      </c>
      <c r="BT722">
        <f>IFERROR(INDEX(PP_Grid[#Data],$DD722,70),0)</f>
        <v/>
      </c>
      <c r="BU722">
        <f>IFERROR(INDEX(PP_Grid[#Data],$DD722,71),0)</f>
        <v/>
      </c>
      <c r="BV722">
        <f>IFERROR(INDEX(PP_Grid[#Data],$DD722,72),0)</f>
        <v/>
      </c>
      <c r="BW722">
        <f>IFERROR(INDEX(PP_Grid[#Data],$DD722,73),0)</f>
        <v/>
      </c>
      <c r="BX722">
        <f>IFERROR(INDEX(PP_Grid[#Data],$DD722,74),0)</f>
        <v/>
      </c>
      <c r="BY722">
        <f>IFERROR(INDEX(PP_Grid[#Data],$DD722,75),0)</f>
        <v/>
      </c>
      <c r="BZ722">
        <f>IFERROR(INDEX(PP_Grid[#Data],$DD722,76),0)</f>
        <v/>
      </c>
      <c r="CA722">
        <f>IFERROR(INDEX(PP_Grid[#Data],$DD722,77),0)</f>
        <v/>
      </c>
      <c r="CB722">
        <f>IFERROR(INDEX(PP_Grid[#Data],$DD722,78),0)</f>
        <v/>
      </c>
      <c r="CC722">
        <f>IFERROR(INDEX(PP_Grid[#Data],$DD722,79),0)</f>
        <v/>
      </c>
      <c r="CD722">
        <f>IFERROR(INDEX(PP_Grid[#Data],$DD722,80),0)</f>
        <v/>
      </c>
      <c r="CE722">
        <f>IFERROR(INDEX(PP_Grid[#Data],$DD722,81),0)</f>
        <v/>
      </c>
      <c r="CF722">
        <f>IFERROR(INDEX(PP_Grid[#Data],$DD722,82),0)</f>
        <v/>
      </c>
      <c r="CG722">
        <f>IFERROR(INDEX(PP_Grid[#Data],$DD722,83),0)</f>
        <v/>
      </c>
      <c r="CH722">
        <f>IFERROR(INDEX(PP_Grid[#Data],$DD722,84),0)</f>
        <v/>
      </c>
      <c r="CI722">
        <f>IFERROR(INDEX(PP_Grid[#Data],$DD722,85),0)</f>
        <v/>
      </c>
      <c r="CJ722">
        <f>IFERROR(INDEX(PP_Grid[#Data],$DD722,86),0)</f>
        <v/>
      </c>
      <c r="CK722">
        <f>IFERROR(INDEX(PP_Grid[#Data],$DD722,87),0)</f>
        <v/>
      </c>
      <c r="CL722">
        <f>IFERROR(INDEX(PP_Grid[#Data],$DD722,88),0)</f>
        <v/>
      </c>
      <c r="CM722">
        <f>IFERROR(INDEX(PP_Grid[#Data],$DD722,89),0)</f>
        <v/>
      </c>
      <c r="CN722">
        <f>IFERROR(INDEX(PP_Grid[#Data],$DD722,90),0)</f>
        <v/>
      </c>
      <c r="CO722">
        <f>IFERROR(INDEX(PP_Grid[#Data],$DD722,91),0)</f>
        <v/>
      </c>
      <c r="CP722">
        <f>IFERROR(INDEX(PP_Grid[#Data],$DD722,92),0)</f>
        <v/>
      </c>
      <c r="CQ722">
        <f>IFERROR(INDEX(PP_Grid[#Data],$DD722,93),0)</f>
        <v/>
      </c>
      <c r="CR722">
        <f>IFERROR(INDEX(PP_Grid[#Data],$DD722,94),0)</f>
        <v/>
      </c>
      <c r="CS722">
        <f>IFERROR(INDEX(PP_Grid[#Data],$DD722,95),0)</f>
        <v/>
      </c>
      <c r="CT722">
        <f>IFERROR(INDEX(PP_Grid[#Data],$DD722,96),0)</f>
        <v/>
      </c>
      <c r="CU722">
        <f>IFERROR(INDEX(PP_Grid[#Data],$DD722,97),0)</f>
        <v/>
      </c>
      <c r="CV722">
        <f>IFERROR(INDEX(PP_Grid[#Data],$DD722,98),0)</f>
        <v/>
      </c>
      <c r="CW722">
        <f>IFERROR(INDEX(PP_Grid[#Data],$DD722,99),0)</f>
        <v/>
      </c>
      <c r="CX722">
        <f>IFERROR(INDEX(PP_Grid[#Data],$DD722,100),0)</f>
        <v/>
      </c>
      <c r="CY722">
        <f>IFERROR(INDEX(PP_Grid[#Data],$DD722,101),0)</f>
        <v/>
      </c>
      <c r="CZ722">
        <f>IFERROR(INDEX(PP_Grid[#Data],$DD722,102),0)</f>
        <v/>
      </c>
      <c r="DA722">
        <f>IFERROR(INDEX(PP_Grid[#Data],$DD722,103),0)</f>
        <v/>
      </c>
      <c r="DB722">
        <f>IFERROR(INDEX(PP_Grid[#Data],$DD722,104),0)</f>
        <v/>
      </c>
      <c r="DC722">
        <f>IFERROR(INDEX(PP_Grid[#Data],$DD722,105),0)</f>
        <v/>
      </c>
      <c r="DD722" s="12">
        <f>IFERROR(MATCH($B722,PP_Grid[Intermediate],0),99999)</f>
        <v/>
      </c>
    </row>
    <row r="723">
      <c r="B723" t="inlineStr">
        <is>
          <t>使用量(kg)</t>
        </is>
      </c>
      <c r="C723">
        <f>SUMIFS(M_BOM[RM_Qty_Per_Batch],M_BOM[Intermediate],$B722,M_BOM[Part Name],$A669)</f>
        <v/>
      </c>
      <c r="D723">
        <f>$C723*D722</f>
        <v/>
      </c>
      <c r="E723">
        <f>$C723*E722</f>
        <v/>
      </c>
      <c r="F723">
        <f>$C723*F722</f>
        <v/>
      </c>
      <c r="G723">
        <f>$C723*G722</f>
        <v/>
      </c>
      <c r="H723">
        <f>$C723*H722</f>
        <v/>
      </c>
      <c r="I723">
        <f>$C723*I722</f>
        <v/>
      </c>
      <c r="J723">
        <f>$C723*J722</f>
        <v/>
      </c>
      <c r="K723">
        <f>$C723*K722</f>
        <v/>
      </c>
      <c r="L723">
        <f>$C723*L722</f>
        <v/>
      </c>
      <c r="M723">
        <f>$C723*M722</f>
        <v/>
      </c>
      <c r="N723">
        <f>$C723*N722</f>
        <v/>
      </c>
      <c r="O723">
        <f>$C723*O722</f>
        <v/>
      </c>
      <c r="P723">
        <f>$C723*P722</f>
        <v/>
      </c>
      <c r="Q723">
        <f>$C723*Q722</f>
        <v/>
      </c>
      <c r="R723">
        <f>$C723*R722</f>
        <v/>
      </c>
      <c r="S723">
        <f>$C723*S722</f>
        <v/>
      </c>
      <c r="T723">
        <f>$C723*T722</f>
        <v/>
      </c>
      <c r="U723">
        <f>$C723*U722</f>
        <v/>
      </c>
      <c r="V723">
        <f>$C723*V722</f>
        <v/>
      </c>
      <c r="W723">
        <f>$C723*W722</f>
        <v/>
      </c>
      <c r="X723">
        <f>$C723*X722</f>
        <v/>
      </c>
      <c r="Y723">
        <f>$C723*Y722</f>
        <v/>
      </c>
      <c r="Z723">
        <f>$C723*Z722</f>
        <v/>
      </c>
      <c r="AA723">
        <f>$C723*AA722</f>
        <v/>
      </c>
      <c r="AB723">
        <f>$C723*AB722</f>
        <v/>
      </c>
      <c r="AC723">
        <f>$C723*AC722</f>
        <v/>
      </c>
      <c r="AD723">
        <f>$C723*AD722</f>
        <v/>
      </c>
      <c r="AE723">
        <f>$C723*AE722</f>
        <v/>
      </c>
      <c r="AF723">
        <f>$C723*AF722</f>
        <v/>
      </c>
      <c r="AG723">
        <f>$C723*AG722</f>
        <v/>
      </c>
      <c r="AH723">
        <f>$C723*AH722</f>
        <v/>
      </c>
      <c r="AI723">
        <f>$C723*AI722</f>
        <v/>
      </c>
      <c r="AJ723">
        <f>$C723*AJ722</f>
        <v/>
      </c>
      <c r="AK723">
        <f>$C723*AK722</f>
        <v/>
      </c>
      <c r="AL723">
        <f>$C723*AL722</f>
        <v/>
      </c>
      <c r="AM723">
        <f>$C723*AM722</f>
        <v/>
      </c>
      <c r="AN723">
        <f>$C723*AN722</f>
        <v/>
      </c>
      <c r="AO723">
        <f>$C723*AO722</f>
        <v/>
      </c>
      <c r="AP723">
        <f>$C723*AP722</f>
        <v/>
      </c>
      <c r="AQ723">
        <f>$C723*AQ722</f>
        <v/>
      </c>
      <c r="AR723">
        <f>$C723*AR722</f>
        <v/>
      </c>
      <c r="AS723">
        <f>$C723*AS722</f>
        <v/>
      </c>
      <c r="AT723">
        <f>$C723*AT722</f>
        <v/>
      </c>
      <c r="AU723">
        <f>$C723*AU722</f>
        <v/>
      </c>
      <c r="AV723">
        <f>$C723*AV722</f>
        <v/>
      </c>
      <c r="AW723">
        <f>$C723*AW722</f>
        <v/>
      </c>
      <c r="AX723">
        <f>$C723*AX722</f>
        <v/>
      </c>
      <c r="AY723">
        <f>$C723*AY722</f>
        <v/>
      </c>
      <c r="AZ723">
        <f>$C723*AZ722</f>
        <v/>
      </c>
      <c r="BA723">
        <f>$C723*BA722</f>
        <v/>
      </c>
      <c r="BB723">
        <f>$C723*BB722</f>
        <v/>
      </c>
      <c r="BC723">
        <f>$C723*BC722</f>
        <v/>
      </c>
      <c r="BD723">
        <f>$C723*BD722</f>
        <v/>
      </c>
      <c r="BE723">
        <f>$C723*BE722</f>
        <v/>
      </c>
      <c r="BF723">
        <f>$C723*BF722</f>
        <v/>
      </c>
      <c r="BG723">
        <f>$C723*BG722</f>
        <v/>
      </c>
      <c r="BH723">
        <f>$C723*BH722</f>
        <v/>
      </c>
      <c r="BI723">
        <f>$C723*BI722</f>
        <v/>
      </c>
      <c r="BJ723">
        <f>$C723*BJ722</f>
        <v/>
      </c>
      <c r="BK723">
        <f>$C723*BK722</f>
        <v/>
      </c>
      <c r="BL723">
        <f>$C723*BL722</f>
        <v/>
      </c>
      <c r="BM723">
        <f>$C723*BM722</f>
        <v/>
      </c>
      <c r="BN723">
        <f>$C723*BN722</f>
        <v/>
      </c>
      <c r="BO723">
        <f>$C723*BO722</f>
        <v/>
      </c>
      <c r="BP723">
        <f>$C723*BP722</f>
        <v/>
      </c>
      <c r="BQ723">
        <f>$C723*BQ722</f>
        <v/>
      </c>
      <c r="BR723">
        <f>$C723*BR722</f>
        <v/>
      </c>
      <c r="BS723">
        <f>$C723*BS722</f>
        <v/>
      </c>
      <c r="BT723">
        <f>$C723*BT722</f>
        <v/>
      </c>
      <c r="BU723">
        <f>$C723*BU722</f>
        <v/>
      </c>
      <c r="BV723">
        <f>$C723*BV722</f>
        <v/>
      </c>
      <c r="BW723">
        <f>$C723*BW722</f>
        <v/>
      </c>
      <c r="BX723">
        <f>$C723*BX722</f>
        <v/>
      </c>
      <c r="BY723">
        <f>$C723*BY722</f>
        <v/>
      </c>
      <c r="BZ723">
        <f>$C723*BZ722</f>
        <v/>
      </c>
      <c r="CA723">
        <f>$C723*CA722</f>
        <v/>
      </c>
      <c r="CB723">
        <f>$C723*CB722</f>
        <v/>
      </c>
      <c r="CC723">
        <f>$C723*CC722</f>
        <v/>
      </c>
      <c r="CD723">
        <f>$C723*CD722</f>
        <v/>
      </c>
      <c r="CE723">
        <f>$C723*CE722</f>
        <v/>
      </c>
      <c r="CF723">
        <f>$C723*CF722</f>
        <v/>
      </c>
      <c r="CG723">
        <f>$C723*CG722</f>
        <v/>
      </c>
      <c r="CH723">
        <f>$C723*CH722</f>
        <v/>
      </c>
      <c r="CI723">
        <f>$C723*CI722</f>
        <v/>
      </c>
      <c r="CJ723">
        <f>$C723*CJ722</f>
        <v/>
      </c>
      <c r="CK723">
        <f>$C723*CK722</f>
        <v/>
      </c>
      <c r="CL723">
        <f>$C723*CL722</f>
        <v/>
      </c>
      <c r="CM723">
        <f>$C723*CM722</f>
        <v/>
      </c>
      <c r="CN723">
        <f>$C723*CN722</f>
        <v/>
      </c>
      <c r="CO723">
        <f>$C723*CO722</f>
        <v/>
      </c>
      <c r="CP723">
        <f>$C723*CP722</f>
        <v/>
      </c>
      <c r="CQ723">
        <f>$C723*CQ722</f>
        <v/>
      </c>
      <c r="CR723">
        <f>$C723*CR722</f>
        <v/>
      </c>
      <c r="CS723">
        <f>$C723*CS722</f>
        <v/>
      </c>
      <c r="CT723">
        <f>$C723*CT722</f>
        <v/>
      </c>
      <c r="CU723">
        <f>$C723*CU722</f>
        <v/>
      </c>
      <c r="CV723">
        <f>$C723*CV722</f>
        <v/>
      </c>
      <c r="CW723">
        <f>$C723*CW722</f>
        <v/>
      </c>
      <c r="CX723">
        <f>$C723*CX722</f>
        <v/>
      </c>
      <c r="CY723">
        <f>$C723*CY722</f>
        <v/>
      </c>
      <c r="CZ723">
        <f>$C723*CZ722</f>
        <v/>
      </c>
      <c r="DA723">
        <f>$C723*DA722</f>
        <v/>
      </c>
      <c r="DB723">
        <f>$C723*DB722</f>
        <v/>
      </c>
      <c r="DC723">
        <f>$C723*DC722</f>
        <v/>
      </c>
    </row>
    <row r="724">
      <c r="B724" t="inlineStr">
        <is>
          <t>TSP-403</t>
        </is>
      </c>
      <c r="C724" t="inlineStr">
        <is>
          <t>No. of batches</t>
        </is>
      </c>
      <c r="D724">
        <f>IFERROR(INDEX(PP_Grid[#Data],$DD724,2),0)</f>
        <v/>
      </c>
      <c r="E724">
        <f>IFERROR(INDEX(PP_Grid[#Data],$DD724,3),0)</f>
        <v/>
      </c>
      <c r="F724">
        <f>IFERROR(INDEX(PP_Grid[#Data],$DD724,4),0)</f>
        <v/>
      </c>
      <c r="G724">
        <f>IFERROR(INDEX(PP_Grid[#Data],$DD724,5),0)</f>
        <v/>
      </c>
      <c r="H724">
        <f>IFERROR(INDEX(PP_Grid[#Data],$DD724,6),0)</f>
        <v/>
      </c>
      <c r="I724">
        <f>IFERROR(INDEX(PP_Grid[#Data],$DD724,7),0)</f>
        <v/>
      </c>
      <c r="J724">
        <f>IFERROR(INDEX(PP_Grid[#Data],$DD724,8),0)</f>
        <v/>
      </c>
      <c r="K724">
        <f>IFERROR(INDEX(PP_Grid[#Data],$DD724,9),0)</f>
        <v/>
      </c>
      <c r="L724">
        <f>IFERROR(INDEX(PP_Grid[#Data],$DD724,10),0)</f>
        <v/>
      </c>
      <c r="M724">
        <f>IFERROR(INDEX(PP_Grid[#Data],$DD724,11),0)</f>
        <v/>
      </c>
      <c r="N724">
        <f>IFERROR(INDEX(PP_Grid[#Data],$DD724,12),0)</f>
        <v/>
      </c>
      <c r="O724">
        <f>IFERROR(INDEX(PP_Grid[#Data],$DD724,13),0)</f>
        <v/>
      </c>
      <c r="P724">
        <f>IFERROR(INDEX(PP_Grid[#Data],$DD724,14),0)</f>
        <v/>
      </c>
      <c r="Q724">
        <f>IFERROR(INDEX(PP_Grid[#Data],$DD724,15),0)</f>
        <v/>
      </c>
      <c r="R724">
        <f>IFERROR(INDEX(PP_Grid[#Data],$DD724,16),0)</f>
        <v/>
      </c>
      <c r="S724">
        <f>IFERROR(INDEX(PP_Grid[#Data],$DD724,17),0)</f>
        <v/>
      </c>
      <c r="T724">
        <f>IFERROR(INDEX(PP_Grid[#Data],$DD724,18),0)</f>
        <v/>
      </c>
      <c r="U724">
        <f>IFERROR(INDEX(PP_Grid[#Data],$DD724,19),0)</f>
        <v/>
      </c>
      <c r="V724">
        <f>IFERROR(INDEX(PP_Grid[#Data],$DD724,20),0)</f>
        <v/>
      </c>
      <c r="W724">
        <f>IFERROR(INDEX(PP_Grid[#Data],$DD724,21),0)</f>
        <v/>
      </c>
      <c r="X724">
        <f>IFERROR(INDEX(PP_Grid[#Data],$DD724,22),0)</f>
        <v/>
      </c>
      <c r="Y724">
        <f>IFERROR(INDEX(PP_Grid[#Data],$DD724,23),0)</f>
        <v/>
      </c>
      <c r="Z724">
        <f>IFERROR(INDEX(PP_Grid[#Data],$DD724,24),0)</f>
        <v/>
      </c>
      <c r="AA724">
        <f>IFERROR(INDEX(PP_Grid[#Data],$DD724,25),0)</f>
        <v/>
      </c>
      <c r="AB724">
        <f>IFERROR(INDEX(PP_Grid[#Data],$DD724,26),0)</f>
        <v/>
      </c>
      <c r="AC724">
        <f>IFERROR(INDEX(PP_Grid[#Data],$DD724,27),0)</f>
        <v/>
      </c>
      <c r="AD724">
        <f>IFERROR(INDEX(PP_Grid[#Data],$DD724,28),0)</f>
        <v/>
      </c>
      <c r="AE724">
        <f>IFERROR(INDEX(PP_Grid[#Data],$DD724,29),0)</f>
        <v/>
      </c>
      <c r="AF724">
        <f>IFERROR(INDEX(PP_Grid[#Data],$DD724,30),0)</f>
        <v/>
      </c>
      <c r="AG724">
        <f>IFERROR(INDEX(PP_Grid[#Data],$DD724,31),0)</f>
        <v/>
      </c>
      <c r="AH724">
        <f>IFERROR(INDEX(PP_Grid[#Data],$DD724,32),0)</f>
        <v/>
      </c>
      <c r="AI724">
        <f>IFERROR(INDEX(PP_Grid[#Data],$DD724,33),0)</f>
        <v/>
      </c>
      <c r="AJ724">
        <f>IFERROR(INDEX(PP_Grid[#Data],$DD724,34),0)</f>
        <v/>
      </c>
      <c r="AK724">
        <f>IFERROR(INDEX(PP_Grid[#Data],$DD724,35),0)</f>
        <v/>
      </c>
      <c r="AL724">
        <f>IFERROR(INDEX(PP_Grid[#Data],$DD724,36),0)</f>
        <v/>
      </c>
      <c r="AM724">
        <f>IFERROR(INDEX(PP_Grid[#Data],$DD724,37),0)</f>
        <v/>
      </c>
      <c r="AN724">
        <f>IFERROR(INDEX(PP_Grid[#Data],$DD724,38),0)</f>
        <v/>
      </c>
      <c r="AO724">
        <f>IFERROR(INDEX(PP_Grid[#Data],$DD724,39),0)</f>
        <v/>
      </c>
      <c r="AP724">
        <f>IFERROR(INDEX(PP_Grid[#Data],$DD724,40),0)</f>
        <v/>
      </c>
      <c r="AQ724">
        <f>IFERROR(INDEX(PP_Grid[#Data],$DD724,41),0)</f>
        <v/>
      </c>
      <c r="AR724">
        <f>IFERROR(INDEX(PP_Grid[#Data],$DD724,42),0)</f>
        <v/>
      </c>
      <c r="AS724">
        <f>IFERROR(INDEX(PP_Grid[#Data],$DD724,43),0)</f>
        <v/>
      </c>
      <c r="AT724">
        <f>IFERROR(INDEX(PP_Grid[#Data],$DD724,44),0)</f>
        <v/>
      </c>
      <c r="AU724">
        <f>IFERROR(INDEX(PP_Grid[#Data],$DD724,45),0)</f>
        <v/>
      </c>
      <c r="AV724">
        <f>IFERROR(INDEX(PP_Grid[#Data],$DD724,46),0)</f>
        <v/>
      </c>
      <c r="AW724">
        <f>IFERROR(INDEX(PP_Grid[#Data],$DD724,47),0)</f>
        <v/>
      </c>
      <c r="AX724">
        <f>IFERROR(INDEX(PP_Grid[#Data],$DD724,48),0)</f>
        <v/>
      </c>
      <c r="AY724">
        <f>IFERROR(INDEX(PP_Grid[#Data],$DD724,49),0)</f>
        <v/>
      </c>
      <c r="AZ724">
        <f>IFERROR(INDEX(PP_Grid[#Data],$DD724,50),0)</f>
        <v/>
      </c>
      <c r="BA724">
        <f>IFERROR(INDEX(PP_Grid[#Data],$DD724,51),0)</f>
        <v/>
      </c>
      <c r="BB724">
        <f>IFERROR(INDEX(PP_Grid[#Data],$DD724,52),0)</f>
        <v/>
      </c>
      <c r="BC724">
        <f>IFERROR(INDEX(PP_Grid[#Data],$DD724,53),0)</f>
        <v/>
      </c>
      <c r="BD724">
        <f>IFERROR(INDEX(PP_Grid[#Data],$DD724,54),0)</f>
        <v/>
      </c>
      <c r="BE724">
        <f>IFERROR(INDEX(PP_Grid[#Data],$DD724,55),0)</f>
        <v/>
      </c>
      <c r="BF724">
        <f>IFERROR(INDEX(PP_Grid[#Data],$DD724,56),0)</f>
        <v/>
      </c>
      <c r="BG724">
        <f>IFERROR(INDEX(PP_Grid[#Data],$DD724,57),0)</f>
        <v/>
      </c>
      <c r="BH724">
        <f>IFERROR(INDEX(PP_Grid[#Data],$DD724,58),0)</f>
        <v/>
      </c>
      <c r="BI724">
        <f>IFERROR(INDEX(PP_Grid[#Data],$DD724,59),0)</f>
        <v/>
      </c>
      <c r="BJ724">
        <f>IFERROR(INDEX(PP_Grid[#Data],$DD724,60),0)</f>
        <v/>
      </c>
      <c r="BK724">
        <f>IFERROR(INDEX(PP_Grid[#Data],$DD724,61),0)</f>
        <v/>
      </c>
      <c r="BL724">
        <f>IFERROR(INDEX(PP_Grid[#Data],$DD724,62),0)</f>
        <v/>
      </c>
      <c r="BM724">
        <f>IFERROR(INDEX(PP_Grid[#Data],$DD724,63),0)</f>
        <v/>
      </c>
      <c r="BN724">
        <f>IFERROR(INDEX(PP_Grid[#Data],$DD724,64),0)</f>
        <v/>
      </c>
      <c r="BO724">
        <f>IFERROR(INDEX(PP_Grid[#Data],$DD724,65),0)</f>
        <v/>
      </c>
      <c r="BP724">
        <f>IFERROR(INDEX(PP_Grid[#Data],$DD724,66),0)</f>
        <v/>
      </c>
      <c r="BQ724">
        <f>IFERROR(INDEX(PP_Grid[#Data],$DD724,67),0)</f>
        <v/>
      </c>
      <c r="BR724">
        <f>IFERROR(INDEX(PP_Grid[#Data],$DD724,68),0)</f>
        <v/>
      </c>
      <c r="BS724">
        <f>IFERROR(INDEX(PP_Grid[#Data],$DD724,69),0)</f>
        <v/>
      </c>
      <c r="BT724">
        <f>IFERROR(INDEX(PP_Grid[#Data],$DD724,70),0)</f>
        <v/>
      </c>
      <c r="BU724">
        <f>IFERROR(INDEX(PP_Grid[#Data],$DD724,71),0)</f>
        <v/>
      </c>
      <c r="BV724">
        <f>IFERROR(INDEX(PP_Grid[#Data],$DD724,72),0)</f>
        <v/>
      </c>
      <c r="BW724">
        <f>IFERROR(INDEX(PP_Grid[#Data],$DD724,73),0)</f>
        <v/>
      </c>
      <c r="BX724">
        <f>IFERROR(INDEX(PP_Grid[#Data],$DD724,74),0)</f>
        <v/>
      </c>
      <c r="BY724">
        <f>IFERROR(INDEX(PP_Grid[#Data],$DD724,75),0)</f>
        <v/>
      </c>
      <c r="BZ724">
        <f>IFERROR(INDEX(PP_Grid[#Data],$DD724,76),0)</f>
        <v/>
      </c>
      <c r="CA724">
        <f>IFERROR(INDEX(PP_Grid[#Data],$DD724,77),0)</f>
        <v/>
      </c>
      <c r="CB724">
        <f>IFERROR(INDEX(PP_Grid[#Data],$DD724,78),0)</f>
        <v/>
      </c>
      <c r="CC724">
        <f>IFERROR(INDEX(PP_Grid[#Data],$DD724,79),0)</f>
        <v/>
      </c>
      <c r="CD724">
        <f>IFERROR(INDEX(PP_Grid[#Data],$DD724,80),0)</f>
        <v/>
      </c>
      <c r="CE724">
        <f>IFERROR(INDEX(PP_Grid[#Data],$DD724,81),0)</f>
        <v/>
      </c>
      <c r="CF724">
        <f>IFERROR(INDEX(PP_Grid[#Data],$DD724,82),0)</f>
        <v/>
      </c>
      <c r="CG724">
        <f>IFERROR(INDEX(PP_Grid[#Data],$DD724,83),0)</f>
        <v/>
      </c>
      <c r="CH724">
        <f>IFERROR(INDEX(PP_Grid[#Data],$DD724,84),0)</f>
        <v/>
      </c>
      <c r="CI724">
        <f>IFERROR(INDEX(PP_Grid[#Data],$DD724,85),0)</f>
        <v/>
      </c>
      <c r="CJ724">
        <f>IFERROR(INDEX(PP_Grid[#Data],$DD724,86),0)</f>
        <v/>
      </c>
      <c r="CK724">
        <f>IFERROR(INDEX(PP_Grid[#Data],$DD724,87),0)</f>
        <v/>
      </c>
      <c r="CL724">
        <f>IFERROR(INDEX(PP_Grid[#Data],$DD724,88),0)</f>
        <v/>
      </c>
      <c r="CM724">
        <f>IFERROR(INDEX(PP_Grid[#Data],$DD724,89),0)</f>
        <v/>
      </c>
      <c r="CN724">
        <f>IFERROR(INDEX(PP_Grid[#Data],$DD724,90),0)</f>
        <v/>
      </c>
      <c r="CO724">
        <f>IFERROR(INDEX(PP_Grid[#Data],$DD724,91),0)</f>
        <v/>
      </c>
      <c r="CP724">
        <f>IFERROR(INDEX(PP_Grid[#Data],$DD724,92),0)</f>
        <v/>
      </c>
      <c r="CQ724">
        <f>IFERROR(INDEX(PP_Grid[#Data],$DD724,93),0)</f>
        <v/>
      </c>
      <c r="CR724">
        <f>IFERROR(INDEX(PP_Grid[#Data],$DD724,94),0)</f>
        <v/>
      </c>
      <c r="CS724">
        <f>IFERROR(INDEX(PP_Grid[#Data],$DD724,95),0)</f>
        <v/>
      </c>
      <c r="CT724">
        <f>IFERROR(INDEX(PP_Grid[#Data],$DD724,96),0)</f>
        <v/>
      </c>
      <c r="CU724">
        <f>IFERROR(INDEX(PP_Grid[#Data],$DD724,97),0)</f>
        <v/>
      </c>
      <c r="CV724">
        <f>IFERROR(INDEX(PP_Grid[#Data],$DD724,98),0)</f>
        <v/>
      </c>
      <c r="CW724">
        <f>IFERROR(INDEX(PP_Grid[#Data],$DD724,99),0)</f>
        <v/>
      </c>
      <c r="CX724">
        <f>IFERROR(INDEX(PP_Grid[#Data],$DD724,100),0)</f>
        <v/>
      </c>
      <c r="CY724">
        <f>IFERROR(INDEX(PP_Grid[#Data],$DD724,101),0)</f>
        <v/>
      </c>
      <c r="CZ724">
        <f>IFERROR(INDEX(PP_Grid[#Data],$DD724,102),0)</f>
        <v/>
      </c>
      <c r="DA724">
        <f>IFERROR(INDEX(PP_Grid[#Data],$DD724,103),0)</f>
        <v/>
      </c>
      <c r="DB724">
        <f>IFERROR(INDEX(PP_Grid[#Data],$DD724,104),0)</f>
        <v/>
      </c>
      <c r="DC724">
        <f>IFERROR(INDEX(PP_Grid[#Data],$DD724,105),0)</f>
        <v/>
      </c>
      <c r="DD724" s="12">
        <f>IFERROR(MATCH($B724,PP_Grid[Intermediate],0),99999)</f>
        <v/>
      </c>
    </row>
    <row r="725">
      <c r="B725" t="inlineStr">
        <is>
          <t>使用量(kg)</t>
        </is>
      </c>
      <c r="C725">
        <f>SUMIFS(M_BOM[RM_Qty_Per_Batch],M_BOM[Intermediate],$B724,M_BOM[Part Name],$A669)</f>
        <v/>
      </c>
      <c r="D725">
        <f>$C725*D724</f>
        <v/>
      </c>
      <c r="E725">
        <f>$C725*E724</f>
        <v/>
      </c>
      <c r="F725">
        <f>$C725*F724</f>
        <v/>
      </c>
      <c r="G725">
        <f>$C725*G724</f>
        <v/>
      </c>
      <c r="H725">
        <f>$C725*H724</f>
        <v/>
      </c>
      <c r="I725">
        <f>$C725*I724</f>
        <v/>
      </c>
      <c r="J725">
        <f>$C725*J724</f>
        <v/>
      </c>
      <c r="K725">
        <f>$C725*K724</f>
        <v/>
      </c>
      <c r="L725">
        <f>$C725*L724</f>
        <v/>
      </c>
      <c r="M725">
        <f>$C725*M724</f>
        <v/>
      </c>
      <c r="N725">
        <f>$C725*N724</f>
        <v/>
      </c>
      <c r="O725">
        <f>$C725*O724</f>
        <v/>
      </c>
      <c r="P725">
        <f>$C725*P724</f>
        <v/>
      </c>
      <c r="Q725">
        <f>$C725*Q724</f>
        <v/>
      </c>
      <c r="R725">
        <f>$C725*R724</f>
        <v/>
      </c>
      <c r="S725">
        <f>$C725*S724</f>
        <v/>
      </c>
      <c r="T725">
        <f>$C725*T724</f>
        <v/>
      </c>
      <c r="U725">
        <f>$C725*U724</f>
        <v/>
      </c>
      <c r="V725">
        <f>$C725*V724</f>
        <v/>
      </c>
      <c r="W725">
        <f>$C725*W724</f>
        <v/>
      </c>
      <c r="X725">
        <f>$C725*X724</f>
        <v/>
      </c>
      <c r="Y725">
        <f>$C725*Y724</f>
        <v/>
      </c>
      <c r="Z725">
        <f>$C725*Z724</f>
        <v/>
      </c>
      <c r="AA725">
        <f>$C725*AA724</f>
        <v/>
      </c>
      <c r="AB725">
        <f>$C725*AB724</f>
        <v/>
      </c>
      <c r="AC725">
        <f>$C725*AC724</f>
        <v/>
      </c>
      <c r="AD725">
        <f>$C725*AD724</f>
        <v/>
      </c>
      <c r="AE725">
        <f>$C725*AE724</f>
        <v/>
      </c>
      <c r="AF725">
        <f>$C725*AF724</f>
        <v/>
      </c>
      <c r="AG725">
        <f>$C725*AG724</f>
        <v/>
      </c>
      <c r="AH725">
        <f>$C725*AH724</f>
        <v/>
      </c>
      <c r="AI725">
        <f>$C725*AI724</f>
        <v/>
      </c>
      <c r="AJ725">
        <f>$C725*AJ724</f>
        <v/>
      </c>
      <c r="AK725">
        <f>$C725*AK724</f>
        <v/>
      </c>
      <c r="AL725">
        <f>$C725*AL724</f>
        <v/>
      </c>
      <c r="AM725">
        <f>$C725*AM724</f>
        <v/>
      </c>
      <c r="AN725">
        <f>$C725*AN724</f>
        <v/>
      </c>
      <c r="AO725">
        <f>$C725*AO724</f>
        <v/>
      </c>
      <c r="AP725">
        <f>$C725*AP724</f>
        <v/>
      </c>
      <c r="AQ725">
        <f>$C725*AQ724</f>
        <v/>
      </c>
      <c r="AR725">
        <f>$C725*AR724</f>
        <v/>
      </c>
      <c r="AS725">
        <f>$C725*AS724</f>
        <v/>
      </c>
      <c r="AT725">
        <f>$C725*AT724</f>
        <v/>
      </c>
      <c r="AU725">
        <f>$C725*AU724</f>
        <v/>
      </c>
      <c r="AV725">
        <f>$C725*AV724</f>
        <v/>
      </c>
      <c r="AW725">
        <f>$C725*AW724</f>
        <v/>
      </c>
      <c r="AX725">
        <f>$C725*AX724</f>
        <v/>
      </c>
      <c r="AY725">
        <f>$C725*AY724</f>
        <v/>
      </c>
      <c r="AZ725">
        <f>$C725*AZ724</f>
        <v/>
      </c>
      <c r="BA725">
        <f>$C725*BA724</f>
        <v/>
      </c>
      <c r="BB725">
        <f>$C725*BB724</f>
        <v/>
      </c>
      <c r="BC725">
        <f>$C725*BC724</f>
        <v/>
      </c>
      <c r="BD725">
        <f>$C725*BD724</f>
        <v/>
      </c>
      <c r="BE725">
        <f>$C725*BE724</f>
        <v/>
      </c>
      <c r="BF725">
        <f>$C725*BF724</f>
        <v/>
      </c>
      <c r="BG725">
        <f>$C725*BG724</f>
        <v/>
      </c>
      <c r="BH725">
        <f>$C725*BH724</f>
        <v/>
      </c>
      <c r="BI725">
        <f>$C725*BI724</f>
        <v/>
      </c>
      <c r="BJ725">
        <f>$C725*BJ724</f>
        <v/>
      </c>
      <c r="BK725">
        <f>$C725*BK724</f>
        <v/>
      </c>
      <c r="BL725">
        <f>$C725*BL724</f>
        <v/>
      </c>
      <c r="BM725">
        <f>$C725*BM724</f>
        <v/>
      </c>
      <c r="BN725">
        <f>$C725*BN724</f>
        <v/>
      </c>
      <c r="BO725">
        <f>$C725*BO724</f>
        <v/>
      </c>
      <c r="BP725">
        <f>$C725*BP724</f>
        <v/>
      </c>
      <c r="BQ725">
        <f>$C725*BQ724</f>
        <v/>
      </c>
      <c r="BR725">
        <f>$C725*BR724</f>
        <v/>
      </c>
      <c r="BS725">
        <f>$C725*BS724</f>
        <v/>
      </c>
      <c r="BT725">
        <f>$C725*BT724</f>
        <v/>
      </c>
      <c r="BU725">
        <f>$C725*BU724</f>
        <v/>
      </c>
      <c r="BV725">
        <f>$C725*BV724</f>
        <v/>
      </c>
      <c r="BW725">
        <f>$C725*BW724</f>
        <v/>
      </c>
      <c r="BX725">
        <f>$C725*BX724</f>
        <v/>
      </c>
      <c r="BY725">
        <f>$C725*BY724</f>
        <v/>
      </c>
      <c r="BZ725">
        <f>$C725*BZ724</f>
        <v/>
      </c>
      <c r="CA725">
        <f>$C725*CA724</f>
        <v/>
      </c>
      <c r="CB725">
        <f>$C725*CB724</f>
        <v/>
      </c>
      <c r="CC725">
        <f>$C725*CC724</f>
        <v/>
      </c>
      <c r="CD725">
        <f>$C725*CD724</f>
        <v/>
      </c>
      <c r="CE725">
        <f>$C725*CE724</f>
        <v/>
      </c>
      <c r="CF725">
        <f>$C725*CF724</f>
        <v/>
      </c>
      <c r="CG725">
        <f>$C725*CG724</f>
        <v/>
      </c>
      <c r="CH725">
        <f>$C725*CH724</f>
        <v/>
      </c>
      <c r="CI725">
        <f>$C725*CI724</f>
        <v/>
      </c>
      <c r="CJ725">
        <f>$C725*CJ724</f>
        <v/>
      </c>
      <c r="CK725">
        <f>$C725*CK724</f>
        <v/>
      </c>
      <c r="CL725">
        <f>$C725*CL724</f>
        <v/>
      </c>
      <c r="CM725">
        <f>$C725*CM724</f>
        <v/>
      </c>
      <c r="CN725">
        <f>$C725*CN724</f>
        <v/>
      </c>
      <c r="CO725">
        <f>$C725*CO724</f>
        <v/>
      </c>
      <c r="CP725">
        <f>$C725*CP724</f>
        <v/>
      </c>
      <c r="CQ725">
        <f>$C725*CQ724</f>
        <v/>
      </c>
      <c r="CR725">
        <f>$C725*CR724</f>
        <v/>
      </c>
      <c r="CS725">
        <f>$C725*CS724</f>
        <v/>
      </c>
      <c r="CT725">
        <f>$C725*CT724</f>
        <v/>
      </c>
      <c r="CU725">
        <f>$C725*CU724</f>
        <v/>
      </c>
      <c r="CV725">
        <f>$C725*CV724</f>
        <v/>
      </c>
      <c r="CW725">
        <f>$C725*CW724</f>
        <v/>
      </c>
      <c r="CX725">
        <f>$C725*CX724</f>
        <v/>
      </c>
      <c r="CY725">
        <f>$C725*CY724</f>
        <v/>
      </c>
      <c r="CZ725">
        <f>$C725*CZ724</f>
        <v/>
      </c>
      <c r="DA725">
        <f>$C725*DA724</f>
        <v/>
      </c>
      <c r="DB725">
        <f>$C725*DB724</f>
        <v/>
      </c>
      <c r="DC725">
        <f>$C725*DC724</f>
        <v/>
      </c>
    </row>
    <row r="726">
      <c r="B726" t="inlineStr">
        <is>
          <t>TSP-404</t>
        </is>
      </c>
      <c r="C726" t="inlineStr">
        <is>
          <t>No. of batches</t>
        </is>
      </c>
      <c r="D726">
        <f>IFERROR(INDEX(PP_Grid[#Data],$DD726,2),0)</f>
        <v/>
      </c>
      <c r="E726">
        <f>IFERROR(INDEX(PP_Grid[#Data],$DD726,3),0)</f>
        <v/>
      </c>
      <c r="F726">
        <f>IFERROR(INDEX(PP_Grid[#Data],$DD726,4),0)</f>
        <v/>
      </c>
      <c r="G726">
        <f>IFERROR(INDEX(PP_Grid[#Data],$DD726,5),0)</f>
        <v/>
      </c>
      <c r="H726">
        <f>IFERROR(INDEX(PP_Grid[#Data],$DD726,6),0)</f>
        <v/>
      </c>
      <c r="I726">
        <f>IFERROR(INDEX(PP_Grid[#Data],$DD726,7),0)</f>
        <v/>
      </c>
      <c r="J726">
        <f>IFERROR(INDEX(PP_Grid[#Data],$DD726,8),0)</f>
        <v/>
      </c>
      <c r="K726">
        <f>IFERROR(INDEX(PP_Grid[#Data],$DD726,9),0)</f>
        <v/>
      </c>
      <c r="L726">
        <f>IFERROR(INDEX(PP_Grid[#Data],$DD726,10),0)</f>
        <v/>
      </c>
      <c r="M726">
        <f>IFERROR(INDEX(PP_Grid[#Data],$DD726,11),0)</f>
        <v/>
      </c>
      <c r="N726">
        <f>IFERROR(INDEX(PP_Grid[#Data],$DD726,12),0)</f>
        <v/>
      </c>
      <c r="O726">
        <f>IFERROR(INDEX(PP_Grid[#Data],$DD726,13),0)</f>
        <v/>
      </c>
      <c r="P726">
        <f>IFERROR(INDEX(PP_Grid[#Data],$DD726,14),0)</f>
        <v/>
      </c>
      <c r="Q726">
        <f>IFERROR(INDEX(PP_Grid[#Data],$DD726,15),0)</f>
        <v/>
      </c>
      <c r="R726">
        <f>IFERROR(INDEX(PP_Grid[#Data],$DD726,16),0)</f>
        <v/>
      </c>
      <c r="S726">
        <f>IFERROR(INDEX(PP_Grid[#Data],$DD726,17),0)</f>
        <v/>
      </c>
      <c r="T726">
        <f>IFERROR(INDEX(PP_Grid[#Data],$DD726,18),0)</f>
        <v/>
      </c>
      <c r="U726">
        <f>IFERROR(INDEX(PP_Grid[#Data],$DD726,19),0)</f>
        <v/>
      </c>
      <c r="V726">
        <f>IFERROR(INDEX(PP_Grid[#Data],$DD726,20),0)</f>
        <v/>
      </c>
      <c r="W726">
        <f>IFERROR(INDEX(PP_Grid[#Data],$DD726,21),0)</f>
        <v/>
      </c>
      <c r="X726">
        <f>IFERROR(INDEX(PP_Grid[#Data],$DD726,22),0)</f>
        <v/>
      </c>
      <c r="Y726">
        <f>IFERROR(INDEX(PP_Grid[#Data],$DD726,23),0)</f>
        <v/>
      </c>
      <c r="Z726">
        <f>IFERROR(INDEX(PP_Grid[#Data],$DD726,24),0)</f>
        <v/>
      </c>
      <c r="AA726">
        <f>IFERROR(INDEX(PP_Grid[#Data],$DD726,25),0)</f>
        <v/>
      </c>
      <c r="AB726">
        <f>IFERROR(INDEX(PP_Grid[#Data],$DD726,26),0)</f>
        <v/>
      </c>
      <c r="AC726">
        <f>IFERROR(INDEX(PP_Grid[#Data],$DD726,27),0)</f>
        <v/>
      </c>
      <c r="AD726">
        <f>IFERROR(INDEX(PP_Grid[#Data],$DD726,28),0)</f>
        <v/>
      </c>
      <c r="AE726">
        <f>IFERROR(INDEX(PP_Grid[#Data],$DD726,29),0)</f>
        <v/>
      </c>
      <c r="AF726">
        <f>IFERROR(INDEX(PP_Grid[#Data],$DD726,30),0)</f>
        <v/>
      </c>
      <c r="AG726">
        <f>IFERROR(INDEX(PP_Grid[#Data],$DD726,31),0)</f>
        <v/>
      </c>
      <c r="AH726">
        <f>IFERROR(INDEX(PP_Grid[#Data],$DD726,32),0)</f>
        <v/>
      </c>
      <c r="AI726">
        <f>IFERROR(INDEX(PP_Grid[#Data],$DD726,33),0)</f>
        <v/>
      </c>
      <c r="AJ726">
        <f>IFERROR(INDEX(PP_Grid[#Data],$DD726,34),0)</f>
        <v/>
      </c>
      <c r="AK726">
        <f>IFERROR(INDEX(PP_Grid[#Data],$DD726,35),0)</f>
        <v/>
      </c>
      <c r="AL726">
        <f>IFERROR(INDEX(PP_Grid[#Data],$DD726,36),0)</f>
        <v/>
      </c>
      <c r="AM726">
        <f>IFERROR(INDEX(PP_Grid[#Data],$DD726,37),0)</f>
        <v/>
      </c>
      <c r="AN726">
        <f>IFERROR(INDEX(PP_Grid[#Data],$DD726,38),0)</f>
        <v/>
      </c>
      <c r="AO726">
        <f>IFERROR(INDEX(PP_Grid[#Data],$DD726,39),0)</f>
        <v/>
      </c>
      <c r="AP726">
        <f>IFERROR(INDEX(PP_Grid[#Data],$DD726,40),0)</f>
        <v/>
      </c>
      <c r="AQ726">
        <f>IFERROR(INDEX(PP_Grid[#Data],$DD726,41),0)</f>
        <v/>
      </c>
      <c r="AR726">
        <f>IFERROR(INDEX(PP_Grid[#Data],$DD726,42),0)</f>
        <v/>
      </c>
      <c r="AS726">
        <f>IFERROR(INDEX(PP_Grid[#Data],$DD726,43),0)</f>
        <v/>
      </c>
      <c r="AT726">
        <f>IFERROR(INDEX(PP_Grid[#Data],$DD726,44),0)</f>
        <v/>
      </c>
      <c r="AU726">
        <f>IFERROR(INDEX(PP_Grid[#Data],$DD726,45),0)</f>
        <v/>
      </c>
      <c r="AV726">
        <f>IFERROR(INDEX(PP_Grid[#Data],$DD726,46),0)</f>
        <v/>
      </c>
      <c r="AW726">
        <f>IFERROR(INDEX(PP_Grid[#Data],$DD726,47),0)</f>
        <v/>
      </c>
      <c r="AX726">
        <f>IFERROR(INDEX(PP_Grid[#Data],$DD726,48),0)</f>
        <v/>
      </c>
      <c r="AY726">
        <f>IFERROR(INDEX(PP_Grid[#Data],$DD726,49),0)</f>
        <v/>
      </c>
      <c r="AZ726">
        <f>IFERROR(INDEX(PP_Grid[#Data],$DD726,50),0)</f>
        <v/>
      </c>
      <c r="BA726">
        <f>IFERROR(INDEX(PP_Grid[#Data],$DD726,51),0)</f>
        <v/>
      </c>
      <c r="BB726">
        <f>IFERROR(INDEX(PP_Grid[#Data],$DD726,52),0)</f>
        <v/>
      </c>
      <c r="BC726">
        <f>IFERROR(INDEX(PP_Grid[#Data],$DD726,53),0)</f>
        <v/>
      </c>
      <c r="BD726">
        <f>IFERROR(INDEX(PP_Grid[#Data],$DD726,54),0)</f>
        <v/>
      </c>
      <c r="BE726">
        <f>IFERROR(INDEX(PP_Grid[#Data],$DD726,55),0)</f>
        <v/>
      </c>
      <c r="BF726">
        <f>IFERROR(INDEX(PP_Grid[#Data],$DD726,56),0)</f>
        <v/>
      </c>
      <c r="BG726">
        <f>IFERROR(INDEX(PP_Grid[#Data],$DD726,57),0)</f>
        <v/>
      </c>
      <c r="BH726">
        <f>IFERROR(INDEX(PP_Grid[#Data],$DD726,58),0)</f>
        <v/>
      </c>
      <c r="BI726">
        <f>IFERROR(INDEX(PP_Grid[#Data],$DD726,59),0)</f>
        <v/>
      </c>
      <c r="BJ726">
        <f>IFERROR(INDEX(PP_Grid[#Data],$DD726,60),0)</f>
        <v/>
      </c>
      <c r="BK726">
        <f>IFERROR(INDEX(PP_Grid[#Data],$DD726,61),0)</f>
        <v/>
      </c>
      <c r="BL726">
        <f>IFERROR(INDEX(PP_Grid[#Data],$DD726,62),0)</f>
        <v/>
      </c>
      <c r="BM726">
        <f>IFERROR(INDEX(PP_Grid[#Data],$DD726,63),0)</f>
        <v/>
      </c>
      <c r="BN726">
        <f>IFERROR(INDEX(PP_Grid[#Data],$DD726,64),0)</f>
        <v/>
      </c>
      <c r="BO726">
        <f>IFERROR(INDEX(PP_Grid[#Data],$DD726,65),0)</f>
        <v/>
      </c>
      <c r="BP726">
        <f>IFERROR(INDEX(PP_Grid[#Data],$DD726,66),0)</f>
        <v/>
      </c>
      <c r="BQ726">
        <f>IFERROR(INDEX(PP_Grid[#Data],$DD726,67),0)</f>
        <v/>
      </c>
      <c r="BR726">
        <f>IFERROR(INDEX(PP_Grid[#Data],$DD726,68),0)</f>
        <v/>
      </c>
      <c r="BS726">
        <f>IFERROR(INDEX(PP_Grid[#Data],$DD726,69),0)</f>
        <v/>
      </c>
      <c r="BT726">
        <f>IFERROR(INDEX(PP_Grid[#Data],$DD726,70),0)</f>
        <v/>
      </c>
      <c r="BU726">
        <f>IFERROR(INDEX(PP_Grid[#Data],$DD726,71),0)</f>
        <v/>
      </c>
      <c r="BV726">
        <f>IFERROR(INDEX(PP_Grid[#Data],$DD726,72),0)</f>
        <v/>
      </c>
      <c r="BW726">
        <f>IFERROR(INDEX(PP_Grid[#Data],$DD726,73),0)</f>
        <v/>
      </c>
      <c r="BX726">
        <f>IFERROR(INDEX(PP_Grid[#Data],$DD726,74),0)</f>
        <v/>
      </c>
      <c r="BY726">
        <f>IFERROR(INDEX(PP_Grid[#Data],$DD726,75),0)</f>
        <v/>
      </c>
      <c r="BZ726">
        <f>IFERROR(INDEX(PP_Grid[#Data],$DD726,76),0)</f>
        <v/>
      </c>
      <c r="CA726">
        <f>IFERROR(INDEX(PP_Grid[#Data],$DD726,77),0)</f>
        <v/>
      </c>
      <c r="CB726">
        <f>IFERROR(INDEX(PP_Grid[#Data],$DD726,78),0)</f>
        <v/>
      </c>
      <c r="CC726">
        <f>IFERROR(INDEX(PP_Grid[#Data],$DD726,79),0)</f>
        <v/>
      </c>
      <c r="CD726">
        <f>IFERROR(INDEX(PP_Grid[#Data],$DD726,80),0)</f>
        <v/>
      </c>
      <c r="CE726">
        <f>IFERROR(INDEX(PP_Grid[#Data],$DD726,81),0)</f>
        <v/>
      </c>
      <c r="CF726">
        <f>IFERROR(INDEX(PP_Grid[#Data],$DD726,82),0)</f>
        <v/>
      </c>
      <c r="CG726">
        <f>IFERROR(INDEX(PP_Grid[#Data],$DD726,83),0)</f>
        <v/>
      </c>
      <c r="CH726">
        <f>IFERROR(INDEX(PP_Grid[#Data],$DD726,84),0)</f>
        <v/>
      </c>
      <c r="CI726">
        <f>IFERROR(INDEX(PP_Grid[#Data],$DD726,85),0)</f>
        <v/>
      </c>
      <c r="CJ726">
        <f>IFERROR(INDEX(PP_Grid[#Data],$DD726,86),0)</f>
        <v/>
      </c>
      <c r="CK726">
        <f>IFERROR(INDEX(PP_Grid[#Data],$DD726,87),0)</f>
        <v/>
      </c>
      <c r="CL726">
        <f>IFERROR(INDEX(PP_Grid[#Data],$DD726,88),0)</f>
        <v/>
      </c>
      <c r="CM726">
        <f>IFERROR(INDEX(PP_Grid[#Data],$DD726,89),0)</f>
        <v/>
      </c>
      <c r="CN726">
        <f>IFERROR(INDEX(PP_Grid[#Data],$DD726,90),0)</f>
        <v/>
      </c>
      <c r="CO726">
        <f>IFERROR(INDEX(PP_Grid[#Data],$DD726,91),0)</f>
        <v/>
      </c>
      <c r="CP726">
        <f>IFERROR(INDEX(PP_Grid[#Data],$DD726,92),0)</f>
        <v/>
      </c>
      <c r="CQ726">
        <f>IFERROR(INDEX(PP_Grid[#Data],$DD726,93),0)</f>
        <v/>
      </c>
      <c r="CR726">
        <f>IFERROR(INDEX(PP_Grid[#Data],$DD726,94),0)</f>
        <v/>
      </c>
      <c r="CS726">
        <f>IFERROR(INDEX(PP_Grid[#Data],$DD726,95),0)</f>
        <v/>
      </c>
      <c r="CT726">
        <f>IFERROR(INDEX(PP_Grid[#Data],$DD726,96),0)</f>
        <v/>
      </c>
      <c r="CU726">
        <f>IFERROR(INDEX(PP_Grid[#Data],$DD726,97),0)</f>
        <v/>
      </c>
      <c r="CV726">
        <f>IFERROR(INDEX(PP_Grid[#Data],$DD726,98),0)</f>
        <v/>
      </c>
      <c r="CW726">
        <f>IFERROR(INDEX(PP_Grid[#Data],$DD726,99),0)</f>
        <v/>
      </c>
      <c r="CX726">
        <f>IFERROR(INDEX(PP_Grid[#Data],$DD726,100),0)</f>
        <v/>
      </c>
      <c r="CY726">
        <f>IFERROR(INDEX(PP_Grid[#Data],$DD726,101),0)</f>
        <v/>
      </c>
      <c r="CZ726">
        <f>IFERROR(INDEX(PP_Grid[#Data],$DD726,102),0)</f>
        <v/>
      </c>
      <c r="DA726">
        <f>IFERROR(INDEX(PP_Grid[#Data],$DD726,103),0)</f>
        <v/>
      </c>
      <c r="DB726">
        <f>IFERROR(INDEX(PP_Grid[#Data],$DD726,104),0)</f>
        <v/>
      </c>
      <c r="DC726">
        <f>IFERROR(INDEX(PP_Grid[#Data],$DD726,105),0)</f>
        <v/>
      </c>
      <c r="DD726" s="12">
        <f>IFERROR(MATCH($B726,PP_Grid[Intermediate],0),99999)</f>
        <v/>
      </c>
    </row>
    <row r="727">
      <c r="B727" t="inlineStr">
        <is>
          <t>使用量(kg)</t>
        </is>
      </c>
      <c r="C727">
        <f>SUMIFS(M_BOM[RM_Qty_Per_Batch],M_BOM[Intermediate],$B726,M_BOM[Part Name],$A669)</f>
        <v/>
      </c>
      <c r="D727">
        <f>$C727*D726</f>
        <v/>
      </c>
      <c r="E727">
        <f>$C727*E726</f>
        <v/>
      </c>
      <c r="F727">
        <f>$C727*F726</f>
        <v/>
      </c>
      <c r="G727">
        <f>$C727*G726</f>
        <v/>
      </c>
      <c r="H727">
        <f>$C727*H726</f>
        <v/>
      </c>
      <c r="I727">
        <f>$C727*I726</f>
        <v/>
      </c>
      <c r="J727">
        <f>$C727*J726</f>
        <v/>
      </c>
      <c r="K727">
        <f>$C727*K726</f>
        <v/>
      </c>
      <c r="L727">
        <f>$C727*L726</f>
        <v/>
      </c>
      <c r="M727">
        <f>$C727*M726</f>
        <v/>
      </c>
      <c r="N727">
        <f>$C727*N726</f>
        <v/>
      </c>
      <c r="O727">
        <f>$C727*O726</f>
        <v/>
      </c>
      <c r="P727">
        <f>$C727*P726</f>
        <v/>
      </c>
      <c r="Q727">
        <f>$C727*Q726</f>
        <v/>
      </c>
      <c r="R727">
        <f>$C727*R726</f>
        <v/>
      </c>
      <c r="S727">
        <f>$C727*S726</f>
        <v/>
      </c>
      <c r="T727">
        <f>$C727*T726</f>
        <v/>
      </c>
      <c r="U727">
        <f>$C727*U726</f>
        <v/>
      </c>
      <c r="V727">
        <f>$C727*V726</f>
        <v/>
      </c>
      <c r="W727">
        <f>$C727*W726</f>
        <v/>
      </c>
      <c r="X727">
        <f>$C727*X726</f>
        <v/>
      </c>
      <c r="Y727">
        <f>$C727*Y726</f>
        <v/>
      </c>
      <c r="Z727">
        <f>$C727*Z726</f>
        <v/>
      </c>
      <c r="AA727">
        <f>$C727*AA726</f>
        <v/>
      </c>
      <c r="AB727">
        <f>$C727*AB726</f>
        <v/>
      </c>
      <c r="AC727">
        <f>$C727*AC726</f>
        <v/>
      </c>
      <c r="AD727">
        <f>$C727*AD726</f>
        <v/>
      </c>
      <c r="AE727">
        <f>$C727*AE726</f>
        <v/>
      </c>
      <c r="AF727">
        <f>$C727*AF726</f>
        <v/>
      </c>
      <c r="AG727">
        <f>$C727*AG726</f>
        <v/>
      </c>
      <c r="AH727">
        <f>$C727*AH726</f>
        <v/>
      </c>
      <c r="AI727">
        <f>$C727*AI726</f>
        <v/>
      </c>
      <c r="AJ727">
        <f>$C727*AJ726</f>
        <v/>
      </c>
      <c r="AK727">
        <f>$C727*AK726</f>
        <v/>
      </c>
      <c r="AL727">
        <f>$C727*AL726</f>
        <v/>
      </c>
      <c r="AM727">
        <f>$C727*AM726</f>
        <v/>
      </c>
      <c r="AN727">
        <f>$C727*AN726</f>
        <v/>
      </c>
      <c r="AO727">
        <f>$C727*AO726</f>
        <v/>
      </c>
      <c r="AP727">
        <f>$C727*AP726</f>
        <v/>
      </c>
      <c r="AQ727">
        <f>$C727*AQ726</f>
        <v/>
      </c>
      <c r="AR727">
        <f>$C727*AR726</f>
        <v/>
      </c>
      <c r="AS727">
        <f>$C727*AS726</f>
        <v/>
      </c>
      <c r="AT727">
        <f>$C727*AT726</f>
        <v/>
      </c>
      <c r="AU727">
        <f>$C727*AU726</f>
        <v/>
      </c>
      <c r="AV727">
        <f>$C727*AV726</f>
        <v/>
      </c>
      <c r="AW727">
        <f>$C727*AW726</f>
        <v/>
      </c>
      <c r="AX727">
        <f>$C727*AX726</f>
        <v/>
      </c>
      <c r="AY727">
        <f>$C727*AY726</f>
        <v/>
      </c>
      <c r="AZ727">
        <f>$C727*AZ726</f>
        <v/>
      </c>
      <c r="BA727">
        <f>$C727*BA726</f>
        <v/>
      </c>
      <c r="BB727">
        <f>$C727*BB726</f>
        <v/>
      </c>
      <c r="BC727">
        <f>$C727*BC726</f>
        <v/>
      </c>
      <c r="BD727">
        <f>$C727*BD726</f>
        <v/>
      </c>
      <c r="BE727">
        <f>$C727*BE726</f>
        <v/>
      </c>
      <c r="BF727">
        <f>$C727*BF726</f>
        <v/>
      </c>
      <c r="BG727">
        <f>$C727*BG726</f>
        <v/>
      </c>
      <c r="BH727">
        <f>$C727*BH726</f>
        <v/>
      </c>
      <c r="BI727">
        <f>$C727*BI726</f>
        <v/>
      </c>
      <c r="BJ727">
        <f>$C727*BJ726</f>
        <v/>
      </c>
      <c r="BK727">
        <f>$C727*BK726</f>
        <v/>
      </c>
      <c r="BL727">
        <f>$C727*BL726</f>
        <v/>
      </c>
      <c r="BM727">
        <f>$C727*BM726</f>
        <v/>
      </c>
      <c r="BN727">
        <f>$C727*BN726</f>
        <v/>
      </c>
      <c r="BO727">
        <f>$C727*BO726</f>
        <v/>
      </c>
      <c r="BP727">
        <f>$C727*BP726</f>
        <v/>
      </c>
      <c r="BQ727">
        <f>$C727*BQ726</f>
        <v/>
      </c>
      <c r="BR727">
        <f>$C727*BR726</f>
        <v/>
      </c>
      <c r="BS727">
        <f>$C727*BS726</f>
        <v/>
      </c>
      <c r="BT727">
        <f>$C727*BT726</f>
        <v/>
      </c>
      <c r="BU727">
        <f>$C727*BU726</f>
        <v/>
      </c>
      <c r="BV727">
        <f>$C727*BV726</f>
        <v/>
      </c>
      <c r="BW727">
        <f>$C727*BW726</f>
        <v/>
      </c>
      <c r="BX727">
        <f>$C727*BX726</f>
        <v/>
      </c>
      <c r="BY727">
        <f>$C727*BY726</f>
        <v/>
      </c>
      <c r="BZ727">
        <f>$C727*BZ726</f>
        <v/>
      </c>
      <c r="CA727">
        <f>$C727*CA726</f>
        <v/>
      </c>
      <c r="CB727">
        <f>$C727*CB726</f>
        <v/>
      </c>
      <c r="CC727">
        <f>$C727*CC726</f>
        <v/>
      </c>
      <c r="CD727">
        <f>$C727*CD726</f>
        <v/>
      </c>
      <c r="CE727">
        <f>$C727*CE726</f>
        <v/>
      </c>
      <c r="CF727">
        <f>$C727*CF726</f>
        <v/>
      </c>
      <c r="CG727">
        <f>$C727*CG726</f>
        <v/>
      </c>
      <c r="CH727">
        <f>$C727*CH726</f>
        <v/>
      </c>
      <c r="CI727">
        <f>$C727*CI726</f>
        <v/>
      </c>
      <c r="CJ727">
        <f>$C727*CJ726</f>
        <v/>
      </c>
      <c r="CK727">
        <f>$C727*CK726</f>
        <v/>
      </c>
      <c r="CL727">
        <f>$C727*CL726</f>
        <v/>
      </c>
      <c r="CM727">
        <f>$C727*CM726</f>
        <v/>
      </c>
      <c r="CN727">
        <f>$C727*CN726</f>
        <v/>
      </c>
      <c r="CO727">
        <f>$C727*CO726</f>
        <v/>
      </c>
      <c r="CP727">
        <f>$C727*CP726</f>
        <v/>
      </c>
      <c r="CQ727">
        <f>$C727*CQ726</f>
        <v/>
      </c>
      <c r="CR727">
        <f>$C727*CR726</f>
        <v/>
      </c>
      <c r="CS727">
        <f>$C727*CS726</f>
        <v/>
      </c>
      <c r="CT727">
        <f>$C727*CT726</f>
        <v/>
      </c>
      <c r="CU727">
        <f>$C727*CU726</f>
        <v/>
      </c>
      <c r="CV727">
        <f>$C727*CV726</f>
        <v/>
      </c>
      <c r="CW727">
        <f>$C727*CW726</f>
        <v/>
      </c>
      <c r="CX727">
        <f>$C727*CX726</f>
        <v/>
      </c>
      <c r="CY727">
        <f>$C727*CY726</f>
        <v/>
      </c>
      <c r="CZ727">
        <f>$C727*CZ726</f>
        <v/>
      </c>
      <c r="DA727">
        <f>$C727*DA726</f>
        <v/>
      </c>
      <c r="DB727">
        <f>$C727*DB726</f>
        <v/>
      </c>
      <c r="DC727">
        <f>$C727*DC726</f>
        <v/>
      </c>
    </row>
    <row r="728">
      <c r="B728" t="inlineStr">
        <is>
          <t>TSP-405</t>
        </is>
      </c>
      <c r="C728" t="inlineStr">
        <is>
          <t>No. of batches</t>
        </is>
      </c>
      <c r="D728">
        <f>IFERROR(INDEX(PP_Grid[#Data],$DD728,2),0)</f>
        <v/>
      </c>
      <c r="E728">
        <f>IFERROR(INDEX(PP_Grid[#Data],$DD728,3),0)</f>
        <v/>
      </c>
      <c r="F728">
        <f>IFERROR(INDEX(PP_Grid[#Data],$DD728,4),0)</f>
        <v/>
      </c>
      <c r="G728">
        <f>IFERROR(INDEX(PP_Grid[#Data],$DD728,5),0)</f>
        <v/>
      </c>
      <c r="H728">
        <f>IFERROR(INDEX(PP_Grid[#Data],$DD728,6),0)</f>
        <v/>
      </c>
      <c r="I728">
        <f>IFERROR(INDEX(PP_Grid[#Data],$DD728,7),0)</f>
        <v/>
      </c>
      <c r="J728">
        <f>IFERROR(INDEX(PP_Grid[#Data],$DD728,8),0)</f>
        <v/>
      </c>
      <c r="K728">
        <f>IFERROR(INDEX(PP_Grid[#Data],$DD728,9),0)</f>
        <v/>
      </c>
      <c r="L728">
        <f>IFERROR(INDEX(PP_Grid[#Data],$DD728,10),0)</f>
        <v/>
      </c>
      <c r="M728">
        <f>IFERROR(INDEX(PP_Grid[#Data],$DD728,11),0)</f>
        <v/>
      </c>
      <c r="N728">
        <f>IFERROR(INDEX(PP_Grid[#Data],$DD728,12),0)</f>
        <v/>
      </c>
      <c r="O728">
        <f>IFERROR(INDEX(PP_Grid[#Data],$DD728,13),0)</f>
        <v/>
      </c>
      <c r="P728">
        <f>IFERROR(INDEX(PP_Grid[#Data],$DD728,14),0)</f>
        <v/>
      </c>
      <c r="Q728">
        <f>IFERROR(INDEX(PP_Grid[#Data],$DD728,15),0)</f>
        <v/>
      </c>
      <c r="R728">
        <f>IFERROR(INDEX(PP_Grid[#Data],$DD728,16),0)</f>
        <v/>
      </c>
      <c r="S728">
        <f>IFERROR(INDEX(PP_Grid[#Data],$DD728,17),0)</f>
        <v/>
      </c>
      <c r="T728">
        <f>IFERROR(INDEX(PP_Grid[#Data],$DD728,18),0)</f>
        <v/>
      </c>
      <c r="U728">
        <f>IFERROR(INDEX(PP_Grid[#Data],$DD728,19),0)</f>
        <v/>
      </c>
      <c r="V728">
        <f>IFERROR(INDEX(PP_Grid[#Data],$DD728,20),0)</f>
        <v/>
      </c>
      <c r="W728">
        <f>IFERROR(INDEX(PP_Grid[#Data],$DD728,21),0)</f>
        <v/>
      </c>
      <c r="X728">
        <f>IFERROR(INDEX(PP_Grid[#Data],$DD728,22),0)</f>
        <v/>
      </c>
      <c r="Y728">
        <f>IFERROR(INDEX(PP_Grid[#Data],$DD728,23),0)</f>
        <v/>
      </c>
      <c r="Z728">
        <f>IFERROR(INDEX(PP_Grid[#Data],$DD728,24),0)</f>
        <v/>
      </c>
      <c r="AA728">
        <f>IFERROR(INDEX(PP_Grid[#Data],$DD728,25),0)</f>
        <v/>
      </c>
      <c r="AB728">
        <f>IFERROR(INDEX(PP_Grid[#Data],$DD728,26),0)</f>
        <v/>
      </c>
      <c r="AC728">
        <f>IFERROR(INDEX(PP_Grid[#Data],$DD728,27),0)</f>
        <v/>
      </c>
      <c r="AD728">
        <f>IFERROR(INDEX(PP_Grid[#Data],$DD728,28),0)</f>
        <v/>
      </c>
      <c r="AE728">
        <f>IFERROR(INDEX(PP_Grid[#Data],$DD728,29),0)</f>
        <v/>
      </c>
      <c r="AF728">
        <f>IFERROR(INDEX(PP_Grid[#Data],$DD728,30),0)</f>
        <v/>
      </c>
      <c r="AG728">
        <f>IFERROR(INDEX(PP_Grid[#Data],$DD728,31),0)</f>
        <v/>
      </c>
      <c r="AH728">
        <f>IFERROR(INDEX(PP_Grid[#Data],$DD728,32),0)</f>
        <v/>
      </c>
      <c r="AI728">
        <f>IFERROR(INDEX(PP_Grid[#Data],$DD728,33),0)</f>
        <v/>
      </c>
      <c r="AJ728">
        <f>IFERROR(INDEX(PP_Grid[#Data],$DD728,34),0)</f>
        <v/>
      </c>
      <c r="AK728">
        <f>IFERROR(INDEX(PP_Grid[#Data],$DD728,35),0)</f>
        <v/>
      </c>
      <c r="AL728">
        <f>IFERROR(INDEX(PP_Grid[#Data],$DD728,36),0)</f>
        <v/>
      </c>
      <c r="AM728">
        <f>IFERROR(INDEX(PP_Grid[#Data],$DD728,37),0)</f>
        <v/>
      </c>
      <c r="AN728">
        <f>IFERROR(INDEX(PP_Grid[#Data],$DD728,38),0)</f>
        <v/>
      </c>
      <c r="AO728">
        <f>IFERROR(INDEX(PP_Grid[#Data],$DD728,39),0)</f>
        <v/>
      </c>
      <c r="AP728">
        <f>IFERROR(INDEX(PP_Grid[#Data],$DD728,40),0)</f>
        <v/>
      </c>
      <c r="AQ728">
        <f>IFERROR(INDEX(PP_Grid[#Data],$DD728,41),0)</f>
        <v/>
      </c>
      <c r="AR728">
        <f>IFERROR(INDEX(PP_Grid[#Data],$DD728,42),0)</f>
        <v/>
      </c>
      <c r="AS728">
        <f>IFERROR(INDEX(PP_Grid[#Data],$DD728,43),0)</f>
        <v/>
      </c>
      <c r="AT728">
        <f>IFERROR(INDEX(PP_Grid[#Data],$DD728,44),0)</f>
        <v/>
      </c>
      <c r="AU728">
        <f>IFERROR(INDEX(PP_Grid[#Data],$DD728,45),0)</f>
        <v/>
      </c>
      <c r="AV728">
        <f>IFERROR(INDEX(PP_Grid[#Data],$DD728,46),0)</f>
        <v/>
      </c>
      <c r="AW728">
        <f>IFERROR(INDEX(PP_Grid[#Data],$DD728,47),0)</f>
        <v/>
      </c>
      <c r="AX728">
        <f>IFERROR(INDEX(PP_Grid[#Data],$DD728,48),0)</f>
        <v/>
      </c>
      <c r="AY728">
        <f>IFERROR(INDEX(PP_Grid[#Data],$DD728,49),0)</f>
        <v/>
      </c>
      <c r="AZ728">
        <f>IFERROR(INDEX(PP_Grid[#Data],$DD728,50),0)</f>
        <v/>
      </c>
      <c r="BA728">
        <f>IFERROR(INDEX(PP_Grid[#Data],$DD728,51),0)</f>
        <v/>
      </c>
      <c r="BB728">
        <f>IFERROR(INDEX(PP_Grid[#Data],$DD728,52),0)</f>
        <v/>
      </c>
      <c r="BC728">
        <f>IFERROR(INDEX(PP_Grid[#Data],$DD728,53),0)</f>
        <v/>
      </c>
      <c r="BD728">
        <f>IFERROR(INDEX(PP_Grid[#Data],$DD728,54),0)</f>
        <v/>
      </c>
      <c r="BE728">
        <f>IFERROR(INDEX(PP_Grid[#Data],$DD728,55),0)</f>
        <v/>
      </c>
      <c r="BF728">
        <f>IFERROR(INDEX(PP_Grid[#Data],$DD728,56),0)</f>
        <v/>
      </c>
      <c r="BG728">
        <f>IFERROR(INDEX(PP_Grid[#Data],$DD728,57),0)</f>
        <v/>
      </c>
      <c r="BH728">
        <f>IFERROR(INDEX(PP_Grid[#Data],$DD728,58),0)</f>
        <v/>
      </c>
      <c r="BI728">
        <f>IFERROR(INDEX(PP_Grid[#Data],$DD728,59),0)</f>
        <v/>
      </c>
      <c r="BJ728">
        <f>IFERROR(INDEX(PP_Grid[#Data],$DD728,60),0)</f>
        <v/>
      </c>
      <c r="BK728">
        <f>IFERROR(INDEX(PP_Grid[#Data],$DD728,61),0)</f>
        <v/>
      </c>
      <c r="BL728">
        <f>IFERROR(INDEX(PP_Grid[#Data],$DD728,62),0)</f>
        <v/>
      </c>
      <c r="BM728">
        <f>IFERROR(INDEX(PP_Grid[#Data],$DD728,63),0)</f>
        <v/>
      </c>
      <c r="BN728">
        <f>IFERROR(INDEX(PP_Grid[#Data],$DD728,64),0)</f>
        <v/>
      </c>
      <c r="BO728">
        <f>IFERROR(INDEX(PP_Grid[#Data],$DD728,65),0)</f>
        <v/>
      </c>
      <c r="BP728">
        <f>IFERROR(INDEX(PP_Grid[#Data],$DD728,66),0)</f>
        <v/>
      </c>
      <c r="BQ728">
        <f>IFERROR(INDEX(PP_Grid[#Data],$DD728,67),0)</f>
        <v/>
      </c>
      <c r="BR728">
        <f>IFERROR(INDEX(PP_Grid[#Data],$DD728,68),0)</f>
        <v/>
      </c>
      <c r="BS728">
        <f>IFERROR(INDEX(PP_Grid[#Data],$DD728,69),0)</f>
        <v/>
      </c>
      <c r="BT728">
        <f>IFERROR(INDEX(PP_Grid[#Data],$DD728,70),0)</f>
        <v/>
      </c>
      <c r="BU728">
        <f>IFERROR(INDEX(PP_Grid[#Data],$DD728,71),0)</f>
        <v/>
      </c>
      <c r="BV728">
        <f>IFERROR(INDEX(PP_Grid[#Data],$DD728,72),0)</f>
        <v/>
      </c>
      <c r="BW728">
        <f>IFERROR(INDEX(PP_Grid[#Data],$DD728,73),0)</f>
        <v/>
      </c>
      <c r="BX728">
        <f>IFERROR(INDEX(PP_Grid[#Data],$DD728,74),0)</f>
        <v/>
      </c>
      <c r="BY728">
        <f>IFERROR(INDEX(PP_Grid[#Data],$DD728,75),0)</f>
        <v/>
      </c>
      <c r="BZ728">
        <f>IFERROR(INDEX(PP_Grid[#Data],$DD728,76),0)</f>
        <v/>
      </c>
      <c r="CA728">
        <f>IFERROR(INDEX(PP_Grid[#Data],$DD728,77),0)</f>
        <v/>
      </c>
      <c r="CB728">
        <f>IFERROR(INDEX(PP_Grid[#Data],$DD728,78),0)</f>
        <v/>
      </c>
      <c r="CC728">
        <f>IFERROR(INDEX(PP_Grid[#Data],$DD728,79),0)</f>
        <v/>
      </c>
      <c r="CD728">
        <f>IFERROR(INDEX(PP_Grid[#Data],$DD728,80),0)</f>
        <v/>
      </c>
      <c r="CE728">
        <f>IFERROR(INDEX(PP_Grid[#Data],$DD728,81),0)</f>
        <v/>
      </c>
      <c r="CF728">
        <f>IFERROR(INDEX(PP_Grid[#Data],$DD728,82),0)</f>
        <v/>
      </c>
      <c r="CG728">
        <f>IFERROR(INDEX(PP_Grid[#Data],$DD728,83),0)</f>
        <v/>
      </c>
      <c r="CH728">
        <f>IFERROR(INDEX(PP_Grid[#Data],$DD728,84),0)</f>
        <v/>
      </c>
      <c r="CI728">
        <f>IFERROR(INDEX(PP_Grid[#Data],$DD728,85),0)</f>
        <v/>
      </c>
      <c r="CJ728">
        <f>IFERROR(INDEX(PP_Grid[#Data],$DD728,86),0)</f>
        <v/>
      </c>
      <c r="CK728">
        <f>IFERROR(INDEX(PP_Grid[#Data],$DD728,87),0)</f>
        <v/>
      </c>
      <c r="CL728">
        <f>IFERROR(INDEX(PP_Grid[#Data],$DD728,88),0)</f>
        <v/>
      </c>
      <c r="CM728">
        <f>IFERROR(INDEX(PP_Grid[#Data],$DD728,89),0)</f>
        <v/>
      </c>
      <c r="CN728">
        <f>IFERROR(INDEX(PP_Grid[#Data],$DD728,90),0)</f>
        <v/>
      </c>
      <c r="CO728">
        <f>IFERROR(INDEX(PP_Grid[#Data],$DD728,91),0)</f>
        <v/>
      </c>
      <c r="CP728">
        <f>IFERROR(INDEX(PP_Grid[#Data],$DD728,92),0)</f>
        <v/>
      </c>
      <c r="CQ728">
        <f>IFERROR(INDEX(PP_Grid[#Data],$DD728,93),0)</f>
        <v/>
      </c>
      <c r="CR728">
        <f>IFERROR(INDEX(PP_Grid[#Data],$DD728,94),0)</f>
        <v/>
      </c>
      <c r="CS728">
        <f>IFERROR(INDEX(PP_Grid[#Data],$DD728,95),0)</f>
        <v/>
      </c>
      <c r="CT728">
        <f>IFERROR(INDEX(PP_Grid[#Data],$DD728,96),0)</f>
        <v/>
      </c>
      <c r="CU728">
        <f>IFERROR(INDEX(PP_Grid[#Data],$DD728,97),0)</f>
        <v/>
      </c>
      <c r="CV728">
        <f>IFERROR(INDEX(PP_Grid[#Data],$DD728,98),0)</f>
        <v/>
      </c>
      <c r="CW728">
        <f>IFERROR(INDEX(PP_Grid[#Data],$DD728,99),0)</f>
        <v/>
      </c>
      <c r="CX728">
        <f>IFERROR(INDEX(PP_Grid[#Data],$DD728,100),0)</f>
        <v/>
      </c>
      <c r="CY728">
        <f>IFERROR(INDEX(PP_Grid[#Data],$DD728,101),0)</f>
        <v/>
      </c>
      <c r="CZ728">
        <f>IFERROR(INDEX(PP_Grid[#Data],$DD728,102),0)</f>
        <v/>
      </c>
      <c r="DA728">
        <f>IFERROR(INDEX(PP_Grid[#Data],$DD728,103),0)</f>
        <v/>
      </c>
      <c r="DB728">
        <f>IFERROR(INDEX(PP_Grid[#Data],$DD728,104),0)</f>
        <v/>
      </c>
      <c r="DC728">
        <f>IFERROR(INDEX(PP_Grid[#Data],$DD728,105),0)</f>
        <v/>
      </c>
      <c r="DD728" s="12">
        <f>IFERROR(MATCH($B728,PP_Grid[Intermediate],0),99999)</f>
        <v/>
      </c>
    </row>
    <row r="729">
      <c r="B729" t="inlineStr">
        <is>
          <t>使用量(kg)</t>
        </is>
      </c>
      <c r="C729">
        <f>SUMIFS(M_BOM[RM_Qty_Per_Batch],M_BOM[Intermediate],$B728,M_BOM[Part Name],$A669)</f>
        <v/>
      </c>
      <c r="D729">
        <f>$C729*D728</f>
        <v/>
      </c>
      <c r="E729">
        <f>$C729*E728</f>
        <v/>
      </c>
      <c r="F729">
        <f>$C729*F728</f>
        <v/>
      </c>
      <c r="G729">
        <f>$C729*G728</f>
        <v/>
      </c>
      <c r="H729">
        <f>$C729*H728</f>
        <v/>
      </c>
      <c r="I729">
        <f>$C729*I728</f>
        <v/>
      </c>
      <c r="J729">
        <f>$C729*J728</f>
        <v/>
      </c>
      <c r="K729">
        <f>$C729*K728</f>
        <v/>
      </c>
      <c r="L729">
        <f>$C729*L728</f>
        <v/>
      </c>
      <c r="M729">
        <f>$C729*M728</f>
        <v/>
      </c>
      <c r="N729">
        <f>$C729*N728</f>
        <v/>
      </c>
      <c r="O729">
        <f>$C729*O728</f>
        <v/>
      </c>
      <c r="P729">
        <f>$C729*P728</f>
        <v/>
      </c>
      <c r="Q729">
        <f>$C729*Q728</f>
        <v/>
      </c>
      <c r="R729">
        <f>$C729*R728</f>
        <v/>
      </c>
      <c r="S729">
        <f>$C729*S728</f>
        <v/>
      </c>
      <c r="T729">
        <f>$C729*T728</f>
        <v/>
      </c>
      <c r="U729">
        <f>$C729*U728</f>
        <v/>
      </c>
      <c r="V729">
        <f>$C729*V728</f>
        <v/>
      </c>
      <c r="W729">
        <f>$C729*W728</f>
        <v/>
      </c>
      <c r="X729">
        <f>$C729*X728</f>
        <v/>
      </c>
      <c r="Y729">
        <f>$C729*Y728</f>
        <v/>
      </c>
      <c r="Z729">
        <f>$C729*Z728</f>
        <v/>
      </c>
      <c r="AA729">
        <f>$C729*AA728</f>
        <v/>
      </c>
      <c r="AB729">
        <f>$C729*AB728</f>
        <v/>
      </c>
      <c r="AC729">
        <f>$C729*AC728</f>
        <v/>
      </c>
      <c r="AD729">
        <f>$C729*AD728</f>
        <v/>
      </c>
      <c r="AE729">
        <f>$C729*AE728</f>
        <v/>
      </c>
      <c r="AF729">
        <f>$C729*AF728</f>
        <v/>
      </c>
      <c r="AG729">
        <f>$C729*AG728</f>
        <v/>
      </c>
      <c r="AH729">
        <f>$C729*AH728</f>
        <v/>
      </c>
      <c r="AI729">
        <f>$C729*AI728</f>
        <v/>
      </c>
      <c r="AJ729">
        <f>$C729*AJ728</f>
        <v/>
      </c>
      <c r="AK729">
        <f>$C729*AK728</f>
        <v/>
      </c>
      <c r="AL729">
        <f>$C729*AL728</f>
        <v/>
      </c>
      <c r="AM729">
        <f>$C729*AM728</f>
        <v/>
      </c>
      <c r="AN729">
        <f>$C729*AN728</f>
        <v/>
      </c>
      <c r="AO729">
        <f>$C729*AO728</f>
        <v/>
      </c>
      <c r="AP729">
        <f>$C729*AP728</f>
        <v/>
      </c>
      <c r="AQ729">
        <f>$C729*AQ728</f>
        <v/>
      </c>
      <c r="AR729">
        <f>$C729*AR728</f>
        <v/>
      </c>
      <c r="AS729">
        <f>$C729*AS728</f>
        <v/>
      </c>
      <c r="AT729">
        <f>$C729*AT728</f>
        <v/>
      </c>
      <c r="AU729">
        <f>$C729*AU728</f>
        <v/>
      </c>
      <c r="AV729">
        <f>$C729*AV728</f>
        <v/>
      </c>
      <c r="AW729">
        <f>$C729*AW728</f>
        <v/>
      </c>
      <c r="AX729">
        <f>$C729*AX728</f>
        <v/>
      </c>
      <c r="AY729">
        <f>$C729*AY728</f>
        <v/>
      </c>
      <c r="AZ729">
        <f>$C729*AZ728</f>
        <v/>
      </c>
      <c r="BA729">
        <f>$C729*BA728</f>
        <v/>
      </c>
      <c r="BB729">
        <f>$C729*BB728</f>
        <v/>
      </c>
      <c r="BC729">
        <f>$C729*BC728</f>
        <v/>
      </c>
      <c r="BD729">
        <f>$C729*BD728</f>
        <v/>
      </c>
      <c r="BE729">
        <f>$C729*BE728</f>
        <v/>
      </c>
      <c r="BF729">
        <f>$C729*BF728</f>
        <v/>
      </c>
      <c r="BG729">
        <f>$C729*BG728</f>
        <v/>
      </c>
      <c r="BH729">
        <f>$C729*BH728</f>
        <v/>
      </c>
      <c r="BI729">
        <f>$C729*BI728</f>
        <v/>
      </c>
      <c r="BJ729">
        <f>$C729*BJ728</f>
        <v/>
      </c>
      <c r="BK729">
        <f>$C729*BK728</f>
        <v/>
      </c>
      <c r="BL729">
        <f>$C729*BL728</f>
        <v/>
      </c>
      <c r="BM729">
        <f>$C729*BM728</f>
        <v/>
      </c>
      <c r="BN729">
        <f>$C729*BN728</f>
        <v/>
      </c>
      <c r="BO729">
        <f>$C729*BO728</f>
        <v/>
      </c>
      <c r="BP729">
        <f>$C729*BP728</f>
        <v/>
      </c>
      <c r="BQ729">
        <f>$C729*BQ728</f>
        <v/>
      </c>
      <c r="BR729">
        <f>$C729*BR728</f>
        <v/>
      </c>
      <c r="BS729">
        <f>$C729*BS728</f>
        <v/>
      </c>
      <c r="BT729">
        <f>$C729*BT728</f>
        <v/>
      </c>
      <c r="BU729">
        <f>$C729*BU728</f>
        <v/>
      </c>
      <c r="BV729">
        <f>$C729*BV728</f>
        <v/>
      </c>
      <c r="BW729">
        <f>$C729*BW728</f>
        <v/>
      </c>
      <c r="BX729">
        <f>$C729*BX728</f>
        <v/>
      </c>
      <c r="BY729">
        <f>$C729*BY728</f>
        <v/>
      </c>
      <c r="BZ729">
        <f>$C729*BZ728</f>
        <v/>
      </c>
      <c r="CA729">
        <f>$C729*CA728</f>
        <v/>
      </c>
      <c r="CB729">
        <f>$C729*CB728</f>
        <v/>
      </c>
      <c r="CC729">
        <f>$C729*CC728</f>
        <v/>
      </c>
      <c r="CD729">
        <f>$C729*CD728</f>
        <v/>
      </c>
      <c r="CE729">
        <f>$C729*CE728</f>
        <v/>
      </c>
      <c r="CF729">
        <f>$C729*CF728</f>
        <v/>
      </c>
      <c r="CG729">
        <f>$C729*CG728</f>
        <v/>
      </c>
      <c r="CH729">
        <f>$C729*CH728</f>
        <v/>
      </c>
      <c r="CI729">
        <f>$C729*CI728</f>
        <v/>
      </c>
      <c r="CJ729">
        <f>$C729*CJ728</f>
        <v/>
      </c>
      <c r="CK729">
        <f>$C729*CK728</f>
        <v/>
      </c>
      <c r="CL729">
        <f>$C729*CL728</f>
        <v/>
      </c>
      <c r="CM729">
        <f>$C729*CM728</f>
        <v/>
      </c>
      <c r="CN729">
        <f>$C729*CN728</f>
        <v/>
      </c>
      <c r="CO729">
        <f>$C729*CO728</f>
        <v/>
      </c>
      <c r="CP729">
        <f>$C729*CP728</f>
        <v/>
      </c>
      <c r="CQ729">
        <f>$C729*CQ728</f>
        <v/>
      </c>
      <c r="CR729">
        <f>$C729*CR728</f>
        <v/>
      </c>
      <c r="CS729">
        <f>$C729*CS728</f>
        <v/>
      </c>
      <c r="CT729">
        <f>$C729*CT728</f>
        <v/>
      </c>
      <c r="CU729">
        <f>$C729*CU728</f>
        <v/>
      </c>
      <c r="CV729">
        <f>$C729*CV728</f>
        <v/>
      </c>
      <c r="CW729">
        <f>$C729*CW728</f>
        <v/>
      </c>
      <c r="CX729">
        <f>$C729*CX728</f>
        <v/>
      </c>
      <c r="CY729">
        <f>$C729*CY728</f>
        <v/>
      </c>
      <c r="CZ729">
        <f>$C729*CZ728</f>
        <v/>
      </c>
      <c r="DA729">
        <f>$C729*DA728</f>
        <v/>
      </c>
      <c r="DB729">
        <f>$C729*DB728</f>
        <v/>
      </c>
      <c r="DC729">
        <f>$C729*DC728</f>
        <v/>
      </c>
    </row>
    <row r="730">
      <c r="B730" t="inlineStr">
        <is>
          <t>TSP-544</t>
        </is>
      </c>
      <c r="C730" t="inlineStr">
        <is>
          <t>No. of batches</t>
        </is>
      </c>
      <c r="D730">
        <f>IFERROR(INDEX(PP_Grid[#Data],$DD730,2),0)</f>
        <v/>
      </c>
      <c r="E730">
        <f>IFERROR(INDEX(PP_Grid[#Data],$DD730,3),0)</f>
        <v/>
      </c>
      <c r="F730">
        <f>IFERROR(INDEX(PP_Grid[#Data],$DD730,4),0)</f>
        <v/>
      </c>
      <c r="G730">
        <f>IFERROR(INDEX(PP_Grid[#Data],$DD730,5),0)</f>
        <v/>
      </c>
      <c r="H730">
        <f>IFERROR(INDEX(PP_Grid[#Data],$DD730,6),0)</f>
        <v/>
      </c>
      <c r="I730">
        <f>IFERROR(INDEX(PP_Grid[#Data],$DD730,7),0)</f>
        <v/>
      </c>
      <c r="J730">
        <f>IFERROR(INDEX(PP_Grid[#Data],$DD730,8),0)</f>
        <v/>
      </c>
      <c r="K730">
        <f>IFERROR(INDEX(PP_Grid[#Data],$DD730,9),0)</f>
        <v/>
      </c>
      <c r="L730">
        <f>IFERROR(INDEX(PP_Grid[#Data],$DD730,10),0)</f>
        <v/>
      </c>
      <c r="M730">
        <f>IFERROR(INDEX(PP_Grid[#Data],$DD730,11),0)</f>
        <v/>
      </c>
      <c r="N730">
        <f>IFERROR(INDEX(PP_Grid[#Data],$DD730,12),0)</f>
        <v/>
      </c>
      <c r="O730">
        <f>IFERROR(INDEX(PP_Grid[#Data],$DD730,13),0)</f>
        <v/>
      </c>
      <c r="P730">
        <f>IFERROR(INDEX(PP_Grid[#Data],$DD730,14),0)</f>
        <v/>
      </c>
      <c r="Q730">
        <f>IFERROR(INDEX(PP_Grid[#Data],$DD730,15),0)</f>
        <v/>
      </c>
      <c r="R730">
        <f>IFERROR(INDEX(PP_Grid[#Data],$DD730,16),0)</f>
        <v/>
      </c>
      <c r="S730">
        <f>IFERROR(INDEX(PP_Grid[#Data],$DD730,17),0)</f>
        <v/>
      </c>
      <c r="T730">
        <f>IFERROR(INDEX(PP_Grid[#Data],$DD730,18),0)</f>
        <v/>
      </c>
      <c r="U730">
        <f>IFERROR(INDEX(PP_Grid[#Data],$DD730,19),0)</f>
        <v/>
      </c>
      <c r="V730">
        <f>IFERROR(INDEX(PP_Grid[#Data],$DD730,20),0)</f>
        <v/>
      </c>
      <c r="W730">
        <f>IFERROR(INDEX(PP_Grid[#Data],$DD730,21),0)</f>
        <v/>
      </c>
      <c r="X730">
        <f>IFERROR(INDEX(PP_Grid[#Data],$DD730,22),0)</f>
        <v/>
      </c>
      <c r="Y730">
        <f>IFERROR(INDEX(PP_Grid[#Data],$DD730,23),0)</f>
        <v/>
      </c>
      <c r="Z730">
        <f>IFERROR(INDEX(PP_Grid[#Data],$DD730,24),0)</f>
        <v/>
      </c>
      <c r="AA730">
        <f>IFERROR(INDEX(PP_Grid[#Data],$DD730,25),0)</f>
        <v/>
      </c>
      <c r="AB730">
        <f>IFERROR(INDEX(PP_Grid[#Data],$DD730,26),0)</f>
        <v/>
      </c>
      <c r="AC730">
        <f>IFERROR(INDEX(PP_Grid[#Data],$DD730,27),0)</f>
        <v/>
      </c>
      <c r="AD730">
        <f>IFERROR(INDEX(PP_Grid[#Data],$DD730,28),0)</f>
        <v/>
      </c>
      <c r="AE730">
        <f>IFERROR(INDEX(PP_Grid[#Data],$DD730,29),0)</f>
        <v/>
      </c>
      <c r="AF730">
        <f>IFERROR(INDEX(PP_Grid[#Data],$DD730,30),0)</f>
        <v/>
      </c>
      <c r="AG730">
        <f>IFERROR(INDEX(PP_Grid[#Data],$DD730,31),0)</f>
        <v/>
      </c>
      <c r="AH730">
        <f>IFERROR(INDEX(PP_Grid[#Data],$DD730,32),0)</f>
        <v/>
      </c>
      <c r="AI730">
        <f>IFERROR(INDEX(PP_Grid[#Data],$DD730,33),0)</f>
        <v/>
      </c>
      <c r="AJ730">
        <f>IFERROR(INDEX(PP_Grid[#Data],$DD730,34),0)</f>
        <v/>
      </c>
      <c r="AK730">
        <f>IFERROR(INDEX(PP_Grid[#Data],$DD730,35),0)</f>
        <v/>
      </c>
      <c r="AL730">
        <f>IFERROR(INDEX(PP_Grid[#Data],$DD730,36),0)</f>
        <v/>
      </c>
      <c r="AM730">
        <f>IFERROR(INDEX(PP_Grid[#Data],$DD730,37),0)</f>
        <v/>
      </c>
      <c r="AN730">
        <f>IFERROR(INDEX(PP_Grid[#Data],$DD730,38),0)</f>
        <v/>
      </c>
      <c r="AO730">
        <f>IFERROR(INDEX(PP_Grid[#Data],$DD730,39),0)</f>
        <v/>
      </c>
      <c r="AP730">
        <f>IFERROR(INDEX(PP_Grid[#Data],$DD730,40),0)</f>
        <v/>
      </c>
      <c r="AQ730">
        <f>IFERROR(INDEX(PP_Grid[#Data],$DD730,41),0)</f>
        <v/>
      </c>
      <c r="AR730">
        <f>IFERROR(INDEX(PP_Grid[#Data],$DD730,42),0)</f>
        <v/>
      </c>
      <c r="AS730">
        <f>IFERROR(INDEX(PP_Grid[#Data],$DD730,43),0)</f>
        <v/>
      </c>
      <c r="AT730">
        <f>IFERROR(INDEX(PP_Grid[#Data],$DD730,44),0)</f>
        <v/>
      </c>
      <c r="AU730">
        <f>IFERROR(INDEX(PP_Grid[#Data],$DD730,45),0)</f>
        <v/>
      </c>
      <c r="AV730">
        <f>IFERROR(INDEX(PP_Grid[#Data],$DD730,46),0)</f>
        <v/>
      </c>
      <c r="AW730">
        <f>IFERROR(INDEX(PP_Grid[#Data],$DD730,47),0)</f>
        <v/>
      </c>
      <c r="AX730">
        <f>IFERROR(INDEX(PP_Grid[#Data],$DD730,48),0)</f>
        <v/>
      </c>
      <c r="AY730">
        <f>IFERROR(INDEX(PP_Grid[#Data],$DD730,49),0)</f>
        <v/>
      </c>
      <c r="AZ730">
        <f>IFERROR(INDEX(PP_Grid[#Data],$DD730,50),0)</f>
        <v/>
      </c>
      <c r="BA730">
        <f>IFERROR(INDEX(PP_Grid[#Data],$DD730,51),0)</f>
        <v/>
      </c>
      <c r="BB730">
        <f>IFERROR(INDEX(PP_Grid[#Data],$DD730,52),0)</f>
        <v/>
      </c>
      <c r="BC730">
        <f>IFERROR(INDEX(PP_Grid[#Data],$DD730,53),0)</f>
        <v/>
      </c>
      <c r="BD730">
        <f>IFERROR(INDEX(PP_Grid[#Data],$DD730,54),0)</f>
        <v/>
      </c>
      <c r="BE730">
        <f>IFERROR(INDEX(PP_Grid[#Data],$DD730,55),0)</f>
        <v/>
      </c>
      <c r="BF730">
        <f>IFERROR(INDEX(PP_Grid[#Data],$DD730,56),0)</f>
        <v/>
      </c>
      <c r="BG730">
        <f>IFERROR(INDEX(PP_Grid[#Data],$DD730,57),0)</f>
        <v/>
      </c>
      <c r="BH730">
        <f>IFERROR(INDEX(PP_Grid[#Data],$DD730,58),0)</f>
        <v/>
      </c>
      <c r="BI730">
        <f>IFERROR(INDEX(PP_Grid[#Data],$DD730,59),0)</f>
        <v/>
      </c>
      <c r="BJ730">
        <f>IFERROR(INDEX(PP_Grid[#Data],$DD730,60),0)</f>
        <v/>
      </c>
      <c r="BK730">
        <f>IFERROR(INDEX(PP_Grid[#Data],$DD730,61),0)</f>
        <v/>
      </c>
      <c r="BL730">
        <f>IFERROR(INDEX(PP_Grid[#Data],$DD730,62),0)</f>
        <v/>
      </c>
      <c r="BM730">
        <f>IFERROR(INDEX(PP_Grid[#Data],$DD730,63),0)</f>
        <v/>
      </c>
      <c r="BN730">
        <f>IFERROR(INDEX(PP_Grid[#Data],$DD730,64),0)</f>
        <v/>
      </c>
      <c r="BO730">
        <f>IFERROR(INDEX(PP_Grid[#Data],$DD730,65),0)</f>
        <v/>
      </c>
      <c r="BP730">
        <f>IFERROR(INDEX(PP_Grid[#Data],$DD730,66),0)</f>
        <v/>
      </c>
      <c r="BQ730">
        <f>IFERROR(INDEX(PP_Grid[#Data],$DD730,67),0)</f>
        <v/>
      </c>
      <c r="BR730">
        <f>IFERROR(INDEX(PP_Grid[#Data],$DD730,68),0)</f>
        <v/>
      </c>
      <c r="BS730">
        <f>IFERROR(INDEX(PP_Grid[#Data],$DD730,69),0)</f>
        <v/>
      </c>
      <c r="BT730">
        <f>IFERROR(INDEX(PP_Grid[#Data],$DD730,70),0)</f>
        <v/>
      </c>
      <c r="BU730">
        <f>IFERROR(INDEX(PP_Grid[#Data],$DD730,71),0)</f>
        <v/>
      </c>
      <c r="BV730">
        <f>IFERROR(INDEX(PP_Grid[#Data],$DD730,72),0)</f>
        <v/>
      </c>
      <c r="BW730">
        <f>IFERROR(INDEX(PP_Grid[#Data],$DD730,73),0)</f>
        <v/>
      </c>
      <c r="BX730">
        <f>IFERROR(INDEX(PP_Grid[#Data],$DD730,74),0)</f>
        <v/>
      </c>
      <c r="BY730">
        <f>IFERROR(INDEX(PP_Grid[#Data],$DD730,75),0)</f>
        <v/>
      </c>
      <c r="BZ730">
        <f>IFERROR(INDEX(PP_Grid[#Data],$DD730,76),0)</f>
        <v/>
      </c>
      <c r="CA730">
        <f>IFERROR(INDEX(PP_Grid[#Data],$DD730,77),0)</f>
        <v/>
      </c>
      <c r="CB730">
        <f>IFERROR(INDEX(PP_Grid[#Data],$DD730,78),0)</f>
        <v/>
      </c>
      <c r="CC730">
        <f>IFERROR(INDEX(PP_Grid[#Data],$DD730,79),0)</f>
        <v/>
      </c>
      <c r="CD730">
        <f>IFERROR(INDEX(PP_Grid[#Data],$DD730,80),0)</f>
        <v/>
      </c>
      <c r="CE730">
        <f>IFERROR(INDEX(PP_Grid[#Data],$DD730,81),0)</f>
        <v/>
      </c>
      <c r="CF730">
        <f>IFERROR(INDEX(PP_Grid[#Data],$DD730,82),0)</f>
        <v/>
      </c>
      <c r="CG730">
        <f>IFERROR(INDEX(PP_Grid[#Data],$DD730,83),0)</f>
        <v/>
      </c>
      <c r="CH730">
        <f>IFERROR(INDEX(PP_Grid[#Data],$DD730,84),0)</f>
        <v/>
      </c>
      <c r="CI730">
        <f>IFERROR(INDEX(PP_Grid[#Data],$DD730,85),0)</f>
        <v/>
      </c>
      <c r="CJ730">
        <f>IFERROR(INDEX(PP_Grid[#Data],$DD730,86),0)</f>
        <v/>
      </c>
      <c r="CK730">
        <f>IFERROR(INDEX(PP_Grid[#Data],$DD730,87),0)</f>
        <v/>
      </c>
      <c r="CL730">
        <f>IFERROR(INDEX(PP_Grid[#Data],$DD730,88),0)</f>
        <v/>
      </c>
      <c r="CM730">
        <f>IFERROR(INDEX(PP_Grid[#Data],$DD730,89),0)</f>
        <v/>
      </c>
      <c r="CN730">
        <f>IFERROR(INDEX(PP_Grid[#Data],$DD730,90),0)</f>
        <v/>
      </c>
      <c r="CO730">
        <f>IFERROR(INDEX(PP_Grid[#Data],$DD730,91),0)</f>
        <v/>
      </c>
      <c r="CP730">
        <f>IFERROR(INDEX(PP_Grid[#Data],$DD730,92),0)</f>
        <v/>
      </c>
      <c r="CQ730">
        <f>IFERROR(INDEX(PP_Grid[#Data],$DD730,93),0)</f>
        <v/>
      </c>
      <c r="CR730">
        <f>IFERROR(INDEX(PP_Grid[#Data],$DD730,94),0)</f>
        <v/>
      </c>
      <c r="CS730">
        <f>IFERROR(INDEX(PP_Grid[#Data],$DD730,95),0)</f>
        <v/>
      </c>
      <c r="CT730">
        <f>IFERROR(INDEX(PP_Grid[#Data],$DD730,96),0)</f>
        <v/>
      </c>
      <c r="CU730">
        <f>IFERROR(INDEX(PP_Grid[#Data],$DD730,97),0)</f>
        <v/>
      </c>
      <c r="CV730">
        <f>IFERROR(INDEX(PP_Grid[#Data],$DD730,98),0)</f>
        <v/>
      </c>
      <c r="CW730">
        <f>IFERROR(INDEX(PP_Grid[#Data],$DD730,99),0)</f>
        <v/>
      </c>
      <c r="CX730">
        <f>IFERROR(INDEX(PP_Grid[#Data],$DD730,100),0)</f>
        <v/>
      </c>
      <c r="CY730">
        <f>IFERROR(INDEX(PP_Grid[#Data],$DD730,101),0)</f>
        <v/>
      </c>
      <c r="CZ730">
        <f>IFERROR(INDEX(PP_Grid[#Data],$DD730,102),0)</f>
        <v/>
      </c>
      <c r="DA730">
        <f>IFERROR(INDEX(PP_Grid[#Data],$DD730,103),0)</f>
        <v/>
      </c>
      <c r="DB730">
        <f>IFERROR(INDEX(PP_Grid[#Data],$DD730,104),0)</f>
        <v/>
      </c>
      <c r="DC730">
        <f>IFERROR(INDEX(PP_Grid[#Data],$DD730,105),0)</f>
        <v/>
      </c>
      <c r="DD730" s="12">
        <f>IFERROR(MATCH($B730,PP_Grid[Intermediate],0),99999)</f>
        <v/>
      </c>
    </row>
    <row r="731">
      <c r="B731" t="inlineStr">
        <is>
          <t>使用量(kg)</t>
        </is>
      </c>
      <c r="C731">
        <f>SUMIFS(M_BOM[RM_Qty_Per_Batch],M_BOM[Intermediate],$B730,M_BOM[Part Name],$A669)</f>
        <v/>
      </c>
      <c r="D731">
        <f>$C731*D730</f>
        <v/>
      </c>
      <c r="E731">
        <f>$C731*E730</f>
        <v/>
      </c>
      <c r="F731">
        <f>$C731*F730</f>
        <v/>
      </c>
      <c r="G731">
        <f>$C731*G730</f>
        <v/>
      </c>
      <c r="H731">
        <f>$C731*H730</f>
        <v/>
      </c>
      <c r="I731">
        <f>$C731*I730</f>
        <v/>
      </c>
      <c r="J731">
        <f>$C731*J730</f>
        <v/>
      </c>
      <c r="K731">
        <f>$C731*K730</f>
        <v/>
      </c>
      <c r="L731">
        <f>$C731*L730</f>
        <v/>
      </c>
      <c r="M731">
        <f>$C731*M730</f>
        <v/>
      </c>
      <c r="N731">
        <f>$C731*N730</f>
        <v/>
      </c>
      <c r="O731">
        <f>$C731*O730</f>
        <v/>
      </c>
      <c r="P731">
        <f>$C731*P730</f>
        <v/>
      </c>
      <c r="Q731">
        <f>$C731*Q730</f>
        <v/>
      </c>
      <c r="R731">
        <f>$C731*R730</f>
        <v/>
      </c>
      <c r="S731">
        <f>$C731*S730</f>
        <v/>
      </c>
      <c r="T731">
        <f>$C731*T730</f>
        <v/>
      </c>
      <c r="U731">
        <f>$C731*U730</f>
        <v/>
      </c>
      <c r="V731">
        <f>$C731*V730</f>
        <v/>
      </c>
      <c r="W731">
        <f>$C731*W730</f>
        <v/>
      </c>
      <c r="X731">
        <f>$C731*X730</f>
        <v/>
      </c>
      <c r="Y731">
        <f>$C731*Y730</f>
        <v/>
      </c>
      <c r="Z731">
        <f>$C731*Z730</f>
        <v/>
      </c>
      <c r="AA731">
        <f>$C731*AA730</f>
        <v/>
      </c>
      <c r="AB731">
        <f>$C731*AB730</f>
        <v/>
      </c>
      <c r="AC731">
        <f>$C731*AC730</f>
        <v/>
      </c>
      <c r="AD731">
        <f>$C731*AD730</f>
        <v/>
      </c>
      <c r="AE731">
        <f>$C731*AE730</f>
        <v/>
      </c>
      <c r="AF731">
        <f>$C731*AF730</f>
        <v/>
      </c>
      <c r="AG731">
        <f>$C731*AG730</f>
        <v/>
      </c>
      <c r="AH731">
        <f>$C731*AH730</f>
        <v/>
      </c>
      <c r="AI731">
        <f>$C731*AI730</f>
        <v/>
      </c>
      <c r="AJ731">
        <f>$C731*AJ730</f>
        <v/>
      </c>
      <c r="AK731">
        <f>$C731*AK730</f>
        <v/>
      </c>
      <c r="AL731">
        <f>$C731*AL730</f>
        <v/>
      </c>
      <c r="AM731">
        <f>$C731*AM730</f>
        <v/>
      </c>
      <c r="AN731">
        <f>$C731*AN730</f>
        <v/>
      </c>
      <c r="AO731">
        <f>$C731*AO730</f>
        <v/>
      </c>
      <c r="AP731">
        <f>$C731*AP730</f>
        <v/>
      </c>
      <c r="AQ731">
        <f>$C731*AQ730</f>
        <v/>
      </c>
      <c r="AR731">
        <f>$C731*AR730</f>
        <v/>
      </c>
      <c r="AS731">
        <f>$C731*AS730</f>
        <v/>
      </c>
      <c r="AT731">
        <f>$C731*AT730</f>
        <v/>
      </c>
      <c r="AU731">
        <f>$C731*AU730</f>
        <v/>
      </c>
      <c r="AV731">
        <f>$C731*AV730</f>
        <v/>
      </c>
      <c r="AW731">
        <f>$C731*AW730</f>
        <v/>
      </c>
      <c r="AX731">
        <f>$C731*AX730</f>
        <v/>
      </c>
      <c r="AY731">
        <f>$C731*AY730</f>
        <v/>
      </c>
      <c r="AZ731">
        <f>$C731*AZ730</f>
        <v/>
      </c>
      <c r="BA731">
        <f>$C731*BA730</f>
        <v/>
      </c>
      <c r="BB731">
        <f>$C731*BB730</f>
        <v/>
      </c>
      <c r="BC731">
        <f>$C731*BC730</f>
        <v/>
      </c>
      <c r="BD731">
        <f>$C731*BD730</f>
        <v/>
      </c>
      <c r="BE731">
        <f>$C731*BE730</f>
        <v/>
      </c>
      <c r="BF731">
        <f>$C731*BF730</f>
        <v/>
      </c>
      <c r="BG731">
        <f>$C731*BG730</f>
        <v/>
      </c>
      <c r="BH731">
        <f>$C731*BH730</f>
        <v/>
      </c>
      <c r="BI731">
        <f>$C731*BI730</f>
        <v/>
      </c>
      <c r="BJ731">
        <f>$C731*BJ730</f>
        <v/>
      </c>
      <c r="BK731">
        <f>$C731*BK730</f>
        <v/>
      </c>
      <c r="BL731">
        <f>$C731*BL730</f>
        <v/>
      </c>
      <c r="BM731">
        <f>$C731*BM730</f>
        <v/>
      </c>
      <c r="BN731">
        <f>$C731*BN730</f>
        <v/>
      </c>
      <c r="BO731">
        <f>$C731*BO730</f>
        <v/>
      </c>
      <c r="BP731">
        <f>$C731*BP730</f>
        <v/>
      </c>
      <c r="BQ731">
        <f>$C731*BQ730</f>
        <v/>
      </c>
      <c r="BR731">
        <f>$C731*BR730</f>
        <v/>
      </c>
      <c r="BS731">
        <f>$C731*BS730</f>
        <v/>
      </c>
      <c r="BT731">
        <f>$C731*BT730</f>
        <v/>
      </c>
      <c r="BU731">
        <f>$C731*BU730</f>
        <v/>
      </c>
      <c r="BV731">
        <f>$C731*BV730</f>
        <v/>
      </c>
      <c r="BW731">
        <f>$C731*BW730</f>
        <v/>
      </c>
      <c r="BX731">
        <f>$C731*BX730</f>
        <v/>
      </c>
      <c r="BY731">
        <f>$C731*BY730</f>
        <v/>
      </c>
      <c r="BZ731">
        <f>$C731*BZ730</f>
        <v/>
      </c>
      <c r="CA731">
        <f>$C731*CA730</f>
        <v/>
      </c>
      <c r="CB731">
        <f>$C731*CB730</f>
        <v/>
      </c>
      <c r="CC731">
        <f>$C731*CC730</f>
        <v/>
      </c>
      <c r="CD731">
        <f>$C731*CD730</f>
        <v/>
      </c>
      <c r="CE731">
        <f>$C731*CE730</f>
        <v/>
      </c>
      <c r="CF731">
        <f>$C731*CF730</f>
        <v/>
      </c>
      <c r="CG731">
        <f>$C731*CG730</f>
        <v/>
      </c>
      <c r="CH731">
        <f>$C731*CH730</f>
        <v/>
      </c>
      <c r="CI731">
        <f>$C731*CI730</f>
        <v/>
      </c>
      <c r="CJ731">
        <f>$C731*CJ730</f>
        <v/>
      </c>
      <c r="CK731">
        <f>$C731*CK730</f>
        <v/>
      </c>
      <c r="CL731">
        <f>$C731*CL730</f>
        <v/>
      </c>
      <c r="CM731">
        <f>$C731*CM730</f>
        <v/>
      </c>
      <c r="CN731">
        <f>$C731*CN730</f>
        <v/>
      </c>
      <c r="CO731">
        <f>$C731*CO730</f>
        <v/>
      </c>
      <c r="CP731">
        <f>$C731*CP730</f>
        <v/>
      </c>
      <c r="CQ731">
        <f>$C731*CQ730</f>
        <v/>
      </c>
      <c r="CR731">
        <f>$C731*CR730</f>
        <v/>
      </c>
      <c r="CS731">
        <f>$C731*CS730</f>
        <v/>
      </c>
      <c r="CT731">
        <f>$C731*CT730</f>
        <v/>
      </c>
      <c r="CU731">
        <f>$C731*CU730</f>
        <v/>
      </c>
      <c r="CV731">
        <f>$C731*CV730</f>
        <v/>
      </c>
      <c r="CW731">
        <f>$C731*CW730</f>
        <v/>
      </c>
      <c r="CX731">
        <f>$C731*CX730</f>
        <v/>
      </c>
      <c r="CY731">
        <f>$C731*CY730</f>
        <v/>
      </c>
      <c r="CZ731">
        <f>$C731*CZ730</f>
        <v/>
      </c>
      <c r="DA731">
        <f>$C731*DA730</f>
        <v/>
      </c>
      <c r="DB731">
        <f>$C731*DB730</f>
        <v/>
      </c>
      <c r="DC731">
        <f>$C731*DC730</f>
        <v/>
      </c>
    </row>
    <row r="732">
      <c r="B732" t="inlineStr">
        <is>
          <t>TSP-558</t>
        </is>
      </c>
      <c r="C732" t="inlineStr">
        <is>
          <t>No. of batches</t>
        </is>
      </c>
      <c r="D732">
        <f>IFERROR(INDEX(PP_Grid[#Data],$DD732,2),0)</f>
        <v/>
      </c>
      <c r="E732">
        <f>IFERROR(INDEX(PP_Grid[#Data],$DD732,3),0)</f>
        <v/>
      </c>
      <c r="F732">
        <f>IFERROR(INDEX(PP_Grid[#Data],$DD732,4),0)</f>
        <v/>
      </c>
      <c r="G732">
        <f>IFERROR(INDEX(PP_Grid[#Data],$DD732,5),0)</f>
        <v/>
      </c>
      <c r="H732">
        <f>IFERROR(INDEX(PP_Grid[#Data],$DD732,6),0)</f>
        <v/>
      </c>
      <c r="I732">
        <f>IFERROR(INDEX(PP_Grid[#Data],$DD732,7),0)</f>
        <v/>
      </c>
      <c r="J732">
        <f>IFERROR(INDEX(PP_Grid[#Data],$DD732,8),0)</f>
        <v/>
      </c>
      <c r="K732">
        <f>IFERROR(INDEX(PP_Grid[#Data],$DD732,9),0)</f>
        <v/>
      </c>
      <c r="L732">
        <f>IFERROR(INDEX(PP_Grid[#Data],$DD732,10),0)</f>
        <v/>
      </c>
      <c r="M732">
        <f>IFERROR(INDEX(PP_Grid[#Data],$DD732,11),0)</f>
        <v/>
      </c>
      <c r="N732">
        <f>IFERROR(INDEX(PP_Grid[#Data],$DD732,12),0)</f>
        <v/>
      </c>
      <c r="O732">
        <f>IFERROR(INDEX(PP_Grid[#Data],$DD732,13),0)</f>
        <v/>
      </c>
      <c r="P732">
        <f>IFERROR(INDEX(PP_Grid[#Data],$DD732,14),0)</f>
        <v/>
      </c>
      <c r="Q732">
        <f>IFERROR(INDEX(PP_Grid[#Data],$DD732,15),0)</f>
        <v/>
      </c>
      <c r="R732">
        <f>IFERROR(INDEX(PP_Grid[#Data],$DD732,16),0)</f>
        <v/>
      </c>
      <c r="S732">
        <f>IFERROR(INDEX(PP_Grid[#Data],$DD732,17),0)</f>
        <v/>
      </c>
      <c r="T732">
        <f>IFERROR(INDEX(PP_Grid[#Data],$DD732,18),0)</f>
        <v/>
      </c>
      <c r="U732">
        <f>IFERROR(INDEX(PP_Grid[#Data],$DD732,19),0)</f>
        <v/>
      </c>
      <c r="V732">
        <f>IFERROR(INDEX(PP_Grid[#Data],$DD732,20),0)</f>
        <v/>
      </c>
      <c r="W732">
        <f>IFERROR(INDEX(PP_Grid[#Data],$DD732,21),0)</f>
        <v/>
      </c>
      <c r="X732">
        <f>IFERROR(INDEX(PP_Grid[#Data],$DD732,22),0)</f>
        <v/>
      </c>
      <c r="Y732">
        <f>IFERROR(INDEX(PP_Grid[#Data],$DD732,23),0)</f>
        <v/>
      </c>
      <c r="Z732">
        <f>IFERROR(INDEX(PP_Grid[#Data],$DD732,24),0)</f>
        <v/>
      </c>
      <c r="AA732">
        <f>IFERROR(INDEX(PP_Grid[#Data],$DD732,25),0)</f>
        <v/>
      </c>
      <c r="AB732">
        <f>IFERROR(INDEX(PP_Grid[#Data],$DD732,26),0)</f>
        <v/>
      </c>
      <c r="AC732">
        <f>IFERROR(INDEX(PP_Grid[#Data],$DD732,27),0)</f>
        <v/>
      </c>
      <c r="AD732">
        <f>IFERROR(INDEX(PP_Grid[#Data],$DD732,28),0)</f>
        <v/>
      </c>
      <c r="AE732">
        <f>IFERROR(INDEX(PP_Grid[#Data],$DD732,29),0)</f>
        <v/>
      </c>
      <c r="AF732">
        <f>IFERROR(INDEX(PP_Grid[#Data],$DD732,30),0)</f>
        <v/>
      </c>
      <c r="AG732">
        <f>IFERROR(INDEX(PP_Grid[#Data],$DD732,31),0)</f>
        <v/>
      </c>
      <c r="AH732">
        <f>IFERROR(INDEX(PP_Grid[#Data],$DD732,32),0)</f>
        <v/>
      </c>
      <c r="AI732">
        <f>IFERROR(INDEX(PP_Grid[#Data],$DD732,33),0)</f>
        <v/>
      </c>
      <c r="AJ732">
        <f>IFERROR(INDEX(PP_Grid[#Data],$DD732,34),0)</f>
        <v/>
      </c>
      <c r="AK732">
        <f>IFERROR(INDEX(PP_Grid[#Data],$DD732,35),0)</f>
        <v/>
      </c>
      <c r="AL732">
        <f>IFERROR(INDEX(PP_Grid[#Data],$DD732,36),0)</f>
        <v/>
      </c>
      <c r="AM732">
        <f>IFERROR(INDEX(PP_Grid[#Data],$DD732,37),0)</f>
        <v/>
      </c>
      <c r="AN732">
        <f>IFERROR(INDEX(PP_Grid[#Data],$DD732,38),0)</f>
        <v/>
      </c>
      <c r="AO732">
        <f>IFERROR(INDEX(PP_Grid[#Data],$DD732,39),0)</f>
        <v/>
      </c>
      <c r="AP732">
        <f>IFERROR(INDEX(PP_Grid[#Data],$DD732,40),0)</f>
        <v/>
      </c>
      <c r="AQ732">
        <f>IFERROR(INDEX(PP_Grid[#Data],$DD732,41),0)</f>
        <v/>
      </c>
      <c r="AR732">
        <f>IFERROR(INDEX(PP_Grid[#Data],$DD732,42),0)</f>
        <v/>
      </c>
      <c r="AS732">
        <f>IFERROR(INDEX(PP_Grid[#Data],$DD732,43),0)</f>
        <v/>
      </c>
      <c r="AT732">
        <f>IFERROR(INDEX(PP_Grid[#Data],$DD732,44),0)</f>
        <v/>
      </c>
      <c r="AU732">
        <f>IFERROR(INDEX(PP_Grid[#Data],$DD732,45),0)</f>
        <v/>
      </c>
      <c r="AV732">
        <f>IFERROR(INDEX(PP_Grid[#Data],$DD732,46),0)</f>
        <v/>
      </c>
      <c r="AW732">
        <f>IFERROR(INDEX(PP_Grid[#Data],$DD732,47),0)</f>
        <v/>
      </c>
      <c r="AX732">
        <f>IFERROR(INDEX(PP_Grid[#Data],$DD732,48),0)</f>
        <v/>
      </c>
      <c r="AY732">
        <f>IFERROR(INDEX(PP_Grid[#Data],$DD732,49),0)</f>
        <v/>
      </c>
      <c r="AZ732">
        <f>IFERROR(INDEX(PP_Grid[#Data],$DD732,50),0)</f>
        <v/>
      </c>
      <c r="BA732">
        <f>IFERROR(INDEX(PP_Grid[#Data],$DD732,51),0)</f>
        <v/>
      </c>
      <c r="BB732">
        <f>IFERROR(INDEX(PP_Grid[#Data],$DD732,52),0)</f>
        <v/>
      </c>
      <c r="BC732">
        <f>IFERROR(INDEX(PP_Grid[#Data],$DD732,53),0)</f>
        <v/>
      </c>
      <c r="BD732">
        <f>IFERROR(INDEX(PP_Grid[#Data],$DD732,54),0)</f>
        <v/>
      </c>
      <c r="BE732">
        <f>IFERROR(INDEX(PP_Grid[#Data],$DD732,55),0)</f>
        <v/>
      </c>
      <c r="BF732">
        <f>IFERROR(INDEX(PP_Grid[#Data],$DD732,56),0)</f>
        <v/>
      </c>
      <c r="BG732">
        <f>IFERROR(INDEX(PP_Grid[#Data],$DD732,57),0)</f>
        <v/>
      </c>
      <c r="BH732">
        <f>IFERROR(INDEX(PP_Grid[#Data],$DD732,58),0)</f>
        <v/>
      </c>
      <c r="BI732">
        <f>IFERROR(INDEX(PP_Grid[#Data],$DD732,59),0)</f>
        <v/>
      </c>
      <c r="BJ732">
        <f>IFERROR(INDEX(PP_Grid[#Data],$DD732,60),0)</f>
        <v/>
      </c>
      <c r="BK732">
        <f>IFERROR(INDEX(PP_Grid[#Data],$DD732,61),0)</f>
        <v/>
      </c>
      <c r="BL732">
        <f>IFERROR(INDEX(PP_Grid[#Data],$DD732,62),0)</f>
        <v/>
      </c>
      <c r="BM732">
        <f>IFERROR(INDEX(PP_Grid[#Data],$DD732,63),0)</f>
        <v/>
      </c>
      <c r="BN732">
        <f>IFERROR(INDEX(PP_Grid[#Data],$DD732,64),0)</f>
        <v/>
      </c>
      <c r="BO732">
        <f>IFERROR(INDEX(PP_Grid[#Data],$DD732,65),0)</f>
        <v/>
      </c>
      <c r="BP732">
        <f>IFERROR(INDEX(PP_Grid[#Data],$DD732,66),0)</f>
        <v/>
      </c>
      <c r="BQ732">
        <f>IFERROR(INDEX(PP_Grid[#Data],$DD732,67),0)</f>
        <v/>
      </c>
      <c r="BR732">
        <f>IFERROR(INDEX(PP_Grid[#Data],$DD732,68),0)</f>
        <v/>
      </c>
      <c r="BS732">
        <f>IFERROR(INDEX(PP_Grid[#Data],$DD732,69),0)</f>
        <v/>
      </c>
      <c r="BT732">
        <f>IFERROR(INDEX(PP_Grid[#Data],$DD732,70),0)</f>
        <v/>
      </c>
      <c r="BU732">
        <f>IFERROR(INDEX(PP_Grid[#Data],$DD732,71),0)</f>
        <v/>
      </c>
      <c r="BV732">
        <f>IFERROR(INDEX(PP_Grid[#Data],$DD732,72),0)</f>
        <v/>
      </c>
      <c r="BW732">
        <f>IFERROR(INDEX(PP_Grid[#Data],$DD732,73),0)</f>
        <v/>
      </c>
      <c r="BX732">
        <f>IFERROR(INDEX(PP_Grid[#Data],$DD732,74),0)</f>
        <v/>
      </c>
      <c r="BY732">
        <f>IFERROR(INDEX(PP_Grid[#Data],$DD732,75),0)</f>
        <v/>
      </c>
      <c r="BZ732">
        <f>IFERROR(INDEX(PP_Grid[#Data],$DD732,76),0)</f>
        <v/>
      </c>
      <c r="CA732">
        <f>IFERROR(INDEX(PP_Grid[#Data],$DD732,77),0)</f>
        <v/>
      </c>
      <c r="CB732">
        <f>IFERROR(INDEX(PP_Grid[#Data],$DD732,78),0)</f>
        <v/>
      </c>
      <c r="CC732">
        <f>IFERROR(INDEX(PP_Grid[#Data],$DD732,79),0)</f>
        <v/>
      </c>
      <c r="CD732">
        <f>IFERROR(INDEX(PP_Grid[#Data],$DD732,80),0)</f>
        <v/>
      </c>
      <c r="CE732">
        <f>IFERROR(INDEX(PP_Grid[#Data],$DD732,81),0)</f>
        <v/>
      </c>
      <c r="CF732">
        <f>IFERROR(INDEX(PP_Grid[#Data],$DD732,82),0)</f>
        <v/>
      </c>
      <c r="CG732">
        <f>IFERROR(INDEX(PP_Grid[#Data],$DD732,83),0)</f>
        <v/>
      </c>
      <c r="CH732">
        <f>IFERROR(INDEX(PP_Grid[#Data],$DD732,84),0)</f>
        <v/>
      </c>
      <c r="CI732">
        <f>IFERROR(INDEX(PP_Grid[#Data],$DD732,85),0)</f>
        <v/>
      </c>
      <c r="CJ732">
        <f>IFERROR(INDEX(PP_Grid[#Data],$DD732,86),0)</f>
        <v/>
      </c>
      <c r="CK732">
        <f>IFERROR(INDEX(PP_Grid[#Data],$DD732,87),0)</f>
        <v/>
      </c>
      <c r="CL732">
        <f>IFERROR(INDEX(PP_Grid[#Data],$DD732,88),0)</f>
        <v/>
      </c>
      <c r="CM732">
        <f>IFERROR(INDEX(PP_Grid[#Data],$DD732,89),0)</f>
        <v/>
      </c>
      <c r="CN732">
        <f>IFERROR(INDEX(PP_Grid[#Data],$DD732,90),0)</f>
        <v/>
      </c>
      <c r="CO732">
        <f>IFERROR(INDEX(PP_Grid[#Data],$DD732,91),0)</f>
        <v/>
      </c>
      <c r="CP732">
        <f>IFERROR(INDEX(PP_Grid[#Data],$DD732,92),0)</f>
        <v/>
      </c>
      <c r="CQ732">
        <f>IFERROR(INDEX(PP_Grid[#Data],$DD732,93),0)</f>
        <v/>
      </c>
      <c r="CR732">
        <f>IFERROR(INDEX(PP_Grid[#Data],$DD732,94),0)</f>
        <v/>
      </c>
      <c r="CS732">
        <f>IFERROR(INDEX(PP_Grid[#Data],$DD732,95),0)</f>
        <v/>
      </c>
      <c r="CT732">
        <f>IFERROR(INDEX(PP_Grid[#Data],$DD732,96),0)</f>
        <v/>
      </c>
      <c r="CU732">
        <f>IFERROR(INDEX(PP_Grid[#Data],$DD732,97),0)</f>
        <v/>
      </c>
      <c r="CV732">
        <f>IFERROR(INDEX(PP_Grid[#Data],$DD732,98),0)</f>
        <v/>
      </c>
      <c r="CW732">
        <f>IFERROR(INDEX(PP_Grid[#Data],$DD732,99),0)</f>
        <v/>
      </c>
      <c r="CX732">
        <f>IFERROR(INDEX(PP_Grid[#Data],$DD732,100),0)</f>
        <v/>
      </c>
      <c r="CY732">
        <f>IFERROR(INDEX(PP_Grid[#Data],$DD732,101),0)</f>
        <v/>
      </c>
      <c r="CZ732">
        <f>IFERROR(INDEX(PP_Grid[#Data],$DD732,102),0)</f>
        <v/>
      </c>
      <c r="DA732">
        <f>IFERROR(INDEX(PP_Grid[#Data],$DD732,103),0)</f>
        <v/>
      </c>
      <c r="DB732">
        <f>IFERROR(INDEX(PP_Grid[#Data],$DD732,104),0)</f>
        <v/>
      </c>
      <c r="DC732">
        <f>IFERROR(INDEX(PP_Grid[#Data],$DD732,105),0)</f>
        <v/>
      </c>
      <c r="DD732" s="12">
        <f>IFERROR(MATCH($B732,PP_Grid[Intermediate],0),99999)</f>
        <v/>
      </c>
    </row>
    <row r="733">
      <c r="B733" t="inlineStr">
        <is>
          <t>使用量(kg)</t>
        </is>
      </c>
      <c r="C733">
        <f>SUMIFS(M_BOM[RM_Qty_Per_Batch],M_BOM[Intermediate],$B732,M_BOM[Part Name],$A669)</f>
        <v/>
      </c>
      <c r="D733">
        <f>$C733*D732</f>
        <v/>
      </c>
      <c r="E733">
        <f>$C733*E732</f>
        <v/>
      </c>
      <c r="F733">
        <f>$C733*F732</f>
        <v/>
      </c>
      <c r="G733">
        <f>$C733*G732</f>
        <v/>
      </c>
      <c r="H733">
        <f>$C733*H732</f>
        <v/>
      </c>
      <c r="I733">
        <f>$C733*I732</f>
        <v/>
      </c>
      <c r="J733">
        <f>$C733*J732</f>
        <v/>
      </c>
      <c r="K733">
        <f>$C733*K732</f>
        <v/>
      </c>
      <c r="L733">
        <f>$C733*L732</f>
        <v/>
      </c>
      <c r="M733">
        <f>$C733*M732</f>
        <v/>
      </c>
      <c r="N733">
        <f>$C733*N732</f>
        <v/>
      </c>
      <c r="O733">
        <f>$C733*O732</f>
        <v/>
      </c>
      <c r="P733">
        <f>$C733*P732</f>
        <v/>
      </c>
      <c r="Q733">
        <f>$C733*Q732</f>
        <v/>
      </c>
      <c r="R733">
        <f>$C733*R732</f>
        <v/>
      </c>
      <c r="S733">
        <f>$C733*S732</f>
        <v/>
      </c>
      <c r="T733">
        <f>$C733*T732</f>
        <v/>
      </c>
      <c r="U733">
        <f>$C733*U732</f>
        <v/>
      </c>
      <c r="V733">
        <f>$C733*V732</f>
        <v/>
      </c>
      <c r="W733">
        <f>$C733*W732</f>
        <v/>
      </c>
      <c r="X733">
        <f>$C733*X732</f>
        <v/>
      </c>
      <c r="Y733">
        <f>$C733*Y732</f>
        <v/>
      </c>
      <c r="Z733">
        <f>$C733*Z732</f>
        <v/>
      </c>
      <c r="AA733">
        <f>$C733*AA732</f>
        <v/>
      </c>
      <c r="AB733">
        <f>$C733*AB732</f>
        <v/>
      </c>
      <c r="AC733">
        <f>$C733*AC732</f>
        <v/>
      </c>
      <c r="AD733">
        <f>$C733*AD732</f>
        <v/>
      </c>
      <c r="AE733">
        <f>$C733*AE732</f>
        <v/>
      </c>
      <c r="AF733">
        <f>$C733*AF732</f>
        <v/>
      </c>
      <c r="AG733">
        <f>$C733*AG732</f>
        <v/>
      </c>
      <c r="AH733">
        <f>$C733*AH732</f>
        <v/>
      </c>
      <c r="AI733">
        <f>$C733*AI732</f>
        <v/>
      </c>
      <c r="AJ733">
        <f>$C733*AJ732</f>
        <v/>
      </c>
      <c r="AK733">
        <f>$C733*AK732</f>
        <v/>
      </c>
      <c r="AL733">
        <f>$C733*AL732</f>
        <v/>
      </c>
      <c r="AM733">
        <f>$C733*AM732</f>
        <v/>
      </c>
      <c r="AN733">
        <f>$C733*AN732</f>
        <v/>
      </c>
      <c r="AO733">
        <f>$C733*AO732</f>
        <v/>
      </c>
      <c r="AP733">
        <f>$C733*AP732</f>
        <v/>
      </c>
      <c r="AQ733">
        <f>$C733*AQ732</f>
        <v/>
      </c>
      <c r="AR733">
        <f>$C733*AR732</f>
        <v/>
      </c>
      <c r="AS733">
        <f>$C733*AS732</f>
        <v/>
      </c>
      <c r="AT733">
        <f>$C733*AT732</f>
        <v/>
      </c>
      <c r="AU733">
        <f>$C733*AU732</f>
        <v/>
      </c>
      <c r="AV733">
        <f>$C733*AV732</f>
        <v/>
      </c>
      <c r="AW733">
        <f>$C733*AW732</f>
        <v/>
      </c>
      <c r="AX733">
        <f>$C733*AX732</f>
        <v/>
      </c>
      <c r="AY733">
        <f>$C733*AY732</f>
        <v/>
      </c>
      <c r="AZ733">
        <f>$C733*AZ732</f>
        <v/>
      </c>
      <c r="BA733">
        <f>$C733*BA732</f>
        <v/>
      </c>
      <c r="BB733">
        <f>$C733*BB732</f>
        <v/>
      </c>
      <c r="BC733">
        <f>$C733*BC732</f>
        <v/>
      </c>
      <c r="BD733">
        <f>$C733*BD732</f>
        <v/>
      </c>
      <c r="BE733">
        <f>$C733*BE732</f>
        <v/>
      </c>
      <c r="BF733">
        <f>$C733*BF732</f>
        <v/>
      </c>
      <c r="BG733">
        <f>$C733*BG732</f>
        <v/>
      </c>
      <c r="BH733">
        <f>$C733*BH732</f>
        <v/>
      </c>
      <c r="BI733">
        <f>$C733*BI732</f>
        <v/>
      </c>
      <c r="BJ733">
        <f>$C733*BJ732</f>
        <v/>
      </c>
      <c r="BK733">
        <f>$C733*BK732</f>
        <v/>
      </c>
      <c r="BL733">
        <f>$C733*BL732</f>
        <v/>
      </c>
      <c r="BM733">
        <f>$C733*BM732</f>
        <v/>
      </c>
      <c r="BN733">
        <f>$C733*BN732</f>
        <v/>
      </c>
      <c r="BO733">
        <f>$C733*BO732</f>
        <v/>
      </c>
      <c r="BP733">
        <f>$C733*BP732</f>
        <v/>
      </c>
      <c r="BQ733">
        <f>$C733*BQ732</f>
        <v/>
      </c>
      <c r="BR733">
        <f>$C733*BR732</f>
        <v/>
      </c>
      <c r="BS733">
        <f>$C733*BS732</f>
        <v/>
      </c>
      <c r="BT733">
        <f>$C733*BT732</f>
        <v/>
      </c>
      <c r="BU733">
        <f>$C733*BU732</f>
        <v/>
      </c>
      <c r="BV733">
        <f>$C733*BV732</f>
        <v/>
      </c>
      <c r="BW733">
        <f>$C733*BW732</f>
        <v/>
      </c>
      <c r="BX733">
        <f>$C733*BX732</f>
        <v/>
      </c>
      <c r="BY733">
        <f>$C733*BY732</f>
        <v/>
      </c>
      <c r="BZ733">
        <f>$C733*BZ732</f>
        <v/>
      </c>
      <c r="CA733">
        <f>$C733*CA732</f>
        <v/>
      </c>
      <c r="CB733">
        <f>$C733*CB732</f>
        <v/>
      </c>
      <c r="CC733">
        <f>$C733*CC732</f>
        <v/>
      </c>
      <c r="CD733">
        <f>$C733*CD732</f>
        <v/>
      </c>
      <c r="CE733">
        <f>$C733*CE732</f>
        <v/>
      </c>
      <c r="CF733">
        <f>$C733*CF732</f>
        <v/>
      </c>
      <c r="CG733">
        <f>$C733*CG732</f>
        <v/>
      </c>
      <c r="CH733">
        <f>$C733*CH732</f>
        <v/>
      </c>
      <c r="CI733">
        <f>$C733*CI732</f>
        <v/>
      </c>
      <c r="CJ733">
        <f>$C733*CJ732</f>
        <v/>
      </c>
      <c r="CK733">
        <f>$C733*CK732</f>
        <v/>
      </c>
      <c r="CL733">
        <f>$C733*CL732</f>
        <v/>
      </c>
      <c r="CM733">
        <f>$C733*CM732</f>
        <v/>
      </c>
      <c r="CN733">
        <f>$C733*CN732</f>
        <v/>
      </c>
      <c r="CO733">
        <f>$C733*CO732</f>
        <v/>
      </c>
      <c r="CP733">
        <f>$C733*CP732</f>
        <v/>
      </c>
      <c r="CQ733">
        <f>$C733*CQ732</f>
        <v/>
      </c>
      <c r="CR733">
        <f>$C733*CR732</f>
        <v/>
      </c>
      <c r="CS733">
        <f>$C733*CS732</f>
        <v/>
      </c>
      <c r="CT733">
        <f>$C733*CT732</f>
        <v/>
      </c>
      <c r="CU733">
        <f>$C733*CU732</f>
        <v/>
      </c>
      <c r="CV733">
        <f>$C733*CV732</f>
        <v/>
      </c>
      <c r="CW733">
        <f>$C733*CW732</f>
        <v/>
      </c>
      <c r="CX733">
        <f>$C733*CX732</f>
        <v/>
      </c>
      <c r="CY733">
        <f>$C733*CY732</f>
        <v/>
      </c>
      <c r="CZ733">
        <f>$C733*CZ732</f>
        <v/>
      </c>
      <c r="DA733">
        <f>$C733*DA732</f>
        <v/>
      </c>
      <c r="DB733">
        <f>$C733*DB732</f>
        <v/>
      </c>
      <c r="DC733">
        <f>$C733*DC732</f>
        <v/>
      </c>
    </row>
    <row r="734">
      <c r="B734" t="inlineStr">
        <is>
          <t>TSP-618</t>
        </is>
      </c>
      <c r="C734" t="inlineStr">
        <is>
          <t>No. of batches</t>
        </is>
      </c>
      <c r="D734">
        <f>IFERROR(INDEX(PP_Grid[#Data],$DD734,2),0)</f>
        <v/>
      </c>
      <c r="E734">
        <f>IFERROR(INDEX(PP_Grid[#Data],$DD734,3),0)</f>
        <v/>
      </c>
      <c r="F734">
        <f>IFERROR(INDEX(PP_Grid[#Data],$DD734,4),0)</f>
        <v/>
      </c>
      <c r="G734">
        <f>IFERROR(INDEX(PP_Grid[#Data],$DD734,5),0)</f>
        <v/>
      </c>
      <c r="H734">
        <f>IFERROR(INDEX(PP_Grid[#Data],$DD734,6),0)</f>
        <v/>
      </c>
      <c r="I734">
        <f>IFERROR(INDEX(PP_Grid[#Data],$DD734,7),0)</f>
        <v/>
      </c>
      <c r="J734">
        <f>IFERROR(INDEX(PP_Grid[#Data],$DD734,8),0)</f>
        <v/>
      </c>
      <c r="K734">
        <f>IFERROR(INDEX(PP_Grid[#Data],$DD734,9),0)</f>
        <v/>
      </c>
      <c r="L734">
        <f>IFERROR(INDEX(PP_Grid[#Data],$DD734,10),0)</f>
        <v/>
      </c>
      <c r="M734">
        <f>IFERROR(INDEX(PP_Grid[#Data],$DD734,11),0)</f>
        <v/>
      </c>
      <c r="N734">
        <f>IFERROR(INDEX(PP_Grid[#Data],$DD734,12),0)</f>
        <v/>
      </c>
      <c r="O734">
        <f>IFERROR(INDEX(PP_Grid[#Data],$DD734,13),0)</f>
        <v/>
      </c>
      <c r="P734">
        <f>IFERROR(INDEX(PP_Grid[#Data],$DD734,14),0)</f>
        <v/>
      </c>
      <c r="Q734">
        <f>IFERROR(INDEX(PP_Grid[#Data],$DD734,15),0)</f>
        <v/>
      </c>
      <c r="R734">
        <f>IFERROR(INDEX(PP_Grid[#Data],$DD734,16),0)</f>
        <v/>
      </c>
      <c r="S734">
        <f>IFERROR(INDEX(PP_Grid[#Data],$DD734,17),0)</f>
        <v/>
      </c>
      <c r="T734">
        <f>IFERROR(INDEX(PP_Grid[#Data],$DD734,18),0)</f>
        <v/>
      </c>
      <c r="U734">
        <f>IFERROR(INDEX(PP_Grid[#Data],$DD734,19),0)</f>
        <v/>
      </c>
      <c r="V734">
        <f>IFERROR(INDEX(PP_Grid[#Data],$DD734,20),0)</f>
        <v/>
      </c>
      <c r="W734">
        <f>IFERROR(INDEX(PP_Grid[#Data],$DD734,21),0)</f>
        <v/>
      </c>
      <c r="X734">
        <f>IFERROR(INDEX(PP_Grid[#Data],$DD734,22),0)</f>
        <v/>
      </c>
      <c r="Y734">
        <f>IFERROR(INDEX(PP_Grid[#Data],$DD734,23),0)</f>
        <v/>
      </c>
      <c r="Z734">
        <f>IFERROR(INDEX(PP_Grid[#Data],$DD734,24),0)</f>
        <v/>
      </c>
      <c r="AA734">
        <f>IFERROR(INDEX(PP_Grid[#Data],$DD734,25),0)</f>
        <v/>
      </c>
      <c r="AB734">
        <f>IFERROR(INDEX(PP_Grid[#Data],$DD734,26),0)</f>
        <v/>
      </c>
      <c r="AC734">
        <f>IFERROR(INDEX(PP_Grid[#Data],$DD734,27),0)</f>
        <v/>
      </c>
      <c r="AD734">
        <f>IFERROR(INDEX(PP_Grid[#Data],$DD734,28),0)</f>
        <v/>
      </c>
      <c r="AE734">
        <f>IFERROR(INDEX(PP_Grid[#Data],$DD734,29),0)</f>
        <v/>
      </c>
      <c r="AF734">
        <f>IFERROR(INDEX(PP_Grid[#Data],$DD734,30),0)</f>
        <v/>
      </c>
      <c r="AG734">
        <f>IFERROR(INDEX(PP_Grid[#Data],$DD734,31),0)</f>
        <v/>
      </c>
      <c r="AH734">
        <f>IFERROR(INDEX(PP_Grid[#Data],$DD734,32),0)</f>
        <v/>
      </c>
      <c r="AI734">
        <f>IFERROR(INDEX(PP_Grid[#Data],$DD734,33),0)</f>
        <v/>
      </c>
      <c r="AJ734">
        <f>IFERROR(INDEX(PP_Grid[#Data],$DD734,34),0)</f>
        <v/>
      </c>
      <c r="AK734">
        <f>IFERROR(INDEX(PP_Grid[#Data],$DD734,35),0)</f>
        <v/>
      </c>
      <c r="AL734">
        <f>IFERROR(INDEX(PP_Grid[#Data],$DD734,36),0)</f>
        <v/>
      </c>
      <c r="AM734">
        <f>IFERROR(INDEX(PP_Grid[#Data],$DD734,37),0)</f>
        <v/>
      </c>
      <c r="AN734">
        <f>IFERROR(INDEX(PP_Grid[#Data],$DD734,38),0)</f>
        <v/>
      </c>
      <c r="AO734">
        <f>IFERROR(INDEX(PP_Grid[#Data],$DD734,39),0)</f>
        <v/>
      </c>
      <c r="AP734">
        <f>IFERROR(INDEX(PP_Grid[#Data],$DD734,40),0)</f>
        <v/>
      </c>
      <c r="AQ734">
        <f>IFERROR(INDEX(PP_Grid[#Data],$DD734,41),0)</f>
        <v/>
      </c>
      <c r="AR734">
        <f>IFERROR(INDEX(PP_Grid[#Data],$DD734,42),0)</f>
        <v/>
      </c>
      <c r="AS734">
        <f>IFERROR(INDEX(PP_Grid[#Data],$DD734,43),0)</f>
        <v/>
      </c>
      <c r="AT734">
        <f>IFERROR(INDEX(PP_Grid[#Data],$DD734,44),0)</f>
        <v/>
      </c>
      <c r="AU734">
        <f>IFERROR(INDEX(PP_Grid[#Data],$DD734,45),0)</f>
        <v/>
      </c>
      <c r="AV734">
        <f>IFERROR(INDEX(PP_Grid[#Data],$DD734,46),0)</f>
        <v/>
      </c>
      <c r="AW734">
        <f>IFERROR(INDEX(PP_Grid[#Data],$DD734,47),0)</f>
        <v/>
      </c>
      <c r="AX734">
        <f>IFERROR(INDEX(PP_Grid[#Data],$DD734,48),0)</f>
        <v/>
      </c>
      <c r="AY734">
        <f>IFERROR(INDEX(PP_Grid[#Data],$DD734,49),0)</f>
        <v/>
      </c>
      <c r="AZ734">
        <f>IFERROR(INDEX(PP_Grid[#Data],$DD734,50),0)</f>
        <v/>
      </c>
      <c r="BA734">
        <f>IFERROR(INDEX(PP_Grid[#Data],$DD734,51),0)</f>
        <v/>
      </c>
      <c r="BB734">
        <f>IFERROR(INDEX(PP_Grid[#Data],$DD734,52),0)</f>
        <v/>
      </c>
      <c r="BC734">
        <f>IFERROR(INDEX(PP_Grid[#Data],$DD734,53),0)</f>
        <v/>
      </c>
      <c r="BD734">
        <f>IFERROR(INDEX(PP_Grid[#Data],$DD734,54),0)</f>
        <v/>
      </c>
      <c r="BE734">
        <f>IFERROR(INDEX(PP_Grid[#Data],$DD734,55),0)</f>
        <v/>
      </c>
      <c r="BF734">
        <f>IFERROR(INDEX(PP_Grid[#Data],$DD734,56),0)</f>
        <v/>
      </c>
      <c r="BG734">
        <f>IFERROR(INDEX(PP_Grid[#Data],$DD734,57),0)</f>
        <v/>
      </c>
      <c r="BH734">
        <f>IFERROR(INDEX(PP_Grid[#Data],$DD734,58),0)</f>
        <v/>
      </c>
      <c r="BI734">
        <f>IFERROR(INDEX(PP_Grid[#Data],$DD734,59),0)</f>
        <v/>
      </c>
      <c r="BJ734">
        <f>IFERROR(INDEX(PP_Grid[#Data],$DD734,60),0)</f>
        <v/>
      </c>
      <c r="BK734">
        <f>IFERROR(INDEX(PP_Grid[#Data],$DD734,61),0)</f>
        <v/>
      </c>
      <c r="BL734">
        <f>IFERROR(INDEX(PP_Grid[#Data],$DD734,62),0)</f>
        <v/>
      </c>
      <c r="BM734">
        <f>IFERROR(INDEX(PP_Grid[#Data],$DD734,63),0)</f>
        <v/>
      </c>
      <c r="BN734">
        <f>IFERROR(INDEX(PP_Grid[#Data],$DD734,64),0)</f>
        <v/>
      </c>
      <c r="BO734">
        <f>IFERROR(INDEX(PP_Grid[#Data],$DD734,65),0)</f>
        <v/>
      </c>
      <c r="BP734">
        <f>IFERROR(INDEX(PP_Grid[#Data],$DD734,66),0)</f>
        <v/>
      </c>
      <c r="BQ734">
        <f>IFERROR(INDEX(PP_Grid[#Data],$DD734,67),0)</f>
        <v/>
      </c>
      <c r="BR734">
        <f>IFERROR(INDEX(PP_Grid[#Data],$DD734,68),0)</f>
        <v/>
      </c>
      <c r="BS734">
        <f>IFERROR(INDEX(PP_Grid[#Data],$DD734,69),0)</f>
        <v/>
      </c>
      <c r="BT734">
        <f>IFERROR(INDEX(PP_Grid[#Data],$DD734,70),0)</f>
        <v/>
      </c>
      <c r="BU734">
        <f>IFERROR(INDEX(PP_Grid[#Data],$DD734,71),0)</f>
        <v/>
      </c>
      <c r="BV734">
        <f>IFERROR(INDEX(PP_Grid[#Data],$DD734,72),0)</f>
        <v/>
      </c>
      <c r="BW734">
        <f>IFERROR(INDEX(PP_Grid[#Data],$DD734,73),0)</f>
        <v/>
      </c>
      <c r="BX734">
        <f>IFERROR(INDEX(PP_Grid[#Data],$DD734,74),0)</f>
        <v/>
      </c>
      <c r="BY734">
        <f>IFERROR(INDEX(PP_Grid[#Data],$DD734,75),0)</f>
        <v/>
      </c>
      <c r="BZ734">
        <f>IFERROR(INDEX(PP_Grid[#Data],$DD734,76),0)</f>
        <v/>
      </c>
      <c r="CA734">
        <f>IFERROR(INDEX(PP_Grid[#Data],$DD734,77),0)</f>
        <v/>
      </c>
      <c r="CB734">
        <f>IFERROR(INDEX(PP_Grid[#Data],$DD734,78),0)</f>
        <v/>
      </c>
      <c r="CC734">
        <f>IFERROR(INDEX(PP_Grid[#Data],$DD734,79),0)</f>
        <v/>
      </c>
      <c r="CD734">
        <f>IFERROR(INDEX(PP_Grid[#Data],$DD734,80),0)</f>
        <v/>
      </c>
      <c r="CE734">
        <f>IFERROR(INDEX(PP_Grid[#Data],$DD734,81),0)</f>
        <v/>
      </c>
      <c r="CF734">
        <f>IFERROR(INDEX(PP_Grid[#Data],$DD734,82),0)</f>
        <v/>
      </c>
      <c r="CG734">
        <f>IFERROR(INDEX(PP_Grid[#Data],$DD734,83),0)</f>
        <v/>
      </c>
      <c r="CH734">
        <f>IFERROR(INDEX(PP_Grid[#Data],$DD734,84),0)</f>
        <v/>
      </c>
      <c r="CI734">
        <f>IFERROR(INDEX(PP_Grid[#Data],$DD734,85),0)</f>
        <v/>
      </c>
      <c r="CJ734">
        <f>IFERROR(INDEX(PP_Grid[#Data],$DD734,86),0)</f>
        <v/>
      </c>
      <c r="CK734">
        <f>IFERROR(INDEX(PP_Grid[#Data],$DD734,87),0)</f>
        <v/>
      </c>
      <c r="CL734">
        <f>IFERROR(INDEX(PP_Grid[#Data],$DD734,88),0)</f>
        <v/>
      </c>
      <c r="CM734">
        <f>IFERROR(INDEX(PP_Grid[#Data],$DD734,89),0)</f>
        <v/>
      </c>
      <c r="CN734">
        <f>IFERROR(INDEX(PP_Grid[#Data],$DD734,90),0)</f>
        <v/>
      </c>
      <c r="CO734">
        <f>IFERROR(INDEX(PP_Grid[#Data],$DD734,91),0)</f>
        <v/>
      </c>
      <c r="CP734">
        <f>IFERROR(INDEX(PP_Grid[#Data],$DD734,92),0)</f>
        <v/>
      </c>
      <c r="CQ734">
        <f>IFERROR(INDEX(PP_Grid[#Data],$DD734,93),0)</f>
        <v/>
      </c>
      <c r="CR734">
        <f>IFERROR(INDEX(PP_Grid[#Data],$DD734,94),0)</f>
        <v/>
      </c>
      <c r="CS734">
        <f>IFERROR(INDEX(PP_Grid[#Data],$DD734,95),0)</f>
        <v/>
      </c>
      <c r="CT734">
        <f>IFERROR(INDEX(PP_Grid[#Data],$DD734,96),0)</f>
        <v/>
      </c>
      <c r="CU734">
        <f>IFERROR(INDEX(PP_Grid[#Data],$DD734,97),0)</f>
        <v/>
      </c>
      <c r="CV734">
        <f>IFERROR(INDEX(PP_Grid[#Data],$DD734,98),0)</f>
        <v/>
      </c>
      <c r="CW734">
        <f>IFERROR(INDEX(PP_Grid[#Data],$DD734,99),0)</f>
        <v/>
      </c>
      <c r="CX734">
        <f>IFERROR(INDEX(PP_Grid[#Data],$DD734,100),0)</f>
        <v/>
      </c>
      <c r="CY734">
        <f>IFERROR(INDEX(PP_Grid[#Data],$DD734,101),0)</f>
        <v/>
      </c>
      <c r="CZ734">
        <f>IFERROR(INDEX(PP_Grid[#Data],$DD734,102),0)</f>
        <v/>
      </c>
      <c r="DA734">
        <f>IFERROR(INDEX(PP_Grid[#Data],$DD734,103),0)</f>
        <v/>
      </c>
      <c r="DB734">
        <f>IFERROR(INDEX(PP_Grid[#Data],$DD734,104),0)</f>
        <v/>
      </c>
      <c r="DC734">
        <f>IFERROR(INDEX(PP_Grid[#Data],$DD734,105),0)</f>
        <v/>
      </c>
      <c r="DD734" s="12">
        <f>IFERROR(MATCH($B734,PP_Grid[Intermediate],0),99999)</f>
        <v/>
      </c>
    </row>
    <row r="735">
      <c r="B735" t="inlineStr">
        <is>
          <t>使用量(kg)</t>
        </is>
      </c>
      <c r="C735">
        <f>SUMIFS(M_BOM[RM_Qty_Per_Batch],M_BOM[Intermediate],$B734,M_BOM[Part Name],$A669)</f>
        <v/>
      </c>
      <c r="D735">
        <f>$C735*D734</f>
        <v/>
      </c>
      <c r="E735">
        <f>$C735*E734</f>
        <v/>
      </c>
      <c r="F735">
        <f>$C735*F734</f>
        <v/>
      </c>
      <c r="G735">
        <f>$C735*G734</f>
        <v/>
      </c>
      <c r="H735">
        <f>$C735*H734</f>
        <v/>
      </c>
      <c r="I735">
        <f>$C735*I734</f>
        <v/>
      </c>
      <c r="J735">
        <f>$C735*J734</f>
        <v/>
      </c>
      <c r="K735">
        <f>$C735*K734</f>
        <v/>
      </c>
      <c r="L735">
        <f>$C735*L734</f>
        <v/>
      </c>
      <c r="M735">
        <f>$C735*M734</f>
        <v/>
      </c>
      <c r="N735">
        <f>$C735*N734</f>
        <v/>
      </c>
      <c r="O735">
        <f>$C735*O734</f>
        <v/>
      </c>
      <c r="P735">
        <f>$C735*P734</f>
        <v/>
      </c>
      <c r="Q735">
        <f>$C735*Q734</f>
        <v/>
      </c>
      <c r="R735">
        <f>$C735*R734</f>
        <v/>
      </c>
      <c r="S735">
        <f>$C735*S734</f>
        <v/>
      </c>
      <c r="T735">
        <f>$C735*T734</f>
        <v/>
      </c>
      <c r="U735">
        <f>$C735*U734</f>
        <v/>
      </c>
      <c r="V735">
        <f>$C735*V734</f>
        <v/>
      </c>
      <c r="W735">
        <f>$C735*W734</f>
        <v/>
      </c>
      <c r="X735">
        <f>$C735*X734</f>
        <v/>
      </c>
      <c r="Y735">
        <f>$C735*Y734</f>
        <v/>
      </c>
      <c r="Z735">
        <f>$C735*Z734</f>
        <v/>
      </c>
      <c r="AA735">
        <f>$C735*AA734</f>
        <v/>
      </c>
      <c r="AB735">
        <f>$C735*AB734</f>
        <v/>
      </c>
      <c r="AC735">
        <f>$C735*AC734</f>
        <v/>
      </c>
      <c r="AD735">
        <f>$C735*AD734</f>
        <v/>
      </c>
      <c r="AE735">
        <f>$C735*AE734</f>
        <v/>
      </c>
      <c r="AF735">
        <f>$C735*AF734</f>
        <v/>
      </c>
      <c r="AG735">
        <f>$C735*AG734</f>
        <v/>
      </c>
      <c r="AH735">
        <f>$C735*AH734</f>
        <v/>
      </c>
      <c r="AI735">
        <f>$C735*AI734</f>
        <v/>
      </c>
      <c r="AJ735">
        <f>$C735*AJ734</f>
        <v/>
      </c>
      <c r="AK735">
        <f>$C735*AK734</f>
        <v/>
      </c>
      <c r="AL735">
        <f>$C735*AL734</f>
        <v/>
      </c>
      <c r="AM735">
        <f>$C735*AM734</f>
        <v/>
      </c>
      <c r="AN735">
        <f>$C735*AN734</f>
        <v/>
      </c>
      <c r="AO735">
        <f>$C735*AO734</f>
        <v/>
      </c>
      <c r="AP735">
        <f>$C735*AP734</f>
        <v/>
      </c>
      <c r="AQ735">
        <f>$C735*AQ734</f>
        <v/>
      </c>
      <c r="AR735">
        <f>$C735*AR734</f>
        <v/>
      </c>
      <c r="AS735">
        <f>$C735*AS734</f>
        <v/>
      </c>
      <c r="AT735">
        <f>$C735*AT734</f>
        <v/>
      </c>
      <c r="AU735">
        <f>$C735*AU734</f>
        <v/>
      </c>
      <c r="AV735">
        <f>$C735*AV734</f>
        <v/>
      </c>
      <c r="AW735">
        <f>$C735*AW734</f>
        <v/>
      </c>
      <c r="AX735">
        <f>$C735*AX734</f>
        <v/>
      </c>
      <c r="AY735">
        <f>$C735*AY734</f>
        <v/>
      </c>
      <c r="AZ735">
        <f>$C735*AZ734</f>
        <v/>
      </c>
      <c r="BA735">
        <f>$C735*BA734</f>
        <v/>
      </c>
      <c r="BB735">
        <f>$C735*BB734</f>
        <v/>
      </c>
      <c r="BC735">
        <f>$C735*BC734</f>
        <v/>
      </c>
      <c r="BD735">
        <f>$C735*BD734</f>
        <v/>
      </c>
      <c r="BE735">
        <f>$C735*BE734</f>
        <v/>
      </c>
      <c r="BF735">
        <f>$C735*BF734</f>
        <v/>
      </c>
      <c r="BG735">
        <f>$C735*BG734</f>
        <v/>
      </c>
      <c r="BH735">
        <f>$C735*BH734</f>
        <v/>
      </c>
      <c r="BI735">
        <f>$C735*BI734</f>
        <v/>
      </c>
      <c r="BJ735">
        <f>$C735*BJ734</f>
        <v/>
      </c>
      <c r="BK735">
        <f>$C735*BK734</f>
        <v/>
      </c>
      <c r="BL735">
        <f>$C735*BL734</f>
        <v/>
      </c>
      <c r="BM735">
        <f>$C735*BM734</f>
        <v/>
      </c>
      <c r="BN735">
        <f>$C735*BN734</f>
        <v/>
      </c>
      <c r="BO735">
        <f>$C735*BO734</f>
        <v/>
      </c>
      <c r="BP735">
        <f>$C735*BP734</f>
        <v/>
      </c>
      <c r="BQ735">
        <f>$C735*BQ734</f>
        <v/>
      </c>
      <c r="BR735">
        <f>$C735*BR734</f>
        <v/>
      </c>
      <c r="BS735">
        <f>$C735*BS734</f>
        <v/>
      </c>
      <c r="BT735">
        <f>$C735*BT734</f>
        <v/>
      </c>
      <c r="BU735">
        <f>$C735*BU734</f>
        <v/>
      </c>
      <c r="BV735">
        <f>$C735*BV734</f>
        <v/>
      </c>
      <c r="BW735">
        <f>$C735*BW734</f>
        <v/>
      </c>
      <c r="BX735">
        <f>$C735*BX734</f>
        <v/>
      </c>
      <c r="BY735">
        <f>$C735*BY734</f>
        <v/>
      </c>
      <c r="BZ735">
        <f>$C735*BZ734</f>
        <v/>
      </c>
      <c r="CA735">
        <f>$C735*CA734</f>
        <v/>
      </c>
      <c r="CB735">
        <f>$C735*CB734</f>
        <v/>
      </c>
      <c r="CC735">
        <f>$C735*CC734</f>
        <v/>
      </c>
      <c r="CD735">
        <f>$C735*CD734</f>
        <v/>
      </c>
      <c r="CE735">
        <f>$C735*CE734</f>
        <v/>
      </c>
      <c r="CF735">
        <f>$C735*CF734</f>
        <v/>
      </c>
      <c r="CG735">
        <f>$C735*CG734</f>
        <v/>
      </c>
      <c r="CH735">
        <f>$C735*CH734</f>
        <v/>
      </c>
      <c r="CI735">
        <f>$C735*CI734</f>
        <v/>
      </c>
      <c r="CJ735">
        <f>$C735*CJ734</f>
        <v/>
      </c>
      <c r="CK735">
        <f>$C735*CK734</f>
        <v/>
      </c>
      <c r="CL735">
        <f>$C735*CL734</f>
        <v/>
      </c>
      <c r="CM735">
        <f>$C735*CM734</f>
        <v/>
      </c>
      <c r="CN735">
        <f>$C735*CN734</f>
        <v/>
      </c>
      <c r="CO735">
        <f>$C735*CO734</f>
        <v/>
      </c>
      <c r="CP735">
        <f>$C735*CP734</f>
        <v/>
      </c>
      <c r="CQ735">
        <f>$C735*CQ734</f>
        <v/>
      </c>
      <c r="CR735">
        <f>$C735*CR734</f>
        <v/>
      </c>
      <c r="CS735">
        <f>$C735*CS734</f>
        <v/>
      </c>
      <c r="CT735">
        <f>$C735*CT734</f>
        <v/>
      </c>
      <c r="CU735">
        <f>$C735*CU734</f>
        <v/>
      </c>
      <c r="CV735">
        <f>$C735*CV734</f>
        <v/>
      </c>
      <c r="CW735">
        <f>$C735*CW734</f>
        <v/>
      </c>
      <c r="CX735">
        <f>$C735*CX734</f>
        <v/>
      </c>
      <c r="CY735">
        <f>$C735*CY734</f>
        <v/>
      </c>
      <c r="CZ735">
        <f>$C735*CZ734</f>
        <v/>
      </c>
      <c r="DA735">
        <f>$C735*DA734</f>
        <v/>
      </c>
      <c r="DB735">
        <f>$C735*DB734</f>
        <v/>
      </c>
      <c r="DC735">
        <f>$C735*DC734</f>
        <v/>
      </c>
    </row>
    <row r="736">
      <c r="B736" t="inlineStr">
        <is>
          <t>TSP-620</t>
        </is>
      </c>
      <c r="C736" t="inlineStr">
        <is>
          <t>No. of batches</t>
        </is>
      </c>
      <c r="D736">
        <f>IFERROR(INDEX(PP_Grid[#Data],$DD736,2),0)</f>
        <v/>
      </c>
      <c r="E736">
        <f>IFERROR(INDEX(PP_Grid[#Data],$DD736,3),0)</f>
        <v/>
      </c>
      <c r="F736">
        <f>IFERROR(INDEX(PP_Grid[#Data],$DD736,4),0)</f>
        <v/>
      </c>
      <c r="G736">
        <f>IFERROR(INDEX(PP_Grid[#Data],$DD736,5),0)</f>
        <v/>
      </c>
      <c r="H736">
        <f>IFERROR(INDEX(PP_Grid[#Data],$DD736,6),0)</f>
        <v/>
      </c>
      <c r="I736">
        <f>IFERROR(INDEX(PP_Grid[#Data],$DD736,7),0)</f>
        <v/>
      </c>
      <c r="J736">
        <f>IFERROR(INDEX(PP_Grid[#Data],$DD736,8),0)</f>
        <v/>
      </c>
      <c r="K736">
        <f>IFERROR(INDEX(PP_Grid[#Data],$DD736,9),0)</f>
        <v/>
      </c>
      <c r="L736">
        <f>IFERROR(INDEX(PP_Grid[#Data],$DD736,10),0)</f>
        <v/>
      </c>
      <c r="M736">
        <f>IFERROR(INDEX(PP_Grid[#Data],$DD736,11),0)</f>
        <v/>
      </c>
      <c r="N736">
        <f>IFERROR(INDEX(PP_Grid[#Data],$DD736,12),0)</f>
        <v/>
      </c>
      <c r="O736">
        <f>IFERROR(INDEX(PP_Grid[#Data],$DD736,13),0)</f>
        <v/>
      </c>
      <c r="P736">
        <f>IFERROR(INDEX(PP_Grid[#Data],$DD736,14),0)</f>
        <v/>
      </c>
      <c r="Q736">
        <f>IFERROR(INDEX(PP_Grid[#Data],$DD736,15),0)</f>
        <v/>
      </c>
      <c r="R736">
        <f>IFERROR(INDEX(PP_Grid[#Data],$DD736,16),0)</f>
        <v/>
      </c>
      <c r="S736">
        <f>IFERROR(INDEX(PP_Grid[#Data],$DD736,17),0)</f>
        <v/>
      </c>
      <c r="T736">
        <f>IFERROR(INDEX(PP_Grid[#Data],$DD736,18),0)</f>
        <v/>
      </c>
      <c r="U736">
        <f>IFERROR(INDEX(PP_Grid[#Data],$DD736,19),0)</f>
        <v/>
      </c>
      <c r="V736">
        <f>IFERROR(INDEX(PP_Grid[#Data],$DD736,20),0)</f>
        <v/>
      </c>
      <c r="W736">
        <f>IFERROR(INDEX(PP_Grid[#Data],$DD736,21),0)</f>
        <v/>
      </c>
      <c r="X736">
        <f>IFERROR(INDEX(PP_Grid[#Data],$DD736,22),0)</f>
        <v/>
      </c>
      <c r="Y736">
        <f>IFERROR(INDEX(PP_Grid[#Data],$DD736,23),0)</f>
        <v/>
      </c>
      <c r="Z736">
        <f>IFERROR(INDEX(PP_Grid[#Data],$DD736,24),0)</f>
        <v/>
      </c>
      <c r="AA736">
        <f>IFERROR(INDEX(PP_Grid[#Data],$DD736,25),0)</f>
        <v/>
      </c>
      <c r="AB736">
        <f>IFERROR(INDEX(PP_Grid[#Data],$DD736,26),0)</f>
        <v/>
      </c>
      <c r="AC736">
        <f>IFERROR(INDEX(PP_Grid[#Data],$DD736,27),0)</f>
        <v/>
      </c>
      <c r="AD736">
        <f>IFERROR(INDEX(PP_Grid[#Data],$DD736,28),0)</f>
        <v/>
      </c>
      <c r="AE736">
        <f>IFERROR(INDEX(PP_Grid[#Data],$DD736,29),0)</f>
        <v/>
      </c>
      <c r="AF736">
        <f>IFERROR(INDEX(PP_Grid[#Data],$DD736,30),0)</f>
        <v/>
      </c>
      <c r="AG736">
        <f>IFERROR(INDEX(PP_Grid[#Data],$DD736,31),0)</f>
        <v/>
      </c>
      <c r="AH736">
        <f>IFERROR(INDEX(PP_Grid[#Data],$DD736,32),0)</f>
        <v/>
      </c>
      <c r="AI736">
        <f>IFERROR(INDEX(PP_Grid[#Data],$DD736,33),0)</f>
        <v/>
      </c>
      <c r="AJ736">
        <f>IFERROR(INDEX(PP_Grid[#Data],$DD736,34),0)</f>
        <v/>
      </c>
      <c r="AK736">
        <f>IFERROR(INDEX(PP_Grid[#Data],$DD736,35),0)</f>
        <v/>
      </c>
      <c r="AL736">
        <f>IFERROR(INDEX(PP_Grid[#Data],$DD736,36),0)</f>
        <v/>
      </c>
      <c r="AM736">
        <f>IFERROR(INDEX(PP_Grid[#Data],$DD736,37),0)</f>
        <v/>
      </c>
      <c r="AN736">
        <f>IFERROR(INDEX(PP_Grid[#Data],$DD736,38),0)</f>
        <v/>
      </c>
      <c r="AO736">
        <f>IFERROR(INDEX(PP_Grid[#Data],$DD736,39),0)</f>
        <v/>
      </c>
      <c r="AP736">
        <f>IFERROR(INDEX(PP_Grid[#Data],$DD736,40),0)</f>
        <v/>
      </c>
      <c r="AQ736">
        <f>IFERROR(INDEX(PP_Grid[#Data],$DD736,41),0)</f>
        <v/>
      </c>
      <c r="AR736">
        <f>IFERROR(INDEX(PP_Grid[#Data],$DD736,42),0)</f>
        <v/>
      </c>
      <c r="AS736">
        <f>IFERROR(INDEX(PP_Grid[#Data],$DD736,43),0)</f>
        <v/>
      </c>
      <c r="AT736">
        <f>IFERROR(INDEX(PP_Grid[#Data],$DD736,44),0)</f>
        <v/>
      </c>
      <c r="AU736">
        <f>IFERROR(INDEX(PP_Grid[#Data],$DD736,45),0)</f>
        <v/>
      </c>
      <c r="AV736">
        <f>IFERROR(INDEX(PP_Grid[#Data],$DD736,46),0)</f>
        <v/>
      </c>
      <c r="AW736">
        <f>IFERROR(INDEX(PP_Grid[#Data],$DD736,47),0)</f>
        <v/>
      </c>
      <c r="AX736">
        <f>IFERROR(INDEX(PP_Grid[#Data],$DD736,48),0)</f>
        <v/>
      </c>
      <c r="AY736">
        <f>IFERROR(INDEX(PP_Grid[#Data],$DD736,49),0)</f>
        <v/>
      </c>
      <c r="AZ736">
        <f>IFERROR(INDEX(PP_Grid[#Data],$DD736,50),0)</f>
        <v/>
      </c>
      <c r="BA736">
        <f>IFERROR(INDEX(PP_Grid[#Data],$DD736,51),0)</f>
        <v/>
      </c>
      <c r="BB736">
        <f>IFERROR(INDEX(PP_Grid[#Data],$DD736,52),0)</f>
        <v/>
      </c>
      <c r="BC736">
        <f>IFERROR(INDEX(PP_Grid[#Data],$DD736,53),0)</f>
        <v/>
      </c>
      <c r="BD736">
        <f>IFERROR(INDEX(PP_Grid[#Data],$DD736,54),0)</f>
        <v/>
      </c>
      <c r="BE736">
        <f>IFERROR(INDEX(PP_Grid[#Data],$DD736,55),0)</f>
        <v/>
      </c>
      <c r="BF736">
        <f>IFERROR(INDEX(PP_Grid[#Data],$DD736,56),0)</f>
        <v/>
      </c>
      <c r="BG736">
        <f>IFERROR(INDEX(PP_Grid[#Data],$DD736,57),0)</f>
        <v/>
      </c>
      <c r="BH736">
        <f>IFERROR(INDEX(PP_Grid[#Data],$DD736,58),0)</f>
        <v/>
      </c>
      <c r="BI736">
        <f>IFERROR(INDEX(PP_Grid[#Data],$DD736,59),0)</f>
        <v/>
      </c>
      <c r="BJ736">
        <f>IFERROR(INDEX(PP_Grid[#Data],$DD736,60),0)</f>
        <v/>
      </c>
      <c r="BK736">
        <f>IFERROR(INDEX(PP_Grid[#Data],$DD736,61),0)</f>
        <v/>
      </c>
      <c r="BL736">
        <f>IFERROR(INDEX(PP_Grid[#Data],$DD736,62),0)</f>
        <v/>
      </c>
      <c r="BM736">
        <f>IFERROR(INDEX(PP_Grid[#Data],$DD736,63),0)</f>
        <v/>
      </c>
      <c r="BN736">
        <f>IFERROR(INDEX(PP_Grid[#Data],$DD736,64),0)</f>
        <v/>
      </c>
      <c r="BO736">
        <f>IFERROR(INDEX(PP_Grid[#Data],$DD736,65),0)</f>
        <v/>
      </c>
      <c r="BP736">
        <f>IFERROR(INDEX(PP_Grid[#Data],$DD736,66),0)</f>
        <v/>
      </c>
      <c r="BQ736">
        <f>IFERROR(INDEX(PP_Grid[#Data],$DD736,67),0)</f>
        <v/>
      </c>
      <c r="BR736">
        <f>IFERROR(INDEX(PP_Grid[#Data],$DD736,68),0)</f>
        <v/>
      </c>
      <c r="BS736">
        <f>IFERROR(INDEX(PP_Grid[#Data],$DD736,69),0)</f>
        <v/>
      </c>
      <c r="BT736">
        <f>IFERROR(INDEX(PP_Grid[#Data],$DD736,70),0)</f>
        <v/>
      </c>
      <c r="BU736">
        <f>IFERROR(INDEX(PP_Grid[#Data],$DD736,71),0)</f>
        <v/>
      </c>
      <c r="BV736">
        <f>IFERROR(INDEX(PP_Grid[#Data],$DD736,72),0)</f>
        <v/>
      </c>
      <c r="BW736">
        <f>IFERROR(INDEX(PP_Grid[#Data],$DD736,73),0)</f>
        <v/>
      </c>
      <c r="BX736">
        <f>IFERROR(INDEX(PP_Grid[#Data],$DD736,74),0)</f>
        <v/>
      </c>
      <c r="BY736">
        <f>IFERROR(INDEX(PP_Grid[#Data],$DD736,75),0)</f>
        <v/>
      </c>
      <c r="BZ736">
        <f>IFERROR(INDEX(PP_Grid[#Data],$DD736,76),0)</f>
        <v/>
      </c>
      <c r="CA736">
        <f>IFERROR(INDEX(PP_Grid[#Data],$DD736,77),0)</f>
        <v/>
      </c>
      <c r="CB736">
        <f>IFERROR(INDEX(PP_Grid[#Data],$DD736,78),0)</f>
        <v/>
      </c>
      <c r="CC736">
        <f>IFERROR(INDEX(PP_Grid[#Data],$DD736,79),0)</f>
        <v/>
      </c>
      <c r="CD736">
        <f>IFERROR(INDEX(PP_Grid[#Data],$DD736,80),0)</f>
        <v/>
      </c>
      <c r="CE736">
        <f>IFERROR(INDEX(PP_Grid[#Data],$DD736,81),0)</f>
        <v/>
      </c>
      <c r="CF736">
        <f>IFERROR(INDEX(PP_Grid[#Data],$DD736,82),0)</f>
        <v/>
      </c>
      <c r="CG736">
        <f>IFERROR(INDEX(PP_Grid[#Data],$DD736,83),0)</f>
        <v/>
      </c>
      <c r="CH736">
        <f>IFERROR(INDEX(PP_Grid[#Data],$DD736,84),0)</f>
        <v/>
      </c>
      <c r="CI736">
        <f>IFERROR(INDEX(PP_Grid[#Data],$DD736,85),0)</f>
        <v/>
      </c>
      <c r="CJ736">
        <f>IFERROR(INDEX(PP_Grid[#Data],$DD736,86),0)</f>
        <v/>
      </c>
      <c r="CK736">
        <f>IFERROR(INDEX(PP_Grid[#Data],$DD736,87),0)</f>
        <v/>
      </c>
      <c r="CL736">
        <f>IFERROR(INDEX(PP_Grid[#Data],$DD736,88),0)</f>
        <v/>
      </c>
      <c r="CM736">
        <f>IFERROR(INDEX(PP_Grid[#Data],$DD736,89),0)</f>
        <v/>
      </c>
      <c r="CN736">
        <f>IFERROR(INDEX(PP_Grid[#Data],$DD736,90),0)</f>
        <v/>
      </c>
      <c r="CO736">
        <f>IFERROR(INDEX(PP_Grid[#Data],$DD736,91),0)</f>
        <v/>
      </c>
      <c r="CP736">
        <f>IFERROR(INDEX(PP_Grid[#Data],$DD736,92),0)</f>
        <v/>
      </c>
      <c r="CQ736">
        <f>IFERROR(INDEX(PP_Grid[#Data],$DD736,93),0)</f>
        <v/>
      </c>
      <c r="CR736">
        <f>IFERROR(INDEX(PP_Grid[#Data],$DD736,94),0)</f>
        <v/>
      </c>
      <c r="CS736">
        <f>IFERROR(INDEX(PP_Grid[#Data],$DD736,95),0)</f>
        <v/>
      </c>
      <c r="CT736">
        <f>IFERROR(INDEX(PP_Grid[#Data],$DD736,96),0)</f>
        <v/>
      </c>
      <c r="CU736">
        <f>IFERROR(INDEX(PP_Grid[#Data],$DD736,97),0)</f>
        <v/>
      </c>
      <c r="CV736">
        <f>IFERROR(INDEX(PP_Grid[#Data],$DD736,98),0)</f>
        <v/>
      </c>
      <c r="CW736">
        <f>IFERROR(INDEX(PP_Grid[#Data],$DD736,99),0)</f>
        <v/>
      </c>
      <c r="CX736">
        <f>IFERROR(INDEX(PP_Grid[#Data],$DD736,100),0)</f>
        <v/>
      </c>
      <c r="CY736">
        <f>IFERROR(INDEX(PP_Grid[#Data],$DD736,101),0)</f>
        <v/>
      </c>
      <c r="CZ736">
        <f>IFERROR(INDEX(PP_Grid[#Data],$DD736,102),0)</f>
        <v/>
      </c>
      <c r="DA736">
        <f>IFERROR(INDEX(PP_Grid[#Data],$DD736,103),0)</f>
        <v/>
      </c>
      <c r="DB736">
        <f>IFERROR(INDEX(PP_Grid[#Data],$DD736,104),0)</f>
        <v/>
      </c>
      <c r="DC736">
        <f>IFERROR(INDEX(PP_Grid[#Data],$DD736,105),0)</f>
        <v/>
      </c>
      <c r="DD736" s="12">
        <f>IFERROR(MATCH($B736,PP_Grid[Intermediate],0),99999)</f>
        <v/>
      </c>
    </row>
    <row r="737">
      <c r="B737" t="inlineStr">
        <is>
          <t>使用量(kg)</t>
        </is>
      </c>
      <c r="C737">
        <f>SUMIFS(M_BOM[RM_Qty_Per_Batch],M_BOM[Intermediate],$B736,M_BOM[Part Name],$A669)</f>
        <v/>
      </c>
      <c r="D737">
        <f>$C737*D736</f>
        <v/>
      </c>
      <c r="E737">
        <f>$C737*E736</f>
        <v/>
      </c>
      <c r="F737">
        <f>$C737*F736</f>
        <v/>
      </c>
      <c r="G737">
        <f>$C737*G736</f>
        <v/>
      </c>
      <c r="H737">
        <f>$C737*H736</f>
        <v/>
      </c>
      <c r="I737">
        <f>$C737*I736</f>
        <v/>
      </c>
      <c r="J737">
        <f>$C737*J736</f>
        <v/>
      </c>
      <c r="K737">
        <f>$C737*K736</f>
        <v/>
      </c>
      <c r="L737">
        <f>$C737*L736</f>
        <v/>
      </c>
      <c r="M737">
        <f>$C737*M736</f>
        <v/>
      </c>
      <c r="N737">
        <f>$C737*N736</f>
        <v/>
      </c>
      <c r="O737">
        <f>$C737*O736</f>
        <v/>
      </c>
      <c r="P737">
        <f>$C737*P736</f>
        <v/>
      </c>
      <c r="Q737">
        <f>$C737*Q736</f>
        <v/>
      </c>
      <c r="R737">
        <f>$C737*R736</f>
        <v/>
      </c>
      <c r="S737">
        <f>$C737*S736</f>
        <v/>
      </c>
      <c r="T737">
        <f>$C737*T736</f>
        <v/>
      </c>
      <c r="U737">
        <f>$C737*U736</f>
        <v/>
      </c>
      <c r="V737">
        <f>$C737*V736</f>
        <v/>
      </c>
      <c r="W737">
        <f>$C737*W736</f>
        <v/>
      </c>
      <c r="X737">
        <f>$C737*X736</f>
        <v/>
      </c>
      <c r="Y737">
        <f>$C737*Y736</f>
        <v/>
      </c>
      <c r="Z737">
        <f>$C737*Z736</f>
        <v/>
      </c>
      <c r="AA737">
        <f>$C737*AA736</f>
        <v/>
      </c>
      <c r="AB737">
        <f>$C737*AB736</f>
        <v/>
      </c>
      <c r="AC737">
        <f>$C737*AC736</f>
        <v/>
      </c>
      <c r="AD737">
        <f>$C737*AD736</f>
        <v/>
      </c>
      <c r="AE737">
        <f>$C737*AE736</f>
        <v/>
      </c>
      <c r="AF737">
        <f>$C737*AF736</f>
        <v/>
      </c>
      <c r="AG737">
        <f>$C737*AG736</f>
        <v/>
      </c>
      <c r="AH737">
        <f>$C737*AH736</f>
        <v/>
      </c>
      <c r="AI737">
        <f>$C737*AI736</f>
        <v/>
      </c>
      <c r="AJ737">
        <f>$C737*AJ736</f>
        <v/>
      </c>
      <c r="AK737">
        <f>$C737*AK736</f>
        <v/>
      </c>
      <c r="AL737">
        <f>$C737*AL736</f>
        <v/>
      </c>
      <c r="AM737">
        <f>$C737*AM736</f>
        <v/>
      </c>
      <c r="AN737">
        <f>$C737*AN736</f>
        <v/>
      </c>
      <c r="AO737">
        <f>$C737*AO736</f>
        <v/>
      </c>
      <c r="AP737">
        <f>$C737*AP736</f>
        <v/>
      </c>
      <c r="AQ737">
        <f>$C737*AQ736</f>
        <v/>
      </c>
      <c r="AR737">
        <f>$C737*AR736</f>
        <v/>
      </c>
      <c r="AS737">
        <f>$C737*AS736</f>
        <v/>
      </c>
      <c r="AT737">
        <f>$C737*AT736</f>
        <v/>
      </c>
      <c r="AU737">
        <f>$C737*AU736</f>
        <v/>
      </c>
      <c r="AV737">
        <f>$C737*AV736</f>
        <v/>
      </c>
      <c r="AW737">
        <f>$C737*AW736</f>
        <v/>
      </c>
      <c r="AX737">
        <f>$C737*AX736</f>
        <v/>
      </c>
      <c r="AY737">
        <f>$C737*AY736</f>
        <v/>
      </c>
      <c r="AZ737">
        <f>$C737*AZ736</f>
        <v/>
      </c>
      <c r="BA737">
        <f>$C737*BA736</f>
        <v/>
      </c>
      <c r="BB737">
        <f>$C737*BB736</f>
        <v/>
      </c>
      <c r="BC737">
        <f>$C737*BC736</f>
        <v/>
      </c>
      <c r="BD737">
        <f>$C737*BD736</f>
        <v/>
      </c>
      <c r="BE737">
        <f>$C737*BE736</f>
        <v/>
      </c>
      <c r="BF737">
        <f>$C737*BF736</f>
        <v/>
      </c>
      <c r="BG737">
        <f>$C737*BG736</f>
        <v/>
      </c>
      <c r="BH737">
        <f>$C737*BH736</f>
        <v/>
      </c>
      <c r="BI737">
        <f>$C737*BI736</f>
        <v/>
      </c>
      <c r="BJ737">
        <f>$C737*BJ736</f>
        <v/>
      </c>
      <c r="BK737">
        <f>$C737*BK736</f>
        <v/>
      </c>
      <c r="BL737">
        <f>$C737*BL736</f>
        <v/>
      </c>
      <c r="BM737">
        <f>$C737*BM736</f>
        <v/>
      </c>
      <c r="BN737">
        <f>$C737*BN736</f>
        <v/>
      </c>
      <c r="BO737">
        <f>$C737*BO736</f>
        <v/>
      </c>
      <c r="BP737">
        <f>$C737*BP736</f>
        <v/>
      </c>
      <c r="BQ737">
        <f>$C737*BQ736</f>
        <v/>
      </c>
      <c r="BR737">
        <f>$C737*BR736</f>
        <v/>
      </c>
      <c r="BS737">
        <f>$C737*BS736</f>
        <v/>
      </c>
      <c r="BT737">
        <f>$C737*BT736</f>
        <v/>
      </c>
      <c r="BU737">
        <f>$C737*BU736</f>
        <v/>
      </c>
      <c r="BV737">
        <f>$C737*BV736</f>
        <v/>
      </c>
      <c r="BW737">
        <f>$C737*BW736</f>
        <v/>
      </c>
      <c r="BX737">
        <f>$C737*BX736</f>
        <v/>
      </c>
      <c r="BY737">
        <f>$C737*BY736</f>
        <v/>
      </c>
      <c r="BZ737">
        <f>$C737*BZ736</f>
        <v/>
      </c>
      <c r="CA737">
        <f>$C737*CA736</f>
        <v/>
      </c>
      <c r="CB737">
        <f>$C737*CB736</f>
        <v/>
      </c>
      <c r="CC737">
        <f>$C737*CC736</f>
        <v/>
      </c>
      <c r="CD737">
        <f>$C737*CD736</f>
        <v/>
      </c>
      <c r="CE737">
        <f>$C737*CE736</f>
        <v/>
      </c>
      <c r="CF737">
        <f>$C737*CF736</f>
        <v/>
      </c>
      <c r="CG737">
        <f>$C737*CG736</f>
        <v/>
      </c>
      <c r="CH737">
        <f>$C737*CH736</f>
        <v/>
      </c>
      <c r="CI737">
        <f>$C737*CI736</f>
        <v/>
      </c>
      <c r="CJ737">
        <f>$C737*CJ736</f>
        <v/>
      </c>
      <c r="CK737">
        <f>$C737*CK736</f>
        <v/>
      </c>
      <c r="CL737">
        <f>$C737*CL736</f>
        <v/>
      </c>
      <c r="CM737">
        <f>$C737*CM736</f>
        <v/>
      </c>
      <c r="CN737">
        <f>$C737*CN736</f>
        <v/>
      </c>
      <c r="CO737">
        <f>$C737*CO736</f>
        <v/>
      </c>
      <c r="CP737">
        <f>$C737*CP736</f>
        <v/>
      </c>
      <c r="CQ737">
        <f>$C737*CQ736</f>
        <v/>
      </c>
      <c r="CR737">
        <f>$C737*CR736</f>
        <v/>
      </c>
      <c r="CS737">
        <f>$C737*CS736</f>
        <v/>
      </c>
      <c r="CT737">
        <f>$C737*CT736</f>
        <v/>
      </c>
      <c r="CU737">
        <f>$C737*CU736</f>
        <v/>
      </c>
      <c r="CV737">
        <f>$C737*CV736</f>
        <v/>
      </c>
      <c r="CW737">
        <f>$C737*CW736</f>
        <v/>
      </c>
      <c r="CX737">
        <f>$C737*CX736</f>
        <v/>
      </c>
      <c r="CY737">
        <f>$C737*CY736</f>
        <v/>
      </c>
      <c r="CZ737">
        <f>$C737*CZ736</f>
        <v/>
      </c>
      <c r="DA737">
        <f>$C737*DA736</f>
        <v/>
      </c>
      <c r="DB737">
        <f>$C737*DB736</f>
        <v/>
      </c>
      <c r="DC737">
        <f>$C737*DC736</f>
        <v/>
      </c>
    </row>
    <row r="738">
      <c r="B738" t="inlineStr">
        <is>
          <t>TSP-623</t>
        </is>
      </c>
      <c r="C738" t="inlineStr">
        <is>
          <t>No. of batches</t>
        </is>
      </c>
      <c r="D738">
        <f>IFERROR(INDEX(PP_Grid[#Data],$DD738,2),0)</f>
        <v/>
      </c>
      <c r="E738">
        <f>IFERROR(INDEX(PP_Grid[#Data],$DD738,3),0)</f>
        <v/>
      </c>
      <c r="F738">
        <f>IFERROR(INDEX(PP_Grid[#Data],$DD738,4),0)</f>
        <v/>
      </c>
      <c r="G738">
        <f>IFERROR(INDEX(PP_Grid[#Data],$DD738,5),0)</f>
        <v/>
      </c>
      <c r="H738">
        <f>IFERROR(INDEX(PP_Grid[#Data],$DD738,6),0)</f>
        <v/>
      </c>
      <c r="I738">
        <f>IFERROR(INDEX(PP_Grid[#Data],$DD738,7),0)</f>
        <v/>
      </c>
      <c r="J738">
        <f>IFERROR(INDEX(PP_Grid[#Data],$DD738,8),0)</f>
        <v/>
      </c>
      <c r="K738">
        <f>IFERROR(INDEX(PP_Grid[#Data],$DD738,9),0)</f>
        <v/>
      </c>
      <c r="L738">
        <f>IFERROR(INDEX(PP_Grid[#Data],$DD738,10),0)</f>
        <v/>
      </c>
      <c r="M738">
        <f>IFERROR(INDEX(PP_Grid[#Data],$DD738,11),0)</f>
        <v/>
      </c>
      <c r="N738">
        <f>IFERROR(INDEX(PP_Grid[#Data],$DD738,12),0)</f>
        <v/>
      </c>
      <c r="O738">
        <f>IFERROR(INDEX(PP_Grid[#Data],$DD738,13),0)</f>
        <v/>
      </c>
      <c r="P738">
        <f>IFERROR(INDEX(PP_Grid[#Data],$DD738,14),0)</f>
        <v/>
      </c>
      <c r="Q738">
        <f>IFERROR(INDEX(PP_Grid[#Data],$DD738,15),0)</f>
        <v/>
      </c>
      <c r="R738">
        <f>IFERROR(INDEX(PP_Grid[#Data],$DD738,16),0)</f>
        <v/>
      </c>
      <c r="S738">
        <f>IFERROR(INDEX(PP_Grid[#Data],$DD738,17),0)</f>
        <v/>
      </c>
      <c r="T738">
        <f>IFERROR(INDEX(PP_Grid[#Data],$DD738,18),0)</f>
        <v/>
      </c>
      <c r="U738">
        <f>IFERROR(INDEX(PP_Grid[#Data],$DD738,19),0)</f>
        <v/>
      </c>
      <c r="V738">
        <f>IFERROR(INDEX(PP_Grid[#Data],$DD738,20),0)</f>
        <v/>
      </c>
      <c r="W738">
        <f>IFERROR(INDEX(PP_Grid[#Data],$DD738,21),0)</f>
        <v/>
      </c>
      <c r="X738">
        <f>IFERROR(INDEX(PP_Grid[#Data],$DD738,22),0)</f>
        <v/>
      </c>
      <c r="Y738">
        <f>IFERROR(INDEX(PP_Grid[#Data],$DD738,23),0)</f>
        <v/>
      </c>
      <c r="Z738">
        <f>IFERROR(INDEX(PP_Grid[#Data],$DD738,24),0)</f>
        <v/>
      </c>
      <c r="AA738">
        <f>IFERROR(INDEX(PP_Grid[#Data],$DD738,25),0)</f>
        <v/>
      </c>
      <c r="AB738">
        <f>IFERROR(INDEX(PP_Grid[#Data],$DD738,26),0)</f>
        <v/>
      </c>
      <c r="AC738">
        <f>IFERROR(INDEX(PP_Grid[#Data],$DD738,27),0)</f>
        <v/>
      </c>
      <c r="AD738">
        <f>IFERROR(INDEX(PP_Grid[#Data],$DD738,28),0)</f>
        <v/>
      </c>
      <c r="AE738">
        <f>IFERROR(INDEX(PP_Grid[#Data],$DD738,29),0)</f>
        <v/>
      </c>
      <c r="AF738">
        <f>IFERROR(INDEX(PP_Grid[#Data],$DD738,30),0)</f>
        <v/>
      </c>
      <c r="AG738">
        <f>IFERROR(INDEX(PP_Grid[#Data],$DD738,31),0)</f>
        <v/>
      </c>
      <c r="AH738">
        <f>IFERROR(INDEX(PP_Grid[#Data],$DD738,32),0)</f>
        <v/>
      </c>
      <c r="AI738">
        <f>IFERROR(INDEX(PP_Grid[#Data],$DD738,33),0)</f>
        <v/>
      </c>
      <c r="AJ738">
        <f>IFERROR(INDEX(PP_Grid[#Data],$DD738,34),0)</f>
        <v/>
      </c>
      <c r="AK738">
        <f>IFERROR(INDEX(PP_Grid[#Data],$DD738,35),0)</f>
        <v/>
      </c>
      <c r="AL738">
        <f>IFERROR(INDEX(PP_Grid[#Data],$DD738,36),0)</f>
        <v/>
      </c>
      <c r="AM738">
        <f>IFERROR(INDEX(PP_Grid[#Data],$DD738,37),0)</f>
        <v/>
      </c>
      <c r="AN738">
        <f>IFERROR(INDEX(PP_Grid[#Data],$DD738,38),0)</f>
        <v/>
      </c>
      <c r="AO738">
        <f>IFERROR(INDEX(PP_Grid[#Data],$DD738,39),0)</f>
        <v/>
      </c>
      <c r="AP738">
        <f>IFERROR(INDEX(PP_Grid[#Data],$DD738,40),0)</f>
        <v/>
      </c>
      <c r="AQ738">
        <f>IFERROR(INDEX(PP_Grid[#Data],$DD738,41),0)</f>
        <v/>
      </c>
      <c r="AR738">
        <f>IFERROR(INDEX(PP_Grid[#Data],$DD738,42),0)</f>
        <v/>
      </c>
      <c r="AS738">
        <f>IFERROR(INDEX(PP_Grid[#Data],$DD738,43),0)</f>
        <v/>
      </c>
      <c r="AT738">
        <f>IFERROR(INDEX(PP_Grid[#Data],$DD738,44),0)</f>
        <v/>
      </c>
      <c r="AU738">
        <f>IFERROR(INDEX(PP_Grid[#Data],$DD738,45),0)</f>
        <v/>
      </c>
      <c r="AV738">
        <f>IFERROR(INDEX(PP_Grid[#Data],$DD738,46),0)</f>
        <v/>
      </c>
      <c r="AW738">
        <f>IFERROR(INDEX(PP_Grid[#Data],$DD738,47),0)</f>
        <v/>
      </c>
      <c r="AX738">
        <f>IFERROR(INDEX(PP_Grid[#Data],$DD738,48),0)</f>
        <v/>
      </c>
      <c r="AY738">
        <f>IFERROR(INDEX(PP_Grid[#Data],$DD738,49),0)</f>
        <v/>
      </c>
      <c r="AZ738">
        <f>IFERROR(INDEX(PP_Grid[#Data],$DD738,50),0)</f>
        <v/>
      </c>
      <c r="BA738">
        <f>IFERROR(INDEX(PP_Grid[#Data],$DD738,51),0)</f>
        <v/>
      </c>
      <c r="BB738">
        <f>IFERROR(INDEX(PP_Grid[#Data],$DD738,52),0)</f>
        <v/>
      </c>
      <c r="BC738">
        <f>IFERROR(INDEX(PP_Grid[#Data],$DD738,53),0)</f>
        <v/>
      </c>
      <c r="BD738">
        <f>IFERROR(INDEX(PP_Grid[#Data],$DD738,54),0)</f>
        <v/>
      </c>
      <c r="BE738">
        <f>IFERROR(INDEX(PP_Grid[#Data],$DD738,55),0)</f>
        <v/>
      </c>
      <c r="BF738">
        <f>IFERROR(INDEX(PP_Grid[#Data],$DD738,56),0)</f>
        <v/>
      </c>
      <c r="BG738">
        <f>IFERROR(INDEX(PP_Grid[#Data],$DD738,57),0)</f>
        <v/>
      </c>
      <c r="BH738">
        <f>IFERROR(INDEX(PP_Grid[#Data],$DD738,58),0)</f>
        <v/>
      </c>
      <c r="BI738">
        <f>IFERROR(INDEX(PP_Grid[#Data],$DD738,59),0)</f>
        <v/>
      </c>
      <c r="BJ738">
        <f>IFERROR(INDEX(PP_Grid[#Data],$DD738,60),0)</f>
        <v/>
      </c>
      <c r="BK738">
        <f>IFERROR(INDEX(PP_Grid[#Data],$DD738,61),0)</f>
        <v/>
      </c>
      <c r="BL738">
        <f>IFERROR(INDEX(PP_Grid[#Data],$DD738,62),0)</f>
        <v/>
      </c>
      <c r="BM738">
        <f>IFERROR(INDEX(PP_Grid[#Data],$DD738,63),0)</f>
        <v/>
      </c>
      <c r="BN738">
        <f>IFERROR(INDEX(PP_Grid[#Data],$DD738,64),0)</f>
        <v/>
      </c>
      <c r="BO738">
        <f>IFERROR(INDEX(PP_Grid[#Data],$DD738,65),0)</f>
        <v/>
      </c>
      <c r="BP738">
        <f>IFERROR(INDEX(PP_Grid[#Data],$DD738,66),0)</f>
        <v/>
      </c>
      <c r="BQ738">
        <f>IFERROR(INDEX(PP_Grid[#Data],$DD738,67),0)</f>
        <v/>
      </c>
      <c r="BR738">
        <f>IFERROR(INDEX(PP_Grid[#Data],$DD738,68),0)</f>
        <v/>
      </c>
      <c r="BS738">
        <f>IFERROR(INDEX(PP_Grid[#Data],$DD738,69),0)</f>
        <v/>
      </c>
      <c r="BT738">
        <f>IFERROR(INDEX(PP_Grid[#Data],$DD738,70),0)</f>
        <v/>
      </c>
      <c r="BU738">
        <f>IFERROR(INDEX(PP_Grid[#Data],$DD738,71),0)</f>
        <v/>
      </c>
      <c r="BV738">
        <f>IFERROR(INDEX(PP_Grid[#Data],$DD738,72),0)</f>
        <v/>
      </c>
      <c r="BW738">
        <f>IFERROR(INDEX(PP_Grid[#Data],$DD738,73),0)</f>
        <v/>
      </c>
      <c r="BX738">
        <f>IFERROR(INDEX(PP_Grid[#Data],$DD738,74),0)</f>
        <v/>
      </c>
      <c r="BY738">
        <f>IFERROR(INDEX(PP_Grid[#Data],$DD738,75),0)</f>
        <v/>
      </c>
      <c r="BZ738">
        <f>IFERROR(INDEX(PP_Grid[#Data],$DD738,76),0)</f>
        <v/>
      </c>
      <c r="CA738">
        <f>IFERROR(INDEX(PP_Grid[#Data],$DD738,77),0)</f>
        <v/>
      </c>
      <c r="CB738">
        <f>IFERROR(INDEX(PP_Grid[#Data],$DD738,78),0)</f>
        <v/>
      </c>
      <c r="CC738">
        <f>IFERROR(INDEX(PP_Grid[#Data],$DD738,79),0)</f>
        <v/>
      </c>
      <c r="CD738">
        <f>IFERROR(INDEX(PP_Grid[#Data],$DD738,80),0)</f>
        <v/>
      </c>
      <c r="CE738">
        <f>IFERROR(INDEX(PP_Grid[#Data],$DD738,81),0)</f>
        <v/>
      </c>
      <c r="CF738">
        <f>IFERROR(INDEX(PP_Grid[#Data],$DD738,82),0)</f>
        <v/>
      </c>
      <c r="CG738">
        <f>IFERROR(INDEX(PP_Grid[#Data],$DD738,83),0)</f>
        <v/>
      </c>
      <c r="CH738">
        <f>IFERROR(INDEX(PP_Grid[#Data],$DD738,84),0)</f>
        <v/>
      </c>
      <c r="CI738">
        <f>IFERROR(INDEX(PP_Grid[#Data],$DD738,85),0)</f>
        <v/>
      </c>
      <c r="CJ738">
        <f>IFERROR(INDEX(PP_Grid[#Data],$DD738,86),0)</f>
        <v/>
      </c>
      <c r="CK738">
        <f>IFERROR(INDEX(PP_Grid[#Data],$DD738,87),0)</f>
        <v/>
      </c>
      <c r="CL738">
        <f>IFERROR(INDEX(PP_Grid[#Data],$DD738,88),0)</f>
        <v/>
      </c>
      <c r="CM738">
        <f>IFERROR(INDEX(PP_Grid[#Data],$DD738,89),0)</f>
        <v/>
      </c>
      <c r="CN738">
        <f>IFERROR(INDEX(PP_Grid[#Data],$DD738,90),0)</f>
        <v/>
      </c>
      <c r="CO738">
        <f>IFERROR(INDEX(PP_Grid[#Data],$DD738,91),0)</f>
        <v/>
      </c>
      <c r="CP738">
        <f>IFERROR(INDEX(PP_Grid[#Data],$DD738,92),0)</f>
        <v/>
      </c>
      <c r="CQ738">
        <f>IFERROR(INDEX(PP_Grid[#Data],$DD738,93),0)</f>
        <v/>
      </c>
      <c r="CR738">
        <f>IFERROR(INDEX(PP_Grid[#Data],$DD738,94),0)</f>
        <v/>
      </c>
      <c r="CS738">
        <f>IFERROR(INDEX(PP_Grid[#Data],$DD738,95),0)</f>
        <v/>
      </c>
      <c r="CT738">
        <f>IFERROR(INDEX(PP_Grid[#Data],$DD738,96),0)</f>
        <v/>
      </c>
      <c r="CU738">
        <f>IFERROR(INDEX(PP_Grid[#Data],$DD738,97),0)</f>
        <v/>
      </c>
      <c r="CV738">
        <f>IFERROR(INDEX(PP_Grid[#Data],$DD738,98),0)</f>
        <v/>
      </c>
      <c r="CW738">
        <f>IFERROR(INDEX(PP_Grid[#Data],$DD738,99),0)</f>
        <v/>
      </c>
      <c r="CX738">
        <f>IFERROR(INDEX(PP_Grid[#Data],$DD738,100),0)</f>
        <v/>
      </c>
      <c r="CY738">
        <f>IFERROR(INDEX(PP_Grid[#Data],$DD738,101),0)</f>
        <v/>
      </c>
      <c r="CZ738">
        <f>IFERROR(INDEX(PP_Grid[#Data],$DD738,102),0)</f>
        <v/>
      </c>
      <c r="DA738">
        <f>IFERROR(INDEX(PP_Grid[#Data],$DD738,103),0)</f>
        <v/>
      </c>
      <c r="DB738">
        <f>IFERROR(INDEX(PP_Grid[#Data],$DD738,104),0)</f>
        <v/>
      </c>
      <c r="DC738">
        <f>IFERROR(INDEX(PP_Grid[#Data],$DD738,105),0)</f>
        <v/>
      </c>
      <c r="DD738" s="12">
        <f>IFERROR(MATCH($B738,PP_Grid[Intermediate],0),99999)</f>
        <v/>
      </c>
    </row>
    <row r="739">
      <c r="B739" t="inlineStr">
        <is>
          <t>使用量(kg)</t>
        </is>
      </c>
      <c r="C739">
        <f>SUMIFS(M_BOM[RM_Qty_Per_Batch],M_BOM[Intermediate],$B738,M_BOM[Part Name],$A669)</f>
        <v/>
      </c>
      <c r="D739">
        <f>$C739*D738</f>
        <v/>
      </c>
      <c r="E739">
        <f>$C739*E738</f>
        <v/>
      </c>
      <c r="F739">
        <f>$C739*F738</f>
        <v/>
      </c>
      <c r="G739">
        <f>$C739*G738</f>
        <v/>
      </c>
      <c r="H739">
        <f>$C739*H738</f>
        <v/>
      </c>
      <c r="I739">
        <f>$C739*I738</f>
        <v/>
      </c>
      <c r="J739">
        <f>$C739*J738</f>
        <v/>
      </c>
      <c r="K739">
        <f>$C739*K738</f>
        <v/>
      </c>
      <c r="L739">
        <f>$C739*L738</f>
        <v/>
      </c>
      <c r="M739">
        <f>$C739*M738</f>
        <v/>
      </c>
      <c r="N739">
        <f>$C739*N738</f>
        <v/>
      </c>
      <c r="O739">
        <f>$C739*O738</f>
        <v/>
      </c>
      <c r="P739">
        <f>$C739*P738</f>
        <v/>
      </c>
      <c r="Q739">
        <f>$C739*Q738</f>
        <v/>
      </c>
      <c r="R739">
        <f>$C739*R738</f>
        <v/>
      </c>
      <c r="S739">
        <f>$C739*S738</f>
        <v/>
      </c>
      <c r="T739">
        <f>$C739*T738</f>
        <v/>
      </c>
      <c r="U739">
        <f>$C739*U738</f>
        <v/>
      </c>
      <c r="V739">
        <f>$C739*V738</f>
        <v/>
      </c>
      <c r="W739">
        <f>$C739*W738</f>
        <v/>
      </c>
      <c r="X739">
        <f>$C739*X738</f>
        <v/>
      </c>
      <c r="Y739">
        <f>$C739*Y738</f>
        <v/>
      </c>
      <c r="Z739">
        <f>$C739*Z738</f>
        <v/>
      </c>
      <c r="AA739">
        <f>$C739*AA738</f>
        <v/>
      </c>
      <c r="AB739">
        <f>$C739*AB738</f>
        <v/>
      </c>
      <c r="AC739">
        <f>$C739*AC738</f>
        <v/>
      </c>
      <c r="AD739">
        <f>$C739*AD738</f>
        <v/>
      </c>
      <c r="AE739">
        <f>$C739*AE738</f>
        <v/>
      </c>
      <c r="AF739">
        <f>$C739*AF738</f>
        <v/>
      </c>
      <c r="AG739">
        <f>$C739*AG738</f>
        <v/>
      </c>
      <c r="AH739">
        <f>$C739*AH738</f>
        <v/>
      </c>
      <c r="AI739">
        <f>$C739*AI738</f>
        <v/>
      </c>
      <c r="AJ739">
        <f>$C739*AJ738</f>
        <v/>
      </c>
      <c r="AK739">
        <f>$C739*AK738</f>
        <v/>
      </c>
      <c r="AL739">
        <f>$C739*AL738</f>
        <v/>
      </c>
      <c r="AM739">
        <f>$C739*AM738</f>
        <v/>
      </c>
      <c r="AN739">
        <f>$C739*AN738</f>
        <v/>
      </c>
      <c r="AO739">
        <f>$C739*AO738</f>
        <v/>
      </c>
      <c r="AP739">
        <f>$C739*AP738</f>
        <v/>
      </c>
      <c r="AQ739">
        <f>$C739*AQ738</f>
        <v/>
      </c>
      <c r="AR739">
        <f>$C739*AR738</f>
        <v/>
      </c>
      <c r="AS739">
        <f>$C739*AS738</f>
        <v/>
      </c>
      <c r="AT739">
        <f>$C739*AT738</f>
        <v/>
      </c>
      <c r="AU739">
        <f>$C739*AU738</f>
        <v/>
      </c>
      <c r="AV739">
        <f>$C739*AV738</f>
        <v/>
      </c>
      <c r="AW739">
        <f>$C739*AW738</f>
        <v/>
      </c>
      <c r="AX739">
        <f>$C739*AX738</f>
        <v/>
      </c>
      <c r="AY739">
        <f>$C739*AY738</f>
        <v/>
      </c>
      <c r="AZ739">
        <f>$C739*AZ738</f>
        <v/>
      </c>
      <c r="BA739">
        <f>$C739*BA738</f>
        <v/>
      </c>
      <c r="BB739">
        <f>$C739*BB738</f>
        <v/>
      </c>
      <c r="BC739">
        <f>$C739*BC738</f>
        <v/>
      </c>
      <c r="BD739">
        <f>$C739*BD738</f>
        <v/>
      </c>
      <c r="BE739">
        <f>$C739*BE738</f>
        <v/>
      </c>
      <c r="BF739">
        <f>$C739*BF738</f>
        <v/>
      </c>
      <c r="BG739">
        <f>$C739*BG738</f>
        <v/>
      </c>
      <c r="BH739">
        <f>$C739*BH738</f>
        <v/>
      </c>
      <c r="BI739">
        <f>$C739*BI738</f>
        <v/>
      </c>
      <c r="BJ739">
        <f>$C739*BJ738</f>
        <v/>
      </c>
      <c r="BK739">
        <f>$C739*BK738</f>
        <v/>
      </c>
      <c r="BL739">
        <f>$C739*BL738</f>
        <v/>
      </c>
      <c r="BM739">
        <f>$C739*BM738</f>
        <v/>
      </c>
      <c r="BN739">
        <f>$C739*BN738</f>
        <v/>
      </c>
      <c r="BO739">
        <f>$C739*BO738</f>
        <v/>
      </c>
      <c r="BP739">
        <f>$C739*BP738</f>
        <v/>
      </c>
      <c r="BQ739">
        <f>$C739*BQ738</f>
        <v/>
      </c>
      <c r="BR739">
        <f>$C739*BR738</f>
        <v/>
      </c>
      <c r="BS739">
        <f>$C739*BS738</f>
        <v/>
      </c>
      <c r="BT739">
        <f>$C739*BT738</f>
        <v/>
      </c>
      <c r="BU739">
        <f>$C739*BU738</f>
        <v/>
      </c>
      <c r="BV739">
        <f>$C739*BV738</f>
        <v/>
      </c>
      <c r="BW739">
        <f>$C739*BW738</f>
        <v/>
      </c>
      <c r="BX739">
        <f>$C739*BX738</f>
        <v/>
      </c>
      <c r="BY739">
        <f>$C739*BY738</f>
        <v/>
      </c>
      <c r="BZ739">
        <f>$C739*BZ738</f>
        <v/>
      </c>
      <c r="CA739">
        <f>$C739*CA738</f>
        <v/>
      </c>
      <c r="CB739">
        <f>$C739*CB738</f>
        <v/>
      </c>
      <c r="CC739">
        <f>$C739*CC738</f>
        <v/>
      </c>
      <c r="CD739">
        <f>$C739*CD738</f>
        <v/>
      </c>
      <c r="CE739">
        <f>$C739*CE738</f>
        <v/>
      </c>
      <c r="CF739">
        <f>$C739*CF738</f>
        <v/>
      </c>
      <c r="CG739">
        <f>$C739*CG738</f>
        <v/>
      </c>
      <c r="CH739">
        <f>$C739*CH738</f>
        <v/>
      </c>
      <c r="CI739">
        <f>$C739*CI738</f>
        <v/>
      </c>
      <c r="CJ739">
        <f>$C739*CJ738</f>
        <v/>
      </c>
      <c r="CK739">
        <f>$C739*CK738</f>
        <v/>
      </c>
      <c r="CL739">
        <f>$C739*CL738</f>
        <v/>
      </c>
      <c r="CM739">
        <f>$C739*CM738</f>
        <v/>
      </c>
      <c r="CN739">
        <f>$C739*CN738</f>
        <v/>
      </c>
      <c r="CO739">
        <f>$C739*CO738</f>
        <v/>
      </c>
      <c r="CP739">
        <f>$C739*CP738</f>
        <v/>
      </c>
      <c r="CQ739">
        <f>$C739*CQ738</f>
        <v/>
      </c>
      <c r="CR739">
        <f>$C739*CR738</f>
        <v/>
      </c>
      <c r="CS739">
        <f>$C739*CS738</f>
        <v/>
      </c>
      <c r="CT739">
        <f>$C739*CT738</f>
        <v/>
      </c>
      <c r="CU739">
        <f>$C739*CU738</f>
        <v/>
      </c>
      <c r="CV739">
        <f>$C739*CV738</f>
        <v/>
      </c>
      <c r="CW739">
        <f>$C739*CW738</f>
        <v/>
      </c>
      <c r="CX739">
        <f>$C739*CX738</f>
        <v/>
      </c>
      <c r="CY739">
        <f>$C739*CY738</f>
        <v/>
      </c>
      <c r="CZ739">
        <f>$C739*CZ738</f>
        <v/>
      </c>
      <c r="DA739">
        <f>$C739*DA738</f>
        <v/>
      </c>
      <c r="DB739">
        <f>$C739*DB738</f>
        <v/>
      </c>
      <c r="DC739">
        <f>$C739*DC738</f>
        <v/>
      </c>
    </row>
    <row r="740">
      <c r="B740" t="inlineStr">
        <is>
          <t>TSP-655</t>
        </is>
      </c>
      <c r="C740" t="inlineStr">
        <is>
          <t>No. of batches</t>
        </is>
      </c>
      <c r="D740">
        <f>IFERROR(INDEX(PP_Grid[#Data],$DD740,2),0)</f>
        <v/>
      </c>
      <c r="E740">
        <f>IFERROR(INDEX(PP_Grid[#Data],$DD740,3),0)</f>
        <v/>
      </c>
      <c r="F740">
        <f>IFERROR(INDEX(PP_Grid[#Data],$DD740,4),0)</f>
        <v/>
      </c>
      <c r="G740">
        <f>IFERROR(INDEX(PP_Grid[#Data],$DD740,5),0)</f>
        <v/>
      </c>
      <c r="H740">
        <f>IFERROR(INDEX(PP_Grid[#Data],$DD740,6),0)</f>
        <v/>
      </c>
      <c r="I740">
        <f>IFERROR(INDEX(PP_Grid[#Data],$DD740,7),0)</f>
        <v/>
      </c>
      <c r="J740">
        <f>IFERROR(INDEX(PP_Grid[#Data],$DD740,8),0)</f>
        <v/>
      </c>
      <c r="K740">
        <f>IFERROR(INDEX(PP_Grid[#Data],$DD740,9),0)</f>
        <v/>
      </c>
      <c r="L740">
        <f>IFERROR(INDEX(PP_Grid[#Data],$DD740,10),0)</f>
        <v/>
      </c>
      <c r="M740">
        <f>IFERROR(INDEX(PP_Grid[#Data],$DD740,11),0)</f>
        <v/>
      </c>
      <c r="N740">
        <f>IFERROR(INDEX(PP_Grid[#Data],$DD740,12),0)</f>
        <v/>
      </c>
      <c r="O740">
        <f>IFERROR(INDEX(PP_Grid[#Data],$DD740,13),0)</f>
        <v/>
      </c>
      <c r="P740">
        <f>IFERROR(INDEX(PP_Grid[#Data],$DD740,14),0)</f>
        <v/>
      </c>
      <c r="Q740">
        <f>IFERROR(INDEX(PP_Grid[#Data],$DD740,15),0)</f>
        <v/>
      </c>
      <c r="R740">
        <f>IFERROR(INDEX(PP_Grid[#Data],$DD740,16),0)</f>
        <v/>
      </c>
      <c r="S740">
        <f>IFERROR(INDEX(PP_Grid[#Data],$DD740,17),0)</f>
        <v/>
      </c>
      <c r="T740">
        <f>IFERROR(INDEX(PP_Grid[#Data],$DD740,18),0)</f>
        <v/>
      </c>
      <c r="U740">
        <f>IFERROR(INDEX(PP_Grid[#Data],$DD740,19),0)</f>
        <v/>
      </c>
      <c r="V740">
        <f>IFERROR(INDEX(PP_Grid[#Data],$DD740,20),0)</f>
        <v/>
      </c>
      <c r="W740">
        <f>IFERROR(INDEX(PP_Grid[#Data],$DD740,21),0)</f>
        <v/>
      </c>
      <c r="X740">
        <f>IFERROR(INDEX(PP_Grid[#Data],$DD740,22),0)</f>
        <v/>
      </c>
      <c r="Y740">
        <f>IFERROR(INDEX(PP_Grid[#Data],$DD740,23),0)</f>
        <v/>
      </c>
      <c r="Z740">
        <f>IFERROR(INDEX(PP_Grid[#Data],$DD740,24),0)</f>
        <v/>
      </c>
      <c r="AA740">
        <f>IFERROR(INDEX(PP_Grid[#Data],$DD740,25),0)</f>
        <v/>
      </c>
      <c r="AB740">
        <f>IFERROR(INDEX(PP_Grid[#Data],$DD740,26),0)</f>
        <v/>
      </c>
      <c r="AC740">
        <f>IFERROR(INDEX(PP_Grid[#Data],$DD740,27),0)</f>
        <v/>
      </c>
      <c r="AD740">
        <f>IFERROR(INDEX(PP_Grid[#Data],$DD740,28),0)</f>
        <v/>
      </c>
      <c r="AE740">
        <f>IFERROR(INDEX(PP_Grid[#Data],$DD740,29),0)</f>
        <v/>
      </c>
      <c r="AF740">
        <f>IFERROR(INDEX(PP_Grid[#Data],$DD740,30),0)</f>
        <v/>
      </c>
      <c r="AG740">
        <f>IFERROR(INDEX(PP_Grid[#Data],$DD740,31),0)</f>
        <v/>
      </c>
      <c r="AH740">
        <f>IFERROR(INDEX(PP_Grid[#Data],$DD740,32),0)</f>
        <v/>
      </c>
      <c r="AI740">
        <f>IFERROR(INDEX(PP_Grid[#Data],$DD740,33),0)</f>
        <v/>
      </c>
      <c r="AJ740">
        <f>IFERROR(INDEX(PP_Grid[#Data],$DD740,34),0)</f>
        <v/>
      </c>
      <c r="AK740">
        <f>IFERROR(INDEX(PP_Grid[#Data],$DD740,35),0)</f>
        <v/>
      </c>
      <c r="AL740">
        <f>IFERROR(INDEX(PP_Grid[#Data],$DD740,36),0)</f>
        <v/>
      </c>
      <c r="AM740">
        <f>IFERROR(INDEX(PP_Grid[#Data],$DD740,37),0)</f>
        <v/>
      </c>
      <c r="AN740">
        <f>IFERROR(INDEX(PP_Grid[#Data],$DD740,38),0)</f>
        <v/>
      </c>
      <c r="AO740">
        <f>IFERROR(INDEX(PP_Grid[#Data],$DD740,39),0)</f>
        <v/>
      </c>
      <c r="AP740">
        <f>IFERROR(INDEX(PP_Grid[#Data],$DD740,40),0)</f>
        <v/>
      </c>
      <c r="AQ740">
        <f>IFERROR(INDEX(PP_Grid[#Data],$DD740,41),0)</f>
        <v/>
      </c>
      <c r="AR740">
        <f>IFERROR(INDEX(PP_Grid[#Data],$DD740,42),0)</f>
        <v/>
      </c>
      <c r="AS740">
        <f>IFERROR(INDEX(PP_Grid[#Data],$DD740,43),0)</f>
        <v/>
      </c>
      <c r="AT740">
        <f>IFERROR(INDEX(PP_Grid[#Data],$DD740,44),0)</f>
        <v/>
      </c>
      <c r="AU740">
        <f>IFERROR(INDEX(PP_Grid[#Data],$DD740,45),0)</f>
        <v/>
      </c>
      <c r="AV740">
        <f>IFERROR(INDEX(PP_Grid[#Data],$DD740,46),0)</f>
        <v/>
      </c>
      <c r="AW740">
        <f>IFERROR(INDEX(PP_Grid[#Data],$DD740,47),0)</f>
        <v/>
      </c>
      <c r="AX740">
        <f>IFERROR(INDEX(PP_Grid[#Data],$DD740,48),0)</f>
        <v/>
      </c>
      <c r="AY740">
        <f>IFERROR(INDEX(PP_Grid[#Data],$DD740,49),0)</f>
        <v/>
      </c>
      <c r="AZ740">
        <f>IFERROR(INDEX(PP_Grid[#Data],$DD740,50),0)</f>
        <v/>
      </c>
      <c r="BA740">
        <f>IFERROR(INDEX(PP_Grid[#Data],$DD740,51),0)</f>
        <v/>
      </c>
      <c r="BB740">
        <f>IFERROR(INDEX(PP_Grid[#Data],$DD740,52),0)</f>
        <v/>
      </c>
      <c r="BC740">
        <f>IFERROR(INDEX(PP_Grid[#Data],$DD740,53),0)</f>
        <v/>
      </c>
      <c r="BD740">
        <f>IFERROR(INDEX(PP_Grid[#Data],$DD740,54),0)</f>
        <v/>
      </c>
      <c r="BE740">
        <f>IFERROR(INDEX(PP_Grid[#Data],$DD740,55),0)</f>
        <v/>
      </c>
      <c r="BF740">
        <f>IFERROR(INDEX(PP_Grid[#Data],$DD740,56),0)</f>
        <v/>
      </c>
      <c r="BG740">
        <f>IFERROR(INDEX(PP_Grid[#Data],$DD740,57),0)</f>
        <v/>
      </c>
      <c r="BH740">
        <f>IFERROR(INDEX(PP_Grid[#Data],$DD740,58),0)</f>
        <v/>
      </c>
      <c r="BI740">
        <f>IFERROR(INDEX(PP_Grid[#Data],$DD740,59),0)</f>
        <v/>
      </c>
      <c r="BJ740">
        <f>IFERROR(INDEX(PP_Grid[#Data],$DD740,60),0)</f>
        <v/>
      </c>
      <c r="BK740">
        <f>IFERROR(INDEX(PP_Grid[#Data],$DD740,61),0)</f>
        <v/>
      </c>
      <c r="BL740">
        <f>IFERROR(INDEX(PP_Grid[#Data],$DD740,62),0)</f>
        <v/>
      </c>
      <c r="BM740">
        <f>IFERROR(INDEX(PP_Grid[#Data],$DD740,63),0)</f>
        <v/>
      </c>
      <c r="BN740">
        <f>IFERROR(INDEX(PP_Grid[#Data],$DD740,64),0)</f>
        <v/>
      </c>
      <c r="BO740">
        <f>IFERROR(INDEX(PP_Grid[#Data],$DD740,65),0)</f>
        <v/>
      </c>
      <c r="BP740">
        <f>IFERROR(INDEX(PP_Grid[#Data],$DD740,66),0)</f>
        <v/>
      </c>
      <c r="BQ740">
        <f>IFERROR(INDEX(PP_Grid[#Data],$DD740,67),0)</f>
        <v/>
      </c>
      <c r="BR740">
        <f>IFERROR(INDEX(PP_Grid[#Data],$DD740,68),0)</f>
        <v/>
      </c>
      <c r="BS740">
        <f>IFERROR(INDEX(PP_Grid[#Data],$DD740,69),0)</f>
        <v/>
      </c>
      <c r="BT740">
        <f>IFERROR(INDEX(PP_Grid[#Data],$DD740,70),0)</f>
        <v/>
      </c>
      <c r="BU740">
        <f>IFERROR(INDEX(PP_Grid[#Data],$DD740,71),0)</f>
        <v/>
      </c>
      <c r="BV740">
        <f>IFERROR(INDEX(PP_Grid[#Data],$DD740,72),0)</f>
        <v/>
      </c>
      <c r="BW740">
        <f>IFERROR(INDEX(PP_Grid[#Data],$DD740,73),0)</f>
        <v/>
      </c>
      <c r="BX740">
        <f>IFERROR(INDEX(PP_Grid[#Data],$DD740,74),0)</f>
        <v/>
      </c>
      <c r="BY740">
        <f>IFERROR(INDEX(PP_Grid[#Data],$DD740,75),0)</f>
        <v/>
      </c>
      <c r="BZ740">
        <f>IFERROR(INDEX(PP_Grid[#Data],$DD740,76),0)</f>
        <v/>
      </c>
      <c r="CA740">
        <f>IFERROR(INDEX(PP_Grid[#Data],$DD740,77),0)</f>
        <v/>
      </c>
      <c r="CB740">
        <f>IFERROR(INDEX(PP_Grid[#Data],$DD740,78),0)</f>
        <v/>
      </c>
      <c r="CC740">
        <f>IFERROR(INDEX(PP_Grid[#Data],$DD740,79),0)</f>
        <v/>
      </c>
      <c r="CD740">
        <f>IFERROR(INDEX(PP_Grid[#Data],$DD740,80),0)</f>
        <v/>
      </c>
      <c r="CE740">
        <f>IFERROR(INDEX(PP_Grid[#Data],$DD740,81),0)</f>
        <v/>
      </c>
      <c r="CF740">
        <f>IFERROR(INDEX(PP_Grid[#Data],$DD740,82),0)</f>
        <v/>
      </c>
      <c r="CG740">
        <f>IFERROR(INDEX(PP_Grid[#Data],$DD740,83),0)</f>
        <v/>
      </c>
      <c r="CH740">
        <f>IFERROR(INDEX(PP_Grid[#Data],$DD740,84),0)</f>
        <v/>
      </c>
      <c r="CI740">
        <f>IFERROR(INDEX(PP_Grid[#Data],$DD740,85),0)</f>
        <v/>
      </c>
      <c r="CJ740">
        <f>IFERROR(INDEX(PP_Grid[#Data],$DD740,86),0)</f>
        <v/>
      </c>
      <c r="CK740">
        <f>IFERROR(INDEX(PP_Grid[#Data],$DD740,87),0)</f>
        <v/>
      </c>
      <c r="CL740">
        <f>IFERROR(INDEX(PP_Grid[#Data],$DD740,88),0)</f>
        <v/>
      </c>
      <c r="CM740">
        <f>IFERROR(INDEX(PP_Grid[#Data],$DD740,89),0)</f>
        <v/>
      </c>
      <c r="CN740">
        <f>IFERROR(INDEX(PP_Grid[#Data],$DD740,90),0)</f>
        <v/>
      </c>
      <c r="CO740">
        <f>IFERROR(INDEX(PP_Grid[#Data],$DD740,91),0)</f>
        <v/>
      </c>
      <c r="CP740">
        <f>IFERROR(INDEX(PP_Grid[#Data],$DD740,92),0)</f>
        <v/>
      </c>
      <c r="CQ740">
        <f>IFERROR(INDEX(PP_Grid[#Data],$DD740,93),0)</f>
        <v/>
      </c>
      <c r="CR740">
        <f>IFERROR(INDEX(PP_Grid[#Data],$DD740,94),0)</f>
        <v/>
      </c>
      <c r="CS740">
        <f>IFERROR(INDEX(PP_Grid[#Data],$DD740,95),0)</f>
        <v/>
      </c>
      <c r="CT740">
        <f>IFERROR(INDEX(PP_Grid[#Data],$DD740,96),0)</f>
        <v/>
      </c>
      <c r="CU740">
        <f>IFERROR(INDEX(PP_Grid[#Data],$DD740,97),0)</f>
        <v/>
      </c>
      <c r="CV740">
        <f>IFERROR(INDEX(PP_Grid[#Data],$DD740,98),0)</f>
        <v/>
      </c>
      <c r="CW740">
        <f>IFERROR(INDEX(PP_Grid[#Data],$DD740,99),0)</f>
        <v/>
      </c>
      <c r="CX740">
        <f>IFERROR(INDEX(PP_Grid[#Data],$DD740,100),0)</f>
        <v/>
      </c>
      <c r="CY740">
        <f>IFERROR(INDEX(PP_Grid[#Data],$DD740,101),0)</f>
        <v/>
      </c>
      <c r="CZ740">
        <f>IFERROR(INDEX(PP_Grid[#Data],$DD740,102),0)</f>
        <v/>
      </c>
      <c r="DA740">
        <f>IFERROR(INDEX(PP_Grid[#Data],$DD740,103),0)</f>
        <v/>
      </c>
      <c r="DB740">
        <f>IFERROR(INDEX(PP_Grid[#Data],$DD740,104),0)</f>
        <v/>
      </c>
      <c r="DC740">
        <f>IFERROR(INDEX(PP_Grid[#Data],$DD740,105),0)</f>
        <v/>
      </c>
      <c r="DD740" s="12">
        <f>IFERROR(MATCH($B740,PP_Grid[Intermediate],0),99999)</f>
        <v/>
      </c>
    </row>
    <row r="741">
      <c r="B741" t="inlineStr">
        <is>
          <t>使用量(kg)</t>
        </is>
      </c>
      <c r="C741">
        <f>SUMIFS(M_BOM[RM_Qty_Per_Batch],M_BOM[Intermediate],$B740,M_BOM[Part Name],$A669)</f>
        <v/>
      </c>
      <c r="D741">
        <f>$C741*D740</f>
        <v/>
      </c>
      <c r="E741">
        <f>$C741*E740</f>
        <v/>
      </c>
      <c r="F741">
        <f>$C741*F740</f>
        <v/>
      </c>
      <c r="G741">
        <f>$C741*G740</f>
        <v/>
      </c>
      <c r="H741">
        <f>$C741*H740</f>
        <v/>
      </c>
      <c r="I741">
        <f>$C741*I740</f>
        <v/>
      </c>
      <c r="J741">
        <f>$C741*J740</f>
        <v/>
      </c>
      <c r="K741">
        <f>$C741*K740</f>
        <v/>
      </c>
      <c r="L741">
        <f>$C741*L740</f>
        <v/>
      </c>
      <c r="M741">
        <f>$C741*M740</f>
        <v/>
      </c>
      <c r="N741">
        <f>$C741*N740</f>
        <v/>
      </c>
      <c r="O741">
        <f>$C741*O740</f>
        <v/>
      </c>
      <c r="P741">
        <f>$C741*P740</f>
        <v/>
      </c>
      <c r="Q741">
        <f>$C741*Q740</f>
        <v/>
      </c>
      <c r="R741">
        <f>$C741*R740</f>
        <v/>
      </c>
      <c r="S741">
        <f>$C741*S740</f>
        <v/>
      </c>
      <c r="T741">
        <f>$C741*T740</f>
        <v/>
      </c>
      <c r="U741">
        <f>$C741*U740</f>
        <v/>
      </c>
      <c r="V741">
        <f>$C741*V740</f>
        <v/>
      </c>
      <c r="W741">
        <f>$C741*W740</f>
        <v/>
      </c>
      <c r="X741">
        <f>$C741*X740</f>
        <v/>
      </c>
      <c r="Y741">
        <f>$C741*Y740</f>
        <v/>
      </c>
      <c r="Z741">
        <f>$C741*Z740</f>
        <v/>
      </c>
      <c r="AA741">
        <f>$C741*AA740</f>
        <v/>
      </c>
      <c r="AB741">
        <f>$C741*AB740</f>
        <v/>
      </c>
      <c r="AC741">
        <f>$C741*AC740</f>
        <v/>
      </c>
      <c r="AD741">
        <f>$C741*AD740</f>
        <v/>
      </c>
      <c r="AE741">
        <f>$C741*AE740</f>
        <v/>
      </c>
      <c r="AF741">
        <f>$C741*AF740</f>
        <v/>
      </c>
      <c r="AG741">
        <f>$C741*AG740</f>
        <v/>
      </c>
      <c r="AH741">
        <f>$C741*AH740</f>
        <v/>
      </c>
      <c r="AI741">
        <f>$C741*AI740</f>
        <v/>
      </c>
      <c r="AJ741">
        <f>$C741*AJ740</f>
        <v/>
      </c>
      <c r="AK741">
        <f>$C741*AK740</f>
        <v/>
      </c>
      <c r="AL741">
        <f>$C741*AL740</f>
        <v/>
      </c>
      <c r="AM741">
        <f>$C741*AM740</f>
        <v/>
      </c>
      <c r="AN741">
        <f>$C741*AN740</f>
        <v/>
      </c>
      <c r="AO741">
        <f>$C741*AO740</f>
        <v/>
      </c>
      <c r="AP741">
        <f>$C741*AP740</f>
        <v/>
      </c>
      <c r="AQ741">
        <f>$C741*AQ740</f>
        <v/>
      </c>
      <c r="AR741">
        <f>$C741*AR740</f>
        <v/>
      </c>
      <c r="AS741">
        <f>$C741*AS740</f>
        <v/>
      </c>
      <c r="AT741">
        <f>$C741*AT740</f>
        <v/>
      </c>
      <c r="AU741">
        <f>$C741*AU740</f>
        <v/>
      </c>
      <c r="AV741">
        <f>$C741*AV740</f>
        <v/>
      </c>
      <c r="AW741">
        <f>$C741*AW740</f>
        <v/>
      </c>
      <c r="AX741">
        <f>$C741*AX740</f>
        <v/>
      </c>
      <c r="AY741">
        <f>$C741*AY740</f>
        <v/>
      </c>
      <c r="AZ741">
        <f>$C741*AZ740</f>
        <v/>
      </c>
      <c r="BA741">
        <f>$C741*BA740</f>
        <v/>
      </c>
      <c r="BB741">
        <f>$C741*BB740</f>
        <v/>
      </c>
      <c r="BC741">
        <f>$C741*BC740</f>
        <v/>
      </c>
      <c r="BD741">
        <f>$C741*BD740</f>
        <v/>
      </c>
      <c r="BE741">
        <f>$C741*BE740</f>
        <v/>
      </c>
      <c r="BF741">
        <f>$C741*BF740</f>
        <v/>
      </c>
      <c r="BG741">
        <f>$C741*BG740</f>
        <v/>
      </c>
      <c r="BH741">
        <f>$C741*BH740</f>
        <v/>
      </c>
      <c r="BI741">
        <f>$C741*BI740</f>
        <v/>
      </c>
      <c r="BJ741">
        <f>$C741*BJ740</f>
        <v/>
      </c>
      <c r="BK741">
        <f>$C741*BK740</f>
        <v/>
      </c>
      <c r="BL741">
        <f>$C741*BL740</f>
        <v/>
      </c>
      <c r="BM741">
        <f>$C741*BM740</f>
        <v/>
      </c>
      <c r="BN741">
        <f>$C741*BN740</f>
        <v/>
      </c>
      <c r="BO741">
        <f>$C741*BO740</f>
        <v/>
      </c>
      <c r="BP741">
        <f>$C741*BP740</f>
        <v/>
      </c>
      <c r="BQ741">
        <f>$C741*BQ740</f>
        <v/>
      </c>
      <c r="BR741">
        <f>$C741*BR740</f>
        <v/>
      </c>
      <c r="BS741">
        <f>$C741*BS740</f>
        <v/>
      </c>
      <c r="BT741">
        <f>$C741*BT740</f>
        <v/>
      </c>
      <c r="BU741">
        <f>$C741*BU740</f>
        <v/>
      </c>
      <c r="BV741">
        <f>$C741*BV740</f>
        <v/>
      </c>
      <c r="BW741">
        <f>$C741*BW740</f>
        <v/>
      </c>
      <c r="BX741">
        <f>$C741*BX740</f>
        <v/>
      </c>
      <c r="BY741">
        <f>$C741*BY740</f>
        <v/>
      </c>
      <c r="BZ741">
        <f>$C741*BZ740</f>
        <v/>
      </c>
      <c r="CA741">
        <f>$C741*CA740</f>
        <v/>
      </c>
      <c r="CB741">
        <f>$C741*CB740</f>
        <v/>
      </c>
      <c r="CC741">
        <f>$C741*CC740</f>
        <v/>
      </c>
      <c r="CD741">
        <f>$C741*CD740</f>
        <v/>
      </c>
      <c r="CE741">
        <f>$C741*CE740</f>
        <v/>
      </c>
      <c r="CF741">
        <f>$C741*CF740</f>
        <v/>
      </c>
      <c r="CG741">
        <f>$C741*CG740</f>
        <v/>
      </c>
      <c r="CH741">
        <f>$C741*CH740</f>
        <v/>
      </c>
      <c r="CI741">
        <f>$C741*CI740</f>
        <v/>
      </c>
      <c r="CJ741">
        <f>$C741*CJ740</f>
        <v/>
      </c>
      <c r="CK741">
        <f>$C741*CK740</f>
        <v/>
      </c>
      <c r="CL741">
        <f>$C741*CL740</f>
        <v/>
      </c>
      <c r="CM741">
        <f>$C741*CM740</f>
        <v/>
      </c>
      <c r="CN741">
        <f>$C741*CN740</f>
        <v/>
      </c>
      <c r="CO741">
        <f>$C741*CO740</f>
        <v/>
      </c>
      <c r="CP741">
        <f>$C741*CP740</f>
        <v/>
      </c>
      <c r="CQ741">
        <f>$C741*CQ740</f>
        <v/>
      </c>
      <c r="CR741">
        <f>$C741*CR740</f>
        <v/>
      </c>
      <c r="CS741">
        <f>$C741*CS740</f>
        <v/>
      </c>
      <c r="CT741">
        <f>$C741*CT740</f>
        <v/>
      </c>
      <c r="CU741">
        <f>$C741*CU740</f>
        <v/>
      </c>
      <c r="CV741">
        <f>$C741*CV740</f>
        <v/>
      </c>
      <c r="CW741">
        <f>$C741*CW740</f>
        <v/>
      </c>
      <c r="CX741">
        <f>$C741*CX740</f>
        <v/>
      </c>
      <c r="CY741">
        <f>$C741*CY740</f>
        <v/>
      </c>
      <c r="CZ741">
        <f>$C741*CZ740</f>
        <v/>
      </c>
      <c r="DA741">
        <f>$C741*DA740</f>
        <v/>
      </c>
      <c r="DB741">
        <f>$C741*DB740</f>
        <v/>
      </c>
      <c r="DC741">
        <f>$C741*DC740</f>
        <v/>
      </c>
    </row>
    <row r="742">
      <c r="B742" t="inlineStr">
        <is>
          <t>TSP-656</t>
        </is>
      </c>
      <c r="C742" t="inlineStr">
        <is>
          <t>No. of batches</t>
        </is>
      </c>
      <c r="D742">
        <f>IFERROR(INDEX(PP_Grid[#Data],$DD742,2),0)</f>
        <v/>
      </c>
      <c r="E742">
        <f>IFERROR(INDEX(PP_Grid[#Data],$DD742,3),0)</f>
        <v/>
      </c>
      <c r="F742">
        <f>IFERROR(INDEX(PP_Grid[#Data],$DD742,4),0)</f>
        <v/>
      </c>
      <c r="G742">
        <f>IFERROR(INDEX(PP_Grid[#Data],$DD742,5),0)</f>
        <v/>
      </c>
      <c r="H742">
        <f>IFERROR(INDEX(PP_Grid[#Data],$DD742,6),0)</f>
        <v/>
      </c>
      <c r="I742">
        <f>IFERROR(INDEX(PP_Grid[#Data],$DD742,7),0)</f>
        <v/>
      </c>
      <c r="J742">
        <f>IFERROR(INDEX(PP_Grid[#Data],$DD742,8),0)</f>
        <v/>
      </c>
      <c r="K742">
        <f>IFERROR(INDEX(PP_Grid[#Data],$DD742,9),0)</f>
        <v/>
      </c>
      <c r="L742">
        <f>IFERROR(INDEX(PP_Grid[#Data],$DD742,10),0)</f>
        <v/>
      </c>
      <c r="M742">
        <f>IFERROR(INDEX(PP_Grid[#Data],$DD742,11),0)</f>
        <v/>
      </c>
      <c r="N742">
        <f>IFERROR(INDEX(PP_Grid[#Data],$DD742,12),0)</f>
        <v/>
      </c>
      <c r="O742">
        <f>IFERROR(INDEX(PP_Grid[#Data],$DD742,13),0)</f>
        <v/>
      </c>
      <c r="P742">
        <f>IFERROR(INDEX(PP_Grid[#Data],$DD742,14),0)</f>
        <v/>
      </c>
      <c r="Q742">
        <f>IFERROR(INDEX(PP_Grid[#Data],$DD742,15),0)</f>
        <v/>
      </c>
      <c r="R742">
        <f>IFERROR(INDEX(PP_Grid[#Data],$DD742,16),0)</f>
        <v/>
      </c>
      <c r="S742">
        <f>IFERROR(INDEX(PP_Grid[#Data],$DD742,17),0)</f>
        <v/>
      </c>
      <c r="T742">
        <f>IFERROR(INDEX(PP_Grid[#Data],$DD742,18),0)</f>
        <v/>
      </c>
      <c r="U742">
        <f>IFERROR(INDEX(PP_Grid[#Data],$DD742,19),0)</f>
        <v/>
      </c>
      <c r="V742">
        <f>IFERROR(INDEX(PP_Grid[#Data],$DD742,20),0)</f>
        <v/>
      </c>
      <c r="W742">
        <f>IFERROR(INDEX(PP_Grid[#Data],$DD742,21),0)</f>
        <v/>
      </c>
      <c r="X742">
        <f>IFERROR(INDEX(PP_Grid[#Data],$DD742,22),0)</f>
        <v/>
      </c>
      <c r="Y742">
        <f>IFERROR(INDEX(PP_Grid[#Data],$DD742,23),0)</f>
        <v/>
      </c>
      <c r="Z742">
        <f>IFERROR(INDEX(PP_Grid[#Data],$DD742,24),0)</f>
        <v/>
      </c>
      <c r="AA742">
        <f>IFERROR(INDEX(PP_Grid[#Data],$DD742,25),0)</f>
        <v/>
      </c>
      <c r="AB742">
        <f>IFERROR(INDEX(PP_Grid[#Data],$DD742,26),0)</f>
        <v/>
      </c>
      <c r="AC742">
        <f>IFERROR(INDEX(PP_Grid[#Data],$DD742,27),0)</f>
        <v/>
      </c>
      <c r="AD742">
        <f>IFERROR(INDEX(PP_Grid[#Data],$DD742,28),0)</f>
        <v/>
      </c>
      <c r="AE742">
        <f>IFERROR(INDEX(PP_Grid[#Data],$DD742,29),0)</f>
        <v/>
      </c>
      <c r="AF742">
        <f>IFERROR(INDEX(PP_Grid[#Data],$DD742,30),0)</f>
        <v/>
      </c>
      <c r="AG742">
        <f>IFERROR(INDEX(PP_Grid[#Data],$DD742,31),0)</f>
        <v/>
      </c>
      <c r="AH742">
        <f>IFERROR(INDEX(PP_Grid[#Data],$DD742,32),0)</f>
        <v/>
      </c>
      <c r="AI742">
        <f>IFERROR(INDEX(PP_Grid[#Data],$DD742,33),0)</f>
        <v/>
      </c>
      <c r="AJ742">
        <f>IFERROR(INDEX(PP_Grid[#Data],$DD742,34),0)</f>
        <v/>
      </c>
      <c r="AK742">
        <f>IFERROR(INDEX(PP_Grid[#Data],$DD742,35),0)</f>
        <v/>
      </c>
      <c r="AL742">
        <f>IFERROR(INDEX(PP_Grid[#Data],$DD742,36),0)</f>
        <v/>
      </c>
      <c r="AM742">
        <f>IFERROR(INDEX(PP_Grid[#Data],$DD742,37),0)</f>
        <v/>
      </c>
      <c r="AN742">
        <f>IFERROR(INDEX(PP_Grid[#Data],$DD742,38),0)</f>
        <v/>
      </c>
      <c r="AO742">
        <f>IFERROR(INDEX(PP_Grid[#Data],$DD742,39),0)</f>
        <v/>
      </c>
      <c r="AP742">
        <f>IFERROR(INDEX(PP_Grid[#Data],$DD742,40),0)</f>
        <v/>
      </c>
      <c r="AQ742">
        <f>IFERROR(INDEX(PP_Grid[#Data],$DD742,41),0)</f>
        <v/>
      </c>
      <c r="AR742">
        <f>IFERROR(INDEX(PP_Grid[#Data],$DD742,42),0)</f>
        <v/>
      </c>
      <c r="AS742">
        <f>IFERROR(INDEX(PP_Grid[#Data],$DD742,43),0)</f>
        <v/>
      </c>
      <c r="AT742">
        <f>IFERROR(INDEX(PP_Grid[#Data],$DD742,44),0)</f>
        <v/>
      </c>
      <c r="AU742">
        <f>IFERROR(INDEX(PP_Grid[#Data],$DD742,45),0)</f>
        <v/>
      </c>
      <c r="AV742">
        <f>IFERROR(INDEX(PP_Grid[#Data],$DD742,46),0)</f>
        <v/>
      </c>
      <c r="AW742">
        <f>IFERROR(INDEX(PP_Grid[#Data],$DD742,47),0)</f>
        <v/>
      </c>
      <c r="AX742">
        <f>IFERROR(INDEX(PP_Grid[#Data],$DD742,48),0)</f>
        <v/>
      </c>
      <c r="AY742">
        <f>IFERROR(INDEX(PP_Grid[#Data],$DD742,49),0)</f>
        <v/>
      </c>
      <c r="AZ742">
        <f>IFERROR(INDEX(PP_Grid[#Data],$DD742,50),0)</f>
        <v/>
      </c>
      <c r="BA742">
        <f>IFERROR(INDEX(PP_Grid[#Data],$DD742,51),0)</f>
        <v/>
      </c>
      <c r="BB742">
        <f>IFERROR(INDEX(PP_Grid[#Data],$DD742,52),0)</f>
        <v/>
      </c>
      <c r="BC742">
        <f>IFERROR(INDEX(PP_Grid[#Data],$DD742,53),0)</f>
        <v/>
      </c>
      <c r="BD742">
        <f>IFERROR(INDEX(PP_Grid[#Data],$DD742,54),0)</f>
        <v/>
      </c>
      <c r="BE742">
        <f>IFERROR(INDEX(PP_Grid[#Data],$DD742,55),0)</f>
        <v/>
      </c>
      <c r="BF742">
        <f>IFERROR(INDEX(PP_Grid[#Data],$DD742,56),0)</f>
        <v/>
      </c>
      <c r="BG742">
        <f>IFERROR(INDEX(PP_Grid[#Data],$DD742,57),0)</f>
        <v/>
      </c>
      <c r="BH742">
        <f>IFERROR(INDEX(PP_Grid[#Data],$DD742,58),0)</f>
        <v/>
      </c>
      <c r="BI742">
        <f>IFERROR(INDEX(PP_Grid[#Data],$DD742,59),0)</f>
        <v/>
      </c>
      <c r="BJ742">
        <f>IFERROR(INDEX(PP_Grid[#Data],$DD742,60),0)</f>
        <v/>
      </c>
      <c r="BK742">
        <f>IFERROR(INDEX(PP_Grid[#Data],$DD742,61),0)</f>
        <v/>
      </c>
      <c r="BL742">
        <f>IFERROR(INDEX(PP_Grid[#Data],$DD742,62),0)</f>
        <v/>
      </c>
      <c r="BM742">
        <f>IFERROR(INDEX(PP_Grid[#Data],$DD742,63),0)</f>
        <v/>
      </c>
      <c r="BN742">
        <f>IFERROR(INDEX(PP_Grid[#Data],$DD742,64),0)</f>
        <v/>
      </c>
      <c r="BO742">
        <f>IFERROR(INDEX(PP_Grid[#Data],$DD742,65),0)</f>
        <v/>
      </c>
      <c r="BP742">
        <f>IFERROR(INDEX(PP_Grid[#Data],$DD742,66),0)</f>
        <v/>
      </c>
      <c r="BQ742">
        <f>IFERROR(INDEX(PP_Grid[#Data],$DD742,67),0)</f>
        <v/>
      </c>
      <c r="BR742">
        <f>IFERROR(INDEX(PP_Grid[#Data],$DD742,68),0)</f>
        <v/>
      </c>
      <c r="BS742">
        <f>IFERROR(INDEX(PP_Grid[#Data],$DD742,69),0)</f>
        <v/>
      </c>
      <c r="BT742">
        <f>IFERROR(INDEX(PP_Grid[#Data],$DD742,70),0)</f>
        <v/>
      </c>
      <c r="BU742">
        <f>IFERROR(INDEX(PP_Grid[#Data],$DD742,71),0)</f>
        <v/>
      </c>
      <c r="BV742">
        <f>IFERROR(INDEX(PP_Grid[#Data],$DD742,72),0)</f>
        <v/>
      </c>
      <c r="BW742">
        <f>IFERROR(INDEX(PP_Grid[#Data],$DD742,73),0)</f>
        <v/>
      </c>
      <c r="BX742">
        <f>IFERROR(INDEX(PP_Grid[#Data],$DD742,74),0)</f>
        <v/>
      </c>
      <c r="BY742">
        <f>IFERROR(INDEX(PP_Grid[#Data],$DD742,75),0)</f>
        <v/>
      </c>
      <c r="BZ742">
        <f>IFERROR(INDEX(PP_Grid[#Data],$DD742,76),0)</f>
        <v/>
      </c>
      <c r="CA742">
        <f>IFERROR(INDEX(PP_Grid[#Data],$DD742,77),0)</f>
        <v/>
      </c>
      <c r="CB742">
        <f>IFERROR(INDEX(PP_Grid[#Data],$DD742,78),0)</f>
        <v/>
      </c>
      <c r="CC742">
        <f>IFERROR(INDEX(PP_Grid[#Data],$DD742,79),0)</f>
        <v/>
      </c>
      <c r="CD742">
        <f>IFERROR(INDEX(PP_Grid[#Data],$DD742,80),0)</f>
        <v/>
      </c>
      <c r="CE742">
        <f>IFERROR(INDEX(PP_Grid[#Data],$DD742,81),0)</f>
        <v/>
      </c>
      <c r="CF742">
        <f>IFERROR(INDEX(PP_Grid[#Data],$DD742,82),0)</f>
        <v/>
      </c>
      <c r="CG742">
        <f>IFERROR(INDEX(PP_Grid[#Data],$DD742,83),0)</f>
        <v/>
      </c>
      <c r="CH742">
        <f>IFERROR(INDEX(PP_Grid[#Data],$DD742,84),0)</f>
        <v/>
      </c>
      <c r="CI742">
        <f>IFERROR(INDEX(PP_Grid[#Data],$DD742,85),0)</f>
        <v/>
      </c>
      <c r="CJ742">
        <f>IFERROR(INDEX(PP_Grid[#Data],$DD742,86),0)</f>
        <v/>
      </c>
      <c r="CK742">
        <f>IFERROR(INDEX(PP_Grid[#Data],$DD742,87),0)</f>
        <v/>
      </c>
      <c r="CL742">
        <f>IFERROR(INDEX(PP_Grid[#Data],$DD742,88),0)</f>
        <v/>
      </c>
      <c r="CM742">
        <f>IFERROR(INDEX(PP_Grid[#Data],$DD742,89),0)</f>
        <v/>
      </c>
      <c r="CN742">
        <f>IFERROR(INDEX(PP_Grid[#Data],$DD742,90),0)</f>
        <v/>
      </c>
      <c r="CO742">
        <f>IFERROR(INDEX(PP_Grid[#Data],$DD742,91),0)</f>
        <v/>
      </c>
      <c r="CP742">
        <f>IFERROR(INDEX(PP_Grid[#Data],$DD742,92),0)</f>
        <v/>
      </c>
      <c r="CQ742">
        <f>IFERROR(INDEX(PP_Grid[#Data],$DD742,93),0)</f>
        <v/>
      </c>
      <c r="CR742">
        <f>IFERROR(INDEX(PP_Grid[#Data],$DD742,94),0)</f>
        <v/>
      </c>
      <c r="CS742">
        <f>IFERROR(INDEX(PP_Grid[#Data],$DD742,95),0)</f>
        <v/>
      </c>
      <c r="CT742">
        <f>IFERROR(INDEX(PP_Grid[#Data],$DD742,96),0)</f>
        <v/>
      </c>
      <c r="CU742">
        <f>IFERROR(INDEX(PP_Grid[#Data],$DD742,97),0)</f>
        <v/>
      </c>
      <c r="CV742">
        <f>IFERROR(INDEX(PP_Grid[#Data],$DD742,98),0)</f>
        <v/>
      </c>
      <c r="CW742">
        <f>IFERROR(INDEX(PP_Grid[#Data],$DD742,99),0)</f>
        <v/>
      </c>
      <c r="CX742">
        <f>IFERROR(INDEX(PP_Grid[#Data],$DD742,100),0)</f>
        <v/>
      </c>
      <c r="CY742">
        <f>IFERROR(INDEX(PP_Grid[#Data],$DD742,101),0)</f>
        <v/>
      </c>
      <c r="CZ742">
        <f>IFERROR(INDEX(PP_Grid[#Data],$DD742,102),0)</f>
        <v/>
      </c>
      <c r="DA742">
        <f>IFERROR(INDEX(PP_Grid[#Data],$DD742,103),0)</f>
        <v/>
      </c>
      <c r="DB742">
        <f>IFERROR(INDEX(PP_Grid[#Data],$DD742,104),0)</f>
        <v/>
      </c>
      <c r="DC742">
        <f>IFERROR(INDEX(PP_Grid[#Data],$DD742,105),0)</f>
        <v/>
      </c>
      <c r="DD742" s="12">
        <f>IFERROR(MATCH($B742,PP_Grid[Intermediate],0),99999)</f>
        <v/>
      </c>
    </row>
    <row r="743">
      <c r="B743" t="inlineStr">
        <is>
          <t>使用量(kg)</t>
        </is>
      </c>
      <c r="C743">
        <f>SUMIFS(M_BOM[RM_Qty_Per_Batch],M_BOM[Intermediate],$B742,M_BOM[Part Name],$A669)</f>
        <v/>
      </c>
      <c r="D743">
        <f>$C743*D742</f>
        <v/>
      </c>
      <c r="E743">
        <f>$C743*E742</f>
        <v/>
      </c>
      <c r="F743">
        <f>$C743*F742</f>
        <v/>
      </c>
      <c r="G743">
        <f>$C743*G742</f>
        <v/>
      </c>
      <c r="H743">
        <f>$C743*H742</f>
        <v/>
      </c>
      <c r="I743">
        <f>$C743*I742</f>
        <v/>
      </c>
      <c r="J743">
        <f>$C743*J742</f>
        <v/>
      </c>
      <c r="K743">
        <f>$C743*K742</f>
        <v/>
      </c>
      <c r="L743">
        <f>$C743*L742</f>
        <v/>
      </c>
      <c r="M743">
        <f>$C743*M742</f>
        <v/>
      </c>
      <c r="N743">
        <f>$C743*N742</f>
        <v/>
      </c>
      <c r="O743">
        <f>$C743*O742</f>
        <v/>
      </c>
      <c r="P743">
        <f>$C743*P742</f>
        <v/>
      </c>
      <c r="Q743">
        <f>$C743*Q742</f>
        <v/>
      </c>
      <c r="R743">
        <f>$C743*R742</f>
        <v/>
      </c>
      <c r="S743">
        <f>$C743*S742</f>
        <v/>
      </c>
      <c r="T743">
        <f>$C743*T742</f>
        <v/>
      </c>
      <c r="U743">
        <f>$C743*U742</f>
        <v/>
      </c>
      <c r="V743">
        <f>$C743*V742</f>
        <v/>
      </c>
      <c r="W743">
        <f>$C743*W742</f>
        <v/>
      </c>
      <c r="X743">
        <f>$C743*X742</f>
        <v/>
      </c>
      <c r="Y743">
        <f>$C743*Y742</f>
        <v/>
      </c>
      <c r="Z743">
        <f>$C743*Z742</f>
        <v/>
      </c>
      <c r="AA743">
        <f>$C743*AA742</f>
        <v/>
      </c>
      <c r="AB743">
        <f>$C743*AB742</f>
        <v/>
      </c>
      <c r="AC743">
        <f>$C743*AC742</f>
        <v/>
      </c>
      <c r="AD743">
        <f>$C743*AD742</f>
        <v/>
      </c>
      <c r="AE743">
        <f>$C743*AE742</f>
        <v/>
      </c>
      <c r="AF743">
        <f>$C743*AF742</f>
        <v/>
      </c>
      <c r="AG743">
        <f>$C743*AG742</f>
        <v/>
      </c>
      <c r="AH743">
        <f>$C743*AH742</f>
        <v/>
      </c>
      <c r="AI743">
        <f>$C743*AI742</f>
        <v/>
      </c>
      <c r="AJ743">
        <f>$C743*AJ742</f>
        <v/>
      </c>
      <c r="AK743">
        <f>$C743*AK742</f>
        <v/>
      </c>
      <c r="AL743">
        <f>$C743*AL742</f>
        <v/>
      </c>
      <c r="AM743">
        <f>$C743*AM742</f>
        <v/>
      </c>
      <c r="AN743">
        <f>$C743*AN742</f>
        <v/>
      </c>
      <c r="AO743">
        <f>$C743*AO742</f>
        <v/>
      </c>
      <c r="AP743">
        <f>$C743*AP742</f>
        <v/>
      </c>
      <c r="AQ743">
        <f>$C743*AQ742</f>
        <v/>
      </c>
      <c r="AR743">
        <f>$C743*AR742</f>
        <v/>
      </c>
      <c r="AS743">
        <f>$C743*AS742</f>
        <v/>
      </c>
      <c r="AT743">
        <f>$C743*AT742</f>
        <v/>
      </c>
      <c r="AU743">
        <f>$C743*AU742</f>
        <v/>
      </c>
      <c r="AV743">
        <f>$C743*AV742</f>
        <v/>
      </c>
      <c r="AW743">
        <f>$C743*AW742</f>
        <v/>
      </c>
      <c r="AX743">
        <f>$C743*AX742</f>
        <v/>
      </c>
      <c r="AY743">
        <f>$C743*AY742</f>
        <v/>
      </c>
      <c r="AZ743">
        <f>$C743*AZ742</f>
        <v/>
      </c>
      <c r="BA743">
        <f>$C743*BA742</f>
        <v/>
      </c>
      <c r="BB743">
        <f>$C743*BB742</f>
        <v/>
      </c>
      <c r="BC743">
        <f>$C743*BC742</f>
        <v/>
      </c>
      <c r="BD743">
        <f>$C743*BD742</f>
        <v/>
      </c>
      <c r="BE743">
        <f>$C743*BE742</f>
        <v/>
      </c>
      <c r="BF743">
        <f>$C743*BF742</f>
        <v/>
      </c>
      <c r="BG743">
        <f>$C743*BG742</f>
        <v/>
      </c>
      <c r="BH743">
        <f>$C743*BH742</f>
        <v/>
      </c>
      <c r="BI743">
        <f>$C743*BI742</f>
        <v/>
      </c>
      <c r="BJ743">
        <f>$C743*BJ742</f>
        <v/>
      </c>
      <c r="BK743">
        <f>$C743*BK742</f>
        <v/>
      </c>
      <c r="BL743">
        <f>$C743*BL742</f>
        <v/>
      </c>
      <c r="BM743">
        <f>$C743*BM742</f>
        <v/>
      </c>
      <c r="BN743">
        <f>$C743*BN742</f>
        <v/>
      </c>
      <c r="BO743">
        <f>$C743*BO742</f>
        <v/>
      </c>
      <c r="BP743">
        <f>$C743*BP742</f>
        <v/>
      </c>
      <c r="BQ743">
        <f>$C743*BQ742</f>
        <v/>
      </c>
      <c r="BR743">
        <f>$C743*BR742</f>
        <v/>
      </c>
      <c r="BS743">
        <f>$C743*BS742</f>
        <v/>
      </c>
      <c r="BT743">
        <f>$C743*BT742</f>
        <v/>
      </c>
      <c r="BU743">
        <f>$C743*BU742</f>
        <v/>
      </c>
      <c r="BV743">
        <f>$C743*BV742</f>
        <v/>
      </c>
      <c r="BW743">
        <f>$C743*BW742</f>
        <v/>
      </c>
      <c r="BX743">
        <f>$C743*BX742</f>
        <v/>
      </c>
      <c r="BY743">
        <f>$C743*BY742</f>
        <v/>
      </c>
      <c r="BZ743">
        <f>$C743*BZ742</f>
        <v/>
      </c>
      <c r="CA743">
        <f>$C743*CA742</f>
        <v/>
      </c>
      <c r="CB743">
        <f>$C743*CB742</f>
        <v/>
      </c>
      <c r="CC743">
        <f>$C743*CC742</f>
        <v/>
      </c>
      <c r="CD743">
        <f>$C743*CD742</f>
        <v/>
      </c>
      <c r="CE743">
        <f>$C743*CE742</f>
        <v/>
      </c>
      <c r="CF743">
        <f>$C743*CF742</f>
        <v/>
      </c>
      <c r="CG743">
        <f>$C743*CG742</f>
        <v/>
      </c>
      <c r="CH743">
        <f>$C743*CH742</f>
        <v/>
      </c>
      <c r="CI743">
        <f>$C743*CI742</f>
        <v/>
      </c>
      <c r="CJ743">
        <f>$C743*CJ742</f>
        <v/>
      </c>
      <c r="CK743">
        <f>$C743*CK742</f>
        <v/>
      </c>
      <c r="CL743">
        <f>$C743*CL742</f>
        <v/>
      </c>
      <c r="CM743">
        <f>$C743*CM742</f>
        <v/>
      </c>
      <c r="CN743">
        <f>$C743*CN742</f>
        <v/>
      </c>
      <c r="CO743">
        <f>$C743*CO742</f>
        <v/>
      </c>
      <c r="CP743">
        <f>$C743*CP742</f>
        <v/>
      </c>
      <c r="CQ743">
        <f>$C743*CQ742</f>
        <v/>
      </c>
      <c r="CR743">
        <f>$C743*CR742</f>
        <v/>
      </c>
      <c r="CS743">
        <f>$C743*CS742</f>
        <v/>
      </c>
      <c r="CT743">
        <f>$C743*CT742</f>
        <v/>
      </c>
      <c r="CU743">
        <f>$C743*CU742</f>
        <v/>
      </c>
      <c r="CV743">
        <f>$C743*CV742</f>
        <v/>
      </c>
      <c r="CW743">
        <f>$C743*CW742</f>
        <v/>
      </c>
      <c r="CX743">
        <f>$C743*CX742</f>
        <v/>
      </c>
      <c r="CY743">
        <f>$C743*CY742</f>
        <v/>
      </c>
      <c r="CZ743">
        <f>$C743*CZ742</f>
        <v/>
      </c>
      <c r="DA743">
        <f>$C743*DA742</f>
        <v/>
      </c>
      <c r="DB743">
        <f>$C743*DB742</f>
        <v/>
      </c>
      <c r="DC743">
        <f>$C743*DC742</f>
        <v/>
      </c>
    </row>
    <row r="744">
      <c r="B744" t="inlineStr">
        <is>
          <t>TSP-668</t>
        </is>
      </c>
      <c r="C744" t="inlineStr">
        <is>
          <t>No. of batches</t>
        </is>
      </c>
      <c r="D744">
        <f>IFERROR(INDEX(PP_Grid[#Data],$DD744,2),0)</f>
        <v/>
      </c>
      <c r="E744">
        <f>IFERROR(INDEX(PP_Grid[#Data],$DD744,3),0)</f>
        <v/>
      </c>
      <c r="F744">
        <f>IFERROR(INDEX(PP_Grid[#Data],$DD744,4),0)</f>
        <v/>
      </c>
      <c r="G744">
        <f>IFERROR(INDEX(PP_Grid[#Data],$DD744,5),0)</f>
        <v/>
      </c>
      <c r="H744">
        <f>IFERROR(INDEX(PP_Grid[#Data],$DD744,6),0)</f>
        <v/>
      </c>
      <c r="I744">
        <f>IFERROR(INDEX(PP_Grid[#Data],$DD744,7),0)</f>
        <v/>
      </c>
      <c r="J744">
        <f>IFERROR(INDEX(PP_Grid[#Data],$DD744,8),0)</f>
        <v/>
      </c>
      <c r="K744">
        <f>IFERROR(INDEX(PP_Grid[#Data],$DD744,9),0)</f>
        <v/>
      </c>
      <c r="L744">
        <f>IFERROR(INDEX(PP_Grid[#Data],$DD744,10),0)</f>
        <v/>
      </c>
      <c r="M744">
        <f>IFERROR(INDEX(PP_Grid[#Data],$DD744,11),0)</f>
        <v/>
      </c>
      <c r="N744">
        <f>IFERROR(INDEX(PP_Grid[#Data],$DD744,12),0)</f>
        <v/>
      </c>
      <c r="O744">
        <f>IFERROR(INDEX(PP_Grid[#Data],$DD744,13),0)</f>
        <v/>
      </c>
      <c r="P744">
        <f>IFERROR(INDEX(PP_Grid[#Data],$DD744,14),0)</f>
        <v/>
      </c>
      <c r="Q744">
        <f>IFERROR(INDEX(PP_Grid[#Data],$DD744,15),0)</f>
        <v/>
      </c>
      <c r="R744">
        <f>IFERROR(INDEX(PP_Grid[#Data],$DD744,16),0)</f>
        <v/>
      </c>
      <c r="S744">
        <f>IFERROR(INDEX(PP_Grid[#Data],$DD744,17),0)</f>
        <v/>
      </c>
      <c r="T744">
        <f>IFERROR(INDEX(PP_Grid[#Data],$DD744,18),0)</f>
        <v/>
      </c>
      <c r="U744">
        <f>IFERROR(INDEX(PP_Grid[#Data],$DD744,19),0)</f>
        <v/>
      </c>
      <c r="V744">
        <f>IFERROR(INDEX(PP_Grid[#Data],$DD744,20),0)</f>
        <v/>
      </c>
      <c r="W744">
        <f>IFERROR(INDEX(PP_Grid[#Data],$DD744,21),0)</f>
        <v/>
      </c>
      <c r="X744">
        <f>IFERROR(INDEX(PP_Grid[#Data],$DD744,22),0)</f>
        <v/>
      </c>
      <c r="Y744">
        <f>IFERROR(INDEX(PP_Grid[#Data],$DD744,23),0)</f>
        <v/>
      </c>
      <c r="Z744">
        <f>IFERROR(INDEX(PP_Grid[#Data],$DD744,24),0)</f>
        <v/>
      </c>
      <c r="AA744">
        <f>IFERROR(INDEX(PP_Grid[#Data],$DD744,25),0)</f>
        <v/>
      </c>
      <c r="AB744">
        <f>IFERROR(INDEX(PP_Grid[#Data],$DD744,26),0)</f>
        <v/>
      </c>
      <c r="AC744">
        <f>IFERROR(INDEX(PP_Grid[#Data],$DD744,27),0)</f>
        <v/>
      </c>
      <c r="AD744">
        <f>IFERROR(INDEX(PP_Grid[#Data],$DD744,28),0)</f>
        <v/>
      </c>
      <c r="AE744">
        <f>IFERROR(INDEX(PP_Grid[#Data],$DD744,29),0)</f>
        <v/>
      </c>
      <c r="AF744">
        <f>IFERROR(INDEX(PP_Grid[#Data],$DD744,30),0)</f>
        <v/>
      </c>
      <c r="AG744">
        <f>IFERROR(INDEX(PP_Grid[#Data],$DD744,31),0)</f>
        <v/>
      </c>
      <c r="AH744">
        <f>IFERROR(INDEX(PP_Grid[#Data],$DD744,32),0)</f>
        <v/>
      </c>
      <c r="AI744">
        <f>IFERROR(INDEX(PP_Grid[#Data],$DD744,33),0)</f>
        <v/>
      </c>
      <c r="AJ744">
        <f>IFERROR(INDEX(PP_Grid[#Data],$DD744,34),0)</f>
        <v/>
      </c>
      <c r="AK744">
        <f>IFERROR(INDEX(PP_Grid[#Data],$DD744,35),0)</f>
        <v/>
      </c>
      <c r="AL744">
        <f>IFERROR(INDEX(PP_Grid[#Data],$DD744,36),0)</f>
        <v/>
      </c>
      <c r="AM744">
        <f>IFERROR(INDEX(PP_Grid[#Data],$DD744,37),0)</f>
        <v/>
      </c>
      <c r="AN744">
        <f>IFERROR(INDEX(PP_Grid[#Data],$DD744,38),0)</f>
        <v/>
      </c>
      <c r="AO744">
        <f>IFERROR(INDEX(PP_Grid[#Data],$DD744,39),0)</f>
        <v/>
      </c>
      <c r="AP744">
        <f>IFERROR(INDEX(PP_Grid[#Data],$DD744,40),0)</f>
        <v/>
      </c>
      <c r="AQ744">
        <f>IFERROR(INDEX(PP_Grid[#Data],$DD744,41),0)</f>
        <v/>
      </c>
      <c r="AR744">
        <f>IFERROR(INDEX(PP_Grid[#Data],$DD744,42),0)</f>
        <v/>
      </c>
      <c r="AS744">
        <f>IFERROR(INDEX(PP_Grid[#Data],$DD744,43),0)</f>
        <v/>
      </c>
      <c r="AT744">
        <f>IFERROR(INDEX(PP_Grid[#Data],$DD744,44),0)</f>
        <v/>
      </c>
      <c r="AU744">
        <f>IFERROR(INDEX(PP_Grid[#Data],$DD744,45),0)</f>
        <v/>
      </c>
      <c r="AV744">
        <f>IFERROR(INDEX(PP_Grid[#Data],$DD744,46),0)</f>
        <v/>
      </c>
      <c r="AW744">
        <f>IFERROR(INDEX(PP_Grid[#Data],$DD744,47),0)</f>
        <v/>
      </c>
      <c r="AX744">
        <f>IFERROR(INDEX(PP_Grid[#Data],$DD744,48),0)</f>
        <v/>
      </c>
      <c r="AY744">
        <f>IFERROR(INDEX(PP_Grid[#Data],$DD744,49),0)</f>
        <v/>
      </c>
      <c r="AZ744">
        <f>IFERROR(INDEX(PP_Grid[#Data],$DD744,50),0)</f>
        <v/>
      </c>
      <c r="BA744">
        <f>IFERROR(INDEX(PP_Grid[#Data],$DD744,51),0)</f>
        <v/>
      </c>
      <c r="BB744">
        <f>IFERROR(INDEX(PP_Grid[#Data],$DD744,52),0)</f>
        <v/>
      </c>
      <c r="BC744">
        <f>IFERROR(INDEX(PP_Grid[#Data],$DD744,53),0)</f>
        <v/>
      </c>
      <c r="BD744">
        <f>IFERROR(INDEX(PP_Grid[#Data],$DD744,54),0)</f>
        <v/>
      </c>
      <c r="BE744">
        <f>IFERROR(INDEX(PP_Grid[#Data],$DD744,55),0)</f>
        <v/>
      </c>
      <c r="BF744">
        <f>IFERROR(INDEX(PP_Grid[#Data],$DD744,56),0)</f>
        <v/>
      </c>
      <c r="BG744">
        <f>IFERROR(INDEX(PP_Grid[#Data],$DD744,57),0)</f>
        <v/>
      </c>
      <c r="BH744">
        <f>IFERROR(INDEX(PP_Grid[#Data],$DD744,58),0)</f>
        <v/>
      </c>
      <c r="BI744">
        <f>IFERROR(INDEX(PP_Grid[#Data],$DD744,59),0)</f>
        <v/>
      </c>
      <c r="BJ744">
        <f>IFERROR(INDEX(PP_Grid[#Data],$DD744,60),0)</f>
        <v/>
      </c>
      <c r="BK744">
        <f>IFERROR(INDEX(PP_Grid[#Data],$DD744,61),0)</f>
        <v/>
      </c>
      <c r="BL744">
        <f>IFERROR(INDEX(PP_Grid[#Data],$DD744,62),0)</f>
        <v/>
      </c>
      <c r="BM744">
        <f>IFERROR(INDEX(PP_Grid[#Data],$DD744,63),0)</f>
        <v/>
      </c>
      <c r="BN744">
        <f>IFERROR(INDEX(PP_Grid[#Data],$DD744,64),0)</f>
        <v/>
      </c>
      <c r="BO744">
        <f>IFERROR(INDEX(PP_Grid[#Data],$DD744,65),0)</f>
        <v/>
      </c>
      <c r="BP744">
        <f>IFERROR(INDEX(PP_Grid[#Data],$DD744,66),0)</f>
        <v/>
      </c>
      <c r="BQ744">
        <f>IFERROR(INDEX(PP_Grid[#Data],$DD744,67),0)</f>
        <v/>
      </c>
      <c r="BR744">
        <f>IFERROR(INDEX(PP_Grid[#Data],$DD744,68),0)</f>
        <v/>
      </c>
      <c r="BS744">
        <f>IFERROR(INDEX(PP_Grid[#Data],$DD744,69),0)</f>
        <v/>
      </c>
      <c r="BT744">
        <f>IFERROR(INDEX(PP_Grid[#Data],$DD744,70),0)</f>
        <v/>
      </c>
      <c r="BU744">
        <f>IFERROR(INDEX(PP_Grid[#Data],$DD744,71),0)</f>
        <v/>
      </c>
      <c r="BV744">
        <f>IFERROR(INDEX(PP_Grid[#Data],$DD744,72),0)</f>
        <v/>
      </c>
      <c r="BW744">
        <f>IFERROR(INDEX(PP_Grid[#Data],$DD744,73),0)</f>
        <v/>
      </c>
      <c r="BX744">
        <f>IFERROR(INDEX(PP_Grid[#Data],$DD744,74),0)</f>
        <v/>
      </c>
      <c r="BY744">
        <f>IFERROR(INDEX(PP_Grid[#Data],$DD744,75),0)</f>
        <v/>
      </c>
      <c r="BZ744">
        <f>IFERROR(INDEX(PP_Grid[#Data],$DD744,76),0)</f>
        <v/>
      </c>
      <c r="CA744">
        <f>IFERROR(INDEX(PP_Grid[#Data],$DD744,77),0)</f>
        <v/>
      </c>
      <c r="CB744">
        <f>IFERROR(INDEX(PP_Grid[#Data],$DD744,78),0)</f>
        <v/>
      </c>
      <c r="CC744">
        <f>IFERROR(INDEX(PP_Grid[#Data],$DD744,79),0)</f>
        <v/>
      </c>
      <c r="CD744">
        <f>IFERROR(INDEX(PP_Grid[#Data],$DD744,80),0)</f>
        <v/>
      </c>
      <c r="CE744">
        <f>IFERROR(INDEX(PP_Grid[#Data],$DD744,81),0)</f>
        <v/>
      </c>
      <c r="CF744">
        <f>IFERROR(INDEX(PP_Grid[#Data],$DD744,82),0)</f>
        <v/>
      </c>
      <c r="CG744">
        <f>IFERROR(INDEX(PP_Grid[#Data],$DD744,83),0)</f>
        <v/>
      </c>
      <c r="CH744">
        <f>IFERROR(INDEX(PP_Grid[#Data],$DD744,84),0)</f>
        <v/>
      </c>
      <c r="CI744">
        <f>IFERROR(INDEX(PP_Grid[#Data],$DD744,85),0)</f>
        <v/>
      </c>
      <c r="CJ744">
        <f>IFERROR(INDEX(PP_Grid[#Data],$DD744,86),0)</f>
        <v/>
      </c>
      <c r="CK744">
        <f>IFERROR(INDEX(PP_Grid[#Data],$DD744,87),0)</f>
        <v/>
      </c>
      <c r="CL744">
        <f>IFERROR(INDEX(PP_Grid[#Data],$DD744,88),0)</f>
        <v/>
      </c>
      <c r="CM744">
        <f>IFERROR(INDEX(PP_Grid[#Data],$DD744,89),0)</f>
        <v/>
      </c>
      <c r="CN744">
        <f>IFERROR(INDEX(PP_Grid[#Data],$DD744,90),0)</f>
        <v/>
      </c>
      <c r="CO744">
        <f>IFERROR(INDEX(PP_Grid[#Data],$DD744,91),0)</f>
        <v/>
      </c>
      <c r="CP744">
        <f>IFERROR(INDEX(PP_Grid[#Data],$DD744,92),0)</f>
        <v/>
      </c>
      <c r="CQ744">
        <f>IFERROR(INDEX(PP_Grid[#Data],$DD744,93),0)</f>
        <v/>
      </c>
      <c r="CR744">
        <f>IFERROR(INDEX(PP_Grid[#Data],$DD744,94),0)</f>
        <v/>
      </c>
      <c r="CS744">
        <f>IFERROR(INDEX(PP_Grid[#Data],$DD744,95),0)</f>
        <v/>
      </c>
      <c r="CT744">
        <f>IFERROR(INDEX(PP_Grid[#Data],$DD744,96),0)</f>
        <v/>
      </c>
      <c r="CU744">
        <f>IFERROR(INDEX(PP_Grid[#Data],$DD744,97),0)</f>
        <v/>
      </c>
      <c r="CV744">
        <f>IFERROR(INDEX(PP_Grid[#Data],$DD744,98),0)</f>
        <v/>
      </c>
      <c r="CW744">
        <f>IFERROR(INDEX(PP_Grid[#Data],$DD744,99),0)</f>
        <v/>
      </c>
      <c r="CX744">
        <f>IFERROR(INDEX(PP_Grid[#Data],$DD744,100),0)</f>
        <v/>
      </c>
      <c r="CY744">
        <f>IFERROR(INDEX(PP_Grid[#Data],$DD744,101),0)</f>
        <v/>
      </c>
      <c r="CZ744">
        <f>IFERROR(INDEX(PP_Grid[#Data],$DD744,102),0)</f>
        <v/>
      </c>
      <c r="DA744">
        <f>IFERROR(INDEX(PP_Grid[#Data],$DD744,103),0)</f>
        <v/>
      </c>
      <c r="DB744">
        <f>IFERROR(INDEX(PP_Grid[#Data],$DD744,104),0)</f>
        <v/>
      </c>
      <c r="DC744">
        <f>IFERROR(INDEX(PP_Grid[#Data],$DD744,105),0)</f>
        <v/>
      </c>
      <c r="DD744" s="12">
        <f>IFERROR(MATCH($B744,PP_Grid[Intermediate],0),99999)</f>
        <v/>
      </c>
    </row>
    <row r="745">
      <c r="B745" t="inlineStr">
        <is>
          <t>使用量(kg)</t>
        </is>
      </c>
      <c r="C745">
        <f>SUMIFS(M_BOM[RM_Qty_Per_Batch],M_BOM[Intermediate],$B744,M_BOM[Part Name],$A669)</f>
        <v/>
      </c>
      <c r="D745">
        <f>$C745*D744</f>
        <v/>
      </c>
      <c r="E745">
        <f>$C745*E744</f>
        <v/>
      </c>
      <c r="F745">
        <f>$C745*F744</f>
        <v/>
      </c>
      <c r="G745">
        <f>$C745*G744</f>
        <v/>
      </c>
      <c r="H745">
        <f>$C745*H744</f>
        <v/>
      </c>
      <c r="I745">
        <f>$C745*I744</f>
        <v/>
      </c>
      <c r="J745">
        <f>$C745*J744</f>
        <v/>
      </c>
      <c r="K745">
        <f>$C745*K744</f>
        <v/>
      </c>
      <c r="L745">
        <f>$C745*L744</f>
        <v/>
      </c>
      <c r="M745">
        <f>$C745*M744</f>
        <v/>
      </c>
      <c r="N745">
        <f>$C745*N744</f>
        <v/>
      </c>
      <c r="O745">
        <f>$C745*O744</f>
        <v/>
      </c>
      <c r="P745">
        <f>$C745*P744</f>
        <v/>
      </c>
      <c r="Q745">
        <f>$C745*Q744</f>
        <v/>
      </c>
      <c r="R745">
        <f>$C745*R744</f>
        <v/>
      </c>
      <c r="S745">
        <f>$C745*S744</f>
        <v/>
      </c>
      <c r="T745">
        <f>$C745*T744</f>
        <v/>
      </c>
      <c r="U745">
        <f>$C745*U744</f>
        <v/>
      </c>
      <c r="V745">
        <f>$C745*V744</f>
        <v/>
      </c>
      <c r="W745">
        <f>$C745*W744</f>
        <v/>
      </c>
      <c r="X745">
        <f>$C745*X744</f>
        <v/>
      </c>
      <c r="Y745">
        <f>$C745*Y744</f>
        <v/>
      </c>
      <c r="Z745">
        <f>$C745*Z744</f>
        <v/>
      </c>
      <c r="AA745">
        <f>$C745*AA744</f>
        <v/>
      </c>
      <c r="AB745">
        <f>$C745*AB744</f>
        <v/>
      </c>
      <c r="AC745">
        <f>$C745*AC744</f>
        <v/>
      </c>
      <c r="AD745">
        <f>$C745*AD744</f>
        <v/>
      </c>
      <c r="AE745">
        <f>$C745*AE744</f>
        <v/>
      </c>
      <c r="AF745">
        <f>$C745*AF744</f>
        <v/>
      </c>
      <c r="AG745">
        <f>$C745*AG744</f>
        <v/>
      </c>
      <c r="AH745">
        <f>$C745*AH744</f>
        <v/>
      </c>
      <c r="AI745">
        <f>$C745*AI744</f>
        <v/>
      </c>
      <c r="AJ745">
        <f>$C745*AJ744</f>
        <v/>
      </c>
      <c r="AK745">
        <f>$C745*AK744</f>
        <v/>
      </c>
      <c r="AL745">
        <f>$C745*AL744</f>
        <v/>
      </c>
      <c r="AM745">
        <f>$C745*AM744</f>
        <v/>
      </c>
      <c r="AN745">
        <f>$C745*AN744</f>
        <v/>
      </c>
      <c r="AO745">
        <f>$C745*AO744</f>
        <v/>
      </c>
      <c r="AP745">
        <f>$C745*AP744</f>
        <v/>
      </c>
      <c r="AQ745">
        <f>$C745*AQ744</f>
        <v/>
      </c>
      <c r="AR745">
        <f>$C745*AR744</f>
        <v/>
      </c>
      <c r="AS745">
        <f>$C745*AS744</f>
        <v/>
      </c>
      <c r="AT745">
        <f>$C745*AT744</f>
        <v/>
      </c>
      <c r="AU745">
        <f>$C745*AU744</f>
        <v/>
      </c>
      <c r="AV745">
        <f>$C745*AV744</f>
        <v/>
      </c>
      <c r="AW745">
        <f>$C745*AW744</f>
        <v/>
      </c>
      <c r="AX745">
        <f>$C745*AX744</f>
        <v/>
      </c>
      <c r="AY745">
        <f>$C745*AY744</f>
        <v/>
      </c>
      <c r="AZ745">
        <f>$C745*AZ744</f>
        <v/>
      </c>
      <c r="BA745">
        <f>$C745*BA744</f>
        <v/>
      </c>
      <c r="BB745">
        <f>$C745*BB744</f>
        <v/>
      </c>
      <c r="BC745">
        <f>$C745*BC744</f>
        <v/>
      </c>
      <c r="BD745">
        <f>$C745*BD744</f>
        <v/>
      </c>
      <c r="BE745">
        <f>$C745*BE744</f>
        <v/>
      </c>
      <c r="BF745">
        <f>$C745*BF744</f>
        <v/>
      </c>
      <c r="BG745">
        <f>$C745*BG744</f>
        <v/>
      </c>
      <c r="BH745">
        <f>$C745*BH744</f>
        <v/>
      </c>
      <c r="BI745">
        <f>$C745*BI744</f>
        <v/>
      </c>
      <c r="BJ745">
        <f>$C745*BJ744</f>
        <v/>
      </c>
      <c r="BK745">
        <f>$C745*BK744</f>
        <v/>
      </c>
      <c r="BL745">
        <f>$C745*BL744</f>
        <v/>
      </c>
      <c r="BM745">
        <f>$C745*BM744</f>
        <v/>
      </c>
      <c r="BN745">
        <f>$C745*BN744</f>
        <v/>
      </c>
      <c r="BO745">
        <f>$C745*BO744</f>
        <v/>
      </c>
      <c r="BP745">
        <f>$C745*BP744</f>
        <v/>
      </c>
      <c r="BQ745">
        <f>$C745*BQ744</f>
        <v/>
      </c>
      <c r="BR745">
        <f>$C745*BR744</f>
        <v/>
      </c>
      <c r="BS745">
        <f>$C745*BS744</f>
        <v/>
      </c>
      <c r="BT745">
        <f>$C745*BT744</f>
        <v/>
      </c>
      <c r="BU745">
        <f>$C745*BU744</f>
        <v/>
      </c>
      <c r="BV745">
        <f>$C745*BV744</f>
        <v/>
      </c>
      <c r="BW745">
        <f>$C745*BW744</f>
        <v/>
      </c>
      <c r="BX745">
        <f>$C745*BX744</f>
        <v/>
      </c>
      <c r="BY745">
        <f>$C745*BY744</f>
        <v/>
      </c>
      <c r="BZ745">
        <f>$C745*BZ744</f>
        <v/>
      </c>
      <c r="CA745">
        <f>$C745*CA744</f>
        <v/>
      </c>
      <c r="CB745">
        <f>$C745*CB744</f>
        <v/>
      </c>
      <c r="CC745">
        <f>$C745*CC744</f>
        <v/>
      </c>
      <c r="CD745">
        <f>$C745*CD744</f>
        <v/>
      </c>
      <c r="CE745">
        <f>$C745*CE744</f>
        <v/>
      </c>
      <c r="CF745">
        <f>$C745*CF744</f>
        <v/>
      </c>
      <c r="CG745">
        <f>$C745*CG744</f>
        <v/>
      </c>
      <c r="CH745">
        <f>$C745*CH744</f>
        <v/>
      </c>
      <c r="CI745">
        <f>$C745*CI744</f>
        <v/>
      </c>
      <c r="CJ745">
        <f>$C745*CJ744</f>
        <v/>
      </c>
      <c r="CK745">
        <f>$C745*CK744</f>
        <v/>
      </c>
      <c r="CL745">
        <f>$C745*CL744</f>
        <v/>
      </c>
      <c r="CM745">
        <f>$C745*CM744</f>
        <v/>
      </c>
      <c r="CN745">
        <f>$C745*CN744</f>
        <v/>
      </c>
      <c r="CO745">
        <f>$C745*CO744</f>
        <v/>
      </c>
      <c r="CP745">
        <f>$C745*CP744</f>
        <v/>
      </c>
      <c r="CQ745">
        <f>$C745*CQ744</f>
        <v/>
      </c>
      <c r="CR745">
        <f>$C745*CR744</f>
        <v/>
      </c>
      <c r="CS745">
        <f>$C745*CS744</f>
        <v/>
      </c>
      <c r="CT745">
        <f>$C745*CT744</f>
        <v/>
      </c>
      <c r="CU745">
        <f>$C745*CU744</f>
        <v/>
      </c>
      <c r="CV745">
        <f>$C745*CV744</f>
        <v/>
      </c>
      <c r="CW745">
        <f>$C745*CW744</f>
        <v/>
      </c>
      <c r="CX745">
        <f>$C745*CX744</f>
        <v/>
      </c>
      <c r="CY745">
        <f>$C745*CY744</f>
        <v/>
      </c>
      <c r="CZ745">
        <f>$C745*CZ744</f>
        <v/>
      </c>
      <c r="DA745">
        <f>$C745*DA744</f>
        <v/>
      </c>
      <c r="DB745">
        <f>$C745*DB744</f>
        <v/>
      </c>
      <c r="DC745">
        <f>$C745*DC744</f>
        <v/>
      </c>
    </row>
    <row r="746">
      <c r="B746" t="inlineStr">
        <is>
          <t>TSP-669</t>
        </is>
      </c>
      <c r="C746" t="inlineStr">
        <is>
          <t>No. of batches</t>
        </is>
      </c>
      <c r="D746">
        <f>IFERROR(INDEX(PP_Grid[#Data],$DD746,2),0)</f>
        <v/>
      </c>
      <c r="E746">
        <f>IFERROR(INDEX(PP_Grid[#Data],$DD746,3),0)</f>
        <v/>
      </c>
      <c r="F746">
        <f>IFERROR(INDEX(PP_Grid[#Data],$DD746,4),0)</f>
        <v/>
      </c>
      <c r="G746">
        <f>IFERROR(INDEX(PP_Grid[#Data],$DD746,5),0)</f>
        <v/>
      </c>
      <c r="H746">
        <f>IFERROR(INDEX(PP_Grid[#Data],$DD746,6),0)</f>
        <v/>
      </c>
      <c r="I746">
        <f>IFERROR(INDEX(PP_Grid[#Data],$DD746,7),0)</f>
        <v/>
      </c>
      <c r="J746">
        <f>IFERROR(INDEX(PP_Grid[#Data],$DD746,8),0)</f>
        <v/>
      </c>
      <c r="K746">
        <f>IFERROR(INDEX(PP_Grid[#Data],$DD746,9),0)</f>
        <v/>
      </c>
      <c r="L746">
        <f>IFERROR(INDEX(PP_Grid[#Data],$DD746,10),0)</f>
        <v/>
      </c>
      <c r="M746">
        <f>IFERROR(INDEX(PP_Grid[#Data],$DD746,11),0)</f>
        <v/>
      </c>
      <c r="N746">
        <f>IFERROR(INDEX(PP_Grid[#Data],$DD746,12),0)</f>
        <v/>
      </c>
      <c r="O746">
        <f>IFERROR(INDEX(PP_Grid[#Data],$DD746,13),0)</f>
        <v/>
      </c>
      <c r="P746">
        <f>IFERROR(INDEX(PP_Grid[#Data],$DD746,14),0)</f>
        <v/>
      </c>
      <c r="Q746">
        <f>IFERROR(INDEX(PP_Grid[#Data],$DD746,15),0)</f>
        <v/>
      </c>
      <c r="R746">
        <f>IFERROR(INDEX(PP_Grid[#Data],$DD746,16),0)</f>
        <v/>
      </c>
      <c r="S746">
        <f>IFERROR(INDEX(PP_Grid[#Data],$DD746,17),0)</f>
        <v/>
      </c>
      <c r="T746">
        <f>IFERROR(INDEX(PP_Grid[#Data],$DD746,18),0)</f>
        <v/>
      </c>
      <c r="U746">
        <f>IFERROR(INDEX(PP_Grid[#Data],$DD746,19),0)</f>
        <v/>
      </c>
      <c r="V746">
        <f>IFERROR(INDEX(PP_Grid[#Data],$DD746,20),0)</f>
        <v/>
      </c>
      <c r="W746">
        <f>IFERROR(INDEX(PP_Grid[#Data],$DD746,21),0)</f>
        <v/>
      </c>
      <c r="X746">
        <f>IFERROR(INDEX(PP_Grid[#Data],$DD746,22),0)</f>
        <v/>
      </c>
      <c r="Y746">
        <f>IFERROR(INDEX(PP_Grid[#Data],$DD746,23),0)</f>
        <v/>
      </c>
      <c r="Z746">
        <f>IFERROR(INDEX(PP_Grid[#Data],$DD746,24),0)</f>
        <v/>
      </c>
      <c r="AA746">
        <f>IFERROR(INDEX(PP_Grid[#Data],$DD746,25),0)</f>
        <v/>
      </c>
      <c r="AB746">
        <f>IFERROR(INDEX(PP_Grid[#Data],$DD746,26),0)</f>
        <v/>
      </c>
      <c r="AC746">
        <f>IFERROR(INDEX(PP_Grid[#Data],$DD746,27),0)</f>
        <v/>
      </c>
      <c r="AD746">
        <f>IFERROR(INDEX(PP_Grid[#Data],$DD746,28),0)</f>
        <v/>
      </c>
      <c r="AE746">
        <f>IFERROR(INDEX(PP_Grid[#Data],$DD746,29),0)</f>
        <v/>
      </c>
      <c r="AF746">
        <f>IFERROR(INDEX(PP_Grid[#Data],$DD746,30),0)</f>
        <v/>
      </c>
      <c r="AG746">
        <f>IFERROR(INDEX(PP_Grid[#Data],$DD746,31),0)</f>
        <v/>
      </c>
      <c r="AH746">
        <f>IFERROR(INDEX(PP_Grid[#Data],$DD746,32),0)</f>
        <v/>
      </c>
      <c r="AI746">
        <f>IFERROR(INDEX(PP_Grid[#Data],$DD746,33),0)</f>
        <v/>
      </c>
      <c r="AJ746">
        <f>IFERROR(INDEX(PP_Grid[#Data],$DD746,34),0)</f>
        <v/>
      </c>
      <c r="AK746">
        <f>IFERROR(INDEX(PP_Grid[#Data],$DD746,35),0)</f>
        <v/>
      </c>
      <c r="AL746">
        <f>IFERROR(INDEX(PP_Grid[#Data],$DD746,36),0)</f>
        <v/>
      </c>
      <c r="AM746">
        <f>IFERROR(INDEX(PP_Grid[#Data],$DD746,37),0)</f>
        <v/>
      </c>
      <c r="AN746">
        <f>IFERROR(INDEX(PP_Grid[#Data],$DD746,38),0)</f>
        <v/>
      </c>
      <c r="AO746">
        <f>IFERROR(INDEX(PP_Grid[#Data],$DD746,39),0)</f>
        <v/>
      </c>
      <c r="AP746">
        <f>IFERROR(INDEX(PP_Grid[#Data],$DD746,40),0)</f>
        <v/>
      </c>
      <c r="AQ746">
        <f>IFERROR(INDEX(PP_Grid[#Data],$DD746,41),0)</f>
        <v/>
      </c>
      <c r="AR746">
        <f>IFERROR(INDEX(PP_Grid[#Data],$DD746,42),0)</f>
        <v/>
      </c>
      <c r="AS746">
        <f>IFERROR(INDEX(PP_Grid[#Data],$DD746,43),0)</f>
        <v/>
      </c>
      <c r="AT746">
        <f>IFERROR(INDEX(PP_Grid[#Data],$DD746,44),0)</f>
        <v/>
      </c>
      <c r="AU746">
        <f>IFERROR(INDEX(PP_Grid[#Data],$DD746,45),0)</f>
        <v/>
      </c>
      <c r="AV746">
        <f>IFERROR(INDEX(PP_Grid[#Data],$DD746,46),0)</f>
        <v/>
      </c>
      <c r="AW746">
        <f>IFERROR(INDEX(PP_Grid[#Data],$DD746,47),0)</f>
        <v/>
      </c>
      <c r="AX746">
        <f>IFERROR(INDEX(PP_Grid[#Data],$DD746,48),0)</f>
        <v/>
      </c>
      <c r="AY746">
        <f>IFERROR(INDEX(PP_Grid[#Data],$DD746,49),0)</f>
        <v/>
      </c>
      <c r="AZ746">
        <f>IFERROR(INDEX(PP_Grid[#Data],$DD746,50),0)</f>
        <v/>
      </c>
      <c r="BA746">
        <f>IFERROR(INDEX(PP_Grid[#Data],$DD746,51),0)</f>
        <v/>
      </c>
      <c r="BB746">
        <f>IFERROR(INDEX(PP_Grid[#Data],$DD746,52),0)</f>
        <v/>
      </c>
      <c r="BC746">
        <f>IFERROR(INDEX(PP_Grid[#Data],$DD746,53),0)</f>
        <v/>
      </c>
      <c r="BD746">
        <f>IFERROR(INDEX(PP_Grid[#Data],$DD746,54),0)</f>
        <v/>
      </c>
      <c r="BE746">
        <f>IFERROR(INDEX(PP_Grid[#Data],$DD746,55),0)</f>
        <v/>
      </c>
      <c r="BF746">
        <f>IFERROR(INDEX(PP_Grid[#Data],$DD746,56),0)</f>
        <v/>
      </c>
      <c r="BG746">
        <f>IFERROR(INDEX(PP_Grid[#Data],$DD746,57),0)</f>
        <v/>
      </c>
      <c r="BH746">
        <f>IFERROR(INDEX(PP_Grid[#Data],$DD746,58),0)</f>
        <v/>
      </c>
      <c r="BI746">
        <f>IFERROR(INDEX(PP_Grid[#Data],$DD746,59),0)</f>
        <v/>
      </c>
      <c r="BJ746">
        <f>IFERROR(INDEX(PP_Grid[#Data],$DD746,60),0)</f>
        <v/>
      </c>
      <c r="BK746">
        <f>IFERROR(INDEX(PP_Grid[#Data],$DD746,61),0)</f>
        <v/>
      </c>
      <c r="BL746">
        <f>IFERROR(INDEX(PP_Grid[#Data],$DD746,62),0)</f>
        <v/>
      </c>
      <c r="BM746">
        <f>IFERROR(INDEX(PP_Grid[#Data],$DD746,63),0)</f>
        <v/>
      </c>
      <c r="BN746">
        <f>IFERROR(INDEX(PP_Grid[#Data],$DD746,64),0)</f>
        <v/>
      </c>
      <c r="BO746">
        <f>IFERROR(INDEX(PP_Grid[#Data],$DD746,65),0)</f>
        <v/>
      </c>
      <c r="BP746">
        <f>IFERROR(INDEX(PP_Grid[#Data],$DD746,66),0)</f>
        <v/>
      </c>
      <c r="BQ746">
        <f>IFERROR(INDEX(PP_Grid[#Data],$DD746,67),0)</f>
        <v/>
      </c>
      <c r="BR746">
        <f>IFERROR(INDEX(PP_Grid[#Data],$DD746,68),0)</f>
        <v/>
      </c>
      <c r="BS746">
        <f>IFERROR(INDEX(PP_Grid[#Data],$DD746,69),0)</f>
        <v/>
      </c>
      <c r="BT746">
        <f>IFERROR(INDEX(PP_Grid[#Data],$DD746,70),0)</f>
        <v/>
      </c>
      <c r="BU746">
        <f>IFERROR(INDEX(PP_Grid[#Data],$DD746,71),0)</f>
        <v/>
      </c>
      <c r="BV746">
        <f>IFERROR(INDEX(PP_Grid[#Data],$DD746,72),0)</f>
        <v/>
      </c>
      <c r="BW746">
        <f>IFERROR(INDEX(PP_Grid[#Data],$DD746,73),0)</f>
        <v/>
      </c>
      <c r="BX746">
        <f>IFERROR(INDEX(PP_Grid[#Data],$DD746,74),0)</f>
        <v/>
      </c>
      <c r="BY746">
        <f>IFERROR(INDEX(PP_Grid[#Data],$DD746,75),0)</f>
        <v/>
      </c>
      <c r="BZ746">
        <f>IFERROR(INDEX(PP_Grid[#Data],$DD746,76),0)</f>
        <v/>
      </c>
      <c r="CA746">
        <f>IFERROR(INDEX(PP_Grid[#Data],$DD746,77),0)</f>
        <v/>
      </c>
      <c r="CB746">
        <f>IFERROR(INDEX(PP_Grid[#Data],$DD746,78),0)</f>
        <v/>
      </c>
      <c r="CC746">
        <f>IFERROR(INDEX(PP_Grid[#Data],$DD746,79),0)</f>
        <v/>
      </c>
      <c r="CD746">
        <f>IFERROR(INDEX(PP_Grid[#Data],$DD746,80),0)</f>
        <v/>
      </c>
      <c r="CE746">
        <f>IFERROR(INDEX(PP_Grid[#Data],$DD746,81),0)</f>
        <v/>
      </c>
      <c r="CF746">
        <f>IFERROR(INDEX(PP_Grid[#Data],$DD746,82),0)</f>
        <v/>
      </c>
      <c r="CG746">
        <f>IFERROR(INDEX(PP_Grid[#Data],$DD746,83),0)</f>
        <v/>
      </c>
      <c r="CH746">
        <f>IFERROR(INDEX(PP_Grid[#Data],$DD746,84),0)</f>
        <v/>
      </c>
      <c r="CI746">
        <f>IFERROR(INDEX(PP_Grid[#Data],$DD746,85),0)</f>
        <v/>
      </c>
      <c r="CJ746">
        <f>IFERROR(INDEX(PP_Grid[#Data],$DD746,86),0)</f>
        <v/>
      </c>
      <c r="CK746">
        <f>IFERROR(INDEX(PP_Grid[#Data],$DD746,87),0)</f>
        <v/>
      </c>
      <c r="CL746">
        <f>IFERROR(INDEX(PP_Grid[#Data],$DD746,88),0)</f>
        <v/>
      </c>
      <c r="CM746">
        <f>IFERROR(INDEX(PP_Grid[#Data],$DD746,89),0)</f>
        <v/>
      </c>
      <c r="CN746">
        <f>IFERROR(INDEX(PP_Grid[#Data],$DD746,90),0)</f>
        <v/>
      </c>
      <c r="CO746">
        <f>IFERROR(INDEX(PP_Grid[#Data],$DD746,91),0)</f>
        <v/>
      </c>
      <c r="CP746">
        <f>IFERROR(INDEX(PP_Grid[#Data],$DD746,92),0)</f>
        <v/>
      </c>
      <c r="CQ746">
        <f>IFERROR(INDEX(PP_Grid[#Data],$DD746,93),0)</f>
        <v/>
      </c>
      <c r="CR746">
        <f>IFERROR(INDEX(PP_Grid[#Data],$DD746,94),0)</f>
        <v/>
      </c>
      <c r="CS746">
        <f>IFERROR(INDEX(PP_Grid[#Data],$DD746,95),0)</f>
        <v/>
      </c>
      <c r="CT746">
        <f>IFERROR(INDEX(PP_Grid[#Data],$DD746,96),0)</f>
        <v/>
      </c>
      <c r="CU746">
        <f>IFERROR(INDEX(PP_Grid[#Data],$DD746,97),0)</f>
        <v/>
      </c>
      <c r="CV746">
        <f>IFERROR(INDEX(PP_Grid[#Data],$DD746,98),0)</f>
        <v/>
      </c>
      <c r="CW746">
        <f>IFERROR(INDEX(PP_Grid[#Data],$DD746,99),0)</f>
        <v/>
      </c>
      <c r="CX746">
        <f>IFERROR(INDEX(PP_Grid[#Data],$DD746,100),0)</f>
        <v/>
      </c>
      <c r="CY746">
        <f>IFERROR(INDEX(PP_Grid[#Data],$DD746,101),0)</f>
        <v/>
      </c>
      <c r="CZ746">
        <f>IFERROR(INDEX(PP_Grid[#Data],$DD746,102),0)</f>
        <v/>
      </c>
      <c r="DA746">
        <f>IFERROR(INDEX(PP_Grid[#Data],$DD746,103),0)</f>
        <v/>
      </c>
      <c r="DB746">
        <f>IFERROR(INDEX(PP_Grid[#Data],$DD746,104),0)</f>
        <v/>
      </c>
      <c r="DC746">
        <f>IFERROR(INDEX(PP_Grid[#Data],$DD746,105),0)</f>
        <v/>
      </c>
      <c r="DD746" s="12">
        <f>IFERROR(MATCH($B746,PP_Grid[Intermediate],0),99999)</f>
        <v/>
      </c>
    </row>
    <row r="747">
      <c r="B747" t="inlineStr">
        <is>
          <t>使用量(kg)</t>
        </is>
      </c>
      <c r="C747">
        <f>SUMIFS(M_BOM[RM_Qty_Per_Batch],M_BOM[Intermediate],$B746,M_BOM[Part Name],$A669)</f>
        <v/>
      </c>
      <c r="D747">
        <f>$C747*D746</f>
        <v/>
      </c>
      <c r="E747">
        <f>$C747*E746</f>
        <v/>
      </c>
      <c r="F747">
        <f>$C747*F746</f>
        <v/>
      </c>
      <c r="G747">
        <f>$C747*G746</f>
        <v/>
      </c>
      <c r="H747">
        <f>$C747*H746</f>
        <v/>
      </c>
      <c r="I747">
        <f>$C747*I746</f>
        <v/>
      </c>
      <c r="J747">
        <f>$C747*J746</f>
        <v/>
      </c>
      <c r="K747">
        <f>$C747*K746</f>
        <v/>
      </c>
      <c r="L747">
        <f>$C747*L746</f>
        <v/>
      </c>
      <c r="M747">
        <f>$C747*M746</f>
        <v/>
      </c>
      <c r="N747">
        <f>$C747*N746</f>
        <v/>
      </c>
      <c r="O747">
        <f>$C747*O746</f>
        <v/>
      </c>
      <c r="P747">
        <f>$C747*P746</f>
        <v/>
      </c>
      <c r="Q747">
        <f>$C747*Q746</f>
        <v/>
      </c>
      <c r="R747">
        <f>$C747*R746</f>
        <v/>
      </c>
      <c r="S747">
        <f>$C747*S746</f>
        <v/>
      </c>
      <c r="T747">
        <f>$C747*T746</f>
        <v/>
      </c>
      <c r="U747">
        <f>$C747*U746</f>
        <v/>
      </c>
      <c r="V747">
        <f>$C747*V746</f>
        <v/>
      </c>
      <c r="W747">
        <f>$C747*W746</f>
        <v/>
      </c>
      <c r="X747">
        <f>$C747*X746</f>
        <v/>
      </c>
      <c r="Y747">
        <f>$C747*Y746</f>
        <v/>
      </c>
      <c r="Z747">
        <f>$C747*Z746</f>
        <v/>
      </c>
      <c r="AA747">
        <f>$C747*AA746</f>
        <v/>
      </c>
      <c r="AB747">
        <f>$C747*AB746</f>
        <v/>
      </c>
      <c r="AC747">
        <f>$C747*AC746</f>
        <v/>
      </c>
      <c r="AD747">
        <f>$C747*AD746</f>
        <v/>
      </c>
      <c r="AE747">
        <f>$C747*AE746</f>
        <v/>
      </c>
      <c r="AF747">
        <f>$C747*AF746</f>
        <v/>
      </c>
      <c r="AG747">
        <f>$C747*AG746</f>
        <v/>
      </c>
      <c r="AH747">
        <f>$C747*AH746</f>
        <v/>
      </c>
      <c r="AI747">
        <f>$C747*AI746</f>
        <v/>
      </c>
      <c r="AJ747">
        <f>$C747*AJ746</f>
        <v/>
      </c>
      <c r="AK747">
        <f>$C747*AK746</f>
        <v/>
      </c>
      <c r="AL747">
        <f>$C747*AL746</f>
        <v/>
      </c>
      <c r="AM747">
        <f>$C747*AM746</f>
        <v/>
      </c>
      <c r="AN747">
        <f>$C747*AN746</f>
        <v/>
      </c>
      <c r="AO747">
        <f>$C747*AO746</f>
        <v/>
      </c>
      <c r="AP747">
        <f>$C747*AP746</f>
        <v/>
      </c>
      <c r="AQ747">
        <f>$C747*AQ746</f>
        <v/>
      </c>
      <c r="AR747">
        <f>$C747*AR746</f>
        <v/>
      </c>
      <c r="AS747">
        <f>$C747*AS746</f>
        <v/>
      </c>
      <c r="AT747">
        <f>$C747*AT746</f>
        <v/>
      </c>
      <c r="AU747">
        <f>$C747*AU746</f>
        <v/>
      </c>
      <c r="AV747">
        <f>$C747*AV746</f>
        <v/>
      </c>
      <c r="AW747">
        <f>$C747*AW746</f>
        <v/>
      </c>
      <c r="AX747">
        <f>$C747*AX746</f>
        <v/>
      </c>
      <c r="AY747">
        <f>$C747*AY746</f>
        <v/>
      </c>
      <c r="AZ747">
        <f>$C747*AZ746</f>
        <v/>
      </c>
      <c r="BA747">
        <f>$C747*BA746</f>
        <v/>
      </c>
      <c r="BB747">
        <f>$C747*BB746</f>
        <v/>
      </c>
      <c r="BC747">
        <f>$C747*BC746</f>
        <v/>
      </c>
      <c r="BD747">
        <f>$C747*BD746</f>
        <v/>
      </c>
      <c r="BE747">
        <f>$C747*BE746</f>
        <v/>
      </c>
      <c r="BF747">
        <f>$C747*BF746</f>
        <v/>
      </c>
      <c r="BG747">
        <f>$C747*BG746</f>
        <v/>
      </c>
      <c r="BH747">
        <f>$C747*BH746</f>
        <v/>
      </c>
      <c r="BI747">
        <f>$C747*BI746</f>
        <v/>
      </c>
      <c r="BJ747">
        <f>$C747*BJ746</f>
        <v/>
      </c>
      <c r="BK747">
        <f>$C747*BK746</f>
        <v/>
      </c>
      <c r="BL747">
        <f>$C747*BL746</f>
        <v/>
      </c>
      <c r="BM747">
        <f>$C747*BM746</f>
        <v/>
      </c>
      <c r="BN747">
        <f>$C747*BN746</f>
        <v/>
      </c>
      <c r="BO747">
        <f>$C747*BO746</f>
        <v/>
      </c>
      <c r="BP747">
        <f>$C747*BP746</f>
        <v/>
      </c>
      <c r="BQ747">
        <f>$C747*BQ746</f>
        <v/>
      </c>
      <c r="BR747">
        <f>$C747*BR746</f>
        <v/>
      </c>
      <c r="BS747">
        <f>$C747*BS746</f>
        <v/>
      </c>
      <c r="BT747">
        <f>$C747*BT746</f>
        <v/>
      </c>
      <c r="BU747">
        <f>$C747*BU746</f>
        <v/>
      </c>
      <c r="BV747">
        <f>$C747*BV746</f>
        <v/>
      </c>
      <c r="BW747">
        <f>$C747*BW746</f>
        <v/>
      </c>
      <c r="BX747">
        <f>$C747*BX746</f>
        <v/>
      </c>
      <c r="BY747">
        <f>$C747*BY746</f>
        <v/>
      </c>
      <c r="BZ747">
        <f>$C747*BZ746</f>
        <v/>
      </c>
      <c r="CA747">
        <f>$C747*CA746</f>
        <v/>
      </c>
      <c r="CB747">
        <f>$C747*CB746</f>
        <v/>
      </c>
      <c r="CC747">
        <f>$C747*CC746</f>
        <v/>
      </c>
      <c r="CD747">
        <f>$C747*CD746</f>
        <v/>
      </c>
      <c r="CE747">
        <f>$C747*CE746</f>
        <v/>
      </c>
      <c r="CF747">
        <f>$C747*CF746</f>
        <v/>
      </c>
      <c r="CG747">
        <f>$C747*CG746</f>
        <v/>
      </c>
      <c r="CH747">
        <f>$C747*CH746</f>
        <v/>
      </c>
      <c r="CI747">
        <f>$C747*CI746</f>
        <v/>
      </c>
      <c r="CJ747">
        <f>$C747*CJ746</f>
        <v/>
      </c>
      <c r="CK747">
        <f>$C747*CK746</f>
        <v/>
      </c>
      <c r="CL747">
        <f>$C747*CL746</f>
        <v/>
      </c>
      <c r="CM747">
        <f>$C747*CM746</f>
        <v/>
      </c>
      <c r="CN747">
        <f>$C747*CN746</f>
        <v/>
      </c>
      <c r="CO747">
        <f>$C747*CO746</f>
        <v/>
      </c>
      <c r="CP747">
        <f>$C747*CP746</f>
        <v/>
      </c>
      <c r="CQ747">
        <f>$C747*CQ746</f>
        <v/>
      </c>
      <c r="CR747">
        <f>$C747*CR746</f>
        <v/>
      </c>
      <c r="CS747">
        <f>$C747*CS746</f>
        <v/>
      </c>
      <c r="CT747">
        <f>$C747*CT746</f>
        <v/>
      </c>
      <c r="CU747">
        <f>$C747*CU746</f>
        <v/>
      </c>
      <c r="CV747">
        <f>$C747*CV746</f>
        <v/>
      </c>
      <c r="CW747">
        <f>$C747*CW746</f>
        <v/>
      </c>
      <c r="CX747">
        <f>$C747*CX746</f>
        <v/>
      </c>
      <c r="CY747">
        <f>$C747*CY746</f>
        <v/>
      </c>
      <c r="CZ747">
        <f>$C747*CZ746</f>
        <v/>
      </c>
      <c r="DA747">
        <f>$C747*DA746</f>
        <v/>
      </c>
      <c r="DB747">
        <f>$C747*DB746</f>
        <v/>
      </c>
      <c r="DC747">
        <f>$C747*DC746</f>
        <v/>
      </c>
    </row>
    <row r="748">
      <c r="B748" t="inlineStr">
        <is>
          <t>TSP-670</t>
        </is>
      </c>
      <c r="C748" t="inlineStr">
        <is>
          <t>No. of batches</t>
        </is>
      </c>
      <c r="D748">
        <f>IFERROR(INDEX(PP_Grid[#Data],$DD748,2),0)</f>
        <v/>
      </c>
      <c r="E748">
        <f>IFERROR(INDEX(PP_Grid[#Data],$DD748,3),0)</f>
        <v/>
      </c>
      <c r="F748">
        <f>IFERROR(INDEX(PP_Grid[#Data],$DD748,4),0)</f>
        <v/>
      </c>
      <c r="G748">
        <f>IFERROR(INDEX(PP_Grid[#Data],$DD748,5),0)</f>
        <v/>
      </c>
      <c r="H748">
        <f>IFERROR(INDEX(PP_Grid[#Data],$DD748,6),0)</f>
        <v/>
      </c>
      <c r="I748">
        <f>IFERROR(INDEX(PP_Grid[#Data],$DD748,7),0)</f>
        <v/>
      </c>
      <c r="J748">
        <f>IFERROR(INDEX(PP_Grid[#Data],$DD748,8),0)</f>
        <v/>
      </c>
      <c r="K748">
        <f>IFERROR(INDEX(PP_Grid[#Data],$DD748,9),0)</f>
        <v/>
      </c>
      <c r="L748">
        <f>IFERROR(INDEX(PP_Grid[#Data],$DD748,10),0)</f>
        <v/>
      </c>
      <c r="M748">
        <f>IFERROR(INDEX(PP_Grid[#Data],$DD748,11),0)</f>
        <v/>
      </c>
      <c r="N748">
        <f>IFERROR(INDEX(PP_Grid[#Data],$DD748,12),0)</f>
        <v/>
      </c>
      <c r="O748">
        <f>IFERROR(INDEX(PP_Grid[#Data],$DD748,13),0)</f>
        <v/>
      </c>
      <c r="P748">
        <f>IFERROR(INDEX(PP_Grid[#Data],$DD748,14),0)</f>
        <v/>
      </c>
      <c r="Q748">
        <f>IFERROR(INDEX(PP_Grid[#Data],$DD748,15),0)</f>
        <v/>
      </c>
      <c r="R748">
        <f>IFERROR(INDEX(PP_Grid[#Data],$DD748,16),0)</f>
        <v/>
      </c>
      <c r="S748">
        <f>IFERROR(INDEX(PP_Grid[#Data],$DD748,17),0)</f>
        <v/>
      </c>
      <c r="T748">
        <f>IFERROR(INDEX(PP_Grid[#Data],$DD748,18),0)</f>
        <v/>
      </c>
      <c r="U748">
        <f>IFERROR(INDEX(PP_Grid[#Data],$DD748,19),0)</f>
        <v/>
      </c>
      <c r="V748">
        <f>IFERROR(INDEX(PP_Grid[#Data],$DD748,20),0)</f>
        <v/>
      </c>
      <c r="W748">
        <f>IFERROR(INDEX(PP_Grid[#Data],$DD748,21),0)</f>
        <v/>
      </c>
      <c r="X748">
        <f>IFERROR(INDEX(PP_Grid[#Data],$DD748,22),0)</f>
        <v/>
      </c>
      <c r="Y748">
        <f>IFERROR(INDEX(PP_Grid[#Data],$DD748,23),0)</f>
        <v/>
      </c>
      <c r="Z748">
        <f>IFERROR(INDEX(PP_Grid[#Data],$DD748,24),0)</f>
        <v/>
      </c>
      <c r="AA748">
        <f>IFERROR(INDEX(PP_Grid[#Data],$DD748,25),0)</f>
        <v/>
      </c>
      <c r="AB748">
        <f>IFERROR(INDEX(PP_Grid[#Data],$DD748,26),0)</f>
        <v/>
      </c>
      <c r="AC748">
        <f>IFERROR(INDEX(PP_Grid[#Data],$DD748,27),0)</f>
        <v/>
      </c>
      <c r="AD748">
        <f>IFERROR(INDEX(PP_Grid[#Data],$DD748,28),0)</f>
        <v/>
      </c>
      <c r="AE748">
        <f>IFERROR(INDEX(PP_Grid[#Data],$DD748,29),0)</f>
        <v/>
      </c>
      <c r="AF748">
        <f>IFERROR(INDEX(PP_Grid[#Data],$DD748,30),0)</f>
        <v/>
      </c>
      <c r="AG748">
        <f>IFERROR(INDEX(PP_Grid[#Data],$DD748,31),0)</f>
        <v/>
      </c>
      <c r="AH748">
        <f>IFERROR(INDEX(PP_Grid[#Data],$DD748,32),0)</f>
        <v/>
      </c>
      <c r="AI748">
        <f>IFERROR(INDEX(PP_Grid[#Data],$DD748,33),0)</f>
        <v/>
      </c>
      <c r="AJ748">
        <f>IFERROR(INDEX(PP_Grid[#Data],$DD748,34),0)</f>
        <v/>
      </c>
      <c r="AK748">
        <f>IFERROR(INDEX(PP_Grid[#Data],$DD748,35),0)</f>
        <v/>
      </c>
      <c r="AL748">
        <f>IFERROR(INDEX(PP_Grid[#Data],$DD748,36),0)</f>
        <v/>
      </c>
      <c r="AM748">
        <f>IFERROR(INDEX(PP_Grid[#Data],$DD748,37),0)</f>
        <v/>
      </c>
      <c r="AN748">
        <f>IFERROR(INDEX(PP_Grid[#Data],$DD748,38),0)</f>
        <v/>
      </c>
      <c r="AO748">
        <f>IFERROR(INDEX(PP_Grid[#Data],$DD748,39),0)</f>
        <v/>
      </c>
      <c r="AP748">
        <f>IFERROR(INDEX(PP_Grid[#Data],$DD748,40),0)</f>
        <v/>
      </c>
      <c r="AQ748">
        <f>IFERROR(INDEX(PP_Grid[#Data],$DD748,41),0)</f>
        <v/>
      </c>
      <c r="AR748">
        <f>IFERROR(INDEX(PP_Grid[#Data],$DD748,42),0)</f>
        <v/>
      </c>
      <c r="AS748">
        <f>IFERROR(INDEX(PP_Grid[#Data],$DD748,43),0)</f>
        <v/>
      </c>
      <c r="AT748">
        <f>IFERROR(INDEX(PP_Grid[#Data],$DD748,44),0)</f>
        <v/>
      </c>
      <c r="AU748">
        <f>IFERROR(INDEX(PP_Grid[#Data],$DD748,45),0)</f>
        <v/>
      </c>
      <c r="AV748">
        <f>IFERROR(INDEX(PP_Grid[#Data],$DD748,46),0)</f>
        <v/>
      </c>
      <c r="AW748">
        <f>IFERROR(INDEX(PP_Grid[#Data],$DD748,47),0)</f>
        <v/>
      </c>
      <c r="AX748">
        <f>IFERROR(INDEX(PP_Grid[#Data],$DD748,48),0)</f>
        <v/>
      </c>
      <c r="AY748">
        <f>IFERROR(INDEX(PP_Grid[#Data],$DD748,49),0)</f>
        <v/>
      </c>
      <c r="AZ748">
        <f>IFERROR(INDEX(PP_Grid[#Data],$DD748,50),0)</f>
        <v/>
      </c>
      <c r="BA748">
        <f>IFERROR(INDEX(PP_Grid[#Data],$DD748,51),0)</f>
        <v/>
      </c>
      <c r="BB748">
        <f>IFERROR(INDEX(PP_Grid[#Data],$DD748,52),0)</f>
        <v/>
      </c>
      <c r="BC748">
        <f>IFERROR(INDEX(PP_Grid[#Data],$DD748,53),0)</f>
        <v/>
      </c>
      <c r="BD748">
        <f>IFERROR(INDEX(PP_Grid[#Data],$DD748,54),0)</f>
        <v/>
      </c>
      <c r="BE748">
        <f>IFERROR(INDEX(PP_Grid[#Data],$DD748,55),0)</f>
        <v/>
      </c>
      <c r="BF748">
        <f>IFERROR(INDEX(PP_Grid[#Data],$DD748,56),0)</f>
        <v/>
      </c>
      <c r="BG748">
        <f>IFERROR(INDEX(PP_Grid[#Data],$DD748,57),0)</f>
        <v/>
      </c>
      <c r="BH748">
        <f>IFERROR(INDEX(PP_Grid[#Data],$DD748,58),0)</f>
        <v/>
      </c>
      <c r="BI748">
        <f>IFERROR(INDEX(PP_Grid[#Data],$DD748,59),0)</f>
        <v/>
      </c>
      <c r="BJ748">
        <f>IFERROR(INDEX(PP_Grid[#Data],$DD748,60),0)</f>
        <v/>
      </c>
      <c r="BK748">
        <f>IFERROR(INDEX(PP_Grid[#Data],$DD748,61),0)</f>
        <v/>
      </c>
      <c r="BL748">
        <f>IFERROR(INDEX(PP_Grid[#Data],$DD748,62),0)</f>
        <v/>
      </c>
      <c r="BM748">
        <f>IFERROR(INDEX(PP_Grid[#Data],$DD748,63),0)</f>
        <v/>
      </c>
      <c r="BN748">
        <f>IFERROR(INDEX(PP_Grid[#Data],$DD748,64),0)</f>
        <v/>
      </c>
      <c r="BO748">
        <f>IFERROR(INDEX(PP_Grid[#Data],$DD748,65),0)</f>
        <v/>
      </c>
      <c r="BP748">
        <f>IFERROR(INDEX(PP_Grid[#Data],$DD748,66),0)</f>
        <v/>
      </c>
      <c r="BQ748">
        <f>IFERROR(INDEX(PP_Grid[#Data],$DD748,67),0)</f>
        <v/>
      </c>
      <c r="BR748">
        <f>IFERROR(INDEX(PP_Grid[#Data],$DD748,68),0)</f>
        <v/>
      </c>
      <c r="BS748">
        <f>IFERROR(INDEX(PP_Grid[#Data],$DD748,69),0)</f>
        <v/>
      </c>
      <c r="BT748">
        <f>IFERROR(INDEX(PP_Grid[#Data],$DD748,70),0)</f>
        <v/>
      </c>
      <c r="BU748">
        <f>IFERROR(INDEX(PP_Grid[#Data],$DD748,71),0)</f>
        <v/>
      </c>
      <c r="BV748">
        <f>IFERROR(INDEX(PP_Grid[#Data],$DD748,72),0)</f>
        <v/>
      </c>
      <c r="BW748">
        <f>IFERROR(INDEX(PP_Grid[#Data],$DD748,73),0)</f>
        <v/>
      </c>
      <c r="BX748">
        <f>IFERROR(INDEX(PP_Grid[#Data],$DD748,74),0)</f>
        <v/>
      </c>
      <c r="BY748">
        <f>IFERROR(INDEX(PP_Grid[#Data],$DD748,75),0)</f>
        <v/>
      </c>
      <c r="BZ748">
        <f>IFERROR(INDEX(PP_Grid[#Data],$DD748,76),0)</f>
        <v/>
      </c>
      <c r="CA748">
        <f>IFERROR(INDEX(PP_Grid[#Data],$DD748,77),0)</f>
        <v/>
      </c>
      <c r="CB748">
        <f>IFERROR(INDEX(PP_Grid[#Data],$DD748,78),0)</f>
        <v/>
      </c>
      <c r="CC748">
        <f>IFERROR(INDEX(PP_Grid[#Data],$DD748,79),0)</f>
        <v/>
      </c>
      <c r="CD748">
        <f>IFERROR(INDEX(PP_Grid[#Data],$DD748,80),0)</f>
        <v/>
      </c>
      <c r="CE748">
        <f>IFERROR(INDEX(PP_Grid[#Data],$DD748,81),0)</f>
        <v/>
      </c>
      <c r="CF748">
        <f>IFERROR(INDEX(PP_Grid[#Data],$DD748,82),0)</f>
        <v/>
      </c>
      <c r="CG748">
        <f>IFERROR(INDEX(PP_Grid[#Data],$DD748,83),0)</f>
        <v/>
      </c>
      <c r="CH748">
        <f>IFERROR(INDEX(PP_Grid[#Data],$DD748,84),0)</f>
        <v/>
      </c>
      <c r="CI748">
        <f>IFERROR(INDEX(PP_Grid[#Data],$DD748,85),0)</f>
        <v/>
      </c>
      <c r="CJ748">
        <f>IFERROR(INDEX(PP_Grid[#Data],$DD748,86),0)</f>
        <v/>
      </c>
      <c r="CK748">
        <f>IFERROR(INDEX(PP_Grid[#Data],$DD748,87),0)</f>
        <v/>
      </c>
      <c r="CL748">
        <f>IFERROR(INDEX(PP_Grid[#Data],$DD748,88),0)</f>
        <v/>
      </c>
      <c r="CM748">
        <f>IFERROR(INDEX(PP_Grid[#Data],$DD748,89),0)</f>
        <v/>
      </c>
      <c r="CN748">
        <f>IFERROR(INDEX(PP_Grid[#Data],$DD748,90),0)</f>
        <v/>
      </c>
      <c r="CO748">
        <f>IFERROR(INDEX(PP_Grid[#Data],$DD748,91),0)</f>
        <v/>
      </c>
      <c r="CP748">
        <f>IFERROR(INDEX(PP_Grid[#Data],$DD748,92),0)</f>
        <v/>
      </c>
      <c r="CQ748">
        <f>IFERROR(INDEX(PP_Grid[#Data],$DD748,93),0)</f>
        <v/>
      </c>
      <c r="CR748">
        <f>IFERROR(INDEX(PP_Grid[#Data],$DD748,94),0)</f>
        <v/>
      </c>
      <c r="CS748">
        <f>IFERROR(INDEX(PP_Grid[#Data],$DD748,95),0)</f>
        <v/>
      </c>
      <c r="CT748">
        <f>IFERROR(INDEX(PP_Grid[#Data],$DD748,96),0)</f>
        <v/>
      </c>
      <c r="CU748">
        <f>IFERROR(INDEX(PP_Grid[#Data],$DD748,97),0)</f>
        <v/>
      </c>
      <c r="CV748">
        <f>IFERROR(INDEX(PP_Grid[#Data],$DD748,98),0)</f>
        <v/>
      </c>
      <c r="CW748">
        <f>IFERROR(INDEX(PP_Grid[#Data],$DD748,99),0)</f>
        <v/>
      </c>
      <c r="CX748">
        <f>IFERROR(INDEX(PP_Grid[#Data],$DD748,100),0)</f>
        <v/>
      </c>
      <c r="CY748">
        <f>IFERROR(INDEX(PP_Grid[#Data],$DD748,101),0)</f>
        <v/>
      </c>
      <c r="CZ748">
        <f>IFERROR(INDEX(PP_Grid[#Data],$DD748,102),0)</f>
        <v/>
      </c>
      <c r="DA748">
        <f>IFERROR(INDEX(PP_Grid[#Data],$DD748,103),0)</f>
        <v/>
      </c>
      <c r="DB748">
        <f>IFERROR(INDEX(PP_Grid[#Data],$DD748,104),0)</f>
        <v/>
      </c>
      <c r="DC748">
        <f>IFERROR(INDEX(PP_Grid[#Data],$DD748,105),0)</f>
        <v/>
      </c>
      <c r="DD748" s="12">
        <f>IFERROR(MATCH($B748,PP_Grid[Intermediate],0),99999)</f>
        <v/>
      </c>
    </row>
    <row r="749">
      <c r="B749" t="inlineStr">
        <is>
          <t>使用量(kg)</t>
        </is>
      </c>
      <c r="C749">
        <f>SUMIFS(M_BOM[RM_Qty_Per_Batch],M_BOM[Intermediate],$B748,M_BOM[Part Name],$A669)</f>
        <v/>
      </c>
      <c r="D749">
        <f>$C749*D748</f>
        <v/>
      </c>
      <c r="E749">
        <f>$C749*E748</f>
        <v/>
      </c>
      <c r="F749">
        <f>$C749*F748</f>
        <v/>
      </c>
      <c r="G749">
        <f>$C749*G748</f>
        <v/>
      </c>
      <c r="H749">
        <f>$C749*H748</f>
        <v/>
      </c>
      <c r="I749">
        <f>$C749*I748</f>
        <v/>
      </c>
      <c r="J749">
        <f>$C749*J748</f>
        <v/>
      </c>
      <c r="K749">
        <f>$C749*K748</f>
        <v/>
      </c>
      <c r="L749">
        <f>$C749*L748</f>
        <v/>
      </c>
      <c r="M749">
        <f>$C749*M748</f>
        <v/>
      </c>
      <c r="N749">
        <f>$C749*N748</f>
        <v/>
      </c>
      <c r="O749">
        <f>$C749*O748</f>
        <v/>
      </c>
      <c r="P749">
        <f>$C749*P748</f>
        <v/>
      </c>
      <c r="Q749">
        <f>$C749*Q748</f>
        <v/>
      </c>
      <c r="R749">
        <f>$C749*R748</f>
        <v/>
      </c>
      <c r="S749">
        <f>$C749*S748</f>
        <v/>
      </c>
      <c r="T749">
        <f>$C749*T748</f>
        <v/>
      </c>
      <c r="U749">
        <f>$C749*U748</f>
        <v/>
      </c>
      <c r="V749">
        <f>$C749*V748</f>
        <v/>
      </c>
      <c r="W749">
        <f>$C749*W748</f>
        <v/>
      </c>
      <c r="X749">
        <f>$C749*X748</f>
        <v/>
      </c>
      <c r="Y749">
        <f>$C749*Y748</f>
        <v/>
      </c>
      <c r="Z749">
        <f>$C749*Z748</f>
        <v/>
      </c>
      <c r="AA749">
        <f>$C749*AA748</f>
        <v/>
      </c>
      <c r="AB749">
        <f>$C749*AB748</f>
        <v/>
      </c>
      <c r="AC749">
        <f>$C749*AC748</f>
        <v/>
      </c>
      <c r="AD749">
        <f>$C749*AD748</f>
        <v/>
      </c>
      <c r="AE749">
        <f>$C749*AE748</f>
        <v/>
      </c>
      <c r="AF749">
        <f>$C749*AF748</f>
        <v/>
      </c>
      <c r="AG749">
        <f>$C749*AG748</f>
        <v/>
      </c>
      <c r="AH749">
        <f>$C749*AH748</f>
        <v/>
      </c>
      <c r="AI749">
        <f>$C749*AI748</f>
        <v/>
      </c>
      <c r="AJ749">
        <f>$C749*AJ748</f>
        <v/>
      </c>
      <c r="AK749">
        <f>$C749*AK748</f>
        <v/>
      </c>
      <c r="AL749">
        <f>$C749*AL748</f>
        <v/>
      </c>
      <c r="AM749">
        <f>$C749*AM748</f>
        <v/>
      </c>
      <c r="AN749">
        <f>$C749*AN748</f>
        <v/>
      </c>
      <c r="AO749">
        <f>$C749*AO748</f>
        <v/>
      </c>
      <c r="AP749">
        <f>$C749*AP748</f>
        <v/>
      </c>
      <c r="AQ749">
        <f>$C749*AQ748</f>
        <v/>
      </c>
      <c r="AR749">
        <f>$C749*AR748</f>
        <v/>
      </c>
      <c r="AS749">
        <f>$C749*AS748</f>
        <v/>
      </c>
      <c r="AT749">
        <f>$C749*AT748</f>
        <v/>
      </c>
      <c r="AU749">
        <f>$C749*AU748</f>
        <v/>
      </c>
      <c r="AV749">
        <f>$C749*AV748</f>
        <v/>
      </c>
      <c r="AW749">
        <f>$C749*AW748</f>
        <v/>
      </c>
      <c r="AX749">
        <f>$C749*AX748</f>
        <v/>
      </c>
      <c r="AY749">
        <f>$C749*AY748</f>
        <v/>
      </c>
      <c r="AZ749">
        <f>$C749*AZ748</f>
        <v/>
      </c>
      <c r="BA749">
        <f>$C749*BA748</f>
        <v/>
      </c>
      <c r="BB749">
        <f>$C749*BB748</f>
        <v/>
      </c>
      <c r="BC749">
        <f>$C749*BC748</f>
        <v/>
      </c>
      <c r="BD749">
        <f>$C749*BD748</f>
        <v/>
      </c>
      <c r="BE749">
        <f>$C749*BE748</f>
        <v/>
      </c>
      <c r="BF749">
        <f>$C749*BF748</f>
        <v/>
      </c>
      <c r="BG749">
        <f>$C749*BG748</f>
        <v/>
      </c>
      <c r="BH749">
        <f>$C749*BH748</f>
        <v/>
      </c>
      <c r="BI749">
        <f>$C749*BI748</f>
        <v/>
      </c>
      <c r="BJ749">
        <f>$C749*BJ748</f>
        <v/>
      </c>
      <c r="BK749">
        <f>$C749*BK748</f>
        <v/>
      </c>
      <c r="BL749">
        <f>$C749*BL748</f>
        <v/>
      </c>
      <c r="BM749">
        <f>$C749*BM748</f>
        <v/>
      </c>
      <c r="BN749">
        <f>$C749*BN748</f>
        <v/>
      </c>
      <c r="BO749">
        <f>$C749*BO748</f>
        <v/>
      </c>
      <c r="BP749">
        <f>$C749*BP748</f>
        <v/>
      </c>
      <c r="BQ749">
        <f>$C749*BQ748</f>
        <v/>
      </c>
      <c r="BR749">
        <f>$C749*BR748</f>
        <v/>
      </c>
      <c r="BS749">
        <f>$C749*BS748</f>
        <v/>
      </c>
      <c r="BT749">
        <f>$C749*BT748</f>
        <v/>
      </c>
      <c r="BU749">
        <f>$C749*BU748</f>
        <v/>
      </c>
      <c r="BV749">
        <f>$C749*BV748</f>
        <v/>
      </c>
      <c r="BW749">
        <f>$C749*BW748</f>
        <v/>
      </c>
      <c r="BX749">
        <f>$C749*BX748</f>
        <v/>
      </c>
      <c r="BY749">
        <f>$C749*BY748</f>
        <v/>
      </c>
      <c r="BZ749">
        <f>$C749*BZ748</f>
        <v/>
      </c>
      <c r="CA749">
        <f>$C749*CA748</f>
        <v/>
      </c>
      <c r="CB749">
        <f>$C749*CB748</f>
        <v/>
      </c>
      <c r="CC749">
        <f>$C749*CC748</f>
        <v/>
      </c>
      <c r="CD749">
        <f>$C749*CD748</f>
        <v/>
      </c>
      <c r="CE749">
        <f>$C749*CE748</f>
        <v/>
      </c>
      <c r="CF749">
        <f>$C749*CF748</f>
        <v/>
      </c>
      <c r="CG749">
        <f>$C749*CG748</f>
        <v/>
      </c>
      <c r="CH749">
        <f>$C749*CH748</f>
        <v/>
      </c>
      <c r="CI749">
        <f>$C749*CI748</f>
        <v/>
      </c>
      <c r="CJ749">
        <f>$C749*CJ748</f>
        <v/>
      </c>
      <c r="CK749">
        <f>$C749*CK748</f>
        <v/>
      </c>
      <c r="CL749">
        <f>$C749*CL748</f>
        <v/>
      </c>
      <c r="CM749">
        <f>$C749*CM748</f>
        <v/>
      </c>
      <c r="CN749">
        <f>$C749*CN748</f>
        <v/>
      </c>
      <c r="CO749">
        <f>$C749*CO748</f>
        <v/>
      </c>
      <c r="CP749">
        <f>$C749*CP748</f>
        <v/>
      </c>
      <c r="CQ749">
        <f>$C749*CQ748</f>
        <v/>
      </c>
      <c r="CR749">
        <f>$C749*CR748</f>
        <v/>
      </c>
      <c r="CS749">
        <f>$C749*CS748</f>
        <v/>
      </c>
      <c r="CT749">
        <f>$C749*CT748</f>
        <v/>
      </c>
      <c r="CU749">
        <f>$C749*CU748</f>
        <v/>
      </c>
      <c r="CV749">
        <f>$C749*CV748</f>
        <v/>
      </c>
      <c r="CW749">
        <f>$C749*CW748</f>
        <v/>
      </c>
      <c r="CX749">
        <f>$C749*CX748</f>
        <v/>
      </c>
      <c r="CY749">
        <f>$C749*CY748</f>
        <v/>
      </c>
      <c r="CZ749">
        <f>$C749*CZ748</f>
        <v/>
      </c>
      <c r="DA749">
        <f>$C749*DA748</f>
        <v/>
      </c>
      <c r="DB749">
        <f>$C749*DB748</f>
        <v/>
      </c>
      <c r="DC749">
        <f>$C749*DC748</f>
        <v/>
      </c>
    </row>
    <row r="750">
      <c r="B750" t="inlineStr">
        <is>
          <t>TSP-710</t>
        </is>
      </c>
      <c r="C750" t="inlineStr">
        <is>
          <t>No. of batches</t>
        </is>
      </c>
      <c r="D750">
        <f>IFERROR(INDEX(PP_Grid[#Data],$DD750,2),0)</f>
        <v/>
      </c>
      <c r="E750">
        <f>IFERROR(INDEX(PP_Grid[#Data],$DD750,3),0)</f>
        <v/>
      </c>
      <c r="F750">
        <f>IFERROR(INDEX(PP_Grid[#Data],$DD750,4),0)</f>
        <v/>
      </c>
      <c r="G750">
        <f>IFERROR(INDEX(PP_Grid[#Data],$DD750,5),0)</f>
        <v/>
      </c>
      <c r="H750">
        <f>IFERROR(INDEX(PP_Grid[#Data],$DD750,6),0)</f>
        <v/>
      </c>
      <c r="I750">
        <f>IFERROR(INDEX(PP_Grid[#Data],$DD750,7),0)</f>
        <v/>
      </c>
      <c r="J750">
        <f>IFERROR(INDEX(PP_Grid[#Data],$DD750,8),0)</f>
        <v/>
      </c>
      <c r="K750">
        <f>IFERROR(INDEX(PP_Grid[#Data],$DD750,9),0)</f>
        <v/>
      </c>
      <c r="L750">
        <f>IFERROR(INDEX(PP_Grid[#Data],$DD750,10),0)</f>
        <v/>
      </c>
      <c r="M750">
        <f>IFERROR(INDEX(PP_Grid[#Data],$DD750,11),0)</f>
        <v/>
      </c>
      <c r="N750">
        <f>IFERROR(INDEX(PP_Grid[#Data],$DD750,12),0)</f>
        <v/>
      </c>
      <c r="O750">
        <f>IFERROR(INDEX(PP_Grid[#Data],$DD750,13),0)</f>
        <v/>
      </c>
      <c r="P750">
        <f>IFERROR(INDEX(PP_Grid[#Data],$DD750,14),0)</f>
        <v/>
      </c>
      <c r="Q750">
        <f>IFERROR(INDEX(PP_Grid[#Data],$DD750,15),0)</f>
        <v/>
      </c>
      <c r="R750">
        <f>IFERROR(INDEX(PP_Grid[#Data],$DD750,16),0)</f>
        <v/>
      </c>
      <c r="S750">
        <f>IFERROR(INDEX(PP_Grid[#Data],$DD750,17),0)</f>
        <v/>
      </c>
      <c r="T750">
        <f>IFERROR(INDEX(PP_Grid[#Data],$DD750,18),0)</f>
        <v/>
      </c>
      <c r="U750">
        <f>IFERROR(INDEX(PP_Grid[#Data],$DD750,19),0)</f>
        <v/>
      </c>
      <c r="V750">
        <f>IFERROR(INDEX(PP_Grid[#Data],$DD750,20),0)</f>
        <v/>
      </c>
      <c r="W750">
        <f>IFERROR(INDEX(PP_Grid[#Data],$DD750,21),0)</f>
        <v/>
      </c>
      <c r="X750">
        <f>IFERROR(INDEX(PP_Grid[#Data],$DD750,22),0)</f>
        <v/>
      </c>
      <c r="Y750">
        <f>IFERROR(INDEX(PP_Grid[#Data],$DD750,23),0)</f>
        <v/>
      </c>
      <c r="Z750">
        <f>IFERROR(INDEX(PP_Grid[#Data],$DD750,24),0)</f>
        <v/>
      </c>
      <c r="AA750">
        <f>IFERROR(INDEX(PP_Grid[#Data],$DD750,25),0)</f>
        <v/>
      </c>
      <c r="AB750">
        <f>IFERROR(INDEX(PP_Grid[#Data],$DD750,26),0)</f>
        <v/>
      </c>
      <c r="AC750">
        <f>IFERROR(INDEX(PP_Grid[#Data],$DD750,27),0)</f>
        <v/>
      </c>
      <c r="AD750">
        <f>IFERROR(INDEX(PP_Grid[#Data],$DD750,28),0)</f>
        <v/>
      </c>
      <c r="AE750">
        <f>IFERROR(INDEX(PP_Grid[#Data],$DD750,29),0)</f>
        <v/>
      </c>
      <c r="AF750">
        <f>IFERROR(INDEX(PP_Grid[#Data],$DD750,30),0)</f>
        <v/>
      </c>
      <c r="AG750">
        <f>IFERROR(INDEX(PP_Grid[#Data],$DD750,31),0)</f>
        <v/>
      </c>
      <c r="AH750">
        <f>IFERROR(INDEX(PP_Grid[#Data],$DD750,32),0)</f>
        <v/>
      </c>
      <c r="AI750">
        <f>IFERROR(INDEX(PP_Grid[#Data],$DD750,33),0)</f>
        <v/>
      </c>
      <c r="AJ750">
        <f>IFERROR(INDEX(PP_Grid[#Data],$DD750,34),0)</f>
        <v/>
      </c>
      <c r="AK750">
        <f>IFERROR(INDEX(PP_Grid[#Data],$DD750,35),0)</f>
        <v/>
      </c>
      <c r="AL750">
        <f>IFERROR(INDEX(PP_Grid[#Data],$DD750,36),0)</f>
        <v/>
      </c>
      <c r="AM750">
        <f>IFERROR(INDEX(PP_Grid[#Data],$DD750,37),0)</f>
        <v/>
      </c>
      <c r="AN750">
        <f>IFERROR(INDEX(PP_Grid[#Data],$DD750,38),0)</f>
        <v/>
      </c>
      <c r="AO750">
        <f>IFERROR(INDEX(PP_Grid[#Data],$DD750,39),0)</f>
        <v/>
      </c>
      <c r="AP750">
        <f>IFERROR(INDEX(PP_Grid[#Data],$DD750,40),0)</f>
        <v/>
      </c>
      <c r="AQ750">
        <f>IFERROR(INDEX(PP_Grid[#Data],$DD750,41),0)</f>
        <v/>
      </c>
      <c r="AR750">
        <f>IFERROR(INDEX(PP_Grid[#Data],$DD750,42),0)</f>
        <v/>
      </c>
      <c r="AS750">
        <f>IFERROR(INDEX(PP_Grid[#Data],$DD750,43),0)</f>
        <v/>
      </c>
      <c r="AT750">
        <f>IFERROR(INDEX(PP_Grid[#Data],$DD750,44),0)</f>
        <v/>
      </c>
      <c r="AU750">
        <f>IFERROR(INDEX(PP_Grid[#Data],$DD750,45),0)</f>
        <v/>
      </c>
      <c r="AV750">
        <f>IFERROR(INDEX(PP_Grid[#Data],$DD750,46),0)</f>
        <v/>
      </c>
      <c r="AW750">
        <f>IFERROR(INDEX(PP_Grid[#Data],$DD750,47),0)</f>
        <v/>
      </c>
      <c r="AX750">
        <f>IFERROR(INDEX(PP_Grid[#Data],$DD750,48),0)</f>
        <v/>
      </c>
      <c r="AY750">
        <f>IFERROR(INDEX(PP_Grid[#Data],$DD750,49),0)</f>
        <v/>
      </c>
      <c r="AZ750">
        <f>IFERROR(INDEX(PP_Grid[#Data],$DD750,50),0)</f>
        <v/>
      </c>
      <c r="BA750">
        <f>IFERROR(INDEX(PP_Grid[#Data],$DD750,51),0)</f>
        <v/>
      </c>
      <c r="BB750">
        <f>IFERROR(INDEX(PP_Grid[#Data],$DD750,52),0)</f>
        <v/>
      </c>
      <c r="BC750">
        <f>IFERROR(INDEX(PP_Grid[#Data],$DD750,53),0)</f>
        <v/>
      </c>
      <c r="BD750">
        <f>IFERROR(INDEX(PP_Grid[#Data],$DD750,54),0)</f>
        <v/>
      </c>
      <c r="BE750">
        <f>IFERROR(INDEX(PP_Grid[#Data],$DD750,55),0)</f>
        <v/>
      </c>
      <c r="BF750">
        <f>IFERROR(INDEX(PP_Grid[#Data],$DD750,56),0)</f>
        <v/>
      </c>
      <c r="BG750">
        <f>IFERROR(INDEX(PP_Grid[#Data],$DD750,57),0)</f>
        <v/>
      </c>
      <c r="BH750">
        <f>IFERROR(INDEX(PP_Grid[#Data],$DD750,58),0)</f>
        <v/>
      </c>
      <c r="BI750">
        <f>IFERROR(INDEX(PP_Grid[#Data],$DD750,59),0)</f>
        <v/>
      </c>
      <c r="BJ750">
        <f>IFERROR(INDEX(PP_Grid[#Data],$DD750,60),0)</f>
        <v/>
      </c>
      <c r="BK750">
        <f>IFERROR(INDEX(PP_Grid[#Data],$DD750,61),0)</f>
        <v/>
      </c>
      <c r="BL750">
        <f>IFERROR(INDEX(PP_Grid[#Data],$DD750,62),0)</f>
        <v/>
      </c>
      <c r="BM750">
        <f>IFERROR(INDEX(PP_Grid[#Data],$DD750,63),0)</f>
        <v/>
      </c>
      <c r="BN750">
        <f>IFERROR(INDEX(PP_Grid[#Data],$DD750,64),0)</f>
        <v/>
      </c>
      <c r="BO750">
        <f>IFERROR(INDEX(PP_Grid[#Data],$DD750,65),0)</f>
        <v/>
      </c>
      <c r="BP750">
        <f>IFERROR(INDEX(PP_Grid[#Data],$DD750,66),0)</f>
        <v/>
      </c>
      <c r="BQ750">
        <f>IFERROR(INDEX(PP_Grid[#Data],$DD750,67),0)</f>
        <v/>
      </c>
      <c r="BR750">
        <f>IFERROR(INDEX(PP_Grid[#Data],$DD750,68),0)</f>
        <v/>
      </c>
      <c r="BS750">
        <f>IFERROR(INDEX(PP_Grid[#Data],$DD750,69),0)</f>
        <v/>
      </c>
      <c r="BT750">
        <f>IFERROR(INDEX(PP_Grid[#Data],$DD750,70),0)</f>
        <v/>
      </c>
      <c r="BU750">
        <f>IFERROR(INDEX(PP_Grid[#Data],$DD750,71),0)</f>
        <v/>
      </c>
      <c r="BV750">
        <f>IFERROR(INDEX(PP_Grid[#Data],$DD750,72),0)</f>
        <v/>
      </c>
      <c r="BW750">
        <f>IFERROR(INDEX(PP_Grid[#Data],$DD750,73),0)</f>
        <v/>
      </c>
      <c r="BX750">
        <f>IFERROR(INDEX(PP_Grid[#Data],$DD750,74),0)</f>
        <v/>
      </c>
      <c r="BY750">
        <f>IFERROR(INDEX(PP_Grid[#Data],$DD750,75),0)</f>
        <v/>
      </c>
      <c r="BZ750">
        <f>IFERROR(INDEX(PP_Grid[#Data],$DD750,76),0)</f>
        <v/>
      </c>
      <c r="CA750">
        <f>IFERROR(INDEX(PP_Grid[#Data],$DD750,77),0)</f>
        <v/>
      </c>
      <c r="CB750">
        <f>IFERROR(INDEX(PP_Grid[#Data],$DD750,78),0)</f>
        <v/>
      </c>
      <c r="CC750">
        <f>IFERROR(INDEX(PP_Grid[#Data],$DD750,79),0)</f>
        <v/>
      </c>
      <c r="CD750">
        <f>IFERROR(INDEX(PP_Grid[#Data],$DD750,80),0)</f>
        <v/>
      </c>
      <c r="CE750">
        <f>IFERROR(INDEX(PP_Grid[#Data],$DD750,81),0)</f>
        <v/>
      </c>
      <c r="CF750">
        <f>IFERROR(INDEX(PP_Grid[#Data],$DD750,82),0)</f>
        <v/>
      </c>
      <c r="CG750">
        <f>IFERROR(INDEX(PP_Grid[#Data],$DD750,83),0)</f>
        <v/>
      </c>
      <c r="CH750">
        <f>IFERROR(INDEX(PP_Grid[#Data],$DD750,84),0)</f>
        <v/>
      </c>
      <c r="CI750">
        <f>IFERROR(INDEX(PP_Grid[#Data],$DD750,85),0)</f>
        <v/>
      </c>
      <c r="CJ750">
        <f>IFERROR(INDEX(PP_Grid[#Data],$DD750,86),0)</f>
        <v/>
      </c>
      <c r="CK750">
        <f>IFERROR(INDEX(PP_Grid[#Data],$DD750,87),0)</f>
        <v/>
      </c>
      <c r="CL750">
        <f>IFERROR(INDEX(PP_Grid[#Data],$DD750,88),0)</f>
        <v/>
      </c>
      <c r="CM750">
        <f>IFERROR(INDEX(PP_Grid[#Data],$DD750,89),0)</f>
        <v/>
      </c>
      <c r="CN750">
        <f>IFERROR(INDEX(PP_Grid[#Data],$DD750,90),0)</f>
        <v/>
      </c>
      <c r="CO750">
        <f>IFERROR(INDEX(PP_Grid[#Data],$DD750,91),0)</f>
        <v/>
      </c>
      <c r="CP750">
        <f>IFERROR(INDEX(PP_Grid[#Data],$DD750,92),0)</f>
        <v/>
      </c>
      <c r="CQ750">
        <f>IFERROR(INDEX(PP_Grid[#Data],$DD750,93),0)</f>
        <v/>
      </c>
      <c r="CR750">
        <f>IFERROR(INDEX(PP_Grid[#Data],$DD750,94),0)</f>
        <v/>
      </c>
      <c r="CS750">
        <f>IFERROR(INDEX(PP_Grid[#Data],$DD750,95),0)</f>
        <v/>
      </c>
      <c r="CT750">
        <f>IFERROR(INDEX(PP_Grid[#Data],$DD750,96),0)</f>
        <v/>
      </c>
      <c r="CU750">
        <f>IFERROR(INDEX(PP_Grid[#Data],$DD750,97),0)</f>
        <v/>
      </c>
      <c r="CV750">
        <f>IFERROR(INDEX(PP_Grid[#Data],$DD750,98),0)</f>
        <v/>
      </c>
      <c r="CW750">
        <f>IFERROR(INDEX(PP_Grid[#Data],$DD750,99),0)</f>
        <v/>
      </c>
      <c r="CX750">
        <f>IFERROR(INDEX(PP_Grid[#Data],$DD750,100),0)</f>
        <v/>
      </c>
      <c r="CY750">
        <f>IFERROR(INDEX(PP_Grid[#Data],$DD750,101),0)</f>
        <v/>
      </c>
      <c r="CZ750">
        <f>IFERROR(INDEX(PP_Grid[#Data],$DD750,102),0)</f>
        <v/>
      </c>
      <c r="DA750">
        <f>IFERROR(INDEX(PP_Grid[#Data],$DD750,103),0)</f>
        <v/>
      </c>
      <c r="DB750">
        <f>IFERROR(INDEX(PP_Grid[#Data],$DD750,104),0)</f>
        <v/>
      </c>
      <c r="DC750">
        <f>IFERROR(INDEX(PP_Grid[#Data],$DD750,105),0)</f>
        <v/>
      </c>
      <c r="DD750" s="12">
        <f>IFERROR(MATCH($B750,PP_Grid[Intermediate],0),99999)</f>
        <v/>
      </c>
    </row>
    <row r="751">
      <c r="B751" t="inlineStr">
        <is>
          <t>使用量(kg)</t>
        </is>
      </c>
      <c r="C751">
        <f>SUMIFS(M_BOM[RM_Qty_Per_Batch],M_BOM[Intermediate],$B750,M_BOM[Part Name],$A669)</f>
        <v/>
      </c>
      <c r="D751">
        <f>$C751*D750</f>
        <v/>
      </c>
      <c r="E751">
        <f>$C751*E750</f>
        <v/>
      </c>
      <c r="F751">
        <f>$C751*F750</f>
        <v/>
      </c>
      <c r="G751">
        <f>$C751*G750</f>
        <v/>
      </c>
      <c r="H751">
        <f>$C751*H750</f>
        <v/>
      </c>
      <c r="I751">
        <f>$C751*I750</f>
        <v/>
      </c>
      <c r="J751">
        <f>$C751*J750</f>
        <v/>
      </c>
      <c r="K751">
        <f>$C751*K750</f>
        <v/>
      </c>
      <c r="L751">
        <f>$C751*L750</f>
        <v/>
      </c>
      <c r="M751">
        <f>$C751*M750</f>
        <v/>
      </c>
      <c r="N751">
        <f>$C751*N750</f>
        <v/>
      </c>
      <c r="O751">
        <f>$C751*O750</f>
        <v/>
      </c>
      <c r="P751">
        <f>$C751*P750</f>
        <v/>
      </c>
      <c r="Q751">
        <f>$C751*Q750</f>
        <v/>
      </c>
      <c r="R751">
        <f>$C751*R750</f>
        <v/>
      </c>
      <c r="S751">
        <f>$C751*S750</f>
        <v/>
      </c>
      <c r="T751">
        <f>$C751*T750</f>
        <v/>
      </c>
      <c r="U751">
        <f>$C751*U750</f>
        <v/>
      </c>
      <c r="V751">
        <f>$C751*V750</f>
        <v/>
      </c>
      <c r="W751">
        <f>$C751*W750</f>
        <v/>
      </c>
      <c r="X751">
        <f>$C751*X750</f>
        <v/>
      </c>
      <c r="Y751">
        <f>$C751*Y750</f>
        <v/>
      </c>
      <c r="Z751">
        <f>$C751*Z750</f>
        <v/>
      </c>
      <c r="AA751">
        <f>$C751*AA750</f>
        <v/>
      </c>
      <c r="AB751">
        <f>$C751*AB750</f>
        <v/>
      </c>
      <c r="AC751">
        <f>$C751*AC750</f>
        <v/>
      </c>
      <c r="AD751">
        <f>$C751*AD750</f>
        <v/>
      </c>
      <c r="AE751">
        <f>$C751*AE750</f>
        <v/>
      </c>
      <c r="AF751">
        <f>$C751*AF750</f>
        <v/>
      </c>
      <c r="AG751">
        <f>$C751*AG750</f>
        <v/>
      </c>
      <c r="AH751">
        <f>$C751*AH750</f>
        <v/>
      </c>
      <c r="AI751">
        <f>$C751*AI750</f>
        <v/>
      </c>
      <c r="AJ751">
        <f>$C751*AJ750</f>
        <v/>
      </c>
      <c r="AK751">
        <f>$C751*AK750</f>
        <v/>
      </c>
      <c r="AL751">
        <f>$C751*AL750</f>
        <v/>
      </c>
      <c r="AM751">
        <f>$C751*AM750</f>
        <v/>
      </c>
      <c r="AN751">
        <f>$C751*AN750</f>
        <v/>
      </c>
      <c r="AO751">
        <f>$C751*AO750</f>
        <v/>
      </c>
      <c r="AP751">
        <f>$C751*AP750</f>
        <v/>
      </c>
      <c r="AQ751">
        <f>$C751*AQ750</f>
        <v/>
      </c>
      <c r="AR751">
        <f>$C751*AR750</f>
        <v/>
      </c>
      <c r="AS751">
        <f>$C751*AS750</f>
        <v/>
      </c>
      <c r="AT751">
        <f>$C751*AT750</f>
        <v/>
      </c>
      <c r="AU751">
        <f>$C751*AU750</f>
        <v/>
      </c>
      <c r="AV751">
        <f>$C751*AV750</f>
        <v/>
      </c>
      <c r="AW751">
        <f>$C751*AW750</f>
        <v/>
      </c>
      <c r="AX751">
        <f>$C751*AX750</f>
        <v/>
      </c>
      <c r="AY751">
        <f>$C751*AY750</f>
        <v/>
      </c>
      <c r="AZ751">
        <f>$C751*AZ750</f>
        <v/>
      </c>
      <c r="BA751">
        <f>$C751*BA750</f>
        <v/>
      </c>
      <c r="BB751">
        <f>$C751*BB750</f>
        <v/>
      </c>
      <c r="BC751">
        <f>$C751*BC750</f>
        <v/>
      </c>
      <c r="BD751">
        <f>$C751*BD750</f>
        <v/>
      </c>
      <c r="BE751">
        <f>$C751*BE750</f>
        <v/>
      </c>
      <c r="BF751">
        <f>$C751*BF750</f>
        <v/>
      </c>
      <c r="BG751">
        <f>$C751*BG750</f>
        <v/>
      </c>
      <c r="BH751">
        <f>$C751*BH750</f>
        <v/>
      </c>
      <c r="BI751">
        <f>$C751*BI750</f>
        <v/>
      </c>
      <c r="BJ751">
        <f>$C751*BJ750</f>
        <v/>
      </c>
      <c r="BK751">
        <f>$C751*BK750</f>
        <v/>
      </c>
      <c r="BL751">
        <f>$C751*BL750</f>
        <v/>
      </c>
      <c r="BM751">
        <f>$C751*BM750</f>
        <v/>
      </c>
      <c r="BN751">
        <f>$C751*BN750</f>
        <v/>
      </c>
      <c r="BO751">
        <f>$C751*BO750</f>
        <v/>
      </c>
      <c r="BP751">
        <f>$C751*BP750</f>
        <v/>
      </c>
      <c r="BQ751">
        <f>$C751*BQ750</f>
        <v/>
      </c>
      <c r="BR751">
        <f>$C751*BR750</f>
        <v/>
      </c>
      <c r="BS751">
        <f>$C751*BS750</f>
        <v/>
      </c>
      <c r="BT751">
        <f>$C751*BT750</f>
        <v/>
      </c>
      <c r="BU751">
        <f>$C751*BU750</f>
        <v/>
      </c>
      <c r="BV751">
        <f>$C751*BV750</f>
        <v/>
      </c>
      <c r="BW751">
        <f>$C751*BW750</f>
        <v/>
      </c>
      <c r="BX751">
        <f>$C751*BX750</f>
        <v/>
      </c>
      <c r="BY751">
        <f>$C751*BY750</f>
        <v/>
      </c>
      <c r="BZ751">
        <f>$C751*BZ750</f>
        <v/>
      </c>
      <c r="CA751">
        <f>$C751*CA750</f>
        <v/>
      </c>
      <c r="CB751">
        <f>$C751*CB750</f>
        <v/>
      </c>
      <c r="CC751">
        <f>$C751*CC750</f>
        <v/>
      </c>
      <c r="CD751">
        <f>$C751*CD750</f>
        <v/>
      </c>
      <c r="CE751">
        <f>$C751*CE750</f>
        <v/>
      </c>
      <c r="CF751">
        <f>$C751*CF750</f>
        <v/>
      </c>
      <c r="CG751">
        <f>$C751*CG750</f>
        <v/>
      </c>
      <c r="CH751">
        <f>$C751*CH750</f>
        <v/>
      </c>
      <c r="CI751">
        <f>$C751*CI750</f>
        <v/>
      </c>
      <c r="CJ751">
        <f>$C751*CJ750</f>
        <v/>
      </c>
      <c r="CK751">
        <f>$C751*CK750</f>
        <v/>
      </c>
      <c r="CL751">
        <f>$C751*CL750</f>
        <v/>
      </c>
      <c r="CM751">
        <f>$C751*CM750</f>
        <v/>
      </c>
      <c r="CN751">
        <f>$C751*CN750</f>
        <v/>
      </c>
      <c r="CO751">
        <f>$C751*CO750</f>
        <v/>
      </c>
      <c r="CP751">
        <f>$C751*CP750</f>
        <v/>
      </c>
      <c r="CQ751">
        <f>$C751*CQ750</f>
        <v/>
      </c>
      <c r="CR751">
        <f>$C751*CR750</f>
        <v/>
      </c>
      <c r="CS751">
        <f>$C751*CS750</f>
        <v/>
      </c>
      <c r="CT751">
        <f>$C751*CT750</f>
        <v/>
      </c>
      <c r="CU751">
        <f>$C751*CU750</f>
        <v/>
      </c>
      <c r="CV751">
        <f>$C751*CV750</f>
        <v/>
      </c>
      <c r="CW751">
        <f>$C751*CW750</f>
        <v/>
      </c>
      <c r="CX751">
        <f>$C751*CX750</f>
        <v/>
      </c>
      <c r="CY751">
        <f>$C751*CY750</f>
        <v/>
      </c>
      <c r="CZ751">
        <f>$C751*CZ750</f>
        <v/>
      </c>
      <c r="DA751">
        <f>$C751*DA750</f>
        <v/>
      </c>
      <c r="DB751">
        <f>$C751*DB750</f>
        <v/>
      </c>
      <c r="DC751">
        <f>$C751*DC750</f>
        <v/>
      </c>
    </row>
    <row r="752">
      <c r="B752" t="inlineStr">
        <is>
          <t>TSP-828</t>
        </is>
      </c>
      <c r="C752" t="inlineStr">
        <is>
          <t>No. of batches</t>
        </is>
      </c>
      <c r="D752">
        <f>IFERROR(INDEX(PP_Grid[#Data],$DD752,2),0)</f>
        <v/>
      </c>
      <c r="E752">
        <f>IFERROR(INDEX(PP_Grid[#Data],$DD752,3),0)</f>
        <v/>
      </c>
      <c r="F752">
        <f>IFERROR(INDEX(PP_Grid[#Data],$DD752,4),0)</f>
        <v/>
      </c>
      <c r="G752">
        <f>IFERROR(INDEX(PP_Grid[#Data],$DD752,5),0)</f>
        <v/>
      </c>
      <c r="H752">
        <f>IFERROR(INDEX(PP_Grid[#Data],$DD752,6),0)</f>
        <v/>
      </c>
      <c r="I752">
        <f>IFERROR(INDEX(PP_Grid[#Data],$DD752,7),0)</f>
        <v/>
      </c>
      <c r="J752">
        <f>IFERROR(INDEX(PP_Grid[#Data],$DD752,8),0)</f>
        <v/>
      </c>
      <c r="K752">
        <f>IFERROR(INDEX(PP_Grid[#Data],$DD752,9),0)</f>
        <v/>
      </c>
      <c r="L752">
        <f>IFERROR(INDEX(PP_Grid[#Data],$DD752,10),0)</f>
        <v/>
      </c>
      <c r="M752">
        <f>IFERROR(INDEX(PP_Grid[#Data],$DD752,11),0)</f>
        <v/>
      </c>
      <c r="N752">
        <f>IFERROR(INDEX(PP_Grid[#Data],$DD752,12),0)</f>
        <v/>
      </c>
      <c r="O752">
        <f>IFERROR(INDEX(PP_Grid[#Data],$DD752,13),0)</f>
        <v/>
      </c>
      <c r="P752">
        <f>IFERROR(INDEX(PP_Grid[#Data],$DD752,14),0)</f>
        <v/>
      </c>
      <c r="Q752">
        <f>IFERROR(INDEX(PP_Grid[#Data],$DD752,15),0)</f>
        <v/>
      </c>
      <c r="R752">
        <f>IFERROR(INDEX(PP_Grid[#Data],$DD752,16),0)</f>
        <v/>
      </c>
      <c r="S752">
        <f>IFERROR(INDEX(PP_Grid[#Data],$DD752,17),0)</f>
        <v/>
      </c>
      <c r="T752">
        <f>IFERROR(INDEX(PP_Grid[#Data],$DD752,18),0)</f>
        <v/>
      </c>
      <c r="U752">
        <f>IFERROR(INDEX(PP_Grid[#Data],$DD752,19),0)</f>
        <v/>
      </c>
      <c r="V752">
        <f>IFERROR(INDEX(PP_Grid[#Data],$DD752,20),0)</f>
        <v/>
      </c>
      <c r="W752">
        <f>IFERROR(INDEX(PP_Grid[#Data],$DD752,21),0)</f>
        <v/>
      </c>
      <c r="X752">
        <f>IFERROR(INDEX(PP_Grid[#Data],$DD752,22),0)</f>
        <v/>
      </c>
      <c r="Y752">
        <f>IFERROR(INDEX(PP_Grid[#Data],$DD752,23),0)</f>
        <v/>
      </c>
      <c r="Z752">
        <f>IFERROR(INDEX(PP_Grid[#Data],$DD752,24),0)</f>
        <v/>
      </c>
      <c r="AA752">
        <f>IFERROR(INDEX(PP_Grid[#Data],$DD752,25),0)</f>
        <v/>
      </c>
      <c r="AB752">
        <f>IFERROR(INDEX(PP_Grid[#Data],$DD752,26),0)</f>
        <v/>
      </c>
      <c r="AC752">
        <f>IFERROR(INDEX(PP_Grid[#Data],$DD752,27),0)</f>
        <v/>
      </c>
      <c r="AD752">
        <f>IFERROR(INDEX(PP_Grid[#Data],$DD752,28),0)</f>
        <v/>
      </c>
      <c r="AE752">
        <f>IFERROR(INDEX(PP_Grid[#Data],$DD752,29),0)</f>
        <v/>
      </c>
      <c r="AF752">
        <f>IFERROR(INDEX(PP_Grid[#Data],$DD752,30),0)</f>
        <v/>
      </c>
      <c r="AG752">
        <f>IFERROR(INDEX(PP_Grid[#Data],$DD752,31),0)</f>
        <v/>
      </c>
      <c r="AH752">
        <f>IFERROR(INDEX(PP_Grid[#Data],$DD752,32),0)</f>
        <v/>
      </c>
      <c r="AI752">
        <f>IFERROR(INDEX(PP_Grid[#Data],$DD752,33),0)</f>
        <v/>
      </c>
      <c r="AJ752">
        <f>IFERROR(INDEX(PP_Grid[#Data],$DD752,34),0)</f>
        <v/>
      </c>
      <c r="AK752">
        <f>IFERROR(INDEX(PP_Grid[#Data],$DD752,35),0)</f>
        <v/>
      </c>
      <c r="AL752">
        <f>IFERROR(INDEX(PP_Grid[#Data],$DD752,36),0)</f>
        <v/>
      </c>
      <c r="AM752">
        <f>IFERROR(INDEX(PP_Grid[#Data],$DD752,37),0)</f>
        <v/>
      </c>
      <c r="AN752">
        <f>IFERROR(INDEX(PP_Grid[#Data],$DD752,38),0)</f>
        <v/>
      </c>
      <c r="AO752">
        <f>IFERROR(INDEX(PP_Grid[#Data],$DD752,39),0)</f>
        <v/>
      </c>
      <c r="AP752">
        <f>IFERROR(INDEX(PP_Grid[#Data],$DD752,40),0)</f>
        <v/>
      </c>
      <c r="AQ752">
        <f>IFERROR(INDEX(PP_Grid[#Data],$DD752,41),0)</f>
        <v/>
      </c>
      <c r="AR752">
        <f>IFERROR(INDEX(PP_Grid[#Data],$DD752,42),0)</f>
        <v/>
      </c>
      <c r="AS752">
        <f>IFERROR(INDEX(PP_Grid[#Data],$DD752,43),0)</f>
        <v/>
      </c>
      <c r="AT752">
        <f>IFERROR(INDEX(PP_Grid[#Data],$DD752,44),0)</f>
        <v/>
      </c>
      <c r="AU752">
        <f>IFERROR(INDEX(PP_Grid[#Data],$DD752,45),0)</f>
        <v/>
      </c>
      <c r="AV752">
        <f>IFERROR(INDEX(PP_Grid[#Data],$DD752,46),0)</f>
        <v/>
      </c>
      <c r="AW752">
        <f>IFERROR(INDEX(PP_Grid[#Data],$DD752,47),0)</f>
        <v/>
      </c>
      <c r="AX752">
        <f>IFERROR(INDEX(PP_Grid[#Data],$DD752,48),0)</f>
        <v/>
      </c>
      <c r="AY752">
        <f>IFERROR(INDEX(PP_Grid[#Data],$DD752,49),0)</f>
        <v/>
      </c>
      <c r="AZ752">
        <f>IFERROR(INDEX(PP_Grid[#Data],$DD752,50),0)</f>
        <v/>
      </c>
      <c r="BA752">
        <f>IFERROR(INDEX(PP_Grid[#Data],$DD752,51),0)</f>
        <v/>
      </c>
      <c r="BB752">
        <f>IFERROR(INDEX(PP_Grid[#Data],$DD752,52),0)</f>
        <v/>
      </c>
      <c r="BC752">
        <f>IFERROR(INDEX(PP_Grid[#Data],$DD752,53),0)</f>
        <v/>
      </c>
      <c r="BD752">
        <f>IFERROR(INDEX(PP_Grid[#Data],$DD752,54),0)</f>
        <v/>
      </c>
      <c r="BE752">
        <f>IFERROR(INDEX(PP_Grid[#Data],$DD752,55),0)</f>
        <v/>
      </c>
      <c r="BF752">
        <f>IFERROR(INDEX(PP_Grid[#Data],$DD752,56),0)</f>
        <v/>
      </c>
      <c r="BG752">
        <f>IFERROR(INDEX(PP_Grid[#Data],$DD752,57),0)</f>
        <v/>
      </c>
      <c r="BH752">
        <f>IFERROR(INDEX(PP_Grid[#Data],$DD752,58),0)</f>
        <v/>
      </c>
      <c r="BI752">
        <f>IFERROR(INDEX(PP_Grid[#Data],$DD752,59),0)</f>
        <v/>
      </c>
      <c r="BJ752">
        <f>IFERROR(INDEX(PP_Grid[#Data],$DD752,60),0)</f>
        <v/>
      </c>
      <c r="BK752">
        <f>IFERROR(INDEX(PP_Grid[#Data],$DD752,61),0)</f>
        <v/>
      </c>
      <c r="BL752">
        <f>IFERROR(INDEX(PP_Grid[#Data],$DD752,62),0)</f>
        <v/>
      </c>
      <c r="BM752">
        <f>IFERROR(INDEX(PP_Grid[#Data],$DD752,63),0)</f>
        <v/>
      </c>
      <c r="BN752">
        <f>IFERROR(INDEX(PP_Grid[#Data],$DD752,64),0)</f>
        <v/>
      </c>
      <c r="BO752">
        <f>IFERROR(INDEX(PP_Grid[#Data],$DD752,65),0)</f>
        <v/>
      </c>
      <c r="BP752">
        <f>IFERROR(INDEX(PP_Grid[#Data],$DD752,66),0)</f>
        <v/>
      </c>
      <c r="BQ752">
        <f>IFERROR(INDEX(PP_Grid[#Data],$DD752,67),0)</f>
        <v/>
      </c>
      <c r="BR752">
        <f>IFERROR(INDEX(PP_Grid[#Data],$DD752,68),0)</f>
        <v/>
      </c>
      <c r="BS752">
        <f>IFERROR(INDEX(PP_Grid[#Data],$DD752,69),0)</f>
        <v/>
      </c>
      <c r="BT752">
        <f>IFERROR(INDEX(PP_Grid[#Data],$DD752,70),0)</f>
        <v/>
      </c>
      <c r="BU752">
        <f>IFERROR(INDEX(PP_Grid[#Data],$DD752,71),0)</f>
        <v/>
      </c>
      <c r="BV752">
        <f>IFERROR(INDEX(PP_Grid[#Data],$DD752,72),0)</f>
        <v/>
      </c>
      <c r="BW752">
        <f>IFERROR(INDEX(PP_Grid[#Data],$DD752,73),0)</f>
        <v/>
      </c>
      <c r="BX752">
        <f>IFERROR(INDEX(PP_Grid[#Data],$DD752,74),0)</f>
        <v/>
      </c>
      <c r="BY752">
        <f>IFERROR(INDEX(PP_Grid[#Data],$DD752,75),0)</f>
        <v/>
      </c>
      <c r="BZ752">
        <f>IFERROR(INDEX(PP_Grid[#Data],$DD752,76),0)</f>
        <v/>
      </c>
      <c r="CA752">
        <f>IFERROR(INDEX(PP_Grid[#Data],$DD752,77),0)</f>
        <v/>
      </c>
      <c r="CB752">
        <f>IFERROR(INDEX(PP_Grid[#Data],$DD752,78),0)</f>
        <v/>
      </c>
      <c r="CC752">
        <f>IFERROR(INDEX(PP_Grid[#Data],$DD752,79),0)</f>
        <v/>
      </c>
      <c r="CD752">
        <f>IFERROR(INDEX(PP_Grid[#Data],$DD752,80),0)</f>
        <v/>
      </c>
      <c r="CE752">
        <f>IFERROR(INDEX(PP_Grid[#Data],$DD752,81),0)</f>
        <v/>
      </c>
      <c r="CF752">
        <f>IFERROR(INDEX(PP_Grid[#Data],$DD752,82),0)</f>
        <v/>
      </c>
      <c r="CG752">
        <f>IFERROR(INDEX(PP_Grid[#Data],$DD752,83),0)</f>
        <v/>
      </c>
      <c r="CH752">
        <f>IFERROR(INDEX(PP_Grid[#Data],$DD752,84),0)</f>
        <v/>
      </c>
      <c r="CI752">
        <f>IFERROR(INDEX(PP_Grid[#Data],$DD752,85),0)</f>
        <v/>
      </c>
      <c r="CJ752">
        <f>IFERROR(INDEX(PP_Grid[#Data],$DD752,86),0)</f>
        <v/>
      </c>
      <c r="CK752">
        <f>IFERROR(INDEX(PP_Grid[#Data],$DD752,87),0)</f>
        <v/>
      </c>
      <c r="CL752">
        <f>IFERROR(INDEX(PP_Grid[#Data],$DD752,88),0)</f>
        <v/>
      </c>
      <c r="CM752">
        <f>IFERROR(INDEX(PP_Grid[#Data],$DD752,89),0)</f>
        <v/>
      </c>
      <c r="CN752">
        <f>IFERROR(INDEX(PP_Grid[#Data],$DD752,90),0)</f>
        <v/>
      </c>
      <c r="CO752">
        <f>IFERROR(INDEX(PP_Grid[#Data],$DD752,91),0)</f>
        <v/>
      </c>
      <c r="CP752">
        <f>IFERROR(INDEX(PP_Grid[#Data],$DD752,92),0)</f>
        <v/>
      </c>
      <c r="CQ752">
        <f>IFERROR(INDEX(PP_Grid[#Data],$DD752,93),0)</f>
        <v/>
      </c>
      <c r="CR752">
        <f>IFERROR(INDEX(PP_Grid[#Data],$DD752,94),0)</f>
        <v/>
      </c>
      <c r="CS752">
        <f>IFERROR(INDEX(PP_Grid[#Data],$DD752,95),0)</f>
        <v/>
      </c>
      <c r="CT752">
        <f>IFERROR(INDEX(PP_Grid[#Data],$DD752,96),0)</f>
        <v/>
      </c>
      <c r="CU752">
        <f>IFERROR(INDEX(PP_Grid[#Data],$DD752,97),0)</f>
        <v/>
      </c>
      <c r="CV752">
        <f>IFERROR(INDEX(PP_Grid[#Data],$DD752,98),0)</f>
        <v/>
      </c>
      <c r="CW752">
        <f>IFERROR(INDEX(PP_Grid[#Data],$DD752,99),0)</f>
        <v/>
      </c>
      <c r="CX752">
        <f>IFERROR(INDEX(PP_Grid[#Data],$DD752,100),0)</f>
        <v/>
      </c>
      <c r="CY752">
        <f>IFERROR(INDEX(PP_Grid[#Data],$DD752,101),0)</f>
        <v/>
      </c>
      <c r="CZ752">
        <f>IFERROR(INDEX(PP_Grid[#Data],$DD752,102),0)</f>
        <v/>
      </c>
      <c r="DA752">
        <f>IFERROR(INDEX(PP_Grid[#Data],$DD752,103),0)</f>
        <v/>
      </c>
      <c r="DB752">
        <f>IFERROR(INDEX(PP_Grid[#Data],$DD752,104),0)</f>
        <v/>
      </c>
      <c r="DC752">
        <f>IFERROR(INDEX(PP_Grid[#Data],$DD752,105),0)</f>
        <v/>
      </c>
      <c r="DD752" s="12">
        <f>IFERROR(MATCH($B752,PP_Grid[Intermediate],0),99999)</f>
        <v/>
      </c>
    </row>
    <row r="753">
      <c r="B753" t="inlineStr">
        <is>
          <t>使用量(kg)</t>
        </is>
      </c>
      <c r="C753">
        <f>SUMIFS(M_BOM[RM_Qty_Per_Batch],M_BOM[Intermediate],$B752,M_BOM[Part Name],$A669)</f>
        <v/>
      </c>
      <c r="D753">
        <f>$C753*D752</f>
        <v/>
      </c>
      <c r="E753">
        <f>$C753*E752</f>
        <v/>
      </c>
      <c r="F753">
        <f>$C753*F752</f>
        <v/>
      </c>
      <c r="G753">
        <f>$C753*G752</f>
        <v/>
      </c>
      <c r="H753">
        <f>$C753*H752</f>
        <v/>
      </c>
      <c r="I753">
        <f>$C753*I752</f>
        <v/>
      </c>
      <c r="J753">
        <f>$C753*J752</f>
        <v/>
      </c>
      <c r="K753">
        <f>$C753*K752</f>
        <v/>
      </c>
      <c r="L753">
        <f>$C753*L752</f>
        <v/>
      </c>
      <c r="M753">
        <f>$C753*M752</f>
        <v/>
      </c>
      <c r="N753">
        <f>$C753*N752</f>
        <v/>
      </c>
      <c r="O753">
        <f>$C753*O752</f>
        <v/>
      </c>
      <c r="P753">
        <f>$C753*P752</f>
        <v/>
      </c>
      <c r="Q753">
        <f>$C753*Q752</f>
        <v/>
      </c>
      <c r="R753">
        <f>$C753*R752</f>
        <v/>
      </c>
      <c r="S753">
        <f>$C753*S752</f>
        <v/>
      </c>
      <c r="T753">
        <f>$C753*T752</f>
        <v/>
      </c>
      <c r="U753">
        <f>$C753*U752</f>
        <v/>
      </c>
      <c r="V753">
        <f>$C753*V752</f>
        <v/>
      </c>
      <c r="W753">
        <f>$C753*W752</f>
        <v/>
      </c>
      <c r="X753">
        <f>$C753*X752</f>
        <v/>
      </c>
      <c r="Y753">
        <f>$C753*Y752</f>
        <v/>
      </c>
      <c r="Z753">
        <f>$C753*Z752</f>
        <v/>
      </c>
      <c r="AA753">
        <f>$C753*AA752</f>
        <v/>
      </c>
      <c r="AB753">
        <f>$C753*AB752</f>
        <v/>
      </c>
      <c r="AC753">
        <f>$C753*AC752</f>
        <v/>
      </c>
      <c r="AD753">
        <f>$C753*AD752</f>
        <v/>
      </c>
      <c r="AE753">
        <f>$C753*AE752</f>
        <v/>
      </c>
      <c r="AF753">
        <f>$C753*AF752</f>
        <v/>
      </c>
      <c r="AG753">
        <f>$C753*AG752</f>
        <v/>
      </c>
      <c r="AH753">
        <f>$C753*AH752</f>
        <v/>
      </c>
      <c r="AI753">
        <f>$C753*AI752</f>
        <v/>
      </c>
      <c r="AJ753">
        <f>$C753*AJ752</f>
        <v/>
      </c>
      <c r="AK753">
        <f>$C753*AK752</f>
        <v/>
      </c>
      <c r="AL753">
        <f>$C753*AL752</f>
        <v/>
      </c>
      <c r="AM753">
        <f>$C753*AM752</f>
        <v/>
      </c>
      <c r="AN753">
        <f>$C753*AN752</f>
        <v/>
      </c>
      <c r="AO753">
        <f>$C753*AO752</f>
        <v/>
      </c>
      <c r="AP753">
        <f>$C753*AP752</f>
        <v/>
      </c>
      <c r="AQ753">
        <f>$C753*AQ752</f>
        <v/>
      </c>
      <c r="AR753">
        <f>$C753*AR752</f>
        <v/>
      </c>
      <c r="AS753">
        <f>$C753*AS752</f>
        <v/>
      </c>
      <c r="AT753">
        <f>$C753*AT752</f>
        <v/>
      </c>
      <c r="AU753">
        <f>$C753*AU752</f>
        <v/>
      </c>
      <c r="AV753">
        <f>$C753*AV752</f>
        <v/>
      </c>
      <c r="AW753">
        <f>$C753*AW752</f>
        <v/>
      </c>
      <c r="AX753">
        <f>$C753*AX752</f>
        <v/>
      </c>
      <c r="AY753">
        <f>$C753*AY752</f>
        <v/>
      </c>
      <c r="AZ753">
        <f>$C753*AZ752</f>
        <v/>
      </c>
      <c r="BA753">
        <f>$C753*BA752</f>
        <v/>
      </c>
      <c r="BB753">
        <f>$C753*BB752</f>
        <v/>
      </c>
      <c r="BC753">
        <f>$C753*BC752</f>
        <v/>
      </c>
      <c r="BD753">
        <f>$C753*BD752</f>
        <v/>
      </c>
      <c r="BE753">
        <f>$C753*BE752</f>
        <v/>
      </c>
      <c r="BF753">
        <f>$C753*BF752</f>
        <v/>
      </c>
      <c r="BG753">
        <f>$C753*BG752</f>
        <v/>
      </c>
      <c r="BH753">
        <f>$C753*BH752</f>
        <v/>
      </c>
      <c r="BI753">
        <f>$C753*BI752</f>
        <v/>
      </c>
      <c r="BJ753">
        <f>$C753*BJ752</f>
        <v/>
      </c>
      <c r="BK753">
        <f>$C753*BK752</f>
        <v/>
      </c>
      <c r="BL753">
        <f>$C753*BL752</f>
        <v/>
      </c>
      <c r="BM753">
        <f>$C753*BM752</f>
        <v/>
      </c>
      <c r="BN753">
        <f>$C753*BN752</f>
        <v/>
      </c>
      <c r="BO753">
        <f>$C753*BO752</f>
        <v/>
      </c>
      <c r="BP753">
        <f>$C753*BP752</f>
        <v/>
      </c>
      <c r="BQ753">
        <f>$C753*BQ752</f>
        <v/>
      </c>
      <c r="BR753">
        <f>$C753*BR752</f>
        <v/>
      </c>
      <c r="BS753">
        <f>$C753*BS752</f>
        <v/>
      </c>
      <c r="BT753">
        <f>$C753*BT752</f>
        <v/>
      </c>
      <c r="BU753">
        <f>$C753*BU752</f>
        <v/>
      </c>
      <c r="BV753">
        <f>$C753*BV752</f>
        <v/>
      </c>
      <c r="BW753">
        <f>$C753*BW752</f>
        <v/>
      </c>
      <c r="BX753">
        <f>$C753*BX752</f>
        <v/>
      </c>
      <c r="BY753">
        <f>$C753*BY752</f>
        <v/>
      </c>
      <c r="BZ753">
        <f>$C753*BZ752</f>
        <v/>
      </c>
      <c r="CA753">
        <f>$C753*CA752</f>
        <v/>
      </c>
      <c r="CB753">
        <f>$C753*CB752</f>
        <v/>
      </c>
      <c r="CC753">
        <f>$C753*CC752</f>
        <v/>
      </c>
      <c r="CD753">
        <f>$C753*CD752</f>
        <v/>
      </c>
      <c r="CE753">
        <f>$C753*CE752</f>
        <v/>
      </c>
      <c r="CF753">
        <f>$C753*CF752</f>
        <v/>
      </c>
      <c r="CG753">
        <f>$C753*CG752</f>
        <v/>
      </c>
      <c r="CH753">
        <f>$C753*CH752</f>
        <v/>
      </c>
      <c r="CI753">
        <f>$C753*CI752</f>
        <v/>
      </c>
      <c r="CJ753">
        <f>$C753*CJ752</f>
        <v/>
      </c>
      <c r="CK753">
        <f>$C753*CK752</f>
        <v/>
      </c>
      <c r="CL753">
        <f>$C753*CL752</f>
        <v/>
      </c>
      <c r="CM753">
        <f>$C753*CM752</f>
        <v/>
      </c>
      <c r="CN753">
        <f>$C753*CN752</f>
        <v/>
      </c>
      <c r="CO753">
        <f>$C753*CO752</f>
        <v/>
      </c>
      <c r="CP753">
        <f>$C753*CP752</f>
        <v/>
      </c>
      <c r="CQ753">
        <f>$C753*CQ752</f>
        <v/>
      </c>
      <c r="CR753">
        <f>$C753*CR752</f>
        <v/>
      </c>
      <c r="CS753">
        <f>$C753*CS752</f>
        <v/>
      </c>
      <c r="CT753">
        <f>$C753*CT752</f>
        <v/>
      </c>
      <c r="CU753">
        <f>$C753*CU752</f>
        <v/>
      </c>
      <c r="CV753">
        <f>$C753*CV752</f>
        <v/>
      </c>
      <c r="CW753">
        <f>$C753*CW752</f>
        <v/>
      </c>
      <c r="CX753">
        <f>$C753*CX752</f>
        <v/>
      </c>
      <c r="CY753">
        <f>$C753*CY752</f>
        <v/>
      </c>
      <c r="CZ753">
        <f>$C753*CZ752</f>
        <v/>
      </c>
      <c r="DA753">
        <f>$C753*DA752</f>
        <v/>
      </c>
      <c r="DB753">
        <f>$C753*DB752</f>
        <v/>
      </c>
      <c r="DC753">
        <f>$C753*DC752</f>
        <v/>
      </c>
    </row>
    <row r="754">
      <c r="B754" t="inlineStr">
        <is>
          <t>TSP-903</t>
        </is>
      </c>
      <c r="C754" t="inlineStr">
        <is>
          <t>No. of batches</t>
        </is>
      </c>
      <c r="D754">
        <f>IFERROR(INDEX(PP_Grid[#Data],$DD754,2),0)</f>
        <v/>
      </c>
      <c r="E754">
        <f>IFERROR(INDEX(PP_Grid[#Data],$DD754,3),0)</f>
        <v/>
      </c>
      <c r="F754">
        <f>IFERROR(INDEX(PP_Grid[#Data],$DD754,4),0)</f>
        <v/>
      </c>
      <c r="G754">
        <f>IFERROR(INDEX(PP_Grid[#Data],$DD754,5),0)</f>
        <v/>
      </c>
      <c r="H754">
        <f>IFERROR(INDEX(PP_Grid[#Data],$DD754,6),0)</f>
        <v/>
      </c>
      <c r="I754">
        <f>IFERROR(INDEX(PP_Grid[#Data],$DD754,7),0)</f>
        <v/>
      </c>
      <c r="J754">
        <f>IFERROR(INDEX(PP_Grid[#Data],$DD754,8),0)</f>
        <v/>
      </c>
      <c r="K754">
        <f>IFERROR(INDEX(PP_Grid[#Data],$DD754,9),0)</f>
        <v/>
      </c>
      <c r="L754">
        <f>IFERROR(INDEX(PP_Grid[#Data],$DD754,10),0)</f>
        <v/>
      </c>
      <c r="M754">
        <f>IFERROR(INDEX(PP_Grid[#Data],$DD754,11),0)</f>
        <v/>
      </c>
      <c r="N754">
        <f>IFERROR(INDEX(PP_Grid[#Data],$DD754,12),0)</f>
        <v/>
      </c>
      <c r="O754">
        <f>IFERROR(INDEX(PP_Grid[#Data],$DD754,13),0)</f>
        <v/>
      </c>
      <c r="P754">
        <f>IFERROR(INDEX(PP_Grid[#Data],$DD754,14),0)</f>
        <v/>
      </c>
      <c r="Q754">
        <f>IFERROR(INDEX(PP_Grid[#Data],$DD754,15),0)</f>
        <v/>
      </c>
      <c r="R754">
        <f>IFERROR(INDEX(PP_Grid[#Data],$DD754,16),0)</f>
        <v/>
      </c>
      <c r="S754">
        <f>IFERROR(INDEX(PP_Grid[#Data],$DD754,17),0)</f>
        <v/>
      </c>
      <c r="T754">
        <f>IFERROR(INDEX(PP_Grid[#Data],$DD754,18),0)</f>
        <v/>
      </c>
      <c r="U754">
        <f>IFERROR(INDEX(PP_Grid[#Data],$DD754,19),0)</f>
        <v/>
      </c>
      <c r="V754">
        <f>IFERROR(INDEX(PP_Grid[#Data],$DD754,20),0)</f>
        <v/>
      </c>
      <c r="W754">
        <f>IFERROR(INDEX(PP_Grid[#Data],$DD754,21),0)</f>
        <v/>
      </c>
      <c r="X754">
        <f>IFERROR(INDEX(PP_Grid[#Data],$DD754,22),0)</f>
        <v/>
      </c>
      <c r="Y754">
        <f>IFERROR(INDEX(PP_Grid[#Data],$DD754,23),0)</f>
        <v/>
      </c>
      <c r="Z754">
        <f>IFERROR(INDEX(PP_Grid[#Data],$DD754,24),0)</f>
        <v/>
      </c>
      <c r="AA754">
        <f>IFERROR(INDEX(PP_Grid[#Data],$DD754,25),0)</f>
        <v/>
      </c>
      <c r="AB754">
        <f>IFERROR(INDEX(PP_Grid[#Data],$DD754,26),0)</f>
        <v/>
      </c>
      <c r="AC754">
        <f>IFERROR(INDEX(PP_Grid[#Data],$DD754,27),0)</f>
        <v/>
      </c>
      <c r="AD754">
        <f>IFERROR(INDEX(PP_Grid[#Data],$DD754,28),0)</f>
        <v/>
      </c>
      <c r="AE754">
        <f>IFERROR(INDEX(PP_Grid[#Data],$DD754,29),0)</f>
        <v/>
      </c>
      <c r="AF754">
        <f>IFERROR(INDEX(PP_Grid[#Data],$DD754,30),0)</f>
        <v/>
      </c>
      <c r="AG754">
        <f>IFERROR(INDEX(PP_Grid[#Data],$DD754,31),0)</f>
        <v/>
      </c>
      <c r="AH754">
        <f>IFERROR(INDEX(PP_Grid[#Data],$DD754,32),0)</f>
        <v/>
      </c>
      <c r="AI754">
        <f>IFERROR(INDEX(PP_Grid[#Data],$DD754,33),0)</f>
        <v/>
      </c>
      <c r="AJ754">
        <f>IFERROR(INDEX(PP_Grid[#Data],$DD754,34),0)</f>
        <v/>
      </c>
      <c r="AK754">
        <f>IFERROR(INDEX(PP_Grid[#Data],$DD754,35),0)</f>
        <v/>
      </c>
      <c r="AL754">
        <f>IFERROR(INDEX(PP_Grid[#Data],$DD754,36),0)</f>
        <v/>
      </c>
      <c r="AM754">
        <f>IFERROR(INDEX(PP_Grid[#Data],$DD754,37),0)</f>
        <v/>
      </c>
      <c r="AN754">
        <f>IFERROR(INDEX(PP_Grid[#Data],$DD754,38),0)</f>
        <v/>
      </c>
      <c r="AO754">
        <f>IFERROR(INDEX(PP_Grid[#Data],$DD754,39),0)</f>
        <v/>
      </c>
      <c r="AP754">
        <f>IFERROR(INDEX(PP_Grid[#Data],$DD754,40),0)</f>
        <v/>
      </c>
      <c r="AQ754">
        <f>IFERROR(INDEX(PP_Grid[#Data],$DD754,41),0)</f>
        <v/>
      </c>
      <c r="AR754">
        <f>IFERROR(INDEX(PP_Grid[#Data],$DD754,42),0)</f>
        <v/>
      </c>
      <c r="AS754">
        <f>IFERROR(INDEX(PP_Grid[#Data],$DD754,43),0)</f>
        <v/>
      </c>
      <c r="AT754">
        <f>IFERROR(INDEX(PP_Grid[#Data],$DD754,44),0)</f>
        <v/>
      </c>
      <c r="AU754">
        <f>IFERROR(INDEX(PP_Grid[#Data],$DD754,45),0)</f>
        <v/>
      </c>
      <c r="AV754">
        <f>IFERROR(INDEX(PP_Grid[#Data],$DD754,46),0)</f>
        <v/>
      </c>
      <c r="AW754">
        <f>IFERROR(INDEX(PP_Grid[#Data],$DD754,47),0)</f>
        <v/>
      </c>
      <c r="AX754">
        <f>IFERROR(INDEX(PP_Grid[#Data],$DD754,48),0)</f>
        <v/>
      </c>
      <c r="AY754">
        <f>IFERROR(INDEX(PP_Grid[#Data],$DD754,49),0)</f>
        <v/>
      </c>
      <c r="AZ754">
        <f>IFERROR(INDEX(PP_Grid[#Data],$DD754,50),0)</f>
        <v/>
      </c>
      <c r="BA754">
        <f>IFERROR(INDEX(PP_Grid[#Data],$DD754,51),0)</f>
        <v/>
      </c>
      <c r="BB754">
        <f>IFERROR(INDEX(PP_Grid[#Data],$DD754,52),0)</f>
        <v/>
      </c>
      <c r="BC754">
        <f>IFERROR(INDEX(PP_Grid[#Data],$DD754,53),0)</f>
        <v/>
      </c>
      <c r="BD754">
        <f>IFERROR(INDEX(PP_Grid[#Data],$DD754,54),0)</f>
        <v/>
      </c>
      <c r="BE754">
        <f>IFERROR(INDEX(PP_Grid[#Data],$DD754,55),0)</f>
        <v/>
      </c>
      <c r="BF754">
        <f>IFERROR(INDEX(PP_Grid[#Data],$DD754,56),0)</f>
        <v/>
      </c>
      <c r="BG754">
        <f>IFERROR(INDEX(PP_Grid[#Data],$DD754,57),0)</f>
        <v/>
      </c>
      <c r="BH754">
        <f>IFERROR(INDEX(PP_Grid[#Data],$DD754,58),0)</f>
        <v/>
      </c>
      <c r="BI754">
        <f>IFERROR(INDEX(PP_Grid[#Data],$DD754,59),0)</f>
        <v/>
      </c>
      <c r="BJ754">
        <f>IFERROR(INDEX(PP_Grid[#Data],$DD754,60),0)</f>
        <v/>
      </c>
      <c r="BK754">
        <f>IFERROR(INDEX(PP_Grid[#Data],$DD754,61),0)</f>
        <v/>
      </c>
      <c r="BL754">
        <f>IFERROR(INDEX(PP_Grid[#Data],$DD754,62),0)</f>
        <v/>
      </c>
      <c r="BM754">
        <f>IFERROR(INDEX(PP_Grid[#Data],$DD754,63),0)</f>
        <v/>
      </c>
      <c r="BN754">
        <f>IFERROR(INDEX(PP_Grid[#Data],$DD754,64),0)</f>
        <v/>
      </c>
      <c r="BO754">
        <f>IFERROR(INDEX(PP_Grid[#Data],$DD754,65),0)</f>
        <v/>
      </c>
      <c r="BP754">
        <f>IFERROR(INDEX(PP_Grid[#Data],$DD754,66),0)</f>
        <v/>
      </c>
      <c r="BQ754">
        <f>IFERROR(INDEX(PP_Grid[#Data],$DD754,67),0)</f>
        <v/>
      </c>
      <c r="BR754">
        <f>IFERROR(INDEX(PP_Grid[#Data],$DD754,68),0)</f>
        <v/>
      </c>
      <c r="BS754">
        <f>IFERROR(INDEX(PP_Grid[#Data],$DD754,69),0)</f>
        <v/>
      </c>
      <c r="BT754">
        <f>IFERROR(INDEX(PP_Grid[#Data],$DD754,70),0)</f>
        <v/>
      </c>
      <c r="BU754">
        <f>IFERROR(INDEX(PP_Grid[#Data],$DD754,71),0)</f>
        <v/>
      </c>
      <c r="BV754">
        <f>IFERROR(INDEX(PP_Grid[#Data],$DD754,72),0)</f>
        <v/>
      </c>
      <c r="BW754">
        <f>IFERROR(INDEX(PP_Grid[#Data],$DD754,73),0)</f>
        <v/>
      </c>
      <c r="BX754">
        <f>IFERROR(INDEX(PP_Grid[#Data],$DD754,74),0)</f>
        <v/>
      </c>
      <c r="BY754">
        <f>IFERROR(INDEX(PP_Grid[#Data],$DD754,75),0)</f>
        <v/>
      </c>
      <c r="BZ754">
        <f>IFERROR(INDEX(PP_Grid[#Data],$DD754,76),0)</f>
        <v/>
      </c>
      <c r="CA754">
        <f>IFERROR(INDEX(PP_Grid[#Data],$DD754,77),0)</f>
        <v/>
      </c>
      <c r="CB754">
        <f>IFERROR(INDEX(PP_Grid[#Data],$DD754,78),0)</f>
        <v/>
      </c>
      <c r="CC754">
        <f>IFERROR(INDEX(PP_Grid[#Data],$DD754,79),0)</f>
        <v/>
      </c>
      <c r="CD754">
        <f>IFERROR(INDEX(PP_Grid[#Data],$DD754,80),0)</f>
        <v/>
      </c>
      <c r="CE754">
        <f>IFERROR(INDEX(PP_Grid[#Data],$DD754,81),0)</f>
        <v/>
      </c>
      <c r="CF754">
        <f>IFERROR(INDEX(PP_Grid[#Data],$DD754,82),0)</f>
        <v/>
      </c>
      <c r="CG754">
        <f>IFERROR(INDEX(PP_Grid[#Data],$DD754,83),0)</f>
        <v/>
      </c>
      <c r="CH754">
        <f>IFERROR(INDEX(PP_Grid[#Data],$DD754,84),0)</f>
        <v/>
      </c>
      <c r="CI754">
        <f>IFERROR(INDEX(PP_Grid[#Data],$DD754,85),0)</f>
        <v/>
      </c>
      <c r="CJ754">
        <f>IFERROR(INDEX(PP_Grid[#Data],$DD754,86),0)</f>
        <v/>
      </c>
      <c r="CK754">
        <f>IFERROR(INDEX(PP_Grid[#Data],$DD754,87),0)</f>
        <v/>
      </c>
      <c r="CL754">
        <f>IFERROR(INDEX(PP_Grid[#Data],$DD754,88),0)</f>
        <v/>
      </c>
      <c r="CM754">
        <f>IFERROR(INDEX(PP_Grid[#Data],$DD754,89),0)</f>
        <v/>
      </c>
      <c r="CN754">
        <f>IFERROR(INDEX(PP_Grid[#Data],$DD754,90),0)</f>
        <v/>
      </c>
      <c r="CO754">
        <f>IFERROR(INDEX(PP_Grid[#Data],$DD754,91),0)</f>
        <v/>
      </c>
      <c r="CP754">
        <f>IFERROR(INDEX(PP_Grid[#Data],$DD754,92),0)</f>
        <v/>
      </c>
      <c r="CQ754">
        <f>IFERROR(INDEX(PP_Grid[#Data],$DD754,93),0)</f>
        <v/>
      </c>
      <c r="CR754">
        <f>IFERROR(INDEX(PP_Grid[#Data],$DD754,94),0)</f>
        <v/>
      </c>
      <c r="CS754">
        <f>IFERROR(INDEX(PP_Grid[#Data],$DD754,95),0)</f>
        <v/>
      </c>
      <c r="CT754">
        <f>IFERROR(INDEX(PP_Grid[#Data],$DD754,96),0)</f>
        <v/>
      </c>
      <c r="CU754">
        <f>IFERROR(INDEX(PP_Grid[#Data],$DD754,97),0)</f>
        <v/>
      </c>
      <c r="CV754">
        <f>IFERROR(INDEX(PP_Grid[#Data],$DD754,98),0)</f>
        <v/>
      </c>
      <c r="CW754">
        <f>IFERROR(INDEX(PP_Grid[#Data],$DD754,99),0)</f>
        <v/>
      </c>
      <c r="CX754">
        <f>IFERROR(INDEX(PP_Grid[#Data],$DD754,100),0)</f>
        <v/>
      </c>
      <c r="CY754">
        <f>IFERROR(INDEX(PP_Grid[#Data],$DD754,101),0)</f>
        <v/>
      </c>
      <c r="CZ754">
        <f>IFERROR(INDEX(PP_Grid[#Data],$DD754,102),0)</f>
        <v/>
      </c>
      <c r="DA754">
        <f>IFERROR(INDEX(PP_Grid[#Data],$DD754,103),0)</f>
        <v/>
      </c>
      <c r="DB754">
        <f>IFERROR(INDEX(PP_Grid[#Data],$DD754,104),0)</f>
        <v/>
      </c>
      <c r="DC754">
        <f>IFERROR(INDEX(PP_Grid[#Data],$DD754,105),0)</f>
        <v/>
      </c>
      <c r="DD754" s="12">
        <f>IFERROR(MATCH($B754,PP_Grid[Intermediate],0),99999)</f>
        <v/>
      </c>
    </row>
    <row r="755">
      <c r="B755" t="inlineStr">
        <is>
          <t>使用量(kg)</t>
        </is>
      </c>
      <c r="C755">
        <f>SUMIFS(M_BOM[RM_Qty_Per_Batch],M_BOM[Intermediate],$B754,M_BOM[Part Name],$A669)</f>
        <v/>
      </c>
      <c r="D755">
        <f>$C755*D754</f>
        <v/>
      </c>
      <c r="E755">
        <f>$C755*E754</f>
        <v/>
      </c>
      <c r="F755">
        <f>$C755*F754</f>
        <v/>
      </c>
      <c r="G755">
        <f>$C755*G754</f>
        <v/>
      </c>
      <c r="H755">
        <f>$C755*H754</f>
        <v/>
      </c>
      <c r="I755">
        <f>$C755*I754</f>
        <v/>
      </c>
      <c r="J755">
        <f>$C755*J754</f>
        <v/>
      </c>
      <c r="K755">
        <f>$C755*K754</f>
        <v/>
      </c>
      <c r="L755">
        <f>$C755*L754</f>
        <v/>
      </c>
      <c r="M755">
        <f>$C755*M754</f>
        <v/>
      </c>
      <c r="N755">
        <f>$C755*N754</f>
        <v/>
      </c>
      <c r="O755">
        <f>$C755*O754</f>
        <v/>
      </c>
      <c r="P755">
        <f>$C755*P754</f>
        <v/>
      </c>
      <c r="Q755">
        <f>$C755*Q754</f>
        <v/>
      </c>
      <c r="R755">
        <f>$C755*R754</f>
        <v/>
      </c>
      <c r="S755">
        <f>$C755*S754</f>
        <v/>
      </c>
      <c r="T755">
        <f>$C755*T754</f>
        <v/>
      </c>
      <c r="U755">
        <f>$C755*U754</f>
        <v/>
      </c>
      <c r="V755">
        <f>$C755*V754</f>
        <v/>
      </c>
      <c r="W755">
        <f>$C755*W754</f>
        <v/>
      </c>
      <c r="X755">
        <f>$C755*X754</f>
        <v/>
      </c>
      <c r="Y755">
        <f>$C755*Y754</f>
        <v/>
      </c>
      <c r="Z755">
        <f>$C755*Z754</f>
        <v/>
      </c>
      <c r="AA755">
        <f>$C755*AA754</f>
        <v/>
      </c>
      <c r="AB755">
        <f>$C755*AB754</f>
        <v/>
      </c>
      <c r="AC755">
        <f>$C755*AC754</f>
        <v/>
      </c>
      <c r="AD755">
        <f>$C755*AD754</f>
        <v/>
      </c>
      <c r="AE755">
        <f>$C755*AE754</f>
        <v/>
      </c>
      <c r="AF755">
        <f>$C755*AF754</f>
        <v/>
      </c>
      <c r="AG755">
        <f>$C755*AG754</f>
        <v/>
      </c>
      <c r="AH755">
        <f>$C755*AH754</f>
        <v/>
      </c>
      <c r="AI755">
        <f>$C755*AI754</f>
        <v/>
      </c>
      <c r="AJ755">
        <f>$C755*AJ754</f>
        <v/>
      </c>
      <c r="AK755">
        <f>$C755*AK754</f>
        <v/>
      </c>
      <c r="AL755">
        <f>$C755*AL754</f>
        <v/>
      </c>
      <c r="AM755">
        <f>$C755*AM754</f>
        <v/>
      </c>
      <c r="AN755">
        <f>$C755*AN754</f>
        <v/>
      </c>
      <c r="AO755">
        <f>$C755*AO754</f>
        <v/>
      </c>
      <c r="AP755">
        <f>$C755*AP754</f>
        <v/>
      </c>
      <c r="AQ755">
        <f>$C755*AQ754</f>
        <v/>
      </c>
      <c r="AR755">
        <f>$C755*AR754</f>
        <v/>
      </c>
      <c r="AS755">
        <f>$C755*AS754</f>
        <v/>
      </c>
      <c r="AT755">
        <f>$C755*AT754</f>
        <v/>
      </c>
      <c r="AU755">
        <f>$C755*AU754</f>
        <v/>
      </c>
      <c r="AV755">
        <f>$C755*AV754</f>
        <v/>
      </c>
      <c r="AW755">
        <f>$C755*AW754</f>
        <v/>
      </c>
      <c r="AX755">
        <f>$C755*AX754</f>
        <v/>
      </c>
      <c r="AY755">
        <f>$C755*AY754</f>
        <v/>
      </c>
      <c r="AZ755">
        <f>$C755*AZ754</f>
        <v/>
      </c>
      <c r="BA755">
        <f>$C755*BA754</f>
        <v/>
      </c>
      <c r="BB755">
        <f>$C755*BB754</f>
        <v/>
      </c>
      <c r="BC755">
        <f>$C755*BC754</f>
        <v/>
      </c>
      <c r="BD755">
        <f>$C755*BD754</f>
        <v/>
      </c>
      <c r="BE755">
        <f>$C755*BE754</f>
        <v/>
      </c>
      <c r="BF755">
        <f>$C755*BF754</f>
        <v/>
      </c>
      <c r="BG755">
        <f>$C755*BG754</f>
        <v/>
      </c>
      <c r="BH755">
        <f>$C755*BH754</f>
        <v/>
      </c>
      <c r="BI755">
        <f>$C755*BI754</f>
        <v/>
      </c>
      <c r="BJ755">
        <f>$C755*BJ754</f>
        <v/>
      </c>
      <c r="BK755">
        <f>$C755*BK754</f>
        <v/>
      </c>
      <c r="BL755">
        <f>$C755*BL754</f>
        <v/>
      </c>
      <c r="BM755">
        <f>$C755*BM754</f>
        <v/>
      </c>
      <c r="BN755">
        <f>$C755*BN754</f>
        <v/>
      </c>
      <c r="BO755">
        <f>$C755*BO754</f>
        <v/>
      </c>
      <c r="BP755">
        <f>$C755*BP754</f>
        <v/>
      </c>
      <c r="BQ755">
        <f>$C755*BQ754</f>
        <v/>
      </c>
      <c r="BR755">
        <f>$C755*BR754</f>
        <v/>
      </c>
      <c r="BS755">
        <f>$C755*BS754</f>
        <v/>
      </c>
      <c r="BT755">
        <f>$C755*BT754</f>
        <v/>
      </c>
      <c r="BU755">
        <f>$C755*BU754</f>
        <v/>
      </c>
      <c r="BV755">
        <f>$C755*BV754</f>
        <v/>
      </c>
      <c r="BW755">
        <f>$C755*BW754</f>
        <v/>
      </c>
      <c r="BX755">
        <f>$C755*BX754</f>
        <v/>
      </c>
      <c r="BY755">
        <f>$C755*BY754</f>
        <v/>
      </c>
      <c r="BZ755">
        <f>$C755*BZ754</f>
        <v/>
      </c>
      <c r="CA755">
        <f>$C755*CA754</f>
        <v/>
      </c>
      <c r="CB755">
        <f>$C755*CB754</f>
        <v/>
      </c>
      <c r="CC755">
        <f>$C755*CC754</f>
        <v/>
      </c>
      <c r="CD755">
        <f>$C755*CD754</f>
        <v/>
      </c>
      <c r="CE755">
        <f>$C755*CE754</f>
        <v/>
      </c>
      <c r="CF755">
        <f>$C755*CF754</f>
        <v/>
      </c>
      <c r="CG755">
        <f>$C755*CG754</f>
        <v/>
      </c>
      <c r="CH755">
        <f>$C755*CH754</f>
        <v/>
      </c>
      <c r="CI755">
        <f>$C755*CI754</f>
        <v/>
      </c>
      <c r="CJ755">
        <f>$C755*CJ754</f>
        <v/>
      </c>
      <c r="CK755">
        <f>$C755*CK754</f>
        <v/>
      </c>
      <c r="CL755">
        <f>$C755*CL754</f>
        <v/>
      </c>
      <c r="CM755">
        <f>$C755*CM754</f>
        <v/>
      </c>
      <c r="CN755">
        <f>$C755*CN754</f>
        <v/>
      </c>
      <c r="CO755">
        <f>$C755*CO754</f>
        <v/>
      </c>
      <c r="CP755">
        <f>$C755*CP754</f>
        <v/>
      </c>
      <c r="CQ755">
        <f>$C755*CQ754</f>
        <v/>
      </c>
      <c r="CR755">
        <f>$C755*CR754</f>
        <v/>
      </c>
      <c r="CS755">
        <f>$C755*CS754</f>
        <v/>
      </c>
      <c r="CT755">
        <f>$C755*CT754</f>
        <v/>
      </c>
      <c r="CU755">
        <f>$C755*CU754</f>
        <v/>
      </c>
      <c r="CV755">
        <f>$C755*CV754</f>
        <v/>
      </c>
      <c r="CW755">
        <f>$C755*CW754</f>
        <v/>
      </c>
      <c r="CX755">
        <f>$C755*CX754</f>
        <v/>
      </c>
      <c r="CY755">
        <f>$C755*CY754</f>
        <v/>
      </c>
      <c r="CZ755">
        <f>$C755*CZ754</f>
        <v/>
      </c>
      <c r="DA755">
        <f>$C755*DA754</f>
        <v/>
      </c>
      <c r="DB755">
        <f>$C755*DB754</f>
        <v/>
      </c>
      <c r="DC755">
        <f>$C755*DC754</f>
        <v/>
      </c>
    </row>
    <row r="756">
      <c r="B756" t="inlineStr">
        <is>
          <t>TSP-924</t>
        </is>
      </c>
      <c r="C756" t="inlineStr">
        <is>
          <t>No. of batches</t>
        </is>
      </c>
      <c r="D756">
        <f>IFERROR(INDEX(PP_Grid[#Data],$DD756,2),0)</f>
        <v/>
      </c>
      <c r="E756">
        <f>IFERROR(INDEX(PP_Grid[#Data],$DD756,3),0)</f>
        <v/>
      </c>
      <c r="F756">
        <f>IFERROR(INDEX(PP_Grid[#Data],$DD756,4),0)</f>
        <v/>
      </c>
      <c r="G756">
        <f>IFERROR(INDEX(PP_Grid[#Data],$DD756,5),0)</f>
        <v/>
      </c>
      <c r="H756">
        <f>IFERROR(INDEX(PP_Grid[#Data],$DD756,6),0)</f>
        <v/>
      </c>
      <c r="I756">
        <f>IFERROR(INDEX(PP_Grid[#Data],$DD756,7),0)</f>
        <v/>
      </c>
      <c r="J756">
        <f>IFERROR(INDEX(PP_Grid[#Data],$DD756,8),0)</f>
        <v/>
      </c>
      <c r="K756">
        <f>IFERROR(INDEX(PP_Grid[#Data],$DD756,9),0)</f>
        <v/>
      </c>
      <c r="L756">
        <f>IFERROR(INDEX(PP_Grid[#Data],$DD756,10),0)</f>
        <v/>
      </c>
      <c r="M756">
        <f>IFERROR(INDEX(PP_Grid[#Data],$DD756,11),0)</f>
        <v/>
      </c>
      <c r="N756">
        <f>IFERROR(INDEX(PP_Grid[#Data],$DD756,12),0)</f>
        <v/>
      </c>
      <c r="O756">
        <f>IFERROR(INDEX(PP_Grid[#Data],$DD756,13),0)</f>
        <v/>
      </c>
      <c r="P756">
        <f>IFERROR(INDEX(PP_Grid[#Data],$DD756,14),0)</f>
        <v/>
      </c>
      <c r="Q756">
        <f>IFERROR(INDEX(PP_Grid[#Data],$DD756,15),0)</f>
        <v/>
      </c>
      <c r="R756">
        <f>IFERROR(INDEX(PP_Grid[#Data],$DD756,16),0)</f>
        <v/>
      </c>
      <c r="S756">
        <f>IFERROR(INDEX(PP_Grid[#Data],$DD756,17),0)</f>
        <v/>
      </c>
      <c r="T756">
        <f>IFERROR(INDEX(PP_Grid[#Data],$DD756,18),0)</f>
        <v/>
      </c>
      <c r="U756">
        <f>IFERROR(INDEX(PP_Grid[#Data],$DD756,19),0)</f>
        <v/>
      </c>
      <c r="V756">
        <f>IFERROR(INDEX(PP_Grid[#Data],$DD756,20),0)</f>
        <v/>
      </c>
      <c r="W756">
        <f>IFERROR(INDEX(PP_Grid[#Data],$DD756,21),0)</f>
        <v/>
      </c>
      <c r="X756">
        <f>IFERROR(INDEX(PP_Grid[#Data],$DD756,22),0)</f>
        <v/>
      </c>
      <c r="Y756">
        <f>IFERROR(INDEX(PP_Grid[#Data],$DD756,23),0)</f>
        <v/>
      </c>
      <c r="Z756">
        <f>IFERROR(INDEX(PP_Grid[#Data],$DD756,24),0)</f>
        <v/>
      </c>
      <c r="AA756">
        <f>IFERROR(INDEX(PP_Grid[#Data],$DD756,25),0)</f>
        <v/>
      </c>
      <c r="AB756">
        <f>IFERROR(INDEX(PP_Grid[#Data],$DD756,26),0)</f>
        <v/>
      </c>
      <c r="AC756">
        <f>IFERROR(INDEX(PP_Grid[#Data],$DD756,27),0)</f>
        <v/>
      </c>
      <c r="AD756">
        <f>IFERROR(INDEX(PP_Grid[#Data],$DD756,28),0)</f>
        <v/>
      </c>
      <c r="AE756">
        <f>IFERROR(INDEX(PP_Grid[#Data],$DD756,29),0)</f>
        <v/>
      </c>
      <c r="AF756">
        <f>IFERROR(INDEX(PP_Grid[#Data],$DD756,30),0)</f>
        <v/>
      </c>
      <c r="AG756">
        <f>IFERROR(INDEX(PP_Grid[#Data],$DD756,31),0)</f>
        <v/>
      </c>
      <c r="AH756">
        <f>IFERROR(INDEX(PP_Grid[#Data],$DD756,32),0)</f>
        <v/>
      </c>
      <c r="AI756">
        <f>IFERROR(INDEX(PP_Grid[#Data],$DD756,33),0)</f>
        <v/>
      </c>
      <c r="AJ756">
        <f>IFERROR(INDEX(PP_Grid[#Data],$DD756,34),0)</f>
        <v/>
      </c>
      <c r="AK756">
        <f>IFERROR(INDEX(PP_Grid[#Data],$DD756,35),0)</f>
        <v/>
      </c>
      <c r="AL756">
        <f>IFERROR(INDEX(PP_Grid[#Data],$DD756,36),0)</f>
        <v/>
      </c>
      <c r="AM756">
        <f>IFERROR(INDEX(PP_Grid[#Data],$DD756,37),0)</f>
        <v/>
      </c>
      <c r="AN756">
        <f>IFERROR(INDEX(PP_Grid[#Data],$DD756,38),0)</f>
        <v/>
      </c>
      <c r="AO756">
        <f>IFERROR(INDEX(PP_Grid[#Data],$DD756,39),0)</f>
        <v/>
      </c>
      <c r="AP756">
        <f>IFERROR(INDEX(PP_Grid[#Data],$DD756,40),0)</f>
        <v/>
      </c>
      <c r="AQ756">
        <f>IFERROR(INDEX(PP_Grid[#Data],$DD756,41),0)</f>
        <v/>
      </c>
      <c r="AR756">
        <f>IFERROR(INDEX(PP_Grid[#Data],$DD756,42),0)</f>
        <v/>
      </c>
      <c r="AS756">
        <f>IFERROR(INDEX(PP_Grid[#Data],$DD756,43),0)</f>
        <v/>
      </c>
      <c r="AT756">
        <f>IFERROR(INDEX(PP_Grid[#Data],$DD756,44),0)</f>
        <v/>
      </c>
      <c r="AU756">
        <f>IFERROR(INDEX(PP_Grid[#Data],$DD756,45),0)</f>
        <v/>
      </c>
      <c r="AV756">
        <f>IFERROR(INDEX(PP_Grid[#Data],$DD756,46),0)</f>
        <v/>
      </c>
      <c r="AW756">
        <f>IFERROR(INDEX(PP_Grid[#Data],$DD756,47),0)</f>
        <v/>
      </c>
      <c r="AX756">
        <f>IFERROR(INDEX(PP_Grid[#Data],$DD756,48),0)</f>
        <v/>
      </c>
      <c r="AY756">
        <f>IFERROR(INDEX(PP_Grid[#Data],$DD756,49),0)</f>
        <v/>
      </c>
      <c r="AZ756">
        <f>IFERROR(INDEX(PP_Grid[#Data],$DD756,50),0)</f>
        <v/>
      </c>
      <c r="BA756">
        <f>IFERROR(INDEX(PP_Grid[#Data],$DD756,51),0)</f>
        <v/>
      </c>
      <c r="BB756">
        <f>IFERROR(INDEX(PP_Grid[#Data],$DD756,52),0)</f>
        <v/>
      </c>
      <c r="BC756">
        <f>IFERROR(INDEX(PP_Grid[#Data],$DD756,53),0)</f>
        <v/>
      </c>
      <c r="BD756">
        <f>IFERROR(INDEX(PP_Grid[#Data],$DD756,54),0)</f>
        <v/>
      </c>
      <c r="BE756">
        <f>IFERROR(INDEX(PP_Grid[#Data],$DD756,55),0)</f>
        <v/>
      </c>
      <c r="BF756">
        <f>IFERROR(INDEX(PP_Grid[#Data],$DD756,56),0)</f>
        <v/>
      </c>
      <c r="BG756">
        <f>IFERROR(INDEX(PP_Grid[#Data],$DD756,57),0)</f>
        <v/>
      </c>
      <c r="BH756">
        <f>IFERROR(INDEX(PP_Grid[#Data],$DD756,58),0)</f>
        <v/>
      </c>
      <c r="BI756">
        <f>IFERROR(INDEX(PP_Grid[#Data],$DD756,59),0)</f>
        <v/>
      </c>
      <c r="BJ756">
        <f>IFERROR(INDEX(PP_Grid[#Data],$DD756,60),0)</f>
        <v/>
      </c>
      <c r="BK756">
        <f>IFERROR(INDEX(PP_Grid[#Data],$DD756,61),0)</f>
        <v/>
      </c>
      <c r="BL756">
        <f>IFERROR(INDEX(PP_Grid[#Data],$DD756,62),0)</f>
        <v/>
      </c>
      <c r="BM756">
        <f>IFERROR(INDEX(PP_Grid[#Data],$DD756,63),0)</f>
        <v/>
      </c>
      <c r="BN756">
        <f>IFERROR(INDEX(PP_Grid[#Data],$DD756,64),0)</f>
        <v/>
      </c>
      <c r="BO756">
        <f>IFERROR(INDEX(PP_Grid[#Data],$DD756,65),0)</f>
        <v/>
      </c>
      <c r="BP756">
        <f>IFERROR(INDEX(PP_Grid[#Data],$DD756,66),0)</f>
        <v/>
      </c>
      <c r="BQ756">
        <f>IFERROR(INDEX(PP_Grid[#Data],$DD756,67),0)</f>
        <v/>
      </c>
      <c r="BR756">
        <f>IFERROR(INDEX(PP_Grid[#Data],$DD756,68),0)</f>
        <v/>
      </c>
      <c r="BS756">
        <f>IFERROR(INDEX(PP_Grid[#Data],$DD756,69),0)</f>
        <v/>
      </c>
      <c r="BT756">
        <f>IFERROR(INDEX(PP_Grid[#Data],$DD756,70),0)</f>
        <v/>
      </c>
      <c r="BU756">
        <f>IFERROR(INDEX(PP_Grid[#Data],$DD756,71),0)</f>
        <v/>
      </c>
      <c r="BV756">
        <f>IFERROR(INDEX(PP_Grid[#Data],$DD756,72),0)</f>
        <v/>
      </c>
      <c r="BW756">
        <f>IFERROR(INDEX(PP_Grid[#Data],$DD756,73),0)</f>
        <v/>
      </c>
      <c r="BX756">
        <f>IFERROR(INDEX(PP_Grid[#Data],$DD756,74),0)</f>
        <v/>
      </c>
      <c r="BY756">
        <f>IFERROR(INDEX(PP_Grid[#Data],$DD756,75),0)</f>
        <v/>
      </c>
      <c r="BZ756">
        <f>IFERROR(INDEX(PP_Grid[#Data],$DD756,76),0)</f>
        <v/>
      </c>
      <c r="CA756">
        <f>IFERROR(INDEX(PP_Grid[#Data],$DD756,77),0)</f>
        <v/>
      </c>
      <c r="CB756">
        <f>IFERROR(INDEX(PP_Grid[#Data],$DD756,78),0)</f>
        <v/>
      </c>
      <c r="CC756">
        <f>IFERROR(INDEX(PP_Grid[#Data],$DD756,79),0)</f>
        <v/>
      </c>
      <c r="CD756">
        <f>IFERROR(INDEX(PP_Grid[#Data],$DD756,80),0)</f>
        <v/>
      </c>
      <c r="CE756">
        <f>IFERROR(INDEX(PP_Grid[#Data],$DD756,81),0)</f>
        <v/>
      </c>
      <c r="CF756">
        <f>IFERROR(INDEX(PP_Grid[#Data],$DD756,82),0)</f>
        <v/>
      </c>
      <c r="CG756">
        <f>IFERROR(INDEX(PP_Grid[#Data],$DD756,83),0)</f>
        <v/>
      </c>
      <c r="CH756">
        <f>IFERROR(INDEX(PP_Grid[#Data],$DD756,84),0)</f>
        <v/>
      </c>
      <c r="CI756">
        <f>IFERROR(INDEX(PP_Grid[#Data],$DD756,85),0)</f>
        <v/>
      </c>
      <c r="CJ756">
        <f>IFERROR(INDEX(PP_Grid[#Data],$DD756,86),0)</f>
        <v/>
      </c>
      <c r="CK756">
        <f>IFERROR(INDEX(PP_Grid[#Data],$DD756,87),0)</f>
        <v/>
      </c>
      <c r="CL756">
        <f>IFERROR(INDEX(PP_Grid[#Data],$DD756,88),0)</f>
        <v/>
      </c>
      <c r="CM756">
        <f>IFERROR(INDEX(PP_Grid[#Data],$DD756,89),0)</f>
        <v/>
      </c>
      <c r="CN756">
        <f>IFERROR(INDEX(PP_Grid[#Data],$DD756,90),0)</f>
        <v/>
      </c>
      <c r="CO756">
        <f>IFERROR(INDEX(PP_Grid[#Data],$DD756,91),0)</f>
        <v/>
      </c>
      <c r="CP756">
        <f>IFERROR(INDEX(PP_Grid[#Data],$DD756,92),0)</f>
        <v/>
      </c>
      <c r="CQ756">
        <f>IFERROR(INDEX(PP_Grid[#Data],$DD756,93),0)</f>
        <v/>
      </c>
      <c r="CR756">
        <f>IFERROR(INDEX(PP_Grid[#Data],$DD756,94),0)</f>
        <v/>
      </c>
      <c r="CS756">
        <f>IFERROR(INDEX(PP_Grid[#Data],$DD756,95),0)</f>
        <v/>
      </c>
      <c r="CT756">
        <f>IFERROR(INDEX(PP_Grid[#Data],$DD756,96),0)</f>
        <v/>
      </c>
      <c r="CU756">
        <f>IFERROR(INDEX(PP_Grid[#Data],$DD756,97),0)</f>
        <v/>
      </c>
      <c r="CV756">
        <f>IFERROR(INDEX(PP_Grid[#Data],$DD756,98),0)</f>
        <v/>
      </c>
      <c r="CW756">
        <f>IFERROR(INDEX(PP_Grid[#Data],$DD756,99),0)</f>
        <v/>
      </c>
      <c r="CX756">
        <f>IFERROR(INDEX(PP_Grid[#Data],$DD756,100),0)</f>
        <v/>
      </c>
      <c r="CY756">
        <f>IFERROR(INDEX(PP_Grid[#Data],$DD756,101),0)</f>
        <v/>
      </c>
      <c r="CZ756">
        <f>IFERROR(INDEX(PP_Grid[#Data],$DD756,102),0)</f>
        <v/>
      </c>
      <c r="DA756">
        <f>IFERROR(INDEX(PP_Grid[#Data],$DD756,103),0)</f>
        <v/>
      </c>
      <c r="DB756">
        <f>IFERROR(INDEX(PP_Grid[#Data],$DD756,104),0)</f>
        <v/>
      </c>
      <c r="DC756">
        <f>IFERROR(INDEX(PP_Grid[#Data],$DD756,105),0)</f>
        <v/>
      </c>
      <c r="DD756" s="12">
        <f>IFERROR(MATCH($B756,PP_Grid[Intermediate],0),99999)</f>
        <v/>
      </c>
    </row>
    <row r="757">
      <c r="B757" t="inlineStr">
        <is>
          <t>使用量(kg)</t>
        </is>
      </c>
      <c r="C757">
        <f>SUMIFS(M_BOM[RM_Qty_Per_Batch],M_BOM[Intermediate],$B756,M_BOM[Part Name],$A669)</f>
        <v/>
      </c>
      <c r="D757">
        <f>$C757*D756</f>
        <v/>
      </c>
      <c r="E757">
        <f>$C757*E756</f>
        <v/>
      </c>
      <c r="F757">
        <f>$C757*F756</f>
        <v/>
      </c>
      <c r="G757">
        <f>$C757*G756</f>
        <v/>
      </c>
      <c r="H757">
        <f>$C757*H756</f>
        <v/>
      </c>
      <c r="I757">
        <f>$C757*I756</f>
        <v/>
      </c>
      <c r="J757">
        <f>$C757*J756</f>
        <v/>
      </c>
      <c r="K757">
        <f>$C757*K756</f>
        <v/>
      </c>
      <c r="L757">
        <f>$C757*L756</f>
        <v/>
      </c>
      <c r="M757">
        <f>$C757*M756</f>
        <v/>
      </c>
      <c r="N757">
        <f>$C757*N756</f>
        <v/>
      </c>
      <c r="O757">
        <f>$C757*O756</f>
        <v/>
      </c>
      <c r="P757">
        <f>$C757*P756</f>
        <v/>
      </c>
      <c r="Q757">
        <f>$C757*Q756</f>
        <v/>
      </c>
      <c r="R757">
        <f>$C757*R756</f>
        <v/>
      </c>
      <c r="S757">
        <f>$C757*S756</f>
        <v/>
      </c>
      <c r="T757">
        <f>$C757*T756</f>
        <v/>
      </c>
      <c r="U757">
        <f>$C757*U756</f>
        <v/>
      </c>
      <c r="V757">
        <f>$C757*V756</f>
        <v/>
      </c>
      <c r="W757">
        <f>$C757*W756</f>
        <v/>
      </c>
      <c r="X757">
        <f>$C757*X756</f>
        <v/>
      </c>
      <c r="Y757">
        <f>$C757*Y756</f>
        <v/>
      </c>
      <c r="Z757">
        <f>$C757*Z756</f>
        <v/>
      </c>
      <c r="AA757">
        <f>$C757*AA756</f>
        <v/>
      </c>
      <c r="AB757">
        <f>$C757*AB756</f>
        <v/>
      </c>
      <c r="AC757">
        <f>$C757*AC756</f>
        <v/>
      </c>
      <c r="AD757">
        <f>$C757*AD756</f>
        <v/>
      </c>
      <c r="AE757">
        <f>$C757*AE756</f>
        <v/>
      </c>
      <c r="AF757">
        <f>$C757*AF756</f>
        <v/>
      </c>
      <c r="AG757">
        <f>$C757*AG756</f>
        <v/>
      </c>
      <c r="AH757">
        <f>$C757*AH756</f>
        <v/>
      </c>
      <c r="AI757">
        <f>$C757*AI756</f>
        <v/>
      </c>
      <c r="AJ757">
        <f>$C757*AJ756</f>
        <v/>
      </c>
      <c r="AK757">
        <f>$C757*AK756</f>
        <v/>
      </c>
      <c r="AL757">
        <f>$C757*AL756</f>
        <v/>
      </c>
      <c r="AM757">
        <f>$C757*AM756</f>
        <v/>
      </c>
      <c r="AN757">
        <f>$C757*AN756</f>
        <v/>
      </c>
      <c r="AO757">
        <f>$C757*AO756</f>
        <v/>
      </c>
      <c r="AP757">
        <f>$C757*AP756</f>
        <v/>
      </c>
      <c r="AQ757">
        <f>$C757*AQ756</f>
        <v/>
      </c>
      <c r="AR757">
        <f>$C757*AR756</f>
        <v/>
      </c>
      <c r="AS757">
        <f>$C757*AS756</f>
        <v/>
      </c>
      <c r="AT757">
        <f>$C757*AT756</f>
        <v/>
      </c>
      <c r="AU757">
        <f>$C757*AU756</f>
        <v/>
      </c>
      <c r="AV757">
        <f>$C757*AV756</f>
        <v/>
      </c>
      <c r="AW757">
        <f>$C757*AW756</f>
        <v/>
      </c>
      <c r="AX757">
        <f>$C757*AX756</f>
        <v/>
      </c>
      <c r="AY757">
        <f>$C757*AY756</f>
        <v/>
      </c>
      <c r="AZ757">
        <f>$C757*AZ756</f>
        <v/>
      </c>
      <c r="BA757">
        <f>$C757*BA756</f>
        <v/>
      </c>
      <c r="BB757">
        <f>$C757*BB756</f>
        <v/>
      </c>
      <c r="BC757">
        <f>$C757*BC756</f>
        <v/>
      </c>
      <c r="BD757">
        <f>$C757*BD756</f>
        <v/>
      </c>
      <c r="BE757">
        <f>$C757*BE756</f>
        <v/>
      </c>
      <c r="BF757">
        <f>$C757*BF756</f>
        <v/>
      </c>
      <c r="BG757">
        <f>$C757*BG756</f>
        <v/>
      </c>
      <c r="BH757">
        <f>$C757*BH756</f>
        <v/>
      </c>
      <c r="BI757">
        <f>$C757*BI756</f>
        <v/>
      </c>
      <c r="BJ757">
        <f>$C757*BJ756</f>
        <v/>
      </c>
      <c r="BK757">
        <f>$C757*BK756</f>
        <v/>
      </c>
      <c r="BL757">
        <f>$C757*BL756</f>
        <v/>
      </c>
      <c r="BM757">
        <f>$C757*BM756</f>
        <v/>
      </c>
      <c r="BN757">
        <f>$C757*BN756</f>
        <v/>
      </c>
      <c r="BO757">
        <f>$C757*BO756</f>
        <v/>
      </c>
      <c r="BP757">
        <f>$C757*BP756</f>
        <v/>
      </c>
      <c r="BQ757">
        <f>$C757*BQ756</f>
        <v/>
      </c>
      <c r="BR757">
        <f>$C757*BR756</f>
        <v/>
      </c>
      <c r="BS757">
        <f>$C757*BS756</f>
        <v/>
      </c>
      <c r="BT757">
        <f>$C757*BT756</f>
        <v/>
      </c>
      <c r="BU757">
        <f>$C757*BU756</f>
        <v/>
      </c>
      <c r="BV757">
        <f>$C757*BV756</f>
        <v/>
      </c>
      <c r="BW757">
        <f>$C757*BW756</f>
        <v/>
      </c>
      <c r="BX757">
        <f>$C757*BX756</f>
        <v/>
      </c>
      <c r="BY757">
        <f>$C757*BY756</f>
        <v/>
      </c>
      <c r="BZ757">
        <f>$C757*BZ756</f>
        <v/>
      </c>
      <c r="CA757">
        <f>$C757*CA756</f>
        <v/>
      </c>
      <c r="CB757">
        <f>$C757*CB756</f>
        <v/>
      </c>
      <c r="CC757">
        <f>$C757*CC756</f>
        <v/>
      </c>
      <c r="CD757">
        <f>$C757*CD756</f>
        <v/>
      </c>
      <c r="CE757">
        <f>$C757*CE756</f>
        <v/>
      </c>
      <c r="CF757">
        <f>$C757*CF756</f>
        <v/>
      </c>
      <c r="CG757">
        <f>$C757*CG756</f>
        <v/>
      </c>
      <c r="CH757">
        <f>$C757*CH756</f>
        <v/>
      </c>
      <c r="CI757">
        <f>$C757*CI756</f>
        <v/>
      </c>
      <c r="CJ757">
        <f>$C757*CJ756</f>
        <v/>
      </c>
      <c r="CK757">
        <f>$C757*CK756</f>
        <v/>
      </c>
      <c r="CL757">
        <f>$C757*CL756</f>
        <v/>
      </c>
      <c r="CM757">
        <f>$C757*CM756</f>
        <v/>
      </c>
      <c r="CN757">
        <f>$C757*CN756</f>
        <v/>
      </c>
      <c r="CO757">
        <f>$C757*CO756</f>
        <v/>
      </c>
      <c r="CP757">
        <f>$C757*CP756</f>
        <v/>
      </c>
      <c r="CQ757">
        <f>$C757*CQ756</f>
        <v/>
      </c>
      <c r="CR757">
        <f>$C757*CR756</f>
        <v/>
      </c>
      <c r="CS757">
        <f>$C757*CS756</f>
        <v/>
      </c>
      <c r="CT757">
        <f>$C757*CT756</f>
        <v/>
      </c>
      <c r="CU757">
        <f>$C757*CU756</f>
        <v/>
      </c>
      <c r="CV757">
        <f>$C757*CV756</f>
        <v/>
      </c>
      <c r="CW757">
        <f>$C757*CW756</f>
        <v/>
      </c>
      <c r="CX757">
        <f>$C757*CX756</f>
        <v/>
      </c>
      <c r="CY757">
        <f>$C757*CY756</f>
        <v/>
      </c>
      <c r="CZ757">
        <f>$C757*CZ756</f>
        <v/>
      </c>
      <c r="DA757">
        <f>$C757*DA756</f>
        <v/>
      </c>
      <c r="DB757">
        <f>$C757*DB756</f>
        <v/>
      </c>
      <c r="DC757">
        <f>$C757*DC756</f>
        <v/>
      </c>
    </row>
    <row r="758">
      <c r="B758" t="inlineStr">
        <is>
          <t>TSP-925</t>
        </is>
      </c>
      <c r="C758" t="inlineStr">
        <is>
          <t>No. of batches</t>
        </is>
      </c>
      <c r="D758">
        <f>IFERROR(INDEX(PP_Grid[#Data],$DD758,2),0)</f>
        <v/>
      </c>
      <c r="E758">
        <f>IFERROR(INDEX(PP_Grid[#Data],$DD758,3),0)</f>
        <v/>
      </c>
      <c r="F758">
        <f>IFERROR(INDEX(PP_Grid[#Data],$DD758,4),0)</f>
        <v/>
      </c>
      <c r="G758">
        <f>IFERROR(INDEX(PP_Grid[#Data],$DD758,5),0)</f>
        <v/>
      </c>
      <c r="H758">
        <f>IFERROR(INDEX(PP_Grid[#Data],$DD758,6),0)</f>
        <v/>
      </c>
      <c r="I758">
        <f>IFERROR(INDEX(PP_Grid[#Data],$DD758,7),0)</f>
        <v/>
      </c>
      <c r="J758">
        <f>IFERROR(INDEX(PP_Grid[#Data],$DD758,8),0)</f>
        <v/>
      </c>
      <c r="K758">
        <f>IFERROR(INDEX(PP_Grid[#Data],$DD758,9),0)</f>
        <v/>
      </c>
      <c r="L758">
        <f>IFERROR(INDEX(PP_Grid[#Data],$DD758,10),0)</f>
        <v/>
      </c>
      <c r="M758">
        <f>IFERROR(INDEX(PP_Grid[#Data],$DD758,11),0)</f>
        <v/>
      </c>
      <c r="N758">
        <f>IFERROR(INDEX(PP_Grid[#Data],$DD758,12),0)</f>
        <v/>
      </c>
      <c r="O758">
        <f>IFERROR(INDEX(PP_Grid[#Data],$DD758,13),0)</f>
        <v/>
      </c>
      <c r="P758">
        <f>IFERROR(INDEX(PP_Grid[#Data],$DD758,14),0)</f>
        <v/>
      </c>
      <c r="Q758">
        <f>IFERROR(INDEX(PP_Grid[#Data],$DD758,15),0)</f>
        <v/>
      </c>
      <c r="R758">
        <f>IFERROR(INDEX(PP_Grid[#Data],$DD758,16),0)</f>
        <v/>
      </c>
      <c r="S758">
        <f>IFERROR(INDEX(PP_Grid[#Data],$DD758,17),0)</f>
        <v/>
      </c>
      <c r="T758">
        <f>IFERROR(INDEX(PP_Grid[#Data],$DD758,18),0)</f>
        <v/>
      </c>
      <c r="U758">
        <f>IFERROR(INDEX(PP_Grid[#Data],$DD758,19),0)</f>
        <v/>
      </c>
      <c r="V758">
        <f>IFERROR(INDEX(PP_Grid[#Data],$DD758,20),0)</f>
        <v/>
      </c>
      <c r="W758">
        <f>IFERROR(INDEX(PP_Grid[#Data],$DD758,21),0)</f>
        <v/>
      </c>
      <c r="X758">
        <f>IFERROR(INDEX(PP_Grid[#Data],$DD758,22),0)</f>
        <v/>
      </c>
      <c r="Y758">
        <f>IFERROR(INDEX(PP_Grid[#Data],$DD758,23),0)</f>
        <v/>
      </c>
      <c r="Z758">
        <f>IFERROR(INDEX(PP_Grid[#Data],$DD758,24),0)</f>
        <v/>
      </c>
      <c r="AA758">
        <f>IFERROR(INDEX(PP_Grid[#Data],$DD758,25),0)</f>
        <v/>
      </c>
      <c r="AB758">
        <f>IFERROR(INDEX(PP_Grid[#Data],$DD758,26),0)</f>
        <v/>
      </c>
      <c r="AC758">
        <f>IFERROR(INDEX(PP_Grid[#Data],$DD758,27),0)</f>
        <v/>
      </c>
      <c r="AD758">
        <f>IFERROR(INDEX(PP_Grid[#Data],$DD758,28),0)</f>
        <v/>
      </c>
      <c r="AE758">
        <f>IFERROR(INDEX(PP_Grid[#Data],$DD758,29),0)</f>
        <v/>
      </c>
      <c r="AF758">
        <f>IFERROR(INDEX(PP_Grid[#Data],$DD758,30),0)</f>
        <v/>
      </c>
      <c r="AG758">
        <f>IFERROR(INDEX(PP_Grid[#Data],$DD758,31),0)</f>
        <v/>
      </c>
      <c r="AH758">
        <f>IFERROR(INDEX(PP_Grid[#Data],$DD758,32),0)</f>
        <v/>
      </c>
      <c r="AI758">
        <f>IFERROR(INDEX(PP_Grid[#Data],$DD758,33),0)</f>
        <v/>
      </c>
      <c r="AJ758">
        <f>IFERROR(INDEX(PP_Grid[#Data],$DD758,34),0)</f>
        <v/>
      </c>
      <c r="AK758">
        <f>IFERROR(INDEX(PP_Grid[#Data],$DD758,35),0)</f>
        <v/>
      </c>
      <c r="AL758">
        <f>IFERROR(INDEX(PP_Grid[#Data],$DD758,36),0)</f>
        <v/>
      </c>
      <c r="AM758">
        <f>IFERROR(INDEX(PP_Grid[#Data],$DD758,37),0)</f>
        <v/>
      </c>
      <c r="AN758">
        <f>IFERROR(INDEX(PP_Grid[#Data],$DD758,38),0)</f>
        <v/>
      </c>
      <c r="AO758">
        <f>IFERROR(INDEX(PP_Grid[#Data],$DD758,39),0)</f>
        <v/>
      </c>
      <c r="AP758">
        <f>IFERROR(INDEX(PP_Grid[#Data],$DD758,40),0)</f>
        <v/>
      </c>
      <c r="AQ758">
        <f>IFERROR(INDEX(PP_Grid[#Data],$DD758,41),0)</f>
        <v/>
      </c>
      <c r="AR758">
        <f>IFERROR(INDEX(PP_Grid[#Data],$DD758,42),0)</f>
        <v/>
      </c>
      <c r="AS758">
        <f>IFERROR(INDEX(PP_Grid[#Data],$DD758,43),0)</f>
        <v/>
      </c>
      <c r="AT758">
        <f>IFERROR(INDEX(PP_Grid[#Data],$DD758,44),0)</f>
        <v/>
      </c>
      <c r="AU758">
        <f>IFERROR(INDEX(PP_Grid[#Data],$DD758,45),0)</f>
        <v/>
      </c>
      <c r="AV758">
        <f>IFERROR(INDEX(PP_Grid[#Data],$DD758,46),0)</f>
        <v/>
      </c>
      <c r="AW758">
        <f>IFERROR(INDEX(PP_Grid[#Data],$DD758,47),0)</f>
        <v/>
      </c>
      <c r="AX758">
        <f>IFERROR(INDEX(PP_Grid[#Data],$DD758,48),0)</f>
        <v/>
      </c>
      <c r="AY758">
        <f>IFERROR(INDEX(PP_Grid[#Data],$DD758,49),0)</f>
        <v/>
      </c>
      <c r="AZ758">
        <f>IFERROR(INDEX(PP_Grid[#Data],$DD758,50),0)</f>
        <v/>
      </c>
      <c r="BA758">
        <f>IFERROR(INDEX(PP_Grid[#Data],$DD758,51),0)</f>
        <v/>
      </c>
      <c r="BB758">
        <f>IFERROR(INDEX(PP_Grid[#Data],$DD758,52),0)</f>
        <v/>
      </c>
      <c r="BC758">
        <f>IFERROR(INDEX(PP_Grid[#Data],$DD758,53),0)</f>
        <v/>
      </c>
      <c r="BD758">
        <f>IFERROR(INDEX(PP_Grid[#Data],$DD758,54),0)</f>
        <v/>
      </c>
      <c r="BE758">
        <f>IFERROR(INDEX(PP_Grid[#Data],$DD758,55),0)</f>
        <v/>
      </c>
      <c r="BF758">
        <f>IFERROR(INDEX(PP_Grid[#Data],$DD758,56),0)</f>
        <v/>
      </c>
      <c r="BG758">
        <f>IFERROR(INDEX(PP_Grid[#Data],$DD758,57),0)</f>
        <v/>
      </c>
      <c r="BH758">
        <f>IFERROR(INDEX(PP_Grid[#Data],$DD758,58),0)</f>
        <v/>
      </c>
      <c r="BI758">
        <f>IFERROR(INDEX(PP_Grid[#Data],$DD758,59),0)</f>
        <v/>
      </c>
      <c r="BJ758">
        <f>IFERROR(INDEX(PP_Grid[#Data],$DD758,60),0)</f>
        <v/>
      </c>
      <c r="BK758">
        <f>IFERROR(INDEX(PP_Grid[#Data],$DD758,61),0)</f>
        <v/>
      </c>
      <c r="BL758">
        <f>IFERROR(INDEX(PP_Grid[#Data],$DD758,62),0)</f>
        <v/>
      </c>
      <c r="BM758">
        <f>IFERROR(INDEX(PP_Grid[#Data],$DD758,63),0)</f>
        <v/>
      </c>
      <c r="BN758">
        <f>IFERROR(INDEX(PP_Grid[#Data],$DD758,64),0)</f>
        <v/>
      </c>
      <c r="BO758">
        <f>IFERROR(INDEX(PP_Grid[#Data],$DD758,65),0)</f>
        <v/>
      </c>
      <c r="BP758">
        <f>IFERROR(INDEX(PP_Grid[#Data],$DD758,66),0)</f>
        <v/>
      </c>
      <c r="BQ758">
        <f>IFERROR(INDEX(PP_Grid[#Data],$DD758,67),0)</f>
        <v/>
      </c>
      <c r="BR758">
        <f>IFERROR(INDEX(PP_Grid[#Data],$DD758,68),0)</f>
        <v/>
      </c>
      <c r="BS758">
        <f>IFERROR(INDEX(PP_Grid[#Data],$DD758,69),0)</f>
        <v/>
      </c>
      <c r="BT758">
        <f>IFERROR(INDEX(PP_Grid[#Data],$DD758,70),0)</f>
        <v/>
      </c>
      <c r="BU758">
        <f>IFERROR(INDEX(PP_Grid[#Data],$DD758,71),0)</f>
        <v/>
      </c>
      <c r="BV758">
        <f>IFERROR(INDEX(PP_Grid[#Data],$DD758,72),0)</f>
        <v/>
      </c>
      <c r="BW758">
        <f>IFERROR(INDEX(PP_Grid[#Data],$DD758,73),0)</f>
        <v/>
      </c>
      <c r="BX758">
        <f>IFERROR(INDEX(PP_Grid[#Data],$DD758,74),0)</f>
        <v/>
      </c>
      <c r="BY758">
        <f>IFERROR(INDEX(PP_Grid[#Data],$DD758,75),0)</f>
        <v/>
      </c>
      <c r="BZ758">
        <f>IFERROR(INDEX(PP_Grid[#Data],$DD758,76),0)</f>
        <v/>
      </c>
      <c r="CA758">
        <f>IFERROR(INDEX(PP_Grid[#Data],$DD758,77),0)</f>
        <v/>
      </c>
      <c r="CB758">
        <f>IFERROR(INDEX(PP_Grid[#Data],$DD758,78),0)</f>
        <v/>
      </c>
      <c r="CC758">
        <f>IFERROR(INDEX(PP_Grid[#Data],$DD758,79),0)</f>
        <v/>
      </c>
      <c r="CD758">
        <f>IFERROR(INDEX(PP_Grid[#Data],$DD758,80),0)</f>
        <v/>
      </c>
      <c r="CE758">
        <f>IFERROR(INDEX(PP_Grid[#Data],$DD758,81),0)</f>
        <v/>
      </c>
      <c r="CF758">
        <f>IFERROR(INDEX(PP_Grid[#Data],$DD758,82),0)</f>
        <v/>
      </c>
      <c r="CG758">
        <f>IFERROR(INDEX(PP_Grid[#Data],$DD758,83),0)</f>
        <v/>
      </c>
      <c r="CH758">
        <f>IFERROR(INDEX(PP_Grid[#Data],$DD758,84),0)</f>
        <v/>
      </c>
      <c r="CI758">
        <f>IFERROR(INDEX(PP_Grid[#Data],$DD758,85),0)</f>
        <v/>
      </c>
      <c r="CJ758">
        <f>IFERROR(INDEX(PP_Grid[#Data],$DD758,86),0)</f>
        <v/>
      </c>
      <c r="CK758">
        <f>IFERROR(INDEX(PP_Grid[#Data],$DD758,87),0)</f>
        <v/>
      </c>
      <c r="CL758">
        <f>IFERROR(INDEX(PP_Grid[#Data],$DD758,88),0)</f>
        <v/>
      </c>
      <c r="CM758">
        <f>IFERROR(INDEX(PP_Grid[#Data],$DD758,89),0)</f>
        <v/>
      </c>
      <c r="CN758">
        <f>IFERROR(INDEX(PP_Grid[#Data],$DD758,90),0)</f>
        <v/>
      </c>
      <c r="CO758">
        <f>IFERROR(INDEX(PP_Grid[#Data],$DD758,91),0)</f>
        <v/>
      </c>
      <c r="CP758">
        <f>IFERROR(INDEX(PP_Grid[#Data],$DD758,92),0)</f>
        <v/>
      </c>
      <c r="CQ758">
        <f>IFERROR(INDEX(PP_Grid[#Data],$DD758,93),0)</f>
        <v/>
      </c>
      <c r="CR758">
        <f>IFERROR(INDEX(PP_Grid[#Data],$DD758,94),0)</f>
        <v/>
      </c>
      <c r="CS758">
        <f>IFERROR(INDEX(PP_Grid[#Data],$DD758,95),0)</f>
        <v/>
      </c>
      <c r="CT758">
        <f>IFERROR(INDEX(PP_Grid[#Data],$DD758,96),0)</f>
        <v/>
      </c>
      <c r="CU758">
        <f>IFERROR(INDEX(PP_Grid[#Data],$DD758,97),0)</f>
        <v/>
      </c>
      <c r="CV758">
        <f>IFERROR(INDEX(PP_Grid[#Data],$DD758,98),0)</f>
        <v/>
      </c>
      <c r="CW758">
        <f>IFERROR(INDEX(PP_Grid[#Data],$DD758,99),0)</f>
        <v/>
      </c>
      <c r="CX758">
        <f>IFERROR(INDEX(PP_Grid[#Data],$DD758,100),0)</f>
        <v/>
      </c>
      <c r="CY758">
        <f>IFERROR(INDEX(PP_Grid[#Data],$DD758,101),0)</f>
        <v/>
      </c>
      <c r="CZ758">
        <f>IFERROR(INDEX(PP_Grid[#Data],$DD758,102),0)</f>
        <v/>
      </c>
      <c r="DA758">
        <f>IFERROR(INDEX(PP_Grid[#Data],$DD758,103),0)</f>
        <v/>
      </c>
      <c r="DB758">
        <f>IFERROR(INDEX(PP_Grid[#Data],$DD758,104),0)</f>
        <v/>
      </c>
      <c r="DC758">
        <f>IFERROR(INDEX(PP_Grid[#Data],$DD758,105),0)</f>
        <v/>
      </c>
      <c r="DD758" s="12">
        <f>IFERROR(MATCH($B758,PP_Grid[Intermediate],0),99999)</f>
        <v/>
      </c>
    </row>
    <row r="759">
      <c r="B759" t="inlineStr">
        <is>
          <t>使用量(kg)</t>
        </is>
      </c>
      <c r="C759">
        <f>SUMIFS(M_BOM[RM_Qty_Per_Batch],M_BOM[Intermediate],$B758,M_BOM[Part Name],$A669)</f>
        <v/>
      </c>
      <c r="D759">
        <f>$C759*D758</f>
        <v/>
      </c>
      <c r="E759">
        <f>$C759*E758</f>
        <v/>
      </c>
      <c r="F759">
        <f>$C759*F758</f>
        <v/>
      </c>
      <c r="G759">
        <f>$C759*G758</f>
        <v/>
      </c>
      <c r="H759">
        <f>$C759*H758</f>
        <v/>
      </c>
      <c r="I759">
        <f>$C759*I758</f>
        <v/>
      </c>
      <c r="J759">
        <f>$C759*J758</f>
        <v/>
      </c>
      <c r="K759">
        <f>$C759*K758</f>
        <v/>
      </c>
      <c r="L759">
        <f>$C759*L758</f>
        <v/>
      </c>
      <c r="M759">
        <f>$C759*M758</f>
        <v/>
      </c>
      <c r="N759">
        <f>$C759*N758</f>
        <v/>
      </c>
      <c r="O759">
        <f>$C759*O758</f>
        <v/>
      </c>
      <c r="P759">
        <f>$C759*P758</f>
        <v/>
      </c>
      <c r="Q759">
        <f>$C759*Q758</f>
        <v/>
      </c>
      <c r="R759">
        <f>$C759*R758</f>
        <v/>
      </c>
      <c r="S759">
        <f>$C759*S758</f>
        <v/>
      </c>
      <c r="T759">
        <f>$C759*T758</f>
        <v/>
      </c>
      <c r="U759">
        <f>$C759*U758</f>
        <v/>
      </c>
      <c r="V759">
        <f>$C759*V758</f>
        <v/>
      </c>
      <c r="W759">
        <f>$C759*W758</f>
        <v/>
      </c>
      <c r="X759">
        <f>$C759*X758</f>
        <v/>
      </c>
      <c r="Y759">
        <f>$C759*Y758</f>
        <v/>
      </c>
      <c r="Z759">
        <f>$C759*Z758</f>
        <v/>
      </c>
      <c r="AA759">
        <f>$C759*AA758</f>
        <v/>
      </c>
      <c r="AB759">
        <f>$C759*AB758</f>
        <v/>
      </c>
      <c r="AC759">
        <f>$C759*AC758</f>
        <v/>
      </c>
      <c r="AD759">
        <f>$C759*AD758</f>
        <v/>
      </c>
      <c r="AE759">
        <f>$C759*AE758</f>
        <v/>
      </c>
      <c r="AF759">
        <f>$C759*AF758</f>
        <v/>
      </c>
      <c r="AG759">
        <f>$C759*AG758</f>
        <v/>
      </c>
      <c r="AH759">
        <f>$C759*AH758</f>
        <v/>
      </c>
      <c r="AI759">
        <f>$C759*AI758</f>
        <v/>
      </c>
      <c r="AJ759">
        <f>$C759*AJ758</f>
        <v/>
      </c>
      <c r="AK759">
        <f>$C759*AK758</f>
        <v/>
      </c>
      <c r="AL759">
        <f>$C759*AL758</f>
        <v/>
      </c>
      <c r="AM759">
        <f>$C759*AM758</f>
        <v/>
      </c>
      <c r="AN759">
        <f>$C759*AN758</f>
        <v/>
      </c>
      <c r="AO759">
        <f>$C759*AO758</f>
        <v/>
      </c>
      <c r="AP759">
        <f>$C759*AP758</f>
        <v/>
      </c>
      <c r="AQ759">
        <f>$C759*AQ758</f>
        <v/>
      </c>
      <c r="AR759">
        <f>$C759*AR758</f>
        <v/>
      </c>
      <c r="AS759">
        <f>$C759*AS758</f>
        <v/>
      </c>
      <c r="AT759">
        <f>$C759*AT758</f>
        <v/>
      </c>
      <c r="AU759">
        <f>$C759*AU758</f>
        <v/>
      </c>
      <c r="AV759">
        <f>$C759*AV758</f>
        <v/>
      </c>
      <c r="AW759">
        <f>$C759*AW758</f>
        <v/>
      </c>
      <c r="AX759">
        <f>$C759*AX758</f>
        <v/>
      </c>
      <c r="AY759">
        <f>$C759*AY758</f>
        <v/>
      </c>
      <c r="AZ759">
        <f>$C759*AZ758</f>
        <v/>
      </c>
      <c r="BA759">
        <f>$C759*BA758</f>
        <v/>
      </c>
      <c r="BB759">
        <f>$C759*BB758</f>
        <v/>
      </c>
      <c r="BC759">
        <f>$C759*BC758</f>
        <v/>
      </c>
      <c r="BD759">
        <f>$C759*BD758</f>
        <v/>
      </c>
      <c r="BE759">
        <f>$C759*BE758</f>
        <v/>
      </c>
      <c r="BF759">
        <f>$C759*BF758</f>
        <v/>
      </c>
      <c r="BG759">
        <f>$C759*BG758</f>
        <v/>
      </c>
      <c r="BH759">
        <f>$C759*BH758</f>
        <v/>
      </c>
      <c r="BI759">
        <f>$C759*BI758</f>
        <v/>
      </c>
      <c r="BJ759">
        <f>$C759*BJ758</f>
        <v/>
      </c>
      <c r="BK759">
        <f>$C759*BK758</f>
        <v/>
      </c>
      <c r="BL759">
        <f>$C759*BL758</f>
        <v/>
      </c>
      <c r="BM759">
        <f>$C759*BM758</f>
        <v/>
      </c>
      <c r="BN759">
        <f>$C759*BN758</f>
        <v/>
      </c>
      <c r="BO759">
        <f>$C759*BO758</f>
        <v/>
      </c>
      <c r="BP759">
        <f>$C759*BP758</f>
        <v/>
      </c>
      <c r="BQ759">
        <f>$C759*BQ758</f>
        <v/>
      </c>
      <c r="BR759">
        <f>$C759*BR758</f>
        <v/>
      </c>
      <c r="BS759">
        <f>$C759*BS758</f>
        <v/>
      </c>
      <c r="BT759">
        <f>$C759*BT758</f>
        <v/>
      </c>
      <c r="BU759">
        <f>$C759*BU758</f>
        <v/>
      </c>
      <c r="BV759">
        <f>$C759*BV758</f>
        <v/>
      </c>
      <c r="BW759">
        <f>$C759*BW758</f>
        <v/>
      </c>
      <c r="BX759">
        <f>$C759*BX758</f>
        <v/>
      </c>
      <c r="BY759">
        <f>$C759*BY758</f>
        <v/>
      </c>
      <c r="BZ759">
        <f>$C759*BZ758</f>
        <v/>
      </c>
      <c r="CA759">
        <f>$C759*CA758</f>
        <v/>
      </c>
      <c r="CB759">
        <f>$C759*CB758</f>
        <v/>
      </c>
      <c r="CC759">
        <f>$C759*CC758</f>
        <v/>
      </c>
      <c r="CD759">
        <f>$C759*CD758</f>
        <v/>
      </c>
      <c r="CE759">
        <f>$C759*CE758</f>
        <v/>
      </c>
      <c r="CF759">
        <f>$C759*CF758</f>
        <v/>
      </c>
      <c r="CG759">
        <f>$C759*CG758</f>
        <v/>
      </c>
      <c r="CH759">
        <f>$C759*CH758</f>
        <v/>
      </c>
      <c r="CI759">
        <f>$C759*CI758</f>
        <v/>
      </c>
      <c r="CJ759">
        <f>$C759*CJ758</f>
        <v/>
      </c>
      <c r="CK759">
        <f>$C759*CK758</f>
        <v/>
      </c>
      <c r="CL759">
        <f>$C759*CL758</f>
        <v/>
      </c>
      <c r="CM759">
        <f>$C759*CM758</f>
        <v/>
      </c>
      <c r="CN759">
        <f>$C759*CN758</f>
        <v/>
      </c>
      <c r="CO759">
        <f>$C759*CO758</f>
        <v/>
      </c>
      <c r="CP759">
        <f>$C759*CP758</f>
        <v/>
      </c>
      <c r="CQ759">
        <f>$C759*CQ758</f>
        <v/>
      </c>
      <c r="CR759">
        <f>$C759*CR758</f>
        <v/>
      </c>
      <c r="CS759">
        <f>$C759*CS758</f>
        <v/>
      </c>
      <c r="CT759">
        <f>$C759*CT758</f>
        <v/>
      </c>
      <c r="CU759">
        <f>$C759*CU758</f>
        <v/>
      </c>
      <c r="CV759">
        <f>$C759*CV758</f>
        <v/>
      </c>
      <c r="CW759">
        <f>$C759*CW758</f>
        <v/>
      </c>
      <c r="CX759">
        <f>$C759*CX758</f>
        <v/>
      </c>
      <c r="CY759">
        <f>$C759*CY758</f>
        <v/>
      </c>
      <c r="CZ759">
        <f>$C759*CZ758</f>
        <v/>
      </c>
      <c r="DA759">
        <f>$C759*DA758</f>
        <v/>
      </c>
      <c r="DB759">
        <f>$C759*DB758</f>
        <v/>
      </c>
      <c r="DC759">
        <f>$C759*DC758</f>
        <v/>
      </c>
    </row>
    <row r="760">
      <c r="B760" t="inlineStr">
        <is>
          <t>TSP-927</t>
        </is>
      </c>
      <c r="C760" t="inlineStr">
        <is>
          <t>No. of batches</t>
        </is>
      </c>
      <c r="D760">
        <f>IFERROR(INDEX(PP_Grid[#Data],$DD760,2),0)</f>
        <v/>
      </c>
      <c r="E760">
        <f>IFERROR(INDEX(PP_Grid[#Data],$DD760,3),0)</f>
        <v/>
      </c>
      <c r="F760">
        <f>IFERROR(INDEX(PP_Grid[#Data],$DD760,4),0)</f>
        <v/>
      </c>
      <c r="G760">
        <f>IFERROR(INDEX(PP_Grid[#Data],$DD760,5),0)</f>
        <v/>
      </c>
      <c r="H760">
        <f>IFERROR(INDEX(PP_Grid[#Data],$DD760,6),0)</f>
        <v/>
      </c>
      <c r="I760">
        <f>IFERROR(INDEX(PP_Grid[#Data],$DD760,7),0)</f>
        <v/>
      </c>
      <c r="J760">
        <f>IFERROR(INDEX(PP_Grid[#Data],$DD760,8),0)</f>
        <v/>
      </c>
      <c r="K760">
        <f>IFERROR(INDEX(PP_Grid[#Data],$DD760,9),0)</f>
        <v/>
      </c>
      <c r="L760">
        <f>IFERROR(INDEX(PP_Grid[#Data],$DD760,10),0)</f>
        <v/>
      </c>
      <c r="M760">
        <f>IFERROR(INDEX(PP_Grid[#Data],$DD760,11),0)</f>
        <v/>
      </c>
      <c r="N760">
        <f>IFERROR(INDEX(PP_Grid[#Data],$DD760,12),0)</f>
        <v/>
      </c>
      <c r="O760">
        <f>IFERROR(INDEX(PP_Grid[#Data],$DD760,13),0)</f>
        <v/>
      </c>
      <c r="P760">
        <f>IFERROR(INDEX(PP_Grid[#Data],$DD760,14),0)</f>
        <v/>
      </c>
      <c r="Q760">
        <f>IFERROR(INDEX(PP_Grid[#Data],$DD760,15),0)</f>
        <v/>
      </c>
      <c r="R760">
        <f>IFERROR(INDEX(PP_Grid[#Data],$DD760,16),0)</f>
        <v/>
      </c>
      <c r="S760">
        <f>IFERROR(INDEX(PP_Grid[#Data],$DD760,17),0)</f>
        <v/>
      </c>
      <c r="T760">
        <f>IFERROR(INDEX(PP_Grid[#Data],$DD760,18),0)</f>
        <v/>
      </c>
      <c r="U760">
        <f>IFERROR(INDEX(PP_Grid[#Data],$DD760,19),0)</f>
        <v/>
      </c>
      <c r="V760">
        <f>IFERROR(INDEX(PP_Grid[#Data],$DD760,20),0)</f>
        <v/>
      </c>
      <c r="W760">
        <f>IFERROR(INDEX(PP_Grid[#Data],$DD760,21),0)</f>
        <v/>
      </c>
      <c r="X760">
        <f>IFERROR(INDEX(PP_Grid[#Data],$DD760,22),0)</f>
        <v/>
      </c>
      <c r="Y760">
        <f>IFERROR(INDEX(PP_Grid[#Data],$DD760,23),0)</f>
        <v/>
      </c>
      <c r="Z760">
        <f>IFERROR(INDEX(PP_Grid[#Data],$DD760,24),0)</f>
        <v/>
      </c>
      <c r="AA760">
        <f>IFERROR(INDEX(PP_Grid[#Data],$DD760,25),0)</f>
        <v/>
      </c>
      <c r="AB760">
        <f>IFERROR(INDEX(PP_Grid[#Data],$DD760,26),0)</f>
        <v/>
      </c>
      <c r="AC760">
        <f>IFERROR(INDEX(PP_Grid[#Data],$DD760,27),0)</f>
        <v/>
      </c>
      <c r="AD760">
        <f>IFERROR(INDEX(PP_Grid[#Data],$DD760,28),0)</f>
        <v/>
      </c>
      <c r="AE760">
        <f>IFERROR(INDEX(PP_Grid[#Data],$DD760,29),0)</f>
        <v/>
      </c>
      <c r="AF760">
        <f>IFERROR(INDEX(PP_Grid[#Data],$DD760,30),0)</f>
        <v/>
      </c>
      <c r="AG760">
        <f>IFERROR(INDEX(PP_Grid[#Data],$DD760,31),0)</f>
        <v/>
      </c>
      <c r="AH760">
        <f>IFERROR(INDEX(PP_Grid[#Data],$DD760,32),0)</f>
        <v/>
      </c>
      <c r="AI760">
        <f>IFERROR(INDEX(PP_Grid[#Data],$DD760,33),0)</f>
        <v/>
      </c>
      <c r="AJ760">
        <f>IFERROR(INDEX(PP_Grid[#Data],$DD760,34),0)</f>
        <v/>
      </c>
      <c r="AK760">
        <f>IFERROR(INDEX(PP_Grid[#Data],$DD760,35),0)</f>
        <v/>
      </c>
      <c r="AL760">
        <f>IFERROR(INDEX(PP_Grid[#Data],$DD760,36),0)</f>
        <v/>
      </c>
      <c r="AM760">
        <f>IFERROR(INDEX(PP_Grid[#Data],$DD760,37),0)</f>
        <v/>
      </c>
      <c r="AN760">
        <f>IFERROR(INDEX(PP_Grid[#Data],$DD760,38),0)</f>
        <v/>
      </c>
      <c r="AO760">
        <f>IFERROR(INDEX(PP_Grid[#Data],$DD760,39),0)</f>
        <v/>
      </c>
      <c r="AP760">
        <f>IFERROR(INDEX(PP_Grid[#Data],$DD760,40),0)</f>
        <v/>
      </c>
      <c r="AQ760">
        <f>IFERROR(INDEX(PP_Grid[#Data],$DD760,41),0)</f>
        <v/>
      </c>
      <c r="AR760">
        <f>IFERROR(INDEX(PP_Grid[#Data],$DD760,42),0)</f>
        <v/>
      </c>
      <c r="AS760">
        <f>IFERROR(INDEX(PP_Grid[#Data],$DD760,43),0)</f>
        <v/>
      </c>
      <c r="AT760">
        <f>IFERROR(INDEX(PP_Grid[#Data],$DD760,44),0)</f>
        <v/>
      </c>
      <c r="AU760">
        <f>IFERROR(INDEX(PP_Grid[#Data],$DD760,45),0)</f>
        <v/>
      </c>
      <c r="AV760">
        <f>IFERROR(INDEX(PP_Grid[#Data],$DD760,46),0)</f>
        <v/>
      </c>
      <c r="AW760">
        <f>IFERROR(INDEX(PP_Grid[#Data],$DD760,47),0)</f>
        <v/>
      </c>
      <c r="AX760">
        <f>IFERROR(INDEX(PP_Grid[#Data],$DD760,48),0)</f>
        <v/>
      </c>
      <c r="AY760">
        <f>IFERROR(INDEX(PP_Grid[#Data],$DD760,49),0)</f>
        <v/>
      </c>
      <c r="AZ760">
        <f>IFERROR(INDEX(PP_Grid[#Data],$DD760,50),0)</f>
        <v/>
      </c>
      <c r="BA760">
        <f>IFERROR(INDEX(PP_Grid[#Data],$DD760,51),0)</f>
        <v/>
      </c>
      <c r="BB760">
        <f>IFERROR(INDEX(PP_Grid[#Data],$DD760,52),0)</f>
        <v/>
      </c>
      <c r="BC760">
        <f>IFERROR(INDEX(PP_Grid[#Data],$DD760,53),0)</f>
        <v/>
      </c>
      <c r="BD760">
        <f>IFERROR(INDEX(PP_Grid[#Data],$DD760,54),0)</f>
        <v/>
      </c>
      <c r="BE760">
        <f>IFERROR(INDEX(PP_Grid[#Data],$DD760,55),0)</f>
        <v/>
      </c>
      <c r="BF760">
        <f>IFERROR(INDEX(PP_Grid[#Data],$DD760,56),0)</f>
        <v/>
      </c>
      <c r="BG760">
        <f>IFERROR(INDEX(PP_Grid[#Data],$DD760,57),0)</f>
        <v/>
      </c>
      <c r="BH760">
        <f>IFERROR(INDEX(PP_Grid[#Data],$DD760,58),0)</f>
        <v/>
      </c>
      <c r="BI760">
        <f>IFERROR(INDEX(PP_Grid[#Data],$DD760,59),0)</f>
        <v/>
      </c>
      <c r="BJ760">
        <f>IFERROR(INDEX(PP_Grid[#Data],$DD760,60),0)</f>
        <v/>
      </c>
      <c r="BK760">
        <f>IFERROR(INDEX(PP_Grid[#Data],$DD760,61),0)</f>
        <v/>
      </c>
      <c r="BL760">
        <f>IFERROR(INDEX(PP_Grid[#Data],$DD760,62),0)</f>
        <v/>
      </c>
      <c r="BM760">
        <f>IFERROR(INDEX(PP_Grid[#Data],$DD760,63),0)</f>
        <v/>
      </c>
      <c r="BN760">
        <f>IFERROR(INDEX(PP_Grid[#Data],$DD760,64),0)</f>
        <v/>
      </c>
      <c r="BO760">
        <f>IFERROR(INDEX(PP_Grid[#Data],$DD760,65),0)</f>
        <v/>
      </c>
      <c r="BP760">
        <f>IFERROR(INDEX(PP_Grid[#Data],$DD760,66),0)</f>
        <v/>
      </c>
      <c r="BQ760">
        <f>IFERROR(INDEX(PP_Grid[#Data],$DD760,67),0)</f>
        <v/>
      </c>
      <c r="BR760">
        <f>IFERROR(INDEX(PP_Grid[#Data],$DD760,68),0)</f>
        <v/>
      </c>
      <c r="BS760">
        <f>IFERROR(INDEX(PP_Grid[#Data],$DD760,69),0)</f>
        <v/>
      </c>
      <c r="BT760">
        <f>IFERROR(INDEX(PP_Grid[#Data],$DD760,70),0)</f>
        <v/>
      </c>
      <c r="BU760">
        <f>IFERROR(INDEX(PP_Grid[#Data],$DD760,71),0)</f>
        <v/>
      </c>
      <c r="BV760">
        <f>IFERROR(INDEX(PP_Grid[#Data],$DD760,72),0)</f>
        <v/>
      </c>
      <c r="BW760">
        <f>IFERROR(INDEX(PP_Grid[#Data],$DD760,73),0)</f>
        <v/>
      </c>
      <c r="BX760">
        <f>IFERROR(INDEX(PP_Grid[#Data],$DD760,74),0)</f>
        <v/>
      </c>
      <c r="BY760">
        <f>IFERROR(INDEX(PP_Grid[#Data],$DD760,75),0)</f>
        <v/>
      </c>
      <c r="BZ760">
        <f>IFERROR(INDEX(PP_Grid[#Data],$DD760,76),0)</f>
        <v/>
      </c>
      <c r="CA760">
        <f>IFERROR(INDEX(PP_Grid[#Data],$DD760,77),0)</f>
        <v/>
      </c>
      <c r="CB760">
        <f>IFERROR(INDEX(PP_Grid[#Data],$DD760,78),0)</f>
        <v/>
      </c>
      <c r="CC760">
        <f>IFERROR(INDEX(PP_Grid[#Data],$DD760,79),0)</f>
        <v/>
      </c>
      <c r="CD760">
        <f>IFERROR(INDEX(PP_Grid[#Data],$DD760,80),0)</f>
        <v/>
      </c>
      <c r="CE760">
        <f>IFERROR(INDEX(PP_Grid[#Data],$DD760,81),0)</f>
        <v/>
      </c>
      <c r="CF760">
        <f>IFERROR(INDEX(PP_Grid[#Data],$DD760,82),0)</f>
        <v/>
      </c>
      <c r="CG760">
        <f>IFERROR(INDEX(PP_Grid[#Data],$DD760,83),0)</f>
        <v/>
      </c>
      <c r="CH760">
        <f>IFERROR(INDEX(PP_Grid[#Data],$DD760,84),0)</f>
        <v/>
      </c>
      <c r="CI760">
        <f>IFERROR(INDEX(PP_Grid[#Data],$DD760,85),0)</f>
        <v/>
      </c>
      <c r="CJ760">
        <f>IFERROR(INDEX(PP_Grid[#Data],$DD760,86),0)</f>
        <v/>
      </c>
      <c r="CK760">
        <f>IFERROR(INDEX(PP_Grid[#Data],$DD760,87),0)</f>
        <v/>
      </c>
      <c r="CL760">
        <f>IFERROR(INDEX(PP_Grid[#Data],$DD760,88),0)</f>
        <v/>
      </c>
      <c r="CM760">
        <f>IFERROR(INDEX(PP_Grid[#Data],$DD760,89),0)</f>
        <v/>
      </c>
      <c r="CN760">
        <f>IFERROR(INDEX(PP_Grid[#Data],$DD760,90),0)</f>
        <v/>
      </c>
      <c r="CO760">
        <f>IFERROR(INDEX(PP_Grid[#Data],$DD760,91),0)</f>
        <v/>
      </c>
      <c r="CP760">
        <f>IFERROR(INDEX(PP_Grid[#Data],$DD760,92),0)</f>
        <v/>
      </c>
      <c r="CQ760">
        <f>IFERROR(INDEX(PP_Grid[#Data],$DD760,93),0)</f>
        <v/>
      </c>
      <c r="CR760">
        <f>IFERROR(INDEX(PP_Grid[#Data],$DD760,94),0)</f>
        <v/>
      </c>
      <c r="CS760">
        <f>IFERROR(INDEX(PP_Grid[#Data],$DD760,95),0)</f>
        <v/>
      </c>
      <c r="CT760">
        <f>IFERROR(INDEX(PP_Grid[#Data],$DD760,96),0)</f>
        <v/>
      </c>
      <c r="CU760">
        <f>IFERROR(INDEX(PP_Grid[#Data],$DD760,97),0)</f>
        <v/>
      </c>
      <c r="CV760">
        <f>IFERROR(INDEX(PP_Grid[#Data],$DD760,98),0)</f>
        <v/>
      </c>
      <c r="CW760">
        <f>IFERROR(INDEX(PP_Grid[#Data],$DD760,99),0)</f>
        <v/>
      </c>
      <c r="CX760">
        <f>IFERROR(INDEX(PP_Grid[#Data],$DD760,100),0)</f>
        <v/>
      </c>
      <c r="CY760">
        <f>IFERROR(INDEX(PP_Grid[#Data],$DD760,101),0)</f>
        <v/>
      </c>
      <c r="CZ760">
        <f>IFERROR(INDEX(PP_Grid[#Data],$DD760,102),0)</f>
        <v/>
      </c>
      <c r="DA760">
        <f>IFERROR(INDEX(PP_Grid[#Data],$DD760,103),0)</f>
        <v/>
      </c>
      <c r="DB760">
        <f>IFERROR(INDEX(PP_Grid[#Data],$DD760,104),0)</f>
        <v/>
      </c>
      <c r="DC760">
        <f>IFERROR(INDEX(PP_Grid[#Data],$DD760,105),0)</f>
        <v/>
      </c>
      <c r="DD760" s="12">
        <f>IFERROR(MATCH($B760,PP_Grid[Intermediate],0),99999)</f>
        <v/>
      </c>
    </row>
    <row r="761">
      <c r="B761" t="inlineStr">
        <is>
          <t>使用量(kg)</t>
        </is>
      </c>
      <c r="C761">
        <f>SUMIFS(M_BOM[RM_Qty_Per_Batch],M_BOM[Intermediate],$B760,M_BOM[Part Name],$A669)</f>
        <v/>
      </c>
      <c r="D761">
        <f>$C761*D760</f>
        <v/>
      </c>
      <c r="E761">
        <f>$C761*E760</f>
        <v/>
      </c>
      <c r="F761">
        <f>$C761*F760</f>
        <v/>
      </c>
      <c r="G761">
        <f>$C761*G760</f>
        <v/>
      </c>
      <c r="H761">
        <f>$C761*H760</f>
        <v/>
      </c>
      <c r="I761">
        <f>$C761*I760</f>
        <v/>
      </c>
      <c r="J761">
        <f>$C761*J760</f>
        <v/>
      </c>
      <c r="K761">
        <f>$C761*K760</f>
        <v/>
      </c>
      <c r="L761">
        <f>$C761*L760</f>
        <v/>
      </c>
      <c r="M761">
        <f>$C761*M760</f>
        <v/>
      </c>
      <c r="N761">
        <f>$C761*N760</f>
        <v/>
      </c>
      <c r="O761">
        <f>$C761*O760</f>
        <v/>
      </c>
      <c r="P761">
        <f>$C761*P760</f>
        <v/>
      </c>
      <c r="Q761">
        <f>$C761*Q760</f>
        <v/>
      </c>
      <c r="R761">
        <f>$C761*R760</f>
        <v/>
      </c>
      <c r="S761">
        <f>$C761*S760</f>
        <v/>
      </c>
      <c r="T761">
        <f>$C761*T760</f>
        <v/>
      </c>
      <c r="U761">
        <f>$C761*U760</f>
        <v/>
      </c>
      <c r="V761">
        <f>$C761*V760</f>
        <v/>
      </c>
      <c r="W761">
        <f>$C761*W760</f>
        <v/>
      </c>
      <c r="X761">
        <f>$C761*X760</f>
        <v/>
      </c>
      <c r="Y761">
        <f>$C761*Y760</f>
        <v/>
      </c>
      <c r="Z761">
        <f>$C761*Z760</f>
        <v/>
      </c>
      <c r="AA761">
        <f>$C761*AA760</f>
        <v/>
      </c>
      <c r="AB761">
        <f>$C761*AB760</f>
        <v/>
      </c>
      <c r="AC761">
        <f>$C761*AC760</f>
        <v/>
      </c>
      <c r="AD761">
        <f>$C761*AD760</f>
        <v/>
      </c>
      <c r="AE761">
        <f>$C761*AE760</f>
        <v/>
      </c>
      <c r="AF761">
        <f>$C761*AF760</f>
        <v/>
      </c>
      <c r="AG761">
        <f>$C761*AG760</f>
        <v/>
      </c>
      <c r="AH761">
        <f>$C761*AH760</f>
        <v/>
      </c>
      <c r="AI761">
        <f>$C761*AI760</f>
        <v/>
      </c>
      <c r="AJ761">
        <f>$C761*AJ760</f>
        <v/>
      </c>
      <c r="AK761">
        <f>$C761*AK760</f>
        <v/>
      </c>
      <c r="AL761">
        <f>$C761*AL760</f>
        <v/>
      </c>
      <c r="AM761">
        <f>$C761*AM760</f>
        <v/>
      </c>
      <c r="AN761">
        <f>$C761*AN760</f>
        <v/>
      </c>
      <c r="AO761">
        <f>$C761*AO760</f>
        <v/>
      </c>
      <c r="AP761">
        <f>$C761*AP760</f>
        <v/>
      </c>
      <c r="AQ761">
        <f>$C761*AQ760</f>
        <v/>
      </c>
      <c r="AR761">
        <f>$C761*AR760</f>
        <v/>
      </c>
      <c r="AS761">
        <f>$C761*AS760</f>
        <v/>
      </c>
      <c r="AT761">
        <f>$C761*AT760</f>
        <v/>
      </c>
      <c r="AU761">
        <f>$C761*AU760</f>
        <v/>
      </c>
      <c r="AV761">
        <f>$C761*AV760</f>
        <v/>
      </c>
      <c r="AW761">
        <f>$C761*AW760</f>
        <v/>
      </c>
      <c r="AX761">
        <f>$C761*AX760</f>
        <v/>
      </c>
      <c r="AY761">
        <f>$C761*AY760</f>
        <v/>
      </c>
      <c r="AZ761">
        <f>$C761*AZ760</f>
        <v/>
      </c>
      <c r="BA761">
        <f>$C761*BA760</f>
        <v/>
      </c>
      <c r="BB761">
        <f>$C761*BB760</f>
        <v/>
      </c>
      <c r="BC761">
        <f>$C761*BC760</f>
        <v/>
      </c>
      <c r="BD761">
        <f>$C761*BD760</f>
        <v/>
      </c>
      <c r="BE761">
        <f>$C761*BE760</f>
        <v/>
      </c>
      <c r="BF761">
        <f>$C761*BF760</f>
        <v/>
      </c>
      <c r="BG761">
        <f>$C761*BG760</f>
        <v/>
      </c>
      <c r="BH761">
        <f>$C761*BH760</f>
        <v/>
      </c>
      <c r="BI761">
        <f>$C761*BI760</f>
        <v/>
      </c>
      <c r="BJ761">
        <f>$C761*BJ760</f>
        <v/>
      </c>
      <c r="BK761">
        <f>$C761*BK760</f>
        <v/>
      </c>
      <c r="BL761">
        <f>$C761*BL760</f>
        <v/>
      </c>
      <c r="BM761">
        <f>$C761*BM760</f>
        <v/>
      </c>
      <c r="BN761">
        <f>$C761*BN760</f>
        <v/>
      </c>
      <c r="BO761">
        <f>$C761*BO760</f>
        <v/>
      </c>
      <c r="BP761">
        <f>$C761*BP760</f>
        <v/>
      </c>
      <c r="BQ761">
        <f>$C761*BQ760</f>
        <v/>
      </c>
      <c r="BR761">
        <f>$C761*BR760</f>
        <v/>
      </c>
      <c r="BS761">
        <f>$C761*BS760</f>
        <v/>
      </c>
      <c r="BT761">
        <f>$C761*BT760</f>
        <v/>
      </c>
      <c r="BU761">
        <f>$C761*BU760</f>
        <v/>
      </c>
      <c r="BV761">
        <f>$C761*BV760</f>
        <v/>
      </c>
      <c r="BW761">
        <f>$C761*BW760</f>
        <v/>
      </c>
      <c r="BX761">
        <f>$C761*BX760</f>
        <v/>
      </c>
      <c r="BY761">
        <f>$C761*BY760</f>
        <v/>
      </c>
      <c r="BZ761">
        <f>$C761*BZ760</f>
        <v/>
      </c>
      <c r="CA761">
        <f>$C761*CA760</f>
        <v/>
      </c>
      <c r="CB761">
        <f>$C761*CB760</f>
        <v/>
      </c>
      <c r="CC761">
        <f>$C761*CC760</f>
        <v/>
      </c>
      <c r="CD761">
        <f>$C761*CD760</f>
        <v/>
      </c>
      <c r="CE761">
        <f>$C761*CE760</f>
        <v/>
      </c>
      <c r="CF761">
        <f>$C761*CF760</f>
        <v/>
      </c>
      <c r="CG761">
        <f>$C761*CG760</f>
        <v/>
      </c>
      <c r="CH761">
        <f>$C761*CH760</f>
        <v/>
      </c>
      <c r="CI761">
        <f>$C761*CI760</f>
        <v/>
      </c>
      <c r="CJ761">
        <f>$C761*CJ760</f>
        <v/>
      </c>
      <c r="CK761">
        <f>$C761*CK760</f>
        <v/>
      </c>
      <c r="CL761">
        <f>$C761*CL760</f>
        <v/>
      </c>
      <c r="CM761">
        <f>$C761*CM760</f>
        <v/>
      </c>
      <c r="CN761">
        <f>$C761*CN760</f>
        <v/>
      </c>
      <c r="CO761">
        <f>$C761*CO760</f>
        <v/>
      </c>
      <c r="CP761">
        <f>$C761*CP760</f>
        <v/>
      </c>
      <c r="CQ761">
        <f>$C761*CQ760</f>
        <v/>
      </c>
      <c r="CR761">
        <f>$C761*CR760</f>
        <v/>
      </c>
      <c r="CS761">
        <f>$C761*CS760</f>
        <v/>
      </c>
      <c r="CT761">
        <f>$C761*CT760</f>
        <v/>
      </c>
      <c r="CU761">
        <f>$C761*CU760</f>
        <v/>
      </c>
      <c r="CV761">
        <f>$C761*CV760</f>
        <v/>
      </c>
      <c r="CW761">
        <f>$C761*CW760</f>
        <v/>
      </c>
      <c r="CX761">
        <f>$C761*CX760</f>
        <v/>
      </c>
      <c r="CY761">
        <f>$C761*CY760</f>
        <v/>
      </c>
      <c r="CZ761">
        <f>$C761*CZ760</f>
        <v/>
      </c>
      <c r="DA761">
        <f>$C761*DA760</f>
        <v/>
      </c>
      <c r="DB761">
        <f>$C761*DB760</f>
        <v/>
      </c>
      <c r="DC761">
        <f>$C761*DC760</f>
        <v/>
      </c>
    </row>
    <row r="762">
      <c r="B762" t="inlineStr">
        <is>
          <t>TSP-928</t>
        </is>
      </c>
      <c r="C762" t="inlineStr">
        <is>
          <t>No. of batches</t>
        </is>
      </c>
      <c r="D762">
        <f>IFERROR(INDEX(PP_Grid[#Data],$DD762,2),0)</f>
        <v/>
      </c>
      <c r="E762">
        <f>IFERROR(INDEX(PP_Grid[#Data],$DD762,3),0)</f>
        <v/>
      </c>
      <c r="F762">
        <f>IFERROR(INDEX(PP_Grid[#Data],$DD762,4),0)</f>
        <v/>
      </c>
      <c r="G762">
        <f>IFERROR(INDEX(PP_Grid[#Data],$DD762,5),0)</f>
        <v/>
      </c>
      <c r="H762">
        <f>IFERROR(INDEX(PP_Grid[#Data],$DD762,6),0)</f>
        <v/>
      </c>
      <c r="I762">
        <f>IFERROR(INDEX(PP_Grid[#Data],$DD762,7),0)</f>
        <v/>
      </c>
      <c r="J762">
        <f>IFERROR(INDEX(PP_Grid[#Data],$DD762,8),0)</f>
        <v/>
      </c>
      <c r="K762">
        <f>IFERROR(INDEX(PP_Grid[#Data],$DD762,9),0)</f>
        <v/>
      </c>
      <c r="L762">
        <f>IFERROR(INDEX(PP_Grid[#Data],$DD762,10),0)</f>
        <v/>
      </c>
      <c r="M762">
        <f>IFERROR(INDEX(PP_Grid[#Data],$DD762,11),0)</f>
        <v/>
      </c>
      <c r="N762">
        <f>IFERROR(INDEX(PP_Grid[#Data],$DD762,12),0)</f>
        <v/>
      </c>
      <c r="O762">
        <f>IFERROR(INDEX(PP_Grid[#Data],$DD762,13),0)</f>
        <v/>
      </c>
      <c r="P762">
        <f>IFERROR(INDEX(PP_Grid[#Data],$DD762,14),0)</f>
        <v/>
      </c>
      <c r="Q762">
        <f>IFERROR(INDEX(PP_Grid[#Data],$DD762,15),0)</f>
        <v/>
      </c>
      <c r="R762">
        <f>IFERROR(INDEX(PP_Grid[#Data],$DD762,16),0)</f>
        <v/>
      </c>
      <c r="S762">
        <f>IFERROR(INDEX(PP_Grid[#Data],$DD762,17),0)</f>
        <v/>
      </c>
      <c r="T762">
        <f>IFERROR(INDEX(PP_Grid[#Data],$DD762,18),0)</f>
        <v/>
      </c>
      <c r="U762">
        <f>IFERROR(INDEX(PP_Grid[#Data],$DD762,19),0)</f>
        <v/>
      </c>
      <c r="V762">
        <f>IFERROR(INDEX(PP_Grid[#Data],$DD762,20),0)</f>
        <v/>
      </c>
      <c r="W762">
        <f>IFERROR(INDEX(PP_Grid[#Data],$DD762,21),0)</f>
        <v/>
      </c>
      <c r="X762">
        <f>IFERROR(INDEX(PP_Grid[#Data],$DD762,22),0)</f>
        <v/>
      </c>
      <c r="Y762">
        <f>IFERROR(INDEX(PP_Grid[#Data],$DD762,23),0)</f>
        <v/>
      </c>
      <c r="Z762">
        <f>IFERROR(INDEX(PP_Grid[#Data],$DD762,24),0)</f>
        <v/>
      </c>
      <c r="AA762">
        <f>IFERROR(INDEX(PP_Grid[#Data],$DD762,25),0)</f>
        <v/>
      </c>
      <c r="AB762">
        <f>IFERROR(INDEX(PP_Grid[#Data],$DD762,26),0)</f>
        <v/>
      </c>
      <c r="AC762">
        <f>IFERROR(INDEX(PP_Grid[#Data],$DD762,27),0)</f>
        <v/>
      </c>
      <c r="AD762">
        <f>IFERROR(INDEX(PP_Grid[#Data],$DD762,28),0)</f>
        <v/>
      </c>
      <c r="AE762">
        <f>IFERROR(INDEX(PP_Grid[#Data],$DD762,29),0)</f>
        <v/>
      </c>
      <c r="AF762">
        <f>IFERROR(INDEX(PP_Grid[#Data],$DD762,30),0)</f>
        <v/>
      </c>
      <c r="AG762">
        <f>IFERROR(INDEX(PP_Grid[#Data],$DD762,31),0)</f>
        <v/>
      </c>
      <c r="AH762">
        <f>IFERROR(INDEX(PP_Grid[#Data],$DD762,32),0)</f>
        <v/>
      </c>
      <c r="AI762">
        <f>IFERROR(INDEX(PP_Grid[#Data],$DD762,33),0)</f>
        <v/>
      </c>
      <c r="AJ762">
        <f>IFERROR(INDEX(PP_Grid[#Data],$DD762,34),0)</f>
        <v/>
      </c>
      <c r="AK762">
        <f>IFERROR(INDEX(PP_Grid[#Data],$DD762,35),0)</f>
        <v/>
      </c>
      <c r="AL762">
        <f>IFERROR(INDEX(PP_Grid[#Data],$DD762,36),0)</f>
        <v/>
      </c>
      <c r="AM762">
        <f>IFERROR(INDEX(PP_Grid[#Data],$DD762,37),0)</f>
        <v/>
      </c>
      <c r="AN762">
        <f>IFERROR(INDEX(PP_Grid[#Data],$DD762,38),0)</f>
        <v/>
      </c>
      <c r="AO762">
        <f>IFERROR(INDEX(PP_Grid[#Data],$DD762,39),0)</f>
        <v/>
      </c>
      <c r="AP762">
        <f>IFERROR(INDEX(PP_Grid[#Data],$DD762,40),0)</f>
        <v/>
      </c>
      <c r="AQ762">
        <f>IFERROR(INDEX(PP_Grid[#Data],$DD762,41),0)</f>
        <v/>
      </c>
      <c r="AR762">
        <f>IFERROR(INDEX(PP_Grid[#Data],$DD762,42),0)</f>
        <v/>
      </c>
      <c r="AS762">
        <f>IFERROR(INDEX(PP_Grid[#Data],$DD762,43),0)</f>
        <v/>
      </c>
      <c r="AT762">
        <f>IFERROR(INDEX(PP_Grid[#Data],$DD762,44),0)</f>
        <v/>
      </c>
      <c r="AU762">
        <f>IFERROR(INDEX(PP_Grid[#Data],$DD762,45),0)</f>
        <v/>
      </c>
      <c r="AV762">
        <f>IFERROR(INDEX(PP_Grid[#Data],$DD762,46),0)</f>
        <v/>
      </c>
      <c r="AW762">
        <f>IFERROR(INDEX(PP_Grid[#Data],$DD762,47),0)</f>
        <v/>
      </c>
      <c r="AX762">
        <f>IFERROR(INDEX(PP_Grid[#Data],$DD762,48),0)</f>
        <v/>
      </c>
      <c r="AY762">
        <f>IFERROR(INDEX(PP_Grid[#Data],$DD762,49),0)</f>
        <v/>
      </c>
      <c r="AZ762">
        <f>IFERROR(INDEX(PP_Grid[#Data],$DD762,50),0)</f>
        <v/>
      </c>
      <c r="BA762">
        <f>IFERROR(INDEX(PP_Grid[#Data],$DD762,51),0)</f>
        <v/>
      </c>
      <c r="BB762">
        <f>IFERROR(INDEX(PP_Grid[#Data],$DD762,52),0)</f>
        <v/>
      </c>
      <c r="BC762">
        <f>IFERROR(INDEX(PP_Grid[#Data],$DD762,53),0)</f>
        <v/>
      </c>
      <c r="BD762">
        <f>IFERROR(INDEX(PP_Grid[#Data],$DD762,54),0)</f>
        <v/>
      </c>
      <c r="BE762">
        <f>IFERROR(INDEX(PP_Grid[#Data],$DD762,55),0)</f>
        <v/>
      </c>
      <c r="BF762">
        <f>IFERROR(INDEX(PP_Grid[#Data],$DD762,56),0)</f>
        <v/>
      </c>
      <c r="BG762">
        <f>IFERROR(INDEX(PP_Grid[#Data],$DD762,57),0)</f>
        <v/>
      </c>
      <c r="BH762">
        <f>IFERROR(INDEX(PP_Grid[#Data],$DD762,58),0)</f>
        <v/>
      </c>
      <c r="BI762">
        <f>IFERROR(INDEX(PP_Grid[#Data],$DD762,59),0)</f>
        <v/>
      </c>
      <c r="BJ762">
        <f>IFERROR(INDEX(PP_Grid[#Data],$DD762,60),0)</f>
        <v/>
      </c>
      <c r="BK762">
        <f>IFERROR(INDEX(PP_Grid[#Data],$DD762,61),0)</f>
        <v/>
      </c>
      <c r="BL762">
        <f>IFERROR(INDEX(PP_Grid[#Data],$DD762,62),0)</f>
        <v/>
      </c>
      <c r="BM762">
        <f>IFERROR(INDEX(PP_Grid[#Data],$DD762,63),0)</f>
        <v/>
      </c>
      <c r="BN762">
        <f>IFERROR(INDEX(PP_Grid[#Data],$DD762,64),0)</f>
        <v/>
      </c>
      <c r="BO762">
        <f>IFERROR(INDEX(PP_Grid[#Data],$DD762,65),0)</f>
        <v/>
      </c>
      <c r="BP762">
        <f>IFERROR(INDEX(PP_Grid[#Data],$DD762,66),0)</f>
        <v/>
      </c>
      <c r="BQ762">
        <f>IFERROR(INDEX(PP_Grid[#Data],$DD762,67),0)</f>
        <v/>
      </c>
      <c r="BR762">
        <f>IFERROR(INDEX(PP_Grid[#Data],$DD762,68),0)</f>
        <v/>
      </c>
      <c r="BS762">
        <f>IFERROR(INDEX(PP_Grid[#Data],$DD762,69),0)</f>
        <v/>
      </c>
      <c r="BT762">
        <f>IFERROR(INDEX(PP_Grid[#Data],$DD762,70),0)</f>
        <v/>
      </c>
      <c r="BU762">
        <f>IFERROR(INDEX(PP_Grid[#Data],$DD762,71),0)</f>
        <v/>
      </c>
      <c r="BV762">
        <f>IFERROR(INDEX(PP_Grid[#Data],$DD762,72),0)</f>
        <v/>
      </c>
      <c r="BW762">
        <f>IFERROR(INDEX(PP_Grid[#Data],$DD762,73),0)</f>
        <v/>
      </c>
      <c r="BX762">
        <f>IFERROR(INDEX(PP_Grid[#Data],$DD762,74),0)</f>
        <v/>
      </c>
      <c r="BY762">
        <f>IFERROR(INDEX(PP_Grid[#Data],$DD762,75),0)</f>
        <v/>
      </c>
      <c r="BZ762">
        <f>IFERROR(INDEX(PP_Grid[#Data],$DD762,76),0)</f>
        <v/>
      </c>
      <c r="CA762">
        <f>IFERROR(INDEX(PP_Grid[#Data],$DD762,77),0)</f>
        <v/>
      </c>
      <c r="CB762">
        <f>IFERROR(INDEX(PP_Grid[#Data],$DD762,78),0)</f>
        <v/>
      </c>
      <c r="CC762">
        <f>IFERROR(INDEX(PP_Grid[#Data],$DD762,79),0)</f>
        <v/>
      </c>
      <c r="CD762">
        <f>IFERROR(INDEX(PP_Grid[#Data],$DD762,80),0)</f>
        <v/>
      </c>
      <c r="CE762">
        <f>IFERROR(INDEX(PP_Grid[#Data],$DD762,81),0)</f>
        <v/>
      </c>
      <c r="CF762">
        <f>IFERROR(INDEX(PP_Grid[#Data],$DD762,82),0)</f>
        <v/>
      </c>
      <c r="CG762">
        <f>IFERROR(INDEX(PP_Grid[#Data],$DD762,83),0)</f>
        <v/>
      </c>
      <c r="CH762">
        <f>IFERROR(INDEX(PP_Grid[#Data],$DD762,84),0)</f>
        <v/>
      </c>
      <c r="CI762">
        <f>IFERROR(INDEX(PP_Grid[#Data],$DD762,85),0)</f>
        <v/>
      </c>
      <c r="CJ762">
        <f>IFERROR(INDEX(PP_Grid[#Data],$DD762,86),0)</f>
        <v/>
      </c>
      <c r="CK762">
        <f>IFERROR(INDEX(PP_Grid[#Data],$DD762,87),0)</f>
        <v/>
      </c>
      <c r="CL762">
        <f>IFERROR(INDEX(PP_Grid[#Data],$DD762,88),0)</f>
        <v/>
      </c>
      <c r="CM762">
        <f>IFERROR(INDEX(PP_Grid[#Data],$DD762,89),0)</f>
        <v/>
      </c>
      <c r="CN762">
        <f>IFERROR(INDEX(PP_Grid[#Data],$DD762,90),0)</f>
        <v/>
      </c>
      <c r="CO762">
        <f>IFERROR(INDEX(PP_Grid[#Data],$DD762,91),0)</f>
        <v/>
      </c>
      <c r="CP762">
        <f>IFERROR(INDEX(PP_Grid[#Data],$DD762,92),0)</f>
        <v/>
      </c>
      <c r="CQ762">
        <f>IFERROR(INDEX(PP_Grid[#Data],$DD762,93),0)</f>
        <v/>
      </c>
      <c r="CR762">
        <f>IFERROR(INDEX(PP_Grid[#Data],$DD762,94),0)</f>
        <v/>
      </c>
      <c r="CS762">
        <f>IFERROR(INDEX(PP_Grid[#Data],$DD762,95),0)</f>
        <v/>
      </c>
      <c r="CT762">
        <f>IFERROR(INDEX(PP_Grid[#Data],$DD762,96),0)</f>
        <v/>
      </c>
      <c r="CU762">
        <f>IFERROR(INDEX(PP_Grid[#Data],$DD762,97),0)</f>
        <v/>
      </c>
      <c r="CV762">
        <f>IFERROR(INDEX(PP_Grid[#Data],$DD762,98),0)</f>
        <v/>
      </c>
      <c r="CW762">
        <f>IFERROR(INDEX(PP_Grid[#Data],$DD762,99),0)</f>
        <v/>
      </c>
      <c r="CX762">
        <f>IFERROR(INDEX(PP_Grid[#Data],$DD762,100),0)</f>
        <v/>
      </c>
      <c r="CY762">
        <f>IFERROR(INDEX(PP_Grid[#Data],$DD762,101),0)</f>
        <v/>
      </c>
      <c r="CZ762">
        <f>IFERROR(INDEX(PP_Grid[#Data],$DD762,102),0)</f>
        <v/>
      </c>
      <c r="DA762">
        <f>IFERROR(INDEX(PP_Grid[#Data],$DD762,103),0)</f>
        <v/>
      </c>
      <c r="DB762">
        <f>IFERROR(INDEX(PP_Grid[#Data],$DD762,104),0)</f>
        <v/>
      </c>
      <c r="DC762">
        <f>IFERROR(INDEX(PP_Grid[#Data],$DD762,105),0)</f>
        <v/>
      </c>
      <c r="DD762" s="12">
        <f>IFERROR(MATCH($B762,PP_Grid[Intermediate],0),99999)</f>
        <v/>
      </c>
    </row>
    <row r="763">
      <c r="B763" t="inlineStr">
        <is>
          <t>使用量(kg)</t>
        </is>
      </c>
      <c r="C763">
        <f>SUMIFS(M_BOM[RM_Qty_Per_Batch],M_BOM[Intermediate],$B762,M_BOM[Part Name],$A669)</f>
        <v/>
      </c>
      <c r="D763">
        <f>$C763*D762</f>
        <v/>
      </c>
      <c r="E763">
        <f>$C763*E762</f>
        <v/>
      </c>
      <c r="F763">
        <f>$C763*F762</f>
        <v/>
      </c>
      <c r="G763">
        <f>$C763*G762</f>
        <v/>
      </c>
      <c r="H763">
        <f>$C763*H762</f>
        <v/>
      </c>
      <c r="I763">
        <f>$C763*I762</f>
        <v/>
      </c>
      <c r="J763">
        <f>$C763*J762</f>
        <v/>
      </c>
      <c r="K763">
        <f>$C763*K762</f>
        <v/>
      </c>
      <c r="L763">
        <f>$C763*L762</f>
        <v/>
      </c>
      <c r="M763">
        <f>$C763*M762</f>
        <v/>
      </c>
      <c r="N763">
        <f>$C763*N762</f>
        <v/>
      </c>
      <c r="O763">
        <f>$C763*O762</f>
        <v/>
      </c>
      <c r="P763">
        <f>$C763*P762</f>
        <v/>
      </c>
      <c r="Q763">
        <f>$C763*Q762</f>
        <v/>
      </c>
      <c r="R763">
        <f>$C763*R762</f>
        <v/>
      </c>
      <c r="S763">
        <f>$C763*S762</f>
        <v/>
      </c>
      <c r="T763">
        <f>$C763*T762</f>
        <v/>
      </c>
      <c r="U763">
        <f>$C763*U762</f>
        <v/>
      </c>
      <c r="V763">
        <f>$C763*V762</f>
        <v/>
      </c>
      <c r="W763">
        <f>$C763*W762</f>
        <v/>
      </c>
      <c r="X763">
        <f>$C763*X762</f>
        <v/>
      </c>
      <c r="Y763">
        <f>$C763*Y762</f>
        <v/>
      </c>
      <c r="Z763">
        <f>$C763*Z762</f>
        <v/>
      </c>
      <c r="AA763">
        <f>$C763*AA762</f>
        <v/>
      </c>
      <c r="AB763">
        <f>$C763*AB762</f>
        <v/>
      </c>
      <c r="AC763">
        <f>$C763*AC762</f>
        <v/>
      </c>
      <c r="AD763">
        <f>$C763*AD762</f>
        <v/>
      </c>
      <c r="AE763">
        <f>$C763*AE762</f>
        <v/>
      </c>
      <c r="AF763">
        <f>$C763*AF762</f>
        <v/>
      </c>
      <c r="AG763">
        <f>$C763*AG762</f>
        <v/>
      </c>
      <c r="AH763">
        <f>$C763*AH762</f>
        <v/>
      </c>
      <c r="AI763">
        <f>$C763*AI762</f>
        <v/>
      </c>
      <c r="AJ763">
        <f>$C763*AJ762</f>
        <v/>
      </c>
      <c r="AK763">
        <f>$C763*AK762</f>
        <v/>
      </c>
      <c r="AL763">
        <f>$C763*AL762</f>
        <v/>
      </c>
      <c r="AM763">
        <f>$C763*AM762</f>
        <v/>
      </c>
      <c r="AN763">
        <f>$C763*AN762</f>
        <v/>
      </c>
      <c r="AO763">
        <f>$C763*AO762</f>
        <v/>
      </c>
      <c r="AP763">
        <f>$C763*AP762</f>
        <v/>
      </c>
      <c r="AQ763">
        <f>$C763*AQ762</f>
        <v/>
      </c>
      <c r="AR763">
        <f>$C763*AR762</f>
        <v/>
      </c>
      <c r="AS763">
        <f>$C763*AS762</f>
        <v/>
      </c>
      <c r="AT763">
        <f>$C763*AT762</f>
        <v/>
      </c>
      <c r="AU763">
        <f>$C763*AU762</f>
        <v/>
      </c>
      <c r="AV763">
        <f>$C763*AV762</f>
        <v/>
      </c>
      <c r="AW763">
        <f>$C763*AW762</f>
        <v/>
      </c>
      <c r="AX763">
        <f>$C763*AX762</f>
        <v/>
      </c>
      <c r="AY763">
        <f>$C763*AY762</f>
        <v/>
      </c>
      <c r="AZ763">
        <f>$C763*AZ762</f>
        <v/>
      </c>
      <c r="BA763">
        <f>$C763*BA762</f>
        <v/>
      </c>
      <c r="BB763">
        <f>$C763*BB762</f>
        <v/>
      </c>
      <c r="BC763">
        <f>$C763*BC762</f>
        <v/>
      </c>
      <c r="BD763">
        <f>$C763*BD762</f>
        <v/>
      </c>
      <c r="BE763">
        <f>$C763*BE762</f>
        <v/>
      </c>
      <c r="BF763">
        <f>$C763*BF762</f>
        <v/>
      </c>
      <c r="BG763">
        <f>$C763*BG762</f>
        <v/>
      </c>
      <c r="BH763">
        <f>$C763*BH762</f>
        <v/>
      </c>
      <c r="BI763">
        <f>$C763*BI762</f>
        <v/>
      </c>
      <c r="BJ763">
        <f>$C763*BJ762</f>
        <v/>
      </c>
      <c r="BK763">
        <f>$C763*BK762</f>
        <v/>
      </c>
      <c r="BL763">
        <f>$C763*BL762</f>
        <v/>
      </c>
      <c r="BM763">
        <f>$C763*BM762</f>
        <v/>
      </c>
      <c r="BN763">
        <f>$C763*BN762</f>
        <v/>
      </c>
      <c r="BO763">
        <f>$C763*BO762</f>
        <v/>
      </c>
      <c r="BP763">
        <f>$C763*BP762</f>
        <v/>
      </c>
      <c r="BQ763">
        <f>$C763*BQ762</f>
        <v/>
      </c>
      <c r="BR763">
        <f>$C763*BR762</f>
        <v/>
      </c>
      <c r="BS763">
        <f>$C763*BS762</f>
        <v/>
      </c>
      <c r="BT763">
        <f>$C763*BT762</f>
        <v/>
      </c>
      <c r="BU763">
        <f>$C763*BU762</f>
        <v/>
      </c>
      <c r="BV763">
        <f>$C763*BV762</f>
        <v/>
      </c>
      <c r="BW763">
        <f>$C763*BW762</f>
        <v/>
      </c>
      <c r="BX763">
        <f>$C763*BX762</f>
        <v/>
      </c>
      <c r="BY763">
        <f>$C763*BY762</f>
        <v/>
      </c>
      <c r="BZ763">
        <f>$C763*BZ762</f>
        <v/>
      </c>
      <c r="CA763">
        <f>$C763*CA762</f>
        <v/>
      </c>
      <c r="CB763">
        <f>$C763*CB762</f>
        <v/>
      </c>
      <c r="CC763">
        <f>$C763*CC762</f>
        <v/>
      </c>
      <c r="CD763">
        <f>$C763*CD762</f>
        <v/>
      </c>
      <c r="CE763">
        <f>$C763*CE762</f>
        <v/>
      </c>
      <c r="CF763">
        <f>$C763*CF762</f>
        <v/>
      </c>
      <c r="CG763">
        <f>$C763*CG762</f>
        <v/>
      </c>
      <c r="CH763">
        <f>$C763*CH762</f>
        <v/>
      </c>
      <c r="CI763">
        <f>$C763*CI762</f>
        <v/>
      </c>
      <c r="CJ763">
        <f>$C763*CJ762</f>
        <v/>
      </c>
      <c r="CK763">
        <f>$C763*CK762</f>
        <v/>
      </c>
      <c r="CL763">
        <f>$C763*CL762</f>
        <v/>
      </c>
      <c r="CM763">
        <f>$C763*CM762</f>
        <v/>
      </c>
      <c r="CN763">
        <f>$C763*CN762</f>
        <v/>
      </c>
      <c r="CO763">
        <f>$C763*CO762</f>
        <v/>
      </c>
      <c r="CP763">
        <f>$C763*CP762</f>
        <v/>
      </c>
      <c r="CQ763">
        <f>$C763*CQ762</f>
        <v/>
      </c>
      <c r="CR763">
        <f>$C763*CR762</f>
        <v/>
      </c>
      <c r="CS763">
        <f>$C763*CS762</f>
        <v/>
      </c>
      <c r="CT763">
        <f>$C763*CT762</f>
        <v/>
      </c>
      <c r="CU763">
        <f>$C763*CU762</f>
        <v/>
      </c>
      <c r="CV763">
        <f>$C763*CV762</f>
        <v/>
      </c>
      <c r="CW763">
        <f>$C763*CW762</f>
        <v/>
      </c>
      <c r="CX763">
        <f>$C763*CX762</f>
        <v/>
      </c>
      <c r="CY763">
        <f>$C763*CY762</f>
        <v/>
      </c>
      <c r="CZ763">
        <f>$C763*CZ762</f>
        <v/>
      </c>
      <c r="DA763">
        <f>$C763*DA762</f>
        <v/>
      </c>
      <c r="DB763">
        <f>$C763*DB762</f>
        <v/>
      </c>
      <c r="DC763">
        <f>$C763*DC762</f>
        <v/>
      </c>
    </row>
    <row r="764">
      <c r="B764" t="inlineStr">
        <is>
          <t>TSP-929</t>
        </is>
      </c>
      <c r="C764" t="inlineStr">
        <is>
          <t>No. of batches</t>
        </is>
      </c>
      <c r="D764">
        <f>IFERROR(INDEX(PP_Grid[#Data],$DD764,2),0)</f>
        <v/>
      </c>
      <c r="E764">
        <f>IFERROR(INDEX(PP_Grid[#Data],$DD764,3),0)</f>
        <v/>
      </c>
      <c r="F764">
        <f>IFERROR(INDEX(PP_Grid[#Data],$DD764,4),0)</f>
        <v/>
      </c>
      <c r="G764">
        <f>IFERROR(INDEX(PP_Grid[#Data],$DD764,5),0)</f>
        <v/>
      </c>
      <c r="H764">
        <f>IFERROR(INDEX(PP_Grid[#Data],$DD764,6),0)</f>
        <v/>
      </c>
      <c r="I764">
        <f>IFERROR(INDEX(PP_Grid[#Data],$DD764,7),0)</f>
        <v/>
      </c>
      <c r="J764">
        <f>IFERROR(INDEX(PP_Grid[#Data],$DD764,8),0)</f>
        <v/>
      </c>
      <c r="K764">
        <f>IFERROR(INDEX(PP_Grid[#Data],$DD764,9),0)</f>
        <v/>
      </c>
      <c r="L764">
        <f>IFERROR(INDEX(PP_Grid[#Data],$DD764,10),0)</f>
        <v/>
      </c>
      <c r="M764">
        <f>IFERROR(INDEX(PP_Grid[#Data],$DD764,11),0)</f>
        <v/>
      </c>
      <c r="N764">
        <f>IFERROR(INDEX(PP_Grid[#Data],$DD764,12),0)</f>
        <v/>
      </c>
      <c r="O764">
        <f>IFERROR(INDEX(PP_Grid[#Data],$DD764,13),0)</f>
        <v/>
      </c>
      <c r="P764">
        <f>IFERROR(INDEX(PP_Grid[#Data],$DD764,14),0)</f>
        <v/>
      </c>
      <c r="Q764">
        <f>IFERROR(INDEX(PP_Grid[#Data],$DD764,15),0)</f>
        <v/>
      </c>
      <c r="R764">
        <f>IFERROR(INDEX(PP_Grid[#Data],$DD764,16),0)</f>
        <v/>
      </c>
      <c r="S764">
        <f>IFERROR(INDEX(PP_Grid[#Data],$DD764,17),0)</f>
        <v/>
      </c>
      <c r="T764">
        <f>IFERROR(INDEX(PP_Grid[#Data],$DD764,18),0)</f>
        <v/>
      </c>
      <c r="U764">
        <f>IFERROR(INDEX(PP_Grid[#Data],$DD764,19),0)</f>
        <v/>
      </c>
      <c r="V764">
        <f>IFERROR(INDEX(PP_Grid[#Data],$DD764,20),0)</f>
        <v/>
      </c>
      <c r="W764">
        <f>IFERROR(INDEX(PP_Grid[#Data],$DD764,21),0)</f>
        <v/>
      </c>
      <c r="X764">
        <f>IFERROR(INDEX(PP_Grid[#Data],$DD764,22),0)</f>
        <v/>
      </c>
      <c r="Y764">
        <f>IFERROR(INDEX(PP_Grid[#Data],$DD764,23),0)</f>
        <v/>
      </c>
      <c r="Z764">
        <f>IFERROR(INDEX(PP_Grid[#Data],$DD764,24),0)</f>
        <v/>
      </c>
      <c r="AA764">
        <f>IFERROR(INDEX(PP_Grid[#Data],$DD764,25),0)</f>
        <v/>
      </c>
      <c r="AB764">
        <f>IFERROR(INDEX(PP_Grid[#Data],$DD764,26),0)</f>
        <v/>
      </c>
      <c r="AC764">
        <f>IFERROR(INDEX(PP_Grid[#Data],$DD764,27),0)</f>
        <v/>
      </c>
      <c r="AD764">
        <f>IFERROR(INDEX(PP_Grid[#Data],$DD764,28),0)</f>
        <v/>
      </c>
      <c r="AE764">
        <f>IFERROR(INDEX(PP_Grid[#Data],$DD764,29),0)</f>
        <v/>
      </c>
      <c r="AF764">
        <f>IFERROR(INDEX(PP_Grid[#Data],$DD764,30),0)</f>
        <v/>
      </c>
      <c r="AG764">
        <f>IFERROR(INDEX(PP_Grid[#Data],$DD764,31),0)</f>
        <v/>
      </c>
      <c r="AH764">
        <f>IFERROR(INDEX(PP_Grid[#Data],$DD764,32),0)</f>
        <v/>
      </c>
      <c r="AI764">
        <f>IFERROR(INDEX(PP_Grid[#Data],$DD764,33),0)</f>
        <v/>
      </c>
      <c r="AJ764">
        <f>IFERROR(INDEX(PP_Grid[#Data],$DD764,34),0)</f>
        <v/>
      </c>
      <c r="AK764">
        <f>IFERROR(INDEX(PP_Grid[#Data],$DD764,35),0)</f>
        <v/>
      </c>
      <c r="AL764">
        <f>IFERROR(INDEX(PP_Grid[#Data],$DD764,36),0)</f>
        <v/>
      </c>
      <c r="AM764">
        <f>IFERROR(INDEX(PP_Grid[#Data],$DD764,37),0)</f>
        <v/>
      </c>
      <c r="AN764">
        <f>IFERROR(INDEX(PP_Grid[#Data],$DD764,38),0)</f>
        <v/>
      </c>
      <c r="AO764">
        <f>IFERROR(INDEX(PP_Grid[#Data],$DD764,39),0)</f>
        <v/>
      </c>
      <c r="AP764">
        <f>IFERROR(INDEX(PP_Grid[#Data],$DD764,40),0)</f>
        <v/>
      </c>
      <c r="AQ764">
        <f>IFERROR(INDEX(PP_Grid[#Data],$DD764,41),0)</f>
        <v/>
      </c>
      <c r="AR764">
        <f>IFERROR(INDEX(PP_Grid[#Data],$DD764,42),0)</f>
        <v/>
      </c>
      <c r="AS764">
        <f>IFERROR(INDEX(PP_Grid[#Data],$DD764,43),0)</f>
        <v/>
      </c>
      <c r="AT764">
        <f>IFERROR(INDEX(PP_Grid[#Data],$DD764,44),0)</f>
        <v/>
      </c>
      <c r="AU764">
        <f>IFERROR(INDEX(PP_Grid[#Data],$DD764,45),0)</f>
        <v/>
      </c>
      <c r="AV764">
        <f>IFERROR(INDEX(PP_Grid[#Data],$DD764,46),0)</f>
        <v/>
      </c>
      <c r="AW764">
        <f>IFERROR(INDEX(PP_Grid[#Data],$DD764,47),0)</f>
        <v/>
      </c>
      <c r="AX764">
        <f>IFERROR(INDEX(PP_Grid[#Data],$DD764,48),0)</f>
        <v/>
      </c>
      <c r="AY764">
        <f>IFERROR(INDEX(PP_Grid[#Data],$DD764,49),0)</f>
        <v/>
      </c>
      <c r="AZ764">
        <f>IFERROR(INDEX(PP_Grid[#Data],$DD764,50),0)</f>
        <v/>
      </c>
      <c r="BA764">
        <f>IFERROR(INDEX(PP_Grid[#Data],$DD764,51),0)</f>
        <v/>
      </c>
      <c r="BB764">
        <f>IFERROR(INDEX(PP_Grid[#Data],$DD764,52),0)</f>
        <v/>
      </c>
      <c r="BC764">
        <f>IFERROR(INDEX(PP_Grid[#Data],$DD764,53),0)</f>
        <v/>
      </c>
      <c r="BD764">
        <f>IFERROR(INDEX(PP_Grid[#Data],$DD764,54),0)</f>
        <v/>
      </c>
      <c r="BE764">
        <f>IFERROR(INDEX(PP_Grid[#Data],$DD764,55),0)</f>
        <v/>
      </c>
      <c r="BF764">
        <f>IFERROR(INDEX(PP_Grid[#Data],$DD764,56),0)</f>
        <v/>
      </c>
      <c r="BG764">
        <f>IFERROR(INDEX(PP_Grid[#Data],$DD764,57),0)</f>
        <v/>
      </c>
      <c r="BH764">
        <f>IFERROR(INDEX(PP_Grid[#Data],$DD764,58),0)</f>
        <v/>
      </c>
      <c r="BI764">
        <f>IFERROR(INDEX(PP_Grid[#Data],$DD764,59),0)</f>
        <v/>
      </c>
      <c r="BJ764">
        <f>IFERROR(INDEX(PP_Grid[#Data],$DD764,60),0)</f>
        <v/>
      </c>
      <c r="BK764">
        <f>IFERROR(INDEX(PP_Grid[#Data],$DD764,61),0)</f>
        <v/>
      </c>
      <c r="BL764">
        <f>IFERROR(INDEX(PP_Grid[#Data],$DD764,62),0)</f>
        <v/>
      </c>
      <c r="BM764">
        <f>IFERROR(INDEX(PP_Grid[#Data],$DD764,63),0)</f>
        <v/>
      </c>
      <c r="BN764">
        <f>IFERROR(INDEX(PP_Grid[#Data],$DD764,64),0)</f>
        <v/>
      </c>
      <c r="BO764">
        <f>IFERROR(INDEX(PP_Grid[#Data],$DD764,65),0)</f>
        <v/>
      </c>
      <c r="BP764">
        <f>IFERROR(INDEX(PP_Grid[#Data],$DD764,66),0)</f>
        <v/>
      </c>
      <c r="BQ764">
        <f>IFERROR(INDEX(PP_Grid[#Data],$DD764,67),0)</f>
        <v/>
      </c>
      <c r="BR764">
        <f>IFERROR(INDEX(PP_Grid[#Data],$DD764,68),0)</f>
        <v/>
      </c>
      <c r="BS764">
        <f>IFERROR(INDEX(PP_Grid[#Data],$DD764,69),0)</f>
        <v/>
      </c>
      <c r="BT764">
        <f>IFERROR(INDEX(PP_Grid[#Data],$DD764,70),0)</f>
        <v/>
      </c>
      <c r="BU764">
        <f>IFERROR(INDEX(PP_Grid[#Data],$DD764,71),0)</f>
        <v/>
      </c>
      <c r="BV764">
        <f>IFERROR(INDEX(PP_Grid[#Data],$DD764,72),0)</f>
        <v/>
      </c>
      <c r="BW764">
        <f>IFERROR(INDEX(PP_Grid[#Data],$DD764,73),0)</f>
        <v/>
      </c>
      <c r="BX764">
        <f>IFERROR(INDEX(PP_Grid[#Data],$DD764,74),0)</f>
        <v/>
      </c>
      <c r="BY764">
        <f>IFERROR(INDEX(PP_Grid[#Data],$DD764,75),0)</f>
        <v/>
      </c>
      <c r="BZ764">
        <f>IFERROR(INDEX(PP_Grid[#Data],$DD764,76),0)</f>
        <v/>
      </c>
      <c r="CA764">
        <f>IFERROR(INDEX(PP_Grid[#Data],$DD764,77),0)</f>
        <v/>
      </c>
      <c r="CB764">
        <f>IFERROR(INDEX(PP_Grid[#Data],$DD764,78),0)</f>
        <v/>
      </c>
      <c r="CC764">
        <f>IFERROR(INDEX(PP_Grid[#Data],$DD764,79),0)</f>
        <v/>
      </c>
      <c r="CD764">
        <f>IFERROR(INDEX(PP_Grid[#Data],$DD764,80),0)</f>
        <v/>
      </c>
      <c r="CE764">
        <f>IFERROR(INDEX(PP_Grid[#Data],$DD764,81),0)</f>
        <v/>
      </c>
      <c r="CF764">
        <f>IFERROR(INDEX(PP_Grid[#Data],$DD764,82),0)</f>
        <v/>
      </c>
      <c r="CG764">
        <f>IFERROR(INDEX(PP_Grid[#Data],$DD764,83),0)</f>
        <v/>
      </c>
      <c r="CH764">
        <f>IFERROR(INDEX(PP_Grid[#Data],$DD764,84),0)</f>
        <v/>
      </c>
      <c r="CI764">
        <f>IFERROR(INDEX(PP_Grid[#Data],$DD764,85),0)</f>
        <v/>
      </c>
      <c r="CJ764">
        <f>IFERROR(INDEX(PP_Grid[#Data],$DD764,86),0)</f>
        <v/>
      </c>
      <c r="CK764">
        <f>IFERROR(INDEX(PP_Grid[#Data],$DD764,87),0)</f>
        <v/>
      </c>
      <c r="CL764">
        <f>IFERROR(INDEX(PP_Grid[#Data],$DD764,88),0)</f>
        <v/>
      </c>
      <c r="CM764">
        <f>IFERROR(INDEX(PP_Grid[#Data],$DD764,89),0)</f>
        <v/>
      </c>
      <c r="CN764">
        <f>IFERROR(INDEX(PP_Grid[#Data],$DD764,90),0)</f>
        <v/>
      </c>
      <c r="CO764">
        <f>IFERROR(INDEX(PP_Grid[#Data],$DD764,91),0)</f>
        <v/>
      </c>
      <c r="CP764">
        <f>IFERROR(INDEX(PP_Grid[#Data],$DD764,92),0)</f>
        <v/>
      </c>
      <c r="CQ764">
        <f>IFERROR(INDEX(PP_Grid[#Data],$DD764,93),0)</f>
        <v/>
      </c>
      <c r="CR764">
        <f>IFERROR(INDEX(PP_Grid[#Data],$DD764,94),0)</f>
        <v/>
      </c>
      <c r="CS764">
        <f>IFERROR(INDEX(PP_Grid[#Data],$DD764,95),0)</f>
        <v/>
      </c>
      <c r="CT764">
        <f>IFERROR(INDEX(PP_Grid[#Data],$DD764,96),0)</f>
        <v/>
      </c>
      <c r="CU764">
        <f>IFERROR(INDEX(PP_Grid[#Data],$DD764,97),0)</f>
        <v/>
      </c>
      <c r="CV764">
        <f>IFERROR(INDEX(PP_Grid[#Data],$DD764,98),0)</f>
        <v/>
      </c>
      <c r="CW764">
        <f>IFERROR(INDEX(PP_Grid[#Data],$DD764,99),0)</f>
        <v/>
      </c>
      <c r="CX764">
        <f>IFERROR(INDEX(PP_Grid[#Data],$DD764,100),0)</f>
        <v/>
      </c>
      <c r="CY764">
        <f>IFERROR(INDEX(PP_Grid[#Data],$DD764,101),0)</f>
        <v/>
      </c>
      <c r="CZ764">
        <f>IFERROR(INDEX(PP_Grid[#Data],$DD764,102),0)</f>
        <v/>
      </c>
      <c r="DA764">
        <f>IFERROR(INDEX(PP_Grid[#Data],$DD764,103),0)</f>
        <v/>
      </c>
      <c r="DB764">
        <f>IFERROR(INDEX(PP_Grid[#Data],$DD764,104),0)</f>
        <v/>
      </c>
      <c r="DC764">
        <f>IFERROR(INDEX(PP_Grid[#Data],$DD764,105),0)</f>
        <v/>
      </c>
      <c r="DD764" s="12">
        <f>IFERROR(MATCH($B764,PP_Grid[Intermediate],0),99999)</f>
        <v/>
      </c>
    </row>
    <row r="765">
      <c r="B765" t="inlineStr">
        <is>
          <t>使用量(kg)</t>
        </is>
      </c>
      <c r="C765">
        <f>SUMIFS(M_BOM[RM_Qty_Per_Batch],M_BOM[Intermediate],$B764,M_BOM[Part Name],$A669)</f>
        <v/>
      </c>
      <c r="D765">
        <f>$C765*D764</f>
        <v/>
      </c>
      <c r="E765">
        <f>$C765*E764</f>
        <v/>
      </c>
      <c r="F765">
        <f>$C765*F764</f>
        <v/>
      </c>
      <c r="G765">
        <f>$C765*G764</f>
        <v/>
      </c>
      <c r="H765">
        <f>$C765*H764</f>
        <v/>
      </c>
      <c r="I765">
        <f>$C765*I764</f>
        <v/>
      </c>
      <c r="J765">
        <f>$C765*J764</f>
        <v/>
      </c>
      <c r="K765">
        <f>$C765*K764</f>
        <v/>
      </c>
      <c r="L765">
        <f>$C765*L764</f>
        <v/>
      </c>
      <c r="M765">
        <f>$C765*M764</f>
        <v/>
      </c>
      <c r="N765">
        <f>$C765*N764</f>
        <v/>
      </c>
      <c r="O765">
        <f>$C765*O764</f>
        <v/>
      </c>
      <c r="P765">
        <f>$C765*P764</f>
        <v/>
      </c>
      <c r="Q765">
        <f>$C765*Q764</f>
        <v/>
      </c>
      <c r="R765">
        <f>$C765*R764</f>
        <v/>
      </c>
      <c r="S765">
        <f>$C765*S764</f>
        <v/>
      </c>
      <c r="T765">
        <f>$C765*T764</f>
        <v/>
      </c>
      <c r="U765">
        <f>$C765*U764</f>
        <v/>
      </c>
      <c r="V765">
        <f>$C765*V764</f>
        <v/>
      </c>
      <c r="W765">
        <f>$C765*W764</f>
        <v/>
      </c>
      <c r="X765">
        <f>$C765*X764</f>
        <v/>
      </c>
      <c r="Y765">
        <f>$C765*Y764</f>
        <v/>
      </c>
      <c r="Z765">
        <f>$C765*Z764</f>
        <v/>
      </c>
      <c r="AA765">
        <f>$C765*AA764</f>
        <v/>
      </c>
      <c r="AB765">
        <f>$C765*AB764</f>
        <v/>
      </c>
      <c r="AC765">
        <f>$C765*AC764</f>
        <v/>
      </c>
      <c r="AD765">
        <f>$C765*AD764</f>
        <v/>
      </c>
      <c r="AE765">
        <f>$C765*AE764</f>
        <v/>
      </c>
      <c r="AF765">
        <f>$C765*AF764</f>
        <v/>
      </c>
      <c r="AG765">
        <f>$C765*AG764</f>
        <v/>
      </c>
      <c r="AH765">
        <f>$C765*AH764</f>
        <v/>
      </c>
      <c r="AI765">
        <f>$C765*AI764</f>
        <v/>
      </c>
      <c r="AJ765">
        <f>$C765*AJ764</f>
        <v/>
      </c>
      <c r="AK765">
        <f>$C765*AK764</f>
        <v/>
      </c>
      <c r="AL765">
        <f>$C765*AL764</f>
        <v/>
      </c>
      <c r="AM765">
        <f>$C765*AM764</f>
        <v/>
      </c>
      <c r="AN765">
        <f>$C765*AN764</f>
        <v/>
      </c>
      <c r="AO765">
        <f>$C765*AO764</f>
        <v/>
      </c>
      <c r="AP765">
        <f>$C765*AP764</f>
        <v/>
      </c>
      <c r="AQ765">
        <f>$C765*AQ764</f>
        <v/>
      </c>
      <c r="AR765">
        <f>$C765*AR764</f>
        <v/>
      </c>
      <c r="AS765">
        <f>$C765*AS764</f>
        <v/>
      </c>
      <c r="AT765">
        <f>$C765*AT764</f>
        <v/>
      </c>
      <c r="AU765">
        <f>$C765*AU764</f>
        <v/>
      </c>
      <c r="AV765">
        <f>$C765*AV764</f>
        <v/>
      </c>
      <c r="AW765">
        <f>$C765*AW764</f>
        <v/>
      </c>
      <c r="AX765">
        <f>$C765*AX764</f>
        <v/>
      </c>
      <c r="AY765">
        <f>$C765*AY764</f>
        <v/>
      </c>
      <c r="AZ765">
        <f>$C765*AZ764</f>
        <v/>
      </c>
      <c r="BA765">
        <f>$C765*BA764</f>
        <v/>
      </c>
      <c r="BB765">
        <f>$C765*BB764</f>
        <v/>
      </c>
      <c r="BC765">
        <f>$C765*BC764</f>
        <v/>
      </c>
      <c r="BD765">
        <f>$C765*BD764</f>
        <v/>
      </c>
      <c r="BE765">
        <f>$C765*BE764</f>
        <v/>
      </c>
      <c r="BF765">
        <f>$C765*BF764</f>
        <v/>
      </c>
      <c r="BG765">
        <f>$C765*BG764</f>
        <v/>
      </c>
      <c r="BH765">
        <f>$C765*BH764</f>
        <v/>
      </c>
      <c r="BI765">
        <f>$C765*BI764</f>
        <v/>
      </c>
      <c r="BJ765">
        <f>$C765*BJ764</f>
        <v/>
      </c>
      <c r="BK765">
        <f>$C765*BK764</f>
        <v/>
      </c>
      <c r="BL765">
        <f>$C765*BL764</f>
        <v/>
      </c>
      <c r="BM765">
        <f>$C765*BM764</f>
        <v/>
      </c>
      <c r="BN765">
        <f>$C765*BN764</f>
        <v/>
      </c>
      <c r="BO765">
        <f>$C765*BO764</f>
        <v/>
      </c>
      <c r="BP765">
        <f>$C765*BP764</f>
        <v/>
      </c>
      <c r="BQ765">
        <f>$C765*BQ764</f>
        <v/>
      </c>
      <c r="BR765">
        <f>$C765*BR764</f>
        <v/>
      </c>
      <c r="BS765">
        <f>$C765*BS764</f>
        <v/>
      </c>
      <c r="BT765">
        <f>$C765*BT764</f>
        <v/>
      </c>
      <c r="BU765">
        <f>$C765*BU764</f>
        <v/>
      </c>
      <c r="BV765">
        <f>$C765*BV764</f>
        <v/>
      </c>
      <c r="BW765">
        <f>$C765*BW764</f>
        <v/>
      </c>
      <c r="BX765">
        <f>$C765*BX764</f>
        <v/>
      </c>
      <c r="BY765">
        <f>$C765*BY764</f>
        <v/>
      </c>
      <c r="BZ765">
        <f>$C765*BZ764</f>
        <v/>
      </c>
      <c r="CA765">
        <f>$C765*CA764</f>
        <v/>
      </c>
      <c r="CB765">
        <f>$C765*CB764</f>
        <v/>
      </c>
      <c r="CC765">
        <f>$C765*CC764</f>
        <v/>
      </c>
      <c r="CD765">
        <f>$C765*CD764</f>
        <v/>
      </c>
      <c r="CE765">
        <f>$C765*CE764</f>
        <v/>
      </c>
      <c r="CF765">
        <f>$C765*CF764</f>
        <v/>
      </c>
      <c r="CG765">
        <f>$C765*CG764</f>
        <v/>
      </c>
      <c r="CH765">
        <f>$C765*CH764</f>
        <v/>
      </c>
      <c r="CI765">
        <f>$C765*CI764</f>
        <v/>
      </c>
      <c r="CJ765">
        <f>$C765*CJ764</f>
        <v/>
      </c>
      <c r="CK765">
        <f>$C765*CK764</f>
        <v/>
      </c>
      <c r="CL765">
        <f>$C765*CL764</f>
        <v/>
      </c>
      <c r="CM765">
        <f>$C765*CM764</f>
        <v/>
      </c>
      <c r="CN765">
        <f>$C765*CN764</f>
        <v/>
      </c>
      <c r="CO765">
        <f>$C765*CO764</f>
        <v/>
      </c>
      <c r="CP765">
        <f>$C765*CP764</f>
        <v/>
      </c>
      <c r="CQ765">
        <f>$C765*CQ764</f>
        <v/>
      </c>
      <c r="CR765">
        <f>$C765*CR764</f>
        <v/>
      </c>
      <c r="CS765">
        <f>$C765*CS764</f>
        <v/>
      </c>
      <c r="CT765">
        <f>$C765*CT764</f>
        <v/>
      </c>
      <c r="CU765">
        <f>$C765*CU764</f>
        <v/>
      </c>
      <c r="CV765">
        <f>$C765*CV764</f>
        <v/>
      </c>
      <c r="CW765">
        <f>$C765*CW764</f>
        <v/>
      </c>
      <c r="CX765">
        <f>$C765*CX764</f>
        <v/>
      </c>
      <c r="CY765">
        <f>$C765*CY764</f>
        <v/>
      </c>
      <c r="CZ765">
        <f>$C765*CZ764</f>
        <v/>
      </c>
      <c r="DA765">
        <f>$C765*DA764</f>
        <v/>
      </c>
      <c r="DB765">
        <f>$C765*DB764</f>
        <v/>
      </c>
      <c r="DC765">
        <f>$C765*DC764</f>
        <v/>
      </c>
    </row>
    <row r="766">
      <c r="B766" t="inlineStr">
        <is>
          <t>TSP-930</t>
        </is>
      </c>
      <c r="C766" t="inlineStr">
        <is>
          <t>No. of batches</t>
        </is>
      </c>
      <c r="D766">
        <f>IFERROR(INDEX(PP_Grid[#Data],$DD766,2),0)</f>
        <v/>
      </c>
      <c r="E766">
        <f>IFERROR(INDEX(PP_Grid[#Data],$DD766,3),0)</f>
        <v/>
      </c>
      <c r="F766">
        <f>IFERROR(INDEX(PP_Grid[#Data],$DD766,4),0)</f>
        <v/>
      </c>
      <c r="G766">
        <f>IFERROR(INDEX(PP_Grid[#Data],$DD766,5),0)</f>
        <v/>
      </c>
      <c r="H766">
        <f>IFERROR(INDEX(PP_Grid[#Data],$DD766,6),0)</f>
        <v/>
      </c>
      <c r="I766">
        <f>IFERROR(INDEX(PP_Grid[#Data],$DD766,7),0)</f>
        <v/>
      </c>
      <c r="J766">
        <f>IFERROR(INDEX(PP_Grid[#Data],$DD766,8),0)</f>
        <v/>
      </c>
      <c r="K766">
        <f>IFERROR(INDEX(PP_Grid[#Data],$DD766,9),0)</f>
        <v/>
      </c>
      <c r="L766">
        <f>IFERROR(INDEX(PP_Grid[#Data],$DD766,10),0)</f>
        <v/>
      </c>
      <c r="M766">
        <f>IFERROR(INDEX(PP_Grid[#Data],$DD766,11),0)</f>
        <v/>
      </c>
      <c r="N766">
        <f>IFERROR(INDEX(PP_Grid[#Data],$DD766,12),0)</f>
        <v/>
      </c>
      <c r="O766">
        <f>IFERROR(INDEX(PP_Grid[#Data],$DD766,13),0)</f>
        <v/>
      </c>
      <c r="P766">
        <f>IFERROR(INDEX(PP_Grid[#Data],$DD766,14),0)</f>
        <v/>
      </c>
      <c r="Q766">
        <f>IFERROR(INDEX(PP_Grid[#Data],$DD766,15),0)</f>
        <v/>
      </c>
      <c r="R766">
        <f>IFERROR(INDEX(PP_Grid[#Data],$DD766,16),0)</f>
        <v/>
      </c>
      <c r="S766">
        <f>IFERROR(INDEX(PP_Grid[#Data],$DD766,17),0)</f>
        <v/>
      </c>
      <c r="T766">
        <f>IFERROR(INDEX(PP_Grid[#Data],$DD766,18),0)</f>
        <v/>
      </c>
      <c r="U766">
        <f>IFERROR(INDEX(PP_Grid[#Data],$DD766,19),0)</f>
        <v/>
      </c>
      <c r="V766">
        <f>IFERROR(INDEX(PP_Grid[#Data],$DD766,20),0)</f>
        <v/>
      </c>
      <c r="W766">
        <f>IFERROR(INDEX(PP_Grid[#Data],$DD766,21),0)</f>
        <v/>
      </c>
      <c r="X766">
        <f>IFERROR(INDEX(PP_Grid[#Data],$DD766,22),0)</f>
        <v/>
      </c>
      <c r="Y766">
        <f>IFERROR(INDEX(PP_Grid[#Data],$DD766,23),0)</f>
        <v/>
      </c>
      <c r="Z766">
        <f>IFERROR(INDEX(PP_Grid[#Data],$DD766,24),0)</f>
        <v/>
      </c>
      <c r="AA766">
        <f>IFERROR(INDEX(PP_Grid[#Data],$DD766,25),0)</f>
        <v/>
      </c>
      <c r="AB766">
        <f>IFERROR(INDEX(PP_Grid[#Data],$DD766,26),0)</f>
        <v/>
      </c>
      <c r="AC766">
        <f>IFERROR(INDEX(PP_Grid[#Data],$DD766,27),0)</f>
        <v/>
      </c>
      <c r="AD766">
        <f>IFERROR(INDEX(PP_Grid[#Data],$DD766,28),0)</f>
        <v/>
      </c>
      <c r="AE766">
        <f>IFERROR(INDEX(PP_Grid[#Data],$DD766,29),0)</f>
        <v/>
      </c>
      <c r="AF766">
        <f>IFERROR(INDEX(PP_Grid[#Data],$DD766,30),0)</f>
        <v/>
      </c>
      <c r="AG766">
        <f>IFERROR(INDEX(PP_Grid[#Data],$DD766,31),0)</f>
        <v/>
      </c>
      <c r="AH766">
        <f>IFERROR(INDEX(PP_Grid[#Data],$DD766,32),0)</f>
        <v/>
      </c>
      <c r="AI766">
        <f>IFERROR(INDEX(PP_Grid[#Data],$DD766,33),0)</f>
        <v/>
      </c>
      <c r="AJ766">
        <f>IFERROR(INDEX(PP_Grid[#Data],$DD766,34),0)</f>
        <v/>
      </c>
      <c r="AK766">
        <f>IFERROR(INDEX(PP_Grid[#Data],$DD766,35),0)</f>
        <v/>
      </c>
      <c r="AL766">
        <f>IFERROR(INDEX(PP_Grid[#Data],$DD766,36),0)</f>
        <v/>
      </c>
      <c r="AM766">
        <f>IFERROR(INDEX(PP_Grid[#Data],$DD766,37),0)</f>
        <v/>
      </c>
      <c r="AN766">
        <f>IFERROR(INDEX(PP_Grid[#Data],$DD766,38),0)</f>
        <v/>
      </c>
      <c r="AO766">
        <f>IFERROR(INDEX(PP_Grid[#Data],$DD766,39),0)</f>
        <v/>
      </c>
      <c r="AP766">
        <f>IFERROR(INDEX(PP_Grid[#Data],$DD766,40),0)</f>
        <v/>
      </c>
      <c r="AQ766">
        <f>IFERROR(INDEX(PP_Grid[#Data],$DD766,41),0)</f>
        <v/>
      </c>
      <c r="AR766">
        <f>IFERROR(INDEX(PP_Grid[#Data],$DD766,42),0)</f>
        <v/>
      </c>
      <c r="AS766">
        <f>IFERROR(INDEX(PP_Grid[#Data],$DD766,43),0)</f>
        <v/>
      </c>
      <c r="AT766">
        <f>IFERROR(INDEX(PP_Grid[#Data],$DD766,44),0)</f>
        <v/>
      </c>
      <c r="AU766">
        <f>IFERROR(INDEX(PP_Grid[#Data],$DD766,45),0)</f>
        <v/>
      </c>
      <c r="AV766">
        <f>IFERROR(INDEX(PP_Grid[#Data],$DD766,46),0)</f>
        <v/>
      </c>
      <c r="AW766">
        <f>IFERROR(INDEX(PP_Grid[#Data],$DD766,47),0)</f>
        <v/>
      </c>
      <c r="AX766">
        <f>IFERROR(INDEX(PP_Grid[#Data],$DD766,48),0)</f>
        <v/>
      </c>
      <c r="AY766">
        <f>IFERROR(INDEX(PP_Grid[#Data],$DD766,49),0)</f>
        <v/>
      </c>
      <c r="AZ766">
        <f>IFERROR(INDEX(PP_Grid[#Data],$DD766,50),0)</f>
        <v/>
      </c>
      <c r="BA766">
        <f>IFERROR(INDEX(PP_Grid[#Data],$DD766,51),0)</f>
        <v/>
      </c>
      <c r="BB766">
        <f>IFERROR(INDEX(PP_Grid[#Data],$DD766,52),0)</f>
        <v/>
      </c>
      <c r="BC766">
        <f>IFERROR(INDEX(PP_Grid[#Data],$DD766,53),0)</f>
        <v/>
      </c>
      <c r="BD766">
        <f>IFERROR(INDEX(PP_Grid[#Data],$DD766,54),0)</f>
        <v/>
      </c>
      <c r="BE766">
        <f>IFERROR(INDEX(PP_Grid[#Data],$DD766,55),0)</f>
        <v/>
      </c>
      <c r="BF766">
        <f>IFERROR(INDEX(PP_Grid[#Data],$DD766,56),0)</f>
        <v/>
      </c>
      <c r="BG766">
        <f>IFERROR(INDEX(PP_Grid[#Data],$DD766,57),0)</f>
        <v/>
      </c>
      <c r="BH766">
        <f>IFERROR(INDEX(PP_Grid[#Data],$DD766,58),0)</f>
        <v/>
      </c>
      <c r="BI766">
        <f>IFERROR(INDEX(PP_Grid[#Data],$DD766,59),0)</f>
        <v/>
      </c>
      <c r="BJ766">
        <f>IFERROR(INDEX(PP_Grid[#Data],$DD766,60),0)</f>
        <v/>
      </c>
      <c r="BK766">
        <f>IFERROR(INDEX(PP_Grid[#Data],$DD766,61),0)</f>
        <v/>
      </c>
      <c r="BL766">
        <f>IFERROR(INDEX(PP_Grid[#Data],$DD766,62),0)</f>
        <v/>
      </c>
      <c r="BM766">
        <f>IFERROR(INDEX(PP_Grid[#Data],$DD766,63),0)</f>
        <v/>
      </c>
      <c r="BN766">
        <f>IFERROR(INDEX(PP_Grid[#Data],$DD766,64),0)</f>
        <v/>
      </c>
      <c r="BO766">
        <f>IFERROR(INDEX(PP_Grid[#Data],$DD766,65),0)</f>
        <v/>
      </c>
      <c r="BP766">
        <f>IFERROR(INDEX(PP_Grid[#Data],$DD766,66),0)</f>
        <v/>
      </c>
      <c r="BQ766">
        <f>IFERROR(INDEX(PP_Grid[#Data],$DD766,67),0)</f>
        <v/>
      </c>
      <c r="BR766">
        <f>IFERROR(INDEX(PP_Grid[#Data],$DD766,68),0)</f>
        <v/>
      </c>
      <c r="BS766">
        <f>IFERROR(INDEX(PP_Grid[#Data],$DD766,69),0)</f>
        <v/>
      </c>
      <c r="BT766">
        <f>IFERROR(INDEX(PP_Grid[#Data],$DD766,70),0)</f>
        <v/>
      </c>
      <c r="BU766">
        <f>IFERROR(INDEX(PP_Grid[#Data],$DD766,71),0)</f>
        <v/>
      </c>
      <c r="BV766">
        <f>IFERROR(INDEX(PP_Grid[#Data],$DD766,72),0)</f>
        <v/>
      </c>
      <c r="BW766">
        <f>IFERROR(INDEX(PP_Grid[#Data],$DD766,73),0)</f>
        <v/>
      </c>
      <c r="BX766">
        <f>IFERROR(INDEX(PP_Grid[#Data],$DD766,74),0)</f>
        <v/>
      </c>
      <c r="BY766">
        <f>IFERROR(INDEX(PP_Grid[#Data],$DD766,75),0)</f>
        <v/>
      </c>
      <c r="BZ766">
        <f>IFERROR(INDEX(PP_Grid[#Data],$DD766,76),0)</f>
        <v/>
      </c>
      <c r="CA766">
        <f>IFERROR(INDEX(PP_Grid[#Data],$DD766,77),0)</f>
        <v/>
      </c>
      <c r="CB766">
        <f>IFERROR(INDEX(PP_Grid[#Data],$DD766,78),0)</f>
        <v/>
      </c>
      <c r="CC766">
        <f>IFERROR(INDEX(PP_Grid[#Data],$DD766,79),0)</f>
        <v/>
      </c>
      <c r="CD766">
        <f>IFERROR(INDEX(PP_Grid[#Data],$DD766,80),0)</f>
        <v/>
      </c>
      <c r="CE766">
        <f>IFERROR(INDEX(PP_Grid[#Data],$DD766,81),0)</f>
        <v/>
      </c>
      <c r="CF766">
        <f>IFERROR(INDEX(PP_Grid[#Data],$DD766,82),0)</f>
        <v/>
      </c>
      <c r="CG766">
        <f>IFERROR(INDEX(PP_Grid[#Data],$DD766,83),0)</f>
        <v/>
      </c>
      <c r="CH766">
        <f>IFERROR(INDEX(PP_Grid[#Data],$DD766,84),0)</f>
        <v/>
      </c>
      <c r="CI766">
        <f>IFERROR(INDEX(PP_Grid[#Data],$DD766,85),0)</f>
        <v/>
      </c>
      <c r="CJ766">
        <f>IFERROR(INDEX(PP_Grid[#Data],$DD766,86),0)</f>
        <v/>
      </c>
      <c r="CK766">
        <f>IFERROR(INDEX(PP_Grid[#Data],$DD766,87),0)</f>
        <v/>
      </c>
      <c r="CL766">
        <f>IFERROR(INDEX(PP_Grid[#Data],$DD766,88),0)</f>
        <v/>
      </c>
      <c r="CM766">
        <f>IFERROR(INDEX(PP_Grid[#Data],$DD766,89),0)</f>
        <v/>
      </c>
      <c r="CN766">
        <f>IFERROR(INDEX(PP_Grid[#Data],$DD766,90),0)</f>
        <v/>
      </c>
      <c r="CO766">
        <f>IFERROR(INDEX(PP_Grid[#Data],$DD766,91),0)</f>
        <v/>
      </c>
      <c r="CP766">
        <f>IFERROR(INDEX(PP_Grid[#Data],$DD766,92),0)</f>
        <v/>
      </c>
      <c r="CQ766">
        <f>IFERROR(INDEX(PP_Grid[#Data],$DD766,93),0)</f>
        <v/>
      </c>
      <c r="CR766">
        <f>IFERROR(INDEX(PP_Grid[#Data],$DD766,94),0)</f>
        <v/>
      </c>
      <c r="CS766">
        <f>IFERROR(INDEX(PP_Grid[#Data],$DD766,95),0)</f>
        <v/>
      </c>
      <c r="CT766">
        <f>IFERROR(INDEX(PP_Grid[#Data],$DD766,96),0)</f>
        <v/>
      </c>
      <c r="CU766">
        <f>IFERROR(INDEX(PP_Grid[#Data],$DD766,97),0)</f>
        <v/>
      </c>
      <c r="CV766">
        <f>IFERROR(INDEX(PP_Grid[#Data],$DD766,98),0)</f>
        <v/>
      </c>
      <c r="CW766">
        <f>IFERROR(INDEX(PP_Grid[#Data],$DD766,99),0)</f>
        <v/>
      </c>
      <c r="CX766">
        <f>IFERROR(INDEX(PP_Grid[#Data],$DD766,100),0)</f>
        <v/>
      </c>
      <c r="CY766">
        <f>IFERROR(INDEX(PP_Grid[#Data],$DD766,101),0)</f>
        <v/>
      </c>
      <c r="CZ766">
        <f>IFERROR(INDEX(PP_Grid[#Data],$DD766,102),0)</f>
        <v/>
      </c>
      <c r="DA766">
        <f>IFERROR(INDEX(PP_Grid[#Data],$DD766,103),0)</f>
        <v/>
      </c>
      <c r="DB766">
        <f>IFERROR(INDEX(PP_Grid[#Data],$DD766,104),0)</f>
        <v/>
      </c>
      <c r="DC766">
        <f>IFERROR(INDEX(PP_Grid[#Data],$DD766,105),0)</f>
        <v/>
      </c>
      <c r="DD766" s="12">
        <f>IFERROR(MATCH($B766,PP_Grid[Intermediate],0),99999)</f>
        <v/>
      </c>
    </row>
    <row r="767">
      <c r="B767" t="inlineStr">
        <is>
          <t>使用量(kg)</t>
        </is>
      </c>
      <c r="C767">
        <f>SUMIFS(M_BOM[RM_Qty_Per_Batch],M_BOM[Intermediate],$B766,M_BOM[Part Name],$A669)</f>
        <v/>
      </c>
      <c r="D767">
        <f>$C767*D766</f>
        <v/>
      </c>
      <c r="E767">
        <f>$C767*E766</f>
        <v/>
      </c>
      <c r="F767">
        <f>$C767*F766</f>
        <v/>
      </c>
      <c r="G767">
        <f>$C767*G766</f>
        <v/>
      </c>
      <c r="H767">
        <f>$C767*H766</f>
        <v/>
      </c>
      <c r="I767">
        <f>$C767*I766</f>
        <v/>
      </c>
      <c r="J767">
        <f>$C767*J766</f>
        <v/>
      </c>
      <c r="K767">
        <f>$C767*K766</f>
        <v/>
      </c>
      <c r="L767">
        <f>$C767*L766</f>
        <v/>
      </c>
      <c r="M767">
        <f>$C767*M766</f>
        <v/>
      </c>
      <c r="N767">
        <f>$C767*N766</f>
        <v/>
      </c>
      <c r="O767">
        <f>$C767*O766</f>
        <v/>
      </c>
      <c r="P767">
        <f>$C767*P766</f>
        <v/>
      </c>
      <c r="Q767">
        <f>$C767*Q766</f>
        <v/>
      </c>
      <c r="R767">
        <f>$C767*R766</f>
        <v/>
      </c>
      <c r="S767">
        <f>$C767*S766</f>
        <v/>
      </c>
      <c r="T767">
        <f>$C767*T766</f>
        <v/>
      </c>
      <c r="U767">
        <f>$C767*U766</f>
        <v/>
      </c>
      <c r="V767">
        <f>$C767*V766</f>
        <v/>
      </c>
      <c r="W767">
        <f>$C767*W766</f>
        <v/>
      </c>
      <c r="X767">
        <f>$C767*X766</f>
        <v/>
      </c>
      <c r="Y767">
        <f>$C767*Y766</f>
        <v/>
      </c>
      <c r="Z767">
        <f>$C767*Z766</f>
        <v/>
      </c>
      <c r="AA767">
        <f>$C767*AA766</f>
        <v/>
      </c>
      <c r="AB767">
        <f>$C767*AB766</f>
        <v/>
      </c>
      <c r="AC767">
        <f>$C767*AC766</f>
        <v/>
      </c>
      <c r="AD767">
        <f>$C767*AD766</f>
        <v/>
      </c>
      <c r="AE767">
        <f>$C767*AE766</f>
        <v/>
      </c>
      <c r="AF767">
        <f>$C767*AF766</f>
        <v/>
      </c>
      <c r="AG767">
        <f>$C767*AG766</f>
        <v/>
      </c>
      <c r="AH767">
        <f>$C767*AH766</f>
        <v/>
      </c>
      <c r="AI767">
        <f>$C767*AI766</f>
        <v/>
      </c>
      <c r="AJ767">
        <f>$C767*AJ766</f>
        <v/>
      </c>
      <c r="AK767">
        <f>$C767*AK766</f>
        <v/>
      </c>
      <c r="AL767">
        <f>$C767*AL766</f>
        <v/>
      </c>
      <c r="AM767">
        <f>$C767*AM766</f>
        <v/>
      </c>
      <c r="AN767">
        <f>$C767*AN766</f>
        <v/>
      </c>
      <c r="AO767">
        <f>$C767*AO766</f>
        <v/>
      </c>
      <c r="AP767">
        <f>$C767*AP766</f>
        <v/>
      </c>
      <c r="AQ767">
        <f>$C767*AQ766</f>
        <v/>
      </c>
      <c r="AR767">
        <f>$C767*AR766</f>
        <v/>
      </c>
      <c r="AS767">
        <f>$C767*AS766</f>
        <v/>
      </c>
      <c r="AT767">
        <f>$C767*AT766</f>
        <v/>
      </c>
      <c r="AU767">
        <f>$C767*AU766</f>
        <v/>
      </c>
      <c r="AV767">
        <f>$C767*AV766</f>
        <v/>
      </c>
      <c r="AW767">
        <f>$C767*AW766</f>
        <v/>
      </c>
      <c r="AX767">
        <f>$C767*AX766</f>
        <v/>
      </c>
      <c r="AY767">
        <f>$C767*AY766</f>
        <v/>
      </c>
      <c r="AZ767">
        <f>$C767*AZ766</f>
        <v/>
      </c>
      <c r="BA767">
        <f>$C767*BA766</f>
        <v/>
      </c>
      <c r="BB767">
        <f>$C767*BB766</f>
        <v/>
      </c>
      <c r="BC767">
        <f>$C767*BC766</f>
        <v/>
      </c>
      <c r="BD767">
        <f>$C767*BD766</f>
        <v/>
      </c>
      <c r="BE767">
        <f>$C767*BE766</f>
        <v/>
      </c>
      <c r="BF767">
        <f>$C767*BF766</f>
        <v/>
      </c>
      <c r="BG767">
        <f>$C767*BG766</f>
        <v/>
      </c>
      <c r="BH767">
        <f>$C767*BH766</f>
        <v/>
      </c>
      <c r="BI767">
        <f>$C767*BI766</f>
        <v/>
      </c>
      <c r="BJ767">
        <f>$C767*BJ766</f>
        <v/>
      </c>
      <c r="BK767">
        <f>$C767*BK766</f>
        <v/>
      </c>
      <c r="BL767">
        <f>$C767*BL766</f>
        <v/>
      </c>
      <c r="BM767">
        <f>$C767*BM766</f>
        <v/>
      </c>
      <c r="BN767">
        <f>$C767*BN766</f>
        <v/>
      </c>
      <c r="BO767">
        <f>$C767*BO766</f>
        <v/>
      </c>
      <c r="BP767">
        <f>$C767*BP766</f>
        <v/>
      </c>
      <c r="BQ767">
        <f>$C767*BQ766</f>
        <v/>
      </c>
      <c r="BR767">
        <f>$C767*BR766</f>
        <v/>
      </c>
      <c r="BS767">
        <f>$C767*BS766</f>
        <v/>
      </c>
      <c r="BT767">
        <f>$C767*BT766</f>
        <v/>
      </c>
      <c r="BU767">
        <f>$C767*BU766</f>
        <v/>
      </c>
      <c r="BV767">
        <f>$C767*BV766</f>
        <v/>
      </c>
      <c r="BW767">
        <f>$C767*BW766</f>
        <v/>
      </c>
      <c r="BX767">
        <f>$C767*BX766</f>
        <v/>
      </c>
      <c r="BY767">
        <f>$C767*BY766</f>
        <v/>
      </c>
      <c r="BZ767">
        <f>$C767*BZ766</f>
        <v/>
      </c>
      <c r="CA767">
        <f>$C767*CA766</f>
        <v/>
      </c>
      <c r="CB767">
        <f>$C767*CB766</f>
        <v/>
      </c>
      <c r="CC767">
        <f>$C767*CC766</f>
        <v/>
      </c>
      <c r="CD767">
        <f>$C767*CD766</f>
        <v/>
      </c>
      <c r="CE767">
        <f>$C767*CE766</f>
        <v/>
      </c>
      <c r="CF767">
        <f>$C767*CF766</f>
        <v/>
      </c>
      <c r="CG767">
        <f>$C767*CG766</f>
        <v/>
      </c>
      <c r="CH767">
        <f>$C767*CH766</f>
        <v/>
      </c>
      <c r="CI767">
        <f>$C767*CI766</f>
        <v/>
      </c>
      <c r="CJ767">
        <f>$C767*CJ766</f>
        <v/>
      </c>
      <c r="CK767">
        <f>$C767*CK766</f>
        <v/>
      </c>
      <c r="CL767">
        <f>$C767*CL766</f>
        <v/>
      </c>
      <c r="CM767">
        <f>$C767*CM766</f>
        <v/>
      </c>
      <c r="CN767">
        <f>$C767*CN766</f>
        <v/>
      </c>
      <c r="CO767">
        <f>$C767*CO766</f>
        <v/>
      </c>
      <c r="CP767">
        <f>$C767*CP766</f>
        <v/>
      </c>
      <c r="CQ767">
        <f>$C767*CQ766</f>
        <v/>
      </c>
      <c r="CR767">
        <f>$C767*CR766</f>
        <v/>
      </c>
      <c r="CS767">
        <f>$C767*CS766</f>
        <v/>
      </c>
      <c r="CT767">
        <f>$C767*CT766</f>
        <v/>
      </c>
      <c r="CU767">
        <f>$C767*CU766</f>
        <v/>
      </c>
      <c r="CV767">
        <f>$C767*CV766</f>
        <v/>
      </c>
      <c r="CW767">
        <f>$C767*CW766</f>
        <v/>
      </c>
      <c r="CX767">
        <f>$C767*CX766</f>
        <v/>
      </c>
      <c r="CY767">
        <f>$C767*CY766</f>
        <v/>
      </c>
      <c r="CZ767">
        <f>$C767*CZ766</f>
        <v/>
      </c>
      <c r="DA767">
        <f>$C767*DA766</f>
        <v/>
      </c>
      <c r="DB767">
        <f>$C767*DB766</f>
        <v/>
      </c>
      <c r="DC767">
        <f>$C767*DC766</f>
        <v/>
      </c>
    </row>
    <row r="768">
      <c r="B768" t="inlineStr">
        <is>
          <t>TSP-934</t>
        </is>
      </c>
      <c r="C768" t="inlineStr">
        <is>
          <t>No. of batches</t>
        </is>
      </c>
      <c r="D768">
        <f>IFERROR(INDEX(PP_Grid[#Data],$DD768,2),0)</f>
        <v/>
      </c>
      <c r="E768">
        <f>IFERROR(INDEX(PP_Grid[#Data],$DD768,3),0)</f>
        <v/>
      </c>
      <c r="F768">
        <f>IFERROR(INDEX(PP_Grid[#Data],$DD768,4),0)</f>
        <v/>
      </c>
      <c r="G768">
        <f>IFERROR(INDEX(PP_Grid[#Data],$DD768,5),0)</f>
        <v/>
      </c>
      <c r="H768">
        <f>IFERROR(INDEX(PP_Grid[#Data],$DD768,6),0)</f>
        <v/>
      </c>
      <c r="I768">
        <f>IFERROR(INDEX(PP_Grid[#Data],$DD768,7),0)</f>
        <v/>
      </c>
      <c r="J768">
        <f>IFERROR(INDEX(PP_Grid[#Data],$DD768,8),0)</f>
        <v/>
      </c>
      <c r="K768">
        <f>IFERROR(INDEX(PP_Grid[#Data],$DD768,9),0)</f>
        <v/>
      </c>
      <c r="L768">
        <f>IFERROR(INDEX(PP_Grid[#Data],$DD768,10),0)</f>
        <v/>
      </c>
      <c r="M768">
        <f>IFERROR(INDEX(PP_Grid[#Data],$DD768,11),0)</f>
        <v/>
      </c>
      <c r="N768">
        <f>IFERROR(INDEX(PP_Grid[#Data],$DD768,12),0)</f>
        <v/>
      </c>
      <c r="O768">
        <f>IFERROR(INDEX(PP_Grid[#Data],$DD768,13),0)</f>
        <v/>
      </c>
      <c r="P768">
        <f>IFERROR(INDEX(PP_Grid[#Data],$DD768,14),0)</f>
        <v/>
      </c>
      <c r="Q768">
        <f>IFERROR(INDEX(PP_Grid[#Data],$DD768,15),0)</f>
        <v/>
      </c>
      <c r="R768">
        <f>IFERROR(INDEX(PP_Grid[#Data],$DD768,16),0)</f>
        <v/>
      </c>
      <c r="S768">
        <f>IFERROR(INDEX(PP_Grid[#Data],$DD768,17),0)</f>
        <v/>
      </c>
      <c r="T768">
        <f>IFERROR(INDEX(PP_Grid[#Data],$DD768,18),0)</f>
        <v/>
      </c>
      <c r="U768">
        <f>IFERROR(INDEX(PP_Grid[#Data],$DD768,19),0)</f>
        <v/>
      </c>
      <c r="V768">
        <f>IFERROR(INDEX(PP_Grid[#Data],$DD768,20),0)</f>
        <v/>
      </c>
      <c r="W768">
        <f>IFERROR(INDEX(PP_Grid[#Data],$DD768,21),0)</f>
        <v/>
      </c>
      <c r="X768">
        <f>IFERROR(INDEX(PP_Grid[#Data],$DD768,22),0)</f>
        <v/>
      </c>
      <c r="Y768">
        <f>IFERROR(INDEX(PP_Grid[#Data],$DD768,23),0)</f>
        <v/>
      </c>
      <c r="Z768">
        <f>IFERROR(INDEX(PP_Grid[#Data],$DD768,24),0)</f>
        <v/>
      </c>
      <c r="AA768">
        <f>IFERROR(INDEX(PP_Grid[#Data],$DD768,25),0)</f>
        <v/>
      </c>
      <c r="AB768">
        <f>IFERROR(INDEX(PP_Grid[#Data],$DD768,26),0)</f>
        <v/>
      </c>
      <c r="AC768">
        <f>IFERROR(INDEX(PP_Grid[#Data],$DD768,27),0)</f>
        <v/>
      </c>
      <c r="AD768">
        <f>IFERROR(INDEX(PP_Grid[#Data],$DD768,28),0)</f>
        <v/>
      </c>
      <c r="AE768">
        <f>IFERROR(INDEX(PP_Grid[#Data],$DD768,29),0)</f>
        <v/>
      </c>
      <c r="AF768">
        <f>IFERROR(INDEX(PP_Grid[#Data],$DD768,30),0)</f>
        <v/>
      </c>
      <c r="AG768">
        <f>IFERROR(INDEX(PP_Grid[#Data],$DD768,31),0)</f>
        <v/>
      </c>
      <c r="AH768">
        <f>IFERROR(INDEX(PP_Grid[#Data],$DD768,32),0)</f>
        <v/>
      </c>
      <c r="AI768">
        <f>IFERROR(INDEX(PP_Grid[#Data],$DD768,33),0)</f>
        <v/>
      </c>
      <c r="AJ768">
        <f>IFERROR(INDEX(PP_Grid[#Data],$DD768,34),0)</f>
        <v/>
      </c>
      <c r="AK768">
        <f>IFERROR(INDEX(PP_Grid[#Data],$DD768,35),0)</f>
        <v/>
      </c>
      <c r="AL768">
        <f>IFERROR(INDEX(PP_Grid[#Data],$DD768,36),0)</f>
        <v/>
      </c>
      <c r="AM768">
        <f>IFERROR(INDEX(PP_Grid[#Data],$DD768,37),0)</f>
        <v/>
      </c>
      <c r="AN768">
        <f>IFERROR(INDEX(PP_Grid[#Data],$DD768,38),0)</f>
        <v/>
      </c>
      <c r="AO768">
        <f>IFERROR(INDEX(PP_Grid[#Data],$DD768,39),0)</f>
        <v/>
      </c>
      <c r="AP768">
        <f>IFERROR(INDEX(PP_Grid[#Data],$DD768,40),0)</f>
        <v/>
      </c>
      <c r="AQ768">
        <f>IFERROR(INDEX(PP_Grid[#Data],$DD768,41),0)</f>
        <v/>
      </c>
      <c r="AR768">
        <f>IFERROR(INDEX(PP_Grid[#Data],$DD768,42),0)</f>
        <v/>
      </c>
      <c r="AS768">
        <f>IFERROR(INDEX(PP_Grid[#Data],$DD768,43),0)</f>
        <v/>
      </c>
      <c r="AT768">
        <f>IFERROR(INDEX(PP_Grid[#Data],$DD768,44),0)</f>
        <v/>
      </c>
      <c r="AU768">
        <f>IFERROR(INDEX(PP_Grid[#Data],$DD768,45),0)</f>
        <v/>
      </c>
      <c r="AV768">
        <f>IFERROR(INDEX(PP_Grid[#Data],$DD768,46),0)</f>
        <v/>
      </c>
      <c r="AW768">
        <f>IFERROR(INDEX(PP_Grid[#Data],$DD768,47),0)</f>
        <v/>
      </c>
      <c r="AX768">
        <f>IFERROR(INDEX(PP_Grid[#Data],$DD768,48),0)</f>
        <v/>
      </c>
      <c r="AY768">
        <f>IFERROR(INDEX(PP_Grid[#Data],$DD768,49),0)</f>
        <v/>
      </c>
      <c r="AZ768">
        <f>IFERROR(INDEX(PP_Grid[#Data],$DD768,50),0)</f>
        <v/>
      </c>
      <c r="BA768">
        <f>IFERROR(INDEX(PP_Grid[#Data],$DD768,51),0)</f>
        <v/>
      </c>
      <c r="BB768">
        <f>IFERROR(INDEX(PP_Grid[#Data],$DD768,52),0)</f>
        <v/>
      </c>
      <c r="BC768">
        <f>IFERROR(INDEX(PP_Grid[#Data],$DD768,53),0)</f>
        <v/>
      </c>
      <c r="BD768">
        <f>IFERROR(INDEX(PP_Grid[#Data],$DD768,54),0)</f>
        <v/>
      </c>
      <c r="BE768">
        <f>IFERROR(INDEX(PP_Grid[#Data],$DD768,55),0)</f>
        <v/>
      </c>
      <c r="BF768">
        <f>IFERROR(INDEX(PP_Grid[#Data],$DD768,56),0)</f>
        <v/>
      </c>
      <c r="BG768">
        <f>IFERROR(INDEX(PP_Grid[#Data],$DD768,57),0)</f>
        <v/>
      </c>
      <c r="BH768">
        <f>IFERROR(INDEX(PP_Grid[#Data],$DD768,58),0)</f>
        <v/>
      </c>
      <c r="BI768">
        <f>IFERROR(INDEX(PP_Grid[#Data],$DD768,59),0)</f>
        <v/>
      </c>
      <c r="BJ768">
        <f>IFERROR(INDEX(PP_Grid[#Data],$DD768,60),0)</f>
        <v/>
      </c>
      <c r="BK768">
        <f>IFERROR(INDEX(PP_Grid[#Data],$DD768,61),0)</f>
        <v/>
      </c>
      <c r="BL768">
        <f>IFERROR(INDEX(PP_Grid[#Data],$DD768,62),0)</f>
        <v/>
      </c>
      <c r="BM768">
        <f>IFERROR(INDEX(PP_Grid[#Data],$DD768,63),0)</f>
        <v/>
      </c>
      <c r="BN768">
        <f>IFERROR(INDEX(PP_Grid[#Data],$DD768,64),0)</f>
        <v/>
      </c>
      <c r="BO768">
        <f>IFERROR(INDEX(PP_Grid[#Data],$DD768,65),0)</f>
        <v/>
      </c>
      <c r="BP768">
        <f>IFERROR(INDEX(PP_Grid[#Data],$DD768,66),0)</f>
        <v/>
      </c>
      <c r="BQ768">
        <f>IFERROR(INDEX(PP_Grid[#Data],$DD768,67),0)</f>
        <v/>
      </c>
      <c r="BR768">
        <f>IFERROR(INDEX(PP_Grid[#Data],$DD768,68),0)</f>
        <v/>
      </c>
      <c r="BS768">
        <f>IFERROR(INDEX(PP_Grid[#Data],$DD768,69),0)</f>
        <v/>
      </c>
      <c r="BT768">
        <f>IFERROR(INDEX(PP_Grid[#Data],$DD768,70),0)</f>
        <v/>
      </c>
      <c r="BU768">
        <f>IFERROR(INDEX(PP_Grid[#Data],$DD768,71),0)</f>
        <v/>
      </c>
      <c r="BV768">
        <f>IFERROR(INDEX(PP_Grid[#Data],$DD768,72),0)</f>
        <v/>
      </c>
      <c r="BW768">
        <f>IFERROR(INDEX(PP_Grid[#Data],$DD768,73),0)</f>
        <v/>
      </c>
      <c r="BX768">
        <f>IFERROR(INDEX(PP_Grid[#Data],$DD768,74),0)</f>
        <v/>
      </c>
      <c r="BY768">
        <f>IFERROR(INDEX(PP_Grid[#Data],$DD768,75),0)</f>
        <v/>
      </c>
      <c r="BZ768">
        <f>IFERROR(INDEX(PP_Grid[#Data],$DD768,76),0)</f>
        <v/>
      </c>
      <c r="CA768">
        <f>IFERROR(INDEX(PP_Grid[#Data],$DD768,77),0)</f>
        <v/>
      </c>
      <c r="CB768">
        <f>IFERROR(INDEX(PP_Grid[#Data],$DD768,78),0)</f>
        <v/>
      </c>
      <c r="CC768">
        <f>IFERROR(INDEX(PP_Grid[#Data],$DD768,79),0)</f>
        <v/>
      </c>
      <c r="CD768">
        <f>IFERROR(INDEX(PP_Grid[#Data],$DD768,80),0)</f>
        <v/>
      </c>
      <c r="CE768">
        <f>IFERROR(INDEX(PP_Grid[#Data],$DD768,81),0)</f>
        <v/>
      </c>
      <c r="CF768">
        <f>IFERROR(INDEX(PP_Grid[#Data],$DD768,82),0)</f>
        <v/>
      </c>
      <c r="CG768">
        <f>IFERROR(INDEX(PP_Grid[#Data],$DD768,83),0)</f>
        <v/>
      </c>
      <c r="CH768">
        <f>IFERROR(INDEX(PP_Grid[#Data],$DD768,84),0)</f>
        <v/>
      </c>
      <c r="CI768">
        <f>IFERROR(INDEX(PP_Grid[#Data],$DD768,85),0)</f>
        <v/>
      </c>
      <c r="CJ768">
        <f>IFERROR(INDEX(PP_Grid[#Data],$DD768,86),0)</f>
        <v/>
      </c>
      <c r="CK768">
        <f>IFERROR(INDEX(PP_Grid[#Data],$DD768,87),0)</f>
        <v/>
      </c>
      <c r="CL768">
        <f>IFERROR(INDEX(PP_Grid[#Data],$DD768,88),0)</f>
        <v/>
      </c>
      <c r="CM768">
        <f>IFERROR(INDEX(PP_Grid[#Data],$DD768,89),0)</f>
        <v/>
      </c>
      <c r="CN768">
        <f>IFERROR(INDEX(PP_Grid[#Data],$DD768,90),0)</f>
        <v/>
      </c>
      <c r="CO768">
        <f>IFERROR(INDEX(PP_Grid[#Data],$DD768,91),0)</f>
        <v/>
      </c>
      <c r="CP768">
        <f>IFERROR(INDEX(PP_Grid[#Data],$DD768,92),0)</f>
        <v/>
      </c>
      <c r="CQ768">
        <f>IFERROR(INDEX(PP_Grid[#Data],$DD768,93),0)</f>
        <v/>
      </c>
      <c r="CR768">
        <f>IFERROR(INDEX(PP_Grid[#Data],$DD768,94),0)</f>
        <v/>
      </c>
      <c r="CS768">
        <f>IFERROR(INDEX(PP_Grid[#Data],$DD768,95),0)</f>
        <v/>
      </c>
      <c r="CT768">
        <f>IFERROR(INDEX(PP_Grid[#Data],$DD768,96),0)</f>
        <v/>
      </c>
      <c r="CU768">
        <f>IFERROR(INDEX(PP_Grid[#Data],$DD768,97),0)</f>
        <v/>
      </c>
      <c r="CV768">
        <f>IFERROR(INDEX(PP_Grid[#Data],$DD768,98),0)</f>
        <v/>
      </c>
      <c r="CW768">
        <f>IFERROR(INDEX(PP_Grid[#Data],$DD768,99),0)</f>
        <v/>
      </c>
      <c r="CX768">
        <f>IFERROR(INDEX(PP_Grid[#Data],$DD768,100),0)</f>
        <v/>
      </c>
      <c r="CY768">
        <f>IFERROR(INDEX(PP_Grid[#Data],$DD768,101),0)</f>
        <v/>
      </c>
      <c r="CZ768">
        <f>IFERROR(INDEX(PP_Grid[#Data],$DD768,102),0)</f>
        <v/>
      </c>
      <c r="DA768">
        <f>IFERROR(INDEX(PP_Grid[#Data],$DD768,103),0)</f>
        <v/>
      </c>
      <c r="DB768">
        <f>IFERROR(INDEX(PP_Grid[#Data],$DD768,104),0)</f>
        <v/>
      </c>
      <c r="DC768">
        <f>IFERROR(INDEX(PP_Grid[#Data],$DD768,105),0)</f>
        <v/>
      </c>
      <c r="DD768" s="12">
        <f>IFERROR(MATCH($B768,PP_Grid[Intermediate],0),99999)</f>
        <v/>
      </c>
    </row>
    <row r="769">
      <c r="B769" t="inlineStr">
        <is>
          <t>使用量(kg)</t>
        </is>
      </c>
      <c r="C769">
        <f>SUMIFS(M_BOM[RM_Qty_Per_Batch],M_BOM[Intermediate],$B768,M_BOM[Part Name],$A669)</f>
        <v/>
      </c>
      <c r="D769">
        <f>$C769*D768</f>
        <v/>
      </c>
      <c r="E769">
        <f>$C769*E768</f>
        <v/>
      </c>
      <c r="F769">
        <f>$C769*F768</f>
        <v/>
      </c>
      <c r="G769">
        <f>$C769*G768</f>
        <v/>
      </c>
      <c r="H769">
        <f>$C769*H768</f>
        <v/>
      </c>
      <c r="I769">
        <f>$C769*I768</f>
        <v/>
      </c>
      <c r="J769">
        <f>$C769*J768</f>
        <v/>
      </c>
      <c r="K769">
        <f>$C769*K768</f>
        <v/>
      </c>
      <c r="L769">
        <f>$C769*L768</f>
        <v/>
      </c>
      <c r="M769">
        <f>$C769*M768</f>
        <v/>
      </c>
      <c r="N769">
        <f>$C769*N768</f>
        <v/>
      </c>
      <c r="O769">
        <f>$C769*O768</f>
        <v/>
      </c>
      <c r="P769">
        <f>$C769*P768</f>
        <v/>
      </c>
      <c r="Q769">
        <f>$C769*Q768</f>
        <v/>
      </c>
      <c r="R769">
        <f>$C769*R768</f>
        <v/>
      </c>
      <c r="S769">
        <f>$C769*S768</f>
        <v/>
      </c>
      <c r="T769">
        <f>$C769*T768</f>
        <v/>
      </c>
      <c r="U769">
        <f>$C769*U768</f>
        <v/>
      </c>
      <c r="V769">
        <f>$C769*V768</f>
        <v/>
      </c>
      <c r="W769">
        <f>$C769*W768</f>
        <v/>
      </c>
      <c r="X769">
        <f>$C769*X768</f>
        <v/>
      </c>
      <c r="Y769">
        <f>$C769*Y768</f>
        <v/>
      </c>
      <c r="Z769">
        <f>$C769*Z768</f>
        <v/>
      </c>
      <c r="AA769">
        <f>$C769*AA768</f>
        <v/>
      </c>
      <c r="AB769">
        <f>$C769*AB768</f>
        <v/>
      </c>
      <c r="AC769">
        <f>$C769*AC768</f>
        <v/>
      </c>
      <c r="AD769">
        <f>$C769*AD768</f>
        <v/>
      </c>
      <c r="AE769">
        <f>$C769*AE768</f>
        <v/>
      </c>
      <c r="AF769">
        <f>$C769*AF768</f>
        <v/>
      </c>
      <c r="AG769">
        <f>$C769*AG768</f>
        <v/>
      </c>
      <c r="AH769">
        <f>$C769*AH768</f>
        <v/>
      </c>
      <c r="AI769">
        <f>$C769*AI768</f>
        <v/>
      </c>
      <c r="AJ769">
        <f>$C769*AJ768</f>
        <v/>
      </c>
      <c r="AK769">
        <f>$C769*AK768</f>
        <v/>
      </c>
      <c r="AL769">
        <f>$C769*AL768</f>
        <v/>
      </c>
      <c r="AM769">
        <f>$C769*AM768</f>
        <v/>
      </c>
      <c r="AN769">
        <f>$C769*AN768</f>
        <v/>
      </c>
      <c r="AO769">
        <f>$C769*AO768</f>
        <v/>
      </c>
      <c r="AP769">
        <f>$C769*AP768</f>
        <v/>
      </c>
      <c r="AQ769">
        <f>$C769*AQ768</f>
        <v/>
      </c>
      <c r="AR769">
        <f>$C769*AR768</f>
        <v/>
      </c>
      <c r="AS769">
        <f>$C769*AS768</f>
        <v/>
      </c>
      <c r="AT769">
        <f>$C769*AT768</f>
        <v/>
      </c>
      <c r="AU769">
        <f>$C769*AU768</f>
        <v/>
      </c>
      <c r="AV769">
        <f>$C769*AV768</f>
        <v/>
      </c>
      <c r="AW769">
        <f>$C769*AW768</f>
        <v/>
      </c>
      <c r="AX769">
        <f>$C769*AX768</f>
        <v/>
      </c>
      <c r="AY769">
        <f>$C769*AY768</f>
        <v/>
      </c>
      <c r="AZ769">
        <f>$C769*AZ768</f>
        <v/>
      </c>
      <c r="BA769">
        <f>$C769*BA768</f>
        <v/>
      </c>
      <c r="BB769">
        <f>$C769*BB768</f>
        <v/>
      </c>
      <c r="BC769">
        <f>$C769*BC768</f>
        <v/>
      </c>
      <c r="BD769">
        <f>$C769*BD768</f>
        <v/>
      </c>
      <c r="BE769">
        <f>$C769*BE768</f>
        <v/>
      </c>
      <c r="BF769">
        <f>$C769*BF768</f>
        <v/>
      </c>
      <c r="BG769">
        <f>$C769*BG768</f>
        <v/>
      </c>
      <c r="BH769">
        <f>$C769*BH768</f>
        <v/>
      </c>
      <c r="BI769">
        <f>$C769*BI768</f>
        <v/>
      </c>
      <c r="BJ769">
        <f>$C769*BJ768</f>
        <v/>
      </c>
      <c r="BK769">
        <f>$C769*BK768</f>
        <v/>
      </c>
      <c r="BL769">
        <f>$C769*BL768</f>
        <v/>
      </c>
      <c r="BM769">
        <f>$C769*BM768</f>
        <v/>
      </c>
      <c r="BN769">
        <f>$C769*BN768</f>
        <v/>
      </c>
      <c r="BO769">
        <f>$C769*BO768</f>
        <v/>
      </c>
      <c r="BP769">
        <f>$C769*BP768</f>
        <v/>
      </c>
      <c r="BQ769">
        <f>$C769*BQ768</f>
        <v/>
      </c>
      <c r="BR769">
        <f>$C769*BR768</f>
        <v/>
      </c>
      <c r="BS769">
        <f>$C769*BS768</f>
        <v/>
      </c>
      <c r="BT769">
        <f>$C769*BT768</f>
        <v/>
      </c>
      <c r="BU769">
        <f>$C769*BU768</f>
        <v/>
      </c>
      <c r="BV769">
        <f>$C769*BV768</f>
        <v/>
      </c>
      <c r="BW769">
        <f>$C769*BW768</f>
        <v/>
      </c>
      <c r="BX769">
        <f>$C769*BX768</f>
        <v/>
      </c>
      <c r="BY769">
        <f>$C769*BY768</f>
        <v/>
      </c>
      <c r="BZ769">
        <f>$C769*BZ768</f>
        <v/>
      </c>
      <c r="CA769">
        <f>$C769*CA768</f>
        <v/>
      </c>
      <c r="CB769">
        <f>$C769*CB768</f>
        <v/>
      </c>
      <c r="CC769">
        <f>$C769*CC768</f>
        <v/>
      </c>
      <c r="CD769">
        <f>$C769*CD768</f>
        <v/>
      </c>
      <c r="CE769">
        <f>$C769*CE768</f>
        <v/>
      </c>
      <c r="CF769">
        <f>$C769*CF768</f>
        <v/>
      </c>
      <c r="CG769">
        <f>$C769*CG768</f>
        <v/>
      </c>
      <c r="CH769">
        <f>$C769*CH768</f>
        <v/>
      </c>
      <c r="CI769">
        <f>$C769*CI768</f>
        <v/>
      </c>
      <c r="CJ769">
        <f>$C769*CJ768</f>
        <v/>
      </c>
      <c r="CK769">
        <f>$C769*CK768</f>
        <v/>
      </c>
      <c r="CL769">
        <f>$C769*CL768</f>
        <v/>
      </c>
      <c r="CM769">
        <f>$C769*CM768</f>
        <v/>
      </c>
      <c r="CN769">
        <f>$C769*CN768</f>
        <v/>
      </c>
      <c r="CO769">
        <f>$C769*CO768</f>
        <v/>
      </c>
      <c r="CP769">
        <f>$C769*CP768</f>
        <v/>
      </c>
      <c r="CQ769">
        <f>$C769*CQ768</f>
        <v/>
      </c>
      <c r="CR769">
        <f>$C769*CR768</f>
        <v/>
      </c>
      <c r="CS769">
        <f>$C769*CS768</f>
        <v/>
      </c>
      <c r="CT769">
        <f>$C769*CT768</f>
        <v/>
      </c>
      <c r="CU769">
        <f>$C769*CU768</f>
        <v/>
      </c>
      <c r="CV769">
        <f>$C769*CV768</f>
        <v/>
      </c>
      <c r="CW769">
        <f>$C769*CW768</f>
        <v/>
      </c>
      <c r="CX769">
        <f>$C769*CX768</f>
        <v/>
      </c>
      <c r="CY769">
        <f>$C769*CY768</f>
        <v/>
      </c>
      <c r="CZ769">
        <f>$C769*CZ768</f>
        <v/>
      </c>
      <c r="DA769">
        <f>$C769*DA768</f>
        <v/>
      </c>
      <c r="DB769">
        <f>$C769*DB768</f>
        <v/>
      </c>
      <c r="DC769">
        <f>$C769*DC768</f>
        <v/>
      </c>
    </row>
    <row r="770">
      <c r="B770" t="inlineStr">
        <is>
          <t>TSP-935</t>
        </is>
      </c>
      <c r="C770" t="inlineStr">
        <is>
          <t>No. of batches</t>
        </is>
      </c>
      <c r="D770">
        <f>IFERROR(INDEX(PP_Grid[#Data],$DD770,2),0)</f>
        <v/>
      </c>
      <c r="E770">
        <f>IFERROR(INDEX(PP_Grid[#Data],$DD770,3),0)</f>
        <v/>
      </c>
      <c r="F770">
        <f>IFERROR(INDEX(PP_Grid[#Data],$DD770,4),0)</f>
        <v/>
      </c>
      <c r="G770">
        <f>IFERROR(INDEX(PP_Grid[#Data],$DD770,5),0)</f>
        <v/>
      </c>
      <c r="H770">
        <f>IFERROR(INDEX(PP_Grid[#Data],$DD770,6),0)</f>
        <v/>
      </c>
      <c r="I770">
        <f>IFERROR(INDEX(PP_Grid[#Data],$DD770,7),0)</f>
        <v/>
      </c>
      <c r="J770">
        <f>IFERROR(INDEX(PP_Grid[#Data],$DD770,8),0)</f>
        <v/>
      </c>
      <c r="K770">
        <f>IFERROR(INDEX(PP_Grid[#Data],$DD770,9),0)</f>
        <v/>
      </c>
      <c r="L770">
        <f>IFERROR(INDEX(PP_Grid[#Data],$DD770,10),0)</f>
        <v/>
      </c>
      <c r="M770">
        <f>IFERROR(INDEX(PP_Grid[#Data],$DD770,11),0)</f>
        <v/>
      </c>
      <c r="N770">
        <f>IFERROR(INDEX(PP_Grid[#Data],$DD770,12),0)</f>
        <v/>
      </c>
      <c r="O770">
        <f>IFERROR(INDEX(PP_Grid[#Data],$DD770,13),0)</f>
        <v/>
      </c>
      <c r="P770">
        <f>IFERROR(INDEX(PP_Grid[#Data],$DD770,14),0)</f>
        <v/>
      </c>
      <c r="Q770">
        <f>IFERROR(INDEX(PP_Grid[#Data],$DD770,15),0)</f>
        <v/>
      </c>
      <c r="R770">
        <f>IFERROR(INDEX(PP_Grid[#Data],$DD770,16),0)</f>
        <v/>
      </c>
      <c r="S770">
        <f>IFERROR(INDEX(PP_Grid[#Data],$DD770,17),0)</f>
        <v/>
      </c>
      <c r="T770">
        <f>IFERROR(INDEX(PP_Grid[#Data],$DD770,18),0)</f>
        <v/>
      </c>
      <c r="U770">
        <f>IFERROR(INDEX(PP_Grid[#Data],$DD770,19),0)</f>
        <v/>
      </c>
      <c r="V770">
        <f>IFERROR(INDEX(PP_Grid[#Data],$DD770,20),0)</f>
        <v/>
      </c>
      <c r="W770">
        <f>IFERROR(INDEX(PP_Grid[#Data],$DD770,21),0)</f>
        <v/>
      </c>
      <c r="X770">
        <f>IFERROR(INDEX(PP_Grid[#Data],$DD770,22),0)</f>
        <v/>
      </c>
      <c r="Y770">
        <f>IFERROR(INDEX(PP_Grid[#Data],$DD770,23),0)</f>
        <v/>
      </c>
      <c r="Z770">
        <f>IFERROR(INDEX(PP_Grid[#Data],$DD770,24),0)</f>
        <v/>
      </c>
      <c r="AA770">
        <f>IFERROR(INDEX(PP_Grid[#Data],$DD770,25),0)</f>
        <v/>
      </c>
      <c r="AB770">
        <f>IFERROR(INDEX(PP_Grid[#Data],$DD770,26),0)</f>
        <v/>
      </c>
      <c r="AC770">
        <f>IFERROR(INDEX(PP_Grid[#Data],$DD770,27),0)</f>
        <v/>
      </c>
      <c r="AD770">
        <f>IFERROR(INDEX(PP_Grid[#Data],$DD770,28),0)</f>
        <v/>
      </c>
      <c r="AE770">
        <f>IFERROR(INDEX(PP_Grid[#Data],$DD770,29),0)</f>
        <v/>
      </c>
      <c r="AF770">
        <f>IFERROR(INDEX(PP_Grid[#Data],$DD770,30),0)</f>
        <v/>
      </c>
      <c r="AG770">
        <f>IFERROR(INDEX(PP_Grid[#Data],$DD770,31),0)</f>
        <v/>
      </c>
      <c r="AH770">
        <f>IFERROR(INDEX(PP_Grid[#Data],$DD770,32),0)</f>
        <v/>
      </c>
      <c r="AI770">
        <f>IFERROR(INDEX(PP_Grid[#Data],$DD770,33),0)</f>
        <v/>
      </c>
      <c r="AJ770">
        <f>IFERROR(INDEX(PP_Grid[#Data],$DD770,34),0)</f>
        <v/>
      </c>
      <c r="AK770">
        <f>IFERROR(INDEX(PP_Grid[#Data],$DD770,35),0)</f>
        <v/>
      </c>
      <c r="AL770">
        <f>IFERROR(INDEX(PP_Grid[#Data],$DD770,36),0)</f>
        <v/>
      </c>
      <c r="AM770">
        <f>IFERROR(INDEX(PP_Grid[#Data],$DD770,37),0)</f>
        <v/>
      </c>
      <c r="AN770">
        <f>IFERROR(INDEX(PP_Grid[#Data],$DD770,38),0)</f>
        <v/>
      </c>
      <c r="AO770">
        <f>IFERROR(INDEX(PP_Grid[#Data],$DD770,39),0)</f>
        <v/>
      </c>
      <c r="AP770">
        <f>IFERROR(INDEX(PP_Grid[#Data],$DD770,40),0)</f>
        <v/>
      </c>
      <c r="AQ770">
        <f>IFERROR(INDEX(PP_Grid[#Data],$DD770,41),0)</f>
        <v/>
      </c>
      <c r="AR770">
        <f>IFERROR(INDEX(PP_Grid[#Data],$DD770,42),0)</f>
        <v/>
      </c>
      <c r="AS770">
        <f>IFERROR(INDEX(PP_Grid[#Data],$DD770,43),0)</f>
        <v/>
      </c>
      <c r="AT770">
        <f>IFERROR(INDEX(PP_Grid[#Data],$DD770,44),0)</f>
        <v/>
      </c>
      <c r="AU770">
        <f>IFERROR(INDEX(PP_Grid[#Data],$DD770,45),0)</f>
        <v/>
      </c>
      <c r="AV770">
        <f>IFERROR(INDEX(PP_Grid[#Data],$DD770,46),0)</f>
        <v/>
      </c>
      <c r="AW770">
        <f>IFERROR(INDEX(PP_Grid[#Data],$DD770,47),0)</f>
        <v/>
      </c>
      <c r="AX770">
        <f>IFERROR(INDEX(PP_Grid[#Data],$DD770,48),0)</f>
        <v/>
      </c>
      <c r="AY770">
        <f>IFERROR(INDEX(PP_Grid[#Data],$DD770,49),0)</f>
        <v/>
      </c>
      <c r="AZ770">
        <f>IFERROR(INDEX(PP_Grid[#Data],$DD770,50),0)</f>
        <v/>
      </c>
      <c r="BA770">
        <f>IFERROR(INDEX(PP_Grid[#Data],$DD770,51),0)</f>
        <v/>
      </c>
      <c r="BB770">
        <f>IFERROR(INDEX(PP_Grid[#Data],$DD770,52),0)</f>
        <v/>
      </c>
      <c r="BC770">
        <f>IFERROR(INDEX(PP_Grid[#Data],$DD770,53),0)</f>
        <v/>
      </c>
      <c r="BD770">
        <f>IFERROR(INDEX(PP_Grid[#Data],$DD770,54),0)</f>
        <v/>
      </c>
      <c r="BE770">
        <f>IFERROR(INDEX(PP_Grid[#Data],$DD770,55),0)</f>
        <v/>
      </c>
      <c r="BF770">
        <f>IFERROR(INDEX(PP_Grid[#Data],$DD770,56),0)</f>
        <v/>
      </c>
      <c r="BG770">
        <f>IFERROR(INDEX(PP_Grid[#Data],$DD770,57),0)</f>
        <v/>
      </c>
      <c r="BH770">
        <f>IFERROR(INDEX(PP_Grid[#Data],$DD770,58),0)</f>
        <v/>
      </c>
      <c r="BI770">
        <f>IFERROR(INDEX(PP_Grid[#Data],$DD770,59),0)</f>
        <v/>
      </c>
      <c r="BJ770">
        <f>IFERROR(INDEX(PP_Grid[#Data],$DD770,60),0)</f>
        <v/>
      </c>
      <c r="BK770">
        <f>IFERROR(INDEX(PP_Grid[#Data],$DD770,61),0)</f>
        <v/>
      </c>
      <c r="BL770">
        <f>IFERROR(INDEX(PP_Grid[#Data],$DD770,62),0)</f>
        <v/>
      </c>
      <c r="BM770">
        <f>IFERROR(INDEX(PP_Grid[#Data],$DD770,63),0)</f>
        <v/>
      </c>
      <c r="BN770">
        <f>IFERROR(INDEX(PP_Grid[#Data],$DD770,64),0)</f>
        <v/>
      </c>
      <c r="BO770">
        <f>IFERROR(INDEX(PP_Grid[#Data],$DD770,65),0)</f>
        <v/>
      </c>
      <c r="BP770">
        <f>IFERROR(INDEX(PP_Grid[#Data],$DD770,66),0)</f>
        <v/>
      </c>
      <c r="BQ770">
        <f>IFERROR(INDEX(PP_Grid[#Data],$DD770,67),0)</f>
        <v/>
      </c>
      <c r="BR770">
        <f>IFERROR(INDEX(PP_Grid[#Data],$DD770,68),0)</f>
        <v/>
      </c>
      <c r="BS770">
        <f>IFERROR(INDEX(PP_Grid[#Data],$DD770,69),0)</f>
        <v/>
      </c>
      <c r="BT770">
        <f>IFERROR(INDEX(PP_Grid[#Data],$DD770,70),0)</f>
        <v/>
      </c>
      <c r="BU770">
        <f>IFERROR(INDEX(PP_Grid[#Data],$DD770,71),0)</f>
        <v/>
      </c>
      <c r="BV770">
        <f>IFERROR(INDEX(PP_Grid[#Data],$DD770,72),0)</f>
        <v/>
      </c>
      <c r="BW770">
        <f>IFERROR(INDEX(PP_Grid[#Data],$DD770,73),0)</f>
        <v/>
      </c>
      <c r="BX770">
        <f>IFERROR(INDEX(PP_Grid[#Data],$DD770,74),0)</f>
        <v/>
      </c>
      <c r="BY770">
        <f>IFERROR(INDEX(PP_Grid[#Data],$DD770,75),0)</f>
        <v/>
      </c>
      <c r="BZ770">
        <f>IFERROR(INDEX(PP_Grid[#Data],$DD770,76),0)</f>
        <v/>
      </c>
      <c r="CA770">
        <f>IFERROR(INDEX(PP_Grid[#Data],$DD770,77),0)</f>
        <v/>
      </c>
      <c r="CB770">
        <f>IFERROR(INDEX(PP_Grid[#Data],$DD770,78),0)</f>
        <v/>
      </c>
      <c r="CC770">
        <f>IFERROR(INDEX(PP_Grid[#Data],$DD770,79),0)</f>
        <v/>
      </c>
      <c r="CD770">
        <f>IFERROR(INDEX(PP_Grid[#Data],$DD770,80),0)</f>
        <v/>
      </c>
      <c r="CE770">
        <f>IFERROR(INDEX(PP_Grid[#Data],$DD770,81),0)</f>
        <v/>
      </c>
      <c r="CF770">
        <f>IFERROR(INDEX(PP_Grid[#Data],$DD770,82),0)</f>
        <v/>
      </c>
      <c r="CG770">
        <f>IFERROR(INDEX(PP_Grid[#Data],$DD770,83),0)</f>
        <v/>
      </c>
      <c r="CH770">
        <f>IFERROR(INDEX(PP_Grid[#Data],$DD770,84),0)</f>
        <v/>
      </c>
      <c r="CI770">
        <f>IFERROR(INDEX(PP_Grid[#Data],$DD770,85),0)</f>
        <v/>
      </c>
      <c r="CJ770">
        <f>IFERROR(INDEX(PP_Grid[#Data],$DD770,86),0)</f>
        <v/>
      </c>
      <c r="CK770">
        <f>IFERROR(INDEX(PP_Grid[#Data],$DD770,87),0)</f>
        <v/>
      </c>
      <c r="CL770">
        <f>IFERROR(INDEX(PP_Grid[#Data],$DD770,88),0)</f>
        <v/>
      </c>
      <c r="CM770">
        <f>IFERROR(INDEX(PP_Grid[#Data],$DD770,89),0)</f>
        <v/>
      </c>
      <c r="CN770">
        <f>IFERROR(INDEX(PP_Grid[#Data],$DD770,90),0)</f>
        <v/>
      </c>
      <c r="CO770">
        <f>IFERROR(INDEX(PP_Grid[#Data],$DD770,91),0)</f>
        <v/>
      </c>
      <c r="CP770">
        <f>IFERROR(INDEX(PP_Grid[#Data],$DD770,92),0)</f>
        <v/>
      </c>
      <c r="CQ770">
        <f>IFERROR(INDEX(PP_Grid[#Data],$DD770,93),0)</f>
        <v/>
      </c>
      <c r="CR770">
        <f>IFERROR(INDEX(PP_Grid[#Data],$DD770,94),0)</f>
        <v/>
      </c>
      <c r="CS770">
        <f>IFERROR(INDEX(PP_Grid[#Data],$DD770,95),0)</f>
        <v/>
      </c>
      <c r="CT770">
        <f>IFERROR(INDEX(PP_Grid[#Data],$DD770,96),0)</f>
        <v/>
      </c>
      <c r="CU770">
        <f>IFERROR(INDEX(PP_Grid[#Data],$DD770,97),0)</f>
        <v/>
      </c>
      <c r="CV770">
        <f>IFERROR(INDEX(PP_Grid[#Data],$DD770,98),0)</f>
        <v/>
      </c>
      <c r="CW770">
        <f>IFERROR(INDEX(PP_Grid[#Data],$DD770,99),0)</f>
        <v/>
      </c>
      <c r="CX770">
        <f>IFERROR(INDEX(PP_Grid[#Data],$DD770,100),0)</f>
        <v/>
      </c>
      <c r="CY770">
        <f>IFERROR(INDEX(PP_Grid[#Data],$DD770,101),0)</f>
        <v/>
      </c>
      <c r="CZ770">
        <f>IFERROR(INDEX(PP_Grid[#Data],$DD770,102),0)</f>
        <v/>
      </c>
      <c r="DA770">
        <f>IFERROR(INDEX(PP_Grid[#Data],$DD770,103),0)</f>
        <v/>
      </c>
      <c r="DB770">
        <f>IFERROR(INDEX(PP_Grid[#Data],$DD770,104),0)</f>
        <v/>
      </c>
      <c r="DC770">
        <f>IFERROR(INDEX(PP_Grid[#Data],$DD770,105),0)</f>
        <v/>
      </c>
      <c r="DD770" s="12">
        <f>IFERROR(MATCH($B770,PP_Grid[Intermediate],0),99999)</f>
        <v/>
      </c>
    </row>
    <row r="771">
      <c r="B771" t="inlineStr">
        <is>
          <t>使用量(kg)</t>
        </is>
      </c>
      <c r="C771">
        <f>SUMIFS(M_BOM[RM_Qty_Per_Batch],M_BOM[Intermediate],$B770,M_BOM[Part Name],$A669)</f>
        <v/>
      </c>
      <c r="D771">
        <f>$C771*D770</f>
        <v/>
      </c>
      <c r="E771">
        <f>$C771*E770</f>
        <v/>
      </c>
      <c r="F771">
        <f>$C771*F770</f>
        <v/>
      </c>
      <c r="G771">
        <f>$C771*G770</f>
        <v/>
      </c>
      <c r="H771">
        <f>$C771*H770</f>
        <v/>
      </c>
      <c r="I771">
        <f>$C771*I770</f>
        <v/>
      </c>
      <c r="J771">
        <f>$C771*J770</f>
        <v/>
      </c>
      <c r="K771">
        <f>$C771*K770</f>
        <v/>
      </c>
      <c r="L771">
        <f>$C771*L770</f>
        <v/>
      </c>
      <c r="M771">
        <f>$C771*M770</f>
        <v/>
      </c>
      <c r="N771">
        <f>$C771*N770</f>
        <v/>
      </c>
      <c r="O771">
        <f>$C771*O770</f>
        <v/>
      </c>
      <c r="P771">
        <f>$C771*P770</f>
        <v/>
      </c>
      <c r="Q771">
        <f>$C771*Q770</f>
        <v/>
      </c>
      <c r="R771">
        <f>$C771*R770</f>
        <v/>
      </c>
      <c r="S771">
        <f>$C771*S770</f>
        <v/>
      </c>
      <c r="T771">
        <f>$C771*T770</f>
        <v/>
      </c>
      <c r="U771">
        <f>$C771*U770</f>
        <v/>
      </c>
      <c r="V771">
        <f>$C771*V770</f>
        <v/>
      </c>
      <c r="W771">
        <f>$C771*W770</f>
        <v/>
      </c>
      <c r="X771">
        <f>$C771*X770</f>
        <v/>
      </c>
      <c r="Y771">
        <f>$C771*Y770</f>
        <v/>
      </c>
      <c r="Z771">
        <f>$C771*Z770</f>
        <v/>
      </c>
      <c r="AA771">
        <f>$C771*AA770</f>
        <v/>
      </c>
      <c r="AB771">
        <f>$C771*AB770</f>
        <v/>
      </c>
      <c r="AC771">
        <f>$C771*AC770</f>
        <v/>
      </c>
      <c r="AD771">
        <f>$C771*AD770</f>
        <v/>
      </c>
      <c r="AE771">
        <f>$C771*AE770</f>
        <v/>
      </c>
      <c r="AF771">
        <f>$C771*AF770</f>
        <v/>
      </c>
      <c r="AG771">
        <f>$C771*AG770</f>
        <v/>
      </c>
      <c r="AH771">
        <f>$C771*AH770</f>
        <v/>
      </c>
      <c r="AI771">
        <f>$C771*AI770</f>
        <v/>
      </c>
      <c r="AJ771">
        <f>$C771*AJ770</f>
        <v/>
      </c>
      <c r="AK771">
        <f>$C771*AK770</f>
        <v/>
      </c>
      <c r="AL771">
        <f>$C771*AL770</f>
        <v/>
      </c>
      <c r="AM771">
        <f>$C771*AM770</f>
        <v/>
      </c>
      <c r="AN771">
        <f>$C771*AN770</f>
        <v/>
      </c>
      <c r="AO771">
        <f>$C771*AO770</f>
        <v/>
      </c>
      <c r="AP771">
        <f>$C771*AP770</f>
        <v/>
      </c>
      <c r="AQ771">
        <f>$C771*AQ770</f>
        <v/>
      </c>
      <c r="AR771">
        <f>$C771*AR770</f>
        <v/>
      </c>
      <c r="AS771">
        <f>$C771*AS770</f>
        <v/>
      </c>
      <c r="AT771">
        <f>$C771*AT770</f>
        <v/>
      </c>
      <c r="AU771">
        <f>$C771*AU770</f>
        <v/>
      </c>
      <c r="AV771">
        <f>$C771*AV770</f>
        <v/>
      </c>
      <c r="AW771">
        <f>$C771*AW770</f>
        <v/>
      </c>
      <c r="AX771">
        <f>$C771*AX770</f>
        <v/>
      </c>
      <c r="AY771">
        <f>$C771*AY770</f>
        <v/>
      </c>
      <c r="AZ771">
        <f>$C771*AZ770</f>
        <v/>
      </c>
      <c r="BA771">
        <f>$C771*BA770</f>
        <v/>
      </c>
      <c r="BB771">
        <f>$C771*BB770</f>
        <v/>
      </c>
      <c r="BC771">
        <f>$C771*BC770</f>
        <v/>
      </c>
      <c r="BD771">
        <f>$C771*BD770</f>
        <v/>
      </c>
      <c r="BE771">
        <f>$C771*BE770</f>
        <v/>
      </c>
      <c r="BF771">
        <f>$C771*BF770</f>
        <v/>
      </c>
      <c r="BG771">
        <f>$C771*BG770</f>
        <v/>
      </c>
      <c r="BH771">
        <f>$C771*BH770</f>
        <v/>
      </c>
      <c r="BI771">
        <f>$C771*BI770</f>
        <v/>
      </c>
      <c r="BJ771">
        <f>$C771*BJ770</f>
        <v/>
      </c>
      <c r="BK771">
        <f>$C771*BK770</f>
        <v/>
      </c>
      <c r="BL771">
        <f>$C771*BL770</f>
        <v/>
      </c>
      <c r="BM771">
        <f>$C771*BM770</f>
        <v/>
      </c>
      <c r="BN771">
        <f>$C771*BN770</f>
        <v/>
      </c>
      <c r="BO771">
        <f>$C771*BO770</f>
        <v/>
      </c>
      <c r="BP771">
        <f>$C771*BP770</f>
        <v/>
      </c>
      <c r="BQ771">
        <f>$C771*BQ770</f>
        <v/>
      </c>
      <c r="BR771">
        <f>$C771*BR770</f>
        <v/>
      </c>
      <c r="BS771">
        <f>$C771*BS770</f>
        <v/>
      </c>
      <c r="BT771">
        <f>$C771*BT770</f>
        <v/>
      </c>
      <c r="BU771">
        <f>$C771*BU770</f>
        <v/>
      </c>
      <c r="BV771">
        <f>$C771*BV770</f>
        <v/>
      </c>
      <c r="BW771">
        <f>$C771*BW770</f>
        <v/>
      </c>
      <c r="BX771">
        <f>$C771*BX770</f>
        <v/>
      </c>
      <c r="BY771">
        <f>$C771*BY770</f>
        <v/>
      </c>
      <c r="BZ771">
        <f>$C771*BZ770</f>
        <v/>
      </c>
      <c r="CA771">
        <f>$C771*CA770</f>
        <v/>
      </c>
      <c r="CB771">
        <f>$C771*CB770</f>
        <v/>
      </c>
      <c r="CC771">
        <f>$C771*CC770</f>
        <v/>
      </c>
      <c r="CD771">
        <f>$C771*CD770</f>
        <v/>
      </c>
      <c r="CE771">
        <f>$C771*CE770</f>
        <v/>
      </c>
      <c r="CF771">
        <f>$C771*CF770</f>
        <v/>
      </c>
      <c r="CG771">
        <f>$C771*CG770</f>
        <v/>
      </c>
      <c r="CH771">
        <f>$C771*CH770</f>
        <v/>
      </c>
      <c r="CI771">
        <f>$C771*CI770</f>
        <v/>
      </c>
      <c r="CJ771">
        <f>$C771*CJ770</f>
        <v/>
      </c>
      <c r="CK771">
        <f>$C771*CK770</f>
        <v/>
      </c>
      <c r="CL771">
        <f>$C771*CL770</f>
        <v/>
      </c>
      <c r="CM771">
        <f>$C771*CM770</f>
        <v/>
      </c>
      <c r="CN771">
        <f>$C771*CN770</f>
        <v/>
      </c>
      <c r="CO771">
        <f>$C771*CO770</f>
        <v/>
      </c>
      <c r="CP771">
        <f>$C771*CP770</f>
        <v/>
      </c>
      <c r="CQ771">
        <f>$C771*CQ770</f>
        <v/>
      </c>
      <c r="CR771">
        <f>$C771*CR770</f>
        <v/>
      </c>
      <c r="CS771">
        <f>$C771*CS770</f>
        <v/>
      </c>
      <c r="CT771">
        <f>$C771*CT770</f>
        <v/>
      </c>
      <c r="CU771">
        <f>$C771*CU770</f>
        <v/>
      </c>
      <c r="CV771">
        <f>$C771*CV770</f>
        <v/>
      </c>
      <c r="CW771">
        <f>$C771*CW770</f>
        <v/>
      </c>
      <c r="CX771">
        <f>$C771*CX770</f>
        <v/>
      </c>
      <c r="CY771">
        <f>$C771*CY770</f>
        <v/>
      </c>
      <c r="CZ771">
        <f>$C771*CZ770</f>
        <v/>
      </c>
      <c r="DA771">
        <f>$C771*DA770</f>
        <v/>
      </c>
      <c r="DB771">
        <f>$C771*DB770</f>
        <v/>
      </c>
      <c r="DC771">
        <f>$C771*DC770</f>
        <v/>
      </c>
    </row>
    <row r="772">
      <c r="B772" t="inlineStr">
        <is>
          <t>TSP-936</t>
        </is>
      </c>
      <c r="C772" t="inlineStr">
        <is>
          <t>No. of batches</t>
        </is>
      </c>
      <c r="D772">
        <f>IFERROR(INDEX(PP_Grid[#Data],$DD772,2),0)</f>
        <v/>
      </c>
      <c r="E772">
        <f>IFERROR(INDEX(PP_Grid[#Data],$DD772,3),0)</f>
        <v/>
      </c>
      <c r="F772">
        <f>IFERROR(INDEX(PP_Grid[#Data],$DD772,4),0)</f>
        <v/>
      </c>
      <c r="G772">
        <f>IFERROR(INDEX(PP_Grid[#Data],$DD772,5),0)</f>
        <v/>
      </c>
      <c r="H772">
        <f>IFERROR(INDEX(PP_Grid[#Data],$DD772,6),0)</f>
        <v/>
      </c>
      <c r="I772">
        <f>IFERROR(INDEX(PP_Grid[#Data],$DD772,7),0)</f>
        <v/>
      </c>
      <c r="J772">
        <f>IFERROR(INDEX(PP_Grid[#Data],$DD772,8),0)</f>
        <v/>
      </c>
      <c r="K772">
        <f>IFERROR(INDEX(PP_Grid[#Data],$DD772,9),0)</f>
        <v/>
      </c>
      <c r="L772">
        <f>IFERROR(INDEX(PP_Grid[#Data],$DD772,10),0)</f>
        <v/>
      </c>
      <c r="M772">
        <f>IFERROR(INDEX(PP_Grid[#Data],$DD772,11),0)</f>
        <v/>
      </c>
      <c r="N772">
        <f>IFERROR(INDEX(PP_Grid[#Data],$DD772,12),0)</f>
        <v/>
      </c>
      <c r="O772">
        <f>IFERROR(INDEX(PP_Grid[#Data],$DD772,13),0)</f>
        <v/>
      </c>
      <c r="P772">
        <f>IFERROR(INDEX(PP_Grid[#Data],$DD772,14),0)</f>
        <v/>
      </c>
      <c r="Q772">
        <f>IFERROR(INDEX(PP_Grid[#Data],$DD772,15),0)</f>
        <v/>
      </c>
      <c r="R772">
        <f>IFERROR(INDEX(PP_Grid[#Data],$DD772,16),0)</f>
        <v/>
      </c>
      <c r="S772">
        <f>IFERROR(INDEX(PP_Grid[#Data],$DD772,17),0)</f>
        <v/>
      </c>
      <c r="T772">
        <f>IFERROR(INDEX(PP_Grid[#Data],$DD772,18),0)</f>
        <v/>
      </c>
      <c r="U772">
        <f>IFERROR(INDEX(PP_Grid[#Data],$DD772,19),0)</f>
        <v/>
      </c>
      <c r="V772">
        <f>IFERROR(INDEX(PP_Grid[#Data],$DD772,20),0)</f>
        <v/>
      </c>
      <c r="W772">
        <f>IFERROR(INDEX(PP_Grid[#Data],$DD772,21),0)</f>
        <v/>
      </c>
      <c r="X772">
        <f>IFERROR(INDEX(PP_Grid[#Data],$DD772,22),0)</f>
        <v/>
      </c>
      <c r="Y772">
        <f>IFERROR(INDEX(PP_Grid[#Data],$DD772,23),0)</f>
        <v/>
      </c>
      <c r="Z772">
        <f>IFERROR(INDEX(PP_Grid[#Data],$DD772,24),0)</f>
        <v/>
      </c>
      <c r="AA772">
        <f>IFERROR(INDEX(PP_Grid[#Data],$DD772,25),0)</f>
        <v/>
      </c>
      <c r="AB772">
        <f>IFERROR(INDEX(PP_Grid[#Data],$DD772,26),0)</f>
        <v/>
      </c>
      <c r="AC772">
        <f>IFERROR(INDEX(PP_Grid[#Data],$DD772,27),0)</f>
        <v/>
      </c>
      <c r="AD772">
        <f>IFERROR(INDEX(PP_Grid[#Data],$DD772,28),0)</f>
        <v/>
      </c>
      <c r="AE772">
        <f>IFERROR(INDEX(PP_Grid[#Data],$DD772,29),0)</f>
        <v/>
      </c>
      <c r="AF772">
        <f>IFERROR(INDEX(PP_Grid[#Data],$DD772,30),0)</f>
        <v/>
      </c>
      <c r="AG772">
        <f>IFERROR(INDEX(PP_Grid[#Data],$DD772,31),0)</f>
        <v/>
      </c>
      <c r="AH772">
        <f>IFERROR(INDEX(PP_Grid[#Data],$DD772,32),0)</f>
        <v/>
      </c>
      <c r="AI772">
        <f>IFERROR(INDEX(PP_Grid[#Data],$DD772,33),0)</f>
        <v/>
      </c>
      <c r="AJ772">
        <f>IFERROR(INDEX(PP_Grid[#Data],$DD772,34),0)</f>
        <v/>
      </c>
      <c r="AK772">
        <f>IFERROR(INDEX(PP_Grid[#Data],$DD772,35),0)</f>
        <v/>
      </c>
      <c r="AL772">
        <f>IFERROR(INDEX(PP_Grid[#Data],$DD772,36),0)</f>
        <v/>
      </c>
      <c r="AM772">
        <f>IFERROR(INDEX(PP_Grid[#Data],$DD772,37),0)</f>
        <v/>
      </c>
      <c r="AN772">
        <f>IFERROR(INDEX(PP_Grid[#Data],$DD772,38),0)</f>
        <v/>
      </c>
      <c r="AO772">
        <f>IFERROR(INDEX(PP_Grid[#Data],$DD772,39),0)</f>
        <v/>
      </c>
      <c r="AP772">
        <f>IFERROR(INDEX(PP_Grid[#Data],$DD772,40),0)</f>
        <v/>
      </c>
      <c r="AQ772">
        <f>IFERROR(INDEX(PP_Grid[#Data],$DD772,41),0)</f>
        <v/>
      </c>
      <c r="AR772">
        <f>IFERROR(INDEX(PP_Grid[#Data],$DD772,42),0)</f>
        <v/>
      </c>
      <c r="AS772">
        <f>IFERROR(INDEX(PP_Grid[#Data],$DD772,43),0)</f>
        <v/>
      </c>
      <c r="AT772">
        <f>IFERROR(INDEX(PP_Grid[#Data],$DD772,44),0)</f>
        <v/>
      </c>
      <c r="AU772">
        <f>IFERROR(INDEX(PP_Grid[#Data],$DD772,45),0)</f>
        <v/>
      </c>
      <c r="AV772">
        <f>IFERROR(INDEX(PP_Grid[#Data],$DD772,46),0)</f>
        <v/>
      </c>
      <c r="AW772">
        <f>IFERROR(INDEX(PP_Grid[#Data],$DD772,47),0)</f>
        <v/>
      </c>
      <c r="AX772">
        <f>IFERROR(INDEX(PP_Grid[#Data],$DD772,48),0)</f>
        <v/>
      </c>
      <c r="AY772">
        <f>IFERROR(INDEX(PP_Grid[#Data],$DD772,49),0)</f>
        <v/>
      </c>
      <c r="AZ772">
        <f>IFERROR(INDEX(PP_Grid[#Data],$DD772,50),0)</f>
        <v/>
      </c>
      <c r="BA772">
        <f>IFERROR(INDEX(PP_Grid[#Data],$DD772,51),0)</f>
        <v/>
      </c>
      <c r="BB772">
        <f>IFERROR(INDEX(PP_Grid[#Data],$DD772,52),0)</f>
        <v/>
      </c>
      <c r="BC772">
        <f>IFERROR(INDEX(PP_Grid[#Data],$DD772,53),0)</f>
        <v/>
      </c>
      <c r="BD772">
        <f>IFERROR(INDEX(PP_Grid[#Data],$DD772,54),0)</f>
        <v/>
      </c>
      <c r="BE772">
        <f>IFERROR(INDEX(PP_Grid[#Data],$DD772,55),0)</f>
        <v/>
      </c>
      <c r="BF772">
        <f>IFERROR(INDEX(PP_Grid[#Data],$DD772,56),0)</f>
        <v/>
      </c>
      <c r="BG772">
        <f>IFERROR(INDEX(PP_Grid[#Data],$DD772,57),0)</f>
        <v/>
      </c>
      <c r="BH772">
        <f>IFERROR(INDEX(PP_Grid[#Data],$DD772,58),0)</f>
        <v/>
      </c>
      <c r="BI772">
        <f>IFERROR(INDEX(PP_Grid[#Data],$DD772,59),0)</f>
        <v/>
      </c>
      <c r="BJ772">
        <f>IFERROR(INDEX(PP_Grid[#Data],$DD772,60),0)</f>
        <v/>
      </c>
      <c r="BK772">
        <f>IFERROR(INDEX(PP_Grid[#Data],$DD772,61),0)</f>
        <v/>
      </c>
      <c r="BL772">
        <f>IFERROR(INDEX(PP_Grid[#Data],$DD772,62),0)</f>
        <v/>
      </c>
      <c r="BM772">
        <f>IFERROR(INDEX(PP_Grid[#Data],$DD772,63),0)</f>
        <v/>
      </c>
      <c r="BN772">
        <f>IFERROR(INDEX(PP_Grid[#Data],$DD772,64),0)</f>
        <v/>
      </c>
      <c r="BO772">
        <f>IFERROR(INDEX(PP_Grid[#Data],$DD772,65),0)</f>
        <v/>
      </c>
      <c r="BP772">
        <f>IFERROR(INDEX(PP_Grid[#Data],$DD772,66),0)</f>
        <v/>
      </c>
      <c r="BQ772">
        <f>IFERROR(INDEX(PP_Grid[#Data],$DD772,67),0)</f>
        <v/>
      </c>
      <c r="BR772">
        <f>IFERROR(INDEX(PP_Grid[#Data],$DD772,68),0)</f>
        <v/>
      </c>
      <c r="BS772">
        <f>IFERROR(INDEX(PP_Grid[#Data],$DD772,69),0)</f>
        <v/>
      </c>
      <c r="BT772">
        <f>IFERROR(INDEX(PP_Grid[#Data],$DD772,70),0)</f>
        <v/>
      </c>
      <c r="BU772">
        <f>IFERROR(INDEX(PP_Grid[#Data],$DD772,71),0)</f>
        <v/>
      </c>
      <c r="BV772">
        <f>IFERROR(INDEX(PP_Grid[#Data],$DD772,72),0)</f>
        <v/>
      </c>
      <c r="BW772">
        <f>IFERROR(INDEX(PP_Grid[#Data],$DD772,73),0)</f>
        <v/>
      </c>
      <c r="BX772">
        <f>IFERROR(INDEX(PP_Grid[#Data],$DD772,74),0)</f>
        <v/>
      </c>
      <c r="BY772">
        <f>IFERROR(INDEX(PP_Grid[#Data],$DD772,75),0)</f>
        <v/>
      </c>
      <c r="BZ772">
        <f>IFERROR(INDEX(PP_Grid[#Data],$DD772,76),0)</f>
        <v/>
      </c>
      <c r="CA772">
        <f>IFERROR(INDEX(PP_Grid[#Data],$DD772,77),0)</f>
        <v/>
      </c>
      <c r="CB772">
        <f>IFERROR(INDEX(PP_Grid[#Data],$DD772,78),0)</f>
        <v/>
      </c>
      <c r="CC772">
        <f>IFERROR(INDEX(PP_Grid[#Data],$DD772,79),0)</f>
        <v/>
      </c>
      <c r="CD772">
        <f>IFERROR(INDEX(PP_Grid[#Data],$DD772,80),0)</f>
        <v/>
      </c>
      <c r="CE772">
        <f>IFERROR(INDEX(PP_Grid[#Data],$DD772,81),0)</f>
        <v/>
      </c>
      <c r="CF772">
        <f>IFERROR(INDEX(PP_Grid[#Data],$DD772,82),0)</f>
        <v/>
      </c>
      <c r="CG772">
        <f>IFERROR(INDEX(PP_Grid[#Data],$DD772,83),0)</f>
        <v/>
      </c>
      <c r="CH772">
        <f>IFERROR(INDEX(PP_Grid[#Data],$DD772,84),0)</f>
        <v/>
      </c>
      <c r="CI772">
        <f>IFERROR(INDEX(PP_Grid[#Data],$DD772,85),0)</f>
        <v/>
      </c>
      <c r="CJ772">
        <f>IFERROR(INDEX(PP_Grid[#Data],$DD772,86),0)</f>
        <v/>
      </c>
      <c r="CK772">
        <f>IFERROR(INDEX(PP_Grid[#Data],$DD772,87),0)</f>
        <v/>
      </c>
      <c r="CL772">
        <f>IFERROR(INDEX(PP_Grid[#Data],$DD772,88),0)</f>
        <v/>
      </c>
      <c r="CM772">
        <f>IFERROR(INDEX(PP_Grid[#Data],$DD772,89),0)</f>
        <v/>
      </c>
      <c r="CN772">
        <f>IFERROR(INDEX(PP_Grid[#Data],$DD772,90),0)</f>
        <v/>
      </c>
      <c r="CO772">
        <f>IFERROR(INDEX(PP_Grid[#Data],$DD772,91),0)</f>
        <v/>
      </c>
      <c r="CP772">
        <f>IFERROR(INDEX(PP_Grid[#Data],$DD772,92),0)</f>
        <v/>
      </c>
      <c r="CQ772">
        <f>IFERROR(INDEX(PP_Grid[#Data],$DD772,93),0)</f>
        <v/>
      </c>
      <c r="CR772">
        <f>IFERROR(INDEX(PP_Grid[#Data],$DD772,94),0)</f>
        <v/>
      </c>
      <c r="CS772">
        <f>IFERROR(INDEX(PP_Grid[#Data],$DD772,95),0)</f>
        <v/>
      </c>
      <c r="CT772">
        <f>IFERROR(INDEX(PP_Grid[#Data],$DD772,96),0)</f>
        <v/>
      </c>
      <c r="CU772">
        <f>IFERROR(INDEX(PP_Grid[#Data],$DD772,97),0)</f>
        <v/>
      </c>
      <c r="CV772">
        <f>IFERROR(INDEX(PP_Grid[#Data],$DD772,98),0)</f>
        <v/>
      </c>
      <c r="CW772">
        <f>IFERROR(INDEX(PP_Grid[#Data],$DD772,99),0)</f>
        <v/>
      </c>
      <c r="CX772">
        <f>IFERROR(INDEX(PP_Grid[#Data],$DD772,100),0)</f>
        <v/>
      </c>
      <c r="CY772">
        <f>IFERROR(INDEX(PP_Grid[#Data],$DD772,101),0)</f>
        <v/>
      </c>
      <c r="CZ772">
        <f>IFERROR(INDEX(PP_Grid[#Data],$DD772,102),0)</f>
        <v/>
      </c>
      <c r="DA772">
        <f>IFERROR(INDEX(PP_Grid[#Data],$DD772,103),0)</f>
        <v/>
      </c>
      <c r="DB772">
        <f>IFERROR(INDEX(PP_Grid[#Data],$DD772,104),0)</f>
        <v/>
      </c>
      <c r="DC772">
        <f>IFERROR(INDEX(PP_Grid[#Data],$DD772,105),0)</f>
        <v/>
      </c>
      <c r="DD772" s="12">
        <f>IFERROR(MATCH($B772,PP_Grid[Intermediate],0),99999)</f>
        <v/>
      </c>
    </row>
    <row r="773">
      <c r="B773" t="inlineStr">
        <is>
          <t>使用量(kg)</t>
        </is>
      </c>
      <c r="C773">
        <f>SUMIFS(M_BOM[RM_Qty_Per_Batch],M_BOM[Intermediate],$B772,M_BOM[Part Name],$A669)</f>
        <v/>
      </c>
      <c r="D773">
        <f>$C773*D772</f>
        <v/>
      </c>
      <c r="E773">
        <f>$C773*E772</f>
        <v/>
      </c>
      <c r="F773">
        <f>$C773*F772</f>
        <v/>
      </c>
      <c r="G773">
        <f>$C773*G772</f>
        <v/>
      </c>
      <c r="H773">
        <f>$C773*H772</f>
        <v/>
      </c>
      <c r="I773">
        <f>$C773*I772</f>
        <v/>
      </c>
      <c r="J773">
        <f>$C773*J772</f>
        <v/>
      </c>
      <c r="K773">
        <f>$C773*K772</f>
        <v/>
      </c>
      <c r="L773">
        <f>$C773*L772</f>
        <v/>
      </c>
      <c r="M773">
        <f>$C773*M772</f>
        <v/>
      </c>
      <c r="N773">
        <f>$C773*N772</f>
        <v/>
      </c>
      <c r="O773">
        <f>$C773*O772</f>
        <v/>
      </c>
      <c r="P773">
        <f>$C773*P772</f>
        <v/>
      </c>
      <c r="Q773">
        <f>$C773*Q772</f>
        <v/>
      </c>
      <c r="R773">
        <f>$C773*R772</f>
        <v/>
      </c>
      <c r="S773">
        <f>$C773*S772</f>
        <v/>
      </c>
      <c r="T773">
        <f>$C773*T772</f>
        <v/>
      </c>
      <c r="U773">
        <f>$C773*U772</f>
        <v/>
      </c>
      <c r="V773">
        <f>$C773*V772</f>
        <v/>
      </c>
      <c r="W773">
        <f>$C773*W772</f>
        <v/>
      </c>
      <c r="X773">
        <f>$C773*X772</f>
        <v/>
      </c>
      <c r="Y773">
        <f>$C773*Y772</f>
        <v/>
      </c>
      <c r="Z773">
        <f>$C773*Z772</f>
        <v/>
      </c>
      <c r="AA773">
        <f>$C773*AA772</f>
        <v/>
      </c>
      <c r="AB773">
        <f>$C773*AB772</f>
        <v/>
      </c>
      <c r="AC773">
        <f>$C773*AC772</f>
        <v/>
      </c>
      <c r="AD773">
        <f>$C773*AD772</f>
        <v/>
      </c>
      <c r="AE773">
        <f>$C773*AE772</f>
        <v/>
      </c>
      <c r="AF773">
        <f>$C773*AF772</f>
        <v/>
      </c>
      <c r="AG773">
        <f>$C773*AG772</f>
        <v/>
      </c>
      <c r="AH773">
        <f>$C773*AH772</f>
        <v/>
      </c>
      <c r="AI773">
        <f>$C773*AI772</f>
        <v/>
      </c>
      <c r="AJ773">
        <f>$C773*AJ772</f>
        <v/>
      </c>
      <c r="AK773">
        <f>$C773*AK772</f>
        <v/>
      </c>
      <c r="AL773">
        <f>$C773*AL772</f>
        <v/>
      </c>
      <c r="AM773">
        <f>$C773*AM772</f>
        <v/>
      </c>
      <c r="AN773">
        <f>$C773*AN772</f>
        <v/>
      </c>
      <c r="AO773">
        <f>$C773*AO772</f>
        <v/>
      </c>
      <c r="AP773">
        <f>$C773*AP772</f>
        <v/>
      </c>
      <c r="AQ773">
        <f>$C773*AQ772</f>
        <v/>
      </c>
      <c r="AR773">
        <f>$C773*AR772</f>
        <v/>
      </c>
      <c r="AS773">
        <f>$C773*AS772</f>
        <v/>
      </c>
      <c r="AT773">
        <f>$C773*AT772</f>
        <v/>
      </c>
      <c r="AU773">
        <f>$C773*AU772</f>
        <v/>
      </c>
      <c r="AV773">
        <f>$C773*AV772</f>
        <v/>
      </c>
      <c r="AW773">
        <f>$C773*AW772</f>
        <v/>
      </c>
      <c r="AX773">
        <f>$C773*AX772</f>
        <v/>
      </c>
      <c r="AY773">
        <f>$C773*AY772</f>
        <v/>
      </c>
      <c r="AZ773">
        <f>$C773*AZ772</f>
        <v/>
      </c>
      <c r="BA773">
        <f>$C773*BA772</f>
        <v/>
      </c>
      <c r="BB773">
        <f>$C773*BB772</f>
        <v/>
      </c>
      <c r="BC773">
        <f>$C773*BC772</f>
        <v/>
      </c>
      <c r="BD773">
        <f>$C773*BD772</f>
        <v/>
      </c>
      <c r="BE773">
        <f>$C773*BE772</f>
        <v/>
      </c>
      <c r="BF773">
        <f>$C773*BF772</f>
        <v/>
      </c>
      <c r="BG773">
        <f>$C773*BG772</f>
        <v/>
      </c>
      <c r="BH773">
        <f>$C773*BH772</f>
        <v/>
      </c>
      <c r="BI773">
        <f>$C773*BI772</f>
        <v/>
      </c>
      <c r="BJ773">
        <f>$C773*BJ772</f>
        <v/>
      </c>
      <c r="BK773">
        <f>$C773*BK772</f>
        <v/>
      </c>
      <c r="BL773">
        <f>$C773*BL772</f>
        <v/>
      </c>
      <c r="BM773">
        <f>$C773*BM772</f>
        <v/>
      </c>
      <c r="BN773">
        <f>$C773*BN772</f>
        <v/>
      </c>
      <c r="BO773">
        <f>$C773*BO772</f>
        <v/>
      </c>
      <c r="BP773">
        <f>$C773*BP772</f>
        <v/>
      </c>
      <c r="BQ773">
        <f>$C773*BQ772</f>
        <v/>
      </c>
      <c r="BR773">
        <f>$C773*BR772</f>
        <v/>
      </c>
      <c r="BS773">
        <f>$C773*BS772</f>
        <v/>
      </c>
      <c r="BT773">
        <f>$C773*BT772</f>
        <v/>
      </c>
      <c r="BU773">
        <f>$C773*BU772</f>
        <v/>
      </c>
      <c r="BV773">
        <f>$C773*BV772</f>
        <v/>
      </c>
      <c r="BW773">
        <f>$C773*BW772</f>
        <v/>
      </c>
      <c r="BX773">
        <f>$C773*BX772</f>
        <v/>
      </c>
      <c r="BY773">
        <f>$C773*BY772</f>
        <v/>
      </c>
      <c r="BZ773">
        <f>$C773*BZ772</f>
        <v/>
      </c>
      <c r="CA773">
        <f>$C773*CA772</f>
        <v/>
      </c>
      <c r="CB773">
        <f>$C773*CB772</f>
        <v/>
      </c>
      <c r="CC773">
        <f>$C773*CC772</f>
        <v/>
      </c>
      <c r="CD773">
        <f>$C773*CD772</f>
        <v/>
      </c>
      <c r="CE773">
        <f>$C773*CE772</f>
        <v/>
      </c>
      <c r="CF773">
        <f>$C773*CF772</f>
        <v/>
      </c>
      <c r="CG773">
        <f>$C773*CG772</f>
        <v/>
      </c>
      <c r="CH773">
        <f>$C773*CH772</f>
        <v/>
      </c>
      <c r="CI773">
        <f>$C773*CI772</f>
        <v/>
      </c>
      <c r="CJ773">
        <f>$C773*CJ772</f>
        <v/>
      </c>
      <c r="CK773">
        <f>$C773*CK772</f>
        <v/>
      </c>
      <c r="CL773">
        <f>$C773*CL772</f>
        <v/>
      </c>
      <c r="CM773">
        <f>$C773*CM772</f>
        <v/>
      </c>
      <c r="CN773">
        <f>$C773*CN772</f>
        <v/>
      </c>
      <c r="CO773">
        <f>$C773*CO772</f>
        <v/>
      </c>
      <c r="CP773">
        <f>$C773*CP772</f>
        <v/>
      </c>
      <c r="CQ773">
        <f>$C773*CQ772</f>
        <v/>
      </c>
      <c r="CR773">
        <f>$C773*CR772</f>
        <v/>
      </c>
      <c r="CS773">
        <f>$C773*CS772</f>
        <v/>
      </c>
      <c r="CT773">
        <f>$C773*CT772</f>
        <v/>
      </c>
      <c r="CU773">
        <f>$C773*CU772</f>
        <v/>
      </c>
      <c r="CV773">
        <f>$C773*CV772</f>
        <v/>
      </c>
      <c r="CW773">
        <f>$C773*CW772</f>
        <v/>
      </c>
      <c r="CX773">
        <f>$C773*CX772</f>
        <v/>
      </c>
      <c r="CY773">
        <f>$C773*CY772</f>
        <v/>
      </c>
      <c r="CZ773">
        <f>$C773*CZ772</f>
        <v/>
      </c>
      <c r="DA773">
        <f>$C773*DA772</f>
        <v/>
      </c>
      <c r="DB773">
        <f>$C773*DB772</f>
        <v/>
      </c>
      <c r="DC773">
        <f>$C773*DC772</f>
        <v/>
      </c>
    </row>
    <row r="774">
      <c r="B774" t="inlineStr">
        <is>
          <t>TSP-937</t>
        </is>
      </c>
      <c r="C774" t="inlineStr">
        <is>
          <t>No. of batches</t>
        </is>
      </c>
      <c r="D774">
        <f>IFERROR(INDEX(PP_Grid[#Data],$DD774,2),0)</f>
        <v/>
      </c>
      <c r="E774">
        <f>IFERROR(INDEX(PP_Grid[#Data],$DD774,3),0)</f>
        <v/>
      </c>
      <c r="F774">
        <f>IFERROR(INDEX(PP_Grid[#Data],$DD774,4),0)</f>
        <v/>
      </c>
      <c r="G774">
        <f>IFERROR(INDEX(PP_Grid[#Data],$DD774,5),0)</f>
        <v/>
      </c>
      <c r="H774">
        <f>IFERROR(INDEX(PP_Grid[#Data],$DD774,6),0)</f>
        <v/>
      </c>
      <c r="I774">
        <f>IFERROR(INDEX(PP_Grid[#Data],$DD774,7),0)</f>
        <v/>
      </c>
      <c r="J774">
        <f>IFERROR(INDEX(PP_Grid[#Data],$DD774,8),0)</f>
        <v/>
      </c>
      <c r="K774">
        <f>IFERROR(INDEX(PP_Grid[#Data],$DD774,9),0)</f>
        <v/>
      </c>
      <c r="L774">
        <f>IFERROR(INDEX(PP_Grid[#Data],$DD774,10),0)</f>
        <v/>
      </c>
      <c r="M774">
        <f>IFERROR(INDEX(PP_Grid[#Data],$DD774,11),0)</f>
        <v/>
      </c>
      <c r="N774">
        <f>IFERROR(INDEX(PP_Grid[#Data],$DD774,12),0)</f>
        <v/>
      </c>
      <c r="O774">
        <f>IFERROR(INDEX(PP_Grid[#Data],$DD774,13),0)</f>
        <v/>
      </c>
      <c r="P774">
        <f>IFERROR(INDEX(PP_Grid[#Data],$DD774,14),0)</f>
        <v/>
      </c>
      <c r="Q774">
        <f>IFERROR(INDEX(PP_Grid[#Data],$DD774,15),0)</f>
        <v/>
      </c>
      <c r="R774">
        <f>IFERROR(INDEX(PP_Grid[#Data],$DD774,16),0)</f>
        <v/>
      </c>
      <c r="S774">
        <f>IFERROR(INDEX(PP_Grid[#Data],$DD774,17),0)</f>
        <v/>
      </c>
      <c r="T774">
        <f>IFERROR(INDEX(PP_Grid[#Data],$DD774,18),0)</f>
        <v/>
      </c>
      <c r="U774">
        <f>IFERROR(INDEX(PP_Grid[#Data],$DD774,19),0)</f>
        <v/>
      </c>
      <c r="V774">
        <f>IFERROR(INDEX(PP_Grid[#Data],$DD774,20),0)</f>
        <v/>
      </c>
      <c r="W774">
        <f>IFERROR(INDEX(PP_Grid[#Data],$DD774,21),0)</f>
        <v/>
      </c>
      <c r="X774">
        <f>IFERROR(INDEX(PP_Grid[#Data],$DD774,22),0)</f>
        <v/>
      </c>
      <c r="Y774">
        <f>IFERROR(INDEX(PP_Grid[#Data],$DD774,23),0)</f>
        <v/>
      </c>
      <c r="Z774">
        <f>IFERROR(INDEX(PP_Grid[#Data],$DD774,24),0)</f>
        <v/>
      </c>
      <c r="AA774">
        <f>IFERROR(INDEX(PP_Grid[#Data],$DD774,25),0)</f>
        <v/>
      </c>
      <c r="AB774">
        <f>IFERROR(INDEX(PP_Grid[#Data],$DD774,26),0)</f>
        <v/>
      </c>
      <c r="AC774">
        <f>IFERROR(INDEX(PP_Grid[#Data],$DD774,27),0)</f>
        <v/>
      </c>
      <c r="AD774">
        <f>IFERROR(INDEX(PP_Grid[#Data],$DD774,28),0)</f>
        <v/>
      </c>
      <c r="AE774">
        <f>IFERROR(INDEX(PP_Grid[#Data],$DD774,29),0)</f>
        <v/>
      </c>
      <c r="AF774">
        <f>IFERROR(INDEX(PP_Grid[#Data],$DD774,30),0)</f>
        <v/>
      </c>
      <c r="AG774">
        <f>IFERROR(INDEX(PP_Grid[#Data],$DD774,31),0)</f>
        <v/>
      </c>
      <c r="AH774">
        <f>IFERROR(INDEX(PP_Grid[#Data],$DD774,32),0)</f>
        <v/>
      </c>
      <c r="AI774">
        <f>IFERROR(INDEX(PP_Grid[#Data],$DD774,33),0)</f>
        <v/>
      </c>
      <c r="AJ774">
        <f>IFERROR(INDEX(PP_Grid[#Data],$DD774,34),0)</f>
        <v/>
      </c>
      <c r="AK774">
        <f>IFERROR(INDEX(PP_Grid[#Data],$DD774,35),0)</f>
        <v/>
      </c>
      <c r="AL774">
        <f>IFERROR(INDEX(PP_Grid[#Data],$DD774,36),0)</f>
        <v/>
      </c>
      <c r="AM774">
        <f>IFERROR(INDEX(PP_Grid[#Data],$DD774,37),0)</f>
        <v/>
      </c>
      <c r="AN774">
        <f>IFERROR(INDEX(PP_Grid[#Data],$DD774,38),0)</f>
        <v/>
      </c>
      <c r="AO774">
        <f>IFERROR(INDEX(PP_Grid[#Data],$DD774,39),0)</f>
        <v/>
      </c>
      <c r="AP774">
        <f>IFERROR(INDEX(PP_Grid[#Data],$DD774,40),0)</f>
        <v/>
      </c>
      <c r="AQ774">
        <f>IFERROR(INDEX(PP_Grid[#Data],$DD774,41),0)</f>
        <v/>
      </c>
      <c r="AR774">
        <f>IFERROR(INDEX(PP_Grid[#Data],$DD774,42),0)</f>
        <v/>
      </c>
      <c r="AS774">
        <f>IFERROR(INDEX(PP_Grid[#Data],$DD774,43),0)</f>
        <v/>
      </c>
      <c r="AT774">
        <f>IFERROR(INDEX(PP_Grid[#Data],$DD774,44),0)</f>
        <v/>
      </c>
      <c r="AU774">
        <f>IFERROR(INDEX(PP_Grid[#Data],$DD774,45),0)</f>
        <v/>
      </c>
      <c r="AV774">
        <f>IFERROR(INDEX(PP_Grid[#Data],$DD774,46),0)</f>
        <v/>
      </c>
      <c r="AW774">
        <f>IFERROR(INDEX(PP_Grid[#Data],$DD774,47),0)</f>
        <v/>
      </c>
      <c r="AX774">
        <f>IFERROR(INDEX(PP_Grid[#Data],$DD774,48),0)</f>
        <v/>
      </c>
      <c r="AY774">
        <f>IFERROR(INDEX(PP_Grid[#Data],$DD774,49),0)</f>
        <v/>
      </c>
      <c r="AZ774">
        <f>IFERROR(INDEX(PP_Grid[#Data],$DD774,50),0)</f>
        <v/>
      </c>
      <c r="BA774">
        <f>IFERROR(INDEX(PP_Grid[#Data],$DD774,51),0)</f>
        <v/>
      </c>
      <c r="BB774">
        <f>IFERROR(INDEX(PP_Grid[#Data],$DD774,52),0)</f>
        <v/>
      </c>
      <c r="BC774">
        <f>IFERROR(INDEX(PP_Grid[#Data],$DD774,53),0)</f>
        <v/>
      </c>
      <c r="BD774">
        <f>IFERROR(INDEX(PP_Grid[#Data],$DD774,54),0)</f>
        <v/>
      </c>
      <c r="BE774">
        <f>IFERROR(INDEX(PP_Grid[#Data],$DD774,55),0)</f>
        <v/>
      </c>
      <c r="BF774">
        <f>IFERROR(INDEX(PP_Grid[#Data],$DD774,56),0)</f>
        <v/>
      </c>
      <c r="BG774">
        <f>IFERROR(INDEX(PP_Grid[#Data],$DD774,57),0)</f>
        <v/>
      </c>
      <c r="BH774">
        <f>IFERROR(INDEX(PP_Grid[#Data],$DD774,58),0)</f>
        <v/>
      </c>
      <c r="BI774">
        <f>IFERROR(INDEX(PP_Grid[#Data],$DD774,59),0)</f>
        <v/>
      </c>
      <c r="BJ774">
        <f>IFERROR(INDEX(PP_Grid[#Data],$DD774,60),0)</f>
        <v/>
      </c>
      <c r="BK774">
        <f>IFERROR(INDEX(PP_Grid[#Data],$DD774,61),0)</f>
        <v/>
      </c>
      <c r="BL774">
        <f>IFERROR(INDEX(PP_Grid[#Data],$DD774,62),0)</f>
        <v/>
      </c>
      <c r="BM774">
        <f>IFERROR(INDEX(PP_Grid[#Data],$DD774,63),0)</f>
        <v/>
      </c>
      <c r="BN774">
        <f>IFERROR(INDEX(PP_Grid[#Data],$DD774,64),0)</f>
        <v/>
      </c>
      <c r="BO774">
        <f>IFERROR(INDEX(PP_Grid[#Data],$DD774,65),0)</f>
        <v/>
      </c>
      <c r="BP774">
        <f>IFERROR(INDEX(PP_Grid[#Data],$DD774,66),0)</f>
        <v/>
      </c>
      <c r="BQ774">
        <f>IFERROR(INDEX(PP_Grid[#Data],$DD774,67),0)</f>
        <v/>
      </c>
      <c r="BR774">
        <f>IFERROR(INDEX(PP_Grid[#Data],$DD774,68),0)</f>
        <v/>
      </c>
      <c r="BS774">
        <f>IFERROR(INDEX(PP_Grid[#Data],$DD774,69),0)</f>
        <v/>
      </c>
      <c r="BT774">
        <f>IFERROR(INDEX(PP_Grid[#Data],$DD774,70),0)</f>
        <v/>
      </c>
      <c r="BU774">
        <f>IFERROR(INDEX(PP_Grid[#Data],$DD774,71),0)</f>
        <v/>
      </c>
      <c r="BV774">
        <f>IFERROR(INDEX(PP_Grid[#Data],$DD774,72),0)</f>
        <v/>
      </c>
      <c r="BW774">
        <f>IFERROR(INDEX(PP_Grid[#Data],$DD774,73),0)</f>
        <v/>
      </c>
      <c r="BX774">
        <f>IFERROR(INDEX(PP_Grid[#Data],$DD774,74),0)</f>
        <v/>
      </c>
      <c r="BY774">
        <f>IFERROR(INDEX(PP_Grid[#Data],$DD774,75),0)</f>
        <v/>
      </c>
      <c r="BZ774">
        <f>IFERROR(INDEX(PP_Grid[#Data],$DD774,76),0)</f>
        <v/>
      </c>
      <c r="CA774">
        <f>IFERROR(INDEX(PP_Grid[#Data],$DD774,77),0)</f>
        <v/>
      </c>
      <c r="CB774">
        <f>IFERROR(INDEX(PP_Grid[#Data],$DD774,78),0)</f>
        <v/>
      </c>
      <c r="CC774">
        <f>IFERROR(INDEX(PP_Grid[#Data],$DD774,79),0)</f>
        <v/>
      </c>
      <c r="CD774">
        <f>IFERROR(INDEX(PP_Grid[#Data],$DD774,80),0)</f>
        <v/>
      </c>
      <c r="CE774">
        <f>IFERROR(INDEX(PP_Grid[#Data],$DD774,81),0)</f>
        <v/>
      </c>
      <c r="CF774">
        <f>IFERROR(INDEX(PP_Grid[#Data],$DD774,82),0)</f>
        <v/>
      </c>
      <c r="CG774">
        <f>IFERROR(INDEX(PP_Grid[#Data],$DD774,83),0)</f>
        <v/>
      </c>
      <c r="CH774">
        <f>IFERROR(INDEX(PP_Grid[#Data],$DD774,84),0)</f>
        <v/>
      </c>
      <c r="CI774">
        <f>IFERROR(INDEX(PP_Grid[#Data],$DD774,85),0)</f>
        <v/>
      </c>
      <c r="CJ774">
        <f>IFERROR(INDEX(PP_Grid[#Data],$DD774,86),0)</f>
        <v/>
      </c>
      <c r="CK774">
        <f>IFERROR(INDEX(PP_Grid[#Data],$DD774,87),0)</f>
        <v/>
      </c>
      <c r="CL774">
        <f>IFERROR(INDEX(PP_Grid[#Data],$DD774,88),0)</f>
        <v/>
      </c>
      <c r="CM774">
        <f>IFERROR(INDEX(PP_Grid[#Data],$DD774,89),0)</f>
        <v/>
      </c>
      <c r="CN774">
        <f>IFERROR(INDEX(PP_Grid[#Data],$DD774,90),0)</f>
        <v/>
      </c>
      <c r="CO774">
        <f>IFERROR(INDEX(PP_Grid[#Data],$DD774,91),0)</f>
        <v/>
      </c>
      <c r="CP774">
        <f>IFERROR(INDEX(PP_Grid[#Data],$DD774,92),0)</f>
        <v/>
      </c>
      <c r="CQ774">
        <f>IFERROR(INDEX(PP_Grid[#Data],$DD774,93),0)</f>
        <v/>
      </c>
      <c r="CR774">
        <f>IFERROR(INDEX(PP_Grid[#Data],$DD774,94),0)</f>
        <v/>
      </c>
      <c r="CS774">
        <f>IFERROR(INDEX(PP_Grid[#Data],$DD774,95),0)</f>
        <v/>
      </c>
      <c r="CT774">
        <f>IFERROR(INDEX(PP_Grid[#Data],$DD774,96),0)</f>
        <v/>
      </c>
      <c r="CU774">
        <f>IFERROR(INDEX(PP_Grid[#Data],$DD774,97),0)</f>
        <v/>
      </c>
      <c r="CV774">
        <f>IFERROR(INDEX(PP_Grid[#Data],$DD774,98),0)</f>
        <v/>
      </c>
      <c r="CW774">
        <f>IFERROR(INDEX(PP_Grid[#Data],$DD774,99),0)</f>
        <v/>
      </c>
      <c r="CX774">
        <f>IFERROR(INDEX(PP_Grid[#Data],$DD774,100),0)</f>
        <v/>
      </c>
      <c r="CY774">
        <f>IFERROR(INDEX(PP_Grid[#Data],$DD774,101),0)</f>
        <v/>
      </c>
      <c r="CZ774">
        <f>IFERROR(INDEX(PP_Grid[#Data],$DD774,102),0)</f>
        <v/>
      </c>
      <c r="DA774">
        <f>IFERROR(INDEX(PP_Grid[#Data],$DD774,103),0)</f>
        <v/>
      </c>
      <c r="DB774">
        <f>IFERROR(INDEX(PP_Grid[#Data],$DD774,104),0)</f>
        <v/>
      </c>
      <c r="DC774">
        <f>IFERROR(INDEX(PP_Grid[#Data],$DD774,105),0)</f>
        <v/>
      </c>
      <c r="DD774" s="12">
        <f>IFERROR(MATCH($B774,PP_Grid[Intermediate],0),99999)</f>
        <v/>
      </c>
    </row>
    <row r="775">
      <c r="B775" t="inlineStr">
        <is>
          <t>使用量(kg)</t>
        </is>
      </c>
      <c r="C775">
        <f>SUMIFS(M_BOM[RM_Qty_Per_Batch],M_BOM[Intermediate],$B774,M_BOM[Part Name],$A669)</f>
        <v/>
      </c>
      <c r="D775">
        <f>$C775*D774</f>
        <v/>
      </c>
      <c r="E775">
        <f>$C775*E774</f>
        <v/>
      </c>
      <c r="F775">
        <f>$C775*F774</f>
        <v/>
      </c>
      <c r="G775">
        <f>$C775*G774</f>
        <v/>
      </c>
      <c r="H775">
        <f>$C775*H774</f>
        <v/>
      </c>
      <c r="I775">
        <f>$C775*I774</f>
        <v/>
      </c>
      <c r="J775">
        <f>$C775*J774</f>
        <v/>
      </c>
      <c r="K775">
        <f>$C775*K774</f>
        <v/>
      </c>
      <c r="L775">
        <f>$C775*L774</f>
        <v/>
      </c>
      <c r="M775">
        <f>$C775*M774</f>
        <v/>
      </c>
      <c r="N775">
        <f>$C775*N774</f>
        <v/>
      </c>
      <c r="O775">
        <f>$C775*O774</f>
        <v/>
      </c>
      <c r="P775">
        <f>$C775*P774</f>
        <v/>
      </c>
      <c r="Q775">
        <f>$C775*Q774</f>
        <v/>
      </c>
      <c r="R775">
        <f>$C775*R774</f>
        <v/>
      </c>
      <c r="S775">
        <f>$C775*S774</f>
        <v/>
      </c>
      <c r="T775">
        <f>$C775*T774</f>
        <v/>
      </c>
      <c r="U775">
        <f>$C775*U774</f>
        <v/>
      </c>
      <c r="V775">
        <f>$C775*V774</f>
        <v/>
      </c>
      <c r="W775">
        <f>$C775*W774</f>
        <v/>
      </c>
      <c r="X775">
        <f>$C775*X774</f>
        <v/>
      </c>
      <c r="Y775">
        <f>$C775*Y774</f>
        <v/>
      </c>
      <c r="Z775">
        <f>$C775*Z774</f>
        <v/>
      </c>
      <c r="AA775">
        <f>$C775*AA774</f>
        <v/>
      </c>
      <c r="AB775">
        <f>$C775*AB774</f>
        <v/>
      </c>
      <c r="AC775">
        <f>$C775*AC774</f>
        <v/>
      </c>
      <c r="AD775">
        <f>$C775*AD774</f>
        <v/>
      </c>
      <c r="AE775">
        <f>$C775*AE774</f>
        <v/>
      </c>
      <c r="AF775">
        <f>$C775*AF774</f>
        <v/>
      </c>
      <c r="AG775">
        <f>$C775*AG774</f>
        <v/>
      </c>
      <c r="AH775">
        <f>$C775*AH774</f>
        <v/>
      </c>
      <c r="AI775">
        <f>$C775*AI774</f>
        <v/>
      </c>
      <c r="AJ775">
        <f>$C775*AJ774</f>
        <v/>
      </c>
      <c r="AK775">
        <f>$C775*AK774</f>
        <v/>
      </c>
      <c r="AL775">
        <f>$C775*AL774</f>
        <v/>
      </c>
      <c r="AM775">
        <f>$C775*AM774</f>
        <v/>
      </c>
      <c r="AN775">
        <f>$C775*AN774</f>
        <v/>
      </c>
      <c r="AO775">
        <f>$C775*AO774</f>
        <v/>
      </c>
      <c r="AP775">
        <f>$C775*AP774</f>
        <v/>
      </c>
      <c r="AQ775">
        <f>$C775*AQ774</f>
        <v/>
      </c>
      <c r="AR775">
        <f>$C775*AR774</f>
        <v/>
      </c>
      <c r="AS775">
        <f>$C775*AS774</f>
        <v/>
      </c>
      <c r="AT775">
        <f>$C775*AT774</f>
        <v/>
      </c>
      <c r="AU775">
        <f>$C775*AU774</f>
        <v/>
      </c>
      <c r="AV775">
        <f>$C775*AV774</f>
        <v/>
      </c>
      <c r="AW775">
        <f>$C775*AW774</f>
        <v/>
      </c>
      <c r="AX775">
        <f>$C775*AX774</f>
        <v/>
      </c>
      <c r="AY775">
        <f>$C775*AY774</f>
        <v/>
      </c>
      <c r="AZ775">
        <f>$C775*AZ774</f>
        <v/>
      </c>
      <c r="BA775">
        <f>$C775*BA774</f>
        <v/>
      </c>
      <c r="BB775">
        <f>$C775*BB774</f>
        <v/>
      </c>
      <c r="BC775">
        <f>$C775*BC774</f>
        <v/>
      </c>
      <c r="BD775">
        <f>$C775*BD774</f>
        <v/>
      </c>
      <c r="BE775">
        <f>$C775*BE774</f>
        <v/>
      </c>
      <c r="BF775">
        <f>$C775*BF774</f>
        <v/>
      </c>
      <c r="BG775">
        <f>$C775*BG774</f>
        <v/>
      </c>
      <c r="BH775">
        <f>$C775*BH774</f>
        <v/>
      </c>
      <c r="BI775">
        <f>$C775*BI774</f>
        <v/>
      </c>
      <c r="BJ775">
        <f>$C775*BJ774</f>
        <v/>
      </c>
      <c r="BK775">
        <f>$C775*BK774</f>
        <v/>
      </c>
      <c r="BL775">
        <f>$C775*BL774</f>
        <v/>
      </c>
      <c r="BM775">
        <f>$C775*BM774</f>
        <v/>
      </c>
      <c r="BN775">
        <f>$C775*BN774</f>
        <v/>
      </c>
      <c r="BO775">
        <f>$C775*BO774</f>
        <v/>
      </c>
      <c r="BP775">
        <f>$C775*BP774</f>
        <v/>
      </c>
      <c r="BQ775">
        <f>$C775*BQ774</f>
        <v/>
      </c>
      <c r="BR775">
        <f>$C775*BR774</f>
        <v/>
      </c>
      <c r="BS775">
        <f>$C775*BS774</f>
        <v/>
      </c>
      <c r="BT775">
        <f>$C775*BT774</f>
        <v/>
      </c>
      <c r="BU775">
        <f>$C775*BU774</f>
        <v/>
      </c>
      <c r="BV775">
        <f>$C775*BV774</f>
        <v/>
      </c>
      <c r="BW775">
        <f>$C775*BW774</f>
        <v/>
      </c>
      <c r="BX775">
        <f>$C775*BX774</f>
        <v/>
      </c>
      <c r="BY775">
        <f>$C775*BY774</f>
        <v/>
      </c>
      <c r="BZ775">
        <f>$C775*BZ774</f>
        <v/>
      </c>
      <c r="CA775">
        <f>$C775*CA774</f>
        <v/>
      </c>
      <c r="CB775">
        <f>$C775*CB774</f>
        <v/>
      </c>
      <c r="CC775">
        <f>$C775*CC774</f>
        <v/>
      </c>
      <c r="CD775">
        <f>$C775*CD774</f>
        <v/>
      </c>
      <c r="CE775">
        <f>$C775*CE774</f>
        <v/>
      </c>
      <c r="CF775">
        <f>$C775*CF774</f>
        <v/>
      </c>
      <c r="CG775">
        <f>$C775*CG774</f>
        <v/>
      </c>
      <c r="CH775">
        <f>$C775*CH774</f>
        <v/>
      </c>
      <c r="CI775">
        <f>$C775*CI774</f>
        <v/>
      </c>
      <c r="CJ775">
        <f>$C775*CJ774</f>
        <v/>
      </c>
      <c r="CK775">
        <f>$C775*CK774</f>
        <v/>
      </c>
      <c r="CL775">
        <f>$C775*CL774</f>
        <v/>
      </c>
      <c r="CM775">
        <f>$C775*CM774</f>
        <v/>
      </c>
      <c r="CN775">
        <f>$C775*CN774</f>
        <v/>
      </c>
      <c r="CO775">
        <f>$C775*CO774</f>
        <v/>
      </c>
      <c r="CP775">
        <f>$C775*CP774</f>
        <v/>
      </c>
      <c r="CQ775">
        <f>$C775*CQ774</f>
        <v/>
      </c>
      <c r="CR775">
        <f>$C775*CR774</f>
        <v/>
      </c>
      <c r="CS775">
        <f>$C775*CS774</f>
        <v/>
      </c>
      <c r="CT775">
        <f>$C775*CT774</f>
        <v/>
      </c>
      <c r="CU775">
        <f>$C775*CU774</f>
        <v/>
      </c>
      <c r="CV775">
        <f>$C775*CV774</f>
        <v/>
      </c>
      <c r="CW775">
        <f>$C775*CW774</f>
        <v/>
      </c>
      <c r="CX775">
        <f>$C775*CX774</f>
        <v/>
      </c>
      <c r="CY775">
        <f>$C775*CY774</f>
        <v/>
      </c>
      <c r="CZ775">
        <f>$C775*CZ774</f>
        <v/>
      </c>
      <c r="DA775">
        <f>$C775*DA774</f>
        <v/>
      </c>
      <c r="DB775">
        <f>$C775*DB774</f>
        <v/>
      </c>
      <c r="DC775">
        <f>$C775*DC774</f>
        <v/>
      </c>
    </row>
    <row r="776">
      <c r="B776" t="inlineStr">
        <is>
          <t>TSP-959</t>
        </is>
      </c>
      <c r="C776" t="inlineStr">
        <is>
          <t>No. of batches</t>
        </is>
      </c>
      <c r="D776">
        <f>IFERROR(INDEX(PP_Grid[#Data],$DD776,2),0)</f>
        <v/>
      </c>
      <c r="E776">
        <f>IFERROR(INDEX(PP_Grid[#Data],$DD776,3),0)</f>
        <v/>
      </c>
      <c r="F776">
        <f>IFERROR(INDEX(PP_Grid[#Data],$DD776,4),0)</f>
        <v/>
      </c>
      <c r="G776">
        <f>IFERROR(INDEX(PP_Grid[#Data],$DD776,5),0)</f>
        <v/>
      </c>
      <c r="H776">
        <f>IFERROR(INDEX(PP_Grid[#Data],$DD776,6),0)</f>
        <v/>
      </c>
      <c r="I776">
        <f>IFERROR(INDEX(PP_Grid[#Data],$DD776,7),0)</f>
        <v/>
      </c>
      <c r="J776">
        <f>IFERROR(INDEX(PP_Grid[#Data],$DD776,8),0)</f>
        <v/>
      </c>
      <c r="K776">
        <f>IFERROR(INDEX(PP_Grid[#Data],$DD776,9),0)</f>
        <v/>
      </c>
      <c r="L776">
        <f>IFERROR(INDEX(PP_Grid[#Data],$DD776,10),0)</f>
        <v/>
      </c>
      <c r="M776">
        <f>IFERROR(INDEX(PP_Grid[#Data],$DD776,11),0)</f>
        <v/>
      </c>
      <c r="N776">
        <f>IFERROR(INDEX(PP_Grid[#Data],$DD776,12),0)</f>
        <v/>
      </c>
      <c r="O776">
        <f>IFERROR(INDEX(PP_Grid[#Data],$DD776,13),0)</f>
        <v/>
      </c>
      <c r="P776">
        <f>IFERROR(INDEX(PP_Grid[#Data],$DD776,14),0)</f>
        <v/>
      </c>
      <c r="Q776">
        <f>IFERROR(INDEX(PP_Grid[#Data],$DD776,15),0)</f>
        <v/>
      </c>
      <c r="R776">
        <f>IFERROR(INDEX(PP_Grid[#Data],$DD776,16),0)</f>
        <v/>
      </c>
      <c r="S776">
        <f>IFERROR(INDEX(PP_Grid[#Data],$DD776,17),0)</f>
        <v/>
      </c>
      <c r="T776">
        <f>IFERROR(INDEX(PP_Grid[#Data],$DD776,18),0)</f>
        <v/>
      </c>
      <c r="U776">
        <f>IFERROR(INDEX(PP_Grid[#Data],$DD776,19),0)</f>
        <v/>
      </c>
      <c r="V776">
        <f>IFERROR(INDEX(PP_Grid[#Data],$DD776,20),0)</f>
        <v/>
      </c>
      <c r="W776">
        <f>IFERROR(INDEX(PP_Grid[#Data],$DD776,21),0)</f>
        <v/>
      </c>
      <c r="X776">
        <f>IFERROR(INDEX(PP_Grid[#Data],$DD776,22),0)</f>
        <v/>
      </c>
      <c r="Y776">
        <f>IFERROR(INDEX(PP_Grid[#Data],$DD776,23),0)</f>
        <v/>
      </c>
      <c r="Z776">
        <f>IFERROR(INDEX(PP_Grid[#Data],$DD776,24),0)</f>
        <v/>
      </c>
      <c r="AA776">
        <f>IFERROR(INDEX(PP_Grid[#Data],$DD776,25),0)</f>
        <v/>
      </c>
      <c r="AB776">
        <f>IFERROR(INDEX(PP_Grid[#Data],$DD776,26),0)</f>
        <v/>
      </c>
      <c r="AC776">
        <f>IFERROR(INDEX(PP_Grid[#Data],$DD776,27),0)</f>
        <v/>
      </c>
      <c r="AD776">
        <f>IFERROR(INDEX(PP_Grid[#Data],$DD776,28),0)</f>
        <v/>
      </c>
      <c r="AE776">
        <f>IFERROR(INDEX(PP_Grid[#Data],$DD776,29),0)</f>
        <v/>
      </c>
      <c r="AF776">
        <f>IFERROR(INDEX(PP_Grid[#Data],$DD776,30),0)</f>
        <v/>
      </c>
      <c r="AG776">
        <f>IFERROR(INDEX(PP_Grid[#Data],$DD776,31),0)</f>
        <v/>
      </c>
      <c r="AH776">
        <f>IFERROR(INDEX(PP_Grid[#Data],$DD776,32),0)</f>
        <v/>
      </c>
      <c r="AI776">
        <f>IFERROR(INDEX(PP_Grid[#Data],$DD776,33),0)</f>
        <v/>
      </c>
      <c r="AJ776">
        <f>IFERROR(INDEX(PP_Grid[#Data],$DD776,34),0)</f>
        <v/>
      </c>
      <c r="AK776">
        <f>IFERROR(INDEX(PP_Grid[#Data],$DD776,35),0)</f>
        <v/>
      </c>
      <c r="AL776">
        <f>IFERROR(INDEX(PP_Grid[#Data],$DD776,36),0)</f>
        <v/>
      </c>
      <c r="AM776">
        <f>IFERROR(INDEX(PP_Grid[#Data],$DD776,37),0)</f>
        <v/>
      </c>
      <c r="AN776">
        <f>IFERROR(INDEX(PP_Grid[#Data],$DD776,38),0)</f>
        <v/>
      </c>
      <c r="AO776">
        <f>IFERROR(INDEX(PP_Grid[#Data],$DD776,39),0)</f>
        <v/>
      </c>
      <c r="AP776">
        <f>IFERROR(INDEX(PP_Grid[#Data],$DD776,40),0)</f>
        <v/>
      </c>
      <c r="AQ776">
        <f>IFERROR(INDEX(PP_Grid[#Data],$DD776,41),0)</f>
        <v/>
      </c>
      <c r="AR776">
        <f>IFERROR(INDEX(PP_Grid[#Data],$DD776,42),0)</f>
        <v/>
      </c>
      <c r="AS776">
        <f>IFERROR(INDEX(PP_Grid[#Data],$DD776,43),0)</f>
        <v/>
      </c>
      <c r="AT776">
        <f>IFERROR(INDEX(PP_Grid[#Data],$DD776,44),0)</f>
        <v/>
      </c>
      <c r="AU776">
        <f>IFERROR(INDEX(PP_Grid[#Data],$DD776,45),0)</f>
        <v/>
      </c>
      <c r="AV776">
        <f>IFERROR(INDEX(PP_Grid[#Data],$DD776,46),0)</f>
        <v/>
      </c>
      <c r="AW776">
        <f>IFERROR(INDEX(PP_Grid[#Data],$DD776,47),0)</f>
        <v/>
      </c>
      <c r="AX776">
        <f>IFERROR(INDEX(PP_Grid[#Data],$DD776,48),0)</f>
        <v/>
      </c>
      <c r="AY776">
        <f>IFERROR(INDEX(PP_Grid[#Data],$DD776,49),0)</f>
        <v/>
      </c>
      <c r="AZ776">
        <f>IFERROR(INDEX(PP_Grid[#Data],$DD776,50),0)</f>
        <v/>
      </c>
      <c r="BA776">
        <f>IFERROR(INDEX(PP_Grid[#Data],$DD776,51),0)</f>
        <v/>
      </c>
      <c r="BB776">
        <f>IFERROR(INDEX(PP_Grid[#Data],$DD776,52),0)</f>
        <v/>
      </c>
      <c r="BC776">
        <f>IFERROR(INDEX(PP_Grid[#Data],$DD776,53),0)</f>
        <v/>
      </c>
      <c r="BD776">
        <f>IFERROR(INDEX(PP_Grid[#Data],$DD776,54),0)</f>
        <v/>
      </c>
      <c r="BE776">
        <f>IFERROR(INDEX(PP_Grid[#Data],$DD776,55),0)</f>
        <v/>
      </c>
      <c r="BF776">
        <f>IFERROR(INDEX(PP_Grid[#Data],$DD776,56),0)</f>
        <v/>
      </c>
      <c r="BG776">
        <f>IFERROR(INDEX(PP_Grid[#Data],$DD776,57),0)</f>
        <v/>
      </c>
      <c r="BH776">
        <f>IFERROR(INDEX(PP_Grid[#Data],$DD776,58),0)</f>
        <v/>
      </c>
      <c r="BI776">
        <f>IFERROR(INDEX(PP_Grid[#Data],$DD776,59),0)</f>
        <v/>
      </c>
      <c r="BJ776">
        <f>IFERROR(INDEX(PP_Grid[#Data],$DD776,60),0)</f>
        <v/>
      </c>
      <c r="BK776">
        <f>IFERROR(INDEX(PP_Grid[#Data],$DD776,61),0)</f>
        <v/>
      </c>
      <c r="BL776">
        <f>IFERROR(INDEX(PP_Grid[#Data],$DD776,62),0)</f>
        <v/>
      </c>
      <c r="BM776">
        <f>IFERROR(INDEX(PP_Grid[#Data],$DD776,63),0)</f>
        <v/>
      </c>
      <c r="BN776">
        <f>IFERROR(INDEX(PP_Grid[#Data],$DD776,64),0)</f>
        <v/>
      </c>
      <c r="BO776">
        <f>IFERROR(INDEX(PP_Grid[#Data],$DD776,65),0)</f>
        <v/>
      </c>
      <c r="BP776">
        <f>IFERROR(INDEX(PP_Grid[#Data],$DD776,66),0)</f>
        <v/>
      </c>
      <c r="BQ776">
        <f>IFERROR(INDEX(PP_Grid[#Data],$DD776,67),0)</f>
        <v/>
      </c>
      <c r="BR776">
        <f>IFERROR(INDEX(PP_Grid[#Data],$DD776,68),0)</f>
        <v/>
      </c>
      <c r="BS776">
        <f>IFERROR(INDEX(PP_Grid[#Data],$DD776,69),0)</f>
        <v/>
      </c>
      <c r="BT776">
        <f>IFERROR(INDEX(PP_Grid[#Data],$DD776,70),0)</f>
        <v/>
      </c>
      <c r="BU776">
        <f>IFERROR(INDEX(PP_Grid[#Data],$DD776,71),0)</f>
        <v/>
      </c>
      <c r="BV776">
        <f>IFERROR(INDEX(PP_Grid[#Data],$DD776,72),0)</f>
        <v/>
      </c>
      <c r="BW776">
        <f>IFERROR(INDEX(PP_Grid[#Data],$DD776,73),0)</f>
        <v/>
      </c>
      <c r="BX776">
        <f>IFERROR(INDEX(PP_Grid[#Data],$DD776,74),0)</f>
        <v/>
      </c>
      <c r="BY776">
        <f>IFERROR(INDEX(PP_Grid[#Data],$DD776,75),0)</f>
        <v/>
      </c>
      <c r="BZ776">
        <f>IFERROR(INDEX(PP_Grid[#Data],$DD776,76),0)</f>
        <v/>
      </c>
      <c r="CA776">
        <f>IFERROR(INDEX(PP_Grid[#Data],$DD776,77),0)</f>
        <v/>
      </c>
      <c r="CB776">
        <f>IFERROR(INDEX(PP_Grid[#Data],$DD776,78),0)</f>
        <v/>
      </c>
      <c r="CC776">
        <f>IFERROR(INDEX(PP_Grid[#Data],$DD776,79),0)</f>
        <v/>
      </c>
      <c r="CD776">
        <f>IFERROR(INDEX(PP_Grid[#Data],$DD776,80),0)</f>
        <v/>
      </c>
      <c r="CE776">
        <f>IFERROR(INDEX(PP_Grid[#Data],$DD776,81),0)</f>
        <v/>
      </c>
      <c r="CF776">
        <f>IFERROR(INDEX(PP_Grid[#Data],$DD776,82),0)</f>
        <v/>
      </c>
      <c r="CG776">
        <f>IFERROR(INDEX(PP_Grid[#Data],$DD776,83),0)</f>
        <v/>
      </c>
      <c r="CH776">
        <f>IFERROR(INDEX(PP_Grid[#Data],$DD776,84),0)</f>
        <v/>
      </c>
      <c r="CI776">
        <f>IFERROR(INDEX(PP_Grid[#Data],$DD776,85),0)</f>
        <v/>
      </c>
      <c r="CJ776">
        <f>IFERROR(INDEX(PP_Grid[#Data],$DD776,86),0)</f>
        <v/>
      </c>
      <c r="CK776">
        <f>IFERROR(INDEX(PP_Grid[#Data],$DD776,87),0)</f>
        <v/>
      </c>
      <c r="CL776">
        <f>IFERROR(INDEX(PP_Grid[#Data],$DD776,88),0)</f>
        <v/>
      </c>
      <c r="CM776">
        <f>IFERROR(INDEX(PP_Grid[#Data],$DD776,89),0)</f>
        <v/>
      </c>
      <c r="CN776">
        <f>IFERROR(INDEX(PP_Grid[#Data],$DD776,90),0)</f>
        <v/>
      </c>
      <c r="CO776">
        <f>IFERROR(INDEX(PP_Grid[#Data],$DD776,91),0)</f>
        <v/>
      </c>
      <c r="CP776">
        <f>IFERROR(INDEX(PP_Grid[#Data],$DD776,92),0)</f>
        <v/>
      </c>
      <c r="CQ776">
        <f>IFERROR(INDEX(PP_Grid[#Data],$DD776,93),0)</f>
        <v/>
      </c>
      <c r="CR776">
        <f>IFERROR(INDEX(PP_Grid[#Data],$DD776,94),0)</f>
        <v/>
      </c>
      <c r="CS776">
        <f>IFERROR(INDEX(PP_Grid[#Data],$DD776,95),0)</f>
        <v/>
      </c>
      <c r="CT776">
        <f>IFERROR(INDEX(PP_Grid[#Data],$DD776,96),0)</f>
        <v/>
      </c>
      <c r="CU776">
        <f>IFERROR(INDEX(PP_Grid[#Data],$DD776,97),0)</f>
        <v/>
      </c>
      <c r="CV776">
        <f>IFERROR(INDEX(PP_Grid[#Data],$DD776,98),0)</f>
        <v/>
      </c>
      <c r="CW776">
        <f>IFERROR(INDEX(PP_Grid[#Data],$DD776,99),0)</f>
        <v/>
      </c>
      <c r="CX776">
        <f>IFERROR(INDEX(PP_Grid[#Data],$DD776,100),0)</f>
        <v/>
      </c>
      <c r="CY776">
        <f>IFERROR(INDEX(PP_Grid[#Data],$DD776,101),0)</f>
        <v/>
      </c>
      <c r="CZ776">
        <f>IFERROR(INDEX(PP_Grid[#Data],$DD776,102),0)</f>
        <v/>
      </c>
      <c r="DA776">
        <f>IFERROR(INDEX(PP_Grid[#Data],$DD776,103),0)</f>
        <v/>
      </c>
      <c r="DB776">
        <f>IFERROR(INDEX(PP_Grid[#Data],$DD776,104),0)</f>
        <v/>
      </c>
      <c r="DC776">
        <f>IFERROR(INDEX(PP_Grid[#Data],$DD776,105),0)</f>
        <v/>
      </c>
      <c r="DD776" s="12">
        <f>IFERROR(MATCH($B776,PP_Grid[Intermediate],0),99999)</f>
        <v/>
      </c>
    </row>
    <row r="777">
      <c r="B777" t="inlineStr">
        <is>
          <t>使用量(kg)</t>
        </is>
      </c>
      <c r="C777">
        <f>SUMIFS(M_BOM[RM_Qty_Per_Batch],M_BOM[Intermediate],$B776,M_BOM[Part Name],$A669)</f>
        <v/>
      </c>
      <c r="D777">
        <f>$C777*D776</f>
        <v/>
      </c>
      <c r="E777">
        <f>$C777*E776</f>
        <v/>
      </c>
      <c r="F777">
        <f>$C777*F776</f>
        <v/>
      </c>
      <c r="G777">
        <f>$C777*G776</f>
        <v/>
      </c>
      <c r="H777">
        <f>$C777*H776</f>
        <v/>
      </c>
      <c r="I777">
        <f>$C777*I776</f>
        <v/>
      </c>
      <c r="J777">
        <f>$C777*J776</f>
        <v/>
      </c>
      <c r="K777">
        <f>$C777*K776</f>
        <v/>
      </c>
      <c r="L777">
        <f>$C777*L776</f>
        <v/>
      </c>
      <c r="M777">
        <f>$C777*M776</f>
        <v/>
      </c>
      <c r="N777">
        <f>$C777*N776</f>
        <v/>
      </c>
      <c r="O777">
        <f>$C777*O776</f>
        <v/>
      </c>
      <c r="P777">
        <f>$C777*P776</f>
        <v/>
      </c>
      <c r="Q777">
        <f>$C777*Q776</f>
        <v/>
      </c>
      <c r="R777">
        <f>$C777*R776</f>
        <v/>
      </c>
      <c r="S777">
        <f>$C777*S776</f>
        <v/>
      </c>
      <c r="T777">
        <f>$C777*T776</f>
        <v/>
      </c>
      <c r="U777">
        <f>$C777*U776</f>
        <v/>
      </c>
      <c r="V777">
        <f>$C777*V776</f>
        <v/>
      </c>
      <c r="W777">
        <f>$C777*W776</f>
        <v/>
      </c>
      <c r="X777">
        <f>$C777*X776</f>
        <v/>
      </c>
      <c r="Y777">
        <f>$C777*Y776</f>
        <v/>
      </c>
      <c r="Z777">
        <f>$C777*Z776</f>
        <v/>
      </c>
      <c r="AA777">
        <f>$C777*AA776</f>
        <v/>
      </c>
      <c r="AB777">
        <f>$C777*AB776</f>
        <v/>
      </c>
      <c r="AC777">
        <f>$C777*AC776</f>
        <v/>
      </c>
      <c r="AD777">
        <f>$C777*AD776</f>
        <v/>
      </c>
      <c r="AE777">
        <f>$C777*AE776</f>
        <v/>
      </c>
      <c r="AF777">
        <f>$C777*AF776</f>
        <v/>
      </c>
      <c r="AG777">
        <f>$C777*AG776</f>
        <v/>
      </c>
      <c r="AH777">
        <f>$C777*AH776</f>
        <v/>
      </c>
      <c r="AI777">
        <f>$C777*AI776</f>
        <v/>
      </c>
      <c r="AJ777">
        <f>$C777*AJ776</f>
        <v/>
      </c>
      <c r="AK777">
        <f>$C777*AK776</f>
        <v/>
      </c>
      <c r="AL777">
        <f>$C777*AL776</f>
        <v/>
      </c>
      <c r="AM777">
        <f>$C777*AM776</f>
        <v/>
      </c>
      <c r="AN777">
        <f>$C777*AN776</f>
        <v/>
      </c>
      <c r="AO777">
        <f>$C777*AO776</f>
        <v/>
      </c>
      <c r="AP777">
        <f>$C777*AP776</f>
        <v/>
      </c>
      <c r="AQ777">
        <f>$C777*AQ776</f>
        <v/>
      </c>
      <c r="AR777">
        <f>$C777*AR776</f>
        <v/>
      </c>
      <c r="AS777">
        <f>$C777*AS776</f>
        <v/>
      </c>
      <c r="AT777">
        <f>$C777*AT776</f>
        <v/>
      </c>
      <c r="AU777">
        <f>$C777*AU776</f>
        <v/>
      </c>
      <c r="AV777">
        <f>$C777*AV776</f>
        <v/>
      </c>
      <c r="AW777">
        <f>$C777*AW776</f>
        <v/>
      </c>
      <c r="AX777">
        <f>$C777*AX776</f>
        <v/>
      </c>
      <c r="AY777">
        <f>$C777*AY776</f>
        <v/>
      </c>
      <c r="AZ777">
        <f>$C777*AZ776</f>
        <v/>
      </c>
      <c r="BA777">
        <f>$C777*BA776</f>
        <v/>
      </c>
      <c r="BB777">
        <f>$C777*BB776</f>
        <v/>
      </c>
      <c r="BC777">
        <f>$C777*BC776</f>
        <v/>
      </c>
      <c r="BD777">
        <f>$C777*BD776</f>
        <v/>
      </c>
      <c r="BE777">
        <f>$C777*BE776</f>
        <v/>
      </c>
      <c r="BF777">
        <f>$C777*BF776</f>
        <v/>
      </c>
      <c r="BG777">
        <f>$C777*BG776</f>
        <v/>
      </c>
      <c r="BH777">
        <f>$C777*BH776</f>
        <v/>
      </c>
      <c r="BI777">
        <f>$C777*BI776</f>
        <v/>
      </c>
      <c r="BJ777">
        <f>$C777*BJ776</f>
        <v/>
      </c>
      <c r="BK777">
        <f>$C777*BK776</f>
        <v/>
      </c>
      <c r="BL777">
        <f>$C777*BL776</f>
        <v/>
      </c>
      <c r="BM777">
        <f>$C777*BM776</f>
        <v/>
      </c>
      <c r="BN777">
        <f>$C777*BN776</f>
        <v/>
      </c>
      <c r="BO777">
        <f>$C777*BO776</f>
        <v/>
      </c>
      <c r="BP777">
        <f>$C777*BP776</f>
        <v/>
      </c>
      <c r="BQ777">
        <f>$C777*BQ776</f>
        <v/>
      </c>
      <c r="BR777">
        <f>$C777*BR776</f>
        <v/>
      </c>
      <c r="BS777">
        <f>$C777*BS776</f>
        <v/>
      </c>
      <c r="BT777">
        <f>$C777*BT776</f>
        <v/>
      </c>
      <c r="BU777">
        <f>$C777*BU776</f>
        <v/>
      </c>
      <c r="BV777">
        <f>$C777*BV776</f>
        <v/>
      </c>
      <c r="BW777">
        <f>$C777*BW776</f>
        <v/>
      </c>
      <c r="BX777">
        <f>$C777*BX776</f>
        <v/>
      </c>
      <c r="BY777">
        <f>$C777*BY776</f>
        <v/>
      </c>
      <c r="BZ777">
        <f>$C777*BZ776</f>
        <v/>
      </c>
      <c r="CA777">
        <f>$C777*CA776</f>
        <v/>
      </c>
      <c r="CB777">
        <f>$C777*CB776</f>
        <v/>
      </c>
      <c r="CC777">
        <f>$C777*CC776</f>
        <v/>
      </c>
      <c r="CD777">
        <f>$C777*CD776</f>
        <v/>
      </c>
      <c r="CE777">
        <f>$C777*CE776</f>
        <v/>
      </c>
      <c r="CF777">
        <f>$C777*CF776</f>
        <v/>
      </c>
      <c r="CG777">
        <f>$C777*CG776</f>
        <v/>
      </c>
      <c r="CH777">
        <f>$C777*CH776</f>
        <v/>
      </c>
      <c r="CI777">
        <f>$C777*CI776</f>
        <v/>
      </c>
      <c r="CJ777">
        <f>$C777*CJ776</f>
        <v/>
      </c>
      <c r="CK777">
        <f>$C777*CK776</f>
        <v/>
      </c>
      <c r="CL777">
        <f>$C777*CL776</f>
        <v/>
      </c>
      <c r="CM777">
        <f>$C777*CM776</f>
        <v/>
      </c>
      <c r="CN777">
        <f>$C777*CN776</f>
        <v/>
      </c>
      <c r="CO777">
        <f>$C777*CO776</f>
        <v/>
      </c>
      <c r="CP777">
        <f>$C777*CP776</f>
        <v/>
      </c>
      <c r="CQ777">
        <f>$C777*CQ776</f>
        <v/>
      </c>
      <c r="CR777">
        <f>$C777*CR776</f>
        <v/>
      </c>
      <c r="CS777">
        <f>$C777*CS776</f>
        <v/>
      </c>
      <c r="CT777">
        <f>$C777*CT776</f>
        <v/>
      </c>
      <c r="CU777">
        <f>$C777*CU776</f>
        <v/>
      </c>
      <c r="CV777">
        <f>$C777*CV776</f>
        <v/>
      </c>
      <c r="CW777">
        <f>$C777*CW776</f>
        <v/>
      </c>
      <c r="CX777">
        <f>$C777*CX776</f>
        <v/>
      </c>
      <c r="CY777">
        <f>$C777*CY776</f>
        <v/>
      </c>
      <c r="CZ777">
        <f>$C777*CZ776</f>
        <v/>
      </c>
      <c r="DA777">
        <f>$C777*DA776</f>
        <v/>
      </c>
      <c r="DB777">
        <f>$C777*DB776</f>
        <v/>
      </c>
      <c r="DC777">
        <f>$C777*DC776</f>
        <v/>
      </c>
    </row>
    <row r="778">
      <c r="B778" t="inlineStr">
        <is>
          <t>TSP-966</t>
        </is>
      </c>
      <c r="C778" t="inlineStr">
        <is>
          <t>No. of batches</t>
        </is>
      </c>
      <c r="D778">
        <f>IFERROR(INDEX(PP_Grid[#Data],$DD778,2),0)</f>
        <v/>
      </c>
      <c r="E778">
        <f>IFERROR(INDEX(PP_Grid[#Data],$DD778,3),0)</f>
        <v/>
      </c>
      <c r="F778">
        <f>IFERROR(INDEX(PP_Grid[#Data],$DD778,4),0)</f>
        <v/>
      </c>
      <c r="G778">
        <f>IFERROR(INDEX(PP_Grid[#Data],$DD778,5),0)</f>
        <v/>
      </c>
      <c r="H778">
        <f>IFERROR(INDEX(PP_Grid[#Data],$DD778,6),0)</f>
        <v/>
      </c>
      <c r="I778">
        <f>IFERROR(INDEX(PP_Grid[#Data],$DD778,7),0)</f>
        <v/>
      </c>
      <c r="J778">
        <f>IFERROR(INDEX(PP_Grid[#Data],$DD778,8),0)</f>
        <v/>
      </c>
      <c r="K778">
        <f>IFERROR(INDEX(PP_Grid[#Data],$DD778,9),0)</f>
        <v/>
      </c>
      <c r="L778">
        <f>IFERROR(INDEX(PP_Grid[#Data],$DD778,10),0)</f>
        <v/>
      </c>
      <c r="M778">
        <f>IFERROR(INDEX(PP_Grid[#Data],$DD778,11),0)</f>
        <v/>
      </c>
      <c r="N778">
        <f>IFERROR(INDEX(PP_Grid[#Data],$DD778,12),0)</f>
        <v/>
      </c>
      <c r="O778">
        <f>IFERROR(INDEX(PP_Grid[#Data],$DD778,13),0)</f>
        <v/>
      </c>
      <c r="P778">
        <f>IFERROR(INDEX(PP_Grid[#Data],$DD778,14),0)</f>
        <v/>
      </c>
      <c r="Q778">
        <f>IFERROR(INDEX(PP_Grid[#Data],$DD778,15),0)</f>
        <v/>
      </c>
      <c r="R778">
        <f>IFERROR(INDEX(PP_Grid[#Data],$DD778,16),0)</f>
        <v/>
      </c>
      <c r="S778">
        <f>IFERROR(INDEX(PP_Grid[#Data],$DD778,17),0)</f>
        <v/>
      </c>
      <c r="T778">
        <f>IFERROR(INDEX(PP_Grid[#Data],$DD778,18),0)</f>
        <v/>
      </c>
      <c r="U778">
        <f>IFERROR(INDEX(PP_Grid[#Data],$DD778,19),0)</f>
        <v/>
      </c>
      <c r="V778">
        <f>IFERROR(INDEX(PP_Grid[#Data],$DD778,20),0)</f>
        <v/>
      </c>
      <c r="W778">
        <f>IFERROR(INDEX(PP_Grid[#Data],$DD778,21),0)</f>
        <v/>
      </c>
      <c r="X778">
        <f>IFERROR(INDEX(PP_Grid[#Data],$DD778,22),0)</f>
        <v/>
      </c>
      <c r="Y778">
        <f>IFERROR(INDEX(PP_Grid[#Data],$DD778,23),0)</f>
        <v/>
      </c>
      <c r="Z778">
        <f>IFERROR(INDEX(PP_Grid[#Data],$DD778,24),0)</f>
        <v/>
      </c>
      <c r="AA778">
        <f>IFERROR(INDEX(PP_Grid[#Data],$DD778,25),0)</f>
        <v/>
      </c>
      <c r="AB778">
        <f>IFERROR(INDEX(PP_Grid[#Data],$DD778,26),0)</f>
        <v/>
      </c>
      <c r="AC778">
        <f>IFERROR(INDEX(PP_Grid[#Data],$DD778,27),0)</f>
        <v/>
      </c>
      <c r="AD778">
        <f>IFERROR(INDEX(PP_Grid[#Data],$DD778,28),0)</f>
        <v/>
      </c>
      <c r="AE778">
        <f>IFERROR(INDEX(PP_Grid[#Data],$DD778,29),0)</f>
        <v/>
      </c>
      <c r="AF778">
        <f>IFERROR(INDEX(PP_Grid[#Data],$DD778,30),0)</f>
        <v/>
      </c>
      <c r="AG778">
        <f>IFERROR(INDEX(PP_Grid[#Data],$DD778,31),0)</f>
        <v/>
      </c>
      <c r="AH778">
        <f>IFERROR(INDEX(PP_Grid[#Data],$DD778,32),0)</f>
        <v/>
      </c>
      <c r="AI778">
        <f>IFERROR(INDEX(PP_Grid[#Data],$DD778,33),0)</f>
        <v/>
      </c>
      <c r="AJ778">
        <f>IFERROR(INDEX(PP_Grid[#Data],$DD778,34),0)</f>
        <v/>
      </c>
      <c r="AK778">
        <f>IFERROR(INDEX(PP_Grid[#Data],$DD778,35),0)</f>
        <v/>
      </c>
      <c r="AL778">
        <f>IFERROR(INDEX(PP_Grid[#Data],$DD778,36),0)</f>
        <v/>
      </c>
      <c r="AM778">
        <f>IFERROR(INDEX(PP_Grid[#Data],$DD778,37),0)</f>
        <v/>
      </c>
      <c r="AN778">
        <f>IFERROR(INDEX(PP_Grid[#Data],$DD778,38),0)</f>
        <v/>
      </c>
      <c r="AO778">
        <f>IFERROR(INDEX(PP_Grid[#Data],$DD778,39),0)</f>
        <v/>
      </c>
      <c r="AP778">
        <f>IFERROR(INDEX(PP_Grid[#Data],$DD778,40),0)</f>
        <v/>
      </c>
      <c r="AQ778">
        <f>IFERROR(INDEX(PP_Grid[#Data],$DD778,41),0)</f>
        <v/>
      </c>
      <c r="AR778">
        <f>IFERROR(INDEX(PP_Grid[#Data],$DD778,42),0)</f>
        <v/>
      </c>
      <c r="AS778">
        <f>IFERROR(INDEX(PP_Grid[#Data],$DD778,43),0)</f>
        <v/>
      </c>
      <c r="AT778">
        <f>IFERROR(INDEX(PP_Grid[#Data],$DD778,44),0)</f>
        <v/>
      </c>
      <c r="AU778">
        <f>IFERROR(INDEX(PP_Grid[#Data],$DD778,45),0)</f>
        <v/>
      </c>
      <c r="AV778">
        <f>IFERROR(INDEX(PP_Grid[#Data],$DD778,46),0)</f>
        <v/>
      </c>
      <c r="AW778">
        <f>IFERROR(INDEX(PP_Grid[#Data],$DD778,47),0)</f>
        <v/>
      </c>
      <c r="AX778">
        <f>IFERROR(INDEX(PP_Grid[#Data],$DD778,48),0)</f>
        <v/>
      </c>
      <c r="AY778">
        <f>IFERROR(INDEX(PP_Grid[#Data],$DD778,49),0)</f>
        <v/>
      </c>
      <c r="AZ778">
        <f>IFERROR(INDEX(PP_Grid[#Data],$DD778,50),0)</f>
        <v/>
      </c>
      <c r="BA778">
        <f>IFERROR(INDEX(PP_Grid[#Data],$DD778,51),0)</f>
        <v/>
      </c>
      <c r="BB778">
        <f>IFERROR(INDEX(PP_Grid[#Data],$DD778,52),0)</f>
        <v/>
      </c>
      <c r="BC778">
        <f>IFERROR(INDEX(PP_Grid[#Data],$DD778,53),0)</f>
        <v/>
      </c>
      <c r="BD778">
        <f>IFERROR(INDEX(PP_Grid[#Data],$DD778,54),0)</f>
        <v/>
      </c>
      <c r="BE778">
        <f>IFERROR(INDEX(PP_Grid[#Data],$DD778,55),0)</f>
        <v/>
      </c>
      <c r="BF778">
        <f>IFERROR(INDEX(PP_Grid[#Data],$DD778,56),0)</f>
        <v/>
      </c>
      <c r="BG778">
        <f>IFERROR(INDEX(PP_Grid[#Data],$DD778,57),0)</f>
        <v/>
      </c>
      <c r="BH778">
        <f>IFERROR(INDEX(PP_Grid[#Data],$DD778,58),0)</f>
        <v/>
      </c>
      <c r="BI778">
        <f>IFERROR(INDEX(PP_Grid[#Data],$DD778,59),0)</f>
        <v/>
      </c>
      <c r="BJ778">
        <f>IFERROR(INDEX(PP_Grid[#Data],$DD778,60),0)</f>
        <v/>
      </c>
      <c r="BK778">
        <f>IFERROR(INDEX(PP_Grid[#Data],$DD778,61),0)</f>
        <v/>
      </c>
      <c r="BL778">
        <f>IFERROR(INDEX(PP_Grid[#Data],$DD778,62),0)</f>
        <v/>
      </c>
      <c r="BM778">
        <f>IFERROR(INDEX(PP_Grid[#Data],$DD778,63),0)</f>
        <v/>
      </c>
      <c r="BN778">
        <f>IFERROR(INDEX(PP_Grid[#Data],$DD778,64),0)</f>
        <v/>
      </c>
      <c r="BO778">
        <f>IFERROR(INDEX(PP_Grid[#Data],$DD778,65),0)</f>
        <v/>
      </c>
      <c r="BP778">
        <f>IFERROR(INDEX(PP_Grid[#Data],$DD778,66),0)</f>
        <v/>
      </c>
      <c r="BQ778">
        <f>IFERROR(INDEX(PP_Grid[#Data],$DD778,67),0)</f>
        <v/>
      </c>
      <c r="BR778">
        <f>IFERROR(INDEX(PP_Grid[#Data],$DD778,68),0)</f>
        <v/>
      </c>
      <c r="BS778">
        <f>IFERROR(INDEX(PP_Grid[#Data],$DD778,69),0)</f>
        <v/>
      </c>
      <c r="BT778">
        <f>IFERROR(INDEX(PP_Grid[#Data],$DD778,70),0)</f>
        <v/>
      </c>
      <c r="BU778">
        <f>IFERROR(INDEX(PP_Grid[#Data],$DD778,71),0)</f>
        <v/>
      </c>
      <c r="BV778">
        <f>IFERROR(INDEX(PP_Grid[#Data],$DD778,72),0)</f>
        <v/>
      </c>
      <c r="BW778">
        <f>IFERROR(INDEX(PP_Grid[#Data],$DD778,73),0)</f>
        <v/>
      </c>
      <c r="BX778">
        <f>IFERROR(INDEX(PP_Grid[#Data],$DD778,74),0)</f>
        <v/>
      </c>
      <c r="BY778">
        <f>IFERROR(INDEX(PP_Grid[#Data],$DD778,75),0)</f>
        <v/>
      </c>
      <c r="BZ778">
        <f>IFERROR(INDEX(PP_Grid[#Data],$DD778,76),0)</f>
        <v/>
      </c>
      <c r="CA778">
        <f>IFERROR(INDEX(PP_Grid[#Data],$DD778,77),0)</f>
        <v/>
      </c>
      <c r="CB778">
        <f>IFERROR(INDEX(PP_Grid[#Data],$DD778,78),0)</f>
        <v/>
      </c>
      <c r="CC778">
        <f>IFERROR(INDEX(PP_Grid[#Data],$DD778,79),0)</f>
        <v/>
      </c>
      <c r="CD778">
        <f>IFERROR(INDEX(PP_Grid[#Data],$DD778,80),0)</f>
        <v/>
      </c>
      <c r="CE778">
        <f>IFERROR(INDEX(PP_Grid[#Data],$DD778,81),0)</f>
        <v/>
      </c>
      <c r="CF778">
        <f>IFERROR(INDEX(PP_Grid[#Data],$DD778,82),0)</f>
        <v/>
      </c>
      <c r="CG778">
        <f>IFERROR(INDEX(PP_Grid[#Data],$DD778,83),0)</f>
        <v/>
      </c>
      <c r="CH778">
        <f>IFERROR(INDEX(PP_Grid[#Data],$DD778,84),0)</f>
        <v/>
      </c>
      <c r="CI778">
        <f>IFERROR(INDEX(PP_Grid[#Data],$DD778,85),0)</f>
        <v/>
      </c>
      <c r="CJ778">
        <f>IFERROR(INDEX(PP_Grid[#Data],$DD778,86),0)</f>
        <v/>
      </c>
      <c r="CK778">
        <f>IFERROR(INDEX(PP_Grid[#Data],$DD778,87),0)</f>
        <v/>
      </c>
      <c r="CL778">
        <f>IFERROR(INDEX(PP_Grid[#Data],$DD778,88),0)</f>
        <v/>
      </c>
      <c r="CM778">
        <f>IFERROR(INDEX(PP_Grid[#Data],$DD778,89),0)</f>
        <v/>
      </c>
      <c r="CN778">
        <f>IFERROR(INDEX(PP_Grid[#Data],$DD778,90),0)</f>
        <v/>
      </c>
      <c r="CO778">
        <f>IFERROR(INDEX(PP_Grid[#Data],$DD778,91),0)</f>
        <v/>
      </c>
      <c r="CP778">
        <f>IFERROR(INDEX(PP_Grid[#Data],$DD778,92),0)</f>
        <v/>
      </c>
      <c r="CQ778">
        <f>IFERROR(INDEX(PP_Grid[#Data],$DD778,93),0)</f>
        <v/>
      </c>
      <c r="CR778">
        <f>IFERROR(INDEX(PP_Grid[#Data],$DD778,94),0)</f>
        <v/>
      </c>
      <c r="CS778">
        <f>IFERROR(INDEX(PP_Grid[#Data],$DD778,95),0)</f>
        <v/>
      </c>
      <c r="CT778">
        <f>IFERROR(INDEX(PP_Grid[#Data],$DD778,96),0)</f>
        <v/>
      </c>
      <c r="CU778">
        <f>IFERROR(INDEX(PP_Grid[#Data],$DD778,97),0)</f>
        <v/>
      </c>
      <c r="CV778">
        <f>IFERROR(INDEX(PP_Grid[#Data],$DD778,98),0)</f>
        <v/>
      </c>
      <c r="CW778">
        <f>IFERROR(INDEX(PP_Grid[#Data],$DD778,99),0)</f>
        <v/>
      </c>
      <c r="CX778">
        <f>IFERROR(INDEX(PP_Grid[#Data],$DD778,100),0)</f>
        <v/>
      </c>
      <c r="CY778">
        <f>IFERROR(INDEX(PP_Grid[#Data],$DD778,101),0)</f>
        <v/>
      </c>
      <c r="CZ778">
        <f>IFERROR(INDEX(PP_Grid[#Data],$DD778,102),0)</f>
        <v/>
      </c>
      <c r="DA778">
        <f>IFERROR(INDEX(PP_Grid[#Data],$DD778,103),0)</f>
        <v/>
      </c>
      <c r="DB778">
        <f>IFERROR(INDEX(PP_Grid[#Data],$DD778,104),0)</f>
        <v/>
      </c>
      <c r="DC778">
        <f>IFERROR(INDEX(PP_Grid[#Data],$DD778,105),0)</f>
        <v/>
      </c>
      <c r="DD778" s="12">
        <f>IFERROR(MATCH($B778,PP_Grid[Intermediate],0),99999)</f>
        <v/>
      </c>
    </row>
    <row r="779">
      <c r="B779" t="inlineStr">
        <is>
          <t>使用量(kg)</t>
        </is>
      </c>
      <c r="C779">
        <f>SUMIFS(M_BOM[RM_Qty_Per_Batch],M_BOM[Intermediate],$B778,M_BOM[Part Name],$A669)</f>
        <v/>
      </c>
      <c r="D779">
        <f>$C779*D778</f>
        <v/>
      </c>
      <c r="E779">
        <f>$C779*E778</f>
        <v/>
      </c>
      <c r="F779">
        <f>$C779*F778</f>
        <v/>
      </c>
      <c r="G779">
        <f>$C779*G778</f>
        <v/>
      </c>
      <c r="H779">
        <f>$C779*H778</f>
        <v/>
      </c>
      <c r="I779">
        <f>$C779*I778</f>
        <v/>
      </c>
      <c r="J779">
        <f>$C779*J778</f>
        <v/>
      </c>
      <c r="K779">
        <f>$C779*K778</f>
        <v/>
      </c>
      <c r="L779">
        <f>$C779*L778</f>
        <v/>
      </c>
      <c r="M779">
        <f>$C779*M778</f>
        <v/>
      </c>
      <c r="N779">
        <f>$C779*N778</f>
        <v/>
      </c>
      <c r="O779">
        <f>$C779*O778</f>
        <v/>
      </c>
      <c r="P779">
        <f>$C779*P778</f>
        <v/>
      </c>
      <c r="Q779">
        <f>$C779*Q778</f>
        <v/>
      </c>
      <c r="R779">
        <f>$C779*R778</f>
        <v/>
      </c>
      <c r="S779">
        <f>$C779*S778</f>
        <v/>
      </c>
      <c r="T779">
        <f>$C779*T778</f>
        <v/>
      </c>
      <c r="U779">
        <f>$C779*U778</f>
        <v/>
      </c>
      <c r="V779">
        <f>$C779*V778</f>
        <v/>
      </c>
      <c r="W779">
        <f>$C779*W778</f>
        <v/>
      </c>
      <c r="X779">
        <f>$C779*X778</f>
        <v/>
      </c>
      <c r="Y779">
        <f>$C779*Y778</f>
        <v/>
      </c>
      <c r="Z779">
        <f>$C779*Z778</f>
        <v/>
      </c>
      <c r="AA779">
        <f>$C779*AA778</f>
        <v/>
      </c>
      <c r="AB779">
        <f>$C779*AB778</f>
        <v/>
      </c>
      <c r="AC779">
        <f>$C779*AC778</f>
        <v/>
      </c>
      <c r="AD779">
        <f>$C779*AD778</f>
        <v/>
      </c>
      <c r="AE779">
        <f>$C779*AE778</f>
        <v/>
      </c>
      <c r="AF779">
        <f>$C779*AF778</f>
        <v/>
      </c>
      <c r="AG779">
        <f>$C779*AG778</f>
        <v/>
      </c>
      <c r="AH779">
        <f>$C779*AH778</f>
        <v/>
      </c>
      <c r="AI779">
        <f>$C779*AI778</f>
        <v/>
      </c>
      <c r="AJ779">
        <f>$C779*AJ778</f>
        <v/>
      </c>
      <c r="AK779">
        <f>$C779*AK778</f>
        <v/>
      </c>
      <c r="AL779">
        <f>$C779*AL778</f>
        <v/>
      </c>
      <c r="AM779">
        <f>$C779*AM778</f>
        <v/>
      </c>
      <c r="AN779">
        <f>$C779*AN778</f>
        <v/>
      </c>
      <c r="AO779">
        <f>$C779*AO778</f>
        <v/>
      </c>
      <c r="AP779">
        <f>$C779*AP778</f>
        <v/>
      </c>
      <c r="AQ779">
        <f>$C779*AQ778</f>
        <v/>
      </c>
      <c r="AR779">
        <f>$C779*AR778</f>
        <v/>
      </c>
      <c r="AS779">
        <f>$C779*AS778</f>
        <v/>
      </c>
      <c r="AT779">
        <f>$C779*AT778</f>
        <v/>
      </c>
      <c r="AU779">
        <f>$C779*AU778</f>
        <v/>
      </c>
      <c r="AV779">
        <f>$C779*AV778</f>
        <v/>
      </c>
      <c r="AW779">
        <f>$C779*AW778</f>
        <v/>
      </c>
      <c r="AX779">
        <f>$C779*AX778</f>
        <v/>
      </c>
      <c r="AY779">
        <f>$C779*AY778</f>
        <v/>
      </c>
      <c r="AZ779">
        <f>$C779*AZ778</f>
        <v/>
      </c>
      <c r="BA779">
        <f>$C779*BA778</f>
        <v/>
      </c>
      <c r="BB779">
        <f>$C779*BB778</f>
        <v/>
      </c>
      <c r="BC779">
        <f>$C779*BC778</f>
        <v/>
      </c>
      <c r="BD779">
        <f>$C779*BD778</f>
        <v/>
      </c>
      <c r="BE779">
        <f>$C779*BE778</f>
        <v/>
      </c>
      <c r="BF779">
        <f>$C779*BF778</f>
        <v/>
      </c>
      <c r="BG779">
        <f>$C779*BG778</f>
        <v/>
      </c>
      <c r="BH779">
        <f>$C779*BH778</f>
        <v/>
      </c>
      <c r="BI779">
        <f>$C779*BI778</f>
        <v/>
      </c>
      <c r="BJ779">
        <f>$C779*BJ778</f>
        <v/>
      </c>
      <c r="BK779">
        <f>$C779*BK778</f>
        <v/>
      </c>
      <c r="BL779">
        <f>$C779*BL778</f>
        <v/>
      </c>
      <c r="BM779">
        <f>$C779*BM778</f>
        <v/>
      </c>
      <c r="BN779">
        <f>$C779*BN778</f>
        <v/>
      </c>
      <c r="BO779">
        <f>$C779*BO778</f>
        <v/>
      </c>
      <c r="BP779">
        <f>$C779*BP778</f>
        <v/>
      </c>
      <c r="BQ779">
        <f>$C779*BQ778</f>
        <v/>
      </c>
      <c r="BR779">
        <f>$C779*BR778</f>
        <v/>
      </c>
      <c r="BS779">
        <f>$C779*BS778</f>
        <v/>
      </c>
      <c r="BT779">
        <f>$C779*BT778</f>
        <v/>
      </c>
      <c r="BU779">
        <f>$C779*BU778</f>
        <v/>
      </c>
      <c r="BV779">
        <f>$C779*BV778</f>
        <v/>
      </c>
      <c r="BW779">
        <f>$C779*BW778</f>
        <v/>
      </c>
      <c r="BX779">
        <f>$C779*BX778</f>
        <v/>
      </c>
      <c r="BY779">
        <f>$C779*BY778</f>
        <v/>
      </c>
      <c r="BZ779">
        <f>$C779*BZ778</f>
        <v/>
      </c>
      <c r="CA779">
        <f>$C779*CA778</f>
        <v/>
      </c>
      <c r="CB779">
        <f>$C779*CB778</f>
        <v/>
      </c>
      <c r="CC779">
        <f>$C779*CC778</f>
        <v/>
      </c>
      <c r="CD779">
        <f>$C779*CD778</f>
        <v/>
      </c>
      <c r="CE779">
        <f>$C779*CE778</f>
        <v/>
      </c>
      <c r="CF779">
        <f>$C779*CF778</f>
        <v/>
      </c>
      <c r="CG779">
        <f>$C779*CG778</f>
        <v/>
      </c>
      <c r="CH779">
        <f>$C779*CH778</f>
        <v/>
      </c>
      <c r="CI779">
        <f>$C779*CI778</f>
        <v/>
      </c>
      <c r="CJ779">
        <f>$C779*CJ778</f>
        <v/>
      </c>
      <c r="CK779">
        <f>$C779*CK778</f>
        <v/>
      </c>
      <c r="CL779">
        <f>$C779*CL778</f>
        <v/>
      </c>
      <c r="CM779">
        <f>$C779*CM778</f>
        <v/>
      </c>
      <c r="CN779">
        <f>$C779*CN778</f>
        <v/>
      </c>
      <c r="CO779">
        <f>$C779*CO778</f>
        <v/>
      </c>
      <c r="CP779">
        <f>$C779*CP778</f>
        <v/>
      </c>
      <c r="CQ779">
        <f>$C779*CQ778</f>
        <v/>
      </c>
      <c r="CR779">
        <f>$C779*CR778</f>
        <v/>
      </c>
      <c r="CS779">
        <f>$C779*CS778</f>
        <v/>
      </c>
      <c r="CT779">
        <f>$C779*CT778</f>
        <v/>
      </c>
      <c r="CU779">
        <f>$C779*CU778</f>
        <v/>
      </c>
      <c r="CV779">
        <f>$C779*CV778</f>
        <v/>
      </c>
      <c r="CW779">
        <f>$C779*CW778</f>
        <v/>
      </c>
      <c r="CX779">
        <f>$C779*CX778</f>
        <v/>
      </c>
      <c r="CY779">
        <f>$C779*CY778</f>
        <v/>
      </c>
      <c r="CZ779">
        <f>$C779*CZ778</f>
        <v/>
      </c>
      <c r="DA779">
        <f>$C779*DA778</f>
        <v/>
      </c>
      <c r="DB779">
        <f>$C779*DB778</f>
        <v/>
      </c>
      <c r="DC779">
        <f>$C779*DC778</f>
        <v/>
      </c>
    </row>
    <row r="780">
      <c r="B780" t="inlineStr">
        <is>
          <t>TVS-267</t>
        </is>
      </c>
      <c r="C780" t="inlineStr">
        <is>
          <t>No. of batches</t>
        </is>
      </c>
      <c r="D780">
        <f>IFERROR(INDEX(PP_Grid[#Data],$DD780,2),0)</f>
        <v/>
      </c>
      <c r="E780">
        <f>IFERROR(INDEX(PP_Grid[#Data],$DD780,3),0)</f>
        <v/>
      </c>
      <c r="F780">
        <f>IFERROR(INDEX(PP_Grid[#Data],$DD780,4),0)</f>
        <v/>
      </c>
      <c r="G780">
        <f>IFERROR(INDEX(PP_Grid[#Data],$DD780,5),0)</f>
        <v/>
      </c>
      <c r="H780">
        <f>IFERROR(INDEX(PP_Grid[#Data],$DD780,6),0)</f>
        <v/>
      </c>
      <c r="I780">
        <f>IFERROR(INDEX(PP_Grid[#Data],$DD780,7),0)</f>
        <v/>
      </c>
      <c r="J780">
        <f>IFERROR(INDEX(PP_Grid[#Data],$DD780,8),0)</f>
        <v/>
      </c>
      <c r="K780">
        <f>IFERROR(INDEX(PP_Grid[#Data],$DD780,9),0)</f>
        <v/>
      </c>
      <c r="L780">
        <f>IFERROR(INDEX(PP_Grid[#Data],$DD780,10),0)</f>
        <v/>
      </c>
      <c r="M780">
        <f>IFERROR(INDEX(PP_Grid[#Data],$DD780,11),0)</f>
        <v/>
      </c>
      <c r="N780">
        <f>IFERROR(INDEX(PP_Grid[#Data],$DD780,12),0)</f>
        <v/>
      </c>
      <c r="O780">
        <f>IFERROR(INDEX(PP_Grid[#Data],$DD780,13),0)</f>
        <v/>
      </c>
      <c r="P780">
        <f>IFERROR(INDEX(PP_Grid[#Data],$DD780,14),0)</f>
        <v/>
      </c>
      <c r="Q780">
        <f>IFERROR(INDEX(PP_Grid[#Data],$DD780,15),0)</f>
        <v/>
      </c>
      <c r="R780">
        <f>IFERROR(INDEX(PP_Grid[#Data],$DD780,16),0)</f>
        <v/>
      </c>
      <c r="S780">
        <f>IFERROR(INDEX(PP_Grid[#Data],$DD780,17),0)</f>
        <v/>
      </c>
      <c r="T780">
        <f>IFERROR(INDEX(PP_Grid[#Data],$DD780,18),0)</f>
        <v/>
      </c>
      <c r="U780">
        <f>IFERROR(INDEX(PP_Grid[#Data],$DD780,19),0)</f>
        <v/>
      </c>
      <c r="V780">
        <f>IFERROR(INDEX(PP_Grid[#Data],$DD780,20),0)</f>
        <v/>
      </c>
      <c r="W780">
        <f>IFERROR(INDEX(PP_Grid[#Data],$DD780,21),0)</f>
        <v/>
      </c>
      <c r="X780">
        <f>IFERROR(INDEX(PP_Grid[#Data],$DD780,22),0)</f>
        <v/>
      </c>
      <c r="Y780">
        <f>IFERROR(INDEX(PP_Grid[#Data],$DD780,23),0)</f>
        <v/>
      </c>
      <c r="Z780">
        <f>IFERROR(INDEX(PP_Grid[#Data],$DD780,24),0)</f>
        <v/>
      </c>
      <c r="AA780">
        <f>IFERROR(INDEX(PP_Grid[#Data],$DD780,25),0)</f>
        <v/>
      </c>
      <c r="AB780">
        <f>IFERROR(INDEX(PP_Grid[#Data],$DD780,26),0)</f>
        <v/>
      </c>
      <c r="AC780">
        <f>IFERROR(INDEX(PP_Grid[#Data],$DD780,27),0)</f>
        <v/>
      </c>
      <c r="AD780">
        <f>IFERROR(INDEX(PP_Grid[#Data],$DD780,28),0)</f>
        <v/>
      </c>
      <c r="AE780">
        <f>IFERROR(INDEX(PP_Grid[#Data],$DD780,29),0)</f>
        <v/>
      </c>
      <c r="AF780">
        <f>IFERROR(INDEX(PP_Grid[#Data],$DD780,30),0)</f>
        <v/>
      </c>
      <c r="AG780">
        <f>IFERROR(INDEX(PP_Grid[#Data],$DD780,31),0)</f>
        <v/>
      </c>
      <c r="AH780">
        <f>IFERROR(INDEX(PP_Grid[#Data],$DD780,32),0)</f>
        <v/>
      </c>
      <c r="AI780">
        <f>IFERROR(INDEX(PP_Grid[#Data],$DD780,33),0)</f>
        <v/>
      </c>
      <c r="AJ780">
        <f>IFERROR(INDEX(PP_Grid[#Data],$DD780,34),0)</f>
        <v/>
      </c>
      <c r="AK780">
        <f>IFERROR(INDEX(PP_Grid[#Data],$DD780,35),0)</f>
        <v/>
      </c>
      <c r="AL780">
        <f>IFERROR(INDEX(PP_Grid[#Data],$DD780,36),0)</f>
        <v/>
      </c>
      <c r="AM780">
        <f>IFERROR(INDEX(PP_Grid[#Data],$DD780,37),0)</f>
        <v/>
      </c>
      <c r="AN780">
        <f>IFERROR(INDEX(PP_Grid[#Data],$DD780,38),0)</f>
        <v/>
      </c>
      <c r="AO780">
        <f>IFERROR(INDEX(PP_Grid[#Data],$DD780,39),0)</f>
        <v/>
      </c>
      <c r="AP780">
        <f>IFERROR(INDEX(PP_Grid[#Data],$DD780,40),0)</f>
        <v/>
      </c>
      <c r="AQ780">
        <f>IFERROR(INDEX(PP_Grid[#Data],$DD780,41),0)</f>
        <v/>
      </c>
      <c r="AR780">
        <f>IFERROR(INDEX(PP_Grid[#Data],$DD780,42),0)</f>
        <v/>
      </c>
      <c r="AS780">
        <f>IFERROR(INDEX(PP_Grid[#Data],$DD780,43),0)</f>
        <v/>
      </c>
      <c r="AT780">
        <f>IFERROR(INDEX(PP_Grid[#Data],$DD780,44),0)</f>
        <v/>
      </c>
      <c r="AU780">
        <f>IFERROR(INDEX(PP_Grid[#Data],$DD780,45),0)</f>
        <v/>
      </c>
      <c r="AV780">
        <f>IFERROR(INDEX(PP_Grid[#Data],$DD780,46),0)</f>
        <v/>
      </c>
      <c r="AW780">
        <f>IFERROR(INDEX(PP_Grid[#Data],$DD780,47),0)</f>
        <v/>
      </c>
      <c r="AX780">
        <f>IFERROR(INDEX(PP_Grid[#Data],$DD780,48),0)</f>
        <v/>
      </c>
      <c r="AY780">
        <f>IFERROR(INDEX(PP_Grid[#Data],$DD780,49),0)</f>
        <v/>
      </c>
      <c r="AZ780">
        <f>IFERROR(INDEX(PP_Grid[#Data],$DD780,50),0)</f>
        <v/>
      </c>
      <c r="BA780">
        <f>IFERROR(INDEX(PP_Grid[#Data],$DD780,51),0)</f>
        <v/>
      </c>
      <c r="BB780">
        <f>IFERROR(INDEX(PP_Grid[#Data],$DD780,52),0)</f>
        <v/>
      </c>
      <c r="BC780">
        <f>IFERROR(INDEX(PP_Grid[#Data],$DD780,53),0)</f>
        <v/>
      </c>
      <c r="BD780">
        <f>IFERROR(INDEX(PP_Grid[#Data],$DD780,54),0)</f>
        <v/>
      </c>
      <c r="BE780">
        <f>IFERROR(INDEX(PP_Grid[#Data],$DD780,55),0)</f>
        <v/>
      </c>
      <c r="BF780">
        <f>IFERROR(INDEX(PP_Grid[#Data],$DD780,56),0)</f>
        <v/>
      </c>
      <c r="BG780">
        <f>IFERROR(INDEX(PP_Grid[#Data],$DD780,57),0)</f>
        <v/>
      </c>
      <c r="BH780">
        <f>IFERROR(INDEX(PP_Grid[#Data],$DD780,58),0)</f>
        <v/>
      </c>
      <c r="BI780">
        <f>IFERROR(INDEX(PP_Grid[#Data],$DD780,59),0)</f>
        <v/>
      </c>
      <c r="BJ780">
        <f>IFERROR(INDEX(PP_Grid[#Data],$DD780,60),0)</f>
        <v/>
      </c>
      <c r="BK780">
        <f>IFERROR(INDEX(PP_Grid[#Data],$DD780,61),0)</f>
        <v/>
      </c>
      <c r="BL780">
        <f>IFERROR(INDEX(PP_Grid[#Data],$DD780,62),0)</f>
        <v/>
      </c>
      <c r="BM780">
        <f>IFERROR(INDEX(PP_Grid[#Data],$DD780,63),0)</f>
        <v/>
      </c>
      <c r="BN780">
        <f>IFERROR(INDEX(PP_Grid[#Data],$DD780,64),0)</f>
        <v/>
      </c>
      <c r="BO780">
        <f>IFERROR(INDEX(PP_Grid[#Data],$DD780,65),0)</f>
        <v/>
      </c>
      <c r="BP780">
        <f>IFERROR(INDEX(PP_Grid[#Data],$DD780,66),0)</f>
        <v/>
      </c>
      <c r="BQ780">
        <f>IFERROR(INDEX(PP_Grid[#Data],$DD780,67),0)</f>
        <v/>
      </c>
      <c r="BR780">
        <f>IFERROR(INDEX(PP_Grid[#Data],$DD780,68),0)</f>
        <v/>
      </c>
      <c r="BS780">
        <f>IFERROR(INDEX(PP_Grid[#Data],$DD780,69),0)</f>
        <v/>
      </c>
      <c r="BT780">
        <f>IFERROR(INDEX(PP_Grid[#Data],$DD780,70),0)</f>
        <v/>
      </c>
      <c r="BU780">
        <f>IFERROR(INDEX(PP_Grid[#Data],$DD780,71),0)</f>
        <v/>
      </c>
      <c r="BV780">
        <f>IFERROR(INDEX(PP_Grid[#Data],$DD780,72),0)</f>
        <v/>
      </c>
      <c r="BW780">
        <f>IFERROR(INDEX(PP_Grid[#Data],$DD780,73),0)</f>
        <v/>
      </c>
      <c r="BX780">
        <f>IFERROR(INDEX(PP_Grid[#Data],$DD780,74),0)</f>
        <v/>
      </c>
      <c r="BY780">
        <f>IFERROR(INDEX(PP_Grid[#Data],$DD780,75),0)</f>
        <v/>
      </c>
      <c r="BZ780">
        <f>IFERROR(INDEX(PP_Grid[#Data],$DD780,76),0)</f>
        <v/>
      </c>
      <c r="CA780">
        <f>IFERROR(INDEX(PP_Grid[#Data],$DD780,77),0)</f>
        <v/>
      </c>
      <c r="CB780">
        <f>IFERROR(INDEX(PP_Grid[#Data],$DD780,78),0)</f>
        <v/>
      </c>
      <c r="CC780">
        <f>IFERROR(INDEX(PP_Grid[#Data],$DD780,79),0)</f>
        <v/>
      </c>
      <c r="CD780">
        <f>IFERROR(INDEX(PP_Grid[#Data],$DD780,80),0)</f>
        <v/>
      </c>
      <c r="CE780">
        <f>IFERROR(INDEX(PP_Grid[#Data],$DD780,81),0)</f>
        <v/>
      </c>
      <c r="CF780">
        <f>IFERROR(INDEX(PP_Grid[#Data],$DD780,82),0)</f>
        <v/>
      </c>
      <c r="CG780">
        <f>IFERROR(INDEX(PP_Grid[#Data],$DD780,83),0)</f>
        <v/>
      </c>
      <c r="CH780">
        <f>IFERROR(INDEX(PP_Grid[#Data],$DD780,84),0)</f>
        <v/>
      </c>
      <c r="CI780">
        <f>IFERROR(INDEX(PP_Grid[#Data],$DD780,85),0)</f>
        <v/>
      </c>
      <c r="CJ780">
        <f>IFERROR(INDEX(PP_Grid[#Data],$DD780,86),0)</f>
        <v/>
      </c>
      <c r="CK780">
        <f>IFERROR(INDEX(PP_Grid[#Data],$DD780,87),0)</f>
        <v/>
      </c>
      <c r="CL780">
        <f>IFERROR(INDEX(PP_Grid[#Data],$DD780,88),0)</f>
        <v/>
      </c>
      <c r="CM780">
        <f>IFERROR(INDEX(PP_Grid[#Data],$DD780,89),0)</f>
        <v/>
      </c>
      <c r="CN780">
        <f>IFERROR(INDEX(PP_Grid[#Data],$DD780,90),0)</f>
        <v/>
      </c>
      <c r="CO780">
        <f>IFERROR(INDEX(PP_Grid[#Data],$DD780,91),0)</f>
        <v/>
      </c>
      <c r="CP780">
        <f>IFERROR(INDEX(PP_Grid[#Data],$DD780,92),0)</f>
        <v/>
      </c>
      <c r="CQ780">
        <f>IFERROR(INDEX(PP_Grid[#Data],$DD780,93),0)</f>
        <v/>
      </c>
      <c r="CR780">
        <f>IFERROR(INDEX(PP_Grid[#Data],$DD780,94),0)</f>
        <v/>
      </c>
      <c r="CS780">
        <f>IFERROR(INDEX(PP_Grid[#Data],$DD780,95),0)</f>
        <v/>
      </c>
      <c r="CT780">
        <f>IFERROR(INDEX(PP_Grid[#Data],$DD780,96),0)</f>
        <v/>
      </c>
      <c r="CU780">
        <f>IFERROR(INDEX(PP_Grid[#Data],$DD780,97),0)</f>
        <v/>
      </c>
      <c r="CV780">
        <f>IFERROR(INDEX(PP_Grid[#Data],$DD780,98),0)</f>
        <v/>
      </c>
      <c r="CW780">
        <f>IFERROR(INDEX(PP_Grid[#Data],$DD780,99),0)</f>
        <v/>
      </c>
      <c r="CX780">
        <f>IFERROR(INDEX(PP_Grid[#Data],$DD780,100),0)</f>
        <v/>
      </c>
      <c r="CY780">
        <f>IFERROR(INDEX(PP_Grid[#Data],$DD780,101),0)</f>
        <v/>
      </c>
      <c r="CZ780">
        <f>IFERROR(INDEX(PP_Grid[#Data],$DD780,102),0)</f>
        <v/>
      </c>
      <c r="DA780">
        <f>IFERROR(INDEX(PP_Grid[#Data],$DD780,103),0)</f>
        <v/>
      </c>
      <c r="DB780">
        <f>IFERROR(INDEX(PP_Grid[#Data],$DD780,104),0)</f>
        <v/>
      </c>
      <c r="DC780">
        <f>IFERROR(INDEX(PP_Grid[#Data],$DD780,105),0)</f>
        <v/>
      </c>
      <c r="DD780" s="12">
        <f>IFERROR(MATCH($B780,PP_Grid[Intermediate],0),99999)</f>
        <v/>
      </c>
    </row>
    <row r="781">
      <c r="B781" t="inlineStr">
        <is>
          <t>使用量(kg)</t>
        </is>
      </c>
      <c r="C781">
        <f>SUMIFS(M_BOM[RM_Qty_Per_Batch],M_BOM[Intermediate],$B780,M_BOM[Part Name],$A669)</f>
        <v/>
      </c>
      <c r="D781">
        <f>$C781*D780</f>
        <v/>
      </c>
      <c r="E781">
        <f>$C781*E780</f>
        <v/>
      </c>
      <c r="F781">
        <f>$C781*F780</f>
        <v/>
      </c>
      <c r="G781">
        <f>$C781*G780</f>
        <v/>
      </c>
      <c r="H781">
        <f>$C781*H780</f>
        <v/>
      </c>
      <c r="I781">
        <f>$C781*I780</f>
        <v/>
      </c>
      <c r="J781">
        <f>$C781*J780</f>
        <v/>
      </c>
      <c r="K781">
        <f>$C781*K780</f>
        <v/>
      </c>
      <c r="L781">
        <f>$C781*L780</f>
        <v/>
      </c>
      <c r="M781">
        <f>$C781*M780</f>
        <v/>
      </c>
      <c r="N781">
        <f>$C781*N780</f>
        <v/>
      </c>
      <c r="O781">
        <f>$C781*O780</f>
        <v/>
      </c>
      <c r="P781">
        <f>$C781*P780</f>
        <v/>
      </c>
      <c r="Q781">
        <f>$C781*Q780</f>
        <v/>
      </c>
      <c r="R781">
        <f>$C781*R780</f>
        <v/>
      </c>
      <c r="S781">
        <f>$C781*S780</f>
        <v/>
      </c>
      <c r="T781">
        <f>$C781*T780</f>
        <v/>
      </c>
      <c r="U781">
        <f>$C781*U780</f>
        <v/>
      </c>
      <c r="V781">
        <f>$C781*V780</f>
        <v/>
      </c>
      <c r="W781">
        <f>$C781*W780</f>
        <v/>
      </c>
      <c r="X781">
        <f>$C781*X780</f>
        <v/>
      </c>
      <c r="Y781">
        <f>$C781*Y780</f>
        <v/>
      </c>
      <c r="Z781">
        <f>$C781*Z780</f>
        <v/>
      </c>
      <c r="AA781">
        <f>$C781*AA780</f>
        <v/>
      </c>
      <c r="AB781">
        <f>$C781*AB780</f>
        <v/>
      </c>
      <c r="AC781">
        <f>$C781*AC780</f>
        <v/>
      </c>
      <c r="AD781">
        <f>$C781*AD780</f>
        <v/>
      </c>
      <c r="AE781">
        <f>$C781*AE780</f>
        <v/>
      </c>
      <c r="AF781">
        <f>$C781*AF780</f>
        <v/>
      </c>
      <c r="AG781">
        <f>$C781*AG780</f>
        <v/>
      </c>
      <c r="AH781">
        <f>$C781*AH780</f>
        <v/>
      </c>
      <c r="AI781">
        <f>$C781*AI780</f>
        <v/>
      </c>
      <c r="AJ781">
        <f>$C781*AJ780</f>
        <v/>
      </c>
      <c r="AK781">
        <f>$C781*AK780</f>
        <v/>
      </c>
      <c r="AL781">
        <f>$C781*AL780</f>
        <v/>
      </c>
      <c r="AM781">
        <f>$C781*AM780</f>
        <v/>
      </c>
      <c r="AN781">
        <f>$C781*AN780</f>
        <v/>
      </c>
      <c r="AO781">
        <f>$C781*AO780</f>
        <v/>
      </c>
      <c r="AP781">
        <f>$C781*AP780</f>
        <v/>
      </c>
      <c r="AQ781">
        <f>$C781*AQ780</f>
        <v/>
      </c>
      <c r="AR781">
        <f>$C781*AR780</f>
        <v/>
      </c>
      <c r="AS781">
        <f>$C781*AS780</f>
        <v/>
      </c>
      <c r="AT781">
        <f>$C781*AT780</f>
        <v/>
      </c>
      <c r="AU781">
        <f>$C781*AU780</f>
        <v/>
      </c>
      <c r="AV781">
        <f>$C781*AV780</f>
        <v/>
      </c>
      <c r="AW781">
        <f>$C781*AW780</f>
        <v/>
      </c>
      <c r="AX781">
        <f>$C781*AX780</f>
        <v/>
      </c>
      <c r="AY781">
        <f>$C781*AY780</f>
        <v/>
      </c>
      <c r="AZ781">
        <f>$C781*AZ780</f>
        <v/>
      </c>
      <c r="BA781">
        <f>$C781*BA780</f>
        <v/>
      </c>
      <c r="BB781">
        <f>$C781*BB780</f>
        <v/>
      </c>
      <c r="BC781">
        <f>$C781*BC780</f>
        <v/>
      </c>
      <c r="BD781">
        <f>$C781*BD780</f>
        <v/>
      </c>
      <c r="BE781">
        <f>$C781*BE780</f>
        <v/>
      </c>
      <c r="BF781">
        <f>$C781*BF780</f>
        <v/>
      </c>
      <c r="BG781">
        <f>$C781*BG780</f>
        <v/>
      </c>
      <c r="BH781">
        <f>$C781*BH780</f>
        <v/>
      </c>
      <c r="BI781">
        <f>$C781*BI780</f>
        <v/>
      </c>
      <c r="BJ781">
        <f>$C781*BJ780</f>
        <v/>
      </c>
      <c r="BK781">
        <f>$C781*BK780</f>
        <v/>
      </c>
      <c r="BL781">
        <f>$C781*BL780</f>
        <v/>
      </c>
      <c r="BM781">
        <f>$C781*BM780</f>
        <v/>
      </c>
      <c r="BN781">
        <f>$C781*BN780</f>
        <v/>
      </c>
      <c r="BO781">
        <f>$C781*BO780</f>
        <v/>
      </c>
      <c r="BP781">
        <f>$C781*BP780</f>
        <v/>
      </c>
      <c r="BQ781">
        <f>$C781*BQ780</f>
        <v/>
      </c>
      <c r="BR781">
        <f>$C781*BR780</f>
        <v/>
      </c>
      <c r="BS781">
        <f>$C781*BS780</f>
        <v/>
      </c>
      <c r="BT781">
        <f>$C781*BT780</f>
        <v/>
      </c>
      <c r="BU781">
        <f>$C781*BU780</f>
        <v/>
      </c>
      <c r="BV781">
        <f>$C781*BV780</f>
        <v/>
      </c>
      <c r="BW781">
        <f>$C781*BW780</f>
        <v/>
      </c>
      <c r="BX781">
        <f>$C781*BX780</f>
        <v/>
      </c>
      <c r="BY781">
        <f>$C781*BY780</f>
        <v/>
      </c>
      <c r="BZ781">
        <f>$C781*BZ780</f>
        <v/>
      </c>
      <c r="CA781">
        <f>$C781*CA780</f>
        <v/>
      </c>
      <c r="CB781">
        <f>$C781*CB780</f>
        <v/>
      </c>
      <c r="CC781">
        <f>$C781*CC780</f>
        <v/>
      </c>
      <c r="CD781">
        <f>$C781*CD780</f>
        <v/>
      </c>
      <c r="CE781">
        <f>$C781*CE780</f>
        <v/>
      </c>
      <c r="CF781">
        <f>$C781*CF780</f>
        <v/>
      </c>
      <c r="CG781">
        <f>$C781*CG780</f>
        <v/>
      </c>
      <c r="CH781">
        <f>$C781*CH780</f>
        <v/>
      </c>
      <c r="CI781">
        <f>$C781*CI780</f>
        <v/>
      </c>
      <c r="CJ781">
        <f>$C781*CJ780</f>
        <v/>
      </c>
      <c r="CK781">
        <f>$C781*CK780</f>
        <v/>
      </c>
      <c r="CL781">
        <f>$C781*CL780</f>
        <v/>
      </c>
      <c r="CM781">
        <f>$C781*CM780</f>
        <v/>
      </c>
      <c r="CN781">
        <f>$C781*CN780</f>
        <v/>
      </c>
      <c r="CO781">
        <f>$C781*CO780</f>
        <v/>
      </c>
      <c r="CP781">
        <f>$C781*CP780</f>
        <v/>
      </c>
      <c r="CQ781">
        <f>$C781*CQ780</f>
        <v/>
      </c>
      <c r="CR781">
        <f>$C781*CR780</f>
        <v/>
      </c>
      <c r="CS781">
        <f>$C781*CS780</f>
        <v/>
      </c>
      <c r="CT781">
        <f>$C781*CT780</f>
        <v/>
      </c>
      <c r="CU781">
        <f>$C781*CU780</f>
        <v/>
      </c>
      <c r="CV781">
        <f>$C781*CV780</f>
        <v/>
      </c>
      <c r="CW781">
        <f>$C781*CW780</f>
        <v/>
      </c>
      <c r="CX781">
        <f>$C781*CX780</f>
        <v/>
      </c>
      <c r="CY781">
        <f>$C781*CY780</f>
        <v/>
      </c>
      <c r="CZ781">
        <f>$C781*CZ780</f>
        <v/>
      </c>
      <c r="DA781">
        <f>$C781*DA780</f>
        <v/>
      </c>
      <c r="DB781">
        <f>$C781*DB780</f>
        <v/>
      </c>
      <c r="DC781">
        <f>$C781*DC780</f>
        <v/>
      </c>
    </row>
    <row r="782">
      <c r="B782" t="inlineStr">
        <is>
          <t>TVS-500</t>
        </is>
      </c>
      <c r="C782" t="inlineStr">
        <is>
          <t>No. of batches</t>
        </is>
      </c>
      <c r="D782">
        <f>IFERROR(INDEX(PP_Grid[#Data],$DD782,2),0)</f>
        <v/>
      </c>
      <c r="E782">
        <f>IFERROR(INDEX(PP_Grid[#Data],$DD782,3),0)</f>
        <v/>
      </c>
      <c r="F782">
        <f>IFERROR(INDEX(PP_Grid[#Data],$DD782,4),0)</f>
        <v/>
      </c>
      <c r="G782">
        <f>IFERROR(INDEX(PP_Grid[#Data],$DD782,5),0)</f>
        <v/>
      </c>
      <c r="H782">
        <f>IFERROR(INDEX(PP_Grid[#Data],$DD782,6),0)</f>
        <v/>
      </c>
      <c r="I782">
        <f>IFERROR(INDEX(PP_Grid[#Data],$DD782,7),0)</f>
        <v/>
      </c>
      <c r="J782">
        <f>IFERROR(INDEX(PP_Grid[#Data],$DD782,8),0)</f>
        <v/>
      </c>
      <c r="K782">
        <f>IFERROR(INDEX(PP_Grid[#Data],$DD782,9),0)</f>
        <v/>
      </c>
      <c r="L782">
        <f>IFERROR(INDEX(PP_Grid[#Data],$DD782,10),0)</f>
        <v/>
      </c>
      <c r="M782">
        <f>IFERROR(INDEX(PP_Grid[#Data],$DD782,11),0)</f>
        <v/>
      </c>
      <c r="N782">
        <f>IFERROR(INDEX(PP_Grid[#Data],$DD782,12),0)</f>
        <v/>
      </c>
      <c r="O782">
        <f>IFERROR(INDEX(PP_Grid[#Data],$DD782,13),0)</f>
        <v/>
      </c>
      <c r="P782">
        <f>IFERROR(INDEX(PP_Grid[#Data],$DD782,14),0)</f>
        <v/>
      </c>
      <c r="Q782">
        <f>IFERROR(INDEX(PP_Grid[#Data],$DD782,15),0)</f>
        <v/>
      </c>
      <c r="R782">
        <f>IFERROR(INDEX(PP_Grid[#Data],$DD782,16),0)</f>
        <v/>
      </c>
      <c r="S782">
        <f>IFERROR(INDEX(PP_Grid[#Data],$DD782,17),0)</f>
        <v/>
      </c>
      <c r="T782">
        <f>IFERROR(INDEX(PP_Grid[#Data],$DD782,18),0)</f>
        <v/>
      </c>
      <c r="U782">
        <f>IFERROR(INDEX(PP_Grid[#Data],$DD782,19),0)</f>
        <v/>
      </c>
      <c r="V782">
        <f>IFERROR(INDEX(PP_Grid[#Data],$DD782,20),0)</f>
        <v/>
      </c>
      <c r="W782">
        <f>IFERROR(INDEX(PP_Grid[#Data],$DD782,21),0)</f>
        <v/>
      </c>
      <c r="X782">
        <f>IFERROR(INDEX(PP_Grid[#Data],$DD782,22),0)</f>
        <v/>
      </c>
      <c r="Y782">
        <f>IFERROR(INDEX(PP_Grid[#Data],$DD782,23),0)</f>
        <v/>
      </c>
      <c r="Z782">
        <f>IFERROR(INDEX(PP_Grid[#Data],$DD782,24),0)</f>
        <v/>
      </c>
      <c r="AA782">
        <f>IFERROR(INDEX(PP_Grid[#Data],$DD782,25),0)</f>
        <v/>
      </c>
      <c r="AB782">
        <f>IFERROR(INDEX(PP_Grid[#Data],$DD782,26),0)</f>
        <v/>
      </c>
      <c r="AC782">
        <f>IFERROR(INDEX(PP_Grid[#Data],$DD782,27),0)</f>
        <v/>
      </c>
      <c r="AD782">
        <f>IFERROR(INDEX(PP_Grid[#Data],$DD782,28),0)</f>
        <v/>
      </c>
      <c r="AE782">
        <f>IFERROR(INDEX(PP_Grid[#Data],$DD782,29),0)</f>
        <v/>
      </c>
      <c r="AF782">
        <f>IFERROR(INDEX(PP_Grid[#Data],$DD782,30),0)</f>
        <v/>
      </c>
      <c r="AG782">
        <f>IFERROR(INDEX(PP_Grid[#Data],$DD782,31),0)</f>
        <v/>
      </c>
      <c r="AH782">
        <f>IFERROR(INDEX(PP_Grid[#Data],$DD782,32),0)</f>
        <v/>
      </c>
      <c r="AI782">
        <f>IFERROR(INDEX(PP_Grid[#Data],$DD782,33),0)</f>
        <v/>
      </c>
      <c r="AJ782">
        <f>IFERROR(INDEX(PP_Grid[#Data],$DD782,34),0)</f>
        <v/>
      </c>
      <c r="AK782">
        <f>IFERROR(INDEX(PP_Grid[#Data],$DD782,35),0)</f>
        <v/>
      </c>
      <c r="AL782">
        <f>IFERROR(INDEX(PP_Grid[#Data],$DD782,36),0)</f>
        <v/>
      </c>
      <c r="AM782">
        <f>IFERROR(INDEX(PP_Grid[#Data],$DD782,37),0)</f>
        <v/>
      </c>
      <c r="AN782">
        <f>IFERROR(INDEX(PP_Grid[#Data],$DD782,38),0)</f>
        <v/>
      </c>
      <c r="AO782">
        <f>IFERROR(INDEX(PP_Grid[#Data],$DD782,39),0)</f>
        <v/>
      </c>
      <c r="AP782">
        <f>IFERROR(INDEX(PP_Grid[#Data],$DD782,40),0)</f>
        <v/>
      </c>
      <c r="AQ782">
        <f>IFERROR(INDEX(PP_Grid[#Data],$DD782,41),0)</f>
        <v/>
      </c>
      <c r="AR782">
        <f>IFERROR(INDEX(PP_Grid[#Data],$DD782,42),0)</f>
        <v/>
      </c>
      <c r="AS782">
        <f>IFERROR(INDEX(PP_Grid[#Data],$DD782,43),0)</f>
        <v/>
      </c>
      <c r="AT782">
        <f>IFERROR(INDEX(PP_Grid[#Data],$DD782,44),0)</f>
        <v/>
      </c>
      <c r="AU782">
        <f>IFERROR(INDEX(PP_Grid[#Data],$DD782,45),0)</f>
        <v/>
      </c>
      <c r="AV782">
        <f>IFERROR(INDEX(PP_Grid[#Data],$DD782,46),0)</f>
        <v/>
      </c>
      <c r="AW782">
        <f>IFERROR(INDEX(PP_Grid[#Data],$DD782,47),0)</f>
        <v/>
      </c>
      <c r="AX782">
        <f>IFERROR(INDEX(PP_Grid[#Data],$DD782,48),0)</f>
        <v/>
      </c>
      <c r="AY782">
        <f>IFERROR(INDEX(PP_Grid[#Data],$DD782,49),0)</f>
        <v/>
      </c>
      <c r="AZ782">
        <f>IFERROR(INDEX(PP_Grid[#Data],$DD782,50),0)</f>
        <v/>
      </c>
      <c r="BA782">
        <f>IFERROR(INDEX(PP_Grid[#Data],$DD782,51),0)</f>
        <v/>
      </c>
      <c r="BB782">
        <f>IFERROR(INDEX(PP_Grid[#Data],$DD782,52),0)</f>
        <v/>
      </c>
      <c r="BC782">
        <f>IFERROR(INDEX(PP_Grid[#Data],$DD782,53),0)</f>
        <v/>
      </c>
      <c r="BD782">
        <f>IFERROR(INDEX(PP_Grid[#Data],$DD782,54),0)</f>
        <v/>
      </c>
      <c r="BE782">
        <f>IFERROR(INDEX(PP_Grid[#Data],$DD782,55),0)</f>
        <v/>
      </c>
      <c r="BF782">
        <f>IFERROR(INDEX(PP_Grid[#Data],$DD782,56),0)</f>
        <v/>
      </c>
      <c r="BG782">
        <f>IFERROR(INDEX(PP_Grid[#Data],$DD782,57),0)</f>
        <v/>
      </c>
      <c r="BH782">
        <f>IFERROR(INDEX(PP_Grid[#Data],$DD782,58),0)</f>
        <v/>
      </c>
      <c r="BI782">
        <f>IFERROR(INDEX(PP_Grid[#Data],$DD782,59),0)</f>
        <v/>
      </c>
      <c r="BJ782">
        <f>IFERROR(INDEX(PP_Grid[#Data],$DD782,60),0)</f>
        <v/>
      </c>
      <c r="BK782">
        <f>IFERROR(INDEX(PP_Grid[#Data],$DD782,61),0)</f>
        <v/>
      </c>
      <c r="BL782">
        <f>IFERROR(INDEX(PP_Grid[#Data],$DD782,62),0)</f>
        <v/>
      </c>
      <c r="BM782">
        <f>IFERROR(INDEX(PP_Grid[#Data],$DD782,63),0)</f>
        <v/>
      </c>
      <c r="BN782">
        <f>IFERROR(INDEX(PP_Grid[#Data],$DD782,64),0)</f>
        <v/>
      </c>
      <c r="BO782">
        <f>IFERROR(INDEX(PP_Grid[#Data],$DD782,65),0)</f>
        <v/>
      </c>
      <c r="BP782">
        <f>IFERROR(INDEX(PP_Grid[#Data],$DD782,66),0)</f>
        <v/>
      </c>
      <c r="BQ782">
        <f>IFERROR(INDEX(PP_Grid[#Data],$DD782,67),0)</f>
        <v/>
      </c>
      <c r="BR782">
        <f>IFERROR(INDEX(PP_Grid[#Data],$DD782,68),0)</f>
        <v/>
      </c>
      <c r="BS782">
        <f>IFERROR(INDEX(PP_Grid[#Data],$DD782,69),0)</f>
        <v/>
      </c>
      <c r="BT782">
        <f>IFERROR(INDEX(PP_Grid[#Data],$DD782,70),0)</f>
        <v/>
      </c>
      <c r="BU782">
        <f>IFERROR(INDEX(PP_Grid[#Data],$DD782,71),0)</f>
        <v/>
      </c>
      <c r="BV782">
        <f>IFERROR(INDEX(PP_Grid[#Data],$DD782,72),0)</f>
        <v/>
      </c>
      <c r="BW782">
        <f>IFERROR(INDEX(PP_Grid[#Data],$DD782,73),0)</f>
        <v/>
      </c>
      <c r="BX782">
        <f>IFERROR(INDEX(PP_Grid[#Data],$DD782,74),0)</f>
        <v/>
      </c>
      <c r="BY782">
        <f>IFERROR(INDEX(PP_Grid[#Data],$DD782,75),0)</f>
        <v/>
      </c>
      <c r="BZ782">
        <f>IFERROR(INDEX(PP_Grid[#Data],$DD782,76),0)</f>
        <v/>
      </c>
      <c r="CA782">
        <f>IFERROR(INDEX(PP_Grid[#Data],$DD782,77),0)</f>
        <v/>
      </c>
      <c r="CB782">
        <f>IFERROR(INDEX(PP_Grid[#Data],$DD782,78),0)</f>
        <v/>
      </c>
      <c r="CC782">
        <f>IFERROR(INDEX(PP_Grid[#Data],$DD782,79),0)</f>
        <v/>
      </c>
      <c r="CD782">
        <f>IFERROR(INDEX(PP_Grid[#Data],$DD782,80),0)</f>
        <v/>
      </c>
      <c r="CE782">
        <f>IFERROR(INDEX(PP_Grid[#Data],$DD782,81),0)</f>
        <v/>
      </c>
      <c r="CF782">
        <f>IFERROR(INDEX(PP_Grid[#Data],$DD782,82),0)</f>
        <v/>
      </c>
      <c r="CG782">
        <f>IFERROR(INDEX(PP_Grid[#Data],$DD782,83),0)</f>
        <v/>
      </c>
      <c r="CH782">
        <f>IFERROR(INDEX(PP_Grid[#Data],$DD782,84),0)</f>
        <v/>
      </c>
      <c r="CI782">
        <f>IFERROR(INDEX(PP_Grid[#Data],$DD782,85),0)</f>
        <v/>
      </c>
      <c r="CJ782">
        <f>IFERROR(INDEX(PP_Grid[#Data],$DD782,86),0)</f>
        <v/>
      </c>
      <c r="CK782">
        <f>IFERROR(INDEX(PP_Grid[#Data],$DD782,87),0)</f>
        <v/>
      </c>
      <c r="CL782">
        <f>IFERROR(INDEX(PP_Grid[#Data],$DD782,88),0)</f>
        <v/>
      </c>
      <c r="CM782">
        <f>IFERROR(INDEX(PP_Grid[#Data],$DD782,89),0)</f>
        <v/>
      </c>
      <c r="CN782">
        <f>IFERROR(INDEX(PP_Grid[#Data],$DD782,90),0)</f>
        <v/>
      </c>
      <c r="CO782">
        <f>IFERROR(INDEX(PP_Grid[#Data],$DD782,91),0)</f>
        <v/>
      </c>
      <c r="CP782">
        <f>IFERROR(INDEX(PP_Grid[#Data],$DD782,92),0)</f>
        <v/>
      </c>
      <c r="CQ782">
        <f>IFERROR(INDEX(PP_Grid[#Data],$DD782,93),0)</f>
        <v/>
      </c>
      <c r="CR782">
        <f>IFERROR(INDEX(PP_Grid[#Data],$DD782,94),0)</f>
        <v/>
      </c>
      <c r="CS782">
        <f>IFERROR(INDEX(PP_Grid[#Data],$DD782,95),0)</f>
        <v/>
      </c>
      <c r="CT782">
        <f>IFERROR(INDEX(PP_Grid[#Data],$DD782,96),0)</f>
        <v/>
      </c>
      <c r="CU782">
        <f>IFERROR(INDEX(PP_Grid[#Data],$DD782,97),0)</f>
        <v/>
      </c>
      <c r="CV782">
        <f>IFERROR(INDEX(PP_Grid[#Data],$DD782,98),0)</f>
        <v/>
      </c>
      <c r="CW782">
        <f>IFERROR(INDEX(PP_Grid[#Data],$DD782,99),0)</f>
        <v/>
      </c>
      <c r="CX782">
        <f>IFERROR(INDEX(PP_Grid[#Data],$DD782,100),0)</f>
        <v/>
      </c>
      <c r="CY782">
        <f>IFERROR(INDEX(PP_Grid[#Data],$DD782,101),0)</f>
        <v/>
      </c>
      <c r="CZ782">
        <f>IFERROR(INDEX(PP_Grid[#Data],$DD782,102),0)</f>
        <v/>
      </c>
      <c r="DA782">
        <f>IFERROR(INDEX(PP_Grid[#Data],$DD782,103),0)</f>
        <v/>
      </c>
      <c r="DB782">
        <f>IFERROR(INDEX(PP_Grid[#Data],$DD782,104),0)</f>
        <v/>
      </c>
      <c r="DC782">
        <f>IFERROR(INDEX(PP_Grid[#Data],$DD782,105),0)</f>
        <v/>
      </c>
      <c r="DD782" s="12">
        <f>IFERROR(MATCH($B782,PP_Grid[Intermediate],0),99999)</f>
        <v/>
      </c>
    </row>
    <row r="783">
      <c r="B783" t="inlineStr">
        <is>
          <t>使用量(kg)</t>
        </is>
      </c>
      <c r="C783">
        <f>SUMIFS(M_BOM[RM_Qty_Per_Batch],M_BOM[Intermediate],$B782,M_BOM[Part Name],$A669)</f>
        <v/>
      </c>
      <c r="D783">
        <f>$C783*D782</f>
        <v/>
      </c>
      <c r="E783">
        <f>$C783*E782</f>
        <v/>
      </c>
      <c r="F783">
        <f>$C783*F782</f>
        <v/>
      </c>
      <c r="G783">
        <f>$C783*G782</f>
        <v/>
      </c>
      <c r="H783">
        <f>$C783*H782</f>
        <v/>
      </c>
      <c r="I783">
        <f>$C783*I782</f>
        <v/>
      </c>
      <c r="J783">
        <f>$C783*J782</f>
        <v/>
      </c>
      <c r="K783">
        <f>$C783*K782</f>
        <v/>
      </c>
      <c r="L783">
        <f>$C783*L782</f>
        <v/>
      </c>
      <c r="M783">
        <f>$C783*M782</f>
        <v/>
      </c>
      <c r="N783">
        <f>$C783*N782</f>
        <v/>
      </c>
      <c r="O783">
        <f>$C783*O782</f>
        <v/>
      </c>
      <c r="P783">
        <f>$C783*P782</f>
        <v/>
      </c>
      <c r="Q783">
        <f>$C783*Q782</f>
        <v/>
      </c>
      <c r="R783">
        <f>$C783*R782</f>
        <v/>
      </c>
      <c r="S783">
        <f>$C783*S782</f>
        <v/>
      </c>
      <c r="T783">
        <f>$C783*T782</f>
        <v/>
      </c>
      <c r="U783">
        <f>$C783*U782</f>
        <v/>
      </c>
      <c r="V783">
        <f>$C783*V782</f>
        <v/>
      </c>
      <c r="W783">
        <f>$C783*W782</f>
        <v/>
      </c>
      <c r="X783">
        <f>$C783*X782</f>
        <v/>
      </c>
      <c r="Y783">
        <f>$C783*Y782</f>
        <v/>
      </c>
      <c r="Z783">
        <f>$C783*Z782</f>
        <v/>
      </c>
      <c r="AA783">
        <f>$C783*AA782</f>
        <v/>
      </c>
      <c r="AB783">
        <f>$C783*AB782</f>
        <v/>
      </c>
      <c r="AC783">
        <f>$C783*AC782</f>
        <v/>
      </c>
      <c r="AD783">
        <f>$C783*AD782</f>
        <v/>
      </c>
      <c r="AE783">
        <f>$C783*AE782</f>
        <v/>
      </c>
      <c r="AF783">
        <f>$C783*AF782</f>
        <v/>
      </c>
      <c r="AG783">
        <f>$C783*AG782</f>
        <v/>
      </c>
      <c r="AH783">
        <f>$C783*AH782</f>
        <v/>
      </c>
      <c r="AI783">
        <f>$C783*AI782</f>
        <v/>
      </c>
      <c r="AJ783">
        <f>$C783*AJ782</f>
        <v/>
      </c>
      <c r="AK783">
        <f>$C783*AK782</f>
        <v/>
      </c>
      <c r="AL783">
        <f>$C783*AL782</f>
        <v/>
      </c>
      <c r="AM783">
        <f>$C783*AM782</f>
        <v/>
      </c>
      <c r="AN783">
        <f>$C783*AN782</f>
        <v/>
      </c>
      <c r="AO783">
        <f>$C783*AO782</f>
        <v/>
      </c>
      <c r="AP783">
        <f>$C783*AP782</f>
        <v/>
      </c>
      <c r="AQ783">
        <f>$C783*AQ782</f>
        <v/>
      </c>
      <c r="AR783">
        <f>$C783*AR782</f>
        <v/>
      </c>
      <c r="AS783">
        <f>$C783*AS782</f>
        <v/>
      </c>
      <c r="AT783">
        <f>$C783*AT782</f>
        <v/>
      </c>
      <c r="AU783">
        <f>$C783*AU782</f>
        <v/>
      </c>
      <c r="AV783">
        <f>$C783*AV782</f>
        <v/>
      </c>
      <c r="AW783">
        <f>$C783*AW782</f>
        <v/>
      </c>
      <c r="AX783">
        <f>$C783*AX782</f>
        <v/>
      </c>
      <c r="AY783">
        <f>$C783*AY782</f>
        <v/>
      </c>
      <c r="AZ783">
        <f>$C783*AZ782</f>
        <v/>
      </c>
      <c r="BA783">
        <f>$C783*BA782</f>
        <v/>
      </c>
      <c r="BB783">
        <f>$C783*BB782</f>
        <v/>
      </c>
      <c r="BC783">
        <f>$C783*BC782</f>
        <v/>
      </c>
      <c r="BD783">
        <f>$C783*BD782</f>
        <v/>
      </c>
      <c r="BE783">
        <f>$C783*BE782</f>
        <v/>
      </c>
      <c r="BF783">
        <f>$C783*BF782</f>
        <v/>
      </c>
      <c r="BG783">
        <f>$C783*BG782</f>
        <v/>
      </c>
      <c r="BH783">
        <f>$C783*BH782</f>
        <v/>
      </c>
      <c r="BI783">
        <f>$C783*BI782</f>
        <v/>
      </c>
      <c r="BJ783">
        <f>$C783*BJ782</f>
        <v/>
      </c>
      <c r="BK783">
        <f>$C783*BK782</f>
        <v/>
      </c>
      <c r="BL783">
        <f>$C783*BL782</f>
        <v/>
      </c>
      <c r="BM783">
        <f>$C783*BM782</f>
        <v/>
      </c>
      <c r="BN783">
        <f>$C783*BN782</f>
        <v/>
      </c>
      <c r="BO783">
        <f>$C783*BO782</f>
        <v/>
      </c>
      <c r="BP783">
        <f>$C783*BP782</f>
        <v/>
      </c>
      <c r="BQ783">
        <f>$C783*BQ782</f>
        <v/>
      </c>
      <c r="BR783">
        <f>$C783*BR782</f>
        <v/>
      </c>
      <c r="BS783">
        <f>$C783*BS782</f>
        <v/>
      </c>
      <c r="BT783">
        <f>$C783*BT782</f>
        <v/>
      </c>
      <c r="BU783">
        <f>$C783*BU782</f>
        <v/>
      </c>
      <c r="BV783">
        <f>$C783*BV782</f>
        <v/>
      </c>
      <c r="BW783">
        <f>$C783*BW782</f>
        <v/>
      </c>
      <c r="BX783">
        <f>$C783*BX782</f>
        <v/>
      </c>
      <c r="BY783">
        <f>$C783*BY782</f>
        <v/>
      </c>
      <c r="BZ783">
        <f>$C783*BZ782</f>
        <v/>
      </c>
      <c r="CA783">
        <f>$C783*CA782</f>
        <v/>
      </c>
      <c r="CB783">
        <f>$C783*CB782</f>
        <v/>
      </c>
      <c r="CC783">
        <f>$C783*CC782</f>
        <v/>
      </c>
      <c r="CD783">
        <f>$C783*CD782</f>
        <v/>
      </c>
      <c r="CE783">
        <f>$C783*CE782</f>
        <v/>
      </c>
      <c r="CF783">
        <f>$C783*CF782</f>
        <v/>
      </c>
      <c r="CG783">
        <f>$C783*CG782</f>
        <v/>
      </c>
      <c r="CH783">
        <f>$C783*CH782</f>
        <v/>
      </c>
      <c r="CI783">
        <f>$C783*CI782</f>
        <v/>
      </c>
      <c r="CJ783">
        <f>$C783*CJ782</f>
        <v/>
      </c>
      <c r="CK783">
        <f>$C783*CK782</f>
        <v/>
      </c>
      <c r="CL783">
        <f>$C783*CL782</f>
        <v/>
      </c>
      <c r="CM783">
        <f>$C783*CM782</f>
        <v/>
      </c>
      <c r="CN783">
        <f>$C783*CN782</f>
        <v/>
      </c>
      <c r="CO783">
        <f>$C783*CO782</f>
        <v/>
      </c>
      <c r="CP783">
        <f>$C783*CP782</f>
        <v/>
      </c>
      <c r="CQ783">
        <f>$C783*CQ782</f>
        <v/>
      </c>
      <c r="CR783">
        <f>$C783*CR782</f>
        <v/>
      </c>
      <c r="CS783">
        <f>$C783*CS782</f>
        <v/>
      </c>
      <c r="CT783">
        <f>$C783*CT782</f>
        <v/>
      </c>
      <c r="CU783">
        <f>$C783*CU782</f>
        <v/>
      </c>
      <c r="CV783">
        <f>$C783*CV782</f>
        <v/>
      </c>
      <c r="CW783">
        <f>$C783*CW782</f>
        <v/>
      </c>
      <c r="CX783">
        <f>$C783*CX782</f>
        <v/>
      </c>
      <c r="CY783">
        <f>$C783*CY782</f>
        <v/>
      </c>
      <c r="CZ783">
        <f>$C783*CZ782</f>
        <v/>
      </c>
      <c r="DA783">
        <f>$C783*DA782</f>
        <v/>
      </c>
      <c r="DB783">
        <f>$C783*DB782</f>
        <v/>
      </c>
      <c r="DC783">
        <f>$C783*DC782</f>
        <v/>
      </c>
    </row>
    <row r="784">
      <c r="B784" t="inlineStr">
        <is>
          <t>TVS-664</t>
        </is>
      </c>
      <c r="C784" t="inlineStr">
        <is>
          <t>No. of batches</t>
        </is>
      </c>
      <c r="D784">
        <f>IFERROR(INDEX(PP_Grid[#Data],$DD784,2),0)</f>
        <v/>
      </c>
      <c r="E784">
        <f>IFERROR(INDEX(PP_Grid[#Data],$DD784,3),0)</f>
        <v/>
      </c>
      <c r="F784">
        <f>IFERROR(INDEX(PP_Grid[#Data],$DD784,4),0)</f>
        <v/>
      </c>
      <c r="G784">
        <f>IFERROR(INDEX(PP_Grid[#Data],$DD784,5),0)</f>
        <v/>
      </c>
      <c r="H784">
        <f>IFERROR(INDEX(PP_Grid[#Data],$DD784,6),0)</f>
        <v/>
      </c>
      <c r="I784">
        <f>IFERROR(INDEX(PP_Grid[#Data],$DD784,7),0)</f>
        <v/>
      </c>
      <c r="J784">
        <f>IFERROR(INDEX(PP_Grid[#Data],$DD784,8),0)</f>
        <v/>
      </c>
      <c r="K784">
        <f>IFERROR(INDEX(PP_Grid[#Data],$DD784,9),0)</f>
        <v/>
      </c>
      <c r="L784">
        <f>IFERROR(INDEX(PP_Grid[#Data],$DD784,10),0)</f>
        <v/>
      </c>
      <c r="M784">
        <f>IFERROR(INDEX(PP_Grid[#Data],$DD784,11),0)</f>
        <v/>
      </c>
      <c r="N784">
        <f>IFERROR(INDEX(PP_Grid[#Data],$DD784,12),0)</f>
        <v/>
      </c>
      <c r="O784">
        <f>IFERROR(INDEX(PP_Grid[#Data],$DD784,13),0)</f>
        <v/>
      </c>
      <c r="P784">
        <f>IFERROR(INDEX(PP_Grid[#Data],$DD784,14),0)</f>
        <v/>
      </c>
      <c r="Q784">
        <f>IFERROR(INDEX(PP_Grid[#Data],$DD784,15),0)</f>
        <v/>
      </c>
      <c r="R784">
        <f>IFERROR(INDEX(PP_Grid[#Data],$DD784,16),0)</f>
        <v/>
      </c>
      <c r="S784">
        <f>IFERROR(INDEX(PP_Grid[#Data],$DD784,17),0)</f>
        <v/>
      </c>
      <c r="T784">
        <f>IFERROR(INDEX(PP_Grid[#Data],$DD784,18),0)</f>
        <v/>
      </c>
      <c r="U784">
        <f>IFERROR(INDEX(PP_Grid[#Data],$DD784,19),0)</f>
        <v/>
      </c>
      <c r="V784">
        <f>IFERROR(INDEX(PP_Grid[#Data],$DD784,20),0)</f>
        <v/>
      </c>
      <c r="W784">
        <f>IFERROR(INDEX(PP_Grid[#Data],$DD784,21),0)</f>
        <v/>
      </c>
      <c r="X784">
        <f>IFERROR(INDEX(PP_Grid[#Data],$DD784,22),0)</f>
        <v/>
      </c>
      <c r="Y784">
        <f>IFERROR(INDEX(PP_Grid[#Data],$DD784,23),0)</f>
        <v/>
      </c>
      <c r="Z784">
        <f>IFERROR(INDEX(PP_Grid[#Data],$DD784,24),0)</f>
        <v/>
      </c>
      <c r="AA784">
        <f>IFERROR(INDEX(PP_Grid[#Data],$DD784,25),0)</f>
        <v/>
      </c>
      <c r="AB784">
        <f>IFERROR(INDEX(PP_Grid[#Data],$DD784,26),0)</f>
        <v/>
      </c>
      <c r="AC784">
        <f>IFERROR(INDEX(PP_Grid[#Data],$DD784,27),0)</f>
        <v/>
      </c>
      <c r="AD784">
        <f>IFERROR(INDEX(PP_Grid[#Data],$DD784,28),0)</f>
        <v/>
      </c>
      <c r="AE784">
        <f>IFERROR(INDEX(PP_Grid[#Data],$DD784,29),0)</f>
        <v/>
      </c>
      <c r="AF784">
        <f>IFERROR(INDEX(PP_Grid[#Data],$DD784,30),0)</f>
        <v/>
      </c>
      <c r="AG784">
        <f>IFERROR(INDEX(PP_Grid[#Data],$DD784,31),0)</f>
        <v/>
      </c>
      <c r="AH784">
        <f>IFERROR(INDEX(PP_Grid[#Data],$DD784,32),0)</f>
        <v/>
      </c>
      <c r="AI784">
        <f>IFERROR(INDEX(PP_Grid[#Data],$DD784,33),0)</f>
        <v/>
      </c>
      <c r="AJ784">
        <f>IFERROR(INDEX(PP_Grid[#Data],$DD784,34),0)</f>
        <v/>
      </c>
      <c r="AK784">
        <f>IFERROR(INDEX(PP_Grid[#Data],$DD784,35),0)</f>
        <v/>
      </c>
      <c r="AL784">
        <f>IFERROR(INDEX(PP_Grid[#Data],$DD784,36),0)</f>
        <v/>
      </c>
      <c r="AM784">
        <f>IFERROR(INDEX(PP_Grid[#Data],$DD784,37),0)</f>
        <v/>
      </c>
      <c r="AN784">
        <f>IFERROR(INDEX(PP_Grid[#Data],$DD784,38),0)</f>
        <v/>
      </c>
      <c r="AO784">
        <f>IFERROR(INDEX(PP_Grid[#Data],$DD784,39),0)</f>
        <v/>
      </c>
      <c r="AP784">
        <f>IFERROR(INDEX(PP_Grid[#Data],$DD784,40),0)</f>
        <v/>
      </c>
      <c r="AQ784">
        <f>IFERROR(INDEX(PP_Grid[#Data],$DD784,41),0)</f>
        <v/>
      </c>
      <c r="AR784">
        <f>IFERROR(INDEX(PP_Grid[#Data],$DD784,42),0)</f>
        <v/>
      </c>
      <c r="AS784">
        <f>IFERROR(INDEX(PP_Grid[#Data],$DD784,43),0)</f>
        <v/>
      </c>
      <c r="AT784">
        <f>IFERROR(INDEX(PP_Grid[#Data],$DD784,44),0)</f>
        <v/>
      </c>
      <c r="AU784">
        <f>IFERROR(INDEX(PP_Grid[#Data],$DD784,45),0)</f>
        <v/>
      </c>
      <c r="AV784">
        <f>IFERROR(INDEX(PP_Grid[#Data],$DD784,46),0)</f>
        <v/>
      </c>
      <c r="AW784">
        <f>IFERROR(INDEX(PP_Grid[#Data],$DD784,47),0)</f>
        <v/>
      </c>
      <c r="AX784">
        <f>IFERROR(INDEX(PP_Grid[#Data],$DD784,48),0)</f>
        <v/>
      </c>
      <c r="AY784">
        <f>IFERROR(INDEX(PP_Grid[#Data],$DD784,49),0)</f>
        <v/>
      </c>
      <c r="AZ784">
        <f>IFERROR(INDEX(PP_Grid[#Data],$DD784,50),0)</f>
        <v/>
      </c>
      <c r="BA784">
        <f>IFERROR(INDEX(PP_Grid[#Data],$DD784,51),0)</f>
        <v/>
      </c>
      <c r="BB784">
        <f>IFERROR(INDEX(PP_Grid[#Data],$DD784,52),0)</f>
        <v/>
      </c>
      <c r="BC784">
        <f>IFERROR(INDEX(PP_Grid[#Data],$DD784,53),0)</f>
        <v/>
      </c>
      <c r="BD784">
        <f>IFERROR(INDEX(PP_Grid[#Data],$DD784,54),0)</f>
        <v/>
      </c>
      <c r="BE784">
        <f>IFERROR(INDEX(PP_Grid[#Data],$DD784,55),0)</f>
        <v/>
      </c>
      <c r="BF784">
        <f>IFERROR(INDEX(PP_Grid[#Data],$DD784,56),0)</f>
        <v/>
      </c>
      <c r="BG784">
        <f>IFERROR(INDEX(PP_Grid[#Data],$DD784,57),0)</f>
        <v/>
      </c>
      <c r="BH784">
        <f>IFERROR(INDEX(PP_Grid[#Data],$DD784,58),0)</f>
        <v/>
      </c>
      <c r="BI784">
        <f>IFERROR(INDEX(PP_Grid[#Data],$DD784,59),0)</f>
        <v/>
      </c>
      <c r="BJ784">
        <f>IFERROR(INDEX(PP_Grid[#Data],$DD784,60),0)</f>
        <v/>
      </c>
      <c r="BK784">
        <f>IFERROR(INDEX(PP_Grid[#Data],$DD784,61),0)</f>
        <v/>
      </c>
      <c r="BL784">
        <f>IFERROR(INDEX(PP_Grid[#Data],$DD784,62),0)</f>
        <v/>
      </c>
      <c r="BM784">
        <f>IFERROR(INDEX(PP_Grid[#Data],$DD784,63),0)</f>
        <v/>
      </c>
      <c r="BN784">
        <f>IFERROR(INDEX(PP_Grid[#Data],$DD784,64),0)</f>
        <v/>
      </c>
      <c r="BO784">
        <f>IFERROR(INDEX(PP_Grid[#Data],$DD784,65),0)</f>
        <v/>
      </c>
      <c r="BP784">
        <f>IFERROR(INDEX(PP_Grid[#Data],$DD784,66),0)</f>
        <v/>
      </c>
      <c r="BQ784">
        <f>IFERROR(INDEX(PP_Grid[#Data],$DD784,67),0)</f>
        <v/>
      </c>
      <c r="BR784">
        <f>IFERROR(INDEX(PP_Grid[#Data],$DD784,68),0)</f>
        <v/>
      </c>
      <c r="BS784">
        <f>IFERROR(INDEX(PP_Grid[#Data],$DD784,69),0)</f>
        <v/>
      </c>
      <c r="BT784">
        <f>IFERROR(INDEX(PP_Grid[#Data],$DD784,70),0)</f>
        <v/>
      </c>
      <c r="BU784">
        <f>IFERROR(INDEX(PP_Grid[#Data],$DD784,71),0)</f>
        <v/>
      </c>
      <c r="BV784">
        <f>IFERROR(INDEX(PP_Grid[#Data],$DD784,72),0)</f>
        <v/>
      </c>
      <c r="BW784">
        <f>IFERROR(INDEX(PP_Grid[#Data],$DD784,73),0)</f>
        <v/>
      </c>
      <c r="BX784">
        <f>IFERROR(INDEX(PP_Grid[#Data],$DD784,74),0)</f>
        <v/>
      </c>
      <c r="BY784">
        <f>IFERROR(INDEX(PP_Grid[#Data],$DD784,75),0)</f>
        <v/>
      </c>
      <c r="BZ784">
        <f>IFERROR(INDEX(PP_Grid[#Data],$DD784,76),0)</f>
        <v/>
      </c>
      <c r="CA784">
        <f>IFERROR(INDEX(PP_Grid[#Data],$DD784,77),0)</f>
        <v/>
      </c>
      <c r="CB784">
        <f>IFERROR(INDEX(PP_Grid[#Data],$DD784,78),0)</f>
        <v/>
      </c>
      <c r="CC784">
        <f>IFERROR(INDEX(PP_Grid[#Data],$DD784,79),0)</f>
        <v/>
      </c>
      <c r="CD784">
        <f>IFERROR(INDEX(PP_Grid[#Data],$DD784,80),0)</f>
        <v/>
      </c>
      <c r="CE784">
        <f>IFERROR(INDEX(PP_Grid[#Data],$DD784,81),0)</f>
        <v/>
      </c>
      <c r="CF784">
        <f>IFERROR(INDEX(PP_Grid[#Data],$DD784,82),0)</f>
        <v/>
      </c>
      <c r="CG784">
        <f>IFERROR(INDEX(PP_Grid[#Data],$DD784,83),0)</f>
        <v/>
      </c>
      <c r="CH784">
        <f>IFERROR(INDEX(PP_Grid[#Data],$DD784,84),0)</f>
        <v/>
      </c>
      <c r="CI784">
        <f>IFERROR(INDEX(PP_Grid[#Data],$DD784,85),0)</f>
        <v/>
      </c>
      <c r="CJ784">
        <f>IFERROR(INDEX(PP_Grid[#Data],$DD784,86),0)</f>
        <v/>
      </c>
      <c r="CK784">
        <f>IFERROR(INDEX(PP_Grid[#Data],$DD784,87),0)</f>
        <v/>
      </c>
      <c r="CL784">
        <f>IFERROR(INDEX(PP_Grid[#Data],$DD784,88),0)</f>
        <v/>
      </c>
      <c r="CM784">
        <f>IFERROR(INDEX(PP_Grid[#Data],$DD784,89),0)</f>
        <v/>
      </c>
      <c r="CN784">
        <f>IFERROR(INDEX(PP_Grid[#Data],$DD784,90),0)</f>
        <v/>
      </c>
      <c r="CO784">
        <f>IFERROR(INDEX(PP_Grid[#Data],$DD784,91),0)</f>
        <v/>
      </c>
      <c r="CP784">
        <f>IFERROR(INDEX(PP_Grid[#Data],$DD784,92),0)</f>
        <v/>
      </c>
      <c r="CQ784">
        <f>IFERROR(INDEX(PP_Grid[#Data],$DD784,93),0)</f>
        <v/>
      </c>
      <c r="CR784">
        <f>IFERROR(INDEX(PP_Grid[#Data],$DD784,94),0)</f>
        <v/>
      </c>
      <c r="CS784">
        <f>IFERROR(INDEX(PP_Grid[#Data],$DD784,95),0)</f>
        <v/>
      </c>
      <c r="CT784">
        <f>IFERROR(INDEX(PP_Grid[#Data],$DD784,96),0)</f>
        <v/>
      </c>
      <c r="CU784">
        <f>IFERROR(INDEX(PP_Grid[#Data],$DD784,97),0)</f>
        <v/>
      </c>
      <c r="CV784">
        <f>IFERROR(INDEX(PP_Grid[#Data],$DD784,98),0)</f>
        <v/>
      </c>
      <c r="CW784">
        <f>IFERROR(INDEX(PP_Grid[#Data],$DD784,99),0)</f>
        <v/>
      </c>
      <c r="CX784">
        <f>IFERROR(INDEX(PP_Grid[#Data],$DD784,100),0)</f>
        <v/>
      </c>
      <c r="CY784">
        <f>IFERROR(INDEX(PP_Grid[#Data],$DD784,101),0)</f>
        <v/>
      </c>
      <c r="CZ784">
        <f>IFERROR(INDEX(PP_Grid[#Data],$DD784,102),0)</f>
        <v/>
      </c>
      <c r="DA784">
        <f>IFERROR(INDEX(PP_Grid[#Data],$DD784,103),0)</f>
        <v/>
      </c>
      <c r="DB784">
        <f>IFERROR(INDEX(PP_Grid[#Data],$DD784,104),0)</f>
        <v/>
      </c>
      <c r="DC784">
        <f>IFERROR(INDEX(PP_Grid[#Data],$DD784,105),0)</f>
        <v/>
      </c>
      <c r="DD784" s="12">
        <f>IFERROR(MATCH($B784,PP_Grid[Intermediate],0),99999)</f>
        <v/>
      </c>
    </row>
    <row r="785">
      <c r="B785" t="inlineStr">
        <is>
          <t>使用量(kg)</t>
        </is>
      </c>
      <c r="C785">
        <f>SUMIFS(M_BOM[RM_Qty_Per_Batch],M_BOM[Intermediate],$B784,M_BOM[Part Name],$A669)</f>
        <v/>
      </c>
      <c r="D785">
        <f>$C785*D784</f>
        <v/>
      </c>
      <c r="E785">
        <f>$C785*E784</f>
        <v/>
      </c>
      <c r="F785">
        <f>$C785*F784</f>
        <v/>
      </c>
      <c r="G785">
        <f>$C785*G784</f>
        <v/>
      </c>
      <c r="H785">
        <f>$C785*H784</f>
        <v/>
      </c>
      <c r="I785">
        <f>$C785*I784</f>
        <v/>
      </c>
      <c r="J785">
        <f>$C785*J784</f>
        <v/>
      </c>
      <c r="K785">
        <f>$C785*K784</f>
        <v/>
      </c>
      <c r="L785">
        <f>$C785*L784</f>
        <v/>
      </c>
      <c r="M785">
        <f>$C785*M784</f>
        <v/>
      </c>
      <c r="N785">
        <f>$C785*N784</f>
        <v/>
      </c>
      <c r="O785">
        <f>$C785*O784</f>
        <v/>
      </c>
      <c r="P785">
        <f>$C785*P784</f>
        <v/>
      </c>
      <c r="Q785">
        <f>$C785*Q784</f>
        <v/>
      </c>
      <c r="R785">
        <f>$C785*R784</f>
        <v/>
      </c>
      <c r="S785">
        <f>$C785*S784</f>
        <v/>
      </c>
      <c r="T785">
        <f>$C785*T784</f>
        <v/>
      </c>
      <c r="U785">
        <f>$C785*U784</f>
        <v/>
      </c>
      <c r="V785">
        <f>$C785*V784</f>
        <v/>
      </c>
      <c r="W785">
        <f>$C785*W784</f>
        <v/>
      </c>
      <c r="X785">
        <f>$C785*X784</f>
        <v/>
      </c>
      <c r="Y785">
        <f>$C785*Y784</f>
        <v/>
      </c>
      <c r="Z785">
        <f>$C785*Z784</f>
        <v/>
      </c>
      <c r="AA785">
        <f>$C785*AA784</f>
        <v/>
      </c>
      <c r="AB785">
        <f>$C785*AB784</f>
        <v/>
      </c>
      <c r="AC785">
        <f>$C785*AC784</f>
        <v/>
      </c>
      <c r="AD785">
        <f>$C785*AD784</f>
        <v/>
      </c>
      <c r="AE785">
        <f>$C785*AE784</f>
        <v/>
      </c>
      <c r="AF785">
        <f>$C785*AF784</f>
        <v/>
      </c>
      <c r="AG785">
        <f>$C785*AG784</f>
        <v/>
      </c>
      <c r="AH785">
        <f>$C785*AH784</f>
        <v/>
      </c>
      <c r="AI785">
        <f>$C785*AI784</f>
        <v/>
      </c>
      <c r="AJ785">
        <f>$C785*AJ784</f>
        <v/>
      </c>
      <c r="AK785">
        <f>$C785*AK784</f>
        <v/>
      </c>
      <c r="AL785">
        <f>$C785*AL784</f>
        <v/>
      </c>
      <c r="AM785">
        <f>$C785*AM784</f>
        <v/>
      </c>
      <c r="AN785">
        <f>$C785*AN784</f>
        <v/>
      </c>
      <c r="AO785">
        <f>$C785*AO784</f>
        <v/>
      </c>
      <c r="AP785">
        <f>$C785*AP784</f>
        <v/>
      </c>
      <c r="AQ785">
        <f>$C785*AQ784</f>
        <v/>
      </c>
      <c r="AR785">
        <f>$C785*AR784</f>
        <v/>
      </c>
      <c r="AS785">
        <f>$C785*AS784</f>
        <v/>
      </c>
      <c r="AT785">
        <f>$C785*AT784</f>
        <v/>
      </c>
      <c r="AU785">
        <f>$C785*AU784</f>
        <v/>
      </c>
      <c r="AV785">
        <f>$C785*AV784</f>
        <v/>
      </c>
      <c r="AW785">
        <f>$C785*AW784</f>
        <v/>
      </c>
      <c r="AX785">
        <f>$C785*AX784</f>
        <v/>
      </c>
      <c r="AY785">
        <f>$C785*AY784</f>
        <v/>
      </c>
      <c r="AZ785">
        <f>$C785*AZ784</f>
        <v/>
      </c>
      <c r="BA785">
        <f>$C785*BA784</f>
        <v/>
      </c>
      <c r="BB785">
        <f>$C785*BB784</f>
        <v/>
      </c>
      <c r="BC785">
        <f>$C785*BC784</f>
        <v/>
      </c>
      <c r="BD785">
        <f>$C785*BD784</f>
        <v/>
      </c>
      <c r="BE785">
        <f>$C785*BE784</f>
        <v/>
      </c>
      <c r="BF785">
        <f>$C785*BF784</f>
        <v/>
      </c>
      <c r="BG785">
        <f>$C785*BG784</f>
        <v/>
      </c>
      <c r="BH785">
        <f>$C785*BH784</f>
        <v/>
      </c>
      <c r="BI785">
        <f>$C785*BI784</f>
        <v/>
      </c>
      <c r="BJ785">
        <f>$C785*BJ784</f>
        <v/>
      </c>
      <c r="BK785">
        <f>$C785*BK784</f>
        <v/>
      </c>
      <c r="BL785">
        <f>$C785*BL784</f>
        <v/>
      </c>
      <c r="BM785">
        <f>$C785*BM784</f>
        <v/>
      </c>
      <c r="BN785">
        <f>$C785*BN784</f>
        <v/>
      </c>
      <c r="BO785">
        <f>$C785*BO784</f>
        <v/>
      </c>
      <c r="BP785">
        <f>$C785*BP784</f>
        <v/>
      </c>
      <c r="BQ785">
        <f>$C785*BQ784</f>
        <v/>
      </c>
      <c r="BR785">
        <f>$C785*BR784</f>
        <v/>
      </c>
      <c r="BS785">
        <f>$C785*BS784</f>
        <v/>
      </c>
      <c r="BT785">
        <f>$C785*BT784</f>
        <v/>
      </c>
      <c r="BU785">
        <f>$C785*BU784</f>
        <v/>
      </c>
      <c r="BV785">
        <f>$C785*BV784</f>
        <v/>
      </c>
      <c r="BW785">
        <f>$C785*BW784</f>
        <v/>
      </c>
      <c r="BX785">
        <f>$C785*BX784</f>
        <v/>
      </c>
      <c r="BY785">
        <f>$C785*BY784</f>
        <v/>
      </c>
      <c r="BZ785">
        <f>$C785*BZ784</f>
        <v/>
      </c>
      <c r="CA785">
        <f>$C785*CA784</f>
        <v/>
      </c>
      <c r="CB785">
        <f>$C785*CB784</f>
        <v/>
      </c>
      <c r="CC785">
        <f>$C785*CC784</f>
        <v/>
      </c>
      <c r="CD785">
        <f>$C785*CD784</f>
        <v/>
      </c>
      <c r="CE785">
        <f>$C785*CE784</f>
        <v/>
      </c>
      <c r="CF785">
        <f>$C785*CF784</f>
        <v/>
      </c>
      <c r="CG785">
        <f>$C785*CG784</f>
        <v/>
      </c>
      <c r="CH785">
        <f>$C785*CH784</f>
        <v/>
      </c>
      <c r="CI785">
        <f>$C785*CI784</f>
        <v/>
      </c>
      <c r="CJ785">
        <f>$C785*CJ784</f>
        <v/>
      </c>
      <c r="CK785">
        <f>$C785*CK784</f>
        <v/>
      </c>
      <c r="CL785">
        <f>$C785*CL784</f>
        <v/>
      </c>
      <c r="CM785">
        <f>$C785*CM784</f>
        <v/>
      </c>
      <c r="CN785">
        <f>$C785*CN784</f>
        <v/>
      </c>
      <c r="CO785">
        <f>$C785*CO784</f>
        <v/>
      </c>
      <c r="CP785">
        <f>$C785*CP784</f>
        <v/>
      </c>
      <c r="CQ785">
        <f>$C785*CQ784</f>
        <v/>
      </c>
      <c r="CR785">
        <f>$C785*CR784</f>
        <v/>
      </c>
      <c r="CS785">
        <f>$C785*CS784</f>
        <v/>
      </c>
      <c r="CT785">
        <f>$C785*CT784</f>
        <v/>
      </c>
      <c r="CU785">
        <f>$C785*CU784</f>
        <v/>
      </c>
      <c r="CV785">
        <f>$C785*CV784</f>
        <v/>
      </c>
      <c r="CW785">
        <f>$C785*CW784</f>
        <v/>
      </c>
      <c r="CX785">
        <f>$C785*CX784</f>
        <v/>
      </c>
      <c r="CY785">
        <f>$C785*CY784</f>
        <v/>
      </c>
      <c r="CZ785">
        <f>$C785*CZ784</f>
        <v/>
      </c>
      <c r="DA785">
        <f>$C785*DA784</f>
        <v/>
      </c>
      <c r="DB785">
        <f>$C785*DB784</f>
        <v/>
      </c>
      <c r="DC785">
        <f>$C785*DC784</f>
        <v/>
      </c>
    </row>
    <row r="786">
      <c r="B786" t="inlineStr">
        <is>
          <t>TVS-833</t>
        </is>
      </c>
      <c r="C786" t="inlineStr">
        <is>
          <t>No. of batches</t>
        </is>
      </c>
      <c r="D786">
        <f>IFERROR(INDEX(PP_Grid[#Data],$DD786,2),0)</f>
        <v/>
      </c>
      <c r="E786">
        <f>IFERROR(INDEX(PP_Grid[#Data],$DD786,3),0)</f>
        <v/>
      </c>
      <c r="F786">
        <f>IFERROR(INDEX(PP_Grid[#Data],$DD786,4),0)</f>
        <v/>
      </c>
      <c r="G786">
        <f>IFERROR(INDEX(PP_Grid[#Data],$DD786,5),0)</f>
        <v/>
      </c>
      <c r="H786">
        <f>IFERROR(INDEX(PP_Grid[#Data],$DD786,6),0)</f>
        <v/>
      </c>
      <c r="I786">
        <f>IFERROR(INDEX(PP_Grid[#Data],$DD786,7),0)</f>
        <v/>
      </c>
      <c r="J786">
        <f>IFERROR(INDEX(PP_Grid[#Data],$DD786,8),0)</f>
        <v/>
      </c>
      <c r="K786">
        <f>IFERROR(INDEX(PP_Grid[#Data],$DD786,9),0)</f>
        <v/>
      </c>
      <c r="L786">
        <f>IFERROR(INDEX(PP_Grid[#Data],$DD786,10),0)</f>
        <v/>
      </c>
      <c r="M786">
        <f>IFERROR(INDEX(PP_Grid[#Data],$DD786,11),0)</f>
        <v/>
      </c>
      <c r="N786">
        <f>IFERROR(INDEX(PP_Grid[#Data],$DD786,12),0)</f>
        <v/>
      </c>
      <c r="O786">
        <f>IFERROR(INDEX(PP_Grid[#Data],$DD786,13),0)</f>
        <v/>
      </c>
      <c r="P786">
        <f>IFERROR(INDEX(PP_Grid[#Data],$DD786,14),0)</f>
        <v/>
      </c>
      <c r="Q786">
        <f>IFERROR(INDEX(PP_Grid[#Data],$DD786,15),0)</f>
        <v/>
      </c>
      <c r="R786">
        <f>IFERROR(INDEX(PP_Grid[#Data],$DD786,16),0)</f>
        <v/>
      </c>
      <c r="S786">
        <f>IFERROR(INDEX(PP_Grid[#Data],$DD786,17),0)</f>
        <v/>
      </c>
      <c r="T786">
        <f>IFERROR(INDEX(PP_Grid[#Data],$DD786,18),0)</f>
        <v/>
      </c>
      <c r="U786">
        <f>IFERROR(INDEX(PP_Grid[#Data],$DD786,19),0)</f>
        <v/>
      </c>
      <c r="V786">
        <f>IFERROR(INDEX(PP_Grid[#Data],$DD786,20),0)</f>
        <v/>
      </c>
      <c r="W786">
        <f>IFERROR(INDEX(PP_Grid[#Data],$DD786,21),0)</f>
        <v/>
      </c>
      <c r="X786">
        <f>IFERROR(INDEX(PP_Grid[#Data],$DD786,22),0)</f>
        <v/>
      </c>
      <c r="Y786">
        <f>IFERROR(INDEX(PP_Grid[#Data],$DD786,23),0)</f>
        <v/>
      </c>
      <c r="Z786">
        <f>IFERROR(INDEX(PP_Grid[#Data],$DD786,24),0)</f>
        <v/>
      </c>
      <c r="AA786">
        <f>IFERROR(INDEX(PP_Grid[#Data],$DD786,25),0)</f>
        <v/>
      </c>
      <c r="AB786">
        <f>IFERROR(INDEX(PP_Grid[#Data],$DD786,26),0)</f>
        <v/>
      </c>
      <c r="AC786">
        <f>IFERROR(INDEX(PP_Grid[#Data],$DD786,27),0)</f>
        <v/>
      </c>
      <c r="AD786">
        <f>IFERROR(INDEX(PP_Grid[#Data],$DD786,28),0)</f>
        <v/>
      </c>
      <c r="AE786">
        <f>IFERROR(INDEX(PP_Grid[#Data],$DD786,29),0)</f>
        <v/>
      </c>
      <c r="AF786">
        <f>IFERROR(INDEX(PP_Grid[#Data],$DD786,30),0)</f>
        <v/>
      </c>
      <c r="AG786">
        <f>IFERROR(INDEX(PP_Grid[#Data],$DD786,31),0)</f>
        <v/>
      </c>
      <c r="AH786">
        <f>IFERROR(INDEX(PP_Grid[#Data],$DD786,32),0)</f>
        <v/>
      </c>
      <c r="AI786">
        <f>IFERROR(INDEX(PP_Grid[#Data],$DD786,33),0)</f>
        <v/>
      </c>
      <c r="AJ786">
        <f>IFERROR(INDEX(PP_Grid[#Data],$DD786,34),0)</f>
        <v/>
      </c>
      <c r="AK786">
        <f>IFERROR(INDEX(PP_Grid[#Data],$DD786,35),0)</f>
        <v/>
      </c>
      <c r="AL786">
        <f>IFERROR(INDEX(PP_Grid[#Data],$DD786,36),0)</f>
        <v/>
      </c>
      <c r="AM786">
        <f>IFERROR(INDEX(PP_Grid[#Data],$DD786,37),0)</f>
        <v/>
      </c>
      <c r="AN786">
        <f>IFERROR(INDEX(PP_Grid[#Data],$DD786,38),0)</f>
        <v/>
      </c>
      <c r="AO786">
        <f>IFERROR(INDEX(PP_Grid[#Data],$DD786,39),0)</f>
        <v/>
      </c>
      <c r="AP786">
        <f>IFERROR(INDEX(PP_Grid[#Data],$DD786,40),0)</f>
        <v/>
      </c>
      <c r="AQ786">
        <f>IFERROR(INDEX(PP_Grid[#Data],$DD786,41),0)</f>
        <v/>
      </c>
      <c r="AR786">
        <f>IFERROR(INDEX(PP_Grid[#Data],$DD786,42),0)</f>
        <v/>
      </c>
      <c r="AS786">
        <f>IFERROR(INDEX(PP_Grid[#Data],$DD786,43),0)</f>
        <v/>
      </c>
      <c r="AT786">
        <f>IFERROR(INDEX(PP_Grid[#Data],$DD786,44),0)</f>
        <v/>
      </c>
      <c r="AU786">
        <f>IFERROR(INDEX(PP_Grid[#Data],$DD786,45),0)</f>
        <v/>
      </c>
      <c r="AV786">
        <f>IFERROR(INDEX(PP_Grid[#Data],$DD786,46),0)</f>
        <v/>
      </c>
      <c r="AW786">
        <f>IFERROR(INDEX(PP_Grid[#Data],$DD786,47),0)</f>
        <v/>
      </c>
      <c r="AX786">
        <f>IFERROR(INDEX(PP_Grid[#Data],$DD786,48),0)</f>
        <v/>
      </c>
      <c r="AY786">
        <f>IFERROR(INDEX(PP_Grid[#Data],$DD786,49),0)</f>
        <v/>
      </c>
      <c r="AZ786">
        <f>IFERROR(INDEX(PP_Grid[#Data],$DD786,50),0)</f>
        <v/>
      </c>
      <c r="BA786">
        <f>IFERROR(INDEX(PP_Grid[#Data],$DD786,51),0)</f>
        <v/>
      </c>
      <c r="BB786">
        <f>IFERROR(INDEX(PP_Grid[#Data],$DD786,52),0)</f>
        <v/>
      </c>
      <c r="BC786">
        <f>IFERROR(INDEX(PP_Grid[#Data],$DD786,53),0)</f>
        <v/>
      </c>
      <c r="BD786">
        <f>IFERROR(INDEX(PP_Grid[#Data],$DD786,54),0)</f>
        <v/>
      </c>
      <c r="BE786">
        <f>IFERROR(INDEX(PP_Grid[#Data],$DD786,55),0)</f>
        <v/>
      </c>
      <c r="BF786">
        <f>IFERROR(INDEX(PP_Grid[#Data],$DD786,56),0)</f>
        <v/>
      </c>
      <c r="BG786">
        <f>IFERROR(INDEX(PP_Grid[#Data],$DD786,57),0)</f>
        <v/>
      </c>
      <c r="BH786">
        <f>IFERROR(INDEX(PP_Grid[#Data],$DD786,58),0)</f>
        <v/>
      </c>
      <c r="BI786">
        <f>IFERROR(INDEX(PP_Grid[#Data],$DD786,59),0)</f>
        <v/>
      </c>
      <c r="BJ786">
        <f>IFERROR(INDEX(PP_Grid[#Data],$DD786,60),0)</f>
        <v/>
      </c>
      <c r="BK786">
        <f>IFERROR(INDEX(PP_Grid[#Data],$DD786,61),0)</f>
        <v/>
      </c>
      <c r="BL786">
        <f>IFERROR(INDEX(PP_Grid[#Data],$DD786,62),0)</f>
        <v/>
      </c>
      <c r="BM786">
        <f>IFERROR(INDEX(PP_Grid[#Data],$DD786,63),0)</f>
        <v/>
      </c>
      <c r="BN786">
        <f>IFERROR(INDEX(PP_Grid[#Data],$DD786,64),0)</f>
        <v/>
      </c>
      <c r="BO786">
        <f>IFERROR(INDEX(PP_Grid[#Data],$DD786,65),0)</f>
        <v/>
      </c>
      <c r="BP786">
        <f>IFERROR(INDEX(PP_Grid[#Data],$DD786,66),0)</f>
        <v/>
      </c>
      <c r="BQ786">
        <f>IFERROR(INDEX(PP_Grid[#Data],$DD786,67),0)</f>
        <v/>
      </c>
      <c r="BR786">
        <f>IFERROR(INDEX(PP_Grid[#Data],$DD786,68),0)</f>
        <v/>
      </c>
      <c r="BS786">
        <f>IFERROR(INDEX(PP_Grid[#Data],$DD786,69),0)</f>
        <v/>
      </c>
      <c r="BT786">
        <f>IFERROR(INDEX(PP_Grid[#Data],$DD786,70),0)</f>
        <v/>
      </c>
      <c r="BU786">
        <f>IFERROR(INDEX(PP_Grid[#Data],$DD786,71),0)</f>
        <v/>
      </c>
      <c r="BV786">
        <f>IFERROR(INDEX(PP_Grid[#Data],$DD786,72),0)</f>
        <v/>
      </c>
      <c r="BW786">
        <f>IFERROR(INDEX(PP_Grid[#Data],$DD786,73),0)</f>
        <v/>
      </c>
      <c r="BX786">
        <f>IFERROR(INDEX(PP_Grid[#Data],$DD786,74),0)</f>
        <v/>
      </c>
      <c r="BY786">
        <f>IFERROR(INDEX(PP_Grid[#Data],$DD786,75),0)</f>
        <v/>
      </c>
      <c r="BZ786">
        <f>IFERROR(INDEX(PP_Grid[#Data],$DD786,76),0)</f>
        <v/>
      </c>
      <c r="CA786">
        <f>IFERROR(INDEX(PP_Grid[#Data],$DD786,77),0)</f>
        <v/>
      </c>
      <c r="CB786">
        <f>IFERROR(INDEX(PP_Grid[#Data],$DD786,78),0)</f>
        <v/>
      </c>
      <c r="CC786">
        <f>IFERROR(INDEX(PP_Grid[#Data],$DD786,79),0)</f>
        <v/>
      </c>
      <c r="CD786">
        <f>IFERROR(INDEX(PP_Grid[#Data],$DD786,80),0)</f>
        <v/>
      </c>
      <c r="CE786">
        <f>IFERROR(INDEX(PP_Grid[#Data],$DD786,81),0)</f>
        <v/>
      </c>
      <c r="CF786">
        <f>IFERROR(INDEX(PP_Grid[#Data],$DD786,82),0)</f>
        <v/>
      </c>
      <c r="CG786">
        <f>IFERROR(INDEX(PP_Grid[#Data],$DD786,83),0)</f>
        <v/>
      </c>
      <c r="CH786">
        <f>IFERROR(INDEX(PP_Grid[#Data],$DD786,84),0)</f>
        <v/>
      </c>
      <c r="CI786">
        <f>IFERROR(INDEX(PP_Grid[#Data],$DD786,85),0)</f>
        <v/>
      </c>
      <c r="CJ786">
        <f>IFERROR(INDEX(PP_Grid[#Data],$DD786,86),0)</f>
        <v/>
      </c>
      <c r="CK786">
        <f>IFERROR(INDEX(PP_Grid[#Data],$DD786,87),0)</f>
        <v/>
      </c>
      <c r="CL786">
        <f>IFERROR(INDEX(PP_Grid[#Data],$DD786,88),0)</f>
        <v/>
      </c>
      <c r="CM786">
        <f>IFERROR(INDEX(PP_Grid[#Data],$DD786,89),0)</f>
        <v/>
      </c>
      <c r="CN786">
        <f>IFERROR(INDEX(PP_Grid[#Data],$DD786,90),0)</f>
        <v/>
      </c>
      <c r="CO786">
        <f>IFERROR(INDEX(PP_Grid[#Data],$DD786,91),0)</f>
        <v/>
      </c>
      <c r="CP786">
        <f>IFERROR(INDEX(PP_Grid[#Data],$DD786,92),0)</f>
        <v/>
      </c>
      <c r="CQ786">
        <f>IFERROR(INDEX(PP_Grid[#Data],$DD786,93),0)</f>
        <v/>
      </c>
      <c r="CR786">
        <f>IFERROR(INDEX(PP_Grid[#Data],$DD786,94),0)</f>
        <v/>
      </c>
      <c r="CS786">
        <f>IFERROR(INDEX(PP_Grid[#Data],$DD786,95),0)</f>
        <v/>
      </c>
      <c r="CT786">
        <f>IFERROR(INDEX(PP_Grid[#Data],$DD786,96),0)</f>
        <v/>
      </c>
      <c r="CU786">
        <f>IFERROR(INDEX(PP_Grid[#Data],$DD786,97),0)</f>
        <v/>
      </c>
      <c r="CV786">
        <f>IFERROR(INDEX(PP_Grid[#Data],$DD786,98),0)</f>
        <v/>
      </c>
      <c r="CW786">
        <f>IFERROR(INDEX(PP_Grid[#Data],$DD786,99),0)</f>
        <v/>
      </c>
      <c r="CX786">
        <f>IFERROR(INDEX(PP_Grid[#Data],$DD786,100),0)</f>
        <v/>
      </c>
      <c r="CY786">
        <f>IFERROR(INDEX(PP_Grid[#Data],$DD786,101),0)</f>
        <v/>
      </c>
      <c r="CZ786">
        <f>IFERROR(INDEX(PP_Grid[#Data],$DD786,102),0)</f>
        <v/>
      </c>
      <c r="DA786">
        <f>IFERROR(INDEX(PP_Grid[#Data],$DD786,103),0)</f>
        <v/>
      </c>
      <c r="DB786">
        <f>IFERROR(INDEX(PP_Grid[#Data],$DD786,104),0)</f>
        <v/>
      </c>
      <c r="DC786">
        <f>IFERROR(INDEX(PP_Grid[#Data],$DD786,105),0)</f>
        <v/>
      </c>
      <c r="DD786" s="12">
        <f>IFERROR(MATCH($B786,PP_Grid[Intermediate],0),99999)</f>
        <v/>
      </c>
    </row>
    <row r="787">
      <c r="B787" t="inlineStr">
        <is>
          <t>使用量(kg)</t>
        </is>
      </c>
      <c r="C787">
        <f>SUMIFS(M_BOM[RM_Qty_Per_Batch],M_BOM[Intermediate],$B786,M_BOM[Part Name],$A669)</f>
        <v/>
      </c>
      <c r="D787">
        <f>$C787*D786</f>
        <v/>
      </c>
      <c r="E787">
        <f>$C787*E786</f>
        <v/>
      </c>
      <c r="F787">
        <f>$C787*F786</f>
        <v/>
      </c>
      <c r="G787">
        <f>$C787*G786</f>
        <v/>
      </c>
      <c r="H787">
        <f>$C787*H786</f>
        <v/>
      </c>
      <c r="I787">
        <f>$C787*I786</f>
        <v/>
      </c>
      <c r="J787">
        <f>$C787*J786</f>
        <v/>
      </c>
      <c r="K787">
        <f>$C787*K786</f>
        <v/>
      </c>
      <c r="L787">
        <f>$C787*L786</f>
        <v/>
      </c>
      <c r="M787">
        <f>$C787*M786</f>
        <v/>
      </c>
      <c r="N787">
        <f>$C787*N786</f>
        <v/>
      </c>
      <c r="O787">
        <f>$C787*O786</f>
        <v/>
      </c>
      <c r="P787">
        <f>$C787*P786</f>
        <v/>
      </c>
      <c r="Q787">
        <f>$C787*Q786</f>
        <v/>
      </c>
      <c r="R787">
        <f>$C787*R786</f>
        <v/>
      </c>
      <c r="S787">
        <f>$C787*S786</f>
        <v/>
      </c>
      <c r="T787">
        <f>$C787*T786</f>
        <v/>
      </c>
      <c r="U787">
        <f>$C787*U786</f>
        <v/>
      </c>
      <c r="V787">
        <f>$C787*V786</f>
        <v/>
      </c>
      <c r="W787">
        <f>$C787*W786</f>
        <v/>
      </c>
      <c r="X787">
        <f>$C787*X786</f>
        <v/>
      </c>
      <c r="Y787">
        <f>$C787*Y786</f>
        <v/>
      </c>
      <c r="Z787">
        <f>$C787*Z786</f>
        <v/>
      </c>
      <c r="AA787">
        <f>$C787*AA786</f>
        <v/>
      </c>
      <c r="AB787">
        <f>$C787*AB786</f>
        <v/>
      </c>
      <c r="AC787">
        <f>$C787*AC786</f>
        <v/>
      </c>
      <c r="AD787">
        <f>$C787*AD786</f>
        <v/>
      </c>
      <c r="AE787">
        <f>$C787*AE786</f>
        <v/>
      </c>
      <c r="AF787">
        <f>$C787*AF786</f>
        <v/>
      </c>
      <c r="AG787">
        <f>$C787*AG786</f>
        <v/>
      </c>
      <c r="AH787">
        <f>$C787*AH786</f>
        <v/>
      </c>
      <c r="AI787">
        <f>$C787*AI786</f>
        <v/>
      </c>
      <c r="AJ787">
        <f>$C787*AJ786</f>
        <v/>
      </c>
      <c r="AK787">
        <f>$C787*AK786</f>
        <v/>
      </c>
      <c r="AL787">
        <f>$C787*AL786</f>
        <v/>
      </c>
      <c r="AM787">
        <f>$C787*AM786</f>
        <v/>
      </c>
      <c r="AN787">
        <f>$C787*AN786</f>
        <v/>
      </c>
      <c r="AO787">
        <f>$C787*AO786</f>
        <v/>
      </c>
      <c r="AP787">
        <f>$C787*AP786</f>
        <v/>
      </c>
      <c r="AQ787">
        <f>$C787*AQ786</f>
        <v/>
      </c>
      <c r="AR787">
        <f>$C787*AR786</f>
        <v/>
      </c>
      <c r="AS787">
        <f>$C787*AS786</f>
        <v/>
      </c>
      <c r="AT787">
        <f>$C787*AT786</f>
        <v/>
      </c>
      <c r="AU787">
        <f>$C787*AU786</f>
        <v/>
      </c>
      <c r="AV787">
        <f>$C787*AV786</f>
        <v/>
      </c>
      <c r="AW787">
        <f>$C787*AW786</f>
        <v/>
      </c>
      <c r="AX787">
        <f>$C787*AX786</f>
        <v/>
      </c>
      <c r="AY787">
        <f>$C787*AY786</f>
        <v/>
      </c>
      <c r="AZ787">
        <f>$C787*AZ786</f>
        <v/>
      </c>
      <c r="BA787">
        <f>$C787*BA786</f>
        <v/>
      </c>
      <c r="BB787">
        <f>$C787*BB786</f>
        <v/>
      </c>
      <c r="BC787">
        <f>$C787*BC786</f>
        <v/>
      </c>
      <c r="BD787">
        <f>$C787*BD786</f>
        <v/>
      </c>
      <c r="BE787">
        <f>$C787*BE786</f>
        <v/>
      </c>
      <c r="BF787">
        <f>$C787*BF786</f>
        <v/>
      </c>
      <c r="BG787">
        <f>$C787*BG786</f>
        <v/>
      </c>
      <c r="BH787">
        <f>$C787*BH786</f>
        <v/>
      </c>
      <c r="BI787">
        <f>$C787*BI786</f>
        <v/>
      </c>
      <c r="BJ787">
        <f>$C787*BJ786</f>
        <v/>
      </c>
      <c r="BK787">
        <f>$C787*BK786</f>
        <v/>
      </c>
      <c r="BL787">
        <f>$C787*BL786</f>
        <v/>
      </c>
      <c r="BM787">
        <f>$C787*BM786</f>
        <v/>
      </c>
      <c r="BN787">
        <f>$C787*BN786</f>
        <v/>
      </c>
      <c r="BO787">
        <f>$C787*BO786</f>
        <v/>
      </c>
      <c r="BP787">
        <f>$C787*BP786</f>
        <v/>
      </c>
      <c r="BQ787">
        <f>$C787*BQ786</f>
        <v/>
      </c>
      <c r="BR787">
        <f>$C787*BR786</f>
        <v/>
      </c>
      <c r="BS787">
        <f>$C787*BS786</f>
        <v/>
      </c>
      <c r="BT787">
        <f>$C787*BT786</f>
        <v/>
      </c>
      <c r="BU787">
        <f>$C787*BU786</f>
        <v/>
      </c>
      <c r="BV787">
        <f>$C787*BV786</f>
        <v/>
      </c>
      <c r="BW787">
        <f>$C787*BW786</f>
        <v/>
      </c>
      <c r="BX787">
        <f>$C787*BX786</f>
        <v/>
      </c>
      <c r="BY787">
        <f>$C787*BY786</f>
        <v/>
      </c>
      <c r="BZ787">
        <f>$C787*BZ786</f>
        <v/>
      </c>
      <c r="CA787">
        <f>$C787*CA786</f>
        <v/>
      </c>
      <c r="CB787">
        <f>$C787*CB786</f>
        <v/>
      </c>
      <c r="CC787">
        <f>$C787*CC786</f>
        <v/>
      </c>
      <c r="CD787">
        <f>$C787*CD786</f>
        <v/>
      </c>
      <c r="CE787">
        <f>$C787*CE786</f>
        <v/>
      </c>
      <c r="CF787">
        <f>$C787*CF786</f>
        <v/>
      </c>
      <c r="CG787">
        <f>$C787*CG786</f>
        <v/>
      </c>
      <c r="CH787">
        <f>$C787*CH786</f>
        <v/>
      </c>
      <c r="CI787">
        <f>$C787*CI786</f>
        <v/>
      </c>
      <c r="CJ787">
        <f>$C787*CJ786</f>
        <v/>
      </c>
      <c r="CK787">
        <f>$C787*CK786</f>
        <v/>
      </c>
      <c r="CL787">
        <f>$C787*CL786</f>
        <v/>
      </c>
      <c r="CM787">
        <f>$C787*CM786</f>
        <v/>
      </c>
      <c r="CN787">
        <f>$C787*CN786</f>
        <v/>
      </c>
      <c r="CO787">
        <f>$C787*CO786</f>
        <v/>
      </c>
      <c r="CP787">
        <f>$C787*CP786</f>
        <v/>
      </c>
      <c r="CQ787">
        <f>$C787*CQ786</f>
        <v/>
      </c>
      <c r="CR787">
        <f>$C787*CR786</f>
        <v/>
      </c>
      <c r="CS787">
        <f>$C787*CS786</f>
        <v/>
      </c>
      <c r="CT787">
        <f>$C787*CT786</f>
        <v/>
      </c>
      <c r="CU787">
        <f>$C787*CU786</f>
        <v/>
      </c>
      <c r="CV787">
        <f>$C787*CV786</f>
        <v/>
      </c>
      <c r="CW787">
        <f>$C787*CW786</f>
        <v/>
      </c>
      <c r="CX787">
        <f>$C787*CX786</f>
        <v/>
      </c>
      <c r="CY787">
        <f>$C787*CY786</f>
        <v/>
      </c>
      <c r="CZ787">
        <f>$C787*CZ786</f>
        <v/>
      </c>
      <c r="DA787">
        <f>$C787*DA786</f>
        <v/>
      </c>
      <c r="DB787">
        <f>$C787*DB786</f>
        <v/>
      </c>
      <c r="DC787">
        <f>$C787*DC786</f>
        <v/>
      </c>
    </row>
    <row r="788">
      <c r="B788" t="inlineStr">
        <is>
          <t>VSP-600</t>
        </is>
      </c>
      <c r="C788" t="inlineStr">
        <is>
          <t>No. of batches</t>
        </is>
      </c>
      <c r="D788">
        <f>IFERROR(INDEX(PP_Grid[#Data],$DD788,2),0)</f>
        <v/>
      </c>
      <c r="E788">
        <f>IFERROR(INDEX(PP_Grid[#Data],$DD788,3),0)</f>
        <v/>
      </c>
      <c r="F788">
        <f>IFERROR(INDEX(PP_Grid[#Data],$DD788,4),0)</f>
        <v/>
      </c>
      <c r="G788">
        <f>IFERROR(INDEX(PP_Grid[#Data],$DD788,5),0)</f>
        <v/>
      </c>
      <c r="H788">
        <f>IFERROR(INDEX(PP_Grid[#Data],$DD788,6),0)</f>
        <v/>
      </c>
      <c r="I788">
        <f>IFERROR(INDEX(PP_Grid[#Data],$DD788,7),0)</f>
        <v/>
      </c>
      <c r="J788">
        <f>IFERROR(INDEX(PP_Grid[#Data],$DD788,8),0)</f>
        <v/>
      </c>
      <c r="K788">
        <f>IFERROR(INDEX(PP_Grid[#Data],$DD788,9),0)</f>
        <v/>
      </c>
      <c r="L788">
        <f>IFERROR(INDEX(PP_Grid[#Data],$DD788,10),0)</f>
        <v/>
      </c>
      <c r="M788">
        <f>IFERROR(INDEX(PP_Grid[#Data],$DD788,11),0)</f>
        <v/>
      </c>
      <c r="N788">
        <f>IFERROR(INDEX(PP_Grid[#Data],$DD788,12),0)</f>
        <v/>
      </c>
      <c r="O788">
        <f>IFERROR(INDEX(PP_Grid[#Data],$DD788,13),0)</f>
        <v/>
      </c>
      <c r="P788">
        <f>IFERROR(INDEX(PP_Grid[#Data],$DD788,14),0)</f>
        <v/>
      </c>
      <c r="Q788">
        <f>IFERROR(INDEX(PP_Grid[#Data],$DD788,15),0)</f>
        <v/>
      </c>
      <c r="R788">
        <f>IFERROR(INDEX(PP_Grid[#Data],$DD788,16),0)</f>
        <v/>
      </c>
      <c r="S788">
        <f>IFERROR(INDEX(PP_Grid[#Data],$DD788,17),0)</f>
        <v/>
      </c>
      <c r="T788">
        <f>IFERROR(INDEX(PP_Grid[#Data],$DD788,18),0)</f>
        <v/>
      </c>
      <c r="U788">
        <f>IFERROR(INDEX(PP_Grid[#Data],$DD788,19),0)</f>
        <v/>
      </c>
      <c r="V788">
        <f>IFERROR(INDEX(PP_Grid[#Data],$DD788,20),0)</f>
        <v/>
      </c>
      <c r="W788">
        <f>IFERROR(INDEX(PP_Grid[#Data],$DD788,21),0)</f>
        <v/>
      </c>
      <c r="X788">
        <f>IFERROR(INDEX(PP_Grid[#Data],$DD788,22),0)</f>
        <v/>
      </c>
      <c r="Y788">
        <f>IFERROR(INDEX(PP_Grid[#Data],$DD788,23),0)</f>
        <v/>
      </c>
      <c r="Z788">
        <f>IFERROR(INDEX(PP_Grid[#Data],$DD788,24),0)</f>
        <v/>
      </c>
      <c r="AA788">
        <f>IFERROR(INDEX(PP_Grid[#Data],$DD788,25),0)</f>
        <v/>
      </c>
      <c r="AB788">
        <f>IFERROR(INDEX(PP_Grid[#Data],$DD788,26),0)</f>
        <v/>
      </c>
      <c r="AC788">
        <f>IFERROR(INDEX(PP_Grid[#Data],$DD788,27),0)</f>
        <v/>
      </c>
      <c r="AD788">
        <f>IFERROR(INDEX(PP_Grid[#Data],$DD788,28),0)</f>
        <v/>
      </c>
      <c r="AE788">
        <f>IFERROR(INDEX(PP_Grid[#Data],$DD788,29),0)</f>
        <v/>
      </c>
      <c r="AF788">
        <f>IFERROR(INDEX(PP_Grid[#Data],$DD788,30),0)</f>
        <v/>
      </c>
      <c r="AG788">
        <f>IFERROR(INDEX(PP_Grid[#Data],$DD788,31),0)</f>
        <v/>
      </c>
      <c r="AH788">
        <f>IFERROR(INDEX(PP_Grid[#Data],$DD788,32),0)</f>
        <v/>
      </c>
      <c r="AI788">
        <f>IFERROR(INDEX(PP_Grid[#Data],$DD788,33),0)</f>
        <v/>
      </c>
      <c r="AJ788">
        <f>IFERROR(INDEX(PP_Grid[#Data],$DD788,34),0)</f>
        <v/>
      </c>
      <c r="AK788">
        <f>IFERROR(INDEX(PP_Grid[#Data],$DD788,35),0)</f>
        <v/>
      </c>
      <c r="AL788">
        <f>IFERROR(INDEX(PP_Grid[#Data],$DD788,36),0)</f>
        <v/>
      </c>
      <c r="AM788">
        <f>IFERROR(INDEX(PP_Grid[#Data],$DD788,37),0)</f>
        <v/>
      </c>
      <c r="AN788">
        <f>IFERROR(INDEX(PP_Grid[#Data],$DD788,38),0)</f>
        <v/>
      </c>
      <c r="AO788">
        <f>IFERROR(INDEX(PP_Grid[#Data],$DD788,39),0)</f>
        <v/>
      </c>
      <c r="AP788">
        <f>IFERROR(INDEX(PP_Grid[#Data],$DD788,40),0)</f>
        <v/>
      </c>
      <c r="AQ788">
        <f>IFERROR(INDEX(PP_Grid[#Data],$DD788,41),0)</f>
        <v/>
      </c>
      <c r="AR788">
        <f>IFERROR(INDEX(PP_Grid[#Data],$DD788,42),0)</f>
        <v/>
      </c>
      <c r="AS788">
        <f>IFERROR(INDEX(PP_Grid[#Data],$DD788,43),0)</f>
        <v/>
      </c>
      <c r="AT788">
        <f>IFERROR(INDEX(PP_Grid[#Data],$DD788,44),0)</f>
        <v/>
      </c>
      <c r="AU788">
        <f>IFERROR(INDEX(PP_Grid[#Data],$DD788,45),0)</f>
        <v/>
      </c>
      <c r="AV788">
        <f>IFERROR(INDEX(PP_Grid[#Data],$DD788,46),0)</f>
        <v/>
      </c>
      <c r="AW788">
        <f>IFERROR(INDEX(PP_Grid[#Data],$DD788,47),0)</f>
        <v/>
      </c>
      <c r="AX788">
        <f>IFERROR(INDEX(PP_Grid[#Data],$DD788,48),0)</f>
        <v/>
      </c>
      <c r="AY788">
        <f>IFERROR(INDEX(PP_Grid[#Data],$DD788,49),0)</f>
        <v/>
      </c>
      <c r="AZ788">
        <f>IFERROR(INDEX(PP_Grid[#Data],$DD788,50),0)</f>
        <v/>
      </c>
      <c r="BA788">
        <f>IFERROR(INDEX(PP_Grid[#Data],$DD788,51),0)</f>
        <v/>
      </c>
      <c r="BB788">
        <f>IFERROR(INDEX(PP_Grid[#Data],$DD788,52),0)</f>
        <v/>
      </c>
      <c r="BC788">
        <f>IFERROR(INDEX(PP_Grid[#Data],$DD788,53),0)</f>
        <v/>
      </c>
      <c r="BD788">
        <f>IFERROR(INDEX(PP_Grid[#Data],$DD788,54),0)</f>
        <v/>
      </c>
      <c r="BE788">
        <f>IFERROR(INDEX(PP_Grid[#Data],$DD788,55),0)</f>
        <v/>
      </c>
      <c r="BF788">
        <f>IFERROR(INDEX(PP_Grid[#Data],$DD788,56),0)</f>
        <v/>
      </c>
      <c r="BG788">
        <f>IFERROR(INDEX(PP_Grid[#Data],$DD788,57),0)</f>
        <v/>
      </c>
      <c r="BH788">
        <f>IFERROR(INDEX(PP_Grid[#Data],$DD788,58),0)</f>
        <v/>
      </c>
      <c r="BI788">
        <f>IFERROR(INDEX(PP_Grid[#Data],$DD788,59),0)</f>
        <v/>
      </c>
      <c r="BJ788">
        <f>IFERROR(INDEX(PP_Grid[#Data],$DD788,60),0)</f>
        <v/>
      </c>
      <c r="BK788">
        <f>IFERROR(INDEX(PP_Grid[#Data],$DD788,61),0)</f>
        <v/>
      </c>
      <c r="BL788">
        <f>IFERROR(INDEX(PP_Grid[#Data],$DD788,62),0)</f>
        <v/>
      </c>
      <c r="BM788">
        <f>IFERROR(INDEX(PP_Grid[#Data],$DD788,63),0)</f>
        <v/>
      </c>
      <c r="BN788">
        <f>IFERROR(INDEX(PP_Grid[#Data],$DD788,64),0)</f>
        <v/>
      </c>
      <c r="BO788">
        <f>IFERROR(INDEX(PP_Grid[#Data],$DD788,65),0)</f>
        <v/>
      </c>
      <c r="BP788">
        <f>IFERROR(INDEX(PP_Grid[#Data],$DD788,66),0)</f>
        <v/>
      </c>
      <c r="BQ788">
        <f>IFERROR(INDEX(PP_Grid[#Data],$DD788,67),0)</f>
        <v/>
      </c>
      <c r="BR788">
        <f>IFERROR(INDEX(PP_Grid[#Data],$DD788,68),0)</f>
        <v/>
      </c>
      <c r="BS788">
        <f>IFERROR(INDEX(PP_Grid[#Data],$DD788,69),0)</f>
        <v/>
      </c>
      <c r="BT788">
        <f>IFERROR(INDEX(PP_Grid[#Data],$DD788,70),0)</f>
        <v/>
      </c>
      <c r="BU788">
        <f>IFERROR(INDEX(PP_Grid[#Data],$DD788,71),0)</f>
        <v/>
      </c>
      <c r="BV788">
        <f>IFERROR(INDEX(PP_Grid[#Data],$DD788,72),0)</f>
        <v/>
      </c>
      <c r="BW788">
        <f>IFERROR(INDEX(PP_Grid[#Data],$DD788,73),0)</f>
        <v/>
      </c>
      <c r="BX788">
        <f>IFERROR(INDEX(PP_Grid[#Data],$DD788,74),0)</f>
        <v/>
      </c>
      <c r="BY788">
        <f>IFERROR(INDEX(PP_Grid[#Data],$DD788,75),0)</f>
        <v/>
      </c>
      <c r="BZ788">
        <f>IFERROR(INDEX(PP_Grid[#Data],$DD788,76),0)</f>
        <v/>
      </c>
      <c r="CA788">
        <f>IFERROR(INDEX(PP_Grid[#Data],$DD788,77),0)</f>
        <v/>
      </c>
      <c r="CB788">
        <f>IFERROR(INDEX(PP_Grid[#Data],$DD788,78),0)</f>
        <v/>
      </c>
      <c r="CC788">
        <f>IFERROR(INDEX(PP_Grid[#Data],$DD788,79),0)</f>
        <v/>
      </c>
      <c r="CD788">
        <f>IFERROR(INDEX(PP_Grid[#Data],$DD788,80),0)</f>
        <v/>
      </c>
      <c r="CE788">
        <f>IFERROR(INDEX(PP_Grid[#Data],$DD788,81),0)</f>
        <v/>
      </c>
      <c r="CF788">
        <f>IFERROR(INDEX(PP_Grid[#Data],$DD788,82),0)</f>
        <v/>
      </c>
      <c r="CG788">
        <f>IFERROR(INDEX(PP_Grid[#Data],$DD788,83),0)</f>
        <v/>
      </c>
      <c r="CH788">
        <f>IFERROR(INDEX(PP_Grid[#Data],$DD788,84),0)</f>
        <v/>
      </c>
      <c r="CI788">
        <f>IFERROR(INDEX(PP_Grid[#Data],$DD788,85),0)</f>
        <v/>
      </c>
      <c r="CJ788">
        <f>IFERROR(INDEX(PP_Grid[#Data],$DD788,86),0)</f>
        <v/>
      </c>
      <c r="CK788">
        <f>IFERROR(INDEX(PP_Grid[#Data],$DD788,87),0)</f>
        <v/>
      </c>
      <c r="CL788">
        <f>IFERROR(INDEX(PP_Grid[#Data],$DD788,88),0)</f>
        <v/>
      </c>
      <c r="CM788">
        <f>IFERROR(INDEX(PP_Grid[#Data],$DD788,89),0)</f>
        <v/>
      </c>
      <c r="CN788">
        <f>IFERROR(INDEX(PP_Grid[#Data],$DD788,90),0)</f>
        <v/>
      </c>
      <c r="CO788">
        <f>IFERROR(INDEX(PP_Grid[#Data],$DD788,91),0)</f>
        <v/>
      </c>
      <c r="CP788">
        <f>IFERROR(INDEX(PP_Grid[#Data],$DD788,92),0)</f>
        <v/>
      </c>
      <c r="CQ788">
        <f>IFERROR(INDEX(PP_Grid[#Data],$DD788,93),0)</f>
        <v/>
      </c>
      <c r="CR788">
        <f>IFERROR(INDEX(PP_Grid[#Data],$DD788,94),0)</f>
        <v/>
      </c>
      <c r="CS788">
        <f>IFERROR(INDEX(PP_Grid[#Data],$DD788,95),0)</f>
        <v/>
      </c>
      <c r="CT788">
        <f>IFERROR(INDEX(PP_Grid[#Data],$DD788,96),0)</f>
        <v/>
      </c>
      <c r="CU788">
        <f>IFERROR(INDEX(PP_Grid[#Data],$DD788,97),0)</f>
        <v/>
      </c>
      <c r="CV788">
        <f>IFERROR(INDEX(PP_Grid[#Data],$DD788,98),0)</f>
        <v/>
      </c>
      <c r="CW788">
        <f>IFERROR(INDEX(PP_Grid[#Data],$DD788,99),0)</f>
        <v/>
      </c>
      <c r="CX788">
        <f>IFERROR(INDEX(PP_Grid[#Data],$DD788,100),0)</f>
        <v/>
      </c>
      <c r="CY788">
        <f>IFERROR(INDEX(PP_Grid[#Data],$DD788,101),0)</f>
        <v/>
      </c>
      <c r="CZ788">
        <f>IFERROR(INDEX(PP_Grid[#Data],$DD788,102),0)</f>
        <v/>
      </c>
      <c r="DA788">
        <f>IFERROR(INDEX(PP_Grid[#Data],$DD788,103),0)</f>
        <v/>
      </c>
      <c r="DB788">
        <f>IFERROR(INDEX(PP_Grid[#Data],$DD788,104),0)</f>
        <v/>
      </c>
      <c r="DC788">
        <f>IFERROR(INDEX(PP_Grid[#Data],$DD788,105),0)</f>
        <v/>
      </c>
      <c r="DD788" s="12">
        <f>IFERROR(MATCH($B788,PP_Grid[Intermediate],0),99999)</f>
        <v/>
      </c>
    </row>
    <row r="789">
      <c r="B789" t="inlineStr">
        <is>
          <t>使用量(kg)</t>
        </is>
      </c>
      <c r="C789">
        <f>SUMIFS(M_BOM[RM_Qty_Per_Batch],M_BOM[Intermediate],$B788,M_BOM[Part Name],$A669)</f>
        <v/>
      </c>
      <c r="D789">
        <f>$C789*D788</f>
        <v/>
      </c>
      <c r="E789">
        <f>$C789*E788</f>
        <v/>
      </c>
      <c r="F789">
        <f>$C789*F788</f>
        <v/>
      </c>
      <c r="G789">
        <f>$C789*G788</f>
        <v/>
      </c>
      <c r="H789">
        <f>$C789*H788</f>
        <v/>
      </c>
      <c r="I789">
        <f>$C789*I788</f>
        <v/>
      </c>
      <c r="J789">
        <f>$C789*J788</f>
        <v/>
      </c>
      <c r="K789">
        <f>$C789*K788</f>
        <v/>
      </c>
      <c r="L789">
        <f>$C789*L788</f>
        <v/>
      </c>
      <c r="M789">
        <f>$C789*M788</f>
        <v/>
      </c>
      <c r="N789">
        <f>$C789*N788</f>
        <v/>
      </c>
      <c r="O789">
        <f>$C789*O788</f>
        <v/>
      </c>
      <c r="P789">
        <f>$C789*P788</f>
        <v/>
      </c>
      <c r="Q789">
        <f>$C789*Q788</f>
        <v/>
      </c>
      <c r="R789">
        <f>$C789*R788</f>
        <v/>
      </c>
      <c r="S789">
        <f>$C789*S788</f>
        <v/>
      </c>
      <c r="T789">
        <f>$C789*T788</f>
        <v/>
      </c>
      <c r="U789">
        <f>$C789*U788</f>
        <v/>
      </c>
      <c r="V789">
        <f>$C789*V788</f>
        <v/>
      </c>
      <c r="W789">
        <f>$C789*W788</f>
        <v/>
      </c>
      <c r="X789">
        <f>$C789*X788</f>
        <v/>
      </c>
      <c r="Y789">
        <f>$C789*Y788</f>
        <v/>
      </c>
      <c r="Z789">
        <f>$C789*Z788</f>
        <v/>
      </c>
      <c r="AA789">
        <f>$C789*AA788</f>
        <v/>
      </c>
      <c r="AB789">
        <f>$C789*AB788</f>
        <v/>
      </c>
      <c r="AC789">
        <f>$C789*AC788</f>
        <v/>
      </c>
      <c r="AD789">
        <f>$C789*AD788</f>
        <v/>
      </c>
      <c r="AE789">
        <f>$C789*AE788</f>
        <v/>
      </c>
      <c r="AF789">
        <f>$C789*AF788</f>
        <v/>
      </c>
      <c r="AG789">
        <f>$C789*AG788</f>
        <v/>
      </c>
      <c r="AH789">
        <f>$C789*AH788</f>
        <v/>
      </c>
      <c r="AI789">
        <f>$C789*AI788</f>
        <v/>
      </c>
      <c r="AJ789">
        <f>$C789*AJ788</f>
        <v/>
      </c>
      <c r="AK789">
        <f>$C789*AK788</f>
        <v/>
      </c>
      <c r="AL789">
        <f>$C789*AL788</f>
        <v/>
      </c>
      <c r="AM789">
        <f>$C789*AM788</f>
        <v/>
      </c>
      <c r="AN789">
        <f>$C789*AN788</f>
        <v/>
      </c>
      <c r="AO789">
        <f>$C789*AO788</f>
        <v/>
      </c>
      <c r="AP789">
        <f>$C789*AP788</f>
        <v/>
      </c>
      <c r="AQ789">
        <f>$C789*AQ788</f>
        <v/>
      </c>
      <c r="AR789">
        <f>$C789*AR788</f>
        <v/>
      </c>
      <c r="AS789">
        <f>$C789*AS788</f>
        <v/>
      </c>
      <c r="AT789">
        <f>$C789*AT788</f>
        <v/>
      </c>
      <c r="AU789">
        <f>$C789*AU788</f>
        <v/>
      </c>
      <c r="AV789">
        <f>$C789*AV788</f>
        <v/>
      </c>
      <c r="AW789">
        <f>$C789*AW788</f>
        <v/>
      </c>
      <c r="AX789">
        <f>$C789*AX788</f>
        <v/>
      </c>
      <c r="AY789">
        <f>$C789*AY788</f>
        <v/>
      </c>
      <c r="AZ789">
        <f>$C789*AZ788</f>
        <v/>
      </c>
      <c r="BA789">
        <f>$C789*BA788</f>
        <v/>
      </c>
      <c r="BB789">
        <f>$C789*BB788</f>
        <v/>
      </c>
      <c r="BC789">
        <f>$C789*BC788</f>
        <v/>
      </c>
      <c r="BD789">
        <f>$C789*BD788</f>
        <v/>
      </c>
      <c r="BE789">
        <f>$C789*BE788</f>
        <v/>
      </c>
      <c r="BF789">
        <f>$C789*BF788</f>
        <v/>
      </c>
      <c r="BG789">
        <f>$C789*BG788</f>
        <v/>
      </c>
      <c r="BH789">
        <f>$C789*BH788</f>
        <v/>
      </c>
      <c r="BI789">
        <f>$C789*BI788</f>
        <v/>
      </c>
      <c r="BJ789">
        <f>$C789*BJ788</f>
        <v/>
      </c>
      <c r="BK789">
        <f>$C789*BK788</f>
        <v/>
      </c>
      <c r="BL789">
        <f>$C789*BL788</f>
        <v/>
      </c>
      <c r="BM789">
        <f>$C789*BM788</f>
        <v/>
      </c>
      <c r="BN789">
        <f>$C789*BN788</f>
        <v/>
      </c>
      <c r="BO789">
        <f>$C789*BO788</f>
        <v/>
      </c>
      <c r="BP789">
        <f>$C789*BP788</f>
        <v/>
      </c>
      <c r="BQ789">
        <f>$C789*BQ788</f>
        <v/>
      </c>
      <c r="BR789">
        <f>$C789*BR788</f>
        <v/>
      </c>
      <c r="BS789">
        <f>$C789*BS788</f>
        <v/>
      </c>
      <c r="BT789">
        <f>$C789*BT788</f>
        <v/>
      </c>
      <c r="BU789">
        <f>$C789*BU788</f>
        <v/>
      </c>
      <c r="BV789">
        <f>$C789*BV788</f>
        <v/>
      </c>
      <c r="BW789">
        <f>$C789*BW788</f>
        <v/>
      </c>
      <c r="BX789">
        <f>$C789*BX788</f>
        <v/>
      </c>
      <c r="BY789">
        <f>$C789*BY788</f>
        <v/>
      </c>
      <c r="BZ789">
        <f>$C789*BZ788</f>
        <v/>
      </c>
      <c r="CA789">
        <f>$C789*CA788</f>
        <v/>
      </c>
      <c r="CB789">
        <f>$C789*CB788</f>
        <v/>
      </c>
      <c r="CC789">
        <f>$C789*CC788</f>
        <v/>
      </c>
      <c r="CD789">
        <f>$C789*CD788</f>
        <v/>
      </c>
      <c r="CE789">
        <f>$C789*CE788</f>
        <v/>
      </c>
      <c r="CF789">
        <f>$C789*CF788</f>
        <v/>
      </c>
      <c r="CG789">
        <f>$C789*CG788</f>
        <v/>
      </c>
      <c r="CH789">
        <f>$C789*CH788</f>
        <v/>
      </c>
      <c r="CI789">
        <f>$C789*CI788</f>
        <v/>
      </c>
      <c r="CJ789">
        <f>$C789*CJ788</f>
        <v/>
      </c>
      <c r="CK789">
        <f>$C789*CK788</f>
        <v/>
      </c>
      <c r="CL789">
        <f>$C789*CL788</f>
        <v/>
      </c>
      <c r="CM789">
        <f>$C789*CM788</f>
        <v/>
      </c>
      <c r="CN789">
        <f>$C789*CN788</f>
        <v/>
      </c>
      <c r="CO789">
        <f>$C789*CO788</f>
        <v/>
      </c>
      <c r="CP789">
        <f>$C789*CP788</f>
        <v/>
      </c>
      <c r="CQ789">
        <f>$C789*CQ788</f>
        <v/>
      </c>
      <c r="CR789">
        <f>$C789*CR788</f>
        <v/>
      </c>
      <c r="CS789">
        <f>$C789*CS788</f>
        <v/>
      </c>
      <c r="CT789">
        <f>$C789*CT788</f>
        <v/>
      </c>
      <c r="CU789">
        <f>$C789*CU788</f>
        <v/>
      </c>
      <c r="CV789">
        <f>$C789*CV788</f>
        <v/>
      </c>
      <c r="CW789">
        <f>$C789*CW788</f>
        <v/>
      </c>
      <c r="CX789">
        <f>$C789*CX788</f>
        <v/>
      </c>
      <c r="CY789">
        <f>$C789*CY788</f>
        <v/>
      </c>
      <c r="CZ789">
        <f>$C789*CZ788</f>
        <v/>
      </c>
      <c r="DA789">
        <f>$C789*DA788</f>
        <v/>
      </c>
      <c r="DB789">
        <f>$C789*DB788</f>
        <v/>
      </c>
      <c r="DC789">
        <f>$C789*DC788</f>
        <v/>
      </c>
    </row>
    <row r="790">
      <c r="B790" t="inlineStr">
        <is>
          <t>VSP-601</t>
        </is>
      </c>
      <c r="C790" t="inlineStr">
        <is>
          <t>No. of batches</t>
        </is>
      </c>
      <c r="D790">
        <f>IFERROR(INDEX(PP_Grid[#Data],$DD790,2),0)</f>
        <v/>
      </c>
      <c r="E790">
        <f>IFERROR(INDEX(PP_Grid[#Data],$DD790,3),0)</f>
        <v/>
      </c>
      <c r="F790">
        <f>IFERROR(INDEX(PP_Grid[#Data],$DD790,4),0)</f>
        <v/>
      </c>
      <c r="G790">
        <f>IFERROR(INDEX(PP_Grid[#Data],$DD790,5),0)</f>
        <v/>
      </c>
      <c r="H790">
        <f>IFERROR(INDEX(PP_Grid[#Data],$DD790,6),0)</f>
        <v/>
      </c>
      <c r="I790">
        <f>IFERROR(INDEX(PP_Grid[#Data],$DD790,7),0)</f>
        <v/>
      </c>
      <c r="J790">
        <f>IFERROR(INDEX(PP_Grid[#Data],$DD790,8),0)</f>
        <v/>
      </c>
      <c r="K790">
        <f>IFERROR(INDEX(PP_Grid[#Data],$DD790,9),0)</f>
        <v/>
      </c>
      <c r="L790">
        <f>IFERROR(INDEX(PP_Grid[#Data],$DD790,10),0)</f>
        <v/>
      </c>
      <c r="M790">
        <f>IFERROR(INDEX(PP_Grid[#Data],$DD790,11),0)</f>
        <v/>
      </c>
      <c r="N790">
        <f>IFERROR(INDEX(PP_Grid[#Data],$DD790,12),0)</f>
        <v/>
      </c>
      <c r="O790">
        <f>IFERROR(INDEX(PP_Grid[#Data],$DD790,13),0)</f>
        <v/>
      </c>
      <c r="P790">
        <f>IFERROR(INDEX(PP_Grid[#Data],$DD790,14),0)</f>
        <v/>
      </c>
      <c r="Q790">
        <f>IFERROR(INDEX(PP_Grid[#Data],$DD790,15),0)</f>
        <v/>
      </c>
      <c r="R790">
        <f>IFERROR(INDEX(PP_Grid[#Data],$DD790,16),0)</f>
        <v/>
      </c>
      <c r="S790">
        <f>IFERROR(INDEX(PP_Grid[#Data],$DD790,17),0)</f>
        <v/>
      </c>
      <c r="T790">
        <f>IFERROR(INDEX(PP_Grid[#Data],$DD790,18),0)</f>
        <v/>
      </c>
      <c r="U790">
        <f>IFERROR(INDEX(PP_Grid[#Data],$DD790,19),0)</f>
        <v/>
      </c>
      <c r="V790">
        <f>IFERROR(INDEX(PP_Grid[#Data],$DD790,20),0)</f>
        <v/>
      </c>
      <c r="W790">
        <f>IFERROR(INDEX(PP_Grid[#Data],$DD790,21),0)</f>
        <v/>
      </c>
      <c r="X790">
        <f>IFERROR(INDEX(PP_Grid[#Data],$DD790,22),0)</f>
        <v/>
      </c>
      <c r="Y790">
        <f>IFERROR(INDEX(PP_Grid[#Data],$DD790,23),0)</f>
        <v/>
      </c>
      <c r="Z790">
        <f>IFERROR(INDEX(PP_Grid[#Data],$DD790,24),0)</f>
        <v/>
      </c>
      <c r="AA790">
        <f>IFERROR(INDEX(PP_Grid[#Data],$DD790,25),0)</f>
        <v/>
      </c>
      <c r="AB790">
        <f>IFERROR(INDEX(PP_Grid[#Data],$DD790,26),0)</f>
        <v/>
      </c>
      <c r="AC790">
        <f>IFERROR(INDEX(PP_Grid[#Data],$DD790,27),0)</f>
        <v/>
      </c>
      <c r="AD790">
        <f>IFERROR(INDEX(PP_Grid[#Data],$DD790,28),0)</f>
        <v/>
      </c>
      <c r="AE790">
        <f>IFERROR(INDEX(PP_Grid[#Data],$DD790,29),0)</f>
        <v/>
      </c>
      <c r="AF790">
        <f>IFERROR(INDEX(PP_Grid[#Data],$DD790,30),0)</f>
        <v/>
      </c>
      <c r="AG790">
        <f>IFERROR(INDEX(PP_Grid[#Data],$DD790,31),0)</f>
        <v/>
      </c>
      <c r="AH790">
        <f>IFERROR(INDEX(PP_Grid[#Data],$DD790,32),0)</f>
        <v/>
      </c>
      <c r="AI790">
        <f>IFERROR(INDEX(PP_Grid[#Data],$DD790,33),0)</f>
        <v/>
      </c>
      <c r="AJ790">
        <f>IFERROR(INDEX(PP_Grid[#Data],$DD790,34),0)</f>
        <v/>
      </c>
      <c r="AK790">
        <f>IFERROR(INDEX(PP_Grid[#Data],$DD790,35),0)</f>
        <v/>
      </c>
      <c r="AL790">
        <f>IFERROR(INDEX(PP_Grid[#Data],$DD790,36),0)</f>
        <v/>
      </c>
      <c r="AM790">
        <f>IFERROR(INDEX(PP_Grid[#Data],$DD790,37),0)</f>
        <v/>
      </c>
      <c r="AN790">
        <f>IFERROR(INDEX(PP_Grid[#Data],$DD790,38),0)</f>
        <v/>
      </c>
      <c r="AO790">
        <f>IFERROR(INDEX(PP_Grid[#Data],$DD790,39),0)</f>
        <v/>
      </c>
      <c r="AP790">
        <f>IFERROR(INDEX(PP_Grid[#Data],$DD790,40),0)</f>
        <v/>
      </c>
      <c r="AQ790">
        <f>IFERROR(INDEX(PP_Grid[#Data],$DD790,41),0)</f>
        <v/>
      </c>
      <c r="AR790">
        <f>IFERROR(INDEX(PP_Grid[#Data],$DD790,42),0)</f>
        <v/>
      </c>
      <c r="AS790">
        <f>IFERROR(INDEX(PP_Grid[#Data],$DD790,43),0)</f>
        <v/>
      </c>
      <c r="AT790">
        <f>IFERROR(INDEX(PP_Grid[#Data],$DD790,44),0)</f>
        <v/>
      </c>
      <c r="AU790">
        <f>IFERROR(INDEX(PP_Grid[#Data],$DD790,45),0)</f>
        <v/>
      </c>
      <c r="AV790">
        <f>IFERROR(INDEX(PP_Grid[#Data],$DD790,46),0)</f>
        <v/>
      </c>
      <c r="AW790">
        <f>IFERROR(INDEX(PP_Grid[#Data],$DD790,47),0)</f>
        <v/>
      </c>
      <c r="AX790">
        <f>IFERROR(INDEX(PP_Grid[#Data],$DD790,48),0)</f>
        <v/>
      </c>
      <c r="AY790">
        <f>IFERROR(INDEX(PP_Grid[#Data],$DD790,49),0)</f>
        <v/>
      </c>
      <c r="AZ790">
        <f>IFERROR(INDEX(PP_Grid[#Data],$DD790,50),0)</f>
        <v/>
      </c>
      <c r="BA790">
        <f>IFERROR(INDEX(PP_Grid[#Data],$DD790,51),0)</f>
        <v/>
      </c>
      <c r="BB790">
        <f>IFERROR(INDEX(PP_Grid[#Data],$DD790,52),0)</f>
        <v/>
      </c>
      <c r="BC790">
        <f>IFERROR(INDEX(PP_Grid[#Data],$DD790,53),0)</f>
        <v/>
      </c>
      <c r="BD790">
        <f>IFERROR(INDEX(PP_Grid[#Data],$DD790,54),0)</f>
        <v/>
      </c>
      <c r="BE790">
        <f>IFERROR(INDEX(PP_Grid[#Data],$DD790,55),0)</f>
        <v/>
      </c>
      <c r="BF790">
        <f>IFERROR(INDEX(PP_Grid[#Data],$DD790,56),0)</f>
        <v/>
      </c>
      <c r="BG790">
        <f>IFERROR(INDEX(PP_Grid[#Data],$DD790,57),0)</f>
        <v/>
      </c>
      <c r="BH790">
        <f>IFERROR(INDEX(PP_Grid[#Data],$DD790,58),0)</f>
        <v/>
      </c>
      <c r="BI790">
        <f>IFERROR(INDEX(PP_Grid[#Data],$DD790,59),0)</f>
        <v/>
      </c>
      <c r="BJ790">
        <f>IFERROR(INDEX(PP_Grid[#Data],$DD790,60),0)</f>
        <v/>
      </c>
      <c r="BK790">
        <f>IFERROR(INDEX(PP_Grid[#Data],$DD790,61),0)</f>
        <v/>
      </c>
      <c r="BL790">
        <f>IFERROR(INDEX(PP_Grid[#Data],$DD790,62),0)</f>
        <v/>
      </c>
      <c r="BM790">
        <f>IFERROR(INDEX(PP_Grid[#Data],$DD790,63),0)</f>
        <v/>
      </c>
      <c r="BN790">
        <f>IFERROR(INDEX(PP_Grid[#Data],$DD790,64),0)</f>
        <v/>
      </c>
      <c r="BO790">
        <f>IFERROR(INDEX(PP_Grid[#Data],$DD790,65),0)</f>
        <v/>
      </c>
      <c r="BP790">
        <f>IFERROR(INDEX(PP_Grid[#Data],$DD790,66),0)</f>
        <v/>
      </c>
      <c r="BQ790">
        <f>IFERROR(INDEX(PP_Grid[#Data],$DD790,67),0)</f>
        <v/>
      </c>
      <c r="BR790">
        <f>IFERROR(INDEX(PP_Grid[#Data],$DD790,68),0)</f>
        <v/>
      </c>
      <c r="BS790">
        <f>IFERROR(INDEX(PP_Grid[#Data],$DD790,69),0)</f>
        <v/>
      </c>
      <c r="BT790">
        <f>IFERROR(INDEX(PP_Grid[#Data],$DD790,70),0)</f>
        <v/>
      </c>
      <c r="BU790">
        <f>IFERROR(INDEX(PP_Grid[#Data],$DD790,71),0)</f>
        <v/>
      </c>
      <c r="BV790">
        <f>IFERROR(INDEX(PP_Grid[#Data],$DD790,72),0)</f>
        <v/>
      </c>
      <c r="BW790">
        <f>IFERROR(INDEX(PP_Grid[#Data],$DD790,73),0)</f>
        <v/>
      </c>
      <c r="BX790">
        <f>IFERROR(INDEX(PP_Grid[#Data],$DD790,74),0)</f>
        <v/>
      </c>
      <c r="BY790">
        <f>IFERROR(INDEX(PP_Grid[#Data],$DD790,75),0)</f>
        <v/>
      </c>
      <c r="BZ790">
        <f>IFERROR(INDEX(PP_Grid[#Data],$DD790,76),0)</f>
        <v/>
      </c>
      <c r="CA790">
        <f>IFERROR(INDEX(PP_Grid[#Data],$DD790,77),0)</f>
        <v/>
      </c>
      <c r="CB790">
        <f>IFERROR(INDEX(PP_Grid[#Data],$DD790,78),0)</f>
        <v/>
      </c>
      <c r="CC790">
        <f>IFERROR(INDEX(PP_Grid[#Data],$DD790,79),0)</f>
        <v/>
      </c>
      <c r="CD790">
        <f>IFERROR(INDEX(PP_Grid[#Data],$DD790,80),0)</f>
        <v/>
      </c>
      <c r="CE790">
        <f>IFERROR(INDEX(PP_Grid[#Data],$DD790,81),0)</f>
        <v/>
      </c>
      <c r="CF790">
        <f>IFERROR(INDEX(PP_Grid[#Data],$DD790,82),0)</f>
        <v/>
      </c>
      <c r="CG790">
        <f>IFERROR(INDEX(PP_Grid[#Data],$DD790,83),0)</f>
        <v/>
      </c>
      <c r="CH790">
        <f>IFERROR(INDEX(PP_Grid[#Data],$DD790,84),0)</f>
        <v/>
      </c>
      <c r="CI790">
        <f>IFERROR(INDEX(PP_Grid[#Data],$DD790,85),0)</f>
        <v/>
      </c>
      <c r="CJ790">
        <f>IFERROR(INDEX(PP_Grid[#Data],$DD790,86),0)</f>
        <v/>
      </c>
      <c r="CK790">
        <f>IFERROR(INDEX(PP_Grid[#Data],$DD790,87),0)</f>
        <v/>
      </c>
      <c r="CL790">
        <f>IFERROR(INDEX(PP_Grid[#Data],$DD790,88),0)</f>
        <v/>
      </c>
      <c r="CM790">
        <f>IFERROR(INDEX(PP_Grid[#Data],$DD790,89),0)</f>
        <v/>
      </c>
      <c r="CN790">
        <f>IFERROR(INDEX(PP_Grid[#Data],$DD790,90),0)</f>
        <v/>
      </c>
      <c r="CO790">
        <f>IFERROR(INDEX(PP_Grid[#Data],$DD790,91),0)</f>
        <v/>
      </c>
      <c r="CP790">
        <f>IFERROR(INDEX(PP_Grid[#Data],$DD790,92),0)</f>
        <v/>
      </c>
      <c r="CQ790">
        <f>IFERROR(INDEX(PP_Grid[#Data],$DD790,93),0)</f>
        <v/>
      </c>
      <c r="CR790">
        <f>IFERROR(INDEX(PP_Grid[#Data],$DD790,94),0)</f>
        <v/>
      </c>
      <c r="CS790">
        <f>IFERROR(INDEX(PP_Grid[#Data],$DD790,95),0)</f>
        <v/>
      </c>
      <c r="CT790">
        <f>IFERROR(INDEX(PP_Grid[#Data],$DD790,96),0)</f>
        <v/>
      </c>
      <c r="CU790">
        <f>IFERROR(INDEX(PP_Grid[#Data],$DD790,97),0)</f>
        <v/>
      </c>
      <c r="CV790">
        <f>IFERROR(INDEX(PP_Grid[#Data],$DD790,98),0)</f>
        <v/>
      </c>
      <c r="CW790">
        <f>IFERROR(INDEX(PP_Grid[#Data],$DD790,99),0)</f>
        <v/>
      </c>
      <c r="CX790">
        <f>IFERROR(INDEX(PP_Grid[#Data],$DD790,100),0)</f>
        <v/>
      </c>
      <c r="CY790">
        <f>IFERROR(INDEX(PP_Grid[#Data],$DD790,101),0)</f>
        <v/>
      </c>
      <c r="CZ790">
        <f>IFERROR(INDEX(PP_Grid[#Data],$DD790,102),0)</f>
        <v/>
      </c>
      <c r="DA790">
        <f>IFERROR(INDEX(PP_Grid[#Data],$DD790,103),0)</f>
        <v/>
      </c>
      <c r="DB790">
        <f>IFERROR(INDEX(PP_Grid[#Data],$DD790,104),0)</f>
        <v/>
      </c>
      <c r="DC790">
        <f>IFERROR(INDEX(PP_Grid[#Data],$DD790,105),0)</f>
        <v/>
      </c>
      <c r="DD790" s="12">
        <f>IFERROR(MATCH($B790,PP_Grid[Intermediate],0),99999)</f>
        <v/>
      </c>
    </row>
    <row r="791">
      <c r="B791" t="inlineStr">
        <is>
          <t>使用量(kg)</t>
        </is>
      </c>
      <c r="C791">
        <f>SUMIFS(M_BOM[RM_Qty_Per_Batch],M_BOM[Intermediate],$B790,M_BOM[Part Name],$A669)</f>
        <v/>
      </c>
      <c r="D791">
        <f>$C791*D790</f>
        <v/>
      </c>
      <c r="E791">
        <f>$C791*E790</f>
        <v/>
      </c>
      <c r="F791">
        <f>$C791*F790</f>
        <v/>
      </c>
      <c r="G791">
        <f>$C791*G790</f>
        <v/>
      </c>
      <c r="H791">
        <f>$C791*H790</f>
        <v/>
      </c>
      <c r="I791">
        <f>$C791*I790</f>
        <v/>
      </c>
      <c r="J791">
        <f>$C791*J790</f>
        <v/>
      </c>
      <c r="K791">
        <f>$C791*K790</f>
        <v/>
      </c>
      <c r="L791">
        <f>$C791*L790</f>
        <v/>
      </c>
      <c r="M791">
        <f>$C791*M790</f>
        <v/>
      </c>
      <c r="N791">
        <f>$C791*N790</f>
        <v/>
      </c>
      <c r="O791">
        <f>$C791*O790</f>
        <v/>
      </c>
      <c r="P791">
        <f>$C791*P790</f>
        <v/>
      </c>
      <c r="Q791">
        <f>$C791*Q790</f>
        <v/>
      </c>
      <c r="R791">
        <f>$C791*R790</f>
        <v/>
      </c>
      <c r="S791">
        <f>$C791*S790</f>
        <v/>
      </c>
      <c r="T791">
        <f>$C791*T790</f>
        <v/>
      </c>
      <c r="U791">
        <f>$C791*U790</f>
        <v/>
      </c>
      <c r="V791">
        <f>$C791*V790</f>
        <v/>
      </c>
      <c r="W791">
        <f>$C791*W790</f>
        <v/>
      </c>
      <c r="X791">
        <f>$C791*X790</f>
        <v/>
      </c>
      <c r="Y791">
        <f>$C791*Y790</f>
        <v/>
      </c>
      <c r="Z791">
        <f>$C791*Z790</f>
        <v/>
      </c>
      <c r="AA791">
        <f>$C791*AA790</f>
        <v/>
      </c>
      <c r="AB791">
        <f>$C791*AB790</f>
        <v/>
      </c>
      <c r="AC791">
        <f>$C791*AC790</f>
        <v/>
      </c>
      <c r="AD791">
        <f>$C791*AD790</f>
        <v/>
      </c>
      <c r="AE791">
        <f>$C791*AE790</f>
        <v/>
      </c>
      <c r="AF791">
        <f>$C791*AF790</f>
        <v/>
      </c>
      <c r="AG791">
        <f>$C791*AG790</f>
        <v/>
      </c>
      <c r="AH791">
        <f>$C791*AH790</f>
        <v/>
      </c>
      <c r="AI791">
        <f>$C791*AI790</f>
        <v/>
      </c>
      <c r="AJ791">
        <f>$C791*AJ790</f>
        <v/>
      </c>
      <c r="AK791">
        <f>$C791*AK790</f>
        <v/>
      </c>
      <c r="AL791">
        <f>$C791*AL790</f>
        <v/>
      </c>
      <c r="AM791">
        <f>$C791*AM790</f>
        <v/>
      </c>
      <c r="AN791">
        <f>$C791*AN790</f>
        <v/>
      </c>
      <c r="AO791">
        <f>$C791*AO790</f>
        <v/>
      </c>
      <c r="AP791">
        <f>$C791*AP790</f>
        <v/>
      </c>
      <c r="AQ791">
        <f>$C791*AQ790</f>
        <v/>
      </c>
      <c r="AR791">
        <f>$C791*AR790</f>
        <v/>
      </c>
      <c r="AS791">
        <f>$C791*AS790</f>
        <v/>
      </c>
      <c r="AT791">
        <f>$C791*AT790</f>
        <v/>
      </c>
      <c r="AU791">
        <f>$C791*AU790</f>
        <v/>
      </c>
      <c r="AV791">
        <f>$C791*AV790</f>
        <v/>
      </c>
      <c r="AW791">
        <f>$C791*AW790</f>
        <v/>
      </c>
      <c r="AX791">
        <f>$C791*AX790</f>
        <v/>
      </c>
      <c r="AY791">
        <f>$C791*AY790</f>
        <v/>
      </c>
      <c r="AZ791">
        <f>$C791*AZ790</f>
        <v/>
      </c>
      <c r="BA791">
        <f>$C791*BA790</f>
        <v/>
      </c>
      <c r="BB791">
        <f>$C791*BB790</f>
        <v/>
      </c>
      <c r="BC791">
        <f>$C791*BC790</f>
        <v/>
      </c>
      <c r="BD791">
        <f>$C791*BD790</f>
        <v/>
      </c>
      <c r="BE791">
        <f>$C791*BE790</f>
        <v/>
      </c>
      <c r="BF791">
        <f>$C791*BF790</f>
        <v/>
      </c>
      <c r="BG791">
        <f>$C791*BG790</f>
        <v/>
      </c>
      <c r="BH791">
        <f>$C791*BH790</f>
        <v/>
      </c>
      <c r="BI791">
        <f>$C791*BI790</f>
        <v/>
      </c>
      <c r="BJ791">
        <f>$C791*BJ790</f>
        <v/>
      </c>
      <c r="BK791">
        <f>$C791*BK790</f>
        <v/>
      </c>
      <c r="BL791">
        <f>$C791*BL790</f>
        <v/>
      </c>
      <c r="BM791">
        <f>$C791*BM790</f>
        <v/>
      </c>
      <c r="BN791">
        <f>$C791*BN790</f>
        <v/>
      </c>
      <c r="BO791">
        <f>$C791*BO790</f>
        <v/>
      </c>
      <c r="BP791">
        <f>$C791*BP790</f>
        <v/>
      </c>
      <c r="BQ791">
        <f>$C791*BQ790</f>
        <v/>
      </c>
      <c r="BR791">
        <f>$C791*BR790</f>
        <v/>
      </c>
      <c r="BS791">
        <f>$C791*BS790</f>
        <v/>
      </c>
      <c r="BT791">
        <f>$C791*BT790</f>
        <v/>
      </c>
      <c r="BU791">
        <f>$C791*BU790</f>
        <v/>
      </c>
      <c r="BV791">
        <f>$C791*BV790</f>
        <v/>
      </c>
      <c r="BW791">
        <f>$C791*BW790</f>
        <v/>
      </c>
      <c r="BX791">
        <f>$C791*BX790</f>
        <v/>
      </c>
      <c r="BY791">
        <f>$C791*BY790</f>
        <v/>
      </c>
      <c r="BZ791">
        <f>$C791*BZ790</f>
        <v/>
      </c>
      <c r="CA791">
        <f>$C791*CA790</f>
        <v/>
      </c>
      <c r="CB791">
        <f>$C791*CB790</f>
        <v/>
      </c>
      <c r="CC791">
        <f>$C791*CC790</f>
        <v/>
      </c>
      <c r="CD791">
        <f>$C791*CD790</f>
        <v/>
      </c>
      <c r="CE791">
        <f>$C791*CE790</f>
        <v/>
      </c>
      <c r="CF791">
        <f>$C791*CF790</f>
        <v/>
      </c>
      <c r="CG791">
        <f>$C791*CG790</f>
        <v/>
      </c>
      <c r="CH791">
        <f>$C791*CH790</f>
        <v/>
      </c>
      <c r="CI791">
        <f>$C791*CI790</f>
        <v/>
      </c>
      <c r="CJ791">
        <f>$C791*CJ790</f>
        <v/>
      </c>
      <c r="CK791">
        <f>$C791*CK790</f>
        <v/>
      </c>
      <c r="CL791">
        <f>$C791*CL790</f>
        <v/>
      </c>
      <c r="CM791">
        <f>$C791*CM790</f>
        <v/>
      </c>
      <c r="CN791">
        <f>$C791*CN790</f>
        <v/>
      </c>
      <c r="CO791">
        <f>$C791*CO790</f>
        <v/>
      </c>
      <c r="CP791">
        <f>$C791*CP790</f>
        <v/>
      </c>
      <c r="CQ791">
        <f>$C791*CQ790</f>
        <v/>
      </c>
      <c r="CR791">
        <f>$C791*CR790</f>
        <v/>
      </c>
      <c r="CS791">
        <f>$C791*CS790</f>
        <v/>
      </c>
      <c r="CT791">
        <f>$C791*CT790</f>
        <v/>
      </c>
      <c r="CU791">
        <f>$C791*CU790</f>
        <v/>
      </c>
      <c r="CV791">
        <f>$C791*CV790</f>
        <v/>
      </c>
      <c r="CW791">
        <f>$C791*CW790</f>
        <v/>
      </c>
      <c r="CX791">
        <f>$C791*CX790</f>
        <v/>
      </c>
      <c r="CY791">
        <f>$C791*CY790</f>
        <v/>
      </c>
      <c r="CZ791">
        <f>$C791*CZ790</f>
        <v/>
      </c>
      <c r="DA791">
        <f>$C791*DA790</f>
        <v/>
      </c>
      <c r="DB791">
        <f>$C791*DB790</f>
        <v/>
      </c>
      <c r="DC791">
        <f>$C791*DC790</f>
        <v/>
      </c>
    </row>
    <row r="792">
      <c r="B792" t="inlineStr">
        <is>
          <t>VSP-602</t>
        </is>
      </c>
      <c r="C792" t="inlineStr">
        <is>
          <t>No. of batches</t>
        </is>
      </c>
      <c r="D792">
        <f>IFERROR(INDEX(PP_Grid[#Data],$DD792,2),0)</f>
        <v/>
      </c>
      <c r="E792">
        <f>IFERROR(INDEX(PP_Grid[#Data],$DD792,3),0)</f>
        <v/>
      </c>
      <c r="F792">
        <f>IFERROR(INDEX(PP_Grid[#Data],$DD792,4),0)</f>
        <v/>
      </c>
      <c r="G792">
        <f>IFERROR(INDEX(PP_Grid[#Data],$DD792,5),0)</f>
        <v/>
      </c>
      <c r="H792">
        <f>IFERROR(INDEX(PP_Grid[#Data],$DD792,6),0)</f>
        <v/>
      </c>
      <c r="I792">
        <f>IFERROR(INDEX(PP_Grid[#Data],$DD792,7),0)</f>
        <v/>
      </c>
      <c r="J792">
        <f>IFERROR(INDEX(PP_Grid[#Data],$DD792,8),0)</f>
        <v/>
      </c>
      <c r="K792">
        <f>IFERROR(INDEX(PP_Grid[#Data],$DD792,9),0)</f>
        <v/>
      </c>
      <c r="L792">
        <f>IFERROR(INDEX(PP_Grid[#Data],$DD792,10),0)</f>
        <v/>
      </c>
      <c r="M792">
        <f>IFERROR(INDEX(PP_Grid[#Data],$DD792,11),0)</f>
        <v/>
      </c>
      <c r="N792">
        <f>IFERROR(INDEX(PP_Grid[#Data],$DD792,12),0)</f>
        <v/>
      </c>
      <c r="O792">
        <f>IFERROR(INDEX(PP_Grid[#Data],$DD792,13),0)</f>
        <v/>
      </c>
      <c r="P792">
        <f>IFERROR(INDEX(PP_Grid[#Data],$DD792,14),0)</f>
        <v/>
      </c>
      <c r="Q792">
        <f>IFERROR(INDEX(PP_Grid[#Data],$DD792,15),0)</f>
        <v/>
      </c>
      <c r="R792">
        <f>IFERROR(INDEX(PP_Grid[#Data],$DD792,16),0)</f>
        <v/>
      </c>
      <c r="S792">
        <f>IFERROR(INDEX(PP_Grid[#Data],$DD792,17),0)</f>
        <v/>
      </c>
      <c r="T792">
        <f>IFERROR(INDEX(PP_Grid[#Data],$DD792,18),0)</f>
        <v/>
      </c>
      <c r="U792">
        <f>IFERROR(INDEX(PP_Grid[#Data],$DD792,19),0)</f>
        <v/>
      </c>
      <c r="V792">
        <f>IFERROR(INDEX(PP_Grid[#Data],$DD792,20),0)</f>
        <v/>
      </c>
      <c r="W792">
        <f>IFERROR(INDEX(PP_Grid[#Data],$DD792,21),0)</f>
        <v/>
      </c>
      <c r="X792">
        <f>IFERROR(INDEX(PP_Grid[#Data],$DD792,22),0)</f>
        <v/>
      </c>
      <c r="Y792">
        <f>IFERROR(INDEX(PP_Grid[#Data],$DD792,23),0)</f>
        <v/>
      </c>
      <c r="Z792">
        <f>IFERROR(INDEX(PP_Grid[#Data],$DD792,24),0)</f>
        <v/>
      </c>
      <c r="AA792">
        <f>IFERROR(INDEX(PP_Grid[#Data],$DD792,25),0)</f>
        <v/>
      </c>
      <c r="AB792">
        <f>IFERROR(INDEX(PP_Grid[#Data],$DD792,26),0)</f>
        <v/>
      </c>
      <c r="AC792">
        <f>IFERROR(INDEX(PP_Grid[#Data],$DD792,27),0)</f>
        <v/>
      </c>
      <c r="AD792">
        <f>IFERROR(INDEX(PP_Grid[#Data],$DD792,28),0)</f>
        <v/>
      </c>
      <c r="AE792">
        <f>IFERROR(INDEX(PP_Grid[#Data],$DD792,29),0)</f>
        <v/>
      </c>
      <c r="AF792">
        <f>IFERROR(INDEX(PP_Grid[#Data],$DD792,30),0)</f>
        <v/>
      </c>
      <c r="AG792">
        <f>IFERROR(INDEX(PP_Grid[#Data],$DD792,31),0)</f>
        <v/>
      </c>
      <c r="AH792">
        <f>IFERROR(INDEX(PP_Grid[#Data],$DD792,32),0)</f>
        <v/>
      </c>
      <c r="AI792">
        <f>IFERROR(INDEX(PP_Grid[#Data],$DD792,33),0)</f>
        <v/>
      </c>
      <c r="AJ792">
        <f>IFERROR(INDEX(PP_Grid[#Data],$DD792,34),0)</f>
        <v/>
      </c>
      <c r="AK792">
        <f>IFERROR(INDEX(PP_Grid[#Data],$DD792,35),0)</f>
        <v/>
      </c>
      <c r="AL792">
        <f>IFERROR(INDEX(PP_Grid[#Data],$DD792,36),0)</f>
        <v/>
      </c>
      <c r="AM792">
        <f>IFERROR(INDEX(PP_Grid[#Data],$DD792,37),0)</f>
        <v/>
      </c>
      <c r="AN792">
        <f>IFERROR(INDEX(PP_Grid[#Data],$DD792,38),0)</f>
        <v/>
      </c>
      <c r="AO792">
        <f>IFERROR(INDEX(PP_Grid[#Data],$DD792,39),0)</f>
        <v/>
      </c>
      <c r="AP792">
        <f>IFERROR(INDEX(PP_Grid[#Data],$DD792,40),0)</f>
        <v/>
      </c>
      <c r="AQ792">
        <f>IFERROR(INDEX(PP_Grid[#Data],$DD792,41),0)</f>
        <v/>
      </c>
      <c r="AR792">
        <f>IFERROR(INDEX(PP_Grid[#Data],$DD792,42),0)</f>
        <v/>
      </c>
      <c r="AS792">
        <f>IFERROR(INDEX(PP_Grid[#Data],$DD792,43),0)</f>
        <v/>
      </c>
      <c r="AT792">
        <f>IFERROR(INDEX(PP_Grid[#Data],$DD792,44),0)</f>
        <v/>
      </c>
      <c r="AU792">
        <f>IFERROR(INDEX(PP_Grid[#Data],$DD792,45),0)</f>
        <v/>
      </c>
      <c r="AV792">
        <f>IFERROR(INDEX(PP_Grid[#Data],$DD792,46),0)</f>
        <v/>
      </c>
      <c r="AW792">
        <f>IFERROR(INDEX(PP_Grid[#Data],$DD792,47),0)</f>
        <v/>
      </c>
      <c r="AX792">
        <f>IFERROR(INDEX(PP_Grid[#Data],$DD792,48),0)</f>
        <v/>
      </c>
      <c r="AY792">
        <f>IFERROR(INDEX(PP_Grid[#Data],$DD792,49),0)</f>
        <v/>
      </c>
      <c r="AZ792">
        <f>IFERROR(INDEX(PP_Grid[#Data],$DD792,50),0)</f>
        <v/>
      </c>
      <c r="BA792">
        <f>IFERROR(INDEX(PP_Grid[#Data],$DD792,51),0)</f>
        <v/>
      </c>
      <c r="BB792">
        <f>IFERROR(INDEX(PP_Grid[#Data],$DD792,52),0)</f>
        <v/>
      </c>
      <c r="BC792">
        <f>IFERROR(INDEX(PP_Grid[#Data],$DD792,53),0)</f>
        <v/>
      </c>
      <c r="BD792">
        <f>IFERROR(INDEX(PP_Grid[#Data],$DD792,54),0)</f>
        <v/>
      </c>
      <c r="BE792">
        <f>IFERROR(INDEX(PP_Grid[#Data],$DD792,55),0)</f>
        <v/>
      </c>
      <c r="BF792">
        <f>IFERROR(INDEX(PP_Grid[#Data],$DD792,56),0)</f>
        <v/>
      </c>
      <c r="BG792">
        <f>IFERROR(INDEX(PP_Grid[#Data],$DD792,57),0)</f>
        <v/>
      </c>
      <c r="BH792">
        <f>IFERROR(INDEX(PP_Grid[#Data],$DD792,58),0)</f>
        <v/>
      </c>
      <c r="BI792">
        <f>IFERROR(INDEX(PP_Grid[#Data],$DD792,59),0)</f>
        <v/>
      </c>
      <c r="BJ792">
        <f>IFERROR(INDEX(PP_Grid[#Data],$DD792,60),0)</f>
        <v/>
      </c>
      <c r="BK792">
        <f>IFERROR(INDEX(PP_Grid[#Data],$DD792,61),0)</f>
        <v/>
      </c>
      <c r="BL792">
        <f>IFERROR(INDEX(PP_Grid[#Data],$DD792,62),0)</f>
        <v/>
      </c>
      <c r="BM792">
        <f>IFERROR(INDEX(PP_Grid[#Data],$DD792,63),0)</f>
        <v/>
      </c>
      <c r="BN792">
        <f>IFERROR(INDEX(PP_Grid[#Data],$DD792,64),0)</f>
        <v/>
      </c>
      <c r="BO792">
        <f>IFERROR(INDEX(PP_Grid[#Data],$DD792,65),0)</f>
        <v/>
      </c>
      <c r="BP792">
        <f>IFERROR(INDEX(PP_Grid[#Data],$DD792,66),0)</f>
        <v/>
      </c>
      <c r="BQ792">
        <f>IFERROR(INDEX(PP_Grid[#Data],$DD792,67),0)</f>
        <v/>
      </c>
      <c r="BR792">
        <f>IFERROR(INDEX(PP_Grid[#Data],$DD792,68),0)</f>
        <v/>
      </c>
      <c r="BS792">
        <f>IFERROR(INDEX(PP_Grid[#Data],$DD792,69),0)</f>
        <v/>
      </c>
      <c r="BT792">
        <f>IFERROR(INDEX(PP_Grid[#Data],$DD792,70),0)</f>
        <v/>
      </c>
      <c r="BU792">
        <f>IFERROR(INDEX(PP_Grid[#Data],$DD792,71),0)</f>
        <v/>
      </c>
      <c r="BV792">
        <f>IFERROR(INDEX(PP_Grid[#Data],$DD792,72),0)</f>
        <v/>
      </c>
      <c r="BW792">
        <f>IFERROR(INDEX(PP_Grid[#Data],$DD792,73),0)</f>
        <v/>
      </c>
      <c r="BX792">
        <f>IFERROR(INDEX(PP_Grid[#Data],$DD792,74),0)</f>
        <v/>
      </c>
      <c r="BY792">
        <f>IFERROR(INDEX(PP_Grid[#Data],$DD792,75),0)</f>
        <v/>
      </c>
      <c r="BZ792">
        <f>IFERROR(INDEX(PP_Grid[#Data],$DD792,76),0)</f>
        <v/>
      </c>
      <c r="CA792">
        <f>IFERROR(INDEX(PP_Grid[#Data],$DD792,77),0)</f>
        <v/>
      </c>
      <c r="CB792">
        <f>IFERROR(INDEX(PP_Grid[#Data],$DD792,78),0)</f>
        <v/>
      </c>
      <c r="CC792">
        <f>IFERROR(INDEX(PP_Grid[#Data],$DD792,79),0)</f>
        <v/>
      </c>
      <c r="CD792">
        <f>IFERROR(INDEX(PP_Grid[#Data],$DD792,80),0)</f>
        <v/>
      </c>
      <c r="CE792">
        <f>IFERROR(INDEX(PP_Grid[#Data],$DD792,81),0)</f>
        <v/>
      </c>
      <c r="CF792">
        <f>IFERROR(INDEX(PP_Grid[#Data],$DD792,82),0)</f>
        <v/>
      </c>
      <c r="CG792">
        <f>IFERROR(INDEX(PP_Grid[#Data],$DD792,83),0)</f>
        <v/>
      </c>
      <c r="CH792">
        <f>IFERROR(INDEX(PP_Grid[#Data],$DD792,84),0)</f>
        <v/>
      </c>
      <c r="CI792">
        <f>IFERROR(INDEX(PP_Grid[#Data],$DD792,85),0)</f>
        <v/>
      </c>
      <c r="CJ792">
        <f>IFERROR(INDEX(PP_Grid[#Data],$DD792,86),0)</f>
        <v/>
      </c>
      <c r="CK792">
        <f>IFERROR(INDEX(PP_Grid[#Data],$DD792,87),0)</f>
        <v/>
      </c>
      <c r="CL792">
        <f>IFERROR(INDEX(PP_Grid[#Data],$DD792,88),0)</f>
        <v/>
      </c>
      <c r="CM792">
        <f>IFERROR(INDEX(PP_Grid[#Data],$DD792,89),0)</f>
        <v/>
      </c>
      <c r="CN792">
        <f>IFERROR(INDEX(PP_Grid[#Data],$DD792,90),0)</f>
        <v/>
      </c>
      <c r="CO792">
        <f>IFERROR(INDEX(PP_Grid[#Data],$DD792,91),0)</f>
        <v/>
      </c>
      <c r="CP792">
        <f>IFERROR(INDEX(PP_Grid[#Data],$DD792,92),0)</f>
        <v/>
      </c>
      <c r="CQ792">
        <f>IFERROR(INDEX(PP_Grid[#Data],$DD792,93),0)</f>
        <v/>
      </c>
      <c r="CR792">
        <f>IFERROR(INDEX(PP_Grid[#Data],$DD792,94),0)</f>
        <v/>
      </c>
      <c r="CS792">
        <f>IFERROR(INDEX(PP_Grid[#Data],$DD792,95),0)</f>
        <v/>
      </c>
      <c r="CT792">
        <f>IFERROR(INDEX(PP_Grid[#Data],$DD792,96),0)</f>
        <v/>
      </c>
      <c r="CU792">
        <f>IFERROR(INDEX(PP_Grid[#Data],$DD792,97),0)</f>
        <v/>
      </c>
      <c r="CV792">
        <f>IFERROR(INDEX(PP_Grid[#Data],$DD792,98),0)</f>
        <v/>
      </c>
      <c r="CW792">
        <f>IFERROR(INDEX(PP_Grid[#Data],$DD792,99),0)</f>
        <v/>
      </c>
      <c r="CX792">
        <f>IFERROR(INDEX(PP_Grid[#Data],$DD792,100),0)</f>
        <v/>
      </c>
      <c r="CY792">
        <f>IFERROR(INDEX(PP_Grid[#Data],$DD792,101),0)</f>
        <v/>
      </c>
      <c r="CZ792">
        <f>IFERROR(INDEX(PP_Grid[#Data],$DD792,102),0)</f>
        <v/>
      </c>
      <c r="DA792">
        <f>IFERROR(INDEX(PP_Grid[#Data],$DD792,103),0)</f>
        <v/>
      </c>
      <c r="DB792">
        <f>IFERROR(INDEX(PP_Grid[#Data],$DD792,104),0)</f>
        <v/>
      </c>
      <c r="DC792">
        <f>IFERROR(INDEX(PP_Grid[#Data],$DD792,105),0)</f>
        <v/>
      </c>
      <c r="DD792" s="12">
        <f>IFERROR(MATCH($B792,PP_Grid[Intermediate],0),99999)</f>
        <v/>
      </c>
    </row>
    <row r="793">
      <c r="B793" t="inlineStr">
        <is>
          <t>使用量(kg)</t>
        </is>
      </c>
      <c r="C793">
        <f>SUMIFS(M_BOM[RM_Qty_Per_Batch],M_BOM[Intermediate],$B792,M_BOM[Part Name],$A669)</f>
        <v/>
      </c>
      <c r="D793">
        <f>$C793*D792</f>
        <v/>
      </c>
      <c r="E793">
        <f>$C793*E792</f>
        <v/>
      </c>
      <c r="F793">
        <f>$C793*F792</f>
        <v/>
      </c>
      <c r="G793">
        <f>$C793*G792</f>
        <v/>
      </c>
      <c r="H793">
        <f>$C793*H792</f>
        <v/>
      </c>
      <c r="I793">
        <f>$C793*I792</f>
        <v/>
      </c>
      <c r="J793">
        <f>$C793*J792</f>
        <v/>
      </c>
      <c r="K793">
        <f>$C793*K792</f>
        <v/>
      </c>
      <c r="L793">
        <f>$C793*L792</f>
        <v/>
      </c>
      <c r="M793">
        <f>$C793*M792</f>
        <v/>
      </c>
      <c r="N793">
        <f>$C793*N792</f>
        <v/>
      </c>
      <c r="O793">
        <f>$C793*O792</f>
        <v/>
      </c>
      <c r="P793">
        <f>$C793*P792</f>
        <v/>
      </c>
      <c r="Q793">
        <f>$C793*Q792</f>
        <v/>
      </c>
      <c r="R793">
        <f>$C793*R792</f>
        <v/>
      </c>
      <c r="S793">
        <f>$C793*S792</f>
        <v/>
      </c>
      <c r="T793">
        <f>$C793*T792</f>
        <v/>
      </c>
      <c r="U793">
        <f>$C793*U792</f>
        <v/>
      </c>
      <c r="V793">
        <f>$C793*V792</f>
        <v/>
      </c>
      <c r="W793">
        <f>$C793*W792</f>
        <v/>
      </c>
      <c r="X793">
        <f>$C793*X792</f>
        <v/>
      </c>
      <c r="Y793">
        <f>$C793*Y792</f>
        <v/>
      </c>
      <c r="Z793">
        <f>$C793*Z792</f>
        <v/>
      </c>
      <c r="AA793">
        <f>$C793*AA792</f>
        <v/>
      </c>
      <c r="AB793">
        <f>$C793*AB792</f>
        <v/>
      </c>
      <c r="AC793">
        <f>$C793*AC792</f>
        <v/>
      </c>
      <c r="AD793">
        <f>$C793*AD792</f>
        <v/>
      </c>
      <c r="AE793">
        <f>$C793*AE792</f>
        <v/>
      </c>
      <c r="AF793">
        <f>$C793*AF792</f>
        <v/>
      </c>
      <c r="AG793">
        <f>$C793*AG792</f>
        <v/>
      </c>
      <c r="AH793">
        <f>$C793*AH792</f>
        <v/>
      </c>
      <c r="AI793">
        <f>$C793*AI792</f>
        <v/>
      </c>
      <c r="AJ793">
        <f>$C793*AJ792</f>
        <v/>
      </c>
      <c r="AK793">
        <f>$C793*AK792</f>
        <v/>
      </c>
      <c r="AL793">
        <f>$C793*AL792</f>
        <v/>
      </c>
      <c r="AM793">
        <f>$C793*AM792</f>
        <v/>
      </c>
      <c r="AN793">
        <f>$C793*AN792</f>
        <v/>
      </c>
      <c r="AO793">
        <f>$C793*AO792</f>
        <v/>
      </c>
      <c r="AP793">
        <f>$C793*AP792</f>
        <v/>
      </c>
      <c r="AQ793">
        <f>$C793*AQ792</f>
        <v/>
      </c>
      <c r="AR793">
        <f>$C793*AR792</f>
        <v/>
      </c>
      <c r="AS793">
        <f>$C793*AS792</f>
        <v/>
      </c>
      <c r="AT793">
        <f>$C793*AT792</f>
        <v/>
      </c>
      <c r="AU793">
        <f>$C793*AU792</f>
        <v/>
      </c>
      <c r="AV793">
        <f>$C793*AV792</f>
        <v/>
      </c>
      <c r="AW793">
        <f>$C793*AW792</f>
        <v/>
      </c>
      <c r="AX793">
        <f>$C793*AX792</f>
        <v/>
      </c>
      <c r="AY793">
        <f>$C793*AY792</f>
        <v/>
      </c>
      <c r="AZ793">
        <f>$C793*AZ792</f>
        <v/>
      </c>
      <c r="BA793">
        <f>$C793*BA792</f>
        <v/>
      </c>
      <c r="BB793">
        <f>$C793*BB792</f>
        <v/>
      </c>
      <c r="BC793">
        <f>$C793*BC792</f>
        <v/>
      </c>
      <c r="BD793">
        <f>$C793*BD792</f>
        <v/>
      </c>
      <c r="BE793">
        <f>$C793*BE792</f>
        <v/>
      </c>
      <c r="BF793">
        <f>$C793*BF792</f>
        <v/>
      </c>
      <c r="BG793">
        <f>$C793*BG792</f>
        <v/>
      </c>
      <c r="BH793">
        <f>$C793*BH792</f>
        <v/>
      </c>
      <c r="BI793">
        <f>$C793*BI792</f>
        <v/>
      </c>
      <c r="BJ793">
        <f>$C793*BJ792</f>
        <v/>
      </c>
      <c r="BK793">
        <f>$C793*BK792</f>
        <v/>
      </c>
      <c r="BL793">
        <f>$C793*BL792</f>
        <v/>
      </c>
      <c r="BM793">
        <f>$C793*BM792</f>
        <v/>
      </c>
      <c r="BN793">
        <f>$C793*BN792</f>
        <v/>
      </c>
      <c r="BO793">
        <f>$C793*BO792</f>
        <v/>
      </c>
      <c r="BP793">
        <f>$C793*BP792</f>
        <v/>
      </c>
      <c r="BQ793">
        <f>$C793*BQ792</f>
        <v/>
      </c>
      <c r="BR793">
        <f>$C793*BR792</f>
        <v/>
      </c>
      <c r="BS793">
        <f>$C793*BS792</f>
        <v/>
      </c>
      <c r="BT793">
        <f>$C793*BT792</f>
        <v/>
      </c>
      <c r="BU793">
        <f>$C793*BU792</f>
        <v/>
      </c>
      <c r="BV793">
        <f>$C793*BV792</f>
        <v/>
      </c>
      <c r="BW793">
        <f>$C793*BW792</f>
        <v/>
      </c>
      <c r="BX793">
        <f>$C793*BX792</f>
        <v/>
      </c>
      <c r="BY793">
        <f>$C793*BY792</f>
        <v/>
      </c>
      <c r="BZ793">
        <f>$C793*BZ792</f>
        <v/>
      </c>
      <c r="CA793">
        <f>$C793*CA792</f>
        <v/>
      </c>
      <c r="CB793">
        <f>$C793*CB792</f>
        <v/>
      </c>
      <c r="CC793">
        <f>$C793*CC792</f>
        <v/>
      </c>
      <c r="CD793">
        <f>$C793*CD792</f>
        <v/>
      </c>
      <c r="CE793">
        <f>$C793*CE792</f>
        <v/>
      </c>
      <c r="CF793">
        <f>$C793*CF792</f>
        <v/>
      </c>
      <c r="CG793">
        <f>$C793*CG792</f>
        <v/>
      </c>
      <c r="CH793">
        <f>$C793*CH792</f>
        <v/>
      </c>
      <c r="CI793">
        <f>$C793*CI792</f>
        <v/>
      </c>
      <c r="CJ793">
        <f>$C793*CJ792</f>
        <v/>
      </c>
      <c r="CK793">
        <f>$C793*CK792</f>
        <v/>
      </c>
      <c r="CL793">
        <f>$C793*CL792</f>
        <v/>
      </c>
      <c r="CM793">
        <f>$C793*CM792</f>
        <v/>
      </c>
      <c r="CN793">
        <f>$C793*CN792</f>
        <v/>
      </c>
      <c r="CO793">
        <f>$C793*CO792</f>
        <v/>
      </c>
      <c r="CP793">
        <f>$C793*CP792</f>
        <v/>
      </c>
      <c r="CQ793">
        <f>$C793*CQ792</f>
        <v/>
      </c>
      <c r="CR793">
        <f>$C793*CR792</f>
        <v/>
      </c>
      <c r="CS793">
        <f>$C793*CS792</f>
        <v/>
      </c>
      <c r="CT793">
        <f>$C793*CT792</f>
        <v/>
      </c>
      <c r="CU793">
        <f>$C793*CU792</f>
        <v/>
      </c>
      <c r="CV793">
        <f>$C793*CV792</f>
        <v/>
      </c>
      <c r="CW793">
        <f>$C793*CW792</f>
        <v/>
      </c>
      <c r="CX793">
        <f>$C793*CX792</f>
        <v/>
      </c>
      <c r="CY793">
        <f>$C793*CY792</f>
        <v/>
      </c>
      <c r="CZ793">
        <f>$C793*CZ792</f>
        <v/>
      </c>
      <c r="DA793">
        <f>$C793*DA792</f>
        <v/>
      </c>
      <c r="DB793">
        <f>$C793*DB792</f>
        <v/>
      </c>
      <c r="DC793">
        <f>$C793*DC792</f>
        <v/>
      </c>
    </row>
    <row r="794">
      <c r="B794" t="inlineStr">
        <is>
          <t>VSP-820</t>
        </is>
      </c>
      <c r="C794" t="inlineStr">
        <is>
          <t>No. of batches</t>
        </is>
      </c>
      <c r="D794">
        <f>IFERROR(INDEX(PP_Grid[#Data],$DD794,2),0)</f>
        <v/>
      </c>
      <c r="E794">
        <f>IFERROR(INDEX(PP_Grid[#Data],$DD794,3),0)</f>
        <v/>
      </c>
      <c r="F794">
        <f>IFERROR(INDEX(PP_Grid[#Data],$DD794,4),0)</f>
        <v/>
      </c>
      <c r="G794">
        <f>IFERROR(INDEX(PP_Grid[#Data],$DD794,5),0)</f>
        <v/>
      </c>
      <c r="H794">
        <f>IFERROR(INDEX(PP_Grid[#Data],$DD794,6),0)</f>
        <v/>
      </c>
      <c r="I794">
        <f>IFERROR(INDEX(PP_Grid[#Data],$DD794,7),0)</f>
        <v/>
      </c>
      <c r="J794">
        <f>IFERROR(INDEX(PP_Grid[#Data],$DD794,8),0)</f>
        <v/>
      </c>
      <c r="K794">
        <f>IFERROR(INDEX(PP_Grid[#Data],$DD794,9),0)</f>
        <v/>
      </c>
      <c r="L794">
        <f>IFERROR(INDEX(PP_Grid[#Data],$DD794,10),0)</f>
        <v/>
      </c>
      <c r="M794">
        <f>IFERROR(INDEX(PP_Grid[#Data],$DD794,11),0)</f>
        <v/>
      </c>
      <c r="N794">
        <f>IFERROR(INDEX(PP_Grid[#Data],$DD794,12),0)</f>
        <v/>
      </c>
      <c r="O794">
        <f>IFERROR(INDEX(PP_Grid[#Data],$DD794,13),0)</f>
        <v/>
      </c>
      <c r="P794">
        <f>IFERROR(INDEX(PP_Grid[#Data],$DD794,14),0)</f>
        <v/>
      </c>
      <c r="Q794">
        <f>IFERROR(INDEX(PP_Grid[#Data],$DD794,15),0)</f>
        <v/>
      </c>
      <c r="R794">
        <f>IFERROR(INDEX(PP_Grid[#Data],$DD794,16),0)</f>
        <v/>
      </c>
      <c r="S794">
        <f>IFERROR(INDEX(PP_Grid[#Data],$DD794,17),0)</f>
        <v/>
      </c>
      <c r="T794">
        <f>IFERROR(INDEX(PP_Grid[#Data],$DD794,18),0)</f>
        <v/>
      </c>
      <c r="U794">
        <f>IFERROR(INDEX(PP_Grid[#Data],$DD794,19),0)</f>
        <v/>
      </c>
      <c r="V794">
        <f>IFERROR(INDEX(PP_Grid[#Data],$DD794,20),0)</f>
        <v/>
      </c>
      <c r="W794">
        <f>IFERROR(INDEX(PP_Grid[#Data],$DD794,21),0)</f>
        <v/>
      </c>
      <c r="X794">
        <f>IFERROR(INDEX(PP_Grid[#Data],$DD794,22),0)</f>
        <v/>
      </c>
      <c r="Y794">
        <f>IFERROR(INDEX(PP_Grid[#Data],$DD794,23),0)</f>
        <v/>
      </c>
      <c r="Z794">
        <f>IFERROR(INDEX(PP_Grid[#Data],$DD794,24),0)</f>
        <v/>
      </c>
      <c r="AA794">
        <f>IFERROR(INDEX(PP_Grid[#Data],$DD794,25),0)</f>
        <v/>
      </c>
      <c r="AB794">
        <f>IFERROR(INDEX(PP_Grid[#Data],$DD794,26),0)</f>
        <v/>
      </c>
      <c r="AC794">
        <f>IFERROR(INDEX(PP_Grid[#Data],$DD794,27),0)</f>
        <v/>
      </c>
      <c r="AD794">
        <f>IFERROR(INDEX(PP_Grid[#Data],$DD794,28),0)</f>
        <v/>
      </c>
      <c r="AE794">
        <f>IFERROR(INDEX(PP_Grid[#Data],$DD794,29),0)</f>
        <v/>
      </c>
      <c r="AF794">
        <f>IFERROR(INDEX(PP_Grid[#Data],$DD794,30),0)</f>
        <v/>
      </c>
      <c r="AG794">
        <f>IFERROR(INDEX(PP_Grid[#Data],$DD794,31),0)</f>
        <v/>
      </c>
      <c r="AH794">
        <f>IFERROR(INDEX(PP_Grid[#Data],$DD794,32),0)</f>
        <v/>
      </c>
      <c r="AI794">
        <f>IFERROR(INDEX(PP_Grid[#Data],$DD794,33),0)</f>
        <v/>
      </c>
      <c r="AJ794">
        <f>IFERROR(INDEX(PP_Grid[#Data],$DD794,34),0)</f>
        <v/>
      </c>
      <c r="AK794">
        <f>IFERROR(INDEX(PP_Grid[#Data],$DD794,35),0)</f>
        <v/>
      </c>
      <c r="AL794">
        <f>IFERROR(INDEX(PP_Grid[#Data],$DD794,36),0)</f>
        <v/>
      </c>
      <c r="AM794">
        <f>IFERROR(INDEX(PP_Grid[#Data],$DD794,37),0)</f>
        <v/>
      </c>
      <c r="AN794">
        <f>IFERROR(INDEX(PP_Grid[#Data],$DD794,38),0)</f>
        <v/>
      </c>
      <c r="AO794">
        <f>IFERROR(INDEX(PP_Grid[#Data],$DD794,39),0)</f>
        <v/>
      </c>
      <c r="AP794">
        <f>IFERROR(INDEX(PP_Grid[#Data],$DD794,40),0)</f>
        <v/>
      </c>
      <c r="AQ794">
        <f>IFERROR(INDEX(PP_Grid[#Data],$DD794,41),0)</f>
        <v/>
      </c>
      <c r="AR794">
        <f>IFERROR(INDEX(PP_Grid[#Data],$DD794,42),0)</f>
        <v/>
      </c>
      <c r="AS794">
        <f>IFERROR(INDEX(PP_Grid[#Data],$DD794,43),0)</f>
        <v/>
      </c>
      <c r="AT794">
        <f>IFERROR(INDEX(PP_Grid[#Data],$DD794,44),0)</f>
        <v/>
      </c>
      <c r="AU794">
        <f>IFERROR(INDEX(PP_Grid[#Data],$DD794,45),0)</f>
        <v/>
      </c>
      <c r="AV794">
        <f>IFERROR(INDEX(PP_Grid[#Data],$DD794,46),0)</f>
        <v/>
      </c>
      <c r="AW794">
        <f>IFERROR(INDEX(PP_Grid[#Data],$DD794,47),0)</f>
        <v/>
      </c>
      <c r="AX794">
        <f>IFERROR(INDEX(PP_Grid[#Data],$DD794,48),0)</f>
        <v/>
      </c>
      <c r="AY794">
        <f>IFERROR(INDEX(PP_Grid[#Data],$DD794,49),0)</f>
        <v/>
      </c>
      <c r="AZ794">
        <f>IFERROR(INDEX(PP_Grid[#Data],$DD794,50),0)</f>
        <v/>
      </c>
      <c r="BA794">
        <f>IFERROR(INDEX(PP_Grid[#Data],$DD794,51),0)</f>
        <v/>
      </c>
      <c r="BB794">
        <f>IFERROR(INDEX(PP_Grid[#Data],$DD794,52),0)</f>
        <v/>
      </c>
      <c r="BC794">
        <f>IFERROR(INDEX(PP_Grid[#Data],$DD794,53),0)</f>
        <v/>
      </c>
      <c r="BD794">
        <f>IFERROR(INDEX(PP_Grid[#Data],$DD794,54),0)</f>
        <v/>
      </c>
      <c r="BE794">
        <f>IFERROR(INDEX(PP_Grid[#Data],$DD794,55),0)</f>
        <v/>
      </c>
      <c r="BF794">
        <f>IFERROR(INDEX(PP_Grid[#Data],$DD794,56),0)</f>
        <v/>
      </c>
      <c r="BG794">
        <f>IFERROR(INDEX(PP_Grid[#Data],$DD794,57),0)</f>
        <v/>
      </c>
      <c r="BH794">
        <f>IFERROR(INDEX(PP_Grid[#Data],$DD794,58),0)</f>
        <v/>
      </c>
      <c r="BI794">
        <f>IFERROR(INDEX(PP_Grid[#Data],$DD794,59),0)</f>
        <v/>
      </c>
      <c r="BJ794">
        <f>IFERROR(INDEX(PP_Grid[#Data],$DD794,60),0)</f>
        <v/>
      </c>
      <c r="BK794">
        <f>IFERROR(INDEX(PP_Grid[#Data],$DD794,61),0)</f>
        <v/>
      </c>
      <c r="BL794">
        <f>IFERROR(INDEX(PP_Grid[#Data],$DD794,62),0)</f>
        <v/>
      </c>
      <c r="BM794">
        <f>IFERROR(INDEX(PP_Grid[#Data],$DD794,63),0)</f>
        <v/>
      </c>
      <c r="BN794">
        <f>IFERROR(INDEX(PP_Grid[#Data],$DD794,64),0)</f>
        <v/>
      </c>
      <c r="BO794">
        <f>IFERROR(INDEX(PP_Grid[#Data],$DD794,65),0)</f>
        <v/>
      </c>
      <c r="BP794">
        <f>IFERROR(INDEX(PP_Grid[#Data],$DD794,66),0)</f>
        <v/>
      </c>
      <c r="BQ794">
        <f>IFERROR(INDEX(PP_Grid[#Data],$DD794,67),0)</f>
        <v/>
      </c>
      <c r="BR794">
        <f>IFERROR(INDEX(PP_Grid[#Data],$DD794,68),0)</f>
        <v/>
      </c>
      <c r="BS794">
        <f>IFERROR(INDEX(PP_Grid[#Data],$DD794,69),0)</f>
        <v/>
      </c>
      <c r="BT794">
        <f>IFERROR(INDEX(PP_Grid[#Data],$DD794,70),0)</f>
        <v/>
      </c>
      <c r="BU794">
        <f>IFERROR(INDEX(PP_Grid[#Data],$DD794,71),0)</f>
        <v/>
      </c>
      <c r="BV794">
        <f>IFERROR(INDEX(PP_Grid[#Data],$DD794,72),0)</f>
        <v/>
      </c>
      <c r="BW794">
        <f>IFERROR(INDEX(PP_Grid[#Data],$DD794,73),0)</f>
        <v/>
      </c>
      <c r="BX794">
        <f>IFERROR(INDEX(PP_Grid[#Data],$DD794,74),0)</f>
        <v/>
      </c>
      <c r="BY794">
        <f>IFERROR(INDEX(PP_Grid[#Data],$DD794,75),0)</f>
        <v/>
      </c>
      <c r="BZ794">
        <f>IFERROR(INDEX(PP_Grid[#Data],$DD794,76),0)</f>
        <v/>
      </c>
      <c r="CA794">
        <f>IFERROR(INDEX(PP_Grid[#Data],$DD794,77),0)</f>
        <v/>
      </c>
      <c r="CB794">
        <f>IFERROR(INDEX(PP_Grid[#Data],$DD794,78),0)</f>
        <v/>
      </c>
      <c r="CC794">
        <f>IFERROR(INDEX(PP_Grid[#Data],$DD794,79),0)</f>
        <v/>
      </c>
      <c r="CD794">
        <f>IFERROR(INDEX(PP_Grid[#Data],$DD794,80),0)</f>
        <v/>
      </c>
      <c r="CE794">
        <f>IFERROR(INDEX(PP_Grid[#Data],$DD794,81),0)</f>
        <v/>
      </c>
      <c r="CF794">
        <f>IFERROR(INDEX(PP_Grid[#Data],$DD794,82),0)</f>
        <v/>
      </c>
      <c r="CG794">
        <f>IFERROR(INDEX(PP_Grid[#Data],$DD794,83),0)</f>
        <v/>
      </c>
      <c r="CH794">
        <f>IFERROR(INDEX(PP_Grid[#Data],$DD794,84),0)</f>
        <v/>
      </c>
      <c r="CI794">
        <f>IFERROR(INDEX(PP_Grid[#Data],$DD794,85),0)</f>
        <v/>
      </c>
      <c r="CJ794">
        <f>IFERROR(INDEX(PP_Grid[#Data],$DD794,86),0)</f>
        <v/>
      </c>
      <c r="CK794">
        <f>IFERROR(INDEX(PP_Grid[#Data],$DD794,87),0)</f>
        <v/>
      </c>
      <c r="CL794">
        <f>IFERROR(INDEX(PP_Grid[#Data],$DD794,88),0)</f>
        <v/>
      </c>
      <c r="CM794">
        <f>IFERROR(INDEX(PP_Grid[#Data],$DD794,89),0)</f>
        <v/>
      </c>
      <c r="CN794">
        <f>IFERROR(INDEX(PP_Grid[#Data],$DD794,90),0)</f>
        <v/>
      </c>
      <c r="CO794">
        <f>IFERROR(INDEX(PP_Grid[#Data],$DD794,91),0)</f>
        <v/>
      </c>
      <c r="CP794">
        <f>IFERROR(INDEX(PP_Grid[#Data],$DD794,92),0)</f>
        <v/>
      </c>
      <c r="CQ794">
        <f>IFERROR(INDEX(PP_Grid[#Data],$DD794,93),0)</f>
        <v/>
      </c>
      <c r="CR794">
        <f>IFERROR(INDEX(PP_Grid[#Data],$DD794,94),0)</f>
        <v/>
      </c>
      <c r="CS794">
        <f>IFERROR(INDEX(PP_Grid[#Data],$DD794,95),0)</f>
        <v/>
      </c>
      <c r="CT794">
        <f>IFERROR(INDEX(PP_Grid[#Data],$DD794,96),0)</f>
        <v/>
      </c>
      <c r="CU794">
        <f>IFERROR(INDEX(PP_Grid[#Data],$DD794,97),0)</f>
        <v/>
      </c>
      <c r="CV794">
        <f>IFERROR(INDEX(PP_Grid[#Data],$DD794,98),0)</f>
        <v/>
      </c>
      <c r="CW794">
        <f>IFERROR(INDEX(PP_Grid[#Data],$DD794,99),0)</f>
        <v/>
      </c>
      <c r="CX794">
        <f>IFERROR(INDEX(PP_Grid[#Data],$DD794,100),0)</f>
        <v/>
      </c>
      <c r="CY794">
        <f>IFERROR(INDEX(PP_Grid[#Data],$DD794,101),0)</f>
        <v/>
      </c>
      <c r="CZ794">
        <f>IFERROR(INDEX(PP_Grid[#Data],$DD794,102),0)</f>
        <v/>
      </c>
      <c r="DA794">
        <f>IFERROR(INDEX(PP_Grid[#Data],$DD794,103),0)</f>
        <v/>
      </c>
      <c r="DB794">
        <f>IFERROR(INDEX(PP_Grid[#Data],$DD794,104),0)</f>
        <v/>
      </c>
      <c r="DC794">
        <f>IFERROR(INDEX(PP_Grid[#Data],$DD794,105),0)</f>
        <v/>
      </c>
      <c r="DD794" s="12">
        <f>IFERROR(MATCH($B794,PP_Grid[Intermediate],0),99999)</f>
        <v/>
      </c>
    </row>
    <row r="795">
      <c r="B795" t="inlineStr">
        <is>
          <t>使用量(kg)</t>
        </is>
      </c>
      <c r="C795">
        <f>SUMIFS(M_BOM[RM_Qty_Per_Batch],M_BOM[Intermediate],$B794,M_BOM[Part Name],$A669)</f>
        <v/>
      </c>
      <c r="D795">
        <f>$C795*D794</f>
        <v/>
      </c>
      <c r="E795">
        <f>$C795*E794</f>
        <v/>
      </c>
      <c r="F795">
        <f>$C795*F794</f>
        <v/>
      </c>
      <c r="G795">
        <f>$C795*G794</f>
        <v/>
      </c>
      <c r="H795">
        <f>$C795*H794</f>
        <v/>
      </c>
      <c r="I795">
        <f>$C795*I794</f>
        <v/>
      </c>
      <c r="J795">
        <f>$C795*J794</f>
        <v/>
      </c>
      <c r="K795">
        <f>$C795*K794</f>
        <v/>
      </c>
      <c r="L795">
        <f>$C795*L794</f>
        <v/>
      </c>
      <c r="M795">
        <f>$C795*M794</f>
        <v/>
      </c>
      <c r="N795">
        <f>$C795*N794</f>
        <v/>
      </c>
      <c r="O795">
        <f>$C795*O794</f>
        <v/>
      </c>
      <c r="P795">
        <f>$C795*P794</f>
        <v/>
      </c>
      <c r="Q795">
        <f>$C795*Q794</f>
        <v/>
      </c>
      <c r="R795">
        <f>$C795*R794</f>
        <v/>
      </c>
      <c r="S795">
        <f>$C795*S794</f>
        <v/>
      </c>
      <c r="T795">
        <f>$C795*T794</f>
        <v/>
      </c>
      <c r="U795">
        <f>$C795*U794</f>
        <v/>
      </c>
      <c r="V795">
        <f>$C795*V794</f>
        <v/>
      </c>
      <c r="W795">
        <f>$C795*W794</f>
        <v/>
      </c>
      <c r="X795">
        <f>$C795*X794</f>
        <v/>
      </c>
      <c r="Y795">
        <f>$C795*Y794</f>
        <v/>
      </c>
      <c r="Z795">
        <f>$C795*Z794</f>
        <v/>
      </c>
      <c r="AA795">
        <f>$C795*AA794</f>
        <v/>
      </c>
      <c r="AB795">
        <f>$C795*AB794</f>
        <v/>
      </c>
      <c r="AC795">
        <f>$C795*AC794</f>
        <v/>
      </c>
      <c r="AD795">
        <f>$C795*AD794</f>
        <v/>
      </c>
      <c r="AE795">
        <f>$C795*AE794</f>
        <v/>
      </c>
      <c r="AF795">
        <f>$C795*AF794</f>
        <v/>
      </c>
      <c r="AG795">
        <f>$C795*AG794</f>
        <v/>
      </c>
      <c r="AH795">
        <f>$C795*AH794</f>
        <v/>
      </c>
      <c r="AI795">
        <f>$C795*AI794</f>
        <v/>
      </c>
      <c r="AJ795">
        <f>$C795*AJ794</f>
        <v/>
      </c>
      <c r="AK795">
        <f>$C795*AK794</f>
        <v/>
      </c>
      <c r="AL795">
        <f>$C795*AL794</f>
        <v/>
      </c>
      <c r="AM795">
        <f>$C795*AM794</f>
        <v/>
      </c>
      <c r="AN795">
        <f>$C795*AN794</f>
        <v/>
      </c>
      <c r="AO795">
        <f>$C795*AO794</f>
        <v/>
      </c>
      <c r="AP795">
        <f>$C795*AP794</f>
        <v/>
      </c>
      <c r="AQ795">
        <f>$C795*AQ794</f>
        <v/>
      </c>
      <c r="AR795">
        <f>$C795*AR794</f>
        <v/>
      </c>
      <c r="AS795">
        <f>$C795*AS794</f>
        <v/>
      </c>
      <c r="AT795">
        <f>$C795*AT794</f>
        <v/>
      </c>
      <c r="AU795">
        <f>$C795*AU794</f>
        <v/>
      </c>
      <c r="AV795">
        <f>$C795*AV794</f>
        <v/>
      </c>
      <c r="AW795">
        <f>$C795*AW794</f>
        <v/>
      </c>
      <c r="AX795">
        <f>$C795*AX794</f>
        <v/>
      </c>
      <c r="AY795">
        <f>$C795*AY794</f>
        <v/>
      </c>
      <c r="AZ795">
        <f>$C795*AZ794</f>
        <v/>
      </c>
      <c r="BA795">
        <f>$C795*BA794</f>
        <v/>
      </c>
      <c r="BB795">
        <f>$C795*BB794</f>
        <v/>
      </c>
      <c r="BC795">
        <f>$C795*BC794</f>
        <v/>
      </c>
      <c r="BD795">
        <f>$C795*BD794</f>
        <v/>
      </c>
      <c r="BE795">
        <f>$C795*BE794</f>
        <v/>
      </c>
      <c r="BF795">
        <f>$C795*BF794</f>
        <v/>
      </c>
      <c r="BG795">
        <f>$C795*BG794</f>
        <v/>
      </c>
      <c r="BH795">
        <f>$C795*BH794</f>
        <v/>
      </c>
      <c r="BI795">
        <f>$C795*BI794</f>
        <v/>
      </c>
      <c r="BJ795">
        <f>$C795*BJ794</f>
        <v/>
      </c>
      <c r="BK795">
        <f>$C795*BK794</f>
        <v/>
      </c>
      <c r="BL795">
        <f>$C795*BL794</f>
        <v/>
      </c>
      <c r="BM795">
        <f>$C795*BM794</f>
        <v/>
      </c>
      <c r="BN795">
        <f>$C795*BN794</f>
        <v/>
      </c>
      <c r="BO795">
        <f>$C795*BO794</f>
        <v/>
      </c>
      <c r="BP795">
        <f>$C795*BP794</f>
        <v/>
      </c>
      <c r="BQ795">
        <f>$C795*BQ794</f>
        <v/>
      </c>
      <c r="BR795">
        <f>$C795*BR794</f>
        <v/>
      </c>
      <c r="BS795">
        <f>$C795*BS794</f>
        <v/>
      </c>
      <c r="BT795">
        <f>$C795*BT794</f>
        <v/>
      </c>
      <c r="BU795">
        <f>$C795*BU794</f>
        <v/>
      </c>
      <c r="BV795">
        <f>$C795*BV794</f>
        <v/>
      </c>
      <c r="BW795">
        <f>$C795*BW794</f>
        <v/>
      </c>
      <c r="BX795">
        <f>$C795*BX794</f>
        <v/>
      </c>
      <c r="BY795">
        <f>$C795*BY794</f>
        <v/>
      </c>
      <c r="BZ795">
        <f>$C795*BZ794</f>
        <v/>
      </c>
      <c r="CA795">
        <f>$C795*CA794</f>
        <v/>
      </c>
      <c r="CB795">
        <f>$C795*CB794</f>
        <v/>
      </c>
      <c r="CC795">
        <f>$C795*CC794</f>
        <v/>
      </c>
      <c r="CD795">
        <f>$C795*CD794</f>
        <v/>
      </c>
      <c r="CE795">
        <f>$C795*CE794</f>
        <v/>
      </c>
      <c r="CF795">
        <f>$C795*CF794</f>
        <v/>
      </c>
      <c r="CG795">
        <f>$C795*CG794</f>
        <v/>
      </c>
      <c r="CH795">
        <f>$C795*CH794</f>
        <v/>
      </c>
      <c r="CI795">
        <f>$C795*CI794</f>
        <v/>
      </c>
      <c r="CJ795">
        <f>$C795*CJ794</f>
        <v/>
      </c>
      <c r="CK795">
        <f>$C795*CK794</f>
        <v/>
      </c>
      <c r="CL795">
        <f>$C795*CL794</f>
        <v/>
      </c>
      <c r="CM795">
        <f>$C795*CM794</f>
        <v/>
      </c>
      <c r="CN795">
        <f>$C795*CN794</f>
        <v/>
      </c>
      <c r="CO795">
        <f>$C795*CO794</f>
        <v/>
      </c>
      <c r="CP795">
        <f>$C795*CP794</f>
        <v/>
      </c>
      <c r="CQ795">
        <f>$C795*CQ794</f>
        <v/>
      </c>
      <c r="CR795">
        <f>$C795*CR794</f>
        <v/>
      </c>
      <c r="CS795">
        <f>$C795*CS794</f>
        <v/>
      </c>
      <c r="CT795">
        <f>$C795*CT794</f>
        <v/>
      </c>
      <c r="CU795">
        <f>$C795*CU794</f>
        <v/>
      </c>
      <c r="CV795">
        <f>$C795*CV794</f>
        <v/>
      </c>
      <c r="CW795">
        <f>$C795*CW794</f>
        <v/>
      </c>
      <c r="CX795">
        <f>$C795*CX794</f>
        <v/>
      </c>
      <c r="CY795">
        <f>$C795*CY794</f>
        <v/>
      </c>
      <c r="CZ795">
        <f>$C795*CZ794</f>
        <v/>
      </c>
      <c r="DA795">
        <f>$C795*DA794</f>
        <v/>
      </c>
      <c r="DB795">
        <f>$C795*DB794</f>
        <v/>
      </c>
      <c r="DC795">
        <f>$C795*DC794</f>
        <v/>
      </c>
    </row>
    <row r="796">
      <c r="B796" t="inlineStr">
        <is>
          <t>VSP-822</t>
        </is>
      </c>
      <c r="C796" t="inlineStr">
        <is>
          <t>No. of batches</t>
        </is>
      </c>
      <c r="D796">
        <f>IFERROR(INDEX(PP_Grid[#Data],$DD796,2),0)</f>
        <v/>
      </c>
      <c r="E796">
        <f>IFERROR(INDEX(PP_Grid[#Data],$DD796,3),0)</f>
        <v/>
      </c>
      <c r="F796">
        <f>IFERROR(INDEX(PP_Grid[#Data],$DD796,4),0)</f>
        <v/>
      </c>
      <c r="G796">
        <f>IFERROR(INDEX(PP_Grid[#Data],$DD796,5),0)</f>
        <v/>
      </c>
      <c r="H796">
        <f>IFERROR(INDEX(PP_Grid[#Data],$DD796,6),0)</f>
        <v/>
      </c>
      <c r="I796">
        <f>IFERROR(INDEX(PP_Grid[#Data],$DD796,7),0)</f>
        <v/>
      </c>
      <c r="J796">
        <f>IFERROR(INDEX(PP_Grid[#Data],$DD796,8),0)</f>
        <v/>
      </c>
      <c r="K796">
        <f>IFERROR(INDEX(PP_Grid[#Data],$DD796,9),0)</f>
        <v/>
      </c>
      <c r="L796">
        <f>IFERROR(INDEX(PP_Grid[#Data],$DD796,10),0)</f>
        <v/>
      </c>
      <c r="M796">
        <f>IFERROR(INDEX(PP_Grid[#Data],$DD796,11),0)</f>
        <v/>
      </c>
      <c r="N796">
        <f>IFERROR(INDEX(PP_Grid[#Data],$DD796,12),0)</f>
        <v/>
      </c>
      <c r="O796">
        <f>IFERROR(INDEX(PP_Grid[#Data],$DD796,13),0)</f>
        <v/>
      </c>
      <c r="P796">
        <f>IFERROR(INDEX(PP_Grid[#Data],$DD796,14),0)</f>
        <v/>
      </c>
      <c r="Q796">
        <f>IFERROR(INDEX(PP_Grid[#Data],$DD796,15),0)</f>
        <v/>
      </c>
      <c r="R796">
        <f>IFERROR(INDEX(PP_Grid[#Data],$DD796,16),0)</f>
        <v/>
      </c>
      <c r="S796">
        <f>IFERROR(INDEX(PP_Grid[#Data],$DD796,17),0)</f>
        <v/>
      </c>
      <c r="T796">
        <f>IFERROR(INDEX(PP_Grid[#Data],$DD796,18),0)</f>
        <v/>
      </c>
      <c r="U796">
        <f>IFERROR(INDEX(PP_Grid[#Data],$DD796,19),0)</f>
        <v/>
      </c>
      <c r="V796">
        <f>IFERROR(INDEX(PP_Grid[#Data],$DD796,20),0)</f>
        <v/>
      </c>
      <c r="W796">
        <f>IFERROR(INDEX(PP_Grid[#Data],$DD796,21),0)</f>
        <v/>
      </c>
      <c r="X796">
        <f>IFERROR(INDEX(PP_Grid[#Data],$DD796,22),0)</f>
        <v/>
      </c>
      <c r="Y796">
        <f>IFERROR(INDEX(PP_Grid[#Data],$DD796,23),0)</f>
        <v/>
      </c>
      <c r="Z796">
        <f>IFERROR(INDEX(PP_Grid[#Data],$DD796,24),0)</f>
        <v/>
      </c>
      <c r="AA796">
        <f>IFERROR(INDEX(PP_Grid[#Data],$DD796,25),0)</f>
        <v/>
      </c>
      <c r="AB796">
        <f>IFERROR(INDEX(PP_Grid[#Data],$DD796,26),0)</f>
        <v/>
      </c>
      <c r="AC796">
        <f>IFERROR(INDEX(PP_Grid[#Data],$DD796,27),0)</f>
        <v/>
      </c>
      <c r="AD796">
        <f>IFERROR(INDEX(PP_Grid[#Data],$DD796,28),0)</f>
        <v/>
      </c>
      <c r="AE796">
        <f>IFERROR(INDEX(PP_Grid[#Data],$DD796,29),0)</f>
        <v/>
      </c>
      <c r="AF796">
        <f>IFERROR(INDEX(PP_Grid[#Data],$DD796,30),0)</f>
        <v/>
      </c>
      <c r="AG796">
        <f>IFERROR(INDEX(PP_Grid[#Data],$DD796,31),0)</f>
        <v/>
      </c>
      <c r="AH796">
        <f>IFERROR(INDEX(PP_Grid[#Data],$DD796,32),0)</f>
        <v/>
      </c>
      <c r="AI796">
        <f>IFERROR(INDEX(PP_Grid[#Data],$DD796,33),0)</f>
        <v/>
      </c>
      <c r="AJ796">
        <f>IFERROR(INDEX(PP_Grid[#Data],$DD796,34),0)</f>
        <v/>
      </c>
      <c r="AK796">
        <f>IFERROR(INDEX(PP_Grid[#Data],$DD796,35),0)</f>
        <v/>
      </c>
      <c r="AL796">
        <f>IFERROR(INDEX(PP_Grid[#Data],$DD796,36),0)</f>
        <v/>
      </c>
      <c r="AM796">
        <f>IFERROR(INDEX(PP_Grid[#Data],$DD796,37),0)</f>
        <v/>
      </c>
      <c r="AN796">
        <f>IFERROR(INDEX(PP_Grid[#Data],$DD796,38),0)</f>
        <v/>
      </c>
      <c r="AO796">
        <f>IFERROR(INDEX(PP_Grid[#Data],$DD796,39),0)</f>
        <v/>
      </c>
      <c r="AP796">
        <f>IFERROR(INDEX(PP_Grid[#Data],$DD796,40),0)</f>
        <v/>
      </c>
      <c r="AQ796">
        <f>IFERROR(INDEX(PP_Grid[#Data],$DD796,41),0)</f>
        <v/>
      </c>
      <c r="AR796">
        <f>IFERROR(INDEX(PP_Grid[#Data],$DD796,42),0)</f>
        <v/>
      </c>
      <c r="AS796">
        <f>IFERROR(INDEX(PP_Grid[#Data],$DD796,43),0)</f>
        <v/>
      </c>
      <c r="AT796">
        <f>IFERROR(INDEX(PP_Grid[#Data],$DD796,44),0)</f>
        <v/>
      </c>
      <c r="AU796">
        <f>IFERROR(INDEX(PP_Grid[#Data],$DD796,45),0)</f>
        <v/>
      </c>
      <c r="AV796">
        <f>IFERROR(INDEX(PP_Grid[#Data],$DD796,46),0)</f>
        <v/>
      </c>
      <c r="AW796">
        <f>IFERROR(INDEX(PP_Grid[#Data],$DD796,47),0)</f>
        <v/>
      </c>
      <c r="AX796">
        <f>IFERROR(INDEX(PP_Grid[#Data],$DD796,48),0)</f>
        <v/>
      </c>
      <c r="AY796">
        <f>IFERROR(INDEX(PP_Grid[#Data],$DD796,49),0)</f>
        <v/>
      </c>
      <c r="AZ796">
        <f>IFERROR(INDEX(PP_Grid[#Data],$DD796,50),0)</f>
        <v/>
      </c>
      <c r="BA796">
        <f>IFERROR(INDEX(PP_Grid[#Data],$DD796,51),0)</f>
        <v/>
      </c>
      <c r="BB796">
        <f>IFERROR(INDEX(PP_Grid[#Data],$DD796,52),0)</f>
        <v/>
      </c>
      <c r="BC796">
        <f>IFERROR(INDEX(PP_Grid[#Data],$DD796,53),0)</f>
        <v/>
      </c>
      <c r="BD796">
        <f>IFERROR(INDEX(PP_Grid[#Data],$DD796,54),0)</f>
        <v/>
      </c>
      <c r="BE796">
        <f>IFERROR(INDEX(PP_Grid[#Data],$DD796,55),0)</f>
        <v/>
      </c>
      <c r="BF796">
        <f>IFERROR(INDEX(PP_Grid[#Data],$DD796,56),0)</f>
        <v/>
      </c>
      <c r="BG796">
        <f>IFERROR(INDEX(PP_Grid[#Data],$DD796,57),0)</f>
        <v/>
      </c>
      <c r="BH796">
        <f>IFERROR(INDEX(PP_Grid[#Data],$DD796,58),0)</f>
        <v/>
      </c>
      <c r="BI796">
        <f>IFERROR(INDEX(PP_Grid[#Data],$DD796,59),0)</f>
        <v/>
      </c>
      <c r="BJ796">
        <f>IFERROR(INDEX(PP_Grid[#Data],$DD796,60),0)</f>
        <v/>
      </c>
      <c r="BK796">
        <f>IFERROR(INDEX(PP_Grid[#Data],$DD796,61),0)</f>
        <v/>
      </c>
      <c r="BL796">
        <f>IFERROR(INDEX(PP_Grid[#Data],$DD796,62),0)</f>
        <v/>
      </c>
      <c r="BM796">
        <f>IFERROR(INDEX(PP_Grid[#Data],$DD796,63),0)</f>
        <v/>
      </c>
      <c r="BN796">
        <f>IFERROR(INDEX(PP_Grid[#Data],$DD796,64),0)</f>
        <v/>
      </c>
      <c r="BO796">
        <f>IFERROR(INDEX(PP_Grid[#Data],$DD796,65),0)</f>
        <v/>
      </c>
      <c r="BP796">
        <f>IFERROR(INDEX(PP_Grid[#Data],$DD796,66),0)</f>
        <v/>
      </c>
      <c r="BQ796">
        <f>IFERROR(INDEX(PP_Grid[#Data],$DD796,67),0)</f>
        <v/>
      </c>
      <c r="BR796">
        <f>IFERROR(INDEX(PP_Grid[#Data],$DD796,68),0)</f>
        <v/>
      </c>
      <c r="BS796">
        <f>IFERROR(INDEX(PP_Grid[#Data],$DD796,69),0)</f>
        <v/>
      </c>
      <c r="BT796">
        <f>IFERROR(INDEX(PP_Grid[#Data],$DD796,70),0)</f>
        <v/>
      </c>
      <c r="BU796">
        <f>IFERROR(INDEX(PP_Grid[#Data],$DD796,71),0)</f>
        <v/>
      </c>
      <c r="BV796">
        <f>IFERROR(INDEX(PP_Grid[#Data],$DD796,72),0)</f>
        <v/>
      </c>
      <c r="BW796">
        <f>IFERROR(INDEX(PP_Grid[#Data],$DD796,73),0)</f>
        <v/>
      </c>
      <c r="BX796">
        <f>IFERROR(INDEX(PP_Grid[#Data],$DD796,74),0)</f>
        <v/>
      </c>
      <c r="BY796">
        <f>IFERROR(INDEX(PP_Grid[#Data],$DD796,75),0)</f>
        <v/>
      </c>
      <c r="BZ796">
        <f>IFERROR(INDEX(PP_Grid[#Data],$DD796,76),0)</f>
        <v/>
      </c>
      <c r="CA796">
        <f>IFERROR(INDEX(PP_Grid[#Data],$DD796,77),0)</f>
        <v/>
      </c>
      <c r="CB796">
        <f>IFERROR(INDEX(PP_Grid[#Data],$DD796,78),0)</f>
        <v/>
      </c>
      <c r="CC796">
        <f>IFERROR(INDEX(PP_Grid[#Data],$DD796,79),0)</f>
        <v/>
      </c>
      <c r="CD796">
        <f>IFERROR(INDEX(PP_Grid[#Data],$DD796,80),0)</f>
        <v/>
      </c>
      <c r="CE796">
        <f>IFERROR(INDEX(PP_Grid[#Data],$DD796,81),0)</f>
        <v/>
      </c>
      <c r="CF796">
        <f>IFERROR(INDEX(PP_Grid[#Data],$DD796,82),0)</f>
        <v/>
      </c>
      <c r="CG796">
        <f>IFERROR(INDEX(PP_Grid[#Data],$DD796,83),0)</f>
        <v/>
      </c>
      <c r="CH796">
        <f>IFERROR(INDEX(PP_Grid[#Data],$DD796,84),0)</f>
        <v/>
      </c>
      <c r="CI796">
        <f>IFERROR(INDEX(PP_Grid[#Data],$DD796,85),0)</f>
        <v/>
      </c>
      <c r="CJ796">
        <f>IFERROR(INDEX(PP_Grid[#Data],$DD796,86),0)</f>
        <v/>
      </c>
      <c r="CK796">
        <f>IFERROR(INDEX(PP_Grid[#Data],$DD796,87),0)</f>
        <v/>
      </c>
      <c r="CL796">
        <f>IFERROR(INDEX(PP_Grid[#Data],$DD796,88),0)</f>
        <v/>
      </c>
      <c r="CM796">
        <f>IFERROR(INDEX(PP_Grid[#Data],$DD796,89),0)</f>
        <v/>
      </c>
      <c r="CN796">
        <f>IFERROR(INDEX(PP_Grid[#Data],$DD796,90),0)</f>
        <v/>
      </c>
      <c r="CO796">
        <f>IFERROR(INDEX(PP_Grid[#Data],$DD796,91),0)</f>
        <v/>
      </c>
      <c r="CP796">
        <f>IFERROR(INDEX(PP_Grid[#Data],$DD796,92),0)</f>
        <v/>
      </c>
      <c r="CQ796">
        <f>IFERROR(INDEX(PP_Grid[#Data],$DD796,93),0)</f>
        <v/>
      </c>
      <c r="CR796">
        <f>IFERROR(INDEX(PP_Grid[#Data],$DD796,94),0)</f>
        <v/>
      </c>
      <c r="CS796">
        <f>IFERROR(INDEX(PP_Grid[#Data],$DD796,95),0)</f>
        <v/>
      </c>
      <c r="CT796">
        <f>IFERROR(INDEX(PP_Grid[#Data],$DD796,96),0)</f>
        <v/>
      </c>
      <c r="CU796">
        <f>IFERROR(INDEX(PP_Grid[#Data],$DD796,97),0)</f>
        <v/>
      </c>
      <c r="CV796">
        <f>IFERROR(INDEX(PP_Grid[#Data],$DD796,98),0)</f>
        <v/>
      </c>
      <c r="CW796">
        <f>IFERROR(INDEX(PP_Grid[#Data],$DD796,99),0)</f>
        <v/>
      </c>
      <c r="CX796">
        <f>IFERROR(INDEX(PP_Grid[#Data],$DD796,100),0)</f>
        <v/>
      </c>
      <c r="CY796">
        <f>IFERROR(INDEX(PP_Grid[#Data],$DD796,101),0)</f>
        <v/>
      </c>
      <c r="CZ796">
        <f>IFERROR(INDEX(PP_Grid[#Data],$DD796,102),0)</f>
        <v/>
      </c>
      <c r="DA796">
        <f>IFERROR(INDEX(PP_Grid[#Data],$DD796,103),0)</f>
        <v/>
      </c>
      <c r="DB796">
        <f>IFERROR(INDEX(PP_Grid[#Data],$DD796,104),0)</f>
        <v/>
      </c>
      <c r="DC796">
        <f>IFERROR(INDEX(PP_Grid[#Data],$DD796,105),0)</f>
        <v/>
      </c>
      <c r="DD796" s="12">
        <f>IFERROR(MATCH($B796,PP_Grid[Intermediate],0),99999)</f>
        <v/>
      </c>
    </row>
    <row r="797">
      <c r="B797" t="inlineStr">
        <is>
          <t>使用量(kg)</t>
        </is>
      </c>
      <c r="C797">
        <f>SUMIFS(M_BOM[RM_Qty_Per_Batch],M_BOM[Intermediate],$B796,M_BOM[Part Name],$A669)</f>
        <v/>
      </c>
      <c r="D797">
        <f>$C797*D796</f>
        <v/>
      </c>
      <c r="E797">
        <f>$C797*E796</f>
        <v/>
      </c>
      <c r="F797">
        <f>$C797*F796</f>
        <v/>
      </c>
      <c r="G797">
        <f>$C797*G796</f>
        <v/>
      </c>
      <c r="H797">
        <f>$C797*H796</f>
        <v/>
      </c>
      <c r="I797">
        <f>$C797*I796</f>
        <v/>
      </c>
      <c r="J797">
        <f>$C797*J796</f>
        <v/>
      </c>
      <c r="K797">
        <f>$C797*K796</f>
        <v/>
      </c>
      <c r="L797">
        <f>$C797*L796</f>
        <v/>
      </c>
      <c r="M797">
        <f>$C797*M796</f>
        <v/>
      </c>
      <c r="N797">
        <f>$C797*N796</f>
        <v/>
      </c>
      <c r="O797">
        <f>$C797*O796</f>
        <v/>
      </c>
      <c r="P797">
        <f>$C797*P796</f>
        <v/>
      </c>
      <c r="Q797">
        <f>$C797*Q796</f>
        <v/>
      </c>
      <c r="R797">
        <f>$C797*R796</f>
        <v/>
      </c>
      <c r="S797">
        <f>$C797*S796</f>
        <v/>
      </c>
      <c r="T797">
        <f>$C797*T796</f>
        <v/>
      </c>
      <c r="U797">
        <f>$C797*U796</f>
        <v/>
      </c>
      <c r="V797">
        <f>$C797*V796</f>
        <v/>
      </c>
      <c r="W797">
        <f>$C797*W796</f>
        <v/>
      </c>
      <c r="X797">
        <f>$C797*X796</f>
        <v/>
      </c>
      <c r="Y797">
        <f>$C797*Y796</f>
        <v/>
      </c>
      <c r="Z797">
        <f>$C797*Z796</f>
        <v/>
      </c>
      <c r="AA797">
        <f>$C797*AA796</f>
        <v/>
      </c>
      <c r="AB797">
        <f>$C797*AB796</f>
        <v/>
      </c>
      <c r="AC797">
        <f>$C797*AC796</f>
        <v/>
      </c>
      <c r="AD797">
        <f>$C797*AD796</f>
        <v/>
      </c>
      <c r="AE797">
        <f>$C797*AE796</f>
        <v/>
      </c>
      <c r="AF797">
        <f>$C797*AF796</f>
        <v/>
      </c>
      <c r="AG797">
        <f>$C797*AG796</f>
        <v/>
      </c>
      <c r="AH797">
        <f>$C797*AH796</f>
        <v/>
      </c>
      <c r="AI797">
        <f>$C797*AI796</f>
        <v/>
      </c>
      <c r="AJ797">
        <f>$C797*AJ796</f>
        <v/>
      </c>
      <c r="AK797">
        <f>$C797*AK796</f>
        <v/>
      </c>
      <c r="AL797">
        <f>$C797*AL796</f>
        <v/>
      </c>
      <c r="AM797">
        <f>$C797*AM796</f>
        <v/>
      </c>
      <c r="AN797">
        <f>$C797*AN796</f>
        <v/>
      </c>
      <c r="AO797">
        <f>$C797*AO796</f>
        <v/>
      </c>
      <c r="AP797">
        <f>$C797*AP796</f>
        <v/>
      </c>
      <c r="AQ797">
        <f>$C797*AQ796</f>
        <v/>
      </c>
      <c r="AR797">
        <f>$C797*AR796</f>
        <v/>
      </c>
      <c r="AS797">
        <f>$C797*AS796</f>
        <v/>
      </c>
      <c r="AT797">
        <f>$C797*AT796</f>
        <v/>
      </c>
      <c r="AU797">
        <f>$C797*AU796</f>
        <v/>
      </c>
      <c r="AV797">
        <f>$C797*AV796</f>
        <v/>
      </c>
      <c r="AW797">
        <f>$C797*AW796</f>
        <v/>
      </c>
      <c r="AX797">
        <f>$C797*AX796</f>
        <v/>
      </c>
      <c r="AY797">
        <f>$C797*AY796</f>
        <v/>
      </c>
      <c r="AZ797">
        <f>$C797*AZ796</f>
        <v/>
      </c>
      <c r="BA797">
        <f>$C797*BA796</f>
        <v/>
      </c>
      <c r="BB797">
        <f>$C797*BB796</f>
        <v/>
      </c>
      <c r="BC797">
        <f>$C797*BC796</f>
        <v/>
      </c>
      <c r="BD797">
        <f>$C797*BD796</f>
        <v/>
      </c>
      <c r="BE797">
        <f>$C797*BE796</f>
        <v/>
      </c>
      <c r="BF797">
        <f>$C797*BF796</f>
        <v/>
      </c>
      <c r="BG797">
        <f>$C797*BG796</f>
        <v/>
      </c>
      <c r="BH797">
        <f>$C797*BH796</f>
        <v/>
      </c>
      <c r="BI797">
        <f>$C797*BI796</f>
        <v/>
      </c>
      <c r="BJ797">
        <f>$C797*BJ796</f>
        <v/>
      </c>
      <c r="BK797">
        <f>$C797*BK796</f>
        <v/>
      </c>
      <c r="BL797">
        <f>$C797*BL796</f>
        <v/>
      </c>
      <c r="BM797">
        <f>$C797*BM796</f>
        <v/>
      </c>
      <c r="BN797">
        <f>$C797*BN796</f>
        <v/>
      </c>
      <c r="BO797">
        <f>$C797*BO796</f>
        <v/>
      </c>
      <c r="BP797">
        <f>$C797*BP796</f>
        <v/>
      </c>
      <c r="BQ797">
        <f>$C797*BQ796</f>
        <v/>
      </c>
      <c r="BR797">
        <f>$C797*BR796</f>
        <v/>
      </c>
      <c r="BS797">
        <f>$C797*BS796</f>
        <v/>
      </c>
      <c r="BT797">
        <f>$C797*BT796</f>
        <v/>
      </c>
      <c r="BU797">
        <f>$C797*BU796</f>
        <v/>
      </c>
      <c r="BV797">
        <f>$C797*BV796</f>
        <v/>
      </c>
      <c r="BW797">
        <f>$C797*BW796</f>
        <v/>
      </c>
      <c r="BX797">
        <f>$C797*BX796</f>
        <v/>
      </c>
      <c r="BY797">
        <f>$C797*BY796</f>
        <v/>
      </c>
      <c r="BZ797">
        <f>$C797*BZ796</f>
        <v/>
      </c>
      <c r="CA797">
        <f>$C797*CA796</f>
        <v/>
      </c>
      <c r="CB797">
        <f>$C797*CB796</f>
        <v/>
      </c>
      <c r="CC797">
        <f>$C797*CC796</f>
        <v/>
      </c>
      <c r="CD797">
        <f>$C797*CD796</f>
        <v/>
      </c>
      <c r="CE797">
        <f>$C797*CE796</f>
        <v/>
      </c>
      <c r="CF797">
        <f>$C797*CF796</f>
        <v/>
      </c>
      <c r="CG797">
        <f>$C797*CG796</f>
        <v/>
      </c>
      <c r="CH797">
        <f>$C797*CH796</f>
        <v/>
      </c>
      <c r="CI797">
        <f>$C797*CI796</f>
        <v/>
      </c>
      <c r="CJ797">
        <f>$C797*CJ796</f>
        <v/>
      </c>
      <c r="CK797">
        <f>$C797*CK796</f>
        <v/>
      </c>
      <c r="CL797">
        <f>$C797*CL796</f>
        <v/>
      </c>
      <c r="CM797">
        <f>$C797*CM796</f>
        <v/>
      </c>
      <c r="CN797">
        <f>$C797*CN796</f>
        <v/>
      </c>
      <c r="CO797">
        <f>$C797*CO796</f>
        <v/>
      </c>
      <c r="CP797">
        <f>$C797*CP796</f>
        <v/>
      </c>
      <c r="CQ797">
        <f>$C797*CQ796</f>
        <v/>
      </c>
      <c r="CR797">
        <f>$C797*CR796</f>
        <v/>
      </c>
      <c r="CS797">
        <f>$C797*CS796</f>
        <v/>
      </c>
      <c r="CT797">
        <f>$C797*CT796</f>
        <v/>
      </c>
      <c r="CU797">
        <f>$C797*CU796</f>
        <v/>
      </c>
      <c r="CV797">
        <f>$C797*CV796</f>
        <v/>
      </c>
      <c r="CW797">
        <f>$C797*CW796</f>
        <v/>
      </c>
      <c r="CX797">
        <f>$C797*CX796</f>
        <v/>
      </c>
      <c r="CY797">
        <f>$C797*CY796</f>
        <v/>
      </c>
      <c r="CZ797">
        <f>$C797*CZ796</f>
        <v/>
      </c>
      <c r="DA797">
        <f>$C797*DA796</f>
        <v/>
      </c>
      <c r="DB797">
        <f>$C797*DB796</f>
        <v/>
      </c>
      <c r="DC797">
        <f>$C797*DC796</f>
        <v/>
      </c>
    </row>
    <row r="798">
      <c r="B798" t="inlineStr">
        <is>
          <t>VSP-910</t>
        </is>
      </c>
      <c r="C798" t="inlineStr">
        <is>
          <t>No. of batches</t>
        </is>
      </c>
      <c r="D798">
        <f>IFERROR(INDEX(PP_Grid[#Data],$DD798,2),0)</f>
        <v/>
      </c>
      <c r="E798">
        <f>IFERROR(INDEX(PP_Grid[#Data],$DD798,3),0)</f>
        <v/>
      </c>
      <c r="F798">
        <f>IFERROR(INDEX(PP_Grid[#Data],$DD798,4),0)</f>
        <v/>
      </c>
      <c r="G798">
        <f>IFERROR(INDEX(PP_Grid[#Data],$DD798,5),0)</f>
        <v/>
      </c>
      <c r="H798">
        <f>IFERROR(INDEX(PP_Grid[#Data],$DD798,6),0)</f>
        <v/>
      </c>
      <c r="I798">
        <f>IFERROR(INDEX(PP_Grid[#Data],$DD798,7),0)</f>
        <v/>
      </c>
      <c r="J798">
        <f>IFERROR(INDEX(PP_Grid[#Data],$DD798,8),0)</f>
        <v/>
      </c>
      <c r="K798">
        <f>IFERROR(INDEX(PP_Grid[#Data],$DD798,9),0)</f>
        <v/>
      </c>
      <c r="L798">
        <f>IFERROR(INDEX(PP_Grid[#Data],$DD798,10),0)</f>
        <v/>
      </c>
      <c r="M798">
        <f>IFERROR(INDEX(PP_Grid[#Data],$DD798,11),0)</f>
        <v/>
      </c>
      <c r="N798">
        <f>IFERROR(INDEX(PP_Grid[#Data],$DD798,12),0)</f>
        <v/>
      </c>
      <c r="O798">
        <f>IFERROR(INDEX(PP_Grid[#Data],$DD798,13),0)</f>
        <v/>
      </c>
      <c r="P798">
        <f>IFERROR(INDEX(PP_Grid[#Data],$DD798,14),0)</f>
        <v/>
      </c>
      <c r="Q798">
        <f>IFERROR(INDEX(PP_Grid[#Data],$DD798,15),0)</f>
        <v/>
      </c>
      <c r="R798">
        <f>IFERROR(INDEX(PP_Grid[#Data],$DD798,16),0)</f>
        <v/>
      </c>
      <c r="S798">
        <f>IFERROR(INDEX(PP_Grid[#Data],$DD798,17),0)</f>
        <v/>
      </c>
      <c r="T798">
        <f>IFERROR(INDEX(PP_Grid[#Data],$DD798,18),0)</f>
        <v/>
      </c>
      <c r="U798">
        <f>IFERROR(INDEX(PP_Grid[#Data],$DD798,19),0)</f>
        <v/>
      </c>
      <c r="V798">
        <f>IFERROR(INDEX(PP_Grid[#Data],$DD798,20),0)</f>
        <v/>
      </c>
      <c r="W798">
        <f>IFERROR(INDEX(PP_Grid[#Data],$DD798,21),0)</f>
        <v/>
      </c>
      <c r="X798">
        <f>IFERROR(INDEX(PP_Grid[#Data],$DD798,22),0)</f>
        <v/>
      </c>
      <c r="Y798">
        <f>IFERROR(INDEX(PP_Grid[#Data],$DD798,23),0)</f>
        <v/>
      </c>
      <c r="Z798">
        <f>IFERROR(INDEX(PP_Grid[#Data],$DD798,24),0)</f>
        <v/>
      </c>
      <c r="AA798">
        <f>IFERROR(INDEX(PP_Grid[#Data],$DD798,25),0)</f>
        <v/>
      </c>
      <c r="AB798">
        <f>IFERROR(INDEX(PP_Grid[#Data],$DD798,26),0)</f>
        <v/>
      </c>
      <c r="AC798">
        <f>IFERROR(INDEX(PP_Grid[#Data],$DD798,27),0)</f>
        <v/>
      </c>
      <c r="AD798">
        <f>IFERROR(INDEX(PP_Grid[#Data],$DD798,28),0)</f>
        <v/>
      </c>
      <c r="AE798">
        <f>IFERROR(INDEX(PP_Grid[#Data],$DD798,29),0)</f>
        <v/>
      </c>
      <c r="AF798">
        <f>IFERROR(INDEX(PP_Grid[#Data],$DD798,30),0)</f>
        <v/>
      </c>
      <c r="AG798">
        <f>IFERROR(INDEX(PP_Grid[#Data],$DD798,31),0)</f>
        <v/>
      </c>
      <c r="AH798">
        <f>IFERROR(INDEX(PP_Grid[#Data],$DD798,32),0)</f>
        <v/>
      </c>
      <c r="AI798">
        <f>IFERROR(INDEX(PP_Grid[#Data],$DD798,33),0)</f>
        <v/>
      </c>
      <c r="AJ798">
        <f>IFERROR(INDEX(PP_Grid[#Data],$DD798,34),0)</f>
        <v/>
      </c>
      <c r="AK798">
        <f>IFERROR(INDEX(PP_Grid[#Data],$DD798,35),0)</f>
        <v/>
      </c>
      <c r="AL798">
        <f>IFERROR(INDEX(PP_Grid[#Data],$DD798,36),0)</f>
        <v/>
      </c>
      <c r="AM798">
        <f>IFERROR(INDEX(PP_Grid[#Data],$DD798,37),0)</f>
        <v/>
      </c>
      <c r="AN798">
        <f>IFERROR(INDEX(PP_Grid[#Data],$DD798,38),0)</f>
        <v/>
      </c>
      <c r="AO798">
        <f>IFERROR(INDEX(PP_Grid[#Data],$DD798,39),0)</f>
        <v/>
      </c>
      <c r="AP798">
        <f>IFERROR(INDEX(PP_Grid[#Data],$DD798,40),0)</f>
        <v/>
      </c>
      <c r="AQ798">
        <f>IFERROR(INDEX(PP_Grid[#Data],$DD798,41),0)</f>
        <v/>
      </c>
      <c r="AR798">
        <f>IFERROR(INDEX(PP_Grid[#Data],$DD798,42),0)</f>
        <v/>
      </c>
      <c r="AS798">
        <f>IFERROR(INDEX(PP_Grid[#Data],$DD798,43),0)</f>
        <v/>
      </c>
      <c r="AT798">
        <f>IFERROR(INDEX(PP_Grid[#Data],$DD798,44),0)</f>
        <v/>
      </c>
      <c r="AU798">
        <f>IFERROR(INDEX(PP_Grid[#Data],$DD798,45),0)</f>
        <v/>
      </c>
      <c r="AV798">
        <f>IFERROR(INDEX(PP_Grid[#Data],$DD798,46),0)</f>
        <v/>
      </c>
      <c r="AW798">
        <f>IFERROR(INDEX(PP_Grid[#Data],$DD798,47),0)</f>
        <v/>
      </c>
      <c r="AX798">
        <f>IFERROR(INDEX(PP_Grid[#Data],$DD798,48),0)</f>
        <v/>
      </c>
      <c r="AY798">
        <f>IFERROR(INDEX(PP_Grid[#Data],$DD798,49),0)</f>
        <v/>
      </c>
      <c r="AZ798">
        <f>IFERROR(INDEX(PP_Grid[#Data],$DD798,50),0)</f>
        <v/>
      </c>
      <c r="BA798">
        <f>IFERROR(INDEX(PP_Grid[#Data],$DD798,51),0)</f>
        <v/>
      </c>
      <c r="BB798">
        <f>IFERROR(INDEX(PP_Grid[#Data],$DD798,52),0)</f>
        <v/>
      </c>
      <c r="BC798">
        <f>IFERROR(INDEX(PP_Grid[#Data],$DD798,53),0)</f>
        <v/>
      </c>
      <c r="BD798">
        <f>IFERROR(INDEX(PP_Grid[#Data],$DD798,54),0)</f>
        <v/>
      </c>
      <c r="BE798">
        <f>IFERROR(INDEX(PP_Grid[#Data],$DD798,55),0)</f>
        <v/>
      </c>
      <c r="BF798">
        <f>IFERROR(INDEX(PP_Grid[#Data],$DD798,56),0)</f>
        <v/>
      </c>
      <c r="BG798">
        <f>IFERROR(INDEX(PP_Grid[#Data],$DD798,57),0)</f>
        <v/>
      </c>
      <c r="BH798">
        <f>IFERROR(INDEX(PP_Grid[#Data],$DD798,58),0)</f>
        <v/>
      </c>
      <c r="BI798">
        <f>IFERROR(INDEX(PP_Grid[#Data],$DD798,59),0)</f>
        <v/>
      </c>
      <c r="BJ798">
        <f>IFERROR(INDEX(PP_Grid[#Data],$DD798,60),0)</f>
        <v/>
      </c>
      <c r="BK798">
        <f>IFERROR(INDEX(PP_Grid[#Data],$DD798,61),0)</f>
        <v/>
      </c>
      <c r="BL798">
        <f>IFERROR(INDEX(PP_Grid[#Data],$DD798,62),0)</f>
        <v/>
      </c>
      <c r="BM798">
        <f>IFERROR(INDEX(PP_Grid[#Data],$DD798,63),0)</f>
        <v/>
      </c>
      <c r="BN798">
        <f>IFERROR(INDEX(PP_Grid[#Data],$DD798,64),0)</f>
        <v/>
      </c>
      <c r="BO798">
        <f>IFERROR(INDEX(PP_Grid[#Data],$DD798,65),0)</f>
        <v/>
      </c>
      <c r="BP798">
        <f>IFERROR(INDEX(PP_Grid[#Data],$DD798,66),0)</f>
        <v/>
      </c>
      <c r="BQ798">
        <f>IFERROR(INDEX(PP_Grid[#Data],$DD798,67),0)</f>
        <v/>
      </c>
      <c r="BR798">
        <f>IFERROR(INDEX(PP_Grid[#Data],$DD798,68),0)</f>
        <v/>
      </c>
      <c r="BS798">
        <f>IFERROR(INDEX(PP_Grid[#Data],$DD798,69),0)</f>
        <v/>
      </c>
      <c r="BT798">
        <f>IFERROR(INDEX(PP_Grid[#Data],$DD798,70),0)</f>
        <v/>
      </c>
      <c r="BU798">
        <f>IFERROR(INDEX(PP_Grid[#Data],$DD798,71),0)</f>
        <v/>
      </c>
      <c r="BV798">
        <f>IFERROR(INDEX(PP_Grid[#Data],$DD798,72),0)</f>
        <v/>
      </c>
      <c r="BW798">
        <f>IFERROR(INDEX(PP_Grid[#Data],$DD798,73),0)</f>
        <v/>
      </c>
      <c r="BX798">
        <f>IFERROR(INDEX(PP_Grid[#Data],$DD798,74),0)</f>
        <v/>
      </c>
      <c r="BY798">
        <f>IFERROR(INDEX(PP_Grid[#Data],$DD798,75),0)</f>
        <v/>
      </c>
      <c r="BZ798">
        <f>IFERROR(INDEX(PP_Grid[#Data],$DD798,76),0)</f>
        <v/>
      </c>
      <c r="CA798">
        <f>IFERROR(INDEX(PP_Grid[#Data],$DD798,77),0)</f>
        <v/>
      </c>
      <c r="CB798">
        <f>IFERROR(INDEX(PP_Grid[#Data],$DD798,78),0)</f>
        <v/>
      </c>
      <c r="CC798">
        <f>IFERROR(INDEX(PP_Grid[#Data],$DD798,79),0)</f>
        <v/>
      </c>
      <c r="CD798">
        <f>IFERROR(INDEX(PP_Grid[#Data],$DD798,80),0)</f>
        <v/>
      </c>
      <c r="CE798">
        <f>IFERROR(INDEX(PP_Grid[#Data],$DD798,81),0)</f>
        <v/>
      </c>
      <c r="CF798">
        <f>IFERROR(INDEX(PP_Grid[#Data],$DD798,82),0)</f>
        <v/>
      </c>
      <c r="CG798">
        <f>IFERROR(INDEX(PP_Grid[#Data],$DD798,83),0)</f>
        <v/>
      </c>
      <c r="CH798">
        <f>IFERROR(INDEX(PP_Grid[#Data],$DD798,84),0)</f>
        <v/>
      </c>
      <c r="CI798">
        <f>IFERROR(INDEX(PP_Grid[#Data],$DD798,85),0)</f>
        <v/>
      </c>
      <c r="CJ798">
        <f>IFERROR(INDEX(PP_Grid[#Data],$DD798,86),0)</f>
        <v/>
      </c>
      <c r="CK798">
        <f>IFERROR(INDEX(PP_Grid[#Data],$DD798,87),0)</f>
        <v/>
      </c>
      <c r="CL798">
        <f>IFERROR(INDEX(PP_Grid[#Data],$DD798,88),0)</f>
        <v/>
      </c>
      <c r="CM798">
        <f>IFERROR(INDEX(PP_Grid[#Data],$DD798,89),0)</f>
        <v/>
      </c>
      <c r="CN798">
        <f>IFERROR(INDEX(PP_Grid[#Data],$DD798,90),0)</f>
        <v/>
      </c>
      <c r="CO798">
        <f>IFERROR(INDEX(PP_Grid[#Data],$DD798,91),0)</f>
        <v/>
      </c>
      <c r="CP798">
        <f>IFERROR(INDEX(PP_Grid[#Data],$DD798,92),0)</f>
        <v/>
      </c>
      <c r="CQ798">
        <f>IFERROR(INDEX(PP_Grid[#Data],$DD798,93),0)</f>
        <v/>
      </c>
      <c r="CR798">
        <f>IFERROR(INDEX(PP_Grid[#Data],$DD798,94),0)</f>
        <v/>
      </c>
      <c r="CS798">
        <f>IFERROR(INDEX(PP_Grid[#Data],$DD798,95),0)</f>
        <v/>
      </c>
      <c r="CT798">
        <f>IFERROR(INDEX(PP_Grid[#Data],$DD798,96),0)</f>
        <v/>
      </c>
      <c r="CU798">
        <f>IFERROR(INDEX(PP_Grid[#Data],$DD798,97),0)</f>
        <v/>
      </c>
      <c r="CV798">
        <f>IFERROR(INDEX(PP_Grid[#Data],$DD798,98),0)</f>
        <v/>
      </c>
      <c r="CW798">
        <f>IFERROR(INDEX(PP_Grid[#Data],$DD798,99),0)</f>
        <v/>
      </c>
      <c r="CX798">
        <f>IFERROR(INDEX(PP_Grid[#Data],$DD798,100),0)</f>
        <v/>
      </c>
      <c r="CY798">
        <f>IFERROR(INDEX(PP_Grid[#Data],$DD798,101),0)</f>
        <v/>
      </c>
      <c r="CZ798">
        <f>IFERROR(INDEX(PP_Grid[#Data],$DD798,102),0)</f>
        <v/>
      </c>
      <c r="DA798">
        <f>IFERROR(INDEX(PP_Grid[#Data],$DD798,103),0)</f>
        <v/>
      </c>
      <c r="DB798">
        <f>IFERROR(INDEX(PP_Grid[#Data],$DD798,104),0)</f>
        <v/>
      </c>
      <c r="DC798">
        <f>IFERROR(INDEX(PP_Grid[#Data],$DD798,105),0)</f>
        <v/>
      </c>
      <c r="DD798" s="12">
        <f>IFERROR(MATCH($B798,PP_Grid[Intermediate],0),99999)</f>
        <v/>
      </c>
    </row>
    <row r="799">
      <c r="B799" t="inlineStr">
        <is>
          <t>使用量(kg)</t>
        </is>
      </c>
      <c r="C799">
        <f>SUMIFS(M_BOM[RM_Qty_Per_Batch],M_BOM[Intermediate],$B798,M_BOM[Part Name],$A669)</f>
        <v/>
      </c>
      <c r="D799">
        <f>$C799*D798</f>
        <v/>
      </c>
      <c r="E799">
        <f>$C799*E798</f>
        <v/>
      </c>
      <c r="F799">
        <f>$C799*F798</f>
        <v/>
      </c>
      <c r="G799">
        <f>$C799*G798</f>
        <v/>
      </c>
      <c r="H799">
        <f>$C799*H798</f>
        <v/>
      </c>
      <c r="I799">
        <f>$C799*I798</f>
        <v/>
      </c>
      <c r="J799">
        <f>$C799*J798</f>
        <v/>
      </c>
      <c r="K799">
        <f>$C799*K798</f>
        <v/>
      </c>
      <c r="L799">
        <f>$C799*L798</f>
        <v/>
      </c>
      <c r="M799">
        <f>$C799*M798</f>
        <v/>
      </c>
      <c r="N799">
        <f>$C799*N798</f>
        <v/>
      </c>
      <c r="O799">
        <f>$C799*O798</f>
        <v/>
      </c>
      <c r="P799">
        <f>$C799*P798</f>
        <v/>
      </c>
      <c r="Q799">
        <f>$C799*Q798</f>
        <v/>
      </c>
      <c r="R799">
        <f>$C799*R798</f>
        <v/>
      </c>
      <c r="S799">
        <f>$C799*S798</f>
        <v/>
      </c>
      <c r="T799">
        <f>$C799*T798</f>
        <v/>
      </c>
      <c r="U799">
        <f>$C799*U798</f>
        <v/>
      </c>
      <c r="V799">
        <f>$C799*V798</f>
        <v/>
      </c>
      <c r="W799">
        <f>$C799*W798</f>
        <v/>
      </c>
      <c r="X799">
        <f>$C799*X798</f>
        <v/>
      </c>
      <c r="Y799">
        <f>$C799*Y798</f>
        <v/>
      </c>
      <c r="Z799">
        <f>$C799*Z798</f>
        <v/>
      </c>
      <c r="AA799">
        <f>$C799*AA798</f>
        <v/>
      </c>
      <c r="AB799">
        <f>$C799*AB798</f>
        <v/>
      </c>
      <c r="AC799">
        <f>$C799*AC798</f>
        <v/>
      </c>
      <c r="AD799">
        <f>$C799*AD798</f>
        <v/>
      </c>
      <c r="AE799">
        <f>$C799*AE798</f>
        <v/>
      </c>
      <c r="AF799">
        <f>$C799*AF798</f>
        <v/>
      </c>
      <c r="AG799">
        <f>$C799*AG798</f>
        <v/>
      </c>
      <c r="AH799">
        <f>$C799*AH798</f>
        <v/>
      </c>
      <c r="AI799">
        <f>$C799*AI798</f>
        <v/>
      </c>
      <c r="AJ799">
        <f>$C799*AJ798</f>
        <v/>
      </c>
      <c r="AK799">
        <f>$C799*AK798</f>
        <v/>
      </c>
      <c r="AL799">
        <f>$C799*AL798</f>
        <v/>
      </c>
      <c r="AM799">
        <f>$C799*AM798</f>
        <v/>
      </c>
      <c r="AN799">
        <f>$C799*AN798</f>
        <v/>
      </c>
      <c r="AO799">
        <f>$C799*AO798</f>
        <v/>
      </c>
      <c r="AP799">
        <f>$C799*AP798</f>
        <v/>
      </c>
      <c r="AQ799">
        <f>$C799*AQ798</f>
        <v/>
      </c>
      <c r="AR799">
        <f>$C799*AR798</f>
        <v/>
      </c>
      <c r="AS799">
        <f>$C799*AS798</f>
        <v/>
      </c>
      <c r="AT799">
        <f>$C799*AT798</f>
        <v/>
      </c>
      <c r="AU799">
        <f>$C799*AU798</f>
        <v/>
      </c>
      <c r="AV799">
        <f>$C799*AV798</f>
        <v/>
      </c>
      <c r="AW799">
        <f>$C799*AW798</f>
        <v/>
      </c>
      <c r="AX799">
        <f>$C799*AX798</f>
        <v/>
      </c>
      <c r="AY799">
        <f>$C799*AY798</f>
        <v/>
      </c>
      <c r="AZ799">
        <f>$C799*AZ798</f>
        <v/>
      </c>
      <c r="BA799">
        <f>$C799*BA798</f>
        <v/>
      </c>
      <c r="BB799">
        <f>$C799*BB798</f>
        <v/>
      </c>
      <c r="BC799">
        <f>$C799*BC798</f>
        <v/>
      </c>
      <c r="BD799">
        <f>$C799*BD798</f>
        <v/>
      </c>
      <c r="BE799">
        <f>$C799*BE798</f>
        <v/>
      </c>
      <c r="BF799">
        <f>$C799*BF798</f>
        <v/>
      </c>
      <c r="BG799">
        <f>$C799*BG798</f>
        <v/>
      </c>
      <c r="BH799">
        <f>$C799*BH798</f>
        <v/>
      </c>
      <c r="BI799">
        <f>$C799*BI798</f>
        <v/>
      </c>
      <c r="BJ799">
        <f>$C799*BJ798</f>
        <v/>
      </c>
      <c r="BK799">
        <f>$C799*BK798</f>
        <v/>
      </c>
      <c r="BL799">
        <f>$C799*BL798</f>
        <v/>
      </c>
      <c r="BM799">
        <f>$C799*BM798</f>
        <v/>
      </c>
      <c r="BN799">
        <f>$C799*BN798</f>
        <v/>
      </c>
      <c r="BO799">
        <f>$C799*BO798</f>
        <v/>
      </c>
      <c r="BP799">
        <f>$C799*BP798</f>
        <v/>
      </c>
      <c r="BQ799">
        <f>$C799*BQ798</f>
        <v/>
      </c>
      <c r="BR799">
        <f>$C799*BR798</f>
        <v/>
      </c>
      <c r="BS799">
        <f>$C799*BS798</f>
        <v/>
      </c>
      <c r="BT799">
        <f>$C799*BT798</f>
        <v/>
      </c>
      <c r="BU799">
        <f>$C799*BU798</f>
        <v/>
      </c>
      <c r="BV799">
        <f>$C799*BV798</f>
        <v/>
      </c>
      <c r="BW799">
        <f>$C799*BW798</f>
        <v/>
      </c>
      <c r="BX799">
        <f>$C799*BX798</f>
        <v/>
      </c>
      <c r="BY799">
        <f>$C799*BY798</f>
        <v/>
      </c>
      <c r="BZ799">
        <f>$C799*BZ798</f>
        <v/>
      </c>
      <c r="CA799">
        <f>$C799*CA798</f>
        <v/>
      </c>
      <c r="CB799">
        <f>$C799*CB798</f>
        <v/>
      </c>
      <c r="CC799">
        <f>$C799*CC798</f>
        <v/>
      </c>
      <c r="CD799">
        <f>$C799*CD798</f>
        <v/>
      </c>
      <c r="CE799">
        <f>$C799*CE798</f>
        <v/>
      </c>
      <c r="CF799">
        <f>$C799*CF798</f>
        <v/>
      </c>
      <c r="CG799">
        <f>$C799*CG798</f>
        <v/>
      </c>
      <c r="CH799">
        <f>$C799*CH798</f>
        <v/>
      </c>
      <c r="CI799">
        <f>$C799*CI798</f>
        <v/>
      </c>
      <c r="CJ799">
        <f>$C799*CJ798</f>
        <v/>
      </c>
      <c r="CK799">
        <f>$C799*CK798</f>
        <v/>
      </c>
      <c r="CL799">
        <f>$C799*CL798</f>
        <v/>
      </c>
      <c r="CM799">
        <f>$C799*CM798</f>
        <v/>
      </c>
      <c r="CN799">
        <f>$C799*CN798</f>
        <v/>
      </c>
      <c r="CO799">
        <f>$C799*CO798</f>
        <v/>
      </c>
      <c r="CP799">
        <f>$C799*CP798</f>
        <v/>
      </c>
      <c r="CQ799">
        <f>$C799*CQ798</f>
        <v/>
      </c>
      <c r="CR799">
        <f>$C799*CR798</f>
        <v/>
      </c>
      <c r="CS799">
        <f>$C799*CS798</f>
        <v/>
      </c>
      <c r="CT799">
        <f>$C799*CT798</f>
        <v/>
      </c>
      <c r="CU799">
        <f>$C799*CU798</f>
        <v/>
      </c>
      <c r="CV799">
        <f>$C799*CV798</f>
        <v/>
      </c>
      <c r="CW799">
        <f>$C799*CW798</f>
        <v/>
      </c>
      <c r="CX799">
        <f>$C799*CX798</f>
        <v/>
      </c>
      <c r="CY799">
        <f>$C799*CY798</f>
        <v/>
      </c>
      <c r="CZ799">
        <f>$C799*CZ798</f>
        <v/>
      </c>
      <c r="DA799">
        <f>$C799*DA798</f>
        <v/>
      </c>
      <c r="DB799">
        <f>$C799*DB798</f>
        <v/>
      </c>
      <c r="DC799">
        <f>$C799*DC798</f>
        <v/>
      </c>
    </row>
    <row r="800">
      <c r="B800" t="inlineStr">
        <is>
          <t>VSP-989</t>
        </is>
      </c>
      <c r="C800" t="inlineStr">
        <is>
          <t>No. of batches</t>
        </is>
      </c>
      <c r="D800">
        <f>IFERROR(INDEX(PP_Grid[#Data],$DD800,2),0)</f>
        <v/>
      </c>
      <c r="E800">
        <f>IFERROR(INDEX(PP_Grid[#Data],$DD800,3),0)</f>
        <v/>
      </c>
      <c r="F800">
        <f>IFERROR(INDEX(PP_Grid[#Data],$DD800,4),0)</f>
        <v/>
      </c>
      <c r="G800">
        <f>IFERROR(INDEX(PP_Grid[#Data],$DD800,5),0)</f>
        <v/>
      </c>
      <c r="H800">
        <f>IFERROR(INDEX(PP_Grid[#Data],$DD800,6),0)</f>
        <v/>
      </c>
      <c r="I800">
        <f>IFERROR(INDEX(PP_Grid[#Data],$DD800,7),0)</f>
        <v/>
      </c>
      <c r="J800">
        <f>IFERROR(INDEX(PP_Grid[#Data],$DD800,8),0)</f>
        <v/>
      </c>
      <c r="K800">
        <f>IFERROR(INDEX(PP_Grid[#Data],$DD800,9),0)</f>
        <v/>
      </c>
      <c r="L800">
        <f>IFERROR(INDEX(PP_Grid[#Data],$DD800,10),0)</f>
        <v/>
      </c>
      <c r="M800">
        <f>IFERROR(INDEX(PP_Grid[#Data],$DD800,11),0)</f>
        <v/>
      </c>
      <c r="N800">
        <f>IFERROR(INDEX(PP_Grid[#Data],$DD800,12),0)</f>
        <v/>
      </c>
      <c r="O800">
        <f>IFERROR(INDEX(PP_Grid[#Data],$DD800,13),0)</f>
        <v/>
      </c>
      <c r="P800">
        <f>IFERROR(INDEX(PP_Grid[#Data],$DD800,14),0)</f>
        <v/>
      </c>
      <c r="Q800">
        <f>IFERROR(INDEX(PP_Grid[#Data],$DD800,15),0)</f>
        <v/>
      </c>
      <c r="R800">
        <f>IFERROR(INDEX(PP_Grid[#Data],$DD800,16),0)</f>
        <v/>
      </c>
      <c r="S800">
        <f>IFERROR(INDEX(PP_Grid[#Data],$DD800,17),0)</f>
        <v/>
      </c>
      <c r="T800">
        <f>IFERROR(INDEX(PP_Grid[#Data],$DD800,18),0)</f>
        <v/>
      </c>
      <c r="U800">
        <f>IFERROR(INDEX(PP_Grid[#Data],$DD800,19),0)</f>
        <v/>
      </c>
      <c r="V800">
        <f>IFERROR(INDEX(PP_Grid[#Data],$DD800,20),0)</f>
        <v/>
      </c>
      <c r="W800">
        <f>IFERROR(INDEX(PP_Grid[#Data],$DD800,21),0)</f>
        <v/>
      </c>
      <c r="X800">
        <f>IFERROR(INDEX(PP_Grid[#Data],$DD800,22),0)</f>
        <v/>
      </c>
      <c r="Y800">
        <f>IFERROR(INDEX(PP_Grid[#Data],$DD800,23),0)</f>
        <v/>
      </c>
      <c r="Z800">
        <f>IFERROR(INDEX(PP_Grid[#Data],$DD800,24),0)</f>
        <v/>
      </c>
      <c r="AA800">
        <f>IFERROR(INDEX(PP_Grid[#Data],$DD800,25),0)</f>
        <v/>
      </c>
      <c r="AB800">
        <f>IFERROR(INDEX(PP_Grid[#Data],$DD800,26),0)</f>
        <v/>
      </c>
      <c r="AC800">
        <f>IFERROR(INDEX(PP_Grid[#Data],$DD800,27),0)</f>
        <v/>
      </c>
      <c r="AD800">
        <f>IFERROR(INDEX(PP_Grid[#Data],$DD800,28),0)</f>
        <v/>
      </c>
      <c r="AE800">
        <f>IFERROR(INDEX(PP_Grid[#Data],$DD800,29),0)</f>
        <v/>
      </c>
      <c r="AF800">
        <f>IFERROR(INDEX(PP_Grid[#Data],$DD800,30),0)</f>
        <v/>
      </c>
      <c r="AG800">
        <f>IFERROR(INDEX(PP_Grid[#Data],$DD800,31),0)</f>
        <v/>
      </c>
      <c r="AH800">
        <f>IFERROR(INDEX(PP_Grid[#Data],$DD800,32),0)</f>
        <v/>
      </c>
      <c r="AI800">
        <f>IFERROR(INDEX(PP_Grid[#Data],$DD800,33),0)</f>
        <v/>
      </c>
      <c r="AJ800">
        <f>IFERROR(INDEX(PP_Grid[#Data],$DD800,34),0)</f>
        <v/>
      </c>
      <c r="AK800">
        <f>IFERROR(INDEX(PP_Grid[#Data],$DD800,35),0)</f>
        <v/>
      </c>
      <c r="AL800">
        <f>IFERROR(INDEX(PP_Grid[#Data],$DD800,36),0)</f>
        <v/>
      </c>
      <c r="AM800">
        <f>IFERROR(INDEX(PP_Grid[#Data],$DD800,37),0)</f>
        <v/>
      </c>
      <c r="AN800">
        <f>IFERROR(INDEX(PP_Grid[#Data],$DD800,38),0)</f>
        <v/>
      </c>
      <c r="AO800">
        <f>IFERROR(INDEX(PP_Grid[#Data],$DD800,39),0)</f>
        <v/>
      </c>
      <c r="AP800">
        <f>IFERROR(INDEX(PP_Grid[#Data],$DD800,40),0)</f>
        <v/>
      </c>
      <c r="AQ800">
        <f>IFERROR(INDEX(PP_Grid[#Data],$DD800,41),0)</f>
        <v/>
      </c>
      <c r="AR800">
        <f>IFERROR(INDEX(PP_Grid[#Data],$DD800,42),0)</f>
        <v/>
      </c>
      <c r="AS800">
        <f>IFERROR(INDEX(PP_Grid[#Data],$DD800,43),0)</f>
        <v/>
      </c>
      <c r="AT800">
        <f>IFERROR(INDEX(PP_Grid[#Data],$DD800,44),0)</f>
        <v/>
      </c>
      <c r="AU800">
        <f>IFERROR(INDEX(PP_Grid[#Data],$DD800,45),0)</f>
        <v/>
      </c>
      <c r="AV800">
        <f>IFERROR(INDEX(PP_Grid[#Data],$DD800,46),0)</f>
        <v/>
      </c>
      <c r="AW800">
        <f>IFERROR(INDEX(PP_Grid[#Data],$DD800,47),0)</f>
        <v/>
      </c>
      <c r="AX800">
        <f>IFERROR(INDEX(PP_Grid[#Data],$DD800,48),0)</f>
        <v/>
      </c>
      <c r="AY800">
        <f>IFERROR(INDEX(PP_Grid[#Data],$DD800,49),0)</f>
        <v/>
      </c>
      <c r="AZ800">
        <f>IFERROR(INDEX(PP_Grid[#Data],$DD800,50),0)</f>
        <v/>
      </c>
      <c r="BA800">
        <f>IFERROR(INDEX(PP_Grid[#Data],$DD800,51),0)</f>
        <v/>
      </c>
      <c r="BB800">
        <f>IFERROR(INDEX(PP_Grid[#Data],$DD800,52),0)</f>
        <v/>
      </c>
      <c r="BC800">
        <f>IFERROR(INDEX(PP_Grid[#Data],$DD800,53),0)</f>
        <v/>
      </c>
      <c r="BD800">
        <f>IFERROR(INDEX(PP_Grid[#Data],$DD800,54),0)</f>
        <v/>
      </c>
      <c r="BE800">
        <f>IFERROR(INDEX(PP_Grid[#Data],$DD800,55),0)</f>
        <v/>
      </c>
      <c r="BF800">
        <f>IFERROR(INDEX(PP_Grid[#Data],$DD800,56),0)</f>
        <v/>
      </c>
      <c r="BG800">
        <f>IFERROR(INDEX(PP_Grid[#Data],$DD800,57),0)</f>
        <v/>
      </c>
      <c r="BH800">
        <f>IFERROR(INDEX(PP_Grid[#Data],$DD800,58),0)</f>
        <v/>
      </c>
      <c r="BI800">
        <f>IFERROR(INDEX(PP_Grid[#Data],$DD800,59),0)</f>
        <v/>
      </c>
      <c r="BJ800">
        <f>IFERROR(INDEX(PP_Grid[#Data],$DD800,60),0)</f>
        <v/>
      </c>
      <c r="BK800">
        <f>IFERROR(INDEX(PP_Grid[#Data],$DD800,61),0)</f>
        <v/>
      </c>
      <c r="BL800">
        <f>IFERROR(INDEX(PP_Grid[#Data],$DD800,62),0)</f>
        <v/>
      </c>
      <c r="BM800">
        <f>IFERROR(INDEX(PP_Grid[#Data],$DD800,63),0)</f>
        <v/>
      </c>
      <c r="BN800">
        <f>IFERROR(INDEX(PP_Grid[#Data],$DD800,64),0)</f>
        <v/>
      </c>
      <c r="BO800">
        <f>IFERROR(INDEX(PP_Grid[#Data],$DD800,65),0)</f>
        <v/>
      </c>
      <c r="BP800">
        <f>IFERROR(INDEX(PP_Grid[#Data],$DD800,66),0)</f>
        <v/>
      </c>
      <c r="BQ800">
        <f>IFERROR(INDEX(PP_Grid[#Data],$DD800,67),0)</f>
        <v/>
      </c>
      <c r="BR800">
        <f>IFERROR(INDEX(PP_Grid[#Data],$DD800,68),0)</f>
        <v/>
      </c>
      <c r="BS800">
        <f>IFERROR(INDEX(PP_Grid[#Data],$DD800,69),0)</f>
        <v/>
      </c>
      <c r="BT800">
        <f>IFERROR(INDEX(PP_Grid[#Data],$DD800,70),0)</f>
        <v/>
      </c>
      <c r="BU800">
        <f>IFERROR(INDEX(PP_Grid[#Data],$DD800,71),0)</f>
        <v/>
      </c>
      <c r="BV800">
        <f>IFERROR(INDEX(PP_Grid[#Data],$DD800,72),0)</f>
        <v/>
      </c>
      <c r="BW800">
        <f>IFERROR(INDEX(PP_Grid[#Data],$DD800,73),0)</f>
        <v/>
      </c>
      <c r="BX800">
        <f>IFERROR(INDEX(PP_Grid[#Data],$DD800,74),0)</f>
        <v/>
      </c>
      <c r="BY800">
        <f>IFERROR(INDEX(PP_Grid[#Data],$DD800,75),0)</f>
        <v/>
      </c>
      <c r="BZ800">
        <f>IFERROR(INDEX(PP_Grid[#Data],$DD800,76),0)</f>
        <v/>
      </c>
      <c r="CA800">
        <f>IFERROR(INDEX(PP_Grid[#Data],$DD800,77),0)</f>
        <v/>
      </c>
      <c r="CB800">
        <f>IFERROR(INDEX(PP_Grid[#Data],$DD800,78),0)</f>
        <v/>
      </c>
      <c r="CC800">
        <f>IFERROR(INDEX(PP_Grid[#Data],$DD800,79),0)</f>
        <v/>
      </c>
      <c r="CD800">
        <f>IFERROR(INDEX(PP_Grid[#Data],$DD800,80),0)</f>
        <v/>
      </c>
      <c r="CE800">
        <f>IFERROR(INDEX(PP_Grid[#Data],$DD800,81),0)</f>
        <v/>
      </c>
      <c r="CF800">
        <f>IFERROR(INDEX(PP_Grid[#Data],$DD800,82),0)</f>
        <v/>
      </c>
      <c r="CG800">
        <f>IFERROR(INDEX(PP_Grid[#Data],$DD800,83),0)</f>
        <v/>
      </c>
      <c r="CH800">
        <f>IFERROR(INDEX(PP_Grid[#Data],$DD800,84),0)</f>
        <v/>
      </c>
      <c r="CI800">
        <f>IFERROR(INDEX(PP_Grid[#Data],$DD800,85),0)</f>
        <v/>
      </c>
      <c r="CJ800">
        <f>IFERROR(INDEX(PP_Grid[#Data],$DD800,86),0)</f>
        <v/>
      </c>
      <c r="CK800">
        <f>IFERROR(INDEX(PP_Grid[#Data],$DD800,87),0)</f>
        <v/>
      </c>
      <c r="CL800">
        <f>IFERROR(INDEX(PP_Grid[#Data],$DD800,88),0)</f>
        <v/>
      </c>
      <c r="CM800">
        <f>IFERROR(INDEX(PP_Grid[#Data],$DD800,89),0)</f>
        <v/>
      </c>
      <c r="CN800">
        <f>IFERROR(INDEX(PP_Grid[#Data],$DD800,90),0)</f>
        <v/>
      </c>
      <c r="CO800">
        <f>IFERROR(INDEX(PP_Grid[#Data],$DD800,91),0)</f>
        <v/>
      </c>
      <c r="CP800">
        <f>IFERROR(INDEX(PP_Grid[#Data],$DD800,92),0)</f>
        <v/>
      </c>
      <c r="CQ800">
        <f>IFERROR(INDEX(PP_Grid[#Data],$DD800,93),0)</f>
        <v/>
      </c>
      <c r="CR800">
        <f>IFERROR(INDEX(PP_Grid[#Data],$DD800,94),0)</f>
        <v/>
      </c>
      <c r="CS800">
        <f>IFERROR(INDEX(PP_Grid[#Data],$DD800,95),0)</f>
        <v/>
      </c>
      <c r="CT800">
        <f>IFERROR(INDEX(PP_Grid[#Data],$DD800,96),0)</f>
        <v/>
      </c>
      <c r="CU800">
        <f>IFERROR(INDEX(PP_Grid[#Data],$DD800,97),0)</f>
        <v/>
      </c>
      <c r="CV800">
        <f>IFERROR(INDEX(PP_Grid[#Data],$DD800,98),0)</f>
        <v/>
      </c>
      <c r="CW800">
        <f>IFERROR(INDEX(PP_Grid[#Data],$DD800,99),0)</f>
        <v/>
      </c>
      <c r="CX800">
        <f>IFERROR(INDEX(PP_Grid[#Data],$DD800,100),0)</f>
        <v/>
      </c>
      <c r="CY800">
        <f>IFERROR(INDEX(PP_Grid[#Data],$DD800,101),0)</f>
        <v/>
      </c>
      <c r="CZ800">
        <f>IFERROR(INDEX(PP_Grid[#Data],$DD800,102),0)</f>
        <v/>
      </c>
      <c r="DA800">
        <f>IFERROR(INDEX(PP_Grid[#Data],$DD800,103),0)</f>
        <v/>
      </c>
      <c r="DB800">
        <f>IFERROR(INDEX(PP_Grid[#Data],$DD800,104),0)</f>
        <v/>
      </c>
      <c r="DC800">
        <f>IFERROR(INDEX(PP_Grid[#Data],$DD800,105),0)</f>
        <v/>
      </c>
      <c r="DD800" s="12">
        <f>IFERROR(MATCH($B800,PP_Grid[Intermediate],0),99999)</f>
        <v/>
      </c>
    </row>
    <row r="801">
      <c r="B801" t="inlineStr">
        <is>
          <t>使用量(kg)</t>
        </is>
      </c>
      <c r="C801">
        <f>SUMIFS(M_BOM[RM_Qty_Per_Batch],M_BOM[Intermediate],$B800,M_BOM[Part Name],$A669)</f>
        <v/>
      </c>
      <c r="D801">
        <f>$C801*D800</f>
        <v/>
      </c>
      <c r="E801">
        <f>$C801*E800</f>
        <v/>
      </c>
      <c r="F801">
        <f>$C801*F800</f>
        <v/>
      </c>
      <c r="G801">
        <f>$C801*G800</f>
        <v/>
      </c>
      <c r="H801">
        <f>$C801*H800</f>
        <v/>
      </c>
      <c r="I801">
        <f>$C801*I800</f>
        <v/>
      </c>
      <c r="J801">
        <f>$C801*J800</f>
        <v/>
      </c>
      <c r="K801">
        <f>$C801*K800</f>
        <v/>
      </c>
      <c r="L801">
        <f>$C801*L800</f>
        <v/>
      </c>
      <c r="M801">
        <f>$C801*M800</f>
        <v/>
      </c>
      <c r="N801">
        <f>$C801*N800</f>
        <v/>
      </c>
      <c r="O801">
        <f>$C801*O800</f>
        <v/>
      </c>
      <c r="P801">
        <f>$C801*P800</f>
        <v/>
      </c>
      <c r="Q801">
        <f>$C801*Q800</f>
        <v/>
      </c>
      <c r="R801">
        <f>$C801*R800</f>
        <v/>
      </c>
      <c r="S801">
        <f>$C801*S800</f>
        <v/>
      </c>
      <c r="T801">
        <f>$C801*T800</f>
        <v/>
      </c>
      <c r="U801">
        <f>$C801*U800</f>
        <v/>
      </c>
      <c r="V801">
        <f>$C801*V800</f>
        <v/>
      </c>
      <c r="W801">
        <f>$C801*W800</f>
        <v/>
      </c>
      <c r="X801">
        <f>$C801*X800</f>
        <v/>
      </c>
      <c r="Y801">
        <f>$C801*Y800</f>
        <v/>
      </c>
      <c r="Z801">
        <f>$C801*Z800</f>
        <v/>
      </c>
      <c r="AA801">
        <f>$C801*AA800</f>
        <v/>
      </c>
      <c r="AB801">
        <f>$C801*AB800</f>
        <v/>
      </c>
      <c r="AC801">
        <f>$C801*AC800</f>
        <v/>
      </c>
      <c r="AD801">
        <f>$C801*AD800</f>
        <v/>
      </c>
      <c r="AE801">
        <f>$C801*AE800</f>
        <v/>
      </c>
      <c r="AF801">
        <f>$C801*AF800</f>
        <v/>
      </c>
      <c r="AG801">
        <f>$C801*AG800</f>
        <v/>
      </c>
      <c r="AH801">
        <f>$C801*AH800</f>
        <v/>
      </c>
      <c r="AI801">
        <f>$C801*AI800</f>
        <v/>
      </c>
      <c r="AJ801">
        <f>$C801*AJ800</f>
        <v/>
      </c>
      <c r="AK801">
        <f>$C801*AK800</f>
        <v/>
      </c>
      <c r="AL801">
        <f>$C801*AL800</f>
        <v/>
      </c>
      <c r="AM801">
        <f>$C801*AM800</f>
        <v/>
      </c>
      <c r="AN801">
        <f>$C801*AN800</f>
        <v/>
      </c>
      <c r="AO801">
        <f>$C801*AO800</f>
        <v/>
      </c>
      <c r="AP801">
        <f>$C801*AP800</f>
        <v/>
      </c>
      <c r="AQ801">
        <f>$C801*AQ800</f>
        <v/>
      </c>
      <c r="AR801">
        <f>$C801*AR800</f>
        <v/>
      </c>
      <c r="AS801">
        <f>$C801*AS800</f>
        <v/>
      </c>
      <c r="AT801">
        <f>$C801*AT800</f>
        <v/>
      </c>
      <c r="AU801">
        <f>$C801*AU800</f>
        <v/>
      </c>
      <c r="AV801">
        <f>$C801*AV800</f>
        <v/>
      </c>
      <c r="AW801">
        <f>$C801*AW800</f>
        <v/>
      </c>
      <c r="AX801">
        <f>$C801*AX800</f>
        <v/>
      </c>
      <c r="AY801">
        <f>$C801*AY800</f>
        <v/>
      </c>
      <c r="AZ801">
        <f>$C801*AZ800</f>
        <v/>
      </c>
      <c r="BA801">
        <f>$C801*BA800</f>
        <v/>
      </c>
      <c r="BB801">
        <f>$C801*BB800</f>
        <v/>
      </c>
      <c r="BC801">
        <f>$C801*BC800</f>
        <v/>
      </c>
      <c r="BD801">
        <f>$C801*BD800</f>
        <v/>
      </c>
      <c r="BE801">
        <f>$C801*BE800</f>
        <v/>
      </c>
      <c r="BF801">
        <f>$C801*BF800</f>
        <v/>
      </c>
      <c r="BG801">
        <f>$C801*BG800</f>
        <v/>
      </c>
      <c r="BH801">
        <f>$C801*BH800</f>
        <v/>
      </c>
      <c r="BI801">
        <f>$C801*BI800</f>
        <v/>
      </c>
      <c r="BJ801">
        <f>$C801*BJ800</f>
        <v/>
      </c>
      <c r="BK801">
        <f>$C801*BK800</f>
        <v/>
      </c>
      <c r="BL801">
        <f>$C801*BL800</f>
        <v/>
      </c>
      <c r="BM801">
        <f>$C801*BM800</f>
        <v/>
      </c>
      <c r="BN801">
        <f>$C801*BN800</f>
        <v/>
      </c>
      <c r="BO801">
        <f>$C801*BO800</f>
        <v/>
      </c>
      <c r="BP801">
        <f>$C801*BP800</f>
        <v/>
      </c>
      <c r="BQ801">
        <f>$C801*BQ800</f>
        <v/>
      </c>
      <c r="BR801">
        <f>$C801*BR800</f>
        <v/>
      </c>
      <c r="BS801">
        <f>$C801*BS800</f>
        <v/>
      </c>
      <c r="BT801">
        <f>$C801*BT800</f>
        <v/>
      </c>
      <c r="BU801">
        <f>$C801*BU800</f>
        <v/>
      </c>
      <c r="BV801">
        <f>$C801*BV800</f>
        <v/>
      </c>
      <c r="BW801">
        <f>$C801*BW800</f>
        <v/>
      </c>
      <c r="BX801">
        <f>$C801*BX800</f>
        <v/>
      </c>
      <c r="BY801">
        <f>$C801*BY800</f>
        <v/>
      </c>
      <c r="BZ801">
        <f>$C801*BZ800</f>
        <v/>
      </c>
      <c r="CA801">
        <f>$C801*CA800</f>
        <v/>
      </c>
      <c r="CB801">
        <f>$C801*CB800</f>
        <v/>
      </c>
      <c r="CC801">
        <f>$C801*CC800</f>
        <v/>
      </c>
      <c r="CD801">
        <f>$C801*CD800</f>
        <v/>
      </c>
      <c r="CE801">
        <f>$C801*CE800</f>
        <v/>
      </c>
      <c r="CF801">
        <f>$C801*CF800</f>
        <v/>
      </c>
      <c r="CG801">
        <f>$C801*CG800</f>
        <v/>
      </c>
      <c r="CH801">
        <f>$C801*CH800</f>
        <v/>
      </c>
      <c r="CI801">
        <f>$C801*CI800</f>
        <v/>
      </c>
      <c r="CJ801">
        <f>$C801*CJ800</f>
        <v/>
      </c>
      <c r="CK801">
        <f>$C801*CK800</f>
        <v/>
      </c>
      <c r="CL801">
        <f>$C801*CL800</f>
        <v/>
      </c>
      <c r="CM801">
        <f>$C801*CM800</f>
        <v/>
      </c>
      <c r="CN801">
        <f>$C801*CN800</f>
        <v/>
      </c>
      <c r="CO801">
        <f>$C801*CO800</f>
        <v/>
      </c>
      <c r="CP801">
        <f>$C801*CP800</f>
        <v/>
      </c>
      <c r="CQ801">
        <f>$C801*CQ800</f>
        <v/>
      </c>
      <c r="CR801">
        <f>$C801*CR800</f>
        <v/>
      </c>
      <c r="CS801">
        <f>$C801*CS800</f>
        <v/>
      </c>
      <c r="CT801">
        <f>$C801*CT800</f>
        <v/>
      </c>
      <c r="CU801">
        <f>$C801*CU800</f>
        <v/>
      </c>
      <c r="CV801">
        <f>$C801*CV800</f>
        <v/>
      </c>
      <c r="CW801">
        <f>$C801*CW800</f>
        <v/>
      </c>
      <c r="CX801">
        <f>$C801*CX800</f>
        <v/>
      </c>
      <c r="CY801">
        <f>$C801*CY800</f>
        <v/>
      </c>
      <c r="CZ801">
        <f>$C801*CZ800</f>
        <v/>
      </c>
      <c r="DA801">
        <f>$C801*DA800</f>
        <v/>
      </c>
      <c r="DB801">
        <f>$C801*DB800</f>
        <v/>
      </c>
      <c r="DC801">
        <f>$C801*DC800</f>
        <v/>
      </c>
    </row>
    <row r="802">
      <c r="B802" t="inlineStr">
        <is>
          <t>VSP-990</t>
        </is>
      </c>
      <c r="C802" t="inlineStr">
        <is>
          <t>No. of batches</t>
        </is>
      </c>
      <c r="D802">
        <f>IFERROR(INDEX(PP_Grid[#Data],$DD802,2),0)</f>
        <v/>
      </c>
      <c r="E802">
        <f>IFERROR(INDEX(PP_Grid[#Data],$DD802,3),0)</f>
        <v/>
      </c>
      <c r="F802">
        <f>IFERROR(INDEX(PP_Grid[#Data],$DD802,4),0)</f>
        <v/>
      </c>
      <c r="G802">
        <f>IFERROR(INDEX(PP_Grid[#Data],$DD802,5),0)</f>
        <v/>
      </c>
      <c r="H802">
        <f>IFERROR(INDEX(PP_Grid[#Data],$DD802,6),0)</f>
        <v/>
      </c>
      <c r="I802">
        <f>IFERROR(INDEX(PP_Grid[#Data],$DD802,7),0)</f>
        <v/>
      </c>
      <c r="J802">
        <f>IFERROR(INDEX(PP_Grid[#Data],$DD802,8),0)</f>
        <v/>
      </c>
      <c r="K802">
        <f>IFERROR(INDEX(PP_Grid[#Data],$DD802,9),0)</f>
        <v/>
      </c>
      <c r="L802">
        <f>IFERROR(INDEX(PP_Grid[#Data],$DD802,10),0)</f>
        <v/>
      </c>
      <c r="M802">
        <f>IFERROR(INDEX(PP_Grid[#Data],$DD802,11),0)</f>
        <v/>
      </c>
      <c r="N802">
        <f>IFERROR(INDEX(PP_Grid[#Data],$DD802,12),0)</f>
        <v/>
      </c>
      <c r="O802">
        <f>IFERROR(INDEX(PP_Grid[#Data],$DD802,13),0)</f>
        <v/>
      </c>
      <c r="P802">
        <f>IFERROR(INDEX(PP_Grid[#Data],$DD802,14),0)</f>
        <v/>
      </c>
      <c r="Q802">
        <f>IFERROR(INDEX(PP_Grid[#Data],$DD802,15),0)</f>
        <v/>
      </c>
      <c r="R802">
        <f>IFERROR(INDEX(PP_Grid[#Data],$DD802,16),0)</f>
        <v/>
      </c>
      <c r="S802">
        <f>IFERROR(INDEX(PP_Grid[#Data],$DD802,17),0)</f>
        <v/>
      </c>
      <c r="T802">
        <f>IFERROR(INDEX(PP_Grid[#Data],$DD802,18),0)</f>
        <v/>
      </c>
      <c r="U802">
        <f>IFERROR(INDEX(PP_Grid[#Data],$DD802,19),0)</f>
        <v/>
      </c>
      <c r="V802">
        <f>IFERROR(INDEX(PP_Grid[#Data],$DD802,20),0)</f>
        <v/>
      </c>
      <c r="W802">
        <f>IFERROR(INDEX(PP_Grid[#Data],$DD802,21),0)</f>
        <v/>
      </c>
      <c r="X802">
        <f>IFERROR(INDEX(PP_Grid[#Data],$DD802,22),0)</f>
        <v/>
      </c>
      <c r="Y802">
        <f>IFERROR(INDEX(PP_Grid[#Data],$DD802,23),0)</f>
        <v/>
      </c>
      <c r="Z802">
        <f>IFERROR(INDEX(PP_Grid[#Data],$DD802,24),0)</f>
        <v/>
      </c>
      <c r="AA802">
        <f>IFERROR(INDEX(PP_Grid[#Data],$DD802,25),0)</f>
        <v/>
      </c>
      <c r="AB802">
        <f>IFERROR(INDEX(PP_Grid[#Data],$DD802,26),0)</f>
        <v/>
      </c>
      <c r="AC802">
        <f>IFERROR(INDEX(PP_Grid[#Data],$DD802,27),0)</f>
        <v/>
      </c>
      <c r="AD802">
        <f>IFERROR(INDEX(PP_Grid[#Data],$DD802,28),0)</f>
        <v/>
      </c>
      <c r="AE802">
        <f>IFERROR(INDEX(PP_Grid[#Data],$DD802,29),0)</f>
        <v/>
      </c>
      <c r="AF802">
        <f>IFERROR(INDEX(PP_Grid[#Data],$DD802,30),0)</f>
        <v/>
      </c>
      <c r="AG802">
        <f>IFERROR(INDEX(PP_Grid[#Data],$DD802,31),0)</f>
        <v/>
      </c>
      <c r="AH802">
        <f>IFERROR(INDEX(PP_Grid[#Data],$DD802,32),0)</f>
        <v/>
      </c>
      <c r="AI802">
        <f>IFERROR(INDEX(PP_Grid[#Data],$DD802,33),0)</f>
        <v/>
      </c>
      <c r="AJ802">
        <f>IFERROR(INDEX(PP_Grid[#Data],$DD802,34),0)</f>
        <v/>
      </c>
      <c r="AK802">
        <f>IFERROR(INDEX(PP_Grid[#Data],$DD802,35),0)</f>
        <v/>
      </c>
      <c r="AL802">
        <f>IFERROR(INDEX(PP_Grid[#Data],$DD802,36),0)</f>
        <v/>
      </c>
      <c r="AM802">
        <f>IFERROR(INDEX(PP_Grid[#Data],$DD802,37),0)</f>
        <v/>
      </c>
      <c r="AN802">
        <f>IFERROR(INDEX(PP_Grid[#Data],$DD802,38),0)</f>
        <v/>
      </c>
      <c r="AO802">
        <f>IFERROR(INDEX(PP_Grid[#Data],$DD802,39),0)</f>
        <v/>
      </c>
      <c r="AP802">
        <f>IFERROR(INDEX(PP_Grid[#Data],$DD802,40),0)</f>
        <v/>
      </c>
      <c r="AQ802">
        <f>IFERROR(INDEX(PP_Grid[#Data],$DD802,41),0)</f>
        <v/>
      </c>
      <c r="AR802">
        <f>IFERROR(INDEX(PP_Grid[#Data],$DD802,42),0)</f>
        <v/>
      </c>
      <c r="AS802">
        <f>IFERROR(INDEX(PP_Grid[#Data],$DD802,43),0)</f>
        <v/>
      </c>
      <c r="AT802">
        <f>IFERROR(INDEX(PP_Grid[#Data],$DD802,44),0)</f>
        <v/>
      </c>
      <c r="AU802">
        <f>IFERROR(INDEX(PP_Grid[#Data],$DD802,45),0)</f>
        <v/>
      </c>
      <c r="AV802">
        <f>IFERROR(INDEX(PP_Grid[#Data],$DD802,46),0)</f>
        <v/>
      </c>
      <c r="AW802">
        <f>IFERROR(INDEX(PP_Grid[#Data],$DD802,47),0)</f>
        <v/>
      </c>
      <c r="AX802">
        <f>IFERROR(INDEX(PP_Grid[#Data],$DD802,48),0)</f>
        <v/>
      </c>
      <c r="AY802">
        <f>IFERROR(INDEX(PP_Grid[#Data],$DD802,49),0)</f>
        <v/>
      </c>
      <c r="AZ802">
        <f>IFERROR(INDEX(PP_Grid[#Data],$DD802,50),0)</f>
        <v/>
      </c>
      <c r="BA802">
        <f>IFERROR(INDEX(PP_Grid[#Data],$DD802,51),0)</f>
        <v/>
      </c>
      <c r="BB802">
        <f>IFERROR(INDEX(PP_Grid[#Data],$DD802,52),0)</f>
        <v/>
      </c>
      <c r="BC802">
        <f>IFERROR(INDEX(PP_Grid[#Data],$DD802,53),0)</f>
        <v/>
      </c>
      <c r="BD802">
        <f>IFERROR(INDEX(PP_Grid[#Data],$DD802,54),0)</f>
        <v/>
      </c>
      <c r="BE802">
        <f>IFERROR(INDEX(PP_Grid[#Data],$DD802,55),0)</f>
        <v/>
      </c>
      <c r="BF802">
        <f>IFERROR(INDEX(PP_Grid[#Data],$DD802,56),0)</f>
        <v/>
      </c>
      <c r="BG802">
        <f>IFERROR(INDEX(PP_Grid[#Data],$DD802,57),0)</f>
        <v/>
      </c>
      <c r="BH802">
        <f>IFERROR(INDEX(PP_Grid[#Data],$DD802,58),0)</f>
        <v/>
      </c>
      <c r="BI802">
        <f>IFERROR(INDEX(PP_Grid[#Data],$DD802,59),0)</f>
        <v/>
      </c>
      <c r="BJ802">
        <f>IFERROR(INDEX(PP_Grid[#Data],$DD802,60),0)</f>
        <v/>
      </c>
      <c r="BK802">
        <f>IFERROR(INDEX(PP_Grid[#Data],$DD802,61),0)</f>
        <v/>
      </c>
      <c r="BL802">
        <f>IFERROR(INDEX(PP_Grid[#Data],$DD802,62),0)</f>
        <v/>
      </c>
      <c r="BM802">
        <f>IFERROR(INDEX(PP_Grid[#Data],$DD802,63),0)</f>
        <v/>
      </c>
      <c r="BN802">
        <f>IFERROR(INDEX(PP_Grid[#Data],$DD802,64),0)</f>
        <v/>
      </c>
      <c r="BO802">
        <f>IFERROR(INDEX(PP_Grid[#Data],$DD802,65),0)</f>
        <v/>
      </c>
      <c r="BP802">
        <f>IFERROR(INDEX(PP_Grid[#Data],$DD802,66),0)</f>
        <v/>
      </c>
      <c r="BQ802">
        <f>IFERROR(INDEX(PP_Grid[#Data],$DD802,67),0)</f>
        <v/>
      </c>
      <c r="BR802">
        <f>IFERROR(INDEX(PP_Grid[#Data],$DD802,68),0)</f>
        <v/>
      </c>
      <c r="BS802">
        <f>IFERROR(INDEX(PP_Grid[#Data],$DD802,69),0)</f>
        <v/>
      </c>
      <c r="BT802">
        <f>IFERROR(INDEX(PP_Grid[#Data],$DD802,70),0)</f>
        <v/>
      </c>
      <c r="BU802">
        <f>IFERROR(INDEX(PP_Grid[#Data],$DD802,71),0)</f>
        <v/>
      </c>
      <c r="BV802">
        <f>IFERROR(INDEX(PP_Grid[#Data],$DD802,72),0)</f>
        <v/>
      </c>
      <c r="BW802">
        <f>IFERROR(INDEX(PP_Grid[#Data],$DD802,73),0)</f>
        <v/>
      </c>
      <c r="BX802">
        <f>IFERROR(INDEX(PP_Grid[#Data],$DD802,74),0)</f>
        <v/>
      </c>
      <c r="BY802">
        <f>IFERROR(INDEX(PP_Grid[#Data],$DD802,75),0)</f>
        <v/>
      </c>
      <c r="BZ802">
        <f>IFERROR(INDEX(PP_Grid[#Data],$DD802,76),0)</f>
        <v/>
      </c>
      <c r="CA802">
        <f>IFERROR(INDEX(PP_Grid[#Data],$DD802,77),0)</f>
        <v/>
      </c>
      <c r="CB802">
        <f>IFERROR(INDEX(PP_Grid[#Data],$DD802,78),0)</f>
        <v/>
      </c>
      <c r="CC802">
        <f>IFERROR(INDEX(PP_Grid[#Data],$DD802,79),0)</f>
        <v/>
      </c>
      <c r="CD802">
        <f>IFERROR(INDEX(PP_Grid[#Data],$DD802,80),0)</f>
        <v/>
      </c>
      <c r="CE802">
        <f>IFERROR(INDEX(PP_Grid[#Data],$DD802,81),0)</f>
        <v/>
      </c>
      <c r="CF802">
        <f>IFERROR(INDEX(PP_Grid[#Data],$DD802,82),0)</f>
        <v/>
      </c>
      <c r="CG802">
        <f>IFERROR(INDEX(PP_Grid[#Data],$DD802,83),0)</f>
        <v/>
      </c>
      <c r="CH802">
        <f>IFERROR(INDEX(PP_Grid[#Data],$DD802,84),0)</f>
        <v/>
      </c>
      <c r="CI802">
        <f>IFERROR(INDEX(PP_Grid[#Data],$DD802,85),0)</f>
        <v/>
      </c>
      <c r="CJ802">
        <f>IFERROR(INDEX(PP_Grid[#Data],$DD802,86),0)</f>
        <v/>
      </c>
      <c r="CK802">
        <f>IFERROR(INDEX(PP_Grid[#Data],$DD802,87),0)</f>
        <v/>
      </c>
      <c r="CL802">
        <f>IFERROR(INDEX(PP_Grid[#Data],$DD802,88),0)</f>
        <v/>
      </c>
      <c r="CM802">
        <f>IFERROR(INDEX(PP_Grid[#Data],$DD802,89),0)</f>
        <v/>
      </c>
      <c r="CN802">
        <f>IFERROR(INDEX(PP_Grid[#Data],$DD802,90),0)</f>
        <v/>
      </c>
      <c r="CO802">
        <f>IFERROR(INDEX(PP_Grid[#Data],$DD802,91),0)</f>
        <v/>
      </c>
      <c r="CP802">
        <f>IFERROR(INDEX(PP_Grid[#Data],$DD802,92),0)</f>
        <v/>
      </c>
      <c r="CQ802">
        <f>IFERROR(INDEX(PP_Grid[#Data],$DD802,93),0)</f>
        <v/>
      </c>
      <c r="CR802">
        <f>IFERROR(INDEX(PP_Grid[#Data],$DD802,94),0)</f>
        <v/>
      </c>
      <c r="CS802">
        <f>IFERROR(INDEX(PP_Grid[#Data],$DD802,95),0)</f>
        <v/>
      </c>
      <c r="CT802">
        <f>IFERROR(INDEX(PP_Grid[#Data],$DD802,96),0)</f>
        <v/>
      </c>
      <c r="CU802">
        <f>IFERROR(INDEX(PP_Grid[#Data],$DD802,97),0)</f>
        <v/>
      </c>
      <c r="CV802">
        <f>IFERROR(INDEX(PP_Grid[#Data],$DD802,98),0)</f>
        <v/>
      </c>
      <c r="CW802">
        <f>IFERROR(INDEX(PP_Grid[#Data],$DD802,99),0)</f>
        <v/>
      </c>
      <c r="CX802">
        <f>IFERROR(INDEX(PP_Grid[#Data],$DD802,100),0)</f>
        <v/>
      </c>
      <c r="CY802">
        <f>IFERROR(INDEX(PP_Grid[#Data],$DD802,101),0)</f>
        <v/>
      </c>
      <c r="CZ802">
        <f>IFERROR(INDEX(PP_Grid[#Data],$DD802,102),0)</f>
        <v/>
      </c>
      <c r="DA802">
        <f>IFERROR(INDEX(PP_Grid[#Data],$DD802,103),0)</f>
        <v/>
      </c>
      <c r="DB802">
        <f>IFERROR(INDEX(PP_Grid[#Data],$DD802,104),0)</f>
        <v/>
      </c>
      <c r="DC802">
        <f>IFERROR(INDEX(PP_Grid[#Data],$DD802,105),0)</f>
        <v/>
      </c>
      <c r="DD802" s="12">
        <f>IFERROR(MATCH($B802,PP_Grid[Intermediate],0),99999)</f>
        <v/>
      </c>
    </row>
    <row r="803">
      <c r="B803" t="inlineStr">
        <is>
          <t>使用量(kg)</t>
        </is>
      </c>
      <c r="C803">
        <f>SUMIFS(M_BOM[RM_Qty_Per_Batch],M_BOM[Intermediate],$B802,M_BOM[Part Name],$A669)</f>
        <v/>
      </c>
      <c r="D803">
        <f>$C803*D802</f>
        <v/>
      </c>
      <c r="E803">
        <f>$C803*E802</f>
        <v/>
      </c>
      <c r="F803">
        <f>$C803*F802</f>
        <v/>
      </c>
      <c r="G803">
        <f>$C803*G802</f>
        <v/>
      </c>
      <c r="H803">
        <f>$C803*H802</f>
        <v/>
      </c>
      <c r="I803">
        <f>$C803*I802</f>
        <v/>
      </c>
      <c r="J803">
        <f>$C803*J802</f>
        <v/>
      </c>
      <c r="K803">
        <f>$C803*K802</f>
        <v/>
      </c>
      <c r="L803">
        <f>$C803*L802</f>
        <v/>
      </c>
      <c r="M803">
        <f>$C803*M802</f>
        <v/>
      </c>
      <c r="N803">
        <f>$C803*N802</f>
        <v/>
      </c>
      <c r="O803">
        <f>$C803*O802</f>
        <v/>
      </c>
      <c r="P803">
        <f>$C803*P802</f>
        <v/>
      </c>
      <c r="Q803">
        <f>$C803*Q802</f>
        <v/>
      </c>
      <c r="R803">
        <f>$C803*R802</f>
        <v/>
      </c>
      <c r="S803">
        <f>$C803*S802</f>
        <v/>
      </c>
      <c r="T803">
        <f>$C803*T802</f>
        <v/>
      </c>
      <c r="U803">
        <f>$C803*U802</f>
        <v/>
      </c>
      <c r="V803">
        <f>$C803*V802</f>
        <v/>
      </c>
      <c r="W803">
        <f>$C803*W802</f>
        <v/>
      </c>
      <c r="X803">
        <f>$C803*X802</f>
        <v/>
      </c>
      <c r="Y803">
        <f>$C803*Y802</f>
        <v/>
      </c>
      <c r="Z803">
        <f>$C803*Z802</f>
        <v/>
      </c>
      <c r="AA803">
        <f>$C803*AA802</f>
        <v/>
      </c>
      <c r="AB803">
        <f>$C803*AB802</f>
        <v/>
      </c>
      <c r="AC803">
        <f>$C803*AC802</f>
        <v/>
      </c>
      <c r="AD803">
        <f>$C803*AD802</f>
        <v/>
      </c>
      <c r="AE803">
        <f>$C803*AE802</f>
        <v/>
      </c>
      <c r="AF803">
        <f>$C803*AF802</f>
        <v/>
      </c>
      <c r="AG803">
        <f>$C803*AG802</f>
        <v/>
      </c>
      <c r="AH803">
        <f>$C803*AH802</f>
        <v/>
      </c>
      <c r="AI803">
        <f>$C803*AI802</f>
        <v/>
      </c>
      <c r="AJ803">
        <f>$C803*AJ802</f>
        <v/>
      </c>
      <c r="AK803">
        <f>$C803*AK802</f>
        <v/>
      </c>
      <c r="AL803">
        <f>$C803*AL802</f>
        <v/>
      </c>
      <c r="AM803">
        <f>$C803*AM802</f>
        <v/>
      </c>
      <c r="AN803">
        <f>$C803*AN802</f>
        <v/>
      </c>
      <c r="AO803">
        <f>$C803*AO802</f>
        <v/>
      </c>
      <c r="AP803">
        <f>$C803*AP802</f>
        <v/>
      </c>
      <c r="AQ803">
        <f>$C803*AQ802</f>
        <v/>
      </c>
      <c r="AR803">
        <f>$C803*AR802</f>
        <v/>
      </c>
      <c r="AS803">
        <f>$C803*AS802</f>
        <v/>
      </c>
      <c r="AT803">
        <f>$C803*AT802</f>
        <v/>
      </c>
      <c r="AU803">
        <f>$C803*AU802</f>
        <v/>
      </c>
      <c r="AV803">
        <f>$C803*AV802</f>
        <v/>
      </c>
      <c r="AW803">
        <f>$C803*AW802</f>
        <v/>
      </c>
      <c r="AX803">
        <f>$C803*AX802</f>
        <v/>
      </c>
      <c r="AY803">
        <f>$C803*AY802</f>
        <v/>
      </c>
      <c r="AZ803">
        <f>$C803*AZ802</f>
        <v/>
      </c>
      <c r="BA803">
        <f>$C803*BA802</f>
        <v/>
      </c>
      <c r="BB803">
        <f>$C803*BB802</f>
        <v/>
      </c>
      <c r="BC803">
        <f>$C803*BC802</f>
        <v/>
      </c>
      <c r="BD803">
        <f>$C803*BD802</f>
        <v/>
      </c>
      <c r="BE803">
        <f>$C803*BE802</f>
        <v/>
      </c>
      <c r="BF803">
        <f>$C803*BF802</f>
        <v/>
      </c>
      <c r="BG803">
        <f>$C803*BG802</f>
        <v/>
      </c>
      <c r="BH803">
        <f>$C803*BH802</f>
        <v/>
      </c>
      <c r="BI803">
        <f>$C803*BI802</f>
        <v/>
      </c>
      <c r="BJ803">
        <f>$C803*BJ802</f>
        <v/>
      </c>
      <c r="BK803">
        <f>$C803*BK802</f>
        <v/>
      </c>
      <c r="BL803">
        <f>$C803*BL802</f>
        <v/>
      </c>
      <c r="BM803">
        <f>$C803*BM802</f>
        <v/>
      </c>
      <c r="BN803">
        <f>$C803*BN802</f>
        <v/>
      </c>
      <c r="BO803">
        <f>$C803*BO802</f>
        <v/>
      </c>
      <c r="BP803">
        <f>$C803*BP802</f>
        <v/>
      </c>
      <c r="BQ803">
        <f>$C803*BQ802</f>
        <v/>
      </c>
      <c r="BR803">
        <f>$C803*BR802</f>
        <v/>
      </c>
      <c r="BS803">
        <f>$C803*BS802</f>
        <v/>
      </c>
      <c r="BT803">
        <f>$C803*BT802</f>
        <v/>
      </c>
      <c r="BU803">
        <f>$C803*BU802</f>
        <v/>
      </c>
      <c r="BV803">
        <f>$C803*BV802</f>
        <v/>
      </c>
      <c r="BW803">
        <f>$C803*BW802</f>
        <v/>
      </c>
      <c r="BX803">
        <f>$C803*BX802</f>
        <v/>
      </c>
      <c r="BY803">
        <f>$C803*BY802</f>
        <v/>
      </c>
      <c r="BZ803">
        <f>$C803*BZ802</f>
        <v/>
      </c>
      <c r="CA803">
        <f>$C803*CA802</f>
        <v/>
      </c>
      <c r="CB803">
        <f>$C803*CB802</f>
        <v/>
      </c>
      <c r="CC803">
        <f>$C803*CC802</f>
        <v/>
      </c>
      <c r="CD803">
        <f>$C803*CD802</f>
        <v/>
      </c>
      <c r="CE803">
        <f>$C803*CE802</f>
        <v/>
      </c>
      <c r="CF803">
        <f>$C803*CF802</f>
        <v/>
      </c>
      <c r="CG803">
        <f>$C803*CG802</f>
        <v/>
      </c>
      <c r="CH803">
        <f>$C803*CH802</f>
        <v/>
      </c>
      <c r="CI803">
        <f>$C803*CI802</f>
        <v/>
      </c>
      <c r="CJ803">
        <f>$C803*CJ802</f>
        <v/>
      </c>
      <c r="CK803">
        <f>$C803*CK802</f>
        <v/>
      </c>
      <c r="CL803">
        <f>$C803*CL802</f>
        <v/>
      </c>
      <c r="CM803">
        <f>$C803*CM802</f>
        <v/>
      </c>
      <c r="CN803">
        <f>$C803*CN802</f>
        <v/>
      </c>
      <c r="CO803">
        <f>$C803*CO802</f>
        <v/>
      </c>
      <c r="CP803">
        <f>$C803*CP802</f>
        <v/>
      </c>
      <c r="CQ803">
        <f>$C803*CQ802</f>
        <v/>
      </c>
      <c r="CR803">
        <f>$C803*CR802</f>
        <v/>
      </c>
      <c r="CS803">
        <f>$C803*CS802</f>
        <v/>
      </c>
      <c r="CT803">
        <f>$C803*CT802</f>
        <v/>
      </c>
      <c r="CU803">
        <f>$C803*CU802</f>
        <v/>
      </c>
      <c r="CV803">
        <f>$C803*CV802</f>
        <v/>
      </c>
      <c r="CW803">
        <f>$C803*CW802</f>
        <v/>
      </c>
      <c r="CX803">
        <f>$C803*CX802</f>
        <v/>
      </c>
      <c r="CY803">
        <f>$C803*CY802</f>
        <v/>
      </c>
      <c r="CZ803">
        <f>$C803*CZ802</f>
        <v/>
      </c>
      <c r="DA803">
        <f>$C803*DA802</f>
        <v/>
      </c>
      <c r="DB803">
        <f>$C803*DB802</f>
        <v/>
      </c>
      <c r="DC803">
        <f>$C803*DC802</f>
        <v/>
      </c>
    </row>
    <row r="804">
      <c r="B804" s="5" t="inlineStr">
        <is>
          <t>合計使用量(kg)/週</t>
        </is>
      </c>
      <c r="D804">
        <f>'Grid_Requirement'!B36</f>
        <v/>
      </c>
      <c r="E804">
        <f>'Grid_Requirement'!C36</f>
        <v/>
      </c>
      <c r="F804">
        <f>'Grid_Requirement'!D36</f>
        <v/>
      </c>
      <c r="G804">
        <f>'Grid_Requirement'!E36</f>
        <v/>
      </c>
      <c r="H804">
        <f>'Grid_Requirement'!F36</f>
        <v/>
      </c>
      <c r="I804">
        <f>'Grid_Requirement'!G36</f>
        <v/>
      </c>
      <c r="J804">
        <f>'Grid_Requirement'!H36</f>
        <v/>
      </c>
      <c r="K804">
        <f>'Grid_Requirement'!I36</f>
        <v/>
      </c>
      <c r="L804">
        <f>'Grid_Requirement'!J36</f>
        <v/>
      </c>
      <c r="M804">
        <f>'Grid_Requirement'!K36</f>
        <v/>
      </c>
      <c r="N804">
        <f>'Grid_Requirement'!L36</f>
        <v/>
      </c>
      <c r="O804">
        <f>'Grid_Requirement'!M36</f>
        <v/>
      </c>
      <c r="P804">
        <f>'Grid_Requirement'!N36</f>
        <v/>
      </c>
      <c r="Q804">
        <f>'Grid_Requirement'!O36</f>
        <v/>
      </c>
      <c r="R804">
        <f>'Grid_Requirement'!P36</f>
        <v/>
      </c>
      <c r="S804">
        <f>'Grid_Requirement'!Q36</f>
        <v/>
      </c>
      <c r="T804">
        <f>'Grid_Requirement'!R36</f>
        <v/>
      </c>
      <c r="U804">
        <f>'Grid_Requirement'!S36</f>
        <v/>
      </c>
      <c r="V804">
        <f>'Grid_Requirement'!T36</f>
        <v/>
      </c>
      <c r="W804">
        <f>'Grid_Requirement'!U36</f>
        <v/>
      </c>
      <c r="X804">
        <f>'Grid_Requirement'!V36</f>
        <v/>
      </c>
      <c r="Y804">
        <f>'Grid_Requirement'!W36</f>
        <v/>
      </c>
      <c r="Z804">
        <f>'Grid_Requirement'!X36</f>
        <v/>
      </c>
      <c r="AA804">
        <f>'Grid_Requirement'!Y36</f>
        <v/>
      </c>
      <c r="AB804">
        <f>'Grid_Requirement'!Z36</f>
        <v/>
      </c>
      <c r="AC804">
        <f>'Grid_Requirement'!AA36</f>
        <v/>
      </c>
      <c r="AD804">
        <f>'Grid_Requirement'!AB36</f>
        <v/>
      </c>
      <c r="AE804">
        <f>'Grid_Requirement'!AC36</f>
        <v/>
      </c>
      <c r="AF804">
        <f>'Grid_Requirement'!AD36</f>
        <v/>
      </c>
      <c r="AG804">
        <f>'Grid_Requirement'!AE36</f>
        <v/>
      </c>
      <c r="AH804">
        <f>'Grid_Requirement'!AF36</f>
        <v/>
      </c>
      <c r="AI804">
        <f>'Grid_Requirement'!AG36</f>
        <v/>
      </c>
      <c r="AJ804">
        <f>'Grid_Requirement'!AH36</f>
        <v/>
      </c>
      <c r="AK804">
        <f>'Grid_Requirement'!AI36</f>
        <v/>
      </c>
      <c r="AL804">
        <f>'Grid_Requirement'!AJ36</f>
        <v/>
      </c>
      <c r="AM804">
        <f>'Grid_Requirement'!AK36</f>
        <v/>
      </c>
      <c r="AN804">
        <f>'Grid_Requirement'!AL36</f>
        <v/>
      </c>
      <c r="AO804">
        <f>'Grid_Requirement'!AM36</f>
        <v/>
      </c>
      <c r="AP804">
        <f>'Grid_Requirement'!AN36</f>
        <v/>
      </c>
      <c r="AQ804">
        <f>'Grid_Requirement'!AO36</f>
        <v/>
      </c>
      <c r="AR804">
        <f>'Grid_Requirement'!AP36</f>
        <v/>
      </c>
      <c r="AS804">
        <f>'Grid_Requirement'!AQ36</f>
        <v/>
      </c>
      <c r="AT804">
        <f>'Grid_Requirement'!AR36</f>
        <v/>
      </c>
      <c r="AU804">
        <f>'Grid_Requirement'!AS36</f>
        <v/>
      </c>
      <c r="AV804">
        <f>'Grid_Requirement'!AT36</f>
        <v/>
      </c>
      <c r="AW804">
        <f>'Grid_Requirement'!AU36</f>
        <v/>
      </c>
      <c r="AX804">
        <f>'Grid_Requirement'!AV36</f>
        <v/>
      </c>
      <c r="AY804">
        <f>'Grid_Requirement'!AW36</f>
        <v/>
      </c>
      <c r="AZ804">
        <f>'Grid_Requirement'!AX36</f>
        <v/>
      </c>
      <c r="BA804">
        <f>'Grid_Requirement'!AY36</f>
        <v/>
      </c>
      <c r="BB804">
        <f>'Grid_Requirement'!AZ36</f>
        <v/>
      </c>
      <c r="BC804">
        <f>'Grid_Requirement'!BA36</f>
        <v/>
      </c>
      <c r="BD804">
        <f>'Grid_Requirement'!BB36</f>
        <v/>
      </c>
      <c r="BE804">
        <f>'Grid_Requirement'!BC36</f>
        <v/>
      </c>
      <c r="BF804">
        <f>'Grid_Requirement'!BD36</f>
        <v/>
      </c>
      <c r="BG804">
        <f>'Grid_Requirement'!BE36</f>
        <v/>
      </c>
      <c r="BH804">
        <f>'Grid_Requirement'!BF36</f>
        <v/>
      </c>
      <c r="BI804">
        <f>'Grid_Requirement'!BG36</f>
        <v/>
      </c>
      <c r="BJ804">
        <f>'Grid_Requirement'!BH36</f>
        <v/>
      </c>
      <c r="BK804">
        <f>'Grid_Requirement'!BI36</f>
        <v/>
      </c>
      <c r="BL804">
        <f>'Grid_Requirement'!BJ36</f>
        <v/>
      </c>
      <c r="BM804">
        <f>'Grid_Requirement'!BK36</f>
        <v/>
      </c>
      <c r="BN804">
        <f>'Grid_Requirement'!BL36</f>
        <v/>
      </c>
      <c r="BO804">
        <f>'Grid_Requirement'!BM36</f>
        <v/>
      </c>
      <c r="BP804">
        <f>'Grid_Requirement'!BN36</f>
        <v/>
      </c>
      <c r="BQ804">
        <f>'Grid_Requirement'!BO36</f>
        <v/>
      </c>
      <c r="BR804">
        <f>'Grid_Requirement'!BP36</f>
        <v/>
      </c>
      <c r="BS804">
        <f>'Grid_Requirement'!BQ36</f>
        <v/>
      </c>
      <c r="BT804">
        <f>'Grid_Requirement'!BR36</f>
        <v/>
      </c>
      <c r="BU804">
        <f>'Grid_Requirement'!BS36</f>
        <v/>
      </c>
      <c r="BV804">
        <f>'Grid_Requirement'!BT36</f>
        <v/>
      </c>
      <c r="BW804">
        <f>'Grid_Requirement'!BU36</f>
        <v/>
      </c>
      <c r="BX804">
        <f>'Grid_Requirement'!BV36</f>
        <v/>
      </c>
      <c r="BY804">
        <f>'Grid_Requirement'!BW36</f>
        <v/>
      </c>
      <c r="BZ804">
        <f>'Grid_Requirement'!BX36</f>
        <v/>
      </c>
      <c r="CA804">
        <f>'Grid_Requirement'!BY36</f>
        <v/>
      </c>
      <c r="CB804">
        <f>'Grid_Requirement'!BZ36</f>
        <v/>
      </c>
      <c r="CC804">
        <f>'Grid_Requirement'!CA36</f>
        <v/>
      </c>
      <c r="CD804">
        <f>'Grid_Requirement'!CB36</f>
        <v/>
      </c>
      <c r="CE804">
        <f>'Grid_Requirement'!CC36</f>
        <v/>
      </c>
      <c r="CF804">
        <f>'Grid_Requirement'!CD36</f>
        <v/>
      </c>
      <c r="CG804">
        <f>'Grid_Requirement'!CE36</f>
        <v/>
      </c>
      <c r="CH804">
        <f>'Grid_Requirement'!CF36</f>
        <v/>
      </c>
      <c r="CI804">
        <f>'Grid_Requirement'!CG36</f>
        <v/>
      </c>
      <c r="CJ804">
        <f>'Grid_Requirement'!CH36</f>
        <v/>
      </c>
      <c r="CK804">
        <f>'Grid_Requirement'!CI36</f>
        <v/>
      </c>
      <c r="CL804">
        <f>'Grid_Requirement'!CJ36</f>
        <v/>
      </c>
      <c r="CM804">
        <f>'Grid_Requirement'!CK36</f>
        <v/>
      </c>
      <c r="CN804">
        <f>'Grid_Requirement'!CL36</f>
        <v/>
      </c>
      <c r="CO804">
        <f>'Grid_Requirement'!CM36</f>
        <v/>
      </c>
      <c r="CP804">
        <f>'Grid_Requirement'!CN36</f>
        <v/>
      </c>
      <c r="CQ804">
        <f>'Grid_Requirement'!CO36</f>
        <v/>
      </c>
      <c r="CR804">
        <f>'Grid_Requirement'!CP36</f>
        <v/>
      </c>
      <c r="CS804">
        <f>'Grid_Requirement'!CQ36</f>
        <v/>
      </c>
      <c r="CT804">
        <f>'Grid_Requirement'!CR36</f>
        <v/>
      </c>
      <c r="CU804">
        <f>'Grid_Requirement'!CS36</f>
        <v/>
      </c>
      <c r="CV804">
        <f>'Grid_Requirement'!CT36</f>
        <v/>
      </c>
      <c r="CW804">
        <f>'Grid_Requirement'!CU36</f>
        <v/>
      </c>
      <c r="CX804">
        <f>'Grid_Requirement'!CV36</f>
        <v/>
      </c>
      <c r="CY804">
        <f>'Grid_Requirement'!CW36</f>
        <v/>
      </c>
      <c r="CZ804">
        <f>'Grid_Requirement'!CX36</f>
        <v/>
      </c>
      <c r="DA804">
        <f>'Grid_Requirement'!CY36</f>
        <v/>
      </c>
      <c r="DB804">
        <f>'Grid_Requirement'!CZ36</f>
        <v/>
      </c>
      <c r="DC804">
        <f>'Grid_Requirement'!DA36</f>
        <v/>
      </c>
    </row>
    <row r="805">
      <c r="B805" t="inlineStr">
        <is>
          <t>TTAF在庫(実績,kg)</t>
        </is>
      </c>
      <c r="D805">
        <f>'T_TTAFStock'!B40</f>
        <v/>
      </c>
      <c r="E805">
        <f>'T_TTAFStock'!C40</f>
        <v/>
      </c>
      <c r="F805">
        <f>'T_TTAFStock'!D40</f>
        <v/>
      </c>
      <c r="G805">
        <f>'T_TTAFStock'!E40</f>
        <v/>
      </c>
      <c r="H805">
        <f>'T_TTAFStock'!F40</f>
        <v/>
      </c>
      <c r="I805">
        <f>'T_TTAFStock'!G40</f>
        <v/>
      </c>
      <c r="J805">
        <f>'T_TTAFStock'!H40</f>
        <v/>
      </c>
      <c r="K805">
        <f>'T_TTAFStock'!I40</f>
        <v/>
      </c>
      <c r="L805">
        <f>'T_TTAFStock'!J40</f>
        <v/>
      </c>
      <c r="M805">
        <f>'T_TTAFStock'!K40</f>
        <v/>
      </c>
      <c r="N805">
        <f>'T_TTAFStock'!L40</f>
        <v/>
      </c>
      <c r="O805">
        <f>'T_TTAFStock'!M40</f>
        <v/>
      </c>
      <c r="P805">
        <f>'T_TTAFStock'!N40</f>
        <v/>
      </c>
      <c r="Q805">
        <f>'T_TTAFStock'!O40</f>
        <v/>
      </c>
      <c r="R805">
        <f>'T_TTAFStock'!P40</f>
        <v/>
      </c>
      <c r="S805">
        <f>'T_TTAFStock'!Q40</f>
        <v/>
      </c>
      <c r="T805">
        <f>'T_TTAFStock'!R40</f>
        <v/>
      </c>
      <c r="U805">
        <f>'T_TTAFStock'!S40</f>
        <v/>
      </c>
      <c r="V805">
        <f>'T_TTAFStock'!T40</f>
        <v/>
      </c>
      <c r="W805">
        <f>'T_TTAFStock'!U40</f>
        <v/>
      </c>
      <c r="X805">
        <f>'T_TTAFStock'!V40</f>
        <v/>
      </c>
      <c r="Y805">
        <f>'T_TTAFStock'!W40</f>
        <v/>
      </c>
      <c r="Z805">
        <f>'T_TTAFStock'!X40</f>
        <v/>
      </c>
      <c r="AA805">
        <f>'T_TTAFStock'!Y40</f>
        <v/>
      </c>
      <c r="AB805">
        <f>'T_TTAFStock'!Z40</f>
        <v/>
      </c>
      <c r="AC805">
        <f>'T_TTAFStock'!AA40</f>
        <v/>
      </c>
      <c r="AD805">
        <f>'T_TTAFStock'!AB40</f>
        <v/>
      </c>
      <c r="AE805">
        <f>'T_TTAFStock'!AC40</f>
        <v/>
      </c>
      <c r="AF805">
        <f>'T_TTAFStock'!AD40</f>
        <v/>
      </c>
      <c r="AG805">
        <f>'T_TTAFStock'!AE40</f>
        <v/>
      </c>
      <c r="AH805">
        <f>'T_TTAFStock'!AF40</f>
        <v/>
      </c>
      <c r="AI805">
        <f>'T_TTAFStock'!AG40</f>
        <v/>
      </c>
      <c r="AJ805">
        <f>'T_TTAFStock'!AH40</f>
        <v/>
      </c>
      <c r="AK805">
        <f>'T_TTAFStock'!AI40</f>
        <v/>
      </c>
      <c r="AL805">
        <f>'T_TTAFStock'!AJ40</f>
        <v/>
      </c>
      <c r="AM805">
        <f>'T_TTAFStock'!AK40</f>
        <v/>
      </c>
      <c r="AN805">
        <f>'T_TTAFStock'!AL40</f>
        <v/>
      </c>
      <c r="AO805">
        <f>'T_TTAFStock'!AM40</f>
        <v/>
      </c>
      <c r="AP805">
        <f>'T_TTAFStock'!AN40</f>
        <v/>
      </c>
      <c r="AQ805">
        <f>'T_TTAFStock'!AO40</f>
        <v/>
      </c>
      <c r="AR805">
        <f>'T_TTAFStock'!AP40</f>
        <v/>
      </c>
      <c r="AS805">
        <f>'T_TTAFStock'!AQ40</f>
        <v/>
      </c>
      <c r="AT805">
        <f>'T_TTAFStock'!AR40</f>
        <v/>
      </c>
      <c r="AU805">
        <f>'T_TTAFStock'!AS40</f>
        <v/>
      </c>
      <c r="AV805">
        <f>'T_TTAFStock'!AT40</f>
        <v/>
      </c>
      <c r="AW805">
        <f>'T_TTAFStock'!AU40</f>
        <v/>
      </c>
      <c r="AX805">
        <f>'T_TTAFStock'!AV40</f>
        <v/>
      </c>
      <c r="AY805">
        <f>'T_TTAFStock'!AW40</f>
        <v/>
      </c>
      <c r="AZ805">
        <f>'T_TTAFStock'!AX40</f>
        <v/>
      </c>
      <c r="BA805">
        <f>'T_TTAFStock'!AY40</f>
        <v/>
      </c>
      <c r="BB805">
        <f>'T_TTAFStock'!AZ40</f>
        <v/>
      </c>
      <c r="BC805">
        <f>'T_TTAFStock'!BA40</f>
        <v/>
      </c>
      <c r="BD805">
        <f>'T_TTAFStock'!BB40</f>
        <v/>
      </c>
      <c r="BE805">
        <f>'T_TTAFStock'!BC40</f>
        <v/>
      </c>
      <c r="BF805">
        <f>'T_TTAFStock'!BD40</f>
        <v/>
      </c>
      <c r="BG805">
        <f>'T_TTAFStock'!BE40</f>
        <v/>
      </c>
      <c r="BH805">
        <f>'T_TTAFStock'!BF40</f>
        <v/>
      </c>
      <c r="BI805">
        <f>'T_TTAFStock'!BG40</f>
        <v/>
      </c>
      <c r="BJ805">
        <f>'T_TTAFStock'!BH40</f>
        <v/>
      </c>
      <c r="BK805">
        <f>'T_TTAFStock'!BI40</f>
        <v/>
      </c>
      <c r="BL805">
        <f>'T_TTAFStock'!BJ40</f>
        <v/>
      </c>
      <c r="BM805">
        <f>'T_TTAFStock'!BK40</f>
        <v/>
      </c>
      <c r="BN805">
        <f>'T_TTAFStock'!BL40</f>
        <v/>
      </c>
      <c r="BO805">
        <f>'T_TTAFStock'!BM40</f>
        <v/>
      </c>
      <c r="BP805">
        <f>'T_TTAFStock'!BN40</f>
        <v/>
      </c>
      <c r="BQ805">
        <f>'T_TTAFStock'!BO40</f>
        <v/>
      </c>
      <c r="BR805">
        <f>'T_TTAFStock'!BP40</f>
        <v/>
      </c>
      <c r="BS805">
        <f>'T_TTAFStock'!BQ40</f>
        <v/>
      </c>
      <c r="BT805">
        <f>'T_TTAFStock'!BR40</f>
        <v/>
      </c>
      <c r="BU805">
        <f>'T_TTAFStock'!BS40</f>
        <v/>
      </c>
      <c r="BV805">
        <f>'T_TTAFStock'!BT40</f>
        <v/>
      </c>
      <c r="BW805">
        <f>'T_TTAFStock'!BU40</f>
        <v/>
      </c>
      <c r="BX805">
        <f>'T_TTAFStock'!BV40</f>
        <v/>
      </c>
      <c r="BY805">
        <f>'T_TTAFStock'!BW40</f>
        <v/>
      </c>
      <c r="BZ805">
        <f>'T_TTAFStock'!BX40</f>
        <v/>
      </c>
      <c r="CA805">
        <f>'T_TTAFStock'!BY40</f>
        <v/>
      </c>
      <c r="CB805">
        <f>'T_TTAFStock'!BZ40</f>
        <v/>
      </c>
      <c r="CC805">
        <f>'T_TTAFStock'!CA40</f>
        <v/>
      </c>
      <c r="CD805">
        <f>'T_TTAFStock'!CB40</f>
        <v/>
      </c>
      <c r="CE805">
        <f>'T_TTAFStock'!CC40</f>
        <v/>
      </c>
      <c r="CF805">
        <f>'T_TTAFStock'!CD40</f>
        <v/>
      </c>
      <c r="CG805">
        <f>'T_TTAFStock'!CE40</f>
        <v/>
      </c>
      <c r="CH805">
        <f>'T_TTAFStock'!CF40</f>
        <v/>
      </c>
      <c r="CI805">
        <f>'T_TTAFStock'!CG40</f>
        <v/>
      </c>
      <c r="CJ805">
        <f>'T_TTAFStock'!CH40</f>
        <v/>
      </c>
      <c r="CK805">
        <f>'T_TTAFStock'!CI40</f>
        <v/>
      </c>
      <c r="CL805">
        <f>'T_TTAFStock'!CJ40</f>
        <v/>
      </c>
      <c r="CM805">
        <f>'T_TTAFStock'!CK40</f>
        <v/>
      </c>
      <c r="CN805">
        <f>'T_TTAFStock'!CL40</f>
        <v/>
      </c>
      <c r="CO805">
        <f>'T_TTAFStock'!CM40</f>
        <v/>
      </c>
      <c r="CP805">
        <f>'T_TTAFStock'!CN40</f>
        <v/>
      </c>
      <c r="CQ805">
        <f>'T_TTAFStock'!CO40</f>
        <v/>
      </c>
      <c r="CR805">
        <f>'T_TTAFStock'!CP40</f>
        <v/>
      </c>
      <c r="CS805">
        <f>'T_TTAFStock'!CQ40</f>
        <v/>
      </c>
      <c r="CT805">
        <f>'T_TTAFStock'!CR40</f>
        <v/>
      </c>
      <c r="CU805">
        <f>'T_TTAFStock'!CS40</f>
        <v/>
      </c>
      <c r="CV805">
        <f>'T_TTAFStock'!CT40</f>
        <v/>
      </c>
      <c r="CW805">
        <f>'T_TTAFStock'!CU40</f>
        <v/>
      </c>
      <c r="CX805">
        <f>'T_TTAFStock'!CV40</f>
        <v/>
      </c>
      <c r="CY805">
        <f>'T_TTAFStock'!CW40</f>
        <v/>
      </c>
      <c r="CZ805">
        <f>'T_TTAFStock'!CX40</f>
        <v/>
      </c>
      <c r="DA805">
        <f>'T_TTAFStock'!CY40</f>
        <v/>
      </c>
      <c r="DB805">
        <f>'T_TTAFStock'!CZ40</f>
        <v/>
      </c>
      <c r="DC805">
        <f>'T_TTAFStock'!DA40</f>
        <v/>
      </c>
    </row>
    <row r="806">
      <c r="B806" t="inlineStr">
        <is>
          <t>自社在庫(実績,kg)</t>
        </is>
      </c>
      <c r="D806">
        <f>'T_SelfStock'!B40</f>
        <v/>
      </c>
      <c r="E806">
        <f>'T_SelfStock'!C40</f>
        <v/>
      </c>
      <c r="F806">
        <f>'T_SelfStock'!D40</f>
        <v/>
      </c>
      <c r="G806">
        <f>'T_SelfStock'!E40</f>
        <v/>
      </c>
      <c r="H806">
        <f>'T_SelfStock'!F40</f>
        <v/>
      </c>
      <c r="I806">
        <f>'T_SelfStock'!G40</f>
        <v/>
      </c>
      <c r="J806">
        <f>'T_SelfStock'!H40</f>
        <v/>
      </c>
      <c r="K806">
        <f>'T_SelfStock'!I40</f>
        <v/>
      </c>
      <c r="L806">
        <f>'T_SelfStock'!J40</f>
        <v/>
      </c>
      <c r="M806">
        <f>'T_SelfStock'!K40</f>
        <v/>
      </c>
      <c r="N806">
        <f>'T_SelfStock'!L40</f>
        <v/>
      </c>
      <c r="O806">
        <f>'T_SelfStock'!M40</f>
        <v/>
      </c>
      <c r="P806">
        <f>'T_SelfStock'!N40</f>
        <v/>
      </c>
      <c r="Q806">
        <f>'T_SelfStock'!O40</f>
        <v/>
      </c>
      <c r="R806">
        <f>'T_SelfStock'!P40</f>
        <v/>
      </c>
      <c r="S806">
        <f>'T_SelfStock'!Q40</f>
        <v/>
      </c>
      <c r="T806">
        <f>'T_SelfStock'!R40</f>
        <v/>
      </c>
      <c r="U806">
        <f>'T_SelfStock'!S40</f>
        <v/>
      </c>
      <c r="V806">
        <f>'T_SelfStock'!T40</f>
        <v/>
      </c>
      <c r="W806">
        <f>'T_SelfStock'!U40</f>
        <v/>
      </c>
      <c r="X806">
        <f>'T_SelfStock'!V40</f>
        <v/>
      </c>
      <c r="Y806">
        <f>'T_SelfStock'!W40</f>
        <v/>
      </c>
      <c r="Z806">
        <f>'T_SelfStock'!X40</f>
        <v/>
      </c>
      <c r="AA806">
        <f>'T_SelfStock'!Y40</f>
        <v/>
      </c>
      <c r="AB806">
        <f>'T_SelfStock'!Z40</f>
        <v/>
      </c>
      <c r="AC806">
        <f>'T_SelfStock'!AA40</f>
        <v/>
      </c>
      <c r="AD806">
        <f>'T_SelfStock'!AB40</f>
        <v/>
      </c>
      <c r="AE806">
        <f>'T_SelfStock'!AC40</f>
        <v/>
      </c>
      <c r="AF806">
        <f>'T_SelfStock'!AD40</f>
        <v/>
      </c>
      <c r="AG806">
        <f>'T_SelfStock'!AE40</f>
        <v/>
      </c>
      <c r="AH806">
        <f>'T_SelfStock'!AF40</f>
        <v/>
      </c>
      <c r="AI806">
        <f>'T_SelfStock'!AG40</f>
        <v/>
      </c>
      <c r="AJ806">
        <f>'T_SelfStock'!AH40</f>
        <v/>
      </c>
      <c r="AK806">
        <f>'T_SelfStock'!AI40</f>
        <v/>
      </c>
      <c r="AL806">
        <f>'T_SelfStock'!AJ40</f>
        <v/>
      </c>
      <c r="AM806">
        <f>'T_SelfStock'!AK40</f>
        <v/>
      </c>
      <c r="AN806">
        <f>'T_SelfStock'!AL40</f>
        <v/>
      </c>
      <c r="AO806">
        <f>'T_SelfStock'!AM40</f>
        <v/>
      </c>
      <c r="AP806">
        <f>'T_SelfStock'!AN40</f>
        <v/>
      </c>
      <c r="AQ806">
        <f>'T_SelfStock'!AO40</f>
        <v/>
      </c>
      <c r="AR806">
        <f>'T_SelfStock'!AP40</f>
        <v/>
      </c>
      <c r="AS806">
        <f>'T_SelfStock'!AQ40</f>
        <v/>
      </c>
      <c r="AT806">
        <f>'T_SelfStock'!AR40</f>
        <v/>
      </c>
      <c r="AU806">
        <f>'T_SelfStock'!AS40</f>
        <v/>
      </c>
      <c r="AV806">
        <f>'T_SelfStock'!AT40</f>
        <v/>
      </c>
      <c r="AW806">
        <f>'T_SelfStock'!AU40</f>
        <v/>
      </c>
      <c r="AX806">
        <f>'T_SelfStock'!AV40</f>
        <v/>
      </c>
      <c r="AY806">
        <f>'T_SelfStock'!AW40</f>
        <v/>
      </c>
      <c r="AZ806">
        <f>'T_SelfStock'!AX40</f>
        <v/>
      </c>
      <c r="BA806">
        <f>'T_SelfStock'!AY40</f>
        <v/>
      </c>
      <c r="BB806">
        <f>'T_SelfStock'!AZ40</f>
        <v/>
      </c>
      <c r="BC806">
        <f>'T_SelfStock'!BA40</f>
        <v/>
      </c>
      <c r="BD806">
        <f>'T_SelfStock'!BB40</f>
        <v/>
      </c>
      <c r="BE806">
        <f>'T_SelfStock'!BC40</f>
        <v/>
      </c>
      <c r="BF806">
        <f>'T_SelfStock'!BD40</f>
        <v/>
      </c>
      <c r="BG806">
        <f>'T_SelfStock'!BE40</f>
        <v/>
      </c>
      <c r="BH806">
        <f>'T_SelfStock'!BF40</f>
        <v/>
      </c>
      <c r="BI806">
        <f>'T_SelfStock'!BG40</f>
        <v/>
      </c>
      <c r="BJ806">
        <f>'T_SelfStock'!BH40</f>
        <v/>
      </c>
      <c r="BK806">
        <f>'T_SelfStock'!BI40</f>
        <v/>
      </c>
      <c r="BL806">
        <f>'T_SelfStock'!BJ40</f>
        <v/>
      </c>
      <c r="BM806">
        <f>'T_SelfStock'!BK40</f>
        <v/>
      </c>
      <c r="BN806">
        <f>'T_SelfStock'!BL40</f>
        <v/>
      </c>
      <c r="BO806">
        <f>'T_SelfStock'!BM40</f>
        <v/>
      </c>
      <c r="BP806">
        <f>'T_SelfStock'!BN40</f>
        <v/>
      </c>
      <c r="BQ806">
        <f>'T_SelfStock'!BO40</f>
        <v/>
      </c>
      <c r="BR806">
        <f>'T_SelfStock'!BP40</f>
        <v/>
      </c>
      <c r="BS806">
        <f>'T_SelfStock'!BQ40</f>
        <v/>
      </c>
      <c r="BT806">
        <f>'T_SelfStock'!BR40</f>
        <v/>
      </c>
      <c r="BU806">
        <f>'T_SelfStock'!BS40</f>
        <v/>
      </c>
      <c r="BV806">
        <f>'T_SelfStock'!BT40</f>
        <v/>
      </c>
      <c r="BW806">
        <f>'T_SelfStock'!BU40</f>
        <v/>
      </c>
      <c r="BX806">
        <f>'T_SelfStock'!BV40</f>
        <v/>
      </c>
      <c r="BY806">
        <f>'T_SelfStock'!BW40</f>
        <v/>
      </c>
      <c r="BZ806">
        <f>'T_SelfStock'!BX40</f>
        <v/>
      </c>
      <c r="CA806">
        <f>'T_SelfStock'!BY40</f>
        <v/>
      </c>
      <c r="CB806">
        <f>'T_SelfStock'!BZ40</f>
        <v/>
      </c>
      <c r="CC806">
        <f>'T_SelfStock'!CA40</f>
        <v/>
      </c>
      <c r="CD806">
        <f>'T_SelfStock'!CB40</f>
        <v/>
      </c>
      <c r="CE806">
        <f>'T_SelfStock'!CC40</f>
        <v/>
      </c>
      <c r="CF806">
        <f>'T_SelfStock'!CD40</f>
        <v/>
      </c>
      <c r="CG806">
        <f>'T_SelfStock'!CE40</f>
        <v/>
      </c>
      <c r="CH806">
        <f>'T_SelfStock'!CF40</f>
        <v/>
      </c>
      <c r="CI806">
        <f>'T_SelfStock'!CG40</f>
        <v/>
      </c>
      <c r="CJ806">
        <f>'T_SelfStock'!CH40</f>
        <v/>
      </c>
      <c r="CK806">
        <f>'T_SelfStock'!CI40</f>
        <v/>
      </c>
      <c r="CL806">
        <f>'T_SelfStock'!CJ40</f>
        <v/>
      </c>
      <c r="CM806">
        <f>'T_SelfStock'!CK40</f>
        <v/>
      </c>
      <c r="CN806">
        <f>'T_SelfStock'!CL40</f>
        <v/>
      </c>
      <c r="CO806">
        <f>'T_SelfStock'!CM40</f>
        <v/>
      </c>
      <c r="CP806">
        <f>'T_SelfStock'!CN40</f>
        <v/>
      </c>
      <c r="CQ806">
        <f>'T_SelfStock'!CO40</f>
        <v/>
      </c>
      <c r="CR806">
        <f>'T_SelfStock'!CP40</f>
        <v/>
      </c>
      <c r="CS806">
        <f>'T_SelfStock'!CQ40</f>
        <v/>
      </c>
      <c r="CT806">
        <f>'T_SelfStock'!CR40</f>
        <v/>
      </c>
      <c r="CU806">
        <f>'T_SelfStock'!CS40</f>
        <v/>
      </c>
      <c r="CV806">
        <f>'T_SelfStock'!CT40</f>
        <v/>
      </c>
      <c r="CW806">
        <f>'T_SelfStock'!CU40</f>
        <v/>
      </c>
      <c r="CX806">
        <f>'T_SelfStock'!CV40</f>
        <v/>
      </c>
      <c r="CY806">
        <f>'T_SelfStock'!CW40</f>
        <v/>
      </c>
      <c r="CZ806">
        <f>'T_SelfStock'!CX40</f>
        <v/>
      </c>
      <c r="DA806">
        <f>'T_SelfStock'!CY40</f>
        <v/>
      </c>
      <c r="DB806">
        <f>'T_SelfStock'!CZ40</f>
        <v/>
      </c>
      <c r="DC806">
        <f>'T_SelfStock'!DA40</f>
        <v/>
      </c>
    </row>
    <row r="807">
      <c r="B807" t="inlineStr">
        <is>
          <t>Order(発注予定,kg)</t>
        </is>
      </c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  <c r="AA807" s="23" t="n"/>
      <c r="AB807" s="23" t="n"/>
      <c r="AC807" s="23" t="n"/>
      <c r="AD807" s="23" t="n"/>
      <c r="AE807" s="23" t="n"/>
      <c r="AF807" s="23" t="n"/>
      <c r="AG807" s="23" t="n"/>
      <c r="AH807" s="23" t="n"/>
      <c r="AI807" s="23" t="n"/>
      <c r="AJ807" s="23" t="n"/>
      <c r="AK807" s="23" t="n"/>
      <c r="AL807" s="23" t="n"/>
      <c r="AM807" s="23" t="n"/>
      <c r="AN807" s="23" t="n"/>
      <c r="AO807" s="23" t="n"/>
      <c r="AP807" s="23" t="n"/>
      <c r="AQ807" s="23" t="n"/>
      <c r="AR807" s="23" t="n"/>
      <c r="AS807" s="23" t="n"/>
      <c r="AT807" s="23" t="n"/>
      <c r="AU807" s="23" t="n"/>
      <c r="AV807" s="23" t="n"/>
      <c r="AW807" s="23" t="n"/>
      <c r="AX807" s="23" t="n"/>
      <c r="AY807" s="23" t="n"/>
      <c r="AZ807" s="23" t="n"/>
      <c r="BA807" s="23" t="n"/>
      <c r="BB807" s="23" t="n"/>
      <c r="BC807" s="23" t="n"/>
      <c r="BD807" s="23" t="n"/>
      <c r="BE807" s="23" t="n"/>
      <c r="BF807" s="23" t="n"/>
      <c r="BG807" s="23" t="n"/>
      <c r="BH807" s="23" t="n"/>
      <c r="BI807" s="23" t="n"/>
      <c r="BJ807" s="23" t="n"/>
      <c r="BK807" s="23" t="n"/>
      <c r="BL807" s="23" t="n"/>
      <c r="BM807" s="23" t="n"/>
      <c r="BN807" s="23" t="n"/>
      <c r="BO807" s="23" t="n"/>
      <c r="BP807" s="23" t="n"/>
      <c r="BQ807" s="23" t="n"/>
      <c r="BR807" s="23" t="n"/>
      <c r="BS807" s="23" t="n"/>
      <c r="BT807" s="23" t="n"/>
      <c r="BU807" s="23" t="n"/>
      <c r="BV807" s="23" t="n"/>
      <c r="BW807" s="23" t="n"/>
      <c r="BX807" s="23" t="n"/>
      <c r="BY807" s="23" t="n"/>
      <c r="BZ807" s="23" t="n"/>
      <c r="CA807" s="23" t="n"/>
      <c r="CB807" s="23" t="n"/>
      <c r="CC807" s="23" t="n"/>
      <c r="CD807" s="23" t="n"/>
      <c r="CE807" s="23" t="n"/>
      <c r="CF807" s="23" t="n"/>
      <c r="CG807" s="23" t="n"/>
      <c r="CH807" s="23" t="n"/>
      <c r="CI807" s="23" t="n"/>
      <c r="CJ807" s="23" t="n"/>
      <c r="CK807" s="23" t="n"/>
      <c r="CL807" s="23" t="n"/>
      <c r="CM807" s="23" t="n"/>
      <c r="CN807" s="23" t="n"/>
      <c r="CO807" s="23" t="n"/>
      <c r="CP807" s="23" t="n"/>
      <c r="CQ807" s="23" t="n"/>
      <c r="CR807" s="23" t="n"/>
      <c r="CS807" s="23" t="n"/>
      <c r="CT807" s="23" t="n"/>
      <c r="CU807" s="23" t="n"/>
      <c r="CV807" s="23" t="n"/>
      <c r="CW807" s="23" t="n"/>
      <c r="CX807" s="23" t="n"/>
      <c r="CY807" s="23" t="n"/>
      <c r="CZ807" s="23" t="n"/>
      <c r="DA807" s="23" t="n"/>
      <c r="DB807" s="23" t="n"/>
      <c r="DC807" s="23" t="n"/>
      <c r="DE807" s="12" t="inlineStr">
        <is>
          <t>CHEM-1420</t>
        </is>
      </c>
    </row>
    <row r="808">
      <c r="B808" s="24" t="inlineStr">
        <is>
          <t>PO_No</t>
        </is>
      </c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  <c r="AD808" s="25" t="n"/>
      <c r="AE808" s="25" t="n"/>
      <c r="AF808" s="25" t="n"/>
      <c r="AG808" s="25" t="n"/>
      <c r="AH808" s="25" t="n"/>
      <c r="AI808" s="25" t="n"/>
      <c r="AJ808" s="25" t="n"/>
      <c r="AK808" s="25" t="n"/>
      <c r="AL808" s="25" t="n"/>
      <c r="AM808" s="25" t="n"/>
      <c r="AN808" s="25" t="n"/>
      <c r="AO808" s="25" t="n"/>
      <c r="AP808" s="25" t="n"/>
      <c r="AQ808" s="25" t="n"/>
      <c r="AR808" s="25" t="n"/>
      <c r="AS808" s="25" t="n"/>
      <c r="AT808" s="25" t="n"/>
      <c r="AU808" s="25" t="n"/>
      <c r="AV808" s="25" t="n"/>
      <c r="AW808" s="25" t="n"/>
      <c r="AX808" s="25" t="n"/>
      <c r="AY808" s="25" t="n"/>
      <c r="AZ808" s="25" t="n"/>
      <c r="BA808" s="25" t="n"/>
      <c r="BB808" s="25" t="n"/>
      <c r="BC808" s="25" t="n"/>
      <c r="BD808" s="25" t="n"/>
      <c r="BE808" s="25" t="n"/>
      <c r="BF808" s="25" t="n"/>
      <c r="BG808" s="25" t="n"/>
      <c r="BH808" s="25" t="n"/>
      <c r="BI808" s="25" t="n"/>
      <c r="BJ808" s="25" t="n"/>
      <c r="BK808" s="25" t="n"/>
      <c r="BL808" s="25" t="n"/>
      <c r="BM808" s="25" t="n"/>
      <c r="BN808" s="25" t="n"/>
      <c r="BO808" s="25" t="n"/>
      <c r="BP808" s="25" t="n"/>
      <c r="BQ808" s="25" t="n"/>
      <c r="BR808" s="25" t="n"/>
      <c r="BS808" s="25" t="n"/>
      <c r="BT808" s="25" t="n"/>
      <c r="BU808" s="25" t="n"/>
      <c r="BV808" s="25" t="n"/>
      <c r="BW808" s="25" t="n"/>
      <c r="BX808" s="25" t="n"/>
      <c r="BY808" s="25" t="n"/>
      <c r="BZ808" s="25" t="n"/>
      <c r="CA808" s="25" t="n"/>
      <c r="CB808" s="25" t="n"/>
      <c r="CC808" s="25" t="n"/>
      <c r="CD808" s="25" t="n"/>
      <c r="CE808" s="25" t="n"/>
      <c r="CF808" s="25" t="n"/>
      <c r="CG808" s="25" t="n"/>
      <c r="CH808" s="25" t="n"/>
      <c r="CI808" s="25" t="n"/>
      <c r="CJ808" s="25" t="n"/>
      <c r="CK808" s="25" t="n"/>
      <c r="CL808" s="25" t="n"/>
      <c r="CM808" s="25" t="n"/>
      <c r="CN808" s="25" t="n"/>
      <c r="CO808" s="25" t="n"/>
      <c r="CP808" s="25" t="n"/>
      <c r="CQ808" s="25" t="n"/>
      <c r="CR808" s="25" t="n"/>
      <c r="CS808" s="25" t="n"/>
      <c r="CT808" s="25" t="n"/>
      <c r="CU808" s="25" t="n"/>
      <c r="CV808" s="25" t="n"/>
      <c r="CW808" s="25" t="n"/>
      <c r="CX808" s="25" t="n"/>
      <c r="CY808" s="25" t="n"/>
      <c r="CZ808" s="25" t="n"/>
      <c r="DA808" s="25" t="n"/>
      <c r="DB808" s="25" t="n"/>
      <c r="DC808" s="25" t="n"/>
    </row>
    <row r="809">
      <c r="B809" s="5" t="inlineStr">
        <is>
          <t>合計在庫(週末時点,kg)</t>
        </is>
      </c>
      <c r="D809">
        <f>'Grid_Stock'!B36</f>
        <v/>
      </c>
      <c r="E809">
        <f>'Grid_Stock'!C36</f>
        <v/>
      </c>
      <c r="F809">
        <f>'Grid_Stock'!D36</f>
        <v/>
      </c>
      <c r="G809">
        <f>'Grid_Stock'!E36</f>
        <v/>
      </c>
      <c r="H809">
        <f>'Grid_Stock'!F36</f>
        <v/>
      </c>
      <c r="I809">
        <f>'Grid_Stock'!G36</f>
        <v/>
      </c>
      <c r="J809">
        <f>'Grid_Stock'!H36</f>
        <v/>
      </c>
      <c r="K809">
        <f>'Grid_Stock'!I36</f>
        <v/>
      </c>
      <c r="L809">
        <f>'Grid_Stock'!J36</f>
        <v/>
      </c>
      <c r="M809">
        <f>'Grid_Stock'!K36</f>
        <v/>
      </c>
      <c r="N809">
        <f>'Grid_Stock'!L36</f>
        <v/>
      </c>
      <c r="O809">
        <f>'Grid_Stock'!M36</f>
        <v/>
      </c>
      <c r="P809">
        <f>'Grid_Stock'!N36</f>
        <v/>
      </c>
      <c r="Q809">
        <f>'Grid_Stock'!O36</f>
        <v/>
      </c>
      <c r="R809">
        <f>'Grid_Stock'!P36</f>
        <v/>
      </c>
      <c r="S809">
        <f>'Grid_Stock'!Q36</f>
        <v/>
      </c>
      <c r="T809">
        <f>'Grid_Stock'!R36</f>
        <v/>
      </c>
      <c r="U809">
        <f>'Grid_Stock'!S36</f>
        <v/>
      </c>
      <c r="V809">
        <f>'Grid_Stock'!T36</f>
        <v/>
      </c>
      <c r="W809">
        <f>'Grid_Stock'!U36</f>
        <v/>
      </c>
      <c r="X809">
        <f>'Grid_Stock'!V36</f>
        <v/>
      </c>
      <c r="Y809">
        <f>'Grid_Stock'!W36</f>
        <v/>
      </c>
      <c r="Z809">
        <f>'Grid_Stock'!X36</f>
        <v/>
      </c>
      <c r="AA809">
        <f>'Grid_Stock'!Y36</f>
        <v/>
      </c>
      <c r="AB809">
        <f>'Grid_Stock'!Z36</f>
        <v/>
      </c>
      <c r="AC809">
        <f>'Grid_Stock'!AA36</f>
        <v/>
      </c>
      <c r="AD809">
        <f>'Grid_Stock'!AB36</f>
        <v/>
      </c>
      <c r="AE809">
        <f>'Grid_Stock'!AC36</f>
        <v/>
      </c>
      <c r="AF809">
        <f>'Grid_Stock'!AD36</f>
        <v/>
      </c>
      <c r="AG809">
        <f>'Grid_Stock'!AE36</f>
        <v/>
      </c>
      <c r="AH809">
        <f>'Grid_Stock'!AF36</f>
        <v/>
      </c>
      <c r="AI809">
        <f>'Grid_Stock'!AG36</f>
        <v/>
      </c>
      <c r="AJ809">
        <f>'Grid_Stock'!AH36</f>
        <v/>
      </c>
      <c r="AK809">
        <f>'Grid_Stock'!AI36</f>
        <v/>
      </c>
      <c r="AL809">
        <f>'Grid_Stock'!AJ36</f>
        <v/>
      </c>
      <c r="AM809">
        <f>'Grid_Stock'!AK36</f>
        <v/>
      </c>
      <c r="AN809">
        <f>'Grid_Stock'!AL36</f>
        <v/>
      </c>
      <c r="AO809">
        <f>'Grid_Stock'!AM36</f>
        <v/>
      </c>
      <c r="AP809">
        <f>'Grid_Stock'!AN36</f>
        <v/>
      </c>
      <c r="AQ809">
        <f>'Grid_Stock'!AO36</f>
        <v/>
      </c>
      <c r="AR809">
        <f>'Grid_Stock'!AP36</f>
        <v/>
      </c>
      <c r="AS809">
        <f>'Grid_Stock'!AQ36</f>
        <v/>
      </c>
      <c r="AT809">
        <f>'Grid_Stock'!AR36</f>
        <v/>
      </c>
      <c r="AU809">
        <f>'Grid_Stock'!AS36</f>
        <v/>
      </c>
      <c r="AV809">
        <f>'Grid_Stock'!AT36</f>
        <v/>
      </c>
      <c r="AW809">
        <f>'Grid_Stock'!AU36</f>
        <v/>
      </c>
      <c r="AX809">
        <f>'Grid_Stock'!AV36</f>
        <v/>
      </c>
      <c r="AY809">
        <f>'Grid_Stock'!AW36</f>
        <v/>
      </c>
      <c r="AZ809">
        <f>'Grid_Stock'!AX36</f>
        <v/>
      </c>
      <c r="BA809">
        <f>'Grid_Stock'!AY36</f>
        <v/>
      </c>
      <c r="BB809">
        <f>'Grid_Stock'!AZ36</f>
        <v/>
      </c>
      <c r="BC809">
        <f>'Grid_Stock'!BA36</f>
        <v/>
      </c>
      <c r="BD809">
        <f>'Grid_Stock'!BB36</f>
        <v/>
      </c>
      <c r="BE809">
        <f>'Grid_Stock'!BC36</f>
        <v/>
      </c>
      <c r="BF809">
        <f>'Grid_Stock'!BD36</f>
        <v/>
      </c>
      <c r="BG809">
        <f>'Grid_Stock'!BE36</f>
        <v/>
      </c>
      <c r="BH809">
        <f>'Grid_Stock'!BF36</f>
        <v/>
      </c>
      <c r="BI809">
        <f>'Grid_Stock'!BG36</f>
        <v/>
      </c>
      <c r="BJ809">
        <f>'Grid_Stock'!BH36</f>
        <v/>
      </c>
      <c r="BK809">
        <f>'Grid_Stock'!BI36</f>
        <v/>
      </c>
      <c r="BL809">
        <f>'Grid_Stock'!BJ36</f>
        <v/>
      </c>
      <c r="BM809">
        <f>'Grid_Stock'!BK36</f>
        <v/>
      </c>
      <c r="BN809">
        <f>'Grid_Stock'!BL36</f>
        <v/>
      </c>
      <c r="BO809">
        <f>'Grid_Stock'!BM36</f>
        <v/>
      </c>
      <c r="BP809">
        <f>'Grid_Stock'!BN36</f>
        <v/>
      </c>
      <c r="BQ809">
        <f>'Grid_Stock'!BO36</f>
        <v/>
      </c>
      <c r="BR809">
        <f>'Grid_Stock'!BP36</f>
        <v/>
      </c>
      <c r="BS809">
        <f>'Grid_Stock'!BQ36</f>
        <v/>
      </c>
      <c r="BT809">
        <f>'Grid_Stock'!BR36</f>
        <v/>
      </c>
      <c r="BU809">
        <f>'Grid_Stock'!BS36</f>
        <v/>
      </c>
      <c r="BV809">
        <f>'Grid_Stock'!BT36</f>
        <v/>
      </c>
      <c r="BW809">
        <f>'Grid_Stock'!BU36</f>
        <v/>
      </c>
      <c r="BX809">
        <f>'Grid_Stock'!BV36</f>
        <v/>
      </c>
      <c r="BY809">
        <f>'Grid_Stock'!BW36</f>
        <v/>
      </c>
      <c r="BZ809">
        <f>'Grid_Stock'!BX36</f>
        <v/>
      </c>
      <c r="CA809">
        <f>'Grid_Stock'!BY36</f>
        <v/>
      </c>
      <c r="CB809">
        <f>'Grid_Stock'!BZ36</f>
        <v/>
      </c>
      <c r="CC809">
        <f>'Grid_Stock'!CA36</f>
        <v/>
      </c>
      <c r="CD809">
        <f>'Grid_Stock'!CB36</f>
        <v/>
      </c>
      <c r="CE809">
        <f>'Grid_Stock'!CC36</f>
        <v/>
      </c>
      <c r="CF809">
        <f>'Grid_Stock'!CD36</f>
        <v/>
      </c>
      <c r="CG809">
        <f>'Grid_Stock'!CE36</f>
        <v/>
      </c>
      <c r="CH809">
        <f>'Grid_Stock'!CF36</f>
        <v/>
      </c>
      <c r="CI809">
        <f>'Grid_Stock'!CG36</f>
        <v/>
      </c>
      <c r="CJ809">
        <f>'Grid_Stock'!CH36</f>
        <v/>
      </c>
      <c r="CK809">
        <f>'Grid_Stock'!CI36</f>
        <v/>
      </c>
      <c r="CL809">
        <f>'Grid_Stock'!CJ36</f>
        <v/>
      </c>
      <c r="CM809">
        <f>'Grid_Stock'!CK36</f>
        <v/>
      </c>
      <c r="CN809">
        <f>'Grid_Stock'!CL36</f>
        <v/>
      </c>
      <c r="CO809">
        <f>'Grid_Stock'!CM36</f>
        <v/>
      </c>
      <c r="CP809">
        <f>'Grid_Stock'!CN36</f>
        <v/>
      </c>
      <c r="CQ809">
        <f>'Grid_Stock'!CO36</f>
        <v/>
      </c>
      <c r="CR809">
        <f>'Grid_Stock'!CP36</f>
        <v/>
      </c>
      <c r="CS809">
        <f>'Grid_Stock'!CQ36</f>
        <v/>
      </c>
      <c r="CT809">
        <f>'Grid_Stock'!CR36</f>
        <v/>
      </c>
      <c r="CU809">
        <f>'Grid_Stock'!CS36</f>
        <v/>
      </c>
      <c r="CV809">
        <f>'Grid_Stock'!CT36</f>
        <v/>
      </c>
      <c r="CW809">
        <f>'Grid_Stock'!CU36</f>
        <v/>
      </c>
      <c r="CX809">
        <f>'Grid_Stock'!CV36</f>
        <v/>
      </c>
      <c r="CY809">
        <f>'Grid_Stock'!CW36</f>
        <v/>
      </c>
      <c r="CZ809">
        <f>'Grid_Stock'!CX36</f>
        <v/>
      </c>
      <c r="DA809">
        <f>'Grid_Stock'!CY36</f>
        <v/>
      </c>
      <c r="DB809">
        <f>'Grid_Stock'!CZ36</f>
        <v/>
      </c>
      <c r="DC809">
        <f>'Grid_Stock'!DA36</f>
        <v/>
      </c>
    </row>
    <row r="810">
      <c r="B810" s="26" t="inlineStr">
        <is>
          <t>（発注の目安はDashboardの基準在庫[下限/上限]と色分けを参照）</t>
        </is>
      </c>
    </row>
    <row r="812">
      <c r="A812" s="21" t="inlineStr">
        <is>
          <t>CHEM-1530</t>
        </is>
      </c>
      <c r="B812" s="21" t="inlineStr">
        <is>
          <t>JCK-97</t>
        </is>
      </c>
      <c r="C812" s="22" t="n"/>
      <c r="D812" s="21" t="n"/>
      <c r="E812" s="21" t="n"/>
      <c r="F812" s="21" t="n"/>
      <c r="G812" s="21" t="n"/>
      <c r="H812" s="21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  <c r="AA812" s="21" t="n"/>
      <c r="AB812" s="21" t="n"/>
      <c r="AC812" s="21" t="n"/>
      <c r="AD812" s="21" t="n"/>
      <c r="AE812" s="21" t="n"/>
      <c r="AF812" s="21" t="n"/>
      <c r="AG812" s="21" t="n"/>
      <c r="AH812" s="21" t="n"/>
      <c r="AI812" s="21" t="n"/>
      <c r="AJ812" s="21" t="n"/>
      <c r="AK812" s="21" t="n"/>
      <c r="AL812" s="21" t="n"/>
      <c r="AM812" s="21" t="n"/>
      <c r="AN812" s="21" t="n"/>
      <c r="AO812" s="21" t="n"/>
      <c r="AP812" s="21" t="n"/>
      <c r="AQ812" s="21" t="n"/>
      <c r="AR812" s="21" t="n"/>
      <c r="AS812" s="21" t="n"/>
      <c r="AT812" s="21" t="n"/>
      <c r="AU812" s="21" t="n"/>
      <c r="AV812" s="21" t="n"/>
      <c r="AW812" s="21" t="n"/>
      <c r="AX812" s="21" t="n"/>
      <c r="AY812" s="21" t="n"/>
      <c r="AZ812" s="21" t="n"/>
      <c r="BA812" s="21" t="n"/>
      <c r="BB812" s="21" t="n"/>
      <c r="BC812" s="21" t="n"/>
      <c r="BD812" s="21" t="n"/>
      <c r="BE812" s="21" t="n"/>
      <c r="BF812" s="21" t="n"/>
      <c r="BG812" s="21" t="n"/>
      <c r="BH812" s="21" t="n"/>
      <c r="BI812" s="21" t="n"/>
      <c r="BJ812" s="21" t="n"/>
      <c r="BK812" s="21" t="n"/>
      <c r="BL812" s="21" t="n"/>
      <c r="BM812" s="21" t="n"/>
      <c r="BN812" s="21" t="n"/>
      <c r="BO812" s="21" t="n"/>
      <c r="BP812" s="21" t="n"/>
      <c r="BQ812" s="21" t="n"/>
      <c r="BR812" s="21" t="n"/>
      <c r="BS812" s="21" t="n"/>
      <c r="BT812" s="21" t="n"/>
      <c r="BU812" s="21" t="n"/>
      <c r="BV812" s="21" t="n"/>
      <c r="BW812" s="21" t="n"/>
      <c r="BX812" s="21" t="n"/>
      <c r="BY812" s="21" t="n"/>
      <c r="BZ812" s="21" t="n"/>
      <c r="CA812" s="21" t="n"/>
      <c r="CB812" s="21" t="n"/>
      <c r="CC812" s="21" t="n"/>
      <c r="CD812" s="21" t="n"/>
      <c r="CE812" s="21" t="n"/>
      <c r="CF812" s="21" t="n"/>
      <c r="CG812" s="21" t="n"/>
      <c r="CH812" s="21" t="n"/>
      <c r="CI812" s="21" t="n"/>
      <c r="CJ812" s="21" t="n"/>
      <c r="CK812" s="21" t="n"/>
      <c r="CL812" s="21" t="n"/>
      <c r="CM812" s="21" t="n"/>
      <c r="CN812" s="21" t="n"/>
      <c r="CO812" s="21" t="n"/>
      <c r="CP812" s="21" t="n"/>
      <c r="CQ812" s="21" t="n"/>
      <c r="CR812" s="21" t="n"/>
      <c r="CS812" s="21" t="n"/>
      <c r="CT812" s="21" t="n"/>
      <c r="CU812" s="21" t="n"/>
      <c r="CV812" s="21" t="n"/>
      <c r="CW812" s="21" t="n"/>
      <c r="CX812" s="21" t="n"/>
      <c r="CY812" s="21" t="n"/>
      <c r="CZ812" s="21" t="n"/>
      <c r="DA812" s="21" t="n"/>
      <c r="DB812" s="21" t="n"/>
      <c r="DC812" s="21" t="n"/>
    </row>
    <row r="813">
      <c r="B813" t="inlineStr">
        <is>
          <t>TPP-650</t>
        </is>
      </c>
      <c r="C813" t="inlineStr">
        <is>
          <t>No. of batches</t>
        </is>
      </c>
      <c r="D813">
        <f>IFERROR(INDEX(PP_Grid[#Data],$DD813,2),0)</f>
        <v/>
      </c>
      <c r="E813">
        <f>IFERROR(INDEX(PP_Grid[#Data],$DD813,3),0)</f>
        <v/>
      </c>
      <c r="F813">
        <f>IFERROR(INDEX(PP_Grid[#Data],$DD813,4),0)</f>
        <v/>
      </c>
      <c r="G813">
        <f>IFERROR(INDEX(PP_Grid[#Data],$DD813,5),0)</f>
        <v/>
      </c>
      <c r="H813">
        <f>IFERROR(INDEX(PP_Grid[#Data],$DD813,6),0)</f>
        <v/>
      </c>
      <c r="I813">
        <f>IFERROR(INDEX(PP_Grid[#Data],$DD813,7),0)</f>
        <v/>
      </c>
      <c r="J813">
        <f>IFERROR(INDEX(PP_Grid[#Data],$DD813,8),0)</f>
        <v/>
      </c>
      <c r="K813">
        <f>IFERROR(INDEX(PP_Grid[#Data],$DD813,9),0)</f>
        <v/>
      </c>
      <c r="L813">
        <f>IFERROR(INDEX(PP_Grid[#Data],$DD813,10),0)</f>
        <v/>
      </c>
      <c r="M813">
        <f>IFERROR(INDEX(PP_Grid[#Data],$DD813,11),0)</f>
        <v/>
      </c>
      <c r="N813">
        <f>IFERROR(INDEX(PP_Grid[#Data],$DD813,12),0)</f>
        <v/>
      </c>
      <c r="O813">
        <f>IFERROR(INDEX(PP_Grid[#Data],$DD813,13),0)</f>
        <v/>
      </c>
      <c r="P813">
        <f>IFERROR(INDEX(PP_Grid[#Data],$DD813,14),0)</f>
        <v/>
      </c>
      <c r="Q813">
        <f>IFERROR(INDEX(PP_Grid[#Data],$DD813,15),0)</f>
        <v/>
      </c>
      <c r="R813">
        <f>IFERROR(INDEX(PP_Grid[#Data],$DD813,16),0)</f>
        <v/>
      </c>
      <c r="S813">
        <f>IFERROR(INDEX(PP_Grid[#Data],$DD813,17),0)</f>
        <v/>
      </c>
      <c r="T813">
        <f>IFERROR(INDEX(PP_Grid[#Data],$DD813,18),0)</f>
        <v/>
      </c>
      <c r="U813">
        <f>IFERROR(INDEX(PP_Grid[#Data],$DD813,19),0)</f>
        <v/>
      </c>
      <c r="V813">
        <f>IFERROR(INDEX(PP_Grid[#Data],$DD813,20),0)</f>
        <v/>
      </c>
      <c r="W813">
        <f>IFERROR(INDEX(PP_Grid[#Data],$DD813,21),0)</f>
        <v/>
      </c>
      <c r="X813">
        <f>IFERROR(INDEX(PP_Grid[#Data],$DD813,22),0)</f>
        <v/>
      </c>
      <c r="Y813">
        <f>IFERROR(INDEX(PP_Grid[#Data],$DD813,23),0)</f>
        <v/>
      </c>
      <c r="Z813">
        <f>IFERROR(INDEX(PP_Grid[#Data],$DD813,24),0)</f>
        <v/>
      </c>
      <c r="AA813">
        <f>IFERROR(INDEX(PP_Grid[#Data],$DD813,25),0)</f>
        <v/>
      </c>
      <c r="AB813">
        <f>IFERROR(INDEX(PP_Grid[#Data],$DD813,26),0)</f>
        <v/>
      </c>
      <c r="AC813">
        <f>IFERROR(INDEX(PP_Grid[#Data],$DD813,27),0)</f>
        <v/>
      </c>
      <c r="AD813">
        <f>IFERROR(INDEX(PP_Grid[#Data],$DD813,28),0)</f>
        <v/>
      </c>
      <c r="AE813">
        <f>IFERROR(INDEX(PP_Grid[#Data],$DD813,29),0)</f>
        <v/>
      </c>
      <c r="AF813">
        <f>IFERROR(INDEX(PP_Grid[#Data],$DD813,30),0)</f>
        <v/>
      </c>
      <c r="AG813">
        <f>IFERROR(INDEX(PP_Grid[#Data],$DD813,31),0)</f>
        <v/>
      </c>
      <c r="AH813">
        <f>IFERROR(INDEX(PP_Grid[#Data],$DD813,32),0)</f>
        <v/>
      </c>
      <c r="AI813">
        <f>IFERROR(INDEX(PP_Grid[#Data],$DD813,33),0)</f>
        <v/>
      </c>
      <c r="AJ813">
        <f>IFERROR(INDEX(PP_Grid[#Data],$DD813,34),0)</f>
        <v/>
      </c>
      <c r="AK813">
        <f>IFERROR(INDEX(PP_Grid[#Data],$DD813,35),0)</f>
        <v/>
      </c>
      <c r="AL813">
        <f>IFERROR(INDEX(PP_Grid[#Data],$DD813,36),0)</f>
        <v/>
      </c>
      <c r="AM813">
        <f>IFERROR(INDEX(PP_Grid[#Data],$DD813,37),0)</f>
        <v/>
      </c>
      <c r="AN813">
        <f>IFERROR(INDEX(PP_Grid[#Data],$DD813,38),0)</f>
        <v/>
      </c>
      <c r="AO813">
        <f>IFERROR(INDEX(PP_Grid[#Data],$DD813,39),0)</f>
        <v/>
      </c>
      <c r="AP813">
        <f>IFERROR(INDEX(PP_Grid[#Data],$DD813,40),0)</f>
        <v/>
      </c>
      <c r="AQ813">
        <f>IFERROR(INDEX(PP_Grid[#Data],$DD813,41),0)</f>
        <v/>
      </c>
      <c r="AR813">
        <f>IFERROR(INDEX(PP_Grid[#Data],$DD813,42),0)</f>
        <v/>
      </c>
      <c r="AS813">
        <f>IFERROR(INDEX(PP_Grid[#Data],$DD813,43),0)</f>
        <v/>
      </c>
      <c r="AT813">
        <f>IFERROR(INDEX(PP_Grid[#Data],$DD813,44),0)</f>
        <v/>
      </c>
      <c r="AU813">
        <f>IFERROR(INDEX(PP_Grid[#Data],$DD813,45),0)</f>
        <v/>
      </c>
      <c r="AV813">
        <f>IFERROR(INDEX(PP_Grid[#Data],$DD813,46),0)</f>
        <v/>
      </c>
      <c r="AW813">
        <f>IFERROR(INDEX(PP_Grid[#Data],$DD813,47),0)</f>
        <v/>
      </c>
      <c r="AX813">
        <f>IFERROR(INDEX(PP_Grid[#Data],$DD813,48),0)</f>
        <v/>
      </c>
      <c r="AY813">
        <f>IFERROR(INDEX(PP_Grid[#Data],$DD813,49),0)</f>
        <v/>
      </c>
      <c r="AZ813">
        <f>IFERROR(INDEX(PP_Grid[#Data],$DD813,50),0)</f>
        <v/>
      </c>
      <c r="BA813">
        <f>IFERROR(INDEX(PP_Grid[#Data],$DD813,51),0)</f>
        <v/>
      </c>
      <c r="BB813">
        <f>IFERROR(INDEX(PP_Grid[#Data],$DD813,52),0)</f>
        <v/>
      </c>
      <c r="BC813">
        <f>IFERROR(INDEX(PP_Grid[#Data],$DD813,53),0)</f>
        <v/>
      </c>
      <c r="BD813">
        <f>IFERROR(INDEX(PP_Grid[#Data],$DD813,54),0)</f>
        <v/>
      </c>
      <c r="BE813">
        <f>IFERROR(INDEX(PP_Grid[#Data],$DD813,55),0)</f>
        <v/>
      </c>
      <c r="BF813">
        <f>IFERROR(INDEX(PP_Grid[#Data],$DD813,56),0)</f>
        <v/>
      </c>
      <c r="BG813">
        <f>IFERROR(INDEX(PP_Grid[#Data],$DD813,57),0)</f>
        <v/>
      </c>
      <c r="BH813">
        <f>IFERROR(INDEX(PP_Grid[#Data],$DD813,58),0)</f>
        <v/>
      </c>
      <c r="BI813">
        <f>IFERROR(INDEX(PP_Grid[#Data],$DD813,59),0)</f>
        <v/>
      </c>
      <c r="BJ813">
        <f>IFERROR(INDEX(PP_Grid[#Data],$DD813,60),0)</f>
        <v/>
      </c>
      <c r="BK813">
        <f>IFERROR(INDEX(PP_Grid[#Data],$DD813,61),0)</f>
        <v/>
      </c>
      <c r="BL813">
        <f>IFERROR(INDEX(PP_Grid[#Data],$DD813,62),0)</f>
        <v/>
      </c>
      <c r="BM813">
        <f>IFERROR(INDEX(PP_Grid[#Data],$DD813,63),0)</f>
        <v/>
      </c>
      <c r="BN813">
        <f>IFERROR(INDEX(PP_Grid[#Data],$DD813,64),0)</f>
        <v/>
      </c>
      <c r="BO813">
        <f>IFERROR(INDEX(PP_Grid[#Data],$DD813,65),0)</f>
        <v/>
      </c>
      <c r="BP813">
        <f>IFERROR(INDEX(PP_Grid[#Data],$DD813,66),0)</f>
        <v/>
      </c>
      <c r="BQ813">
        <f>IFERROR(INDEX(PP_Grid[#Data],$DD813,67),0)</f>
        <v/>
      </c>
      <c r="BR813">
        <f>IFERROR(INDEX(PP_Grid[#Data],$DD813,68),0)</f>
        <v/>
      </c>
      <c r="BS813">
        <f>IFERROR(INDEX(PP_Grid[#Data],$DD813,69),0)</f>
        <v/>
      </c>
      <c r="BT813">
        <f>IFERROR(INDEX(PP_Grid[#Data],$DD813,70),0)</f>
        <v/>
      </c>
      <c r="BU813">
        <f>IFERROR(INDEX(PP_Grid[#Data],$DD813,71),0)</f>
        <v/>
      </c>
      <c r="BV813">
        <f>IFERROR(INDEX(PP_Grid[#Data],$DD813,72),0)</f>
        <v/>
      </c>
      <c r="BW813">
        <f>IFERROR(INDEX(PP_Grid[#Data],$DD813,73),0)</f>
        <v/>
      </c>
      <c r="BX813">
        <f>IFERROR(INDEX(PP_Grid[#Data],$DD813,74),0)</f>
        <v/>
      </c>
      <c r="BY813">
        <f>IFERROR(INDEX(PP_Grid[#Data],$DD813,75),0)</f>
        <v/>
      </c>
      <c r="BZ813">
        <f>IFERROR(INDEX(PP_Grid[#Data],$DD813,76),0)</f>
        <v/>
      </c>
      <c r="CA813">
        <f>IFERROR(INDEX(PP_Grid[#Data],$DD813,77),0)</f>
        <v/>
      </c>
      <c r="CB813">
        <f>IFERROR(INDEX(PP_Grid[#Data],$DD813,78),0)</f>
        <v/>
      </c>
      <c r="CC813">
        <f>IFERROR(INDEX(PP_Grid[#Data],$DD813,79),0)</f>
        <v/>
      </c>
      <c r="CD813">
        <f>IFERROR(INDEX(PP_Grid[#Data],$DD813,80),0)</f>
        <v/>
      </c>
      <c r="CE813">
        <f>IFERROR(INDEX(PP_Grid[#Data],$DD813,81),0)</f>
        <v/>
      </c>
      <c r="CF813">
        <f>IFERROR(INDEX(PP_Grid[#Data],$DD813,82),0)</f>
        <v/>
      </c>
      <c r="CG813">
        <f>IFERROR(INDEX(PP_Grid[#Data],$DD813,83),0)</f>
        <v/>
      </c>
      <c r="CH813">
        <f>IFERROR(INDEX(PP_Grid[#Data],$DD813,84),0)</f>
        <v/>
      </c>
      <c r="CI813">
        <f>IFERROR(INDEX(PP_Grid[#Data],$DD813,85),0)</f>
        <v/>
      </c>
      <c r="CJ813">
        <f>IFERROR(INDEX(PP_Grid[#Data],$DD813,86),0)</f>
        <v/>
      </c>
      <c r="CK813">
        <f>IFERROR(INDEX(PP_Grid[#Data],$DD813,87),0)</f>
        <v/>
      </c>
      <c r="CL813">
        <f>IFERROR(INDEX(PP_Grid[#Data],$DD813,88),0)</f>
        <v/>
      </c>
      <c r="CM813">
        <f>IFERROR(INDEX(PP_Grid[#Data],$DD813,89),0)</f>
        <v/>
      </c>
      <c r="CN813">
        <f>IFERROR(INDEX(PP_Grid[#Data],$DD813,90),0)</f>
        <v/>
      </c>
      <c r="CO813">
        <f>IFERROR(INDEX(PP_Grid[#Data],$DD813,91),0)</f>
        <v/>
      </c>
      <c r="CP813">
        <f>IFERROR(INDEX(PP_Grid[#Data],$DD813,92),0)</f>
        <v/>
      </c>
      <c r="CQ813">
        <f>IFERROR(INDEX(PP_Grid[#Data],$DD813,93),0)</f>
        <v/>
      </c>
      <c r="CR813">
        <f>IFERROR(INDEX(PP_Grid[#Data],$DD813,94),0)</f>
        <v/>
      </c>
      <c r="CS813">
        <f>IFERROR(INDEX(PP_Grid[#Data],$DD813,95),0)</f>
        <v/>
      </c>
      <c r="CT813">
        <f>IFERROR(INDEX(PP_Grid[#Data],$DD813,96),0)</f>
        <v/>
      </c>
      <c r="CU813">
        <f>IFERROR(INDEX(PP_Grid[#Data],$DD813,97),0)</f>
        <v/>
      </c>
      <c r="CV813">
        <f>IFERROR(INDEX(PP_Grid[#Data],$DD813,98),0)</f>
        <v/>
      </c>
      <c r="CW813">
        <f>IFERROR(INDEX(PP_Grid[#Data],$DD813,99),0)</f>
        <v/>
      </c>
      <c r="CX813">
        <f>IFERROR(INDEX(PP_Grid[#Data],$DD813,100),0)</f>
        <v/>
      </c>
      <c r="CY813">
        <f>IFERROR(INDEX(PP_Grid[#Data],$DD813,101),0)</f>
        <v/>
      </c>
      <c r="CZ813">
        <f>IFERROR(INDEX(PP_Grid[#Data],$DD813,102),0)</f>
        <v/>
      </c>
      <c r="DA813">
        <f>IFERROR(INDEX(PP_Grid[#Data],$DD813,103),0)</f>
        <v/>
      </c>
      <c r="DB813">
        <f>IFERROR(INDEX(PP_Grid[#Data],$DD813,104),0)</f>
        <v/>
      </c>
      <c r="DC813">
        <f>IFERROR(INDEX(PP_Grid[#Data],$DD813,105),0)</f>
        <v/>
      </c>
      <c r="DD813" s="12">
        <f>IFERROR(MATCH($B813,PP_Grid[Intermediate],0),99999)</f>
        <v/>
      </c>
    </row>
    <row r="814">
      <c r="B814" t="inlineStr">
        <is>
          <t>使用量(kg)</t>
        </is>
      </c>
      <c r="C814">
        <f>SUMIFS(M_BOM[RM_Qty_Per_Batch],M_BOM[Intermediate],$B813,M_BOM[Part Name],$A812)</f>
        <v/>
      </c>
      <c r="D814">
        <f>$C814*D813</f>
        <v/>
      </c>
      <c r="E814">
        <f>$C814*E813</f>
        <v/>
      </c>
      <c r="F814">
        <f>$C814*F813</f>
        <v/>
      </c>
      <c r="G814">
        <f>$C814*G813</f>
        <v/>
      </c>
      <c r="H814">
        <f>$C814*H813</f>
        <v/>
      </c>
      <c r="I814">
        <f>$C814*I813</f>
        <v/>
      </c>
      <c r="J814">
        <f>$C814*J813</f>
        <v/>
      </c>
      <c r="K814">
        <f>$C814*K813</f>
        <v/>
      </c>
      <c r="L814">
        <f>$C814*L813</f>
        <v/>
      </c>
      <c r="M814">
        <f>$C814*M813</f>
        <v/>
      </c>
      <c r="N814">
        <f>$C814*N813</f>
        <v/>
      </c>
      <c r="O814">
        <f>$C814*O813</f>
        <v/>
      </c>
      <c r="P814">
        <f>$C814*P813</f>
        <v/>
      </c>
      <c r="Q814">
        <f>$C814*Q813</f>
        <v/>
      </c>
      <c r="R814">
        <f>$C814*R813</f>
        <v/>
      </c>
      <c r="S814">
        <f>$C814*S813</f>
        <v/>
      </c>
      <c r="T814">
        <f>$C814*T813</f>
        <v/>
      </c>
      <c r="U814">
        <f>$C814*U813</f>
        <v/>
      </c>
      <c r="V814">
        <f>$C814*V813</f>
        <v/>
      </c>
      <c r="W814">
        <f>$C814*W813</f>
        <v/>
      </c>
      <c r="X814">
        <f>$C814*X813</f>
        <v/>
      </c>
      <c r="Y814">
        <f>$C814*Y813</f>
        <v/>
      </c>
      <c r="Z814">
        <f>$C814*Z813</f>
        <v/>
      </c>
      <c r="AA814">
        <f>$C814*AA813</f>
        <v/>
      </c>
      <c r="AB814">
        <f>$C814*AB813</f>
        <v/>
      </c>
      <c r="AC814">
        <f>$C814*AC813</f>
        <v/>
      </c>
      <c r="AD814">
        <f>$C814*AD813</f>
        <v/>
      </c>
      <c r="AE814">
        <f>$C814*AE813</f>
        <v/>
      </c>
      <c r="AF814">
        <f>$C814*AF813</f>
        <v/>
      </c>
      <c r="AG814">
        <f>$C814*AG813</f>
        <v/>
      </c>
      <c r="AH814">
        <f>$C814*AH813</f>
        <v/>
      </c>
      <c r="AI814">
        <f>$C814*AI813</f>
        <v/>
      </c>
      <c r="AJ814">
        <f>$C814*AJ813</f>
        <v/>
      </c>
      <c r="AK814">
        <f>$C814*AK813</f>
        <v/>
      </c>
      <c r="AL814">
        <f>$C814*AL813</f>
        <v/>
      </c>
      <c r="AM814">
        <f>$C814*AM813</f>
        <v/>
      </c>
      <c r="AN814">
        <f>$C814*AN813</f>
        <v/>
      </c>
      <c r="AO814">
        <f>$C814*AO813</f>
        <v/>
      </c>
      <c r="AP814">
        <f>$C814*AP813</f>
        <v/>
      </c>
      <c r="AQ814">
        <f>$C814*AQ813</f>
        <v/>
      </c>
      <c r="AR814">
        <f>$C814*AR813</f>
        <v/>
      </c>
      <c r="AS814">
        <f>$C814*AS813</f>
        <v/>
      </c>
      <c r="AT814">
        <f>$C814*AT813</f>
        <v/>
      </c>
      <c r="AU814">
        <f>$C814*AU813</f>
        <v/>
      </c>
      <c r="AV814">
        <f>$C814*AV813</f>
        <v/>
      </c>
      <c r="AW814">
        <f>$C814*AW813</f>
        <v/>
      </c>
      <c r="AX814">
        <f>$C814*AX813</f>
        <v/>
      </c>
      <c r="AY814">
        <f>$C814*AY813</f>
        <v/>
      </c>
      <c r="AZ814">
        <f>$C814*AZ813</f>
        <v/>
      </c>
      <c r="BA814">
        <f>$C814*BA813</f>
        <v/>
      </c>
      <c r="BB814">
        <f>$C814*BB813</f>
        <v/>
      </c>
      <c r="BC814">
        <f>$C814*BC813</f>
        <v/>
      </c>
      <c r="BD814">
        <f>$C814*BD813</f>
        <v/>
      </c>
      <c r="BE814">
        <f>$C814*BE813</f>
        <v/>
      </c>
      <c r="BF814">
        <f>$C814*BF813</f>
        <v/>
      </c>
      <c r="BG814">
        <f>$C814*BG813</f>
        <v/>
      </c>
      <c r="BH814">
        <f>$C814*BH813</f>
        <v/>
      </c>
      <c r="BI814">
        <f>$C814*BI813</f>
        <v/>
      </c>
      <c r="BJ814">
        <f>$C814*BJ813</f>
        <v/>
      </c>
      <c r="BK814">
        <f>$C814*BK813</f>
        <v/>
      </c>
      <c r="BL814">
        <f>$C814*BL813</f>
        <v/>
      </c>
      <c r="BM814">
        <f>$C814*BM813</f>
        <v/>
      </c>
      <c r="BN814">
        <f>$C814*BN813</f>
        <v/>
      </c>
      <c r="BO814">
        <f>$C814*BO813</f>
        <v/>
      </c>
      <c r="BP814">
        <f>$C814*BP813</f>
        <v/>
      </c>
      <c r="BQ814">
        <f>$C814*BQ813</f>
        <v/>
      </c>
      <c r="BR814">
        <f>$C814*BR813</f>
        <v/>
      </c>
      <c r="BS814">
        <f>$C814*BS813</f>
        <v/>
      </c>
      <c r="BT814">
        <f>$C814*BT813</f>
        <v/>
      </c>
      <c r="BU814">
        <f>$C814*BU813</f>
        <v/>
      </c>
      <c r="BV814">
        <f>$C814*BV813</f>
        <v/>
      </c>
      <c r="BW814">
        <f>$C814*BW813</f>
        <v/>
      </c>
      <c r="BX814">
        <f>$C814*BX813</f>
        <v/>
      </c>
      <c r="BY814">
        <f>$C814*BY813</f>
        <v/>
      </c>
      <c r="BZ814">
        <f>$C814*BZ813</f>
        <v/>
      </c>
      <c r="CA814">
        <f>$C814*CA813</f>
        <v/>
      </c>
      <c r="CB814">
        <f>$C814*CB813</f>
        <v/>
      </c>
      <c r="CC814">
        <f>$C814*CC813</f>
        <v/>
      </c>
      <c r="CD814">
        <f>$C814*CD813</f>
        <v/>
      </c>
      <c r="CE814">
        <f>$C814*CE813</f>
        <v/>
      </c>
      <c r="CF814">
        <f>$C814*CF813</f>
        <v/>
      </c>
      <c r="CG814">
        <f>$C814*CG813</f>
        <v/>
      </c>
      <c r="CH814">
        <f>$C814*CH813</f>
        <v/>
      </c>
      <c r="CI814">
        <f>$C814*CI813</f>
        <v/>
      </c>
      <c r="CJ814">
        <f>$C814*CJ813</f>
        <v/>
      </c>
      <c r="CK814">
        <f>$C814*CK813</f>
        <v/>
      </c>
      <c r="CL814">
        <f>$C814*CL813</f>
        <v/>
      </c>
      <c r="CM814">
        <f>$C814*CM813</f>
        <v/>
      </c>
      <c r="CN814">
        <f>$C814*CN813</f>
        <v/>
      </c>
      <c r="CO814">
        <f>$C814*CO813</f>
        <v/>
      </c>
      <c r="CP814">
        <f>$C814*CP813</f>
        <v/>
      </c>
      <c r="CQ814">
        <f>$C814*CQ813</f>
        <v/>
      </c>
      <c r="CR814">
        <f>$C814*CR813</f>
        <v/>
      </c>
      <c r="CS814">
        <f>$C814*CS813</f>
        <v/>
      </c>
      <c r="CT814">
        <f>$C814*CT813</f>
        <v/>
      </c>
      <c r="CU814">
        <f>$C814*CU813</f>
        <v/>
      </c>
      <c r="CV814">
        <f>$C814*CV813</f>
        <v/>
      </c>
      <c r="CW814">
        <f>$C814*CW813</f>
        <v/>
      </c>
      <c r="CX814">
        <f>$C814*CX813</f>
        <v/>
      </c>
      <c r="CY814">
        <f>$C814*CY813</f>
        <v/>
      </c>
      <c r="CZ814">
        <f>$C814*CZ813</f>
        <v/>
      </c>
      <c r="DA814">
        <f>$C814*DA813</f>
        <v/>
      </c>
      <c r="DB814">
        <f>$C814*DB813</f>
        <v/>
      </c>
      <c r="DC814">
        <f>$C814*DC813</f>
        <v/>
      </c>
    </row>
    <row r="815">
      <c r="B815" t="inlineStr">
        <is>
          <t>TSP-1499</t>
        </is>
      </c>
      <c r="C815" t="inlineStr">
        <is>
          <t>No. of batches</t>
        </is>
      </c>
      <c r="D815">
        <f>IFERROR(INDEX(PP_Grid[#Data],$DD815,2),0)</f>
        <v/>
      </c>
      <c r="E815">
        <f>IFERROR(INDEX(PP_Grid[#Data],$DD815,3),0)</f>
        <v/>
      </c>
      <c r="F815">
        <f>IFERROR(INDEX(PP_Grid[#Data],$DD815,4),0)</f>
        <v/>
      </c>
      <c r="G815">
        <f>IFERROR(INDEX(PP_Grid[#Data],$DD815,5),0)</f>
        <v/>
      </c>
      <c r="H815">
        <f>IFERROR(INDEX(PP_Grid[#Data],$DD815,6),0)</f>
        <v/>
      </c>
      <c r="I815">
        <f>IFERROR(INDEX(PP_Grid[#Data],$DD815,7),0)</f>
        <v/>
      </c>
      <c r="J815">
        <f>IFERROR(INDEX(PP_Grid[#Data],$DD815,8),0)</f>
        <v/>
      </c>
      <c r="K815">
        <f>IFERROR(INDEX(PP_Grid[#Data],$DD815,9),0)</f>
        <v/>
      </c>
      <c r="L815">
        <f>IFERROR(INDEX(PP_Grid[#Data],$DD815,10),0)</f>
        <v/>
      </c>
      <c r="M815">
        <f>IFERROR(INDEX(PP_Grid[#Data],$DD815,11),0)</f>
        <v/>
      </c>
      <c r="N815">
        <f>IFERROR(INDEX(PP_Grid[#Data],$DD815,12),0)</f>
        <v/>
      </c>
      <c r="O815">
        <f>IFERROR(INDEX(PP_Grid[#Data],$DD815,13),0)</f>
        <v/>
      </c>
      <c r="P815">
        <f>IFERROR(INDEX(PP_Grid[#Data],$DD815,14),0)</f>
        <v/>
      </c>
      <c r="Q815">
        <f>IFERROR(INDEX(PP_Grid[#Data],$DD815,15),0)</f>
        <v/>
      </c>
      <c r="R815">
        <f>IFERROR(INDEX(PP_Grid[#Data],$DD815,16),0)</f>
        <v/>
      </c>
      <c r="S815">
        <f>IFERROR(INDEX(PP_Grid[#Data],$DD815,17),0)</f>
        <v/>
      </c>
      <c r="T815">
        <f>IFERROR(INDEX(PP_Grid[#Data],$DD815,18),0)</f>
        <v/>
      </c>
      <c r="U815">
        <f>IFERROR(INDEX(PP_Grid[#Data],$DD815,19),0)</f>
        <v/>
      </c>
      <c r="V815">
        <f>IFERROR(INDEX(PP_Grid[#Data],$DD815,20),0)</f>
        <v/>
      </c>
      <c r="W815">
        <f>IFERROR(INDEX(PP_Grid[#Data],$DD815,21),0)</f>
        <v/>
      </c>
      <c r="X815">
        <f>IFERROR(INDEX(PP_Grid[#Data],$DD815,22),0)</f>
        <v/>
      </c>
      <c r="Y815">
        <f>IFERROR(INDEX(PP_Grid[#Data],$DD815,23),0)</f>
        <v/>
      </c>
      <c r="Z815">
        <f>IFERROR(INDEX(PP_Grid[#Data],$DD815,24),0)</f>
        <v/>
      </c>
      <c r="AA815">
        <f>IFERROR(INDEX(PP_Grid[#Data],$DD815,25),0)</f>
        <v/>
      </c>
      <c r="AB815">
        <f>IFERROR(INDEX(PP_Grid[#Data],$DD815,26),0)</f>
        <v/>
      </c>
      <c r="AC815">
        <f>IFERROR(INDEX(PP_Grid[#Data],$DD815,27),0)</f>
        <v/>
      </c>
      <c r="AD815">
        <f>IFERROR(INDEX(PP_Grid[#Data],$DD815,28),0)</f>
        <v/>
      </c>
      <c r="AE815">
        <f>IFERROR(INDEX(PP_Grid[#Data],$DD815,29),0)</f>
        <v/>
      </c>
      <c r="AF815">
        <f>IFERROR(INDEX(PP_Grid[#Data],$DD815,30),0)</f>
        <v/>
      </c>
      <c r="AG815">
        <f>IFERROR(INDEX(PP_Grid[#Data],$DD815,31),0)</f>
        <v/>
      </c>
      <c r="AH815">
        <f>IFERROR(INDEX(PP_Grid[#Data],$DD815,32),0)</f>
        <v/>
      </c>
      <c r="AI815">
        <f>IFERROR(INDEX(PP_Grid[#Data],$DD815,33),0)</f>
        <v/>
      </c>
      <c r="AJ815">
        <f>IFERROR(INDEX(PP_Grid[#Data],$DD815,34),0)</f>
        <v/>
      </c>
      <c r="AK815">
        <f>IFERROR(INDEX(PP_Grid[#Data],$DD815,35),0)</f>
        <v/>
      </c>
      <c r="AL815">
        <f>IFERROR(INDEX(PP_Grid[#Data],$DD815,36),0)</f>
        <v/>
      </c>
      <c r="AM815">
        <f>IFERROR(INDEX(PP_Grid[#Data],$DD815,37),0)</f>
        <v/>
      </c>
      <c r="AN815">
        <f>IFERROR(INDEX(PP_Grid[#Data],$DD815,38),0)</f>
        <v/>
      </c>
      <c r="AO815">
        <f>IFERROR(INDEX(PP_Grid[#Data],$DD815,39),0)</f>
        <v/>
      </c>
      <c r="AP815">
        <f>IFERROR(INDEX(PP_Grid[#Data],$DD815,40),0)</f>
        <v/>
      </c>
      <c r="AQ815">
        <f>IFERROR(INDEX(PP_Grid[#Data],$DD815,41),0)</f>
        <v/>
      </c>
      <c r="AR815">
        <f>IFERROR(INDEX(PP_Grid[#Data],$DD815,42),0)</f>
        <v/>
      </c>
      <c r="AS815">
        <f>IFERROR(INDEX(PP_Grid[#Data],$DD815,43),0)</f>
        <v/>
      </c>
      <c r="AT815">
        <f>IFERROR(INDEX(PP_Grid[#Data],$DD815,44),0)</f>
        <v/>
      </c>
      <c r="AU815">
        <f>IFERROR(INDEX(PP_Grid[#Data],$DD815,45),0)</f>
        <v/>
      </c>
      <c r="AV815">
        <f>IFERROR(INDEX(PP_Grid[#Data],$DD815,46),0)</f>
        <v/>
      </c>
      <c r="AW815">
        <f>IFERROR(INDEX(PP_Grid[#Data],$DD815,47),0)</f>
        <v/>
      </c>
      <c r="AX815">
        <f>IFERROR(INDEX(PP_Grid[#Data],$DD815,48),0)</f>
        <v/>
      </c>
      <c r="AY815">
        <f>IFERROR(INDEX(PP_Grid[#Data],$DD815,49),0)</f>
        <v/>
      </c>
      <c r="AZ815">
        <f>IFERROR(INDEX(PP_Grid[#Data],$DD815,50),0)</f>
        <v/>
      </c>
      <c r="BA815">
        <f>IFERROR(INDEX(PP_Grid[#Data],$DD815,51),0)</f>
        <v/>
      </c>
      <c r="BB815">
        <f>IFERROR(INDEX(PP_Grid[#Data],$DD815,52),0)</f>
        <v/>
      </c>
      <c r="BC815">
        <f>IFERROR(INDEX(PP_Grid[#Data],$DD815,53),0)</f>
        <v/>
      </c>
      <c r="BD815">
        <f>IFERROR(INDEX(PP_Grid[#Data],$DD815,54),0)</f>
        <v/>
      </c>
      <c r="BE815">
        <f>IFERROR(INDEX(PP_Grid[#Data],$DD815,55),0)</f>
        <v/>
      </c>
      <c r="BF815">
        <f>IFERROR(INDEX(PP_Grid[#Data],$DD815,56),0)</f>
        <v/>
      </c>
      <c r="BG815">
        <f>IFERROR(INDEX(PP_Grid[#Data],$DD815,57),0)</f>
        <v/>
      </c>
      <c r="BH815">
        <f>IFERROR(INDEX(PP_Grid[#Data],$DD815,58),0)</f>
        <v/>
      </c>
      <c r="BI815">
        <f>IFERROR(INDEX(PP_Grid[#Data],$DD815,59),0)</f>
        <v/>
      </c>
      <c r="BJ815">
        <f>IFERROR(INDEX(PP_Grid[#Data],$DD815,60),0)</f>
        <v/>
      </c>
      <c r="BK815">
        <f>IFERROR(INDEX(PP_Grid[#Data],$DD815,61),0)</f>
        <v/>
      </c>
      <c r="BL815">
        <f>IFERROR(INDEX(PP_Grid[#Data],$DD815,62),0)</f>
        <v/>
      </c>
      <c r="BM815">
        <f>IFERROR(INDEX(PP_Grid[#Data],$DD815,63),0)</f>
        <v/>
      </c>
      <c r="BN815">
        <f>IFERROR(INDEX(PP_Grid[#Data],$DD815,64),0)</f>
        <v/>
      </c>
      <c r="BO815">
        <f>IFERROR(INDEX(PP_Grid[#Data],$DD815,65),0)</f>
        <v/>
      </c>
      <c r="BP815">
        <f>IFERROR(INDEX(PP_Grid[#Data],$DD815,66),0)</f>
        <v/>
      </c>
      <c r="BQ815">
        <f>IFERROR(INDEX(PP_Grid[#Data],$DD815,67),0)</f>
        <v/>
      </c>
      <c r="BR815">
        <f>IFERROR(INDEX(PP_Grid[#Data],$DD815,68),0)</f>
        <v/>
      </c>
      <c r="BS815">
        <f>IFERROR(INDEX(PP_Grid[#Data],$DD815,69),0)</f>
        <v/>
      </c>
      <c r="BT815">
        <f>IFERROR(INDEX(PP_Grid[#Data],$DD815,70),0)</f>
        <v/>
      </c>
      <c r="BU815">
        <f>IFERROR(INDEX(PP_Grid[#Data],$DD815,71),0)</f>
        <v/>
      </c>
      <c r="BV815">
        <f>IFERROR(INDEX(PP_Grid[#Data],$DD815,72),0)</f>
        <v/>
      </c>
      <c r="BW815">
        <f>IFERROR(INDEX(PP_Grid[#Data],$DD815,73),0)</f>
        <v/>
      </c>
      <c r="BX815">
        <f>IFERROR(INDEX(PP_Grid[#Data],$DD815,74),0)</f>
        <v/>
      </c>
      <c r="BY815">
        <f>IFERROR(INDEX(PP_Grid[#Data],$DD815,75),0)</f>
        <v/>
      </c>
      <c r="BZ815">
        <f>IFERROR(INDEX(PP_Grid[#Data],$DD815,76),0)</f>
        <v/>
      </c>
      <c r="CA815">
        <f>IFERROR(INDEX(PP_Grid[#Data],$DD815,77),0)</f>
        <v/>
      </c>
      <c r="CB815">
        <f>IFERROR(INDEX(PP_Grid[#Data],$DD815,78),0)</f>
        <v/>
      </c>
      <c r="CC815">
        <f>IFERROR(INDEX(PP_Grid[#Data],$DD815,79),0)</f>
        <v/>
      </c>
      <c r="CD815">
        <f>IFERROR(INDEX(PP_Grid[#Data],$DD815,80),0)</f>
        <v/>
      </c>
      <c r="CE815">
        <f>IFERROR(INDEX(PP_Grid[#Data],$DD815,81),0)</f>
        <v/>
      </c>
      <c r="CF815">
        <f>IFERROR(INDEX(PP_Grid[#Data],$DD815,82),0)</f>
        <v/>
      </c>
      <c r="CG815">
        <f>IFERROR(INDEX(PP_Grid[#Data],$DD815,83),0)</f>
        <v/>
      </c>
      <c r="CH815">
        <f>IFERROR(INDEX(PP_Grid[#Data],$DD815,84),0)</f>
        <v/>
      </c>
      <c r="CI815">
        <f>IFERROR(INDEX(PP_Grid[#Data],$DD815,85),0)</f>
        <v/>
      </c>
      <c r="CJ815">
        <f>IFERROR(INDEX(PP_Grid[#Data],$DD815,86),0)</f>
        <v/>
      </c>
      <c r="CK815">
        <f>IFERROR(INDEX(PP_Grid[#Data],$DD815,87),0)</f>
        <v/>
      </c>
      <c r="CL815">
        <f>IFERROR(INDEX(PP_Grid[#Data],$DD815,88),0)</f>
        <v/>
      </c>
      <c r="CM815">
        <f>IFERROR(INDEX(PP_Grid[#Data],$DD815,89),0)</f>
        <v/>
      </c>
      <c r="CN815">
        <f>IFERROR(INDEX(PP_Grid[#Data],$DD815,90),0)</f>
        <v/>
      </c>
      <c r="CO815">
        <f>IFERROR(INDEX(PP_Grid[#Data],$DD815,91),0)</f>
        <v/>
      </c>
      <c r="CP815">
        <f>IFERROR(INDEX(PP_Grid[#Data],$DD815,92),0)</f>
        <v/>
      </c>
      <c r="CQ815">
        <f>IFERROR(INDEX(PP_Grid[#Data],$DD815,93),0)</f>
        <v/>
      </c>
      <c r="CR815">
        <f>IFERROR(INDEX(PP_Grid[#Data],$DD815,94),0)</f>
        <v/>
      </c>
      <c r="CS815">
        <f>IFERROR(INDEX(PP_Grid[#Data],$DD815,95),0)</f>
        <v/>
      </c>
      <c r="CT815">
        <f>IFERROR(INDEX(PP_Grid[#Data],$DD815,96),0)</f>
        <v/>
      </c>
      <c r="CU815">
        <f>IFERROR(INDEX(PP_Grid[#Data],$DD815,97),0)</f>
        <v/>
      </c>
      <c r="CV815">
        <f>IFERROR(INDEX(PP_Grid[#Data],$DD815,98),0)</f>
        <v/>
      </c>
      <c r="CW815">
        <f>IFERROR(INDEX(PP_Grid[#Data],$DD815,99),0)</f>
        <v/>
      </c>
      <c r="CX815">
        <f>IFERROR(INDEX(PP_Grid[#Data],$DD815,100),0)</f>
        <v/>
      </c>
      <c r="CY815">
        <f>IFERROR(INDEX(PP_Grid[#Data],$DD815,101),0)</f>
        <v/>
      </c>
      <c r="CZ815">
        <f>IFERROR(INDEX(PP_Grid[#Data],$DD815,102),0)</f>
        <v/>
      </c>
      <c r="DA815">
        <f>IFERROR(INDEX(PP_Grid[#Data],$DD815,103),0)</f>
        <v/>
      </c>
      <c r="DB815">
        <f>IFERROR(INDEX(PP_Grid[#Data],$DD815,104),0)</f>
        <v/>
      </c>
      <c r="DC815">
        <f>IFERROR(INDEX(PP_Grid[#Data],$DD815,105),0)</f>
        <v/>
      </c>
      <c r="DD815" s="12">
        <f>IFERROR(MATCH($B815,PP_Grid[Intermediate],0),99999)</f>
        <v/>
      </c>
    </row>
    <row r="816">
      <c r="B816" t="inlineStr">
        <is>
          <t>使用量(kg)</t>
        </is>
      </c>
      <c r="C816">
        <f>SUMIFS(M_BOM[RM_Qty_Per_Batch],M_BOM[Intermediate],$B815,M_BOM[Part Name],$A812)</f>
        <v/>
      </c>
      <c r="D816">
        <f>$C816*D815</f>
        <v/>
      </c>
      <c r="E816">
        <f>$C816*E815</f>
        <v/>
      </c>
      <c r="F816">
        <f>$C816*F815</f>
        <v/>
      </c>
      <c r="G816">
        <f>$C816*G815</f>
        <v/>
      </c>
      <c r="H816">
        <f>$C816*H815</f>
        <v/>
      </c>
      <c r="I816">
        <f>$C816*I815</f>
        <v/>
      </c>
      <c r="J816">
        <f>$C816*J815</f>
        <v/>
      </c>
      <c r="K816">
        <f>$C816*K815</f>
        <v/>
      </c>
      <c r="L816">
        <f>$C816*L815</f>
        <v/>
      </c>
      <c r="M816">
        <f>$C816*M815</f>
        <v/>
      </c>
      <c r="N816">
        <f>$C816*N815</f>
        <v/>
      </c>
      <c r="O816">
        <f>$C816*O815</f>
        <v/>
      </c>
      <c r="P816">
        <f>$C816*P815</f>
        <v/>
      </c>
      <c r="Q816">
        <f>$C816*Q815</f>
        <v/>
      </c>
      <c r="R816">
        <f>$C816*R815</f>
        <v/>
      </c>
      <c r="S816">
        <f>$C816*S815</f>
        <v/>
      </c>
      <c r="T816">
        <f>$C816*T815</f>
        <v/>
      </c>
      <c r="U816">
        <f>$C816*U815</f>
        <v/>
      </c>
      <c r="V816">
        <f>$C816*V815</f>
        <v/>
      </c>
      <c r="W816">
        <f>$C816*W815</f>
        <v/>
      </c>
      <c r="X816">
        <f>$C816*X815</f>
        <v/>
      </c>
      <c r="Y816">
        <f>$C816*Y815</f>
        <v/>
      </c>
      <c r="Z816">
        <f>$C816*Z815</f>
        <v/>
      </c>
      <c r="AA816">
        <f>$C816*AA815</f>
        <v/>
      </c>
      <c r="AB816">
        <f>$C816*AB815</f>
        <v/>
      </c>
      <c r="AC816">
        <f>$C816*AC815</f>
        <v/>
      </c>
      <c r="AD816">
        <f>$C816*AD815</f>
        <v/>
      </c>
      <c r="AE816">
        <f>$C816*AE815</f>
        <v/>
      </c>
      <c r="AF816">
        <f>$C816*AF815</f>
        <v/>
      </c>
      <c r="AG816">
        <f>$C816*AG815</f>
        <v/>
      </c>
      <c r="AH816">
        <f>$C816*AH815</f>
        <v/>
      </c>
      <c r="AI816">
        <f>$C816*AI815</f>
        <v/>
      </c>
      <c r="AJ816">
        <f>$C816*AJ815</f>
        <v/>
      </c>
      <c r="AK816">
        <f>$C816*AK815</f>
        <v/>
      </c>
      <c r="AL816">
        <f>$C816*AL815</f>
        <v/>
      </c>
      <c r="AM816">
        <f>$C816*AM815</f>
        <v/>
      </c>
      <c r="AN816">
        <f>$C816*AN815</f>
        <v/>
      </c>
      <c r="AO816">
        <f>$C816*AO815</f>
        <v/>
      </c>
      <c r="AP816">
        <f>$C816*AP815</f>
        <v/>
      </c>
      <c r="AQ816">
        <f>$C816*AQ815</f>
        <v/>
      </c>
      <c r="AR816">
        <f>$C816*AR815</f>
        <v/>
      </c>
      <c r="AS816">
        <f>$C816*AS815</f>
        <v/>
      </c>
      <c r="AT816">
        <f>$C816*AT815</f>
        <v/>
      </c>
      <c r="AU816">
        <f>$C816*AU815</f>
        <v/>
      </c>
      <c r="AV816">
        <f>$C816*AV815</f>
        <v/>
      </c>
      <c r="AW816">
        <f>$C816*AW815</f>
        <v/>
      </c>
      <c r="AX816">
        <f>$C816*AX815</f>
        <v/>
      </c>
      <c r="AY816">
        <f>$C816*AY815</f>
        <v/>
      </c>
      <c r="AZ816">
        <f>$C816*AZ815</f>
        <v/>
      </c>
      <c r="BA816">
        <f>$C816*BA815</f>
        <v/>
      </c>
      <c r="BB816">
        <f>$C816*BB815</f>
        <v/>
      </c>
      <c r="BC816">
        <f>$C816*BC815</f>
        <v/>
      </c>
      <c r="BD816">
        <f>$C816*BD815</f>
        <v/>
      </c>
      <c r="BE816">
        <f>$C816*BE815</f>
        <v/>
      </c>
      <c r="BF816">
        <f>$C816*BF815</f>
        <v/>
      </c>
      <c r="BG816">
        <f>$C816*BG815</f>
        <v/>
      </c>
      <c r="BH816">
        <f>$C816*BH815</f>
        <v/>
      </c>
      <c r="BI816">
        <f>$C816*BI815</f>
        <v/>
      </c>
      <c r="BJ816">
        <f>$C816*BJ815</f>
        <v/>
      </c>
      <c r="BK816">
        <f>$C816*BK815</f>
        <v/>
      </c>
      <c r="BL816">
        <f>$C816*BL815</f>
        <v/>
      </c>
      <c r="BM816">
        <f>$C816*BM815</f>
        <v/>
      </c>
      <c r="BN816">
        <f>$C816*BN815</f>
        <v/>
      </c>
      <c r="BO816">
        <f>$C816*BO815</f>
        <v/>
      </c>
      <c r="BP816">
        <f>$C816*BP815</f>
        <v/>
      </c>
      <c r="BQ816">
        <f>$C816*BQ815</f>
        <v/>
      </c>
      <c r="BR816">
        <f>$C816*BR815</f>
        <v/>
      </c>
      <c r="BS816">
        <f>$C816*BS815</f>
        <v/>
      </c>
      <c r="BT816">
        <f>$C816*BT815</f>
        <v/>
      </c>
      <c r="BU816">
        <f>$C816*BU815</f>
        <v/>
      </c>
      <c r="BV816">
        <f>$C816*BV815</f>
        <v/>
      </c>
      <c r="BW816">
        <f>$C816*BW815</f>
        <v/>
      </c>
      <c r="BX816">
        <f>$C816*BX815</f>
        <v/>
      </c>
      <c r="BY816">
        <f>$C816*BY815</f>
        <v/>
      </c>
      <c r="BZ816">
        <f>$C816*BZ815</f>
        <v/>
      </c>
      <c r="CA816">
        <f>$C816*CA815</f>
        <v/>
      </c>
      <c r="CB816">
        <f>$C816*CB815</f>
        <v/>
      </c>
      <c r="CC816">
        <f>$C816*CC815</f>
        <v/>
      </c>
      <c r="CD816">
        <f>$C816*CD815</f>
        <v/>
      </c>
      <c r="CE816">
        <f>$C816*CE815</f>
        <v/>
      </c>
      <c r="CF816">
        <f>$C816*CF815</f>
        <v/>
      </c>
      <c r="CG816">
        <f>$C816*CG815</f>
        <v/>
      </c>
      <c r="CH816">
        <f>$C816*CH815</f>
        <v/>
      </c>
      <c r="CI816">
        <f>$C816*CI815</f>
        <v/>
      </c>
      <c r="CJ816">
        <f>$C816*CJ815</f>
        <v/>
      </c>
      <c r="CK816">
        <f>$C816*CK815</f>
        <v/>
      </c>
      <c r="CL816">
        <f>$C816*CL815</f>
        <v/>
      </c>
      <c r="CM816">
        <f>$C816*CM815</f>
        <v/>
      </c>
      <c r="CN816">
        <f>$C816*CN815</f>
        <v/>
      </c>
      <c r="CO816">
        <f>$C816*CO815</f>
        <v/>
      </c>
      <c r="CP816">
        <f>$C816*CP815</f>
        <v/>
      </c>
      <c r="CQ816">
        <f>$C816*CQ815</f>
        <v/>
      </c>
      <c r="CR816">
        <f>$C816*CR815</f>
        <v/>
      </c>
      <c r="CS816">
        <f>$C816*CS815</f>
        <v/>
      </c>
      <c r="CT816">
        <f>$C816*CT815</f>
        <v/>
      </c>
      <c r="CU816">
        <f>$C816*CU815</f>
        <v/>
      </c>
      <c r="CV816">
        <f>$C816*CV815</f>
        <v/>
      </c>
      <c r="CW816">
        <f>$C816*CW815</f>
        <v/>
      </c>
      <c r="CX816">
        <f>$C816*CX815</f>
        <v/>
      </c>
      <c r="CY816">
        <f>$C816*CY815</f>
        <v/>
      </c>
      <c r="CZ816">
        <f>$C816*CZ815</f>
        <v/>
      </c>
      <c r="DA816">
        <f>$C816*DA815</f>
        <v/>
      </c>
      <c r="DB816">
        <f>$C816*DB815</f>
        <v/>
      </c>
      <c r="DC816">
        <f>$C816*DC815</f>
        <v/>
      </c>
    </row>
    <row r="817">
      <c r="B817" t="inlineStr">
        <is>
          <t>TSP-1555</t>
        </is>
      </c>
      <c r="C817" t="inlineStr">
        <is>
          <t>No. of batches</t>
        </is>
      </c>
      <c r="D817">
        <f>IFERROR(INDEX(PP_Grid[#Data],$DD817,2),0)</f>
        <v/>
      </c>
      <c r="E817">
        <f>IFERROR(INDEX(PP_Grid[#Data],$DD817,3),0)</f>
        <v/>
      </c>
      <c r="F817">
        <f>IFERROR(INDEX(PP_Grid[#Data],$DD817,4),0)</f>
        <v/>
      </c>
      <c r="G817">
        <f>IFERROR(INDEX(PP_Grid[#Data],$DD817,5),0)</f>
        <v/>
      </c>
      <c r="H817">
        <f>IFERROR(INDEX(PP_Grid[#Data],$DD817,6),0)</f>
        <v/>
      </c>
      <c r="I817">
        <f>IFERROR(INDEX(PP_Grid[#Data],$DD817,7),0)</f>
        <v/>
      </c>
      <c r="J817">
        <f>IFERROR(INDEX(PP_Grid[#Data],$DD817,8),0)</f>
        <v/>
      </c>
      <c r="K817">
        <f>IFERROR(INDEX(PP_Grid[#Data],$DD817,9),0)</f>
        <v/>
      </c>
      <c r="L817">
        <f>IFERROR(INDEX(PP_Grid[#Data],$DD817,10),0)</f>
        <v/>
      </c>
      <c r="M817">
        <f>IFERROR(INDEX(PP_Grid[#Data],$DD817,11),0)</f>
        <v/>
      </c>
      <c r="N817">
        <f>IFERROR(INDEX(PP_Grid[#Data],$DD817,12),0)</f>
        <v/>
      </c>
      <c r="O817">
        <f>IFERROR(INDEX(PP_Grid[#Data],$DD817,13),0)</f>
        <v/>
      </c>
      <c r="P817">
        <f>IFERROR(INDEX(PP_Grid[#Data],$DD817,14),0)</f>
        <v/>
      </c>
      <c r="Q817">
        <f>IFERROR(INDEX(PP_Grid[#Data],$DD817,15),0)</f>
        <v/>
      </c>
      <c r="R817">
        <f>IFERROR(INDEX(PP_Grid[#Data],$DD817,16),0)</f>
        <v/>
      </c>
      <c r="S817">
        <f>IFERROR(INDEX(PP_Grid[#Data],$DD817,17),0)</f>
        <v/>
      </c>
      <c r="T817">
        <f>IFERROR(INDEX(PP_Grid[#Data],$DD817,18),0)</f>
        <v/>
      </c>
      <c r="U817">
        <f>IFERROR(INDEX(PP_Grid[#Data],$DD817,19),0)</f>
        <v/>
      </c>
      <c r="V817">
        <f>IFERROR(INDEX(PP_Grid[#Data],$DD817,20),0)</f>
        <v/>
      </c>
      <c r="W817">
        <f>IFERROR(INDEX(PP_Grid[#Data],$DD817,21),0)</f>
        <v/>
      </c>
      <c r="X817">
        <f>IFERROR(INDEX(PP_Grid[#Data],$DD817,22),0)</f>
        <v/>
      </c>
      <c r="Y817">
        <f>IFERROR(INDEX(PP_Grid[#Data],$DD817,23),0)</f>
        <v/>
      </c>
      <c r="Z817">
        <f>IFERROR(INDEX(PP_Grid[#Data],$DD817,24),0)</f>
        <v/>
      </c>
      <c r="AA817">
        <f>IFERROR(INDEX(PP_Grid[#Data],$DD817,25),0)</f>
        <v/>
      </c>
      <c r="AB817">
        <f>IFERROR(INDEX(PP_Grid[#Data],$DD817,26),0)</f>
        <v/>
      </c>
      <c r="AC817">
        <f>IFERROR(INDEX(PP_Grid[#Data],$DD817,27),0)</f>
        <v/>
      </c>
      <c r="AD817">
        <f>IFERROR(INDEX(PP_Grid[#Data],$DD817,28),0)</f>
        <v/>
      </c>
      <c r="AE817">
        <f>IFERROR(INDEX(PP_Grid[#Data],$DD817,29),0)</f>
        <v/>
      </c>
      <c r="AF817">
        <f>IFERROR(INDEX(PP_Grid[#Data],$DD817,30),0)</f>
        <v/>
      </c>
      <c r="AG817">
        <f>IFERROR(INDEX(PP_Grid[#Data],$DD817,31),0)</f>
        <v/>
      </c>
      <c r="AH817">
        <f>IFERROR(INDEX(PP_Grid[#Data],$DD817,32),0)</f>
        <v/>
      </c>
      <c r="AI817">
        <f>IFERROR(INDEX(PP_Grid[#Data],$DD817,33),0)</f>
        <v/>
      </c>
      <c r="AJ817">
        <f>IFERROR(INDEX(PP_Grid[#Data],$DD817,34),0)</f>
        <v/>
      </c>
      <c r="AK817">
        <f>IFERROR(INDEX(PP_Grid[#Data],$DD817,35),0)</f>
        <v/>
      </c>
      <c r="AL817">
        <f>IFERROR(INDEX(PP_Grid[#Data],$DD817,36),0)</f>
        <v/>
      </c>
      <c r="AM817">
        <f>IFERROR(INDEX(PP_Grid[#Data],$DD817,37),0)</f>
        <v/>
      </c>
      <c r="AN817">
        <f>IFERROR(INDEX(PP_Grid[#Data],$DD817,38),0)</f>
        <v/>
      </c>
      <c r="AO817">
        <f>IFERROR(INDEX(PP_Grid[#Data],$DD817,39),0)</f>
        <v/>
      </c>
      <c r="AP817">
        <f>IFERROR(INDEX(PP_Grid[#Data],$DD817,40),0)</f>
        <v/>
      </c>
      <c r="AQ817">
        <f>IFERROR(INDEX(PP_Grid[#Data],$DD817,41),0)</f>
        <v/>
      </c>
      <c r="AR817">
        <f>IFERROR(INDEX(PP_Grid[#Data],$DD817,42),0)</f>
        <v/>
      </c>
      <c r="AS817">
        <f>IFERROR(INDEX(PP_Grid[#Data],$DD817,43),0)</f>
        <v/>
      </c>
      <c r="AT817">
        <f>IFERROR(INDEX(PP_Grid[#Data],$DD817,44),0)</f>
        <v/>
      </c>
      <c r="AU817">
        <f>IFERROR(INDEX(PP_Grid[#Data],$DD817,45),0)</f>
        <v/>
      </c>
      <c r="AV817">
        <f>IFERROR(INDEX(PP_Grid[#Data],$DD817,46),0)</f>
        <v/>
      </c>
      <c r="AW817">
        <f>IFERROR(INDEX(PP_Grid[#Data],$DD817,47),0)</f>
        <v/>
      </c>
      <c r="AX817">
        <f>IFERROR(INDEX(PP_Grid[#Data],$DD817,48),0)</f>
        <v/>
      </c>
      <c r="AY817">
        <f>IFERROR(INDEX(PP_Grid[#Data],$DD817,49),0)</f>
        <v/>
      </c>
      <c r="AZ817">
        <f>IFERROR(INDEX(PP_Grid[#Data],$DD817,50),0)</f>
        <v/>
      </c>
      <c r="BA817">
        <f>IFERROR(INDEX(PP_Grid[#Data],$DD817,51),0)</f>
        <v/>
      </c>
      <c r="BB817">
        <f>IFERROR(INDEX(PP_Grid[#Data],$DD817,52),0)</f>
        <v/>
      </c>
      <c r="BC817">
        <f>IFERROR(INDEX(PP_Grid[#Data],$DD817,53),0)</f>
        <v/>
      </c>
      <c r="BD817">
        <f>IFERROR(INDEX(PP_Grid[#Data],$DD817,54),0)</f>
        <v/>
      </c>
      <c r="BE817">
        <f>IFERROR(INDEX(PP_Grid[#Data],$DD817,55),0)</f>
        <v/>
      </c>
      <c r="BF817">
        <f>IFERROR(INDEX(PP_Grid[#Data],$DD817,56),0)</f>
        <v/>
      </c>
      <c r="BG817">
        <f>IFERROR(INDEX(PP_Grid[#Data],$DD817,57),0)</f>
        <v/>
      </c>
      <c r="BH817">
        <f>IFERROR(INDEX(PP_Grid[#Data],$DD817,58),0)</f>
        <v/>
      </c>
      <c r="BI817">
        <f>IFERROR(INDEX(PP_Grid[#Data],$DD817,59),0)</f>
        <v/>
      </c>
      <c r="BJ817">
        <f>IFERROR(INDEX(PP_Grid[#Data],$DD817,60),0)</f>
        <v/>
      </c>
      <c r="BK817">
        <f>IFERROR(INDEX(PP_Grid[#Data],$DD817,61),0)</f>
        <v/>
      </c>
      <c r="BL817">
        <f>IFERROR(INDEX(PP_Grid[#Data],$DD817,62),0)</f>
        <v/>
      </c>
      <c r="BM817">
        <f>IFERROR(INDEX(PP_Grid[#Data],$DD817,63),0)</f>
        <v/>
      </c>
      <c r="BN817">
        <f>IFERROR(INDEX(PP_Grid[#Data],$DD817,64),0)</f>
        <v/>
      </c>
      <c r="BO817">
        <f>IFERROR(INDEX(PP_Grid[#Data],$DD817,65),0)</f>
        <v/>
      </c>
      <c r="BP817">
        <f>IFERROR(INDEX(PP_Grid[#Data],$DD817,66),0)</f>
        <v/>
      </c>
      <c r="BQ817">
        <f>IFERROR(INDEX(PP_Grid[#Data],$DD817,67),0)</f>
        <v/>
      </c>
      <c r="BR817">
        <f>IFERROR(INDEX(PP_Grid[#Data],$DD817,68),0)</f>
        <v/>
      </c>
      <c r="BS817">
        <f>IFERROR(INDEX(PP_Grid[#Data],$DD817,69),0)</f>
        <v/>
      </c>
      <c r="BT817">
        <f>IFERROR(INDEX(PP_Grid[#Data],$DD817,70),0)</f>
        <v/>
      </c>
      <c r="BU817">
        <f>IFERROR(INDEX(PP_Grid[#Data],$DD817,71),0)</f>
        <v/>
      </c>
      <c r="BV817">
        <f>IFERROR(INDEX(PP_Grid[#Data],$DD817,72),0)</f>
        <v/>
      </c>
      <c r="BW817">
        <f>IFERROR(INDEX(PP_Grid[#Data],$DD817,73),0)</f>
        <v/>
      </c>
      <c r="BX817">
        <f>IFERROR(INDEX(PP_Grid[#Data],$DD817,74),0)</f>
        <v/>
      </c>
      <c r="BY817">
        <f>IFERROR(INDEX(PP_Grid[#Data],$DD817,75),0)</f>
        <v/>
      </c>
      <c r="BZ817">
        <f>IFERROR(INDEX(PP_Grid[#Data],$DD817,76),0)</f>
        <v/>
      </c>
      <c r="CA817">
        <f>IFERROR(INDEX(PP_Grid[#Data],$DD817,77),0)</f>
        <v/>
      </c>
      <c r="CB817">
        <f>IFERROR(INDEX(PP_Grid[#Data],$DD817,78),0)</f>
        <v/>
      </c>
      <c r="CC817">
        <f>IFERROR(INDEX(PP_Grid[#Data],$DD817,79),0)</f>
        <v/>
      </c>
      <c r="CD817">
        <f>IFERROR(INDEX(PP_Grid[#Data],$DD817,80),0)</f>
        <v/>
      </c>
      <c r="CE817">
        <f>IFERROR(INDEX(PP_Grid[#Data],$DD817,81),0)</f>
        <v/>
      </c>
      <c r="CF817">
        <f>IFERROR(INDEX(PP_Grid[#Data],$DD817,82),0)</f>
        <v/>
      </c>
      <c r="CG817">
        <f>IFERROR(INDEX(PP_Grid[#Data],$DD817,83),0)</f>
        <v/>
      </c>
      <c r="CH817">
        <f>IFERROR(INDEX(PP_Grid[#Data],$DD817,84),0)</f>
        <v/>
      </c>
      <c r="CI817">
        <f>IFERROR(INDEX(PP_Grid[#Data],$DD817,85),0)</f>
        <v/>
      </c>
      <c r="CJ817">
        <f>IFERROR(INDEX(PP_Grid[#Data],$DD817,86),0)</f>
        <v/>
      </c>
      <c r="CK817">
        <f>IFERROR(INDEX(PP_Grid[#Data],$DD817,87),0)</f>
        <v/>
      </c>
      <c r="CL817">
        <f>IFERROR(INDEX(PP_Grid[#Data],$DD817,88),0)</f>
        <v/>
      </c>
      <c r="CM817">
        <f>IFERROR(INDEX(PP_Grid[#Data],$DD817,89),0)</f>
        <v/>
      </c>
      <c r="CN817">
        <f>IFERROR(INDEX(PP_Grid[#Data],$DD817,90),0)</f>
        <v/>
      </c>
      <c r="CO817">
        <f>IFERROR(INDEX(PP_Grid[#Data],$DD817,91),0)</f>
        <v/>
      </c>
      <c r="CP817">
        <f>IFERROR(INDEX(PP_Grid[#Data],$DD817,92),0)</f>
        <v/>
      </c>
      <c r="CQ817">
        <f>IFERROR(INDEX(PP_Grid[#Data],$DD817,93),0)</f>
        <v/>
      </c>
      <c r="CR817">
        <f>IFERROR(INDEX(PP_Grid[#Data],$DD817,94),0)</f>
        <v/>
      </c>
      <c r="CS817">
        <f>IFERROR(INDEX(PP_Grid[#Data],$DD817,95),0)</f>
        <v/>
      </c>
      <c r="CT817">
        <f>IFERROR(INDEX(PP_Grid[#Data],$DD817,96),0)</f>
        <v/>
      </c>
      <c r="CU817">
        <f>IFERROR(INDEX(PP_Grid[#Data],$DD817,97),0)</f>
        <v/>
      </c>
      <c r="CV817">
        <f>IFERROR(INDEX(PP_Grid[#Data],$DD817,98),0)</f>
        <v/>
      </c>
      <c r="CW817">
        <f>IFERROR(INDEX(PP_Grid[#Data],$DD817,99),0)</f>
        <v/>
      </c>
      <c r="CX817">
        <f>IFERROR(INDEX(PP_Grid[#Data],$DD817,100),0)</f>
        <v/>
      </c>
      <c r="CY817">
        <f>IFERROR(INDEX(PP_Grid[#Data],$DD817,101),0)</f>
        <v/>
      </c>
      <c r="CZ817">
        <f>IFERROR(INDEX(PP_Grid[#Data],$DD817,102),0)</f>
        <v/>
      </c>
      <c r="DA817">
        <f>IFERROR(INDEX(PP_Grid[#Data],$DD817,103),0)</f>
        <v/>
      </c>
      <c r="DB817">
        <f>IFERROR(INDEX(PP_Grid[#Data],$DD817,104),0)</f>
        <v/>
      </c>
      <c r="DC817">
        <f>IFERROR(INDEX(PP_Grid[#Data],$DD817,105),0)</f>
        <v/>
      </c>
      <c r="DD817" s="12">
        <f>IFERROR(MATCH($B817,PP_Grid[Intermediate],0),99999)</f>
        <v/>
      </c>
    </row>
    <row r="818">
      <c r="B818" t="inlineStr">
        <is>
          <t>使用量(kg)</t>
        </is>
      </c>
      <c r="C818">
        <f>SUMIFS(M_BOM[RM_Qty_Per_Batch],M_BOM[Intermediate],$B817,M_BOM[Part Name],$A812)</f>
        <v/>
      </c>
      <c r="D818">
        <f>$C818*D817</f>
        <v/>
      </c>
      <c r="E818">
        <f>$C818*E817</f>
        <v/>
      </c>
      <c r="F818">
        <f>$C818*F817</f>
        <v/>
      </c>
      <c r="G818">
        <f>$C818*G817</f>
        <v/>
      </c>
      <c r="H818">
        <f>$C818*H817</f>
        <v/>
      </c>
      <c r="I818">
        <f>$C818*I817</f>
        <v/>
      </c>
      <c r="J818">
        <f>$C818*J817</f>
        <v/>
      </c>
      <c r="K818">
        <f>$C818*K817</f>
        <v/>
      </c>
      <c r="L818">
        <f>$C818*L817</f>
        <v/>
      </c>
      <c r="M818">
        <f>$C818*M817</f>
        <v/>
      </c>
      <c r="N818">
        <f>$C818*N817</f>
        <v/>
      </c>
      <c r="O818">
        <f>$C818*O817</f>
        <v/>
      </c>
      <c r="P818">
        <f>$C818*P817</f>
        <v/>
      </c>
      <c r="Q818">
        <f>$C818*Q817</f>
        <v/>
      </c>
      <c r="R818">
        <f>$C818*R817</f>
        <v/>
      </c>
      <c r="S818">
        <f>$C818*S817</f>
        <v/>
      </c>
      <c r="T818">
        <f>$C818*T817</f>
        <v/>
      </c>
      <c r="U818">
        <f>$C818*U817</f>
        <v/>
      </c>
      <c r="V818">
        <f>$C818*V817</f>
        <v/>
      </c>
      <c r="W818">
        <f>$C818*W817</f>
        <v/>
      </c>
      <c r="X818">
        <f>$C818*X817</f>
        <v/>
      </c>
      <c r="Y818">
        <f>$C818*Y817</f>
        <v/>
      </c>
      <c r="Z818">
        <f>$C818*Z817</f>
        <v/>
      </c>
      <c r="AA818">
        <f>$C818*AA817</f>
        <v/>
      </c>
      <c r="AB818">
        <f>$C818*AB817</f>
        <v/>
      </c>
      <c r="AC818">
        <f>$C818*AC817</f>
        <v/>
      </c>
      <c r="AD818">
        <f>$C818*AD817</f>
        <v/>
      </c>
      <c r="AE818">
        <f>$C818*AE817</f>
        <v/>
      </c>
      <c r="AF818">
        <f>$C818*AF817</f>
        <v/>
      </c>
      <c r="AG818">
        <f>$C818*AG817</f>
        <v/>
      </c>
      <c r="AH818">
        <f>$C818*AH817</f>
        <v/>
      </c>
      <c r="AI818">
        <f>$C818*AI817</f>
        <v/>
      </c>
      <c r="AJ818">
        <f>$C818*AJ817</f>
        <v/>
      </c>
      <c r="AK818">
        <f>$C818*AK817</f>
        <v/>
      </c>
      <c r="AL818">
        <f>$C818*AL817</f>
        <v/>
      </c>
      <c r="AM818">
        <f>$C818*AM817</f>
        <v/>
      </c>
      <c r="AN818">
        <f>$C818*AN817</f>
        <v/>
      </c>
      <c r="AO818">
        <f>$C818*AO817</f>
        <v/>
      </c>
      <c r="AP818">
        <f>$C818*AP817</f>
        <v/>
      </c>
      <c r="AQ818">
        <f>$C818*AQ817</f>
        <v/>
      </c>
      <c r="AR818">
        <f>$C818*AR817</f>
        <v/>
      </c>
      <c r="AS818">
        <f>$C818*AS817</f>
        <v/>
      </c>
      <c r="AT818">
        <f>$C818*AT817</f>
        <v/>
      </c>
      <c r="AU818">
        <f>$C818*AU817</f>
        <v/>
      </c>
      <c r="AV818">
        <f>$C818*AV817</f>
        <v/>
      </c>
      <c r="AW818">
        <f>$C818*AW817</f>
        <v/>
      </c>
      <c r="AX818">
        <f>$C818*AX817</f>
        <v/>
      </c>
      <c r="AY818">
        <f>$C818*AY817</f>
        <v/>
      </c>
      <c r="AZ818">
        <f>$C818*AZ817</f>
        <v/>
      </c>
      <c r="BA818">
        <f>$C818*BA817</f>
        <v/>
      </c>
      <c r="BB818">
        <f>$C818*BB817</f>
        <v/>
      </c>
      <c r="BC818">
        <f>$C818*BC817</f>
        <v/>
      </c>
      <c r="BD818">
        <f>$C818*BD817</f>
        <v/>
      </c>
      <c r="BE818">
        <f>$C818*BE817</f>
        <v/>
      </c>
      <c r="BF818">
        <f>$C818*BF817</f>
        <v/>
      </c>
      <c r="BG818">
        <f>$C818*BG817</f>
        <v/>
      </c>
      <c r="BH818">
        <f>$C818*BH817</f>
        <v/>
      </c>
      <c r="BI818">
        <f>$C818*BI817</f>
        <v/>
      </c>
      <c r="BJ818">
        <f>$C818*BJ817</f>
        <v/>
      </c>
      <c r="BK818">
        <f>$C818*BK817</f>
        <v/>
      </c>
      <c r="BL818">
        <f>$C818*BL817</f>
        <v/>
      </c>
      <c r="BM818">
        <f>$C818*BM817</f>
        <v/>
      </c>
      <c r="BN818">
        <f>$C818*BN817</f>
        <v/>
      </c>
      <c r="BO818">
        <f>$C818*BO817</f>
        <v/>
      </c>
      <c r="BP818">
        <f>$C818*BP817</f>
        <v/>
      </c>
      <c r="BQ818">
        <f>$C818*BQ817</f>
        <v/>
      </c>
      <c r="BR818">
        <f>$C818*BR817</f>
        <v/>
      </c>
      <c r="BS818">
        <f>$C818*BS817</f>
        <v/>
      </c>
      <c r="BT818">
        <f>$C818*BT817</f>
        <v/>
      </c>
      <c r="BU818">
        <f>$C818*BU817</f>
        <v/>
      </c>
      <c r="BV818">
        <f>$C818*BV817</f>
        <v/>
      </c>
      <c r="BW818">
        <f>$C818*BW817</f>
        <v/>
      </c>
      <c r="BX818">
        <f>$C818*BX817</f>
        <v/>
      </c>
      <c r="BY818">
        <f>$C818*BY817</f>
        <v/>
      </c>
      <c r="BZ818">
        <f>$C818*BZ817</f>
        <v/>
      </c>
      <c r="CA818">
        <f>$C818*CA817</f>
        <v/>
      </c>
      <c r="CB818">
        <f>$C818*CB817</f>
        <v/>
      </c>
      <c r="CC818">
        <f>$C818*CC817</f>
        <v/>
      </c>
      <c r="CD818">
        <f>$C818*CD817</f>
        <v/>
      </c>
      <c r="CE818">
        <f>$C818*CE817</f>
        <v/>
      </c>
      <c r="CF818">
        <f>$C818*CF817</f>
        <v/>
      </c>
      <c r="CG818">
        <f>$C818*CG817</f>
        <v/>
      </c>
      <c r="CH818">
        <f>$C818*CH817</f>
        <v/>
      </c>
      <c r="CI818">
        <f>$C818*CI817</f>
        <v/>
      </c>
      <c r="CJ818">
        <f>$C818*CJ817</f>
        <v/>
      </c>
      <c r="CK818">
        <f>$C818*CK817</f>
        <v/>
      </c>
      <c r="CL818">
        <f>$C818*CL817</f>
        <v/>
      </c>
      <c r="CM818">
        <f>$C818*CM817</f>
        <v/>
      </c>
      <c r="CN818">
        <f>$C818*CN817</f>
        <v/>
      </c>
      <c r="CO818">
        <f>$C818*CO817</f>
        <v/>
      </c>
      <c r="CP818">
        <f>$C818*CP817</f>
        <v/>
      </c>
      <c r="CQ818">
        <f>$C818*CQ817</f>
        <v/>
      </c>
      <c r="CR818">
        <f>$C818*CR817</f>
        <v/>
      </c>
      <c r="CS818">
        <f>$C818*CS817</f>
        <v/>
      </c>
      <c r="CT818">
        <f>$C818*CT817</f>
        <v/>
      </c>
      <c r="CU818">
        <f>$C818*CU817</f>
        <v/>
      </c>
      <c r="CV818">
        <f>$C818*CV817</f>
        <v/>
      </c>
      <c r="CW818">
        <f>$C818*CW817</f>
        <v/>
      </c>
      <c r="CX818">
        <f>$C818*CX817</f>
        <v/>
      </c>
      <c r="CY818">
        <f>$C818*CY817</f>
        <v/>
      </c>
      <c r="CZ818">
        <f>$C818*CZ817</f>
        <v/>
      </c>
      <c r="DA818">
        <f>$C818*DA817</f>
        <v/>
      </c>
      <c r="DB818">
        <f>$C818*DB817</f>
        <v/>
      </c>
      <c r="DC818">
        <f>$C818*DC817</f>
        <v/>
      </c>
    </row>
    <row r="819">
      <c r="B819" t="inlineStr">
        <is>
          <t>TSP-402</t>
        </is>
      </c>
      <c r="C819" t="inlineStr">
        <is>
          <t>No. of batches</t>
        </is>
      </c>
      <c r="D819">
        <f>IFERROR(INDEX(PP_Grid[#Data],$DD819,2),0)</f>
        <v/>
      </c>
      <c r="E819">
        <f>IFERROR(INDEX(PP_Grid[#Data],$DD819,3),0)</f>
        <v/>
      </c>
      <c r="F819">
        <f>IFERROR(INDEX(PP_Grid[#Data],$DD819,4),0)</f>
        <v/>
      </c>
      <c r="G819">
        <f>IFERROR(INDEX(PP_Grid[#Data],$DD819,5),0)</f>
        <v/>
      </c>
      <c r="H819">
        <f>IFERROR(INDEX(PP_Grid[#Data],$DD819,6),0)</f>
        <v/>
      </c>
      <c r="I819">
        <f>IFERROR(INDEX(PP_Grid[#Data],$DD819,7),0)</f>
        <v/>
      </c>
      <c r="J819">
        <f>IFERROR(INDEX(PP_Grid[#Data],$DD819,8),0)</f>
        <v/>
      </c>
      <c r="K819">
        <f>IFERROR(INDEX(PP_Grid[#Data],$DD819,9),0)</f>
        <v/>
      </c>
      <c r="L819">
        <f>IFERROR(INDEX(PP_Grid[#Data],$DD819,10),0)</f>
        <v/>
      </c>
      <c r="M819">
        <f>IFERROR(INDEX(PP_Grid[#Data],$DD819,11),0)</f>
        <v/>
      </c>
      <c r="N819">
        <f>IFERROR(INDEX(PP_Grid[#Data],$DD819,12),0)</f>
        <v/>
      </c>
      <c r="O819">
        <f>IFERROR(INDEX(PP_Grid[#Data],$DD819,13),0)</f>
        <v/>
      </c>
      <c r="P819">
        <f>IFERROR(INDEX(PP_Grid[#Data],$DD819,14),0)</f>
        <v/>
      </c>
      <c r="Q819">
        <f>IFERROR(INDEX(PP_Grid[#Data],$DD819,15),0)</f>
        <v/>
      </c>
      <c r="R819">
        <f>IFERROR(INDEX(PP_Grid[#Data],$DD819,16),0)</f>
        <v/>
      </c>
      <c r="S819">
        <f>IFERROR(INDEX(PP_Grid[#Data],$DD819,17),0)</f>
        <v/>
      </c>
      <c r="T819">
        <f>IFERROR(INDEX(PP_Grid[#Data],$DD819,18),0)</f>
        <v/>
      </c>
      <c r="U819">
        <f>IFERROR(INDEX(PP_Grid[#Data],$DD819,19),0)</f>
        <v/>
      </c>
      <c r="V819">
        <f>IFERROR(INDEX(PP_Grid[#Data],$DD819,20),0)</f>
        <v/>
      </c>
      <c r="W819">
        <f>IFERROR(INDEX(PP_Grid[#Data],$DD819,21),0)</f>
        <v/>
      </c>
      <c r="X819">
        <f>IFERROR(INDEX(PP_Grid[#Data],$DD819,22),0)</f>
        <v/>
      </c>
      <c r="Y819">
        <f>IFERROR(INDEX(PP_Grid[#Data],$DD819,23),0)</f>
        <v/>
      </c>
      <c r="Z819">
        <f>IFERROR(INDEX(PP_Grid[#Data],$DD819,24),0)</f>
        <v/>
      </c>
      <c r="AA819">
        <f>IFERROR(INDEX(PP_Grid[#Data],$DD819,25),0)</f>
        <v/>
      </c>
      <c r="AB819">
        <f>IFERROR(INDEX(PP_Grid[#Data],$DD819,26),0)</f>
        <v/>
      </c>
      <c r="AC819">
        <f>IFERROR(INDEX(PP_Grid[#Data],$DD819,27),0)</f>
        <v/>
      </c>
      <c r="AD819">
        <f>IFERROR(INDEX(PP_Grid[#Data],$DD819,28),0)</f>
        <v/>
      </c>
      <c r="AE819">
        <f>IFERROR(INDEX(PP_Grid[#Data],$DD819,29),0)</f>
        <v/>
      </c>
      <c r="AF819">
        <f>IFERROR(INDEX(PP_Grid[#Data],$DD819,30),0)</f>
        <v/>
      </c>
      <c r="AG819">
        <f>IFERROR(INDEX(PP_Grid[#Data],$DD819,31),0)</f>
        <v/>
      </c>
      <c r="AH819">
        <f>IFERROR(INDEX(PP_Grid[#Data],$DD819,32),0)</f>
        <v/>
      </c>
      <c r="AI819">
        <f>IFERROR(INDEX(PP_Grid[#Data],$DD819,33),0)</f>
        <v/>
      </c>
      <c r="AJ819">
        <f>IFERROR(INDEX(PP_Grid[#Data],$DD819,34),0)</f>
        <v/>
      </c>
      <c r="AK819">
        <f>IFERROR(INDEX(PP_Grid[#Data],$DD819,35),0)</f>
        <v/>
      </c>
      <c r="AL819">
        <f>IFERROR(INDEX(PP_Grid[#Data],$DD819,36),0)</f>
        <v/>
      </c>
      <c r="AM819">
        <f>IFERROR(INDEX(PP_Grid[#Data],$DD819,37),0)</f>
        <v/>
      </c>
      <c r="AN819">
        <f>IFERROR(INDEX(PP_Grid[#Data],$DD819,38),0)</f>
        <v/>
      </c>
      <c r="AO819">
        <f>IFERROR(INDEX(PP_Grid[#Data],$DD819,39),0)</f>
        <v/>
      </c>
      <c r="AP819">
        <f>IFERROR(INDEX(PP_Grid[#Data],$DD819,40),0)</f>
        <v/>
      </c>
      <c r="AQ819">
        <f>IFERROR(INDEX(PP_Grid[#Data],$DD819,41),0)</f>
        <v/>
      </c>
      <c r="AR819">
        <f>IFERROR(INDEX(PP_Grid[#Data],$DD819,42),0)</f>
        <v/>
      </c>
      <c r="AS819">
        <f>IFERROR(INDEX(PP_Grid[#Data],$DD819,43),0)</f>
        <v/>
      </c>
      <c r="AT819">
        <f>IFERROR(INDEX(PP_Grid[#Data],$DD819,44),0)</f>
        <v/>
      </c>
      <c r="AU819">
        <f>IFERROR(INDEX(PP_Grid[#Data],$DD819,45),0)</f>
        <v/>
      </c>
      <c r="AV819">
        <f>IFERROR(INDEX(PP_Grid[#Data],$DD819,46),0)</f>
        <v/>
      </c>
      <c r="AW819">
        <f>IFERROR(INDEX(PP_Grid[#Data],$DD819,47),0)</f>
        <v/>
      </c>
      <c r="AX819">
        <f>IFERROR(INDEX(PP_Grid[#Data],$DD819,48),0)</f>
        <v/>
      </c>
      <c r="AY819">
        <f>IFERROR(INDEX(PP_Grid[#Data],$DD819,49),0)</f>
        <v/>
      </c>
      <c r="AZ819">
        <f>IFERROR(INDEX(PP_Grid[#Data],$DD819,50),0)</f>
        <v/>
      </c>
      <c r="BA819">
        <f>IFERROR(INDEX(PP_Grid[#Data],$DD819,51),0)</f>
        <v/>
      </c>
      <c r="BB819">
        <f>IFERROR(INDEX(PP_Grid[#Data],$DD819,52),0)</f>
        <v/>
      </c>
      <c r="BC819">
        <f>IFERROR(INDEX(PP_Grid[#Data],$DD819,53),0)</f>
        <v/>
      </c>
      <c r="BD819">
        <f>IFERROR(INDEX(PP_Grid[#Data],$DD819,54),0)</f>
        <v/>
      </c>
      <c r="BE819">
        <f>IFERROR(INDEX(PP_Grid[#Data],$DD819,55),0)</f>
        <v/>
      </c>
      <c r="BF819">
        <f>IFERROR(INDEX(PP_Grid[#Data],$DD819,56),0)</f>
        <v/>
      </c>
      <c r="BG819">
        <f>IFERROR(INDEX(PP_Grid[#Data],$DD819,57),0)</f>
        <v/>
      </c>
      <c r="BH819">
        <f>IFERROR(INDEX(PP_Grid[#Data],$DD819,58),0)</f>
        <v/>
      </c>
      <c r="BI819">
        <f>IFERROR(INDEX(PP_Grid[#Data],$DD819,59),0)</f>
        <v/>
      </c>
      <c r="BJ819">
        <f>IFERROR(INDEX(PP_Grid[#Data],$DD819,60),0)</f>
        <v/>
      </c>
      <c r="BK819">
        <f>IFERROR(INDEX(PP_Grid[#Data],$DD819,61),0)</f>
        <v/>
      </c>
      <c r="BL819">
        <f>IFERROR(INDEX(PP_Grid[#Data],$DD819,62),0)</f>
        <v/>
      </c>
      <c r="BM819">
        <f>IFERROR(INDEX(PP_Grid[#Data],$DD819,63),0)</f>
        <v/>
      </c>
      <c r="BN819">
        <f>IFERROR(INDEX(PP_Grid[#Data],$DD819,64),0)</f>
        <v/>
      </c>
      <c r="BO819">
        <f>IFERROR(INDEX(PP_Grid[#Data],$DD819,65),0)</f>
        <v/>
      </c>
      <c r="BP819">
        <f>IFERROR(INDEX(PP_Grid[#Data],$DD819,66),0)</f>
        <v/>
      </c>
      <c r="BQ819">
        <f>IFERROR(INDEX(PP_Grid[#Data],$DD819,67),0)</f>
        <v/>
      </c>
      <c r="BR819">
        <f>IFERROR(INDEX(PP_Grid[#Data],$DD819,68),0)</f>
        <v/>
      </c>
      <c r="BS819">
        <f>IFERROR(INDEX(PP_Grid[#Data],$DD819,69),0)</f>
        <v/>
      </c>
      <c r="BT819">
        <f>IFERROR(INDEX(PP_Grid[#Data],$DD819,70),0)</f>
        <v/>
      </c>
      <c r="BU819">
        <f>IFERROR(INDEX(PP_Grid[#Data],$DD819,71),0)</f>
        <v/>
      </c>
      <c r="BV819">
        <f>IFERROR(INDEX(PP_Grid[#Data],$DD819,72),0)</f>
        <v/>
      </c>
      <c r="BW819">
        <f>IFERROR(INDEX(PP_Grid[#Data],$DD819,73),0)</f>
        <v/>
      </c>
      <c r="BX819">
        <f>IFERROR(INDEX(PP_Grid[#Data],$DD819,74),0)</f>
        <v/>
      </c>
      <c r="BY819">
        <f>IFERROR(INDEX(PP_Grid[#Data],$DD819,75),0)</f>
        <v/>
      </c>
      <c r="BZ819">
        <f>IFERROR(INDEX(PP_Grid[#Data],$DD819,76),0)</f>
        <v/>
      </c>
      <c r="CA819">
        <f>IFERROR(INDEX(PP_Grid[#Data],$DD819,77),0)</f>
        <v/>
      </c>
      <c r="CB819">
        <f>IFERROR(INDEX(PP_Grid[#Data],$DD819,78),0)</f>
        <v/>
      </c>
      <c r="CC819">
        <f>IFERROR(INDEX(PP_Grid[#Data],$DD819,79),0)</f>
        <v/>
      </c>
      <c r="CD819">
        <f>IFERROR(INDEX(PP_Grid[#Data],$DD819,80),0)</f>
        <v/>
      </c>
      <c r="CE819">
        <f>IFERROR(INDEX(PP_Grid[#Data],$DD819,81),0)</f>
        <v/>
      </c>
      <c r="CF819">
        <f>IFERROR(INDEX(PP_Grid[#Data],$DD819,82),0)</f>
        <v/>
      </c>
      <c r="CG819">
        <f>IFERROR(INDEX(PP_Grid[#Data],$DD819,83),0)</f>
        <v/>
      </c>
      <c r="CH819">
        <f>IFERROR(INDEX(PP_Grid[#Data],$DD819,84),0)</f>
        <v/>
      </c>
      <c r="CI819">
        <f>IFERROR(INDEX(PP_Grid[#Data],$DD819,85),0)</f>
        <v/>
      </c>
      <c r="CJ819">
        <f>IFERROR(INDEX(PP_Grid[#Data],$DD819,86),0)</f>
        <v/>
      </c>
      <c r="CK819">
        <f>IFERROR(INDEX(PP_Grid[#Data],$DD819,87),0)</f>
        <v/>
      </c>
      <c r="CL819">
        <f>IFERROR(INDEX(PP_Grid[#Data],$DD819,88),0)</f>
        <v/>
      </c>
      <c r="CM819">
        <f>IFERROR(INDEX(PP_Grid[#Data],$DD819,89),0)</f>
        <v/>
      </c>
      <c r="CN819">
        <f>IFERROR(INDEX(PP_Grid[#Data],$DD819,90),0)</f>
        <v/>
      </c>
      <c r="CO819">
        <f>IFERROR(INDEX(PP_Grid[#Data],$DD819,91),0)</f>
        <v/>
      </c>
      <c r="CP819">
        <f>IFERROR(INDEX(PP_Grid[#Data],$DD819,92),0)</f>
        <v/>
      </c>
      <c r="CQ819">
        <f>IFERROR(INDEX(PP_Grid[#Data],$DD819,93),0)</f>
        <v/>
      </c>
      <c r="CR819">
        <f>IFERROR(INDEX(PP_Grid[#Data],$DD819,94),0)</f>
        <v/>
      </c>
      <c r="CS819">
        <f>IFERROR(INDEX(PP_Grid[#Data],$DD819,95),0)</f>
        <v/>
      </c>
      <c r="CT819">
        <f>IFERROR(INDEX(PP_Grid[#Data],$DD819,96),0)</f>
        <v/>
      </c>
      <c r="CU819">
        <f>IFERROR(INDEX(PP_Grid[#Data],$DD819,97),0)</f>
        <v/>
      </c>
      <c r="CV819">
        <f>IFERROR(INDEX(PP_Grid[#Data],$DD819,98),0)</f>
        <v/>
      </c>
      <c r="CW819">
        <f>IFERROR(INDEX(PP_Grid[#Data],$DD819,99),0)</f>
        <v/>
      </c>
      <c r="CX819">
        <f>IFERROR(INDEX(PP_Grid[#Data],$DD819,100),0)</f>
        <v/>
      </c>
      <c r="CY819">
        <f>IFERROR(INDEX(PP_Grid[#Data],$DD819,101),0)</f>
        <v/>
      </c>
      <c r="CZ819">
        <f>IFERROR(INDEX(PP_Grid[#Data],$DD819,102),0)</f>
        <v/>
      </c>
      <c r="DA819">
        <f>IFERROR(INDEX(PP_Grid[#Data],$DD819,103),0)</f>
        <v/>
      </c>
      <c r="DB819">
        <f>IFERROR(INDEX(PP_Grid[#Data],$DD819,104),0)</f>
        <v/>
      </c>
      <c r="DC819">
        <f>IFERROR(INDEX(PP_Grid[#Data],$DD819,105),0)</f>
        <v/>
      </c>
      <c r="DD819" s="12">
        <f>IFERROR(MATCH($B819,PP_Grid[Intermediate],0),99999)</f>
        <v/>
      </c>
    </row>
    <row r="820">
      <c r="B820" t="inlineStr">
        <is>
          <t>使用量(kg)</t>
        </is>
      </c>
      <c r="C820">
        <f>SUMIFS(M_BOM[RM_Qty_Per_Batch],M_BOM[Intermediate],$B819,M_BOM[Part Name],$A812)</f>
        <v/>
      </c>
      <c r="D820">
        <f>$C820*D819</f>
        <v/>
      </c>
      <c r="E820">
        <f>$C820*E819</f>
        <v/>
      </c>
      <c r="F820">
        <f>$C820*F819</f>
        <v/>
      </c>
      <c r="G820">
        <f>$C820*G819</f>
        <v/>
      </c>
      <c r="H820">
        <f>$C820*H819</f>
        <v/>
      </c>
      <c r="I820">
        <f>$C820*I819</f>
        <v/>
      </c>
      <c r="J820">
        <f>$C820*J819</f>
        <v/>
      </c>
      <c r="K820">
        <f>$C820*K819</f>
        <v/>
      </c>
      <c r="L820">
        <f>$C820*L819</f>
        <v/>
      </c>
      <c r="M820">
        <f>$C820*M819</f>
        <v/>
      </c>
      <c r="N820">
        <f>$C820*N819</f>
        <v/>
      </c>
      <c r="O820">
        <f>$C820*O819</f>
        <v/>
      </c>
      <c r="P820">
        <f>$C820*P819</f>
        <v/>
      </c>
      <c r="Q820">
        <f>$C820*Q819</f>
        <v/>
      </c>
      <c r="R820">
        <f>$C820*R819</f>
        <v/>
      </c>
      <c r="S820">
        <f>$C820*S819</f>
        <v/>
      </c>
      <c r="T820">
        <f>$C820*T819</f>
        <v/>
      </c>
      <c r="U820">
        <f>$C820*U819</f>
        <v/>
      </c>
      <c r="V820">
        <f>$C820*V819</f>
        <v/>
      </c>
      <c r="W820">
        <f>$C820*W819</f>
        <v/>
      </c>
      <c r="X820">
        <f>$C820*X819</f>
        <v/>
      </c>
      <c r="Y820">
        <f>$C820*Y819</f>
        <v/>
      </c>
      <c r="Z820">
        <f>$C820*Z819</f>
        <v/>
      </c>
      <c r="AA820">
        <f>$C820*AA819</f>
        <v/>
      </c>
      <c r="AB820">
        <f>$C820*AB819</f>
        <v/>
      </c>
      <c r="AC820">
        <f>$C820*AC819</f>
        <v/>
      </c>
      <c r="AD820">
        <f>$C820*AD819</f>
        <v/>
      </c>
      <c r="AE820">
        <f>$C820*AE819</f>
        <v/>
      </c>
      <c r="AF820">
        <f>$C820*AF819</f>
        <v/>
      </c>
      <c r="AG820">
        <f>$C820*AG819</f>
        <v/>
      </c>
      <c r="AH820">
        <f>$C820*AH819</f>
        <v/>
      </c>
      <c r="AI820">
        <f>$C820*AI819</f>
        <v/>
      </c>
      <c r="AJ820">
        <f>$C820*AJ819</f>
        <v/>
      </c>
      <c r="AK820">
        <f>$C820*AK819</f>
        <v/>
      </c>
      <c r="AL820">
        <f>$C820*AL819</f>
        <v/>
      </c>
      <c r="AM820">
        <f>$C820*AM819</f>
        <v/>
      </c>
      <c r="AN820">
        <f>$C820*AN819</f>
        <v/>
      </c>
      <c r="AO820">
        <f>$C820*AO819</f>
        <v/>
      </c>
      <c r="AP820">
        <f>$C820*AP819</f>
        <v/>
      </c>
      <c r="AQ820">
        <f>$C820*AQ819</f>
        <v/>
      </c>
      <c r="AR820">
        <f>$C820*AR819</f>
        <v/>
      </c>
      <c r="AS820">
        <f>$C820*AS819</f>
        <v/>
      </c>
      <c r="AT820">
        <f>$C820*AT819</f>
        <v/>
      </c>
      <c r="AU820">
        <f>$C820*AU819</f>
        <v/>
      </c>
      <c r="AV820">
        <f>$C820*AV819</f>
        <v/>
      </c>
      <c r="AW820">
        <f>$C820*AW819</f>
        <v/>
      </c>
      <c r="AX820">
        <f>$C820*AX819</f>
        <v/>
      </c>
      <c r="AY820">
        <f>$C820*AY819</f>
        <v/>
      </c>
      <c r="AZ820">
        <f>$C820*AZ819</f>
        <v/>
      </c>
      <c r="BA820">
        <f>$C820*BA819</f>
        <v/>
      </c>
      <c r="BB820">
        <f>$C820*BB819</f>
        <v/>
      </c>
      <c r="BC820">
        <f>$C820*BC819</f>
        <v/>
      </c>
      <c r="BD820">
        <f>$C820*BD819</f>
        <v/>
      </c>
      <c r="BE820">
        <f>$C820*BE819</f>
        <v/>
      </c>
      <c r="BF820">
        <f>$C820*BF819</f>
        <v/>
      </c>
      <c r="BG820">
        <f>$C820*BG819</f>
        <v/>
      </c>
      <c r="BH820">
        <f>$C820*BH819</f>
        <v/>
      </c>
      <c r="BI820">
        <f>$C820*BI819</f>
        <v/>
      </c>
      <c r="BJ820">
        <f>$C820*BJ819</f>
        <v/>
      </c>
      <c r="BK820">
        <f>$C820*BK819</f>
        <v/>
      </c>
      <c r="BL820">
        <f>$C820*BL819</f>
        <v/>
      </c>
      <c r="BM820">
        <f>$C820*BM819</f>
        <v/>
      </c>
      <c r="BN820">
        <f>$C820*BN819</f>
        <v/>
      </c>
      <c r="BO820">
        <f>$C820*BO819</f>
        <v/>
      </c>
      <c r="BP820">
        <f>$C820*BP819</f>
        <v/>
      </c>
      <c r="BQ820">
        <f>$C820*BQ819</f>
        <v/>
      </c>
      <c r="BR820">
        <f>$C820*BR819</f>
        <v/>
      </c>
      <c r="BS820">
        <f>$C820*BS819</f>
        <v/>
      </c>
      <c r="BT820">
        <f>$C820*BT819</f>
        <v/>
      </c>
      <c r="BU820">
        <f>$C820*BU819</f>
        <v/>
      </c>
      <c r="BV820">
        <f>$C820*BV819</f>
        <v/>
      </c>
      <c r="BW820">
        <f>$C820*BW819</f>
        <v/>
      </c>
      <c r="BX820">
        <f>$C820*BX819</f>
        <v/>
      </c>
      <c r="BY820">
        <f>$C820*BY819</f>
        <v/>
      </c>
      <c r="BZ820">
        <f>$C820*BZ819</f>
        <v/>
      </c>
      <c r="CA820">
        <f>$C820*CA819</f>
        <v/>
      </c>
      <c r="CB820">
        <f>$C820*CB819</f>
        <v/>
      </c>
      <c r="CC820">
        <f>$C820*CC819</f>
        <v/>
      </c>
      <c r="CD820">
        <f>$C820*CD819</f>
        <v/>
      </c>
      <c r="CE820">
        <f>$C820*CE819</f>
        <v/>
      </c>
      <c r="CF820">
        <f>$C820*CF819</f>
        <v/>
      </c>
      <c r="CG820">
        <f>$C820*CG819</f>
        <v/>
      </c>
      <c r="CH820">
        <f>$C820*CH819</f>
        <v/>
      </c>
      <c r="CI820">
        <f>$C820*CI819</f>
        <v/>
      </c>
      <c r="CJ820">
        <f>$C820*CJ819</f>
        <v/>
      </c>
      <c r="CK820">
        <f>$C820*CK819</f>
        <v/>
      </c>
      <c r="CL820">
        <f>$C820*CL819</f>
        <v/>
      </c>
      <c r="CM820">
        <f>$C820*CM819</f>
        <v/>
      </c>
      <c r="CN820">
        <f>$C820*CN819</f>
        <v/>
      </c>
      <c r="CO820">
        <f>$C820*CO819</f>
        <v/>
      </c>
      <c r="CP820">
        <f>$C820*CP819</f>
        <v/>
      </c>
      <c r="CQ820">
        <f>$C820*CQ819</f>
        <v/>
      </c>
      <c r="CR820">
        <f>$C820*CR819</f>
        <v/>
      </c>
      <c r="CS820">
        <f>$C820*CS819</f>
        <v/>
      </c>
      <c r="CT820">
        <f>$C820*CT819</f>
        <v/>
      </c>
      <c r="CU820">
        <f>$C820*CU819</f>
        <v/>
      </c>
      <c r="CV820">
        <f>$C820*CV819</f>
        <v/>
      </c>
      <c r="CW820">
        <f>$C820*CW819</f>
        <v/>
      </c>
      <c r="CX820">
        <f>$C820*CX819</f>
        <v/>
      </c>
      <c r="CY820">
        <f>$C820*CY819</f>
        <v/>
      </c>
      <c r="CZ820">
        <f>$C820*CZ819</f>
        <v/>
      </c>
      <c r="DA820">
        <f>$C820*DA819</f>
        <v/>
      </c>
      <c r="DB820">
        <f>$C820*DB819</f>
        <v/>
      </c>
      <c r="DC820">
        <f>$C820*DC819</f>
        <v/>
      </c>
    </row>
    <row r="821">
      <c r="B821" t="inlineStr">
        <is>
          <t>TSP-403</t>
        </is>
      </c>
      <c r="C821" t="inlineStr">
        <is>
          <t>No. of batches</t>
        </is>
      </c>
      <c r="D821">
        <f>IFERROR(INDEX(PP_Grid[#Data],$DD821,2),0)</f>
        <v/>
      </c>
      <c r="E821">
        <f>IFERROR(INDEX(PP_Grid[#Data],$DD821,3),0)</f>
        <v/>
      </c>
      <c r="F821">
        <f>IFERROR(INDEX(PP_Grid[#Data],$DD821,4),0)</f>
        <v/>
      </c>
      <c r="G821">
        <f>IFERROR(INDEX(PP_Grid[#Data],$DD821,5),0)</f>
        <v/>
      </c>
      <c r="H821">
        <f>IFERROR(INDEX(PP_Grid[#Data],$DD821,6),0)</f>
        <v/>
      </c>
      <c r="I821">
        <f>IFERROR(INDEX(PP_Grid[#Data],$DD821,7),0)</f>
        <v/>
      </c>
      <c r="J821">
        <f>IFERROR(INDEX(PP_Grid[#Data],$DD821,8),0)</f>
        <v/>
      </c>
      <c r="K821">
        <f>IFERROR(INDEX(PP_Grid[#Data],$DD821,9),0)</f>
        <v/>
      </c>
      <c r="L821">
        <f>IFERROR(INDEX(PP_Grid[#Data],$DD821,10),0)</f>
        <v/>
      </c>
      <c r="M821">
        <f>IFERROR(INDEX(PP_Grid[#Data],$DD821,11),0)</f>
        <v/>
      </c>
      <c r="N821">
        <f>IFERROR(INDEX(PP_Grid[#Data],$DD821,12),0)</f>
        <v/>
      </c>
      <c r="O821">
        <f>IFERROR(INDEX(PP_Grid[#Data],$DD821,13),0)</f>
        <v/>
      </c>
      <c r="P821">
        <f>IFERROR(INDEX(PP_Grid[#Data],$DD821,14),0)</f>
        <v/>
      </c>
      <c r="Q821">
        <f>IFERROR(INDEX(PP_Grid[#Data],$DD821,15),0)</f>
        <v/>
      </c>
      <c r="R821">
        <f>IFERROR(INDEX(PP_Grid[#Data],$DD821,16),0)</f>
        <v/>
      </c>
      <c r="S821">
        <f>IFERROR(INDEX(PP_Grid[#Data],$DD821,17),0)</f>
        <v/>
      </c>
      <c r="T821">
        <f>IFERROR(INDEX(PP_Grid[#Data],$DD821,18),0)</f>
        <v/>
      </c>
      <c r="U821">
        <f>IFERROR(INDEX(PP_Grid[#Data],$DD821,19),0)</f>
        <v/>
      </c>
      <c r="V821">
        <f>IFERROR(INDEX(PP_Grid[#Data],$DD821,20),0)</f>
        <v/>
      </c>
      <c r="W821">
        <f>IFERROR(INDEX(PP_Grid[#Data],$DD821,21),0)</f>
        <v/>
      </c>
      <c r="X821">
        <f>IFERROR(INDEX(PP_Grid[#Data],$DD821,22),0)</f>
        <v/>
      </c>
      <c r="Y821">
        <f>IFERROR(INDEX(PP_Grid[#Data],$DD821,23),0)</f>
        <v/>
      </c>
      <c r="Z821">
        <f>IFERROR(INDEX(PP_Grid[#Data],$DD821,24),0)</f>
        <v/>
      </c>
      <c r="AA821">
        <f>IFERROR(INDEX(PP_Grid[#Data],$DD821,25),0)</f>
        <v/>
      </c>
      <c r="AB821">
        <f>IFERROR(INDEX(PP_Grid[#Data],$DD821,26),0)</f>
        <v/>
      </c>
      <c r="AC821">
        <f>IFERROR(INDEX(PP_Grid[#Data],$DD821,27),0)</f>
        <v/>
      </c>
      <c r="AD821">
        <f>IFERROR(INDEX(PP_Grid[#Data],$DD821,28),0)</f>
        <v/>
      </c>
      <c r="AE821">
        <f>IFERROR(INDEX(PP_Grid[#Data],$DD821,29),0)</f>
        <v/>
      </c>
      <c r="AF821">
        <f>IFERROR(INDEX(PP_Grid[#Data],$DD821,30),0)</f>
        <v/>
      </c>
      <c r="AG821">
        <f>IFERROR(INDEX(PP_Grid[#Data],$DD821,31),0)</f>
        <v/>
      </c>
      <c r="AH821">
        <f>IFERROR(INDEX(PP_Grid[#Data],$DD821,32),0)</f>
        <v/>
      </c>
      <c r="AI821">
        <f>IFERROR(INDEX(PP_Grid[#Data],$DD821,33),0)</f>
        <v/>
      </c>
      <c r="AJ821">
        <f>IFERROR(INDEX(PP_Grid[#Data],$DD821,34),0)</f>
        <v/>
      </c>
      <c r="AK821">
        <f>IFERROR(INDEX(PP_Grid[#Data],$DD821,35),0)</f>
        <v/>
      </c>
      <c r="AL821">
        <f>IFERROR(INDEX(PP_Grid[#Data],$DD821,36),0)</f>
        <v/>
      </c>
      <c r="AM821">
        <f>IFERROR(INDEX(PP_Grid[#Data],$DD821,37),0)</f>
        <v/>
      </c>
      <c r="AN821">
        <f>IFERROR(INDEX(PP_Grid[#Data],$DD821,38),0)</f>
        <v/>
      </c>
      <c r="AO821">
        <f>IFERROR(INDEX(PP_Grid[#Data],$DD821,39),0)</f>
        <v/>
      </c>
      <c r="AP821">
        <f>IFERROR(INDEX(PP_Grid[#Data],$DD821,40),0)</f>
        <v/>
      </c>
      <c r="AQ821">
        <f>IFERROR(INDEX(PP_Grid[#Data],$DD821,41),0)</f>
        <v/>
      </c>
      <c r="AR821">
        <f>IFERROR(INDEX(PP_Grid[#Data],$DD821,42),0)</f>
        <v/>
      </c>
      <c r="AS821">
        <f>IFERROR(INDEX(PP_Grid[#Data],$DD821,43),0)</f>
        <v/>
      </c>
      <c r="AT821">
        <f>IFERROR(INDEX(PP_Grid[#Data],$DD821,44),0)</f>
        <v/>
      </c>
      <c r="AU821">
        <f>IFERROR(INDEX(PP_Grid[#Data],$DD821,45),0)</f>
        <v/>
      </c>
      <c r="AV821">
        <f>IFERROR(INDEX(PP_Grid[#Data],$DD821,46),0)</f>
        <v/>
      </c>
      <c r="AW821">
        <f>IFERROR(INDEX(PP_Grid[#Data],$DD821,47),0)</f>
        <v/>
      </c>
      <c r="AX821">
        <f>IFERROR(INDEX(PP_Grid[#Data],$DD821,48),0)</f>
        <v/>
      </c>
      <c r="AY821">
        <f>IFERROR(INDEX(PP_Grid[#Data],$DD821,49),0)</f>
        <v/>
      </c>
      <c r="AZ821">
        <f>IFERROR(INDEX(PP_Grid[#Data],$DD821,50),0)</f>
        <v/>
      </c>
      <c r="BA821">
        <f>IFERROR(INDEX(PP_Grid[#Data],$DD821,51),0)</f>
        <v/>
      </c>
      <c r="BB821">
        <f>IFERROR(INDEX(PP_Grid[#Data],$DD821,52),0)</f>
        <v/>
      </c>
      <c r="BC821">
        <f>IFERROR(INDEX(PP_Grid[#Data],$DD821,53),0)</f>
        <v/>
      </c>
      <c r="BD821">
        <f>IFERROR(INDEX(PP_Grid[#Data],$DD821,54),0)</f>
        <v/>
      </c>
      <c r="BE821">
        <f>IFERROR(INDEX(PP_Grid[#Data],$DD821,55),0)</f>
        <v/>
      </c>
      <c r="BF821">
        <f>IFERROR(INDEX(PP_Grid[#Data],$DD821,56),0)</f>
        <v/>
      </c>
      <c r="BG821">
        <f>IFERROR(INDEX(PP_Grid[#Data],$DD821,57),0)</f>
        <v/>
      </c>
      <c r="BH821">
        <f>IFERROR(INDEX(PP_Grid[#Data],$DD821,58),0)</f>
        <v/>
      </c>
      <c r="BI821">
        <f>IFERROR(INDEX(PP_Grid[#Data],$DD821,59),0)</f>
        <v/>
      </c>
      <c r="BJ821">
        <f>IFERROR(INDEX(PP_Grid[#Data],$DD821,60),0)</f>
        <v/>
      </c>
      <c r="BK821">
        <f>IFERROR(INDEX(PP_Grid[#Data],$DD821,61),0)</f>
        <v/>
      </c>
      <c r="BL821">
        <f>IFERROR(INDEX(PP_Grid[#Data],$DD821,62),0)</f>
        <v/>
      </c>
      <c r="BM821">
        <f>IFERROR(INDEX(PP_Grid[#Data],$DD821,63),0)</f>
        <v/>
      </c>
      <c r="BN821">
        <f>IFERROR(INDEX(PP_Grid[#Data],$DD821,64),0)</f>
        <v/>
      </c>
      <c r="BO821">
        <f>IFERROR(INDEX(PP_Grid[#Data],$DD821,65),0)</f>
        <v/>
      </c>
      <c r="BP821">
        <f>IFERROR(INDEX(PP_Grid[#Data],$DD821,66),0)</f>
        <v/>
      </c>
      <c r="BQ821">
        <f>IFERROR(INDEX(PP_Grid[#Data],$DD821,67),0)</f>
        <v/>
      </c>
      <c r="BR821">
        <f>IFERROR(INDEX(PP_Grid[#Data],$DD821,68),0)</f>
        <v/>
      </c>
      <c r="BS821">
        <f>IFERROR(INDEX(PP_Grid[#Data],$DD821,69),0)</f>
        <v/>
      </c>
      <c r="BT821">
        <f>IFERROR(INDEX(PP_Grid[#Data],$DD821,70),0)</f>
        <v/>
      </c>
      <c r="BU821">
        <f>IFERROR(INDEX(PP_Grid[#Data],$DD821,71),0)</f>
        <v/>
      </c>
      <c r="BV821">
        <f>IFERROR(INDEX(PP_Grid[#Data],$DD821,72),0)</f>
        <v/>
      </c>
      <c r="BW821">
        <f>IFERROR(INDEX(PP_Grid[#Data],$DD821,73),0)</f>
        <v/>
      </c>
      <c r="BX821">
        <f>IFERROR(INDEX(PP_Grid[#Data],$DD821,74),0)</f>
        <v/>
      </c>
      <c r="BY821">
        <f>IFERROR(INDEX(PP_Grid[#Data],$DD821,75),0)</f>
        <v/>
      </c>
      <c r="BZ821">
        <f>IFERROR(INDEX(PP_Grid[#Data],$DD821,76),0)</f>
        <v/>
      </c>
      <c r="CA821">
        <f>IFERROR(INDEX(PP_Grid[#Data],$DD821,77),0)</f>
        <v/>
      </c>
      <c r="CB821">
        <f>IFERROR(INDEX(PP_Grid[#Data],$DD821,78),0)</f>
        <v/>
      </c>
      <c r="CC821">
        <f>IFERROR(INDEX(PP_Grid[#Data],$DD821,79),0)</f>
        <v/>
      </c>
      <c r="CD821">
        <f>IFERROR(INDEX(PP_Grid[#Data],$DD821,80),0)</f>
        <v/>
      </c>
      <c r="CE821">
        <f>IFERROR(INDEX(PP_Grid[#Data],$DD821,81),0)</f>
        <v/>
      </c>
      <c r="CF821">
        <f>IFERROR(INDEX(PP_Grid[#Data],$DD821,82),0)</f>
        <v/>
      </c>
      <c r="CG821">
        <f>IFERROR(INDEX(PP_Grid[#Data],$DD821,83),0)</f>
        <v/>
      </c>
      <c r="CH821">
        <f>IFERROR(INDEX(PP_Grid[#Data],$DD821,84),0)</f>
        <v/>
      </c>
      <c r="CI821">
        <f>IFERROR(INDEX(PP_Grid[#Data],$DD821,85),0)</f>
        <v/>
      </c>
      <c r="CJ821">
        <f>IFERROR(INDEX(PP_Grid[#Data],$DD821,86),0)</f>
        <v/>
      </c>
      <c r="CK821">
        <f>IFERROR(INDEX(PP_Grid[#Data],$DD821,87),0)</f>
        <v/>
      </c>
      <c r="CL821">
        <f>IFERROR(INDEX(PP_Grid[#Data],$DD821,88),0)</f>
        <v/>
      </c>
      <c r="CM821">
        <f>IFERROR(INDEX(PP_Grid[#Data],$DD821,89),0)</f>
        <v/>
      </c>
      <c r="CN821">
        <f>IFERROR(INDEX(PP_Grid[#Data],$DD821,90),0)</f>
        <v/>
      </c>
      <c r="CO821">
        <f>IFERROR(INDEX(PP_Grid[#Data],$DD821,91),0)</f>
        <v/>
      </c>
      <c r="CP821">
        <f>IFERROR(INDEX(PP_Grid[#Data],$DD821,92),0)</f>
        <v/>
      </c>
      <c r="CQ821">
        <f>IFERROR(INDEX(PP_Grid[#Data],$DD821,93),0)</f>
        <v/>
      </c>
      <c r="CR821">
        <f>IFERROR(INDEX(PP_Grid[#Data],$DD821,94),0)</f>
        <v/>
      </c>
      <c r="CS821">
        <f>IFERROR(INDEX(PP_Grid[#Data],$DD821,95),0)</f>
        <v/>
      </c>
      <c r="CT821">
        <f>IFERROR(INDEX(PP_Grid[#Data],$DD821,96),0)</f>
        <v/>
      </c>
      <c r="CU821">
        <f>IFERROR(INDEX(PP_Grid[#Data],$DD821,97),0)</f>
        <v/>
      </c>
      <c r="CV821">
        <f>IFERROR(INDEX(PP_Grid[#Data],$DD821,98),0)</f>
        <v/>
      </c>
      <c r="CW821">
        <f>IFERROR(INDEX(PP_Grid[#Data],$DD821,99),0)</f>
        <v/>
      </c>
      <c r="CX821">
        <f>IFERROR(INDEX(PP_Grid[#Data],$DD821,100),0)</f>
        <v/>
      </c>
      <c r="CY821">
        <f>IFERROR(INDEX(PP_Grid[#Data],$DD821,101),0)</f>
        <v/>
      </c>
      <c r="CZ821">
        <f>IFERROR(INDEX(PP_Grid[#Data],$DD821,102),0)</f>
        <v/>
      </c>
      <c r="DA821">
        <f>IFERROR(INDEX(PP_Grid[#Data],$DD821,103),0)</f>
        <v/>
      </c>
      <c r="DB821">
        <f>IFERROR(INDEX(PP_Grid[#Data],$DD821,104),0)</f>
        <v/>
      </c>
      <c r="DC821">
        <f>IFERROR(INDEX(PP_Grid[#Data],$DD821,105),0)</f>
        <v/>
      </c>
      <c r="DD821" s="12">
        <f>IFERROR(MATCH($B821,PP_Grid[Intermediate],0),99999)</f>
        <v/>
      </c>
    </row>
    <row r="822">
      <c r="B822" t="inlineStr">
        <is>
          <t>使用量(kg)</t>
        </is>
      </c>
      <c r="C822">
        <f>SUMIFS(M_BOM[RM_Qty_Per_Batch],M_BOM[Intermediate],$B821,M_BOM[Part Name],$A812)</f>
        <v/>
      </c>
      <c r="D822">
        <f>$C822*D821</f>
        <v/>
      </c>
      <c r="E822">
        <f>$C822*E821</f>
        <v/>
      </c>
      <c r="F822">
        <f>$C822*F821</f>
        <v/>
      </c>
      <c r="G822">
        <f>$C822*G821</f>
        <v/>
      </c>
      <c r="H822">
        <f>$C822*H821</f>
        <v/>
      </c>
      <c r="I822">
        <f>$C822*I821</f>
        <v/>
      </c>
      <c r="J822">
        <f>$C822*J821</f>
        <v/>
      </c>
      <c r="K822">
        <f>$C822*K821</f>
        <v/>
      </c>
      <c r="L822">
        <f>$C822*L821</f>
        <v/>
      </c>
      <c r="M822">
        <f>$C822*M821</f>
        <v/>
      </c>
      <c r="N822">
        <f>$C822*N821</f>
        <v/>
      </c>
      <c r="O822">
        <f>$C822*O821</f>
        <v/>
      </c>
      <c r="P822">
        <f>$C822*P821</f>
        <v/>
      </c>
      <c r="Q822">
        <f>$C822*Q821</f>
        <v/>
      </c>
      <c r="R822">
        <f>$C822*R821</f>
        <v/>
      </c>
      <c r="S822">
        <f>$C822*S821</f>
        <v/>
      </c>
      <c r="T822">
        <f>$C822*T821</f>
        <v/>
      </c>
      <c r="U822">
        <f>$C822*U821</f>
        <v/>
      </c>
      <c r="V822">
        <f>$C822*V821</f>
        <v/>
      </c>
      <c r="W822">
        <f>$C822*W821</f>
        <v/>
      </c>
      <c r="X822">
        <f>$C822*X821</f>
        <v/>
      </c>
      <c r="Y822">
        <f>$C822*Y821</f>
        <v/>
      </c>
      <c r="Z822">
        <f>$C822*Z821</f>
        <v/>
      </c>
      <c r="AA822">
        <f>$C822*AA821</f>
        <v/>
      </c>
      <c r="AB822">
        <f>$C822*AB821</f>
        <v/>
      </c>
      <c r="AC822">
        <f>$C822*AC821</f>
        <v/>
      </c>
      <c r="AD822">
        <f>$C822*AD821</f>
        <v/>
      </c>
      <c r="AE822">
        <f>$C822*AE821</f>
        <v/>
      </c>
      <c r="AF822">
        <f>$C822*AF821</f>
        <v/>
      </c>
      <c r="AG822">
        <f>$C822*AG821</f>
        <v/>
      </c>
      <c r="AH822">
        <f>$C822*AH821</f>
        <v/>
      </c>
      <c r="AI822">
        <f>$C822*AI821</f>
        <v/>
      </c>
      <c r="AJ822">
        <f>$C822*AJ821</f>
        <v/>
      </c>
      <c r="AK822">
        <f>$C822*AK821</f>
        <v/>
      </c>
      <c r="AL822">
        <f>$C822*AL821</f>
        <v/>
      </c>
      <c r="AM822">
        <f>$C822*AM821</f>
        <v/>
      </c>
      <c r="AN822">
        <f>$C822*AN821</f>
        <v/>
      </c>
      <c r="AO822">
        <f>$C822*AO821</f>
        <v/>
      </c>
      <c r="AP822">
        <f>$C822*AP821</f>
        <v/>
      </c>
      <c r="AQ822">
        <f>$C822*AQ821</f>
        <v/>
      </c>
      <c r="AR822">
        <f>$C822*AR821</f>
        <v/>
      </c>
      <c r="AS822">
        <f>$C822*AS821</f>
        <v/>
      </c>
      <c r="AT822">
        <f>$C822*AT821</f>
        <v/>
      </c>
      <c r="AU822">
        <f>$C822*AU821</f>
        <v/>
      </c>
      <c r="AV822">
        <f>$C822*AV821</f>
        <v/>
      </c>
      <c r="AW822">
        <f>$C822*AW821</f>
        <v/>
      </c>
      <c r="AX822">
        <f>$C822*AX821</f>
        <v/>
      </c>
      <c r="AY822">
        <f>$C822*AY821</f>
        <v/>
      </c>
      <c r="AZ822">
        <f>$C822*AZ821</f>
        <v/>
      </c>
      <c r="BA822">
        <f>$C822*BA821</f>
        <v/>
      </c>
      <c r="BB822">
        <f>$C822*BB821</f>
        <v/>
      </c>
      <c r="BC822">
        <f>$C822*BC821</f>
        <v/>
      </c>
      <c r="BD822">
        <f>$C822*BD821</f>
        <v/>
      </c>
      <c r="BE822">
        <f>$C822*BE821</f>
        <v/>
      </c>
      <c r="BF822">
        <f>$C822*BF821</f>
        <v/>
      </c>
      <c r="BG822">
        <f>$C822*BG821</f>
        <v/>
      </c>
      <c r="BH822">
        <f>$C822*BH821</f>
        <v/>
      </c>
      <c r="BI822">
        <f>$C822*BI821</f>
        <v/>
      </c>
      <c r="BJ822">
        <f>$C822*BJ821</f>
        <v/>
      </c>
      <c r="BK822">
        <f>$C822*BK821</f>
        <v/>
      </c>
      <c r="BL822">
        <f>$C822*BL821</f>
        <v/>
      </c>
      <c r="BM822">
        <f>$C822*BM821</f>
        <v/>
      </c>
      <c r="BN822">
        <f>$C822*BN821</f>
        <v/>
      </c>
      <c r="BO822">
        <f>$C822*BO821</f>
        <v/>
      </c>
      <c r="BP822">
        <f>$C822*BP821</f>
        <v/>
      </c>
      <c r="BQ822">
        <f>$C822*BQ821</f>
        <v/>
      </c>
      <c r="BR822">
        <f>$C822*BR821</f>
        <v/>
      </c>
      <c r="BS822">
        <f>$C822*BS821</f>
        <v/>
      </c>
      <c r="BT822">
        <f>$C822*BT821</f>
        <v/>
      </c>
      <c r="BU822">
        <f>$C822*BU821</f>
        <v/>
      </c>
      <c r="BV822">
        <f>$C822*BV821</f>
        <v/>
      </c>
      <c r="BW822">
        <f>$C822*BW821</f>
        <v/>
      </c>
      <c r="BX822">
        <f>$C822*BX821</f>
        <v/>
      </c>
      <c r="BY822">
        <f>$C822*BY821</f>
        <v/>
      </c>
      <c r="BZ822">
        <f>$C822*BZ821</f>
        <v/>
      </c>
      <c r="CA822">
        <f>$C822*CA821</f>
        <v/>
      </c>
      <c r="CB822">
        <f>$C822*CB821</f>
        <v/>
      </c>
      <c r="CC822">
        <f>$C822*CC821</f>
        <v/>
      </c>
      <c r="CD822">
        <f>$C822*CD821</f>
        <v/>
      </c>
      <c r="CE822">
        <f>$C822*CE821</f>
        <v/>
      </c>
      <c r="CF822">
        <f>$C822*CF821</f>
        <v/>
      </c>
      <c r="CG822">
        <f>$C822*CG821</f>
        <v/>
      </c>
      <c r="CH822">
        <f>$C822*CH821</f>
        <v/>
      </c>
      <c r="CI822">
        <f>$C822*CI821</f>
        <v/>
      </c>
      <c r="CJ822">
        <f>$C822*CJ821</f>
        <v/>
      </c>
      <c r="CK822">
        <f>$C822*CK821</f>
        <v/>
      </c>
      <c r="CL822">
        <f>$C822*CL821</f>
        <v/>
      </c>
      <c r="CM822">
        <f>$C822*CM821</f>
        <v/>
      </c>
      <c r="CN822">
        <f>$C822*CN821</f>
        <v/>
      </c>
      <c r="CO822">
        <f>$C822*CO821</f>
        <v/>
      </c>
      <c r="CP822">
        <f>$C822*CP821</f>
        <v/>
      </c>
      <c r="CQ822">
        <f>$C822*CQ821</f>
        <v/>
      </c>
      <c r="CR822">
        <f>$C822*CR821</f>
        <v/>
      </c>
      <c r="CS822">
        <f>$C822*CS821</f>
        <v/>
      </c>
      <c r="CT822">
        <f>$C822*CT821</f>
        <v/>
      </c>
      <c r="CU822">
        <f>$C822*CU821</f>
        <v/>
      </c>
      <c r="CV822">
        <f>$C822*CV821</f>
        <v/>
      </c>
      <c r="CW822">
        <f>$C822*CW821</f>
        <v/>
      </c>
      <c r="CX822">
        <f>$C822*CX821</f>
        <v/>
      </c>
      <c r="CY822">
        <f>$C822*CY821</f>
        <v/>
      </c>
      <c r="CZ822">
        <f>$C822*CZ821</f>
        <v/>
      </c>
      <c r="DA822">
        <f>$C822*DA821</f>
        <v/>
      </c>
      <c r="DB822">
        <f>$C822*DB821</f>
        <v/>
      </c>
      <c r="DC822">
        <f>$C822*DC821</f>
        <v/>
      </c>
    </row>
    <row r="823">
      <c r="B823" t="inlineStr">
        <is>
          <t>TSP-404</t>
        </is>
      </c>
      <c r="C823" t="inlineStr">
        <is>
          <t>No. of batches</t>
        </is>
      </c>
      <c r="D823">
        <f>IFERROR(INDEX(PP_Grid[#Data],$DD823,2),0)</f>
        <v/>
      </c>
      <c r="E823">
        <f>IFERROR(INDEX(PP_Grid[#Data],$DD823,3),0)</f>
        <v/>
      </c>
      <c r="F823">
        <f>IFERROR(INDEX(PP_Grid[#Data],$DD823,4),0)</f>
        <v/>
      </c>
      <c r="G823">
        <f>IFERROR(INDEX(PP_Grid[#Data],$DD823,5),0)</f>
        <v/>
      </c>
      <c r="H823">
        <f>IFERROR(INDEX(PP_Grid[#Data],$DD823,6),0)</f>
        <v/>
      </c>
      <c r="I823">
        <f>IFERROR(INDEX(PP_Grid[#Data],$DD823,7),0)</f>
        <v/>
      </c>
      <c r="J823">
        <f>IFERROR(INDEX(PP_Grid[#Data],$DD823,8),0)</f>
        <v/>
      </c>
      <c r="K823">
        <f>IFERROR(INDEX(PP_Grid[#Data],$DD823,9),0)</f>
        <v/>
      </c>
      <c r="L823">
        <f>IFERROR(INDEX(PP_Grid[#Data],$DD823,10),0)</f>
        <v/>
      </c>
      <c r="M823">
        <f>IFERROR(INDEX(PP_Grid[#Data],$DD823,11),0)</f>
        <v/>
      </c>
      <c r="N823">
        <f>IFERROR(INDEX(PP_Grid[#Data],$DD823,12),0)</f>
        <v/>
      </c>
      <c r="O823">
        <f>IFERROR(INDEX(PP_Grid[#Data],$DD823,13),0)</f>
        <v/>
      </c>
      <c r="P823">
        <f>IFERROR(INDEX(PP_Grid[#Data],$DD823,14),0)</f>
        <v/>
      </c>
      <c r="Q823">
        <f>IFERROR(INDEX(PP_Grid[#Data],$DD823,15),0)</f>
        <v/>
      </c>
      <c r="R823">
        <f>IFERROR(INDEX(PP_Grid[#Data],$DD823,16),0)</f>
        <v/>
      </c>
      <c r="S823">
        <f>IFERROR(INDEX(PP_Grid[#Data],$DD823,17),0)</f>
        <v/>
      </c>
      <c r="T823">
        <f>IFERROR(INDEX(PP_Grid[#Data],$DD823,18),0)</f>
        <v/>
      </c>
      <c r="U823">
        <f>IFERROR(INDEX(PP_Grid[#Data],$DD823,19),0)</f>
        <v/>
      </c>
      <c r="V823">
        <f>IFERROR(INDEX(PP_Grid[#Data],$DD823,20),0)</f>
        <v/>
      </c>
      <c r="W823">
        <f>IFERROR(INDEX(PP_Grid[#Data],$DD823,21),0)</f>
        <v/>
      </c>
      <c r="X823">
        <f>IFERROR(INDEX(PP_Grid[#Data],$DD823,22),0)</f>
        <v/>
      </c>
      <c r="Y823">
        <f>IFERROR(INDEX(PP_Grid[#Data],$DD823,23),0)</f>
        <v/>
      </c>
      <c r="Z823">
        <f>IFERROR(INDEX(PP_Grid[#Data],$DD823,24),0)</f>
        <v/>
      </c>
      <c r="AA823">
        <f>IFERROR(INDEX(PP_Grid[#Data],$DD823,25),0)</f>
        <v/>
      </c>
      <c r="AB823">
        <f>IFERROR(INDEX(PP_Grid[#Data],$DD823,26),0)</f>
        <v/>
      </c>
      <c r="AC823">
        <f>IFERROR(INDEX(PP_Grid[#Data],$DD823,27),0)</f>
        <v/>
      </c>
      <c r="AD823">
        <f>IFERROR(INDEX(PP_Grid[#Data],$DD823,28),0)</f>
        <v/>
      </c>
      <c r="AE823">
        <f>IFERROR(INDEX(PP_Grid[#Data],$DD823,29),0)</f>
        <v/>
      </c>
      <c r="AF823">
        <f>IFERROR(INDEX(PP_Grid[#Data],$DD823,30),0)</f>
        <v/>
      </c>
      <c r="AG823">
        <f>IFERROR(INDEX(PP_Grid[#Data],$DD823,31),0)</f>
        <v/>
      </c>
      <c r="AH823">
        <f>IFERROR(INDEX(PP_Grid[#Data],$DD823,32),0)</f>
        <v/>
      </c>
      <c r="AI823">
        <f>IFERROR(INDEX(PP_Grid[#Data],$DD823,33),0)</f>
        <v/>
      </c>
      <c r="AJ823">
        <f>IFERROR(INDEX(PP_Grid[#Data],$DD823,34),0)</f>
        <v/>
      </c>
      <c r="AK823">
        <f>IFERROR(INDEX(PP_Grid[#Data],$DD823,35),0)</f>
        <v/>
      </c>
      <c r="AL823">
        <f>IFERROR(INDEX(PP_Grid[#Data],$DD823,36),0)</f>
        <v/>
      </c>
      <c r="AM823">
        <f>IFERROR(INDEX(PP_Grid[#Data],$DD823,37),0)</f>
        <v/>
      </c>
      <c r="AN823">
        <f>IFERROR(INDEX(PP_Grid[#Data],$DD823,38),0)</f>
        <v/>
      </c>
      <c r="AO823">
        <f>IFERROR(INDEX(PP_Grid[#Data],$DD823,39),0)</f>
        <v/>
      </c>
      <c r="AP823">
        <f>IFERROR(INDEX(PP_Grid[#Data],$DD823,40),0)</f>
        <v/>
      </c>
      <c r="AQ823">
        <f>IFERROR(INDEX(PP_Grid[#Data],$DD823,41),0)</f>
        <v/>
      </c>
      <c r="AR823">
        <f>IFERROR(INDEX(PP_Grid[#Data],$DD823,42),0)</f>
        <v/>
      </c>
      <c r="AS823">
        <f>IFERROR(INDEX(PP_Grid[#Data],$DD823,43),0)</f>
        <v/>
      </c>
      <c r="AT823">
        <f>IFERROR(INDEX(PP_Grid[#Data],$DD823,44),0)</f>
        <v/>
      </c>
      <c r="AU823">
        <f>IFERROR(INDEX(PP_Grid[#Data],$DD823,45),0)</f>
        <v/>
      </c>
      <c r="AV823">
        <f>IFERROR(INDEX(PP_Grid[#Data],$DD823,46),0)</f>
        <v/>
      </c>
      <c r="AW823">
        <f>IFERROR(INDEX(PP_Grid[#Data],$DD823,47),0)</f>
        <v/>
      </c>
      <c r="AX823">
        <f>IFERROR(INDEX(PP_Grid[#Data],$DD823,48),0)</f>
        <v/>
      </c>
      <c r="AY823">
        <f>IFERROR(INDEX(PP_Grid[#Data],$DD823,49),0)</f>
        <v/>
      </c>
      <c r="AZ823">
        <f>IFERROR(INDEX(PP_Grid[#Data],$DD823,50),0)</f>
        <v/>
      </c>
      <c r="BA823">
        <f>IFERROR(INDEX(PP_Grid[#Data],$DD823,51),0)</f>
        <v/>
      </c>
      <c r="BB823">
        <f>IFERROR(INDEX(PP_Grid[#Data],$DD823,52),0)</f>
        <v/>
      </c>
      <c r="BC823">
        <f>IFERROR(INDEX(PP_Grid[#Data],$DD823,53),0)</f>
        <v/>
      </c>
      <c r="BD823">
        <f>IFERROR(INDEX(PP_Grid[#Data],$DD823,54),0)</f>
        <v/>
      </c>
      <c r="BE823">
        <f>IFERROR(INDEX(PP_Grid[#Data],$DD823,55),0)</f>
        <v/>
      </c>
      <c r="BF823">
        <f>IFERROR(INDEX(PP_Grid[#Data],$DD823,56),0)</f>
        <v/>
      </c>
      <c r="BG823">
        <f>IFERROR(INDEX(PP_Grid[#Data],$DD823,57),0)</f>
        <v/>
      </c>
      <c r="BH823">
        <f>IFERROR(INDEX(PP_Grid[#Data],$DD823,58),0)</f>
        <v/>
      </c>
      <c r="BI823">
        <f>IFERROR(INDEX(PP_Grid[#Data],$DD823,59),0)</f>
        <v/>
      </c>
      <c r="BJ823">
        <f>IFERROR(INDEX(PP_Grid[#Data],$DD823,60),0)</f>
        <v/>
      </c>
      <c r="BK823">
        <f>IFERROR(INDEX(PP_Grid[#Data],$DD823,61),0)</f>
        <v/>
      </c>
      <c r="BL823">
        <f>IFERROR(INDEX(PP_Grid[#Data],$DD823,62),0)</f>
        <v/>
      </c>
      <c r="BM823">
        <f>IFERROR(INDEX(PP_Grid[#Data],$DD823,63),0)</f>
        <v/>
      </c>
      <c r="BN823">
        <f>IFERROR(INDEX(PP_Grid[#Data],$DD823,64),0)</f>
        <v/>
      </c>
      <c r="BO823">
        <f>IFERROR(INDEX(PP_Grid[#Data],$DD823,65),0)</f>
        <v/>
      </c>
      <c r="BP823">
        <f>IFERROR(INDEX(PP_Grid[#Data],$DD823,66),0)</f>
        <v/>
      </c>
      <c r="BQ823">
        <f>IFERROR(INDEX(PP_Grid[#Data],$DD823,67),0)</f>
        <v/>
      </c>
      <c r="BR823">
        <f>IFERROR(INDEX(PP_Grid[#Data],$DD823,68),0)</f>
        <v/>
      </c>
      <c r="BS823">
        <f>IFERROR(INDEX(PP_Grid[#Data],$DD823,69),0)</f>
        <v/>
      </c>
      <c r="BT823">
        <f>IFERROR(INDEX(PP_Grid[#Data],$DD823,70),0)</f>
        <v/>
      </c>
      <c r="BU823">
        <f>IFERROR(INDEX(PP_Grid[#Data],$DD823,71),0)</f>
        <v/>
      </c>
      <c r="BV823">
        <f>IFERROR(INDEX(PP_Grid[#Data],$DD823,72),0)</f>
        <v/>
      </c>
      <c r="BW823">
        <f>IFERROR(INDEX(PP_Grid[#Data],$DD823,73),0)</f>
        <v/>
      </c>
      <c r="BX823">
        <f>IFERROR(INDEX(PP_Grid[#Data],$DD823,74),0)</f>
        <v/>
      </c>
      <c r="BY823">
        <f>IFERROR(INDEX(PP_Grid[#Data],$DD823,75),0)</f>
        <v/>
      </c>
      <c r="BZ823">
        <f>IFERROR(INDEX(PP_Grid[#Data],$DD823,76),0)</f>
        <v/>
      </c>
      <c r="CA823">
        <f>IFERROR(INDEX(PP_Grid[#Data],$DD823,77),0)</f>
        <v/>
      </c>
      <c r="CB823">
        <f>IFERROR(INDEX(PP_Grid[#Data],$DD823,78),0)</f>
        <v/>
      </c>
      <c r="CC823">
        <f>IFERROR(INDEX(PP_Grid[#Data],$DD823,79),0)</f>
        <v/>
      </c>
      <c r="CD823">
        <f>IFERROR(INDEX(PP_Grid[#Data],$DD823,80),0)</f>
        <v/>
      </c>
      <c r="CE823">
        <f>IFERROR(INDEX(PP_Grid[#Data],$DD823,81),0)</f>
        <v/>
      </c>
      <c r="CF823">
        <f>IFERROR(INDEX(PP_Grid[#Data],$DD823,82),0)</f>
        <v/>
      </c>
      <c r="CG823">
        <f>IFERROR(INDEX(PP_Grid[#Data],$DD823,83),0)</f>
        <v/>
      </c>
      <c r="CH823">
        <f>IFERROR(INDEX(PP_Grid[#Data],$DD823,84),0)</f>
        <v/>
      </c>
      <c r="CI823">
        <f>IFERROR(INDEX(PP_Grid[#Data],$DD823,85),0)</f>
        <v/>
      </c>
      <c r="CJ823">
        <f>IFERROR(INDEX(PP_Grid[#Data],$DD823,86),0)</f>
        <v/>
      </c>
      <c r="CK823">
        <f>IFERROR(INDEX(PP_Grid[#Data],$DD823,87),0)</f>
        <v/>
      </c>
      <c r="CL823">
        <f>IFERROR(INDEX(PP_Grid[#Data],$DD823,88),0)</f>
        <v/>
      </c>
      <c r="CM823">
        <f>IFERROR(INDEX(PP_Grid[#Data],$DD823,89),0)</f>
        <v/>
      </c>
      <c r="CN823">
        <f>IFERROR(INDEX(PP_Grid[#Data],$DD823,90),0)</f>
        <v/>
      </c>
      <c r="CO823">
        <f>IFERROR(INDEX(PP_Grid[#Data],$DD823,91),0)</f>
        <v/>
      </c>
      <c r="CP823">
        <f>IFERROR(INDEX(PP_Grid[#Data],$DD823,92),0)</f>
        <v/>
      </c>
      <c r="CQ823">
        <f>IFERROR(INDEX(PP_Grid[#Data],$DD823,93),0)</f>
        <v/>
      </c>
      <c r="CR823">
        <f>IFERROR(INDEX(PP_Grid[#Data],$DD823,94),0)</f>
        <v/>
      </c>
      <c r="CS823">
        <f>IFERROR(INDEX(PP_Grid[#Data],$DD823,95),0)</f>
        <v/>
      </c>
      <c r="CT823">
        <f>IFERROR(INDEX(PP_Grid[#Data],$DD823,96),0)</f>
        <v/>
      </c>
      <c r="CU823">
        <f>IFERROR(INDEX(PP_Grid[#Data],$DD823,97),0)</f>
        <v/>
      </c>
      <c r="CV823">
        <f>IFERROR(INDEX(PP_Grid[#Data],$DD823,98),0)</f>
        <v/>
      </c>
      <c r="CW823">
        <f>IFERROR(INDEX(PP_Grid[#Data],$DD823,99),0)</f>
        <v/>
      </c>
      <c r="CX823">
        <f>IFERROR(INDEX(PP_Grid[#Data],$DD823,100),0)</f>
        <v/>
      </c>
      <c r="CY823">
        <f>IFERROR(INDEX(PP_Grid[#Data],$DD823,101),0)</f>
        <v/>
      </c>
      <c r="CZ823">
        <f>IFERROR(INDEX(PP_Grid[#Data],$DD823,102),0)</f>
        <v/>
      </c>
      <c r="DA823">
        <f>IFERROR(INDEX(PP_Grid[#Data],$DD823,103),0)</f>
        <v/>
      </c>
      <c r="DB823">
        <f>IFERROR(INDEX(PP_Grid[#Data],$DD823,104),0)</f>
        <v/>
      </c>
      <c r="DC823">
        <f>IFERROR(INDEX(PP_Grid[#Data],$DD823,105),0)</f>
        <v/>
      </c>
      <c r="DD823" s="12">
        <f>IFERROR(MATCH($B823,PP_Grid[Intermediate],0),99999)</f>
        <v/>
      </c>
    </row>
    <row r="824">
      <c r="B824" t="inlineStr">
        <is>
          <t>使用量(kg)</t>
        </is>
      </c>
      <c r="C824">
        <f>SUMIFS(M_BOM[RM_Qty_Per_Batch],M_BOM[Intermediate],$B823,M_BOM[Part Name],$A812)</f>
        <v/>
      </c>
      <c r="D824">
        <f>$C824*D823</f>
        <v/>
      </c>
      <c r="E824">
        <f>$C824*E823</f>
        <v/>
      </c>
      <c r="F824">
        <f>$C824*F823</f>
        <v/>
      </c>
      <c r="G824">
        <f>$C824*G823</f>
        <v/>
      </c>
      <c r="H824">
        <f>$C824*H823</f>
        <v/>
      </c>
      <c r="I824">
        <f>$C824*I823</f>
        <v/>
      </c>
      <c r="J824">
        <f>$C824*J823</f>
        <v/>
      </c>
      <c r="K824">
        <f>$C824*K823</f>
        <v/>
      </c>
      <c r="L824">
        <f>$C824*L823</f>
        <v/>
      </c>
      <c r="M824">
        <f>$C824*M823</f>
        <v/>
      </c>
      <c r="N824">
        <f>$C824*N823</f>
        <v/>
      </c>
      <c r="O824">
        <f>$C824*O823</f>
        <v/>
      </c>
      <c r="P824">
        <f>$C824*P823</f>
        <v/>
      </c>
      <c r="Q824">
        <f>$C824*Q823</f>
        <v/>
      </c>
      <c r="R824">
        <f>$C824*R823</f>
        <v/>
      </c>
      <c r="S824">
        <f>$C824*S823</f>
        <v/>
      </c>
      <c r="T824">
        <f>$C824*T823</f>
        <v/>
      </c>
      <c r="U824">
        <f>$C824*U823</f>
        <v/>
      </c>
      <c r="V824">
        <f>$C824*V823</f>
        <v/>
      </c>
      <c r="W824">
        <f>$C824*W823</f>
        <v/>
      </c>
      <c r="X824">
        <f>$C824*X823</f>
        <v/>
      </c>
      <c r="Y824">
        <f>$C824*Y823</f>
        <v/>
      </c>
      <c r="Z824">
        <f>$C824*Z823</f>
        <v/>
      </c>
      <c r="AA824">
        <f>$C824*AA823</f>
        <v/>
      </c>
      <c r="AB824">
        <f>$C824*AB823</f>
        <v/>
      </c>
      <c r="AC824">
        <f>$C824*AC823</f>
        <v/>
      </c>
      <c r="AD824">
        <f>$C824*AD823</f>
        <v/>
      </c>
      <c r="AE824">
        <f>$C824*AE823</f>
        <v/>
      </c>
      <c r="AF824">
        <f>$C824*AF823</f>
        <v/>
      </c>
      <c r="AG824">
        <f>$C824*AG823</f>
        <v/>
      </c>
      <c r="AH824">
        <f>$C824*AH823</f>
        <v/>
      </c>
      <c r="AI824">
        <f>$C824*AI823</f>
        <v/>
      </c>
      <c r="AJ824">
        <f>$C824*AJ823</f>
        <v/>
      </c>
      <c r="AK824">
        <f>$C824*AK823</f>
        <v/>
      </c>
      <c r="AL824">
        <f>$C824*AL823</f>
        <v/>
      </c>
      <c r="AM824">
        <f>$C824*AM823</f>
        <v/>
      </c>
      <c r="AN824">
        <f>$C824*AN823</f>
        <v/>
      </c>
      <c r="AO824">
        <f>$C824*AO823</f>
        <v/>
      </c>
      <c r="AP824">
        <f>$C824*AP823</f>
        <v/>
      </c>
      <c r="AQ824">
        <f>$C824*AQ823</f>
        <v/>
      </c>
      <c r="AR824">
        <f>$C824*AR823</f>
        <v/>
      </c>
      <c r="AS824">
        <f>$C824*AS823</f>
        <v/>
      </c>
      <c r="AT824">
        <f>$C824*AT823</f>
        <v/>
      </c>
      <c r="AU824">
        <f>$C824*AU823</f>
        <v/>
      </c>
      <c r="AV824">
        <f>$C824*AV823</f>
        <v/>
      </c>
      <c r="AW824">
        <f>$C824*AW823</f>
        <v/>
      </c>
      <c r="AX824">
        <f>$C824*AX823</f>
        <v/>
      </c>
      <c r="AY824">
        <f>$C824*AY823</f>
        <v/>
      </c>
      <c r="AZ824">
        <f>$C824*AZ823</f>
        <v/>
      </c>
      <c r="BA824">
        <f>$C824*BA823</f>
        <v/>
      </c>
      <c r="BB824">
        <f>$C824*BB823</f>
        <v/>
      </c>
      <c r="BC824">
        <f>$C824*BC823</f>
        <v/>
      </c>
      <c r="BD824">
        <f>$C824*BD823</f>
        <v/>
      </c>
      <c r="BE824">
        <f>$C824*BE823</f>
        <v/>
      </c>
      <c r="BF824">
        <f>$C824*BF823</f>
        <v/>
      </c>
      <c r="BG824">
        <f>$C824*BG823</f>
        <v/>
      </c>
      <c r="BH824">
        <f>$C824*BH823</f>
        <v/>
      </c>
      <c r="BI824">
        <f>$C824*BI823</f>
        <v/>
      </c>
      <c r="BJ824">
        <f>$C824*BJ823</f>
        <v/>
      </c>
      <c r="BK824">
        <f>$C824*BK823</f>
        <v/>
      </c>
      <c r="BL824">
        <f>$C824*BL823</f>
        <v/>
      </c>
      <c r="BM824">
        <f>$C824*BM823</f>
        <v/>
      </c>
      <c r="BN824">
        <f>$C824*BN823</f>
        <v/>
      </c>
      <c r="BO824">
        <f>$C824*BO823</f>
        <v/>
      </c>
      <c r="BP824">
        <f>$C824*BP823</f>
        <v/>
      </c>
      <c r="BQ824">
        <f>$C824*BQ823</f>
        <v/>
      </c>
      <c r="BR824">
        <f>$C824*BR823</f>
        <v/>
      </c>
      <c r="BS824">
        <f>$C824*BS823</f>
        <v/>
      </c>
      <c r="BT824">
        <f>$C824*BT823</f>
        <v/>
      </c>
      <c r="BU824">
        <f>$C824*BU823</f>
        <v/>
      </c>
      <c r="BV824">
        <f>$C824*BV823</f>
        <v/>
      </c>
      <c r="BW824">
        <f>$C824*BW823</f>
        <v/>
      </c>
      <c r="BX824">
        <f>$C824*BX823</f>
        <v/>
      </c>
      <c r="BY824">
        <f>$C824*BY823</f>
        <v/>
      </c>
      <c r="BZ824">
        <f>$C824*BZ823</f>
        <v/>
      </c>
      <c r="CA824">
        <f>$C824*CA823</f>
        <v/>
      </c>
      <c r="CB824">
        <f>$C824*CB823</f>
        <v/>
      </c>
      <c r="CC824">
        <f>$C824*CC823</f>
        <v/>
      </c>
      <c r="CD824">
        <f>$C824*CD823</f>
        <v/>
      </c>
      <c r="CE824">
        <f>$C824*CE823</f>
        <v/>
      </c>
      <c r="CF824">
        <f>$C824*CF823</f>
        <v/>
      </c>
      <c r="CG824">
        <f>$C824*CG823</f>
        <v/>
      </c>
      <c r="CH824">
        <f>$C824*CH823</f>
        <v/>
      </c>
      <c r="CI824">
        <f>$C824*CI823</f>
        <v/>
      </c>
      <c r="CJ824">
        <f>$C824*CJ823</f>
        <v/>
      </c>
      <c r="CK824">
        <f>$C824*CK823</f>
        <v/>
      </c>
      <c r="CL824">
        <f>$C824*CL823</f>
        <v/>
      </c>
      <c r="CM824">
        <f>$C824*CM823</f>
        <v/>
      </c>
      <c r="CN824">
        <f>$C824*CN823</f>
        <v/>
      </c>
      <c r="CO824">
        <f>$C824*CO823</f>
        <v/>
      </c>
      <c r="CP824">
        <f>$C824*CP823</f>
        <v/>
      </c>
      <c r="CQ824">
        <f>$C824*CQ823</f>
        <v/>
      </c>
      <c r="CR824">
        <f>$C824*CR823</f>
        <v/>
      </c>
      <c r="CS824">
        <f>$C824*CS823</f>
        <v/>
      </c>
      <c r="CT824">
        <f>$C824*CT823</f>
        <v/>
      </c>
      <c r="CU824">
        <f>$C824*CU823</f>
        <v/>
      </c>
      <c r="CV824">
        <f>$C824*CV823</f>
        <v/>
      </c>
      <c r="CW824">
        <f>$C824*CW823</f>
        <v/>
      </c>
      <c r="CX824">
        <f>$C824*CX823</f>
        <v/>
      </c>
      <c r="CY824">
        <f>$C824*CY823</f>
        <v/>
      </c>
      <c r="CZ824">
        <f>$C824*CZ823</f>
        <v/>
      </c>
      <c r="DA824">
        <f>$C824*DA823</f>
        <v/>
      </c>
      <c r="DB824">
        <f>$C824*DB823</f>
        <v/>
      </c>
      <c r="DC824">
        <f>$C824*DC823</f>
        <v/>
      </c>
    </row>
    <row r="825">
      <c r="B825" t="inlineStr">
        <is>
          <t>TSP-405</t>
        </is>
      </c>
      <c r="C825" t="inlineStr">
        <is>
          <t>No. of batches</t>
        </is>
      </c>
      <c r="D825">
        <f>IFERROR(INDEX(PP_Grid[#Data],$DD825,2),0)</f>
        <v/>
      </c>
      <c r="E825">
        <f>IFERROR(INDEX(PP_Grid[#Data],$DD825,3),0)</f>
        <v/>
      </c>
      <c r="F825">
        <f>IFERROR(INDEX(PP_Grid[#Data],$DD825,4),0)</f>
        <v/>
      </c>
      <c r="G825">
        <f>IFERROR(INDEX(PP_Grid[#Data],$DD825,5),0)</f>
        <v/>
      </c>
      <c r="H825">
        <f>IFERROR(INDEX(PP_Grid[#Data],$DD825,6),0)</f>
        <v/>
      </c>
      <c r="I825">
        <f>IFERROR(INDEX(PP_Grid[#Data],$DD825,7),0)</f>
        <v/>
      </c>
      <c r="J825">
        <f>IFERROR(INDEX(PP_Grid[#Data],$DD825,8),0)</f>
        <v/>
      </c>
      <c r="K825">
        <f>IFERROR(INDEX(PP_Grid[#Data],$DD825,9),0)</f>
        <v/>
      </c>
      <c r="L825">
        <f>IFERROR(INDEX(PP_Grid[#Data],$DD825,10),0)</f>
        <v/>
      </c>
      <c r="M825">
        <f>IFERROR(INDEX(PP_Grid[#Data],$DD825,11),0)</f>
        <v/>
      </c>
      <c r="N825">
        <f>IFERROR(INDEX(PP_Grid[#Data],$DD825,12),0)</f>
        <v/>
      </c>
      <c r="O825">
        <f>IFERROR(INDEX(PP_Grid[#Data],$DD825,13),0)</f>
        <v/>
      </c>
      <c r="P825">
        <f>IFERROR(INDEX(PP_Grid[#Data],$DD825,14),0)</f>
        <v/>
      </c>
      <c r="Q825">
        <f>IFERROR(INDEX(PP_Grid[#Data],$DD825,15),0)</f>
        <v/>
      </c>
      <c r="R825">
        <f>IFERROR(INDEX(PP_Grid[#Data],$DD825,16),0)</f>
        <v/>
      </c>
      <c r="S825">
        <f>IFERROR(INDEX(PP_Grid[#Data],$DD825,17),0)</f>
        <v/>
      </c>
      <c r="T825">
        <f>IFERROR(INDEX(PP_Grid[#Data],$DD825,18),0)</f>
        <v/>
      </c>
      <c r="U825">
        <f>IFERROR(INDEX(PP_Grid[#Data],$DD825,19),0)</f>
        <v/>
      </c>
      <c r="V825">
        <f>IFERROR(INDEX(PP_Grid[#Data],$DD825,20),0)</f>
        <v/>
      </c>
      <c r="W825">
        <f>IFERROR(INDEX(PP_Grid[#Data],$DD825,21),0)</f>
        <v/>
      </c>
      <c r="X825">
        <f>IFERROR(INDEX(PP_Grid[#Data],$DD825,22),0)</f>
        <v/>
      </c>
      <c r="Y825">
        <f>IFERROR(INDEX(PP_Grid[#Data],$DD825,23),0)</f>
        <v/>
      </c>
      <c r="Z825">
        <f>IFERROR(INDEX(PP_Grid[#Data],$DD825,24),0)</f>
        <v/>
      </c>
      <c r="AA825">
        <f>IFERROR(INDEX(PP_Grid[#Data],$DD825,25),0)</f>
        <v/>
      </c>
      <c r="AB825">
        <f>IFERROR(INDEX(PP_Grid[#Data],$DD825,26),0)</f>
        <v/>
      </c>
      <c r="AC825">
        <f>IFERROR(INDEX(PP_Grid[#Data],$DD825,27),0)</f>
        <v/>
      </c>
      <c r="AD825">
        <f>IFERROR(INDEX(PP_Grid[#Data],$DD825,28),0)</f>
        <v/>
      </c>
      <c r="AE825">
        <f>IFERROR(INDEX(PP_Grid[#Data],$DD825,29),0)</f>
        <v/>
      </c>
      <c r="AF825">
        <f>IFERROR(INDEX(PP_Grid[#Data],$DD825,30),0)</f>
        <v/>
      </c>
      <c r="AG825">
        <f>IFERROR(INDEX(PP_Grid[#Data],$DD825,31),0)</f>
        <v/>
      </c>
      <c r="AH825">
        <f>IFERROR(INDEX(PP_Grid[#Data],$DD825,32),0)</f>
        <v/>
      </c>
      <c r="AI825">
        <f>IFERROR(INDEX(PP_Grid[#Data],$DD825,33),0)</f>
        <v/>
      </c>
      <c r="AJ825">
        <f>IFERROR(INDEX(PP_Grid[#Data],$DD825,34),0)</f>
        <v/>
      </c>
      <c r="AK825">
        <f>IFERROR(INDEX(PP_Grid[#Data],$DD825,35),0)</f>
        <v/>
      </c>
      <c r="AL825">
        <f>IFERROR(INDEX(PP_Grid[#Data],$DD825,36),0)</f>
        <v/>
      </c>
      <c r="AM825">
        <f>IFERROR(INDEX(PP_Grid[#Data],$DD825,37),0)</f>
        <v/>
      </c>
      <c r="AN825">
        <f>IFERROR(INDEX(PP_Grid[#Data],$DD825,38),0)</f>
        <v/>
      </c>
      <c r="AO825">
        <f>IFERROR(INDEX(PP_Grid[#Data],$DD825,39),0)</f>
        <v/>
      </c>
      <c r="AP825">
        <f>IFERROR(INDEX(PP_Grid[#Data],$DD825,40),0)</f>
        <v/>
      </c>
      <c r="AQ825">
        <f>IFERROR(INDEX(PP_Grid[#Data],$DD825,41),0)</f>
        <v/>
      </c>
      <c r="AR825">
        <f>IFERROR(INDEX(PP_Grid[#Data],$DD825,42),0)</f>
        <v/>
      </c>
      <c r="AS825">
        <f>IFERROR(INDEX(PP_Grid[#Data],$DD825,43),0)</f>
        <v/>
      </c>
      <c r="AT825">
        <f>IFERROR(INDEX(PP_Grid[#Data],$DD825,44),0)</f>
        <v/>
      </c>
      <c r="AU825">
        <f>IFERROR(INDEX(PP_Grid[#Data],$DD825,45),0)</f>
        <v/>
      </c>
      <c r="AV825">
        <f>IFERROR(INDEX(PP_Grid[#Data],$DD825,46),0)</f>
        <v/>
      </c>
      <c r="AW825">
        <f>IFERROR(INDEX(PP_Grid[#Data],$DD825,47),0)</f>
        <v/>
      </c>
      <c r="AX825">
        <f>IFERROR(INDEX(PP_Grid[#Data],$DD825,48),0)</f>
        <v/>
      </c>
      <c r="AY825">
        <f>IFERROR(INDEX(PP_Grid[#Data],$DD825,49),0)</f>
        <v/>
      </c>
      <c r="AZ825">
        <f>IFERROR(INDEX(PP_Grid[#Data],$DD825,50),0)</f>
        <v/>
      </c>
      <c r="BA825">
        <f>IFERROR(INDEX(PP_Grid[#Data],$DD825,51),0)</f>
        <v/>
      </c>
      <c r="BB825">
        <f>IFERROR(INDEX(PP_Grid[#Data],$DD825,52),0)</f>
        <v/>
      </c>
      <c r="BC825">
        <f>IFERROR(INDEX(PP_Grid[#Data],$DD825,53),0)</f>
        <v/>
      </c>
      <c r="BD825">
        <f>IFERROR(INDEX(PP_Grid[#Data],$DD825,54),0)</f>
        <v/>
      </c>
      <c r="BE825">
        <f>IFERROR(INDEX(PP_Grid[#Data],$DD825,55),0)</f>
        <v/>
      </c>
      <c r="BF825">
        <f>IFERROR(INDEX(PP_Grid[#Data],$DD825,56),0)</f>
        <v/>
      </c>
      <c r="BG825">
        <f>IFERROR(INDEX(PP_Grid[#Data],$DD825,57),0)</f>
        <v/>
      </c>
      <c r="BH825">
        <f>IFERROR(INDEX(PP_Grid[#Data],$DD825,58),0)</f>
        <v/>
      </c>
      <c r="BI825">
        <f>IFERROR(INDEX(PP_Grid[#Data],$DD825,59),0)</f>
        <v/>
      </c>
      <c r="BJ825">
        <f>IFERROR(INDEX(PP_Grid[#Data],$DD825,60),0)</f>
        <v/>
      </c>
      <c r="BK825">
        <f>IFERROR(INDEX(PP_Grid[#Data],$DD825,61),0)</f>
        <v/>
      </c>
      <c r="BL825">
        <f>IFERROR(INDEX(PP_Grid[#Data],$DD825,62),0)</f>
        <v/>
      </c>
      <c r="BM825">
        <f>IFERROR(INDEX(PP_Grid[#Data],$DD825,63),0)</f>
        <v/>
      </c>
      <c r="BN825">
        <f>IFERROR(INDEX(PP_Grid[#Data],$DD825,64),0)</f>
        <v/>
      </c>
      <c r="BO825">
        <f>IFERROR(INDEX(PP_Grid[#Data],$DD825,65),0)</f>
        <v/>
      </c>
      <c r="BP825">
        <f>IFERROR(INDEX(PP_Grid[#Data],$DD825,66),0)</f>
        <v/>
      </c>
      <c r="BQ825">
        <f>IFERROR(INDEX(PP_Grid[#Data],$DD825,67),0)</f>
        <v/>
      </c>
      <c r="BR825">
        <f>IFERROR(INDEX(PP_Grid[#Data],$DD825,68),0)</f>
        <v/>
      </c>
      <c r="BS825">
        <f>IFERROR(INDEX(PP_Grid[#Data],$DD825,69),0)</f>
        <v/>
      </c>
      <c r="BT825">
        <f>IFERROR(INDEX(PP_Grid[#Data],$DD825,70),0)</f>
        <v/>
      </c>
      <c r="BU825">
        <f>IFERROR(INDEX(PP_Grid[#Data],$DD825,71),0)</f>
        <v/>
      </c>
      <c r="BV825">
        <f>IFERROR(INDEX(PP_Grid[#Data],$DD825,72),0)</f>
        <v/>
      </c>
      <c r="BW825">
        <f>IFERROR(INDEX(PP_Grid[#Data],$DD825,73),0)</f>
        <v/>
      </c>
      <c r="BX825">
        <f>IFERROR(INDEX(PP_Grid[#Data],$DD825,74),0)</f>
        <v/>
      </c>
      <c r="BY825">
        <f>IFERROR(INDEX(PP_Grid[#Data],$DD825,75),0)</f>
        <v/>
      </c>
      <c r="BZ825">
        <f>IFERROR(INDEX(PP_Grid[#Data],$DD825,76),0)</f>
        <v/>
      </c>
      <c r="CA825">
        <f>IFERROR(INDEX(PP_Grid[#Data],$DD825,77),0)</f>
        <v/>
      </c>
      <c r="CB825">
        <f>IFERROR(INDEX(PP_Grid[#Data],$DD825,78),0)</f>
        <v/>
      </c>
      <c r="CC825">
        <f>IFERROR(INDEX(PP_Grid[#Data],$DD825,79),0)</f>
        <v/>
      </c>
      <c r="CD825">
        <f>IFERROR(INDEX(PP_Grid[#Data],$DD825,80),0)</f>
        <v/>
      </c>
      <c r="CE825">
        <f>IFERROR(INDEX(PP_Grid[#Data],$DD825,81),0)</f>
        <v/>
      </c>
      <c r="CF825">
        <f>IFERROR(INDEX(PP_Grid[#Data],$DD825,82),0)</f>
        <v/>
      </c>
      <c r="CG825">
        <f>IFERROR(INDEX(PP_Grid[#Data],$DD825,83),0)</f>
        <v/>
      </c>
      <c r="CH825">
        <f>IFERROR(INDEX(PP_Grid[#Data],$DD825,84),0)</f>
        <v/>
      </c>
      <c r="CI825">
        <f>IFERROR(INDEX(PP_Grid[#Data],$DD825,85),0)</f>
        <v/>
      </c>
      <c r="CJ825">
        <f>IFERROR(INDEX(PP_Grid[#Data],$DD825,86),0)</f>
        <v/>
      </c>
      <c r="CK825">
        <f>IFERROR(INDEX(PP_Grid[#Data],$DD825,87),0)</f>
        <v/>
      </c>
      <c r="CL825">
        <f>IFERROR(INDEX(PP_Grid[#Data],$DD825,88),0)</f>
        <v/>
      </c>
      <c r="CM825">
        <f>IFERROR(INDEX(PP_Grid[#Data],$DD825,89),0)</f>
        <v/>
      </c>
      <c r="CN825">
        <f>IFERROR(INDEX(PP_Grid[#Data],$DD825,90),0)</f>
        <v/>
      </c>
      <c r="CO825">
        <f>IFERROR(INDEX(PP_Grid[#Data],$DD825,91),0)</f>
        <v/>
      </c>
      <c r="CP825">
        <f>IFERROR(INDEX(PP_Grid[#Data],$DD825,92),0)</f>
        <v/>
      </c>
      <c r="CQ825">
        <f>IFERROR(INDEX(PP_Grid[#Data],$DD825,93),0)</f>
        <v/>
      </c>
      <c r="CR825">
        <f>IFERROR(INDEX(PP_Grid[#Data],$DD825,94),0)</f>
        <v/>
      </c>
      <c r="CS825">
        <f>IFERROR(INDEX(PP_Grid[#Data],$DD825,95),0)</f>
        <v/>
      </c>
      <c r="CT825">
        <f>IFERROR(INDEX(PP_Grid[#Data],$DD825,96),0)</f>
        <v/>
      </c>
      <c r="CU825">
        <f>IFERROR(INDEX(PP_Grid[#Data],$DD825,97),0)</f>
        <v/>
      </c>
      <c r="CV825">
        <f>IFERROR(INDEX(PP_Grid[#Data],$DD825,98),0)</f>
        <v/>
      </c>
      <c r="CW825">
        <f>IFERROR(INDEX(PP_Grid[#Data],$DD825,99),0)</f>
        <v/>
      </c>
      <c r="CX825">
        <f>IFERROR(INDEX(PP_Grid[#Data],$DD825,100),0)</f>
        <v/>
      </c>
      <c r="CY825">
        <f>IFERROR(INDEX(PP_Grid[#Data],$DD825,101),0)</f>
        <v/>
      </c>
      <c r="CZ825">
        <f>IFERROR(INDEX(PP_Grid[#Data],$DD825,102),0)</f>
        <v/>
      </c>
      <c r="DA825">
        <f>IFERROR(INDEX(PP_Grid[#Data],$DD825,103),0)</f>
        <v/>
      </c>
      <c r="DB825">
        <f>IFERROR(INDEX(PP_Grid[#Data],$DD825,104),0)</f>
        <v/>
      </c>
      <c r="DC825">
        <f>IFERROR(INDEX(PP_Grid[#Data],$DD825,105),0)</f>
        <v/>
      </c>
      <c r="DD825" s="12">
        <f>IFERROR(MATCH($B825,PP_Grid[Intermediate],0),99999)</f>
        <v/>
      </c>
    </row>
    <row r="826">
      <c r="B826" t="inlineStr">
        <is>
          <t>使用量(kg)</t>
        </is>
      </c>
      <c r="C826">
        <f>SUMIFS(M_BOM[RM_Qty_Per_Batch],M_BOM[Intermediate],$B825,M_BOM[Part Name],$A812)</f>
        <v/>
      </c>
      <c r="D826">
        <f>$C826*D825</f>
        <v/>
      </c>
      <c r="E826">
        <f>$C826*E825</f>
        <v/>
      </c>
      <c r="F826">
        <f>$C826*F825</f>
        <v/>
      </c>
      <c r="G826">
        <f>$C826*G825</f>
        <v/>
      </c>
      <c r="H826">
        <f>$C826*H825</f>
        <v/>
      </c>
      <c r="I826">
        <f>$C826*I825</f>
        <v/>
      </c>
      <c r="J826">
        <f>$C826*J825</f>
        <v/>
      </c>
      <c r="K826">
        <f>$C826*K825</f>
        <v/>
      </c>
      <c r="L826">
        <f>$C826*L825</f>
        <v/>
      </c>
      <c r="M826">
        <f>$C826*M825</f>
        <v/>
      </c>
      <c r="N826">
        <f>$C826*N825</f>
        <v/>
      </c>
      <c r="O826">
        <f>$C826*O825</f>
        <v/>
      </c>
      <c r="P826">
        <f>$C826*P825</f>
        <v/>
      </c>
      <c r="Q826">
        <f>$C826*Q825</f>
        <v/>
      </c>
      <c r="R826">
        <f>$C826*R825</f>
        <v/>
      </c>
      <c r="S826">
        <f>$C826*S825</f>
        <v/>
      </c>
      <c r="T826">
        <f>$C826*T825</f>
        <v/>
      </c>
      <c r="U826">
        <f>$C826*U825</f>
        <v/>
      </c>
      <c r="V826">
        <f>$C826*V825</f>
        <v/>
      </c>
      <c r="W826">
        <f>$C826*W825</f>
        <v/>
      </c>
      <c r="X826">
        <f>$C826*X825</f>
        <v/>
      </c>
      <c r="Y826">
        <f>$C826*Y825</f>
        <v/>
      </c>
      <c r="Z826">
        <f>$C826*Z825</f>
        <v/>
      </c>
      <c r="AA826">
        <f>$C826*AA825</f>
        <v/>
      </c>
      <c r="AB826">
        <f>$C826*AB825</f>
        <v/>
      </c>
      <c r="AC826">
        <f>$C826*AC825</f>
        <v/>
      </c>
      <c r="AD826">
        <f>$C826*AD825</f>
        <v/>
      </c>
      <c r="AE826">
        <f>$C826*AE825</f>
        <v/>
      </c>
      <c r="AF826">
        <f>$C826*AF825</f>
        <v/>
      </c>
      <c r="AG826">
        <f>$C826*AG825</f>
        <v/>
      </c>
      <c r="AH826">
        <f>$C826*AH825</f>
        <v/>
      </c>
      <c r="AI826">
        <f>$C826*AI825</f>
        <v/>
      </c>
      <c r="AJ826">
        <f>$C826*AJ825</f>
        <v/>
      </c>
      <c r="AK826">
        <f>$C826*AK825</f>
        <v/>
      </c>
      <c r="AL826">
        <f>$C826*AL825</f>
        <v/>
      </c>
      <c r="AM826">
        <f>$C826*AM825</f>
        <v/>
      </c>
      <c r="AN826">
        <f>$C826*AN825</f>
        <v/>
      </c>
      <c r="AO826">
        <f>$C826*AO825</f>
        <v/>
      </c>
      <c r="AP826">
        <f>$C826*AP825</f>
        <v/>
      </c>
      <c r="AQ826">
        <f>$C826*AQ825</f>
        <v/>
      </c>
      <c r="AR826">
        <f>$C826*AR825</f>
        <v/>
      </c>
      <c r="AS826">
        <f>$C826*AS825</f>
        <v/>
      </c>
      <c r="AT826">
        <f>$C826*AT825</f>
        <v/>
      </c>
      <c r="AU826">
        <f>$C826*AU825</f>
        <v/>
      </c>
      <c r="AV826">
        <f>$C826*AV825</f>
        <v/>
      </c>
      <c r="AW826">
        <f>$C826*AW825</f>
        <v/>
      </c>
      <c r="AX826">
        <f>$C826*AX825</f>
        <v/>
      </c>
      <c r="AY826">
        <f>$C826*AY825</f>
        <v/>
      </c>
      <c r="AZ826">
        <f>$C826*AZ825</f>
        <v/>
      </c>
      <c r="BA826">
        <f>$C826*BA825</f>
        <v/>
      </c>
      <c r="BB826">
        <f>$C826*BB825</f>
        <v/>
      </c>
      <c r="BC826">
        <f>$C826*BC825</f>
        <v/>
      </c>
      <c r="BD826">
        <f>$C826*BD825</f>
        <v/>
      </c>
      <c r="BE826">
        <f>$C826*BE825</f>
        <v/>
      </c>
      <c r="BF826">
        <f>$C826*BF825</f>
        <v/>
      </c>
      <c r="BG826">
        <f>$C826*BG825</f>
        <v/>
      </c>
      <c r="BH826">
        <f>$C826*BH825</f>
        <v/>
      </c>
      <c r="BI826">
        <f>$C826*BI825</f>
        <v/>
      </c>
      <c r="BJ826">
        <f>$C826*BJ825</f>
        <v/>
      </c>
      <c r="BK826">
        <f>$C826*BK825</f>
        <v/>
      </c>
      <c r="BL826">
        <f>$C826*BL825</f>
        <v/>
      </c>
      <c r="BM826">
        <f>$C826*BM825</f>
        <v/>
      </c>
      <c r="BN826">
        <f>$C826*BN825</f>
        <v/>
      </c>
      <c r="BO826">
        <f>$C826*BO825</f>
        <v/>
      </c>
      <c r="BP826">
        <f>$C826*BP825</f>
        <v/>
      </c>
      <c r="BQ826">
        <f>$C826*BQ825</f>
        <v/>
      </c>
      <c r="BR826">
        <f>$C826*BR825</f>
        <v/>
      </c>
      <c r="BS826">
        <f>$C826*BS825</f>
        <v/>
      </c>
      <c r="BT826">
        <f>$C826*BT825</f>
        <v/>
      </c>
      <c r="BU826">
        <f>$C826*BU825</f>
        <v/>
      </c>
      <c r="BV826">
        <f>$C826*BV825</f>
        <v/>
      </c>
      <c r="BW826">
        <f>$C826*BW825</f>
        <v/>
      </c>
      <c r="BX826">
        <f>$C826*BX825</f>
        <v/>
      </c>
      <c r="BY826">
        <f>$C826*BY825</f>
        <v/>
      </c>
      <c r="BZ826">
        <f>$C826*BZ825</f>
        <v/>
      </c>
      <c r="CA826">
        <f>$C826*CA825</f>
        <v/>
      </c>
      <c r="CB826">
        <f>$C826*CB825</f>
        <v/>
      </c>
      <c r="CC826">
        <f>$C826*CC825</f>
        <v/>
      </c>
      <c r="CD826">
        <f>$C826*CD825</f>
        <v/>
      </c>
      <c r="CE826">
        <f>$C826*CE825</f>
        <v/>
      </c>
      <c r="CF826">
        <f>$C826*CF825</f>
        <v/>
      </c>
      <c r="CG826">
        <f>$C826*CG825</f>
        <v/>
      </c>
      <c r="CH826">
        <f>$C826*CH825</f>
        <v/>
      </c>
      <c r="CI826">
        <f>$C826*CI825</f>
        <v/>
      </c>
      <c r="CJ826">
        <f>$C826*CJ825</f>
        <v/>
      </c>
      <c r="CK826">
        <f>$C826*CK825</f>
        <v/>
      </c>
      <c r="CL826">
        <f>$C826*CL825</f>
        <v/>
      </c>
      <c r="CM826">
        <f>$C826*CM825</f>
        <v/>
      </c>
      <c r="CN826">
        <f>$C826*CN825</f>
        <v/>
      </c>
      <c r="CO826">
        <f>$C826*CO825</f>
        <v/>
      </c>
      <c r="CP826">
        <f>$C826*CP825</f>
        <v/>
      </c>
      <c r="CQ826">
        <f>$C826*CQ825</f>
        <v/>
      </c>
      <c r="CR826">
        <f>$C826*CR825</f>
        <v/>
      </c>
      <c r="CS826">
        <f>$C826*CS825</f>
        <v/>
      </c>
      <c r="CT826">
        <f>$C826*CT825</f>
        <v/>
      </c>
      <c r="CU826">
        <f>$C826*CU825</f>
        <v/>
      </c>
      <c r="CV826">
        <f>$C826*CV825</f>
        <v/>
      </c>
      <c r="CW826">
        <f>$C826*CW825</f>
        <v/>
      </c>
      <c r="CX826">
        <f>$C826*CX825</f>
        <v/>
      </c>
      <c r="CY826">
        <f>$C826*CY825</f>
        <v/>
      </c>
      <c r="CZ826">
        <f>$C826*CZ825</f>
        <v/>
      </c>
      <c r="DA826">
        <f>$C826*DA825</f>
        <v/>
      </c>
      <c r="DB826">
        <f>$C826*DB825</f>
        <v/>
      </c>
      <c r="DC826">
        <f>$C826*DC825</f>
        <v/>
      </c>
    </row>
    <row r="827">
      <c r="B827" t="inlineStr">
        <is>
          <t>TSP-655</t>
        </is>
      </c>
      <c r="C827" t="inlineStr">
        <is>
          <t>No. of batches</t>
        </is>
      </c>
      <c r="D827">
        <f>IFERROR(INDEX(PP_Grid[#Data],$DD827,2),0)</f>
        <v/>
      </c>
      <c r="E827">
        <f>IFERROR(INDEX(PP_Grid[#Data],$DD827,3),0)</f>
        <v/>
      </c>
      <c r="F827">
        <f>IFERROR(INDEX(PP_Grid[#Data],$DD827,4),0)</f>
        <v/>
      </c>
      <c r="G827">
        <f>IFERROR(INDEX(PP_Grid[#Data],$DD827,5),0)</f>
        <v/>
      </c>
      <c r="H827">
        <f>IFERROR(INDEX(PP_Grid[#Data],$DD827,6),0)</f>
        <v/>
      </c>
      <c r="I827">
        <f>IFERROR(INDEX(PP_Grid[#Data],$DD827,7),0)</f>
        <v/>
      </c>
      <c r="J827">
        <f>IFERROR(INDEX(PP_Grid[#Data],$DD827,8),0)</f>
        <v/>
      </c>
      <c r="K827">
        <f>IFERROR(INDEX(PP_Grid[#Data],$DD827,9),0)</f>
        <v/>
      </c>
      <c r="L827">
        <f>IFERROR(INDEX(PP_Grid[#Data],$DD827,10),0)</f>
        <v/>
      </c>
      <c r="M827">
        <f>IFERROR(INDEX(PP_Grid[#Data],$DD827,11),0)</f>
        <v/>
      </c>
      <c r="N827">
        <f>IFERROR(INDEX(PP_Grid[#Data],$DD827,12),0)</f>
        <v/>
      </c>
      <c r="O827">
        <f>IFERROR(INDEX(PP_Grid[#Data],$DD827,13),0)</f>
        <v/>
      </c>
      <c r="P827">
        <f>IFERROR(INDEX(PP_Grid[#Data],$DD827,14),0)</f>
        <v/>
      </c>
      <c r="Q827">
        <f>IFERROR(INDEX(PP_Grid[#Data],$DD827,15),0)</f>
        <v/>
      </c>
      <c r="R827">
        <f>IFERROR(INDEX(PP_Grid[#Data],$DD827,16),0)</f>
        <v/>
      </c>
      <c r="S827">
        <f>IFERROR(INDEX(PP_Grid[#Data],$DD827,17),0)</f>
        <v/>
      </c>
      <c r="T827">
        <f>IFERROR(INDEX(PP_Grid[#Data],$DD827,18),0)</f>
        <v/>
      </c>
      <c r="U827">
        <f>IFERROR(INDEX(PP_Grid[#Data],$DD827,19),0)</f>
        <v/>
      </c>
      <c r="V827">
        <f>IFERROR(INDEX(PP_Grid[#Data],$DD827,20),0)</f>
        <v/>
      </c>
      <c r="W827">
        <f>IFERROR(INDEX(PP_Grid[#Data],$DD827,21),0)</f>
        <v/>
      </c>
      <c r="X827">
        <f>IFERROR(INDEX(PP_Grid[#Data],$DD827,22),0)</f>
        <v/>
      </c>
      <c r="Y827">
        <f>IFERROR(INDEX(PP_Grid[#Data],$DD827,23),0)</f>
        <v/>
      </c>
      <c r="Z827">
        <f>IFERROR(INDEX(PP_Grid[#Data],$DD827,24),0)</f>
        <v/>
      </c>
      <c r="AA827">
        <f>IFERROR(INDEX(PP_Grid[#Data],$DD827,25),0)</f>
        <v/>
      </c>
      <c r="AB827">
        <f>IFERROR(INDEX(PP_Grid[#Data],$DD827,26),0)</f>
        <v/>
      </c>
      <c r="AC827">
        <f>IFERROR(INDEX(PP_Grid[#Data],$DD827,27),0)</f>
        <v/>
      </c>
      <c r="AD827">
        <f>IFERROR(INDEX(PP_Grid[#Data],$DD827,28),0)</f>
        <v/>
      </c>
      <c r="AE827">
        <f>IFERROR(INDEX(PP_Grid[#Data],$DD827,29),0)</f>
        <v/>
      </c>
      <c r="AF827">
        <f>IFERROR(INDEX(PP_Grid[#Data],$DD827,30),0)</f>
        <v/>
      </c>
      <c r="AG827">
        <f>IFERROR(INDEX(PP_Grid[#Data],$DD827,31),0)</f>
        <v/>
      </c>
      <c r="AH827">
        <f>IFERROR(INDEX(PP_Grid[#Data],$DD827,32),0)</f>
        <v/>
      </c>
      <c r="AI827">
        <f>IFERROR(INDEX(PP_Grid[#Data],$DD827,33),0)</f>
        <v/>
      </c>
      <c r="AJ827">
        <f>IFERROR(INDEX(PP_Grid[#Data],$DD827,34),0)</f>
        <v/>
      </c>
      <c r="AK827">
        <f>IFERROR(INDEX(PP_Grid[#Data],$DD827,35),0)</f>
        <v/>
      </c>
      <c r="AL827">
        <f>IFERROR(INDEX(PP_Grid[#Data],$DD827,36),0)</f>
        <v/>
      </c>
      <c r="AM827">
        <f>IFERROR(INDEX(PP_Grid[#Data],$DD827,37),0)</f>
        <v/>
      </c>
      <c r="AN827">
        <f>IFERROR(INDEX(PP_Grid[#Data],$DD827,38),0)</f>
        <v/>
      </c>
      <c r="AO827">
        <f>IFERROR(INDEX(PP_Grid[#Data],$DD827,39),0)</f>
        <v/>
      </c>
      <c r="AP827">
        <f>IFERROR(INDEX(PP_Grid[#Data],$DD827,40),0)</f>
        <v/>
      </c>
      <c r="AQ827">
        <f>IFERROR(INDEX(PP_Grid[#Data],$DD827,41),0)</f>
        <v/>
      </c>
      <c r="AR827">
        <f>IFERROR(INDEX(PP_Grid[#Data],$DD827,42),0)</f>
        <v/>
      </c>
      <c r="AS827">
        <f>IFERROR(INDEX(PP_Grid[#Data],$DD827,43),0)</f>
        <v/>
      </c>
      <c r="AT827">
        <f>IFERROR(INDEX(PP_Grid[#Data],$DD827,44),0)</f>
        <v/>
      </c>
      <c r="AU827">
        <f>IFERROR(INDEX(PP_Grid[#Data],$DD827,45),0)</f>
        <v/>
      </c>
      <c r="AV827">
        <f>IFERROR(INDEX(PP_Grid[#Data],$DD827,46),0)</f>
        <v/>
      </c>
      <c r="AW827">
        <f>IFERROR(INDEX(PP_Grid[#Data],$DD827,47),0)</f>
        <v/>
      </c>
      <c r="AX827">
        <f>IFERROR(INDEX(PP_Grid[#Data],$DD827,48),0)</f>
        <v/>
      </c>
      <c r="AY827">
        <f>IFERROR(INDEX(PP_Grid[#Data],$DD827,49),0)</f>
        <v/>
      </c>
      <c r="AZ827">
        <f>IFERROR(INDEX(PP_Grid[#Data],$DD827,50),0)</f>
        <v/>
      </c>
      <c r="BA827">
        <f>IFERROR(INDEX(PP_Grid[#Data],$DD827,51),0)</f>
        <v/>
      </c>
      <c r="BB827">
        <f>IFERROR(INDEX(PP_Grid[#Data],$DD827,52),0)</f>
        <v/>
      </c>
      <c r="BC827">
        <f>IFERROR(INDEX(PP_Grid[#Data],$DD827,53),0)</f>
        <v/>
      </c>
      <c r="BD827">
        <f>IFERROR(INDEX(PP_Grid[#Data],$DD827,54),0)</f>
        <v/>
      </c>
      <c r="BE827">
        <f>IFERROR(INDEX(PP_Grid[#Data],$DD827,55),0)</f>
        <v/>
      </c>
      <c r="BF827">
        <f>IFERROR(INDEX(PP_Grid[#Data],$DD827,56),0)</f>
        <v/>
      </c>
      <c r="BG827">
        <f>IFERROR(INDEX(PP_Grid[#Data],$DD827,57),0)</f>
        <v/>
      </c>
      <c r="BH827">
        <f>IFERROR(INDEX(PP_Grid[#Data],$DD827,58),0)</f>
        <v/>
      </c>
      <c r="BI827">
        <f>IFERROR(INDEX(PP_Grid[#Data],$DD827,59),0)</f>
        <v/>
      </c>
      <c r="BJ827">
        <f>IFERROR(INDEX(PP_Grid[#Data],$DD827,60),0)</f>
        <v/>
      </c>
      <c r="BK827">
        <f>IFERROR(INDEX(PP_Grid[#Data],$DD827,61),0)</f>
        <v/>
      </c>
      <c r="BL827">
        <f>IFERROR(INDEX(PP_Grid[#Data],$DD827,62),0)</f>
        <v/>
      </c>
      <c r="BM827">
        <f>IFERROR(INDEX(PP_Grid[#Data],$DD827,63),0)</f>
        <v/>
      </c>
      <c r="BN827">
        <f>IFERROR(INDEX(PP_Grid[#Data],$DD827,64),0)</f>
        <v/>
      </c>
      <c r="BO827">
        <f>IFERROR(INDEX(PP_Grid[#Data],$DD827,65),0)</f>
        <v/>
      </c>
      <c r="BP827">
        <f>IFERROR(INDEX(PP_Grid[#Data],$DD827,66),0)</f>
        <v/>
      </c>
      <c r="BQ827">
        <f>IFERROR(INDEX(PP_Grid[#Data],$DD827,67),0)</f>
        <v/>
      </c>
      <c r="BR827">
        <f>IFERROR(INDEX(PP_Grid[#Data],$DD827,68),0)</f>
        <v/>
      </c>
      <c r="BS827">
        <f>IFERROR(INDEX(PP_Grid[#Data],$DD827,69),0)</f>
        <v/>
      </c>
      <c r="BT827">
        <f>IFERROR(INDEX(PP_Grid[#Data],$DD827,70),0)</f>
        <v/>
      </c>
      <c r="BU827">
        <f>IFERROR(INDEX(PP_Grid[#Data],$DD827,71),0)</f>
        <v/>
      </c>
      <c r="BV827">
        <f>IFERROR(INDEX(PP_Grid[#Data],$DD827,72),0)</f>
        <v/>
      </c>
      <c r="BW827">
        <f>IFERROR(INDEX(PP_Grid[#Data],$DD827,73),0)</f>
        <v/>
      </c>
      <c r="BX827">
        <f>IFERROR(INDEX(PP_Grid[#Data],$DD827,74),0)</f>
        <v/>
      </c>
      <c r="BY827">
        <f>IFERROR(INDEX(PP_Grid[#Data],$DD827,75),0)</f>
        <v/>
      </c>
      <c r="BZ827">
        <f>IFERROR(INDEX(PP_Grid[#Data],$DD827,76),0)</f>
        <v/>
      </c>
      <c r="CA827">
        <f>IFERROR(INDEX(PP_Grid[#Data],$DD827,77),0)</f>
        <v/>
      </c>
      <c r="CB827">
        <f>IFERROR(INDEX(PP_Grid[#Data],$DD827,78),0)</f>
        <v/>
      </c>
      <c r="CC827">
        <f>IFERROR(INDEX(PP_Grid[#Data],$DD827,79),0)</f>
        <v/>
      </c>
      <c r="CD827">
        <f>IFERROR(INDEX(PP_Grid[#Data],$DD827,80),0)</f>
        <v/>
      </c>
      <c r="CE827">
        <f>IFERROR(INDEX(PP_Grid[#Data],$DD827,81),0)</f>
        <v/>
      </c>
      <c r="CF827">
        <f>IFERROR(INDEX(PP_Grid[#Data],$DD827,82),0)</f>
        <v/>
      </c>
      <c r="CG827">
        <f>IFERROR(INDEX(PP_Grid[#Data],$DD827,83),0)</f>
        <v/>
      </c>
      <c r="CH827">
        <f>IFERROR(INDEX(PP_Grid[#Data],$DD827,84),0)</f>
        <v/>
      </c>
      <c r="CI827">
        <f>IFERROR(INDEX(PP_Grid[#Data],$DD827,85),0)</f>
        <v/>
      </c>
      <c r="CJ827">
        <f>IFERROR(INDEX(PP_Grid[#Data],$DD827,86),0)</f>
        <v/>
      </c>
      <c r="CK827">
        <f>IFERROR(INDEX(PP_Grid[#Data],$DD827,87),0)</f>
        <v/>
      </c>
      <c r="CL827">
        <f>IFERROR(INDEX(PP_Grid[#Data],$DD827,88),0)</f>
        <v/>
      </c>
      <c r="CM827">
        <f>IFERROR(INDEX(PP_Grid[#Data],$DD827,89),0)</f>
        <v/>
      </c>
      <c r="CN827">
        <f>IFERROR(INDEX(PP_Grid[#Data],$DD827,90),0)</f>
        <v/>
      </c>
      <c r="CO827">
        <f>IFERROR(INDEX(PP_Grid[#Data],$DD827,91),0)</f>
        <v/>
      </c>
      <c r="CP827">
        <f>IFERROR(INDEX(PP_Grid[#Data],$DD827,92),0)</f>
        <v/>
      </c>
      <c r="CQ827">
        <f>IFERROR(INDEX(PP_Grid[#Data],$DD827,93),0)</f>
        <v/>
      </c>
      <c r="CR827">
        <f>IFERROR(INDEX(PP_Grid[#Data],$DD827,94),0)</f>
        <v/>
      </c>
      <c r="CS827">
        <f>IFERROR(INDEX(PP_Grid[#Data],$DD827,95),0)</f>
        <v/>
      </c>
      <c r="CT827">
        <f>IFERROR(INDEX(PP_Grid[#Data],$DD827,96),0)</f>
        <v/>
      </c>
      <c r="CU827">
        <f>IFERROR(INDEX(PP_Grid[#Data],$DD827,97),0)</f>
        <v/>
      </c>
      <c r="CV827">
        <f>IFERROR(INDEX(PP_Grid[#Data],$DD827,98),0)</f>
        <v/>
      </c>
      <c r="CW827">
        <f>IFERROR(INDEX(PP_Grid[#Data],$DD827,99),0)</f>
        <v/>
      </c>
      <c r="CX827">
        <f>IFERROR(INDEX(PP_Grid[#Data],$DD827,100),0)</f>
        <v/>
      </c>
      <c r="CY827">
        <f>IFERROR(INDEX(PP_Grid[#Data],$DD827,101),0)</f>
        <v/>
      </c>
      <c r="CZ827">
        <f>IFERROR(INDEX(PP_Grid[#Data],$DD827,102),0)</f>
        <v/>
      </c>
      <c r="DA827">
        <f>IFERROR(INDEX(PP_Grid[#Data],$DD827,103),0)</f>
        <v/>
      </c>
      <c r="DB827">
        <f>IFERROR(INDEX(PP_Grid[#Data],$DD827,104),0)</f>
        <v/>
      </c>
      <c r="DC827">
        <f>IFERROR(INDEX(PP_Grid[#Data],$DD827,105),0)</f>
        <v/>
      </c>
      <c r="DD827" s="12">
        <f>IFERROR(MATCH($B827,PP_Grid[Intermediate],0),99999)</f>
        <v/>
      </c>
    </row>
    <row r="828">
      <c r="B828" t="inlineStr">
        <is>
          <t>使用量(kg)</t>
        </is>
      </c>
      <c r="C828">
        <f>SUMIFS(M_BOM[RM_Qty_Per_Batch],M_BOM[Intermediate],$B827,M_BOM[Part Name],$A812)</f>
        <v/>
      </c>
      <c r="D828">
        <f>$C828*D827</f>
        <v/>
      </c>
      <c r="E828">
        <f>$C828*E827</f>
        <v/>
      </c>
      <c r="F828">
        <f>$C828*F827</f>
        <v/>
      </c>
      <c r="G828">
        <f>$C828*G827</f>
        <v/>
      </c>
      <c r="H828">
        <f>$C828*H827</f>
        <v/>
      </c>
      <c r="I828">
        <f>$C828*I827</f>
        <v/>
      </c>
      <c r="J828">
        <f>$C828*J827</f>
        <v/>
      </c>
      <c r="K828">
        <f>$C828*K827</f>
        <v/>
      </c>
      <c r="L828">
        <f>$C828*L827</f>
        <v/>
      </c>
      <c r="M828">
        <f>$C828*M827</f>
        <v/>
      </c>
      <c r="N828">
        <f>$C828*N827</f>
        <v/>
      </c>
      <c r="O828">
        <f>$C828*O827</f>
        <v/>
      </c>
      <c r="P828">
        <f>$C828*P827</f>
        <v/>
      </c>
      <c r="Q828">
        <f>$C828*Q827</f>
        <v/>
      </c>
      <c r="R828">
        <f>$C828*R827</f>
        <v/>
      </c>
      <c r="S828">
        <f>$C828*S827</f>
        <v/>
      </c>
      <c r="T828">
        <f>$C828*T827</f>
        <v/>
      </c>
      <c r="U828">
        <f>$C828*U827</f>
        <v/>
      </c>
      <c r="V828">
        <f>$C828*V827</f>
        <v/>
      </c>
      <c r="W828">
        <f>$C828*W827</f>
        <v/>
      </c>
      <c r="X828">
        <f>$C828*X827</f>
        <v/>
      </c>
      <c r="Y828">
        <f>$C828*Y827</f>
        <v/>
      </c>
      <c r="Z828">
        <f>$C828*Z827</f>
        <v/>
      </c>
      <c r="AA828">
        <f>$C828*AA827</f>
        <v/>
      </c>
      <c r="AB828">
        <f>$C828*AB827</f>
        <v/>
      </c>
      <c r="AC828">
        <f>$C828*AC827</f>
        <v/>
      </c>
      <c r="AD828">
        <f>$C828*AD827</f>
        <v/>
      </c>
      <c r="AE828">
        <f>$C828*AE827</f>
        <v/>
      </c>
      <c r="AF828">
        <f>$C828*AF827</f>
        <v/>
      </c>
      <c r="AG828">
        <f>$C828*AG827</f>
        <v/>
      </c>
      <c r="AH828">
        <f>$C828*AH827</f>
        <v/>
      </c>
      <c r="AI828">
        <f>$C828*AI827</f>
        <v/>
      </c>
      <c r="AJ828">
        <f>$C828*AJ827</f>
        <v/>
      </c>
      <c r="AK828">
        <f>$C828*AK827</f>
        <v/>
      </c>
      <c r="AL828">
        <f>$C828*AL827</f>
        <v/>
      </c>
      <c r="AM828">
        <f>$C828*AM827</f>
        <v/>
      </c>
      <c r="AN828">
        <f>$C828*AN827</f>
        <v/>
      </c>
      <c r="AO828">
        <f>$C828*AO827</f>
        <v/>
      </c>
      <c r="AP828">
        <f>$C828*AP827</f>
        <v/>
      </c>
      <c r="AQ828">
        <f>$C828*AQ827</f>
        <v/>
      </c>
      <c r="AR828">
        <f>$C828*AR827</f>
        <v/>
      </c>
      <c r="AS828">
        <f>$C828*AS827</f>
        <v/>
      </c>
      <c r="AT828">
        <f>$C828*AT827</f>
        <v/>
      </c>
      <c r="AU828">
        <f>$C828*AU827</f>
        <v/>
      </c>
      <c r="AV828">
        <f>$C828*AV827</f>
        <v/>
      </c>
      <c r="AW828">
        <f>$C828*AW827</f>
        <v/>
      </c>
      <c r="AX828">
        <f>$C828*AX827</f>
        <v/>
      </c>
      <c r="AY828">
        <f>$C828*AY827</f>
        <v/>
      </c>
      <c r="AZ828">
        <f>$C828*AZ827</f>
        <v/>
      </c>
      <c r="BA828">
        <f>$C828*BA827</f>
        <v/>
      </c>
      <c r="BB828">
        <f>$C828*BB827</f>
        <v/>
      </c>
      <c r="BC828">
        <f>$C828*BC827</f>
        <v/>
      </c>
      <c r="BD828">
        <f>$C828*BD827</f>
        <v/>
      </c>
      <c r="BE828">
        <f>$C828*BE827</f>
        <v/>
      </c>
      <c r="BF828">
        <f>$C828*BF827</f>
        <v/>
      </c>
      <c r="BG828">
        <f>$C828*BG827</f>
        <v/>
      </c>
      <c r="BH828">
        <f>$C828*BH827</f>
        <v/>
      </c>
      <c r="BI828">
        <f>$C828*BI827</f>
        <v/>
      </c>
      <c r="BJ828">
        <f>$C828*BJ827</f>
        <v/>
      </c>
      <c r="BK828">
        <f>$C828*BK827</f>
        <v/>
      </c>
      <c r="BL828">
        <f>$C828*BL827</f>
        <v/>
      </c>
      <c r="BM828">
        <f>$C828*BM827</f>
        <v/>
      </c>
      <c r="BN828">
        <f>$C828*BN827</f>
        <v/>
      </c>
      <c r="BO828">
        <f>$C828*BO827</f>
        <v/>
      </c>
      <c r="BP828">
        <f>$C828*BP827</f>
        <v/>
      </c>
      <c r="BQ828">
        <f>$C828*BQ827</f>
        <v/>
      </c>
      <c r="BR828">
        <f>$C828*BR827</f>
        <v/>
      </c>
      <c r="BS828">
        <f>$C828*BS827</f>
        <v/>
      </c>
      <c r="BT828">
        <f>$C828*BT827</f>
        <v/>
      </c>
      <c r="BU828">
        <f>$C828*BU827</f>
        <v/>
      </c>
      <c r="BV828">
        <f>$C828*BV827</f>
        <v/>
      </c>
      <c r="BW828">
        <f>$C828*BW827</f>
        <v/>
      </c>
      <c r="BX828">
        <f>$C828*BX827</f>
        <v/>
      </c>
      <c r="BY828">
        <f>$C828*BY827</f>
        <v/>
      </c>
      <c r="BZ828">
        <f>$C828*BZ827</f>
        <v/>
      </c>
      <c r="CA828">
        <f>$C828*CA827</f>
        <v/>
      </c>
      <c r="CB828">
        <f>$C828*CB827</f>
        <v/>
      </c>
      <c r="CC828">
        <f>$C828*CC827</f>
        <v/>
      </c>
      <c r="CD828">
        <f>$C828*CD827</f>
        <v/>
      </c>
      <c r="CE828">
        <f>$C828*CE827</f>
        <v/>
      </c>
      <c r="CF828">
        <f>$C828*CF827</f>
        <v/>
      </c>
      <c r="CG828">
        <f>$C828*CG827</f>
        <v/>
      </c>
      <c r="CH828">
        <f>$C828*CH827</f>
        <v/>
      </c>
      <c r="CI828">
        <f>$C828*CI827</f>
        <v/>
      </c>
      <c r="CJ828">
        <f>$C828*CJ827</f>
        <v/>
      </c>
      <c r="CK828">
        <f>$C828*CK827</f>
        <v/>
      </c>
      <c r="CL828">
        <f>$C828*CL827</f>
        <v/>
      </c>
      <c r="CM828">
        <f>$C828*CM827</f>
        <v/>
      </c>
      <c r="CN828">
        <f>$C828*CN827</f>
        <v/>
      </c>
      <c r="CO828">
        <f>$C828*CO827</f>
        <v/>
      </c>
      <c r="CP828">
        <f>$C828*CP827</f>
        <v/>
      </c>
      <c r="CQ828">
        <f>$C828*CQ827</f>
        <v/>
      </c>
      <c r="CR828">
        <f>$C828*CR827</f>
        <v/>
      </c>
      <c r="CS828">
        <f>$C828*CS827</f>
        <v/>
      </c>
      <c r="CT828">
        <f>$C828*CT827</f>
        <v/>
      </c>
      <c r="CU828">
        <f>$C828*CU827</f>
        <v/>
      </c>
      <c r="CV828">
        <f>$C828*CV827</f>
        <v/>
      </c>
      <c r="CW828">
        <f>$C828*CW827</f>
        <v/>
      </c>
      <c r="CX828">
        <f>$C828*CX827</f>
        <v/>
      </c>
      <c r="CY828">
        <f>$C828*CY827</f>
        <v/>
      </c>
      <c r="CZ828">
        <f>$C828*CZ827</f>
        <v/>
      </c>
      <c r="DA828">
        <f>$C828*DA827</f>
        <v/>
      </c>
      <c r="DB828">
        <f>$C828*DB827</f>
        <v/>
      </c>
      <c r="DC828">
        <f>$C828*DC827</f>
        <v/>
      </c>
    </row>
    <row r="829">
      <c r="B829" t="inlineStr">
        <is>
          <t>TSP-656</t>
        </is>
      </c>
      <c r="C829" t="inlineStr">
        <is>
          <t>No. of batches</t>
        </is>
      </c>
      <c r="D829">
        <f>IFERROR(INDEX(PP_Grid[#Data],$DD829,2),0)</f>
        <v/>
      </c>
      <c r="E829">
        <f>IFERROR(INDEX(PP_Grid[#Data],$DD829,3),0)</f>
        <v/>
      </c>
      <c r="F829">
        <f>IFERROR(INDEX(PP_Grid[#Data],$DD829,4),0)</f>
        <v/>
      </c>
      <c r="G829">
        <f>IFERROR(INDEX(PP_Grid[#Data],$DD829,5),0)</f>
        <v/>
      </c>
      <c r="H829">
        <f>IFERROR(INDEX(PP_Grid[#Data],$DD829,6),0)</f>
        <v/>
      </c>
      <c r="I829">
        <f>IFERROR(INDEX(PP_Grid[#Data],$DD829,7),0)</f>
        <v/>
      </c>
      <c r="J829">
        <f>IFERROR(INDEX(PP_Grid[#Data],$DD829,8),0)</f>
        <v/>
      </c>
      <c r="K829">
        <f>IFERROR(INDEX(PP_Grid[#Data],$DD829,9),0)</f>
        <v/>
      </c>
      <c r="L829">
        <f>IFERROR(INDEX(PP_Grid[#Data],$DD829,10),0)</f>
        <v/>
      </c>
      <c r="M829">
        <f>IFERROR(INDEX(PP_Grid[#Data],$DD829,11),0)</f>
        <v/>
      </c>
      <c r="N829">
        <f>IFERROR(INDEX(PP_Grid[#Data],$DD829,12),0)</f>
        <v/>
      </c>
      <c r="O829">
        <f>IFERROR(INDEX(PP_Grid[#Data],$DD829,13),0)</f>
        <v/>
      </c>
      <c r="P829">
        <f>IFERROR(INDEX(PP_Grid[#Data],$DD829,14),0)</f>
        <v/>
      </c>
      <c r="Q829">
        <f>IFERROR(INDEX(PP_Grid[#Data],$DD829,15),0)</f>
        <v/>
      </c>
      <c r="R829">
        <f>IFERROR(INDEX(PP_Grid[#Data],$DD829,16),0)</f>
        <v/>
      </c>
      <c r="S829">
        <f>IFERROR(INDEX(PP_Grid[#Data],$DD829,17),0)</f>
        <v/>
      </c>
      <c r="T829">
        <f>IFERROR(INDEX(PP_Grid[#Data],$DD829,18),0)</f>
        <v/>
      </c>
      <c r="U829">
        <f>IFERROR(INDEX(PP_Grid[#Data],$DD829,19),0)</f>
        <v/>
      </c>
      <c r="V829">
        <f>IFERROR(INDEX(PP_Grid[#Data],$DD829,20),0)</f>
        <v/>
      </c>
      <c r="W829">
        <f>IFERROR(INDEX(PP_Grid[#Data],$DD829,21),0)</f>
        <v/>
      </c>
      <c r="X829">
        <f>IFERROR(INDEX(PP_Grid[#Data],$DD829,22),0)</f>
        <v/>
      </c>
      <c r="Y829">
        <f>IFERROR(INDEX(PP_Grid[#Data],$DD829,23),0)</f>
        <v/>
      </c>
      <c r="Z829">
        <f>IFERROR(INDEX(PP_Grid[#Data],$DD829,24),0)</f>
        <v/>
      </c>
      <c r="AA829">
        <f>IFERROR(INDEX(PP_Grid[#Data],$DD829,25),0)</f>
        <v/>
      </c>
      <c r="AB829">
        <f>IFERROR(INDEX(PP_Grid[#Data],$DD829,26),0)</f>
        <v/>
      </c>
      <c r="AC829">
        <f>IFERROR(INDEX(PP_Grid[#Data],$DD829,27),0)</f>
        <v/>
      </c>
      <c r="AD829">
        <f>IFERROR(INDEX(PP_Grid[#Data],$DD829,28),0)</f>
        <v/>
      </c>
      <c r="AE829">
        <f>IFERROR(INDEX(PP_Grid[#Data],$DD829,29),0)</f>
        <v/>
      </c>
      <c r="AF829">
        <f>IFERROR(INDEX(PP_Grid[#Data],$DD829,30),0)</f>
        <v/>
      </c>
      <c r="AG829">
        <f>IFERROR(INDEX(PP_Grid[#Data],$DD829,31),0)</f>
        <v/>
      </c>
      <c r="AH829">
        <f>IFERROR(INDEX(PP_Grid[#Data],$DD829,32),0)</f>
        <v/>
      </c>
      <c r="AI829">
        <f>IFERROR(INDEX(PP_Grid[#Data],$DD829,33),0)</f>
        <v/>
      </c>
      <c r="AJ829">
        <f>IFERROR(INDEX(PP_Grid[#Data],$DD829,34),0)</f>
        <v/>
      </c>
      <c r="AK829">
        <f>IFERROR(INDEX(PP_Grid[#Data],$DD829,35),0)</f>
        <v/>
      </c>
      <c r="AL829">
        <f>IFERROR(INDEX(PP_Grid[#Data],$DD829,36),0)</f>
        <v/>
      </c>
      <c r="AM829">
        <f>IFERROR(INDEX(PP_Grid[#Data],$DD829,37),0)</f>
        <v/>
      </c>
      <c r="AN829">
        <f>IFERROR(INDEX(PP_Grid[#Data],$DD829,38),0)</f>
        <v/>
      </c>
      <c r="AO829">
        <f>IFERROR(INDEX(PP_Grid[#Data],$DD829,39),0)</f>
        <v/>
      </c>
      <c r="AP829">
        <f>IFERROR(INDEX(PP_Grid[#Data],$DD829,40),0)</f>
        <v/>
      </c>
      <c r="AQ829">
        <f>IFERROR(INDEX(PP_Grid[#Data],$DD829,41),0)</f>
        <v/>
      </c>
      <c r="AR829">
        <f>IFERROR(INDEX(PP_Grid[#Data],$DD829,42),0)</f>
        <v/>
      </c>
      <c r="AS829">
        <f>IFERROR(INDEX(PP_Grid[#Data],$DD829,43),0)</f>
        <v/>
      </c>
      <c r="AT829">
        <f>IFERROR(INDEX(PP_Grid[#Data],$DD829,44),0)</f>
        <v/>
      </c>
      <c r="AU829">
        <f>IFERROR(INDEX(PP_Grid[#Data],$DD829,45),0)</f>
        <v/>
      </c>
      <c r="AV829">
        <f>IFERROR(INDEX(PP_Grid[#Data],$DD829,46),0)</f>
        <v/>
      </c>
      <c r="AW829">
        <f>IFERROR(INDEX(PP_Grid[#Data],$DD829,47),0)</f>
        <v/>
      </c>
      <c r="AX829">
        <f>IFERROR(INDEX(PP_Grid[#Data],$DD829,48),0)</f>
        <v/>
      </c>
      <c r="AY829">
        <f>IFERROR(INDEX(PP_Grid[#Data],$DD829,49),0)</f>
        <v/>
      </c>
      <c r="AZ829">
        <f>IFERROR(INDEX(PP_Grid[#Data],$DD829,50),0)</f>
        <v/>
      </c>
      <c r="BA829">
        <f>IFERROR(INDEX(PP_Grid[#Data],$DD829,51),0)</f>
        <v/>
      </c>
      <c r="BB829">
        <f>IFERROR(INDEX(PP_Grid[#Data],$DD829,52),0)</f>
        <v/>
      </c>
      <c r="BC829">
        <f>IFERROR(INDEX(PP_Grid[#Data],$DD829,53),0)</f>
        <v/>
      </c>
      <c r="BD829">
        <f>IFERROR(INDEX(PP_Grid[#Data],$DD829,54),0)</f>
        <v/>
      </c>
      <c r="BE829">
        <f>IFERROR(INDEX(PP_Grid[#Data],$DD829,55),0)</f>
        <v/>
      </c>
      <c r="BF829">
        <f>IFERROR(INDEX(PP_Grid[#Data],$DD829,56),0)</f>
        <v/>
      </c>
      <c r="BG829">
        <f>IFERROR(INDEX(PP_Grid[#Data],$DD829,57),0)</f>
        <v/>
      </c>
      <c r="BH829">
        <f>IFERROR(INDEX(PP_Grid[#Data],$DD829,58),0)</f>
        <v/>
      </c>
      <c r="BI829">
        <f>IFERROR(INDEX(PP_Grid[#Data],$DD829,59),0)</f>
        <v/>
      </c>
      <c r="BJ829">
        <f>IFERROR(INDEX(PP_Grid[#Data],$DD829,60),0)</f>
        <v/>
      </c>
      <c r="BK829">
        <f>IFERROR(INDEX(PP_Grid[#Data],$DD829,61),0)</f>
        <v/>
      </c>
      <c r="BL829">
        <f>IFERROR(INDEX(PP_Grid[#Data],$DD829,62),0)</f>
        <v/>
      </c>
      <c r="BM829">
        <f>IFERROR(INDEX(PP_Grid[#Data],$DD829,63),0)</f>
        <v/>
      </c>
      <c r="BN829">
        <f>IFERROR(INDEX(PP_Grid[#Data],$DD829,64),0)</f>
        <v/>
      </c>
      <c r="BO829">
        <f>IFERROR(INDEX(PP_Grid[#Data],$DD829,65),0)</f>
        <v/>
      </c>
      <c r="BP829">
        <f>IFERROR(INDEX(PP_Grid[#Data],$DD829,66),0)</f>
        <v/>
      </c>
      <c r="BQ829">
        <f>IFERROR(INDEX(PP_Grid[#Data],$DD829,67),0)</f>
        <v/>
      </c>
      <c r="BR829">
        <f>IFERROR(INDEX(PP_Grid[#Data],$DD829,68),0)</f>
        <v/>
      </c>
      <c r="BS829">
        <f>IFERROR(INDEX(PP_Grid[#Data],$DD829,69),0)</f>
        <v/>
      </c>
      <c r="BT829">
        <f>IFERROR(INDEX(PP_Grid[#Data],$DD829,70),0)</f>
        <v/>
      </c>
      <c r="BU829">
        <f>IFERROR(INDEX(PP_Grid[#Data],$DD829,71),0)</f>
        <v/>
      </c>
      <c r="BV829">
        <f>IFERROR(INDEX(PP_Grid[#Data],$DD829,72),0)</f>
        <v/>
      </c>
      <c r="BW829">
        <f>IFERROR(INDEX(PP_Grid[#Data],$DD829,73),0)</f>
        <v/>
      </c>
      <c r="BX829">
        <f>IFERROR(INDEX(PP_Grid[#Data],$DD829,74),0)</f>
        <v/>
      </c>
      <c r="BY829">
        <f>IFERROR(INDEX(PP_Grid[#Data],$DD829,75),0)</f>
        <v/>
      </c>
      <c r="BZ829">
        <f>IFERROR(INDEX(PP_Grid[#Data],$DD829,76),0)</f>
        <v/>
      </c>
      <c r="CA829">
        <f>IFERROR(INDEX(PP_Grid[#Data],$DD829,77),0)</f>
        <v/>
      </c>
      <c r="CB829">
        <f>IFERROR(INDEX(PP_Grid[#Data],$DD829,78),0)</f>
        <v/>
      </c>
      <c r="CC829">
        <f>IFERROR(INDEX(PP_Grid[#Data],$DD829,79),0)</f>
        <v/>
      </c>
      <c r="CD829">
        <f>IFERROR(INDEX(PP_Grid[#Data],$DD829,80),0)</f>
        <v/>
      </c>
      <c r="CE829">
        <f>IFERROR(INDEX(PP_Grid[#Data],$DD829,81),0)</f>
        <v/>
      </c>
      <c r="CF829">
        <f>IFERROR(INDEX(PP_Grid[#Data],$DD829,82),0)</f>
        <v/>
      </c>
      <c r="CG829">
        <f>IFERROR(INDEX(PP_Grid[#Data],$DD829,83),0)</f>
        <v/>
      </c>
      <c r="CH829">
        <f>IFERROR(INDEX(PP_Grid[#Data],$DD829,84),0)</f>
        <v/>
      </c>
      <c r="CI829">
        <f>IFERROR(INDEX(PP_Grid[#Data],$DD829,85),0)</f>
        <v/>
      </c>
      <c r="CJ829">
        <f>IFERROR(INDEX(PP_Grid[#Data],$DD829,86),0)</f>
        <v/>
      </c>
      <c r="CK829">
        <f>IFERROR(INDEX(PP_Grid[#Data],$DD829,87),0)</f>
        <v/>
      </c>
      <c r="CL829">
        <f>IFERROR(INDEX(PP_Grid[#Data],$DD829,88),0)</f>
        <v/>
      </c>
      <c r="CM829">
        <f>IFERROR(INDEX(PP_Grid[#Data],$DD829,89),0)</f>
        <v/>
      </c>
      <c r="CN829">
        <f>IFERROR(INDEX(PP_Grid[#Data],$DD829,90),0)</f>
        <v/>
      </c>
      <c r="CO829">
        <f>IFERROR(INDEX(PP_Grid[#Data],$DD829,91),0)</f>
        <v/>
      </c>
      <c r="CP829">
        <f>IFERROR(INDEX(PP_Grid[#Data],$DD829,92),0)</f>
        <v/>
      </c>
      <c r="CQ829">
        <f>IFERROR(INDEX(PP_Grid[#Data],$DD829,93),0)</f>
        <v/>
      </c>
      <c r="CR829">
        <f>IFERROR(INDEX(PP_Grid[#Data],$DD829,94),0)</f>
        <v/>
      </c>
      <c r="CS829">
        <f>IFERROR(INDEX(PP_Grid[#Data],$DD829,95),0)</f>
        <v/>
      </c>
      <c r="CT829">
        <f>IFERROR(INDEX(PP_Grid[#Data],$DD829,96),0)</f>
        <v/>
      </c>
      <c r="CU829">
        <f>IFERROR(INDEX(PP_Grid[#Data],$DD829,97),0)</f>
        <v/>
      </c>
      <c r="CV829">
        <f>IFERROR(INDEX(PP_Grid[#Data],$DD829,98),0)</f>
        <v/>
      </c>
      <c r="CW829">
        <f>IFERROR(INDEX(PP_Grid[#Data],$DD829,99),0)</f>
        <v/>
      </c>
      <c r="CX829">
        <f>IFERROR(INDEX(PP_Grid[#Data],$DD829,100),0)</f>
        <v/>
      </c>
      <c r="CY829">
        <f>IFERROR(INDEX(PP_Grid[#Data],$DD829,101),0)</f>
        <v/>
      </c>
      <c r="CZ829">
        <f>IFERROR(INDEX(PP_Grid[#Data],$DD829,102),0)</f>
        <v/>
      </c>
      <c r="DA829">
        <f>IFERROR(INDEX(PP_Grid[#Data],$DD829,103),0)</f>
        <v/>
      </c>
      <c r="DB829">
        <f>IFERROR(INDEX(PP_Grid[#Data],$DD829,104),0)</f>
        <v/>
      </c>
      <c r="DC829">
        <f>IFERROR(INDEX(PP_Grid[#Data],$DD829,105),0)</f>
        <v/>
      </c>
      <c r="DD829" s="12">
        <f>IFERROR(MATCH($B829,PP_Grid[Intermediate],0),99999)</f>
        <v/>
      </c>
    </row>
    <row r="830">
      <c r="B830" t="inlineStr">
        <is>
          <t>使用量(kg)</t>
        </is>
      </c>
      <c r="C830">
        <f>SUMIFS(M_BOM[RM_Qty_Per_Batch],M_BOM[Intermediate],$B829,M_BOM[Part Name],$A812)</f>
        <v/>
      </c>
      <c r="D830">
        <f>$C830*D829</f>
        <v/>
      </c>
      <c r="E830">
        <f>$C830*E829</f>
        <v/>
      </c>
      <c r="F830">
        <f>$C830*F829</f>
        <v/>
      </c>
      <c r="G830">
        <f>$C830*G829</f>
        <v/>
      </c>
      <c r="H830">
        <f>$C830*H829</f>
        <v/>
      </c>
      <c r="I830">
        <f>$C830*I829</f>
        <v/>
      </c>
      <c r="J830">
        <f>$C830*J829</f>
        <v/>
      </c>
      <c r="K830">
        <f>$C830*K829</f>
        <v/>
      </c>
      <c r="L830">
        <f>$C830*L829</f>
        <v/>
      </c>
      <c r="M830">
        <f>$C830*M829</f>
        <v/>
      </c>
      <c r="N830">
        <f>$C830*N829</f>
        <v/>
      </c>
      <c r="O830">
        <f>$C830*O829</f>
        <v/>
      </c>
      <c r="P830">
        <f>$C830*P829</f>
        <v/>
      </c>
      <c r="Q830">
        <f>$C830*Q829</f>
        <v/>
      </c>
      <c r="R830">
        <f>$C830*R829</f>
        <v/>
      </c>
      <c r="S830">
        <f>$C830*S829</f>
        <v/>
      </c>
      <c r="T830">
        <f>$C830*T829</f>
        <v/>
      </c>
      <c r="U830">
        <f>$C830*U829</f>
        <v/>
      </c>
      <c r="V830">
        <f>$C830*V829</f>
        <v/>
      </c>
      <c r="W830">
        <f>$C830*W829</f>
        <v/>
      </c>
      <c r="X830">
        <f>$C830*X829</f>
        <v/>
      </c>
      <c r="Y830">
        <f>$C830*Y829</f>
        <v/>
      </c>
      <c r="Z830">
        <f>$C830*Z829</f>
        <v/>
      </c>
      <c r="AA830">
        <f>$C830*AA829</f>
        <v/>
      </c>
      <c r="AB830">
        <f>$C830*AB829</f>
        <v/>
      </c>
      <c r="AC830">
        <f>$C830*AC829</f>
        <v/>
      </c>
      <c r="AD830">
        <f>$C830*AD829</f>
        <v/>
      </c>
      <c r="AE830">
        <f>$C830*AE829</f>
        <v/>
      </c>
      <c r="AF830">
        <f>$C830*AF829</f>
        <v/>
      </c>
      <c r="AG830">
        <f>$C830*AG829</f>
        <v/>
      </c>
      <c r="AH830">
        <f>$C830*AH829</f>
        <v/>
      </c>
      <c r="AI830">
        <f>$C830*AI829</f>
        <v/>
      </c>
      <c r="AJ830">
        <f>$C830*AJ829</f>
        <v/>
      </c>
      <c r="AK830">
        <f>$C830*AK829</f>
        <v/>
      </c>
      <c r="AL830">
        <f>$C830*AL829</f>
        <v/>
      </c>
      <c r="AM830">
        <f>$C830*AM829</f>
        <v/>
      </c>
      <c r="AN830">
        <f>$C830*AN829</f>
        <v/>
      </c>
      <c r="AO830">
        <f>$C830*AO829</f>
        <v/>
      </c>
      <c r="AP830">
        <f>$C830*AP829</f>
        <v/>
      </c>
      <c r="AQ830">
        <f>$C830*AQ829</f>
        <v/>
      </c>
      <c r="AR830">
        <f>$C830*AR829</f>
        <v/>
      </c>
      <c r="AS830">
        <f>$C830*AS829</f>
        <v/>
      </c>
      <c r="AT830">
        <f>$C830*AT829</f>
        <v/>
      </c>
      <c r="AU830">
        <f>$C830*AU829</f>
        <v/>
      </c>
      <c r="AV830">
        <f>$C830*AV829</f>
        <v/>
      </c>
      <c r="AW830">
        <f>$C830*AW829</f>
        <v/>
      </c>
      <c r="AX830">
        <f>$C830*AX829</f>
        <v/>
      </c>
      <c r="AY830">
        <f>$C830*AY829</f>
        <v/>
      </c>
      <c r="AZ830">
        <f>$C830*AZ829</f>
        <v/>
      </c>
      <c r="BA830">
        <f>$C830*BA829</f>
        <v/>
      </c>
      <c r="BB830">
        <f>$C830*BB829</f>
        <v/>
      </c>
      <c r="BC830">
        <f>$C830*BC829</f>
        <v/>
      </c>
      <c r="BD830">
        <f>$C830*BD829</f>
        <v/>
      </c>
      <c r="BE830">
        <f>$C830*BE829</f>
        <v/>
      </c>
      <c r="BF830">
        <f>$C830*BF829</f>
        <v/>
      </c>
      <c r="BG830">
        <f>$C830*BG829</f>
        <v/>
      </c>
      <c r="BH830">
        <f>$C830*BH829</f>
        <v/>
      </c>
      <c r="BI830">
        <f>$C830*BI829</f>
        <v/>
      </c>
      <c r="BJ830">
        <f>$C830*BJ829</f>
        <v/>
      </c>
      <c r="BK830">
        <f>$C830*BK829</f>
        <v/>
      </c>
      <c r="BL830">
        <f>$C830*BL829</f>
        <v/>
      </c>
      <c r="BM830">
        <f>$C830*BM829</f>
        <v/>
      </c>
      <c r="BN830">
        <f>$C830*BN829</f>
        <v/>
      </c>
      <c r="BO830">
        <f>$C830*BO829</f>
        <v/>
      </c>
      <c r="BP830">
        <f>$C830*BP829</f>
        <v/>
      </c>
      <c r="BQ830">
        <f>$C830*BQ829</f>
        <v/>
      </c>
      <c r="BR830">
        <f>$C830*BR829</f>
        <v/>
      </c>
      <c r="BS830">
        <f>$C830*BS829</f>
        <v/>
      </c>
      <c r="BT830">
        <f>$C830*BT829</f>
        <v/>
      </c>
      <c r="BU830">
        <f>$C830*BU829</f>
        <v/>
      </c>
      <c r="BV830">
        <f>$C830*BV829</f>
        <v/>
      </c>
      <c r="BW830">
        <f>$C830*BW829</f>
        <v/>
      </c>
      <c r="BX830">
        <f>$C830*BX829</f>
        <v/>
      </c>
      <c r="BY830">
        <f>$C830*BY829</f>
        <v/>
      </c>
      <c r="BZ830">
        <f>$C830*BZ829</f>
        <v/>
      </c>
      <c r="CA830">
        <f>$C830*CA829</f>
        <v/>
      </c>
      <c r="CB830">
        <f>$C830*CB829</f>
        <v/>
      </c>
      <c r="CC830">
        <f>$C830*CC829</f>
        <v/>
      </c>
      <c r="CD830">
        <f>$C830*CD829</f>
        <v/>
      </c>
      <c r="CE830">
        <f>$C830*CE829</f>
        <v/>
      </c>
      <c r="CF830">
        <f>$C830*CF829</f>
        <v/>
      </c>
      <c r="CG830">
        <f>$C830*CG829</f>
        <v/>
      </c>
      <c r="CH830">
        <f>$C830*CH829</f>
        <v/>
      </c>
      <c r="CI830">
        <f>$C830*CI829</f>
        <v/>
      </c>
      <c r="CJ830">
        <f>$C830*CJ829</f>
        <v/>
      </c>
      <c r="CK830">
        <f>$C830*CK829</f>
        <v/>
      </c>
      <c r="CL830">
        <f>$C830*CL829</f>
        <v/>
      </c>
      <c r="CM830">
        <f>$C830*CM829</f>
        <v/>
      </c>
      <c r="CN830">
        <f>$C830*CN829</f>
        <v/>
      </c>
      <c r="CO830">
        <f>$C830*CO829</f>
        <v/>
      </c>
      <c r="CP830">
        <f>$C830*CP829</f>
        <v/>
      </c>
      <c r="CQ830">
        <f>$C830*CQ829</f>
        <v/>
      </c>
      <c r="CR830">
        <f>$C830*CR829</f>
        <v/>
      </c>
      <c r="CS830">
        <f>$C830*CS829</f>
        <v/>
      </c>
      <c r="CT830">
        <f>$C830*CT829</f>
        <v/>
      </c>
      <c r="CU830">
        <f>$C830*CU829</f>
        <v/>
      </c>
      <c r="CV830">
        <f>$C830*CV829</f>
        <v/>
      </c>
      <c r="CW830">
        <f>$C830*CW829</f>
        <v/>
      </c>
      <c r="CX830">
        <f>$C830*CX829</f>
        <v/>
      </c>
      <c r="CY830">
        <f>$C830*CY829</f>
        <v/>
      </c>
      <c r="CZ830">
        <f>$C830*CZ829</f>
        <v/>
      </c>
      <c r="DA830">
        <f>$C830*DA829</f>
        <v/>
      </c>
      <c r="DB830">
        <f>$C830*DB829</f>
        <v/>
      </c>
      <c r="DC830">
        <f>$C830*DC829</f>
        <v/>
      </c>
    </row>
    <row r="831">
      <c r="B831" t="inlineStr">
        <is>
          <t>TSP-903</t>
        </is>
      </c>
      <c r="C831" t="inlineStr">
        <is>
          <t>No. of batches</t>
        </is>
      </c>
      <c r="D831">
        <f>IFERROR(INDEX(PP_Grid[#Data],$DD831,2),0)</f>
        <v/>
      </c>
      <c r="E831">
        <f>IFERROR(INDEX(PP_Grid[#Data],$DD831,3),0)</f>
        <v/>
      </c>
      <c r="F831">
        <f>IFERROR(INDEX(PP_Grid[#Data],$DD831,4),0)</f>
        <v/>
      </c>
      <c r="G831">
        <f>IFERROR(INDEX(PP_Grid[#Data],$DD831,5),0)</f>
        <v/>
      </c>
      <c r="H831">
        <f>IFERROR(INDEX(PP_Grid[#Data],$DD831,6),0)</f>
        <v/>
      </c>
      <c r="I831">
        <f>IFERROR(INDEX(PP_Grid[#Data],$DD831,7),0)</f>
        <v/>
      </c>
      <c r="J831">
        <f>IFERROR(INDEX(PP_Grid[#Data],$DD831,8),0)</f>
        <v/>
      </c>
      <c r="K831">
        <f>IFERROR(INDEX(PP_Grid[#Data],$DD831,9),0)</f>
        <v/>
      </c>
      <c r="L831">
        <f>IFERROR(INDEX(PP_Grid[#Data],$DD831,10),0)</f>
        <v/>
      </c>
      <c r="M831">
        <f>IFERROR(INDEX(PP_Grid[#Data],$DD831,11),0)</f>
        <v/>
      </c>
      <c r="N831">
        <f>IFERROR(INDEX(PP_Grid[#Data],$DD831,12),0)</f>
        <v/>
      </c>
      <c r="O831">
        <f>IFERROR(INDEX(PP_Grid[#Data],$DD831,13),0)</f>
        <v/>
      </c>
      <c r="P831">
        <f>IFERROR(INDEX(PP_Grid[#Data],$DD831,14),0)</f>
        <v/>
      </c>
      <c r="Q831">
        <f>IFERROR(INDEX(PP_Grid[#Data],$DD831,15),0)</f>
        <v/>
      </c>
      <c r="R831">
        <f>IFERROR(INDEX(PP_Grid[#Data],$DD831,16),0)</f>
        <v/>
      </c>
      <c r="S831">
        <f>IFERROR(INDEX(PP_Grid[#Data],$DD831,17),0)</f>
        <v/>
      </c>
      <c r="T831">
        <f>IFERROR(INDEX(PP_Grid[#Data],$DD831,18),0)</f>
        <v/>
      </c>
      <c r="U831">
        <f>IFERROR(INDEX(PP_Grid[#Data],$DD831,19),0)</f>
        <v/>
      </c>
      <c r="V831">
        <f>IFERROR(INDEX(PP_Grid[#Data],$DD831,20),0)</f>
        <v/>
      </c>
      <c r="W831">
        <f>IFERROR(INDEX(PP_Grid[#Data],$DD831,21),0)</f>
        <v/>
      </c>
      <c r="X831">
        <f>IFERROR(INDEX(PP_Grid[#Data],$DD831,22),0)</f>
        <v/>
      </c>
      <c r="Y831">
        <f>IFERROR(INDEX(PP_Grid[#Data],$DD831,23),0)</f>
        <v/>
      </c>
      <c r="Z831">
        <f>IFERROR(INDEX(PP_Grid[#Data],$DD831,24),0)</f>
        <v/>
      </c>
      <c r="AA831">
        <f>IFERROR(INDEX(PP_Grid[#Data],$DD831,25),0)</f>
        <v/>
      </c>
      <c r="AB831">
        <f>IFERROR(INDEX(PP_Grid[#Data],$DD831,26),0)</f>
        <v/>
      </c>
      <c r="AC831">
        <f>IFERROR(INDEX(PP_Grid[#Data],$DD831,27),0)</f>
        <v/>
      </c>
      <c r="AD831">
        <f>IFERROR(INDEX(PP_Grid[#Data],$DD831,28),0)</f>
        <v/>
      </c>
      <c r="AE831">
        <f>IFERROR(INDEX(PP_Grid[#Data],$DD831,29),0)</f>
        <v/>
      </c>
      <c r="AF831">
        <f>IFERROR(INDEX(PP_Grid[#Data],$DD831,30),0)</f>
        <v/>
      </c>
      <c r="AG831">
        <f>IFERROR(INDEX(PP_Grid[#Data],$DD831,31),0)</f>
        <v/>
      </c>
      <c r="AH831">
        <f>IFERROR(INDEX(PP_Grid[#Data],$DD831,32),0)</f>
        <v/>
      </c>
      <c r="AI831">
        <f>IFERROR(INDEX(PP_Grid[#Data],$DD831,33),0)</f>
        <v/>
      </c>
      <c r="AJ831">
        <f>IFERROR(INDEX(PP_Grid[#Data],$DD831,34),0)</f>
        <v/>
      </c>
      <c r="AK831">
        <f>IFERROR(INDEX(PP_Grid[#Data],$DD831,35),0)</f>
        <v/>
      </c>
      <c r="AL831">
        <f>IFERROR(INDEX(PP_Grid[#Data],$DD831,36),0)</f>
        <v/>
      </c>
      <c r="AM831">
        <f>IFERROR(INDEX(PP_Grid[#Data],$DD831,37),0)</f>
        <v/>
      </c>
      <c r="AN831">
        <f>IFERROR(INDEX(PP_Grid[#Data],$DD831,38),0)</f>
        <v/>
      </c>
      <c r="AO831">
        <f>IFERROR(INDEX(PP_Grid[#Data],$DD831,39),0)</f>
        <v/>
      </c>
      <c r="AP831">
        <f>IFERROR(INDEX(PP_Grid[#Data],$DD831,40),0)</f>
        <v/>
      </c>
      <c r="AQ831">
        <f>IFERROR(INDEX(PP_Grid[#Data],$DD831,41),0)</f>
        <v/>
      </c>
      <c r="AR831">
        <f>IFERROR(INDEX(PP_Grid[#Data],$DD831,42),0)</f>
        <v/>
      </c>
      <c r="AS831">
        <f>IFERROR(INDEX(PP_Grid[#Data],$DD831,43),0)</f>
        <v/>
      </c>
      <c r="AT831">
        <f>IFERROR(INDEX(PP_Grid[#Data],$DD831,44),0)</f>
        <v/>
      </c>
      <c r="AU831">
        <f>IFERROR(INDEX(PP_Grid[#Data],$DD831,45),0)</f>
        <v/>
      </c>
      <c r="AV831">
        <f>IFERROR(INDEX(PP_Grid[#Data],$DD831,46),0)</f>
        <v/>
      </c>
      <c r="AW831">
        <f>IFERROR(INDEX(PP_Grid[#Data],$DD831,47),0)</f>
        <v/>
      </c>
      <c r="AX831">
        <f>IFERROR(INDEX(PP_Grid[#Data],$DD831,48),0)</f>
        <v/>
      </c>
      <c r="AY831">
        <f>IFERROR(INDEX(PP_Grid[#Data],$DD831,49),0)</f>
        <v/>
      </c>
      <c r="AZ831">
        <f>IFERROR(INDEX(PP_Grid[#Data],$DD831,50),0)</f>
        <v/>
      </c>
      <c r="BA831">
        <f>IFERROR(INDEX(PP_Grid[#Data],$DD831,51),0)</f>
        <v/>
      </c>
      <c r="BB831">
        <f>IFERROR(INDEX(PP_Grid[#Data],$DD831,52),0)</f>
        <v/>
      </c>
      <c r="BC831">
        <f>IFERROR(INDEX(PP_Grid[#Data],$DD831,53),0)</f>
        <v/>
      </c>
      <c r="BD831">
        <f>IFERROR(INDEX(PP_Grid[#Data],$DD831,54),0)</f>
        <v/>
      </c>
      <c r="BE831">
        <f>IFERROR(INDEX(PP_Grid[#Data],$DD831,55),0)</f>
        <v/>
      </c>
      <c r="BF831">
        <f>IFERROR(INDEX(PP_Grid[#Data],$DD831,56),0)</f>
        <v/>
      </c>
      <c r="BG831">
        <f>IFERROR(INDEX(PP_Grid[#Data],$DD831,57),0)</f>
        <v/>
      </c>
      <c r="BH831">
        <f>IFERROR(INDEX(PP_Grid[#Data],$DD831,58),0)</f>
        <v/>
      </c>
      <c r="BI831">
        <f>IFERROR(INDEX(PP_Grid[#Data],$DD831,59),0)</f>
        <v/>
      </c>
      <c r="BJ831">
        <f>IFERROR(INDEX(PP_Grid[#Data],$DD831,60),0)</f>
        <v/>
      </c>
      <c r="BK831">
        <f>IFERROR(INDEX(PP_Grid[#Data],$DD831,61),0)</f>
        <v/>
      </c>
      <c r="BL831">
        <f>IFERROR(INDEX(PP_Grid[#Data],$DD831,62),0)</f>
        <v/>
      </c>
      <c r="BM831">
        <f>IFERROR(INDEX(PP_Grid[#Data],$DD831,63),0)</f>
        <v/>
      </c>
      <c r="BN831">
        <f>IFERROR(INDEX(PP_Grid[#Data],$DD831,64),0)</f>
        <v/>
      </c>
      <c r="BO831">
        <f>IFERROR(INDEX(PP_Grid[#Data],$DD831,65),0)</f>
        <v/>
      </c>
      <c r="BP831">
        <f>IFERROR(INDEX(PP_Grid[#Data],$DD831,66),0)</f>
        <v/>
      </c>
      <c r="BQ831">
        <f>IFERROR(INDEX(PP_Grid[#Data],$DD831,67),0)</f>
        <v/>
      </c>
      <c r="BR831">
        <f>IFERROR(INDEX(PP_Grid[#Data],$DD831,68),0)</f>
        <v/>
      </c>
      <c r="BS831">
        <f>IFERROR(INDEX(PP_Grid[#Data],$DD831,69),0)</f>
        <v/>
      </c>
      <c r="BT831">
        <f>IFERROR(INDEX(PP_Grid[#Data],$DD831,70),0)</f>
        <v/>
      </c>
      <c r="BU831">
        <f>IFERROR(INDEX(PP_Grid[#Data],$DD831,71),0)</f>
        <v/>
      </c>
      <c r="BV831">
        <f>IFERROR(INDEX(PP_Grid[#Data],$DD831,72),0)</f>
        <v/>
      </c>
      <c r="BW831">
        <f>IFERROR(INDEX(PP_Grid[#Data],$DD831,73),0)</f>
        <v/>
      </c>
      <c r="BX831">
        <f>IFERROR(INDEX(PP_Grid[#Data],$DD831,74),0)</f>
        <v/>
      </c>
      <c r="BY831">
        <f>IFERROR(INDEX(PP_Grid[#Data],$DD831,75),0)</f>
        <v/>
      </c>
      <c r="BZ831">
        <f>IFERROR(INDEX(PP_Grid[#Data],$DD831,76),0)</f>
        <v/>
      </c>
      <c r="CA831">
        <f>IFERROR(INDEX(PP_Grid[#Data],$DD831,77),0)</f>
        <v/>
      </c>
      <c r="CB831">
        <f>IFERROR(INDEX(PP_Grid[#Data],$DD831,78),0)</f>
        <v/>
      </c>
      <c r="CC831">
        <f>IFERROR(INDEX(PP_Grid[#Data],$DD831,79),0)</f>
        <v/>
      </c>
      <c r="CD831">
        <f>IFERROR(INDEX(PP_Grid[#Data],$DD831,80),0)</f>
        <v/>
      </c>
      <c r="CE831">
        <f>IFERROR(INDEX(PP_Grid[#Data],$DD831,81),0)</f>
        <v/>
      </c>
      <c r="CF831">
        <f>IFERROR(INDEX(PP_Grid[#Data],$DD831,82),0)</f>
        <v/>
      </c>
      <c r="CG831">
        <f>IFERROR(INDEX(PP_Grid[#Data],$DD831,83),0)</f>
        <v/>
      </c>
      <c r="CH831">
        <f>IFERROR(INDEX(PP_Grid[#Data],$DD831,84),0)</f>
        <v/>
      </c>
      <c r="CI831">
        <f>IFERROR(INDEX(PP_Grid[#Data],$DD831,85),0)</f>
        <v/>
      </c>
      <c r="CJ831">
        <f>IFERROR(INDEX(PP_Grid[#Data],$DD831,86),0)</f>
        <v/>
      </c>
      <c r="CK831">
        <f>IFERROR(INDEX(PP_Grid[#Data],$DD831,87),0)</f>
        <v/>
      </c>
      <c r="CL831">
        <f>IFERROR(INDEX(PP_Grid[#Data],$DD831,88),0)</f>
        <v/>
      </c>
      <c r="CM831">
        <f>IFERROR(INDEX(PP_Grid[#Data],$DD831,89),0)</f>
        <v/>
      </c>
      <c r="CN831">
        <f>IFERROR(INDEX(PP_Grid[#Data],$DD831,90),0)</f>
        <v/>
      </c>
      <c r="CO831">
        <f>IFERROR(INDEX(PP_Grid[#Data],$DD831,91),0)</f>
        <v/>
      </c>
      <c r="CP831">
        <f>IFERROR(INDEX(PP_Grid[#Data],$DD831,92),0)</f>
        <v/>
      </c>
      <c r="CQ831">
        <f>IFERROR(INDEX(PP_Grid[#Data],$DD831,93),0)</f>
        <v/>
      </c>
      <c r="CR831">
        <f>IFERROR(INDEX(PP_Grid[#Data],$DD831,94),0)</f>
        <v/>
      </c>
      <c r="CS831">
        <f>IFERROR(INDEX(PP_Grid[#Data],$DD831,95),0)</f>
        <v/>
      </c>
      <c r="CT831">
        <f>IFERROR(INDEX(PP_Grid[#Data],$DD831,96),0)</f>
        <v/>
      </c>
      <c r="CU831">
        <f>IFERROR(INDEX(PP_Grid[#Data],$DD831,97),0)</f>
        <v/>
      </c>
      <c r="CV831">
        <f>IFERROR(INDEX(PP_Grid[#Data],$DD831,98),0)</f>
        <v/>
      </c>
      <c r="CW831">
        <f>IFERROR(INDEX(PP_Grid[#Data],$DD831,99),0)</f>
        <v/>
      </c>
      <c r="CX831">
        <f>IFERROR(INDEX(PP_Grid[#Data],$DD831,100),0)</f>
        <v/>
      </c>
      <c r="CY831">
        <f>IFERROR(INDEX(PP_Grid[#Data],$DD831,101),0)</f>
        <v/>
      </c>
      <c r="CZ831">
        <f>IFERROR(INDEX(PP_Grid[#Data],$DD831,102),0)</f>
        <v/>
      </c>
      <c r="DA831">
        <f>IFERROR(INDEX(PP_Grid[#Data],$DD831,103),0)</f>
        <v/>
      </c>
      <c r="DB831">
        <f>IFERROR(INDEX(PP_Grid[#Data],$DD831,104),0)</f>
        <v/>
      </c>
      <c r="DC831">
        <f>IFERROR(INDEX(PP_Grid[#Data],$DD831,105),0)</f>
        <v/>
      </c>
      <c r="DD831" s="12">
        <f>IFERROR(MATCH($B831,PP_Grid[Intermediate],0),99999)</f>
        <v/>
      </c>
    </row>
    <row r="832">
      <c r="B832" t="inlineStr">
        <is>
          <t>使用量(kg)</t>
        </is>
      </c>
      <c r="C832">
        <f>SUMIFS(M_BOM[RM_Qty_Per_Batch],M_BOM[Intermediate],$B831,M_BOM[Part Name],$A812)</f>
        <v/>
      </c>
      <c r="D832">
        <f>$C832*D831</f>
        <v/>
      </c>
      <c r="E832">
        <f>$C832*E831</f>
        <v/>
      </c>
      <c r="F832">
        <f>$C832*F831</f>
        <v/>
      </c>
      <c r="G832">
        <f>$C832*G831</f>
        <v/>
      </c>
      <c r="H832">
        <f>$C832*H831</f>
        <v/>
      </c>
      <c r="I832">
        <f>$C832*I831</f>
        <v/>
      </c>
      <c r="J832">
        <f>$C832*J831</f>
        <v/>
      </c>
      <c r="K832">
        <f>$C832*K831</f>
        <v/>
      </c>
      <c r="L832">
        <f>$C832*L831</f>
        <v/>
      </c>
      <c r="M832">
        <f>$C832*M831</f>
        <v/>
      </c>
      <c r="N832">
        <f>$C832*N831</f>
        <v/>
      </c>
      <c r="O832">
        <f>$C832*O831</f>
        <v/>
      </c>
      <c r="P832">
        <f>$C832*P831</f>
        <v/>
      </c>
      <c r="Q832">
        <f>$C832*Q831</f>
        <v/>
      </c>
      <c r="R832">
        <f>$C832*R831</f>
        <v/>
      </c>
      <c r="S832">
        <f>$C832*S831</f>
        <v/>
      </c>
      <c r="T832">
        <f>$C832*T831</f>
        <v/>
      </c>
      <c r="U832">
        <f>$C832*U831</f>
        <v/>
      </c>
      <c r="V832">
        <f>$C832*V831</f>
        <v/>
      </c>
      <c r="W832">
        <f>$C832*W831</f>
        <v/>
      </c>
      <c r="X832">
        <f>$C832*X831</f>
        <v/>
      </c>
      <c r="Y832">
        <f>$C832*Y831</f>
        <v/>
      </c>
      <c r="Z832">
        <f>$C832*Z831</f>
        <v/>
      </c>
      <c r="AA832">
        <f>$C832*AA831</f>
        <v/>
      </c>
      <c r="AB832">
        <f>$C832*AB831</f>
        <v/>
      </c>
      <c r="AC832">
        <f>$C832*AC831</f>
        <v/>
      </c>
      <c r="AD832">
        <f>$C832*AD831</f>
        <v/>
      </c>
      <c r="AE832">
        <f>$C832*AE831</f>
        <v/>
      </c>
      <c r="AF832">
        <f>$C832*AF831</f>
        <v/>
      </c>
      <c r="AG832">
        <f>$C832*AG831</f>
        <v/>
      </c>
      <c r="AH832">
        <f>$C832*AH831</f>
        <v/>
      </c>
      <c r="AI832">
        <f>$C832*AI831</f>
        <v/>
      </c>
      <c r="AJ832">
        <f>$C832*AJ831</f>
        <v/>
      </c>
      <c r="AK832">
        <f>$C832*AK831</f>
        <v/>
      </c>
      <c r="AL832">
        <f>$C832*AL831</f>
        <v/>
      </c>
      <c r="AM832">
        <f>$C832*AM831</f>
        <v/>
      </c>
      <c r="AN832">
        <f>$C832*AN831</f>
        <v/>
      </c>
      <c r="AO832">
        <f>$C832*AO831</f>
        <v/>
      </c>
      <c r="AP832">
        <f>$C832*AP831</f>
        <v/>
      </c>
      <c r="AQ832">
        <f>$C832*AQ831</f>
        <v/>
      </c>
      <c r="AR832">
        <f>$C832*AR831</f>
        <v/>
      </c>
      <c r="AS832">
        <f>$C832*AS831</f>
        <v/>
      </c>
      <c r="AT832">
        <f>$C832*AT831</f>
        <v/>
      </c>
      <c r="AU832">
        <f>$C832*AU831</f>
        <v/>
      </c>
      <c r="AV832">
        <f>$C832*AV831</f>
        <v/>
      </c>
      <c r="AW832">
        <f>$C832*AW831</f>
        <v/>
      </c>
      <c r="AX832">
        <f>$C832*AX831</f>
        <v/>
      </c>
      <c r="AY832">
        <f>$C832*AY831</f>
        <v/>
      </c>
      <c r="AZ832">
        <f>$C832*AZ831</f>
        <v/>
      </c>
      <c r="BA832">
        <f>$C832*BA831</f>
        <v/>
      </c>
      <c r="BB832">
        <f>$C832*BB831</f>
        <v/>
      </c>
      <c r="BC832">
        <f>$C832*BC831</f>
        <v/>
      </c>
      <c r="BD832">
        <f>$C832*BD831</f>
        <v/>
      </c>
      <c r="BE832">
        <f>$C832*BE831</f>
        <v/>
      </c>
      <c r="BF832">
        <f>$C832*BF831</f>
        <v/>
      </c>
      <c r="BG832">
        <f>$C832*BG831</f>
        <v/>
      </c>
      <c r="BH832">
        <f>$C832*BH831</f>
        <v/>
      </c>
      <c r="BI832">
        <f>$C832*BI831</f>
        <v/>
      </c>
      <c r="BJ832">
        <f>$C832*BJ831</f>
        <v/>
      </c>
      <c r="BK832">
        <f>$C832*BK831</f>
        <v/>
      </c>
      <c r="BL832">
        <f>$C832*BL831</f>
        <v/>
      </c>
      <c r="BM832">
        <f>$C832*BM831</f>
        <v/>
      </c>
      <c r="BN832">
        <f>$C832*BN831</f>
        <v/>
      </c>
      <c r="BO832">
        <f>$C832*BO831</f>
        <v/>
      </c>
      <c r="BP832">
        <f>$C832*BP831</f>
        <v/>
      </c>
      <c r="BQ832">
        <f>$C832*BQ831</f>
        <v/>
      </c>
      <c r="BR832">
        <f>$C832*BR831</f>
        <v/>
      </c>
      <c r="BS832">
        <f>$C832*BS831</f>
        <v/>
      </c>
      <c r="BT832">
        <f>$C832*BT831</f>
        <v/>
      </c>
      <c r="BU832">
        <f>$C832*BU831</f>
        <v/>
      </c>
      <c r="BV832">
        <f>$C832*BV831</f>
        <v/>
      </c>
      <c r="BW832">
        <f>$C832*BW831</f>
        <v/>
      </c>
      <c r="BX832">
        <f>$C832*BX831</f>
        <v/>
      </c>
      <c r="BY832">
        <f>$C832*BY831</f>
        <v/>
      </c>
      <c r="BZ832">
        <f>$C832*BZ831</f>
        <v/>
      </c>
      <c r="CA832">
        <f>$C832*CA831</f>
        <v/>
      </c>
      <c r="CB832">
        <f>$C832*CB831</f>
        <v/>
      </c>
      <c r="CC832">
        <f>$C832*CC831</f>
        <v/>
      </c>
      <c r="CD832">
        <f>$C832*CD831</f>
        <v/>
      </c>
      <c r="CE832">
        <f>$C832*CE831</f>
        <v/>
      </c>
      <c r="CF832">
        <f>$C832*CF831</f>
        <v/>
      </c>
      <c r="CG832">
        <f>$C832*CG831</f>
        <v/>
      </c>
      <c r="CH832">
        <f>$C832*CH831</f>
        <v/>
      </c>
      <c r="CI832">
        <f>$C832*CI831</f>
        <v/>
      </c>
      <c r="CJ832">
        <f>$C832*CJ831</f>
        <v/>
      </c>
      <c r="CK832">
        <f>$C832*CK831</f>
        <v/>
      </c>
      <c r="CL832">
        <f>$C832*CL831</f>
        <v/>
      </c>
      <c r="CM832">
        <f>$C832*CM831</f>
        <v/>
      </c>
      <c r="CN832">
        <f>$C832*CN831</f>
        <v/>
      </c>
      <c r="CO832">
        <f>$C832*CO831</f>
        <v/>
      </c>
      <c r="CP832">
        <f>$C832*CP831</f>
        <v/>
      </c>
      <c r="CQ832">
        <f>$C832*CQ831</f>
        <v/>
      </c>
      <c r="CR832">
        <f>$C832*CR831</f>
        <v/>
      </c>
      <c r="CS832">
        <f>$C832*CS831</f>
        <v/>
      </c>
      <c r="CT832">
        <f>$C832*CT831</f>
        <v/>
      </c>
      <c r="CU832">
        <f>$C832*CU831</f>
        <v/>
      </c>
      <c r="CV832">
        <f>$C832*CV831</f>
        <v/>
      </c>
      <c r="CW832">
        <f>$C832*CW831</f>
        <v/>
      </c>
      <c r="CX832">
        <f>$C832*CX831</f>
        <v/>
      </c>
      <c r="CY832">
        <f>$C832*CY831</f>
        <v/>
      </c>
      <c r="CZ832">
        <f>$C832*CZ831</f>
        <v/>
      </c>
      <c r="DA832">
        <f>$C832*DA831</f>
        <v/>
      </c>
      <c r="DB832">
        <f>$C832*DB831</f>
        <v/>
      </c>
      <c r="DC832">
        <f>$C832*DC831</f>
        <v/>
      </c>
    </row>
    <row r="833">
      <c r="B833" t="inlineStr">
        <is>
          <t>TSP-959</t>
        </is>
      </c>
      <c r="C833" t="inlineStr">
        <is>
          <t>No. of batches</t>
        </is>
      </c>
      <c r="D833">
        <f>IFERROR(INDEX(PP_Grid[#Data],$DD833,2),0)</f>
        <v/>
      </c>
      <c r="E833">
        <f>IFERROR(INDEX(PP_Grid[#Data],$DD833,3),0)</f>
        <v/>
      </c>
      <c r="F833">
        <f>IFERROR(INDEX(PP_Grid[#Data],$DD833,4),0)</f>
        <v/>
      </c>
      <c r="G833">
        <f>IFERROR(INDEX(PP_Grid[#Data],$DD833,5),0)</f>
        <v/>
      </c>
      <c r="H833">
        <f>IFERROR(INDEX(PP_Grid[#Data],$DD833,6),0)</f>
        <v/>
      </c>
      <c r="I833">
        <f>IFERROR(INDEX(PP_Grid[#Data],$DD833,7),0)</f>
        <v/>
      </c>
      <c r="J833">
        <f>IFERROR(INDEX(PP_Grid[#Data],$DD833,8),0)</f>
        <v/>
      </c>
      <c r="K833">
        <f>IFERROR(INDEX(PP_Grid[#Data],$DD833,9),0)</f>
        <v/>
      </c>
      <c r="L833">
        <f>IFERROR(INDEX(PP_Grid[#Data],$DD833,10),0)</f>
        <v/>
      </c>
      <c r="M833">
        <f>IFERROR(INDEX(PP_Grid[#Data],$DD833,11),0)</f>
        <v/>
      </c>
      <c r="N833">
        <f>IFERROR(INDEX(PP_Grid[#Data],$DD833,12),0)</f>
        <v/>
      </c>
      <c r="O833">
        <f>IFERROR(INDEX(PP_Grid[#Data],$DD833,13),0)</f>
        <v/>
      </c>
      <c r="P833">
        <f>IFERROR(INDEX(PP_Grid[#Data],$DD833,14),0)</f>
        <v/>
      </c>
      <c r="Q833">
        <f>IFERROR(INDEX(PP_Grid[#Data],$DD833,15),0)</f>
        <v/>
      </c>
      <c r="R833">
        <f>IFERROR(INDEX(PP_Grid[#Data],$DD833,16),0)</f>
        <v/>
      </c>
      <c r="S833">
        <f>IFERROR(INDEX(PP_Grid[#Data],$DD833,17),0)</f>
        <v/>
      </c>
      <c r="T833">
        <f>IFERROR(INDEX(PP_Grid[#Data],$DD833,18),0)</f>
        <v/>
      </c>
      <c r="U833">
        <f>IFERROR(INDEX(PP_Grid[#Data],$DD833,19),0)</f>
        <v/>
      </c>
      <c r="V833">
        <f>IFERROR(INDEX(PP_Grid[#Data],$DD833,20),0)</f>
        <v/>
      </c>
      <c r="W833">
        <f>IFERROR(INDEX(PP_Grid[#Data],$DD833,21),0)</f>
        <v/>
      </c>
      <c r="X833">
        <f>IFERROR(INDEX(PP_Grid[#Data],$DD833,22),0)</f>
        <v/>
      </c>
      <c r="Y833">
        <f>IFERROR(INDEX(PP_Grid[#Data],$DD833,23),0)</f>
        <v/>
      </c>
      <c r="Z833">
        <f>IFERROR(INDEX(PP_Grid[#Data],$DD833,24),0)</f>
        <v/>
      </c>
      <c r="AA833">
        <f>IFERROR(INDEX(PP_Grid[#Data],$DD833,25),0)</f>
        <v/>
      </c>
      <c r="AB833">
        <f>IFERROR(INDEX(PP_Grid[#Data],$DD833,26),0)</f>
        <v/>
      </c>
      <c r="AC833">
        <f>IFERROR(INDEX(PP_Grid[#Data],$DD833,27),0)</f>
        <v/>
      </c>
      <c r="AD833">
        <f>IFERROR(INDEX(PP_Grid[#Data],$DD833,28),0)</f>
        <v/>
      </c>
      <c r="AE833">
        <f>IFERROR(INDEX(PP_Grid[#Data],$DD833,29),0)</f>
        <v/>
      </c>
      <c r="AF833">
        <f>IFERROR(INDEX(PP_Grid[#Data],$DD833,30),0)</f>
        <v/>
      </c>
      <c r="AG833">
        <f>IFERROR(INDEX(PP_Grid[#Data],$DD833,31),0)</f>
        <v/>
      </c>
      <c r="AH833">
        <f>IFERROR(INDEX(PP_Grid[#Data],$DD833,32),0)</f>
        <v/>
      </c>
      <c r="AI833">
        <f>IFERROR(INDEX(PP_Grid[#Data],$DD833,33),0)</f>
        <v/>
      </c>
      <c r="AJ833">
        <f>IFERROR(INDEX(PP_Grid[#Data],$DD833,34),0)</f>
        <v/>
      </c>
      <c r="AK833">
        <f>IFERROR(INDEX(PP_Grid[#Data],$DD833,35),0)</f>
        <v/>
      </c>
      <c r="AL833">
        <f>IFERROR(INDEX(PP_Grid[#Data],$DD833,36),0)</f>
        <v/>
      </c>
      <c r="AM833">
        <f>IFERROR(INDEX(PP_Grid[#Data],$DD833,37),0)</f>
        <v/>
      </c>
      <c r="AN833">
        <f>IFERROR(INDEX(PP_Grid[#Data],$DD833,38),0)</f>
        <v/>
      </c>
      <c r="AO833">
        <f>IFERROR(INDEX(PP_Grid[#Data],$DD833,39),0)</f>
        <v/>
      </c>
      <c r="AP833">
        <f>IFERROR(INDEX(PP_Grid[#Data],$DD833,40),0)</f>
        <v/>
      </c>
      <c r="AQ833">
        <f>IFERROR(INDEX(PP_Grid[#Data],$DD833,41),0)</f>
        <v/>
      </c>
      <c r="AR833">
        <f>IFERROR(INDEX(PP_Grid[#Data],$DD833,42),0)</f>
        <v/>
      </c>
      <c r="AS833">
        <f>IFERROR(INDEX(PP_Grid[#Data],$DD833,43),0)</f>
        <v/>
      </c>
      <c r="AT833">
        <f>IFERROR(INDEX(PP_Grid[#Data],$DD833,44),0)</f>
        <v/>
      </c>
      <c r="AU833">
        <f>IFERROR(INDEX(PP_Grid[#Data],$DD833,45),0)</f>
        <v/>
      </c>
      <c r="AV833">
        <f>IFERROR(INDEX(PP_Grid[#Data],$DD833,46),0)</f>
        <v/>
      </c>
      <c r="AW833">
        <f>IFERROR(INDEX(PP_Grid[#Data],$DD833,47),0)</f>
        <v/>
      </c>
      <c r="AX833">
        <f>IFERROR(INDEX(PP_Grid[#Data],$DD833,48),0)</f>
        <v/>
      </c>
      <c r="AY833">
        <f>IFERROR(INDEX(PP_Grid[#Data],$DD833,49),0)</f>
        <v/>
      </c>
      <c r="AZ833">
        <f>IFERROR(INDEX(PP_Grid[#Data],$DD833,50),0)</f>
        <v/>
      </c>
      <c r="BA833">
        <f>IFERROR(INDEX(PP_Grid[#Data],$DD833,51),0)</f>
        <v/>
      </c>
      <c r="BB833">
        <f>IFERROR(INDEX(PP_Grid[#Data],$DD833,52),0)</f>
        <v/>
      </c>
      <c r="BC833">
        <f>IFERROR(INDEX(PP_Grid[#Data],$DD833,53),0)</f>
        <v/>
      </c>
      <c r="BD833">
        <f>IFERROR(INDEX(PP_Grid[#Data],$DD833,54),0)</f>
        <v/>
      </c>
      <c r="BE833">
        <f>IFERROR(INDEX(PP_Grid[#Data],$DD833,55),0)</f>
        <v/>
      </c>
      <c r="BF833">
        <f>IFERROR(INDEX(PP_Grid[#Data],$DD833,56),0)</f>
        <v/>
      </c>
      <c r="BG833">
        <f>IFERROR(INDEX(PP_Grid[#Data],$DD833,57),0)</f>
        <v/>
      </c>
      <c r="BH833">
        <f>IFERROR(INDEX(PP_Grid[#Data],$DD833,58),0)</f>
        <v/>
      </c>
      <c r="BI833">
        <f>IFERROR(INDEX(PP_Grid[#Data],$DD833,59),0)</f>
        <v/>
      </c>
      <c r="BJ833">
        <f>IFERROR(INDEX(PP_Grid[#Data],$DD833,60),0)</f>
        <v/>
      </c>
      <c r="BK833">
        <f>IFERROR(INDEX(PP_Grid[#Data],$DD833,61),0)</f>
        <v/>
      </c>
      <c r="BL833">
        <f>IFERROR(INDEX(PP_Grid[#Data],$DD833,62),0)</f>
        <v/>
      </c>
      <c r="BM833">
        <f>IFERROR(INDEX(PP_Grid[#Data],$DD833,63),0)</f>
        <v/>
      </c>
      <c r="BN833">
        <f>IFERROR(INDEX(PP_Grid[#Data],$DD833,64),0)</f>
        <v/>
      </c>
      <c r="BO833">
        <f>IFERROR(INDEX(PP_Grid[#Data],$DD833,65),0)</f>
        <v/>
      </c>
      <c r="BP833">
        <f>IFERROR(INDEX(PP_Grid[#Data],$DD833,66),0)</f>
        <v/>
      </c>
      <c r="BQ833">
        <f>IFERROR(INDEX(PP_Grid[#Data],$DD833,67),0)</f>
        <v/>
      </c>
      <c r="BR833">
        <f>IFERROR(INDEX(PP_Grid[#Data],$DD833,68),0)</f>
        <v/>
      </c>
      <c r="BS833">
        <f>IFERROR(INDEX(PP_Grid[#Data],$DD833,69),0)</f>
        <v/>
      </c>
      <c r="BT833">
        <f>IFERROR(INDEX(PP_Grid[#Data],$DD833,70),0)</f>
        <v/>
      </c>
      <c r="BU833">
        <f>IFERROR(INDEX(PP_Grid[#Data],$DD833,71),0)</f>
        <v/>
      </c>
      <c r="BV833">
        <f>IFERROR(INDEX(PP_Grid[#Data],$DD833,72),0)</f>
        <v/>
      </c>
      <c r="BW833">
        <f>IFERROR(INDEX(PP_Grid[#Data],$DD833,73),0)</f>
        <v/>
      </c>
      <c r="BX833">
        <f>IFERROR(INDEX(PP_Grid[#Data],$DD833,74),0)</f>
        <v/>
      </c>
      <c r="BY833">
        <f>IFERROR(INDEX(PP_Grid[#Data],$DD833,75),0)</f>
        <v/>
      </c>
      <c r="BZ833">
        <f>IFERROR(INDEX(PP_Grid[#Data],$DD833,76),0)</f>
        <v/>
      </c>
      <c r="CA833">
        <f>IFERROR(INDEX(PP_Grid[#Data],$DD833,77),0)</f>
        <v/>
      </c>
      <c r="CB833">
        <f>IFERROR(INDEX(PP_Grid[#Data],$DD833,78),0)</f>
        <v/>
      </c>
      <c r="CC833">
        <f>IFERROR(INDEX(PP_Grid[#Data],$DD833,79),0)</f>
        <v/>
      </c>
      <c r="CD833">
        <f>IFERROR(INDEX(PP_Grid[#Data],$DD833,80),0)</f>
        <v/>
      </c>
      <c r="CE833">
        <f>IFERROR(INDEX(PP_Grid[#Data],$DD833,81),0)</f>
        <v/>
      </c>
      <c r="CF833">
        <f>IFERROR(INDEX(PP_Grid[#Data],$DD833,82),0)</f>
        <v/>
      </c>
      <c r="CG833">
        <f>IFERROR(INDEX(PP_Grid[#Data],$DD833,83),0)</f>
        <v/>
      </c>
      <c r="CH833">
        <f>IFERROR(INDEX(PP_Grid[#Data],$DD833,84),0)</f>
        <v/>
      </c>
      <c r="CI833">
        <f>IFERROR(INDEX(PP_Grid[#Data],$DD833,85),0)</f>
        <v/>
      </c>
      <c r="CJ833">
        <f>IFERROR(INDEX(PP_Grid[#Data],$DD833,86),0)</f>
        <v/>
      </c>
      <c r="CK833">
        <f>IFERROR(INDEX(PP_Grid[#Data],$DD833,87),0)</f>
        <v/>
      </c>
      <c r="CL833">
        <f>IFERROR(INDEX(PP_Grid[#Data],$DD833,88),0)</f>
        <v/>
      </c>
      <c r="CM833">
        <f>IFERROR(INDEX(PP_Grid[#Data],$DD833,89),0)</f>
        <v/>
      </c>
      <c r="CN833">
        <f>IFERROR(INDEX(PP_Grid[#Data],$DD833,90),0)</f>
        <v/>
      </c>
      <c r="CO833">
        <f>IFERROR(INDEX(PP_Grid[#Data],$DD833,91),0)</f>
        <v/>
      </c>
      <c r="CP833">
        <f>IFERROR(INDEX(PP_Grid[#Data],$DD833,92),0)</f>
        <v/>
      </c>
      <c r="CQ833">
        <f>IFERROR(INDEX(PP_Grid[#Data],$DD833,93),0)</f>
        <v/>
      </c>
      <c r="CR833">
        <f>IFERROR(INDEX(PP_Grid[#Data],$DD833,94),0)</f>
        <v/>
      </c>
      <c r="CS833">
        <f>IFERROR(INDEX(PP_Grid[#Data],$DD833,95),0)</f>
        <v/>
      </c>
      <c r="CT833">
        <f>IFERROR(INDEX(PP_Grid[#Data],$DD833,96),0)</f>
        <v/>
      </c>
      <c r="CU833">
        <f>IFERROR(INDEX(PP_Grid[#Data],$DD833,97),0)</f>
        <v/>
      </c>
      <c r="CV833">
        <f>IFERROR(INDEX(PP_Grid[#Data],$DD833,98),0)</f>
        <v/>
      </c>
      <c r="CW833">
        <f>IFERROR(INDEX(PP_Grid[#Data],$DD833,99),0)</f>
        <v/>
      </c>
      <c r="CX833">
        <f>IFERROR(INDEX(PP_Grid[#Data],$DD833,100),0)</f>
        <v/>
      </c>
      <c r="CY833">
        <f>IFERROR(INDEX(PP_Grid[#Data],$DD833,101),0)</f>
        <v/>
      </c>
      <c r="CZ833">
        <f>IFERROR(INDEX(PP_Grid[#Data],$DD833,102),0)</f>
        <v/>
      </c>
      <c r="DA833">
        <f>IFERROR(INDEX(PP_Grid[#Data],$DD833,103),0)</f>
        <v/>
      </c>
      <c r="DB833">
        <f>IFERROR(INDEX(PP_Grid[#Data],$DD833,104),0)</f>
        <v/>
      </c>
      <c r="DC833">
        <f>IFERROR(INDEX(PP_Grid[#Data],$DD833,105),0)</f>
        <v/>
      </c>
      <c r="DD833" s="12">
        <f>IFERROR(MATCH($B833,PP_Grid[Intermediate],0),99999)</f>
        <v/>
      </c>
    </row>
    <row r="834">
      <c r="B834" t="inlineStr">
        <is>
          <t>使用量(kg)</t>
        </is>
      </c>
      <c r="C834">
        <f>SUMIFS(M_BOM[RM_Qty_Per_Batch],M_BOM[Intermediate],$B833,M_BOM[Part Name],$A812)</f>
        <v/>
      </c>
      <c r="D834">
        <f>$C834*D833</f>
        <v/>
      </c>
      <c r="E834">
        <f>$C834*E833</f>
        <v/>
      </c>
      <c r="F834">
        <f>$C834*F833</f>
        <v/>
      </c>
      <c r="G834">
        <f>$C834*G833</f>
        <v/>
      </c>
      <c r="H834">
        <f>$C834*H833</f>
        <v/>
      </c>
      <c r="I834">
        <f>$C834*I833</f>
        <v/>
      </c>
      <c r="J834">
        <f>$C834*J833</f>
        <v/>
      </c>
      <c r="K834">
        <f>$C834*K833</f>
        <v/>
      </c>
      <c r="L834">
        <f>$C834*L833</f>
        <v/>
      </c>
      <c r="M834">
        <f>$C834*M833</f>
        <v/>
      </c>
      <c r="N834">
        <f>$C834*N833</f>
        <v/>
      </c>
      <c r="O834">
        <f>$C834*O833</f>
        <v/>
      </c>
      <c r="P834">
        <f>$C834*P833</f>
        <v/>
      </c>
      <c r="Q834">
        <f>$C834*Q833</f>
        <v/>
      </c>
      <c r="R834">
        <f>$C834*R833</f>
        <v/>
      </c>
      <c r="S834">
        <f>$C834*S833</f>
        <v/>
      </c>
      <c r="T834">
        <f>$C834*T833</f>
        <v/>
      </c>
      <c r="U834">
        <f>$C834*U833</f>
        <v/>
      </c>
      <c r="V834">
        <f>$C834*V833</f>
        <v/>
      </c>
      <c r="W834">
        <f>$C834*W833</f>
        <v/>
      </c>
      <c r="X834">
        <f>$C834*X833</f>
        <v/>
      </c>
      <c r="Y834">
        <f>$C834*Y833</f>
        <v/>
      </c>
      <c r="Z834">
        <f>$C834*Z833</f>
        <v/>
      </c>
      <c r="AA834">
        <f>$C834*AA833</f>
        <v/>
      </c>
      <c r="AB834">
        <f>$C834*AB833</f>
        <v/>
      </c>
      <c r="AC834">
        <f>$C834*AC833</f>
        <v/>
      </c>
      <c r="AD834">
        <f>$C834*AD833</f>
        <v/>
      </c>
      <c r="AE834">
        <f>$C834*AE833</f>
        <v/>
      </c>
      <c r="AF834">
        <f>$C834*AF833</f>
        <v/>
      </c>
      <c r="AG834">
        <f>$C834*AG833</f>
        <v/>
      </c>
      <c r="AH834">
        <f>$C834*AH833</f>
        <v/>
      </c>
      <c r="AI834">
        <f>$C834*AI833</f>
        <v/>
      </c>
      <c r="AJ834">
        <f>$C834*AJ833</f>
        <v/>
      </c>
      <c r="AK834">
        <f>$C834*AK833</f>
        <v/>
      </c>
      <c r="AL834">
        <f>$C834*AL833</f>
        <v/>
      </c>
      <c r="AM834">
        <f>$C834*AM833</f>
        <v/>
      </c>
      <c r="AN834">
        <f>$C834*AN833</f>
        <v/>
      </c>
      <c r="AO834">
        <f>$C834*AO833</f>
        <v/>
      </c>
      <c r="AP834">
        <f>$C834*AP833</f>
        <v/>
      </c>
      <c r="AQ834">
        <f>$C834*AQ833</f>
        <v/>
      </c>
      <c r="AR834">
        <f>$C834*AR833</f>
        <v/>
      </c>
      <c r="AS834">
        <f>$C834*AS833</f>
        <v/>
      </c>
      <c r="AT834">
        <f>$C834*AT833</f>
        <v/>
      </c>
      <c r="AU834">
        <f>$C834*AU833</f>
        <v/>
      </c>
      <c r="AV834">
        <f>$C834*AV833</f>
        <v/>
      </c>
      <c r="AW834">
        <f>$C834*AW833</f>
        <v/>
      </c>
      <c r="AX834">
        <f>$C834*AX833</f>
        <v/>
      </c>
      <c r="AY834">
        <f>$C834*AY833</f>
        <v/>
      </c>
      <c r="AZ834">
        <f>$C834*AZ833</f>
        <v/>
      </c>
      <c r="BA834">
        <f>$C834*BA833</f>
        <v/>
      </c>
      <c r="BB834">
        <f>$C834*BB833</f>
        <v/>
      </c>
      <c r="BC834">
        <f>$C834*BC833</f>
        <v/>
      </c>
      <c r="BD834">
        <f>$C834*BD833</f>
        <v/>
      </c>
      <c r="BE834">
        <f>$C834*BE833</f>
        <v/>
      </c>
      <c r="BF834">
        <f>$C834*BF833</f>
        <v/>
      </c>
      <c r="BG834">
        <f>$C834*BG833</f>
        <v/>
      </c>
      <c r="BH834">
        <f>$C834*BH833</f>
        <v/>
      </c>
      <c r="BI834">
        <f>$C834*BI833</f>
        <v/>
      </c>
      <c r="BJ834">
        <f>$C834*BJ833</f>
        <v/>
      </c>
      <c r="BK834">
        <f>$C834*BK833</f>
        <v/>
      </c>
      <c r="BL834">
        <f>$C834*BL833</f>
        <v/>
      </c>
      <c r="BM834">
        <f>$C834*BM833</f>
        <v/>
      </c>
      <c r="BN834">
        <f>$C834*BN833</f>
        <v/>
      </c>
      <c r="BO834">
        <f>$C834*BO833</f>
        <v/>
      </c>
      <c r="BP834">
        <f>$C834*BP833</f>
        <v/>
      </c>
      <c r="BQ834">
        <f>$C834*BQ833</f>
        <v/>
      </c>
      <c r="BR834">
        <f>$C834*BR833</f>
        <v/>
      </c>
      <c r="BS834">
        <f>$C834*BS833</f>
        <v/>
      </c>
      <c r="BT834">
        <f>$C834*BT833</f>
        <v/>
      </c>
      <c r="BU834">
        <f>$C834*BU833</f>
        <v/>
      </c>
      <c r="BV834">
        <f>$C834*BV833</f>
        <v/>
      </c>
      <c r="BW834">
        <f>$C834*BW833</f>
        <v/>
      </c>
      <c r="BX834">
        <f>$C834*BX833</f>
        <v/>
      </c>
      <c r="BY834">
        <f>$C834*BY833</f>
        <v/>
      </c>
      <c r="BZ834">
        <f>$C834*BZ833</f>
        <v/>
      </c>
      <c r="CA834">
        <f>$C834*CA833</f>
        <v/>
      </c>
      <c r="CB834">
        <f>$C834*CB833</f>
        <v/>
      </c>
      <c r="CC834">
        <f>$C834*CC833</f>
        <v/>
      </c>
      <c r="CD834">
        <f>$C834*CD833</f>
        <v/>
      </c>
      <c r="CE834">
        <f>$C834*CE833</f>
        <v/>
      </c>
      <c r="CF834">
        <f>$C834*CF833</f>
        <v/>
      </c>
      <c r="CG834">
        <f>$C834*CG833</f>
        <v/>
      </c>
      <c r="CH834">
        <f>$C834*CH833</f>
        <v/>
      </c>
      <c r="CI834">
        <f>$C834*CI833</f>
        <v/>
      </c>
      <c r="CJ834">
        <f>$C834*CJ833</f>
        <v/>
      </c>
      <c r="CK834">
        <f>$C834*CK833</f>
        <v/>
      </c>
      <c r="CL834">
        <f>$C834*CL833</f>
        <v/>
      </c>
      <c r="CM834">
        <f>$C834*CM833</f>
        <v/>
      </c>
      <c r="CN834">
        <f>$C834*CN833</f>
        <v/>
      </c>
      <c r="CO834">
        <f>$C834*CO833</f>
        <v/>
      </c>
      <c r="CP834">
        <f>$C834*CP833</f>
        <v/>
      </c>
      <c r="CQ834">
        <f>$C834*CQ833</f>
        <v/>
      </c>
      <c r="CR834">
        <f>$C834*CR833</f>
        <v/>
      </c>
      <c r="CS834">
        <f>$C834*CS833</f>
        <v/>
      </c>
      <c r="CT834">
        <f>$C834*CT833</f>
        <v/>
      </c>
      <c r="CU834">
        <f>$C834*CU833</f>
        <v/>
      </c>
      <c r="CV834">
        <f>$C834*CV833</f>
        <v/>
      </c>
      <c r="CW834">
        <f>$C834*CW833</f>
        <v/>
      </c>
      <c r="CX834">
        <f>$C834*CX833</f>
        <v/>
      </c>
      <c r="CY834">
        <f>$C834*CY833</f>
        <v/>
      </c>
      <c r="CZ834">
        <f>$C834*CZ833</f>
        <v/>
      </c>
      <c r="DA834">
        <f>$C834*DA833</f>
        <v/>
      </c>
      <c r="DB834">
        <f>$C834*DB833</f>
        <v/>
      </c>
      <c r="DC834">
        <f>$C834*DC833</f>
        <v/>
      </c>
    </row>
    <row r="835">
      <c r="B835" t="inlineStr">
        <is>
          <t>VSP-602</t>
        </is>
      </c>
      <c r="C835" t="inlineStr">
        <is>
          <t>No. of batches</t>
        </is>
      </c>
      <c r="D835">
        <f>IFERROR(INDEX(PP_Grid[#Data],$DD835,2),0)</f>
        <v/>
      </c>
      <c r="E835">
        <f>IFERROR(INDEX(PP_Grid[#Data],$DD835,3),0)</f>
        <v/>
      </c>
      <c r="F835">
        <f>IFERROR(INDEX(PP_Grid[#Data],$DD835,4),0)</f>
        <v/>
      </c>
      <c r="G835">
        <f>IFERROR(INDEX(PP_Grid[#Data],$DD835,5),0)</f>
        <v/>
      </c>
      <c r="H835">
        <f>IFERROR(INDEX(PP_Grid[#Data],$DD835,6),0)</f>
        <v/>
      </c>
      <c r="I835">
        <f>IFERROR(INDEX(PP_Grid[#Data],$DD835,7),0)</f>
        <v/>
      </c>
      <c r="J835">
        <f>IFERROR(INDEX(PP_Grid[#Data],$DD835,8),0)</f>
        <v/>
      </c>
      <c r="K835">
        <f>IFERROR(INDEX(PP_Grid[#Data],$DD835,9),0)</f>
        <v/>
      </c>
      <c r="L835">
        <f>IFERROR(INDEX(PP_Grid[#Data],$DD835,10),0)</f>
        <v/>
      </c>
      <c r="M835">
        <f>IFERROR(INDEX(PP_Grid[#Data],$DD835,11),0)</f>
        <v/>
      </c>
      <c r="N835">
        <f>IFERROR(INDEX(PP_Grid[#Data],$DD835,12),0)</f>
        <v/>
      </c>
      <c r="O835">
        <f>IFERROR(INDEX(PP_Grid[#Data],$DD835,13),0)</f>
        <v/>
      </c>
      <c r="P835">
        <f>IFERROR(INDEX(PP_Grid[#Data],$DD835,14),0)</f>
        <v/>
      </c>
      <c r="Q835">
        <f>IFERROR(INDEX(PP_Grid[#Data],$DD835,15),0)</f>
        <v/>
      </c>
      <c r="R835">
        <f>IFERROR(INDEX(PP_Grid[#Data],$DD835,16),0)</f>
        <v/>
      </c>
      <c r="S835">
        <f>IFERROR(INDEX(PP_Grid[#Data],$DD835,17),0)</f>
        <v/>
      </c>
      <c r="T835">
        <f>IFERROR(INDEX(PP_Grid[#Data],$DD835,18),0)</f>
        <v/>
      </c>
      <c r="U835">
        <f>IFERROR(INDEX(PP_Grid[#Data],$DD835,19),0)</f>
        <v/>
      </c>
      <c r="V835">
        <f>IFERROR(INDEX(PP_Grid[#Data],$DD835,20),0)</f>
        <v/>
      </c>
      <c r="W835">
        <f>IFERROR(INDEX(PP_Grid[#Data],$DD835,21),0)</f>
        <v/>
      </c>
      <c r="X835">
        <f>IFERROR(INDEX(PP_Grid[#Data],$DD835,22),0)</f>
        <v/>
      </c>
      <c r="Y835">
        <f>IFERROR(INDEX(PP_Grid[#Data],$DD835,23),0)</f>
        <v/>
      </c>
      <c r="Z835">
        <f>IFERROR(INDEX(PP_Grid[#Data],$DD835,24),0)</f>
        <v/>
      </c>
      <c r="AA835">
        <f>IFERROR(INDEX(PP_Grid[#Data],$DD835,25),0)</f>
        <v/>
      </c>
      <c r="AB835">
        <f>IFERROR(INDEX(PP_Grid[#Data],$DD835,26),0)</f>
        <v/>
      </c>
      <c r="AC835">
        <f>IFERROR(INDEX(PP_Grid[#Data],$DD835,27),0)</f>
        <v/>
      </c>
      <c r="AD835">
        <f>IFERROR(INDEX(PP_Grid[#Data],$DD835,28),0)</f>
        <v/>
      </c>
      <c r="AE835">
        <f>IFERROR(INDEX(PP_Grid[#Data],$DD835,29),0)</f>
        <v/>
      </c>
      <c r="AF835">
        <f>IFERROR(INDEX(PP_Grid[#Data],$DD835,30),0)</f>
        <v/>
      </c>
      <c r="AG835">
        <f>IFERROR(INDEX(PP_Grid[#Data],$DD835,31),0)</f>
        <v/>
      </c>
      <c r="AH835">
        <f>IFERROR(INDEX(PP_Grid[#Data],$DD835,32),0)</f>
        <v/>
      </c>
      <c r="AI835">
        <f>IFERROR(INDEX(PP_Grid[#Data],$DD835,33),0)</f>
        <v/>
      </c>
      <c r="AJ835">
        <f>IFERROR(INDEX(PP_Grid[#Data],$DD835,34),0)</f>
        <v/>
      </c>
      <c r="AK835">
        <f>IFERROR(INDEX(PP_Grid[#Data],$DD835,35),0)</f>
        <v/>
      </c>
      <c r="AL835">
        <f>IFERROR(INDEX(PP_Grid[#Data],$DD835,36),0)</f>
        <v/>
      </c>
      <c r="AM835">
        <f>IFERROR(INDEX(PP_Grid[#Data],$DD835,37),0)</f>
        <v/>
      </c>
      <c r="AN835">
        <f>IFERROR(INDEX(PP_Grid[#Data],$DD835,38),0)</f>
        <v/>
      </c>
      <c r="AO835">
        <f>IFERROR(INDEX(PP_Grid[#Data],$DD835,39),0)</f>
        <v/>
      </c>
      <c r="AP835">
        <f>IFERROR(INDEX(PP_Grid[#Data],$DD835,40),0)</f>
        <v/>
      </c>
      <c r="AQ835">
        <f>IFERROR(INDEX(PP_Grid[#Data],$DD835,41),0)</f>
        <v/>
      </c>
      <c r="AR835">
        <f>IFERROR(INDEX(PP_Grid[#Data],$DD835,42),0)</f>
        <v/>
      </c>
      <c r="AS835">
        <f>IFERROR(INDEX(PP_Grid[#Data],$DD835,43),0)</f>
        <v/>
      </c>
      <c r="AT835">
        <f>IFERROR(INDEX(PP_Grid[#Data],$DD835,44),0)</f>
        <v/>
      </c>
      <c r="AU835">
        <f>IFERROR(INDEX(PP_Grid[#Data],$DD835,45),0)</f>
        <v/>
      </c>
      <c r="AV835">
        <f>IFERROR(INDEX(PP_Grid[#Data],$DD835,46),0)</f>
        <v/>
      </c>
      <c r="AW835">
        <f>IFERROR(INDEX(PP_Grid[#Data],$DD835,47),0)</f>
        <v/>
      </c>
      <c r="AX835">
        <f>IFERROR(INDEX(PP_Grid[#Data],$DD835,48),0)</f>
        <v/>
      </c>
      <c r="AY835">
        <f>IFERROR(INDEX(PP_Grid[#Data],$DD835,49),0)</f>
        <v/>
      </c>
      <c r="AZ835">
        <f>IFERROR(INDEX(PP_Grid[#Data],$DD835,50),0)</f>
        <v/>
      </c>
      <c r="BA835">
        <f>IFERROR(INDEX(PP_Grid[#Data],$DD835,51),0)</f>
        <v/>
      </c>
      <c r="BB835">
        <f>IFERROR(INDEX(PP_Grid[#Data],$DD835,52),0)</f>
        <v/>
      </c>
      <c r="BC835">
        <f>IFERROR(INDEX(PP_Grid[#Data],$DD835,53),0)</f>
        <v/>
      </c>
      <c r="BD835">
        <f>IFERROR(INDEX(PP_Grid[#Data],$DD835,54),0)</f>
        <v/>
      </c>
      <c r="BE835">
        <f>IFERROR(INDEX(PP_Grid[#Data],$DD835,55),0)</f>
        <v/>
      </c>
      <c r="BF835">
        <f>IFERROR(INDEX(PP_Grid[#Data],$DD835,56),0)</f>
        <v/>
      </c>
      <c r="BG835">
        <f>IFERROR(INDEX(PP_Grid[#Data],$DD835,57),0)</f>
        <v/>
      </c>
      <c r="BH835">
        <f>IFERROR(INDEX(PP_Grid[#Data],$DD835,58),0)</f>
        <v/>
      </c>
      <c r="BI835">
        <f>IFERROR(INDEX(PP_Grid[#Data],$DD835,59),0)</f>
        <v/>
      </c>
      <c r="BJ835">
        <f>IFERROR(INDEX(PP_Grid[#Data],$DD835,60),0)</f>
        <v/>
      </c>
      <c r="BK835">
        <f>IFERROR(INDEX(PP_Grid[#Data],$DD835,61),0)</f>
        <v/>
      </c>
      <c r="BL835">
        <f>IFERROR(INDEX(PP_Grid[#Data],$DD835,62),0)</f>
        <v/>
      </c>
      <c r="BM835">
        <f>IFERROR(INDEX(PP_Grid[#Data],$DD835,63),0)</f>
        <v/>
      </c>
      <c r="BN835">
        <f>IFERROR(INDEX(PP_Grid[#Data],$DD835,64),0)</f>
        <v/>
      </c>
      <c r="BO835">
        <f>IFERROR(INDEX(PP_Grid[#Data],$DD835,65),0)</f>
        <v/>
      </c>
      <c r="BP835">
        <f>IFERROR(INDEX(PP_Grid[#Data],$DD835,66),0)</f>
        <v/>
      </c>
      <c r="BQ835">
        <f>IFERROR(INDEX(PP_Grid[#Data],$DD835,67),0)</f>
        <v/>
      </c>
      <c r="BR835">
        <f>IFERROR(INDEX(PP_Grid[#Data],$DD835,68),0)</f>
        <v/>
      </c>
      <c r="BS835">
        <f>IFERROR(INDEX(PP_Grid[#Data],$DD835,69),0)</f>
        <v/>
      </c>
      <c r="BT835">
        <f>IFERROR(INDEX(PP_Grid[#Data],$DD835,70),0)</f>
        <v/>
      </c>
      <c r="BU835">
        <f>IFERROR(INDEX(PP_Grid[#Data],$DD835,71),0)</f>
        <v/>
      </c>
      <c r="BV835">
        <f>IFERROR(INDEX(PP_Grid[#Data],$DD835,72),0)</f>
        <v/>
      </c>
      <c r="BW835">
        <f>IFERROR(INDEX(PP_Grid[#Data],$DD835,73),0)</f>
        <v/>
      </c>
      <c r="BX835">
        <f>IFERROR(INDEX(PP_Grid[#Data],$DD835,74),0)</f>
        <v/>
      </c>
      <c r="BY835">
        <f>IFERROR(INDEX(PP_Grid[#Data],$DD835,75),0)</f>
        <v/>
      </c>
      <c r="BZ835">
        <f>IFERROR(INDEX(PP_Grid[#Data],$DD835,76),0)</f>
        <v/>
      </c>
      <c r="CA835">
        <f>IFERROR(INDEX(PP_Grid[#Data],$DD835,77),0)</f>
        <v/>
      </c>
      <c r="CB835">
        <f>IFERROR(INDEX(PP_Grid[#Data],$DD835,78),0)</f>
        <v/>
      </c>
      <c r="CC835">
        <f>IFERROR(INDEX(PP_Grid[#Data],$DD835,79),0)</f>
        <v/>
      </c>
      <c r="CD835">
        <f>IFERROR(INDEX(PP_Grid[#Data],$DD835,80),0)</f>
        <v/>
      </c>
      <c r="CE835">
        <f>IFERROR(INDEX(PP_Grid[#Data],$DD835,81),0)</f>
        <v/>
      </c>
      <c r="CF835">
        <f>IFERROR(INDEX(PP_Grid[#Data],$DD835,82),0)</f>
        <v/>
      </c>
      <c r="CG835">
        <f>IFERROR(INDEX(PP_Grid[#Data],$DD835,83),0)</f>
        <v/>
      </c>
      <c r="CH835">
        <f>IFERROR(INDEX(PP_Grid[#Data],$DD835,84),0)</f>
        <v/>
      </c>
      <c r="CI835">
        <f>IFERROR(INDEX(PP_Grid[#Data],$DD835,85),0)</f>
        <v/>
      </c>
      <c r="CJ835">
        <f>IFERROR(INDEX(PP_Grid[#Data],$DD835,86),0)</f>
        <v/>
      </c>
      <c r="CK835">
        <f>IFERROR(INDEX(PP_Grid[#Data],$DD835,87),0)</f>
        <v/>
      </c>
      <c r="CL835">
        <f>IFERROR(INDEX(PP_Grid[#Data],$DD835,88),0)</f>
        <v/>
      </c>
      <c r="CM835">
        <f>IFERROR(INDEX(PP_Grid[#Data],$DD835,89),0)</f>
        <v/>
      </c>
      <c r="CN835">
        <f>IFERROR(INDEX(PP_Grid[#Data],$DD835,90),0)</f>
        <v/>
      </c>
      <c r="CO835">
        <f>IFERROR(INDEX(PP_Grid[#Data],$DD835,91),0)</f>
        <v/>
      </c>
      <c r="CP835">
        <f>IFERROR(INDEX(PP_Grid[#Data],$DD835,92),0)</f>
        <v/>
      </c>
      <c r="CQ835">
        <f>IFERROR(INDEX(PP_Grid[#Data],$DD835,93),0)</f>
        <v/>
      </c>
      <c r="CR835">
        <f>IFERROR(INDEX(PP_Grid[#Data],$DD835,94),0)</f>
        <v/>
      </c>
      <c r="CS835">
        <f>IFERROR(INDEX(PP_Grid[#Data],$DD835,95),0)</f>
        <v/>
      </c>
      <c r="CT835">
        <f>IFERROR(INDEX(PP_Grid[#Data],$DD835,96),0)</f>
        <v/>
      </c>
      <c r="CU835">
        <f>IFERROR(INDEX(PP_Grid[#Data],$DD835,97),0)</f>
        <v/>
      </c>
      <c r="CV835">
        <f>IFERROR(INDEX(PP_Grid[#Data],$DD835,98),0)</f>
        <v/>
      </c>
      <c r="CW835">
        <f>IFERROR(INDEX(PP_Grid[#Data],$DD835,99),0)</f>
        <v/>
      </c>
      <c r="CX835">
        <f>IFERROR(INDEX(PP_Grid[#Data],$DD835,100),0)</f>
        <v/>
      </c>
      <c r="CY835">
        <f>IFERROR(INDEX(PP_Grid[#Data],$DD835,101),0)</f>
        <v/>
      </c>
      <c r="CZ835">
        <f>IFERROR(INDEX(PP_Grid[#Data],$DD835,102),0)</f>
        <v/>
      </c>
      <c r="DA835">
        <f>IFERROR(INDEX(PP_Grid[#Data],$DD835,103),0)</f>
        <v/>
      </c>
      <c r="DB835">
        <f>IFERROR(INDEX(PP_Grid[#Data],$DD835,104),0)</f>
        <v/>
      </c>
      <c r="DC835">
        <f>IFERROR(INDEX(PP_Grid[#Data],$DD835,105),0)</f>
        <v/>
      </c>
      <c r="DD835" s="12">
        <f>IFERROR(MATCH($B835,PP_Grid[Intermediate],0),99999)</f>
        <v/>
      </c>
    </row>
    <row r="836">
      <c r="B836" t="inlineStr">
        <is>
          <t>使用量(kg)</t>
        </is>
      </c>
      <c r="C836">
        <f>SUMIFS(M_BOM[RM_Qty_Per_Batch],M_BOM[Intermediate],$B835,M_BOM[Part Name],$A812)</f>
        <v/>
      </c>
      <c r="D836">
        <f>$C836*D835</f>
        <v/>
      </c>
      <c r="E836">
        <f>$C836*E835</f>
        <v/>
      </c>
      <c r="F836">
        <f>$C836*F835</f>
        <v/>
      </c>
      <c r="G836">
        <f>$C836*G835</f>
        <v/>
      </c>
      <c r="H836">
        <f>$C836*H835</f>
        <v/>
      </c>
      <c r="I836">
        <f>$C836*I835</f>
        <v/>
      </c>
      <c r="J836">
        <f>$C836*J835</f>
        <v/>
      </c>
      <c r="K836">
        <f>$C836*K835</f>
        <v/>
      </c>
      <c r="L836">
        <f>$C836*L835</f>
        <v/>
      </c>
      <c r="M836">
        <f>$C836*M835</f>
        <v/>
      </c>
      <c r="N836">
        <f>$C836*N835</f>
        <v/>
      </c>
      <c r="O836">
        <f>$C836*O835</f>
        <v/>
      </c>
      <c r="P836">
        <f>$C836*P835</f>
        <v/>
      </c>
      <c r="Q836">
        <f>$C836*Q835</f>
        <v/>
      </c>
      <c r="R836">
        <f>$C836*R835</f>
        <v/>
      </c>
      <c r="S836">
        <f>$C836*S835</f>
        <v/>
      </c>
      <c r="T836">
        <f>$C836*T835</f>
        <v/>
      </c>
      <c r="U836">
        <f>$C836*U835</f>
        <v/>
      </c>
      <c r="V836">
        <f>$C836*V835</f>
        <v/>
      </c>
      <c r="W836">
        <f>$C836*W835</f>
        <v/>
      </c>
      <c r="X836">
        <f>$C836*X835</f>
        <v/>
      </c>
      <c r="Y836">
        <f>$C836*Y835</f>
        <v/>
      </c>
      <c r="Z836">
        <f>$C836*Z835</f>
        <v/>
      </c>
      <c r="AA836">
        <f>$C836*AA835</f>
        <v/>
      </c>
      <c r="AB836">
        <f>$C836*AB835</f>
        <v/>
      </c>
      <c r="AC836">
        <f>$C836*AC835</f>
        <v/>
      </c>
      <c r="AD836">
        <f>$C836*AD835</f>
        <v/>
      </c>
      <c r="AE836">
        <f>$C836*AE835</f>
        <v/>
      </c>
      <c r="AF836">
        <f>$C836*AF835</f>
        <v/>
      </c>
      <c r="AG836">
        <f>$C836*AG835</f>
        <v/>
      </c>
      <c r="AH836">
        <f>$C836*AH835</f>
        <v/>
      </c>
      <c r="AI836">
        <f>$C836*AI835</f>
        <v/>
      </c>
      <c r="AJ836">
        <f>$C836*AJ835</f>
        <v/>
      </c>
      <c r="AK836">
        <f>$C836*AK835</f>
        <v/>
      </c>
      <c r="AL836">
        <f>$C836*AL835</f>
        <v/>
      </c>
      <c r="AM836">
        <f>$C836*AM835</f>
        <v/>
      </c>
      <c r="AN836">
        <f>$C836*AN835</f>
        <v/>
      </c>
      <c r="AO836">
        <f>$C836*AO835</f>
        <v/>
      </c>
      <c r="AP836">
        <f>$C836*AP835</f>
        <v/>
      </c>
      <c r="AQ836">
        <f>$C836*AQ835</f>
        <v/>
      </c>
      <c r="AR836">
        <f>$C836*AR835</f>
        <v/>
      </c>
      <c r="AS836">
        <f>$C836*AS835</f>
        <v/>
      </c>
      <c r="AT836">
        <f>$C836*AT835</f>
        <v/>
      </c>
      <c r="AU836">
        <f>$C836*AU835</f>
        <v/>
      </c>
      <c r="AV836">
        <f>$C836*AV835</f>
        <v/>
      </c>
      <c r="AW836">
        <f>$C836*AW835</f>
        <v/>
      </c>
      <c r="AX836">
        <f>$C836*AX835</f>
        <v/>
      </c>
      <c r="AY836">
        <f>$C836*AY835</f>
        <v/>
      </c>
      <c r="AZ836">
        <f>$C836*AZ835</f>
        <v/>
      </c>
      <c r="BA836">
        <f>$C836*BA835</f>
        <v/>
      </c>
      <c r="BB836">
        <f>$C836*BB835</f>
        <v/>
      </c>
      <c r="BC836">
        <f>$C836*BC835</f>
        <v/>
      </c>
      <c r="BD836">
        <f>$C836*BD835</f>
        <v/>
      </c>
      <c r="BE836">
        <f>$C836*BE835</f>
        <v/>
      </c>
      <c r="BF836">
        <f>$C836*BF835</f>
        <v/>
      </c>
      <c r="BG836">
        <f>$C836*BG835</f>
        <v/>
      </c>
      <c r="BH836">
        <f>$C836*BH835</f>
        <v/>
      </c>
      <c r="BI836">
        <f>$C836*BI835</f>
        <v/>
      </c>
      <c r="BJ836">
        <f>$C836*BJ835</f>
        <v/>
      </c>
      <c r="BK836">
        <f>$C836*BK835</f>
        <v/>
      </c>
      <c r="BL836">
        <f>$C836*BL835</f>
        <v/>
      </c>
      <c r="BM836">
        <f>$C836*BM835</f>
        <v/>
      </c>
      <c r="BN836">
        <f>$C836*BN835</f>
        <v/>
      </c>
      <c r="BO836">
        <f>$C836*BO835</f>
        <v/>
      </c>
      <c r="BP836">
        <f>$C836*BP835</f>
        <v/>
      </c>
      <c r="BQ836">
        <f>$C836*BQ835</f>
        <v/>
      </c>
      <c r="BR836">
        <f>$C836*BR835</f>
        <v/>
      </c>
      <c r="BS836">
        <f>$C836*BS835</f>
        <v/>
      </c>
      <c r="BT836">
        <f>$C836*BT835</f>
        <v/>
      </c>
      <c r="BU836">
        <f>$C836*BU835</f>
        <v/>
      </c>
      <c r="BV836">
        <f>$C836*BV835</f>
        <v/>
      </c>
      <c r="BW836">
        <f>$C836*BW835</f>
        <v/>
      </c>
      <c r="BX836">
        <f>$C836*BX835</f>
        <v/>
      </c>
      <c r="BY836">
        <f>$C836*BY835</f>
        <v/>
      </c>
      <c r="BZ836">
        <f>$C836*BZ835</f>
        <v/>
      </c>
      <c r="CA836">
        <f>$C836*CA835</f>
        <v/>
      </c>
      <c r="CB836">
        <f>$C836*CB835</f>
        <v/>
      </c>
      <c r="CC836">
        <f>$C836*CC835</f>
        <v/>
      </c>
      <c r="CD836">
        <f>$C836*CD835</f>
        <v/>
      </c>
      <c r="CE836">
        <f>$C836*CE835</f>
        <v/>
      </c>
      <c r="CF836">
        <f>$C836*CF835</f>
        <v/>
      </c>
      <c r="CG836">
        <f>$C836*CG835</f>
        <v/>
      </c>
      <c r="CH836">
        <f>$C836*CH835</f>
        <v/>
      </c>
      <c r="CI836">
        <f>$C836*CI835</f>
        <v/>
      </c>
      <c r="CJ836">
        <f>$C836*CJ835</f>
        <v/>
      </c>
      <c r="CK836">
        <f>$C836*CK835</f>
        <v/>
      </c>
      <c r="CL836">
        <f>$C836*CL835</f>
        <v/>
      </c>
      <c r="CM836">
        <f>$C836*CM835</f>
        <v/>
      </c>
      <c r="CN836">
        <f>$C836*CN835</f>
        <v/>
      </c>
      <c r="CO836">
        <f>$C836*CO835</f>
        <v/>
      </c>
      <c r="CP836">
        <f>$C836*CP835</f>
        <v/>
      </c>
      <c r="CQ836">
        <f>$C836*CQ835</f>
        <v/>
      </c>
      <c r="CR836">
        <f>$C836*CR835</f>
        <v/>
      </c>
      <c r="CS836">
        <f>$C836*CS835</f>
        <v/>
      </c>
      <c r="CT836">
        <f>$C836*CT835</f>
        <v/>
      </c>
      <c r="CU836">
        <f>$C836*CU835</f>
        <v/>
      </c>
      <c r="CV836">
        <f>$C836*CV835</f>
        <v/>
      </c>
      <c r="CW836">
        <f>$C836*CW835</f>
        <v/>
      </c>
      <c r="CX836">
        <f>$C836*CX835</f>
        <v/>
      </c>
      <c r="CY836">
        <f>$C836*CY835</f>
        <v/>
      </c>
      <c r="CZ836">
        <f>$C836*CZ835</f>
        <v/>
      </c>
      <c r="DA836">
        <f>$C836*DA835</f>
        <v/>
      </c>
      <c r="DB836">
        <f>$C836*DB835</f>
        <v/>
      </c>
      <c r="DC836">
        <f>$C836*DC835</f>
        <v/>
      </c>
    </row>
    <row r="837">
      <c r="B837" t="inlineStr">
        <is>
          <t>VSP-822</t>
        </is>
      </c>
      <c r="C837" t="inlineStr">
        <is>
          <t>No. of batches</t>
        </is>
      </c>
      <c r="D837">
        <f>IFERROR(INDEX(PP_Grid[#Data],$DD837,2),0)</f>
        <v/>
      </c>
      <c r="E837">
        <f>IFERROR(INDEX(PP_Grid[#Data],$DD837,3),0)</f>
        <v/>
      </c>
      <c r="F837">
        <f>IFERROR(INDEX(PP_Grid[#Data],$DD837,4),0)</f>
        <v/>
      </c>
      <c r="G837">
        <f>IFERROR(INDEX(PP_Grid[#Data],$DD837,5),0)</f>
        <v/>
      </c>
      <c r="H837">
        <f>IFERROR(INDEX(PP_Grid[#Data],$DD837,6),0)</f>
        <v/>
      </c>
      <c r="I837">
        <f>IFERROR(INDEX(PP_Grid[#Data],$DD837,7),0)</f>
        <v/>
      </c>
      <c r="J837">
        <f>IFERROR(INDEX(PP_Grid[#Data],$DD837,8),0)</f>
        <v/>
      </c>
      <c r="K837">
        <f>IFERROR(INDEX(PP_Grid[#Data],$DD837,9),0)</f>
        <v/>
      </c>
      <c r="L837">
        <f>IFERROR(INDEX(PP_Grid[#Data],$DD837,10),0)</f>
        <v/>
      </c>
      <c r="M837">
        <f>IFERROR(INDEX(PP_Grid[#Data],$DD837,11),0)</f>
        <v/>
      </c>
      <c r="N837">
        <f>IFERROR(INDEX(PP_Grid[#Data],$DD837,12),0)</f>
        <v/>
      </c>
      <c r="O837">
        <f>IFERROR(INDEX(PP_Grid[#Data],$DD837,13),0)</f>
        <v/>
      </c>
      <c r="P837">
        <f>IFERROR(INDEX(PP_Grid[#Data],$DD837,14),0)</f>
        <v/>
      </c>
      <c r="Q837">
        <f>IFERROR(INDEX(PP_Grid[#Data],$DD837,15),0)</f>
        <v/>
      </c>
      <c r="R837">
        <f>IFERROR(INDEX(PP_Grid[#Data],$DD837,16),0)</f>
        <v/>
      </c>
      <c r="S837">
        <f>IFERROR(INDEX(PP_Grid[#Data],$DD837,17),0)</f>
        <v/>
      </c>
      <c r="T837">
        <f>IFERROR(INDEX(PP_Grid[#Data],$DD837,18),0)</f>
        <v/>
      </c>
      <c r="U837">
        <f>IFERROR(INDEX(PP_Grid[#Data],$DD837,19),0)</f>
        <v/>
      </c>
      <c r="V837">
        <f>IFERROR(INDEX(PP_Grid[#Data],$DD837,20),0)</f>
        <v/>
      </c>
      <c r="W837">
        <f>IFERROR(INDEX(PP_Grid[#Data],$DD837,21),0)</f>
        <v/>
      </c>
      <c r="X837">
        <f>IFERROR(INDEX(PP_Grid[#Data],$DD837,22),0)</f>
        <v/>
      </c>
      <c r="Y837">
        <f>IFERROR(INDEX(PP_Grid[#Data],$DD837,23),0)</f>
        <v/>
      </c>
      <c r="Z837">
        <f>IFERROR(INDEX(PP_Grid[#Data],$DD837,24),0)</f>
        <v/>
      </c>
      <c r="AA837">
        <f>IFERROR(INDEX(PP_Grid[#Data],$DD837,25),0)</f>
        <v/>
      </c>
      <c r="AB837">
        <f>IFERROR(INDEX(PP_Grid[#Data],$DD837,26),0)</f>
        <v/>
      </c>
      <c r="AC837">
        <f>IFERROR(INDEX(PP_Grid[#Data],$DD837,27),0)</f>
        <v/>
      </c>
      <c r="AD837">
        <f>IFERROR(INDEX(PP_Grid[#Data],$DD837,28),0)</f>
        <v/>
      </c>
      <c r="AE837">
        <f>IFERROR(INDEX(PP_Grid[#Data],$DD837,29),0)</f>
        <v/>
      </c>
      <c r="AF837">
        <f>IFERROR(INDEX(PP_Grid[#Data],$DD837,30),0)</f>
        <v/>
      </c>
      <c r="AG837">
        <f>IFERROR(INDEX(PP_Grid[#Data],$DD837,31),0)</f>
        <v/>
      </c>
      <c r="AH837">
        <f>IFERROR(INDEX(PP_Grid[#Data],$DD837,32),0)</f>
        <v/>
      </c>
      <c r="AI837">
        <f>IFERROR(INDEX(PP_Grid[#Data],$DD837,33),0)</f>
        <v/>
      </c>
      <c r="AJ837">
        <f>IFERROR(INDEX(PP_Grid[#Data],$DD837,34),0)</f>
        <v/>
      </c>
      <c r="AK837">
        <f>IFERROR(INDEX(PP_Grid[#Data],$DD837,35),0)</f>
        <v/>
      </c>
      <c r="AL837">
        <f>IFERROR(INDEX(PP_Grid[#Data],$DD837,36),0)</f>
        <v/>
      </c>
      <c r="AM837">
        <f>IFERROR(INDEX(PP_Grid[#Data],$DD837,37),0)</f>
        <v/>
      </c>
      <c r="AN837">
        <f>IFERROR(INDEX(PP_Grid[#Data],$DD837,38),0)</f>
        <v/>
      </c>
      <c r="AO837">
        <f>IFERROR(INDEX(PP_Grid[#Data],$DD837,39),0)</f>
        <v/>
      </c>
      <c r="AP837">
        <f>IFERROR(INDEX(PP_Grid[#Data],$DD837,40),0)</f>
        <v/>
      </c>
      <c r="AQ837">
        <f>IFERROR(INDEX(PP_Grid[#Data],$DD837,41),0)</f>
        <v/>
      </c>
      <c r="AR837">
        <f>IFERROR(INDEX(PP_Grid[#Data],$DD837,42),0)</f>
        <v/>
      </c>
      <c r="AS837">
        <f>IFERROR(INDEX(PP_Grid[#Data],$DD837,43),0)</f>
        <v/>
      </c>
      <c r="AT837">
        <f>IFERROR(INDEX(PP_Grid[#Data],$DD837,44),0)</f>
        <v/>
      </c>
      <c r="AU837">
        <f>IFERROR(INDEX(PP_Grid[#Data],$DD837,45),0)</f>
        <v/>
      </c>
      <c r="AV837">
        <f>IFERROR(INDEX(PP_Grid[#Data],$DD837,46),0)</f>
        <v/>
      </c>
      <c r="AW837">
        <f>IFERROR(INDEX(PP_Grid[#Data],$DD837,47),0)</f>
        <v/>
      </c>
      <c r="AX837">
        <f>IFERROR(INDEX(PP_Grid[#Data],$DD837,48),0)</f>
        <v/>
      </c>
      <c r="AY837">
        <f>IFERROR(INDEX(PP_Grid[#Data],$DD837,49),0)</f>
        <v/>
      </c>
      <c r="AZ837">
        <f>IFERROR(INDEX(PP_Grid[#Data],$DD837,50),0)</f>
        <v/>
      </c>
      <c r="BA837">
        <f>IFERROR(INDEX(PP_Grid[#Data],$DD837,51),0)</f>
        <v/>
      </c>
      <c r="BB837">
        <f>IFERROR(INDEX(PP_Grid[#Data],$DD837,52),0)</f>
        <v/>
      </c>
      <c r="BC837">
        <f>IFERROR(INDEX(PP_Grid[#Data],$DD837,53),0)</f>
        <v/>
      </c>
      <c r="BD837">
        <f>IFERROR(INDEX(PP_Grid[#Data],$DD837,54),0)</f>
        <v/>
      </c>
      <c r="BE837">
        <f>IFERROR(INDEX(PP_Grid[#Data],$DD837,55),0)</f>
        <v/>
      </c>
      <c r="BF837">
        <f>IFERROR(INDEX(PP_Grid[#Data],$DD837,56),0)</f>
        <v/>
      </c>
      <c r="BG837">
        <f>IFERROR(INDEX(PP_Grid[#Data],$DD837,57),0)</f>
        <v/>
      </c>
      <c r="BH837">
        <f>IFERROR(INDEX(PP_Grid[#Data],$DD837,58),0)</f>
        <v/>
      </c>
      <c r="BI837">
        <f>IFERROR(INDEX(PP_Grid[#Data],$DD837,59),0)</f>
        <v/>
      </c>
      <c r="BJ837">
        <f>IFERROR(INDEX(PP_Grid[#Data],$DD837,60),0)</f>
        <v/>
      </c>
      <c r="BK837">
        <f>IFERROR(INDEX(PP_Grid[#Data],$DD837,61),0)</f>
        <v/>
      </c>
      <c r="BL837">
        <f>IFERROR(INDEX(PP_Grid[#Data],$DD837,62),0)</f>
        <v/>
      </c>
      <c r="BM837">
        <f>IFERROR(INDEX(PP_Grid[#Data],$DD837,63),0)</f>
        <v/>
      </c>
      <c r="BN837">
        <f>IFERROR(INDEX(PP_Grid[#Data],$DD837,64),0)</f>
        <v/>
      </c>
      <c r="BO837">
        <f>IFERROR(INDEX(PP_Grid[#Data],$DD837,65),0)</f>
        <v/>
      </c>
      <c r="BP837">
        <f>IFERROR(INDEX(PP_Grid[#Data],$DD837,66),0)</f>
        <v/>
      </c>
      <c r="BQ837">
        <f>IFERROR(INDEX(PP_Grid[#Data],$DD837,67),0)</f>
        <v/>
      </c>
      <c r="BR837">
        <f>IFERROR(INDEX(PP_Grid[#Data],$DD837,68),0)</f>
        <v/>
      </c>
      <c r="BS837">
        <f>IFERROR(INDEX(PP_Grid[#Data],$DD837,69),0)</f>
        <v/>
      </c>
      <c r="BT837">
        <f>IFERROR(INDEX(PP_Grid[#Data],$DD837,70),0)</f>
        <v/>
      </c>
      <c r="BU837">
        <f>IFERROR(INDEX(PP_Grid[#Data],$DD837,71),0)</f>
        <v/>
      </c>
      <c r="BV837">
        <f>IFERROR(INDEX(PP_Grid[#Data],$DD837,72),0)</f>
        <v/>
      </c>
      <c r="BW837">
        <f>IFERROR(INDEX(PP_Grid[#Data],$DD837,73),0)</f>
        <v/>
      </c>
      <c r="BX837">
        <f>IFERROR(INDEX(PP_Grid[#Data],$DD837,74),0)</f>
        <v/>
      </c>
      <c r="BY837">
        <f>IFERROR(INDEX(PP_Grid[#Data],$DD837,75),0)</f>
        <v/>
      </c>
      <c r="BZ837">
        <f>IFERROR(INDEX(PP_Grid[#Data],$DD837,76),0)</f>
        <v/>
      </c>
      <c r="CA837">
        <f>IFERROR(INDEX(PP_Grid[#Data],$DD837,77),0)</f>
        <v/>
      </c>
      <c r="CB837">
        <f>IFERROR(INDEX(PP_Grid[#Data],$DD837,78),0)</f>
        <v/>
      </c>
      <c r="CC837">
        <f>IFERROR(INDEX(PP_Grid[#Data],$DD837,79),0)</f>
        <v/>
      </c>
      <c r="CD837">
        <f>IFERROR(INDEX(PP_Grid[#Data],$DD837,80),0)</f>
        <v/>
      </c>
      <c r="CE837">
        <f>IFERROR(INDEX(PP_Grid[#Data],$DD837,81),0)</f>
        <v/>
      </c>
      <c r="CF837">
        <f>IFERROR(INDEX(PP_Grid[#Data],$DD837,82),0)</f>
        <v/>
      </c>
      <c r="CG837">
        <f>IFERROR(INDEX(PP_Grid[#Data],$DD837,83),0)</f>
        <v/>
      </c>
      <c r="CH837">
        <f>IFERROR(INDEX(PP_Grid[#Data],$DD837,84),0)</f>
        <v/>
      </c>
      <c r="CI837">
        <f>IFERROR(INDEX(PP_Grid[#Data],$DD837,85),0)</f>
        <v/>
      </c>
      <c r="CJ837">
        <f>IFERROR(INDEX(PP_Grid[#Data],$DD837,86),0)</f>
        <v/>
      </c>
      <c r="CK837">
        <f>IFERROR(INDEX(PP_Grid[#Data],$DD837,87),0)</f>
        <v/>
      </c>
      <c r="CL837">
        <f>IFERROR(INDEX(PP_Grid[#Data],$DD837,88),0)</f>
        <v/>
      </c>
      <c r="CM837">
        <f>IFERROR(INDEX(PP_Grid[#Data],$DD837,89),0)</f>
        <v/>
      </c>
      <c r="CN837">
        <f>IFERROR(INDEX(PP_Grid[#Data],$DD837,90),0)</f>
        <v/>
      </c>
      <c r="CO837">
        <f>IFERROR(INDEX(PP_Grid[#Data],$DD837,91),0)</f>
        <v/>
      </c>
      <c r="CP837">
        <f>IFERROR(INDEX(PP_Grid[#Data],$DD837,92),0)</f>
        <v/>
      </c>
      <c r="CQ837">
        <f>IFERROR(INDEX(PP_Grid[#Data],$DD837,93),0)</f>
        <v/>
      </c>
      <c r="CR837">
        <f>IFERROR(INDEX(PP_Grid[#Data],$DD837,94),0)</f>
        <v/>
      </c>
      <c r="CS837">
        <f>IFERROR(INDEX(PP_Grid[#Data],$DD837,95),0)</f>
        <v/>
      </c>
      <c r="CT837">
        <f>IFERROR(INDEX(PP_Grid[#Data],$DD837,96),0)</f>
        <v/>
      </c>
      <c r="CU837">
        <f>IFERROR(INDEX(PP_Grid[#Data],$DD837,97),0)</f>
        <v/>
      </c>
      <c r="CV837">
        <f>IFERROR(INDEX(PP_Grid[#Data],$DD837,98),0)</f>
        <v/>
      </c>
      <c r="CW837">
        <f>IFERROR(INDEX(PP_Grid[#Data],$DD837,99),0)</f>
        <v/>
      </c>
      <c r="CX837">
        <f>IFERROR(INDEX(PP_Grid[#Data],$DD837,100),0)</f>
        <v/>
      </c>
      <c r="CY837">
        <f>IFERROR(INDEX(PP_Grid[#Data],$DD837,101),0)</f>
        <v/>
      </c>
      <c r="CZ837">
        <f>IFERROR(INDEX(PP_Grid[#Data],$DD837,102),0)</f>
        <v/>
      </c>
      <c r="DA837">
        <f>IFERROR(INDEX(PP_Grid[#Data],$DD837,103),0)</f>
        <v/>
      </c>
      <c r="DB837">
        <f>IFERROR(INDEX(PP_Grid[#Data],$DD837,104),0)</f>
        <v/>
      </c>
      <c r="DC837">
        <f>IFERROR(INDEX(PP_Grid[#Data],$DD837,105),0)</f>
        <v/>
      </c>
      <c r="DD837" s="12">
        <f>IFERROR(MATCH($B837,PP_Grid[Intermediate],0),99999)</f>
        <v/>
      </c>
    </row>
    <row r="838">
      <c r="B838" t="inlineStr">
        <is>
          <t>使用量(kg)</t>
        </is>
      </c>
      <c r="C838">
        <f>SUMIFS(M_BOM[RM_Qty_Per_Batch],M_BOM[Intermediate],$B837,M_BOM[Part Name],$A812)</f>
        <v/>
      </c>
      <c r="D838">
        <f>$C838*D837</f>
        <v/>
      </c>
      <c r="E838">
        <f>$C838*E837</f>
        <v/>
      </c>
      <c r="F838">
        <f>$C838*F837</f>
        <v/>
      </c>
      <c r="G838">
        <f>$C838*G837</f>
        <v/>
      </c>
      <c r="H838">
        <f>$C838*H837</f>
        <v/>
      </c>
      <c r="I838">
        <f>$C838*I837</f>
        <v/>
      </c>
      <c r="J838">
        <f>$C838*J837</f>
        <v/>
      </c>
      <c r="K838">
        <f>$C838*K837</f>
        <v/>
      </c>
      <c r="L838">
        <f>$C838*L837</f>
        <v/>
      </c>
      <c r="M838">
        <f>$C838*M837</f>
        <v/>
      </c>
      <c r="N838">
        <f>$C838*N837</f>
        <v/>
      </c>
      <c r="O838">
        <f>$C838*O837</f>
        <v/>
      </c>
      <c r="P838">
        <f>$C838*P837</f>
        <v/>
      </c>
      <c r="Q838">
        <f>$C838*Q837</f>
        <v/>
      </c>
      <c r="R838">
        <f>$C838*R837</f>
        <v/>
      </c>
      <c r="S838">
        <f>$C838*S837</f>
        <v/>
      </c>
      <c r="T838">
        <f>$C838*T837</f>
        <v/>
      </c>
      <c r="U838">
        <f>$C838*U837</f>
        <v/>
      </c>
      <c r="V838">
        <f>$C838*V837</f>
        <v/>
      </c>
      <c r="W838">
        <f>$C838*W837</f>
        <v/>
      </c>
      <c r="X838">
        <f>$C838*X837</f>
        <v/>
      </c>
      <c r="Y838">
        <f>$C838*Y837</f>
        <v/>
      </c>
      <c r="Z838">
        <f>$C838*Z837</f>
        <v/>
      </c>
      <c r="AA838">
        <f>$C838*AA837</f>
        <v/>
      </c>
      <c r="AB838">
        <f>$C838*AB837</f>
        <v/>
      </c>
      <c r="AC838">
        <f>$C838*AC837</f>
        <v/>
      </c>
      <c r="AD838">
        <f>$C838*AD837</f>
        <v/>
      </c>
      <c r="AE838">
        <f>$C838*AE837</f>
        <v/>
      </c>
      <c r="AF838">
        <f>$C838*AF837</f>
        <v/>
      </c>
      <c r="AG838">
        <f>$C838*AG837</f>
        <v/>
      </c>
      <c r="AH838">
        <f>$C838*AH837</f>
        <v/>
      </c>
      <c r="AI838">
        <f>$C838*AI837</f>
        <v/>
      </c>
      <c r="AJ838">
        <f>$C838*AJ837</f>
        <v/>
      </c>
      <c r="AK838">
        <f>$C838*AK837</f>
        <v/>
      </c>
      <c r="AL838">
        <f>$C838*AL837</f>
        <v/>
      </c>
      <c r="AM838">
        <f>$C838*AM837</f>
        <v/>
      </c>
      <c r="AN838">
        <f>$C838*AN837</f>
        <v/>
      </c>
      <c r="AO838">
        <f>$C838*AO837</f>
        <v/>
      </c>
      <c r="AP838">
        <f>$C838*AP837</f>
        <v/>
      </c>
      <c r="AQ838">
        <f>$C838*AQ837</f>
        <v/>
      </c>
      <c r="AR838">
        <f>$C838*AR837</f>
        <v/>
      </c>
      <c r="AS838">
        <f>$C838*AS837</f>
        <v/>
      </c>
      <c r="AT838">
        <f>$C838*AT837</f>
        <v/>
      </c>
      <c r="AU838">
        <f>$C838*AU837</f>
        <v/>
      </c>
      <c r="AV838">
        <f>$C838*AV837</f>
        <v/>
      </c>
      <c r="AW838">
        <f>$C838*AW837</f>
        <v/>
      </c>
      <c r="AX838">
        <f>$C838*AX837</f>
        <v/>
      </c>
      <c r="AY838">
        <f>$C838*AY837</f>
        <v/>
      </c>
      <c r="AZ838">
        <f>$C838*AZ837</f>
        <v/>
      </c>
      <c r="BA838">
        <f>$C838*BA837</f>
        <v/>
      </c>
      <c r="BB838">
        <f>$C838*BB837</f>
        <v/>
      </c>
      <c r="BC838">
        <f>$C838*BC837</f>
        <v/>
      </c>
      <c r="BD838">
        <f>$C838*BD837</f>
        <v/>
      </c>
      <c r="BE838">
        <f>$C838*BE837</f>
        <v/>
      </c>
      <c r="BF838">
        <f>$C838*BF837</f>
        <v/>
      </c>
      <c r="BG838">
        <f>$C838*BG837</f>
        <v/>
      </c>
      <c r="BH838">
        <f>$C838*BH837</f>
        <v/>
      </c>
      <c r="BI838">
        <f>$C838*BI837</f>
        <v/>
      </c>
      <c r="BJ838">
        <f>$C838*BJ837</f>
        <v/>
      </c>
      <c r="BK838">
        <f>$C838*BK837</f>
        <v/>
      </c>
      <c r="BL838">
        <f>$C838*BL837</f>
        <v/>
      </c>
      <c r="BM838">
        <f>$C838*BM837</f>
        <v/>
      </c>
      <c r="BN838">
        <f>$C838*BN837</f>
        <v/>
      </c>
      <c r="BO838">
        <f>$C838*BO837</f>
        <v/>
      </c>
      <c r="BP838">
        <f>$C838*BP837</f>
        <v/>
      </c>
      <c r="BQ838">
        <f>$C838*BQ837</f>
        <v/>
      </c>
      <c r="BR838">
        <f>$C838*BR837</f>
        <v/>
      </c>
      <c r="BS838">
        <f>$C838*BS837</f>
        <v/>
      </c>
      <c r="BT838">
        <f>$C838*BT837</f>
        <v/>
      </c>
      <c r="BU838">
        <f>$C838*BU837</f>
        <v/>
      </c>
      <c r="BV838">
        <f>$C838*BV837</f>
        <v/>
      </c>
      <c r="BW838">
        <f>$C838*BW837</f>
        <v/>
      </c>
      <c r="BX838">
        <f>$C838*BX837</f>
        <v/>
      </c>
      <c r="BY838">
        <f>$C838*BY837</f>
        <v/>
      </c>
      <c r="BZ838">
        <f>$C838*BZ837</f>
        <v/>
      </c>
      <c r="CA838">
        <f>$C838*CA837</f>
        <v/>
      </c>
      <c r="CB838">
        <f>$C838*CB837</f>
        <v/>
      </c>
      <c r="CC838">
        <f>$C838*CC837</f>
        <v/>
      </c>
      <c r="CD838">
        <f>$C838*CD837</f>
        <v/>
      </c>
      <c r="CE838">
        <f>$C838*CE837</f>
        <v/>
      </c>
      <c r="CF838">
        <f>$C838*CF837</f>
        <v/>
      </c>
      <c r="CG838">
        <f>$C838*CG837</f>
        <v/>
      </c>
      <c r="CH838">
        <f>$C838*CH837</f>
        <v/>
      </c>
      <c r="CI838">
        <f>$C838*CI837</f>
        <v/>
      </c>
      <c r="CJ838">
        <f>$C838*CJ837</f>
        <v/>
      </c>
      <c r="CK838">
        <f>$C838*CK837</f>
        <v/>
      </c>
      <c r="CL838">
        <f>$C838*CL837</f>
        <v/>
      </c>
      <c r="CM838">
        <f>$C838*CM837</f>
        <v/>
      </c>
      <c r="CN838">
        <f>$C838*CN837</f>
        <v/>
      </c>
      <c r="CO838">
        <f>$C838*CO837</f>
        <v/>
      </c>
      <c r="CP838">
        <f>$C838*CP837</f>
        <v/>
      </c>
      <c r="CQ838">
        <f>$C838*CQ837</f>
        <v/>
      </c>
      <c r="CR838">
        <f>$C838*CR837</f>
        <v/>
      </c>
      <c r="CS838">
        <f>$C838*CS837</f>
        <v/>
      </c>
      <c r="CT838">
        <f>$C838*CT837</f>
        <v/>
      </c>
      <c r="CU838">
        <f>$C838*CU837</f>
        <v/>
      </c>
      <c r="CV838">
        <f>$C838*CV837</f>
        <v/>
      </c>
      <c r="CW838">
        <f>$C838*CW837</f>
        <v/>
      </c>
      <c r="CX838">
        <f>$C838*CX837</f>
        <v/>
      </c>
      <c r="CY838">
        <f>$C838*CY837</f>
        <v/>
      </c>
      <c r="CZ838">
        <f>$C838*CZ837</f>
        <v/>
      </c>
      <c r="DA838">
        <f>$C838*DA837</f>
        <v/>
      </c>
      <c r="DB838">
        <f>$C838*DB837</f>
        <v/>
      </c>
      <c r="DC838">
        <f>$C838*DC837</f>
        <v/>
      </c>
    </row>
    <row r="839">
      <c r="B839" t="inlineStr">
        <is>
          <t>VSP-910</t>
        </is>
      </c>
      <c r="C839" t="inlineStr">
        <is>
          <t>No. of batches</t>
        </is>
      </c>
      <c r="D839">
        <f>IFERROR(INDEX(PP_Grid[#Data],$DD839,2),0)</f>
        <v/>
      </c>
      <c r="E839">
        <f>IFERROR(INDEX(PP_Grid[#Data],$DD839,3),0)</f>
        <v/>
      </c>
      <c r="F839">
        <f>IFERROR(INDEX(PP_Grid[#Data],$DD839,4),0)</f>
        <v/>
      </c>
      <c r="G839">
        <f>IFERROR(INDEX(PP_Grid[#Data],$DD839,5),0)</f>
        <v/>
      </c>
      <c r="H839">
        <f>IFERROR(INDEX(PP_Grid[#Data],$DD839,6),0)</f>
        <v/>
      </c>
      <c r="I839">
        <f>IFERROR(INDEX(PP_Grid[#Data],$DD839,7),0)</f>
        <v/>
      </c>
      <c r="J839">
        <f>IFERROR(INDEX(PP_Grid[#Data],$DD839,8),0)</f>
        <v/>
      </c>
      <c r="K839">
        <f>IFERROR(INDEX(PP_Grid[#Data],$DD839,9),0)</f>
        <v/>
      </c>
      <c r="L839">
        <f>IFERROR(INDEX(PP_Grid[#Data],$DD839,10),0)</f>
        <v/>
      </c>
      <c r="M839">
        <f>IFERROR(INDEX(PP_Grid[#Data],$DD839,11),0)</f>
        <v/>
      </c>
      <c r="N839">
        <f>IFERROR(INDEX(PP_Grid[#Data],$DD839,12),0)</f>
        <v/>
      </c>
      <c r="O839">
        <f>IFERROR(INDEX(PP_Grid[#Data],$DD839,13),0)</f>
        <v/>
      </c>
      <c r="P839">
        <f>IFERROR(INDEX(PP_Grid[#Data],$DD839,14),0)</f>
        <v/>
      </c>
      <c r="Q839">
        <f>IFERROR(INDEX(PP_Grid[#Data],$DD839,15),0)</f>
        <v/>
      </c>
      <c r="R839">
        <f>IFERROR(INDEX(PP_Grid[#Data],$DD839,16),0)</f>
        <v/>
      </c>
      <c r="S839">
        <f>IFERROR(INDEX(PP_Grid[#Data],$DD839,17),0)</f>
        <v/>
      </c>
      <c r="T839">
        <f>IFERROR(INDEX(PP_Grid[#Data],$DD839,18),0)</f>
        <v/>
      </c>
      <c r="U839">
        <f>IFERROR(INDEX(PP_Grid[#Data],$DD839,19),0)</f>
        <v/>
      </c>
      <c r="V839">
        <f>IFERROR(INDEX(PP_Grid[#Data],$DD839,20),0)</f>
        <v/>
      </c>
      <c r="W839">
        <f>IFERROR(INDEX(PP_Grid[#Data],$DD839,21),0)</f>
        <v/>
      </c>
      <c r="X839">
        <f>IFERROR(INDEX(PP_Grid[#Data],$DD839,22),0)</f>
        <v/>
      </c>
      <c r="Y839">
        <f>IFERROR(INDEX(PP_Grid[#Data],$DD839,23),0)</f>
        <v/>
      </c>
      <c r="Z839">
        <f>IFERROR(INDEX(PP_Grid[#Data],$DD839,24),0)</f>
        <v/>
      </c>
      <c r="AA839">
        <f>IFERROR(INDEX(PP_Grid[#Data],$DD839,25),0)</f>
        <v/>
      </c>
      <c r="AB839">
        <f>IFERROR(INDEX(PP_Grid[#Data],$DD839,26),0)</f>
        <v/>
      </c>
      <c r="AC839">
        <f>IFERROR(INDEX(PP_Grid[#Data],$DD839,27),0)</f>
        <v/>
      </c>
      <c r="AD839">
        <f>IFERROR(INDEX(PP_Grid[#Data],$DD839,28),0)</f>
        <v/>
      </c>
      <c r="AE839">
        <f>IFERROR(INDEX(PP_Grid[#Data],$DD839,29),0)</f>
        <v/>
      </c>
      <c r="AF839">
        <f>IFERROR(INDEX(PP_Grid[#Data],$DD839,30),0)</f>
        <v/>
      </c>
      <c r="AG839">
        <f>IFERROR(INDEX(PP_Grid[#Data],$DD839,31),0)</f>
        <v/>
      </c>
      <c r="AH839">
        <f>IFERROR(INDEX(PP_Grid[#Data],$DD839,32),0)</f>
        <v/>
      </c>
      <c r="AI839">
        <f>IFERROR(INDEX(PP_Grid[#Data],$DD839,33),0)</f>
        <v/>
      </c>
      <c r="AJ839">
        <f>IFERROR(INDEX(PP_Grid[#Data],$DD839,34),0)</f>
        <v/>
      </c>
      <c r="AK839">
        <f>IFERROR(INDEX(PP_Grid[#Data],$DD839,35),0)</f>
        <v/>
      </c>
      <c r="AL839">
        <f>IFERROR(INDEX(PP_Grid[#Data],$DD839,36),0)</f>
        <v/>
      </c>
      <c r="AM839">
        <f>IFERROR(INDEX(PP_Grid[#Data],$DD839,37),0)</f>
        <v/>
      </c>
      <c r="AN839">
        <f>IFERROR(INDEX(PP_Grid[#Data],$DD839,38),0)</f>
        <v/>
      </c>
      <c r="AO839">
        <f>IFERROR(INDEX(PP_Grid[#Data],$DD839,39),0)</f>
        <v/>
      </c>
      <c r="AP839">
        <f>IFERROR(INDEX(PP_Grid[#Data],$DD839,40),0)</f>
        <v/>
      </c>
      <c r="AQ839">
        <f>IFERROR(INDEX(PP_Grid[#Data],$DD839,41),0)</f>
        <v/>
      </c>
      <c r="AR839">
        <f>IFERROR(INDEX(PP_Grid[#Data],$DD839,42),0)</f>
        <v/>
      </c>
      <c r="AS839">
        <f>IFERROR(INDEX(PP_Grid[#Data],$DD839,43),0)</f>
        <v/>
      </c>
      <c r="AT839">
        <f>IFERROR(INDEX(PP_Grid[#Data],$DD839,44),0)</f>
        <v/>
      </c>
      <c r="AU839">
        <f>IFERROR(INDEX(PP_Grid[#Data],$DD839,45),0)</f>
        <v/>
      </c>
      <c r="AV839">
        <f>IFERROR(INDEX(PP_Grid[#Data],$DD839,46),0)</f>
        <v/>
      </c>
      <c r="AW839">
        <f>IFERROR(INDEX(PP_Grid[#Data],$DD839,47),0)</f>
        <v/>
      </c>
      <c r="AX839">
        <f>IFERROR(INDEX(PP_Grid[#Data],$DD839,48),0)</f>
        <v/>
      </c>
      <c r="AY839">
        <f>IFERROR(INDEX(PP_Grid[#Data],$DD839,49),0)</f>
        <v/>
      </c>
      <c r="AZ839">
        <f>IFERROR(INDEX(PP_Grid[#Data],$DD839,50),0)</f>
        <v/>
      </c>
      <c r="BA839">
        <f>IFERROR(INDEX(PP_Grid[#Data],$DD839,51),0)</f>
        <v/>
      </c>
      <c r="BB839">
        <f>IFERROR(INDEX(PP_Grid[#Data],$DD839,52),0)</f>
        <v/>
      </c>
      <c r="BC839">
        <f>IFERROR(INDEX(PP_Grid[#Data],$DD839,53),0)</f>
        <v/>
      </c>
      <c r="BD839">
        <f>IFERROR(INDEX(PP_Grid[#Data],$DD839,54),0)</f>
        <v/>
      </c>
      <c r="BE839">
        <f>IFERROR(INDEX(PP_Grid[#Data],$DD839,55),0)</f>
        <v/>
      </c>
      <c r="BF839">
        <f>IFERROR(INDEX(PP_Grid[#Data],$DD839,56),0)</f>
        <v/>
      </c>
      <c r="BG839">
        <f>IFERROR(INDEX(PP_Grid[#Data],$DD839,57),0)</f>
        <v/>
      </c>
      <c r="BH839">
        <f>IFERROR(INDEX(PP_Grid[#Data],$DD839,58),0)</f>
        <v/>
      </c>
      <c r="BI839">
        <f>IFERROR(INDEX(PP_Grid[#Data],$DD839,59),0)</f>
        <v/>
      </c>
      <c r="BJ839">
        <f>IFERROR(INDEX(PP_Grid[#Data],$DD839,60),0)</f>
        <v/>
      </c>
      <c r="BK839">
        <f>IFERROR(INDEX(PP_Grid[#Data],$DD839,61),0)</f>
        <v/>
      </c>
      <c r="BL839">
        <f>IFERROR(INDEX(PP_Grid[#Data],$DD839,62),0)</f>
        <v/>
      </c>
      <c r="BM839">
        <f>IFERROR(INDEX(PP_Grid[#Data],$DD839,63),0)</f>
        <v/>
      </c>
      <c r="BN839">
        <f>IFERROR(INDEX(PP_Grid[#Data],$DD839,64),0)</f>
        <v/>
      </c>
      <c r="BO839">
        <f>IFERROR(INDEX(PP_Grid[#Data],$DD839,65),0)</f>
        <v/>
      </c>
      <c r="BP839">
        <f>IFERROR(INDEX(PP_Grid[#Data],$DD839,66),0)</f>
        <v/>
      </c>
      <c r="BQ839">
        <f>IFERROR(INDEX(PP_Grid[#Data],$DD839,67),0)</f>
        <v/>
      </c>
      <c r="BR839">
        <f>IFERROR(INDEX(PP_Grid[#Data],$DD839,68),0)</f>
        <v/>
      </c>
      <c r="BS839">
        <f>IFERROR(INDEX(PP_Grid[#Data],$DD839,69),0)</f>
        <v/>
      </c>
      <c r="BT839">
        <f>IFERROR(INDEX(PP_Grid[#Data],$DD839,70),0)</f>
        <v/>
      </c>
      <c r="BU839">
        <f>IFERROR(INDEX(PP_Grid[#Data],$DD839,71),0)</f>
        <v/>
      </c>
      <c r="BV839">
        <f>IFERROR(INDEX(PP_Grid[#Data],$DD839,72),0)</f>
        <v/>
      </c>
      <c r="BW839">
        <f>IFERROR(INDEX(PP_Grid[#Data],$DD839,73),0)</f>
        <v/>
      </c>
      <c r="BX839">
        <f>IFERROR(INDEX(PP_Grid[#Data],$DD839,74),0)</f>
        <v/>
      </c>
      <c r="BY839">
        <f>IFERROR(INDEX(PP_Grid[#Data],$DD839,75),0)</f>
        <v/>
      </c>
      <c r="BZ839">
        <f>IFERROR(INDEX(PP_Grid[#Data],$DD839,76),0)</f>
        <v/>
      </c>
      <c r="CA839">
        <f>IFERROR(INDEX(PP_Grid[#Data],$DD839,77),0)</f>
        <v/>
      </c>
      <c r="CB839">
        <f>IFERROR(INDEX(PP_Grid[#Data],$DD839,78),0)</f>
        <v/>
      </c>
      <c r="CC839">
        <f>IFERROR(INDEX(PP_Grid[#Data],$DD839,79),0)</f>
        <v/>
      </c>
      <c r="CD839">
        <f>IFERROR(INDEX(PP_Grid[#Data],$DD839,80),0)</f>
        <v/>
      </c>
      <c r="CE839">
        <f>IFERROR(INDEX(PP_Grid[#Data],$DD839,81),0)</f>
        <v/>
      </c>
      <c r="CF839">
        <f>IFERROR(INDEX(PP_Grid[#Data],$DD839,82),0)</f>
        <v/>
      </c>
      <c r="CG839">
        <f>IFERROR(INDEX(PP_Grid[#Data],$DD839,83),0)</f>
        <v/>
      </c>
      <c r="CH839">
        <f>IFERROR(INDEX(PP_Grid[#Data],$DD839,84),0)</f>
        <v/>
      </c>
      <c r="CI839">
        <f>IFERROR(INDEX(PP_Grid[#Data],$DD839,85),0)</f>
        <v/>
      </c>
      <c r="CJ839">
        <f>IFERROR(INDEX(PP_Grid[#Data],$DD839,86),0)</f>
        <v/>
      </c>
      <c r="CK839">
        <f>IFERROR(INDEX(PP_Grid[#Data],$DD839,87),0)</f>
        <v/>
      </c>
      <c r="CL839">
        <f>IFERROR(INDEX(PP_Grid[#Data],$DD839,88),0)</f>
        <v/>
      </c>
      <c r="CM839">
        <f>IFERROR(INDEX(PP_Grid[#Data],$DD839,89),0)</f>
        <v/>
      </c>
      <c r="CN839">
        <f>IFERROR(INDEX(PP_Grid[#Data],$DD839,90),0)</f>
        <v/>
      </c>
      <c r="CO839">
        <f>IFERROR(INDEX(PP_Grid[#Data],$DD839,91),0)</f>
        <v/>
      </c>
      <c r="CP839">
        <f>IFERROR(INDEX(PP_Grid[#Data],$DD839,92),0)</f>
        <v/>
      </c>
      <c r="CQ839">
        <f>IFERROR(INDEX(PP_Grid[#Data],$DD839,93),0)</f>
        <v/>
      </c>
      <c r="CR839">
        <f>IFERROR(INDEX(PP_Grid[#Data],$DD839,94),0)</f>
        <v/>
      </c>
      <c r="CS839">
        <f>IFERROR(INDEX(PP_Grid[#Data],$DD839,95),0)</f>
        <v/>
      </c>
      <c r="CT839">
        <f>IFERROR(INDEX(PP_Grid[#Data],$DD839,96),0)</f>
        <v/>
      </c>
      <c r="CU839">
        <f>IFERROR(INDEX(PP_Grid[#Data],$DD839,97),0)</f>
        <v/>
      </c>
      <c r="CV839">
        <f>IFERROR(INDEX(PP_Grid[#Data],$DD839,98),0)</f>
        <v/>
      </c>
      <c r="CW839">
        <f>IFERROR(INDEX(PP_Grid[#Data],$DD839,99),0)</f>
        <v/>
      </c>
      <c r="CX839">
        <f>IFERROR(INDEX(PP_Grid[#Data],$DD839,100),0)</f>
        <v/>
      </c>
      <c r="CY839">
        <f>IFERROR(INDEX(PP_Grid[#Data],$DD839,101),0)</f>
        <v/>
      </c>
      <c r="CZ839">
        <f>IFERROR(INDEX(PP_Grid[#Data],$DD839,102),0)</f>
        <v/>
      </c>
      <c r="DA839">
        <f>IFERROR(INDEX(PP_Grid[#Data],$DD839,103),0)</f>
        <v/>
      </c>
      <c r="DB839">
        <f>IFERROR(INDEX(PP_Grid[#Data],$DD839,104),0)</f>
        <v/>
      </c>
      <c r="DC839">
        <f>IFERROR(INDEX(PP_Grid[#Data],$DD839,105),0)</f>
        <v/>
      </c>
      <c r="DD839" s="12">
        <f>IFERROR(MATCH($B839,PP_Grid[Intermediate],0),99999)</f>
        <v/>
      </c>
    </row>
    <row r="840">
      <c r="B840" t="inlineStr">
        <is>
          <t>使用量(kg)</t>
        </is>
      </c>
      <c r="C840">
        <f>SUMIFS(M_BOM[RM_Qty_Per_Batch],M_BOM[Intermediate],$B839,M_BOM[Part Name],$A812)</f>
        <v/>
      </c>
      <c r="D840">
        <f>$C840*D839</f>
        <v/>
      </c>
      <c r="E840">
        <f>$C840*E839</f>
        <v/>
      </c>
      <c r="F840">
        <f>$C840*F839</f>
        <v/>
      </c>
      <c r="G840">
        <f>$C840*G839</f>
        <v/>
      </c>
      <c r="H840">
        <f>$C840*H839</f>
        <v/>
      </c>
      <c r="I840">
        <f>$C840*I839</f>
        <v/>
      </c>
      <c r="J840">
        <f>$C840*J839</f>
        <v/>
      </c>
      <c r="K840">
        <f>$C840*K839</f>
        <v/>
      </c>
      <c r="L840">
        <f>$C840*L839</f>
        <v/>
      </c>
      <c r="M840">
        <f>$C840*M839</f>
        <v/>
      </c>
      <c r="N840">
        <f>$C840*N839</f>
        <v/>
      </c>
      <c r="O840">
        <f>$C840*O839</f>
        <v/>
      </c>
      <c r="P840">
        <f>$C840*P839</f>
        <v/>
      </c>
      <c r="Q840">
        <f>$C840*Q839</f>
        <v/>
      </c>
      <c r="R840">
        <f>$C840*R839</f>
        <v/>
      </c>
      <c r="S840">
        <f>$C840*S839</f>
        <v/>
      </c>
      <c r="T840">
        <f>$C840*T839</f>
        <v/>
      </c>
      <c r="U840">
        <f>$C840*U839</f>
        <v/>
      </c>
      <c r="V840">
        <f>$C840*V839</f>
        <v/>
      </c>
      <c r="W840">
        <f>$C840*W839</f>
        <v/>
      </c>
      <c r="X840">
        <f>$C840*X839</f>
        <v/>
      </c>
      <c r="Y840">
        <f>$C840*Y839</f>
        <v/>
      </c>
      <c r="Z840">
        <f>$C840*Z839</f>
        <v/>
      </c>
      <c r="AA840">
        <f>$C840*AA839</f>
        <v/>
      </c>
      <c r="AB840">
        <f>$C840*AB839</f>
        <v/>
      </c>
      <c r="AC840">
        <f>$C840*AC839</f>
        <v/>
      </c>
      <c r="AD840">
        <f>$C840*AD839</f>
        <v/>
      </c>
      <c r="AE840">
        <f>$C840*AE839</f>
        <v/>
      </c>
      <c r="AF840">
        <f>$C840*AF839</f>
        <v/>
      </c>
      <c r="AG840">
        <f>$C840*AG839</f>
        <v/>
      </c>
      <c r="AH840">
        <f>$C840*AH839</f>
        <v/>
      </c>
      <c r="AI840">
        <f>$C840*AI839</f>
        <v/>
      </c>
      <c r="AJ840">
        <f>$C840*AJ839</f>
        <v/>
      </c>
      <c r="AK840">
        <f>$C840*AK839</f>
        <v/>
      </c>
      <c r="AL840">
        <f>$C840*AL839</f>
        <v/>
      </c>
      <c r="AM840">
        <f>$C840*AM839</f>
        <v/>
      </c>
      <c r="AN840">
        <f>$C840*AN839</f>
        <v/>
      </c>
      <c r="AO840">
        <f>$C840*AO839</f>
        <v/>
      </c>
      <c r="AP840">
        <f>$C840*AP839</f>
        <v/>
      </c>
      <c r="AQ840">
        <f>$C840*AQ839</f>
        <v/>
      </c>
      <c r="AR840">
        <f>$C840*AR839</f>
        <v/>
      </c>
      <c r="AS840">
        <f>$C840*AS839</f>
        <v/>
      </c>
      <c r="AT840">
        <f>$C840*AT839</f>
        <v/>
      </c>
      <c r="AU840">
        <f>$C840*AU839</f>
        <v/>
      </c>
      <c r="AV840">
        <f>$C840*AV839</f>
        <v/>
      </c>
      <c r="AW840">
        <f>$C840*AW839</f>
        <v/>
      </c>
      <c r="AX840">
        <f>$C840*AX839</f>
        <v/>
      </c>
      <c r="AY840">
        <f>$C840*AY839</f>
        <v/>
      </c>
      <c r="AZ840">
        <f>$C840*AZ839</f>
        <v/>
      </c>
      <c r="BA840">
        <f>$C840*BA839</f>
        <v/>
      </c>
      <c r="BB840">
        <f>$C840*BB839</f>
        <v/>
      </c>
      <c r="BC840">
        <f>$C840*BC839</f>
        <v/>
      </c>
      <c r="BD840">
        <f>$C840*BD839</f>
        <v/>
      </c>
      <c r="BE840">
        <f>$C840*BE839</f>
        <v/>
      </c>
      <c r="BF840">
        <f>$C840*BF839</f>
        <v/>
      </c>
      <c r="BG840">
        <f>$C840*BG839</f>
        <v/>
      </c>
      <c r="BH840">
        <f>$C840*BH839</f>
        <v/>
      </c>
      <c r="BI840">
        <f>$C840*BI839</f>
        <v/>
      </c>
      <c r="BJ840">
        <f>$C840*BJ839</f>
        <v/>
      </c>
      <c r="BK840">
        <f>$C840*BK839</f>
        <v/>
      </c>
      <c r="BL840">
        <f>$C840*BL839</f>
        <v/>
      </c>
      <c r="BM840">
        <f>$C840*BM839</f>
        <v/>
      </c>
      <c r="BN840">
        <f>$C840*BN839</f>
        <v/>
      </c>
      <c r="BO840">
        <f>$C840*BO839</f>
        <v/>
      </c>
      <c r="BP840">
        <f>$C840*BP839</f>
        <v/>
      </c>
      <c r="BQ840">
        <f>$C840*BQ839</f>
        <v/>
      </c>
      <c r="BR840">
        <f>$C840*BR839</f>
        <v/>
      </c>
      <c r="BS840">
        <f>$C840*BS839</f>
        <v/>
      </c>
      <c r="BT840">
        <f>$C840*BT839</f>
        <v/>
      </c>
      <c r="BU840">
        <f>$C840*BU839</f>
        <v/>
      </c>
      <c r="BV840">
        <f>$C840*BV839</f>
        <v/>
      </c>
      <c r="BW840">
        <f>$C840*BW839</f>
        <v/>
      </c>
      <c r="BX840">
        <f>$C840*BX839</f>
        <v/>
      </c>
      <c r="BY840">
        <f>$C840*BY839</f>
        <v/>
      </c>
      <c r="BZ840">
        <f>$C840*BZ839</f>
        <v/>
      </c>
      <c r="CA840">
        <f>$C840*CA839</f>
        <v/>
      </c>
      <c r="CB840">
        <f>$C840*CB839</f>
        <v/>
      </c>
      <c r="CC840">
        <f>$C840*CC839</f>
        <v/>
      </c>
      <c r="CD840">
        <f>$C840*CD839</f>
        <v/>
      </c>
      <c r="CE840">
        <f>$C840*CE839</f>
        <v/>
      </c>
      <c r="CF840">
        <f>$C840*CF839</f>
        <v/>
      </c>
      <c r="CG840">
        <f>$C840*CG839</f>
        <v/>
      </c>
      <c r="CH840">
        <f>$C840*CH839</f>
        <v/>
      </c>
      <c r="CI840">
        <f>$C840*CI839</f>
        <v/>
      </c>
      <c r="CJ840">
        <f>$C840*CJ839</f>
        <v/>
      </c>
      <c r="CK840">
        <f>$C840*CK839</f>
        <v/>
      </c>
      <c r="CL840">
        <f>$C840*CL839</f>
        <v/>
      </c>
      <c r="CM840">
        <f>$C840*CM839</f>
        <v/>
      </c>
      <c r="CN840">
        <f>$C840*CN839</f>
        <v/>
      </c>
      <c r="CO840">
        <f>$C840*CO839</f>
        <v/>
      </c>
      <c r="CP840">
        <f>$C840*CP839</f>
        <v/>
      </c>
      <c r="CQ840">
        <f>$C840*CQ839</f>
        <v/>
      </c>
      <c r="CR840">
        <f>$C840*CR839</f>
        <v/>
      </c>
      <c r="CS840">
        <f>$C840*CS839</f>
        <v/>
      </c>
      <c r="CT840">
        <f>$C840*CT839</f>
        <v/>
      </c>
      <c r="CU840">
        <f>$C840*CU839</f>
        <v/>
      </c>
      <c r="CV840">
        <f>$C840*CV839</f>
        <v/>
      </c>
      <c r="CW840">
        <f>$C840*CW839</f>
        <v/>
      </c>
      <c r="CX840">
        <f>$C840*CX839</f>
        <v/>
      </c>
      <c r="CY840">
        <f>$C840*CY839</f>
        <v/>
      </c>
      <c r="CZ840">
        <f>$C840*CZ839</f>
        <v/>
      </c>
      <c r="DA840">
        <f>$C840*DA839</f>
        <v/>
      </c>
      <c r="DB840">
        <f>$C840*DB839</f>
        <v/>
      </c>
      <c r="DC840">
        <f>$C840*DC839</f>
        <v/>
      </c>
    </row>
    <row r="841">
      <c r="B841" t="inlineStr">
        <is>
          <t>VSP-990</t>
        </is>
      </c>
      <c r="C841" t="inlineStr">
        <is>
          <t>No. of batches</t>
        </is>
      </c>
      <c r="D841">
        <f>IFERROR(INDEX(PP_Grid[#Data],$DD841,2),0)</f>
        <v/>
      </c>
      <c r="E841">
        <f>IFERROR(INDEX(PP_Grid[#Data],$DD841,3),0)</f>
        <v/>
      </c>
      <c r="F841">
        <f>IFERROR(INDEX(PP_Grid[#Data],$DD841,4),0)</f>
        <v/>
      </c>
      <c r="G841">
        <f>IFERROR(INDEX(PP_Grid[#Data],$DD841,5),0)</f>
        <v/>
      </c>
      <c r="H841">
        <f>IFERROR(INDEX(PP_Grid[#Data],$DD841,6),0)</f>
        <v/>
      </c>
      <c r="I841">
        <f>IFERROR(INDEX(PP_Grid[#Data],$DD841,7),0)</f>
        <v/>
      </c>
      <c r="J841">
        <f>IFERROR(INDEX(PP_Grid[#Data],$DD841,8),0)</f>
        <v/>
      </c>
      <c r="K841">
        <f>IFERROR(INDEX(PP_Grid[#Data],$DD841,9),0)</f>
        <v/>
      </c>
      <c r="L841">
        <f>IFERROR(INDEX(PP_Grid[#Data],$DD841,10),0)</f>
        <v/>
      </c>
      <c r="M841">
        <f>IFERROR(INDEX(PP_Grid[#Data],$DD841,11),0)</f>
        <v/>
      </c>
      <c r="N841">
        <f>IFERROR(INDEX(PP_Grid[#Data],$DD841,12),0)</f>
        <v/>
      </c>
      <c r="O841">
        <f>IFERROR(INDEX(PP_Grid[#Data],$DD841,13),0)</f>
        <v/>
      </c>
      <c r="P841">
        <f>IFERROR(INDEX(PP_Grid[#Data],$DD841,14),0)</f>
        <v/>
      </c>
      <c r="Q841">
        <f>IFERROR(INDEX(PP_Grid[#Data],$DD841,15),0)</f>
        <v/>
      </c>
      <c r="R841">
        <f>IFERROR(INDEX(PP_Grid[#Data],$DD841,16),0)</f>
        <v/>
      </c>
      <c r="S841">
        <f>IFERROR(INDEX(PP_Grid[#Data],$DD841,17),0)</f>
        <v/>
      </c>
      <c r="T841">
        <f>IFERROR(INDEX(PP_Grid[#Data],$DD841,18),0)</f>
        <v/>
      </c>
      <c r="U841">
        <f>IFERROR(INDEX(PP_Grid[#Data],$DD841,19),0)</f>
        <v/>
      </c>
      <c r="V841">
        <f>IFERROR(INDEX(PP_Grid[#Data],$DD841,20),0)</f>
        <v/>
      </c>
      <c r="W841">
        <f>IFERROR(INDEX(PP_Grid[#Data],$DD841,21),0)</f>
        <v/>
      </c>
      <c r="X841">
        <f>IFERROR(INDEX(PP_Grid[#Data],$DD841,22),0)</f>
        <v/>
      </c>
      <c r="Y841">
        <f>IFERROR(INDEX(PP_Grid[#Data],$DD841,23),0)</f>
        <v/>
      </c>
      <c r="Z841">
        <f>IFERROR(INDEX(PP_Grid[#Data],$DD841,24),0)</f>
        <v/>
      </c>
      <c r="AA841">
        <f>IFERROR(INDEX(PP_Grid[#Data],$DD841,25),0)</f>
        <v/>
      </c>
      <c r="AB841">
        <f>IFERROR(INDEX(PP_Grid[#Data],$DD841,26),0)</f>
        <v/>
      </c>
      <c r="AC841">
        <f>IFERROR(INDEX(PP_Grid[#Data],$DD841,27),0)</f>
        <v/>
      </c>
      <c r="AD841">
        <f>IFERROR(INDEX(PP_Grid[#Data],$DD841,28),0)</f>
        <v/>
      </c>
      <c r="AE841">
        <f>IFERROR(INDEX(PP_Grid[#Data],$DD841,29),0)</f>
        <v/>
      </c>
      <c r="AF841">
        <f>IFERROR(INDEX(PP_Grid[#Data],$DD841,30),0)</f>
        <v/>
      </c>
      <c r="AG841">
        <f>IFERROR(INDEX(PP_Grid[#Data],$DD841,31),0)</f>
        <v/>
      </c>
      <c r="AH841">
        <f>IFERROR(INDEX(PP_Grid[#Data],$DD841,32),0)</f>
        <v/>
      </c>
      <c r="AI841">
        <f>IFERROR(INDEX(PP_Grid[#Data],$DD841,33),0)</f>
        <v/>
      </c>
      <c r="AJ841">
        <f>IFERROR(INDEX(PP_Grid[#Data],$DD841,34),0)</f>
        <v/>
      </c>
      <c r="AK841">
        <f>IFERROR(INDEX(PP_Grid[#Data],$DD841,35),0)</f>
        <v/>
      </c>
      <c r="AL841">
        <f>IFERROR(INDEX(PP_Grid[#Data],$DD841,36),0)</f>
        <v/>
      </c>
      <c r="AM841">
        <f>IFERROR(INDEX(PP_Grid[#Data],$DD841,37),0)</f>
        <v/>
      </c>
      <c r="AN841">
        <f>IFERROR(INDEX(PP_Grid[#Data],$DD841,38),0)</f>
        <v/>
      </c>
      <c r="AO841">
        <f>IFERROR(INDEX(PP_Grid[#Data],$DD841,39),0)</f>
        <v/>
      </c>
      <c r="AP841">
        <f>IFERROR(INDEX(PP_Grid[#Data],$DD841,40),0)</f>
        <v/>
      </c>
      <c r="AQ841">
        <f>IFERROR(INDEX(PP_Grid[#Data],$DD841,41),0)</f>
        <v/>
      </c>
      <c r="AR841">
        <f>IFERROR(INDEX(PP_Grid[#Data],$DD841,42),0)</f>
        <v/>
      </c>
      <c r="AS841">
        <f>IFERROR(INDEX(PP_Grid[#Data],$DD841,43),0)</f>
        <v/>
      </c>
      <c r="AT841">
        <f>IFERROR(INDEX(PP_Grid[#Data],$DD841,44),0)</f>
        <v/>
      </c>
      <c r="AU841">
        <f>IFERROR(INDEX(PP_Grid[#Data],$DD841,45),0)</f>
        <v/>
      </c>
      <c r="AV841">
        <f>IFERROR(INDEX(PP_Grid[#Data],$DD841,46),0)</f>
        <v/>
      </c>
      <c r="AW841">
        <f>IFERROR(INDEX(PP_Grid[#Data],$DD841,47),0)</f>
        <v/>
      </c>
      <c r="AX841">
        <f>IFERROR(INDEX(PP_Grid[#Data],$DD841,48),0)</f>
        <v/>
      </c>
      <c r="AY841">
        <f>IFERROR(INDEX(PP_Grid[#Data],$DD841,49),0)</f>
        <v/>
      </c>
      <c r="AZ841">
        <f>IFERROR(INDEX(PP_Grid[#Data],$DD841,50),0)</f>
        <v/>
      </c>
      <c r="BA841">
        <f>IFERROR(INDEX(PP_Grid[#Data],$DD841,51),0)</f>
        <v/>
      </c>
      <c r="BB841">
        <f>IFERROR(INDEX(PP_Grid[#Data],$DD841,52),0)</f>
        <v/>
      </c>
      <c r="BC841">
        <f>IFERROR(INDEX(PP_Grid[#Data],$DD841,53),0)</f>
        <v/>
      </c>
      <c r="BD841">
        <f>IFERROR(INDEX(PP_Grid[#Data],$DD841,54),0)</f>
        <v/>
      </c>
      <c r="BE841">
        <f>IFERROR(INDEX(PP_Grid[#Data],$DD841,55),0)</f>
        <v/>
      </c>
      <c r="BF841">
        <f>IFERROR(INDEX(PP_Grid[#Data],$DD841,56),0)</f>
        <v/>
      </c>
      <c r="BG841">
        <f>IFERROR(INDEX(PP_Grid[#Data],$DD841,57),0)</f>
        <v/>
      </c>
      <c r="BH841">
        <f>IFERROR(INDEX(PP_Grid[#Data],$DD841,58),0)</f>
        <v/>
      </c>
      <c r="BI841">
        <f>IFERROR(INDEX(PP_Grid[#Data],$DD841,59),0)</f>
        <v/>
      </c>
      <c r="BJ841">
        <f>IFERROR(INDEX(PP_Grid[#Data],$DD841,60),0)</f>
        <v/>
      </c>
      <c r="BK841">
        <f>IFERROR(INDEX(PP_Grid[#Data],$DD841,61),0)</f>
        <v/>
      </c>
      <c r="BL841">
        <f>IFERROR(INDEX(PP_Grid[#Data],$DD841,62),0)</f>
        <v/>
      </c>
      <c r="BM841">
        <f>IFERROR(INDEX(PP_Grid[#Data],$DD841,63),0)</f>
        <v/>
      </c>
      <c r="BN841">
        <f>IFERROR(INDEX(PP_Grid[#Data],$DD841,64),0)</f>
        <v/>
      </c>
      <c r="BO841">
        <f>IFERROR(INDEX(PP_Grid[#Data],$DD841,65),0)</f>
        <v/>
      </c>
      <c r="BP841">
        <f>IFERROR(INDEX(PP_Grid[#Data],$DD841,66),0)</f>
        <v/>
      </c>
      <c r="BQ841">
        <f>IFERROR(INDEX(PP_Grid[#Data],$DD841,67),0)</f>
        <v/>
      </c>
      <c r="BR841">
        <f>IFERROR(INDEX(PP_Grid[#Data],$DD841,68),0)</f>
        <v/>
      </c>
      <c r="BS841">
        <f>IFERROR(INDEX(PP_Grid[#Data],$DD841,69),0)</f>
        <v/>
      </c>
      <c r="BT841">
        <f>IFERROR(INDEX(PP_Grid[#Data],$DD841,70),0)</f>
        <v/>
      </c>
      <c r="BU841">
        <f>IFERROR(INDEX(PP_Grid[#Data],$DD841,71),0)</f>
        <v/>
      </c>
      <c r="BV841">
        <f>IFERROR(INDEX(PP_Grid[#Data],$DD841,72),0)</f>
        <v/>
      </c>
      <c r="BW841">
        <f>IFERROR(INDEX(PP_Grid[#Data],$DD841,73),0)</f>
        <v/>
      </c>
      <c r="BX841">
        <f>IFERROR(INDEX(PP_Grid[#Data],$DD841,74),0)</f>
        <v/>
      </c>
      <c r="BY841">
        <f>IFERROR(INDEX(PP_Grid[#Data],$DD841,75),0)</f>
        <v/>
      </c>
      <c r="BZ841">
        <f>IFERROR(INDEX(PP_Grid[#Data],$DD841,76),0)</f>
        <v/>
      </c>
      <c r="CA841">
        <f>IFERROR(INDEX(PP_Grid[#Data],$DD841,77),0)</f>
        <v/>
      </c>
      <c r="CB841">
        <f>IFERROR(INDEX(PP_Grid[#Data],$DD841,78),0)</f>
        <v/>
      </c>
      <c r="CC841">
        <f>IFERROR(INDEX(PP_Grid[#Data],$DD841,79),0)</f>
        <v/>
      </c>
      <c r="CD841">
        <f>IFERROR(INDEX(PP_Grid[#Data],$DD841,80),0)</f>
        <v/>
      </c>
      <c r="CE841">
        <f>IFERROR(INDEX(PP_Grid[#Data],$DD841,81),0)</f>
        <v/>
      </c>
      <c r="CF841">
        <f>IFERROR(INDEX(PP_Grid[#Data],$DD841,82),0)</f>
        <v/>
      </c>
      <c r="CG841">
        <f>IFERROR(INDEX(PP_Grid[#Data],$DD841,83),0)</f>
        <v/>
      </c>
      <c r="CH841">
        <f>IFERROR(INDEX(PP_Grid[#Data],$DD841,84),0)</f>
        <v/>
      </c>
      <c r="CI841">
        <f>IFERROR(INDEX(PP_Grid[#Data],$DD841,85),0)</f>
        <v/>
      </c>
      <c r="CJ841">
        <f>IFERROR(INDEX(PP_Grid[#Data],$DD841,86),0)</f>
        <v/>
      </c>
      <c r="CK841">
        <f>IFERROR(INDEX(PP_Grid[#Data],$DD841,87),0)</f>
        <v/>
      </c>
      <c r="CL841">
        <f>IFERROR(INDEX(PP_Grid[#Data],$DD841,88),0)</f>
        <v/>
      </c>
      <c r="CM841">
        <f>IFERROR(INDEX(PP_Grid[#Data],$DD841,89),0)</f>
        <v/>
      </c>
      <c r="CN841">
        <f>IFERROR(INDEX(PP_Grid[#Data],$DD841,90),0)</f>
        <v/>
      </c>
      <c r="CO841">
        <f>IFERROR(INDEX(PP_Grid[#Data],$DD841,91),0)</f>
        <v/>
      </c>
      <c r="CP841">
        <f>IFERROR(INDEX(PP_Grid[#Data],$DD841,92),0)</f>
        <v/>
      </c>
      <c r="CQ841">
        <f>IFERROR(INDEX(PP_Grid[#Data],$DD841,93),0)</f>
        <v/>
      </c>
      <c r="CR841">
        <f>IFERROR(INDEX(PP_Grid[#Data],$DD841,94),0)</f>
        <v/>
      </c>
      <c r="CS841">
        <f>IFERROR(INDEX(PP_Grid[#Data],$DD841,95),0)</f>
        <v/>
      </c>
      <c r="CT841">
        <f>IFERROR(INDEX(PP_Grid[#Data],$DD841,96),0)</f>
        <v/>
      </c>
      <c r="CU841">
        <f>IFERROR(INDEX(PP_Grid[#Data],$DD841,97),0)</f>
        <v/>
      </c>
      <c r="CV841">
        <f>IFERROR(INDEX(PP_Grid[#Data],$DD841,98),0)</f>
        <v/>
      </c>
      <c r="CW841">
        <f>IFERROR(INDEX(PP_Grid[#Data],$DD841,99),0)</f>
        <v/>
      </c>
      <c r="CX841">
        <f>IFERROR(INDEX(PP_Grid[#Data],$DD841,100),0)</f>
        <v/>
      </c>
      <c r="CY841">
        <f>IFERROR(INDEX(PP_Grid[#Data],$DD841,101),0)</f>
        <v/>
      </c>
      <c r="CZ841">
        <f>IFERROR(INDEX(PP_Grid[#Data],$DD841,102),0)</f>
        <v/>
      </c>
      <c r="DA841">
        <f>IFERROR(INDEX(PP_Grid[#Data],$DD841,103),0)</f>
        <v/>
      </c>
      <c r="DB841">
        <f>IFERROR(INDEX(PP_Grid[#Data],$DD841,104),0)</f>
        <v/>
      </c>
      <c r="DC841">
        <f>IFERROR(INDEX(PP_Grid[#Data],$DD841,105),0)</f>
        <v/>
      </c>
      <c r="DD841" s="12">
        <f>IFERROR(MATCH($B841,PP_Grid[Intermediate],0),99999)</f>
        <v/>
      </c>
    </row>
    <row r="842">
      <c r="B842" t="inlineStr">
        <is>
          <t>使用量(kg)</t>
        </is>
      </c>
      <c r="C842">
        <f>SUMIFS(M_BOM[RM_Qty_Per_Batch],M_BOM[Intermediate],$B841,M_BOM[Part Name],$A812)</f>
        <v/>
      </c>
      <c r="D842">
        <f>$C842*D841</f>
        <v/>
      </c>
      <c r="E842">
        <f>$C842*E841</f>
        <v/>
      </c>
      <c r="F842">
        <f>$C842*F841</f>
        <v/>
      </c>
      <c r="G842">
        <f>$C842*G841</f>
        <v/>
      </c>
      <c r="H842">
        <f>$C842*H841</f>
        <v/>
      </c>
      <c r="I842">
        <f>$C842*I841</f>
        <v/>
      </c>
      <c r="J842">
        <f>$C842*J841</f>
        <v/>
      </c>
      <c r="K842">
        <f>$C842*K841</f>
        <v/>
      </c>
      <c r="L842">
        <f>$C842*L841</f>
        <v/>
      </c>
      <c r="M842">
        <f>$C842*M841</f>
        <v/>
      </c>
      <c r="N842">
        <f>$C842*N841</f>
        <v/>
      </c>
      <c r="O842">
        <f>$C842*O841</f>
        <v/>
      </c>
      <c r="P842">
        <f>$C842*P841</f>
        <v/>
      </c>
      <c r="Q842">
        <f>$C842*Q841</f>
        <v/>
      </c>
      <c r="R842">
        <f>$C842*R841</f>
        <v/>
      </c>
      <c r="S842">
        <f>$C842*S841</f>
        <v/>
      </c>
      <c r="T842">
        <f>$C842*T841</f>
        <v/>
      </c>
      <c r="U842">
        <f>$C842*U841</f>
        <v/>
      </c>
      <c r="V842">
        <f>$C842*V841</f>
        <v/>
      </c>
      <c r="W842">
        <f>$C842*W841</f>
        <v/>
      </c>
      <c r="X842">
        <f>$C842*X841</f>
        <v/>
      </c>
      <c r="Y842">
        <f>$C842*Y841</f>
        <v/>
      </c>
      <c r="Z842">
        <f>$C842*Z841</f>
        <v/>
      </c>
      <c r="AA842">
        <f>$C842*AA841</f>
        <v/>
      </c>
      <c r="AB842">
        <f>$C842*AB841</f>
        <v/>
      </c>
      <c r="AC842">
        <f>$C842*AC841</f>
        <v/>
      </c>
      <c r="AD842">
        <f>$C842*AD841</f>
        <v/>
      </c>
      <c r="AE842">
        <f>$C842*AE841</f>
        <v/>
      </c>
      <c r="AF842">
        <f>$C842*AF841</f>
        <v/>
      </c>
      <c r="AG842">
        <f>$C842*AG841</f>
        <v/>
      </c>
      <c r="AH842">
        <f>$C842*AH841</f>
        <v/>
      </c>
      <c r="AI842">
        <f>$C842*AI841</f>
        <v/>
      </c>
      <c r="AJ842">
        <f>$C842*AJ841</f>
        <v/>
      </c>
      <c r="AK842">
        <f>$C842*AK841</f>
        <v/>
      </c>
      <c r="AL842">
        <f>$C842*AL841</f>
        <v/>
      </c>
      <c r="AM842">
        <f>$C842*AM841</f>
        <v/>
      </c>
      <c r="AN842">
        <f>$C842*AN841</f>
        <v/>
      </c>
      <c r="AO842">
        <f>$C842*AO841</f>
        <v/>
      </c>
      <c r="AP842">
        <f>$C842*AP841</f>
        <v/>
      </c>
      <c r="AQ842">
        <f>$C842*AQ841</f>
        <v/>
      </c>
      <c r="AR842">
        <f>$C842*AR841</f>
        <v/>
      </c>
      <c r="AS842">
        <f>$C842*AS841</f>
        <v/>
      </c>
      <c r="AT842">
        <f>$C842*AT841</f>
        <v/>
      </c>
      <c r="AU842">
        <f>$C842*AU841</f>
        <v/>
      </c>
      <c r="AV842">
        <f>$C842*AV841</f>
        <v/>
      </c>
      <c r="AW842">
        <f>$C842*AW841</f>
        <v/>
      </c>
      <c r="AX842">
        <f>$C842*AX841</f>
        <v/>
      </c>
      <c r="AY842">
        <f>$C842*AY841</f>
        <v/>
      </c>
      <c r="AZ842">
        <f>$C842*AZ841</f>
        <v/>
      </c>
      <c r="BA842">
        <f>$C842*BA841</f>
        <v/>
      </c>
      <c r="BB842">
        <f>$C842*BB841</f>
        <v/>
      </c>
      <c r="BC842">
        <f>$C842*BC841</f>
        <v/>
      </c>
      <c r="BD842">
        <f>$C842*BD841</f>
        <v/>
      </c>
      <c r="BE842">
        <f>$C842*BE841</f>
        <v/>
      </c>
      <c r="BF842">
        <f>$C842*BF841</f>
        <v/>
      </c>
      <c r="BG842">
        <f>$C842*BG841</f>
        <v/>
      </c>
      <c r="BH842">
        <f>$C842*BH841</f>
        <v/>
      </c>
      <c r="BI842">
        <f>$C842*BI841</f>
        <v/>
      </c>
      <c r="BJ842">
        <f>$C842*BJ841</f>
        <v/>
      </c>
      <c r="BK842">
        <f>$C842*BK841</f>
        <v/>
      </c>
      <c r="BL842">
        <f>$C842*BL841</f>
        <v/>
      </c>
      <c r="BM842">
        <f>$C842*BM841</f>
        <v/>
      </c>
      <c r="BN842">
        <f>$C842*BN841</f>
        <v/>
      </c>
      <c r="BO842">
        <f>$C842*BO841</f>
        <v/>
      </c>
      <c r="BP842">
        <f>$C842*BP841</f>
        <v/>
      </c>
      <c r="BQ842">
        <f>$C842*BQ841</f>
        <v/>
      </c>
      <c r="BR842">
        <f>$C842*BR841</f>
        <v/>
      </c>
      <c r="BS842">
        <f>$C842*BS841</f>
        <v/>
      </c>
      <c r="BT842">
        <f>$C842*BT841</f>
        <v/>
      </c>
      <c r="BU842">
        <f>$C842*BU841</f>
        <v/>
      </c>
      <c r="BV842">
        <f>$C842*BV841</f>
        <v/>
      </c>
      <c r="BW842">
        <f>$C842*BW841</f>
        <v/>
      </c>
      <c r="BX842">
        <f>$C842*BX841</f>
        <v/>
      </c>
      <c r="BY842">
        <f>$C842*BY841</f>
        <v/>
      </c>
      <c r="BZ842">
        <f>$C842*BZ841</f>
        <v/>
      </c>
      <c r="CA842">
        <f>$C842*CA841</f>
        <v/>
      </c>
      <c r="CB842">
        <f>$C842*CB841</f>
        <v/>
      </c>
      <c r="CC842">
        <f>$C842*CC841</f>
        <v/>
      </c>
      <c r="CD842">
        <f>$C842*CD841</f>
        <v/>
      </c>
      <c r="CE842">
        <f>$C842*CE841</f>
        <v/>
      </c>
      <c r="CF842">
        <f>$C842*CF841</f>
        <v/>
      </c>
      <c r="CG842">
        <f>$C842*CG841</f>
        <v/>
      </c>
      <c r="CH842">
        <f>$C842*CH841</f>
        <v/>
      </c>
      <c r="CI842">
        <f>$C842*CI841</f>
        <v/>
      </c>
      <c r="CJ842">
        <f>$C842*CJ841</f>
        <v/>
      </c>
      <c r="CK842">
        <f>$C842*CK841</f>
        <v/>
      </c>
      <c r="CL842">
        <f>$C842*CL841</f>
        <v/>
      </c>
      <c r="CM842">
        <f>$C842*CM841</f>
        <v/>
      </c>
      <c r="CN842">
        <f>$C842*CN841</f>
        <v/>
      </c>
      <c r="CO842">
        <f>$C842*CO841</f>
        <v/>
      </c>
      <c r="CP842">
        <f>$C842*CP841</f>
        <v/>
      </c>
      <c r="CQ842">
        <f>$C842*CQ841</f>
        <v/>
      </c>
      <c r="CR842">
        <f>$C842*CR841</f>
        <v/>
      </c>
      <c r="CS842">
        <f>$C842*CS841</f>
        <v/>
      </c>
      <c r="CT842">
        <f>$C842*CT841</f>
        <v/>
      </c>
      <c r="CU842">
        <f>$C842*CU841</f>
        <v/>
      </c>
      <c r="CV842">
        <f>$C842*CV841</f>
        <v/>
      </c>
      <c r="CW842">
        <f>$C842*CW841</f>
        <v/>
      </c>
      <c r="CX842">
        <f>$C842*CX841</f>
        <v/>
      </c>
      <c r="CY842">
        <f>$C842*CY841</f>
        <v/>
      </c>
      <c r="CZ842">
        <f>$C842*CZ841</f>
        <v/>
      </c>
      <c r="DA842">
        <f>$C842*DA841</f>
        <v/>
      </c>
      <c r="DB842">
        <f>$C842*DB841</f>
        <v/>
      </c>
      <c r="DC842">
        <f>$C842*DC841</f>
        <v/>
      </c>
    </row>
    <row r="843">
      <c r="B843" s="5" t="inlineStr">
        <is>
          <t>合計使用量(kg)/週</t>
        </is>
      </c>
      <c r="D843">
        <f>'Grid_Requirement'!B38</f>
        <v/>
      </c>
      <c r="E843">
        <f>'Grid_Requirement'!C38</f>
        <v/>
      </c>
      <c r="F843">
        <f>'Grid_Requirement'!D38</f>
        <v/>
      </c>
      <c r="G843">
        <f>'Grid_Requirement'!E38</f>
        <v/>
      </c>
      <c r="H843">
        <f>'Grid_Requirement'!F38</f>
        <v/>
      </c>
      <c r="I843">
        <f>'Grid_Requirement'!G38</f>
        <v/>
      </c>
      <c r="J843">
        <f>'Grid_Requirement'!H38</f>
        <v/>
      </c>
      <c r="K843">
        <f>'Grid_Requirement'!I38</f>
        <v/>
      </c>
      <c r="L843">
        <f>'Grid_Requirement'!J38</f>
        <v/>
      </c>
      <c r="M843">
        <f>'Grid_Requirement'!K38</f>
        <v/>
      </c>
      <c r="N843">
        <f>'Grid_Requirement'!L38</f>
        <v/>
      </c>
      <c r="O843">
        <f>'Grid_Requirement'!M38</f>
        <v/>
      </c>
      <c r="P843">
        <f>'Grid_Requirement'!N38</f>
        <v/>
      </c>
      <c r="Q843">
        <f>'Grid_Requirement'!O38</f>
        <v/>
      </c>
      <c r="R843">
        <f>'Grid_Requirement'!P38</f>
        <v/>
      </c>
      <c r="S843">
        <f>'Grid_Requirement'!Q38</f>
        <v/>
      </c>
      <c r="T843">
        <f>'Grid_Requirement'!R38</f>
        <v/>
      </c>
      <c r="U843">
        <f>'Grid_Requirement'!S38</f>
        <v/>
      </c>
      <c r="V843">
        <f>'Grid_Requirement'!T38</f>
        <v/>
      </c>
      <c r="W843">
        <f>'Grid_Requirement'!U38</f>
        <v/>
      </c>
      <c r="X843">
        <f>'Grid_Requirement'!V38</f>
        <v/>
      </c>
      <c r="Y843">
        <f>'Grid_Requirement'!W38</f>
        <v/>
      </c>
      <c r="Z843">
        <f>'Grid_Requirement'!X38</f>
        <v/>
      </c>
      <c r="AA843">
        <f>'Grid_Requirement'!Y38</f>
        <v/>
      </c>
      <c r="AB843">
        <f>'Grid_Requirement'!Z38</f>
        <v/>
      </c>
      <c r="AC843">
        <f>'Grid_Requirement'!AA38</f>
        <v/>
      </c>
      <c r="AD843">
        <f>'Grid_Requirement'!AB38</f>
        <v/>
      </c>
      <c r="AE843">
        <f>'Grid_Requirement'!AC38</f>
        <v/>
      </c>
      <c r="AF843">
        <f>'Grid_Requirement'!AD38</f>
        <v/>
      </c>
      <c r="AG843">
        <f>'Grid_Requirement'!AE38</f>
        <v/>
      </c>
      <c r="AH843">
        <f>'Grid_Requirement'!AF38</f>
        <v/>
      </c>
      <c r="AI843">
        <f>'Grid_Requirement'!AG38</f>
        <v/>
      </c>
      <c r="AJ843">
        <f>'Grid_Requirement'!AH38</f>
        <v/>
      </c>
      <c r="AK843">
        <f>'Grid_Requirement'!AI38</f>
        <v/>
      </c>
      <c r="AL843">
        <f>'Grid_Requirement'!AJ38</f>
        <v/>
      </c>
      <c r="AM843">
        <f>'Grid_Requirement'!AK38</f>
        <v/>
      </c>
      <c r="AN843">
        <f>'Grid_Requirement'!AL38</f>
        <v/>
      </c>
      <c r="AO843">
        <f>'Grid_Requirement'!AM38</f>
        <v/>
      </c>
      <c r="AP843">
        <f>'Grid_Requirement'!AN38</f>
        <v/>
      </c>
      <c r="AQ843">
        <f>'Grid_Requirement'!AO38</f>
        <v/>
      </c>
      <c r="AR843">
        <f>'Grid_Requirement'!AP38</f>
        <v/>
      </c>
      <c r="AS843">
        <f>'Grid_Requirement'!AQ38</f>
        <v/>
      </c>
      <c r="AT843">
        <f>'Grid_Requirement'!AR38</f>
        <v/>
      </c>
      <c r="AU843">
        <f>'Grid_Requirement'!AS38</f>
        <v/>
      </c>
      <c r="AV843">
        <f>'Grid_Requirement'!AT38</f>
        <v/>
      </c>
      <c r="AW843">
        <f>'Grid_Requirement'!AU38</f>
        <v/>
      </c>
      <c r="AX843">
        <f>'Grid_Requirement'!AV38</f>
        <v/>
      </c>
      <c r="AY843">
        <f>'Grid_Requirement'!AW38</f>
        <v/>
      </c>
      <c r="AZ843">
        <f>'Grid_Requirement'!AX38</f>
        <v/>
      </c>
      <c r="BA843">
        <f>'Grid_Requirement'!AY38</f>
        <v/>
      </c>
      <c r="BB843">
        <f>'Grid_Requirement'!AZ38</f>
        <v/>
      </c>
      <c r="BC843">
        <f>'Grid_Requirement'!BA38</f>
        <v/>
      </c>
      <c r="BD843">
        <f>'Grid_Requirement'!BB38</f>
        <v/>
      </c>
      <c r="BE843">
        <f>'Grid_Requirement'!BC38</f>
        <v/>
      </c>
      <c r="BF843">
        <f>'Grid_Requirement'!BD38</f>
        <v/>
      </c>
      <c r="BG843">
        <f>'Grid_Requirement'!BE38</f>
        <v/>
      </c>
      <c r="BH843">
        <f>'Grid_Requirement'!BF38</f>
        <v/>
      </c>
      <c r="BI843">
        <f>'Grid_Requirement'!BG38</f>
        <v/>
      </c>
      <c r="BJ843">
        <f>'Grid_Requirement'!BH38</f>
        <v/>
      </c>
      <c r="BK843">
        <f>'Grid_Requirement'!BI38</f>
        <v/>
      </c>
      <c r="BL843">
        <f>'Grid_Requirement'!BJ38</f>
        <v/>
      </c>
      <c r="BM843">
        <f>'Grid_Requirement'!BK38</f>
        <v/>
      </c>
      <c r="BN843">
        <f>'Grid_Requirement'!BL38</f>
        <v/>
      </c>
      <c r="BO843">
        <f>'Grid_Requirement'!BM38</f>
        <v/>
      </c>
      <c r="BP843">
        <f>'Grid_Requirement'!BN38</f>
        <v/>
      </c>
      <c r="BQ843">
        <f>'Grid_Requirement'!BO38</f>
        <v/>
      </c>
      <c r="BR843">
        <f>'Grid_Requirement'!BP38</f>
        <v/>
      </c>
      <c r="BS843">
        <f>'Grid_Requirement'!BQ38</f>
        <v/>
      </c>
      <c r="BT843">
        <f>'Grid_Requirement'!BR38</f>
        <v/>
      </c>
      <c r="BU843">
        <f>'Grid_Requirement'!BS38</f>
        <v/>
      </c>
      <c r="BV843">
        <f>'Grid_Requirement'!BT38</f>
        <v/>
      </c>
      <c r="BW843">
        <f>'Grid_Requirement'!BU38</f>
        <v/>
      </c>
      <c r="BX843">
        <f>'Grid_Requirement'!BV38</f>
        <v/>
      </c>
      <c r="BY843">
        <f>'Grid_Requirement'!BW38</f>
        <v/>
      </c>
      <c r="BZ843">
        <f>'Grid_Requirement'!BX38</f>
        <v/>
      </c>
      <c r="CA843">
        <f>'Grid_Requirement'!BY38</f>
        <v/>
      </c>
      <c r="CB843">
        <f>'Grid_Requirement'!BZ38</f>
        <v/>
      </c>
      <c r="CC843">
        <f>'Grid_Requirement'!CA38</f>
        <v/>
      </c>
      <c r="CD843">
        <f>'Grid_Requirement'!CB38</f>
        <v/>
      </c>
      <c r="CE843">
        <f>'Grid_Requirement'!CC38</f>
        <v/>
      </c>
      <c r="CF843">
        <f>'Grid_Requirement'!CD38</f>
        <v/>
      </c>
      <c r="CG843">
        <f>'Grid_Requirement'!CE38</f>
        <v/>
      </c>
      <c r="CH843">
        <f>'Grid_Requirement'!CF38</f>
        <v/>
      </c>
      <c r="CI843">
        <f>'Grid_Requirement'!CG38</f>
        <v/>
      </c>
      <c r="CJ843">
        <f>'Grid_Requirement'!CH38</f>
        <v/>
      </c>
      <c r="CK843">
        <f>'Grid_Requirement'!CI38</f>
        <v/>
      </c>
      <c r="CL843">
        <f>'Grid_Requirement'!CJ38</f>
        <v/>
      </c>
      <c r="CM843">
        <f>'Grid_Requirement'!CK38</f>
        <v/>
      </c>
      <c r="CN843">
        <f>'Grid_Requirement'!CL38</f>
        <v/>
      </c>
      <c r="CO843">
        <f>'Grid_Requirement'!CM38</f>
        <v/>
      </c>
      <c r="CP843">
        <f>'Grid_Requirement'!CN38</f>
        <v/>
      </c>
      <c r="CQ843">
        <f>'Grid_Requirement'!CO38</f>
        <v/>
      </c>
      <c r="CR843">
        <f>'Grid_Requirement'!CP38</f>
        <v/>
      </c>
      <c r="CS843">
        <f>'Grid_Requirement'!CQ38</f>
        <v/>
      </c>
      <c r="CT843">
        <f>'Grid_Requirement'!CR38</f>
        <v/>
      </c>
      <c r="CU843">
        <f>'Grid_Requirement'!CS38</f>
        <v/>
      </c>
      <c r="CV843">
        <f>'Grid_Requirement'!CT38</f>
        <v/>
      </c>
      <c r="CW843">
        <f>'Grid_Requirement'!CU38</f>
        <v/>
      </c>
      <c r="CX843">
        <f>'Grid_Requirement'!CV38</f>
        <v/>
      </c>
      <c r="CY843">
        <f>'Grid_Requirement'!CW38</f>
        <v/>
      </c>
      <c r="CZ843">
        <f>'Grid_Requirement'!CX38</f>
        <v/>
      </c>
      <c r="DA843">
        <f>'Grid_Requirement'!CY38</f>
        <v/>
      </c>
      <c r="DB843">
        <f>'Grid_Requirement'!CZ38</f>
        <v/>
      </c>
      <c r="DC843">
        <f>'Grid_Requirement'!DA38</f>
        <v/>
      </c>
    </row>
    <row r="844">
      <c r="B844" t="inlineStr">
        <is>
          <t>TTAF在庫(実績,kg)</t>
        </is>
      </c>
      <c r="D844">
        <f>'T_TTAFStock'!B42</f>
        <v/>
      </c>
      <c r="E844">
        <f>'T_TTAFStock'!C42</f>
        <v/>
      </c>
      <c r="F844">
        <f>'T_TTAFStock'!D42</f>
        <v/>
      </c>
      <c r="G844">
        <f>'T_TTAFStock'!E42</f>
        <v/>
      </c>
      <c r="H844">
        <f>'T_TTAFStock'!F42</f>
        <v/>
      </c>
      <c r="I844">
        <f>'T_TTAFStock'!G42</f>
        <v/>
      </c>
      <c r="J844">
        <f>'T_TTAFStock'!H42</f>
        <v/>
      </c>
      <c r="K844">
        <f>'T_TTAFStock'!I42</f>
        <v/>
      </c>
      <c r="L844">
        <f>'T_TTAFStock'!J42</f>
        <v/>
      </c>
      <c r="M844">
        <f>'T_TTAFStock'!K42</f>
        <v/>
      </c>
      <c r="N844">
        <f>'T_TTAFStock'!L42</f>
        <v/>
      </c>
      <c r="O844">
        <f>'T_TTAFStock'!M42</f>
        <v/>
      </c>
      <c r="P844">
        <f>'T_TTAFStock'!N42</f>
        <v/>
      </c>
      <c r="Q844">
        <f>'T_TTAFStock'!O42</f>
        <v/>
      </c>
      <c r="R844">
        <f>'T_TTAFStock'!P42</f>
        <v/>
      </c>
      <c r="S844">
        <f>'T_TTAFStock'!Q42</f>
        <v/>
      </c>
      <c r="T844">
        <f>'T_TTAFStock'!R42</f>
        <v/>
      </c>
      <c r="U844">
        <f>'T_TTAFStock'!S42</f>
        <v/>
      </c>
      <c r="V844">
        <f>'T_TTAFStock'!T42</f>
        <v/>
      </c>
      <c r="W844">
        <f>'T_TTAFStock'!U42</f>
        <v/>
      </c>
      <c r="X844">
        <f>'T_TTAFStock'!V42</f>
        <v/>
      </c>
      <c r="Y844">
        <f>'T_TTAFStock'!W42</f>
        <v/>
      </c>
      <c r="Z844">
        <f>'T_TTAFStock'!X42</f>
        <v/>
      </c>
      <c r="AA844">
        <f>'T_TTAFStock'!Y42</f>
        <v/>
      </c>
      <c r="AB844">
        <f>'T_TTAFStock'!Z42</f>
        <v/>
      </c>
      <c r="AC844">
        <f>'T_TTAFStock'!AA42</f>
        <v/>
      </c>
      <c r="AD844">
        <f>'T_TTAFStock'!AB42</f>
        <v/>
      </c>
      <c r="AE844">
        <f>'T_TTAFStock'!AC42</f>
        <v/>
      </c>
      <c r="AF844">
        <f>'T_TTAFStock'!AD42</f>
        <v/>
      </c>
      <c r="AG844">
        <f>'T_TTAFStock'!AE42</f>
        <v/>
      </c>
      <c r="AH844">
        <f>'T_TTAFStock'!AF42</f>
        <v/>
      </c>
      <c r="AI844">
        <f>'T_TTAFStock'!AG42</f>
        <v/>
      </c>
      <c r="AJ844">
        <f>'T_TTAFStock'!AH42</f>
        <v/>
      </c>
      <c r="AK844">
        <f>'T_TTAFStock'!AI42</f>
        <v/>
      </c>
      <c r="AL844">
        <f>'T_TTAFStock'!AJ42</f>
        <v/>
      </c>
      <c r="AM844">
        <f>'T_TTAFStock'!AK42</f>
        <v/>
      </c>
      <c r="AN844">
        <f>'T_TTAFStock'!AL42</f>
        <v/>
      </c>
      <c r="AO844">
        <f>'T_TTAFStock'!AM42</f>
        <v/>
      </c>
      <c r="AP844">
        <f>'T_TTAFStock'!AN42</f>
        <v/>
      </c>
      <c r="AQ844">
        <f>'T_TTAFStock'!AO42</f>
        <v/>
      </c>
      <c r="AR844">
        <f>'T_TTAFStock'!AP42</f>
        <v/>
      </c>
      <c r="AS844">
        <f>'T_TTAFStock'!AQ42</f>
        <v/>
      </c>
      <c r="AT844">
        <f>'T_TTAFStock'!AR42</f>
        <v/>
      </c>
      <c r="AU844">
        <f>'T_TTAFStock'!AS42</f>
        <v/>
      </c>
      <c r="AV844">
        <f>'T_TTAFStock'!AT42</f>
        <v/>
      </c>
      <c r="AW844">
        <f>'T_TTAFStock'!AU42</f>
        <v/>
      </c>
      <c r="AX844">
        <f>'T_TTAFStock'!AV42</f>
        <v/>
      </c>
      <c r="AY844">
        <f>'T_TTAFStock'!AW42</f>
        <v/>
      </c>
      <c r="AZ844">
        <f>'T_TTAFStock'!AX42</f>
        <v/>
      </c>
      <c r="BA844">
        <f>'T_TTAFStock'!AY42</f>
        <v/>
      </c>
      <c r="BB844">
        <f>'T_TTAFStock'!AZ42</f>
        <v/>
      </c>
      <c r="BC844">
        <f>'T_TTAFStock'!BA42</f>
        <v/>
      </c>
      <c r="BD844">
        <f>'T_TTAFStock'!BB42</f>
        <v/>
      </c>
      <c r="BE844">
        <f>'T_TTAFStock'!BC42</f>
        <v/>
      </c>
      <c r="BF844">
        <f>'T_TTAFStock'!BD42</f>
        <v/>
      </c>
      <c r="BG844">
        <f>'T_TTAFStock'!BE42</f>
        <v/>
      </c>
      <c r="BH844">
        <f>'T_TTAFStock'!BF42</f>
        <v/>
      </c>
      <c r="BI844">
        <f>'T_TTAFStock'!BG42</f>
        <v/>
      </c>
      <c r="BJ844">
        <f>'T_TTAFStock'!BH42</f>
        <v/>
      </c>
      <c r="BK844">
        <f>'T_TTAFStock'!BI42</f>
        <v/>
      </c>
      <c r="BL844">
        <f>'T_TTAFStock'!BJ42</f>
        <v/>
      </c>
      <c r="BM844">
        <f>'T_TTAFStock'!BK42</f>
        <v/>
      </c>
      <c r="BN844">
        <f>'T_TTAFStock'!BL42</f>
        <v/>
      </c>
      <c r="BO844">
        <f>'T_TTAFStock'!BM42</f>
        <v/>
      </c>
      <c r="BP844">
        <f>'T_TTAFStock'!BN42</f>
        <v/>
      </c>
      <c r="BQ844">
        <f>'T_TTAFStock'!BO42</f>
        <v/>
      </c>
      <c r="BR844">
        <f>'T_TTAFStock'!BP42</f>
        <v/>
      </c>
      <c r="BS844">
        <f>'T_TTAFStock'!BQ42</f>
        <v/>
      </c>
      <c r="BT844">
        <f>'T_TTAFStock'!BR42</f>
        <v/>
      </c>
      <c r="BU844">
        <f>'T_TTAFStock'!BS42</f>
        <v/>
      </c>
      <c r="BV844">
        <f>'T_TTAFStock'!BT42</f>
        <v/>
      </c>
      <c r="BW844">
        <f>'T_TTAFStock'!BU42</f>
        <v/>
      </c>
      <c r="BX844">
        <f>'T_TTAFStock'!BV42</f>
        <v/>
      </c>
      <c r="BY844">
        <f>'T_TTAFStock'!BW42</f>
        <v/>
      </c>
      <c r="BZ844">
        <f>'T_TTAFStock'!BX42</f>
        <v/>
      </c>
      <c r="CA844">
        <f>'T_TTAFStock'!BY42</f>
        <v/>
      </c>
      <c r="CB844">
        <f>'T_TTAFStock'!BZ42</f>
        <v/>
      </c>
      <c r="CC844">
        <f>'T_TTAFStock'!CA42</f>
        <v/>
      </c>
      <c r="CD844">
        <f>'T_TTAFStock'!CB42</f>
        <v/>
      </c>
      <c r="CE844">
        <f>'T_TTAFStock'!CC42</f>
        <v/>
      </c>
      <c r="CF844">
        <f>'T_TTAFStock'!CD42</f>
        <v/>
      </c>
      <c r="CG844">
        <f>'T_TTAFStock'!CE42</f>
        <v/>
      </c>
      <c r="CH844">
        <f>'T_TTAFStock'!CF42</f>
        <v/>
      </c>
      <c r="CI844">
        <f>'T_TTAFStock'!CG42</f>
        <v/>
      </c>
      <c r="CJ844">
        <f>'T_TTAFStock'!CH42</f>
        <v/>
      </c>
      <c r="CK844">
        <f>'T_TTAFStock'!CI42</f>
        <v/>
      </c>
      <c r="CL844">
        <f>'T_TTAFStock'!CJ42</f>
        <v/>
      </c>
      <c r="CM844">
        <f>'T_TTAFStock'!CK42</f>
        <v/>
      </c>
      <c r="CN844">
        <f>'T_TTAFStock'!CL42</f>
        <v/>
      </c>
      <c r="CO844">
        <f>'T_TTAFStock'!CM42</f>
        <v/>
      </c>
      <c r="CP844">
        <f>'T_TTAFStock'!CN42</f>
        <v/>
      </c>
      <c r="CQ844">
        <f>'T_TTAFStock'!CO42</f>
        <v/>
      </c>
      <c r="CR844">
        <f>'T_TTAFStock'!CP42</f>
        <v/>
      </c>
      <c r="CS844">
        <f>'T_TTAFStock'!CQ42</f>
        <v/>
      </c>
      <c r="CT844">
        <f>'T_TTAFStock'!CR42</f>
        <v/>
      </c>
      <c r="CU844">
        <f>'T_TTAFStock'!CS42</f>
        <v/>
      </c>
      <c r="CV844">
        <f>'T_TTAFStock'!CT42</f>
        <v/>
      </c>
      <c r="CW844">
        <f>'T_TTAFStock'!CU42</f>
        <v/>
      </c>
      <c r="CX844">
        <f>'T_TTAFStock'!CV42</f>
        <v/>
      </c>
      <c r="CY844">
        <f>'T_TTAFStock'!CW42</f>
        <v/>
      </c>
      <c r="CZ844">
        <f>'T_TTAFStock'!CX42</f>
        <v/>
      </c>
      <c r="DA844">
        <f>'T_TTAFStock'!CY42</f>
        <v/>
      </c>
      <c r="DB844">
        <f>'T_TTAFStock'!CZ42</f>
        <v/>
      </c>
      <c r="DC844">
        <f>'T_TTAFStock'!DA42</f>
        <v/>
      </c>
    </row>
    <row r="845">
      <c r="B845" t="inlineStr">
        <is>
          <t>自社在庫(実績,kg)</t>
        </is>
      </c>
      <c r="D845">
        <f>'T_SelfStock'!B42</f>
        <v/>
      </c>
      <c r="E845">
        <f>'T_SelfStock'!C42</f>
        <v/>
      </c>
      <c r="F845">
        <f>'T_SelfStock'!D42</f>
        <v/>
      </c>
      <c r="G845">
        <f>'T_SelfStock'!E42</f>
        <v/>
      </c>
      <c r="H845">
        <f>'T_SelfStock'!F42</f>
        <v/>
      </c>
      <c r="I845">
        <f>'T_SelfStock'!G42</f>
        <v/>
      </c>
      <c r="J845">
        <f>'T_SelfStock'!H42</f>
        <v/>
      </c>
      <c r="K845">
        <f>'T_SelfStock'!I42</f>
        <v/>
      </c>
      <c r="L845">
        <f>'T_SelfStock'!J42</f>
        <v/>
      </c>
      <c r="M845">
        <f>'T_SelfStock'!K42</f>
        <v/>
      </c>
      <c r="N845">
        <f>'T_SelfStock'!L42</f>
        <v/>
      </c>
      <c r="O845">
        <f>'T_SelfStock'!M42</f>
        <v/>
      </c>
      <c r="P845">
        <f>'T_SelfStock'!N42</f>
        <v/>
      </c>
      <c r="Q845">
        <f>'T_SelfStock'!O42</f>
        <v/>
      </c>
      <c r="R845">
        <f>'T_SelfStock'!P42</f>
        <v/>
      </c>
      <c r="S845">
        <f>'T_SelfStock'!Q42</f>
        <v/>
      </c>
      <c r="T845">
        <f>'T_SelfStock'!R42</f>
        <v/>
      </c>
      <c r="U845">
        <f>'T_SelfStock'!S42</f>
        <v/>
      </c>
      <c r="V845">
        <f>'T_SelfStock'!T42</f>
        <v/>
      </c>
      <c r="W845">
        <f>'T_SelfStock'!U42</f>
        <v/>
      </c>
      <c r="X845">
        <f>'T_SelfStock'!V42</f>
        <v/>
      </c>
      <c r="Y845">
        <f>'T_SelfStock'!W42</f>
        <v/>
      </c>
      <c r="Z845">
        <f>'T_SelfStock'!X42</f>
        <v/>
      </c>
      <c r="AA845">
        <f>'T_SelfStock'!Y42</f>
        <v/>
      </c>
      <c r="AB845">
        <f>'T_SelfStock'!Z42</f>
        <v/>
      </c>
      <c r="AC845">
        <f>'T_SelfStock'!AA42</f>
        <v/>
      </c>
      <c r="AD845">
        <f>'T_SelfStock'!AB42</f>
        <v/>
      </c>
      <c r="AE845">
        <f>'T_SelfStock'!AC42</f>
        <v/>
      </c>
      <c r="AF845">
        <f>'T_SelfStock'!AD42</f>
        <v/>
      </c>
      <c r="AG845">
        <f>'T_SelfStock'!AE42</f>
        <v/>
      </c>
      <c r="AH845">
        <f>'T_SelfStock'!AF42</f>
        <v/>
      </c>
      <c r="AI845">
        <f>'T_SelfStock'!AG42</f>
        <v/>
      </c>
      <c r="AJ845">
        <f>'T_SelfStock'!AH42</f>
        <v/>
      </c>
      <c r="AK845">
        <f>'T_SelfStock'!AI42</f>
        <v/>
      </c>
      <c r="AL845">
        <f>'T_SelfStock'!AJ42</f>
        <v/>
      </c>
      <c r="AM845">
        <f>'T_SelfStock'!AK42</f>
        <v/>
      </c>
      <c r="AN845">
        <f>'T_SelfStock'!AL42</f>
        <v/>
      </c>
      <c r="AO845">
        <f>'T_SelfStock'!AM42</f>
        <v/>
      </c>
      <c r="AP845">
        <f>'T_SelfStock'!AN42</f>
        <v/>
      </c>
      <c r="AQ845">
        <f>'T_SelfStock'!AO42</f>
        <v/>
      </c>
      <c r="AR845">
        <f>'T_SelfStock'!AP42</f>
        <v/>
      </c>
      <c r="AS845">
        <f>'T_SelfStock'!AQ42</f>
        <v/>
      </c>
      <c r="AT845">
        <f>'T_SelfStock'!AR42</f>
        <v/>
      </c>
      <c r="AU845">
        <f>'T_SelfStock'!AS42</f>
        <v/>
      </c>
      <c r="AV845">
        <f>'T_SelfStock'!AT42</f>
        <v/>
      </c>
      <c r="AW845">
        <f>'T_SelfStock'!AU42</f>
        <v/>
      </c>
      <c r="AX845">
        <f>'T_SelfStock'!AV42</f>
        <v/>
      </c>
      <c r="AY845">
        <f>'T_SelfStock'!AW42</f>
        <v/>
      </c>
      <c r="AZ845">
        <f>'T_SelfStock'!AX42</f>
        <v/>
      </c>
      <c r="BA845">
        <f>'T_SelfStock'!AY42</f>
        <v/>
      </c>
      <c r="BB845">
        <f>'T_SelfStock'!AZ42</f>
        <v/>
      </c>
      <c r="BC845">
        <f>'T_SelfStock'!BA42</f>
        <v/>
      </c>
      <c r="BD845">
        <f>'T_SelfStock'!BB42</f>
        <v/>
      </c>
      <c r="BE845">
        <f>'T_SelfStock'!BC42</f>
        <v/>
      </c>
      <c r="BF845">
        <f>'T_SelfStock'!BD42</f>
        <v/>
      </c>
      <c r="BG845">
        <f>'T_SelfStock'!BE42</f>
        <v/>
      </c>
      <c r="BH845">
        <f>'T_SelfStock'!BF42</f>
        <v/>
      </c>
      <c r="BI845">
        <f>'T_SelfStock'!BG42</f>
        <v/>
      </c>
      <c r="BJ845">
        <f>'T_SelfStock'!BH42</f>
        <v/>
      </c>
      <c r="BK845">
        <f>'T_SelfStock'!BI42</f>
        <v/>
      </c>
      <c r="BL845">
        <f>'T_SelfStock'!BJ42</f>
        <v/>
      </c>
      <c r="BM845">
        <f>'T_SelfStock'!BK42</f>
        <v/>
      </c>
      <c r="BN845">
        <f>'T_SelfStock'!BL42</f>
        <v/>
      </c>
      <c r="BO845">
        <f>'T_SelfStock'!BM42</f>
        <v/>
      </c>
      <c r="BP845">
        <f>'T_SelfStock'!BN42</f>
        <v/>
      </c>
      <c r="BQ845">
        <f>'T_SelfStock'!BO42</f>
        <v/>
      </c>
      <c r="BR845">
        <f>'T_SelfStock'!BP42</f>
        <v/>
      </c>
      <c r="BS845">
        <f>'T_SelfStock'!BQ42</f>
        <v/>
      </c>
      <c r="BT845">
        <f>'T_SelfStock'!BR42</f>
        <v/>
      </c>
      <c r="BU845">
        <f>'T_SelfStock'!BS42</f>
        <v/>
      </c>
      <c r="BV845">
        <f>'T_SelfStock'!BT42</f>
        <v/>
      </c>
      <c r="BW845">
        <f>'T_SelfStock'!BU42</f>
        <v/>
      </c>
      <c r="BX845">
        <f>'T_SelfStock'!BV42</f>
        <v/>
      </c>
      <c r="BY845">
        <f>'T_SelfStock'!BW42</f>
        <v/>
      </c>
      <c r="BZ845">
        <f>'T_SelfStock'!BX42</f>
        <v/>
      </c>
      <c r="CA845">
        <f>'T_SelfStock'!BY42</f>
        <v/>
      </c>
      <c r="CB845">
        <f>'T_SelfStock'!BZ42</f>
        <v/>
      </c>
      <c r="CC845">
        <f>'T_SelfStock'!CA42</f>
        <v/>
      </c>
      <c r="CD845">
        <f>'T_SelfStock'!CB42</f>
        <v/>
      </c>
      <c r="CE845">
        <f>'T_SelfStock'!CC42</f>
        <v/>
      </c>
      <c r="CF845">
        <f>'T_SelfStock'!CD42</f>
        <v/>
      </c>
      <c r="CG845">
        <f>'T_SelfStock'!CE42</f>
        <v/>
      </c>
      <c r="CH845">
        <f>'T_SelfStock'!CF42</f>
        <v/>
      </c>
      <c r="CI845">
        <f>'T_SelfStock'!CG42</f>
        <v/>
      </c>
      <c r="CJ845">
        <f>'T_SelfStock'!CH42</f>
        <v/>
      </c>
      <c r="CK845">
        <f>'T_SelfStock'!CI42</f>
        <v/>
      </c>
      <c r="CL845">
        <f>'T_SelfStock'!CJ42</f>
        <v/>
      </c>
      <c r="CM845">
        <f>'T_SelfStock'!CK42</f>
        <v/>
      </c>
      <c r="CN845">
        <f>'T_SelfStock'!CL42</f>
        <v/>
      </c>
      <c r="CO845">
        <f>'T_SelfStock'!CM42</f>
        <v/>
      </c>
      <c r="CP845">
        <f>'T_SelfStock'!CN42</f>
        <v/>
      </c>
      <c r="CQ845">
        <f>'T_SelfStock'!CO42</f>
        <v/>
      </c>
      <c r="CR845">
        <f>'T_SelfStock'!CP42</f>
        <v/>
      </c>
      <c r="CS845">
        <f>'T_SelfStock'!CQ42</f>
        <v/>
      </c>
      <c r="CT845">
        <f>'T_SelfStock'!CR42</f>
        <v/>
      </c>
      <c r="CU845">
        <f>'T_SelfStock'!CS42</f>
        <v/>
      </c>
      <c r="CV845">
        <f>'T_SelfStock'!CT42</f>
        <v/>
      </c>
      <c r="CW845">
        <f>'T_SelfStock'!CU42</f>
        <v/>
      </c>
      <c r="CX845">
        <f>'T_SelfStock'!CV42</f>
        <v/>
      </c>
      <c r="CY845">
        <f>'T_SelfStock'!CW42</f>
        <v/>
      </c>
      <c r="CZ845">
        <f>'T_SelfStock'!CX42</f>
        <v/>
      </c>
      <c r="DA845">
        <f>'T_SelfStock'!CY42</f>
        <v/>
      </c>
      <c r="DB845">
        <f>'T_SelfStock'!CZ42</f>
        <v/>
      </c>
      <c r="DC845">
        <f>'T_SelfStock'!DA42</f>
        <v/>
      </c>
    </row>
    <row r="846">
      <c r="B846" t="inlineStr">
        <is>
          <t>Order(発注予定,kg)</t>
        </is>
      </c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  <c r="AA846" s="23" t="n"/>
      <c r="AB846" s="23" t="n"/>
      <c r="AC846" s="23" t="n"/>
      <c r="AD846" s="23" t="n"/>
      <c r="AE846" s="23" t="n"/>
      <c r="AF846" s="23" t="n"/>
      <c r="AG846" s="23" t="n"/>
      <c r="AH846" s="23" t="n"/>
      <c r="AI846" s="23" t="n"/>
      <c r="AJ846" s="23" t="n"/>
      <c r="AK846" s="23" t="n"/>
      <c r="AL846" s="23" t="n"/>
      <c r="AM846" s="23" t="n"/>
      <c r="AN846" s="23" t="n"/>
      <c r="AO846" s="23" t="n"/>
      <c r="AP846" s="23" t="n"/>
      <c r="AQ846" s="23" t="n"/>
      <c r="AR846" s="23" t="n"/>
      <c r="AS846" s="23" t="n"/>
      <c r="AT846" s="23" t="n"/>
      <c r="AU846" s="23" t="n"/>
      <c r="AV846" s="23" t="n"/>
      <c r="AW846" s="23" t="n"/>
      <c r="AX846" s="23" t="n"/>
      <c r="AY846" s="23" t="n"/>
      <c r="AZ846" s="23" t="n"/>
      <c r="BA846" s="23" t="n"/>
      <c r="BB846" s="23" t="n"/>
      <c r="BC846" s="23" t="n"/>
      <c r="BD846" s="23" t="n"/>
      <c r="BE846" s="23" t="n"/>
      <c r="BF846" s="23" t="n"/>
      <c r="BG846" s="23" t="n"/>
      <c r="BH846" s="23" t="n"/>
      <c r="BI846" s="23" t="n"/>
      <c r="BJ846" s="23" t="n"/>
      <c r="BK846" s="23" t="n"/>
      <c r="BL846" s="23" t="n"/>
      <c r="BM846" s="23" t="n"/>
      <c r="BN846" s="23" t="n"/>
      <c r="BO846" s="23" t="n"/>
      <c r="BP846" s="23" t="n"/>
      <c r="BQ846" s="23" t="n"/>
      <c r="BR846" s="23" t="n"/>
      <c r="BS846" s="23" t="n"/>
      <c r="BT846" s="23" t="n"/>
      <c r="BU846" s="23" t="n"/>
      <c r="BV846" s="23" t="n"/>
      <c r="BW846" s="23" t="n"/>
      <c r="BX846" s="23" t="n"/>
      <c r="BY846" s="23" t="n"/>
      <c r="BZ846" s="23" t="n"/>
      <c r="CA846" s="23" t="n"/>
      <c r="CB846" s="23" t="n"/>
      <c r="CC846" s="23" t="n"/>
      <c r="CD846" s="23" t="n"/>
      <c r="CE846" s="23" t="n"/>
      <c r="CF846" s="23" t="n"/>
      <c r="CG846" s="23" t="n"/>
      <c r="CH846" s="23" t="n"/>
      <c r="CI846" s="23" t="n"/>
      <c r="CJ846" s="23" t="n"/>
      <c r="CK846" s="23" t="n"/>
      <c r="CL846" s="23" t="n"/>
      <c r="CM846" s="23" t="n"/>
      <c r="CN846" s="23" t="n"/>
      <c r="CO846" s="23" t="n"/>
      <c r="CP846" s="23" t="n"/>
      <c r="CQ846" s="23" t="n"/>
      <c r="CR846" s="23" t="n"/>
      <c r="CS846" s="23" t="n"/>
      <c r="CT846" s="23" t="n"/>
      <c r="CU846" s="23" t="n"/>
      <c r="CV846" s="23" t="n"/>
      <c r="CW846" s="23" t="n"/>
      <c r="CX846" s="23" t="n"/>
      <c r="CY846" s="23" t="n"/>
      <c r="CZ846" s="23" t="n"/>
      <c r="DA846" s="23" t="n"/>
      <c r="DB846" s="23" t="n"/>
      <c r="DC846" s="23" t="n"/>
      <c r="DE846" s="12" t="inlineStr">
        <is>
          <t>CHEM-1530</t>
        </is>
      </c>
    </row>
    <row r="847">
      <c r="B847" s="24" t="inlineStr">
        <is>
          <t>PO_No</t>
        </is>
      </c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  <c r="AD847" s="25" t="n"/>
      <c r="AE847" s="25" t="n"/>
      <c r="AF847" s="25" t="n"/>
      <c r="AG847" s="25" t="n"/>
      <c r="AH847" s="25" t="n"/>
      <c r="AI847" s="25" t="n"/>
      <c r="AJ847" s="25" t="n"/>
      <c r="AK847" s="25" t="n"/>
      <c r="AL847" s="25" t="n"/>
      <c r="AM847" s="25" t="n"/>
      <c r="AN847" s="25" t="n"/>
      <c r="AO847" s="25" t="n"/>
      <c r="AP847" s="25" t="n"/>
      <c r="AQ847" s="25" t="n"/>
      <c r="AR847" s="25" t="n"/>
      <c r="AS847" s="25" t="n"/>
      <c r="AT847" s="25" t="n"/>
      <c r="AU847" s="25" t="n"/>
      <c r="AV847" s="25" t="n"/>
      <c r="AW847" s="25" t="n"/>
      <c r="AX847" s="25" t="n"/>
      <c r="AY847" s="25" t="n"/>
      <c r="AZ847" s="25" t="n"/>
      <c r="BA847" s="25" t="n"/>
      <c r="BB847" s="25" t="n"/>
      <c r="BC847" s="25" t="n"/>
      <c r="BD847" s="25" t="n"/>
      <c r="BE847" s="25" t="n"/>
      <c r="BF847" s="25" t="n"/>
      <c r="BG847" s="25" t="n"/>
      <c r="BH847" s="25" t="n"/>
      <c r="BI847" s="25" t="n"/>
      <c r="BJ847" s="25" t="n"/>
      <c r="BK847" s="25" t="n"/>
      <c r="BL847" s="25" t="n"/>
      <c r="BM847" s="25" t="n"/>
      <c r="BN847" s="25" t="n"/>
      <c r="BO847" s="25" t="n"/>
      <c r="BP847" s="25" t="n"/>
      <c r="BQ847" s="25" t="n"/>
      <c r="BR847" s="25" t="n"/>
      <c r="BS847" s="25" t="n"/>
      <c r="BT847" s="25" t="n"/>
      <c r="BU847" s="25" t="n"/>
      <c r="BV847" s="25" t="n"/>
      <c r="BW847" s="25" t="n"/>
      <c r="BX847" s="25" t="n"/>
      <c r="BY847" s="25" t="n"/>
      <c r="BZ847" s="25" t="n"/>
      <c r="CA847" s="25" t="n"/>
      <c r="CB847" s="25" t="n"/>
      <c r="CC847" s="25" t="n"/>
      <c r="CD847" s="25" t="n"/>
      <c r="CE847" s="25" t="n"/>
      <c r="CF847" s="25" t="n"/>
      <c r="CG847" s="25" t="n"/>
      <c r="CH847" s="25" t="n"/>
      <c r="CI847" s="25" t="n"/>
      <c r="CJ847" s="25" t="n"/>
      <c r="CK847" s="25" t="n"/>
      <c r="CL847" s="25" t="n"/>
      <c r="CM847" s="25" t="n"/>
      <c r="CN847" s="25" t="n"/>
      <c r="CO847" s="25" t="n"/>
      <c r="CP847" s="25" t="n"/>
      <c r="CQ847" s="25" t="n"/>
      <c r="CR847" s="25" t="n"/>
      <c r="CS847" s="25" t="n"/>
      <c r="CT847" s="25" t="n"/>
      <c r="CU847" s="25" t="n"/>
      <c r="CV847" s="25" t="n"/>
      <c r="CW847" s="25" t="n"/>
      <c r="CX847" s="25" t="n"/>
      <c r="CY847" s="25" t="n"/>
      <c r="CZ847" s="25" t="n"/>
      <c r="DA847" s="25" t="n"/>
      <c r="DB847" s="25" t="n"/>
      <c r="DC847" s="25" t="n"/>
    </row>
    <row r="848">
      <c r="B848" s="5" t="inlineStr">
        <is>
          <t>合計在庫(週末時点,kg)</t>
        </is>
      </c>
      <c r="D848">
        <f>'Grid_Stock'!B38</f>
        <v/>
      </c>
      <c r="E848">
        <f>'Grid_Stock'!C38</f>
        <v/>
      </c>
      <c r="F848">
        <f>'Grid_Stock'!D38</f>
        <v/>
      </c>
      <c r="G848">
        <f>'Grid_Stock'!E38</f>
        <v/>
      </c>
      <c r="H848">
        <f>'Grid_Stock'!F38</f>
        <v/>
      </c>
      <c r="I848">
        <f>'Grid_Stock'!G38</f>
        <v/>
      </c>
      <c r="J848">
        <f>'Grid_Stock'!H38</f>
        <v/>
      </c>
      <c r="K848">
        <f>'Grid_Stock'!I38</f>
        <v/>
      </c>
      <c r="L848">
        <f>'Grid_Stock'!J38</f>
        <v/>
      </c>
      <c r="M848">
        <f>'Grid_Stock'!K38</f>
        <v/>
      </c>
      <c r="N848">
        <f>'Grid_Stock'!L38</f>
        <v/>
      </c>
      <c r="O848">
        <f>'Grid_Stock'!M38</f>
        <v/>
      </c>
      <c r="P848">
        <f>'Grid_Stock'!N38</f>
        <v/>
      </c>
      <c r="Q848">
        <f>'Grid_Stock'!O38</f>
        <v/>
      </c>
      <c r="R848">
        <f>'Grid_Stock'!P38</f>
        <v/>
      </c>
      <c r="S848">
        <f>'Grid_Stock'!Q38</f>
        <v/>
      </c>
      <c r="T848">
        <f>'Grid_Stock'!R38</f>
        <v/>
      </c>
      <c r="U848">
        <f>'Grid_Stock'!S38</f>
        <v/>
      </c>
      <c r="V848">
        <f>'Grid_Stock'!T38</f>
        <v/>
      </c>
      <c r="W848">
        <f>'Grid_Stock'!U38</f>
        <v/>
      </c>
      <c r="X848">
        <f>'Grid_Stock'!V38</f>
        <v/>
      </c>
      <c r="Y848">
        <f>'Grid_Stock'!W38</f>
        <v/>
      </c>
      <c r="Z848">
        <f>'Grid_Stock'!X38</f>
        <v/>
      </c>
      <c r="AA848">
        <f>'Grid_Stock'!Y38</f>
        <v/>
      </c>
      <c r="AB848">
        <f>'Grid_Stock'!Z38</f>
        <v/>
      </c>
      <c r="AC848">
        <f>'Grid_Stock'!AA38</f>
        <v/>
      </c>
      <c r="AD848">
        <f>'Grid_Stock'!AB38</f>
        <v/>
      </c>
      <c r="AE848">
        <f>'Grid_Stock'!AC38</f>
        <v/>
      </c>
      <c r="AF848">
        <f>'Grid_Stock'!AD38</f>
        <v/>
      </c>
      <c r="AG848">
        <f>'Grid_Stock'!AE38</f>
        <v/>
      </c>
      <c r="AH848">
        <f>'Grid_Stock'!AF38</f>
        <v/>
      </c>
      <c r="AI848">
        <f>'Grid_Stock'!AG38</f>
        <v/>
      </c>
      <c r="AJ848">
        <f>'Grid_Stock'!AH38</f>
        <v/>
      </c>
      <c r="AK848">
        <f>'Grid_Stock'!AI38</f>
        <v/>
      </c>
      <c r="AL848">
        <f>'Grid_Stock'!AJ38</f>
        <v/>
      </c>
      <c r="AM848">
        <f>'Grid_Stock'!AK38</f>
        <v/>
      </c>
      <c r="AN848">
        <f>'Grid_Stock'!AL38</f>
        <v/>
      </c>
      <c r="AO848">
        <f>'Grid_Stock'!AM38</f>
        <v/>
      </c>
      <c r="AP848">
        <f>'Grid_Stock'!AN38</f>
        <v/>
      </c>
      <c r="AQ848">
        <f>'Grid_Stock'!AO38</f>
        <v/>
      </c>
      <c r="AR848">
        <f>'Grid_Stock'!AP38</f>
        <v/>
      </c>
      <c r="AS848">
        <f>'Grid_Stock'!AQ38</f>
        <v/>
      </c>
      <c r="AT848">
        <f>'Grid_Stock'!AR38</f>
        <v/>
      </c>
      <c r="AU848">
        <f>'Grid_Stock'!AS38</f>
        <v/>
      </c>
      <c r="AV848">
        <f>'Grid_Stock'!AT38</f>
        <v/>
      </c>
      <c r="AW848">
        <f>'Grid_Stock'!AU38</f>
        <v/>
      </c>
      <c r="AX848">
        <f>'Grid_Stock'!AV38</f>
        <v/>
      </c>
      <c r="AY848">
        <f>'Grid_Stock'!AW38</f>
        <v/>
      </c>
      <c r="AZ848">
        <f>'Grid_Stock'!AX38</f>
        <v/>
      </c>
      <c r="BA848">
        <f>'Grid_Stock'!AY38</f>
        <v/>
      </c>
      <c r="BB848">
        <f>'Grid_Stock'!AZ38</f>
        <v/>
      </c>
      <c r="BC848">
        <f>'Grid_Stock'!BA38</f>
        <v/>
      </c>
      <c r="BD848">
        <f>'Grid_Stock'!BB38</f>
        <v/>
      </c>
      <c r="BE848">
        <f>'Grid_Stock'!BC38</f>
        <v/>
      </c>
      <c r="BF848">
        <f>'Grid_Stock'!BD38</f>
        <v/>
      </c>
      <c r="BG848">
        <f>'Grid_Stock'!BE38</f>
        <v/>
      </c>
      <c r="BH848">
        <f>'Grid_Stock'!BF38</f>
        <v/>
      </c>
      <c r="BI848">
        <f>'Grid_Stock'!BG38</f>
        <v/>
      </c>
      <c r="BJ848">
        <f>'Grid_Stock'!BH38</f>
        <v/>
      </c>
      <c r="BK848">
        <f>'Grid_Stock'!BI38</f>
        <v/>
      </c>
      <c r="BL848">
        <f>'Grid_Stock'!BJ38</f>
        <v/>
      </c>
      <c r="BM848">
        <f>'Grid_Stock'!BK38</f>
        <v/>
      </c>
      <c r="BN848">
        <f>'Grid_Stock'!BL38</f>
        <v/>
      </c>
      <c r="BO848">
        <f>'Grid_Stock'!BM38</f>
        <v/>
      </c>
      <c r="BP848">
        <f>'Grid_Stock'!BN38</f>
        <v/>
      </c>
      <c r="BQ848">
        <f>'Grid_Stock'!BO38</f>
        <v/>
      </c>
      <c r="BR848">
        <f>'Grid_Stock'!BP38</f>
        <v/>
      </c>
      <c r="BS848">
        <f>'Grid_Stock'!BQ38</f>
        <v/>
      </c>
      <c r="BT848">
        <f>'Grid_Stock'!BR38</f>
        <v/>
      </c>
      <c r="BU848">
        <f>'Grid_Stock'!BS38</f>
        <v/>
      </c>
      <c r="BV848">
        <f>'Grid_Stock'!BT38</f>
        <v/>
      </c>
      <c r="BW848">
        <f>'Grid_Stock'!BU38</f>
        <v/>
      </c>
      <c r="BX848">
        <f>'Grid_Stock'!BV38</f>
        <v/>
      </c>
      <c r="BY848">
        <f>'Grid_Stock'!BW38</f>
        <v/>
      </c>
      <c r="BZ848">
        <f>'Grid_Stock'!BX38</f>
        <v/>
      </c>
      <c r="CA848">
        <f>'Grid_Stock'!BY38</f>
        <v/>
      </c>
      <c r="CB848">
        <f>'Grid_Stock'!BZ38</f>
        <v/>
      </c>
      <c r="CC848">
        <f>'Grid_Stock'!CA38</f>
        <v/>
      </c>
      <c r="CD848">
        <f>'Grid_Stock'!CB38</f>
        <v/>
      </c>
      <c r="CE848">
        <f>'Grid_Stock'!CC38</f>
        <v/>
      </c>
      <c r="CF848">
        <f>'Grid_Stock'!CD38</f>
        <v/>
      </c>
      <c r="CG848">
        <f>'Grid_Stock'!CE38</f>
        <v/>
      </c>
      <c r="CH848">
        <f>'Grid_Stock'!CF38</f>
        <v/>
      </c>
      <c r="CI848">
        <f>'Grid_Stock'!CG38</f>
        <v/>
      </c>
      <c r="CJ848">
        <f>'Grid_Stock'!CH38</f>
        <v/>
      </c>
      <c r="CK848">
        <f>'Grid_Stock'!CI38</f>
        <v/>
      </c>
      <c r="CL848">
        <f>'Grid_Stock'!CJ38</f>
        <v/>
      </c>
      <c r="CM848">
        <f>'Grid_Stock'!CK38</f>
        <v/>
      </c>
      <c r="CN848">
        <f>'Grid_Stock'!CL38</f>
        <v/>
      </c>
      <c r="CO848">
        <f>'Grid_Stock'!CM38</f>
        <v/>
      </c>
      <c r="CP848">
        <f>'Grid_Stock'!CN38</f>
        <v/>
      </c>
      <c r="CQ848">
        <f>'Grid_Stock'!CO38</f>
        <v/>
      </c>
      <c r="CR848">
        <f>'Grid_Stock'!CP38</f>
        <v/>
      </c>
      <c r="CS848">
        <f>'Grid_Stock'!CQ38</f>
        <v/>
      </c>
      <c r="CT848">
        <f>'Grid_Stock'!CR38</f>
        <v/>
      </c>
      <c r="CU848">
        <f>'Grid_Stock'!CS38</f>
        <v/>
      </c>
      <c r="CV848">
        <f>'Grid_Stock'!CT38</f>
        <v/>
      </c>
      <c r="CW848">
        <f>'Grid_Stock'!CU38</f>
        <v/>
      </c>
      <c r="CX848">
        <f>'Grid_Stock'!CV38</f>
        <v/>
      </c>
      <c r="CY848">
        <f>'Grid_Stock'!CW38</f>
        <v/>
      </c>
      <c r="CZ848">
        <f>'Grid_Stock'!CX38</f>
        <v/>
      </c>
      <c r="DA848">
        <f>'Grid_Stock'!CY38</f>
        <v/>
      </c>
      <c r="DB848">
        <f>'Grid_Stock'!CZ38</f>
        <v/>
      </c>
      <c r="DC848">
        <f>'Grid_Stock'!DA38</f>
        <v/>
      </c>
    </row>
    <row r="849">
      <c r="B849" s="26" t="inlineStr">
        <is>
          <t>（発注の目安はDashboardの基準在庫[下限/上限]と色分けを参照）</t>
        </is>
      </c>
    </row>
    <row r="851">
      <c r="A851" s="21" t="inlineStr">
        <is>
          <t>CHEM-1480</t>
        </is>
      </c>
      <c r="B851" s="21" t="inlineStr">
        <is>
          <t>NAT 30</t>
        </is>
      </c>
      <c r="C851" s="22" t="n"/>
      <c r="D851" s="21" t="n"/>
      <c r="E851" s="21" t="n"/>
      <c r="F851" s="21" t="n"/>
      <c r="G851" s="21" t="n"/>
      <c r="H851" s="21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  <c r="AA851" s="21" t="n"/>
      <c r="AB851" s="21" t="n"/>
      <c r="AC851" s="21" t="n"/>
      <c r="AD851" s="21" t="n"/>
      <c r="AE851" s="21" t="n"/>
      <c r="AF851" s="21" t="n"/>
      <c r="AG851" s="21" t="n"/>
      <c r="AH851" s="21" t="n"/>
      <c r="AI851" s="21" t="n"/>
      <c r="AJ851" s="21" t="n"/>
      <c r="AK851" s="21" t="n"/>
      <c r="AL851" s="21" t="n"/>
      <c r="AM851" s="21" t="n"/>
      <c r="AN851" s="21" t="n"/>
      <c r="AO851" s="21" t="n"/>
      <c r="AP851" s="21" t="n"/>
      <c r="AQ851" s="21" t="n"/>
      <c r="AR851" s="21" t="n"/>
      <c r="AS851" s="21" t="n"/>
      <c r="AT851" s="21" t="n"/>
      <c r="AU851" s="21" t="n"/>
      <c r="AV851" s="21" t="n"/>
      <c r="AW851" s="21" t="n"/>
      <c r="AX851" s="21" t="n"/>
      <c r="AY851" s="21" t="n"/>
      <c r="AZ851" s="21" t="n"/>
      <c r="BA851" s="21" t="n"/>
      <c r="BB851" s="21" t="n"/>
      <c r="BC851" s="21" t="n"/>
      <c r="BD851" s="21" t="n"/>
      <c r="BE851" s="21" t="n"/>
      <c r="BF851" s="21" t="n"/>
      <c r="BG851" s="21" t="n"/>
      <c r="BH851" s="21" t="n"/>
      <c r="BI851" s="21" t="n"/>
      <c r="BJ851" s="21" t="n"/>
      <c r="BK851" s="21" t="n"/>
      <c r="BL851" s="21" t="n"/>
      <c r="BM851" s="21" t="n"/>
      <c r="BN851" s="21" t="n"/>
      <c r="BO851" s="21" t="n"/>
      <c r="BP851" s="21" t="n"/>
      <c r="BQ851" s="21" t="n"/>
      <c r="BR851" s="21" t="n"/>
      <c r="BS851" s="21" t="n"/>
      <c r="BT851" s="21" t="n"/>
      <c r="BU851" s="21" t="n"/>
      <c r="BV851" s="21" t="n"/>
      <c r="BW851" s="21" t="n"/>
      <c r="BX851" s="21" t="n"/>
      <c r="BY851" s="21" t="n"/>
      <c r="BZ851" s="21" t="n"/>
      <c r="CA851" s="21" t="n"/>
      <c r="CB851" s="21" t="n"/>
      <c r="CC851" s="21" t="n"/>
      <c r="CD851" s="21" t="n"/>
      <c r="CE851" s="21" t="n"/>
      <c r="CF851" s="21" t="n"/>
      <c r="CG851" s="21" t="n"/>
      <c r="CH851" s="21" t="n"/>
      <c r="CI851" s="21" t="n"/>
      <c r="CJ851" s="21" t="n"/>
      <c r="CK851" s="21" t="n"/>
      <c r="CL851" s="21" t="n"/>
      <c r="CM851" s="21" t="n"/>
      <c r="CN851" s="21" t="n"/>
      <c r="CO851" s="21" t="n"/>
      <c r="CP851" s="21" t="n"/>
      <c r="CQ851" s="21" t="n"/>
      <c r="CR851" s="21" t="n"/>
      <c r="CS851" s="21" t="n"/>
      <c r="CT851" s="21" t="n"/>
      <c r="CU851" s="21" t="n"/>
      <c r="CV851" s="21" t="n"/>
      <c r="CW851" s="21" t="n"/>
      <c r="CX851" s="21" t="n"/>
      <c r="CY851" s="21" t="n"/>
      <c r="CZ851" s="21" t="n"/>
      <c r="DA851" s="21" t="n"/>
      <c r="DB851" s="21" t="n"/>
      <c r="DC851" s="21" t="n"/>
    </row>
    <row r="852">
      <c r="B852" t="inlineStr">
        <is>
          <t>TSP-206</t>
        </is>
      </c>
      <c r="C852" t="inlineStr">
        <is>
          <t>No. of batches</t>
        </is>
      </c>
      <c r="D852">
        <f>IFERROR(INDEX(PP_Grid[#Data],$DD852,2),0)</f>
        <v/>
      </c>
      <c r="E852">
        <f>IFERROR(INDEX(PP_Grid[#Data],$DD852,3),0)</f>
        <v/>
      </c>
      <c r="F852">
        <f>IFERROR(INDEX(PP_Grid[#Data],$DD852,4),0)</f>
        <v/>
      </c>
      <c r="G852">
        <f>IFERROR(INDEX(PP_Grid[#Data],$DD852,5),0)</f>
        <v/>
      </c>
      <c r="H852">
        <f>IFERROR(INDEX(PP_Grid[#Data],$DD852,6),0)</f>
        <v/>
      </c>
      <c r="I852">
        <f>IFERROR(INDEX(PP_Grid[#Data],$DD852,7),0)</f>
        <v/>
      </c>
      <c r="J852">
        <f>IFERROR(INDEX(PP_Grid[#Data],$DD852,8),0)</f>
        <v/>
      </c>
      <c r="K852">
        <f>IFERROR(INDEX(PP_Grid[#Data],$DD852,9),0)</f>
        <v/>
      </c>
      <c r="L852">
        <f>IFERROR(INDEX(PP_Grid[#Data],$DD852,10),0)</f>
        <v/>
      </c>
      <c r="M852">
        <f>IFERROR(INDEX(PP_Grid[#Data],$DD852,11),0)</f>
        <v/>
      </c>
      <c r="N852">
        <f>IFERROR(INDEX(PP_Grid[#Data],$DD852,12),0)</f>
        <v/>
      </c>
      <c r="O852">
        <f>IFERROR(INDEX(PP_Grid[#Data],$DD852,13),0)</f>
        <v/>
      </c>
      <c r="P852">
        <f>IFERROR(INDEX(PP_Grid[#Data],$DD852,14),0)</f>
        <v/>
      </c>
      <c r="Q852">
        <f>IFERROR(INDEX(PP_Grid[#Data],$DD852,15),0)</f>
        <v/>
      </c>
      <c r="R852">
        <f>IFERROR(INDEX(PP_Grid[#Data],$DD852,16),0)</f>
        <v/>
      </c>
      <c r="S852">
        <f>IFERROR(INDEX(PP_Grid[#Data],$DD852,17),0)</f>
        <v/>
      </c>
      <c r="T852">
        <f>IFERROR(INDEX(PP_Grid[#Data],$DD852,18),0)</f>
        <v/>
      </c>
      <c r="U852">
        <f>IFERROR(INDEX(PP_Grid[#Data],$DD852,19),0)</f>
        <v/>
      </c>
      <c r="V852">
        <f>IFERROR(INDEX(PP_Grid[#Data],$DD852,20),0)</f>
        <v/>
      </c>
      <c r="W852">
        <f>IFERROR(INDEX(PP_Grid[#Data],$DD852,21),0)</f>
        <v/>
      </c>
      <c r="X852">
        <f>IFERROR(INDEX(PP_Grid[#Data],$DD852,22),0)</f>
        <v/>
      </c>
      <c r="Y852">
        <f>IFERROR(INDEX(PP_Grid[#Data],$DD852,23),0)</f>
        <v/>
      </c>
      <c r="Z852">
        <f>IFERROR(INDEX(PP_Grid[#Data],$DD852,24),0)</f>
        <v/>
      </c>
      <c r="AA852">
        <f>IFERROR(INDEX(PP_Grid[#Data],$DD852,25),0)</f>
        <v/>
      </c>
      <c r="AB852">
        <f>IFERROR(INDEX(PP_Grid[#Data],$DD852,26),0)</f>
        <v/>
      </c>
      <c r="AC852">
        <f>IFERROR(INDEX(PP_Grid[#Data],$DD852,27),0)</f>
        <v/>
      </c>
      <c r="AD852">
        <f>IFERROR(INDEX(PP_Grid[#Data],$DD852,28),0)</f>
        <v/>
      </c>
      <c r="AE852">
        <f>IFERROR(INDEX(PP_Grid[#Data],$DD852,29),0)</f>
        <v/>
      </c>
      <c r="AF852">
        <f>IFERROR(INDEX(PP_Grid[#Data],$DD852,30),0)</f>
        <v/>
      </c>
      <c r="AG852">
        <f>IFERROR(INDEX(PP_Grid[#Data],$DD852,31),0)</f>
        <v/>
      </c>
      <c r="AH852">
        <f>IFERROR(INDEX(PP_Grid[#Data],$DD852,32),0)</f>
        <v/>
      </c>
      <c r="AI852">
        <f>IFERROR(INDEX(PP_Grid[#Data],$DD852,33),0)</f>
        <v/>
      </c>
      <c r="AJ852">
        <f>IFERROR(INDEX(PP_Grid[#Data],$DD852,34),0)</f>
        <v/>
      </c>
      <c r="AK852">
        <f>IFERROR(INDEX(PP_Grid[#Data],$DD852,35),0)</f>
        <v/>
      </c>
      <c r="AL852">
        <f>IFERROR(INDEX(PP_Grid[#Data],$DD852,36),0)</f>
        <v/>
      </c>
      <c r="AM852">
        <f>IFERROR(INDEX(PP_Grid[#Data],$DD852,37),0)</f>
        <v/>
      </c>
      <c r="AN852">
        <f>IFERROR(INDEX(PP_Grid[#Data],$DD852,38),0)</f>
        <v/>
      </c>
      <c r="AO852">
        <f>IFERROR(INDEX(PP_Grid[#Data],$DD852,39),0)</f>
        <v/>
      </c>
      <c r="AP852">
        <f>IFERROR(INDEX(PP_Grid[#Data],$DD852,40),0)</f>
        <v/>
      </c>
      <c r="AQ852">
        <f>IFERROR(INDEX(PP_Grid[#Data],$DD852,41),0)</f>
        <v/>
      </c>
      <c r="AR852">
        <f>IFERROR(INDEX(PP_Grid[#Data],$DD852,42),0)</f>
        <v/>
      </c>
      <c r="AS852">
        <f>IFERROR(INDEX(PP_Grid[#Data],$DD852,43),0)</f>
        <v/>
      </c>
      <c r="AT852">
        <f>IFERROR(INDEX(PP_Grid[#Data],$DD852,44),0)</f>
        <v/>
      </c>
      <c r="AU852">
        <f>IFERROR(INDEX(PP_Grid[#Data],$DD852,45),0)</f>
        <v/>
      </c>
      <c r="AV852">
        <f>IFERROR(INDEX(PP_Grid[#Data],$DD852,46),0)</f>
        <v/>
      </c>
      <c r="AW852">
        <f>IFERROR(INDEX(PP_Grid[#Data],$DD852,47),0)</f>
        <v/>
      </c>
      <c r="AX852">
        <f>IFERROR(INDEX(PP_Grid[#Data],$DD852,48),0)</f>
        <v/>
      </c>
      <c r="AY852">
        <f>IFERROR(INDEX(PP_Grid[#Data],$DD852,49),0)</f>
        <v/>
      </c>
      <c r="AZ852">
        <f>IFERROR(INDEX(PP_Grid[#Data],$DD852,50),0)</f>
        <v/>
      </c>
      <c r="BA852">
        <f>IFERROR(INDEX(PP_Grid[#Data],$DD852,51),0)</f>
        <v/>
      </c>
      <c r="BB852">
        <f>IFERROR(INDEX(PP_Grid[#Data],$DD852,52),0)</f>
        <v/>
      </c>
      <c r="BC852">
        <f>IFERROR(INDEX(PP_Grid[#Data],$DD852,53),0)</f>
        <v/>
      </c>
      <c r="BD852">
        <f>IFERROR(INDEX(PP_Grid[#Data],$DD852,54),0)</f>
        <v/>
      </c>
      <c r="BE852">
        <f>IFERROR(INDEX(PP_Grid[#Data],$DD852,55),0)</f>
        <v/>
      </c>
      <c r="BF852">
        <f>IFERROR(INDEX(PP_Grid[#Data],$DD852,56),0)</f>
        <v/>
      </c>
      <c r="BG852">
        <f>IFERROR(INDEX(PP_Grid[#Data],$DD852,57),0)</f>
        <v/>
      </c>
      <c r="BH852">
        <f>IFERROR(INDEX(PP_Grid[#Data],$DD852,58),0)</f>
        <v/>
      </c>
      <c r="BI852">
        <f>IFERROR(INDEX(PP_Grid[#Data],$DD852,59),0)</f>
        <v/>
      </c>
      <c r="BJ852">
        <f>IFERROR(INDEX(PP_Grid[#Data],$DD852,60),0)</f>
        <v/>
      </c>
      <c r="BK852">
        <f>IFERROR(INDEX(PP_Grid[#Data],$DD852,61),0)</f>
        <v/>
      </c>
      <c r="BL852">
        <f>IFERROR(INDEX(PP_Grid[#Data],$DD852,62),0)</f>
        <v/>
      </c>
      <c r="BM852">
        <f>IFERROR(INDEX(PP_Grid[#Data],$DD852,63),0)</f>
        <v/>
      </c>
      <c r="BN852">
        <f>IFERROR(INDEX(PP_Grid[#Data],$DD852,64),0)</f>
        <v/>
      </c>
      <c r="BO852">
        <f>IFERROR(INDEX(PP_Grid[#Data],$DD852,65),0)</f>
        <v/>
      </c>
      <c r="BP852">
        <f>IFERROR(INDEX(PP_Grid[#Data],$DD852,66),0)</f>
        <v/>
      </c>
      <c r="BQ852">
        <f>IFERROR(INDEX(PP_Grid[#Data],$DD852,67),0)</f>
        <v/>
      </c>
      <c r="BR852">
        <f>IFERROR(INDEX(PP_Grid[#Data],$DD852,68),0)</f>
        <v/>
      </c>
      <c r="BS852">
        <f>IFERROR(INDEX(PP_Grid[#Data],$DD852,69),0)</f>
        <v/>
      </c>
      <c r="BT852">
        <f>IFERROR(INDEX(PP_Grid[#Data],$DD852,70),0)</f>
        <v/>
      </c>
      <c r="BU852">
        <f>IFERROR(INDEX(PP_Grid[#Data],$DD852,71),0)</f>
        <v/>
      </c>
      <c r="BV852">
        <f>IFERROR(INDEX(PP_Grid[#Data],$DD852,72),0)</f>
        <v/>
      </c>
      <c r="BW852">
        <f>IFERROR(INDEX(PP_Grid[#Data],$DD852,73),0)</f>
        <v/>
      </c>
      <c r="BX852">
        <f>IFERROR(INDEX(PP_Grid[#Data],$DD852,74),0)</f>
        <v/>
      </c>
      <c r="BY852">
        <f>IFERROR(INDEX(PP_Grid[#Data],$DD852,75),0)</f>
        <v/>
      </c>
      <c r="BZ852">
        <f>IFERROR(INDEX(PP_Grid[#Data],$DD852,76),0)</f>
        <v/>
      </c>
      <c r="CA852">
        <f>IFERROR(INDEX(PP_Grid[#Data],$DD852,77),0)</f>
        <v/>
      </c>
      <c r="CB852">
        <f>IFERROR(INDEX(PP_Grid[#Data],$DD852,78),0)</f>
        <v/>
      </c>
      <c r="CC852">
        <f>IFERROR(INDEX(PP_Grid[#Data],$DD852,79),0)</f>
        <v/>
      </c>
      <c r="CD852">
        <f>IFERROR(INDEX(PP_Grid[#Data],$DD852,80),0)</f>
        <v/>
      </c>
      <c r="CE852">
        <f>IFERROR(INDEX(PP_Grid[#Data],$DD852,81),0)</f>
        <v/>
      </c>
      <c r="CF852">
        <f>IFERROR(INDEX(PP_Grid[#Data],$DD852,82),0)</f>
        <v/>
      </c>
      <c r="CG852">
        <f>IFERROR(INDEX(PP_Grid[#Data],$DD852,83),0)</f>
        <v/>
      </c>
      <c r="CH852">
        <f>IFERROR(INDEX(PP_Grid[#Data],$DD852,84),0)</f>
        <v/>
      </c>
      <c r="CI852">
        <f>IFERROR(INDEX(PP_Grid[#Data],$DD852,85),0)</f>
        <v/>
      </c>
      <c r="CJ852">
        <f>IFERROR(INDEX(PP_Grid[#Data],$DD852,86),0)</f>
        <v/>
      </c>
      <c r="CK852">
        <f>IFERROR(INDEX(PP_Grid[#Data],$DD852,87),0)</f>
        <v/>
      </c>
      <c r="CL852">
        <f>IFERROR(INDEX(PP_Grid[#Data],$DD852,88),0)</f>
        <v/>
      </c>
      <c r="CM852">
        <f>IFERROR(INDEX(PP_Grid[#Data],$DD852,89),0)</f>
        <v/>
      </c>
      <c r="CN852">
        <f>IFERROR(INDEX(PP_Grid[#Data],$DD852,90),0)</f>
        <v/>
      </c>
      <c r="CO852">
        <f>IFERROR(INDEX(PP_Grid[#Data],$DD852,91),0)</f>
        <v/>
      </c>
      <c r="CP852">
        <f>IFERROR(INDEX(PP_Grid[#Data],$DD852,92),0)</f>
        <v/>
      </c>
      <c r="CQ852">
        <f>IFERROR(INDEX(PP_Grid[#Data],$DD852,93),0)</f>
        <v/>
      </c>
      <c r="CR852">
        <f>IFERROR(INDEX(PP_Grid[#Data],$DD852,94),0)</f>
        <v/>
      </c>
      <c r="CS852">
        <f>IFERROR(INDEX(PP_Grid[#Data],$DD852,95),0)</f>
        <v/>
      </c>
      <c r="CT852">
        <f>IFERROR(INDEX(PP_Grid[#Data],$DD852,96),0)</f>
        <v/>
      </c>
      <c r="CU852">
        <f>IFERROR(INDEX(PP_Grid[#Data],$DD852,97),0)</f>
        <v/>
      </c>
      <c r="CV852">
        <f>IFERROR(INDEX(PP_Grid[#Data],$DD852,98),0)</f>
        <v/>
      </c>
      <c r="CW852">
        <f>IFERROR(INDEX(PP_Grid[#Data],$DD852,99),0)</f>
        <v/>
      </c>
      <c r="CX852">
        <f>IFERROR(INDEX(PP_Grid[#Data],$DD852,100),0)</f>
        <v/>
      </c>
      <c r="CY852">
        <f>IFERROR(INDEX(PP_Grid[#Data],$DD852,101),0)</f>
        <v/>
      </c>
      <c r="CZ852">
        <f>IFERROR(INDEX(PP_Grid[#Data],$DD852,102),0)</f>
        <v/>
      </c>
      <c r="DA852">
        <f>IFERROR(INDEX(PP_Grid[#Data],$DD852,103),0)</f>
        <v/>
      </c>
      <c r="DB852">
        <f>IFERROR(INDEX(PP_Grid[#Data],$DD852,104),0)</f>
        <v/>
      </c>
      <c r="DC852">
        <f>IFERROR(INDEX(PP_Grid[#Data],$DD852,105),0)</f>
        <v/>
      </c>
      <c r="DD852" s="12">
        <f>IFERROR(MATCH($B852,PP_Grid[Intermediate],0),99999)</f>
        <v/>
      </c>
    </row>
    <row r="853">
      <c r="B853" t="inlineStr">
        <is>
          <t>使用量(kg)</t>
        </is>
      </c>
      <c r="C853">
        <f>SUMIFS(M_BOM[RM_Qty_Per_Batch],M_BOM[Intermediate],$B852,M_BOM[Part Name],$A851)</f>
        <v/>
      </c>
      <c r="D853">
        <f>$C853*D852</f>
        <v/>
      </c>
      <c r="E853">
        <f>$C853*E852</f>
        <v/>
      </c>
      <c r="F853">
        <f>$C853*F852</f>
        <v/>
      </c>
      <c r="G853">
        <f>$C853*G852</f>
        <v/>
      </c>
      <c r="H853">
        <f>$C853*H852</f>
        <v/>
      </c>
      <c r="I853">
        <f>$C853*I852</f>
        <v/>
      </c>
      <c r="J853">
        <f>$C853*J852</f>
        <v/>
      </c>
      <c r="K853">
        <f>$C853*K852</f>
        <v/>
      </c>
      <c r="L853">
        <f>$C853*L852</f>
        <v/>
      </c>
      <c r="M853">
        <f>$C853*M852</f>
        <v/>
      </c>
      <c r="N853">
        <f>$C853*N852</f>
        <v/>
      </c>
      <c r="O853">
        <f>$C853*O852</f>
        <v/>
      </c>
      <c r="P853">
        <f>$C853*P852</f>
        <v/>
      </c>
      <c r="Q853">
        <f>$C853*Q852</f>
        <v/>
      </c>
      <c r="R853">
        <f>$C853*R852</f>
        <v/>
      </c>
      <c r="S853">
        <f>$C853*S852</f>
        <v/>
      </c>
      <c r="T853">
        <f>$C853*T852</f>
        <v/>
      </c>
      <c r="U853">
        <f>$C853*U852</f>
        <v/>
      </c>
      <c r="V853">
        <f>$C853*V852</f>
        <v/>
      </c>
      <c r="W853">
        <f>$C853*W852</f>
        <v/>
      </c>
      <c r="X853">
        <f>$C853*X852</f>
        <v/>
      </c>
      <c r="Y853">
        <f>$C853*Y852</f>
        <v/>
      </c>
      <c r="Z853">
        <f>$C853*Z852</f>
        <v/>
      </c>
      <c r="AA853">
        <f>$C853*AA852</f>
        <v/>
      </c>
      <c r="AB853">
        <f>$C853*AB852</f>
        <v/>
      </c>
      <c r="AC853">
        <f>$C853*AC852</f>
        <v/>
      </c>
      <c r="AD853">
        <f>$C853*AD852</f>
        <v/>
      </c>
      <c r="AE853">
        <f>$C853*AE852</f>
        <v/>
      </c>
      <c r="AF853">
        <f>$C853*AF852</f>
        <v/>
      </c>
      <c r="AG853">
        <f>$C853*AG852</f>
        <v/>
      </c>
      <c r="AH853">
        <f>$C853*AH852</f>
        <v/>
      </c>
      <c r="AI853">
        <f>$C853*AI852</f>
        <v/>
      </c>
      <c r="AJ853">
        <f>$C853*AJ852</f>
        <v/>
      </c>
      <c r="AK853">
        <f>$C853*AK852</f>
        <v/>
      </c>
      <c r="AL853">
        <f>$C853*AL852</f>
        <v/>
      </c>
      <c r="AM853">
        <f>$C853*AM852</f>
        <v/>
      </c>
      <c r="AN853">
        <f>$C853*AN852</f>
        <v/>
      </c>
      <c r="AO853">
        <f>$C853*AO852</f>
        <v/>
      </c>
      <c r="AP853">
        <f>$C853*AP852</f>
        <v/>
      </c>
      <c r="AQ853">
        <f>$C853*AQ852</f>
        <v/>
      </c>
      <c r="AR853">
        <f>$C853*AR852</f>
        <v/>
      </c>
      <c r="AS853">
        <f>$C853*AS852</f>
        <v/>
      </c>
      <c r="AT853">
        <f>$C853*AT852</f>
        <v/>
      </c>
      <c r="AU853">
        <f>$C853*AU852</f>
        <v/>
      </c>
      <c r="AV853">
        <f>$C853*AV852</f>
        <v/>
      </c>
      <c r="AW853">
        <f>$C853*AW852</f>
        <v/>
      </c>
      <c r="AX853">
        <f>$C853*AX852</f>
        <v/>
      </c>
      <c r="AY853">
        <f>$C853*AY852</f>
        <v/>
      </c>
      <c r="AZ853">
        <f>$C853*AZ852</f>
        <v/>
      </c>
      <c r="BA853">
        <f>$C853*BA852</f>
        <v/>
      </c>
      <c r="BB853">
        <f>$C853*BB852</f>
        <v/>
      </c>
      <c r="BC853">
        <f>$C853*BC852</f>
        <v/>
      </c>
      <c r="BD853">
        <f>$C853*BD852</f>
        <v/>
      </c>
      <c r="BE853">
        <f>$C853*BE852</f>
        <v/>
      </c>
      <c r="BF853">
        <f>$C853*BF852</f>
        <v/>
      </c>
      <c r="BG853">
        <f>$C853*BG852</f>
        <v/>
      </c>
      <c r="BH853">
        <f>$C853*BH852</f>
        <v/>
      </c>
      <c r="BI853">
        <f>$C853*BI852</f>
        <v/>
      </c>
      <c r="BJ853">
        <f>$C853*BJ852</f>
        <v/>
      </c>
      <c r="BK853">
        <f>$C853*BK852</f>
        <v/>
      </c>
      <c r="BL853">
        <f>$C853*BL852</f>
        <v/>
      </c>
      <c r="BM853">
        <f>$C853*BM852</f>
        <v/>
      </c>
      <c r="BN853">
        <f>$C853*BN852</f>
        <v/>
      </c>
      <c r="BO853">
        <f>$C853*BO852</f>
        <v/>
      </c>
      <c r="BP853">
        <f>$C853*BP852</f>
        <v/>
      </c>
      <c r="BQ853">
        <f>$C853*BQ852</f>
        <v/>
      </c>
      <c r="BR853">
        <f>$C853*BR852</f>
        <v/>
      </c>
      <c r="BS853">
        <f>$C853*BS852</f>
        <v/>
      </c>
      <c r="BT853">
        <f>$C853*BT852</f>
        <v/>
      </c>
      <c r="BU853">
        <f>$C853*BU852</f>
        <v/>
      </c>
      <c r="BV853">
        <f>$C853*BV852</f>
        <v/>
      </c>
      <c r="BW853">
        <f>$C853*BW852</f>
        <v/>
      </c>
      <c r="BX853">
        <f>$C853*BX852</f>
        <v/>
      </c>
      <c r="BY853">
        <f>$C853*BY852</f>
        <v/>
      </c>
      <c r="BZ853">
        <f>$C853*BZ852</f>
        <v/>
      </c>
      <c r="CA853">
        <f>$C853*CA852</f>
        <v/>
      </c>
      <c r="CB853">
        <f>$C853*CB852</f>
        <v/>
      </c>
      <c r="CC853">
        <f>$C853*CC852</f>
        <v/>
      </c>
      <c r="CD853">
        <f>$C853*CD852</f>
        <v/>
      </c>
      <c r="CE853">
        <f>$C853*CE852</f>
        <v/>
      </c>
      <c r="CF853">
        <f>$C853*CF852</f>
        <v/>
      </c>
      <c r="CG853">
        <f>$C853*CG852</f>
        <v/>
      </c>
      <c r="CH853">
        <f>$C853*CH852</f>
        <v/>
      </c>
      <c r="CI853">
        <f>$C853*CI852</f>
        <v/>
      </c>
      <c r="CJ853">
        <f>$C853*CJ852</f>
        <v/>
      </c>
      <c r="CK853">
        <f>$C853*CK852</f>
        <v/>
      </c>
      <c r="CL853">
        <f>$C853*CL852</f>
        <v/>
      </c>
      <c r="CM853">
        <f>$C853*CM852</f>
        <v/>
      </c>
      <c r="CN853">
        <f>$C853*CN852</f>
        <v/>
      </c>
      <c r="CO853">
        <f>$C853*CO852</f>
        <v/>
      </c>
      <c r="CP853">
        <f>$C853*CP852</f>
        <v/>
      </c>
      <c r="CQ853">
        <f>$C853*CQ852</f>
        <v/>
      </c>
      <c r="CR853">
        <f>$C853*CR852</f>
        <v/>
      </c>
      <c r="CS853">
        <f>$C853*CS852</f>
        <v/>
      </c>
      <c r="CT853">
        <f>$C853*CT852</f>
        <v/>
      </c>
      <c r="CU853">
        <f>$C853*CU852</f>
        <v/>
      </c>
      <c r="CV853">
        <f>$C853*CV852</f>
        <v/>
      </c>
      <c r="CW853">
        <f>$C853*CW852</f>
        <v/>
      </c>
      <c r="CX853">
        <f>$C853*CX852</f>
        <v/>
      </c>
      <c r="CY853">
        <f>$C853*CY852</f>
        <v/>
      </c>
      <c r="CZ853">
        <f>$C853*CZ852</f>
        <v/>
      </c>
      <c r="DA853">
        <f>$C853*DA852</f>
        <v/>
      </c>
      <c r="DB853">
        <f>$C853*DB852</f>
        <v/>
      </c>
      <c r="DC853">
        <f>$C853*DC852</f>
        <v/>
      </c>
    </row>
    <row r="854">
      <c r="B854" s="5" t="inlineStr">
        <is>
          <t>合計使用量(kg)/週</t>
        </is>
      </c>
      <c r="D854">
        <f>'Grid_Requirement'!B39</f>
        <v/>
      </c>
      <c r="E854">
        <f>'Grid_Requirement'!C39</f>
        <v/>
      </c>
      <c r="F854">
        <f>'Grid_Requirement'!D39</f>
        <v/>
      </c>
      <c r="G854">
        <f>'Grid_Requirement'!E39</f>
        <v/>
      </c>
      <c r="H854">
        <f>'Grid_Requirement'!F39</f>
        <v/>
      </c>
      <c r="I854">
        <f>'Grid_Requirement'!G39</f>
        <v/>
      </c>
      <c r="J854">
        <f>'Grid_Requirement'!H39</f>
        <v/>
      </c>
      <c r="K854">
        <f>'Grid_Requirement'!I39</f>
        <v/>
      </c>
      <c r="L854">
        <f>'Grid_Requirement'!J39</f>
        <v/>
      </c>
      <c r="M854">
        <f>'Grid_Requirement'!K39</f>
        <v/>
      </c>
      <c r="N854">
        <f>'Grid_Requirement'!L39</f>
        <v/>
      </c>
      <c r="O854">
        <f>'Grid_Requirement'!M39</f>
        <v/>
      </c>
      <c r="P854">
        <f>'Grid_Requirement'!N39</f>
        <v/>
      </c>
      <c r="Q854">
        <f>'Grid_Requirement'!O39</f>
        <v/>
      </c>
      <c r="R854">
        <f>'Grid_Requirement'!P39</f>
        <v/>
      </c>
      <c r="S854">
        <f>'Grid_Requirement'!Q39</f>
        <v/>
      </c>
      <c r="T854">
        <f>'Grid_Requirement'!R39</f>
        <v/>
      </c>
      <c r="U854">
        <f>'Grid_Requirement'!S39</f>
        <v/>
      </c>
      <c r="V854">
        <f>'Grid_Requirement'!T39</f>
        <v/>
      </c>
      <c r="W854">
        <f>'Grid_Requirement'!U39</f>
        <v/>
      </c>
      <c r="X854">
        <f>'Grid_Requirement'!V39</f>
        <v/>
      </c>
      <c r="Y854">
        <f>'Grid_Requirement'!W39</f>
        <v/>
      </c>
      <c r="Z854">
        <f>'Grid_Requirement'!X39</f>
        <v/>
      </c>
      <c r="AA854">
        <f>'Grid_Requirement'!Y39</f>
        <v/>
      </c>
      <c r="AB854">
        <f>'Grid_Requirement'!Z39</f>
        <v/>
      </c>
      <c r="AC854">
        <f>'Grid_Requirement'!AA39</f>
        <v/>
      </c>
      <c r="AD854">
        <f>'Grid_Requirement'!AB39</f>
        <v/>
      </c>
      <c r="AE854">
        <f>'Grid_Requirement'!AC39</f>
        <v/>
      </c>
      <c r="AF854">
        <f>'Grid_Requirement'!AD39</f>
        <v/>
      </c>
      <c r="AG854">
        <f>'Grid_Requirement'!AE39</f>
        <v/>
      </c>
      <c r="AH854">
        <f>'Grid_Requirement'!AF39</f>
        <v/>
      </c>
      <c r="AI854">
        <f>'Grid_Requirement'!AG39</f>
        <v/>
      </c>
      <c r="AJ854">
        <f>'Grid_Requirement'!AH39</f>
        <v/>
      </c>
      <c r="AK854">
        <f>'Grid_Requirement'!AI39</f>
        <v/>
      </c>
      <c r="AL854">
        <f>'Grid_Requirement'!AJ39</f>
        <v/>
      </c>
      <c r="AM854">
        <f>'Grid_Requirement'!AK39</f>
        <v/>
      </c>
      <c r="AN854">
        <f>'Grid_Requirement'!AL39</f>
        <v/>
      </c>
      <c r="AO854">
        <f>'Grid_Requirement'!AM39</f>
        <v/>
      </c>
      <c r="AP854">
        <f>'Grid_Requirement'!AN39</f>
        <v/>
      </c>
      <c r="AQ854">
        <f>'Grid_Requirement'!AO39</f>
        <v/>
      </c>
      <c r="AR854">
        <f>'Grid_Requirement'!AP39</f>
        <v/>
      </c>
      <c r="AS854">
        <f>'Grid_Requirement'!AQ39</f>
        <v/>
      </c>
      <c r="AT854">
        <f>'Grid_Requirement'!AR39</f>
        <v/>
      </c>
      <c r="AU854">
        <f>'Grid_Requirement'!AS39</f>
        <v/>
      </c>
      <c r="AV854">
        <f>'Grid_Requirement'!AT39</f>
        <v/>
      </c>
      <c r="AW854">
        <f>'Grid_Requirement'!AU39</f>
        <v/>
      </c>
      <c r="AX854">
        <f>'Grid_Requirement'!AV39</f>
        <v/>
      </c>
      <c r="AY854">
        <f>'Grid_Requirement'!AW39</f>
        <v/>
      </c>
      <c r="AZ854">
        <f>'Grid_Requirement'!AX39</f>
        <v/>
      </c>
      <c r="BA854">
        <f>'Grid_Requirement'!AY39</f>
        <v/>
      </c>
      <c r="BB854">
        <f>'Grid_Requirement'!AZ39</f>
        <v/>
      </c>
      <c r="BC854">
        <f>'Grid_Requirement'!BA39</f>
        <v/>
      </c>
      <c r="BD854">
        <f>'Grid_Requirement'!BB39</f>
        <v/>
      </c>
      <c r="BE854">
        <f>'Grid_Requirement'!BC39</f>
        <v/>
      </c>
      <c r="BF854">
        <f>'Grid_Requirement'!BD39</f>
        <v/>
      </c>
      <c r="BG854">
        <f>'Grid_Requirement'!BE39</f>
        <v/>
      </c>
      <c r="BH854">
        <f>'Grid_Requirement'!BF39</f>
        <v/>
      </c>
      <c r="BI854">
        <f>'Grid_Requirement'!BG39</f>
        <v/>
      </c>
      <c r="BJ854">
        <f>'Grid_Requirement'!BH39</f>
        <v/>
      </c>
      <c r="BK854">
        <f>'Grid_Requirement'!BI39</f>
        <v/>
      </c>
      <c r="BL854">
        <f>'Grid_Requirement'!BJ39</f>
        <v/>
      </c>
      <c r="BM854">
        <f>'Grid_Requirement'!BK39</f>
        <v/>
      </c>
      <c r="BN854">
        <f>'Grid_Requirement'!BL39</f>
        <v/>
      </c>
      <c r="BO854">
        <f>'Grid_Requirement'!BM39</f>
        <v/>
      </c>
      <c r="BP854">
        <f>'Grid_Requirement'!BN39</f>
        <v/>
      </c>
      <c r="BQ854">
        <f>'Grid_Requirement'!BO39</f>
        <v/>
      </c>
      <c r="BR854">
        <f>'Grid_Requirement'!BP39</f>
        <v/>
      </c>
      <c r="BS854">
        <f>'Grid_Requirement'!BQ39</f>
        <v/>
      </c>
      <c r="BT854">
        <f>'Grid_Requirement'!BR39</f>
        <v/>
      </c>
      <c r="BU854">
        <f>'Grid_Requirement'!BS39</f>
        <v/>
      </c>
      <c r="BV854">
        <f>'Grid_Requirement'!BT39</f>
        <v/>
      </c>
      <c r="BW854">
        <f>'Grid_Requirement'!BU39</f>
        <v/>
      </c>
      <c r="BX854">
        <f>'Grid_Requirement'!BV39</f>
        <v/>
      </c>
      <c r="BY854">
        <f>'Grid_Requirement'!BW39</f>
        <v/>
      </c>
      <c r="BZ854">
        <f>'Grid_Requirement'!BX39</f>
        <v/>
      </c>
      <c r="CA854">
        <f>'Grid_Requirement'!BY39</f>
        <v/>
      </c>
      <c r="CB854">
        <f>'Grid_Requirement'!BZ39</f>
        <v/>
      </c>
      <c r="CC854">
        <f>'Grid_Requirement'!CA39</f>
        <v/>
      </c>
      <c r="CD854">
        <f>'Grid_Requirement'!CB39</f>
        <v/>
      </c>
      <c r="CE854">
        <f>'Grid_Requirement'!CC39</f>
        <v/>
      </c>
      <c r="CF854">
        <f>'Grid_Requirement'!CD39</f>
        <v/>
      </c>
      <c r="CG854">
        <f>'Grid_Requirement'!CE39</f>
        <v/>
      </c>
      <c r="CH854">
        <f>'Grid_Requirement'!CF39</f>
        <v/>
      </c>
      <c r="CI854">
        <f>'Grid_Requirement'!CG39</f>
        <v/>
      </c>
      <c r="CJ854">
        <f>'Grid_Requirement'!CH39</f>
        <v/>
      </c>
      <c r="CK854">
        <f>'Grid_Requirement'!CI39</f>
        <v/>
      </c>
      <c r="CL854">
        <f>'Grid_Requirement'!CJ39</f>
        <v/>
      </c>
      <c r="CM854">
        <f>'Grid_Requirement'!CK39</f>
        <v/>
      </c>
      <c r="CN854">
        <f>'Grid_Requirement'!CL39</f>
        <v/>
      </c>
      <c r="CO854">
        <f>'Grid_Requirement'!CM39</f>
        <v/>
      </c>
      <c r="CP854">
        <f>'Grid_Requirement'!CN39</f>
        <v/>
      </c>
      <c r="CQ854">
        <f>'Grid_Requirement'!CO39</f>
        <v/>
      </c>
      <c r="CR854">
        <f>'Grid_Requirement'!CP39</f>
        <v/>
      </c>
      <c r="CS854">
        <f>'Grid_Requirement'!CQ39</f>
        <v/>
      </c>
      <c r="CT854">
        <f>'Grid_Requirement'!CR39</f>
        <v/>
      </c>
      <c r="CU854">
        <f>'Grid_Requirement'!CS39</f>
        <v/>
      </c>
      <c r="CV854">
        <f>'Grid_Requirement'!CT39</f>
        <v/>
      </c>
      <c r="CW854">
        <f>'Grid_Requirement'!CU39</f>
        <v/>
      </c>
      <c r="CX854">
        <f>'Grid_Requirement'!CV39</f>
        <v/>
      </c>
      <c r="CY854">
        <f>'Grid_Requirement'!CW39</f>
        <v/>
      </c>
      <c r="CZ854">
        <f>'Grid_Requirement'!CX39</f>
        <v/>
      </c>
      <c r="DA854">
        <f>'Grid_Requirement'!CY39</f>
        <v/>
      </c>
      <c r="DB854">
        <f>'Grid_Requirement'!CZ39</f>
        <v/>
      </c>
      <c r="DC854">
        <f>'Grid_Requirement'!DA39</f>
        <v/>
      </c>
    </row>
    <row r="855">
      <c r="B855" t="inlineStr">
        <is>
          <t>TTAF在庫(実績,kg)</t>
        </is>
      </c>
      <c r="D855">
        <f>'T_TTAFStock'!B43</f>
        <v/>
      </c>
      <c r="E855">
        <f>'T_TTAFStock'!C43</f>
        <v/>
      </c>
      <c r="F855">
        <f>'T_TTAFStock'!D43</f>
        <v/>
      </c>
      <c r="G855">
        <f>'T_TTAFStock'!E43</f>
        <v/>
      </c>
      <c r="H855">
        <f>'T_TTAFStock'!F43</f>
        <v/>
      </c>
      <c r="I855">
        <f>'T_TTAFStock'!G43</f>
        <v/>
      </c>
      <c r="J855">
        <f>'T_TTAFStock'!H43</f>
        <v/>
      </c>
      <c r="K855">
        <f>'T_TTAFStock'!I43</f>
        <v/>
      </c>
      <c r="L855">
        <f>'T_TTAFStock'!J43</f>
        <v/>
      </c>
      <c r="M855">
        <f>'T_TTAFStock'!K43</f>
        <v/>
      </c>
      <c r="N855">
        <f>'T_TTAFStock'!L43</f>
        <v/>
      </c>
      <c r="O855">
        <f>'T_TTAFStock'!M43</f>
        <v/>
      </c>
      <c r="P855">
        <f>'T_TTAFStock'!N43</f>
        <v/>
      </c>
      <c r="Q855">
        <f>'T_TTAFStock'!O43</f>
        <v/>
      </c>
      <c r="R855">
        <f>'T_TTAFStock'!P43</f>
        <v/>
      </c>
      <c r="S855">
        <f>'T_TTAFStock'!Q43</f>
        <v/>
      </c>
      <c r="T855">
        <f>'T_TTAFStock'!R43</f>
        <v/>
      </c>
      <c r="U855">
        <f>'T_TTAFStock'!S43</f>
        <v/>
      </c>
      <c r="V855">
        <f>'T_TTAFStock'!T43</f>
        <v/>
      </c>
      <c r="W855">
        <f>'T_TTAFStock'!U43</f>
        <v/>
      </c>
      <c r="X855">
        <f>'T_TTAFStock'!V43</f>
        <v/>
      </c>
      <c r="Y855">
        <f>'T_TTAFStock'!W43</f>
        <v/>
      </c>
      <c r="Z855">
        <f>'T_TTAFStock'!X43</f>
        <v/>
      </c>
      <c r="AA855">
        <f>'T_TTAFStock'!Y43</f>
        <v/>
      </c>
      <c r="AB855">
        <f>'T_TTAFStock'!Z43</f>
        <v/>
      </c>
      <c r="AC855">
        <f>'T_TTAFStock'!AA43</f>
        <v/>
      </c>
      <c r="AD855">
        <f>'T_TTAFStock'!AB43</f>
        <v/>
      </c>
      <c r="AE855">
        <f>'T_TTAFStock'!AC43</f>
        <v/>
      </c>
      <c r="AF855">
        <f>'T_TTAFStock'!AD43</f>
        <v/>
      </c>
      <c r="AG855">
        <f>'T_TTAFStock'!AE43</f>
        <v/>
      </c>
      <c r="AH855">
        <f>'T_TTAFStock'!AF43</f>
        <v/>
      </c>
      <c r="AI855">
        <f>'T_TTAFStock'!AG43</f>
        <v/>
      </c>
      <c r="AJ855">
        <f>'T_TTAFStock'!AH43</f>
        <v/>
      </c>
      <c r="AK855">
        <f>'T_TTAFStock'!AI43</f>
        <v/>
      </c>
      <c r="AL855">
        <f>'T_TTAFStock'!AJ43</f>
        <v/>
      </c>
      <c r="AM855">
        <f>'T_TTAFStock'!AK43</f>
        <v/>
      </c>
      <c r="AN855">
        <f>'T_TTAFStock'!AL43</f>
        <v/>
      </c>
      <c r="AO855">
        <f>'T_TTAFStock'!AM43</f>
        <v/>
      </c>
      <c r="AP855">
        <f>'T_TTAFStock'!AN43</f>
        <v/>
      </c>
      <c r="AQ855">
        <f>'T_TTAFStock'!AO43</f>
        <v/>
      </c>
      <c r="AR855">
        <f>'T_TTAFStock'!AP43</f>
        <v/>
      </c>
      <c r="AS855">
        <f>'T_TTAFStock'!AQ43</f>
        <v/>
      </c>
      <c r="AT855">
        <f>'T_TTAFStock'!AR43</f>
        <v/>
      </c>
      <c r="AU855">
        <f>'T_TTAFStock'!AS43</f>
        <v/>
      </c>
      <c r="AV855">
        <f>'T_TTAFStock'!AT43</f>
        <v/>
      </c>
      <c r="AW855">
        <f>'T_TTAFStock'!AU43</f>
        <v/>
      </c>
      <c r="AX855">
        <f>'T_TTAFStock'!AV43</f>
        <v/>
      </c>
      <c r="AY855">
        <f>'T_TTAFStock'!AW43</f>
        <v/>
      </c>
      <c r="AZ855">
        <f>'T_TTAFStock'!AX43</f>
        <v/>
      </c>
      <c r="BA855">
        <f>'T_TTAFStock'!AY43</f>
        <v/>
      </c>
      <c r="BB855">
        <f>'T_TTAFStock'!AZ43</f>
        <v/>
      </c>
      <c r="BC855">
        <f>'T_TTAFStock'!BA43</f>
        <v/>
      </c>
      <c r="BD855">
        <f>'T_TTAFStock'!BB43</f>
        <v/>
      </c>
      <c r="BE855">
        <f>'T_TTAFStock'!BC43</f>
        <v/>
      </c>
      <c r="BF855">
        <f>'T_TTAFStock'!BD43</f>
        <v/>
      </c>
      <c r="BG855">
        <f>'T_TTAFStock'!BE43</f>
        <v/>
      </c>
      <c r="BH855">
        <f>'T_TTAFStock'!BF43</f>
        <v/>
      </c>
      <c r="BI855">
        <f>'T_TTAFStock'!BG43</f>
        <v/>
      </c>
      <c r="BJ855">
        <f>'T_TTAFStock'!BH43</f>
        <v/>
      </c>
      <c r="BK855">
        <f>'T_TTAFStock'!BI43</f>
        <v/>
      </c>
      <c r="BL855">
        <f>'T_TTAFStock'!BJ43</f>
        <v/>
      </c>
      <c r="BM855">
        <f>'T_TTAFStock'!BK43</f>
        <v/>
      </c>
      <c r="BN855">
        <f>'T_TTAFStock'!BL43</f>
        <v/>
      </c>
      <c r="BO855">
        <f>'T_TTAFStock'!BM43</f>
        <v/>
      </c>
      <c r="BP855">
        <f>'T_TTAFStock'!BN43</f>
        <v/>
      </c>
      <c r="BQ855">
        <f>'T_TTAFStock'!BO43</f>
        <v/>
      </c>
      <c r="BR855">
        <f>'T_TTAFStock'!BP43</f>
        <v/>
      </c>
      <c r="BS855">
        <f>'T_TTAFStock'!BQ43</f>
        <v/>
      </c>
      <c r="BT855">
        <f>'T_TTAFStock'!BR43</f>
        <v/>
      </c>
      <c r="BU855">
        <f>'T_TTAFStock'!BS43</f>
        <v/>
      </c>
      <c r="BV855">
        <f>'T_TTAFStock'!BT43</f>
        <v/>
      </c>
      <c r="BW855">
        <f>'T_TTAFStock'!BU43</f>
        <v/>
      </c>
      <c r="BX855">
        <f>'T_TTAFStock'!BV43</f>
        <v/>
      </c>
      <c r="BY855">
        <f>'T_TTAFStock'!BW43</f>
        <v/>
      </c>
      <c r="BZ855">
        <f>'T_TTAFStock'!BX43</f>
        <v/>
      </c>
      <c r="CA855">
        <f>'T_TTAFStock'!BY43</f>
        <v/>
      </c>
      <c r="CB855">
        <f>'T_TTAFStock'!BZ43</f>
        <v/>
      </c>
      <c r="CC855">
        <f>'T_TTAFStock'!CA43</f>
        <v/>
      </c>
      <c r="CD855">
        <f>'T_TTAFStock'!CB43</f>
        <v/>
      </c>
      <c r="CE855">
        <f>'T_TTAFStock'!CC43</f>
        <v/>
      </c>
      <c r="CF855">
        <f>'T_TTAFStock'!CD43</f>
        <v/>
      </c>
      <c r="CG855">
        <f>'T_TTAFStock'!CE43</f>
        <v/>
      </c>
      <c r="CH855">
        <f>'T_TTAFStock'!CF43</f>
        <v/>
      </c>
      <c r="CI855">
        <f>'T_TTAFStock'!CG43</f>
        <v/>
      </c>
      <c r="CJ855">
        <f>'T_TTAFStock'!CH43</f>
        <v/>
      </c>
      <c r="CK855">
        <f>'T_TTAFStock'!CI43</f>
        <v/>
      </c>
      <c r="CL855">
        <f>'T_TTAFStock'!CJ43</f>
        <v/>
      </c>
      <c r="CM855">
        <f>'T_TTAFStock'!CK43</f>
        <v/>
      </c>
      <c r="CN855">
        <f>'T_TTAFStock'!CL43</f>
        <v/>
      </c>
      <c r="CO855">
        <f>'T_TTAFStock'!CM43</f>
        <v/>
      </c>
      <c r="CP855">
        <f>'T_TTAFStock'!CN43</f>
        <v/>
      </c>
      <c r="CQ855">
        <f>'T_TTAFStock'!CO43</f>
        <v/>
      </c>
      <c r="CR855">
        <f>'T_TTAFStock'!CP43</f>
        <v/>
      </c>
      <c r="CS855">
        <f>'T_TTAFStock'!CQ43</f>
        <v/>
      </c>
      <c r="CT855">
        <f>'T_TTAFStock'!CR43</f>
        <v/>
      </c>
      <c r="CU855">
        <f>'T_TTAFStock'!CS43</f>
        <v/>
      </c>
      <c r="CV855">
        <f>'T_TTAFStock'!CT43</f>
        <v/>
      </c>
      <c r="CW855">
        <f>'T_TTAFStock'!CU43</f>
        <v/>
      </c>
      <c r="CX855">
        <f>'T_TTAFStock'!CV43</f>
        <v/>
      </c>
      <c r="CY855">
        <f>'T_TTAFStock'!CW43</f>
        <v/>
      </c>
      <c r="CZ855">
        <f>'T_TTAFStock'!CX43</f>
        <v/>
      </c>
      <c r="DA855">
        <f>'T_TTAFStock'!CY43</f>
        <v/>
      </c>
      <c r="DB855">
        <f>'T_TTAFStock'!CZ43</f>
        <v/>
      </c>
      <c r="DC855">
        <f>'T_TTAFStock'!DA43</f>
        <v/>
      </c>
    </row>
    <row r="856">
      <c r="B856" t="inlineStr">
        <is>
          <t>自社在庫(実績,kg)</t>
        </is>
      </c>
      <c r="D856">
        <f>'T_SelfStock'!B43</f>
        <v/>
      </c>
      <c r="E856">
        <f>'T_SelfStock'!C43</f>
        <v/>
      </c>
      <c r="F856">
        <f>'T_SelfStock'!D43</f>
        <v/>
      </c>
      <c r="G856">
        <f>'T_SelfStock'!E43</f>
        <v/>
      </c>
      <c r="H856">
        <f>'T_SelfStock'!F43</f>
        <v/>
      </c>
      <c r="I856">
        <f>'T_SelfStock'!G43</f>
        <v/>
      </c>
      <c r="J856">
        <f>'T_SelfStock'!H43</f>
        <v/>
      </c>
      <c r="K856">
        <f>'T_SelfStock'!I43</f>
        <v/>
      </c>
      <c r="L856">
        <f>'T_SelfStock'!J43</f>
        <v/>
      </c>
      <c r="M856">
        <f>'T_SelfStock'!K43</f>
        <v/>
      </c>
      <c r="N856">
        <f>'T_SelfStock'!L43</f>
        <v/>
      </c>
      <c r="O856">
        <f>'T_SelfStock'!M43</f>
        <v/>
      </c>
      <c r="P856">
        <f>'T_SelfStock'!N43</f>
        <v/>
      </c>
      <c r="Q856">
        <f>'T_SelfStock'!O43</f>
        <v/>
      </c>
      <c r="R856">
        <f>'T_SelfStock'!P43</f>
        <v/>
      </c>
      <c r="S856">
        <f>'T_SelfStock'!Q43</f>
        <v/>
      </c>
      <c r="T856">
        <f>'T_SelfStock'!R43</f>
        <v/>
      </c>
      <c r="U856">
        <f>'T_SelfStock'!S43</f>
        <v/>
      </c>
      <c r="V856">
        <f>'T_SelfStock'!T43</f>
        <v/>
      </c>
      <c r="W856">
        <f>'T_SelfStock'!U43</f>
        <v/>
      </c>
      <c r="X856">
        <f>'T_SelfStock'!V43</f>
        <v/>
      </c>
      <c r="Y856">
        <f>'T_SelfStock'!W43</f>
        <v/>
      </c>
      <c r="Z856">
        <f>'T_SelfStock'!X43</f>
        <v/>
      </c>
      <c r="AA856">
        <f>'T_SelfStock'!Y43</f>
        <v/>
      </c>
      <c r="AB856">
        <f>'T_SelfStock'!Z43</f>
        <v/>
      </c>
      <c r="AC856">
        <f>'T_SelfStock'!AA43</f>
        <v/>
      </c>
      <c r="AD856">
        <f>'T_SelfStock'!AB43</f>
        <v/>
      </c>
      <c r="AE856">
        <f>'T_SelfStock'!AC43</f>
        <v/>
      </c>
      <c r="AF856">
        <f>'T_SelfStock'!AD43</f>
        <v/>
      </c>
      <c r="AG856">
        <f>'T_SelfStock'!AE43</f>
        <v/>
      </c>
      <c r="AH856">
        <f>'T_SelfStock'!AF43</f>
        <v/>
      </c>
      <c r="AI856">
        <f>'T_SelfStock'!AG43</f>
        <v/>
      </c>
      <c r="AJ856">
        <f>'T_SelfStock'!AH43</f>
        <v/>
      </c>
      <c r="AK856">
        <f>'T_SelfStock'!AI43</f>
        <v/>
      </c>
      <c r="AL856">
        <f>'T_SelfStock'!AJ43</f>
        <v/>
      </c>
      <c r="AM856">
        <f>'T_SelfStock'!AK43</f>
        <v/>
      </c>
      <c r="AN856">
        <f>'T_SelfStock'!AL43</f>
        <v/>
      </c>
      <c r="AO856">
        <f>'T_SelfStock'!AM43</f>
        <v/>
      </c>
      <c r="AP856">
        <f>'T_SelfStock'!AN43</f>
        <v/>
      </c>
      <c r="AQ856">
        <f>'T_SelfStock'!AO43</f>
        <v/>
      </c>
      <c r="AR856">
        <f>'T_SelfStock'!AP43</f>
        <v/>
      </c>
      <c r="AS856">
        <f>'T_SelfStock'!AQ43</f>
        <v/>
      </c>
      <c r="AT856">
        <f>'T_SelfStock'!AR43</f>
        <v/>
      </c>
      <c r="AU856">
        <f>'T_SelfStock'!AS43</f>
        <v/>
      </c>
      <c r="AV856">
        <f>'T_SelfStock'!AT43</f>
        <v/>
      </c>
      <c r="AW856">
        <f>'T_SelfStock'!AU43</f>
        <v/>
      </c>
      <c r="AX856">
        <f>'T_SelfStock'!AV43</f>
        <v/>
      </c>
      <c r="AY856">
        <f>'T_SelfStock'!AW43</f>
        <v/>
      </c>
      <c r="AZ856">
        <f>'T_SelfStock'!AX43</f>
        <v/>
      </c>
      <c r="BA856">
        <f>'T_SelfStock'!AY43</f>
        <v/>
      </c>
      <c r="BB856">
        <f>'T_SelfStock'!AZ43</f>
        <v/>
      </c>
      <c r="BC856">
        <f>'T_SelfStock'!BA43</f>
        <v/>
      </c>
      <c r="BD856">
        <f>'T_SelfStock'!BB43</f>
        <v/>
      </c>
      <c r="BE856">
        <f>'T_SelfStock'!BC43</f>
        <v/>
      </c>
      <c r="BF856">
        <f>'T_SelfStock'!BD43</f>
        <v/>
      </c>
      <c r="BG856">
        <f>'T_SelfStock'!BE43</f>
        <v/>
      </c>
      <c r="BH856">
        <f>'T_SelfStock'!BF43</f>
        <v/>
      </c>
      <c r="BI856">
        <f>'T_SelfStock'!BG43</f>
        <v/>
      </c>
      <c r="BJ856">
        <f>'T_SelfStock'!BH43</f>
        <v/>
      </c>
      <c r="BK856">
        <f>'T_SelfStock'!BI43</f>
        <v/>
      </c>
      <c r="BL856">
        <f>'T_SelfStock'!BJ43</f>
        <v/>
      </c>
      <c r="BM856">
        <f>'T_SelfStock'!BK43</f>
        <v/>
      </c>
      <c r="BN856">
        <f>'T_SelfStock'!BL43</f>
        <v/>
      </c>
      <c r="BO856">
        <f>'T_SelfStock'!BM43</f>
        <v/>
      </c>
      <c r="BP856">
        <f>'T_SelfStock'!BN43</f>
        <v/>
      </c>
      <c r="BQ856">
        <f>'T_SelfStock'!BO43</f>
        <v/>
      </c>
      <c r="BR856">
        <f>'T_SelfStock'!BP43</f>
        <v/>
      </c>
      <c r="BS856">
        <f>'T_SelfStock'!BQ43</f>
        <v/>
      </c>
      <c r="BT856">
        <f>'T_SelfStock'!BR43</f>
        <v/>
      </c>
      <c r="BU856">
        <f>'T_SelfStock'!BS43</f>
        <v/>
      </c>
      <c r="BV856">
        <f>'T_SelfStock'!BT43</f>
        <v/>
      </c>
      <c r="BW856">
        <f>'T_SelfStock'!BU43</f>
        <v/>
      </c>
      <c r="BX856">
        <f>'T_SelfStock'!BV43</f>
        <v/>
      </c>
      <c r="BY856">
        <f>'T_SelfStock'!BW43</f>
        <v/>
      </c>
      <c r="BZ856">
        <f>'T_SelfStock'!BX43</f>
        <v/>
      </c>
      <c r="CA856">
        <f>'T_SelfStock'!BY43</f>
        <v/>
      </c>
      <c r="CB856">
        <f>'T_SelfStock'!BZ43</f>
        <v/>
      </c>
      <c r="CC856">
        <f>'T_SelfStock'!CA43</f>
        <v/>
      </c>
      <c r="CD856">
        <f>'T_SelfStock'!CB43</f>
        <v/>
      </c>
      <c r="CE856">
        <f>'T_SelfStock'!CC43</f>
        <v/>
      </c>
      <c r="CF856">
        <f>'T_SelfStock'!CD43</f>
        <v/>
      </c>
      <c r="CG856">
        <f>'T_SelfStock'!CE43</f>
        <v/>
      </c>
      <c r="CH856">
        <f>'T_SelfStock'!CF43</f>
        <v/>
      </c>
      <c r="CI856">
        <f>'T_SelfStock'!CG43</f>
        <v/>
      </c>
      <c r="CJ856">
        <f>'T_SelfStock'!CH43</f>
        <v/>
      </c>
      <c r="CK856">
        <f>'T_SelfStock'!CI43</f>
        <v/>
      </c>
      <c r="CL856">
        <f>'T_SelfStock'!CJ43</f>
        <v/>
      </c>
      <c r="CM856">
        <f>'T_SelfStock'!CK43</f>
        <v/>
      </c>
      <c r="CN856">
        <f>'T_SelfStock'!CL43</f>
        <v/>
      </c>
      <c r="CO856">
        <f>'T_SelfStock'!CM43</f>
        <v/>
      </c>
      <c r="CP856">
        <f>'T_SelfStock'!CN43</f>
        <v/>
      </c>
      <c r="CQ856">
        <f>'T_SelfStock'!CO43</f>
        <v/>
      </c>
      <c r="CR856">
        <f>'T_SelfStock'!CP43</f>
        <v/>
      </c>
      <c r="CS856">
        <f>'T_SelfStock'!CQ43</f>
        <v/>
      </c>
      <c r="CT856">
        <f>'T_SelfStock'!CR43</f>
        <v/>
      </c>
      <c r="CU856">
        <f>'T_SelfStock'!CS43</f>
        <v/>
      </c>
      <c r="CV856">
        <f>'T_SelfStock'!CT43</f>
        <v/>
      </c>
      <c r="CW856">
        <f>'T_SelfStock'!CU43</f>
        <v/>
      </c>
      <c r="CX856">
        <f>'T_SelfStock'!CV43</f>
        <v/>
      </c>
      <c r="CY856">
        <f>'T_SelfStock'!CW43</f>
        <v/>
      </c>
      <c r="CZ856">
        <f>'T_SelfStock'!CX43</f>
        <v/>
      </c>
      <c r="DA856">
        <f>'T_SelfStock'!CY43</f>
        <v/>
      </c>
      <c r="DB856">
        <f>'T_SelfStock'!CZ43</f>
        <v/>
      </c>
      <c r="DC856">
        <f>'T_SelfStock'!DA43</f>
        <v/>
      </c>
    </row>
    <row r="857">
      <c r="B857" t="inlineStr">
        <is>
          <t>Order(発注予定,kg)</t>
        </is>
      </c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  <c r="AA857" s="23" t="n"/>
      <c r="AB857" s="23" t="n"/>
      <c r="AC857" s="23" t="n"/>
      <c r="AD857" s="23" t="n"/>
      <c r="AE857" s="23" t="n"/>
      <c r="AF857" s="23" t="n"/>
      <c r="AG857" s="23" t="n"/>
      <c r="AH857" s="23" t="n"/>
      <c r="AI857" s="23" t="n"/>
      <c r="AJ857" s="23" t="n"/>
      <c r="AK857" s="23" t="n"/>
      <c r="AL857" s="23" t="n"/>
      <c r="AM857" s="23" t="n"/>
      <c r="AN857" s="23" t="n"/>
      <c r="AO857" s="23" t="n"/>
      <c r="AP857" s="23" t="n"/>
      <c r="AQ857" s="23" t="n"/>
      <c r="AR857" s="23" t="n"/>
      <c r="AS857" s="23" t="n"/>
      <c r="AT857" s="23" t="n"/>
      <c r="AU857" s="23" t="n"/>
      <c r="AV857" s="23" t="n"/>
      <c r="AW857" s="23" t="n"/>
      <c r="AX857" s="23" t="n"/>
      <c r="AY857" s="23" t="n"/>
      <c r="AZ857" s="23" t="n"/>
      <c r="BA857" s="23" t="n"/>
      <c r="BB857" s="23" t="n"/>
      <c r="BC857" s="23" t="n"/>
      <c r="BD857" s="23" t="n"/>
      <c r="BE857" s="23" t="n"/>
      <c r="BF857" s="23" t="n"/>
      <c r="BG857" s="23" t="n"/>
      <c r="BH857" s="23" t="n"/>
      <c r="BI857" s="23" t="n"/>
      <c r="BJ857" s="23" t="n"/>
      <c r="BK857" s="23" t="n"/>
      <c r="BL857" s="23" t="n"/>
      <c r="BM857" s="23" t="n"/>
      <c r="BN857" s="23" t="n"/>
      <c r="BO857" s="23" t="n"/>
      <c r="BP857" s="23" t="n"/>
      <c r="BQ857" s="23" t="n"/>
      <c r="BR857" s="23" t="n"/>
      <c r="BS857" s="23" t="n"/>
      <c r="BT857" s="23" t="n"/>
      <c r="BU857" s="23" t="n"/>
      <c r="BV857" s="23" t="n"/>
      <c r="BW857" s="23" t="n"/>
      <c r="BX857" s="23" t="n"/>
      <c r="BY857" s="23" t="n"/>
      <c r="BZ857" s="23" t="n"/>
      <c r="CA857" s="23" t="n"/>
      <c r="CB857" s="23" t="n"/>
      <c r="CC857" s="23" t="n"/>
      <c r="CD857" s="23" t="n"/>
      <c r="CE857" s="23" t="n"/>
      <c r="CF857" s="23" t="n"/>
      <c r="CG857" s="23" t="n"/>
      <c r="CH857" s="23" t="n"/>
      <c r="CI857" s="23" t="n"/>
      <c r="CJ857" s="23" t="n"/>
      <c r="CK857" s="23" t="n"/>
      <c r="CL857" s="23" t="n"/>
      <c r="CM857" s="23" t="n"/>
      <c r="CN857" s="23" t="n"/>
      <c r="CO857" s="23" t="n"/>
      <c r="CP857" s="23" t="n"/>
      <c r="CQ857" s="23" t="n"/>
      <c r="CR857" s="23" t="n"/>
      <c r="CS857" s="23" t="n"/>
      <c r="CT857" s="23" t="n"/>
      <c r="CU857" s="23" t="n"/>
      <c r="CV857" s="23" t="n"/>
      <c r="CW857" s="23" t="n"/>
      <c r="CX857" s="23" t="n"/>
      <c r="CY857" s="23" t="n"/>
      <c r="CZ857" s="23" t="n"/>
      <c r="DA857" s="23" t="n"/>
      <c r="DB857" s="23" t="n"/>
      <c r="DC857" s="23" t="n"/>
      <c r="DE857" s="12" t="inlineStr">
        <is>
          <t>CHEM-1480</t>
        </is>
      </c>
    </row>
    <row r="858">
      <c r="B858" s="24" t="inlineStr">
        <is>
          <t>PO_No</t>
        </is>
      </c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  <c r="AD858" s="25" t="n"/>
      <c r="AE858" s="25" t="n"/>
      <c r="AF858" s="25" t="n"/>
      <c r="AG858" s="25" t="n"/>
      <c r="AH858" s="25" t="n"/>
      <c r="AI858" s="25" t="n"/>
      <c r="AJ858" s="25" t="n"/>
      <c r="AK858" s="25" t="n"/>
      <c r="AL858" s="25" t="n"/>
      <c r="AM858" s="25" t="n"/>
      <c r="AN858" s="25" t="n"/>
      <c r="AO858" s="25" t="n"/>
      <c r="AP858" s="25" t="n"/>
      <c r="AQ858" s="25" t="n"/>
      <c r="AR858" s="25" t="n"/>
      <c r="AS858" s="25" t="n"/>
      <c r="AT858" s="25" t="n"/>
      <c r="AU858" s="25" t="n"/>
      <c r="AV858" s="25" t="n"/>
      <c r="AW858" s="25" t="n"/>
      <c r="AX858" s="25" t="n"/>
      <c r="AY858" s="25" t="n"/>
      <c r="AZ858" s="25" t="n"/>
      <c r="BA858" s="25" t="n"/>
      <c r="BB858" s="25" t="n"/>
      <c r="BC858" s="25" t="n"/>
      <c r="BD858" s="25" t="n"/>
      <c r="BE858" s="25" t="n"/>
      <c r="BF858" s="25" t="n"/>
      <c r="BG858" s="25" t="n"/>
      <c r="BH858" s="25" t="n"/>
      <c r="BI858" s="25" t="n"/>
      <c r="BJ858" s="25" t="n"/>
      <c r="BK858" s="25" t="n"/>
      <c r="BL858" s="25" t="n"/>
      <c r="BM858" s="25" t="n"/>
      <c r="BN858" s="25" t="n"/>
      <c r="BO858" s="25" t="n"/>
      <c r="BP858" s="25" t="n"/>
      <c r="BQ858" s="25" t="n"/>
      <c r="BR858" s="25" t="n"/>
      <c r="BS858" s="25" t="n"/>
      <c r="BT858" s="25" t="n"/>
      <c r="BU858" s="25" t="n"/>
      <c r="BV858" s="25" t="n"/>
      <c r="BW858" s="25" t="n"/>
      <c r="BX858" s="25" t="n"/>
      <c r="BY858" s="25" t="n"/>
      <c r="BZ858" s="25" t="n"/>
      <c r="CA858" s="25" t="n"/>
      <c r="CB858" s="25" t="n"/>
      <c r="CC858" s="25" t="n"/>
      <c r="CD858" s="25" t="n"/>
      <c r="CE858" s="25" t="n"/>
      <c r="CF858" s="25" t="n"/>
      <c r="CG858" s="25" t="n"/>
      <c r="CH858" s="25" t="n"/>
      <c r="CI858" s="25" t="n"/>
      <c r="CJ858" s="25" t="n"/>
      <c r="CK858" s="25" t="n"/>
      <c r="CL858" s="25" t="n"/>
      <c r="CM858" s="25" t="n"/>
      <c r="CN858" s="25" t="n"/>
      <c r="CO858" s="25" t="n"/>
      <c r="CP858" s="25" t="n"/>
      <c r="CQ858" s="25" t="n"/>
      <c r="CR858" s="25" t="n"/>
      <c r="CS858" s="25" t="n"/>
      <c r="CT858" s="25" t="n"/>
      <c r="CU858" s="25" t="n"/>
      <c r="CV858" s="25" t="n"/>
      <c r="CW858" s="25" t="n"/>
      <c r="CX858" s="25" t="n"/>
      <c r="CY858" s="25" t="n"/>
      <c r="CZ858" s="25" t="n"/>
      <c r="DA858" s="25" t="n"/>
      <c r="DB858" s="25" t="n"/>
      <c r="DC858" s="25" t="n"/>
    </row>
    <row r="859">
      <c r="B859" s="5" t="inlineStr">
        <is>
          <t>合計在庫(週末時点,kg)</t>
        </is>
      </c>
      <c r="D859">
        <f>'Grid_Stock'!B39</f>
        <v/>
      </c>
      <c r="E859">
        <f>'Grid_Stock'!C39</f>
        <v/>
      </c>
      <c r="F859">
        <f>'Grid_Stock'!D39</f>
        <v/>
      </c>
      <c r="G859">
        <f>'Grid_Stock'!E39</f>
        <v/>
      </c>
      <c r="H859">
        <f>'Grid_Stock'!F39</f>
        <v/>
      </c>
      <c r="I859">
        <f>'Grid_Stock'!G39</f>
        <v/>
      </c>
      <c r="J859">
        <f>'Grid_Stock'!H39</f>
        <v/>
      </c>
      <c r="K859">
        <f>'Grid_Stock'!I39</f>
        <v/>
      </c>
      <c r="L859">
        <f>'Grid_Stock'!J39</f>
        <v/>
      </c>
      <c r="M859">
        <f>'Grid_Stock'!K39</f>
        <v/>
      </c>
      <c r="N859">
        <f>'Grid_Stock'!L39</f>
        <v/>
      </c>
      <c r="O859">
        <f>'Grid_Stock'!M39</f>
        <v/>
      </c>
      <c r="P859">
        <f>'Grid_Stock'!N39</f>
        <v/>
      </c>
      <c r="Q859">
        <f>'Grid_Stock'!O39</f>
        <v/>
      </c>
      <c r="R859">
        <f>'Grid_Stock'!P39</f>
        <v/>
      </c>
      <c r="S859">
        <f>'Grid_Stock'!Q39</f>
        <v/>
      </c>
      <c r="T859">
        <f>'Grid_Stock'!R39</f>
        <v/>
      </c>
      <c r="U859">
        <f>'Grid_Stock'!S39</f>
        <v/>
      </c>
      <c r="V859">
        <f>'Grid_Stock'!T39</f>
        <v/>
      </c>
      <c r="W859">
        <f>'Grid_Stock'!U39</f>
        <v/>
      </c>
      <c r="X859">
        <f>'Grid_Stock'!V39</f>
        <v/>
      </c>
      <c r="Y859">
        <f>'Grid_Stock'!W39</f>
        <v/>
      </c>
      <c r="Z859">
        <f>'Grid_Stock'!X39</f>
        <v/>
      </c>
      <c r="AA859">
        <f>'Grid_Stock'!Y39</f>
        <v/>
      </c>
      <c r="AB859">
        <f>'Grid_Stock'!Z39</f>
        <v/>
      </c>
      <c r="AC859">
        <f>'Grid_Stock'!AA39</f>
        <v/>
      </c>
      <c r="AD859">
        <f>'Grid_Stock'!AB39</f>
        <v/>
      </c>
      <c r="AE859">
        <f>'Grid_Stock'!AC39</f>
        <v/>
      </c>
      <c r="AF859">
        <f>'Grid_Stock'!AD39</f>
        <v/>
      </c>
      <c r="AG859">
        <f>'Grid_Stock'!AE39</f>
        <v/>
      </c>
      <c r="AH859">
        <f>'Grid_Stock'!AF39</f>
        <v/>
      </c>
      <c r="AI859">
        <f>'Grid_Stock'!AG39</f>
        <v/>
      </c>
      <c r="AJ859">
        <f>'Grid_Stock'!AH39</f>
        <v/>
      </c>
      <c r="AK859">
        <f>'Grid_Stock'!AI39</f>
        <v/>
      </c>
      <c r="AL859">
        <f>'Grid_Stock'!AJ39</f>
        <v/>
      </c>
      <c r="AM859">
        <f>'Grid_Stock'!AK39</f>
        <v/>
      </c>
      <c r="AN859">
        <f>'Grid_Stock'!AL39</f>
        <v/>
      </c>
      <c r="AO859">
        <f>'Grid_Stock'!AM39</f>
        <v/>
      </c>
      <c r="AP859">
        <f>'Grid_Stock'!AN39</f>
        <v/>
      </c>
      <c r="AQ859">
        <f>'Grid_Stock'!AO39</f>
        <v/>
      </c>
      <c r="AR859">
        <f>'Grid_Stock'!AP39</f>
        <v/>
      </c>
      <c r="AS859">
        <f>'Grid_Stock'!AQ39</f>
        <v/>
      </c>
      <c r="AT859">
        <f>'Grid_Stock'!AR39</f>
        <v/>
      </c>
      <c r="AU859">
        <f>'Grid_Stock'!AS39</f>
        <v/>
      </c>
      <c r="AV859">
        <f>'Grid_Stock'!AT39</f>
        <v/>
      </c>
      <c r="AW859">
        <f>'Grid_Stock'!AU39</f>
        <v/>
      </c>
      <c r="AX859">
        <f>'Grid_Stock'!AV39</f>
        <v/>
      </c>
      <c r="AY859">
        <f>'Grid_Stock'!AW39</f>
        <v/>
      </c>
      <c r="AZ859">
        <f>'Grid_Stock'!AX39</f>
        <v/>
      </c>
      <c r="BA859">
        <f>'Grid_Stock'!AY39</f>
        <v/>
      </c>
      <c r="BB859">
        <f>'Grid_Stock'!AZ39</f>
        <v/>
      </c>
      <c r="BC859">
        <f>'Grid_Stock'!BA39</f>
        <v/>
      </c>
      <c r="BD859">
        <f>'Grid_Stock'!BB39</f>
        <v/>
      </c>
      <c r="BE859">
        <f>'Grid_Stock'!BC39</f>
        <v/>
      </c>
      <c r="BF859">
        <f>'Grid_Stock'!BD39</f>
        <v/>
      </c>
      <c r="BG859">
        <f>'Grid_Stock'!BE39</f>
        <v/>
      </c>
      <c r="BH859">
        <f>'Grid_Stock'!BF39</f>
        <v/>
      </c>
      <c r="BI859">
        <f>'Grid_Stock'!BG39</f>
        <v/>
      </c>
      <c r="BJ859">
        <f>'Grid_Stock'!BH39</f>
        <v/>
      </c>
      <c r="BK859">
        <f>'Grid_Stock'!BI39</f>
        <v/>
      </c>
      <c r="BL859">
        <f>'Grid_Stock'!BJ39</f>
        <v/>
      </c>
      <c r="BM859">
        <f>'Grid_Stock'!BK39</f>
        <v/>
      </c>
      <c r="BN859">
        <f>'Grid_Stock'!BL39</f>
        <v/>
      </c>
      <c r="BO859">
        <f>'Grid_Stock'!BM39</f>
        <v/>
      </c>
      <c r="BP859">
        <f>'Grid_Stock'!BN39</f>
        <v/>
      </c>
      <c r="BQ859">
        <f>'Grid_Stock'!BO39</f>
        <v/>
      </c>
      <c r="BR859">
        <f>'Grid_Stock'!BP39</f>
        <v/>
      </c>
      <c r="BS859">
        <f>'Grid_Stock'!BQ39</f>
        <v/>
      </c>
      <c r="BT859">
        <f>'Grid_Stock'!BR39</f>
        <v/>
      </c>
      <c r="BU859">
        <f>'Grid_Stock'!BS39</f>
        <v/>
      </c>
      <c r="BV859">
        <f>'Grid_Stock'!BT39</f>
        <v/>
      </c>
      <c r="BW859">
        <f>'Grid_Stock'!BU39</f>
        <v/>
      </c>
      <c r="BX859">
        <f>'Grid_Stock'!BV39</f>
        <v/>
      </c>
      <c r="BY859">
        <f>'Grid_Stock'!BW39</f>
        <v/>
      </c>
      <c r="BZ859">
        <f>'Grid_Stock'!BX39</f>
        <v/>
      </c>
      <c r="CA859">
        <f>'Grid_Stock'!BY39</f>
        <v/>
      </c>
      <c r="CB859">
        <f>'Grid_Stock'!BZ39</f>
        <v/>
      </c>
      <c r="CC859">
        <f>'Grid_Stock'!CA39</f>
        <v/>
      </c>
      <c r="CD859">
        <f>'Grid_Stock'!CB39</f>
        <v/>
      </c>
      <c r="CE859">
        <f>'Grid_Stock'!CC39</f>
        <v/>
      </c>
      <c r="CF859">
        <f>'Grid_Stock'!CD39</f>
        <v/>
      </c>
      <c r="CG859">
        <f>'Grid_Stock'!CE39</f>
        <v/>
      </c>
      <c r="CH859">
        <f>'Grid_Stock'!CF39</f>
        <v/>
      </c>
      <c r="CI859">
        <f>'Grid_Stock'!CG39</f>
        <v/>
      </c>
      <c r="CJ859">
        <f>'Grid_Stock'!CH39</f>
        <v/>
      </c>
      <c r="CK859">
        <f>'Grid_Stock'!CI39</f>
        <v/>
      </c>
      <c r="CL859">
        <f>'Grid_Stock'!CJ39</f>
        <v/>
      </c>
      <c r="CM859">
        <f>'Grid_Stock'!CK39</f>
        <v/>
      </c>
      <c r="CN859">
        <f>'Grid_Stock'!CL39</f>
        <v/>
      </c>
      <c r="CO859">
        <f>'Grid_Stock'!CM39</f>
        <v/>
      </c>
      <c r="CP859">
        <f>'Grid_Stock'!CN39</f>
        <v/>
      </c>
      <c r="CQ859">
        <f>'Grid_Stock'!CO39</f>
        <v/>
      </c>
      <c r="CR859">
        <f>'Grid_Stock'!CP39</f>
        <v/>
      </c>
      <c r="CS859">
        <f>'Grid_Stock'!CQ39</f>
        <v/>
      </c>
      <c r="CT859">
        <f>'Grid_Stock'!CR39</f>
        <v/>
      </c>
      <c r="CU859">
        <f>'Grid_Stock'!CS39</f>
        <v/>
      </c>
      <c r="CV859">
        <f>'Grid_Stock'!CT39</f>
        <v/>
      </c>
      <c r="CW859">
        <f>'Grid_Stock'!CU39</f>
        <v/>
      </c>
      <c r="CX859">
        <f>'Grid_Stock'!CV39</f>
        <v/>
      </c>
      <c r="CY859">
        <f>'Grid_Stock'!CW39</f>
        <v/>
      </c>
      <c r="CZ859">
        <f>'Grid_Stock'!CX39</f>
        <v/>
      </c>
      <c r="DA859">
        <f>'Grid_Stock'!CY39</f>
        <v/>
      </c>
      <c r="DB859">
        <f>'Grid_Stock'!CZ39</f>
        <v/>
      </c>
      <c r="DC859">
        <f>'Grid_Stock'!DA39</f>
        <v/>
      </c>
    </row>
    <row r="860">
      <c r="B860" s="26" t="inlineStr">
        <is>
          <t>（発注の目安はDashboardの基準在庫[下限/上限]と色分けを参照）</t>
        </is>
      </c>
    </row>
    <row r="862">
      <c r="A862" s="21" t="inlineStr">
        <is>
          <t>CHEM-1540</t>
        </is>
      </c>
      <c r="B862" s="21" t="inlineStr">
        <is>
          <t>NAT 35</t>
        </is>
      </c>
      <c r="C862" s="22" t="n"/>
      <c r="D862" s="21" t="n"/>
      <c r="E862" s="21" t="n"/>
      <c r="F862" s="21" t="n"/>
      <c r="G862" s="21" t="n"/>
      <c r="H862" s="21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  <c r="AA862" s="21" t="n"/>
      <c r="AB862" s="21" t="n"/>
      <c r="AC862" s="21" t="n"/>
      <c r="AD862" s="21" t="n"/>
      <c r="AE862" s="21" t="n"/>
      <c r="AF862" s="21" t="n"/>
      <c r="AG862" s="21" t="n"/>
      <c r="AH862" s="21" t="n"/>
      <c r="AI862" s="21" t="n"/>
      <c r="AJ862" s="21" t="n"/>
      <c r="AK862" s="21" t="n"/>
      <c r="AL862" s="21" t="n"/>
      <c r="AM862" s="21" t="n"/>
      <c r="AN862" s="21" t="n"/>
      <c r="AO862" s="21" t="n"/>
      <c r="AP862" s="21" t="n"/>
      <c r="AQ862" s="21" t="n"/>
      <c r="AR862" s="21" t="n"/>
      <c r="AS862" s="21" t="n"/>
      <c r="AT862" s="21" t="n"/>
      <c r="AU862" s="21" t="n"/>
      <c r="AV862" s="21" t="n"/>
      <c r="AW862" s="21" t="n"/>
      <c r="AX862" s="21" t="n"/>
      <c r="AY862" s="21" t="n"/>
      <c r="AZ862" s="21" t="n"/>
      <c r="BA862" s="21" t="n"/>
      <c r="BB862" s="21" t="n"/>
      <c r="BC862" s="21" t="n"/>
      <c r="BD862" s="21" t="n"/>
      <c r="BE862" s="21" t="n"/>
      <c r="BF862" s="21" t="n"/>
      <c r="BG862" s="21" t="n"/>
      <c r="BH862" s="21" t="n"/>
      <c r="BI862" s="21" t="n"/>
      <c r="BJ862" s="21" t="n"/>
      <c r="BK862" s="21" t="n"/>
      <c r="BL862" s="21" t="n"/>
      <c r="BM862" s="21" t="n"/>
      <c r="BN862" s="21" t="n"/>
      <c r="BO862" s="21" t="n"/>
      <c r="BP862" s="21" t="n"/>
      <c r="BQ862" s="21" t="n"/>
      <c r="BR862" s="21" t="n"/>
      <c r="BS862" s="21" t="n"/>
      <c r="BT862" s="21" t="n"/>
      <c r="BU862" s="21" t="n"/>
      <c r="BV862" s="21" t="n"/>
      <c r="BW862" s="21" t="n"/>
      <c r="BX862" s="21" t="n"/>
      <c r="BY862" s="21" t="n"/>
      <c r="BZ862" s="21" t="n"/>
      <c r="CA862" s="21" t="n"/>
      <c r="CB862" s="21" t="n"/>
      <c r="CC862" s="21" t="n"/>
      <c r="CD862" s="21" t="n"/>
      <c r="CE862" s="21" t="n"/>
      <c r="CF862" s="21" t="n"/>
      <c r="CG862" s="21" t="n"/>
      <c r="CH862" s="21" t="n"/>
      <c r="CI862" s="21" t="n"/>
      <c r="CJ862" s="21" t="n"/>
      <c r="CK862" s="21" t="n"/>
      <c r="CL862" s="21" t="n"/>
      <c r="CM862" s="21" t="n"/>
      <c r="CN862" s="21" t="n"/>
      <c r="CO862" s="21" t="n"/>
      <c r="CP862" s="21" t="n"/>
      <c r="CQ862" s="21" t="n"/>
      <c r="CR862" s="21" t="n"/>
      <c r="CS862" s="21" t="n"/>
      <c r="CT862" s="21" t="n"/>
      <c r="CU862" s="21" t="n"/>
      <c r="CV862" s="21" t="n"/>
      <c r="CW862" s="21" t="n"/>
      <c r="CX862" s="21" t="n"/>
      <c r="CY862" s="21" t="n"/>
      <c r="CZ862" s="21" t="n"/>
      <c r="DA862" s="21" t="n"/>
      <c r="DB862" s="21" t="n"/>
      <c r="DC862" s="21" t="n"/>
    </row>
    <row r="863">
      <c r="B863" t="inlineStr">
        <is>
          <t>TPP-358</t>
        </is>
      </c>
      <c r="C863" t="inlineStr">
        <is>
          <t>No. of batches</t>
        </is>
      </c>
      <c r="D863">
        <f>IFERROR(INDEX(PP_Grid[#Data],$DD863,2),0)</f>
        <v/>
      </c>
      <c r="E863">
        <f>IFERROR(INDEX(PP_Grid[#Data],$DD863,3),0)</f>
        <v/>
      </c>
      <c r="F863">
        <f>IFERROR(INDEX(PP_Grid[#Data],$DD863,4),0)</f>
        <v/>
      </c>
      <c r="G863">
        <f>IFERROR(INDEX(PP_Grid[#Data],$DD863,5),0)</f>
        <v/>
      </c>
      <c r="H863">
        <f>IFERROR(INDEX(PP_Grid[#Data],$DD863,6),0)</f>
        <v/>
      </c>
      <c r="I863">
        <f>IFERROR(INDEX(PP_Grid[#Data],$DD863,7),0)</f>
        <v/>
      </c>
      <c r="J863">
        <f>IFERROR(INDEX(PP_Grid[#Data],$DD863,8),0)</f>
        <v/>
      </c>
      <c r="K863">
        <f>IFERROR(INDEX(PP_Grid[#Data],$DD863,9),0)</f>
        <v/>
      </c>
      <c r="L863">
        <f>IFERROR(INDEX(PP_Grid[#Data],$DD863,10),0)</f>
        <v/>
      </c>
      <c r="M863">
        <f>IFERROR(INDEX(PP_Grid[#Data],$DD863,11),0)</f>
        <v/>
      </c>
      <c r="N863">
        <f>IFERROR(INDEX(PP_Grid[#Data],$DD863,12),0)</f>
        <v/>
      </c>
      <c r="O863">
        <f>IFERROR(INDEX(PP_Grid[#Data],$DD863,13),0)</f>
        <v/>
      </c>
      <c r="P863">
        <f>IFERROR(INDEX(PP_Grid[#Data],$DD863,14),0)</f>
        <v/>
      </c>
      <c r="Q863">
        <f>IFERROR(INDEX(PP_Grid[#Data],$DD863,15),0)</f>
        <v/>
      </c>
      <c r="R863">
        <f>IFERROR(INDEX(PP_Grid[#Data],$DD863,16),0)</f>
        <v/>
      </c>
      <c r="S863">
        <f>IFERROR(INDEX(PP_Grid[#Data],$DD863,17),0)</f>
        <v/>
      </c>
      <c r="T863">
        <f>IFERROR(INDEX(PP_Grid[#Data],$DD863,18),0)</f>
        <v/>
      </c>
      <c r="U863">
        <f>IFERROR(INDEX(PP_Grid[#Data],$DD863,19),0)</f>
        <v/>
      </c>
      <c r="V863">
        <f>IFERROR(INDEX(PP_Grid[#Data],$DD863,20),0)</f>
        <v/>
      </c>
      <c r="W863">
        <f>IFERROR(INDEX(PP_Grid[#Data],$DD863,21),0)</f>
        <v/>
      </c>
      <c r="X863">
        <f>IFERROR(INDEX(PP_Grid[#Data],$DD863,22),0)</f>
        <v/>
      </c>
      <c r="Y863">
        <f>IFERROR(INDEX(PP_Grid[#Data],$DD863,23),0)</f>
        <v/>
      </c>
      <c r="Z863">
        <f>IFERROR(INDEX(PP_Grid[#Data],$DD863,24),0)</f>
        <v/>
      </c>
      <c r="AA863">
        <f>IFERROR(INDEX(PP_Grid[#Data],$DD863,25),0)</f>
        <v/>
      </c>
      <c r="AB863">
        <f>IFERROR(INDEX(PP_Grid[#Data],$DD863,26),0)</f>
        <v/>
      </c>
      <c r="AC863">
        <f>IFERROR(INDEX(PP_Grid[#Data],$DD863,27),0)</f>
        <v/>
      </c>
      <c r="AD863">
        <f>IFERROR(INDEX(PP_Grid[#Data],$DD863,28),0)</f>
        <v/>
      </c>
      <c r="AE863">
        <f>IFERROR(INDEX(PP_Grid[#Data],$DD863,29),0)</f>
        <v/>
      </c>
      <c r="AF863">
        <f>IFERROR(INDEX(PP_Grid[#Data],$DD863,30),0)</f>
        <v/>
      </c>
      <c r="AG863">
        <f>IFERROR(INDEX(PP_Grid[#Data],$DD863,31),0)</f>
        <v/>
      </c>
      <c r="AH863">
        <f>IFERROR(INDEX(PP_Grid[#Data],$DD863,32),0)</f>
        <v/>
      </c>
      <c r="AI863">
        <f>IFERROR(INDEX(PP_Grid[#Data],$DD863,33),0)</f>
        <v/>
      </c>
      <c r="AJ863">
        <f>IFERROR(INDEX(PP_Grid[#Data],$DD863,34),0)</f>
        <v/>
      </c>
      <c r="AK863">
        <f>IFERROR(INDEX(PP_Grid[#Data],$DD863,35),0)</f>
        <v/>
      </c>
      <c r="AL863">
        <f>IFERROR(INDEX(PP_Grid[#Data],$DD863,36),0)</f>
        <v/>
      </c>
      <c r="AM863">
        <f>IFERROR(INDEX(PP_Grid[#Data],$DD863,37),0)</f>
        <v/>
      </c>
      <c r="AN863">
        <f>IFERROR(INDEX(PP_Grid[#Data],$DD863,38),0)</f>
        <v/>
      </c>
      <c r="AO863">
        <f>IFERROR(INDEX(PP_Grid[#Data],$DD863,39),0)</f>
        <v/>
      </c>
      <c r="AP863">
        <f>IFERROR(INDEX(PP_Grid[#Data],$DD863,40),0)</f>
        <v/>
      </c>
      <c r="AQ863">
        <f>IFERROR(INDEX(PP_Grid[#Data],$DD863,41),0)</f>
        <v/>
      </c>
      <c r="AR863">
        <f>IFERROR(INDEX(PP_Grid[#Data],$DD863,42),0)</f>
        <v/>
      </c>
      <c r="AS863">
        <f>IFERROR(INDEX(PP_Grid[#Data],$DD863,43),0)</f>
        <v/>
      </c>
      <c r="AT863">
        <f>IFERROR(INDEX(PP_Grid[#Data],$DD863,44),0)</f>
        <v/>
      </c>
      <c r="AU863">
        <f>IFERROR(INDEX(PP_Grid[#Data],$DD863,45),0)</f>
        <v/>
      </c>
      <c r="AV863">
        <f>IFERROR(INDEX(PP_Grid[#Data],$DD863,46),0)</f>
        <v/>
      </c>
      <c r="AW863">
        <f>IFERROR(INDEX(PP_Grid[#Data],$DD863,47),0)</f>
        <v/>
      </c>
      <c r="AX863">
        <f>IFERROR(INDEX(PP_Grid[#Data],$DD863,48),0)</f>
        <v/>
      </c>
      <c r="AY863">
        <f>IFERROR(INDEX(PP_Grid[#Data],$DD863,49),0)</f>
        <v/>
      </c>
      <c r="AZ863">
        <f>IFERROR(INDEX(PP_Grid[#Data],$DD863,50),0)</f>
        <v/>
      </c>
      <c r="BA863">
        <f>IFERROR(INDEX(PP_Grid[#Data],$DD863,51),0)</f>
        <v/>
      </c>
      <c r="BB863">
        <f>IFERROR(INDEX(PP_Grid[#Data],$DD863,52),0)</f>
        <v/>
      </c>
      <c r="BC863">
        <f>IFERROR(INDEX(PP_Grid[#Data],$DD863,53),0)</f>
        <v/>
      </c>
      <c r="BD863">
        <f>IFERROR(INDEX(PP_Grid[#Data],$DD863,54),0)</f>
        <v/>
      </c>
      <c r="BE863">
        <f>IFERROR(INDEX(PP_Grid[#Data],$DD863,55),0)</f>
        <v/>
      </c>
      <c r="BF863">
        <f>IFERROR(INDEX(PP_Grid[#Data],$DD863,56),0)</f>
        <v/>
      </c>
      <c r="BG863">
        <f>IFERROR(INDEX(PP_Grid[#Data],$DD863,57),0)</f>
        <v/>
      </c>
      <c r="BH863">
        <f>IFERROR(INDEX(PP_Grid[#Data],$DD863,58),0)</f>
        <v/>
      </c>
      <c r="BI863">
        <f>IFERROR(INDEX(PP_Grid[#Data],$DD863,59),0)</f>
        <v/>
      </c>
      <c r="BJ863">
        <f>IFERROR(INDEX(PP_Grid[#Data],$DD863,60),0)</f>
        <v/>
      </c>
      <c r="BK863">
        <f>IFERROR(INDEX(PP_Grid[#Data],$DD863,61),0)</f>
        <v/>
      </c>
      <c r="BL863">
        <f>IFERROR(INDEX(PP_Grid[#Data],$DD863,62),0)</f>
        <v/>
      </c>
      <c r="BM863">
        <f>IFERROR(INDEX(PP_Grid[#Data],$DD863,63),0)</f>
        <v/>
      </c>
      <c r="BN863">
        <f>IFERROR(INDEX(PP_Grid[#Data],$DD863,64),0)</f>
        <v/>
      </c>
      <c r="BO863">
        <f>IFERROR(INDEX(PP_Grid[#Data],$DD863,65),0)</f>
        <v/>
      </c>
      <c r="BP863">
        <f>IFERROR(INDEX(PP_Grid[#Data],$DD863,66),0)</f>
        <v/>
      </c>
      <c r="BQ863">
        <f>IFERROR(INDEX(PP_Grid[#Data],$DD863,67),0)</f>
        <v/>
      </c>
      <c r="BR863">
        <f>IFERROR(INDEX(PP_Grid[#Data],$DD863,68),0)</f>
        <v/>
      </c>
      <c r="BS863">
        <f>IFERROR(INDEX(PP_Grid[#Data],$DD863,69),0)</f>
        <v/>
      </c>
      <c r="BT863">
        <f>IFERROR(INDEX(PP_Grid[#Data],$DD863,70),0)</f>
        <v/>
      </c>
      <c r="BU863">
        <f>IFERROR(INDEX(PP_Grid[#Data],$DD863,71),0)</f>
        <v/>
      </c>
      <c r="BV863">
        <f>IFERROR(INDEX(PP_Grid[#Data],$DD863,72),0)</f>
        <v/>
      </c>
      <c r="BW863">
        <f>IFERROR(INDEX(PP_Grid[#Data],$DD863,73),0)</f>
        <v/>
      </c>
      <c r="BX863">
        <f>IFERROR(INDEX(PP_Grid[#Data],$DD863,74),0)</f>
        <v/>
      </c>
      <c r="BY863">
        <f>IFERROR(INDEX(PP_Grid[#Data],$DD863,75),0)</f>
        <v/>
      </c>
      <c r="BZ863">
        <f>IFERROR(INDEX(PP_Grid[#Data],$DD863,76),0)</f>
        <v/>
      </c>
      <c r="CA863">
        <f>IFERROR(INDEX(PP_Grid[#Data],$DD863,77),0)</f>
        <v/>
      </c>
      <c r="CB863">
        <f>IFERROR(INDEX(PP_Grid[#Data],$DD863,78),0)</f>
        <v/>
      </c>
      <c r="CC863">
        <f>IFERROR(INDEX(PP_Grid[#Data],$DD863,79),0)</f>
        <v/>
      </c>
      <c r="CD863">
        <f>IFERROR(INDEX(PP_Grid[#Data],$DD863,80),0)</f>
        <v/>
      </c>
      <c r="CE863">
        <f>IFERROR(INDEX(PP_Grid[#Data],$DD863,81),0)</f>
        <v/>
      </c>
      <c r="CF863">
        <f>IFERROR(INDEX(PP_Grid[#Data],$DD863,82),0)</f>
        <v/>
      </c>
      <c r="CG863">
        <f>IFERROR(INDEX(PP_Grid[#Data],$DD863,83),0)</f>
        <v/>
      </c>
      <c r="CH863">
        <f>IFERROR(INDEX(PP_Grid[#Data],$DD863,84),0)</f>
        <v/>
      </c>
      <c r="CI863">
        <f>IFERROR(INDEX(PP_Grid[#Data],$DD863,85),0)</f>
        <v/>
      </c>
      <c r="CJ863">
        <f>IFERROR(INDEX(PP_Grid[#Data],$DD863,86),0)</f>
        <v/>
      </c>
      <c r="CK863">
        <f>IFERROR(INDEX(PP_Grid[#Data],$DD863,87),0)</f>
        <v/>
      </c>
      <c r="CL863">
        <f>IFERROR(INDEX(PP_Grid[#Data],$DD863,88),0)</f>
        <v/>
      </c>
      <c r="CM863">
        <f>IFERROR(INDEX(PP_Grid[#Data],$DD863,89),0)</f>
        <v/>
      </c>
      <c r="CN863">
        <f>IFERROR(INDEX(PP_Grid[#Data],$DD863,90),0)</f>
        <v/>
      </c>
      <c r="CO863">
        <f>IFERROR(INDEX(PP_Grid[#Data],$DD863,91),0)</f>
        <v/>
      </c>
      <c r="CP863">
        <f>IFERROR(INDEX(PP_Grid[#Data],$DD863,92),0)</f>
        <v/>
      </c>
      <c r="CQ863">
        <f>IFERROR(INDEX(PP_Grid[#Data],$DD863,93),0)</f>
        <v/>
      </c>
      <c r="CR863">
        <f>IFERROR(INDEX(PP_Grid[#Data],$DD863,94),0)</f>
        <v/>
      </c>
      <c r="CS863">
        <f>IFERROR(INDEX(PP_Grid[#Data],$DD863,95),0)</f>
        <v/>
      </c>
      <c r="CT863">
        <f>IFERROR(INDEX(PP_Grid[#Data],$DD863,96),0)</f>
        <v/>
      </c>
      <c r="CU863">
        <f>IFERROR(INDEX(PP_Grid[#Data],$DD863,97),0)</f>
        <v/>
      </c>
      <c r="CV863">
        <f>IFERROR(INDEX(PP_Grid[#Data],$DD863,98),0)</f>
        <v/>
      </c>
      <c r="CW863">
        <f>IFERROR(INDEX(PP_Grid[#Data],$DD863,99),0)</f>
        <v/>
      </c>
      <c r="CX863">
        <f>IFERROR(INDEX(PP_Grid[#Data],$DD863,100),0)</f>
        <v/>
      </c>
      <c r="CY863">
        <f>IFERROR(INDEX(PP_Grid[#Data],$DD863,101),0)</f>
        <v/>
      </c>
      <c r="CZ863">
        <f>IFERROR(INDEX(PP_Grid[#Data],$DD863,102),0)</f>
        <v/>
      </c>
      <c r="DA863">
        <f>IFERROR(INDEX(PP_Grid[#Data],$DD863,103),0)</f>
        <v/>
      </c>
      <c r="DB863">
        <f>IFERROR(INDEX(PP_Grid[#Data],$DD863,104),0)</f>
        <v/>
      </c>
      <c r="DC863">
        <f>IFERROR(INDEX(PP_Grid[#Data],$DD863,105),0)</f>
        <v/>
      </c>
      <c r="DD863" s="12">
        <f>IFERROR(MATCH($B863,PP_Grid[Intermediate],0),99999)</f>
        <v/>
      </c>
    </row>
    <row r="864">
      <c r="B864" t="inlineStr">
        <is>
          <t>使用量(kg)</t>
        </is>
      </c>
      <c r="C864">
        <f>SUMIFS(M_BOM[RM_Qty_Per_Batch],M_BOM[Intermediate],$B863,M_BOM[Part Name],$A862)</f>
        <v/>
      </c>
      <c r="D864">
        <f>$C864*D863</f>
        <v/>
      </c>
      <c r="E864">
        <f>$C864*E863</f>
        <v/>
      </c>
      <c r="F864">
        <f>$C864*F863</f>
        <v/>
      </c>
      <c r="G864">
        <f>$C864*G863</f>
        <v/>
      </c>
      <c r="H864">
        <f>$C864*H863</f>
        <v/>
      </c>
      <c r="I864">
        <f>$C864*I863</f>
        <v/>
      </c>
      <c r="J864">
        <f>$C864*J863</f>
        <v/>
      </c>
      <c r="K864">
        <f>$C864*K863</f>
        <v/>
      </c>
      <c r="L864">
        <f>$C864*L863</f>
        <v/>
      </c>
      <c r="M864">
        <f>$C864*M863</f>
        <v/>
      </c>
      <c r="N864">
        <f>$C864*N863</f>
        <v/>
      </c>
      <c r="O864">
        <f>$C864*O863</f>
        <v/>
      </c>
      <c r="P864">
        <f>$C864*P863</f>
        <v/>
      </c>
      <c r="Q864">
        <f>$C864*Q863</f>
        <v/>
      </c>
      <c r="R864">
        <f>$C864*R863</f>
        <v/>
      </c>
      <c r="S864">
        <f>$C864*S863</f>
        <v/>
      </c>
      <c r="T864">
        <f>$C864*T863</f>
        <v/>
      </c>
      <c r="U864">
        <f>$C864*U863</f>
        <v/>
      </c>
      <c r="V864">
        <f>$C864*V863</f>
        <v/>
      </c>
      <c r="W864">
        <f>$C864*W863</f>
        <v/>
      </c>
      <c r="X864">
        <f>$C864*X863</f>
        <v/>
      </c>
      <c r="Y864">
        <f>$C864*Y863</f>
        <v/>
      </c>
      <c r="Z864">
        <f>$C864*Z863</f>
        <v/>
      </c>
      <c r="AA864">
        <f>$C864*AA863</f>
        <v/>
      </c>
      <c r="AB864">
        <f>$C864*AB863</f>
        <v/>
      </c>
      <c r="AC864">
        <f>$C864*AC863</f>
        <v/>
      </c>
      <c r="AD864">
        <f>$C864*AD863</f>
        <v/>
      </c>
      <c r="AE864">
        <f>$C864*AE863</f>
        <v/>
      </c>
      <c r="AF864">
        <f>$C864*AF863</f>
        <v/>
      </c>
      <c r="AG864">
        <f>$C864*AG863</f>
        <v/>
      </c>
      <c r="AH864">
        <f>$C864*AH863</f>
        <v/>
      </c>
      <c r="AI864">
        <f>$C864*AI863</f>
        <v/>
      </c>
      <c r="AJ864">
        <f>$C864*AJ863</f>
        <v/>
      </c>
      <c r="AK864">
        <f>$C864*AK863</f>
        <v/>
      </c>
      <c r="AL864">
        <f>$C864*AL863</f>
        <v/>
      </c>
      <c r="AM864">
        <f>$C864*AM863</f>
        <v/>
      </c>
      <c r="AN864">
        <f>$C864*AN863</f>
        <v/>
      </c>
      <c r="AO864">
        <f>$C864*AO863</f>
        <v/>
      </c>
      <c r="AP864">
        <f>$C864*AP863</f>
        <v/>
      </c>
      <c r="AQ864">
        <f>$C864*AQ863</f>
        <v/>
      </c>
      <c r="AR864">
        <f>$C864*AR863</f>
        <v/>
      </c>
      <c r="AS864">
        <f>$C864*AS863</f>
        <v/>
      </c>
      <c r="AT864">
        <f>$C864*AT863</f>
        <v/>
      </c>
      <c r="AU864">
        <f>$C864*AU863</f>
        <v/>
      </c>
      <c r="AV864">
        <f>$C864*AV863</f>
        <v/>
      </c>
      <c r="AW864">
        <f>$C864*AW863</f>
        <v/>
      </c>
      <c r="AX864">
        <f>$C864*AX863</f>
        <v/>
      </c>
      <c r="AY864">
        <f>$C864*AY863</f>
        <v/>
      </c>
      <c r="AZ864">
        <f>$C864*AZ863</f>
        <v/>
      </c>
      <c r="BA864">
        <f>$C864*BA863</f>
        <v/>
      </c>
      <c r="BB864">
        <f>$C864*BB863</f>
        <v/>
      </c>
      <c r="BC864">
        <f>$C864*BC863</f>
        <v/>
      </c>
      <c r="BD864">
        <f>$C864*BD863</f>
        <v/>
      </c>
      <c r="BE864">
        <f>$C864*BE863</f>
        <v/>
      </c>
      <c r="BF864">
        <f>$C864*BF863</f>
        <v/>
      </c>
      <c r="BG864">
        <f>$C864*BG863</f>
        <v/>
      </c>
      <c r="BH864">
        <f>$C864*BH863</f>
        <v/>
      </c>
      <c r="BI864">
        <f>$C864*BI863</f>
        <v/>
      </c>
      <c r="BJ864">
        <f>$C864*BJ863</f>
        <v/>
      </c>
      <c r="BK864">
        <f>$C864*BK863</f>
        <v/>
      </c>
      <c r="BL864">
        <f>$C864*BL863</f>
        <v/>
      </c>
      <c r="BM864">
        <f>$C864*BM863</f>
        <v/>
      </c>
      <c r="BN864">
        <f>$C864*BN863</f>
        <v/>
      </c>
      <c r="BO864">
        <f>$C864*BO863</f>
        <v/>
      </c>
      <c r="BP864">
        <f>$C864*BP863</f>
        <v/>
      </c>
      <c r="BQ864">
        <f>$C864*BQ863</f>
        <v/>
      </c>
      <c r="BR864">
        <f>$C864*BR863</f>
        <v/>
      </c>
      <c r="BS864">
        <f>$C864*BS863</f>
        <v/>
      </c>
      <c r="BT864">
        <f>$C864*BT863</f>
        <v/>
      </c>
      <c r="BU864">
        <f>$C864*BU863</f>
        <v/>
      </c>
      <c r="BV864">
        <f>$C864*BV863</f>
        <v/>
      </c>
      <c r="BW864">
        <f>$C864*BW863</f>
        <v/>
      </c>
      <c r="BX864">
        <f>$C864*BX863</f>
        <v/>
      </c>
      <c r="BY864">
        <f>$C864*BY863</f>
        <v/>
      </c>
      <c r="BZ864">
        <f>$C864*BZ863</f>
        <v/>
      </c>
      <c r="CA864">
        <f>$C864*CA863</f>
        <v/>
      </c>
      <c r="CB864">
        <f>$C864*CB863</f>
        <v/>
      </c>
      <c r="CC864">
        <f>$C864*CC863</f>
        <v/>
      </c>
      <c r="CD864">
        <f>$C864*CD863</f>
        <v/>
      </c>
      <c r="CE864">
        <f>$C864*CE863</f>
        <v/>
      </c>
      <c r="CF864">
        <f>$C864*CF863</f>
        <v/>
      </c>
      <c r="CG864">
        <f>$C864*CG863</f>
        <v/>
      </c>
      <c r="CH864">
        <f>$C864*CH863</f>
        <v/>
      </c>
      <c r="CI864">
        <f>$C864*CI863</f>
        <v/>
      </c>
      <c r="CJ864">
        <f>$C864*CJ863</f>
        <v/>
      </c>
      <c r="CK864">
        <f>$C864*CK863</f>
        <v/>
      </c>
      <c r="CL864">
        <f>$C864*CL863</f>
        <v/>
      </c>
      <c r="CM864">
        <f>$C864*CM863</f>
        <v/>
      </c>
      <c r="CN864">
        <f>$C864*CN863</f>
        <v/>
      </c>
      <c r="CO864">
        <f>$C864*CO863</f>
        <v/>
      </c>
      <c r="CP864">
        <f>$C864*CP863</f>
        <v/>
      </c>
      <c r="CQ864">
        <f>$C864*CQ863</f>
        <v/>
      </c>
      <c r="CR864">
        <f>$C864*CR863</f>
        <v/>
      </c>
      <c r="CS864">
        <f>$C864*CS863</f>
        <v/>
      </c>
      <c r="CT864">
        <f>$C864*CT863</f>
        <v/>
      </c>
      <c r="CU864">
        <f>$C864*CU863</f>
        <v/>
      </c>
      <c r="CV864">
        <f>$C864*CV863</f>
        <v/>
      </c>
      <c r="CW864">
        <f>$C864*CW863</f>
        <v/>
      </c>
      <c r="CX864">
        <f>$C864*CX863</f>
        <v/>
      </c>
      <c r="CY864">
        <f>$C864*CY863</f>
        <v/>
      </c>
      <c r="CZ864">
        <f>$C864*CZ863</f>
        <v/>
      </c>
      <c r="DA864">
        <f>$C864*DA863</f>
        <v/>
      </c>
      <c r="DB864">
        <f>$C864*DB863</f>
        <v/>
      </c>
      <c r="DC864">
        <f>$C864*DC863</f>
        <v/>
      </c>
    </row>
    <row r="865">
      <c r="B865" t="inlineStr">
        <is>
          <t>TPP-533</t>
        </is>
      </c>
      <c r="C865" t="inlineStr">
        <is>
          <t>No. of batches</t>
        </is>
      </c>
      <c r="D865">
        <f>IFERROR(INDEX(PP_Grid[#Data],$DD865,2),0)</f>
        <v/>
      </c>
      <c r="E865">
        <f>IFERROR(INDEX(PP_Grid[#Data],$DD865,3),0)</f>
        <v/>
      </c>
      <c r="F865">
        <f>IFERROR(INDEX(PP_Grid[#Data],$DD865,4),0)</f>
        <v/>
      </c>
      <c r="G865">
        <f>IFERROR(INDEX(PP_Grid[#Data],$DD865,5),0)</f>
        <v/>
      </c>
      <c r="H865">
        <f>IFERROR(INDEX(PP_Grid[#Data],$DD865,6),0)</f>
        <v/>
      </c>
      <c r="I865">
        <f>IFERROR(INDEX(PP_Grid[#Data],$DD865,7),0)</f>
        <v/>
      </c>
      <c r="J865">
        <f>IFERROR(INDEX(PP_Grid[#Data],$DD865,8),0)</f>
        <v/>
      </c>
      <c r="K865">
        <f>IFERROR(INDEX(PP_Grid[#Data],$DD865,9),0)</f>
        <v/>
      </c>
      <c r="L865">
        <f>IFERROR(INDEX(PP_Grid[#Data],$DD865,10),0)</f>
        <v/>
      </c>
      <c r="M865">
        <f>IFERROR(INDEX(PP_Grid[#Data],$DD865,11),0)</f>
        <v/>
      </c>
      <c r="N865">
        <f>IFERROR(INDEX(PP_Grid[#Data],$DD865,12),0)</f>
        <v/>
      </c>
      <c r="O865">
        <f>IFERROR(INDEX(PP_Grid[#Data],$DD865,13),0)</f>
        <v/>
      </c>
      <c r="P865">
        <f>IFERROR(INDEX(PP_Grid[#Data],$DD865,14),0)</f>
        <v/>
      </c>
      <c r="Q865">
        <f>IFERROR(INDEX(PP_Grid[#Data],$DD865,15),0)</f>
        <v/>
      </c>
      <c r="R865">
        <f>IFERROR(INDEX(PP_Grid[#Data],$DD865,16),0)</f>
        <v/>
      </c>
      <c r="S865">
        <f>IFERROR(INDEX(PP_Grid[#Data],$DD865,17),0)</f>
        <v/>
      </c>
      <c r="T865">
        <f>IFERROR(INDEX(PP_Grid[#Data],$DD865,18),0)</f>
        <v/>
      </c>
      <c r="U865">
        <f>IFERROR(INDEX(PP_Grid[#Data],$DD865,19),0)</f>
        <v/>
      </c>
      <c r="V865">
        <f>IFERROR(INDEX(PP_Grid[#Data],$DD865,20),0)</f>
        <v/>
      </c>
      <c r="W865">
        <f>IFERROR(INDEX(PP_Grid[#Data],$DD865,21),0)</f>
        <v/>
      </c>
      <c r="X865">
        <f>IFERROR(INDEX(PP_Grid[#Data],$DD865,22),0)</f>
        <v/>
      </c>
      <c r="Y865">
        <f>IFERROR(INDEX(PP_Grid[#Data],$DD865,23),0)</f>
        <v/>
      </c>
      <c r="Z865">
        <f>IFERROR(INDEX(PP_Grid[#Data],$DD865,24),0)</f>
        <v/>
      </c>
      <c r="AA865">
        <f>IFERROR(INDEX(PP_Grid[#Data],$DD865,25),0)</f>
        <v/>
      </c>
      <c r="AB865">
        <f>IFERROR(INDEX(PP_Grid[#Data],$DD865,26),0)</f>
        <v/>
      </c>
      <c r="AC865">
        <f>IFERROR(INDEX(PP_Grid[#Data],$DD865,27),0)</f>
        <v/>
      </c>
      <c r="AD865">
        <f>IFERROR(INDEX(PP_Grid[#Data],$DD865,28),0)</f>
        <v/>
      </c>
      <c r="AE865">
        <f>IFERROR(INDEX(PP_Grid[#Data],$DD865,29),0)</f>
        <v/>
      </c>
      <c r="AF865">
        <f>IFERROR(INDEX(PP_Grid[#Data],$DD865,30),0)</f>
        <v/>
      </c>
      <c r="AG865">
        <f>IFERROR(INDEX(PP_Grid[#Data],$DD865,31),0)</f>
        <v/>
      </c>
      <c r="AH865">
        <f>IFERROR(INDEX(PP_Grid[#Data],$DD865,32),0)</f>
        <v/>
      </c>
      <c r="AI865">
        <f>IFERROR(INDEX(PP_Grid[#Data],$DD865,33),0)</f>
        <v/>
      </c>
      <c r="AJ865">
        <f>IFERROR(INDEX(PP_Grid[#Data],$DD865,34),0)</f>
        <v/>
      </c>
      <c r="AK865">
        <f>IFERROR(INDEX(PP_Grid[#Data],$DD865,35),0)</f>
        <v/>
      </c>
      <c r="AL865">
        <f>IFERROR(INDEX(PP_Grid[#Data],$DD865,36),0)</f>
        <v/>
      </c>
      <c r="AM865">
        <f>IFERROR(INDEX(PP_Grid[#Data],$DD865,37),0)</f>
        <v/>
      </c>
      <c r="AN865">
        <f>IFERROR(INDEX(PP_Grid[#Data],$DD865,38),0)</f>
        <v/>
      </c>
      <c r="AO865">
        <f>IFERROR(INDEX(PP_Grid[#Data],$DD865,39),0)</f>
        <v/>
      </c>
      <c r="AP865">
        <f>IFERROR(INDEX(PP_Grid[#Data],$DD865,40),0)</f>
        <v/>
      </c>
      <c r="AQ865">
        <f>IFERROR(INDEX(PP_Grid[#Data],$DD865,41),0)</f>
        <v/>
      </c>
      <c r="AR865">
        <f>IFERROR(INDEX(PP_Grid[#Data],$DD865,42),0)</f>
        <v/>
      </c>
      <c r="AS865">
        <f>IFERROR(INDEX(PP_Grid[#Data],$DD865,43),0)</f>
        <v/>
      </c>
      <c r="AT865">
        <f>IFERROR(INDEX(PP_Grid[#Data],$DD865,44),0)</f>
        <v/>
      </c>
      <c r="AU865">
        <f>IFERROR(INDEX(PP_Grid[#Data],$DD865,45),0)</f>
        <v/>
      </c>
      <c r="AV865">
        <f>IFERROR(INDEX(PP_Grid[#Data],$DD865,46),0)</f>
        <v/>
      </c>
      <c r="AW865">
        <f>IFERROR(INDEX(PP_Grid[#Data],$DD865,47),0)</f>
        <v/>
      </c>
      <c r="AX865">
        <f>IFERROR(INDEX(PP_Grid[#Data],$DD865,48),0)</f>
        <v/>
      </c>
      <c r="AY865">
        <f>IFERROR(INDEX(PP_Grid[#Data],$DD865,49),0)</f>
        <v/>
      </c>
      <c r="AZ865">
        <f>IFERROR(INDEX(PP_Grid[#Data],$DD865,50),0)</f>
        <v/>
      </c>
      <c r="BA865">
        <f>IFERROR(INDEX(PP_Grid[#Data],$DD865,51),0)</f>
        <v/>
      </c>
      <c r="BB865">
        <f>IFERROR(INDEX(PP_Grid[#Data],$DD865,52),0)</f>
        <v/>
      </c>
      <c r="BC865">
        <f>IFERROR(INDEX(PP_Grid[#Data],$DD865,53),0)</f>
        <v/>
      </c>
      <c r="BD865">
        <f>IFERROR(INDEX(PP_Grid[#Data],$DD865,54),0)</f>
        <v/>
      </c>
      <c r="BE865">
        <f>IFERROR(INDEX(PP_Grid[#Data],$DD865,55),0)</f>
        <v/>
      </c>
      <c r="BF865">
        <f>IFERROR(INDEX(PP_Grid[#Data],$DD865,56),0)</f>
        <v/>
      </c>
      <c r="BG865">
        <f>IFERROR(INDEX(PP_Grid[#Data],$DD865,57),0)</f>
        <v/>
      </c>
      <c r="BH865">
        <f>IFERROR(INDEX(PP_Grid[#Data],$DD865,58),0)</f>
        <v/>
      </c>
      <c r="BI865">
        <f>IFERROR(INDEX(PP_Grid[#Data],$DD865,59),0)</f>
        <v/>
      </c>
      <c r="BJ865">
        <f>IFERROR(INDEX(PP_Grid[#Data],$DD865,60),0)</f>
        <v/>
      </c>
      <c r="BK865">
        <f>IFERROR(INDEX(PP_Grid[#Data],$DD865,61),0)</f>
        <v/>
      </c>
      <c r="BL865">
        <f>IFERROR(INDEX(PP_Grid[#Data],$DD865,62),0)</f>
        <v/>
      </c>
      <c r="BM865">
        <f>IFERROR(INDEX(PP_Grid[#Data],$DD865,63),0)</f>
        <v/>
      </c>
      <c r="BN865">
        <f>IFERROR(INDEX(PP_Grid[#Data],$DD865,64),0)</f>
        <v/>
      </c>
      <c r="BO865">
        <f>IFERROR(INDEX(PP_Grid[#Data],$DD865,65),0)</f>
        <v/>
      </c>
      <c r="BP865">
        <f>IFERROR(INDEX(PP_Grid[#Data],$DD865,66),0)</f>
        <v/>
      </c>
      <c r="BQ865">
        <f>IFERROR(INDEX(PP_Grid[#Data],$DD865,67),0)</f>
        <v/>
      </c>
      <c r="BR865">
        <f>IFERROR(INDEX(PP_Grid[#Data],$DD865,68),0)</f>
        <v/>
      </c>
      <c r="BS865">
        <f>IFERROR(INDEX(PP_Grid[#Data],$DD865,69),0)</f>
        <v/>
      </c>
      <c r="BT865">
        <f>IFERROR(INDEX(PP_Grid[#Data],$DD865,70),0)</f>
        <v/>
      </c>
      <c r="BU865">
        <f>IFERROR(INDEX(PP_Grid[#Data],$DD865,71),0)</f>
        <v/>
      </c>
      <c r="BV865">
        <f>IFERROR(INDEX(PP_Grid[#Data],$DD865,72),0)</f>
        <v/>
      </c>
      <c r="BW865">
        <f>IFERROR(INDEX(PP_Grid[#Data],$DD865,73),0)</f>
        <v/>
      </c>
      <c r="BX865">
        <f>IFERROR(INDEX(PP_Grid[#Data],$DD865,74),0)</f>
        <v/>
      </c>
      <c r="BY865">
        <f>IFERROR(INDEX(PP_Grid[#Data],$DD865,75),0)</f>
        <v/>
      </c>
      <c r="BZ865">
        <f>IFERROR(INDEX(PP_Grid[#Data],$DD865,76),0)</f>
        <v/>
      </c>
      <c r="CA865">
        <f>IFERROR(INDEX(PP_Grid[#Data],$DD865,77),0)</f>
        <v/>
      </c>
      <c r="CB865">
        <f>IFERROR(INDEX(PP_Grid[#Data],$DD865,78),0)</f>
        <v/>
      </c>
      <c r="CC865">
        <f>IFERROR(INDEX(PP_Grid[#Data],$DD865,79),0)</f>
        <v/>
      </c>
      <c r="CD865">
        <f>IFERROR(INDEX(PP_Grid[#Data],$DD865,80),0)</f>
        <v/>
      </c>
      <c r="CE865">
        <f>IFERROR(INDEX(PP_Grid[#Data],$DD865,81),0)</f>
        <v/>
      </c>
      <c r="CF865">
        <f>IFERROR(INDEX(PP_Grid[#Data],$DD865,82),0)</f>
        <v/>
      </c>
      <c r="CG865">
        <f>IFERROR(INDEX(PP_Grid[#Data],$DD865,83),0)</f>
        <v/>
      </c>
      <c r="CH865">
        <f>IFERROR(INDEX(PP_Grid[#Data],$DD865,84),0)</f>
        <v/>
      </c>
      <c r="CI865">
        <f>IFERROR(INDEX(PP_Grid[#Data],$DD865,85),0)</f>
        <v/>
      </c>
      <c r="CJ865">
        <f>IFERROR(INDEX(PP_Grid[#Data],$DD865,86),0)</f>
        <v/>
      </c>
      <c r="CK865">
        <f>IFERROR(INDEX(PP_Grid[#Data],$DD865,87),0)</f>
        <v/>
      </c>
      <c r="CL865">
        <f>IFERROR(INDEX(PP_Grid[#Data],$DD865,88),0)</f>
        <v/>
      </c>
      <c r="CM865">
        <f>IFERROR(INDEX(PP_Grid[#Data],$DD865,89),0)</f>
        <v/>
      </c>
      <c r="CN865">
        <f>IFERROR(INDEX(PP_Grid[#Data],$DD865,90),0)</f>
        <v/>
      </c>
      <c r="CO865">
        <f>IFERROR(INDEX(PP_Grid[#Data],$DD865,91),0)</f>
        <v/>
      </c>
      <c r="CP865">
        <f>IFERROR(INDEX(PP_Grid[#Data],$DD865,92),0)</f>
        <v/>
      </c>
      <c r="CQ865">
        <f>IFERROR(INDEX(PP_Grid[#Data],$DD865,93),0)</f>
        <v/>
      </c>
      <c r="CR865">
        <f>IFERROR(INDEX(PP_Grid[#Data],$DD865,94),0)</f>
        <v/>
      </c>
      <c r="CS865">
        <f>IFERROR(INDEX(PP_Grid[#Data],$DD865,95),0)</f>
        <v/>
      </c>
      <c r="CT865">
        <f>IFERROR(INDEX(PP_Grid[#Data],$DD865,96),0)</f>
        <v/>
      </c>
      <c r="CU865">
        <f>IFERROR(INDEX(PP_Grid[#Data],$DD865,97),0)</f>
        <v/>
      </c>
      <c r="CV865">
        <f>IFERROR(INDEX(PP_Grid[#Data],$DD865,98),0)</f>
        <v/>
      </c>
      <c r="CW865">
        <f>IFERROR(INDEX(PP_Grid[#Data],$DD865,99),0)</f>
        <v/>
      </c>
      <c r="CX865">
        <f>IFERROR(INDEX(PP_Grid[#Data],$DD865,100),0)</f>
        <v/>
      </c>
      <c r="CY865">
        <f>IFERROR(INDEX(PP_Grid[#Data],$DD865,101),0)</f>
        <v/>
      </c>
      <c r="CZ865">
        <f>IFERROR(INDEX(PP_Grid[#Data],$DD865,102),0)</f>
        <v/>
      </c>
      <c r="DA865">
        <f>IFERROR(INDEX(PP_Grid[#Data],$DD865,103),0)</f>
        <v/>
      </c>
      <c r="DB865">
        <f>IFERROR(INDEX(PP_Grid[#Data],$DD865,104),0)</f>
        <v/>
      </c>
      <c r="DC865">
        <f>IFERROR(INDEX(PP_Grid[#Data],$DD865,105),0)</f>
        <v/>
      </c>
      <c r="DD865" s="12">
        <f>IFERROR(MATCH($B865,PP_Grid[Intermediate],0),99999)</f>
        <v/>
      </c>
    </row>
    <row r="866">
      <c r="B866" t="inlineStr">
        <is>
          <t>使用量(kg)</t>
        </is>
      </c>
      <c r="C866">
        <f>SUMIFS(M_BOM[RM_Qty_Per_Batch],M_BOM[Intermediate],$B865,M_BOM[Part Name],$A862)</f>
        <v/>
      </c>
      <c r="D866">
        <f>$C866*D865</f>
        <v/>
      </c>
      <c r="E866">
        <f>$C866*E865</f>
        <v/>
      </c>
      <c r="F866">
        <f>$C866*F865</f>
        <v/>
      </c>
      <c r="G866">
        <f>$C866*G865</f>
        <v/>
      </c>
      <c r="H866">
        <f>$C866*H865</f>
        <v/>
      </c>
      <c r="I866">
        <f>$C866*I865</f>
        <v/>
      </c>
      <c r="J866">
        <f>$C866*J865</f>
        <v/>
      </c>
      <c r="K866">
        <f>$C866*K865</f>
        <v/>
      </c>
      <c r="L866">
        <f>$C866*L865</f>
        <v/>
      </c>
      <c r="M866">
        <f>$C866*M865</f>
        <v/>
      </c>
      <c r="N866">
        <f>$C866*N865</f>
        <v/>
      </c>
      <c r="O866">
        <f>$C866*O865</f>
        <v/>
      </c>
      <c r="P866">
        <f>$C866*P865</f>
        <v/>
      </c>
      <c r="Q866">
        <f>$C866*Q865</f>
        <v/>
      </c>
      <c r="R866">
        <f>$C866*R865</f>
        <v/>
      </c>
      <c r="S866">
        <f>$C866*S865</f>
        <v/>
      </c>
      <c r="T866">
        <f>$C866*T865</f>
        <v/>
      </c>
      <c r="U866">
        <f>$C866*U865</f>
        <v/>
      </c>
      <c r="V866">
        <f>$C866*V865</f>
        <v/>
      </c>
      <c r="W866">
        <f>$C866*W865</f>
        <v/>
      </c>
      <c r="X866">
        <f>$C866*X865</f>
        <v/>
      </c>
      <c r="Y866">
        <f>$C866*Y865</f>
        <v/>
      </c>
      <c r="Z866">
        <f>$C866*Z865</f>
        <v/>
      </c>
      <c r="AA866">
        <f>$C866*AA865</f>
        <v/>
      </c>
      <c r="AB866">
        <f>$C866*AB865</f>
        <v/>
      </c>
      <c r="AC866">
        <f>$C866*AC865</f>
        <v/>
      </c>
      <c r="AD866">
        <f>$C866*AD865</f>
        <v/>
      </c>
      <c r="AE866">
        <f>$C866*AE865</f>
        <v/>
      </c>
      <c r="AF866">
        <f>$C866*AF865</f>
        <v/>
      </c>
      <c r="AG866">
        <f>$C866*AG865</f>
        <v/>
      </c>
      <c r="AH866">
        <f>$C866*AH865</f>
        <v/>
      </c>
      <c r="AI866">
        <f>$C866*AI865</f>
        <v/>
      </c>
      <c r="AJ866">
        <f>$C866*AJ865</f>
        <v/>
      </c>
      <c r="AK866">
        <f>$C866*AK865</f>
        <v/>
      </c>
      <c r="AL866">
        <f>$C866*AL865</f>
        <v/>
      </c>
      <c r="AM866">
        <f>$C866*AM865</f>
        <v/>
      </c>
      <c r="AN866">
        <f>$C866*AN865</f>
        <v/>
      </c>
      <c r="AO866">
        <f>$C866*AO865</f>
        <v/>
      </c>
      <c r="AP866">
        <f>$C866*AP865</f>
        <v/>
      </c>
      <c r="AQ866">
        <f>$C866*AQ865</f>
        <v/>
      </c>
      <c r="AR866">
        <f>$C866*AR865</f>
        <v/>
      </c>
      <c r="AS866">
        <f>$C866*AS865</f>
        <v/>
      </c>
      <c r="AT866">
        <f>$C866*AT865</f>
        <v/>
      </c>
      <c r="AU866">
        <f>$C866*AU865</f>
        <v/>
      </c>
      <c r="AV866">
        <f>$C866*AV865</f>
        <v/>
      </c>
      <c r="AW866">
        <f>$C866*AW865</f>
        <v/>
      </c>
      <c r="AX866">
        <f>$C866*AX865</f>
        <v/>
      </c>
      <c r="AY866">
        <f>$C866*AY865</f>
        <v/>
      </c>
      <c r="AZ866">
        <f>$C866*AZ865</f>
        <v/>
      </c>
      <c r="BA866">
        <f>$C866*BA865</f>
        <v/>
      </c>
      <c r="BB866">
        <f>$C866*BB865</f>
        <v/>
      </c>
      <c r="BC866">
        <f>$C866*BC865</f>
        <v/>
      </c>
      <c r="BD866">
        <f>$C866*BD865</f>
        <v/>
      </c>
      <c r="BE866">
        <f>$C866*BE865</f>
        <v/>
      </c>
      <c r="BF866">
        <f>$C866*BF865</f>
        <v/>
      </c>
      <c r="BG866">
        <f>$C866*BG865</f>
        <v/>
      </c>
      <c r="BH866">
        <f>$C866*BH865</f>
        <v/>
      </c>
      <c r="BI866">
        <f>$C866*BI865</f>
        <v/>
      </c>
      <c r="BJ866">
        <f>$C866*BJ865</f>
        <v/>
      </c>
      <c r="BK866">
        <f>$C866*BK865</f>
        <v/>
      </c>
      <c r="BL866">
        <f>$C866*BL865</f>
        <v/>
      </c>
      <c r="BM866">
        <f>$C866*BM865</f>
        <v/>
      </c>
      <c r="BN866">
        <f>$C866*BN865</f>
        <v/>
      </c>
      <c r="BO866">
        <f>$C866*BO865</f>
        <v/>
      </c>
      <c r="BP866">
        <f>$C866*BP865</f>
        <v/>
      </c>
      <c r="BQ866">
        <f>$C866*BQ865</f>
        <v/>
      </c>
      <c r="BR866">
        <f>$C866*BR865</f>
        <v/>
      </c>
      <c r="BS866">
        <f>$C866*BS865</f>
        <v/>
      </c>
      <c r="BT866">
        <f>$C866*BT865</f>
        <v/>
      </c>
      <c r="BU866">
        <f>$C866*BU865</f>
        <v/>
      </c>
      <c r="BV866">
        <f>$C866*BV865</f>
        <v/>
      </c>
      <c r="BW866">
        <f>$C866*BW865</f>
        <v/>
      </c>
      <c r="BX866">
        <f>$C866*BX865</f>
        <v/>
      </c>
      <c r="BY866">
        <f>$C866*BY865</f>
        <v/>
      </c>
      <c r="BZ866">
        <f>$C866*BZ865</f>
        <v/>
      </c>
      <c r="CA866">
        <f>$C866*CA865</f>
        <v/>
      </c>
      <c r="CB866">
        <f>$C866*CB865</f>
        <v/>
      </c>
      <c r="CC866">
        <f>$C866*CC865</f>
        <v/>
      </c>
      <c r="CD866">
        <f>$C866*CD865</f>
        <v/>
      </c>
      <c r="CE866">
        <f>$C866*CE865</f>
        <v/>
      </c>
      <c r="CF866">
        <f>$C866*CF865</f>
        <v/>
      </c>
      <c r="CG866">
        <f>$C866*CG865</f>
        <v/>
      </c>
      <c r="CH866">
        <f>$C866*CH865</f>
        <v/>
      </c>
      <c r="CI866">
        <f>$C866*CI865</f>
        <v/>
      </c>
      <c r="CJ866">
        <f>$C866*CJ865</f>
        <v/>
      </c>
      <c r="CK866">
        <f>$C866*CK865</f>
        <v/>
      </c>
      <c r="CL866">
        <f>$C866*CL865</f>
        <v/>
      </c>
      <c r="CM866">
        <f>$C866*CM865</f>
        <v/>
      </c>
      <c r="CN866">
        <f>$C866*CN865</f>
        <v/>
      </c>
      <c r="CO866">
        <f>$C866*CO865</f>
        <v/>
      </c>
      <c r="CP866">
        <f>$C866*CP865</f>
        <v/>
      </c>
      <c r="CQ866">
        <f>$C866*CQ865</f>
        <v/>
      </c>
      <c r="CR866">
        <f>$C866*CR865</f>
        <v/>
      </c>
      <c r="CS866">
        <f>$C866*CS865</f>
        <v/>
      </c>
      <c r="CT866">
        <f>$C866*CT865</f>
        <v/>
      </c>
      <c r="CU866">
        <f>$C866*CU865</f>
        <v/>
      </c>
      <c r="CV866">
        <f>$C866*CV865</f>
        <v/>
      </c>
      <c r="CW866">
        <f>$C866*CW865</f>
        <v/>
      </c>
      <c r="CX866">
        <f>$C866*CX865</f>
        <v/>
      </c>
      <c r="CY866">
        <f>$C866*CY865</f>
        <v/>
      </c>
      <c r="CZ866">
        <f>$C866*CZ865</f>
        <v/>
      </c>
      <c r="DA866">
        <f>$C866*DA865</f>
        <v/>
      </c>
      <c r="DB866">
        <f>$C866*DB865</f>
        <v/>
      </c>
      <c r="DC866">
        <f>$C866*DC865</f>
        <v/>
      </c>
    </row>
    <row r="867">
      <c r="B867" t="inlineStr">
        <is>
          <t>TSP-1444</t>
        </is>
      </c>
      <c r="C867" t="inlineStr">
        <is>
          <t>No. of batches</t>
        </is>
      </c>
      <c r="D867">
        <f>IFERROR(INDEX(PP_Grid[#Data],$DD867,2),0)</f>
        <v/>
      </c>
      <c r="E867">
        <f>IFERROR(INDEX(PP_Grid[#Data],$DD867,3),0)</f>
        <v/>
      </c>
      <c r="F867">
        <f>IFERROR(INDEX(PP_Grid[#Data],$DD867,4),0)</f>
        <v/>
      </c>
      <c r="G867">
        <f>IFERROR(INDEX(PP_Grid[#Data],$DD867,5),0)</f>
        <v/>
      </c>
      <c r="H867">
        <f>IFERROR(INDEX(PP_Grid[#Data],$DD867,6),0)</f>
        <v/>
      </c>
      <c r="I867">
        <f>IFERROR(INDEX(PP_Grid[#Data],$DD867,7),0)</f>
        <v/>
      </c>
      <c r="J867">
        <f>IFERROR(INDEX(PP_Grid[#Data],$DD867,8),0)</f>
        <v/>
      </c>
      <c r="K867">
        <f>IFERROR(INDEX(PP_Grid[#Data],$DD867,9),0)</f>
        <v/>
      </c>
      <c r="L867">
        <f>IFERROR(INDEX(PP_Grid[#Data],$DD867,10),0)</f>
        <v/>
      </c>
      <c r="M867">
        <f>IFERROR(INDEX(PP_Grid[#Data],$DD867,11),0)</f>
        <v/>
      </c>
      <c r="N867">
        <f>IFERROR(INDEX(PP_Grid[#Data],$DD867,12),0)</f>
        <v/>
      </c>
      <c r="O867">
        <f>IFERROR(INDEX(PP_Grid[#Data],$DD867,13),0)</f>
        <v/>
      </c>
      <c r="P867">
        <f>IFERROR(INDEX(PP_Grid[#Data],$DD867,14),0)</f>
        <v/>
      </c>
      <c r="Q867">
        <f>IFERROR(INDEX(PP_Grid[#Data],$DD867,15),0)</f>
        <v/>
      </c>
      <c r="R867">
        <f>IFERROR(INDEX(PP_Grid[#Data],$DD867,16),0)</f>
        <v/>
      </c>
      <c r="S867">
        <f>IFERROR(INDEX(PP_Grid[#Data],$DD867,17),0)</f>
        <v/>
      </c>
      <c r="T867">
        <f>IFERROR(INDEX(PP_Grid[#Data],$DD867,18),0)</f>
        <v/>
      </c>
      <c r="U867">
        <f>IFERROR(INDEX(PP_Grid[#Data],$DD867,19),0)</f>
        <v/>
      </c>
      <c r="V867">
        <f>IFERROR(INDEX(PP_Grid[#Data],$DD867,20),0)</f>
        <v/>
      </c>
      <c r="W867">
        <f>IFERROR(INDEX(PP_Grid[#Data],$DD867,21),0)</f>
        <v/>
      </c>
      <c r="X867">
        <f>IFERROR(INDEX(PP_Grid[#Data],$DD867,22),0)</f>
        <v/>
      </c>
      <c r="Y867">
        <f>IFERROR(INDEX(PP_Grid[#Data],$DD867,23),0)</f>
        <v/>
      </c>
      <c r="Z867">
        <f>IFERROR(INDEX(PP_Grid[#Data],$DD867,24),0)</f>
        <v/>
      </c>
      <c r="AA867">
        <f>IFERROR(INDEX(PP_Grid[#Data],$DD867,25),0)</f>
        <v/>
      </c>
      <c r="AB867">
        <f>IFERROR(INDEX(PP_Grid[#Data],$DD867,26),0)</f>
        <v/>
      </c>
      <c r="AC867">
        <f>IFERROR(INDEX(PP_Grid[#Data],$DD867,27),0)</f>
        <v/>
      </c>
      <c r="AD867">
        <f>IFERROR(INDEX(PP_Grid[#Data],$DD867,28),0)</f>
        <v/>
      </c>
      <c r="AE867">
        <f>IFERROR(INDEX(PP_Grid[#Data],$DD867,29),0)</f>
        <v/>
      </c>
      <c r="AF867">
        <f>IFERROR(INDEX(PP_Grid[#Data],$DD867,30),0)</f>
        <v/>
      </c>
      <c r="AG867">
        <f>IFERROR(INDEX(PP_Grid[#Data],$DD867,31),0)</f>
        <v/>
      </c>
      <c r="AH867">
        <f>IFERROR(INDEX(PP_Grid[#Data],$DD867,32),0)</f>
        <v/>
      </c>
      <c r="AI867">
        <f>IFERROR(INDEX(PP_Grid[#Data],$DD867,33),0)</f>
        <v/>
      </c>
      <c r="AJ867">
        <f>IFERROR(INDEX(PP_Grid[#Data],$DD867,34),0)</f>
        <v/>
      </c>
      <c r="AK867">
        <f>IFERROR(INDEX(PP_Grid[#Data],$DD867,35),0)</f>
        <v/>
      </c>
      <c r="AL867">
        <f>IFERROR(INDEX(PP_Grid[#Data],$DD867,36),0)</f>
        <v/>
      </c>
      <c r="AM867">
        <f>IFERROR(INDEX(PP_Grid[#Data],$DD867,37),0)</f>
        <v/>
      </c>
      <c r="AN867">
        <f>IFERROR(INDEX(PP_Grid[#Data],$DD867,38),0)</f>
        <v/>
      </c>
      <c r="AO867">
        <f>IFERROR(INDEX(PP_Grid[#Data],$DD867,39),0)</f>
        <v/>
      </c>
      <c r="AP867">
        <f>IFERROR(INDEX(PP_Grid[#Data],$DD867,40),0)</f>
        <v/>
      </c>
      <c r="AQ867">
        <f>IFERROR(INDEX(PP_Grid[#Data],$DD867,41),0)</f>
        <v/>
      </c>
      <c r="AR867">
        <f>IFERROR(INDEX(PP_Grid[#Data],$DD867,42),0)</f>
        <v/>
      </c>
      <c r="AS867">
        <f>IFERROR(INDEX(PP_Grid[#Data],$DD867,43),0)</f>
        <v/>
      </c>
      <c r="AT867">
        <f>IFERROR(INDEX(PP_Grid[#Data],$DD867,44),0)</f>
        <v/>
      </c>
      <c r="AU867">
        <f>IFERROR(INDEX(PP_Grid[#Data],$DD867,45),0)</f>
        <v/>
      </c>
      <c r="AV867">
        <f>IFERROR(INDEX(PP_Grid[#Data],$DD867,46),0)</f>
        <v/>
      </c>
      <c r="AW867">
        <f>IFERROR(INDEX(PP_Grid[#Data],$DD867,47),0)</f>
        <v/>
      </c>
      <c r="AX867">
        <f>IFERROR(INDEX(PP_Grid[#Data],$DD867,48),0)</f>
        <v/>
      </c>
      <c r="AY867">
        <f>IFERROR(INDEX(PP_Grid[#Data],$DD867,49),0)</f>
        <v/>
      </c>
      <c r="AZ867">
        <f>IFERROR(INDEX(PP_Grid[#Data],$DD867,50),0)</f>
        <v/>
      </c>
      <c r="BA867">
        <f>IFERROR(INDEX(PP_Grid[#Data],$DD867,51),0)</f>
        <v/>
      </c>
      <c r="BB867">
        <f>IFERROR(INDEX(PP_Grid[#Data],$DD867,52),0)</f>
        <v/>
      </c>
      <c r="BC867">
        <f>IFERROR(INDEX(PP_Grid[#Data],$DD867,53),0)</f>
        <v/>
      </c>
      <c r="BD867">
        <f>IFERROR(INDEX(PP_Grid[#Data],$DD867,54),0)</f>
        <v/>
      </c>
      <c r="BE867">
        <f>IFERROR(INDEX(PP_Grid[#Data],$DD867,55),0)</f>
        <v/>
      </c>
      <c r="BF867">
        <f>IFERROR(INDEX(PP_Grid[#Data],$DD867,56),0)</f>
        <v/>
      </c>
      <c r="BG867">
        <f>IFERROR(INDEX(PP_Grid[#Data],$DD867,57),0)</f>
        <v/>
      </c>
      <c r="BH867">
        <f>IFERROR(INDEX(PP_Grid[#Data],$DD867,58),0)</f>
        <v/>
      </c>
      <c r="BI867">
        <f>IFERROR(INDEX(PP_Grid[#Data],$DD867,59),0)</f>
        <v/>
      </c>
      <c r="BJ867">
        <f>IFERROR(INDEX(PP_Grid[#Data],$DD867,60),0)</f>
        <v/>
      </c>
      <c r="BK867">
        <f>IFERROR(INDEX(PP_Grid[#Data],$DD867,61),0)</f>
        <v/>
      </c>
      <c r="BL867">
        <f>IFERROR(INDEX(PP_Grid[#Data],$DD867,62),0)</f>
        <v/>
      </c>
      <c r="BM867">
        <f>IFERROR(INDEX(PP_Grid[#Data],$DD867,63),0)</f>
        <v/>
      </c>
      <c r="BN867">
        <f>IFERROR(INDEX(PP_Grid[#Data],$DD867,64),0)</f>
        <v/>
      </c>
      <c r="BO867">
        <f>IFERROR(INDEX(PP_Grid[#Data],$DD867,65),0)</f>
        <v/>
      </c>
      <c r="BP867">
        <f>IFERROR(INDEX(PP_Grid[#Data],$DD867,66),0)</f>
        <v/>
      </c>
      <c r="BQ867">
        <f>IFERROR(INDEX(PP_Grid[#Data],$DD867,67),0)</f>
        <v/>
      </c>
      <c r="BR867">
        <f>IFERROR(INDEX(PP_Grid[#Data],$DD867,68),0)</f>
        <v/>
      </c>
      <c r="BS867">
        <f>IFERROR(INDEX(PP_Grid[#Data],$DD867,69),0)</f>
        <v/>
      </c>
      <c r="BT867">
        <f>IFERROR(INDEX(PP_Grid[#Data],$DD867,70),0)</f>
        <v/>
      </c>
      <c r="BU867">
        <f>IFERROR(INDEX(PP_Grid[#Data],$DD867,71),0)</f>
        <v/>
      </c>
      <c r="BV867">
        <f>IFERROR(INDEX(PP_Grid[#Data],$DD867,72),0)</f>
        <v/>
      </c>
      <c r="BW867">
        <f>IFERROR(INDEX(PP_Grid[#Data],$DD867,73),0)</f>
        <v/>
      </c>
      <c r="BX867">
        <f>IFERROR(INDEX(PP_Grid[#Data],$DD867,74),0)</f>
        <v/>
      </c>
      <c r="BY867">
        <f>IFERROR(INDEX(PP_Grid[#Data],$DD867,75),0)</f>
        <v/>
      </c>
      <c r="BZ867">
        <f>IFERROR(INDEX(PP_Grid[#Data],$DD867,76),0)</f>
        <v/>
      </c>
      <c r="CA867">
        <f>IFERROR(INDEX(PP_Grid[#Data],$DD867,77),0)</f>
        <v/>
      </c>
      <c r="CB867">
        <f>IFERROR(INDEX(PP_Grid[#Data],$DD867,78),0)</f>
        <v/>
      </c>
      <c r="CC867">
        <f>IFERROR(INDEX(PP_Grid[#Data],$DD867,79),0)</f>
        <v/>
      </c>
      <c r="CD867">
        <f>IFERROR(INDEX(PP_Grid[#Data],$DD867,80),0)</f>
        <v/>
      </c>
      <c r="CE867">
        <f>IFERROR(INDEX(PP_Grid[#Data],$DD867,81),0)</f>
        <v/>
      </c>
      <c r="CF867">
        <f>IFERROR(INDEX(PP_Grid[#Data],$DD867,82),0)</f>
        <v/>
      </c>
      <c r="CG867">
        <f>IFERROR(INDEX(PP_Grid[#Data],$DD867,83),0)</f>
        <v/>
      </c>
      <c r="CH867">
        <f>IFERROR(INDEX(PP_Grid[#Data],$DD867,84),0)</f>
        <v/>
      </c>
      <c r="CI867">
        <f>IFERROR(INDEX(PP_Grid[#Data],$DD867,85),0)</f>
        <v/>
      </c>
      <c r="CJ867">
        <f>IFERROR(INDEX(PP_Grid[#Data],$DD867,86),0)</f>
        <v/>
      </c>
      <c r="CK867">
        <f>IFERROR(INDEX(PP_Grid[#Data],$DD867,87),0)</f>
        <v/>
      </c>
      <c r="CL867">
        <f>IFERROR(INDEX(PP_Grid[#Data],$DD867,88),0)</f>
        <v/>
      </c>
      <c r="CM867">
        <f>IFERROR(INDEX(PP_Grid[#Data],$DD867,89),0)</f>
        <v/>
      </c>
      <c r="CN867">
        <f>IFERROR(INDEX(PP_Grid[#Data],$DD867,90),0)</f>
        <v/>
      </c>
      <c r="CO867">
        <f>IFERROR(INDEX(PP_Grid[#Data],$DD867,91),0)</f>
        <v/>
      </c>
      <c r="CP867">
        <f>IFERROR(INDEX(PP_Grid[#Data],$DD867,92),0)</f>
        <v/>
      </c>
      <c r="CQ867">
        <f>IFERROR(INDEX(PP_Grid[#Data],$DD867,93),0)</f>
        <v/>
      </c>
      <c r="CR867">
        <f>IFERROR(INDEX(PP_Grid[#Data],$DD867,94),0)</f>
        <v/>
      </c>
      <c r="CS867">
        <f>IFERROR(INDEX(PP_Grid[#Data],$DD867,95),0)</f>
        <v/>
      </c>
      <c r="CT867">
        <f>IFERROR(INDEX(PP_Grid[#Data],$DD867,96),0)</f>
        <v/>
      </c>
      <c r="CU867">
        <f>IFERROR(INDEX(PP_Grid[#Data],$DD867,97),0)</f>
        <v/>
      </c>
      <c r="CV867">
        <f>IFERROR(INDEX(PP_Grid[#Data],$DD867,98),0)</f>
        <v/>
      </c>
      <c r="CW867">
        <f>IFERROR(INDEX(PP_Grid[#Data],$DD867,99),0)</f>
        <v/>
      </c>
      <c r="CX867">
        <f>IFERROR(INDEX(PP_Grid[#Data],$DD867,100),0)</f>
        <v/>
      </c>
      <c r="CY867">
        <f>IFERROR(INDEX(PP_Grid[#Data],$DD867,101),0)</f>
        <v/>
      </c>
      <c r="CZ867">
        <f>IFERROR(INDEX(PP_Grid[#Data],$DD867,102),0)</f>
        <v/>
      </c>
      <c r="DA867">
        <f>IFERROR(INDEX(PP_Grid[#Data],$DD867,103),0)</f>
        <v/>
      </c>
      <c r="DB867">
        <f>IFERROR(INDEX(PP_Grid[#Data],$DD867,104),0)</f>
        <v/>
      </c>
      <c r="DC867">
        <f>IFERROR(INDEX(PP_Grid[#Data],$DD867,105),0)</f>
        <v/>
      </c>
      <c r="DD867" s="12">
        <f>IFERROR(MATCH($B867,PP_Grid[Intermediate],0),99999)</f>
        <v/>
      </c>
    </row>
    <row r="868">
      <c r="B868" t="inlineStr">
        <is>
          <t>使用量(kg)</t>
        </is>
      </c>
      <c r="C868">
        <f>SUMIFS(M_BOM[RM_Qty_Per_Batch],M_BOM[Intermediate],$B867,M_BOM[Part Name],$A862)</f>
        <v/>
      </c>
      <c r="D868">
        <f>$C868*D867</f>
        <v/>
      </c>
      <c r="E868">
        <f>$C868*E867</f>
        <v/>
      </c>
      <c r="F868">
        <f>$C868*F867</f>
        <v/>
      </c>
      <c r="G868">
        <f>$C868*G867</f>
        <v/>
      </c>
      <c r="H868">
        <f>$C868*H867</f>
        <v/>
      </c>
      <c r="I868">
        <f>$C868*I867</f>
        <v/>
      </c>
      <c r="J868">
        <f>$C868*J867</f>
        <v/>
      </c>
      <c r="K868">
        <f>$C868*K867</f>
        <v/>
      </c>
      <c r="L868">
        <f>$C868*L867</f>
        <v/>
      </c>
      <c r="M868">
        <f>$C868*M867</f>
        <v/>
      </c>
      <c r="N868">
        <f>$C868*N867</f>
        <v/>
      </c>
      <c r="O868">
        <f>$C868*O867</f>
        <v/>
      </c>
      <c r="P868">
        <f>$C868*P867</f>
        <v/>
      </c>
      <c r="Q868">
        <f>$C868*Q867</f>
        <v/>
      </c>
      <c r="R868">
        <f>$C868*R867</f>
        <v/>
      </c>
      <c r="S868">
        <f>$C868*S867</f>
        <v/>
      </c>
      <c r="T868">
        <f>$C868*T867</f>
        <v/>
      </c>
      <c r="U868">
        <f>$C868*U867</f>
        <v/>
      </c>
      <c r="V868">
        <f>$C868*V867</f>
        <v/>
      </c>
      <c r="W868">
        <f>$C868*W867</f>
        <v/>
      </c>
      <c r="X868">
        <f>$C868*X867</f>
        <v/>
      </c>
      <c r="Y868">
        <f>$C868*Y867</f>
        <v/>
      </c>
      <c r="Z868">
        <f>$C868*Z867</f>
        <v/>
      </c>
      <c r="AA868">
        <f>$C868*AA867</f>
        <v/>
      </c>
      <c r="AB868">
        <f>$C868*AB867</f>
        <v/>
      </c>
      <c r="AC868">
        <f>$C868*AC867</f>
        <v/>
      </c>
      <c r="AD868">
        <f>$C868*AD867</f>
        <v/>
      </c>
      <c r="AE868">
        <f>$C868*AE867</f>
        <v/>
      </c>
      <c r="AF868">
        <f>$C868*AF867</f>
        <v/>
      </c>
      <c r="AG868">
        <f>$C868*AG867</f>
        <v/>
      </c>
      <c r="AH868">
        <f>$C868*AH867</f>
        <v/>
      </c>
      <c r="AI868">
        <f>$C868*AI867</f>
        <v/>
      </c>
      <c r="AJ868">
        <f>$C868*AJ867</f>
        <v/>
      </c>
      <c r="AK868">
        <f>$C868*AK867</f>
        <v/>
      </c>
      <c r="AL868">
        <f>$C868*AL867</f>
        <v/>
      </c>
      <c r="AM868">
        <f>$C868*AM867</f>
        <v/>
      </c>
      <c r="AN868">
        <f>$C868*AN867</f>
        <v/>
      </c>
      <c r="AO868">
        <f>$C868*AO867</f>
        <v/>
      </c>
      <c r="AP868">
        <f>$C868*AP867</f>
        <v/>
      </c>
      <c r="AQ868">
        <f>$C868*AQ867</f>
        <v/>
      </c>
      <c r="AR868">
        <f>$C868*AR867</f>
        <v/>
      </c>
      <c r="AS868">
        <f>$C868*AS867</f>
        <v/>
      </c>
      <c r="AT868">
        <f>$C868*AT867</f>
        <v/>
      </c>
      <c r="AU868">
        <f>$C868*AU867</f>
        <v/>
      </c>
      <c r="AV868">
        <f>$C868*AV867</f>
        <v/>
      </c>
      <c r="AW868">
        <f>$C868*AW867</f>
        <v/>
      </c>
      <c r="AX868">
        <f>$C868*AX867</f>
        <v/>
      </c>
      <c r="AY868">
        <f>$C868*AY867</f>
        <v/>
      </c>
      <c r="AZ868">
        <f>$C868*AZ867</f>
        <v/>
      </c>
      <c r="BA868">
        <f>$C868*BA867</f>
        <v/>
      </c>
      <c r="BB868">
        <f>$C868*BB867</f>
        <v/>
      </c>
      <c r="BC868">
        <f>$C868*BC867</f>
        <v/>
      </c>
      <c r="BD868">
        <f>$C868*BD867</f>
        <v/>
      </c>
      <c r="BE868">
        <f>$C868*BE867</f>
        <v/>
      </c>
      <c r="BF868">
        <f>$C868*BF867</f>
        <v/>
      </c>
      <c r="BG868">
        <f>$C868*BG867</f>
        <v/>
      </c>
      <c r="BH868">
        <f>$C868*BH867</f>
        <v/>
      </c>
      <c r="BI868">
        <f>$C868*BI867</f>
        <v/>
      </c>
      <c r="BJ868">
        <f>$C868*BJ867</f>
        <v/>
      </c>
      <c r="BK868">
        <f>$C868*BK867</f>
        <v/>
      </c>
      <c r="BL868">
        <f>$C868*BL867</f>
        <v/>
      </c>
      <c r="BM868">
        <f>$C868*BM867</f>
        <v/>
      </c>
      <c r="BN868">
        <f>$C868*BN867</f>
        <v/>
      </c>
      <c r="BO868">
        <f>$C868*BO867</f>
        <v/>
      </c>
      <c r="BP868">
        <f>$C868*BP867</f>
        <v/>
      </c>
      <c r="BQ868">
        <f>$C868*BQ867</f>
        <v/>
      </c>
      <c r="BR868">
        <f>$C868*BR867</f>
        <v/>
      </c>
      <c r="BS868">
        <f>$C868*BS867</f>
        <v/>
      </c>
      <c r="BT868">
        <f>$C868*BT867</f>
        <v/>
      </c>
      <c r="BU868">
        <f>$C868*BU867</f>
        <v/>
      </c>
      <c r="BV868">
        <f>$C868*BV867</f>
        <v/>
      </c>
      <c r="BW868">
        <f>$C868*BW867</f>
        <v/>
      </c>
      <c r="BX868">
        <f>$C868*BX867</f>
        <v/>
      </c>
      <c r="BY868">
        <f>$C868*BY867</f>
        <v/>
      </c>
      <c r="BZ868">
        <f>$C868*BZ867</f>
        <v/>
      </c>
      <c r="CA868">
        <f>$C868*CA867</f>
        <v/>
      </c>
      <c r="CB868">
        <f>$C868*CB867</f>
        <v/>
      </c>
      <c r="CC868">
        <f>$C868*CC867</f>
        <v/>
      </c>
      <c r="CD868">
        <f>$C868*CD867</f>
        <v/>
      </c>
      <c r="CE868">
        <f>$C868*CE867</f>
        <v/>
      </c>
      <c r="CF868">
        <f>$C868*CF867</f>
        <v/>
      </c>
      <c r="CG868">
        <f>$C868*CG867</f>
        <v/>
      </c>
      <c r="CH868">
        <f>$C868*CH867</f>
        <v/>
      </c>
      <c r="CI868">
        <f>$C868*CI867</f>
        <v/>
      </c>
      <c r="CJ868">
        <f>$C868*CJ867</f>
        <v/>
      </c>
      <c r="CK868">
        <f>$C868*CK867</f>
        <v/>
      </c>
      <c r="CL868">
        <f>$C868*CL867</f>
        <v/>
      </c>
      <c r="CM868">
        <f>$C868*CM867</f>
        <v/>
      </c>
      <c r="CN868">
        <f>$C868*CN867</f>
        <v/>
      </c>
      <c r="CO868">
        <f>$C868*CO867</f>
        <v/>
      </c>
      <c r="CP868">
        <f>$C868*CP867</f>
        <v/>
      </c>
      <c r="CQ868">
        <f>$C868*CQ867</f>
        <v/>
      </c>
      <c r="CR868">
        <f>$C868*CR867</f>
        <v/>
      </c>
      <c r="CS868">
        <f>$C868*CS867</f>
        <v/>
      </c>
      <c r="CT868">
        <f>$C868*CT867</f>
        <v/>
      </c>
      <c r="CU868">
        <f>$C868*CU867</f>
        <v/>
      </c>
      <c r="CV868">
        <f>$C868*CV867</f>
        <v/>
      </c>
      <c r="CW868">
        <f>$C868*CW867</f>
        <v/>
      </c>
      <c r="CX868">
        <f>$C868*CX867</f>
        <v/>
      </c>
      <c r="CY868">
        <f>$C868*CY867</f>
        <v/>
      </c>
      <c r="CZ868">
        <f>$C868*CZ867</f>
        <v/>
      </c>
      <c r="DA868">
        <f>$C868*DA867</f>
        <v/>
      </c>
      <c r="DB868">
        <f>$C868*DB867</f>
        <v/>
      </c>
      <c r="DC868">
        <f>$C868*DC867</f>
        <v/>
      </c>
    </row>
    <row r="869">
      <c r="B869" t="inlineStr">
        <is>
          <t>TSP-1445</t>
        </is>
      </c>
      <c r="C869" t="inlineStr">
        <is>
          <t>No. of batches</t>
        </is>
      </c>
      <c r="D869">
        <f>IFERROR(INDEX(PP_Grid[#Data],$DD869,2),0)</f>
        <v/>
      </c>
      <c r="E869">
        <f>IFERROR(INDEX(PP_Grid[#Data],$DD869,3),0)</f>
        <v/>
      </c>
      <c r="F869">
        <f>IFERROR(INDEX(PP_Grid[#Data],$DD869,4),0)</f>
        <v/>
      </c>
      <c r="G869">
        <f>IFERROR(INDEX(PP_Grid[#Data],$DD869,5),0)</f>
        <v/>
      </c>
      <c r="H869">
        <f>IFERROR(INDEX(PP_Grid[#Data],$DD869,6),0)</f>
        <v/>
      </c>
      <c r="I869">
        <f>IFERROR(INDEX(PP_Grid[#Data],$DD869,7),0)</f>
        <v/>
      </c>
      <c r="J869">
        <f>IFERROR(INDEX(PP_Grid[#Data],$DD869,8),0)</f>
        <v/>
      </c>
      <c r="K869">
        <f>IFERROR(INDEX(PP_Grid[#Data],$DD869,9),0)</f>
        <v/>
      </c>
      <c r="L869">
        <f>IFERROR(INDEX(PP_Grid[#Data],$DD869,10),0)</f>
        <v/>
      </c>
      <c r="M869">
        <f>IFERROR(INDEX(PP_Grid[#Data],$DD869,11),0)</f>
        <v/>
      </c>
      <c r="N869">
        <f>IFERROR(INDEX(PP_Grid[#Data],$DD869,12),0)</f>
        <v/>
      </c>
      <c r="O869">
        <f>IFERROR(INDEX(PP_Grid[#Data],$DD869,13),0)</f>
        <v/>
      </c>
      <c r="P869">
        <f>IFERROR(INDEX(PP_Grid[#Data],$DD869,14),0)</f>
        <v/>
      </c>
      <c r="Q869">
        <f>IFERROR(INDEX(PP_Grid[#Data],$DD869,15),0)</f>
        <v/>
      </c>
      <c r="R869">
        <f>IFERROR(INDEX(PP_Grid[#Data],$DD869,16),0)</f>
        <v/>
      </c>
      <c r="S869">
        <f>IFERROR(INDEX(PP_Grid[#Data],$DD869,17),0)</f>
        <v/>
      </c>
      <c r="T869">
        <f>IFERROR(INDEX(PP_Grid[#Data],$DD869,18),0)</f>
        <v/>
      </c>
      <c r="U869">
        <f>IFERROR(INDEX(PP_Grid[#Data],$DD869,19),0)</f>
        <v/>
      </c>
      <c r="V869">
        <f>IFERROR(INDEX(PP_Grid[#Data],$DD869,20),0)</f>
        <v/>
      </c>
      <c r="W869">
        <f>IFERROR(INDEX(PP_Grid[#Data],$DD869,21),0)</f>
        <v/>
      </c>
      <c r="X869">
        <f>IFERROR(INDEX(PP_Grid[#Data],$DD869,22),0)</f>
        <v/>
      </c>
      <c r="Y869">
        <f>IFERROR(INDEX(PP_Grid[#Data],$DD869,23),0)</f>
        <v/>
      </c>
      <c r="Z869">
        <f>IFERROR(INDEX(PP_Grid[#Data],$DD869,24),0)</f>
        <v/>
      </c>
      <c r="AA869">
        <f>IFERROR(INDEX(PP_Grid[#Data],$DD869,25),0)</f>
        <v/>
      </c>
      <c r="AB869">
        <f>IFERROR(INDEX(PP_Grid[#Data],$DD869,26),0)</f>
        <v/>
      </c>
      <c r="AC869">
        <f>IFERROR(INDEX(PP_Grid[#Data],$DD869,27),0)</f>
        <v/>
      </c>
      <c r="AD869">
        <f>IFERROR(INDEX(PP_Grid[#Data],$DD869,28),0)</f>
        <v/>
      </c>
      <c r="AE869">
        <f>IFERROR(INDEX(PP_Grid[#Data],$DD869,29),0)</f>
        <v/>
      </c>
      <c r="AF869">
        <f>IFERROR(INDEX(PP_Grid[#Data],$DD869,30),0)</f>
        <v/>
      </c>
      <c r="AG869">
        <f>IFERROR(INDEX(PP_Grid[#Data],$DD869,31),0)</f>
        <v/>
      </c>
      <c r="AH869">
        <f>IFERROR(INDEX(PP_Grid[#Data],$DD869,32),0)</f>
        <v/>
      </c>
      <c r="AI869">
        <f>IFERROR(INDEX(PP_Grid[#Data],$DD869,33),0)</f>
        <v/>
      </c>
      <c r="AJ869">
        <f>IFERROR(INDEX(PP_Grid[#Data],$DD869,34),0)</f>
        <v/>
      </c>
      <c r="AK869">
        <f>IFERROR(INDEX(PP_Grid[#Data],$DD869,35),0)</f>
        <v/>
      </c>
      <c r="AL869">
        <f>IFERROR(INDEX(PP_Grid[#Data],$DD869,36),0)</f>
        <v/>
      </c>
      <c r="AM869">
        <f>IFERROR(INDEX(PP_Grid[#Data],$DD869,37),0)</f>
        <v/>
      </c>
      <c r="AN869">
        <f>IFERROR(INDEX(PP_Grid[#Data],$DD869,38),0)</f>
        <v/>
      </c>
      <c r="AO869">
        <f>IFERROR(INDEX(PP_Grid[#Data],$DD869,39),0)</f>
        <v/>
      </c>
      <c r="AP869">
        <f>IFERROR(INDEX(PP_Grid[#Data],$DD869,40),0)</f>
        <v/>
      </c>
      <c r="AQ869">
        <f>IFERROR(INDEX(PP_Grid[#Data],$DD869,41),0)</f>
        <v/>
      </c>
      <c r="AR869">
        <f>IFERROR(INDEX(PP_Grid[#Data],$DD869,42),0)</f>
        <v/>
      </c>
      <c r="AS869">
        <f>IFERROR(INDEX(PP_Grid[#Data],$DD869,43),0)</f>
        <v/>
      </c>
      <c r="AT869">
        <f>IFERROR(INDEX(PP_Grid[#Data],$DD869,44),0)</f>
        <v/>
      </c>
      <c r="AU869">
        <f>IFERROR(INDEX(PP_Grid[#Data],$DD869,45),0)</f>
        <v/>
      </c>
      <c r="AV869">
        <f>IFERROR(INDEX(PP_Grid[#Data],$DD869,46),0)</f>
        <v/>
      </c>
      <c r="AW869">
        <f>IFERROR(INDEX(PP_Grid[#Data],$DD869,47),0)</f>
        <v/>
      </c>
      <c r="AX869">
        <f>IFERROR(INDEX(PP_Grid[#Data],$DD869,48),0)</f>
        <v/>
      </c>
      <c r="AY869">
        <f>IFERROR(INDEX(PP_Grid[#Data],$DD869,49),0)</f>
        <v/>
      </c>
      <c r="AZ869">
        <f>IFERROR(INDEX(PP_Grid[#Data],$DD869,50),0)</f>
        <v/>
      </c>
      <c r="BA869">
        <f>IFERROR(INDEX(PP_Grid[#Data],$DD869,51),0)</f>
        <v/>
      </c>
      <c r="BB869">
        <f>IFERROR(INDEX(PP_Grid[#Data],$DD869,52),0)</f>
        <v/>
      </c>
      <c r="BC869">
        <f>IFERROR(INDEX(PP_Grid[#Data],$DD869,53),0)</f>
        <v/>
      </c>
      <c r="BD869">
        <f>IFERROR(INDEX(PP_Grid[#Data],$DD869,54),0)</f>
        <v/>
      </c>
      <c r="BE869">
        <f>IFERROR(INDEX(PP_Grid[#Data],$DD869,55),0)</f>
        <v/>
      </c>
      <c r="BF869">
        <f>IFERROR(INDEX(PP_Grid[#Data],$DD869,56),0)</f>
        <v/>
      </c>
      <c r="BG869">
        <f>IFERROR(INDEX(PP_Grid[#Data],$DD869,57),0)</f>
        <v/>
      </c>
      <c r="BH869">
        <f>IFERROR(INDEX(PP_Grid[#Data],$DD869,58),0)</f>
        <v/>
      </c>
      <c r="BI869">
        <f>IFERROR(INDEX(PP_Grid[#Data],$DD869,59),0)</f>
        <v/>
      </c>
      <c r="BJ869">
        <f>IFERROR(INDEX(PP_Grid[#Data],$DD869,60),0)</f>
        <v/>
      </c>
      <c r="BK869">
        <f>IFERROR(INDEX(PP_Grid[#Data],$DD869,61),0)</f>
        <v/>
      </c>
      <c r="BL869">
        <f>IFERROR(INDEX(PP_Grid[#Data],$DD869,62),0)</f>
        <v/>
      </c>
      <c r="BM869">
        <f>IFERROR(INDEX(PP_Grid[#Data],$DD869,63),0)</f>
        <v/>
      </c>
      <c r="BN869">
        <f>IFERROR(INDEX(PP_Grid[#Data],$DD869,64),0)</f>
        <v/>
      </c>
      <c r="BO869">
        <f>IFERROR(INDEX(PP_Grid[#Data],$DD869,65),0)</f>
        <v/>
      </c>
      <c r="BP869">
        <f>IFERROR(INDEX(PP_Grid[#Data],$DD869,66),0)</f>
        <v/>
      </c>
      <c r="BQ869">
        <f>IFERROR(INDEX(PP_Grid[#Data],$DD869,67),0)</f>
        <v/>
      </c>
      <c r="BR869">
        <f>IFERROR(INDEX(PP_Grid[#Data],$DD869,68),0)</f>
        <v/>
      </c>
      <c r="BS869">
        <f>IFERROR(INDEX(PP_Grid[#Data],$DD869,69),0)</f>
        <v/>
      </c>
      <c r="BT869">
        <f>IFERROR(INDEX(PP_Grid[#Data],$DD869,70),0)</f>
        <v/>
      </c>
      <c r="BU869">
        <f>IFERROR(INDEX(PP_Grid[#Data],$DD869,71),0)</f>
        <v/>
      </c>
      <c r="BV869">
        <f>IFERROR(INDEX(PP_Grid[#Data],$DD869,72),0)</f>
        <v/>
      </c>
      <c r="BW869">
        <f>IFERROR(INDEX(PP_Grid[#Data],$DD869,73),0)</f>
        <v/>
      </c>
      <c r="BX869">
        <f>IFERROR(INDEX(PP_Grid[#Data],$DD869,74),0)</f>
        <v/>
      </c>
      <c r="BY869">
        <f>IFERROR(INDEX(PP_Grid[#Data],$DD869,75),0)</f>
        <v/>
      </c>
      <c r="BZ869">
        <f>IFERROR(INDEX(PP_Grid[#Data],$DD869,76),0)</f>
        <v/>
      </c>
      <c r="CA869">
        <f>IFERROR(INDEX(PP_Grid[#Data],$DD869,77),0)</f>
        <v/>
      </c>
      <c r="CB869">
        <f>IFERROR(INDEX(PP_Grid[#Data],$DD869,78),0)</f>
        <v/>
      </c>
      <c r="CC869">
        <f>IFERROR(INDEX(PP_Grid[#Data],$DD869,79),0)</f>
        <v/>
      </c>
      <c r="CD869">
        <f>IFERROR(INDEX(PP_Grid[#Data],$DD869,80),0)</f>
        <v/>
      </c>
      <c r="CE869">
        <f>IFERROR(INDEX(PP_Grid[#Data],$DD869,81),0)</f>
        <v/>
      </c>
      <c r="CF869">
        <f>IFERROR(INDEX(PP_Grid[#Data],$DD869,82),0)</f>
        <v/>
      </c>
      <c r="CG869">
        <f>IFERROR(INDEX(PP_Grid[#Data],$DD869,83),0)</f>
        <v/>
      </c>
      <c r="CH869">
        <f>IFERROR(INDEX(PP_Grid[#Data],$DD869,84),0)</f>
        <v/>
      </c>
      <c r="CI869">
        <f>IFERROR(INDEX(PP_Grid[#Data],$DD869,85),0)</f>
        <v/>
      </c>
      <c r="CJ869">
        <f>IFERROR(INDEX(PP_Grid[#Data],$DD869,86),0)</f>
        <v/>
      </c>
      <c r="CK869">
        <f>IFERROR(INDEX(PP_Grid[#Data],$DD869,87),0)</f>
        <v/>
      </c>
      <c r="CL869">
        <f>IFERROR(INDEX(PP_Grid[#Data],$DD869,88),0)</f>
        <v/>
      </c>
      <c r="CM869">
        <f>IFERROR(INDEX(PP_Grid[#Data],$DD869,89),0)</f>
        <v/>
      </c>
      <c r="CN869">
        <f>IFERROR(INDEX(PP_Grid[#Data],$DD869,90),0)</f>
        <v/>
      </c>
      <c r="CO869">
        <f>IFERROR(INDEX(PP_Grid[#Data],$DD869,91),0)</f>
        <v/>
      </c>
      <c r="CP869">
        <f>IFERROR(INDEX(PP_Grid[#Data],$DD869,92),0)</f>
        <v/>
      </c>
      <c r="CQ869">
        <f>IFERROR(INDEX(PP_Grid[#Data],$DD869,93),0)</f>
        <v/>
      </c>
      <c r="CR869">
        <f>IFERROR(INDEX(PP_Grid[#Data],$DD869,94),0)</f>
        <v/>
      </c>
      <c r="CS869">
        <f>IFERROR(INDEX(PP_Grid[#Data],$DD869,95),0)</f>
        <v/>
      </c>
      <c r="CT869">
        <f>IFERROR(INDEX(PP_Grid[#Data],$DD869,96),0)</f>
        <v/>
      </c>
      <c r="CU869">
        <f>IFERROR(INDEX(PP_Grid[#Data],$DD869,97),0)</f>
        <v/>
      </c>
      <c r="CV869">
        <f>IFERROR(INDEX(PP_Grid[#Data],$DD869,98),0)</f>
        <v/>
      </c>
      <c r="CW869">
        <f>IFERROR(INDEX(PP_Grid[#Data],$DD869,99),0)</f>
        <v/>
      </c>
      <c r="CX869">
        <f>IFERROR(INDEX(PP_Grid[#Data],$DD869,100),0)</f>
        <v/>
      </c>
      <c r="CY869">
        <f>IFERROR(INDEX(PP_Grid[#Data],$DD869,101),0)</f>
        <v/>
      </c>
      <c r="CZ869">
        <f>IFERROR(INDEX(PP_Grid[#Data],$DD869,102),0)</f>
        <v/>
      </c>
      <c r="DA869">
        <f>IFERROR(INDEX(PP_Grid[#Data],$DD869,103),0)</f>
        <v/>
      </c>
      <c r="DB869">
        <f>IFERROR(INDEX(PP_Grid[#Data],$DD869,104),0)</f>
        <v/>
      </c>
      <c r="DC869">
        <f>IFERROR(INDEX(PP_Grid[#Data],$DD869,105),0)</f>
        <v/>
      </c>
      <c r="DD869" s="12">
        <f>IFERROR(MATCH($B869,PP_Grid[Intermediate],0),99999)</f>
        <v/>
      </c>
    </row>
    <row r="870">
      <c r="B870" t="inlineStr">
        <is>
          <t>使用量(kg)</t>
        </is>
      </c>
      <c r="C870">
        <f>SUMIFS(M_BOM[RM_Qty_Per_Batch],M_BOM[Intermediate],$B869,M_BOM[Part Name],$A862)</f>
        <v/>
      </c>
      <c r="D870">
        <f>$C870*D869</f>
        <v/>
      </c>
      <c r="E870">
        <f>$C870*E869</f>
        <v/>
      </c>
      <c r="F870">
        <f>$C870*F869</f>
        <v/>
      </c>
      <c r="G870">
        <f>$C870*G869</f>
        <v/>
      </c>
      <c r="H870">
        <f>$C870*H869</f>
        <v/>
      </c>
      <c r="I870">
        <f>$C870*I869</f>
        <v/>
      </c>
      <c r="J870">
        <f>$C870*J869</f>
        <v/>
      </c>
      <c r="K870">
        <f>$C870*K869</f>
        <v/>
      </c>
      <c r="L870">
        <f>$C870*L869</f>
        <v/>
      </c>
      <c r="M870">
        <f>$C870*M869</f>
        <v/>
      </c>
      <c r="N870">
        <f>$C870*N869</f>
        <v/>
      </c>
      <c r="O870">
        <f>$C870*O869</f>
        <v/>
      </c>
      <c r="P870">
        <f>$C870*P869</f>
        <v/>
      </c>
      <c r="Q870">
        <f>$C870*Q869</f>
        <v/>
      </c>
      <c r="R870">
        <f>$C870*R869</f>
        <v/>
      </c>
      <c r="S870">
        <f>$C870*S869</f>
        <v/>
      </c>
      <c r="T870">
        <f>$C870*T869</f>
        <v/>
      </c>
      <c r="U870">
        <f>$C870*U869</f>
        <v/>
      </c>
      <c r="V870">
        <f>$C870*V869</f>
        <v/>
      </c>
      <c r="W870">
        <f>$C870*W869</f>
        <v/>
      </c>
      <c r="X870">
        <f>$C870*X869</f>
        <v/>
      </c>
      <c r="Y870">
        <f>$C870*Y869</f>
        <v/>
      </c>
      <c r="Z870">
        <f>$C870*Z869</f>
        <v/>
      </c>
      <c r="AA870">
        <f>$C870*AA869</f>
        <v/>
      </c>
      <c r="AB870">
        <f>$C870*AB869</f>
        <v/>
      </c>
      <c r="AC870">
        <f>$C870*AC869</f>
        <v/>
      </c>
      <c r="AD870">
        <f>$C870*AD869</f>
        <v/>
      </c>
      <c r="AE870">
        <f>$C870*AE869</f>
        <v/>
      </c>
      <c r="AF870">
        <f>$C870*AF869</f>
        <v/>
      </c>
      <c r="AG870">
        <f>$C870*AG869</f>
        <v/>
      </c>
      <c r="AH870">
        <f>$C870*AH869</f>
        <v/>
      </c>
      <c r="AI870">
        <f>$C870*AI869</f>
        <v/>
      </c>
      <c r="AJ870">
        <f>$C870*AJ869</f>
        <v/>
      </c>
      <c r="AK870">
        <f>$C870*AK869</f>
        <v/>
      </c>
      <c r="AL870">
        <f>$C870*AL869</f>
        <v/>
      </c>
      <c r="AM870">
        <f>$C870*AM869</f>
        <v/>
      </c>
      <c r="AN870">
        <f>$C870*AN869</f>
        <v/>
      </c>
      <c r="AO870">
        <f>$C870*AO869</f>
        <v/>
      </c>
      <c r="AP870">
        <f>$C870*AP869</f>
        <v/>
      </c>
      <c r="AQ870">
        <f>$C870*AQ869</f>
        <v/>
      </c>
      <c r="AR870">
        <f>$C870*AR869</f>
        <v/>
      </c>
      <c r="AS870">
        <f>$C870*AS869</f>
        <v/>
      </c>
      <c r="AT870">
        <f>$C870*AT869</f>
        <v/>
      </c>
      <c r="AU870">
        <f>$C870*AU869</f>
        <v/>
      </c>
      <c r="AV870">
        <f>$C870*AV869</f>
        <v/>
      </c>
      <c r="AW870">
        <f>$C870*AW869</f>
        <v/>
      </c>
      <c r="AX870">
        <f>$C870*AX869</f>
        <v/>
      </c>
      <c r="AY870">
        <f>$C870*AY869</f>
        <v/>
      </c>
      <c r="AZ870">
        <f>$C870*AZ869</f>
        <v/>
      </c>
      <c r="BA870">
        <f>$C870*BA869</f>
        <v/>
      </c>
      <c r="BB870">
        <f>$C870*BB869</f>
        <v/>
      </c>
      <c r="BC870">
        <f>$C870*BC869</f>
        <v/>
      </c>
      <c r="BD870">
        <f>$C870*BD869</f>
        <v/>
      </c>
      <c r="BE870">
        <f>$C870*BE869</f>
        <v/>
      </c>
      <c r="BF870">
        <f>$C870*BF869</f>
        <v/>
      </c>
      <c r="BG870">
        <f>$C870*BG869</f>
        <v/>
      </c>
      <c r="BH870">
        <f>$C870*BH869</f>
        <v/>
      </c>
      <c r="BI870">
        <f>$C870*BI869</f>
        <v/>
      </c>
      <c r="BJ870">
        <f>$C870*BJ869</f>
        <v/>
      </c>
      <c r="BK870">
        <f>$C870*BK869</f>
        <v/>
      </c>
      <c r="BL870">
        <f>$C870*BL869</f>
        <v/>
      </c>
      <c r="BM870">
        <f>$C870*BM869</f>
        <v/>
      </c>
      <c r="BN870">
        <f>$C870*BN869</f>
        <v/>
      </c>
      <c r="BO870">
        <f>$C870*BO869</f>
        <v/>
      </c>
      <c r="BP870">
        <f>$C870*BP869</f>
        <v/>
      </c>
      <c r="BQ870">
        <f>$C870*BQ869</f>
        <v/>
      </c>
      <c r="BR870">
        <f>$C870*BR869</f>
        <v/>
      </c>
      <c r="BS870">
        <f>$C870*BS869</f>
        <v/>
      </c>
      <c r="BT870">
        <f>$C870*BT869</f>
        <v/>
      </c>
      <c r="BU870">
        <f>$C870*BU869</f>
        <v/>
      </c>
      <c r="BV870">
        <f>$C870*BV869</f>
        <v/>
      </c>
      <c r="BW870">
        <f>$C870*BW869</f>
        <v/>
      </c>
      <c r="BX870">
        <f>$C870*BX869</f>
        <v/>
      </c>
      <c r="BY870">
        <f>$C870*BY869</f>
        <v/>
      </c>
      <c r="BZ870">
        <f>$C870*BZ869</f>
        <v/>
      </c>
      <c r="CA870">
        <f>$C870*CA869</f>
        <v/>
      </c>
      <c r="CB870">
        <f>$C870*CB869</f>
        <v/>
      </c>
      <c r="CC870">
        <f>$C870*CC869</f>
        <v/>
      </c>
      <c r="CD870">
        <f>$C870*CD869</f>
        <v/>
      </c>
      <c r="CE870">
        <f>$C870*CE869</f>
        <v/>
      </c>
      <c r="CF870">
        <f>$C870*CF869</f>
        <v/>
      </c>
      <c r="CG870">
        <f>$C870*CG869</f>
        <v/>
      </c>
      <c r="CH870">
        <f>$C870*CH869</f>
        <v/>
      </c>
      <c r="CI870">
        <f>$C870*CI869</f>
        <v/>
      </c>
      <c r="CJ870">
        <f>$C870*CJ869</f>
        <v/>
      </c>
      <c r="CK870">
        <f>$C870*CK869</f>
        <v/>
      </c>
      <c r="CL870">
        <f>$C870*CL869</f>
        <v/>
      </c>
      <c r="CM870">
        <f>$C870*CM869</f>
        <v/>
      </c>
      <c r="CN870">
        <f>$C870*CN869</f>
        <v/>
      </c>
      <c r="CO870">
        <f>$C870*CO869</f>
        <v/>
      </c>
      <c r="CP870">
        <f>$C870*CP869</f>
        <v/>
      </c>
      <c r="CQ870">
        <f>$C870*CQ869</f>
        <v/>
      </c>
      <c r="CR870">
        <f>$C870*CR869</f>
        <v/>
      </c>
      <c r="CS870">
        <f>$C870*CS869</f>
        <v/>
      </c>
      <c r="CT870">
        <f>$C870*CT869</f>
        <v/>
      </c>
      <c r="CU870">
        <f>$C870*CU869</f>
        <v/>
      </c>
      <c r="CV870">
        <f>$C870*CV869</f>
        <v/>
      </c>
      <c r="CW870">
        <f>$C870*CW869</f>
        <v/>
      </c>
      <c r="CX870">
        <f>$C870*CX869</f>
        <v/>
      </c>
      <c r="CY870">
        <f>$C870*CY869</f>
        <v/>
      </c>
      <c r="CZ870">
        <f>$C870*CZ869</f>
        <v/>
      </c>
      <c r="DA870">
        <f>$C870*DA869</f>
        <v/>
      </c>
      <c r="DB870">
        <f>$C870*DB869</f>
        <v/>
      </c>
      <c r="DC870">
        <f>$C870*DC869</f>
        <v/>
      </c>
    </row>
    <row r="871">
      <c r="B871" t="inlineStr">
        <is>
          <t>TSP-1446</t>
        </is>
      </c>
      <c r="C871" t="inlineStr">
        <is>
          <t>No. of batches</t>
        </is>
      </c>
      <c r="D871">
        <f>IFERROR(INDEX(PP_Grid[#Data],$DD871,2),0)</f>
        <v/>
      </c>
      <c r="E871">
        <f>IFERROR(INDEX(PP_Grid[#Data],$DD871,3),0)</f>
        <v/>
      </c>
      <c r="F871">
        <f>IFERROR(INDEX(PP_Grid[#Data],$DD871,4),0)</f>
        <v/>
      </c>
      <c r="G871">
        <f>IFERROR(INDEX(PP_Grid[#Data],$DD871,5),0)</f>
        <v/>
      </c>
      <c r="H871">
        <f>IFERROR(INDEX(PP_Grid[#Data],$DD871,6),0)</f>
        <v/>
      </c>
      <c r="I871">
        <f>IFERROR(INDEX(PP_Grid[#Data],$DD871,7),0)</f>
        <v/>
      </c>
      <c r="J871">
        <f>IFERROR(INDEX(PP_Grid[#Data],$DD871,8),0)</f>
        <v/>
      </c>
      <c r="K871">
        <f>IFERROR(INDEX(PP_Grid[#Data],$DD871,9),0)</f>
        <v/>
      </c>
      <c r="L871">
        <f>IFERROR(INDEX(PP_Grid[#Data],$DD871,10),0)</f>
        <v/>
      </c>
      <c r="M871">
        <f>IFERROR(INDEX(PP_Grid[#Data],$DD871,11),0)</f>
        <v/>
      </c>
      <c r="N871">
        <f>IFERROR(INDEX(PP_Grid[#Data],$DD871,12),0)</f>
        <v/>
      </c>
      <c r="O871">
        <f>IFERROR(INDEX(PP_Grid[#Data],$DD871,13),0)</f>
        <v/>
      </c>
      <c r="P871">
        <f>IFERROR(INDEX(PP_Grid[#Data],$DD871,14),0)</f>
        <v/>
      </c>
      <c r="Q871">
        <f>IFERROR(INDEX(PP_Grid[#Data],$DD871,15),0)</f>
        <v/>
      </c>
      <c r="R871">
        <f>IFERROR(INDEX(PP_Grid[#Data],$DD871,16),0)</f>
        <v/>
      </c>
      <c r="S871">
        <f>IFERROR(INDEX(PP_Grid[#Data],$DD871,17),0)</f>
        <v/>
      </c>
      <c r="T871">
        <f>IFERROR(INDEX(PP_Grid[#Data],$DD871,18),0)</f>
        <v/>
      </c>
      <c r="U871">
        <f>IFERROR(INDEX(PP_Grid[#Data],$DD871,19),0)</f>
        <v/>
      </c>
      <c r="V871">
        <f>IFERROR(INDEX(PP_Grid[#Data],$DD871,20),0)</f>
        <v/>
      </c>
      <c r="W871">
        <f>IFERROR(INDEX(PP_Grid[#Data],$DD871,21),0)</f>
        <v/>
      </c>
      <c r="X871">
        <f>IFERROR(INDEX(PP_Grid[#Data],$DD871,22),0)</f>
        <v/>
      </c>
      <c r="Y871">
        <f>IFERROR(INDEX(PP_Grid[#Data],$DD871,23),0)</f>
        <v/>
      </c>
      <c r="Z871">
        <f>IFERROR(INDEX(PP_Grid[#Data],$DD871,24),0)</f>
        <v/>
      </c>
      <c r="AA871">
        <f>IFERROR(INDEX(PP_Grid[#Data],$DD871,25),0)</f>
        <v/>
      </c>
      <c r="AB871">
        <f>IFERROR(INDEX(PP_Grid[#Data],$DD871,26),0)</f>
        <v/>
      </c>
      <c r="AC871">
        <f>IFERROR(INDEX(PP_Grid[#Data],$DD871,27),0)</f>
        <v/>
      </c>
      <c r="AD871">
        <f>IFERROR(INDEX(PP_Grid[#Data],$DD871,28),0)</f>
        <v/>
      </c>
      <c r="AE871">
        <f>IFERROR(INDEX(PP_Grid[#Data],$DD871,29),0)</f>
        <v/>
      </c>
      <c r="AF871">
        <f>IFERROR(INDEX(PP_Grid[#Data],$DD871,30),0)</f>
        <v/>
      </c>
      <c r="AG871">
        <f>IFERROR(INDEX(PP_Grid[#Data],$DD871,31),0)</f>
        <v/>
      </c>
      <c r="AH871">
        <f>IFERROR(INDEX(PP_Grid[#Data],$DD871,32),0)</f>
        <v/>
      </c>
      <c r="AI871">
        <f>IFERROR(INDEX(PP_Grid[#Data],$DD871,33),0)</f>
        <v/>
      </c>
      <c r="AJ871">
        <f>IFERROR(INDEX(PP_Grid[#Data],$DD871,34),0)</f>
        <v/>
      </c>
      <c r="AK871">
        <f>IFERROR(INDEX(PP_Grid[#Data],$DD871,35),0)</f>
        <v/>
      </c>
      <c r="AL871">
        <f>IFERROR(INDEX(PP_Grid[#Data],$DD871,36),0)</f>
        <v/>
      </c>
      <c r="AM871">
        <f>IFERROR(INDEX(PP_Grid[#Data],$DD871,37),0)</f>
        <v/>
      </c>
      <c r="AN871">
        <f>IFERROR(INDEX(PP_Grid[#Data],$DD871,38),0)</f>
        <v/>
      </c>
      <c r="AO871">
        <f>IFERROR(INDEX(PP_Grid[#Data],$DD871,39),0)</f>
        <v/>
      </c>
      <c r="AP871">
        <f>IFERROR(INDEX(PP_Grid[#Data],$DD871,40),0)</f>
        <v/>
      </c>
      <c r="AQ871">
        <f>IFERROR(INDEX(PP_Grid[#Data],$DD871,41),0)</f>
        <v/>
      </c>
      <c r="AR871">
        <f>IFERROR(INDEX(PP_Grid[#Data],$DD871,42),0)</f>
        <v/>
      </c>
      <c r="AS871">
        <f>IFERROR(INDEX(PP_Grid[#Data],$DD871,43),0)</f>
        <v/>
      </c>
      <c r="AT871">
        <f>IFERROR(INDEX(PP_Grid[#Data],$DD871,44),0)</f>
        <v/>
      </c>
      <c r="AU871">
        <f>IFERROR(INDEX(PP_Grid[#Data],$DD871,45),0)</f>
        <v/>
      </c>
      <c r="AV871">
        <f>IFERROR(INDEX(PP_Grid[#Data],$DD871,46),0)</f>
        <v/>
      </c>
      <c r="AW871">
        <f>IFERROR(INDEX(PP_Grid[#Data],$DD871,47),0)</f>
        <v/>
      </c>
      <c r="AX871">
        <f>IFERROR(INDEX(PP_Grid[#Data],$DD871,48),0)</f>
        <v/>
      </c>
      <c r="AY871">
        <f>IFERROR(INDEX(PP_Grid[#Data],$DD871,49),0)</f>
        <v/>
      </c>
      <c r="AZ871">
        <f>IFERROR(INDEX(PP_Grid[#Data],$DD871,50),0)</f>
        <v/>
      </c>
      <c r="BA871">
        <f>IFERROR(INDEX(PP_Grid[#Data],$DD871,51),0)</f>
        <v/>
      </c>
      <c r="BB871">
        <f>IFERROR(INDEX(PP_Grid[#Data],$DD871,52),0)</f>
        <v/>
      </c>
      <c r="BC871">
        <f>IFERROR(INDEX(PP_Grid[#Data],$DD871,53),0)</f>
        <v/>
      </c>
      <c r="BD871">
        <f>IFERROR(INDEX(PP_Grid[#Data],$DD871,54),0)</f>
        <v/>
      </c>
      <c r="BE871">
        <f>IFERROR(INDEX(PP_Grid[#Data],$DD871,55),0)</f>
        <v/>
      </c>
      <c r="BF871">
        <f>IFERROR(INDEX(PP_Grid[#Data],$DD871,56),0)</f>
        <v/>
      </c>
      <c r="BG871">
        <f>IFERROR(INDEX(PP_Grid[#Data],$DD871,57),0)</f>
        <v/>
      </c>
      <c r="BH871">
        <f>IFERROR(INDEX(PP_Grid[#Data],$DD871,58),0)</f>
        <v/>
      </c>
      <c r="BI871">
        <f>IFERROR(INDEX(PP_Grid[#Data],$DD871,59),0)</f>
        <v/>
      </c>
      <c r="BJ871">
        <f>IFERROR(INDEX(PP_Grid[#Data],$DD871,60),0)</f>
        <v/>
      </c>
      <c r="BK871">
        <f>IFERROR(INDEX(PP_Grid[#Data],$DD871,61),0)</f>
        <v/>
      </c>
      <c r="BL871">
        <f>IFERROR(INDEX(PP_Grid[#Data],$DD871,62),0)</f>
        <v/>
      </c>
      <c r="BM871">
        <f>IFERROR(INDEX(PP_Grid[#Data],$DD871,63),0)</f>
        <v/>
      </c>
      <c r="BN871">
        <f>IFERROR(INDEX(PP_Grid[#Data],$DD871,64),0)</f>
        <v/>
      </c>
      <c r="BO871">
        <f>IFERROR(INDEX(PP_Grid[#Data],$DD871,65),0)</f>
        <v/>
      </c>
      <c r="BP871">
        <f>IFERROR(INDEX(PP_Grid[#Data],$DD871,66),0)</f>
        <v/>
      </c>
      <c r="BQ871">
        <f>IFERROR(INDEX(PP_Grid[#Data],$DD871,67),0)</f>
        <v/>
      </c>
      <c r="BR871">
        <f>IFERROR(INDEX(PP_Grid[#Data],$DD871,68),0)</f>
        <v/>
      </c>
      <c r="BS871">
        <f>IFERROR(INDEX(PP_Grid[#Data],$DD871,69),0)</f>
        <v/>
      </c>
      <c r="BT871">
        <f>IFERROR(INDEX(PP_Grid[#Data],$DD871,70),0)</f>
        <v/>
      </c>
      <c r="BU871">
        <f>IFERROR(INDEX(PP_Grid[#Data],$DD871,71),0)</f>
        <v/>
      </c>
      <c r="BV871">
        <f>IFERROR(INDEX(PP_Grid[#Data],$DD871,72),0)</f>
        <v/>
      </c>
      <c r="BW871">
        <f>IFERROR(INDEX(PP_Grid[#Data],$DD871,73),0)</f>
        <v/>
      </c>
      <c r="BX871">
        <f>IFERROR(INDEX(PP_Grid[#Data],$DD871,74),0)</f>
        <v/>
      </c>
      <c r="BY871">
        <f>IFERROR(INDEX(PP_Grid[#Data],$DD871,75),0)</f>
        <v/>
      </c>
      <c r="BZ871">
        <f>IFERROR(INDEX(PP_Grid[#Data],$DD871,76),0)</f>
        <v/>
      </c>
      <c r="CA871">
        <f>IFERROR(INDEX(PP_Grid[#Data],$DD871,77),0)</f>
        <v/>
      </c>
      <c r="CB871">
        <f>IFERROR(INDEX(PP_Grid[#Data],$DD871,78),0)</f>
        <v/>
      </c>
      <c r="CC871">
        <f>IFERROR(INDEX(PP_Grid[#Data],$DD871,79),0)</f>
        <v/>
      </c>
      <c r="CD871">
        <f>IFERROR(INDEX(PP_Grid[#Data],$DD871,80),0)</f>
        <v/>
      </c>
      <c r="CE871">
        <f>IFERROR(INDEX(PP_Grid[#Data],$DD871,81),0)</f>
        <v/>
      </c>
      <c r="CF871">
        <f>IFERROR(INDEX(PP_Grid[#Data],$DD871,82),0)</f>
        <v/>
      </c>
      <c r="CG871">
        <f>IFERROR(INDEX(PP_Grid[#Data],$DD871,83),0)</f>
        <v/>
      </c>
      <c r="CH871">
        <f>IFERROR(INDEX(PP_Grid[#Data],$DD871,84),0)</f>
        <v/>
      </c>
      <c r="CI871">
        <f>IFERROR(INDEX(PP_Grid[#Data],$DD871,85),0)</f>
        <v/>
      </c>
      <c r="CJ871">
        <f>IFERROR(INDEX(PP_Grid[#Data],$DD871,86),0)</f>
        <v/>
      </c>
      <c r="CK871">
        <f>IFERROR(INDEX(PP_Grid[#Data],$DD871,87),0)</f>
        <v/>
      </c>
      <c r="CL871">
        <f>IFERROR(INDEX(PP_Grid[#Data],$DD871,88),0)</f>
        <v/>
      </c>
      <c r="CM871">
        <f>IFERROR(INDEX(PP_Grid[#Data],$DD871,89),0)</f>
        <v/>
      </c>
      <c r="CN871">
        <f>IFERROR(INDEX(PP_Grid[#Data],$DD871,90),0)</f>
        <v/>
      </c>
      <c r="CO871">
        <f>IFERROR(INDEX(PP_Grid[#Data],$DD871,91),0)</f>
        <v/>
      </c>
      <c r="CP871">
        <f>IFERROR(INDEX(PP_Grid[#Data],$DD871,92),0)</f>
        <v/>
      </c>
      <c r="CQ871">
        <f>IFERROR(INDEX(PP_Grid[#Data],$DD871,93),0)</f>
        <v/>
      </c>
      <c r="CR871">
        <f>IFERROR(INDEX(PP_Grid[#Data],$DD871,94),0)</f>
        <v/>
      </c>
      <c r="CS871">
        <f>IFERROR(INDEX(PP_Grid[#Data],$DD871,95),0)</f>
        <v/>
      </c>
      <c r="CT871">
        <f>IFERROR(INDEX(PP_Grid[#Data],$DD871,96),0)</f>
        <v/>
      </c>
      <c r="CU871">
        <f>IFERROR(INDEX(PP_Grid[#Data],$DD871,97),0)</f>
        <v/>
      </c>
      <c r="CV871">
        <f>IFERROR(INDEX(PP_Grid[#Data],$DD871,98),0)</f>
        <v/>
      </c>
      <c r="CW871">
        <f>IFERROR(INDEX(PP_Grid[#Data],$DD871,99),0)</f>
        <v/>
      </c>
      <c r="CX871">
        <f>IFERROR(INDEX(PP_Grid[#Data],$DD871,100),0)</f>
        <v/>
      </c>
      <c r="CY871">
        <f>IFERROR(INDEX(PP_Grid[#Data],$DD871,101),0)</f>
        <v/>
      </c>
      <c r="CZ871">
        <f>IFERROR(INDEX(PP_Grid[#Data],$DD871,102),0)</f>
        <v/>
      </c>
      <c r="DA871">
        <f>IFERROR(INDEX(PP_Grid[#Data],$DD871,103),0)</f>
        <v/>
      </c>
      <c r="DB871">
        <f>IFERROR(INDEX(PP_Grid[#Data],$DD871,104),0)</f>
        <v/>
      </c>
      <c r="DC871">
        <f>IFERROR(INDEX(PP_Grid[#Data],$DD871,105),0)</f>
        <v/>
      </c>
      <c r="DD871" s="12">
        <f>IFERROR(MATCH($B871,PP_Grid[Intermediate],0),99999)</f>
        <v/>
      </c>
    </row>
    <row r="872">
      <c r="B872" t="inlineStr">
        <is>
          <t>使用量(kg)</t>
        </is>
      </c>
      <c r="C872">
        <f>SUMIFS(M_BOM[RM_Qty_Per_Batch],M_BOM[Intermediate],$B871,M_BOM[Part Name],$A862)</f>
        <v/>
      </c>
      <c r="D872">
        <f>$C872*D871</f>
        <v/>
      </c>
      <c r="E872">
        <f>$C872*E871</f>
        <v/>
      </c>
      <c r="F872">
        <f>$C872*F871</f>
        <v/>
      </c>
      <c r="G872">
        <f>$C872*G871</f>
        <v/>
      </c>
      <c r="H872">
        <f>$C872*H871</f>
        <v/>
      </c>
      <c r="I872">
        <f>$C872*I871</f>
        <v/>
      </c>
      <c r="J872">
        <f>$C872*J871</f>
        <v/>
      </c>
      <c r="K872">
        <f>$C872*K871</f>
        <v/>
      </c>
      <c r="L872">
        <f>$C872*L871</f>
        <v/>
      </c>
      <c r="M872">
        <f>$C872*M871</f>
        <v/>
      </c>
      <c r="N872">
        <f>$C872*N871</f>
        <v/>
      </c>
      <c r="O872">
        <f>$C872*O871</f>
        <v/>
      </c>
      <c r="P872">
        <f>$C872*P871</f>
        <v/>
      </c>
      <c r="Q872">
        <f>$C872*Q871</f>
        <v/>
      </c>
      <c r="R872">
        <f>$C872*R871</f>
        <v/>
      </c>
      <c r="S872">
        <f>$C872*S871</f>
        <v/>
      </c>
      <c r="T872">
        <f>$C872*T871</f>
        <v/>
      </c>
      <c r="U872">
        <f>$C872*U871</f>
        <v/>
      </c>
      <c r="V872">
        <f>$C872*V871</f>
        <v/>
      </c>
      <c r="W872">
        <f>$C872*W871</f>
        <v/>
      </c>
      <c r="X872">
        <f>$C872*X871</f>
        <v/>
      </c>
      <c r="Y872">
        <f>$C872*Y871</f>
        <v/>
      </c>
      <c r="Z872">
        <f>$C872*Z871</f>
        <v/>
      </c>
      <c r="AA872">
        <f>$C872*AA871</f>
        <v/>
      </c>
      <c r="AB872">
        <f>$C872*AB871</f>
        <v/>
      </c>
      <c r="AC872">
        <f>$C872*AC871</f>
        <v/>
      </c>
      <c r="AD872">
        <f>$C872*AD871</f>
        <v/>
      </c>
      <c r="AE872">
        <f>$C872*AE871</f>
        <v/>
      </c>
      <c r="AF872">
        <f>$C872*AF871</f>
        <v/>
      </c>
      <c r="AG872">
        <f>$C872*AG871</f>
        <v/>
      </c>
      <c r="AH872">
        <f>$C872*AH871</f>
        <v/>
      </c>
      <c r="AI872">
        <f>$C872*AI871</f>
        <v/>
      </c>
      <c r="AJ872">
        <f>$C872*AJ871</f>
        <v/>
      </c>
      <c r="AK872">
        <f>$C872*AK871</f>
        <v/>
      </c>
      <c r="AL872">
        <f>$C872*AL871</f>
        <v/>
      </c>
      <c r="AM872">
        <f>$C872*AM871</f>
        <v/>
      </c>
      <c r="AN872">
        <f>$C872*AN871</f>
        <v/>
      </c>
      <c r="AO872">
        <f>$C872*AO871</f>
        <v/>
      </c>
      <c r="AP872">
        <f>$C872*AP871</f>
        <v/>
      </c>
      <c r="AQ872">
        <f>$C872*AQ871</f>
        <v/>
      </c>
      <c r="AR872">
        <f>$C872*AR871</f>
        <v/>
      </c>
      <c r="AS872">
        <f>$C872*AS871</f>
        <v/>
      </c>
      <c r="AT872">
        <f>$C872*AT871</f>
        <v/>
      </c>
      <c r="AU872">
        <f>$C872*AU871</f>
        <v/>
      </c>
      <c r="AV872">
        <f>$C872*AV871</f>
        <v/>
      </c>
      <c r="AW872">
        <f>$C872*AW871</f>
        <v/>
      </c>
      <c r="AX872">
        <f>$C872*AX871</f>
        <v/>
      </c>
      <c r="AY872">
        <f>$C872*AY871</f>
        <v/>
      </c>
      <c r="AZ872">
        <f>$C872*AZ871</f>
        <v/>
      </c>
      <c r="BA872">
        <f>$C872*BA871</f>
        <v/>
      </c>
      <c r="BB872">
        <f>$C872*BB871</f>
        <v/>
      </c>
      <c r="BC872">
        <f>$C872*BC871</f>
        <v/>
      </c>
      <c r="BD872">
        <f>$C872*BD871</f>
        <v/>
      </c>
      <c r="BE872">
        <f>$C872*BE871</f>
        <v/>
      </c>
      <c r="BF872">
        <f>$C872*BF871</f>
        <v/>
      </c>
      <c r="BG872">
        <f>$C872*BG871</f>
        <v/>
      </c>
      <c r="BH872">
        <f>$C872*BH871</f>
        <v/>
      </c>
      <c r="BI872">
        <f>$C872*BI871</f>
        <v/>
      </c>
      <c r="BJ872">
        <f>$C872*BJ871</f>
        <v/>
      </c>
      <c r="BK872">
        <f>$C872*BK871</f>
        <v/>
      </c>
      <c r="BL872">
        <f>$C872*BL871</f>
        <v/>
      </c>
      <c r="BM872">
        <f>$C872*BM871</f>
        <v/>
      </c>
      <c r="BN872">
        <f>$C872*BN871</f>
        <v/>
      </c>
      <c r="BO872">
        <f>$C872*BO871</f>
        <v/>
      </c>
      <c r="BP872">
        <f>$C872*BP871</f>
        <v/>
      </c>
      <c r="BQ872">
        <f>$C872*BQ871</f>
        <v/>
      </c>
      <c r="BR872">
        <f>$C872*BR871</f>
        <v/>
      </c>
      <c r="BS872">
        <f>$C872*BS871</f>
        <v/>
      </c>
      <c r="BT872">
        <f>$C872*BT871</f>
        <v/>
      </c>
      <c r="BU872">
        <f>$C872*BU871</f>
        <v/>
      </c>
      <c r="BV872">
        <f>$C872*BV871</f>
        <v/>
      </c>
      <c r="BW872">
        <f>$C872*BW871</f>
        <v/>
      </c>
      <c r="BX872">
        <f>$C872*BX871</f>
        <v/>
      </c>
      <c r="BY872">
        <f>$C872*BY871</f>
        <v/>
      </c>
      <c r="BZ872">
        <f>$C872*BZ871</f>
        <v/>
      </c>
      <c r="CA872">
        <f>$C872*CA871</f>
        <v/>
      </c>
      <c r="CB872">
        <f>$C872*CB871</f>
        <v/>
      </c>
      <c r="CC872">
        <f>$C872*CC871</f>
        <v/>
      </c>
      <c r="CD872">
        <f>$C872*CD871</f>
        <v/>
      </c>
      <c r="CE872">
        <f>$C872*CE871</f>
        <v/>
      </c>
      <c r="CF872">
        <f>$C872*CF871</f>
        <v/>
      </c>
      <c r="CG872">
        <f>$C872*CG871</f>
        <v/>
      </c>
      <c r="CH872">
        <f>$C872*CH871</f>
        <v/>
      </c>
      <c r="CI872">
        <f>$C872*CI871</f>
        <v/>
      </c>
      <c r="CJ872">
        <f>$C872*CJ871</f>
        <v/>
      </c>
      <c r="CK872">
        <f>$C872*CK871</f>
        <v/>
      </c>
      <c r="CL872">
        <f>$C872*CL871</f>
        <v/>
      </c>
      <c r="CM872">
        <f>$C872*CM871</f>
        <v/>
      </c>
      <c r="CN872">
        <f>$C872*CN871</f>
        <v/>
      </c>
      <c r="CO872">
        <f>$C872*CO871</f>
        <v/>
      </c>
      <c r="CP872">
        <f>$C872*CP871</f>
        <v/>
      </c>
      <c r="CQ872">
        <f>$C872*CQ871</f>
        <v/>
      </c>
      <c r="CR872">
        <f>$C872*CR871</f>
        <v/>
      </c>
      <c r="CS872">
        <f>$C872*CS871</f>
        <v/>
      </c>
      <c r="CT872">
        <f>$C872*CT871</f>
        <v/>
      </c>
      <c r="CU872">
        <f>$C872*CU871</f>
        <v/>
      </c>
      <c r="CV872">
        <f>$C872*CV871</f>
        <v/>
      </c>
      <c r="CW872">
        <f>$C872*CW871</f>
        <v/>
      </c>
      <c r="CX872">
        <f>$C872*CX871</f>
        <v/>
      </c>
      <c r="CY872">
        <f>$C872*CY871</f>
        <v/>
      </c>
      <c r="CZ872">
        <f>$C872*CZ871</f>
        <v/>
      </c>
      <c r="DA872">
        <f>$C872*DA871</f>
        <v/>
      </c>
      <c r="DB872">
        <f>$C872*DB871</f>
        <v/>
      </c>
      <c r="DC872">
        <f>$C872*DC871</f>
        <v/>
      </c>
    </row>
    <row r="873">
      <c r="B873" t="inlineStr">
        <is>
          <t>TSP-1448</t>
        </is>
      </c>
      <c r="C873" t="inlineStr">
        <is>
          <t>No. of batches</t>
        </is>
      </c>
      <c r="D873">
        <f>IFERROR(INDEX(PP_Grid[#Data],$DD873,2),0)</f>
        <v/>
      </c>
      <c r="E873">
        <f>IFERROR(INDEX(PP_Grid[#Data],$DD873,3),0)</f>
        <v/>
      </c>
      <c r="F873">
        <f>IFERROR(INDEX(PP_Grid[#Data],$DD873,4),0)</f>
        <v/>
      </c>
      <c r="G873">
        <f>IFERROR(INDEX(PP_Grid[#Data],$DD873,5),0)</f>
        <v/>
      </c>
      <c r="H873">
        <f>IFERROR(INDEX(PP_Grid[#Data],$DD873,6),0)</f>
        <v/>
      </c>
      <c r="I873">
        <f>IFERROR(INDEX(PP_Grid[#Data],$DD873,7),0)</f>
        <v/>
      </c>
      <c r="J873">
        <f>IFERROR(INDEX(PP_Grid[#Data],$DD873,8),0)</f>
        <v/>
      </c>
      <c r="K873">
        <f>IFERROR(INDEX(PP_Grid[#Data],$DD873,9),0)</f>
        <v/>
      </c>
      <c r="L873">
        <f>IFERROR(INDEX(PP_Grid[#Data],$DD873,10),0)</f>
        <v/>
      </c>
      <c r="M873">
        <f>IFERROR(INDEX(PP_Grid[#Data],$DD873,11),0)</f>
        <v/>
      </c>
      <c r="N873">
        <f>IFERROR(INDEX(PP_Grid[#Data],$DD873,12),0)</f>
        <v/>
      </c>
      <c r="O873">
        <f>IFERROR(INDEX(PP_Grid[#Data],$DD873,13),0)</f>
        <v/>
      </c>
      <c r="P873">
        <f>IFERROR(INDEX(PP_Grid[#Data],$DD873,14),0)</f>
        <v/>
      </c>
      <c r="Q873">
        <f>IFERROR(INDEX(PP_Grid[#Data],$DD873,15),0)</f>
        <v/>
      </c>
      <c r="R873">
        <f>IFERROR(INDEX(PP_Grid[#Data],$DD873,16),0)</f>
        <v/>
      </c>
      <c r="S873">
        <f>IFERROR(INDEX(PP_Grid[#Data],$DD873,17),0)</f>
        <v/>
      </c>
      <c r="T873">
        <f>IFERROR(INDEX(PP_Grid[#Data],$DD873,18),0)</f>
        <v/>
      </c>
      <c r="U873">
        <f>IFERROR(INDEX(PP_Grid[#Data],$DD873,19),0)</f>
        <v/>
      </c>
      <c r="V873">
        <f>IFERROR(INDEX(PP_Grid[#Data],$DD873,20),0)</f>
        <v/>
      </c>
      <c r="W873">
        <f>IFERROR(INDEX(PP_Grid[#Data],$DD873,21),0)</f>
        <v/>
      </c>
      <c r="X873">
        <f>IFERROR(INDEX(PP_Grid[#Data],$DD873,22),0)</f>
        <v/>
      </c>
      <c r="Y873">
        <f>IFERROR(INDEX(PP_Grid[#Data],$DD873,23),0)</f>
        <v/>
      </c>
      <c r="Z873">
        <f>IFERROR(INDEX(PP_Grid[#Data],$DD873,24),0)</f>
        <v/>
      </c>
      <c r="AA873">
        <f>IFERROR(INDEX(PP_Grid[#Data],$DD873,25),0)</f>
        <v/>
      </c>
      <c r="AB873">
        <f>IFERROR(INDEX(PP_Grid[#Data],$DD873,26),0)</f>
        <v/>
      </c>
      <c r="AC873">
        <f>IFERROR(INDEX(PP_Grid[#Data],$DD873,27),0)</f>
        <v/>
      </c>
      <c r="AD873">
        <f>IFERROR(INDEX(PP_Grid[#Data],$DD873,28),0)</f>
        <v/>
      </c>
      <c r="AE873">
        <f>IFERROR(INDEX(PP_Grid[#Data],$DD873,29),0)</f>
        <v/>
      </c>
      <c r="AF873">
        <f>IFERROR(INDEX(PP_Grid[#Data],$DD873,30),0)</f>
        <v/>
      </c>
      <c r="AG873">
        <f>IFERROR(INDEX(PP_Grid[#Data],$DD873,31),0)</f>
        <v/>
      </c>
      <c r="AH873">
        <f>IFERROR(INDEX(PP_Grid[#Data],$DD873,32),0)</f>
        <v/>
      </c>
      <c r="AI873">
        <f>IFERROR(INDEX(PP_Grid[#Data],$DD873,33),0)</f>
        <v/>
      </c>
      <c r="AJ873">
        <f>IFERROR(INDEX(PP_Grid[#Data],$DD873,34),0)</f>
        <v/>
      </c>
      <c r="AK873">
        <f>IFERROR(INDEX(PP_Grid[#Data],$DD873,35),0)</f>
        <v/>
      </c>
      <c r="AL873">
        <f>IFERROR(INDEX(PP_Grid[#Data],$DD873,36),0)</f>
        <v/>
      </c>
      <c r="AM873">
        <f>IFERROR(INDEX(PP_Grid[#Data],$DD873,37),0)</f>
        <v/>
      </c>
      <c r="AN873">
        <f>IFERROR(INDEX(PP_Grid[#Data],$DD873,38),0)</f>
        <v/>
      </c>
      <c r="AO873">
        <f>IFERROR(INDEX(PP_Grid[#Data],$DD873,39),0)</f>
        <v/>
      </c>
      <c r="AP873">
        <f>IFERROR(INDEX(PP_Grid[#Data],$DD873,40),0)</f>
        <v/>
      </c>
      <c r="AQ873">
        <f>IFERROR(INDEX(PP_Grid[#Data],$DD873,41),0)</f>
        <v/>
      </c>
      <c r="AR873">
        <f>IFERROR(INDEX(PP_Grid[#Data],$DD873,42),0)</f>
        <v/>
      </c>
      <c r="AS873">
        <f>IFERROR(INDEX(PP_Grid[#Data],$DD873,43),0)</f>
        <v/>
      </c>
      <c r="AT873">
        <f>IFERROR(INDEX(PP_Grid[#Data],$DD873,44),0)</f>
        <v/>
      </c>
      <c r="AU873">
        <f>IFERROR(INDEX(PP_Grid[#Data],$DD873,45),0)</f>
        <v/>
      </c>
      <c r="AV873">
        <f>IFERROR(INDEX(PP_Grid[#Data],$DD873,46),0)</f>
        <v/>
      </c>
      <c r="AW873">
        <f>IFERROR(INDEX(PP_Grid[#Data],$DD873,47),0)</f>
        <v/>
      </c>
      <c r="AX873">
        <f>IFERROR(INDEX(PP_Grid[#Data],$DD873,48),0)</f>
        <v/>
      </c>
      <c r="AY873">
        <f>IFERROR(INDEX(PP_Grid[#Data],$DD873,49),0)</f>
        <v/>
      </c>
      <c r="AZ873">
        <f>IFERROR(INDEX(PP_Grid[#Data],$DD873,50),0)</f>
        <v/>
      </c>
      <c r="BA873">
        <f>IFERROR(INDEX(PP_Grid[#Data],$DD873,51),0)</f>
        <v/>
      </c>
      <c r="BB873">
        <f>IFERROR(INDEX(PP_Grid[#Data],$DD873,52),0)</f>
        <v/>
      </c>
      <c r="BC873">
        <f>IFERROR(INDEX(PP_Grid[#Data],$DD873,53),0)</f>
        <v/>
      </c>
      <c r="BD873">
        <f>IFERROR(INDEX(PP_Grid[#Data],$DD873,54),0)</f>
        <v/>
      </c>
      <c r="BE873">
        <f>IFERROR(INDEX(PP_Grid[#Data],$DD873,55),0)</f>
        <v/>
      </c>
      <c r="BF873">
        <f>IFERROR(INDEX(PP_Grid[#Data],$DD873,56),0)</f>
        <v/>
      </c>
      <c r="BG873">
        <f>IFERROR(INDEX(PP_Grid[#Data],$DD873,57),0)</f>
        <v/>
      </c>
      <c r="BH873">
        <f>IFERROR(INDEX(PP_Grid[#Data],$DD873,58),0)</f>
        <v/>
      </c>
      <c r="BI873">
        <f>IFERROR(INDEX(PP_Grid[#Data],$DD873,59),0)</f>
        <v/>
      </c>
      <c r="BJ873">
        <f>IFERROR(INDEX(PP_Grid[#Data],$DD873,60),0)</f>
        <v/>
      </c>
      <c r="BK873">
        <f>IFERROR(INDEX(PP_Grid[#Data],$DD873,61),0)</f>
        <v/>
      </c>
      <c r="BL873">
        <f>IFERROR(INDEX(PP_Grid[#Data],$DD873,62),0)</f>
        <v/>
      </c>
      <c r="BM873">
        <f>IFERROR(INDEX(PP_Grid[#Data],$DD873,63),0)</f>
        <v/>
      </c>
      <c r="BN873">
        <f>IFERROR(INDEX(PP_Grid[#Data],$DD873,64),0)</f>
        <v/>
      </c>
      <c r="BO873">
        <f>IFERROR(INDEX(PP_Grid[#Data],$DD873,65),0)</f>
        <v/>
      </c>
      <c r="BP873">
        <f>IFERROR(INDEX(PP_Grid[#Data],$DD873,66),0)</f>
        <v/>
      </c>
      <c r="BQ873">
        <f>IFERROR(INDEX(PP_Grid[#Data],$DD873,67),0)</f>
        <v/>
      </c>
      <c r="BR873">
        <f>IFERROR(INDEX(PP_Grid[#Data],$DD873,68),0)</f>
        <v/>
      </c>
      <c r="BS873">
        <f>IFERROR(INDEX(PP_Grid[#Data],$DD873,69),0)</f>
        <v/>
      </c>
      <c r="BT873">
        <f>IFERROR(INDEX(PP_Grid[#Data],$DD873,70),0)</f>
        <v/>
      </c>
      <c r="BU873">
        <f>IFERROR(INDEX(PP_Grid[#Data],$DD873,71),0)</f>
        <v/>
      </c>
      <c r="BV873">
        <f>IFERROR(INDEX(PP_Grid[#Data],$DD873,72),0)</f>
        <v/>
      </c>
      <c r="BW873">
        <f>IFERROR(INDEX(PP_Grid[#Data],$DD873,73),0)</f>
        <v/>
      </c>
      <c r="BX873">
        <f>IFERROR(INDEX(PP_Grid[#Data],$DD873,74),0)</f>
        <v/>
      </c>
      <c r="BY873">
        <f>IFERROR(INDEX(PP_Grid[#Data],$DD873,75),0)</f>
        <v/>
      </c>
      <c r="BZ873">
        <f>IFERROR(INDEX(PP_Grid[#Data],$DD873,76),0)</f>
        <v/>
      </c>
      <c r="CA873">
        <f>IFERROR(INDEX(PP_Grid[#Data],$DD873,77),0)</f>
        <v/>
      </c>
      <c r="CB873">
        <f>IFERROR(INDEX(PP_Grid[#Data],$DD873,78),0)</f>
        <v/>
      </c>
      <c r="CC873">
        <f>IFERROR(INDEX(PP_Grid[#Data],$DD873,79),0)</f>
        <v/>
      </c>
      <c r="CD873">
        <f>IFERROR(INDEX(PP_Grid[#Data],$DD873,80),0)</f>
        <v/>
      </c>
      <c r="CE873">
        <f>IFERROR(INDEX(PP_Grid[#Data],$DD873,81),0)</f>
        <v/>
      </c>
      <c r="CF873">
        <f>IFERROR(INDEX(PP_Grid[#Data],$DD873,82),0)</f>
        <v/>
      </c>
      <c r="CG873">
        <f>IFERROR(INDEX(PP_Grid[#Data],$DD873,83),0)</f>
        <v/>
      </c>
      <c r="CH873">
        <f>IFERROR(INDEX(PP_Grid[#Data],$DD873,84),0)</f>
        <v/>
      </c>
      <c r="CI873">
        <f>IFERROR(INDEX(PP_Grid[#Data],$DD873,85),0)</f>
        <v/>
      </c>
      <c r="CJ873">
        <f>IFERROR(INDEX(PP_Grid[#Data],$DD873,86),0)</f>
        <v/>
      </c>
      <c r="CK873">
        <f>IFERROR(INDEX(PP_Grid[#Data],$DD873,87),0)</f>
        <v/>
      </c>
      <c r="CL873">
        <f>IFERROR(INDEX(PP_Grid[#Data],$DD873,88),0)</f>
        <v/>
      </c>
      <c r="CM873">
        <f>IFERROR(INDEX(PP_Grid[#Data],$DD873,89),0)</f>
        <v/>
      </c>
      <c r="CN873">
        <f>IFERROR(INDEX(PP_Grid[#Data],$DD873,90),0)</f>
        <v/>
      </c>
      <c r="CO873">
        <f>IFERROR(INDEX(PP_Grid[#Data],$DD873,91),0)</f>
        <v/>
      </c>
      <c r="CP873">
        <f>IFERROR(INDEX(PP_Grid[#Data],$DD873,92),0)</f>
        <v/>
      </c>
      <c r="CQ873">
        <f>IFERROR(INDEX(PP_Grid[#Data],$DD873,93),0)</f>
        <v/>
      </c>
      <c r="CR873">
        <f>IFERROR(INDEX(PP_Grid[#Data],$DD873,94),0)</f>
        <v/>
      </c>
      <c r="CS873">
        <f>IFERROR(INDEX(PP_Grid[#Data],$DD873,95),0)</f>
        <v/>
      </c>
      <c r="CT873">
        <f>IFERROR(INDEX(PP_Grid[#Data],$DD873,96),0)</f>
        <v/>
      </c>
      <c r="CU873">
        <f>IFERROR(INDEX(PP_Grid[#Data],$DD873,97),0)</f>
        <v/>
      </c>
      <c r="CV873">
        <f>IFERROR(INDEX(PP_Grid[#Data],$DD873,98),0)</f>
        <v/>
      </c>
      <c r="CW873">
        <f>IFERROR(INDEX(PP_Grid[#Data],$DD873,99),0)</f>
        <v/>
      </c>
      <c r="CX873">
        <f>IFERROR(INDEX(PP_Grid[#Data],$DD873,100),0)</f>
        <v/>
      </c>
      <c r="CY873">
        <f>IFERROR(INDEX(PP_Grid[#Data],$DD873,101),0)</f>
        <v/>
      </c>
      <c r="CZ873">
        <f>IFERROR(INDEX(PP_Grid[#Data],$DD873,102),0)</f>
        <v/>
      </c>
      <c r="DA873">
        <f>IFERROR(INDEX(PP_Grid[#Data],$DD873,103),0)</f>
        <v/>
      </c>
      <c r="DB873">
        <f>IFERROR(INDEX(PP_Grid[#Data],$DD873,104),0)</f>
        <v/>
      </c>
      <c r="DC873">
        <f>IFERROR(INDEX(PP_Grid[#Data],$DD873,105),0)</f>
        <v/>
      </c>
      <c r="DD873" s="12">
        <f>IFERROR(MATCH($B873,PP_Grid[Intermediate],0),99999)</f>
        <v/>
      </c>
    </row>
    <row r="874">
      <c r="B874" t="inlineStr">
        <is>
          <t>使用量(kg)</t>
        </is>
      </c>
      <c r="C874">
        <f>SUMIFS(M_BOM[RM_Qty_Per_Batch],M_BOM[Intermediate],$B873,M_BOM[Part Name],$A862)</f>
        <v/>
      </c>
      <c r="D874">
        <f>$C874*D873</f>
        <v/>
      </c>
      <c r="E874">
        <f>$C874*E873</f>
        <v/>
      </c>
      <c r="F874">
        <f>$C874*F873</f>
        <v/>
      </c>
      <c r="G874">
        <f>$C874*G873</f>
        <v/>
      </c>
      <c r="H874">
        <f>$C874*H873</f>
        <v/>
      </c>
      <c r="I874">
        <f>$C874*I873</f>
        <v/>
      </c>
      <c r="J874">
        <f>$C874*J873</f>
        <v/>
      </c>
      <c r="K874">
        <f>$C874*K873</f>
        <v/>
      </c>
      <c r="L874">
        <f>$C874*L873</f>
        <v/>
      </c>
      <c r="M874">
        <f>$C874*M873</f>
        <v/>
      </c>
      <c r="N874">
        <f>$C874*N873</f>
        <v/>
      </c>
      <c r="O874">
        <f>$C874*O873</f>
        <v/>
      </c>
      <c r="P874">
        <f>$C874*P873</f>
        <v/>
      </c>
      <c r="Q874">
        <f>$C874*Q873</f>
        <v/>
      </c>
      <c r="R874">
        <f>$C874*R873</f>
        <v/>
      </c>
      <c r="S874">
        <f>$C874*S873</f>
        <v/>
      </c>
      <c r="T874">
        <f>$C874*T873</f>
        <v/>
      </c>
      <c r="U874">
        <f>$C874*U873</f>
        <v/>
      </c>
      <c r="V874">
        <f>$C874*V873</f>
        <v/>
      </c>
      <c r="W874">
        <f>$C874*W873</f>
        <v/>
      </c>
      <c r="X874">
        <f>$C874*X873</f>
        <v/>
      </c>
      <c r="Y874">
        <f>$C874*Y873</f>
        <v/>
      </c>
      <c r="Z874">
        <f>$C874*Z873</f>
        <v/>
      </c>
      <c r="AA874">
        <f>$C874*AA873</f>
        <v/>
      </c>
      <c r="AB874">
        <f>$C874*AB873</f>
        <v/>
      </c>
      <c r="AC874">
        <f>$C874*AC873</f>
        <v/>
      </c>
      <c r="AD874">
        <f>$C874*AD873</f>
        <v/>
      </c>
      <c r="AE874">
        <f>$C874*AE873</f>
        <v/>
      </c>
      <c r="AF874">
        <f>$C874*AF873</f>
        <v/>
      </c>
      <c r="AG874">
        <f>$C874*AG873</f>
        <v/>
      </c>
      <c r="AH874">
        <f>$C874*AH873</f>
        <v/>
      </c>
      <c r="AI874">
        <f>$C874*AI873</f>
        <v/>
      </c>
      <c r="AJ874">
        <f>$C874*AJ873</f>
        <v/>
      </c>
      <c r="AK874">
        <f>$C874*AK873</f>
        <v/>
      </c>
      <c r="AL874">
        <f>$C874*AL873</f>
        <v/>
      </c>
      <c r="AM874">
        <f>$C874*AM873</f>
        <v/>
      </c>
      <c r="AN874">
        <f>$C874*AN873</f>
        <v/>
      </c>
      <c r="AO874">
        <f>$C874*AO873</f>
        <v/>
      </c>
      <c r="AP874">
        <f>$C874*AP873</f>
        <v/>
      </c>
      <c r="AQ874">
        <f>$C874*AQ873</f>
        <v/>
      </c>
      <c r="AR874">
        <f>$C874*AR873</f>
        <v/>
      </c>
      <c r="AS874">
        <f>$C874*AS873</f>
        <v/>
      </c>
      <c r="AT874">
        <f>$C874*AT873</f>
        <v/>
      </c>
      <c r="AU874">
        <f>$C874*AU873</f>
        <v/>
      </c>
      <c r="AV874">
        <f>$C874*AV873</f>
        <v/>
      </c>
      <c r="AW874">
        <f>$C874*AW873</f>
        <v/>
      </c>
      <c r="AX874">
        <f>$C874*AX873</f>
        <v/>
      </c>
      <c r="AY874">
        <f>$C874*AY873</f>
        <v/>
      </c>
      <c r="AZ874">
        <f>$C874*AZ873</f>
        <v/>
      </c>
      <c r="BA874">
        <f>$C874*BA873</f>
        <v/>
      </c>
      <c r="BB874">
        <f>$C874*BB873</f>
        <v/>
      </c>
      <c r="BC874">
        <f>$C874*BC873</f>
        <v/>
      </c>
      <c r="BD874">
        <f>$C874*BD873</f>
        <v/>
      </c>
      <c r="BE874">
        <f>$C874*BE873</f>
        <v/>
      </c>
      <c r="BF874">
        <f>$C874*BF873</f>
        <v/>
      </c>
      <c r="BG874">
        <f>$C874*BG873</f>
        <v/>
      </c>
      <c r="BH874">
        <f>$C874*BH873</f>
        <v/>
      </c>
      <c r="BI874">
        <f>$C874*BI873</f>
        <v/>
      </c>
      <c r="BJ874">
        <f>$C874*BJ873</f>
        <v/>
      </c>
      <c r="BK874">
        <f>$C874*BK873</f>
        <v/>
      </c>
      <c r="BL874">
        <f>$C874*BL873</f>
        <v/>
      </c>
      <c r="BM874">
        <f>$C874*BM873</f>
        <v/>
      </c>
      <c r="BN874">
        <f>$C874*BN873</f>
        <v/>
      </c>
      <c r="BO874">
        <f>$C874*BO873</f>
        <v/>
      </c>
      <c r="BP874">
        <f>$C874*BP873</f>
        <v/>
      </c>
      <c r="BQ874">
        <f>$C874*BQ873</f>
        <v/>
      </c>
      <c r="BR874">
        <f>$C874*BR873</f>
        <v/>
      </c>
      <c r="BS874">
        <f>$C874*BS873</f>
        <v/>
      </c>
      <c r="BT874">
        <f>$C874*BT873</f>
        <v/>
      </c>
      <c r="BU874">
        <f>$C874*BU873</f>
        <v/>
      </c>
      <c r="BV874">
        <f>$C874*BV873</f>
        <v/>
      </c>
      <c r="BW874">
        <f>$C874*BW873</f>
        <v/>
      </c>
      <c r="BX874">
        <f>$C874*BX873</f>
        <v/>
      </c>
      <c r="BY874">
        <f>$C874*BY873</f>
        <v/>
      </c>
      <c r="BZ874">
        <f>$C874*BZ873</f>
        <v/>
      </c>
      <c r="CA874">
        <f>$C874*CA873</f>
        <v/>
      </c>
      <c r="CB874">
        <f>$C874*CB873</f>
        <v/>
      </c>
      <c r="CC874">
        <f>$C874*CC873</f>
        <v/>
      </c>
      <c r="CD874">
        <f>$C874*CD873</f>
        <v/>
      </c>
      <c r="CE874">
        <f>$C874*CE873</f>
        <v/>
      </c>
      <c r="CF874">
        <f>$C874*CF873</f>
        <v/>
      </c>
      <c r="CG874">
        <f>$C874*CG873</f>
        <v/>
      </c>
      <c r="CH874">
        <f>$C874*CH873</f>
        <v/>
      </c>
      <c r="CI874">
        <f>$C874*CI873</f>
        <v/>
      </c>
      <c r="CJ874">
        <f>$C874*CJ873</f>
        <v/>
      </c>
      <c r="CK874">
        <f>$C874*CK873</f>
        <v/>
      </c>
      <c r="CL874">
        <f>$C874*CL873</f>
        <v/>
      </c>
      <c r="CM874">
        <f>$C874*CM873</f>
        <v/>
      </c>
      <c r="CN874">
        <f>$C874*CN873</f>
        <v/>
      </c>
      <c r="CO874">
        <f>$C874*CO873</f>
        <v/>
      </c>
      <c r="CP874">
        <f>$C874*CP873</f>
        <v/>
      </c>
      <c r="CQ874">
        <f>$C874*CQ873</f>
        <v/>
      </c>
      <c r="CR874">
        <f>$C874*CR873</f>
        <v/>
      </c>
      <c r="CS874">
        <f>$C874*CS873</f>
        <v/>
      </c>
      <c r="CT874">
        <f>$C874*CT873</f>
        <v/>
      </c>
      <c r="CU874">
        <f>$C874*CU873</f>
        <v/>
      </c>
      <c r="CV874">
        <f>$C874*CV873</f>
        <v/>
      </c>
      <c r="CW874">
        <f>$C874*CW873</f>
        <v/>
      </c>
      <c r="CX874">
        <f>$C874*CX873</f>
        <v/>
      </c>
      <c r="CY874">
        <f>$C874*CY873</f>
        <v/>
      </c>
      <c r="CZ874">
        <f>$C874*CZ873</f>
        <v/>
      </c>
      <c r="DA874">
        <f>$C874*DA873</f>
        <v/>
      </c>
      <c r="DB874">
        <f>$C874*DB873</f>
        <v/>
      </c>
      <c r="DC874">
        <f>$C874*DC873</f>
        <v/>
      </c>
    </row>
    <row r="875">
      <c r="B875" t="inlineStr">
        <is>
          <t>TSP-1449</t>
        </is>
      </c>
      <c r="C875" t="inlineStr">
        <is>
          <t>No. of batches</t>
        </is>
      </c>
      <c r="D875">
        <f>IFERROR(INDEX(PP_Grid[#Data],$DD875,2),0)</f>
        <v/>
      </c>
      <c r="E875">
        <f>IFERROR(INDEX(PP_Grid[#Data],$DD875,3),0)</f>
        <v/>
      </c>
      <c r="F875">
        <f>IFERROR(INDEX(PP_Grid[#Data],$DD875,4),0)</f>
        <v/>
      </c>
      <c r="G875">
        <f>IFERROR(INDEX(PP_Grid[#Data],$DD875,5),0)</f>
        <v/>
      </c>
      <c r="H875">
        <f>IFERROR(INDEX(PP_Grid[#Data],$DD875,6),0)</f>
        <v/>
      </c>
      <c r="I875">
        <f>IFERROR(INDEX(PP_Grid[#Data],$DD875,7),0)</f>
        <v/>
      </c>
      <c r="J875">
        <f>IFERROR(INDEX(PP_Grid[#Data],$DD875,8),0)</f>
        <v/>
      </c>
      <c r="K875">
        <f>IFERROR(INDEX(PP_Grid[#Data],$DD875,9),0)</f>
        <v/>
      </c>
      <c r="L875">
        <f>IFERROR(INDEX(PP_Grid[#Data],$DD875,10),0)</f>
        <v/>
      </c>
      <c r="M875">
        <f>IFERROR(INDEX(PP_Grid[#Data],$DD875,11),0)</f>
        <v/>
      </c>
      <c r="N875">
        <f>IFERROR(INDEX(PP_Grid[#Data],$DD875,12),0)</f>
        <v/>
      </c>
      <c r="O875">
        <f>IFERROR(INDEX(PP_Grid[#Data],$DD875,13),0)</f>
        <v/>
      </c>
      <c r="P875">
        <f>IFERROR(INDEX(PP_Grid[#Data],$DD875,14),0)</f>
        <v/>
      </c>
      <c r="Q875">
        <f>IFERROR(INDEX(PP_Grid[#Data],$DD875,15),0)</f>
        <v/>
      </c>
      <c r="R875">
        <f>IFERROR(INDEX(PP_Grid[#Data],$DD875,16),0)</f>
        <v/>
      </c>
      <c r="S875">
        <f>IFERROR(INDEX(PP_Grid[#Data],$DD875,17),0)</f>
        <v/>
      </c>
      <c r="T875">
        <f>IFERROR(INDEX(PP_Grid[#Data],$DD875,18),0)</f>
        <v/>
      </c>
      <c r="U875">
        <f>IFERROR(INDEX(PP_Grid[#Data],$DD875,19),0)</f>
        <v/>
      </c>
      <c r="V875">
        <f>IFERROR(INDEX(PP_Grid[#Data],$DD875,20),0)</f>
        <v/>
      </c>
      <c r="W875">
        <f>IFERROR(INDEX(PP_Grid[#Data],$DD875,21),0)</f>
        <v/>
      </c>
      <c r="X875">
        <f>IFERROR(INDEX(PP_Grid[#Data],$DD875,22),0)</f>
        <v/>
      </c>
      <c r="Y875">
        <f>IFERROR(INDEX(PP_Grid[#Data],$DD875,23),0)</f>
        <v/>
      </c>
      <c r="Z875">
        <f>IFERROR(INDEX(PP_Grid[#Data],$DD875,24),0)</f>
        <v/>
      </c>
      <c r="AA875">
        <f>IFERROR(INDEX(PP_Grid[#Data],$DD875,25),0)</f>
        <v/>
      </c>
      <c r="AB875">
        <f>IFERROR(INDEX(PP_Grid[#Data],$DD875,26),0)</f>
        <v/>
      </c>
      <c r="AC875">
        <f>IFERROR(INDEX(PP_Grid[#Data],$DD875,27),0)</f>
        <v/>
      </c>
      <c r="AD875">
        <f>IFERROR(INDEX(PP_Grid[#Data],$DD875,28),0)</f>
        <v/>
      </c>
      <c r="AE875">
        <f>IFERROR(INDEX(PP_Grid[#Data],$DD875,29),0)</f>
        <v/>
      </c>
      <c r="AF875">
        <f>IFERROR(INDEX(PP_Grid[#Data],$DD875,30),0)</f>
        <v/>
      </c>
      <c r="AG875">
        <f>IFERROR(INDEX(PP_Grid[#Data],$DD875,31),0)</f>
        <v/>
      </c>
      <c r="AH875">
        <f>IFERROR(INDEX(PP_Grid[#Data],$DD875,32),0)</f>
        <v/>
      </c>
      <c r="AI875">
        <f>IFERROR(INDEX(PP_Grid[#Data],$DD875,33),0)</f>
        <v/>
      </c>
      <c r="AJ875">
        <f>IFERROR(INDEX(PP_Grid[#Data],$DD875,34),0)</f>
        <v/>
      </c>
      <c r="AK875">
        <f>IFERROR(INDEX(PP_Grid[#Data],$DD875,35),0)</f>
        <v/>
      </c>
      <c r="AL875">
        <f>IFERROR(INDEX(PP_Grid[#Data],$DD875,36),0)</f>
        <v/>
      </c>
      <c r="AM875">
        <f>IFERROR(INDEX(PP_Grid[#Data],$DD875,37),0)</f>
        <v/>
      </c>
      <c r="AN875">
        <f>IFERROR(INDEX(PP_Grid[#Data],$DD875,38),0)</f>
        <v/>
      </c>
      <c r="AO875">
        <f>IFERROR(INDEX(PP_Grid[#Data],$DD875,39),0)</f>
        <v/>
      </c>
      <c r="AP875">
        <f>IFERROR(INDEX(PP_Grid[#Data],$DD875,40),0)</f>
        <v/>
      </c>
      <c r="AQ875">
        <f>IFERROR(INDEX(PP_Grid[#Data],$DD875,41),0)</f>
        <v/>
      </c>
      <c r="AR875">
        <f>IFERROR(INDEX(PP_Grid[#Data],$DD875,42),0)</f>
        <v/>
      </c>
      <c r="AS875">
        <f>IFERROR(INDEX(PP_Grid[#Data],$DD875,43),0)</f>
        <v/>
      </c>
      <c r="AT875">
        <f>IFERROR(INDEX(PP_Grid[#Data],$DD875,44),0)</f>
        <v/>
      </c>
      <c r="AU875">
        <f>IFERROR(INDEX(PP_Grid[#Data],$DD875,45),0)</f>
        <v/>
      </c>
      <c r="AV875">
        <f>IFERROR(INDEX(PP_Grid[#Data],$DD875,46),0)</f>
        <v/>
      </c>
      <c r="AW875">
        <f>IFERROR(INDEX(PP_Grid[#Data],$DD875,47),0)</f>
        <v/>
      </c>
      <c r="AX875">
        <f>IFERROR(INDEX(PP_Grid[#Data],$DD875,48),0)</f>
        <v/>
      </c>
      <c r="AY875">
        <f>IFERROR(INDEX(PP_Grid[#Data],$DD875,49),0)</f>
        <v/>
      </c>
      <c r="AZ875">
        <f>IFERROR(INDEX(PP_Grid[#Data],$DD875,50),0)</f>
        <v/>
      </c>
      <c r="BA875">
        <f>IFERROR(INDEX(PP_Grid[#Data],$DD875,51),0)</f>
        <v/>
      </c>
      <c r="BB875">
        <f>IFERROR(INDEX(PP_Grid[#Data],$DD875,52),0)</f>
        <v/>
      </c>
      <c r="BC875">
        <f>IFERROR(INDEX(PP_Grid[#Data],$DD875,53),0)</f>
        <v/>
      </c>
      <c r="BD875">
        <f>IFERROR(INDEX(PP_Grid[#Data],$DD875,54),0)</f>
        <v/>
      </c>
      <c r="BE875">
        <f>IFERROR(INDEX(PP_Grid[#Data],$DD875,55),0)</f>
        <v/>
      </c>
      <c r="BF875">
        <f>IFERROR(INDEX(PP_Grid[#Data],$DD875,56),0)</f>
        <v/>
      </c>
      <c r="BG875">
        <f>IFERROR(INDEX(PP_Grid[#Data],$DD875,57),0)</f>
        <v/>
      </c>
      <c r="BH875">
        <f>IFERROR(INDEX(PP_Grid[#Data],$DD875,58),0)</f>
        <v/>
      </c>
      <c r="BI875">
        <f>IFERROR(INDEX(PP_Grid[#Data],$DD875,59),0)</f>
        <v/>
      </c>
      <c r="BJ875">
        <f>IFERROR(INDEX(PP_Grid[#Data],$DD875,60),0)</f>
        <v/>
      </c>
      <c r="BK875">
        <f>IFERROR(INDEX(PP_Grid[#Data],$DD875,61),0)</f>
        <v/>
      </c>
      <c r="BL875">
        <f>IFERROR(INDEX(PP_Grid[#Data],$DD875,62),0)</f>
        <v/>
      </c>
      <c r="BM875">
        <f>IFERROR(INDEX(PP_Grid[#Data],$DD875,63),0)</f>
        <v/>
      </c>
      <c r="BN875">
        <f>IFERROR(INDEX(PP_Grid[#Data],$DD875,64),0)</f>
        <v/>
      </c>
      <c r="BO875">
        <f>IFERROR(INDEX(PP_Grid[#Data],$DD875,65),0)</f>
        <v/>
      </c>
      <c r="BP875">
        <f>IFERROR(INDEX(PP_Grid[#Data],$DD875,66),0)</f>
        <v/>
      </c>
      <c r="BQ875">
        <f>IFERROR(INDEX(PP_Grid[#Data],$DD875,67),0)</f>
        <v/>
      </c>
      <c r="BR875">
        <f>IFERROR(INDEX(PP_Grid[#Data],$DD875,68),0)</f>
        <v/>
      </c>
      <c r="BS875">
        <f>IFERROR(INDEX(PP_Grid[#Data],$DD875,69),0)</f>
        <v/>
      </c>
      <c r="BT875">
        <f>IFERROR(INDEX(PP_Grid[#Data],$DD875,70),0)</f>
        <v/>
      </c>
      <c r="BU875">
        <f>IFERROR(INDEX(PP_Grid[#Data],$DD875,71),0)</f>
        <v/>
      </c>
      <c r="BV875">
        <f>IFERROR(INDEX(PP_Grid[#Data],$DD875,72),0)</f>
        <v/>
      </c>
      <c r="BW875">
        <f>IFERROR(INDEX(PP_Grid[#Data],$DD875,73),0)</f>
        <v/>
      </c>
      <c r="BX875">
        <f>IFERROR(INDEX(PP_Grid[#Data],$DD875,74),0)</f>
        <v/>
      </c>
      <c r="BY875">
        <f>IFERROR(INDEX(PP_Grid[#Data],$DD875,75),0)</f>
        <v/>
      </c>
      <c r="BZ875">
        <f>IFERROR(INDEX(PP_Grid[#Data],$DD875,76),0)</f>
        <v/>
      </c>
      <c r="CA875">
        <f>IFERROR(INDEX(PP_Grid[#Data],$DD875,77),0)</f>
        <v/>
      </c>
      <c r="CB875">
        <f>IFERROR(INDEX(PP_Grid[#Data],$DD875,78),0)</f>
        <v/>
      </c>
      <c r="CC875">
        <f>IFERROR(INDEX(PP_Grid[#Data],$DD875,79),0)</f>
        <v/>
      </c>
      <c r="CD875">
        <f>IFERROR(INDEX(PP_Grid[#Data],$DD875,80),0)</f>
        <v/>
      </c>
      <c r="CE875">
        <f>IFERROR(INDEX(PP_Grid[#Data],$DD875,81),0)</f>
        <v/>
      </c>
      <c r="CF875">
        <f>IFERROR(INDEX(PP_Grid[#Data],$DD875,82),0)</f>
        <v/>
      </c>
      <c r="CG875">
        <f>IFERROR(INDEX(PP_Grid[#Data],$DD875,83),0)</f>
        <v/>
      </c>
      <c r="CH875">
        <f>IFERROR(INDEX(PP_Grid[#Data],$DD875,84),0)</f>
        <v/>
      </c>
      <c r="CI875">
        <f>IFERROR(INDEX(PP_Grid[#Data],$DD875,85),0)</f>
        <v/>
      </c>
      <c r="CJ875">
        <f>IFERROR(INDEX(PP_Grid[#Data],$DD875,86),0)</f>
        <v/>
      </c>
      <c r="CK875">
        <f>IFERROR(INDEX(PP_Grid[#Data],$DD875,87),0)</f>
        <v/>
      </c>
      <c r="CL875">
        <f>IFERROR(INDEX(PP_Grid[#Data],$DD875,88),0)</f>
        <v/>
      </c>
      <c r="CM875">
        <f>IFERROR(INDEX(PP_Grid[#Data],$DD875,89),0)</f>
        <v/>
      </c>
      <c r="CN875">
        <f>IFERROR(INDEX(PP_Grid[#Data],$DD875,90),0)</f>
        <v/>
      </c>
      <c r="CO875">
        <f>IFERROR(INDEX(PP_Grid[#Data],$DD875,91),0)</f>
        <v/>
      </c>
      <c r="CP875">
        <f>IFERROR(INDEX(PP_Grid[#Data],$DD875,92),0)</f>
        <v/>
      </c>
      <c r="CQ875">
        <f>IFERROR(INDEX(PP_Grid[#Data],$DD875,93),0)</f>
        <v/>
      </c>
      <c r="CR875">
        <f>IFERROR(INDEX(PP_Grid[#Data],$DD875,94),0)</f>
        <v/>
      </c>
      <c r="CS875">
        <f>IFERROR(INDEX(PP_Grid[#Data],$DD875,95),0)</f>
        <v/>
      </c>
      <c r="CT875">
        <f>IFERROR(INDEX(PP_Grid[#Data],$DD875,96),0)</f>
        <v/>
      </c>
      <c r="CU875">
        <f>IFERROR(INDEX(PP_Grid[#Data],$DD875,97),0)</f>
        <v/>
      </c>
      <c r="CV875">
        <f>IFERROR(INDEX(PP_Grid[#Data],$DD875,98),0)</f>
        <v/>
      </c>
      <c r="CW875">
        <f>IFERROR(INDEX(PP_Grid[#Data],$DD875,99),0)</f>
        <v/>
      </c>
      <c r="CX875">
        <f>IFERROR(INDEX(PP_Grid[#Data],$DD875,100),0)</f>
        <v/>
      </c>
      <c r="CY875">
        <f>IFERROR(INDEX(PP_Grid[#Data],$DD875,101),0)</f>
        <v/>
      </c>
      <c r="CZ875">
        <f>IFERROR(INDEX(PP_Grid[#Data],$DD875,102),0)</f>
        <v/>
      </c>
      <c r="DA875">
        <f>IFERROR(INDEX(PP_Grid[#Data],$DD875,103),0)</f>
        <v/>
      </c>
      <c r="DB875">
        <f>IFERROR(INDEX(PP_Grid[#Data],$DD875,104),0)</f>
        <v/>
      </c>
      <c r="DC875">
        <f>IFERROR(INDEX(PP_Grid[#Data],$DD875,105),0)</f>
        <v/>
      </c>
      <c r="DD875" s="12">
        <f>IFERROR(MATCH($B875,PP_Grid[Intermediate],0),99999)</f>
        <v/>
      </c>
    </row>
    <row r="876">
      <c r="B876" t="inlineStr">
        <is>
          <t>使用量(kg)</t>
        </is>
      </c>
      <c r="C876">
        <f>SUMIFS(M_BOM[RM_Qty_Per_Batch],M_BOM[Intermediate],$B875,M_BOM[Part Name],$A862)</f>
        <v/>
      </c>
      <c r="D876">
        <f>$C876*D875</f>
        <v/>
      </c>
      <c r="E876">
        <f>$C876*E875</f>
        <v/>
      </c>
      <c r="F876">
        <f>$C876*F875</f>
        <v/>
      </c>
      <c r="G876">
        <f>$C876*G875</f>
        <v/>
      </c>
      <c r="H876">
        <f>$C876*H875</f>
        <v/>
      </c>
      <c r="I876">
        <f>$C876*I875</f>
        <v/>
      </c>
      <c r="J876">
        <f>$C876*J875</f>
        <v/>
      </c>
      <c r="K876">
        <f>$C876*K875</f>
        <v/>
      </c>
      <c r="L876">
        <f>$C876*L875</f>
        <v/>
      </c>
      <c r="M876">
        <f>$C876*M875</f>
        <v/>
      </c>
      <c r="N876">
        <f>$C876*N875</f>
        <v/>
      </c>
      <c r="O876">
        <f>$C876*O875</f>
        <v/>
      </c>
      <c r="P876">
        <f>$C876*P875</f>
        <v/>
      </c>
      <c r="Q876">
        <f>$C876*Q875</f>
        <v/>
      </c>
      <c r="R876">
        <f>$C876*R875</f>
        <v/>
      </c>
      <c r="S876">
        <f>$C876*S875</f>
        <v/>
      </c>
      <c r="T876">
        <f>$C876*T875</f>
        <v/>
      </c>
      <c r="U876">
        <f>$C876*U875</f>
        <v/>
      </c>
      <c r="V876">
        <f>$C876*V875</f>
        <v/>
      </c>
      <c r="W876">
        <f>$C876*W875</f>
        <v/>
      </c>
      <c r="X876">
        <f>$C876*X875</f>
        <v/>
      </c>
      <c r="Y876">
        <f>$C876*Y875</f>
        <v/>
      </c>
      <c r="Z876">
        <f>$C876*Z875</f>
        <v/>
      </c>
      <c r="AA876">
        <f>$C876*AA875</f>
        <v/>
      </c>
      <c r="AB876">
        <f>$C876*AB875</f>
        <v/>
      </c>
      <c r="AC876">
        <f>$C876*AC875</f>
        <v/>
      </c>
      <c r="AD876">
        <f>$C876*AD875</f>
        <v/>
      </c>
      <c r="AE876">
        <f>$C876*AE875</f>
        <v/>
      </c>
      <c r="AF876">
        <f>$C876*AF875</f>
        <v/>
      </c>
      <c r="AG876">
        <f>$C876*AG875</f>
        <v/>
      </c>
      <c r="AH876">
        <f>$C876*AH875</f>
        <v/>
      </c>
      <c r="AI876">
        <f>$C876*AI875</f>
        <v/>
      </c>
      <c r="AJ876">
        <f>$C876*AJ875</f>
        <v/>
      </c>
      <c r="AK876">
        <f>$C876*AK875</f>
        <v/>
      </c>
      <c r="AL876">
        <f>$C876*AL875</f>
        <v/>
      </c>
      <c r="AM876">
        <f>$C876*AM875</f>
        <v/>
      </c>
      <c r="AN876">
        <f>$C876*AN875</f>
        <v/>
      </c>
      <c r="AO876">
        <f>$C876*AO875</f>
        <v/>
      </c>
      <c r="AP876">
        <f>$C876*AP875</f>
        <v/>
      </c>
      <c r="AQ876">
        <f>$C876*AQ875</f>
        <v/>
      </c>
      <c r="AR876">
        <f>$C876*AR875</f>
        <v/>
      </c>
      <c r="AS876">
        <f>$C876*AS875</f>
        <v/>
      </c>
      <c r="AT876">
        <f>$C876*AT875</f>
        <v/>
      </c>
      <c r="AU876">
        <f>$C876*AU875</f>
        <v/>
      </c>
      <c r="AV876">
        <f>$C876*AV875</f>
        <v/>
      </c>
      <c r="AW876">
        <f>$C876*AW875</f>
        <v/>
      </c>
      <c r="AX876">
        <f>$C876*AX875</f>
        <v/>
      </c>
      <c r="AY876">
        <f>$C876*AY875</f>
        <v/>
      </c>
      <c r="AZ876">
        <f>$C876*AZ875</f>
        <v/>
      </c>
      <c r="BA876">
        <f>$C876*BA875</f>
        <v/>
      </c>
      <c r="BB876">
        <f>$C876*BB875</f>
        <v/>
      </c>
      <c r="BC876">
        <f>$C876*BC875</f>
        <v/>
      </c>
      <c r="BD876">
        <f>$C876*BD875</f>
        <v/>
      </c>
      <c r="BE876">
        <f>$C876*BE875</f>
        <v/>
      </c>
      <c r="BF876">
        <f>$C876*BF875</f>
        <v/>
      </c>
      <c r="BG876">
        <f>$C876*BG875</f>
        <v/>
      </c>
      <c r="BH876">
        <f>$C876*BH875</f>
        <v/>
      </c>
      <c r="BI876">
        <f>$C876*BI875</f>
        <v/>
      </c>
      <c r="BJ876">
        <f>$C876*BJ875</f>
        <v/>
      </c>
      <c r="BK876">
        <f>$C876*BK875</f>
        <v/>
      </c>
      <c r="BL876">
        <f>$C876*BL875</f>
        <v/>
      </c>
      <c r="BM876">
        <f>$C876*BM875</f>
        <v/>
      </c>
      <c r="BN876">
        <f>$C876*BN875</f>
        <v/>
      </c>
      <c r="BO876">
        <f>$C876*BO875</f>
        <v/>
      </c>
      <c r="BP876">
        <f>$C876*BP875</f>
        <v/>
      </c>
      <c r="BQ876">
        <f>$C876*BQ875</f>
        <v/>
      </c>
      <c r="BR876">
        <f>$C876*BR875</f>
        <v/>
      </c>
      <c r="BS876">
        <f>$C876*BS875</f>
        <v/>
      </c>
      <c r="BT876">
        <f>$C876*BT875</f>
        <v/>
      </c>
      <c r="BU876">
        <f>$C876*BU875</f>
        <v/>
      </c>
      <c r="BV876">
        <f>$C876*BV875</f>
        <v/>
      </c>
      <c r="BW876">
        <f>$C876*BW875</f>
        <v/>
      </c>
      <c r="BX876">
        <f>$C876*BX875</f>
        <v/>
      </c>
      <c r="BY876">
        <f>$C876*BY875</f>
        <v/>
      </c>
      <c r="BZ876">
        <f>$C876*BZ875</f>
        <v/>
      </c>
      <c r="CA876">
        <f>$C876*CA875</f>
        <v/>
      </c>
      <c r="CB876">
        <f>$C876*CB875</f>
        <v/>
      </c>
      <c r="CC876">
        <f>$C876*CC875</f>
        <v/>
      </c>
      <c r="CD876">
        <f>$C876*CD875</f>
        <v/>
      </c>
      <c r="CE876">
        <f>$C876*CE875</f>
        <v/>
      </c>
      <c r="CF876">
        <f>$C876*CF875</f>
        <v/>
      </c>
      <c r="CG876">
        <f>$C876*CG875</f>
        <v/>
      </c>
      <c r="CH876">
        <f>$C876*CH875</f>
        <v/>
      </c>
      <c r="CI876">
        <f>$C876*CI875</f>
        <v/>
      </c>
      <c r="CJ876">
        <f>$C876*CJ875</f>
        <v/>
      </c>
      <c r="CK876">
        <f>$C876*CK875</f>
        <v/>
      </c>
      <c r="CL876">
        <f>$C876*CL875</f>
        <v/>
      </c>
      <c r="CM876">
        <f>$C876*CM875</f>
        <v/>
      </c>
      <c r="CN876">
        <f>$C876*CN875</f>
        <v/>
      </c>
      <c r="CO876">
        <f>$C876*CO875</f>
        <v/>
      </c>
      <c r="CP876">
        <f>$C876*CP875</f>
        <v/>
      </c>
      <c r="CQ876">
        <f>$C876*CQ875</f>
        <v/>
      </c>
      <c r="CR876">
        <f>$C876*CR875</f>
        <v/>
      </c>
      <c r="CS876">
        <f>$C876*CS875</f>
        <v/>
      </c>
      <c r="CT876">
        <f>$C876*CT875</f>
        <v/>
      </c>
      <c r="CU876">
        <f>$C876*CU875</f>
        <v/>
      </c>
      <c r="CV876">
        <f>$C876*CV875</f>
        <v/>
      </c>
      <c r="CW876">
        <f>$C876*CW875</f>
        <v/>
      </c>
      <c r="CX876">
        <f>$C876*CX875</f>
        <v/>
      </c>
      <c r="CY876">
        <f>$C876*CY875</f>
        <v/>
      </c>
      <c r="CZ876">
        <f>$C876*CZ875</f>
        <v/>
      </c>
      <c r="DA876">
        <f>$C876*DA875</f>
        <v/>
      </c>
      <c r="DB876">
        <f>$C876*DB875</f>
        <v/>
      </c>
      <c r="DC876">
        <f>$C876*DC875</f>
        <v/>
      </c>
    </row>
    <row r="877">
      <c r="B877" t="inlineStr">
        <is>
          <t>TSP-369</t>
        </is>
      </c>
      <c r="C877" t="inlineStr">
        <is>
          <t>No. of batches</t>
        </is>
      </c>
      <c r="D877">
        <f>IFERROR(INDEX(PP_Grid[#Data],$DD877,2),0)</f>
        <v/>
      </c>
      <c r="E877">
        <f>IFERROR(INDEX(PP_Grid[#Data],$DD877,3),0)</f>
        <v/>
      </c>
      <c r="F877">
        <f>IFERROR(INDEX(PP_Grid[#Data],$DD877,4),0)</f>
        <v/>
      </c>
      <c r="G877">
        <f>IFERROR(INDEX(PP_Grid[#Data],$DD877,5),0)</f>
        <v/>
      </c>
      <c r="H877">
        <f>IFERROR(INDEX(PP_Grid[#Data],$DD877,6),0)</f>
        <v/>
      </c>
      <c r="I877">
        <f>IFERROR(INDEX(PP_Grid[#Data],$DD877,7),0)</f>
        <v/>
      </c>
      <c r="J877">
        <f>IFERROR(INDEX(PP_Grid[#Data],$DD877,8),0)</f>
        <v/>
      </c>
      <c r="K877">
        <f>IFERROR(INDEX(PP_Grid[#Data],$DD877,9),0)</f>
        <v/>
      </c>
      <c r="L877">
        <f>IFERROR(INDEX(PP_Grid[#Data],$DD877,10),0)</f>
        <v/>
      </c>
      <c r="M877">
        <f>IFERROR(INDEX(PP_Grid[#Data],$DD877,11),0)</f>
        <v/>
      </c>
      <c r="N877">
        <f>IFERROR(INDEX(PP_Grid[#Data],$DD877,12),0)</f>
        <v/>
      </c>
      <c r="O877">
        <f>IFERROR(INDEX(PP_Grid[#Data],$DD877,13),0)</f>
        <v/>
      </c>
      <c r="P877">
        <f>IFERROR(INDEX(PP_Grid[#Data],$DD877,14),0)</f>
        <v/>
      </c>
      <c r="Q877">
        <f>IFERROR(INDEX(PP_Grid[#Data],$DD877,15),0)</f>
        <v/>
      </c>
      <c r="R877">
        <f>IFERROR(INDEX(PP_Grid[#Data],$DD877,16),0)</f>
        <v/>
      </c>
      <c r="S877">
        <f>IFERROR(INDEX(PP_Grid[#Data],$DD877,17),0)</f>
        <v/>
      </c>
      <c r="T877">
        <f>IFERROR(INDEX(PP_Grid[#Data],$DD877,18),0)</f>
        <v/>
      </c>
      <c r="U877">
        <f>IFERROR(INDEX(PP_Grid[#Data],$DD877,19),0)</f>
        <v/>
      </c>
      <c r="V877">
        <f>IFERROR(INDEX(PP_Grid[#Data],$DD877,20),0)</f>
        <v/>
      </c>
      <c r="W877">
        <f>IFERROR(INDEX(PP_Grid[#Data],$DD877,21),0)</f>
        <v/>
      </c>
      <c r="X877">
        <f>IFERROR(INDEX(PP_Grid[#Data],$DD877,22),0)</f>
        <v/>
      </c>
      <c r="Y877">
        <f>IFERROR(INDEX(PP_Grid[#Data],$DD877,23),0)</f>
        <v/>
      </c>
      <c r="Z877">
        <f>IFERROR(INDEX(PP_Grid[#Data],$DD877,24),0)</f>
        <v/>
      </c>
      <c r="AA877">
        <f>IFERROR(INDEX(PP_Grid[#Data],$DD877,25),0)</f>
        <v/>
      </c>
      <c r="AB877">
        <f>IFERROR(INDEX(PP_Grid[#Data],$DD877,26),0)</f>
        <v/>
      </c>
      <c r="AC877">
        <f>IFERROR(INDEX(PP_Grid[#Data],$DD877,27),0)</f>
        <v/>
      </c>
      <c r="AD877">
        <f>IFERROR(INDEX(PP_Grid[#Data],$DD877,28),0)</f>
        <v/>
      </c>
      <c r="AE877">
        <f>IFERROR(INDEX(PP_Grid[#Data],$DD877,29),0)</f>
        <v/>
      </c>
      <c r="AF877">
        <f>IFERROR(INDEX(PP_Grid[#Data],$DD877,30),0)</f>
        <v/>
      </c>
      <c r="AG877">
        <f>IFERROR(INDEX(PP_Grid[#Data],$DD877,31),0)</f>
        <v/>
      </c>
      <c r="AH877">
        <f>IFERROR(INDEX(PP_Grid[#Data],$DD877,32),0)</f>
        <v/>
      </c>
      <c r="AI877">
        <f>IFERROR(INDEX(PP_Grid[#Data],$DD877,33),0)</f>
        <v/>
      </c>
      <c r="AJ877">
        <f>IFERROR(INDEX(PP_Grid[#Data],$DD877,34),0)</f>
        <v/>
      </c>
      <c r="AK877">
        <f>IFERROR(INDEX(PP_Grid[#Data],$DD877,35),0)</f>
        <v/>
      </c>
      <c r="AL877">
        <f>IFERROR(INDEX(PP_Grid[#Data],$DD877,36),0)</f>
        <v/>
      </c>
      <c r="AM877">
        <f>IFERROR(INDEX(PP_Grid[#Data],$DD877,37),0)</f>
        <v/>
      </c>
      <c r="AN877">
        <f>IFERROR(INDEX(PP_Grid[#Data],$DD877,38),0)</f>
        <v/>
      </c>
      <c r="AO877">
        <f>IFERROR(INDEX(PP_Grid[#Data],$DD877,39),0)</f>
        <v/>
      </c>
      <c r="AP877">
        <f>IFERROR(INDEX(PP_Grid[#Data],$DD877,40),0)</f>
        <v/>
      </c>
      <c r="AQ877">
        <f>IFERROR(INDEX(PP_Grid[#Data],$DD877,41),0)</f>
        <v/>
      </c>
      <c r="AR877">
        <f>IFERROR(INDEX(PP_Grid[#Data],$DD877,42),0)</f>
        <v/>
      </c>
      <c r="AS877">
        <f>IFERROR(INDEX(PP_Grid[#Data],$DD877,43),0)</f>
        <v/>
      </c>
      <c r="AT877">
        <f>IFERROR(INDEX(PP_Grid[#Data],$DD877,44),0)</f>
        <v/>
      </c>
      <c r="AU877">
        <f>IFERROR(INDEX(PP_Grid[#Data],$DD877,45),0)</f>
        <v/>
      </c>
      <c r="AV877">
        <f>IFERROR(INDEX(PP_Grid[#Data],$DD877,46),0)</f>
        <v/>
      </c>
      <c r="AW877">
        <f>IFERROR(INDEX(PP_Grid[#Data],$DD877,47),0)</f>
        <v/>
      </c>
      <c r="AX877">
        <f>IFERROR(INDEX(PP_Grid[#Data],$DD877,48),0)</f>
        <v/>
      </c>
      <c r="AY877">
        <f>IFERROR(INDEX(PP_Grid[#Data],$DD877,49),0)</f>
        <v/>
      </c>
      <c r="AZ877">
        <f>IFERROR(INDEX(PP_Grid[#Data],$DD877,50),0)</f>
        <v/>
      </c>
      <c r="BA877">
        <f>IFERROR(INDEX(PP_Grid[#Data],$DD877,51),0)</f>
        <v/>
      </c>
      <c r="BB877">
        <f>IFERROR(INDEX(PP_Grid[#Data],$DD877,52),0)</f>
        <v/>
      </c>
      <c r="BC877">
        <f>IFERROR(INDEX(PP_Grid[#Data],$DD877,53),0)</f>
        <v/>
      </c>
      <c r="BD877">
        <f>IFERROR(INDEX(PP_Grid[#Data],$DD877,54),0)</f>
        <v/>
      </c>
      <c r="BE877">
        <f>IFERROR(INDEX(PP_Grid[#Data],$DD877,55),0)</f>
        <v/>
      </c>
      <c r="BF877">
        <f>IFERROR(INDEX(PP_Grid[#Data],$DD877,56),0)</f>
        <v/>
      </c>
      <c r="BG877">
        <f>IFERROR(INDEX(PP_Grid[#Data],$DD877,57),0)</f>
        <v/>
      </c>
      <c r="BH877">
        <f>IFERROR(INDEX(PP_Grid[#Data],$DD877,58),0)</f>
        <v/>
      </c>
      <c r="BI877">
        <f>IFERROR(INDEX(PP_Grid[#Data],$DD877,59),0)</f>
        <v/>
      </c>
      <c r="BJ877">
        <f>IFERROR(INDEX(PP_Grid[#Data],$DD877,60),0)</f>
        <v/>
      </c>
      <c r="BK877">
        <f>IFERROR(INDEX(PP_Grid[#Data],$DD877,61),0)</f>
        <v/>
      </c>
      <c r="BL877">
        <f>IFERROR(INDEX(PP_Grid[#Data],$DD877,62),0)</f>
        <v/>
      </c>
      <c r="BM877">
        <f>IFERROR(INDEX(PP_Grid[#Data],$DD877,63),0)</f>
        <v/>
      </c>
      <c r="BN877">
        <f>IFERROR(INDEX(PP_Grid[#Data],$DD877,64),0)</f>
        <v/>
      </c>
      <c r="BO877">
        <f>IFERROR(INDEX(PP_Grid[#Data],$DD877,65),0)</f>
        <v/>
      </c>
      <c r="BP877">
        <f>IFERROR(INDEX(PP_Grid[#Data],$DD877,66),0)</f>
        <v/>
      </c>
      <c r="BQ877">
        <f>IFERROR(INDEX(PP_Grid[#Data],$DD877,67),0)</f>
        <v/>
      </c>
      <c r="BR877">
        <f>IFERROR(INDEX(PP_Grid[#Data],$DD877,68),0)</f>
        <v/>
      </c>
      <c r="BS877">
        <f>IFERROR(INDEX(PP_Grid[#Data],$DD877,69),0)</f>
        <v/>
      </c>
      <c r="BT877">
        <f>IFERROR(INDEX(PP_Grid[#Data],$DD877,70),0)</f>
        <v/>
      </c>
      <c r="BU877">
        <f>IFERROR(INDEX(PP_Grid[#Data],$DD877,71),0)</f>
        <v/>
      </c>
      <c r="BV877">
        <f>IFERROR(INDEX(PP_Grid[#Data],$DD877,72),0)</f>
        <v/>
      </c>
      <c r="BW877">
        <f>IFERROR(INDEX(PP_Grid[#Data],$DD877,73),0)</f>
        <v/>
      </c>
      <c r="BX877">
        <f>IFERROR(INDEX(PP_Grid[#Data],$DD877,74),0)</f>
        <v/>
      </c>
      <c r="BY877">
        <f>IFERROR(INDEX(PP_Grid[#Data],$DD877,75),0)</f>
        <v/>
      </c>
      <c r="BZ877">
        <f>IFERROR(INDEX(PP_Grid[#Data],$DD877,76),0)</f>
        <v/>
      </c>
      <c r="CA877">
        <f>IFERROR(INDEX(PP_Grid[#Data],$DD877,77),0)</f>
        <v/>
      </c>
      <c r="CB877">
        <f>IFERROR(INDEX(PP_Grid[#Data],$DD877,78),0)</f>
        <v/>
      </c>
      <c r="CC877">
        <f>IFERROR(INDEX(PP_Grid[#Data],$DD877,79),0)</f>
        <v/>
      </c>
      <c r="CD877">
        <f>IFERROR(INDEX(PP_Grid[#Data],$DD877,80),0)</f>
        <v/>
      </c>
      <c r="CE877">
        <f>IFERROR(INDEX(PP_Grid[#Data],$DD877,81),0)</f>
        <v/>
      </c>
      <c r="CF877">
        <f>IFERROR(INDEX(PP_Grid[#Data],$DD877,82),0)</f>
        <v/>
      </c>
      <c r="CG877">
        <f>IFERROR(INDEX(PP_Grid[#Data],$DD877,83),0)</f>
        <v/>
      </c>
      <c r="CH877">
        <f>IFERROR(INDEX(PP_Grid[#Data],$DD877,84),0)</f>
        <v/>
      </c>
      <c r="CI877">
        <f>IFERROR(INDEX(PP_Grid[#Data],$DD877,85),0)</f>
        <v/>
      </c>
      <c r="CJ877">
        <f>IFERROR(INDEX(PP_Grid[#Data],$DD877,86),0)</f>
        <v/>
      </c>
      <c r="CK877">
        <f>IFERROR(INDEX(PP_Grid[#Data],$DD877,87),0)</f>
        <v/>
      </c>
      <c r="CL877">
        <f>IFERROR(INDEX(PP_Grid[#Data],$DD877,88),0)</f>
        <v/>
      </c>
      <c r="CM877">
        <f>IFERROR(INDEX(PP_Grid[#Data],$DD877,89),0)</f>
        <v/>
      </c>
      <c r="CN877">
        <f>IFERROR(INDEX(PP_Grid[#Data],$DD877,90),0)</f>
        <v/>
      </c>
      <c r="CO877">
        <f>IFERROR(INDEX(PP_Grid[#Data],$DD877,91),0)</f>
        <v/>
      </c>
      <c r="CP877">
        <f>IFERROR(INDEX(PP_Grid[#Data],$DD877,92),0)</f>
        <v/>
      </c>
      <c r="CQ877">
        <f>IFERROR(INDEX(PP_Grid[#Data],$DD877,93),0)</f>
        <v/>
      </c>
      <c r="CR877">
        <f>IFERROR(INDEX(PP_Grid[#Data],$DD877,94),0)</f>
        <v/>
      </c>
      <c r="CS877">
        <f>IFERROR(INDEX(PP_Grid[#Data],$DD877,95),0)</f>
        <v/>
      </c>
      <c r="CT877">
        <f>IFERROR(INDEX(PP_Grid[#Data],$DD877,96),0)</f>
        <v/>
      </c>
      <c r="CU877">
        <f>IFERROR(INDEX(PP_Grid[#Data],$DD877,97),0)</f>
        <v/>
      </c>
      <c r="CV877">
        <f>IFERROR(INDEX(PP_Grid[#Data],$DD877,98),0)</f>
        <v/>
      </c>
      <c r="CW877">
        <f>IFERROR(INDEX(PP_Grid[#Data],$DD877,99),0)</f>
        <v/>
      </c>
      <c r="CX877">
        <f>IFERROR(INDEX(PP_Grid[#Data],$DD877,100),0)</f>
        <v/>
      </c>
      <c r="CY877">
        <f>IFERROR(INDEX(PP_Grid[#Data],$DD877,101),0)</f>
        <v/>
      </c>
      <c r="CZ877">
        <f>IFERROR(INDEX(PP_Grid[#Data],$DD877,102),0)</f>
        <v/>
      </c>
      <c r="DA877">
        <f>IFERROR(INDEX(PP_Grid[#Data],$DD877,103),0)</f>
        <v/>
      </c>
      <c r="DB877">
        <f>IFERROR(INDEX(PP_Grid[#Data],$DD877,104),0)</f>
        <v/>
      </c>
      <c r="DC877">
        <f>IFERROR(INDEX(PP_Grid[#Data],$DD877,105),0)</f>
        <v/>
      </c>
      <c r="DD877" s="12">
        <f>IFERROR(MATCH($B877,PP_Grid[Intermediate],0),99999)</f>
        <v/>
      </c>
    </row>
    <row r="878">
      <c r="B878" t="inlineStr">
        <is>
          <t>使用量(kg)</t>
        </is>
      </c>
      <c r="C878">
        <f>SUMIFS(M_BOM[RM_Qty_Per_Batch],M_BOM[Intermediate],$B877,M_BOM[Part Name],$A862)</f>
        <v/>
      </c>
      <c r="D878">
        <f>$C878*D877</f>
        <v/>
      </c>
      <c r="E878">
        <f>$C878*E877</f>
        <v/>
      </c>
      <c r="F878">
        <f>$C878*F877</f>
        <v/>
      </c>
      <c r="G878">
        <f>$C878*G877</f>
        <v/>
      </c>
      <c r="H878">
        <f>$C878*H877</f>
        <v/>
      </c>
      <c r="I878">
        <f>$C878*I877</f>
        <v/>
      </c>
      <c r="J878">
        <f>$C878*J877</f>
        <v/>
      </c>
      <c r="K878">
        <f>$C878*K877</f>
        <v/>
      </c>
      <c r="L878">
        <f>$C878*L877</f>
        <v/>
      </c>
      <c r="M878">
        <f>$C878*M877</f>
        <v/>
      </c>
      <c r="N878">
        <f>$C878*N877</f>
        <v/>
      </c>
      <c r="O878">
        <f>$C878*O877</f>
        <v/>
      </c>
      <c r="P878">
        <f>$C878*P877</f>
        <v/>
      </c>
      <c r="Q878">
        <f>$C878*Q877</f>
        <v/>
      </c>
      <c r="R878">
        <f>$C878*R877</f>
        <v/>
      </c>
      <c r="S878">
        <f>$C878*S877</f>
        <v/>
      </c>
      <c r="T878">
        <f>$C878*T877</f>
        <v/>
      </c>
      <c r="U878">
        <f>$C878*U877</f>
        <v/>
      </c>
      <c r="V878">
        <f>$C878*V877</f>
        <v/>
      </c>
      <c r="W878">
        <f>$C878*W877</f>
        <v/>
      </c>
      <c r="X878">
        <f>$C878*X877</f>
        <v/>
      </c>
      <c r="Y878">
        <f>$C878*Y877</f>
        <v/>
      </c>
      <c r="Z878">
        <f>$C878*Z877</f>
        <v/>
      </c>
      <c r="AA878">
        <f>$C878*AA877</f>
        <v/>
      </c>
      <c r="AB878">
        <f>$C878*AB877</f>
        <v/>
      </c>
      <c r="AC878">
        <f>$C878*AC877</f>
        <v/>
      </c>
      <c r="AD878">
        <f>$C878*AD877</f>
        <v/>
      </c>
      <c r="AE878">
        <f>$C878*AE877</f>
        <v/>
      </c>
      <c r="AF878">
        <f>$C878*AF877</f>
        <v/>
      </c>
      <c r="AG878">
        <f>$C878*AG877</f>
        <v/>
      </c>
      <c r="AH878">
        <f>$C878*AH877</f>
        <v/>
      </c>
      <c r="AI878">
        <f>$C878*AI877</f>
        <v/>
      </c>
      <c r="AJ878">
        <f>$C878*AJ877</f>
        <v/>
      </c>
      <c r="AK878">
        <f>$C878*AK877</f>
        <v/>
      </c>
      <c r="AL878">
        <f>$C878*AL877</f>
        <v/>
      </c>
      <c r="AM878">
        <f>$C878*AM877</f>
        <v/>
      </c>
      <c r="AN878">
        <f>$C878*AN877</f>
        <v/>
      </c>
      <c r="AO878">
        <f>$C878*AO877</f>
        <v/>
      </c>
      <c r="AP878">
        <f>$C878*AP877</f>
        <v/>
      </c>
      <c r="AQ878">
        <f>$C878*AQ877</f>
        <v/>
      </c>
      <c r="AR878">
        <f>$C878*AR877</f>
        <v/>
      </c>
      <c r="AS878">
        <f>$C878*AS877</f>
        <v/>
      </c>
      <c r="AT878">
        <f>$C878*AT877</f>
        <v/>
      </c>
      <c r="AU878">
        <f>$C878*AU877</f>
        <v/>
      </c>
      <c r="AV878">
        <f>$C878*AV877</f>
        <v/>
      </c>
      <c r="AW878">
        <f>$C878*AW877</f>
        <v/>
      </c>
      <c r="AX878">
        <f>$C878*AX877</f>
        <v/>
      </c>
      <c r="AY878">
        <f>$C878*AY877</f>
        <v/>
      </c>
      <c r="AZ878">
        <f>$C878*AZ877</f>
        <v/>
      </c>
      <c r="BA878">
        <f>$C878*BA877</f>
        <v/>
      </c>
      <c r="BB878">
        <f>$C878*BB877</f>
        <v/>
      </c>
      <c r="BC878">
        <f>$C878*BC877</f>
        <v/>
      </c>
      <c r="BD878">
        <f>$C878*BD877</f>
        <v/>
      </c>
      <c r="BE878">
        <f>$C878*BE877</f>
        <v/>
      </c>
      <c r="BF878">
        <f>$C878*BF877</f>
        <v/>
      </c>
      <c r="BG878">
        <f>$C878*BG877</f>
        <v/>
      </c>
      <c r="BH878">
        <f>$C878*BH877</f>
        <v/>
      </c>
      <c r="BI878">
        <f>$C878*BI877</f>
        <v/>
      </c>
      <c r="BJ878">
        <f>$C878*BJ877</f>
        <v/>
      </c>
      <c r="BK878">
        <f>$C878*BK877</f>
        <v/>
      </c>
      <c r="BL878">
        <f>$C878*BL877</f>
        <v/>
      </c>
      <c r="BM878">
        <f>$C878*BM877</f>
        <v/>
      </c>
      <c r="BN878">
        <f>$C878*BN877</f>
        <v/>
      </c>
      <c r="BO878">
        <f>$C878*BO877</f>
        <v/>
      </c>
      <c r="BP878">
        <f>$C878*BP877</f>
        <v/>
      </c>
      <c r="BQ878">
        <f>$C878*BQ877</f>
        <v/>
      </c>
      <c r="BR878">
        <f>$C878*BR877</f>
        <v/>
      </c>
      <c r="BS878">
        <f>$C878*BS877</f>
        <v/>
      </c>
      <c r="BT878">
        <f>$C878*BT877</f>
        <v/>
      </c>
      <c r="BU878">
        <f>$C878*BU877</f>
        <v/>
      </c>
      <c r="BV878">
        <f>$C878*BV877</f>
        <v/>
      </c>
      <c r="BW878">
        <f>$C878*BW877</f>
        <v/>
      </c>
      <c r="BX878">
        <f>$C878*BX877</f>
        <v/>
      </c>
      <c r="BY878">
        <f>$C878*BY877</f>
        <v/>
      </c>
      <c r="BZ878">
        <f>$C878*BZ877</f>
        <v/>
      </c>
      <c r="CA878">
        <f>$C878*CA877</f>
        <v/>
      </c>
      <c r="CB878">
        <f>$C878*CB877</f>
        <v/>
      </c>
      <c r="CC878">
        <f>$C878*CC877</f>
        <v/>
      </c>
      <c r="CD878">
        <f>$C878*CD877</f>
        <v/>
      </c>
      <c r="CE878">
        <f>$C878*CE877</f>
        <v/>
      </c>
      <c r="CF878">
        <f>$C878*CF877</f>
        <v/>
      </c>
      <c r="CG878">
        <f>$C878*CG877</f>
        <v/>
      </c>
      <c r="CH878">
        <f>$C878*CH877</f>
        <v/>
      </c>
      <c r="CI878">
        <f>$C878*CI877</f>
        <v/>
      </c>
      <c r="CJ878">
        <f>$C878*CJ877</f>
        <v/>
      </c>
      <c r="CK878">
        <f>$C878*CK877</f>
        <v/>
      </c>
      <c r="CL878">
        <f>$C878*CL877</f>
        <v/>
      </c>
      <c r="CM878">
        <f>$C878*CM877</f>
        <v/>
      </c>
      <c r="CN878">
        <f>$C878*CN877</f>
        <v/>
      </c>
      <c r="CO878">
        <f>$C878*CO877</f>
        <v/>
      </c>
      <c r="CP878">
        <f>$C878*CP877</f>
        <v/>
      </c>
      <c r="CQ878">
        <f>$C878*CQ877</f>
        <v/>
      </c>
      <c r="CR878">
        <f>$C878*CR877</f>
        <v/>
      </c>
      <c r="CS878">
        <f>$C878*CS877</f>
        <v/>
      </c>
      <c r="CT878">
        <f>$C878*CT877</f>
        <v/>
      </c>
      <c r="CU878">
        <f>$C878*CU877</f>
        <v/>
      </c>
      <c r="CV878">
        <f>$C878*CV877</f>
        <v/>
      </c>
      <c r="CW878">
        <f>$C878*CW877</f>
        <v/>
      </c>
      <c r="CX878">
        <f>$C878*CX877</f>
        <v/>
      </c>
      <c r="CY878">
        <f>$C878*CY877</f>
        <v/>
      </c>
      <c r="CZ878">
        <f>$C878*CZ877</f>
        <v/>
      </c>
      <c r="DA878">
        <f>$C878*DA877</f>
        <v/>
      </c>
      <c r="DB878">
        <f>$C878*DB877</f>
        <v/>
      </c>
      <c r="DC878">
        <f>$C878*DC877</f>
        <v/>
      </c>
    </row>
    <row r="879">
      <c r="B879" t="inlineStr">
        <is>
          <t>TSP-558</t>
        </is>
      </c>
      <c r="C879" t="inlineStr">
        <is>
          <t>No. of batches</t>
        </is>
      </c>
      <c r="D879">
        <f>IFERROR(INDEX(PP_Grid[#Data],$DD879,2),0)</f>
        <v/>
      </c>
      <c r="E879">
        <f>IFERROR(INDEX(PP_Grid[#Data],$DD879,3),0)</f>
        <v/>
      </c>
      <c r="F879">
        <f>IFERROR(INDEX(PP_Grid[#Data],$DD879,4),0)</f>
        <v/>
      </c>
      <c r="G879">
        <f>IFERROR(INDEX(PP_Grid[#Data],$DD879,5),0)</f>
        <v/>
      </c>
      <c r="H879">
        <f>IFERROR(INDEX(PP_Grid[#Data],$DD879,6),0)</f>
        <v/>
      </c>
      <c r="I879">
        <f>IFERROR(INDEX(PP_Grid[#Data],$DD879,7),0)</f>
        <v/>
      </c>
      <c r="J879">
        <f>IFERROR(INDEX(PP_Grid[#Data],$DD879,8),0)</f>
        <v/>
      </c>
      <c r="K879">
        <f>IFERROR(INDEX(PP_Grid[#Data],$DD879,9),0)</f>
        <v/>
      </c>
      <c r="L879">
        <f>IFERROR(INDEX(PP_Grid[#Data],$DD879,10),0)</f>
        <v/>
      </c>
      <c r="M879">
        <f>IFERROR(INDEX(PP_Grid[#Data],$DD879,11),0)</f>
        <v/>
      </c>
      <c r="N879">
        <f>IFERROR(INDEX(PP_Grid[#Data],$DD879,12),0)</f>
        <v/>
      </c>
      <c r="O879">
        <f>IFERROR(INDEX(PP_Grid[#Data],$DD879,13),0)</f>
        <v/>
      </c>
      <c r="P879">
        <f>IFERROR(INDEX(PP_Grid[#Data],$DD879,14),0)</f>
        <v/>
      </c>
      <c r="Q879">
        <f>IFERROR(INDEX(PP_Grid[#Data],$DD879,15),0)</f>
        <v/>
      </c>
      <c r="R879">
        <f>IFERROR(INDEX(PP_Grid[#Data],$DD879,16),0)</f>
        <v/>
      </c>
      <c r="S879">
        <f>IFERROR(INDEX(PP_Grid[#Data],$DD879,17),0)</f>
        <v/>
      </c>
      <c r="T879">
        <f>IFERROR(INDEX(PP_Grid[#Data],$DD879,18),0)</f>
        <v/>
      </c>
      <c r="U879">
        <f>IFERROR(INDEX(PP_Grid[#Data],$DD879,19),0)</f>
        <v/>
      </c>
      <c r="V879">
        <f>IFERROR(INDEX(PP_Grid[#Data],$DD879,20),0)</f>
        <v/>
      </c>
      <c r="W879">
        <f>IFERROR(INDEX(PP_Grid[#Data],$DD879,21),0)</f>
        <v/>
      </c>
      <c r="X879">
        <f>IFERROR(INDEX(PP_Grid[#Data],$DD879,22),0)</f>
        <v/>
      </c>
      <c r="Y879">
        <f>IFERROR(INDEX(PP_Grid[#Data],$DD879,23),0)</f>
        <v/>
      </c>
      <c r="Z879">
        <f>IFERROR(INDEX(PP_Grid[#Data],$DD879,24),0)</f>
        <v/>
      </c>
      <c r="AA879">
        <f>IFERROR(INDEX(PP_Grid[#Data],$DD879,25),0)</f>
        <v/>
      </c>
      <c r="AB879">
        <f>IFERROR(INDEX(PP_Grid[#Data],$DD879,26),0)</f>
        <v/>
      </c>
      <c r="AC879">
        <f>IFERROR(INDEX(PP_Grid[#Data],$DD879,27),0)</f>
        <v/>
      </c>
      <c r="AD879">
        <f>IFERROR(INDEX(PP_Grid[#Data],$DD879,28),0)</f>
        <v/>
      </c>
      <c r="AE879">
        <f>IFERROR(INDEX(PP_Grid[#Data],$DD879,29),0)</f>
        <v/>
      </c>
      <c r="AF879">
        <f>IFERROR(INDEX(PP_Grid[#Data],$DD879,30),0)</f>
        <v/>
      </c>
      <c r="AG879">
        <f>IFERROR(INDEX(PP_Grid[#Data],$DD879,31),0)</f>
        <v/>
      </c>
      <c r="AH879">
        <f>IFERROR(INDEX(PP_Grid[#Data],$DD879,32),0)</f>
        <v/>
      </c>
      <c r="AI879">
        <f>IFERROR(INDEX(PP_Grid[#Data],$DD879,33),0)</f>
        <v/>
      </c>
      <c r="AJ879">
        <f>IFERROR(INDEX(PP_Grid[#Data],$DD879,34),0)</f>
        <v/>
      </c>
      <c r="AK879">
        <f>IFERROR(INDEX(PP_Grid[#Data],$DD879,35),0)</f>
        <v/>
      </c>
      <c r="AL879">
        <f>IFERROR(INDEX(PP_Grid[#Data],$DD879,36),0)</f>
        <v/>
      </c>
      <c r="AM879">
        <f>IFERROR(INDEX(PP_Grid[#Data],$DD879,37),0)</f>
        <v/>
      </c>
      <c r="AN879">
        <f>IFERROR(INDEX(PP_Grid[#Data],$DD879,38),0)</f>
        <v/>
      </c>
      <c r="AO879">
        <f>IFERROR(INDEX(PP_Grid[#Data],$DD879,39),0)</f>
        <v/>
      </c>
      <c r="AP879">
        <f>IFERROR(INDEX(PP_Grid[#Data],$DD879,40),0)</f>
        <v/>
      </c>
      <c r="AQ879">
        <f>IFERROR(INDEX(PP_Grid[#Data],$DD879,41),0)</f>
        <v/>
      </c>
      <c r="AR879">
        <f>IFERROR(INDEX(PP_Grid[#Data],$DD879,42),0)</f>
        <v/>
      </c>
      <c r="AS879">
        <f>IFERROR(INDEX(PP_Grid[#Data],$DD879,43),0)</f>
        <v/>
      </c>
      <c r="AT879">
        <f>IFERROR(INDEX(PP_Grid[#Data],$DD879,44),0)</f>
        <v/>
      </c>
      <c r="AU879">
        <f>IFERROR(INDEX(PP_Grid[#Data],$DD879,45),0)</f>
        <v/>
      </c>
      <c r="AV879">
        <f>IFERROR(INDEX(PP_Grid[#Data],$DD879,46),0)</f>
        <v/>
      </c>
      <c r="AW879">
        <f>IFERROR(INDEX(PP_Grid[#Data],$DD879,47),0)</f>
        <v/>
      </c>
      <c r="AX879">
        <f>IFERROR(INDEX(PP_Grid[#Data],$DD879,48),0)</f>
        <v/>
      </c>
      <c r="AY879">
        <f>IFERROR(INDEX(PP_Grid[#Data],$DD879,49),0)</f>
        <v/>
      </c>
      <c r="AZ879">
        <f>IFERROR(INDEX(PP_Grid[#Data],$DD879,50),0)</f>
        <v/>
      </c>
      <c r="BA879">
        <f>IFERROR(INDEX(PP_Grid[#Data],$DD879,51),0)</f>
        <v/>
      </c>
      <c r="BB879">
        <f>IFERROR(INDEX(PP_Grid[#Data],$DD879,52),0)</f>
        <v/>
      </c>
      <c r="BC879">
        <f>IFERROR(INDEX(PP_Grid[#Data],$DD879,53),0)</f>
        <v/>
      </c>
      <c r="BD879">
        <f>IFERROR(INDEX(PP_Grid[#Data],$DD879,54),0)</f>
        <v/>
      </c>
      <c r="BE879">
        <f>IFERROR(INDEX(PP_Grid[#Data],$DD879,55),0)</f>
        <v/>
      </c>
      <c r="BF879">
        <f>IFERROR(INDEX(PP_Grid[#Data],$DD879,56),0)</f>
        <v/>
      </c>
      <c r="BG879">
        <f>IFERROR(INDEX(PP_Grid[#Data],$DD879,57),0)</f>
        <v/>
      </c>
      <c r="BH879">
        <f>IFERROR(INDEX(PP_Grid[#Data],$DD879,58),0)</f>
        <v/>
      </c>
      <c r="BI879">
        <f>IFERROR(INDEX(PP_Grid[#Data],$DD879,59),0)</f>
        <v/>
      </c>
      <c r="BJ879">
        <f>IFERROR(INDEX(PP_Grid[#Data],$DD879,60),0)</f>
        <v/>
      </c>
      <c r="BK879">
        <f>IFERROR(INDEX(PP_Grid[#Data],$DD879,61),0)</f>
        <v/>
      </c>
      <c r="BL879">
        <f>IFERROR(INDEX(PP_Grid[#Data],$DD879,62),0)</f>
        <v/>
      </c>
      <c r="BM879">
        <f>IFERROR(INDEX(PP_Grid[#Data],$DD879,63),0)</f>
        <v/>
      </c>
      <c r="BN879">
        <f>IFERROR(INDEX(PP_Grid[#Data],$DD879,64),0)</f>
        <v/>
      </c>
      <c r="BO879">
        <f>IFERROR(INDEX(PP_Grid[#Data],$DD879,65),0)</f>
        <v/>
      </c>
      <c r="BP879">
        <f>IFERROR(INDEX(PP_Grid[#Data],$DD879,66),0)</f>
        <v/>
      </c>
      <c r="BQ879">
        <f>IFERROR(INDEX(PP_Grid[#Data],$DD879,67),0)</f>
        <v/>
      </c>
      <c r="BR879">
        <f>IFERROR(INDEX(PP_Grid[#Data],$DD879,68),0)</f>
        <v/>
      </c>
      <c r="BS879">
        <f>IFERROR(INDEX(PP_Grid[#Data],$DD879,69),0)</f>
        <v/>
      </c>
      <c r="BT879">
        <f>IFERROR(INDEX(PP_Grid[#Data],$DD879,70),0)</f>
        <v/>
      </c>
      <c r="BU879">
        <f>IFERROR(INDEX(PP_Grid[#Data],$DD879,71),0)</f>
        <v/>
      </c>
      <c r="BV879">
        <f>IFERROR(INDEX(PP_Grid[#Data],$DD879,72),0)</f>
        <v/>
      </c>
      <c r="BW879">
        <f>IFERROR(INDEX(PP_Grid[#Data],$DD879,73),0)</f>
        <v/>
      </c>
      <c r="BX879">
        <f>IFERROR(INDEX(PP_Grid[#Data],$DD879,74),0)</f>
        <v/>
      </c>
      <c r="BY879">
        <f>IFERROR(INDEX(PP_Grid[#Data],$DD879,75),0)</f>
        <v/>
      </c>
      <c r="BZ879">
        <f>IFERROR(INDEX(PP_Grid[#Data],$DD879,76),0)</f>
        <v/>
      </c>
      <c r="CA879">
        <f>IFERROR(INDEX(PP_Grid[#Data],$DD879,77),0)</f>
        <v/>
      </c>
      <c r="CB879">
        <f>IFERROR(INDEX(PP_Grid[#Data],$DD879,78),0)</f>
        <v/>
      </c>
      <c r="CC879">
        <f>IFERROR(INDEX(PP_Grid[#Data],$DD879,79),0)</f>
        <v/>
      </c>
      <c r="CD879">
        <f>IFERROR(INDEX(PP_Grid[#Data],$DD879,80),0)</f>
        <v/>
      </c>
      <c r="CE879">
        <f>IFERROR(INDEX(PP_Grid[#Data],$DD879,81),0)</f>
        <v/>
      </c>
      <c r="CF879">
        <f>IFERROR(INDEX(PP_Grid[#Data],$DD879,82),0)</f>
        <v/>
      </c>
      <c r="CG879">
        <f>IFERROR(INDEX(PP_Grid[#Data],$DD879,83),0)</f>
        <v/>
      </c>
      <c r="CH879">
        <f>IFERROR(INDEX(PP_Grid[#Data],$DD879,84),0)</f>
        <v/>
      </c>
      <c r="CI879">
        <f>IFERROR(INDEX(PP_Grid[#Data],$DD879,85),0)</f>
        <v/>
      </c>
      <c r="CJ879">
        <f>IFERROR(INDEX(PP_Grid[#Data],$DD879,86),0)</f>
        <v/>
      </c>
      <c r="CK879">
        <f>IFERROR(INDEX(PP_Grid[#Data],$DD879,87),0)</f>
        <v/>
      </c>
      <c r="CL879">
        <f>IFERROR(INDEX(PP_Grid[#Data],$DD879,88),0)</f>
        <v/>
      </c>
      <c r="CM879">
        <f>IFERROR(INDEX(PP_Grid[#Data],$DD879,89),0)</f>
        <v/>
      </c>
      <c r="CN879">
        <f>IFERROR(INDEX(PP_Grid[#Data],$DD879,90),0)</f>
        <v/>
      </c>
      <c r="CO879">
        <f>IFERROR(INDEX(PP_Grid[#Data],$DD879,91),0)</f>
        <v/>
      </c>
      <c r="CP879">
        <f>IFERROR(INDEX(PP_Grid[#Data],$DD879,92),0)</f>
        <v/>
      </c>
      <c r="CQ879">
        <f>IFERROR(INDEX(PP_Grid[#Data],$DD879,93),0)</f>
        <v/>
      </c>
      <c r="CR879">
        <f>IFERROR(INDEX(PP_Grid[#Data],$DD879,94),0)</f>
        <v/>
      </c>
      <c r="CS879">
        <f>IFERROR(INDEX(PP_Grid[#Data],$DD879,95),0)</f>
        <v/>
      </c>
      <c r="CT879">
        <f>IFERROR(INDEX(PP_Grid[#Data],$DD879,96),0)</f>
        <v/>
      </c>
      <c r="CU879">
        <f>IFERROR(INDEX(PP_Grid[#Data],$DD879,97),0)</f>
        <v/>
      </c>
      <c r="CV879">
        <f>IFERROR(INDEX(PP_Grid[#Data],$DD879,98),0)</f>
        <v/>
      </c>
      <c r="CW879">
        <f>IFERROR(INDEX(PP_Grid[#Data],$DD879,99),0)</f>
        <v/>
      </c>
      <c r="CX879">
        <f>IFERROR(INDEX(PP_Grid[#Data],$DD879,100),0)</f>
        <v/>
      </c>
      <c r="CY879">
        <f>IFERROR(INDEX(PP_Grid[#Data],$DD879,101),0)</f>
        <v/>
      </c>
      <c r="CZ879">
        <f>IFERROR(INDEX(PP_Grid[#Data],$DD879,102),0)</f>
        <v/>
      </c>
      <c r="DA879">
        <f>IFERROR(INDEX(PP_Grid[#Data],$DD879,103),0)</f>
        <v/>
      </c>
      <c r="DB879">
        <f>IFERROR(INDEX(PP_Grid[#Data],$DD879,104),0)</f>
        <v/>
      </c>
      <c r="DC879">
        <f>IFERROR(INDEX(PP_Grid[#Data],$DD879,105),0)</f>
        <v/>
      </c>
      <c r="DD879" s="12">
        <f>IFERROR(MATCH($B879,PP_Grid[Intermediate],0),99999)</f>
        <v/>
      </c>
    </row>
    <row r="880">
      <c r="B880" t="inlineStr">
        <is>
          <t>使用量(kg)</t>
        </is>
      </c>
      <c r="C880">
        <f>SUMIFS(M_BOM[RM_Qty_Per_Batch],M_BOM[Intermediate],$B879,M_BOM[Part Name],$A862)</f>
        <v/>
      </c>
      <c r="D880">
        <f>$C880*D879</f>
        <v/>
      </c>
      <c r="E880">
        <f>$C880*E879</f>
        <v/>
      </c>
      <c r="F880">
        <f>$C880*F879</f>
        <v/>
      </c>
      <c r="G880">
        <f>$C880*G879</f>
        <v/>
      </c>
      <c r="H880">
        <f>$C880*H879</f>
        <v/>
      </c>
      <c r="I880">
        <f>$C880*I879</f>
        <v/>
      </c>
      <c r="J880">
        <f>$C880*J879</f>
        <v/>
      </c>
      <c r="K880">
        <f>$C880*K879</f>
        <v/>
      </c>
      <c r="L880">
        <f>$C880*L879</f>
        <v/>
      </c>
      <c r="M880">
        <f>$C880*M879</f>
        <v/>
      </c>
      <c r="N880">
        <f>$C880*N879</f>
        <v/>
      </c>
      <c r="O880">
        <f>$C880*O879</f>
        <v/>
      </c>
      <c r="P880">
        <f>$C880*P879</f>
        <v/>
      </c>
      <c r="Q880">
        <f>$C880*Q879</f>
        <v/>
      </c>
      <c r="R880">
        <f>$C880*R879</f>
        <v/>
      </c>
      <c r="S880">
        <f>$C880*S879</f>
        <v/>
      </c>
      <c r="T880">
        <f>$C880*T879</f>
        <v/>
      </c>
      <c r="U880">
        <f>$C880*U879</f>
        <v/>
      </c>
      <c r="V880">
        <f>$C880*V879</f>
        <v/>
      </c>
      <c r="W880">
        <f>$C880*W879</f>
        <v/>
      </c>
      <c r="X880">
        <f>$C880*X879</f>
        <v/>
      </c>
      <c r="Y880">
        <f>$C880*Y879</f>
        <v/>
      </c>
      <c r="Z880">
        <f>$C880*Z879</f>
        <v/>
      </c>
      <c r="AA880">
        <f>$C880*AA879</f>
        <v/>
      </c>
      <c r="AB880">
        <f>$C880*AB879</f>
        <v/>
      </c>
      <c r="AC880">
        <f>$C880*AC879</f>
        <v/>
      </c>
      <c r="AD880">
        <f>$C880*AD879</f>
        <v/>
      </c>
      <c r="AE880">
        <f>$C880*AE879</f>
        <v/>
      </c>
      <c r="AF880">
        <f>$C880*AF879</f>
        <v/>
      </c>
      <c r="AG880">
        <f>$C880*AG879</f>
        <v/>
      </c>
      <c r="AH880">
        <f>$C880*AH879</f>
        <v/>
      </c>
      <c r="AI880">
        <f>$C880*AI879</f>
        <v/>
      </c>
      <c r="AJ880">
        <f>$C880*AJ879</f>
        <v/>
      </c>
      <c r="AK880">
        <f>$C880*AK879</f>
        <v/>
      </c>
      <c r="AL880">
        <f>$C880*AL879</f>
        <v/>
      </c>
      <c r="AM880">
        <f>$C880*AM879</f>
        <v/>
      </c>
      <c r="AN880">
        <f>$C880*AN879</f>
        <v/>
      </c>
      <c r="AO880">
        <f>$C880*AO879</f>
        <v/>
      </c>
      <c r="AP880">
        <f>$C880*AP879</f>
        <v/>
      </c>
      <c r="AQ880">
        <f>$C880*AQ879</f>
        <v/>
      </c>
      <c r="AR880">
        <f>$C880*AR879</f>
        <v/>
      </c>
      <c r="AS880">
        <f>$C880*AS879</f>
        <v/>
      </c>
      <c r="AT880">
        <f>$C880*AT879</f>
        <v/>
      </c>
      <c r="AU880">
        <f>$C880*AU879</f>
        <v/>
      </c>
      <c r="AV880">
        <f>$C880*AV879</f>
        <v/>
      </c>
      <c r="AW880">
        <f>$C880*AW879</f>
        <v/>
      </c>
      <c r="AX880">
        <f>$C880*AX879</f>
        <v/>
      </c>
      <c r="AY880">
        <f>$C880*AY879</f>
        <v/>
      </c>
      <c r="AZ880">
        <f>$C880*AZ879</f>
        <v/>
      </c>
      <c r="BA880">
        <f>$C880*BA879</f>
        <v/>
      </c>
      <c r="BB880">
        <f>$C880*BB879</f>
        <v/>
      </c>
      <c r="BC880">
        <f>$C880*BC879</f>
        <v/>
      </c>
      <c r="BD880">
        <f>$C880*BD879</f>
        <v/>
      </c>
      <c r="BE880">
        <f>$C880*BE879</f>
        <v/>
      </c>
      <c r="BF880">
        <f>$C880*BF879</f>
        <v/>
      </c>
      <c r="BG880">
        <f>$C880*BG879</f>
        <v/>
      </c>
      <c r="BH880">
        <f>$C880*BH879</f>
        <v/>
      </c>
      <c r="BI880">
        <f>$C880*BI879</f>
        <v/>
      </c>
      <c r="BJ880">
        <f>$C880*BJ879</f>
        <v/>
      </c>
      <c r="BK880">
        <f>$C880*BK879</f>
        <v/>
      </c>
      <c r="BL880">
        <f>$C880*BL879</f>
        <v/>
      </c>
      <c r="BM880">
        <f>$C880*BM879</f>
        <v/>
      </c>
      <c r="BN880">
        <f>$C880*BN879</f>
        <v/>
      </c>
      <c r="BO880">
        <f>$C880*BO879</f>
        <v/>
      </c>
      <c r="BP880">
        <f>$C880*BP879</f>
        <v/>
      </c>
      <c r="BQ880">
        <f>$C880*BQ879</f>
        <v/>
      </c>
      <c r="BR880">
        <f>$C880*BR879</f>
        <v/>
      </c>
      <c r="BS880">
        <f>$C880*BS879</f>
        <v/>
      </c>
      <c r="BT880">
        <f>$C880*BT879</f>
        <v/>
      </c>
      <c r="BU880">
        <f>$C880*BU879</f>
        <v/>
      </c>
      <c r="BV880">
        <f>$C880*BV879</f>
        <v/>
      </c>
      <c r="BW880">
        <f>$C880*BW879</f>
        <v/>
      </c>
      <c r="BX880">
        <f>$C880*BX879</f>
        <v/>
      </c>
      <c r="BY880">
        <f>$C880*BY879</f>
        <v/>
      </c>
      <c r="BZ880">
        <f>$C880*BZ879</f>
        <v/>
      </c>
      <c r="CA880">
        <f>$C880*CA879</f>
        <v/>
      </c>
      <c r="CB880">
        <f>$C880*CB879</f>
        <v/>
      </c>
      <c r="CC880">
        <f>$C880*CC879</f>
        <v/>
      </c>
      <c r="CD880">
        <f>$C880*CD879</f>
        <v/>
      </c>
      <c r="CE880">
        <f>$C880*CE879</f>
        <v/>
      </c>
      <c r="CF880">
        <f>$C880*CF879</f>
        <v/>
      </c>
      <c r="CG880">
        <f>$C880*CG879</f>
        <v/>
      </c>
      <c r="CH880">
        <f>$C880*CH879</f>
        <v/>
      </c>
      <c r="CI880">
        <f>$C880*CI879</f>
        <v/>
      </c>
      <c r="CJ880">
        <f>$C880*CJ879</f>
        <v/>
      </c>
      <c r="CK880">
        <f>$C880*CK879</f>
        <v/>
      </c>
      <c r="CL880">
        <f>$C880*CL879</f>
        <v/>
      </c>
      <c r="CM880">
        <f>$C880*CM879</f>
        <v/>
      </c>
      <c r="CN880">
        <f>$C880*CN879</f>
        <v/>
      </c>
      <c r="CO880">
        <f>$C880*CO879</f>
        <v/>
      </c>
      <c r="CP880">
        <f>$C880*CP879</f>
        <v/>
      </c>
      <c r="CQ880">
        <f>$C880*CQ879</f>
        <v/>
      </c>
      <c r="CR880">
        <f>$C880*CR879</f>
        <v/>
      </c>
      <c r="CS880">
        <f>$C880*CS879</f>
        <v/>
      </c>
      <c r="CT880">
        <f>$C880*CT879</f>
        <v/>
      </c>
      <c r="CU880">
        <f>$C880*CU879</f>
        <v/>
      </c>
      <c r="CV880">
        <f>$C880*CV879</f>
        <v/>
      </c>
      <c r="CW880">
        <f>$C880*CW879</f>
        <v/>
      </c>
      <c r="CX880">
        <f>$C880*CX879</f>
        <v/>
      </c>
      <c r="CY880">
        <f>$C880*CY879</f>
        <v/>
      </c>
      <c r="CZ880">
        <f>$C880*CZ879</f>
        <v/>
      </c>
      <c r="DA880">
        <f>$C880*DA879</f>
        <v/>
      </c>
      <c r="DB880">
        <f>$C880*DB879</f>
        <v/>
      </c>
      <c r="DC880">
        <f>$C880*DC879</f>
        <v/>
      </c>
    </row>
    <row r="881">
      <c r="B881" t="inlineStr">
        <is>
          <t>TSP-620</t>
        </is>
      </c>
      <c r="C881" t="inlineStr">
        <is>
          <t>No. of batches</t>
        </is>
      </c>
      <c r="D881">
        <f>IFERROR(INDEX(PP_Grid[#Data],$DD881,2),0)</f>
        <v/>
      </c>
      <c r="E881">
        <f>IFERROR(INDEX(PP_Grid[#Data],$DD881,3),0)</f>
        <v/>
      </c>
      <c r="F881">
        <f>IFERROR(INDEX(PP_Grid[#Data],$DD881,4),0)</f>
        <v/>
      </c>
      <c r="G881">
        <f>IFERROR(INDEX(PP_Grid[#Data],$DD881,5),0)</f>
        <v/>
      </c>
      <c r="H881">
        <f>IFERROR(INDEX(PP_Grid[#Data],$DD881,6),0)</f>
        <v/>
      </c>
      <c r="I881">
        <f>IFERROR(INDEX(PP_Grid[#Data],$DD881,7),0)</f>
        <v/>
      </c>
      <c r="J881">
        <f>IFERROR(INDEX(PP_Grid[#Data],$DD881,8),0)</f>
        <v/>
      </c>
      <c r="K881">
        <f>IFERROR(INDEX(PP_Grid[#Data],$DD881,9),0)</f>
        <v/>
      </c>
      <c r="L881">
        <f>IFERROR(INDEX(PP_Grid[#Data],$DD881,10),0)</f>
        <v/>
      </c>
      <c r="M881">
        <f>IFERROR(INDEX(PP_Grid[#Data],$DD881,11),0)</f>
        <v/>
      </c>
      <c r="N881">
        <f>IFERROR(INDEX(PP_Grid[#Data],$DD881,12),0)</f>
        <v/>
      </c>
      <c r="O881">
        <f>IFERROR(INDEX(PP_Grid[#Data],$DD881,13),0)</f>
        <v/>
      </c>
      <c r="P881">
        <f>IFERROR(INDEX(PP_Grid[#Data],$DD881,14),0)</f>
        <v/>
      </c>
      <c r="Q881">
        <f>IFERROR(INDEX(PP_Grid[#Data],$DD881,15),0)</f>
        <v/>
      </c>
      <c r="R881">
        <f>IFERROR(INDEX(PP_Grid[#Data],$DD881,16),0)</f>
        <v/>
      </c>
      <c r="S881">
        <f>IFERROR(INDEX(PP_Grid[#Data],$DD881,17),0)</f>
        <v/>
      </c>
      <c r="T881">
        <f>IFERROR(INDEX(PP_Grid[#Data],$DD881,18),0)</f>
        <v/>
      </c>
      <c r="U881">
        <f>IFERROR(INDEX(PP_Grid[#Data],$DD881,19),0)</f>
        <v/>
      </c>
      <c r="V881">
        <f>IFERROR(INDEX(PP_Grid[#Data],$DD881,20),0)</f>
        <v/>
      </c>
      <c r="W881">
        <f>IFERROR(INDEX(PP_Grid[#Data],$DD881,21),0)</f>
        <v/>
      </c>
      <c r="X881">
        <f>IFERROR(INDEX(PP_Grid[#Data],$DD881,22),0)</f>
        <v/>
      </c>
      <c r="Y881">
        <f>IFERROR(INDEX(PP_Grid[#Data],$DD881,23),0)</f>
        <v/>
      </c>
      <c r="Z881">
        <f>IFERROR(INDEX(PP_Grid[#Data],$DD881,24),0)</f>
        <v/>
      </c>
      <c r="AA881">
        <f>IFERROR(INDEX(PP_Grid[#Data],$DD881,25),0)</f>
        <v/>
      </c>
      <c r="AB881">
        <f>IFERROR(INDEX(PP_Grid[#Data],$DD881,26),0)</f>
        <v/>
      </c>
      <c r="AC881">
        <f>IFERROR(INDEX(PP_Grid[#Data],$DD881,27),0)</f>
        <v/>
      </c>
      <c r="AD881">
        <f>IFERROR(INDEX(PP_Grid[#Data],$DD881,28),0)</f>
        <v/>
      </c>
      <c r="AE881">
        <f>IFERROR(INDEX(PP_Grid[#Data],$DD881,29),0)</f>
        <v/>
      </c>
      <c r="AF881">
        <f>IFERROR(INDEX(PP_Grid[#Data],$DD881,30),0)</f>
        <v/>
      </c>
      <c r="AG881">
        <f>IFERROR(INDEX(PP_Grid[#Data],$DD881,31),0)</f>
        <v/>
      </c>
      <c r="AH881">
        <f>IFERROR(INDEX(PP_Grid[#Data],$DD881,32),0)</f>
        <v/>
      </c>
      <c r="AI881">
        <f>IFERROR(INDEX(PP_Grid[#Data],$DD881,33),0)</f>
        <v/>
      </c>
      <c r="AJ881">
        <f>IFERROR(INDEX(PP_Grid[#Data],$DD881,34),0)</f>
        <v/>
      </c>
      <c r="AK881">
        <f>IFERROR(INDEX(PP_Grid[#Data],$DD881,35),0)</f>
        <v/>
      </c>
      <c r="AL881">
        <f>IFERROR(INDEX(PP_Grid[#Data],$DD881,36),0)</f>
        <v/>
      </c>
      <c r="AM881">
        <f>IFERROR(INDEX(PP_Grid[#Data],$DD881,37),0)</f>
        <v/>
      </c>
      <c r="AN881">
        <f>IFERROR(INDEX(PP_Grid[#Data],$DD881,38),0)</f>
        <v/>
      </c>
      <c r="AO881">
        <f>IFERROR(INDEX(PP_Grid[#Data],$DD881,39),0)</f>
        <v/>
      </c>
      <c r="AP881">
        <f>IFERROR(INDEX(PP_Grid[#Data],$DD881,40),0)</f>
        <v/>
      </c>
      <c r="AQ881">
        <f>IFERROR(INDEX(PP_Grid[#Data],$DD881,41),0)</f>
        <v/>
      </c>
      <c r="AR881">
        <f>IFERROR(INDEX(PP_Grid[#Data],$DD881,42),0)</f>
        <v/>
      </c>
      <c r="AS881">
        <f>IFERROR(INDEX(PP_Grid[#Data],$DD881,43),0)</f>
        <v/>
      </c>
      <c r="AT881">
        <f>IFERROR(INDEX(PP_Grid[#Data],$DD881,44),0)</f>
        <v/>
      </c>
      <c r="AU881">
        <f>IFERROR(INDEX(PP_Grid[#Data],$DD881,45),0)</f>
        <v/>
      </c>
      <c r="AV881">
        <f>IFERROR(INDEX(PP_Grid[#Data],$DD881,46),0)</f>
        <v/>
      </c>
      <c r="AW881">
        <f>IFERROR(INDEX(PP_Grid[#Data],$DD881,47),0)</f>
        <v/>
      </c>
      <c r="AX881">
        <f>IFERROR(INDEX(PP_Grid[#Data],$DD881,48),0)</f>
        <v/>
      </c>
      <c r="AY881">
        <f>IFERROR(INDEX(PP_Grid[#Data],$DD881,49),0)</f>
        <v/>
      </c>
      <c r="AZ881">
        <f>IFERROR(INDEX(PP_Grid[#Data],$DD881,50),0)</f>
        <v/>
      </c>
      <c r="BA881">
        <f>IFERROR(INDEX(PP_Grid[#Data],$DD881,51),0)</f>
        <v/>
      </c>
      <c r="BB881">
        <f>IFERROR(INDEX(PP_Grid[#Data],$DD881,52),0)</f>
        <v/>
      </c>
      <c r="BC881">
        <f>IFERROR(INDEX(PP_Grid[#Data],$DD881,53),0)</f>
        <v/>
      </c>
      <c r="BD881">
        <f>IFERROR(INDEX(PP_Grid[#Data],$DD881,54),0)</f>
        <v/>
      </c>
      <c r="BE881">
        <f>IFERROR(INDEX(PP_Grid[#Data],$DD881,55),0)</f>
        <v/>
      </c>
      <c r="BF881">
        <f>IFERROR(INDEX(PP_Grid[#Data],$DD881,56),0)</f>
        <v/>
      </c>
      <c r="BG881">
        <f>IFERROR(INDEX(PP_Grid[#Data],$DD881,57),0)</f>
        <v/>
      </c>
      <c r="BH881">
        <f>IFERROR(INDEX(PP_Grid[#Data],$DD881,58),0)</f>
        <v/>
      </c>
      <c r="BI881">
        <f>IFERROR(INDEX(PP_Grid[#Data],$DD881,59),0)</f>
        <v/>
      </c>
      <c r="BJ881">
        <f>IFERROR(INDEX(PP_Grid[#Data],$DD881,60),0)</f>
        <v/>
      </c>
      <c r="BK881">
        <f>IFERROR(INDEX(PP_Grid[#Data],$DD881,61),0)</f>
        <v/>
      </c>
      <c r="BL881">
        <f>IFERROR(INDEX(PP_Grid[#Data],$DD881,62),0)</f>
        <v/>
      </c>
      <c r="BM881">
        <f>IFERROR(INDEX(PP_Grid[#Data],$DD881,63),0)</f>
        <v/>
      </c>
      <c r="BN881">
        <f>IFERROR(INDEX(PP_Grid[#Data],$DD881,64),0)</f>
        <v/>
      </c>
      <c r="BO881">
        <f>IFERROR(INDEX(PP_Grid[#Data],$DD881,65),0)</f>
        <v/>
      </c>
      <c r="BP881">
        <f>IFERROR(INDEX(PP_Grid[#Data],$DD881,66),0)</f>
        <v/>
      </c>
      <c r="BQ881">
        <f>IFERROR(INDEX(PP_Grid[#Data],$DD881,67),0)</f>
        <v/>
      </c>
      <c r="BR881">
        <f>IFERROR(INDEX(PP_Grid[#Data],$DD881,68),0)</f>
        <v/>
      </c>
      <c r="BS881">
        <f>IFERROR(INDEX(PP_Grid[#Data],$DD881,69),0)</f>
        <v/>
      </c>
      <c r="BT881">
        <f>IFERROR(INDEX(PP_Grid[#Data],$DD881,70),0)</f>
        <v/>
      </c>
      <c r="BU881">
        <f>IFERROR(INDEX(PP_Grid[#Data],$DD881,71),0)</f>
        <v/>
      </c>
      <c r="BV881">
        <f>IFERROR(INDEX(PP_Grid[#Data],$DD881,72),0)</f>
        <v/>
      </c>
      <c r="BW881">
        <f>IFERROR(INDEX(PP_Grid[#Data],$DD881,73),0)</f>
        <v/>
      </c>
      <c r="BX881">
        <f>IFERROR(INDEX(PP_Grid[#Data],$DD881,74),0)</f>
        <v/>
      </c>
      <c r="BY881">
        <f>IFERROR(INDEX(PP_Grid[#Data],$DD881,75),0)</f>
        <v/>
      </c>
      <c r="BZ881">
        <f>IFERROR(INDEX(PP_Grid[#Data],$DD881,76),0)</f>
        <v/>
      </c>
      <c r="CA881">
        <f>IFERROR(INDEX(PP_Grid[#Data],$DD881,77),0)</f>
        <v/>
      </c>
      <c r="CB881">
        <f>IFERROR(INDEX(PP_Grid[#Data],$DD881,78),0)</f>
        <v/>
      </c>
      <c r="CC881">
        <f>IFERROR(INDEX(PP_Grid[#Data],$DD881,79),0)</f>
        <v/>
      </c>
      <c r="CD881">
        <f>IFERROR(INDEX(PP_Grid[#Data],$DD881,80),0)</f>
        <v/>
      </c>
      <c r="CE881">
        <f>IFERROR(INDEX(PP_Grid[#Data],$DD881,81),0)</f>
        <v/>
      </c>
      <c r="CF881">
        <f>IFERROR(INDEX(PP_Grid[#Data],$DD881,82),0)</f>
        <v/>
      </c>
      <c r="CG881">
        <f>IFERROR(INDEX(PP_Grid[#Data],$DD881,83),0)</f>
        <v/>
      </c>
      <c r="CH881">
        <f>IFERROR(INDEX(PP_Grid[#Data],$DD881,84),0)</f>
        <v/>
      </c>
      <c r="CI881">
        <f>IFERROR(INDEX(PP_Grid[#Data],$DD881,85),0)</f>
        <v/>
      </c>
      <c r="CJ881">
        <f>IFERROR(INDEX(PP_Grid[#Data],$DD881,86),0)</f>
        <v/>
      </c>
      <c r="CK881">
        <f>IFERROR(INDEX(PP_Grid[#Data],$DD881,87),0)</f>
        <v/>
      </c>
      <c r="CL881">
        <f>IFERROR(INDEX(PP_Grid[#Data],$DD881,88),0)</f>
        <v/>
      </c>
      <c r="CM881">
        <f>IFERROR(INDEX(PP_Grid[#Data],$DD881,89),0)</f>
        <v/>
      </c>
      <c r="CN881">
        <f>IFERROR(INDEX(PP_Grid[#Data],$DD881,90),0)</f>
        <v/>
      </c>
      <c r="CO881">
        <f>IFERROR(INDEX(PP_Grid[#Data],$DD881,91),0)</f>
        <v/>
      </c>
      <c r="CP881">
        <f>IFERROR(INDEX(PP_Grid[#Data],$DD881,92),0)</f>
        <v/>
      </c>
      <c r="CQ881">
        <f>IFERROR(INDEX(PP_Grid[#Data],$DD881,93),0)</f>
        <v/>
      </c>
      <c r="CR881">
        <f>IFERROR(INDEX(PP_Grid[#Data],$DD881,94),0)</f>
        <v/>
      </c>
      <c r="CS881">
        <f>IFERROR(INDEX(PP_Grid[#Data],$DD881,95),0)</f>
        <v/>
      </c>
      <c r="CT881">
        <f>IFERROR(INDEX(PP_Grid[#Data],$DD881,96),0)</f>
        <v/>
      </c>
      <c r="CU881">
        <f>IFERROR(INDEX(PP_Grid[#Data],$DD881,97),0)</f>
        <v/>
      </c>
      <c r="CV881">
        <f>IFERROR(INDEX(PP_Grid[#Data],$DD881,98),0)</f>
        <v/>
      </c>
      <c r="CW881">
        <f>IFERROR(INDEX(PP_Grid[#Data],$DD881,99),0)</f>
        <v/>
      </c>
      <c r="CX881">
        <f>IFERROR(INDEX(PP_Grid[#Data],$DD881,100),0)</f>
        <v/>
      </c>
      <c r="CY881">
        <f>IFERROR(INDEX(PP_Grid[#Data],$DD881,101),0)</f>
        <v/>
      </c>
      <c r="CZ881">
        <f>IFERROR(INDEX(PP_Grid[#Data],$DD881,102),0)</f>
        <v/>
      </c>
      <c r="DA881">
        <f>IFERROR(INDEX(PP_Grid[#Data],$DD881,103),0)</f>
        <v/>
      </c>
      <c r="DB881">
        <f>IFERROR(INDEX(PP_Grid[#Data],$DD881,104),0)</f>
        <v/>
      </c>
      <c r="DC881">
        <f>IFERROR(INDEX(PP_Grid[#Data],$DD881,105),0)</f>
        <v/>
      </c>
      <c r="DD881" s="12">
        <f>IFERROR(MATCH($B881,PP_Grid[Intermediate],0),99999)</f>
        <v/>
      </c>
    </row>
    <row r="882">
      <c r="B882" t="inlineStr">
        <is>
          <t>使用量(kg)</t>
        </is>
      </c>
      <c r="C882">
        <f>SUMIFS(M_BOM[RM_Qty_Per_Batch],M_BOM[Intermediate],$B881,M_BOM[Part Name],$A862)</f>
        <v/>
      </c>
      <c r="D882">
        <f>$C882*D881</f>
        <v/>
      </c>
      <c r="E882">
        <f>$C882*E881</f>
        <v/>
      </c>
      <c r="F882">
        <f>$C882*F881</f>
        <v/>
      </c>
      <c r="G882">
        <f>$C882*G881</f>
        <v/>
      </c>
      <c r="H882">
        <f>$C882*H881</f>
        <v/>
      </c>
      <c r="I882">
        <f>$C882*I881</f>
        <v/>
      </c>
      <c r="J882">
        <f>$C882*J881</f>
        <v/>
      </c>
      <c r="K882">
        <f>$C882*K881</f>
        <v/>
      </c>
      <c r="L882">
        <f>$C882*L881</f>
        <v/>
      </c>
      <c r="M882">
        <f>$C882*M881</f>
        <v/>
      </c>
      <c r="N882">
        <f>$C882*N881</f>
        <v/>
      </c>
      <c r="O882">
        <f>$C882*O881</f>
        <v/>
      </c>
      <c r="P882">
        <f>$C882*P881</f>
        <v/>
      </c>
      <c r="Q882">
        <f>$C882*Q881</f>
        <v/>
      </c>
      <c r="R882">
        <f>$C882*R881</f>
        <v/>
      </c>
      <c r="S882">
        <f>$C882*S881</f>
        <v/>
      </c>
      <c r="T882">
        <f>$C882*T881</f>
        <v/>
      </c>
      <c r="U882">
        <f>$C882*U881</f>
        <v/>
      </c>
      <c r="V882">
        <f>$C882*V881</f>
        <v/>
      </c>
      <c r="W882">
        <f>$C882*W881</f>
        <v/>
      </c>
      <c r="X882">
        <f>$C882*X881</f>
        <v/>
      </c>
      <c r="Y882">
        <f>$C882*Y881</f>
        <v/>
      </c>
      <c r="Z882">
        <f>$C882*Z881</f>
        <v/>
      </c>
      <c r="AA882">
        <f>$C882*AA881</f>
        <v/>
      </c>
      <c r="AB882">
        <f>$C882*AB881</f>
        <v/>
      </c>
      <c r="AC882">
        <f>$C882*AC881</f>
        <v/>
      </c>
      <c r="AD882">
        <f>$C882*AD881</f>
        <v/>
      </c>
      <c r="AE882">
        <f>$C882*AE881</f>
        <v/>
      </c>
      <c r="AF882">
        <f>$C882*AF881</f>
        <v/>
      </c>
      <c r="AG882">
        <f>$C882*AG881</f>
        <v/>
      </c>
      <c r="AH882">
        <f>$C882*AH881</f>
        <v/>
      </c>
      <c r="AI882">
        <f>$C882*AI881</f>
        <v/>
      </c>
      <c r="AJ882">
        <f>$C882*AJ881</f>
        <v/>
      </c>
      <c r="AK882">
        <f>$C882*AK881</f>
        <v/>
      </c>
      <c r="AL882">
        <f>$C882*AL881</f>
        <v/>
      </c>
      <c r="AM882">
        <f>$C882*AM881</f>
        <v/>
      </c>
      <c r="AN882">
        <f>$C882*AN881</f>
        <v/>
      </c>
      <c r="AO882">
        <f>$C882*AO881</f>
        <v/>
      </c>
      <c r="AP882">
        <f>$C882*AP881</f>
        <v/>
      </c>
      <c r="AQ882">
        <f>$C882*AQ881</f>
        <v/>
      </c>
      <c r="AR882">
        <f>$C882*AR881</f>
        <v/>
      </c>
      <c r="AS882">
        <f>$C882*AS881</f>
        <v/>
      </c>
      <c r="AT882">
        <f>$C882*AT881</f>
        <v/>
      </c>
      <c r="AU882">
        <f>$C882*AU881</f>
        <v/>
      </c>
      <c r="AV882">
        <f>$C882*AV881</f>
        <v/>
      </c>
      <c r="AW882">
        <f>$C882*AW881</f>
        <v/>
      </c>
      <c r="AX882">
        <f>$C882*AX881</f>
        <v/>
      </c>
      <c r="AY882">
        <f>$C882*AY881</f>
        <v/>
      </c>
      <c r="AZ882">
        <f>$C882*AZ881</f>
        <v/>
      </c>
      <c r="BA882">
        <f>$C882*BA881</f>
        <v/>
      </c>
      <c r="BB882">
        <f>$C882*BB881</f>
        <v/>
      </c>
      <c r="BC882">
        <f>$C882*BC881</f>
        <v/>
      </c>
      <c r="BD882">
        <f>$C882*BD881</f>
        <v/>
      </c>
      <c r="BE882">
        <f>$C882*BE881</f>
        <v/>
      </c>
      <c r="BF882">
        <f>$C882*BF881</f>
        <v/>
      </c>
      <c r="BG882">
        <f>$C882*BG881</f>
        <v/>
      </c>
      <c r="BH882">
        <f>$C882*BH881</f>
        <v/>
      </c>
      <c r="BI882">
        <f>$C882*BI881</f>
        <v/>
      </c>
      <c r="BJ882">
        <f>$C882*BJ881</f>
        <v/>
      </c>
      <c r="BK882">
        <f>$C882*BK881</f>
        <v/>
      </c>
      <c r="BL882">
        <f>$C882*BL881</f>
        <v/>
      </c>
      <c r="BM882">
        <f>$C882*BM881</f>
        <v/>
      </c>
      <c r="BN882">
        <f>$C882*BN881</f>
        <v/>
      </c>
      <c r="BO882">
        <f>$C882*BO881</f>
        <v/>
      </c>
      <c r="BP882">
        <f>$C882*BP881</f>
        <v/>
      </c>
      <c r="BQ882">
        <f>$C882*BQ881</f>
        <v/>
      </c>
      <c r="BR882">
        <f>$C882*BR881</f>
        <v/>
      </c>
      <c r="BS882">
        <f>$C882*BS881</f>
        <v/>
      </c>
      <c r="BT882">
        <f>$C882*BT881</f>
        <v/>
      </c>
      <c r="BU882">
        <f>$C882*BU881</f>
        <v/>
      </c>
      <c r="BV882">
        <f>$C882*BV881</f>
        <v/>
      </c>
      <c r="BW882">
        <f>$C882*BW881</f>
        <v/>
      </c>
      <c r="BX882">
        <f>$C882*BX881</f>
        <v/>
      </c>
      <c r="BY882">
        <f>$C882*BY881</f>
        <v/>
      </c>
      <c r="BZ882">
        <f>$C882*BZ881</f>
        <v/>
      </c>
      <c r="CA882">
        <f>$C882*CA881</f>
        <v/>
      </c>
      <c r="CB882">
        <f>$C882*CB881</f>
        <v/>
      </c>
      <c r="CC882">
        <f>$C882*CC881</f>
        <v/>
      </c>
      <c r="CD882">
        <f>$C882*CD881</f>
        <v/>
      </c>
      <c r="CE882">
        <f>$C882*CE881</f>
        <v/>
      </c>
      <c r="CF882">
        <f>$C882*CF881</f>
        <v/>
      </c>
      <c r="CG882">
        <f>$C882*CG881</f>
        <v/>
      </c>
      <c r="CH882">
        <f>$C882*CH881</f>
        <v/>
      </c>
      <c r="CI882">
        <f>$C882*CI881</f>
        <v/>
      </c>
      <c r="CJ882">
        <f>$C882*CJ881</f>
        <v/>
      </c>
      <c r="CK882">
        <f>$C882*CK881</f>
        <v/>
      </c>
      <c r="CL882">
        <f>$C882*CL881</f>
        <v/>
      </c>
      <c r="CM882">
        <f>$C882*CM881</f>
        <v/>
      </c>
      <c r="CN882">
        <f>$C882*CN881</f>
        <v/>
      </c>
      <c r="CO882">
        <f>$C882*CO881</f>
        <v/>
      </c>
      <c r="CP882">
        <f>$C882*CP881</f>
        <v/>
      </c>
      <c r="CQ882">
        <f>$C882*CQ881</f>
        <v/>
      </c>
      <c r="CR882">
        <f>$C882*CR881</f>
        <v/>
      </c>
      <c r="CS882">
        <f>$C882*CS881</f>
        <v/>
      </c>
      <c r="CT882">
        <f>$C882*CT881</f>
        <v/>
      </c>
      <c r="CU882">
        <f>$C882*CU881</f>
        <v/>
      </c>
      <c r="CV882">
        <f>$C882*CV881</f>
        <v/>
      </c>
      <c r="CW882">
        <f>$C882*CW881</f>
        <v/>
      </c>
      <c r="CX882">
        <f>$C882*CX881</f>
        <v/>
      </c>
      <c r="CY882">
        <f>$C882*CY881</f>
        <v/>
      </c>
      <c r="CZ882">
        <f>$C882*CZ881</f>
        <v/>
      </c>
      <c r="DA882">
        <f>$C882*DA881</f>
        <v/>
      </c>
      <c r="DB882">
        <f>$C882*DB881</f>
        <v/>
      </c>
      <c r="DC882">
        <f>$C882*DC881</f>
        <v/>
      </c>
    </row>
    <row r="883">
      <c r="B883" t="inlineStr">
        <is>
          <t>TSP-623</t>
        </is>
      </c>
      <c r="C883" t="inlineStr">
        <is>
          <t>No. of batches</t>
        </is>
      </c>
      <c r="D883">
        <f>IFERROR(INDEX(PP_Grid[#Data],$DD883,2),0)</f>
        <v/>
      </c>
      <c r="E883">
        <f>IFERROR(INDEX(PP_Grid[#Data],$DD883,3),0)</f>
        <v/>
      </c>
      <c r="F883">
        <f>IFERROR(INDEX(PP_Grid[#Data],$DD883,4),0)</f>
        <v/>
      </c>
      <c r="G883">
        <f>IFERROR(INDEX(PP_Grid[#Data],$DD883,5),0)</f>
        <v/>
      </c>
      <c r="H883">
        <f>IFERROR(INDEX(PP_Grid[#Data],$DD883,6),0)</f>
        <v/>
      </c>
      <c r="I883">
        <f>IFERROR(INDEX(PP_Grid[#Data],$DD883,7),0)</f>
        <v/>
      </c>
      <c r="J883">
        <f>IFERROR(INDEX(PP_Grid[#Data],$DD883,8),0)</f>
        <v/>
      </c>
      <c r="K883">
        <f>IFERROR(INDEX(PP_Grid[#Data],$DD883,9),0)</f>
        <v/>
      </c>
      <c r="L883">
        <f>IFERROR(INDEX(PP_Grid[#Data],$DD883,10),0)</f>
        <v/>
      </c>
      <c r="M883">
        <f>IFERROR(INDEX(PP_Grid[#Data],$DD883,11),0)</f>
        <v/>
      </c>
      <c r="N883">
        <f>IFERROR(INDEX(PP_Grid[#Data],$DD883,12),0)</f>
        <v/>
      </c>
      <c r="O883">
        <f>IFERROR(INDEX(PP_Grid[#Data],$DD883,13),0)</f>
        <v/>
      </c>
      <c r="P883">
        <f>IFERROR(INDEX(PP_Grid[#Data],$DD883,14),0)</f>
        <v/>
      </c>
      <c r="Q883">
        <f>IFERROR(INDEX(PP_Grid[#Data],$DD883,15),0)</f>
        <v/>
      </c>
      <c r="R883">
        <f>IFERROR(INDEX(PP_Grid[#Data],$DD883,16),0)</f>
        <v/>
      </c>
      <c r="S883">
        <f>IFERROR(INDEX(PP_Grid[#Data],$DD883,17),0)</f>
        <v/>
      </c>
      <c r="T883">
        <f>IFERROR(INDEX(PP_Grid[#Data],$DD883,18),0)</f>
        <v/>
      </c>
      <c r="U883">
        <f>IFERROR(INDEX(PP_Grid[#Data],$DD883,19),0)</f>
        <v/>
      </c>
      <c r="V883">
        <f>IFERROR(INDEX(PP_Grid[#Data],$DD883,20),0)</f>
        <v/>
      </c>
      <c r="W883">
        <f>IFERROR(INDEX(PP_Grid[#Data],$DD883,21),0)</f>
        <v/>
      </c>
      <c r="X883">
        <f>IFERROR(INDEX(PP_Grid[#Data],$DD883,22),0)</f>
        <v/>
      </c>
      <c r="Y883">
        <f>IFERROR(INDEX(PP_Grid[#Data],$DD883,23),0)</f>
        <v/>
      </c>
      <c r="Z883">
        <f>IFERROR(INDEX(PP_Grid[#Data],$DD883,24),0)</f>
        <v/>
      </c>
      <c r="AA883">
        <f>IFERROR(INDEX(PP_Grid[#Data],$DD883,25),0)</f>
        <v/>
      </c>
      <c r="AB883">
        <f>IFERROR(INDEX(PP_Grid[#Data],$DD883,26),0)</f>
        <v/>
      </c>
      <c r="AC883">
        <f>IFERROR(INDEX(PP_Grid[#Data],$DD883,27),0)</f>
        <v/>
      </c>
      <c r="AD883">
        <f>IFERROR(INDEX(PP_Grid[#Data],$DD883,28),0)</f>
        <v/>
      </c>
      <c r="AE883">
        <f>IFERROR(INDEX(PP_Grid[#Data],$DD883,29),0)</f>
        <v/>
      </c>
      <c r="AF883">
        <f>IFERROR(INDEX(PP_Grid[#Data],$DD883,30),0)</f>
        <v/>
      </c>
      <c r="AG883">
        <f>IFERROR(INDEX(PP_Grid[#Data],$DD883,31),0)</f>
        <v/>
      </c>
      <c r="AH883">
        <f>IFERROR(INDEX(PP_Grid[#Data],$DD883,32),0)</f>
        <v/>
      </c>
      <c r="AI883">
        <f>IFERROR(INDEX(PP_Grid[#Data],$DD883,33),0)</f>
        <v/>
      </c>
      <c r="AJ883">
        <f>IFERROR(INDEX(PP_Grid[#Data],$DD883,34),0)</f>
        <v/>
      </c>
      <c r="AK883">
        <f>IFERROR(INDEX(PP_Grid[#Data],$DD883,35),0)</f>
        <v/>
      </c>
      <c r="AL883">
        <f>IFERROR(INDEX(PP_Grid[#Data],$DD883,36),0)</f>
        <v/>
      </c>
      <c r="AM883">
        <f>IFERROR(INDEX(PP_Grid[#Data],$DD883,37),0)</f>
        <v/>
      </c>
      <c r="AN883">
        <f>IFERROR(INDEX(PP_Grid[#Data],$DD883,38),0)</f>
        <v/>
      </c>
      <c r="AO883">
        <f>IFERROR(INDEX(PP_Grid[#Data],$DD883,39),0)</f>
        <v/>
      </c>
      <c r="AP883">
        <f>IFERROR(INDEX(PP_Grid[#Data],$DD883,40),0)</f>
        <v/>
      </c>
      <c r="AQ883">
        <f>IFERROR(INDEX(PP_Grid[#Data],$DD883,41),0)</f>
        <v/>
      </c>
      <c r="AR883">
        <f>IFERROR(INDEX(PP_Grid[#Data],$DD883,42),0)</f>
        <v/>
      </c>
      <c r="AS883">
        <f>IFERROR(INDEX(PP_Grid[#Data],$DD883,43),0)</f>
        <v/>
      </c>
      <c r="AT883">
        <f>IFERROR(INDEX(PP_Grid[#Data],$DD883,44),0)</f>
        <v/>
      </c>
      <c r="AU883">
        <f>IFERROR(INDEX(PP_Grid[#Data],$DD883,45),0)</f>
        <v/>
      </c>
      <c r="AV883">
        <f>IFERROR(INDEX(PP_Grid[#Data],$DD883,46),0)</f>
        <v/>
      </c>
      <c r="AW883">
        <f>IFERROR(INDEX(PP_Grid[#Data],$DD883,47),0)</f>
        <v/>
      </c>
      <c r="AX883">
        <f>IFERROR(INDEX(PP_Grid[#Data],$DD883,48),0)</f>
        <v/>
      </c>
      <c r="AY883">
        <f>IFERROR(INDEX(PP_Grid[#Data],$DD883,49),0)</f>
        <v/>
      </c>
      <c r="AZ883">
        <f>IFERROR(INDEX(PP_Grid[#Data],$DD883,50),0)</f>
        <v/>
      </c>
      <c r="BA883">
        <f>IFERROR(INDEX(PP_Grid[#Data],$DD883,51),0)</f>
        <v/>
      </c>
      <c r="BB883">
        <f>IFERROR(INDEX(PP_Grid[#Data],$DD883,52),0)</f>
        <v/>
      </c>
      <c r="BC883">
        <f>IFERROR(INDEX(PP_Grid[#Data],$DD883,53),0)</f>
        <v/>
      </c>
      <c r="BD883">
        <f>IFERROR(INDEX(PP_Grid[#Data],$DD883,54),0)</f>
        <v/>
      </c>
      <c r="BE883">
        <f>IFERROR(INDEX(PP_Grid[#Data],$DD883,55),0)</f>
        <v/>
      </c>
      <c r="BF883">
        <f>IFERROR(INDEX(PP_Grid[#Data],$DD883,56),0)</f>
        <v/>
      </c>
      <c r="BG883">
        <f>IFERROR(INDEX(PP_Grid[#Data],$DD883,57),0)</f>
        <v/>
      </c>
      <c r="BH883">
        <f>IFERROR(INDEX(PP_Grid[#Data],$DD883,58),0)</f>
        <v/>
      </c>
      <c r="BI883">
        <f>IFERROR(INDEX(PP_Grid[#Data],$DD883,59),0)</f>
        <v/>
      </c>
      <c r="BJ883">
        <f>IFERROR(INDEX(PP_Grid[#Data],$DD883,60),0)</f>
        <v/>
      </c>
      <c r="BK883">
        <f>IFERROR(INDEX(PP_Grid[#Data],$DD883,61),0)</f>
        <v/>
      </c>
      <c r="BL883">
        <f>IFERROR(INDEX(PP_Grid[#Data],$DD883,62),0)</f>
        <v/>
      </c>
      <c r="BM883">
        <f>IFERROR(INDEX(PP_Grid[#Data],$DD883,63),0)</f>
        <v/>
      </c>
      <c r="BN883">
        <f>IFERROR(INDEX(PP_Grid[#Data],$DD883,64),0)</f>
        <v/>
      </c>
      <c r="BO883">
        <f>IFERROR(INDEX(PP_Grid[#Data],$DD883,65),0)</f>
        <v/>
      </c>
      <c r="BP883">
        <f>IFERROR(INDEX(PP_Grid[#Data],$DD883,66),0)</f>
        <v/>
      </c>
      <c r="BQ883">
        <f>IFERROR(INDEX(PP_Grid[#Data],$DD883,67),0)</f>
        <v/>
      </c>
      <c r="BR883">
        <f>IFERROR(INDEX(PP_Grid[#Data],$DD883,68),0)</f>
        <v/>
      </c>
      <c r="BS883">
        <f>IFERROR(INDEX(PP_Grid[#Data],$DD883,69),0)</f>
        <v/>
      </c>
      <c r="BT883">
        <f>IFERROR(INDEX(PP_Grid[#Data],$DD883,70),0)</f>
        <v/>
      </c>
      <c r="BU883">
        <f>IFERROR(INDEX(PP_Grid[#Data],$DD883,71),0)</f>
        <v/>
      </c>
      <c r="BV883">
        <f>IFERROR(INDEX(PP_Grid[#Data],$DD883,72),0)</f>
        <v/>
      </c>
      <c r="BW883">
        <f>IFERROR(INDEX(PP_Grid[#Data],$DD883,73),0)</f>
        <v/>
      </c>
      <c r="BX883">
        <f>IFERROR(INDEX(PP_Grid[#Data],$DD883,74),0)</f>
        <v/>
      </c>
      <c r="BY883">
        <f>IFERROR(INDEX(PP_Grid[#Data],$DD883,75),0)</f>
        <v/>
      </c>
      <c r="BZ883">
        <f>IFERROR(INDEX(PP_Grid[#Data],$DD883,76),0)</f>
        <v/>
      </c>
      <c r="CA883">
        <f>IFERROR(INDEX(PP_Grid[#Data],$DD883,77),0)</f>
        <v/>
      </c>
      <c r="CB883">
        <f>IFERROR(INDEX(PP_Grid[#Data],$DD883,78),0)</f>
        <v/>
      </c>
      <c r="CC883">
        <f>IFERROR(INDEX(PP_Grid[#Data],$DD883,79),0)</f>
        <v/>
      </c>
      <c r="CD883">
        <f>IFERROR(INDEX(PP_Grid[#Data],$DD883,80),0)</f>
        <v/>
      </c>
      <c r="CE883">
        <f>IFERROR(INDEX(PP_Grid[#Data],$DD883,81),0)</f>
        <v/>
      </c>
      <c r="CF883">
        <f>IFERROR(INDEX(PP_Grid[#Data],$DD883,82),0)</f>
        <v/>
      </c>
      <c r="CG883">
        <f>IFERROR(INDEX(PP_Grid[#Data],$DD883,83),0)</f>
        <v/>
      </c>
      <c r="CH883">
        <f>IFERROR(INDEX(PP_Grid[#Data],$DD883,84),0)</f>
        <v/>
      </c>
      <c r="CI883">
        <f>IFERROR(INDEX(PP_Grid[#Data],$DD883,85),0)</f>
        <v/>
      </c>
      <c r="CJ883">
        <f>IFERROR(INDEX(PP_Grid[#Data],$DD883,86),0)</f>
        <v/>
      </c>
      <c r="CK883">
        <f>IFERROR(INDEX(PP_Grid[#Data],$DD883,87),0)</f>
        <v/>
      </c>
      <c r="CL883">
        <f>IFERROR(INDEX(PP_Grid[#Data],$DD883,88),0)</f>
        <v/>
      </c>
      <c r="CM883">
        <f>IFERROR(INDEX(PP_Grid[#Data],$DD883,89),0)</f>
        <v/>
      </c>
      <c r="CN883">
        <f>IFERROR(INDEX(PP_Grid[#Data],$DD883,90),0)</f>
        <v/>
      </c>
      <c r="CO883">
        <f>IFERROR(INDEX(PP_Grid[#Data],$DD883,91),0)</f>
        <v/>
      </c>
      <c r="CP883">
        <f>IFERROR(INDEX(PP_Grid[#Data],$DD883,92),0)</f>
        <v/>
      </c>
      <c r="CQ883">
        <f>IFERROR(INDEX(PP_Grid[#Data],$DD883,93),0)</f>
        <v/>
      </c>
      <c r="CR883">
        <f>IFERROR(INDEX(PP_Grid[#Data],$DD883,94),0)</f>
        <v/>
      </c>
      <c r="CS883">
        <f>IFERROR(INDEX(PP_Grid[#Data],$DD883,95),0)</f>
        <v/>
      </c>
      <c r="CT883">
        <f>IFERROR(INDEX(PP_Grid[#Data],$DD883,96),0)</f>
        <v/>
      </c>
      <c r="CU883">
        <f>IFERROR(INDEX(PP_Grid[#Data],$DD883,97),0)</f>
        <v/>
      </c>
      <c r="CV883">
        <f>IFERROR(INDEX(PP_Grid[#Data],$DD883,98),0)</f>
        <v/>
      </c>
      <c r="CW883">
        <f>IFERROR(INDEX(PP_Grid[#Data],$DD883,99),0)</f>
        <v/>
      </c>
      <c r="CX883">
        <f>IFERROR(INDEX(PP_Grid[#Data],$DD883,100),0)</f>
        <v/>
      </c>
      <c r="CY883">
        <f>IFERROR(INDEX(PP_Grid[#Data],$DD883,101),0)</f>
        <v/>
      </c>
      <c r="CZ883">
        <f>IFERROR(INDEX(PP_Grid[#Data],$DD883,102),0)</f>
        <v/>
      </c>
      <c r="DA883">
        <f>IFERROR(INDEX(PP_Grid[#Data],$DD883,103),0)</f>
        <v/>
      </c>
      <c r="DB883">
        <f>IFERROR(INDEX(PP_Grid[#Data],$DD883,104),0)</f>
        <v/>
      </c>
      <c r="DC883">
        <f>IFERROR(INDEX(PP_Grid[#Data],$DD883,105),0)</f>
        <v/>
      </c>
      <c r="DD883" s="12">
        <f>IFERROR(MATCH($B883,PP_Grid[Intermediate],0),99999)</f>
        <v/>
      </c>
    </row>
    <row r="884">
      <c r="B884" t="inlineStr">
        <is>
          <t>使用量(kg)</t>
        </is>
      </c>
      <c r="C884">
        <f>SUMIFS(M_BOM[RM_Qty_Per_Batch],M_BOM[Intermediate],$B883,M_BOM[Part Name],$A862)</f>
        <v/>
      </c>
      <c r="D884">
        <f>$C884*D883</f>
        <v/>
      </c>
      <c r="E884">
        <f>$C884*E883</f>
        <v/>
      </c>
      <c r="F884">
        <f>$C884*F883</f>
        <v/>
      </c>
      <c r="G884">
        <f>$C884*G883</f>
        <v/>
      </c>
      <c r="H884">
        <f>$C884*H883</f>
        <v/>
      </c>
      <c r="I884">
        <f>$C884*I883</f>
        <v/>
      </c>
      <c r="J884">
        <f>$C884*J883</f>
        <v/>
      </c>
      <c r="K884">
        <f>$C884*K883</f>
        <v/>
      </c>
      <c r="L884">
        <f>$C884*L883</f>
        <v/>
      </c>
      <c r="M884">
        <f>$C884*M883</f>
        <v/>
      </c>
      <c r="N884">
        <f>$C884*N883</f>
        <v/>
      </c>
      <c r="O884">
        <f>$C884*O883</f>
        <v/>
      </c>
      <c r="P884">
        <f>$C884*P883</f>
        <v/>
      </c>
      <c r="Q884">
        <f>$C884*Q883</f>
        <v/>
      </c>
      <c r="R884">
        <f>$C884*R883</f>
        <v/>
      </c>
      <c r="S884">
        <f>$C884*S883</f>
        <v/>
      </c>
      <c r="T884">
        <f>$C884*T883</f>
        <v/>
      </c>
      <c r="U884">
        <f>$C884*U883</f>
        <v/>
      </c>
      <c r="V884">
        <f>$C884*V883</f>
        <v/>
      </c>
      <c r="W884">
        <f>$C884*W883</f>
        <v/>
      </c>
      <c r="X884">
        <f>$C884*X883</f>
        <v/>
      </c>
      <c r="Y884">
        <f>$C884*Y883</f>
        <v/>
      </c>
      <c r="Z884">
        <f>$C884*Z883</f>
        <v/>
      </c>
      <c r="AA884">
        <f>$C884*AA883</f>
        <v/>
      </c>
      <c r="AB884">
        <f>$C884*AB883</f>
        <v/>
      </c>
      <c r="AC884">
        <f>$C884*AC883</f>
        <v/>
      </c>
      <c r="AD884">
        <f>$C884*AD883</f>
        <v/>
      </c>
      <c r="AE884">
        <f>$C884*AE883</f>
        <v/>
      </c>
      <c r="AF884">
        <f>$C884*AF883</f>
        <v/>
      </c>
      <c r="AG884">
        <f>$C884*AG883</f>
        <v/>
      </c>
      <c r="AH884">
        <f>$C884*AH883</f>
        <v/>
      </c>
      <c r="AI884">
        <f>$C884*AI883</f>
        <v/>
      </c>
      <c r="AJ884">
        <f>$C884*AJ883</f>
        <v/>
      </c>
      <c r="AK884">
        <f>$C884*AK883</f>
        <v/>
      </c>
      <c r="AL884">
        <f>$C884*AL883</f>
        <v/>
      </c>
      <c r="AM884">
        <f>$C884*AM883</f>
        <v/>
      </c>
      <c r="AN884">
        <f>$C884*AN883</f>
        <v/>
      </c>
      <c r="AO884">
        <f>$C884*AO883</f>
        <v/>
      </c>
      <c r="AP884">
        <f>$C884*AP883</f>
        <v/>
      </c>
      <c r="AQ884">
        <f>$C884*AQ883</f>
        <v/>
      </c>
      <c r="AR884">
        <f>$C884*AR883</f>
        <v/>
      </c>
      <c r="AS884">
        <f>$C884*AS883</f>
        <v/>
      </c>
      <c r="AT884">
        <f>$C884*AT883</f>
        <v/>
      </c>
      <c r="AU884">
        <f>$C884*AU883</f>
        <v/>
      </c>
      <c r="AV884">
        <f>$C884*AV883</f>
        <v/>
      </c>
      <c r="AW884">
        <f>$C884*AW883</f>
        <v/>
      </c>
      <c r="AX884">
        <f>$C884*AX883</f>
        <v/>
      </c>
      <c r="AY884">
        <f>$C884*AY883</f>
        <v/>
      </c>
      <c r="AZ884">
        <f>$C884*AZ883</f>
        <v/>
      </c>
      <c r="BA884">
        <f>$C884*BA883</f>
        <v/>
      </c>
      <c r="BB884">
        <f>$C884*BB883</f>
        <v/>
      </c>
      <c r="BC884">
        <f>$C884*BC883</f>
        <v/>
      </c>
      <c r="BD884">
        <f>$C884*BD883</f>
        <v/>
      </c>
      <c r="BE884">
        <f>$C884*BE883</f>
        <v/>
      </c>
      <c r="BF884">
        <f>$C884*BF883</f>
        <v/>
      </c>
      <c r="BG884">
        <f>$C884*BG883</f>
        <v/>
      </c>
      <c r="BH884">
        <f>$C884*BH883</f>
        <v/>
      </c>
      <c r="BI884">
        <f>$C884*BI883</f>
        <v/>
      </c>
      <c r="BJ884">
        <f>$C884*BJ883</f>
        <v/>
      </c>
      <c r="BK884">
        <f>$C884*BK883</f>
        <v/>
      </c>
      <c r="BL884">
        <f>$C884*BL883</f>
        <v/>
      </c>
      <c r="BM884">
        <f>$C884*BM883</f>
        <v/>
      </c>
      <c r="BN884">
        <f>$C884*BN883</f>
        <v/>
      </c>
      <c r="BO884">
        <f>$C884*BO883</f>
        <v/>
      </c>
      <c r="BP884">
        <f>$C884*BP883</f>
        <v/>
      </c>
      <c r="BQ884">
        <f>$C884*BQ883</f>
        <v/>
      </c>
      <c r="BR884">
        <f>$C884*BR883</f>
        <v/>
      </c>
      <c r="BS884">
        <f>$C884*BS883</f>
        <v/>
      </c>
      <c r="BT884">
        <f>$C884*BT883</f>
        <v/>
      </c>
      <c r="BU884">
        <f>$C884*BU883</f>
        <v/>
      </c>
      <c r="BV884">
        <f>$C884*BV883</f>
        <v/>
      </c>
      <c r="BW884">
        <f>$C884*BW883</f>
        <v/>
      </c>
      <c r="BX884">
        <f>$C884*BX883</f>
        <v/>
      </c>
      <c r="BY884">
        <f>$C884*BY883</f>
        <v/>
      </c>
      <c r="BZ884">
        <f>$C884*BZ883</f>
        <v/>
      </c>
      <c r="CA884">
        <f>$C884*CA883</f>
        <v/>
      </c>
      <c r="CB884">
        <f>$C884*CB883</f>
        <v/>
      </c>
      <c r="CC884">
        <f>$C884*CC883</f>
        <v/>
      </c>
      <c r="CD884">
        <f>$C884*CD883</f>
        <v/>
      </c>
      <c r="CE884">
        <f>$C884*CE883</f>
        <v/>
      </c>
      <c r="CF884">
        <f>$C884*CF883</f>
        <v/>
      </c>
      <c r="CG884">
        <f>$C884*CG883</f>
        <v/>
      </c>
      <c r="CH884">
        <f>$C884*CH883</f>
        <v/>
      </c>
      <c r="CI884">
        <f>$C884*CI883</f>
        <v/>
      </c>
      <c r="CJ884">
        <f>$C884*CJ883</f>
        <v/>
      </c>
      <c r="CK884">
        <f>$C884*CK883</f>
        <v/>
      </c>
      <c r="CL884">
        <f>$C884*CL883</f>
        <v/>
      </c>
      <c r="CM884">
        <f>$C884*CM883</f>
        <v/>
      </c>
      <c r="CN884">
        <f>$C884*CN883</f>
        <v/>
      </c>
      <c r="CO884">
        <f>$C884*CO883</f>
        <v/>
      </c>
      <c r="CP884">
        <f>$C884*CP883</f>
        <v/>
      </c>
      <c r="CQ884">
        <f>$C884*CQ883</f>
        <v/>
      </c>
      <c r="CR884">
        <f>$C884*CR883</f>
        <v/>
      </c>
      <c r="CS884">
        <f>$C884*CS883</f>
        <v/>
      </c>
      <c r="CT884">
        <f>$C884*CT883</f>
        <v/>
      </c>
      <c r="CU884">
        <f>$C884*CU883</f>
        <v/>
      </c>
      <c r="CV884">
        <f>$C884*CV883</f>
        <v/>
      </c>
      <c r="CW884">
        <f>$C884*CW883</f>
        <v/>
      </c>
      <c r="CX884">
        <f>$C884*CX883</f>
        <v/>
      </c>
      <c r="CY884">
        <f>$C884*CY883</f>
        <v/>
      </c>
      <c r="CZ884">
        <f>$C884*CZ883</f>
        <v/>
      </c>
      <c r="DA884">
        <f>$C884*DA883</f>
        <v/>
      </c>
      <c r="DB884">
        <f>$C884*DB883</f>
        <v/>
      </c>
      <c r="DC884">
        <f>$C884*DC883</f>
        <v/>
      </c>
    </row>
    <row r="885">
      <c r="B885" t="inlineStr">
        <is>
          <t>TSP-927</t>
        </is>
      </c>
      <c r="C885" t="inlineStr">
        <is>
          <t>No. of batches</t>
        </is>
      </c>
      <c r="D885">
        <f>IFERROR(INDEX(PP_Grid[#Data],$DD885,2),0)</f>
        <v/>
      </c>
      <c r="E885">
        <f>IFERROR(INDEX(PP_Grid[#Data],$DD885,3),0)</f>
        <v/>
      </c>
      <c r="F885">
        <f>IFERROR(INDEX(PP_Grid[#Data],$DD885,4),0)</f>
        <v/>
      </c>
      <c r="G885">
        <f>IFERROR(INDEX(PP_Grid[#Data],$DD885,5),0)</f>
        <v/>
      </c>
      <c r="H885">
        <f>IFERROR(INDEX(PP_Grid[#Data],$DD885,6),0)</f>
        <v/>
      </c>
      <c r="I885">
        <f>IFERROR(INDEX(PP_Grid[#Data],$DD885,7),0)</f>
        <v/>
      </c>
      <c r="J885">
        <f>IFERROR(INDEX(PP_Grid[#Data],$DD885,8),0)</f>
        <v/>
      </c>
      <c r="K885">
        <f>IFERROR(INDEX(PP_Grid[#Data],$DD885,9),0)</f>
        <v/>
      </c>
      <c r="L885">
        <f>IFERROR(INDEX(PP_Grid[#Data],$DD885,10),0)</f>
        <v/>
      </c>
      <c r="M885">
        <f>IFERROR(INDEX(PP_Grid[#Data],$DD885,11),0)</f>
        <v/>
      </c>
      <c r="N885">
        <f>IFERROR(INDEX(PP_Grid[#Data],$DD885,12),0)</f>
        <v/>
      </c>
      <c r="O885">
        <f>IFERROR(INDEX(PP_Grid[#Data],$DD885,13),0)</f>
        <v/>
      </c>
      <c r="P885">
        <f>IFERROR(INDEX(PP_Grid[#Data],$DD885,14),0)</f>
        <v/>
      </c>
      <c r="Q885">
        <f>IFERROR(INDEX(PP_Grid[#Data],$DD885,15),0)</f>
        <v/>
      </c>
      <c r="R885">
        <f>IFERROR(INDEX(PP_Grid[#Data],$DD885,16),0)</f>
        <v/>
      </c>
      <c r="S885">
        <f>IFERROR(INDEX(PP_Grid[#Data],$DD885,17),0)</f>
        <v/>
      </c>
      <c r="T885">
        <f>IFERROR(INDEX(PP_Grid[#Data],$DD885,18),0)</f>
        <v/>
      </c>
      <c r="U885">
        <f>IFERROR(INDEX(PP_Grid[#Data],$DD885,19),0)</f>
        <v/>
      </c>
      <c r="V885">
        <f>IFERROR(INDEX(PP_Grid[#Data],$DD885,20),0)</f>
        <v/>
      </c>
      <c r="W885">
        <f>IFERROR(INDEX(PP_Grid[#Data],$DD885,21),0)</f>
        <v/>
      </c>
      <c r="X885">
        <f>IFERROR(INDEX(PP_Grid[#Data],$DD885,22),0)</f>
        <v/>
      </c>
      <c r="Y885">
        <f>IFERROR(INDEX(PP_Grid[#Data],$DD885,23),0)</f>
        <v/>
      </c>
      <c r="Z885">
        <f>IFERROR(INDEX(PP_Grid[#Data],$DD885,24),0)</f>
        <v/>
      </c>
      <c r="AA885">
        <f>IFERROR(INDEX(PP_Grid[#Data],$DD885,25),0)</f>
        <v/>
      </c>
      <c r="AB885">
        <f>IFERROR(INDEX(PP_Grid[#Data],$DD885,26),0)</f>
        <v/>
      </c>
      <c r="AC885">
        <f>IFERROR(INDEX(PP_Grid[#Data],$DD885,27),0)</f>
        <v/>
      </c>
      <c r="AD885">
        <f>IFERROR(INDEX(PP_Grid[#Data],$DD885,28),0)</f>
        <v/>
      </c>
      <c r="AE885">
        <f>IFERROR(INDEX(PP_Grid[#Data],$DD885,29),0)</f>
        <v/>
      </c>
      <c r="AF885">
        <f>IFERROR(INDEX(PP_Grid[#Data],$DD885,30),0)</f>
        <v/>
      </c>
      <c r="AG885">
        <f>IFERROR(INDEX(PP_Grid[#Data],$DD885,31),0)</f>
        <v/>
      </c>
      <c r="AH885">
        <f>IFERROR(INDEX(PP_Grid[#Data],$DD885,32),0)</f>
        <v/>
      </c>
      <c r="AI885">
        <f>IFERROR(INDEX(PP_Grid[#Data],$DD885,33),0)</f>
        <v/>
      </c>
      <c r="AJ885">
        <f>IFERROR(INDEX(PP_Grid[#Data],$DD885,34),0)</f>
        <v/>
      </c>
      <c r="AK885">
        <f>IFERROR(INDEX(PP_Grid[#Data],$DD885,35),0)</f>
        <v/>
      </c>
      <c r="AL885">
        <f>IFERROR(INDEX(PP_Grid[#Data],$DD885,36),0)</f>
        <v/>
      </c>
      <c r="AM885">
        <f>IFERROR(INDEX(PP_Grid[#Data],$DD885,37),0)</f>
        <v/>
      </c>
      <c r="AN885">
        <f>IFERROR(INDEX(PP_Grid[#Data],$DD885,38),0)</f>
        <v/>
      </c>
      <c r="AO885">
        <f>IFERROR(INDEX(PP_Grid[#Data],$DD885,39),0)</f>
        <v/>
      </c>
      <c r="AP885">
        <f>IFERROR(INDEX(PP_Grid[#Data],$DD885,40),0)</f>
        <v/>
      </c>
      <c r="AQ885">
        <f>IFERROR(INDEX(PP_Grid[#Data],$DD885,41),0)</f>
        <v/>
      </c>
      <c r="AR885">
        <f>IFERROR(INDEX(PP_Grid[#Data],$DD885,42),0)</f>
        <v/>
      </c>
      <c r="AS885">
        <f>IFERROR(INDEX(PP_Grid[#Data],$DD885,43),0)</f>
        <v/>
      </c>
      <c r="AT885">
        <f>IFERROR(INDEX(PP_Grid[#Data],$DD885,44),0)</f>
        <v/>
      </c>
      <c r="AU885">
        <f>IFERROR(INDEX(PP_Grid[#Data],$DD885,45),0)</f>
        <v/>
      </c>
      <c r="AV885">
        <f>IFERROR(INDEX(PP_Grid[#Data],$DD885,46),0)</f>
        <v/>
      </c>
      <c r="AW885">
        <f>IFERROR(INDEX(PP_Grid[#Data],$DD885,47),0)</f>
        <v/>
      </c>
      <c r="AX885">
        <f>IFERROR(INDEX(PP_Grid[#Data],$DD885,48),0)</f>
        <v/>
      </c>
      <c r="AY885">
        <f>IFERROR(INDEX(PP_Grid[#Data],$DD885,49),0)</f>
        <v/>
      </c>
      <c r="AZ885">
        <f>IFERROR(INDEX(PP_Grid[#Data],$DD885,50),0)</f>
        <v/>
      </c>
      <c r="BA885">
        <f>IFERROR(INDEX(PP_Grid[#Data],$DD885,51),0)</f>
        <v/>
      </c>
      <c r="BB885">
        <f>IFERROR(INDEX(PP_Grid[#Data],$DD885,52),0)</f>
        <v/>
      </c>
      <c r="BC885">
        <f>IFERROR(INDEX(PP_Grid[#Data],$DD885,53),0)</f>
        <v/>
      </c>
      <c r="BD885">
        <f>IFERROR(INDEX(PP_Grid[#Data],$DD885,54),0)</f>
        <v/>
      </c>
      <c r="BE885">
        <f>IFERROR(INDEX(PP_Grid[#Data],$DD885,55),0)</f>
        <v/>
      </c>
      <c r="BF885">
        <f>IFERROR(INDEX(PP_Grid[#Data],$DD885,56),0)</f>
        <v/>
      </c>
      <c r="BG885">
        <f>IFERROR(INDEX(PP_Grid[#Data],$DD885,57),0)</f>
        <v/>
      </c>
      <c r="BH885">
        <f>IFERROR(INDEX(PP_Grid[#Data],$DD885,58),0)</f>
        <v/>
      </c>
      <c r="BI885">
        <f>IFERROR(INDEX(PP_Grid[#Data],$DD885,59),0)</f>
        <v/>
      </c>
      <c r="BJ885">
        <f>IFERROR(INDEX(PP_Grid[#Data],$DD885,60),0)</f>
        <v/>
      </c>
      <c r="BK885">
        <f>IFERROR(INDEX(PP_Grid[#Data],$DD885,61),0)</f>
        <v/>
      </c>
      <c r="BL885">
        <f>IFERROR(INDEX(PP_Grid[#Data],$DD885,62),0)</f>
        <v/>
      </c>
      <c r="BM885">
        <f>IFERROR(INDEX(PP_Grid[#Data],$DD885,63),0)</f>
        <v/>
      </c>
      <c r="BN885">
        <f>IFERROR(INDEX(PP_Grid[#Data],$DD885,64),0)</f>
        <v/>
      </c>
      <c r="BO885">
        <f>IFERROR(INDEX(PP_Grid[#Data],$DD885,65),0)</f>
        <v/>
      </c>
      <c r="BP885">
        <f>IFERROR(INDEX(PP_Grid[#Data],$DD885,66),0)</f>
        <v/>
      </c>
      <c r="BQ885">
        <f>IFERROR(INDEX(PP_Grid[#Data],$DD885,67),0)</f>
        <v/>
      </c>
      <c r="BR885">
        <f>IFERROR(INDEX(PP_Grid[#Data],$DD885,68),0)</f>
        <v/>
      </c>
      <c r="BS885">
        <f>IFERROR(INDEX(PP_Grid[#Data],$DD885,69),0)</f>
        <v/>
      </c>
      <c r="BT885">
        <f>IFERROR(INDEX(PP_Grid[#Data],$DD885,70),0)</f>
        <v/>
      </c>
      <c r="BU885">
        <f>IFERROR(INDEX(PP_Grid[#Data],$DD885,71),0)</f>
        <v/>
      </c>
      <c r="BV885">
        <f>IFERROR(INDEX(PP_Grid[#Data],$DD885,72),0)</f>
        <v/>
      </c>
      <c r="BW885">
        <f>IFERROR(INDEX(PP_Grid[#Data],$DD885,73),0)</f>
        <v/>
      </c>
      <c r="BX885">
        <f>IFERROR(INDEX(PP_Grid[#Data],$DD885,74),0)</f>
        <v/>
      </c>
      <c r="BY885">
        <f>IFERROR(INDEX(PP_Grid[#Data],$DD885,75),0)</f>
        <v/>
      </c>
      <c r="BZ885">
        <f>IFERROR(INDEX(PP_Grid[#Data],$DD885,76),0)</f>
        <v/>
      </c>
      <c r="CA885">
        <f>IFERROR(INDEX(PP_Grid[#Data],$DD885,77),0)</f>
        <v/>
      </c>
      <c r="CB885">
        <f>IFERROR(INDEX(PP_Grid[#Data],$DD885,78),0)</f>
        <v/>
      </c>
      <c r="CC885">
        <f>IFERROR(INDEX(PP_Grid[#Data],$DD885,79),0)</f>
        <v/>
      </c>
      <c r="CD885">
        <f>IFERROR(INDEX(PP_Grid[#Data],$DD885,80),0)</f>
        <v/>
      </c>
      <c r="CE885">
        <f>IFERROR(INDEX(PP_Grid[#Data],$DD885,81),0)</f>
        <v/>
      </c>
      <c r="CF885">
        <f>IFERROR(INDEX(PP_Grid[#Data],$DD885,82),0)</f>
        <v/>
      </c>
      <c r="CG885">
        <f>IFERROR(INDEX(PP_Grid[#Data],$DD885,83),0)</f>
        <v/>
      </c>
      <c r="CH885">
        <f>IFERROR(INDEX(PP_Grid[#Data],$DD885,84),0)</f>
        <v/>
      </c>
      <c r="CI885">
        <f>IFERROR(INDEX(PP_Grid[#Data],$DD885,85),0)</f>
        <v/>
      </c>
      <c r="CJ885">
        <f>IFERROR(INDEX(PP_Grid[#Data],$DD885,86),0)</f>
        <v/>
      </c>
      <c r="CK885">
        <f>IFERROR(INDEX(PP_Grid[#Data],$DD885,87),0)</f>
        <v/>
      </c>
      <c r="CL885">
        <f>IFERROR(INDEX(PP_Grid[#Data],$DD885,88),0)</f>
        <v/>
      </c>
      <c r="CM885">
        <f>IFERROR(INDEX(PP_Grid[#Data],$DD885,89),0)</f>
        <v/>
      </c>
      <c r="CN885">
        <f>IFERROR(INDEX(PP_Grid[#Data],$DD885,90),0)</f>
        <v/>
      </c>
      <c r="CO885">
        <f>IFERROR(INDEX(PP_Grid[#Data],$DD885,91),0)</f>
        <v/>
      </c>
      <c r="CP885">
        <f>IFERROR(INDEX(PP_Grid[#Data],$DD885,92),0)</f>
        <v/>
      </c>
      <c r="CQ885">
        <f>IFERROR(INDEX(PP_Grid[#Data],$DD885,93),0)</f>
        <v/>
      </c>
      <c r="CR885">
        <f>IFERROR(INDEX(PP_Grid[#Data],$DD885,94),0)</f>
        <v/>
      </c>
      <c r="CS885">
        <f>IFERROR(INDEX(PP_Grid[#Data],$DD885,95),0)</f>
        <v/>
      </c>
      <c r="CT885">
        <f>IFERROR(INDEX(PP_Grid[#Data],$DD885,96),0)</f>
        <v/>
      </c>
      <c r="CU885">
        <f>IFERROR(INDEX(PP_Grid[#Data],$DD885,97),0)</f>
        <v/>
      </c>
      <c r="CV885">
        <f>IFERROR(INDEX(PP_Grid[#Data],$DD885,98),0)</f>
        <v/>
      </c>
      <c r="CW885">
        <f>IFERROR(INDEX(PP_Grid[#Data],$DD885,99),0)</f>
        <v/>
      </c>
      <c r="CX885">
        <f>IFERROR(INDEX(PP_Grid[#Data],$DD885,100),0)</f>
        <v/>
      </c>
      <c r="CY885">
        <f>IFERROR(INDEX(PP_Grid[#Data],$DD885,101),0)</f>
        <v/>
      </c>
      <c r="CZ885">
        <f>IFERROR(INDEX(PP_Grid[#Data],$DD885,102),0)</f>
        <v/>
      </c>
      <c r="DA885">
        <f>IFERROR(INDEX(PP_Grid[#Data],$DD885,103),0)</f>
        <v/>
      </c>
      <c r="DB885">
        <f>IFERROR(INDEX(PP_Grid[#Data],$DD885,104),0)</f>
        <v/>
      </c>
      <c r="DC885">
        <f>IFERROR(INDEX(PP_Grid[#Data],$DD885,105),0)</f>
        <v/>
      </c>
      <c r="DD885" s="12">
        <f>IFERROR(MATCH($B885,PP_Grid[Intermediate],0),99999)</f>
        <v/>
      </c>
    </row>
    <row r="886">
      <c r="B886" t="inlineStr">
        <is>
          <t>使用量(kg)</t>
        </is>
      </c>
      <c r="C886">
        <f>SUMIFS(M_BOM[RM_Qty_Per_Batch],M_BOM[Intermediate],$B885,M_BOM[Part Name],$A862)</f>
        <v/>
      </c>
      <c r="D886">
        <f>$C886*D885</f>
        <v/>
      </c>
      <c r="E886">
        <f>$C886*E885</f>
        <v/>
      </c>
      <c r="F886">
        <f>$C886*F885</f>
        <v/>
      </c>
      <c r="G886">
        <f>$C886*G885</f>
        <v/>
      </c>
      <c r="H886">
        <f>$C886*H885</f>
        <v/>
      </c>
      <c r="I886">
        <f>$C886*I885</f>
        <v/>
      </c>
      <c r="J886">
        <f>$C886*J885</f>
        <v/>
      </c>
      <c r="K886">
        <f>$C886*K885</f>
        <v/>
      </c>
      <c r="L886">
        <f>$C886*L885</f>
        <v/>
      </c>
      <c r="M886">
        <f>$C886*M885</f>
        <v/>
      </c>
      <c r="N886">
        <f>$C886*N885</f>
        <v/>
      </c>
      <c r="O886">
        <f>$C886*O885</f>
        <v/>
      </c>
      <c r="P886">
        <f>$C886*P885</f>
        <v/>
      </c>
      <c r="Q886">
        <f>$C886*Q885</f>
        <v/>
      </c>
      <c r="R886">
        <f>$C886*R885</f>
        <v/>
      </c>
      <c r="S886">
        <f>$C886*S885</f>
        <v/>
      </c>
      <c r="T886">
        <f>$C886*T885</f>
        <v/>
      </c>
      <c r="U886">
        <f>$C886*U885</f>
        <v/>
      </c>
      <c r="V886">
        <f>$C886*V885</f>
        <v/>
      </c>
      <c r="W886">
        <f>$C886*W885</f>
        <v/>
      </c>
      <c r="X886">
        <f>$C886*X885</f>
        <v/>
      </c>
      <c r="Y886">
        <f>$C886*Y885</f>
        <v/>
      </c>
      <c r="Z886">
        <f>$C886*Z885</f>
        <v/>
      </c>
      <c r="AA886">
        <f>$C886*AA885</f>
        <v/>
      </c>
      <c r="AB886">
        <f>$C886*AB885</f>
        <v/>
      </c>
      <c r="AC886">
        <f>$C886*AC885</f>
        <v/>
      </c>
      <c r="AD886">
        <f>$C886*AD885</f>
        <v/>
      </c>
      <c r="AE886">
        <f>$C886*AE885</f>
        <v/>
      </c>
      <c r="AF886">
        <f>$C886*AF885</f>
        <v/>
      </c>
      <c r="AG886">
        <f>$C886*AG885</f>
        <v/>
      </c>
      <c r="AH886">
        <f>$C886*AH885</f>
        <v/>
      </c>
      <c r="AI886">
        <f>$C886*AI885</f>
        <v/>
      </c>
      <c r="AJ886">
        <f>$C886*AJ885</f>
        <v/>
      </c>
      <c r="AK886">
        <f>$C886*AK885</f>
        <v/>
      </c>
      <c r="AL886">
        <f>$C886*AL885</f>
        <v/>
      </c>
      <c r="AM886">
        <f>$C886*AM885</f>
        <v/>
      </c>
      <c r="AN886">
        <f>$C886*AN885</f>
        <v/>
      </c>
      <c r="AO886">
        <f>$C886*AO885</f>
        <v/>
      </c>
      <c r="AP886">
        <f>$C886*AP885</f>
        <v/>
      </c>
      <c r="AQ886">
        <f>$C886*AQ885</f>
        <v/>
      </c>
      <c r="AR886">
        <f>$C886*AR885</f>
        <v/>
      </c>
      <c r="AS886">
        <f>$C886*AS885</f>
        <v/>
      </c>
      <c r="AT886">
        <f>$C886*AT885</f>
        <v/>
      </c>
      <c r="AU886">
        <f>$C886*AU885</f>
        <v/>
      </c>
      <c r="AV886">
        <f>$C886*AV885</f>
        <v/>
      </c>
      <c r="AW886">
        <f>$C886*AW885</f>
        <v/>
      </c>
      <c r="AX886">
        <f>$C886*AX885</f>
        <v/>
      </c>
      <c r="AY886">
        <f>$C886*AY885</f>
        <v/>
      </c>
      <c r="AZ886">
        <f>$C886*AZ885</f>
        <v/>
      </c>
      <c r="BA886">
        <f>$C886*BA885</f>
        <v/>
      </c>
      <c r="BB886">
        <f>$C886*BB885</f>
        <v/>
      </c>
      <c r="BC886">
        <f>$C886*BC885</f>
        <v/>
      </c>
      <c r="BD886">
        <f>$C886*BD885</f>
        <v/>
      </c>
      <c r="BE886">
        <f>$C886*BE885</f>
        <v/>
      </c>
      <c r="BF886">
        <f>$C886*BF885</f>
        <v/>
      </c>
      <c r="BG886">
        <f>$C886*BG885</f>
        <v/>
      </c>
      <c r="BH886">
        <f>$C886*BH885</f>
        <v/>
      </c>
      <c r="BI886">
        <f>$C886*BI885</f>
        <v/>
      </c>
      <c r="BJ886">
        <f>$C886*BJ885</f>
        <v/>
      </c>
      <c r="BK886">
        <f>$C886*BK885</f>
        <v/>
      </c>
      <c r="BL886">
        <f>$C886*BL885</f>
        <v/>
      </c>
      <c r="BM886">
        <f>$C886*BM885</f>
        <v/>
      </c>
      <c r="BN886">
        <f>$C886*BN885</f>
        <v/>
      </c>
      <c r="BO886">
        <f>$C886*BO885</f>
        <v/>
      </c>
      <c r="BP886">
        <f>$C886*BP885</f>
        <v/>
      </c>
      <c r="BQ886">
        <f>$C886*BQ885</f>
        <v/>
      </c>
      <c r="BR886">
        <f>$C886*BR885</f>
        <v/>
      </c>
      <c r="BS886">
        <f>$C886*BS885</f>
        <v/>
      </c>
      <c r="BT886">
        <f>$C886*BT885</f>
        <v/>
      </c>
      <c r="BU886">
        <f>$C886*BU885</f>
        <v/>
      </c>
      <c r="BV886">
        <f>$C886*BV885</f>
        <v/>
      </c>
      <c r="BW886">
        <f>$C886*BW885</f>
        <v/>
      </c>
      <c r="BX886">
        <f>$C886*BX885</f>
        <v/>
      </c>
      <c r="BY886">
        <f>$C886*BY885</f>
        <v/>
      </c>
      <c r="BZ886">
        <f>$C886*BZ885</f>
        <v/>
      </c>
      <c r="CA886">
        <f>$C886*CA885</f>
        <v/>
      </c>
      <c r="CB886">
        <f>$C886*CB885</f>
        <v/>
      </c>
      <c r="CC886">
        <f>$C886*CC885</f>
        <v/>
      </c>
      <c r="CD886">
        <f>$C886*CD885</f>
        <v/>
      </c>
      <c r="CE886">
        <f>$C886*CE885</f>
        <v/>
      </c>
      <c r="CF886">
        <f>$C886*CF885</f>
        <v/>
      </c>
      <c r="CG886">
        <f>$C886*CG885</f>
        <v/>
      </c>
      <c r="CH886">
        <f>$C886*CH885</f>
        <v/>
      </c>
      <c r="CI886">
        <f>$C886*CI885</f>
        <v/>
      </c>
      <c r="CJ886">
        <f>$C886*CJ885</f>
        <v/>
      </c>
      <c r="CK886">
        <f>$C886*CK885</f>
        <v/>
      </c>
      <c r="CL886">
        <f>$C886*CL885</f>
        <v/>
      </c>
      <c r="CM886">
        <f>$C886*CM885</f>
        <v/>
      </c>
      <c r="CN886">
        <f>$C886*CN885</f>
        <v/>
      </c>
      <c r="CO886">
        <f>$C886*CO885</f>
        <v/>
      </c>
      <c r="CP886">
        <f>$C886*CP885</f>
        <v/>
      </c>
      <c r="CQ886">
        <f>$C886*CQ885</f>
        <v/>
      </c>
      <c r="CR886">
        <f>$C886*CR885</f>
        <v/>
      </c>
      <c r="CS886">
        <f>$C886*CS885</f>
        <v/>
      </c>
      <c r="CT886">
        <f>$C886*CT885</f>
        <v/>
      </c>
      <c r="CU886">
        <f>$C886*CU885</f>
        <v/>
      </c>
      <c r="CV886">
        <f>$C886*CV885</f>
        <v/>
      </c>
      <c r="CW886">
        <f>$C886*CW885</f>
        <v/>
      </c>
      <c r="CX886">
        <f>$C886*CX885</f>
        <v/>
      </c>
      <c r="CY886">
        <f>$C886*CY885</f>
        <v/>
      </c>
      <c r="CZ886">
        <f>$C886*CZ885</f>
        <v/>
      </c>
      <c r="DA886">
        <f>$C886*DA885</f>
        <v/>
      </c>
      <c r="DB886">
        <f>$C886*DB885</f>
        <v/>
      </c>
      <c r="DC886">
        <f>$C886*DC885</f>
        <v/>
      </c>
    </row>
    <row r="887">
      <c r="B887" t="inlineStr">
        <is>
          <t>TSP-928</t>
        </is>
      </c>
      <c r="C887" t="inlineStr">
        <is>
          <t>No. of batches</t>
        </is>
      </c>
      <c r="D887">
        <f>IFERROR(INDEX(PP_Grid[#Data],$DD887,2),0)</f>
        <v/>
      </c>
      <c r="E887">
        <f>IFERROR(INDEX(PP_Grid[#Data],$DD887,3),0)</f>
        <v/>
      </c>
      <c r="F887">
        <f>IFERROR(INDEX(PP_Grid[#Data],$DD887,4),0)</f>
        <v/>
      </c>
      <c r="G887">
        <f>IFERROR(INDEX(PP_Grid[#Data],$DD887,5),0)</f>
        <v/>
      </c>
      <c r="H887">
        <f>IFERROR(INDEX(PP_Grid[#Data],$DD887,6),0)</f>
        <v/>
      </c>
      <c r="I887">
        <f>IFERROR(INDEX(PP_Grid[#Data],$DD887,7),0)</f>
        <v/>
      </c>
      <c r="J887">
        <f>IFERROR(INDEX(PP_Grid[#Data],$DD887,8),0)</f>
        <v/>
      </c>
      <c r="K887">
        <f>IFERROR(INDEX(PP_Grid[#Data],$DD887,9),0)</f>
        <v/>
      </c>
      <c r="L887">
        <f>IFERROR(INDEX(PP_Grid[#Data],$DD887,10),0)</f>
        <v/>
      </c>
      <c r="M887">
        <f>IFERROR(INDEX(PP_Grid[#Data],$DD887,11),0)</f>
        <v/>
      </c>
      <c r="N887">
        <f>IFERROR(INDEX(PP_Grid[#Data],$DD887,12),0)</f>
        <v/>
      </c>
      <c r="O887">
        <f>IFERROR(INDEX(PP_Grid[#Data],$DD887,13),0)</f>
        <v/>
      </c>
      <c r="P887">
        <f>IFERROR(INDEX(PP_Grid[#Data],$DD887,14),0)</f>
        <v/>
      </c>
      <c r="Q887">
        <f>IFERROR(INDEX(PP_Grid[#Data],$DD887,15),0)</f>
        <v/>
      </c>
      <c r="R887">
        <f>IFERROR(INDEX(PP_Grid[#Data],$DD887,16),0)</f>
        <v/>
      </c>
      <c r="S887">
        <f>IFERROR(INDEX(PP_Grid[#Data],$DD887,17),0)</f>
        <v/>
      </c>
      <c r="T887">
        <f>IFERROR(INDEX(PP_Grid[#Data],$DD887,18),0)</f>
        <v/>
      </c>
      <c r="U887">
        <f>IFERROR(INDEX(PP_Grid[#Data],$DD887,19),0)</f>
        <v/>
      </c>
      <c r="V887">
        <f>IFERROR(INDEX(PP_Grid[#Data],$DD887,20),0)</f>
        <v/>
      </c>
      <c r="W887">
        <f>IFERROR(INDEX(PP_Grid[#Data],$DD887,21),0)</f>
        <v/>
      </c>
      <c r="X887">
        <f>IFERROR(INDEX(PP_Grid[#Data],$DD887,22),0)</f>
        <v/>
      </c>
      <c r="Y887">
        <f>IFERROR(INDEX(PP_Grid[#Data],$DD887,23),0)</f>
        <v/>
      </c>
      <c r="Z887">
        <f>IFERROR(INDEX(PP_Grid[#Data],$DD887,24),0)</f>
        <v/>
      </c>
      <c r="AA887">
        <f>IFERROR(INDEX(PP_Grid[#Data],$DD887,25),0)</f>
        <v/>
      </c>
      <c r="AB887">
        <f>IFERROR(INDEX(PP_Grid[#Data],$DD887,26),0)</f>
        <v/>
      </c>
      <c r="AC887">
        <f>IFERROR(INDEX(PP_Grid[#Data],$DD887,27),0)</f>
        <v/>
      </c>
      <c r="AD887">
        <f>IFERROR(INDEX(PP_Grid[#Data],$DD887,28),0)</f>
        <v/>
      </c>
      <c r="AE887">
        <f>IFERROR(INDEX(PP_Grid[#Data],$DD887,29),0)</f>
        <v/>
      </c>
      <c r="AF887">
        <f>IFERROR(INDEX(PP_Grid[#Data],$DD887,30),0)</f>
        <v/>
      </c>
      <c r="AG887">
        <f>IFERROR(INDEX(PP_Grid[#Data],$DD887,31),0)</f>
        <v/>
      </c>
      <c r="AH887">
        <f>IFERROR(INDEX(PP_Grid[#Data],$DD887,32),0)</f>
        <v/>
      </c>
      <c r="AI887">
        <f>IFERROR(INDEX(PP_Grid[#Data],$DD887,33),0)</f>
        <v/>
      </c>
      <c r="AJ887">
        <f>IFERROR(INDEX(PP_Grid[#Data],$DD887,34),0)</f>
        <v/>
      </c>
      <c r="AK887">
        <f>IFERROR(INDEX(PP_Grid[#Data],$DD887,35),0)</f>
        <v/>
      </c>
      <c r="AL887">
        <f>IFERROR(INDEX(PP_Grid[#Data],$DD887,36),0)</f>
        <v/>
      </c>
      <c r="AM887">
        <f>IFERROR(INDEX(PP_Grid[#Data],$DD887,37),0)</f>
        <v/>
      </c>
      <c r="AN887">
        <f>IFERROR(INDEX(PP_Grid[#Data],$DD887,38),0)</f>
        <v/>
      </c>
      <c r="AO887">
        <f>IFERROR(INDEX(PP_Grid[#Data],$DD887,39),0)</f>
        <v/>
      </c>
      <c r="AP887">
        <f>IFERROR(INDEX(PP_Grid[#Data],$DD887,40),0)</f>
        <v/>
      </c>
      <c r="AQ887">
        <f>IFERROR(INDEX(PP_Grid[#Data],$DD887,41),0)</f>
        <v/>
      </c>
      <c r="AR887">
        <f>IFERROR(INDEX(PP_Grid[#Data],$DD887,42),0)</f>
        <v/>
      </c>
      <c r="AS887">
        <f>IFERROR(INDEX(PP_Grid[#Data],$DD887,43),0)</f>
        <v/>
      </c>
      <c r="AT887">
        <f>IFERROR(INDEX(PP_Grid[#Data],$DD887,44),0)</f>
        <v/>
      </c>
      <c r="AU887">
        <f>IFERROR(INDEX(PP_Grid[#Data],$DD887,45),0)</f>
        <v/>
      </c>
      <c r="AV887">
        <f>IFERROR(INDEX(PP_Grid[#Data],$DD887,46),0)</f>
        <v/>
      </c>
      <c r="AW887">
        <f>IFERROR(INDEX(PP_Grid[#Data],$DD887,47),0)</f>
        <v/>
      </c>
      <c r="AX887">
        <f>IFERROR(INDEX(PP_Grid[#Data],$DD887,48),0)</f>
        <v/>
      </c>
      <c r="AY887">
        <f>IFERROR(INDEX(PP_Grid[#Data],$DD887,49),0)</f>
        <v/>
      </c>
      <c r="AZ887">
        <f>IFERROR(INDEX(PP_Grid[#Data],$DD887,50),0)</f>
        <v/>
      </c>
      <c r="BA887">
        <f>IFERROR(INDEX(PP_Grid[#Data],$DD887,51),0)</f>
        <v/>
      </c>
      <c r="BB887">
        <f>IFERROR(INDEX(PP_Grid[#Data],$DD887,52),0)</f>
        <v/>
      </c>
      <c r="BC887">
        <f>IFERROR(INDEX(PP_Grid[#Data],$DD887,53),0)</f>
        <v/>
      </c>
      <c r="BD887">
        <f>IFERROR(INDEX(PP_Grid[#Data],$DD887,54),0)</f>
        <v/>
      </c>
      <c r="BE887">
        <f>IFERROR(INDEX(PP_Grid[#Data],$DD887,55),0)</f>
        <v/>
      </c>
      <c r="BF887">
        <f>IFERROR(INDEX(PP_Grid[#Data],$DD887,56),0)</f>
        <v/>
      </c>
      <c r="BG887">
        <f>IFERROR(INDEX(PP_Grid[#Data],$DD887,57),0)</f>
        <v/>
      </c>
      <c r="BH887">
        <f>IFERROR(INDEX(PP_Grid[#Data],$DD887,58),0)</f>
        <v/>
      </c>
      <c r="BI887">
        <f>IFERROR(INDEX(PP_Grid[#Data],$DD887,59),0)</f>
        <v/>
      </c>
      <c r="BJ887">
        <f>IFERROR(INDEX(PP_Grid[#Data],$DD887,60),0)</f>
        <v/>
      </c>
      <c r="BK887">
        <f>IFERROR(INDEX(PP_Grid[#Data],$DD887,61),0)</f>
        <v/>
      </c>
      <c r="BL887">
        <f>IFERROR(INDEX(PP_Grid[#Data],$DD887,62),0)</f>
        <v/>
      </c>
      <c r="BM887">
        <f>IFERROR(INDEX(PP_Grid[#Data],$DD887,63),0)</f>
        <v/>
      </c>
      <c r="BN887">
        <f>IFERROR(INDEX(PP_Grid[#Data],$DD887,64),0)</f>
        <v/>
      </c>
      <c r="BO887">
        <f>IFERROR(INDEX(PP_Grid[#Data],$DD887,65),0)</f>
        <v/>
      </c>
      <c r="BP887">
        <f>IFERROR(INDEX(PP_Grid[#Data],$DD887,66),0)</f>
        <v/>
      </c>
      <c r="BQ887">
        <f>IFERROR(INDEX(PP_Grid[#Data],$DD887,67),0)</f>
        <v/>
      </c>
      <c r="BR887">
        <f>IFERROR(INDEX(PP_Grid[#Data],$DD887,68),0)</f>
        <v/>
      </c>
      <c r="BS887">
        <f>IFERROR(INDEX(PP_Grid[#Data],$DD887,69),0)</f>
        <v/>
      </c>
      <c r="BT887">
        <f>IFERROR(INDEX(PP_Grid[#Data],$DD887,70),0)</f>
        <v/>
      </c>
      <c r="BU887">
        <f>IFERROR(INDEX(PP_Grid[#Data],$DD887,71),0)</f>
        <v/>
      </c>
      <c r="BV887">
        <f>IFERROR(INDEX(PP_Grid[#Data],$DD887,72),0)</f>
        <v/>
      </c>
      <c r="BW887">
        <f>IFERROR(INDEX(PP_Grid[#Data],$DD887,73),0)</f>
        <v/>
      </c>
      <c r="BX887">
        <f>IFERROR(INDEX(PP_Grid[#Data],$DD887,74),0)</f>
        <v/>
      </c>
      <c r="BY887">
        <f>IFERROR(INDEX(PP_Grid[#Data],$DD887,75),0)</f>
        <v/>
      </c>
      <c r="BZ887">
        <f>IFERROR(INDEX(PP_Grid[#Data],$DD887,76),0)</f>
        <v/>
      </c>
      <c r="CA887">
        <f>IFERROR(INDEX(PP_Grid[#Data],$DD887,77),0)</f>
        <v/>
      </c>
      <c r="CB887">
        <f>IFERROR(INDEX(PP_Grid[#Data],$DD887,78),0)</f>
        <v/>
      </c>
      <c r="CC887">
        <f>IFERROR(INDEX(PP_Grid[#Data],$DD887,79),0)</f>
        <v/>
      </c>
      <c r="CD887">
        <f>IFERROR(INDEX(PP_Grid[#Data],$DD887,80),0)</f>
        <v/>
      </c>
      <c r="CE887">
        <f>IFERROR(INDEX(PP_Grid[#Data],$DD887,81),0)</f>
        <v/>
      </c>
      <c r="CF887">
        <f>IFERROR(INDEX(PP_Grid[#Data],$DD887,82),0)</f>
        <v/>
      </c>
      <c r="CG887">
        <f>IFERROR(INDEX(PP_Grid[#Data],$DD887,83),0)</f>
        <v/>
      </c>
      <c r="CH887">
        <f>IFERROR(INDEX(PP_Grid[#Data],$DD887,84),0)</f>
        <v/>
      </c>
      <c r="CI887">
        <f>IFERROR(INDEX(PP_Grid[#Data],$DD887,85),0)</f>
        <v/>
      </c>
      <c r="CJ887">
        <f>IFERROR(INDEX(PP_Grid[#Data],$DD887,86),0)</f>
        <v/>
      </c>
      <c r="CK887">
        <f>IFERROR(INDEX(PP_Grid[#Data],$DD887,87),0)</f>
        <v/>
      </c>
      <c r="CL887">
        <f>IFERROR(INDEX(PP_Grid[#Data],$DD887,88),0)</f>
        <v/>
      </c>
      <c r="CM887">
        <f>IFERROR(INDEX(PP_Grid[#Data],$DD887,89),0)</f>
        <v/>
      </c>
      <c r="CN887">
        <f>IFERROR(INDEX(PP_Grid[#Data],$DD887,90),0)</f>
        <v/>
      </c>
      <c r="CO887">
        <f>IFERROR(INDEX(PP_Grid[#Data],$DD887,91),0)</f>
        <v/>
      </c>
      <c r="CP887">
        <f>IFERROR(INDEX(PP_Grid[#Data],$DD887,92),0)</f>
        <v/>
      </c>
      <c r="CQ887">
        <f>IFERROR(INDEX(PP_Grid[#Data],$DD887,93),0)</f>
        <v/>
      </c>
      <c r="CR887">
        <f>IFERROR(INDEX(PP_Grid[#Data],$DD887,94),0)</f>
        <v/>
      </c>
      <c r="CS887">
        <f>IFERROR(INDEX(PP_Grid[#Data],$DD887,95),0)</f>
        <v/>
      </c>
      <c r="CT887">
        <f>IFERROR(INDEX(PP_Grid[#Data],$DD887,96),0)</f>
        <v/>
      </c>
      <c r="CU887">
        <f>IFERROR(INDEX(PP_Grid[#Data],$DD887,97),0)</f>
        <v/>
      </c>
      <c r="CV887">
        <f>IFERROR(INDEX(PP_Grid[#Data],$DD887,98),0)</f>
        <v/>
      </c>
      <c r="CW887">
        <f>IFERROR(INDEX(PP_Grid[#Data],$DD887,99),0)</f>
        <v/>
      </c>
      <c r="CX887">
        <f>IFERROR(INDEX(PP_Grid[#Data],$DD887,100),0)</f>
        <v/>
      </c>
      <c r="CY887">
        <f>IFERROR(INDEX(PP_Grid[#Data],$DD887,101),0)</f>
        <v/>
      </c>
      <c r="CZ887">
        <f>IFERROR(INDEX(PP_Grid[#Data],$DD887,102),0)</f>
        <v/>
      </c>
      <c r="DA887">
        <f>IFERROR(INDEX(PP_Grid[#Data],$DD887,103),0)</f>
        <v/>
      </c>
      <c r="DB887">
        <f>IFERROR(INDEX(PP_Grid[#Data],$DD887,104),0)</f>
        <v/>
      </c>
      <c r="DC887">
        <f>IFERROR(INDEX(PP_Grid[#Data],$DD887,105),0)</f>
        <v/>
      </c>
      <c r="DD887" s="12">
        <f>IFERROR(MATCH($B887,PP_Grid[Intermediate],0),99999)</f>
        <v/>
      </c>
    </row>
    <row r="888">
      <c r="B888" t="inlineStr">
        <is>
          <t>使用量(kg)</t>
        </is>
      </c>
      <c r="C888">
        <f>SUMIFS(M_BOM[RM_Qty_Per_Batch],M_BOM[Intermediate],$B887,M_BOM[Part Name],$A862)</f>
        <v/>
      </c>
      <c r="D888">
        <f>$C888*D887</f>
        <v/>
      </c>
      <c r="E888">
        <f>$C888*E887</f>
        <v/>
      </c>
      <c r="F888">
        <f>$C888*F887</f>
        <v/>
      </c>
      <c r="G888">
        <f>$C888*G887</f>
        <v/>
      </c>
      <c r="H888">
        <f>$C888*H887</f>
        <v/>
      </c>
      <c r="I888">
        <f>$C888*I887</f>
        <v/>
      </c>
      <c r="J888">
        <f>$C888*J887</f>
        <v/>
      </c>
      <c r="K888">
        <f>$C888*K887</f>
        <v/>
      </c>
      <c r="L888">
        <f>$C888*L887</f>
        <v/>
      </c>
      <c r="M888">
        <f>$C888*M887</f>
        <v/>
      </c>
      <c r="N888">
        <f>$C888*N887</f>
        <v/>
      </c>
      <c r="O888">
        <f>$C888*O887</f>
        <v/>
      </c>
      <c r="P888">
        <f>$C888*P887</f>
        <v/>
      </c>
      <c r="Q888">
        <f>$C888*Q887</f>
        <v/>
      </c>
      <c r="R888">
        <f>$C888*R887</f>
        <v/>
      </c>
      <c r="S888">
        <f>$C888*S887</f>
        <v/>
      </c>
      <c r="T888">
        <f>$C888*T887</f>
        <v/>
      </c>
      <c r="U888">
        <f>$C888*U887</f>
        <v/>
      </c>
      <c r="V888">
        <f>$C888*V887</f>
        <v/>
      </c>
      <c r="W888">
        <f>$C888*W887</f>
        <v/>
      </c>
      <c r="X888">
        <f>$C888*X887</f>
        <v/>
      </c>
      <c r="Y888">
        <f>$C888*Y887</f>
        <v/>
      </c>
      <c r="Z888">
        <f>$C888*Z887</f>
        <v/>
      </c>
      <c r="AA888">
        <f>$C888*AA887</f>
        <v/>
      </c>
      <c r="AB888">
        <f>$C888*AB887</f>
        <v/>
      </c>
      <c r="AC888">
        <f>$C888*AC887</f>
        <v/>
      </c>
      <c r="AD888">
        <f>$C888*AD887</f>
        <v/>
      </c>
      <c r="AE888">
        <f>$C888*AE887</f>
        <v/>
      </c>
      <c r="AF888">
        <f>$C888*AF887</f>
        <v/>
      </c>
      <c r="AG888">
        <f>$C888*AG887</f>
        <v/>
      </c>
      <c r="AH888">
        <f>$C888*AH887</f>
        <v/>
      </c>
      <c r="AI888">
        <f>$C888*AI887</f>
        <v/>
      </c>
      <c r="AJ888">
        <f>$C888*AJ887</f>
        <v/>
      </c>
      <c r="AK888">
        <f>$C888*AK887</f>
        <v/>
      </c>
      <c r="AL888">
        <f>$C888*AL887</f>
        <v/>
      </c>
      <c r="AM888">
        <f>$C888*AM887</f>
        <v/>
      </c>
      <c r="AN888">
        <f>$C888*AN887</f>
        <v/>
      </c>
      <c r="AO888">
        <f>$C888*AO887</f>
        <v/>
      </c>
      <c r="AP888">
        <f>$C888*AP887</f>
        <v/>
      </c>
      <c r="AQ888">
        <f>$C888*AQ887</f>
        <v/>
      </c>
      <c r="AR888">
        <f>$C888*AR887</f>
        <v/>
      </c>
      <c r="AS888">
        <f>$C888*AS887</f>
        <v/>
      </c>
      <c r="AT888">
        <f>$C888*AT887</f>
        <v/>
      </c>
      <c r="AU888">
        <f>$C888*AU887</f>
        <v/>
      </c>
      <c r="AV888">
        <f>$C888*AV887</f>
        <v/>
      </c>
      <c r="AW888">
        <f>$C888*AW887</f>
        <v/>
      </c>
      <c r="AX888">
        <f>$C888*AX887</f>
        <v/>
      </c>
      <c r="AY888">
        <f>$C888*AY887</f>
        <v/>
      </c>
      <c r="AZ888">
        <f>$C888*AZ887</f>
        <v/>
      </c>
      <c r="BA888">
        <f>$C888*BA887</f>
        <v/>
      </c>
      <c r="BB888">
        <f>$C888*BB887</f>
        <v/>
      </c>
      <c r="BC888">
        <f>$C888*BC887</f>
        <v/>
      </c>
      <c r="BD888">
        <f>$C888*BD887</f>
        <v/>
      </c>
      <c r="BE888">
        <f>$C888*BE887</f>
        <v/>
      </c>
      <c r="BF888">
        <f>$C888*BF887</f>
        <v/>
      </c>
      <c r="BG888">
        <f>$C888*BG887</f>
        <v/>
      </c>
      <c r="BH888">
        <f>$C888*BH887</f>
        <v/>
      </c>
      <c r="BI888">
        <f>$C888*BI887</f>
        <v/>
      </c>
      <c r="BJ888">
        <f>$C888*BJ887</f>
        <v/>
      </c>
      <c r="BK888">
        <f>$C888*BK887</f>
        <v/>
      </c>
      <c r="BL888">
        <f>$C888*BL887</f>
        <v/>
      </c>
      <c r="BM888">
        <f>$C888*BM887</f>
        <v/>
      </c>
      <c r="BN888">
        <f>$C888*BN887</f>
        <v/>
      </c>
      <c r="BO888">
        <f>$C888*BO887</f>
        <v/>
      </c>
      <c r="BP888">
        <f>$C888*BP887</f>
        <v/>
      </c>
      <c r="BQ888">
        <f>$C888*BQ887</f>
        <v/>
      </c>
      <c r="BR888">
        <f>$C888*BR887</f>
        <v/>
      </c>
      <c r="BS888">
        <f>$C888*BS887</f>
        <v/>
      </c>
      <c r="BT888">
        <f>$C888*BT887</f>
        <v/>
      </c>
      <c r="BU888">
        <f>$C888*BU887</f>
        <v/>
      </c>
      <c r="BV888">
        <f>$C888*BV887</f>
        <v/>
      </c>
      <c r="BW888">
        <f>$C888*BW887</f>
        <v/>
      </c>
      <c r="BX888">
        <f>$C888*BX887</f>
        <v/>
      </c>
      <c r="BY888">
        <f>$C888*BY887</f>
        <v/>
      </c>
      <c r="BZ888">
        <f>$C888*BZ887</f>
        <v/>
      </c>
      <c r="CA888">
        <f>$C888*CA887</f>
        <v/>
      </c>
      <c r="CB888">
        <f>$C888*CB887</f>
        <v/>
      </c>
      <c r="CC888">
        <f>$C888*CC887</f>
        <v/>
      </c>
      <c r="CD888">
        <f>$C888*CD887</f>
        <v/>
      </c>
      <c r="CE888">
        <f>$C888*CE887</f>
        <v/>
      </c>
      <c r="CF888">
        <f>$C888*CF887</f>
        <v/>
      </c>
      <c r="CG888">
        <f>$C888*CG887</f>
        <v/>
      </c>
      <c r="CH888">
        <f>$C888*CH887</f>
        <v/>
      </c>
      <c r="CI888">
        <f>$C888*CI887</f>
        <v/>
      </c>
      <c r="CJ888">
        <f>$C888*CJ887</f>
        <v/>
      </c>
      <c r="CK888">
        <f>$C888*CK887</f>
        <v/>
      </c>
      <c r="CL888">
        <f>$C888*CL887</f>
        <v/>
      </c>
      <c r="CM888">
        <f>$C888*CM887</f>
        <v/>
      </c>
      <c r="CN888">
        <f>$C888*CN887</f>
        <v/>
      </c>
      <c r="CO888">
        <f>$C888*CO887</f>
        <v/>
      </c>
      <c r="CP888">
        <f>$C888*CP887</f>
        <v/>
      </c>
      <c r="CQ888">
        <f>$C888*CQ887</f>
        <v/>
      </c>
      <c r="CR888">
        <f>$C888*CR887</f>
        <v/>
      </c>
      <c r="CS888">
        <f>$C888*CS887</f>
        <v/>
      </c>
      <c r="CT888">
        <f>$C888*CT887</f>
        <v/>
      </c>
      <c r="CU888">
        <f>$C888*CU887</f>
        <v/>
      </c>
      <c r="CV888">
        <f>$C888*CV887</f>
        <v/>
      </c>
      <c r="CW888">
        <f>$C888*CW887</f>
        <v/>
      </c>
      <c r="CX888">
        <f>$C888*CX887</f>
        <v/>
      </c>
      <c r="CY888">
        <f>$C888*CY887</f>
        <v/>
      </c>
      <c r="CZ888">
        <f>$C888*CZ887</f>
        <v/>
      </c>
      <c r="DA888">
        <f>$C888*DA887</f>
        <v/>
      </c>
      <c r="DB888">
        <f>$C888*DB887</f>
        <v/>
      </c>
      <c r="DC888">
        <f>$C888*DC887</f>
        <v/>
      </c>
    </row>
    <row r="889">
      <c r="B889" t="inlineStr">
        <is>
          <t>TSP-929</t>
        </is>
      </c>
      <c r="C889" t="inlineStr">
        <is>
          <t>No. of batches</t>
        </is>
      </c>
      <c r="D889">
        <f>IFERROR(INDEX(PP_Grid[#Data],$DD889,2),0)</f>
        <v/>
      </c>
      <c r="E889">
        <f>IFERROR(INDEX(PP_Grid[#Data],$DD889,3),0)</f>
        <v/>
      </c>
      <c r="F889">
        <f>IFERROR(INDEX(PP_Grid[#Data],$DD889,4),0)</f>
        <v/>
      </c>
      <c r="G889">
        <f>IFERROR(INDEX(PP_Grid[#Data],$DD889,5),0)</f>
        <v/>
      </c>
      <c r="H889">
        <f>IFERROR(INDEX(PP_Grid[#Data],$DD889,6),0)</f>
        <v/>
      </c>
      <c r="I889">
        <f>IFERROR(INDEX(PP_Grid[#Data],$DD889,7),0)</f>
        <v/>
      </c>
      <c r="J889">
        <f>IFERROR(INDEX(PP_Grid[#Data],$DD889,8),0)</f>
        <v/>
      </c>
      <c r="K889">
        <f>IFERROR(INDEX(PP_Grid[#Data],$DD889,9),0)</f>
        <v/>
      </c>
      <c r="L889">
        <f>IFERROR(INDEX(PP_Grid[#Data],$DD889,10),0)</f>
        <v/>
      </c>
      <c r="M889">
        <f>IFERROR(INDEX(PP_Grid[#Data],$DD889,11),0)</f>
        <v/>
      </c>
      <c r="N889">
        <f>IFERROR(INDEX(PP_Grid[#Data],$DD889,12),0)</f>
        <v/>
      </c>
      <c r="O889">
        <f>IFERROR(INDEX(PP_Grid[#Data],$DD889,13),0)</f>
        <v/>
      </c>
      <c r="P889">
        <f>IFERROR(INDEX(PP_Grid[#Data],$DD889,14),0)</f>
        <v/>
      </c>
      <c r="Q889">
        <f>IFERROR(INDEX(PP_Grid[#Data],$DD889,15),0)</f>
        <v/>
      </c>
      <c r="R889">
        <f>IFERROR(INDEX(PP_Grid[#Data],$DD889,16),0)</f>
        <v/>
      </c>
      <c r="S889">
        <f>IFERROR(INDEX(PP_Grid[#Data],$DD889,17),0)</f>
        <v/>
      </c>
      <c r="T889">
        <f>IFERROR(INDEX(PP_Grid[#Data],$DD889,18),0)</f>
        <v/>
      </c>
      <c r="U889">
        <f>IFERROR(INDEX(PP_Grid[#Data],$DD889,19),0)</f>
        <v/>
      </c>
      <c r="V889">
        <f>IFERROR(INDEX(PP_Grid[#Data],$DD889,20),0)</f>
        <v/>
      </c>
      <c r="W889">
        <f>IFERROR(INDEX(PP_Grid[#Data],$DD889,21),0)</f>
        <v/>
      </c>
      <c r="X889">
        <f>IFERROR(INDEX(PP_Grid[#Data],$DD889,22),0)</f>
        <v/>
      </c>
      <c r="Y889">
        <f>IFERROR(INDEX(PP_Grid[#Data],$DD889,23),0)</f>
        <v/>
      </c>
      <c r="Z889">
        <f>IFERROR(INDEX(PP_Grid[#Data],$DD889,24),0)</f>
        <v/>
      </c>
      <c r="AA889">
        <f>IFERROR(INDEX(PP_Grid[#Data],$DD889,25),0)</f>
        <v/>
      </c>
      <c r="AB889">
        <f>IFERROR(INDEX(PP_Grid[#Data],$DD889,26),0)</f>
        <v/>
      </c>
      <c r="AC889">
        <f>IFERROR(INDEX(PP_Grid[#Data],$DD889,27),0)</f>
        <v/>
      </c>
      <c r="AD889">
        <f>IFERROR(INDEX(PP_Grid[#Data],$DD889,28),0)</f>
        <v/>
      </c>
      <c r="AE889">
        <f>IFERROR(INDEX(PP_Grid[#Data],$DD889,29),0)</f>
        <v/>
      </c>
      <c r="AF889">
        <f>IFERROR(INDEX(PP_Grid[#Data],$DD889,30),0)</f>
        <v/>
      </c>
      <c r="AG889">
        <f>IFERROR(INDEX(PP_Grid[#Data],$DD889,31),0)</f>
        <v/>
      </c>
      <c r="AH889">
        <f>IFERROR(INDEX(PP_Grid[#Data],$DD889,32),0)</f>
        <v/>
      </c>
      <c r="AI889">
        <f>IFERROR(INDEX(PP_Grid[#Data],$DD889,33),0)</f>
        <v/>
      </c>
      <c r="AJ889">
        <f>IFERROR(INDEX(PP_Grid[#Data],$DD889,34),0)</f>
        <v/>
      </c>
      <c r="AK889">
        <f>IFERROR(INDEX(PP_Grid[#Data],$DD889,35),0)</f>
        <v/>
      </c>
      <c r="AL889">
        <f>IFERROR(INDEX(PP_Grid[#Data],$DD889,36),0)</f>
        <v/>
      </c>
      <c r="AM889">
        <f>IFERROR(INDEX(PP_Grid[#Data],$DD889,37),0)</f>
        <v/>
      </c>
      <c r="AN889">
        <f>IFERROR(INDEX(PP_Grid[#Data],$DD889,38),0)</f>
        <v/>
      </c>
      <c r="AO889">
        <f>IFERROR(INDEX(PP_Grid[#Data],$DD889,39),0)</f>
        <v/>
      </c>
      <c r="AP889">
        <f>IFERROR(INDEX(PP_Grid[#Data],$DD889,40),0)</f>
        <v/>
      </c>
      <c r="AQ889">
        <f>IFERROR(INDEX(PP_Grid[#Data],$DD889,41),0)</f>
        <v/>
      </c>
      <c r="AR889">
        <f>IFERROR(INDEX(PP_Grid[#Data],$DD889,42),0)</f>
        <v/>
      </c>
      <c r="AS889">
        <f>IFERROR(INDEX(PP_Grid[#Data],$DD889,43),0)</f>
        <v/>
      </c>
      <c r="AT889">
        <f>IFERROR(INDEX(PP_Grid[#Data],$DD889,44),0)</f>
        <v/>
      </c>
      <c r="AU889">
        <f>IFERROR(INDEX(PP_Grid[#Data],$DD889,45),0)</f>
        <v/>
      </c>
      <c r="AV889">
        <f>IFERROR(INDEX(PP_Grid[#Data],$DD889,46),0)</f>
        <v/>
      </c>
      <c r="AW889">
        <f>IFERROR(INDEX(PP_Grid[#Data],$DD889,47),0)</f>
        <v/>
      </c>
      <c r="AX889">
        <f>IFERROR(INDEX(PP_Grid[#Data],$DD889,48),0)</f>
        <v/>
      </c>
      <c r="AY889">
        <f>IFERROR(INDEX(PP_Grid[#Data],$DD889,49),0)</f>
        <v/>
      </c>
      <c r="AZ889">
        <f>IFERROR(INDEX(PP_Grid[#Data],$DD889,50),0)</f>
        <v/>
      </c>
      <c r="BA889">
        <f>IFERROR(INDEX(PP_Grid[#Data],$DD889,51),0)</f>
        <v/>
      </c>
      <c r="BB889">
        <f>IFERROR(INDEX(PP_Grid[#Data],$DD889,52),0)</f>
        <v/>
      </c>
      <c r="BC889">
        <f>IFERROR(INDEX(PP_Grid[#Data],$DD889,53),0)</f>
        <v/>
      </c>
      <c r="BD889">
        <f>IFERROR(INDEX(PP_Grid[#Data],$DD889,54),0)</f>
        <v/>
      </c>
      <c r="BE889">
        <f>IFERROR(INDEX(PP_Grid[#Data],$DD889,55),0)</f>
        <v/>
      </c>
      <c r="BF889">
        <f>IFERROR(INDEX(PP_Grid[#Data],$DD889,56),0)</f>
        <v/>
      </c>
      <c r="BG889">
        <f>IFERROR(INDEX(PP_Grid[#Data],$DD889,57),0)</f>
        <v/>
      </c>
      <c r="BH889">
        <f>IFERROR(INDEX(PP_Grid[#Data],$DD889,58),0)</f>
        <v/>
      </c>
      <c r="BI889">
        <f>IFERROR(INDEX(PP_Grid[#Data],$DD889,59),0)</f>
        <v/>
      </c>
      <c r="BJ889">
        <f>IFERROR(INDEX(PP_Grid[#Data],$DD889,60),0)</f>
        <v/>
      </c>
      <c r="BK889">
        <f>IFERROR(INDEX(PP_Grid[#Data],$DD889,61),0)</f>
        <v/>
      </c>
      <c r="BL889">
        <f>IFERROR(INDEX(PP_Grid[#Data],$DD889,62),0)</f>
        <v/>
      </c>
      <c r="BM889">
        <f>IFERROR(INDEX(PP_Grid[#Data],$DD889,63),0)</f>
        <v/>
      </c>
      <c r="BN889">
        <f>IFERROR(INDEX(PP_Grid[#Data],$DD889,64),0)</f>
        <v/>
      </c>
      <c r="BO889">
        <f>IFERROR(INDEX(PP_Grid[#Data],$DD889,65),0)</f>
        <v/>
      </c>
      <c r="BP889">
        <f>IFERROR(INDEX(PP_Grid[#Data],$DD889,66),0)</f>
        <v/>
      </c>
      <c r="BQ889">
        <f>IFERROR(INDEX(PP_Grid[#Data],$DD889,67),0)</f>
        <v/>
      </c>
      <c r="BR889">
        <f>IFERROR(INDEX(PP_Grid[#Data],$DD889,68),0)</f>
        <v/>
      </c>
      <c r="BS889">
        <f>IFERROR(INDEX(PP_Grid[#Data],$DD889,69),0)</f>
        <v/>
      </c>
      <c r="BT889">
        <f>IFERROR(INDEX(PP_Grid[#Data],$DD889,70),0)</f>
        <v/>
      </c>
      <c r="BU889">
        <f>IFERROR(INDEX(PP_Grid[#Data],$DD889,71),0)</f>
        <v/>
      </c>
      <c r="BV889">
        <f>IFERROR(INDEX(PP_Grid[#Data],$DD889,72),0)</f>
        <v/>
      </c>
      <c r="BW889">
        <f>IFERROR(INDEX(PP_Grid[#Data],$DD889,73),0)</f>
        <v/>
      </c>
      <c r="BX889">
        <f>IFERROR(INDEX(PP_Grid[#Data],$DD889,74),0)</f>
        <v/>
      </c>
      <c r="BY889">
        <f>IFERROR(INDEX(PP_Grid[#Data],$DD889,75),0)</f>
        <v/>
      </c>
      <c r="BZ889">
        <f>IFERROR(INDEX(PP_Grid[#Data],$DD889,76),0)</f>
        <v/>
      </c>
      <c r="CA889">
        <f>IFERROR(INDEX(PP_Grid[#Data],$DD889,77),0)</f>
        <v/>
      </c>
      <c r="CB889">
        <f>IFERROR(INDEX(PP_Grid[#Data],$DD889,78),0)</f>
        <v/>
      </c>
      <c r="CC889">
        <f>IFERROR(INDEX(PP_Grid[#Data],$DD889,79),0)</f>
        <v/>
      </c>
      <c r="CD889">
        <f>IFERROR(INDEX(PP_Grid[#Data],$DD889,80),0)</f>
        <v/>
      </c>
      <c r="CE889">
        <f>IFERROR(INDEX(PP_Grid[#Data],$DD889,81),0)</f>
        <v/>
      </c>
      <c r="CF889">
        <f>IFERROR(INDEX(PP_Grid[#Data],$DD889,82),0)</f>
        <v/>
      </c>
      <c r="CG889">
        <f>IFERROR(INDEX(PP_Grid[#Data],$DD889,83),0)</f>
        <v/>
      </c>
      <c r="CH889">
        <f>IFERROR(INDEX(PP_Grid[#Data],$DD889,84),0)</f>
        <v/>
      </c>
      <c r="CI889">
        <f>IFERROR(INDEX(PP_Grid[#Data],$DD889,85),0)</f>
        <v/>
      </c>
      <c r="CJ889">
        <f>IFERROR(INDEX(PP_Grid[#Data],$DD889,86),0)</f>
        <v/>
      </c>
      <c r="CK889">
        <f>IFERROR(INDEX(PP_Grid[#Data],$DD889,87),0)</f>
        <v/>
      </c>
      <c r="CL889">
        <f>IFERROR(INDEX(PP_Grid[#Data],$DD889,88),0)</f>
        <v/>
      </c>
      <c r="CM889">
        <f>IFERROR(INDEX(PP_Grid[#Data],$DD889,89),0)</f>
        <v/>
      </c>
      <c r="CN889">
        <f>IFERROR(INDEX(PP_Grid[#Data],$DD889,90),0)</f>
        <v/>
      </c>
      <c r="CO889">
        <f>IFERROR(INDEX(PP_Grid[#Data],$DD889,91),0)</f>
        <v/>
      </c>
      <c r="CP889">
        <f>IFERROR(INDEX(PP_Grid[#Data],$DD889,92),0)</f>
        <v/>
      </c>
      <c r="CQ889">
        <f>IFERROR(INDEX(PP_Grid[#Data],$DD889,93),0)</f>
        <v/>
      </c>
      <c r="CR889">
        <f>IFERROR(INDEX(PP_Grid[#Data],$DD889,94),0)</f>
        <v/>
      </c>
      <c r="CS889">
        <f>IFERROR(INDEX(PP_Grid[#Data],$DD889,95),0)</f>
        <v/>
      </c>
      <c r="CT889">
        <f>IFERROR(INDEX(PP_Grid[#Data],$DD889,96),0)</f>
        <v/>
      </c>
      <c r="CU889">
        <f>IFERROR(INDEX(PP_Grid[#Data],$DD889,97),0)</f>
        <v/>
      </c>
      <c r="CV889">
        <f>IFERROR(INDEX(PP_Grid[#Data],$DD889,98),0)</f>
        <v/>
      </c>
      <c r="CW889">
        <f>IFERROR(INDEX(PP_Grid[#Data],$DD889,99),0)</f>
        <v/>
      </c>
      <c r="CX889">
        <f>IFERROR(INDEX(PP_Grid[#Data],$DD889,100),0)</f>
        <v/>
      </c>
      <c r="CY889">
        <f>IFERROR(INDEX(PP_Grid[#Data],$DD889,101),0)</f>
        <v/>
      </c>
      <c r="CZ889">
        <f>IFERROR(INDEX(PP_Grid[#Data],$DD889,102),0)</f>
        <v/>
      </c>
      <c r="DA889">
        <f>IFERROR(INDEX(PP_Grid[#Data],$DD889,103),0)</f>
        <v/>
      </c>
      <c r="DB889">
        <f>IFERROR(INDEX(PP_Grid[#Data],$DD889,104),0)</f>
        <v/>
      </c>
      <c r="DC889">
        <f>IFERROR(INDEX(PP_Grid[#Data],$DD889,105),0)</f>
        <v/>
      </c>
      <c r="DD889" s="12">
        <f>IFERROR(MATCH($B889,PP_Grid[Intermediate],0),99999)</f>
        <v/>
      </c>
    </row>
    <row r="890">
      <c r="B890" t="inlineStr">
        <is>
          <t>使用量(kg)</t>
        </is>
      </c>
      <c r="C890">
        <f>SUMIFS(M_BOM[RM_Qty_Per_Batch],M_BOM[Intermediate],$B889,M_BOM[Part Name],$A862)</f>
        <v/>
      </c>
      <c r="D890">
        <f>$C890*D889</f>
        <v/>
      </c>
      <c r="E890">
        <f>$C890*E889</f>
        <v/>
      </c>
      <c r="F890">
        <f>$C890*F889</f>
        <v/>
      </c>
      <c r="G890">
        <f>$C890*G889</f>
        <v/>
      </c>
      <c r="H890">
        <f>$C890*H889</f>
        <v/>
      </c>
      <c r="I890">
        <f>$C890*I889</f>
        <v/>
      </c>
      <c r="J890">
        <f>$C890*J889</f>
        <v/>
      </c>
      <c r="K890">
        <f>$C890*K889</f>
        <v/>
      </c>
      <c r="L890">
        <f>$C890*L889</f>
        <v/>
      </c>
      <c r="M890">
        <f>$C890*M889</f>
        <v/>
      </c>
      <c r="N890">
        <f>$C890*N889</f>
        <v/>
      </c>
      <c r="O890">
        <f>$C890*O889</f>
        <v/>
      </c>
      <c r="P890">
        <f>$C890*P889</f>
        <v/>
      </c>
      <c r="Q890">
        <f>$C890*Q889</f>
        <v/>
      </c>
      <c r="R890">
        <f>$C890*R889</f>
        <v/>
      </c>
      <c r="S890">
        <f>$C890*S889</f>
        <v/>
      </c>
      <c r="T890">
        <f>$C890*T889</f>
        <v/>
      </c>
      <c r="U890">
        <f>$C890*U889</f>
        <v/>
      </c>
      <c r="V890">
        <f>$C890*V889</f>
        <v/>
      </c>
      <c r="W890">
        <f>$C890*W889</f>
        <v/>
      </c>
      <c r="X890">
        <f>$C890*X889</f>
        <v/>
      </c>
      <c r="Y890">
        <f>$C890*Y889</f>
        <v/>
      </c>
      <c r="Z890">
        <f>$C890*Z889</f>
        <v/>
      </c>
      <c r="AA890">
        <f>$C890*AA889</f>
        <v/>
      </c>
      <c r="AB890">
        <f>$C890*AB889</f>
        <v/>
      </c>
      <c r="AC890">
        <f>$C890*AC889</f>
        <v/>
      </c>
      <c r="AD890">
        <f>$C890*AD889</f>
        <v/>
      </c>
      <c r="AE890">
        <f>$C890*AE889</f>
        <v/>
      </c>
      <c r="AF890">
        <f>$C890*AF889</f>
        <v/>
      </c>
      <c r="AG890">
        <f>$C890*AG889</f>
        <v/>
      </c>
      <c r="AH890">
        <f>$C890*AH889</f>
        <v/>
      </c>
      <c r="AI890">
        <f>$C890*AI889</f>
        <v/>
      </c>
      <c r="AJ890">
        <f>$C890*AJ889</f>
        <v/>
      </c>
      <c r="AK890">
        <f>$C890*AK889</f>
        <v/>
      </c>
      <c r="AL890">
        <f>$C890*AL889</f>
        <v/>
      </c>
      <c r="AM890">
        <f>$C890*AM889</f>
        <v/>
      </c>
      <c r="AN890">
        <f>$C890*AN889</f>
        <v/>
      </c>
      <c r="AO890">
        <f>$C890*AO889</f>
        <v/>
      </c>
      <c r="AP890">
        <f>$C890*AP889</f>
        <v/>
      </c>
      <c r="AQ890">
        <f>$C890*AQ889</f>
        <v/>
      </c>
      <c r="AR890">
        <f>$C890*AR889</f>
        <v/>
      </c>
      <c r="AS890">
        <f>$C890*AS889</f>
        <v/>
      </c>
      <c r="AT890">
        <f>$C890*AT889</f>
        <v/>
      </c>
      <c r="AU890">
        <f>$C890*AU889</f>
        <v/>
      </c>
      <c r="AV890">
        <f>$C890*AV889</f>
        <v/>
      </c>
      <c r="AW890">
        <f>$C890*AW889</f>
        <v/>
      </c>
      <c r="AX890">
        <f>$C890*AX889</f>
        <v/>
      </c>
      <c r="AY890">
        <f>$C890*AY889</f>
        <v/>
      </c>
      <c r="AZ890">
        <f>$C890*AZ889</f>
        <v/>
      </c>
      <c r="BA890">
        <f>$C890*BA889</f>
        <v/>
      </c>
      <c r="BB890">
        <f>$C890*BB889</f>
        <v/>
      </c>
      <c r="BC890">
        <f>$C890*BC889</f>
        <v/>
      </c>
      <c r="BD890">
        <f>$C890*BD889</f>
        <v/>
      </c>
      <c r="BE890">
        <f>$C890*BE889</f>
        <v/>
      </c>
      <c r="BF890">
        <f>$C890*BF889</f>
        <v/>
      </c>
      <c r="BG890">
        <f>$C890*BG889</f>
        <v/>
      </c>
      <c r="BH890">
        <f>$C890*BH889</f>
        <v/>
      </c>
      <c r="BI890">
        <f>$C890*BI889</f>
        <v/>
      </c>
      <c r="BJ890">
        <f>$C890*BJ889</f>
        <v/>
      </c>
      <c r="BK890">
        <f>$C890*BK889</f>
        <v/>
      </c>
      <c r="BL890">
        <f>$C890*BL889</f>
        <v/>
      </c>
      <c r="BM890">
        <f>$C890*BM889</f>
        <v/>
      </c>
      <c r="BN890">
        <f>$C890*BN889</f>
        <v/>
      </c>
      <c r="BO890">
        <f>$C890*BO889</f>
        <v/>
      </c>
      <c r="BP890">
        <f>$C890*BP889</f>
        <v/>
      </c>
      <c r="BQ890">
        <f>$C890*BQ889</f>
        <v/>
      </c>
      <c r="BR890">
        <f>$C890*BR889</f>
        <v/>
      </c>
      <c r="BS890">
        <f>$C890*BS889</f>
        <v/>
      </c>
      <c r="BT890">
        <f>$C890*BT889</f>
        <v/>
      </c>
      <c r="BU890">
        <f>$C890*BU889</f>
        <v/>
      </c>
      <c r="BV890">
        <f>$C890*BV889</f>
        <v/>
      </c>
      <c r="BW890">
        <f>$C890*BW889</f>
        <v/>
      </c>
      <c r="BX890">
        <f>$C890*BX889</f>
        <v/>
      </c>
      <c r="BY890">
        <f>$C890*BY889</f>
        <v/>
      </c>
      <c r="BZ890">
        <f>$C890*BZ889</f>
        <v/>
      </c>
      <c r="CA890">
        <f>$C890*CA889</f>
        <v/>
      </c>
      <c r="CB890">
        <f>$C890*CB889</f>
        <v/>
      </c>
      <c r="CC890">
        <f>$C890*CC889</f>
        <v/>
      </c>
      <c r="CD890">
        <f>$C890*CD889</f>
        <v/>
      </c>
      <c r="CE890">
        <f>$C890*CE889</f>
        <v/>
      </c>
      <c r="CF890">
        <f>$C890*CF889</f>
        <v/>
      </c>
      <c r="CG890">
        <f>$C890*CG889</f>
        <v/>
      </c>
      <c r="CH890">
        <f>$C890*CH889</f>
        <v/>
      </c>
      <c r="CI890">
        <f>$C890*CI889</f>
        <v/>
      </c>
      <c r="CJ890">
        <f>$C890*CJ889</f>
        <v/>
      </c>
      <c r="CK890">
        <f>$C890*CK889</f>
        <v/>
      </c>
      <c r="CL890">
        <f>$C890*CL889</f>
        <v/>
      </c>
      <c r="CM890">
        <f>$C890*CM889</f>
        <v/>
      </c>
      <c r="CN890">
        <f>$C890*CN889</f>
        <v/>
      </c>
      <c r="CO890">
        <f>$C890*CO889</f>
        <v/>
      </c>
      <c r="CP890">
        <f>$C890*CP889</f>
        <v/>
      </c>
      <c r="CQ890">
        <f>$C890*CQ889</f>
        <v/>
      </c>
      <c r="CR890">
        <f>$C890*CR889</f>
        <v/>
      </c>
      <c r="CS890">
        <f>$C890*CS889</f>
        <v/>
      </c>
      <c r="CT890">
        <f>$C890*CT889</f>
        <v/>
      </c>
      <c r="CU890">
        <f>$C890*CU889</f>
        <v/>
      </c>
      <c r="CV890">
        <f>$C890*CV889</f>
        <v/>
      </c>
      <c r="CW890">
        <f>$C890*CW889</f>
        <v/>
      </c>
      <c r="CX890">
        <f>$C890*CX889</f>
        <v/>
      </c>
      <c r="CY890">
        <f>$C890*CY889</f>
        <v/>
      </c>
      <c r="CZ890">
        <f>$C890*CZ889</f>
        <v/>
      </c>
      <c r="DA890">
        <f>$C890*DA889</f>
        <v/>
      </c>
      <c r="DB890">
        <f>$C890*DB889</f>
        <v/>
      </c>
      <c r="DC890">
        <f>$C890*DC889</f>
        <v/>
      </c>
    </row>
    <row r="891">
      <c r="B891" t="inlineStr">
        <is>
          <t>TSP-930</t>
        </is>
      </c>
      <c r="C891" t="inlineStr">
        <is>
          <t>No. of batches</t>
        </is>
      </c>
      <c r="D891">
        <f>IFERROR(INDEX(PP_Grid[#Data],$DD891,2),0)</f>
        <v/>
      </c>
      <c r="E891">
        <f>IFERROR(INDEX(PP_Grid[#Data],$DD891,3),0)</f>
        <v/>
      </c>
      <c r="F891">
        <f>IFERROR(INDEX(PP_Grid[#Data],$DD891,4),0)</f>
        <v/>
      </c>
      <c r="G891">
        <f>IFERROR(INDEX(PP_Grid[#Data],$DD891,5),0)</f>
        <v/>
      </c>
      <c r="H891">
        <f>IFERROR(INDEX(PP_Grid[#Data],$DD891,6),0)</f>
        <v/>
      </c>
      <c r="I891">
        <f>IFERROR(INDEX(PP_Grid[#Data],$DD891,7),0)</f>
        <v/>
      </c>
      <c r="J891">
        <f>IFERROR(INDEX(PP_Grid[#Data],$DD891,8),0)</f>
        <v/>
      </c>
      <c r="K891">
        <f>IFERROR(INDEX(PP_Grid[#Data],$DD891,9),0)</f>
        <v/>
      </c>
      <c r="L891">
        <f>IFERROR(INDEX(PP_Grid[#Data],$DD891,10),0)</f>
        <v/>
      </c>
      <c r="M891">
        <f>IFERROR(INDEX(PP_Grid[#Data],$DD891,11),0)</f>
        <v/>
      </c>
      <c r="N891">
        <f>IFERROR(INDEX(PP_Grid[#Data],$DD891,12),0)</f>
        <v/>
      </c>
      <c r="O891">
        <f>IFERROR(INDEX(PP_Grid[#Data],$DD891,13),0)</f>
        <v/>
      </c>
      <c r="P891">
        <f>IFERROR(INDEX(PP_Grid[#Data],$DD891,14),0)</f>
        <v/>
      </c>
      <c r="Q891">
        <f>IFERROR(INDEX(PP_Grid[#Data],$DD891,15),0)</f>
        <v/>
      </c>
      <c r="R891">
        <f>IFERROR(INDEX(PP_Grid[#Data],$DD891,16),0)</f>
        <v/>
      </c>
      <c r="S891">
        <f>IFERROR(INDEX(PP_Grid[#Data],$DD891,17),0)</f>
        <v/>
      </c>
      <c r="T891">
        <f>IFERROR(INDEX(PP_Grid[#Data],$DD891,18),0)</f>
        <v/>
      </c>
      <c r="U891">
        <f>IFERROR(INDEX(PP_Grid[#Data],$DD891,19),0)</f>
        <v/>
      </c>
      <c r="V891">
        <f>IFERROR(INDEX(PP_Grid[#Data],$DD891,20),0)</f>
        <v/>
      </c>
      <c r="W891">
        <f>IFERROR(INDEX(PP_Grid[#Data],$DD891,21),0)</f>
        <v/>
      </c>
      <c r="X891">
        <f>IFERROR(INDEX(PP_Grid[#Data],$DD891,22),0)</f>
        <v/>
      </c>
      <c r="Y891">
        <f>IFERROR(INDEX(PP_Grid[#Data],$DD891,23),0)</f>
        <v/>
      </c>
      <c r="Z891">
        <f>IFERROR(INDEX(PP_Grid[#Data],$DD891,24),0)</f>
        <v/>
      </c>
      <c r="AA891">
        <f>IFERROR(INDEX(PP_Grid[#Data],$DD891,25),0)</f>
        <v/>
      </c>
      <c r="AB891">
        <f>IFERROR(INDEX(PP_Grid[#Data],$DD891,26),0)</f>
        <v/>
      </c>
      <c r="AC891">
        <f>IFERROR(INDEX(PP_Grid[#Data],$DD891,27),0)</f>
        <v/>
      </c>
      <c r="AD891">
        <f>IFERROR(INDEX(PP_Grid[#Data],$DD891,28),0)</f>
        <v/>
      </c>
      <c r="AE891">
        <f>IFERROR(INDEX(PP_Grid[#Data],$DD891,29),0)</f>
        <v/>
      </c>
      <c r="AF891">
        <f>IFERROR(INDEX(PP_Grid[#Data],$DD891,30),0)</f>
        <v/>
      </c>
      <c r="AG891">
        <f>IFERROR(INDEX(PP_Grid[#Data],$DD891,31),0)</f>
        <v/>
      </c>
      <c r="AH891">
        <f>IFERROR(INDEX(PP_Grid[#Data],$DD891,32),0)</f>
        <v/>
      </c>
      <c r="AI891">
        <f>IFERROR(INDEX(PP_Grid[#Data],$DD891,33),0)</f>
        <v/>
      </c>
      <c r="AJ891">
        <f>IFERROR(INDEX(PP_Grid[#Data],$DD891,34),0)</f>
        <v/>
      </c>
      <c r="AK891">
        <f>IFERROR(INDEX(PP_Grid[#Data],$DD891,35),0)</f>
        <v/>
      </c>
      <c r="AL891">
        <f>IFERROR(INDEX(PP_Grid[#Data],$DD891,36),0)</f>
        <v/>
      </c>
      <c r="AM891">
        <f>IFERROR(INDEX(PP_Grid[#Data],$DD891,37),0)</f>
        <v/>
      </c>
      <c r="AN891">
        <f>IFERROR(INDEX(PP_Grid[#Data],$DD891,38),0)</f>
        <v/>
      </c>
      <c r="AO891">
        <f>IFERROR(INDEX(PP_Grid[#Data],$DD891,39),0)</f>
        <v/>
      </c>
      <c r="AP891">
        <f>IFERROR(INDEX(PP_Grid[#Data],$DD891,40),0)</f>
        <v/>
      </c>
      <c r="AQ891">
        <f>IFERROR(INDEX(PP_Grid[#Data],$DD891,41),0)</f>
        <v/>
      </c>
      <c r="AR891">
        <f>IFERROR(INDEX(PP_Grid[#Data],$DD891,42),0)</f>
        <v/>
      </c>
      <c r="AS891">
        <f>IFERROR(INDEX(PP_Grid[#Data],$DD891,43),0)</f>
        <v/>
      </c>
      <c r="AT891">
        <f>IFERROR(INDEX(PP_Grid[#Data],$DD891,44),0)</f>
        <v/>
      </c>
      <c r="AU891">
        <f>IFERROR(INDEX(PP_Grid[#Data],$DD891,45),0)</f>
        <v/>
      </c>
      <c r="AV891">
        <f>IFERROR(INDEX(PP_Grid[#Data],$DD891,46),0)</f>
        <v/>
      </c>
      <c r="AW891">
        <f>IFERROR(INDEX(PP_Grid[#Data],$DD891,47),0)</f>
        <v/>
      </c>
      <c r="AX891">
        <f>IFERROR(INDEX(PP_Grid[#Data],$DD891,48),0)</f>
        <v/>
      </c>
      <c r="AY891">
        <f>IFERROR(INDEX(PP_Grid[#Data],$DD891,49),0)</f>
        <v/>
      </c>
      <c r="AZ891">
        <f>IFERROR(INDEX(PP_Grid[#Data],$DD891,50),0)</f>
        <v/>
      </c>
      <c r="BA891">
        <f>IFERROR(INDEX(PP_Grid[#Data],$DD891,51),0)</f>
        <v/>
      </c>
      <c r="BB891">
        <f>IFERROR(INDEX(PP_Grid[#Data],$DD891,52),0)</f>
        <v/>
      </c>
      <c r="BC891">
        <f>IFERROR(INDEX(PP_Grid[#Data],$DD891,53),0)</f>
        <v/>
      </c>
      <c r="BD891">
        <f>IFERROR(INDEX(PP_Grid[#Data],$DD891,54),0)</f>
        <v/>
      </c>
      <c r="BE891">
        <f>IFERROR(INDEX(PP_Grid[#Data],$DD891,55),0)</f>
        <v/>
      </c>
      <c r="BF891">
        <f>IFERROR(INDEX(PP_Grid[#Data],$DD891,56),0)</f>
        <v/>
      </c>
      <c r="BG891">
        <f>IFERROR(INDEX(PP_Grid[#Data],$DD891,57),0)</f>
        <v/>
      </c>
      <c r="BH891">
        <f>IFERROR(INDEX(PP_Grid[#Data],$DD891,58),0)</f>
        <v/>
      </c>
      <c r="BI891">
        <f>IFERROR(INDEX(PP_Grid[#Data],$DD891,59),0)</f>
        <v/>
      </c>
      <c r="BJ891">
        <f>IFERROR(INDEX(PP_Grid[#Data],$DD891,60),0)</f>
        <v/>
      </c>
      <c r="BK891">
        <f>IFERROR(INDEX(PP_Grid[#Data],$DD891,61),0)</f>
        <v/>
      </c>
      <c r="BL891">
        <f>IFERROR(INDEX(PP_Grid[#Data],$DD891,62),0)</f>
        <v/>
      </c>
      <c r="BM891">
        <f>IFERROR(INDEX(PP_Grid[#Data],$DD891,63),0)</f>
        <v/>
      </c>
      <c r="BN891">
        <f>IFERROR(INDEX(PP_Grid[#Data],$DD891,64),0)</f>
        <v/>
      </c>
      <c r="BO891">
        <f>IFERROR(INDEX(PP_Grid[#Data],$DD891,65),0)</f>
        <v/>
      </c>
      <c r="BP891">
        <f>IFERROR(INDEX(PP_Grid[#Data],$DD891,66),0)</f>
        <v/>
      </c>
      <c r="BQ891">
        <f>IFERROR(INDEX(PP_Grid[#Data],$DD891,67),0)</f>
        <v/>
      </c>
      <c r="BR891">
        <f>IFERROR(INDEX(PP_Grid[#Data],$DD891,68),0)</f>
        <v/>
      </c>
      <c r="BS891">
        <f>IFERROR(INDEX(PP_Grid[#Data],$DD891,69),0)</f>
        <v/>
      </c>
      <c r="BT891">
        <f>IFERROR(INDEX(PP_Grid[#Data],$DD891,70),0)</f>
        <v/>
      </c>
      <c r="BU891">
        <f>IFERROR(INDEX(PP_Grid[#Data],$DD891,71),0)</f>
        <v/>
      </c>
      <c r="BV891">
        <f>IFERROR(INDEX(PP_Grid[#Data],$DD891,72),0)</f>
        <v/>
      </c>
      <c r="BW891">
        <f>IFERROR(INDEX(PP_Grid[#Data],$DD891,73),0)</f>
        <v/>
      </c>
      <c r="BX891">
        <f>IFERROR(INDEX(PP_Grid[#Data],$DD891,74),0)</f>
        <v/>
      </c>
      <c r="BY891">
        <f>IFERROR(INDEX(PP_Grid[#Data],$DD891,75),0)</f>
        <v/>
      </c>
      <c r="BZ891">
        <f>IFERROR(INDEX(PP_Grid[#Data],$DD891,76),0)</f>
        <v/>
      </c>
      <c r="CA891">
        <f>IFERROR(INDEX(PP_Grid[#Data],$DD891,77),0)</f>
        <v/>
      </c>
      <c r="CB891">
        <f>IFERROR(INDEX(PP_Grid[#Data],$DD891,78),0)</f>
        <v/>
      </c>
      <c r="CC891">
        <f>IFERROR(INDEX(PP_Grid[#Data],$DD891,79),0)</f>
        <v/>
      </c>
      <c r="CD891">
        <f>IFERROR(INDEX(PP_Grid[#Data],$DD891,80),0)</f>
        <v/>
      </c>
      <c r="CE891">
        <f>IFERROR(INDEX(PP_Grid[#Data],$DD891,81),0)</f>
        <v/>
      </c>
      <c r="CF891">
        <f>IFERROR(INDEX(PP_Grid[#Data],$DD891,82),0)</f>
        <v/>
      </c>
      <c r="CG891">
        <f>IFERROR(INDEX(PP_Grid[#Data],$DD891,83),0)</f>
        <v/>
      </c>
      <c r="CH891">
        <f>IFERROR(INDEX(PP_Grid[#Data],$DD891,84),0)</f>
        <v/>
      </c>
      <c r="CI891">
        <f>IFERROR(INDEX(PP_Grid[#Data],$DD891,85),0)</f>
        <v/>
      </c>
      <c r="CJ891">
        <f>IFERROR(INDEX(PP_Grid[#Data],$DD891,86),0)</f>
        <v/>
      </c>
      <c r="CK891">
        <f>IFERROR(INDEX(PP_Grid[#Data],$DD891,87),0)</f>
        <v/>
      </c>
      <c r="CL891">
        <f>IFERROR(INDEX(PP_Grid[#Data],$DD891,88),0)</f>
        <v/>
      </c>
      <c r="CM891">
        <f>IFERROR(INDEX(PP_Grid[#Data],$DD891,89),0)</f>
        <v/>
      </c>
      <c r="CN891">
        <f>IFERROR(INDEX(PP_Grid[#Data],$DD891,90),0)</f>
        <v/>
      </c>
      <c r="CO891">
        <f>IFERROR(INDEX(PP_Grid[#Data],$DD891,91),0)</f>
        <v/>
      </c>
      <c r="CP891">
        <f>IFERROR(INDEX(PP_Grid[#Data],$DD891,92),0)</f>
        <v/>
      </c>
      <c r="CQ891">
        <f>IFERROR(INDEX(PP_Grid[#Data],$DD891,93),0)</f>
        <v/>
      </c>
      <c r="CR891">
        <f>IFERROR(INDEX(PP_Grid[#Data],$DD891,94),0)</f>
        <v/>
      </c>
      <c r="CS891">
        <f>IFERROR(INDEX(PP_Grid[#Data],$DD891,95),0)</f>
        <v/>
      </c>
      <c r="CT891">
        <f>IFERROR(INDEX(PP_Grid[#Data],$DD891,96),0)</f>
        <v/>
      </c>
      <c r="CU891">
        <f>IFERROR(INDEX(PP_Grid[#Data],$DD891,97),0)</f>
        <v/>
      </c>
      <c r="CV891">
        <f>IFERROR(INDEX(PP_Grid[#Data],$DD891,98),0)</f>
        <v/>
      </c>
      <c r="CW891">
        <f>IFERROR(INDEX(PP_Grid[#Data],$DD891,99),0)</f>
        <v/>
      </c>
      <c r="CX891">
        <f>IFERROR(INDEX(PP_Grid[#Data],$DD891,100),0)</f>
        <v/>
      </c>
      <c r="CY891">
        <f>IFERROR(INDEX(PP_Grid[#Data],$DD891,101),0)</f>
        <v/>
      </c>
      <c r="CZ891">
        <f>IFERROR(INDEX(PP_Grid[#Data],$DD891,102),0)</f>
        <v/>
      </c>
      <c r="DA891">
        <f>IFERROR(INDEX(PP_Grid[#Data],$DD891,103),0)</f>
        <v/>
      </c>
      <c r="DB891">
        <f>IFERROR(INDEX(PP_Grid[#Data],$DD891,104),0)</f>
        <v/>
      </c>
      <c r="DC891">
        <f>IFERROR(INDEX(PP_Grid[#Data],$DD891,105),0)</f>
        <v/>
      </c>
      <c r="DD891" s="12">
        <f>IFERROR(MATCH($B891,PP_Grid[Intermediate],0),99999)</f>
        <v/>
      </c>
    </row>
    <row r="892">
      <c r="B892" t="inlineStr">
        <is>
          <t>使用量(kg)</t>
        </is>
      </c>
      <c r="C892">
        <f>SUMIFS(M_BOM[RM_Qty_Per_Batch],M_BOM[Intermediate],$B891,M_BOM[Part Name],$A862)</f>
        <v/>
      </c>
      <c r="D892">
        <f>$C892*D891</f>
        <v/>
      </c>
      <c r="E892">
        <f>$C892*E891</f>
        <v/>
      </c>
      <c r="F892">
        <f>$C892*F891</f>
        <v/>
      </c>
      <c r="G892">
        <f>$C892*G891</f>
        <v/>
      </c>
      <c r="H892">
        <f>$C892*H891</f>
        <v/>
      </c>
      <c r="I892">
        <f>$C892*I891</f>
        <v/>
      </c>
      <c r="J892">
        <f>$C892*J891</f>
        <v/>
      </c>
      <c r="K892">
        <f>$C892*K891</f>
        <v/>
      </c>
      <c r="L892">
        <f>$C892*L891</f>
        <v/>
      </c>
      <c r="M892">
        <f>$C892*M891</f>
        <v/>
      </c>
      <c r="N892">
        <f>$C892*N891</f>
        <v/>
      </c>
      <c r="O892">
        <f>$C892*O891</f>
        <v/>
      </c>
      <c r="P892">
        <f>$C892*P891</f>
        <v/>
      </c>
      <c r="Q892">
        <f>$C892*Q891</f>
        <v/>
      </c>
      <c r="R892">
        <f>$C892*R891</f>
        <v/>
      </c>
      <c r="S892">
        <f>$C892*S891</f>
        <v/>
      </c>
      <c r="T892">
        <f>$C892*T891</f>
        <v/>
      </c>
      <c r="U892">
        <f>$C892*U891</f>
        <v/>
      </c>
      <c r="V892">
        <f>$C892*V891</f>
        <v/>
      </c>
      <c r="W892">
        <f>$C892*W891</f>
        <v/>
      </c>
      <c r="X892">
        <f>$C892*X891</f>
        <v/>
      </c>
      <c r="Y892">
        <f>$C892*Y891</f>
        <v/>
      </c>
      <c r="Z892">
        <f>$C892*Z891</f>
        <v/>
      </c>
      <c r="AA892">
        <f>$C892*AA891</f>
        <v/>
      </c>
      <c r="AB892">
        <f>$C892*AB891</f>
        <v/>
      </c>
      <c r="AC892">
        <f>$C892*AC891</f>
        <v/>
      </c>
      <c r="AD892">
        <f>$C892*AD891</f>
        <v/>
      </c>
      <c r="AE892">
        <f>$C892*AE891</f>
        <v/>
      </c>
      <c r="AF892">
        <f>$C892*AF891</f>
        <v/>
      </c>
      <c r="AG892">
        <f>$C892*AG891</f>
        <v/>
      </c>
      <c r="AH892">
        <f>$C892*AH891</f>
        <v/>
      </c>
      <c r="AI892">
        <f>$C892*AI891</f>
        <v/>
      </c>
      <c r="AJ892">
        <f>$C892*AJ891</f>
        <v/>
      </c>
      <c r="AK892">
        <f>$C892*AK891</f>
        <v/>
      </c>
      <c r="AL892">
        <f>$C892*AL891</f>
        <v/>
      </c>
      <c r="AM892">
        <f>$C892*AM891</f>
        <v/>
      </c>
      <c r="AN892">
        <f>$C892*AN891</f>
        <v/>
      </c>
      <c r="AO892">
        <f>$C892*AO891</f>
        <v/>
      </c>
      <c r="AP892">
        <f>$C892*AP891</f>
        <v/>
      </c>
      <c r="AQ892">
        <f>$C892*AQ891</f>
        <v/>
      </c>
      <c r="AR892">
        <f>$C892*AR891</f>
        <v/>
      </c>
      <c r="AS892">
        <f>$C892*AS891</f>
        <v/>
      </c>
      <c r="AT892">
        <f>$C892*AT891</f>
        <v/>
      </c>
      <c r="AU892">
        <f>$C892*AU891</f>
        <v/>
      </c>
      <c r="AV892">
        <f>$C892*AV891</f>
        <v/>
      </c>
      <c r="AW892">
        <f>$C892*AW891</f>
        <v/>
      </c>
      <c r="AX892">
        <f>$C892*AX891</f>
        <v/>
      </c>
      <c r="AY892">
        <f>$C892*AY891</f>
        <v/>
      </c>
      <c r="AZ892">
        <f>$C892*AZ891</f>
        <v/>
      </c>
      <c r="BA892">
        <f>$C892*BA891</f>
        <v/>
      </c>
      <c r="BB892">
        <f>$C892*BB891</f>
        <v/>
      </c>
      <c r="BC892">
        <f>$C892*BC891</f>
        <v/>
      </c>
      <c r="BD892">
        <f>$C892*BD891</f>
        <v/>
      </c>
      <c r="BE892">
        <f>$C892*BE891</f>
        <v/>
      </c>
      <c r="BF892">
        <f>$C892*BF891</f>
        <v/>
      </c>
      <c r="BG892">
        <f>$C892*BG891</f>
        <v/>
      </c>
      <c r="BH892">
        <f>$C892*BH891</f>
        <v/>
      </c>
      <c r="BI892">
        <f>$C892*BI891</f>
        <v/>
      </c>
      <c r="BJ892">
        <f>$C892*BJ891</f>
        <v/>
      </c>
      <c r="BK892">
        <f>$C892*BK891</f>
        <v/>
      </c>
      <c r="BL892">
        <f>$C892*BL891</f>
        <v/>
      </c>
      <c r="BM892">
        <f>$C892*BM891</f>
        <v/>
      </c>
      <c r="BN892">
        <f>$C892*BN891</f>
        <v/>
      </c>
      <c r="BO892">
        <f>$C892*BO891</f>
        <v/>
      </c>
      <c r="BP892">
        <f>$C892*BP891</f>
        <v/>
      </c>
      <c r="BQ892">
        <f>$C892*BQ891</f>
        <v/>
      </c>
      <c r="BR892">
        <f>$C892*BR891</f>
        <v/>
      </c>
      <c r="BS892">
        <f>$C892*BS891</f>
        <v/>
      </c>
      <c r="BT892">
        <f>$C892*BT891</f>
        <v/>
      </c>
      <c r="BU892">
        <f>$C892*BU891</f>
        <v/>
      </c>
      <c r="BV892">
        <f>$C892*BV891</f>
        <v/>
      </c>
      <c r="BW892">
        <f>$C892*BW891</f>
        <v/>
      </c>
      <c r="BX892">
        <f>$C892*BX891</f>
        <v/>
      </c>
      <c r="BY892">
        <f>$C892*BY891</f>
        <v/>
      </c>
      <c r="BZ892">
        <f>$C892*BZ891</f>
        <v/>
      </c>
      <c r="CA892">
        <f>$C892*CA891</f>
        <v/>
      </c>
      <c r="CB892">
        <f>$C892*CB891</f>
        <v/>
      </c>
      <c r="CC892">
        <f>$C892*CC891</f>
        <v/>
      </c>
      <c r="CD892">
        <f>$C892*CD891</f>
        <v/>
      </c>
      <c r="CE892">
        <f>$C892*CE891</f>
        <v/>
      </c>
      <c r="CF892">
        <f>$C892*CF891</f>
        <v/>
      </c>
      <c r="CG892">
        <f>$C892*CG891</f>
        <v/>
      </c>
      <c r="CH892">
        <f>$C892*CH891</f>
        <v/>
      </c>
      <c r="CI892">
        <f>$C892*CI891</f>
        <v/>
      </c>
      <c r="CJ892">
        <f>$C892*CJ891</f>
        <v/>
      </c>
      <c r="CK892">
        <f>$C892*CK891</f>
        <v/>
      </c>
      <c r="CL892">
        <f>$C892*CL891</f>
        <v/>
      </c>
      <c r="CM892">
        <f>$C892*CM891</f>
        <v/>
      </c>
      <c r="CN892">
        <f>$C892*CN891</f>
        <v/>
      </c>
      <c r="CO892">
        <f>$C892*CO891</f>
        <v/>
      </c>
      <c r="CP892">
        <f>$C892*CP891</f>
        <v/>
      </c>
      <c r="CQ892">
        <f>$C892*CQ891</f>
        <v/>
      </c>
      <c r="CR892">
        <f>$C892*CR891</f>
        <v/>
      </c>
      <c r="CS892">
        <f>$C892*CS891</f>
        <v/>
      </c>
      <c r="CT892">
        <f>$C892*CT891</f>
        <v/>
      </c>
      <c r="CU892">
        <f>$C892*CU891</f>
        <v/>
      </c>
      <c r="CV892">
        <f>$C892*CV891</f>
        <v/>
      </c>
      <c r="CW892">
        <f>$C892*CW891</f>
        <v/>
      </c>
      <c r="CX892">
        <f>$C892*CX891</f>
        <v/>
      </c>
      <c r="CY892">
        <f>$C892*CY891</f>
        <v/>
      </c>
      <c r="CZ892">
        <f>$C892*CZ891</f>
        <v/>
      </c>
      <c r="DA892">
        <f>$C892*DA891</f>
        <v/>
      </c>
      <c r="DB892">
        <f>$C892*DB891</f>
        <v/>
      </c>
      <c r="DC892">
        <f>$C892*DC891</f>
        <v/>
      </c>
    </row>
    <row r="893">
      <c r="B893" t="inlineStr">
        <is>
          <t>TSP-934</t>
        </is>
      </c>
      <c r="C893" t="inlineStr">
        <is>
          <t>No. of batches</t>
        </is>
      </c>
      <c r="D893">
        <f>IFERROR(INDEX(PP_Grid[#Data],$DD893,2),0)</f>
        <v/>
      </c>
      <c r="E893">
        <f>IFERROR(INDEX(PP_Grid[#Data],$DD893,3),0)</f>
        <v/>
      </c>
      <c r="F893">
        <f>IFERROR(INDEX(PP_Grid[#Data],$DD893,4),0)</f>
        <v/>
      </c>
      <c r="G893">
        <f>IFERROR(INDEX(PP_Grid[#Data],$DD893,5),0)</f>
        <v/>
      </c>
      <c r="H893">
        <f>IFERROR(INDEX(PP_Grid[#Data],$DD893,6),0)</f>
        <v/>
      </c>
      <c r="I893">
        <f>IFERROR(INDEX(PP_Grid[#Data],$DD893,7),0)</f>
        <v/>
      </c>
      <c r="J893">
        <f>IFERROR(INDEX(PP_Grid[#Data],$DD893,8),0)</f>
        <v/>
      </c>
      <c r="K893">
        <f>IFERROR(INDEX(PP_Grid[#Data],$DD893,9),0)</f>
        <v/>
      </c>
      <c r="L893">
        <f>IFERROR(INDEX(PP_Grid[#Data],$DD893,10),0)</f>
        <v/>
      </c>
      <c r="M893">
        <f>IFERROR(INDEX(PP_Grid[#Data],$DD893,11),0)</f>
        <v/>
      </c>
      <c r="N893">
        <f>IFERROR(INDEX(PP_Grid[#Data],$DD893,12),0)</f>
        <v/>
      </c>
      <c r="O893">
        <f>IFERROR(INDEX(PP_Grid[#Data],$DD893,13),0)</f>
        <v/>
      </c>
      <c r="P893">
        <f>IFERROR(INDEX(PP_Grid[#Data],$DD893,14),0)</f>
        <v/>
      </c>
      <c r="Q893">
        <f>IFERROR(INDEX(PP_Grid[#Data],$DD893,15),0)</f>
        <v/>
      </c>
      <c r="R893">
        <f>IFERROR(INDEX(PP_Grid[#Data],$DD893,16),0)</f>
        <v/>
      </c>
      <c r="S893">
        <f>IFERROR(INDEX(PP_Grid[#Data],$DD893,17),0)</f>
        <v/>
      </c>
      <c r="T893">
        <f>IFERROR(INDEX(PP_Grid[#Data],$DD893,18),0)</f>
        <v/>
      </c>
      <c r="U893">
        <f>IFERROR(INDEX(PP_Grid[#Data],$DD893,19),0)</f>
        <v/>
      </c>
      <c r="V893">
        <f>IFERROR(INDEX(PP_Grid[#Data],$DD893,20),0)</f>
        <v/>
      </c>
      <c r="W893">
        <f>IFERROR(INDEX(PP_Grid[#Data],$DD893,21),0)</f>
        <v/>
      </c>
      <c r="X893">
        <f>IFERROR(INDEX(PP_Grid[#Data],$DD893,22),0)</f>
        <v/>
      </c>
      <c r="Y893">
        <f>IFERROR(INDEX(PP_Grid[#Data],$DD893,23),0)</f>
        <v/>
      </c>
      <c r="Z893">
        <f>IFERROR(INDEX(PP_Grid[#Data],$DD893,24),0)</f>
        <v/>
      </c>
      <c r="AA893">
        <f>IFERROR(INDEX(PP_Grid[#Data],$DD893,25),0)</f>
        <v/>
      </c>
      <c r="AB893">
        <f>IFERROR(INDEX(PP_Grid[#Data],$DD893,26),0)</f>
        <v/>
      </c>
      <c r="AC893">
        <f>IFERROR(INDEX(PP_Grid[#Data],$DD893,27),0)</f>
        <v/>
      </c>
      <c r="AD893">
        <f>IFERROR(INDEX(PP_Grid[#Data],$DD893,28),0)</f>
        <v/>
      </c>
      <c r="AE893">
        <f>IFERROR(INDEX(PP_Grid[#Data],$DD893,29),0)</f>
        <v/>
      </c>
      <c r="AF893">
        <f>IFERROR(INDEX(PP_Grid[#Data],$DD893,30),0)</f>
        <v/>
      </c>
      <c r="AG893">
        <f>IFERROR(INDEX(PP_Grid[#Data],$DD893,31),0)</f>
        <v/>
      </c>
      <c r="AH893">
        <f>IFERROR(INDEX(PP_Grid[#Data],$DD893,32),0)</f>
        <v/>
      </c>
      <c r="AI893">
        <f>IFERROR(INDEX(PP_Grid[#Data],$DD893,33),0)</f>
        <v/>
      </c>
      <c r="AJ893">
        <f>IFERROR(INDEX(PP_Grid[#Data],$DD893,34),0)</f>
        <v/>
      </c>
      <c r="AK893">
        <f>IFERROR(INDEX(PP_Grid[#Data],$DD893,35),0)</f>
        <v/>
      </c>
      <c r="AL893">
        <f>IFERROR(INDEX(PP_Grid[#Data],$DD893,36),0)</f>
        <v/>
      </c>
      <c r="AM893">
        <f>IFERROR(INDEX(PP_Grid[#Data],$DD893,37),0)</f>
        <v/>
      </c>
      <c r="AN893">
        <f>IFERROR(INDEX(PP_Grid[#Data],$DD893,38),0)</f>
        <v/>
      </c>
      <c r="AO893">
        <f>IFERROR(INDEX(PP_Grid[#Data],$DD893,39),0)</f>
        <v/>
      </c>
      <c r="AP893">
        <f>IFERROR(INDEX(PP_Grid[#Data],$DD893,40),0)</f>
        <v/>
      </c>
      <c r="AQ893">
        <f>IFERROR(INDEX(PP_Grid[#Data],$DD893,41),0)</f>
        <v/>
      </c>
      <c r="AR893">
        <f>IFERROR(INDEX(PP_Grid[#Data],$DD893,42),0)</f>
        <v/>
      </c>
      <c r="AS893">
        <f>IFERROR(INDEX(PP_Grid[#Data],$DD893,43),0)</f>
        <v/>
      </c>
      <c r="AT893">
        <f>IFERROR(INDEX(PP_Grid[#Data],$DD893,44),0)</f>
        <v/>
      </c>
      <c r="AU893">
        <f>IFERROR(INDEX(PP_Grid[#Data],$DD893,45),0)</f>
        <v/>
      </c>
      <c r="AV893">
        <f>IFERROR(INDEX(PP_Grid[#Data],$DD893,46),0)</f>
        <v/>
      </c>
      <c r="AW893">
        <f>IFERROR(INDEX(PP_Grid[#Data],$DD893,47),0)</f>
        <v/>
      </c>
      <c r="AX893">
        <f>IFERROR(INDEX(PP_Grid[#Data],$DD893,48),0)</f>
        <v/>
      </c>
      <c r="AY893">
        <f>IFERROR(INDEX(PP_Grid[#Data],$DD893,49),0)</f>
        <v/>
      </c>
      <c r="AZ893">
        <f>IFERROR(INDEX(PP_Grid[#Data],$DD893,50),0)</f>
        <v/>
      </c>
      <c r="BA893">
        <f>IFERROR(INDEX(PP_Grid[#Data],$DD893,51),0)</f>
        <v/>
      </c>
      <c r="BB893">
        <f>IFERROR(INDEX(PP_Grid[#Data],$DD893,52),0)</f>
        <v/>
      </c>
      <c r="BC893">
        <f>IFERROR(INDEX(PP_Grid[#Data],$DD893,53),0)</f>
        <v/>
      </c>
      <c r="BD893">
        <f>IFERROR(INDEX(PP_Grid[#Data],$DD893,54),0)</f>
        <v/>
      </c>
      <c r="BE893">
        <f>IFERROR(INDEX(PP_Grid[#Data],$DD893,55),0)</f>
        <v/>
      </c>
      <c r="BF893">
        <f>IFERROR(INDEX(PP_Grid[#Data],$DD893,56),0)</f>
        <v/>
      </c>
      <c r="BG893">
        <f>IFERROR(INDEX(PP_Grid[#Data],$DD893,57),0)</f>
        <v/>
      </c>
      <c r="BH893">
        <f>IFERROR(INDEX(PP_Grid[#Data],$DD893,58),0)</f>
        <v/>
      </c>
      <c r="BI893">
        <f>IFERROR(INDEX(PP_Grid[#Data],$DD893,59),0)</f>
        <v/>
      </c>
      <c r="BJ893">
        <f>IFERROR(INDEX(PP_Grid[#Data],$DD893,60),0)</f>
        <v/>
      </c>
      <c r="BK893">
        <f>IFERROR(INDEX(PP_Grid[#Data],$DD893,61),0)</f>
        <v/>
      </c>
      <c r="BL893">
        <f>IFERROR(INDEX(PP_Grid[#Data],$DD893,62),0)</f>
        <v/>
      </c>
      <c r="BM893">
        <f>IFERROR(INDEX(PP_Grid[#Data],$DD893,63),0)</f>
        <v/>
      </c>
      <c r="BN893">
        <f>IFERROR(INDEX(PP_Grid[#Data],$DD893,64),0)</f>
        <v/>
      </c>
      <c r="BO893">
        <f>IFERROR(INDEX(PP_Grid[#Data],$DD893,65),0)</f>
        <v/>
      </c>
      <c r="BP893">
        <f>IFERROR(INDEX(PP_Grid[#Data],$DD893,66),0)</f>
        <v/>
      </c>
      <c r="BQ893">
        <f>IFERROR(INDEX(PP_Grid[#Data],$DD893,67),0)</f>
        <v/>
      </c>
      <c r="BR893">
        <f>IFERROR(INDEX(PP_Grid[#Data],$DD893,68),0)</f>
        <v/>
      </c>
      <c r="BS893">
        <f>IFERROR(INDEX(PP_Grid[#Data],$DD893,69),0)</f>
        <v/>
      </c>
      <c r="BT893">
        <f>IFERROR(INDEX(PP_Grid[#Data],$DD893,70),0)</f>
        <v/>
      </c>
      <c r="BU893">
        <f>IFERROR(INDEX(PP_Grid[#Data],$DD893,71),0)</f>
        <v/>
      </c>
      <c r="BV893">
        <f>IFERROR(INDEX(PP_Grid[#Data],$DD893,72),0)</f>
        <v/>
      </c>
      <c r="BW893">
        <f>IFERROR(INDEX(PP_Grid[#Data],$DD893,73),0)</f>
        <v/>
      </c>
      <c r="BX893">
        <f>IFERROR(INDEX(PP_Grid[#Data],$DD893,74),0)</f>
        <v/>
      </c>
      <c r="BY893">
        <f>IFERROR(INDEX(PP_Grid[#Data],$DD893,75),0)</f>
        <v/>
      </c>
      <c r="BZ893">
        <f>IFERROR(INDEX(PP_Grid[#Data],$DD893,76),0)</f>
        <v/>
      </c>
      <c r="CA893">
        <f>IFERROR(INDEX(PP_Grid[#Data],$DD893,77),0)</f>
        <v/>
      </c>
      <c r="CB893">
        <f>IFERROR(INDEX(PP_Grid[#Data],$DD893,78),0)</f>
        <v/>
      </c>
      <c r="CC893">
        <f>IFERROR(INDEX(PP_Grid[#Data],$DD893,79),0)</f>
        <v/>
      </c>
      <c r="CD893">
        <f>IFERROR(INDEX(PP_Grid[#Data],$DD893,80),0)</f>
        <v/>
      </c>
      <c r="CE893">
        <f>IFERROR(INDEX(PP_Grid[#Data],$DD893,81),0)</f>
        <v/>
      </c>
      <c r="CF893">
        <f>IFERROR(INDEX(PP_Grid[#Data],$DD893,82),0)</f>
        <v/>
      </c>
      <c r="CG893">
        <f>IFERROR(INDEX(PP_Grid[#Data],$DD893,83),0)</f>
        <v/>
      </c>
      <c r="CH893">
        <f>IFERROR(INDEX(PP_Grid[#Data],$DD893,84),0)</f>
        <v/>
      </c>
      <c r="CI893">
        <f>IFERROR(INDEX(PP_Grid[#Data],$DD893,85),0)</f>
        <v/>
      </c>
      <c r="CJ893">
        <f>IFERROR(INDEX(PP_Grid[#Data],$DD893,86),0)</f>
        <v/>
      </c>
      <c r="CK893">
        <f>IFERROR(INDEX(PP_Grid[#Data],$DD893,87),0)</f>
        <v/>
      </c>
      <c r="CL893">
        <f>IFERROR(INDEX(PP_Grid[#Data],$DD893,88),0)</f>
        <v/>
      </c>
      <c r="CM893">
        <f>IFERROR(INDEX(PP_Grid[#Data],$DD893,89),0)</f>
        <v/>
      </c>
      <c r="CN893">
        <f>IFERROR(INDEX(PP_Grid[#Data],$DD893,90),0)</f>
        <v/>
      </c>
      <c r="CO893">
        <f>IFERROR(INDEX(PP_Grid[#Data],$DD893,91),0)</f>
        <v/>
      </c>
      <c r="CP893">
        <f>IFERROR(INDEX(PP_Grid[#Data],$DD893,92),0)</f>
        <v/>
      </c>
      <c r="CQ893">
        <f>IFERROR(INDEX(PP_Grid[#Data],$DD893,93),0)</f>
        <v/>
      </c>
      <c r="CR893">
        <f>IFERROR(INDEX(PP_Grid[#Data],$DD893,94),0)</f>
        <v/>
      </c>
      <c r="CS893">
        <f>IFERROR(INDEX(PP_Grid[#Data],$DD893,95),0)</f>
        <v/>
      </c>
      <c r="CT893">
        <f>IFERROR(INDEX(PP_Grid[#Data],$DD893,96),0)</f>
        <v/>
      </c>
      <c r="CU893">
        <f>IFERROR(INDEX(PP_Grid[#Data],$DD893,97),0)</f>
        <v/>
      </c>
      <c r="CV893">
        <f>IFERROR(INDEX(PP_Grid[#Data],$DD893,98),0)</f>
        <v/>
      </c>
      <c r="CW893">
        <f>IFERROR(INDEX(PP_Grid[#Data],$DD893,99),0)</f>
        <v/>
      </c>
      <c r="CX893">
        <f>IFERROR(INDEX(PP_Grid[#Data],$DD893,100),0)</f>
        <v/>
      </c>
      <c r="CY893">
        <f>IFERROR(INDEX(PP_Grid[#Data],$DD893,101),0)</f>
        <v/>
      </c>
      <c r="CZ893">
        <f>IFERROR(INDEX(PP_Grid[#Data],$DD893,102),0)</f>
        <v/>
      </c>
      <c r="DA893">
        <f>IFERROR(INDEX(PP_Grid[#Data],$DD893,103),0)</f>
        <v/>
      </c>
      <c r="DB893">
        <f>IFERROR(INDEX(PP_Grid[#Data],$DD893,104),0)</f>
        <v/>
      </c>
      <c r="DC893">
        <f>IFERROR(INDEX(PP_Grid[#Data],$DD893,105),0)</f>
        <v/>
      </c>
      <c r="DD893" s="12">
        <f>IFERROR(MATCH($B893,PP_Grid[Intermediate],0),99999)</f>
        <v/>
      </c>
    </row>
    <row r="894">
      <c r="B894" t="inlineStr">
        <is>
          <t>使用量(kg)</t>
        </is>
      </c>
      <c r="C894">
        <f>SUMIFS(M_BOM[RM_Qty_Per_Batch],M_BOM[Intermediate],$B893,M_BOM[Part Name],$A862)</f>
        <v/>
      </c>
      <c r="D894">
        <f>$C894*D893</f>
        <v/>
      </c>
      <c r="E894">
        <f>$C894*E893</f>
        <v/>
      </c>
      <c r="F894">
        <f>$C894*F893</f>
        <v/>
      </c>
      <c r="G894">
        <f>$C894*G893</f>
        <v/>
      </c>
      <c r="H894">
        <f>$C894*H893</f>
        <v/>
      </c>
      <c r="I894">
        <f>$C894*I893</f>
        <v/>
      </c>
      <c r="J894">
        <f>$C894*J893</f>
        <v/>
      </c>
      <c r="K894">
        <f>$C894*K893</f>
        <v/>
      </c>
      <c r="L894">
        <f>$C894*L893</f>
        <v/>
      </c>
      <c r="M894">
        <f>$C894*M893</f>
        <v/>
      </c>
      <c r="N894">
        <f>$C894*N893</f>
        <v/>
      </c>
      <c r="O894">
        <f>$C894*O893</f>
        <v/>
      </c>
      <c r="P894">
        <f>$C894*P893</f>
        <v/>
      </c>
      <c r="Q894">
        <f>$C894*Q893</f>
        <v/>
      </c>
      <c r="R894">
        <f>$C894*R893</f>
        <v/>
      </c>
      <c r="S894">
        <f>$C894*S893</f>
        <v/>
      </c>
      <c r="T894">
        <f>$C894*T893</f>
        <v/>
      </c>
      <c r="U894">
        <f>$C894*U893</f>
        <v/>
      </c>
      <c r="V894">
        <f>$C894*V893</f>
        <v/>
      </c>
      <c r="W894">
        <f>$C894*W893</f>
        <v/>
      </c>
      <c r="X894">
        <f>$C894*X893</f>
        <v/>
      </c>
      <c r="Y894">
        <f>$C894*Y893</f>
        <v/>
      </c>
      <c r="Z894">
        <f>$C894*Z893</f>
        <v/>
      </c>
      <c r="AA894">
        <f>$C894*AA893</f>
        <v/>
      </c>
      <c r="AB894">
        <f>$C894*AB893</f>
        <v/>
      </c>
      <c r="AC894">
        <f>$C894*AC893</f>
        <v/>
      </c>
      <c r="AD894">
        <f>$C894*AD893</f>
        <v/>
      </c>
      <c r="AE894">
        <f>$C894*AE893</f>
        <v/>
      </c>
      <c r="AF894">
        <f>$C894*AF893</f>
        <v/>
      </c>
      <c r="AG894">
        <f>$C894*AG893</f>
        <v/>
      </c>
      <c r="AH894">
        <f>$C894*AH893</f>
        <v/>
      </c>
      <c r="AI894">
        <f>$C894*AI893</f>
        <v/>
      </c>
      <c r="AJ894">
        <f>$C894*AJ893</f>
        <v/>
      </c>
      <c r="AK894">
        <f>$C894*AK893</f>
        <v/>
      </c>
      <c r="AL894">
        <f>$C894*AL893</f>
        <v/>
      </c>
      <c r="AM894">
        <f>$C894*AM893</f>
        <v/>
      </c>
      <c r="AN894">
        <f>$C894*AN893</f>
        <v/>
      </c>
      <c r="AO894">
        <f>$C894*AO893</f>
        <v/>
      </c>
      <c r="AP894">
        <f>$C894*AP893</f>
        <v/>
      </c>
      <c r="AQ894">
        <f>$C894*AQ893</f>
        <v/>
      </c>
      <c r="AR894">
        <f>$C894*AR893</f>
        <v/>
      </c>
      <c r="AS894">
        <f>$C894*AS893</f>
        <v/>
      </c>
      <c r="AT894">
        <f>$C894*AT893</f>
        <v/>
      </c>
      <c r="AU894">
        <f>$C894*AU893</f>
        <v/>
      </c>
      <c r="AV894">
        <f>$C894*AV893</f>
        <v/>
      </c>
      <c r="AW894">
        <f>$C894*AW893</f>
        <v/>
      </c>
      <c r="AX894">
        <f>$C894*AX893</f>
        <v/>
      </c>
      <c r="AY894">
        <f>$C894*AY893</f>
        <v/>
      </c>
      <c r="AZ894">
        <f>$C894*AZ893</f>
        <v/>
      </c>
      <c r="BA894">
        <f>$C894*BA893</f>
        <v/>
      </c>
      <c r="BB894">
        <f>$C894*BB893</f>
        <v/>
      </c>
      <c r="BC894">
        <f>$C894*BC893</f>
        <v/>
      </c>
      <c r="BD894">
        <f>$C894*BD893</f>
        <v/>
      </c>
      <c r="BE894">
        <f>$C894*BE893</f>
        <v/>
      </c>
      <c r="BF894">
        <f>$C894*BF893</f>
        <v/>
      </c>
      <c r="BG894">
        <f>$C894*BG893</f>
        <v/>
      </c>
      <c r="BH894">
        <f>$C894*BH893</f>
        <v/>
      </c>
      <c r="BI894">
        <f>$C894*BI893</f>
        <v/>
      </c>
      <c r="BJ894">
        <f>$C894*BJ893</f>
        <v/>
      </c>
      <c r="BK894">
        <f>$C894*BK893</f>
        <v/>
      </c>
      <c r="BL894">
        <f>$C894*BL893</f>
        <v/>
      </c>
      <c r="BM894">
        <f>$C894*BM893</f>
        <v/>
      </c>
      <c r="BN894">
        <f>$C894*BN893</f>
        <v/>
      </c>
      <c r="BO894">
        <f>$C894*BO893</f>
        <v/>
      </c>
      <c r="BP894">
        <f>$C894*BP893</f>
        <v/>
      </c>
      <c r="BQ894">
        <f>$C894*BQ893</f>
        <v/>
      </c>
      <c r="BR894">
        <f>$C894*BR893</f>
        <v/>
      </c>
      <c r="BS894">
        <f>$C894*BS893</f>
        <v/>
      </c>
      <c r="BT894">
        <f>$C894*BT893</f>
        <v/>
      </c>
      <c r="BU894">
        <f>$C894*BU893</f>
        <v/>
      </c>
      <c r="BV894">
        <f>$C894*BV893</f>
        <v/>
      </c>
      <c r="BW894">
        <f>$C894*BW893</f>
        <v/>
      </c>
      <c r="BX894">
        <f>$C894*BX893</f>
        <v/>
      </c>
      <c r="BY894">
        <f>$C894*BY893</f>
        <v/>
      </c>
      <c r="BZ894">
        <f>$C894*BZ893</f>
        <v/>
      </c>
      <c r="CA894">
        <f>$C894*CA893</f>
        <v/>
      </c>
      <c r="CB894">
        <f>$C894*CB893</f>
        <v/>
      </c>
      <c r="CC894">
        <f>$C894*CC893</f>
        <v/>
      </c>
      <c r="CD894">
        <f>$C894*CD893</f>
        <v/>
      </c>
      <c r="CE894">
        <f>$C894*CE893</f>
        <v/>
      </c>
      <c r="CF894">
        <f>$C894*CF893</f>
        <v/>
      </c>
      <c r="CG894">
        <f>$C894*CG893</f>
        <v/>
      </c>
      <c r="CH894">
        <f>$C894*CH893</f>
        <v/>
      </c>
      <c r="CI894">
        <f>$C894*CI893</f>
        <v/>
      </c>
      <c r="CJ894">
        <f>$C894*CJ893</f>
        <v/>
      </c>
      <c r="CK894">
        <f>$C894*CK893</f>
        <v/>
      </c>
      <c r="CL894">
        <f>$C894*CL893</f>
        <v/>
      </c>
      <c r="CM894">
        <f>$C894*CM893</f>
        <v/>
      </c>
      <c r="CN894">
        <f>$C894*CN893</f>
        <v/>
      </c>
      <c r="CO894">
        <f>$C894*CO893</f>
        <v/>
      </c>
      <c r="CP894">
        <f>$C894*CP893</f>
        <v/>
      </c>
      <c r="CQ894">
        <f>$C894*CQ893</f>
        <v/>
      </c>
      <c r="CR894">
        <f>$C894*CR893</f>
        <v/>
      </c>
      <c r="CS894">
        <f>$C894*CS893</f>
        <v/>
      </c>
      <c r="CT894">
        <f>$C894*CT893</f>
        <v/>
      </c>
      <c r="CU894">
        <f>$C894*CU893</f>
        <v/>
      </c>
      <c r="CV894">
        <f>$C894*CV893</f>
        <v/>
      </c>
      <c r="CW894">
        <f>$C894*CW893</f>
        <v/>
      </c>
      <c r="CX894">
        <f>$C894*CX893</f>
        <v/>
      </c>
      <c r="CY894">
        <f>$C894*CY893</f>
        <v/>
      </c>
      <c r="CZ894">
        <f>$C894*CZ893</f>
        <v/>
      </c>
      <c r="DA894">
        <f>$C894*DA893</f>
        <v/>
      </c>
      <c r="DB894">
        <f>$C894*DB893</f>
        <v/>
      </c>
      <c r="DC894">
        <f>$C894*DC893</f>
        <v/>
      </c>
    </row>
    <row r="895">
      <c r="B895" t="inlineStr">
        <is>
          <t>TSP-935</t>
        </is>
      </c>
      <c r="C895" t="inlineStr">
        <is>
          <t>No. of batches</t>
        </is>
      </c>
      <c r="D895">
        <f>IFERROR(INDEX(PP_Grid[#Data],$DD895,2),0)</f>
        <v/>
      </c>
      <c r="E895">
        <f>IFERROR(INDEX(PP_Grid[#Data],$DD895,3),0)</f>
        <v/>
      </c>
      <c r="F895">
        <f>IFERROR(INDEX(PP_Grid[#Data],$DD895,4),0)</f>
        <v/>
      </c>
      <c r="G895">
        <f>IFERROR(INDEX(PP_Grid[#Data],$DD895,5),0)</f>
        <v/>
      </c>
      <c r="H895">
        <f>IFERROR(INDEX(PP_Grid[#Data],$DD895,6),0)</f>
        <v/>
      </c>
      <c r="I895">
        <f>IFERROR(INDEX(PP_Grid[#Data],$DD895,7),0)</f>
        <v/>
      </c>
      <c r="J895">
        <f>IFERROR(INDEX(PP_Grid[#Data],$DD895,8),0)</f>
        <v/>
      </c>
      <c r="K895">
        <f>IFERROR(INDEX(PP_Grid[#Data],$DD895,9),0)</f>
        <v/>
      </c>
      <c r="L895">
        <f>IFERROR(INDEX(PP_Grid[#Data],$DD895,10),0)</f>
        <v/>
      </c>
      <c r="M895">
        <f>IFERROR(INDEX(PP_Grid[#Data],$DD895,11),0)</f>
        <v/>
      </c>
      <c r="N895">
        <f>IFERROR(INDEX(PP_Grid[#Data],$DD895,12),0)</f>
        <v/>
      </c>
      <c r="O895">
        <f>IFERROR(INDEX(PP_Grid[#Data],$DD895,13),0)</f>
        <v/>
      </c>
      <c r="P895">
        <f>IFERROR(INDEX(PP_Grid[#Data],$DD895,14),0)</f>
        <v/>
      </c>
      <c r="Q895">
        <f>IFERROR(INDEX(PP_Grid[#Data],$DD895,15),0)</f>
        <v/>
      </c>
      <c r="R895">
        <f>IFERROR(INDEX(PP_Grid[#Data],$DD895,16),0)</f>
        <v/>
      </c>
      <c r="S895">
        <f>IFERROR(INDEX(PP_Grid[#Data],$DD895,17),0)</f>
        <v/>
      </c>
      <c r="T895">
        <f>IFERROR(INDEX(PP_Grid[#Data],$DD895,18),0)</f>
        <v/>
      </c>
      <c r="U895">
        <f>IFERROR(INDEX(PP_Grid[#Data],$DD895,19),0)</f>
        <v/>
      </c>
      <c r="V895">
        <f>IFERROR(INDEX(PP_Grid[#Data],$DD895,20),0)</f>
        <v/>
      </c>
      <c r="W895">
        <f>IFERROR(INDEX(PP_Grid[#Data],$DD895,21),0)</f>
        <v/>
      </c>
      <c r="X895">
        <f>IFERROR(INDEX(PP_Grid[#Data],$DD895,22),0)</f>
        <v/>
      </c>
      <c r="Y895">
        <f>IFERROR(INDEX(PP_Grid[#Data],$DD895,23),0)</f>
        <v/>
      </c>
      <c r="Z895">
        <f>IFERROR(INDEX(PP_Grid[#Data],$DD895,24),0)</f>
        <v/>
      </c>
      <c r="AA895">
        <f>IFERROR(INDEX(PP_Grid[#Data],$DD895,25),0)</f>
        <v/>
      </c>
      <c r="AB895">
        <f>IFERROR(INDEX(PP_Grid[#Data],$DD895,26),0)</f>
        <v/>
      </c>
      <c r="AC895">
        <f>IFERROR(INDEX(PP_Grid[#Data],$DD895,27),0)</f>
        <v/>
      </c>
      <c r="AD895">
        <f>IFERROR(INDEX(PP_Grid[#Data],$DD895,28),0)</f>
        <v/>
      </c>
      <c r="AE895">
        <f>IFERROR(INDEX(PP_Grid[#Data],$DD895,29),0)</f>
        <v/>
      </c>
      <c r="AF895">
        <f>IFERROR(INDEX(PP_Grid[#Data],$DD895,30),0)</f>
        <v/>
      </c>
      <c r="AG895">
        <f>IFERROR(INDEX(PP_Grid[#Data],$DD895,31),0)</f>
        <v/>
      </c>
      <c r="AH895">
        <f>IFERROR(INDEX(PP_Grid[#Data],$DD895,32),0)</f>
        <v/>
      </c>
      <c r="AI895">
        <f>IFERROR(INDEX(PP_Grid[#Data],$DD895,33),0)</f>
        <v/>
      </c>
      <c r="AJ895">
        <f>IFERROR(INDEX(PP_Grid[#Data],$DD895,34),0)</f>
        <v/>
      </c>
      <c r="AK895">
        <f>IFERROR(INDEX(PP_Grid[#Data],$DD895,35),0)</f>
        <v/>
      </c>
      <c r="AL895">
        <f>IFERROR(INDEX(PP_Grid[#Data],$DD895,36),0)</f>
        <v/>
      </c>
      <c r="AM895">
        <f>IFERROR(INDEX(PP_Grid[#Data],$DD895,37),0)</f>
        <v/>
      </c>
      <c r="AN895">
        <f>IFERROR(INDEX(PP_Grid[#Data],$DD895,38),0)</f>
        <v/>
      </c>
      <c r="AO895">
        <f>IFERROR(INDEX(PP_Grid[#Data],$DD895,39),0)</f>
        <v/>
      </c>
      <c r="AP895">
        <f>IFERROR(INDEX(PP_Grid[#Data],$DD895,40),0)</f>
        <v/>
      </c>
      <c r="AQ895">
        <f>IFERROR(INDEX(PP_Grid[#Data],$DD895,41),0)</f>
        <v/>
      </c>
      <c r="AR895">
        <f>IFERROR(INDEX(PP_Grid[#Data],$DD895,42),0)</f>
        <v/>
      </c>
      <c r="AS895">
        <f>IFERROR(INDEX(PP_Grid[#Data],$DD895,43),0)</f>
        <v/>
      </c>
      <c r="AT895">
        <f>IFERROR(INDEX(PP_Grid[#Data],$DD895,44),0)</f>
        <v/>
      </c>
      <c r="AU895">
        <f>IFERROR(INDEX(PP_Grid[#Data],$DD895,45),0)</f>
        <v/>
      </c>
      <c r="AV895">
        <f>IFERROR(INDEX(PP_Grid[#Data],$DD895,46),0)</f>
        <v/>
      </c>
      <c r="AW895">
        <f>IFERROR(INDEX(PP_Grid[#Data],$DD895,47),0)</f>
        <v/>
      </c>
      <c r="AX895">
        <f>IFERROR(INDEX(PP_Grid[#Data],$DD895,48),0)</f>
        <v/>
      </c>
      <c r="AY895">
        <f>IFERROR(INDEX(PP_Grid[#Data],$DD895,49),0)</f>
        <v/>
      </c>
      <c r="AZ895">
        <f>IFERROR(INDEX(PP_Grid[#Data],$DD895,50),0)</f>
        <v/>
      </c>
      <c r="BA895">
        <f>IFERROR(INDEX(PP_Grid[#Data],$DD895,51),0)</f>
        <v/>
      </c>
      <c r="BB895">
        <f>IFERROR(INDEX(PP_Grid[#Data],$DD895,52),0)</f>
        <v/>
      </c>
      <c r="BC895">
        <f>IFERROR(INDEX(PP_Grid[#Data],$DD895,53),0)</f>
        <v/>
      </c>
      <c r="BD895">
        <f>IFERROR(INDEX(PP_Grid[#Data],$DD895,54),0)</f>
        <v/>
      </c>
      <c r="BE895">
        <f>IFERROR(INDEX(PP_Grid[#Data],$DD895,55),0)</f>
        <v/>
      </c>
      <c r="BF895">
        <f>IFERROR(INDEX(PP_Grid[#Data],$DD895,56),0)</f>
        <v/>
      </c>
      <c r="BG895">
        <f>IFERROR(INDEX(PP_Grid[#Data],$DD895,57),0)</f>
        <v/>
      </c>
      <c r="BH895">
        <f>IFERROR(INDEX(PP_Grid[#Data],$DD895,58),0)</f>
        <v/>
      </c>
      <c r="BI895">
        <f>IFERROR(INDEX(PP_Grid[#Data],$DD895,59),0)</f>
        <v/>
      </c>
      <c r="BJ895">
        <f>IFERROR(INDEX(PP_Grid[#Data],$DD895,60),0)</f>
        <v/>
      </c>
      <c r="BK895">
        <f>IFERROR(INDEX(PP_Grid[#Data],$DD895,61),0)</f>
        <v/>
      </c>
      <c r="BL895">
        <f>IFERROR(INDEX(PP_Grid[#Data],$DD895,62),0)</f>
        <v/>
      </c>
      <c r="BM895">
        <f>IFERROR(INDEX(PP_Grid[#Data],$DD895,63),0)</f>
        <v/>
      </c>
      <c r="BN895">
        <f>IFERROR(INDEX(PP_Grid[#Data],$DD895,64),0)</f>
        <v/>
      </c>
      <c r="BO895">
        <f>IFERROR(INDEX(PP_Grid[#Data],$DD895,65),0)</f>
        <v/>
      </c>
      <c r="BP895">
        <f>IFERROR(INDEX(PP_Grid[#Data],$DD895,66),0)</f>
        <v/>
      </c>
      <c r="BQ895">
        <f>IFERROR(INDEX(PP_Grid[#Data],$DD895,67),0)</f>
        <v/>
      </c>
      <c r="BR895">
        <f>IFERROR(INDEX(PP_Grid[#Data],$DD895,68),0)</f>
        <v/>
      </c>
      <c r="BS895">
        <f>IFERROR(INDEX(PP_Grid[#Data],$DD895,69),0)</f>
        <v/>
      </c>
      <c r="BT895">
        <f>IFERROR(INDEX(PP_Grid[#Data],$DD895,70),0)</f>
        <v/>
      </c>
      <c r="BU895">
        <f>IFERROR(INDEX(PP_Grid[#Data],$DD895,71),0)</f>
        <v/>
      </c>
      <c r="BV895">
        <f>IFERROR(INDEX(PP_Grid[#Data],$DD895,72),0)</f>
        <v/>
      </c>
      <c r="BW895">
        <f>IFERROR(INDEX(PP_Grid[#Data],$DD895,73),0)</f>
        <v/>
      </c>
      <c r="BX895">
        <f>IFERROR(INDEX(PP_Grid[#Data],$DD895,74),0)</f>
        <v/>
      </c>
      <c r="BY895">
        <f>IFERROR(INDEX(PP_Grid[#Data],$DD895,75),0)</f>
        <v/>
      </c>
      <c r="BZ895">
        <f>IFERROR(INDEX(PP_Grid[#Data],$DD895,76),0)</f>
        <v/>
      </c>
      <c r="CA895">
        <f>IFERROR(INDEX(PP_Grid[#Data],$DD895,77),0)</f>
        <v/>
      </c>
      <c r="CB895">
        <f>IFERROR(INDEX(PP_Grid[#Data],$DD895,78),0)</f>
        <v/>
      </c>
      <c r="CC895">
        <f>IFERROR(INDEX(PP_Grid[#Data],$DD895,79),0)</f>
        <v/>
      </c>
      <c r="CD895">
        <f>IFERROR(INDEX(PP_Grid[#Data],$DD895,80),0)</f>
        <v/>
      </c>
      <c r="CE895">
        <f>IFERROR(INDEX(PP_Grid[#Data],$DD895,81),0)</f>
        <v/>
      </c>
      <c r="CF895">
        <f>IFERROR(INDEX(PP_Grid[#Data],$DD895,82),0)</f>
        <v/>
      </c>
      <c r="CG895">
        <f>IFERROR(INDEX(PP_Grid[#Data],$DD895,83),0)</f>
        <v/>
      </c>
      <c r="CH895">
        <f>IFERROR(INDEX(PP_Grid[#Data],$DD895,84),0)</f>
        <v/>
      </c>
      <c r="CI895">
        <f>IFERROR(INDEX(PP_Grid[#Data],$DD895,85),0)</f>
        <v/>
      </c>
      <c r="CJ895">
        <f>IFERROR(INDEX(PP_Grid[#Data],$DD895,86),0)</f>
        <v/>
      </c>
      <c r="CK895">
        <f>IFERROR(INDEX(PP_Grid[#Data],$DD895,87),0)</f>
        <v/>
      </c>
      <c r="CL895">
        <f>IFERROR(INDEX(PP_Grid[#Data],$DD895,88),0)</f>
        <v/>
      </c>
      <c r="CM895">
        <f>IFERROR(INDEX(PP_Grid[#Data],$DD895,89),0)</f>
        <v/>
      </c>
      <c r="CN895">
        <f>IFERROR(INDEX(PP_Grid[#Data],$DD895,90),0)</f>
        <v/>
      </c>
      <c r="CO895">
        <f>IFERROR(INDEX(PP_Grid[#Data],$DD895,91),0)</f>
        <v/>
      </c>
      <c r="CP895">
        <f>IFERROR(INDEX(PP_Grid[#Data],$DD895,92),0)</f>
        <v/>
      </c>
      <c r="CQ895">
        <f>IFERROR(INDEX(PP_Grid[#Data],$DD895,93),0)</f>
        <v/>
      </c>
      <c r="CR895">
        <f>IFERROR(INDEX(PP_Grid[#Data],$DD895,94),0)</f>
        <v/>
      </c>
      <c r="CS895">
        <f>IFERROR(INDEX(PP_Grid[#Data],$DD895,95),0)</f>
        <v/>
      </c>
      <c r="CT895">
        <f>IFERROR(INDEX(PP_Grid[#Data],$DD895,96),0)</f>
        <v/>
      </c>
      <c r="CU895">
        <f>IFERROR(INDEX(PP_Grid[#Data],$DD895,97),0)</f>
        <v/>
      </c>
      <c r="CV895">
        <f>IFERROR(INDEX(PP_Grid[#Data],$DD895,98),0)</f>
        <v/>
      </c>
      <c r="CW895">
        <f>IFERROR(INDEX(PP_Grid[#Data],$DD895,99),0)</f>
        <v/>
      </c>
      <c r="CX895">
        <f>IFERROR(INDEX(PP_Grid[#Data],$DD895,100),0)</f>
        <v/>
      </c>
      <c r="CY895">
        <f>IFERROR(INDEX(PP_Grid[#Data],$DD895,101),0)</f>
        <v/>
      </c>
      <c r="CZ895">
        <f>IFERROR(INDEX(PP_Grid[#Data],$DD895,102),0)</f>
        <v/>
      </c>
      <c r="DA895">
        <f>IFERROR(INDEX(PP_Grid[#Data],$DD895,103),0)</f>
        <v/>
      </c>
      <c r="DB895">
        <f>IFERROR(INDEX(PP_Grid[#Data],$DD895,104),0)</f>
        <v/>
      </c>
      <c r="DC895">
        <f>IFERROR(INDEX(PP_Grid[#Data],$DD895,105),0)</f>
        <v/>
      </c>
      <c r="DD895" s="12">
        <f>IFERROR(MATCH($B895,PP_Grid[Intermediate],0),99999)</f>
        <v/>
      </c>
    </row>
    <row r="896">
      <c r="B896" t="inlineStr">
        <is>
          <t>使用量(kg)</t>
        </is>
      </c>
      <c r="C896">
        <f>SUMIFS(M_BOM[RM_Qty_Per_Batch],M_BOM[Intermediate],$B895,M_BOM[Part Name],$A862)</f>
        <v/>
      </c>
      <c r="D896">
        <f>$C896*D895</f>
        <v/>
      </c>
      <c r="E896">
        <f>$C896*E895</f>
        <v/>
      </c>
      <c r="F896">
        <f>$C896*F895</f>
        <v/>
      </c>
      <c r="G896">
        <f>$C896*G895</f>
        <v/>
      </c>
      <c r="H896">
        <f>$C896*H895</f>
        <v/>
      </c>
      <c r="I896">
        <f>$C896*I895</f>
        <v/>
      </c>
      <c r="J896">
        <f>$C896*J895</f>
        <v/>
      </c>
      <c r="K896">
        <f>$C896*K895</f>
        <v/>
      </c>
      <c r="L896">
        <f>$C896*L895</f>
        <v/>
      </c>
      <c r="M896">
        <f>$C896*M895</f>
        <v/>
      </c>
      <c r="N896">
        <f>$C896*N895</f>
        <v/>
      </c>
      <c r="O896">
        <f>$C896*O895</f>
        <v/>
      </c>
      <c r="P896">
        <f>$C896*P895</f>
        <v/>
      </c>
      <c r="Q896">
        <f>$C896*Q895</f>
        <v/>
      </c>
      <c r="R896">
        <f>$C896*R895</f>
        <v/>
      </c>
      <c r="S896">
        <f>$C896*S895</f>
        <v/>
      </c>
      <c r="T896">
        <f>$C896*T895</f>
        <v/>
      </c>
      <c r="U896">
        <f>$C896*U895</f>
        <v/>
      </c>
      <c r="V896">
        <f>$C896*V895</f>
        <v/>
      </c>
      <c r="W896">
        <f>$C896*W895</f>
        <v/>
      </c>
      <c r="X896">
        <f>$C896*X895</f>
        <v/>
      </c>
      <c r="Y896">
        <f>$C896*Y895</f>
        <v/>
      </c>
      <c r="Z896">
        <f>$C896*Z895</f>
        <v/>
      </c>
      <c r="AA896">
        <f>$C896*AA895</f>
        <v/>
      </c>
      <c r="AB896">
        <f>$C896*AB895</f>
        <v/>
      </c>
      <c r="AC896">
        <f>$C896*AC895</f>
        <v/>
      </c>
      <c r="AD896">
        <f>$C896*AD895</f>
        <v/>
      </c>
      <c r="AE896">
        <f>$C896*AE895</f>
        <v/>
      </c>
      <c r="AF896">
        <f>$C896*AF895</f>
        <v/>
      </c>
      <c r="AG896">
        <f>$C896*AG895</f>
        <v/>
      </c>
      <c r="AH896">
        <f>$C896*AH895</f>
        <v/>
      </c>
      <c r="AI896">
        <f>$C896*AI895</f>
        <v/>
      </c>
      <c r="AJ896">
        <f>$C896*AJ895</f>
        <v/>
      </c>
      <c r="AK896">
        <f>$C896*AK895</f>
        <v/>
      </c>
      <c r="AL896">
        <f>$C896*AL895</f>
        <v/>
      </c>
      <c r="AM896">
        <f>$C896*AM895</f>
        <v/>
      </c>
      <c r="AN896">
        <f>$C896*AN895</f>
        <v/>
      </c>
      <c r="AO896">
        <f>$C896*AO895</f>
        <v/>
      </c>
      <c r="AP896">
        <f>$C896*AP895</f>
        <v/>
      </c>
      <c r="AQ896">
        <f>$C896*AQ895</f>
        <v/>
      </c>
      <c r="AR896">
        <f>$C896*AR895</f>
        <v/>
      </c>
      <c r="AS896">
        <f>$C896*AS895</f>
        <v/>
      </c>
      <c r="AT896">
        <f>$C896*AT895</f>
        <v/>
      </c>
      <c r="AU896">
        <f>$C896*AU895</f>
        <v/>
      </c>
      <c r="AV896">
        <f>$C896*AV895</f>
        <v/>
      </c>
      <c r="AW896">
        <f>$C896*AW895</f>
        <v/>
      </c>
      <c r="AX896">
        <f>$C896*AX895</f>
        <v/>
      </c>
      <c r="AY896">
        <f>$C896*AY895</f>
        <v/>
      </c>
      <c r="AZ896">
        <f>$C896*AZ895</f>
        <v/>
      </c>
      <c r="BA896">
        <f>$C896*BA895</f>
        <v/>
      </c>
      <c r="BB896">
        <f>$C896*BB895</f>
        <v/>
      </c>
      <c r="BC896">
        <f>$C896*BC895</f>
        <v/>
      </c>
      <c r="BD896">
        <f>$C896*BD895</f>
        <v/>
      </c>
      <c r="BE896">
        <f>$C896*BE895</f>
        <v/>
      </c>
      <c r="BF896">
        <f>$C896*BF895</f>
        <v/>
      </c>
      <c r="BG896">
        <f>$C896*BG895</f>
        <v/>
      </c>
      <c r="BH896">
        <f>$C896*BH895</f>
        <v/>
      </c>
      <c r="BI896">
        <f>$C896*BI895</f>
        <v/>
      </c>
      <c r="BJ896">
        <f>$C896*BJ895</f>
        <v/>
      </c>
      <c r="BK896">
        <f>$C896*BK895</f>
        <v/>
      </c>
      <c r="BL896">
        <f>$C896*BL895</f>
        <v/>
      </c>
      <c r="BM896">
        <f>$C896*BM895</f>
        <v/>
      </c>
      <c r="BN896">
        <f>$C896*BN895</f>
        <v/>
      </c>
      <c r="BO896">
        <f>$C896*BO895</f>
        <v/>
      </c>
      <c r="BP896">
        <f>$C896*BP895</f>
        <v/>
      </c>
      <c r="BQ896">
        <f>$C896*BQ895</f>
        <v/>
      </c>
      <c r="BR896">
        <f>$C896*BR895</f>
        <v/>
      </c>
      <c r="BS896">
        <f>$C896*BS895</f>
        <v/>
      </c>
      <c r="BT896">
        <f>$C896*BT895</f>
        <v/>
      </c>
      <c r="BU896">
        <f>$C896*BU895</f>
        <v/>
      </c>
      <c r="BV896">
        <f>$C896*BV895</f>
        <v/>
      </c>
      <c r="BW896">
        <f>$C896*BW895</f>
        <v/>
      </c>
      <c r="BX896">
        <f>$C896*BX895</f>
        <v/>
      </c>
      <c r="BY896">
        <f>$C896*BY895</f>
        <v/>
      </c>
      <c r="BZ896">
        <f>$C896*BZ895</f>
        <v/>
      </c>
      <c r="CA896">
        <f>$C896*CA895</f>
        <v/>
      </c>
      <c r="CB896">
        <f>$C896*CB895</f>
        <v/>
      </c>
      <c r="CC896">
        <f>$C896*CC895</f>
        <v/>
      </c>
      <c r="CD896">
        <f>$C896*CD895</f>
        <v/>
      </c>
      <c r="CE896">
        <f>$C896*CE895</f>
        <v/>
      </c>
      <c r="CF896">
        <f>$C896*CF895</f>
        <v/>
      </c>
      <c r="CG896">
        <f>$C896*CG895</f>
        <v/>
      </c>
      <c r="CH896">
        <f>$C896*CH895</f>
        <v/>
      </c>
      <c r="CI896">
        <f>$C896*CI895</f>
        <v/>
      </c>
      <c r="CJ896">
        <f>$C896*CJ895</f>
        <v/>
      </c>
      <c r="CK896">
        <f>$C896*CK895</f>
        <v/>
      </c>
      <c r="CL896">
        <f>$C896*CL895</f>
        <v/>
      </c>
      <c r="CM896">
        <f>$C896*CM895</f>
        <v/>
      </c>
      <c r="CN896">
        <f>$C896*CN895</f>
        <v/>
      </c>
      <c r="CO896">
        <f>$C896*CO895</f>
        <v/>
      </c>
      <c r="CP896">
        <f>$C896*CP895</f>
        <v/>
      </c>
      <c r="CQ896">
        <f>$C896*CQ895</f>
        <v/>
      </c>
      <c r="CR896">
        <f>$C896*CR895</f>
        <v/>
      </c>
      <c r="CS896">
        <f>$C896*CS895</f>
        <v/>
      </c>
      <c r="CT896">
        <f>$C896*CT895</f>
        <v/>
      </c>
      <c r="CU896">
        <f>$C896*CU895</f>
        <v/>
      </c>
      <c r="CV896">
        <f>$C896*CV895</f>
        <v/>
      </c>
      <c r="CW896">
        <f>$C896*CW895</f>
        <v/>
      </c>
      <c r="CX896">
        <f>$C896*CX895</f>
        <v/>
      </c>
      <c r="CY896">
        <f>$C896*CY895</f>
        <v/>
      </c>
      <c r="CZ896">
        <f>$C896*CZ895</f>
        <v/>
      </c>
      <c r="DA896">
        <f>$C896*DA895</f>
        <v/>
      </c>
      <c r="DB896">
        <f>$C896*DB895</f>
        <v/>
      </c>
      <c r="DC896">
        <f>$C896*DC895</f>
        <v/>
      </c>
    </row>
    <row r="897">
      <c r="B897" t="inlineStr">
        <is>
          <t>TSP-936</t>
        </is>
      </c>
      <c r="C897" t="inlineStr">
        <is>
          <t>No. of batches</t>
        </is>
      </c>
      <c r="D897">
        <f>IFERROR(INDEX(PP_Grid[#Data],$DD897,2),0)</f>
        <v/>
      </c>
      <c r="E897">
        <f>IFERROR(INDEX(PP_Grid[#Data],$DD897,3),0)</f>
        <v/>
      </c>
      <c r="F897">
        <f>IFERROR(INDEX(PP_Grid[#Data],$DD897,4),0)</f>
        <v/>
      </c>
      <c r="G897">
        <f>IFERROR(INDEX(PP_Grid[#Data],$DD897,5),0)</f>
        <v/>
      </c>
      <c r="H897">
        <f>IFERROR(INDEX(PP_Grid[#Data],$DD897,6),0)</f>
        <v/>
      </c>
      <c r="I897">
        <f>IFERROR(INDEX(PP_Grid[#Data],$DD897,7),0)</f>
        <v/>
      </c>
      <c r="J897">
        <f>IFERROR(INDEX(PP_Grid[#Data],$DD897,8),0)</f>
        <v/>
      </c>
      <c r="K897">
        <f>IFERROR(INDEX(PP_Grid[#Data],$DD897,9),0)</f>
        <v/>
      </c>
      <c r="L897">
        <f>IFERROR(INDEX(PP_Grid[#Data],$DD897,10),0)</f>
        <v/>
      </c>
      <c r="M897">
        <f>IFERROR(INDEX(PP_Grid[#Data],$DD897,11),0)</f>
        <v/>
      </c>
      <c r="N897">
        <f>IFERROR(INDEX(PP_Grid[#Data],$DD897,12),0)</f>
        <v/>
      </c>
      <c r="O897">
        <f>IFERROR(INDEX(PP_Grid[#Data],$DD897,13),0)</f>
        <v/>
      </c>
      <c r="P897">
        <f>IFERROR(INDEX(PP_Grid[#Data],$DD897,14),0)</f>
        <v/>
      </c>
      <c r="Q897">
        <f>IFERROR(INDEX(PP_Grid[#Data],$DD897,15),0)</f>
        <v/>
      </c>
      <c r="R897">
        <f>IFERROR(INDEX(PP_Grid[#Data],$DD897,16),0)</f>
        <v/>
      </c>
      <c r="S897">
        <f>IFERROR(INDEX(PP_Grid[#Data],$DD897,17),0)</f>
        <v/>
      </c>
      <c r="T897">
        <f>IFERROR(INDEX(PP_Grid[#Data],$DD897,18),0)</f>
        <v/>
      </c>
      <c r="U897">
        <f>IFERROR(INDEX(PP_Grid[#Data],$DD897,19),0)</f>
        <v/>
      </c>
      <c r="V897">
        <f>IFERROR(INDEX(PP_Grid[#Data],$DD897,20),0)</f>
        <v/>
      </c>
      <c r="W897">
        <f>IFERROR(INDEX(PP_Grid[#Data],$DD897,21),0)</f>
        <v/>
      </c>
      <c r="X897">
        <f>IFERROR(INDEX(PP_Grid[#Data],$DD897,22),0)</f>
        <v/>
      </c>
      <c r="Y897">
        <f>IFERROR(INDEX(PP_Grid[#Data],$DD897,23),0)</f>
        <v/>
      </c>
      <c r="Z897">
        <f>IFERROR(INDEX(PP_Grid[#Data],$DD897,24),0)</f>
        <v/>
      </c>
      <c r="AA897">
        <f>IFERROR(INDEX(PP_Grid[#Data],$DD897,25),0)</f>
        <v/>
      </c>
      <c r="AB897">
        <f>IFERROR(INDEX(PP_Grid[#Data],$DD897,26),0)</f>
        <v/>
      </c>
      <c r="AC897">
        <f>IFERROR(INDEX(PP_Grid[#Data],$DD897,27),0)</f>
        <v/>
      </c>
      <c r="AD897">
        <f>IFERROR(INDEX(PP_Grid[#Data],$DD897,28),0)</f>
        <v/>
      </c>
      <c r="AE897">
        <f>IFERROR(INDEX(PP_Grid[#Data],$DD897,29),0)</f>
        <v/>
      </c>
      <c r="AF897">
        <f>IFERROR(INDEX(PP_Grid[#Data],$DD897,30),0)</f>
        <v/>
      </c>
      <c r="AG897">
        <f>IFERROR(INDEX(PP_Grid[#Data],$DD897,31),0)</f>
        <v/>
      </c>
      <c r="AH897">
        <f>IFERROR(INDEX(PP_Grid[#Data],$DD897,32),0)</f>
        <v/>
      </c>
      <c r="AI897">
        <f>IFERROR(INDEX(PP_Grid[#Data],$DD897,33),0)</f>
        <v/>
      </c>
      <c r="AJ897">
        <f>IFERROR(INDEX(PP_Grid[#Data],$DD897,34),0)</f>
        <v/>
      </c>
      <c r="AK897">
        <f>IFERROR(INDEX(PP_Grid[#Data],$DD897,35),0)</f>
        <v/>
      </c>
      <c r="AL897">
        <f>IFERROR(INDEX(PP_Grid[#Data],$DD897,36),0)</f>
        <v/>
      </c>
      <c r="AM897">
        <f>IFERROR(INDEX(PP_Grid[#Data],$DD897,37),0)</f>
        <v/>
      </c>
      <c r="AN897">
        <f>IFERROR(INDEX(PP_Grid[#Data],$DD897,38),0)</f>
        <v/>
      </c>
      <c r="AO897">
        <f>IFERROR(INDEX(PP_Grid[#Data],$DD897,39),0)</f>
        <v/>
      </c>
      <c r="AP897">
        <f>IFERROR(INDEX(PP_Grid[#Data],$DD897,40),0)</f>
        <v/>
      </c>
      <c r="AQ897">
        <f>IFERROR(INDEX(PP_Grid[#Data],$DD897,41),0)</f>
        <v/>
      </c>
      <c r="AR897">
        <f>IFERROR(INDEX(PP_Grid[#Data],$DD897,42),0)</f>
        <v/>
      </c>
      <c r="AS897">
        <f>IFERROR(INDEX(PP_Grid[#Data],$DD897,43),0)</f>
        <v/>
      </c>
      <c r="AT897">
        <f>IFERROR(INDEX(PP_Grid[#Data],$DD897,44),0)</f>
        <v/>
      </c>
      <c r="AU897">
        <f>IFERROR(INDEX(PP_Grid[#Data],$DD897,45),0)</f>
        <v/>
      </c>
      <c r="AV897">
        <f>IFERROR(INDEX(PP_Grid[#Data],$DD897,46),0)</f>
        <v/>
      </c>
      <c r="AW897">
        <f>IFERROR(INDEX(PP_Grid[#Data],$DD897,47),0)</f>
        <v/>
      </c>
      <c r="AX897">
        <f>IFERROR(INDEX(PP_Grid[#Data],$DD897,48),0)</f>
        <v/>
      </c>
      <c r="AY897">
        <f>IFERROR(INDEX(PP_Grid[#Data],$DD897,49),0)</f>
        <v/>
      </c>
      <c r="AZ897">
        <f>IFERROR(INDEX(PP_Grid[#Data],$DD897,50),0)</f>
        <v/>
      </c>
      <c r="BA897">
        <f>IFERROR(INDEX(PP_Grid[#Data],$DD897,51),0)</f>
        <v/>
      </c>
      <c r="BB897">
        <f>IFERROR(INDEX(PP_Grid[#Data],$DD897,52),0)</f>
        <v/>
      </c>
      <c r="BC897">
        <f>IFERROR(INDEX(PP_Grid[#Data],$DD897,53),0)</f>
        <v/>
      </c>
      <c r="BD897">
        <f>IFERROR(INDEX(PP_Grid[#Data],$DD897,54),0)</f>
        <v/>
      </c>
      <c r="BE897">
        <f>IFERROR(INDEX(PP_Grid[#Data],$DD897,55),0)</f>
        <v/>
      </c>
      <c r="BF897">
        <f>IFERROR(INDEX(PP_Grid[#Data],$DD897,56),0)</f>
        <v/>
      </c>
      <c r="BG897">
        <f>IFERROR(INDEX(PP_Grid[#Data],$DD897,57),0)</f>
        <v/>
      </c>
      <c r="BH897">
        <f>IFERROR(INDEX(PP_Grid[#Data],$DD897,58),0)</f>
        <v/>
      </c>
      <c r="BI897">
        <f>IFERROR(INDEX(PP_Grid[#Data],$DD897,59),0)</f>
        <v/>
      </c>
      <c r="BJ897">
        <f>IFERROR(INDEX(PP_Grid[#Data],$DD897,60),0)</f>
        <v/>
      </c>
      <c r="BK897">
        <f>IFERROR(INDEX(PP_Grid[#Data],$DD897,61),0)</f>
        <v/>
      </c>
      <c r="BL897">
        <f>IFERROR(INDEX(PP_Grid[#Data],$DD897,62),0)</f>
        <v/>
      </c>
      <c r="BM897">
        <f>IFERROR(INDEX(PP_Grid[#Data],$DD897,63),0)</f>
        <v/>
      </c>
      <c r="BN897">
        <f>IFERROR(INDEX(PP_Grid[#Data],$DD897,64),0)</f>
        <v/>
      </c>
      <c r="BO897">
        <f>IFERROR(INDEX(PP_Grid[#Data],$DD897,65),0)</f>
        <v/>
      </c>
      <c r="BP897">
        <f>IFERROR(INDEX(PP_Grid[#Data],$DD897,66),0)</f>
        <v/>
      </c>
      <c r="BQ897">
        <f>IFERROR(INDEX(PP_Grid[#Data],$DD897,67),0)</f>
        <v/>
      </c>
      <c r="BR897">
        <f>IFERROR(INDEX(PP_Grid[#Data],$DD897,68),0)</f>
        <v/>
      </c>
      <c r="BS897">
        <f>IFERROR(INDEX(PP_Grid[#Data],$DD897,69),0)</f>
        <v/>
      </c>
      <c r="BT897">
        <f>IFERROR(INDEX(PP_Grid[#Data],$DD897,70),0)</f>
        <v/>
      </c>
      <c r="BU897">
        <f>IFERROR(INDEX(PP_Grid[#Data],$DD897,71),0)</f>
        <v/>
      </c>
      <c r="BV897">
        <f>IFERROR(INDEX(PP_Grid[#Data],$DD897,72),0)</f>
        <v/>
      </c>
      <c r="BW897">
        <f>IFERROR(INDEX(PP_Grid[#Data],$DD897,73),0)</f>
        <v/>
      </c>
      <c r="BX897">
        <f>IFERROR(INDEX(PP_Grid[#Data],$DD897,74),0)</f>
        <v/>
      </c>
      <c r="BY897">
        <f>IFERROR(INDEX(PP_Grid[#Data],$DD897,75),0)</f>
        <v/>
      </c>
      <c r="BZ897">
        <f>IFERROR(INDEX(PP_Grid[#Data],$DD897,76),0)</f>
        <v/>
      </c>
      <c r="CA897">
        <f>IFERROR(INDEX(PP_Grid[#Data],$DD897,77),0)</f>
        <v/>
      </c>
      <c r="CB897">
        <f>IFERROR(INDEX(PP_Grid[#Data],$DD897,78),0)</f>
        <v/>
      </c>
      <c r="CC897">
        <f>IFERROR(INDEX(PP_Grid[#Data],$DD897,79),0)</f>
        <v/>
      </c>
      <c r="CD897">
        <f>IFERROR(INDEX(PP_Grid[#Data],$DD897,80),0)</f>
        <v/>
      </c>
      <c r="CE897">
        <f>IFERROR(INDEX(PP_Grid[#Data],$DD897,81),0)</f>
        <v/>
      </c>
      <c r="CF897">
        <f>IFERROR(INDEX(PP_Grid[#Data],$DD897,82),0)</f>
        <v/>
      </c>
      <c r="CG897">
        <f>IFERROR(INDEX(PP_Grid[#Data],$DD897,83),0)</f>
        <v/>
      </c>
      <c r="CH897">
        <f>IFERROR(INDEX(PP_Grid[#Data],$DD897,84),0)</f>
        <v/>
      </c>
      <c r="CI897">
        <f>IFERROR(INDEX(PP_Grid[#Data],$DD897,85),0)</f>
        <v/>
      </c>
      <c r="CJ897">
        <f>IFERROR(INDEX(PP_Grid[#Data],$DD897,86),0)</f>
        <v/>
      </c>
      <c r="CK897">
        <f>IFERROR(INDEX(PP_Grid[#Data],$DD897,87),0)</f>
        <v/>
      </c>
      <c r="CL897">
        <f>IFERROR(INDEX(PP_Grid[#Data],$DD897,88),0)</f>
        <v/>
      </c>
      <c r="CM897">
        <f>IFERROR(INDEX(PP_Grid[#Data],$DD897,89),0)</f>
        <v/>
      </c>
      <c r="CN897">
        <f>IFERROR(INDEX(PP_Grid[#Data],$DD897,90),0)</f>
        <v/>
      </c>
      <c r="CO897">
        <f>IFERROR(INDEX(PP_Grid[#Data],$DD897,91),0)</f>
        <v/>
      </c>
      <c r="CP897">
        <f>IFERROR(INDEX(PP_Grid[#Data],$DD897,92),0)</f>
        <v/>
      </c>
      <c r="CQ897">
        <f>IFERROR(INDEX(PP_Grid[#Data],$DD897,93),0)</f>
        <v/>
      </c>
      <c r="CR897">
        <f>IFERROR(INDEX(PP_Grid[#Data],$DD897,94),0)</f>
        <v/>
      </c>
      <c r="CS897">
        <f>IFERROR(INDEX(PP_Grid[#Data],$DD897,95),0)</f>
        <v/>
      </c>
      <c r="CT897">
        <f>IFERROR(INDEX(PP_Grid[#Data],$DD897,96),0)</f>
        <v/>
      </c>
      <c r="CU897">
        <f>IFERROR(INDEX(PP_Grid[#Data],$DD897,97),0)</f>
        <v/>
      </c>
      <c r="CV897">
        <f>IFERROR(INDEX(PP_Grid[#Data],$DD897,98),0)</f>
        <v/>
      </c>
      <c r="CW897">
        <f>IFERROR(INDEX(PP_Grid[#Data],$DD897,99),0)</f>
        <v/>
      </c>
      <c r="CX897">
        <f>IFERROR(INDEX(PP_Grid[#Data],$DD897,100),0)</f>
        <v/>
      </c>
      <c r="CY897">
        <f>IFERROR(INDEX(PP_Grid[#Data],$DD897,101),0)</f>
        <v/>
      </c>
      <c r="CZ897">
        <f>IFERROR(INDEX(PP_Grid[#Data],$DD897,102),0)</f>
        <v/>
      </c>
      <c r="DA897">
        <f>IFERROR(INDEX(PP_Grid[#Data],$DD897,103),0)</f>
        <v/>
      </c>
      <c r="DB897">
        <f>IFERROR(INDEX(PP_Grid[#Data],$DD897,104),0)</f>
        <v/>
      </c>
      <c r="DC897">
        <f>IFERROR(INDEX(PP_Grid[#Data],$DD897,105),0)</f>
        <v/>
      </c>
      <c r="DD897" s="12">
        <f>IFERROR(MATCH($B897,PP_Grid[Intermediate],0),99999)</f>
        <v/>
      </c>
    </row>
    <row r="898">
      <c r="B898" t="inlineStr">
        <is>
          <t>使用量(kg)</t>
        </is>
      </c>
      <c r="C898">
        <f>SUMIFS(M_BOM[RM_Qty_Per_Batch],M_BOM[Intermediate],$B897,M_BOM[Part Name],$A862)</f>
        <v/>
      </c>
      <c r="D898">
        <f>$C898*D897</f>
        <v/>
      </c>
      <c r="E898">
        <f>$C898*E897</f>
        <v/>
      </c>
      <c r="F898">
        <f>$C898*F897</f>
        <v/>
      </c>
      <c r="G898">
        <f>$C898*G897</f>
        <v/>
      </c>
      <c r="H898">
        <f>$C898*H897</f>
        <v/>
      </c>
      <c r="I898">
        <f>$C898*I897</f>
        <v/>
      </c>
      <c r="J898">
        <f>$C898*J897</f>
        <v/>
      </c>
      <c r="K898">
        <f>$C898*K897</f>
        <v/>
      </c>
      <c r="L898">
        <f>$C898*L897</f>
        <v/>
      </c>
      <c r="M898">
        <f>$C898*M897</f>
        <v/>
      </c>
      <c r="N898">
        <f>$C898*N897</f>
        <v/>
      </c>
      <c r="O898">
        <f>$C898*O897</f>
        <v/>
      </c>
      <c r="P898">
        <f>$C898*P897</f>
        <v/>
      </c>
      <c r="Q898">
        <f>$C898*Q897</f>
        <v/>
      </c>
      <c r="R898">
        <f>$C898*R897</f>
        <v/>
      </c>
      <c r="S898">
        <f>$C898*S897</f>
        <v/>
      </c>
      <c r="T898">
        <f>$C898*T897</f>
        <v/>
      </c>
      <c r="U898">
        <f>$C898*U897</f>
        <v/>
      </c>
      <c r="V898">
        <f>$C898*V897</f>
        <v/>
      </c>
      <c r="W898">
        <f>$C898*W897</f>
        <v/>
      </c>
      <c r="X898">
        <f>$C898*X897</f>
        <v/>
      </c>
      <c r="Y898">
        <f>$C898*Y897</f>
        <v/>
      </c>
      <c r="Z898">
        <f>$C898*Z897</f>
        <v/>
      </c>
      <c r="AA898">
        <f>$C898*AA897</f>
        <v/>
      </c>
      <c r="AB898">
        <f>$C898*AB897</f>
        <v/>
      </c>
      <c r="AC898">
        <f>$C898*AC897</f>
        <v/>
      </c>
      <c r="AD898">
        <f>$C898*AD897</f>
        <v/>
      </c>
      <c r="AE898">
        <f>$C898*AE897</f>
        <v/>
      </c>
      <c r="AF898">
        <f>$C898*AF897</f>
        <v/>
      </c>
      <c r="AG898">
        <f>$C898*AG897</f>
        <v/>
      </c>
      <c r="AH898">
        <f>$C898*AH897</f>
        <v/>
      </c>
      <c r="AI898">
        <f>$C898*AI897</f>
        <v/>
      </c>
      <c r="AJ898">
        <f>$C898*AJ897</f>
        <v/>
      </c>
      <c r="AK898">
        <f>$C898*AK897</f>
        <v/>
      </c>
      <c r="AL898">
        <f>$C898*AL897</f>
        <v/>
      </c>
      <c r="AM898">
        <f>$C898*AM897</f>
        <v/>
      </c>
      <c r="AN898">
        <f>$C898*AN897</f>
        <v/>
      </c>
      <c r="AO898">
        <f>$C898*AO897</f>
        <v/>
      </c>
      <c r="AP898">
        <f>$C898*AP897</f>
        <v/>
      </c>
      <c r="AQ898">
        <f>$C898*AQ897</f>
        <v/>
      </c>
      <c r="AR898">
        <f>$C898*AR897</f>
        <v/>
      </c>
      <c r="AS898">
        <f>$C898*AS897</f>
        <v/>
      </c>
      <c r="AT898">
        <f>$C898*AT897</f>
        <v/>
      </c>
      <c r="AU898">
        <f>$C898*AU897</f>
        <v/>
      </c>
      <c r="AV898">
        <f>$C898*AV897</f>
        <v/>
      </c>
      <c r="AW898">
        <f>$C898*AW897</f>
        <v/>
      </c>
      <c r="AX898">
        <f>$C898*AX897</f>
        <v/>
      </c>
      <c r="AY898">
        <f>$C898*AY897</f>
        <v/>
      </c>
      <c r="AZ898">
        <f>$C898*AZ897</f>
        <v/>
      </c>
      <c r="BA898">
        <f>$C898*BA897</f>
        <v/>
      </c>
      <c r="BB898">
        <f>$C898*BB897</f>
        <v/>
      </c>
      <c r="BC898">
        <f>$C898*BC897</f>
        <v/>
      </c>
      <c r="BD898">
        <f>$C898*BD897</f>
        <v/>
      </c>
      <c r="BE898">
        <f>$C898*BE897</f>
        <v/>
      </c>
      <c r="BF898">
        <f>$C898*BF897</f>
        <v/>
      </c>
      <c r="BG898">
        <f>$C898*BG897</f>
        <v/>
      </c>
      <c r="BH898">
        <f>$C898*BH897</f>
        <v/>
      </c>
      <c r="BI898">
        <f>$C898*BI897</f>
        <v/>
      </c>
      <c r="BJ898">
        <f>$C898*BJ897</f>
        <v/>
      </c>
      <c r="BK898">
        <f>$C898*BK897</f>
        <v/>
      </c>
      <c r="BL898">
        <f>$C898*BL897</f>
        <v/>
      </c>
      <c r="BM898">
        <f>$C898*BM897</f>
        <v/>
      </c>
      <c r="BN898">
        <f>$C898*BN897</f>
        <v/>
      </c>
      <c r="BO898">
        <f>$C898*BO897</f>
        <v/>
      </c>
      <c r="BP898">
        <f>$C898*BP897</f>
        <v/>
      </c>
      <c r="BQ898">
        <f>$C898*BQ897</f>
        <v/>
      </c>
      <c r="BR898">
        <f>$C898*BR897</f>
        <v/>
      </c>
      <c r="BS898">
        <f>$C898*BS897</f>
        <v/>
      </c>
      <c r="BT898">
        <f>$C898*BT897</f>
        <v/>
      </c>
      <c r="BU898">
        <f>$C898*BU897</f>
        <v/>
      </c>
      <c r="BV898">
        <f>$C898*BV897</f>
        <v/>
      </c>
      <c r="BW898">
        <f>$C898*BW897</f>
        <v/>
      </c>
      <c r="BX898">
        <f>$C898*BX897</f>
        <v/>
      </c>
      <c r="BY898">
        <f>$C898*BY897</f>
        <v/>
      </c>
      <c r="BZ898">
        <f>$C898*BZ897</f>
        <v/>
      </c>
      <c r="CA898">
        <f>$C898*CA897</f>
        <v/>
      </c>
      <c r="CB898">
        <f>$C898*CB897</f>
        <v/>
      </c>
      <c r="CC898">
        <f>$C898*CC897</f>
        <v/>
      </c>
      <c r="CD898">
        <f>$C898*CD897</f>
        <v/>
      </c>
      <c r="CE898">
        <f>$C898*CE897</f>
        <v/>
      </c>
      <c r="CF898">
        <f>$C898*CF897</f>
        <v/>
      </c>
      <c r="CG898">
        <f>$C898*CG897</f>
        <v/>
      </c>
      <c r="CH898">
        <f>$C898*CH897</f>
        <v/>
      </c>
      <c r="CI898">
        <f>$C898*CI897</f>
        <v/>
      </c>
      <c r="CJ898">
        <f>$C898*CJ897</f>
        <v/>
      </c>
      <c r="CK898">
        <f>$C898*CK897</f>
        <v/>
      </c>
      <c r="CL898">
        <f>$C898*CL897</f>
        <v/>
      </c>
      <c r="CM898">
        <f>$C898*CM897</f>
        <v/>
      </c>
      <c r="CN898">
        <f>$C898*CN897</f>
        <v/>
      </c>
      <c r="CO898">
        <f>$C898*CO897</f>
        <v/>
      </c>
      <c r="CP898">
        <f>$C898*CP897</f>
        <v/>
      </c>
      <c r="CQ898">
        <f>$C898*CQ897</f>
        <v/>
      </c>
      <c r="CR898">
        <f>$C898*CR897</f>
        <v/>
      </c>
      <c r="CS898">
        <f>$C898*CS897</f>
        <v/>
      </c>
      <c r="CT898">
        <f>$C898*CT897</f>
        <v/>
      </c>
      <c r="CU898">
        <f>$C898*CU897</f>
        <v/>
      </c>
      <c r="CV898">
        <f>$C898*CV897</f>
        <v/>
      </c>
      <c r="CW898">
        <f>$C898*CW897</f>
        <v/>
      </c>
      <c r="CX898">
        <f>$C898*CX897</f>
        <v/>
      </c>
      <c r="CY898">
        <f>$C898*CY897</f>
        <v/>
      </c>
      <c r="CZ898">
        <f>$C898*CZ897</f>
        <v/>
      </c>
      <c r="DA898">
        <f>$C898*DA897</f>
        <v/>
      </c>
      <c r="DB898">
        <f>$C898*DB897</f>
        <v/>
      </c>
      <c r="DC898">
        <f>$C898*DC897</f>
        <v/>
      </c>
    </row>
    <row r="899">
      <c r="B899" t="inlineStr">
        <is>
          <t>TSP-937</t>
        </is>
      </c>
      <c r="C899" t="inlineStr">
        <is>
          <t>No. of batches</t>
        </is>
      </c>
      <c r="D899">
        <f>IFERROR(INDEX(PP_Grid[#Data],$DD899,2),0)</f>
        <v/>
      </c>
      <c r="E899">
        <f>IFERROR(INDEX(PP_Grid[#Data],$DD899,3),0)</f>
        <v/>
      </c>
      <c r="F899">
        <f>IFERROR(INDEX(PP_Grid[#Data],$DD899,4),0)</f>
        <v/>
      </c>
      <c r="G899">
        <f>IFERROR(INDEX(PP_Grid[#Data],$DD899,5),0)</f>
        <v/>
      </c>
      <c r="H899">
        <f>IFERROR(INDEX(PP_Grid[#Data],$DD899,6),0)</f>
        <v/>
      </c>
      <c r="I899">
        <f>IFERROR(INDEX(PP_Grid[#Data],$DD899,7),0)</f>
        <v/>
      </c>
      <c r="J899">
        <f>IFERROR(INDEX(PP_Grid[#Data],$DD899,8),0)</f>
        <v/>
      </c>
      <c r="K899">
        <f>IFERROR(INDEX(PP_Grid[#Data],$DD899,9),0)</f>
        <v/>
      </c>
      <c r="L899">
        <f>IFERROR(INDEX(PP_Grid[#Data],$DD899,10),0)</f>
        <v/>
      </c>
      <c r="M899">
        <f>IFERROR(INDEX(PP_Grid[#Data],$DD899,11),0)</f>
        <v/>
      </c>
      <c r="N899">
        <f>IFERROR(INDEX(PP_Grid[#Data],$DD899,12),0)</f>
        <v/>
      </c>
      <c r="O899">
        <f>IFERROR(INDEX(PP_Grid[#Data],$DD899,13),0)</f>
        <v/>
      </c>
      <c r="P899">
        <f>IFERROR(INDEX(PP_Grid[#Data],$DD899,14),0)</f>
        <v/>
      </c>
      <c r="Q899">
        <f>IFERROR(INDEX(PP_Grid[#Data],$DD899,15),0)</f>
        <v/>
      </c>
      <c r="R899">
        <f>IFERROR(INDEX(PP_Grid[#Data],$DD899,16),0)</f>
        <v/>
      </c>
      <c r="S899">
        <f>IFERROR(INDEX(PP_Grid[#Data],$DD899,17),0)</f>
        <v/>
      </c>
      <c r="T899">
        <f>IFERROR(INDEX(PP_Grid[#Data],$DD899,18),0)</f>
        <v/>
      </c>
      <c r="U899">
        <f>IFERROR(INDEX(PP_Grid[#Data],$DD899,19),0)</f>
        <v/>
      </c>
      <c r="V899">
        <f>IFERROR(INDEX(PP_Grid[#Data],$DD899,20),0)</f>
        <v/>
      </c>
      <c r="W899">
        <f>IFERROR(INDEX(PP_Grid[#Data],$DD899,21),0)</f>
        <v/>
      </c>
      <c r="X899">
        <f>IFERROR(INDEX(PP_Grid[#Data],$DD899,22),0)</f>
        <v/>
      </c>
      <c r="Y899">
        <f>IFERROR(INDEX(PP_Grid[#Data],$DD899,23),0)</f>
        <v/>
      </c>
      <c r="Z899">
        <f>IFERROR(INDEX(PP_Grid[#Data],$DD899,24),0)</f>
        <v/>
      </c>
      <c r="AA899">
        <f>IFERROR(INDEX(PP_Grid[#Data],$DD899,25),0)</f>
        <v/>
      </c>
      <c r="AB899">
        <f>IFERROR(INDEX(PP_Grid[#Data],$DD899,26),0)</f>
        <v/>
      </c>
      <c r="AC899">
        <f>IFERROR(INDEX(PP_Grid[#Data],$DD899,27),0)</f>
        <v/>
      </c>
      <c r="AD899">
        <f>IFERROR(INDEX(PP_Grid[#Data],$DD899,28),0)</f>
        <v/>
      </c>
      <c r="AE899">
        <f>IFERROR(INDEX(PP_Grid[#Data],$DD899,29),0)</f>
        <v/>
      </c>
      <c r="AF899">
        <f>IFERROR(INDEX(PP_Grid[#Data],$DD899,30),0)</f>
        <v/>
      </c>
      <c r="AG899">
        <f>IFERROR(INDEX(PP_Grid[#Data],$DD899,31),0)</f>
        <v/>
      </c>
      <c r="AH899">
        <f>IFERROR(INDEX(PP_Grid[#Data],$DD899,32),0)</f>
        <v/>
      </c>
      <c r="AI899">
        <f>IFERROR(INDEX(PP_Grid[#Data],$DD899,33),0)</f>
        <v/>
      </c>
      <c r="AJ899">
        <f>IFERROR(INDEX(PP_Grid[#Data],$DD899,34),0)</f>
        <v/>
      </c>
      <c r="AK899">
        <f>IFERROR(INDEX(PP_Grid[#Data],$DD899,35),0)</f>
        <v/>
      </c>
      <c r="AL899">
        <f>IFERROR(INDEX(PP_Grid[#Data],$DD899,36),0)</f>
        <v/>
      </c>
      <c r="AM899">
        <f>IFERROR(INDEX(PP_Grid[#Data],$DD899,37),0)</f>
        <v/>
      </c>
      <c r="AN899">
        <f>IFERROR(INDEX(PP_Grid[#Data],$DD899,38),0)</f>
        <v/>
      </c>
      <c r="AO899">
        <f>IFERROR(INDEX(PP_Grid[#Data],$DD899,39),0)</f>
        <v/>
      </c>
      <c r="AP899">
        <f>IFERROR(INDEX(PP_Grid[#Data],$DD899,40),0)</f>
        <v/>
      </c>
      <c r="AQ899">
        <f>IFERROR(INDEX(PP_Grid[#Data],$DD899,41),0)</f>
        <v/>
      </c>
      <c r="AR899">
        <f>IFERROR(INDEX(PP_Grid[#Data],$DD899,42),0)</f>
        <v/>
      </c>
      <c r="AS899">
        <f>IFERROR(INDEX(PP_Grid[#Data],$DD899,43),0)</f>
        <v/>
      </c>
      <c r="AT899">
        <f>IFERROR(INDEX(PP_Grid[#Data],$DD899,44),0)</f>
        <v/>
      </c>
      <c r="AU899">
        <f>IFERROR(INDEX(PP_Grid[#Data],$DD899,45),0)</f>
        <v/>
      </c>
      <c r="AV899">
        <f>IFERROR(INDEX(PP_Grid[#Data],$DD899,46),0)</f>
        <v/>
      </c>
      <c r="AW899">
        <f>IFERROR(INDEX(PP_Grid[#Data],$DD899,47),0)</f>
        <v/>
      </c>
      <c r="AX899">
        <f>IFERROR(INDEX(PP_Grid[#Data],$DD899,48),0)</f>
        <v/>
      </c>
      <c r="AY899">
        <f>IFERROR(INDEX(PP_Grid[#Data],$DD899,49),0)</f>
        <v/>
      </c>
      <c r="AZ899">
        <f>IFERROR(INDEX(PP_Grid[#Data],$DD899,50),0)</f>
        <v/>
      </c>
      <c r="BA899">
        <f>IFERROR(INDEX(PP_Grid[#Data],$DD899,51),0)</f>
        <v/>
      </c>
      <c r="BB899">
        <f>IFERROR(INDEX(PP_Grid[#Data],$DD899,52),0)</f>
        <v/>
      </c>
      <c r="BC899">
        <f>IFERROR(INDEX(PP_Grid[#Data],$DD899,53),0)</f>
        <v/>
      </c>
      <c r="BD899">
        <f>IFERROR(INDEX(PP_Grid[#Data],$DD899,54),0)</f>
        <v/>
      </c>
      <c r="BE899">
        <f>IFERROR(INDEX(PP_Grid[#Data],$DD899,55),0)</f>
        <v/>
      </c>
      <c r="BF899">
        <f>IFERROR(INDEX(PP_Grid[#Data],$DD899,56),0)</f>
        <v/>
      </c>
      <c r="BG899">
        <f>IFERROR(INDEX(PP_Grid[#Data],$DD899,57),0)</f>
        <v/>
      </c>
      <c r="BH899">
        <f>IFERROR(INDEX(PP_Grid[#Data],$DD899,58),0)</f>
        <v/>
      </c>
      <c r="BI899">
        <f>IFERROR(INDEX(PP_Grid[#Data],$DD899,59),0)</f>
        <v/>
      </c>
      <c r="BJ899">
        <f>IFERROR(INDEX(PP_Grid[#Data],$DD899,60),0)</f>
        <v/>
      </c>
      <c r="BK899">
        <f>IFERROR(INDEX(PP_Grid[#Data],$DD899,61),0)</f>
        <v/>
      </c>
      <c r="BL899">
        <f>IFERROR(INDEX(PP_Grid[#Data],$DD899,62),0)</f>
        <v/>
      </c>
      <c r="BM899">
        <f>IFERROR(INDEX(PP_Grid[#Data],$DD899,63),0)</f>
        <v/>
      </c>
      <c r="BN899">
        <f>IFERROR(INDEX(PP_Grid[#Data],$DD899,64),0)</f>
        <v/>
      </c>
      <c r="BO899">
        <f>IFERROR(INDEX(PP_Grid[#Data],$DD899,65),0)</f>
        <v/>
      </c>
      <c r="BP899">
        <f>IFERROR(INDEX(PP_Grid[#Data],$DD899,66),0)</f>
        <v/>
      </c>
      <c r="BQ899">
        <f>IFERROR(INDEX(PP_Grid[#Data],$DD899,67),0)</f>
        <v/>
      </c>
      <c r="BR899">
        <f>IFERROR(INDEX(PP_Grid[#Data],$DD899,68),0)</f>
        <v/>
      </c>
      <c r="BS899">
        <f>IFERROR(INDEX(PP_Grid[#Data],$DD899,69),0)</f>
        <v/>
      </c>
      <c r="BT899">
        <f>IFERROR(INDEX(PP_Grid[#Data],$DD899,70),0)</f>
        <v/>
      </c>
      <c r="BU899">
        <f>IFERROR(INDEX(PP_Grid[#Data],$DD899,71),0)</f>
        <v/>
      </c>
      <c r="BV899">
        <f>IFERROR(INDEX(PP_Grid[#Data],$DD899,72),0)</f>
        <v/>
      </c>
      <c r="BW899">
        <f>IFERROR(INDEX(PP_Grid[#Data],$DD899,73),0)</f>
        <v/>
      </c>
      <c r="BX899">
        <f>IFERROR(INDEX(PP_Grid[#Data],$DD899,74),0)</f>
        <v/>
      </c>
      <c r="BY899">
        <f>IFERROR(INDEX(PP_Grid[#Data],$DD899,75),0)</f>
        <v/>
      </c>
      <c r="BZ899">
        <f>IFERROR(INDEX(PP_Grid[#Data],$DD899,76),0)</f>
        <v/>
      </c>
      <c r="CA899">
        <f>IFERROR(INDEX(PP_Grid[#Data],$DD899,77),0)</f>
        <v/>
      </c>
      <c r="CB899">
        <f>IFERROR(INDEX(PP_Grid[#Data],$DD899,78),0)</f>
        <v/>
      </c>
      <c r="CC899">
        <f>IFERROR(INDEX(PP_Grid[#Data],$DD899,79),0)</f>
        <v/>
      </c>
      <c r="CD899">
        <f>IFERROR(INDEX(PP_Grid[#Data],$DD899,80),0)</f>
        <v/>
      </c>
      <c r="CE899">
        <f>IFERROR(INDEX(PP_Grid[#Data],$DD899,81),0)</f>
        <v/>
      </c>
      <c r="CF899">
        <f>IFERROR(INDEX(PP_Grid[#Data],$DD899,82),0)</f>
        <v/>
      </c>
      <c r="CG899">
        <f>IFERROR(INDEX(PP_Grid[#Data],$DD899,83),0)</f>
        <v/>
      </c>
      <c r="CH899">
        <f>IFERROR(INDEX(PP_Grid[#Data],$DD899,84),0)</f>
        <v/>
      </c>
      <c r="CI899">
        <f>IFERROR(INDEX(PP_Grid[#Data],$DD899,85),0)</f>
        <v/>
      </c>
      <c r="CJ899">
        <f>IFERROR(INDEX(PP_Grid[#Data],$DD899,86),0)</f>
        <v/>
      </c>
      <c r="CK899">
        <f>IFERROR(INDEX(PP_Grid[#Data],$DD899,87),0)</f>
        <v/>
      </c>
      <c r="CL899">
        <f>IFERROR(INDEX(PP_Grid[#Data],$DD899,88),0)</f>
        <v/>
      </c>
      <c r="CM899">
        <f>IFERROR(INDEX(PP_Grid[#Data],$DD899,89),0)</f>
        <v/>
      </c>
      <c r="CN899">
        <f>IFERROR(INDEX(PP_Grid[#Data],$DD899,90),0)</f>
        <v/>
      </c>
      <c r="CO899">
        <f>IFERROR(INDEX(PP_Grid[#Data],$DD899,91),0)</f>
        <v/>
      </c>
      <c r="CP899">
        <f>IFERROR(INDEX(PP_Grid[#Data],$DD899,92),0)</f>
        <v/>
      </c>
      <c r="CQ899">
        <f>IFERROR(INDEX(PP_Grid[#Data],$DD899,93),0)</f>
        <v/>
      </c>
      <c r="CR899">
        <f>IFERROR(INDEX(PP_Grid[#Data],$DD899,94),0)</f>
        <v/>
      </c>
      <c r="CS899">
        <f>IFERROR(INDEX(PP_Grid[#Data],$DD899,95),0)</f>
        <v/>
      </c>
      <c r="CT899">
        <f>IFERROR(INDEX(PP_Grid[#Data],$DD899,96),0)</f>
        <v/>
      </c>
      <c r="CU899">
        <f>IFERROR(INDEX(PP_Grid[#Data],$DD899,97),0)</f>
        <v/>
      </c>
      <c r="CV899">
        <f>IFERROR(INDEX(PP_Grid[#Data],$DD899,98),0)</f>
        <v/>
      </c>
      <c r="CW899">
        <f>IFERROR(INDEX(PP_Grid[#Data],$DD899,99),0)</f>
        <v/>
      </c>
      <c r="CX899">
        <f>IFERROR(INDEX(PP_Grid[#Data],$DD899,100),0)</f>
        <v/>
      </c>
      <c r="CY899">
        <f>IFERROR(INDEX(PP_Grid[#Data],$DD899,101),0)</f>
        <v/>
      </c>
      <c r="CZ899">
        <f>IFERROR(INDEX(PP_Grid[#Data],$DD899,102),0)</f>
        <v/>
      </c>
      <c r="DA899">
        <f>IFERROR(INDEX(PP_Grid[#Data],$DD899,103),0)</f>
        <v/>
      </c>
      <c r="DB899">
        <f>IFERROR(INDEX(PP_Grid[#Data],$DD899,104),0)</f>
        <v/>
      </c>
      <c r="DC899">
        <f>IFERROR(INDEX(PP_Grid[#Data],$DD899,105),0)</f>
        <v/>
      </c>
      <c r="DD899" s="12">
        <f>IFERROR(MATCH($B899,PP_Grid[Intermediate],0),99999)</f>
        <v/>
      </c>
    </row>
    <row r="900">
      <c r="B900" t="inlineStr">
        <is>
          <t>使用量(kg)</t>
        </is>
      </c>
      <c r="C900">
        <f>SUMIFS(M_BOM[RM_Qty_Per_Batch],M_BOM[Intermediate],$B899,M_BOM[Part Name],$A862)</f>
        <v/>
      </c>
      <c r="D900">
        <f>$C900*D899</f>
        <v/>
      </c>
      <c r="E900">
        <f>$C900*E899</f>
        <v/>
      </c>
      <c r="F900">
        <f>$C900*F899</f>
        <v/>
      </c>
      <c r="G900">
        <f>$C900*G899</f>
        <v/>
      </c>
      <c r="H900">
        <f>$C900*H899</f>
        <v/>
      </c>
      <c r="I900">
        <f>$C900*I899</f>
        <v/>
      </c>
      <c r="J900">
        <f>$C900*J899</f>
        <v/>
      </c>
      <c r="K900">
        <f>$C900*K899</f>
        <v/>
      </c>
      <c r="L900">
        <f>$C900*L899</f>
        <v/>
      </c>
      <c r="M900">
        <f>$C900*M899</f>
        <v/>
      </c>
      <c r="N900">
        <f>$C900*N899</f>
        <v/>
      </c>
      <c r="O900">
        <f>$C900*O899</f>
        <v/>
      </c>
      <c r="P900">
        <f>$C900*P899</f>
        <v/>
      </c>
      <c r="Q900">
        <f>$C900*Q899</f>
        <v/>
      </c>
      <c r="R900">
        <f>$C900*R899</f>
        <v/>
      </c>
      <c r="S900">
        <f>$C900*S899</f>
        <v/>
      </c>
      <c r="T900">
        <f>$C900*T899</f>
        <v/>
      </c>
      <c r="U900">
        <f>$C900*U899</f>
        <v/>
      </c>
      <c r="V900">
        <f>$C900*V899</f>
        <v/>
      </c>
      <c r="W900">
        <f>$C900*W899</f>
        <v/>
      </c>
      <c r="X900">
        <f>$C900*X899</f>
        <v/>
      </c>
      <c r="Y900">
        <f>$C900*Y899</f>
        <v/>
      </c>
      <c r="Z900">
        <f>$C900*Z899</f>
        <v/>
      </c>
      <c r="AA900">
        <f>$C900*AA899</f>
        <v/>
      </c>
      <c r="AB900">
        <f>$C900*AB899</f>
        <v/>
      </c>
      <c r="AC900">
        <f>$C900*AC899</f>
        <v/>
      </c>
      <c r="AD900">
        <f>$C900*AD899</f>
        <v/>
      </c>
      <c r="AE900">
        <f>$C900*AE899</f>
        <v/>
      </c>
      <c r="AF900">
        <f>$C900*AF899</f>
        <v/>
      </c>
      <c r="AG900">
        <f>$C900*AG899</f>
        <v/>
      </c>
      <c r="AH900">
        <f>$C900*AH899</f>
        <v/>
      </c>
      <c r="AI900">
        <f>$C900*AI899</f>
        <v/>
      </c>
      <c r="AJ900">
        <f>$C900*AJ899</f>
        <v/>
      </c>
      <c r="AK900">
        <f>$C900*AK899</f>
        <v/>
      </c>
      <c r="AL900">
        <f>$C900*AL899</f>
        <v/>
      </c>
      <c r="AM900">
        <f>$C900*AM899</f>
        <v/>
      </c>
      <c r="AN900">
        <f>$C900*AN899</f>
        <v/>
      </c>
      <c r="AO900">
        <f>$C900*AO899</f>
        <v/>
      </c>
      <c r="AP900">
        <f>$C900*AP899</f>
        <v/>
      </c>
      <c r="AQ900">
        <f>$C900*AQ899</f>
        <v/>
      </c>
      <c r="AR900">
        <f>$C900*AR899</f>
        <v/>
      </c>
      <c r="AS900">
        <f>$C900*AS899</f>
        <v/>
      </c>
      <c r="AT900">
        <f>$C900*AT899</f>
        <v/>
      </c>
      <c r="AU900">
        <f>$C900*AU899</f>
        <v/>
      </c>
      <c r="AV900">
        <f>$C900*AV899</f>
        <v/>
      </c>
      <c r="AW900">
        <f>$C900*AW899</f>
        <v/>
      </c>
      <c r="AX900">
        <f>$C900*AX899</f>
        <v/>
      </c>
      <c r="AY900">
        <f>$C900*AY899</f>
        <v/>
      </c>
      <c r="AZ900">
        <f>$C900*AZ899</f>
        <v/>
      </c>
      <c r="BA900">
        <f>$C900*BA899</f>
        <v/>
      </c>
      <c r="BB900">
        <f>$C900*BB899</f>
        <v/>
      </c>
      <c r="BC900">
        <f>$C900*BC899</f>
        <v/>
      </c>
      <c r="BD900">
        <f>$C900*BD899</f>
        <v/>
      </c>
      <c r="BE900">
        <f>$C900*BE899</f>
        <v/>
      </c>
      <c r="BF900">
        <f>$C900*BF899</f>
        <v/>
      </c>
      <c r="BG900">
        <f>$C900*BG899</f>
        <v/>
      </c>
      <c r="BH900">
        <f>$C900*BH899</f>
        <v/>
      </c>
      <c r="BI900">
        <f>$C900*BI899</f>
        <v/>
      </c>
      <c r="BJ900">
        <f>$C900*BJ899</f>
        <v/>
      </c>
      <c r="BK900">
        <f>$C900*BK899</f>
        <v/>
      </c>
      <c r="BL900">
        <f>$C900*BL899</f>
        <v/>
      </c>
      <c r="BM900">
        <f>$C900*BM899</f>
        <v/>
      </c>
      <c r="BN900">
        <f>$C900*BN899</f>
        <v/>
      </c>
      <c r="BO900">
        <f>$C900*BO899</f>
        <v/>
      </c>
      <c r="BP900">
        <f>$C900*BP899</f>
        <v/>
      </c>
      <c r="BQ900">
        <f>$C900*BQ899</f>
        <v/>
      </c>
      <c r="BR900">
        <f>$C900*BR899</f>
        <v/>
      </c>
      <c r="BS900">
        <f>$C900*BS899</f>
        <v/>
      </c>
      <c r="BT900">
        <f>$C900*BT899</f>
        <v/>
      </c>
      <c r="BU900">
        <f>$C900*BU899</f>
        <v/>
      </c>
      <c r="BV900">
        <f>$C900*BV899</f>
        <v/>
      </c>
      <c r="BW900">
        <f>$C900*BW899</f>
        <v/>
      </c>
      <c r="BX900">
        <f>$C900*BX899</f>
        <v/>
      </c>
      <c r="BY900">
        <f>$C900*BY899</f>
        <v/>
      </c>
      <c r="BZ900">
        <f>$C900*BZ899</f>
        <v/>
      </c>
      <c r="CA900">
        <f>$C900*CA899</f>
        <v/>
      </c>
      <c r="CB900">
        <f>$C900*CB899</f>
        <v/>
      </c>
      <c r="CC900">
        <f>$C900*CC899</f>
        <v/>
      </c>
      <c r="CD900">
        <f>$C900*CD899</f>
        <v/>
      </c>
      <c r="CE900">
        <f>$C900*CE899</f>
        <v/>
      </c>
      <c r="CF900">
        <f>$C900*CF899</f>
        <v/>
      </c>
      <c r="CG900">
        <f>$C900*CG899</f>
        <v/>
      </c>
      <c r="CH900">
        <f>$C900*CH899</f>
        <v/>
      </c>
      <c r="CI900">
        <f>$C900*CI899</f>
        <v/>
      </c>
      <c r="CJ900">
        <f>$C900*CJ899</f>
        <v/>
      </c>
      <c r="CK900">
        <f>$C900*CK899</f>
        <v/>
      </c>
      <c r="CL900">
        <f>$C900*CL899</f>
        <v/>
      </c>
      <c r="CM900">
        <f>$C900*CM899</f>
        <v/>
      </c>
      <c r="CN900">
        <f>$C900*CN899</f>
        <v/>
      </c>
      <c r="CO900">
        <f>$C900*CO899</f>
        <v/>
      </c>
      <c r="CP900">
        <f>$C900*CP899</f>
        <v/>
      </c>
      <c r="CQ900">
        <f>$C900*CQ899</f>
        <v/>
      </c>
      <c r="CR900">
        <f>$C900*CR899</f>
        <v/>
      </c>
      <c r="CS900">
        <f>$C900*CS899</f>
        <v/>
      </c>
      <c r="CT900">
        <f>$C900*CT899</f>
        <v/>
      </c>
      <c r="CU900">
        <f>$C900*CU899</f>
        <v/>
      </c>
      <c r="CV900">
        <f>$C900*CV899</f>
        <v/>
      </c>
      <c r="CW900">
        <f>$C900*CW899</f>
        <v/>
      </c>
      <c r="CX900">
        <f>$C900*CX899</f>
        <v/>
      </c>
      <c r="CY900">
        <f>$C900*CY899</f>
        <v/>
      </c>
      <c r="CZ900">
        <f>$C900*CZ899</f>
        <v/>
      </c>
      <c r="DA900">
        <f>$C900*DA899</f>
        <v/>
      </c>
      <c r="DB900">
        <f>$C900*DB899</f>
        <v/>
      </c>
      <c r="DC900">
        <f>$C900*DC899</f>
        <v/>
      </c>
    </row>
    <row r="901">
      <c r="B901" s="5" t="inlineStr">
        <is>
          <t>合計使用量(kg)/週</t>
        </is>
      </c>
      <c r="D901">
        <f>'Grid_Requirement'!B40</f>
        <v/>
      </c>
      <c r="E901">
        <f>'Grid_Requirement'!C40</f>
        <v/>
      </c>
      <c r="F901">
        <f>'Grid_Requirement'!D40</f>
        <v/>
      </c>
      <c r="G901">
        <f>'Grid_Requirement'!E40</f>
        <v/>
      </c>
      <c r="H901">
        <f>'Grid_Requirement'!F40</f>
        <v/>
      </c>
      <c r="I901">
        <f>'Grid_Requirement'!G40</f>
        <v/>
      </c>
      <c r="J901">
        <f>'Grid_Requirement'!H40</f>
        <v/>
      </c>
      <c r="K901">
        <f>'Grid_Requirement'!I40</f>
        <v/>
      </c>
      <c r="L901">
        <f>'Grid_Requirement'!J40</f>
        <v/>
      </c>
      <c r="M901">
        <f>'Grid_Requirement'!K40</f>
        <v/>
      </c>
      <c r="N901">
        <f>'Grid_Requirement'!L40</f>
        <v/>
      </c>
      <c r="O901">
        <f>'Grid_Requirement'!M40</f>
        <v/>
      </c>
      <c r="P901">
        <f>'Grid_Requirement'!N40</f>
        <v/>
      </c>
      <c r="Q901">
        <f>'Grid_Requirement'!O40</f>
        <v/>
      </c>
      <c r="R901">
        <f>'Grid_Requirement'!P40</f>
        <v/>
      </c>
      <c r="S901">
        <f>'Grid_Requirement'!Q40</f>
        <v/>
      </c>
      <c r="T901">
        <f>'Grid_Requirement'!R40</f>
        <v/>
      </c>
      <c r="U901">
        <f>'Grid_Requirement'!S40</f>
        <v/>
      </c>
      <c r="V901">
        <f>'Grid_Requirement'!T40</f>
        <v/>
      </c>
      <c r="W901">
        <f>'Grid_Requirement'!U40</f>
        <v/>
      </c>
      <c r="X901">
        <f>'Grid_Requirement'!V40</f>
        <v/>
      </c>
      <c r="Y901">
        <f>'Grid_Requirement'!W40</f>
        <v/>
      </c>
      <c r="Z901">
        <f>'Grid_Requirement'!X40</f>
        <v/>
      </c>
      <c r="AA901">
        <f>'Grid_Requirement'!Y40</f>
        <v/>
      </c>
      <c r="AB901">
        <f>'Grid_Requirement'!Z40</f>
        <v/>
      </c>
      <c r="AC901">
        <f>'Grid_Requirement'!AA40</f>
        <v/>
      </c>
      <c r="AD901">
        <f>'Grid_Requirement'!AB40</f>
        <v/>
      </c>
      <c r="AE901">
        <f>'Grid_Requirement'!AC40</f>
        <v/>
      </c>
      <c r="AF901">
        <f>'Grid_Requirement'!AD40</f>
        <v/>
      </c>
      <c r="AG901">
        <f>'Grid_Requirement'!AE40</f>
        <v/>
      </c>
      <c r="AH901">
        <f>'Grid_Requirement'!AF40</f>
        <v/>
      </c>
      <c r="AI901">
        <f>'Grid_Requirement'!AG40</f>
        <v/>
      </c>
      <c r="AJ901">
        <f>'Grid_Requirement'!AH40</f>
        <v/>
      </c>
      <c r="AK901">
        <f>'Grid_Requirement'!AI40</f>
        <v/>
      </c>
      <c r="AL901">
        <f>'Grid_Requirement'!AJ40</f>
        <v/>
      </c>
      <c r="AM901">
        <f>'Grid_Requirement'!AK40</f>
        <v/>
      </c>
      <c r="AN901">
        <f>'Grid_Requirement'!AL40</f>
        <v/>
      </c>
      <c r="AO901">
        <f>'Grid_Requirement'!AM40</f>
        <v/>
      </c>
      <c r="AP901">
        <f>'Grid_Requirement'!AN40</f>
        <v/>
      </c>
      <c r="AQ901">
        <f>'Grid_Requirement'!AO40</f>
        <v/>
      </c>
      <c r="AR901">
        <f>'Grid_Requirement'!AP40</f>
        <v/>
      </c>
      <c r="AS901">
        <f>'Grid_Requirement'!AQ40</f>
        <v/>
      </c>
      <c r="AT901">
        <f>'Grid_Requirement'!AR40</f>
        <v/>
      </c>
      <c r="AU901">
        <f>'Grid_Requirement'!AS40</f>
        <v/>
      </c>
      <c r="AV901">
        <f>'Grid_Requirement'!AT40</f>
        <v/>
      </c>
      <c r="AW901">
        <f>'Grid_Requirement'!AU40</f>
        <v/>
      </c>
      <c r="AX901">
        <f>'Grid_Requirement'!AV40</f>
        <v/>
      </c>
      <c r="AY901">
        <f>'Grid_Requirement'!AW40</f>
        <v/>
      </c>
      <c r="AZ901">
        <f>'Grid_Requirement'!AX40</f>
        <v/>
      </c>
      <c r="BA901">
        <f>'Grid_Requirement'!AY40</f>
        <v/>
      </c>
      <c r="BB901">
        <f>'Grid_Requirement'!AZ40</f>
        <v/>
      </c>
      <c r="BC901">
        <f>'Grid_Requirement'!BA40</f>
        <v/>
      </c>
      <c r="BD901">
        <f>'Grid_Requirement'!BB40</f>
        <v/>
      </c>
      <c r="BE901">
        <f>'Grid_Requirement'!BC40</f>
        <v/>
      </c>
      <c r="BF901">
        <f>'Grid_Requirement'!BD40</f>
        <v/>
      </c>
      <c r="BG901">
        <f>'Grid_Requirement'!BE40</f>
        <v/>
      </c>
      <c r="BH901">
        <f>'Grid_Requirement'!BF40</f>
        <v/>
      </c>
      <c r="BI901">
        <f>'Grid_Requirement'!BG40</f>
        <v/>
      </c>
      <c r="BJ901">
        <f>'Grid_Requirement'!BH40</f>
        <v/>
      </c>
      <c r="BK901">
        <f>'Grid_Requirement'!BI40</f>
        <v/>
      </c>
      <c r="BL901">
        <f>'Grid_Requirement'!BJ40</f>
        <v/>
      </c>
      <c r="BM901">
        <f>'Grid_Requirement'!BK40</f>
        <v/>
      </c>
      <c r="BN901">
        <f>'Grid_Requirement'!BL40</f>
        <v/>
      </c>
      <c r="BO901">
        <f>'Grid_Requirement'!BM40</f>
        <v/>
      </c>
      <c r="BP901">
        <f>'Grid_Requirement'!BN40</f>
        <v/>
      </c>
      <c r="BQ901">
        <f>'Grid_Requirement'!BO40</f>
        <v/>
      </c>
      <c r="BR901">
        <f>'Grid_Requirement'!BP40</f>
        <v/>
      </c>
      <c r="BS901">
        <f>'Grid_Requirement'!BQ40</f>
        <v/>
      </c>
      <c r="BT901">
        <f>'Grid_Requirement'!BR40</f>
        <v/>
      </c>
      <c r="BU901">
        <f>'Grid_Requirement'!BS40</f>
        <v/>
      </c>
      <c r="BV901">
        <f>'Grid_Requirement'!BT40</f>
        <v/>
      </c>
      <c r="BW901">
        <f>'Grid_Requirement'!BU40</f>
        <v/>
      </c>
      <c r="BX901">
        <f>'Grid_Requirement'!BV40</f>
        <v/>
      </c>
      <c r="BY901">
        <f>'Grid_Requirement'!BW40</f>
        <v/>
      </c>
      <c r="BZ901">
        <f>'Grid_Requirement'!BX40</f>
        <v/>
      </c>
      <c r="CA901">
        <f>'Grid_Requirement'!BY40</f>
        <v/>
      </c>
      <c r="CB901">
        <f>'Grid_Requirement'!BZ40</f>
        <v/>
      </c>
      <c r="CC901">
        <f>'Grid_Requirement'!CA40</f>
        <v/>
      </c>
      <c r="CD901">
        <f>'Grid_Requirement'!CB40</f>
        <v/>
      </c>
      <c r="CE901">
        <f>'Grid_Requirement'!CC40</f>
        <v/>
      </c>
      <c r="CF901">
        <f>'Grid_Requirement'!CD40</f>
        <v/>
      </c>
      <c r="CG901">
        <f>'Grid_Requirement'!CE40</f>
        <v/>
      </c>
      <c r="CH901">
        <f>'Grid_Requirement'!CF40</f>
        <v/>
      </c>
      <c r="CI901">
        <f>'Grid_Requirement'!CG40</f>
        <v/>
      </c>
      <c r="CJ901">
        <f>'Grid_Requirement'!CH40</f>
        <v/>
      </c>
      <c r="CK901">
        <f>'Grid_Requirement'!CI40</f>
        <v/>
      </c>
      <c r="CL901">
        <f>'Grid_Requirement'!CJ40</f>
        <v/>
      </c>
      <c r="CM901">
        <f>'Grid_Requirement'!CK40</f>
        <v/>
      </c>
      <c r="CN901">
        <f>'Grid_Requirement'!CL40</f>
        <v/>
      </c>
      <c r="CO901">
        <f>'Grid_Requirement'!CM40</f>
        <v/>
      </c>
      <c r="CP901">
        <f>'Grid_Requirement'!CN40</f>
        <v/>
      </c>
      <c r="CQ901">
        <f>'Grid_Requirement'!CO40</f>
        <v/>
      </c>
      <c r="CR901">
        <f>'Grid_Requirement'!CP40</f>
        <v/>
      </c>
      <c r="CS901">
        <f>'Grid_Requirement'!CQ40</f>
        <v/>
      </c>
      <c r="CT901">
        <f>'Grid_Requirement'!CR40</f>
        <v/>
      </c>
      <c r="CU901">
        <f>'Grid_Requirement'!CS40</f>
        <v/>
      </c>
      <c r="CV901">
        <f>'Grid_Requirement'!CT40</f>
        <v/>
      </c>
      <c r="CW901">
        <f>'Grid_Requirement'!CU40</f>
        <v/>
      </c>
      <c r="CX901">
        <f>'Grid_Requirement'!CV40</f>
        <v/>
      </c>
      <c r="CY901">
        <f>'Grid_Requirement'!CW40</f>
        <v/>
      </c>
      <c r="CZ901">
        <f>'Grid_Requirement'!CX40</f>
        <v/>
      </c>
      <c r="DA901">
        <f>'Grid_Requirement'!CY40</f>
        <v/>
      </c>
      <c r="DB901">
        <f>'Grid_Requirement'!CZ40</f>
        <v/>
      </c>
      <c r="DC901">
        <f>'Grid_Requirement'!DA40</f>
        <v/>
      </c>
    </row>
    <row r="902">
      <c r="B902" t="inlineStr">
        <is>
          <t>TTAF在庫(実績,kg)</t>
        </is>
      </c>
      <c r="D902">
        <f>'T_TTAFStock'!B44</f>
        <v/>
      </c>
      <c r="E902">
        <f>'T_TTAFStock'!C44</f>
        <v/>
      </c>
      <c r="F902">
        <f>'T_TTAFStock'!D44</f>
        <v/>
      </c>
      <c r="G902">
        <f>'T_TTAFStock'!E44</f>
        <v/>
      </c>
      <c r="H902">
        <f>'T_TTAFStock'!F44</f>
        <v/>
      </c>
      <c r="I902">
        <f>'T_TTAFStock'!G44</f>
        <v/>
      </c>
      <c r="J902">
        <f>'T_TTAFStock'!H44</f>
        <v/>
      </c>
      <c r="K902">
        <f>'T_TTAFStock'!I44</f>
        <v/>
      </c>
      <c r="L902">
        <f>'T_TTAFStock'!J44</f>
        <v/>
      </c>
      <c r="M902">
        <f>'T_TTAFStock'!K44</f>
        <v/>
      </c>
      <c r="N902">
        <f>'T_TTAFStock'!L44</f>
        <v/>
      </c>
      <c r="O902">
        <f>'T_TTAFStock'!M44</f>
        <v/>
      </c>
      <c r="P902">
        <f>'T_TTAFStock'!N44</f>
        <v/>
      </c>
      <c r="Q902">
        <f>'T_TTAFStock'!O44</f>
        <v/>
      </c>
      <c r="R902">
        <f>'T_TTAFStock'!P44</f>
        <v/>
      </c>
      <c r="S902">
        <f>'T_TTAFStock'!Q44</f>
        <v/>
      </c>
      <c r="T902">
        <f>'T_TTAFStock'!R44</f>
        <v/>
      </c>
      <c r="U902">
        <f>'T_TTAFStock'!S44</f>
        <v/>
      </c>
      <c r="V902">
        <f>'T_TTAFStock'!T44</f>
        <v/>
      </c>
      <c r="W902">
        <f>'T_TTAFStock'!U44</f>
        <v/>
      </c>
      <c r="X902">
        <f>'T_TTAFStock'!V44</f>
        <v/>
      </c>
      <c r="Y902">
        <f>'T_TTAFStock'!W44</f>
        <v/>
      </c>
      <c r="Z902">
        <f>'T_TTAFStock'!X44</f>
        <v/>
      </c>
      <c r="AA902">
        <f>'T_TTAFStock'!Y44</f>
        <v/>
      </c>
      <c r="AB902">
        <f>'T_TTAFStock'!Z44</f>
        <v/>
      </c>
      <c r="AC902">
        <f>'T_TTAFStock'!AA44</f>
        <v/>
      </c>
      <c r="AD902">
        <f>'T_TTAFStock'!AB44</f>
        <v/>
      </c>
      <c r="AE902">
        <f>'T_TTAFStock'!AC44</f>
        <v/>
      </c>
      <c r="AF902">
        <f>'T_TTAFStock'!AD44</f>
        <v/>
      </c>
      <c r="AG902">
        <f>'T_TTAFStock'!AE44</f>
        <v/>
      </c>
      <c r="AH902">
        <f>'T_TTAFStock'!AF44</f>
        <v/>
      </c>
      <c r="AI902">
        <f>'T_TTAFStock'!AG44</f>
        <v/>
      </c>
      <c r="AJ902">
        <f>'T_TTAFStock'!AH44</f>
        <v/>
      </c>
      <c r="AK902">
        <f>'T_TTAFStock'!AI44</f>
        <v/>
      </c>
      <c r="AL902">
        <f>'T_TTAFStock'!AJ44</f>
        <v/>
      </c>
      <c r="AM902">
        <f>'T_TTAFStock'!AK44</f>
        <v/>
      </c>
      <c r="AN902">
        <f>'T_TTAFStock'!AL44</f>
        <v/>
      </c>
      <c r="AO902">
        <f>'T_TTAFStock'!AM44</f>
        <v/>
      </c>
      <c r="AP902">
        <f>'T_TTAFStock'!AN44</f>
        <v/>
      </c>
      <c r="AQ902">
        <f>'T_TTAFStock'!AO44</f>
        <v/>
      </c>
      <c r="AR902">
        <f>'T_TTAFStock'!AP44</f>
        <v/>
      </c>
      <c r="AS902">
        <f>'T_TTAFStock'!AQ44</f>
        <v/>
      </c>
      <c r="AT902">
        <f>'T_TTAFStock'!AR44</f>
        <v/>
      </c>
      <c r="AU902">
        <f>'T_TTAFStock'!AS44</f>
        <v/>
      </c>
      <c r="AV902">
        <f>'T_TTAFStock'!AT44</f>
        <v/>
      </c>
      <c r="AW902">
        <f>'T_TTAFStock'!AU44</f>
        <v/>
      </c>
      <c r="AX902">
        <f>'T_TTAFStock'!AV44</f>
        <v/>
      </c>
      <c r="AY902">
        <f>'T_TTAFStock'!AW44</f>
        <v/>
      </c>
      <c r="AZ902">
        <f>'T_TTAFStock'!AX44</f>
        <v/>
      </c>
      <c r="BA902">
        <f>'T_TTAFStock'!AY44</f>
        <v/>
      </c>
      <c r="BB902">
        <f>'T_TTAFStock'!AZ44</f>
        <v/>
      </c>
      <c r="BC902">
        <f>'T_TTAFStock'!BA44</f>
        <v/>
      </c>
      <c r="BD902">
        <f>'T_TTAFStock'!BB44</f>
        <v/>
      </c>
      <c r="BE902">
        <f>'T_TTAFStock'!BC44</f>
        <v/>
      </c>
      <c r="BF902">
        <f>'T_TTAFStock'!BD44</f>
        <v/>
      </c>
      <c r="BG902">
        <f>'T_TTAFStock'!BE44</f>
        <v/>
      </c>
      <c r="BH902">
        <f>'T_TTAFStock'!BF44</f>
        <v/>
      </c>
      <c r="BI902">
        <f>'T_TTAFStock'!BG44</f>
        <v/>
      </c>
      <c r="BJ902">
        <f>'T_TTAFStock'!BH44</f>
        <v/>
      </c>
      <c r="BK902">
        <f>'T_TTAFStock'!BI44</f>
        <v/>
      </c>
      <c r="BL902">
        <f>'T_TTAFStock'!BJ44</f>
        <v/>
      </c>
      <c r="BM902">
        <f>'T_TTAFStock'!BK44</f>
        <v/>
      </c>
      <c r="BN902">
        <f>'T_TTAFStock'!BL44</f>
        <v/>
      </c>
      <c r="BO902">
        <f>'T_TTAFStock'!BM44</f>
        <v/>
      </c>
      <c r="BP902">
        <f>'T_TTAFStock'!BN44</f>
        <v/>
      </c>
      <c r="BQ902">
        <f>'T_TTAFStock'!BO44</f>
        <v/>
      </c>
      <c r="BR902">
        <f>'T_TTAFStock'!BP44</f>
        <v/>
      </c>
      <c r="BS902">
        <f>'T_TTAFStock'!BQ44</f>
        <v/>
      </c>
      <c r="BT902">
        <f>'T_TTAFStock'!BR44</f>
        <v/>
      </c>
      <c r="BU902">
        <f>'T_TTAFStock'!BS44</f>
        <v/>
      </c>
      <c r="BV902">
        <f>'T_TTAFStock'!BT44</f>
        <v/>
      </c>
      <c r="BW902">
        <f>'T_TTAFStock'!BU44</f>
        <v/>
      </c>
      <c r="BX902">
        <f>'T_TTAFStock'!BV44</f>
        <v/>
      </c>
      <c r="BY902">
        <f>'T_TTAFStock'!BW44</f>
        <v/>
      </c>
      <c r="BZ902">
        <f>'T_TTAFStock'!BX44</f>
        <v/>
      </c>
      <c r="CA902">
        <f>'T_TTAFStock'!BY44</f>
        <v/>
      </c>
      <c r="CB902">
        <f>'T_TTAFStock'!BZ44</f>
        <v/>
      </c>
      <c r="CC902">
        <f>'T_TTAFStock'!CA44</f>
        <v/>
      </c>
      <c r="CD902">
        <f>'T_TTAFStock'!CB44</f>
        <v/>
      </c>
      <c r="CE902">
        <f>'T_TTAFStock'!CC44</f>
        <v/>
      </c>
      <c r="CF902">
        <f>'T_TTAFStock'!CD44</f>
        <v/>
      </c>
      <c r="CG902">
        <f>'T_TTAFStock'!CE44</f>
        <v/>
      </c>
      <c r="CH902">
        <f>'T_TTAFStock'!CF44</f>
        <v/>
      </c>
      <c r="CI902">
        <f>'T_TTAFStock'!CG44</f>
        <v/>
      </c>
      <c r="CJ902">
        <f>'T_TTAFStock'!CH44</f>
        <v/>
      </c>
      <c r="CK902">
        <f>'T_TTAFStock'!CI44</f>
        <v/>
      </c>
      <c r="CL902">
        <f>'T_TTAFStock'!CJ44</f>
        <v/>
      </c>
      <c r="CM902">
        <f>'T_TTAFStock'!CK44</f>
        <v/>
      </c>
      <c r="CN902">
        <f>'T_TTAFStock'!CL44</f>
        <v/>
      </c>
      <c r="CO902">
        <f>'T_TTAFStock'!CM44</f>
        <v/>
      </c>
      <c r="CP902">
        <f>'T_TTAFStock'!CN44</f>
        <v/>
      </c>
      <c r="CQ902">
        <f>'T_TTAFStock'!CO44</f>
        <v/>
      </c>
      <c r="CR902">
        <f>'T_TTAFStock'!CP44</f>
        <v/>
      </c>
      <c r="CS902">
        <f>'T_TTAFStock'!CQ44</f>
        <v/>
      </c>
      <c r="CT902">
        <f>'T_TTAFStock'!CR44</f>
        <v/>
      </c>
      <c r="CU902">
        <f>'T_TTAFStock'!CS44</f>
        <v/>
      </c>
      <c r="CV902">
        <f>'T_TTAFStock'!CT44</f>
        <v/>
      </c>
      <c r="CW902">
        <f>'T_TTAFStock'!CU44</f>
        <v/>
      </c>
      <c r="CX902">
        <f>'T_TTAFStock'!CV44</f>
        <v/>
      </c>
      <c r="CY902">
        <f>'T_TTAFStock'!CW44</f>
        <v/>
      </c>
      <c r="CZ902">
        <f>'T_TTAFStock'!CX44</f>
        <v/>
      </c>
      <c r="DA902">
        <f>'T_TTAFStock'!CY44</f>
        <v/>
      </c>
      <c r="DB902">
        <f>'T_TTAFStock'!CZ44</f>
        <v/>
      </c>
      <c r="DC902">
        <f>'T_TTAFStock'!DA44</f>
        <v/>
      </c>
    </row>
    <row r="903">
      <c r="B903" t="inlineStr">
        <is>
          <t>自社在庫(実績,kg)</t>
        </is>
      </c>
      <c r="D903">
        <f>'T_SelfStock'!B44</f>
        <v/>
      </c>
      <c r="E903">
        <f>'T_SelfStock'!C44</f>
        <v/>
      </c>
      <c r="F903">
        <f>'T_SelfStock'!D44</f>
        <v/>
      </c>
      <c r="G903">
        <f>'T_SelfStock'!E44</f>
        <v/>
      </c>
      <c r="H903">
        <f>'T_SelfStock'!F44</f>
        <v/>
      </c>
      <c r="I903">
        <f>'T_SelfStock'!G44</f>
        <v/>
      </c>
      <c r="J903">
        <f>'T_SelfStock'!H44</f>
        <v/>
      </c>
      <c r="K903">
        <f>'T_SelfStock'!I44</f>
        <v/>
      </c>
      <c r="L903">
        <f>'T_SelfStock'!J44</f>
        <v/>
      </c>
      <c r="M903">
        <f>'T_SelfStock'!K44</f>
        <v/>
      </c>
      <c r="N903">
        <f>'T_SelfStock'!L44</f>
        <v/>
      </c>
      <c r="O903">
        <f>'T_SelfStock'!M44</f>
        <v/>
      </c>
      <c r="P903">
        <f>'T_SelfStock'!N44</f>
        <v/>
      </c>
      <c r="Q903">
        <f>'T_SelfStock'!O44</f>
        <v/>
      </c>
      <c r="R903">
        <f>'T_SelfStock'!P44</f>
        <v/>
      </c>
      <c r="S903">
        <f>'T_SelfStock'!Q44</f>
        <v/>
      </c>
      <c r="T903">
        <f>'T_SelfStock'!R44</f>
        <v/>
      </c>
      <c r="U903">
        <f>'T_SelfStock'!S44</f>
        <v/>
      </c>
      <c r="V903">
        <f>'T_SelfStock'!T44</f>
        <v/>
      </c>
      <c r="W903">
        <f>'T_SelfStock'!U44</f>
        <v/>
      </c>
      <c r="X903">
        <f>'T_SelfStock'!V44</f>
        <v/>
      </c>
      <c r="Y903">
        <f>'T_SelfStock'!W44</f>
        <v/>
      </c>
      <c r="Z903">
        <f>'T_SelfStock'!X44</f>
        <v/>
      </c>
      <c r="AA903">
        <f>'T_SelfStock'!Y44</f>
        <v/>
      </c>
      <c r="AB903">
        <f>'T_SelfStock'!Z44</f>
        <v/>
      </c>
      <c r="AC903">
        <f>'T_SelfStock'!AA44</f>
        <v/>
      </c>
      <c r="AD903">
        <f>'T_SelfStock'!AB44</f>
        <v/>
      </c>
      <c r="AE903">
        <f>'T_SelfStock'!AC44</f>
        <v/>
      </c>
      <c r="AF903">
        <f>'T_SelfStock'!AD44</f>
        <v/>
      </c>
      <c r="AG903">
        <f>'T_SelfStock'!AE44</f>
        <v/>
      </c>
      <c r="AH903">
        <f>'T_SelfStock'!AF44</f>
        <v/>
      </c>
      <c r="AI903">
        <f>'T_SelfStock'!AG44</f>
        <v/>
      </c>
      <c r="AJ903">
        <f>'T_SelfStock'!AH44</f>
        <v/>
      </c>
      <c r="AK903">
        <f>'T_SelfStock'!AI44</f>
        <v/>
      </c>
      <c r="AL903">
        <f>'T_SelfStock'!AJ44</f>
        <v/>
      </c>
      <c r="AM903">
        <f>'T_SelfStock'!AK44</f>
        <v/>
      </c>
      <c r="AN903">
        <f>'T_SelfStock'!AL44</f>
        <v/>
      </c>
      <c r="AO903">
        <f>'T_SelfStock'!AM44</f>
        <v/>
      </c>
      <c r="AP903">
        <f>'T_SelfStock'!AN44</f>
        <v/>
      </c>
      <c r="AQ903">
        <f>'T_SelfStock'!AO44</f>
        <v/>
      </c>
      <c r="AR903">
        <f>'T_SelfStock'!AP44</f>
        <v/>
      </c>
      <c r="AS903">
        <f>'T_SelfStock'!AQ44</f>
        <v/>
      </c>
      <c r="AT903">
        <f>'T_SelfStock'!AR44</f>
        <v/>
      </c>
      <c r="AU903">
        <f>'T_SelfStock'!AS44</f>
        <v/>
      </c>
      <c r="AV903">
        <f>'T_SelfStock'!AT44</f>
        <v/>
      </c>
      <c r="AW903">
        <f>'T_SelfStock'!AU44</f>
        <v/>
      </c>
      <c r="AX903">
        <f>'T_SelfStock'!AV44</f>
        <v/>
      </c>
      <c r="AY903">
        <f>'T_SelfStock'!AW44</f>
        <v/>
      </c>
      <c r="AZ903">
        <f>'T_SelfStock'!AX44</f>
        <v/>
      </c>
      <c r="BA903">
        <f>'T_SelfStock'!AY44</f>
        <v/>
      </c>
      <c r="BB903">
        <f>'T_SelfStock'!AZ44</f>
        <v/>
      </c>
      <c r="BC903">
        <f>'T_SelfStock'!BA44</f>
        <v/>
      </c>
      <c r="BD903">
        <f>'T_SelfStock'!BB44</f>
        <v/>
      </c>
      <c r="BE903">
        <f>'T_SelfStock'!BC44</f>
        <v/>
      </c>
      <c r="BF903">
        <f>'T_SelfStock'!BD44</f>
        <v/>
      </c>
      <c r="BG903">
        <f>'T_SelfStock'!BE44</f>
        <v/>
      </c>
      <c r="BH903">
        <f>'T_SelfStock'!BF44</f>
        <v/>
      </c>
      <c r="BI903">
        <f>'T_SelfStock'!BG44</f>
        <v/>
      </c>
      <c r="BJ903">
        <f>'T_SelfStock'!BH44</f>
        <v/>
      </c>
      <c r="BK903">
        <f>'T_SelfStock'!BI44</f>
        <v/>
      </c>
      <c r="BL903">
        <f>'T_SelfStock'!BJ44</f>
        <v/>
      </c>
      <c r="BM903">
        <f>'T_SelfStock'!BK44</f>
        <v/>
      </c>
      <c r="BN903">
        <f>'T_SelfStock'!BL44</f>
        <v/>
      </c>
      <c r="BO903">
        <f>'T_SelfStock'!BM44</f>
        <v/>
      </c>
      <c r="BP903">
        <f>'T_SelfStock'!BN44</f>
        <v/>
      </c>
      <c r="BQ903">
        <f>'T_SelfStock'!BO44</f>
        <v/>
      </c>
      <c r="BR903">
        <f>'T_SelfStock'!BP44</f>
        <v/>
      </c>
      <c r="BS903">
        <f>'T_SelfStock'!BQ44</f>
        <v/>
      </c>
      <c r="BT903">
        <f>'T_SelfStock'!BR44</f>
        <v/>
      </c>
      <c r="BU903">
        <f>'T_SelfStock'!BS44</f>
        <v/>
      </c>
      <c r="BV903">
        <f>'T_SelfStock'!BT44</f>
        <v/>
      </c>
      <c r="BW903">
        <f>'T_SelfStock'!BU44</f>
        <v/>
      </c>
      <c r="BX903">
        <f>'T_SelfStock'!BV44</f>
        <v/>
      </c>
      <c r="BY903">
        <f>'T_SelfStock'!BW44</f>
        <v/>
      </c>
      <c r="BZ903">
        <f>'T_SelfStock'!BX44</f>
        <v/>
      </c>
      <c r="CA903">
        <f>'T_SelfStock'!BY44</f>
        <v/>
      </c>
      <c r="CB903">
        <f>'T_SelfStock'!BZ44</f>
        <v/>
      </c>
      <c r="CC903">
        <f>'T_SelfStock'!CA44</f>
        <v/>
      </c>
      <c r="CD903">
        <f>'T_SelfStock'!CB44</f>
        <v/>
      </c>
      <c r="CE903">
        <f>'T_SelfStock'!CC44</f>
        <v/>
      </c>
      <c r="CF903">
        <f>'T_SelfStock'!CD44</f>
        <v/>
      </c>
      <c r="CG903">
        <f>'T_SelfStock'!CE44</f>
        <v/>
      </c>
      <c r="CH903">
        <f>'T_SelfStock'!CF44</f>
        <v/>
      </c>
      <c r="CI903">
        <f>'T_SelfStock'!CG44</f>
        <v/>
      </c>
      <c r="CJ903">
        <f>'T_SelfStock'!CH44</f>
        <v/>
      </c>
      <c r="CK903">
        <f>'T_SelfStock'!CI44</f>
        <v/>
      </c>
      <c r="CL903">
        <f>'T_SelfStock'!CJ44</f>
        <v/>
      </c>
      <c r="CM903">
        <f>'T_SelfStock'!CK44</f>
        <v/>
      </c>
      <c r="CN903">
        <f>'T_SelfStock'!CL44</f>
        <v/>
      </c>
      <c r="CO903">
        <f>'T_SelfStock'!CM44</f>
        <v/>
      </c>
      <c r="CP903">
        <f>'T_SelfStock'!CN44</f>
        <v/>
      </c>
      <c r="CQ903">
        <f>'T_SelfStock'!CO44</f>
        <v/>
      </c>
      <c r="CR903">
        <f>'T_SelfStock'!CP44</f>
        <v/>
      </c>
      <c r="CS903">
        <f>'T_SelfStock'!CQ44</f>
        <v/>
      </c>
      <c r="CT903">
        <f>'T_SelfStock'!CR44</f>
        <v/>
      </c>
      <c r="CU903">
        <f>'T_SelfStock'!CS44</f>
        <v/>
      </c>
      <c r="CV903">
        <f>'T_SelfStock'!CT44</f>
        <v/>
      </c>
      <c r="CW903">
        <f>'T_SelfStock'!CU44</f>
        <v/>
      </c>
      <c r="CX903">
        <f>'T_SelfStock'!CV44</f>
        <v/>
      </c>
      <c r="CY903">
        <f>'T_SelfStock'!CW44</f>
        <v/>
      </c>
      <c r="CZ903">
        <f>'T_SelfStock'!CX44</f>
        <v/>
      </c>
      <c r="DA903">
        <f>'T_SelfStock'!CY44</f>
        <v/>
      </c>
      <c r="DB903">
        <f>'T_SelfStock'!CZ44</f>
        <v/>
      </c>
      <c r="DC903">
        <f>'T_SelfStock'!DA44</f>
        <v/>
      </c>
    </row>
    <row r="904">
      <c r="B904" t="inlineStr">
        <is>
          <t>Order(発注予定,kg)</t>
        </is>
      </c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  <c r="AA904" s="23" t="n"/>
      <c r="AB904" s="23" t="n"/>
      <c r="AC904" s="23" t="n"/>
      <c r="AD904" s="23" t="n"/>
      <c r="AE904" s="23" t="n"/>
      <c r="AF904" s="23" t="n"/>
      <c r="AG904" s="23" t="n"/>
      <c r="AH904" s="23" t="n"/>
      <c r="AI904" s="23" t="n"/>
      <c r="AJ904" s="23" t="n"/>
      <c r="AK904" s="23" t="n"/>
      <c r="AL904" s="23" t="n"/>
      <c r="AM904" s="23" t="n"/>
      <c r="AN904" s="23" t="n"/>
      <c r="AO904" s="23" t="n"/>
      <c r="AP904" s="23" t="n"/>
      <c r="AQ904" s="23" t="n"/>
      <c r="AR904" s="23" t="n"/>
      <c r="AS904" s="23" t="n"/>
      <c r="AT904" s="23" t="n"/>
      <c r="AU904" s="23" t="n"/>
      <c r="AV904" s="23" t="n"/>
      <c r="AW904" s="23" t="n"/>
      <c r="AX904" s="23" t="n"/>
      <c r="AY904" s="23" t="n"/>
      <c r="AZ904" s="23" t="n"/>
      <c r="BA904" s="23" t="n"/>
      <c r="BB904" s="23" t="n"/>
      <c r="BC904" s="23" t="n"/>
      <c r="BD904" s="23" t="n"/>
      <c r="BE904" s="23" t="n"/>
      <c r="BF904" s="23" t="n"/>
      <c r="BG904" s="23" t="n"/>
      <c r="BH904" s="23" t="n"/>
      <c r="BI904" s="23" t="n"/>
      <c r="BJ904" s="23" t="n"/>
      <c r="BK904" s="23" t="n"/>
      <c r="BL904" s="23" t="n"/>
      <c r="BM904" s="23" t="n"/>
      <c r="BN904" s="23" t="n"/>
      <c r="BO904" s="23" t="n"/>
      <c r="BP904" s="23" t="n"/>
      <c r="BQ904" s="23" t="n"/>
      <c r="BR904" s="23" t="n"/>
      <c r="BS904" s="23" t="n"/>
      <c r="BT904" s="23" t="n"/>
      <c r="BU904" s="23" t="n"/>
      <c r="BV904" s="23" t="n"/>
      <c r="BW904" s="23" t="n"/>
      <c r="BX904" s="23" t="n"/>
      <c r="BY904" s="23" t="n"/>
      <c r="BZ904" s="23" t="n"/>
      <c r="CA904" s="23" t="n"/>
      <c r="CB904" s="23" t="n"/>
      <c r="CC904" s="23" t="n"/>
      <c r="CD904" s="23" t="n"/>
      <c r="CE904" s="23" t="n"/>
      <c r="CF904" s="23" t="n"/>
      <c r="CG904" s="23" t="n"/>
      <c r="CH904" s="23" t="n"/>
      <c r="CI904" s="23" t="n"/>
      <c r="CJ904" s="23" t="n"/>
      <c r="CK904" s="23" t="n"/>
      <c r="CL904" s="23" t="n"/>
      <c r="CM904" s="23" t="n"/>
      <c r="CN904" s="23" t="n"/>
      <c r="CO904" s="23" t="n"/>
      <c r="CP904" s="23" t="n"/>
      <c r="CQ904" s="23" t="n"/>
      <c r="CR904" s="23" t="n"/>
      <c r="CS904" s="23" t="n"/>
      <c r="CT904" s="23" t="n"/>
      <c r="CU904" s="23" t="n"/>
      <c r="CV904" s="23" t="n"/>
      <c r="CW904" s="23" t="n"/>
      <c r="CX904" s="23" t="n"/>
      <c r="CY904" s="23" t="n"/>
      <c r="CZ904" s="23" t="n"/>
      <c r="DA904" s="23" t="n"/>
      <c r="DB904" s="23" t="n"/>
      <c r="DC904" s="23" t="n"/>
      <c r="DE904" s="12" t="inlineStr">
        <is>
          <t>CHEM-1540</t>
        </is>
      </c>
    </row>
    <row r="905">
      <c r="B905" s="24" t="inlineStr">
        <is>
          <t>PO_No</t>
        </is>
      </c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  <c r="AD905" s="25" t="n"/>
      <c r="AE905" s="25" t="n"/>
      <c r="AF905" s="25" t="n"/>
      <c r="AG905" s="25" t="n"/>
      <c r="AH905" s="25" t="n"/>
      <c r="AI905" s="25" t="n"/>
      <c r="AJ905" s="25" t="n"/>
      <c r="AK905" s="25" t="n"/>
      <c r="AL905" s="25" t="n"/>
      <c r="AM905" s="25" t="n"/>
      <c r="AN905" s="25" t="n"/>
      <c r="AO905" s="25" t="n"/>
      <c r="AP905" s="25" t="n"/>
      <c r="AQ905" s="25" t="n"/>
      <c r="AR905" s="25" t="n"/>
      <c r="AS905" s="25" t="n"/>
      <c r="AT905" s="25" t="n"/>
      <c r="AU905" s="25" t="n"/>
      <c r="AV905" s="25" t="n"/>
      <c r="AW905" s="25" t="n"/>
      <c r="AX905" s="25" t="n"/>
      <c r="AY905" s="25" t="n"/>
      <c r="AZ905" s="25" t="n"/>
      <c r="BA905" s="25" t="n"/>
      <c r="BB905" s="25" t="n"/>
      <c r="BC905" s="25" t="n"/>
      <c r="BD905" s="25" t="n"/>
      <c r="BE905" s="25" t="n"/>
      <c r="BF905" s="25" t="n"/>
      <c r="BG905" s="25" t="n"/>
      <c r="BH905" s="25" t="n"/>
      <c r="BI905" s="25" t="n"/>
      <c r="BJ905" s="25" t="n"/>
      <c r="BK905" s="25" t="n"/>
      <c r="BL905" s="25" t="n"/>
      <c r="BM905" s="25" t="n"/>
      <c r="BN905" s="25" t="n"/>
      <c r="BO905" s="25" t="n"/>
      <c r="BP905" s="25" t="n"/>
      <c r="BQ905" s="25" t="n"/>
      <c r="BR905" s="25" t="n"/>
      <c r="BS905" s="25" t="n"/>
      <c r="BT905" s="25" t="n"/>
      <c r="BU905" s="25" t="n"/>
      <c r="BV905" s="25" t="n"/>
      <c r="BW905" s="25" t="n"/>
      <c r="BX905" s="25" t="n"/>
      <c r="BY905" s="25" t="n"/>
      <c r="BZ905" s="25" t="n"/>
      <c r="CA905" s="25" t="n"/>
      <c r="CB905" s="25" t="n"/>
      <c r="CC905" s="25" t="n"/>
      <c r="CD905" s="25" t="n"/>
      <c r="CE905" s="25" t="n"/>
      <c r="CF905" s="25" t="n"/>
      <c r="CG905" s="25" t="n"/>
      <c r="CH905" s="25" t="n"/>
      <c r="CI905" s="25" t="n"/>
      <c r="CJ905" s="25" t="n"/>
      <c r="CK905" s="25" t="n"/>
      <c r="CL905" s="25" t="n"/>
      <c r="CM905" s="25" t="n"/>
      <c r="CN905" s="25" t="n"/>
      <c r="CO905" s="25" t="n"/>
      <c r="CP905" s="25" t="n"/>
      <c r="CQ905" s="25" t="n"/>
      <c r="CR905" s="25" t="n"/>
      <c r="CS905" s="25" t="n"/>
      <c r="CT905" s="25" t="n"/>
      <c r="CU905" s="25" t="n"/>
      <c r="CV905" s="25" t="n"/>
      <c r="CW905" s="25" t="n"/>
      <c r="CX905" s="25" t="n"/>
      <c r="CY905" s="25" t="n"/>
      <c r="CZ905" s="25" t="n"/>
      <c r="DA905" s="25" t="n"/>
      <c r="DB905" s="25" t="n"/>
      <c r="DC905" s="25" t="n"/>
    </row>
    <row r="906">
      <c r="B906" s="5" t="inlineStr">
        <is>
          <t>合計在庫(週末時点,kg)</t>
        </is>
      </c>
      <c r="D906">
        <f>'Grid_Stock'!B40</f>
        <v/>
      </c>
      <c r="E906">
        <f>'Grid_Stock'!C40</f>
        <v/>
      </c>
      <c r="F906">
        <f>'Grid_Stock'!D40</f>
        <v/>
      </c>
      <c r="G906">
        <f>'Grid_Stock'!E40</f>
        <v/>
      </c>
      <c r="H906">
        <f>'Grid_Stock'!F40</f>
        <v/>
      </c>
      <c r="I906">
        <f>'Grid_Stock'!G40</f>
        <v/>
      </c>
      <c r="J906">
        <f>'Grid_Stock'!H40</f>
        <v/>
      </c>
      <c r="K906">
        <f>'Grid_Stock'!I40</f>
        <v/>
      </c>
      <c r="L906">
        <f>'Grid_Stock'!J40</f>
        <v/>
      </c>
      <c r="M906">
        <f>'Grid_Stock'!K40</f>
        <v/>
      </c>
      <c r="N906">
        <f>'Grid_Stock'!L40</f>
        <v/>
      </c>
      <c r="O906">
        <f>'Grid_Stock'!M40</f>
        <v/>
      </c>
      <c r="P906">
        <f>'Grid_Stock'!N40</f>
        <v/>
      </c>
      <c r="Q906">
        <f>'Grid_Stock'!O40</f>
        <v/>
      </c>
      <c r="R906">
        <f>'Grid_Stock'!P40</f>
        <v/>
      </c>
      <c r="S906">
        <f>'Grid_Stock'!Q40</f>
        <v/>
      </c>
      <c r="T906">
        <f>'Grid_Stock'!R40</f>
        <v/>
      </c>
      <c r="U906">
        <f>'Grid_Stock'!S40</f>
        <v/>
      </c>
      <c r="V906">
        <f>'Grid_Stock'!T40</f>
        <v/>
      </c>
      <c r="W906">
        <f>'Grid_Stock'!U40</f>
        <v/>
      </c>
      <c r="X906">
        <f>'Grid_Stock'!V40</f>
        <v/>
      </c>
      <c r="Y906">
        <f>'Grid_Stock'!W40</f>
        <v/>
      </c>
      <c r="Z906">
        <f>'Grid_Stock'!X40</f>
        <v/>
      </c>
      <c r="AA906">
        <f>'Grid_Stock'!Y40</f>
        <v/>
      </c>
      <c r="AB906">
        <f>'Grid_Stock'!Z40</f>
        <v/>
      </c>
      <c r="AC906">
        <f>'Grid_Stock'!AA40</f>
        <v/>
      </c>
      <c r="AD906">
        <f>'Grid_Stock'!AB40</f>
        <v/>
      </c>
      <c r="AE906">
        <f>'Grid_Stock'!AC40</f>
        <v/>
      </c>
      <c r="AF906">
        <f>'Grid_Stock'!AD40</f>
        <v/>
      </c>
      <c r="AG906">
        <f>'Grid_Stock'!AE40</f>
        <v/>
      </c>
      <c r="AH906">
        <f>'Grid_Stock'!AF40</f>
        <v/>
      </c>
      <c r="AI906">
        <f>'Grid_Stock'!AG40</f>
        <v/>
      </c>
      <c r="AJ906">
        <f>'Grid_Stock'!AH40</f>
        <v/>
      </c>
      <c r="AK906">
        <f>'Grid_Stock'!AI40</f>
        <v/>
      </c>
      <c r="AL906">
        <f>'Grid_Stock'!AJ40</f>
        <v/>
      </c>
      <c r="AM906">
        <f>'Grid_Stock'!AK40</f>
        <v/>
      </c>
      <c r="AN906">
        <f>'Grid_Stock'!AL40</f>
        <v/>
      </c>
      <c r="AO906">
        <f>'Grid_Stock'!AM40</f>
        <v/>
      </c>
      <c r="AP906">
        <f>'Grid_Stock'!AN40</f>
        <v/>
      </c>
      <c r="AQ906">
        <f>'Grid_Stock'!AO40</f>
        <v/>
      </c>
      <c r="AR906">
        <f>'Grid_Stock'!AP40</f>
        <v/>
      </c>
      <c r="AS906">
        <f>'Grid_Stock'!AQ40</f>
        <v/>
      </c>
      <c r="AT906">
        <f>'Grid_Stock'!AR40</f>
        <v/>
      </c>
      <c r="AU906">
        <f>'Grid_Stock'!AS40</f>
        <v/>
      </c>
      <c r="AV906">
        <f>'Grid_Stock'!AT40</f>
        <v/>
      </c>
      <c r="AW906">
        <f>'Grid_Stock'!AU40</f>
        <v/>
      </c>
      <c r="AX906">
        <f>'Grid_Stock'!AV40</f>
        <v/>
      </c>
      <c r="AY906">
        <f>'Grid_Stock'!AW40</f>
        <v/>
      </c>
      <c r="AZ906">
        <f>'Grid_Stock'!AX40</f>
        <v/>
      </c>
      <c r="BA906">
        <f>'Grid_Stock'!AY40</f>
        <v/>
      </c>
      <c r="BB906">
        <f>'Grid_Stock'!AZ40</f>
        <v/>
      </c>
      <c r="BC906">
        <f>'Grid_Stock'!BA40</f>
        <v/>
      </c>
      <c r="BD906">
        <f>'Grid_Stock'!BB40</f>
        <v/>
      </c>
      <c r="BE906">
        <f>'Grid_Stock'!BC40</f>
        <v/>
      </c>
      <c r="BF906">
        <f>'Grid_Stock'!BD40</f>
        <v/>
      </c>
      <c r="BG906">
        <f>'Grid_Stock'!BE40</f>
        <v/>
      </c>
      <c r="BH906">
        <f>'Grid_Stock'!BF40</f>
        <v/>
      </c>
      <c r="BI906">
        <f>'Grid_Stock'!BG40</f>
        <v/>
      </c>
      <c r="BJ906">
        <f>'Grid_Stock'!BH40</f>
        <v/>
      </c>
      <c r="BK906">
        <f>'Grid_Stock'!BI40</f>
        <v/>
      </c>
      <c r="BL906">
        <f>'Grid_Stock'!BJ40</f>
        <v/>
      </c>
      <c r="BM906">
        <f>'Grid_Stock'!BK40</f>
        <v/>
      </c>
      <c r="BN906">
        <f>'Grid_Stock'!BL40</f>
        <v/>
      </c>
      <c r="BO906">
        <f>'Grid_Stock'!BM40</f>
        <v/>
      </c>
      <c r="BP906">
        <f>'Grid_Stock'!BN40</f>
        <v/>
      </c>
      <c r="BQ906">
        <f>'Grid_Stock'!BO40</f>
        <v/>
      </c>
      <c r="BR906">
        <f>'Grid_Stock'!BP40</f>
        <v/>
      </c>
      <c r="BS906">
        <f>'Grid_Stock'!BQ40</f>
        <v/>
      </c>
      <c r="BT906">
        <f>'Grid_Stock'!BR40</f>
        <v/>
      </c>
      <c r="BU906">
        <f>'Grid_Stock'!BS40</f>
        <v/>
      </c>
      <c r="BV906">
        <f>'Grid_Stock'!BT40</f>
        <v/>
      </c>
      <c r="BW906">
        <f>'Grid_Stock'!BU40</f>
        <v/>
      </c>
      <c r="BX906">
        <f>'Grid_Stock'!BV40</f>
        <v/>
      </c>
      <c r="BY906">
        <f>'Grid_Stock'!BW40</f>
        <v/>
      </c>
      <c r="BZ906">
        <f>'Grid_Stock'!BX40</f>
        <v/>
      </c>
      <c r="CA906">
        <f>'Grid_Stock'!BY40</f>
        <v/>
      </c>
      <c r="CB906">
        <f>'Grid_Stock'!BZ40</f>
        <v/>
      </c>
      <c r="CC906">
        <f>'Grid_Stock'!CA40</f>
        <v/>
      </c>
      <c r="CD906">
        <f>'Grid_Stock'!CB40</f>
        <v/>
      </c>
      <c r="CE906">
        <f>'Grid_Stock'!CC40</f>
        <v/>
      </c>
      <c r="CF906">
        <f>'Grid_Stock'!CD40</f>
        <v/>
      </c>
      <c r="CG906">
        <f>'Grid_Stock'!CE40</f>
        <v/>
      </c>
      <c r="CH906">
        <f>'Grid_Stock'!CF40</f>
        <v/>
      </c>
      <c r="CI906">
        <f>'Grid_Stock'!CG40</f>
        <v/>
      </c>
      <c r="CJ906">
        <f>'Grid_Stock'!CH40</f>
        <v/>
      </c>
      <c r="CK906">
        <f>'Grid_Stock'!CI40</f>
        <v/>
      </c>
      <c r="CL906">
        <f>'Grid_Stock'!CJ40</f>
        <v/>
      </c>
      <c r="CM906">
        <f>'Grid_Stock'!CK40</f>
        <v/>
      </c>
      <c r="CN906">
        <f>'Grid_Stock'!CL40</f>
        <v/>
      </c>
      <c r="CO906">
        <f>'Grid_Stock'!CM40</f>
        <v/>
      </c>
      <c r="CP906">
        <f>'Grid_Stock'!CN40</f>
        <v/>
      </c>
      <c r="CQ906">
        <f>'Grid_Stock'!CO40</f>
        <v/>
      </c>
      <c r="CR906">
        <f>'Grid_Stock'!CP40</f>
        <v/>
      </c>
      <c r="CS906">
        <f>'Grid_Stock'!CQ40</f>
        <v/>
      </c>
      <c r="CT906">
        <f>'Grid_Stock'!CR40</f>
        <v/>
      </c>
      <c r="CU906">
        <f>'Grid_Stock'!CS40</f>
        <v/>
      </c>
      <c r="CV906">
        <f>'Grid_Stock'!CT40</f>
        <v/>
      </c>
      <c r="CW906">
        <f>'Grid_Stock'!CU40</f>
        <v/>
      </c>
      <c r="CX906">
        <f>'Grid_Stock'!CV40</f>
        <v/>
      </c>
      <c r="CY906">
        <f>'Grid_Stock'!CW40</f>
        <v/>
      </c>
      <c r="CZ906">
        <f>'Grid_Stock'!CX40</f>
        <v/>
      </c>
      <c r="DA906">
        <f>'Grid_Stock'!CY40</f>
        <v/>
      </c>
      <c r="DB906">
        <f>'Grid_Stock'!CZ40</f>
        <v/>
      </c>
      <c r="DC906">
        <f>'Grid_Stock'!DA40</f>
        <v/>
      </c>
    </row>
    <row r="907">
      <c r="B907" s="26" t="inlineStr">
        <is>
          <t>（発注の目安はDashboardの基準在庫[下限/上限]と色分けを参照）</t>
        </is>
      </c>
    </row>
    <row r="909">
      <c r="A909" s="21" t="inlineStr">
        <is>
          <t>CHEM-1680</t>
        </is>
      </c>
      <c r="B909" s="21" t="inlineStr">
        <is>
          <t>NAT 38</t>
        </is>
      </c>
      <c r="C909" s="22" t="n"/>
      <c r="D909" s="21" t="n"/>
      <c r="E909" s="21" t="n"/>
      <c r="F909" s="21" t="n"/>
      <c r="G909" s="21" t="n"/>
      <c r="H909" s="21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  <c r="AA909" s="21" t="n"/>
      <c r="AB909" s="21" t="n"/>
      <c r="AC909" s="21" t="n"/>
      <c r="AD909" s="21" t="n"/>
      <c r="AE909" s="21" t="n"/>
      <c r="AF909" s="21" t="n"/>
      <c r="AG909" s="21" t="n"/>
      <c r="AH909" s="21" t="n"/>
      <c r="AI909" s="21" t="n"/>
      <c r="AJ909" s="21" t="n"/>
      <c r="AK909" s="21" t="n"/>
      <c r="AL909" s="21" t="n"/>
      <c r="AM909" s="21" t="n"/>
      <c r="AN909" s="21" t="n"/>
      <c r="AO909" s="21" t="n"/>
      <c r="AP909" s="21" t="n"/>
      <c r="AQ909" s="21" t="n"/>
      <c r="AR909" s="21" t="n"/>
      <c r="AS909" s="21" t="n"/>
      <c r="AT909" s="21" t="n"/>
      <c r="AU909" s="21" t="n"/>
      <c r="AV909" s="21" t="n"/>
      <c r="AW909" s="21" t="n"/>
      <c r="AX909" s="21" t="n"/>
      <c r="AY909" s="21" t="n"/>
      <c r="AZ909" s="21" t="n"/>
      <c r="BA909" s="21" t="n"/>
      <c r="BB909" s="21" t="n"/>
      <c r="BC909" s="21" t="n"/>
      <c r="BD909" s="21" t="n"/>
      <c r="BE909" s="21" t="n"/>
      <c r="BF909" s="21" t="n"/>
      <c r="BG909" s="21" t="n"/>
      <c r="BH909" s="21" t="n"/>
      <c r="BI909" s="21" t="n"/>
      <c r="BJ909" s="21" t="n"/>
      <c r="BK909" s="21" t="n"/>
      <c r="BL909" s="21" t="n"/>
      <c r="BM909" s="21" t="n"/>
      <c r="BN909" s="21" t="n"/>
      <c r="BO909" s="21" t="n"/>
      <c r="BP909" s="21" t="n"/>
      <c r="BQ909" s="21" t="n"/>
      <c r="BR909" s="21" t="n"/>
      <c r="BS909" s="21" t="n"/>
      <c r="BT909" s="21" t="n"/>
      <c r="BU909" s="21" t="n"/>
      <c r="BV909" s="21" t="n"/>
      <c r="BW909" s="21" t="n"/>
      <c r="BX909" s="21" t="n"/>
      <c r="BY909" s="21" t="n"/>
      <c r="BZ909" s="21" t="n"/>
      <c r="CA909" s="21" t="n"/>
      <c r="CB909" s="21" t="n"/>
      <c r="CC909" s="21" t="n"/>
      <c r="CD909" s="21" t="n"/>
      <c r="CE909" s="21" t="n"/>
      <c r="CF909" s="21" t="n"/>
      <c r="CG909" s="21" t="n"/>
      <c r="CH909" s="21" t="n"/>
      <c r="CI909" s="21" t="n"/>
      <c r="CJ909" s="21" t="n"/>
      <c r="CK909" s="21" t="n"/>
      <c r="CL909" s="21" t="n"/>
      <c r="CM909" s="21" t="n"/>
      <c r="CN909" s="21" t="n"/>
      <c r="CO909" s="21" t="n"/>
      <c r="CP909" s="21" t="n"/>
      <c r="CQ909" s="21" t="n"/>
      <c r="CR909" s="21" t="n"/>
      <c r="CS909" s="21" t="n"/>
      <c r="CT909" s="21" t="n"/>
      <c r="CU909" s="21" t="n"/>
      <c r="CV909" s="21" t="n"/>
      <c r="CW909" s="21" t="n"/>
      <c r="CX909" s="21" t="n"/>
      <c r="CY909" s="21" t="n"/>
      <c r="CZ909" s="21" t="n"/>
      <c r="DA909" s="21" t="n"/>
      <c r="DB909" s="21" t="n"/>
      <c r="DC909" s="21" t="n"/>
    </row>
    <row r="910">
      <c r="B910" t="inlineStr">
        <is>
          <t>TPP-611</t>
        </is>
      </c>
      <c r="C910" t="inlineStr">
        <is>
          <t>No. of batches</t>
        </is>
      </c>
      <c r="D910">
        <f>IFERROR(INDEX(PP_Grid[#Data],$DD910,2),0)</f>
        <v/>
      </c>
      <c r="E910">
        <f>IFERROR(INDEX(PP_Grid[#Data],$DD910,3),0)</f>
        <v/>
      </c>
      <c r="F910">
        <f>IFERROR(INDEX(PP_Grid[#Data],$DD910,4),0)</f>
        <v/>
      </c>
      <c r="G910">
        <f>IFERROR(INDEX(PP_Grid[#Data],$DD910,5),0)</f>
        <v/>
      </c>
      <c r="H910">
        <f>IFERROR(INDEX(PP_Grid[#Data],$DD910,6),0)</f>
        <v/>
      </c>
      <c r="I910">
        <f>IFERROR(INDEX(PP_Grid[#Data],$DD910,7),0)</f>
        <v/>
      </c>
      <c r="J910">
        <f>IFERROR(INDEX(PP_Grid[#Data],$DD910,8),0)</f>
        <v/>
      </c>
      <c r="K910">
        <f>IFERROR(INDEX(PP_Grid[#Data],$DD910,9),0)</f>
        <v/>
      </c>
      <c r="L910">
        <f>IFERROR(INDEX(PP_Grid[#Data],$DD910,10),0)</f>
        <v/>
      </c>
      <c r="M910">
        <f>IFERROR(INDEX(PP_Grid[#Data],$DD910,11),0)</f>
        <v/>
      </c>
      <c r="N910">
        <f>IFERROR(INDEX(PP_Grid[#Data],$DD910,12),0)</f>
        <v/>
      </c>
      <c r="O910">
        <f>IFERROR(INDEX(PP_Grid[#Data],$DD910,13),0)</f>
        <v/>
      </c>
      <c r="P910">
        <f>IFERROR(INDEX(PP_Grid[#Data],$DD910,14),0)</f>
        <v/>
      </c>
      <c r="Q910">
        <f>IFERROR(INDEX(PP_Grid[#Data],$DD910,15),0)</f>
        <v/>
      </c>
      <c r="R910">
        <f>IFERROR(INDEX(PP_Grid[#Data],$DD910,16),0)</f>
        <v/>
      </c>
      <c r="S910">
        <f>IFERROR(INDEX(PP_Grid[#Data],$DD910,17),0)</f>
        <v/>
      </c>
      <c r="T910">
        <f>IFERROR(INDEX(PP_Grid[#Data],$DD910,18),0)</f>
        <v/>
      </c>
      <c r="U910">
        <f>IFERROR(INDEX(PP_Grid[#Data],$DD910,19),0)</f>
        <v/>
      </c>
      <c r="V910">
        <f>IFERROR(INDEX(PP_Grid[#Data],$DD910,20),0)</f>
        <v/>
      </c>
      <c r="W910">
        <f>IFERROR(INDEX(PP_Grid[#Data],$DD910,21),0)</f>
        <v/>
      </c>
      <c r="X910">
        <f>IFERROR(INDEX(PP_Grid[#Data],$DD910,22),0)</f>
        <v/>
      </c>
      <c r="Y910">
        <f>IFERROR(INDEX(PP_Grid[#Data],$DD910,23),0)</f>
        <v/>
      </c>
      <c r="Z910">
        <f>IFERROR(INDEX(PP_Grid[#Data],$DD910,24),0)</f>
        <v/>
      </c>
      <c r="AA910">
        <f>IFERROR(INDEX(PP_Grid[#Data],$DD910,25),0)</f>
        <v/>
      </c>
      <c r="AB910">
        <f>IFERROR(INDEX(PP_Grid[#Data],$DD910,26),0)</f>
        <v/>
      </c>
      <c r="AC910">
        <f>IFERROR(INDEX(PP_Grid[#Data],$DD910,27),0)</f>
        <v/>
      </c>
      <c r="AD910">
        <f>IFERROR(INDEX(PP_Grid[#Data],$DD910,28),0)</f>
        <v/>
      </c>
      <c r="AE910">
        <f>IFERROR(INDEX(PP_Grid[#Data],$DD910,29),0)</f>
        <v/>
      </c>
      <c r="AF910">
        <f>IFERROR(INDEX(PP_Grid[#Data],$DD910,30),0)</f>
        <v/>
      </c>
      <c r="AG910">
        <f>IFERROR(INDEX(PP_Grid[#Data],$DD910,31),0)</f>
        <v/>
      </c>
      <c r="AH910">
        <f>IFERROR(INDEX(PP_Grid[#Data],$DD910,32),0)</f>
        <v/>
      </c>
      <c r="AI910">
        <f>IFERROR(INDEX(PP_Grid[#Data],$DD910,33),0)</f>
        <v/>
      </c>
      <c r="AJ910">
        <f>IFERROR(INDEX(PP_Grid[#Data],$DD910,34),0)</f>
        <v/>
      </c>
      <c r="AK910">
        <f>IFERROR(INDEX(PP_Grid[#Data],$DD910,35),0)</f>
        <v/>
      </c>
      <c r="AL910">
        <f>IFERROR(INDEX(PP_Grid[#Data],$DD910,36),0)</f>
        <v/>
      </c>
      <c r="AM910">
        <f>IFERROR(INDEX(PP_Grid[#Data],$DD910,37),0)</f>
        <v/>
      </c>
      <c r="AN910">
        <f>IFERROR(INDEX(PP_Grid[#Data],$DD910,38),0)</f>
        <v/>
      </c>
      <c r="AO910">
        <f>IFERROR(INDEX(PP_Grid[#Data],$DD910,39),0)</f>
        <v/>
      </c>
      <c r="AP910">
        <f>IFERROR(INDEX(PP_Grid[#Data],$DD910,40),0)</f>
        <v/>
      </c>
      <c r="AQ910">
        <f>IFERROR(INDEX(PP_Grid[#Data],$DD910,41),0)</f>
        <v/>
      </c>
      <c r="AR910">
        <f>IFERROR(INDEX(PP_Grid[#Data],$DD910,42),0)</f>
        <v/>
      </c>
      <c r="AS910">
        <f>IFERROR(INDEX(PP_Grid[#Data],$DD910,43),0)</f>
        <v/>
      </c>
      <c r="AT910">
        <f>IFERROR(INDEX(PP_Grid[#Data],$DD910,44),0)</f>
        <v/>
      </c>
      <c r="AU910">
        <f>IFERROR(INDEX(PP_Grid[#Data],$DD910,45),0)</f>
        <v/>
      </c>
      <c r="AV910">
        <f>IFERROR(INDEX(PP_Grid[#Data],$DD910,46),0)</f>
        <v/>
      </c>
      <c r="AW910">
        <f>IFERROR(INDEX(PP_Grid[#Data],$DD910,47),0)</f>
        <v/>
      </c>
      <c r="AX910">
        <f>IFERROR(INDEX(PP_Grid[#Data],$DD910,48),0)</f>
        <v/>
      </c>
      <c r="AY910">
        <f>IFERROR(INDEX(PP_Grid[#Data],$DD910,49),0)</f>
        <v/>
      </c>
      <c r="AZ910">
        <f>IFERROR(INDEX(PP_Grid[#Data],$DD910,50),0)</f>
        <v/>
      </c>
      <c r="BA910">
        <f>IFERROR(INDEX(PP_Grid[#Data],$DD910,51),0)</f>
        <v/>
      </c>
      <c r="BB910">
        <f>IFERROR(INDEX(PP_Grid[#Data],$DD910,52),0)</f>
        <v/>
      </c>
      <c r="BC910">
        <f>IFERROR(INDEX(PP_Grid[#Data],$DD910,53),0)</f>
        <v/>
      </c>
      <c r="BD910">
        <f>IFERROR(INDEX(PP_Grid[#Data],$DD910,54),0)</f>
        <v/>
      </c>
      <c r="BE910">
        <f>IFERROR(INDEX(PP_Grid[#Data],$DD910,55),0)</f>
        <v/>
      </c>
      <c r="BF910">
        <f>IFERROR(INDEX(PP_Grid[#Data],$DD910,56),0)</f>
        <v/>
      </c>
      <c r="BG910">
        <f>IFERROR(INDEX(PP_Grid[#Data],$DD910,57),0)</f>
        <v/>
      </c>
      <c r="BH910">
        <f>IFERROR(INDEX(PP_Grid[#Data],$DD910,58),0)</f>
        <v/>
      </c>
      <c r="BI910">
        <f>IFERROR(INDEX(PP_Grid[#Data],$DD910,59),0)</f>
        <v/>
      </c>
      <c r="BJ910">
        <f>IFERROR(INDEX(PP_Grid[#Data],$DD910,60),0)</f>
        <v/>
      </c>
      <c r="BK910">
        <f>IFERROR(INDEX(PP_Grid[#Data],$DD910,61),0)</f>
        <v/>
      </c>
      <c r="BL910">
        <f>IFERROR(INDEX(PP_Grid[#Data],$DD910,62),0)</f>
        <v/>
      </c>
      <c r="BM910">
        <f>IFERROR(INDEX(PP_Grid[#Data],$DD910,63),0)</f>
        <v/>
      </c>
      <c r="BN910">
        <f>IFERROR(INDEX(PP_Grid[#Data],$DD910,64),0)</f>
        <v/>
      </c>
      <c r="BO910">
        <f>IFERROR(INDEX(PP_Grid[#Data],$DD910,65),0)</f>
        <v/>
      </c>
      <c r="BP910">
        <f>IFERROR(INDEX(PP_Grid[#Data],$DD910,66),0)</f>
        <v/>
      </c>
      <c r="BQ910">
        <f>IFERROR(INDEX(PP_Grid[#Data],$DD910,67),0)</f>
        <v/>
      </c>
      <c r="BR910">
        <f>IFERROR(INDEX(PP_Grid[#Data],$DD910,68),0)</f>
        <v/>
      </c>
      <c r="BS910">
        <f>IFERROR(INDEX(PP_Grid[#Data],$DD910,69),0)</f>
        <v/>
      </c>
      <c r="BT910">
        <f>IFERROR(INDEX(PP_Grid[#Data],$DD910,70),0)</f>
        <v/>
      </c>
      <c r="BU910">
        <f>IFERROR(INDEX(PP_Grid[#Data],$DD910,71),0)</f>
        <v/>
      </c>
      <c r="BV910">
        <f>IFERROR(INDEX(PP_Grid[#Data],$DD910,72),0)</f>
        <v/>
      </c>
      <c r="BW910">
        <f>IFERROR(INDEX(PP_Grid[#Data],$DD910,73),0)</f>
        <v/>
      </c>
      <c r="BX910">
        <f>IFERROR(INDEX(PP_Grid[#Data],$DD910,74),0)</f>
        <v/>
      </c>
      <c r="BY910">
        <f>IFERROR(INDEX(PP_Grid[#Data],$DD910,75),0)</f>
        <v/>
      </c>
      <c r="BZ910">
        <f>IFERROR(INDEX(PP_Grid[#Data],$DD910,76),0)</f>
        <v/>
      </c>
      <c r="CA910">
        <f>IFERROR(INDEX(PP_Grid[#Data],$DD910,77),0)</f>
        <v/>
      </c>
      <c r="CB910">
        <f>IFERROR(INDEX(PP_Grid[#Data],$DD910,78),0)</f>
        <v/>
      </c>
      <c r="CC910">
        <f>IFERROR(INDEX(PP_Grid[#Data],$DD910,79),0)</f>
        <v/>
      </c>
      <c r="CD910">
        <f>IFERROR(INDEX(PP_Grid[#Data],$DD910,80),0)</f>
        <v/>
      </c>
      <c r="CE910">
        <f>IFERROR(INDEX(PP_Grid[#Data],$DD910,81),0)</f>
        <v/>
      </c>
      <c r="CF910">
        <f>IFERROR(INDEX(PP_Grid[#Data],$DD910,82),0)</f>
        <v/>
      </c>
      <c r="CG910">
        <f>IFERROR(INDEX(PP_Grid[#Data],$DD910,83),0)</f>
        <v/>
      </c>
      <c r="CH910">
        <f>IFERROR(INDEX(PP_Grid[#Data],$DD910,84),0)</f>
        <v/>
      </c>
      <c r="CI910">
        <f>IFERROR(INDEX(PP_Grid[#Data],$DD910,85),0)</f>
        <v/>
      </c>
      <c r="CJ910">
        <f>IFERROR(INDEX(PP_Grid[#Data],$DD910,86),0)</f>
        <v/>
      </c>
      <c r="CK910">
        <f>IFERROR(INDEX(PP_Grid[#Data],$DD910,87),0)</f>
        <v/>
      </c>
      <c r="CL910">
        <f>IFERROR(INDEX(PP_Grid[#Data],$DD910,88),0)</f>
        <v/>
      </c>
      <c r="CM910">
        <f>IFERROR(INDEX(PP_Grid[#Data],$DD910,89),0)</f>
        <v/>
      </c>
      <c r="CN910">
        <f>IFERROR(INDEX(PP_Grid[#Data],$DD910,90),0)</f>
        <v/>
      </c>
      <c r="CO910">
        <f>IFERROR(INDEX(PP_Grid[#Data],$DD910,91),0)</f>
        <v/>
      </c>
      <c r="CP910">
        <f>IFERROR(INDEX(PP_Grid[#Data],$DD910,92),0)</f>
        <v/>
      </c>
      <c r="CQ910">
        <f>IFERROR(INDEX(PP_Grid[#Data],$DD910,93),0)</f>
        <v/>
      </c>
      <c r="CR910">
        <f>IFERROR(INDEX(PP_Grid[#Data],$DD910,94),0)</f>
        <v/>
      </c>
      <c r="CS910">
        <f>IFERROR(INDEX(PP_Grid[#Data],$DD910,95),0)</f>
        <v/>
      </c>
      <c r="CT910">
        <f>IFERROR(INDEX(PP_Grid[#Data],$DD910,96),0)</f>
        <v/>
      </c>
      <c r="CU910">
        <f>IFERROR(INDEX(PP_Grid[#Data],$DD910,97),0)</f>
        <v/>
      </c>
      <c r="CV910">
        <f>IFERROR(INDEX(PP_Grid[#Data],$DD910,98),0)</f>
        <v/>
      </c>
      <c r="CW910">
        <f>IFERROR(INDEX(PP_Grid[#Data],$DD910,99),0)</f>
        <v/>
      </c>
      <c r="CX910">
        <f>IFERROR(INDEX(PP_Grid[#Data],$DD910,100),0)</f>
        <v/>
      </c>
      <c r="CY910">
        <f>IFERROR(INDEX(PP_Grid[#Data],$DD910,101),0)</f>
        <v/>
      </c>
      <c r="CZ910">
        <f>IFERROR(INDEX(PP_Grid[#Data],$DD910,102),0)</f>
        <v/>
      </c>
      <c r="DA910">
        <f>IFERROR(INDEX(PP_Grid[#Data],$DD910,103),0)</f>
        <v/>
      </c>
      <c r="DB910">
        <f>IFERROR(INDEX(PP_Grid[#Data],$DD910,104),0)</f>
        <v/>
      </c>
      <c r="DC910">
        <f>IFERROR(INDEX(PP_Grid[#Data],$DD910,105),0)</f>
        <v/>
      </c>
      <c r="DD910" s="12">
        <f>IFERROR(MATCH($B910,PP_Grid[Intermediate],0),99999)</f>
        <v/>
      </c>
    </row>
    <row r="911">
      <c r="B911" t="inlineStr">
        <is>
          <t>使用量(kg)</t>
        </is>
      </c>
      <c r="C911">
        <f>SUMIFS(M_BOM[RM_Qty_Per_Batch],M_BOM[Intermediate],$B910,M_BOM[Part Name],$A909)</f>
        <v/>
      </c>
      <c r="D911">
        <f>$C911*D910</f>
        <v/>
      </c>
      <c r="E911">
        <f>$C911*E910</f>
        <v/>
      </c>
      <c r="F911">
        <f>$C911*F910</f>
        <v/>
      </c>
      <c r="G911">
        <f>$C911*G910</f>
        <v/>
      </c>
      <c r="H911">
        <f>$C911*H910</f>
        <v/>
      </c>
      <c r="I911">
        <f>$C911*I910</f>
        <v/>
      </c>
      <c r="J911">
        <f>$C911*J910</f>
        <v/>
      </c>
      <c r="K911">
        <f>$C911*K910</f>
        <v/>
      </c>
      <c r="L911">
        <f>$C911*L910</f>
        <v/>
      </c>
      <c r="M911">
        <f>$C911*M910</f>
        <v/>
      </c>
      <c r="N911">
        <f>$C911*N910</f>
        <v/>
      </c>
      <c r="O911">
        <f>$C911*O910</f>
        <v/>
      </c>
      <c r="P911">
        <f>$C911*P910</f>
        <v/>
      </c>
      <c r="Q911">
        <f>$C911*Q910</f>
        <v/>
      </c>
      <c r="R911">
        <f>$C911*R910</f>
        <v/>
      </c>
      <c r="S911">
        <f>$C911*S910</f>
        <v/>
      </c>
      <c r="T911">
        <f>$C911*T910</f>
        <v/>
      </c>
      <c r="U911">
        <f>$C911*U910</f>
        <v/>
      </c>
      <c r="V911">
        <f>$C911*V910</f>
        <v/>
      </c>
      <c r="W911">
        <f>$C911*W910</f>
        <v/>
      </c>
      <c r="X911">
        <f>$C911*X910</f>
        <v/>
      </c>
      <c r="Y911">
        <f>$C911*Y910</f>
        <v/>
      </c>
      <c r="Z911">
        <f>$C911*Z910</f>
        <v/>
      </c>
      <c r="AA911">
        <f>$C911*AA910</f>
        <v/>
      </c>
      <c r="AB911">
        <f>$C911*AB910</f>
        <v/>
      </c>
      <c r="AC911">
        <f>$C911*AC910</f>
        <v/>
      </c>
      <c r="AD911">
        <f>$C911*AD910</f>
        <v/>
      </c>
      <c r="AE911">
        <f>$C911*AE910</f>
        <v/>
      </c>
      <c r="AF911">
        <f>$C911*AF910</f>
        <v/>
      </c>
      <c r="AG911">
        <f>$C911*AG910</f>
        <v/>
      </c>
      <c r="AH911">
        <f>$C911*AH910</f>
        <v/>
      </c>
      <c r="AI911">
        <f>$C911*AI910</f>
        <v/>
      </c>
      <c r="AJ911">
        <f>$C911*AJ910</f>
        <v/>
      </c>
      <c r="AK911">
        <f>$C911*AK910</f>
        <v/>
      </c>
      <c r="AL911">
        <f>$C911*AL910</f>
        <v/>
      </c>
      <c r="AM911">
        <f>$C911*AM910</f>
        <v/>
      </c>
      <c r="AN911">
        <f>$C911*AN910</f>
        <v/>
      </c>
      <c r="AO911">
        <f>$C911*AO910</f>
        <v/>
      </c>
      <c r="AP911">
        <f>$C911*AP910</f>
        <v/>
      </c>
      <c r="AQ911">
        <f>$C911*AQ910</f>
        <v/>
      </c>
      <c r="AR911">
        <f>$C911*AR910</f>
        <v/>
      </c>
      <c r="AS911">
        <f>$C911*AS910</f>
        <v/>
      </c>
      <c r="AT911">
        <f>$C911*AT910</f>
        <v/>
      </c>
      <c r="AU911">
        <f>$C911*AU910</f>
        <v/>
      </c>
      <c r="AV911">
        <f>$C911*AV910</f>
        <v/>
      </c>
      <c r="AW911">
        <f>$C911*AW910</f>
        <v/>
      </c>
      <c r="AX911">
        <f>$C911*AX910</f>
        <v/>
      </c>
      <c r="AY911">
        <f>$C911*AY910</f>
        <v/>
      </c>
      <c r="AZ911">
        <f>$C911*AZ910</f>
        <v/>
      </c>
      <c r="BA911">
        <f>$C911*BA910</f>
        <v/>
      </c>
      <c r="BB911">
        <f>$C911*BB910</f>
        <v/>
      </c>
      <c r="BC911">
        <f>$C911*BC910</f>
        <v/>
      </c>
      <c r="BD911">
        <f>$C911*BD910</f>
        <v/>
      </c>
      <c r="BE911">
        <f>$C911*BE910</f>
        <v/>
      </c>
      <c r="BF911">
        <f>$C911*BF910</f>
        <v/>
      </c>
      <c r="BG911">
        <f>$C911*BG910</f>
        <v/>
      </c>
      <c r="BH911">
        <f>$C911*BH910</f>
        <v/>
      </c>
      <c r="BI911">
        <f>$C911*BI910</f>
        <v/>
      </c>
      <c r="BJ911">
        <f>$C911*BJ910</f>
        <v/>
      </c>
      <c r="BK911">
        <f>$C911*BK910</f>
        <v/>
      </c>
      <c r="BL911">
        <f>$C911*BL910</f>
        <v/>
      </c>
      <c r="BM911">
        <f>$C911*BM910</f>
        <v/>
      </c>
      <c r="BN911">
        <f>$C911*BN910</f>
        <v/>
      </c>
      <c r="BO911">
        <f>$C911*BO910</f>
        <v/>
      </c>
      <c r="BP911">
        <f>$C911*BP910</f>
        <v/>
      </c>
      <c r="BQ911">
        <f>$C911*BQ910</f>
        <v/>
      </c>
      <c r="BR911">
        <f>$C911*BR910</f>
        <v/>
      </c>
      <c r="BS911">
        <f>$C911*BS910</f>
        <v/>
      </c>
      <c r="BT911">
        <f>$C911*BT910</f>
        <v/>
      </c>
      <c r="BU911">
        <f>$C911*BU910</f>
        <v/>
      </c>
      <c r="BV911">
        <f>$C911*BV910</f>
        <v/>
      </c>
      <c r="BW911">
        <f>$C911*BW910</f>
        <v/>
      </c>
      <c r="BX911">
        <f>$C911*BX910</f>
        <v/>
      </c>
      <c r="BY911">
        <f>$C911*BY910</f>
        <v/>
      </c>
      <c r="BZ911">
        <f>$C911*BZ910</f>
        <v/>
      </c>
      <c r="CA911">
        <f>$C911*CA910</f>
        <v/>
      </c>
      <c r="CB911">
        <f>$C911*CB910</f>
        <v/>
      </c>
      <c r="CC911">
        <f>$C911*CC910</f>
        <v/>
      </c>
      <c r="CD911">
        <f>$C911*CD910</f>
        <v/>
      </c>
      <c r="CE911">
        <f>$C911*CE910</f>
        <v/>
      </c>
      <c r="CF911">
        <f>$C911*CF910</f>
        <v/>
      </c>
      <c r="CG911">
        <f>$C911*CG910</f>
        <v/>
      </c>
      <c r="CH911">
        <f>$C911*CH910</f>
        <v/>
      </c>
      <c r="CI911">
        <f>$C911*CI910</f>
        <v/>
      </c>
      <c r="CJ911">
        <f>$C911*CJ910</f>
        <v/>
      </c>
      <c r="CK911">
        <f>$C911*CK910</f>
        <v/>
      </c>
      <c r="CL911">
        <f>$C911*CL910</f>
        <v/>
      </c>
      <c r="CM911">
        <f>$C911*CM910</f>
        <v/>
      </c>
      <c r="CN911">
        <f>$C911*CN910</f>
        <v/>
      </c>
      <c r="CO911">
        <f>$C911*CO910</f>
        <v/>
      </c>
      <c r="CP911">
        <f>$C911*CP910</f>
        <v/>
      </c>
      <c r="CQ911">
        <f>$C911*CQ910</f>
        <v/>
      </c>
      <c r="CR911">
        <f>$C911*CR910</f>
        <v/>
      </c>
      <c r="CS911">
        <f>$C911*CS910</f>
        <v/>
      </c>
      <c r="CT911">
        <f>$C911*CT910</f>
        <v/>
      </c>
      <c r="CU911">
        <f>$C911*CU910</f>
        <v/>
      </c>
      <c r="CV911">
        <f>$C911*CV910</f>
        <v/>
      </c>
      <c r="CW911">
        <f>$C911*CW910</f>
        <v/>
      </c>
      <c r="CX911">
        <f>$C911*CX910</f>
        <v/>
      </c>
      <c r="CY911">
        <f>$C911*CY910</f>
        <v/>
      </c>
      <c r="CZ911">
        <f>$C911*CZ910</f>
        <v/>
      </c>
      <c r="DA911">
        <f>$C911*DA910</f>
        <v/>
      </c>
      <c r="DB911">
        <f>$C911*DB910</f>
        <v/>
      </c>
      <c r="DC911">
        <f>$C911*DC910</f>
        <v/>
      </c>
    </row>
    <row r="912">
      <c r="B912" t="inlineStr">
        <is>
          <t>TPP-613</t>
        </is>
      </c>
      <c r="C912" t="inlineStr">
        <is>
          <t>No. of batches</t>
        </is>
      </c>
      <c r="D912">
        <f>IFERROR(INDEX(PP_Grid[#Data],$DD912,2),0)</f>
        <v/>
      </c>
      <c r="E912">
        <f>IFERROR(INDEX(PP_Grid[#Data],$DD912,3),0)</f>
        <v/>
      </c>
      <c r="F912">
        <f>IFERROR(INDEX(PP_Grid[#Data],$DD912,4),0)</f>
        <v/>
      </c>
      <c r="G912">
        <f>IFERROR(INDEX(PP_Grid[#Data],$DD912,5),0)</f>
        <v/>
      </c>
      <c r="H912">
        <f>IFERROR(INDEX(PP_Grid[#Data],$DD912,6),0)</f>
        <v/>
      </c>
      <c r="I912">
        <f>IFERROR(INDEX(PP_Grid[#Data],$DD912,7),0)</f>
        <v/>
      </c>
      <c r="J912">
        <f>IFERROR(INDEX(PP_Grid[#Data],$DD912,8),0)</f>
        <v/>
      </c>
      <c r="K912">
        <f>IFERROR(INDEX(PP_Grid[#Data],$DD912,9),0)</f>
        <v/>
      </c>
      <c r="L912">
        <f>IFERROR(INDEX(PP_Grid[#Data],$DD912,10),0)</f>
        <v/>
      </c>
      <c r="M912">
        <f>IFERROR(INDEX(PP_Grid[#Data],$DD912,11),0)</f>
        <v/>
      </c>
      <c r="N912">
        <f>IFERROR(INDEX(PP_Grid[#Data],$DD912,12),0)</f>
        <v/>
      </c>
      <c r="O912">
        <f>IFERROR(INDEX(PP_Grid[#Data],$DD912,13),0)</f>
        <v/>
      </c>
      <c r="P912">
        <f>IFERROR(INDEX(PP_Grid[#Data],$DD912,14),0)</f>
        <v/>
      </c>
      <c r="Q912">
        <f>IFERROR(INDEX(PP_Grid[#Data],$DD912,15),0)</f>
        <v/>
      </c>
      <c r="R912">
        <f>IFERROR(INDEX(PP_Grid[#Data],$DD912,16),0)</f>
        <v/>
      </c>
      <c r="S912">
        <f>IFERROR(INDEX(PP_Grid[#Data],$DD912,17),0)</f>
        <v/>
      </c>
      <c r="T912">
        <f>IFERROR(INDEX(PP_Grid[#Data],$DD912,18),0)</f>
        <v/>
      </c>
      <c r="U912">
        <f>IFERROR(INDEX(PP_Grid[#Data],$DD912,19),0)</f>
        <v/>
      </c>
      <c r="V912">
        <f>IFERROR(INDEX(PP_Grid[#Data],$DD912,20),0)</f>
        <v/>
      </c>
      <c r="W912">
        <f>IFERROR(INDEX(PP_Grid[#Data],$DD912,21),0)</f>
        <v/>
      </c>
      <c r="X912">
        <f>IFERROR(INDEX(PP_Grid[#Data],$DD912,22),0)</f>
        <v/>
      </c>
      <c r="Y912">
        <f>IFERROR(INDEX(PP_Grid[#Data],$DD912,23),0)</f>
        <v/>
      </c>
      <c r="Z912">
        <f>IFERROR(INDEX(PP_Grid[#Data],$DD912,24),0)</f>
        <v/>
      </c>
      <c r="AA912">
        <f>IFERROR(INDEX(PP_Grid[#Data],$DD912,25),0)</f>
        <v/>
      </c>
      <c r="AB912">
        <f>IFERROR(INDEX(PP_Grid[#Data],$DD912,26),0)</f>
        <v/>
      </c>
      <c r="AC912">
        <f>IFERROR(INDEX(PP_Grid[#Data],$DD912,27),0)</f>
        <v/>
      </c>
      <c r="AD912">
        <f>IFERROR(INDEX(PP_Grid[#Data],$DD912,28),0)</f>
        <v/>
      </c>
      <c r="AE912">
        <f>IFERROR(INDEX(PP_Grid[#Data],$DD912,29),0)</f>
        <v/>
      </c>
      <c r="AF912">
        <f>IFERROR(INDEX(PP_Grid[#Data],$DD912,30),0)</f>
        <v/>
      </c>
      <c r="AG912">
        <f>IFERROR(INDEX(PP_Grid[#Data],$DD912,31),0)</f>
        <v/>
      </c>
      <c r="AH912">
        <f>IFERROR(INDEX(PP_Grid[#Data],$DD912,32),0)</f>
        <v/>
      </c>
      <c r="AI912">
        <f>IFERROR(INDEX(PP_Grid[#Data],$DD912,33),0)</f>
        <v/>
      </c>
      <c r="AJ912">
        <f>IFERROR(INDEX(PP_Grid[#Data],$DD912,34),0)</f>
        <v/>
      </c>
      <c r="AK912">
        <f>IFERROR(INDEX(PP_Grid[#Data],$DD912,35),0)</f>
        <v/>
      </c>
      <c r="AL912">
        <f>IFERROR(INDEX(PP_Grid[#Data],$DD912,36),0)</f>
        <v/>
      </c>
      <c r="AM912">
        <f>IFERROR(INDEX(PP_Grid[#Data],$DD912,37),0)</f>
        <v/>
      </c>
      <c r="AN912">
        <f>IFERROR(INDEX(PP_Grid[#Data],$DD912,38),0)</f>
        <v/>
      </c>
      <c r="AO912">
        <f>IFERROR(INDEX(PP_Grid[#Data],$DD912,39),0)</f>
        <v/>
      </c>
      <c r="AP912">
        <f>IFERROR(INDEX(PP_Grid[#Data],$DD912,40),0)</f>
        <v/>
      </c>
      <c r="AQ912">
        <f>IFERROR(INDEX(PP_Grid[#Data],$DD912,41),0)</f>
        <v/>
      </c>
      <c r="AR912">
        <f>IFERROR(INDEX(PP_Grid[#Data],$DD912,42),0)</f>
        <v/>
      </c>
      <c r="AS912">
        <f>IFERROR(INDEX(PP_Grid[#Data],$DD912,43),0)</f>
        <v/>
      </c>
      <c r="AT912">
        <f>IFERROR(INDEX(PP_Grid[#Data],$DD912,44),0)</f>
        <v/>
      </c>
      <c r="AU912">
        <f>IFERROR(INDEX(PP_Grid[#Data],$DD912,45),0)</f>
        <v/>
      </c>
      <c r="AV912">
        <f>IFERROR(INDEX(PP_Grid[#Data],$DD912,46),0)</f>
        <v/>
      </c>
      <c r="AW912">
        <f>IFERROR(INDEX(PP_Grid[#Data],$DD912,47),0)</f>
        <v/>
      </c>
      <c r="AX912">
        <f>IFERROR(INDEX(PP_Grid[#Data],$DD912,48),0)</f>
        <v/>
      </c>
      <c r="AY912">
        <f>IFERROR(INDEX(PP_Grid[#Data],$DD912,49),0)</f>
        <v/>
      </c>
      <c r="AZ912">
        <f>IFERROR(INDEX(PP_Grid[#Data],$DD912,50),0)</f>
        <v/>
      </c>
      <c r="BA912">
        <f>IFERROR(INDEX(PP_Grid[#Data],$DD912,51),0)</f>
        <v/>
      </c>
      <c r="BB912">
        <f>IFERROR(INDEX(PP_Grid[#Data],$DD912,52),0)</f>
        <v/>
      </c>
      <c r="BC912">
        <f>IFERROR(INDEX(PP_Grid[#Data],$DD912,53),0)</f>
        <v/>
      </c>
      <c r="BD912">
        <f>IFERROR(INDEX(PP_Grid[#Data],$DD912,54),0)</f>
        <v/>
      </c>
      <c r="BE912">
        <f>IFERROR(INDEX(PP_Grid[#Data],$DD912,55),0)</f>
        <v/>
      </c>
      <c r="BF912">
        <f>IFERROR(INDEX(PP_Grid[#Data],$DD912,56),0)</f>
        <v/>
      </c>
      <c r="BG912">
        <f>IFERROR(INDEX(PP_Grid[#Data],$DD912,57),0)</f>
        <v/>
      </c>
      <c r="BH912">
        <f>IFERROR(INDEX(PP_Grid[#Data],$DD912,58),0)</f>
        <v/>
      </c>
      <c r="BI912">
        <f>IFERROR(INDEX(PP_Grid[#Data],$DD912,59),0)</f>
        <v/>
      </c>
      <c r="BJ912">
        <f>IFERROR(INDEX(PP_Grid[#Data],$DD912,60),0)</f>
        <v/>
      </c>
      <c r="BK912">
        <f>IFERROR(INDEX(PP_Grid[#Data],$DD912,61),0)</f>
        <v/>
      </c>
      <c r="BL912">
        <f>IFERROR(INDEX(PP_Grid[#Data],$DD912,62),0)</f>
        <v/>
      </c>
      <c r="BM912">
        <f>IFERROR(INDEX(PP_Grid[#Data],$DD912,63),0)</f>
        <v/>
      </c>
      <c r="BN912">
        <f>IFERROR(INDEX(PP_Grid[#Data],$DD912,64),0)</f>
        <v/>
      </c>
      <c r="BO912">
        <f>IFERROR(INDEX(PP_Grid[#Data],$DD912,65),0)</f>
        <v/>
      </c>
      <c r="BP912">
        <f>IFERROR(INDEX(PP_Grid[#Data],$DD912,66),0)</f>
        <v/>
      </c>
      <c r="BQ912">
        <f>IFERROR(INDEX(PP_Grid[#Data],$DD912,67),0)</f>
        <v/>
      </c>
      <c r="BR912">
        <f>IFERROR(INDEX(PP_Grid[#Data],$DD912,68),0)</f>
        <v/>
      </c>
      <c r="BS912">
        <f>IFERROR(INDEX(PP_Grid[#Data],$DD912,69),0)</f>
        <v/>
      </c>
      <c r="BT912">
        <f>IFERROR(INDEX(PP_Grid[#Data],$DD912,70),0)</f>
        <v/>
      </c>
      <c r="BU912">
        <f>IFERROR(INDEX(PP_Grid[#Data],$DD912,71),0)</f>
        <v/>
      </c>
      <c r="BV912">
        <f>IFERROR(INDEX(PP_Grid[#Data],$DD912,72),0)</f>
        <v/>
      </c>
      <c r="BW912">
        <f>IFERROR(INDEX(PP_Grid[#Data],$DD912,73),0)</f>
        <v/>
      </c>
      <c r="BX912">
        <f>IFERROR(INDEX(PP_Grid[#Data],$DD912,74),0)</f>
        <v/>
      </c>
      <c r="BY912">
        <f>IFERROR(INDEX(PP_Grid[#Data],$DD912,75),0)</f>
        <v/>
      </c>
      <c r="BZ912">
        <f>IFERROR(INDEX(PP_Grid[#Data],$DD912,76),0)</f>
        <v/>
      </c>
      <c r="CA912">
        <f>IFERROR(INDEX(PP_Grid[#Data],$DD912,77),0)</f>
        <v/>
      </c>
      <c r="CB912">
        <f>IFERROR(INDEX(PP_Grid[#Data],$DD912,78),0)</f>
        <v/>
      </c>
      <c r="CC912">
        <f>IFERROR(INDEX(PP_Grid[#Data],$DD912,79),0)</f>
        <v/>
      </c>
      <c r="CD912">
        <f>IFERROR(INDEX(PP_Grid[#Data],$DD912,80),0)</f>
        <v/>
      </c>
      <c r="CE912">
        <f>IFERROR(INDEX(PP_Grid[#Data],$DD912,81),0)</f>
        <v/>
      </c>
      <c r="CF912">
        <f>IFERROR(INDEX(PP_Grid[#Data],$DD912,82),0)</f>
        <v/>
      </c>
      <c r="CG912">
        <f>IFERROR(INDEX(PP_Grid[#Data],$DD912,83),0)</f>
        <v/>
      </c>
      <c r="CH912">
        <f>IFERROR(INDEX(PP_Grid[#Data],$DD912,84),0)</f>
        <v/>
      </c>
      <c r="CI912">
        <f>IFERROR(INDEX(PP_Grid[#Data],$DD912,85),0)</f>
        <v/>
      </c>
      <c r="CJ912">
        <f>IFERROR(INDEX(PP_Grid[#Data],$DD912,86),0)</f>
        <v/>
      </c>
      <c r="CK912">
        <f>IFERROR(INDEX(PP_Grid[#Data],$DD912,87),0)</f>
        <v/>
      </c>
      <c r="CL912">
        <f>IFERROR(INDEX(PP_Grid[#Data],$DD912,88),0)</f>
        <v/>
      </c>
      <c r="CM912">
        <f>IFERROR(INDEX(PP_Grid[#Data],$DD912,89),0)</f>
        <v/>
      </c>
      <c r="CN912">
        <f>IFERROR(INDEX(PP_Grid[#Data],$DD912,90),0)</f>
        <v/>
      </c>
      <c r="CO912">
        <f>IFERROR(INDEX(PP_Grid[#Data],$DD912,91),0)</f>
        <v/>
      </c>
      <c r="CP912">
        <f>IFERROR(INDEX(PP_Grid[#Data],$DD912,92),0)</f>
        <v/>
      </c>
      <c r="CQ912">
        <f>IFERROR(INDEX(PP_Grid[#Data],$DD912,93),0)</f>
        <v/>
      </c>
      <c r="CR912">
        <f>IFERROR(INDEX(PP_Grid[#Data],$DD912,94),0)</f>
        <v/>
      </c>
      <c r="CS912">
        <f>IFERROR(INDEX(PP_Grid[#Data],$DD912,95),0)</f>
        <v/>
      </c>
      <c r="CT912">
        <f>IFERROR(INDEX(PP_Grid[#Data],$DD912,96),0)</f>
        <v/>
      </c>
      <c r="CU912">
        <f>IFERROR(INDEX(PP_Grid[#Data],$DD912,97),0)</f>
        <v/>
      </c>
      <c r="CV912">
        <f>IFERROR(INDEX(PP_Grid[#Data],$DD912,98),0)</f>
        <v/>
      </c>
      <c r="CW912">
        <f>IFERROR(INDEX(PP_Grid[#Data],$DD912,99),0)</f>
        <v/>
      </c>
      <c r="CX912">
        <f>IFERROR(INDEX(PP_Grid[#Data],$DD912,100),0)</f>
        <v/>
      </c>
      <c r="CY912">
        <f>IFERROR(INDEX(PP_Grid[#Data],$DD912,101),0)</f>
        <v/>
      </c>
      <c r="CZ912">
        <f>IFERROR(INDEX(PP_Grid[#Data],$DD912,102),0)</f>
        <v/>
      </c>
      <c r="DA912">
        <f>IFERROR(INDEX(PP_Grid[#Data],$DD912,103),0)</f>
        <v/>
      </c>
      <c r="DB912">
        <f>IFERROR(INDEX(PP_Grid[#Data],$DD912,104),0)</f>
        <v/>
      </c>
      <c r="DC912">
        <f>IFERROR(INDEX(PP_Grid[#Data],$DD912,105),0)</f>
        <v/>
      </c>
      <c r="DD912" s="12">
        <f>IFERROR(MATCH($B912,PP_Grid[Intermediate],0),99999)</f>
        <v/>
      </c>
    </row>
    <row r="913">
      <c r="B913" t="inlineStr">
        <is>
          <t>使用量(kg)</t>
        </is>
      </c>
      <c r="C913">
        <f>SUMIFS(M_BOM[RM_Qty_Per_Batch],M_BOM[Intermediate],$B912,M_BOM[Part Name],$A909)</f>
        <v/>
      </c>
      <c r="D913">
        <f>$C913*D912</f>
        <v/>
      </c>
      <c r="E913">
        <f>$C913*E912</f>
        <v/>
      </c>
      <c r="F913">
        <f>$C913*F912</f>
        <v/>
      </c>
      <c r="G913">
        <f>$C913*G912</f>
        <v/>
      </c>
      <c r="H913">
        <f>$C913*H912</f>
        <v/>
      </c>
      <c r="I913">
        <f>$C913*I912</f>
        <v/>
      </c>
      <c r="J913">
        <f>$C913*J912</f>
        <v/>
      </c>
      <c r="K913">
        <f>$C913*K912</f>
        <v/>
      </c>
      <c r="L913">
        <f>$C913*L912</f>
        <v/>
      </c>
      <c r="M913">
        <f>$C913*M912</f>
        <v/>
      </c>
      <c r="N913">
        <f>$C913*N912</f>
        <v/>
      </c>
      <c r="O913">
        <f>$C913*O912</f>
        <v/>
      </c>
      <c r="P913">
        <f>$C913*P912</f>
        <v/>
      </c>
      <c r="Q913">
        <f>$C913*Q912</f>
        <v/>
      </c>
      <c r="R913">
        <f>$C913*R912</f>
        <v/>
      </c>
      <c r="S913">
        <f>$C913*S912</f>
        <v/>
      </c>
      <c r="T913">
        <f>$C913*T912</f>
        <v/>
      </c>
      <c r="U913">
        <f>$C913*U912</f>
        <v/>
      </c>
      <c r="V913">
        <f>$C913*V912</f>
        <v/>
      </c>
      <c r="W913">
        <f>$C913*W912</f>
        <v/>
      </c>
      <c r="X913">
        <f>$C913*X912</f>
        <v/>
      </c>
      <c r="Y913">
        <f>$C913*Y912</f>
        <v/>
      </c>
      <c r="Z913">
        <f>$C913*Z912</f>
        <v/>
      </c>
      <c r="AA913">
        <f>$C913*AA912</f>
        <v/>
      </c>
      <c r="AB913">
        <f>$C913*AB912</f>
        <v/>
      </c>
      <c r="AC913">
        <f>$C913*AC912</f>
        <v/>
      </c>
      <c r="AD913">
        <f>$C913*AD912</f>
        <v/>
      </c>
      <c r="AE913">
        <f>$C913*AE912</f>
        <v/>
      </c>
      <c r="AF913">
        <f>$C913*AF912</f>
        <v/>
      </c>
      <c r="AG913">
        <f>$C913*AG912</f>
        <v/>
      </c>
      <c r="AH913">
        <f>$C913*AH912</f>
        <v/>
      </c>
      <c r="AI913">
        <f>$C913*AI912</f>
        <v/>
      </c>
      <c r="AJ913">
        <f>$C913*AJ912</f>
        <v/>
      </c>
      <c r="AK913">
        <f>$C913*AK912</f>
        <v/>
      </c>
      <c r="AL913">
        <f>$C913*AL912</f>
        <v/>
      </c>
      <c r="AM913">
        <f>$C913*AM912</f>
        <v/>
      </c>
      <c r="AN913">
        <f>$C913*AN912</f>
        <v/>
      </c>
      <c r="AO913">
        <f>$C913*AO912</f>
        <v/>
      </c>
      <c r="AP913">
        <f>$C913*AP912</f>
        <v/>
      </c>
      <c r="AQ913">
        <f>$C913*AQ912</f>
        <v/>
      </c>
      <c r="AR913">
        <f>$C913*AR912</f>
        <v/>
      </c>
      <c r="AS913">
        <f>$C913*AS912</f>
        <v/>
      </c>
      <c r="AT913">
        <f>$C913*AT912</f>
        <v/>
      </c>
      <c r="AU913">
        <f>$C913*AU912</f>
        <v/>
      </c>
      <c r="AV913">
        <f>$C913*AV912</f>
        <v/>
      </c>
      <c r="AW913">
        <f>$C913*AW912</f>
        <v/>
      </c>
      <c r="AX913">
        <f>$C913*AX912</f>
        <v/>
      </c>
      <c r="AY913">
        <f>$C913*AY912</f>
        <v/>
      </c>
      <c r="AZ913">
        <f>$C913*AZ912</f>
        <v/>
      </c>
      <c r="BA913">
        <f>$C913*BA912</f>
        <v/>
      </c>
      <c r="BB913">
        <f>$C913*BB912</f>
        <v/>
      </c>
      <c r="BC913">
        <f>$C913*BC912</f>
        <v/>
      </c>
      <c r="BD913">
        <f>$C913*BD912</f>
        <v/>
      </c>
      <c r="BE913">
        <f>$C913*BE912</f>
        <v/>
      </c>
      <c r="BF913">
        <f>$C913*BF912</f>
        <v/>
      </c>
      <c r="BG913">
        <f>$C913*BG912</f>
        <v/>
      </c>
      <c r="BH913">
        <f>$C913*BH912</f>
        <v/>
      </c>
      <c r="BI913">
        <f>$C913*BI912</f>
        <v/>
      </c>
      <c r="BJ913">
        <f>$C913*BJ912</f>
        <v/>
      </c>
      <c r="BK913">
        <f>$C913*BK912</f>
        <v/>
      </c>
      <c r="BL913">
        <f>$C913*BL912</f>
        <v/>
      </c>
      <c r="BM913">
        <f>$C913*BM912</f>
        <v/>
      </c>
      <c r="BN913">
        <f>$C913*BN912</f>
        <v/>
      </c>
      <c r="BO913">
        <f>$C913*BO912</f>
        <v/>
      </c>
      <c r="BP913">
        <f>$C913*BP912</f>
        <v/>
      </c>
      <c r="BQ913">
        <f>$C913*BQ912</f>
        <v/>
      </c>
      <c r="BR913">
        <f>$C913*BR912</f>
        <v/>
      </c>
      <c r="BS913">
        <f>$C913*BS912</f>
        <v/>
      </c>
      <c r="BT913">
        <f>$C913*BT912</f>
        <v/>
      </c>
      <c r="BU913">
        <f>$C913*BU912</f>
        <v/>
      </c>
      <c r="BV913">
        <f>$C913*BV912</f>
        <v/>
      </c>
      <c r="BW913">
        <f>$C913*BW912</f>
        <v/>
      </c>
      <c r="BX913">
        <f>$C913*BX912</f>
        <v/>
      </c>
      <c r="BY913">
        <f>$C913*BY912</f>
        <v/>
      </c>
      <c r="BZ913">
        <f>$C913*BZ912</f>
        <v/>
      </c>
      <c r="CA913">
        <f>$C913*CA912</f>
        <v/>
      </c>
      <c r="CB913">
        <f>$C913*CB912</f>
        <v/>
      </c>
      <c r="CC913">
        <f>$C913*CC912</f>
        <v/>
      </c>
      <c r="CD913">
        <f>$C913*CD912</f>
        <v/>
      </c>
      <c r="CE913">
        <f>$C913*CE912</f>
        <v/>
      </c>
      <c r="CF913">
        <f>$C913*CF912</f>
        <v/>
      </c>
      <c r="CG913">
        <f>$C913*CG912</f>
        <v/>
      </c>
      <c r="CH913">
        <f>$C913*CH912</f>
        <v/>
      </c>
      <c r="CI913">
        <f>$C913*CI912</f>
        <v/>
      </c>
      <c r="CJ913">
        <f>$C913*CJ912</f>
        <v/>
      </c>
      <c r="CK913">
        <f>$C913*CK912</f>
        <v/>
      </c>
      <c r="CL913">
        <f>$C913*CL912</f>
        <v/>
      </c>
      <c r="CM913">
        <f>$C913*CM912</f>
        <v/>
      </c>
      <c r="CN913">
        <f>$C913*CN912</f>
        <v/>
      </c>
      <c r="CO913">
        <f>$C913*CO912</f>
        <v/>
      </c>
      <c r="CP913">
        <f>$C913*CP912</f>
        <v/>
      </c>
      <c r="CQ913">
        <f>$C913*CQ912</f>
        <v/>
      </c>
      <c r="CR913">
        <f>$C913*CR912</f>
        <v/>
      </c>
      <c r="CS913">
        <f>$C913*CS912</f>
        <v/>
      </c>
      <c r="CT913">
        <f>$C913*CT912</f>
        <v/>
      </c>
      <c r="CU913">
        <f>$C913*CU912</f>
        <v/>
      </c>
      <c r="CV913">
        <f>$C913*CV912</f>
        <v/>
      </c>
      <c r="CW913">
        <f>$C913*CW912</f>
        <v/>
      </c>
      <c r="CX913">
        <f>$C913*CX912</f>
        <v/>
      </c>
      <c r="CY913">
        <f>$C913*CY912</f>
        <v/>
      </c>
      <c r="CZ913">
        <f>$C913*CZ912</f>
        <v/>
      </c>
      <c r="DA913">
        <f>$C913*DA912</f>
        <v/>
      </c>
      <c r="DB913">
        <f>$C913*DB912</f>
        <v/>
      </c>
      <c r="DC913">
        <f>$C913*DC912</f>
        <v/>
      </c>
    </row>
    <row r="914">
      <c r="B914" t="inlineStr">
        <is>
          <t>TPP-914</t>
        </is>
      </c>
      <c r="C914" t="inlineStr">
        <is>
          <t>No. of batches</t>
        </is>
      </c>
      <c r="D914">
        <f>IFERROR(INDEX(PP_Grid[#Data],$DD914,2),0)</f>
        <v/>
      </c>
      <c r="E914">
        <f>IFERROR(INDEX(PP_Grid[#Data],$DD914,3),0)</f>
        <v/>
      </c>
      <c r="F914">
        <f>IFERROR(INDEX(PP_Grid[#Data],$DD914,4),0)</f>
        <v/>
      </c>
      <c r="G914">
        <f>IFERROR(INDEX(PP_Grid[#Data],$DD914,5),0)</f>
        <v/>
      </c>
      <c r="H914">
        <f>IFERROR(INDEX(PP_Grid[#Data],$DD914,6),0)</f>
        <v/>
      </c>
      <c r="I914">
        <f>IFERROR(INDEX(PP_Grid[#Data],$DD914,7),0)</f>
        <v/>
      </c>
      <c r="J914">
        <f>IFERROR(INDEX(PP_Grid[#Data],$DD914,8),0)</f>
        <v/>
      </c>
      <c r="K914">
        <f>IFERROR(INDEX(PP_Grid[#Data],$DD914,9),0)</f>
        <v/>
      </c>
      <c r="L914">
        <f>IFERROR(INDEX(PP_Grid[#Data],$DD914,10),0)</f>
        <v/>
      </c>
      <c r="M914">
        <f>IFERROR(INDEX(PP_Grid[#Data],$DD914,11),0)</f>
        <v/>
      </c>
      <c r="N914">
        <f>IFERROR(INDEX(PP_Grid[#Data],$DD914,12),0)</f>
        <v/>
      </c>
      <c r="O914">
        <f>IFERROR(INDEX(PP_Grid[#Data],$DD914,13),0)</f>
        <v/>
      </c>
      <c r="P914">
        <f>IFERROR(INDEX(PP_Grid[#Data],$DD914,14),0)</f>
        <v/>
      </c>
      <c r="Q914">
        <f>IFERROR(INDEX(PP_Grid[#Data],$DD914,15),0)</f>
        <v/>
      </c>
      <c r="R914">
        <f>IFERROR(INDEX(PP_Grid[#Data],$DD914,16),0)</f>
        <v/>
      </c>
      <c r="S914">
        <f>IFERROR(INDEX(PP_Grid[#Data],$DD914,17),0)</f>
        <v/>
      </c>
      <c r="T914">
        <f>IFERROR(INDEX(PP_Grid[#Data],$DD914,18),0)</f>
        <v/>
      </c>
      <c r="U914">
        <f>IFERROR(INDEX(PP_Grid[#Data],$DD914,19),0)</f>
        <v/>
      </c>
      <c r="V914">
        <f>IFERROR(INDEX(PP_Grid[#Data],$DD914,20),0)</f>
        <v/>
      </c>
      <c r="W914">
        <f>IFERROR(INDEX(PP_Grid[#Data],$DD914,21),0)</f>
        <v/>
      </c>
      <c r="X914">
        <f>IFERROR(INDEX(PP_Grid[#Data],$DD914,22),0)</f>
        <v/>
      </c>
      <c r="Y914">
        <f>IFERROR(INDEX(PP_Grid[#Data],$DD914,23),0)</f>
        <v/>
      </c>
      <c r="Z914">
        <f>IFERROR(INDEX(PP_Grid[#Data],$DD914,24),0)</f>
        <v/>
      </c>
      <c r="AA914">
        <f>IFERROR(INDEX(PP_Grid[#Data],$DD914,25),0)</f>
        <v/>
      </c>
      <c r="AB914">
        <f>IFERROR(INDEX(PP_Grid[#Data],$DD914,26),0)</f>
        <v/>
      </c>
      <c r="AC914">
        <f>IFERROR(INDEX(PP_Grid[#Data],$DD914,27),0)</f>
        <v/>
      </c>
      <c r="AD914">
        <f>IFERROR(INDEX(PP_Grid[#Data],$DD914,28),0)</f>
        <v/>
      </c>
      <c r="AE914">
        <f>IFERROR(INDEX(PP_Grid[#Data],$DD914,29),0)</f>
        <v/>
      </c>
      <c r="AF914">
        <f>IFERROR(INDEX(PP_Grid[#Data],$DD914,30),0)</f>
        <v/>
      </c>
      <c r="AG914">
        <f>IFERROR(INDEX(PP_Grid[#Data],$DD914,31),0)</f>
        <v/>
      </c>
      <c r="AH914">
        <f>IFERROR(INDEX(PP_Grid[#Data],$DD914,32),0)</f>
        <v/>
      </c>
      <c r="AI914">
        <f>IFERROR(INDEX(PP_Grid[#Data],$DD914,33),0)</f>
        <v/>
      </c>
      <c r="AJ914">
        <f>IFERROR(INDEX(PP_Grid[#Data],$DD914,34),0)</f>
        <v/>
      </c>
      <c r="AK914">
        <f>IFERROR(INDEX(PP_Grid[#Data],$DD914,35),0)</f>
        <v/>
      </c>
      <c r="AL914">
        <f>IFERROR(INDEX(PP_Grid[#Data],$DD914,36),0)</f>
        <v/>
      </c>
      <c r="AM914">
        <f>IFERROR(INDEX(PP_Grid[#Data],$DD914,37),0)</f>
        <v/>
      </c>
      <c r="AN914">
        <f>IFERROR(INDEX(PP_Grid[#Data],$DD914,38),0)</f>
        <v/>
      </c>
      <c r="AO914">
        <f>IFERROR(INDEX(PP_Grid[#Data],$DD914,39),0)</f>
        <v/>
      </c>
      <c r="AP914">
        <f>IFERROR(INDEX(PP_Grid[#Data],$DD914,40),0)</f>
        <v/>
      </c>
      <c r="AQ914">
        <f>IFERROR(INDEX(PP_Grid[#Data],$DD914,41),0)</f>
        <v/>
      </c>
      <c r="AR914">
        <f>IFERROR(INDEX(PP_Grid[#Data],$DD914,42),0)</f>
        <v/>
      </c>
      <c r="AS914">
        <f>IFERROR(INDEX(PP_Grid[#Data],$DD914,43),0)</f>
        <v/>
      </c>
      <c r="AT914">
        <f>IFERROR(INDEX(PP_Grid[#Data],$DD914,44),0)</f>
        <v/>
      </c>
      <c r="AU914">
        <f>IFERROR(INDEX(PP_Grid[#Data],$DD914,45),0)</f>
        <v/>
      </c>
      <c r="AV914">
        <f>IFERROR(INDEX(PP_Grid[#Data],$DD914,46),0)</f>
        <v/>
      </c>
      <c r="AW914">
        <f>IFERROR(INDEX(PP_Grid[#Data],$DD914,47),0)</f>
        <v/>
      </c>
      <c r="AX914">
        <f>IFERROR(INDEX(PP_Grid[#Data],$DD914,48),0)</f>
        <v/>
      </c>
      <c r="AY914">
        <f>IFERROR(INDEX(PP_Grid[#Data],$DD914,49),0)</f>
        <v/>
      </c>
      <c r="AZ914">
        <f>IFERROR(INDEX(PP_Grid[#Data],$DD914,50),0)</f>
        <v/>
      </c>
      <c r="BA914">
        <f>IFERROR(INDEX(PP_Grid[#Data],$DD914,51),0)</f>
        <v/>
      </c>
      <c r="BB914">
        <f>IFERROR(INDEX(PP_Grid[#Data],$DD914,52),0)</f>
        <v/>
      </c>
      <c r="BC914">
        <f>IFERROR(INDEX(PP_Grid[#Data],$DD914,53),0)</f>
        <v/>
      </c>
      <c r="BD914">
        <f>IFERROR(INDEX(PP_Grid[#Data],$DD914,54),0)</f>
        <v/>
      </c>
      <c r="BE914">
        <f>IFERROR(INDEX(PP_Grid[#Data],$DD914,55),0)</f>
        <v/>
      </c>
      <c r="BF914">
        <f>IFERROR(INDEX(PP_Grid[#Data],$DD914,56),0)</f>
        <v/>
      </c>
      <c r="BG914">
        <f>IFERROR(INDEX(PP_Grid[#Data],$DD914,57),0)</f>
        <v/>
      </c>
      <c r="BH914">
        <f>IFERROR(INDEX(PP_Grid[#Data],$DD914,58),0)</f>
        <v/>
      </c>
      <c r="BI914">
        <f>IFERROR(INDEX(PP_Grid[#Data],$DD914,59),0)</f>
        <v/>
      </c>
      <c r="BJ914">
        <f>IFERROR(INDEX(PP_Grid[#Data],$DD914,60),0)</f>
        <v/>
      </c>
      <c r="BK914">
        <f>IFERROR(INDEX(PP_Grid[#Data],$DD914,61),0)</f>
        <v/>
      </c>
      <c r="BL914">
        <f>IFERROR(INDEX(PP_Grid[#Data],$DD914,62),0)</f>
        <v/>
      </c>
      <c r="BM914">
        <f>IFERROR(INDEX(PP_Grid[#Data],$DD914,63),0)</f>
        <v/>
      </c>
      <c r="BN914">
        <f>IFERROR(INDEX(PP_Grid[#Data],$DD914,64),0)</f>
        <v/>
      </c>
      <c r="BO914">
        <f>IFERROR(INDEX(PP_Grid[#Data],$DD914,65),0)</f>
        <v/>
      </c>
      <c r="BP914">
        <f>IFERROR(INDEX(PP_Grid[#Data],$DD914,66),0)</f>
        <v/>
      </c>
      <c r="BQ914">
        <f>IFERROR(INDEX(PP_Grid[#Data],$DD914,67),0)</f>
        <v/>
      </c>
      <c r="BR914">
        <f>IFERROR(INDEX(PP_Grid[#Data],$DD914,68),0)</f>
        <v/>
      </c>
      <c r="BS914">
        <f>IFERROR(INDEX(PP_Grid[#Data],$DD914,69),0)</f>
        <v/>
      </c>
      <c r="BT914">
        <f>IFERROR(INDEX(PP_Grid[#Data],$DD914,70),0)</f>
        <v/>
      </c>
      <c r="BU914">
        <f>IFERROR(INDEX(PP_Grid[#Data],$DD914,71),0)</f>
        <v/>
      </c>
      <c r="BV914">
        <f>IFERROR(INDEX(PP_Grid[#Data],$DD914,72),0)</f>
        <v/>
      </c>
      <c r="BW914">
        <f>IFERROR(INDEX(PP_Grid[#Data],$DD914,73),0)</f>
        <v/>
      </c>
      <c r="BX914">
        <f>IFERROR(INDEX(PP_Grid[#Data],$DD914,74),0)</f>
        <v/>
      </c>
      <c r="BY914">
        <f>IFERROR(INDEX(PP_Grid[#Data],$DD914,75),0)</f>
        <v/>
      </c>
      <c r="BZ914">
        <f>IFERROR(INDEX(PP_Grid[#Data],$DD914,76),0)</f>
        <v/>
      </c>
      <c r="CA914">
        <f>IFERROR(INDEX(PP_Grid[#Data],$DD914,77),0)</f>
        <v/>
      </c>
      <c r="CB914">
        <f>IFERROR(INDEX(PP_Grid[#Data],$DD914,78),0)</f>
        <v/>
      </c>
      <c r="CC914">
        <f>IFERROR(INDEX(PP_Grid[#Data],$DD914,79),0)</f>
        <v/>
      </c>
      <c r="CD914">
        <f>IFERROR(INDEX(PP_Grid[#Data],$DD914,80),0)</f>
        <v/>
      </c>
      <c r="CE914">
        <f>IFERROR(INDEX(PP_Grid[#Data],$DD914,81),0)</f>
        <v/>
      </c>
      <c r="CF914">
        <f>IFERROR(INDEX(PP_Grid[#Data],$DD914,82),0)</f>
        <v/>
      </c>
      <c r="CG914">
        <f>IFERROR(INDEX(PP_Grid[#Data],$DD914,83),0)</f>
        <v/>
      </c>
      <c r="CH914">
        <f>IFERROR(INDEX(PP_Grid[#Data],$DD914,84),0)</f>
        <v/>
      </c>
      <c r="CI914">
        <f>IFERROR(INDEX(PP_Grid[#Data],$DD914,85),0)</f>
        <v/>
      </c>
      <c r="CJ914">
        <f>IFERROR(INDEX(PP_Grid[#Data],$DD914,86),0)</f>
        <v/>
      </c>
      <c r="CK914">
        <f>IFERROR(INDEX(PP_Grid[#Data],$DD914,87),0)</f>
        <v/>
      </c>
      <c r="CL914">
        <f>IFERROR(INDEX(PP_Grid[#Data],$DD914,88),0)</f>
        <v/>
      </c>
      <c r="CM914">
        <f>IFERROR(INDEX(PP_Grid[#Data],$DD914,89),0)</f>
        <v/>
      </c>
      <c r="CN914">
        <f>IFERROR(INDEX(PP_Grid[#Data],$DD914,90),0)</f>
        <v/>
      </c>
      <c r="CO914">
        <f>IFERROR(INDEX(PP_Grid[#Data],$DD914,91),0)</f>
        <v/>
      </c>
      <c r="CP914">
        <f>IFERROR(INDEX(PP_Grid[#Data],$DD914,92),0)</f>
        <v/>
      </c>
      <c r="CQ914">
        <f>IFERROR(INDEX(PP_Grid[#Data],$DD914,93),0)</f>
        <v/>
      </c>
      <c r="CR914">
        <f>IFERROR(INDEX(PP_Grid[#Data],$DD914,94),0)</f>
        <v/>
      </c>
      <c r="CS914">
        <f>IFERROR(INDEX(PP_Grid[#Data],$DD914,95),0)</f>
        <v/>
      </c>
      <c r="CT914">
        <f>IFERROR(INDEX(PP_Grid[#Data],$DD914,96),0)</f>
        <v/>
      </c>
      <c r="CU914">
        <f>IFERROR(INDEX(PP_Grid[#Data],$DD914,97),0)</f>
        <v/>
      </c>
      <c r="CV914">
        <f>IFERROR(INDEX(PP_Grid[#Data],$DD914,98),0)</f>
        <v/>
      </c>
      <c r="CW914">
        <f>IFERROR(INDEX(PP_Grid[#Data],$DD914,99),0)</f>
        <v/>
      </c>
      <c r="CX914">
        <f>IFERROR(INDEX(PP_Grid[#Data],$DD914,100),0)</f>
        <v/>
      </c>
      <c r="CY914">
        <f>IFERROR(INDEX(PP_Grid[#Data],$DD914,101),0)</f>
        <v/>
      </c>
      <c r="CZ914">
        <f>IFERROR(INDEX(PP_Grid[#Data],$DD914,102),0)</f>
        <v/>
      </c>
      <c r="DA914">
        <f>IFERROR(INDEX(PP_Grid[#Data],$DD914,103),0)</f>
        <v/>
      </c>
      <c r="DB914">
        <f>IFERROR(INDEX(PP_Grid[#Data],$DD914,104),0)</f>
        <v/>
      </c>
      <c r="DC914">
        <f>IFERROR(INDEX(PP_Grid[#Data],$DD914,105),0)</f>
        <v/>
      </c>
      <c r="DD914" s="12">
        <f>IFERROR(MATCH($B914,PP_Grid[Intermediate],0),99999)</f>
        <v/>
      </c>
    </row>
    <row r="915">
      <c r="B915" t="inlineStr">
        <is>
          <t>使用量(kg)</t>
        </is>
      </c>
      <c r="C915">
        <f>SUMIFS(M_BOM[RM_Qty_Per_Batch],M_BOM[Intermediate],$B914,M_BOM[Part Name],$A909)</f>
        <v/>
      </c>
      <c r="D915">
        <f>$C915*D914</f>
        <v/>
      </c>
      <c r="E915">
        <f>$C915*E914</f>
        <v/>
      </c>
      <c r="F915">
        <f>$C915*F914</f>
        <v/>
      </c>
      <c r="G915">
        <f>$C915*G914</f>
        <v/>
      </c>
      <c r="H915">
        <f>$C915*H914</f>
        <v/>
      </c>
      <c r="I915">
        <f>$C915*I914</f>
        <v/>
      </c>
      <c r="J915">
        <f>$C915*J914</f>
        <v/>
      </c>
      <c r="K915">
        <f>$C915*K914</f>
        <v/>
      </c>
      <c r="L915">
        <f>$C915*L914</f>
        <v/>
      </c>
      <c r="M915">
        <f>$C915*M914</f>
        <v/>
      </c>
      <c r="N915">
        <f>$C915*N914</f>
        <v/>
      </c>
      <c r="O915">
        <f>$C915*O914</f>
        <v/>
      </c>
      <c r="P915">
        <f>$C915*P914</f>
        <v/>
      </c>
      <c r="Q915">
        <f>$C915*Q914</f>
        <v/>
      </c>
      <c r="R915">
        <f>$C915*R914</f>
        <v/>
      </c>
      <c r="S915">
        <f>$C915*S914</f>
        <v/>
      </c>
      <c r="T915">
        <f>$C915*T914</f>
        <v/>
      </c>
      <c r="U915">
        <f>$C915*U914</f>
        <v/>
      </c>
      <c r="V915">
        <f>$C915*V914</f>
        <v/>
      </c>
      <c r="W915">
        <f>$C915*W914</f>
        <v/>
      </c>
      <c r="X915">
        <f>$C915*X914</f>
        <v/>
      </c>
      <c r="Y915">
        <f>$C915*Y914</f>
        <v/>
      </c>
      <c r="Z915">
        <f>$C915*Z914</f>
        <v/>
      </c>
      <c r="AA915">
        <f>$C915*AA914</f>
        <v/>
      </c>
      <c r="AB915">
        <f>$C915*AB914</f>
        <v/>
      </c>
      <c r="AC915">
        <f>$C915*AC914</f>
        <v/>
      </c>
      <c r="AD915">
        <f>$C915*AD914</f>
        <v/>
      </c>
      <c r="AE915">
        <f>$C915*AE914</f>
        <v/>
      </c>
      <c r="AF915">
        <f>$C915*AF914</f>
        <v/>
      </c>
      <c r="AG915">
        <f>$C915*AG914</f>
        <v/>
      </c>
      <c r="AH915">
        <f>$C915*AH914</f>
        <v/>
      </c>
      <c r="AI915">
        <f>$C915*AI914</f>
        <v/>
      </c>
      <c r="AJ915">
        <f>$C915*AJ914</f>
        <v/>
      </c>
      <c r="AK915">
        <f>$C915*AK914</f>
        <v/>
      </c>
      <c r="AL915">
        <f>$C915*AL914</f>
        <v/>
      </c>
      <c r="AM915">
        <f>$C915*AM914</f>
        <v/>
      </c>
      <c r="AN915">
        <f>$C915*AN914</f>
        <v/>
      </c>
      <c r="AO915">
        <f>$C915*AO914</f>
        <v/>
      </c>
      <c r="AP915">
        <f>$C915*AP914</f>
        <v/>
      </c>
      <c r="AQ915">
        <f>$C915*AQ914</f>
        <v/>
      </c>
      <c r="AR915">
        <f>$C915*AR914</f>
        <v/>
      </c>
      <c r="AS915">
        <f>$C915*AS914</f>
        <v/>
      </c>
      <c r="AT915">
        <f>$C915*AT914</f>
        <v/>
      </c>
      <c r="AU915">
        <f>$C915*AU914</f>
        <v/>
      </c>
      <c r="AV915">
        <f>$C915*AV914</f>
        <v/>
      </c>
      <c r="AW915">
        <f>$C915*AW914</f>
        <v/>
      </c>
      <c r="AX915">
        <f>$C915*AX914</f>
        <v/>
      </c>
      <c r="AY915">
        <f>$C915*AY914</f>
        <v/>
      </c>
      <c r="AZ915">
        <f>$C915*AZ914</f>
        <v/>
      </c>
      <c r="BA915">
        <f>$C915*BA914</f>
        <v/>
      </c>
      <c r="BB915">
        <f>$C915*BB914</f>
        <v/>
      </c>
      <c r="BC915">
        <f>$C915*BC914</f>
        <v/>
      </c>
      <c r="BD915">
        <f>$C915*BD914</f>
        <v/>
      </c>
      <c r="BE915">
        <f>$C915*BE914</f>
        <v/>
      </c>
      <c r="BF915">
        <f>$C915*BF914</f>
        <v/>
      </c>
      <c r="BG915">
        <f>$C915*BG914</f>
        <v/>
      </c>
      <c r="BH915">
        <f>$C915*BH914</f>
        <v/>
      </c>
      <c r="BI915">
        <f>$C915*BI914</f>
        <v/>
      </c>
      <c r="BJ915">
        <f>$C915*BJ914</f>
        <v/>
      </c>
      <c r="BK915">
        <f>$C915*BK914</f>
        <v/>
      </c>
      <c r="BL915">
        <f>$C915*BL914</f>
        <v/>
      </c>
      <c r="BM915">
        <f>$C915*BM914</f>
        <v/>
      </c>
      <c r="BN915">
        <f>$C915*BN914</f>
        <v/>
      </c>
      <c r="BO915">
        <f>$C915*BO914</f>
        <v/>
      </c>
      <c r="BP915">
        <f>$C915*BP914</f>
        <v/>
      </c>
      <c r="BQ915">
        <f>$C915*BQ914</f>
        <v/>
      </c>
      <c r="BR915">
        <f>$C915*BR914</f>
        <v/>
      </c>
      <c r="BS915">
        <f>$C915*BS914</f>
        <v/>
      </c>
      <c r="BT915">
        <f>$C915*BT914</f>
        <v/>
      </c>
      <c r="BU915">
        <f>$C915*BU914</f>
        <v/>
      </c>
      <c r="BV915">
        <f>$C915*BV914</f>
        <v/>
      </c>
      <c r="BW915">
        <f>$C915*BW914</f>
        <v/>
      </c>
      <c r="BX915">
        <f>$C915*BX914</f>
        <v/>
      </c>
      <c r="BY915">
        <f>$C915*BY914</f>
        <v/>
      </c>
      <c r="BZ915">
        <f>$C915*BZ914</f>
        <v/>
      </c>
      <c r="CA915">
        <f>$C915*CA914</f>
        <v/>
      </c>
      <c r="CB915">
        <f>$C915*CB914</f>
        <v/>
      </c>
      <c r="CC915">
        <f>$C915*CC914</f>
        <v/>
      </c>
      <c r="CD915">
        <f>$C915*CD914</f>
        <v/>
      </c>
      <c r="CE915">
        <f>$C915*CE914</f>
        <v/>
      </c>
      <c r="CF915">
        <f>$C915*CF914</f>
        <v/>
      </c>
      <c r="CG915">
        <f>$C915*CG914</f>
        <v/>
      </c>
      <c r="CH915">
        <f>$C915*CH914</f>
        <v/>
      </c>
      <c r="CI915">
        <f>$C915*CI914</f>
        <v/>
      </c>
      <c r="CJ915">
        <f>$C915*CJ914</f>
        <v/>
      </c>
      <c r="CK915">
        <f>$C915*CK914</f>
        <v/>
      </c>
      <c r="CL915">
        <f>$C915*CL914</f>
        <v/>
      </c>
      <c r="CM915">
        <f>$C915*CM914</f>
        <v/>
      </c>
      <c r="CN915">
        <f>$C915*CN914</f>
        <v/>
      </c>
      <c r="CO915">
        <f>$C915*CO914</f>
        <v/>
      </c>
      <c r="CP915">
        <f>$C915*CP914</f>
        <v/>
      </c>
      <c r="CQ915">
        <f>$C915*CQ914</f>
        <v/>
      </c>
      <c r="CR915">
        <f>$C915*CR914</f>
        <v/>
      </c>
      <c r="CS915">
        <f>$C915*CS914</f>
        <v/>
      </c>
      <c r="CT915">
        <f>$C915*CT914</f>
        <v/>
      </c>
      <c r="CU915">
        <f>$C915*CU914</f>
        <v/>
      </c>
      <c r="CV915">
        <f>$C915*CV914</f>
        <v/>
      </c>
      <c r="CW915">
        <f>$C915*CW914</f>
        <v/>
      </c>
      <c r="CX915">
        <f>$C915*CX914</f>
        <v/>
      </c>
      <c r="CY915">
        <f>$C915*CY914</f>
        <v/>
      </c>
      <c r="CZ915">
        <f>$C915*CZ914</f>
        <v/>
      </c>
      <c r="DA915">
        <f>$C915*DA914</f>
        <v/>
      </c>
      <c r="DB915">
        <f>$C915*DB914</f>
        <v/>
      </c>
      <c r="DC915">
        <f>$C915*DC914</f>
        <v/>
      </c>
    </row>
    <row r="916">
      <c r="B916" t="inlineStr">
        <is>
          <t>TPP-915</t>
        </is>
      </c>
      <c r="C916" t="inlineStr">
        <is>
          <t>No. of batches</t>
        </is>
      </c>
      <c r="D916">
        <f>IFERROR(INDEX(PP_Grid[#Data],$DD916,2),0)</f>
        <v/>
      </c>
      <c r="E916">
        <f>IFERROR(INDEX(PP_Grid[#Data],$DD916,3),0)</f>
        <v/>
      </c>
      <c r="F916">
        <f>IFERROR(INDEX(PP_Grid[#Data],$DD916,4),0)</f>
        <v/>
      </c>
      <c r="G916">
        <f>IFERROR(INDEX(PP_Grid[#Data],$DD916,5),0)</f>
        <v/>
      </c>
      <c r="H916">
        <f>IFERROR(INDEX(PP_Grid[#Data],$DD916,6),0)</f>
        <v/>
      </c>
      <c r="I916">
        <f>IFERROR(INDEX(PP_Grid[#Data],$DD916,7),0)</f>
        <v/>
      </c>
      <c r="J916">
        <f>IFERROR(INDEX(PP_Grid[#Data],$DD916,8),0)</f>
        <v/>
      </c>
      <c r="K916">
        <f>IFERROR(INDEX(PP_Grid[#Data],$DD916,9),0)</f>
        <v/>
      </c>
      <c r="L916">
        <f>IFERROR(INDEX(PP_Grid[#Data],$DD916,10),0)</f>
        <v/>
      </c>
      <c r="M916">
        <f>IFERROR(INDEX(PP_Grid[#Data],$DD916,11),0)</f>
        <v/>
      </c>
      <c r="N916">
        <f>IFERROR(INDEX(PP_Grid[#Data],$DD916,12),0)</f>
        <v/>
      </c>
      <c r="O916">
        <f>IFERROR(INDEX(PP_Grid[#Data],$DD916,13),0)</f>
        <v/>
      </c>
      <c r="P916">
        <f>IFERROR(INDEX(PP_Grid[#Data],$DD916,14),0)</f>
        <v/>
      </c>
      <c r="Q916">
        <f>IFERROR(INDEX(PP_Grid[#Data],$DD916,15),0)</f>
        <v/>
      </c>
      <c r="R916">
        <f>IFERROR(INDEX(PP_Grid[#Data],$DD916,16),0)</f>
        <v/>
      </c>
      <c r="S916">
        <f>IFERROR(INDEX(PP_Grid[#Data],$DD916,17),0)</f>
        <v/>
      </c>
      <c r="T916">
        <f>IFERROR(INDEX(PP_Grid[#Data],$DD916,18),0)</f>
        <v/>
      </c>
      <c r="U916">
        <f>IFERROR(INDEX(PP_Grid[#Data],$DD916,19),0)</f>
        <v/>
      </c>
      <c r="V916">
        <f>IFERROR(INDEX(PP_Grid[#Data],$DD916,20),0)</f>
        <v/>
      </c>
      <c r="W916">
        <f>IFERROR(INDEX(PP_Grid[#Data],$DD916,21),0)</f>
        <v/>
      </c>
      <c r="X916">
        <f>IFERROR(INDEX(PP_Grid[#Data],$DD916,22),0)</f>
        <v/>
      </c>
      <c r="Y916">
        <f>IFERROR(INDEX(PP_Grid[#Data],$DD916,23),0)</f>
        <v/>
      </c>
      <c r="Z916">
        <f>IFERROR(INDEX(PP_Grid[#Data],$DD916,24),0)</f>
        <v/>
      </c>
      <c r="AA916">
        <f>IFERROR(INDEX(PP_Grid[#Data],$DD916,25),0)</f>
        <v/>
      </c>
      <c r="AB916">
        <f>IFERROR(INDEX(PP_Grid[#Data],$DD916,26),0)</f>
        <v/>
      </c>
      <c r="AC916">
        <f>IFERROR(INDEX(PP_Grid[#Data],$DD916,27),0)</f>
        <v/>
      </c>
      <c r="AD916">
        <f>IFERROR(INDEX(PP_Grid[#Data],$DD916,28),0)</f>
        <v/>
      </c>
      <c r="AE916">
        <f>IFERROR(INDEX(PP_Grid[#Data],$DD916,29),0)</f>
        <v/>
      </c>
      <c r="AF916">
        <f>IFERROR(INDEX(PP_Grid[#Data],$DD916,30),0)</f>
        <v/>
      </c>
      <c r="AG916">
        <f>IFERROR(INDEX(PP_Grid[#Data],$DD916,31),0)</f>
        <v/>
      </c>
      <c r="AH916">
        <f>IFERROR(INDEX(PP_Grid[#Data],$DD916,32),0)</f>
        <v/>
      </c>
      <c r="AI916">
        <f>IFERROR(INDEX(PP_Grid[#Data],$DD916,33),0)</f>
        <v/>
      </c>
      <c r="AJ916">
        <f>IFERROR(INDEX(PP_Grid[#Data],$DD916,34),0)</f>
        <v/>
      </c>
      <c r="AK916">
        <f>IFERROR(INDEX(PP_Grid[#Data],$DD916,35),0)</f>
        <v/>
      </c>
      <c r="AL916">
        <f>IFERROR(INDEX(PP_Grid[#Data],$DD916,36),0)</f>
        <v/>
      </c>
      <c r="AM916">
        <f>IFERROR(INDEX(PP_Grid[#Data],$DD916,37),0)</f>
        <v/>
      </c>
      <c r="AN916">
        <f>IFERROR(INDEX(PP_Grid[#Data],$DD916,38),0)</f>
        <v/>
      </c>
      <c r="AO916">
        <f>IFERROR(INDEX(PP_Grid[#Data],$DD916,39),0)</f>
        <v/>
      </c>
      <c r="AP916">
        <f>IFERROR(INDEX(PP_Grid[#Data],$DD916,40),0)</f>
        <v/>
      </c>
      <c r="AQ916">
        <f>IFERROR(INDEX(PP_Grid[#Data],$DD916,41),0)</f>
        <v/>
      </c>
      <c r="AR916">
        <f>IFERROR(INDEX(PP_Grid[#Data],$DD916,42),0)</f>
        <v/>
      </c>
      <c r="AS916">
        <f>IFERROR(INDEX(PP_Grid[#Data],$DD916,43),0)</f>
        <v/>
      </c>
      <c r="AT916">
        <f>IFERROR(INDEX(PP_Grid[#Data],$DD916,44),0)</f>
        <v/>
      </c>
      <c r="AU916">
        <f>IFERROR(INDEX(PP_Grid[#Data],$DD916,45),0)</f>
        <v/>
      </c>
      <c r="AV916">
        <f>IFERROR(INDEX(PP_Grid[#Data],$DD916,46),0)</f>
        <v/>
      </c>
      <c r="AW916">
        <f>IFERROR(INDEX(PP_Grid[#Data],$DD916,47),0)</f>
        <v/>
      </c>
      <c r="AX916">
        <f>IFERROR(INDEX(PP_Grid[#Data],$DD916,48),0)</f>
        <v/>
      </c>
      <c r="AY916">
        <f>IFERROR(INDEX(PP_Grid[#Data],$DD916,49),0)</f>
        <v/>
      </c>
      <c r="AZ916">
        <f>IFERROR(INDEX(PP_Grid[#Data],$DD916,50),0)</f>
        <v/>
      </c>
      <c r="BA916">
        <f>IFERROR(INDEX(PP_Grid[#Data],$DD916,51),0)</f>
        <v/>
      </c>
      <c r="BB916">
        <f>IFERROR(INDEX(PP_Grid[#Data],$DD916,52),0)</f>
        <v/>
      </c>
      <c r="BC916">
        <f>IFERROR(INDEX(PP_Grid[#Data],$DD916,53),0)</f>
        <v/>
      </c>
      <c r="BD916">
        <f>IFERROR(INDEX(PP_Grid[#Data],$DD916,54),0)</f>
        <v/>
      </c>
      <c r="BE916">
        <f>IFERROR(INDEX(PP_Grid[#Data],$DD916,55),0)</f>
        <v/>
      </c>
      <c r="BF916">
        <f>IFERROR(INDEX(PP_Grid[#Data],$DD916,56),0)</f>
        <v/>
      </c>
      <c r="BG916">
        <f>IFERROR(INDEX(PP_Grid[#Data],$DD916,57),0)</f>
        <v/>
      </c>
      <c r="BH916">
        <f>IFERROR(INDEX(PP_Grid[#Data],$DD916,58),0)</f>
        <v/>
      </c>
      <c r="BI916">
        <f>IFERROR(INDEX(PP_Grid[#Data],$DD916,59),0)</f>
        <v/>
      </c>
      <c r="BJ916">
        <f>IFERROR(INDEX(PP_Grid[#Data],$DD916,60),0)</f>
        <v/>
      </c>
      <c r="BK916">
        <f>IFERROR(INDEX(PP_Grid[#Data],$DD916,61),0)</f>
        <v/>
      </c>
      <c r="BL916">
        <f>IFERROR(INDEX(PP_Grid[#Data],$DD916,62),0)</f>
        <v/>
      </c>
      <c r="BM916">
        <f>IFERROR(INDEX(PP_Grid[#Data],$DD916,63),0)</f>
        <v/>
      </c>
      <c r="BN916">
        <f>IFERROR(INDEX(PP_Grid[#Data],$DD916,64),0)</f>
        <v/>
      </c>
      <c r="BO916">
        <f>IFERROR(INDEX(PP_Grid[#Data],$DD916,65),0)</f>
        <v/>
      </c>
      <c r="BP916">
        <f>IFERROR(INDEX(PP_Grid[#Data],$DD916,66),0)</f>
        <v/>
      </c>
      <c r="BQ916">
        <f>IFERROR(INDEX(PP_Grid[#Data],$DD916,67),0)</f>
        <v/>
      </c>
      <c r="BR916">
        <f>IFERROR(INDEX(PP_Grid[#Data],$DD916,68),0)</f>
        <v/>
      </c>
      <c r="BS916">
        <f>IFERROR(INDEX(PP_Grid[#Data],$DD916,69),0)</f>
        <v/>
      </c>
      <c r="BT916">
        <f>IFERROR(INDEX(PP_Grid[#Data],$DD916,70),0)</f>
        <v/>
      </c>
      <c r="BU916">
        <f>IFERROR(INDEX(PP_Grid[#Data],$DD916,71),0)</f>
        <v/>
      </c>
      <c r="BV916">
        <f>IFERROR(INDEX(PP_Grid[#Data],$DD916,72),0)</f>
        <v/>
      </c>
      <c r="BW916">
        <f>IFERROR(INDEX(PP_Grid[#Data],$DD916,73),0)</f>
        <v/>
      </c>
      <c r="BX916">
        <f>IFERROR(INDEX(PP_Grid[#Data],$DD916,74),0)</f>
        <v/>
      </c>
      <c r="BY916">
        <f>IFERROR(INDEX(PP_Grid[#Data],$DD916,75),0)</f>
        <v/>
      </c>
      <c r="BZ916">
        <f>IFERROR(INDEX(PP_Grid[#Data],$DD916,76),0)</f>
        <v/>
      </c>
      <c r="CA916">
        <f>IFERROR(INDEX(PP_Grid[#Data],$DD916,77),0)</f>
        <v/>
      </c>
      <c r="CB916">
        <f>IFERROR(INDEX(PP_Grid[#Data],$DD916,78),0)</f>
        <v/>
      </c>
      <c r="CC916">
        <f>IFERROR(INDEX(PP_Grid[#Data],$DD916,79),0)</f>
        <v/>
      </c>
      <c r="CD916">
        <f>IFERROR(INDEX(PP_Grid[#Data],$DD916,80),0)</f>
        <v/>
      </c>
      <c r="CE916">
        <f>IFERROR(INDEX(PP_Grid[#Data],$DD916,81),0)</f>
        <v/>
      </c>
      <c r="CF916">
        <f>IFERROR(INDEX(PP_Grid[#Data],$DD916,82),0)</f>
        <v/>
      </c>
      <c r="CG916">
        <f>IFERROR(INDEX(PP_Grid[#Data],$DD916,83),0)</f>
        <v/>
      </c>
      <c r="CH916">
        <f>IFERROR(INDEX(PP_Grid[#Data],$DD916,84),0)</f>
        <v/>
      </c>
      <c r="CI916">
        <f>IFERROR(INDEX(PP_Grid[#Data],$DD916,85),0)</f>
        <v/>
      </c>
      <c r="CJ916">
        <f>IFERROR(INDEX(PP_Grid[#Data],$DD916,86),0)</f>
        <v/>
      </c>
      <c r="CK916">
        <f>IFERROR(INDEX(PP_Grid[#Data],$DD916,87),0)</f>
        <v/>
      </c>
      <c r="CL916">
        <f>IFERROR(INDEX(PP_Grid[#Data],$DD916,88),0)</f>
        <v/>
      </c>
      <c r="CM916">
        <f>IFERROR(INDEX(PP_Grid[#Data],$DD916,89),0)</f>
        <v/>
      </c>
      <c r="CN916">
        <f>IFERROR(INDEX(PP_Grid[#Data],$DD916,90),0)</f>
        <v/>
      </c>
      <c r="CO916">
        <f>IFERROR(INDEX(PP_Grid[#Data],$DD916,91),0)</f>
        <v/>
      </c>
      <c r="CP916">
        <f>IFERROR(INDEX(PP_Grid[#Data],$DD916,92),0)</f>
        <v/>
      </c>
      <c r="CQ916">
        <f>IFERROR(INDEX(PP_Grid[#Data],$DD916,93),0)</f>
        <v/>
      </c>
      <c r="CR916">
        <f>IFERROR(INDEX(PP_Grid[#Data],$DD916,94),0)</f>
        <v/>
      </c>
      <c r="CS916">
        <f>IFERROR(INDEX(PP_Grid[#Data],$DD916,95),0)</f>
        <v/>
      </c>
      <c r="CT916">
        <f>IFERROR(INDEX(PP_Grid[#Data],$DD916,96),0)</f>
        <v/>
      </c>
      <c r="CU916">
        <f>IFERROR(INDEX(PP_Grid[#Data],$DD916,97),0)</f>
        <v/>
      </c>
      <c r="CV916">
        <f>IFERROR(INDEX(PP_Grid[#Data],$DD916,98),0)</f>
        <v/>
      </c>
      <c r="CW916">
        <f>IFERROR(INDEX(PP_Grid[#Data],$DD916,99),0)</f>
        <v/>
      </c>
      <c r="CX916">
        <f>IFERROR(INDEX(PP_Grid[#Data],$DD916,100),0)</f>
        <v/>
      </c>
      <c r="CY916">
        <f>IFERROR(INDEX(PP_Grid[#Data],$DD916,101),0)</f>
        <v/>
      </c>
      <c r="CZ916">
        <f>IFERROR(INDEX(PP_Grid[#Data],$DD916,102),0)</f>
        <v/>
      </c>
      <c r="DA916">
        <f>IFERROR(INDEX(PP_Grid[#Data],$DD916,103),0)</f>
        <v/>
      </c>
      <c r="DB916">
        <f>IFERROR(INDEX(PP_Grid[#Data],$DD916,104),0)</f>
        <v/>
      </c>
      <c r="DC916">
        <f>IFERROR(INDEX(PP_Grid[#Data],$DD916,105),0)</f>
        <v/>
      </c>
      <c r="DD916" s="12">
        <f>IFERROR(MATCH($B916,PP_Grid[Intermediate],0),99999)</f>
        <v/>
      </c>
    </row>
    <row r="917">
      <c r="B917" t="inlineStr">
        <is>
          <t>使用量(kg)</t>
        </is>
      </c>
      <c r="C917">
        <f>SUMIFS(M_BOM[RM_Qty_Per_Batch],M_BOM[Intermediate],$B916,M_BOM[Part Name],$A909)</f>
        <v/>
      </c>
      <c r="D917">
        <f>$C917*D916</f>
        <v/>
      </c>
      <c r="E917">
        <f>$C917*E916</f>
        <v/>
      </c>
      <c r="F917">
        <f>$C917*F916</f>
        <v/>
      </c>
      <c r="G917">
        <f>$C917*G916</f>
        <v/>
      </c>
      <c r="H917">
        <f>$C917*H916</f>
        <v/>
      </c>
      <c r="I917">
        <f>$C917*I916</f>
        <v/>
      </c>
      <c r="J917">
        <f>$C917*J916</f>
        <v/>
      </c>
      <c r="K917">
        <f>$C917*K916</f>
        <v/>
      </c>
      <c r="L917">
        <f>$C917*L916</f>
        <v/>
      </c>
      <c r="M917">
        <f>$C917*M916</f>
        <v/>
      </c>
      <c r="N917">
        <f>$C917*N916</f>
        <v/>
      </c>
      <c r="O917">
        <f>$C917*O916</f>
        <v/>
      </c>
      <c r="P917">
        <f>$C917*P916</f>
        <v/>
      </c>
      <c r="Q917">
        <f>$C917*Q916</f>
        <v/>
      </c>
      <c r="R917">
        <f>$C917*R916</f>
        <v/>
      </c>
      <c r="S917">
        <f>$C917*S916</f>
        <v/>
      </c>
      <c r="T917">
        <f>$C917*T916</f>
        <v/>
      </c>
      <c r="U917">
        <f>$C917*U916</f>
        <v/>
      </c>
      <c r="V917">
        <f>$C917*V916</f>
        <v/>
      </c>
      <c r="W917">
        <f>$C917*W916</f>
        <v/>
      </c>
      <c r="X917">
        <f>$C917*X916</f>
        <v/>
      </c>
      <c r="Y917">
        <f>$C917*Y916</f>
        <v/>
      </c>
      <c r="Z917">
        <f>$C917*Z916</f>
        <v/>
      </c>
      <c r="AA917">
        <f>$C917*AA916</f>
        <v/>
      </c>
      <c r="AB917">
        <f>$C917*AB916</f>
        <v/>
      </c>
      <c r="AC917">
        <f>$C917*AC916</f>
        <v/>
      </c>
      <c r="AD917">
        <f>$C917*AD916</f>
        <v/>
      </c>
      <c r="AE917">
        <f>$C917*AE916</f>
        <v/>
      </c>
      <c r="AF917">
        <f>$C917*AF916</f>
        <v/>
      </c>
      <c r="AG917">
        <f>$C917*AG916</f>
        <v/>
      </c>
      <c r="AH917">
        <f>$C917*AH916</f>
        <v/>
      </c>
      <c r="AI917">
        <f>$C917*AI916</f>
        <v/>
      </c>
      <c r="AJ917">
        <f>$C917*AJ916</f>
        <v/>
      </c>
      <c r="AK917">
        <f>$C917*AK916</f>
        <v/>
      </c>
      <c r="AL917">
        <f>$C917*AL916</f>
        <v/>
      </c>
      <c r="AM917">
        <f>$C917*AM916</f>
        <v/>
      </c>
      <c r="AN917">
        <f>$C917*AN916</f>
        <v/>
      </c>
      <c r="AO917">
        <f>$C917*AO916</f>
        <v/>
      </c>
      <c r="AP917">
        <f>$C917*AP916</f>
        <v/>
      </c>
      <c r="AQ917">
        <f>$C917*AQ916</f>
        <v/>
      </c>
      <c r="AR917">
        <f>$C917*AR916</f>
        <v/>
      </c>
      <c r="AS917">
        <f>$C917*AS916</f>
        <v/>
      </c>
      <c r="AT917">
        <f>$C917*AT916</f>
        <v/>
      </c>
      <c r="AU917">
        <f>$C917*AU916</f>
        <v/>
      </c>
      <c r="AV917">
        <f>$C917*AV916</f>
        <v/>
      </c>
      <c r="AW917">
        <f>$C917*AW916</f>
        <v/>
      </c>
      <c r="AX917">
        <f>$C917*AX916</f>
        <v/>
      </c>
      <c r="AY917">
        <f>$C917*AY916</f>
        <v/>
      </c>
      <c r="AZ917">
        <f>$C917*AZ916</f>
        <v/>
      </c>
      <c r="BA917">
        <f>$C917*BA916</f>
        <v/>
      </c>
      <c r="BB917">
        <f>$C917*BB916</f>
        <v/>
      </c>
      <c r="BC917">
        <f>$C917*BC916</f>
        <v/>
      </c>
      <c r="BD917">
        <f>$C917*BD916</f>
        <v/>
      </c>
      <c r="BE917">
        <f>$C917*BE916</f>
        <v/>
      </c>
      <c r="BF917">
        <f>$C917*BF916</f>
        <v/>
      </c>
      <c r="BG917">
        <f>$C917*BG916</f>
        <v/>
      </c>
      <c r="BH917">
        <f>$C917*BH916</f>
        <v/>
      </c>
      <c r="BI917">
        <f>$C917*BI916</f>
        <v/>
      </c>
      <c r="BJ917">
        <f>$C917*BJ916</f>
        <v/>
      </c>
      <c r="BK917">
        <f>$C917*BK916</f>
        <v/>
      </c>
      <c r="BL917">
        <f>$C917*BL916</f>
        <v/>
      </c>
      <c r="BM917">
        <f>$C917*BM916</f>
        <v/>
      </c>
      <c r="BN917">
        <f>$C917*BN916</f>
        <v/>
      </c>
      <c r="BO917">
        <f>$C917*BO916</f>
        <v/>
      </c>
      <c r="BP917">
        <f>$C917*BP916</f>
        <v/>
      </c>
      <c r="BQ917">
        <f>$C917*BQ916</f>
        <v/>
      </c>
      <c r="BR917">
        <f>$C917*BR916</f>
        <v/>
      </c>
      <c r="BS917">
        <f>$C917*BS916</f>
        <v/>
      </c>
      <c r="BT917">
        <f>$C917*BT916</f>
        <v/>
      </c>
      <c r="BU917">
        <f>$C917*BU916</f>
        <v/>
      </c>
      <c r="BV917">
        <f>$C917*BV916</f>
        <v/>
      </c>
      <c r="BW917">
        <f>$C917*BW916</f>
        <v/>
      </c>
      <c r="BX917">
        <f>$C917*BX916</f>
        <v/>
      </c>
      <c r="BY917">
        <f>$C917*BY916</f>
        <v/>
      </c>
      <c r="BZ917">
        <f>$C917*BZ916</f>
        <v/>
      </c>
      <c r="CA917">
        <f>$C917*CA916</f>
        <v/>
      </c>
      <c r="CB917">
        <f>$C917*CB916</f>
        <v/>
      </c>
      <c r="CC917">
        <f>$C917*CC916</f>
        <v/>
      </c>
      <c r="CD917">
        <f>$C917*CD916</f>
        <v/>
      </c>
      <c r="CE917">
        <f>$C917*CE916</f>
        <v/>
      </c>
      <c r="CF917">
        <f>$C917*CF916</f>
        <v/>
      </c>
      <c r="CG917">
        <f>$C917*CG916</f>
        <v/>
      </c>
      <c r="CH917">
        <f>$C917*CH916</f>
        <v/>
      </c>
      <c r="CI917">
        <f>$C917*CI916</f>
        <v/>
      </c>
      <c r="CJ917">
        <f>$C917*CJ916</f>
        <v/>
      </c>
      <c r="CK917">
        <f>$C917*CK916</f>
        <v/>
      </c>
      <c r="CL917">
        <f>$C917*CL916</f>
        <v/>
      </c>
      <c r="CM917">
        <f>$C917*CM916</f>
        <v/>
      </c>
      <c r="CN917">
        <f>$C917*CN916</f>
        <v/>
      </c>
      <c r="CO917">
        <f>$C917*CO916</f>
        <v/>
      </c>
      <c r="CP917">
        <f>$C917*CP916</f>
        <v/>
      </c>
      <c r="CQ917">
        <f>$C917*CQ916</f>
        <v/>
      </c>
      <c r="CR917">
        <f>$C917*CR916</f>
        <v/>
      </c>
      <c r="CS917">
        <f>$C917*CS916</f>
        <v/>
      </c>
      <c r="CT917">
        <f>$C917*CT916</f>
        <v/>
      </c>
      <c r="CU917">
        <f>$C917*CU916</f>
        <v/>
      </c>
      <c r="CV917">
        <f>$C917*CV916</f>
        <v/>
      </c>
      <c r="CW917">
        <f>$C917*CW916</f>
        <v/>
      </c>
      <c r="CX917">
        <f>$C917*CX916</f>
        <v/>
      </c>
      <c r="CY917">
        <f>$C917*CY916</f>
        <v/>
      </c>
      <c r="CZ917">
        <f>$C917*CZ916</f>
        <v/>
      </c>
      <c r="DA917">
        <f>$C917*DA916</f>
        <v/>
      </c>
      <c r="DB917">
        <f>$C917*DB916</f>
        <v/>
      </c>
      <c r="DC917">
        <f>$C917*DC916</f>
        <v/>
      </c>
    </row>
    <row r="918">
      <c r="B918" t="inlineStr">
        <is>
          <t>TPP-916</t>
        </is>
      </c>
      <c r="C918" t="inlineStr">
        <is>
          <t>No. of batches</t>
        </is>
      </c>
      <c r="D918">
        <f>IFERROR(INDEX(PP_Grid[#Data],$DD918,2),0)</f>
        <v/>
      </c>
      <c r="E918">
        <f>IFERROR(INDEX(PP_Grid[#Data],$DD918,3),0)</f>
        <v/>
      </c>
      <c r="F918">
        <f>IFERROR(INDEX(PP_Grid[#Data],$DD918,4),0)</f>
        <v/>
      </c>
      <c r="G918">
        <f>IFERROR(INDEX(PP_Grid[#Data],$DD918,5),0)</f>
        <v/>
      </c>
      <c r="H918">
        <f>IFERROR(INDEX(PP_Grid[#Data],$DD918,6),0)</f>
        <v/>
      </c>
      <c r="I918">
        <f>IFERROR(INDEX(PP_Grid[#Data],$DD918,7),0)</f>
        <v/>
      </c>
      <c r="J918">
        <f>IFERROR(INDEX(PP_Grid[#Data],$DD918,8),0)</f>
        <v/>
      </c>
      <c r="K918">
        <f>IFERROR(INDEX(PP_Grid[#Data],$DD918,9),0)</f>
        <v/>
      </c>
      <c r="L918">
        <f>IFERROR(INDEX(PP_Grid[#Data],$DD918,10),0)</f>
        <v/>
      </c>
      <c r="M918">
        <f>IFERROR(INDEX(PP_Grid[#Data],$DD918,11),0)</f>
        <v/>
      </c>
      <c r="N918">
        <f>IFERROR(INDEX(PP_Grid[#Data],$DD918,12),0)</f>
        <v/>
      </c>
      <c r="O918">
        <f>IFERROR(INDEX(PP_Grid[#Data],$DD918,13),0)</f>
        <v/>
      </c>
      <c r="P918">
        <f>IFERROR(INDEX(PP_Grid[#Data],$DD918,14),0)</f>
        <v/>
      </c>
      <c r="Q918">
        <f>IFERROR(INDEX(PP_Grid[#Data],$DD918,15),0)</f>
        <v/>
      </c>
      <c r="R918">
        <f>IFERROR(INDEX(PP_Grid[#Data],$DD918,16),0)</f>
        <v/>
      </c>
      <c r="S918">
        <f>IFERROR(INDEX(PP_Grid[#Data],$DD918,17),0)</f>
        <v/>
      </c>
      <c r="T918">
        <f>IFERROR(INDEX(PP_Grid[#Data],$DD918,18),0)</f>
        <v/>
      </c>
      <c r="U918">
        <f>IFERROR(INDEX(PP_Grid[#Data],$DD918,19),0)</f>
        <v/>
      </c>
      <c r="V918">
        <f>IFERROR(INDEX(PP_Grid[#Data],$DD918,20),0)</f>
        <v/>
      </c>
      <c r="W918">
        <f>IFERROR(INDEX(PP_Grid[#Data],$DD918,21),0)</f>
        <v/>
      </c>
      <c r="X918">
        <f>IFERROR(INDEX(PP_Grid[#Data],$DD918,22),0)</f>
        <v/>
      </c>
      <c r="Y918">
        <f>IFERROR(INDEX(PP_Grid[#Data],$DD918,23),0)</f>
        <v/>
      </c>
      <c r="Z918">
        <f>IFERROR(INDEX(PP_Grid[#Data],$DD918,24),0)</f>
        <v/>
      </c>
      <c r="AA918">
        <f>IFERROR(INDEX(PP_Grid[#Data],$DD918,25),0)</f>
        <v/>
      </c>
      <c r="AB918">
        <f>IFERROR(INDEX(PP_Grid[#Data],$DD918,26),0)</f>
        <v/>
      </c>
      <c r="AC918">
        <f>IFERROR(INDEX(PP_Grid[#Data],$DD918,27),0)</f>
        <v/>
      </c>
      <c r="AD918">
        <f>IFERROR(INDEX(PP_Grid[#Data],$DD918,28),0)</f>
        <v/>
      </c>
      <c r="AE918">
        <f>IFERROR(INDEX(PP_Grid[#Data],$DD918,29),0)</f>
        <v/>
      </c>
      <c r="AF918">
        <f>IFERROR(INDEX(PP_Grid[#Data],$DD918,30),0)</f>
        <v/>
      </c>
      <c r="AG918">
        <f>IFERROR(INDEX(PP_Grid[#Data],$DD918,31),0)</f>
        <v/>
      </c>
      <c r="AH918">
        <f>IFERROR(INDEX(PP_Grid[#Data],$DD918,32),0)</f>
        <v/>
      </c>
      <c r="AI918">
        <f>IFERROR(INDEX(PP_Grid[#Data],$DD918,33),0)</f>
        <v/>
      </c>
      <c r="AJ918">
        <f>IFERROR(INDEX(PP_Grid[#Data],$DD918,34),0)</f>
        <v/>
      </c>
      <c r="AK918">
        <f>IFERROR(INDEX(PP_Grid[#Data],$DD918,35),0)</f>
        <v/>
      </c>
      <c r="AL918">
        <f>IFERROR(INDEX(PP_Grid[#Data],$DD918,36),0)</f>
        <v/>
      </c>
      <c r="AM918">
        <f>IFERROR(INDEX(PP_Grid[#Data],$DD918,37),0)</f>
        <v/>
      </c>
      <c r="AN918">
        <f>IFERROR(INDEX(PP_Grid[#Data],$DD918,38),0)</f>
        <v/>
      </c>
      <c r="AO918">
        <f>IFERROR(INDEX(PP_Grid[#Data],$DD918,39),0)</f>
        <v/>
      </c>
      <c r="AP918">
        <f>IFERROR(INDEX(PP_Grid[#Data],$DD918,40),0)</f>
        <v/>
      </c>
      <c r="AQ918">
        <f>IFERROR(INDEX(PP_Grid[#Data],$DD918,41),0)</f>
        <v/>
      </c>
      <c r="AR918">
        <f>IFERROR(INDEX(PP_Grid[#Data],$DD918,42),0)</f>
        <v/>
      </c>
      <c r="AS918">
        <f>IFERROR(INDEX(PP_Grid[#Data],$DD918,43),0)</f>
        <v/>
      </c>
      <c r="AT918">
        <f>IFERROR(INDEX(PP_Grid[#Data],$DD918,44),0)</f>
        <v/>
      </c>
      <c r="AU918">
        <f>IFERROR(INDEX(PP_Grid[#Data],$DD918,45),0)</f>
        <v/>
      </c>
      <c r="AV918">
        <f>IFERROR(INDEX(PP_Grid[#Data],$DD918,46),0)</f>
        <v/>
      </c>
      <c r="AW918">
        <f>IFERROR(INDEX(PP_Grid[#Data],$DD918,47),0)</f>
        <v/>
      </c>
      <c r="AX918">
        <f>IFERROR(INDEX(PP_Grid[#Data],$DD918,48),0)</f>
        <v/>
      </c>
      <c r="AY918">
        <f>IFERROR(INDEX(PP_Grid[#Data],$DD918,49),0)</f>
        <v/>
      </c>
      <c r="AZ918">
        <f>IFERROR(INDEX(PP_Grid[#Data],$DD918,50),0)</f>
        <v/>
      </c>
      <c r="BA918">
        <f>IFERROR(INDEX(PP_Grid[#Data],$DD918,51),0)</f>
        <v/>
      </c>
      <c r="BB918">
        <f>IFERROR(INDEX(PP_Grid[#Data],$DD918,52),0)</f>
        <v/>
      </c>
      <c r="BC918">
        <f>IFERROR(INDEX(PP_Grid[#Data],$DD918,53),0)</f>
        <v/>
      </c>
      <c r="BD918">
        <f>IFERROR(INDEX(PP_Grid[#Data],$DD918,54),0)</f>
        <v/>
      </c>
      <c r="BE918">
        <f>IFERROR(INDEX(PP_Grid[#Data],$DD918,55),0)</f>
        <v/>
      </c>
      <c r="BF918">
        <f>IFERROR(INDEX(PP_Grid[#Data],$DD918,56),0)</f>
        <v/>
      </c>
      <c r="BG918">
        <f>IFERROR(INDEX(PP_Grid[#Data],$DD918,57),0)</f>
        <v/>
      </c>
      <c r="BH918">
        <f>IFERROR(INDEX(PP_Grid[#Data],$DD918,58),0)</f>
        <v/>
      </c>
      <c r="BI918">
        <f>IFERROR(INDEX(PP_Grid[#Data],$DD918,59),0)</f>
        <v/>
      </c>
      <c r="BJ918">
        <f>IFERROR(INDEX(PP_Grid[#Data],$DD918,60),0)</f>
        <v/>
      </c>
      <c r="BK918">
        <f>IFERROR(INDEX(PP_Grid[#Data],$DD918,61),0)</f>
        <v/>
      </c>
      <c r="BL918">
        <f>IFERROR(INDEX(PP_Grid[#Data],$DD918,62),0)</f>
        <v/>
      </c>
      <c r="BM918">
        <f>IFERROR(INDEX(PP_Grid[#Data],$DD918,63),0)</f>
        <v/>
      </c>
      <c r="BN918">
        <f>IFERROR(INDEX(PP_Grid[#Data],$DD918,64),0)</f>
        <v/>
      </c>
      <c r="BO918">
        <f>IFERROR(INDEX(PP_Grid[#Data],$DD918,65),0)</f>
        <v/>
      </c>
      <c r="BP918">
        <f>IFERROR(INDEX(PP_Grid[#Data],$DD918,66),0)</f>
        <v/>
      </c>
      <c r="BQ918">
        <f>IFERROR(INDEX(PP_Grid[#Data],$DD918,67),0)</f>
        <v/>
      </c>
      <c r="BR918">
        <f>IFERROR(INDEX(PP_Grid[#Data],$DD918,68),0)</f>
        <v/>
      </c>
      <c r="BS918">
        <f>IFERROR(INDEX(PP_Grid[#Data],$DD918,69),0)</f>
        <v/>
      </c>
      <c r="BT918">
        <f>IFERROR(INDEX(PP_Grid[#Data],$DD918,70),0)</f>
        <v/>
      </c>
      <c r="BU918">
        <f>IFERROR(INDEX(PP_Grid[#Data],$DD918,71),0)</f>
        <v/>
      </c>
      <c r="BV918">
        <f>IFERROR(INDEX(PP_Grid[#Data],$DD918,72),0)</f>
        <v/>
      </c>
      <c r="BW918">
        <f>IFERROR(INDEX(PP_Grid[#Data],$DD918,73),0)</f>
        <v/>
      </c>
      <c r="BX918">
        <f>IFERROR(INDEX(PP_Grid[#Data],$DD918,74),0)</f>
        <v/>
      </c>
      <c r="BY918">
        <f>IFERROR(INDEX(PP_Grid[#Data],$DD918,75),0)</f>
        <v/>
      </c>
      <c r="BZ918">
        <f>IFERROR(INDEX(PP_Grid[#Data],$DD918,76),0)</f>
        <v/>
      </c>
      <c r="CA918">
        <f>IFERROR(INDEX(PP_Grid[#Data],$DD918,77),0)</f>
        <v/>
      </c>
      <c r="CB918">
        <f>IFERROR(INDEX(PP_Grid[#Data],$DD918,78),0)</f>
        <v/>
      </c>
      <c r="CC918">
        <f>IFERROR(INDEX(PP_Grid[#Data],$DD918,79),0)</f>
        <v/>
      </c>
      <c r="CD918">
        <f>IFERROR(INDEX(PP_Grid[#Data],$DD918,80),0)</f>
        <v/>
      </c>
      <c r="CE918">
        <f>IFERROR(INDEX(PP_Grid[#Data],$DD918,81),0)</f>
        <v/>
      </c>
      <c r="CF918">
        <f>IFERROR(INDEX(PP_Grid[#Data],$DD918,82),0)</f>
        <v/>
      </c>
      <c r="CG918">
        <f>IFERROR(INDEX(PP_Grid[#Data],$DD918,83),0)</f>
        <v/>
      </c>
      <c r="CH918">
        <f>IFERROR(INDEX(PP_Grid[#Data],$DD918,84),0)</f>
        <v/>
      </c>
      <c r="CI918">
        <f>IFERROR(INDEX(PP_Grid[#Data],$DD918,85),0)</f>
        <v/>
      </c>
      <c r="CJ918">
        <f>IFERROR(INDEX(PP_Grid[#Data],$DD918,86),0)</f>
        <v/>
      </c>
      <c r="CK918">
        <f>IFERROR(INDEX(PP_Grid[#Data],$DD918,87),0)</f>
        <v/>
      </c>
      <c r="CL918">
        <f>IFERROR(INDEX(PP_Grid[#Data],$DD918,88),0)</f>
        <v/>
      </c>
      <c r="CM918">
        <f>IFERROR(INDEX(PP_Grid[#Data],$DD918,89),0)</f>
        <v/>
      </c>
      <c r="CN918">
        <f>IFERROR(INDEX(PP_Grid[#Data],$DD918,90),0)</f>
        <v/>
      </c>
      <c r="CO918">
        <f>IFERROR(INDEX(PP_Grid[#Data],$DD918,91),0)</f>
        <v/>
      </c>
      <c r="CP918">
        <f>IFERROR(INDEX(PP_Grid[#Data],$DD918,92),0)</f>
        <v/>
      </c>
      <c r="CQ918">
        <f>IFERROR(INDEX(PP_Grid[#Data],$DD918,93),0)</f>
        <v/>
      </c>
      <c r="CR918">
        <f>IFERROR(INDEX(PP_Grid[#Data],$DD918,94),0)</f>
        <v/>
      </c>
      <c r="CS918">
        <f>IFERROR(INDEX(PP_Grid[#Data],$DD918,95),0)</f>
        <v/>
      </c>
      <c r="CT918">
        <f>IFERROR(INDEX(PP_Grid[#Data],$DD918,96),0)</f>
        <v/>
      </c>
      <c r="CU918">
        <f>IFERROR(INDEX(PP_Grid[#Data],$DD918,97),0)</f>
        <v/>
      </c>
      <c r="CV918">
        <f>IFERROR(INDEX(PP_Grid[#Data],$DD918,98),0)</f>
        <v/>
      </c>
      <c r="CW918">
        <f>IFERROR(INDEX(PP_Grid[#Data],$DD918,99),0)</f>
        <v/>
      </c>
      <c r="CX918">
        <f>IFERROR(INDEX(PP_Grid[#Data],$DD918,100),0)</f>
        <v/>
      </c>
      <c r="CY918">
        <f>IFERROR(INDEX(PP_Grid[#Data],$DD918,101),0)</f>
        <v/>
      </c>
      <c r="CZ918">
        <f>IFERROR(INDEX(PP_Grid[#Data],$DD918,102),0)</f>
        <v/>
      </c>
      <c r="DA918">
        <f>IFERROR(INDEX(PP_Grid[#Data],$DD918,103),0)</f>
        <v/>
      </c>
      <c r="DB918">
        <f>IFERROR(INDEX(PP_Grid[#Data],$DD918,104),0)</f>
        <v/>
      </c>
      <c r="DC918">
        <f>IFERROR(INDEX(PP_Grid[#Data],$DD918,105),0)</f>
        <v/>
      </c>
      <c r="DD918" s="12">
        <f>IFERROR(MATCH($B918,PP_Grid[Intermediate],0),99999)</f>
        <v/>
      </c>
    </row>
    <row r="919">
      <c r="B919" t="inlineStr">
        <is>
          <t>使用量(kg)</t>
        </is>
      </c>
      <c r="C919">
        <f>SUMIFS(M_BOM[RM_Qty_Per_Batch],M_BOM[Intermediate],$B918,M_BOM[Part Name],$A909)</f>
        <v/>
      </c>
      <c r="D919">
        <f>$C919*D918</f>
        <v/>
      </c>
      <c r="E919">
        <f>$C919*E918</f>
        <v/>
      </c>
      <c r="F919">
        <f>$C919*F918</f>
        <v/>
      </c>
      <c r="G919">
        <f>$C919*G918</f>
        <v/>
      </c>
      <c r="H919">
        <f>$C919*H918</f>
        <v/>
      </c>
      <c r="I919">
        <f>$C919*I918</f>
        <v/>
      </c>
      <c r="J919">
        <f>$C919*J918</f>
        <v/>
      </c>
      <c r="K919">
        <f>$C919*K918</f>
        <v/>
      </c>
      <c r="L919">
        <f>$C919*L918</f>
        <v/>
      </c>
      <c r="M919">
        <f>$C919*M918</f>
        <v/>
      </c>
      <c r="N919">
        <f>$C919*N918</f>
        <v/>
      </c>
      <c r="O919">
        <f>$C919*O918</f>
        <v/>
      </c>
      <c r="P919">
        <f>$C919*P918</f>
        <v/>
      </c>
      <c r="Q919">
        <f>$C919*Q918</f>
        <v/>
      </c>
      <c r="R919">
        <f>$C919*R918</f>
        <v/>
      </c>
      <c r="S919">
        <f>$C919*S918</f>
        <v/>
      </c>
      <c r="T919">
        <f>$C919*T918</f>
        <v/>
      </c>
      <c r="U919">
        <f>$C919*U918</f>
        <v/>
      </c>
      <c r="V919">
        <f>$C919*V918</f>
        <v/>
      </c>
      <c r="W919">
        <f>$C919*W918</f>
        <v/>
      </c>
      <c r="X919">
        <f>$C919*X918</f>
        <v/>
      </c>
      <c r="Y919">
        <f>$C919*Y918</f>
        <v/>
      </c>
      <c r="Z919">
        <f>$C919*Z918</f>
        <v/>
      </c>
      <c r="AA919">
        <f>$C919*AA918</f>
        <v/>
      </c>
      <c r="AB919">
        <f>$C919*AB918</f>
        <v/>
      </c>
      <c r="AC919">
        <f>$C919*AC918</f>
        <v/>
      </c>
      <c r="AD919">
        <f>$C919*AD918</f>
        <v/>
      </c>
      <c r="AE919">
        <f>$C919*AE918</f>
        <v/>
      </c>
      <c r="AF919">
        <f>$C919*AF918</f>
        <v/>
      </c>
      <c r="AG919">
        <f>$C919*AG918</f>
        <v/>
      </c>
      <c r="AH919">
        <f>$C919*AH918</f>
        <v/>
      </c>
      <c r="AI919">
        <f>$C919*AI918</f>
        <v/>
      </c>
      <c r="AJ919">
        <f>$C919*AJ918</f>
        <v/>
      </c>
      <c r="AK919">
        <f>$C919*AK918</f>
        <v/>
      </c>
      <c r="AL919">
        <f>$C919*AL918</f>
        <v/>
      </c>
      <c r="AM919">
        <f>$C919*AM918</f>
        <v/>
      </c>
      <c r="AN919">
        <f>$C919*AN918</f>
        <v/>
      </c>
      <c r="AO919">
        <f>$C919*AO918</f>
        <v/>
      </c>
      <c r="AP919">
        <f>$C919*AP918</f>
        <v/>
      </c>
      <c r="AQ919">
        <f>$C919*AQ918</f>
        <v/>
      </c>
      <c r="AR919">
        <f>$C919*AR918</f>
        <v/>
      </c>
      <c r="AS919">
        <f>$C919*AS918</f>
        <v/>
      </c>
      <c r="AT919">
        <f>$C919*AT918</f>
        <v/>
      </c>
      <c r="AU919">
        <f>$C919*AU918</f>
        <v/>
      </c>
      <c r="AV919">
        <f>$C919*AV918</f>
        <v/>
      </c>
      <c r="AW919">
        <f>$C919*AW918</f>
        <v/>
      </c>
      <c r="AX919">
        <f>$C919*AX918</f>
        <v/>
      </c>
      <c r="AY919">
        <f>$C919*AY918</f>
        <v/>
      </c>
      <c r="AZ919">
        <f>$C919*AZ918</f>
        <v/>
      </c>
      <c r="BA919">
        <f>$C919*BA918</f>
        <v/>
      </c>
      <c r="BB919">
        <f>$C919*BB918</f>
        <v/>
      </c>
      <c r="BC919">
        <f>$C919*BC918</f>
        <v/>
      </c>
      <c r="BD919">
        <f>$C919*BD918</f>
        <v/>
      </c>
      <c r="BE919">
        <f>$C919*BE918</f>
        <v/>
      </c>
      <c r="BF919">
        <f>$C919*BF918</f>
        <v/>
      </c>
      <c r="BG919">
        <f>$C919*BG918</f>
        <v/>
      </c>
      <c r="BH919">
        <f>$C919*BH918</f>
        <v/>
      </c>
      <c r="BI919">
        <f>$C919*BI918</f>
        <v/>
      </c>
      <c r="BJ919">
        <f>$C919*BJ918</f>
        <v/>
      </c>
      <c r="BK919">
        <f>$C919*BK918</f>
        <v/>
      </c>
      <c r="BL919">
        <f>$C919*BL918</f>
        <v/>
      </c>
      <c r="BM919">
        <f>$C919*BM918</f>
        <v/>
      </c>
      <c r="BN919">
        <f>$C919*BN918</f>
        <v/>
      </c>
      <c r="BO919">
        <f>$C919*BO918</f>
        <v/>
      </c>
      <c r="BP919">
        <f>$C919*BP918</f>
        <v/>
      </c>
      <c r="BQ919">
        <f>$C919*BQ918</f>
        <v/>
      </c>
      <c r="BR919">
        <f>$C919*BR918</f>
        <v/>
      </c>
      <c r="BS919">
        <f>$C919*BS918</f>
        <v/>
      </c>
      <c r="BT919">
        <f>$C919*BT918</f>
        <v/>
      </c>
      <c r="BU919">
        <f>$C919*BU918</f>
        <v/>
      </c>
      <c r="BV919">
        <f>$C919*BV918</f>
        <v/>
      </c>
      <c r="BW919">
        <f>$C919*BW918</f>
        <v/>
      </c>
      <c r="BX919">
        <f>$C919*BX918</f>
        <v/>
      </c>
      <c r="BY919">
        <f>$C919*BY918</f>
        <v/>
      </c>
      <c r="BZ919">
        <f>$C919*BZ918</f>
        <v/>
      </c>
      <c r="CA919">
        <f>$C919*CA918</f>
        <v/>
      </c>
      <c r="CB919">
        <f>$C919*CB918</f>
        <v/>
      </c>
      <c r="CC919">
        <f>$C919*CC918</f>
        <v/>
      </c>
      <c r="CD919">
        <f>$C919*CD918</f>
        <v/>
      </c>
      <c r="CE919">
        <f>$C919*CE918</f>
        <v/>
      </c>
      <c r="CF919">
        <f>$C919*CF918</f>
        <v/>
      </c>
      <c r="CG919">
        <f>$C919*CG918</f>
        <v/>
      </c>
      <c r="CH919">
        <f>$C919*CH918</f>
        <v/>
      </c>
      <c r="CI919">
        <f>$C919*CI918</f>
        <v/>
      </c>
      <c r="CJ919">
        <f>$C919*CJ918</f>
        <v/>
      </c>
      <c r="CK919">
        <f>$C919*CK918</f>
        <v/>
      </c>
      <c r="CL919">
        <f>$C919*CL918</f>
        <v/>
      </c>
      <c r="CM919">
        <f>$C919*CM918</f>
        <v/>
      </c>
      <c r="CN919">
        <f>$C919*CN918</f>
        <v/>
      </c>
      <c r="CO919">
        <f>$C919*CO918</f>
        <v/>
      </c>
      <c r="CP919">
        <f>$C919*CP918</f>
        <v/>
      </c>
      <c r="CQ919">
        <f>$C919*CQ918</f>
        <v/>
      </c>
      <c r="CR919">
        <f>$C919*CR918</f>
        <v/>
      </c>
      <c r="CS919">
        <f>$C919*CS918</f>
        <v/>
      </c>
      <c r="CT919">
        <f>$C919*CT918</f>
        <v/>
      </c>
      <c r="CU919">
        <f>$C919*CU918</f>
        <v/>
      </c>
      <c r="CV919">
        <f>$C919*CV918</f>
        <v/>
      </c>
      <c r="CW919">
        <f>$C919*CW918</f>
        <v/>
      </c>
      <c r="CX919">
        <f>$C919*CX918</f>
        <v/>
      </c>
      <c r="CY919">
        <f>$C919*CY918</f>
        <v/>
      </c>
      <c r="CZ919">
        <f>$C919*CZ918</f>
        <v/>
      </c>
      <c r="DA919">
        <f>$C919*DA918</f>
        <v/>
      </c>
      <c r="DB919">
        <f>$C919*DB918</f>
        <v/>
      </c>
      <c r="DC919">
        <f>$C919*DC918</f>
        <v/>
      </c>
    </row>
    <row r="920">
      <c r="B920" t="inlineStr">
        <is>
          <t>TPP-917</t>
        </is>
      </c>
      <c r="C920" t="inlineStr">
        <is>
          <t>No. of batches</t>
        </is>
      </c>
      <c r="D920">
        <f>IFERROR(INDEX(PP_Grid[#Data],$DD920,2),0)</f>
        <v/>
      </c>
      <c r="E920">
        <f>IFERROR(INDEX(PP_Grid[#Data],$DD920,3),0)</f>
        <v/>
      </c>
      <c r="F920">
        <f>IFERROR(INDEX(PP_Grid[#Data],$DD920,4),0)</f>
        <v/>
      </c>
      <c r="G920">
        <f>IFERROR(INDEX(PP_Grid[#Data],$DD920,5),0)</f>
        <v/>
      </c>
      <c r="H920">
        <f>IFERROR(INDEX(PP_Grid[#Data],$DD920,6),0)</f>
        <v/>
      </c>
      <c r="I920">
        <f>IFERROR(INDEX(PP_Grid[#Data],$DD920,7),0)</f>
        <v/>
      </c>
      <c r="J920">
        <f>IFERROR(INDEX(PP_Grid[#Data],$DD920,8),0)</f>
        <v/>
      </c>
      <c r="K920">
        <f>IFERROR(INDEX(PP_Grid[#Data],$DD920,9),0)</f>
        <v/>
      </c>
      <c r="L920">
        <f>IFERROR(INDEX(PP_Grid[#Data],$DD920,10),0)</f>
        <v/>
      </c>
      <c r="M920">
        <f>IFERROR(INDEX(PP_Grid[#Data],$DD920,11),0)</f>
        <v/>
      </c>
      <c r="N920">
        <f>IFERROR(INDEX(PP_Grid[#Data],$DD920,12),0)</f>
        <v/>
      </c>
      <c r="O920">
        <f>IFERROR(INDEX(PP_Grid[#Data],$DD920,13),0)</f>
        <v/>
      </c>
      <c r="P920">
        <f>IFERROR(INDEX(PP_Grid[#Data],$DD920,14),0)</f>
        <v/>
      </c>
      <c r="Q920">
        <f>IFERROR(INDEX(PP_Grid[#Data],$DD920,15),0)</f>
        <v/>
      </c>
      <c r="R920">
        <f>IFERROR(INDEX(PP_Grid[#Data],$DD920,16),0)</f>
        <v/>
      </c>
      <c r="S920">
        <f>IFERROR(INDEX(PP_Grid[#Data],$DD920,17),0)</f>
        <v/>
      </c>
      <c r="T920">
        <f>IFERROR(INDEX(PP_Grid[#Data],$DD920,18),0)</f>
        <v/>
      </c>
      <c r="U920">
        <f>IFERROR(INDEX(PP_Grid[#Data],$DD920,19),0)</f>
        <v/>
      </c>
      <c r="V920">
        <f>IFERROR(INDEX(PP_Grid[#Data],$DD920,20),0)</f>
        <v/>
      </c>
      <c r="W920">
        <f>IFERROR(INDEX(PP_Grid[#Data],$DD920,21),0)</f>
        <v/>
      </c>
      <c r="X920">
        <f>IFERROR(INDEX(PP_Grid[#Data],$DD920,22),0)</f>
        <v/>
      </c>
      <c r="Y920">
        <f>IFERROR(INDEX(PP_Grid[#Data],$DD920,23),0)</f>
        <v/>
      </c>
      <c r="Z920">
        <f>IFERROR(INDEX(PP_Grid[#Data],$DD920,24),0)</f>
        <v/>
      </c>
      <c r="AA920">
        <f>IFERROR(INDEX(PP_Grid[#Data],$DD920,25),0)</f>
        <v/>
      </c>
      <c r="AB920">
        <f>IFERROR(INDEX(PP_Grid[#Data],$DD920,26),0)</f>
        <v/>
      </c>
      <c r="AC920">
        <f>IFERROR(INDEX(PP_Grid[#Data],$DD920,27),0)</f>
        <v/>
      </c>
      <c r="AD920">
        <f>IFERROR(INDEX(PP_Grid[#Data],$DD920,28),0)</f>
        <v/>
      </c>
      <c r="AE920">
        <f>IFERROR(INDEX(PP_Grid[#Data],$DD920,29),0)</f>
        <v/>
      </c>
      <c r="AF920">
        <f>IFERROR(INDEX(PP_Grid[#Data],$DD920,30),0)</f>
        <v/>
      </c>
      <c r="AG920">
        <f>IFERROR(INDEX(PP_Grid[#Data],$DD920,31),0)</f>
        <v/>
      </c>
      <c r="AH920">
        <f>IFERROR(INDEX(PP_Grid[#Data],$DD920,32),0)</f>
        <v/>
      </c>
      <c r="AI920">
        <f>IFERROR(INDEX(PP_Grid[#Data],$DD920,33),0)</f>
        <v/>
      </c>
      <c r="AJ920">
        <f>IFERROR(INDEX(PP_Grid[#Data],$DD920,34),0)</f>
        <v/>
      </c>
      <c r="AK920">
        <f>IFERROR(INDEX(PP_Grid[#Data],$DD920,35),0)</f>
        <v/>
      </c>
      <c r="AL920">
        <f>IFERROR(INDEX(PP_Grid[#Data],$DD920,36),0)</f>
        <v/>
      </c>
      <c r="AM920">
        <f>IFERROR(INDEX(PP_Grid[#Data],$DD920,37),0)</f>
        <v/>
      </c>
      <c r="AN920">
        <f>IFERROR(INDEX(PP_Grid[#Data],$DD920,38),0)</f>
        <v/>
      </c>
      <c r="AO920">
        <f>IFERROR(INDEX(PP_Grid[#Data],$DD920,39),0)</f>
        <v/>
      </c>
      <c r="AP920">
        <f>IFERROR(INDEX(PP_Grid[#Data],$DD920,40),0)</f>
        <v/>
      </c>
      <c r="AQ920">
        <f>IFERROR(INDEX(PP_Grid[#Data],$DD920,41),0)</f>
        <v/>
      </c>
      <c r="AR920">
        <f>IFERROR(INDEX(PP_Grid[#Data],$DD920,42),0)</f>
        <v/>
      </c>
      <c r="AS920">
        <f>IFERROR(INDEX(PP_Grid[#Data],$DD920,43),0)</f>
        <v/>
      </c>
      <c r="AT920">
        <f>IFERROR(INDEX(PP_Grid[#Data],$DD920,44),0)</f>
        <v/>
      </c>
      <c r="AU920">
        <f>IFERROR(INDEX(PP_Grid[#Data],$DD920,45),0)</f>
        <v/>
      </c>
      <c r="AV920">
        <f>IFERROR(INDEX(PP_Grid[#Data],$DD920,46),0)</f>
        <v/>
      </c>
      <c r="AW920">
        <f>IFERROR(INDEX(PP_Grid[#Data],$DD920,47),0)</f>
        <v/>
      </c>
      <c r="AX920">
        <f>IFERROR(INDEX(PP_Grid[#Data],$DD920,48),0)</f>
        <v/>
      </c>
      <c r="AY920">
        <f>IFERROR(INDEX(PP_Grid[#Data],$DD920,49),0)</f>
        <v/>
      </c>
      <c r="AZ920">
        <f>IFERROR(INDEX(PP_Grid[#Data],$DD920,50),0)</f>
        <v/>
      </c>
      <c r="BA920">
        <f>IFERROR(INDEX(PP_Grid[#Data],$DD920,51),0)</f>
        <v/>
      </c>
      <c r="BB920">
        <f>IFERROR(INDEX(PP_Grid[#Data],$DD920,52),0)</f>
        <v/>
      </c>
      <c r="BC920">
        <f>IFERROR(INDEX(PP_Grid[#Data],$DD920,53),0)</f>
        <v/>
      </c>
      <c r="BD920">
        <f>IFERROR(INDEX(PP_Grid[#Data],$DD920,54),0)</f>
        <v/>
      </c>
      <c r="BE920">
        <f>IFERROR(INDEX(PP_Grid[#Data],$DD920,55),0)</f>
        <v/>
      </c>
      <c r="BF920">
        <f>IFERROR(INDEX(PP_Grid[#Data],$DD920,56),0)</f>
        <v/>
      </c>
      <c r="BG920">
        <f>IFERROR(INDEX(PP_Grid[#Data],$DD920,57),0)</f>
        <v/>
      </c>
      <c r="BH920">
        <f>IFERROR(INDEX(PP_Grid[#Data],$DD920,58),0)</f>
        <v/>
      </c>
      <c r="BI920">
        <f>IFERROR(INDEX(PP_Grid[#Data],$DD920,59),0)</f>
        <v/>
      </c>
      <c r="BJ920">
        <f>IFERROR(INDEX(PP_Grid[#Data],$DD920,60),0)</f>
        <v/>
      </c>
      <c r="BK920">
        <f>IFERROR(INDEX(PP_Grid[#Data],$DD920,61),0)</f>
        <v/>
      </c>
      <c r="BL920">
        <f>IFERROR(INDEX(PP_Grid[#Data],$DD920,62),0)</f>
        <v/>
      </c>
      <c r="BM920">
        <f>IFERROR(INDEX(PP_Grid[#Data],$DD920,63),0)</f>
        <v/>
      </c>
      <c r="BN920">
        <f>IFERROR(INDEX(PP_Grid[#Data],$DD920,64),0)</f>
        <v/>
      </c>
      <c r="BO920">
        <f>IFERROR(INDEX(PP_Grid[#Data],$DD920,65),0)</f>
        <v/>
      </c>
      <c r="BP920">
        <f>IFERROR(INDEX(PP_Grid[#Data],$DD920,66),0)</f>
        <v/>
      </c>
      <c r="BQ920">
        <f>IFERROR(INDEX(PP_Grid[#Data],$DD920,67),0)</f>
        <v/>
      </c>
      <c r="BR920">
        <f>IFERROR(INDEX(PP_Grid[#Data],$DD920,68),0)</f>
        <v/>
      </c>
      <c r="BS920">
        <f>IFERROR(INDEX(PP_Grid[#Data],$DD920,69),0)</f>
        <v/>
      </c>
      <c r="BT920">
        <f>IFERROR(INDEX(PP_Grid[#Data],$DD920,70),0)</f>
        <v/>
      </c>
      <c r="BU920">
        <f>IFERROR(INDEX(PP_Grid[#Data],$DD920,71),0)</f>
        <v/>
      </c>
      <c r="BV920">
        <f>IFERROR(INDEX(PP_Grid[#Data],$DD920,72),0)</f>
        <v/>
      </c>
      <c r="BW920">
        <f>IFERROR(INDEX(PP_Grid[#Data],$DD920,73),0)</f>
        <v/>
      </c>
      <c r="BX920">
        <f>IFERROR(INDEX(PP_Grid[#Data],$DD920,74),0)</f>
        <v/>
      </c>
      <c r="BY920">
        <f>IFERROR(INDEX(PP_Grid[#Data],$DD920,75),0)</f>
        <v/>
      </c>
      <c r="BZ920">
        <f>IFERROR(INDEX(PP_Grid[#Data],$DD920,76),0)</f>
        <v/>
      </c>
      <c r="CA920">
        <f>IFERROR(INDEX(PP_Grid[#Data],$DD920,77),0)</f>
        <v/>
      </c>
      <c r="CB920">
        <f>IFERROR(INDEX(PP_Grid[#Data],$DD920,78),0)</f>
        <v/>
      </c>
      <c r="CC920">
        <f>IFERROR(INDEX(PP_Grid[#Data],$DD920,79),0)</f>
        <v/>
      </c>
      <c r="CD920">
        <f>IFERROR(INDEX(PP_Grid[#Data],$DD920,80),0)</f>
        <v/>
      </c>
      <c r="CE920">
        <f>IFERROR(INDEX(PP_Grid[#Data],$DD920,81),0)</f>
        <v/>
      </c>
      <c r="CF920">
        <f>IFERROR(INDEX(PP_Grid[#Data],$DD920,82),0)</f>
        <v/>
      </c>
      <c r="CG920">
        <f>IFERROR(INDEX(PP_Grid[#Data],$DD920,83),0)</f>
        <v/>
      </c>
      <c r="CH920">
        <f>IFERROR(INDEX(PP_Grid[#Data],$DD920,84),0)</f>
        <v/>
      </c>
      <c r="CI920">
        <f>IFERROR(INDEX(PP_Grid[#Data],$DD920,85),0)</f>
        <v/>
      </c>
      <c r="CJ920">
        <f>IFERROR(INDEX(PP_Grid[#Data],$DD920,86),0)</f>
        <v/>
      </c>
      <c r="CK920">
        <f>IFERROR(INDEX(PP_Grid[#Data],$DD920,87),0)</f>
        <v/>
      </c>
      <c r="CL920">
        <f>IFERROR(INDEX(PP_Grid[#Data],$DD920,88),0)</f>
        <v/>
      </c>
      <c r="CM920">
        <f>IFERROR(INDEX(PP_Grid[#Data],$DD920,89),0)</f>
        <v/>
      </c>
      <c r="CN920">
        <f>IFERROR(INDEX(PP_Grid[#Data],$DD920,90),0)</f>
        <v/>
      </c>
      <c r="CO920">
        <f>IFERROR(INDEX(PP_Grid[#Data],$DD920,91),0)</f>
        <v/>
      </c>
      <c r="CP920">
        <f>IFERROR(INDEX(PP_Grid[#Data],$DD920,92),0)</f>
        <v/>
      </c>
      <c r="CQ920">
        <f>IFERROR(INDEX(PP_Grid[#Data],$DD920,93),0)</f>
        <v/>
      </c>
      <c r="CR920">
        <f>IFERROR(INDEX(PP_Grid[#Data],$DD920,94),0)</f>
        <v/>
      </c>
      <c r="CS920">
        <f>IFERROR(INDEX(PP_Grid[#Data],$DD920,95),0)</f>
        <v/>
      </c>
      <c r="CT920">
        <f>IFERROR(INDEX(PP_Grid[#Data],$DD920,96),0)</f>
        <v/>
      </c>
      <c r="CU920">
        <f>IFERROR(INDEX(PP_Grid[#Data],$DD920,97),0)</f>
        <v/>
      </c>
      <c r="CV920">
        <f>IFERROR(INDEX(PP_Grid[#Data],$DD920,98),0)</f>
        <v/>
      </c>
      <c r="CW920">
        <f>IFERROR(INDEX(PP_Grid[#Data],$DD920,99),0)</f>
        <v/>
      </c>
      <c r="CX920">
        <f>IFERROR(INDEX(PP_Grid[#Data],$DD920,100),0)</f>
        <v/>
      </c>
      <c r="CY920">
        <f>IFERROR(INDEX(PP_Grid[#Data],$DD920,101),0)</f>
        <v/>
      </c>
      <c r="CZ920">
        <f>IFERROR(INDEX(PP_Grid[#Data],$DD920,102),0)</f>
        <v/>
      </c>
      <c r="DA920">
        <f>IFERROR(INDEX(PP_Grid[#Data],$DD920,103),0)</f>
        <v/>
      </c>
      <c r="DB920">
        <f>IFERROR(INDEX(PP_Grid[#Data],$DD920,104),0)</f>
        <v/>
      </c>
      <c r="DC920">
        <f>IFERROR(INDEX(PP_Grid[#Data],$DD920,105),0)</f>
        <v/>
      </c>
      <c r="DD920" s="12">
        <f>IFERROR(MATCH($B920,PP_Grid[Intermediate],0),99999)</f>
        <v/>
      </c>
    </row>
    <row r="921">
      <c r="B921" t="inlineStr">
        <is>
          <t>使用量(kg)</t>
        </is>
      </c>
      <c r="C921">
        <f>SUMIFS(M_BOM[RM_Qty_Per_Batch],M_BOM[Intermediate],$B920,M_BOM[Part Name],$A909)</f>
        <v/>
      </c>
      <c r="D921">
        <f>$C921*D920</f>
        <v/>
      </c>
      <c r="E921">
        <f>$C921*E920</f>
        <v/>
      </c>
      <c r="F921">
        <f>$C921*F920</f>
        <v/>
      </c>
      <c r="G921">
        <f>$C921*G920</f>
        <v/>
      </c>
      <c r="H921">
        <f>$C921*H920</f>
        <v/>
      </c>
      <c r="I921">
        <f>$C921*I920</f>
        <v/>
      </c>
      <c r="J921">
        <f>$C921*J920</f>
        <v/>
      </c>
      <c r="K921">
        <f>$C921*K920</f>
        <v/>
      </c>
      <c r="L921">
        <f>$C921*L920</f>
        <v/>
      </c>
      <c r="M921">
        <f>$C921*M920</f>
        <v/>
      </c>
      <c r="N921">
        <f>$C921*N920</f>
        <v/>
      </c>
      <c r="O921">
        <f>$C921*O920</f>
        <v/>
      </c>
      <c r="P921">
        <f>$C921*P920</f>
        <v/>
      </c>
      <c r="Q921">
        <f>$C921*Q920</f>
        <v/>
      </c>
      <c r="R921">
        <f>$C921*R920</f>
        <v/>
      </c>
      <c r="S921">
        <f>$C921*S920</f>
        <v/>
      </c>
      <c r="T921">
        <f>$C921*T920</f>
        <v/>
      </c>
      <c r="U921">
        <f>$C921*U920</f>
        <v/>
      </c>
      <c r="V921">
        <f>$C921*V920</f>
        <v/>
      </c>
      <c r="W921">
        <f>$C921*W920</f>
        <v/>
      </c>
      <c r="X921">
        <f>$C921*X920</f>
        <v/>
      </c>
      <c r="Y921">
        <f>$C921*Y920</f>
        <v/>
      </c>
      <c r="Z921">
        <f>$C921*Z920</f>
        <v/>
      </c>
      <c r="AA921">
        <f>$C921*AA920</f>
        <v/>
      </c>
      <c r="AB921">
        <f>$C921*AB920</f>
        <v/>
      </c>
      <c r="AC921">
        <f>$C921*AC920</f>
        <v/>
      </c>
      <c r="AD921">
        <f>$C921*AD920</f>
        <v/>
      </c>
      <c r="AE921">
        <f>$C921*AE920</f>
        <v/>
      </c>
      <c r="AF921">
        <f>$C921*AF920</f>
        <v/>
      </c>
      <c r="AG921">
        <f>$C921*AG920</f>
        <v/>
      </c>
      <c r="AH921">
        <f>$C921*AH920</f>
        <v/>
      </c>
      <c r="AI921">
        <f>$C921*AI920</f>
        <v/>
      </c>
      <c r="AJ921">
        <f>$C921*AJ920</f>
        <v/>
      </c>
      <c r="AK921">
        <f>$C921*AK920</f>
        <v/>
      </c>
      <c r="AL921">
        <f>$C921*AL920</f>
        <v/>
      </c>
      <c r="AM921">
        <f>$C921*AM920</f>
        <v/>
      </c>
      <c r="AN921">
        <f>$C921*AN920</f>
        <v/>
      </c>
      <c r="AO921">
        <f>$C921*AO920</f>
        <v/>
      </c>
      <c r="AP921">
        <f>$C921*AP920</f>
        <v/>
      </c>
      <c r="AQ921">
        <f>$C921*AQ920</f>
        <v/>
      </c>
      <c r="AR921">
        <f>$C921*AR920</f>
        <v/>
      </c>
      <c r="AS921">
        <f>$C921*AS920</f>
        <v/>
      </c>
      <c r="AT921">
        <f>$C921*AT920</f>
        <v/>
      </c>
      <c r="AU921">
        <f>$C921*AU920</f>
        <v/>
      </c>
      <c r="AV921">
        <f>$C921*AV920</f>
        <v/>
      </c>
      <c r="AW921">
        <f>$C921*AW920</f>
        <v/>
      </c>
      <c r="AX921">
        <f>$C921*AX920</f>
        <v/>
      </c>
      <c r="AY921">
        <f>$C921*AY920</f>
        <v/>
      </c>
      <c r="AZ921">
        <f>$C921*AZ920</f>
        <v/>
      </c>
      <c r="BA921">
        <f>$C921*BA920</f>
        <v/>
      </c>
      <c r="BB921">
        <f>$C921*BB920</f>
        <v/>
      </c>
      <c r="BC921">
        <f>$C921*BC920</f>
        <v/>
      </c>
      <c r="BD921">
        <f>$C921*BD920</f>
        <v/>
      </c>
      <c r="BE921">
        <f>$C921*BE920</f>
        <v/>
      </c>
      <c r="BF921">
        <f>$C921*BF920</f>
        <v/>
      </c>
      <c r="BG921">
        <f>$C921*BG920</f>
        <v/>
      </c>
      <c r="BH921">
        <f>$C921*BH920</f>
        <v/>
      </c>
      <c r="BI921">
        <f>$C921*BI920</f>
        <v/>
      </c>
      <c r="BJ921">
        <f>$C921*BJ920</f>
        <v/>
      </c>
      <c r="BK921">
        <f>$C921*BK920</f>
        <v/>
      </c>
      <c r="BL921">
        <f>$C921*BL920</f>
        <v/>
      </c>
      <c r="BM921">
        <f>$C921*BM920</f>
        <v/>
      </c>
      <c r="BN921">
        <f>$C921*BN920</f>
        <v/>
      </c>
      <c r="BO921">
        <f>$C921*BO920</f>
        <v/>
      </c>
      <c r="BP921">
        <f>$C921*BP920</f>
        <v/>
      </c>
      <c r="BQ921">
        <f>$C921*BQ920</f>
        <v/>
      </c>
      <c r="BR921">
        <f>$C921*BR920</f>
        <v/>
      </c>
      <c r="BS921">
        <f>$C921*BS920</f>
        <v/>
      </c>
      <c r="BT921">
        <f>$C921*BT920</f>
        <v/>
      </c>
      <c r="BU921">
        <f>$C921*BU920</f>
        <v/>
      </c>
      <c r="BV921">
        <f>$C921*BV920</f>
        <v/>
      </c>
      <c r="BW921">
        <f>$C921*BW920</f>
        <v/>
      </c>
      <c r="BX921">
        <f>$C921*BX920</f>
        <v/>
      </c>
      <c r="BY921">
        <f>$C921*BY920</f>
        <v/>
      </c>
      <c r="BZ921">
        <f>$C921*BZ920</f>
        <v/>
      </c>
      <c r="CA921">
        <f>$C921*CA920</f>
        <v/>
      </c>
      <c r="CB921">
        <f>$C921*CB920</f>
        <v/>
      </c>
      <c r="CC921">
        <f>$C921*CC920</f>
        <v/>
      </c>
      <c r="CD921">
        <f>$C921*CD920</f>
        <v/>
      </c>
      <c r="CE921">
        <f>$C921*CE920</f>
        <v/>
      </c>
      <c r="CF921">
        <f>$C921*CF920</f>
        <v/>
      </c>
      <c r="CG921">
        <f>$C921*CG920</f>
        <v/>
      </c>
      <c r="CH921">
        <f>$C921*CH920</f>
        <v/>
      </c>
      <c r="CI921">
        <f>$C921*CI920</f>
        <v/>
      </c>
      <c r="CJ921">
        <f>$C921*CJ920</f>
        <v/>
      </c>
      <c r="CK921">
        <f>$C921*CK920</f>
        <v/>
      </c>
      <c r="CL921">
        <f>$C921*CL920</f>
        <v/>
      </c>
      <c r="CM921">
        <f>$C921*CM920</f>
        <v/>
      </c>
      <c r="CN921">
        <f>$C921*CN920</f>
        <v/>
      </c>
      <c r="CO921">
        <f>$C921*CO920</f>
        <v/>
      </c>
      <c r="CP921">
        <f>$C921*CP920</f>
        <v/>
      </c>
      <c r="CQ921">
        <f>$C921*CQ920</f>
        <v/>
      </c>
      <c r="CR921">
        <f>$C921*CR920</f>
        <v/>
      </c>
      <c r="CS921">
        <f>$C921*CS920</f>
        <v/>
      </c>
      <c r="CT921">
        <f>$C921*CT920</f>
        <v/>
      </c>
      <c r="CU921">
        <f>$C921*CU920</f>
        <v/>
      </c>
      <c r="CV921">
        <f>$C921*CV920</f>
        <v/>
      </c>
      <c r="CW921">
        <f>$C921*CW920</f>
        <v/>
      </c>
      <c r="CX921">
        <f>$C921*CX920</f>
        <v/>
      </c>
      <c r="CY921">
        <f>$C921*CY920</f>
        <v/>
      </c>
      <c r="CZ921">
        <f>$C921*CZ920</f>
        <v/>
      </c>
      <c r="DA921">
        <f>$C921*DA920</f>
        <v/>
      </c>
      <c r="DB921">
        <f>$C921*DB920</f>
        <v/>
      </c>
      <c r="DC921">
        <f>$C921*DC920</f>
        <v/>
      </c>
    </row>
    <row r="922">
      <c r="B922" t="inlineStr">
        <is>
          <t>TPP-919</t>
        </is>
      </c>
      <c r="C922" t="inlineStr">
        <is>
          <t>No. of batches</t>
        </is>
      </c>
      <c r="D922">
        <f>IFERROR(INDEX(PP_Grid[#Data],$DD922,2),0)</f>
        <v/>
      </c>
      <c r="E922">
        <f>IFERROR(INDEX(PP_Grid[#Data],$DD922,3),0)</f>
        <v/>
      </c>
      <c r="F922">
        <f>IFERROR(INDEX(PP_Grid[#Data],$DD922,4),0)</f>
        <v/>
      </c>
      <c r="G922">
        <f>IFERROR(INDEX(PP_Grid[#Data],$DD922,5),0)</f>
        <v/>
      </c>
      <c r="H922">
        <f>IFERROR(INDEX(PP_Grid[#Data],$DD922,6),0)</f>
        <v/>
      </c>
      <c r="I922">
        <f>IFERROR(INDEX(PP_Grid[#Data],$DD922,7),0)</f>
        <v/>
      </c>
      <c r="J922">
        <f>IFERROR(INDEX(PP_Grid[#Data],$DD922,8),0)</f>
        <v/>
      </c>
      <c r="K922">
        <f>IFERROR(INDEX(PP_Grid[#Data],$DD922,9),0)</f>
        <v/>
      </c>
      <c r="L922">
        <f>IFERROR(INDEX(PP_Grid[#Data],$DD922,10),0)</f>
        <v/>
      </c>
      <c r="M922">
        <f>IFERROR(INDEX(PP_Grid[#Data],$DD922,11),0)</f>
        <v/>
      </c>
      <c r="N922">
        <f>IFERROR(INDEX(PP_Grid[#Data],$DD922,12),0)</f>
        <v/>
      </c>
      <c r="O922">
        <f>IFERROR(INDEX(PP_Grid[#Data],$DD922,13),0)</f>
        <v/>
      </c>
      <c r="P922">
        <f>IFERROR(INDEX(PP_Grid[#Data],$DD922,14),0)</f>
        <v/>
      </c>
      <c r="Q922">
        <f>IFERROR(INDEX(PP_Grid[#Data],$DD922,15),0)</f>
        <v/>
      </c>
      <c r="R922">
        <f>IFERROR(INDEX(PP_Grid[#Data],$DD922,16),0)</f>
        <v/>
      </c>
      <c r="S922">
        <f>IFERROR(INDEX(PP_Grid[#Data],$DD922,17),0)</f>
        <v/>
      </c>
      <c r="T922">
        <f>IFERROR(INDEX(PP_Grid[#Data],$DD922,18),0)</f>
        <v/>
      </c>
      <c r="U922">
        <f>IFERROR(INDEX(PP_Grid[#Data],$DD922,19),0)</f>
        <v/>
      </c>
      <c r="V922">
        <f>IFERROR(INDEX(PP_Grid[#Data],$DD922,20),0)</f>
        <v/>
      </c>
      <c r="W922">
        <f>IFERROR(INDEX(PP_Grid[#Data],$DD922,21),0)</f>
        <v/>
      </c>
      <c r="X922">
        <f>IFERROR(INDEX(PP_Grid[#Data],$DD922,22),0)</f>
        <v/>
      </c>
      <c r="Y922">
        <f>IFERROR(INDEX(PP_Grid[#Data],$DD922,23),0)</f>
        <v/>
      </c>
      <c r="Z922">
        <f>IFERROR(INDEX(PP_Grid[#Data],$DD922,24),0)</f>
        <v/>
      </c>
      <c r="AA922">
        <f>IFERROR(INDEX(PP_Grid[#Data],$DD922,25),0)</f>
        <v/>
      </c>
      <c r="AB922">
        <f>IFERROR(INDEX(PP_Grid[#Data],$DD922,26),0)</f>
        <v/>
      </c>
      <c r="AC922">
        <f>IFERROR(INDEX(PP_Grid[#Data],$DD922,27),0)</f>
        <v/>
      </c>
      <c r="AD922">
        <f>IFERROR(INDEX(PP_Grid[#Data],$DD922,28),0)</f>
        <v/>
      </c>
      <c r="AE922">
        <f>IFERROR(INDEX(PP_Grid[#Data],$DD922,29),0)</f>
        <v/>
      </c>
      <c r="AF922">
        <f>IFERROR(INDEX(PP_Grid[#Data],$DD922,30),0)</f>
        <v/>
      </c>
      <c r="AG922">
        <f>IFERROR(INDEX(PP_Grid[#Data],$DD922,31),0)</f>
        <v/>
      </c>
      <c r="AH922">
        <f>IFERROR(INDEX(PP_Grid[#Data],$DD922,32),0)</f>
        <v/>
      </c>
      <c r="AI922">
        <f>IFERROR(INDEX(PP_Grid[#Data],$DD922,33),0)</f>
        <v/>
      </c>
      <c r="AJ922">
        <f>IFERROR(INDEX(PP_Grid[#Data],$DD922,34),0)</f>
        <v/>
      </c>
      <c r="AK922">
        <f>IFERROR(INDEX(PP_Grid[#Data],$DD922,35),0)</f>
        <v/>
      </c>
      <c r="AL922">
        <f>IFERROR(INDEX(PP_Grid[#Data],$DD922,36),0)</f>
        <v/>
      </c>
      <c r="AM922">
        <f>IFERROR(INDEX(PP_Grid[#Data],$DD922,37),0)</f>
        <v/>
      </c>
      <c r="AN922">
        <f>IFERROR(INDEX(PP_Grid[#Data],$DD922,38),0)</f>
        <v/>
      </c>
      <c r="AO922">
        <f>IFERROR(INDEX(PP_Grid[#Data],$DD922,39),0)</f>
        <v/>
      </c>
      <c r="AP922">
        <f>IFERROR(INDEX(PP_Grid[#Data],$DD922,40),0)</f>
        <v/>
      </c>
      <c r="AQ922">
        <f>IFERROR(INDEX(PP_Grid[#Data],$DD922,41),0)</f>
        <v/>
      </c>
      <c r="AR922">
        <f>IFERROR(INDEX(PP_Grid[#Data],$DD922,42),0)</f>
        <v/>
      </c>
      <c r="AS922">
        <f>IFERROR(INDEX(PP_Grid[#Data],$DD922,43),0)</f>
        <v/>
      </c>
      <c r="AT922">
        <f>IFERROR(INDEX(PP_Grid[#Data],$DD922,44),0)</f>
        <v/>
      </c>
      <c r="AU922">
        <f>IFERROR(INDEX(PP_Grid[#Data],$DD922,45),0)</f>
        <v/>
      </c>
      <c r="AV922">
        <f>IFERROR(INDEX(PP_Grid[#Data],$DD922,46),0)</f>
        <v/>
      </c>
      <c r="AW922">
        <f>IFERROR(INDEX(PP_Grid[#Data],$DD922,47),0)</f>
        <v/>
      </c>
      <c r="AX922">
        <f>IFERROR(INDEX(PP_Grid[#Data],$DD922,48),0)</f>
        <v/>
      </c>
      <c r="AY922">
        <f>IFERROR(INDEX(PP_Grid[#Data],$DD922,49),0)</f>
        <v/>
      </c>
      <c r="AZ922">
        <f>IFERROR(INDEX(PP_Grid[#Data],$DD922,50),0)</f>
        <v/>
      </c>
      <c r="BA922">
        <f>IFERROR(INDEX(PP_Grid[#Data],$DD922,51),0)</f>
        <v/>
      </c>
      <c r="BB922">
        <f>IFERROR(INDEX(PP_Grid[#Data],$DD922,52),0)</f>
        <v/>
      </c>
      <c r="BC922">
        <f>IFERROR(INDEX(PP_Grid[#Data],$DD922,53),0)</f>
        <v/>
      </c>
      <c r="BD922">
        <f>IFERROR(INDEX(PP_Grid[#Data],$DD922,54),0)</f>
        <v/>
      </c>
      <c r="BE922">
        <f>IFERROR(INDEX(PP_Grid[#Data],$DD922,55),0)</f>
        <v/>
      </c>
      <c r="BF922">
        <f>IFERROR(INDEX(PP_Grid[#Data],$DD922,56),0)</f>
        <v/>
      </c>
      <c r="BG922">
        <f>IFERROR(INDEX(PP_Grid[#Data],$DD922,57),0)</f>
        <v/>
      </c>
      <c r="BH922">
        <f>IFERROR(INDEX(PP_Grid[#Data],$DD922,58),0)</f>
        <v/>
      </c>
      <c r="BI922">
        <f>IFERROR(INDEX(PP_Grid[#Data],$DD922,59),0)</f>
        <v/>
      </c>
      <c r="BJ922">
        <f>IFERROR(INDEX(PP_Grid[#Data],$DD922,60),0)</f>
        <v/>
      </c>
      <c r="BK922">
        <f>IFERROR(INDEX(PP_Grid[#Data],$DD922,61),0)</f>
        <v/>
      </c>
      <c r="BL922">
        <f>IFERROR(INDEX(PP_Grid[#Data],$DD922,62),0)</f>
        <v/>
      </c>
      <c r="BM922">
        <f>IFERROR(INDEX(PP_Grid[#Data],$DD922,63),0)</f>
        <v/>
      </c>
      <c r="BN922">
        <f>IFERROR(INDEX(PP_Grid[#Data],$DD922,64),0)</f>
        <v/>
      </c>
      <c r="BO922">
        <f>IFERROR(INDEX(PP_Grid[#Data],$DD922,65),0)</f>
        <v/>
      </c>
      <c r="BP922">
        <f>IFERROR(INDEX(PP_Grid[#Data],$DD922,66),0)</f>
        <v/>
      </c>
      <c r="BQ922">
        <f>IFERROR(INDEX(PP_Grid[#Data],$DD922,67),0)</f>
        <v/>
      </c>
      <c r="BR922">
        <f>IFERROR(INDEX(PP_Grid[#Data],$DD922,68),0)</f>
        <v/>
      </c>
      <c r="BS922">
        <f>IFERROR(INDEX(PP_Grid[#Data],$DD922,69),0)</f>
        <v/>
      </c>
      <c r="BT922">
        <f>IFERROR(INDEX(PP_Grid[#Data],$DD922,70),0)</f>
        <v/>
      </c>
      <c r="BU922">
        <f>IFERROR(INDEX(PP_Grid[#Data],$DD922,71),0)</f>
        <v/>
      </c>
      <c r="BV922">
        <f>IFERROR(INDEX(PP_Grid[#Data],$DD922,72),0)</f>
        <v/>
      </c>
      <c r="BW922">
        <f>IFERROR(INDEX(PP_Grid[#Data],$DD922,73),0)</f>
        <v/>
      </c>
      <c r="BX922">
        <f>IFERROR(INDEX(PP_Grid[#Data],$DD922,74),0)</f>
        <v/>
      </c>
      <c r="BY922">
        <f>IFERROR(INDEX(PP_Grid[#Data],$DD922,75),0)</f>
        <v/>
      </c>
      <c r="BZ922">
        <f>IFERROR(INDEX(PP_Grid[#Data],$DD922,76),0)</f>
        <v/>
      </c>
      <c r="CA922">
        <f>IFERROR(INDEX(PP_Grid[#Data],$DD922,77),0)</f>
        <v/>
      </c>
      <c r="CB922">
        <f>IFERROR(INDEX(PP_Grid[#Data],$DD922,78),0)</f>
        <v/>
      </c>
      <c r="CC922">
        <f>IFERROR(INDEX(PP_Grid[#Data],$DD922,79),0)</f>
        <v/>
      </c>
      <c r="CD922">
        <f>IFERROR(INDEX(PP_Grid[#Data],$DD922,80),0)</f>
        <v/>
      </c>
      <c r="CE922">
        <f>IFERROR(INDEX(PP_Grid[#Data],$DD922,81),0)</f>
        <v/>
      </c>
      <c r="CF922">
        <f>IFERROR(INDEX(PP_Grid[#Data],$DD922,82),0)</f>
        <v/>
      </c>
      <c r="CG922">
        <f>IFERROR(INDEX(PP_Grid[#Data],$DD922,83),0)</f>
        <v/>
      </c>
      <c r="CH922">
        <f>IFERROR(INDEX(PP_Grid[#Data],$DD922,84),0)</f>
        <v/>
      </c>
      <c r="CI922">
        <f>IFERROR(INDEX(PP_Grid[#Data],$DD922,85),0)</f>
        <v/>
      </c>
      <c r="CJ922">
        <f>IFERROR(INDEX(PP_Grid[#Data],$DD922,86),0)</f>
        <v/>
      </c>
      <c r="CK922">
        <f>IFERROR(INDEX(PP_Grid[#Data],$DD922,87),0)</f>
        <v/>
      </c>
      <c r="CL922">
        <f>IFERROR(INDEX(PP_Grid[#Data],$DD922,88),0)</f>
        <v/>
      </c>
      <c r="CM922">
        <f>IFERROR(INDEX(PP_Grid[#Data],$DD922,89),0)</f>
        <v/>
      </c>
      <c r="CN922">
        <f>IFERROR(INDEX(PP_Grid[#Data],$DD922,90),0)</f>
        <v/>
      </c>
      <c r="CO922">
        <f>IFERROR(INDEX(PP_Grid[#Data],$DD922,91),0)</f>
        <v/>
      </c>
      <c r="CP922">
        <f>IFERROR(INDEX(PP_Grid[#Data],$DD922,92),0)</f>
        <v/>
      </c>
      <c r="CQ922">
        <f>IFERROR(INDEX(PP_Grid[#Data],$DD922,93),0)</f>
        <v/>
      </c>
      <c r="CR922">
        <f>IFERROR(INDEX(PP_Grid[#Data],$DD922,94),0)</f>
        <v/>
      </c>
      <c r="CS922">
        <f>IFERROR(INDEX(PP_Grid[#Data],$DD922,95),0)</f>
        <v/>
      </c>
      <c r="CT922">
        <f>IFERROR(INDEX(PP_Grid[#Data],$DD922,96),0)</f>
        <v/>
      </c>
      <c r="CU922">
        <f>IFERROR(INDEX(PP_Grid[#Data],$DD922,97),0)</f>
        <v/>
      </c>
      <c r="CV922">
        <f>IFERROR(INDEX(PP_Grid[#Data],$DD922,98),0)</f>
        <v/>
      </c>
      <c r="CW922">
        <f>IFERROR(INDEX(PP_Grid[#Data],$DD922,99),0)</f>
        <v/>
      </c>
      <c r="CX922">
        <f>IFERROR(INDEX(PP_Grid[#Data],$DD922,100),0)</f>
        <v/>
      </c>
      <c r="CY922">
        <f>IFERROR(INDEX(PP_Grid[#Data],$DD922,101),0)</f>
        <v/>
      </c>
      <c r="CZ922">
        <f>IFERROR(INDEX(PP_Grid[#Data],$DD922,102),0)</f>
        <v/>
      </c>
      <c r="DA922">
        <f>IFERROR(INDEX(PP_Grid[#Data],$DD922,103),0)</f>
        <v/>
      </c>
      <c r="DB922">
        <f>IFERROR(INDEX(PP_Grid[#Data],$DD922,104),0)</f>
        <v/>
      </c>
      <c r="DC922">
        <f>IFERROR(INDEX(PP_Grid[#Data],$DD922,105),0)</f>
        <v/>
      </c>
      <c r="DD922" s="12">
        <f>IFERROR(MATCH($B922,PP_Grid[Intermediate],0),99999)</f>
        <v/>
      </c>
    </row>
    <row r="923">
      <c r="B923" t="inlineStr">
        <is>
          <t>使用量(kg)</t>
        </is>
      </c>
      <c r="C923">
        <f>SUMIFS(M_BOM[RM_Qty_Per_Batch],M_BOM[Intermediate],$B922,M_BOM[Part Name],$A909)</f>
        <v/>
      </c>
      <c r="D923">
        <f>$C923*D922</f>
        <v/>
      </c>
      <c r="E923">
        <f>$C923*E922</f>
        <v/>
      </c>
      <c r="F923">
        <f>$C923*F922</f>
        <v/>
      </c>
      <c r="G923">
        <f>$C923*G922</f>
        <v/>
      </c>
      <c r="H923">
        <f>$C923*H922</f>
        <v/>
      </c>
      <c r="I923">
        <f>$C923*I922</f>
        <v/>
      </c>
      <c r="J923">
        <f>$C923*J922</f>
        <v/>
      </c>
      <c r="K923">
        <f>$C923*K922</f>
        <v/>
      </c>
      <c r="L923">
        <f>$C923*L922</f>
        <v/>
      </c>
      <c r="M923">
        <f>$C923*M922</f>
        <v/>
      </c>
      <c r="N923">
        <f>$C923*N922</f>
        <v/>
      </c>
      <c r="O923">
        <f>$C923*O922</f>
        <v/>
      </c>
      <c r="P923">
        <f>$C923*P922</f>
        <v/>
      </c>
      <c r="Q923">
        <f>$C923*Q922</f>
        <v/>
      </c>
      <c r="R923">
        <f>$C923*R922</f>
        <v/>
      </c>
      <c r="S923">
        <f>$C923*S922</f>
        <v/>
      </c>
      <c r="T923">
        <f>$C923*T922</f>
        <v/>
      </c>
      <c r="U923">
        <f>$C923*U922</f>
        <v/>
      </c>
      <c r="V923">
        <f>$C923*V922</f>
        <v/>
      </c>
      <c r="W923">
        <f>$C923*W922</f>
        <v/>
      </c>
      <c r="X923">
        <f>$C923*X922</f>
        <v/>
      </c>
      <c r="Y923">
        <f>$C923*Y922</f>
        <v/>
      </c>
      <c r="Z923">
        <f>$C923*Z922</f>
        <v/>
      </c>
      <c r="AA923">
        <f>$C923*AA922</f>
        <v/>
      </c>
      <c r="AB923">
        <f>$C923*AB922</f>
        <v/>
      </c>
      <c r="AC923">
        <f>$C923*AC922</f>
        <v/>
      </c>
      <c r="AD923">
        <f>$C923*AD922</f>
        <v/>
      </c>
      <c r="AE923">
        <f>$C923*AE922</f>
        <v/>
      </c>
      <c r="AF923">
        <f>$C923*AF922</f>
        <v/>
      </c>
      <c r="AG923">
        <f>$C923*AG922</f>
        <v/>
      </c>
      <c r="AH923">
        <f>$C923*AH922</f>
        <v/>
      </c>
      <c r="AI923">
        <f>$C923*AI922</f>
        <v/>
      </c>
      <c r="AJ923">
        <f>$C923*AJ922</f>
        <v/>
      </c>
      <c r="AK923">
        <f>$C923*AK922</f>
        <v/>
      </c>
      <c r="AL923">
        <f>$C923*AL922</f>
        <v/>
      </c>
      <c r="AM923">
        <f>$C923*AM922</f>
        <v/>
      </c>
      <c r="AN923">
        <f>$C923*AN922</f>
        <v/>
      </c>
      <c r="AO923">
        <f>$C923*AO922</f>
        <v/>
      </c>
      <c r="AP923">
        <f>$C923*AP922</f>
        <v/>
      </c>
      <c r="AQ923">
        <f>$C923*AQ922</f>
        <v/>
      </c>
      <c r="AR923">
        <f>$C923*AR922</f>
        <v/>
      </c>
      <c r="AS923">
        <f>$C923*AS922</f>
        <v/>
      </c>
      <c r="AT923">
        <f>$C923*AT922</f>
        <v/>
      </c>
      <c r="AU923">
        <f>$C923*AU922</f>
        <v/>
      </c>
      <c r="AV923">
        <f>$C923*AV922</f>
        <v/>
      </c>
      <c r="AW923">
        <f>$C923*AW922</f>
        <v/>
      </c>
      <c r="AX923">
        <f>$C923*AX922</f>
        <v/>
      </c>
      <c r="AY923">
        <f>$C923*AY922</f>
        <v/>
      </c>
      <c r="AZ923">
        <f>$C923*AZ922</f>
        <v/>
      </c>
      <c r="BA923">
        <f>$C923*BA922</f>
        <v/>
      </c>
      <c r="BB923">
        <f>$C923*BB922</f>
        <v/>
      </c>
      <c r="BC923">
        <f>$C923*BC922</f>
        <v/>
      </c>
      <c r="BD923">
        <f>$C923*BD922</f>
        <v/>
      </c>
      <c r="BE923">
        <f>$C923*BE922</f>
        <v/>
      </c>
      <c r="BF923">
        <f>$C923*BF922</f>
        <v/>
      </c>
      <c r="BG923">
        <f>$C923*BG922</f>
        <v/>
      </c>
      <c r="BH923">
        <f>$C923*BH922</f>
        <v/>
      </c>
      <c r="BI923">
        <f>$C923*BI922</f>
        <v/>
      </c>
      <c r="BJ923">
        <f>$C923*BJ922</f>
        <v/>
      </c>
      <c r="BK923">
        <f>$C923*BK922</f>
        <v/>
      </c>
      <c r="BL923">
        <f>$C923*BL922</f>
        <v/>
      </c>
      <c r="BM923">
        <f>$C923*BM922</f>
        <v/>
      </c>
      <c r="BN923">
        <f>$C923*BN922</f>
        <v/>
      </c>
      <c r="BO923">
        <f>$C923*BO922</f>
        <v/>
      </c>
      <c r="BP923">
        <f>$C923*BP922</f>
        <v/>
      </c>
      <c r="BQ923">
        <f>$C923*BQ922</f>
        <v/>
      </c>
      <c r="BR923">
        <f>$C923*BR922</f>
        <v/>
      </c>
      <c r="BS923">
        <f>$C923*BS922</f>
        <v/>
      </c>
      <c r="BT923">
        <f>$C923*BT922</f>
        <v/>
      </c>
      <c r="BU923">
        <f>$C923*BU922</f>
        <v/>
      </c>
      <c r="BV923">
        <f>$C923*BV922</f>
        <v/>
      </c>
      <c r="BW923">
        <f>$C923*BW922</f>
        <v/>
      </c>
      <c r="BX923">
        <f>$C923*BX922</f>
        <v/>
      </c>
      <c r="BY923">
        <f>$C923*BY922</f>
        <v/>
      </c>
      <c r="BZ923">
        <f>$C923*BZ922</f>
        <v/>
      </c>
      <c r="CA923">
        <f>$C923*CA922</f>
        <v/>
      </c>
      <c r="CB923">
        <f>$C923*CB922</f>
        <v/>
      </c>
      <c r="CC923">
        <f>$C923*CC922</f>
        <v/>
      </c>
      <c r="CD923">
        <f>$C923*CD922</f>
        <v/>
      </c>
      <c r="CE923">
        <f>$C923*CE922</f>
        <v/>
      </c>
      <c r="CF923">
        <f>$C923*CF922</f>
        <v/>
      </c>
      <c r="CG923">
        <f>$C923*CG922</f>
        <v/>
      </c>
      <c r="CH923">
        <f>$C923*CH922</f>
        <v/>
      </c>
      <c r="CI923">
        <f>$C923*CI922</f>
        <v/>
      </c>
      <c r="CJ923">
        <f>$C923*CJ922</f>
        <v/>
      </c>
      <c r="CK923">
        <f>$C923*CK922</f>
        <v/>
      </c>
      <c r="CL923">
        <f>$C923*CL922</f>
        <v/>
      </c>
      <c r="CM923">
        <f>$C923*CM922</f>
        <v/>
      </c>
      <c r="CN923">
        <f>$C923*CN922</f>
        <v/>
      </c>
      <c r="CO923">
        <f>$C923*CO922</f>
        <v/>
      </c>
      <c r="CP923">
        <f>$C923*CP922</f>
        <v/>
      </c>
      <c r="CQ923">
        <f>$C923*CQ922</f>
        <v/>
      </c>
      <c r="CR923">
        <f>$C923*CR922</f>
        <v/>
      </c>
      <c r="CS923">
        <f>$C923*CS922</f>
        <v/>
      </c>
      <c r="CT923">
        <f>$C923*CT922</f>
        <v/>
      </c>
      <c r="CU923">
        <f>$C923*CU922</f>
        <v/>
      </c>
      <c r="CV923">
        <f>$C923*CV922</f>
        <v/>
      </c>
      <c r="CW923">
        <f>$C923*CW922</f>
        <v/>
      </c>
      <c r="CX923">
        <f>$C923*CX922</f>
        <v/>
      </c>
      <c r="CY923">
        <f>$C923*CY922</f>
        <v/>
      </c>
      <c r="CZ923">
        <f>$C923*CZ922</f>
        <v/>
      </c>
      <c r="DA923">
        <f>$C923*DA922</f>
        <v/>
      </c>
      <c r="DB923">
        <f>$C923*DB922</f>
        <v/>
      </c>
      <c r="DC923">
        <f>$C923*DC922</f>
        <v/>
      </c>
    </row>
    <row r="924">
      <c r="B924" t="inlineStr">
        <is>
          <t>TPP-920</t>
        </is>
      </c>
      <c r="C924" t="inlineStr">
        <is>
          <t>No. of batches</t>
        </is>
      </c>
      <c r="D924">
        <f>IFERROR(INDEX(PP_Grid[#Data],$DD924,2),0)</f>
        <v/>
      </c>
      <c r="E924">
        <f>IFERROR(INDEX(PP_Grid[#Data],$DD924,3),0)</f>
        <v/>
      </c>
      <c r="F924">
        <f>IFERROR(INDEX(PP_Grid[#Data],$DD924,4),0)</f>
        <v/>
      </c>
      <c r="G924">
        <f>IFERROR(INDEX(PP_Grid[#Data],$DD924,5),0)</f>
        <v/>
      </c>
      <c r="H924">
        <f>IFERROR(INDEX(PP_Grid[#Data],$DD924,6),0)</f>
        <v/>
      </c>
      <c r="I924">
        <f>IFERROR(INDEX(PP_Grid[#Data],$DD924,7),0)</f>
        <v/>
      </c>
      <c r="J924">
        <f>IFERROR(INDEX(PP_Grid[#Data],$DD924,8),0)</f>
        <v/>
      </c>
      <c r="K924">
        <f>IFERROR(INDEX(PP_Grid[#Data],$DD924,9),0)</f>
        <v/>
      </c>
      <c r="L924">
        <f>IFERROR(INDEX(PP_Grid[#Data],$DD924,10),0)</f>
        <v/>
      </c>
      <c r="M924">
        <f>IFERROR(INDEX(PP_Grid[#Data],$DD924,11),0)</f>
        <v/>
      </c>
      <c r="N924">
        <f>IFERROR(INDEX(PP_Grid[#Data],$DD924,12),0)</f>
        <v/>
      </c>
      <c r="O924">
        <f>IFERROR(INDEX(PP_Grid[#Data],$DD924,13),0)</f>
        <v/>
      </c>
      <c r="P924">
        <f>IFERROR(INDEX(PP_Grid[#Data],$DD924,14),0)</f>
        <v/>
      </c>
      <c r="Q924">
        <f>IFERROR(INDEX(PP_Grid[#Data],$DD924,15),0)</f>
        <v/>
      </c>
      <c r="R924">
        <f>IFERROR(INDEX(PP_Grid[#Data],$DD924,16),0)</f>
        <v/>
      </c>
      <c r="S924">
        <f>IFERROR(INDEX(PP_Grid[#Data],$DD924,17),0)</f>
        <v/>
      </c>
      <c r="T924">
        <f>IFERROR(INDEX(PP_Grid[#Data],$DD924,18),0)</f>
        <v/>
      </c>
      <c r="U924">
        <f>IFERROR(INDEX(PP_Grid[#Data],$DD924,19),0)</f>
        <v/>
      </c>
      <c r="V924">
        <f>IFERROR(INDEX(PP_Grid[#Data],$DD924,20),0)</f>
        <v/>
      </c>
      <c r="W924">
        <f>IFERROR(INDEX(PP_Grid[#Data],$DD924,21),0)</f>
        <v/>
      </c>
      <c r="X924">
        <f>IFERROR(INDEX(PP_Grid[#Data],$DD924,22),0)</f>
        <v/>
      </c>
      <c r="Y924">
        <f>IFERROR(INDEX(PP_Grid[#Data],$DD924,23),0)</f>
        <v/>
      </c>
      <c r="Z924">
        <f>IFERROR(INDEX(PP_Grid[#Data],$DD924,24),0)</f>
        <v/>
      </c>
      <c r="AA924">
        <f>IFERROR(INDEX(PP_Grid[#Data],$DD924,25),0)</f>
        <v/>
      </c>
      <c r="AB924">
        <f>IFERROR(INDEX(PP_Grid[#Data],$DD924,26),0)</f>
        <v/>
      </c>
      <c r="AC924">
        <f>IFERROR(INDEX(PP_Grid[#Data],$DD924,27),0)</f>
        <v/>
      </c>
      <c r="AD924">
        <f>IFERROR(INDEX(PP_Grid[#Data],$DD924,28),0)</f>
        <v/>
      </c>
      <c r="AE924">
        <f>IFERROR(INDEX(PP_Grid[#Data],$DD924,29),0)</f>
        <v/>
      </c>
      <c r="AF924">
        <f>IFERROR(INDEX(PP_Grid[#Data],$DD924,30),0)</f>
        <v/>
      </c>
      <c r="AG924">
        <f>IFERROR(INDEX(PP_Grid[#Data],$DD924,31),0)</f>
        <v/>
      </c>
      <c r="AH924">
        <f>IFERROR(INDEX(PP_Grid[#Data],$DD924,32),0)</f>
        <v/>
      </c>
      <c r="AI924">
        <f>IFERROR(INDEX(PP_Grid[#Data],$DD924,33),0)</f>
        <v/>
      </c>
      <c r="AJ924">
        <f>IFERROR(INDEX(PP_Grid[#Data],$DD924,34),0)</f>
        <v/>
      </c>
      <c r="AK924">
        <f>IFERROR(INDEX(PP_Grid[#Data],$DD924,35),0)</f>
        <v/>
      </c>
      <c r="AL924">
        <f>IFERROR(INDEX(PP_Grid[#Data],$DD924,36),0)</f>
        <v/>
      </c>
      <c r="AM924">
        <f>IFERROR(INDEX(PP_Grid[#Data],$DD924,37),0)</f>
        <v/>
      </c>
      <c r="AN924">
        <f>IFERROR(INDEX(PP_Grid[#Data],$DD924,38),0)</f>
        <v/>
      </c>
      <c r="AO924">
        <f>IFERROR(INDEX(PP_Grid[#Data],$DD924,39),0)</f>
        <v/>
      </c>
      <c r="AP924">
        <f>IFERROR(INDEX(PP_Grid[#Data],$DD924,40),0)</f>
        <v/>
      </c>
      <c r="AQ924">
        <f>IFERROR(INDEX(PP_Grid[#Data],$DD924,41),0)</f>
        <v/>
      </c>
      <c r="AR924">
        <f>IFERROR(INDEX(PP_Grid[#Data],$DD924,42),0)</f>
        <v/>
      </c>
      <c r="AS924">
        <f>IFERROR(INDEX(PP_Grid[#Data],$DD924,43),0)</f>
        <v/>
      </c>
      <c r="AT924">
        <f>IFERROR(INDEX(PP_Grid[#Data],$DD924,44),0)</f>
        <v/>
      </c>
      <c r="AU924">
        <f>IFERROR(INDEX(PP_Grid[#Data],$DD924,45),0)</f>
        <v/>
      </c>
      <c r="AV924">
        <f>IFERROR(INDEX(PP_Grid[#Data],$DD924,46),0)</f>
        <v/>
      </c>
      <c r="AW924">
        <f>IFERROR(INDEX(PP_Grid[#Data],$DD924,47),0)</f>
        <v/>
      </c>
      <c r="AX924">
        <f>IFERROR(INDEX(PP_Grid[#Data],$DD924,48),0)</f>
        <v/>
      </c>
      <c r="AY924">
        <f>IFERROR(INDEX(PP_Grid[#Data],$DD924,49),0)</f>
        <v/>
      </c>
      <c r="AZ924">
        <f>IFERROR(INDEX(PP_Grid[#Data],$DD924,50),0)</f>
        <v/>
      </c>
      <c r="BA924">
        <f>IFERROR(INDEX(PP_Grid[#Data],$DD924,51),0)</f>
        <v/>
      </c>
      <c r="BB924">
        <f>IFERROR(INDEX(PP_Grid[#Data],$DD924,52),0)</f>
        <v/>
      </c>
      <c r="BC924">
        <f>IFERROR(INDEX(PP_Grid[#Data],$DD924,53),0)</f>
        <v/>
      </c>
      <c r="BD924">
        <f>IFERROR(INDEX(PP_Grid[#Data],$DD924,54),0)</f>
        <v/>
      </c>
      <c r="BE924">
        <f>IFERROR(INDEX(PP_Grid[#Data],$DD924,55),0)</f>
        <v/>
      </c>
      <c r="BF924">
        <f>IFERROR(INDEX(PP_Grid[#Data],$DD924,56),0)</f>
        <v/>
      </c>
      <c r="BG924">
        <f>IFERROR(INDEX(PP_Grid[#Data],$DD924,57),0)</f>
        <v/>
      </c>
      <c r="BH924">
        <f>IFERROR(INDEX(PP_Grid[#Data],$DD924,58),0)</f>
        <v/>
      </c>
      <c r="BI924">
        <f>IFERROR(INDEX(PP_Grid[#Data],$DD924,59),0)</f>
        <v/>
      </c>
      <c r="BJ924">
        <f>IFERROR(INDEX(PP_Grid[#Data],$DD924,60),0)</f>
        <v/>
      </c>
      <c r="BK924">
        <f>IFERROR(INDEX(PP_Grid[#Data],$DD924,61),0)</f>
        <v/>
      </c>
      <c r="BL924">
        <f>IFERROR(INDEX(PP_Grid[#Data],$DD924,62),0)</f>
        <v/>
      </c>
      <c r="BM924">
        <f>IFERROR(INDEX(PP_Grid[#Data],$DD924,63),0)</f>
        <v/>
      </c>
      <c r="BN924">
        <f>IFERROR(INDEX(PP_Grid[#Data],$DD924,64),0)</f>
        <v/>
      </c>
      <c r="BO924">
        <f>IFERROR(INDEX(PP_Grid[#Data],$DD924,65),0)</f>
        <v/>
      </c>
      <c r="BP924">
        <f>IFERROR(INDEX(PP_Grid[#Data],$DD924,66),0)</f>
        <v/>
      </c>
      <c r="BQ924">
        <f>IFERROR(INDEX(PP_Grid[#Data],$DD924,67),0)</f>
        <v/>
      </c>
      <c r="BR924">
        <f>IFERROR(INDEX(PP_Grid[#Data],$DD924,68),0)</f>
        <v/>
      </c>
      <c r="BS924">
        <f>IFERROR(INDEX(PP_Grid[#Data],$DD924,69),0)</f>
        <v/>
      </c>
      <c r="BT924">
        <f>IFERROR(INDEX(PP_Grid[#Data],$DD924,70),0)</f>
        <v/>
      </c>
      <c r="BU924">
        <f>IFERROR(INDEX(PP_Grid[#Data],$DD924,71),0)</f>
        <v/>
      </c>
      <c r="BV924">
        <f>IFERROR(INDEX(PP_Grid[#Data],$DD924,72),0)</f>
        <v/>
      </c>
      <c r="BW924">
        <f>IFERROR(INDEX(PP_Grid[#Data],$DD924,73),0)</f>
        <v/>
      </c>
      <c r="BX924">
        <f>IFERROR(INDEX(PP_Grid[#Data],$DD924,74),0)</f>
        <v/>
      </c>
      <c r="BY924">
        <f>IFERROR(INDEX(PP_Grid[#Data],$DD924,75),0)</f>
        <v/>
      </c>
      <c r="BZ924">
        <f>IFERROR(INDEX(PP_Grid[#Data],$DD924,76),0)</f>
        <v/>
      </c>
      <c r="CA924">
        <f>IFERROR(INDEX(PP_Grid[#Data],$DD924,77),0)</f>
        <v/>
      </c>
      <c r="CB924">
        <f>IFERROR(INDEX(PP_Grid[#Data],$DD924,78),0)</f>
        <v/>
      </c>
      <c r="CC924">
        <f>IFERROR(INDEX(PP_Grid[#Data],$DD924,79),0)</f>
        <v/>
      </c>
      <c r="CD924">
        <f>IFERROR(INDEX(PP_Grid[#Data],$DD924,80),0)</f>
        <v/>
      </c>
      <c r="CE924">
        <f>IFERROR(INDEX(PP_Grid[#Data],$DD924,81),0)</f>
        <v/>
      </c>
      <c r="CF924">
        <f>IFERROR(INDEX(PP_Grid[#Data],$DD924,82),0)</f>
        <v/>
      </c>
      <c r="CG924">
        <f>IFERROR(INDEX(PP_Grid[#Data],$DD924,83),0)</f>
        <v/>
      </c>
      <c r="CH924">
        <f>IFERROR(INDEX(PP_Grid[#Data],$DD924,84),0)</f>
        <v/>
      </c>
      <c r="CI924">
        <f>IFERROR(INDEX(PP_Grid[#Data],$DD924,85),0)</f>
        <v/>
      </c>
      <c r="CJ924">
        <f>IFERROR(INDEX(PP_Grid[#Data],$DD924,86),0)</f>
        <v/>
      </c>
      <c r="CK924">
        <f>IFERROR(INDEX(PP_Grid[#Data],$DD924,87),0)</f>
        <v/>
      </c>
      <c r="CL924">
        <f>IFERROR(INDEX(PP_Grid[#Data],$DD924,88),0)</f>
        <v/>
      </c>
      <c r="CM924">
        <f>IFERROR(INDEX(PP_Grid[#Data],$DD924,89),0)</f>
        <v/>
      </c>
      <c r="CN924">
        <f>IFERROR(INDEX(PP_Grid[#Data],$DD924,90),0)</f>
        <v/>
      </c>
      <c r="CO924">
        <f>IFERROR(INDEX(PP_Grid[#Data],$DD924,91),0)</f>
        <v/>
      </c>
      <c r="CP924">
        <f>IFERROR(INDEX(PP_Grid[#Data],$DD924,92),0)</f>
        <v/>
      </c>
      <c r="CQ924">
        <f>IFERROR(INDEX(PP_Grid[#Data],$DD924,93),0)</f>
        <v/>
      </c>
      <c r="CR924">
        <f>IFERROR(INDEX(PP_Grid[#Data],$DD924,94),0)</f>
        <v/>
      </c>
      <c r="CS924">
        <f>IFERROR(INDEX(PP_Grid[#Data],$DD924,95),0)</f>
        <v/>
      </c>
      <c r="CT924">
        <f>IFERROR(INDEX(PP_Grid[#Data],$DD924,96),0)</f>
        <v/>
      </c>
      <c r="CU924">
        <f>IFERROR(INDEX(PP_Grid[#Data],$DD924,97),0)</f>
        <v/>
      </c>
      <c r="CV924">
        <f>IFERROR(INDEX(PP_Grid[#Data],$DD924,98),0)</f>
        <v/>
      </c>
      <c r="CW924">
        <f>IFERROR(INDEX(PP_Grid[#Data],$DD924,99),0)</f>
        <v/>
      </c>
      <c r="CX924">
        <f>IFERROR(INDEX(PP_Grid[#Data],$DD924,100),0)</f>
        <v/>
      </c>
      <c r="CY924">
        <f>IFERROR(INDEX(PP_Grid[#Data],$DD924,101),0)</f>
        <v/>
      </c>
      <c r="CZ924">
        <f>IFERROR(INDEX(PP_Grid[#Data],$DD924,102),0)</f>
        <v/>
      </c>
      <c r="DA924">
        <f>IFERROR(INDEX(PP_Grid[#Data],$DD924,103),0)</f>
        <v/>
      </c>
      <c r="DB924">
        <f>IFERROR(INDEX(PP_Grid[#Data],$DD924,104),0)</f>
        <v/>
      </c>
      <c r="DC924">
        <f>IFERROR(INDEX(PP_Grid[#Data],$DD924,105),0)</f>
        <v/>
      </c>
      <c r="DD924" s="12">
        <f>IFERROR(MATCH($B924,PP_Grid[Intermediate],0),99999)</f>
        <v/>
      </c>
    </row>
    <row r="925">
      <c r="B925" t="inlineStr">
        <is>
          <t>使用量(kg)</t>
        </is>
      </c>
      <c r="C925">
        <f>SUMIFS(M_BOM[RM_Qty_Per_Batch],M_BOM[Intermediate],$B924,M_BOM[Part Name],$A909)</f>
        <v/>
      </c>
      <c r="D925">
        <f>$C925*D924</f>
        <v/>
      </c>
      <c r="E925">
        <f>$C925*E924</f>
        <v/>
      </c>
      <c r="F925">
        <f>$C925*F924</f>
        <v/>
      </c>
      <c r="G925">
        <f>$C925*G924</f>
        <v/>
      </c>
      <c r="H925">
        <f>$C925*H924</f>
        <v/>
      </c>
      <c r="I925">
        <f>$C925*I924</f>
        <v/>
      </c>
      <c r="J925">
        <f>$C925*J924</f>
        <v/>
      </c>
      <c r="K925">
        <f>$C925*K924</f>
        <v/>
      </c>
      <c r="L925">
        <f>$C925*L924</f>
        <v/>
      </c>
      <c r="M925">
        <f>$C925*M924</f>
        <v/>
      </c>
      <c r="N925">
        <f>$C925*N924</f>
        <v/>
      </c>
      <c r="O925">
        <f>$C925*O924</f>
        <v/>
      </c>
      <c r="P925">
        <f>$C925*P924</f>
        <v/>
      </c>
      <c r="Q925">
        <f>$C925*Q924</f>
        <v/>
      </c>
      <c r="R925">
        <f>$C925*R924</f>
        <v/>
      </c>
      <c r="S925">
        <f>$C925*S924</f>
        <v/>
      </c>
      <c r="T925">
        <f>$C925*T924</f>
        <v/>
      </c>
      <c r="U925">
        <f>$C925*U924</f>
        <v/>
      </c>
      <c r="V925">
        <f>$C925*V924</f>
        <v/>
      </c>
      <c r="W925">
        <f>$C925*W924</f>
        <v/>
      </c>
      <c r="X925">
        <f>$C925*X924</f>
        <v/>
      </c>
      <c r="Y925">
        <f>$C925*Y924</f>
        <v/>
      </c>
      <c r="Z925">
        <f>$C925*Z924</f>
        <v/>
      </c>
      <c r="AA925">
        <f>$C925*AA924</f>
        <v/>
      </c>
      <c r="AB925">
        <f>$C925*AB924</f>
        <v/>
      </c>
      <c r="AC925">
        <f>$C925*AC924</f>
        <v/>
      </c>
      <c r="AD925">
        <f>$C925*AD924</f>
        <v/>
      </c>
      <c r="AE925">
        <f>$C925*AE924</f>
        <v/>
      </c>
      <c r="AF925">
        <f>$C925*AF924</f>
        <v/>
      </c>
      <c r="AG925">
        <f>$C925*AG924</f>
        <v/>
      </c>
      <c r="AH925">
        <f>$C925*AH924</f>
        <v/>
      </c>
      <c r="AI925">
        <f>$C925*AI924</f>
        <v/>
      </c>
      <c r="AJ925">
        <f>$C925*AJ924</f>
        <v/>
      </c>
      <c r="AK925">
        <f>$C925*AK924</f>
        <v/>
      </c>
      <c r="AL925">
        <f>$C925*AL924</f>
        <v/>
      </c>
      <c r="AM925">
        <f>$C925*AM924</f>
        <v/>
      </c>
      <c r="AN925">
        <f>$C925*AN924</f>
        <v/>
      </c>
      <c r="AO925">
        <f>$C925*AO924</f>
        <v/>
      </c>
      <c r="AP925">
        <f>$C925*AP924</f>
        <v/>
      </c>
      <c r="AQ925">
        <f>$C925*AQ924</f>
        <v/>
      </c>
      <c r="AR925">
        <f>$C925*AR924</f>
        <v/>
      </c>
      <c r="AS925">
        <f>$C925*AS924</f>
        <v/>
      </c>
      <c r="AT925">
        <f>$C925*AT924</f>
        <v/>
      </c>
      <c r="AU925">
        <f>$C925*AU924</f>
        <v/>
      </c>
      <c r="AV925">
        <f>$C925*AV924</f>
        <v/>
      </c>
      <c r="AW925">
        <f>$C925*AW924</f>
        <v/>
      </c>
      <c r="AX925">
        <f>$C925*AX924</f>
        <v/>
      </c>
      <c r="AY925">
        <f>$C925*AY924</f>
        <v/>
      </c>
      <c r="AZ925">
        <f>$C925*AZ924</f>
        <v/>
      </c>
      <c r="BA925">
        <f>$C925*BA924</f>
        <v/>
      </c>
      <c r="BB925">
        <f>$C925*BB924</f>
        <v/>
      </c>
      <c r="BC925">
        <f>$C925*BC924</f>
        <v/>
      </c>
      <c r="BD925">
        <f>$C925*BD924</f>
        <v/>
      </c>
      <c r="BE925">
        <f>$C925*BE924</f>
        <v/>
      </c>
      <c r="BF925">
        <f>$C925*BF924</f>
        <v/>
      </c>
      <c r="BG925">
        <f>$C925*BG924</f>
        <v/>
      </c>
      <c r="BH925">
        <f>$C925*BH924</f>
        <v/>
      </c>
      <c r="BI925">
        <f>$C925*BI924</f>
        <v/>
      </c>
      <c r="BJ925">
        <f>$C925*BJ924</f>
        <v/>
      </c>
      <c r="BK925">
        <f>$C925*BK924</f>
        <v/>
      </c>
      <c r="BL925">
        <f>$C925*BL924</f>
        <v/>
      </c>
      <c r="BM925">
        <f>$C925*BM924</f>
        <v/>
      </c>
      <c r="BN925">
        <f>$C925*BN924</f>
        <v/>
      </c>
      <c r="BO925">
        <f>$C925*BO924</f>
        <v/>
      </c>
      <c r="BP925">
        <f>$C925*BP924</f>
        <v/>
      </c>
      <c r="BQ925">
        <f>$C925*BQ924</f>
        <v/>
      </c>
      <c r="BR925">
        <f>$C925*BR924</f>
        <v/>
      </c>
      <c r="BS925">
        <f>$C925*BS924</f>
        <v/>
      </c>
      <c r="BT925">
        <f>$C925*BT924</f>
        <v/>
      </c>
      <c r="BU925">
        <f>$C925*BU924</f>
        <v/>
      </c>
      <c r="BV925">
        <f>$C925*BV924</f>
        <v/>
      </c>
      <c r="BW925">
        <f>$C925*BW924</f>
        <v/>
      </c>
      <c r="BX925">
        <f>$C925*BX924</f>
        <v/>
      </c>
      <c r="BY925">
        <f>$C925*BY924</f>
        <v/>
      </c>
      <c r="BZ925">
        <f>$C925*BZ924</f>
        <v/>
      </c>
      <c r="CA925">
        <f>$C925*CA924</f>
        <v/>
      </c>
      <c r="CB925">
        <f>$C925*CB924</f>
        <v/>
      </c>
      <c r="CC925">
        <f>$C925*CC924</f>
        <v/>
      </c>
      <c r="CD925">
        <f>$C925*CD924</f>
        <v/>
      </c>
      <c r="CE925">
        <f>$C925*CE924</f>
        <v/>
      </c>
      <c r="CF925">
        <f>$C925*CF924</f>
        <v/>
      </c>
      <c r="CG925">
        <f>$C925*CG924</f>
        <v/>
      </c>
      <c r="CH925">
        <f>$C925*CH924</f>
        <v/>
      </c>
      <c r="CI925">
        <f>$C925*CI924</f>
        <v/>
      </c>
      <c r="CJ925">
        <f>$C925*CJ924</f>
        <v/>
      </c>
      <c r="CK925">
        <f>$C925*CK924</f>
        <v/>
      </c>
      <c r="CL925">
        <f>$C925*CL924</f>
        <v/>
      </c>
      <c r="CM925">
        <f>$C925*CM924</f>
        <v/>
      </c>
      <c r="CN925">
        <f>$C925*CN924</f>
        <v/>
      </c>
      <c r="CO925">
        <f>$C925*CO924</f>
        <v/>
      </c>
      <c r="CP925">
        <f>$C925*CP924</f>
        <v/>
      </c>
      <c r="CQ925">
        <f>$C925*CQ924</f>
        <v/>
      </c>
      <c r="CR925">
        <f>$C925*CR924</f>
        <v/>
      </c>
      <c r="CS925">
        <f>$C925*CS924</f>
        <v/>
      </c>
      <c r="CT925">
        <f>$C925*CT924</f>
        <v/>
      </c>
      <c r="CU925">
        <f>$C925*CU924</f>
        <v/>
      </c>
      <c r="CV925">
        <f>$C925*CV924</f>
        <v/>
      </c>
      <c r="CW925">
        <f>$C925*CW924</f>
        <v/>
      </c>
      <c r="CX925">
        <f>$C925*CX924</f>
        <v/>
      </c>
      <c r="CY925">
        <f>$C925*CY924</f>
        <v/>
      </c>
      <c r="CZ925">
        <f>$C925*CZ924</f>
        <v/>
      </c>
      <c r="DA925">
        <f>$C925*DA924</f>
        <v/>
      </c>
      <c r="DB925">
        <f>$C925*DB924</f>
        <v/>
      </c>
      <c r="DC925">
        <f>$C925*DC924</f>
        <v/>
      </c>
    </row>
    <row r="926">
      <c r="B926" t="inlineStr">
        <is>
          <t>TPP-922</t>
        </is>
      </c>
      <c r="C926" t="inlineStr">
        <is>
          <t>No. of batches</t>
        </is>
      </c>
      <c r="D926">
        <f>IFERROR(INDEX(PP_Grid[#Data],$DD926,2),0)</f>
        <v/>
      </c>
      <c r="E926">
        <f>IFERROR(INDEX(PP_Grid[#Data],$DD926,3),0)</f>
        <v/>
      </c>
      <c r="F926">
        <f>IFERROR(INDEX(PP_Grid[#Data],$DD926,4),0)</f>
        <v/>
      </c>
      <c r="G926">
        <f>IFERROR(INDEX(PP_Grid[#Data],$DD926,5),0)</f>
        <v/>
      </c>
      <c r="H926">
        <f>IFERROR(INDEX(PP_Grid[#Data],$DD926,6),0)</f>
        <v/>
      </c>
      <c r="I926">
        <f>IFERROR(INDEX(PP_Grid[#Data],$DD926,7),0)</f>
        <v/>
      </c>
      <c r="J926">
        <f>IFERROR(INDEX(PP_Grid[#Data],$DD926,8),0)</f>
        <v/>
      </c>
      <c r="K926">
        <f>IFERROR(INDEX(PP_Grid[#Data],$DD926,9),0)</f>
        <v/>
      </c>
      <c r="L926">
        <f>IFERROR(INDEX(PP_Grid[#Data],$DD926,10),0)</f>
        <v/>
      </c>
      <c r="M926">
        <f>IFERROR(INDEX(PP_Grid[#Data],$DD926,11),0)</f>
        <v/>
      </c>
      <c r="N926">
        <f>IFERROR(INDEX(PP_Grid[#Data],$DD926,12),0)</f>
        <v/>
      </c>
      <c r="O926">
        <f>IFERROR(INDEX(PP_Grid[#Data],$DD926,13),0)</f>
        <v/>
      </c>
      <c r="P926">
        <f>IFERROR(INDEX(PP_Grid[#Data],$DD926,14),0)</f>
        <v/>
      </c>
      <c r="Q926">
        <f>IFERROR(INDEX(PP_Grid[#Data],$DD926,15),0)</f>
        <v/>
      </c>
      <c r="R926">
        <f>IFERROR(INDEX(PP_Grid[#Data],$DD926,16),0)</f>
        <v/>
      </c>
      <c r="S926">
        <f>IFERROR(INDEX(PP_Grid[#Data],$DD926,17),0)</f>
        <v/>
      </c>
      <c r="T926">
        <f>IFERROR(INDEX(PP_Grid[#Data],$DD926,18),0)</f>
        <v/>
      </c>
      <c r="U926">
        <f>IFERROR(INDEX(PP_Grid[#Data],$DD926,19),0)</f>
        <v/>
      </c>
      <c r="V926">
        <f>IFERROR(INDEX(PP_Grid[#Data],$DD926,20),0)</f>
        <v/>
      </c>
      <c r="W926">
        <f>IFERROR(INDEX(PP_Grid[#Data],$DD926,21),0)</f>
        <v/>
      </c>
      <c r="X926">
        <f>IFERROR(INDEX(PP_Grid[#Data],$DD926,22),0)</f>
        <v/>
      </c>
      <c r="Y926">
        <f>IFERROR(INDEX(PP_Grid[#Data],$DD926,23),0)</f>
        <v/>
      </c>
      <c r="Z926">
        <f>IFERROR(INDEX(PP_Grid[#Data],$DD926,24),0)</f>
        <v/>
      </c>
      <c r="AA926">
        <f>IFERROR(INDEX(PP_Grid[#Data],$DD926,25),0)</f>
        <v/>
      </c>
      <c r="AB926">
        <f>IFERROR(INDEX(PP_Grid[#Data],$DD926,26),0)</f>
        <v/>
      </c>
      <c r="AC926">
        <f>IFERROR(INDEX(PP_Grid[#Data],$DD926,27),0)</f>
        <v/>
      </c>
      <c r="AD926">
        <f>IFERROR(INDEX(PP_Grid[#Data],$DD926,28),0)</f>
        <v/>
      </c>
      <c r="AE926">
        <f>IFERROR(INDEX(PP_Grid[#Data],$DD926,29),0)</f>
        <v/>
      </c>
      <c r="AF926">
        <f>IFERROR(INDEX(PP_Grid[#Data],$DD926,30),0)</f>
        <v/>
      </c>
      <c r="AG926">
        <f>IFERROR(INDEX(PP_Grid[#Data],$DD926,31),0)</f>
        <v/>
      </c>
      <c r="AH926">
        <f>IFERROR(INDEX(PP_Grid[#Data],$DD926,32),0)</f>
        <v/>
      </c>
      <c r="AI926">
        <f>IFERROR(INDEX(PP_Grid[#Data],$DD926,33),0)</f>
        <v/>
      </c>
      <c r="AJ926">
        <f>IFERROR(INDEX(PP_Grid[#Data],$DD926,34),0)</f>
        <v/>
      </c>
      <c r="AK926">
        <f>IFERROR(INDEX(PP_Grid[#Data],$DD926,35),0)</f>
        <v/>
      </c>
      <c r="AL926">
        <f>IFERROR(INDEX(PP_Grid[#Data],$DD926,36),0)</f>
        <v/>
      </c>
      <c r="AM926">
        <f>IFERROR(INDEX(PP_Grid[#Data],$DD926,37),0)</f>
        <v/>
      </c>
      <c r="AN926">
        <f>IFERROR(INDEX(PP_Grid[#Data],$DD926,38),0)</f>
        <v/>
      </c>
      <c r="AO926">
        <f>IFERROR(INDEX(PP_Grid[#Data],$DD926,39),0)</f>
        <v/>
      </c>
      <c r="AP926">
        <f>IFERROR(INDEX(PP_Grid[#Data],$DD926,40),0)</f>
        <v/>
      </c>
      <c r="AQ926">
        <f>IFERROR(INDEX(PP_Grid[#Data],$DD926,41),0)</f>
        <v/>
      </c>
      <c r="AR926">
        <f>IFERROR(INDEX(PP_Grid[#Data],$DD926,42),0)</f>
        <v/>
      </c>
      <c r="AS926">
        <f>IFERROR(INDEX(PP_Grid[#Data],$DD926,43),0)</f>
        <v/>
      </c>
      <c r="AT926">
        <f>IFERROR(INDEX(PP_Grid[#Data],$DD926,44),0)</f>
        <v/>
      </c>
      <c r="AU926">
        <f>IFERROR(INDEX(PP_Grid[#Data],$DD926,45),0)</f>
        <v/>
      </c>
      <c r="AV926">
        <f>IFERROR(INDEX(PP_Grid[#Data],$DD926,46),0)</f>
        <v/>
      </c>
      <c r="AW926">
        <f>IFERROR(INDEX(PP_Grid[#Data],$DD926,47),0)</f>
        <v/>
      </c>
      <c r="AX926">
        <f>IFERROR(INDEX(PP_Grid[#Data],$DD926,48),0)</f>
        <v/>
      </c>
      <c r="AY926">
        <f>IFERROR(INDEX(PP_Grid[#Data],$DD926,49),0)</f>
        <v/>
      </c>
      <c r="AZ926">
        <f>IFERROR(INDEX(PP_Grid[#Data],$DD926,50),0)</f>
        <v/>
      </c>
      <c r="BA926">
        <f>IFERROR(INDEX(PP_Grid[#Data],$DD926,51),0)</f>
        <v/>
      </c>
      <c r="BB926">
        <f>IFERROR(INDEX(PP_Grid[#Data],$DD926,52),0)</f>
        <v/>
      </c>
      <c r="BC926">
        <f>IFERROR(INDEX(PP_Grid[#Data],$DD926,53),0)</f>
        <v/>
      </c>
      <c r="BD926">
        <f>IFERROR(INDEX(PP_Grid[#Data],$DD926,54),0)</f>
        <v/>
      </c>
      <c r="BE926">
        <f>IFERROR(INDEX(PP_Grid[#Data],$DD926,55),0)</f>
        <v/>
      </c>
      <c r="BF926">
        <f>IFERROR(INDEX(PP_Grid[#Data],$DD926,56),0)</f>
        <v/>
      </c>
      <c r="BG926">
        <f>IFERROR(INDEX(PP_Grid[#Data],$DD926,57),0)</f>
        <v/>
      </c>
      <c r="BH926">
        <f>IFERROR(INDEX(PP_Grid[#Data],$DD926,58),0)</f>
        <v/>
      </c>
      <c r="BI926">
        <f>IFERROR(INDEX(PP_Grid[#Data],$DD926,59),0)</f>
        <v/>
      </c>
      <c r="BJ926">
        <f>IFERROR(INDEX(PP_Grid[#Data],$DD926,60),0)</f>
        <v/>
      </c>
      <c r="BK926">
        <f>IFERROR(INDEX(PP_Grid[#Data],$DD926,61),0)</f>
        <v/>
      </c>
      <c r="BL926">
        <f>IFERROR(INDEX(PP_Grid[#Data],$DD926,62),0)</f>
        <v/>
      </c>
      <c r="BM926">
        <f>IFERROR(INDEX(PP_Grid[#Data],$DD926,63),0)</f>
        <v/>
      </c>
      <c r="BN926">
        <f>IFERROR(INDEX(PP_Grid[#Data],$DD926,64),0)</f>
        <v/>
      </c>
      <c r="BO926">
        <f>IFERROR(INDEX(PP_Grid[#Data],$DD926,65),0)</f>
        <v/>
      </c>
      <c r="BP926">
        <f>IFERROR(INDEX(PP_Grid[#Data],$DD926,66),0)</f>
        <v/>
      </c>
      <c r="BQ926">
        <f>IFERROR(INDEX(PP_Grid[#Data],$DD926,67),0)</f>
        <v/>
      </c>
      <c r="BR926">
        <f>IFERROR(INDEX(PP_Grid[#Data],$DD926,68),0)</f>
        <v/>
      </c>
      <c r="BS926">
        <f>IFERROR(INDEX(PP_Grid[#Data],$DD926,69),0)</f>
        <v/>
      </c>
      <c r="BT926">
        <f>IFERROR(INDEX(PP_Grid[#Data],$DD926,70),0)</f>
        <v/>
      </c>
      <c r="BU926">
        <f>IFERROR(INDEX(PP_Grid[#Data],$DD926,71),0)</f>
        <v/>
      </c>
      <c r="BV926">
        <f>IFERROR(INDEX(PP_Grid[#Data],$DD926,72),0)</f>
        <v/>
      </c>
      <c r="BW926">
        <f>IFERROR(INDEX(PP_Grid[#Data],$DD926,73),0)</f>
        <v/>
      </c>
      <c r="BX926">
        <f>IFERROR(INDEX(PP_Grid[#Data],$DD926,74),0)</f>
        <v/>
      </c>
      <c r="BY926">
        <f>IFERROR(INDEX(PP_Grid[#Data],$DD926,75),0)</f>
        <v/>
      </c>
      <c r="BZ926">
        <f>IFERROR(INDEX(PP_Grid[#Data],$DD926,76),0)</f>
        <v/>
      </c>
      <c r="CA926">
        <f>IFERROR(INDEX(PP_Grid[#Data],$DD926,77),0)</f>
        <v/>
      </c>
      <c r="CB926">
        <f>IFERROR(INDEX(PP_Grid[#Data],$DD926,78),0)</f>
        <v/>
      </c>
      <c r="CC926">
        <f>IFERROR(INDEX(PP_Grid[#Data],$DD926,79),0)</f>
        <v/>
      </c>
      <c r="CD926">
        <f>IFERROR(INDEX(PP_Grid[#Data],$DD926,80),0)</f>
        <v/>
      </c>
      <c r="CE926">
        <f>IFERROR(INDEX(PP_Grid[#Data],$DD926,81),0)</f>
        <v/>
      </c>
      <c r="CF926">
        <f>IFERROR(INDEX(PP_Grid[#Data],$DD926,82),0)</f>
        <v/>
      </c>
      <c r="CG926">
        <f>IFERROR(INDEX(PP_Grid[#Data],$DD926,83),0)</f>
        <v/>
      </c>
      <c r="CH926">
        <f>IFERROR(INDEX(PP_Grid[#Data],$DD926,84),0)</f>
        <v/>
      </c>
      <c r="CI926">
        <f>IFERROR(INDEX(PP_Grid[#Data],$DD926,85),0)</f>
        <v/>
      </c>
      <c r="CJ926">
        <f>IFERROR(INDEX(PP_Grid[#Data],$DD926,86),0)</f>
        <v/>
      </c>
      <c r="CK926">
        <f>IFERROR(INDEX(PP_Grid[#Data],$DD926,87),0)</f>
        <v/>
      </c>
      <c r="CL926">
        <f>IFERROR(INDEX(PP_Grid[#Data],$DD926,88),0)</f>
        <v/>
      </c>
      <c r="CM926">
        <f>IFERROR(INDEX(PP_Grid[#Data],$DD926,89),0)</f>
        <v/>
      </c>
      <c r="CN926">
        <f>IFERROR(INDEX(PP_Grid[#Data],$DD926,90),0)</f>
        <v/>
      </c>
      <c r="CO926">
        <f>IFERROR(INDEX(PP_Grid[#Data],$DD926,91),0)</f>
        <v/>
      </c>
      <c r="CP926">
        <f>IFERROR(INDEX(PP_Grid[#Data],$DD926,92),0)</f>
        <v/>
      </c>
      <c r="CQ926">
        <f>IFERROR(INDEX(PP_Grid[#Data],$DD926,93),0)</f>
        <v/>
      </c>
      <c r="CR926">
        <f>IFERROR(INDEX(PP_Grid[#Data],$DD926,94),0)</f>
        <v/>
      </c>
      <c r="CS926">
        <f>IFERROR(INDEX(PP_Grid[#Data],$DD926,95),0)</f>
        <v/>
      </c>
      <c r="CT926">
        <f>IFERROR(INDEX(PP_Grid[#Data],$DD926,96),0)</f>
        <v/>
      </c>
      <c r="CU926">
        <f>IFERROR(INDEX(PP_Grid[#Data],$DD926,97),0)</f>
        <v/>
      </c>
      <c r="CV926">
        <f>IFERROR(INDEX(PP_Grid[#Data],$DD926,98),0)</f>
        <v/>
      </c>
      <c r="CW926">
        <f>IFERROR(INDEX(PP_Grid[#Data],$DD926,99),0)</f>
        <v/>
      </c>
      <c r="CX926">
        <f>IFERROR(INDEX(PP_Grid[#Data],$DD926,100),0)</f>
        <v/>
      </c>
      <c r="CY926">
        <f>IFERROR(INDEX(PP_Grid[#Data],$DD926,101),0)</f>
        <v/>
      </c>
      <c r="CZ926">
        <f>IFERROR(INDEX(PP_Grid[#Data],$DD926,102),0)</f>
        <v/>
      </c>
      <c r="DA926">
        <f>IFERROR(INDEX(PP_Grid[#Data],$DD926,103),0)</f>
        <v/>
      </c>
      <c r="DB926">
        <f>IFERROR(INDEX(PP_Grid[#Data],$DD926,104),0)</f>
        <v/>
      </c>
      <c r="DC926">
        <f>IFERROR(INDEX(PP_Grid[#Data],$DD926,105),0)</f>
        <v/>
      </c>
      <c r="DD926" s="12">
        <f>IFERROR(MATCH($B926,PP_Grid[Intermediate],0),99999)</f>
        <v/>
      </c>
    </row>
    <row r="927">
      <c r="B927" t="inlineStr">
        <is>
          <t>使用量(kg)</t>
        </is>
      </c>
      <c r="C927">
        <f>SUMIFS(M_BOM[RM_Qty_Per_Batch],M_BOM[Intermediate],$B926,M_BOM[Part Name],$A909)</f>
        <v/>
      </c>
      <c r="D927">
        <f>$C927*D926</f>
        <v/>
      </c>
      <c r="E927">
        <f>$C927*E926</f>
        <v/>
      </c>
      <c r="F927">
        <f>$C927*F926</f>
        <v/>
      </c>
      <c r="G927">
        <f>$C927*G926</f>
        <v/>
      </c>
      <c r="H927">
        <f>$C927*H926</f>
        <v/>
      </c>
      <c r="I927">
        <f>$C927*I926</f>
        <v/>
      </c>
      <c r="J927">
        <f>$C927*J926</f>
        <v/>
      </c>
      <c r="K927">
        <f>$C927*K926</f>
        <v/>
      </c>
      <c r="L927">
        <f>$C927*L926</f>
        <v/>
      </c>
      <c r="M927">
        <f>$C927*M926</f>
        <v/>
      </c>
      <c r="N927">
        <f>$C927*N926</f>
        <v/>
      </c>
      <c r="O927">
        <f>$C927*O926</f>
        <v/>
      </c>
      <c r="P927">
        <f>$C927*P926</f>
        <v/>
      </c>
      <c r="Q927">
        <f>$C927*Q926</f>
        <v/>
      </c>
      <c r="R927">
        <f>$C927*R926</f>
        <v/>
      </c>
      <c r="S927">
        <f>$C927*S926</f>
        <v/>
      </c>
      <c r="T927">
        <f>$C927*T926</f>
        <v/>
      </c>
      <c r="U927">
        <f>$C927*U926</f>
        <v/>
      </c>
      <c r="V927">
        <f>$C927*V926</f>
        <v/>
      </c>
      <c r="W927">
        <f>$C927*W926</f>
        <v/>
      </c>
      <c r="X927">
        <f>$C927*X926</f>
        <v/>
      </c>
      <c r="Y927">
        <f>$C927*Y926</f>
        <v/>
      </c>
      <c r="Z927">
        <f>$C927*Z926</f>
        <v/>
      </c>
      <c r="AA927">
        <f>$C927*AA926</f>
        <v/>
      </c>
      <c r="AB927">
        <f>$C927*AB926</f>
        <v/>
      </c>
      <c r="AC927">
        <f>$C927*AC926</f>
        <v/>
      </c>
      <c r="AD927">
        <f>$C927*AD926</f>
        <v/>
      </c>
      <c r="AE927">
        <f>$C927*AE926</f>
        <v/>
      </c>
      <c r="AF927">
        <f>$C927*AF926</f>
        <v/>
      </c>
      <c r="AG927">
        <f>$C927*AG926</f>
        <v/>
      </c>
      <c r="AH927">
        <f>$C927*AH926</f>
        <v/>
      </c>
      <c r="AI927">
        <f>$C927*AI926</f>
        <v/>
      </c>
      <c r="AJ927">
        <f>$C927*AJ926</f>
        <v/>
      </c>
      <c r="AK927">
        <f>$C927*AK926</f>
        <v/>
      </c>
      <c r="AL927">
        <f>$C927*AL926</f>
        <v/>
      </c>
      <c r="AM927">
        <f>$C927*AM926</f>
        <v/>
      </c>
      <c r="AN927">
        <f>$C927*AN926</f>
        <v/>
      </c>
      <c r="AO927">
        <f>$C927*AO926</f>
        <v/>
      </c>
      <c r="AP927">
        <f>$C927*AP926</f>
        <v/>
      </c>
      <c r="AQ927">
        <f>$C927*AQ926</f>
        <v/>
      </c>
      <c r="AR927">
        <f>$C927*AR926</f>
        <v/>
      </c>
      <c r="AS927">
        <f>$C927*AS926</f>
        <v/>
      </c>
      <c r="AT927">
        <f>$C927*AT926</f>
        <v/>
      </c>
      <c r="AU927">
        <f>$C927*AU926</f>
        <v/>
      </c>
      <c r="AV927">
        <f>$C927*AV926</f>
        <v/>
      </c>
      <c r="AW927">
        <f>$C927*AW926</f>
        <v/>
      </c>
      <c r="AX927">
        <f>$C927*AX926</f>
        <v/>
      </c>
      <c r="AY927">
        <f>$C927*AY926</f>
        <v/>
      </c>
      <c r="AZ927">
        <f>$C927*AZ926</f>
        <v/>
      </c>
      <c r="BA927">
        <f>$C927*BA926</f>
        <v/>
      </c>
      <c r="BB927">
        <f>$C927*BB926</f>
        <v/>
      </c>
      <c r="BC927">
        <f>$C927*BC926</f>
        <v/>
      </c>
      <c r="BD927">
        <f>$C927*BD926</f>
        <v/>
      </c>
      <c r="BE927">
        <f>$C927*BE926</f>
        <v/>
      </c>
      <c r="BF927">
        <f>$C927*BF926</f>
        <v/>
      </c>
      <c r="BG927">
        <f>$C927*BG926</f>
        <v/>
      </c>
      <c r="BH927">
        <f>$C927*BH926</f>
        <v/>
      </c>
      <c r="BI927">
        <f>$C927*BI926</f>
        <v/>
      </c>
      <c r="BJ927">
        <f>$C927*BJ926</f>
        <v/>
      </c>
      <c r="BK927">
        <f>$C927*BK926</f>
        <v/>
      </c>
      <c r="BL927">
        <f>$C927*BL926</f>
        <v/>
      </c>
      <c r="BM927">
        <f>$C927*BM926</f>
        <v/>
      </c>
      <c r="BN927">
        <f>$C927*BN926</f>
        <v/>
      </c>
      <c r="BO927">
        <f>$C927*BO926</f>
        <v/>
      </c>
      <c r="BP927">
        <f>$C927*BP926</f>
        <v/>
      </c>
      <c r="BQ927">
        <f>$C927*BQ926</f>
        <v/>
      </c>
      <c r="BR927">
        <f>$C927*BR926</f>
        <v/>
      </c>
      <c r="BS927">
        <f>$C927*BS926</f>
        <v/>
      </c>
      <c r="BT927">
        <f>$C927*BT926</f>
        <v/>
      </c>
      <c r="BU927">
        <f>$C927*BU926</f>
        <v/>
      </c>
      <c r="BV927">
        <f>$C927*BV926</f>
        <v/>
      </c>
      <c r="BW927">
        <f>$C927*BW926</f>
        <v/>
      </c>
      <c r="BX927">
        <f>$C927*BX926</f>
        <v/>
      </c>
      <c r="BY927">
        <f>$C927*BY926</f>
        <v/>
      </c>
      <c r="BZ927">
        <f>$C927*BZ926</f>
        <v/>
      </c>
      <c r="CA927">
        <f>$C927*CA926</f>
        <v/>
      </c>
      <c r="CB927">
        <f>$C927*CB926</f>
        <v/>
      </c>
      <c r="CC927">
        <f>$C927*CC926</f>
        <v/>
      </c>
      <c r="CD927">
        <f>$C927*CD926</f>
        <v/>
      </c>
      <c r="CE927">
        <f>$C927*CE926</f>
        <v/>
      </c>
      <c r="CF927">
        <f>$C927*CF926</f>
        <v/>
      </c>
      <c r="CG927">
        <f>$C927*CG926</f>
        <v/>
      </c>
      <c r="CH927">
        <f>$C927*CH926</f>
        <v/>
      </c>
      <c r="CI927">
        <f>$C927*CI926</f>
        <v/>
      </c>
      <c r="CJ927">
        <f>$C927*CJ926</f>
        <v/>
      </c>
      <c r="CK927">
        <f>$C927*CK926</f>
        <v/>
      </c>
      <c r="CL927">
        <f>$C927*CL926</f>
        <v/>
      </c>
      <c r="CM927">
        <f>$C927*CM926</f>
        <v/>
      </c>
      <c r="CN927">
        <f>$C927*CN926</f>
        <v/>
      </c>
      <c r="CO927">
        <f>$C927*CO926</f>
        <v/>
      </c>
      <c r="CP927">
        <f>$C927*CP926</f>
        <v/>
      </c>
      <c r="CQ927">
        <f>$C927*CQ926</f>
        <v/>
      </c>
      <c r="CR927">
        <f>$C927*CR926</f>
        <v/>
      </c>
      <c r="CS927">
        <f>$C927*CS926</f>
        <v/>
      </c>
      <c r="CT927">
        <f>$C927*CT926</f>
        <v/>
      </c>
      <c r="CU927">
        <f>$C927*CU926</f>
        <v/>
      </c>
      <c r="CV927">
        <f>$C927*CV926</f>
        <v/>
      </c>
      <c r="CW927">
        <f>$C927*CW926</f>
        <v/>
      </c>
      <c r="CX927">
        <f>$C927*CX926</f>
        <v/>
      </c>
      <c r="CY927">
        <f>$C927*CY926</f>
        <v/>
      </c>
      <c r="CZ927">
        <f>$C927*CZ926</f>
        <v/>
      </c>
      <c r="DA927">
        <f>$C927*DA926</f>
        <v/>
      </c>
      <c r="DB927">
        <f>$C927*DB926</f>
        <v/>
      </c>
      <c r="DC927">
        <f>$C927*DC926</f>
        <v/>
      </c>
    </row>
    <row r="928">
      <c r="B928" t="inlineStr">
        <is>
          <t>TPP-923</t>
        </is>
      </c>
      <c r="C928" t="inlineStr">
        <is>
          <t>No. of batches</t>
        </is>
      </c>
      <c r="D928">
        <f>IFERROR(INDEX(PP_Grid[#Data],$DD928,2),0)</f>
        <v/>
      </c>
      <c r="E928">
        <f>IFERROR(INDEX(PP_Grid[#Data],$DD928,3),0)</f>
        <v/>
      </c>
      <c r="F928">
        <f>IFERROR(INDEX(PP_Grid[#Data],$DD928,4),0)</f>
        <v/>
      </c>
      <c r="G928">
        <f>IFERROR(INDEX(PP_Grid[#Data],$DD928,5),0)</f>
        <v/>
      </c>
      <c r="H928">
        <f>IFERROR(INDEX(PP_Grid[#Data],$DD928,6),0)</f>
        <v/>
      </c>
      <c r="I928">
        <f>IFERROR(INDEX(PP_Grid[#Data],$DD928,7),0)</f>
        <v/>
      </c>
      <c r="J928">
        <f>IFERROR(INDEX(PP_Grid[#Data],$DD928,8),0)</f>
        <v/>
      </c>
      <c r="K928">
        <f>IFERROR(INDEX(PP_Grid[#Data],$DD928,9),0)</f>
        <v/>
      </c>
      <c r="L928">
        <f>IFERROR(INDEX(PP_Grid[#Data],$DD928,10),0)</f>
        <v/>
      </c>
      <c r="M928">
        <f>IFERROR(INDEX(PP_Grid[#Data],$DD928,11),0)</f>
        <v/>
      </c>
      <c r="N928">
        <f>IFERROR(INDEX(PP_Grid[#Data],$DD928,12),0)</f>
        <v/>
      </c>
      <c r="O928">
        <f>IFERROR(INDEX(PP_Grid[#Data],$DD928,13),0)</f>
        <v/>
      </c>
      <c r="P928">
        <f>IFERROR(INDEX(PP_Grid[#Data],$DD928,14),0)</f>
        <v/>
      </c>
      <c r="Q928">
        <f>IFERROR(INDEX(PP_Grid[#Data],$DD928,15),0)</f>
        <v/>
      </c>
      <c r="R928">
        <f>IFERROR(INDEX(PP_Grid[#Data],$DD928,16),0)</f>
        <v/>
      </c>
      <c r="S928">
        <f>IFERROR(INDEX(PP_Grid[#Data],$DD928,17),0)</f>
        <v/>
      </c>
      <c r="T928">
        <f>IFERROR(INDEX(PP_Grid[#Data],$DD928,18),0)</f>
        <v/>
      </c>
      <c r="U928">
        <f>IFERROR(INDEX(PP_Grid[#Data],$DD928,19),0)</f>
        <v/>
      </c>
      <c r="V928">
        <f>IFERROR(INDEX(PP_Grid[#Data],$DD928,20),0)</f>
        <v/>
      </c>
      <c r="W928">
        <f>IFERROR(INDEX(PP_Grid[#Data],$DD928,21),0)</f>
        <v/>
      </c>
      <c r="X928">
        <f>IFERROR(INDEX(PP_Grid[#Data],$DD928,22),0)</f>
        <v/>
      </c>
      <c r="Y928">
        <f>IFERROR(INDEX(PP_Grid[#Data],$DD928,23),0)</f>
        <v/>
      </c>
      <c r="Z928">
        <f>IFERROR(INDEX(PP_Grid[#Data],$DD928,24),0)</f>
        <v/>
      </c>
      <c r="AA928">
        <f>IFERROR(INDEX(PP_Grid[#Data],$DD928,25),0)</f>
        <v/>
      </c>
      <c r="AB928">
        <f>IFERROR(INDEX(PP_Grid[#Data],$DD928,26),0)</f>
        <v/>
      </c>
      <c r="AC928">
        <f>IFERROR(INDEX(PP_Grid[#Data],$DD928,27),0)</f>
        <v/>
      </c>
      <c r="AD928">
        <f>IFERROR(INDEX(PP_Grid[#Data],$DD928,28),0)</f>
        <v/>
      </c>
      <c r="AE928">
        <f>IFERROR(INDEX(PP_Grid[#Data],$DD928,29),0)</f>
        <v/>
      </c>
      <c r="AF928">
        <f>IFERROR(INDEX(PP_Grid[#Data],$DD928,30),0)</f>
        <v/>
      </c>
      <c r="AG928">
        <f>IFERROR(INDEX(PP_Grid[#Data],$DD928,31),0)</f>
        <v/>
      </c>
      <c r="AH928">
        <f>IFERROR(INDEX(PP_Grid[#Data],$DD928,32),0)</f>
        <v/>
      </c>
      <c r="AI928">
        <f>IFERROR(INDEX(PP_Grid[#Data],$DD928,33),0)</f>
        <v/>
      </c>
      <c r="AJ928">
        <f>IFERROR(INDEX(PP_Grid[#Data],$DD928,34),0)</f>
        <v/>
      </c>
      <c r="AK928">
        <f>IFERROR(INDEX(PP_Grid[#Data],$DD928,35),0)</f>
        <v/>
      </c>
      <c r="AL928">
        <f>IFERROR(INDEX(PP_Grid[#Data],$DD928,36),0)</f>
        <v/>
      </c>
      <c r="AM928">
        <f>IFERROR(INDEX(PP_Grid[#Data],$DD928,37),0)</f>
        <v/>
      </c>
      <c r="AN928">
        <f>IFERROR(INDEX(PP_Grid[#Data],$DD928,38),0)</f>
        <v/>
      </c>
      <c r="AO928">
        <f>IFERROR(INDEX(PP_Grid[#Data],$DD928,39),0)</f>
        <v/>
      </c>
      <c r="AP928">
        <f>IFERROR(INDEX(PP_Grid[#Data],$DD928,40),0)</f>
        <v/>
      </c>
      <c r="AQ928">
        <f>IFERROR(INDEX(PP_Grid[#Data],$DD928,41),0)</f>
        <v/>
      </c>
      <c r="AR928">
        <f>IFERROR(INDEX(PP_Grid[#Data],$DD928,42),0)</f>
        <v/>
      </c>
      <c r="AS928">
        <f>IFERROR(INDEX(PP_Grid[#Data],$DD928,43),0)</f>
        <v/>
      </c>
      <c r="AT928">
        <f>IFERROR(INDEX(PP_Grid[#Data],$DD928,44),0)</f>
        <v/>
      </c>
      <c r="AU928">
        <f>IFERROR(INDEX(PP_Grid[#Data],$DD928,45),0)</f>
        <v/>
      </c>
      <c r="AV928">
        <f>IFERROR(INDEX(PP_Grid[#Data],$DD928,46),0)</f>
        <v/>
      </c>
      <c r="AW928">
        <f>IFERROR(INDEX(PP_Grid[#Data],$DD928,47),0)</f>
        <v/>
      </c>
      <c r="AX928">
        <f>IFERROR(INDEX(PP_Grid[#Data],$DD928,48),0)</f>
        <v/>
      </c>
      <c r="AY928">
        <f>IFERROR(INDEX(PP_Grid[#Data],$DD928,49),0)</f>
        <v/>
      </c>
      <c r="AZ928">
        <f>IFERROR(INDEX(PP_Grid[#Data],$DD928,50),0)</f>
        <v/>
      </c>
      <c r="BA928">
        <f>IFERROR(INDEX(PP_Grid[#Data],$DD928,51),0)</f>
        <v/>
      </c>
      <c r="BB928">
        <f>IFERROR(INDEX(PP_Grid[#Data],$DD928,52),0)</f>
        <v/>
      </c>
      <c r="BC928">
        <f>IFERROR(INDEX(PP_Grid[#Data],$DD928,53),0)</f>
        <v/>
      </c>
      <c r="BD928">
        <f>IFERROR(INDEX(PP_Grid[#Data],$DD928,54),0)</f>
        <v/>
      </c>
      <c r="BE928">
        <f>IFERROR(INDEX(PP_Grid[#Data],$DD928,55),0)</f>
        <v/>
      </c>
      <c r="BF928">
        <f>IFERROR(INDEX(PP_Grid[#Data],$DD928,56),0)</f>
        <v/>
      </c>
      <c r="BG928">
        <f>IFERROR(INDEX(PP_Grid[#Data],$DD928,57),0)</f>
        <v/>
      </c>
      <c r="BH928">
        <f>IFERROR(INDEX(PP_Grid[#Data],$DD928,58),0)</f>
        <v/>
      </c>
      <c r="BI928">
        <f>IFERROR(INDEX(PP_Grid[#Data],$DD928,59),0)</f>
        <v/>
      </c>
      <c r="BJ928">
        <f>IFERROR(INDEX(PP_Grid[#Data],$DD928,60),0)</f>
        <v/>
      </c>
      <c r="BK928">
        <f>IFERROR(INDEX(PP_Grid[#Data],$DD928,61),0)</f>
        <v/>
      </c>
      <c r="BL928">
        <f>IFERROR(INDEX(PP_Grid[#Data],$DD928,62),0)</f>
        <v/>
      </c>
      <c r="BM928">
        <f>IFERROR(INDEX(PP_Grid[#Data],$DD928,63),0)</f>
        <v/>
      </c>
      <c r="BN928">
        <f>IFERROR(INDEX(PP_Grid[#Data],$DD928,64),0)</f>
        <v/>
      </c>
      <c r="BO928">
        <f>IFERROR(INDEX(PP_Grid[#Data],$DD928,65),0)</f>
        <v/>
      </c>
      <c r="BP928">
        <f>IFERROR(INDEX(PP_Grid[#Data],$DD928,66),0)</f>
        <v/>
      </c>
      <c r="BQ928">
        <f>IFERROR(INDEX(PP_Grid[#Data],$DD928,67),0)</f>
        <v/>
      </c>
      <c r="BR928">
        <f>IFERROR(INDEX(PP_Grid[#Data],$DD928,68),0)</f>
        <v/>
      </c>
      <c r="BS928">
        <f>IFERROR(INDEX(PP_Grid[#Data],$DD928,69),0)</f>
        <v/>
      </c>
      <c r="BT928">
        <f>IFERROR(INDEX(PP_Grid[#Data],$DD928,70),0)</f>
        <v/>
      </c>
      <c r="BU928">
        <f>IFERROR(INDEX(PP_Grid[#Data],$DD928,71),0)</f>
        <v/>
      </c>
      <c r="BV928">
        <f>IFERROR(INDEX(PP_Grid[#Data],$DD928,72),0)</f>
        <v/>
      </c>
      <c r="BW928">
        <f>IFERROR(INDEX(PP_Grid[#Data],$DD928,73),0)</f>
        <v/>
      </c>
      <c r="BX928">
        <f>IFERROR(INDEX(PP_Grid[#Data],$DD928,74),0)</f>
        <v/>
      </c>
      <c r="BY928">
        <f>IFERROR(INDEX(PP_Grid[#Data],$DD928,75),0)</f>
        <v/>
      </c>
      <c r="BZ928">
        <f>IFERROR(INDEX(PP_Grid[#Data],$DD928,76),0)</f>
        <v/>
      </c>
      <c r="CA928">
        <f>IFERROR(INDEX(PP_Grid[#Data],$DD928,77),0)</f>
        <v/>
      </c>
      <c r="CB928">
        <f>IFERROR(INDEX(PP_Grid[#Data],$DD928,78),0)</f>
        <v/>
      </c>
      <c r="CC928">
        <f>IFERROR(INDEX(PP_Grid[#Data],$DD928,79),0)</f>
        <v/>
      </c>
      <c r="CD928">
        <f>IFERROR(INDEX(PP_Grid[#Data],$DD928,80),0)</f>
        <v/>
      </c>
      <c r="CE928">
        <f>IFERROR(INDEX(PP_Grid[#Data],$DD928,81),0)</f>
        <v/>
      </c>
      <c r="CF928">
        <f>IFERROR(INDEX(PP_Grid[#Data],$DD928,82),0)</f>
        <v/>
      </c>
      <c r="CG928">
        <f>IFERROR(INDEX(PP_Grid[#Data],$DD928,83),0)</f>
        <v/>
      </c>
      <c r="CH928">
        <f>IFERROR(INDEX(PP_Grid[#Data],$DD928,84),0)</f>
        <v/>
      </c>
      <c r="CI928">
        <f>IFERROR(INDEX(PP_Grid[#Data],$DD928,85),0)</f>
        <v/>
      </c>
      <c r="CJ928">
        <f>IFERROR(INDEX(PP_Grid[#Data],$DD928,86),0)</f>
        <v/>
      </c>
      <c r="CK928">
        <f>IFERROR(INDEX(PP_Grid[#Data],$DD928,87),0)</f>
        <v/>
      </c>
      <c r="CL928">
        <f>IFERROR(INDEX(PP_Grid[#Data],$DD928,88),0)</f>
        <v/>
      </c>
      <c r="CM928">
        <f>IFERROR(INDEX(PP_Grid[#Data],$DD928,89),0)</f>
        <v/>
      </c>
      <c r="CN928">
        <f>IFERROR(INDEX(PP_Grid[#Data],$DD928,90),0)</f>
        <v/>
      </c>
      <c r="CO928">
        <f>IFERROR(INDEX(PP_Grid[#Data],$DD928,91),0)</f>
        <v/>
      </c>
      <c r="CP928">
        <f>IFERROR(INDEX(PP_Grid[#Data],$DD928,92),0)</f>
        <v/>
      </c>
      <c r="CQ928">
        <f>IFERROR(INDEX(PP_Grid[#Data],$DD928,93),0)</f>
        <v/>
      </c>
      <c r="CR928">
        <f>IFERROR(INDEX(PP_Grid[#Data],$DD928,94),0)</f>
        <v/>
      </c>
      <c r="CS928">
        <f>IFERROR(INDEX(PP_Grid[#Data],$DD928,95),0)</f>
        <v/>
      </c>
      <c r="CT928">
        <f>IFERROR(INDEX(PP_Grid[#Data],$DD928,96),0)</f>
        <v/>
      </c>
      <c r="CU928">
        <f>IFERROR(INDEX(PP_Grid[#Data],$DD928,97),0)</f>
        <v/>
      </c>
      <c r="CV928">
        <f>IFERROR(INDEX(PP_Grid[#Data],$DD928,98),0)</f>
        <v/>
      </c>
      <c r="CW928">
        <f>IFERROR(INDEX(PP_Grid[#Data],$DD928,99),0)</f>
        <v/>
      </c>
      <c r="CX928">
        <f>IFERROR(INDEX(PP_Grid[#Data],$DD928,100),0)</f>
        <v/>
      </c>
      <c r="CY928">
        <f>IFERROR(INDEX(PP_Grid[#Data],$DD928,101),0)</f>
        <v/>
      </c>
      <c r="CZ928">
        <f>IFERROR(INDEX(PP_Grid[#Data],$DD928,102),0)</f>
        <v/>
      </c>
      <c r="DA928">
        <f>IFERROR(INDEX(PP_Grid[#Data],$DD928,103),0)</f>
        <v/>
      </c>
      <c r="DB928">
        <f>IFERROR(INDEX(PP_Grid[#Data],$DD928,104),0)</f>
        <v/>
      </c>
      <c r="DC928">
        <f>IFERROR(INDEX(PP_Grid[#Data],$DD928,105),0)</f>
        <v/>
      </c>
      <c r="DD928" s="12">
        <f>IFERROR(MATCH($B928,PP_Grid[Intermediate],0),99999)</f>
        <v/>
      </c>
    </row>
    <row r="929">
      <c r="B929" t="inlineStr">
        <is>
          <t>使用量(kg)</t>
        </is>
      </c>
      <c r="C929">
        <f>SUMIFS(M_BOM[RM_Qty_Per_Batch],M_BOM[Intermediate],$B928,M_BOM[Part Name],$A909)</f>
        <v/>
      </c>
      <c r="D929">
        <f>$C929*D928</f>
        <v/>
      </c>
      <c r="E929">
        <f>$C929*E928</f>
        <v/>
      </c>
      <c r="F929">
        <f>$C929*F928</f>
        <v/>
      </c>
      <c r="G929">
        <f>$C929*G928</f>
        <v/>
      </c>
      <c r="H929">
        <f>$C929*H928</f>
        <v/>
      </c>
      <c r="I929">
        <f>$C929*I928</f>
        <v/>
      </c>
      <c r="J929">
        <f>$C929*J928</f>
        <v/>
      </c>
      <c r="K929">
        <f>$C929*K928</f>
        <v/>
      </c>
      <c r="L929">
        <f>$C929*L928</f>
        <v/>
      </c>
      <c r="M929">
        <f>$C929*M928</f>
        <v/>
      </c>
      <c r="N929">
        <f>$C929*N928</f>
        <v/>
      </c>
      <c r="O929">
        <f>$C929*O928</f>
        <v/>
      </c>
      <c r="P929">
        <f>$C929*P928</f>
        <v/>
      </c>
      <c r="Q929">
        <f>$C929*Q928</f>
        <v/>
      </c>
      <c r="R929">
        <f>$C929*R928</f>
        <v/>
      </c>
      <c r="S929">
        <f>$C929*S928</f>
        <v/>
      </c>
      <c r="T929">
        <f>$C929*T928</f>
        <v/>
      </c>
      <c r="U929">
        <f>$C929*U928</f>
        <v/>
      </c>
      <c r="V929">
        <f>$C929*V928</f>
        <v/>
      </c>
      <c r="W929">
        <f>$C929*W928</f>
        <v/>
      </c>
      <c r="X929">
        <f>$C929*X928</f>
        <v/>
      </c>
      <c r="Y929">
        <f>$C929*Y928</f>
        <v/>
      </c>
      <c r="Z929">
        <f>$C929*Z928</f>
        <v/>
      </c>
      <c r="AA929">
        <f>$C929*AA928</f>
        <v/>
      </c>
      <c r="AB929">
        <f>$C929*AB928</f>
        <v/>
      </c>
      <c r="AC929">
        <f>$C929*AC928</f>
        <v/>
      </c>
      <c r="AD929">
        <f>$C929*AD928</f>
        <v/>
      </c>
      <c r="AE929">
        <f>$C929*AE928</f>
        <v/>
      </c>
      <c r="AF929">
        <f>$C929*AF928</f>
        <v/>
      </c>
      <c r="AG929">
        <f>$C929*AG928</f>
        <v/>
      </c>
      <c r="AH929">
        <f>$C929*AH928</f>
        <v/>
      </c>
      <c r="AI929">
        <f>$C929*AI928</f>
        <v/>
      </c>
      <c r="AJ929">
        <f>$C929*AJ928</f>
        <v/>
      </c>
      <c r="AK929">
        <f>$C929*AK928</f>
        <v/>
      </c>
      <c r="AL929">
        <f>$C929*AL928</f>
        <v/>
      </c>
      <c r="AM929">
        <f>$C929*AM928</f>
        <v/>
      </c>
      <c r="AN929">
        <f>$C929*AN928</f>
        <v/>
      </c>
      <c r="AO929">
        <f>$C929*AO928</f>
        <v/>
      </c>
      <c r="AP929">
        <f>$C929*AP928</f>
        <v/>
      </c>
      <c r="AQ929">
        <f>$C929*AQ928</f>
        <v/>
      </c>
      <c r="AR929">
        <f>$C929*AR928</f>
        <v/>
      </c>
      <c r="AS929">
        <f>$C929*AS928</f>
        <v/>
      </c>
      <c r="AT929">
        <f>$C929*AT928</f>
        <v/>
      </c>
      <c r="AU929">
        <f>$C929*AU928</f>
        <v/>
      </c>
      <c r="AV929">
        <f>$C929*AV928</f>
        <v/>
      </c>
      <c r="AW929">
        <f>$C929*AW928</f>
        <v/>
      </c>
      <c r="AX929">
        <f>$C929*AX928</f>
        <v/>
      </c>
      <c r="AY929">
        <f>$C929*AY928</f>
        <v/>
      </c>
      <c r="AZ929">
        <f>$C929*AZ928</f>
        <v/>
      </c>
      <c r="BA929">
        <f>$C929*BA928</f>
        <v/>
      </c>
      <c r="BB929">
        <f>$C929*BB928</f>
        <v/>
      </c>
      <c r="BC929">
        <f>$C929*BC928</f>
        <v/>
      </c>
      <c r="BD929">
        <f>$C929*BD928</f>
        <v/>
      </c>
      <c r="BE929">
        <f>$C929*BE928</f>
        <v/>
      </c>
      <c r="BF929">
        <f>$C929*BF928</f>
        <v/>
      </c>
      <c r="BG929">
        <f>$C929*BG928</f>
        <v/>
      </c>
      <c r="BH929">
        <f>$C929*BH928</f>
        <v/>
      </c>
      <c r="BI929">
        <f>$C929*BI928</f>
        <v/>
      </c>
      <c r="BJ929">
        <f>$C929*BJ928</f>
        <v/>
      </c>
      <c r="BK929">
        <f>$C929*BK928</f>
        <v/>
      </c>
      <c r="BL929">
        <f>$C929*BL928</f>
        <v/>
      </c>
      <c r="BM929">
        <f>$C929*BM928</f>
        <v/>
      </c>
      <c r="BN929">
        <f>$C929*BN928</f>
        <v/>
      </c>
      <c r="BO929">
        <f>$C929*BO928</f>
        <v/>
      </c>
      <c r="BP929">
        <f>$C929*BP928</f>
        <v/>
      </c>
      <c r="BQ929">
        <f>$C929*BQ928</f>
        <v/>
      </c>
      <c r="BR929">
        <f>$C929*BR928</f>
        <v/>
      </c>
      <c r="BS929">
        <f>$C929*BS928</f>
        <v/>
      </c>
      <c r="BT929">
        <f>$C929*BT928</f>
        <v/>
      </c>
      <c r="BU929">
        <f>$C929*BU928</f>
        <v/>
      </c>
      <c r="BV929">
        <f>$C929*BV928</f>
        <v/>
      </c>
      <c r="BW929">
        <f>$C929*BW928</f>
        <v/>
      </c>
      <c r="BX929">
        <f>$C929*BX928</f>
        <v/>
      </c>
      <c r="BY929">
        <f>$C929*BY928</f>
        <v/>
      </c>
      <c r="BZ929">
        <f>$C929*BZ928</f>
        <v/>
      </c>
      <c r="CA929">
        <f>$C929*CA928</f>
        <v/>
      </c>
      <c r="CB929">
        <f>$C929*CB928</f>
        <v/>
      </c>
      <c r="CC929">
        <f>$C929*CC928</f>
        <v/>
      </c>
      <c r="CD929">
        <f>$C929*CD928</f>
        <v/>
      </c>
      <c r="CE929">
        <f>$C929*CE928</f>
        <v/>
      </c>
      <c r="CF929">
        <f>$C929*CF928</f>
        <v/>
      </c>
      <c r="CG929">
        <f>$C929*CG928</f>
        <v/>
      </c>
      <c r="CH929">
        <f>$C929*CH928</f>
        <v/>
      </c>
      <c r="CI929">
        <f>$C929*CI928</f>
        <v/>
      </c>
      <c r="CJ929">
        <f>$C929*CJ928</f>
        <v/>
      </c>
      <c r="CK929">
        <f>$C929*CK928</f>
        <v/>
      </c>
      <c r="CL929">
        <f>$C929*CL928</f>
        <v/>
      </c>
      <c r="CM929">
        <f>$C929*CM928</f>
        <v/>
      </c>
      <c r="CN929">
        <f>$C929*CN928</f>
        <v/>
      </c>
      <c r="CO929">
        <f>$C929*CO928</f>
        <v/>
      </c>
      <c r="CP929">
        <f>$C929*CP928</f>
        <v/>
      </c>
      <c r="CQ929">
        <f>$C929*CQ928</f>
        <v/>
      </c>
      <c r="CR929">
        <f>$C929*CR928</f>
        <v/>
      </c>
      <c r="CS929">
        <f>$C929*CS928</f>
        <v/>
      </c>
      <c r="CT929">
        <f>$C929*CT928</f>
        <v/>
      </c>
      <c r="CU929">
        <f>$C929*CU928</f>
        <v/>
      </c>
      <c r="CV929">
        <f>$C929*CV928</f>
        <v/>
      </c>
      <c r="CW929">
        <f>$C929*CW928</f>
        <v/>
      </c>
      <c r="CX929">
        <f>$C929*CX928</f>
        <v/>
      </c>
      <c r="CY929">
        <f>$C929*CY928</f>
        <v/>
      </c>
      <c r="CZ929">
        <f>$C929*CZ928</f>
        <v/>
      </c>
      <c r="DA929">
        <f>$C929*DA928</f>
        <v/>
      </c>
      <c r="DB929">
        <f>$C929*DB928</f>
        <v/>
      </c>
      <c r="DC929">
        <f>$C929*DC928</f>
        <v/>
      </c>
    </row>
    <row r="930">
      <c r="B930" t="inlineStr">
        <is>
          <t>TSP-620</t>
        </is>
      </c>
      <c r="C930" t="inlineStr">
        <is>
          <t>No. of batches</t>
        </is>
      </c>
      <c r="D930">
        <f>IFERROR(INDEX(PP_Grid[#Data],$DD930,2),0)</f>
        <v/>
      </c>
      <c r="E930">
        <f>IFERROR(INDEX(PP_Grid[#Data],$DD930,3),0)</f>
        <v/>
      </c>
      <c r="F930">
        <f>IFERROR(INDEX(PP_Grid[#Data],$DD930,4),0)</f>
        <v/>
      </c>
      <c r="G930">
        <f>IFERROR(INDEX(PP_Grid[#Data],$DD930,5),0)</f>
        <v/>
      </c>
      <c r="H930">
        <f>IFERROR(INDEX(PP_Grid[#Data],$DD930,6),0)</f>
        <v/>
      </c>
      <c r="I930">
        <f>IFERROR(INDEX(PP_Grid[#Data],$DD930,7),0)</f>
        <v/>
      </c>
      <c r="J930">
        <f>IFERROR(INDEX(PP_Grid[#Data],$DD930,8),0)</f>
        <v/>
      </c>
      <c r="K930">
        <f>IFERROR(INDEX(PP_Grid[#Data],$DD930,9),0)</f>
        <v/>
      </c>
      <c r="L930">
        <f>IFERROR(INDEX(PP_Grid[#Data],$DD930,10),0)</f>
        <v/>
      </c>
      <c r="M930">
        <f>IFERROR(INDEX(PP_Grid[#Data],$DD930,11),0)</f>
        <v/>
      </c>
      <c r="N930">
        <f>IFERROR(INDEX(PP_Grid[#Data],$DD930,12),0)</f>
        <v/>
      </c>
      <c r="O930">
        <f>IFERROR(INDEX(PP_Grid[#Data],$DD930,13),0)</f>
        <v/>
      </c>
      <c r="P930">
        <f>IFERROR(INDEX(PP_Grid[#Data],$DD930,14),0)</f>
        <v/>
      </c>
      <c r="Q930">
        <f>IFERROR(INDEX(PP_Grid[#Data],$DD930,15),0)</f>
        <v/>
      </c>
      <c r="R930">
        <f>IFERROR(INDEX(PP_Grid[#Data],$DD930,16),0)</f>
        <v/>
      </c>
      <c r="S930">
        <f>IFERROR(INDEX(PP_Grid[#Data],$DD930,17),0)</f>
        <v/>
      </c>
      <c r="T930">
        <f>IFERROR(INDEX(PP_Grid[#Data],$DD930,18),0)</f>
        <v/>
      </c>
      <c r="U930">
        <f>IFERROR(INDEX(PP_Grid[#Data],$DD930,19),0)</f>
        <v/>
      </c>
      <c r="V930">
        <f>IFERROR(INDEX(PP_Grid[#Data],$DD930,20),0)</f>
        <v/>
      </c>
      <c r="W930">
        <f>IFERROR(INDEX(PP_Grid[#Data],$DD930,21),0)</f>
        <v/>
      </c>
      <c r="X930">
        <f>IFERROR(INDEX(PP_Grid[#Data],$DD930,22),0)</f>
        <v/>
      </c>
      <c r="Y930">
        <f>IFERROR(INDEX(PP_Grid[#Data],$DD930,23),0)</f>
        <v/>
      </c>
      <c r="Z930">
        <f>IFERROR(INDEX(PP_Grid[#Data],$DD930,24),0)</f>
        <v/>
      </c>
      <c r="AA930">
        <f>IFERROR(INDEX(PP_Grid[#Data],$DD930,25),0)</f>
        <v/>
      </c>
      <c r="AB930">
        <f>IFERROR(INDEX(PP_Grid[#Data],$DD930,26),0)</f>
        <v/>
      </c>
      <c r="AC930">
        <f>IFERROR(INDEX(PP_Grid[#Data],$DD930,27),0)</f>
        <v/>
      </c>
      <c r="AD930">
        <f>IFERROR(INDEX(PP_Grid[#Data],$DD930,28),0)</f>
        <v/>
      </c>
      <c r="AE930">
        <f>IFERROR(INDEX(PP_Grid[#Data],$DD930,29),0)</f>
        <v/>
      </c>
      <c r="AF930">
        <f>IFERROR(INDEX(PP_Grid[#Data],$DD930,30),0)</f>
        <v/>
      </c>
      <c r="AG930">
        <f>IFERROR(INDEX(PP_Grid[#Data],$DD930,31),0)</f>
        <v/>
      </c>
      <c r="AH930">
        <f>IFERROR(INDEX(PP_Grid[#Data],$DD930,32),0)</f>
        <v/>
      </c>
      <c r="AI930">
        <f>IFERROR(INDEX(PP_Grid[#Data],$DD930,33),0)</f>
        <v/>
      </c>
      <c r="AJ930">
        <f>IFERROR(INDEX(PP_Grid[#Data],$DD930,34),0)</f>
        <v/>
      </c>
      <c r="AK930">
        <f>IFERROR(INDEX(PP_Grid[#Data],$DD930,35),0)</f>
        <v/>
      </c>
      <c r="AL930">
        <f>IFERROR(INDEX(PP_Grid[#Data],$DD930,36),0)</f>
        <v/>
      </c>
      <c r="AM930">
        <f>IFERROR(INDEX(PP_Grid[#Data],$DD930,37),0)</f>
        <v/>
      </c>
      <c r="AN930">
        <f>IFERROR(INDEX(PP_Grid[#Data],$DD930,38),0)</f>
        <v/>
      </c>
      <c r="AO930">
        <f>IFERROR(INDEX(PP_Grid[#Data],$DD930,39),0)</f>
        <v/>
      </c>
      <c r="AP930">
        <f>IFERROR(INDEX(PP_Grid[#Data],$DD930,40),0)</f>
        <v/>
      </c>
      <c r="AQ930">
        <f>IFERROR(INDEX(PP_Grid[#Data],$DD930,41),0)</f>
        <v/>
      </c>
      <c r="AR930">
        <f>IFERROR(INDEX(PP_Grid[#Data],$DD930,42),0)</f>
        <v/>
      </c>
      <c r="AS930">
        <f>IFERROR(INDEX(PP_Grid[#Data],$DD930,43),0)</f>
        <v/>
      </c>
      <c r="AT930">
        <f>IFERROR(INDEX(PP_Grid[#Data],$DD930,44),0)</f>
        <v/>
      </c>
      <c r="AU930">
        <f>IFERROR(INDEX(PP_Grid[#Data],$DD930,45),0)</f>
        <v/>
      </c>
      <c r="AV930">
        <f>IFERROR(INDEX(PP_Grid[#Data],$DD930,46),0)</f>
        <v/>
      </c>
      <c r="AW930">
        <f>IFERROR(INDEX(PP_Grid[#Data],$DD930,47),0)</f>
        <v/>
      </c>
      <c r="AX930">
        <f>IFERROR(INDEX(PP_Grid[#Data],$DD930,48),0)</f>
        <v/>
      </c>
      <c r="AY930">
        <f>IFERROR(INDEX(PP_Grid[#Data],$DD930,49),0)</f>
        <v/>
      </c>
      <c r="AZ930">
        <f>IFERROR(INDEX(PP_Grid[#Data],$DD930,50),0)</f>
        <v/>
      </c>
      <c r="BA930">
        <f>IFERROR(INDEX(PP_Grid[#Data],$DD930,51),0)</f>
        <v/>
      </c>
      <c r="BB930">
        <f>IFERROR(INDEX(PP_Grid[#Data],$DD930,52),0)</f>
        <v/>
      </c>
      <c r="BC930">
        <f>IFERROR(INDEX(PP_Grid[#Data],$DD930,53),0)</f>
        <v/>
      </c>
      <c r="BD930">
        <f>IFERROR(INDEX(PP_Grid[#Data],$DD930,54),0)</f>
        <v/>
      </c>
      <c r="BE930">
        <f>IFERROR(INDEX(PP_Grid[#Data],$DD930,55),0)</f>
        <v/>
      </c>
      <c r="BF930">
        <f>IFERROR(INDEX(PP_Grid[#Data],$DD930,56),0)</f>
        <v/>
      </c>
      <c r="BG930">
        <f>IFERROR(INDEX(PP_Grid[#Data],$DD930,57),0)</f>
        <v/>
      </c>
      <c r="BH930">
        <f>IFERROR(INDEX(PP_Grid[#Data],$DD930,58),0)</f>
        <v/>
      </c>
      <c r="BI930">
        <f>IFERROR(INDEX(PP_Grid[#Data],$DD930,59),0)</f>
        <v/>
      </c>
      <c r="BJ930">
        <f>IFERROR(INDEX(PP_Grid[#Data],$DD930,60),0)</f>
        <v/>
      </c>
      <c r="BK930">
        <f>IFERROR(INDEX(PP_Grid[#Data],$DD930,61),0)</f>
        <v/>
      </c>
      <c r="BL930">
        <f>IFERROR(INDEX(PP_Grid[#Data],$DD930,62),0)</f>
        <v/>
      </c>
      <c r="BM930">
        <f>IFERROR(INDEX(PP_Grid[#Data],$DD930,63),0)</f>
        <v/>
      </c>
      <c r="BN930">
        <f>IFERROR(INDEX(PP_Grid[#Data],$DD930,64),0)</f>
        <v/>
      </c>
      <c r="BO930">
        <f>IFERROR(INDEX(PP_Grid[#Data],$DD930,65),0)</f>
        <v/>
      </c>
      <c r="BP930">
        <f>IFERROR(INDEX(PP_Grid[#Data],$DD930,66),0)</f>
        <v/>
      </c>
      <c r="BQ930">
        <f>IFERROR(INDEX(PP_Grid[#Data],$DD930,67),0)</f>
        <v/>
      </c>
      <c r="BR930">
        <f>IFERROR(INDEX(PP_Grid[#Data],$DD930,68),0)</f>
        <v/>
      </c>
      <c r="BS930">
        <f>IFERROR(INDEX(PP_Grid[#Data],$DD930,69),0)</f>
        <v/>
      </c>
      <c r="BT930">
        <f>IFERROR(INDEX(PP_Grid[#Data],$DD930,70),0)</f>
        <v/>
      </c>
      <c r="BU930">
        <f>IFERROR(INDEX(PP_Grid[#Data],$DD930,71),0)</f>
        <v/>
      </c>
      <c r="BV930">
        <f>IFERROR(INDEX(PP_Grid[#Data],$DD930,72),0)</f>
        <v/>
      </c>
      <c r="BW930">
        <f>IFERROR(INDEX(PP_Grid[#Data],$DD930,73),0)</f>
        <v/>
      </c>
      <c r="BX930">
        <f>IFERROR(INDEX(PP_Grid[#Data],$DD930,74),0)</f>
        <v/>
      </c>
      <c r="BY930">
        <f>IFERROR(INDEX(PP_Grid[#Data],$DD930,75),0)</f>
        <v/>
      </c>
      <c r="BZ930">
        <f>IFERROR(INDEX(PP_Grid[#Data],$DD930,76),0)</f>
        <v/>
      </c>
      <c r="CA930">
        <f>IFERROR(INDEX(PP_Grid[#Data],$DD930,77),0)</f>
        <v/>
      </c>
      <c r="CB930">
        <f>IFERROR(INDEX(PP_Grid[#Data],$DD930,78),0)</f>
        <v/>
      </c>
      <c r="CC930">
        <f>IFERROR(INDEX(PP_Grid[#Data],$DD930,79),0)</f>
        <v/>
      </c>
      <c r="CD930">
        <f>IFERROR(INDEX(PP_Grid[#Data],$DD930,80),0)</f>
        <v/>
      </c>
      <c r="CE930">
        <f>IFERROR(INDEX(PP_Grid[#Data],$DD930,81),0)</f>
        <v/>
      </c>
      <c r="CF930">
        <f>IFERROR(INDEX(PP_Grid[#Data],$DD930,82),0)</f>
        <v/>
      </c>
      <c r="CG930">
        <f>IFERROR(INDEX(PP_Grid[#Data],$DD930,83),0)</f>
        <v/>
      </c>
      <c r="CH930">
        <f>IFERROR(INDEX(PP_Grid[#Data],$DD930,84),0)</f>
        <v/>
      </c>
      <c r="CI930">
        <f>IFERROR(INDEX(PP_Grid[#Data],$DD930,85),0)</f>
        <v/>
      </c>
      <c r="CJ930">
        <f>IFERROR(INDEX(PP_Grid[#Data],$DD930,86),0)</f>
        <v/>
      </c>
      <c r="CK930">
        <f>IFERROR(INDEX(PP_Grid[#Data],$DD930,87),0)</f>
        <v/>
      </c>
      <c r="CL930">
        <f>IFERROR(INDEX(PP_Grid[#Data],$DD930,88),0)</f>
        <v/>
      </c>
      <c r="CM930">
        <f>IFERROR(INDEX(PP_Grid[#Data],$DD930,89),0)</f>
        <v/>
      </c>
      <c r="CN930">
        <f>IFERROR(INDEX(PP_Grid[#Data],$DD930,90),0)</f>
        <v/>
      </c>
      <c r="CO930">
        <f>IFERROR(INDEX(PP_Grid[#Data],$DD930,91),0)</f>
        <v/>
      </c>
      <c r="CP930">
        <f>IFERROR(INDEX(PP_Grid[#Data],$DD930,92),0)</f>
        <v/>
      </c>
      <c r="CQ930">
        <f>IFERROR(INDEX(PP_Grid[#Data],$DD930,93),0)</f>
        <v/>
      </c>
      <c r="CR930">
        <f>IFERROR(INDEX(PP_Grid[#Data],$DD930,94),0)</f>
        <v/>
      </c>
      <c r="CS930">
        <f>IFERROR(INDEX(PP_Grid[#Data],$DD930,95),0)</f>
        <v/>
      </c>
      <c r="CT930">
        <f>IFERROR(INDEX(PP_Grid[#Data],$DD930,96),0)</f>
        <v/>
      </c>
      <c r="CU930">
        <f>IFERROR(INDEX(PP_Grid[#Data],$DD930,97),0)</f>
        <v/>
      </c>
      <c r="CV930">
        <f>IFERROR(INDEX(PP_Grid[#Data],$DD930,98),0)</f>
        <v/>
      </c>
      <c r="CW930">
        <f>IFERROR(INDEX(PP_Grid[#Data],$DD930,99),0)</f>
        <v/>
      </c>
      <c r="CX930">
        <f>IFERROR(INDEX(PP_Grid[#Data],$DD930,100),0)</f>
        <v/>
      </c>
      <c r="CY930">
        <f>IFERROR(INDEX(PP_Grid[#Data],$DD930,101),0)</f>
        <v/>
      </c>
      <c r="CZ930">
        <f>IFERROR(INDEX(PP_Grid[#Data],$DD930,102),0)</f>
        <v/>
      </c>
      <c r="DA930">
        <f>IFERROR(INDEX(PP_Grid[#Data],$DD930,103),0)</f>
        <v/>
      </c>
      <c r="DB930">
        <f>IFERROR(INDEX(PP_Grid[#Data],$DD930,104),0)</f>
        <v/>
      </c>
      <c r="DC930">
        <f>IFERROR(INDEX(PP_Grid[#Data],$DD930,105),0)</f>
        <v/>
      </c>
      <c r="DD930" s="12">
        <f>IFERROR(MATCH($B930,PP_Grid[Intermediate],0),99999)</f>
        <v/>
      </c>
    </row>
    <row r="931">
      <c r="B931" t="inlineStr">
        <is>
          <t>使用量(kg)</t>
        </is>
      </c>
      <c r="C931">
        <f>SUMIFS(M_BOM[RM_Qty_Per_Batch],M_BOM[Intermediate],$B930,M_BOM[Part Name],$A909)</f>
        <v/>
      </c>
      <c r="D931">
        <f>$C931*D930</f>
        <v/>
      </c>
      <c r="E931">
        <f>$C931*E930</f>
        <v/>
      </c>
      <c r="F931">
        <f>$C931*F930</f>
        <v/>
      </c>
      <c r="G931">
        <f>$C931*G930</f>
        <v/>
      </c>
      <c r="H931">
        <f>$C931*H930</f>
        <v/>
      </c>
      <c r="I931">
        <f>$C931*I930</f>
        <v/>
      </c>
      <c r="J931">
        <f>$C931*J930</f>
        <v/>
      </c>
      <c r="K931">
        <f>$C931*K930</f>
        <v/>
      </c>
      <c r="L931">
        <f>$C931*L930</f>
        <v/>
      </c>
      <c r="M931">
        <f>$C931*M930</f>
        <v/>
      </c>
      <c r="N931">
        <f>$C931*N930</f>
        <v/>
      </c>
      <c r="O931">
        <f>$C931*O930</f>
        <v/>
      </c>
      <c r="P931">
        <f>$C931*P930</f>
        <v/>
      </c>
      <c r="Q931">
        <f>$C931*Q930</f>
        <v/>
      </c>
      <c r="R931">
        <f>$C931*R930</f>
        <v/>
      </c>
      <c r="S931">
        <f>$C931*S930</f>
        <v/>
      </c>
      <c r="T931">
        <f>$C931*T930</f>
        <v/>
      </c>
      <c r="U931">
        <f>$C931*U930</f>
        <v/>
      </c>
      <c r="V931">
        <f>$C931*V930</f>
        <v/>
      </c>
      <c r="W931">
        <f>$C931*W930</f>
        <v/>
      </c>
      <c r="X931">
        <f>$C931*X930</f>
        <v/>
      </c>
      <c r="Y931">
        <f>$C931*Y930</f>
        <v/>
      </c>
      <c r="Z931">
        <f>$C931*Z930</f>
        <v/>
      </c>
      <c r="AA931">
        <f>$C931*AA930</f>
        <v/>
      </c>
      <c r="AB931">
        <f>$C931*AB930</f>
        <v/>
      </c>
      <c r="AC931">
        <f>$C931*AC930</f>
        <v/>
      </c>
      <c r="AD931">
        <f>$C931*AD930</f>
        <v/>
      </c>
      <c r="AE931">
        <f>$C931*AE930</f>
        <v/>
      </c>
      <c r="AF931">
        <f>$C931*AF930</f>
        <v/>
      </c>
      <c r="AG931">
        <f>$C931*AG930</f>
        <v/>
      </c>
      <c r="AH931">
        <f>$C931*AH930</f>
        <v/>
      </c>
      <c r="AI931">
        <f>$C931*AI930</f>
        <v/>
      </c>
      <c r="AJ931">
        <f>$C931*AJ930</f>
        <v/>
      </c>
      <c r="AK931">
        <f>$C931*AK930</f>
        <v/>
      </c>
      <c r="AL931">
        <f>$C931*AL930</f>
        <v/>
      </c>
      <c r="AM931">
        <f>$C931*AM930</f>
        <v/>
      </c>
      <c r="AN931">
        <f>$C931*AN930</f>
        <v/>
      </c>
      <c r="AO931">
        <f>$C931*AO930</f>
        <v/>
      </c>
      <c r="AP931">
        <f>$C931*AP930</f>
        <v/>
      </c>
      <c r="AQ931">
        <f>$C931*AQ930</f>
        <v/>
      </c>
      <c r="AR931">
        <f>$C931*AR930</f>
        <v/>
      </c>
      <c r="AS931">
        <f>$C931*AS930</f>
        <v/>
      </c>
      <c r="AT931">
        <f>$C931*AT930</f>
        <v/>
      </c>
      <c r="AU931">
        <f>$C931*AU930</f>
        <v/>
      </c>
      <c r="AV931">
        <f>$C931*AV930</f>
        <v/>
      </c>
      <c r="AW931">
        <f>$C931*AW930</f>
        <v/>
      </c>
      <c r="AX931">
        <f>$C931*AX930</f>
        <v/>
      </c>
      <c r="AY931">
        <f>$C931*AY930</f>
        <v/>
      </c>
      <c r="AZ931">
        <f>$C931*AZ930</f>
        <v/>
      </c>
      <c r="BA931">
        <f>$C931*BA930</f>
        <v/>
      </c>
      <c r="BB931">
        <f>$C931*BB930</f>
        <v/>
      </c>
      <c r="BC931">
        <f>$C931*BC930</f>
        <v/>
      </c>
      <c r="BD931">
        <f>$C931*BD930</f>
        <v/>
      </c>
      <c r="BE931">
        <f>$C931*BE930</f>
        <v/>
      </c>
      <c r="BF931">
        <f>$C931*BF930</f>
        <v/>
      </c>
      <c r="BG931">
        <f>$C931*BG930</f>
        <v/>
      </c>
      <c r="BH931">
        <f>$C931*BH930</f>
        <v/>
      </c>
      <c r="BI931">
        <f>$C931*BI930</f>
        <v/>
      </c>
      <c r="BJ931">
        <f>$C931*BJ930</f>
        <v/>
      </c>
      <c r="BK931">
        <f>$C931*BK930</f>
        <v/>
      </c>
      <c r="BL931">
        <f>$C931*BL930</f>
        <v/>
      </c>
      <c r="BM931">
        <f>$C931*BM930</f>
        <v/>
      </c>
      <c r="BN931">
        <f>$C931*BN930</f>
        <v/>
      </c>
      <c r="BO931">
        <f>$C931*BO930</f>
        <v/>
      </c>
      <c r="BP931">
        <f>$C931*BP930</f>
        <v/>
      </c>
      <c r="BQ931">
        <f>$C931*BQ930</f>
        <v/>
      </c>
      <c r="BR931">
        <f>$C931*BR930</f>
        <v/>
      </c>
      <c r="BS931">
        <f>$C931*BS930</f>
        <v/>
      </c>
      <c r="BT931">
        <f>$C931*BT930</f>
        <v/>
      </c>
      <c r="BU931">
        <f>$C931*BU930</f>
        <v/>
      </c>
      <c r="BV931">
        <f>$C931*BV930</f>
        <v/>
      </c>
      <c r="BW931">
        <f>$C931*BW930</f>
        <v/>
      </c>
      <c r="BX931">
        <f>$C931*BX930</f>
        <v/>
      </c>
      <c r="BY931">
        <f>$C931*BY930</f>
        <v/>
      </c>
      <c r="BZ931">
        <f>$C931*BZ930</f>
        <v/>
      </c>
      <c r="CA931">
        <f>$C931*CA930</f>
        <v/>
      </c>
      <c r="CB931">
        <f>$C931*CB930</f>
        <v/>
      </c>
      <c r="CC931">
        <f>$C931*CC930</f>
        <v/>
      </c>
      <c r="CD931">
        <f>$C931*CD930</f>
        <v/>
      </c>
      <c r="CE931">
        <f>$C931*CE930</f>
        <v/>
      </c>
      <c r="CF931">
        <f>$C931*CF930</f>
        <v/>
      </c>
      <c r="CG931">
        <f>$C931*CG930</f>
        <v/>
      </c>
      <c r="CH931">
        <f>$C931*CH930</f>
        <v/>
      </c>
      <c r="CI931">
        <f>$C931*CI930</f>
        <v/>
      </c>
      <c r="CJ931">
        <f>$C931*CJ930</f>
        <v/>
      </c>
      <c r="CK931">
        <f>$C931*CK930</f>
        <v/>
      </c>
      <c r="CL931">
        <f>$C931*CL930</f>
        <v/>
      </c>
      <c r="CM931">
        <f>$C931*CM930</f>
        <v/>
      </c>
      <c r="CN931">
        <f>$C931*CN930</f>
        <v/>
      </c>
      <c r="CO931">
        <f>$C931*CO930</f>
        <v/>
      </c>
      <c r="CP931">
        <f>$C931*CP930</f>
        <v/>
      </c>
      <c r="CQ931">
        <f>$C931*CQ930</f>
        <v/>
      </c>
      <c r="CR931">
        <f>$C931*CR930</f>
        <v/>
      </c>
      <c r="CS931">
        <f>$C931*CS930</f>
        <v/>
      </c>
      <c r="CT931">
        <f>$C931*CT930</f>
        <v/>
      </c>
      <c r="CU931">
        <f>$C931*CU930</f>
        <v/>
      </c>
      <c r="CV931">
        <f>$C931*CV930</f>
        <v/>
      </c>
      <c r="CW931">
        <f>$C931*CW930</f>
        <v/>
      </c>
      <c r="CX931">
        <f>$C931*CX930</f>
        <v/>
      </c>
      <c r="CY931">
        <f>$C931*CY930</f>
        <v/>
      </c>
      <c r="CZ931">
        <f>$C931*CZ930</f>
        <v/>
      </c>
      <c r="DA931">
        <f>$C931*DA930</f>
        <v/>
      </c>
      <c r="DB931">
        <f>$C931*DB930</f>
        <v/>
      </c>
      <c r="DC931">
        <f>$C931*DC930</f>
        <v/>
      </c>
    </row>
    <row r="932">
      <c r="B932" t="inlineStr">
        <is>
          <t>TSP-623</t>
        </is>
      </c>
      <c r="C932" t="inlineStr">
        <is>
          <t>No. of batches</t>
        </is>
      </c>
      <c r="D932">
        <f>IFERROR(INDEX(PP_Grid[#Data],$DD932,2),0)</f>
        <v/>
      </c>
      <c r="E932">
        <f>IFERROR(INDEX(PP_Grid[#Data],$DD932,3),0)</f>
        <v/>
      </c>
      <c r="F932">
        <f>IFERROR(INDEX(PP_Grid[#Data],$DD932,4),0)</f>
        <v/>
      </c>
      <c r="G932">
        <f>IFERROR(INDEX(PP_Grid[#Data],$DD932,5),0)</f>
        <v/>
      </c>
      <c r="H932">
        <f>IFERROR(INDEX(PP_Grid[#Data],$DD932,6),0)</f>
        <v/>
      </c>
      <c r="I932">
        <f>IFERROR(INDEX(PP_Grid[#Data],$DD932,7),0)</f>
        <v/>
      </c>
      <c r="J932">
        <f>IFERROR(INDEX(PP_Grid[#Data],$DD932,8),0)</f>
        <v/>
      </c>
      <c r="K932">
        <f>IFERROR(INDEX(PP_Grid[#Data],$DD932,9),0)</f>
        <v/>
      </c>
      <c r="L932">
        <f>IFERROR(INDEX(PP_Grid[#Data],$DD932,10),0)</f>
        <v/>
      </c>
      <c r="M932">
        <f>IFERROR(INDEX(PP_Grid[#Data],$DD932,11),0)</f>
        <v/>
      </c>
      <c r="N932">
        <f>IFERROR(INDEX(PP_Grid[#Data],$DD932,12),0)</f>
        <v/>
      </c>
      <c r="O932">
        <f>IFERROR(INDEX(PP_Grid[#Data],$DD932,13),0)</f>
        <v/>
      </c>
      <c r="P932">
        <f>IFERROR(INDEX(PP_Grid[#Data],$DD932,14),0)</f>
        <v/>
      </c>
      <c r="Q932">
        <f>IFERROR(INDEX(PP_Grid[#Data],$DD932,15),0)</f>
        <v/>
      </c>
      <c r="R932">
        <f>IFERROR(INDEX(PP_Grid[#Data],$DD932,16),0)</f>
        <v/>
      </c>
      <c r="S932">
        <f>IFERROR(INDEX(PP_Grid[#Data],$DD932,17),0)</f>
        <v/>
      </c>
      <c r="T932">
        <f>IFERROR(INDEX(PP_Grid[#Data],$DD932,18),0)</f>
        <v/>
      </c>
      <c r="U932">
        <f>IFERROR(INDEX(PP_Grid[#Data],$DD932,19),0)</f>
        <v/>
      </c>
      <c r="V932">
        <f>IFERROR(INDEX(PP_Grid[#Data],$DD932,20),0)</f>
        <v/>
      </c>
      <c r="W932">
        <f>IFERROR(INDEX(PP_Grid[#Data],$DD932,21),0)</f>
        <v/>
      </c>
      <c r="X932">
        <f>IFERROR(INDEX(PP_Grid[#Data],$DD932,22),0)</f>
        <v/>
      </c>
      <c r="Y932">
        <f>IFERROR(INDEX(PP_Grid[#Data],$DD932,23),0)</f>
        <v/>
      </c>
      <c r="Z932">
        <f>IFERROR(INDEX(PP_Grid[#Data],$DD932,24),0)</f>
        <v/>
      </c>
      <c r="AA932">
        <f>IFERROR(INDEX(PP_Grid[#Data],$DD932,25),0)</f>
        <v/>
      </c>
      <c r="AB932">
        <f>IFERROR(INDEX(PP_Grid[#Data],$DD932,26),0)</f>
        <v/>
      </c>
      <c r="AC932">
        <f>IFERROR(INDEX(PP_Grid[#Data],$DD932,27),0)</f>
        <v/>
      </c>
      <c r="AD932">
        <f>IFERROR(INDEX(PP_Grid[#Data],$DD932,28),0)</f>
        <v/>
      </c>
      <c r="AE932">
        <f>IFERROR(INDEX(PP_Grid[#Data],$DD932,29),0)</f>
        <v/>
      </c>
      <c r="AF932">
        <f>IFERROR(INDEX(PP_Grid[#Data],$DD932,30),0)</f>
        <v/>
      </c>
      <c r="AG932">
        <f>IFERROR(INDEX(PP_Grid[#Data],$DD932,31),0)</f>
        <v/>
      </c>
      <c r="AH932">
        <f>IFERROR(INDEX(PP_Grid[#Data],$DD932,32),0)</f>
        <v/>
      </c>
      <c r="AI932">
        <f>IFERROR(INDEX(PP_Grid[#Data],$DD932,33),0)</f>
        <v/>
      </c>
      <c r="AJ932">
        <f>IFERROR(INDEX(PP_Grid[#Data],$DD932,34),0)</f>
        <v/>
      </c>
      <c r="AK932">
        <f>IFERROR(INDEX(PP_Grid[#Data],$DD932,35),0)</f>
        <v/>
      </c>
      <c r="AL932">
        <f>IFERROR(INDEX(PP_Grid[#Data],$DD932,36),0)</f>
        <v/>
      </c>
      <c r="AM932">
        <f>IFERROR(INDEX(PP_Grid[#Data],$DD932,37),0)</f>
        <v/>
      </c>
      <c r="AN932">
        <f>IFERROR(INDEX(PP_Grid[#Data],$DD932,38),0)</f>
        <v/>
      </c>
      <c r="AO932">
        <f>IFERROR(INDEX(PP_Grid[#Data],$DD932,39),0)</f>
        <v/>
      </c>
      <c r="AP932">
        <f>IFERROR(INDEX(PP_Grid[#Data],$DD932,40),0)</f>
        <v/>
      </c>
      <c r="AQ932">
        <f>IFERROR(INDEX(PP_Grid[#Data],$DD932,41),0)</f>
        <v/>
      </c>
      <c r="AR932">
        <f>IFERROR(INDEX(PP_Grid[#Data],$DD932,42),0)</f>
        <v/>
      </c>
      <c r="AS932">
        <f>IFERROR(INDEX(PP_Grid[#Data],$DD932,43),0)</f>
        <v/>
      </c>
      <c r="AT932">
        <f>IFERROR(INDEX(PP_Grid[#Data],$DD932,44),0)</f>
        <v/>
      </c>
      <c r="AU932">
        <f>IFERROR(INDEX(PP_Grid[#Data],$DD932,45),0)</f>
        <v/>
      </c>
      <c r="AV932">
        <f>IFERROR(INDEX(PP_Grid[#Data],$DD932,46),0)</f>
        <v/>
      </c>
      <c r="AW932">
        <f>IFERROR(INDEX(PP_Grid[#Data],$DD932,47),0)</f>
        <v/>
      </c>
      <c r="AX932">
        <f>IFERROR(INDEX(PP_Grid[#Data],$DD932,48),0)</f>
        <v/>
      </c>
      <c r="AY932">
        <f>IFERROR(INDEX(PP_Grid[#Data],$DD932,49),0)</f>
        <v/>
      </c>
      <c r="AZ932">
        <f>IFERROR(INDEX(PP_Grid[#Data],$DD932,50),0)</f>
        <v/>
      </c>
      <c r="BA932">
        <f>IFERROR(INDEX(PP_Grid[#Data],$DD932,51),0)</f>
        <v/>
      </c>
      <c r="BB932">
        <f>IFERROR(INDEX(PP_Grid[#Data],$DD932,52),0)</f>
        <v/>
      </c>
      <c r="BC932">
        <f>IFERROR(INDEX(PP_Grid[#Data],$DD932,53),0)</f>
        <v/>
      </c>
      <c r="BD932">
        <f>IFERROR(INDEX(PP_Grid[#Data],$DD932,54),0)</f>
        <v/>
      </c>
      <c r="BE932">
        <f>IFERROR(INDEX(PP_Grid[#Data],$DD932,55),0)</f>
        <v/>
      </c>
      <c r="BF932">
        <f>IFERROR(INDEX(PP_Grid[#Data],$DD932,56),0)</f>
        <v/>
      </c>
      <c r="BG932">
        <f>IFERROR(INDEX(PP_Grid[#Data],$DD932,57),0)</f>
        <v/>
      </c>
      <c r="BH932">
        <f>IFERROR(INDEX(PP_Grid[#Data],$DD932,58),0)</f>
        <v/>
      </c>
      <c r="BI932">
        <f>IFERROR(INDEX(PP_Grid[#Data],$DD932,59),0)</f>
        <v/>
      </c>
      <c r="BJ932">
        <f>IFERROR(INDEX(PP_Grid[#Data],$DD932,60),0)</f>
        <v/>
      </c>
      <c r="BK932">
        <f>IFERROR(INDEX(PP_Grid[#Data],$DD932,61),0)</f>
        <v/>
      </c>
      <c r="BL932">
        <f>IFERROR(INDEX(PP_Grid[#Data],$DD932,62),0)</f>
        <v/>
      </c>
      <c r="BM932">
        <f>IFERROR(INDEX(PP_Grid[#Data],$DD932,63),0)</f>
        <v/>
      </c>
      <c r="BN932">
        <f>IFERROR(INDEX(PP_Grid[#Data],$DD932,64),0)</f>
        <v/>
      </c>
      <c r="BO932">
        <f>IFERROR(INDEX(PP_Grid[#Data],$DD932,65),0)</f>
        <v/>
      </c>
      <c r="BP932">
        <f>IFERROR(INDEX(PP_Grid[#Data],$DD932,66),0)</f>
        <v/>
      </c>
      <c r="BQ932">
        <f>IFERROR(INDEX(PP_Grid[#Data],$DD932,67),0)</f>
        <v/>
      </c>
      <c r="BR932">
        <f>IFERROR(INDEX(PP_Grid[#Data],$DD932,68),0)</f>
        <v/>
      </c>
      <c r="BS932">
        <f>IFERROR(INDEX(PP_Grid[#Data],$DD932,69),0)</f>
        <v/>
      </c>
      <c r="BT932">
        <f>IFERROR(INDEX(PP_Grid[#Data],$DD932,70),0)</f>
        <v/>
      </c>
      <c r="BU932">
        <f>IFERROR(INDEX(PP_Grid[#Data],$DD932,71),0)</f>
        <v/>
      </c>
      <c r="BV932">
        <f>IFERROR(INDEX(PP_Grid[#Data],$DD932,72),0)</f>
        <v/>
      </c>
      <c r="BW932">
        <f>IFERROR(INDEX(PP_Grid[#Data],$DD932,73),0)</f>
        <v/>
      </c>
      <c r="BX932">
        <f>IFERROR(INDEX(PP_Grid[#Data],$DD932,74),0)</f>
        <v/>
      </c>
      <c r="BY932">
        <f>IFERROR(INDEX(PP_Grid[#Data],$DD932,75),0)</f>
        <v/>
      </c>
      <c r="BZ932">
        <f>IFERROR(INDEX(PP_Grid[#Data],$DD932,76),0)</f>
        <v/>
      </c>
      <c r="CA932">
        <f>IFERROR(INDEX(PP_Grid[#Data],$DD932,77),0)</f>
        <v/>
      </c>
      <c r="CB932">
        <f>IFERROR(INDEX(PP_Grid[#Data],$DD932,78),0)</f>
        <v/>
      </c>
      <c r="CC932">
        <f>IFERROR(INDEX(PP_Grid[#Data],$DD932,79),0)</f>
        <v/>
      </c>
      <c r="CD932">
        <f>IFERROR(INDEX(PP_Grid[#Data],$DD932,80),0)</f>
        <v/>
      </c>
      <c r="CE932">
        <f>IFERROR(INDEX(PP_Grid[#Data],$DD932,81),0)</f>
        <v/>
      </c>
      <c r="CF932">
        <f>IFERROR(INDEX(PP_Grid[#Data],$DD932,82),0)</f>
        <v/>
      </c>
      <c r="CG932">
        <f>IFERROR(INDEX(PP_Grid[#Data],$DD932,83),0)</f>
        <v/>
      </c>
      <c r="CH932">
        <f>IFERROR(INDEX(PP_Grid[#Data],$DD932,84),0)</f>
        <v/>
      </c>
      <c r="CI932">
        <f>IFERROR(INDEX(PP_Grid[#Data],$DD932,85),0)</f>
        <v/>
      </c>
      <c r="CJ932">
        <f>IFERROR(INDEX(PP_Grid[#Data],$DD932,86),0)</f>
        <v/>
      </c>
      <c r="CK932">
        <f>IFERROR(INDEX(PP_Grid[#Data],$DD932,87),0)</f>
        <v/>
      </c>
      <c r="CL932">
        <f>IFERROR(INDEX(PP_Grid[#Data],$DD932,88),0)</f>
        <v/>
      </c>
      <c r="CM932">
        <f>IFERROR(INDEX(PP_Grid[#Data],$DD932,89),0)</f>
        <v/>
      </c>
      <c r="CN932">
        <f>IFERROR(INDEX(PP_Grid[#Data],$DD932,90),0)</f>
        <v/>
      </c>
      <c r="CO932">
        <f>IFERROR(INDEX(PP_Grid[#Data],$DD932,91),0)</f>
        <v/>
      </c>
      <c r="CP932">
        <f>IFERROR(INDEX(PP_Grid[#Data],$DD932,92),0)</f>
        <v/>
      </c>
      <c r="CQ932">
        <f>IFERROR(INDEX(PP_Grid[#Data],$DD932,93),0)</f>
        <v/>
      </c>
      <c r="CR932">
        <f>IFERROR(INDEX(PP_Grid[#Data],$DD932,94),0)</f>
        <v/>
      </c>
      <c r="CS932">
        <f>IFERROR(INDEX(PP_Grid[#Data],$DD932,95),0)</f>
        <v/>
      </c>
      <c r="CT932">
        <f>IFERROR(INDEX(PP_Grid[#Data],$DD932,96),0)</f>
        <v/>
      </c>
      <c r="CU932">
        <f>IFERROR(INDEX(PP_Grid[#Data],$DD932,97),0)</f>
        <v/>
      </c>
      <c r="CV932">
        <f>IFERROR(INDEX(PP_Grid[#Data],$DD932,98),0)</f>
        <v/>
      </c>
      <c r="CW932">
        <f>IFERROR(INDEX(PP_Grid[#Data],$DD932,99),0)</f>
        <v/>
      </c>
      <c r="CX932">
        <f>IFERROR(INDEX(PP_Grid[#Data],$DD932,100),0)</f>
        <v/>
      </c>
      <c r="CY932">
        <f>IFERROR(INDEX(PP_Grid[#Data],$DD932,101),0)</f>
        <v/>
      </c>
      <c r="CZ932">
        <f>IFERROR(INDEX(PP_Grid[#Data],$DD932,102),0)</f>
        <v/>
      </c>
      <c r="DA932">
        <f>IFERROR(INDEX(PP_Grid[#Data],$DD932,103),0)</f>
        <v/>
      </c>
      <c r="DB932">
        <f>IFERROR(INDEX(PP_Grid[#Data],$DD932,104),0)</f>
        <v/>
      </c>
      <c r="DC932">
        <f>IFERROR(INDEX(PP_Grid[#Data],$DD932,105),0)</f>
        <v/>
      </c>
      <c r="DD932" s="12">
        <f>IFERROR(MATCH($B932,PP_Grid[Intermediate],0),99999)</f>
        <v/>
      </c>
    </row>
    <row r="933">
      <c r="B933" t="inlineStr">
        <is>
          <t>使用量(kg)</t>
        </is>
      </c>
      <c r="C933">
        <f>SUMIFS(M_BOM[RM_Qty_Per_Batch],M_BOM[Intermediate],$B932,M_BOM[Part Name],$A909)</f>
        <v/>
      </c>
      <c r="D933">
        <f>$C933*D932</f>
        <v/>
      </c>
      <c r="E933">
        <f>$C933*E932</f>
        <v/>
      </c>
      <c r="F933">
        <f>$C933*F932</f>
        <v/>
      </c>
      <c r="G933">
        <f>$C933*G932</f>
        <v/>
      </c>
      <c r="H933">
        <f>$C933*H932</f>
        <v/>
      </c>
      <c r="I933">
        <f>$C933*I932</f>
        <v/>
      </c>
      <c r="J933">
        <f>$C933*J932</f>
        <v/>
      </c>
      <c r="K933">
        <f>$C933*K932</f>
        <v/>
      </c>
      <c r="L933">
        <f>$C933*L932</f>
        <v/>
      </c>
      <c r="M933">
        <f>$C933*M932</f>
        <v/>
      </c>
      <c r="N933">
        <f>$C933*N932</f>
        <v/>
      </c>
      <c r="O933">
        <f>$C933*O932</f>
        <v/>
      </c>
      <c r="P933">
        <f>$C933*P932</f>
        <v/>
      </c>
      <c r="Q933">
        <f>$C933*Q932</f>
        <v/>
      </c>
      <c r="R933">
        <f>$C933*R932</f>
        <v/>
      </c>
      <c r="S933">
        <f>$C933*S932</f>
        <v/>
      </c>
      <c r="T933">
        <f>$C933*T932</f>
        <v/>
      </c>
      <c r="U933">
        <f>$C933*U932</f>
        <v/>
      </c>
      <c r="V933">
        <f>$C933*V932</f>
        <v/>
      </c>
      <c r="W933">
        <f>$C933*W932</f>
        <v/>
      </c>
      <c r="X933">
        <f>$C933*X932</f>
        <v/>
      </c>
      <c r="Y933">
        <f>$C933*Y932</f>
        <v/>
      </c>
      <c r="Z933">
        <f>$C933*Z932</f>
        <v/>
      </c>
      <c r="AA933">
        <f>$C933*AA932</f>
        <v/>
      </c>
      <c r="AB933">
        <f>$C933*AB932</f>
        <v/>
      </c>
      <c r="AC933">
        <f>$C933*AC932</f>
        <v/>
      </c>
      <c r="AD933">
        <f>$C933*AD932</f>
        <v/>
      </c>
      <c r="AE933">
        <f>$C933*AE932</f>
        <v/>
      </c>
      <c r="AF933">
        <f>$C933*AF932</f>
        <v/>
      </c>
      <c r="AG933">
        <f>$C933*AG932</f>
        <v/>
      </c>
      <c r="AH933">
        <f>$C933*AH932</f>
        <v/>
      </c>
      <c r="AI933">
        <f>$C933*AI932</f>
        <v/>
      </c>
      <c r="AJ933">
        <f>$C933*AJ932</f>
        <v/>
      </c>
      <c r="AK933">
        <f>$C933*AK932</f>
        <v/>
      </c>
      <c r="AL933">
        <f>$C933*AL932</f>
        <v/>
      </c>
      <c r="AM933">
        <f>$C933*AM932</f>
        <v/>
      </c>
      <c r="AN933">
        <f>$C933*AN932</f>
        <v/>
      </c>
      <c r="AO933">
        <f>$C933*AO932</f>
        <v/>
      </c>
      <c r="AP933">
        <f>$C933*AP932</f>
        <v/>
      </c>
      <c r="AQ933">
        <f>$C933*AQ932</f>
        <v/>
      </c>
      <c r="AR933">
        <f>$C933*AR932</f>
        <v/>
      </c>
      <c r="AS933">
        <f>$C933*AS932</f>
        <v/>
      </c>
      <c r="AT933">
        <f>$C933*AT932</f>
        <v/>
      </c>
      <c r="AU933">
        <f>$C933*AU932</f>
        <v/>
      </c>
      <c r="AV933">
        <f>$C933*AV932</f>
        <v/>
      </c>
      <c r="AW933">
        <f>$C933*AW932</f>
        <v/>
      </c>
      <c r="AX933">
        <f>$C933*AX932</f>
        <v/>
      </c>
      <c r="AY933">
        <f>$C933*AY932</f>
        <v/>
      </c>
      <c r="AZ933">
        <f>$C933*AZ932</f>
        <v/>
      </c>
      <c r="BA933">
        <f>$C933*BA932</f>
        <v/>
      </c>
      <c r="BB933">
        <f>$C933*BB932</f>
        <v/>
      </c>
      <c r="BC933">
        <f>$C933*BC932</f>
        <v/>
      </c>
      <c r="BD933">
        <f>$C933*BD932</f>
        <v/>
      </c>
      <c r="BE933">
        <f>$C933*BE932</f>
        <v/>
      </c>
      <c r="BF933">
        <f>$C933*BF932</f>
        <v/>
      </c>
      <c r="BG933">
        <f>$C933*BG932</f>
        <v/>
      </c>
      <c r="BH933">
        <f>$C933*BH932</f>
        <v/>
      </c>
      <c r="BI933">
        <f>$C933*BI932</f>
        <v/>
      </c>
      <c r="BJ933">
        <f>$C933*BJ932</f>
        <v/>
      </c>
      <c r="BK933">
        <f>$C933*BK932</f>
        <v/>
      </c>
      <c r="BL933">
        <f>$C933*BL932</f>
        <v/>
      </c>
      <c r="BM933">
        <f>$C933*BM932</f>
        <v/>
      </c>
      <c r="BN933">
        <f>$C933*BN932</f>
        <v/>
      </c>
      <c r="BO933">
        <f>$C933*BO932</f>
        <v/>
      </c>
      <c r="BP933">
        <f>$C933*BP932</f>
        <v/>
      </c>
      <c r="BQ933">
        <f>$C933*BQ932</f>
        <v/>
      </c>
      <c r="BR933">
        <f>$C933*BR932</f>
        <v/>
      </c>
      <c r="BS933">
        <f>$C933*BS932</f>
        <v/>
      </c>
      <c r="BT933">
        <f>$C933*BT932</f>
        <v/>
      </c>
      <c r="BU933">
        <f>$C933*BU932</f>
        <v/>
      </c>
      <c r="BV933">
        <f>$C933*BV932</f>
        <v/>
      </c>
      <c r="BW933">
        <f>$C933*BW932</f>
        <v/>
      </c>
      <c r="BX933">
        <f>$C933*BX932</f>
        <v/>
      </c>
      <c r="BY933">
        <f>$C933*BY932</f>
        <v/>
      </c>
      <c r="BZ933">
        <f>$C933*BZ932</f>
        <v/>
      </c>
      <c r="CA933">
        <f>$C933*CA932</f>
        <v/>
      </c>
      <c r="CB933">
        <f>$C933*CB932</f>
        <v/>
      </c>
      <c r="CC933">
        <f>$C933*CC932</f>
        <v/>
      </c>
      <c r="CD933">
        <f>$C933*CD932</f>
        <v/>
      </c>
      <c r="CE933">
        <f>$C933*CE932</f>
        <v/>
      </c>
      <c r="CF933">
        <f>$C933*CF932</f>
        <v/>
      </c>
      <c r="CG933">
        <f>$C933*CG932</f>
        <v/>
      </c>
      <c r="CH933">
        <f>$C933*CH932</f>
        <v/>
      </c>
      <c r="CI933">
        <f>$C933*CI932</f>
        <v/>
      </c>
      <c r="CJ933">
        <f>$C933*CJ932</f>
        <v/>
      </c>
      <c r="CK933">
        <f>$C933*CK932</f>
        <v/>
      </c>
      <c r="CL933">
        <f>$C933*CL932</f>
        <v/>
      </c>
      <c r="CM933">
        <f>$C933*CM932</f>
        <v/>
      </c>
      <c r="CN933">
        <f>$C933*CN932</f>
        <v/>
      </c>
      <c r="CO933">
        <f>$C933*CO932</f>
        <v/>
      </c>
      <c r="CP933">
        <f>$C933*CP932</f>
        <v/>
      </c>
      <c r="CQ933">
        <f>$C933*CQ932</f>
        <v/>
      </c>
      <c r="CR933">
        <f>$C933*CR932</f>
        <v/>
      </c>
      <c r="CS933">
        <f>$C933*CS932</f>
        <v/>
      </c>
      <c r="CT933">
        <f>$C933*CT932</f>
        <v/>
      </c>
      <c r="CU933">
        <f>$C933*CU932</f>
        <v/>
      </c>
      <c r="CV933">
        <f>$C933*CV932</f>
        <v/>
      </c>
      <c r="CW933">
        <f>$C933*CW932</f>
        <v/>
      </c>
      <c r="CX933">
        <f>$C933*CX932</f>
        <v/>
      </c>
      <c r="CY933">
        <f>$C933*CY932</f>
        <v/>
      </c>
      <c r="CZ933">
        <f>$C933*CZ932</f>
        <v/>
      </c>
      <c r="DA933">
        <f>$C933*DA932</f>
        <v/>
      </c>
      <c r="DB933">
        <f>$C933*DB932</f>
        <v/>
      </c>
      <c r="DC933">
        <f>$C933*DC932</f>
        <v/>
      </c>
    </row>
    <row r="934">
      <c r="B934" t="inlineStr">
        <is>
          <t>TSP-927</t>
        </is>
      </c>
      <c r="C934" t="inlineStr">
        <is>
          <t>No. of batches</t>
        </is>
      </c>
      <c r="D934">
        <f>IFERROR(INDEX(PP_Grid[#Data],$DD934,2),0)</f>
        <v/>
      </c>
      <c r="E934">
        <f>IFERROR(INDEX(PP_Grid[#Data],$DD934,3),0)</f>
        <v/>
      </c>
      <c r="F934">
        <f>IFERROR(INDEX(PP_Grid[#Data],$DD934,4),0)</f>
        <v/>
      </c>
      <c r="G934">
        <f>IFERROR(INDEX(PP_Grid[#Data],$DD934,5),0)</f>
        <v/>
      </c>
      <c r="H934">
        <f>IFERROR(INDEX(PP_Grid[#Data],$DD934,6),0)</f>
        <v/>
      </c>
      <c r="I934">
        <f>IFERROR(INDEX(PP_Grid[#Data],$DD934,7),0)</f>
        <v/>
      </c>
      <c r="J934">
        <f>IFERROR(INDEX(PP_Grid[#Data],$DD934,8),0)</f>
        <v/>
      </c>
      <c r="K934">
        <f>IFERROR(INDEX(PP_Grid[#Data],$DD934,9),0)</f>
        <v/>
      </c>
      <c r="L934">
        <f>IFERROR(INDEX(PP_Grid[#Data],$DD934,10),0)</f>
        <v/>
      </c>
      <c r="M934">
        <f>IFERROR(INDEX(PP_Grid[#Data],$DD934,11),0)</f>
        <v/>
      </c>
      <c r="N934">
        <f>IFERROR(INDEX(PP_Grid[#Data],$DD934,12),0)</f>
        <v/>
      </c>
      <c r="O934">
        <f>IFERROR(INDEX(PP_Grid[#Data],$DD934,13),0)</f>
        <v/>
      </c>
      <c r="P934">
        <f>IFERROR(INDEX(PP_Grid[#Data],$DD934,14),0)</f>
        <v/>
      </c>
      <c r="Q934">
        <f>IFERROR(INDEX(PP_Grid[#Data],$DD934,15),0)</f>
        <v/>
      </c>
      <c r="R934">
        <f>IFERROR(INDEX(PP_Grid[#Data],$DD934,16),0)</f>
        <v/>
      </c>
      <c r="S934">
        <f>IFERROR(INDEX(PP_Grid[#Data],$DD934,17),0)</f>
        <v/>
      </c>
      <c r="T934">
        <f>IFERROR(INDEX(PP_Grid[#Data],$DD934,18),0)</f>
        <v/>
      </c>
      <c r="U934">
        <f>IFERROR(INDEX(PP_Grid[#Data],$DD934,19),0)</f>
        <v/>
      </c>
      <c r="V934">
        <f>IFERROR(INDEX(PP_Grid[#Data],$DD934,20),0)</f>
        <v/>
      </c>
      <c r="W934">
        <f>IFERROR(INDEX(PP_Grid[#Data],$DD934,21),0)</f>
        <v/>
      </c>
      <c r="X934">
        <f>IFERROR(INDEX(PP_Grid[#Data],$DD934,22),0)</f>
        <v/>
      </c>
      <c r="Y934">
        <f>IFERROR(INDEX(PP_Grid[#Data],$DD934,23),0)</f>
        <v/>
      </c>
      <c r="Z934">
        <f>IFERROR(INDEX(PP_Grid[#Data],$DD934,24),0)</f>
        <v/>
      </c>
      <c r="AA934">
        <f>IFERROR(INDEX(PP_Grid[#Data],$DD934,25),0)</f>
        <v/>
      </c>
      <c r="AB934">
        <f>IFERROR(INDEX(PP_Grid[#Data],$DD934,26),0)</f>
        <v/>
      </c>
      <c r="AC934">
        <f>IFERROR(INDEX(PP_Grid[#Data],$DD934,27),0)</f>
        <v/>
      </c>
      <c r="AD934">
        <f>IFERROR(INDEX(PP_Grid[#Data],$DD934,28),0)</f>
        <v/>
      </c>
      <c r="AE934">
        <f>IFERROR(INDEX(PP_Grid[#Data],$DD934,29),0)</f>
        <v/>
      </c>
      <c r="AF934">
        <f>IFERROR(INDEX(PP_Grid[#Data],$DD934,30),0)</f>
        <v/>
      </c>
      <c r="AG934">
        <f>IFERROR(INDEX(PP_Grid[#Data],$DD934,31),0)</f>
        <v/>
      </c>
      <c r="AH934">
        <f>IFERROR(INDEX(PP_Grid[#Data],$DD934,32),0)</f>
        <v/>
      </c>
      <c r="AI934">
        <f>IFERROR(INDEX(PP_Grid[#Data],$DD934,33),0)</f>
        <v/>
      </c>
      <c r="AJ934">
        <f>IFERROR(INDEX(PP_Grid[#Data],$DD934,34),0)</f>
        <v/>
      </c>
      <c r="AK934">
        <f>IFERROR(INDEX(PP_Grid[#Data],$DD934,35),0)</f>
        <v/>
      </c>
      <c r="AL934">
        <f>IFERROR(INDEX(PP_Grid[#Data],$DD934,36),0)</f>
        <v/>
      </c>
      <c r="AM934">
        <f>IFERROR(INDEX(PP_Grid[#Data],$DD934,37),0)</f>
        <v/>
      </c>
      <c r="AN934">
        <f>IFERROR(INDEX(PP_Grid[#Data],$DD934,38),0)</f>
        <v/>
      </c>
      <c r="AO934">
        <f>IFERROR(INDEX(PP_Grid[#Data],$DD934,39),0)</f>
        <v/>
      </c>
      <c r="AP934">
        <f>IFERROR(INDEX(PP_Grid[#Data],$DD934,40),0)</f>
        <v/>
      </c>
      <c r="AQ934">
        <f>IFERROR(INDEX(PP_Grid[#Data],$DD934,41),0)</f>
        <v/>
      </c>
      <c r="AR934">
        <f>IFERROR(INDEX(PP_Grid[#Data],$DD934,42),0)</f>
        <v/>
      </c>
      <c r="AS934">
        <f>IFERROR(INDEX(PP_Grid[#Data],$DD934,43),0)</f>
        <v/>
      </c>
      <c r="AT934">
        <f>IFERROR(INDEX(PP_Grid[#Data],$DD934,44),0)</f>
        <v/>
      </c>
      <c r="AU934">
        <f>IFERROR(INDEX(PP_Grid[#Data],$DD934,45),0)</f>
        <v/>
      </c>
      <c r="AV934">
        <f>IFERROR(INDEX(PP_Grid[#Data],$DD934,46),0)</f>
        <v/>
      </c>
      <c r="AW934">
        <f>IFERROR(INDEX(PP_Grid[#Data],$DD934,47),0)</f>
        <v/>
      </c>
      <c r="AX934">
        <f>IFERROR(INDEX(PP_Grid[#Data],$DD934,48),0)</f>
        <v/>
      </c>
      <c r="AY934">
        <f>IFERROR(INDEX(PP_Grid[#Data],$DD934,49),0)</f>
        <v/>
      </c>
      <c r="AZ934">
        <f>IFERROR(INDEX(PP_Grid[#Data],$DD934,50),0)</f>
        <v/>
      </c>
      <c r="BA934">
        <f>IFERROR(INDEX(PP_Grid[#Data],$DD934,51),0)</f>
        <v/>
      </c>
      <c r="BB934">
        <f>IFERROR(INDEX(PP_Grid[#Data],$DD934,52),0)</f>
        <v/>
      </c>
      <c r="BC934">
        <f>IFERROR(INDEX(PP_Grid[#Data],$DD934,53),0)</f>
        <v/>
      </c>
      <c r="BD934">
        <f>IFERROR(INDEX(PP_Grid[#Data],$DD934,54),0)</f>
        <v/>
      </c>
      <c r="BE934">
        <f>IFERROR(INDEX(PP_Grid[#Data],$DD934,55),0)</f>
        <v/>
      </c>
      <c r="BF934">
        <f>IFERROR(INDEX(PP_Grid[#Data],$DD934,56),0)</f>
        <v/>
      </c>
      <c r="BG934">
        <f>IFERROR(INDEX(PP_Grid[#Data],$DD934,57),0)</f>
        <v/>
      </c>
      <c r="BH934">
        <f>IFERROR(INDEX(PP_Grid[#Data],$DD934,58),0)</f>
        <v/>
      </c>
      <c r="BI934">
        <f>IFERROR(INDEX(PP_Grid[#Data],$DD934,59),0)</f>
        <v/>
      </c>
      <c r="BJ934">
        <f>IFERROR(INDEX(PP_Grid[#Data],$DD934,60),0)</f>
        <v/>
      </c>
      <c r="BK934">
        <f>IFERROR(INDEX(PP_Grid[#Data],$DD934,61),0)</f>
        <v/>
      </c>
      <c r="BL934">
        <f>IFERROR(INDEX(PP_Grid[#Data],$DD934,62),0)</f>
        <v/>
      </c>
      <c r="BM934">
        <f>IFERROR(INDEX(PP_Grid[#Data],$DD934,63),0)</f>
        <v/>
      </c>
      <c r="BN934">
        <f>IFERROR(INDEX(PP_Grid[#Data],$DD934,64),0)</f>
        <v/>
      </c>
      <c r="BO934">
        <f>IFERROR(INDEX(PP_Grid[#Data],$DD934,65),0)</f>
        <v/>
      </c>
      <c r="BP934">
        <f>IFERROR(INDEX(PP_Grid[#Data],$DD934,66),0)</f>
        <v/>
      </c>
      <c r="BQ934">
        <f>IFERROR(INDEX(PP_Grid[#Data],$DD934,67),0)</f>
        <v/>
      </c>
      <c r="BR934">
        <f>IFERROR(INDEX(PP_Grid[#Data],$DD934,68),0)</f>
        <v/>
      </c>
      <c r="BS934">
        <f>IFERROR(INDEX(PP_Grid[#Data],$DD934,69),0)</f>
        <v/>
      </c>
      <c r="BT934">
        <f>IFERROR(INDEX(PP_Grid[#Data],$DD934,70),0)</f>
        <v/>
      </c>
      <c r="BU934">
        <f>IFERROR(INDEX(PP_Grid[#Data],$DD934,71),0)</f>
        <v/>
      </c>
      <c r="BV934">
        <f>IFERROR(INDEX(PP_Grid[#Data],$DD934,72),0)</f>
        <v/>
      </c>
      <c r="BW934">
        <f>IFERROR(INDEX(PP_Grid[#Data],$DD934,73),0)</f>
        <v/>
      </c>
      <c r="BX934">
        <f>IFERROR(INDEX(PP_Grid[#Data],$DD934,74),0)</f>
        <v/>
      </c>
      <c r="BY934">
        <f>IFERROR(INDEX(PP_Grid[#Data],$DD934,75),0)</f>
        <v/>
      </c>
      <c r="BZ934">
        <f>IFERROR(INDEX(PP_Grid[#Data],$DD934,76),0)</f>
        <v/>
      </c>
      <c r="CA934">
        <f>IFERROR(INDEX(PP_Grid[#Data],$DD934,77),0)</f>
        <v/>
      </c>
      <c r="CB934">
        <f>IFERROR(INDEX(PP_Grid[#Data],$DD934,78),0)</f>
        <v/>
      </c>
      <c r="CC934">
        <f>IFERROR(INDEX(PP_Grid[#Data],$DD934,79),0)</f>
        <v/>
      </c>
      <c r="CD934">
        <f>IFERROR(INDEX(PP_Grid[#Data],$DD934,80),0)</f>
        <v/>
      </c>
      <c r="CE934">
        <f>IFERROR(INDEX(PP_Grid[#Data],$DD934,81),0)</f>
        <v/>
      </c>
      <c r="CF934">
        <f>IFERROR(INDEX(PP_Grid[#Data],$DD934,82),0)</f>
        <v/>
      </c>
      <c r="CG934">
        <f>IFERROR(INDEX(PP_Grid[#Data],$DD934,83),0)</f>
        <v/>
      </c>
      <c r="CH934">
        <f>IFERROR(INDEX(PP_Grid[#Data],$DD934,84),0)</f>
        <v/>
      </c>
      <c r="CI934">
        <f>IFERROR(INDEX(PP_Grid[#Data],$DD934,85),0)</f>
        <v/>
      </c>
      <c r="CJ934">
        <f>IFERROR(INDEX(PP_Grid[#Data],$DD934,86),0)</f>
        <v/>
      </c>
      <c r="CK934">
        <f>IFERROR(INDEX(PP_Grid[#Data],$DD934,87),0)</f>
        <v/>
      </c>
      <c r="CL934">
        <f>IFERROR(INDEX(PP_Grid[#Data],$DD934,88),0)</f>
        <v/>
      </c>
      <c r="CM934">
        <f>IFERROR(INDEX(PP_Grid[#Data],$DD934,89),0)</f>
        <v/>
      </c>
      <c r="CN934">
        <f>IFERROR(INDEX(PP_Grid[#Data],$DD934,90),0)</f>
        <v/>
      </c>
      <c r="CO934">
        <f>IFERROR(INDEX(PP_Grid[#Data],$DD934,91),0)</f>
        <v/>
      </c>
      <c r="CP934">
        <f>IFERROR(INDEX(PP_Grid[#Data],$DD934,92),0)</f>
        <v/>
      </c>
      <c r="CQ934">
        <f>IFERROR(INDEX(PP_Grid[#Data],$DD934,93),0)</f>
        <v/>
      </c>
      <c r="CR934">
        <f>IFERROR(INDEX(PP_Grid[#Data],$DD934,94),0)</f>
        <v/>
      </c>
      <c r="CS934">
        <f>IFERROR(INDEX(PP_Grid[#Data],$DD934,95),0)</f>
        <v/>
      </c>
      <c r="CT934">
        <f>IFERROR(INDEX(PP_Grid[#Data],$DD934,96),0)</f>
        <v/>
      </c>
      <c r="CU934">
        <f>IFERROR(INDEX(PP_Grid[#Data],$DD934,97),0)</f>
        <v/>
      </c>
      <c r="CV934">
        <f>IFERROR(INDEX(PP_Grid[#Data],$DD934,98),0)</f>
        <v/>
      </c>
      <c r="CW934">
        <f>IFERROR(INDEX(PP_Grid[#Data],$DD934,99),0)</f>
        <v/>
      </c>
      <c r="CX934">
        <f>IFERROR(INDEX(PP_Grid[#Data],$DD934,100),0)</f>
        <v/>
      </c>
      <c r="CY934">
        <f>IFERROR(INDEX(PP_Grid[#Data],$DD934,101),0)</f>
        <v/>
      </c>
      <c r="CZ934">
        <f>IFERROR(INDEX(PP_Grid[#Data],$DD934,102),0)</f>
        <v/>
      </c>
      <c r="DA934">
        <f>IFERROR(INDEX(PP_Grid[#Data],$DD934,103),0)</f>
        <v/>
      </c>
      <c r="DB934">
        <f>IFERROR(INDEX(PP_Grid[#Data],$DD934,104),0)</f>
        <v/>
      </c>
      <c r="DC934">
        <f>IFERROR(INDEX(PP_Grid[#Data],$DD934,105),0)</f>
        <v/>
      </c>
      <c r="DD934" s="12">
        <f>IFERROR(MATCH($B934,PP_Grid[Intermediate],0),99999)</f>
        <v/>
      </c>
    </row>
    <row r="935">
      <c r="B935" t="inlineStr">
        <is>
          <t>使用量(kg)</t>
        </is>
      </c>
      <c r="C935">
        <f>SUMIFS(M_BOM[RM_Qty_Per_Batch],M_BOM[Intermediate],$B934,M_BOM[Part Name],$A909)</f>
        <v/>
      </c>
      <c r="D935">
        <f>$C935*D934</f>
        <v/>
      </c>
      <c r="E935">
        <f>$C935*E934</f>
        <v/>
      </c>
      <c r="F935">
        <f>$C935*F934</f>
        <v/>
      </c>
      <c r="G935">
        <f>$C935*G934</f>
        <v/>
      </c>
      <c r="H935">
        <f>$C935*H934</f>
        <v/>
      </c>
      <c r="I935">
        <f>$C935*I934</f>
        <v/>
      </c>
      <c r="J935">
        <f>$C935*J934</f>
        <v/>
      </c>
      <c r="K935">
        <f>$C935*K934</f>
        <v/>
      </c>
      <c r="L935">
        <f>$C935*L934</f>
        <v/>
      </c>
      <c r="M935">
        <f>$C935*M934</f>
        <v/>
      </c>
      <c r="N935">
        <f>$C935*N934</f>
        <v/>
      </c>
      <c r="O935">
        <f>$C935*O934</f>
        <v/>
      </c>
      <c r="P935">
        <f>$C935*P934</f>
        <v/>
      </c>
      <c r="Q935">
        <f>$C935*Q934</f>
        <v/>
      </c>
      <c r="R935">
        <f>$C935*R934</f>
        <v/>
      </c>
      <c r="S935">
        <f>$C935*S934</f>
        <v/>
      </c>
      <c r="T935">
        <f>$C935*T934</f>
        <v/>
      </c>
      <c r="U935">
        <f>$C935*U934</f>
        <v/>
      </c>
      <c r="V935">
        <f>$C935*V934</f>
        <v/>
      </c>
      <c r="W935">
        <f>$C935*W934</f>
        <v/>
      </c>
      <c r="X935">
        <f>$C935*X934</f>
        <v/>
      </c>
      <c r="Y935">
        <f>$C935*Y934</f>
        <v/>
      </c>
      <c r="Z935">
        <f>$C935*Z934</f>
        <v/>
      </c>
      <c r="AA935">
        <f>$C935*AA934</f>
        <v/>
      </c>
      <c r="AB935">
        <f>$C935*AB934</f>
        <v/>
      </c>
      <c r="AC935">
        <f>$C935*AC934</f>
        <v/>
      </c>
      <c r="AD935">
        <f>$C935*AD934</f>
        <v/>
      </c>
      <c r="AE935">
        <f>$C935*AE934</f>
        <v/>
      </c>
      <c r="AF935">
        <f>$C935*AF934</f>
        <v/>
      </c>
      <c r="AG935">
        <f>$C935*AG934</f>
        <v/>
      </c>
      <c r="AH935">
        <f>$C935*AH934</f>
        <v/>
      </c>
      <c r="AI935">
        <f>$C935*AI934</f>
        <v/>
      </c>
      <c r="AJ935">
        <f>$C935*AJ934</f>
        <v/>
      </c>
      <c r="AK935">
        <f>$C935*AK934</f>
        <v/>
      </c>
      <c r="AL935">
        <f>$C935*AL934</f>
        <v/>
      </c>
      <c r="AM935">
        <f>$C935*AM934</f>
        <v/>
      </c>
      <c r="AN935">
        <f>$C935*AN934</f>
        <v/>
      </c>
      <c r="AO935">
        <f>$C935*AO934</f>
        <v/>
      </c>
      <c r="AP935">
        <f>$C935*AP934</f>
        <v/>
      </c>
      <c r="AQ935">
        <f>$C935*AQ934</f>
        <v/>
      </c>
      <c r="AR935">
        <f>$C935*AR934</f>
        <v/>
      </c>
      <c r="AS935">
        <f>$C935*AS934</f>
        <v/>
      </c>
      <c r="AT935">
        <f>$C935*AT934</f>
        <v/>
      </c>
      <c r="AU935">
        <f>$C935*AU934</f>
        <v/>
      </c>
      <c r="AV935">
        <f>$C935*AV934</f>
        <v/>
      </c>
      <c r="AW935">
        <f>$C935*AW934</f>
        <v/>
      </c>
      <c r="AX935">
        <f>$C935*AX934</f>
        <v/>
      </c>
      <c r="AY935">
        <f>$C935*AY934</f>
        <v/>
      </c>
      <c r="AZ935">
        <f>$C935*AZ934</f>
        <v/>
      </c>
      <c r="BA935">
        <f>$C935*BA934</f>
        <v/>
      </c>
      <c r="BB935">
        <f>$C935*BB934</f>
        <v/>
      </c>
      <c r="BC935">
        <f>$C935*BC934</f>
        <v/>
      </c>
      <c r="BD935">
        <f>$C935*BD934</f>
        <v/>
      </c>
      <c r="BE935">
        <f>$C935*BE934</f>
        <v/>
      </c>
      <c r="BF935">
        <f>$C935*BF934</f>
        <v/>
      </c>
      <c r="BG935">
        <f>$C935*BG934</f>
        <v/>
      </c>
      <c r="BH935">
        <f>$C935*BH934</f>
        <v/>
      </c>
      <c r="BI935">
        <f>$C935*BI934</f>
        <v/>
      </c>
      <c r="BJ935">
        <f>$C935*BJ934</f>
        <v/>
      </c>
      <c r="BK935">
        <f>$C935*BK934</f>
        <v/>
      </c>
      <c r="BL935">
        <f>$C935*BL934</f>
        <v/>
      </c>
      <c r="BM935">
        <f>$C935*BM934</f>
        <v/>
      </c>
      <c r="BN935">
        <f>$C935*BN934</f>
        <v/>
      </c>
      <c r="BO935">
        <f>$C935*BO934</f>
        <v/>
      </c>
      <c r="BP935">
        <f>$C935*BP934</f>
        <v/>
      </c>
      <c r="BQ935">
        <f>$C935*BQ934</f>
        <v/>
      </c>
      <c r="BR935">
        <f>$C935*BR934</f>
        <v/>
      </c>
      <c r="BS935">
        <f>$C935*BS934</f>
        <v/>
      </c>
      <c r="BT935">
        <f>$C935*BT934</f>
        <v/>
      </c>
      <c r="BU935">
        <f>$C935*BU934</f>
        <v/>
      </c>
      <c r="BV935">
        <f>$C935*BV934</f>
        <v/>
      </c>
      <c r="BW935">
        <f>$C935*BW934</f>
        <v/>
      </c>
      <c r="BX935">
        <f>$C935*BX934</f>
        <v/>
      </c>
      <c r="BY935">
        <f>$C935*BY934</f>
        <v/>
      </c>
      <c r="BZ935">
        <f>$C935*BZ934</f>
        <v/>
      </c>
      <c r="CA935">
        <f>$C935*CA934</f>
        <v/>
      </c>
      <c r="CB935">
        <f>$C935*CB934</f>
        <v/>
      </c>
      <c r="CC935">
        <f>$C935*CC934</f>
        <v/>
      </c>
      <c r="CD935">
        <f>$C935*CD934</f>
        <v/>
      </c>
      <c r="CE935">
        <f>$C935*CE934</f>
        <v/>
      </c>
      <c r="CF935">
        <f>$C935*CF934</f>
        <v/>
      </c>
      <c r="CG935">
        <f>$C935*CG934</f>
        <v/>
      </c>
      <c r="CH935">
        <f>$C935*CH934</f>
        <v/>
      </c>
      <c r="CI935">
        <f>$C935*CI934</f>
        <v/>
      </c>
      <c r="CJ935">
        <f>$C935*CJ934</f>
        <v/>
      </c>
      <c r="CK935">
        <f>$C935*CK934</f>
        <v/>
      </c>
      <c r="CL935">
        <f>$C935*CL934</f>
        <v/>
      </c>
      <c r="CM935">
        <f>$C935*CM934</f>
        <v/>
      </c>
      <c r="CN935">
        <f>$C935*CN934</f>
        <v/>
      </c>
      <c r="CO935">
        <f>$C935*CO934</f>
        <v/>
      </c>
      <c r="CP935">
        <f>$C935*CP934</f>
        <v/>
      </c>
      <c r="CQ935">
        <f>$C935*CQ934</f>
        <v/>
      </c>
      <c r="CR935">
        <f>$C935*CR934</f>
        <v/>
      </c>
      <c r="CS935">
        <f>$C935*CS934</f>
        <v/>
      </c>
      <c r="CT935">
        <f>$C935*CT934</f>
        <v/>
      </c>
      <c r="CU935">
        <f>$C935*CU934</f>
        <v/>
      </c>
      <c r="CV935">
        <f>$C935*CV934</f>
        <v/>
      </c>
      <c r="CW935">
        <f>$C935*CW934</f>
        <v/>
      </c>
      <c r="CX935">
        <f>$C935*CX934</f>
        <v/>
      </c>
      <c r="CY935">
        <f>$C935*CY934</f>
        <v/>
      </c>
      <c r="CZ935">
        <f>$C935*CZ934</f>
        <v/>
      </c>
      <c r="DA935">
        <f>$C935*DA934</f>
        <v/>
      </c>
      <c r="DB935">
        <f>$C935*DB934</f>
        <v/>
      </c>
      <c r="DC935">
        <f>$C935*DC934</f>
        <v/>
      </c>
    </row>
    <row r="936">
      <c r="B936" t="inlineStr">
        <is>
          <t>TSP-928</t>
        </is>
      </c>
      <c r="C936" t="inlineStr">
        <is>
          <t>No. of batches</t>
        </is>
      </c>
      <c r="D936">
        <f>IFERROR(INDEX(PP_Grid[#Data],$DD936,2),0)</f>
        <v/>
      </c>
      <c r="E936">
        <f>IFERROR(INDEX(PP_Grid[#Data],$DD936,3),0)</f>
        <v/>
      </c>
      <c r="F936">
        <f>IFERROR(INDEX(PP_Grid[#Data],$DD936,4),0)</f>
        <v/>
      </c>
      <c r="G936">
        <f>IFERROR(INDEX(PP_Grid[#Data],$DD936,5),0)</f>
        <v/>
      </c>
      <c r="H936">
        <f>IFERROR(INDEX(PP_Grid[#Data],$DD936,6),0)</f>
        <v/>
      </c>
      <c r="I936">
        <f>IFERROR(INDEX(PP_Grid[#Data],$DD936,7),0)</f>
        <v/>
      </c>
      <c r="J936">
        <f>IFERROR(INDEX(PP_Grid[#Data],$DD936,8),0)</f>
        <v/>
      </c>
      <c r="K936">
        <f>IFERROR(INDEX(PP_Grid[#Data],$DD936,9),0)</f>
        <v/>
      </c>
      <c r="L936">
        <f>IFERROR(INDEX(PP_Grid[#Data],$DD936,10),0)</f>
        <v/>
      </c>
      <c r="M936">
        <f>IFERROR(INDEX(PP_Grid[#Data],$DD936,11),0)</f>
        <v/>
      </c>
      <c r="N936">
        <f>IFERROR(INDEX(PP_Grid[#Data],$DD936,12),0)</f>
        <v/>
      </c>
      <c r="O936">
        <f>IFERROR(INDEX(PP_Grid[#Data],$DD936,13),0)</f>
        <v/>
      </c>
      <c r="P936">
        <f>IFERROR(INDEX(PP_Grid[#Data],$DD936,14),0)</f>
        <v/>
      </c>
      <c r="Q936">
        <f>IFERROR(INDEX(PP_Grid[#Data],$DD936,15),0)</f>
        <v/>
      </c>
      <c r="R936">
        <f>IFERROR(INDEX(PP_Grid[#Data],$DD936,16),0)</f>
        <v/>
      </c>
      <c r="S936">
        <f>IFERROR(INDEX(PP_Grid[#Data],$DD936,17),0)</f>
        <v/>
      </c>
      <c r="T936">
        <f>IFERROR(INDEX(PP_Grid[#Data],$DD936,18),0)</f>
        <v/>
      </c>
      <c r="U936">
        <f>IFERROR(INDEX(PP_Grid[#Data],$DD936,19),0)</f>
        <v/>
      </c>
      <c r="V936">
        <f>IFERROR(INDEX(PP_Grid[#Data],$DD936,20),0)</f>
        <v/>
      </c>
      <c r="W936">
        <f>IFERROR(INDEX(PP_Grid[#Data],$DD936,21),0)</f>
        <v/>
      </c>
      <c r="X936">
        <f>IFERROR(INDEX(PP_Grid[#Data],$DD936,22),0)</f>
        <v/>
      </c>
      <c r="Y936">
        <f>IFERROR(INDEX(PP_Grid[#Data],$DD936,23),0)</f>
        <v/>
      </c>
      <c r="Z936">
        <f>IFERROR(INDEX(PP_Grid[#Data],$DD936,24),0)</f>
        <v/>
      </c>
      <c r="AA936">
        <f>IFERROR(INDEX(PP_Grid[#Data],$DD936,25),0)</f>
        <v/>
      </c>
      <c r="AB936">
        <f>IFERROR(INDEX(PP_Grid[#Data],$DD936,26),0)</f>
        <v/>
      </c>
      <c r="AC936">
        <f>IFERROR(INDEX(PP_Grid[#Data],$DD936,27),0)</f>
        <v/>
      </c>
      <c r="AD936">
        <f>IFERROR(INDEX(PP_Grid[#Data],$DD936,28),0)</f>
        <v/>
      </c>
      <c r="AE936">
        <f>IFERROR(INDEX(PP_Grid[#Data],$DD936,29),0)</f>
        <v/>
      </c>
      <c r="AF936">
        <f>IFERROR(INDEX(PP_Grid[#Data],$DD936,30),0)</f>
        <v/>
      </c>
      <c r="AG936">
        <f>IFERROR(INDEX(PP_Grid[#Data],$DD936,31),0)</f>
        <v/>
      </c>
      <c r="AH936">
        <f>IFERROR(INDEX(PP_Grid[#Data],$DD936,32),0)</f>
        <v/>
      </c>
      <c r="AI936">
        <f>IFERROR(INDEX(PP_Grid[#Data],$DD936,33),0)</f>
        <v/>
      </c>
      <c r="AJ936">
        <f>IFERROR(INDEX(PP_Grid[#Data],$DD936,34),0)</f>
        <v/>
      </c>
      <c r="AK936">
        <f>IFERROR(INDEX(PP_Grid[#Data],$DD936,35),0)</f>
        <v/>
      </c>
      <c r="AL936">
        <f>IFERROR(INDEX(PP_Grid[#Data],$DD936,36),0)</f>
        <v/>
      </c>
      <c r="AM936">
        <f>IFERROR(INDEX(PP_Grid[#Data],$DD936,37),0)</f>
        <v/>
      </c>
      <c r="AN936">
        <f>IFERROR(INDEX(PP_Grid[#Data],$DD936,38),0)</f>
        <v/>
      </c>
      <c r="AO936">
        <f>IFERROR(INDEX(PP_Grid[#Data],$DD936,39),0)</f>
        <v/>
      </c>
      <c r="AP936">
        <f>IFERROR(INDEX(PP_Grid[#Data],$DD936,40),0)</f>
        <v/>
      </c>
      <c r="AQ936">
        <f>IFERROR(INDEX(PP_Grid[#Data],$DD936,41),0)</f>
        <v/>
      </c>
      <c r="AR936">
        <f>IFERROR(INDEX(PP_Grid[#Data],$DD936,42),0)</f>
        <v/>
      </c>
      <c r="AS936">
        <f>IFERROR(INDEX(PP_Grid[#Data],$DD936,43),0)</f>
        <v/>
      </c>
      <c r="AT936">
        <f>IFERROR(INDEX(PP_Grid[#Data],$DD936,44),0)</f>
        <v/>
      </c>
      <c r="AU936">
        <f>IFERROR(INDEX(PP_Grid[#Data],$DD936,45),0)</f>
        <v/>
      </c>
      <c r="AV936">
        <f>IFERROR(INDEX(PP_Grid[#Data],$DD936,46),0)</f>
        <v/>
      </c>
      <c r="AW936">
        <f>IFERROR(INDEX(PP_Grid[#Data],$DD936,47),0)</f>
        <v/>
      </c>
      <c r="AX936">
        <f>IFERROR(INDEX(PP_Grid[#Data],$DD936,48),0)</f>
        <v/>
      </c>
      <c r="AY936">
        <f>IFERROR(INDEX(PP_Grid[#Data],$DD936,49),0)</f>
        <v/>
      </c>
      <c r="AZ936">
        <f>IFERROR(INDEX(PP_Grid[#Data],$DD936,50),0)</f>
        <v/>
      </c>
      <c r="BA936">
        <f>IFERROR(INDEX(PP_Grid[#Data],$DD936,51),0)</f>
        <v/>
      </c>
      <c r="BB936">
        <f>IFERROR(INDEX(PP_Grid[#Data],$DD936,52),0)</f>
        <v/>
      </c>
      <c r="BC936">
        <f>IFERROR(INDEX(PP_Grid[#Data],$DD936,53),0)</f>
        <v/>
      </c>
      <c r="BD936">
        <f>IFERROR(INDEX(PP_Grid[#Data],$DD936,54),0)</f>
        <v/>
      </c>
      <c r="BE936">
        <f>IFERROR(INDEX(PP_Grid[#Data],$DD936,55),0)</f>
        <v/>
      </c>
      <c r="BF936">
        <f>IFERROR(INDEX(PP_Grid[#Data],$DD936,56),0)</f>
        <v/>
      </c>
      <c r="BG936">
        <f>IFERROR(INDEX(PP_Grid[#Data],$DD936,57),0)</f>
        <v/>
      </c>
      <c r="BH936">
        <f>IFERROR(INDEX(PP_Grid[#Data],$DD936,58),0)</f>
        <v/>
      </c>
      <c r="BI936">
        <f>IFERROR(INDEX(PP_Grid[#Data],$DD936,59),0)</f>
        <v/>
      </c>
      <c r="BJ936">
        <f>IFERROR(INDEX(PP_Grid[#Data],$DD936,60),0)</f>
        <v/>
      </c>
      <c r="BK936">
        <f>IFERROR(INDEX(PP_Grid[#Data],$DD936,61),0)</f>
        <v/>
      </c>
      <c r="BL936">
        <f>IFERROR(INDEX(PP_Grid[#Data],$DD936,62),0)</f>
        <v/>
      </c>
      <c r="BM936">
        <f>IFERROR(INDEX(PP_Grid[#Data],$DD936,63),0)</f>
        <v/>
      </c>
      <c r="BN936">
        <f>IFERROR(INDEX(PP_Grid[#Data],$DD936,64),0)</f>
        <v/>
      </c>
      <c r="BO936">
        <f>IFERROR(INDEX(PP_Grid[#Data],$DD936,65),0)</f>
        <v/>
      </c>
      <c r="BP936">
        <f>IFERROR(INDEX(PP_Grid[#Data],$DD936,66),0)</f>
        <v/>
      </c>
      <c r="BQ936">
        <f>IFERROR(INDEX(PP_Grid[#Data],$DD936,67),0)</f>
        <v/>
      </c>
      <c r="BR936">
        <f>IFERROR(INDEX(PP_Grid[#Data],$DD936,68),0)</f>
        <v/>
      </c>
      <c r="BS936">
        <f>IFERROR(INDEX(PP_Grid[#Data],$DD936,69),0)</f>
        <v/>
      </c>
      <c r="BT936">
        <f>IFERROR(INDEX(PP_Grid[#Data],$DD936,70),0)</f>
        <v/>
      </c>
      <c r="BU936">
        <f>IFERROR(INDEX(PP_Grid[#Data],$DD936,71),0)</f>
        <v/>
      </c>
      <c r="BV936">
        <f>IFERROR(INDEX(PP_Grid[#Data],$DD936,72),0)</f>
        <v/>
      </c>
      <c r="BW936">
        <f>IFERROR(INDEX(PP_Grid[#Data],$DD936,73),0)</f>
        <v/>
      </c>
      <c r="BX936">
        <f>IFERROR(INDEX(PP_Grid[#Data],$DD936,74),0)</f>
        <v/>
      </c>
      <c r="BY936">
        <f>IFERROR(INDEX(PP_Grid[#Data],$DD936,75),0)</f>
        <v/>
      </c>
      <c r="BZ936">
        <f>IFERROR(INDEX(PP_Grid[#Data],$DD936,76),0)</f>
        <v/>
      </c>
      <c r="CA936">
        <f>IFERROR(INDEX(PP_Grid[#Data],$DD936,77),0)</f>
        <v/>
      </c>
      <c r="CB936">
        <f>IFERROR(INDEX(PP_Grid[#Data],$DD936,78),0)</f>
        <v/>
      </c>
      <c r="CC936">
        <f>IFERROR(INDEX(PP_Grid[#Data],$DD936,79),0)</f>
        <v/>
      </c>
      <c r="CD936">
        <f>IFERROR(INDEX(PP_Grid[#Data],$DD936,80),0)</f>
        <v/>
      </c>
      <c r="CE936">
        <f>IFERROR(INDEX(PP_Grid[#Data],$DD936,81),0)</f>
        <v/>
      </c>
      <c r="CF936">
        <f>IFERROR(INDEX(PP_Grid[#Data],$DD936,82),0)</f>
        <v/>
      </c>
      <c r="CG936">
        <f>IFERROR(INDEX(PP_Grid[#Data],$DD936,83),0)</f>
        <v/>
      </c>
      <c r="CH936">
        <f>IFERROR(INDEX(PP_Grid[#Data],$DD936,84),0)</f>
        <v/>
      </c>
      <c r="CI936">
        <f>IFERROR(INDEX(PP_Grid[#Data],$DD936,85),0)</f>
        <v/>
      </c>
      <c r="CJ936">
        <f>IFERROR(INDEX(PP_Grid[#Data],$DD936,86),0)</f>
        <v/>
      </c>
      <c r="CK936">
        <f>IFERROR(INDEX(PP_Grid[#Data],$DD936,87),0)</f>
        <v/>
      </c>
      <c r="CL936">
        <f>IFERROR(INDEX(PP_Grid[#Data],$DD936,88),0)</f>
        <v/>
      </c>
      <c r="CM936">
        <f>IFERROR(INDEX(PP_Grid[#Data],$DD936,89),0)</f>
        <v/>
      </c>
      <c r="CN936">
        <f>IFERROR(INDEX(PP_Grid[#Data],$DD936,90),0)</f>
        <v/>
      </c>
      <c r="CO936">
        <f>IFERROR(INDEX(PP_Grid[#Data],$DD936,91),0)</f>
        <v/>
      </c>
      <c r="CP936">
        <f>IFERROR(INDEX(PP_Grid[#Data],$DD936,92),0)</f>
        <v/>
      </c>
      <c r="CQ936">
        <f>IFERROR(INDEX(PP_Grid[#Data],$DD936,93),0)</f>
        <v/>
      </c>
      <c r="CR936">
        <f>IFERROR(INDEX(PP_Grid[#Data],$DD936,94),0)</f>
        <v/>
      </c>
      <c r="CS936">
        <f>IFERROR(INDEX(PP_Grid[#Data],$DD936,95),0)</f>
        <v/>
      </c>
      <c r="CT936">
        <f>IFERROR(INDEX(PP_Grid[#Data],$DD936,96),0)</f>
        <v/>
      </c>
      <c r="CU936">
        <f>IFERROR(INDEX(PP_Grid[#Data],$DD936,97),0)</f>
        <v/>
      </c>
      <c r="CV936">
        <f>IFERROR(INDEX(PP_Grid[#Data],$DD936,98),0)</f>
        <v/>
      </c>
      <c r="CW936">
        <f>IFERROR(INDEX(PP_Grid[#Data],$DD936,99),0)</f>
        <v/>
      </c>
      <c r="CX936">
        <f>IFERROR(INDEX(PP_Grid[#Data],$DD936,100),0)</f>
        <v/>
      </c>
      <c r="CY936">
        <f>IFERROR(INDEX(PP_Grid[#Data],$DD936,101),0)</f>
        <v/>
      </c>
      <c r="CZ936">
        <f>IFERROR(INDEX(PP_Grid[#Data],$DD936,102),0)</f>
        <v/>
      </c>
      <c r="DA936">
        <f>IFERROR(INDEX(PP_Grid[#Data],$DD936,103),0)</f>
        <v/>
      </c>
      <c r="DB936">
        <f>IFERROR(INDEX(PP_Grid[#Data],$DD936,104),0)</f>
        <v/>
      </c>
      <c r="DC936">
        <f>IFERROR(INDEX(PP_Grid[#Data],$DD936,105),0)</f>
        <v/>
      </c>
      <c r="DD936" s="12">
        <f>IFERROR(MATCH($B936,PP_Grid[Intermediate],0),99999)</f>
        <v/>
      </c>
    </row>
    <row r="937">
      <c r="B937" t="inlineStr">
        <is>
          <t>使用量(kg)</t>
        </is>
      </c>
      <c r="C937">
        <f>SUMIFS(M_BOM[RM_Qty_Per_Batch],M_BOM[Intermediate],$B936,M_BOM[Part Name],$A909)</f>
        <v/>
      </c>
      <c r="D937">
        <f>$C937*D936</f>
        <v/>
      </c>
      <c r="E937">
        <f>$C937*E936</f>
        <v/>
      </c>
      <c r="F937">
        <f>$C937*F936</f>
        <v/>
      </c>
      <c r="G937">
        <f>$C937*G936</f>
        <v/>
      </c>
      <c r="H937">
        <f>$C937*H936</f>
        <v/>
      </c>
      <c r="I937">
        <f>$C937*I936</f>
        <v/>
      </c>
      <c r="J937">
        <f>$C937*J936</f>
        <v/>
      </c>
      <c r="K937">
        <f>$C937*K936</f>
        <v/>
      </c>
      <c r="L937">
        <f>$C937*L936</f>
        <v/>
      </c>
      <c r="M937">
        <f>$C937*M936</f>
        <v/>
      </c>
      <c r="N937">
        <f>$C937*N936</f>
        <v/>
      </c>
      <c r="O937">
        <f>$C937*O936</f>
        <v/>
      </c>
      <c r="P937">
        <f>$C937*P936</f>
        <v/>
      </c>
      <c r="Q937">
        <f>$C937*Q936</f>
        <v/>
      </c>
      <c r="R937">
        <f>$C937*R936</f>
        <v/>
      </c>
      <c r="S937">
        <f>$C937*S936</f>
        <v/>
      </c>
      <c r="T937">
        <f>$C937*T936</f>
        <v/>
      </c>
      <c r="U937">
        <f>$C937*U936</f>
        <v/>
      </c>
      <c r="V937">
        <f>$C937*V936</f>
        <v/>
      </c>
      <c r="W937">
        <f>$C937*W936</f>
        <v/>
      </c>
      <c r="X937">
        <f>$C937*X936</f>
        <v/>
      </c>
      <c r="Y937">
        <f>$C937*Y936</f>
        <v/>
      </c>
      <c r="Z937">
        <f>$C937*Z936</f>
        <v/>
      </c>
      <c r="AA937">
        <f>$C937*AA936</f>
        <v/>
      </c>
      <c r="AB937">
        <f>$C937*AB936</f>
        <v/>
      </c>
      <c r="AC937">
        <f>$C937*AC936</f>
        <v/>
      </c>
      <c r="AD937">
        <f>$C937*AD936</f>
        <v/>
      </c>
      <c r="AE937">
        <f>$C937*AE936</f>
        <v/>
      </c>
      <c r="AF937">
        <f>$C937*AF936</f>
        <v/>
      </c>
      <c r="AG937">
        <f>$C937*AG936</f>
        <v/>
      </c>
      <c r="AH937">
        <f>$C937*AH936</f>
        <v/>
      </c>
      <c r="AI937">
        <f>$C937*AI936</f>
        <v/>
      </c>
      <c r="AJ937">
        <f>$C937*AJ936</f>
        <v/>
      </c>
      <c r="AK937">
        <f>$C937*AK936</f>
        <v/>
      </c>
      <c r="AL937">
        <f>$C937*AL936</f>
        <v/>
      </c>
      <c r="AM937">
        <f>$C937*AM936</f>
        <v/>
      </c>
      <c r="AN937">
        <f>$C937*AN936</f>
        <v/>
      </c>
      <c r="AO937">
        <f>$C937*AO936</f>
        <v/>
      </c>
      <c r="AP937">
        <f>$C937*AP936</f>
        <v/>
      </c>
      <c r="AQ937">
        <f>$C937*AQ936</f>
        <v/>
      </c>
      <c r="AR937">
        <f>$C937*AR936</f>
        <v/>
      </c>
      <c r="AS937">
        <f>$C937*AS936</f>
        <v/>
      </c>
      <c r="AT937">
        <f>$C937*AT936</f>
        <v/>
      </c>
      <c r="AU937">
        <f>$C937*AU936</f>
        <v/>
      </c>
      <c r="AV937">
        <f>$C937*AV936</f>
        <v/>
      </c>
      <c r="AW937">
        <f>$C937*AW936</f>
        <v/>
      </c>
      <c r="AX937">
        <f>$C937*AX936</f>
        <v/>
      </c>
      <c r="AY937">
        <f>$C937*AY936</f>
        <v/>
      </c>
      <c r="AZ937">
        <f>$C937*AZ936</f>
        <v/>
      </c>
      <c r="BA937">
        <f>$C937*BA936</f>
        <v/>
      </c>
      <c r="BB937">
        <f>$C937*BB936</f>
        <v/>
      </c>
      <c r="BC937">
        <f>$C937*BC936</f>
        <v/>
      </c>
      <c r="BD937">
        <f>$C937*BD936</f>
        <v/>
      </c>
      <c r="BE937">
        <f>$C937*BE936</f>
        <v/>
      </c>
      <c r="BF937">
        <f>$C937*BF936</f>
        <v/>
      </c>
      <c r="BG937">
        <f>$C937*BG936</f>
        <v/>
      </c>
      <c r="BH937">
        <f>$C937*BH936</f>
        <v/>
      </c>
      <c r="BI937">
        <f>$C937*BI936</f>
        <v/>
      </c>
      <c r="BJ937">
        <f>$C937*BJ936</f>
        <v/>
      </c>
      <c r="BK937">
        <f>$C937*BK936</f>
        <v/>
      </c>
      <c r="BL937">
        <f>$C937*BL936</f>
        <v/>
      </c>
      <c r="BM937">
        <f>$C937*BM936</f>
        <v/>
      </c>
      <c r="BN937">
        <f>$C937*BN936</f>
        <v/>
      </c>
      <c r="BO937">
        <f>$C937*BO936</f>
        <v/>
      </c>
      <c r="BP937">
        <f>$C937*BP936</f>
        <v/>
      </c>
      <c r="BQ937">
        <f>$C937*BQ936</f>
        <v/>
      </c>
      <c r="BR937">
        <f>$C937*BR936</f>
        <v/>
      </c>
      <c r="BS937">
        <f>$C937*BS936</f>
        <v/>
      </c>
      <c r="BT937">
        <f>$C937*BT936</f>
        <v/>
      </c>
      <c r="BU937">
        <f>$C937*BU936</f>
        <v/>
      </c>
      <c r="BV937">
        <f>$C937*BV936</f>
        <v/>
      </c>
      <c r="BW937">
        <f>$C937*BW936</f>
        <v/>
      </c>
      <c r="BX937">
        <f>$C937*BX936</f>
        <v/>
      </c>
      <c r="BY937">
        <f>$C937*BY936</f>
        <v/>
      </c>
      <c r="BZ937">
        <f>$C937*BZ936</f>
        <v/>
      </c>
      <c r="CA937">
        <f>$C937*CA936</f>
        <v/>
      </c>
      <c r="CB937">
        <f>$C937*CB936</f>
        <v/>
      </c>
      <c r="CC937">
        <f>$C937*CC936</f>
        <v/>
      </c>
      <c r="CD937">
        <f>$C937*CD936</f>
        <v/>
      </c>
      <c r="CE937">
        <f>$C937*CE936</f>
        <v/>
      </c>
      <c r="CF937">
        <f>$C937*CF936</f>
        <v/>
      </c>
      <c r="CG937">
        <f>$C937*CG936</f>
        <v/>
      </c>
      <c r="CH937">
        <f>$C937*CH936</f>
        <v/>
      </c>
      <c r="CI937">
        <f>$C937*CI936</f>
        <v/>
      </c>
      <c r="CJ937">
        <f>$C937*CJ936</f>
        <v/>
      </c>
      <c r="CK937">
        <f>$C937*CK936</f>
        <v/>
      </c>
      <c r="CL937">
        <f>$C937*CL936</f>
        <v/>
      </c>
      <c r="CM937">
        <f>$C937*CM936</f>
        <v/>
      </c>
      <c r="CN937">
        <f>$C937*CN936</f>
        <v/>
      </c>
      <c r="CO937">
        <f>$C937*CO936</f>
        <v/>
      </c>
      <c r="CP937">
        <f>$C937*CP936</f>
        <v/>
      </c>
      <c r="CQ937">
        <f>$C937*CQ936</f>
        <v/>
      </c>
      <c r="CR937">
        <f>$C937*CR936</f>
        <v/>
      </c>
      <c r="CS937">
        <f>$C937*CS936</f>
        <v/>
      </c>
      <c r="CT937">
        <f>$C937*CT936</f>
        <v/>
      </c>
      <c r="CU937">
        <f>$C937*CU936</f>
        <v/>
      </c>
      <c r="CV937">
        <f>$C937*CV936</f>
        <v/>
      </c>
      <c r="CW937">
        <f>$C937*CW936</f>
        <v/>
      </c>
      <c r="CX937">
        <f>$C937*CX936</f>
        <v/>
      </c>
      <c r="CY937">
        <f>$C937*CY936</f>
        <v/>
      </c>
      <c r="CZ937">
        <f>$C937*CZ936</f>
        <v/>
      </c>
      <c r="DA937">
        <f>$C937*DA936</f>
        <v/>
      </c>
      <c r="DB937">
        <f>$C937*DB936</f>
        <v/>
      </c>
      <c r="DC937">
        <f>$C937*DC936</f>
        <v/>
      </c>
    </row>
    <row r="938">
      <c r="B938" t="inlineStr">
        <is>
          <t>TSP-929</t>
        </is>
      </c>
      <c r="C938" t="inlineStr">
        <is>
          <t>No. of batches</t>
        </is>
      </c>
      <c r="D938">
        <f>IFERROR(INDEX(PP_Grid[#Data],$DD938,2),0)</f>
        <v/>
      </c>
      <c r="E938">
        <f>IFERROR(INDEX(PP_Grid[#Data],$DD938,3),0)</f>
        <v/>
      </c>
      <c r="F938">
        <f>IFERROR(INDEX(PP_Grid[#Data],$DD938,4),0)</f>
        <v/>
      </c>
      <c r="G938">
        <f>IFERROR(INDEX(PP_Grid[#Data],$DD938,5),0)</f>
        <v/>
      </c>
      <c r="H938">
        <f>IFERROR(INDEX(PP_Grid[#Data],$DD938,6),0)</f>
        <v/>
      </c>
      <c r="I938">
        <f>IFERROR(INDEX(PP_Grid[#Data],$DD938,7),0)</f>
        <v/>
      </c>
      <c r="J938">
        <f>IFERROR(INDEX(PP_Grid[#Data],$DD938,8),0)</f>
        <v/>
      </c>
      <c r="K938">
        <f>IFERROR(INDEX(PP_Grid[#Data],$DD938,9),0)</f>
        <v/>
      </c>
      <c r="L938">
        <f>IFERROR(INDEX(PP_Grid[#Data],$DD938,10),0)</f>
        <v/>
      </c>
      <c r="M938">
        <f>IFERROR(INDEX(PP_Grid[#Data],$DD938,11),0)</f>
        <v/>
      </c>
      <c r="N938">
        <f>IFERROR(INDEX(PP_Grid[#Data],$DD938,12),0)</f>
        <v/>
      </c>
      <c r="O938">
        <f>IFERROR(INDEX(PP_Grid[#Data],$DD938,13),0)</f>
        <v/>
      </c>
      <c r="P938">
        <f>IFERROR(INDEX(PP_Grid[#Data],$DD938,14),0)</f>
        <v/>
      </c>
      <c r="Q938">
        <f>IFERROR(INDEX(PP_Grid[#Data],$DD938,15),0)</f>
        <v/>
      </c>
      <c r="R938">
        <f>IFERROR(INDEX(PP_Grid[#Data],$DD938,16),0)</f>
        <v/>
      </c>
      <c r="S938">
        <f>IFERROR(INDEX(PP_Grid[#Data],$DD938,17),0)</f>
        <v/>
      </c>
      <c r="T938">
        <f>IFERROR(INDEX(PP_Grid[#Data],$DD938,18),0)</f>
        <v/>
      </c>
      <c r="U938">
        <f>IFERROR(INDEX(PP_Grid[#Data],$DD938,19),0)</f>
        <v/>
      </c>
      <c r="V938">
        <f>IFERROR(INDEX(PP_Grid[#Data],$DD938,20),0)</f>
        <v/>
      </c>
      <c r="W938">
        <f>IFERROR(INDEX(PP_Grid[#Data],$DD938,21),0)</f>
        <v/>
      </c>
      <c r="X938">
        <f>IFERROR(INDEX(PP_Grid[#Data],$DD938,22),0)</f>
        <v/>
      </c>
      <c r="Y938">
        <f>IFERROR(INDEX(PP_Grid[#Data],$DD938,23),0)</f>
        <v/>
      </c>
      <c r="Z938">
        <f>IFERROR(INDEX(PP_Grid[#Data],$DD938,24),0)</f>
        <v/>
      </c>
      <c r="AA938">
        <f>IFERROR(INDEX(PP_Grid[#Data],$DD938,25),0)</f>
        <v/>
      </c>
      <c r="AB938">
        <f>IFERROR(INDEX(PP_Grid[#Data],$DD938,26),0)</f>
        <v/>
      </c>
      <c r="AC938">
        <f>IFERROR(INDEX(PP_Grid[#Data],$DD938,27),0)</f>
        <v/>
      </c>
      <c r="AD938">
        <f>IFERROR(INDEX(PP_Grid[#Data],$DD938,28),0)</f>
        <v/>
      </c>
      <c r="AE938">
        <f>IFERROR(INDEX(PP_Grid[#Data],$DD938,29),0)</f>
        <v/>
      </c>
      <c r="AF938">
        <f>IFERROR(INDEX(PP_Grid[#Data],$DD938,30),0)</f>
        <v/>
      </c>
      <c r="AG938">
        <f>IFERROR(INDEX(PP_Grid[#Data],$DD938,31),0)</f>
        <v/>
      </c>
      <c r="AH938">
        <f>IFERROR(INDEX(PP_Grid[#Data],$DD938,32),0)</f>
        <v/>
      </c>
      <c r="AI938">
        <f>IFERROR(INDEX(PP_Grid[#Data],$DD938,33),0)</f>
        <v/>
      </c>
      <c r="AJ938">
        <f>IFERROR(INDEX(PP_Grid[#Data],$DD938,34),0)</f>
        <v/>
      </c>
      <c r="AK938">
        <f>IFERROR(INDEX(PP_Grid[#Data],$DD938,35),0)</f>
        <v/>
      </c>
      <c r="AL938">
        <f>IFERROR(INDEX(PP_Grid[#Data],$DD938,36),0)</f>
        <v/>
      </c>
      <c r="AM938">
        <f>IFERROR(INDEX(PP_Grid[#Data],$DD938,37),0)</f>
        <v/>
      </c>
      <c r="AN938">
        <f>IFERROR(INDEX(PP_Grid[#Data],$DD938,38),0)</f>
        <v/>
      </c>
      <c r="AO938">
        <f>IFERROR(INDEX(PP_Grid[#Data],$DD938,39),0)</f>
        <v/>
      </c>
      <c r="AP938">
        <f>IFERROR(INDEX(PP_Grid[#Data],$DD938,40),0)</f>
        <v/>
      </c>
      <c r="AQ938">
        <f>IFERROR(INDEX(PP_Grid[#Data],$DD938,41),0)</f>
        <v/>
      </c>
      <c r="AR938">
        <f>IFERROR(INDEX(PP_Grid[#Data],$DD938,42),0)</f>
        <v/>
      </c>
      <c r="AS938">
        <f>IFERROR(INDEX(PP_Grid[#Data],$DD938,43),0)</f>
        <v/>
      </c>
      <c r="AT938">
        <f>IFERROR(INDEX(PP_Grid[#Data],$DD938,44),0)</f>
        <v/>
      </c>
      <c r="AU938">
        <f>IFERROR(INDEX(PP_Grid[#Data],$DD938,45),0)</f>
        <v/>
      </c>
      <c r="AV938">
        <f>IFERROR(INDEX(PP_Grid[#Data],$DD938,46),0)</f>
        <v/>
      </c>
      <c r="AW938">
        <f>IFERROR(INDEX(PP_Grid[#Data],$DD938,47),0)</f>
        <v/>
      </c>
      <c r="AX938">
        <f>IFERROR(INDEX(PP_Grid[#Data],$DD938,48),0)</f>
        <v/>
      </c>
      <c r="AY938">
        <f>IFERROR(INDEX(PP_Grid[#Data],$DD938,49),0)</f>
        <v/>
      </c>
      <c r="AZ938">
        <f>IFERROR(INDEX(PP_Grid[#Data],$DD938,50),0)</f>
        <v/>
      </c>
      <c r="BA938">
        <f>IFERROR(INDEX(PP_Grid[#Data],$DD938,51),0)</f>
        <v/>
      </c>
      <c r="BB938">
        <f>IFERROR(INDEX(PP_Grid[#Data],$DD938,52),0)</f>
        <v/>
      </c>
      <c r="BC938">
        <f>IFERROR(INDEX(PP_Grid[#Data],$DD938,53),0)</f>
        <v/>
      </c>
      <c r="BD938">
        <f>IFERROR(INDEX(PP_Grid[#Data],$DD938,54),0)</f>
        <v/>
      </c>
      <c r="BE938">
        <f>IFERROR(INDEX(PP_Grid[#Data],$DD938,55),0)</f>
        <v/>
      </c>
      <c r="BF938">
        <f>IFERROR(INDEX(PP_Grid[#Data],$DD938,56),0)</f>
        <v/>
      </c>
      <c r="BG938">
        <f>IFERROR(INDEX(PP_Grid[#Data],$DD938,57),0)</f>
        <v/>
      </c>
      <c r="BH938">
        <f>IFERROR(INDEX(PP_Grid[#Data],$DD938,58),0)</f>
        <v/>
      </c>
      <c r="BI938">
        <f>IFERROR(INDEX(PP_Grid[#Data],$DD938,59),0)</f>
        <v/>
      </c>
      <c r="BJ938">
        <f>IFERROR(INDEX(PP_Grid[#Data],$DD938,60),0)</f>
        <v/>
      </c>
      <c r="BK938">
        <f>IFERROR(INDEX(PP_Grid[#Data],$DD938,61),0)</f>
        <v/>
      </c>
      <c r="BL938">
        <f>IFERROR(INDEX(PP_Grid[#Data],$DD938,62),0)</f>
        <v/>
      </c>
      <c r="BM938">
        <f>IFERROR(INDEX(PP_Grid[#Data],$DD938,63),0)</f>
        <v/>
      </c>
      <c r="BN938">
        <f>IFERROR(INDEX(PP_Grid[#Data],$DD938,64),0)</f>
        <v/>
      </c>
      <c r="BO938">
        <f>IFERROR(INDEX(PP_Grid[#Data],$DD938,65),0)</f>
        <v/>
      </c>
      <c r="BP938">
        <f>IFERROR(INDEX(PP_Grid[#Data],$DD938,66),0)</f>
        <v/>
      </c>
      <c r="BQ938">
        <f>IFERROR(INDEX(PP_Grid[#Data],$DD938,67),0)</f>
        <v/>
      </c>
      <c r="BR938">
        <f>IFERROR(INDEX(PP_Grid[#Data],$DD938,68),0)</f>
        <v/>
      </c>
      <c r="BS938">
        <f>IFERROR(INDEX(PP_Grid[#Data],$DD938,69),0)</f>
        <v/>
      </c>
      <c r="BT938">
        <f>IFERROR(INDEX(PP_Grid[#Data],$DD938,70),0)</f>
        <v/>
      </c>
      <c r="BU938">
        <f>IFERROR(INDEX(PP_Grid[#Data],$DD938,71),0)</f>
        <v/>
      </c>
      <c r="BV938">
        <f>IFERROR(INDEX(PP_Grid[#Data],$DD938,72),0)</f>
        <v/>
      </c>
      <c r="BW938">
        <f>IFERROR(INDEX(PP_Grid[#Data],$DD938,73),0)</f>
        <v/>
      </c>
      <c r="BX938">
        <f>IFERROR(INDEX(PP_Grid[#Data],$DD938,74),0)</f>
        <v/>
      </c>
      <c r="BY938">
        <f>IFERROR(INDEX(PP_Grid[#Data],$DD938,75),0)</f>
        <v/>
      </c>
      <c r="BZ938">
        <f>IFERROR(INDEX(PP_Grid[#Data],$DD938,76),0)</f>
        <v/>
      </c>
      <c r="CA938">
        <f>IFERROR(INDEX(PP_Grid[#Data],$DD938,77),0)</f>
        <v/>
      </c>
      <c r="CB938">
        <f>IFERROR(INDEX(PP_Grid[#Data],$DD938,78),0)</f>
        <v/>
      </c>
      <c r="CC938">
        <f>IFERROR(INDEX(PP_Grid[#Data],$DD938,79),0)</f>
        <v/>
      </c>
      <c r="CD938">
        <f>IFERROR(INDEX(PP_Grid[#Data],$DD938,80),0)</f>
        <v/>
      </c>
      <c r="CE938">
        <f>IFERROR(INDEX(PP_Grid[#Data],$DD938,81),0)</f>
        <v/>
      </c>
      <c r="CF938">
        <f>IFERROR(INDEX(PP_Grid[#Data],$DD938,82),0)</f>
        <v/>
      </c>
      <c r="CG938">
        <f>IFERROR(INDEX(PP_Grid[#Data],$DD938,83),0)</f>
        <v/>
      </c>
      <c r="CH938">
        <f>IFERROR(INDEX(PP_Grid[#Data],$DD938,84),0)</f>
        <v/>
      </c>
      <c r="CI938">
        <f>IFERROR(INDEX(PP_Grid[#Data],$DD938,85),0)</f>
        <v/>
      </c>
      <c r="CJ938">
        <f>IFERROR(INDEX(PP_Grid[#Data],$DD938,86),0)</f>
        <v/>
      </c>
      <c r="CK938">
        <f>IFERROR(INDEX(PP_Grid[#Data],$DD938,87),0)</f>
        <v/>
      </c>
      <c r="CL938">
        <f>IFERROR(INDEX(PP_Grid[#Data],$DD938,88),0)</f>
        <v/>
      </c>
      <c r="CM938">
        <f>IFERROR(INDEX(PP_Grid[#Data],$DD938,89),0)</f>
        <v/>
      </c>
      <c r="CN938">
        <f>IFERROR(INDEX(PP_Grid[#Data],$DD938,90),0)</f>
        <v/>
      </c>
      <c r="CO938">
        <f>IFERROR(INDEX(PP_Grid[#Data],$DD938,91),0)</f>
        <v/>
      </c>
      <c r="CP938">
        <f>IFERROR(INDEX(PP_Grid[#Data],$DD938,92),0)</f>
        <v/>
      </c>
      <c r="CQ938">
        <f>IFERROR(INDEX(PP_Grid[#Data],$DD938,93),0)</f>
        <v/>
      </c>
      <c r="CR938">
        <f>IFERROR(INDEX(PP_Grid[#Data],$DD938,94),0)</f>
        <v/>
      </c>
      <c r="CS938">
        <f>IFERROR(INDEX(PP_Grid[#Data],$DD938,95),0)</f>
        <v/>
      </c>
      <c r="CT938">
        <f>IFERROR(INDEX(PP_Grid[#Data],$DD938,96),0)</f>
        <v/>
      </c>
      <c r="CU938">
        <f>IFERROR(INDEX(PP_Grid[#Data],$DD938,97),0)</f>
        <v/>
      </c>
      <c r="CV938">
        <f>IFERROR(INDEX(PP_Grid[#Data],$DD938,98),0)</f>
        <v/>
      </c>
      <c r="CW938">
        <f>IFERROR(INDEX(PP_Grid[#Data],$DD938,99),0)</f>
        <v/>
      </c>
      <c r="CX938">
        <f>IFERROR(INDEX(PP_Grid[#Data],$DD938,100),0)</f>
        <v/>
      </c>
      <c r="CY938">
        <f>IFERROR(INDEX(PP_Grid[#Data],$DD938,101),0)</f>
        <v/>
      </c>
      <c r="CZ938">
        <f>IFERROR(INDEX(PP_Grid[#Data],$DD938,102),0)</f>
        <v/>
      </c>
      <c r="DA938">
        <f>IFERROR(INDEX(PP_Grid[#Data],$DD938,103),0)</f>
        <v/>
      </c>
      <c r="DB938">
        <f>IFERROR(INDEX(PP_Grid[#Data],$DD938,104),0)</f>
        <v/>
      </c>
      <c r="DC938">
        <f>IFERROR(INDEX(PP_Grid[#Data],$DD938,105),0)</f>
        <v/>
      </c>
      <c r="DD938" s="12">
        <f>IFERROR(MATCH($B938,PP_Grid[Intermediate],0),99999)</f>
        <v/>
      </c>
    </row>
    <row r="939">
      <c r="B939" t="inlineStr">
        <is>
          <t>使用量(kg)</t>
        </is>
      </c>
      <c r="C939">
        <f>SUMIFS(M_BOM[RM_Qty_Per_Batch],M_BOM[Intermediate],$B938,M_BOM[Part Name],$A909)</f>
        <v/>
      </c>
      <c r="D939">
        <f>$C939*D938</f>
        <v/>
      </c>
      <c r="E939">
        <f>$C939*E938</f>
        <v/>
      </c>
      <c r="F939">
        <f>$C939*F938</f>
        <v/>
      </c>
      <c r="G939">
        <f>$C939*G938</f>
        <v/>
      </c>
      <c r="H939">
        <f>$C939*H938</f>
        <v/>
      </c>
      <c r="I939">
        <f>$C939*I938</f>
        <v/>
      </c>
      <c r="J939">
        <f>$C939*J938</f>
        <v/>
      </c>
      <c r="K939">
        <f>$C939*K938</f>
        <v/>
      </c>
      <c r="L939">
        <f>$C939*L938</f>
        <v/>
      </c>
      <c r="M939">
        <f>$C939*M938</f>
        <v/>
      </c>
      <c r="N939">
        <f>$C939*N938</f>
        <v/>
      </c>
      <c r="O939">
        <f>$C939*O938</f>
        <v/>
      </c>
      <c r="P939">
        <f>$C939*P938</f>
        <v/>
      </c>
      <c r="Q939">
        <f>$C939*Q938</f>
        <v/>
      </c>
      <c r="R939">
        <f>$C939*R938</f>
        <v/>
      </c>
      <c r="S939">
        <f>$C939*S938</f>
        <v/>
      </c>
      <c r="T939">
        <f>$C939*T938</f>
        <v/>
      </c>
      <c r="U939">
        <f>$C939*U938</f>
        <v/>
      </c>
      <c r="V939">
        <f>$C939*V938</f>
        <v/>
      </c>
      <c r="W939">
        <f>$C939*W938</f>
        <v/>
      </c>
      <c r="X939">
        <f>$C939*X938</f>
        <v/>
      </c>
      <c r="Y939">
        <f>$C939*Y938</f>
        <v/>
      </c>
      <c r="Z939">
        <f>$C939*Z938</f>
        <v/>
      </c>
      <c r="AA939">
        <f>$C939*AA938</f>
        <v/>
      </c>
      <c r="AB939">
        <f>$C939*AB938</f>
        <v/>
      </c>
      <c r="AC939">
        <f>$C939*AC938</f>
        <v/>
      </c>
      <c r="AD939">
        <f>$C939*AD938</f>
        <v/>
      </c>
      <c r="AE939">
        <f>$C939*AE938</f>
        <v/>
      </c>
      <c r="AF939">
        <f>$C939*AF938</f>
        <v/>
      </c>
      <c r="AG939">
        <f>$C939*AG938</f>
        <v/>
      </c>
      <c r="AH939">
        <f>$C939*AH938</f>
        <v/>
      </c>
      <c r="AI939">
        <f>$C939*AI938</f>
        <v/>
      </c>
      <c r="AJ939">
        <f>$C939*AJ938</f>
        <v/>
      </c>
      <c r="AK939">
        <f>$C939*AK938</f>
        <v/>
      </c>
      <c r="AL939">
        <f>$C939*AL938</f>
        <v/>
      </c>
      <c r="AM939">
        <f>$C939*AM938</f>
        <v/>
      </c>
      <c r="AN939">
        <f>$C939*AN938</f>
        <v/>
      </c>
      <c r="AO939">
        <f>$C939*AO938</f>
        <v/>
      </c>
      <c r="AP939">
        <f>$C939*AP938</f>
        <v/>
      </c>
      <c r="AQ939">
        <f>$C939*AQ938</f>
        <v/>
      </c>
      <c r="AR939">
        <f>$C939*AR938</f>
        <v/>
      </c>
      <c r="AS939">
        <f>$C939*AS938</f>
        <v/>
      </c>
      <c r="AT939">
        <f>$C939*AT938</f>
        <v/>
      </c>
      <c r="AU939">
        <f>$C939*AU938</f>
        <v/>
      </c>
      <c r="AV939">
        <f>$C939*AV938</f>
        <v/>
      </c>
      <c r="AW939">
        <f>$C939*AW938</f>
        <v/>
      </c>
      <c r="AX939">
        <f>$C939*AX938</f>
        <v/>
      </c>
      <c r="AY939">
        <f>$C939*AY938</f>
        <v/>
      </c>
      <c r="AZ939">
        <f>$C939*AZ938</f>
        <v/>
      </c>
      <c r="BA939">
        <f>$C939*BA938</f>
        <v/>
      </c>
      <c r="BB939">
        <f>$C939*BB938</f>
        <v/>
      </c>
      <c r="BC939">
        <f>$C939*BC938</f>
        <v/>
      </c>
      <c r="BD939">
        <f>$C939*BD938</f>
        <v/>
      </c>
      <c r="BE939">
        <f>$C939*BE938</f>
        <v/>
      </c>
      <c r="BF939">
        <f>$C939*BF938</f>
        <v/>
      </c>
      <c r="BG939">
        <f>$C939*BG938</f>
        <v/>
      </c>
      <c r="BH939">
        <f>$C939*BH938</f>
        <v/>
      </c>
      <c r="BI939">
        <f>$C939*BI938</f>
        <v/>
      </c>
      <c r="BJ939">
        <f>$C939*BJ938</f>
        <v/>
      </c>
      <c r="BK939">
        <f>$C939*BK938</f>
        <v/>
      </c>
      <c r="BL939">
        <f>$C939*BL938</f>
        <v/>
      </c>
      <c r="BM939">
        <f>$C939*BM938</f>
        <v/>
      </c>
      <c r="BN939">
        <f>$C939*BN938</f>
        <v/>
      </c>
      <c r="BO939">
        <f>$C939*BO938</f>
        <v/>
      </c>
      <c r="BP939">
        <f>$C939*BP938</f>
        <v/>
      </c>
      <c r="BQ939">
        <f>$C939*BQ938</f>
        <v/>
      </c>
      <c r="BR939">
        <f>$C939*BR938</f>
        <v/>
      </c>
      <c r="BS939">
        <f>$C939*BS938</f>
        <v/>
      </c>
      <c r="BT939">
        <f>$C939*BT938</f>
        <v/>
      </c>
      <c r="BU939">
        <f>$C939*BU938</f>
        <v/>
      </c>
      <c r="BV939">
        <f>$C939*BV938</f>
        <v/>
      </c>
      <c r="BW939">
        <f>$C939*BW938</f>
        <v/>
      </c>
      <c r="BX939">
        <f>$C939*BX938</f>
        <v/>
      </c>
      <c r="BY939">
        <f>$C939*BY938</f>
        <v/>
      </c>
      <c r="BZ939">
        <f>$C939*BZ938</f>
        <v/>
      </c>
      <c r="CA939">
        <f>$C939*CA938</f>
        <v/>
      </c>
      <c r="CB939">
        <f>$C939*CB938</f>
        <v/>
      </c>
      <c r="CC939">
        <f>$C939*CC938</f>
        <v/>
      </c>
      <c r="CD939">
        <f>$C939*CD938</f>
        <v/>
      </c>
      <c r="CE939">
        <f>$C939*CE938</f>
        <v/>
      </c>
      <c r="CF939">
        <f>$C939*CF938</f>
        <v/>
      </c>
      <c r="CG939">
        <f>$C939*CG938</f>
        <v/>
      </c>
      <c r="CH939">
        <f>$C939*CH938</f>
        <v/>
      </c>
      <c r="CI939">
        <f>$C939*CI938</f>
        <v/>
      </c>
      <c r="CJ939">
        <f>$C939*CJ938</f>
        <v/>
      </c>
      <c r="CK939">
        <f>$C939*CK938</f>
        <v/>
      </c>
      <c r="CL939">
        <f>$C939*CL938</f>
        <v/>
      </c>
      <c r="CM939">
        <f>$C939*CM938</f>
        <v/>
      </c>
      <c r="CN939">
        <f>$C939*CN938</f>
        <v/>
      </c>
      <c r="CO939">
        <f>$C939*CO938</f>
        <v/>
      </c>
      <c r="CP939">
        <f>$C939*CP938</f>
        <v/>
      </c>
      <c r="CQ939">
        <f>$C939*CQ938</f>
        <v/>
      </c>
      <c r="CR939">
        <f>$C939*CR938</f>
        <v/>
      </c>
      <c r="CS939">
        <f>$C939*CS938</f>
        <v/>
      </c>
      <c r="CT939">
        <f>$C939*CT938</f>
        <v/>
      </c>
      <c r="CU939">
        <f>$C939*CU938</f>
        <v/>
      </c>
      <c r="CV939">
        <f>$C939*CV938</f>
        <v/>
      </c>
      <c r="CW939">
        <f>$C939*CW938</f>
        <v/>
      </c>
      <c r="CX939">
        <f>$C939*CX938</f>
        <v/>
      </c>
      <c r="CY939">
        <f>$C939*CY938</f>
        <v/>
      </c>
      <c r="CZ939">
        <f>$C939*CZ938</f>
        <v/>
      </c>
      <c r="DA939">
        <f>$C939*DA938</f>
        <v/>
      </c>
      <c r="DB939">
        <f>$C939*DB938</f>
        <v/>
      </c>
      <c r="DC939">
        <f>$C939*DC938</f>
        <v/>
      </c>
    </row>
    <row r="940">
      <c r="B940" t="inlineStr">
        <is>
          <t>TSP-930</t>
        </is>
      </c>
      <c r="C940" t="inlineStr">
        <is>
          <t>No. of batches</t>
        </is>
      </c>
      <c r="D940">
        <f>IFERROR(INDEX(PP_Grid[#Data],$DD940,2),0)</f>
        <v/>
      </c>
      <c r="E940">
        <f>IFERROR(INDEX(PP_Grid[#Data],$DD940,3),0)</f>
        <v/>
      </c>
      <c r="F940">
        <f>IFERROR(INDEX(PP_Grid[#Data],$DD940,4),0)</f>
        <v/>
      </c>
      <c r="G940">
        <f>IFERROR(INDEX(PP_Grid[#Data],$DD940,5),0)</f>
        <v/>
      </c>
      <c r="H940">
        <f>IFERROR(INDEX(PP_Grid[#Data],$DD940,6),0)</f>
        <v/>
      </c>
      <c r="I940">
        <f>IFERROR(INDEX(PP_Grid[#Data],$DD940,7),0)</f>
        <v/>
      </c>
      <c r="J940">
        <f>IFERROR(INDEX(PP_Grid[#Data],$DD940,8),0)</f>
        <v/>
      </c>
      <c r="K940">
        <f>IFERROR(INDEX(PP_Grid[#Data],$DD940,9),0)</f>
        <v/>
      </c>
      <c r="L940">
        <f>IFERROR(INDEX(PP_Grid[#Data],$DD940,10),0)</f>
        <v/>
      </c>
      <c r="M940">
        <f>IFERROR(INDEX(PP_Grid[#Data],$DD940,11),0)</f>
        <v/>
      </c>
      <c r="N940">
        <f>IFERROR(INDEX(PP_Grid[#Data],$DD940,12),0)</f>
        <v/>
      </c>
      <c r="O940">
        <f>IFERROR(INDEX(PP_Grid[#Data],$DD940,13),0)</f>
        <v/>
      </c>
      <c r="P940">
        <f>IFERROR(INDEX(PP_Grid[#Data],$DD940,14),0)</f>
        <v/>
      </c>
      <c r="Q940">
        <f>IFERROR(INDEX(PP_Grid[#Data],$DD940,15),0)</f>
        <v/>
      </c>
      <c r="R940">
        <f>IFERROR(INDEX(PP_Grid[#Data],$DD940,16),0)</f>
        <v/>
      </c>
      <c r="S940">
        <f>IFERROR(INDEX(PP_Grid[#Data],$DD940,17),0)</f>
        <v/>
      </c>
      <c r="T940">
        <f>IFERROR(INDEX(PP_Grid[#Data],$DD940,18),0)</f>
        <v/>
      </c>
      <c r="U940">
        <f>IFERROR(INDEX(PP_Grid[#Data],$DD940,19),0)</f>
        <v/>
      </c>
      <c r="V940">
        <f>IFERROR(INDEX(PP_Grid[#Data],$DD940,20),0)</f>
        <v/>
      </c>
      <c r="W940">
        <f>IFERROR(INDEX(PP_Grid[#Data],$DD940,21),0)</f>
        <v/>
      </c>
      <c r="X940">
        <f>IFERROR(INDEX(PP_Grid[#Data],$DD940,22),0)</f>
        <v/>
      </c>
      <c r="Y940">
        <f>IFERROR(INDEX(PP_Grid[#Data],$DD940,23),0)</f>
        <v/>
      </c>
      <c r="Z940">
        <f>IFERROR(INDEX(PP_Grid[#Data],$DD940,24),0)</f>
        <v/>
      </c>
      <c r="AA940">
        <f>IFERROR(INDEX(PP_Grid[#Data],$DD940,25),0)</f>
        <v/>
      </c>
      <c r="AB940">
        <f>IFERROR(INDEX(PP_Grid[#Data],$DD940,26),0)</f>
        <v/>
      </c>
      <c r="AC940">
        <f>IFERROR(INDEX(PP_Grid[#Data],$DD940,27),0)</f>
        <v/>
      </c>
      <c r="AD940">
        <f>IFERROR(INDEX(PP_Grid[#Data],$DD940,28),0)</f>
        <v/>
      </c>
      <c r="AE940">
        <f>IFERROR(INDEX(PP_Grid[#Data],$DD940,29),0)</f>
        <v/>
      </c>
      <c r="AF940">
        <f>IFERROR(INDEX(PP_Grid[#Data],$DD940,30),0)</f>
        <v/>
      </c>
      <c r="AG940">
        <f>IFERROR(INDEX(PP_Grid[#Data],$DD940,31),0)</f>
        <v/>
      </c>
      <c r="AH940">
        <f>IFERROR(INDEX(PP_Grid[#Data],$DD940,32),0)</f>
        <v/>
      </c>
      <c r="AI940">
        <f>IFERROR(INDEX(PP_Grid[#Data],$DD940,33),0)</f>
        <v/>
      </c>
      <c r="AJ940">
        <f>IFERROR(INDEX(PP_Grid[#Data],$DD940,34),0)</f>
        <v/>
      </c>
      <c r="AK940">
        <f>IFERROR(INDEX(PP_Grid[#Data],$DD940,35),0)</f>
        <v/>
      </c>
      <c r="AL940">
        <f>IFERROR(INDEX(PP_Grid[#Data],$DD940,36),0)</f>
        <v/>
      </c>
      <c r="AM940">
        <f>IFERROR(INDEX(PP_Grid[#Data],$DD940,37),0)</f>
        <v/>
      </c>
      <c r="AN940">
        <f>IFERROR(INDEX(PP_Grid[#Data],$DD940,38),0)</f>
        <v/>
      </c>
      <c r="AO940">
        <f>IFERROR(INDEX(PP_Grid[#Data],$DD940,39),0)</f>
        <v/>
      </c>
      <c r="AP940">
        <f>IFERROR(INDEX(PP_Grid[#Data],$DD940,40),0)</f>
        <v/>
      </c>
      <c r="AQ940">
        <f>IFERROR(INDEX(PP_Grid[#Data],$DD940,41),0)</f>
        <v/>
      </c>
      <c r="AR940">
        <f>IFERROR(INDEX(PP_Grid[#Data],$DD940,42),0)</f>
        <v/>
      </c>
      <c r="AS940">
        <f>IFERROR(INDEX(PP_Grid[#Data],$DD940,43),0)</f>
        <v/>
      </c>
      <c r="AT940">
        <f>IFERROR(INDEX(PP_Grid[#Data],$DD940,44),0)</f>
        <v/>
      </c>
      <c r="AU940">
        <f>IFERROR(INDEX(PP_Grid[#Data],$DD940,45),0)</f>
        <v/>
      </c>
      <c r="AV940">
        <f>IFERROR(INDEX(PP_Grid[#Data],$DD940,46),0)</f>
        <v/>
      </c>
      <c r="AW940">
        <f>IFERROR(INDEX(PP_Grid[#Data],$DD940,47),0)</f>
        <v/>
      </c>
      <c r="AX940">
        <f>IFERROR(INDEX(PP_Grid[#Data],$DD940,48),0)</f>
        <v/>
      </c>
      <c r="AY940">
        <f>IFERROR(INDEX(PP_Grid[#Data],$DD940,49),0)</f>
        <v/>
      </c>
      <c r="AZ940">
        <f>IFERROR(INDEX(PP_Grid[#Data],$DD940,50),0)</f>
        <v/>
      </c>
      <c r="BA940">
        <f>IFERROR(INDEX(PP_Grid[#Data],$DD940,51),0)</f>
        <v/>
      </c>
      <c r="BB940">
        <f>IFERROR(INDEX(PP_Grid[#Data],$DD940,52),0)</f>
        <v/>
      </c>
      <c r="BC940">
        <f>IFERROR(INDEX(PP_Grid[#Data],$DD940,53),0)</f>
        <v/>
      </c>
      <c r="BD940">
        <f>IFERROR(INDEX(PP_Grid[#Data],$DD940,54),0)</f>
        <v/>
      </c>
      <c r="BE940">
        <f>IFERROR(INDEX(PP_Grid[#Data],$DD940,55),0)</f>
        <v/>
      </c>
      <c r="BF940">
        <f>IFERROR(INDEX(PP_Grid[#Data],$DD940,56),0)</f>
        <v/>
      </c>
      <c r="BG940">
        <f>IFERROR(INDEX(PP_Grid[#Data],$DD940,57),0)</f>
        <v/>
      </c>
      <c r="BH940">
        <f>IFERROR(INDEX(PP_Grid[#Data],$DD940,58),0)</f>
        <v/>
      </c>
      <c r="BI940">
        <f>IFERROR(INDEX(PP_Grid[#Data],$DD940,59),0)</f>
        <v/>
      </c>
      <c r="BJ940">
        <f>IFERROR(INDEX(PP_Grid[#Data],$DD940,60),0)</f>
        <v/>
      </c>
      <c r="BK940">
        <f>IFERROR(INDEX(PP_Grid[#Data],$DD940,61),0)</f>
        <v/>
      </c>
      <c r="BL940">
        <f>IFERROR(INDEX(PP_Grid[#Data],$DD940,62),0)</f>
        <v/>
      </c>
      <c r="BM940">
        <f>IFERROR(INDEX(PP_Grid[#Data],$DD940,63),0)</f>
        <v/>
      </c>
      <c r="BN940">
        <f>IFERROR(INDEX(PP_Grid[#Data],$DD940,64),0)</f>
        <v/>
      </c>
      <c r="BO940">
        <f>IFERROR(INDEX(PP_Grid[#Data],$DD940,65),0)</f>
        <v/>
      </c>
      <c r="BP940">
        <f>IFERROR(INDEX(PP_Grid[#Data],$DD940,66),0)</f>
        <v/>
      </c>
      <c r="BQ940">
        <f>IFERROR(INDEX(PP_Grid[#Data],$DD940,67),0)</f>
        <v/>
      </c>
      <c r="BR940">
        <f>IFERROR(INDEX(PP_Grid[#Data],$DD940,68),0)</f>
        <v/>
      </c>
      <c r="BS940">
        <f>IFERROR(INDEX(PP_Grid[#Data],$DD940,69),0)</f>
        <v/>
      </c>
      <c r="BT940">
        <f>IFERROR(INDEX(PP_Grid[#Data],$DD940,70),0)</f>
        <v/>
      </c>
      <c r="BU940">
        <f>IFERROR(INDEX(PP_Grid[#Data],$DD940,71),0)</f>
        <v/>
      </c>
      <c r="BV940">
        <f>IFERROR(INDEX(PP_Grid[#Data],$DD940,72),0)</f>
        <v/>
      </c>
      <c r="BW940">
        <f>IFERROR(INDEX(PP_Grid[#Data],$DD940,73),0)</f>
        <v/>
      </c>
      <c r="BX940">
        <f>IFERROR(INDEX(PP_Grid[#Data],$DD940,74),0)</f>
        <v/>
      </c>
      <c r="BY940">
        <f>IFERROR(INDEX(PP_Grid[#Data],$DD940,75),0)</f>
        <v/>
      </c>
      <c r="BZ940">
        <f>IFERROR(INDEX(PP_Grid[#Data],$DD940,76),0)</f>
        <v/>
      </c>
      <c r="CA940">
        <f>IFERROR(INDEX(PP_Grid[#Data],$DD940,77),0)</f>
        <v/>
      </c>
      <c r="CB940">
        <f>IFERROR(INDEX(PP_Grid[#Data],$DD940,78),0)</f>
        <v/>
      </c>
      <c r="CC940">
        <f>IFERROR(INDEX(PP_Grid[#Data],$DD940,79),0)</f>
        <v/>
      </c>
      <c r="CD940">
        <f>IFERROR(INDEX(PP_Grid[#Data],$DD940,80),0)</f>
        <v/>
      </c>
      <c r="CE940">
        <f>IFERROR(INDEX(PP_Grid[#Data],$DD940,81),0)</f>
        <v/>
      </c>
      <c r="CF940">
        <f>IFERROR(INDEX(PP_Grid[#Data],$DD940,82),0)</f>
        <v/>
      </c>
      <c r="CG940">
        <f>IFERROR(INDEX(PP_Grid[#Data],$DD940,83),0)</f>
        <v/>
      </c>
      <c r="CH940">
        <f>IFERROR(INDEX(PP_Grid[#Data],$DD940,84),0)</f>
        <v/>
      </c>
      <c r="CI940">
        <f>IFERROR(INDEX(PP_Grid[#Data],$DD940,85),0)</f>
        <v/>
      </c>
      <c r="CJ940">
        <f>IFERROR(INDEX(PP_Grid[#Data],$DD940,86),0)</f>
        <v/>
      </c>
      <c r="CK940">
        <f>IFERROR(INDEX(PP_Grid[#Data],$DD940,87),0)</f>
        <v/>
      </c>
      <c r="CL940">
        <f>IFERROR(INDEX(PP_Grid[#Data],$DD940,88),0)</f>
        <v/>
      </c>
      <c r="CM940">
        <f>IFERROR(INDEX(PP_Grid[#Data],$DD940,89),0)</f>
        <v/>
      </c>
      <c r="CN940">
        <f>IFERROR(INDEX(PP_Grid[#Data],$DD940,90),0)</f>
        <v/>
      </c>
      <c r="CO940">
        <f>IFERROR(INDEX(PP_Grid[#Data],$DD940,91),0)</f>
        <v/>
      </c>
      <c r="CP940">
        <f>IFERROR(INDEX(PP_Grid[#Data],$DD940,92),0)</f>
        <v/>
      </c>
      <c r="CQ940">
        <f>IFERROR(INDEX(PP_Grid[#Data],$DD940,93),0)</f>
        <v/>
      </c>
      <c r="CR940">
        <f>IFERROR(INDEX(PP_Grid[#Data],$DD940,94),0)</f>
        <v/>
      </c>
      <c r="CS940">
        <f>IFERROR(INDEX(PP_Grid[#Data],$DD940,95),0)</f>
        <v/>
      </c>
      <c r="CT940">
        <f>IFERROR(INDEX(PP_Grid[#Data],$DD940,96),0)</f>
        <v/>
      </c>
      <c r="CU940">
        <f>IFERROR(INDEX(PP_Grid[#Data],$DD940,97),0)</f>
        <v/>
      </c>
      <c r="CV940">
        <f>IFERROR(INDEX(PP_Grid[#Data],$DD940,98),0)</f>
        <v/>
      </c>
      <c r="CW940">
        <f>IFERROR(INDEX(PP_Grid[#Data],$DD940,99),0)</f>
        <v/>
      </c>
      <c r="CX940">
        <f>IFERROR(INDEX(PP_Grid[#Data],$DD940,100),0)</f>
        <v/>
      </c>
      <c r="CY940">
        <f>IFERROR(INDEX(PP_Grid[#Data],$DD940,101),0)</f>
        <v/>
      </c>
      <c r="CZ940">
        <f>IFERROR(INDEX(PP_Grid[#Data],$DD940,102),0)</f>
        <v/>
      </c>
      <c r="DA940">
        <f>IFERROR(INDEX(PP_Grid[#Data],$DD940,103),0)</f>
        <v/>
      </c>
      <c r="DB940">
        <f>IFERROR(INDEX(PP_Grid[#Data],$DD940,104),0)</f>
        <v/>
      </c>
      <c r="DC940">
        <f>IFERROR(INDEX(PP_Grid[#Data],$DD940,105),0)</f>
        <v/>
      </c>
      <c r="DD940" s="12">
        <f>IFERROR(MATCH($B940,PP_Grid[Intermediate],0),99999)</f>
        <v/>
      </c>
    </row>
    <row r="941">
      <c r="B941" t="inlineStr">
        <is>
          <t>使用量(kg)</t>
        </is>
      </c>
      <c r="C941">
        <f>SUMIFS(M_BOM[RM_Qty_Per_Batch],M_BOM[Intermediate],$B940,M_BOM[Part Name],$A909)</f>
        <v/>
      </c>
      <c r="D941">
        <f>$C941*D940</f>
        <v/>
      </c>
      <c r="E941">
        <f>$C941*E940</f>
        <v/>
      </c>
      <c r="F941">
        <f>$C941*F940</f>
        <v/>
      </c>
      <c r="G941">
        <f>$C941*G940</f>
        <v/>
      </c>
      <c r="H941">
        <f>$C941*H940</f>
        <v/>
      </c>
      <c r="I941">
        <f>$C941*I940</f>
        <v/>
      </c>
      <c r="J941">
        <f>$C941*J940</f>
        <v/>
      </c>
      <c r="K941">
        <f>$C941*K940</f>
        <v/>
      </c>
      <c r="L941">
        <f>$C941*L940</f>
        <v/>
      </c>
      <c r="M941">
        <f>$C941*M940</f>
        <v/>
      </c>
      <c r="N941">
        <f>$C941*N940</f>
        <v/>
      </c>
      <c r="O941">
        <f>$C941*O940</f>
        <v/>
      </c>
      <c r="P941">
        <f>$C941*P940</f>
        <v/>
      </c>
      <c r="Q941">
        <f>$C941*Q940</f>
        <v/>
      </c>
      <c r="R941">
        <f>$C941*R940</f>
        <v/>
      </c>
      <c r="S941">
        <f>$C941*S940</f>
        <v/>
      </c>
      <c r="T941">
        <f>$C941*T940</f>
        <v/>
      </c>
      <c r="U941">
        <f>$C941*U940</f>
        <v/>
      </c>
      <c r="V941">
        <f>$C941*V940</f>
        <v/>
      </c>
      <c r="W941">
        <f>$C941*W940</f>
        <v/>
      </c>
      <c r="X941">
        <f>$C941*X940</f>
        <v/>
      </c>
      <c r="Y941">
        <f>$C941*Y940</f>
        <v/>
      </c>
      <c r="Z941">
        <f>$C941*Z940</f>
        <v/>
      </c>
      <c r="AA941">
        <f>$C941*AA940</f>
        <v/>
      </c>
      <c r="AB941">
        <f>$C941*AB940</f>
        <v/>
      </c>
      <c r="AC941">
        <f>$C941*AC940</f>
        <v/>
      </c>
      <c r="AD941">
        <f>$C941*AD940</f>
        <v/>
      </c>
      <c r="AE941">
        <f>$C941*AE940</f>
        <v/>
      </c>
      <c r="AF941">
        <f>$C941*AF940</f>
        <v/>
      </c>
      <c r="AG941">
        <f>$C941*AG940</f>
        <v/>
      </c>
      <c r="AH941">
        <f>$C941*AH940</f>
        <v/>
      </c>
      <c r="AI941">
        <f>$C941*AI940</f>
        <v/>
      </c>
      <c r="AJ941">
        <f>$C941*AJ940</f>
        <v/>
      </c>
      <c r="AK941">
        <f>$C941*AK940</f>
        <v/>
      </c>
      <c r="AL941">
        <f>$C941*AL940</f>
        <v/>
      </c>
      <c r="AM941">
        <f>$C941*AM940</f>
        <v/>
      </c>
      <c r="AN941">
        <f>$C941*AN940</f>
        <v/>
      </c>
      <c r="AO941">
        <f>$C941*AO940</f>
        <v/>
      </c>
      <c r="AP941">
        <f>$C941*AP940</f>
        <v/>
      </c>
      <c r="AQ941">
        <f>$C941*AQ940</f>
        <v/>
      </c>
      <c r="AR941">
        <f>$C941*AR940</f>
        <v/>
      </c>
      <c r="AS941">
        <f>$C941*AS940</f>
        <v/>
      </c>
      <c r="AT941">
        <f>$C941*AT940</f>
        <v/>
      </c>
      <c r="AU941">
        <f>$C941*AU940</f>
        <v/>
      </c>
      <c r="AV941">
        <f>$C941*AV940</f>
        <v/>
      </c>
      <c r="AW941">
        <f>$C941*AW940</f>
        <v/>
      </c>
      <c r="AX941">
        <f>$C941*AX940</f>
        <v/>
      </c>
      <c r="AY941">
        <f>$C941*AY940</f>
        <v/>
      </c>
      <c r="AZ941">
        <f>$C941*AZ940</f>
        <v/>
      </c>
      <c r="BA941">
        <f>$C941*BA940</f>
        <v/>
      </c>
      <c r="BB941">
        <f>$C941*BB940</f>
        <v/>
      </c>
      <c r="BC941">
        <f>$C941*BC940</f>
        <v/>
      </c>
      <c r="BD941">
        <f>$C941*BD940</f>
        <v/>
      </c>
      <c r="BE941">
        <f>$C941*BE940</f>
        <v/>
      </c>
      <c r="BF941">
        <f>$C941*BF940</f>
        <v/>
      </c>
      <c r="BG941">
        <f>$C941*BG940</f>
        <v/>
      </c>
      <c r="BH941">
        <f>$C941*BH940</f>
        <v/>
      </c>
      <c r="BI941">
        <f>$C941*BI940</f>
        <v/>
      </c>
      <c r="BJ941">
        <f>$C941*BJ940</f>
        <v/>
      </c>
      <c r="BK941">
        <f>$C941*BK940</f>
        <v/>
      </c>
      <c r="BL941">
        <f>$C941*BL940</f>
        <v/>
      </c>
      <c r="BM941">
        <f>$C941*BM940</f>
        <v/>
      </c>
      <c r="BN941">
        <f>$C941*BN940</f>
        <v/>
      </c>
      <c r="BO941">
        <f>$C941*BO940</f>
        <v/>
      </c>
      <c r="BP941">
        <f>$C941*BP940</f>
        <v/>
      </c>
      <c r="BQ941">
        <f>$C941*BQ940</f>
        <v/>
      </c>
      <c r="BR941">
        <f>$C941*BR940</f>
        <v/>
      </c>
      <c r="BS941">
        <f>$C941*BS940</f>
        <v/>
      </c>
      <c r="BT941">
        <f>$C941*BT940</f>
        <v/>
      </c>
      <c r="BU941">
        <f>$C941*BU940</f>
        <v/>
      </c>
      <c r="BV941">
        <f>$C941*BV940</f>
        <v/>
      </c>
      <c r="BW941">
        <f>$C941*BW940</f>
        <v/>
      </c>
      <c r="BX941">
        <f>$C941*BX940</f>
        <v/>
      </c>
      <c r="BY941">
        <f>$C941*BY940</f>
        <v/>
      </c>
      <c r="BZ941">
        <f>$C941*BZ940</f>
        <v/>
      </c>
      <c r="CA941">
        <f>$C941*CA940</f>
        <v/>
      </c>
      <c r="CB941">
        <f>$C941*CB940</f>
        <v/>
      </c>
      <c r="CC941">
        <f>$C941*CC940</f>
        <v/>
      </c>
      <c r="CD941">
        <f>$C941*CD940</f>
        <v/>
      </c>
      <c r="CE941">
        <f>$C941*CE940</f>
        <v/>
      </c>
      <c r="CF941">
        <f>$C941*CF940</f>
        <v/>
      </c>
      <c r="CG941">
        <f>$C941*CG940</f>
        <v/>
      </c>
      <c r="CH941">
        <f>$C941*CH940</f>
        <v/>
      </c>
      <c r="CI941">
        <f>$C941*CI940</f>
        <v/>
      </c>
      <c r="CJ941">
        <f>$C941*CJ940</f>
        <v/>
      </c>
      <c r="CK941">
        <f>$C941*CK940</f>
        <v/>
      </c>
      <c r="CL941">
        <f>$C941*CL940</f>
        <v/>
      </c>
      <c r="CM941">
        <f>$C941*CM940</f>
        <v/>
      </c>
      <c r="CN941">
        <f>$C941*CN940</f>
        <v/>
      </c>
      <c r="CO941">
        <f>$C941*CO940</f>
        <v/>
      </c>
      <c r="CP941">
        <f>$C941*CP940</f>
        <v/>
      </c>
      <c r="CQ941">
        <f>$C941*CQ940</f>
        <v/>
      </c>
      <c r="CR941">
        <f>$C941*CR940</f>
        <v/>
      </c>
      <c r="CS941">
        <f>$C941*CS940</f>
        <v/>
      </c>
      <c r="CT941">
        <f>$C941*CT940</f>
        <v/>
      </c>
      <c r="CU941">
        <f>$C941*CU940</f>
        <v/>
      </c>
      <c r="CV941">
        <f>$C941*CV940</f>
        <v/>
      </c>
      <c r="CW941">
        <f>$C941*CW940</f>
        <v/>
      </c>
      <c r="CX941">
        <f>$C941*CX940</f>
        <v/>
      </c>
      <c r="CY941">
        <f>$C941*CY940</f>
        <v/>
      </c>
      <c r="CZ941">
        <f>$C941*CZ940</f>
        <v/>
      </c>
      <c r="DA941">
        <f>$C941*DA940</f>
        <v/>
      </c>
      <c r="DB941">
        <f>$C941*DB940</f>
        <v/>
      </c>
      <c r="DC941">
        <f>$C941*DC940</f>
        <v/>
      </c>
    </row>
    <row r="942">
      <c r="B942" t="inlineStr">
        <is>
          <t>TSP-934</t>
        </is>
      </c>
      <c r="C942" t="inlineStr">
        <is>
          <t>No. of batches</t>
        </is>
      </c>
      <c r="D942">
        <f>IFERROR(INDEX(PP_Grid[#Data],$DD942,2),0)</f>
        <v/>
      </c>
      <c r="E942">
        <f>IFERROR(INDEX(PP_Grid[#Data],$DD942,3),0)</f>
        <v/>
      </c>
      <c r="F942">
        <f>IFERROR(INDEX(PP_Grid[#Data],$DD942,4),0)</f>
        <v/>
      </c>
      <c r="G942">
        <f>IFERROR(INDEX(PP_Grid[#Data],$DD942,5),0)</f>
        <v/>
      </c>
      <c r="H942">
        <f>IFERROR(INDEX(PP_Grid[#Data],$DD942,6),0)</f>
        <v/>
      </c>
      <c r="I942">
        <f>IFERROR(INDEX(PP_Grid[#Data],$DD942,7),0)</f>
        <v/>
      </c>
      <c r="J942">
        <f>IFERROR(INDEX(PP_Grid[#Data],$DD942,8),0)</f>
        <v/>
      </c>
      <c r="K942">
        <f>IFERROR(INDEX(PP_Grid[#Data],$DD942,9),0)</f>
        <v/>
      </c>
      <c r="L942">
        <f>IFERROR(INDEX(PP_Grid[#Data],$DD942,10),0)</f>
        <v/>
      </c>
      <c r="M942">
        <f>IFERROR(INDEX(PP_Grid[#Data],$DD942,11),0)</f>
        <v/>
      </c>
      <c r="N942">
        <f>IFERROR(INDEX(PP_Grid[#Data],$DD942,12),0)</f>
        <v/>
      </c>
      <c r="O942">
        <f>IFERROR(INDEX(PP_Grid[#Data],$DD942,13),0)</f>
        <v/>
      </c>
      <c r="P942">
        <f>IFERROR(INDEX(PP_Grid[#Data],$DD942,14),0)</f>
        <v/>
      </c>
      <c r="Q942">
        <f>IFERROR(INDEX(PP_Grid[#Data],$DD942,15),0)</f>
        <v/>
      </c>
      <c r="R942">
        <f>IFERROR(INDEX(PP_Grid[#Data],$DD942,16),0)</f>
        <v/>
      </c>
      <c r="S942">
        <f>IFERROR(INDEX(PP_Grid[#Data],$DD942,17),0)</f>
        <v/>
      </c>
      <c r="T942">
        <f>IFERROR(INDEX(PP_Grid[#Data],$DD942,18),0)</f>
        <v/>
      </c>
      <c r="U942">
        <f>IFERROR(INDEX(PP_Grid[#Data],$DD942,19),0)</f>
        <v/>
      </c>
      <c r="V942">
        <f>IFERROR(INDEX(PP_Grid[#Data],$DD942,20),0)</f>
        <v/>
      </c>
      <c r="W942">
        <f>IFERROR(INDEX(PP_Grid[#Data],$DD942,21),0)</f>
        <v/>
      </c>
      <c r="X942">
        <f>IFERROR(INDEX(PP_Grid[#Data],$DD942,22),0)</f>
        <v/>
      </c>
      <c r="Y942">
        <f>IFERROR(INDEX(PP_Grid[#Data],$DD942,23),0)</f>
        <v/>
      </c>
      <c r="Z942">
        <f>IFERROR(INDEX(PP_Grid[#Data],$DD942,24),0)</f>
        <v/>
      </c>
      <c r="AA942">
        <f>IFERROR(INDEX(PP_Grid[#Data],$DD942,25),0)</f>
        <v/>
      </c>
      <c r="AB942">
        <f>IFERROR(INDEX(PP_Grid[#Data],$DD942,26),0)</f>
        <v/>
      </c>
      <c r="AC942">
        <f>IFERROR(INDEX(PP_Grid[#Data],$DD942,27),0)</f>
        <v/>
      </c>
      <c r="AD942">
        <f>IFERROR(INDEX(PP_Grid[#Data],$DD942,28),0)</f>
        <v/>
      </c>
      <c r="AE942">
        <f>IFERROR(INDEX(PP_Grid[#Data],$DD942,29),0)</f>
        <v/>
      </c>
      <c r="AF942">
        <f>IFERROR(INDEX(PP_Grid[#Data],$DD942,30),0)</f>
        <v/>
      </c>
      <c r="AG942">
        <f>IFERROR(INDEX(PP_Grid[#Data],$DD942,31),0)</f>
        <v/>
      </c>
      <c r="AH942">
        <f>IFERROR(INDEX(PP_Grid[#Data],$DD942,32),0)</f>
        <v/>
      </c>
      <c r="AI942">
        <f>IFERROR(INDEX(PP_Grid[#Data],$DD942,33),0)</f>
        <v/>
      </c>
      <c r="AJ942">
        <f>IFERROR(INDEX(PP_Grid[#Data],$DD942,34),0)</f>
        <v/>
      </c>
      <c r="AK942">
        <f>IFERROR(INDEX(PP_Grid[#Data],$DD942,35),0)</f>
        <v/>
      </c>
      <c r="AL942">
        <f>IFERROR(INDEX(PP_Grid[#Data],$DD942,36),0)</f>
        <v/>
      </c>
      <c r="AM942">
        <f>IFERROR(INDEX(PP_Grid[#Data],$DD942,37),0)</f>
        <v/>
      </c>
      <c r="AN942">
        <f>IFERROR(INDEX(PP_Grid[#Data],$DD942,38),0)</f>
        <v/>
      </c>
      <c r="AO942">
        <f>IFERROR(INDEX(PP_Grid[#Data],$DD942,39),0)</f>
        <v/>
      </c>
      <c r="AP942">
        <f>IFERROR(INDEX(PP_Grid[#Data],$DD942,40),0)</f>
        <v/>
      </c>
      <c r="AQ942">
        <f>IFERROR(INDEX(PP_Grid[#Data],$DD942,41),0)</f>
        <v/>
      </c>
      <c r="AR942">
        <f>IFERROR(INDEX(PP_Grid[#Data],$DD942,42),0)</f>
        <v/>
      </c>
      <c r="AS942">
        <f>IFERROR(INDEX(PP_Grid[#Data],$DD942,43),0)</f>
        <v/>
      </c>
      <c r="AT942">
        <f>IFERROR(INDEX(PP_Grid[#Data],$DD942,44),0)</f>
        <v/>
      </c>
      <c r="AU942">
        <f>IFERROR(INDEX(PP_Grid[#Data],$DD942,45),0)</f>
        <v/>
      </c>
      <c r="AV942">
        <f>IFERROR(INDEX(PP_Grid[#Data],$DD942,46),0)</f>
        <v/>
      </c>
      <c r="AW942">
        <f>IFERROR(INDEX(PP_Grid[#Data],$DD942,47),0)</f>
        <v/>
      </c>
      <c r="AX942">
        <f>IFERROR(INDEX(PP_Grid[#Data],$DD942,48),0)</f>
        <v/>
      </c>
      <c r="AY942">
        <f>IFERROR(INDEX(PP_Grid[#Data],$DD942,49),0)</f>
        <v/>
      </c>
      <c r="AZ942">
        <f>IFERROR(INDEX(PP_Grid[#Data],$DD942,50),0)</f>
        <v/>
      </c>
      <c r="BA942">
        <f>IFERROR(INDEX(PP_Grid[#Data],$DD942,51),0)</f>
        <v/>
      </c>
      <c r="BB942">
        <f>IFERROR(INDEX(PP_Grid[#Data],$DD942,52),0)</f>
        <v/>
      </c>
      <c r="BC942">
        <f>IFERROR(INDEX(PP_Grid[#Data],$DD942,53),0)</f>
        <v/>
      </c>
      <c r="BD942">
        <f>IFERROR(INDEX(PP_Grid[#Data],$DD942,54),0)</f>
        <v/>
      </c>
      <c r="BE942">
        <f>IFERROR(INDEX(PP_Grid[#Data],$DD942,55),0)</f>
        <v/>
      </c>
      <c r="BF942">
        <f>IFERROR(INDEX(PP_Grid[#Data],$DD942,56),0)</f>
        <v/>
      </c>
      <c r="BG942">
        <f>IFERROR(INDEX(PP_Grid[#Data],$DD942,57),0)</f>
        <v/>
      </c>
      <c r="BH942">
        <f>IFERROR(INDEX(PP_Grid[#Data],$DD942,58),0)</f>
        <v/>
      </c>
      <c r="BI942">
        <f>IFERROR(INDEX(PP_Grid[#Data],$DD942,59),0)</f>
        <v/>
      </c>
      <c r="BJ942">
        <f>IFERROR(INDEX(PP_Grid[#Data],$DD942,60),0)</f>
        <v/>
      </c>
      <c r="BK942">
        <f>IFERROR(INDEX(PP_Grid[#Data],$DD942,61),0)</f>
        <v/>
      </c>
      <c r="BL942">
        <f>IFERROR(INDEX(PP_Grid[#Data],$DD942,62),0)</f>
        <v/>
      </c>
      <c r="BM942">
        <f>IFERROR(INDEX(PP_Grid[#Data],$DD942,63),0)</f>
        <v/>
      </c>
      <c r="BN942">
        <f>IFERROR(INDEX(PP_Grid[#Data],$DD942,64),0)</f>
        <v/>
      </c>
      <c r="BO942">
        <f>IFERROR(INDEX(PP_Grid[#Data],$DD942,65),0)</f>
        <v/>
      </c>
      <c r="BP942">
        <f>IFERROR(INDEX(PP_Grid[#Data],$DD942,66),0)</f>
        <v/>
      </c>
      <c r="BQ942">
        <f>IFERROR(INDEX(PP_Grid[#Data],$DD942,67),0)</f>
        <v/>
      </c>
      <c r="BR942">
        <f>IFERROR(INDEX(PP_Grid[#Data],$DD942,68),0)</f>
        <v/>
      </c>
      <c r="BS942">
        <f>IFERROR(INDEX(PP_Grid[#Data],$DD942,69),0)</f>
        <v/>
      </c>
      <c r="BT942">
        <f>IFERROR(INDEX(PP_Grid[#Data],$DD942,70),0)</f>
        <v/>
      </c>
      <c r="BU942">
        <f>IFERROR(INDEX(PP_Grid[#Data],$DD942,71),0)</f>
        <v/>
      </c>
      <c r="BV942">
        <f>IFERROR(INDEX(PP_Grid[#Data],$DD942,72),0)</f>
        <v/>
      </c>
      <c r="BW942">
        <f>IFERROR(INDEX(PP_Grid[#Data],$DD942,73),0)</f>
        <v/>
      </c>
      <c r="BX942">
        <f>IFERROR(INDEX(PP_Grid[#Data],$DD942,74),0)</f>
        <v/>
      </c>
      <c r="BY942">
        <f>IFERROR(INDEX(PP_Grid[#Data],$DD942,75),0)</f>
        <v/>
      </c>
      <c r="BZ942">
        <f>IFERROR(INDEX(PP_Grid[#Data],$DD942,76),0)</f>
        <v/>
      </c>
      <c r="CA942">
        <f>IFERROR(INDEX(PP_Grid[#Data],$DD942,77),0)</f>
        <v/>
      </c>
      <c r="CB942">
        <f>IFERROR(INDEX(PP_Grid[#Data],$DD942,78),0)</f>
        <v/>
      </c>
      <c r="CC942">
        <f>IFERROR(INDEX(PP_Grid[#Data],$DD942,79),0)</f>
        <v/>
      </c>
      <c r="CD942">
        <f>IFERROR(INDEX(PP_Grid[#Data],$DD942,80),0)</f>
        <v/>
      </c>
      <c r="CE942">
        <f>IFERROR(INDEX(PP_Grid[#Data],$DD942,81),0)</f>
        <v/>
      </c>
      <c r="CF942">
        <f>IFERROR(INDEX(PP_Grid[#Data],$DD942,82),0)</f>
        <v/>
      </c>
      <c r="CG942">
        <f>IFERROR(INDEX(PP_Grid[#Data],$DD942,83),0)</f>
        <v/>
      </c>
      <c r="CH942">
        <f>IFERROR(INDEX(PP_Grid[#Data],$DD942,84),0)</f>
        <v/>
      </c>
      <c r="CI942">
        <f>IFERROR(INDEX(PP_Grid[#Data],$DD942,85),0)</f>
        <v/>
      </c>
      <c r="CJ942">
        <f>IFERROR(INDEX(PP_Grid[#Data],$DD942,86),0)</f>
        <v/>
      </c>
      <c r="CK942">
        <f>IFERROR(INDEX(PP_Grid[#Data],$DD942,87),0)</f>
        <v/>
      </c>
      <c r="CL942">
        <f>IFERROR(INDEX(PP_Grid[#Data],$DD942,88),0)</f>
        <v/>
      </c>
      <c r="CM942">
        <f>IFERROR(INDEX(PP_Grid[#Data],$DD942,89),0)</f>
        <v/>
      </c>
      <c r="CN942">
        <f>IFERROR(INDEX(PP_Grid[#Data],$DD942,90),0)</f>
        <v/>
      </c>
      <c r="CO942">
        <f>IFERROR(INDEX(PP_Grid[#Data],$DD942,91),0)</f>
        <v/>
      </c>
      <c r="CP942">
        <f>IFERROR(INDEX(PP_Grid[#Data],$DD942,92),0)</f>
        <v/>
      </c>
      <c r="CQ942">
        <f>IFERROR(INDEX(PP_Grid[#Data],$DD942,93),0)</f>
        <v/>
      </c>
      <c r="CR942">
        <f>IFERROR(INDEX(PP_Grid[#Data],$DD942,94),0)</f>
        <v/>
      </c>
      <c r="CS942">
        <f>IFERROR(INDEX(PP_Grid[#Data],$DD942,95),0)</f>
        <v/>
      </c>
      <c r="CT942">
        <f>IFERROR(INDEX(PP_Grid[#Data],$DD942,96),0)</f>
        <v/>
      </c>
      <c r="CU942">
        <f>IFERROR(INDEX(PP_Grid[#Data],$DD942,97),0)</f>
        <v/>
      </c>
      <c r="CV942">
        <f>IFERROR(INDEX(PP_Grid[#Data],$DD942,98),0)</f>
        <v/>
      </c>
      <c r="CW942">
        <f>IFERROR(INDEX(PP_Grid[#Data],$DD942,99),0)</f>
        <v/>
      </c>
      <c r="CX942">
        <f>IFERROR(INDEX(PP_Grid[#Data],$DD942,100),0)</f>
        <v/>
      </c>
      <c r="CY942">
        <f>IFERROR(INDEX(PP_Grid[#Data],$DD942,101),0)</f>
        <v/>
      </c>
      <c r="CZ942">
        <f>IFERROR(INDEX(PP_Grid[#Data],$DD942,102),0)</f>
        <v/>
      </c>
      <c r="DA942">
        <f>IFERROR(INDEX(PP_Grid[#Data],$DD942,103),0)</f>
        <v/>
      </c>
      <c r="DB942">
        <f>IFERROR(INDEX(PP_Grid[#Data],$DD942,104),0)</f>
        <v/>
      </c>
      <c r="DC942">
        <f>IFERROR(INDEX(PP_Grid[#Data],$DD942,105),0)</f>
        <v/>
      </c>
      <c r="DD942" s="12">
        <f>IFERROR(MATCH($B942,PP_Grid[Intermediate],0),99999)</f>
        <v/>
      </c>
    </row>
    <row r="943">
      <c r="B943" t="inlineStr">
        <is>
          <t>使用量(kg)</t>
        </is>
      </c>
      <c r="C943">
        <f>SUMIFS(M_BOM[RM_Qty_Per_Batch],M_BOM[Intermediate],$B942,M_BOM[Part Name],$A909)</f>
        <v/>
      </c>
      <c r="D943">
        <f>$C943*D942</f>
        <v/>
      </c>
      <c r="E943">
        <f>$C943*E942</f>
        <v/>
      </c>
      <c r="F943">
        <f>$C943*F942</f>
        <v/>
      </c>
      <c r="G943">
        <f>$C943*G942</f>
        <v/>
      </c>
      <c r="H943">
        <f>$C943*H942</f>
        <v/>
      </c>
      <c r="I943">
        <f>$C943*I942</f>
        <v/>
      </c>
      <c r="J943">
        <f>$C943*J942</f>
        <v/>
      </c>
      <c r="K943">
        <f>$C943*K942</f>
        <v/>
      </c>
      <c r="L943">
        <f>$C943*L942</f>
        <v/>
      </c>
      <c r="M943">
        <f>$C943*M942</f>
        <v/>
      </c>
      <c r="N943">
        <f>$C943*N942</f>
        <v/>
      </c>
      <c r="O943">
        <f>$C943*O942</f>
        <v/>
      </c>
      <c r="P943">
        <f>$C943*P942</f>
        <v/>
      </c>
      <c r="Q943">
        <f>$C943*Q942</f>
        <v/>
      </c>
      <c r="R943">
        <f>$C943*R942</f>
        <v/>
      </c>
      <c r="S943">
        <f>$C943*S942</f>
        <v/>
      </c>
      <c r="T943">
        <f>$C943*T942</f>
        <v/>
      </c>
      <c r="U943">
        <f>$C943*U942</f>
        <v/>
      </c>
      <c r="V943">
        <f>$C943*V942</f>
        <v/>
      </c>
      <c r="W943">
        <f>$C943*W942</f>
        <v/>
      </c>
      <c r="X943">
        <f>$C943*X942</f>
        <v/>
      </c>
      <c r="Y943">
        <f>$C943*Y942</f>
        <v/>
      </c>
      <c r="Z943">
        <f>$C943*Z942</f>
        <v/>
      </c>
      <c r="AA943">
        <f>$C943*AA942</f>
        <v/>
      </c>
      <c r="AB943">
        <f>$C943*AB942</f>
        <v/>
      </c>
      <c r="AC943">
        <f>$C943*AC942</f>
        <v/>
      </c>
      <c r="AD943">
        <f>$C943*AD942</f>
        <v/>
      </c>
      <c r="AE943">
        <f>$C943*AE942</f>
        <v/>
      </c>
      <c r="AF943">
        <f>$C943*AF942</f>
        <v/>
      </c>
      <c r="AG943">
        <f>$C943*AG942</f>
        <v/>
      </c>
      <c r="AH943">
        <f>$C943*AH942</f>
        <v/>
      </c>
      <c r="AI943">
        <f>$C943*AI942</f>
        <v/>
      </c>
      <c r="AJ943">
        <f>$C943*AJ942</f>
        <v/>
      </c>
      <c r="AK943">
        <f>$C943*AK942</f>
        <v/>
      </c>
      <c r="AL943">
        <f>$C943*AL942</f>
        <v/>
      </c>
      <c r="AM943">
        <f>$C943*AM942</f>
        <v/>
      </c>
      <c r="AN943">
        <f>$C943*AN942</f>
        <v/>
      </c>
      <c r="AO943">
        <f>$C943*AO942</f>
        <v/>
      </c>
      <c r="AP943">
        <f>$C943*AP942</f>
        <v/>
      </c>
      <c r="AQ943">
        <f>$C943*AQ942</f>
        <v/>
      </c>
      <c r="AR943">
        <f>$C943*AR942</f>
        <v/>
      </c>
      <c r="AS943">
        <f>$C943*AS942</f>
        <v/>
      </c>
      <c r="AT943">
        <f>$C943*AT942</f>
        <v/>
      </c>
      <c r="AU943">
        <f>$C943*AU942</f>
        <v/>
      </c>
      <c r="AV943">
        <f>$C943*AV942</f>
        <v/>
      </c>
      <c r="AW943">
        <f>$C943*AW942</f>
        <v/>
      </c>
      <c r="AX943">
        <f>$C943*AX942</f>
        <v/>
      </c>
      <c r="AY943">
        <f>$C943*AY942</f>
        <v/>
      </c>
      <c r="AZ943">
        <f>$C943*AZ942</f>
        <v/>
      </c>
      <c r="BA943">
        <f>$C943*BA942</f>
        <v/>
      </c>
      <c r="BB943">
        <f>$C943*BB942</f>
        <v/>
      </c>
      <c r="BC943">
        <f>$C943*BC942</f>
        <v/>
      </c>
      <c r="BD943">
        <f>$C943*BD942</f>
        <v/>
      </c>
      <c r="BE943">
        <f>$C943*BE942</f>
        <v/>
      </c>
      <c r="BF943">
        <f>$C943*BF942</f>
        <v/>
      </c>
      <c r="BG943">
        <f>$C943*BG942</f>
        <v/>
      </c>
      <c r="BH943">
        <f>$C943*BH942</f>
        <v/>
      </c>
      <c r="BI943">
        <f>$C943*BI942</f>
        <v/>
      </c>
      <c r="BJ943">
        <f>$C943*BJ942</f>
        <v/>
      </c>
      <c r="BK943">
        <f>$C943*BK942</f>
        <v/>
      </c>
      <c r="BL943">
        <f>$C943*BL942</f>
        <v/>
      </c>
      <c r="BM943">
        <f>$C943*BM942</f>
        <v/>
      </c>
      <c r="BN943">
        <f>$C943*BN942</f>
        <v/>
      </c>
      <c r="BO943">
        <f>$C943*BO942</f>
        <v/>
      </c>
      <c r="BP943">
        <f>$C943*BP942</f>
        <v/>
      </c>
      <c r="BQ943">
        <f>$C943*BQ942</f>
        <v/>
      </c>
      <c r="BR943">
        <f>$C943*BR942</f>
        <v/>
      </c>
      <c r="BS943">
        <f>$C943*BS942</f>
        <v/>
      </c>
      <c r="BT943">
        <f>$C943*BT942</f>
        <v/>
      </c>
      <c r="BU943">
        <f>$C943*BU942</f>
        <v/>
      </c>
      <c r="BV943">
        <f>$C943*BV942</f>
        <v/>
      </c>
      <c r="BW943">
        <f>$C943*BW942</f>
        <v/>
      </c>
      <c r="BX943">
        <f>$C943*BX942</f>
        <v/>
      </c>
      <c r="BY943">
        <f>$C943*BY942</f>
        <v/>
      </c>
      <c r="BZ943">
        <f>$C943*BZ942</f>
        <v/>
      </c>
      <c r="CA943">
        <f>$C943*CA942</f>
        <v/>
      </c>
      <c r="CB943">
        <f>$C943*CB942</f>
        <v/>
      </c>
      <c r="CC943">
        <f>$C943*CC942</f>
        <v/>
      </c>
      <c r="CD943">
        <f>$C943*CD942</f>
        <v/>
      </c>
      <c r="CE943">
        <f>$C943*CE942</f>
        <v/>
      </c>
      <c r="CF943">
        <f>$C943*CF942</f>
        <v/>
      </c>
      <c r="CG943">
        <f>$C943*CG942</f>
        <v/>
      </c>
      <c r="CH943">
        <f>$C943*CH942</f>
        <v/>
      </c>
      <c r="CI943">
        <f>$C943*CI942</f>
        <v/>
      </c>
      <c r="CJ943">
        <f>$C943*CJ942</f>
        <v/>
      </c>
      <c r="CK943">
        <f>$C943*CK942</f>
        <v/>
      </c>
      <c r="CL943">
        <f>$C943*CL942</f>
        <v/>
      </c>
      <c r="CM943">
        <f>$C943*CM942</f>
        <v/>
      </c>
      <c r="CN943">
        <f>$C943*CN942</f>
        <v/>
      </c>
      <c r="CO943">
        <f>$C943*CO942</f>
        <v/>
      </c>
      <c r="CP943">
        <f>$C943*CP942</f>
        <v/>
      </c>
      <c r="CQ943">
        <f>$C943*CQ942</f>
        <v/>
      </c>
      <c r="CR943">
        <f>$C943*CR942</f>
        <v/>
      </c>
      <c r="CS943">
        <f>$C943*CS942</f>
        <v/>
      </c>
      <c r="CT943">
        <f>$C943*CT942</f>
        <v/>
      </c>
      <c r="CU943">
        <f>$C943*CU942</f>
        <v/>
      </c>
      <c r="CV943">
        <f>$C943*CV942</f>
        <v/>
      </c>
      <c r="CW943">
        <f>$C943*CW942</f>
        <v/>
      </c>
      <c r="CX943">
        <f>$C943*CX942</f>
        <v/>
      </c>
      <c r="CY943">
        <f>$C943*CY942</f>
        <v/>
      </c>
      <c r="CZ943">
        <f>$C943*CZ942</f>
        <v/>
      </c>
      <c r="DA943">
        <f>$C943*DA942</f>
        <v/>
      </c>
      <c r="DB943">
        <f>$C943*DB942</f>
        <v/>
      </c>
      <c r="DC943">
        <f>$C943*DC942</f>
        <v/>
      </c>
    </row>
    <row r="944">
      <c r="B944" t="inlineStr">
        <is>
          <t>TSP-935</t>
        </is>
      </c>
      <c r="C944" t="inlineStr">
        <is>
          <t>No. of batches</t>
        </is>
      </c>
      <c r="D944">
        <f>IFERROR(INDEX(PP_Grid[#Data],$DD944,2),0)</f>
        <v/>
      </c>
      <c r="E944">
        <f>IFERROR(INDEX(PP_Grid[#Data],$DD944,3),0)</f>
        <v/>
      </c>
      <c r="F944">
        <f>IFERROR(INDEX(PP_Grid[#Data],$DD944,4),0)</f>
        <v/>
      </c>
      <c r="G944">
        <f>IFERROR(INDEX(PP_Grid[#Data],$DD944,5),0)</f>
        <v/>
      </c>
      <c r="H944">
        <f>IFERROR(INDEX(PP_Grid[#Data],$DD944,6),0)</f>
        <v/>
      </c>
      <c r="I944">
        <f>IFERROR(INDEX(PP_Grid[#Data],$DD944,7),0)</f>
        <v/>
      </c>
      <c r="J944">
        <f>IFERROR(INDEX(PP_Grid[#Data],$DD944,8),0)</f>
        <v/>
      </c>
      <c r="K944">
        <f>IFERROR(INDEX(PP_Grid[#Data],$DD944,9),0)</f>
        <v/>
      </c>
      <c r="L944">
        <f>IFERROR(INDEX(PP_Grid[#Data],$DD944,10),0)</f>
        <v/>
      </c>
      <c r="M944">
        <f>IFERROR(INDEX(PP_Grid[#Data],$DD944,11),0)</f>
        <v/>
      </c>
      <c r="N944">
        <f>IFERROR(INDEX(PP_Grid[#Data],$DD944,12),0)</f>
        <v/>
      </c>
      <c r="O944">
        <f>IFERROR(INDEX(PP_Grid[#Data],$DD944,13),0)</f>
        <v/>
      </c>
      <c r="P944">
        <f>IFERROR(INDEX(PP_Grid[#Data],$DD944,14),0)</f>
        <v/>
      </c>
      <c r="Q944">
        <f>IFERROR(INDEX(PP_Grid[#Data],$DD944,15),0)</f>
        <v/>
      </c>
      <c r="R944">
        <f>IFERROR(INDEX(PP_Grid[#Data],$DD944,16),0)</f>
        <v/>
      </c>
      <c r="S944">
        <f>IFERROR(INDEX(PP_Grid[#Data],$DD944,17),0)</f>
        <v/>
      </c>
      <c r="T944">
        <f>IFERROR(INDEX(PP_Grid[#Data],$DD944,18),0)</f>
        <v/>
      </c>
      <c r="U944">
        <f>IFERROR(INDEX(PP_Grid[#Data],$DD944,19),0)</f>
        <v/>
      </c>
      <c r="V944">
        <f>IFERROR(INDEX(PP_Grid[#Data],$DD944,20),0)</f>
        <v/>
      </c>
      <c r="W944">
        <f>IFERROR(INDEX(PP_Grid[#Data],$DD944,21),0)</f>
        <v/>
      </c>
      <c r="X944">
        <f>IFERROR(INDEX(PP_Grid[#Data],$DD944,22),0)</f>
        <v/>
      </c>
      <c r="Y944">
        <f>IFERROR(INDEX(PP_Grid[#Data],$DD944,23),0)</f>
        <v/>
      </c>
      <c r="Z944">
        <f>IFERROR(INDEX(PP_Grid[#Data],$DD944,24),0)</f>
        <v/>
      </c>
      <c r="AA944">
        <f>IFERROR(INDEX(PP_Grid[#Data],$DD944,25),0)</f>
        <v/>
      </c>
      <c r="AB944">
        <f>IFERROR(INDEX(PP_Grid[#Data],$DD944,26),0)</f>
        <v/>
      </c>
      <c r="AC944">
        <f>IFERROR(INDEX(PP_Grid[#Data],$DD944,27),0)</f>
        <v/>
      </c>
      <c r="AD944">
        <f>IFERROR(INDEX(PP_Grid[#Data],$DD944,28),0)</f>
        <v/>
      </c>
      <c r="AE944">
        <f>IFERROR(INDEX(PP_Grid[#Data],$DD944,29),0)</f>
        <v/>
      </c>
      <c r="AF944">
        <f>IFERROR(INDEX(PP_Grid[#Data],$DD944,30),0)</f>
        <v/>
      </c>
      <c r="AG944">
        <f>IFERROR(INDEX(PP_Grid[#Data],$DD944,31),0)</f>
        <v/>
      </c>
      <c r="AH944">
        <f>IFERROR(INDEX(PP_Grid[#Data],$DD944,32),0)</f>
        <v/>
      </c>
      <c r="AI944">
        <f>IFERROR(INDEX(PP_Grid[#Data],$DD944,33),0)</f>
        <v/>
      </c>
      <c r="AJ944">
        <f>IFERROR(INDEX(PP_Grid[#Data],$DD944,34),0)</f>
        <v/>
      </c>
      <c r="AK944">
        <f>IFERROR(INDEX(PP_Grid[#Data],$DD944,35),0)</f>
        <v/>
      </c>
      <c r="AL944">
        <f>IFERROR(INDEX(PP_Grid[#Data],$DD944,36),0)</f>
        <v/>
      </c>
      <c r="AM944">
        <f>IFERROR(INDEX(PP_Grid[#Data],$DD944,37),0)</f>
        <v/>
      </c>
      <c r="AN944">
        <f>IFERROR(INDEX(PP_Grid[#Data],$DD944,38),0)</f>
        <v/>
      </c>
      <c r="AO944">
        <f>IFERROR(INDEX(PP_Grid[#Data],$DD944,39),0)</f>
        <v/>
      </c>
      <c r="AP944">
        <f>IFERROR(INDEX(PP_Grid[#Data],$DD944,40),0)</f>
        <v/>
      </c>
      <c r="AQ944">
        <f>IFERROR(INDEX(PP_Grid[#Data],$DD944,41),0)</f>
        <v/>
      </c>
      <c r="AR944">
        <f>IFERROR(INDEX(PP_Grid[#Data],$DD944,42),0)</f>
        <v/>
      </c>
      <c r="AS944">
        <f>IFERROR(INDEX(PP_Grid[#Data],$DD944,43),0)</f>
        <v/>
      </c>
      <c r="AT944">
        <f>IFERROR(INDEX(PP_Grid[#Data],$DD944,44),0)</f>
        <v/>
      </c>
      <c r="AU944">
        <f>IFERROR(INDEX(PP_Grid[#Data],$DD944,45),0)</f>
        <v/>
      </c>
      <c r="AV944">
        <f>IFERROR(INDEX(PP_Grid[#Data],$DD944,46),0)</f>
        <v/>
      </c>
      <c r="AW944">
        <f>IFERROR(INDEX(PP_Grid[#Data],$DD944,47),0)</f>
        <v/>
      </c>
      <c r="AX944">
        <f>IFERROR(INDEX(PP_Grid[#Data],$DD944,48),0)</f>
        <v/>
      </c>
      <c r="AY944">
        <f>IFERROR(INDEX(PP_Grid[#Data],$DD944,49),0)</f>
        <v/>
      </c>
      <c r="AZ944">
        <f>IFERROR(INDEX(PP_Grid[#Data],$DD944,50),0)</f>
        <v/>
      </c>
      <c r="BA944">
        <f>IFERROR(INDEX(PP_Grid[#Data],$DD944,51),0)</f>
        <v/>
      </c>
      <c r="BB944">
        <f>IFERROR(INDEX(PP_Grid[#Data],$DD944,52),0)</f>
        <v/>
      </c>
      <c r="BC944">
        <f>IFERROR(INDEX(PP_Grid[#Data],$DD944,53),0)</f>
        <v/>
      </c>
      <c r="BD944">
        <f>IFERROR(INDEX(PP_Grid[#Data],$DD944,54),0)</f>
        <v/>
      </c>
      <c r="BE944">
        <f>IFERROR(INDEX(PP_Grid[#Data],$DD944,55),0)</f>
        <v/>
      </c>
      <c r="BF944">
        <f>IFERROR(INDEX(PP_Grid[#Data],$DD944,56),0)</f>
        <v/>
      </c>
      <c r="BG944">
        <f>IFERROR(INDEX(PP_Grid[#Data],$DD944,57),0)</f>
        <v/>
      </c>
      <c r="BH944">
        <f>IFERROR(INDEX(PP_Grid[#Data],$DD944,58),0)</f>
        <v/>
      </c>
      <c r="BI944">
        <f>IFERROR(INDEX(PP_Grid[#Data],$DD944,59),0)</f>
        <v/>
      </c>
      <c r="BJ944">
        <f>IFERROR(INDEX(PP_Grid[#Data],$DD944,60),0)</f>
        <v/>
      </c>
      <c r="BK944">
        <f>IFERROR(INDEX(PP_Grid[#Data],$DD944,61),0)</f>
        <v/>
      </c>
      <c r="BL944">
        <f>IFERROR(INDEX(PP_Grid[#Data],$DD944,62),0)</f>
        <v/>
      </c>
      <c r="BM944">
        <f>IFERROR(INDEX(PP_Grid[#Data],$DD944,63),0)</f>
        <v/>
      </c>
      <c r="BN944">
        <f>IFERROR(INDEX(PP_Grid[#Data],$DD944,64),0)</f>
        <v/>
      </c>
      <c r="BO944">
        <f>IFERROR(INDEX(PP_Grid[#Data],$DD944,65),0)</f>
        <v/>
      </c>
      <c r="BP944">
        <f>IFERROR(INDEX(PP_Grid[#Data],$DD944,66),0)</f>
        <v/>
      </c>
      <c r="BQ944">
        <f>IFERROR(INDEX(PP_Grid[#Data],$DD944,67),0)</f>
        <v/>
      </c>
      <c r="BR944">
        <f>IFERROR(INDEX(PP_Grid[#Data],$DD944,68),0)</f>
        <v/>
      </c>
      <c r="BS944">
        <f>IFERROR(INDEX(PP_Grid[#Data],$DD944,69),0)</f>
        <v/>
      </c>
      <c r="BT944">
        <f>IFERROR(INDEX(PP_Grid[#Data],$DD944,70),0)</f>
        <v/>
      </c>
      <c r="BU944">
        <f>IFERROR(INDEX(PP_Grid[#Data],$DD944,71),0)</f>
        <v/>
      </c>
      <c r="BV944">
        <f>IFERROR(INDEX(PP_Grid[#Data],$DD944,72),0)</f>
        <v/>
      </c>
      <c r="BW944">
        <f>IFERROR(INDEX(PP_Grid[#Data],$DD944,73),0)</f>
        <v/>
      </c>
      <c r="BX944">
        <f>IFERROR(INDEX(PP_Grid[#Data],$DD944,74),0)</f>
        <v/>
      </c>
      <c r="BY944">
        <f>IFERROR(INDEX(PP_Grid[#Data],$DD944,75),0)</f>
        <v/>
      </c>
      <c r="BZ944">
        <f>IFERROR(INDEX(PP_Grid[#Data],$DD944,76),0)</f>
        <v/>
      </c>
      <c r="CA944">
        <f>IFERROR(INDEX(PP_Grid[#Data],$DD944,77),0)</f>
        <v/>
      </c>
      <c r="CB944">
        <f>IFERROR(INDEX(PP_Grid[#Data],$DD944,78),0)</f>
        <v/>
      </c>
      <c r="CC944">
        <f>IFERROR(INDEX(PP_Grid[#Data],$DD944,79),0)</f>
        <v/>
      </c>
      <c r="CD944">
        <f>IFERROR(INDEX(PP_Grid[#Data],$DD944,80),0)</f>
        <v/>
      </c>
      <c r="CE944">
        <f>IFERROR(INDEX(PP_Grid[#Data],$DD944,81),0)</f>
        <v/>
      </c>
      <c r="CF944">
        <f>IFERROR(INDEX(PP_Grid[#Data],$DD944,82),0)</f>
        <v/>
      </c>
      <c r="CG944">
        <f>IFERROR(INDEX(PP_Grid[#Data],$DD944,83),0)</f>
        <v/>
      </c>
      <c r="CH944">
        <f>IFERROR(INDEX(PP_Grid[#Data],$DD944,84),0)</f>
        <v/>
      </c>
      <c r="CI944">
        <f>IFERROR(INDEX(PP_Grid[#Data],$DD944,85),0)</f>
        <v/>
      </c>
      <c r="CJ944">
        <f>IFERROR(INDEX(PP_Grid[#Data],$DD944,86),0)</f>
        <v/>
      </c>
      <c r="CK944">
        <f>IFERROR(INDEX(PP_Grid[#Data],$DD944,87),0)</f>
        <v/>
      </c>
      <c r="CL944">
        <f>IFERROR(INDEX(PP_Grid[#Data],$DD944,88),0)</f>
        <v/>
      </c>
      <c r="CM944">
        <f>IFERROR(INDEX(PP_Grid[#Data],$DD944,89),0)</f>
        <v/>
      </c>
      <c r="CN944">
        <f>IFERROR(INDEX(PP_Grid[#Data],$DD944,90),0)</f>
        <v/>
      </c>
      <c r="CO944">
        <f>IFERROR(INDEX(PP_Grid[#Data],$DD944,91),0)</f>
        <v/>
      </c>
      <c r="CP944">
        <f>IFERROR(INDEX(PP_Grid[#Data],$DD944,92),0)</f>
        <v/>
      </c>
      <c r="CQ944">
        <f>IFERROR(INDEX(PP_Grid[#Data],$DD944,93),0)</f>
        <v/>
      </c>
      <c r="CR944">
        <f>IFERROR(INDEX(PP_Grid[#Data],$DD944,94),0)</f>
        <v/>
      </c>
      <c r="CS944">
        <f>IFERROR(INDEX(PP_Grid[#Data],$DD944,95),0)</f>
        <v/>
      </c>
      <c r="CT944">
        <f>IFERROR(INDEX(PP_Grid[#Data],$DD944,96),0)</f>
        <v/>
      </c>
      <c r="CU944">
        <f>IFERROR(INDEX(PP_Grid[#Data],$DD944,97),0)</f>
        <v/>
      </c>
      <c r="CV944">
        <f>IFERROR(INDEX(PP_Grid[#Data],$DD944,98),0)</f>
        <v/>
      </c>
      <c r="CW944">
        <f>IFERROR(INDEX(PP_Grid[#Data],$DD944,99),0)</f>
        <v/>
      </c>
      <c r="CX944">
        <f>IFERROR(INDEX(PP_Grid[#Data],$DD944,100),0)</f>
        <v/>
      </c>
      <c r="CY944">
        <f>IFERROR(INDEX(PP_Grid[#Data],$DD944,101),0)</f>
        <v/>
      </c>
      <c r="CZ944">
        <f>IFERROR(INDEX(PP_Grid[#Data],$DD944,102),0)</f>
        <v/>
      </c>
      <c r="DA944">
        <f>IFERROR(INDEX(PP_Grid[#Data],$DD944,103),0)</f>
        <v/>
      </c>
      <c r="DB944">
        <f>IFERROR(INDEX(PP_Grid[#Data],$DD944,104),0)</f>
        <v/>
      </c>
      <c r="DC944">
        <f>IFERROR(INDEX(PP_Grid[#Data],$DD944,105),0)</f>
        <v/>
      </c>
      <c r="DD944" s="12">
        <f>IFERROR(MATCH($B944,PP_Grid[Intermediate],0),99999)</f>
        <v/>
      </c>
    </row>
    <row r="945">
      <c r="B945" t="inlineStr">
        <is>
          <t>使用量(kg)</t>
        </is>
      </c>
      <c r="C945">
        <f>SUMIFS(M_BOM[RM_Qty_Per_Batch],M_BOM[Intermediate],$B944,M_BOM[Part Name],$A909)</f>
        <v/>
      </c>
      <c r="D945">
        <f>$C945*D944</f>
        <v/>
      </c>
      <c r="E945">
        <f>$C945*E944</f>
        <v/>
      </c>
      <c r="F945">
        <f>$C945*F944</f>
        <v/>
      </c>
      <c r="G945">
        <f>$C945*G944</f>
        <v/>
      </c>
      <c r="H945">
        <f>$C945*H944</f>
        <v/>
      </c>
      <c r="I945">
        <f>$C945*I944</f>
        <v/>
      </c>
      <c r="J945">
        <f>$C945*J944</f>
        <v/>
      </c>
      <c r="K945">
        <f>$C945*K944</f>
        <v/>
      </c>
      <c r="L945">
        <f>$C945*L944</f>
        <v/>
      </c>
      <c r="M945">
        <f>$C945*M944</f>
        <v/>
      </c>
      <c r="N945">
        <f>$C945*N944</f>
        <v/>
      </c>
      <c r="O945">
        <f>$C945*O944</f>
        <v/>
      </c>
      <c r="P945">
        <f>$C945*P944</f>
        <v/>
      </c>
      <c r="Q945">
        <f>$C945*Q944</f>
        <v/>
      </c>
      <c r="R945">
        <f>$C945*R944</f>
        <v/>
      </c>
      <c r="S945">
        <f>$C945*S944</f>
        <v/>
      </c>
      <c r="T945">
        <f>$C945*T944</f>
        <v/>
      </c>
      <c r="U945">
        <f>$C945*U944</f>
        <v/>
      </c>
      <c r="V945">
        <f>$C945*V944</f>
        <v/>
      </c>
      <c r="W945">
        <f>$C945*W944</f>
        <v/>
      </c>
      <c r="X945">
        <f>$C945*X944</f>
        <v/>
      </c>
      <c r="Y945">
        <f>$C945*Y944</f>
        <v/>
      </c>
      <c r="Z945">
        <f>$C945*Z944</f>
        <v/>
      </c>
      <c r="AA945">
        <f>$C945*AA944</f>
        <v/>
      </c>
      <c r="AB945">
        <f>$C945*AB944</f>
        <v/>
      </c>
      <c r="AC945">
        <f>$C945*AC944</f>
        <v/>
      </c>
      <c r="AD945">
        <f>$C945*AD944</f>
        <v/>
      </c>
      <c r="AE945">
        <f>$C945*AE944</f>
        <v/>
      </c>
      <c r="AF945">
        <f>$C945*AF944</f>
        <v/>
      </c>
      <c r="AG945">
        <f>$C945*AG944</f>
        <v/>
      </c>
      <c r="AH945">
        <f>$C945*AH944</f>
        <v/>
      </c>
      <c r="AI945">
        <f>$C945*AI944</f>
        <v/>
      </c>
      <c r="AJ945">
        <f>$C945*AJ944</f>
        <v/>
      </c>
      <c r="AK945">
        <f>$C945*AK944</f>
        <v/>
      </c>
      <c r="AL945">
        <f>$C945*AL944</f>
        <v/>
      </c>
      <c r="AM945">
        <f>$C945*AM944</f>
        <v/>
      </c>
      <c r="AN945">
        <f>$C945*AN944</f>
        <v/>
      </c>
      <c r="AO945">
        <f>$C945*AO944</f>
        <v/>
      </c>
      <c r="AP945">
        <f>$C945*AP944</f>
        <v/>
      </c>
      <c r="AQ945">
        <f>$C945*AQ944</f>
        <v/>
      </c>
      <c r="AR945">
        <f>$C945*AR944</f>
        <v/>
      </c>
      <c r="AS945">
        <f>$C945*AS944</f>
        <v/>
      </c>
      <c r="AT945">
        <f>$C945*AT944</f>
        <v/>
      </c>
      <c r="AU945">
        <f>$C945*AU944</f>
        <v/>
      </c>
      <c r="AV945">
        <f>$C945*AV944</f>
        <v/>
      </c>
      <c r="AW945">
        <f>$C945*AW944</f>
        <v/>
      </c>
      <c r="AX945">
        <f>$C945*AX944</f>
        <v/>
      </c>
      <c r="AY945">
        <f>$C945*AY944</f>
        <v/>
      </c>
      <c r="AZ945">
        <f>$C945*AZ944</f>
        <v/>
      </c>
      <c r="BA945">
        <f>$C945*BA944</f>
        <v/>
      </c>
      <c r="BB945">
        <f>$C945*BB944</f>
        <v/>
      </c>
      <c r="BC945">
        <f>$C945*BC944</f>
        <v/>
      </c>
      <c r="BD945">
        <f>$C945*BD944</f>
        <v/>
      </c>
      <c r="BE945">
        <f>$C945*BE944</f>
        <v/>
      </c>
      <c r="BF945">
        <f>$C945*BF944</f>
        <v/>
      </c>
      <c r="BG945">
        <f>$C945*BG944</f>
        <v/>
      </c>
      <c r="BH945">
        <f>$C945*BH944</f>
        <v/>
      </c>
      <c r="BI945">
        <f>$C945*BI944</f>
        <v/>
      </c>
      <c r="BJ945">
        <f>$C945*BJ944</f>
        <v/>
      </c>
      <c r="BK945">
        <f>$C945*BK944</f>
        <v/>
      </c>
      <c r="BL945">
        <f>$C945*BL944</f>
        <v/>
      </c>
      <c r="BM945">
        <f>$C945*BM944</f>
        <v/>
      </c>
      <c r="BN945">
        <f>$C945*BN944</f>
        <v/>
      </c>
      <c r="BO945">
        <f>$C945*BO944</f>
        <v/>
      </c>
      <c r="BP945">
        <f>$C945*BP944</f>
        <v/>
      </c>
      <c r="BQ945">
        <f>$C945*BQ944</f>
        <v/>
      </c>
      <c r="BR945">
        <f>$C945*BR944</f>
        <v/>
      </c>
      <c r="BS945">
        <f>$C945*BS944</f>
        <v/>
      </c>
      <c r="BT945">
        <f>$C945*BT944</f>
        <v/>
      </c>
      <c r="BU945">
        <f>$C945*BU944</f>
        <v/>
      </c>
      <c r="BV945">
        <f>$C945*BV944</f>
        <v/>
      </c>
      <c r="BW945">
        <f>$C945*BW944</f>
        <v/>
      </c>
      <c r="BX945">
        <f>$C945*BX944</f>
        <v/>
      </c>
      <c r="BY945">
        <f>$C945*BY944</f>
        <v/>
      </c>
      <c r="BZ945">
        <f>$C945*BZ944</f>
        <v/>
      </c>
      <c r="CA945">
        <f>$C945*CA944</f>
        <v/>
      </c>
      <c r="CB945">
        <f>$C945*CB944</f>
        <v/>
      </c>
      <c r="CC945">
        <f>$C945*CC944</f>
        <v/>
      </c>
      <c r="CD945">
        <f>$C945*CD944</f>
        <v/>
      </c>
      <c r="CE945">
        <f>$C945*CE944</f>
        <v/>
      </c>
      <c r="CF945">
        <f>$C945*CF944</f>
        <v/>
      </c>
      <c r="CG945">
        <f>$C945*CG944</f>
        <v/>
      </c>
      <c r="CH945">
        <f>$C945*CH944</f>
        <v/>
      </c>
      <c r="CI945">
        <f>$C945*CI944</f>
        <v/>
      </c>
      <c r="CJ945">
        <f>$C945*CJ944</f>
        <v/>
      </c>
      <c r="CK945">
        <f>$C945*CK944</f>
        <v/>
      </c>
      <c r="CL945">
        <f>$C945*CL944</f>
        <v/>
      </c>
      <c r="CM945">
        <f>$C945*CM944</f>
        <v/>
      </c>
      <c r="CN945">
        <f>$C945*CN944</f>
        <v/>
      </c>
      <c r="CO945">
        <f>$C945*CO944</f>
        <v/>
      </c>
      <c r="CP945">
        <f>$C945*CP944</f>
        <v/>
      </c>
      <c r="CQ945">
        <f>$C945*CQ944</f>
        <v/>
      </c>
      <c r="CR945">
        <f>$C945*CR944</f>
        <v/>
      </c>
      <c r="CS945">
        <f>$C945*CS944</f>
        <v/>
      </c>
      <c r="CT945">
        <f>$C945*CT944</f>
        <v/>
      </c>
      <c r="CU945">
        <f>$C945*CU944</f>
        <v/>
      </c>
      <c r="CV945">
        <f>$C945*CV944</f>
        <v/>
      </c>
      <c r="CW945">
        <f>$C945*CW944</f>
        <v/>
      </c>
      <c r="CX945">
        <f>$C945*CX944</f>
        <v/>
      </c>
      <c r="CY945">
        <f>$C945*CY944</f>
        <v/>
      </c>
      <c r="CZ945">
        <f>$C945*CZ944</f>
        <v/>
      </c>
      <c r="DA945">
        <f>$C945*DA944</f>
        <v/>
      </c>
      <c r="DB945">
        <f>$C945*DB944</f>
        <v/>
      </c>
      <c r="DC945">
        <f>$C945*DC944</f>
        <v/>
      </c>
    </row>
    <row r="946">
      <c r="B946" t="inlineStr">
        <is>
          <t>TSP-936</t>
        </is>
      </c>
      <c r="C946" t="inlineStr">
        <is>
          <t>No. of batches</t>
        </is>
      </c>
      <c r="D946">
        <f>IFERROR(INDEX(PP_Grid[#Data],$DD946,2),0)</f>
        <v/>
      </c>
      <c r="E946">
        <f>IFERROR(INDEX(PP_Grid[#Data],$DD946,3),0)</f>
        <v/>
      </c>
      <c r="F946">
        <f>IFERROR(INDEX(PP_Grid[#Data],$DD946,4),0)</f>
        <v/>
      </c>
      <c r="G946">
        <f>IFERROR(INDEX(PP_Grid[#Data],$DD946,5),0)</f>
        <v/>
      </c>
      <c r="H946">
        <f>IFERROR(INDEX(PP_Grid[#Data],$DD946,6),0)</f>
        <v/>
      </c>
      <c r="I946">
        <f>IFERROR(INDEX(PP_Grid[#Data],$DD946,7),0)</f>
        <v/>
      </c>
      <c r="J946">
        <f>IFERROR(INDEX(PP_Grid[#Data],$DD946,8),0)</f>
        <v/>
      </c>
      <c r="K946">
        <f>IFERROR(INDEX(PP_Grid[#Data],$DD946,9),0)</f>
        <v/>
      </c>
      <c r="L946">
        <f>IFERROR(INDEX(PP_Grid[#Data],$DD946,10),0)</f>
        <v/>
      </c>
      <c r="M946">
        <f>IFERROR(INDEX(PP_Grid[#Data],$DD946,11),0)</f>
        <v/>
      </c>
      <c r="N946">
        <f>IFERROR(INDEX(PP_Grid[#Data],$DD946,12),0)</f>
        <v/>
      </c>
      <c r="O946">
        <f>IFERROR(INDEX(PP_Grid[#Data],$DD946,13),0)</f>
        <v/>
      </c>
      <c r="P946">
        <f>IFERROR(INDEX(PP_Grid[#Data],$DD946,14),0)</f>
        <v/>
      </c>
      <c r="Q946">
        <f>IFERROR(INDEX(PP_Grid[#Data],$DD946,15),0)</f>
        <v/>
      </c>
      <c r="R946">
        <f>IFERROR(INDEX(PP_Grid[#Data],$DD946,16),0)</f>
        <v/>
      </c>
      <c r="S946">
        <f>IFERROR(INDEX(PP_Grid[#Data],$DD946,17),0)</f>
        <v/>
      </c>
      <c r="T946">
        <f>IFERROR(INDEX(PP_Grid[#Data],$DD946,18),0)</f>
        <v/>
      </c>
      <c r="U946">
        <f>IFERROR(INDEX(PP_Grid[#Data],$DD946,19),0)</f>
        <v/>
      </c>
      <c r="V946">
        <f>IFERROR(INDEX(PP_Grid[#Data],$DD946,20),0)</f>
        <v/>
      </c>
      <c r="W946">
        <f>IFERROR(INDEX(PP_Grid[#Data],$DD946,21),0)</f>
        <v/>
      </c>
      <c r="X946">
        <f>IFERROR(INDEX(PP_Grid[#Data],$DD946,22),0)</f>
        <v/>
      </c>
      <c r="Y946">
        <f>IFERROR(INDEX(PP_Grid[#Data],$DD946,23),0)</f>
        <v/>
      </c>
      <c r="Z946">
        <f>IFERROR(INDEX(PP_Grid[#Data],$DD946,24),0)</f>
        <v/>
      </c>
      <c r="AA946">
        <f>IFERROR(INDEX(PP_Grid[#Data],$DD946,25),0)</f>
        <v/>
      </c>
      <c r="AB946">
        <f>IFERROR(INDEX(PP_Grid[#Data],$DD946,26),0)</f>
        <v/>
      </c>
      <c r="AC946">
        <f>IFERROR(INDEX(PP_Grid[#Data],$DD946,27),0)</f>
        <v/>
      </c>
      <c r="AD946">
        <f>IFERROR(INDEX(PP_Grid[#Data],$DD946,28),0)</f>
        <v/>
      </c>
      <c r="AE946">
        <f>IFERROR(INDEX(PP_Grid[#Data],$DD946,29),0)</f>
        <v/>
      </c>
      <c r="AF946">
        <f>IFERROR(INDEX(PP_Grid[#Data],$DD946,30),0)</f>
        <v/>
      </c>
      <c r="AG946">
        <f>IFERROR(INDEX(PP_Grid[#Data],$DD946,31),0)</f>
        <v/>
      </c>
      <c r="AH946">
        <f>IFERROR(INDEX(PP_Grid[#Data],$DD946,32),0)</f>
        <v/>
      </c>
      <c r="AI946">
        <f>IFERROR(INDEX(PP_Grid[#Data],$DD946,33),0)</f>
        <v/>
      </c>
      <c r="AJ946">
        <f>IFERROR(INDEX(PP_Grid[#Data],$DD946,34),0)</f>
        <v/>
      </c>
      <c r="AK946">
        <f>IFERROR(INDEX(PP_Grid[#Data],$DD946,35),0)</f>
        <v/>
      </c>
      <c r="AL946">
        <f>IFERROR(INDEX(PP_Grid[#Data],$DD946,36),0)</f>
        <v/>
      </c>
      <c r="AM946">
        <f>IFERROR(INDEX(PP_Grid[#Data],$DD946,37),0)</f>
        <v/>
      </c>
      <c r="AN946">
        <f>IFERROR(INDEX(PP_Grid[#Data],$DD946,38),0)</f>
        <v/>
      </c>
      <c r="AO946">
        <f>IFERROR(INDEX(PP_Grid[#Data],$DD946,39),0)</f>
        <v/>
      </c>
      <c r="AP946">
        <f>IFERROR(INDEX(PP_Grid[#Data],$DD946,40),0)</f>
        <v/>
      </c>
      <c r="AQ946">
        <f>IFERROR(INDEX(PP_Grid[#Data],$DD946,41),0)</f>
        <v/>
      </c>
      <c r="AR946">
        <f>IFERROR(INDEX(PP_Grid[#Data],$DD946,42),0)</f>
        <v/>
      </c>
      <c r="AS946">
        <f>IFERROR(INDEX(PP_Grid[#Data],$DD946,43),0)</f>
        <v/>
      </c>
      <c r="AT946">
        <f>IFERROR(INDEX(PP_Grid[#Data],$DD946,44),0)</f>
        <v/>
      </c>
      <c r="AU946">
        <f>IFERROR(INDEX(PP_Grid[#Data],$DD946,45),0)</f>
        <v/>
      </c>
      <c r="AV946">
        <f>IFERROR(INDEX(PP_Grid[#Data],$DD946,46),0)</f>
        <v/>
      </c>
      <c r="AW946">
        <f>IFERROR(INDEX(PP_Grid[#Data],$DD946,47),0)</f>
        <v/>
      </c>
      <c r="AX946">
        <f>IFERROR(INDEX(PP_Grid[#Data],$DD946,48),0)</f>
        <v/>
      </c>
      <c r="AY946">
        <f>IFERROR(INDEX(PP_Grid[#Data],$DD946,49),0)</f>
        <v/>
      </c>
      <c r="AZ946">
        <f>IFERROR(INDEX(PP_Grid[#Data],$DD946,50),0)</f>
        <v/>
      </c>
      <c r="BA946">
        <f>IFERROR(INDEX(PP_Grid[#Data],$DD946,51),0)</f>
        <v/>
      </c>
      <c r="BB946">
        <f>IFERROR(INDEX(PP_Grid[#Data],$DD946,52),0)</f>
        <v/>
      </c>
      <c r="BC946">
        <f>IFERROR(INDEX(PP_Grid[#Data],$DD946,53),0)</f>
        <v/>
      </c>
      <c r="BD946">
        <f>IFERROR(INDEX(PP_Grid[#Data],$DD946,54),0)</f>
        <v/>
      </c>
      <c r="BE946">
        <f>IFERROR(INDEX(PP_Grid[#Data],$DD946,55),0)</f>
        <v/>
      </c>
      <c r="BF946">
        <f>IFERROR(INDEX(PP_Grid[#Data],$DD946,56),0)</f>
        <v/>
      </c>
      <c r="BG946">
        <f>IFERROR(INDEX(PP_Grid[#Data],$DD946,57),0)</f>
        <v/>
      </c>
      <c r="BH946">
        <f>IFERROR(INDEX(PP_Grid[#Data],$DD946,58),0)</f>
        <v/>
      </c>
      <c r="BI946">
        <f>IFERROR(INDEX(PP_Grid[#Data],$DD946,59),0)</f>
        <v/>
      </c>
      <c r="BJ946">
        <f>IFERROR(INDEX(PP_Grid[#Data],$DD946,60),0)</f>
        <v/>
      </c>
      <c r="BK946">
        <f>IFERROR(INDEX(PP_Grid[#Data],$DD946,61),0)</f>
        <v/>
      </c>
      <c r="BL946">
        <f>IFERROR(INDEX(PP_Grid[#Data],$DD946,62),0)</f>
        <v/>
      </c>
      <c r="BM946">
        <f>IFERROR(INDEX(PP_Grid[#Data],$DD946,63),0)</f>
        <v/>
      </c>
      <c r="BN946">
        <f>IFERROR(INDEX(PP_Grid[#Data],$DD946,64),0)</f>
        <v/>
      </c>
      <c r="BO946">
        <f>IFERROR(INDEX(PP_Grid[#Data],$DD946,65),0)</f>
        <v/>
      </c>
      <c r="BP946">
        <f>IFERROR(INDEX(PP_Grid[#Data],$DD946,66),0)</f>
        <v/>
      </c>
      <c r="BQ946">
        <f>IFERROR(INDEX(PP_Grid[#Data],$DD946,67),0)</f>
        <v/>
      </c>
      <c r="BR946">
        <f>IFERROR(INDEX(PP_Grid[#Data],$DD946,68),0)</f>
        <v/>
      </c>
      <c r="BS946">
        <f>IFERROR(INDEX(PP_Grid[#Data],$DD946,69),0)</f>
        <v/>
      </c>
      <c r="BT946">
        <f>IFERROR(INDEX(PP_Grid[#Data],$DD946,70),0)</f>
        <v/>
      </c>
      <c r="BU946">
        <f>IFERROR(INDEX(PP_Grid[#Data],$DD946,71),0)</f>
        <v/>
      </c>
      <c r="BV946">
        <f>IFERROR(INDEX(PP_Grid[#Data],$DD946,72),0)</f>
        <v/>
      </c>
      <c r="BW946">
        <f>IFERROR(INDEX(PP_Grid[#Data],$DD946,73),0)</f>
        <v/>
      </c>
      <c r="BX946">
        <f>IFERROR(INDEX(PP_Grid[#Data],$DD946,74),0)</f>
        <v/>
      </c>
      <c r="BY946">
        <f>IFERROR(INDEX(PP_Grid[#Data],$DD946,75),0)</f>
        <v/>
      </c>
      <c r="BZ946">
        <f>IFERROR(INDEX(PP_Grid[#Data],$DD946,76),0)</f>
        <v/>
      </c>
      <c r="CA946">
        <f>IFERROR(INDEX(PP_Grid[#Data],$DD946,77),0)</f>
        <v/>
      </c>
      <c r="CB946">
        <f>IFERROR(INDEX(PP_Grid[#Data],$DD946,78),0)</f>
        <v/>
      </c>
      <c r="CC946">
        <f>IFERROR(INDEX(PP_Grid[#Data],$DD946,79),0)</f>
        <v/>
      </c>
      <c r="CD946">
        <f>IFERROR(INDEX(PP_Grid[#Data],$DD946,80),0)</f>
        <v/>
      </c>
      <c r="CE946">
        <f>IFERROR(INDEX(PP_Grid[#Data],$DD946,81),0)</f>
        <v/>
      </c>
      <c r="CF946">
        <f>IFERROR(INDEX(PP_Grid[#Data],$DD946,82),0)</f>
        <v/>
      </c>
      <c r="CG946">
        <f>IFERROR(INDEX(PP_Grid[#Data],$DD946,83),0)</f>
        <v/>
      </c>
      <c r="CH946">
        <f>IFERROR(INDEX(PP_Grid[#Data],$DD946,84),0)</f>
        <v/>
      </c>
      <c r="CI946">
        <f>IFERROR(INDEX(PP_Grid[#Data],$DD946,85),0)</f>
        <v/>
      </c>
      <c r="CJ946">
        <f>IFERROR(INDEX(PP_Grid[#Data],$DD946,86),0)</f>
        <v/>
      </c>
      <c r="CK946">
        <f>IFERROR(INDEX(PP_Grid[#Data],$DD946,87),0)</f>
        <v/>
      </c>
      <c r="CL946">
        <f>IFERROR(INDEX(PP_Grid[#Data],$DD946,88),0)</f>
        <v/>
      </c>
      <c r="CM946">
        <f>IFERROR(INDEX(PP_Grid[#Data],$DD946,89),0)</f>
        <v/>
      </c>
      <c r="CN946">
        <f>IFERROR(INDEX(PP_Grid[#Data],$DD946,90),0)</f>
        <v/>
      </c>
      <c r="CO946">
        <f>IFERROR(INDEX(PP_Grid[#Data],$DD946,91),0)</f>
        <v/>
      </c>
      <c r="CP946">
        <f>IFERROR(INDEX(PP_Grid[#Data],$DD946,92),0)</f>
        <v/>
      </c>
      <c r="CQ946">
        <f>IFERROR(INDEX(PP_Grid[#Data],$DD946,93),0)</f>
        <v/>
      </c>
      <c r="CR946">
        <f>IFERROR(INDEX(PP_Grid[#Data],$DD946,94),0)</f>
        <v/>
      </c>
      <c r="CS946">
        <f>IFERROR(INDEX(PP_Grid[#Data],$DD946,95),0)</f>
        <v/>
      </c>
      <c r="CT946">
        <f>IFERROR(INDEX(PP_Grid[#Data],$DD946,96),0)</f>
        <v/>
      </c>
      <c r="CU946">
        <f>IFERROR(INDEX(PP_Grid[#Data],$DD946,97),0)</f>
        <v/>
      </c>
      <c r="CV946">
        <f>IFERROR(INDEX(PP_Grid[#Data],$DD946,98),0)</f>
        <v/>
      </c>
      <c r="CW946">
        <f>IFERROR(INDEX(PP_Grid[#Data],$DD946,99),0)</f>
        <v/>
      </c>
      <c r="CX946">
        <f>IFERROR(INDEX(PP_Grid[#Data],$DD946,100),0)</f>
        <v/>
      </c>
      <c r="CY946">
        <f>IFERROR(INDEX(PP_Grid[#Data],$DD946,101),0)</f>
        <v/>
      </c>
      <c r="CZ946">
        <f>IFERROR(INDEX(PP_Grid[#Data],$DD946,102),0)</f>
        <v/>
      </c>
      <c r="DA946">
        <f>IFERROR(INDEX(PP_Grid[#Data],$DD946,103),0)</f>
        <v/>
      </c>
      <c r="DB946">
        <f>IFERROR(INDEX(PP_Grid[#Data],$DD946,104),0)</f>
        <v/>
      </c>
      <c r="DC946">
        <f>IFERROR(INDEX(PP_Grid[#Data],$DD946,105),0)</f>
        <v/>
      </c>
      <c r="DD946" s="12">
        <f>IFERROR(MATCH($B946,PP_Grid[Intermediate],0),99999)</f>
        <v/>
      </c>
    </row>
    <row r="947">
      <c r="B947" t="inlineStr">
        <is>
          <t>使用量(kg)</t>
        </is>
      </c>
      <c r="C947">
        <f>SUMIFS(M_BOM[RM_Qty_Per_Batch],M_BOM[Intermediate],$B946,M_BOM[Part Name],$A909)</f>
        <v/>
      </c>
      <c r="D947">
        <f>$C947*D946</f>
        <v/>
      </c>
      <c r="E947">
        <f>$C947*E946</f>
        <v/>
      </c>
      <c r="F947">
        <f>$C947*F946</f>
        <v/>
      </c>
      <c r="G947">
        <f>$C947*G946</f>
        <v/>
      </c>
      <c r="H947">
        <f>$C947*H946</f>
        <v/>
      </c>
      <c r="I947">
        <f>$C947*I946</f>
        <v/>
      </c>
      <c r="J947">
        <f>$C947*J946</f>
        <v/>
      </c>
      <c r="K947">
        <f>$C947*K946</f>
        <v/>
      </c>
      <c r="L947">
        <f>$C947*L946</f>
        <v/>
      </c>
      <c r="M947">
        <f>$C947*M946</f>
        <v/>
      </c>
      <c r="N947">
        <f>$C947*N946</f>
        <v/>
      </c>
      <c r="O947">
        <f>$C947*O946</f>
        <v/>
      </c>
      <c r="P947">
        <f>$C947*P946</f>
        <v/>
      </c>
      <c r="Q947">
        <f>$C947*Q946</f>
        <v/>
      </c>
      <c r="R947">
        <f>$C947*R946</f>
        <v/>
      </c>
      <c r="S947">
        <f>$C947*S946</f>
        <v/>
      </c>
      <c r="T947">
        <f>$C947*T946</f>
        <v/>
      </c>
      <c r="U947">
        <f>$C947*U946</f>
        <v/>
      </c>
      <c r="V947">
        <f>$C947*V946</f>
        <v/>
      </c>
      <c r="W947">
        <f>$C947*W946</f>
        <v/>
      </c>
      <c r="X947">
        <f>$C947*X946</f>
        <v/>
      </c>
      <c r="Y947">
        <f>$C947*Y946</f>
        <v/>
      </c>
      <c r="Z947">
        <f>$C947*Z946</f>
        <v/>
      </c>
      <c r="AA947">
        <f>$C947*AA946</f>
        <v/>
      </c>
      <c r="AB947">
        <f>$C947*AB946</f>
        <v/>
      </c>
      <c r="AC947">
        <f>$C947*AC946</f>
        <v/>
      </c>
      <c r="AD947">
        <f>$C947*AD946</f>
        <v/>
      </c>
      <c r="AE947">
        <f>$C947*AE946</f>
        <v/>
      </c>
      <c r="AF947">
        <f>$C947*AF946</f>
        <v/>
      </c>
      <c r="AG947">
        <f>$C947*AG946</f>
        <v/>
      </c>
      <c r="AH947">
        <f>$C947*AH946</f>
        <v/>
      </c>
      <c r="AI947">
        <f>$C947*AI946</f>
        <v/>
      </c>
      <c r="AJ947">
        <f>$C947*AJ946</f>
        <v/>
      </c>
      <c r="AK947">
        <f>$C947*AK946</f>
        <v/>
      </c>
      <c r="AL947">
        <f>$C947*AL946</f>
        <v/>
      </c>
      <c r="AM947">
        <f>$C947*AM946</f>
        <v/>
      </c>
      <c r="AN947">
        <f>$C947*AN946</f>
        <v/>
      </c>
      <c r="AO947">
        <f>$C947*AO946</f>
        <v/>
      </c>
      <c r="AP947">
        <f>$C947*AP946</f>
        <v/>
      </c>
      <c r="AQ947">
        <f>$C947*AQ946</f>
        <v/>
      </c>
      <c r="AR947">
        <f>$C947*AR946</f>
        <v/>
      </c>
      <c r="AS947">
        <f>$C947*AS946</f>
        <v/>
      </c>
      <c r="AT947">
        <f>$C947*AT946</f>
        <v/>
      </c>
      <c r="AU947">
        <f>$C947*AU946</f>
        <v/>
      </c>
      <c r="AV947">
        <f>$C947*AV946</f>
        <v/>
      </c>
      <c r="AW947">
        <f>$C947*AW946</f>
        <v/>
      </c>
      <c r="AX947">
        <f>$C947*AX946</f>
        <v/>
      </c>
      <c r="AY947">
        <f>$C947*AY946</f>
        <v/>
      </c>
      <c r="AZ947">
        <f>$C947*AZ946</f>
        <v/>
      </c>
      <c r="BA947">
        <f>$C947*BA946</f>
        <v/>
      </c>
      <c r="BB947">
        <f>$C947*BB946</f>
        <v/>
      </c>
      <c r="BC947">
        <f>$C947*BC946</f>
        <v/>
      </c>
      <c r="BD947">
        <f>$C947*BD946</f>
        <v/>
      </c>
      <c r="BE947">
        <f>$C947*BE946</f>
        <v/>
      </c>
      <c r="BF947">
        <f>$C947*BF946</f>
        <v/>
      </c>
      <c r="BG947">
        <f>$C947*BG946</f>
        <v/>
      </c>
      <c r="BH947">
        <f>$C947*BH946</f>
        <v/>
      </c>
      <c r="BI947">
        <f>$C947*BI946</f>
        <v/>
      </c>
      <c r="BJ947">
        <f>$C947*BJ946</f>
        <v/>
      </c>
      <c r="BK947">
        <f>$C947*BK946</f>
        <v/>
      </c>
      <c r="BL947">
        <f>$C947*BL946</f>
        <v/>
      </c>
      <c r="BM947">
        <f>$C947*BM946</f>
        <v/>
      </c>
      <c r="BN947">
        <f>$C947*BN946</f>
        <v/>
      </c>
      <c r="BO947">
        <f>$C947*BO946</f>
        <v/>
      </c>
      <c r="BP947">
        <f>$C947*BP946</f>
        <v/>
      </c>
      <c r="BQ947">
        <f>$C947*BQ946</f>
        <v/>
      </c>
      <c r="BR947">
        <f>$C947*BR946</f>
        <v/>
      </c>
      <c r="BS947">
        <f>$C947*BS946</f>
        <v/>
      </c>
      <c r="BT947">
        <f>$C947*BT946</f>
        <v/>
      </c>
      <c r="BU947">
        <f>$C947*BU946</f>
        <v/>
      </c>
      <c r="BV947">
        <f>$C947*BV946</f>
        <v/>
      </c>
      <c r="BW947">
        <f>$C947*BW946</f>
        <v/>
      </c>
      <c r="BX947">
        <f>$C947*BX946</f>
        <v/>
      </c>
      <c r="BY947">
        <f>$C947*BY946</f>
        <v/>
      </c>
      <c r="BZ947">
        <f>$C947*BZ946</f>
        <v/>
      </c>
      <c r="CA947">
        <f>$C947*CA946</f>
        <v/>
      </c>
      <c r="CB947">
        <f>$C947*CB946</f>
        <v/>
      </c>
      <c r="CC947">
        <f>$C947*CC946</f>
        <v/>
      </c>
      <c r="CD947">
        <f>$C947*CD946</f>
        <v/>
      </c>
      <c r="CE947">
        <f>$C947*CE946</f>
        <v/>
      </c>
      <c r="CF947">
        <f>$C947*CF946</f>
        <v/>
      </c>
      <c r="CG947">
        <f>$C947*CG946</f>
        <v/>
      </c>
      <c r="CH947">
        <f>$C947*CH946</f>
        <v/>
      </c>
      <c r="CI947">
        <f>$C947*CI946</f>
        <v/>
      </c>
      <c r="CJ947">
        <f>$C947*CJ946</f>
        <v/>
      </c>
      <c r="CK947">
        <f>$C947*CK946</f>
        <v/>
      </c>
      <c r="CL947">
        <f>$C947*CL946</f>
        <v/>
      </c>
      <c r="CM947">
        <f>$C947*CM946</f>
        <v/>
      </c>
      <c r="CN947">
        <f>$C947*CN946</f>
        <v/>
      </c>
      <c r="CO947">
        <f>$C947*CO946</f>
        <v/>
      </c>
      <c r="CP947">
        <f>$C947*CP946</f>
        <v/>
      </c>
      <c r="CQ947">
        <f>$C947*CQ946</f>
        <v/>
      </c>
      <c r="CR947">
        <f>$C947*CR946</f>
        <v/>
      </c>
      <c r="CS947">
        <f>$C947*CS946</f>
        <v/>
      </c>
      <c r="CT947">
        <f>$C947*CT946</f>
        <v/>
      </c>
      <c r="CU947">
        <f>$C947*CU946</f>
        <v/>
      </c>
      <c r="CV947">
        <f>$C947*CV946</f>
        <v/>
      </c>
      <c r="CW947">
        <f>$C947*CW946</f>
        <v/>
      </c>
      <c r="CX947">
        <f>$C947*CX946</f>
        <v/>
      </c>
      <c r="CY947">
        <f>$C947*CY946</f>
        <v/>
      </c>
      <c r="CZ947">
        <f>$C947*CZ946</f>
        <v/>
      </c>
      <c r="DA947">
        <f>$C947*DA946</f>
        <v/>
      </c>
      <c r="DB947">
        <f>$C947*DB946</f>
        <v/>
      </c>
      <c r="DC947">
        <f>$C947*DC946</f>
        <v/>
      </c>
    </row>
    <row r="948">
      <c r="B948" t="inlineStr">
        <is>
          <t>TSP-937</t>
        </is>
      </c>
      <c r="C948" t="inlineStr">
        <is>
          <t>No. of batches</t>
        </is>
      </c>
      <c r="D948">
        <f>IFERROR(INDEX(PP_Grid[#Data],$DD948,2),0)</f>
        <v/>
      </c>
      <c r="E948">
        <f>IFERROR(INDEX(PP_Grid[#Data],$DD948,3),0)</f>
        <v/>
      </c>
      <c r="F948">
        <f>IFERROR(INDEX(PP_Grid[#Data],$DD948,4),0)</f>
        <v/>
      </c>
      <c r="G948">
        <f>IFERROR(INDEX(PP_Grid[#Data],$DD948,5),0)</f>
        <v/>
      </c>
      <c r="H948">
        <f>IFERROR(INDEX(PP_Grid[#Data],$DD948,6),0)</f>
        <v/>
      </c>
      <c r="I948">
        <f>IFERROR(INDEX(PP_Grid[#Data],$DD948,7),0)</f>
        <v/>
      </c>
      <c r="J948">
        <f>IFERROR(INDEX(PP_Grid[#Data],$DD948,8),0)</f>
        <v/>
      </c>
      <c r="K948">
        <f>IFERROR(INDEX(PP_Grid[#Data],$DD948,9),0)</f>
        <v/>
      </c>
      <c r="L948">
        <f>IFERROR(INDEX(PP_Grid[#Data],$DD948,10),0)</f>
        <v/>
      </c>
      <c r="M948">
        <f>IFERROR(INDEX(PP_Grid[#Data],$DD948,11),0)</f>
        <v/>
      </c>
      <c r="N948">
        <f>IFERROR(INDEX(PP_Grid[#Data],$DD948,12),0)</f>
        <v/>
      </c>
      <c r="O948">
        <f>IFERROR(INDEX(PP_Grid[#Data],$DD948,13),0)</f>
        <v/>
      </c>
      <c r="P948">
        <f>IFERROR(INDEX(PP_Grid[#Data],$DD948,14),0)</f>
        <v/>
      </c>
      <c r="Q948">
        <f>IFERROR(INDEX(PP_Grid[#Data],$DD948,15),0)</f>
        <v/>
      </c>
      <c r="R948">
        <f>IFERROR(INDEX(PP_Grid[#Data],$DD948,16),0)</f>
        <v/>
      </c>
      <c r="S948">
        <f>IFERROR(INDEX(PP_Grid[#Data],$DD948,17),0)</f>
        <v/>
      </c>
      <c r="T948">
        <f>IFERROR(INDEX(PP_Grid[#Data],$DD948,18),0)</f>
        <v/>
      </c>
      <c r="U948">
        <f>IFERROR(INDEX(PP_Grid[#Data],$DD948,19),0)</f>
        <v/>
      </c>
      <c r="V948">
        <f>IFERROR(INDEX(PP_Grid[#Data],$DD948,20),0)</f>
        <v/>
      </c>
      <c r="W948">
        <f>IFERROR(INDEX(PP_Grid[#Data],$DD948,21),0)</f>
        <v/>
      </c>
      <c r="X948">
        <f>IFERROR(INDEX(PP_Grid[#Data],$DD948,22),0)</f>
        <v/>
      </c>
      <c r="Y948">
        <f>IFERROR(INDEX(PP_Grid[#Data],$DD948,23),0)</f>
        <v/>
      </c>
      <c r="Z948">
        <f>IFERROR(INDEX(PP_Grid[#Data],$DD948,24),0)</f>
        <v/>
      </c>
      <c r="AA948">
        <f>IFERROR(INDEX(PP_Grid[#Data],$DD948,25),0)</f>
        <v/>
      </c>
      <c r="AB948">
        <f>IFERROR(INDEX(PP_Grid[#Data],$DD948,26),0)</f>
        <v/>
      </c>
      <c r="AC948">
        <f>IFERROR(INDEX(PP_Grid[#Data],$DD948,27),0)</f>
        <v/>
      </c>
      <c r="AD948">
        <f>IFERROR(INDEX(PP_Grid[#Data],$DD948,28),0)</f>
        <v/>
      </c>
      <c r="AE948">
        <f>IFERROR(INDEX(PP_Grid[#Data],$DD948,29),0)</f>
        <v/>
      </c>
      <c r="AF948">
        <f>IFERROR(INDEX(PP_Grid[#Data],$DD948,30),0)</f>
        <v/>
      </c>
      <c r="AG948">
        <f>IFERROR(INDEX(PP_Grid[#Data],$DD948,31),0)</f>
        <v/>
      </c>
      <c r="AH948">
        <f>IFERROR(INDEX(PP_Grid[#Data],$DD948,32),0)</f>
        <v/>
      </c>
      <c r="AI948">
        <f>IFERROR(INDEX(PP_Grid[#Data],$DD948,33),0)</f>
        <v/>
      </c>
      <c r="AJ948">
        <f>IFERROR(INDEX(PP_Grid[#Data],$DD948,34),0)</f>
        <v/>
      </c>
      <c r="AK948">
        <f>IFERROR(INDEX(PP_Grid[#Data],$DD948,35),0)</f>
        <v/>
      </c>
      <c r="AL948">
        <f>IFERROR(INDEX(PP_Grid[#Data],$DD948,36),0)</f>
        <v/>
      </c>
      <c r="AM948">
        <f>IFERROR(INDEX(PP_Grid[#Data],$DD948,37),0)</f>
        <v/>
      </c>
      <c r="AN948">
        <f>IFERROR(INDEX(PP_Grid[#Data],$DD948,38),0)</f>
        <v/>
      </c>
      <c r="AO948">
        <f>IFERROR(INDEX(PP_Grid[#Data],$DD948,39),0)</f>
        <v/>
      </c>
      <c r="AP948">
        <f>IFERROR(INDEX(PP_Grid[#Data],$DD948,40),0)</f>
        <v/>
      </c>
      <c r="AQ948">
        <f>IFERROR(INDEX(PP_Grid[#Data],$DD948,41),0)</f>
        <v/>
      </c>
      <c r="AR948">
        <f>IFERROR(INDEX(PP_Grid[#Data],$DD948,42),0)</f>
        <v/>
      </c>
      <c r="AS948">
        <f>IFERROR(INDEX(PP_Grid[#Data],$DD948,43),0)</f>
        <v/>
      </c>
      <c r="AT948">
        <f>IFERROR(INDEX(PP_Grid[#Data],$DD948,44),0)</f>
        <v/>
      </c>
      <c r="AU948">
        <f>IFERROR(INDEX(PP_Grid[#Data],$DD948,45),0)</f>
        <v/>
      </c>
      <c r="AV948">
        <f>IFERROR(INDEX(PP_Grid[#Data],$DD948,46),0)</f>
        <v/>
      </c>
      <c r="AW948">
        <f>IFERROR(INDEX(PP_Grid[#Data],$DD948,47),0)</f>
        <v/>
      </c>
      <c r="AX948">
        <f>IFERROR(INDEX(PP_Grid[#Data],$DD948,48),0)</f>
        <v/>
      </c>
      <c r="AY948">
        <f>IFERROR(INDEX(PP_Grid[#Data],$DD948,49),0)</f>
        <v/>
      </c>
      <c r="AZ948">
        <f>IFERROR(INDEX(PP_Grid[#Data],$DD948,50),0)</f>
        <v/>
      </c>
      <c r="BA948">
        <f>IFERROR(INDEX(PP_Grid[#Data],$DD948,51),0)</f>
        <v/>
      </c>
      <c r="BB948">
        <f>IFERROR(INDEX(PP_Grid[#Data],$DD948,52),0)</f>
        <v/>
      </c>
      <c r="BC948">
        <f>IFERROR(INDEX(PP_Grid[#Data],$DD948,53),0)</f>
        <v/>
      </c>
      <c r="BD948">
        <f>IFERROR(INDEX(PP_Grid[#Data],$DD948,54),0)</f>
        <v/>
      </c>
      <c r="BE948">
        <f>IFERROR(INDEX(PP_Grid[#Data],$DD948,55),0)</f>
        <v/>
      </c>
      <c r="BF948">
        <f>IFERROR(INDEX(PP_Grid[#Data],$DD948,56),0)</f>
        <v/>
      </c>
      <c r="BG948">
        <f>IFERROR(INDEX(PP_Grid[#Data],$DD948,57),0)</f>
        <v/>
      </c>
      <c r="BH948">
        <f>IFERROR(INDEX(PP_Grid[#Data],$DD948,58),0)</f>
        <v/>
      </c>
      <c r="BI948">
        <f>IFERROR(INDEX(PP_Grid[#Data],$DD948,59),0)</f>
        <v/>
      </c>
      <c r="BJ948">
        <f>IFERROR(INDEX(PP_Grid[#Data],$DD948,60),0)</f>
        <v/>
      </c>
      <c r="BK948">
        <f>IFERROR(INDEX(PP_Grid[#Data],$DD948,61),0)</f>
        <v/>
      </c>
      <c r="BL948">
        <f>IFERROR(INDEX(PP_Grid[#Data],$DD948,62),0)</f>
        <v/>
      </c>
      <c r="BM948">
        <f>IFERROR(INDEX(PP_Grid[#Data],$DD948,63),0)</f>
        <v/>
      </c>
      <c r="BN948">
        <f>IFERROR(INDEX(PP_Grid[#Data],$DD948,64),0)</f>
        <v/>
      </c>
      <c r="BO948">
        <f>IFERROR(INDEX(PP_Grid[#Data],$DD948,65),0)</f>
        <v/>
      </c>
      <c r="BP948">
        <f>IFERROR(INDEX(PP_Grid[#Data],$DD948,66),0)</f>
        <v/>
      </c>
      <c r="BQ948">
        <f>IFERROR(INDEX(PP_Grid[#Data],$DD948,67),0)</f>
        <v/>
      </c>
      <c r="BR948">
        <f>IFERROR(INDEX(PP_Grid[#Data],$DD948,68),0)</f>
        <v/>
      </c>
      <c r="BS948">
        <f>IFERROR(INDEX(PP_Grid[#Data],$DD948,69),0)</f>
        <v/>
      </c>
      <c r="BT948">
        <f>IFERROR(INDEX(PP_Grid[#Data],$DD948,70),0)</f>
        <v/>
      </c>
      <c r="BU948">
        <f>IFERROR(INDEX(PP_Grid[#Data],$DD948,71),0)</f>
        <v/>
      </c>
      <c r="BV948">
        <f>IFERROR(INDEX(PP_Grid[#Data],$DD948,72),0)</f>
        <v/>
      </c>
      <c r="BW948">
        <f>IFERROR(INDEX(PP_Grid[#Data],$DD948,73),0)</f>
        <v/>
      </c>
      <c r="BX948">
        <f>IFERROR(INDEX(PP_Grid[#Data],$DD948,74),0)</f>
        <v/>
      </c>
      <c r="BY948">
        <f>IFERROR(INDEX(PP_Grid[#Data],$DD948,75),0)</f>
        <v/>
      </c>
      <c r="BZ948">
        <f>IFERROR(INDEX(PP_Grid[#Data],$DD948,76),0)</f>
        <v/>
      </c>
      <c r="CA948">
        <f>IFERROR(INDEX(PP_Grid[#Data],$DD948,77),0)</f>
        <v/>
      </c>
      <c r="CB948">
        <f>IFERROR(INDEX(PP_Grid[#Data],$DD948,78),0)</f>
        <v/>
      </c>
      <c r="CC948">
        <f>IFERROR(INDEX(PP_Grid[#Data],$DD948,79),0)</f>
        <v/>
      </c>
      <c r="CD948">
        <f>IFERROR(INDEX(PP_Grid[#Data],$DD948,80),0)</f>
        <v/>
      </c>
      <c r="CE948">
        <f>IFERROR(INDEX(PP_Grid[#Data],$DD948,81),0)</f>
        <v/>
      </c>
      <c r="CF948">
        <f>IFERROR(INDEX(PP_Grid[#Data],$DD948,82),0)</f>
        <v/>
      </c>
      <c r="CG948">
        <f>IFERROR(INDEX(PP_Grid[#Data],$DD948,83),0)</f>
        <v/>
      </c>
      <c r="CH948">
        <f>IFERROR(INDEX(PP_Grid[#Data],$DD948,84),0)</f>
        <v/>
      </c>
      <c r="CI948">
        <f>IFERROR(INDEX(PP_Grid[#Data],$DD948,85),0)</f>
        <v/>
      </c>
      <c r="CJ948">
        <f>IFERROR(INDEX(PP_Grid[#Data],$DD948,86),0)</f>
        <v/>
      </c>
      <c r="CK948">
        <f>IFERROR(INDEX(PP_Grid[#Data],$DD948,87),0)</f>
        <v/>
      </c>
      <c r="CL948">
        <f>IFERROR(INDEX(PP_Grid[#Data],$DD948,88),0)</f>
        <v/>
      </c>
      <c r="CM948">
        <f>IFERROR(INDEX(PP_Grid[#Data],$DD948,89),0)</f>
        <v/>
      </c>
      <c r="CN948">
        <f>IFERROR(INDEX(PP_Grid[#Data],$DD948,90),0)</f>
        <v/>
      </c>
      <c r="CO948">
        <f>IFERROR(INDEX(PP_Grid[#Data],$DD948,91),0)</f>
        <v/>
      </c>
      <c r="CP948">
        <f>IFERROR(INDEX(PP_Grid[#Data],$DD948,92),0)</f>
        <v/>
      </c>
      <c r="CQ948">
        <f>IFERROR(INDEX(PP_Grid[#Data],$DD948,93),0)</f>
        <v/>
      </c>
      <c r="CR948">
        <f>IFERROR(INDEX(PP_Grid[#Data],$DD948,94),0)</f>
        <v/>
      </c>
      <c r="CS948">
        <f>IFERROR(INDEX(PP_Grid[#Data],$DD948,95),0)</f>
        <v/>
      </c>
      <c r="CT948">
        <f>IFERROR(INDEX(PP_Grid[#Data],$DD948,96),0)</f>
        <v/>
      </c>
      <c r="CU948">
        <f>IFERROR(INDEX(PP_Grid[#Data],$DD948,97),0)</f>
        <v/>
      </c>
      <c r="CV948">
        <f>IFERROR(INDEX(PP_Grid[#Data],$DD948,98),0)</f>
        <v/>
      </c>
      <c r="CW948">
        <f>IFERROR(INDEX(PP_Grid[#Data],$DD948,99),0)</f>
        <v/>
      </c>
      <c r="CX948">
        <f>IFERROR(INDEX(PP_Grid[#Data],$DD948,100),0)</f>
        <v/>
      </c>
      <c r="CY948">
        <f>IFERROR(INDEX(PP_Grid[#Data],$DD948,101),0)</f>
        <v/>
      </c>
      <c r="CZ948">
        <f>IFERROR(INDEX(PP_Grid[#Data],$DD948,102),0)</f>
        <v/>
      </c>
      <c r="DA948">
        <f>IFERROR(INDEX(PP_Grid[#Data],$DD948,103),0)</f>
        <v/>
      </c>
      <c r="DB948">
        <f>IFERROR(INDEX(PP_Grid[#Data],$DD948,104),0)</f>
        <v/>
      </c>
      <c r="DC948">
        <f>IFERROR(INDEX(PP_Grid[#Data],$DD948,105),0)</f>
        <v/>
      </c>
      <c r="DD948" s="12">
        <f>IFERROR(MATCH($B948,PP_Grid[Intermediate],0),99999)</f>
        <v/>
      </c>
    </row>
    <row r="949">
      <c r="B949" t="inlineStr">
        <is>
          <t>使用量(kg)</t>
        </is>
      </c>
      <c r="C949">
        <f>SUMIFS(M_BOM[RM_Qty_Per_Batch],M_BOM[Intermediate],$B948,M_BOM[Part Name],$A909)</f>
        <v/>
      </c>
      <c r="D949">
        <f>$C949*D948</f>
        <v/>
      </c>
      <c r="E949">
        <f>$C949*E948</f>
        <v/>
      </c>
      <c r="F949">
        <f>$C949*F948</f>
        <v/>
      </c>
      <c r="G949">
        <f>$C949*G948</f>
        <v/>
      </c>
      <c r="H949">
        <f>$C949*H948</f>
        <v/>
      </c>
      <c r="I949">
        <f>$C949*I948</f>
        <v/>
      </c>
      <c r="J949">
        <f>$C949*J948</f>
        <v/>
      </c>
      <c r="K949">
        <f>$C949*K948</f>
        <v/>
      </c>
      <c r="L949">
        <f>$C949*L948</f>
        <v/>
      </c>
      <c r="M949">
        <f>$C949*M948</f>
        <v/>
      </c>
      <c r="N949">
        <f>$C949*N948</f>
        <v/>
      </c>
      <c r="O949">
        <f>$C949*O948</f>
        <v/>
      </c>
      <c r="P949">
        <f>$C949*P948</f>
        <v/>
      </c>
      <c r="Q949">
        <f>$C949*Q948</f>
        <v/>
      </c>
      <c r="R949">
        <f>$C949*R948</f>
        <v/>
      </c>
      <c r="S949">
        <f>$C949*S948</f>
        <v/>
      </c>
      <c r="T949">
        <f>$C949*T948</f>
        <v/>
      </c>
      <c r="U949">
        <f>$C949*U948</f>
        <v/>
      </c>
      <c r="V949">
        <f>$C949*V948</f>
        <v/>
      </c>
      <c r="W949">
        <f>$C949*W948</f>
        <v/>
      </c>
      <c r="X949">
        <f>$C949*X948</f>
        <v/>
      </c>
      <c r="Y949">
        <f>$C949*Y948</f>
        <v/>
      </c>
      <c r="Z949">
        <f>$C949*Z948</f>
        <v/>
      </c>
      <c r="AA949">
        <f>$C949*AA948</f>
        <v/>
      </c>
      <c r="AB949">
        <f>$C949*AB948</f>
        <v/>
      </c>
      <c r="AC949">
        <f>$C949*AC948</f>
        <v/>
      </c>
      <c r="AD949">
        <f>$C949*AD948</f>
        <v/>
      </c>
      <c r="AE949">
        <f>$C949*AE948</f>
        <v/>
      </c>
      <c r="AF949">
        <f>$C949*AF948</f>
        <v/>
      </c>
      <c r="AG949">
        <f>$C949*AG948</f>
        <v/>
      </c>
      <c r="AH949">
        <f>$C949*AH948</f>
        <v/>
      </c>
      <c r="AI949">
        <f>$C949*AI948</f>
        <v/>
      </c>
      <c r="AJ949">
        <f>$C949*AJ948</f>
        <v/>
      </c>
      <c r="AK949">
        <f>$C949*AK948</f>
        <v/>
      </c>
      <c r="AL949">
        <f>$C949*AL948</f>
        <v/>
      </c>
      <c r="AM949">
        <f>$C949*AM948</f>
        <v/>
      </c>
      <c r="AN949">
        <f>$C949*AN948</f>
        <v/>
      </c>
      <c r="AO949">
        <f>$C949*AO948</f>
        <v/>
      </c>
      <c r="AP949">
        <f>$C949*AP948</f>
        <v/>
      </c>
      <c r="AQ949">
        <f>$C949*AQ948</f>
        <v/>
      </c>
      <c r="AR949">
        <f>$C949*AR948</f>
        <v/>
      </c>
      <c r="AS949">
        <f>$C949*AS948</f>
        <v/>
      </c>
      <c r="AT949">
        <f>$C949*AT948</f>
        <v/>
      </c>
      <c r="AU949">
        <f>$C949*AU948</f>
        <v/>
      </c>
      <c r="AV949">
        <f>$C949*AV948</f>
        <v/>
      </c>
      <c r="AW949">
        <f>$C949*AW948</f>
        <v/>
      </c>
      <c r="AX949">
        <f>$C949*AX948</f>
        <v/>
      </c>
      <c r="AY949">
        <f>$C949*AY948</f>
        <v/>
      </c>
      <c r="AZ949">
        <f>$C949*AZ948</f>
        <v/>
      </c>
      <c r="BA949">
        <f>$C949*BA948</f>
        <v/>
      </c>
      <c r="BB949">
        <f>$C949*BB948</f>
        <v/>
      </c>
      <c r="BC949">
        <f>$C949*BC948</f>
        <v/>
      </c>
      <c r="BD949">
        <f>$C949*BD948</f>
        <v/>
      </c>
      <c r="BE949">
        <f>$C949*BE948</f>
        <v/>
      </c>
      <c r="BF949">
        <f>$C949*BF948</f>
        <v/>
      </c>
      <c r="BG949">
        <f>$C949*BG948</f>
        <v/>
      </c>
      <c r="BH949">
        <f>$C949*BH948</f>
        <v/>
      </c>
      <c r="BI949">
        <f>$C949*BI948</f>
        <v/>
      </c>
      <c r="BJ949">
        <f>$C949*BJ948</f>
        <v/>
      </c>
      <c r="BK949">
        <f>$C949*BK948</f>
        <v/>
      </c>
      <c r="BL949">
        <f>$C949*BL948</f>
        <v/>
      </c>
      <c r="BM949">
        <f>$C949*BM948</f>
        <v/>
      </c>
      <c r="BN949">
        <f>$C949*BN948</f>
        <v/>
      </c>
      <c r="BO949">
        <f>$C949*BO948</f>
        <v/>
      </c>
      <c r="BP949">
        <f>$C949*BP948</f>
        <v/>
      </c>
      <c r="BQ949">
        <f>$C949*BQ948</f>
        <v/>
      </c>
      <c r="BR949">
        <f>$C949*BR948</f>
        <v/>
      </c>
      <c r="BS949">
        <f>$C949*BS948</f>
        <v/>
      </c>
      <c r="BT949">
        <f>$C949*BT948</f>
        <v/>
      </c>
      <c r="BU949">
        <f>$C949*BU948</f>
        <v/>
      </c>
      <c r="BV949">
        <f>$C949*BV948</f>
        <v/>
      </c>
      <c r="BW949">
        <f>$C949*BW948</f>
        <v/>
      </c>
      <c r="BX949">
        <f>$C949*BX948</f>
        <v/>
      </c>
      <c r="BY949">
        <f>$C949*BY948</f>
        <v/>
      </c>
      <c r="BZ949">
        <f>$C949*BZ948</f>
        <v/>
      </c>
      <c r="CA949">
        <f>$C949*CA948</f>
        <v/>
      </c>
      <c r="CB949">
        <f>$C949*CB948</f>
        <v/>
      </c>
      <c r="CC949">
        <f>$C949*CC948</f>
        <v/>
      </c>
      <c r="CD949">
        <f>$C949*CD948</f>
        <v/>
      </c>
      <c r="CE949">
        <f>$C949*CE948</f>
        <v/>
      </c>
      <c r="CF949">
        <f>$C949*CF948</f>
        <v/>
      </c>
      <c r="CG949">
        <f>$C949*CG948</f>
        <v/>
      </c>
      <c r="CH949">
        <f>$C949*CH948</f>
        <v/>
      </c>
      <c r="CI949">
        <f>$C949*CI948</f>
        <v/>
      </c>
      <c r="CJ949">
        <f>$C949*CJ948</f>
        <v/>
      </c>
      <c r="CK949">
        <f>$C949*CK948</f>
        <v/>
      </c>
      <c r="CL949">
        <f>$C949*CL948</f>
        <v/>
      </c>
      <c r="CM949">
        <f>$C949*CM948</f>
        <v/>
      </c>
      <c r="CN949">
        <f>$C949*CN948</f>
        <v/>
      </c>
      <c r="CO949">
        <f>$C949*CO948</f>
        <v/>
      </c>
      <c r="CP949">
        <f>$C949*CP948</f>
        <v/>
      </c>
      <c r="CQ949">
        <f>$C949*CQ948</f>
        <v/>
      </c>
      <c r="CR949">
        <f>$C949*CR948</f>
        <v/>
      </c>
      <c r="CS949">
        <f>$C949*CS948</f>
        <v/>
      </c>
      <c r="CT949">
        <f>$C949*CT948</f>
        <v/>
      </c>
      <c r="CU949">
        <f>$C949*CU948</f>
        <v/>
      </c>
      <c r="CV949">
        <f>$C949*CV948</f>
        <v/>
      </c>
      <c r="CW949">
        <f>$C949*CW948</f>
        <v/>
      </c>
      <c r="CX949">
        <f>$C949*CX948</f>
        <v/>
      </c>
      <c r="CY949">
        <f>$C949*CY948</f>
        <v/>
      </c>
      <c r="CZ949">
        <f>$C949*CZ948</f>
        <v/>
      </c>
      <c r="DA949">
        <f>$C949*DA948</f>
        <v/>
      </c>
      <c r="DB949">
        <f>$C949*DB948</f>
        <v/>
      </c>
      <c r="DC949">
        <f>$C949*DC948</f>
        <v/>
      </c>
    </row>
    <row r="950">
      <c r="B950" s="5" t="inlineStr">
        <is>
          <t>合計使用量(kg)/週</t>
        </is>
      </c>
      <c r="D950">
        <f>'Grid_Requirement'!B41</f>
        <v/>
      </c>
      <c r="E950">
        <f>'Grid_Requirement'!C41</f>
        <v/>
      </c>
      <c r="F950">
        <f>'Grid_Requirement'!D41</f>
        <v/>
      </c>
      <c r="G950">
        <f>'Grid_Requirement'!E41</f>
        <v/>
      </c>
      <c r="H950">
        <f>'Grid_Requirement'!F41</f>
        <v/>
      </c>
      <c r="I950">
        <f>'Grid_Requirement'!G41</f>
        <v/>
      </c>
      <c r="J950">
        <f>'Grid_Requirement'!H41</f>
        <v/>
      </c>
      <c r="K950">
        <f>'Grid_Requirement'!I41</f>
        <v/>
      </c>
      <c r="L950">
        <f>'Grid_Requirement'!J41</f>
        <v/>
      </c>
      <c r="M950">
        <f>'Grid_Requirement'!K41</f>
        <v/>
      </c>
      <c r="N950">
        <f>'Grid_Requirement'!L41</f>
        <v/>
      </c>
      <c r="O950">
        <f>'Grid_Requirement'!M41</f>
        <v/>
      </c>
      <c r="P950">
        <f>'Grid_Requirement'!N41</f>
        <v/>
      </c>
      <c r="Q950">
        <f>'Grid_Requirement'!O41</f>
        <v/>
      </c>
      <c r="R950">
        <f>'Grid_Requirement'!P41</f>
        <v/>
      </c>
      <c r="S950">
        <f>'Grid_Requirement'!Q41</f>
        <v/>
      </c>
      <c r="T950">
        <f>'Grid_Requirement'!R41</f>
        <v/>
      </c>
      <c r="U950">
        <f>'Grid_Requirement'!S41</f>
        <v/>
      </c>
      <c r="V950">
        <f>'Grid_Requirement'!T41</f>
        <v/>
      </c>
      <c r="W950">
        <f>'Grid_Requirement'!U41</f>
        <v/>
      </c>
      <c r="X950">
        <f>'Grid_Requirement'!V41</f>
        <v/>
      </c>
      <c r="Y950">
        <f>'Grid_Requirement'!W41</f>
        <v/>
      </c>
      <c r="Z950">
        <f>'Grid_Requirement'!X41</f>
        <v/>
      </c>
      <c r="AA950">
        <f>'Grid_Requirement'!Y41</f>
        <v/>
      </c>
      <c r="AB950">
        <f>'Grid_Requirement'!Z41</f>
        <v/>
      </c>
      <c r="AC950">
        <f>'Grid_Requirement'!AA41</f>
        <v/>
      </c>
      <c r="AD950">
        <f>'Grid_Requirement'!AB41</f>
        <v/>
      </c>
      <c r="AE950">
        <f>'Grid_Requirement'!AC41</f>
        <v/>
      </c>
      <c r="AF950">
        <f>'Grid_Requirement'!AD41</f>
        <v/>
      </c>
      <c r="AG950">
        <f>'Grid_Requirement'!AE41</f>
        <v/>
      </c>
      <c r="AH950">
        <f>'Grid_Requirement'!AF41</f>
        <v/>
      </c>
      <c r="AI950">
        <f>'Grid_Requirement'!AG41</f>
        <v/>
      </c>
      <c r="AJ950">
        <f>'Grid_Requirement'!AH41</f>
        <v/>
      </c>
      <c r="AK950">
        <f>'Grid_Requirement'!AI41</f>
        <v/>
      </c>
      <c r="AL950">
        <f>'Grid_Requirement'!AJ41</f>
        <v/>
      </c>
      <c r="AM950">
        <f>'Grid_Requirement'!AK41</f>
        <v/>
      </c>
      <c r="AN950">
        <f>'Grid_Requirement'!AL41</f>
        <v/>
      </c>
      <c r="AO950">
        <f>'Grid_Requirement'!AM41</f>
        <v/>
      </c>
      <c r="AP950">
        <f>'Grid_Requirement'!AN41</f>
        <v/>
      </c>
      <c r="AQ950">
        <f>'Grid_Requirement'!AO41</f>
        <v/>
      </c>
      <c r="AR950">
        <f>'Grid_Requirement'!AP41</f>
        <v/>
      </c>
      <c r="AS950">
        <f>'Grid_Requirement'!AQ41</f>
        <v/>
      </c>
      <c r="AT950">
        <f>'Grid_Requirement'!AR41</f>
        <v/>
      </c>
      <c r="AU950">
        <f>'Grid_Requirement'!AS41</f>
        <v/>
      </c>
      <c r="AV950">
        <f>'Grid_Requirement'!AT41</f>
        <v/>
      </c>
      <c r="AW950">
        <f>'Grid_Requirement'!AU41</f>
        <v/>
      </c>
      <c r="AX950">
        <f>'Grid_Requirement'!AV41</f>
        <v/>
      </c>
      <c r="AY950">
        <f>'Grid_Requirement'!AW41</f>
        <v/>
      </c>
      <c r="AZ950">
        <f>'Grid_Requirement'!AX41</f>
        <v/>
      </c>
      <c r="BA950">
        <f>'Grid_Requirement'!AY41</f>
        <v/>
      </c>
      <c r="BB950">
        <f>'Grid_Requirement'!AZ41</f>
        <v/>
      </c>
      <c r="BC950">
        <f>'Grid_Requirement'!BA41</f>
        <v/>
      </c>
      <c r="BD950">
        <f>'Grid_Requirement'!BB41</f>
        <v/>
      </c>
      <c r="BE950">
        <f>'Grid_Requirement'!BC41</f>
        <v/>
      </c>
      <c r="BF950">
        <f>'Grid_Requirement'!BD41</f>
        <v/>
      </c>
      <c r="BG950">
        <f>'Grid_Requirement'!BE41</f>
        <v/>
      </c>
      <c r="BH950">
        <f>'Grid_Requirement'!BF41</f>
        <v/>
      </c>
      <c r="BI950">
        <f>'Grid_Requirement'!BG41</f>
        <v/>
      </c>
      <c r="BJ950">
        <f>'Grid_Requirement'!BH41</f>
        <v/>
      </c>
      <c r="BK950">
        <f>'Grid_Requirement'!BI41</f>
        <v/>
      </c>
      <c r="BL950">
        <f>'Grid_Requirement'!BJ41</f>
        <v/>
      </c>
      <c r="BM950">
        <f>'Grid_Requirement'!BK41</f>
        <v/>
      </c>
      <c r="BN950">
        <f>'Grid_Requirement'!BL41</f>
        <v/>
      </c>
      <c r="BO950">
        <f>'Grid_Requirement'!BM41</f>
        <v/>
      </c>
      <c r="BP950">
        <f>'Grid_Requirement'!BN41</f>
        <v/>
      </c>
      <c r="BQ950">
        <f>'Grid_Requirement'!BO41</f>
        <v/>
      </c>
      <c r="BR950">
        <f>'Grid_Requirement'!BP41</f>
        <v/>
      </c>
      <c r="BS950">
        <f>'Grid_Requirement'!BQ41</f>
        <v/>
      </c>
      <c r="BT950">
        <f>'Grid_Requirement'!BR41</f>
        <v/>
      </c>
      <c r="BU950">
        <f>'Grid_Requirement'!BS41</f>
        <v/>
      </c>
      <c r="BV950">
        <f>'Grid_Requirement'!BT41</f>
        <v/>
      </c>
      <c r="BW950">
        <f>'Grid_Requirement'!BU41</f>
        <v/>
      </c>
      <c r="BX950">
        <f>'Grid_Requirement'!BV41</f>
        <v/>
      </c>
      <c r="BY950">
        <f>'Grid_Requirement'!BW41</f>
        <v/>
      </c>
      <c r="BZ950">
        <f>'Grid_Requirement'!BX41</f>
        <v/>
      </c>
      <c r="CA950">
        <f>'Grid_Requirement'!BY41</f>
        <v/>
      </c>
      <c r="CB950">
        <f>'Grid_Requirement'!BZ41</f>
        <v/>
      </c>
      <c r="CC950">
        <f>'Grid_Requirement'!CA41</f>
        <v/>
      </c>
      <c r="CD950">
        <f>'Grid_Requirement'!CB41</f>
        <v/>
      </c>
      <c r="CE950">
        <f>'Grid_Requirement'!CC41</f>
        <v/>
      </c>
      <c r="CF950">
        <f>'Grid_Requirement'!CD41</f>
        <v/>
      </c>
      <c r="CG950">
        <f>'Grid_Requirement'!CE41</f>
        <v/>
      </c>
      <c r="CH950">
        <f>'Grid_Requirement'!CF41</f>
        <v/>
      </c>
      <c r="CI950">
        <f>'Grid_Requirement'!CG41</f>
        <v/>
      </c>
      <c r="CJ950">
        <f>'Grid_Requirement'!CH41</f>
        <v/>
      </c>
      <c r="CK950">
        <f>'Grid_Requirement'!CI41</f>
        <v/>
      </c>
      <c r="CL950">
        <f>'Grid_Requirement'!CJ41</f>
        <v/>
      </c>
      <c r="CM950">
        <f>'Grid_Requirement'!CK41</f>
        <v/>
      </c>
      <c r="CN950">
        <f>'Grid_Requirement'!CL41</f>
        <v/>
      </c>
      <c r="CO950">
        <f>'Grid_Requirement'!CM41</f>
        <v/>
      </c>
      <c r="CP950">
        <f>'Grid_Requirement'!CN41</f>
        <v/>
      </c>
      <c r="CQ950">
        <f>'Grid_Requirement'!CO41</f>
        <v/>
      </c>
      <c r="CR950">
        <f>'Grid_Requirement'!CP41</f>
        <v/>
      </c>
      <c r="CS950">
        <f>'Grid_Requirement'!CQ41</f>
        <v/>
      </c>
      <c r="CT950">
        <f>'Grid_Requirement'!CR41</f>
        <v/>
      </c>
      <c r="CU950">
        <f>'Grid_Requirement'!CS41</f>
        <v/>
      </c>
      <c r="CV950">
        <f>'Grid_Requirement'!CT41</f>
        <v/>
      </c>
      <c r="CW950">
        <f>'Grid_Requirement'!CU41</f>
        <v/>
      </c>
      <c r="CX950">
        <f>'Grid_Requirement'!CV41</f>
        <v/>
      </c>
      <c r="CY950">
        <f>'Grid_Requirement'!CW41</f>
        <v/>
      </c>
      <c r="CZ950">
        <f>'Grid_Requirement'!CX41</f>
        <v/>
      </c>
      <c r="DA950">
        <f>'Grid_Requirement'!CY41</f>
        <v/>
      </c>
      <c r="DB950">
        <f>'Grid_Requirement'!CZ41</f>
        <v/>
      </c>
      <c r="DC950">
        <f>'Grid_Requirement'!DA41</f>
        <v/>
      </c>
    </row>
    <row r="951">
      <c r="B951" t="inlineStr">
        <is>
          <t>TTAF在庫(実績,kg)</t>
        </is>
      </c>
      <c r="D951">
        <f>'T_TTAFStock'!B45</f>
        <v/>
      </c>
      <c r="E951">
        <f>'T_TTAFStock'!C45</f>
        <v/>
      </c>
      <c r="F951">
        <f>'T_TTAFStock'!D45</f>
        <v/>
      </c>
      <c r="G951">
        <f>'T_TTAFStock'!E45</f>
        <v/>
      </c>
      <c r="H951">
        <f>'T_TTAFStock'!F45</f>
        <v/>
      </c>
      <c r="I951">
        <f>'T_TTAFStock'!G45</f>
        <v/>
      </c>
      <c r="J951">
        <f>'T_TTAFStock'!H45</f>
        <v/>
      </c>
      <c r="K951">
        <f>'T_TTAFStock'!I45</f>
        <v/>
      </c>
      <c r="L951">
        <f>'T_TTAFStock'!J45</f>
        <v/>
      </c>
      <c r="M951">
        <f>'T_TTAFStock'!K45</f>
        <v/>
      </c>
      <c r="N951">
        <f>'T_TTAFStock'!L45</f>
        <v/>
      </c>
      <c r="O951">
        <f>'T_TTAFStock'!M45</f>
        <v/>
      </c>
      <c r="P951">
        <f>'T_TTAFStock'!N45</f>
        <v/>
      </c>
      <c r="Q951">
        <f>'T_TTAFStock'!O45</f>
        <v/>
      </c>
      <c r="R951">
        <f>'T_TTAFStock'!P45</f>
        <v/>
      </c>
      <c r="S951">
        <f>'T_TTAFStock'!Q45</f>
        <v/>
      </c>
      <c r="T951">
        <f>'T_TTAFStock'!R45</f>
        <v/>
      </c>
      <c r="U951">
        <f>'T_TTAFStock'!S45</f>
        <v/>
      </c>
      <c r="V951">
        <f>'T_TTAFStock'!T45</f>
        <v/>
      </c>
      <c r="W951">
        <f>'T_TTAFStock'!U45</f>
        <v/>
      </c>
      <c r="X951">
        <f>'T_TTAFStock'!V45</f>
        <v/>
      </c>
      <c r="Y951">
        <f>'T_TTAFStock'!W45</f>
        <v/>
      </c>
      <c r="Z951">
        <f>'T_TTAFStock'!X45</f>
        <v/>
      </c>
      <c r="AA951">
        <f>'T_TTAFStock'!Y45</f>
        <v/>
      </c>
      <c r="AB951">
        <f>'T_TTAFStock'!Z45</f>
        <v/>
      </c>
      <c r="AC951">
        <f>'T_TTAFStock'!AA45</f>
        <v/>
      </c>
      <c r="AD951">
        <f>'T_TTAFStock'!AB45</f>
        <v/>
      </c>
      <c r="AE951">
        <f>'T_TTAFStock'!AC45</f>
        <v/>
      </c>
      <c r="AF951">
        <f>'T_TTAFStock'!AD45</f>
        <v/>
      </c>
      <c r="AG951">
        <f>'T_TTAFStock'!AE45</f>
        <v/>
      </c>
      <c r="AH951">
        <f>'T_TTAFStock'!AF45</f>
        <v/>
      </c>
      <c r="AI951">
        <f>'T_TTAFStock'!AG45</f>
        <v/>
      </c>
      <c r="AJ951">
        <f>'T_TTAFStock'!AH45</f>
        <v/>
      </c>
      <c r="AK951">
        <f>'T_TTAFStock'!AI45</f>
        <v/>
      </c>
      <c r="AL951">
        <f>'T_TTAFStock'!AJ45</f>
        <v/>
      </c>
      <c r="AM951">
        <f>'T_TTAFStock'!AK45</f>
        <v/>
      </c>
      <c r="AN951">
        <f>'T_TTAFStock'!AL45</f>
        <v/>
      </c>
      <c r="AO951">
        <f>'T_TTAFStock'!AM45</f>
        <v/>
      </c>
      <c r="AP951">
        <f>'T_TTAFStock'!AN45</f>
        <v/>
      </c>
      <c r="AQ951">
        <f>'T_TTAFStock'!AO45</f>
        <v/>
      </c>
      <c r="AR951">
        <f>'T_TTAFStock'!AP45</f>
        <v/>
      </c>
      <c r="AS951">
        <f>'T_TTAFStock'!AQ45</f>
        <v/>
      </c>
      <c r="AT951">
        <f>'T_TTAFStock'!AR45</f>
        <v/>
      </c>
      <c r="AU951">
        <f>'T_TTAFStock'!AS45</f>
        <v/>
      </c>
      <c r="AV951">
        <f>'T_TTAFStock'!AT45</f>
        <v/>
      </c>
      <c r="AW951">
        <f>'T_TTAFStock'!AU45</f>
        <v/>
      </c>
      <c r="AX951">
        <f>'T_TTAFStock'!AV45</f>
        <v/>
      </c>
      <c r="AY951">
        <f>'T_TTAFStock'!AW45</f>
        <v/>
      </c>
      <c r="AZ951">
        <f>'T_TTAFStock'!AX45</f>
        <v/>
      </c>
      <c r="BA951">
        <f>'T_TTAFStock'!AY45</f>
        <v/>
      </c>
      <c r="BB951">
        <f>'T_TTAFStock'!AZ45</f>
        <v/>
      </c>
      <c r="BC951">
        <f>'T_TTAFStock'!BA45</f>
        <v/>
      </c>
      <c r="BD951">
        <f>'T_TTAFStock'!BB45</f>
        <v/>
      </c>
      <c r="BE951">
        <f>'T_TTAFStock'!BC45</f>
        <v/>
      </c>
      <c r="BF951">
        <f>'T_TTAFStock'!BD45</f>
        <v/>
      </c>
      <c r="BG951">
        <f>'T_TTAFStock'!BE45</f>
        <v/>
      </c>
      <c r="BH951">
        <f>'T_TTAFStock'!BF45</f>
        <v/>
      </c>
      <c r="BI951">
        <f>'T_TTAFStock'!BG45</f>
        <v/>
      </c>
      <c r="BJ951">
        <f>'T_TTAFStock'!BH45</f>
        <v/>
      </c>
      <c r="BK951">
        <f>'T_TTAFStock'!BI45</f>
        <v/>
      </c>
      <c r="BL951">
        <f>'T_TTAFStock'!BJ45</f>
        <v/>
      </c>
      <c r="BM951">
        <f>'T_TTAFStock'!BK45</f>
        <v/>
      </c>
      <c r="BN951">
        <f>'T_TTAFStock'!BL45</f>
        <v/>
      </c>
      <c r="BO951">
        <f>'T_TTAFStock'!BM45</f>
        <v/>
      </c>
      <c r="BP951">
        <f>'T_TTAFStock'!BN45</f>
        <v/>
      </c>
      <c r="BQ951">
        <f>'T_TTAFStock'!BO45</f>
        <v/>
      </c>
      <c r="BR951">
        <f>'T_TTAFStock'!BP45</f>
        <v/>
      </c>
      <c r="BS951">
        <f>'T_TTAFStock'!BQ45</f>
        <v/>
      </c>
      <c r="BT951">
        <f>'T_TTAFStock'!BR45</f>
        <v/>
      </c>
      <c r="BU951">
        <f>'T_TTAFStock'!BS45</f>
        <v/>
      </c>
      <c r="BV951">
        <f>'T_TTAFStock'!BT45</f>
        <v/>
      </c>
      <c r="BW951">
        <f>'T_TTAFStock'!BU45</f>
        <v/>
      </c>
      <c r="BX951">
        <f>'T_TTAFStock'!BV45</f>
        <v/>
      </c>
      <c r="BY951">
        <f>'T_TTAFStock'!BW45</f>
        <v/>
      </c>
      <c r="BZ951">
        <f>'T_TTAFStock'!BX45</f>
        <v/>
      </c>
      <c r="CA951">
        <f>'T_TTAFStock'!BY45</f>
        <v/>
      </c>
      <c r="CB951">
        <f>'T_TTAFStock'!BZ45</f>
        <v/>
      </c>
      <c r="CC951">
        <f>'T_TTAFStock'!CA45</f>
        <v/>
      </c>
      <c r="CD951">
        <f>'T_TTAFStock'!CB45</f>
        <v/>
      </c>
      <c r="CE951">
        <f>'T_TTAFStock'!CC45</f>
        <v/>
      </c>
      <c r="CF951">
        <f>'T_TTAFStock'!CD45</f>
        <v/>
      </c>
      <c r="CG951">
        <f>'T_TTAFStock'!CE45</f>
        <v/>
      </c>
      <c r="CH951">
        <f>'T_TTAFStock'!CF45</f>
        <v/>
      </c>
      <c r="CI951">
        <f>'T_TTAFStock'!CG45</f>
        <v/>
      </c>
      <c r="CJ951">
        <f>'T_TTAFStock'!CH45</f>
        <v/>
      </c>
      <c r="CK951">
        <f>'T_TTAFStock'!CI45</f>
        <v/>
      </c>
      <c r="CL951">
        <f>'T_TTAFStock'!CJ45</f>
        <v/>
      </c>
      <c r="CM951">
        <f>'T_TTAFStock'!CK45</f>
        <v/>
      </c>
      <c r="CN951">
        <f>'T_TTAFStock'!CL45</f>
        <v/>
      </c>
      <c r="CO951">
        <f>'T_TTAFStock'!CM45</f>
        <v/>
      </c>
      <c r="CP951">
        <f>'T_TTAFStock'!CN45</f>
        <v/>
      </c>
      <c r="CQ951">
        <f>'T_TTAFStock'!CO45</f>
        <v/>
      </c>
      <c r="CR951">
        <f>'T_TTAFStock'!CP45</f>
        <v/>
      </c>
      <c r="CS951">
        <f>'T_TTAFStock'!CQ45</f>
        <v/>
      </c>
      <c r="CT951">
        <f>'T_TTAFStock'!CR45</f>
        <v/>
      </c>
      <c r="CU951">
        <f>'T_TTAFStock'!CS45</f>
        <v/>
      </c>
      <c r="CV951">
        <f>'T_TTAFStock'!CT45</f>
        <v/>
      </c>
      <c r="CW951">
        <f>'T_TTAFStock'!CU45</f>
        <v/>
      </c>
      <c r="CX951">
        <f>'T_TTAFStock'!CV45</f>
        <v/>
      </c>
      <c r="CY951">
        <f>'T_TTAFStock'!CW45</f>
        <v/>
      </c>
      <c r="CZ951">
        <f>'T_TTAFStock'!CX45</f>
        <v/>
      </c>
      <c r="DA951">
        <f>'T_TTAFStock'!CY45</f>
        <v/>
      </c>
      <c r="DB951">
        <f>'T_TTAFStock'!CZ45</f>
        <v/>
      </c>
      <c r="DC951">
        <f>'T_TTAFStock'!DA45</f>
        <v/>
      </c>
    </row>
    <row r="952">
      <c r="B952" t="inlineStr">
        <is>
          <t>自社在庫(実績,kg)</t>
        </is>
      </c>
      <c r="D952">
        <f>'T_SelfStock'!B45</f>
        <v/>
      </c>
      <c r="E952">
        <f>'T_SelfStock'!C45</f>
        <v/>
      </c>
      <c r="F952">
        <f>'T_SelfStock'!D45</f>
        <v/>
      </c>
      <c r="G952">
        <f>'T_SelfStock'!E45</f>
        <v/>
      </c>
      <c r="H952">
        <f>'T_SelfStock'!F45</f>
        <v/>
      </c>
      <c r="I952">
        <f>'T_SelfStock'!G45</f>
        <v/>
      </c>
      <c r="J952">
        <f>'T_SelfStock'!H45</f>
        <v/>
      </c>
      <c r="K952">
        <f>'T_SelfStock'!I45</f>
        <v/>
      </c>
      <c r="L952">
        <f>'T_SelfStock'!J45</f>
        <v/>
      </c>
      <c r="M952">
        <f>'T_SelfStock'!K45</f>
        <v/>
      </c>
      <c r="N952">
        <f>'T_SelfStock'!L45</f>
        <v/>
      </c>
      <c r="O952">
        <f>'T_SelfStock'!M45</f>
        <v/>
      </c>
      <c r="P952">
        <f>'T_SelfStock'!N45</f>
        <v/>
      </c>
      <c r="Q952">
        <f>'T_SelfStock'!O45</f>
        <v/>
      </c>
      <c r="R952">
        <f>'T_SelfStock'!P45</f>
        <v/>
      </c>
      <c r="S952">
        <f>'T_SelfStock'!Q45</f>
        <v/>
      </c>
      <c r="T952">
        <f>'T_SelfStock'!R45</f>
        <v/>
      </c>
      <c r="U952">
        <f>'T_SelfStock'!S45</f>
        <v/>
      </c>
      <c r="V952">
        <f>'T_SelfStock'!T45</f>
        <v/>
      </c>
      <c r="W952">
        <f>'T_SelfStock'!U45</f>
        <v/>
      </c>
      <c r="X952">
        <f>'T_SelfStock'!V45</f>
        <v/>
      </c>
      <c r="Y952">
        <f>'T_SelfStock'!W45</f>
        <v/>
      </c>
      <c r="Z952">
        <f>'T_SelfStock'!X45</f>
        <v/>
      </c>
      <c r="AA952">
        <f>'T_SelfStock'!Y45</f>
        <v/>
      </c>
      <c r="AB952">
        <f>'T_SelfStock'!Z45</f>
        <v/>
      </c>
      <c r="AC952">
        <f>'T_SelfStock'!AA45</f>
        <v/>
      </c>
      <c r="AD952">
        <f>'T_SelfStock'!AB45</f>
        <v/>
      </c>
      <c r="AE952">
        <f>'T_SelfStock'!AC45</f>
        <v/>
      </c>
      <c r="AF952">
        <f>'T_SelfStock'!AD45</f>
        <v/>
      </c>
      <c r="AG952">
        <f>'T_SelfStock'!AE45</f>
        <v/>
      </c>
      <c r="AH952">
        <f>'T_SelfStock'!AF45</f>
        <v/>
      </c>
      <c r="AI952">
        <f>'T_SelfStock'!AG45</f>
        <v/>
      </c>
      <c r="AJ952">
        <f>'T_SelfStock'!AH45</f>
        <v/>
      </c>
      <c r="AK952">
        <f>'T_SelfStock'!AI45</f>
        <v/>
      </c>
      <c r="AL952">
        <f>'T_SelfStock'!AJ45</f>
        <v/>
      </c>
      <c r="AM952">
        <f>'T_SelfStock'!AK45</f>
        <v/>
      </c>
      <c r="AN952">
        <f>'T_SelfStock'!AL45</f>
        <v/>
      </c>
      <c r="AO952">
        <f>'T_SelfStock'!AM45</f>
        <v/>
      </c>
      <c r="AP952">
        <f>'T_SelfStock'!AN45</f>
        <v/>
      </c>
      <c r="AQ952">
        <f>'T_SelfStock'!AO45</f>
        <v/>
      </c>
      <c r="AR952">
        <f>'T_SelfStock'!AP45</f>
        <v/>
      </c>
      <c r="AS952">
        <f>'T_SelfStock'!AQ45</f>
        <v/>
      </c>
      <c r="AT952">
        <f>'T_SelfStock'!AR45</f>
        <v/>
      </c>
      <c r="AU952">
        <f>'T_SelfStock'!AS45</f>
        <v/>
      </c>
      <c r="AV952">
        <f>'T_SelfStock'!AT45</f>
        <v/>
      </c>
      <c r="AW952">
        <f>'T_SelfStock'!AU45</f>
        <v/>
      </c>
      <c r="AX952">
        <f>'T_SelfStock'!AV45</f>
        <v/>
      </c>
      <c r="AY952">
        <f>'T_SelfStock'!AW45</f>
        <v/>
      </c>
      <c r="AZ952">
        <f>'T_SelfStock'!AX45</f>
        <v/>
      </c>
      <c r="BA952">
        <f>'T_SelfStock'!AY45</f>
        <v/>
      </c>
      <c r="BB952">
        <f>'T_SelfStock'!AZ45</f>
        <v/>
      </c>
      <c r="BC952">
        <f>'T_SelfStock'!BA45</f>
        <v/>
      </c>
      <c r="BD952">
        <f>'T_SelfStock'!BB45</f>
        <v/>
      </c>
      <c r="BE952">
        <f>'T_SelfStock'!BC45</f>
        <v/>
      </c>
      <c r="BF952">
        <f>'T_SelfStock'!BD45</f>
        <v/>
      </c>
      <c r="BG952">
        <f>'T_SelfStock'!BE45</f>
        <v/>
      </c>
      <c r="BH952">
        <f>'T_SelfStock'!BF45</f>
        <v/>
      </c>
      <c r="BI952">
        <f>'T_SelfStock'!BG45</f>
        <v/>
      </c>
      <c r="BJ952">
        <f>'T_SelfStock'!BH45</f>
        <v/>
      </c>
      <c r="BK952">
        <f>'T_SelfStock'!BI45</f>
        <v/>
      </c>
      <c r="BL952">
        <f>'T_SelfStock'!BJ45</f>
        <v/>
      </c>
      <c r="BM952">
        <f>'T_SelfStock'!BK45</f>
        <v/>
      </c>
      <c r="BN952">
        <f>'T_SelfStock'!BL45</f>
        <v/>
      </c>
      <c r="BO952">
        <f>'T_SelfStock'!BM45</f>
        <v/>
      </c>
      <c r="BP952">
        <f>'T_SelfStock'!BN45</f>
        <v/>
      </c>
      <c r="BQ952">
        <f>'T_SelfStock'!BO45</f>
        <v/>
      </c>
      <c r="BR952">
        <f>'T_SelfStock'!BP45</f>
        <v/>
      </c>
      <c r="BS952">
        <f>'T_SelfStock'!BQ45</f>
        <v/>
      </c>
      <c r="BT952">
        <f>'T_SelfStock'!BR45</f>
        <v/>
      </c>
      <c r="BU952">
        <f>'T_SelfStock'!BS45</f>
        <v/>
      </c>
      <c r="BV952">
        <f>'T_SelfStock'!BT45</f>
        <v/>
      </c>
      <c r="BW952">
        <f>'T_SelfStock'!BU45</f>
        <v/>
      </c>
      <c r="BX952">
        <f>'T_SelfStock'!BV45</f>
        <v/>
      </c>
      <c r="BY952">
        <f>'T_SelfStock'!BW45</f>
        <v/>
      </c>
      <c r="BZ952">
        <f>'T_SelfStock'!BX45</f>
        <v/>
      </c>
      <c r="CA952">
        <f>'T_SelfStock'!BY45</f>
        <v/>
      </c>
      <c r="CB952">
        <f>'T_SelfStock'!BZ45</f>
        <v/>
      </c>
      <c r="CC952">
        <f>'T_SelfStock'!CA45</f>
        <v/>
      </c>
      <c r="CD952">
        <f>'T_SelfStock'!CB45</f>
        <v/>
      </c>
      <c r="CE952">
        <f>'T_SelfStock'!CC45</f>
        <v/>
      </c>
      <c r="CF952">
        <f>'T_SelfStock'!CD45</f>
        <v/>
      </c>
      <c r="CG952">
        <f>'T_SelfStock'!CE45</f>
        <v/>
      </c>
      <c r="CH952">
        <f>'T_SelfStock'!CF45</f>
        <v/>
      </c>
      <c r="CI952">
        <f>'T_SelfStock'!CG45</f>
        <v/>
      </c>
      <c r="CJ952">
        <f>'T_SelfStock'!CH45</f>
        <v/>
      </c>
      <c r="CK952">
        <f>'T_SelfStock'!CI45</f>
        <v/>
      </c>
      <c r="CL952">
        <f>'T_SelfStock'!CJ45</f>
        <v/>
      </c>
      <c r="CM952">
        <f>'T_SelfStock'!CK45</f>
        <v/>
      </c>
      <c r="CN952">
        <f>'T_SelfStock'!CL45</f>
        <v/>
      </c>
      <c r="CO952">
        <f>'T_SelfStock'!CM45</f>
        <v/>
      </c>
      <c r="CP952">
        <f>'T_SelfStock'!CN45</f>
        <v/>
      </c>
      <c r="CQ952">
        <f>'T_SelfStock'!CO45</f>
        <v/>
      </c>
      <c r="CR952">
        <f>'T_SelfStock'!CP45</f>
        <v/>
      </c>
      <c r="CS952">
        <f>'T_SelfStock'!CQ45</f>
        <v/>
      </c>
      <c r="CT952">
        <f>'T_SelfStock'!CR45</f>
        <v/>
      </c>
      <c r="CU952">
        <f>'T_SelfStock'!CS45</f>
        <v/>
      </c>
      <c r="CV952">
        <f>'T_SelfStock'!CT45</f>
        <v/>
      </c>
      <c r="CW952">
        <f>'T_SelfStock'!CU45</f>
        <v/>
      </c>
      <c r="CX952">
        <f>'T_SelfStock'!CV45</f>
        <v/>
      </c>
      <c r="CY952">
        <f>'T_SelfStock'!CW45</f>
        <v/>
      </c>
      <c r="CZ952">
        <f>'T_SelfStock'!CX45</f>
        <v/>
      </c>
      <c r="DA952">
        <f>'T_SelfStock'!CY45</f>
        <v/>
      </c>
      <c r="DB952">
        <f>'T_SelfStock'!CZ45</f>
        <v/>
      </c>
      <c r="DC952">
        <f>'T_SelfStock'!DA45</f>
        <v/>
      </c>
    </row>
    <row r="953">
      <c r="B953" t="inlineStr">
        <is>
          <t>Order(発注予定,kg)</t>
        </is>
      </c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  <c r="AA953" s="23" t="n"/>
      <c r="AB953" s="23" t="n"/>
      <c r="AC953" s="23" t="n"/>
      <c r="AD953" s="23" t="n"/>
      <c r="AE953" s="23" t="n"/>
      <c r="AF953" s="23" t="n"/>
      <c r="AG953" s="23" t="n"/>
      <c r="AH953" s="23" t="n"/>
      <c r="AI953" s="23" t="n"/>
      <c r="AJ953" s="23" t="n"/>
      <c r="AK953" s="23" t="n"/>
      <c r="AL953" s="23" t="n"/>
      <c r="AM953" s="23" t="n"/>
      <c r="AN953" s="23" t="n"/>
      <c r="AO953" s="23" t="n"/>
      <c r="AP953" s="23" t="n"/>
      <c r="AQ953" s="23" t="n"/>
      <c r="AR953" s="23" t="n"/>
      <c r="AS953" s="23" t="n"/>
      <c r="AT953" s="23" t="n"/>
      <c r="AU953" s="23" t="n"/>
      <c r="AV953" s="23" t="n"/>
      <c r="AW953" s="23" t="n"/>
      <c r="AX953" s="23" t="n"/>
      <c r="AY953" s="23" t="n"/>
      <c r="AZ953" s="23" t="n"/>
      <c r="BA953" s="23" t="n"/>
      <c r="BB953" s="23" t="n"/>
      <c r="BC953" s="23" t="n"/>
      <c r="BD953" s="23" t="n"/>
      <c r="BE953" s="23" t="n"/>
      <c r="BF953" s="23" t="n"/>
      <c r="BG953" s="23" t="n"/>
      <c r="BH953" s="23" t="n"/>
      <c r="BI953" s="23" t="n"/>
      <c r="BJ953" s="23" t="n"/>
      <c r="BK953" s="23" t="n"/>
      <c r="BL953" s="23" t="n"/>
      <c r="BM953" s="23" t="n"/>
      <c r="BN953" s="23" t="n"/>
      <c r="BO953" s="23" t="n"/>
      <c r="BP953" s="23" t="n"/>
      <c r="BQ953" s="23" t="n"/>
      <c r="BR953" s="23" t="n"/>
      <c r="BS953" s="23" t="n"/>
      <c r="BT953" s="23" t="n"/>
      <c r="BU953" s="23" t="n"/>
      <c r="BV953" s="23" t="n"/>
      <c r="BW953" s="23" t="n"/>
      <c r="BX953" s="23" t="n"/>
      <c r="BY953" s="23" t="n"/>
      <c r="BZ953" s="23" t="n"/>
      <c r="CA953" s="23" t="n"/>
      <c r="CB953" s="23" t="n"/>
      <c r="CC953" s="23" t="n"/>
      <c r="CD953" s="23" t="n"/>
      <c r="CE953" s="23" t="n"/>
      <c r="CF953" s="23" t="n"/>
      <c r="CG953" s="23" t="n"/>
      <c r="CH953" s="23" t="n"/>
      <c r="CI953" s="23" t="n"/>
      <c r="CJ953" s="23" t="n"/>
      <c r="CK953" s="23" t="n"/>
      <c r="CL953" s="23" t="n"/>
      <c r="CM953" s="23" t="n"/>
      <c r="CN953" s="23" t="n"/>
      <c r="CO953" s="23" t="n"/>
      <c r="CP953" s="23" t="n"/>
      <c r="CQ953" s="23" t="n"/>
      <c r="CR953" s="23" t="n"/>
      <c r="CS953" s="23" t="n"/>
      <c r="CT953" s="23" t="n"/>
      <c r="CU953" s="23" t="n"/>
      <c r="CV953" s="23" t="n"/>
      <c r="CW953" s="23" t="n"/>
      <c r="CX953" s="23" t="n"/>
      <c r="CY953" s="23" t="n"/>
      <c r="CZ953" s="23" t="n"/>
      <c r="DA953" s="23" t="n"/>
      <c r="DB953" s="23" t="n"/>
      <c r="DC953" s="23" t="n"/>
      <c r="DE953" s="12" t="inlineStr">
        <is>
          <t>CHEM-1680</t>
        </is>
      </c>
    </row>
    <row r="954">
      <c r="B954" s="24" t="inlineStr">
        <is>
          <t>PO_No</t>
        </is>
      </c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  <c r="AD954" s="25" t="n"/>
      <c r="AE954" s="25" t="n"/>
      <c r="AF954" s="25" t="n"/>
      <c r="AG954" s="25" t="n"/>
      <c r="AH954" s="25" t="n"/>
      <c r="AI954" s="25" t="n"/>
      <c r="AJ954" s="25" t="n"/>
      <c r="AK954" s="25" t="n"/>
      <c r="AL954" s="25" t="n"/>
      <c r="AM954" s="25" t="n"/>
      <c r="AN954" s="25" t="n"/>
      <c r="AO954" s="25" t="n"/>
      <c r="AP954" s="25" t="n"/>
      <c r="AQ954" s="25" t="n"/>
      <c r="AR954" s="25" t="n"/>
      <c r="AS954" s="25" t="n"/>
      <c r="AT954" s="25" t="n"/>
      <c r="AU954" s="25" t="n"/>
      <c r="AV954" s="25" t="n"/>
      <c r="AW954" s="25" t="n"/>
      <c r="AX954" s="25" t="n"/>
      <c r="AY954" s="25" t="n"/>
      <c r="AZ954" s="25" t="n"/>
      <c r="BA954" s="25" t="n"/>
      <c r="BB954" s="25" t="n"/>
      <c r="BC954" s="25" t="n"/>
      <c r="BD954" s="25" t="n"/>
      <c r="BE954" s="25" t="n"/>
      <c r="BF954" s="25" t="n"/>
      <c r="BG954" s="25" t="n"/>
      <c r="BH954" s="25" t="n"/>
      <c r="BI954" s="25" t="n"/>
      <c r="BJ954" s="25" t="n"/>
      <c r="BK954" s="25" t="n"/>
      <c r="BL954" s="25" t="n"/>
      <c r="BM954" s="25" t="n"/>
      <c r="BN954" s="25" t="n"/>
      <c r="BO954" s="25" t="n"/>
      <c r="BP954" s="25" t="n"/>
      <c r="BQ954" s="25" t="n"/>
      <c r="BR954" s="25" t="n"/>
      <c r="BS954" s="25" t="n"/>
      <c r="BT954" s="25" t="n"/>
      <c r="BU954" s="25" t="n"/>
      <c r="BV954" s="25" t="n"/>
      <c r="BW954" s="25" t="n"/>
      <c r="BX954" s="25" t="n"/>
      <c r="BY954" s="25" t="n"/>
      <c r="BZ954" s="25" t="n"/>
      <c r="CA954" s="25" t="n"/>
      <c r="CB954" s="25" t="n"/>
      <c r="CC954" s="25" t="n"/>
      <c r="CD954" s="25" t="n"/>
      <c r="CE954" s="25" t="n"/>
      <c r="CF954" s="25" t="n"/>
      <c r="CG954" s="25" t="n"/>
      <c r="CH954" s="25" t="n"/>
      <c r="CI954" s="25" t="n"/>
      <c r="CJ954" s="25" t="n"/>
      <c r="CK954" s="25" t="n"/>
      <c r="CL954" s="25" t="n"/>
      <c r="CM954" s="25" t="n"/>
      <c r="CN954" s="25" t="n"/>
      <c r="CO954" s="25" t="n"/>
      <c r="CP954" s="25" t="n"/>
      <c r="CQ954" s="25" t="n"/>
      <c r="CR954" s="25" t="n"/>
      <c r="CS954" s="25" t="n"/>
      <c r="CT954" s="25" t="n"/>
      <c r="CU954" s="25" t="n"/>
      <c r="CV954" s="25" t="n"/>
      <c r="CW954" s="25" t="n"/>
      <c r="CX954" s="25" t="n"/>
      <c r="CY954" s="25" t="n"/>
      <c r="CZ954" s="25" t="n"/>
      <c r="DA954" s="25" t="n"/>
      <c r="DB954" s="25" t="n"/>
      <c r="DC954" s="25" t="n"/>
    </row>
    <row r="955">
      <c r="B955" s="5" t="inlineStr">
        <is>
          <t>合計在庫(週末時点,kg)</t>
        </is>
      </c>
      <c r="D955">
        <f>'Grid_Stock'!B41</f>
        <v/>
      </c>
      <c r="E955">
        <f>'Grid_Stock'!C41</f>
        <v/>
      </c>
      <c r="F955">
        <f>'Grid_Stock'!D41</f>
        <v/>
      </c>
      <c r="G955">
        <f>'Grid_Stock'!E41</f>
        <v/>
      </c>
      <c r="H955">
        <f>'Grid_Stock'!F41</f>
        <v/>
      </c>
      <c r="I955">
        <f>'Grid_Stock'!G41</f>
        <v/>
      </c>
      <c r="J955">
        <f>'Grid_Stock'!H41</f>
        <v/>
      </c>
      <c r="K955">
        <f>'Grid_Stock'!I41</f>
        <v/>
      </c>
      <c r="L955">
        <f>'Grid_Stock'!J41</f>
        <v/>
      </c>
      <c r="M955">
        <f>'Grid_Stock'!K41</f>
        <v/>
      </c>
      <c r="N955">
        <f>'Grid_Stock'!L41</f>
        <v/>
      </c>
      <c r="O955">
        <f>'Grid_Stock'!M41</f>
        <v/>
      </c>
      <c r="P955">
        <f>'Grid_Stock'!N41</f>
        <v/>
      </c>
      <c r="Q955">
        <f>'Grid_Stock'!O41</f>
        <v/>
      </c>
      <c r="R955">
        <f>'Grid_Stock'!P41</f>
        <v/>
      </c>
      <c r="S955">
        <f>'Grid_Stock'!Q41</f>
        <v/>
      </c>
      <c r="T955">
        <f>'Grid_Stock'!R41</f>
        <v/>
      </c>
      <c r="U955">
        <f>'Grid_Stock'!S41</f>
        <v/>
      </c>
      <c r="V955">
        <f>'Grid_Stock'!T41</f>
        <v/>
      </c>
      <c r="W955">
        <f>'Grid_Stock'!U41</f>
        <v/>
      </c>
      <c r="X955">
        <f>'Grid_Stock'!V41</f>
        <v/>
      </c>
      <c r="Y955">
        <f>'Grid_Stock'!W41</f>
        <v/>
      </c>
      <c r="Z955">
        <f>'Grid_Stock'!X41</f>
        <v/>
      </c>
      <c r="AA955">
        <f>'Grid_Stock'!Y41</f>
        <v/>
      </c>
      <c r="AB955">
        <f>'Grid_Stock'!Z41</f>
        <v/>
      </c>
      <c r="AC955">
        <f>'Grid_Stock'!AA41</f>
        <v/>
      </c>
      <c r="AD955">
        <f>'Grid_Stock'!AB41</f>
        <v/>
      </c>
      <c r="AE955">
        <f>'Grid_Stock'!AC41</f>
        <v/>
      </c>
      <c r="AF955">
        <f>'Grid_Stock'!AD41</f>
        <v/>
      </c>
      <c r="AG955">
        <f>'Grid_Stock'!AE41</f>
        <v/>
      </c>
      <c r="AH955">
        <f>'Grid_Stock'!AF41</f>
        <v/>
      </c>
      <c r="AI955">
        <f>'Grid_Stock'!AG41</f>
        <v/>
      </c>
      <c r="AJ955">
        <f>'Grid_Stock'!AH41</f>
        <v/>
      </c>
      <c r="AK955">
        <f>'Grid_Stock'!AI41</f>
        <v/>
      </c>
      <c r="AL955">
        <f>'Grid_Stock'!AJ41</f>
        <v/>
      </c>
      <c r="AM955">
        <f>'Grid_Stock'!AK41</f>
        <v/>
      </c>
      <c r="AN955">
        <f>'Grid_Stock'!AL41</f>
        <v/>
      </c>
      <c r="AO955">
        <f>'Grid_Stock'!AM41</f>
        <v/>
      </c>
      <c r="AP955">
        <f>'Grid_Stock'!AN41</f>
        <v/>
      </c>
      <c r="AQ955">
        <f>'Grid_Stock'!AO41</f>
        <v/>
      </c>
      <c r="AR955">
        <f>'Grid_Stock'!AP41</f>
        <v/>
      </c>
      <c r="AS955">
        <f>'Grid_Stock'!AQ41</f>
        <v/>
      </c>
      <c r="AT955">
        <f>'Grid_Stock'!AR41</f>
        <v/>
      </c>
      <c r="AU955">
        <f>'Grid_Stock'!AS41</f>
        <v/>
      </c>
      <c r="AV955">
        <f>'Grid_Stock'!AT41</f>
        <v/>
      </c>
      <c r="AW955">
        <f>'Grid_Stock'!AU41</f>
        <v/>
      </c>
      <c r="AX955">
        <f>'Grid_Stock'!AV41</f>
        <v/>
      </c>
      <c r="AY955">
        <f>'Grid_Stock'!AW41</f>
        <v/>
      </c>
      <c r="AZ955">
        <f>'Grid_Stock'!AX41</f>
        <v/>
      </c>
      <c r="BA955">
        <f>'Grid_Stock'!AY41</f>
        <v/>
      </c>
      <c r="BB955">
        <f>'Grid_Stock'!AZ41</f>
        <v/>
      </c>
      <c r="BC955">
        <f>'Grid_Stock'!BA41</f>
        <v/>
      </c>
      <c r="BD955">
        <f>'Grid_Stock'!BB41</f>
        <v/>
      </c>
      <c r="BE955">
        <f>'Grid_Stock'!BC41</f>
        <v/>
      </c>
      <c r="BF955">
        <f>'Grid_Stock'!BD41</f>
        <v/>
      </c>
      <c r="BG955">
        <f>'Grid_Stock'!BE41</f>
        <v/>
      </c>
      <c r="BH955">
        <f>'Grid_Stock'!BF41</f>
        <v/>
      </c>
      <c r="BI955">
        <f>'Grid_Stock'!BG41</f>
        <v/>
      </c>
      <c r="BJ955">
        <f>'Grid_Stock'!BH41</f>
        <v/>
      </c>
      <c r="BK955">
        <f>'Grid_Stock'!BI41</f>
        <v/>
      </c>
      <c r="BL955">
        <f>'Grid_Stock'!BJ41</f>
        <v/>
      </c>
      <c r="BM955">
        <f>'Grid_Stock'!BK41</f>
        <v/>
      </c>
      <c r="BN955">
        <f>'Grid_Stock'!BL41</f>
        <v/>
      </c>
      <c r="BO955">
        <f>'Grid_Stock'!BM41</f>
        <v/>
      </c>
      <c r="BP955">
        <f>'Grid_Stock'!BN41</f>
        <v/>
      </c>
      <c r="BQ955">
        <f>'Grid_Stock'!BO41</f>
        <v/>
      </c>
      <c r="BR955">
        <f>'Grid_Stock'!BP41</f>
        <v/>
      </c>
      <c r="BS955">
        <f>'Grid_Stock'!BQ41</f>
        <v/>
      </c>
      <c r="BT955">
        <f>'Grid_Stock'!BR41</f>
        <v/>
      </c>
      <c r="BU955">
        <f>'Grid_Stock'!BS41</f>
        <v/>
      </c>
      <c r="BV955">
        <f>'Grid_Stock'!BT41</f>
        <v/>
      </c>
      <c r="BW955">
        <f>'Grid_Stock'!BU41</f>
        <v/>
      </c>
      <c r="BX955">
        <f>'Grid_Stock'!BV41</f>
        <v/>
      </c>
      <c r="BY955">
        <f>'Grid_Stock'!BW41</f>
        <v/>
      </c>
      <c r="BZ955">
        <f>'Grid_Stock'!BX41</f>
        <v/>
      </c>
      <c r="CA955">
        <f>'Grid_Stock'!BY41</f>
        <v/>
      </c>
      <c r="CB955">
        <f>'Grid_Stock'!BZ41</f>
        <v/>
      </c>
      <c r="CC955">
        <f>'Grid_Stock'!CA41</f>
        <v/>
      </c>
      <c r="CD955">
        <f>'Grid_Stock'!CB41</f>
        <v/>
      </c>
      <c r="CE955">
        <f>'Grid_Stock'!CC41</f>
        <v/>
      </c>
      <c r="CF955">
        <f>'Grid_Stock'!CD41</f>
        <v/>
      </c>
      <c r="CG955">
        <f>'Grid_Stock'!CE41</f>
        <v/>
      </c>
      <c r="CH955">
        <f>'Grid_Stock'!CF41</f>
        <v/>
      </c>
      <c r="CI955">
        <f>'Grid_Stock'!CG41</f>
        <v/>
      </c>
      <c r="CJ955">
        <f>'Grid_Stock'!CH41</f>
        <v/>
      </c>
      <c r="CK955">
        <f>'Grid_Stock'!CI41</f>
        <v/>
      </c>
      <c r="CL955">
        <f>'Grid_Stock'!CJ41</f>
        <v/>
      </c>
      <c r="CM955">
        <f>'Grid_Stock'!CK41</f>
        <v/>
      </c>
      <c r="CN955">
        <f>'Grid_Stock'!CL41</f>
        <v/>
      </c>
      <c r="CO955">
        <f>'Grid_Stock'!CM41</f>
        <v/>
      </c>
      <c r="CP955">
        <f>'Grid_Stock'!CN41</f>
        <v/>
      </c>
      <c r="CQ955">
        <f>'Grid_Stock'!CO41</f>
        <v/>
      </c>
      <c r="CR955">
        <f>'Grid_Stock'!CP41</f>
        <v/>
      </c>
      <c r="CS955">
        <f>'Grid_Stock'!CQ41</f>
        <v/>
      </c>
      <c r="CT955">
        <f>'Grid_Stock'!CR41</f>
        <v/>
      </c>
      <c r="CU955">
        <f>'Grid_Stock'!CS41</f>
        <v/>
      </c>
      <c r="CV955">
        <f>'Grid_Stock'!CT41</f>
        <v/>
      </c>
      <c r="CW955">
        <f>'Grid_Stock'!CU41</f>
        <v/>
      </c>
      <c r="CX955">
        <f>'Grid_Stock'!CV41</f>
        <v/>
      </c>
      <c r="CY955">
        <f>'Grid_Stock'!CW41</f>
        <v/>
      </c>
      <c r="CZ955">
        <f>'Grid_Stock'!CX41</f>
        <v/>
      </c>
      <c r="DA955">
        <f>'Grid_Stock'!CY41</f>
        <v/>
      </c>
      <c r="DB955">
        <f>'Grid_Stock'!CZ41</f>
        <v/>
      </c>
      <c r="DC955">
        <f>'Grid_Stock'!DA41</f>
        <v/>
      </c>
    </row>
    <row r="956">
      <c r="B956" s="26" t="inlineStr">
        <is>
          <t>（発注の目安はDashboardの基準在庫[下限/上限]と色分けを参照）</t>
        </is>
      </c>
    </row>
    <row r="958">
      <c r="A958" s="21" t="inlineStr">
        <is>
          <t>CHEM-1730</t>
        </is>
      </c>
      <c r="B958" s="21" t="inlineStr">
        <is>
          <t>NAT 41</t>
        </is>
      </c>
      <c r="C958" s="22" t="n"/>
      <c r="D958" s="21" t="n"/>
      <c r="E958" s="21" t="n"/>
      <c r="F958" s="21" t="n"/>
      <c r="G958" s="21" t="n"/>
      <c r="H958" s="21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  <c r="AA958" s="21" t="n"/>
      <c r="AB958" s="21" t="n"/>
      <c r="AC958" s="21" t="n"/>
      <c r="AD958" s="21" t="n"/>
      <c r="AE958" s="21" t="n"/>
      <c r="AF958" s="21" t="n"/>
      <c r="AG958" s="21" t="n"/>
      <c r="AH958" s="21" t="n"/>
      <c r="AI958" s="21" t="n"/>
      <c r="AJ958" s="21" t="n"/>
      <c r="AK958" s="21" t="n"/>
      <c r="AL958" s="21" t="n"/>
      <c r="AM958" s="21" t="n"/>
      <c r="AN958" s="21" t="n"/>
      <c r="AO958" s="21" t="n"/>
      <c r="AP958" s="21" t="n"/>
      <c r="AQ958" s="21" t="n"/>
      <c r="AR958" s="21" t="n"/>
      <c r="AS958" s="21" t="n"/>
      <c r="AT958" s="21" t="n"/>
      <c r="AU958" s="21" t="n"/>
      <c r="AV958" s="21" t="n"/>
      <c r="AW958" s="21" t="n"/>
      <c r="AX958" s="21" t="n"/>
      <c r="AY958" s="21" t="n"/>
      <c r="AZ958" s="21" t="n"/>
      <c r="BA958" s="21" t="n"/>
      <c r="BB958" s="21" t="n"/>
      <c r="BC958" s="21" t="n"/>
      <c r="BD958" s="21" t="n"/>
      <c r="BE958" s="21" t="n"/>
      <c r="BF958" s="21" t="n"/>
      <c r="BG958" s="21" t="n"/>
      <c r="BH958" s="21" t="n"/>
      <c r="BI958" s="21" t="n"/>
      <c r="BJ958" s="21" t="n"/>
      <c r="BK958" s="21" t="n"/>
      <c r="BL958" s="21" t="n"/>
      <c r="BM958" s="21" t="n"/>
      <c r="BN958" s="21" t="n"/>
      <c r="BO958" s="21" t="n"/>
      <c r="BP958" s="21" t="n"/>
      <c r="BQ958" s="21" t="n"/>
      <c r="BR958" s="21" t="n"/>
      <c r="BS958" s="21" t="n"/>
      <c r="BT958" s="21" t="n"/>
      <c r="BU958" s="21" t="n"/>
      <c r="BV958" s="21" t="n"/>
      <c r="BW958" s="21" t="n"/>
      <c r="BX958" s="21" t="n"/>
      <c r="BY958" s="21" t="n"/>
      <c r="BZ958" s="21" t="n"/>
      <c r="CA958" s="21" t="n"/>
      <c r="CB958" s="21" t="n"/>
      <c r="CC958" s="21" t="n"/>
      <c r="CD958" s="21" t="n"/>
      <c r="CE958" s="21" t="n"/>
      <c r="CF958" s="21" t="n"/>
      <c r="CG958" s="21" t="n"/>
      <c r="CH958" s="21" t="n"/>
      <c r="CI958" s="21" t="n"/>
      <c r="CJ958" s="21" t="n"/>
      <c r="CK958" s="21" t="n"/>
      <c r="CL958" s="21" t="n"/>
      <c r="CM958" s="21" t="n"/>
      <c r="CN958" s="21" t="n"/>
      <c r="CO958" s="21" t="n"/>
      <c r="CP958" s="21" t="n"/>
      <c r="CQ958" s="21" t="n"/>
      <c r="CR958" s="21" t="n"/>
      <c r="CS958" s="21" t="n"/>
      <c r="CT958" s="21" t="n"/>
      <c r="CU958" s="21" t="n"/>
      <c r="CV958" s="21" t="n"/>
      <c r="CW958" s="21" t="n"/>
      <c r="CX958" s="21" t="n"/>
      <c r="CY958" s="21" t="n"/>
      <c r="CZ958" s="21" t="n"/>
      <c r="DA958" s="21" t="n"/>
      <c r="DB958" s="21" t="n"/>
      <c r="DC958" s="21" t="n"/>
    </row>
    <row r="959">
      <c r="B959" t="inlineStr">
        <is>
          <t>TPP-911</t>
        </is>
      </c>
      <c r="C959" t="inlineStr">
        <is>
          <t>No. of batches</t>
        </is>
      </c>
      <c r="D959">
        <f>IFERROR(INDEX(PP_Grid[#Data],$DD959,2),0)</f>
        <v/>
      </c>
      <c r="E959">
        <f>IFERROR(INDEX(PP_Grid[#Data],$DD959,3),0)</f>
        <v/>
      </c>
      <c r="F959">
        <f>IFERROR(INDEX(PP_Grid[#Data],$DD959,4),0)</f>
        <v/>
      </c>
      <c r="G959">
        <f>IFERROR(INDEX(PP_Grid[#Data],$DD959,5),0)</f>
        <v/>
      </c>
      <c r="H959">
        <f>IFERROR(INDEX(PP_Grid[#Data],$DD959,6),0)</f>
        <v/>
      </c>
      <c r="I959">
        <f>IFERROR(INDEX(PP_Grid[#Data],$DD959,7),0)</f>
        <v/>
      </c>
      <c r="J959">
        <f>IFERROR(INDEX(PP_Grid[#Data],$DD959,8),0)</f>
        <v/>
      </c>
      <c r="K959">
        <f>IFERROR(INDEX(PP_Grid[#Data],$DD959,9),0)</f>
        <v/>
      </c>
      <c r="L959">
        <f>IFERROR(INDEX(PP_Grid[#Data],$DD959,10),0)</f>
        <v/>
      </c>
      <c r="M959">
        <f>IFERROR(INDEX(PP_Grid[#Data],$DD959,11),0)</f>
        <v/>
      </c>
      <c r="N959">
        <f>IFERROR(INDEX(PP_Grid[#Data],$DD959,12),0)</f>
        <v/>
      </c>
      <c r="O959">
        <f>IFERROR(INDEX(PP_Grid[#Data],$DD959,13),0)</f>
        <v/>
      </c>
      <c r="P959">
        <f>IFERROR(INDEX(PP_Grid[#Data],$DD959,14),0)</f>
        <v/>
      </c>
      <c r="Q959">
        <f>IFERROR(INDEX(PP_Grid[#Data],$DD959,15),0)</f>
        <v/>
      </c>
      <c r="R959">
        <f>IFERROR(INDEX(PP_Grid[#Data],$DD959,16),0)</f>
        <v/>
      </c>
      <c r="S959">
        <f>IFERROR(INDEX(PP_Grid[#Data],$DD959,17),0)</f>
        <v/>
      </c>
      <c r="T959">
        <f>IFERROR(INDEX(PP_Grid[#Data],$DD959,18),0)</f>
        <v/>
      </c>
      <c r="U959">
        <f>IFERROR(INDEX(PP_Grid[#Data],$DD959,19),0)</f>
        <v/>
      </c>
      <c r="V959">
        <f>IFERROR(INDEX(PP_Grid[#Data],$DD959,20),0)</f>
        <v/>
      </c>
      <c r="W959">
        <f>IFERROR(INDEX(PP_Grid[#Data],$DD959,21),0)</f>
        <v/>
      </c>
      <c r="X959">
        <f>IFERROR(INDEX(PP_Grid[#Data],$DD959,22),0)</f>
        <v/>
      </c>
      <c r="Y959">
        <f>IFERROR(INDEX(PP_Grid[#Data],$DD959,23),0)</f>
        <v/>
      </c>
      <c r="Z959">
        <f>IFERROR(INDEX(PP_Grid[#Data],$DD959,24),0)</f>
        <v/>
      </c>
      <c r="AA959">
        <f>IFERROR(INDEX(PP_Grid[#Data],$DD959,25),0)</f>
        <v/>
      </c>
      <c r="AB959">
        <f>IFERROR(INDEX(PP_Grid[#Data],$DD959,26),0)</f>
        <v/>
      </c>
      <c r="AC959">
        <f>IFERROR(INDEX(PP_Grid[#Data],$DD959,27),0)</f>
        <v/>
      </c>
      <c r="AD959">
        <f>IFERROR(INDEX(PP_Grid[#Data],$DD959,28),0)</f>
        <v/>
      </c>
      <c r="AE959">
        <f>IFERROR(INDEX(PP_Grid[#Data],$DD959,29),0)</f>
        <v/>
      </c>
      <c r="AF959">
        <f>IFERROR(INDEX(PP_Grid[#Data],$DD959,30),0)</f>
        <v/>
      </c>
      <c r="AG959">
        <f>IFERROR(INDEX(PP_Grid[#Data],$DD959,31),0)</f>
        <v/>
      </c>
      <c r="AH959">
        <f>IFERROR(INDEX(PP_Grid[#Data],$DD959,32),0)</f>
        <v/>
      </c>
      <c r="AI959">
        <f>IFERROR(INDEX(PP_Grid[#Data],$DD959,33),0)</f>
        <v/>
      </c>
      <c r="AJ959">
        <f>IFERROR(INDEX(PP_Grid[#Data],$DD959,34),0)</f>
        <v/>
      </c>
      <c r="AK959">
        <f>IFERROR(INDEX(PP_Grid[#Data],$DD959,35),0)</f>
        <v/>
      </c>
      <c r="AL959">
        <f>IFERROR(INDEX(PP_Grid[#Data],$DD959,36),0)</f>
        <v/>
      </c>
      <c r="AM959">
        <f>IFERROR(INDEX(PP_Grid[#Data],$DD959,37),0)</f>
        <v/>
      </c>
      <c r="AN959">
        <f>IFERROR(INDEX(PP_Grid[#Data],$DD959,38),0)</f>
        <v/>
      </c>
      <c r="AO959">
        <f>IFERROR(INDEX(PP_Grid[#Data],$DD959,39),0)</f>
        <v/>
      </c>
      <c r="AP959">
        <f>IFERROR(INDEX(PP_Grid[#Data],$DD959,40),0)</f>
        <v/>
      </c>
      <c r="AQ959">
        <f>IFERROR(INDEX(PP_Grid[#Data],$DD959,41),0)</f>
        <v/>
      </c>
      <c r="AR959">
        <f>IFERROR(INDEX(PP_Grid[#Data],$DD959,42),0)</f>
        <v/>
      </c>
      <c r="AS959">
        <f>IFERROR(INDEX(PP_Grid[#Data],$DD959,43),0)</f>
        <v/>
      </c>
      <c r="AT959">
        <f>IFERROR(INDEX(PP_Grid[#Data],$DD959,44),0)</f>
        <v/>
      </c>
      <c r="AU959">
        <f>IFERROR(INDEX(PP_Grid[#Data],$DD959,45),0)</f>
        <v/>
      </c>
      <c r="AV959">
        <f>IFERROR(INDEX(PP_Grid[#Data],$DD959,46),0)</f>
        <v/>
      </c>
      <c r="AW959">
        <f>IFERROR(INDEX(PP_Grid[#Data],$DD959,47),0)</f>
        <v/>
      </c>
      <c r="AX959">
        <f>IFERROR(INDEX(PP_Grid[#Data],$DD959,48),0)</f>
        <v/>
      </c>
      <c r="AY959">
        <f>IFERROR(INDEX(PP_Grid[#Data],$DD959,49),0)</f>
        <v/>
      </c>
      <c r="AZ959">
        <f>IFERROR(INDEX(PP_Grid[#Data],$DD959,50),0)</f>
        <v/>
      </c>
      <c r="BA959">
        <f>IFERROR(INDEX(PP_Grid[#Data],$DD959,51),0)</f>
        <v/>
      </c>
      <c r="BB959">
        <f>IFERROR(INDEX(PP_Grid[#Data],$DD959,52),0)</f>
        <v/>
      </c>
      <c r="BC959">
        <f>IFERROR(INDEX(PP_Grid[#Data],$DD959,53),0)</f>
        <v/>
      </c>
      <c r="BD959">
        <f>IFERROR(INDEX(PP_Grid[#Data],$DD959,54),0)</f>
        <v/>
      </c>
      <c r="BE959">
        <f>IFERROR(INDEX(PP_Grid[#Data],$DD959,55),0)</f>
        <v/>
      </c>
      <c r="BF959">
        <f>IFERROR(INDEX(PP_Grid[#Data],$DD959,56),0)</f>
        <v/>
      </c>
      <c r="BG959">
        <f>IFERROR(INDEX(PP_Grid[#Data],$DD959,57),0)</f>
        <v/>
      </c>
      <c r="BH959">
        <f>IFERROR(INDEX(PP_Grid[#Data],$DD959,58),0)</f>
        <v/>
      </c>
      <c r="BI959">
        <f>IFERROR(INDEX(PP_Grid[#Data],$DD959,59),0)</f>
        <v/>
      </c>
      <c r="BJ959">
        <f>IFERROR(INDEX(PP_Grid[#Data],$DD959,60),0)</f>
        <v/>
      </c>
      <c r="BK959">
        <f>IFERROR(INDEX(PP_Grid[#Data],$DD959,61),0)</f>
        <v/>
      </c>
      <c r="BL959">
        <f>IFERROR(INDEX(PP_Grid[#Data],$DD959,62),0)</f>
        <v/>
      </c>
      <c r="BM959">
        <f>IFERROR(INDEX(PP_Grid[#Data],$DD959,63),0)</f>
        <v/>
      </c>
      <c r="BN959">
        <f>IFERROR(INDEX(PP_Grid[#Data],$DD959,64),0)</f>
        <v/>
      </c>
      <c r="BO959">
        <f>IFERROR(INDEX(PP_Grid[#Data],$DD959,65),0)</f>
        <v/>
      </c>
      <c r="BP959">
        <f>IFERROR(INDEX(PP_Grid[#Data],$DD959,66),0)</f>
        <v/>
      </c>
      <c r="BQ959">
        <f>IFERROR(INDEX(PP_Grid[#Data],$DD959,67),0)</f>
        <v/>
      </c>
      <c r="BR959">
        <f>IFERROR(INDEX(PP_Grid[#Data],$DD959,68),0)</f>
        <v/>
      </c>
      <c r="BS959">
        <f>IFERROR(INDEX(PP_Grid[#Data],$DD959,69),0)</f>
        <v/>
      </c>
      <c r="BT959">
        <f>IFERROR(INDEX(PP_Grid[#Data],$DD959,70),0)</f>
        <v/>
      </c>
      <c r="BU959">
        <f>IFERROR(INDEX(PP_Grid[#Data],$DD959,71),0)</f>
        <v/>
      </c>
      <c r="BV959">
        <f>IFERROR(INDEX(PP_Grid[#Data],$DD959,72),0)</f>
        <v/>
      </c>
      <c r="BW959">
        <f>IFERROR(INDEX(PP_Grid[#Data],$DD959,73),0)</f>
        <v/>
      </c>
      <c r="BX959">
        <f>IFERROR(INDEX(PP_Grid[#Data],$DD959,74),0)</f>
        <v/>
      </c>
      <c r="BY959">
        <f>IFERROR(INDEX(PP_Grid[#Data],$DD959,75),0)</f>
        <v/>
      </c>
      <c r="BZ959">
        <f>IFERROR(INDEX(PP_Grid[#Data],$DD959,76),0)</f>
        <v/>
      </c>
      <c r="CA959">
        <f>IFERROR(INDEX(PP_Grid[#Data],$DD959,77),0)</f>
        <v/>
      </c>
      <c r="CB959">
        <f>IFERROR(INDEX(PP_Grid[#Data],$DD959,78),0)</f>
        <v/>
      </c>
      <c r="CC959">
        <f>IFERROR(INDEX(PP_Grid[#Data],$DD959,79),0)</f>
        <v/>
      </c>
      <c r="CD959">
        <f>IFERROR(INDEX(PP_Grid[#Data],$DD959,80),0)</f>
        <v/>
      </c>
      <c r="CE959">
        <f>IFERROR(INDEX(PP_Grid[#Data],$DD959,81),0)</f>
        <v/>
      </c>
      <c r="CF959">
        <f>IFERROR(INDEX(PP_Grid[#Data],$DD959,82),0)</f>
        <v/>
      </c>
      <c r="CG959">
        <f>IFERROR(INDEX(PP_Grid[#Data],$DD959,83),0)</f>
        <v/>
      </c>
      <c r="CH959">
        <f>IFERROR(INDEX(PP_Grid[#Data],$DD959,84),0)</f>
        <v/>
      </c>
      <c r="CI959">
        <f>IFERROR(INDEX(PP_Grid[#Data],$DD959,85),0)</f>
        <v/>
      </c>
      <c r="CJ959">
        <f>IFERROR(INDEX(PP_Grid[#Data],$DD959,86),0)</f>
        <v/>
      </c>
      <c r="CK959">
        <f>IFERROR(INDEX(PP_Grid[#Data],$DD959,87),0)</f>
        <v/>
      </c>
      <c r="CL959">
        <f>IFERROR(INDEX(PP_Grid[#Data],$DD959,88),0)</f>
        <v/>
      </c>
      <c r="CM959">
        <f>IFERROR(INDEX(PP_Grid[#Data],$DD959,89),0)</f>
        <v/>
      </c>
      <c r="CN959">
        <f>IFERROR(INDEX(PP_Grid[#Data],$DD959,90),0)</f>
        <v/>
      </c>
      <c r="CO959">
        <f>IFERROR(INDEX(PP_Grid[#Data],$DD959,91),0)</f>
        <v/>
      </c>
      <c r="CP959">
        <f>IFERROR(INDEX(PP_Grid[#Data],$DD959,92),0)</f>
        <v/>
      </c>
      <c r="CQ959">
        <f>IFERROR(INDEX(PP_Grid[#Data],$DD959,93),0)</f>
        <v/>
      </c>
      <c r="CR959">
        <f>IFERROR(INDEX(PP_Grid[#Data],$DD959,94),0)</f>
        <v/>
      </c>
      <c r="CS959">
        <f>IFERROR(INDEX(PP_Grid[#Data],$DD959,95),0)</f>
        <v/>
      </c>
      <c r="CT959">
        <f>IFERROR(INDEX(PP_Grid[#Data],$DD959,96),0)</f>
        <v/>
      </c>
      <c r="CU959">
        <f>IFERROR(INDEX(PP_Grid[#Data],$DD959,97),0)</f>
        <v/>
      </c>
      <c r="CV959">
        <f>IFERROR(INDEX(PP_Grid[#Data],$DD959,98),0)</f>
        <v/>
      </c>
      <c r="CW959">
        <f>IFERROR(INDEX(PP_Grid[#Data],$DD959,99),0)</f>
        <v/>
      </c>
      <c r="CX959">
        <f>IFERROR(INDEX(PP_Grid[#Data],$DD959,100),0)</f>
        <v/>
      </c>
      <c r="CY959">
        <f>IFERROR(INDEX(PP_Grid[#Data],$DD959,101),0)</f>
        <v/>
      </c>
      <c r="CZ959">
        <f>IFERROR(INDEX(PP_Grid[#Data],$DD959,102),0)</f>
        <v/>
      </c>
      <c r="DA959">
        <f>IFERROR(INDEX(PP_Grid[#Data],$DD959,103),0)</f>
        <v/>
      </c>
      <c r="DB959">
        <f>IFERROR(INDEX(PP_Grid[#Data],$DD959,104),0)</f>
        <v/>
      </c>
      <c r="DC959">
        <f>IFERROR(INDEX(PP_Grid[#Data],$DD959,105),0)</f>
        <v/>
      </c>
      <c r="DD959" s="12">
        <f>IFERROR(MATCH($B959,PP_Grid[Intermediate],0),99999)</f>
        <v/>
      </c>
    </row>
    <row r="960">
      <c r="B960" t="inlineStr">
        <is>
          <t>使用量(kg)</t>
        </is>
      </c>
      <c r="C960">
        <f>SUMIFS(M_BOM[RM_Qty_Per_Batch],M_BOM[Intermediate],$B959,M_BOM[Part Name],$A958)</f>
        <v/>
      </c>
      <c r="D960">
        <f>$C960*D959</f>
        <v/>
      </c>
      <c r="E960">
        <f>$C960*E959</f>
        <v/>
      </c>
      <c r="F960">
        <f>$C960*F959</f>
        <v/>
      </c>
      <c r="G960">
        <f>$C960*G959</f>
        <v/>
      </c>
      <c r="H960">
        <f>$C960*H959</f>
        <v/>
      </c>
      <c r="I960">
        <f>$C960*I959</f>
        <v/>
      </c>
      <c r="J960">
        <f>$C960*J959</f>
        <v/>
      </c>
      <c r="K960">
        <f>$C960*K959</f>
        <v/>
      </c>
      <c r="L960">
        <f>$C960*L959</f>
        <v/>
      </c>
      <c r="M960">
        <f>$C960*M959</f>
        <v/>
      </c>
      <c r="N960">
        <f>$C960*N959</f>
        <v/>
      </c>
      <c r="O960">
        <f>$C960*O959</f>
        <v/>
      </c>
      <c r="P960">
        <f>$C960*P959</f>
        <v/>
      </c>
      <c r="Q960">
        <f>$C960*Q959</f>
        <v/>
      </c>
      <c r="R960">
        <f>$C960*R959</f>
        <v/>
      </c>
      <c r="S960">
        <f>$C960*S959</f>
        <v/>
      </c>
      <c r="T960">
        <f>$C960*T959</f>
        <v/>
      </c>
      <c r="U960">
        <f>$C960*U959</f>
        <v/>
      </c>
      <c r="V960">
        <f>$C960*V959</f>
        <v/>
      </c>
      <c r="W960">
        <f>$C960*W959</f>
        <v/>
      </c>
      <c r="X960">
        <f>$C960*X959</f>
        <v/>
      </c>
      <c r="Y960">
        <f>$C960*Y959</f>
        <v/>
      </c>
      <c r="Z960">
        <f>$C960*Z959</f>
        <v/>
      </c>
      <c r="AA960">
        <f>$C960*AA959</f>
        <v/>
      </c>
      <c r="AB960">
        <f>$C960*AB959</f>
        <v/>
      </c>
      <c r="AC960">
        <f>$C960*AC959</f>
        <v/>
      </c>
      <c r="AD960">
        <f>$C960*AD959</f>
        <v/>
      </c>
      <c r="AE960">
        <f>$C960*AE959</f>
        <v/>
      </c>
      <c r="AF960">
        <f>$C960*AF959</f>
        <v/>
      </c>
      <c r="AG960">
        <f>$C960*AG959</f>
        <v/>
      </c>
      <c r="AH960">
        <f>$C960*AH959</f>
        <v/>
      </c>
      <c r="AI960">
        <f>$C960*AI959</f>
        <v/>
      </c>
      <c r="AJ960">
        <f>$C960*AJ959</f>
        <v/>
      </c>
      <c r="AK960">
        <f>$C960*AK959</f>
        <v/>
      </c>
      <c r="AL960">
        <f>$C960*AL959</f>
        <v/>
      </c>
      <c r="AM960">
        <f>$C960*AM959</f>
        <v/>
      </c>
      <c r="AN960">
        <f>$C960*AN959</f>
        <v/>
      </c>
      <c r="AO960">
        <f>$C960*AO959</f>
        <v/>
      </c>
      <c r="AP960">
        <f>$C960*AP959</f>
        <v/>
      </c>
      <c r="AQ960">
        <f>$C960*AQ959</f>
        <v/>
      </c>
      <c r="AR960">
        <f>$C960*AR959</f>
        <v/>
      </c>
      <c r="AS960">
        <f>$C960*AS959</f>
        <v/>
      </c>
      <c r="AT960">
        <f>$C960*AT959</f>
        <v/>
      </c>
      <c r="AU960">
        <f>$C960*AU959</f>
        <v/>
      </c>
      <c r="AV960">
        <f>$C960*AV959</f>
        <v/>
      </c>
      <c r="AW960">
        <f>$C960*AW959</f>
        <v/>
      </c>
      <c r="AX960">
        <f>$C960*AX959</f>
        <v/>
      </c>
      <c r="AY960">
        <f>$C960*AY959</f>
        <v/>
      </c>
      <c r="AZ960">
        <f>$C960*AZ959</f>
        <v/>
      </c>
      <c r="BA960">
        <f>$C960*BA959</f>
        <v/>
      </c>
      <c r="BB960">
        <f>$C960*BB959</f>
        <v/>
      </c>
      <c r="BC960">
        <f>$C960*BC959</f>
        <v/>
      </c>
      <c r="BD960">
        <f>$C960*BD959</f>
        <v/>
      </c>
      <c r="BE960">
        <f>$C960*BE959</f>
        <v/>
      </c>
      <c r="BF960">
        <f>$C960*BF959</f>
        <v/>
      </c>
      <c r="BG960">
        <f>$C960*BG959</f>
        <v/>
      </c>
      <c r="BH960">
        <f>$C960*BH959</f>
        <v/>
      </c>
      <c r="BI960">
        <f>$C960*BI959</f>
        <v/>
      </c>
      <c r="BJ960">
        <f>$C960*BJ959</f>
        <v/>
      </c>
      <c r="BK960">
        <f>$C960*BK959</f>
        <v/>
      </c>
      <c r="BL960">
        <f>$C960*BL959</f>
        <v/>
      </c>
      <c r="BM960">
        <f>$C960*BM959</f>
        <v/>
      </c>
      <c r="BN960">
        <f>$C960*BN959</f>
        <v/>
      </c>
      <c r="BO960">
        <f>$C960*BO959</f>
        <v/>
      </c>
      <c r="BP960">
        <f>$C960*BP959</f>
        <v/>
      </c>
      <c r="BQ960">
        <f>$C960*BQ959</f>
        <v/>
      </c>
      <c r="BR960">
        <f>$C960*BR959</f>
        <v/>
      </c>
      <c r="BS960">
        <f>$C960*BS959</f>
        <v/>
      </c>
      <c r="BT960">
        <f>$C960*BT959</f>
        <v/>
      </c>
      <c r="BU960">
        <f>$C960*BU959</f>
        <v/>
      </c>
      <c r="BV960">
        <f>$C960*BV959</f>
        <v/>
      </c>
      <c r="BW960">
        <f>$C960*BW959</f>
        <v/>
      </c>
      <c r="BX960">
        <f>$C960*BX959</f>
        <v/>
      </c>
      <c r="BY960">
        <f>$C960*BY959</f>
        <v/>
      </c>
      <c r="BZ960">
        <f>$C960*BZ959</f>
        <v/>
      </c>
      <c r="CA960">
        <f>$C960*CA959</f>
        <v/>
      </c>
      <c r="CB960">
        <f>$C960*CB959</f>
        <v/>
      </c>
      <c r="CC960">
        <f>$C960*CC959</f>
        <v/>
      </c>
      <c r="CD960">
        <f>$C960*CD959</f>
        <v/>
      </c>
      <c r="CE960">
        <f>$C960*CE959</f>
        <v/>
      </c>
      <c r="CF960">
        <f>$C960*CF959</f>
        <v/>
      </c>
      <c r="CG960">
        <f>$C960*CG959</f>
        <v/>
      </c>
      <c r="CH960">
        <f>$C960*CH959</f>
        <v/>
      </c>
      <c r="CI960">
        <f>$C960*CI959</f>
        <v/>
      </c>
      <c r="CJ960">
        <f>$C960*CJ959</f>
        <v/>
      </c>
      <c r="CK960">
        <f>$C960*CK959</f>
        <v/>
      </c>
      <c r="CL960">
        <f>$C960*CL959</f>
        <v/>
      </c>
      <c r="CM960">
        <f>$C960*CM959</f>
        <v/>
      </c>
      <c r="CN960">
        <f>$C960*CN959</f>
        <v/>
      </c>
      <c r="CO960">
        <f>$C960*CO959</f>
        <v/>
      </c>
      <c r="CP960">
        <f>$C960*CP959</f>
        <v/>
      </c>
      <c r="CQ960">
        <f>$C960*CQ959</f>
        <v/>
      </c>
      <c r="CR960">
        <f>$C960*CR959</f>
        <v/>
      </c>
      <c r="CS960">
        <f>$C960*CS959</f>
        <v/>
      </c>
      <c r="CT960">
        <f>$C960*CT959</f>
        <v/>
      </c>
      <c r="CU960">
        <f>$C960*CU959</f>
        <v/>
      </c>
      <c r="CV960">
        <f>$C960*CV959</f>
        <v/>
      </c>
      <c r="CW960">
        <f>$C960*CW959</f>
        <v/>
      </c>
      <c r="CX960">
        <f>$C960*CX959</f>
        <v/>
      </c>
      <c r="CY960">
        <f>$C960*CY959</f>
        <v/>
      </c>
      <c r="CZ960">
        <f>$C960*CZ959</f>
        <v/>
      </c>
      <c r="DA960">
        <f>$C960*DA959</f>
        <v/>
      </c>
      <c r="DB960">
        <f>$C960*DB959</f>
        <v/>
      </c>
      <c r="DC960">
        <f>$C960*DC959</f>
        <v/>
      </c>
    </row>
    <row r="961">
      <c r="B961" t="inlineStr">
        <is>
          <t>TPP-912</t>
        </is>
      </c>
      <c r="C961" t="inlineStr">
        <is>
          <t>No. of batches</t>
        </is>
      </c>
      <c r="D961">
        <f>IFERROR(INDEX(PP_Grid[#Data],$DD961,2),0)</f>
        <v/>
      </c>
      <c r="E961">
        <f>IFERROR(INDEX(PP_Grid[#Data],$DD961,3),0)</f>
        <v/>
      </c>
      <c r="F961">
        <f>IFERROR(INDEX(PP_Grid[#Data],$DD961,4),0)</f>
        <v/>
      </c>
      <c r="G961">
        <f>IFERROR(INDEX(PP_Grid[#Data],$DD961,5),0)</f>
        <v/>
      </c>
      <c r="H961">
        <f>IFERROR(INDEX(PP_Grid[#Data],$DD961,6),0)</f>
        <v/>
      </c>
      <c r="I961">
        <f>IFERROR(INDEX(PP_Grid[#Data],$DD961,7),0)</f>
        <v/>
      </c>
      <c r="J961">
        <f>IFERROR(INDEX(PP_Grid[#Data],$DD961,8),0)</f>
        <v/>
      </c>
      <c r="K961">
        <f>IFERROR(INDEX(PP_Grid[#Data],$DD961,9),0)</f>
        <v/>
      </c>
      <c r="L961">
        <f>IFERROR(INDEX(PP_Grid[#Data],$DD961,10),0)</f>
        <v/>
      </c>
      <c r="M961">
        <f>IFERROR(INDEX(PP_Grid[#Data],$DD961,11),0)</f>
        <v/>
      </c>
      <c r="N961">
        <f>IFERROR(INDEX(PP_Grid[#Data],$DD961,12),0)</f>
        <v/>
      </c>
      <c r="O961">
        <f>IFERROR(INDEX(PP_Grid[#Data],$DD961,13),0)</f>
        <v/>
      </c>
      <c r="P961">
        <f>IFERROR(INDEX(PP_Grid[#Data],$DD961,14),0)</f>
        <v/>
      </c>
      <c r="Q961">
        <f>IFERROR(INDEX(PP_Grid[#Data],$DD961,15),0)</f>
        <v/>
      </c>
      <c r="R961">
        <f>IFERROR(INDEX(PP_Grid[#Data],$DD961,16),0)</f>
        <v/>
      </c>
      <c r="S961">
        <f>IFERROR(INDEX(PP_Grid[#Data],$DD961,17),0)</f>
        <v/>
      </c>
      <c r="T961">
        <f>IFERROR(INDEX(PP_Grid[#Data],$DD961,18),0)</f>
        <v/>
      </c>
      <c r="U961">
        <f>IFERROR(INDEX(PP_Grid[#Data],$DD961,19),0)</f>
        <v/>
      </c>
      <c r="V961">
        <f>IFERROR(INDEX(PP_Grid[#Data],$DD961,20),0)</f>
        <v/>
      </c>
      <c r="W961">
        <f>IFERROR(INDEX(PP_Grid[#Data],$DD961,21),0)</f>
        <v/>
      </c>
      <c r="X961">
        <f>IFERROR(INDEX(PP_Grid[#Data],$DD961,22),0)</f>
        <v/>
      </c>
      <c r="Y961">
        <f>IFERROR(INDEX(PP_Grid[#Data],$DD961,23),0)</f>
        <v/>
      </c>
      <c r="Z961">
        <f>IFERROR(INDEX(PP_Grid[#Data],$DD961,24),0)</f>
        <v/>
      </c>
      <c r="AA961">
        <f>IFERROR(INDEX(PP_Grid[#Data],$DD961,25),0)</f>
        <v/>
      </c>
      <c r="AB961">
        <f>IFERROR(INDEX(PP_Grid[#Data],$DD961,26),0)</f>
        <v/>
      </c>
      <c r="AC961">
        <f>IFERROR(INDEX(PP_Grid[#Data],$DD961,27),0)</f>
        <v/>
      </c>
      <c r="AD961">
        <f>IFERROR(INDEX(PP_Grid[#Data],$DD961,28),0)</f>
        <v/>
      </c>
      <c r="AE961">
        <f>IFERROR(INDEX(PP_Grid[#Data],$DD961,29),0)</f>
        <v/>
      </c>
      <c r="AF961">
        <f>IFERROR(INDEX(PP_Grid[#Data],$DD961,30),0)</f>
        <v/>
      </c>
      <c r="AG961">
        <f>IFERROR(INDEX(PP_Grid[#Data],$DD961,31),0)</f>
        <v/>
      </c>
      <c r="AH961">
        <f>IFERROR(INDEX(PP_Grid[#Data],$DD961,32),0)</f>
        <v/>
      </c>
      <c r="AI961">
        <f>IFERROR(INDEX(PP_Grid[#Data],$DD961,33),0)</f>
        <v/>
      </c>
      <c r="AJ961">
        <f>IFERROR(INDEX(PP_Grid[#Data],$DD961,34),0)</f>
        <v/>
      </c>
      <c r="AK961">
        <f>IFERROR(INDEX(PP_Grid[#Data],$DD961,35),0)</f>
        <v/>
      </c>
      <c r="AL961">
        <f>IFERROR(INDEX(PP_Grid[#Data],$DD961,36),0)</f>
        <v/>
      </c>
      <c r="AM961">
        <f>IFERROR(INDEX(PP_Grid[#Data],$DD961,37),0)</f>
        <v/>
      </c>
      <c r="AN961">
        <f>IFERROR(INDEX(PP_Grid[#Data],$DD961,38),0)</f>
        <v/>
      </c>
      <c r="AO961">
        <f>IFERROR(INDEX(PP_Grid[#Data],$DD961,39),0)</f>
        <v/>
      </c>
      <c r="AP961">
        <f>IFERROR(INDEX(PP_Grid[#Data],$DD961,40),0)</f>
        <v/>
      </c>
      <c r="AQ961">
        <f>IFERROR(INDEX(PP_Grid[#Data],$DD961,41),0)</f>
        <v/>
      </c>
      <c r="AR961">
        <f>IFERROR(INDEX(PP_Grid[#Data],$DD961,42),0)</f>
        <v/>
      </c>
      <c r="AS961">
        <f>IFERROR(INDEX(PP_Grid[#Data],$DD961,43),0)</f>
        <v/>
      </c>
      <c r="AT961">
        <f>IFERROR(INDEX(PP_Grid[#Data],$DD961,44),0)</f>
        <v/>
      </c>
      <c r="AU961">
        <f>IFERROR(INDEX(PP_Grid[#Data],$DD961,45),0)</f>
        <v/>
      </c>
      <c r="AV961">
        <f>IFERROR(INDEX(PP_Grid[#Data],$DD961,46),0)</f>
        <v/>
      </c>
      <c r="AW961">
        <f>IFERROR(INDEX(PP_Grid[#Data],$DD961,47),0)</f>
        <v/>
      </c>
      <c r="AX961">
        <f>IFERROR(INDEX(PP_Grid[#Data],$DD961,48),0)</f>
        <v/>
      </c>
      <c r="AY961">
        <f>IFERROR(INDEX(PP_Grid[#Data],$DD961,49),0)</f>
        <v/>
      </c>
      <c r="AZ961">
        <f>IFERROR(INDEX(PP_Grid[#Data],$DD961,50),0)</f>
        <v/>
      </c>
      <c r="BA961">
        <f>IFERROR(INDEX(PP_Grid[#Data],$DD961,51),0)</f>
        <v/>
      </c>
      <c r="BB961">
        <f>IFERROR(INDEX(PP_Grid[#Data],$DD961,52),0)</f>
        <v/>
      </c>
      <c r="BC961">
        <f>IFERROR(INDEX(PP_Grid[#Data],$DD961,53),0)</f>
        <v/>
      </c>
      <c r="BD961">
        <f>IFERROR(INDEX(PP_Grid[#Data],$DD961,54),0)</f>
        <v/>
      </c>
      <c r="BE961">
        <f>IFERROR(INDEX(PP_Grid[#Data],$DD961,55),0)</f>
        <v/>
      </c>
      <c r="BF961">
        <f>IFERROR(INDEX(PP_Grid[#Data],$DD961,56),0)</f>
        <v/>
      </c>
      <c r="BG961">
        <f>IFERROR(INDEX(PP_Grid[#Data],$DD961,57),0)</f>
        <v/>
      </c>
      <c r="BH961">
        <f>IFERROR(INDEX(PP_Grid[#Data],$DD961,58),0)</f>
        <v/>
      </c>
      <c r="BI961">
        <f>IFERROR(INDEX(PP_Grid[#Data],$DD961,59),0)</f>
        <v/>
      </c>
      <c r="BJ961">
        <f>IFERROR(INDEX(PP_Grid[#Data],$DD961,60),0)</f>
        <v/>
      </c>
      <c r="BK961">
        <f>IFERROR(INDEX(PP_Grid[#Data],$DD961,61),0)</f>
        <v/>
      </c>
      <c r="BL961">
        <f>IFERROR(INDEX(PP_Grid[#Data],$DD961,62),0)</f>
        <v/>
      </c>
      <c r="BM961">
        <f>IFERROR(INDEX(PP_Grid[#Data],$DD961,63),0)</f>
        <v/>
      </c>
      <c r="BN961">
        <f>IFERROR(INDEX(PP_Grid[#Data],$DD961,64),0)</f>
        <v/>
      </c>
      <c r="BO961">
        <f>IFERROR(INDEX(PP_Grid[#Data],$DD961,65),0)</f>
        <v/>
      </c>
      <c r="BP961">
        <f>IFERROR(INDEX(PP_Grid[#Data],$DD961,66),0)</f>
        <v/>
      </c>
      <c r="BQ961">
        <f>IFERROR(INDEX(PP_Grid[#Data],$DD961,67),0)</f>
        <v/>
      </c>
      <c r="BR961">
        <f>IFERROR(INDEX(PP_Grid[#Data],$DD961,68),0)</f>
        <v/>
      </c>
      <c r="BS961">
        <f>IFERROR(INDEX(PP_Grid[#Data],$DD961,69),0)</f>
        <v/>
      </c>
      <c r="BT961">
        <f>IFERROR(INDEX(PP_Grid[#Data],$DD961,70),0)</f>
        <v/>
      </c>
      <c r="BU961">
        <f>IFERROR(INDEX(PP_Grid[#Data],$DD961,71),0)</f>
        <v/>
      </c>
      <c r="BV961">
        <f>IFERROR(INDEX(PP_Grid[#Data],$DD961,72),0)</f>
        <v/>
      </c>
      <c r="BW961">
        <f>IFERROR(INDEX(PP_Grid[#Data],$DD961,73),0)</f>
        <v/>
      </c>
      <c r="BX961">
        <f>IFERROR(INDEX(PP_Grid[#Data],$DD961,74),0)</f>
        <v/>
      </c>
      <c r="BY961">
        <f>IFERROR(INDEX(PP_Grid[#Data],$DD961,75),0)</f>
        <v/>
      </c>
      <c r="BZ961">
        <f>IFERROR(INDEX(PP_Grid[#Data],$DD961,76),0)</f>
        <v/>
      </c>
      <c r="CA961">
        <f>IFERROR(INDEX(PP_Grid[#Data],$DD961,77),0)</f>
        <v/>
      </c>
      <c r="CB961">
        <f>IFERROR(INDEX(PP_Grid[#Data],$DD961,78),0)</f>
        <v/>
      </c>
      <c r="CC961">
        <f>IFERROR(INDEX(PP_Grid[#Data],$DD961,79),0)</f>
        <v/>
      </c>
      <c r="CD961">
        <f>IFERROR(INDEX(PP_Grid[#Data],$DD961,80),0)</f>
        <v/>
      </c>
      <c r="CE961">
        <f>IFERROR(INDEX(PP_Grid[#Data],$DD961,81),0)</f>
        <v/>
      </c>
      <c r="CF961">
        <f>IFERROR(INDEX(PP_Grid[#Data],$DD961,82),0)</f>
        <v/>
      </c>
      <c r="CG961">
        <f>IFERROR(INDEX(PP_Grid[#Data],$DD961,83),0)</f>
        <v/>
      </c>
      <c r="CH961">
        <f>IFERROR(INDEX(PP_Grid[#Data],$DD961,84),0)</f>
        <v/>
      </c>
      <c r="CI961">
        <f>IFERROR(INDEX(PP_Grid[#Data],$DD961,85),0)</f>
        <v/>
      </c>
      <c r="CJ961">
        <f>IFERROR(INDEX(PP_Grid[#Data],$DD961,86),0)</f>
        <v/>
      </c>
      <c r="CK961">
        <f>IFERROR(INDEX(PP_Grid[#Data],$DD961,87),0)</f>
        <v/>
      </c>
      <c r="CL961">
        <f>IFERROR(INDEX(PP_Grid[#Data],$DD961,88),0)</f>
        <v/>
      </c>
      <c r="CM961">
        <f>IFERROR(INDEX(PP_Grid[#Data],$DD961,89),0)</f>
        <v/>
      </c>
      <c r="CN961">
        <f>IFERROR(INDEX(PP_Grid[#Data],$DD961,90),0)</f>
        <v/>
      </c>
      <c r="CO961">
        <f>IFERROR(INDEX(PP_Grid[#Data],$DD961,91),0)</f>
        <v/>
      </c>
      <c r="CP961">
        <f>IFERROR(INDEX(PP_Grid[#Data],$DD961,92),0)</f>
        <v/>
      </c>
      <c r="CQ961">
        <f>IFERROR(INDEX(PP_Grid[#Data],$DD961,93),0)</f>
        <v/>
      </c>
      <c r="CR961">
        <f>IFERROR(INDEX(PP_Grid[#Data],$DD961,94),0)</f>
        <v/>
      </c>
      <c r="CS961">
        <f>IFERROR(INDEX(PP_Grid[#Data],$DD961,95),0)</f>
        <v/>
      </c>
      <c r="CT961">
        <f>IFERROR(INDEX(PP_Grid[#Data],$DD961,96),0)</f>
        <v/>
      </c>
      <c r="CU961">
        <f>IFERROR(INDEX(PP_Grid[#Data],$DD961,97),0)</f>
        <v/>
      </c>
      <c r="CV961">
        <f>IFERROR(INDEX(PP_Grid[#Data],$DD961,98),0)</f>
        <v/>
      </c>
      <c r="CW961">
        <f>IFERROR(INDEX(PP_Grid[#Data],$DD961,99),0)</f>
        <v/>
      </c>
      <c r="CX961">
        <f>IFERROR(INDEX(PP_Grid[#Data],$DD961,100),0)</f>
        <v/>
      </c>
      <c r="CY961">
        <f>IFERROR(INDEX(PP_Grid[#Data],$DD961,101),0)</f>
        <v/>
      </c>
      <c r="CZ961">
        <f>IFERROR(INDEX(PP_Grid[#Data],$DD961,102),0)</f>
        <v/>
      </c>
      <c r="DA961">
        <f>IFERROR(INDEX(PP_Grid[#Data],$DD961,103),0)</f>
        <v/>
      </c>
      <c r="DB961">
        <f>IFERROR(INDEX(PP_Grid[#Data],$DD961,104),0)</f>
        <v/>
      </c>
      <c r="DC961">
        <f>IFERROR(INDEX(PP_Grid[#Data],$DD961,105),0)</f>
        <v/>
      </c>
      <c r="DD961" s="12">
        <f>IFERROR(MATCH($B961,PP_Grid[Intermediate],0),99999)</f>
        <v/>
      </c>
    </row>
    <row r="962">
      <c r="B962" t="inlineStr">
        <is>
          <t>使用量(kg)</t>
        </is>
      </c>
      <c r="C962">
        <f>SUMIFS(M_BOM[RM_Qty_Per_Batch],M_BOM[Intermediate],$B961,M_BOM[Part Name],$A958)</f>
        <v/>
      </c>
      <c r="D962">
        <f>$C962*D961</f>
        <v/>
      </c>
      <c r="E962">
        <f>$C962*E961</f>
        <v/>
      </c>
      <c r="F962">
        <f>$C962*F961</f>
        <v/>
      </c>
      <c r="G962">
        <f>$C962*G961</f>
        <v/>
      </c>
      <c r="H962">
        <f>$C962*H961</f>
        <v/>
      </c>
      <c r="I962">
        <f>$C962*I961</f>
        <v/>
      </c>
      <c r="J962">
        <f>$C962*J961</f>
        <v/>
      </c>
      <c r="K962">
        <f>$C962*K961</f>
        <v/>
      </c>
      <c r="L962">
        <f>$C962*L961</f>
        <v/>
      </c>
      <c r="M962">
        <f>$C962*M961</f>
        <v/>
      </c>
      <c r="N962">
        <f>$C962*N961</f>
        <v/>
      </c>
      <c r="O962">
        <f>$C962*O961</f>
        <v/>
      </c>
      <c r="P962">
        <f>$C962*P961</f>
        <v/>
      </c>
      <c r="Q962">
        <f>$C962*Q961</f>
        <v/>
      </c>
      <c r="R962">
        <f>$C962*R961</f>
        <v/>
      </c>
      <c r="S962">
        <f>$C962*S961</f>
        <v/>
      </c>
      <c r="T962">
        <f>$C962*T961</f>
        <v/>
      </c>
      <c r="U962">
        <f>$C962*U961</f>
        <v/>
      </c>
      <c r="V962">
        <f>$C962*V961</f>
        <v/>
      </c>
      <c r="W962">
        <f>$C962*W961</f>
        <v/>
      </c>
      <c r="X962">
        <f>$C962*X961</f>
        <v/>
      </c>
      <c r="Y962">
        <f>$C962*Y961</f>
        <v/>
      </c>
      <c r="Z962">
        <f>$C962*Z961</f>
        <v/>
      </c>
      <c r="AA962">
        <f>$C962*AA961</f>
        <v/>
      </c>
      <c r="AB962">
        <f>$C962*AB961</f>
        <v/>
      </c>
      <c r="AC962">
        <f>$C962*AC961</f>
        <v/>
      </c>
      <c r="AD962">
        <f>$C962*AD961</f>
        <v/>
      </c>
      <c r="AE962">
        <f>$C962*AE961</f>
        <v/>
      </c>
      <c r="AF962">
        <f>$C962*AF961</f>
        <v/>
      </c>
      <c r="AG962">
        <f>$C962*AG961</f>
        <v/>
      </c>
      <c r="AH962">
        <f>$C962*AH961</f>
        <v/>
      </c>
      <c r="AI962">
        <f>$C962*AI961</f>
        <v/>
      </c>
      <c r="AJ962">
        <f>$C962*AJ961</f>
        <v/>
      </c>
      <c r="AK962">
        <f>$C962*AK961</f>
        <v/>
      </c>
      <c r="AL962">
        <f>$C962*AL961</f>
        <v/>
      </c>
      <c r="AM962">
        <f>$C962*AM961</f>
        <v/>
      </c>
      <c r="AN962">
        <f>$C962*AN961</f>
        <v/>
      </c>
      <c r="AO962">
        <f>$C962*AO961</f>
        <v/>
      </c>
      <c r="AP962">
        <f>$C962*AP961</f>
        <v/>
      </c>
      <c r="AQ962">
        <f>$C962*AQ961</f>
        <v/>
      </c>
      <c r="AR962">
        <f>$C962*AR961</f>
        <v/>
      </c>
      <c r="AS962">
        <f>$C962*AS961</f>
        <v/>
      </c>
      <c r="AT962">
        <f>$C962*AT961</f>
        <v/>
      </c>
      <c r="AU962">
        <f>$C962*AU961</f>
        <v/>
      </c>
      <c r="AV962">
        <f>$C962*AV961</f>
        <v/>
      </c>
      <c r="AW962">
        <f>$C962*AW961</f>
        <v/>
      </c>
      <c r="AX962">
        <f>$C962*AX961</f>
        <v/>
      </c>
      <c r="AY962">
        <f>$C962*AY961</f>
        <v/>
      </c>
      <c r="AZ962">
        <f>$C962*AZ961</f>
        <v/>
      </c>
      <c r="BA962">
        <f>$C962*BA961</f>
        <v/>
      </c>
      <c r="BB962">
        <f>$C962*BB961</f>
        <v/>
      </c>
      <c r="BC962">
        <f>$C962*BC961</f>
        <v/>
      </c>
      <c r="BD962">
        <f>$C962*BD961</f>
        <v/>
      </c>
      <c r="BE962">
        <f>$C962*BE961</f>
        <v/>
      </c>
      <c r="BF962">
        <f>$C962*BF961</f>
        <v/>
      </c>
      <c r="BG962">
        <f>$C962*BG961</f>
        <v/>
      </c>
      <c r="BH962">
        <f>$C962*BH961</f>
        <v/>
      </c>
      <c r="BI962">
        <f>$C962*BI961</f>
        <v/>
      </c>
      <c r="BJ962">
        <f>$C962*BJ961</f>
        <v/>
      </c>
      <c r="BK962">
        <f>$C962*BK961</f>
        <v/>
      </c>
      <c r="BL962">
        <f>$C962*BL961</f>
        <v/>
      </c>
      <c r="BM962">
        <f>$C962*BM961</f>
        <v/>
      </c>
      <c r="BN962">
        <f>$C962*BN961</f>
        <v/>
      </c>
      <c r="BO962">
        <f>$C962*BO961</f>
        <v/>
      </c>
      <c r="BP962">
        <f>$C962*BP961</f>
        <v/>
      </c>
      <c r="BQ962">
        <f>$C962*BQ961</f>
        <v/>
      </c>
      <c r="BR962">
        <f>$C962*BR961</f>
        <v/>
      </c>
      <c r="BS962">
        <f>$C962*BS961</f>
        <v/>
      </c>
      <c r="BT962">
        <f>$C962*BT961</f>
        <v/>
      </c>
      <c r="BU962">
        <f>$C962*BU961</f>
        <v/>
      </c>
      <c r="BV962">
        <f>$C962*BV961</f>
        <v/>
      </c>
      <c r="BW962">
        <f>$C962*BW961</f>
        <v/>
      </c>
      <c r="BX962">
        <f>$C962*BX961</f>
        <v/>
      </c>
      <c r="BY962">
        <f>$C962*BY961</f>
        <v/>
      </c>
      <c r="BZ962">
        <f>$C962*BZ961</f>
        <v/>
      </c>
      <c r="CA962">
        <f>$C962*CA961</f>
        <v/>
      </c>
      <c r="CB962">
        <f>$C962*CB961</f>
        <v/>
      </c>
      <c r="CC962">
        <f>$C962*CC961</f>
        <v/>
      </c>
      <c r="CD962">
        <f>$C962*CD961</f>
        <v/>
      </c>
      <c r="CE962">
        <f>$C962*CE961</f>
        <v/>
      </c>
      <c r="CF962">
        <f>$C962*CF961</f>
        <v/>
      </c>
      <c r="CG962">
        <f>$C962*CG961</f>
        <v/>
      </c>
      <c r="CH962">
        <f>$C962*CH961</f>
        <v/>
      </c>
      <c r="CI962">
        <f>$C962*CI961</f>
        <v/>
      </c>
      <c r="CJ962">
        <f>$C962*CJ961</f>
        <v/>
      </c>
      <c r="CK962">
        <f>$C962*CK961</f>
        <v/>
      </c>
      <c r="CL962">
        <f>$C962*CL961</f>
        <v/>
      </c>
      <c r="CM962">
        <f>$C962*CM961</f>
        <v/>
      </c>
      <c r="CN962">
        <f>$C962*CN961</f>
        <v/>
      </c>
      <c r="CO962">
        <f>$C962*CO961</f>
        <v/>
      </c>
      <c r="CP962">
        <f>$C962*CP961</f>
        <v/>
      </c>
      <c r="CQ962">
        <f>$C962*CQ961</f>
        <v/>
      </c>
      <c r="CR962">
        <f>$C962*CR961</f>
        <v/>
      </c>
      <c r="CS962">
        <f>$C962*CS961</f>
        <v/>
      </c>
      <c r="CT962">
        <f>$C962*CT961</f>
        <v/>
      </c>
      <c r="CU962">
        <f>$C962*CU961</f>
        <v/>
      </c>
      <c r="CV962">
        <f>$C962*CV961</f>
        <v/>
      </c>
      <c r="CW962">
        <f>$C962*CW961</f>
        <v/>
      </c>
      <c r="CX962">
        <f>$C962*CX961</f>
        <v/>
      </c>
      <c r="CY962">
        <f>$C962*CY961</f>
        <v/>
      </c>
      <c r="CZ962">
        <f>$C962*CZ961</f>
        <v/>
      </c>
      <c r="DA962">
        <f>$C962*DA961</f>
        <v/>
      </c>
      <c r="DB962">
        <f>$C962*DB961</f>
        <v/>
      </c>
      <c r="DC962">
        <f>$C962*DC961</f>
        <v/>
      </c>
    </row>
    <row r="963">
      <c r="B963" t="inlineStr">
        <is>
          <t>TSP-924</t>
        </is>
      </c>
      <c r="C963" t="inlineStr">
        <is>
          <t>No. of batches</t>
        </is>
      </c>
      <c r="D963">
        <f>IFERROR(INDEX(PP_Grid[#Data],$DD963,2),0)</f>
        <v/>
      </c>
      <c r="E963">
        <f>IFERROR(INDEX(PP_Grid[#Data],$DD963,3),0)</f>
        <v/>
      </c>
      <c r="F963">
        <f>IFERROR(INDEX(PP_Grid[#Data],$DD963,4),0)</f>
        <v/>
      </c>
      <c r="G963">
        <f>IFERROR(INDEX(PP_Grid[#Data],$DD963,5),0)</f>
        <v/>
      </c>
      <c r="H963">
        <f>IFERROR(INDEX(PP_Grid[#Data],$DD963,6),0)</f>
        <v/>
      </c>
      <c r="I963">
        <f>IFERROR(INDEX(PP_Grid[#Data],$DD963,7),0)</f>
        <v/>
      </c>
      <c r="J963">
        <f>IFERROR(INDEX(PP_Grid[#Data],$DD963,8),0)</f>
        <v/>
      </c>
      <c r="K963">
        <f>IFERROR(INDEX(PP_Grid[#Data],$DD963,9),0)</f>
        <v/>
      </c>
      <c r="L963">
        <f>IFERROR(INDEX(PP_Grid[#Data],$DD963,10),0)</f>
        <v/>
      </c>
      <c r="M963">
        <f>IFERROR(INDEX(PP_Grid[#Data],$DD963,11),0)</f>
        <v/>
      </c>
      <c r="N963">
        <f>IFERROR(INDEX(PP_Grid[#Data],$DD963,12),0)</f>
        <v/>
      </c>
      <c r="O963">
        <f>IFERROR(INDEX(PP_Grid[#Data],$DD963,13),0)</f>
        <v/>
      </c>
      <c r="P963">
        <f>IFERROR(INDEX(PP_Grid[#Data],$DD963,14),0)</f>
        <v/>
      </c>
      <c r="Q963">
        <f>IFERROR(INDEX(PP_Grid[#Data],$DD963,15),0)</f>
        <v/>
      </c>
      <c r="R963">
        <f>IFERROR(INDEX(PP_Grid[#Data],$DD963,16),0)</f>
        <v/>
      </c>
      <c r="S963">
        <f>IFERROR(INDEX(PP_Grid[#Data],$DD963,17),0)</f>
        <v/>
      </c>
      <c r="T963">
        <f>IFERROR(INDEX(PP_Grid[#Data],$DD963,18),0)</f>
        <v/>
      </c>
      <c r="U963">
        <f>IFERROR(INDEX(PP_Grid[#Data],$DD963,19),0)</f>
        <v/>
      </c>
      <c r="V963">
        <f>IFERROR(INDEX(PP_Grid[#Data],$DD963,20),0)</f>
        <v/>
      </c>
      <c r="W963">
        <f>IFERROR(INDEX(PP_Grid[#Data],$DD963,21),0)</f>
        <v/>
      </c>
      <c r="X963">
        <f>IFERROR(INDEX(PP_Grid[#Data],$DD963,22),0)</f>
        <v/>
      </c>
      <c r="Y963">
        <f>IFERROR(INDEX(PP_Grid[#Data],$DD963,23),0)</f>
        <v/>
      </c>
      <c r="Z963">
        <f>IFERROR(INDEX(PP_Grid[#Data],$DD963,24),0)</f>
        <v/>
      </c>
      <c r="AA963">
        <f>IFERROR(INDEX(PP_Grid[#Data],$DD963,25),0)</f>
        <v/>
      </c>
      <c r="AB963">
        <f>IFERROR(INDEX(PP_Grid[#Data],$DD963,26),0)</f>
        <v/>
      </c>
      <c r="AC963">
        <f>IFERROR(INDEX(PP_Grid[#Data],$DD963,27),0)</f>
        <v/>
      </c>
      <c r="AD963">
        <f>IFERROR(INDEX(PP_Grid[#Data],$DD963,28),0)</f>
        <v/>
      </c>
      <c r="AE963">
        <f>IFERROR(INDEX(PP_Grid[#Data],$DD963,29),0)</f>
        <v/>
      </c>
      <c r="AF963">
        <f>IFERROR(INDEX(PP_Grid[#Data],$DD963,30),0)</f>
        <v/>
      </c>
      <c r="AG963">
        <f>IFERROR(INDEX(PP_Grid[#Data],$DD963,31),0)</f>
        <v/>
      </c>
      <c r="AH963">
        <f>IFERROR(INDEX(PP_Grid[#Data],$DD963,32),0)</f>
        <v/>
      </c>
      <c r="AI963">
        <f>IFERROR(INDEX(PP_Grid[#Data],$DD963,33),0)</f>
        <v/>
      </c>
      <c r="AJ963">
        <f>IFERROR(INDEX(PP_Grid[#Data],$DD963,34),0)</f>
        <v/>
      </c>
      <c r="AK963">
        <f>IFERROR(INDEX(PP_Grid[#Data],$DD963,35),0)</f>
        <v/>
      </c>
      <c r="AL963">
        <f>IFERROR(INDEX(PP_Grid[#Data],$DD963,36),0)</f>
        <v/>
      </c>
      <c r="AM963">
        <f>IFERROR(INDEX(PP_Grid[#Data],$DD963,37),0)</f>
        <v/>
      </c>
      <c r="AN963">
        <f>IFERROR(INDEX(PP_Grid[#Data],$DD963,38),0)</f>
        <v/>
      </c>
      <c r="AO963">
        <f>IFERROR(INDEX(PP_Grid[#Data],$DD963,39),0)</f>
        <v/>
      </c>
      <c r="AP963">
        <f>IFERROR(INDEX(PP_Grid[#Data],$DD963,40),0)</f>
        <v/>
      </c>
      <c r="AQ963">
        <f>IFERROR(INDEX(PP_Grid[#Data],$DD963,41),0)</f>
        <v/>
      </c>
      <c r="AR963">
        <f>IFERROR(INDEX(PP_Grid[#Data],$DD963,42),0)</f>
        <v/>
      </c>
      <c r="AS963">
        <f>IFERROR(INDEX(PP_Grid[#Data],$DD963,43),0)</f>
        <v/>
      </c>
      <c r="AT963">
        <f>IFERROR(INDEX(PP_Grid[#Data],$DD963,44),0)</f>
        <v/>
      </c>
      <c r="AU963">
        <f>IFERROR(INDEX(PP_Grid[#Data],$DD963,45),0)</f>
        <v/>
      </c>
      <c r="AV963">
        <f>IFERROR(INDEX(PP_Grid[#Data],$DD963,46),0)</f>
        <v/>
      </c>
      <c r="AW963">
        <f>IFERROR(INDEX(PP_Grid[#Data],$DD963,47),0)</f>
        <v/>
      </c>
      <c r="AX963">
        <f>IFERROR(INDEX(PP_Grid[#Data],$DD963,48),0)</f>
        <v/>
      </c>
      <c r="AY963">
        <f>IFERROR(INDEX(PP_Grid[#Data],$DD963,49),0)</f>
        <v/>
      </c>
      <c r="AZ963">
        <f>IFERROR(INDEX(PP_Grid[#Data],$DD963,50),0)</f>
        <v/>
      </c>
      <c r="BA963">
        <f>IFERROR(INDEX(PP_Grid[#Data],$DD963,51),0)</f>
        <v/>
      </c>
      <c r="BB963">
        <f>IFERROR(INDEX(PP_Grid[#Data],$DD963,52),0)</f>
        <v/>
      </c>
      <c r="BC963">
        <f>IFERROR(INDEX(PP_Grid[#Data],$DD963,53),0)</f>
        <v/>
      </c>
      <c r="BD963">
        <f>IFERROR(INDEX(PP_Grid[#Data],$DD963,54),0)</f>
        <v/>
      </c>
      <c r="BE963">
        <f>IFERROR(INDEX(PP_Grid[#Data],$DD963,55),0)</f>
        <v/>
      </c>
      <c r="BF963">
        <f>IFERROR(INDEX(PP_Grid[#Data],$DD963,56),0)</f>
        <v/>
      </c>
      <c r="BG963">
        <f>IFERROR(INDEX(PP_Grid[#Data],$DD963,57),0)</f>
        <v/>
      </c>
      <c r="BH963">
        <f>IFERROR(INDEX(PP_Grid[#Data],$DD963,58),0)</f>
        <v/>
      </c>
      <c r="BI963">
        <f>IFERROR(INDEX(PP_Grid[#Data],$DD963,59),0)</f>
        <v/>
      </c>
      <c r="BJ963">
        <f>IFERROR(INDEX(PP_Grid[#Data],$DD963,60),0)</f>
        <v/>
      </c>
      <c r="BK963">
        <f>IFERROR(INDEX(PP_Grid[#Data],$DD963,61),0)</f>
        <v/>
      </c>
      <c r="BL963">
        <f>IFERROR(INDEX(PP_Grid[#Data],$DD963,62),0)</f>
        <v/>
      </c>
      <c r="BM963">
        <f>IFERROR(INDEX(PP_Grid[#Data],$DD963,63),0)</f>
        <v/>
      </c>
      <c r="BN963">
        <f>IFERROR(INDEX(PP_Grid[#Data],$DD963,64),0)</f>
        <v/>
      </c>
      <c r="BO963">
        <f>IFERROR(INDEX(PP_Grid[#Data],$DD963,65),0)</f>
        <v/>
      </c>
      <c r="BP963">
        <f>IFERROR(INDEX(PP_Grid[#Data],$DD963,66),0)</f>
        <v/>
      </c>
      <c r="BQ963">
        <f>IFERROR(INDEX(PP_Grid[#Data],$DD963,67),0)</f>
        <v/>
      </c>
      <c r="BR963">
        <f>IFERROR(INDEX(PP_Grid[#Data],$DD963,68),0)</f>
        <v/>
      </c>
      <c r="BS963">
        <f>IFERROR(INDEX(PP_Grid[#Data],$DD963,69),0)</f>
        <v/>
      </c>
      <c r="BT963">
        <f>IFERROR(INDEX(PP_Grid[#Data],$DD963,70),0)</f>
        <v/>
      </c>
      <c r="BU963">
        <f>IFERROR(INDEX(PP_Grid[#Data],$DD963,71),0)</f>
        <v/>
      </c>
      <c r="BV963">
        <f>IFERROR(INDEX(PP_Grid[#Data],$DD963,72),0)</f>
        <v/>
      </c>
      <c r="BW963">
        <f>IFERROR(INDEX(PP_Grid[#Data],$DD963,73),0)</f>
        <v/>
      </c>
      <c r="BX963">
        <f>IFERROR(INDEX(PP_Grid[#Data],$DD963,74),0)</f>
        <v/>
      </c>
      <c r="BY963">
        <f>IFERROR(INDEX(PP_Grid[#Data],$DD963,75),0)</f>
        <v/>
      </c>
      <c r="BZ963">
        <f>IFERROR(INDEX(PP_Grid[#Data],$DD963,76),0)</f>
        <v/>
      </c>
      <c r="CA963">
        <f>IFERROR(INDEX(PP_Grid[#Data],$DD963,77),0)</f>
        <v/>
      </c>
      <c r="CB963">
        <f>IFERROR(INDEX(PP_Grid[#Data],$DD963,78),0)</f>
        <v/>
      </c>
      <c r="CC963">
        <f>IFERROR(INDEX(PP_Grid[#Data],$DD963,79),0)</f>
        <v/>
      </c>
      <c r="CD963">
        <f>IFERROR(INDEX(PP_Grid[#Data],$DD963,80),0)</f>
        <v/>
      </c>
      <c r="CE963">
        <f>IFERROR(INDEX(PP_Grid[#Data],$DD963,81),0)</f>
        <v/>
      </c>
      <c r="CF963">
        <f>IFERROR(INDEX(PP_Grid[#Data],$DD963,82),0)</f>
        <v/>
      </c>
      <c r="CG963">
        <f>IFERROR(INDEX(PP_Grid[#Data],$DD963,83),0)</f>
        <v/>
      </c>
      <c r="CH963">
        <f>IFERROR(INDEX(PP_Grid[#Data],$DD963,84),0)</f>
        <v/>
      </c>
      <c r="CI963">
        <f>IFERROR(INDEX(PP_Grid[#Data],$DD963,85),0)</f>
        <v/>
      </c>
      <c r="CJ963">
        <f>IFERROR(INDEX(PP_Grid[#Data],$DD963,86),0)</f>
        <v/>
      </c>
      <c r="CK963">
        <f>IFERROR(INDEX(PP_Grid[#Data],$DD963,87),0)</f>
        <v/>
      </c>
      <c r="CL963">
        <f>IFERROR(INDEX(PP_Grid[#Data],$DD963,88),0)</f>
        <v/>
      </c>
      <c r="CM963">
        <f>IFERROR(INDEX(PP_Grid[#Data],$DD963,89),0)</f>
        <v/>
      </c>
      <c r="CN963">
        <f>IFERROR(INDEX(PP_Grid[#Data],$DD963,90),0)</f>
        <v/>
      </c>
      <c r="CO963">
        <f>IFERROR(INDEX(PP_Grid[#Data],$DD963,91),0)</f>
        <v/>
      </c>
      <c r="CP963">
        <f>IFERROR(INDEX(PP_Grid[#Data],$DD963,92),0)</f>
        <v/>
      </c>
      <c r="CQ963">
        <f>IFERROR(INDEX(PP_Grid[#Data],$DD963,93),0)</f>
        <v/>
      </c>
      <c r="CR963">
        <f>IFERROR(INDEX(PP_Grid[#Data],$DD963,94),0)</f>
        <v/>
      </c>
      <c r="CS963">
        <f>IFERROR(INDEX(PP_Grid[#Data],$DD963,95),0)</f>
        <v/>
      </c>
      <c r="CT963">
        <f>IFERROR(INDEX(PP_Grid[#Data],$DD963,96),0)</f>
        <v/>
      </c>
      <c r="CU963">
        <f>IFERROR(INDEX(PP_Grid[#Data],$DD963,97),0)</f>
        <v/>
      </c>
      <c r="CV963">
        <f>IFERROR(INDEX(PP_Grid[#Data],$DD963,98),0)</f>
        <v/>
      </c>
      <c r="CW963">
        <f>IFERROR(INDEX(PP_Grid[#Data],$DD963,99),0)</f>
        <v/>
      </c>
      <c r="CX963">
        <f>IFERROR(INDEX(PP_Grid[#Data],$DD963,100),0)</f>
        <v/>
      </c>
      <c r="CY963">
        <f>IFERROR(INDEX(PP_Grid[#Data],$DD963,101),0)</f>
        <v/>
      </c>
      <c r="CZ963">
        <f>IFERROR(INDEX(PP_Grid[#Data],$DD963,102),0)</f>
        <v/>
      </c>
      <c r="DA963">
        <f>IFERROR(INDEX(PP_Grid[#Data],$DD963,103),0)</f>
        <v/>
      </c>
      <c r="DB963">
        <f>IFERROR(INDEX(PP_Grid[#Data],$DD963,104),0)</f>
        <v/>
      </c>
      <c r="DC963">
        <f>IFERROR(INDEX(PP_Grid[#Data],$DD963,105),0)</f>
        <v/>
      </c>
      <c r="DD963" s="12">
        <f>IFERROR(MATCH($B963,PP_Grid[Intermediate],0),99999)</f>
        <v/>
      </c>
    </row>
    <row r="964">
      <c r="B964" t="inlineStr">
        <is>
          <t>使用量(kg)</t>
        </is>
      </c>
      <c r="C964">
        <f>SUMIFS(M_BOM[RM_Qty_Per_Batch],M_BOM[Intermediate],$B963,M_BOM[Part Name],$A958)</f>
        <v/>
      </c>
      <c r="D964">
        <f>$C964*D963</f>
        <v/>
      </c>
      <c r="E964">
        <f>$C964*E963</f>
        <v/>
      </c>
      <c r="F964">
        <f>$C964*F963</f>
        <v/>
      </c>
      <c r="G964">
        <f>$C964*G963</f>
        <v/>
      </c>
      <c r="H964">
        <f>$C964*H963</f>
        <v/>
      </c>
      <c r="I964">
        <f>$C964*I963</f>
        <v/>
      </c>
      <c r="J964">
        <f>$C964*J963</f>
        <v/>
      </c>
      <c r="K964">
        <f>$C964*K963</f>
        <v/>
      </c>
      <c r="L964">
        <f>$C964*L963</f>
        <v/>
      </c>
      <c r="M964">
        <f>$C964*M963</f>
        <v/>
      </c>
      <c r="N964">
        <f>$C964*N963</f>
        <v/>
      </c>
      <c r="O964">
        <f>$C964*O963</f>
        <v/>
      </c>
      <c r="P964">
        <f>$C964*P963</f>
        <v/>
      </c>
      <c r="Q964">
        <f>$C964*Q963</f>
        <v/>
      </c>
      <c r="R964">
        <f>$C964*R963</f>
        <v/>
      </c>
      <c r="S964">
        <f>$C964*S963</f>
        <v/>
      </c>
      <c r="T964">
        <f>$C964*T963</f>
        <v/>
      </c>
      <c r="U964">
        <f>$C964*U963</f>
        <v/>
      </c>
      <c r="V964">
        <f>$C964*V963</f>
        <v/>
      </c>
      <c r="W964">
        <f>$C964*W963</f>
        <v/>
      </c>
      <c r="X964">
        <f>$C964*X963</f>
        <v/>
      </c>
      <c r="Y964">
        <f>$C964*Y963</f>
        <v/>
      </c>
      <c r="Z964">
        <f>$C964*Z963</f>
        <v/>
      </c>
      <c r="AA964">
        <f>$C964*AA963</f>
        <v/>
      </c>
      <c r="AB964">
        <f>$C964*AB963</f>
        <v/>
      </c>
      <c r="AC964">
        <f>$C964*AC963</f>
        <v/>
      </c>
      <c r="AD964">
        <f>$C964*AD963</f>
        <v/>
      </c>
      <c r="AE964">
        <f>$C964*AE963</f>
        <v/>
      </c>
      <c r="AF964">
        <f>$C964*AF963</f>
        <v/>
      </c>
      <c r="AG964">
        <f>$C964*AG963</f>
        <v/>
      </c>
      <c r="AH964">
        <f>$C964*AH963</f>
        <v/>
      </c>
      <c r="AI964">
        <f>$C964*AI963</f>
        <v/>
      </c>
      <c r="AJ964">
        <f>$C964*AJ963</f>
        <v/>
      </c>
      <c r="AK964">
        <f>$C964*AK963</f>
        <v/>
      </c>
      <c r="AL964">
        <f>$C964*AL963</f>
        <v/>
      </c>
      <c r="AM964">
        <f>$C964*AM963</f>
        <v/>
      </c>
      <c r="AN964">
        <f>$C964*AN963</f>
        <v/>
      </c>
      <c r="AO964">
        <f>$C964*AO963</f>
        <v/>
      </c>
      <c r="AP964">
        <f>$C964*AP963</f>
        <v/>
      </c>
      <c r="AQ964">
        <f>$C964*AQ963</f>
        <v/>
      </c>
      <c r="AR964">
        <f>$C964*AR963</f>
        <v/>
      </c>
      <c r="AS964">
        <f>$C964*AS963</f>
        <v/>
      </c>
      <c r="AT964">
        <f>$C964*AT963</f>
        <v/>
      </c>
      <c r="AU964">
        <f>$C964*AU963</f>
        <v/>
      </c>
      <c r="AV964">
        <f>$C964*AV963</f>
        <v/>
      </c>
      <c r="AW964">
        <f>$C964*AW963</f>
        <v/>
      </c>
      <c r="AX964">
        <f>$C964*AX963</f>
        <v/>
      </c>
      <c r="AY964">
        <f>$C964*AY963</f>
        <v/>
      </c>
      <c r="AZ964">
        <f>$C964*AZ963</f>
        <v/>
      </c>
      <c r="BA964">
        <f>$C964*BA963</f>
        <v/>
      </c>
      <c r="BB964">
        <f>$C964*BB963</f>
        <v/>
      </c>
      <c r="BC964">
        <f>$C964*BC963</f>
        <v/>
      </c>
      <c r="BD964">
        <f>$C964*BD963</f>
        <v/>
      </c>
      <c r="BE964">
        <f>$C964*BE963</f>
        <v/>
      </c>
      <c r="BF964">
        <f>$C964*BF963</f>
        <v/>
      </c>
      <c r="BG964">
        <f>$C964*BG963</f>
        <v/>
      </c>
      <c r="BH964">
        <f>$C964*BH963</f>
        <v/>
      </c>
      <c r="BI964">
        <f>$C964*BI963</f>
        <v/>
      </c>
      <c r="BJ964">
        <f>$C964*BJ963</f>
        <v/>
      </c>
      <c r="BK964">
        <f>$C964*BK963</f>
        <v/>
      </c>
      <c r="BL964">
        <f>$C964*BL963</f>
        <v/>
      </c>
      <c r="BM964">
        <f>$C964*BM963</f>
        <v/>
      </c>
      <c r="BN964">
        <f>$C964*BN963</f>
        <v/>
      </c>
      <c r="BO964">
        <f>$C964*BO963</f>
        <v/>
      </c>
      <c r="BP964">
        <f>$C964*BP963</f>
        <v/>
      </c>
      <c r="BQ964">
        <f>$C964*BQ963</f>
        <v/>
      </c>
      <c r="BR964">
        <f>$C964*BR963</f>
        <v/>
      </c>
      <c r="BS964">
        <f>$C964*BS963</f>
        <v/>
      </c>
      <c r="BT964">
        <f>$C964*BT963</f>
        <v/>
      </c>
      <c r="BU964">
        <f>$C964*BU963</f>
        <v/>
      </c>
      <c r="BV964">
        <f>$C964*BV963</f>
        <v/>
      </c>
      <c r="BW964">
        <f>$C964*BW963</f>
        <v/>
      </c>
      <c r="BX964">
        <f>$C964*BX963</f>
        <v/>
      </c>
      <c r="BY964">
        <f>$C964*BY963</f>
        <v/>
      </c>
      <c r="BZ964">
        <f>$C964*BZ963</f>
        <v/>
      </c>
      <c r="CA964">
        <f>$C964*CA963</f>
        <v/>
      </c>
      <c r="CB964">
        <f>$C964*CB963</f>
        <v/>
      </c>
      <c r="CC964">
        <f>$C964*CC963</f>
        <v/>
      </c>
      <c r="CD964">
        <f>$C964*CD963</f>
        <v/>
      </c>
      <c r="CE964">
        <f>$C964*CE963</f>
        <v/>
      </c>
      <c r="CF964">
        <f>$C964*CF963</f>
        <v/>
      </c>
      <c r="CG964">
        <f>$C964*CG963</f>
        <v/>
      </c>
      <c r="CH964">
        <f>$C964*CH963</f>
        <v/>
      </c>
      <c r="CI964">
        <f>$C964*CI963</f>
        <v/>
      </c>
      <c r="CJ964">
        <f>$C964*CJ963</f>
        <v/>
      </c>
      <c r="CK964">
        <f>$C964*CK963</f>
        <v/>
      </c>
      <c r="CL964">
        <f>$C964*CL963</f>
        <v/>
      </c>
      <c r="CM964">
        <f>$C964*CM963</f>
        <v/>
      </c>
      <c r="CN964">
        <f>$C964*CN963</f>
        <v/>
      </c>
      <c r="CO964">
        <f>$C964*CO963</f>
        <v/>
      </c>
      <c r="CP964">
        <f>$C964*CP963</f>
        <v/>
      </c>
      <c r="CQ964">
        <f>$C964*CQ963</f>
        <v/>
      </c>
      <c r="CR964">
        <f>$C964*CR963</f>
        <v/>
      </c>
      <c r="CS964">
        <f>$C964*CS963</f>
        <v/>
      </c>
      <c r="CT964">
        <f>$C964*CT963</f>
        <v/>
      </c>
      <c r="CU964">
        <f>$C964*CU963</f>
        <v/>
      </c>
      <c r="CV964">
        <f>$C964*CV963</f>
        <v/>
      </c>
      <c r="CW964">
        <f>$C964*CW963</f>
        <v/>
      </c>
      <c r="CX964">
        <f>$C964*CX963</f>
        <v/>
      </c>
      <c r="CY964">
        <f>$C964*CY963</f>
        <v/>
      </c>
      <c r="CZ964">
        <f>$C964*CZ963</f>
        <v/>
      </c>
      <c r="DA964">
        <f>$C964*DA963</f>
        <v/>
      </c>
      <c r="DB964">
        <f>$C964*DB963</f>
        <v/>
      </c>
      <c r="DC964">
        <f>$C964*DC963</f>
        <v/>
      </c>
    </row>
    <row r="965">
      <c r="B965" t="inlineStr">
        <is>
          <t>TSP-925</t>
        </is>
      </c>
      <c r="C965" t="inlineStr">
        <is>
          <t>No. of batches</t>
        </is>
      </c>
      <c r="D965">
        <f>IFERROR(INDEX(PP_Grid[#Data],$DD965,2),0)</f>
        <v/>
      </c>
      <c r="E965">
        <f>IFERROR(INDEX(PP_Grid[#Data],$DD965,3),0)</f>
        <v/>
      </c>
      <c r="F965">
        <f>IFERROR(INDEX(PP_Grid[#Data],$DD965,4),0)</f>
        <v/>
      </c>
      <c r="G965">
        <f>IFERROR(INDEX(PP_Grid[#Data],$DD965,5),0)</f>
        <v/>
      </c>
      <c r="H965">
        <f>IFERROR(INDEX(PP_Grid[#Data],$DD965,6),0)</f>
        <v/>
      </c>
      <c r="I965">
        <f>IFERROR(INDEX(PP_Grid[#Data],$DD965,7),0)</f>
        <v/>
      </c>
      <c r="J965">
        <f>IFERROR(INDEX(PP_Grid[#Data],$DD965,8),0)</f>
        <v/>
      </c>
      <c r="K965">
        <f>IFERROR(INDEX(PP_Grid[#Data],$DD965,9),0)</f>
        <v/>
      </c>
      <c r="L965">
        <f>IFERROR(INDEX(PP_Grid[#Data],$DD965,10),0)</f>
        <v/>
      </c>
      <c r="M965">
        <f>IFERROR(INDEX(PP_Grid[#Data],$DD965,11),0)</f>
        <v/>
      </c>
      <c r="N965">
        <f>IFERROR(INDEX(PP_Grid[#Data],$DD965,12),0)</f>
        <v/>
      </c>
      <c r="O965">
        <f>IFERROR(INDEX(PP_Grid[#Data],$DD965,13),0)</f>
        <v/>
      </c>
      <c r="P965">
        <f>IFERROR(INDEX(PP_Grid[#Data],$DD965,14),0)</f>
        <v/>
      </c>
      <c r="Q965">
        <f>IFERROR(INDEX(PP_Grid[#Data],$DD965,15),0)</f>
        <v/>
      </c>
      <c r="R965">
        <f>IFERROR(INDEX(PP_Grid[#Data],$DD965,16),0)</f>
        <v/>
      </c>
      <c r="S965">
        <f>IFERROR(INDEX(PP_Grid[#Data],$DD965,17),0)</f>
        <v/>
      </c>
      <c r="T965">
        <f>IFERROR(INDEX(PP_Grid[#Data],$DD965,18),0)</f>
        <v/>
      </c>
      <c r="U965">
        <f>IFERROR(INDEX(PP_Grid[#Data],$DD965,19),0)</f>
        <v/>
      </c>
      <c r="V965">
        <f>IFERROR(INDEX(PP_Grid[#Data],$DD965,20),0)</f>
        <v/>
      </c>
      <c r="W965">
        <f>IFERROR(INDEX(PP_Grid[#Data],$DD965,21),0)</f>
        <v/>
      </c>
      <c r="X965">
        <f>IFERROR(INDEX(PP_Grid[#Data],$DD965,22),0)</f>
        <v/>
      </c>
      <c r="Y965">
        <f>IFERROR(INDEX(PP_Grid[#Data],$DD965,23),0)</f>
        <v/>
      </c>
      <c r="Z965">
        <f>IFERROR(INDEX(PP_Grid[#Data],$DD965,24),0)</f>
        <v/>
      </c>
      <c r="AA965">
        <f>IFERROR(INDEX(PP_Grid[#Data],$DD965,25),0)</f>
        <v/>
      </c>
      <c r="AB965">
        <f>IFERROR(INDEX(PP_Grid[#Data],$DD965,26),0)</f>
        <v/>
      </c>
      <c r="AC965">
        <f>IFERROR(INDEX(PP_Grid[#Data],$DD965,27),0)</f>
        <v/>
      </c>
      <c r="AD965">
        <f>IFERROR(INDEX(PP_Grid[#Data],$DD965,28),0)</f>
        <v/>
      </c>
      <c r="AE965">
        <f>IFERROR(INDEX(PP_Grid[#Data],$DD965,29),0)</f>
        <v/>
      </c>
      <c r="AF965">
        <f>IFERROR(INDEX(PP_Grid[#Data],$DD965,30),0)</f>
        <v/>
      </c>
      <c r="AG965">
        <f>IFERROR(INDEX(PP_Grid[#Data],$DD965,31),0)</f>
        <v/>
      </c>
      <c r="AH965">
        <f>IFERROR(INDEX(PP_Grid[#Data],$DD965,32),0)</f>
        <v/>
      </c>
      <c r="AI965">
        <f>IFERROR(INDEX(PP_Grid[#Data],$DD965,33),0)</f>
        <v/>
      </c>
      <c r="AJ965">
        <f>IFERROR(INDEX(PP_Grid[#Data],$DD965,34),0)</f>
        <v/>
      </c>
      <c r="AK965">
        <f>IFERROR(INDEX(PP_Grid[#Data],$DD965,35),0)</f>
        <v/>
      </c>
      <c r="AL965">
        <f>IFERROR(INDEX(PP_Grid[#Data],$DD965,36),0)</f>
        <v/>
      </c>
      <c r="AM965">
        <f>IFERROR(INDEX(PP_Grid[#Data],$DD965,37),0)</f>
        <v/>
      </c>
      <c r="AN965">
        <f>IFERROR(INDEX(PP_Grid[#Data],$DD965,38),0)</f>
        <v/>
      </c>
      <c r="AO965">
        <f>IFERROR(INDEX(PP_Grid[#Data],$DD965,39),0)</f>
        <v/>
      </c>
      <c r="AP965">
        <f>IFERROR(INDEX(PP_Grid[#Data],$DD965,40),0)</f>
        <v/>
      </c>
      <c r="AQ965">
        <f>IFERROR(INDEX(PP_Grid[#Data],$DD965,41),0)</f>
        <v/>
      </c>
      <c r="AR965">
        <f>IFERROR(INDEX(PP_Grid[#Data],$DD965,42),0)</f>
        <v/>
      </c>
      <c r="AS965">
        <f>IFERROR(INDEX(PP_Grid[#Data],$DD965,43),0)</f>
        <v/>
      </c>
      <c r="AT965">
        <f>IFERROR(INDEX(PP_Grid[#Data],$DD965,44),0)</f>
        <v/>
      </c>
      <c r="AU965">
        <f>IFERROR(INDEX(PP_Grid[#Data],$DD965,45),0)</f>
        <v/>
      </c>
      <c r="AV965">
        <f>IFERROR(INDEX(PP_Grid[#Data],$DD965,46),0)</f>
        <v/>
      </c>
      <c r="AW965">
        <f>IFERROR(INDEX(PP_Grid[#Data],$DD965,47),0)</f>
        <v/>
      </c>
      <c r="AX965">
        <f>IFERROR(INDEX(PP_Grid[#Data],$DD965,48),0)</f>
        <v/>
      </c>
      <c r="AY965">
        <f>IFERROR(INDEX(PP_Grid[#Data],$DD965,49),0)</f>
        <v/>
      </c>
      <c r="AZ965">
        <f>IFERROR(INDEX(PP_Grid[#Data],$DD965,50),0)</f>
        <v/>
      </c>
      <c r="BA965">
        <f>IFERROR(INDEX(PP_Grid[#Data],$DD965,51),0)</f>
        <v/>
      </c>
      <c r="BB965">
        <f>IFERROR(INDEX(PP_Grid[#Data],$DD965,52),0)</f>
        <v/>
      </c>
      <c r="BC965">
        <f>IFERROR(INDEX(PP_Grid[#Data],$DD965,53),0)</f>
        <v/>
      </c>
      <c r="BD965">
        <f>IFERROR(INDEX(PP_Grid[#Data],$DD965,54),0)</f>
        <v/>
      </c>
      <c r="BE965">
        <f>IFERROR(INDEX(PP_Grid[#Data],$DD965,55),0)</f>
        <v/>
      </c>
      <c r="BF965">
        <f>IFERROR(INDEX(PP_Grid[#Data],$DD965,56),0)</f>
        <v/>
      </c>
      <c r="BG965">
        <f>IFERROR(INDEX(PP_Grid[#Data],$DD965,57),0)</f>
        <v/>
      </c>
      <c r="BH965">
        <f>IFERROR(INDEX(PP_Grid[#Data],$DD965,58),0)</f>
        <v/>
      </c>
      <c r="BI965">
        <f>IFERROR(INDEX(PP_Grid[#Data],$DD965,59),0)</f>
        <v/>
      </c>
      <c r="BJ965">
        <f>IFERROR(INDEX(PP_Grid[#Data],$DD965,60),0)</f>
        <v/>
      </c>
      <c r="BK965">
        <f>IFERROR(INDEX(PP_Grid[#Data],$DD965,61),0)</f>
        <v/>
      </c>
      <c r="BL965">
        <f>IFERROR(INDEX(PP_Grid[#Data],$DD965,62),0)</f>
        <v/>
      </c>
      <c r="BM965">
        <f>IFERROR(INDEX(PP_Grid[#Data],$DD965,63),0)</f>
        <v/>
      </c>
      <c r="BN965">
        <f>IFERROR(INDEX(PP_Grid[#Data],$DD965,64),0)</f>
        <v/>
      </c>
      <c r="BO965">
        <f>IFERROR(INDEX(PP_Grid[#Data],$DD965,65),0)</f>
        <v/>
      </c>
      <c r="BP965">
        <f>IFERROR(INDEX(PP_Grid[#Data],$DD965,66),0)</f>
        <v/>
      </c>
      <c r="BQ965">
        <f>IFERROR(INDEX(PP_Grid[#Data],$DD965,67),0)</f>
        <v/>
      </c>
      <c r="BR965">
        <f>IFERROR(INDEX(PP_Grid[#Data],$DD965,68),0)</f>
        <v/>
      </c>
      <c r="BS965">
        <f>IFERROR(INDEX(PP_Grid[#Data],$DD965,69),0)</f>
        <v/>
      </c>
      <c r="BT965">
        <f>IFERROR(INDEX(PP_Grid[#Data],$DD965,70),0)</f>
        <v/>
      </c>
      <c r="BU965">
        <f>IFERROR(INDEX(PP_Grid[#Data],$DD965,71),0)</f>
        <v/>
      </c>
      <c r="BV965">
        <f>IFERROR(INDEX(PP_Grid[#Data],$DD965,72),0)</f>
        <v/>
      </c>
      <c r="BW965">
        <f>IFERROR(INDEX(PP_Grid[#Data],$DD965,73),0)</f>
        <v/>
      </c>
      <c r="BX965">
        <f>IFERROR(INDEX(PP_Grid[#Data],$DD965,74),0)</f>
        <v/>
      </c>
      <c r="BY965">
        <f>IFERROR(INDEX(PP_Grid[#Data],$DD965,75),0)</f>
        <v/>
      </c>
      <c r="BZ965">
        <f>IFERROR(INDEX(PP_Grid[#Data],$DD965,76),0)</f>
        <v/>
      </c>
      <c r="CA965">
        <f>IFERROR(INDEX(PP_Grid[#Data],$DD965,77),0)</f>
        <v/>
      </c>
      <c r="CB965">
        <f>IFERROR(INDEX(PP_Grid[#Data],$DD965,78),0)</f>
        <v/>
      </c>
      <c r="CC965">
        <f>IFERROR(INDEX(PP_Grid[#Data],$DD965,79),0)</f>
        <v/>
      </c>
      <c r="CD965">
        <f>IFERROR(INDEX(PP_Grid[#Data],$DD965,80),0)</f>
        <v/>
      </c>
      <c r="CE965">
        <f>IFERROR(INDEX(PP_Grid[#Data],$DD965,81),0)</f>
        <v/>
      </c>
      <c r="CF965">
        <f>IFERROR(INDEX(PP_Grid[#Data],$DD965,82),0)</f>
        <v/>
      </c>
      <c r="CG965">
        <f>IFERROR(INDEX(PP_Grid[#Data],$DD965,83),0)</f>
        <v/>
      </c>
      <c r="CH965">
        <f>IFERROR(INDEX(PP_Grid[#Data],$DD965,84),0)</f>
        <v/>
      </c>
      <c r="CI965">
        <f>IFERROR(INDEX(PP_Grid[#Data],$DD965,85),0)</f>
        <v/>
      </c>
      <c r="CJ965">
        <f>IFERROR(INDEX(PP_Grid[#Data],$DD965,86),0)</f>
        <v/>
      </c>
      <c r="CK965">
        <f>IFERROR(INDEX(PP_Grid[#Data],$DD965,87),0)</f>
        <v/>
      </c>
      <c r="CL965">
        <f>IFERROR(INDEX(PP_Grid[#Data],$DD965,88),0)</f>
        <v/>
      </c>
      <c r="CM965">
        <f>IFERROR(INDEX(PP_Grid[#Data],$DD965,89),0)</f>
        <v/>
      </c>
      <c r="CN965">
        <f>IFERROR(INDEX(PP_Grid[#Data],$DD965,90),0)</f>
        <v/>
      </c>
      <c r="CO965">
        <f>IFERROR(INDEX(PP_Grid[#Data],$DD965,91),0)</f>
        <v/>
      </c>
      <c r="CP965">
        <f>IFERROR(INDEX(PP_Grid[#Data],$DD965,92),0)</f>
        <v/>
      </c>
      <c r="CQ965">
        <f>IFERROR(INDEX(PP_Grid[#Data],$DD965,93),0)</f>
        <v/>
      </c>
      <c r="CR965">
        <f>IFERROR(INDEX(PP_Grid[#Data],$DD965,94),0)</f>
        <v/>
      </c>
      <c r="CS965">
        <f>IFERROR(INDEX(PP_Grid[#Data],$DD965,95),0)</f>
        <v/>
      </c>
      <c r="CT965">
        <f>IFERROR(INDEX(PP_Grid[#Data],$DD965,96),0)</f>
        <v/>
      </c>
      <c r="CU965">
        <f>IFERROR(INDEX(PP_Grid[#Data],$DD965,97),0)</f>
        <v/>
      </c>
      <c r="CV965">
        <f>IFERROR(INDEX(PP_Grid[#Data],$DD965,98),0)</f>
        <v/>
      </c>
      <c r="CW965">
        <f>IFERROR(INDEX(PP_Grid[#Data],$DD965,99),0)</f>
        <v/>
      </c>
      <c r="CX965">
        <f>IFERROR(INDEX(PP_Grid[#Data],$DD965,100),0)</f>
        <v/>
      </c>
      <c r="CY965">
        <f>IFERROR(INDEX(PP_Grid[#Data],$DD965,101),0)</f>
        <v/>
      </c>
      <c r="CZ965">
        <f>IFERROR(INDEX(PP_Grid[#Data],$DD965,102),0)</f>
        <v/>
      </c>
      <c r="DA965">
        <f>IFERROR(INDEX(PP_Grid[#Data],$DD965,103),0)</f>
        <v/>
      </c>
      <c r="DB965">
        <f>IFERROR(INDEX(PP_Grid[#Data],$DD965,104),0)</f>
        <v/>
      </c>
      <c r="DC965">
        <f>IFERROR(INDEX(PP_Grid[#Data],$DD965,105),0)</f>
        <v/>
      </c>
      <c r="DD965" s="12">
        <f>IFERROR(MATCH($B965,PP_Grid[Intermediate],0),99999)</f>
        <v/>
      </c>
    </row>
    <row r="966">
      <c r="B966" t="inlineStr">
        <is>
          <t>使用量(kg)</t>
        </is>
      </c>
      <c r="C966">
        <f>SUMIFS(M_BOM[RM_Qty_Per_Batch],M_BOM[Intermediate],$B965,M_BOM[Part Name],$A958)</f>
        <v/>
      </c>
      <c r="D966">
        <f>$C966*D965</f>
        <v/>
      </c>
      <c r="E966">
        <f>$C966*E965</f>
        <v/>
      </c>
      <c r="F966">
        <f>$C966*F965</f>
        <v/>
      </c>
      <c r="G966">
        <f>$C966*G965</f>
        <v/>
      </c>
      <c r="H966">
        <f>$C966*H965</f>
        <v/>
      </c>
      <c r="I966">
        <f>$C966*I965</f>
        <v/>
      </c>
      <c r="J966">
        <f>$C966*J965</f>
        <v/>
      </c>
      <c r="K966">
        <f>$C966*K965</f>
        <v/>
      </c>
      <c r="L966">
        <f>$C966*L965</f>
        <v/>
      </c>
      <c r="M966">
        <f>$C966*M965</f>
        <v/>
      </c>
      <c r="N966">
        <f>$C966*N965</f>
        <v/>
      </c>
      <c r="O966">
        <f>$C966*O965</f>
        <v/>
      </c>
      <c r="P966">
        <f>$C966*P965</f>
        <v/>
      </c>
      <c r="Q966">
        <f>$C966*Q965</f>
        <v/>
      </c>
      <c r="R966">
        <f>$C966*R965</f>
        <v/>
      </c>
      <c r="S966">
        <f>$C966*S965</f>
        <v/>
      </c>
      <c r="T966">
        <f>$C966*T965</f>
        <v/>
      </c>
      <c r="U966">
        <f>$C966*U965</f>
        <v/>
      </c>
      <c r="V966">
        <f>$C966*V965</f>
        <v/>
      </c>
      <c r="W966">
        <f>$C966*W965</f>
        <v/>
      </c>
      <c r="X966">
        <f>$C966*X965</f>
        <v/>
      </c>
      <c r="Y966">
        <f>$C966*Y965</f>
        <v/>
      </c>
      <c r="Z966">
        <f>$C966*Z965</f>
        <v/>
      </c>
      <c r="AA966">
        <f>$C966*AA965</f>
        <v/>
      </c>
      <c r="AB966">
        <f>$C966*AB965</f>
        <v/>
      </c>
      <c r="AC966">
        <f>$C966*AC965</f>
        <v/>
      </c>
      <c r="AD966">
        <f>$C966*AD965</f>
        <v/>
      </c>
      <c r="AE966">
        <f>$C966*AE965</f>
        <v/>
      </c>
      <c r="AF966">
        <f>$C966*AF965</f>
        <v/>
      </c>
      <c r="AG966">
        <f>$C966*AG965</f>
        <v/>
      </c>
      <c r="AH966">
        <f>$C966*AH965</f>
        <v/>
      </c>
      <c r="AI966">
        <f>$C966*AI965</f>
        <v/>
      </c>
      <c r="AJ966">
        <f>$C966*AJ965</f>
        <v/>
      </c>
      <c r="AK966">
        <f>$C966*AK965</f>
        <v/>
      </c>
      <c r="AL966">
        <f>$C966*AL965</f>
        <v/>
      </c>
      <c r="AM966">
        <f>$C966*AM965</f>
        <v/>
      </c>
      <c r="AN966">
        <f>$C966*AN965</f>
        <v/>
      </c>
      <c r="AO966">
        <f>$C966*AO965</f>
        <v/>
      </c>
      <c r="AP966">
        <f>$C966*AP965</f>
        <v/>
      </c>
      <c r="AQ966">
        <f>$C966*AQ965</f>
        <v/>
      </c>
      <c r="AR966">
        <f>$C966*AR965</f>
        <v/>
      </c>
      <c r="AS966">
        <f>$C966*AS965</f>
        <v/>
      </c>
      <c r="AT966">
        <f>$C966*AT965</f>
        <v/>
      </c>
      <c r="AU966">
        <f>$C966*AU965</f>
        <v/>
      </c>
      <c r="AV966">
        <f>$C966*AV965</f>
        <v/>
      </c>
      <c r="AW966">
        <f>$C966*AW965</f>
        <v/>
      </c>
      <c r="AX966">
        <f>$C966*AX965</f>
        <v/>
      </c>
      <c r="AY966">
        <f>$C966*AY965</f>
        <v/>
      </c>
      <c r="AZ966">
        <f>$C966*AZ965</f>
        <v/>
      </c>
      <c r="BA966">
        <f>$C966*BA965</f>
        <v/>
      </c>
      <c r="BB966">
        <f>$C966*BB965</f>
        <v/>
      </c>
      <c r="BC966">
        <f>$C966*BC965</f>
        <v/>
      </c>
      <c r="BD966">
        <f>$C966*BD965</f>
        <v/>
      </c>
      <c r="BE966">
        <f>$C966*BE965</f>
        <v/>
      </c>
      <c r="BF966">
        <f>$C966*BF965</f>
        <v/>
      </c>
      <c r="BG966">
        <f>$C966*BG965</f>
        <v/>
      </c>
      <c r="BH966">
        <f>$C966*BH965</f>
        <v/>
      </c>
      <c r="BI966">
        <f>$C966*BI965</f>
        <v/>
      </c>
      <c r="BJ966">
        <f>$C966*BJ965</f>
        <v/>
      </c>
      <c r="BK966">
        <f>$C966*BK965</f>
        <v/>
      </c>
      <c r="BL966">
        <f>$C966*BL965</f>
        <v/>
      </c>
      <c r="BM966">
        <f>$C966*BM965</f>
        <v/>
      </c>
      <c r="BN966">
        <f>$C966*BN965</f>
        <v/>
      </c>
      <c r="BO966">
        <f>$C966*BO965</f>
        <v/>
      </c>
      <c r="BP966">
        <f>$C966*BP965</f>
        <v/>
      </c>
      <c r="BQ966">
        <f>$C966*BQ965</f>
        <v/>
      </c>
      <c r="BR966">
        <f>$C966*BR965</f>
        <v/>
      </c>
      <c r="BS966">
        <f>$C966*BS965</f>
        <v/>
      </c>
      <c r="BT966">
        <f>$C966*BT965</f>
        <v/>
      </c>
      <c r="BU966">
        <f>$C966*BU965</f>
        <v/>
      </c>
      <c r="BV966">
        <f>$C966*BV965</f>
        <v/>
      </c>
      <c r="BW966">
        <f>$C966*BW965</f>
        <v/>
      </c>
      <c r="BX966">
        <f>$C966*BX965</f>
        <v/>
      </c>
      <c r="BY966">
        <f>$C966*BY965</f>
        <v/>
      </c>
      <c r="BZ966">
        <f>$C966*BZ965</f>
        <v/>
      </c>
      <c r="CA966">
        <f>$C966*CA965</f>
        <v/>
      </c>
      <c r="CB966">
        <f>$C966*CB965</f>
        <v/>
      </c>
      <c r="CC966">
        <f>$C966*CC965</f>
        <v/>
      </c>
      <c r="CD966">
        <f>$C966*CD965</f>
        <v/>
      </c>
      <c r="CE966">
        <f>$C966*CE965</f>
        <v/>
      </c>
      <c r="CF966">
        <f>$C966*CF965</f>
        <v/>
      </c>
      <c r="CG966">
        <f>$C966*CG965</f>
        <v/>
      </c>
      <c r="CH966">
        <f>$C966*CH965</f>
        <v/>
      </c>
      <c r="CI966">
        <f>$C966*CI965</f>
        <v/>
      </c>
      <c r="CJ966">
        <f>$C966*CJ965</f>
        <v/>
      </c>
      <c r="CK966">
        <f>$C966*CK965</f>
        <v/>
      </c>
      <c r="CL966">
        <f>$C966*CL965</f>
        <v/>
      </c>
      <c r="CM966">
        <f>$C966*CM965</f>
        <v/>
      </c>
      <c r="CN966">
        <f>$C966*CN965</f>
        <v/>
      </c>
      <c r="CO966">
        <f>$C966*CO965</f>
        <v/>
      </c>
      <c r="CP966">
        <f>$C966*CP965</f>
        <v/>
      </c>
      <c r="CQ966">
        <f>$C966*CQ965</f>
        <v/>
      </c>
      <c r="CR966">
        <f>$C966*CR965</f>
        <v/>
      </c>
      <c r="CS966">
        <f>$C966*CS965</f>
        <v/>
      </c>
      <c r="CT966">
        <f>$C966*CT965</f>
        <v/>
      </c>
      <c r="CU966">
        <f>$C966*CU965</f>
        <v/>
      </c>
      <c r="CV966">
        <f>$C966*CV965</f>
        <v/>
      </c>
      <c r="CW966">
        <f>$C966*CW965</f>
        <v/>
      </c>
      <c r="CX966">
        <f>$C966*CX965</f>
        <v/>
      </c>
      <c r="CY966">
        <f>$C966*CY965</f>
        <v/>
      </c>
      <c r="CZ966">
        <f>$C966*CZ965</f>
        <v/>
      </c>
      <c r="DA966">
        <f>$C966*DA965</f>
        <v/>
      </c>
      <c r="DB966">
        <f>$C966*DB965</f>
        <v/>
      </c>
      <c r="DC966">
        <f>$C966*DC965</f>
        <v/>
      </c>
    </row>
    <row r="967">
      <c r="B967" s="5" t="inlineStr">
        <is>
          <t>合計使用量(kg)/週</t>
        </is>
      </c>
      <c r="D967">
        <f>'Grid_Requirement'!B42</f>
        <v/>
      </c>
      <c r="E967">
        <f>'Grid_Requirement'!C42</f>
        <v/>
      </c>
      <c r="F967">
        <f>'Grid_Requirement'!D42</f>
        <v/>
      </c>
      <c r="G967">
        <f>'Grid_Requirement'!E42</f>
        <v/>
      </c>
      <c r="H967">
        <f>'Grid_Requirement'!F42</f>
        <v/>
      </c>
      <c r="I967">
        <f>'Grid_Requirement'!G42</f>
        <v/>
      </c>
      <c r="J967">
        <f>'Grid_Requirement'!H42</f>
        <v/>
      </c>
      <c r="K967">
        <f>'Grid_Requirement'!I42</f>
        <v/>
      </c>
      <c r="L967">
        <f>'Grid_Requirement'!J42</f>
        <v/>
      </c>
      <c r="M967">
        <f>'Grid_Requirement'!K42</f>
        <v/>
      </c>
      <c r="N967">
        <f>'Grid_Requirement'!L42</f>
        <v/>
      </c>
      <c r="O967">
        <f>'Grid_Requirement'!M42</f>
        <v/>
      </c>
      <c r="P967">
        <f>'Grid_Requirement'!N42</f>
        <v/>
      </c>
      <c r="Q967">
        <f>'Grid_Requirement'!O42</f>
        <v/>
      </c>
      <c r="R967">
        <f>'Grid_Requirement'!P42</f>
        <v/>
      </c>
      <c r="S967">
        <f>'Grid_Requirement'!Q42</f>
        <v/>
      </c>
      <c r="T967">
        <f>'Grid_Requirement'!R42</f>
        <v/>
      </c>
      <c r="U967">
        <f>'Grid_Requirement'!S42</f>
        <v/>
      </c>
      <c r="V967">
        <f>'Grid_Requirement'!T42</f>
        <v/>
      </c>
      <c r="W967">
        <f>'Grid_Requirement'!U42</f>
        <v/>
      </c>
      <c r="X967">
        <f>'Grid_Requirement'!V42</f>
        <v/>
      </c>
      <c r="Y967">
        <f>'Grid_Requirement'!W42</f>
        <v/>
      </c>
      <c r="Z967">
        <f>'Grid_Requirement'!X42</f>
        <v/>
      </c>
      <c r="AA967">
        <f>'Grid_Requirement'!Y42</f>
        <v/>
      </c>
      <c r="AB967">
        <f>'Grid_Requirement'!Z42</f>
        <v/>
      </c>
      <c r="AC967">
        <f>'Grid_Requirement'!AA42</f>
        <v/>
      </c>
      <c r="AD967">
        <f>'Grid_Requirement'!AB42</f>
        <v/>
      </c>
      <c r="AE967">
        <f>'Grid_Requirement'!AC42</f>
        <v/>
      </c>
      <c r="AF967">
        <f>'Grid_Requirement'!AD42</f>
        <v/>
      </c>
      <c r="AG967">
        <f>'Grid_Requirement'!AE42</f>
        <v/>
      </c>
      <c r="AH967">
        <f>'Grid_Requirement'!AF42</f>
        <v/>
      </c>
      <c r="AI967">
        <f>'Grid_Requirement'!AG42</f>
        <v/>
      </c>
      <c r="AJ967">
        <f>'Grid_Requirement'!AH42</f>
        <v/>
      </c>
      <c r="AK967">
        <f>'Grid_Requirement'!AI42</f>
        <v/>
      </c>
      <c r="AL967">
        <f>'Grid_Requirement'!AJ42</f>
        <v/>
      </c>
      <c r="AM967">
        <f>'Grid_Requirement'!AK42</f>
        <v/>
      </c>
      <c r="AN967">
        <f>'Grid_Requirement'!AL42</f>
        <v/>
      </c>
      <c r="AO967">
        <f>'Grid_Requirement'!AM42</f>
        <v/>
      </c>
      <c r="AP967">
        <f>'Grid_Requirement'!AN42</f>
        <v/>
      </c>
      <c r="AQ967">
        <f>'Grid_Requirement'!AO42</f>
        <v/>
      </c>
      <c r="AR967">
        <f>'Grid_Requirement'!AP42</f>
        <v/>
      </c>
      <c r="AS967">
        <f>'Grid_Requirement'!AQ42</f>
        <v/>
      </c>
      <c r="AT967">
        <f>'Grid_Requirement'!AR42</f>
        <v/>
      </c>
      <c r="AU967">
        <f>'Grid_Requirement'!AS42</f>
        <v/>
      </c>
      <c r="AV967">
        <f>'Grid_Requirement'!AT42</f>
        <v/>
      </c>
      <c r="AW967">
        <f>'Grid_Requirement'!AU42</f>
        <v/>
      </c>
      <c r="AX967">
        <f>'Grid_Requirement'!AV42</f>
        <v/>
      </c>
      <c r="AY967">
        <f>'Grid_Requirement'!AW42</f>
        <v/>
      </c>
      <c r="AZ967">
        <f>'Grid_Requirement'!AX42</f>
        <v/>
      </c>
      <c r="BA967">
        <f>'Grid_Requirement'!AY42</f>
        <v/>
      </c>
      <c r="BB967">
        <f>'Grid_Requirement'!AZ42</f>
        <v/>
      </c>
      <c r="BC967">
        <f>'Grid_Requirement'!BA42</f>
        <v/>
      </c>
      <c r="BD967">
        <f>'Grid_Requirement'!BB42</f>
        <v/>
      </c>
      <c r="BE967">
        <f>'Grid_Requirement'!BC42</f>
        <v/>
      </c>
      <c r="BF967">
        <f>'Grid_Requirement'!BD42</f>
        <v/>
      </c>
      <c r="BG967">
        <f>'Grid_Requirement'!BE42</f>
        <v/>
      </c>
      <c r="BH967">
        <f>'Grid_Requirement'!BF42</f>
        <v/>
      </c>
      <c r="BI967">
        <f>'Grid_Requirement'!BG42</f>
        <v/>
      </c>
      <c r="BJ967">
        <f>'Grid_Requirement'!BH42</f>
        <v/>
      </c>
      <c r="BK967">
        <f>'Grid_Requirement'!BI42</f>
        <v/>
      </c>
      <c r="BL967">
        <f>'Grid_Requirement'!BJ42</f>
        <v/>
      </c>
      <c r="BM967">
        <f>'Grid_Requirement'!BK42</f>
        <v/>
      </c>
      <c r="BN967">
        <f>'Grid_Requirement'!BL42</f>
        <v/>
      </c>
      <c r="BO967">
        <f>'Grid_Requirement'!BM42</f>
        <v/>
      </c>
      <c r="BP967">
        <f>'Grid_Requirement'!BN42</f>
        <v/>
      </c>
      <c r="BQ967">
        <f>'Grid_Requirement'!BO42</f>
        <v/>
      </c>
      <c r="BR967">
        <f>'Grid_Requirement'!BP42</f>
        <v/>
      </c>
      <c r="BS967">
        <f>'Grid_Requirement'!BQ42</f>
        <v/>
      </c>
      <c r="BT967">
        <f>'Grid_Requirement'!BR42</f>
        <v/>
      </c>
      <c r="BU967">
        <f>'Grid_Requirement'!BS42</f>
        <v/>
      </c>
      <c r="BV967">
        <f>'Grid_Requirement'!BT42</f>
        <v/>
      </c>
      <c r="BW967">
        <f>'Grid_Requirement'!BU42</f>
        <v/>
      </c>
      <c r="BX967">
        <f>'Grid_Requirement'!BV42</f>
        <v/>
      </c>
      <c r="BY967">
        <f>'Grid_Requirement'!BW42</f>
        <v/>
      </c>
      <c r="BZ967">
        <f>'Grid_Requirement'!BX42</f>
        <v/>
      </c>
      <c r="CA967">
        <f>'Grid_Requirement'!BY42</f>
        <v/>
      </c>
      <c r="CB967">
        <f>'Grid_Requirement'!BZ42</f>
        <v/>
      </c>
      <c r="CC967">
        <f>'Grid_Requirement'!CA42</f>
        <v/>
      </c>
      <c r="CD967">
        <f>'Grid_Requirement'!CB42</f>
        <v/>
      </c>
      <c r="CE967">
        <f>'Grid_Requirement'!CC42</f>
        <v/>
      </c>
      <c r="CF967">
        <f>'Grid_Requirement'!CD42</f>
        <v/>
      </c>
      <c r="CG967">
        <f>'Grid_Requirement'!CE42</f>
        <v/>
      </c>
      <c r="CH967">
        <f>'Grid_Requirement'!CF42</f>
        <v/>
      </c>
      <c r="CI967">
        <f>'Grid_Requirement'!CG42</f>
        <v/>
      </c>
      <c r="CJ967">
        <f>'Grid_Requirement'!CH42</f>
        <v/>
      </c>
      <c r="CK967">
        <f>'Grid_Requirement'!CI42</f>
        <v/>
      </c>
      <c r="CL967">
        <f>'Grid_Requirement'!CJ42</f>
        <v/>
      </c>
      <c r="CM967">
        <f>'Grid_Requirement'!CK42</f>
        <v/>
      </c>
      <c r="CN967">
        <f>'Grid_Requirement'!CL42</f>
        <v/>
      </c>
      <c r="CO967">
        <f>'Grid_Requirement'!CM42</f>
        <v/>
      </c>
      <c r="CP967">
        <f>'Grid_Requirement'!CN42</f>
        <v/>
      </c>
      <c r="CQ967">
        <f>'Grid_Requirement'!CO42</f>
        <v/>
      </c>
      <c r="CR967">
        <f>'Grid_Requirement'!CP42</f>
        <v/>
      </c>
      <c r="CS967">
        <f>'Grid_Requirement'!CQ42</f>
        <v/>
      </c>
      <c r="CT967">
        <f>'Grid_Requirement'!CR42</f>
        <v/>
      </c>
      <c r="CU967">
        <f>'Grid_Requirement'!CS42</f>
        <v/>
      </c>
      <c r="CV967">
        <f>'Grid_Requirement'!CT42</f>
        <v/>
      </c>
      <c r="CW967">
        <f>'Grid_Requirement'!CU42</f>
        <v/>
      </c>
      <c r="CX967">
        <f>'Grid_Requirement'!CV42</f>
        <v/>
      </c>
      <c r="CY967">
        <f>'Grid_Requirement'!CW42</f>
        <v/>
      </c>
      <c r="CZ967">
        <f>'Grid_Requirement'!CX42</f>
        <v/>
      </c>
      <c r="DA967">
        <f>'Grid_Requirement'!CY42</f>
        <v/>
      </c>
      <c r="DB967">
        <f>'Grid_Requirement'!CZ42</f>
        <v/>
      </c>
      <c r="DC967">
        <f>'Grid_Requirement'!DA42</f>
        <v/>
      </c>
    </row>
    <row r="968">
      <c r="B968" t="inlineStr">
        <is>
          <t>TTAF在庫(実績,kg)</t>
        </is>
      </c>
      <c r="D968">
        <f>'T_TTAFStock'!B46</f>
        <v/>
      </c>
      <c r="E968">
        <f>'T_TTAFStock'!C46</f>
        <v/>
      </c>
      <c r="F968">
        <f>'T_TTAFStock'!D46</f>
        <v/>
      </c>
      <c r="G968">
        <f>'T_TTAFStock'!E46</f>
        <v/>
      </c>
      <c r="H968">
        <f>'T_TTAFStock'!F46</f>
        <v/>
      </c>
      <c r="I968">
        <f>'T_TTAFStock'!G46</f>
        <v/>
      </c>
      <c r="J968">
        <f>'T_TTAFStock'!H46</f>
        <v/>
      </c>
      <c r="K968">
        <f>'T_TTAFStock'!I46</f>
        <v/>
      </c>
      <c r="L968">
        <f>'T_TTAFStock'!J46</f>
        <v/>
      </c>
      <c r="M968">
        <f>'T_TTAFStock'!K46</f>
        <v/>
      </c>
      <c r="N968">
        <f>'T_TTAFStock'!L46</f>
        <v/>
      </c>
      <c r="O968">
        <f>'T_TTAFStock'!M46</f>
        <v/>
      </c>
      <c r="P968">
        <f>'T_TTAFStock'!N46</f>
        <v/>
      </c>
      <c r="Q968">
        <f>'T_TTAFStock'!O46</f>
        <v/>
      </c>
      <c r="R968">
        <f>'T_TTAFStock'!P46</f>
        <v/>
      </c>
      <c r="S968">
        <f>'T_TTAFStock'!Q46</f>
        <v/>
      </c>
      <c r="T968">
        <f>'T_TTAFStock'!R46</f>
        <v/>
      </c>
      <c r="U968">
        <f>'T_TTAFStock'!S46</f>
        <v/>
      </c>
      <c r="V968">
        <f>'T_TTAFStock'!T46</f>
        <v/>
      </c>
      <c r="W968">
        <f>'T_TTAFStock'!U46</f>
        <v/>
      </c>
      <c r="X968">
        <f>'T_TTAFStock'!V46</f>
        <v/>
      </c>
      <c r="Y968">
        <f>'T_TTAFStock'!W46</f>
        <v/>
      </c>
      <c r="Z968">
        <f>'T_TTAFStock'!X46</f>
        <v/>
      </c>
      <c r="AA968">
        <f>'T_TTAFStock'!Y46</f>
        <v/>
      </c>
      <c r="AB968">
        <f>'T_TTAFStock'!Z46</f>
        <v/>
      </c>
      <c r="AC968">
        <f>'T_TTAFStock'!AA46</f>
        <v/>
      </c>
      <c r="AD968">
        <f>'T_TTAFStock'!AB46</f>
        <v/>
      </c>
      <c r="AE968">
        <f>'T_TTAFStock'!AC46</f>
        <v/>
      </c>
      <c r="AF968">
        <f>'T_TTAFStock'!AD46</f>
        <v/>
      </c>
      <c r="AG968">
        <f>'T_TTAFStock'!AE46</f>
        <v/>
      </c>
      <c r="AH968">
        <f>'T_TTAFStock'!AF46</f>
        <v/>
      </c>
      <c r="AI968">
        <f>'T_TTAFStock'!AG46</f>
        <v/>
      </c>
      <c r="AJ968">
        <f>'T_TTAFStock'!AH46</f>
        <v/>
      </c>
      <c r="AK968">
        <f>'T_TTAFStock'!AI46</f>
        <v/>
      </c>
      <c r="AL968">
        <f>'T_TTAFStock'!AJ46</f>
        <v/>
      </c>
      <c r="AM968">
        <f>'T_TTAFStock'!AK46</f>
        <v/>
      </c>
      <c r="AN968">
        <f>'T_TTAFStock'!AL46</f>
        <v/>
      </c>
      <c r="AO968">
        <f>'T_TTAFStock'!AM46</f>
        <v/>
      </c>
      <c r="AP968">
        <f>'T_TTAFStock'!AN46</f>
        <v/>
      </c>
      <c r="AQ968">
        <f>'T_TTAFStock'!AO46</f>
        <v/>
      </c>
      <c r="AR968">
        <f>'T_TTAFStock'!AP46</f>
        <v/>
      </c>
      <c r="AS968">
        <f>'T_TTAFStock'!AQ46</f>
        <v/>
      </c>
      <c r="AT968">
        <f>'T_TTAFStock'!AR46</f>
        <v/>
      </c>
      <c r="AU968">
        <f>'T_TTAFStock'!AS46</f>
        <v/>
      </c>
      <c r="AV968">
        <f>'T_TTAFStock'!AT46</f>
        <v/>
      </c>
      <c r="AW968">
        <f>'T_TTAFStock'!AU46</f>
        <v/>
      </c>
      <c r="AX968">
        <f>'T_TTAFStock'!AV46</f>
        <v/>
      </c>
      <c r="AY968">
        <f>'T_TTAFStock'!AW46</f>
        <v/>
      </c>
      <c r="AZ968">
        <f>'T_TTAFStock'!AX46</f>
        <v/>
      </c>
      <c r="BA968">
        <f>'T_TTAFStock'!AY46</f>
        <v/>
      </c>
      <c r="BB968">
        <f>'T_TTAFStock'!AZ46</f>
        <v/>
      </c>
      <c r="BC968">
        <f>'T_TTAFStock'!BA46</f>
        <v/>
      </c>
      <c r="BD968">
        <f>'T_TTAFStock'!BB46</f>
        <v/>
      </c>
      <c r="BE968">
        <f>'T_TTAFStock'!BC46</f>
        <v/>
      </c>
      <c r="BF968">
        <f>'T_TTAFStock'!BD46</f>
        <v/>
      </c>
      <c r="BG968">
        <f>'T_TTAFStock'!BE46</f>
        <v/>
      </c>
      <c r="BH968">
        <f>'T_TTAFStock'!BF46</f>
        <v/>
      </c>
      <c r="BI968">
        <f>'T_TTAFStock'!BG46</f>
        <v/>
      </c>
      <c r="BJ968">
        <f>'T_TTAFStock'!BH46</f>
        <v/>
      </c>
      <c r="BK968">
        <f>'T_TTAFStock'!BI46</f>
        <v/>
      </c>
      <c r="BL968">
        <f>'T_TTAFStock'!BJ46</f>
        <v/>
      </c>
      <c r="BM968">
        <f>'T_TTAFStock'!BK46</f>
        <v/>
      </c>
      <c r="BN968">
        <f>'T_TTAFStock'!BL46</f>
        <v/>
      </c>
      <c r="BO968">
        <f>'T_TTAFStock'!BM46</f>
        <v/>
      </c>
      <c r="BP968">
        <f>'T_TTAFStock'!BN46</f>
        <v/>
      </c>
      <c r="BQ968">
        <f>'T_TTAFStock'!BO46</f>
        <v/>
      </c>
      <c r="BR968">
        <f>'T_TTAFStock'!BP46</f>
        <v/>
      </c>
      <c r="BS968">
        <f>'T_TTAFStock'!BQ46</f>
        <v/>
      </c>
      <c r="BT968">
        <f>'T_TTAFStock'!BR46</f>
        <v/>
      </c>
      <c r="BU968">
        <f>'T_TTAFStock'!BS46</f>
        <v/>
      </c>
      <c r="BV968">
        <f>'T_TTAFStock'!BT46</f>
        <v/>
      </c>
      <c r="BW968">
        <f>'T_TTAFStock'!BU46</f>
        <v/>
      </c>
      <c r="BX968">
        <f>'T_TTAFStock'!BV46</f>
        <v/>
      </c>
      <c r="BY968">
        <f>'T_TTAFStock'!BW46</f>
        <v/>
      </c>
      <c r="BZ968">
        <f>'T_TTAFStock'!BX46</f>
        <v/>
      </c>
      <c r="CA968">
        <f>'T_TTAFStock'!BY46</f>
        <v/>
      </c>
      <c r="CB968">
        <f>'T_TTAFStock'!BZ46</f>
        <v/>
      </c>
      <c r="CC968">
        <f>'T_TTAFStock'!CA46</f>
        <v/>
      </c>
      <c r="CD968">
        <f>'T_TTAFStock'!CB46</f>
        <v/>
      </c>
      <c r="CE968">
        <f>'T_TTAFStock'!CC46</f>
        <v/>
      </c>
      <c r="CF968">
        <f>'T_TTAFStock'!CD46</f>
        <v/>
      </c>
      <c r="CG968">
        <f>'T_TTAFStock'!CE46</f>
        <v/>
      </c>
      <c r="CH968">
        <f>'T_TTAFStock'!CF46</f>
        <v/>
      </c>
      <c r="CI968">
        <f>'T_TTAFStock'!CG46</f>
        <v/>
      </c>
      <c r="CJ968">
        <f>'T_TTAFStock'!CH46</f>
        <v/>
      </c>
      <c r="CK968">
        <f>'T_TTAFStock'!CI46</f>
        <v/>
      </c>
      <c r="CL968">
        <f>'T_TTAFStock'!CJ46</f>
        <v/>
      </c>
      <c r="CM968">
        <f>'T_TTAFStock'!CK46</f>
        <v/>
      </c>
      <c r="CN968">
        <f>'T_TTAFStock'!CL46</f>
        <v/>
      </c>
      <c r="CO968">
        <f>'T_TTAFStock'!CM46</f>
        <v/>
      </c>
      <c r="CP968">
        <f>'T_TTAFStock'!CN46</f>
        <v/>
      </c>
      <c r="CQ968">
        <f>'T_TTAFStock'!CO46</f>
        <v/>
      </c>
      <c r="CR968">
        <f>'T_TTAFStock'!CP46</f>
        <v/>
      </c>
      <c r="CS968">
        <f>'T_TTAFStock'!CQ46</f>
        <v/>
      </c>
      <c r="CT968">
        <f>'T_TTAFStock'!CR46</f>
        <v/>
      </c>
      <c r="CU968">
        <f>'T_TTAFStock'!CS46</f>
        <v/>
      </c>
      <c r="CV968">
        <f>'T_TTAFStock'!CT46</f>
        <v/>
      </c>
      <c r="CW968">
        <f>'T_TTAFStock'!CU46</f>
        <v/>
      </c>
      <c r="CX968">
        <f>'T_TTAFStock'!CV46</f>
        <v/>
      </c>
      <c r="CY968">
        <f>'T_TTAFStock'!CW46</f>
        <v/>
      </c>
      <c r="CZ968">
        <f>'T_TTAFStock'!CX46</f>
        <v/>
      </c>
      <c r="DA968">
        <f>'T_TTAFStock'!CY46</f>
        <v/>
      </c>
      <c r="DB968">
        <f>'T_TTAFStock'!CZ46</f>
        <v/>
      </c>
      <c r="DC968">
        <f>'T_TTAFStock'!DA46</f>
        <v/>
      </c>
    </row>
    <row r="969">
      <c r="B969" t="inlineStr">
        <is>
          <t>自社在庫(実績,kg)</t>
        </is>
      </c>
      <c r="D969">
        <f>'T_SelfStock'!B46</f>
        <v/>
      </c>
      <c r="E969">
        <f>'T_SelfStock'!C46</f>
        <v/>
      </c>
      <c r="F969">
        <f>'T_SelfStock'!D46</f>
        <v/>
      </c>
      <c r="G969">
        <f>'T_SelfStock'!E46</f>
        <v/>
      </c>
      <c r="H969">
        <f>'T_SelfStock'!F46</f>
        <v/>
      </c>
      <c r="I969">
        <f>'T_SelfStock'!G46</f>
        <v/>
      </c>
      <c r="J969">
        <f>'T_SelfStock'!H46</f>
        <v/>
      </c>
      <c r="K969">
        <f>'T_SelfStock'!I46</f>
        <v/>
      </c>
      <c r="L969">
        <f>'T_SelfStock'!J46</f>
        <v/>
      </c>
      <c r="M969">
        <f>'T_SelfStock'!K46</f>
        <v/>
      </c>
      <c r="N969">
        <f>'T_SelfStock'!L46</f>
        <v/>
      </c>
      <c r="O969">
        <f>'T_SelfStock'!M46</f>
        <v/>
      </c>
      <c r="P969">
        <f>'T_SelfStock'!N46</f>
        <v/>
      </c>
      <c r="Q969">
        <f>'T_SelfStock'!O46</f>
        <v/>
      </c>
      <c r="R969">
        <f>'T_SelfStock'!P46</f>
        <v/>
      </c>
      <c r="S969">
        <f>'T_SelfStock'!Q46</f>
        <v/>
      </c>
      <c r="T969">
        <f>'T_SelfStock'!R46</f>
        <v/>
      </c>
      <c r="U969">
        <f>'T_SelfStock'!S46</f>
        <v/>
      </c>
      <c r="V969">
        <f>'T_SelfStock'!T46</f>
        <v/>
      </c>
      <c r="W969">
        <f>'T_SelfStock'!U46</f>
        <v/>
      </c>
      <c r="X969">
        <f>'T_SelfStock'!V46</f>
        <v/>
      </c>
      <c r="Y969">
        <f>'T_SelfStock'!W46</f>
        <v/>
      </c>
      <c r="Z969">
        <f>'T_SelfStock'!X46</f>
        <v/>
      </c>
      <c r="AA969">
        <f>'T_SelfStock'!Y46</f>
        <v/>
      </c>
      <c r="AB969">
        <f>'T_SelfStock'!Z46</f>
        <v/>
      </c>
      <c r="AC969">
        <f>'T_SelfStock'!AA46</f>
        <v/>
      </c>
      <c r="AD969">
        <f>'T_SelfStock'!AB46</f>
        <v/>
      </c>
      <c r="AE969">
        <f>'T_SelfStock'!AC46</f>
        <v/>
      </c>
      <c r="AF969">
        <f>'T_SelfStock'!AD46</f>
        <v/>
      </c>
      <c r="AG969">
        <f>'T_SelfStock'!AE46</f>
        <v/>
      </c>
      <c r="AH969">
        <f>'T_SelfStock'!AF46</f>
        <v/>
      </c>
      <c r="AI969">
        <f>'T_SelfStock'!AG46</f>
        <v/>
      </c>
      <c r="AJ969">
        <f>'T_SelfStock'!AH46</f>
        <v/>
      </c>
      <c r="AK969">
        <f>'T_SelfStock'!AI46</f>
        <v/>
      </c>
      <c r="AL969">
        <f>'T_SelfStock'!AJ46</f>
        <v/>
      </c>
      <c r="AM969">
        <f>'T_SelfStock'!AK46</f>
        <v/>
      </c>
      <c r="AN969">
        <f>'T_SelfStock'!AL46</f>
        <v/>
      </c>
      <c r="AO969">
        <f>'T_SelfStock'!AM46</f>
        <v/>
      </c>
      <c r="AP969">
        <f>'T_SelfStock'!AN46</f>
        <v/>
      </c>
      <c r="AQ969">
        <f>'T_SelfStock'!AO46</f>
        <v/>
      </c>
      <c r="AR969">
        <f>'T_SelfStock'!AP46</f>
        <v/>
      </c>
      <c r="AS969">
        <f>'T_SelfStock'!AQ46</f>
        <v/>
      </c>
      <c r="AT969">
        <f>'T_SelfStock'!AR46</f>
        <v/>
      </c>
      <c r="AU969">
        <f>'T_SelfStock'!AS46</f>
        <v/>
      </c>
      <c r="AV969">
        <f>'T_SelfStock'!AT46</f>
        <v/>
      </c>
      <c r="AW969">
        <f>'T_SelfStock'!AU46</f>
        <v/>
      </c>
      <c r="AX969">
        <f>'T_SelfStock'!AV46</f>
        <v/>
      </c>
      <c r="AY969">
        <f>'T_SelfStock'!AW46</f>
        <v/>
      </c>
      <c r="AZ969">
        <f>'T_SelfStock'!AX46</f>
        <v/>
      </c>
      <c r="BA969">
        <f>'T_SelfStock'!AY46</f>
        <v/>
      </c>
      <c r="BB969">
        <f>'T_SelfStock'!AZ46</f>
        <v/>
      </c>
      <c r="BC969">
        <f>'T_SelfStock'!BA46</f>
        <v/>
      </c>
      <c r="BD969">
        <f>'T_SelfStock'!BB46</f>
        <v/>
      </c>
      <c r="BE969">
        <f>'T_SelfStock'!BC46</f>
        <v/>
      </c>
      <c r="BF969">
        <f>'T_SelfStock'!BD46</f>
        <v/>
      </c>
      <c r="BG969">
        <f>'T_SelfStock'!BE46</f>
        <v/>
      </c>
      <c r="BH969">
        <f>'T_SelfStock'!BF46</f>
        <v/>
      </c>
      <c r="BI969">
        <f>'T_SelfStock'!BG46</f>
        <v/>
      </c>
      <c r="BJ969">
        <f>'T_SelfStock'!BH46</f>
        <v/>
      </c>
      <c r="BK969">
        <f>'T_SelfStock'!BI46</f>
        <v/>
      </c>
      <c r="BL969">
        <f>'T_SelfStock'!BJ46</f>
        <v/>
      </c>
      <c r="BM969">
        <f>'T_SelfStock'!BK46</f>
        <v/>
      </c>
      <c r="BN969">
        <f>'T_SelfStock'!BL46</f>
        <v/>
      </c>
      <c r="BO969">
        <f>'T_SelfStock'!BM46</f>
        <v/>
      </c>
      <c r="BP969">
        <f>'T_SelfStock'!BN46</f>
        <v/>
      </c>
      <c r="BQ969">
        <f>'T_SelfStock'!BO46</f>
        <v/>
      </c>
      <c r="BR969">
        <f>'T_SelfStock'!BP46</f>
        <v/>
      </c>
      <c r="BS969">
        <f>'T_SelfStock'!BQ46</f>
        <v/>
      </c>
      <c r="BT969">
        <f>'T_SelfStock'!BR46</f>
        <v/>
      </c>
      <c r="BU969">
        <f>'T_SelfStock'!BS46</f>
        <v/>
      </c>
      <c r="BV969">
        <f>'T_SelfStock'!BT46</f>
        <v/>
      </c>
      <c r="BW969">
        <f>'T_SelfStock'!BU46</f>
        <v/>
      </c>
      <c r="BX969">
        <f>'T_SelfStock'!BV46</f>
        <v/>
      </c>
      <c r="BY969">
        <f>'T_SelfStock'!BW46</f>
        <v/>
      </c>
      <c r="BZ969">
        <f>'T_SelfStock'!BX46</f>
        <v/>
      </c>
      <c r="CA969">
        <f>'T_SelfStock'!BY46</f>
        <v/>
      </c>
      <c r="CB969">
        <f>'T_SelfStock'!BZ46</f>
        <v/>
      </c>
      <c r="CC969">
        <f>'T_SelfStock'!CA46</f>
        <v/>
      </c>
      <c r="CD969">
        <f>'T_SelfStock'!CB46</f>
        <v/>
      </c>
      <c r="CE969">
        <f>'T_SelfStock'!CC46</f>
        <v/>
      </c>
      <c r="CF969">
        <f>'T_SelfStock'!CD46</f>
        <v/>
      </c>
      <c r="CG969">
        <f>'T_SelfStock'!CE46</f>
        <v/>
      </c>
      <c r="CH969">
        <f>'T_SelfStock'!CF46</f>
        <v/>
      </c>
      <c r="CI969">
        <f>'T_SelfStock'!CG46</f>
        <v/>
      </c>
      <c r="CJ969">
        <f>'T_SelfStock'!CH46</f>
        <v/>
      </c>
      <c r="CK969">
        <f>'T_SelfStock'!CI46</f>
        <v/>
      </c>
      <c r="CL969">
        <f>'T_SelfStock'!CJ46</f>
        <v/>
      </c>
      <c r="CM969">
        <f>'T_SelfStock'!CK46</f>
        <v/>
      </c>
      <c r="CN969">
        <f>'T_SelfStock'!CL46</f>
        <v/>
      </c>
      <c r="CO969">
        <f>'T_SelfStock'!CM46</f>
        <v/>
      </c>
      <c r="CP969">
        <f>'T_SelfStock'!CN46</f>
        <v/>
      </c>
      <c r="CQ969">
        <f>'T_SelfStock'!CO46</f>
        <v/>
      </c>
      <c r="CR969">
        <f>'T_SelfStock'!CP46</f>
        <v/>
      </c>
      <c r="CS969">
        <f>'T_SelfStock'!CQ46</f>
        <v/>
      </c>
      <c r="CT969">
        <f>'T_SelfStock'!CR46</f>
        <v/>
      </c>
      <c r="CU969">
        <f>'T_SelfStock'!CS46</f>
        <v/>
      </c>
      <c r="CV969">
        <f>'T_SelfStock'!CT46</f>
        <v/>
      </c>
      <c r="CW969">
        <f>'T_SelfStock'!CU46</f>
        <v/>
      </c>
      <c r="CX969">
        <f>'T_SelfStock'!CV46</f>
        <v/>
      </c>
      <c r="CY969">
        <f>'T_SelfStock'!CW46</f>
        <v/>
      </c>
      <c r="CZ969">
        <f>'T_SelfStock'!CX46</f>
        <v/>
      </c>
      <c r="DA969">
        <f>'T_SelfStock'!CY46</f>
        <v/>
      </c>
      <c r="DB969">
        <f>'T_SelfStock'!CZ46</f>
        <v/>
      </c>
      <c r="DC969">
        <f>'T_SelfStock'!DA46</f>
        <v/>
      </c>
    </row>
    <row r="970">
      <c r="B970" t="inlineStr">
        <is>
          <t>Order(発注予定,kg)</t>
        </is>
      </c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  <c r="AA970" s="23" t="n"/>
      <c r="AB970" s="23" t="n"/>
      <c r="AC970" s="23" t="n"/>
      <c r="AD970" s="23" t="n"/>
      <c r="AE970" s="23" t="n"/>
      <c r="AF970" s="23" t="n"/>
      <c r="AG970" s="23" t="n"/>
      <c r="AH970" s="23" t="n"/>
      <c r="AI970" s="23" t="n"/>
      <c r="AJ970" s="23" t="n"/>
      <c r="AK970" s="23" t="n"/>
      <c r="AL970" s="23" t="n"/>
      <c r="AM970" s="23" t="n"/>
      <c r="AN970" s="23" t="n"/>
      <c r="AO970" s="23" t="n"/>
      <c r="AP970" s="23" t="n"/>
      <c r="AQ970" s="23" t="n"/>
      <c r="AR970" s="23" t="n"/>
      <c r="AS970" s="23" t="n"/>
      <c r="AT970" s="23" t="n"/>
      <c r="AU970" s="23" t="n"/>
      <c r="AV970" s="23" t="n"/>
      <c r="AW970" s="23" t="n"/>
      <c r="AX970" s="23" t="n"/>
      <c r="AY970" s="23" t="n"/>
      <c r="AZ970" s="23" t="n"/>
      <c r="BA970" s="23" t="n"/>
      <c r="BB970" s="23" t="n"/>
      <c r="BC970" s="23" t="n"/>
      <c r="BD970" s="23" t="n"/>
      <c r="BE970" s="23" t="n"/>
      <c r="BF970" s="23" t="n"/>
      <c r="BG970" s="23" t="n"/>
      <c r="BH970" s="23" t="n"/>
      <c r="BI970" s="23" t="n"/>
      <c r="BJ970" s="23" t="n"/>
      <c r="BK970" s="23" t="n"/>
      <c r="BL970" s="23" t="n"/>
      <c r="BM970" s="23" t="n"/>
      <c r="BN970" s="23" t="n"/>
      <c r="BO970" s="23" t="n"/>
      <c r="BP970" s="23" t="n"/>
      <c r="BQ970" s="23" t="n"/>
      <c r="BR970" s="23" t="n"/>
      <c r="BS970" s="23" t="n"/>
      <c r="BT970" s="23" t="n"/>
      <c r="BU970" s="23" t="n"/>
      <c r="BV970" s="23" t="n"/>
      <c r="BW970" s="23" t="n"/>
      <c r="BX970" s="23" t="n"/>
      <c r="BY970" s="23" t="n"/>
      <c r="BZ970" s="23" t="n"/>
      <c r="CA970" s="23" t="n"/>
      <c r="CB970" s="23" t="n"/>
      <c r="CC970" s="23" t="n"/>
      <c r="CD970" s="23" t="n"/>
      <c r="CE970" s="23" t="n"/>
      <c r="CF970" s="23" t="n"/>
      <c r="CG970" s="23" t="n"/>
      <c r="CH970" s="23" t="n"/>
      <c r="CI970" s="23" t="n"/>
      <c r="CJ970" s="23" t="n"/>
      <c r="CK970" s="23" t="n"/>
      <c r="CL970" s="23" t="n"/>
      <c r="CM970" s="23" t="n"/>
      <c r="CN970" s="23" t="n"/>
      <c r="CO970" s="23" t="n"/>
      <c r="CP970" s="23" t="n"/>
      <c r="CQ970" s="23" t="n"/>
      <c r="CR970" s="23" t="n"/>
      <c r="CS970" s="23" t="n"/>
      <c r="CT970" s="23" t="n"/>
      <c r="CU970" s="23" t="n"/>
      <c r="CV970" s="23" t="n"/>
      <c r="CW970" s="23" t="n"/>
      <c r="CX970" s="23" t="n"/>
      <c r="CY970" s="23" t="n"/>
      <c r="CZ970" s="23" t="n"/>
      <c r="DA970" s="23" t="n"/>
      <c r="DB970" s="23" t="n"/>
      <c r="DC970" s="23" t="n"/>
      <c r="DE970" s="12" t="inlineStr">
        <is>
          <t>CHEM-1730</t>
        </is>
      </c>
    </row>
    <row r="971">
      <c r="B971" s="24" t="inlineStr">
        <is>
          <t>PO_No</t>
        </is>
      </c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  <c r="AD971" s="25" t="n"/>
      <c r="AE971" s="25" t="n"/>
      <c r="AF971" s="25" t="n"/>
      <c r="AG971" s="25" t="n"/>
      <c r="AH971" s="25" t="n"/>
      <c r="AI971" s="25" t="n"/>
      <c r="AJ971" s="25" t="n"/>
      <c r="AK971" s="25" t="n"/>
      <c r="AL971" s="25" t="n"/>
      <c r="AM971" s="25" t="n"/>
      <c r="AN971" s="25" t="n"/>
      <c r="AO971" s="25" t="n"/>
      <c r="AP971" s="25" t="n"/>
      <c r="AQ971" s="25" t="n"/>
      <c r="AR971" s="25" t="n"/>
      <c r="AS971" s="25" t="n"/>
      <c r="AT971" s="25" t="n"/>
      <c r="AU971" s="25" t="n"/>
      <c r="AV971" s="25" t="n"/>
      <c r="AW971" s="25" t="n"/>
      <c r="AX971" s="25" t="n"/>
      <c r="AY971" s="25" t="n"/>
      <c r="AZ971" s="25" t="n"/>
      <c r="BA971" s="25" t="n"/>
      <c r="BB971" s="25" t="n"/>
      <c r="BC971" s="25" t="n"/>
      <c r="BD971" s="25" t="n"/>
      <c r="BE971" s="25" t="n"/>
      <c r="BF971" s="25" t="n"/>
      <c r="BG971" s="25" t="n"/>
      <c r="BH971" s="25" t="n"/>
      <c r="BI971" s="25" t="n"/>
      <c r="BJ971" s="25" t="n"/>
      <c r="BK971" s="25" t="n"/>
      <c r="BL971" s="25" t="n"/>
      <c r="BM971" s="25" t="n"/>
      <c r="BN971" s="25" t="n"/>
      <c r="BO971" s="25" t="n"/>
      <c r="BP971" s="25" t="n"/>
      <c r="BQ971" s="25" t="n"/>
      <c r="BR971" s="25" t="n"/>
      <c r="BS971" s="25" t="n"/>
      <c r="BT971" s="25" t="n"/>
      <c r="BU971" s="25" t="n"/>
      <c r="BV971" s="25" t="n"/>
      <c r="BW971" s="25" t="n"/>
      <c r="BX971" s="25" t="n"/>
      <c r="BY971" s="25" t="n"/>
      <c r="BZ971" s="25" t="n"/>
      <c r="CA971" s="25" t="n"/>
      <c r="CB971" s="25" t="n"/>
      <c r="CC971" s="25" t="n"/>
      <c r="CD971" s="25" t="n"/>
      <c r="CE971" s="25" t="n"/>
      <c r="CF971" s="25" t="n"/>
      <c r="CG971" s="25" t="n"/>
      <c r="CH971" s="25" t="n"/>
      <c r="CI971" s="25" t="n"/>
      <c r="CJ971" s="25" t="n"/>
      <c r="CK971" s="25" t="n"/>
      <c r="CL971" s="25" t="n"/>
      <c r="CM971" s="25" t="n"/>
      <c r="CN971" s="25" t="n"/>
      <c r="CO971" s="25" t="n"/>
      <c r="CP971" s="25" t="n"/>
      <c r="CQ971" s="25" t="n"/>
      <c r="CR971" s="25" t="n"/>
      <c r="CS971" s="25" t="n"/>
      <c r="CT971" s="25" t="n"/>
      <c r="CU971" s="25" t="n"/>
      <c r="CV971" s="25" t="n"/>
      <c r="CW971" s="25" t="n"/>
      <c r="CX971" s="25" t="n"/>
      <c r="CY971" s="25" t="n"/>
      <c r="CZ971" s="25" t="n"/>
      <c r="DA971" s="25" t="n"/>
      <c r="DB971" s="25" t="n"/>
      <c r="DC971" s="25" t="n"/>
    </row>
    <row r="972">
      <c r="B972" s="5" t="inlineStr">
        <is>
          <t>合計在庫(週末時点,kg)</t>
        </is>
      </c>
      <c r="D972">
        <f>'Grid_Stock'!B42</f>
        <v/>
      </c>
      <c r="E972">
        <f>'Grid_Stock'!C42</f>
        <v/>
      </c>
      <c r="F972">
        <f>'Grid_Stock'!D42</f>
        <v/>
      </c>
      <c r="G972">
        <f>'Grid_Stock'!E42</f>
        <v/>
      </c>
      <c r="H972">
        <f>'Grid_Stock'!F42</f>
        <v/>
      </c>
      <c r="I972">
        <f>'Grid_Stock'!G42</f>
        <v/>
      </c>
      <c r="J972">
        <f>'Grid_Stock'!H42</f>
        <v/>
      </c>
      <c r="K972">
        <f>'Grid_Stock'!I42</f>
        <v/>
      </c>
      <c r="L972">
        <f>'Grid_Stock'!J42</f>
        <v/>
      </c>
      <c r="M972">
        <f>'Grid_Stock'!K42</f>
        <v/>
      </c>
      <c r="N972">
        <f>'Grid_Stock'!L42</f>
        <v/>
      </c>
      <c r="O972">
        <f>'Grid_Stock'!M42</f>
        <v/>
      </c>
      <c r="P972">
        <f>'Grid_Stock'!N42</f>
        <v/>
      </c>
      <c r="Q972">
        <f>'Grid_Stock'!O42</f>
        <v/>
      </c>
      <c r="R972">
        <f>'Grid_Stock'!P42</f>
        <v/>
      </c>
      <c r="S972">
        <f>'Grid_Stock'!Q42</f>
        <v/>
      </c>
      <c r="T972">
        <f>'Grid_Stock'!R42</f>
        <v/>
      </c>
      <c r="U972">
        <f>'Grid_Stock'!S42</f>
        <v/>
      </c>
      <c r="V972">
        <f>'Grid_Stock'!T42</f>
        <v/>
      </c>
      <c r="W972">
        <f>'Grid_Stock'!U42</f>
        <v/>
      </c>
      <c r="X972">
        <f>'Grid_Stock'!V42</f>
        <v/>
      </c>
      <c r="Y972">
        <f>'Grid_Stock'!W42</f>
        <v/>
      </c>
      <c r="Z972">
        <f>'Grid_Stock'!X42</f>
        <v/>
      </c>
      <c r="AA972">
        <f>'Grid_Stock'!Y42</f>
        <v/>
      </c>
      <c r="AB972">
        <f>'Grid_Stock'!Z42</f>
        <v/>
      </c>
      <c r="AC972">
        <f>'Grid_Stock'!AA42</f>
        <v/>
      </c>
      <c r="AD972">
        <f>'Grid_Stock'!AB42</f>
        <v/>
      </c>
      <c r="AE972">
        <f>'Grid_Stock'!AC42</f>
        <v/>
      </c>
      <c r="AF972">
        <f>'Grid_Stock'!AD42</f>
        <v/>
      </c>
      <c r="AG972">
        <f>'Grid_Stock'!AE42</f>
        <v/>
      </c>
      <c r="AH972">
        <f>'Grid_Stock'!AF42</f>
        <v/>
      </c>
      <c r="AI972">
        <f>'Grid_Stock'!AG42</f>
        <v/>
      </c>
      <c r="AJ972">
        <f>'Grid_Stock'!AH42</f>
        <v/>
      </c>
      <c r="AK972">
        <f>'Grid_Stock'!AI42</f>
        <v/>
      </c>
      <c r="AL972">
        <f>'Grid_Stock'!AJ42</f>
        <v/>
      </c>
      <c r="AM972">
        <f>'Grid_Stock'!AK42</f>
        <v/>
      </c>
      <c r="AN972">
        <f>'Grid_Stock'!AL42</f>
        <v/>
      </c>
      <c r="AO972">
        <f>'Grid_Stock'!AM42</f>
        <v/>
      </c>
      <c r="AP972">
        <f>'Grid_Stock'!AN42</f>
        <v/>
      </c>
      <c r="AQ972">
        <f>'Grid_Stock'!AO42</f>
        <v/>
      </c>
      <c r="AR972">
        <f>'Grid_Stock'!AP42</f>
        <v/>
      </c>
      <c r="AS972">
        <f>'Grid_Stock'!AQ42</f>
        <v/>
      </c>
      <c r="AT972">
        <f>'Grid_Stock'!AR42</f>
        <v/>
      </c>
      <c r="AU972">
        <f>'Grid_Stock'!AS42</f>
        <v/>
      </c>
      <c r="AV972">
        <f>'Grid_Stock'!AT42</f>
        <v/>
      </c>
      <c r="AW972">
        <f>'Grid_Stock'!AU42</f>
        <v/>
      </c>
      <c r="AX972">
        <f>'Grid_Stock'!AV42</f>
        <v/>
      </c>
      <c r="AY972">
        <f>'Grid_Stock'!AW42</f>
        <v/>
      </c>
      <c r="AZ972">
        <f>'Grid_Stock'!AX42</f>
        <v/>
      </c>
      <c r="BA972">
        <f>'Grid_Stock'!AY42</f>
        <v/>
      </c>
      <c r="BB972">
        <f>'Grid_Stock'!AZ42</f>
        <v/>
      </c>
      <c r="BC972">
        <f>'Grid_Stock'!BA42</f>
        <v/>
      </c>
      <c r="BD972">
        <f>'Grid_Stock'!BB42</f>
        <v/>
      </c>
      <c r="BE972">
        <f>'Grid_Stock'!BC42</f>
        <v/>
      </c>
      <c r="BF972">
        <f>'Grid_Stock'!BD42</f>
        <v/>
      </c>
      <c r="BG972">
        <f>'Grid_Stock'!BE42</f>
        <v/>
      </c>
      <c r="BH972">
        <f>'Grid_Stock'!BF42</f>
        <v/>
      </c>
      <c r="BI972">
        <f>'Grid_Stock'!BG42</f>
        <v/>
      </c>
      <c r="BJ972">
        <f>'Grid_Stock'!BH42</f>
        <v/>
      </c>
      <c r="BK972">
        <f>'Grid_Stock'!BI42</f>
        <v/>
      </c>
      <c r="BL972">
        <f>'Grid_Stock'!BJ42</f>
        <v/>
      </c>
      <c r="BM972">
        <f>'Grid_Stock'!BK42</f>
        <v/>
      </c>
      <c r="BN972">
        <f>'Grid_Stock'!BL42</f>
        <v/>
      </c>
      <c r="BO972">
        <f>'Grid_Stock'!BM42</f>
        <v/>
      </c>
      <c r="BP972">
        <f>'Grid_Stock'!BN42</f>
        <v/>
      </c>
      <c r="BQ972">
        <f>'Grid_Stock'!BO42</f>
        <v/>
      </c>
      <c r="BR972">
        <f>'Grid_Stock'!BP42</f>
        <v/>
      </c>
      <c r="BS972">
        <f>'Grid_Stock'!BQ42</f>
        <v/>
      </c>
      <c r="BT972">
        <f>'Grid_Stock'!BR42</f>
        <v/>
      </c>
      <c r="BU972">
        <f>'Grid_Stock'!BS42</f>
        <v/>
      </c>
      <c r="BV972">
        <f>'Grid_Stock'!BT42</f>
        <v/>
      </c>
      <c r="BW972">
        <f>'Grid_Stock'!BU42</f>
        <v/>
      </c>
      <c r="BX972">
        <f>'Grid_Stock'!BV42</f>
        <v/>
      </c>
      <c r="BY972">
        <f>'Grid_Stock'!BW42</f>
        <v/>
      </c>
      <c r="BZ972">
        <f>'Grid_Stock'!BX42</f>
        <v/>
      </c>
      <c r="CA972">
        <f>'Grid_Stock'!BY42</f>
        <v/>
      </c>
      <c r="CB972">
        <f>'Grid_Stock'!BZ42</f>
        <v/>
      </c>
      <c r="CC972">
        <f>'Grid_Stock'!CA42</f>
        <v/>
      </c>
      <c r="CD972">
        <f>'Grid_Stock'!CB42</f>
        <v/>
      </c>
      <c r="CE972">
        <f>'Grid_Stock'!CC42</f>
        <v/>
      </c>
      <c r="CF972">
        <f>'Grid_Stock'!CD42</f>
        <v/>
      </c>
      <c r="CG972">
        <f>'Grid_Stock'!CE42</f>
        <v/>
      </c>
      <c r="CH972">
        <f>'Grid_Stock'!CF42</f>
        <v/>
      </c>
      <c r="CI972">
        <f>'Grid_Stock'!CG42</f>
        <v/>
      </c>
      <c r="CJ972">
        <f>'Grid_Stock'!CH42</f>
        <v/>
      </c>
      <c r="CK972">
        <f>'Grid_Stock'!CI42</f>
        <v/>
      </c>
      <c r="CL972">
        <f>'Grid_Stock'!CJ42</f>
        <v/>
      </c>
      <c r="CM972">
        <f>'Grid_Stock'!CK42</f>
        <v/>
      </c>
      <c r="CN972">
        <f>'Grid_Stock'!CL42</f>
        <v/>
      </c>
      <c r="CO972">
        <f>'Grid_Stock'!CM42</f>
        <v/>
      </c>
      <c r="CP972">
        <f>'Grid_Stock'!CN42</f>
        <v/>
      </c>
      <c r="CQ972">
        <f>'Grid_Stock'!CO42</f>
        <v/>
      </c>
      <c r="CR972">
        <f>'Grid_Stock'!CP42</f>
        <v/>
      </c>
      <c r="CS972">
        <f>'Grid_Stock'!CQ42</f>
        <v/>
      </c>
      <c r="CT972">
        <f>'Grid_Stock'!CR42</f>
        <v/>
      </c>
      <c r="CU972">
        <f>'Grid_Stock'!CS42</f>
        <v/>
      </c>
      <c r="CV972">
        <f>'Grid_Stock'!CT42</f>
        <v/>
      </c>
      <c r="CW972">
        <f>'Grid_Stock'!CU42</f>
        <v/>
      </c>
      <c r="CX972">
        <f>'Grid_Stock'!CV42</f>
        <v/>
      </c>
      <c r="CY972">
        <f>'Grid_Stock'!CW42</f>
        <v/>
      </c>
      <c r="CZ972">
        <f>'Grid_Stock'!CX42</f>
        <v/>
      </c>
      <c r="DA972">
        <f>'Grid_Stock'!CY42</f>
        <v/>
      </c>
      <c r="DB972">
        <f>'Grid_Stock'!CZ42</f>
        <v/>
      </c>
      <c r="DC972">
        <f>'Grid_Stock'!DA42</f>
        <v/>
      </c>
    </row>
    <row r="973">
      <c r="B973" s="26" t="inlineStr">
        <is>
          <t>（発注の目安はDashboardの基準在庫[下限/上限]と色分けを参照）</t>
        </is>
      </c>
    </row>
    <row r="975">
      <c r="A975" s="21" t="inlineStr">
        <is>
          <t>CHEM-1280</t>
        </is>
      </c>
      <c r="B975" s="21" t="inlineStr">
        <is>
          <t>N-Dodeoyl Trimethyl Ammonium Chloride</t>
        </is>
      </c>
      <c r="C975" s="22" t="n"/>
      <c r="D975" s="21" t="n"/>
      <c r="E975" s="21" t="n"/>
      <c r="F975" s="21" t="n"/>
      <c r="G975" s="21" t="n"/>
      <c r="H975" s="21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  <c r="AA975" s="21" t="n"/>
      <c r="AB975" s="21" t="n"/>
      <c r="AC975" s="21" t="n"/>
      <c r="AD975" s="21" t="n"/>
      <c r="AE975" s="21" t="n"/>
      <c r="AF975" s="21" t="n"/>
      <c r="AG975" s="21" t="n"/>
      <c r="AH975" s="21" t="n"/>
      <c r="AI975" s="21" t="n"/>
      <c r="AJ975" s="21" t="n"/>
      <c r="AK975" s="21" t="n"/>
      <c r="AL975" s="21" t="n"/>
      <c r="AM975" s="21" t="n"/>
      <c r="AN975" s="21" t="n"/>
      <c r="AO975" s="21" t="n"/>
      <c r="AP975" s="21" t="n"/>
      <c r="AQ975" s="21" t="n"/>
      <c r="AR975" s="21" t="n"/>
      <c r="AS975" s="21" t="n"/>
      <c r="AT975" s="21" t="n"/>
      <c r="AU975" s="21" t="n"/>
      <c r="AV975" s="21" t="n"/>
      <c r="AW975" s="21" t="n"/>
      <c r="AX975" s="21" t="n"/>
      <c r="AY975" s="21" t="n"/>
      <c r="AZ975" s="21" t="n"/>
      <c r="BA975" s="21" t="n"/>
      <c r="BB975" s="21" t="n"/>
      <c r="BC975" s="21" t="n"/>
      <c r="BD975" s="21" t="n"/>
      <c r="BE975" s="21" t="n"/>
      <c r="BF975" s="21" t="n"/>
      <c r="BG975" s="21" t="n"/>
      <c r="BH975" s="21" t="n"/>
      <c r="BI975" s="21" t="n"/>
      <c r="BJ975" s="21" t="n"/>
      <c r="BK975" s="21" t="n"/>
      <c r="BL975" s="21" t="n"/>
      <c r="BM975" s="21" t="n"/>
      <c r="BN975" s="21" t="n"/>
      <c r="BO975" s="21" t="n"/>
      <c r="BP975" s="21" t="n"/>
      <c r="BQ975" s="21" t="n"/>
      <c r="BR975" s="21" t="n"/>
      <c r="BS975" s="21" t="n"/>
      <c r="BT975" s="21" t="n"/>
      <c r="BU975" s="21" t="n"/>
      <c r="BV975" s="21" t="n"/>
      <c r="BW975" s="21" t="n"/>
      <c r="BX975" s="21" t="n"/>
      <c r="BY975" s="21" t="n"/>
      <c r="BZ975" s="21" t="n"/>
      <c r="CA975" s="21" t="n"/>
      <c r="CB975" s="21" t="n"/>
      <c r="CC975" s="21" t="n"/>
      <c r="CD975" s="21" t="n"/>
      <c r="CE975" s="21" t="n"/>
      <c r="CF975" s="21" t="n"/>
      <c r="CG975" s="21" t="n"/>
      <c r="CH975" s="21" t="n"/>
      <c r="CI975" s="21" t="n"/>
      <c r="CJ975" s="21" t="n"/>
      <c r="CK975" s="21" t="n"/>
      <c r="CL975" s="21" t="n"/>
      <c r="CM975" s="21" t="n"/>
      <c r="CN975" s="21" t="n"/>
      <c r="CO975" s="21" t="n"/>
      <c r="CP975" s="21" t="n"/>
      <c r="CQ975" s="21" t="n"/>
      <c r="CR975" s="21" t="n"/>
      <c r="CS975" s="21" t="n"/>
      <c r="CT975" s="21" t="n"/>
      <c r="CU975" s="21" t="n"/>
      <c r="CV975" s="21" t="n"/>
      <c r="CW975" s="21" t="n"/>
      <c r="CX975" s="21" t="n"/>
      <c r="CY975" s="21" t="n"/>
      <c r="CZ975" s="21" t="n"/>
      <c r="DA975" s="21" t="n"/>
      <c r="DB975" s="21" t="n"/>
      <c r="DC975" s="21" t="n"/>
    </row>
    <row r="976">
      <c r="B976" t="inlineStr">
        <is>
          <t>SOL-250D</t>
        </is>
      </c>
      <c r="C976" t="inlineStr">
        <is>
          <t>No. of batches</t>
        </is>
      </c>
      <c r="D976">
        <f>IFERROR(INDEX(PP_Grid[#Data],$DD976,2),0)</f>
        <v/>
      </c>
      <c r="E976">
        <f>IFERROR(INDEX(PP_Grid[#Data],$DD976,3),0)</f>
        <v/>
      </c>
      <c r="F976">
        <f>IFERROR(INDEX(PP_Grid[#Data],$DD976,4),0)</f>
        <v/>
      </c>
      <c r="G976">
        <f>IFERROR(INDEX(PP_Grid[#Data],$DD976,5),0)</f>
        <v/>
      </c>
      <c r="H976">
        <f>IFERROR(INDEX(PP_Grid[#Data],$DD976,6),0)</f>
        <v/>
      </c>
      <c r="I976">
        <f>IFERROR(INDEX(PP_Grid[#Data],$DD976,7),0)</f>
        <v/>
      </c>
      <c r="J976">
        <f>IFERROR(INDEX(PP_Grid[#Data],$DD976,8),0)</f>
        <v/>
      </c>
      <c r="K976">
        <f>IFERROR(INDEX(PP_Grid[#Data],$DD976,9),0)</f>
        <v/>
      </c>
      <c r="L976">
        <f>IFERROR(INDEX(PP_Grid[#Data],$DD976,10),0)</f>
        <v/>
      </c>
      <c r="M976">
        <f>IFERROR(INDEX(PP_Grid[#Data],$DD976,11),0)</f>
        <v/>
      </c>
      <c r="N976">
        <f>IFERROR(INDEX(PP_Grid[#Data],$DD976,12),0)</f>
        <v/>
      </c>
      <c r="O976">
        <f>IFERROR(INDEX(PP_Grid[#Data],$DD976,13),0)</f>
        <v/>
      </c>
      <c r="P976">
        <f>IFERROR(INDEX(PP_Grid[#Data],$DD976,14),0)</f>
        <v/>
      </c>
      <c r="Q976">
        <f>IFERROR(INDEX(PP_Grid[#Data],$DD976,15),0)</f>
        <v/>
      </c>
      <c r="R976">
        <f>IFERROR(INDEX(PP_Grid[#Data],$DD976,16),0)</f>
        <v/>
      </c>
      <c r="S976">
        <f>IFERROR(INDEX(PP_Grid[#Data],$DD976,17),0)</f>
        <v/>
      </c>
      <c r="T976">
        <f>IFERROR(INDEX(PP_Grid[#Data],$DD976,18),0)</f>
        <v/>
      </c>
      <c r="U976">
        <f>IFERROR(INDEX(PP_Grid[#Data],$DD976,19),0)</f>
        <v/>
      </c>
      <c r="V976">
        <f>IFERROR(INDEX(PP_Grid[#Data],$DD976,20),0)</f>
        <v/>
      </c>
      <c r="W976">
        <f>IFERROR(INDEX(PP_Grid[#Data],$DD976,21),0)</f>
        <v/>
      </c>
      <c r="X976">
        <f>IFERROR(INDEX(PP_Grid[#Data],$DD976,22),0)</f>
        <v/>
      </c>
      <c r="Y976">
        <f>IFERROR(INDEX(PP_Grid[#Data],$DD976,23),0)</f>
        <v/>
      </c>
      <c r="Z976">
        <f>IFERROR(INDEX(PP_Grid[#Data],$DD976,24),0)</f>
        <v/>
      </c>
      <c r="AA976">
        <f>IFERROR(INDEX(PP_Grid[#Data],$DD976,25),0)</f>
        <v/>
      </c>
      <c r="AB976">
        <f>IFERROR(INDEX(PP_Grid[#Data],$DD976,26),0)</f>
        <v/>
      </c>
      <c r="AC976">
        <f>IFERROR(INDEX(PP_Grid[#Data],$DD976,27),0)</f>
        <v/>
      </c>
      <c r="AD976">
        <f>IFERROR(INDEX(PP_Grid[#Data],$DD976,28),0)</f>
        <v/>
      </c>
      <c r="AE976">
        <f>IFERROR(INDEX(PP_Grid[#Data],$DD976,29),0)</f>
        <v/>
      </c>
      <c r="AF976">
        <f>IFERROR(INDEX(PP_Grid[#Data],$DD976,30),0)</f>
        <v/>
      </c>
      <c r="AG976">
        <f>IFERROR(INDEX(PP_Grid[#Data],$DD976,31),0)</f>
        <v/>
      </c>
      <c r="AH976">
        <f>IFERROR(INDEX(PP_Grid[#Data],$DD976,32),0)</f>
        <v/>
      </c>
      <c r="AI976">
        <f>IFERROR(INDEX(PP_Grid[#Data],$DD976,33),0)</f>
        <v/>
      </c>
      <c r="AJ976">
        <f>IFERROR(INDEX(PP_Grid[#Data],$DD976,34),0)</f>
        <v/>
      </c>
      <c r="AK976">
        <f>IFERROR(INDEX(PP_Grid[#Data],$DD976,35),0)</f>
        <v/>
      </c>
      <c r="AL976">
        <f>IFERROR(INDEX(PP_Grid[#Data],$DD976,36),0)</f>
        <v/>
      </c>
      <c r="AM976">
        <f>IFERROR(INDEX(PP_Grid[#Data],$DD976,37),0)</f>
        <v/>
      </c>
      <c r="AN976">
        <f>IFERROR(INDEX(PP_Grid[#Data],$DD976,38),0)</f>
        <v/>
      </c>
      <c r="AO976">
        <f>IFERROR(INDEX(PP_Grid[#Data],$DD976,39),0)</f>
        <v/>
      </c>
      <c r="AP976">
        <f>IFERROR(INDEX(PP_Grid[#Data],$DD976,40),0)</f>
        <v/>
      </c>
      <c r="AQ976">
        <f>IFERROR(INDEX(PP_Grid[#Data],$DD976,41),0)</f>
        <v/>
      </c>
      <c r="AR976">
        <f>IFERROR(INDEX(PP_Grid[#Data],$DD976,42),0)</f>
        <v/>
      </c>
      <c r="AS976">
        <f>IFERROR(INDEX(PP_Grid[#Data],$DD976,43),0)</f>
        <v/>
      </c>
      <c r="AT976">
        <f>IFERROR(INDEX(PP_Grid[#Data],$DD976,44),0)</f>
        <v/>
      </c>
      <c r="AU976">
        <f>IFERROR(INDEX(PP_Grid[#Data],$DD976,45),0)</f>
        <v/>
      </c>
      <c r="AV976">
        <f>IFERROR(INDEX(PP_Grid[#Data],$DD976,46),0)</f>
        <v/>
      </c>
      <c r="AW976">
        <f>IFERROR(INDEX(PP_Grid[#Data],$DD976,47),0)</f>
        <v/>
      </c>
      <c r="AX976">
        <f>IFERROR(INDEX(PP_Grid[#Data],$DD976,48),0)</f>
        <v/>
      </c>
      <c r="AY976">
        <f>IFERROR(INDEX(PP_Grid[#Data],$DD976,49),0)</f>
        <v/>
      </c>
      <c r="AZ976">
        <f>IFERROR(INDEX(PP_Grid[#Data],$DD976,50),0)</f>
        <v/>
      </c>
      <c r="BA976">
        <f>IFERROR(INDEX(PP_Grid[#Data],$DD976,51),0)</f>
        <v/>
      </c>
      <c r="BB976">
        <f>IFERROR(INDEX(PP_Grid[#Data],$DD976,52),0)</f>
        <v/>
      </c>
      <c r="BC976">
        <f>IFERROR(INDEX(PP_Grid[#Data],$DD976,53),0)</f>
        <v/>
      </c>
      <c r="BD976">
        <f>IFERROR(INDEX(PP_Grid[#Data],$DD976,54),0)</f>
        <v/>
      </c>
      <c r="BE976">
        <f>IFERROR(INDEX(PP_Grid[#Data],$DD976,55),0)</f>
        <v/>
      </c>
      <c r="BF976">
        <f>IFERROR(INDEX(PP_Grid[#Data],$DD976,56),0)</f>
        <v/>
      </c>
      <c r="BG976">
        <f>IFERROR(INDEX(PP_Grid[#Data],$DD976,57),0)</f>
        <v/>
      </c>
      <c r="BH976">
        <f>IFERROR(INDEX(PP_Grid[#Data],$DD976,58),0)</f>
        <v/>
      </c>
      <c r="BI976">
        <f>IFERROR(INDEX(PP_Grid[#Data],$DD976,59),0)</f>
        <v/>
      </c>
      <c r="BJ976">
        <f>IFERROR(INDEX(PP_Grid[#Data],$DD976,60),0)</f>
        <v/>
      </c>
      <c r="BK976">
        <f>IFERROR(INDEX(PP_Grid[#Data],$DD976,61),0)</f>
        <v/>
      </c>
      <c r="BL976">
        <f>IFERROR(INDEX(PP_Grid[#Data],$DD976,62),0)</f>
        <v/>
      </c>
      <c r="BM976">
        <f>IFERROR(INDEX(PP_Grid[#Data],$DD976,63),0)</f>
        <v/>
      </c>
      <c r="BN976">
        <f>IFERROR(INDEX(PP_Grid[#Data],$DD976,64),0)</f>
        <v/>
      </c>
      <c r="BO976">
        <f>IFERROR(INDEX(PP_Grid[#Data],$DD976,65),0)</f>
        <v/>
      </c>
      <c r="BP976">
        <f>IFERROR(INDEX(PP_Grid[#Data],$DD976,66),0)</f>
        <v/>
      </c>
      <c r="BQ976">
        <f>IFERROR(INDEX(PP_Grid[#Data],$DD976,67),0)</f>
        <v/>
      </c>
      <c r="BR976">
        <f>IFERROR(INDEX(PP_Grid[#Data],$DD976,68),0)</f>
        <v/>
      </c>
      <c r="BS976">
        <f>IFERROR(INDEX(PP_Grid[#Data],$DD976,69),0)</f>
        <v/>
      </c>
      <c r="BT976">
        <f>IFERROR(INDEX(PP_Grid[#Data],$DD976,70),0)</f>
        <v/>
      </c>
      <c r="BU976">
        <f>IFERROR(INDEX(PP_Grid[#Data],$DD976,71),0)</f>
        <v/>
      </c>
      <c r="BV976">
        <f>IFERROR(INDEX(PP_Grid[#Data],$DD976,72),0)</f>
        <v/>
      </c>
      <c r="BW976">
        <f>IFERROR(INDEX(PP_Grid[#Data],$DD976,73),0)</f>
        <v/>
      </c>
      <c r="BX976">
        <f>IFERROR(INDEX(PP_Grid[#Data],$DD976,74),0)</f>
        <v/>
      </c>
      <c r="BY976">
        <f>IFERROR(INDEX(PP_Grid[#Data],$DD976,75),0)</f>
        <v/>
      </c>
      <c r="BZ976">
        <f>IFERROR(INDEX(PP_Grid[#Data],$DD976,76),0)</f>
        <v/>
      </c>
      <c r="CA976">
        <f>IFERROR(INDEX(PP_Grid[#Data],$DD976,77),0)</f>
        <v/>
      </c>
      <c r="CB976">
        <f>IFERROR(INDEX(PP_Grid[#Data],$DD976,78),0)</f>
        <v/>
      </c>
      <c r="CC976">
        <f>IFERROR(INDEX(PP_Grid[#Data],$DD976,79),0)</f>
        <v/>
      </c>
      <c r="CD976">
        <f>IFERROR(INDEX(PP_Grid[#Data],$DD976,80),0)</f>
        <v/>
      </c>
      <c r="CE976">
        <f>IFERROR(INDEX(PP_Grid[#Data],$DD976,81),0)</f>
        <v/>
      </c>
      <c r="CF976">
        <f>IFERROR(INDEX(PP_Grid[#Data],$DD976,82),0)</f>
        <v/>
      </c>
      <c r="CG976">
        <f>IFERROR(INDEX(PP_Grid[#Data],$DD976,83),0)</f>
        <v/>
      </c>
      <c r="CH976">
        <f>IFERROR(INDEX(PP_Grid[#Data],$DD976,84),0)</f>
        <v/>
      </c>
      <c r="CI976">
        <f>IFERROR(INDEX(PP_Grid[#Data],$DD976,85),0)</f>
        <v/>
      </c>
      <c r="CJ976">
        <f>IFERROR(INDEX(PP_Grid[#Data],$DD976,86),0)</f>
        <v/>
      </c>
      <c r="CK976">
        <f>IFERROR(INDEX(PP_Grid[#Data],$DD976,87),0)</f>
        <v/>
      </c>
      <c r="CL976">
        <f>IFERROR(INDEX(PP_Grid[#Data],$DD976,88),0)</f>
        <v/>
      </c>
      <c r="CM976">
        <f>IFERROR(INDEX(PP_Grid[#Data],$DD976,89),0)</f>
        <v/>
      </c>
      <c r="CN976">
        <f>IFERROR(INDEX(PP_Grid[#Data],$DD976,90),0)</f>
        <v/>
      </c>
      <c r="CO976">
        <f>IFERROR(INDEX(PP_Grid[#Data],$DD976,91),0)</f>
        <v/>
      </c>
      <c r="CP976">
        <f>IFERROR(INDEX(PP_Grid[#Data],$DD976,92),0)</f>
        <v/>
      </c>
      <c r="CQ976">
        <f>IFERROR(INDEX(PP_Grid[#Data],$DD976,93),0)</f>
        <v/>
      </c>
      <c r="CR976">
        <f>IFERROR(INDEX(PP_Grid[#Data],$DD976,94),0)</f>
        <v/>
      </c>
      <c r="CS976">
        <f>IFERROR(INDEX(PP_Grid[#Data],$DD976,95),0)</f>
        <v/>
      </c>
      <c r="CT976">
        <f>IFERROR(INDEX(PP_Grid[#Data],$DD976,96),0)</f>
        <v/>
      </c>
      <c r="CU976">
        <f>IFERROR(INDEX(PP_Grid[#Data],$DD976,97),0)</f>
        <v/>
      </c>
      <c r="CV976">
        <f>IFERROR(INDEX(PP_Grid[#Data],$DD976,98),0)</f>
        <v/>
      </c>
      <c r="CW976">
        <f>IFERROR(INDEX(PP_Grid[#Data],$DD976,99),0)</f>
        <v/>
      </c>
      <c r="CX976">
        <f>IFERROR(INDEX(PP_Grid[#Data],$DD976,100),0)</f>
        <v/>
      </c>
      <c r="CY976">
        <f>IFERROR(INDEX(PP_Grid[#Data],$DD976,101),0)</f>
        <v/>
      </c>
      <c r="CZ976">
        <f>IFERROR(INDEX(PP_Grid[#Data],$DD976,102),0)</f>
        <v/>
      </c>
      <c r="DA976">
        <f>IFERROR(INDEX(PP_Grid[#Data],$DD976,103),0)</f>
        <v/>
      </c>
      <c r="DB976">
        <f>IFERROR(INDEX(PP_Grid[#Data],$DD976,104),0)</f>
        <v/>
      </c>
      <c r="DC976">
        <f>IFERROR(INDEX(PP_Grid[#Data],$DD976,105),0)</f>
        <v/>
      </c>
      <c r="DD976" s="12">
        <f>IFERROR(MATCH($B976,PP_Grid[Intermediate],0),99999)</f>
        <v/>
      </c>
    </row>
    <row r="977">
      <c r="B977" t="inlineStr">
        <is>
          <t>使用量(kg)</t>
        </is>
      </c>
      <c r="C977">
        <f>SUMIFS(M_BOM[RM_Qty_Per_Batch],M_BOM[Intermediate],$B976,M_BOM[Part Name],$A975)</f>
        <v/>
      </c>
      <c r="D977">
        <f>$C977*D976</f>
        <v/>
      </c>
      <c r="E977">
        <f>$C977*E976</f>
        <v/>
      </c>
      <c r="F977">
        <f>$C977*F976</f>
        <v/>
      </c>
      <c r="G977">
        <f>$C977*G976</f>
        <v/>
      </c>
      <c r="H977">
        <f>$C977*H976</f>
        <v/>
      </c>
      <c r="I977">
        <f>$C977*I976</f>
        <v/>
      </c>
      <c r="J977">
        <f>$C977*J976</f>
        <v/>
      </c>
      <c r="K977">
        <f>$C977*K976</f>
        <v/>
      </c>
      <c r="L977">
        <f>$C977*L976</f>
        <v/>
      </c>
      <c r="M977">
        <f>$C977*M976</f>
        <v/>
      </c>
      <c r="N977">
        <f>$C977*N976</f>
        <v/>
      </c>
      <c r="O977">
        <f>$C977*O976</f>
        <v/>
      </c>
      <c r="P977">
        <f>$C977*P976</f>
        <v/>
      </c>
      <c r="Q977">
        <f>$C977*Q976</f>
        <v/>
      </c>
      <c r="R977">
        <f>$C977*R976</f>
        <v/>
      </c>
      <c r="S977">
        <f>$C977*S976</f>
        <v/>
      </c>
      <c r="T977">
        <f>$C977*T976</f>
        <v/>
      </c>
      <c r="U977">
        <f>$C977*U976</f>
        <v/>
      </c>
      <c r="V977">
        <f>$C977*V976</f>
        <v/>
      </c>
      <c r="W977">
        <f>$C977*W976</f>
        <v/>
      </c>
      <c r="X977">
        <f>$C977*X976</f>
        <v/>
      </c>
      <c r="Y977">
        <f>$C977*Y976</f>
        <v/>
      </c>
      <c r="Z977">
        <f>$C977*Z976</f>
        <v/>
      </c>
      <c r="AA977">
        <f>$C977*AA976</f>
        <v/>
      </c>
      <c r="AB977">
        <f>$C977*AB976</f>
        <v/>
      </c>
      <c r="AC977">
        <f>$C977*AC976</f>
        <v/>
      </c>
      <c r="AD977">
        <f>$C977*AD976</f>
        <v/>
      </c>
      <c r="AE977">
        <f>$C977*AE976</f>
        <v/>
      </c>
      <c r="AF977">
        <f>$C977*AF976</f>
        <v/>
      </c>
      <c r="AG977">
        <f>$C977*AG976</f>
        <v/>
      </c>
      <c r="AH977">
        <f>$C977*AH976</f>
        <v/>
      </c>
      <c r="AI977">
        <f>$C977*AI976</f>
        <v/>
      </c>
      <c r="AJ977">
        <f>$C977*AJ976</f>
        <v/>
      </c>
      <c r="AK977">
        <f>$C977*AK976</f>
        <v/>
      </c>
      <c r="AL977">
        <f>$C977*AL976</f>
        <v/>
      </c>
      <c r="AM977">
        <f>$C977*AM976</f>
        <v/>
      </c>
      <c r="AN977">
        <f>$C977*AN976</f>
        <v/>
      </c>
      <c r="AO977">
        <f>$C977*AO976</f>
        <v/>
      </c>
      <c r="AP977">
        <f>$C977*AP976</f>
        <v/>
      </c>
      <c r="AQ977">
        <f>$C977*AQ976</f>
        <v/>
      </c>
      <c r="AR977">
        <f>$C977*AR976</f>
        <v/>
      </c>
      <c r="AS977">
        <f>$C977*AS976</f>
        <v/>
      </c>
      <c r="AT977">
        <f>$C977*AT976</f>
        <v/>
      </c>
      <c r="AU977">
        <f>$C977*AU976</f>
        <v/>
      </c>
      <c r="AV977">
        <f>$C977*AV976</f>
        <v/>
      </c>
      <c r="AW977">
        <f>$C977*AW976</f>
        <v/>
      </c>
      <c r="AX977">
        <f>$C977*AX976</f>
        <v/>
      </c>
      <c r="AY977">
        <f>$C977*AY976</f>
        <v/>
      </c>
      <c r="AZ977">
        <f>$C977*AZ976</f>
        <v/>
      </c>
      <c r="BA977">
        <f>$C977*BA976</f>
        <v/>
      </c>
      <c r="BB977">
        <f>$C977*BB976</f>
        <v/>
      </c>
      <c r="BC977">
        <f>$C977*BC976</f>
        <v/>
      </c>
      <c r="BD977">
        <f>$C977*BD976</f>
        <v/>
      </c>
      <c r="BE977">
        <f>$C977*BE976</f>
        <v/>
      </c>
      <c r="BF977">
        <f>$C977*BF976</f>
        <v/>
      </c>
      <c r="BG977">
        <f>$C977*BG976</f>
        <v/>
      </c>
      <c r="BH977">
        <f>$C977*BH976</f>
        <v/>
      </c>
      <c r="BI977">
        <f>$C977*BI976</f>
        <v/>
      </c>
      <c r="BJ977">
        <f>$C977*BJ976</f>
        <v/>
      </c>
      <c r="BK977">
        <f>$C977*BK976</f>
        <v/>
      </c>
      <c r="BL977">
        <f>$C977*BL976</f>
        <v/>
      </c>
      <c r="BM977">
        <f>$C977*BM976</f>
        <v/>
      </c>
      <c r="BN977">
        <f>$C977*BN976</f>
        <v/>
      </c>
      <c r="BO977">
        <f>$C977*BO976</f>
        <v/>
      </c>
      <c r="BP977">
        <f>$C977*BP976</f>
        <v/>
      </c>
      <c r="BQ977">
        <f>$C977*BQ976</f>
        <v/>
      </c>
      <c r="BR977">
        <f>$C977*BR976</f>
        <v/>
      </c>
      <c r="BS977">
        <f>$C977*BS976</f>
        <v/>
      </c>
      <c r="BT977">
        <f>$C977*BT976</f>
        <v/>
      </c>
      <c r="BU977">
        <f>$C977*BU976</f>
        <v/>
      </c>
      <c r="BV977">
        <f>$C977*BV976</f>
        <v/>
      </c>
      <c r="BW977">
        <f>$C977*BW976</f>
        <v/>
      </c>
      <c r="BX977">
        <f>$C977*BX976</f>
        <v/>
      </c>
      <c r="BY977">
        <f>$C977*BY976</f>
        <v/>
      </c>
      <c r="BZ977">
        <f>$C977*BZ976</f>
        <v/>
      </c>
      <c r="CA977">
        <f>$C977*CA976</f>
        <v/>
      </c>
      <c r="CB977">
        <f>$C977*CB976</f>
        <v/>
      </c>
      <c r="CC977">
        <f>$C977*CC976</f>
        <v/>
      </c>
      <c r="CD977">
        <f>$C977*CD976</f>
        <v/>
      </c>
      <c r="CE977">
        <f>$C977*CE976</f>
        <v/>
      </c>
      <c r="CF977">
        <f>$C977*CF976</f>
        <v/>
      </c>
      <c r="CG977">
        <f>$C977*CG976</f>
        <v/>
      </c>
      <c r="CH977">
        <f>$C977*CH976</f>
        <v/>
      </c>
      <c r="CI977">
        <f>$C977*CI976</f>
        <v/>
      </c>
      <c r="CJ977">
        <f>$C977*CJ976</f>
        <v/>
      </c>
      <c r="CK977">
        <f>$C977*CK976</f>
        <v/>
      </c>
      <c r="CL977">
        <f>$C977*CL976</f>
        <v/>
      </c>
      <c r="CM977">
        <f>$C977*CM976</f>
        <v/>
      </c>
      <c r="CN977">
        <f>$C977*CN976</f>
        <v/>
      </c>
      <c r="CO977">
        <f>$C977*CO976</f>
        <v/>
      </c>
      <c r="CP977">
        <f>$C977*CP976</f>
        <v/>
      </c>
      <c r="CQ977">
        <f>$C977*CQ976</f>
        <v/>
      </c>
      <c r="CR977">
        <f>$C977*CR976</f>
        <v/>
      </c>
      <c r="CS977">
        <f>$C977*CS976</f>
        <v/>
      </c>
      <c r="CT977">
        <f>$C977*CT976</f>
        <v/>
      </c>
      <c r="CU977">
        <f>$C977*CU976</f>
        <v/>
      </c>
      <c r="CV977">
        <f>$C977*CV976</f>
        <v/>
      </c>
      <c r="CW977">
        <f>$C977*CW976</f>
        <v/>
      </c>
      <c r="CX977">
        <f>$C977*CX976</f>
        <v/>
      </c>
      <c r="CY977">
        <f>$C977*CY976</f>
        <v/>
      </c>
      <c r="CZ977">
        <f>$C977*CZ976</f>
        <v/>
      </c>
      <c r="DA977">
        <f>$C977*DA976</f>
        <v/>
      </c>
      <c r="DB977">
        <f>$C977*DB976</f>
        <v/>
      </c>
      <c r="DC977">
        <f>$C977*DC976</f>
        <v/>
      </c>
    </row>
    <row r="978">
      <c r="B978" t="inlineStr">
        <is>
          <t>SOL-85D</t>
        </is>
      </c>
      <c r="C978" t="inlineStr">
        <is>
          <t>No. of batches</t>
        </is>
      </c>
      <c r="D978">
        <f>IFERROR(INDEX(PP_Grid[#Data],$DD978,2),0)</f>
        <v/>
      </c>
      <c r="E978">
        <f>IFERROR(INDEX(PP_Grid[#Data],$DD978,3),0)</f>
        <v/>
      </c>
      <c r="F978">
        <f>IFERROR(INDEX(PP_Grid[#Data],$DD978,4),0)</f>
        <v/>
      </c>
      <c r="G978">
        <f>IFERROR(INDEX(PP_Grid[#Data],$DD978,5),0)</f>
        <v/>
      </c>
      <c r="H978">
        <f>IFERROR(INDEX(PP_Grid[#Data],$DD978,6),0)</f>
        <v/>
      </c>
      <c r="I978">
        <f>IFERROR(INDEX(PP_Grid[#Data],$DD978,7),0)</f>
        <v/>
      </c>
      <c r="J978">
        <f>IFERROR(INDEX(PP_Grid[#Data],$DD978,8),0)</f>
        <v/>
      </c>
      <c r="K978">
        <f>IFERROR(INDEX(PP_Grid[#Data],$DD978,9),0)</f>
        <v/>
      </c>
      <c r="L978">
        <f>IFERROR(INDEX(PP_Grid[#Data],$DD978,10),0)</f>
        <v/>
      </c>
      <c r="M978">
        <f>IFERROR(INDEX(PP_Grid[#Data],$DD978,11),0)</f>
        <v/>
      </c>
      <c r="N978">
        <f>IFERROR(INDEX(PP_Grid[#Data],$DD978,12),0)</f>
        <v/>
      </c>
      <c r="O978">
        <f>IFERROR(INDEX(PP_Grid[#Data],$DD978,13),0)</f>
        <v/>
      </c>
      <c r="P978">
        <f>IFERROR(INDEX(PP_Grid[#Data],$DD978,14),0)</f>
        <v/>
      </c>
      <c r="Q978">
        <f>IFERROR(INDEX(PP_Grid[#Data],$DD978,15),0)</f>
        <v/>
      </c>
      <c r="R978">
        <f>IFERROR(INDEX(PP_Grid[#Data],$DD978,16),0)</f>
        <v/>
      </c>
      <c r="S978">
        <f>IFERROR(INDEX(PP_Grid[#Data],$DD978,17),0)</f>
        <v/>
      </c>
      <c r="T978">
        <f>IFERROR(INDEX(PP_Grid[#Data],$DD978,18),0)</f>
        <v/>
      </c>
      <c r="U978">
        <f>IFERROR(INDEX(PP_Grid[#Data],$DD978,19),0)</f>
        <v/>
      </c>
      <c r="V978">
        <f>IFERROR(INDEX(PP_Grid[#Data],$DD978,20),0)</f>
        <v/>
      </c>
      <c r="W978">
        <f>IFERROR(INDEX(PP_Grid[#Data],$DD978,21),0)</f>
        <v/>
      </c>
      <c r="X978">
        <f>IFERROR(INDEX(PP_Grid[#Data],$DD978,22),0)</f>
        <v/>
      </c>
      <c r="Y978">
        <f>IFERROR(INDEX(PP_Grid[#Data],$DD978,23),0)</f>
        <v/>
      </c>
      <c r="Z978">
        <f>IFERROR(INDEX(PP_Grid[#Data],$DD978,24),0)</f>
        <v/>
      </c>
      <c r="AA978">
        <f>IFERROR(INDEX(PP_Grid[#Data],$DD978,25),0)</f>
        <v/>
      </c>
      <c r="AB978">
        <f>IFERROR(INDEX(PP_Grid[#Data],$DD978,26),0)</f>
        <v/>
      </c>
      <c r="AC978">
        <f>IFERROR(INDEX(PP_Grid[#Data],$DD978,27),0)</f>
        <v/>
      </c>
      <c r="AD978">
        <f>IFERROR(INDEX(PP_Grid[#Data],$DD978,28),0)</f>
        <v/>
      </c>
      <c r="AE978">
        <f>IFERROR(INDEX(PP_Grid[#Data],$DD978,29),0)</f>
        <v/>
      </c>
      <c r="AF978">
        <f>IFERROR(INDEX(PP_Grid[#Data],$DD978,30),0)</f>
        <v/>
      </c>
      <c r="AG978">
        <f>IFERROR(INDEX(PP_Grid[#Data],$DD978,31),0)</f>
        <v/>
      </c>
      <c r="AH978">
        <f>IFERROR(INDEX(PP_Grid[#Data],$DD978,32),0)</f>
        <v/>
      </c>
      <c r="AI978">
        <f>IFERROR(INDEX(PP_Grid[#Data],$DD978,33),0)</f>
        <v/>
      </c>
      <c r="AJ978">
        <f>IFERROR(INDEX(PP_Grid[#Data],$DD978,34),0)</f>
        <v/>
      </c>
      <c r="AK978">
        <f>IFERROR(INDEX(PP_Grid[#Data],$DD978,35),0)</f>
        <v/>
      </c>
      <c r="AL978">
        <f>IFERROR(INDEX(PP_Grid[#Data],$DD978,36),0)</f>
        <v/>
      </c>
      <c r="AM978">
        <f>IFERROR(INDEX(PP_Grid[#Data],$DD978,37),0)</f>
        <v/>
      </c>
      <c r="AN978">
        <f>IFERROR(INDEX(PP_Grid[#Data],$DD978,38),0)</f>
        <v/>
      </c>
      <c r="AO978">
        <f>IFERROR(INDEX(PP_Grid[#Data],$DD978,39),0)</f>
        <v/>
      </c>
      <c r="AP978">
        <f>IFERROR(INDEX(PP_Grid[#Data],$DD978,40),0)</f>
        <v/>
      </c>
      <c r="AQ978">
        <f>IFERROR(INDEX(PP_Grid[#Data],$DD978,41),0)</f>
        <v/>
      </c>
      <c r="AR978">
        <f>IFERROR(INDEX(PP_Grid[#Data],$DD978,42),0)</f>
        <v/>
      </c>
      <c r="AS978">
        <f>IFERROR(INDEX(PP_Grid[#Data],$DD978,43),0)</f>
        <v/>
      </c>
      <c r="AT978">
        <f>IFERROR(INDEX(PP_Grid[#Data],$DD978,44),0)</f>
        <v/>
      </c>
      <c r="AU978">
        <f>IFERROR(INDEX(PP_Grid[#Data],$DD978,45),0)</f>
        <v/>
      </c>
      <c r="AV978">
        <f>IFERROR(INDEX(PP_Grid[#Data],$DD978,46),0)</f>
        <v/>
      </c>
      <c r="AW978">
        <f>IFERROR(INDEX(PP_Grid[#Data],$DD978,47),0)</f>
        <v/>
      </c>
      <c r="AX978">
        <f>IFERROR(INDEX(PP_Grid[#Data],$DD978,48),0)</f>
        <v/>
      </c>
      <c r="AY978">
        <f>IFERROR(INDEX(PP_Grid[#Data],$DD978,49),0)</f>
        <v/>
      </c>
      <c r="AZ978">
        <f>IFERROR(INDEX(PP_Grid[#Data],$DD978,50),0)</f>
        <v/>
      </c>
      <c r="BA978">
        <f>IFERROR(INDEX(PP_Grid[#Data],$DD978,51),0)</f>
        <v/>
      </c>
      <c r="BB978">
        <f>IFERROR(INDEX(PP_Grid[#Data],$DD978,52),0)</f>
        <v/>
      </c>
      <c r="BC978">
        <f>IFERROR(INDEX(PP_Grid[#Data],$DD978,53),0)</f>
        <v/>
      </c>
      <c r="BD978">
        <f>IFERROR(INDEX(PP_Grid[#Data],$DD978,54),0)</f>
        <v/>
      </c>
      <c r="BE978">
        <f>IFERROR(INDEX(PP_Grid[#Data],$DD978,55),0)</f>
        <v/>
      </c>
      <c r="BF978">
        <f>IFERROR(INDEX(PP_Grid[#Data],$DD978,56),0)</f>
        <v/>
      </c>
      <c r="BG978">
        <f>IFERROR(INDEX(PP_Grid[#Data],$DD978,57),0)</f>
        <v/>
      </c>
      <c r="BH978">
        <f>IFERROR(INDEX(PP_Grid[#Data],$DD978,58),0)</f>
        <v/>
      </c>
      <c r="BI978">
        <f>IFERROR(INDEX(PP_Grid[#Data],$DD978,59),0)</f>
        <v/>
      </c>
      <c r="BJ978">
        <f>IFERROR(INDEX(PP_Grid[#Data],$DD978,60),0)</f>
        <v/>
      </c>
      <c r="BK978">
        <f>IFERROR(INDEX(PP_Grid[#Data],$DD978,61),0)</f>
        <v/>
      </c>
      <c r="BL978">
        <f>IFERROR(INDEX(PP_Grid[#Data],$DD978,62),0)</f>
        <v/>
      </c>
      <c r="BM978">
        <f>IFERROR(INDEX(PP_Grid[#Data],$DD978,63),0)</f>
        <v/>
      </c>
      <c r="BN978">
        <f>IFERROR(INDEX(PP_Grid[#Data],$DD978,64),0)</f>
        <v/>
      </c>
      <c r="BO978">
        <f>IFERROR(INDEX(PP_Grid[#Data],$DD978,65),0)</f>
        <v/>
      </c>
      <c r="BP978">
        <f>IFERROR(INDEX(PP_Grid[#Data],$DD978,66),0)</f>
        <v/>
      </c>
      <c r="BQ978">
        <f>IFERROR(INDEX(PP_Grid[#Data],$DD978,67),0)</f>
        <v/>
      </c>
      <c r="BR978">
        <f>IFERROR(INDEX(PP_Grid[#Data],$DD978,68),0)</f>
        <v/>
      </c>
      <c r="BS978">
        <f>IFERROR(INDEX(PP_Grid[#Data],$DD978,69),0)</f>
        <v/>
      </c>
      <c r="BT978">
        <f>IFERROR(INDEX(PP_Grid[#Data],$DD978,70),0)</f>
        <v/>
      </c>
      <c r="BU978">
        <f>IFERROR(INDEX(PP_Grid[#Data],$DD978,71),0)</f>
        <v/>
      </c>
      <c r="BV978">
        <f>IFERROR(INDEX(PP_Grid[#Data],$DD978,72),0)</f>
        <v/>
      </c>
      <c r="BW978">
        <f>IFERROR(INDEX(PP_Grid[#Data],$DD978,73),0)</f>
        <v/>
      </c>
      <c r="BX978">
        <f>IFERROR(INDEX(PP_Grid[#Data],$DD978,74),0)</f>
        <v/>
      </c>
      <c r="BY978">
        <f>IFERROR(INDEX(PP_Grid[#Data],$DD978,75),0)</f>
        <v/>
      </c>
      <c r="BZ978">
        <f>IFERROR(INDEX(PP_Grid[#Data],$DD978,76),0)</f>
        <v/>
      </c>
      <c r="CA978">
        <f>IFERROR(INDEX(PP_Grid[#Data],$DD978,77),0)</f>
        <v/>
      </c>
      <c r="CB978">
        <f>IFERROR(INDEX(PP_Grid[#Data],$DD978,78),0)</f>
        <v/>
      </c>
      <c r="CC978">
        <f>IFERROR(INDEX(PP_Grid[#Data],$DD978,79),0)</f>
        <v/>
      </c>
      <c r="CD978">
        <f>IFERROR(INDEX(PP_Grid[#Data],$DD978,80),0)</f>
        <v/>
      </c>
      <c r="CE978">
        <f>IFERROR(INDEX(PP_Grid[#Data],$DD978,81),0)</f>
        <v/>
      </c>
      <c r="CF978">
        <f>IFERROR(INDEX(PP_Grid[#Data],$DD978,82),0)</f>
        <v/>
      </c>
      <c r="CG978">
        <f>IFERROR(INDEX(PP_Grid[#Data],$DD978,83),0)</f>
        <v/>
      </c>
      <c r="CH978">
        <f>IFERROR(INDEX(PP_Grid[#Data],$DD978,84),0)</f>
        <v/>
      </c>
      <c r="CI978">
        <f>IFERROR(INDEX(PP_Grid[#Data],$DD978,85),0)</f>
        <v/>
      </c>
      <c r="CJ978">
        <f>IFERROR(INDEX(PP_Grid[#Data],$DD978,86),0)</f>
        <v/>
      </c>
      <c r="CK978">
        <f>IFERROR(INDEX(PP_Grid[#Data],$DD978,87),0)</f>
        <v/>
      </c>
      <c r="CL978">
        <f>IFERROR(INDEX(PP_Grid[#Data],$DD978,88),0)</f>
        <v/>
      </c>
      <c r="CM978">
        <f>IFERROR(INDEX(PP_Grid[#Data],$DD978,89),0)</f>
        <v/>
      </c>
      <c r="CN978">
        <f>IFERROR(INDEX(PP_Grid[#Data],$DD978,90),0)</f>
        <v/>
      </c>
      <c r="CO978">
        <f>IFERROR(INDEX(PP_Grid[#Data],$DD978,91),0)</f>
        <v/>
      </c>
      <c r="CP978">
        <f>IFERROR(INDEX(PP_Grid[#Data],$DD978,92),0)</f>
        <v/>
      </c>
      <c r="CQ978">
        <f>IFERROR(INDEX(PP_Grid[#Data],$DD978,93),0)</f>
        <v/>
      </c>
      <c r="CR978">
        <f>IFERROR(INDEX(PP_Grid[#Data],$DD978,94),0)</f>
        <v/>
      </c>
      <c r="CS978">
        <f>IFERROR(INDEX(PP_Grid[#Data],$DD978,95),0)</f>
        <v/>
      </c>
      <c r="CT978">
        <f>IFERROR(INDEX(PP_Grid[#Data],$DD978,96),0)</f>
        <v/>
      </c>
      <c r="CU978">
        <f>IFERROR(INDEX(PP_Grid[#Data],$DD978,97),0)</f>
        <v/>
      </c>
      <c r="CV978">
        <f>IFERROR(INDEX(PP_Grid[#Data],$DD978,98),0)</f>
        <v/>
      </c>
      <c r="CW978">
        <f>IFERROR(INDEX(PP_Grid[#Data],$DD978,99),0)</f>
        <v/>
      </c>
      <c r="CX978">
        <f>IFERROR(INDEX(PP_Grid[#Data],$DD978,100),0)</f>
        <v/>
      </c>
      <c r="CY978">
        <f>IFERROR(INDEX(PP_Grid[#Data],$DD978,101),0)</f>
        <v/>
      </c>
      <c r="CZ978">
        <f>IFERROR(INDEX(PP_Grid[#Data],$DD978,102),0)</f>
        <v/>
      </c>
      <c r="DA978">
        <f>IFERROR(INDEX(PP_Grid[#Data],$DD978,103),0)</f>
        <v/>
      </c>
      <c r="DB978">
        <f>IFERROR(INDEX(PP_Grid[#Data],$DD978,104),0)</f>
        <v/>
      </c>
      <c r="DC978">
        <f>IFERROR(INDEX(PP_Grid[#Data],$DD978,105),0)</f>
        <v/>
      </c>
      <c r="DD978" s="12">
        <f>IFERROR(MATCH($B978,PP_Grid[Intermediate],0),99999)</f>
        <v/>
      </c>
    </row>
    <row r="979">
      <c r="B979" t="inlineStr">
        <is>
          <t>使用量(kg)</t>
        </is>
      </c>
      <c r="C979">
        <f>SUMIFS(M_BOM[RM_Qty_Per_Batch],M_BOM[Intermediate],$B978,M_BOM[Part Name],$A975)</f>
        <v/>
      </c>
      <c r="D979">
        <f>$C979*D978</f>
        <v/>
      </c>
      <c r="E979">
        <f>$C979*E978</f>
        <v/>
      </c>
      <c r="F979">
        <f>$C979*F978</f>
        <v/>
      </c>
      <c r="G979">
        <f>$C979*G978</f>
        <v/>
      </c>
      <c r="H979">
        <f>$C979*H978</f>
        <v/>
      </c>
      <c r="I979">
        <f>$C979*I978</f>
        <v/>
      </c>
      <c r="J979">
        <f>$C979*J978</f>
        <v/>
      </c>
      <c r="K979">
        <f>$C979*K978</f>
        <v/>
      </c>
      <c r="L979">
        <f>$C979*L978</f>
        <v/>
      </c>
      <c r="M979">
        <f>$C979*M978</f>
        <v/>
      </c>
      <c r="N979">
        <f>$C979*N978</f>
        <v/>
      </c>
      <c r="O979">
        <f>$C979*O978</f>
        <v/>
      </c>
      <c r="P979">
        <f>$C979*P978</f>
        <v/>
      </c>
      <c r="Q979">
        <f>$C979*Q978</f>
        <v/>
      </c>
      <c r="R979">
        <f>$C979*R978</f>
        <v/>
      </c>
      <c r="S979">
        <f>$C979*S978</f>
        <v/>
      </c>
      <c r="T979">
        <f>$C979*T978</f>
        <v/>
      </c>
      <c r="U979">
        <f>$C979*U978</f>
        <v/>
      </c>
      <c r="V979">
        <f>$C979*V978</f>
        <v/>
      </c>
      <c r="W979">
        <f>$C979*W978</f>
        <v/>
      </c>
      <c r="X979">
        <f>$C979*X978</f>
        <v/>
      </c>
      <c r="Y979">
        <f>$C979*Y978</f>
        <v/>
      </c>
      <c r="Z979">
        <f>$C979*Z978</f>
        <v/>
      </c>
      <c r="AA979">
        <f>$C979*AA978</f>
        <v/>
      </c>
      <c r="AB979">
        <f>$C979*AB978</f>
        <v/>
      </c>
      <c r="AC979">
        <f>$C979*AC978</f>
        <v/>
      </c>
      <c r="AD979">
        <f>$C979*AD978</f>
        <v/>
      </c>
      <c r="AE979">
        <f>$C979*AE978</f>
        <v/>
      </c>
      <c r="AF979">
        <f>$C979*AF978</f>
        <v/>
      </c>
      <c r="AG979">
        <f>$C979*AG978</f>
        <v/>
      </c>
      <c r="AH979">
        <f>$C979*AH978</f>
        <v/>
      </c>
      <c r="AI979">
        <f>$C979*AI978</f>
        <v/>
      </c>
      <c r="AJ979">
        <f>$C979*AJ978</f>
        <v/>
      </c>
      <c r="AK979">
        <f>$C979*AK978</f>
        <v/>
      </c>
      <c r="AL979">
        <f>$C979*AL978</f>
        <v/>
      </c>
      <c r="AM979">
        <f>$C979*AM978</f>
        <v/>
      </c>
      <c r="AN979">
        <f>$C979*AN978</f>
        <v/>
      </c>
      <c r="AO979">
        <f>$C979*AO978</f>
        <v/>
      </c>
      <c r="AP979">
        <f>$C979*AP978</f>
        <v/>
      </c>
      <c r="AQ979">
        <f>$C979*AQ978</f>
        <v/>
      </c>
      <c r="AR979">
        <f>$C979*AR978</f>
        <v/>
      </c>
      <c r="AS979">
        <f>$C979*AS978</f>
        <v/>
      </c>
      <c r="AT979">
        <f>$C979*AT978</f>
        <v/>
      </c>
      <c r="AU979">
        <f>$C979*AU978</f>
        <v/>
      </c>
      <c r="AV979">
        <f>$C979*AV978</f>
        <v/>
      </c>
      <c r="AW979">
        <f>$C979*AW978</f>
        <v/>
      </c>
      <c r="AX979">
        <f>$C979*AX978</f>
        <v/>
      </c>
      <c r="AY979">
        <f>$C979*AY978</f>
        <v/>
      </c>
      <c r="AZ979">
        <f>$C979*AZ978</f>
        <v/>
      </c>
      <c r="BA979">
        <f>$C979*BA978</f>
        <v/>
      </c>
      <c r="BB979">
        <f>$C979*BB978</f>
        <v/>
      </c>
      <c r="BC979">
        <f>$C979*BC978</f>
        <v/>
      </c>
      <c r="BD979">
        <f>$C979*BD978</f>
        <v/>
      </c>
      <c r="BE979">
        <f>$C979*BE978</f>
        <v/>
      </c>
      <c r="BF979">
        <f>$C979*BF978</f>
        <v/>
      </c>
      <c r="BG979">
        <f>$C979*BG978</f>
        <v/>
      </c>
      <c r="BH979">
        <f>$C979*BH978</f>
        <v/>
      </c>
      <c r="BI979">
        <f>$C979*BI978</f>
        <v/>
      </c>
      <c r="BJ979">
        <f>$C979*BJ978</f>
        <v/>
      </c>
      <c r="BK979">
        <f>$C979*BK978</f>
        <v/>
      </c>
      <c r="BL979">
        <f>$C979*BL978</f>
        <v/>
      </c>
      <c r="BM979">
        <f>$C979*BM978</f>
        <v/>
      </c>
      <c r="BN979">
        <f>$C979*BN978</f>
        <v/>
      </c>
      <c r="BO979">
        <f>$C979*BO978</f>
        <v/>
      </c>
      <c r="BP979">
        <f>$C979*BP978</f>
        <v/>
      </c>
      <c r="BQ979">
        <f>$C979*BQ978</f>
        <v/>
      </c>
      <c r="BR979">
        <f>$C979*BR978</f>
        <v/>
      </c>
      <c r="BS979">
        <f>$C979*BS978</f>
        <v/>
      </c>
      <c r="BT979">
        <f>$C979*BT978</f>
        <v/>
      </c>
      <c r="BU979">
        <f>$C979*BU978</f>
        <v/>
      </c>
      <c r="BV979">
        <f>$C979*BV978</f>
        <v/>
      </c>
      <c r="BW979">
        <f>$C979*BW978</f>
        <v/>
      </c>
      <c r="BX979">
        <f>$C979*BX978</f>
        <v/>
      </c>
      <c r="BY979">
        <f>$C979*BY978</f>
        <v/>
      </c>
      <c r="BZ979">
        <f>$C979*BZ978</f>
        <v/>
      </c>
      <c r="CA979">
        <f>$C979*CA978</f>
        <v/>
      </c>
      <c r="CB979">
        <f>$C979*CB978</f>
        <v/>
      </c>
      <c r="CC979">
        <f>$C979*CC978</f>
        <v/>
      </c>
      <c r="CD979">
        <f>$C979*CD978</f>
        <v/>
      </c>
      <c r="CE979">
        <f>$C979*CE978</f>
        <v/>
      </c>
      <c r="CF979">
        <f>$C979*CF978</f>
        <v/>
      </c>
      <c r="CG979">
        <f>$C979*CG978</f>
        <v/>
      </c>
      <c r="CH979">
        <f>$C979*CH978</f>
        <v/>
      </c>
      <c r="CI979">
        <f>$C979*CI978</f>
        <v/>
      </c>
      <c r="CJ979">
        <f>$C979*CJ978</f>
        <v/>
      </c>
      <c r="CK979">
        <f>$C979*CK978</f>
        <v/>
      </c>
      <c r="CL979">
        <f>$C979*CL978</f>
        <v/>
      </c>
      <c r="CM979">
        <f>$C979*CM978</f>
        <v/>
      </c>
      <c r="CN979">
        <f>$C979*CN978</f>
        <v/>
      </c>
      <c r="CO979">
        <f>$C979*CO978</f>
        <v/>
      </c>
      <c r="CP979">
        <f>$C979*CP978</f>
        <v/>
      </c>
      <c r="CQ979">
        <f>$C979*CQ978</f>
        <v/>
      </c>
      <c r="CR979">
        <f>$C979*CR978</f>
        <v/>
      </c>
      <c r="CS979">
        <f>$C979*CS978</f>
        <v/>
      </c>
      <c r="CT979">
        <f>$C979*CT978</f>
        <v/>
      </c>
      <c r="CU979">
        <f>$C979*CU978</f>
        <v/>
      </c>
      <c r="CV979">
        <f>$C979*CV978</f>
        <v/>
      </c>
      <c r="CW979">
        <f>$C979*CW978</f>
        <v/>
      </c>
      <c r="CX979">
        <f>$C979*CX978</f>
        <v/>
      </c>
      <c r="CY979">
        <f>$C979*CY978</f>
        <v/>
      </c>
      <c r="CZ979">
        <f>$C979*CZ978</f>
        <v/>
      </c>
      <c r="DA979">
        <f>$C979*DA978</f>
        <v/>
      </c>
      <c r="DB979">
        <f>$C979*DB978</f>
        <v/>
      </c>
      <c r="DC979">
        <f>$C979*DC978</f>
        <v/>
      </c>
    </row>
    <row r="980">
      <c r="B980" s="5" t="inlineStr">
        <is>
          <t>合計使用量(kg)/週</t>
        </is>
      </c>
      <c r="D980">
        <f>'Grid_Requirement'!B43</f>
        <v/>
      </c>
      <c r="E980">
        <f>'Grid_Requirement'!C43</f>
        <v/>
      </c>
      <c r="F980">
        <f>'Grid_Requirement'!D43</f>
        <v/>
      </c>
      <c r="G980">
        <f>'Grid_Requirement'!E43</f>
        <v/>
      </c>
      <c r="H980">
        <f>'Grid_Requirement'!F43</f>
        <v/>
      </c>
      <c r="I980">
        <f>'Grid_Requirement'!G43</f>
        <v/>
      </c>
      <c r="J980">
        <f>'Grid_Requirement'!H43</f>
        <v/>
      </c>
      <c r="K980">
        <f>'Grid_Requirement'!I43</f>
        <v/>
      </c>
      <c r="L980">
        <f>'Grid_Requirement'!J43</f>
        <v/>
      </c>
      <c r="M980">
        <f>'Grid_Requirement'!K43</f>
        <v/>
      </c>
      <c r="N980">
        <f>'Grid_Requirement'!L43</f>
        <v/>
      </c>
      <c r="O980">
        <f>'Grid_Requirement'!M43</f>
        <v/>
      </c>
      <c r="P980">
        <f>'Grid_Requirement'!N43</f>
        <v/>
      </c>
      <c r="Q980">
        <f>'Grid_Requirement'!O43</f>
        <v/>
      </c>
      <c r="R980">
        <f>'Grid_Requirement'!P43</f>
        <v/>
      </c>
      <c r="S980">
        <f>'Grid_Requirement'!Q43</f>
        <v/>
      </c>
      <c r="T980">
        <f>'Grid_Requirement'!R43</f>
        <v/>
      </c>
      <c r="U980">
        <f>'Grid_Requirement'!S43</f>
        <v/>
      </c>
      <c r="V980">
        <f>'Grid_Requirement'!T43</f>
        <v/>
      </c>
      <c r="W980">
        <f>'Grid_Requirement'!U43</f>
        <v/>
      </c>
      <c r="X980">
        <f>'Grid_Requirement'!V43</f>
        <v/>
      </c>
      <c r="Y980">
        <f>'Grid_Requirement'!W43</f>
        <v/>
      </c>
      <c r="Z980">
        <f>'Grid_Requirement'!X43</f>
        <v/>
      </c>
      <c r="AA980">
        <f>'Grid_Requirement'!Y43</f>
        <v/>
      </c>
      <c r="AB980">
        <f>'Grid_Requirement'!Z43</f>
        <v/>
      </c>
      <c r="AC980">
        <f>'Grid_Requirement'!AA43</f>
        <v/>
      </c>
      <c r="AD980">
        <f>'Grid_Requirement'!AB43</f>
        <v/>
      </c>
      <c r="AE980">
        <f>'Grid_Requirement'!AC43</f>
        <v/>
      </c>
      <c r="AF980">
        <f>'Grid_Requirement'!AD43</f>
        <v/>
      </c>
      <c r="AG980">
        <f>'Grid_Requirement'!AE43</f>
        <v/>
      </c>
      <c r="AH980">
        <f>'Grid_Requirement'!AF43</f>
        <v/>
      </c>
      <c r="AI980">
        <f>'Grid_Requirement'!AG43</f>
        <v/>
      </c>
      <c r="AJ980">
        <f>'Grid_Requirement'!AH43</f>
        <v/>
      </c>
      <c r="AK980">
        <f>'Grid_Requirement'!AI43</f>
        <v/>
      </c>
      <c r="AL980">
        <f>'Grid_Requirement'!AJ43</f>
        <v/>
      </c>
      <c r="AM980">
        <f>'Grid_Requirement'!AK43</f>
        <v/>
      </c>
      <c r="AN980">
        <f>'Grid_Requirement'!AL43</f>
        <v/>
      </c>
      <c r="AO980">
        <f>'Grid_Requirement'!AM43</f>
        <v/>
      </c>
      <c r="AP980">
        <f>'Grid_Requirement'!AN43</f>
        <v/>
      </c>
      <c r="AQ980">
        <f>'Grid_Requirement'!AO43</f>
        <v/>
      </c>
      <c r="AR980">
        <f>'Grid_Requirement'!AP43</f>
        <v/>
      </c>
      <c r="AS980">
        <f>'Grid_Requirement'!AQ43</f>
        <v/>
      </c>
      <c r="AT980">
        <f>'Grid_Requirement'!AR43</f>
        <v/>
      </c>
      <c r="AU980">
        <f>'Grid_Requirement'!AS43</f>
        <v/>
      </c>
      <c r="AV980">
        <f>'Grid_Requirement'!AT43</f>
        <v/>
      </c>
      <c r="AW980">
        <f>'Grid_Requirement'!AU43</f>
        <v/>
      </c>
      <c r="AX980">
        <f>'Grid_Requirement'!AV43</f>
        <v/>
      </c>
      <c r="AY980">
        <f>'Grid_Requirement'!AW43</f>
        <v/>
      </c>
      <c r="AZ980">
        <f>'Grid_Requirement'!AX43</f>
        <v/>
      </c>
      <c r="BA980">
        <f>'Grid_Requirement'!AY43</f>
        <v/>
      </c>
      <c r="BB980">
        <f>'Grid_Requirement'!AZ43</f>
        <v/>
      </c>
      <c r="BC980">
        <f>'Grid_Requirement'!BA43</f>
        <v/>
      </c>
      <c r="BD980">
        <f>'Grid_Requirement'!BB43</f>
        <v/>
      </c>
      <c r="BE980">
        <f>'Grid_Requirement'!BC43</f>
        <v/>
      </c>
      <c r="BF980">
        <f>'Grid_Requirement'!BD43</f>
        <v/>
      </c>
      <c r="BG980">
        <f>'Grid_Requirement'!BE43</f>
        <v/>
      </c>
      <c r="BH980">
        <f>'Grid_Requirement'!BF43</f>
        <v/>
      </c>
      <c r="BI980">
        <f>'Grid_Requirement'!BG43</f>
        <v/>
      </c>
      <c r="BJ980">
        <f>'Grid_Requirement'!BH43</f>
        <v/>
      </c>
      <c r="BK980">
        <f>'Grid_Requirement'!BI43</f>
        <v/>
      </c>
      <c r="BL980">
        <f>'Grid_Requirement'!BJ43</f>
        <v/>
      </c>
      <c r="BM980">
        <f>'Grid_Requirement'!BK43</f>
        <v/>
      </c>
      <c r="BN980">
        <f>'Grid_Requirement'!BL43</f>
        <v/>
      </c>
      <c r="BO980">
        <f>'Grid_Requirement'!BM43</f>
        <v/>
      </c>
      <c r="BP980">
        <f>'Grid_Requirement'!BN43</f>
        <v/>
      </c>
      <c r="BQ980">
        <f>'Grid_Requirement'!BO43</f>
        <v/>
      </c>
      <c r="BR980">
        <f>'Grid_Requirement'!BP43</f>
        <v/>
      </c>
      <c r="BS980">
        <f>'Grid_Requirement'!BQ43</f>
        <v/>
      </c>
      <c r="BT980">
        <f>'Grid_Requirement'!BR43</f>
        <v/>
      </c>
      <c r="BU980">
        <f>'Grid_Requirement'!BS43</f>
        <v/>
      </c>
      <c r="BV980">
        <f>'Grid_Requirement'!BT43</f>
        <v/>
      </c>
      <c r="BW980">
        <f>'Grid_Requirement'!BU43</f>
        <v/>
      </c>
      <c r="BX980">
        <f>'Grid_Requirement'!BV43</f>
        <v/>
      </c>
      <c r="BY980">
        <f>'Grid_Requirement'!BW43</f>
        <v/>
      </c>
      <c r="BZ980">
        <f>'Grid_Requirement'!BX43</f>
        <v/>
      </c>
      <c r="CA980">
        <f>'Grid_Requirement'!BY43</f>
        <v/>
      </c>
      <c r="CB980">
        <f>'Grid_Requirement'!BZ43</f>
        <v/>
      </c>
      <c r="CC980">
        <f>'Grid_Requirement'!CA43</f>
        <v/>
      </c>
      <c r="CD980">
        <f>'Grid_Requirement'!CB43</f>
        <v/>
      </c>
      <c r="CE980">
        <f>'Grid_Requirement'!CC43</f>
        <v/>
      </c>
      <c r="CF980">
        <f>'Grid_Requirement'!CD43</f>
        <v/>
      </c>
      <c r="CG980">
        <f>'Grid_Requirement'!CE43</f>
        <v/>
      </c>
      <c r="CH980">
        <f>'Grid_Requirement'!CF43</f>
        <v/>
      </c>
      <c r="CI980">
        <f>'Grid_Requirement'!CG43</f>
        <v/>
      </c>
      <c r="CJ980">
        <f>'Grid_Requirement'!CH43</f>
        <v/>
      </c>
      <c r="CK980">
        <f>'Grid_Requirement'!CI43</f>
        <v/>
      </c>
      <c r="CL980">
        <f>'Grid_Requirement'!CJ43</f>
        <v/>
      </c>
      <c r="CM980">
        <f>'Grid_Requirement'!CK43</f>
        <v/>
      </c>
      <c r="CN980">
        <f>'Grid_Requirement'!CL43</f>
        <v/>
      </c>
      <c r="CO980">
        <f>'Grid_Requirement'!CM43</f>
        <v/>
      </c>
      <c r="CP980">
        <f>'Grid_Requirement'!CN43</f>
        <v/>
      </c>
      <c r="CQ980">
        <f>'Grid_Requirement'!CO43</f>
        <v/>
      </c>
      <c r="CR980">
        <f>'Grid_Requirement'!CP43</f>
        <v/>
      </c>
      <c r="CS980">
        <f>'Grid_Requirement'!CQ43</f>
        <v/>
      </c>
      <c r="CT980">
        <f>'Grid_Requirement'!CR43</f>
        <v/>
      </c>
      <c r="CU980">
        <f>'Grid_Requirement'!CS43</f>
        <v/>
      </c>
      <c r="CV980">
        <f>'Grid_Requirement'!CT43</f>
        <v/>
      </c>
      <c r="CW980">
        <f>'Grid_Requirement'!CU43</f>
        <v/>
      </c>
      <c r="CX980">
        <f>'Grid_Requirement'!CV43</f>
        <v/>
      </c>
      <c r="CY980">
        <f>'Grid_Requirement'!CW43</f>
        <v/>
      </c>
      <c r="CZ980">
        <f>'Grid_Requirement'!CX43</f>
        <v/>
      </c>
      <c r="DA980">
        <f>'Grid_Requirement'!CY43</f>
        <v/>
      </c>
      <c r="DB980">
        <f>'Grid_Requirement'!CZ43</f>
        <v/>
      </c>
      <c r="DC980">
        <f>'Grid_Requirement'!DA43</f>
        <v/>
      </c>
    </row>
    <row r="981">
      <c r="B981" t="inlineStr">
        <is>
          <t>TTAF在庫(実績,kg)</t>
        </is>
      </c>
      <c r="D981">
        <f>'T_TTAFStock'!B47</f>
        <v/>
      </c>
      <c r="E981">
        <f>'T_TTAFStock'!C47</f>
        <v/>
      </c>
      <c r="F981">
        <f>'T_TTAFStock'!D47</f>
        <v/>
      </c>
      <c r="G981">
        <f>'T_TTAFStock'!E47</f>
        <v/>
      </c>
      <c r="H981">
        <f>'T_TTAFStock'!F47</f>
        <v/>
      </c>
      <c r="I981">
        <f>'T_TTAFStock'!G47</f>
        <v/>
      </c>
      <c r="J981">
        <f>'T_TTAFStock'!H47</f>
        <v/>
      </c>
      <c r="K981">
        <f>'T_TTAFStock'!I47</f>
        <v/>
      </c>
      <c r="L981">
        <f>'T_TTAFStock'!J47</f>
        <v/>
      </c>
      <c r="M981">
        <f>'T_TTAFStock'!K47</f>
        <v/>
      </c>
      <c r="N981">
        <f>'T_TTAFStock'!L47</f>
        <v/>
      </c>
      <c r="O981">
        <f>'T_TTAFStock'!M47</f>
        <v/>
      </c>
      <c r="P981">
        <f>'T_TTAFStock'!N47</f>
        <v/>
      </c>
      <c r="Q981">
        <f>'T_TTAFStock'!O47</f>
        <v/>
      </c>
      <c r="R981">
        <f>'T_TTAFStock'!P47</f>
        <v/>
      </c>
      <c r="S981">
        <f>'T_TTAFStock'!Q47</f>
        <v/>
      </c>
      <c r="T981">
        <f>'T_TTAFStock'!R47</f>
        <v/>
      </c>
      <c r="U981">
        <f>'T_TTAFStock'!S47</f>
        <v/>
      </c>
      <c r="V981">
        <f>'T_TTAFStock'!T47</f>
        <v/>
      </c>
      <c r="W981">
        <f>'T_TTAFStock'!U47</f>
        <v/>
      </c>
      <c r="X981">
        <f>'T_TTAFStock'!V47</f>
        <v/>
      </c>
      <c r="Y981">
        <f>'T_TTAFStock'!W47</f>
        <v/>
      </c>
      <c r="Z981">
        <f>'T_TTAFStock'!X47</f>
        <v/>
      </c>
      <c r="AA981">
        <f>'T_TTAFStock'!Y47</f>
        <v/>
      </c>
      <c r="AB981">
        <f>'T_TTAFStock'!Z47</f>
        <v/>
      </c>
      <c r="AC981">
        <f>'T_TTAFStock'!AA47</f>
        <v/>
      </c>
      <c r="AD981">
        <f>'T_TTAFStock'!AB47</f>
        <v/>
      </c>
      <c r="AE981">
        <f>'T_TTAFStock'!AC47</f>
        <v/>
      </c>
      <c r="AF981">
        <f>'T_TTAFStock'!AD47</f>
        <v/>
      </c>
      <c r="AG981">
        <f>'T_TTAFStock'!AE47</f>
        <v/>
      </c>
      <c r="AH981">
        <f>'T_TTAFStock'!AF47</f>
        <v/>
      </c>
      <c r="AI981">
        <f>'T_TTAFStock'!AG47</f>
        <v/>
      </c>
      <c r="AJ981">
        <f>'T_TTAFStock'!AH47</f>
        <v/>
      </c>
      <c r="AK981">
        <f>'T_TTAFStock'!AI47</f>
        <v/>
      </c>
      <c r="AL981">
        <f>'T_TTAFStock'!AJ47</f>
        <v/>
      </c>
      <c r="AM981">
        <f>'T_TTAFStock'!AK47</f>
        <v/>
      </c>
      <c r="AN981">
        <f>'T_TTAFStock'!AL47</f>
        <v/>
      </c>
      <c r="AO981">
        <f>'T_TTAFStock'!AM47</f>
        <v/>
      </c>
      <c r="AP981">
        <f>'T_TTAFStock'!AN47</f>
        <v/>
      </c>
      <c r="AQ981">
        <f>'T_TTAFStock'!AO47</f>
        <v/>
      </c>
      <c r="AR981">
        <f>'T_TTAFStock'!AP47</f>
        <v/>
      </c>
      <c r="AS981">
        <f>'T_TTAFStock'!AQ47</f>
        <v/>
      </c>
      <c r="AT981">
        <f>'T_TTAFStock'!AR47</f>
        <v/>
      </c>
      <c r="AU981">
        <f>'T_TTAFStock'!AS47</f>
        <v/>
      </c>
      <c r="AV981">
        <f>'T_TTAFStock'!AT47</f>
        <v/>
      </c>
      <c r="AW981">
        <f>'T_TTAFStock'!AU47</f>
        <v/>
      </c>
      <c r="AX981">
        <f>'T_TTAFStock'!AV47</f>
        <v/>
      </c>
      <c r="AY981">
        <f>'T_TTAFStock'!AW47</f>
        <v/>
      </c>
      <c r="AZ981">
        <f>'T_TTAFStock'!AX47</f>
        <v/>
      </c>
      <c r="BA981">
        <f>'T_TTAFStock'!AY47</f>
        <v/>
      </c>
      <c r="BB981">
        <f>'T_TTAFStock'!AZ47</f>
        <v/>
      </c>
      <c r="BC981">
        <f>'T_TTAFStock'!BA47</f>
        <v/>
      </c>
      <c r="BD981">
        <f>'T_TTAFStock'!BB47</f>
        <v/>
      </c>
      <c r="BE981">
        <f>'T_TTAFStock'!BC47</f>
        <v/>
      </c>
      <c r="BF981">
        <f>'T_TTAFStock'!BD47</f>
        <v/>
      </c>
      <c r="BG981">
        <f>'T_TTAFStock'!BE47</f>
        <v/>
      </c>
      <c r="BH981">
        <f>'T_TTAFStock'!BF47</f>
        <v/>
      </c>
      <c r="BI981">
        <f>'T_TTAFStock'!BG47</f>
        <v/>
      </c>
      <c r="BJ981">
        <f>'T_TTAFStock'!BH47</f>
        <v/>
      </c>
      <c r="BK981">
        <f>'T_TTAFStock'!BI47</f>
        <v/>
      </c>
      <c r="BL981">
        <f>'T_TTAFStock'!BJ47</f>
        <v/>
      </c>
      <c r="BM981">
        <f>'T_TTAFStock'!BK47</f>
        <v/>
      </c>
      <c r="BN981">
        <f>'T_TTAFStock'!BL47</f>
        <v/>
      </c>
      <c r="BO981">
        <f>'T_TTAFStock'!BM47</f>
        <v/>
      </c>
      <c r="BP981">
        <f>'T_TTAFStock'!BN47</f>
        <v/>
      </c>
      <c r="BQ981">
        <f>'T_TTAFStock'!BO47</f>
        <v/>
      </c>
      <c r="BR981">
        <f>'T_TTAFStock'!BP47</f>
        <v/>
      </c>
      <c r="BS981">
        <f>'T_TTAFStock'!BQ47</f>
        <v/>
      </c>
      <c r="BT981">
        <f>'T_TTAFStock'!BR47</f>
        <v/>
      </c>
      <c r="BU981">
        <f>'T_TTAFStock'!BS47</f>
        <v/>
      </c>
      <c r="BV981">
        <f>'T_TTAFStock'!BT47</f>
        <v/>
      </c>
      <c r="BW981">
        <f>'T_TTAFStock'!BU47</f>
        <v/>
      </c>
      <c r="BX981">
        <f>'T_TTAFStock'!BV47</f>
        <v/>
      </c>
      <c r="BY981">
        <f>'T_TTAFStock'!BW47</f>
        <v/>
      </c>
      <c r="BZ981">
        <f>'T_TTAFStock'!BX47</f>
        <v/>
      </c>
      <c r="CA981">
        <f>'T_TTAFStock'!BY47</f>
        <v/>
      </c>
      <c r="CB981">
        <f>'T_TTAFStock'!BZ47</f>
        <v/>
      </c>
      <c r="CC981">
        <f>'T_TTAFStock'!CA47</f>
        <v/>
      </c>
      <c r="CD981">
        <f>'T_TTAFStock'!CB47</f>
        <v/>
      </c>
      <c r="CE981">
        <f>'T_TTAFStock'!CC47</f>
        <v/>
      </c>
      <c r="CF981">
        <f>'T_TTAFStock'!CD47</f>
        <v/>
      </c>
      <c r="CG981">
        <f>'T_TTAFStock'!CE47</f>
        <v/>
      </c>
      <c r="CH981">
        <f>'T_TTAFStock'!CF47</f>
        <v/>
      </c>
      <c r="CI981">
        <f>'T_TTAFStock'!CG47</f>
        <v/>
      </c>
      <c r="CJ981">
        <f>'T_TTAFStock'!CH47</f>
        <v/>
      </c>
      <c r="CK981">
        <f>'T_TTAFStock'!CI47</f>
        <v/>
      </c>
      <c r="CL981">
        <f>'T_TTAFStock'!CJ47</f>
        <v/>
      </c>
      <c r="CM981">
        <f>'T_TTAFStock'!CK47</f>
        <v/>
      </c>
      <c r="CN981">
        <f>'T_TTAFStock'!CL47</f>
        <v/>
      </c>
      <c r="CO981">
        <f>'T_TTAFStock'!CM47</f>
        <v/>
      </c>
      <c r="CP981">
        <f>'T_TTAFStock'!CN47</f>
        <v/>
      </c>
      <c r="CQ981">
        <f>'T_TTAFStock'!CO47</f>
        <v/>
      </c>
      <c r="CR981">
        <f>'T_TTAFStock'!CP47</f>
        <v/>
      </c>
      <c r="CS981">
        <f>'T_TTAFStock'!CQ47</f>
        <v/>
      </c>
      <c r="CT981">
        <f>'T_TTAFStock'!CR47</f>
        <v/>
      </c>
      <c r="CU981">
        <f>'T_TTAFStock'!CS47</f>
        <v/>
      </c>
      <c r="CV981">
        <f>'T_TTAFStock'!CT47</f>
        <v/>
      </c>
      <c r="CW981">
        <f>'T_TTAFStock'!CU47</f>
        <v/>
      </c>
      <c r="CX981">
        <f>'T_TTAFStock'!CV47</f>
        <v/>
      </c>
      <c r="CY981">
        <f>'T_TTAFStock'!CW47</f>
        <v/>
      </c>
      <c r="CZ981">
        <f>'T_TTAFStock'!CX47</f>
        <v/>
      </c>
      <c r="DA981">
        <f>'T_TTAFStock'!CY47</f>
        <v/>
      </c>
      <c r="DB981">
        <f>'T_TTAFStock'!CZ47</f>
        <v/>
      </c>
      <c r="DC981">
        <f>'T_TTAFStock'!DA47</f>
        <v/>
      </c>
    </row>
    <row r="982">
      <c r="B982" t="inlineStr">
        <is>
          <t>自社在庫(実績,kg)</t>
        </is>
      </c>
      <c r="D982">
        <f>'T_SelfStock'!B47</f>
        <v/>
      </c>
      <c r="E982">
        <f>'T_SelfStock'!C47</f>
        <v/>
      </c>
      <c r="F982">
        <f>'T_SelfStock'!D47</f>
        <v/>
      </c>
      <c r="G982">
        <f>'T_SelfStock'!E47</f>
        <v/>
      </c>
      <c r="H982">
        <f>'T_SelfStock'!F47</f>
        <v/>
      </c>
      <c r="I982">
        <f>'T_SelfStock'!G47</f>
        <v/>
      </c>
      <c r="J982">
        <f>'T_SelfStock'!H47</f>
        <v/>
      </c>
      <c r="K982">
        <f>'T_SelfStock'!I47</f>
        <v/>
      </c>
      <c r="L982">
        <f>'T_SelfStock'!J47</f>
        <v/>
      </c>
      <c r="M982">
        <f>'T_SelfStock'!K47</f>
        <v/>
      </c>
      <c r="N982">
        <f>'T_SelfStock'!L47</f>
        <v/>
      </c>
      <c r="O982">
        <f>'T_SelfStock'!M47</f>
        <v/>
      </c>
      <c r="P982">
        <f>'T_SelfStock'!N47</f>
        <v/>
      </c>
      <c r="Q982">
        <f>'T_SelfStock'!O47</f>
        <v/>
      </c>
      <c r="R982">
        <f>'T_SelfStock'!P47</f>
        <v/>
      </c>
      <c r="S982">
        <f>'T_SelfStock'!Q47</f>
        <v/>
      </c>
      <c r="T982">
        <f>'T_SelfStock'!R47</f>
        <v/>
      </c>
      <c r="U982">
        <f>'T_SelfStock'!S47</f>
        <v/>
      </c>
      <c r="V982">
        <f>'T_SelfStock'!T47</f>
        <v/>
      </c>
      <c r="W982">
        <f>'T_SelfStock'!U47</f>
        <v/>
      </c>
      <c r="X982">
        <f>'T_SelfStock'!V47</f>
        <v/>
      </c>
      <c r="Y982">
        <f>'T_SelfStock'!W47</f>
        <v/>
      </c>
      <c r="Z982">
        <f>'T_SelfStock'!X47</f>
        <v/>
      </c>
      <c r="AA982">
        <f>'T_SelfStock'!Y47</f>
        <v/>
      </c>
      <c r="AB982">
        <f>'T_SelfStock'!Z47</f>
        <v/>
      </c>
      <c r="AC982">
        <f>'T_SelfStock'!AA47</f>
        <v/>
      </c>
      <c r="AD982">
        <f>'T_SelfStock'!AB47</f>
        <v/>
      </c>
      <c r="AE982">
        <f>'T_SelfStock'!AC47</f>
        <v/>
      </c>
      <c r="AF982">
        <f>'T_SelfStock'!AD47</f>
        <v/>
      </c>
      <c r="AG982">
        <f>'T_SelfStock'!AE47</f>
        <v/>
      </c>
      <c r="AH982">
        <f>'T_SelfStock'!AF47</f>
        <v/>
      </c>
      <c r="AI982">
        <f>'T_SelfStock'!AG47</f>
        <v/>
      </c>
      <c r="AJ982">
        <f>'T_SelfStock'!AH47</f>
        <v/>
      </c>
      <c r="AK982">
        <f>'T_SelfStock'!AI47</f>
        <v/>
      </c>
      <c r="AL982">
        <f>'T_SelfStock'!AJ47</f>
        <v/>
      </c>
      <c r="AM982">
        <f>'T_SelfStock'!AK47</f>
        <v/>
      </c>
      <c r="AN982">
        <f>'T_SelfStock'!AL47</f>
        <v/>
      </c>
      <c r="AO982">
        <f>'T_SelfStock'!AM47</f>
        <v/>
      </c>
      <c r="AP982">
        <f>'T_SelfStock'!AN47</f>
        <v/>
      </c>
      <c r="AQ982">
        <f>'T_SelfStock'!AO47</f>
        <v/>
      </c>
      <c r="AR982">
        <f>'T_SelfStock'!AP47</f>
        <v/>
      </c>
      <c r="AS982">
        <f>'T_SelfStock'!AQ47</f>
        <v/>
      </c>
      <c r="AT982">
        <f>'T_SelfStock'!AR47</f>
        <v/>
      </c>
      <c r="AU982">
        <f>'T_SelfStock'!AS47</f>
        <v/>
      </c>
      <c r="AV982">
        <f>'T_SelfStock'!AT47</f>
        <v/>
      </c>
      <c r="AW982">
        <f>'T_SelfStock'!AU47</f>
        <v/>
      </c>
      <c r="AX982">
        <f>'T_SelfStock'!AV47</f>
        <v/>
      </c>
      <c r="AY982">
        <f>'T_SelfStock'!AW47</f>
        <v/>
      </c>
      <c r="AZ982">
        <f>'T_SelfStock'!AX47</f>
        <v/>
      </c>
      <c r="BA982">
        <f>'T_SelfStock'!AY47</f>
        <v/>
      </c>
      <c r="BB982">
        <f>'T_SelfStock'!AZ47</f>
        <v/>
      </c>
      <c r="BC982">
        <f>'T_SelfStock'!BA47</f>
        <v/>
      </c>
      <c r="BD982">
        <f>'T_SelfStock'!BB47</f>
        <v/>
      </c>
      <c r="BE982">
        <f>'T_SelfStock'!BC47</f>
        <v/>
      </c>
      <c r="BF982">
        <f>'T_SelfStock'!BD47</f>
        <v/>
      </c>
      <c r="BG982">
        <f>'T_SelfStock'!BE47</f>
        <v/>
      </c>
      <c r="BH982">
        <f>'T_SelfStock'!BF47</f>
        <v/>
      </c>
      <c r="BI982">
        <f>'T_SelfStock'!BG47</f>
        <v/>
      </c>
      <c r="BJ982">
        <f>'T_SelfStock'!BH47</f>
        <v/>
      </c>
      <c r="BK982">
        <f>'T_SelfStock'!BI47</f>
        <v/>
      </c>
      <c r="BL982">
        <f>'T_SelfStock'!BJ47</f>
        <v/>
      </c>
      <c r="BM982">
        <f>'T_SelfStock'!BK47</f>
        <v/>
      </c>
      <c r="BN982">
        <f>'T_SelfStock'!BL47</f>
        <v/>
      </c>
      <c r="BO982">
        <f>'T_SelfStock'!BM47</f>
        <v/>
      </c>
      <c r="BP982">
        <f>'T_SelfStock'!BN47</f>
        <v/>
      </c>
      <c r="BQ982">
        <f>'T_SelfStock'!BO47</f>
        <v/>
      </c>
      <c r="BR982">
        <f>'T_SelfStock'!BP47</f>
        <v/>
      </c>
      <c r="BS982">
        <f>'T_SelfStock'!BQ47</f>
        <v/>
      </c>
      <c r="BT982">
        <f>'T_SelfStock'!BR47</f>
        <v/>
      </c>
      <c r="BU982">
        <f>'T_SelfStock'!BS47</f>
        <v/>
      </c>
      <c r="BV982">
        <f>'T_SelfStock'!BT47</f>
        <v/>
      </c>
      <c r="BW982">
        <f>'T_SelfStock'!BU47</f>
        <v/>
      </c>
      <c r="BX982">
        <f>'T_SelfStock'!BV47</f>
        <v/>
      </c>
      <c r="BY982">
        <f>'T_SelfStock'!BW47</f>
        <v/>
      </c>
      <c r="BZ982">
        <f>'T_SelfStock'!BX47</f>
        <v/>
      </c>
      <c r="CA982">
        <f>'T_SelfStock'!BY47</f>
        <v/>
      </c>
      <c r="CB982">
        <f>'T_SelfStock'!BZ47</f>
        <v/>
      </c>
      <c r="CC982">
        <f>'T_SelfStock'!CA47</f>
        <v/>
      </c>
      <c r="CD982">
        <f>'T_SelfStock'!CB47</f>
        <v/>
      </c>
      <c r="CE982">
        <f>'T_SelfStock'!CC47</f>
        <v/>
      </c>
      <c r="CF982">
        <f>'T_SelfStock'!CD47</f>
        <v/>
      </c>
      <c r="CG982">
        <f>'T_SelfStock'!CE47</f>
        <v/>
      </c>
      <c r="CH982">
        <f>'T_SelfStock'!CF47</f>
        <v/>
      </c>
      <c r="CI982">
        <f>'T_SelfStock'!CG47</f>
        <v/>
      </c>
      <c r="CJ982">
        <f>'T_SelfStock'!CH47</f>
        <v/>
      </c>
      <c r="CK982">
        <f>'T_SelfStock'!CI47</f>
        <v/>
      </c>
      <c r="CL982">
        <f>'T_SelfStock'!CJ47</f>
        <v/>
      </c>
      <c r="CM982">
        <f>'T_SelfStock'!CK47</f>
        <v/>
      </c>
      <c r="CN982">
        <f>'T_SelfStock'!CL47</f>
        <v/>
      </c>
      <c r="CO982">
        <f>'T_SelfStock'!CM47</f>
        <v/>
      </c>
      <c r="CP982">
        <f>'T_SelfStock'!CN47</f>
        <v/>
      </c>
      <c r="CQ982">
        <f>'T_SelfStock'!CO47</f>
        <v/>
      </c>
      <c r="CR982">
        <f>'T_SelfStock'!CP47</f>
        <v/>
      </c>
      <c r="CS982">
        <f>'T_SelfStock'!CQ47</f>
        <v/>
      </c>
      <c r="CT982">
        <f>'T_SelfStock'!CR47</f>
        <v/>
      </c>
      <c r="CU982">
        <f>'T_SelfStock'!CS47</f>
        <v/>
      </c>
      <c r="CV982">
        <f>'T_SelfStock'!CT47</f>
        <v/>
      </c>
      <c r="CW982">
        <f>'T_SelfStock'!CU47</f>
        <v/>
      </c>
      <c r="CX982">
        <f>'T_SelfStock'!CV47</f>
        <v/>
      </c>
      <c r="CY982">
        <f>'T_SelfStock'!CW47</f>
        <v/>
      </c>
      <c r="CZ982">
        <f>'T_SelfStock'!CX47</f>
        <v/>
      </c>
      <c r="DA982">
        <f>'T_SelfStock'!CY47</f>
        <v/>
      </c>
      <c r="DB982">
        <f>'T_SelfStock'!CZ47</f>
        <v/>
      </c>
      <c r="DC982">
        <f>'T_SelfStock'!DA47</f>
        <v/>
      </c>
    </row>
    <row r="983">
      <c r="B983" t="inlineStr">
        <is>
          <t>Order(発注予定,kg)</t>
        </is>
      </c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  <c r="AA983" s="23" t="n"/>
      <c r="AB983" s="23" t="n"/>
      <c r="AC983" s="23" t="n"/>
      <c r="AD983" s="23" t="n"/>
      <c r="AE983" s="23" t="n"/>
      <c r="AF983" s="23" t="n"/>
      <c r="AG983" s="23" t="n"/>
      <c r="AH983" s="23" t="n"/>
      <c r="AI983" s="23" t="n"/>
      <c r="AJ983" s="23" t="n"/>
      <c r="AK983" s="23" t="n"/>
      <c r="AL983" s="23" t="n"/>
      <c r="AM983" s="23" t="n"/>
      <c r="AN983" s="23" t="n"/>
      <c r="AO983" s="23" t="n"/>
      <c r="AP983" s="23" t="n"/>
      <c r="AQ983" s="23" t="n"/>
      <c r="AR983" s="23" t="n"/>
      <c r="AS983" s="23" t="n"/>
      <c r="AT983" s="23" t="n"/>
      <c r="AU983" s="23" t="n"/>
      <c r="AV983" s="23" t="n"/>
      <c r="AW983" s="23" t="n"/>
      <c r="AX983" s="23" t="n"/>
      <c r="AY983" s="23" t="n"/>
      <c r="AZ983" s="23" t="n"/>
      <c r="BA983" s="23" t="n"/>
      <c r="BB983" s="23" t="n"/>
      <c r="BC983" s="23" t="n"/>
      <c r="BD983" s="23" t="n"/>
      <c r="BE983" s="23" t="n"/>
      <c r="BF983" s="23" t="n"/>
      <c r="BG983" s="23" t="n"/>
      <c r="BH983" s="23" t="n"/>
      <c r="BI983" s="23" t="n"/>
      <c r="BJ983" s="23" t="n"/>
      <c r="BK983" s="23" t="n"/>
      <c r="BL983" s="23" t="n"/>
      <c r="BM983" s="23" t="n"/>
      <c r="BN983" s="23" t="n"/>
      <c r="BO983" s="23" t="n"/>
      <c r="BP983" s="23" t="n"/>
      <c r="BQ983" s="23" t="n"/>
      <c r="BR983" s="23" t="n"/>
      <c r="BS983" s="23" t="n"/>
      <c r="BT983" s="23" t="n"/>
      <c r="BU983" s="23" t="n"/>
      <c r="BV983" s="23" t="n"/>
      <c r="BW983" s="23" t="n"/>
      <c r="BX983" s="23" t="n"/>
      <c r="BY983" s="23" t="n"/>
      <c r="BZ983" s="23" t="n"/>
      <c r="CA983" s="23" t="n"/>
      <c r="CB983" s="23" t="n"/>
      <c r="CC983" s="23" t="n"/>
      <c r="CD983" s="23" t="n"/>
      <c r="CE983" s="23" t="n"/>
      <c r="CF983" s="23" t="n"/>
      <c r="CG983" s="23" t="n"/>
      <c r="CH983" s="23" t="n"/>
      <c r="CI983" s="23" t="n"/>
      <c r="CJ983" s="23" t="n"/>
      <c r="CK983" s="23" t="n"/>
      <c r="CL983" s="23" t="n"/>
      <c r="CM983" s="23" t="n"/>
      <c r="CN983" s="23" t="n"/>
      <c r="CO983" s="23" t="n"/>
      <c r="CP983" s="23" t="n"/>
      <c r="CQ983" s="23" t="n"/>
      <c r="CR983" s="23" t="n"/>
      <c r="CS983" s="23" t="n"/>
      <c r="CT983" s="23" t="n"/>
      <c r="CU983" s="23" t="n"/>
      <c r="CV983" s="23" t="n"/>
      <c r="CW983" s="23" t="n"/>
      <c r="CX983" s="23" t="n"/>
      <c r="CY983" s="23" t="n"/>
      <c r="CZ983" s="23" t="n"/>
      <c r="DA983" s="23" t="n"/>
      <c r="DB983" s="23" t="n"/>
      <c r="DC983" s="23" t="n"/>
      <c r="DE983" s="12" t="inlineStr">
        <is>
          <t>CHEM-1280</t>
        </is>
      </c>
    </row>
    <row r="984">
      <c r="B984" s="24" t="inlineStr">
        <is>
          <t>PO_No</t>
        </is>
      </c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  <c r="AD984" s="25" t="n"/>
      <c r="AE984" s="25" t="n"/>
      <c r="AF984" s="25" t="n"/>
      <c r="AG984" s="25" t="n"/>
      <c r="AH984" s="25" t="n"/>
      <c r="AI984" s="25" t="n"/>
      <c r="AJ984" s="25" t="n"/>
      <c r="AK984" s="25" t="n"/>
      <c r="AL984" s="25" t="n"/>
      <c r="AM984" s="25" t="n"/>
      <c r="AN984" s="25" t="n"/>
      <c r="AO984" s="25" t="n"/>
      <c r="AP984" s="25" t="n"/>
      <c r="AQ984" s="25" t="n"/>
      <c r="AR984" s="25" t="n"/>
      <c r="AS984" s="25" t="n"/>
      <c r="AT984" s="25" t="n"/>
      <c r="AU984" s="25" t="n"/>
      <c r="AV984" s="25" t="n"/>
      <c r="AW984" s="25" t="n"/>
      <c r="AX984" s="25" t="n"/>
      <c r="AY984" s="25" t="n"/>
      <c r="AZ984" s="25" t="n"/>
      <c r="BA984" s="25" t="n"/>
      <c r="BB984" s="25" t="n"/>
      <c r="BC984" s="25" t="n"/>
      <c r="BD984" s="25" t="n"/>
      <c r="BE984" s="25" t="n"/>
      <c r="BF984" s="25" t="n"/>
      <c r="BG984" s="25" t="n"/>
      <c r="BH984" s="25" t="n"/>
      <c r="BI984" s="25" t="n"/>
      <c r="BJ984" s="25" t="n"/>
      <c r="BK984" s="25" t="n"/>
      <c r="BL984" s="25" t="n"/>
      <c r="BM984" s="25" t="n"/>
      <c r="BN984" s="25" t="n"/>
      <c r="BO984" s="25" t="n"/>
      <c r="BP984" s="25" t="n"/>
      <c r="BQ984" s="25" t="n"/>
      <c r="BR984" s="25" t="n"/>
      <c r="BS984" s="25" t="n"/>
      <c r="BT984" s="25" t="n"/>
      <c r="BU984" s="25" t="n"/>
      <c r="BV984" s="25" t="n"/>
      <c r="BW984" s="25" t="n"/>
      <c r="BX984" s="25" t="n"/>
      <c r="BY984" s="25" t="n"/>
      <c r="BZ984" s="25" t="n"/>
      <c r="CA984" s="25" t="n"/>
      <c r="CB984" s="25" t="n"/>
      <c r="CC984" s="25" t="n"/>
      <c r="CD984" s="25" t="n"/>
      <c r="CE984" s="25" t="n"/>
      <c r="CF984" s="25" t="n"/>
      <c r="CG984" s="25" t="n"/>
      <c r="CH984" s="25" t="n"/>
      <c r="CI984" s="25" t="n"/>
      <c r="CJ984" s="25" t="n"/>
      <c r="CK984" s="25" t="n"/>
      <c r="CL984" s="25" t="n"/>
      <c r="CM984" s="25" t="n"/>
      <c r="CN984" s="25" t="n"/>
      <c r="CO984" s="25" t="n"/>
      <c r="CP984" s="25" t="n"/>
      <c r="CQ984" s="25" t="n"/>
      <c r="CR984" s="25" t="n"/>
      <c r="CS984" s="25" t="n"/>
      <c r="CT984" s="25" t="n"/>
      <c r="CU984" s="25" t="n"/>
      <c r="CV984" s="25" t="n"/>
      <c r="CW984" s="25" t="n"/>
      <c r="CX984" s="25" t="n"/>
      <c r="CY984" s="25" t="n"/>
      <c r="CZ984" s="25" t="n"/>
      <c r="DA984" s="25" t="n"/>
      <c r="DB984" s="25" t="n"/>
      <c r="DC984" s="25" t="n"/>
    </row>
    <row r="985">
      <c r="B985" s="5" t="inlineStr">
        <is>
          <t>合計在庫(週末時点,kg)</t>
        </is>
      </c>
      <c r="D985">
        <f>'Grid_Stock'!B43</f>
        <v/>
      </c>
      <c r="E985">
        <f>'Grid_Stock'!C43</f>
        <v/>
      </c>
      <c r="F985">
        <f>'Grid_Stock'!D43</f>
        <v/>
      </c>
      <c r="G985">
        <f>'Grid_Stock'!E43</f>
        <v/>
      </c>
      <c r="H985">
        <f>'Grid_Stock'!F43</f>
        <v/>
      </c>
      <c r="I985">
        <f>'Grid_Stock'!G43</f>
        <v/>
      </c>
      <c r="J985">
        <f>'Grid_Stock'!H43</f>
        <v/>
      </c>
      <c r="K985">
        <f>'Grid_Stock'!I43</f>
        <v/>
      </c>
      <c r="L985">
        <f>'Grid_Stock'!J43</f>
        <v/>
      </c>
      <c r="M985">
        <f>'Grid_Stock'!K43</f>
        <v/>
      </c>
      <c r="N985">
        <f>'Grid_Stock'!L43</f>
        <v/>
      </c>
      <c r="O985">
        <f>'Grid_Stock'!M43</f>
        <v/>
      </c>
      <c r="P985">
        <f>'Grid_Stock'!N43</f>
        <v/>
      </c>
      <c r="Q985">
        <f>'Grid_Stock'!O43</f>
        <v/>
      </c>
      <c r="R985">
        <f>'Grid_Stock'!P43</f>
        <v/>
      </c>
      <c r="S985">
        <f>'Grid_Stock'!Q43</f>
        <v/>
      </c>
      <c r="T985">
        <f>'Grid_Stock'!R43</f>
        <v/>
      </c>
      <c r="U985">
        <f>'Grid_Stock'!S43</f>
        <v/>
      </c>
      <c r="V985">
        <f>'Grid_Stock'!T43</f>
        <v/>
      </c>
      <c r="W985">
        <f>'Grid_Stock'!U43</f>
        <v/>
      </c>
      <c r="X985">
        <f>'Grid_Stock'!V43</f>
        <v/>
      </c>
      <c r="Y985">
        <f>'Grid_Stock'!W43</f>
        <v/>
      </c>
      <c r="Z985">
        <f>'Grid_Stock'!X43</f>
        <v/>
      </c>
      <c r="AA985">
        <f>'Grid_Stock'!Y43</f>
        <v/>
      </c>
      <c r="AB985">
        <f>'Grid_Stock'!Z43</f>
        <v/>
      </c>
      <c r="AC985">
        <f>'Grid_Stock'!AA43</f>
        <v/>
      </c>
      <c r="AD985">
        <f>'Grid_Stock'!AB43</f>
        <v/>
      </c>
      <c r="AE985">
        <f>'Grid_Stock'!AC43</f>
        <v/>
      </c>
      <c r="AF985">
        <f>'Grid_Stock'!AD43</f>
        <v/>
      </c>
      <c r="AG985">
        <f>'Grid_Stock'!AE43</f>
        <v/>
      </c>
      <c r="AH985">
        <f>'Grid_Stock'!AF43</f>
        <v/>
      </c>
      <c r="AI985">
        <f>'Grid_Stock'!AG43</f>
        <v/>
      </c>
      <c r="AJ985">
        <f>'Grid_Stock'!AH43</f>
        <v/>
      </c>
      <c r="AK985">
        <f>'Grid_Stock'!AI43</f>
        <v/>
      </c>
      <c r="AL985">
        <f>'Grid_Stock'!AJ43</f>
        <v/>
      </c>
      <c r="AM985">
        <f>'Grid_Stock'!AK43</f>
        <v/>
      </c>
      <c r="AN985">
        <f>'Grid_Stock'!AL43</f>
        <v/>
      </c>
      <c r="AO985">
        <f>'Grid_Stock'!AM43</f>
        <v/>
      </c>
      <c r="AP985">
        <f>'Grid_Stock'!AN43</f>
        <v/>
      </c>
      <c r="AQ985">
        <f>'Grid_Stock'!AO43</f>
        <v/>
      </c>
      <c r="AR985">
        <f>'Grid_Stock'!AP43</f>
        <v/>
      </c>
      <c r="AS985">
        <f>'Grid_Stock'!AQ43</f>
        <v/>
      </c>
      <c r="AT985">
        <f>'Grid_Stock'!AR43</f>
        <v/>
      </c>
      <c r="AU985">
        <f>'Grid_Stock'!AS43</f>
        <v/>
      </c>
      <c r="AV985">
        <f>'Grid_Stock'!AT43</f>
        <v/>
      </c>
      <c r="AW985">
        <f>'Grid_Stock'!AU43</f>
        <v/>
      </c>
      <c r="AX985">
        <f>'Grid_Stock'!AV43</f>
        <v/>
      </c>
      <c r="AY985">
        <f>'Grid_Stock'!AW43</f>
        <v/>
      </c>
      <c r="AZ985">
        <f>'Grid_Stock'!AX43</f>
        <v/>
      </c>
      <c r="BA985">
        <f>'Grid_Stock'!AY43</f>
        <v/>
      </c>
      <c r="BB985">
        <f>'Grid_Stock'!AZ43</f>
        <v/>
      </c>
      <c r="BC985">
        <f>'Grid_Stock'!BA43</f>
        <v/>
      </c>
      <c r="BD985">
        <f>'Grid_Stock'!BB43</f>
        <v/>
      </c>
      <c r="BE985">
        <f>'Grid_Stock'!BC43</f>
        <v/>
      </c>
      <c r="BF985">
        <f>'Grid_Stock'!BD43</f>
        <v/>
      </c>
      <c r="BG985">
        <f>'Grid_Stock'!BE43</f>
        <v/>
      </c>
      <c r="BH985">
        <f>'Grid_Stock'!BF43</f>
        <v/>
      </c>
      <c r="BI985">
        <f>'Grid_Stock'!BG43</f>
        <v/>
      </c>
      <c r="BJ985">
        <f>'Grid_Stock'!BH43</f>
        <v/>
      </c>
      <c r="BK985">
        <f>'Grid_Stock'!BI43</f>
        <v/>
      </c>
      <c r="BL985">
        <f>'Grid_Stock'!BJ43</f>
        <v/>
      </c>
      <c r="BM985">
        <f>'Grid_Stock'!BK43</f>
        <v/>
      </c>
      <c r="BN985">
        <f>'Grid_Stock'!BL43</f>
        <v/>
      </c>
      <c r="BO985">
        <f>'Grid_Stock'!BM43</f>
        <v/>
      </c>
      <c r="BP985">
        <f>'Grid_Stock'!BN43</f>
        <v/>
      </c>
      <c r="BQ985">
        <f>'Grid_Stock'!BO43</f>
        <v/>
      </c>
      <c r="BR985">
        <f>'Grid_Stock'!BP43</f>
        <v/>
      </c>
      <c r="BS985">
        <f>'Grid_Stock'!BQ43</f>
        <v/>
      </c>
      <c r="BT985">
        <f>'Grid_Stock'!BR43</f>
        <v/>
      </c>
      <c r="BU985">
        <f>'Grid_Stock'!BS43</f>
        <v/>
      </c>
      <c r="BV985">
        <f>'Grid_Stock'!BT43</f>
        <v/>
      </c>
      <c r="BW985">
        <f>'Grid_Stock'!BU43</f>
        <v/>
      </c>
      <c r="BX985">
        <f>'Grid_Stock'!BV43</f>
        <v/>
      </c>
      <c r="BY985">
        <f>'Grid_Stock'!BW43</f>
        <v/>
      </c>
      <c r="BZ985">
        <f>'Grid_Stock'!BX43</f>
        <v/>
      </c>
      <c r="CA985">
        <f>'Grid_Stock'!BY43</f>
        <v/>
      </c>
      <c r="CB985">
        <f>'Grid_Stock'!BZ43</f>
        <v/>
      </c>
      <c r="CC985">
        <f>'Grid_Stock'!CA43</f>
        <v/>
      </c>
      <c r="CD985">
        <f>'Grid_Stock'!CB43</f>
        <v/>
      </c>
      <c r="CE985">
        <f>'Grid_Stock'!CC43</f>
        <v/>
      </c>
      <c r="CF985">
        <f>'Grid_Stock'!CD43</f>
        <v/>
      </c>
      <c r="CG985">
        <f>'Grid_Stock'!CE43</f>
        <v/>
      </c>
      <c r="CH985">
        <f>'Grid_Stock'!CF43</f>
        <v/>
      </c>
      <c r="CI985">
        <f>'Grid_Stock'!CG43</f>
        <v/>
      </c>
      <c r="CJ985">
        <f>'Grid_Stock'!CH43</f>
        <v/>
      </c>
      <c r="CK985">
        <f>'Grid_Stock'!CI43</f>
        <v/>
      </c>
      <c r="CL985">
        <f>'Grid_Stock'!CJ43</f>
        <v/>
      </c>
      <c r="CM985">
        <f>'Grid_Stock'!CK43</f>
        <v/>
      </c>
      <c r="CN985">
        <f>'Grid_Stock'!CL43</f>
        <v/>
      </c>
      <c r="CO985">
        <f>'Grid_Stock'!CM43</f>
        <v/>
      </c>
      <c r="CP985">
        <f>'Grid_Stock'!CN43</f>
        <v/>
      </c>
      <c r="CQ985">
        <f>'Grid_Stock'!CO43</f>
        <v/>
      </c>
      <c r="CR985">
        <f>'Grid_Stock'!CP43</f>
        <v/>
      </c>
      <c r="CS985">
        <f>'Grid_Stock'!CQ43</f>
        <v/>
      </c>
      <c r="CT985">
        <f>'Grid_Stock'!CR43</f>
        <v/>
      </c>
      <c r="CU985">
        <f>'Grid_Stock'!CS43</f>
        <v/>
      </c>
      <c r="CV985">
        <f>'Grid_Stock'!CT43</f>
        <v/>
      </c>
      <c r="CW985">
        <f>'Grid_Stock'!CU43</f>
        <v/>
      </c>
      <c r="CX985">
        <f>'Grid_Stock'!CV43</f>
        <v/>
      </c>
      <c r="CY985">
        <f>'Grid_Stock'!CW43</f>
        <v/>
      </c>
      <c r="CZ985">
        <f>'Grid_Stock'!CX43</f>
        <v/>
      </c>
      <c r="DA985">
        <f>'Grid_Stock'!CY43</f>
        <v/>
      </c>
      <c r="DB985">
        <f>'Grid_Stock'!CZ43</f>
        <v/>
      </c>
      <c r="DC985">
        <f>'Grid_Stock'!DA43</f>
        <v/>
      </c>
    </row>
    <row r="986">
      <c r="B986" s="26" t="inlineStr">
        <is>
          <t>（発注の目安はDashboardの基準在庫[下限/上限]と色分けを参照）</t>
        </is>
      </c>
    </row>
    <row r="988">
      <c r="A988" s="21" t="inlineStr">
        <is>
          <t>CHEM-1570</t>
        </is>
      </c>
      <c r="B988" s="21" t="inlineStr">
        <is>
          <t>NOPAGOAL A</t>
        </is>
      </c>
      <c r="C988" s="22" t="n"/>
      <c r="D988" s="21" t="n"/>
      <c r="E988" s="21" t="n"/>
      <c r="F988" s="21" t="n"/>
      <c r="G988" s="21" t="n"/>
      <c r="H988" s="21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  <c r="Z988" s="21" t="n"/>
      <c r="AA988" s="21" t="n"/>
      <c r="AB988" s="21" t="n"/>
      <c r="AC988" s="21" t="n"/>
      <c r="AD988" s="21" t="n"/>
      <c r="AE988" s="21" t="n"/>
      <c r="AF988" s="21" t="n"/>
      <c r="AG988" s="21" t="n"/>
      <c r="AH988" s="21" t="n"/>
      <c r="AI988" s="21" t="n"/>
      <c r="AJ988" s="21" t="n"/>
      <c r="AK988" s="21" t="n"/>
      <c r="AL988" s="21" t="n"/>
      <c r="AM988" s="21" t="n"/>
      <c r="AN988" s="21" t="n"/>
      <c r="AO988" s="21" t="n"/>
      <c r="AP988" s="21" t="n"/>
      <c r="AQ988" s="21" t="n"/>
      <c r="AR988" s="21" t="n"/>
      <c r="AS988" s="21" t="n"/>
      <c r="AT988" s="21" t="n"/>
      <c r="AU988" s="21" t="n"/>
      <c r="AV988" s="21" t="n"/>
      <c r="AW988" s="21" t="n"/>
      <c r="AX988" s="21" t="n"/>
      <c r="AY988" s="21" t="n"/>
      <c r="AZ988" s="21" t="n"/>
      <c r="BA988" s="21" t="n"/>
      <c r="BB988" s="21" t="n"/>
      <c r="BC988" s="21" t="n"/>
      <c r="BD988" s="21" t="n"/>
      <c r="BE988" s="21" t="n"/>
      <c r="BF988" s="21" t="n"/>
      <c r="BG988" s="21" t="n"/>
      <c r="BH988" s="21" t="n"/>
      <c r="BI988" s="21" t="n"/>
      <c r="BJ988" s="21" t="n"/>
      <c r="BK988" s="21" t="n"/>
      <c r="BL988" s="21" t="n"/>
      <c r="BM988" s="21" t="n"/>
      <c r="BN988" s="21" t="n"/>
      <c r="BO988" s="21" t="n"/>
      <c r="BP988" s="21" t="n"/>
      <c r="BQ988" s="21" t="n"/>
      <c r="BR988" s="21" t="n"/>
      <c r="BS988" s="21" t="n"/>
      <c r="BT988" s="21" t="n"/>
      <c r="BU988" s="21" t="n"/>
      <c r="BV988" s="21" t="n"/>
      <c r="BW988" s="21" t="n"/>
      <c r="BX988" s="21" t="n"/>
      <c r="BY988" s="21" t="n"/>
      <c r="BZ988" s="21" t="n"/>
      <c r="CA988" s="21" t="n"/>
      <c r="CB988" s="21" t="n"/>
      <c r="CC988" s="21" t="n"/>
      <c r="CD988" s="21" t="n"/>
      <c r="CE988" s="21" t="n"/>
      <c r="CF988" s="21" t="n"/>
      <c r="CG988" s="21" t="n"/>
      <c r="CH988" s="21" t="n"/>
      <c r="CI988" s="21" t="n"/>
      <c r="CJ988" s="21" t="n"/>
      <c r="CK988" s="21" t="n"/>
      <c r="CL988" s="21" t="n"/>
      <c r="CM988" s="21" t="n"/>
      <c r="CN988" s="21" t="n"/>
      <c r="CO988" s="21" t="n"/>
      <c r="CP988" s="21" t="n"/>
      <c r="CQ988" s="21" t="n"/>
      <c r="CR988" s="21" t="n"/>
      <c r="CS988" s="21" t="n"/>
      <c r="CT988" s="21" t="n"/>
      <c r="CU988" s="21" t="n"/>
      <c r="CV988" s="21" t="n"/>
      <c r="CW988" s="21" t="n"/>
      <c r="CX988" s="21" t="n"/>
      <c r="CY988" s="21" t="n"/>
      <c r="CZ988" s="21" t="n"/>
      <c r="DA988" s="21" t="n"/>
      <c r="DB988" s="21" t="n"/>
      <c r="DC988" s="21" t="n"/>
    </row>
    <row r="989">
      <c r="B989" t="inlineStr">
        <is>
          <t>TSP-1388</t>
        </is>
      </c>
      <c r="C989" t="inlineStr">
        <is>
          <t>No. of batches</t>
        </is>
      </c>
      <c r="D989">
        <f>IFERROR(INDEX(PP_Grid[#Data],$DD989,2),0)</f>
        <v/>
      </c>
      <c r="E989">
        <f>IFERROR(INDEX(PP_Grid[#Data],$DD989,3),0)</f>
        <v/>
      </c>
      <c r="F989">
        <f>IFERROR(INDEX(PP_Grid[#Data],$DD989,4),0)</f>
        <v/>
      </c>
      <c r="G989">
        <f>IFERROR(INDEX(PP_Grid[#Data],$DD989,5),0)</f>
        <v/>
      </c>
      <c r="H989">
        <f>IFERROR(INDEX(PP_Grid[#Data],$DD989,6),0)</f>
        <v/>
      </c>
      <c r="I989">
        <f>IFERROR(INDEX(PP_Grid[#Data],$DD989,7),0)</f>
        <v/>
      </c>
      <c r="J989">
        <f>IFERROR(INDEX(PP_Grid[#Data],$DD989,8),0)</f>
        <v/>
      </c>
      <c r="K989">
        <f>IFERROR(INDEX(PP_Grid[#Data],$DD989,9),0)</f>
        <v/>
      </c>
      <c r="L989">
        <f>IFERROR(INDEX(PP_Grid[#Data],$DD989,10),0)</f>
        <v/>
      </c>
      <c r="M989">
        <f>IFERROR(INDEX(PP_Grid[#Data],$DD989,11),0)</f>
        <v/>
      </c>
      <c r="N989">
        <f>IFERROR(INDEX(PP_Grid[#Data],$DD989,12),0)</f>
        <v/>
      </c>
      <c r="O989">
        <f>IFERROR(INDEX(PP_Grid[#Data],$DD989,13),0)</f>
        <v/>
      </c>
      <c r="P989">
        <f>IFERROR(INDEX(PP_Grid[#Data],$DD989,14),0)</f>
        <v/>
      </c>
      <c r="Q989">
        <f>IFERROR(INDEX(PP_Grid[#Data],$DD989,15),0)</f>
        <v/>
      </c>
      <c r="R989">
        <f>IFERROR(INDEX(PP_Grid[#Data],$DD989,16),0)</f>
        <v/>
      </c>
      <c r="S989">
        <f>IFERROR(INDEX(PP_Grid[#Data],$DD989,17),0)</f>
        <v/>
      </c>
      <c r="T989">
        <f>IFERROR(INDEX(PP_Grid[#Data],$DD989,18),0)</f>
        <v/>
      </c>
      <c r="U989">
        <f>IFERROR(INDEX(PP_Grid[#Data],$DD989,19),0)</f>
        <v/>
      </c>
      <c r="V989">
        <f>IFERROR(INDEX(PP_Grid[#Data],$DD989,20),0)</f>
        <v/>
      </c>
      <c r="W989">
        <f>IFERROR(INDEX(PP_Grid[#Data],$DD989,21),0)</f>
        <v/>
      </c>
      <c r="X989">
        <f>IFERROR(INDEX(PP_Grid[#Data],$DD989,22),0)</f>
        <v/>
      </c>
      <c r="Y989">
        <f>IFERROR(INDEX(PP_Grid[#Data],$DD989,23),0)</f>
        <v/>
      </c>
      <c r="Z989">
        <f>IFERROR(INDEX(PP_Grid[#Data],$DD989,24),0)</f>
        <v/>
      </c>
      <c r="AA989">
        <f>IFERROR(INDEX(PP_Grid[#Data],$DD989,25),0)</f>
        <v/>
      </c>
      <c r="AB989">
        <f>IFERROR(INDEX(PP_Grid[#Data],$DD989,26),0)</f>
        <v/>
      </c>
      <c r="AC989">
        <f>IFERROR(INDEX(PP_Grid[#Data],$DD989,27),0)</f>
        <v/>
      </c>
      <c r="AD989">
        <f>IFERROR(INDEX(PP_Grid[#Data],$DD989,28),0)</f>
        <v/>
      </c>
      <c r="AE989">
        <f>IFERROR(INDEX(PP_Grid[#Data],$DD989,29),0)</f>
        <v/>
      </c>
      <c r="AF989">
        <f>IFERROR(INDEX(PP_Grid[#Data],$DD989,30),0)</f>
        <v/>
      </c>
      <c r="AG989">
        <f>IFERROR(INDEX(PP_Grid[#Data],$DD989,31),0)</f>
        <v/>
      </c>
      <c r="AH989">
        <f>IFERROR(INDEX(PP_Grid[#Data],$DD989,32),0)</f>
        <v/>
      </c>
      <c r="AI989">
        <f>IFERROR(INDEX(PP_Grid[#Data],$DD989,33),0)</f>
        <v/>
      </c>
      <c r="AJ989">
        <f>IFERROR(INDEX(PP_Grid[#Data],$DD989,34),0)</f>
        <v/>
      </c>
      <c r="AK989">
        <f>IFERROR(INDEX(PP_Grid[#Data],$DD989,35),0)</f>
        <v/>
      </c>
      <c r="AL989">
        <f>IFERROR(INDEX(PP_Grid[#Data],$DD989,36),0)</f>
        <v/>
      </c>
      <c r="AM989">
        <f>IFERROR(INDEX(PP_Grid[#Data],$DD989,37),0)</f>
        <v/>
      </c>
      <c r="AN989">
        <f>IFERROR(INDEX(PP_Grid[#Data],$DD989,38),0)</f>
        <v/>
      </c>
      <c r="AO989">
        <f>IFERROR(INDEX(PP_Grid[#Data],$DD989,39),0)</f>
        <v/>
      </c>
      <c r="AP989">
        <f>IFERROR(INDEX(PP_Grid[#Data],$DD989,40),0)</f>
        <v/>
      </c>
      <c r="AQ989">
        <f>IFERROR(INDEX(PP_Grid[#Data],$DD989,41),0)</f>
        <v/>
      </c>
      <c r="AR989">
        <f>IFERROR(INDEX(PP_Grid[#Data],$DD989,42),0)</f>
        <v/>
      </c>
      <c r="AS989">
        <f>IFERROR(INDEX(PP_Grid[#Data],$DD989,43),0)</f>
        <v/>
      </c>
      <c r="AT989">
        <f>IFERROR(INDEX(PP_Grid[#Data],$DD989,44),0)</f>
        <v/>
      </c>
      <c r="AU989">
        <f>IFERROR(INDEX(PP_Grid[#Data],$DD989,45),0)</f>
        <v/>
      </c>
      <c r="AV989">
        <f>IFERROR(INDEX(PP_Grid[#Data],$DD989,46),0)</f>
        <v/>
      </c>
      <c r="AW989">
        <f>IFERROR(INDEX(PP_Grid[#Data],$DD989,47),0)</f>
        <v/>
      </c>
      <c r="AX989">
        <f>IFERROR(INDEX(PP_Grid[#Data],$DD989,48),0)</f>
        <v/>
      </c>
      <c r="AY989">
        <f>IFERROR(INDEX(PP_Grid[#Data],$DD989,49),0)</f>
        <v/>
      </c>
      <c r="AZ989">
        <f>IFERROR(INDEX(PP_Grid[#Data],$DD989,50),0)</f>
        <v/>
      </c>
      <c r="BA989">
        <f>IFERROR(INDEX(PP_Grid[#Data],$DD989,51),0)</f>
        <v/>
      </c>
      <c r="BB989">
        <f>IFERROR(INDEX(PP_Grid[#Data],$DD989,52),0)</f>
        <v/>
      </c>
      <c r="BC989">
        <f>IFERROR(INDEX(PP_Grid[#Data],$DD989,53),0)</f>
        <v/>
      </c>
      <c r="BD989">
        <f>IFERROR(INDEX(PP_Grid[#Data],$DD989,54),0)</f>
        <v/>
      </c>
      <c r="BE989">
        <f>IFERROR(INDEX(PP_Grid[#Data],$DD989,55),0)</f>
        <v/>
      </c>
      <c r="BF989">
        <f>IFERROR(INDEX(PP_Grid[#Data],$DD989,56),0)</f>
        <v/>
      </c>
      <c r="BG989">
        <f>IFERROR(INDEX(PP_Grid[#Data],$DD989,57),0)</f>
        <v/>
      </c>
      <c r="BH989">
        <f>IFERROR(INDEX(PP_Grid[#Data],$DD989,58),0)</f>
        <v/>
      </c>
      <c r="BI989">
        <f>IFERROR(INDEX(PP_Grid[#Data],$DD989,59),0)</f>
        <v/>
      </c>
      <c r="BJ989">
        <f>IFERROR(INDEX(PP_Grid[#Data],$DD989,60),0)</f>
        <v/>
      </c>
      <c r="BK989">
        <f>IFERROR(INDEX(PP_Grid[#Data],$DD989,61),0)</f>
        <v/>
      </c>
      <c r="BL989">
        <f>IFERROR(INDEX(PP_Grid[#Data],$DD989,62),0)</f>
        <v/>
      </c>
      <c r="BM989">
        <f>IFERROR(INDEX(PP_Grid[#Data],$DD989,63),0)</f>
        <v/>
      </c>
      <c r="BN989">
        <f>IFERROR(INDEX(PP_Grid[#Data],$DD989,64),0)</f>
        <v/>
      </c>
      <c r="BO989">
        <f>IFERROR(INDEX(PP_Grid[#Data],$DD989,65),0)</f>
        <v/>
      </c>
      <c r="BP989">
        <f>IFERROR(INDEX(PP_Grid[#Data],$DD989,66),0)</f>
        <v/>
      </c>
      <c r="BQ989">
        <f>IFERROR(INDEX(PP_Grid[#Data],$DD989,67),0)</f>
        <v/>
      </c>
      <c r="BR989">
        <f>IFERROR(INDEX(PP_Grid[#Data],$DD989,68),0)</f>
        <v/>
      </c>
      <c r="BS989">
        <f>IFERROR(INDEX(PP_Grid[#Data],$DD989,69),0)</f>
        <v/>
      </c>
      <c r="BT989">
        <f>IFERROR(INDEX(PP_Grid[#Data],$DD989,70),0)</f>
        <v/>
      </c>
      <c r="BU989">
        <f>IFERROR(INDEX(PP_Grid[#Data],$DD989,71),0)</f>
        <v/>
      </c>
      <c r="BV989">
        <f>IFERROR(INDEX(PP_Grid[#Data],$DD989,72),0)</f>
        <v/>
      </c>
      <c r="BW989">
        <f>IFERROR(INDEX(PP_Grid[#Data],$DD989,73),0)</f>
        <v/>
      </c>
      <c r="BX989">
        <f>IFERROR(INDEX(PP_Grid[#Data],$DD989,74),0)</f>
        <v/>
      </c>
      <c r="BY989">
        <f>IFERROR(INDEX(PP_Grid[#Data],$DD989,75),0)</f>
        <v/>
      </c>
      <c r="BZ989">
        <f>IFERROR(INDEX(PP_Grid[#Data],$DD989,76),0)</f>
        <v/>
      </c>
      <c r="CA989">
        <f>IFERROR(INDEX(PP_Grid[#Data],$DD989,77),0)</f>
        <v/>
      </c>
      <c r="CB989">
        <f>IFERROR(INDEX(PP_Grid[#Data],$DD989,78),0)</f>
        <v/>
      </c>
      <c r="CC989">
        <f>IFERROR(INDEX(PP_Grid[#Data],$DD989,79),0)</f>
        <v/>
      </c>
      <c r="CD989">
        <f>IFERROR(INDEX(PP_Grid[#Data],$DD989,80),0)</f>
        <v/>
      </c>
      <c r="CE989">
        <f>IFERROR(INDEX(PP_Grid[#Data],$DD989,81),0)</f>
        <v/>
      </c>
      <c r="CF989">
        <f>IFERROR(INDEX(PP_Grid[#Data],$DD989,82),0)</f>
        <v/>
      </c>
      <c r="CG989">
        <f>IFERROR(INDEX(PP_Grid[#Data],$DD989,83),0)</f>
        <v/>
      </c>
      <c r="CH989">
        <f>IFERROR(INDEX(PP_Grid[#Data],$DD989,84),0)</f>
        <v/>
      </c>
      <c r="CI989">
        <f>IFERROR(INDEX(PP_Grid[#Data],$DD989,85),0)</f>
        <v/>
      </c>
      <c r="CJ989">
        <f>IFERROR(INDEX(PP_Grid[#Data],$DD989,86),0)</f>
        <v/>
      </c>
      <c r="CK989">
        <f>IFERROR(INDEX(PP_Grid[#Data],$DD989,87),0)</f>
        <v/>
      </c>
      <c r="CL989">
        <f>IFERROR(INDEX(PP_Grid[#Data],$DD989,88),0)</f>
        <v/>
      </c>
      <c r="CM989">
        <f>IFERROR(INDEX(PP_Grid[#Data],$DD989,89),0)</f>
        <v/>
      </c>
      <c r="CN989">
        <f>IFERROR(INDEX(PP_Grid[#Data],$DD989,90),0)</f>
        <v/>
      </c>
      <c r="CO989">
        <f>IFERROR(INDEX(PP_Grid[#Data],$DD989,91),0)</f>
        <v/>
      </c>
      <c r="CP989">
        <f>IFERROR(INDEX(PP_Grid[#Data],$DD989,92),0)</f>
        <v/>
      </c>
      <c r="CQ989">
        <f>IFERROR(INDEX(PP_Grid[#Data],$DD989,93),0)</f>
        <v/>
      </c>
      <c r="CR989">
        <f>IFERROR(INDEX(PP_Grid[#Data],$DD989,94),0)</f>
        <v/>
      </c>
      <c r="CS989">
        <f>IFERROR(INDEX(PP_Grid[#Data],$DD989,95),0)</f>
        <v/>
      </c>
      <c r="CT989">
        <f>IFERROR(INDEX(PP_Grid[#Data],$DD989,96),0)</f>
        <v/>
      </c>
      <c r="CU989">
        <f>IFERROR(INDEX(PP_Grid[#Data],$DD989,97),0)</f>
        <v/>
      </c>
      <c r="CV989">
        <f>IFERROR(INDEX(PP_Grid[#Data],$DD989,98),0)</f>
        <v/>
      </c>
      <c r="CW989">
        <f>IFERROR(INDEX(PP_Grid[#Data],$DD989,99),0)</f>
        <v/>
      </c>
      <c r="CX989">
        <f>IFERROR(INDEX(PP_Grid[#Data],$DD989,100),0)</f>
        <v/>
      </c>
      <c r="CY989">
        <f>IFERROR(INDEX(PP_Grid[#Data],$DD989,101),0)</f>
        <v/>
      </c>
      <c r="CZ989">
        <f>IFERROR(INDEX(PP_Grid[#Data],$DD989,102),0)</f>
        <v/>
      </c>
      <c r="DA989">
        <f>IFERROR(INDEX(PP_Grid[#Data],$DD989,103),0)</f>
        <v/>
      </c>
      <c r="DB989">
        <f>IFERROR(INDEX(PP_Grid[#Data],$DD989,104),0)</f>
        <v/>
      </c>
      <c r="DC989">
        <f>IFERROR(INDEX(PP_Grid[#Data],$DD989,105),0)</f>
        <v/>
      </c>
      <c r="DD989" s="12">
        <f>IFERROR(MATCH($B989,PP_Grid[Intermediate],0),99999)</f>
        <v/>
      </c>
    </row>
    <row r="990">
      <c r="B990" t="inlineStr">
        <is>
          <t>使用量(kg)</t>
        </is>
      </c>
      <c r="C990">
        <f>SUMIFS(M_BOM[RM_Qty_Per_Batch],M_BOM[Intermediate],$B989,M_BOM[Part Name],$A988)</f>
        <v/>
      </c>
      <c r="D990">
        <f>$C990*D989</f>
        <v/>
      </c>
      <c r="E990">
        <f>$C990*E989</f>
        <v/>
      </c>
      <c r="F990">
        <f>$C990*F989</f>
        <v/>
      </c>
      <c r="G990">
        <f>$C990*G989</f>
        <v/>
      </c>
      <c r="H990">
        <f>$C990*H989</f>
        <v/>
      </c>
      <c r="I990">
        <f>$C990*I989</f>
        <v/>
      </c>
      <c r="J990">
        <f>$C990*J989</f>
        <v/>
      </c>
      <c r="K990">
        <f>$C990*K989</f>
        <v/>
      </c>
      <c r="L990">
        <f>$C990*L989</f>
        <v/>
      </c>
      <c r="M990">
        <f>$C990*M989</f>
        <v/>
      </c>
      <c r="N990">
        <f>$C990*N989</f>
        <v/>
      </c>
      <c r="O990">
        <f>$C990*O989</f>
        <v/>
      </c>
      <c r="P990">
        <f>$C990*P989</f>
        <v/>
      </c>
      <c r="Q990">
        <f>$C990*Q989</f>
        <v/>
      </c>
      <c r="R990">
        <f>$C990*R989</f>
        <v/>
      </c>
      <c r="S990">
        <f>$C990*S989</f>
        <v/>
      </c>
      <c r="T990">
        <f>$C990*T989</f>
        <v/>
      </c>
      <c r="U990">
        <f>$C990*U989</f>
        <v/>
      </c>
      <c r="V990">
        <f>$C990*V989</f>
        <v/>
      </c>
      <c r="W990">
        <f>$C990*W989</f>
        <v/>
      </c>
      <c r="X990">
        <f>$C990*X989</f>
        <v/>
      </c>
      <c r="Y990">
        <f>$C990*Y989</f>
        <v/>
      </c>
      <c r="Z990">
        <f>$C990*Z989</f>
        <v/>
      </c>
      <c r="AA990">
        <f>$C990*AA989</f>
        <v/>
      </c>
      <c r="AB990">
        <f>$C990*AB989</f>
        <v/>
      </c>
      <c r="AC990">
        <f>$C990*AC989</f>
        <v/>
      </c>
      <c r="AD990">
        <f>$C990*AD989</f>
        <v/>
      </c>
      <c r="AE990">
        <f>$C990*AE989</f>
        <v/>
      </c>
      <c r="AF990">
        <f>$C990*AF989</f>
        <v/>
      </c>
      <c r="AG990">
        <f>$C990*AG989</f>
        <v/>
      </c>
      <c r="AH990">
        <f>$C990*AH989</f>
        <v/>
      </c>
      <c r="AI990">
        <f>$C990*AI989</f>
        <v/>
      </c>
      <c r="AJ990">
        <f>$C990*AJ989</f>
        <v/>
      </c>
      <c r="AK990">
        <f>$C990*AK989</f>
        <v/>
      </c>
      <c r="AL990">
        <f>$C990*AL989</f>
        <v/>
      </c>
      <c r="AM990">
        <f>$C990*AM989</f>
        <v/>
      </c>
      <c r="AN990">
        <f>$C990*AN989</f>
        <v/>
      </c>
      <c r="AO990">
        <f>$C990*AO989</f>
        <v/>
      </c>
      <c r="AP990">
        <f>$C990*AP989</f>
        <v/>
      </c>
      <c r="AQ990">
        <f>$C990*AQ989</f>
        <v/>
      </c>
      <c r="AR990">
        <f>$C990*AR989</f>
        <v/>
      </c>
      <c r="AS990">
        <f>$C990*AS989</f>
        <v/>
      </c>
      <c r="AT990">
        <f>$C990*AT989</f>
        <v/>
      </c>
      <c r="AU990">
        <f>$C990*AU989</f>
        <v/>
      </c>
      <c r="AV990">
        <f>$C990*AV989</f>
        <v/>
      </c>
      <c r="AW990">
        <f>$C990*AW989</f>
        <v/>
      </c>
      <c r="AX990">
        <f>$C990*AX989</f>
        <v/>
      </c>
      <c r="AY990">
        <f>$C990*AY989</f>
        <v/>
      </c>
      <c r="AZ990">
        <f>$C990*AZ989</f>
        <v/>
      </c>
      <c r="BA990">
        <f>$C990*BA989</f>
        <v/>
      </c>
      <c r="BB990">
        <f>$C990*BB989</f>
        <v/>
      </c>
      <c r="BC990">
        <f>$C990*BC989</f>
        <v/>
      </c>
      <c r="BD990">
        <f>$C990*BD989</f>
        <v/>
      </c>
      <c r="BE990">
        <f>$C990*BE989</f>
        <v/>
      </c>
      <c r="BF990">
        <f>$C990*BF989</f>
        <v/>
      </c>
      <c r="BG990">
        <f>$C990*BG989</f>
        <v/>
      </c>
      <c r="BH990">
        <f>$C990*BH989</f>
        <v/>
      </c>
      <c r="BI990">
        <f>$C990*BI989</f>
        <v/>
      </c>
      <c r="BJ990">
        <f>$C990*BJ989</f>
        <v/>
      </c>
      <c r="BK990">
        <f>$C990*BK989</f>
        <v/>
      </c>
      <c r="BL990">
        <f>$C990*BL989</f>
        <v/>
      </c>
      <c r="BM990">
        <f>$C990*BM989</f>
        <v/>
      </c>
      <c r="BN990">
        <f>$C990*BN989</f>
        <v/>
      </c>
      <c r="BO990">
        <f>$C990*BO989</f>
        <v/>
      </c>
      <c r="BP990">
        <f>$C990*BP989</f>
        <v/>
      </c>
      <c r="BQ990">
        <f>$C990*BQ989</f>
        <v/>
      </c>
      <c r="BR990">
        <f>$C990*BR989</f>
        <v/>
      </c>
      <c r="BS990">
        <f>$C990*BS989</f>
        <v/>
      </c>
      <c r="BT990">
        <f>$C990*BT989</f>
        <v/>
      </c>
      <c r="BU990">
        <f>$C990*BU989</f>
        <v/>
      </c>
      <c r="BV990">
        <f>$C990*BV989</f>
        <v/>
      </c>
      <c r="BW990">
        <f>$C990*BW989</f>
        <v/>
      </c>
      <c r="BX990">
        <f>$C990*BX989</f>
        <v/>
      </c>
      <c r="BY990">
        <f>$C990*BY989</f>
        <v/>
      </c>
      <c r="BZ990">
        <f>$C990*BZ989</f>
        <v/>
      </c>
      <c r="CA990">
        <f>$C990*CA989</f>
        <v/>
      </c>
      <c r="CB990">
        <f>$C990*CB989</f>
        <v/>
      </c>
      <c r="CC990">
        <f>$C990*CC989</f>
        <v/>
      </c>
      <c r="CD990">
        <f>$C990*CD989</f>
        <v/>
      </c>
      <c r="CE990">
        <f>$C990*CE989</f>
        <v/>
      </c>
      <c r="CF990">
        <f>$C990*CF989</f>
        <v/>
      </c>
      <c r="CG990">
        <f>$C990*CG989</f>
        <v/>
      </c>
      <c r="CH990">
        <f>$C990*CH989</f>
        <v/>
      </c>
      <c r="CI990">
        <f>$C990*CI989</f>
        <v/>
      </c>
      <c r="CJ990">
        <f>$C990*CJ989</f>
        <v/>
      </c>
      <c r="CK990">
        <f>$C990*CK989</f>
        <v/>
      </c>
      <c r="CL990">
        <f>$C990*CL989</f>
        <v/>
      </c>
      <c r="CM990">
        <f>$C990*CM989</f>
        <v/>
      </c>
      <c r="CN990">
        <f>$C990*CN989</f>
        <v/>
      </c>
      <c r="CO990">
        <f>$C990*CO989</f>
        <v/>
      </c>
      <c r="CP990">
        <f>$C990*CP989</f>
        <v/>
      </c>
      <c r="CQ990">
        <f>$C990*CQ989</f>
        <v/>
      </c>
      <c r="CR990">
        <f>$C990*CR989</f>
        <v/>
      </c>
      <c r="CS990">
        <f>$C990*CS989</f>
        <v/>
      </c>
      <c r="CT990">
        <f>$C990*CT989</f>
        <v/>
      </c>
      <c r="CU990">
        <f>$C990*CU989</f>
        <v/>
      </c>
      <c r="CV990">
        <f>$C990*CV989</f>
        <v/>
      </c>
      <c r="CW990">
        <f>$C990*CW989</f>
        <v/>
      </c>
      <c r="CX990">
        <f>$C990*CX989</f>
        <v/>
      </c>
      <c r="CY990">
        <f>$C990*CY989</f>
        <v/>
      </c>
      <c r="CZ990">
        <f>$C990*CZ989</f>
        <v/>
      </c>
      <c r="DA990">
        <f>$C990*DA989</f>
        <v/>
      </c>
      <c r="DB990">
        <f>$C990*DB989</f>
        <v/>
      </c>
      <c r="DC990">
        <f>$C990*DC989</f>
        <v/>
      </c>
    </row>
    <row r="991">
      <c r="B991" t="inlineStr">
        <is>
          <t>TSP-1448</t>
        </is>
      </c>
      <c r="C991" t="inlineStr">
        <is>
          <t>No. of batches</t>
        </is>
      </c>
      <c r="D991">
        <f>IFERROR(INDEX(PP_Grid[#Data],$DD991,2),0)</f>
        <v/>
      </c>
      <c r="E991">
        <f>IFERROR(INDEX(PP_Grid[#Data],$DD991,3),0)</f>
        <v/>
      </c>
      <c r="F991">
        <f>IFERROR(INDEX(PP_Grid[#Data],$DD991,4),0)</f>
        <v/>
      </c>
      <c r="G991">
        <f>IFERROR(INDEX(PP_Grid[#Data],$DD991,5),0)</f>
        <v/>
      </c>
      <c r="H991">
        <f>IFERROR(INDEX(PP_Grid[#Data],$DD991,6),0)</f>
        <v/>
      </c>
      <c r="I991">
        <f>IFERROR(INDEX(PP_Grid[#Data],$DD991,7),0)</f>
        <v/>
      </c>
      <c r="J991">
        <f>IFERROR(INDEX(PP_Grid[#Data],$DD991,8),0)</f>
        <v/>
      </c>
      <c r="K991">
        <f>IFERROR(INDEX(PP_Grid[#Data],$DD991,9),0)</f>
        <v/>
      </c>
      <c r="L991">
        <f>IFERROR(INDEX(PP_Grid[#Data],$DD991,10),0)</f>
        <v/>
      </c>
      <c r="M991">
        <f>IFERROR(INDEX(PP_Grid[#Data],$DD991,11),0)</f>
        <v/>
      </c>
      <c r="N991">
        <f>IFERROR(INDEX(PP_Grid[#Data],$DD991,12),0)</f>
        <v/>
      </c>
      <c r="O991">
        <f>IFERROR(INDEX(PP_Grid[#Data],$DD991,13),0)</f>
        <v/>
      </c>
      <c r="P991">
        <f>IFERROR(INDEX(PP_Grid[#Data],$DD991,14),0)</f>
        <v/>
      </c>
      <c r="Q991">
        <f>IFERROR(INDEX(PP_Grid[#Data],$DD991,15),0)</f>
        <v/>
      </c>
      <c r="R991">
        <f>IFERROR(INDEX(PP_Grid[#Data],$DD991,16),0)</f>
        <v/>
      </c>
      <c r="S991">
        <f>IFERROR(INDEX(PP_Grid[#Data],$DD991,17),0)</f>
        <v/>
      </c>
      <c r="T991">
        <f>IFERROR(INDEX(PP_Grid[#Data],$DD991,18),0)</f>
        <v/>
      </c>
      <c r="U991">
        <f>IFERROR(INDEX(PP_Grid[#Data],$DD991,19),0)</f>
        <v/>
      </c>
      <c r="V991">
        <f>IFERROR(INDEX(PP_Grid[#Data],$DD991,20),0)</f>
        <v/>
      </c>
      <c r="W991">
        <f>IFERROR(INDEX(PP_Grid[#Data],$DD991,21),0)</f>
        <v/>
      </c>
      <c r="X991">
        <f>IFERROR(INDEX(PP_Grid[#Data],$DD991,22),0)</f>
        <v/>
      </c>
      <c r="Y991">
        <f>IFERROR(INDEX(PP_Grid[#Data],$DD991,23),0)</f>
        <v/>
      </c>
      <c r="Z991">
        <f>IFERROR(INDEX(PP_Grid[#Data],$DD991,24),0)</f>
        <v/>
      </c>
      <c r="AA991">
        <f>IFERROR(INDEX(PP_Grid[#Data],$DD991,25),0)</f>
        <v/>
      </c>
      <c r="AB991">
        <f>IFERROR(INDEX(PP_Grid[#Data],$DD991,26),0)</f>
        <v/>
      </c>
      <c r="AC991">
        <f>IFERROR(INDEX(PP_Grid[#Data],$DD991,27),0)</f>
        <v/>
      </c>
      <c r="AD991">
        <f>IFERROR(INDEX(PP_Grid[#Data],$DD991,28),0)</f>
        <v/>
      </c>
      <c r="AE991">
        <f>IFERROR(INDEX(PP_Grid[#Data],$DD991,29),0)</f>
        <v/>
      </c>
      <c r="AF991">
        <f>IFERROR(INDEX(PP_Grid[#Data],$DD991,30),0)</f>
        <v/>
      </c>
      <c r="AG991">
        <f>IFERROR(INDEX(PP_Grid[#Data],$DD991,31),0)</f>
        <v/>
      </c>
      <c r="AH991">
        <f>IFERROR(INDEX(PP_Grid[#Data],$DD991,32),0)</f>
        <v/>
      </c>
      <c r="AI991">
        <f>IFERROR(INDEX(PP_Grid[#Data],$DD991,33),0)</f>
        <v/>
      </c>
      <c r="AJ991">
        <f>IFERROR(INDEX(PP_Grid[#Data],$DD991,34),0)</f>
        <v/>
      </c>
      <c r="AK991">
        <f>IFERROR(INDEX(PP_Grid[#Data],$DD991,35),0)</f>
        <v/>
      </c>
      <c r="AL991">
        <f>IFERROR(INDEX(PP_Grid[#Data],$DD991,36),0)</f>
        <v/>
      </c>
      <c r="AM991">
        <f>IFERROR(INDEX(PP_Grid[#Data],$DD991,37),0)</f>
        <v/>
      </c>
      <c r="AN991">
        <f>IFERROR(INDEX(PP_Grid[#Data],$DD991,38),0)</f>
        <v/>
      </c>
      <c r="AO991">
        <f>IFERROR(INDEX(PP_Grid[#Data],$DD991,39),0)</f>
        <v/>
      </c>
      <c r="AP991">
        <f>IFERROR(INDEX(PP_Grid[#Data],$DD991,40),0)</f>
        <v/>
      </c>
      <c r="AQ991">
        <f>IFERROR(INDEX(PP_Grid[#Data],$DD991,41),0)</f>
        <v/>
      </c>
      <c r="AR991">
        <f>IFERROR(INDEX(PP_Grid[#Data],$DD991,42),0)</f>
        <v/>
      </c>
      <c r="AS991">
        <f>IFERROR(INDEX(PP_Grid[#Data],$DD991,43),0)</f>
        <v/>
      </c>
      <c r="AT991">
        <f>IFERROR(INDEX(PP_Grid[#Data],$DD991,44),0)</f>
        <v/>
      </c>
      <c r="AU991">
        <f>IFERROR(INDEX(PP_Grid[#Data],$DD991,45),0)</f>
        <v/>
      </c>
      <c r="AV991">
        <f>IFERROR(INDEX(PP_Grid[#Data],$DD991,46),0)</f>
        <v/>
      </c>
      <c r="AW991">
        <f>IFERROR(INDEX(PP_Grid[#Data],$DD991,47),0)</f>
        <v/>
      </c>
      <c r="AX991">
        <f>IFERROR(INDEX(PP_Grid[#Data],$DD991,48),0)</f>
        <v/>
      </c>
      <c r="AY991">
        <f>IFERROR(INDEX(PP_Grid[#Data],$DD991,49),0)</f>
        <v/>
      </c>
      <c r="AZ991">
        <f>IFERROR(INDEX(PP_Grid[#Data],$DD991,50),0)</f>
        <v/>
      </c>
      <c r="BA991">
        <f>IFERROR(INDEX(PP_Grid[#Data],$DD991,51),0)</f>
        <v/>
      </c>
      <c r="BB991">
        <f>IFERROR(INDEX(PP_Grid[#Data],$DD991,52),0)</f>
        <v/>
      </c>
      <c r="BC991">
        <f>IFERROR(INDEX(PP_Grid[#Data],$DD991,53),0)</f>
        <v/>
      </c>
      <c r="BD991">
        <f>IFERROR(INDEX(PP_Grid[#Data],$DD991,54),0)</f>
        <v/>
      </c>
      <c r="BE991">
        <f>IFERROR(INDEX(PP_Grid[#Data],$DD991,55),0)</f>
        <v/>
      </c>
      <c r="BF991">
        <f>IFERROR(INDEX(PP_Grid[#Data],$DD991,56),0)</f>
        <v/>
      </c>
      <c r="BG991">
        <f>IFERROR(INDEX(PP_Grid[#Data],$DD991,57),0)</f>
        <v/>
      </c>
      <c r="BH991">
        <f>IFERROR(INDEX(PP_Grid[#Data],$DD991,58),0)</f>
        <v/>
      </c>
      <c r="BI991">
        <f>IFERROR(INDEX(PP_Grid[#Data],$DD991,59),0)</f>
        <v/>
      </c>
      <c r="BJ991">
        <f>IFERROR(INDEX(PP_Grid[#Data],$DD991,60),0)</f>
        <v/>
      </c>
      <c r="BK991">
        <f>IFERROR(INDEX(PP_Grid[#Data],$DD991,61),0)</f>
        <v/>
      </c>
      <c r="BL991">
        <f>IFERROR(INDEX(PP_Grid[#Data],$DD991,62),0)</f>
        <v/>
      </c>
      <c r="BM991">
        <f>IFERROR(INDEX(PP_Grid[#Data],$DD991,63),0)</f>
        <v/>
      </c>
      <c r="BN991">
        <f>IFERROR(INDEX(PP_Grid[#Data],$DD991,64),0)</f>
        <v/>
      </c>
      <c r="BO991">
        <f>IFERROR(INDEX(PP_Grid[#Data],$DD991,65),0)</f>
        <v/>
      </c>
      <c r="BP991">
        <f>IFERROR(INDEX(PP_Grid[#Data],$DD991,66),0)</f>
        <v/>
      </c>
      <c r="BQ991">
        <f>IFERROR(INDEX(PP_Grid[#Data],$DD991,67),0)</f>
        <v/>
      </c>
      <c r="BR991">
        <f>IFERROR(INDEX(PP_Grid[#Data],$DD991,68),0)</f>
        <v/>
      </c>
      <c r="BS991">
        <f>IFERROR(INDEX(PP_Grid[#Data],$DD991,69),0)</f>
        <v/>
      </c>
      <c r="BT991">
        <f>IFERROR(INDEX(PP_Grid[#Data],$DD991,70),0)</f>
        <v/>
      </c>
      <c r="BU991">
        <f>IFERROR(INDEX(PP_Grid[#Data],$DD991,71),0)</f>
        <v/>
      </c>
      <c r="BV991">
        <f>IFERROR(INDEX(PP_Grid[#Data],$DD991,72),0)</f>
        <v/>
      </c>
      <c r="BW991">
        <f>IFERROR(INDEX(PP_Grid[#Data],$DD991,73),0)</f>
        <v/>
      </c>
      <c r="BX991">
        <f>IFERROR(INDEX(PP_Grid[#Data],$DD991,74),0)</f>
        <v/>
      </c>
      <c r="BY991">
        <f>IFERROR(INDEX(PP_Grid[#Data],$DD991,75),0)</f>
        <v/>
      </c>
      <c r="BZ991">
        <f>IFERROR(INDEX(PP_Grid[#Data],$DD991,76),0)</f>
        <v/>
      </c>
      <c r="CA991">
        <f>IFERROR(INDEX(PP_Grid[#Data],$DD991,77),0)</f>
        <v/>
      </c>
      <c r="CB991">
        <f>IFERROR(INDEX(PP_Grid[#Data],$DD991,78),0)</f>
        <v/>
      </c>
      <c r="CC991">
        <f>IFERROR(INDEX(PP_Grid[#Data],$DD991,79),0)</f>
        <v/>
      </c>
      <c r="CD991">
        <f>IFERROR(INDEX(PP_Grid[#Data],$DD991,80),0)</f>
        <v/>
      </c>
      <c r="CE991">
        <f>IFERROR(INDEX(PP_Grid[#Data],$DD991,81),0)</f>
        <v/>
      </c>
      <c r="CF991">
        <f>IFERROR(INDEX(PP_Grid[#Data],$DD991,82),0)</f>
        <v/>
      </c>
      <c r="CG991">
        <f>IFERROR(INDEX(PP_Grid[#Data],$DD991,83),0)</f>
        <v/>
      </c>
      <c r="CH991">
        <f>IFERROR(INDEX(PP_Grid[#Data],$DD991,84),0)</f>
        <v/>
      </c>
      <c r="CI991">
        <f>IFERROR(INDEX(PP_Grid[#Data],$DD991,85),0)</f>
        <v/>
      </c>
      <c r="CJ991">
        <f>IFERROR(INDEX(PP_Grid[#Data],$DD991,86),0)</f>
        <v/>
      </c>
      <c r="CK991">
        <f>IFERROR(INDEX(PP_Grid[#Data],$DD991,87),0)</f>
        <v/>
      </c>
      <c r="CL991">
        <f>IFERROR(INDEX(PP_Grid[#Data],$DD991,88),0)</f>
        <v/>
      </c>
      <c r="CM991">
        <f>IFERROR(INDEX(PP_Grid[#Data],$DD991,89),0)</f>
        <v/>
      </c>
      <c r="CN991">
        <f>IFERROR(INDEX(PP_Grid[#Data],$DD991,90),0)</f>
        <v/>
      </c>
      <c r="CO991">
        <f>IFERROR(INDEX(PP_Grid[#Data],$DD991,91),0)</f>
        <v/>
      </c>
      <c r="CP991">
        <f>IFERROR(INDEX(PP_Grid[#Data],$DD991,92),0)</f>
        <v/>
      </c>
      <c r="CQ991">
        <f>IFERROR(INDEX(PP_Grid[#Data],$DD991,93),0)</f>
        <v/>
      </c>
      <c r="CR991">
        <f>IFERROR(INDEX(PP_Grid[#Data],$DD991,94),0)</f>
        <v/>
      </c>
      <c r="CS991">
        <f>IFERROR(INDEX(PP_Grid[#Data],$DD991,95),0)</f>
        <v/>
      </c>
      <c r="CT991">
        <f>IFERROR(INDEX(PP_Grid[#Data],$DD991,96),0)</f>
        <v/>
      </c>
      <c r="CU991">
        <f>IFERROR(INDEX(PP_Grid[#Data],$DD991,97),0)</f>
        <v/>
      </c>
      <c r="CV991">
        <f>IFERROR(INDEX(PP_Grid[#Data],$DD991,98),0)</f>
        <v/>
      </c>
      <c r="CW991">
        <f>IFERROR(INDEX(PP_Grid[#Data],$DD991,99),0)</f>
        <v/>
      </c>
      <c r="CX991">
        <f>IFERROR(INDEX(PP_Grid[#Data],$DD991,100),0)</f>
        <v/>
      </c>
      <c r="CY991">
        <f>IFERROR(INDEX(PP_Grid[#Data],$DD991,101),0)</f>
        <v/>
      </c>
      <c r="CZ991">
        <f>IFERROR(INDEX(PP_Grid[#Data],$DD991,102),0)</f>
        <v/>
      </c>
      <c r="DA991">
        <f>IFERROR(INDEX(PP_Grid[#Data],$DD991,103),0)</f>
        <v/>
      </c>
      <c r="DB991">
        <f>IFERROR(INDEX(PP_Grid[#Data],$DD991,104),0)</f>
        <v/>
      </c>
      <c r="DC991">
        <f>IFERROR(INDEX(PP_Grid[#Data],$DD991,105),0)</f>
        <v/>
      </c>
      <c r="DD991" s="12">
        <f>IFERROR(MATCH($B991,PP_Grid[Intermediate],0),99999)</f>
        <v/>
      </c>
    </row>
    <row r="992">
      <c r="B992" t="inlineStr">
        <is>
          <t>使用量(kg)</t>
        </is>
      </c>
      <c r="C992">
        <f>SUMIFS(M_BOM[RM_Qty_Per_Batch],M_BOM[Intermediate],$B991,M_BOM[Part Name],$A988)</f>
        <v/>
      </c>
      <c r="D992">
        <f>$C992*D991</f>
        <v/>
      </c>
      <c r="E992">
        <f>$C992*E991</f>
        <v/>
      </c>
      <c r="F992">
        <f>$C992*F991</f>
        <v/>
      </c>
      <c r="G992">
        <f>$C992*G991</f>
        <v/>
      </c>
      <c r="H992">
        <f>$C992*H991</f>
        <v/>
      </c>
      <c r="I992">
        <f>$C992*I991</f>
        <v/>
      </c>
      <c r="J992">
        <f>$C992*J991</f>
        <v/>
      </c>
      <c r="K992">
        <f>$C992*K991</f>
        <v/>
      </c>
      <c r="L992">
        <f>$C992*L991</f>
        <v/>
      </c>
      <c r="M992">
        <f>$C992*M991</f>
        <v/>
      </c>
      <c r="N992">
        <f>$C992*N991</f>
        <v/>
      </c>
      <c r="O992">
        <f>$C992*O991</f>
        <v/>
      </c>
      <c r="P992">
        <f>$C992*P991</f>
        <v/>
      </c>
      <c r="Q992">
        <f>$C992*Q991</f>
        <v/>
      </c>
      <c r="R992">
        <f>$C992*R991</f>
        <v/>
      </c>
      <c r="S992">
        <f>$C992*S991</f>
        <v/>
      </c>
      <c r="T992">
        <f>$C992*T991</f>
        <v/>
      </c>
      <c r="U992">
        <f>$C992*U991</f>
        <v/>
      </c>
      <c r="V992">
        <f>$C992*V991</f>
        <v/>
      </c>
      <c r="W992">
        <f>$C992*W991</f>
        <v/>
      </c>
      <c r="X992">
        <f>$C992*X991</f>
        <v/>
      </c>
      <c r="Y992">
        <f>$C992*Y991</f>
        <v/>
      </c>
      <c r="Z992">
        <f>$C992*Z991</f>
        <v/>
      </c>
      <c r="AA992">
        <f>$C992*AA991</f>
        <v/>
      </c>
      <c r="AB992">
        <f>$C992*AB991</f>
        <v/>
      </c>
      <c r="AC992">
        <f>$C992*AC991</f>
        <v/>
      </c>
      <c r="AD992">
        <f>$C992*AD991</f>
        <v/>
      </c>
      <c r="AE992">
        <f>$C992*AE991</f>
        <v/>
      </c>
      <c r="AF992">
        <f>$C992*AF991</f>
        <v/>
      </c>
      <c r="AG992">
        <f>$C992*AG991</f>
        <v/>
      </c>
      <c r="AH992">
        <f>$C992*AH991</f>
        <v/>
      </c>
      <c r="AI992">
        <f>$C992*AI991</f>
        <v/>
      </c>
      <c r="AJ992">
        <f>$C992*AJ991</f>
        <v/>
      </c>
      <c r="AK992">
        <f>$C992*AK991</f>
        <v/>
      </c>
      <c r="AL992">
        <f>$C992*AL991</f>
        <v/>
      </c>
      <c r="AM992">
        <f>$C992*AM991</f>
        <v/>
      </c>
      <c r="AN992">
        <f>$C992*AN991</f>
        <v/>
      </c>
      <c r="AO992">
        <f>$C992*AO991</f>
        <v/>
      </c>
      <c r="AP992">
        <f>$C992*AP991</f>
        <v/>
      </c>
      <c r="AQ992">
        <f>$C992*AQ991</f>
        <v/>
      </c>
      <c r="AR992">
        <f>$C992*AR991</f>
        <v/>
      </c>
      <c r="AS992">
        <f>$C992*AS991</f>
        <v/>
      </c>
      <c r="AT992">
        <f>$C992*AT991</f>
        <v/>
      </c>
      <c r="AU992">
        <f>$C992*AU991</f>
        <v/>
      </c>
      <c r="AV992">
        <f>$C992*AV991</f>
        <v/>
      </c>
      <c r="AW992">
        <f>$C992*AW991</f>
        <v/>
      </c>
      <c r="AX992">
        <f>$C992*AX991</f>
        <v/>
      </c>
      <c r="AY992">
        <f>$C992*AY991</f>
        <v/>
      </c>
      <c r="AZ992">
        <f>$C992*AZ991</f>
        <v/>
      </c>
      <c r="BA992">
        <f>$C992*BA991</f>
        <v/>
      </c>
      <c r="BB992">
        <f>$C992*BB991</f>
        <v/>
      </c>
      <c r="BC992">
        <f>$C992*BC991</f>
        <v/>
      </c>
      <c r="BD992">
        <f>$C992*BD991</f>
        <v/>
      </c>
      <c r="BE992">
        <f>$C992*BE991</f>
        <v/>
      </c>
      <c r="BF992">
        <f>$C992*BF991</f>
        <v/>
      </c>
      <c r="BG992">
        <f>$C992*BG991</f>
        <v/>
      </c>
      <c r="BH992">
        <f>$C992*BH991</f>
        <v/>
      </c>
      <c r="BI992">
        <f>$C992*BI991</f>
        <v/>
      </c>
      <c r="BJ992">
        <f>$C992*BJ991</f>
        <v/>
      </c>
      <c r="BK992">
        <f>$C992*BK991</f>
        <v/>
      </c>
      <c r="BL992">
        <f>$C992*BL991</f>
        <v/>
      </c>
      <c r="BM992">
        <f>$C992*BM991</f>
        <v/>
      </c>
      <c r="BN992">
        <f>$C992*BN991</f>
        <v/>
      </c>
      <c r="BO992">
        <f>$C992*BO991</f>
        <v/>
      </c>
      <c r="BP992">
        <f>$C992*BP991</f>
        <v/>
      </c>
      <c r="BQ992">
        <f>$C992*BQ991</f>
        <v/>
      </c>
      <c r="BR992">
        <f>$C992*BR991</f>
        <v/>
      </c>
      <c r="BS992">
        <f>$C992*BS991</f>
        <v/>
      </c>
      <c r="BT992">
        <f>$C992*BT991</f>
        <v/>
      </c>
      <c r="BU992">
        <f>$C992*BU991</f>
        <v/>
      </c>
      <c r="BV992">
        <f>$C992*BV991</f>
        <v/>
      </c>
      <c r="BW992">
        <f>$C992*BW991</f>
        <v/>
      </c>
      <c r="BX992">
        <f>$C992*BX991</f>
        <v/>
      </c>
      <c r="BY992">
        <f>$C992*BY991</f>
        <v/>
      </c>
      <c r="BZ992">
        <f>$C992*BZ991</f>
        <v/>
      </c>
      <c r="CA992">
        <f>$C992*CA991</f>
        <v/>
      </c>
      <c r="CB992">
        <f>$C992*CB991</f>
        <v/>
      </c>
      <c r="CC992">
        <f>$C992*CC991</f>
        <v/>
      </c>
      <c r="CD992">
        <f>$C992*CD991</f>
        <v/>
      </c>
      <c r="CE992">
        <f>$C992*CE991</f>
        <v/>
      </c>
      <c r="CF992">
        <f>$C992*CF991</f>
        <v/>
      </c>
      <c r="CG992">
        <f>$C992*CG991</f>
        <v/>
      </c>
      <c r="CH992">
        <f>$C992*CH991</f>
        <v/>
      </c>
      <c r="CI992">
        <f>$C992*CI991</f>
        <v/>
      </c>
      <c r="CJ992">
        <f>$C992*CJ991</f>
        <v/>
      </c>
      <c r="CK992">
        <f>$C992*CK991</f>
        <v/>
      </c>
      <c r="CL992">
        <f>$C992*CL991</f>
        <v/>
      </c>
      <c r="CM992">
        <f>$C992*CM991</f>
        <v/>
      </c>
      <c r="CN992">
        <f>$C992*CN991</f>
        <v/>
      </c>
      <c r="CO992">
        <f>$C992*CO991</f>
        <v/>
      </c>
      <c r="CP992">
        <f>$C992*CP991</f>
        <v/>
      </c>
      <c r="CQ992">
        <f>$C992*CQ991</f>
        <v/>
      </c>
      <c r="CR992">
        <f>$C992*CR991</f>
        <v/>
      </c>
      <c r="CS992">
        <f>$C992*CS991</f>
        <v/>
      </c>
      <c r="CT992">
        <f>$C992*CT991</f>
        <v/>
      </c>
      <c r="CU992">
        <f>$C992*CU991</f>
        <v/>
      </c>
      <c r="CV992">
        <f>$C992*CV991</f>
        <v/>
      </c>
      <c r="CW992">
        <f>$C992*CW991</f>
        <v/>
      </c>
      <c r="CX992">
        <f>$C992*CX991</f>
        <v/>
      </c>
      <c r="CY992">
        <f>$C992*CY991</f>
        <v/>
      </c>
      <c r="CZ992">
        <f>$C992*CZ991</f>
        <v/>
      </c>
      <c r="DA992">
        <f>$C992*DA991</f>
        <v/>
      </c>
      <c r="DB992">
        <f>$C992*DB991</f>
        <v/>
      </c>
      <c r="DC992">
        <f>$C992*DC991</f>
        <v/>
      </c>
    </row>
    <row r="993">
      <c r="B993" t="inlineStr">
        <is>
          <t>TSP-1448</t>
        </is>
      </c>
      <c r="C993" t="inlineStr">
        <is>
          <t>No. of batches</t>
        </is>
      </c>
      <c r="D993">
        <f>IFERROR(INDEX(PP_Grid[#Data],$DD993,2),0)</f>
        <v/>
      </c>
      <c r="E993">
        <f>IFERROR(INDEX(PP_Grid[#Data],$DD993,3),0)</f>
        <v/>
      </c>
      <c r="F993">
        <f>IFERROR(INDEX(PP_Grid[#Data],$DD993,4),0)</f>
        <v/>
      </c>
      <c r="G993">
        <f>IFERROR(INDEX(PP_Grid[#Data],$DD993,5),0)</f>
        <v/>
      </c>
      <c r="H993">
        <f>IFERROR(INDEX(PP_Grid[#Data],$DD993,6),0)</f>
        <v/>
      </c>
      <c r="I993">
        <f>IFERROR(INDEX(PP_Grid[#Data],$DD993,7),0)</f>
        <v/>
      </c>
      <c r="J993">
        <f>IFERROR(INDEX(PP_Grid[#Data],$DD993,8),0)</f>
        <v/>
      </c>
      <c r="K993">
        <f>IFERROR(INDEX(PP_Grid[#Data],$DD993,9),0)</f>
        <v/>
      </c>
      <c r="L993">
        <f>IFERROR(INDEX(PP_Grid[#Data],$DD993,10),0)</f>
        <v/>
      </c>
      <c r="M993">
        <f>IFERROR(INDEX(PP_Grid[#Data],$DD993,11),0)</f>
        <v/>
      </c>
      <c r="N993">
        <f>IFERROR(INDEX(PP_Grid[#Data],$DD993,12),0)</f>
        <v/>
      </c>
      <c r="O993">
        <f>IFERROR(INDEX(PP_Grid[#Data],$DD993,13),0)</f>
        <v/>
      </c>
      <c r="P993">
        <f>IFERROR(INDEX(PP_Grid[#Data],$DD993,14),0)</f>
        <v/>
      </c>
      <c r="Q993">
        <f>IFERROR(INDEX(PP_Grid[#Data],$DD993,15),0)</f>
        <v/>
      </c>
      <c r="R993">
        <f>IFERROR(INDEX(PP_Grid[#Data],$DD993,16),0)</f>
        <v/>
      </c>
      <c r="S993">
        <f>IFERROR(INDEX(PP_Grid[#Data],$DD993,17),0)</f>
        <v/>
      </c>
      <c r="T993">
        <f>IFERROR(INDEX(PP_Grid[#Data],$DD993,18),0)</f>
        <v/>
      </c>
      <c r="U993">
        <f>IFERROR(INDEX(PP_Grid[#Data],$DD993,19),0)</f>
        <v/>
      </c>
      <c r="V993">
        <f>IFERROR(INDEX(PP_Grid[#Data],$DD993,20),0)</f>
        <v/>
      </c>
      <c r="W993">
        <f>IFERROR(INDEX(PP_Grid[#Data],$DD993,21),0)</f>
        <v/>
      </c>
      <c r="X993">
        <f>IFERROR(INDEX(PP_Grid[#Data],$DD993,22),0)</f>
        <v/>
      </c>
      <c r="Y993">
        <f>IFERROR(INDEX(PP_Grid[#Data],$DD993,23),0)</f>
        <v/>
      </c>
      <c r="Z993">
        <f>IFERROR(INDEX(PP_Grid[#Data],$DD993,24),0)</f>
        <v/>
      </c>
      <c r="AA993">
        <f>IFERROR(INDEX(PP_Grid[#Data],$DD993,25),0)</f>
        <v/>
      </c>
      <c r="AB993">
        <f>IFERROR(INDEX(PP_Grid[#Data],$DD993,26),0)</f>
        <v/>
      </c>
      <c r="AC993">
        <f>IFERROR(INDEX(PP_Grid[#Data],$DD993,27),0)</f>
        <v/>
      </c>
      <c r="AD993">
        <f>IFERROR(INDEX(PP_Grid[#Data],$DD993,28),0)</f>
        <v/>
      </c>
      <c r="AE993">
        <f>IFERROR(INDEX(PP_Grid[#Data],$DD993,29),0)</f>
        <v/>
      </c>
      <c r="AF993">
        <f>IFERROR(INDEX(PP_Grid[#Data],$DD993,30),0)</f>
        <v/>
      </c>
      <c r="AG993">
        <f>IFERROR(INDEX(PP_Grid[#Data],$DD993,31),0)</f>
        <v/>
      </c>
      <c r="AH993">
        <f>IFERROR(INDEX(PP_Grid[#Data],$DD993,32),0)</f>
        <v/>
      </c>
      <c r="AI993">
        <f>IFERROR(INDEX(PP_Grid[#Data],$DD993,33),0)</f>
        <v/>
      </c>
      <c r="AJ993">
        <f>IFERROR(INDEX(PP_Grid[#Data],$DD993,34),0)</f>
        <v/>
      </c>
      <c r="AK993">
        <f>IFERROR(INDEX(PP_Grid[#Data],$DD993,35),0)</f>
        <v/>
      </c>
      <c r="AL993">
        <f>IFERROR(INDEX(PP_Grid[#Data],$DD993,36),0)</f>
        <v/>
      </c>
      <c r="AM993">
        <f>IFERROR(INDEX(PP_Grid[#Data],$DD993,37),0)</f>
        <v/>
      </c>
      <c r="AN993">
        <f>IFERROR(INDEX(PP_Grid[#Data],$DD993,38),0)</f>
        <v/>
      </c>
      <c r="AO993">
        <f>IFERROR(INDEX(PP_Grid[#Data],$DD993,39),0)</f>
        <v/>
      </c>
      <c r="AP993">
        <f>IFERROR(INDEX(PP_Grid[#Data],$DD993,40),0)</f>
        <v/>
      </c>
      <c r="AQ993">
        <f>IFERROR(INDEX(PP_Grid[#Data],$DD993,41),0)</f>
        <v/>
      </c>
      <c r="AR993">
        <f>IFERROR(INDEX(PP_Grid[#Data],$DD993,42),0)</f>
        <v/>
      </c>
      <c r="AS993">
        <f>IFERROR(INDEX(PP_Grid[#Data],$DD993,43),0)</f>
        <v/>
      </c>
      <c r="AT993">
        <f>IFERROR(INDEX(PP_Grid[#Data],$DD993,44),0)</f>
        <v/>
      </c>
      <c r="AU993">
        <f>IFERROR(INDEX(PP_Grid[#Data],$DD993,45),0)</f>
        <v/>
      </c>
      <c r="AV993">
        <f>IFERROR(INDEX(PP_Grid[#Data],$DD993,46),0)</f>
        <v/>
      </c>
      <c r="AW993">
        <f>IFERROR(INDEX(PP_Grid[#Data],$DD993,47),0)</f>
        <v/>
      </c>
      <c r="AX993">
        <f>IFERROR(INDEX(PP_Grid[#Data],$DD993,48),0)</f>
        <v/>
      </c>
      <c r="AY993">
        <f>IFERROR(INDEX(PP_Grid[#Data],$DD993,49),0)</f>
        <v/>
      </c>
      <c r="AZ993">
        <f>IFERROR(INDEX(PP_Grid[#Data],$DD993,50),0)</f>
        <v/>
      </c>
      <c r="BA993">
        <f>IFERROR(INDEX(PP_Grid[#Data],$DD993,51),0)</f>
        <v/>
      </c>
      <c r="BB993">
        <f>IFERROR(INDEX(PP_Grid[#Data],$DD993,52),0)</f>
        <v/>
      </c>
      <c r="BC993">
        <f>IFERROR(INDEX(PP_Grid[#Data],$DD993,53),0)</f>
        <v/>
      </c>
      <c r="BD993">
        <f>IFERROR(INDEX(PP_Grid[#Data],$DD993,54),0)</f>
        <v/>
      </c>
      <c r="BE993">
        <f>IFERROR(INDEX(PP_Grid[#Data],$DD993,55),0)</f>
        <v/>
      </c>
      <c r="BF993">
        <f>IFERROR(INDEX(PP_Grid[#Data],$DD993,56),0)</f>
        <v/>
      </c>
      <c r="BG993">
        <f>IFERROR(INDEX(PP_Grid[#Data],$DD993,57),0)</f>
        <v/>
      </c>
      <c r="BH993">
        <f>IFERROR(INDEX(PP_Grid[#Data],$DD993,58),0)</f>
        <v/>
      </c>
      <c r="BI993">
        <f>IFERROR(INDEX(PP_Grid[#Data],$DD993,59),0)</f>
        <v/>
      </c>
      <c r="BJ993">
        <f>IFERROR(INDEX(PP_Grid[#Data],$DD993,60),0)</f>
        <v/>
      </c>
      <c r="BK993">
        <f>IFERROR(INDEX(PP_Grid[#Data],$DD993,61),0)</f>
        <v/>
      </c>
      <c r="BL993">
        <f>IFERROR(INDEX(PP_Grid[#Data],$DD993,62),0)</f>
        <v/>
      </c>
      <c r="BM993">
        <f>IFERROR(INDEX(PP_Grid[#Data],$DD993,63),0)</f>
        <v/>
      </c>
      <c r="BN993">
        <f>IFERROR(INDEX(PP_Grid[#Data],$DD993,64),0)</f>
        <v/>
      </c>
      <c r="BO993">
        <f>IFERROR(INDEX(PP_Grid[#Data],$DD993,65),0)</f>
        <v/>
      </c>
      <c r="BP993">
        <f>IFERROR(INDEX(PP_Grid[#Data],$DD993,66),0)</f>
        <v/>
      </c>
      <c r="BQ993">
        <f>IFERROR(INDEX(PP_Grid[#Data],$DD993,67),0)</f>
        <v/>
      </c>
      <c r="BR993">
        <f>IFERROR(INDEX(PP_Grid[#Data],$DD993,68),0)</f>
        <v/>
      </c>
      <c r="BS993">
        <f>IFERROR(INDEX(PP_Grid[#Data],$DD993,69),0)</f>
        <v/>
      </c>
      <c r="BT993">
        <f>IFERROR(INDEX(PP_Grid[#Data],$DD993,70),0)</f>
        <v/>
      </c>
      <c r="BU993">
        <f>IFERROR(INDEX(PP_Grid[#Data],$DD993,71),0)</f>
        <v/>
      </c>
      <c r="BV993">
        <f>IFERROR(INDEX(PP_Grid[#Data],$DD993,72),0)</f>
        <v/>
      </c>
      <c r="BW993">
        <f>IFERROR(INDEX(PP_Grid[#Data],$DD993,73),0)</f>
        <v/>
      </c>
      <c r="BX993">
        <f>IFERROR(INDEX(PP_Grid[#Data],$DD993,74),0)</f>
        <v/>
      </c>
      <c r="BY993">
        <f>IFERROR(INDEX(PP_Grid[#Data],$DD993,75),0)</f>
        <v/>
      </c>
      <c r="BZ993">
        <f>IFERROR(INDEX(PP_Grid[#Data],$DD993,76),0)</f>
        <v/>
      </c>
      <c r="CA993">
        <f>IFERROR(INDEX(PP_Grid[#Data],$DD993,77),0)</f>
        <v/>
      </c>
      <c r="CB993">
        <f>IFERROR(INDEX(PP_Grid[#Data],$DD993,78),0)</f>
        <v/>
      </c>
      <c r="CC993">
        <f>IFERROR(INDEX(PP_Grid[#Data],$DD993,79),0)</f>
        <v/>
      </c>
      <c r="CD993">
        <f>IFERROR(INDEX(PP_Grid[#Data],$DD993,80),0)</f>
        <v/>
      </c>
      <c r="CE993">
        <f>IFERROR(INDEX(PP_Grid[#Data],$DD993,81),0)</f>
        <v/>
      </c>
      <c r="CF993">
        <f>IFERROR(INDEX(PP_Grid[#Data],$DD993,82),0)</f>
        <v/>
      </c>
      <c r="CG993">
        <f>IFERROR(INDEX(PP_Grid[#Data],$DD993,83),0)</f>
        <v/>
      </c>
      <c r="CH993">
        <f>IFERROR(INDEX(PP_Grid[#Data],$DD993,84),0)</f>
        <v/>
      </c>
      <c r="CI993">
        <f>IFERROR(INDEX(PP_Grid[#Data],$DD993,85),0)</f>
        <v/>
      </c>
      <c r="CJ993">
        <f>IFERROR(INDEX(PP_Grid[#Data],$DD993,86),0)</f>
        <v/>
      </c>
      <c r="CK993">
        <f>IFERROR(INDEX(PP_Grid[#Data],$DD993,87),0)</f>
        <v/>
      </c>
      <c r="CL993">
        <f>IFERROR(INDEX(PP_Grid[#Data],$DD993,88),0)</f>
        <v/>
      </c>
      <c r="CM993">
        <f>IFERROR(INDEX(PP_Grid[#Data],$DD993,89),0)</f>
        <v/>
      </c>
      <c r="CN993">
        <f>IFERROR(INDEX(PP_Grid[#Data],$DD993,90),0)</f>
        <v/>
      </c>
      <c r="CO993">
        <f>IFERROR(INDEX(PP_Grid[#Data],$DD993,91),0)</f>
        <v/>
      </c>
      <c r="CP993">
        <f>IFERROR(INDEX(PP_Grid[#Data],$DD993,92),0)</f>
        <v/>
      </c>
      <c r="CQ993">
        <f>IFERROR(INDEX(PP_Grid[#Data],$DD993,93),0)</f>
        <v/>
      </c>
      <c r="CR993">
        <f>IFERROR(INDEX(PP_Grid[#Data],$DD993,94),0)</f>
        <v/>
      </c>
      <c r="CS993">
        <f>IFERROR(INDEX(PP_Grid[#Data],$DD993,95),0)</f>
        <v/>
      </c>
      <c r="CT993">
        <f>IFERROR(INDEX(PP_Grid[#Data],$DD993,96),0)</f>
        <v/>
      </c>
      <c r="CU993">
        <f>IFERROR(INDEX(PP_Grid[#Data],$DD993,97),0)</f>
        <v/>
      </c>
      <c r="CV993">
        <f>IFERROR(INDEX(PP_Grid[#Data],$DD993,98),0)</f>
        <v/>
      </c>
      <c r="CW993">
        <f>IFERROR(INDEX(PP_Grid[#Data],$DD993,99),0)</f>
        <v/>
      </c>
      <c r="CX993">
        <f>IFERROR(INDEX(PP_Grid[#Data],$DD993,100),0)</f>
        <v/>
      </c>
      <c r="CY993">
        <f>IFERROR(INDEX(PP_Grid[#Data],$DD993,101),0)</f>
        <v/>
      </c>
      <c r="CZ993">
        <f>IFERROR(INDEX(PP_Grid[#Data],$DD993,102),0)</f>
        <v/>
      </c>
      <c r="DA993">
        <f>IFERROR(INDEX(PP_Grid[#Data],$DD993,103),0)</f>
        <v/>
      </c>
      <c r="DB993">
        <f>IFERROR(INDEX(PP_Grid[#Data],$DD993,104),0)</f>
        <v/>
      </c>
      <c r="DC993">
        <f>IFERROR(INDEX(PP_Grid[#Data],$DD993,105),0)</f>
        <v/>
      </c>
      <c r="DD993" s="12">
        <f>IFERROR(MATCH($B993,PP_Grid[Intermediate],0),99999)</f>
        <v/>
      </c>
    </row>
    <row r="994">
      <c r="B994" t="inlineStr">
        <is>
          <t>使用量(kg)</t>
        </is>
      </c>
      <c r="C994">
        <f>SUMIFS(M_BOM[RM_Qty_Per_Batch],M_BOM[Intermediate],$B993,M_BOM[Part Name],$A988)</f>
        <v/>
      </c>
      <c r="D994">
        <f>$C994*D993</f>
        <v/>
      </c>
      <c r="E994">
        <f>$C994*E993</f>
        <v/>
      </c>
      <c r="F994">
        <f>$C994*F993</f>
        <v/>
      </c>
      <c r="G994">
        <f>$C994*G993</f>
        <v/>
      </c>
      <c r="H994">
        <f>$C994*H993</f>
        <v/>
      </c>
      <c r="I994">
        <f>$C994*I993</f>
        <v/>
      </c>
      <c r="J994">
        <f>$C994*J993</f>
        <v/>
      </c>
      <c r="K994">
        <f>$C994*K993</f>
        <v/>
      </c>
      <c r="L994">
        <f>$C994*L993</f>
        <v/>
      </c>
      <c r="M994">
        <f>$C994*M993</f>
        <v/>
      </c>
      <c r="N994">
        <f>$C994*N993</f>
        <v/>
      </c>
      <c r="O994">
        <f>$C994*O993</f>
        <v/>
      </c>
      <c r="P994">
        <f>$C994*P993</f>
        <v/>
      </c>
      <c r="Q994">
        <f>$C994*Q993</f>
        <v/>
      </c>
      <c r="R994">
        <f>$C994*R993</f>
        <v/>
      </c>
      <c r="S994">
        <f>$C994*S993</f>
        <v/>
      </c>
      <c r="T994">
        <f>$C994*T993</f>
        <v/>
      </c>
      <c r="U994">
        <f>$C994*U993</f>
        <v/>
      </c>
      <c r="V994">
        <f>$C994*V993</f>
        <v/>
      </c>
      <c r="W994">
        <f>$C994*W993</f>
        <v/>
      </c>
      <c r="X994">
        <f>$C994*X993</f>
        <v/>
      </c>
      <c r="Y994">
        <f>$C994*Y993</f>
        <v/>
      </c>
      <c r="Z994">
        <f>$C994*Z993</f>
        <v/>
      </c>
      <c r="AA994">
        <f>$C994*AA993</f>
        <v/>
      </c>
      <c r="AB994">
        <f>$C994*AB993</f>
        <v/>
      </c>
      <c r="AC994">
        <f>$C994*AC993</f>
        <v/>
      </c>
      <c r="AD994">
        <f>$C994*AD993</f>
        <v/>
      </c>
      <c r="AE994">
        <f>$C994*AE993</f>
        <v/>
      </c>
      <c r="AF994">
        <f>$C994*AF993</f>
        <v/>
      </c>
      <c r="AG994">
        <f>$C994*AG993</f>
        <v/>
      </c>
      <c r="AH994">
        <f>$C994*AH993</f>
        <v/>
      </c>
      <c r="AI994">
        <f>$C994*AI993</f>
        <v/>
      </c>
      <c r="AJ994">
        <f>$C994*AJ993</f>
        <v/>
      </c>
      <c r="AK994">
        <f>$C994*AK993</f>
        <v/>
      </c>
      <c r="AL994">
        <f>$C994*AL993</f>
        <v/>
      </c>
      <c r="AM994">
        <f>$C994*AM993</f>
        <v/>
      </c>
      <c r="AN994">
        <f>$C994*AN993</f>
        <v/>
      </c>
      <c r="AO994">
        <f>$C994*AO993</f>
        <v/>
      </c>
      <c r="AP994">
        <f>$C994*AP993</f>
        <v/>
      </c>
      <c r="AQ994">
        <f>$C994*AQ993</f>
        <v/>
      </c>
      <c r="AR994">
        <f>$C994*AR993</f>
        <v/>
      </c>
      <c r="AS994">
        <f>$C994*AS993</f>
        <v/>
      </c>
      <c r="AT994">
        <f>$C994*AT993</f>
        <v/>
      </c>
      <c r="AU994">
        <f>$C994*AU993</f>
        <v/>
      </c>
      <c r="AV994">
        <f>$C994*AV993</f>
        <v/>
      </c>
      <c r="AW994">
        <f>$C994*AW993</f>
        <v/>
      </c>
      <c r="AX994">
        <f>$C994*AX993</f>
        <v/>
      </c>
      <c r="AY994">
        <f>$C994*AY993</f>
        <v/>
      </c>
      <c r="AZ994">
        <f>$C994*AZ993</f>
        <v/>
      </c>
      <c r="BA994">
        <f>$C994*BA993</f>
        <v/>
      </c>
      <c r="BB994">
        <f>$C994*BB993</f>
        <v/>
      </c>
      <c r="BC994">
        <f>$C994*BC993</f>
        <v/>
      </c>
      <c r="BD994">
        <f>$C994*BD993</f>
        <v/>
      </c>
      <c r="BE994">
        <f>$C994*BE993</f>
        <v/>
      </c>
      <c r="BF994">
        <f>$C994*BF993</f>
        <v/>
      </c>
      <c r="BG994">
        <f>$C994*BG993</f>
        <v/>
      </c>
      <c r="BH994">
        <f>$C994*BH993</f>
        <v/>
      </c>
      <c r="BI994">
        <f>$C994*BI993</f>
        <v/>
      </c>
      <c r="BJ994">
        <f>$C994*BJ993</f>
        <v/>
      </c>
      <c r="BK994">
        <f>$C994*BK993</f>
        <v/>
      </c>
      <c r="BL994">
        <f>$C994*BL993</f>
        <v/>
      </c>
      <c r="BM994">
        <f>$C994*BM993</f>
        <v/>
      </c>
      <c r="BN994">
        <f>$C994*BN993</f>
        <v/>
      </c>
      <c r="BO994">
        <f>$C994*BO993</f>
        <v/>
      </c>
      <c r="BP994">
        <f>$C994*BP993</f>
        <v/>
      </c>
      <c r="BQ994">
        <f>$C994*BQ993</f>
        <v/>
      </c>
      <c r="BR994">
        <f>$C994*BR993</f>
        <v/>
      </c>
      <c r="BS994">
        <f>$C994*BS993</f>
        <v/>
      </c>
      <c r="BT994">
        <f>$C994*BT993</f>
        <v/>
      </c>
      <c r="BU994">
        <f>$C994*BU993</f>
        <v/>
      </c>
      <c r="BV994">
        <f>$C994*BV993</f>
        <v/>
      </c>
      <c r="BW994">
        <f>$C994*BW993</f>
        <v/>
      </c>
      <c r="BX994">
        <f>$C994*BX993</f>
        <v/>
      </c>
      <c r="BY994">
        <f>$C994*BY993</f>
        <v/>
      </c>
      <c r="BZ994">
        <f>$C994*BZ993</f>
        <v/>
      </c>
      <c r="CA994">
        <f>$C994*CA993</f>
        <v/>
      </c>
      <c r="CB994">
        <f>$C994*CB993</f>
        <v/>
      </c>
      <c r="CC994">
        <f>$C994*CC993</f>
        <v/>
      </c>
      <c r="CD994">
        <f>$C994*CD993</f>
        <v/>
      </c>
      <c r="CE994">
        <f>$C994*CE993</f>
        <v/>
      </c>
      <c r="CF994">
        <f>$C994*CF993</f>
        <v/>
      </c>
      <c r="CG994">
        <f>$C994*CG993</f>
        <v/>
      </c>
      <c r="CH994">
        <f>$C994*CH993</f>
        <v/>
      </c>
      <c r="CI994">
        <f>$C994*CI993</f>
        <v/>
      </c>
      <c r="CJ994">
        <f>$C994*CJ993</f>
        <v/>
      </c>
      <c r="CK994">
        <f>$C994*CK993</f>
        <v/>
      </c>
      <c r="CL994">
        <f>$C994*CL993</f>
        <v/>
      </c>
      <c r="CM994">
        <f>$C994*CM993</f>
        <v/>
      </c>
      <c r="CN994">
        <f>$C994*CN993</f>
        <v/>
      </c>
      <c r="CO994">
        <f>$C994*CO993</f>
        <v/>
      </c>
      <c r="CP994">
        <f>$C994*CP993</f>
        <v/>
      </c>
      <c r="CQ994">
        <f>$C994*CQ993</f>
        <v/>
      </c>
      <c r="CR994">
        <f>$C994*CR993</f>
        <v/>
      </c>
      <c r="CS994">
        <f>$C994*CS993</f>
        <v/>
      </c>
      <c r="CT994">
        <f>$C994*CT993</f>
        <v/>
      </c>
      <c r="CU994">
        <f>$C994*CU993</f>
        <v/>
      </c>
      <c r="CV994">
        <f>$C994*CV993</f>
        <v/>
      </c>
      <c r="CW994">
        <f>$C994*CW993</f>
        <v/>
      </c>
      <c r="CX994">
        <f>$C994*CX993</f>
        <v/>
      </c>
      <c r="CY994">
        <f>$C994*CY993</f>
        <v/>
      </c>
      <c r="CZ994">
        <f>$C994*CZ993</f>
        <v/>
      </c>
      <c r="DA994">
        <f>$C994*DA993</f>
        <v/>
      </c>
      <c r="DB994">
        <f>$C994*DB993</f>
        <v/>
      </c>
      <c r="DC994">
        <f>$C994*DC993</f>
        <v/>
      </c>
    </row>
    <row r="995">
      <c r="B995" t="inlineStr">
        <is>
          <t>TSP-1449</t>
        </is>
      </c>
      <c r="C995" t="inlineStr">
        <is>
          <t>No. of batches</t>
        </is>
      </c>
      <c r="D995">
        <f>IFERROR(INDEX(PP_Grid[#Data],$DD995,2),0)</f>
        <v/>
      </c>
      <c r="E995">
        <f>IFERROR(INDEX(PP_Grid[#Data],$DD995,3),0)</f>
        <v/>
      </c>
      <c r="F995">
        <f>IFERROR(INDEX(PP_Grid[#Data],$DD995,4),0)</f>
        <v/>
      </c>
      <c r="G995">
        <f>IFERROR(INDEX(PP_Grid[#Data],$DD995,5),0)</f>
        <v/>
      </c>
      <c r="H995">
        <f>IFERROR(INDEX(PP_Grid[#Data],$DD995,6),0)</f>
        <v/>
      </c>
      <c r="I995">
        <f>IFERROR(INDEX(PP_Grid[#Data],$DD995,7),0)</f>
        <v/>
      </c>
      <c r="J995">
        <f>IFERROR(INDEX(PP_Grid[#Data],$DD995,8),0)</f>
        <v/>
      </c>
      <c r="K995">
        <f>IFERROR(INDEX(PP_Grid[#Data],$DD995,9),0)</f>
        <v/>
      </c>
      <c r="L995">
        <f>IFERROR(INDEX(PP_Grid[#Data],$DD995,10),0)</f>
        <v/>
      </c>
      <c r="M995">
        <f>IFERROR(INDEX(PP_Grid[#Data],$DD995,11),0)</f>
        <v/>
      </c>
      <c r="N995">
        <f>IFERROR(INDEX(PP_Grid[#Data],$DD995,12),0)</f>
        <v/>
      </c>
      <c r="O995">
        <f>IFERROR(INDEX(PP_Grid[#Data],$DD995,13),0)</f>
        <v/>
      </c>
      <c r="P995">
        <f>IFERROR(INDEX(PP_Grid[#Data],$DD995,14),0)</f>
        <v/>
      </c>
      <c r="Q995">
        <f>IFERROR(INDEX(PP_Grid[#Data],$DD995,15),0)</f>
        <v/>
      </c>
      <c r="R995">
        <f>IFERROR(INDEX(PP_Grid[#Data],$DD995,16),0)</f>
        <v/>
      </c>
      <c r="S995">
        <f>IFERROR(INDEX(PP_Grid[#Data],$DD995,17),0)</f>
        <v/>
      </c>
      <c r="T995">
        <f>IFERROR(INDEX(PP_Grid[#Data],$DD995,18),0)</f>
        <v/>
      </c>
      <c r="U995">
        <f>IFERROR(INDEX(PP_Grid[#Data],$DD995,19),0)</f>
        <v/>
      </c>
      <c r="V995">
        <f>IFERROR(INDEX(PP_Grid[#Data],$DD995,20),0)</f>
        <v/>
      </c>
      <c r="W995">
        <f>IFERROR(INDEX(PP_Grid[#Data],$DD995,21),0)</f>
        <v/>
      </c>
      <c r="X995">
        <f>IFERROR(INDEX(PP_Grid[#Data],$DD995,22),0)</f>
        <v/>
      </c>
      <c r="Y995">
        <f>IFERROR(INDEX(PP_Grid[#Data],$DD995,23),0)</f>
        <v/>
      </c>
      <c r="Z995">
        <f>IFERROR(INDEX(PP_Grid[#Data],$DD995,24),0)</f>
        <v/>
      </c>
      <c r="AA995">
        <f>IFERROR(INDEX(PP_Grid[#Data],$DD995,25),0)</f>
        <v/>
      </c>
      <c r="AB995">
        <f>IFERROR(INDEX(PP_Grid[#Data],$DD995,26),0)</f>
        <v/>
      </c>
      <c r="AC995">
        <f>IFERROR(INDEX(PP_Grid[#Data],$DD995,27),0)</f>
        <v/>
      </c>
      <c r="AD995">
        <f>IFERROR(INDEX(PP_Grid[#Data],$DD995,28),0)</f>
        <v/>
      </c>
      <c r="AE995">
        <f>IFERROR(INDEX(PP_Grid[#Data],$DD995,29),0)</f>
        <v/>
      </c>
      <c r="AF995">
        <f>IFERROR(INDEX(PP_Grid[#Data],$DD995,30),0)</f>
        <v/>
      </c>
      <c r="AG995">
        <f>IFERROR(INDEX(PP_Grid[#Data],$DD995,31),0)</f>
        <v/>
      </c>
      <c r="AH995">
        <f>IFERROR(INDEX(PP_Grid[#Data],$DD995,32),0)</f>
        <v/>
      </c>
      <c r="AI995">
        <f>IFERROR(INDEX(PP_Grid[#Data],$DD995,33),0)</f>
        <v/>
      </c>
      <c r="AJ995">
        <f>IFERROR(INDEX(PP_Grid[#Data],$DD995,34),0)</f>
        <v/>
      </c>
      <c r="AK995">
        <f>IFERROR(INDEX(PP_Grid[#Data],$DD995,35),0)</f>
        <v/>
      </c>
      <c r="AL995">
        <f>IFERROR(INDEX(PP_Grid[#Data],$DD995,36),0)</f>
        <v/>
      </c>
      <c r="AM995">
        <f>IFERROR(INDEX(PP_Grid[#Data],$DD995,37),0)</f>
        <v/>
      </c>
      <c r="AN995">
        <f>IFERROR(INDEX(PP_Grid[#Data],$DD995,38),0)</f>
        <v/>
      </c>
      <c r="AO995">
        <f>IFERROR(INDEX(PP_Grid[#Data],$DD995,39),0)</f>
        <v/>
      </c>
      <c r="AP995">
        <f>IFERROR(INDEX(PP_Grid[#Data],$DD995,40),0)</f>
        <v/>
      </c>
      <c r="AQ995">
        <f>IFERROR(INDEX(PP_Grid[#Data],$DD995,41),0)</f>
        <v/>
      </c>
      <c r="AR995">
        <f>IFERROR(INDEX(PP_Grid[#Data],$DD995,42),0)</f>
        <v/>
      </c>
      <c r="AS995">
        <f>IFERROR(INDEX(PP_Grid[#Data],$DD995,43),0)</f>
        <v/>
      </c>
      <c r="AT995">
        <f>IFERROR(INDEX(PP_Grid[#Data],$DD995,44),0)</f>
        <v/>
      </c>
      <c r="AU995">
        <f>IFERROR(INDEX(PP_Grid[#Data],$DD995,45),0)</f>
        <v/>
      </c>
      <c r="AV995">
        <f>IFERROR(INDEX(PP_Grid[#Data],$DD995,46),0)</f>
        <v/>
      </c>
      <c r="AW995">
        <f>IFERROR(INDEX(PP_Grid[#Data],$DD995,47),0)</f>
        <v/>
      </c>
      <c r="AX995">
        <f>IFERROR(INDEX(PP_Grid[#Data],$DD995,48),0)</f>
        <v/>
      </c>
      <c r="AY995">
        <f>IFERROR(INDEX(PP_Grid[#Data],$DD995,49),0)</f>
        <v/>
      </c>
      <c r="AZ995">
        <f>IFERROR(INDEX(PP_Grid[#Data],$DD995,50),0)</f>
        <v/>
      </c>
      <c r="BA995">
        <f>IFERROR(INDEX(PP_Grid[#Data],$DD995,51),0)</f>
        <v/>
      </c>
      <c r="BB995">
        <f>IFERROR(INDEX(PP_Grid[#Data],$DD995,52),0)</f>
        <v/>
      </c>
      <c r="BC995">
        <f>IFERROR(INDEX(PP_Grid[#Data],$DD995,53),0)</f>
        <v/>
      </c>
      <c r="BD995">
        <f>IFERROR(INDEX(PP_Grid[#Data],$DD995,54),0)</f>
        <v/>
      </c>
      <c r="BE995">
        <f>IFERROR(INDEX(PP_Grid[#Data],$DD995,55),0)</f>
        <v/>
      </c>
      <c r="BF995">
        <f>IFERROR(INDEX(PP_Grid[#Data],$DD995,56),0)</f>
        <v/>
      </c>
      <c r="BG995">
        <f>IFERROR(INDEX(PP_Grid[#Data],$DD995,57),0)</f>
        <v/>
      </c>
      <c r="BH995">
        <f>IFERROR(INDEX(PP_Grid[#Data],$DD995,58),0)</f>
        <v/>
      </c>
      <c r="BI995">
        <f>IFERROR(INDEX(PP_Grid[#Data],$DD995,59),0)</f>
        <v/>
      </c>
      <c r="BJ995">
        <f>IFERROR(INDEX(PP_Grid[#Data],$DD995,60),0)</f>
        <v/>
      </c>
      <c r="BK995">
        <f>IFERROR(INDEX(PP_Grid[#Data],$DD995,61),0)</f>
        <v/>
      </c>
      <c r="BL995">
        <f>IFERROR(INDEX(PP_Grid[#Data],$DD995,62),0)</f>
        <v/>
      </c>
      <c r="BM995">
        <f>IFERROR(INDEX(PP_Grid[#Data],$DD995,63),0)</f>
        <v/>
      </c>
      <c r="BN995">
        <f>IFERROR(INDEX(PP_Grid[#Data],$DD995,64),0)</f>
        <v/>
      </c>
      <c r="BO995">
        <f>IFERROR(INDEX(PP_Grid[#Data],$DD995,65),0)</f>
        <v/>
      </c>
      <c r="BP995">
        <f>IFERROR(INDEX(PP_Grid[#Data],$DD995,66),0)</f>
        <v/>
      </c>
      <c r="BQ995">
        <f>IFERROR(INDEX(PP_Grid[#Data],$DD995,67),0)</f>
        <v/>
      </c>
      <c r="BR995">
        <f>IFERROR(INDEX(PP_Grid[#Data],$DD995,68),0)</f>
        <v/>
      </c>
      <c r="BS995">
        <f>IFERROR(INDEX(PP_Grid[#Data],$DD995,69),0)</f>
        <v/>
      </c>
      <c r="BT995">
        <f>IFERROR(INDEX(PP_Grid[#Data],$DD995,70),0)</f>
        <v/>
      </c>
      <c r="BU995">
        <f>IFERROR(INDEX(PP_Grid[#Data],$DD995,71),0)</f>
        <v/>
      </c>
      <c r="BV995">
        <f>IFERROR(INDEX(PP_Grid[#Data],$DD995,72),0)</f>
        <v/>
      </c>
      <c r="BW995">
        <f>IFERROR(INDEX(PP_Grid[#Data],$DD995,73),0)</f>
        <v/>
      </c>
      <c r="BX995">
        <f>IFERROR(INDEX(PP_Grid[#Data],$DD995,74),0)</f>
        <v/>
      </c>
      <c r="BY995">
        <f>IFERROR(INDEX(PP_Grid[#Data],$DD995,75),0)</f>
        <v/>
      </c>
      <c r="BZ995">
        <f>IFERROR(INDEX(PP_Grid[#Data],$DD995,76),0)</f>
        <v/>
      </c>
      <c r="CA995">
        <f>IFERROR(INDEX(PP_Grid[#Data],$DD995,77),0)</f>
        <v/>
      </c>
      <c r="CB995">
        <f>IFERROR(INDEX(PP_Grid[#Data],$DD995,78),0)</f>
        <v/>
      </c>
      <c r="CC995">
        <f>IFERROR(INDEX(PP_Grid[#Data],$DD995,79),0)</f>
        <v/>
      </c>
      <c r="CD995">
        <f>IFERROR(INDEX(PP_Grid[#Data],$DD995,80),0)</f>
        <v/>
      </c>
      <c r="CE995">
        <f>IFERROR(INDEX(PP_Grid[#Data],$DD995,81),0)</f>
        <v/>
      </c>
      <c r="CF995">
        <f>IFERROR(INDEX(PP_Grid[#Data],$DD995,82),0)</f>
        <v/>
      </c>
      <c r="CG995">
        <f>IFERROR(INDEX(PP_Grid[#Data],$DD995,83),0)</f>
        <v/>
      </c>
      <c r="CH995">
        <f>IFERROR(INDEX(PP_Grid[#Data],$DD995,84),0)</f>
        <v/>
      </c>
      <c r="CI995">
        <f>IFERROR(INDEX(PP_Grid[#Data],$DD995,85),0)</f>
        <v/>
      </c>
      <c r="CJ995">
        <f>IFERROR(INDEX(PP_Grid[#Data],$DD995,86),0)</f>
        <v/>
      </c>
      <c r="CK995">
        <f>IFERROR(INDEX(PP_Grid[#Data],$DD995,87),0)</f>
        <v/>
      </c>
      <c r="CL995">
        <f>IFERROR(INDEX(PP_Grid[#Data],$DD995,88),0)</f>
        <v/>
      </c>
      <c r="CM995">
        <f>IFERROR(INDEX(PP_Grid[#Data],$DD995,89),0)</f>
        <v/>
      </c>
      <c r="CN995">
        <f>IFERROR(INDEX(PP_Grid[#Data],$DD995,90),0)</f>
        <v/>
      </c>
      <c r="CO995">
        <f>IFERROR(INDEX(PP_Grid[#Data],$DD995,91),0)</f>
        <v/>
      </c>
      <c r="CP995">
        <f>IFERROR(INDEX(PP_Grid[#Data],$DD995,92),0)</f>
        <v/>
      </c>
      <c r="CQ995">
        <f>IFERROR(INDEX(PP_Grid[#Data],$DD995,93),0)</f>
        <v/>
      </c>
      <c r="CR995">
        <f>IFERROR(INDEX(PP_Grid[#Data],$DD995,94),0)</f>
        <v/>
      </c>
      <c r="CS995">
        <f>IFERROR(INDEX(PP_Grid[#Data],$DD995,95),0)</f>
        <v/>
      </c>
      <c r="CT995">
        <f>IFERROR(INDEX(PP_Grid[#Data],$DD995,96),0)</f>
        <v/>
      </c>
      <c r="CU995">
        <f>IFERROR(INDEX(PP_Grid[#Data],$DD995,97),0)</f>
        <v/>
      </c>
      <c r="CV995">
        <f>IFERROR(INDEX(PP_Grid[#Data],$DD995,98),0)</f>
        <v/>
      </c>
      <c r="CW995">
        <f>IFERROR(INDEX(PP_Grid[#Data],$DD995,99),0)</f>
        <v/>
      </c>
      <c r="CX995">
        <f>IFERROR(INDEX(PP_Grid[#Data],$DD995,100),0)</f>
        <v/>
      </c>
      <c r="CY995">
        <f>IFERROR(INDEX(PP_Grid[#Data],$DD995,101),0)</f>
        <v/>
      </c>
      <c r="CZ995">
        <f>IFERROR(INDEX(PP_Grid[#Data],$DD995,102),0)</f>
        <v/>
      </c>
      <c r="DA995">
        <f>IFERROR(INDEX(PP_Grid[#Data],$DD995,103),0)</f>
        <v/>
      </c>
      <c r="DB995">
        <f>IFERROR(INDEX(PP_Grid[#Data],$DD995,104),0)</f>
        <v/>
      </c>
      <c r="DC995">
        <f>IFERROR(INDEX(PP_Grid[#Data],$DD995,105),0)</f>
        <v/>
      </c>
      <c r="DD995" s="12">
        <f>IFERROR(MATCH($B995,PP_Grid[Intermediate],0),99999)</f>
        <v/>
      </c>
    </row>
    <row r="996">
      <c r="B996" t="inlineStr">
        <is>
          <t>使用量(kg)</t>
        </is>
      </c>
      <c r="C996">
        <f>SUMIFS(M_BOM[RM_Qty_Per_Batch],M_BOM[Intermediate],$B995,M_BOM[Part Name],$A988)</f>
        <v/>
      </c>
      <c r="D996">
        <f>$C996*D995</f>
        <v/>
      </c>
      <c r="E996">
        <f>$C996*E995</f>
        <v/>
      </c>
      <c r="F996">
        <f>$C996*F995</f>
        <v/>
      </c>
      <c r="G996">
        <f>$C996*G995</f>
        <v/>
      </c>
      <c r="H996">
        <f>$C996*H995</f>
        <v/>
      </c>
      <c r="I996">
        <f>$C996*I995</f>
        <v/>
      </c>
      <c r="J996">
        <f>$C996*J995</f>
        <v/>
      </c>
      <c r="K996">
        <f>$C996*K995</f>
        <v/>
      </c>
      <c r="L996">
        <f>$C996*L995</f>
        <v/>
      </c>
      <c r="M996">
        <f>$C996*M995</f>
        <v/>
      </c>
      <c r="N996">
        <f>$C996*N995</f>
        <v/>
      </c>
      <c r="O996">
        <f>$C996*O995</f>
        <v/>
      </c>
      <c r="P996">
        <f>$C996*P995</f>
        <v/>
      </c>
      <c r="Q996">
        <f>$C996*Q995</f>
        <v/>
      </c>
      <c r="R996">
        <f>$C996*R995</f>
        <v/>
      </c>
      <c r="S996">
        <f>$C996*S995</f>
        <v/>
      </c>
      <c r="T996">
        <f>$C996*T995</f>
        <v/>
      </c>
      <c r="U996">
        <f>$C996*U995</f>
        <v/>
      </c>
      <c r="V996">
        <f>$C996*V995</f>
        <v/>
      </c>
      <c r="W996">
        <f>$C996*W995</f>
        <v/>
      </c>
      <c r="X996">
        <f>$C996*X995</f>
        <v/>
      </c>
      <c r="Y996">
        <f>$C996*Y995</f>
        <v/>
      </c>
      <c r="Z996">
        <f>$C996*Z995</f>
        <v/>
      </c>
      <c r="AA996">
        <f>$C996*AA995</f>
        <v/>
      </c>
      <c r="AB996">
        <f>$C996*AB995</f>
        <v/>
      </c>
      <c r="AC996">
        <f>$C996*AC995</f>
        <v/>
      </c>
      <c r="AD996">
        <f>$C996*AD995</f>
        <v/>
      </c>
      <c r="AE996">
        <f>$C996*AE995</f>
        <v/>
      </c>
      <c r="AF996">
        <f>$C996*AF995</f>
        <v/>
      </c>
      <c r="AG996">
        <f>$C996*AG995</f>
        <v/>
      </c>
      <c r="AH996">
        <f>$C996*AH995</f>
        <v/>
      </c>
      <c r="AI996">
        <f>$C996*AI995</f>
        <v/>
      </c>
      <c r="AJ996">
        <f>$C996*AJ995</f>
        <v/>
      </c>
      <c r="AK996">
        <f>$C996*AK995</f>
        <v/>
      </c>
      <c r="AL996">
        <f>$C996*AL995</f>
        <v/>
      </c>
      <c r="AM996">
        <f>$C996*AM995</f>
        <v/>
      </c>
      <c r="AN996">
        <f>$C996*AN995</f>
        <v/>
      </c>
      <c r="AO996">
        <f>$C996*AO995</f>
        <v/>
      </c>
      <c r="AP996">
        <f>$C996*AP995</f>
        <v/>
      </c>
      <c r="AQ996">
        <f>$C996*AQ995</f>
        <v/>
      </c>
      <c r="AR996">
        <f>$C996*AR995</f>
        <v/>
      </c>
      <c r="AS996">
        <f>$C996*AS995</f>
        <v/>
      </c>
      <c r="AT996">
        <f>$C996*AT995</f>
        <v/>
      </c>
      <c r="AU996">
        <f>$C996*AU995</f>
        <v/>
      </c>
      <c r="AV996">
        <f>$C996*AV995</f>
        <v/>
      </c>
      <c r="AW996">
        <f>$C996*AW995</f>
        <v/>
      </c>
      <c r="AX996">
        <f>$C996*AX995</f>
        <v/>
      </c>
      <c r="AY996">
        <f>$C996*AY995</f>
        <v/>
      </c>
      <c r="AZ996">
        <f>$C996*AZ995</f>
        <v/>
      </c>
      <c r="BA996">
        <f>$C996*BA995</f>
        <v/>
      </c>
      <c r="BB996">
        <f>$C996*BB995</f>
        <v/>
      </c>
      <c r="BC996">
        <f>$C996*BC995</f>
        <v/>
      </c>
      <c r="BD996">
        <f>$C996*BD995</f>
        <v/>
      </c>
      <c r="BE996">
        <f>$C996*BE995</f>
        <v/>
      </c>
      <c r="BF996">
        <f>$C996*BF995</f>
        <v/>
      </c>
      <c r="BG996">
        <f>$C996*BG995</f>
        <v/>
      </c>
      <c r="BH996">
        <f>$C996*BH995</f>
        <v/>
      </c>
      <c r="BI996">
        <f>$C996*BI995</f>
        <v/>
      </c>
      <c r="BJ996">
        <f>$C996*BJ995</f>
        <v/>
      </c>
      <c r="BK996">
        <f>$C996*BK995</f>
        <v/>
      </c>
      <c r="BL996">
        <f>$C996*BL995</f>
        <v/>
      </c>
      <c r="BM996">
        <f>$C996*BM995</f>
        <v/>
      </c>
      <c r="BN996">
        <f>$C996*BN995</f>
        <v/>
      </c>
      <c r="BO996">
        <f>$C996*BO995</f>
        <v/>
      </c>
      <c r="BP996">
        <f>$C996*BP995</f>
        <v/>
      </c>
      <c r="BQ996">
        <f>$C996*BQ995</f>
        <v/>
      </c>
      <c r="BR996">
        <f>$C996*BR995</f>
        <v/>
      </c>
      <c r="BS996">
        <f>$C996*BS995</f>
        <v/>
      </c>
      <c r="BT996">
        <f>$C996*BT995</f>
        <v/>
      </c>
      <c r="BU996">
        <f>$C996*BU995</f>
        <v/>
      </c>
      <c r="BV996">
        <f>$C996*BV995</f>
        <v/>
      </c>
      <c r="BW996">
        <f>$C996*BW995</f>
        <v/>
      </c>
      <c r="BX996">
        <f>$C996*BX995</f>
        <v/>
      </c>
      <c r="BY996">
        <f>$C996*BY995</f>
        <v/>
      </c>
      <c r="BZ996">
        <f>$C996*BZ995</f>
        <v/>
      </c>
      <c r="CA996">
        <f>$C996*CA995</f>
        <v/>
      </c>
      <c r="CB996">
        <f>$C996*CB995</f>
        <v/>
      </c>
      <c r="CC996">
        <f>$C996*CC995</f>
        <v/>
      </c>
      <c r="CD996">
        <f>$C996*CD995</f>
        <v/>
      </c>
      <c r="CE996">
        <f>$C996*CE995</f>
        <v/>
      </c>
      <c r="CF996">
        <f>$C996*CF995</f>
        <v/>
      </c>
      <c r="CG996">
        <f>$C996*CG995</f>
        <v/>
      </c>
      <c r="CH996">
        <f>$C996*CH995</f>
        <v/>
      </c>
      <c r="CI996">
        <f>$C996*CI995</f>
        <v/>
      </c>
      <c r="CJ996">
        <f>$C996*CJ995</f>
        <v/>
      </c>
      <c r="CK996">
        <f>$C996*CK995</f>
        <v/>
      </c>
      <c r="CL996">
        <f>$C996*CL995</f>
        <v/>
      </c>
      <c r="CM996">
        <f>$C996*CM995</f>
        <v/>
      </c>
      <c r="CN996">
        <f>$C996*CN995</f>
        <v/>
      </c>
      <c r="CO996">
        <f>$C996*CO995</f>
        <v/>
      </c>
      <c r="CP996">
        <f>$C996*CP995</f>
        <v/>
      </c>
      <c r="CQ996">
        <f>$C996*CQ995</f>
        <v/>
      </c>
      <c r="CR996">
        <f>$C996*CR995</f>
        <v/>
      </c>
      <c r="CS996">
        <f>$C996*CS995</f>
        <v/>
      </c>
      <c r="CT996">
        <f>$C996*CT995</f>
        <v/>
      </c>
      <c r="CU996">
        <f>$C996*CU995</f>
        <v/>
      </c>
      <c r="CV996">
        <f>$C996*CV995</f>
        <v/>
      </c>
      <c r="CW996">
        <f>$C996*CW995</f>
        <v/>
      </c>
      <c r="CX996">
        <f>$C996*CX995</f>
        <v/>
      </c>
      <c r="CY996">
        <f>$C996*CY995</f>
        <v/>
      </c>
      <c r="CZ996">
        <f>$C996*CZ995</f>
        <v/>
      </c>
      <c r="DA996">
        <f>$C996*DA995</f>
        <v/>
      </c>
      <c r="DB996">
        <f>$C996*DB995</f>
        <v/>
      </c>
      <c r="DC996">
        <f>$C996*DC995</f>
        <v/>
      </c>
    </row>
    <row r="997">
      <c r="B997" t="inlineStr">
        <is>
          <t>TSP-1449</t>
        </is>
      </c>
      <c r="C997" t="inlineStr">
        <is>
          <t>No. of batches</t>
        </is>
      </c>
      <c r="D997">
        <f>IFERROR(INDEX(PP_Grid[#Data],$DD997,2),0)</f>
        <v/>
      </c>
      <c r="E997">
        <f>IFERROR(INDEX(PP_Grid[#Data],$DD997,3),0)</f>
        <v/>
      </c>
      <c r="F997">
        <f>IFERROR(INDEX(PP_Grid[#Data],$DD997,4),0)</f>
        <v/>
      </c>
      <c r="G997">
        <f>IFERROR(INDEX(PP_Grid[#Data],$DD997,5),0)</f>
        <v/>
      </c>
      <c r="H997">
        <f>IFERROR(INDEX(PP_Grid[#Data],$DD997,6),0)</f>
        <v/>
      </c>
      <c r="I997">
        <f>IFERROR(INDEX(PP_Grid[#Data],$DD997,7),0)</f>
        <v/>
      </c>
      <c r="J997">
        <f>IFERROR(INDEX(PP_Grid[#Data],$DD997,8),0)</f>
        <v/>
      </c>
      <c r="K997">
        <f>IFERROR(INDEX(PP_Grid[#Data],$DD997,9),0)</f>
        <v/>
      </c>
      <c r="L997">
        <f>IFERROR(INDEX(PP_Grid[#Data],$DD997,10),0)</f>
        <v/>
      </c>
      <c r="M997">
        <f>IFERROR(INDEX(PP_Grid[#Data],$DD997,11),0)</f>
        <v/>
      </c>
      <c r="N997">
        <f>IFERROR(INDEX(PP_Grid[#Data],$DD997,12),0)</f>
        <v/>
      </c>
      <c r="O997">
        <f>IFERROR(INDEX(PP_Grid[#Data],$DD997,13),0)</f>
        <v/>
      </c>
      <c r="P997">
        <f>IFERROR(INDEX(PP_Grid[#Data],$DD997,14),0)</f>
        <v/>
      </c>
      <c r="Q997">
        <f>IFERROR(INDEX(PP_Grid[#Data],$DD997,15),0)</f>
        <v/>
      </c>
      <c r="R997">
        <f>IFERROR(INDEX(PP_Grid[#Data],$DD997,16),0)</f>
        <v/>
      </c>
      <c r="S997">
        <f>IFERROR(INDEX(PP_Grid[#Data],$DD997,17),0)</f>
        <v/>
      </c>
      <c r="T997">
        <f>IFERROR(INDEX(PP_Grid[#Data],$DD997,18),0)</f>
        <v/>
      </c>
      <c r="U997">
        <f>IFERROR(INDEX(PP_Grid[#Data],$DD997,19),0)</f>
        <v/>
      </c>
      <c r="V997">
        <f>IFERROR(INDEX(PP_Grid[#Data],$DD997,20),0)</f>
        <v/>
      </c>
      <c r="W997">
        <f>IFERROR(INDEX(PP_Grid[#Data],$DD997,21),0)</f>
        <v/>
      </c>
      <c r="X997">
        <f>IFERROR(INDEX(PP_Grid[#Data],$DD997,22),0)</f>
        <v/>
      </c>
      <c r="Y997">
        <f>IFERROR(INDEX(PP_Grid[#Data],$DD997,23),0)</f>
        <v/>
      </c>
      <c r="Z997">
        <f>IFERROR(INDEX(PP_Grid[#Data],$DD997,24),0)</f>
        <v/>
      </c>
      <c r="AA997">
        <f>IFERROR(INDEX(PP_Grid[#Data],$DD997,25),0)</f>
        <v/>
      </c>
      <c r="AB997">
        <f>IFERROR(INDEX(PP_Grid[#Data],$DD997,26),0)</f>
        <v/>
      </c>
      <c r="AC997">
        <f>IFERROR(INDEX(PP_Grid[#Data],$DD997,27),0)</f>
        <v/>
      </c>
      <c r="AD997">
        <f>IFERROR(INDEX(PP_Grid[#Data],$DD997,28),0)</f>
        <v/>
      </c>
      <c r="AE997">
        <f>IFERROR(INDEX(PP_Grid[#Data],$DD997,29),0)</f>
        <v/>
      </c>
      <c r="AF997">
        <f>IFERROR(INDEX(PP_Grid[#Data],$DD997,30),0)</f>
        <v/>
      </c>
      <c r="AG997">
        <f>IFERROR(INDEX(PP_Grid[#Data],$DD997,31),0)</f>
        <v/>
      </c>
      <c r="AH997">
        <f>IFERROR(INDEX(PP_Grid[#Data],$DD997,32),0)</f>
        <v/>
      </c>
      <c r="AI997">
        <f>IFERROR(INDEX(PP_Grid[#Data],$DD997,33),0)</f>
        <v/>
      </c>
      <c r="AJ997">
        <f>IFERROR(INDEX(PP_Grid[#Data],$DD997,34),0)</f>
        <v/>
      </c>
      <c r="AK997">
        <f>IFERROR(INDEX(PP_Grid[#Data],$DD997,35),0)</f>
        <v/>
      </c>
      <c r="AL997">
        <f>IFERROR(INDEX(PP_Grid[#Data],$DD997,36),0)</f>
        <v/>
      </c>
      <c r="AM997">
        <f>IFERROR(INDEX(PP_Grid[#Data],$DD997,37),0)</f>
        <v/>
      </c>
      <c r="AN997">
        <f>IFERROR(INDEX(PP_Grid[#Data],$DD997,38),0)</f>
        <v/>
      </c>
      <c r="AO997">
        <f>IFERROR(INDEX(PP_Grid[#Data],$DD997,39),0)</f>
        <v/>
      </c>
      <c r="AP997">
        <f>IFERROR(INDEX(PP_Grid[#Data],$DD997,40),0)</f>
        <v/>
      </c>
      <c r="AQ997">
        <f>IFERROR(INDEX(PP_Grid[#Data],$DD997,41),0)</f>
        <v/>
      </c>
      <c r="AR997">
        <f>IFERROR(INDEX(PP_Grid[#Data],$DD997,42),0)</f>
        <v/>
      </c>
      <c r="AS997">
        <f>IFERROR(INDEX(PP_Grid[#Data],$DD997,43),0)</f>
        <v/>
      </c>
      <c r="AT997">
        <f>IFERROR(INDEX(PP_Grid[#Data],$DD997,44),0)</f>
        <v/>
      </c>
      <c r="AU997">
        <f>IFERROR(INDEX(PP_Grid[#Data],$DD997,45),0)</f>
        <v/>
      </c>
      <c r="AV997">
        <f>IFERROR(INDEX(PP_Grid[#Data],$DD997,46),0)</f>
        <v/>
      </c>
      <c r="AW997">
        <f>IFERROR(INDEX(PP_Grid[#Data],$DD997,47),0)</f>
        <v/>
      </c>
      <c r="AX997">
        <f>IFERROR(INDEX(PP_Grid[#Data],$DD997,48),0)</f>
        <v/>
      </c>
      <c r="AY997">
        <f>IFERROR(INDEX(PP_Grid[#Data],$DD997,49),0)</f>
        <v/>
      </c>
      <c r="AZ997">
        <f>IFERROR(INDEX(PP_Grid[#Data],$DD997,50),0)</f>
        <v/>
      </c>
      <c r="BA997">
        <f>IFERROR(INDEX(PP_Grid[#Data],$DD997,51),0)</f>
        <v/>
      </c>
      <c r="BB997">
        <f>IFERROR(INDEX(PP_Grid[#Data],$DD997,52),0)</f>
        <v/>
      </c>
      <c r="BC997">
        <f>IFERROR(INDEX(PP_Grid[#Data],$DD997,53),0)</f>
        <v/>
      </c>
      <c r="BD997">
        <f>IFERROR(INDEX(PP_Grid[#Data],$DD997,54),0)</f>
        <v/>
      </c>
      <c r="BE997">
        <f>IFERROR(INDEX(PP_Grid[#Data],$DD997,55),0)</f>
        <v/>
      </c>
      <c r="BF997">
        <f>IFERROR(INDEX(PP_Grid[#Data],$DD997,56),0)</f>
        <v/>
      </c>
      <c r="BG997">
        <f>IFERROR(INDEX(PP_Grid[#Data],$DD997,57),0)</f>
        <v/>
      </c>
      <c r="BH997">
        <f>IFERROR(INDEX(PP_Grid[#Data],$DD997,58),0)</f>
        <v/>
      </c>
      <c r="BI997">
        <f>IFERROR(INDEX(PP_Grid[#Data],$DD997,59),0)</f>
        <v/>
      </c>
      <c r="BJ997">
        <f>IFERROR(INDEX(PP_Grid[#Data],$DD997,60),0)</f>
        <v/>
      </c>
      <c r="BK997">
        <f>IFERROR(INDEX(PP_Grid[#Data],$DD997,61),0)</f>
        <v/>
      </c>
      <c r="BL997">
        <f>IFERROR(INDEX(PP_Grid[#Data],$DD997,62),0)</f>
        <v/>
      </c>
      <c r="BM997">
        <f>IFERROR(INDEX(PP_Grid[#Data],$DD997,63),0)</f>
        <v/>
      </c>
      <c r="BN997">
        <f>IFERROR(INDEX(PP_Grid[#Data],$DD997,64),0)</f>
        <v/>
      </c>
      <c r="BO997">
        <f>IFERROR(INDEX(PP_Grid[#Data],$DD997,65),0)</f>
        <v/>
      </c>
      <c r="BP997">
        <f>IFERROR(INDEX(PP_Grid[#Data],$DD997,66),0)</f>
        <v/>
      </c>
      <c r="BQ997">
        <f>IFERROR(INDEX(PP_Grid[#Data],$DD997,67),0)</f>
        <v/>
      </c>
      <c r="BR997">
        <f>IFERROR(INDEX(PP_Grid[#Data],$DD997,68),0)</f>
        <v/>
      </c>
      <c r="BS997">
        <f>IFERROR(INDEX(PP_Grid[#Data],$DD997,69),0)</f>
        <v/>
      </c>
      <c r="BT997">
        <f>IFERROR(INDEX(PP_Grid[#Data],$DD997,70),0)</f>
        <v/>
      </c>
      <c r="BU997">
        <f>IFERROR(INDEX(PP_Grid[#Data],$DD997,71),0)</f>
        <v/>
      </c>
      <c r="BV997">
        <f>IFERROR(INDEX(PP_Grid[#Data],$DD997,72),0)</f>
        <v/>
      </c>
      <c r="BW997">
        <f>IFERROR(INDEX(PP_Grid[#Data],$DD997,73),0)</f>
        <v/>
      </c>
      <c r="BX997">
        <f>IFERROR(INDEX(PP_Grid[#Data],$DD997,74),0)</f>
        <v/>
      </c>
      <c r="BY997">
        <f>IFERROR(INDEX(PP_Grid[#Data],$DD997,75),0)</f>
        <v/>
      </c>
      <c r="BZ997">
        <f>IFERROR(INDEX(PP_Grid[#Data],$DD997,76),0)</f>
        <v/>
      </c>
      <c r="CA997">
        <f>IFERROR(INDEX(PP_Grid[#Data],$DD997,77),0)</f>
        <v/>
      </c>
      <c r="CB997">
        <f>IFERROR(INDEX(PP_Grid[#Data],$DD997,78),0)</f>
        <v/>
      </c>
      <c r="CC997">
        <f>IFERROR(INDEX(PP_Grid[#Data],$DD997,79),0)</f>
        <v/>
      </c>
      <c r="CD997">
        <f>IFERROR(INDEX(PP_Grid[#Data],$DD997,80),0)</f>
        <v/>
      </c>
      <c r="CE997">
        <f>IFERROR(INDEX(PP_Grid[#Data],$DD997,81),0)</f>
        <v/>
      </c>
      <c r="CF997">
        <f>IFERROR(INDEX(PP_Grid[#Data],$DD997,82),0)</f>
        <v/>
      </c>
      <c r="CG997">
        <f>IFERROR(INDEX(PP_Grid[#Data],$DD997,83),0)</f>
        <v/>
      </c>
      <c r="CH997">
        <f>IFERROR(INDEX(PP_Grid[#Data],$DD997,84),0)</f>
        <v/>
      </c>
      <c r="CI997">
        <f>IFERROR(INDEX(PP_Grid[#Data],$DD997,85),0)</f>
        <v/>
      </c>
      <c r="CJ997">
        <f>IFERROR(INDEX(PP_Grid[#Data],$DD997,86),0)</f>
        <v/>
      </c>
      <c r="CK997">
        <f>IFERROR(INDEX(PP_Grid[#Data],$DD997,87),0)</f>
        <v/>
      </c>
      <c r="CL997">
        <f>IFERROR(INDEX(PP_Grid[#Data],$DD997,88),0)</f>
        <v/>
      </c>
      <c r="CM997">
        <f>IFERROR(INDEX(PP_Grid[#Data],$DD997,89),0)</f>
        <v/>
      </c>
      <c r="CN997">
        <f>IFERROR(INDEX(PP_Grid[#Data],$DD997,90),0)</f>
        <v/>
      </c>
      <c r="CO997">
        <f>IFERROR(INDEX(PP_Grid[#Data],$DD997,91),0)</f>
        <v/>
      </c>
      <c r="CP997">
        <f>IFERROR(INDEX(PP_Grid[#Data],$DD997,92),0)</f>
        <v/>
      </c>
      <c r="CQ997">
        <f>IFERROR(INDEX(PP_Grid[#Data],$DD997,93),0)</f>
        <v/>
      </c>
      <c r="CR997">
        <f>IFERROR(INDEX(PP_Grid[#Data],$DD997,94),0)</f>
        <v/>
      </c>
      <c r="CS997">
        <f>IFERROR(INDEX(PP_Grid[#Data],$DD997,95),0)</f>
        <v/>
      </c>
      <c r="CT997">
        <f>IFERROR(INDEX(PP_Grid[#Data],$DD997,96),0)</f>
        <v/>
      </c>
      <c r="CU997">
        <f>IFERROR(INDEX(PP_Grid[#Data],$DD997,97),0)</f>
        <v/>
      </c>
      <c r="CV997">
        <f>IFERROR(INDEX(PP_Grid[#Data],$DD997,98),0)</f>
        <v/>
      </c>
      <c r="CW997">
        <f>IFERROR(INDEX(PP_Grid[#Data],$DD997,99),0)</f>
        <v/>
      </c>
      <c r="CX997">
        <f>IFERROR(INDEX(PP_Grid[#Data],$DD997,100),0)</f>
        <v/>
      </c>
      <c r="CY997">
        <f>IFERROR(INDEX(PP_Grid[#Data],$DD997,101),0)</f>
        <v/>
      </c>
      <c r="CZ997">
        <f>IFERROR(INDEX(PP_Grid[#Data],$DD997,102),0)</f>
        <v/>
      </c>
      <c r="DA997">
        <f>IFERROR(INDEX(PP_Grid[#Data],$DD997,103),0)</f>
        <v/>
      </c>
      <c r="DB997">
        <f>IFERROR(INDEX(PP_Grid[#Data],$DD997,104),0)</f>
        <v/>
      </c>
      <c r="DC997">
        <f>IFERROR(INDEX(PP_Grid[#Data],$DD997,105),0)</f>
        <v/>
      </c>
      <c r="DD997" s="12">
        <f>IFERROR(MATCH($B997,PP_Grid[Intermediate],0),99999)</f>
        <v/>
      </c>
    </row>
    <row r="998">
      <c r="B998" t="inlineStr">
        <is>
          <t>使用量(kg)</t>
        </is>
      </c>
      <c r="C998">
        <f>SUMIFS(M_BOM[RM_Qty_Per_Batch],M_BOM[Intermediate],$B997,M_BOM[Part Name],$A988)</f>
        <v/>
      </c>
      <c r="D998">
        <f>$C998*D997</f>
        <v/>
      </c>
      <c r="E998">
        <f>$C998*E997</f>
        <v/>
      </c>
      <c r="F998">
        <f>$C998*F997</f>
        <v/>
      </c>
      <c r="G998">
        <f>$C998*G997</f>
        <v/>
      </c>
      <c r="H998">
        <f>$C998*H997</f>
        <v/>
      </c>
      <c r="I998">
        <f>$C998*I997</f>
        <v/>
      </c>
      <c r="J998">
        <f>$C998*J997</f>
        <v/>
      </c>
      <c r="K998">
        <f>$C998*K997</f>
        <v/>
      </c>
      <c r="L998">
        <f>$C998*L997</f>
        <v/>
      </c>
      <c r="M998">
        <f>$C998*M997</f>
        <v/>
      </c>
      <c r="N998">
        <f>$C998*N997</f>
        <v/>
      </c>
      <c r="O998">
        <f>$C998*O997</f>
        <v/>
      </c>
      <c r="P998">
        <f>$C998*P997</f>
        <v/>
      </c>
      <c r="Q998">
        <f>$C998*Q997</f>
        <v/>
      </c>
      <c r="R998">
        <f>$C998*R997</f>
        <v/>
      </c>
      <c r="S998">
        <f>$C998*S997</f>
        <v/>
      </c>
      <c r="T998">
        <f>$C998*T997</f>
        <v/>
      </c>
      <c r="U998">
        <f>$C998*U997</f>
        <v/>
      </c>
      <c r="V998">
        <f>$C998*V997</f>
        <v/>
      </c>
      <c r="W998">
        <f>$C998*W997</f>
        <v/>
      </c>
      <c r="X998">
        <f>$C998*X997</f>
        <v/>
      </c>
      <c r="Y998">
        <f>$C998*Y997</f>
        <v/>
      </c>
      <c r="Z998">
        <f>$C998*Z997</f>
        <v/>
      </c>
      <c r="AA998">
        <f>$C998*AA997</f>
        <v/>
      </c>
      <c r="AB998">
        <f>$C998*AB997</f>
        <v/>
      </c>
      <c r="AC998">
        <f>$C998*AC997</f>
        <v/>
      </c>
      <c r="AD998">
        <f>$C998*AD997</f>
        <v/>
      </c>
      <c r="AE998">
        <f>$C998*AE997</f>
        <v/>
      </c>
      <c r="AF998">
        <f>$C998*AF997</f>
        <v/>
      </c>
      <c r="AG998">
        <f>$C998*AG997</f>
        <v/>
      </c>
      <c r="AH998">
        <f>$C998*AH997</f>
        <v/>
      </c>
      <c r="AI998">
        <f>$C998*AI997</f>
        <v/>
      </c>
      <c r="AJ998">
        <f>$C998*AJ997</f>
        <v/>
      </c>
      <c r="AK998">
        <f>$C998*AK997</f>
        <v/>
      </c>
      <c r="AL998">
        <f>$C998*AL997</f>
        <v/>
      </c>
      <c r="AM998">
        <f>$C998*AM997</f>
        <v/>
      </c>
      <c r="AN998">
        <f>$C998*AN997</f>
        <v/>
      </c>
      <c r="AO998">
        <f>$C998*AO997</f>
        <v/>
      </c>
      <c r="AP998">
        <f>$C998*AP997</f>
        <v/>
      </c>
      <c r="AQ998">
        <f>$C998*AQ997</f>
        <v/>
      </c>
      <c r="AR998">
        <f>$C998*AR997</f>
        <v/>
      </c>
      <c r="AS998">
        <f>$C998*AS997</f>
        <v/>
      </c>
      <c r="AT998">
        <f>$C998*AT997</f>
        <v/>
      </c>
      <c r="AU998">
        <f>$C998*AU997</f>
        <v/>
      </c>
      <c r="AV998">
        <f>$C998*AV997</f>
        <v/>
      </c>
      <c r="AW998">
        <f>$C998*AW997</f>
        <v/>
      </c>
      <c r="AX998">
        <f>$C998*AX997</f>
        <v/>
      </c>
      <c r="AY998">
        <f>$C998*AY997</f>
        <v/>
      </c>
      <c r="AZ998">
        <f>$C998*AZ997</f>
        <v/>
      </c>
      <c r="BA998">
        <f>$C998*BA997</f>
        <v/>
      </c>
      <c r="BB998">
        <f>$C998*BB997</f>
        <v/>
      </c>
      <c r="BC998">
        <f>$C998*BC997</f>
        <v/>
      </c>
      <c r="BD998">
        <f>$C998*BD997</f>
        <v/>
      </c>
      <c r="BE998">
        <f>$C998*BE997</f>
        <v/>
      </c>
      <c r="BF998">
        <f>$C998*BF997</f>
        <v/>
      </c>
      <c r="BG998">
        <f>$C998*BG997</f>
        <v/>
      </c>
      <c r="BH998">
        <f>$C998*BH997</f>
        <v/>
      </c>
      <c r="BI998">
        <f>$C998*BI997</f>
        <v/>
      </c>
      <c r="BJ998">
        <f>$C998*BJ997</f>
        <v/>
      </c>
      <c r="BK998">
        <f>$C998*BK997</f>
        <v/>
      </c>
      <c r="BL998">
        <f>$C998*BL997</f>
        <v/>
      </c>
      <c r="BM998">
        <f>$C998*BM997</f>
        <v/>
      </c>
      <c r="BN998">
        <f>$C998*BN997</f>
        <v/>
      </c>
      <c r="BO998">
        <f>$C998*BO997</f>
        <v/>
      </c>
      <c r="BP998">
        <f>$C998*BP997</f>
        <v/>
      </c>
      <c r="BQ998">
        <f>$C998*BQ997</f>
        <v/>
      </c>
      <c r="BR998">
        <f>$C998*BR997</f>
        <v/>
      </c>
      <c r="BS998">
        <f>$C998*BS997</f>
        <v/>
      </c>
      <c r="BT998">
        <f>$C998*BT997</f>
        <v/>
      </c>
      <c r="BU998">
        <f>$C998*BU997</f>
        <v/>
      </c>
      <c r="BV998">
        <f>$C998*BV997</f>
        <v/>
      </c>
      <c r="BW998">
        <f>$C998*BW997</f>
        <v/>
      </c>
      <c r="BX998">
        <f>$C998*BX997</f>
        <v/>
      </c>
      <c r="BY998">
        <f>$C998*BY997</f>
        <v/>
      </c>
      <c r="BZ998">
        <f>$C998*BZ997</f>
        <v/>
      </c>
      <c r="CA998">
        <f>$C998*CA997</f>
        <v/>
      </c>
      <c r="CB998">
        <f>$C998*CB997</f>
        <v/>
      </c>
      <c r="CC998">
        <f>$C998*CC997</f>
        <v/>
      </c>
      <c r="CD998">
        <f>$C998*CD997</f>
        <v/>
      </c>
      <c r="CE998">
        <f>$C998*CE997</f>
        <v/>
      </c>
      <c r="CF998">
        <f>$C998*CF997</f>
        <v/>
      </c>
      <c r="CG998">
        <f>$C998*CG997</f>
        <v/>
      </c>
      <c r="CH998">
        <f>$C998*CH997</f>
        <v/>
      </c>
      <c r="CI998">
        <f>$C998*CI997</f>
        <v/>
      </c>
      <c r="CJ998">
        <f>$C998*CJ997</f>
        <v/>
      </c>
      <c r="CK998">
        <f>$C998*CK997</f>
        <v/>
      </c>
      <c r="CL998">
        <f>$C998*CL997</f>
        <v/>
      </c>
      <c r="CM998">
        <f>$C998*CM997</f>
        <v/>
      </c>
      <c r="CN998">
        <f>$C998*CN997</f>
        <v/>
      </c>
      <c r="CO998">
        <f>$C998*CO997</f>
        <v/>
      </c>
      <c r="CP998">
        <f>$C998*CP997</f>
        <v/>
      </c>
      <c r="CQ998">
        <f>$C998*CQ997</f>
        <v/>
      </c>
      <c r="CR998">
        <f>$C998*CR997</f>
        <v/>
      </c>
      <c r="CS998">
        <f>$C998*CS997</f>
        <v/>
      </c>
      <c r="CT998">
        <f>$C998*CT997</f>
        <v/>
      </c>
      <c r="CU998">
        <f>$C998*CU997</f>
        <v/>
      </c>
      <c r="CV998">
        <f>$C998*CV997</f>
        <v/>
      </c>
      <c r="CW998">
        <f>$C998*CW997</f>
        <v/>
      </c>
      <c r="CX998">
        <f>$C998*CX997</f>
        <v/>
      </c>
      <c r="CY998">
        <f>$C998*CY997</f>
        <v/>
      </c>
      <c r="CZ998">
        <f>$C998*CZ997</f>
        <v/>
      </c>
      <c r="DA998">
        <f>$C998*DA997</f>
        <v/>
      </c>
      <c r="DB998">
        <f>$C998*DB997</f>
        <v/>
      </c>
      <c r="DC998">
        <f>$C998*DC997</f>
        <v/>
      </c>
    </row>
    <row r="999">
      <c r="B999" t="inlineStr">
        <is>
          <t>TSP-558</t>
        </is>
      </c>
      <c r="C999" t="inlineStr">
        <is>
          <t>No. of batches</t>
        </is>
      </c>
      <c r="D999">
        <f>IFERROR(INDEX(PP_Grid[#Data],$DD999,2),0)</f>
        <v/>
      </c>
      <c r="E999">
        <f>IFERROR(INDEX(PP_Grid[#Data],$DD999,3),0)</f>
        <v/>
      </c>
      <c r="F999">
        <f>IFERROR(INDEX(PP_Grid[#Data],$DD999,4),0)</f>
        <v/>
      </c>
      <c r="G999">
        <f>IFERROR(INDEX(PP_Grid[#Data],$DD999,5),0)</f>
        <v/>
      </c>
      <c r="H999">
        <f>IFERROR(INDEX(PP_Grid[#Data],$DD999,6),0)</f>
        <v/>
      </c>
      <c r="I999">
        <f>IFERROR(INDEX(PP_Grid[#Data],$DD999,7),0)</f>
        <v/>
      </c>
      <c r="J999">
        <f>IFERROR(INDEX(PP_Grid[#Data],$DD999,8),0)</f>
        <v/>
      </c>
      <c r="K999">
        <f>IFERROR(INDEX(PP_Grid[#Data],$DD999,9),0)</f>
        <v/>
      </c>
      <c r="L999">
        <f>IFERROR(INDEX(PP_Grid[#Data],$DD999,10),0)</f>
        <v/>
      </c>
      <c r="M999">
        <f>IFERROR(INDEX(PP_Grid[#Data],$DD999,11),0)</f>
        <v/>
      </c>
      <c r="N999">
        <f>IFERROR(INDEX(PP_Grid[#Data],$DD999,12),0)</f>
        <v/>
      </c>
      <c r="O999">
        <f>IFERROR(INDEX(PP_Grid[#Data],$DD999,13),0)</f>
        <v/>
      </c>
      <c r="P999">
        <f>IFERROR(INDEX(PP_Grid[#Data],$DD999,14),0)</f>
        <v/>
      </c>
      <c r="Q999">
        <f>IFERROR(INDEX(PP_Grid[#Data],$DD999,15),0)</f>
        <v/>
      </c>
      <c r="R999">
        <f>IFERROR(INDEX(PP_Grid[#Data],$DD999,16),0)</f>
        <v/>
      </c>
      <c r="S999">
        <f>IFERROR(INDEX(PP_Grid[#Data],$DD999,17),0)</f>
        <v/>
      </c>
      <c r="T999">
        <f>IFERROR(INDEX(PP_Grid[#Data],$DD999,18),0)</f>
        <v/>
      </c>
      <c r="U999">
        <f>IFERROR(INDEX(PP_Grid[#Data],$DD999,19),0)</f>
        <v/>
      </c>
      <c r="V999">
        <f>IFERROR(INDEX(PP_Grid[#Data],$DD999,20),0)</f>
        <v/>
      </c>
      <c r="W999">
        <f>IFERROR(INDEX(PP_Grid[#Data],$DD999,21),0)</f>
        <v/>
      </c>
      <c r="X999">
        <f>IFERROR(INDEX(PP_Grid[#Data],$DD999,22),0)</f>
        <v/>
      </c>
      <c r="Y999">
        <f>IFERROR(INDEX(PP_Grid[#Data],$DD999,23),0)</f>
        <v/>
      </c>
      <c r="Z999">
        <f>IFERROR(INDEX(PP_Grid[#Data],$DD999,24),0)</f>
        <v/>
      </c>
      <c r="AA999">
        <f>IFERROR(INDEX(PP_Grid[#Data],$DD999,25),0)</f>
        <v/>
      </c>
      <c r="AB999">
        <f>IFERROR(INDEX(PP_Grid[#Data],$DD999,26),0)</f>
        <v/>
      </c>
      <c r="AC999">
        <f>IFERROR(INDEX(PP_Grid[#Data],$DD999,27),0)</f>
        <v/>
      </c>
      <c r="AD999">
        <f>IFERROR(INDEX(PP_Grid[#Data],$DD999,28),0)</f>
        <v/>
      </c>
      <c r="AE999">
        <f>IFERROR(INDEX(PP_Grid[#Data],$DD999,29),0)</f>
        <v/>
      </c>
      <c r="AF999">
        <f>IFERROR(INDEX(PP_Grid[#Data],$DD999,30),0)</f>
        <v/>
      </c>
      <c r="AG999">
        <f>IFERROR(INDEX(PP_Grid[#Data],$DD999,31),0)</f>
        <v/>
      </c>
      <c r="AH999">
        <f>IFERROR(INDEX(PP_Grid[#Data],$DD999,32),0)</f>
        <v/>
      </c>
      <c r="AI999">
        <f>IFERROR(INDEX(PP_Grid[#Data],$DD999,33),0)</f>
        <v/>
      </c>
      <c r="AJ999">
        <f>IFERROR(INDEX(PP_Grid[#Data],$DD999,34),0)</f>
        <v/>
      </c>
      <c r="AK999">
        <f>IFERROR(INDEX(PP_Grid[#Data],$DD999,35),0)</f>
        <v/>
      </c>
      <c r="AL999">
        <f>IFERROR(INDEX(PP_Grid[#Data],$DD999,36),0)</f>
        <v/>
      </c>
      <c r="AM999">
        <f>IFERROR(INDEX(PP_Grid[#Data],$DD999,37),0)</f>
        <v/>
      </c>
      <c r="AN999">
        <f>IFERROR(INDEX(PP_Grid[#Data],$DD999,38),0)</f>
        <v/>
      </c>
      <c r="AO999">
        <f>IFERROR(INDEX(PP_Grid[#Data],$DD999,39),0)</f>
        <v/>
      </c>
      <c r="AP999">
        <f>IFERROR(INDEX(PP_Grid[#Data],$DD999,40),0)</f>
        <v/>
      </c>
      <c r="AQ999">
        <f>IFERROR(INDEX(PP_Grid[#Data],$DD999,41),0)</f>
        <v/>
      </c>
      <c r="AR999">
        <f>IFERROR(INDEX(PP_Grid[#Data],$DD999,42),0)</f>
        <v/>
      </c>
      <c r="AS999">
        <f>IFERROR(INDEX(PP_Grid[#Data],$DD999,43),0)</f>
        <v/>
      </c>
      <c r="AT999">
        <f>IFERROR(INDEX(PP_Grid[#Data],$DD999,44),0)</f>
        <v/>
      </c>
      <c r="AU999">
        <f>IFERROR(INDEX(PP_Grid[#Data],$DD999,45),0)</f>
        <v/>
      </c>
      <c r="AV999">
        <f>IFERROR(INDEX(PP_Grid[#Data],$DD999,46),0)</f>
        <v/>
      </c>
      <c r="AW999">
        <f>IFERROR(INDEX(PP_Grid[#Data],$DD999,47),0)</f>
        <v/>
      </c>
      <c r="AX999">
        <f>IFERROR(INDEX(PP_Grid[#Data],$DD999,48),0)</f>
        <v/>
      </c>
      <c r="AY999">
        <f>IFERROR(INDEX(PP_Grid[#Data],$DD999,49),0)</f>
        <v/>
      </c>
      <c r="AZ999">
        <f>IFERROR(INDEX(PP_Grid[#Data],$DD999,50),0)</f>
        <v/>
      </c>
      <c r="BA999">
        <f>IFERROR(INDEX(PP_Grid[#Data],$DD999,51),0)</f>
        <v/>
      </c>
      <c r="BB999">
        <f>IFERROR(INDEX(PP_Grid[#Data],$DD999,52),0)</f>
        <v/>
      </c>
      <c r="BC999">
        <f>IFERROR(INDEX(PP_Grid[#Data],$DD999,53),0)</f>
        <v/>
      </c>
      <c r="BD999">
        <f>IFERROR(INDEX(PP_Grid[#Data],$DD999,54),0)</f>
        <v/>
      </c>
      <c r="BE999">
        <f>IFERROR(INDEX(PP_Grid[#Data],$DD999,55),0)</f>
        <v/>
      </c>
      <c r="BF999">
        <f>IFERROR(INDEX(PP_Grid[#Data],$DD999,56),0)</f>
        <v/>
      </c>
      <c r="BG999">
        <f>IFERROR(INDEX(PP_Grid[#Data],$DD999,57),0)</f>
        <v/>
      </c>
      <c r="BH999">
        <f>IFERROR(INDEX(PP_Grid[#Data],$DD999,58),0)</f>
        <v/>
      </c>
      <c r="BI999">
        <f>IFERROR(INDEX(PP_Grid[#Data],$DD999,59),0)</f>
        <v/>
      </c>
      <c r="BJ999">
        <f>IFERROR(INDEX(PP_Grid[#Data],$DD999,60),0)</f>
        <v/>
      </c>
      <c r="BK999">
        <f>IFERROR(INDEX(PP_Grid[#Data],$DD999,61),0)</f>
        <v/>
      </c>
      <c r="BL999">
        <f>IFERROR(INDEX(PP_Grid[#Data],$DD999,62),0)</f>
        <v/>
      </c>
      <c r="BM999">
        <f>IFERROR(INDEX(PP_Grid[#Data],$DD999,63),0)</f>
        <v/>
      </c>
      <c r="BN999">
        <f>IFERROR(INDEX(PP_Grid[#Data],$DD999,64),0)</f>
        <v/>
      </c>
      <c r="BO999">
        <f>IFERROR(INDEX(PP_Grid[#Data],$DD999,65),0)</f>
        <v/>
      </c>
      <c r="BP999">
        <f>IFERROR(INDEX(PP_Grid[#Data],$DD999,66),0)</f>
        <v/>
      </c>
      <c r="BQ999">
        <f>IFERROR(INDEX(PP_Grid[#Data],$DD999,67),0)</f>
        <v/>
      </c>
      <c r="BR999">
        <f>IFERROR(INDEX(PP_Grid[#Data],$DD999,68),0)</f>
        <v/>
      </c>
      <c r="BS999">
        <f>IFERROR(INDEX(PP_Grid[#Data],$DD999,69),0)</f>
        <v/>
      </c>
      <c r="BT999">
        <f>IFERROR(INDEX(PP_Grid[#Data],$DD999,70),0)</f>
        <v/>
      </c>
      <c r="BU999">
        <f>IFERROR(INDEX(PP_Grid[#Data],$DD999,71),0)</f>
        <v/>
      </c>
      <c r="BV999">
        <f>IFERROR(INDEX(PP_Grid[#Data],$DD999,72),0)</f>
        <v/>
      </c>
      <c r="BW999">
        <f>IFERROR(INDEX(PP_Grid[#Data],$DD999,73),0)</f>
        <v/>
      </c>
      <c r="BX999">
        <f>IFERROR(INDEX(PP_Grid[#Data],$DD999,74),0)</f>
        <v/>
      </c>
      <c r="BY999">
        <f>IFERROR(INDEX(PP_Grid[#Data],$DD999,75),0)</f>
        <v/>
      </c>
      <c r="BZ999">
        <f>IFERROR(INDEX(PP_Grid[#Data],$DD999,76),0)</f>
        <v/>
      </c>
      <c r="CA999">
        <f>IFERROR(INDEX(PP_Grid[#Data],$DD999,77),0)</f>
        <v/>
      </c>
      <c r="CB999">
        <f>IFERROR(INDEX(PP_Grid[#Data],$DD999,78),0)</f>
        <v/>
      </c>
      <c r="CC999">
        <f>IFERROR(INDEX(PP_Grid[#Data],$DD999,79),0)</f>
        <v/>
      </c>
      <c r="CD999">
        <f>IFERROR(INDEX(PP_Grid[#Data],$DD999,80),0)</f>
        <v/>
      </c>
      <c r="CE999">
        <f>IFERROR(INDEX(PP_Grid[#Data],$DD999,81),0)</f>
        <v/>
      </c>
      <c r="CF999">
        <f>IFERROR(INDEX(PP_Grid[#Data],$DD999,82),0)</f>
        <v/>
      </c>
      <c r="CG999">
        <f>IFERROR(INDEX(PP_Grid[#Data],$DD999,83),0)</f>
        <v/>
      </c>
      <c r="CH999">
        <f>IFERROR(INDEX(PP_Grid[#Data],$DD999,84),0)</f>
        <v/>
      </c>
      <c r="CI999">
        <f>IFERROR(INDEX(PP_Grid[#Data],$DD999,85),0)</f>
        <v/>
      </c>
      <c r="CJ999">
        <f>IFERROR(INDEX(PP_Grid[#Data],$DD999,86),0)</f>
        <v/>
      </c>
      <c r="CK999">
        <f>IFERROR(INDEX(PP_Grid[#Data],$DD999,87),0)</f>
        <v/>
      </c>
      <c r="CL999">
        <f>IFERROR(INDEX(PP_Grid[#Data],$DD999,88),0)</f>
        <v/>
      </c>
      <c r="CM999">
        <f>IFERROR(INDEX(PP_Grid[#Data],$DD999,89),0)</f>
        <v/>
      </c>
      <c r="CN999">
        <f>IFERROR(INDEX(PP_Grid[#Data],$DD999,90),0)</f>
        <v/>
      </c>
      <c r="CO999">
        <f>IFERROR(INDEX(PP_Grid[#Data],$DD999,91),0)</f>
        <v/>
      </c>
      <c r="CP999">
        <f>IFERROR(INDEX(PP_Grid[#Data],$DD999,92),0)</f>
        <v/>
      </c>
      <c r="CQ999">
        <f>IFERROR(INDEX(PP_Grid[#Data],$DD999,93),0)</f>
        <v/>
      </c>
      <c r="CR999">
        <f>IFERROR(INDEX(PP_Grid[#Data],$DD999,94),0)</f>
        <v/>
      </c>
      <c r="CS999">
        <f>IFERROR(INDEX(PP_Grid[#Data],$DD999,95),0)</f>
        <v/>
      </c>
      <c r="CT999">
        <f>IFERROR(INDEX(PP_Grid[#Data],$DD999,96),0)</f>
        <v/>
      </c>
      <c r="CU999">
        <f>IFERROR(INDEX(PP_Grid[#Data],$DD999,97),0)</f>
        <v/>
      </c>
      <c r="CV999">
        <f>IFERROR(INDEX(PP_Grid[#Data],$DD999,98),0)</f>
        <v/>
      </c>
      <c r="CW999">
        <f>IFERROR(INDEX(PP_Grid[#Data],$DD999,99),0)</f>
        <v/>
      </c>
      <c r="CX999">
        <f>IFERROR(INDEX(PP_Grid[#Data],$DD999,100),0)</f>
        <v/>
      </c>
      <c r="CY999">
        <f>IFERROR(INDEX(PP_Grid[#Data],$DD999,101),0)</f>
        <v/>
      </c>
      <c r="CZ999">
        <f>IFERROR(INDEX(PP_Grid[#Data],$DD999,102),0)</f>
        <v/>
      </c>
      <c r="DA999">
        <f>IFERROR(INDEX(PP_Grid[#Data],$DD999,103),0)</f>
        <v/>
      </c>
      <c r="DB999">
        <f>IFERROR(INDEX(PP_Grid[#Data],$DD999,104),0)</f>
        <v/>
      </c>
      <c r="DC999">
        <f>IFERROR(INDEX(PP_Grid[#Data],$DD999,105),0)</f>
        <v/>
      </c>
      <c r="DD999" s="12">
        <f>IFERROR(MATCH($B999,PP_Grid[Intermediate],0),99999)</f>
        <v/>
      </c>
    </row>
    <row r="1000">
      <c r="B1000" t="inlineStr">
        <is>
          <t>使用量(kg)</t>
        </is>
      </c>
      <c r="C1000">
        <f>SUMIFS(M_BOM[RM_Qty_Per_Batch],M_BOM[Intermediate],$B999,M_BOM[Part Name],$A988)</f>
        <v/>
      </c>
      <c r="D1000">
        <f>$C1000*D999</f>
        <v/>
      </c>
      <c r="E1000">
        <f>$C1000*E999</f>
        <v/>
      </c>
      <c r="F1000">
        <f>$C1000*F999</f>
        <v/>
      </c>
      <c r="G1000">
        <f>$C1000*G999</f>
        <v/>
      </c>
      <c r="H1000">
        <f>$C1000*H999</f>
        <v/>
      </c>
      <c r="I1000">
        <f>$C1000*I999</f>
        <v/>
      </c>
      <c r="J1000">
        <f>$C1000*J999</f>
        <v/>
      </c>
      <c r="K1000">
        <f>$C1000*K999</f>
        <v/>
      </c>
      <c r="L1000">
        <f>$C1000*L999</f>
        <v/>
      </c>
      <c r="M1000">
        <f>$C1000*M999</f>
        <v/>
      </c>
      <c r="N1000">
        <f>$C1000*N999</f>
        <v/>
      </c>
      <c r="O1000">
        <f>$C1000*O999</f>
        <v/>
      </c>
      <c r="P1000">
        <f>$C1000*P999</f>
        <v/>
      </c>
      <c r="Q1000">
        <f>$C1000*Q999</f>
        <v/>
      </c>
      <c r="R1000">
        <f>$C1000*R999</f>
        <v/>
      </c>
      <c r="S1000">
        <f>$C1000*S999</f>
        <v/>
      </c>
      <c r="T1000">
        <f>$C1000*T999</f>
        <v/>
      </c>
      <c r="U1000">
        <f>$C1000*U999</f>
        <v/>
      </c>
      <c r="V1000">
        <f>$C1000*V999</f>
        <v/>
      </c>
      <c r="W1000">
        <f>$C1000*W999</f>
        <v/>
      </c>
      <c r="X1000">
        <f>$C1000*X999</f>
        <v/>
      </c>
      <c r="Y1000">
        <f>$C1000*Y999</f>
        <v/>
      </c>
      <c r="Z1000">
        <f>$C1000*Z999</f>
        <v/>
      </c>
      <c r="AA1000">
        <f>$C1000*AA999</f>
        <v/>
      </c>
      <c r="AB1000">
        <f>$C1000*AB999</f>
        <v/>
      </c>
      <c r="AC1000">
        <f>$C1000*AC999</f>
        <v/>
      </c>
      <c r="AD1000">
        <f>$C1000*AD999</f>
        <v/>
      </c>
      <c r="AE1000">
        <f>$C1000*AE999</f>
        <v/>
      </c>
      <c r="AF1000">
        <f>$C1000*AF999</f>
        <v/>
      </c>
      <c r="AG1000">
        <f>$C1000*AG999</f>
        <v/>
      </c>
      <c r="AH1000">
        <f>$C1000*AH999</f>
        <v/>
      </c>
      <c r="AI1000">
        <f>$C1000*AI999</f>
        <v/>
      </c>
      <c r="AJ1000">
        <f>$C1000*AJ999</f>
        <v/>
      </c>
      <c r="AK1000">
        <f>$C1000*AK999</f>
        <v/>
      </c>
      <c r="AL1000">
        <f>$C1000*AL999</f>
        <v/>
      </c>
      <c r="AM1000">
        <f>$C1000*AM999</f>
        <v/>
      </c>
      <c r="AN1000">
        <f>$C1000*AN999</f>
        <v/>
      </c>
      <c r="AO1000">
        <f>$C1000*AO999</f>
        <v/>
      </c>
      <c r="AP1000">
        <f>$C1000*AP999</f>
        <v/>
      </c>
      <c r="AQ1000">
        <f>$C1000*AQ999</f>
        <v/>
      </c>
      <c r="AR1000">
        <f>$C1000*AR999</f>
        <v/>
      </c>
      <c r="AS1000">
        <f>$C1000*AS999</f>
        <v/>
      </c>
      <c r="AT1000">
        <f>$C1000*AT999</f>
        <v/>
      </c>
      <c r="AU1000">
        <f>$C1000*AU999</f>
        <v/>
      </c>
      <c r="AV1000">
        <f>$C1000*AV999</f>
        <v/>
      </c>
      <c r="AW1000">
        <f>$C1000*AW999</f>
        <v/>
      </c>
      <c r="AX1000">
        <f>$C1000*AX999</f>
        <v/>
      </c>
      <c r="AY1000">
        <f>$C1000*AY999</f>
        <v/>
      </c>
      <c r="AZ1000">
        <f>$C1000*AZ999</f>
        <v/>
      </c>
      <c r="BA1000">
        <f>$C1000*BA999</f>
        <v/>
      </c>
      <c r="BB1000">
        <f>$C1000*BB999</f>
        <v/>
      </c>
      <c r="BC1000">
        <f>$C1000*BC999</f>
        <v/>
      </c>
      <c r="BD1000">
        <f>$C1000*BD999</f>
        <v/>
      </c>
      <c r="BE1000">
        <f>$C1000*BE999</f>
        <v/>
      </c>
      <c r="BF1000">
        <f>$C1000*BF999</f>
        <v/>
      </c>
      <c r="BG1000">
        <f>$C1000*BG999</f>
        <v/>
      </c>
      <c r="BH1000">
        <f>$C1000*BH999</f>
        <v/>
      </c>
      <c r="BI1000">
        <f>$C1000*BI999</f>
        <v/>
      </c>
      <c r="BJ1000">
        <f>$C1000*BJ999</f>
        <v/>
      </c>
      <c r="BK1000">
        <f>$C1000*BK999</f>
        <v/>
      </c>
      <c r="BL1000">
        <f>$C1000*BL999</f>
        <v/>
      </c>
      <c r="BM1000">
        <f>$C1000*BM999</f>
        <v/>
      </c>
      <c r="BN1000">
        <f>$C1000*BN999</f>
        <v/>
      </c>
      <c r="BO1000">
        <f>$C1000*BO999</f>
        <v/>
      </c>
      <c r="BP1000">
        <f>$C1000*BP999</f>
        <v/>
      </c>
      <c r="BQ1000">
        <f>$C1000*BQ999</f>
        <v/>
      </c>
      <c r="BR1000">
        <f>$C1000*BR999</f>
        <v/>
      </c>
      <c r="BS1000">
        <f>$C1000*BS999</f>
        <v/>
      </c>
      <c r="BT1000">
        <f>$C1000*BT999</f>
        <v/>
      </c>
      <c r="BU1000">
        <f>$C1000*BU999</f>
        <v/>
      </c>
      <c r="BV1000">
        <f>$C1000*BV999</f>
        <v/>
      </c>
      <c r="BW1000">
        <f>$C1000*BW999</f>
        <v/>
      </c>
      <c r="BX1000">
        <f>$C1000*BX999</f>
        <v/>
      </c>
      <c r="BY1000">
        <f>$C1000*BY999</f>
        <v/>
      </c>
      <c r="BZ1000">
        <f>$C1000*BZ999</f>
        <v/>
      </c>
      <c r="CA1000">
        <f>$C1000*CA999</f>
        <v/>
      </c>
      <c r="CB1000">
        <f>$C1000*CB999</f>
        <v/>
      </c>
      <c r="CC1000">
        <f>$C1000*CC999</f>
        <v/>
      </c>
      <c r="CD1000">
        <f>$C1000*CD999</f>
        <v/>
      </c>
      <c r="CE1000">
        <f>$C1000*CE999</f>
        <v/>
      </c>
      <c r="CF1000">
        <f>$C1000*CF999</f>
        <v/>
      </c>
      <c r="CG1000">
        <f>$C1000*CG999</f>
        <v/>
      </c>
      <c r="CH1000">
        <f>$C1000*CH999</f>
        <v/>
      </c>
      <c r="CI1000">
        <f>$C1000*CI999</f>
        <v/>
      </c>
      <c r="CJ1000">
        <f>$C1000*CJ999</f>
        <v/>
      </c>
      <c r="CK1000">
        <f>$C1000*CK999</f>
        <v/>
      </c>
      <c r="CL1000">
        <f>$C1000*CL999</f>
        <v/>
      </c>
      <c r="CM1000">
        <f>$C1000*CM999</f>
        <v/>
      </c>
      <c r="CN1000">
        <f>$C1000*CN999</f>
        <v/>
      </c>
      <c r="CO1000">
        <f>$C1000*CO999</f>
        <v/>
      </c>
      <c r="CP1000">
        <f>$C1000*CP999</f>
        <v/>
      </c>
      <c r="CQ1000">
        <f>$C1000*CQ999</f>
        <v/>
      </c>
      <c r="CR1000">
        <f>$C1000*CR999</f>
        <v/>
      </c>
      <c r="CS1000">
        <f>$C1000*CS999</f>
        <v/>
      </c>
      <c r="CT1000">
        <f>$C1000*CT999</f>
        <v/>
      </c>
      <c r="CU1000">
        <f>$C1000*CU999</f>
        <v/>
      </c>
      <c r="CV1000">
        <f>$C1000*CV999</f>
        <v/>
      </c>
      <c r="CW1000">
        <f>$C1000*CW999</f>
        <v/>
      </c>
      <c r="CX1000">
        <f>$C1000*CX999</f>
        <v/>
      </c>
      <c r="CY1000">
        <f>$C1000*CY999</f>
        <v/>
      </c>
      <c r="CZ1000">
        <f>$C1000*CZ999</f>
        <v/>
      </c>
      <c r="DA1000">
        <f>$C1000*DA999</f>
        <v/>
      </c>
      <c r="DB1000">
        <f>$C1000*DB999</f>
        <v/>
      </c>
      <c r="DC1000">
        <f>$C1000*DC999</f>
        <v/>
      </c>
    </row>
    <row r="1001">
      <c r="B1001" t="inlineStr">
        <is>
          <t>TSP-618</t>
        </is>
      </c>
      <c r="C1001" t="inlineStr">
        <is>
          <t>No. of batches</t>
        </is>
      </c>
      <c r="D1001">
        <f>IFERROR(INDEX(PP_Grid[#Data],$DD1001,2),0)</f>
        <v/>
      </c>
      <c r="E1001">
        <f>IFERROR(INDEX(PP_Grid[#Data],$DD1001,3),0)</f>
        <v/>
      </c>
      <c r="F1001">
        <f>IFERROR(INDEX(PP_Grid[#Data],$DD1001,4),0)</f>
        <v/>
      </c>
      <c r="G1001">
        <f>IFERROR(INDEX(PP_Grid[#Data],$DD1001,5),0)</f>
        <v/>
      </c>
      <c r="H1001">
        <f>IFERROR(INDEX(PP_Grid[#Data],$DD1001,6),0)</f>
        <v/>
      </c>
      <c r="I1001">
        <f>IFERROR(INDEX(PP_Grid[#Data],$DD1001,7),0)</f>
        <v/>
      </c>
      <c r="J1001">
        <f>IFERROR(INDEX(PP_Grid[#Data],$DD1001,8),0)</f>
        <v/>
      </c>
      <c r="K1001">
        <f>IFERROR(INDEX(PP_Grid[#Data],$DD1001,9),0)</f>
        <v/>
      </c>
      <c r="L1001">
        <f>IFERROR(INDEX(PP_Grid[#Data],$DD1001,10),0)</f>
        <v/>
      </c>
      <c r="M1001">
        <f>IFERROR(INDEX(PP_Grid[#Data],$DD1001,11),0)</f>
        <v/>
      </c>
      <c r="N1001">
        <f>IFERROR(INDEX(PP_Grid[#Data],$DD1001,12),0)</f>
        <v/>
      </c>
      <c r="O1001">
        <f>IFERROR(INDEX(PP_Grid[#Data],$DD1001,13),0)</f>
        <v/>
      </c>
      <c r="P1001">
        <f>IFERROR(INDEX(PP_Grid[#Data],$DD1001,14),0)</f>
        <v/>
      </c>
      <c r="Q1001">
        <f>IFERROR(INDEX(PP_Grid[#Data],$DD1001,15),0)</f>
        <v/>
      </c>
      <c r="R1001">
        <f>IFERROR(INDEX(PP_Grid[#Data],$DD1001,16),0)</f>
        <v/>
      </c>
      <c r="S1001">
        <f>IFERROR(INDEX(PP_Grid[#Data],$DD1001,17),0)</f>
        <v/>
      </c>
      <c r="T1001">
        <f>IFERROR(INDEX(PP_Grid[#Data],$DD1001,18),0)</f>
        <v/>
      </c>
      <c r="U1001">
        <f>IFERROR(INDEX(PP_Grid[#Data],$DD1001,19),0)</f>
        <v/>
      </c>
      <c r="V1001">
        <f>IFERROR(INDEX(PP_Grid[#Data],$DD1001,20),0)</f>
        <v/>
      </c>
      <c r="W1001">
        <f>IFERROR(INDEX(PP_Grid[#Data],$DD1001,21),0)</f>
        <v/>
      </c>
      <c r="X1001">
        <f>IFERROR(INDEX(PP_Grid[#Data],$DD1001,22),0)</f>
        <v/>
      </c>
      <c r="Y1001">
        <f>IFERROR(INDEX(PP_Grid[#Data],$DD1001,23),0)</f>
        <v/>
      </c>
      <c r="Z1001">
        <f>IFERROR(INDEX(PP_Grid[#Data],$DD1001,24),0)</f>
        <v/>
      </c>
      <c r="AA1001">
        <f>IFERROR(INDEX(PP_Grid[#Data],$DD1001,25),0)</f>
        <v/>
      </c>
      <c r="AB1001">
        <f>IFERROR(INDEX(PP_Grid[#Data],$DD1001,26),0)</f>
        <v/>
      </c>
      <c r="AC1001">
        <f>IFERROR(INDEX(PP_Grid[#Data],$DD1001,27),0)</f>
        <v/>
      </c>
      <c r="AD1001">
        <f>IFERROR(INDEX(PP_Grid[#Data],$DD1001,28),0)</f>
        <v/>
      </c>
      <c r="AE1001">
        <f>IFERROR(INDEX(PP_Grid[#Data],$DD1001,29),0)</f>
        <v/>
      </c>
      <c r="AF1001">
        <f>IFERROR(INDEX(PP_Grid[#Data],$DD1001,30),0)</f>
        <v/>
      </c>
      <c r="AG1001">
        <f>IFERROR(INDEX(PP_Grid[#Data],$DD1001,31),0)</f>
        <v/>
      </c>
      <c r="AH1001">
        <f>IFERROR(INDEX(PP_Grid[#Data],$DD1001,32),0)</f>
        <v/>
      </c>
      <c r="AI1001">
        <f>IFERROR(INDEX(PP_Grid[#Data],$DD1001,33),0)</f>
        <v/>
      </c>
      <c r="AJ1001">
        <f>IFERROR(INDEX(PP_Grid[#Data],$DD1001,34),0)</f>
        <v/>
      </c>
      <c r="AK1001">
        <f>IFERROR(INDEX(PP_Grid[#Data],$DD1001,35),0)</f>
        <v/>
      </c>
      <c r="AL1001">
        <f>IFERROR(INDEX(PP_Grid[#Data],$DD1001,36),0)</f>
        <v/>
      </c>
      <c r="AM1001">
        <f>IFERROR(INDEX(PP_Grid[#Data],$DD1001,37),0)</f>
        <v/>
      </c>
      <c r="AN1001">
        <f>IFERROR(INDEX(PP_Grid[#Data],$DD1001,38),0)</f>
        <v/>
      </c>
      <c r="AO1001">
        <f>IFERROR(INDEX(PP_Grid[#Data],$DD1001,39),0)</f>
        <v/>
      </c>
      <c r="AP1001">
        <f>IFERROR(INDEX(PP_Grid[#Data],$DD1001,40),0)</f>
        <v/>
      </c>
      <c r="AQ1001">
        <f>IFERROR(INDEX(PP_Grid[#Data],$DD1001,41),0)</f>
        <v/>
      </c>
      <c r="AR1001">
        <f>IFERROR(INDEX(PP_Grid[#Data],$DD1001,42),0)</f>
        <v/>
      </c>
      <c r="AS1001">
        <f>IFERROR(INDEX(PP_Grid[#Data],$DD1001,43),0)</f>
        <v/>
      </c>
      <c r="AT1001">
        <f>IFERROR(INDEX(PP_Grid[#Data],$DD1001,44),0)</f>
        <v/>
      </c>
      <c r="AU1001">
        <f>IFERROR(INDEX(PP_Grid[#Data],$DD1001,45),0)</f>
        <v/>
      </c>
      <c r="AV1001">
        <f>IFERROR(INDEX(PP_Grid[#Data],$DD1001,46),0)</f>
        <v/>
      </c>
      <c r="AW1001">
        <f>IFERROR(INDEX(PP_Grid[#Data],$DD1001,47),0)</f>
        <v/>
      </c>
      <c r="AX1001">
        <f>IFERROR(INDEX(PP_Grid[#Data],$DD1001,48),0)</f>
        <v/>
      </c>
      <c r="AY1001">
        <f>IFERROR(INDEX(PP_Grid[#Data],$DD1001,49),0)</f>
        <v/>
      </c>
      <c r="AZ1001">
        <f>IFERROR(INDEX(PP_Grid[#Data],$DD1001,50),0)</f>
        <v/>
      </c>
      <c r="BA1001">
        <f>IFERROR(INDEX(PP_Grid[#Data],$DD1001,51),0)</f>
        <v/>
      </c>
      <c r="BB1001">
        <f>IFERROR(INDEX(PP_Grid[#Data],$DD1001,52),0)</f>
        <v/>
      </c>
      <c r="BC1001">
        <f>IFERROR(INDEX(PP_Grid[#Data],$DD1001,53),0)</f>
        <v/>
      </c>
      <c r="BD1001">
        <f>IFERROR(INDEX(PP_Grid[#Data],$DD1001,54),0)</f>
        <v/>
      </c>
      <c r="BE1001">
        <f>IFERROR(INDEX(PP_Grid[#Data],$DD1001,55),0)</f>
        <v/>
      </c>
      <c r="BF1001">
        <f>IFERROR(INDEX(PP_Grid[#Data],$DD1001,56),0)</f>
        <v/>
      </c>
      <c r="BG1001">
        <f>IFERROR(INDEX(PP_Grid[#Data],$DD1001,57),0)</f>
        <v/>
      </c>
      <c r="BH1001">
        <f>IFERROR(INDEX(PP_Grid[#Data],$DD1001,58),0)</f>
        <v/>
      </c>
      <c r="BI1001">
        <f>IFERROR(INDEX(PP_Grid[#Data],$DD1001,59),0)</f>
        <v/>
      </c>
      <c r="BJ1001">
        <f>IFERROR(INDEX(PP_Grid[#Data],$DD1001,60),0)</f>
        <v/>
      </c>
      <c r="BK1001">
        <f>IFERROR(INDEX(PP_Grid[#Data],$DD1001,61),0)</f>
        <v/>
      </c>
      <c r="BL1001">
        <f>IFERROR(INDEX(PP_Grid[#Data],$DD1001,62),0)</f>
        <v/>
      </c>
      <c r="BM1001">
        <f>IFERROR(INDEX(PP_Grid[#Data],$DD1001,63),0)</f>
        <v/>
      </c>
      <c r="BN1001">
        <f>IFERROR(INDEX(PP_Grid[#Data],$DD1001,64),0)</f>
        <v/>
      </c>
      <c r="BO1001">
        <f>IFERROR(INDEX(PP_Grid[#Data],$DD1001,65),0)</f>
        <v/>
      </c>
      <c r="BP1001">
        <f>IFERROR(INDEX(PP_Grid[#Data],$DD1001,66),0)</f>
        <v/>
      </c>
      <c r="BQ1001">
        <f>IFERROR(INDEX(PP_Grid[#Data],$DD1001,67),0)</f>
        <v/>
      </c>
      <c r="BR1001">
        <f>IFERROR(INDEX(PP_Grid[#Data],$DD1001,68),0)</f>
        <v/>
      </c>
      <c r="BS1001">
        <f>IFERROR(INDEX(PP_Grid[#Data],$DD1001,69),0)</f>
        <v/>
      </c>
      <c r="BT1001">
        <f>IFERROR(INDEX(PP_Grid[#Data],$DD1001,70),0)</f>
        <v/>
      </c>
      <c r="BU1001">
        <f>IFERROR(INDEX(PP_Grid[#Data],$DD1001,71),0)</f>
        <v/>
      </c>
      <c r="BV1001">
        <f>IFERROR(INDEX(PP_Grid[#Data],$DD1001,72),0)</f>
        <v/>
      </c>
      <c r="BW1001">
        <f>IFERROR(INDEX(PP_Grid[#Data],$DD1001,73),0)</f>
        <v/>
      </c>
      <c r="BX1001">
        <f>IFERROR(INDEX(PP_Grid[#Data],$DD1001,74),0)</f>
        <v/>
      </c>
      <c r="BY1001">
        <f>IFERROR(INDEX(PP_Grid[#Data],$DD1001,75),0)</f>
        <v/>
      </c>
      <c r="BZ1001">
        <f>IFERROR(INDEX(PP_Grid[#Data],$DD1001,76),0)</f>
        <v/>
      </c>
      <c r="CA1001">
        <f>IFERROR(INDEX(PP_Grid[#Data],$DD1001,77),0)</f>
        <v/>
      </c>
      <c r="CB1001">
        <f>IFERROR(INDEX(PP_Grid[#Data],$DD1001,78),0)</f>
        <v/>
      </c>
      <c r="CC1001">
        <f>IFERROR(INDEX(PP_Grid[#Data],$DD1001,79),0)</f>
        <v/>
      </c>
      <c r="CD1001">
        <f>IFERROR(INDEX(PP_Grid[#Data],$DD1001,80),0)</f>
        <v/>
      </c>
      <c r="CE1001">
        <f>IFERROR(INDEX(PP_Grid[#Data],$DD1001,81),0)</f>
        <v/>
      </c>
      <c r="CF1001">
        <f>IFERROR(INDEX(PP_Grid[#Data],$DD1001,82),0)</f>
        <v/>
      </c>
      <c r="CG1001">
        <f>IFERROR(INDEX(PP_Grid[#Data],$DD1001,83),0)</f>
        <v/>
      </c>
      <c r="CH1001">
        <f>IFERROR(INDEX(PP_Grid[#Data],$DD1001,84),0)</f>
        <v/>
      </c>
      <c r="CI1001">
        <f>IFERROR(INDEX(PP_Grid[#Data],$DD1001,85),0)</f>
        <v/>
      </c>
      <c r="CJ1001">
        <f>IFERROR(INDEX(PP_Grid[#Data],$DD1001,86),0)</f>
        <v/>
      </c>
      <c r="CK1001">
        <f>IFERROR(INDEX(PP_Grid[#Data],$DD1001,87),0)</f>
        <v/>
      </c>
      <c r="CL1001">
        <f>IFERROR(INDEX(PP_Grid[#Data],$DD1001,88),0)</f>
        <v/>
      </c>
      <c r="CM1001">
        <f>IFERROR(INDEX(PP_Grid[#Data],$DD1001,89),0)</f>
        <v/>
      </c>
      <c r="CN1001">
        <f>IFERROR(INDEX(PP_Grid[#Data],$DD1001,90),0)</f>
        <v/>
      </c>
      <c r="CO1001">
        <f>IFERROR(INDEX(PP_Grid[#Data],$DD1001,91),0)</f>
        <v/>
      </c>
      <c r="CP1001">
        <f>IFERROR(INDEX(PP_Grid[#Data],$DD1001,92),0)</f>
        <v/>
      </c>
      <c r="CQ1001">
        <f>IFERROR(INDEX(PP_Grid[#Data],$DD1001,93),0)</f>
        <v/>
      </c>
      <c r="CR1001">
        <f>IFERROR(INDEX(PP_Grid[#Data],$DD1001,94),0)</f>
        <v/>
      </c>
      <c r="CS1001">
        <f>IFERROR(INDEX(PP_Grid[#Data],$DD1001,95),0)</f>
        <v/>
      </c>
      <c r="CT1001">
        <f>IFERROR(INDEX(PP_Grid[#Data],$DD1001,96),0)</f>
        <v/>
      </c>
      <c r="CU1001">
        <f>IFERROR(INDEX(PP_Grid[#Data],$DD1001,97),0)</f>
        <v/>
      </c>
      <c r="CV1001">
        <f>IFERROR(INDEX(PP_Grid[#Data],$DD1001,98),0)</f>
        <v/>
      </c>
      <c r="CW1001">
        <f>IFERROR(INDEX(PP_Grid[#Data],$DD1001,99),0)</f>
        <v/>
      </c>
      <c r="CX1001">
        <f>IFERROR(INDEX(PP_Grid[#Data],$DD1001,100),0)</f>
        <v/>
      </c>
      <c r="CY1001">
        <f>IFERROR(INDEX(PP_Grid[#Data],$DD1001,101),0)</f>
        <v/>
      </c>
      <c r="CZ1001">
        <f>IFERROR(INDEX(PP_Grid[#Data],$DD1001,102),0)</f>
        <v/>
      </c>
      <c r="DA1001">
        <f>IFERROR(INDEX(PP_Grid[#Data],$DD1001,103),0)</f>
        <v/>
      </c>
      <c r="DB1001">
        <f>IFERROR(INDEX(PP_Grid[#Data],$DD1001,104),0)</f>
        <v/>
      </c>
      <c r="DC1001">
        <f>IFERROR(INDEX(PP_Grid[#Data],$DD1001,105),0)</f>
        <v/>
      </c>
      <c r="DD1001" s="12">
        <f>IFERROR(MATCH($B1001,PP_Grid[Intermediate],0),99999)</f>
        <v/>
      </c>
    </row>
    <row r="1002">
      <c r="B1002" t="inlineStr">
        <is>
          <t>使用量(kg)</t>
        </is>
      </c>
      <c r="C1002">
        <f>SUMIFS(M_BOM[RM_Qty_Per_Batch],M_BOM[Intermediate],$B1001,M_BOM[Part Name],$A988)</f>
        <v/>
      </c>
      <c r="D1002">
        <f>$C1002*D1001</f>
        <v/>
      </c>
      <c r="E1002">
        <f>$C1002*E1001</f>
        <v/>
      </c>
      <c r="F1002">
        <f>$C1002*F1001</f>
        <v/>
      </c>
      <c r="G1002">
        <f>$C1002*G1001</f>
        <v/>
      </c>
      <c r="H1002">
        <f>$C1002*H1001</f>
        <v/>
      </c>
      <c r="I1002">
        <f>$C1002*I1001</f>
        <v/>
      </c>
      <c r="J1002">
        <f>$C1002*J1001</f>
        <v/>
      </c>
      <c r="K1002">
        <f>$C1002*K1001</f>
        <v/>
      </c>
      <c r="L1002">
        <f>$C1002*L1001</f>
        <v/>
      </c>
      <c r="M1002">
        <f>$C1002*M1001</f>
        <v/>
      </c>
      <c r="N1002">
        <f>$C1002*N1001</f>
        <v/>
      </c>
      <c r="O1002">
        <f>$C1002*O1001</f>
        <v/>
      </c>
      <c r="P1002">
        <f>$C1002*P1001</f>
        <v/>
      </c>
      <c r="Q1002">
        <f>$C1002*Q1001</f>
        <v/>
      </c>
      <c r="R1002">
        <f>$C1002*R1001</f>
        <v/>
      </c>
      <c r="S1002">
        <f>$C1002*S1001</f>
        <v/>
      </c>
      <c r="T1002">
        <f>$C1002*T1001</f>
        <v/>
      </c>
      <c r="U1002">
        <f>$C1002*U1001</f>
        <v/>
      </c>
      <c r="V1002">
        <f>$C1002*V1001</f>
        <v/>
      </c>
      <c r="W1002">
        <f>$C1002*W1001</f>
        <v/>
      </c>
      <c r="X1002">
        <f>$C1002*X1001</f>
        <v/>
      </c>
      <c r="Y1002">
        <f>$C1002*Y1001</f>
        <v/>
      </c>
      <c r="Z1002">
        <f>$C1002*Z1001</f>
        <v/>
      </c>
      <c r="AA1002">
        <f>$C1002*AA1001</f>
        <v/>
      </c>
      <c r="AB1002">
        <f>$C1002*AB1001</f>
        <v/>
      </c>
      <c r="AC1002">
        <f>$C1002*AC1001</f>
        <v/>
      </c>
      <c r="AD1002">
        <f>$C1002*AD1001</f>
        <v/>
      </c>
      <c r="AE1002">
        <f>$C1002*AE1001</f>
        <v/>
      </c>
      <c r="AF1002">
        <f>$C1002*AF1001</f>
        <v/>
      </c>
      <c r="AG1002">
        <f>$C1002*AG1001</f>
        <v/>
      </c>
      <c r="AH1002">
        <f>$C1002*AH1001</f>
        <v/>
      </c>
      <c r="AI1002">
        <f>$C1002*AI1001</f>
        <v/>
      </c>
      <c r="AJ1002">
        <f>$C1002*AJ1001</f>
        <v/>
      </c>
      <c r="AK1002">
        <f>$C1002*AK1001</f>
        <v/>
      </c>
      <c r="AL1002">
        <f>$C1002*AL1001</f>
        <v/>
      </c>
      <c r="AM1002">
        <f>$C1002*AM1001</f>
        <v/>
      </c>
      <c r="AN1002">
        <f>$C1002*AN1001</f>
        <v/>
      </c>
      <c r="AO1002">
        <f>$C1002*AO1001</f>
        <v/>
      </c>
      <c r="AP1002">
        <f>$C1002*AP1001</f>
        <v/>
      </c>
      <c r="AQ1002">
        <f>$C1002*AQ1001</f>
        <v/>
      </c>
      <c r="AR1002">
        <f>$C1002*AR1001</f>
        <v/>
      </c>
      <c r="AS1002">
        <f>$C1002*AS1001</f>
        <v/>
      </c>
      <c r="AT1002">
        <f>$C1002*AT1001</f>
        <v/>
      </c>
      <c r="AU1002">
        <f>$C1002*AU1001</f>
        <v/>
      </c>
      <c r="AV1002">
        <f>$C1002*AV1001</f>
        <v/>
      </c>
      <c r="AW1002">
        <f>$C1002*AW1001</f>
        <v/>
      </c>
      <c r="AX1002">
        <f>$C1002*AX1001</f>
        <v/>
      </c>
      <c r="AY1002">
        <f>$C1002*AY1001</f>
        <v/>
      </c>
      <c r="AZ1002">
        <f>$C1002*AZ1001</f>
        <v/>
      </c>
      <c r="BA1002">
        <f>$C1002*BA1001</f>
        <v/>
      </c>
      <c r="BB1002">
        <f>$C1002*BB1001</f>
        <v/>
      </c>
      <c r="BC1002">
        <f>$C1002*BC1001</f>
        <v/>
      </c>
      <c r="BD1002">
        <f>$C1002*BD1001</f>
        <v/>
      </c>
      <c r="BE1002">
        <f>$C1002*BE1001</f>
        <v/>
      </c>
      <c r="BF1002">
        <f>$C1002*BF1001</f>
        <v/>
      </c>
      <c r="BG1002">
        <f>$C1002*BG1001</f>
        <v/>
      </c>
      <c r="BH1002">
        <f>$C1002*BH1001</f>
        <v/>
      </c>
      <c r="BI1002">
        <f>$C1002*BI1001</f>
        <v/>
      </c>
      <c r="BJ1002">
        <f>$C1002*BJ1001</f>
        <v/>
      </c>
      <c r="BK1002">
        <f>$C1002*BK1001</f>
        <v/>
      </c>
      <c r="BL1002">
        <f>$C1002*BL1001</f>
        <v/>
      </c>
      <c r="BM1002">
        <f>$C1002*BM1001</f>
        <v/>
      </c>
      <c r="BN1002">
        <f>$C1002*BN1001</f>
        <v/>
      </c>
      <c r="BO1002">
        <f>$C1002*BO1001</f>
        <v/>
      </c>
      <c r="BP1002">
        <f>$C1002*BP1001</f>
        <v/>
      </c>
      <c r="BQ1002">
        <f>$C1002*BQ1001</f>
        <v/>
      </c>
      <c r="BR1002">
        <f>$C1002*BR1001</f>
        <v/>
      </c>
      <c r="BS1002">
        <f>$C1002*BS1001</f>
        <v/>
      </c>
      <c r="BT1002">
        <f>$C1002*BT1001</f>
        <v/>
      </c>
      <c r="BU1002">
        <f>$C1002*BU1001</f>
        <v/>
      </c>
      <c r="BV1002">
        <f>$C1002*BV1001</f>
        <v/>
      </c>
      <c r="BW1002">
        <f>$C1002*BW1001</f>
        <v/>
      </c>
      <c r="BX1002">
        <f>$C1002*BX1001</f>
        <v/>
      </c>
      <c r="BY1002">
        <f>$C1002*BY1001</f>
        <v/>
      </c>
      <c r="BZ1002">
        <f>$C1002*BZ1001</f>
        <v/>
      </c>
      <c r="CA1002">
        <f>$C1002*CA1001</f>
        <v/>
      </c>
      <c r="CB1002">
        <f>$C1002*CB1001</f>
        <v/>
      </c>
      <c r="CC1002">
        <f>$C1002*CC1001</f>
        <v/>
      </c>
      <c r="CD1002">
        <f>$C1002*CD1001</f>
        <v/>
      </c>
      <c r="CE1002">
        <f>$C1002*CE1001</f>
        <v/>
      </c>
      <c r="CF1002">
        <f>$C1002*CF1001</f>
        <v/>
      </c>
      <c r="CG1002">
        <f>$C1002*CG1001</f>
        <v/>
      </c>
      <c r="CH1002">
        <f>$C1002*CH1001</f>
        <v/>
      </c>
      <c r="CI1002">
        <f>$C1002*CI1001</f>
        <v/>
      </c>
      <c r="CJ1002">
        <f>$C1002*CJ1001</f>
        <v/>
      </c>
      <c r="CK1002">
        <f>$C1002*CK1001</f>
        <v/>
      </c>
      <c r="CL1002">
        <f>$C1002*CL1001</f>
        <v/>
      </c>
      <c r="CM1002">
        <f>$C1002*CM1001</f>
        <v/>
      </c>
      <c r="CN1002">
        <f>$C1002*CN1001</f>
        <v/>
      </c>
      <c r="CO1002">
        <f>$C1002*CO1001</f>
        <v/>
      </c>
      <c r="CP1002">
        <f>$C1002*CP1001</f>
        <v/>
      </c>
      <c r="CQ1002">
        <f>$C1002*CQ1001</f>
        <v/>
      </c>
      <c r="CR1002">
        <f>$C1002*CR1001</f>
        <v/>
      </c>
      <c r="CS1002">
        <f>$C1002*CS1001</f>
        <v/>
      </c>
      <c r="CT1002">
        <f>$C1002*CT1001</f>
        <v/>
      </c>
      <c r="CU1002">
        <f>$C1002*CU1001</f>
        <v/>
      </c>
      <c r="CV1002">
        <f>$C1002*CV1001</f>
        <v/>
      </c>
      <c r="CW1002">
        <f>$C1002*CW1001</f>
        <v/>
      </c>
      <c r="CX1002">
        <f>$C1002*CX1001</f>
        <v/>
      </c>
      <c r="CY1002">
        <f>$C1002*CY1001</f>
        <v/>
      </c>
      <c r="CZ1002">
        <f>$C1002*CZ1001</f>
        <v/>
      </c>
      <c r="DA1002">
        <f>$C1002*DA1001</f>
        <v/>
      </c>
      <c r="DB1002">
        <f>$C1002*DB1001</f>
        <v/>
      </c>
      <c r="DC1002">
        <f>$C1002*DC1001</f>
        <v/>
      </c>
    </row>
    <row r="1003">
      <c r="B1003" t="inlineStr">
        <is>
          <t>TSP-620</t>
        </is>
      </c>
      <c r="C1003" t="inlineStr">
        <is>
          <t>No. of batches</t>
        </is>
      </c>
      <c r="D1003">
        <f>IFERROR(INDEX(PP_Grid[#Data],$DD1003,2),0)</f>
        <v/>
      </c>
      <c r="E1003">
        <f>IFERROR(INDEX(PP_Grid[#Data],$DD1003,3),0)</f>
        <v/>
      </c>
      <c r="F1003">
        <f>IFERROR(INDEX(PP_Grid[#Data],$DD1003,4),0)</f>
        <v/>
      </c>
      <c r="G1003">
        <f>IFERROR(INDEX(PP_Grid[#Data],$DD1003,5),0)</f>
        <v/>
      </c>
      <c r="H1003">
        <f>IFERROR(INDEX(PP_Grid[#Data],$DD1003,6),0)</f>
        <v/>
      </c>
      <c r="I1003">
        <f>IFERROR(INDEX(PP_Grid[#Data],$DD1003,7),0)</f>
        <v/>
      </c>
      <c r="J1003">
        <f>IFERROR(INDEX(PP_Grid[#Data],$DD1003,8),0)</f>
        <v/>
      </c>
      <c r="K1003">
        <f>IFERROR(INDEX(PP_Grid[#Data],$DD1003,9),0)</f>
        <v/>
      </c>
      <c r="L1003">
        <f>IFERROR(INDEX(PP_Grid[#Data],$DD1003,10),0)</f>
        <v/>
      </c>
      <c r="M1003">
        <f>IFERROR(INDEX(PP_Grid[#Data],$DD1003,11),0)</f>
        <v/>
      </c>
      <c r="N1003">
        <f>IFERROR(INDEX(PP_Grid[#Data],$DD1003,12),0)</f>
        <v/>
      </c>
      <c r="O1003">
        <f>IFERROR(INDEX(PP_Grid[#Data],$DD1003,13),0)</f>
        <v/>
      </c>
      <c r="P1003">
        <f>IFERROR(INDEX(PP_Grid[#Data],$DD1003,14),0)</f>
        <v/>
      </c>
      <c r="Q1003">
        <f>IFERROR(INDEX(PP_Grid[#Data],$DD1003,15),0)</f>
        <v/>
      </c>
      <c r="R1003">
        <f>IFERROR(INDEX(PP_Grid[#Data],$DD1003,16),0)</f>
        <v/>
      </c>
      <c r="S1003">
        <f>IFERROR(INDEX(PP_Grid[#Data],$DD1003,17),0)</f>
        <v/>
      </c>
      <c r="T1003">
        <f>IFERROR(INDEX(PP_Grid[#Data],$DD1003,18),0)</f>
        <v/>
      </c>
      <c r="U1003">
        <f>IFERROR(INDEX(PP_Grid[#Data],$DD1003,19),0)</f>
        <v/>
      </c>
      <c r="V1003">
        <f>IFERROR(INDEX(PP_Grid[#Data],$DD1003,20),0)</f>
        <v/>
      </c>
      <c r="W1003">
        <f>IFERROR(INDEX(PP_Grid[#Data],$DD1003,21),0)</f>
        <v/>
      </c>
      <c r="X1003">
        <f>IFERROR(INDEX(PP_Grid[#Data],$DD1003,22),0)</f>
        <v/>
      </c>
      <c r="Y1003">
        <f>IFERROR(INDEX(PP_Grid[#Data],$DD1003,23),0)</f>
        <v/>
      </c>
      <c r="Z1003">
        <f>IFERROR(INDEX(PP_Grid[#Data],$DD1003,24),0)</f>
        <v/>
      </c>
      <c r="AA1003">
        <f>IFERROR(INDEX(PP_Grid[#Data],$DD1003,25),0)</f>
        <v/>
      </c>
      <c r="AB1003">
        <f>IFERROR(INDEX(PP_Grid[#Data],$DD1003,26),0)</f>
        <v/>
      </c>
      <c r="AC1003">
        <f>IFERROR(INDEX(PP_Grid[#Data],$DD1003,27),0)</f>
        <v/>
      </c>
      <c r="AD1003">
        <f>IFERROR(INDEX(PP_Grid[#Data],$DD1003,28),0)</f>
        <v/>
      </c>
      <c r="AE1003">
        <f>IFERROR(INDEX(PP_Grid[#Data],$DD1003,29),0)</f>
        <v/>
      </c>
      <c r="AF1003">
        <f>IFERROR(INDEX(PP_Grid[#Data],$DD1003,30),0)</f>
        <v/>
      </c>
      <c r="AG1003">
        <f>IFERROR(INDEX(PP_Grid[#Data],$DD1003,31),0)</f>
        <v/>
      </c>
      <c r="AH1003">
        <f>IFERROR(INDEX(PP_Grid[#Data],$DD1003,32),0)</f>
        <v/>
      </c>
      <c r="AI1003">
        <f>IFERROR(INDEX(PP_Grid[#Data],$DD1003,33),0)</f>
        <v/>
      </c>
      <c r="AJ1003">
        <f>IFERROR(INDEX(PP_Grid[#Data],$DD1003,34),0)</f>
        <v/>
      </c>
      <c r="AK1003">
        <f>IFERROR(INDEX(PP_Grid[#Data],$DD1003,35),0)</f>
        <v/>
      </c>
      <c r="AL1003">
        <f>IFERROR(INDEX(PP_Grid[#Data],$DD1003,36),0)</f>
        <v/>
      </c>
      <c r="AM1003">
        <f>IFERROR(INDEX(PP_Grid[#Data],$DD1003,37),0)</f>
        <v/>
      </c>
      <c r="AN1003">
        <f>IFERROR(INDEX(PP_Grid[#Data],$DD1003,38),0)</f>
        <v/>
      </c>
      <c r="AO1003">
        <f>IFERROR(INDEX(PP_Grid[#Data],$DD1003,39),0)</f>
        <v/>
      </c>
      <c r="AP1003">
        <f>IFERROR(INDEX(PP_Grid[#Data],$DD1003,40),0)</f>
        <v/>
      </c>
      <c r="AQ1003">
        <f>IFERROR(INDEX(PP_Grid[#Data],$DD1003,41),0)</f>
        <v/>
      </c>
      <c r="AR1003">
        <f>IFERROR(INDEX(PP_Grid[#Data],$DD1003,42),0)</f>
        <v/>
      </c>
      <c r="AS1003">
        <f>IFERROR(INDEX(PP_Grid[#Data],$DD1003,43),0)</f>
        <v/>
      </c>
      <c r="AT1003">
        <f>IFERROR(INDEX(PP_Grid[#Data],$DD1003,44),0)</f>
        <v/>
      </c>
      <c r="AU1003">
        <f>IFERROR(INDEX(PP_Grid[#Data],$DD1003,45),0)</f>
        <v/>
      </c>
      <c r="AV1003">
        <f>IFERROR(INDEX(PP_Grid[#Data],$DD1003,46),0)</f>
        <v/>
      </c>
      <c r="AW1003">
        <f>IFERROR(INDEX(PP_Grid[#Data],$DD1003,47),0)</f>
        <v/>
      </c>
      <c r="AX1003">
        <f>IFERROR(INDEX(PP_Grid[#Data],$DD1003,48),0)</f>
        <v/>
      </c>
      <c r="AY1003">
        <f>IFERROR(INDEX(PP_Grid[#Data],$DD1003,49),0)</f>
        <v/>
      </c>
      <c r="AZ1003">
        <f>IFERROR(INDEX(PP_Grid[#Data],$DD1003,50),0)</f>
        <v/>
      </c>
      <c r="BA1003">
        <f>IFERROR(INDEX(PP_Grid[#Data],$DD1003,51),0)</f>
        <v/>
      </c>
      <c r="BB1003">
        <f>IFERROR(INDEX(PP_Grid[#Data],$DD1003,52),0)</f>
        <v/>
      </c>
      <c r="BC1003">
        <f>IFERROR(INDEX(PP_Grid[#Data],$DD1003,53),0)</f>
        <v/>
      </c>
      <c r="BD1003">
        <f>IFERROR(INDEX(PP_Grid[#Data],$DD1003,54),0)</f>
        <v/>
      </c>
      <c r="BE1003">
        <f>IFERROR(INDEX(PP_Grid[#Data],$DD1003,55),0)</f>
        <v/>
      </c>
      <c r="BF1003">
        <f>IFERROR(INDEX(PP_Grid[#Data],$DD1003,56),0)</f>
        <v/>
      </c>
      <c r="BG1003">
        <f>IFERROR(INDEX(PP_Grid[#Data],$DD1003,57),0)</f>
        <v/>
      </c>
      <c r="BH1003">
        <f>IFERROR(INDEX(PP_Grid[#Data],$DD1003,58),0)</f>
        <v/>
      </c>
      <c r="BI1003">
        <f>IFERROR(INDEX(PP_Grid[#Data],$DD1003,59),0)</f>
        <v/>
      </c>
      <c r="BJ1003">
        <f>IFERROR(INDEX(PP_Grid[#Data],$DD1003,60),0)</f>
        <v/>
      </c>
      <c r="BK1003">
        <f>IFERROR(INDEX(PP_Grid[#Data],$DD1003,61),0)</f>
        <v/>
      </c>
      <c r="BL1003">
        <f>IFERROR(INDEX(PP_Grid[#Data],$DD1003,62),0)</f>
        <v/>
      </c>
      <c r="BM1003">
        <f>IFERROR(INDEX(PP_Grid[#Data],$DD1003,63),0)</f>
        <v/>
      </c>
      <c r="BN1003">
        <f>IFERROR(INDEX(PP_Grid[#Data],$DD1003,64),0)</f>
        <v/>
      </c>
      <c r="BO1003">
        <f>IFERROR(INDEX(PP_Grid[#Data],$DD1003,65),0)</f>
        <v/>
      </c>
      <c r="BP1003">
        <f>IFERROR(INDEX(PP_Grid[#Data],$DD1003,66),0)</f>
        <v/>
      </c>
      <c r="BQ1003">
        <f>IFERROR(INDEX(PP_Grid[#Data],$DD1003,67),0)</f>
        <v/>
      </c>
      <c r="BR1003">
        <f>IFERROR(INDEX(PP_Grid[#Data],$DD1003,68),0)</f>
        <v/>
      </c>
      <c r="BS1003">
        <f>IFERROR(INDEX(PP_Grid[#Data],$DD1003,69),0)</f>
        <v/>
      </c>
      <c r="BT1003">
        <f>IFERROR(INDEX(PP_Grid[#Data],$DD1003,70),0)</f>
        <v/>
      </c>
      <c r="BU1003">
        <f>IFERROR(INDEX(PP_Grid[#Data],$DD1003,71),0)</f>
        <v/>
      </c>
      <c r="BV1003">
        <f>IFERROR(INDEX(PP_Grid[#Data],$DD1003,72),0)</f>
        <v/>
      </c>
      <c r="BW1003">
        <f>IFERROR(INDEX(PP_Grid[#Data],$DD1003,73),0)</f>
        <v/>
      </c>
      <c r="BX1003">
        <f>IFERROR(INDEX(PP_Grid[#Data],$DD1003,74),0)</f>
        <v/>
      </c>
      <c r="BY1003">
        <f>IFERROR(INDEX(PP_Grid[#Data],$DD1003,75),0)</f>
        <v/>
      </c>
      <c r="BZ1003">
        <f>IFERROR(INDEX(PP_Grid[#Data],$DD1003,76),0)</f>
        <v/>
      </c>
      <c r="CA1003">
        <f>IFERROR(INDEX(PP_Grid[#Data],$DD1003,77),0)</f>
        <v/>
      </c>
      <c r="CB1003">
        <f>IFERROR(INDEX(PP_Grid[#Data],$DD1003,78),0)</f>
        <v/>
      </c>
      <c r="CC1003">
        <f>IFERROR(INDEX(PP_Grid[#Data],$DD1003,79),0)</f>
        <v/>
      </c>
      <c r="CD1003">
        <f>IFERROR(INDEX(PP_Grid[#Data],$DD1003,80),0)</f>
        <v/>
      </c>
      <c r="CE1003">
        <f>IFERROR(INDEX(PP_Grid[#Data],$DD1003,81),0)</f>
        <v/>
      </c>
      <c r="CF1003">
        <f>IFERROR(INDEX(PP_Grid[#Data],$DD1003,82),0)</f>
        <v/>
      </c>
      <c r="CG1003">
        <f>IFERROR(INDEX(PP_Grid[#Data],$DD1003,83),0)</f>
        <v/>
      </c>
      <c r="CH1003">
        <f>IFERROR(INDEX(PP_Grid[#Data],$DD1003,84),0)</f>
        <v/>
      </c>
      <c r="CI1003">
        <f>IFERROR(INDEX(PP_Grid[#Data],$DD1003,85),0)</f>
        <v/>
      </c>
      <c r="CJ1003">
        <f>IFERROR(INDEX(PP_Grid[#Data],$DD1003,86),0)</f>
        <v/>
      </c>
      <c r="CK1003">
        <f>IFERROR(INDEX(PP_Grid[#Data],$DD1003,87),0)</f>
        <v/>
      </c>
      <c r="CL1003">
        <f>IFERROR(INDEX(PP_Grid[#Data],$DD1003,88),0)</f>
        <v/>
      </c>
      <c r="CM1003">
        <f>IFERROR(INDEX(PP_Grid[#Data],$DD1003,89),0)</f>
        <v/>
      </c>
      <c r="CN1003">
        <f>IFERROR(INDEX(PP_Grid[#Data],$DD1003,90),0)</f>
        <v/>
      </c>
      <c r="CO1003">
        <f>IFERROR(INDEX(PP_Grid[#Data],$DD1003,91),0)</f>
        <v/>
      </c>
      <c r="CP1003">
        <f>IFERROR(INDEX(PP_Grid[#Data],$DD1003,92),0)</f>
        <v/>
      </c>
      <c r="CQ1003">
        <f>IFERROR(INDEX(PP_Grid[#Data],$DD1003,93),0)</f>
        <v/>
      </c>
      <c r="CR1003">
        <f>IFERROR(INDEX(PP_Grid[#Data],$DD1003,94),0)</f>
        <v/>
      </c>
      <c r="CS1003">
        <f>IFERROR(INDEX(PP_Grid[#Data],$DD1003,95),0)</f>
        <v/>
      </c>
      <c r="CT1003">
        <f>IFERROR(INDEX(PP_Grid[#Data],$DD1003,96),0)</f>
        <v/>
      </c>
      <c r="CU1003">
        <f>IFERROR(INDEX(PP_Grid[#Data],$DD1003,97),0)</f>
        <v/>
      </c>
      <c r="CV1003">
        <f>IFERROR(INDEX(PP_Grid[#Data],$DD1003,98),0)</f>
        <v/>
      </c>
      <c r="CW1003">
        <f>IFERROR(INDEX(PP_Grid[#Data],$DD1003,99),0)</f>
        <v/>
      </c>
      <c r="CX1003">
        <f>IFERROR(INDEX(PP_Grid[#Data],$DD1003,100),0)</f>
        <v/>
      </c>
      <c r="CY1003">
        <f>IFERROR(INDEX(PP_Grid[#Data],$DD1003,101),0)</f>
        <v/>
      </c>
      <c r="CZ1003">
        <f>IFERROR(INDEX(PP_Grid[#Data],$DD1003,102),0)</f>
        <v/>
      </c>
      <c r="DA1003">
        <f>IFERROR(INDEX(PP_Grid[#Data],$DD1003,103),0)</f>
        <v/>
      </c>
      <c r="DB1003">
        <f>IFERROR(INDEX(PP_Grid[#Data],$DD1003,104),0)</f>
        <v/>
      </c>
      <c r="DC1003">
        <f>IFERROR(INDEX(PP_Grid[#Data],$DD1003,105),0)</f>
        <v/>
      </c>
      <c r="DD1003" s="12">
        <f>IFERROR(MATCH($B1003,PP_Grid[Intermediate],0),99999)</f>
        <v/>
      </c>
    </row>
    <row r="1004">
      <c r="B1004" t="inlineStr">
        <is>
          <t>使用量(kg)</t>
        </is>
      </c>
      <c r="C1004">
        <f>SUMIFS(M_BOM[RM_Qty_Per_Batch],M_BOM[Intermediate],$B1003,M_BOM[Part Name],$A988)</f>
        <v/>
      </c>
      <c r="D1004">
        <f>$C1004*D1003</f>
        <v/>
      </c>
      <c r="E1004">
        <f>$C1004*E1003</f>
        <v/>
      </c>
      <c r="F1004">
        <f>$C1004*F1003</f>
        <v/>
      </c>
      <c r="G1004">
        <f>$C1004*G1003</f>
        <v/>
      </c>
      <c r="H1004">
        <f>$C1004*H1003</f>
        <v/>
      </c>
      <c r="I1004">
        <f>$C1004*I1003</f>
        <v/>
      </c>
      <c r="J1004">
        <f>$C1004*J1003</f>
        <v/>
      </c>
      <c r="K1004">
        <f>$C1004*K1003</f>
        <v/>
      </c>
      <c r="L1004">
        <f>$C1004*L1003</f>
        <v/>
      </c>
      <c r="M1004">
        <f>$C1004*M1003</f>
        <v/>
      </c>
      <c r="N1004">
        <f>$C1004*N1003</f>
        <v/>
      </c>
      <c r="O1004">
        <f>$C1004*O1003</f>
        <v/>
      </c>
      <c r="P1004">
        <f>$C1004*P1003</f>
        <v/>
      </c>
      <c r="Q1004">
        <f>$C1004*Q1003</f>
        <v/>
      </c>
      <c r="R1004">
        <f>$C1004*R1003</f>
        <v/>
      </c>
      <c r="S1004">
        <f>$C1004*S1003</f>
        <v/>
      </c>
      <c r="T1004">
        <f>$C1004*T1003</f>
        <v/>
      </c>
      <c r="U1004">
        <f>$C1004*U1003</f>
        <v/>
      </c>
      <c r="V1004">
        <f>$C1004*V1003</f>
        <v/>
      </c>
      <c r="W1004">
        <f>$C1004*W1003</f>
        <v/>
      </c>
      <c r="X1004">
        <f>$C1004*X1003</f>
        <v/>
      </c>
      <c r="Y1004">
        <f>$C1004*Y1003</f>
        <v/>
      </c>
      <c r="Z1004">
        <f>$C1004*Z1003</f>
        <v/>
      </c>
      <c r="AA1004">
        <f>$C1004*AA1003</f>
        <v/>
      </c>
      <c r="AB1004">
        <f>$C1004*AB1003</f>
        <v/>
      </c>
      <c r="AC1004">
        <f>$C1004*AC1003</f>
        <v/>
      </c>
      <c r="AD1004">
        <f>$C1004*AD1003</f>
        <v/>
      </c>
      <c r="AE1004">
        <f>$C1004*AE1003</f>
        <v/>
      </c>
      <c r="AF1004">
        <f>$C1004*AF1003</f>
        <v/>
      </c>
      <c r="AG1004">
        <f>$C1004*AG1003</f>
        <v/>
      </c>
      <c r="AH1004">
        <f>$C1004*AH1003</f>
        <v/>
      </c>
      <c r="AI1004">
        <f>$C1004*AI1003</f>
        <v/>
      </c>
      <c r="AJ1004">
        <f>$C1004*AJ1003</f>
        <v/>
      </c>
      <c r="AK1004">
        <f>$C1004*AK1003</f>
        <v/>
      </c>
      <c r="AL1004">
        <f>$C1004*AL1003</f>
        <v/>
      </c>
      <c r="AM1004">
        <f>$C1004*AM1003</f>
        <v/>
      </c>
      <c r="AN1004">
        <f>$C1004*AN1003</f>
        <v/>
      </c>
      <c r="AO1004">
        <f>$C1004*AO1003</f>
        <v/>
      </c>
      <c r="AP1004">
        <f>$C1004*AP1003</f>
        <v/>
      </c>
      <c r="AQ1004">
        <f>$C1004*AQ1003</f>
        <v/>
      </c>
      <c r="AR1004">
        <f>$C1004*AR1003</f>
        <v/>
      </c>
      <c r="AS1004">
        <f>$C1004*AS1003</f>
        <v/>
      </c>
      <c r="AT1004">
        <f>$C1004*AT1003</f>
        <v/>
      </c>
      <c r="AU1004">
        <f>$C1004*AU1003</f>
        <v/>
      </c>
      <c r="AV1004">
        <f>$C1004*AV1003</f>
        <v/>
      </c>
      <c r="AW1004">
        <f>$C1004*AW1003</f>
        <v/>
      </c>
      <c r="AX1004">
        <f>$C1004*AX1003</f>
        <v/>
      </c>
      <c r="AY1004">
        <f>$C1004*AY1003</f>
        <v/>
      </c>
      <c r="AZ1004">
        <f>$C1004*AZ1003</f>
        <v/>
      </c>
      <c r="BA1004">
        <f>$C1004*BA1003</f>
        <v/>
      </c>
      <c r="BB1004">
        <f>$C1004*BB1003</f>
        <v/>
      </c>
      <c r="BC1004">
        <f>$C1004*BC1003</f>
        <v/>
      </c>
      <c r="BD1004">
        <f>$C1004*BD1003</f>
        <v/>
      </c>
      <c r="BE1004">
        <f>$C1004*BE1003</f>
        <v/>
      </c>
      <c r="BF1004">
        <f>$C1004*BF1003</f>
        <v/>
      </c>
      <c r="BG1004">
        <f>$C1004*BG1003</f>
        <v/>
      </c>
      <c r="BH1004">
        <f>$C1004*BH1003</f>
        <v/>
      </c>
      <c r="BI1004">
        <f>$C1004*BI1003</f>
        <v/>
      </c>
      <c r="BJ1004">
        <f>$C1004*BJ1003</f>
        <v/>
      </c>
      <c r="BK1004">
        <f>$C1004*BK1003</f>
        <v/>
      </c>
      <c r="BL1004">
        <f>$C1004*BL1003</f>
        <v/>
      </c>
      <c r="BM1004">
        <f>$C1004*BM1003</f>
        <v/>
      </c>
      <c r="BN1004">
        <f>$C1004*BN1003</f>
        <v/>
      </c>
      <c r="BO1004">
        <f>$C1004*BO1003</f>
        <v/>
      </c>
      <c r="BP1004">
        <f>$C1004*BP1003</f>
        <v/>
      </c>
      <c r="BQ1004">
        <f>$C1004*BQ1003</f>
        <v/>
      </c>
      <c r="BR1004">
        <f>$C1004*BR1003</f>
        <v/>
      </c>
      <c r="BS1004">
        <f>$C1004*BS1003</f>
        <v/>
      </c>
      <c r="BT1004">
        <f>$C1004*BT1003</f>
        <v/>
      </c>
      <c r="BU1004">
        <f>$C1004*BU1003</f>
        <v/>
      </c>
      <c r="BV1004">
        <f>$C1004*BV1003</f>
        <v/>
      </c>
      <c r="BW1004">
        <f>$C1004*BW1003</f>
        <v/>
      </c>
      <c r="BX1004">
        <f>$C1004*BX1003</f>
        <v/>
      </c>
      <c r="BY1004">
        <f>$C1004*BY1003</f>
        <v/>
      </c>
      <c r="BZ1004">
        <f>$C1004*BZ1003</f>
        <v/>
      </c>
      <c r="CA1004">
        <f>$C1004*CA1003</f>
        <v/>
      </c>
      <c r="CB1004">
        <f>$C1004*CB1003</f>
        <v/>
      </c>
      <c r="CC1004">
        <f>$C1004*CC1003</f>
        <v/>
      </c>
      <c r="CD1004">
        <f>$C1004*CD1003</f>
        <v/>
      </c>
      <c r="CE1004">
        <f>$C1004*CE1003</f>
        <v/>
      </c>
      <c r="CF1004">
        <f>$C1004*CF1003</f>
        <v/>
      </c>
      <c r="CG1004">
        <f>$C1004*CG1003</f>
        <v/>
      </c>
      <c r="CH1004">
        <f>$C1004*CH1003</f>
        <v/>
      </c>
      <c r="CI1004">
        <f>$C1004*CI1003</f>
        <v/>
      </c>
      <c r="CJ1004">
        <f>$C1004*CJ1003</f>
        <v/>
      </c>
      <c r="CK1004">
        <f>$C1004*CK1003</f>
        <v/>
      </c>
      <c r="CL1004">
        <f>$C1004*CL1003</f>
        <v/>
      </c>
      <c r="CM1004">
        <f>$C1004*CM1003</f>
        <v/>
      </c>
      <c r="CN1004">
        <f>$C1004*CN1003</f>
        <v/>
      </c>
      <c r="CO1004">
        <f>$C1004*CO1003</f>
        <v/>
      </c>
      <c r="CP1004">
        <f>$C1004*CP1003</f>
        <v/>
      </c>
      <c r="CQ1004">
        <f>$C1004*CQ1003</f>
        <v/>
      </c>
      <c r="CR1004">
        <f>$C1004*CR1003</f>
        <v/>
      </c>
      <c r="CS1004">
        <f>$C1004*CS1003</f>
        <v/>
      </c>
      <c r="CT1004">
        <f>$C1004*CT1003</f>
        <v/>
      </c>
      <c r="CU1004">
        <f>$C1004*CU1003</f>
        <v/>
      </c>
      <c r="CV1004">
        <f>$C1004*CV1003</f>
        <v/>
      </c>
      <c r="CW1004">
        <f>$C1004*CW1003</f>
        <v/>
      </c>
      <c r="CX1004">
        <f>$C1004*CX1003</f>
        <v/>
      </c>
      <c r="CY1004">
        <f>$C1004*CY1003</f>
        <v/>
      </c>
      <c r="CZ1004">
        <f>$C1004*CZ1003</f>
        <v/>
      </c>
      <c r="DA1004">
        <f>$C1004*DA1003</f>
        <v/>
      </c>
      <c r="DB1004">
        <f>$C1004*DB1003</f>
        <v/>
      </c>
      <c r="DC1004">
        <f>$C1004*DC1003</f>
        <v/>
      </c>
    </row>
    <row r="1005">
      <c r="B1005" t="inlineStr">
        <is>
          <t>TSP-623</t>
        </is>
      </c>
      <c r="C1005" t="inlineStr">
        <is>
          <t>No. of batches</t>
        </is>
      </c>
      <c r="D1005">
        <f>IFERROR(INDEX(PP_Grid[#Data],$DD1005,2),0)</f>
        <v/>
      </c>
      <c r="E1005">
        <f>IFERROR(INDEX(PP_Grid[#Data],$DD1005,3),0)</f>
        <v/>
      </c>
      <c r="F1005">
        <f>IFERROR(INDEX(PP_Grid[#Data],$DD1005,4),0)</f>
        <v/>
      </c>
      <c r="G1005">
        <f>IFERROR(INDEX(PP_Grid[#Data],$DD1005,5),0)</f>
        <v/>
      </c>
      <c r="H1005">
        <f>IFERROR(INDEX(PP_Grid[#Data],$DD1005,6),0)</f>
        <v/>
      </c>
      <c r="I1005">
        <f>IFERROR(INDEX(PP_Grid[#Data],$DD1005,7),0)</f>
        <v/>
      </c>
      <c r="J1005">
        <f>IFERROR(INDEX(PP_Grid[#Data],$DD1005,8),0)</f>
        <v/>
      </c>
      <c r="K1005">
        <f>IFERROR(INDEX(PP_Grid[#Data],$DD1005,9),0)</f>
        <v/>
      </c>
      <c r="L1005">
        <f>IFERROR(INDEX(PP_Grid[#Data],$DD1005,10),0)</f>
        <v/>
      </c>
      <c r="M1005">
        <f>IFERROR(INDEX(PP_Grid[#Data],$DD1005,11),0)</f>
        <v/>
      </c>
      <c r="N1005">
        <f>IFERROR(INDEX(PP_Grid[#Data],$DD1005,12),0)</f>
        <v/>
      </c>
      <c r="O1005">
        <f>IFERROR(INDEX(PP_Grid[#Data],$DD1005,13),0)</f>
        <v/>
      </c>
      <c r="P1005">
        <f>IFERROR(INDEX(PP_Grid[#Data],$DD1005,14),0)</f>
        <v/>
      </c>
      <c r="Q1005">
        <f>IFERROR(INDEX(PP_Grid[#Data],$DD1005,15),0)</f>
        <v/>
      </c>
      <c r="R1005">
        <f>IFERROR(INDEX(PP_Grid[#Data],$DD1005,16),0)</f>
        <v/>
      </c>
      <c r="S1005">
        <f>IFERROR(INDEX(PP_Grid[#Data],$DD1005,17),0)</f>
        <v/>
      </c>
      <c r="T1005">
        <f>IFERROR(INDEX(PP_Grid[#Data],$DD1005,18),0)</f>
        <v/>
      </c>
      <c r="U1005">
        <f>IFERROR(INDEX(PP_Grid[#Data],$DD1005,19),0)</f>
        <v/>
      </c>
      <c r="V1005">
        <f>IFERROR(INDEX(PP_Grid[#Data],$DD1005,20),0)</f>
        <v/>
      </c>
      <c r="W1005">
        <f>IFERROR(INDEX(PP_Grid[#Data],$DD1005,21),0)</f>
        <v/>
      </c>
      <c r="X1005">
        <f>IFERROR(INDEX(PP_Grid[#Data],$DD1005,22),0)</f>
        <v/>
      </c>
      <c r="Y1005">
        <f>IFERROR(INDEX(PP_Grid[#Data],$DD1005,23),0)</f>
        <v/>
      </c>
      <c r="Z1005">
        <f>IFERROR(INDEX(PP_Grid[#Data],$DD1005,24),0)</f>
        <v/>
      </c>
      <c r="AA1005">
        <f>IFERROR(INDEX(PP_Grid[#Data],$DD1005,25),0)</f>
        <v/>
      </c>
      <c r="AB1005">
        <f>IFERROR(INDEX(PP_Grid[#Data],$DD1005,26),0)</f>
        <v/>
      </c>
      <c r="AC1005">
        <f>IFERROR(INDEX(PP_Grid[#Data],$DD1005,27),0)</f>
        <v/>
      </c>
      <c r="AD1005">
        <f>IFERROR(INDEX(PP_Grid[#Data],$DD1005,28),0)</f>
        <v/>
      </c>
      <c r="AE1005">
        <f>IFERROR(INDEX(PP_Grid[#Data],$DD1005,29),0)</f>
        <v/>
      </c>
      <c r="AF1005">
        <f>IFERROR(INDEX(PP_Grid[#Data],$DD1005,30),0)</f>
        <v/>
      </c>
      <c r="AG1005">
        <f>IFERROR(INDEX(PP_Grid[#Data],$DD1005,31),0)</f>
        <v/>
      </c>
      <c r="AH1005">
        <f>IFERROR(INDEX(PP_Grid[#Data],$DD1005,32),0)</f>
        <v/>
      </c>
      <c r="AI1005">
        <f>IFERROR(INDEX(PP_Grid[#Data],$DD1005,33),0)</f>
        <v/>
      </c>
      <c r="AJ1005">
        <f>IFERROR(INDEX(PP_Grid[#Data],$DD1005,34),0)</f>
        <v/>
      </c>
      <c r="AK1005">
        <f>IFERROR(INDEX(PP_Grid[#Data],$DD1005,35),0)</f>
        <v/>
      </c>
      <c r="AL1005">
        <f>IFERROR(INDEX(PP_Grid[#Data],$DD1005,36),0)</f>
        <v/>
      </c>
      <c r="AM1005">
        <f>IFERROR(INDEX(PP_Grid[#Data],$DD1005,37),0)</f>
        <v/>
      </c>
      <c r="AN1005">
        <f>IFERROR(INDEX(PP_Grid[#Data],$DD1005,38),0)</f>
        <v/>
      </c>
      <c r="AO1005">
        <f>IFERROR(INDEX(PP_Grid[#Data],$DD1005,39),0)</f>
        <v/>
      </c>
      <c r="AP1005">
        <f>IFERROR(INDEX(PP_Grid[#Data],$DD1005,40),0)</f>
        <v/>
      </c>
      <c r="AQ1005">
        <f>IFERROR(INDEX(PP_Grid[#Data],$DD1005,41),0)</f>
        <v/>
      </c>
      <c r="AR1005">
        <f>IFERROR(INDEX(PP_Grid[#Data],$DD1005,42),0)</f>
        <v/>
      </c>
      <c r="AS1005">
        <f>IFERROR(INDEX(PP_Grid[#Data],$DD1005,43),0)</f>
        <v/>
      </c>
      <c r="AT1005">
        <f>IFERROR(INDEX(PP_Grid[#Data],$DD1005,44),0)</f>
        <v/>
      </c>
      <c r="AU1005">
        <f>IFERROR(INDEX(PP_Grid[#Data],$DD1005,45),0)</f>
        <v/>
      </c>
      <c r="AV1005">
        <f>IFERROR(INDEX(PP_Grid[#Data],$DD1005,46),0)</f>
        <v/>
      </c>
      <c r="AW1005">
        <f>IFERROR(INDEX(PP_Grid[#Data],$DD1005,47),0)</f>
        <v/>
      </c>
      <c r="AX1005">
        <f>IFERROR(INDEX(PP_Grid[#Data],$DD1005,48),0)</f>
        <v/>
      </c>
      <c r="AY1005">
        <f>IFERROR(INDEX(PP_Grid[#Data],$DD1005,49),0)</f>
        <v/>
      </c>
      <c r="AZ1005">
        <f>IFERROR(INDEX(PP_Grid[#Data],$DD1005,50),0)</f>
        <v/>
      </c>
      <c r="BA1005">
        <f>IFERROR(INDEX(PP_Grid[#Data],$DD1005,51),0)</f>
        <v/>
      </c>
      <c r="BB1005">
        <f>IFERROR(INDEX(PP_Grid[#Data],$DD1005,52),0)</f>
        <v/>
      </c>
      <c r="BC1005">
        <f>IFERROR(INDEX(PP_Grid[#Data],$DD1005,53),0)</f>
        <v/>
      </c>
      <c r="BD1005">
        <f>IFERROR(INDEX(PP_Grid[#Data],$DD1005,54),0)</f>
        <v/>
      </c>
      <c r="BE1005">
        <f>IFERROR(INDEX(PP_Grid[#Data],$DD1005,55),0)</f>
        <v/>
      </c>
      <c r="BF1005">
        <f>IFERROR(INDEX(PP_Grid[#Data],$DD1005,56),0)</f>
        <v/>
      </c>
      <c r="BG1005">
        <f>IFERROR(INDEX(PP_Grid[#Data],$DD1005,57),0)</f>
        <v/>
      </c>
      <c r="BH1005">
        <f>IFERROR(INDEX(PP_Grid[#Data],$DD1005,58),0)</f>
        <v/>
      </c>
      <c r="BI1005">
        <f>IFERROR(INDEX(PP_Grid[#Data],$DD1005,59),0)</f>
        <v/>
      </c>
      <c r="BJ1005">
        <f>IFERROR(INDEX(PP_Grid[#Data],$DD1005,60),0)</f>
        <v/>
      </c>
      <c r="BK1005">
        <f>IFERROR(INDEX(PP_Grid[#Data],$DD1005,61),0)</f>
        <v/>
      </c>
      <c r="BL1005">
        <f>IFERROR(INDEX(PP_Grid[#Data],$DD1005,62),0)</f>
        <v/>
      </c>
      <c r="BM1005">
        <f>IFERROR(INDEX(PP_Grid[#Data],$DD1005,63),0)</f>
        <v/>
      </c>
      <c r="BN1005">
        <f>IFERROR(INDEX(PP_Grid[#Data],$DD1005,64),0)</f>
        <v/>
      </c>
      <c r="BO1005">
        <f>IFERROR(INDEX(PP_Grid[#Data],$DD1005,65),0)</f>
        <v/>
      </c>
      <c r="BP1005">
        <f>IFERROR(INDEX(PP_Grid[#Data],$DD1005,66),0)</f>
        <v/>
      </c>
      <c r="BQ1005">
        <f>IFERROR(INDEX(PP_Grid[#Data],$DD1005,67),0)</f>
        <v/>
      </c>
      <c r="BR1005">
        <f>IFERROR(INDEX(PP_Grid[#Data],$DD1005,68),0)</f>
        <v/>
      </c>
      <c r="BS1005">
        <f>IFERROR(INDEX(PP_Grid[#Data],$DD1005,69),0)</f>
        <v/>
      </c>
      <c r="BT1005">
        <f>IFERROR(INDEX(PP_Grid[#Data],$DD1005,70),0)</f>
        <v/>
      </c>
      <c r="BU1005">
        <f>IFERROR(INDEX(PP_Grid[#Data],$DD1005,71),0)</f>
        <v/>
      </c>
      <c r="BV1005">
        <f>IFERROR(INDEX(PP_Grid[#Data],$DD1005,72),0)</f>
        <v/>
      </c>
      <c r="BW1005">
        <f>IFERROR(INDEX(PP_Grid[#Data],$DD1005,73),0)</f>
        <v/>
      </c>
      <c r="BX1005">
        <f>IFERROR(INDEX(PP_Grid[#Data],$DD1005,74),0)</f>
        <v/>
      </c>
      <c r="BY1005">
        <f>IFERROR(INDEX(PP_Grid[#Data],$DD1005,75),0)</f>
        <v/>
      </c>
      <c r="BZ1005">
        <f>IFERROR(INDEX(PP_Grid[#Data],$DD1005,76),0)</f>
        <v/>
      </c>
      <c r="CA1005">
        <f>IFERROR(INDEX(PP_Grid[#Data],$DD1005,77),0)</f>
        <v/>
      </c>
      <c r="CB1005">
        <f>IFERROR(INDEX(PP_Grid[#Data],$DD1005,78),0)</f>
        <v/>
      </c>
      <c r="CC1005">
        <f>IFERROR(INDEX(PP_Grid[#Data],$DD1005,79),0)</f>
        <v/>
      </c>
      <c r="CD1005">
        <f>IFERROR(INDEX(PP_Grid[#Data],$DD1005,80),0)</f>
        <v/>
      </c>
      <c r="CE1005">
        <f>IFERROR(INDEX(PP_Grid[#Data],$DD1005,81),0)</f>
        <v/>
      </c>
      <c r="CF1005">
        <f>IFERROR(INDEX(PP_Grid[#Data],$DD1005,82),0)</f>
        <v/>
      </c>
      <c r="CG1005">
        <f>IFERROR(INDEX(PP_Grid[#Data],$DD1005,83),0)</f>
        <v/>
      </c>
      <c r="CH1005">
        <f>IFERROR(INDEX(PP_Grid[#Data],$DD1005,84),0)</f>
        <v/>
      </c>
      <c r="CI1005">
        <f>IFERROR(INDEX(PP_Grid[#Data],$DD1005,85),0)</f>
        <v/>
      </c>
      <c r="CJ1005">
        <f>IFERROR(INDEX(PP_Grid[#Data],$DD1005,86),0)</f>
        <v/>
      </c>
      <c r="CK1005">
        <f>IFERROR(INDEX(PP_Grid[#Data],$DD1005,87),0)</f>
        <v/>
      </c>
      <c r="CL1005">
        <f>IFERROR(INDEX(PP_Grid[#Data],$DD1005,88),0)</f>
        <v/>
      </c>
      <c r="CM1005">
        <f>IFERROR(INDEX(PP_Grid[#Data],$DD1005,89),0)</f>
        <v/>
      </c>
      <c r="CN1005">
        <f>IFERROR(INDEX(PP_Grid[#Data],$DD1005,90),0)</f>
        <v/>
      </c>
      <c r="CO1005">
        <f>IFERROR(INDEX(PP_Grid[#Data],$DD1005,91),0)</f>
        <v/>
      </c>
      <c r="CP1005">
        <f>IFERROR(INDEX(PP_Grid[#Data],$DD1005,92),0)</f>
        <v/>
      </c>
      <c r="CQ1005">
        <f>IFERROR(INDEX(PP_Grid[#Data],$DD1005,93),0)</f>
        <v/>
      </c>
      <c r="CR1005">
        <f>IFERROR(INDEX(PP_Grid[#Data],$DD1005,94),0)</f>
        <v/>
      </c>
      <c r="CS1005">
        <f>IFERROR(INDEX(PP_Grid[#Data],$DD1005,95),0)</f>
        <v/>
      </c>
      <c r="CT1005">
        <f>IFERROR(INDEX(PP_Grid[#Data],$DD1005,96),0)</f>
        <v/>
      </c>
      <c r="CU1005">
        <f>IFERROR(INDEX(PP_Grid[#Data],$DD1005,97),0)</f>
        <v/>
      </c>
      <c r="CV1005">
        <f>IFERROR(INDEX(PP_Grid[#Data],$DD1005,98),0)</f>
        <v/>
      </c>
      <c r="CW1005">
        <f>IFERROR(INDEX(PP_Grid[#Data],$DD1005,99),0)</f>
        <v/>
      </c>
      <c r="CX1005">
        <f>IFERROR(INDEX(PP_Grid[#Data],$DD1005,100),0)</f>
        <v/>
      </c>
      <c r="CY1005">
        <f>IFERROR(INDEX(PP_Grid[#Data],$DD1005,101),0)</f>
        <v/>
      </c>
      <c r="CZ1005">
        <f>IFERROR(INDEX(PP_Grid[#Data],$DD1005,102),0)</f>
        <v/>
      </c>
      <c r="DA1005">
        <f>IFERROR(INDEX(PP_Grid[#Data],$DD1005,103),0)</f>
        <v/>
      </c>
      <c r="DB1005">
        <f>IFERROR(INDEX(PP_Grid[#Data],$DD1005,104),0)</f>
        <v/>
      </c>
      <c r="DC1005">
        <f>IFERROR(INDEX(PP_Grid[#Data],$DD1005,105),0)</f>
        <v/>
      </c>
      <c r="DD1005" s="12">
        <f>IFERROR(MATCH($B1005,PP_Grid[Intermediate],0),99999)</f>
        <v/>
      </c>
    </row>
    <row r="1006">
      <c r="B1006" t="inlineStr">
        <is>
          <t>使用量(kg)</t>
        </is>
      </c>
      <c r="C1006">
        <f>SUMIFS(M_BOM[RM_Qty_Per_Batch],M_BOM[Intermediate],$B1005,M_BOM[Part Name],$A988)</f>
        <v/>
      </c>
      <c r="D1006">
        <f>$C1006*D1005</f>
        <v/>
      </c>
      <c r="E1006">
        <f>$C1006*E1005</f>
        <v/>
      </c>
      <c r="F1006">
        <f>$C1006*F1005</f>
        <v/>
      </c>
      <c r="G1006">
        <f>$C1006*G1005</f>
        <v/>
      </c>
      <c r="H1006">
        <f>$C1006*H1005</f>
        <v/>
      </c>
      <c r="I1006">
        <f>$C1006*I1005</f>
        <v/>
      </c>
      <c r="J1006">
        <f>$C1006*J1005</f>
        <v/>
      </c>
      <c r="K1006">
        <f>$C1006*K1005</f>
        <v/>
      </c>
      <c r="L1006">
        <f>$C1006*L1005</f>
        <v/>
      </c>
      <c r="M1006">
        <f>$C1006*M1005</f>
        <v/>
      </c>
      <c r="N1006">
        <f>$C1006*N1005</f>
        <v/>
      </c>
      <c r="O1006">
        <f>$C1006*O1005</f>
        <v/>
      </c>
      <c r="P1006">
        <f>$C1006*P1005</f>
        <v/>
      </c>
      <c r="Q1006">
        <f>$C1006*Q1005</f>
        <v/>
      </c>
      <c r="R1006">
        <f>$C1006*R1005</f>
        <v/>
      </c>
      <c r="S1006">
        <f>$C1006*S1005</f>
        <v/>
      </c>
      <c r="T1006">
        <f>$C1006*T1005</f>
        <v/>
      </c>
      <c r="U1006">
        <f>$C1006*U1005</f>
        <v/>
      </c>
      <c r="V1006">
        <f>$C1006*V1005</f>
        <v/>
      </c>
      <c r="W1006">
        <f>$C1006*W1005</f>
        <v/>
      </c>
      <c r="X1006">
        <f>$C1006*X1005</f>
        <v/>
      </c>
      <c r="Y1006">
        <f>$C1006*Y1005</f>
        <v/>
      </c>
      <c r="Z1006">
        <f>$C1006*Z1005</f>
        <v/>
      </c>
      <c r="AA1006">
        <f>$C1006*AA1005</f>
        <v/>
      </c>
      <c r="AB1006">
        <f>$C1006*AB1005</f>
        <v/>
      </c>
      <c r="AC1006">
        <f>$C1006*AC1005</f>
        <v/>
      </c>
      <c r="AD1006">
        <f>$C1006*AD1005</f>
        <v/>
      </c>
      <c r="AE1006">
        <f>$C1006*AE1005</f>
        <v/>
      </c>
      <c r="AF1006">
        <f>$C1006*AF1005</f>
        <v/>
      </c>
      <c r="AG1006">
        <f>$C1006*AG1005</f>
        <v/>
      </c>
      <c r="AH1006">
        <f>$C1006*AH1005</f>
        <v/>
      </c>
      <c r="AI1006">
        <f>$C1006*AI1005</f>
        <v/>
      </c>
      <c r="AJ1006">
        <f>$C1006*AJ1005</f>
        <v/>
      </c>
      <c r="AK1006">
        <f>$C1006*AK1005</f>
        <v/>
      </c>
      <c r="AL1006">
        <f>$C1006*AL1005</f>
        <v/>
      </c>
      <c r="AM1006">
        <f>$C1006*AM1005</f>
        <v/>
      </c>
      <c r="AN1006">
        <f>$C1006*AN1005</f>
        <v/>
      </c>
      <c r="AO1006">
        <f>$C1006*AO1005</f>
        <v/>
      </c>
      <c r="AP1006">
        <f>$C1006*AP1005</f>
        <v/>
      </c>
      <c r="AQ1006">
        <f>$C1006*AQ1005</f>
        <v/>
      </c>
      <c r="AR1006">
        <f>$C1006*AR1005</f>
        <v/>
      </c>
      <c r="AS1006">
        <f>$C1006*AS1005</f>
        <v/>
      </c>
      <c r="AT1006">
        <f>$C1006*AT1005</f>
        <v/>
      </c>
      <c r="AU1006">
        <f>$C1006*AU1005</f>
        <v/>
      </c>
      <c r="AV1006">
        <f>$C1006*AV1005</f>
        <v/>
      </c>
      <c r="AW1006">
        <f>$C1006*AW1005</f>
        <v/>
      </c>
      <c r="AX1006">
        <f>$C1006*AX1005</f>
        <v/>
      </c>
      <c r="AY1006">
        <f>$C1006*AY1005</f>
        <v/>
      </c>
      <c r="AZ1006">
        <f>$C1006*AZ1005</f>
        <v/>
      </c>
      <c r="BA1006">
        <f>$C1006*BA1005</f>
        <v/>
      </c>
      <c r="BB1006">
        <f>$C1006*BB1005</f>
        <v/>
      </c>
      <c r="BC1006">
        <f>$C1006*BC1005</f>
        <v/>
      </c>
      <c r="BD1006">
        <f>$C1006*BD1005</f>
        <v/>
      </c>
      <c r="BE1006">
        <f>$C1006*BE1005</f>
        <v/>
      </c>
      <c r="BF1006">
        <f>$C1006*BF1005</f>
        <v/>
      </c>
      <c r="BG1006">
        <f>$C1006*BG1005</f>
        <v/>
      </c>
      <c r="BH1006">
        <f>$C1006*BH1005</f>
        <v/>
      </c>
      <c r="BI1006">
        <f>$C1006*BI1005</f>
        <v/>
      </c>
      <c r="BJ1006">
        <f>$C1006*BJ1005</f>
        <v/>
      </c>
      <c r="BK1006">
        <f>$C1006*BK1005</f>
        <v/>
      </c>
      <c r="BL1006">
        <f>$C1006*BL1005</f>
        <v/>
      </c>
      <c r="BM1006">
        <f>$C1006*BM1005</f>
        <v/>
      </c>
      <c r="BN1006">
        <f>$C1006*BN1005</f>
        <v/>
      </c>
      <c r="BO1006">
        <f>$C1006*BO1005</f>
        <v/>
      </c>
      <c r="BP1006">
        <f>$C1006*BP1005</f>
        <v/>
      </c>
      <c r="BQ1006">
        <f>$C1006*BQ1005</f>
        <v/>
      </c>
      <c r="BR1006">
        <f>$C1006*BR1005</f>
        <v/>
      </c>
      <c r="BS1006">
        <f>$C1006*BS1005</f>
        <v/>
      </c>
      <c r="BT1006">
        <f>$C1006*BT1005</f>
        <v/>
      </c>
      <c r="BU1006">
        <f>$C1006*BU1005</f>
        <v/>
      </c>
      <c r="BV1006">
        <f>$C1006*BV1005</f>
        <v/>
      </c>
      <c r="BW1006">
        <f>$C1006*BW1005</f>
        <v/>
      </c>
      <c r="BX1006">
        <f>$C1006*BX1005</f>
        <v/>
      </c>
      <c r="BY1006">
        <f>$C1006*BY1005</f>
        <v/>
      </c>
      <c r="BZ1006">
        <f>$C1006*BZ1005</f>
        <v/>
      </c>
      <c r="CA1006">
        <f>$C1006*CA1005</f>
        <v/>
      </c>
      <c r="CB1006">
        <f>$C1006*CB1005</f>
        <v/>
      </c>
      <c r="CC1006">
        <f>$C1006*CC1005</f>
        <v/>
      </c>
      <c r="CD1006">
        <f>$C1006*CD1005</f>
        <v/>
      </c>
      <c r="CE1006">
        <f>$C1006*CE1005</f>
        <v/>
      </c>
      <c r="CF1006">
        <f>$C1006*CF1005</f>
        <v/>
      </c>
      <c r="CG1006">
        <f>$C1006*CG1005</f>
        <v/>
      </c>
      <c r="CH1006">
        <f>$C1006*CH1005</f>
        <v/>
      </c>
      <c r="CI1006">
        <f>$C1006*CI1005</f>
        <v/>
      </c>
      <c r="CJ1006">
        <f>$C1006*CJ1005</f>
        <v/>
      </c>
      <c r="CK1006">
        <f>$C1006*CK1005</f>
        <v/>
      </c>
      <c r="CL1006">
        <f>$C1006*CL1005</f>
        <v/>
      </c>
      <c r="CM1006">
        <f>$C1006*CM1005</f>
        <v/>
      </c>
      <c r="CN1006">
        <f>$C1006*CN1005</f>
        <v/>
      </c>
      <c r="CO1006">
        <f>$C1006*CO1005</f>
        <v/>
      </c>
      <c r="CP1006">
        <f>$C1006*CP1005</f>
        <v/>
      </c>
      <c r="CQ1006">
        <f>$C1006*CQ1005</f>
        <v/>
      </c>
      <c r="CR1006">
        <f>$C1006*CR1005</f>
        <v/>
      </c>
      <c r="CS1006">
        <f>$C1006*CS1005</f>
        <v/>
      </c>
      <c r="CT1006">
        <f>$C1006*CT1005</f>
        <v/>
      </c>
      <c r="CU1006">
        <f>$C1006*CU1005</f>
        <v/>
      </c>
      <c r="CV1006">
        <f>$C1006*CV1005</f>
        <v/>
      </c>
      <c r="CW1006">
        <f>$C1006*CW1005</f>
        <v/>
      </c>
      <c r="CX1006">
        <f>$C1006*CX1005</f>
        <v/>
      </c>
      <c r="CY1006">
        <f>$C1006*CY1005</f>
        <v/>
      </c>
      <c r="CZ1006">
        <f>$C1006*CZ1005</f>
        <v/>
      </c>
      <c r="DA1006">
        <f>$C1006*DA1005</f>
        <v/>
      </c>
      <c r="DB1006">
        <f>$C1006*DB1005</f>
        <v/>
      </c>
      <c r="DC1006">
        <f>$C1006*DC1005</f>
        <v/>
      </c>
    </row>
    <row r="1007">
      <c r="B1007" t="inlineStr">
        <is>
          <t>TSP-655</t>
        </is>
      </c>
      <c r="C1007" t="inlineStr">
        <is>
          <t>No. of batches</t>
        </is>
      </c>
      <c r="D1007">
        <f>IFERROR(INDEX(PP_Grid[#Data],$DD1007,2),0)</f>
        <v/>
      </c>
      <c r="E1007">
        <f>IFERROR(INDEX(PP_Grid[#Data],$DD1007,3),0)</f>
        <v/>
      </c>
      <c r="F1007">
        <f>IFERROR(INDEX(PP_Grid[#Data],$DD1007,4),0)</f>
        <v/>
      </c>
      <c r="G1007">
        <f>IFERROR(INDEX(PP_Grid[#Data],$DD1007,5),0)</f>
        <v/>
      </c>
      <c r="H1007">
        <f>IFERROR(INDEX(PP_Grid[#Data],$DD1007,6),0)</f>
        <v/>
      </c>
      <c r="I1007">
        <f>IFERROR(INDEX(PP_Grid[#Data],$DD1007,7),0)</f>
        <v/>
      </c>
      <c r="J1007">
        <f>IFERROR(INDEX(PP_Grid[#Data],$DD1007,8),0)</f>
        <v/>
      </c>
      <c r="K1007">
        <f>IFERROR(INDEX(PP_Grid[#Data],$DD1007,9),0)</f>
        <v/>
      </c>
      <c r="L1007">
        <f>IFERROR(INDEX(PP_Grid[#Data],$DD1007,10),0)</f>
        <v/>
      </c>
      <c r="M1007">
        <f>IFERROR(INDEX(PP_Grid[#Data],$DD1007,11),0)</f>
        <v/>
      </c>
      <c r="N1007">
        <f>IFERROR(INDEX(PP_Grid[#Data],$DD1007,12),0)</f>
        <v/>
      </c>
      <c r="O1007">
        <f>IFERROR(INDEX(PP_Grid[#Data],$DD1007,13),0)</f>
        <v/>
      </c>
      <c r="P1007">
        <f>IFERROR(INDEX(PP_Grid[#Data],$DD1007,14),0)</f>
        <v/>
      </c>
      <c r="Q1007">
        <f>IFERROR(INDEX(PP_Grid[#Data],$DD1007,15),0)</f>
        <v/>
      </c>
      <c r="R1007">
        <f>IFERROR(INDEX(PP_Grid[#Data],$DD1007,16),0)</f>
        <v/>
      </c>
      <c r="S1007">
        <f>IFERROR(INDEX(PP_Grid[#Data],$DD1007,17),0)</f>
        <v/>
      </c>
      <c r="T1007">
        <f>IFERROR(INDEX(PP_Grid[#Data],$DD1007,18),0)</f>
        <v/>
      </c>
      <c r="U1007">
        <f>IFERROR(INDEX(PP_Grid[#Data],$DD1007,19),0)</f>
        <v/>
      </c>
      <c r="V1007">
        <f>IFERROR(INDEX(PP_Grid[#Data],$DD1007,20),0)</f>
        <v/>
      </c>
      <c r="W1007">
        <f>IFERROR(INDEX(PP_Grid[#Data],$DD1007,21),0)</f>
        <v/>
      </c>
      <c r="X1007">
        <f>IFERROR(INDEX(PP_Grid[#Data],$DD1007,22),0)</f>
        <v/>
      </c>
      <c r="Y1007">
        <f>IFERROR(INDEX(PP_Grid[#Data],$DD1007,23),0)</f>
        <v/>
      </c>
      <c r="Z1007">
        <f>IFERROR(INDEX(PP_Grid[#Data],$DD1007,24),0)</f>
        <v/>
      </c>
      <c r="AA1007">
        <f>IFERROR(INDEX(PP_Grid[#Data],$DD1007,25),0)</f>
        <v/>
      </c>
      <c r="AB1007">
        <f>IFERROR(INDEX(PP_Grid[#Data],$DD1007,26),0)</f>
        <v/>
      </c>
      <c r="AC1007">
        <f>IFERROR(INDEX(PP_Grid[#Data],$DD1007,27),0)</f>
        <v/>
      </c>
      <c r="AD1007">
        <f>IFERROR(INDEX(PP_Grid[#Data],$DD1007,28),0)</f>
        <v/>
      </c>
      <c r="AE1007">
        <f>IFERROR(INDEX(PP_Grid[#Data],$DD1007,29),0)</f>
        <v/>
      </c>
      <c r="AF1007">
        <f>IFERROR(INDEX(PP_Grid[#Data],$DD1007,30),0)</f>
        <v/>
      </c>
      <c r="AG1007">
        <f>IFERROR(INDEX(PP_Grid[#Data],$DD1007,31),0)</f>
        <v/>
      </c>
      <c r="AH1007">
        <f>IFERROR(INDEX(PP_Grid[#Data],$DD1007,32),0)</f>
        <v/>
      </c>
      <c r="AI1007">
        <f>IFERROR(INDEX(PP_Grid[#Data],$DD1007,33),0)</f>
        <v/>
      </c>
      <c r="AJ1007">
        <f>IFERROR(INDEX(PP_Grid[#Data],$DD1007,34),0)</f>
        <v/>
      </c>
      <c r="AK1007">
        <f>IFERROR(INDEX(PP_Grid[#Data],$DD1007,35),0)</f>
        <v/>
      </c>
      <c r="AL1007">
        <f>IFERROR(INDEX(PP_Grid[#Data],$DD1007,36),0)</f>
        <v/>
      </c>
      <c r="AM1007">
        <f>IFERROR(INDEX(PP_Grid[#Data],$DD1007,37),0)</f>
        <v/>
      </c>
      <c r="AN1007">
        <f>IFERROR(INDEX(PP_Grid[#Data],$DD1007,38),0)</f>
        <v/>
      </c>
      <c r="AO1007">
        <f>IFERROR(INDEX(PP_Grid[#Data],$DD1007,39),0)</f>
        <v/>
      </c>
      <c r="AP1007">
        <f>IFERROR(INDEX(PP_Grid[#Data],$DD1007,40),0)</f>
        <v/>
      </c>
      <c r="AQ1007">
        <f>IFERROR(INDEX(PP_Grid[#Data],$DD1007,41),0)</f>
        <v/>
      </c>
      <c r="AR1007">
        <f>IFERROR(INDEX(PP_Grid[#Data],$DD1007,42),0)</f>
        <v/>
      </c>
      <c r="AS1007">
        <f>IFERROR(INDEX(PP_Grid[#Data],$DD1007,43),0)</f>
        <v/>
      </c>
      <c r="AT1007">
        <f>IFERROR(INDEX(PP_Grid[#Data],$DD1007,44),0)</f>
        <v/>
      </c>
      <c r="AU1007">
        <f>IFERROR(INDEX(PP_Grid[#Data],$DD1007,45),0)</f>
        <v/>
      </c>
      <c r="AV1007">
        <f>IFERROR(INDEX(PP_Grid[#Data],$DD1007,46),0)</f>
        <v/>
      </c>
      <c r="AW1007">
        <f>IFERROR(INDEX(PP_Grid[#Data],$DD1007,47),0)</f>
        <v/>
      </c>
      <c r="AX1007">
        <f>IFERROR(INDEX(PP_Grid[#Data],$DD1007,48),0)</f>
        <v/>
      </c>
      <c r="AY1007">
        <f>IFERROR(INDEX(PP_Grid[#Data],$DD1007,49),0)</f>
        <v/>
      </c>
      <c r="AZ1007">
        <f>IFERROR(INDEX(PP_Grid[#Data],$DD1007,50),0)</f>
        <v/>
      </c>
      <c r="BA1007">
        <f>IFERROR(INDEX(PP_Grid[#Data],$DD1007,51),0)</f>
        <v/>
      </c>
      <c r="BB1007">
        <f>IFERROR(INDEX(PP_Grid[#Data],$DD1007,52),0)</f>
        <v/>
      </c>
      <c r="BC1007">
        <f>IFERROR(INDEX(PP_Grid[#Data],$DD1007,53),0)</f>
        <v/>
      </c>
      <c r="BD1007">
        <f>IFERROR(INDEX(PP_Grid[#Data],$DD1007,54),0)</f>
        <v/>
      </c>
      <c r="BE1007">
        <f>IFERROR(INDEX(PP_Grid[#Data],$DD1007,55),0)</f>
        <v/>
      </c>
      <c r="BF1007">
        <f>IFERROR(INDEX(PP_Grid[#Data],$DD1007,56),0)</f>
        <v/>
      </c>
      <c r="BG1007">
        <f>IFERROR(INDEX(PP_Grid[#Data],$DD1007,57),0)</f>
        <v/>
      </c>
      <c r="BH1007">
        <f>IFERROR(INDEX(PP_Grid[#Data],$DD1007,58),0)</f>
        <v/>
      </c>
      <c r="BI1007">
        <f>IFERROR(INDEX(PP_Grid[#Data],$DD1007,59),0)</f>
        <v/>
      </c>
      <c r="BJ1007">
        <f>IFERROR(INDEX(PP_Grid[#Data],$DD1007,60),0)</f>
        <v/>
      </c>
      <c r="BK1007">
        <f>IFERROR(INDEX(PP_Grid[#Data],$DD1007,61),0)</f>
        <v/>
      </c>
      <c r="BL1007">
        <f>IFERROR(INDEX(PP_Grid[#Data],$DD1007,62),0)</f>
        <v/>
      </c>
      <c r="BM1007">
        <f>IFERROR(INDEX(PP_Grid[#Data],$DD1007,63),0)</f>
        <v/>
      </c>
      <c r="BN1007">
        <f>IFERROR(INDEX(PP_Grid[#Data],$DD1007,64),0)</f>
        <v/>
      </c>
      <c r="BO1007">
        <f>IFERROR(INDEX(PP_Grid[#Data],$DD1007,65),0)</f>
        <v/>
      </c>
      <c r="BP1007">
        <f>IFERROR(INDEX(PP_Grid[#Data],$DD1007,66),0)</f>
        <v/>
      </c>
      <c r="BQ1007">
        <f>IFERROR(INDEX(PP_Grid[#Data],$DD1007,67),0)</f>
        <v/>
      </c>
      <c r="BR1007">
        <f>IFERROR(INDEX(PP_Grid[#Data],$DD1007,68),0)</f>
        <v/>
      </c>
      <c r="BS1007">
        <f>IFERROR(INDEX(PP_Grid[#Data],$DD1007,69),0)</f>
        <v/>
      </c>
      <c r="BT1007">
        <f>IFERROR(INDEX(PP_Grid[#Data],$DD1007,70),0)</f>
        <v/>
      </c>
      <c r="BU1007">
        <f>IFERROR(INDEX(PP_Grid[#Data],$DD1007,71),0)</f>
        <v/>
      </c>
      <c r="BV1007">
        <f>IFERROR(INDEX(PP_Grid[#Data],$DD1007,72),0)</f>
        <v/>
      </c>
      <c r="BW1007">
        <f>IFERROR(INDEX(PP_Grid[#Data],$DD1007,73),0)</f>
        <v/>
      </c>
      <c r="BX1007">
        <f>IFERROR(INDEX(PP_Grid[#Data],$DD1007,74),0)</f>
        <v/>
      </c>
      <c r="BY1007">
        <f>IFERROR(INDEX(PP_Grid[#Data],$DD1007,75),0)</f>
        <v/>
      </c>
      <c r="BZ1007">
        <f>IFERROR(INDEX(PP_Grid[#Data],$DD1007,76),0)</f>
        <v/>
      </c>
      <c r="CA1007">
        <f>IFERROR(INDEX(PP_Grid[#Data],$DD1007,77),0)</f>
        <v/>
      </c>
      <c r="CB1007">
        <f>IFERROR(INDEX(PP_Grid[#Data],$DD1007,78),0)</f>
        <v/>
      </c>
      <c r="CC1007">
        <f>IFERROR(INDEX(PP_Grid[#Data],$DD1007,79),0)</f>
        <v/>
      </c>
      <c r="CD1007">
        <f>IFERROR(INDEX(PP_Grid[#Data],$DD1007,80),0)</f>
        <v/>
      </c>
      <c r="CE1007">
        <f>IFERROR(INDEX(PP_Grid[#Data],$DD1007,81),0)</f>
        <v/>
      </c>
      <c r="CF1007">
        <f>IFERROR(INDEX(PP_Grid[#Data],$DD1007,82),0)</f>
        <v/>
      </c>
      <c r="CG1007">
        <f>IFERROR(INDEX(PP_Grid[#Data],$DD1007,83),0)</f>
        <v/>
      </c>
      <c r="CH1007">
        <f>IFERROR(INDEX(PP_Grid[#Data],$DD1007,84),0)</f>
        <v/>
      </c>
      <c r="CI1007">
        <f>IFERROR(INDEX(PP_Grid[#Data],$DD1007,85),0)</f>
        <v/>
      </c>
      <c r="CJ1007">
        <f>IFERROR(INDEX(PP_Grid[#Data],$DD1007,86),0)</f>
        <v/>
      </c>
      <c r="CK1007">
        <f>IFERROR(INDEX(PP_Grid[#Data],$DD1007,87),0)</f>
        <v/>
      </c>
      <c r="CL1007">
        <f>IFERROR(INDEX(PP_Grid[#Data],$DD1007,88),0)</f>
        <v/>
      </c>
      <c r="CM1007">
        <f>IFERROR(INDEX(PP_Grid[#Data],$DD1007,89),0)</f>
        <v/>
      </c>
      <c r="CN1007">
        <f>IFERROR(INDEX(PP_Grid[#Data],$DD1007,90),0)</f>
        <v/>
      </c>
      <c r="CO1007">
        <f>IFERROR(INDEX(PP_Grid[#Data],$DD1007,91),0)</f>
        <v/>
      </c>
      <c r="CP1007">
        <f>IFERROR(INDEX(PP_Grid[#Data],$DD1007,92),0)</f>
        <v/>
      </c>
      <c r="CQ1007">
        <f>IFERROR(INDEX(PP_Grid[#Data],$DD1007,93),0)</f>
        <v/>
      </c>
      <c r="CR1007">
        <f>IFERROR(INDEX(PP_Grid[#Data],$DD1007,94),0)</f>
        <v/>
      </c>
      <c r="CS1007">
        <f>IFERROR(INDEX(PP_Grid[#Data],$DD1007,95),0)</f>
        <v/>
      </c>
      <c r="CT1007">
        <f>IFERROR(INDEX(PP_Grid[#Data],$DD1007,96),0)</f>
        <v/>
      </c>
      <c r="CU1007">
        <f>IFERROR(INDEX(PP_Grid[#Data],$DD1007,97),0)</f>
        <v/>
      </c>
      <c r="CV1007">
        <f>IFERROR(INDEX(PP_Grid[#Data],$DD1007,98),0)</f>
        <v/>
      </c>
      <c r="CW1007">
        <f>IFERROR(INDEX(PP_Grid[#Data],$DD1007,99),0)</f>
        <v/>
      </c>
      <c r="CX1007">
        <f>IFERROR(INDEX(PP_Grid[#Data],$DD1007,100),0)</f>
        <v/>
      </c>
      <c r="CY1007">
        <f>IFERROR(INDEX(PP_Grid[#Data],$DD1007,101),0)</f>
        <v/>
      </c>
      <c r="CZ1007">
        <f>IFERROR(INDEX(PP_Grid[#Data],$DD1007,102),0)</f>
        <v/>
      </c>
      <c r="DA1007">
        <f>IFERROR(INDEX(PP_Grid[#Data],$DD1007,103),0)</f>
        <v/>
      </c>
      <c r="DB1007">
        <f>IFERROR(INDEX(PP_Grid[#Data],$DD1007,104),0)</f>
        <v/>
      </c>
      <c r="DC1007">
        <f>IFERROR(INDEX(PP_Grid[#Data],$DD1007,105),0)</f>
        <v/>
      </c>
      <c r="DD1007" s="12">
        <f>IFERROR(MATCH($B1007,PP_Grid[Intermediate],0),99999)</f>
        <v/>
      </c>
    </row>
    <row r="1008">
      <c r="B1008" t="inlineStr">
        <is>
          <t>使用量(kg)</t>
        </is>
      </c>
      <c r="C1008">
        <f>SUMIFS(M_BOM[RM_Qty_Per_Batch],M_BOM[Intermediate],$B1007,M_BOM[Part Name],$A988)</f>
        <v/>
      </c>
      <c r="D1008">
        <f>$C1008*D1007</f>
        <v/>
      </c>
      <c r="E1008">
        <f>$C1008*E1007</f>
        <v/>
      </c>
      <c r="F1008">
        <f>$C1008*F1007</f>
        <v/>
      </c>
      <c r="G1008">
        <f>$C1008*G1007</f>
        <v/>
      </c>
      <c r="H1008">
        <f>$C1008*H1007</f>
        <v/>
      </c>
      <c r="I1008">
        <f>$C1008*I1007</f>
        <v/>
      </c>
      <c r="J1008">
        <f>$C1008*J1007</f>
        <v/>
      </c>
      <c r="K1008">
        <f>$C1008*K1007</f>
        <v/>
      </c>
      <c r="L1008">
        <f>$C1008*L1007</f>
        <v/>
      </c>
      <c r="M1008">
        <f>$C1008*M1007</f>
        <v/>
      </c>
      <c r="N1008">
        <f>$C1008*N1007</f>
        <v/>
      </c>
      <c r="O1008">
        <f>$C1008*O1007</f>
        <v/>
      </c>
      <c r="P1008">
        <f>$C1008*P1007</f>
        <v/>
      </c>
      <c r="Q1008">
        <f>$C1008*Q1007</f>
        <v/>
      </c>
      <c r="R1008">
        <f>$C1008*R1007</f>
        <v/>
      </c>
      <c r="S1008">
        <f>$C1008*S1007</f>
        <v/>
      </c>
      <c r="T1008">
        <f>$C1008*T1007</f>
        <v/>
      </c>
      <c r="U1008">
        <f>$C1008*U1007</f>
        <v/>
      </c>
      <c r="V1008">
        <f>$C1008*V1007</f>
        <v/>
      </c>
      <c r="W1008">
        <f>$C1008*W1007</f>
        <v/>
      </c>
      <c r="X1008">
        <f>$C1008*X1007</f>
        <v/>
      </c>
      <c r="Y1008">
        <f>$C1008*Y1007</f>
        <v/>
      </c>
      <c r="Z1008">
        <f>$C1008*Z1007</f>
        <v/>
      </c>
      <c r="AA1008">
        <f>$C1008*AA1007</f>
        <v/>
      </c>
      <c r="AB1008">
        <f>$C1008*AB1007</f>
        <v/>
      </c>
      <c r="AC1008">
        <f>$C1008*AC1007</f>
        <v/>
      </c>
      <c r="AD1008">
        <f>$C1008*AD1007</f>
        <v/>
      </c>
      <c r="AE1008">
        <f>$C1008*AE1007</f>
        <v/>
      </c>
      <c r="AF1008">
        <f>$C1008*AF1007</f>
        <v/>
      </c>
      <c r="AG1008">
        <f>$C1008*AG1007</f>
        <v/>
      </c>
      <c r="AH1008">
        <f>$C1008*AH1007</f>
        <v/>
      </c>
      <c r="AI1008">
        <f>$C1008*AI1007</f>
        <v/>
      </c>
      <c r="AJ1008">
        <f>$C1008*AJ1007</f>
        <v/>
      </c>
      <c r="AK1008">
        <f>$C1008*AK1007</f>
        <v/>
      </c>
      <c r="AL1008">
        <f>$C1008*AL1007</f>
        <v/>
      </c>
      <c r="AM1008">
        <f>$C1008*AM1007</f>
        <v/>
      </c>
      <c r="AN1008">
        <f>$C1008*AN1007</f>
        <v/>
      </c>
      <c r="AO1008">
        <f>$C1008*AO1007</f>
        <v/>
      </c>
      <c r="AP1008">
        <f>$C1008*AP1007</f>
        <v/>
      </c>
      <c r="AQ1008">
        <f>$C1008*AQ1007</f>
        <v/>
      </c>
      <c r="AR1008">
        <f>$C1008*AR1007</f>
        <v/>
      </c>
      <c r="AS1008">
        <f>$C1008*AS1007</f>
        <v/>
      </c>
      <c r="AT1008">
        <f>$C1008*AT1007</f>
        <v/>
      </c>
      <c r="AU1008">
        <f>$C1008*AU1007</f>
        <v/>
      </c>
      <c r="AV1008">
        <f>$C1008*AV1007</f>
        <v/>
      </c>
      <c r="AW1008">
        <f>$C1008*AW1007</f>
        <v/>
      </c>
      <c r="AX1008">
        <f>$C1008*AX1007</f>
        <v/>
      </c>
      <c r="AY1008">
        <f>$C1008*AY1007</f>
        <v/>
      </c>
      <c r="AZ1008">
        <f>$C1008*AZ1007</f>
        <v/>
      </c>
      <c r="BA1008">
        <f>$C1008*BA1007</f>
        <v/>
      </c>
      <c r="BB1008">
        <f>$C1008*BB1007</f>
        <v/>
      </c>
      <c r="BC1008">
        <f>$C1008*BC1007</f>
        <v/>
      </c>
      <c r="BD1008">
        <f>$C1008*BD1007</f>
        <v/>
      </c>
      <c r="BE1008">
        <f>$C1008*BE1007</f>
        <v/>
      </c>
      <c r="BF1008">
        <f>$C1008*BF1007</f>
        <v/>
      </c>
      <c r="BG1008">
        <f>$C1008*BG1007</f>
        <v/>
      </c>
      <c r="BH1008">
        <f>$C1008*BH1007</f>
        <v/>
      </c>
      <c r="BI1008">
        <f>$C1008*BI1007</f>
        <v/>
      </c>
      <c r="BJ1008">
        <f>$C1008*BJ1007</f>
        <v/>
      </c>
      <c r="BK1008">
        <f>$C1008*BK1007</f>
        <v/>
      </c>
      <c r="BL1008">
        <f>$C1008*BL1007</f>
        <v/>
      </c>
      <c r="BM1008">
        <f>$C1008*BM1007</f>
        <v/>
      </c>
      <c r="BN1008">
        <f>$C1008*BN1007</f>
        <v/>
      </c>
      <c r="BO1008">
        <f>$C1008*BO1007</f>
        <v/>
      </c>
      <c r="BP1008">
        <f>$C1008*BP1007</f>
        <v/>
      </c>
      <c r="BQ1008">
        <f>$C1008*BQ1007</f>
        <v/>
      </c>
      <c r="BR1008">
        <f>$C1008*BR1007</f>
        <v/>
      </c>
      <c r="BS1008">
        <f>$C1008*BS1007</f>
        <v/>
      </c>
      <c r="BT1008">
        <f>$C1008*BT1007</f>
        <v/>
      </c>
      <c r="BU1008">
        <f>$C1008*BU1007</f>
        <v/>
      </c>
      <c r="BV1008">
        <f>$C1008*BV1007</f>
        <v/>
      </c>
      <c r="BW1008">
        <f>$C1008*BW1007</f>
        <v/>
      </c>
      <c r="BX1008">
        <f>$C1008*BX1007</f>
        <v/>
      </c>
      <c r="BY1008">
        <f>$C1008*BY1007</f>
        <v/>
      </c>
      <c r="BZ1008">
        <f>$C1008*BZ1007</f>
        <v/>
      </c>
      <c r="CA1008">
        <f>$C1008*CA1007</f>
        <v/>
      </c>
      <c r="CB1008">
        <f>$C1008*CB1007</f>
        <v/>
      </c>
      <c r="CC1008">
        <f>$C1008*CC1007</f>
        <v/>
      </c>
      <c r="CD1008">
        <f>$C1008*CD1007</f>
        <v/>
      </c>
      <c r="CE1008">
        <f>$C1008*CE1007</f>
        <v/>
      </c>
      <c r="CF1008">
        <f>$C1008*CF1007</f>
        <v/>
      </c>
      <c r="CG1008">
        <f>$C1008*CG1007</f>
        <v/>
      </c>
      <c r="CH1008">
        <f>$C1008*CH1007</f>
        <v/>
      </c>
      <c r="CI1008">
        <f>$C1008*CI1007</f>
        <v/>
      </c>
      <c r="CJ1008">
        <f>$C1008*CJ1007</f>
        <v/>
      </c>
      <c r="CK1008">
        <f>$C1008*CK1007</f>
        <v/>
      </c>
      <c r="CL1008">
        <f>$C1008*CL1007</f>
        <v/>
      </c>
      <c r="CM1008">
        <f>$C1008*CM1007</f>
        <v/>
      </c>
      <c r="CN1008">
        <f>$C1008*CN1007</f>
        <v/>
      </c>
      <c r="CO1008">
        <f>$C1008*CO1007</f>
        <v/>
      </c>
      <c r="CP1008">
        <f>$C1008*CP1007</f>
        <v/>
      </c>
      <c r="CQ1008">
        <f>$C1008*CQ1007</f>
        <v/>
      </c>
      <c r="CR1008">
        <f>$C1008*CR1007</f>
        <v/>
      </c>
      <c r="CS1008">
        <f>$C1008*CS1007</f>
        <v/>
      </c>
      <c r="CT1008">
        <f>$C1008*CT1007</f>
        <v/>
      </c>
      <c r="CU1008">
        <f>$C1008*CU1007</f>
        <v/>
      </c>
      <c r="CV1008">
        <f>$C1008*CV1007</f>
        <v/>
      </c>
      <c r="CW1008">
        <f>$C1008*CW1007</f>
        <v/>
      </c>
      <c r="CX1008">
        <f>$C1008*CX1007</f>
        <v/>
      </c>
      <c r="CY1008">
        <f>$C1008*CY1007</f>
        <v/>
      </c>
      <c r="CZ1008">
        <f>$C1008*CZ1007</f>
        <v/>
      </c>
      <c r="DA1008">
        <f>$C1008*DA1007</f>
        <v/>
      </c>
      <c r="DB1008">
        <f>$C1008*DB1007</f>
        <v/>
      </c>
      <c r="DC1008">
        <f>$C1008*DC1007</f>
        <v/>
      </c>
    </row>
    <row r="1009">
      <c r="B1009" t="inlineStr">
        <is>
          <t>TSP-656</t>
        </is>
      </c>
      <c r="C1009" t="inlineStr">
        <is>
          <t>No. of batches</t>
        </is>
      </c>
      <c r="D1009">
        <f>IFERROR(INDEX(PP_Grid[#Data],$DD1009,2),0)</f>
        <v/>
      </c>
      <c r="E1009">
        <f>IFERROR(INDEX(PP_Grid[#Data],$DD1009,3),0)</f>
        <v/>
      </c>
      <c r="F1009">
        <f>IFERROR(INDEX(PP_Grid[#Data],$DD1009,4),0)</f>
        <v/>
      </c>
      <c r="G1009">
        <f>IFERROR(INDEX(PP_Grid[#Data],$DD1009,5),0)</f>
        <v/>
      </c>
      <c r="H1009">
        <f>IFERROR(INDEX(PP_Grid[#Data],$DD1009,6),0)</f>
        <v/>
      </c>
      <c r="I1009">
        <f>IFERROR(INDEX(PP_Grid[#Data],$DD1009,7),0)</f>
        <v/>
      </c>
      <c r="J1009">
        <f>IFERROR(INDEX(PP_Grid[#Data],$DD1009,8),0)</f>
        <v/>
      </c>
      <c r="K1009">
        <f>IFERROR(INDEX(PP_Grid[#Data],$DD1009,9),0)</f>
        <v/>
      </c>
      <c r="L1009">
        <f>IFERROR(INDEX(PP_Grid[#Data],$DD1009,10),0)</f>
        <v/>
      </c>
      <c r="M1009">
        <f>IFERROR(INDEX(PP_Grid[#Data],$DD1009,11),0)</f>
        <v/>
      </c>
      <c r="N1009">
        <f>IFERROR(INDEX(PP_Grid[#Data],$DD1009,12),0)</f>
        <v/>
      </c>
      <c r="O1009">
        <f>IFERROR(INDEX(PP_Grid[#Data],$DD1009,13),0)</f>
        <v/>
      </c>
      <c r="P1009">
        <f>IFERROR(INDEX(PP_Grid[#Data],$DD1009,14),0)</f>
        <v/>
      </c>
      <c r="Q1009">
        <f>IFERROR(INDEX(PP_Grid[#Data],$DD1009,15),0)</f>
        <v/>
      </c>
      <c r="R1009">
        <f>IFERROR(INDEX(PP_Grid[#Data],$DD1009,16),0)</f>
        <v/>
      </c>
      <c r="S1009">
        <f>IFERROR(INDEX(PP_Grid[#Data],$DD1009,17),0)</f>
        <v/>
      </c>
      <c r="T1009">
        <f>IFERROR(INDEX(PP_Grid[#Data],$DD1009,18),0)</f>
        <v/>
      </c>
      <c r="U1009">
        <f>IFERROR(INDEX(PP_Grid[#Data],$DD1009,19),0)</f>
        <v/>
      </c>
      <c r="V1009">
        <f>IFERROR(INDEX(PP_Grid[#Data],$DD1009,20),0)</f>
        <v/>
      </c>
      <c r="W1009">
        <f>IFERROR(INDEX(PP_Grid[#Data],$DD1009,21),0)</f>
        <v/>
      </c>
      <c r="X1009">
        <f>IFERROR(INDEX(PP_Grid[#Data],$DD1009,22),0)</f>
        <v/>
      </c>
      <c r="Y1009">
        <f>IFERROR(INDEX(PP_Grid[#Data],$DD1009,23),0)</f>
        <v/>
      </c>
      <c r="Z1009">
        <f>IFERROR(INDEX(PP_Grid[#Data],$DD1009,24),0)</f>
        <v/>
      </c>
      <c r="AA1009">
        <f>IFERROR(INDEX(PP_Grid[#Data],$DD1009,25),0)</f>
        <v/>
      </c>
      <c r="AB1009">
        <f>IFERROR(INDEX(PP_Grid[#Data],$DD1009,26),0)</f>
        <v/>
      </c>
      <c r="AC1009">
        <f>IFERROR(INDEX(PP_Grid[#Data],$DD1009,27),0)</f>
        <v/>
      </c>
      <c r="AD1009">
        <f>IFERROR(INDEX(PP_Grid[#Data],$DD1009,28),0)</f>
        <v/>
      </c>
      <c r="AE1009">
        <f>IFERROR(INDEX(PP_Grid[#Data],$DD1009,29),0)</f>
        <v/>
      </c>
      <c r="AF1009">
        <f>IFERROR(INDEX(PP_Grid[#Data],$DD1009,30),0)</f>
        <v/>
      </c>
      <c r="AG1009">
        <f>IFERROR(INDEX(PP_Grid[#Data],$DD1009,31),0)</f>
        <v/>
      </c>
      <c r="AH1009">
        <f>IFERROR(INDEX(PP_Grid[#Data],$DD1009,32),0)</f>
        <v/>
      </c>
      <c r="AI1009">
        <f>IFERROR(INDEX(PP_Grid[#Data],$DD1009,33),0)</f>
        <v/>
      </c>
      <c r="AJ1009">
        <f>IFERROR(INDEX(PP_Grid[#Data],$DD1009,34),0)</f>
        <v/>
      </c>
      <c r="AK1009">
        <f>IFERROR(INDEX(PP_Grid[#Data],$DD1009,35),0)</f>
        <v/>
      </c>
      <c r="AL1009">
        <f>IFERROR(INDEX(PP_Grid[#Data],$DD1009,36),0)</f>
        <v/>
      </c>
      <c r="AM1009">
        <f>IFERROR(INDEX(PP_Grid[#Data],$DD1009,37),0)</f>
        <v/>
      </c>
      <c r="AN1009">
        <f>IFERROR(INDEX(PP_Grid[#Data],$DD1009,38),0)</f>
        <v/>
      </c>
      <c r="AO1009">
        <f>IFERROR(INDEX(PP_Grid[#Data],$DD1009,39),0)</f>
        <v/>
      </c>
      <c r="AP1009">
        <f>IFERROR(INDEX(PP_Grid[#Data],$DD1009,40),0)</f>
        <v/>
      </c>
      <c r="AQ1009">
        <f>IFERROR(INDEX(PP_Grid[#Data],$DD1009,41),0)</f>
        <v/>
      </c>
      <c r="AR1009">
        <f>IFERROR(INDEX(PP_Grid[#Data],$DD1009,42),0)</f>
        <v/>
      </c>
      <c r="AS1009">
        <f>IFERROR(INDEX(PP_Grid[#Data],$DD1009,43),0)</f>
        <v/>
      </c>
      <c r="AT1009">
        <f>IFERROR(INDEX(PP_Grid[#Data],$DD1009,44),0)</f>
        <v/>
      </c>
      <c r="AU1009">
        <f>IFERROR(INDEX(PP_Grid[#Data],$DD1009,45),0)</f>
        <v/>
      </c>
      <c r="AV1009">
        <f>IFERROR(INDEX(PP_Grid[#Data],$DD1009,46),0)</f>
        <v/>
      </c>
      <c r="AW1009">
        <f>IFERROR(INDEX(PP_Grid[#Data],$DD1009,47),0)</f>
        <v/>
      </c>
      <c r="AX1009">
        <f>IFERROR(INDEX(PP_Grid[#Data],$DD1009,48),0)</f>
        <v/>
      </c>
      <c r="AY1009">
        <f>IFERROR(INDEX(PP_Grid[#Data],$DD1009,49),0)</f>
        <v/>
      </c>
      <c r="AZ1009">
        <f>IFERROR(INDEX(PP_Grid[#Data],$DD1009,50),0)</f>
        <v/>
      </c>
      <c r="BA1009">
        <f>IFERROR(INDEX(PP_Grid[#Data],$DD1009,51),0)</f>
        <v/>
      </c>
      <c r="BB1009">
        <f>IFERROR(INDEX(PP_Grid[#Data],$DD1009,52),0)</f>
        <v/>
      </c>
      <c r="BC1009">
        <f>IFERROR(INDEX(PP_Grid[#Data],$DD1009,53),0)</f>
        <v/>
      </c>
      <c r="BD1009">
        <f>IFERROR(INDEX(PP_Grid[#Data],$DD1009,54),0)</f>
        <v/>
      </c>
      <c r="BE1009">
        <f>IFERROR(INDEX(PP_Grid[#Data],$DD1009,55),0)</f>
        <v/>
      </c>
      <c r="BF1009">
        <f>IFERROR(INDEX(PP_Grid[#Data],$DD1009,56),0)</f>
        <v/>
      </c>
      <c r="BG1009">
        <f>IFERROR(INDEX(PP_Grid[#Data],$DD1009,57),0)</f>
        <v/>
      </c>
      <c r="BH1009">
        <f>IFERROR(INDEX(PP_Grid[#Data],$DD1009,58),0)</f>
        <v/>
      </c>
      <c r="BI1009">
        <f>IFERROR(INDEX(PP_Grid[#Data],$DD1009,59),0)</f>
        <v/>
      </c>
      <c r="BJ1009">
        <f>IFERROR(INDEX(PP_Grid[#Data],$DD1009,60),0)</f>
        <v/>
      </c>
      <c r="BK1009">
        <f>IFERROR(INDEX(PP_Grid[#Data],$DD1009,61),0)</f>
        <v/>
      </c>
      <c r="BL1009">
        <f>IFERROR(INDEX(PP_Grid[#Data],$DD1009,62),0)</f>
        <v/>
      </c>
      <c r="BM1009">
        <f>IFERROR(INDEX(PP_Grid[#Data],$DD1009,63),0)</f>
        <v/>
      </c>
      <c r="BN1009">
        <f>IFERROR(INDEX(PP_Grid[#Data],$DD1009,64),0)</f>
        <v/>
      </c>
      <c r="BO1009">
        <f>IFERROR(INDEX(PP_Grid[#Data],$DD1009,65),0)</f>
        <v/>
      </c>
      <c r="BP1009">
        <f>IFERROR(INDEX(PP_Grid[#Data],$DD1009,66),0)</f>
        <v/>
      </c>
      <c r="BQ1009">
        <f>IFERROR(INDEX(PP_Grid[#Data],$DD1009,67),0)</f>
        <v/>
      </c>
      <c r="BR1009">
        <f>IFERROR(INDEX(PP_Grid[#Data],$DD1009,68),0)</f>
        <v/>
      </c>
      <c r="BS1009">
        <f>IFERROR(INDEX(PP_Grid[#Data],$DD1009,69),0)</f>
        <v/>
      </c>
      <c r="BT1009">
        <f>IFERROR(INDEX(PP_Grid[#Data],$DD1009,70),0)</f>
        <v/>
      </c>
      <c r="BU1009">
        <f>IFERROR(INDEX(PP_Grid[#Data],$DD1009,71),0)</f>
        <v/>
      </c>
      <c r="BV1009">
        <f>IFERROR(INDEX(PP_Grid[#Data],$DD1009,72),0)</f>
        <v/>
      </c>
      <c r="BW1009">
        <f>IFERROR(INDEX(PP_Grid[#Data],$DD1009,73),0)</f>
        <v/>
      </c>
      <c r="BX1009">
        <f>IFERROR(INDEX(PP_Grid[#Data],$DD1009,74),0)</f>
        <v/>
      </c>
      <c r="BY1009">
        <f>IFERROR(INDEX(PP_Grid[#Data],$DD1009,75),0)</f>
        <v/>
      </c>
      <c r="BZ1009">
        <f>IFERROR(INDEX(PP_Grid[#Data],$DD1009,76),0)</f>
        <v/>
      </c>
      <c r="CA1009">
        <f>IFERROR(INDEX(PP_Grid[#Data],$DD1009,77),0)</f>
        <v/>
      </c>
      <c r="CB1009">
        <f>IFERROR(INDEX(PP_Grid[#Data],$DD1009,78),0)</f>
        <v/>
      </c>
      <c r="CC1009">
        <f>IFERROR(INDEX(PP_Grid[#Data],$DD1009,79),0)</f>
        <v/>
      </c>
      <c r="CD1009">
        <f>IFERROR(INDEX(PP_Grid[#Data],$DD1009,80),0)</f>
        <v/>
      </c>
      <c r="CE1009">
        <f>IFERROR(INDEX(PP_Grid[#Data],$DD1009,81),0)</f>
        <v/>
      </c>
      <c r="CF1009">
        <f>IFERROR(INDEX(PP_Grid[#Data],$DD1009,82),0)</f>
        <v/>
      </c>
      <c r="CG1009">
        <f>IFERROR(INDEX(PP_Grid[#Data],$DD1009,83),0)</f>
        <v/>
      </c>
      <c r="CH1009">
        <f>IFERROR(INDEX(PP_Grid[#Data],$DD1009,84),0)</f>
        <v/>
      </c>
      <c r="CI1009">
        <f>IFERROR(INDEX(PP_Grid[#Data],$DD1009,85),0)</f>
        <v/>
      </c>
      <c r="CJ1009">
        <f>IFERROR(INDEX(PP_Grid[#Data],$DD1009,86),0)</f>
        <v/>
      </c>
      <c r="CK1009">
        <f>IFERROR(INDEX(PP_Grid[#Data],$DD1009,87),0)</f>
        <v/>
      </c>
      <c r="CL1009">
        <f>IFERROR(INDEX(PP_Grid[#Data],$DD1009,88),0)</f>
        <v/>
      </c>
      <c r="CM1009">
        <f>IFERROR(INDEX(PP_Grid[#Data],$DD1009,89),0)</f>
        <v/>
      </c>
      <c r="CN1009">
        <f>IFERROR(INDEX(PP_Grid[#Data],$DD1009,90),0)</f>
        <v/>
      </c>
      <c r="CO1009">
        <f>IFERROR(INDEX(PP_Grid[#Data],$DD1009,91),0)</f>
        <v/>
      </c>
      <c r="CP1009">
        <f>IFERROR(INDEX(PP_Grid[#Data],$DD1009,92),0)</f>
        <v/>
      </c>
      <c r="CQ1009">
        <f>IFERROR(INDEX(PP_Grid[#Data],$DD1009,93),0)</f>
        <v/>
      </c>
      <c r="CR1009">
        <f>IFERROR(INDEX(PP_Grid[#Data],$DD1009,94),0)</f>
        <v/>
      </c>
      <c r="CS1009">
        <f>IFERROR(INDEX(PP_Grid[#Data],$DD1009,95),0)</f>
        <v/>
      </c>
      <c r="CT1009">
        <f>IFERROR(INDEX(PP_Grid[#Data],$DD1009,96),0)</f>
        <v/>
      </c>
      <c r="CU1009">
        <f>IFERROR(INDEX(PP_Grid[#Data],$DD1009,97),0)</f>
        <v/>
      </c>
      <c r="CV1009">
        <f>IFERROR(INDEX(PP_Grid[#Data],$DD1009,98),0)</f>
        <v/>
      </c>
      <c r="CW1009">
        <f>IFERROR(INDEX(PP_Grid[#Data],$DD1009,99),0)</f>
        <v/>
      </c>
      <c r="CX1009">
        <f>IFERROR(INDEX(PP_Grid[#Data],$DD1009,100),0)</f>
        <v/>
      </c>
      <c r="CY1009">
        <f>IFERROR(INDEX(PP_Grid[#Data],$DD1009,101),0)</f>
        <v/>
      </c>
      <c r="CZ1009">
        <f>IFERROR(INDEX(PP_Grid[#Data],$DD1009,102),0)</f>
        <v/>
      </c>
      <c r="DA1009">
        <f>IFERROR(INDEX(PP_Grid[#Data],$DD1009,103),0)</f>
        <v/>
      </c>
      <c r="DB1009">
        <f>IFERROR(INDEX(PP_Grid[#Data],$DD1009,104),0)</f>
        <v/>
      </c>
      <c r="DC1009">
        <f>IFERROR(INDEX(PP_Grid[#Data],$DD1009,105),0)</f>
        <v/>
      </c>
      <c r="DD1009" s="12">
        <f>IFERROR(MATCH($B1009,PP_Grid[Intermediate],0),99999)</f>
        <v/>
      </c>
    </row>
    <row r="1010">
      <c r="B1010" t="inlineStr">
        <is>
          <t>使用量(kg)</t>
        </is>
      </c>
      <c r="C1010">
        <f>SUMIFS(M_BOM[RM_Qty_Per_Batch],M_BOM[Intermediate],$B1009,M_BOM[Part Name],$A988)</f>
        <v/>
      </c>
      <c r="D1010">
        <f>$C1010*D1009</f>
        <v/>
      </c>
      <c r="E1010">
        <f>$C1010*E1009</f>
        <v/>
      </c>
      <c r="F1010">
        <f>$C1010*F1009</f>
        <v/>
      </c>
      <c r="G1010">
        <f>$C1010*G1009</f>
        <v/>
      </c>
      <c r="H1010">
        <f>$C1010*H1009</f>
        <v/>
      </c>
      <c r="I1010">
        <f>$C1010*I1009</f>
        <v/>
      </c>
      <c r="J1010">
        <f>$C1010*J1009</f>
        <v/>
      </c>
      <c r="K1010">
        <f>$C1010*K1009</f>
        <v/>
      </c>
      <c r="L1010">
        <f>$C1010*L1009</f>
        <v/>
      </c>
      <c r="M1010">
        <f>$C1010*M1009</f>
        <v/>
      </c>
      <c r="N1010">
        <f>$C1010*N1009</f>
        <v/>
      </c>
      <c r="O1010">
        <f>$C1010*O1009</f>
        <v/>
      </c>
      <c r="P1010">
        <f>$C1010*P1009</f>
        <v/>
      </c>
      <c r="Q1010">
        <f>$C1010*Q1009</f>
        <v/>
      </c>
      <c r="R1010">
        <f>$C1010*R1009</f>
        <v/>
      </c>
      <c r="S1010">
        <f>$C1010*S1009</f>
        <v/>
      </c>
      <c r="T1010">
        <f>$C1010*T1009</f>
        <v/>
      </c>
      <c r="U1010">
        <f>$C1010*U1009</f>
        <v/>
      </c>
      <c r="V1010">
        <f>$C1010*V1009</f>
        <v/>
      </c>
      <c r="W1010">
        <f>$C1010*W1009</f>
        <v/>
      </c>
      <c r="X1010">
        <f>$C1010*X1009</f>
        <v/>
      </c>
      <c r="Y1010">
        <f>$C1010*Y1009</f>
        <v/>
      </c>
      <c r="Z1010">
        <f>$C1010*Z1009</f>
        <v/>
      </c>
      <c r="AA1010">
        <f>$C1010*AA1009</f>
        <v/>
      </c>
      <c r="AB1010">
        <f>$C1010*AB1009</f>
        <v/>
      </c>
      <c r="AC1010">
        <f>$C1010*AC1009</f>
        <v/>
      </c>
      <c r="AD1010">
        <f>$C1010*AD1009</f>
        <v/>
      </c>
      <c r="AE1010">
        <f>$C1010*AE1009</f>
        <v/>
      </c>
      <c r="AF1010">
        <f>$C1010*AF1009</f>
        <v/>
      </c>
      <c r="AG1010">
        <f>$C1010*AG1009</f>
        <v/>
      </c>
      <c r="AH1010">
        <f>$C1010*AH1009</f>
        <v/>
      </c>
      <c r="AI1010">
        <f>$C1010*AI1009</f>
        <v/>
      </c>
      <c r="AJ1010">
        <f>$C1010*AJ1009</f>
        <v/>
      </c>
      <c r="AK1010">
        <f>$C1010*AK1009</f>
        <v/>
      </c>
      <c r="AL1010">
        <f>$C1010*AL1009</f>
        <v/>
      </c>
      <c r="AM1010">
        <f>$C1010*AM1009</f>
        <v/>
      </c>
      <c r="AN1010">
        <f>$C1010*AN1009</f>
        <v/>
      </c>
      <c r="AO1010">
        <f>$C1010*AO1009</f>
        <v/>
      </c>
      <c r="AP1010">
        <f>$C1010*AP1009</f>
        <v/>
      </c>
      <c r="AQ1010">
        <f>$C1010*AQ1009</f>
        <v/>
      </c>
      <c r="AR1010">
        <f>$C1010*AR1009</f>
        <v/>
      </c>
      <c r="AS1010">
        <f>$C1010*AS1009</f>
        <v/>
      </c>
      <c r="AT1010">
        <f>$C1010*AT1009</f>
        <v/>
      </c>
      <c r="AU1010">
        <f>$C1010*AU1009</f>
        <v/>
      </c>
      <c r="AV1010">
        <f>$C1010*AV1009</f>
        <v/>
      </c>
      <c r="AW1010">
        <f>$C1010*AW1009</f>
        <v/>
      </c>
      <c r="AX1010">
        <f>$C1010*AX1009</f>
        <v/>
      </c>
      <c r="AY1010">
        <f>$C1010*AY1009</f>
        <v/>
      </c>
      <c r="AZ1010">
        <f>$C1010*AZ1009</f>
        <v/>
      </c>
      <c r="BA1010">
        <f>$C1010*BA1009</f>
        <v/>
      </c>
      <c r="BB1010">
        <f>$C1010*BB1009</f>
        <v/>
      </c>
      <c r="BC1010">
        <f>$C1010*BC1009</f>
        <v/>
      </c>
      <c r="BD1010">
        <f>$C1010*BD1009</f>
        <v/>
      </c>
      <c r="BE1010">
        <f>$C1010*BE1009</f>
        <v/>
      </c>
      <c r="BF1010">
        <f>$C1010*BF1009</f>
        <v/>
      </c>
      <c r="BG1010">
        <f>$C1010*BG1009</f>
        <v/>
      </c>
      <c r="BH1010">
        <f>$C1010*BH1009</f>
        <v/>
      </c>
      <c r="BI1010">
        <f>$C1010*BI1009</f>
        <v/>
      </c>
      <c r="BJ1010">
        <f>$C1010*BJ1009</f>
        <v/>
      </c>
      <c r="BK1010">
        <f>$C1010*BK1009</f>
        <v/>
      </c>
      <c r="BL1010">
        <f>$C1010*BL1009</f>
        <v/>
      </c>
      <c r="BM1010">
        <f>$C1010*BM1009</f>
        <v/>
      </c>
      <c r="BN1010">
        <f>$C1010*BN1009</f>
        <v/>
      </c>
      <c r="BO1010">
        <f>$C1010*BO1009</f>
        <v/>
      </c>
      <c r="BP1010">
        <f>$C1010*BP1009</f>
        <v/>
      </c>
      <c r="BQ1010">
        <f>$C1010*BQ1009</f>
        <v/>
      </c>
      <c r="BR1010">
        <f>$C1010*BR1009</f>
        <v/>
      </c>
      <c r="BS1010">
        <f>$C1010*BS1009</f>
        <v/>
      </c>
      <c r="BT1010">
        <f>$C1010*BT1009</f>
        <v/>
      </c>
      <c r="BU1010">
        <f>$C1010*BU1009</f>
        <v/>
      </c>
      <c r="BV1010">
        <f>$C1010*BV1009</f>
        <v/>
      </c>
      <c r="BW1010">
        <f>$C1010*BW1009</f>
        <v/>
      </c>
      <c r="BX1010">
        <f>$C1010*BX1009</f>
        <v/>
      </c>
      <c r="BY1010">
        <f>$C1010*BY1009</f>
        <v/>
      </c>
      <c r="BZ1010">
        <f>$C1010*BZ1009</f>
        <v/>
      </c>
      <c r="CA1010">
        <f>$C1010*CA1009</f>
        <v/>
      </c>
      <c r="CB1010">
        <f>$C1010*CB1009</f>
        <v/>
      </c>
      <c r="CC1010">
        <f>$C1010*CC1009</f>
        <v/>
      </c>
      <c r="CD1010">
        <f>$C1010*CD1009</f>
        <v/>
      </c>
      <c r="CE1010">
        <f>$C1010*CE1009</f>
        <v/>
      </c>
      <c r="CF1010">
        <f>$C1010*CF1009</f>
        <v/>
      </c>
      <c r="CG1010">
        <f>$C1010*CG1009</f>
        <v/>
      </c>
      <c r="CH1010">
        <f>$C1010*CH1009</f>
        <v/>
      </c>
      <c r="CI1010">
        <f>$C1010*CI1009</f>
        <v/>
      </c>
      <c r="CJ1010">
        <f>$C1010*CJ1009</f>
        <v/>
      </c>
      <c r="CK1010">
        <f>$C1010*CK1009</f>
        <v/>
      </c>
      <c r="CL1010">
        <f>$C1010*CL1009</f>
        <v/>
      </c>
      <c r="CM1010">
        <f>$C1010*CM1009</f>
        <v/>
      </c>
      <c r="CN1010">
        <f>$C1010*CN1009</f>
        <v/>
      </c>
      <c r="CO1010">
        <f>$C1010*CO1009</f>
        <v/>
      </c>
      <c r="CP1010">
        <f>$C1010*CP1009</f>
        <v/>
      </c>
      <c r="CQ1010">
        <f>$C1010*CQ1009</f>
        <v/>
      </c>
      <c r="CR1010">
        <f>$C1010*CR1009</f>
        <v/>
      </c>
      <c r="CS1010">
        <f>$C1010*CS1009</f>
        <v/>
      </c>
      <c r="CT1010">
        <f>$C1010*CT1009</f>
        <v/>
      </c>
      <c r="CU1010">
        <f>$C1010*CU1009</f>
        <v/>
      </c>
      <c r="CV1010">
        <f>$C1010*CV1009</f>
        <v/>
      </c>
      <c r="CW1010">
        <f>$C1010*CW1009</f>
        <v/>
      </c>
      <c r="CX1010">
        <f>$C1010*CX1009</f>
        <v/>
      </c>
      <c r="CY1010">
        <f>$C1010*CY1009</f>
        <v/>
      </c>
      <c r="CZ1010">
        <f>$C1010*CZ1009</f>
        <v/>
      </c>
      <c r="DA1010">
        <f>$C1010*DA1009</f>
        <v/>
      </c>
      <c r="DB1010">
        <f>$C1010*DB1009</f>
        <v/>
      </c>
      <c r="DC1010">
        <f>$C1010*DC1009</f>
        <v/>
      </c>
    </row>
    <row r="1011">
      <c r="B1011" t="inlineStr">
        <is>
          <t>TSP-828</t>
        </is>
      </c>
      <c r="C1011" t="inlineStr">
        <is>
          <t>No. of batches</t>
        </is>
      </c>
      <c r="D1011">
        <f>IFERROR(INDEX(PP_Grid[#Data],$DD1011,2),0)</f>
        <v/>
      </c>
      <c r="E1011">
        <f>IFERROR(INDEX(PP_Grid[#Data],$DD1011,3),0)</f>
        <v/>
      </c>
      <c r="F1011">
        <f>IFERROR(INDEX(PP_Grid[#Data],$DD1011,4),0)</f>
        <v/>
      </c>
      <c r="G1011">
        <f>IFERROR(INDEX(PP_Grid[#Data],$DD1011,5),0)</f>
        <v/>
      </c>
      <c r="H1011">
        <f>IFERROR(INDEX(PP_Grid[#Data],$DD1011,6),0)</f>
        <v/>
      </c>
      <c r="I1011">
        <f>IFERROR(INDEX(PP_Grid[#Data],$DD1011,7),0)</f>
        <v/>
      </c>
      <c r="J1011">
        <f>IFERROR(INDEX(PP_Grid[#Data],$DD1011,8),0)</f>
        <v/>
      </c>
      <c r="K1011">
        <f>IFERROR(INDEX(PP_Grid[#Data],$DD1011,9),0)</f>
        <v/>
      </c>
      <c r="L1011">
        <f>IFERROR(INDEX(PP_Grid[#Data],$DD1011,10),0)</f>
        <v/>
      </c>
      <c r="M1011">
        <f>IFERROR(INDEX(PP_Grid[#Data],$DD1011,11),0)</f>
        <v/>
      </c>
      <c r="N1011">
        <f>IFERROR(INDEX(PP_Grid[#Data],$DD1011,12),0)</f>
        <v/>
      </c>
      <c r="O1011">
        <f>IFERROR(INDEX(PP_Grid[#Data],$DD1011,13),0)</f>
        <v/>
      </c>
      <c r="P1011">
        <f>IFERROR(INDEX(PP_Grid[#Data],$DD1011,14),0)</f>
        <v/>
      </c>
      <c r="Q1011">
        <f>IFERROR(INDEX(PP_Grid[#Data],$DD1011,15),0)</f>
        <v/>
      </c>
      <c r="R1011">
        <f>IFERROR(INDEX(PP_Grid[#Data],$DD1011,16),0)</f>
        <v/>
      </c>
      <c r="S1011">
        <f>IFERROR(INDEX(PP_Grid[#Data],$DD1011,17),0)</f>
        <v/>
      </c>
      <c r="T1011">
        <f>IFERROR(INDEX(PP_Grid[#Data],$DD1011,18),0)</f>
        <v/>
      </c>
      <c r="U1011">
        <f>IFERROR(INDEX(PP_Grid[#Data],$DD1011,19),0)</f>
        <v/>
      </c>
      <c r="V1011">
        <f>IFERROR(INDEX(PP_Grid[#Data],$DD1011,20),0)</f>
        <v/>
      </c>
      <c r="W1011">
        <f>IFERROR(INDEX(PP_Grid[#Data],$DD1011,21),0)</f>
        <v/>
      </c>
      <c r="X1011">
        <f>IFERROR(INDEX(PP_Grid[#Data],$DD1011,22),0)</f>
        <v/>
      </c>
      <c r="Y1011">
        <f>IFERROR(INDEX(PP_Grid[#Data],$DD1011,23),0)</f>
        <v/>
      </c>
      <c r="Z1011">
        <f>IFERROR(INDEX(PP_Grid[#Data],$DD1011,24),0)</f>
        <v/>
      </c>
      <c r="AA1011">
        <f>IFERROR(INDEX(PP_Grid[#Data],$DD1011,25),0)</f>
        <v/>
      </c>
      <c r="AB1011">
        <f>IFERROR(INDEX(PP_Grid[#Data],$DD1011,26),0)</f>
        <v/>
      </c>
      <c r="AC1011">
        <f>IFERROR(INDEX(PP_Grid[#Data],$DD1011,27),0)</f>
        <v/>
      </c>
      <c r="AD1011">
        <f>IFERROR(INDEX(PP_Grid[#Data],$DD1011,28),0)</f>
        <v/>
      </c>
      <c r="AE1011">
        <f>IFERROR(INDEX(PP_Grid[#Data],$DD1011,29),0)</f>
        <v/>
      </c>
      <c r="AF1011">
        <f>IFERROR(INDEX(PP_Grid[#Data],$DD1011,30),0)</f>
        <v/>
      </c>
      <c r="AG1011">
        <f>IFERROR(INDEX(PP_Grid[#Data],$DD1011,31),0)</f>
        <v/>
      </c>
      <c r="AH1011">
        <f>IFERROR(INDEX(PP_Grid[#Data],$DD1011,32),0)</f>
        <v/>
      </c>
      <c r="AI1011">
        <f>IFERROR(INDEX(PP_Grid[#Data],$DD1011,33),0)</f>
        <v/>
      </c>
      <c r="AJ1011">
        <f>IFERROR(INDEX(PP_Grid[#Data],$DD1011,34),0)</f>
        <v/>
      </c>
      <c r="AK1011">
        <f>IFERROR(INDEX(PP_Grid[#Data],$DD1011,35),0)</f>
        <v/>
      </c>
      <c r="AL1011">
        <f>IFERROR(INDEX(PP_Grid[#Data],$DD1011,36),0)</f>
        <v/>
      </c>
      <c r="AM1011">
        <f>IFERROR(INDEX(PP_Grid[#Data],$DD1011,37),0)</f>
        <v/>
      </c>
      <c r="AN1011">
        <f>IFERROR(INDEX(PP_Grid[#Data],$DD1011,38),0)</f>
        <v/>
      </c>
      <c r="AO1011">
        <f>IFERROR(INDEX(PP_Grid[#Data],$DD1011,39),0)</f>
        <v/>
      </c>
      <c r="AP1011">
        <f>IFERROR(INDEX(PP_Grid[#Data],$DD1011,40),0)</f>
        <v/>
      </c>
      <c r="AQ1011">
        <f>IFERROR(INDEX(PP_Grid[#Data],$DD1011,41),0)</f>
        <v/>
      </c>
      <c r="AR1011">
        <f>IFERROR(INDEX(PP_Grid[#Data],$DD1011,42),0)</f>
        <v/>
      </c>
      <c r="AS1011">
        <f>IFERROR(INDEX(PP_Grid[#Data],$DD1011,43),0)</f>
        <v/>
      </c>
      <c r="AT1011">
        <f>IFERROR(INDEX(PP_Grid[#Data],$DD1011,44),0)</f>
        <v/>
      </c>
      <c r="AU1011">
        <f>IFERROR(INDEX(PP_Grid[#Data],$DD1011,45),0)</f>
        <v/>
      </c>
      <c r="AV1011">
        <f>IFERROR(INDEX(PP_Grid[#Data],$DD1011,46),0)</f>
        <v/>
      </c>
      <c r="AW1011">
        <f>IFERROR(INDEX(PP_Grid[#Data],$DD1011,47),0)</f>
        <v/>
      </c>
      <c r="AX1011">
        <f>IFERROR(INDEX(PP_Grid[#Data],$DD1011,48),0)</f>
        <v/>
      </c>
      <c r="AY1011">
        <f>IFERROR(INDEX(PP_Grid[#Data],$DD1011,49),0)</f>
        <v/>
      </c>
      <c r="AZ1011">
        <f>IFERROR(INDEX(PP_Grid[#Data],$DD1011,50),0)</f>
        <v/>
      </c>
      <c r="BA1011">
        <f>IFERROR(INDEX(PP_Grid[#Data],$DD1011,51),0)</f>
        <v/>
      </c>
      <c r="BB1011">
        <f>IFERROR(INDEX(PP_Grid[#Data],$DD1011,52),0)</f>
        <v/>
      </c>
      <c r="BC1011">
        <f>IFERROR(INDEX(PP_Grid[#Data],$DD1011,53),0)</f>
        <v/>
      </c>
      <c r="BD1011">
        <f>IFERROR(INDEX(PP_Grid[#Data],$DD1011,54),0)</f>
        <v/>
      </c>
      <c r="BE1011">
        <f>IFERROR(INDEX(PP_Grid[#Data],$DD1011,55),0)</f>
        <v/>
      </c>
      <c r="BF1011">
        <f>IFERROR(INDEX(PP_Grid[#Data],$DD1011,56),0)</f>
        <v/>
      </c>
      <c r="BG1011">
        <f>IFERROR(INDEX(PP_Grid[#Data],$DD1011,57),0)</f>
        <v/>
      </c>
      <c r="BH1011">
        <f>IFERROR(INDEX(PP_Grid[#Data],$DD1011,58),0)</f>
        <v/>
      </c>
      <c r="BI1011">
        <f>IFERROR(INDEX(PP_Grid[#Data],$DD1011,59),0)</f>
        <v/>
      </c>
      <c r="BJ1011">
        <f>IFERROR(INDEX(PP_Grid[#Data],$DD1011,60),0)</f>
        <v/>
      </c>
      <c r="BK1011">
        <f>IFERROR(INDEX(PP_Grid[#Data],$DD1011,61),0)</f>
        <v/>
      </c>
      <c r="BL1011">
        <f>IFERROR(INDEX(PP_Grid[#Data],$DD1011,62),0)</f>
        <v/>
      </c>
      <c r="BM1011">
        <f>IFERROR(INDEX(PP_Grid[#Data],$DD1011,63),0)</f>
        <v/>
      </c>
      <c r="BN1011">
        <f>IFERROR(INDEX(PP_Grid[#Data],$DD1011,64),0)</f>
        <v/>
      </c>
      <c r="BO1011">
        <f>IFERROR(INDEX(PP_Grid[#Data],$DD1011,65),0)</f>
        <v/>
      </c>
      <c r="BP1011">
        <f>IFERROR(INDEX(PP_Grid[#Data],$DD1011,66),0)</f>
        <v/>
      </c>
      <c r="BQ1011">
        <f>IFERROR(INDEX(PP_Grid[#Data],$DD1011,67),0)</f>
        <v/>
      </c>
      <c r="BR1011">
        <f>IFERROR(INDEX(PP_Grid[#Data],$DD1011,68),0)</f>
        <v/>
      </c>
      <c r="BS1011">
        <f>IFERROR(INDEX(PP_Grid[#Data],$DD1011,69),0)</f>
        <v/>
      </c>
      <c r="BT1011">
        <f>IFERROR(INDEX(PP_Grid[#Data],$DD1011,70),0)</f>
        <v/>
      </c>
      <c r="BU1011">
        <f>IFERROR(INDEX(PP_Grid[#Data],$DD1011,71),0)</f>
        <v/>
      </c>
      <c r="BV1011">
        <f>IFERROR(INDEX(PP_Grid[#Data],$DD1011,72),0)</f>
        <v/>
      </c>
      <c r="BW1011">
        <f>IFERROR(INDEX(PP_Grid[#Data],$DD1011,73),0)</f>
        <v/>
      </c>
      <c r="BX1011">
        <f>IFERROR(INDEX(PP_Grid[#Data],$DD1011,74),0)</f>
        <v/>
      </c>
      <c r="BY1011">
        <f>IFERROR(INDEX(PP_Grid[#Data],$DD1011,75),0)</f>
        <v/>
      </c>
      <c r="BZ1011">
        <f>IFERROR(INDEX(PP_Grid[#Data],$DD1011,76),0)</f>
        <v/>
      </c>
      <c r="CA1011">
        <f>IFERROR(INDEX(PP_Grid[#Data],$DD1011,77),0)</f>
        <v/>
      </c>
      <c r="CB1011">
        <f>IFERROR(INDEX(PP_Grid[#Data],$DD1011,78),0)</f>
        <v/>
      </c>
      <c r="CC1011">
        <f>IFERROR(INDEX(PP_Grid[#Data],$DD1011,79),0)</f>
        <v/>
      </c>
      <c r="CD1011">
        <f>IFERROR(INDEX(PP_Grid[#Data],$DD1011,80),0)</f>
        <v/>
      </c>
      <c r="CE1011">
        <f>IFERROR(INDEX(PP_Grid[#Data],$DD1011,81),0)</f>
        <v/>
      </c>
      <c r="CF1011">
        <f>IFERROR(INDEX(PP_Grid[#Data],$DD1011,82),0)</f>
        <v/>
      </c>
      <c r="CG1011">
        <f>IFERROR(INDEX(PP_Grid[#Data],$DD1011,83),0)</f>
        <v/>
      </c>
      <c r="CH1011">
        <f>IFERROR(INDEX(PP_Grid[#Data],$DD1011,84),0)</f>
        <v/>
      </c>
      <c r="CI1011">
        <f>IFERROR(INDEX(PP_Grid[#Data],$DD1011,85),0)</f>
        <v/>
      </c>
      <c r="CJ1011">
        <f>IFERROR(INDEX(PP_Grid[#Data],$DD1011,86),0)</f>
        <v/>
      </c>
      <c r="CK1011">
        <f>IFERROR(INDEX(PP_Grid[#Data],$DD1011,87),0)</f>
        <v/>
      </c>
      <c r="CL1011">
        <f>IFERROR(INDEX(PP_Grid[#Data],$DD1011,88),0)</f>
        <v/>
      </c>
      <c r="CM1011">
        <f>IFERROR(INDEX(PP_Grid[#Data],$DD1011,89),0)</f>
        <v/>
      </c>
      <c r="CN1011">
        <f>IFERROR(INDEX(PP_Grid[#Data],$DD1011,90),0)</f>
        <v/>
      </c>
      <c r="CO1011">
        <f>IFERROR(INDEX(PP_Grid[#Data],$DD1011,91),0)</f>
        <v/>
      </c>
      <c r="CP1011">
        <f>IFERROR(INDEX(PP_Grid[#Data],$DD1011,92),0)</f>
        <v/>
      </c>
      <c r="CQ1011">
        <f>IFERROR(INDEX(PP_Grid[#Data],$DD1011,93),0)</f>
        <v/>
      </c>
      <c r="CR1011">
        <f>IFERROR(INDEX(PP_Grid[#Data],$DD1011,94),0)</f>
        <v/>
      </c>
      <c r="CS1011">
        <f>IFERROR(INDEX(PP_Grid[#Data],$DD1011,95),0)</f>
        <v/>
      </c>
      <c r="CT1011">
        <f>IFERROR(INDEX(PP_Grid[#Data],$DD1011,96),0)</f>
        <v/>
      </c>
      <c r="CU1011">
        <f>IFERROR(INDEX(PP_Grid[#Data],$DD1011,97),0)</f>
        <v/>
      </c>
      <c r="CV1011">
        <f>IFERROR(INDEX(PP_Grid[#Data],$DD1011,98),0)</f>
        <v/>
      </c>
      <c r="CW1011">
        <f>IFERROR(INDEX(PP_Grid[#Data],$DD1011,99),0)</f>
        <v/>
      </c>
      <c r="CX1011">
        <f>IFERROR(INDEX(PP_Grid[#Data],$DD1011,100),0)</f>
        <v/>
      </c>
      <c r="CY1011">
        <f>IFERROR(INDEX(PP_Grid[#Data],$DD1011,101),0)</f>
        <v/>
      </c>
      <c r="CZ1011">
        <f>IFERROR(INDEX(PP_Grid[#Data],$DD1011,102),0)</f>
        <v/>
      </c>
      <c r="DA1011">
        <f>IFERROR(INDEX(PP_Grid[#Data],$DD1011,103),0)</f>
        <v/>
      </c>
      <c r="DB1011">
        <f>IFERROR(INDEX(PP_Grid[#Data],$DD1011,104),0)</f>
        <v/>
      </c>
      <c r="DC1011">
        <f>IFERROR(INDEX(PP_Grid[#Data],$DD1011,105),0)</f>
        <v/>
      </c>
      <c r="DD1011" s="12">
        <f>IFERROR(MATCH($B1011,PP_Grid[Intermediate],0),99999)</f>
        <v/>
      </c>
    </row>
    <row r="1012">
      <c r="B1012" t="inlineStr">
        <is>
          <t>使用量(kg)</t>
        </is>
      </c>
      <c r="C1012">
        <f>SUMIFS(M_BOM[RM_Qty_Per_Batch],M_BOM[Intermediate],$B1011,M_BOM[Part Name],$A988)</f>
        <v/>
      </c>
      <c r="D1012">
        <f>$C1012*D1011</f>
        <v/>
      </c>
      <c r="E1012">
        <f>$C1012*E1011</f>
        <v/>
      </c>
      <c r="F1012">
        <f>$C1012*F1011</f>
        <v/>
      </c>
      <c r="G1012">
        <f>$C1012*G1011</f>
        <v/>
      </c>
      <c r="H1012">
        <f>$C1012*H1011</f>
        <v/>
      </c>
      <c r="I1012">
        <f>$C1012*I1011</f>
        <v/>
      </c>
      <c r="J1012">
        <f>$C1012*J1011</f>
        <v/>
      </c>
      <c r="K1012">
        <f>$C1012*K1011</f>
        <v/>
      </c>
      <c r="L1012">
        <f>$C1012*L1011</f>
        <v/>
      </c>
      <c r="M1012">
        <f>$C1012*M1011</f>
        <v/>
      </c>
      <c r="N1012">
        <f>$C1012*N1011</f>
        <v/>
      </c>
      <c r="O1012">
        <f>$C1012*O1011</f>
        <v/>
      </c>
      <c r="P1012">
        <f>$C1012*P1011</f>
        <v/>
      </c>
      <c r="Q1012">
        <f>$C1012*Q1011</f>
        <v/>
      </c>
      <c r="R1012">
        <f>$C1012*R1011</f>
        <v/>
      </c>
      <c r="S1012">
        <f>$C1012*S1011</f>
        <v/>
      </c>
      <c r="T1012">
        <f>$C1012*T1011</f>
        <v/>
      </c>
      <c r="U1012">
        <f>$C1012*U1011</f>
        <v/>
      </c>
      <c r="V1012">
        <f>$C1012*V1011</f>
        <v/>
      </c>
      <c r="W1012">
        <f>$C1012*W1011</f>
        <v/>
      </c>
      <c r="X1012">
        <f>$C1012*X1011</f>
        <v/>
      </c>
      <c r="Y1012">
        <f>$C1012*Y1011</f>
        <v/>
      </c>
      <c r="Z1012">
        <f>$C1012*Z1011</f>
        <v/>
      </c>
      <c r="AA1012">
        <f>$C1012*AA1011</f>
        <v/>
      </c>
      <c r="AB1012">
        <f>$C1012*AB1011</f>
        <v/>
      </c>
      <c r="AC1012">
        <f>$C1012*AC1011</f>
        <v/>
      </c>
      <c r="AD1012">
        <f>$C1012*AD1011</f>
        <v/>
      </c>
      <c r="AE1012">
        <f>$C1012*AE1011</f>
        <v/>
      </c>
      <c r="AF1012">
        <f>$C1012*AF1011</f>
        <v/>
      </c>
      <c r="AG1012">
        <f>$C1012*AG1011</f>
        <v/>
      </c>
      <c r="AH1012">
        <f>$C1012*AH1011</f>
        <v/>
      </c>
      <c r="AI1012">
        <f>$C1012*AI1011</f>
        <v/>
      </c>
      <c r="AJ1012">
        <f>$C1012*AJ1011</f>
        <v/>
      </c>
      <c r="AK1012">
        <f>$C1012*AK1011</f>
        <v/>
      </c>
      <c r="AL1012">
        <f>$C1012*AL1011</f>
        <v/>
      </c>
      <c r="AM1012">
        <f>$C1012*AM1011</f>
        <v/>
      </c>
      <c r="AN1012">
        <f>$C1012*AN1011</f>
        <v/>
      </c>
      <c r="AO1012">
        <f>$C1012*AO1011</f>
        <v/>
      </c>
      <c r="AP1012">
        <f>$C1012*AP1011</f>
        <v/>
      </c>
      <c r="AQ1012">
        <f>$C1012*AQ1011</f>
        <v/>
      </c>
      <c r="AR1012">
        <f>$C1012*AR1011</f>
        <v/>
      </c>
      <c r="AS1012">
        <f>$C1012*AS1011</f>
        <v/>
      </c>
      <c r="AT1012">
        <f>$C1012*AT1011</f>
        <v/>
      </c>
      <c r="AU1012">
        <f>$C1012*AU1011</f>
        <v/>
      </c>
      <c r="AV1012">
        <f>$C1012*AV1011</f>
        <v/>
      </c>
      <c r="AW1012">
        <f>$C1012*AW1011</f>
        <v/>
      </c>
      <c r="AX1012">
        <f>$C1012*AX1011</f>
        <v/>
      </c>
      <c r="AY1012">
        <f>$C1012*AY1011</f>
        <v/>
      </c>
      <c r="AZ1012">
        <f>$C1012*AZ1011</f>
        <v/>
      </c>
      <c r="BA1012">
        <f>$C1012*BA1011</f>
        <v/>
      </c>
      <c r="BB1012">
        <f>$C1012*BB1011</f>
        <v/>
      </c>
      <c r="BC1012">
        <f>$C1012*BC1011</f>
        <v/>
      </c>
      <c r="BD1012">
        <f>$C1012*BD1011</f>
        <v/>
      </c>
      <c r="BE1012">
        <f>$C1012*BE1011</f>
        <v/>
      </c>
      <c r="BF1012">
        <f>$C1012*BF1011</f>
        <v/>
      </c>
      <c r="BG1012">
        <f>$C1012*BG1011</f>
        <v/>
      </c>
      <c r="BH1012">
        <f>$C1012*BH1011</f>
        <v/>
      </c>
      <c r="BI1012">
        <f>$C1012*BI1011</f>
        <v/>
      </c>
      <c r="BJ1012">
        <f>$C1012*BJ1011</f>
        <v/>
      </c>
      <c r="BK1012">
        <f>$C1012*BK1011</f>
        <v/>
      </c>
      <c r="BL1012">
        <f>$C1012*BL1011</f>
        <v/>
      </c>
      <c r="BM1012">
        <f>$C1012*BM1011</f>
        <v/>
      </c>
      <c r="BN1012">
        <f>$C1012*BN1011</f>
        <v/>
      </c>
      <c r="BO1012">
        <f>$C1012*BO1011</f>
        <v/>
      </c>
      <c r="BP1012">
        <f>$C1012*BP1011</f>
        <v/>
      </c>
      <c r="BQ1012">
        <f>$C1012*BQ1011</f>
        <v/>
      </c>
      <c r="BR1012">
        <f>$C1012*BR1011</f>
        <v/>
      </c>
      <c r="BS1012">
        <f>$C1012*BS1011</f>
        <v/>
      </c>
      <c r="BT1012">
        <f>$C1012*BT1011</f>
        <v/>
      </c>
      <c r="BU1012">
        <f>$C1012*BU1011</f>
        <v/>
      </c>
      <c r="BV1012">
        <f>$C1012*BV1011</f>
        <v/>
      </c>
      <c r="BW1012">
        <f>$C1012*BW1011</f>
        <v/>
      </c>
      <c r="BX1012">
        <f>$C1012*BX1011</f>
        <v/>
      </c>
      <c r="BY1012">
        <f>$C1012*BY1011</f>
        <v/>
      </c>
      <c r="BZ1012">
        <f>$C1012*BZ1011</f>
        <v/>
      </c>
      <c r="CA1012">
        <f>$C1012*CA1011</f>
        <v/>
      </c>
      <c r="CB1012">
        <f>$C1012*CB1011</f>
        <v/>
      </c>
      <c r="CC1012">
        <f>$C1012*CC1011</f>
        <v/>
      </c>
      <c r="CD1012">
        <f>$C1012*CD1011</f>
        <v/>
      </c>
      <c r="CE1012">
        <f>$C1012*CE1011</f>
        <v/>
      </c>
      <c r="CF1012">
        <f>$C1012*CF1011</f>
        <v/>
      </c>
      <c r="CG1012">
        <f>$C1012*CG1011</f>
        <v/>
      </c>
      <c r="CH1012">
        <f>$C1012*CH1011</f>
        <v/>
      </c>
      <c r="CI1012">
        <f>$C1012*CI1011</f>
        <v/>
      </c>
      <c r="CJ1012">
        <f>$C1012*CJ1011</f>
        <v/>
      </c>
      <c r="CK1012">
        <f>$C1012*CK1011</f>
        <v/>
      </c>
      <c r="CL1012">
        <f>$C1012*CL1011</f>
        <v/>
      </c>
      <c r="CM1012">
        <f>$C1012*CM1011</f>
        <v/>
      </c>
      <c r="CN1012">
        <f>$C1012*CN1011</f>
        <v/>
      </c>
      <c r="CO1012">
        <f>$C1012*CO1011</f>
        <v/>
      </c>
      <c r="CP1012">
        <f>$C1012*CP1011</f>
        <v/>
      </c>
      <c r="CQ1012">
        <f>$C1012*CQ1011</f>
        <v/>
      </c>
      <c r="CR1012">
        <f>$C1012*CR1011</f>
        <v/>
      </c>
      <c r="CS1012">
        <f>$C1012*CS1011</f>
        <v/>
      </c>
      <c r="CT1012">
        <f>$C1012*CT1011</f>
        <v/>
      </c>
      <c r="CU1012">
        <f>$C1012*CU1011</f>
        <v/>
      </c>
      <c r="CV1012">
        <f>$C1012*CV1011</f>
        <v/>
      </c>
      <c r="CW1012">
        <f>$C1012*CW1011</f>
        <v/>
      </c>
      <c r="CX1012">
        <f>$C1012*CX1011</f>
        <v/>
      </c>
      <c r="CY1012">
        <f>$C1012*CY1011</f>
        <v/>
      </c>
      <c r="CZ1012">
        <f>$C1012*CZ1011</f>
        <v/>
      </c>
      <c r="DA1012">
        <f>$C1012*DA1011</f>
        <v/>
      </c>
      <c r="DB1012">
        <f>$C1012*DB1011</f>
        <v/>
      </c>
      <c r="DC1012">
        <f>$C1012*DC1011</f>
        <v/>
      </c>
    </row>
    <row r="1013">
      <c r="B1013" t="inlineStr">
        <is>
          <t>TSP-903</t>
        </is>
      </c>
      <c r="C1013" t="inlineStr">
        <is>
          <t>No. of batches</t>
        </is>
      </c>
      <c r="D1013">
        <f>IFERROR(INDEX(PP_Grid[#Data],$DD1013,2),0)</f>
        <v/>
      </c>
      <c r="E1013">
        <f>IFERROR(INDEX(PP_Grid[#Data],$DD1013,3),0)</f>
        <v/>
      </c>
      <c r="F1013">
        <f>IFERROR(INDEX(PP_Grid[#Data],$DD1013,4),0)</f>
        <v/>
      </c>
      <c r="G1013">
        <f>IFERROR(INDEX(PP_Grid[#Data],$DD1013,5),0)</f>
        <v/>
      </c>
      <c r="H1013">
        <f>IFERROR(INDEX(PP_Grid[#Data],$DD1013,6),0)</f>
        <v/>
      </c>
      <c r="I1013">
        <f>IFERROR(INDEX(PP_Grid[#Data],$DD1013,7),0)</f>
        <v/>
      </c>
      <c r="J1013">
        <f>IFERROR(INDEX(PP_Grid[#Data],$DD1013,8),0)</f>
        <v/>
      </c>
      <c r="K1013">
        <f>IFERROR(INDEX(PP_Grid[#Data],$DD1013,9),0)</f>
        <v/>
      </c>
      <c r="L1013">
        <f>IFERROR(INDEX(PP_Grid[#Data],$DD1013,10),0)</f>
        <v/>
      </c>
      <c r="M1013">
        <f>IFERROR(INDEX(PP_Grid[#Data],$DD1013,11),0)</f>
        <v/>
      </c>
      <c r="N1013">
        <f>IFERROR(INDEX(PP_Grid[#Data],$DD1013,12),0)</f>
        <v/>
      </c>
      <c r="O1013">
        <f>IFERROR(INDEX(PP_Grid[#Data],$DD1013,13),0)</f>
        <v/>
      </c>
      <c r="P1013">
        <f>IFERROR(INDEX(PP_Grid[#Data],$DD1013,14),0)</f>
        <v/>
      </c>
      <c r="Q1013">
        <f>IFERROR(INDEX(PP_Grid[#Data],$DD1013,15),0)</f>
        <v/>
      </c>
      <c r="R1013">
        <f>IFERROR(INDEX(PP_Grid[#Data],$DD1013,16),0)</f>
        <v/>
      </c>
      <c r="S1013">
        <f>IFERROR(INDEX(PP_Grid[#Data],$DD1013,17),0)</f>
        <v/>
      </c>
      <c r="T1013">
        <f>IFERROR(INDEX(PP_Grid[#Data],$DD1013,18),0)</f>
        <v/>
      </c>
      <c r="U1013">
        <f>IFERROR(INDEX(PP_Grid[#Data],$DD1013,19),0)</f>
        <v/>
      </c>
      <c r="V1013">
        <f>IFERROR(INDEX(PP_Grid[#Data],$DD1013,20),0)</f>
        <v/>
      </c>
      <c r="W1013">
        <f>IFERROR(INDEX(PP_Grid[#Data],$DD1013,21),0)</f>
        <v/>
      </c>
      <c r="X1013">
        <f>IFERROR(INDEX(PP_Grid[#Data],$DD1013,22),0)</f>
        <v/>
      </c>
      <c r="Y1013">
        <f>IFERROR(INDEX(PP_Grid[#Data],$DD1013,23),0)</f>
        <v/>
      </c>
      <c r="Z1013">
        <f>IFERROR(INDEX(PP_Grid[#Data],$DD1013,24),0)</f>
        <v/>
      </c>
      <c r="AA1013">
        <f>IFERROR(INDEX(PP_Grid[#Data],$DD1013,25),0)</f>
        <v/>
      </c>
      <c r="AB1013">
        <f>IFERROR(INDEX(PP_Grid[#Data],$DD1013,26),0)</f>
        <v/>
      </c>
      <c r="AC1013">
        <f>IFERROR(INDEX(PP_Grid[#Data],$DD1013,27),0)</f>
        <v/>
      </c>
      <c r="AD1013">
        <f>IFERROR(INDEX(PP_Grid[#Data],$DD1013,28),0)</f>
        <v/>
      </c>
      <c r="AE1013">
        <f>IFERROR(INDEX(PP_Grid[#Data],$DD1013,29),0)</f>
        <v/>
      </c>
      <c r="AF1013">
        <f>IFERROR(INDEX(PP_Grid[#Data],$DD1013,30),0)</f>
        <v/>
      </c>
      <c r="AG1013">
        <f>IFERROR(INDEX(PP_Grid[#Data],$DD1013,31),0)</f>
        <v/>
      </c>
      <c r="AH1013">
        <f>IFERROR(INDEX(PP_Grid[#Data],$DD1013,32),0)</f>
        <v/>
      </c>
      <c r="AI1013">
        <f>IFERROR(INDEX(PP_Grid[#Data],$DD1013,33),0)</f>
        <v/>
      </c>
      <c r="AJ1013">
        <f>IFERROR(INDEX(PP_Grid[#Data],$DD1013,34),0)</f>
        <v/>
      </c>
      <c r="AK1013">
        <f>IFERROR(INDEX(PP_Grid[#Data],$DD1013,35),0)</f>
        <v/>
      </c>
      <c r="AL1013">
        <f>IFERROR(INDEX(PP_Grid[#Data],$DD1013,36),0)</f>
        <v/>
      </c>
      <c r="AM1013">
        <f>IFERROR(INDEX(PP_Grid[#Data],$DD1013,37),0)</f>
        <v/>
      </c>
      <c r="AN1013">
        <f>IFERROR(INDEX(PP_Grid[#Data],$DD1013,38),0)</f>
        <v/>
      </c>
      <c r="AO1013">
        <f>IFERROR(INDEX(PP_Grid[#Data],$DD1013,39),0)</f>
        <v/>
      </c>
      <c r="AP1013">
        <f>IFERROR(INDEX(PP_Grid[#Data],$DD1013,40),0)</f>
        <v/>
      </c>
      <c r="AQ1013">
        <f>IFERROR(INDEX(PP_Grid[#Data],$DD1013,41),0)</f>
        <v/>
      </c>
      <c r="AR1013">
        <f>IFERROR(INDEX(PP_Grid[#Data],$DD1013,42),0)</f>
        <v/>
      </c>
      <c r="AS1013">
        <f>IFERROR(INDEX(PP_Grid[#Data],$DD1013,43),0)</f>
        <v/>
      </c>
      <c r="AT1013">
        <f>IFERROR(INDEX(PP_Grid[#Data],$DD1013,44),0)</f>
        <v/>
      </c>
      <c r="AU1013">
        <f>IFERROR(INDEX(PP_Grid[#Data],$DD1013,45),0)</f>
        <v/>
      </c>
      <c r="AV1013">
        <f>IFERROR(INDEX(PP_Grid[#Data],$DD1013,46),0)</f>
        <v/>
      </c>
      <c r="AW1013">
        <f>IFERROR(INDEX(PP_Grid[#Data],$DD1013,47),0)</f>
        <v/>
      </c>
      <c r="AX1013">
        <f>IFERROR(INDEX(PP_Grid[#Data],$DD1013,48),0)</f>
        <v/>
      </c>
      <c r="AY1013">
        <f>IFERROR(INDEX(PP_Grid[#Data],$DD1013,49),0)</f>
        <v/>
      </c>
      <c r="AZ1013">
        <f>IFERROR(INDEX(PP_Grid[#Data],$DD1013,50),0)</f>
        <v/>
      </c>
      <c r="BA1013">
        <f>IFERROR(INDEX(PP_Grid[#Data],$DD1013,51),0)</f>
        <v/>
      </c>
      <c r="BB1013">
        <f>IFERROR(INDEX(PP_Grid[#Data],$DD1013,52),0)</f>
        <v/>
      </c>
      <c r="BC1013">
        <f>IFERROR(INDEX(PP_Grid[#Data],$DD1013,53),0)</f>
        <v/>
      </c>
      <c r="BD1013">
        <f>IFERROR(INDEX(PP_Grid[#Data],$DD1013,54),0)</f>
        <v/>
      </c>
      <c r="BE1013">
        <f>IFERROR(INDEX(PP_Grid[#Data],$DD1013,55),0)</f>
        <v/>
      </c>
      <c r="BF1013">
        <f>IFERROR(INDEX(PP_Grid[#Data],$DD1013,56),0)</f>
        <v/>
      </c>
      <c r="BG1013">
        <f>IFERROR(INDEX(PP_Grid[#Data],$DD1013,57),0)</f>
        <v/>
      </c>
      <c r="BH1013">
        <f>IFERROR(INDEX(PP_Grid[#Data],$DD1013,58),0)</f>
        <v/>
      </c>
      <c r="BI1013">
        <f>IFERROR(INDEX(PP_Grid[#Data],$DD1013,59),0)</f>
        <v/>
      </c>
      <c r="BJ1013">
        <f>IFERROR(INDEX(PP_Grid[#Data],$DD1013,60),0)</f>
        <v/>
      </c>
      <c r="BK1013">
        <f>IFERROR(INDEX(PP_Grid[#Data],$DD1013,61),0)</f>
        <v/>
      </c>
      <c r="BL1013">
        <f>IFERROR(INDEX(PP_Grid[#Data],$DD1013,62),0)</f>
        <v/>
      </c>
      <c r="BM1013">
        <f>IFERROR(INDEX(PP_Grid[#Data],$DD1013,63),0)</f>
        <v/>
      </c>
      <c r="BN1013">
        <f>IFERROR(INDEX(PP_Grid[#Data],$DD1013,64),0)</f>
        <v/>
      </c>
      <c r="BO1013">
        <f>IFERROR(INDEX(PP_Grid[#Data],$DD1013,65),0)</f>
        <v/>
      </c>
      <c r="BP1013">
        <f>IFERROR(INDEX(PP_Grid[#Data],$DD1013,66),0)</f>
        <v/>
      </c>
      <c r="BQ1013">
        <f>IFERROR(INDEX(PP_Grid[#Data],$DD1013,67),0)</f>
        <v/>
      </c>
      <c r="BR1013">
        <f>IFERROR(INDEX(PP_Grid[#Data],$DD1013,68),0)</f>
        <v/>
      </c>
      <c r="BS1013">
        <f>IFERROR(INDEX(PP_Grid[#Data],$DD1013,69),0)</f>
        <v/>
      </c>
      <c r="BT1013">
        <f>IFERROR(INDEX(PP_Grid[#Data],$DD1013,70),0)</f>
        <v/>
      </c>
      <c r="BU1013">
        <f>IFERROR(INDEX(PP_Grid[#Data],$DD1013,71),0)</f>
        <v/>
      </c>
      <c r="BV1013">
        <f>IFERROR(INDEX(PP_Grid[#Data],$DD1013,72),0)</f>
        <v/>
      </c>
      <c r="BW1013">
        <f>IFERROR(INDEX(PP_Grid[#Data],$DD1013,73),0)</f>
        <v/>
      </c>
      <c r="BX1013">
        <f>IFERROR(INDEX(PP_Grid[#Data],$DD1013,74),0)</f>
        <v/>
      </c>
      <c r="BY1013">
        <f>IFERROR(INDEX(PP_Grid[#Data],$DD1013,75),0)</f>
        <v/>
      </c>
      <c r="BZ1013">
        <f>IFERROR(INDEX(PP_Grid[#Data],$DD1013,76),0)</f>
        <v/>
      </c>
      <c r="CA1013">
        <f>IFERROR(INDEX(PP_Grid[#Data],$DD1013,77),0)</f>
        <v/>
      </c>
      <c r="CB1013">
        <f>IFERROR(INDEX(PP_Grid[#Data],$DD1013,78),0)</f>
        <v/>
      </c>
      <c r="CC1013">
        <f>IFERROR(INDEX(PP_Grid[#Data],$DD1013,79),0)</f>
        <v/>
      </c>
      <c r="CD1013">
        <f>IFERROR(INDEX(PP_Grid[#Data],$DD1013,80),0)</f>
        <v/>
      </c>
      <c r="CE1013">
        <f>IFERROR(INDEX(PP_Grid[#Data],$DD1013,81),0)</f>
        <v/>
      </c>
      <c r="CF1013">
        <f>IFERROR(INDEX(PP_Grid[#Data],$DD1013,82),0)</f>
        <v/>
      </c>
      <c r="CG1013">
        <f>IFERROR(INDEX(PP_Grid[#Data],$DD1013,83),0)</f>
        <v/>
      </c>
      <c r="CH1013">
        <f>IFERROR(INDEX(PP_Grid[#Data],$DD1013,84),0)</f>
        <v/>
      </c>
      <c r="CI1013">
        <f>IFERROR(INDEX(PP_Grid[#Data],$DD1013,85),0)</f>
        <v/>
      </c>
      <c r="CJ1013">
        <f>IFERROR(INDEX(PP_Grid[#Data],$DD1013,86),0)</f>
        <v/>
      </c>
      <c r="CK1013">
        <f>IFERROR(INDEX(PP_Grid[#Data],$DD1013,87),0)</f>
        <v/>
      </c>
      <c r="CL1013">
        <f>IFERROR(INDEX(PP_Grid[#Data],$DD1013,88),0)</f>
        <v/>
      </c>
      <c r="CM1013">
        <f>IFERROR(INDEX(PP_Grid[#Data],$DD1013,89),0)</f>
        <v/>
      </c>
      <c r="CN1013">
        <f>IFERROR(INDEX(PP_Grid[#Data],$DD1013,90),0)</f>
        <v/>
      </c>
      <c r="CO1013">
        <f>IFERROR(INDEX(PP_Grid[#Data],$DD1013,91),0)</f>
        <v/>
      </c>
      <c r="CP1013">
        <f>IFERROR(INDEX(PP_Grid[#Data],$DD1013,92),0)</f>
        <v/>
      </c>
      <c r="CQ1013">
        <f>IFERROR(INDEX(PP_Grid[#Data],$DD1013,93),0)</f>
        <v/>
      </c>
      <c r="CR1013">
        <f>IFERROR(INDEX(PP_Grid[#Data],$DD1013,94),0)</f>
        <v/>
      </c>
      <c r="CS1013">
        <f>IFERROR(INDEX(PP_Grid[#Data],$DD1013,95),0)</f>
        <v/>
      </c>
      <c r="CT1013">
        <f>IFERROR(INDEX(PP_Grid[#Data],$DD1013,96),0)</f>
        <v/>
      </c>
      <c r="CU1013">
        <f>IFERROR(INDEX(PP_Grid[#Data],$DD1013,97),0)</f>
        <v/>
      </c>
      <c r="CV1013">
        <f>IFERROR(INDEX(PP_Grid[#Data],$DD1013,98),0)</f>
        <v/>
      </c>
      <c r="CW1013">
        <f>IFERROR(INDEX(PP_Grid[#Data],$DD1013,99),0)</f>
        <v/>
      </c>
      <c r="CX1013">
        <f>IFERROR(INDEX(PP_Grid[#Data],$DD1013,100),0)</f>
        <v/>
      </c>
      <c r="CY1013">
        <f>IFERROR(INDEX(PP_Grid[#Data],$DD1013,101),0)</f>
        <v/>
      </c>
      <c r="CZ1013">
        <f>IFERROR(INDEX(PP_Grid[#Data],$DD1013,102),0)</f>
        <v/>
      </c>
      <c r="DA1013">
        <f>IFERROR(INDEX(PP_Grid[#Data],$DD1013,103),0)</f>
        <v/>
      </c>
      <c r="DB1013">
        <f>IFERROR(INDEX(PP_Grid[#Data],$DD1013,104),0)</f>
        <v/>
      </c>
      <c r="DC1013">
        <f>IFERROR(INDEX(PP_Grid[#Data],$DD1013,105),0)</f>
        <v/>
      </c>
      <c r="DD1013" s="12">
        <f>IFERROR(MATCH($B1013,PP_Grid[Intermediate],0),99999)</f>
        <v/>
      </c>
    </row>
    <row r="1014">
      <c r="B1014" t="inlineStr">
        <is>
          <t>使用量(kg)</t>
        </is>
      </c>
      <c r="C1014">
        <f>SUMIFS(M_BOM[RM_Qty_Per_Batch],M_BOM[Intermediate],$B1013,M_BOM[Part Name],$A988)</f>
        <v/>
      </c>
      <c r="D1014">
        <f>$C1014*D1013</f>
        <v/>
      </c>
      <c r="E1014">
        <f>$C1014*E1013</f>
        <v/>
      </c>
      <c r="F1014">
        <f>$C1014*F1013</f>
        <v/>
      </c>
      <c r="G1014">
        <f>$C1014*G1013</f>
        <v/>
      </c>
      <c r="H1014">
        <f>$C1014*H1013</f>
        <v/>
      </c>
      <c r="I1014">
        <f>$C1014*I1013</f>
        <v/>
      </c>
      <c r="J1014">
        <f>$C1014*J1013</f>
        <v/>
      </c>
      <c r="K1014">
        <f>$C1014*K1013</f>
        <v/>
      </c>
      <c r="L1014">
        <f>$C1014*L1013</f>
        <v/>
      </c>
      <c r="M1014">
        <f>$C1014*M1013</f>
        <v/>
      </c>
      <c r="N1014">
        <f>$C1014*N1013</f>
        <v/>
      </c>
      <c r="O1014">
        <f>$C1014*O1013</f>
        <v/>
      </c>
      <c r="P1014">
        <f>$C1014*P1013</f>
        <v/>
      </c>
      <c r="Q1014">
        <f>$C1014*Q1013</f>
        <v/>
      </c>
      <c r="R1014">
        <f>$C1014*R1013</f>
        <v/>
      </c>
      <c r="S1014">
        <f>$C1014*S1013</f>
        <v/>
      </c>
      <c r="T1014">
        <f>$C1014*T1013</f>
        <v/>
      </c>
      <c r="U1014">
        <f>$C1014*U1013</f>
        <v/>
      </c>
      <c r="V1014">
        <f>$C1014*V1013</f>
        <v/>
      </c>
      <c r="W1014">
        <f>$C1014*W1013</f>
        <v/>
      </c>
      <c r="X1014">
        <f>$C1014*X1013</f>
        <v/>
      </c>
      <c r="Y1014">
        <f>$C1014*Y1013</f>
        <v/>
      </c>
      <c r="Z1014">
        <f>$C1014*Z1013</f>
        <v/>
      </c>
      <c r="AA1014">
        <f>$C1014*AA1013</f>
        <v/>
      </c>
      <c r="AB1014">
        <f>$C1014*AB1013</f>
        <v/>
      </c>
      <c r="AC1014">
        <f>$C1014*AC1013</f>
        <v/>
      </c>
      <c r="AD1014">
        <f>$C1014*AD1013</f>
        <v/>
      </c>
      <c r="AE1014">
        <f>$C1014*AE1013</f>
        <v/>
      </c>
      <c r="AF1014">
        <f>$C1014*AF1013</f>
        <v/>
      </c>
      <c r="AG1014">
        <f>$C1014*AG1013</f>
        <v/>
      </c>
      <c r="AH1014">
        <f>$C1014*AH1013</f>
        <v/>
      </c>
      <c r="AI1014">
        <f>$C1014*AI1013</f>
        <v/>
      </c>
      <c r="AJ1014">
        <f>$C1014*AJ1013</f>
        <v/>
      </c>
      <c r="AK1014">
        <f>$C1014*AK1013</f>
        <v/>
      </c>
      <c r="AL1014">
        <f>$C1014*AL1013</f>
        <v/>
      </c>
      <c r="AM1014">
        <f>$C1014*AM1013</f>
        <v/>
      </c>
      <c r="AN1014">
        <f>$C1014*AN1013</f>
        <v/>
      </c>
      <c r="AO1014">
        <f>$C1014*AO1013</f>
        <v/>
      </c>
      <c r="AP1014">
        <f>$C1014*AP1013</f>
        <v/>
      </c>
      <c r="AQ1014">
        <f>$C1014*AQ1013</f>
        <v/>
      </c>
      <c r="AR1014">
        <f>$C1014*AR1013</f>
        <v/>
      </c>
      <c r="AS1014">
        <f>$C1014*AS1013</f>
        <v/>
      </c>
      <c r="AT1014">
        <f>$C1014*AT1013</f>
        <v/>
      </c>
      <c r="AU1014">
        <f>$C1014*AU1013</f>
        <v/>
      </c>
      <c r="AV1014">
        <f>$C1014*AV1013</f>
        <v/>
      </c>
      <c r="AW1014">
        <f>$C1014*AW1013</f>
        <v/>
      </c>
      <c r="AX1014">
        <f>$C1014*AX1013</f>
        <v/>
      </c>
      <c r="AY1014">
        <f>$C1014*AY1013</f>
        <v/>
      </c>
      <c r="AZ1014">
        <f>$C1014*AZ1013</f>
        <v/>
      </c>
      <c r="BA1014">
        <f>$C1014*BA1013</f>
        <v/>
      </c>
      <c r="BB1014">
        <f>$C1014*BB1013</f>
        <v/>
      </c>
      <c r="BC1014">
        <f>$C1014*BC1013</f>
        <v/>
      </c>
      <c r="BD1014">
        <f>$C1014*BD1013</f>
        <v/>
      </c>
      <c r="BE1014">
        <f>$C1014*BE1013</f>
        <v/>
      </c>
      <c r="BF1014">
        <f>$C1014*BF1013</f>
        <v/>
      </c>
      <c r="BG1014">
        <f>$C1014*BG1013</f>
        <v/>
      </c>
      <c r="BH1014">
        <f>$C1014*BH1013</f>
        <v/>
      </c>
      <c r="BI1014">
        <f>$C1014*BI1013</f>
        <v/>
      </c>
      <c r="BJ1014">
        <f>$C1014*BJ1013</f>
        <v/>
      </c>
      <c r="BK1014">
        <f>$C1014*BK1013</f>
        <v/>
      </c>
      <c r="BL1014">
        <f>$C1014*BL1013</f>
        <v/>
      </c>
      <c r="BM1014">
        <f>$C1014*BM1013</f>
        <v/>
      </c>
      <c r="BN1014">
        <f>$C1014*BN1013</f>
        <v/>
      </c>
      <c r="BO1014">
        <f>$C1014*BO1013</f>
        <v/>
      </c>
      <c r="BP1014">
        <f>$C1014*BP1013</f>
        <v/>
      </c>
      <c r="BQ1014">
        <f>$C1014*BQ1013</f>
        <v/>
      </c>
      <c r="BR1014">
        <f>$C1014*BR1013</f>
        <v/>
      </c>
      <c r="BS1014">
        <f>$C1014*BS1013</f>
        <v/>
      </c>
      <c r="BT1014">
        <f>$C1014*BT1013</f>
        <v/>
      </c>
      <c r="BU1014">
        <f>$C1014*BU1013</f>
        <v/>
      </c>
      <c r="BV1014">
        <f>$C1014*BV1013</f>
        <v/>
      </c>
      <c r="BW1014">
        <f>$C1014*BW1013</f>
        <v/>
      </c>
      <c r="BX1014">
        <f>$C1014*BX1013</f>
        <v/>
      </c>
      <c r="BY1014">
        <f>$C1014*BY1013</f>
        <v/>
      </c>
      <c r="BZ1014">
        <f>$C1014*BZ1013</f>
        <v/>
      </c>
      <c r="CA1014">
        <f>$C1014*CA1013</f>
        <v/>
      </c>
      <c r="CB1014">
        <f>$C1014*CB1013</f>
        <v/>
      </c>
      <c r="CC1014">
        <f>$C1014*CC1013</f>
        <v/>
      </c>
      <c r="CD1014">
        <f>$C1014*CD1013</f>
        <v/>
      </c>
      <c r="CE1014">
        <f>$C1014*CE1013</f>
        <v/>
      </c>
      <c r="CF1014">
        <f>$C1014*CF1013</f>
        <v/>
      </c>
      <c r="CG1014">
        <f>$C1014*CG1013</f>
        <v/>
      </c>
      <c r="CH1014">
        <f>$C1014*CH1013</f>
        <v/>
      </c>
      <c r="CI1014">
        <f>$C1014*CI1013</f>
        <v/>
      </c>
      <c r="CJ1014">
        <f>$C1014*CJ1013</f>
        <v/>
      </c>
      <c r="CK1014">
        <f>$C1014*CK1013</f>
        <v/>
      </c>
      <c r="CL1014">
        <f>$C1014*CL1013</f>
        <v/>
      </c>
      <c r="CM1014">
        <f>$C1014*CM1013</f>
        <v/>
      </c>
      <c r="CN1014">
        <f>$C1014*CN1013</f>
        <v/>
      </c>
      <c r="CO1014">
        <f>$C1014*CO1013</f>
        <v/>
      </c>
      <c r="CP1014">
        <f>$C1014*CP1013</f>
        <v/>
      </c>
      <c r="CQ1014">
        <f>$C1014*CQ1013</f>
        <v/>
      </c>
      <c r="CR1014">
        <f>$C1014*CR1013</f>
        <v/>
      </c>
      <c r="CS1014">
        <f>$C1014*CS1013</f>
        <v/>
      </c>
      <c r="CT1014">
        <f>$C1014*CT1013</f>
        <v/>
      </c>
      <c r="CU1014">
        <f>$C1014*CU1013</f>
        <v/>
      </c>
      <c r="CV1014">
        <f>$C1014*CV1013</f>
        <v/>
      </c>
      <c r="CW1014">
        <f>$C1014*CW1013</f>
        <v/>
      </c>
      <c r="CX1014">
        <f>$C1014*CX1013</f>
        <v/>
      </c>
      <c r="CY1014">
        <f>$C1014*CY1013</f>
        <v/>
      </c>
      <c r="CZ1014">
        <f>$C1014*CZ1013</f>
        <v/>
      </c>
      <c r="DA1014">
        <f>$C1014*DA1013</f>
        <v/>
      </c>
      <c r="DB1014">
        <f>$C1014*DB1013</f>
        <v/>
      </c>
      <c r="DC1014">
        <f>$C1014*DC1013</f>
        <v/>
      </c>
    </row>
    <row r="1015">
      <c r="B1015" t="inlineStr">
        <is>
          <t>TSP-924</t>
        </is>
      </c>
      <c r="C1015" t="inlineStr">
        <is>
          <t>No. of batches</t>
        </is>
      </c>
      <c r="D1015">
        <f>IFERROR(INDEX(PP_Grid[#Data],$DD1015,2),0)</f>
        <v/>
      </c>
      <c r="E1015">
        <f>IFERROR(INDEX(PP_Grid[#Data],$DD1015,3),0)</f>
        <v/>
      </c>
      <c r="F1015">
        <f>IFERROR(INDEX(PP_Grid[#Data],$DD1015,4),0)</f>
        <v/>
      </c>
      <c r="G1015">
        <f>IFERROR(INDEX(PP_Grid[#Data],$DD1015,5),0)</f>
        <v/>
      </c>
      <c r="H1015">
        <f>IFERROR(INDEX(PP_Grid[#Data],$DD1015,6),0)</f>
        <v/>
      </c>
      <c r="I1015">
        <f>IFERROR(INDEX(PP_Grid[#Data],$DD1015,7),0)</f>
        <v/>
      </c>
      <c r="J1015">
        <f>IFERROR(INDEX(PP_Grid[#Data],$DD1015,8),0)</f>
        <v/>
      </c>
      <c r="K1015">
        <f>IFERROR(INDEX(PP_Grid[#Data],$DD1015,9),0)</f>
        <v/>
      </c>
      <c r="L1015">
        <f>IFERROR(INDEX(PP_Grid[#Data],$DD1015,10),0)</f>
        <v/>
      </c>
      <c r="M1015">
        <f>IFERROR(INDEX(PP_Grid[#Data],$DD1015,11),0)</f>
        <v/>
      </c>
      <c r="N1015">
        <f>IFERROR(INDEX(PP_Grid[#Data],$DD1015,12),0)</f>
        <v/>
      </c>
      <c r="O1015">
        <f>IFERROR(INDEX(PP_Grid[#Data],$DD1015,13),0)</f>
        <v/>
      </c>
      <c r="P1015">
        <f>IFERROR(INDEX(PP_Grid[#Data],$DD1015,14),0)</f>
        <v/>
      </c>
      <c r="Q1015">
        <f>IFERROR(INDEX(PP_Grid[#Data],$DD1015,15),0)</f>
        <v/>
      </c>
      <c r="R1015">
        <f>IFERROR(INDEX(PP_Grid[#Data],$DD1015,16),0)</f>
        <v/>
      </c>
      <c r="S1015">
        <f>IFERROR(INDEX(PP_Grid[#Data],$DD1015,17),0)</f>
        <v/>
      </c>
      <c r="T1015">
        <f>IFERROR(INDEX(PP_Grid[#Data],$DD1015,18),0)</f>
        <v/>
      </c>
      <c r="U1015">
        <f>IFERROR(INDEX(PP_Grid[#Data],$DD1015,19),0)</f>
        <v/>
      </c>
      <c r="V1015">
        <f>IFERROR(INDEX(PP_Grid[#Data],$DD1015,20),0)</f>
        <v/>
      </c>
      <c r="W1015">
        <f>IFERROR(INDEX(PP_Grid[#Data],$DD1015,21),0)</f>
        <v/>
      </c>
      <c r="X1015">
        <f>IFERROR(INDEX(PP_Grid[#Data],$DD1015,22),0)</f>
        <v/>
      </c>
      <c r="Y1015">
        <f>IFERROR(INDEX(PP_Grid[#Data],$DD1015,23),0)</f>
        <v/>
      </c>
      <c r="Z1015">
        <f>IFERROR(INDEX(PP_Grid[#Data],$DD1015,24),0)</f>
        <v/>
      </c>
      <c r="AA1015">
        <f>IFERROR(INDEX(PP_Grid[#Data],$DD1015,25),0)</f>
        <v/>
      </c>
      <c r="AB1015">
        <f>IFERROR(INDEX(PP_Grid[#Data],$DD1015,26),0)</f>
        <v/>
      </c>
      <c r="AC1015">
        <f>IFERROR(INDEX(PP_Grid[#Data],$DD1015,27),0)</f>
        <v/>
      </c>
      <c r="AD1015">
        <f>IFERROR(INDEX(PP_Grid[#Data],$DD1015,28),0)</f>
        <v/>
      </c>
      <c r="AE1015">
        <f>IFERROR(INDEX(PP_Grid[#Data],$DD1015,29),0)</f>
        <v/>
      </c>
      <c r="AF1015">
        <f>IFERROR(INDEX(PP_Grid[#Data],$DD1015,30),0)</f>
        <v/>
      </c>
      <c r="AG1015">
        <f>IFERROR(INDEX(PP_Grid[#Data],$DD1015,31),0)</f>
        <v/>
      </c>
      <c r="AH1015">
        <f>IFERROR(INDEX(PP_Grid[#Data],$DD1015,32),0)</f>
        <v/>
      </c>
      <c r="AI1015">
        <f>IFERROR(INDEX(PP_Grid[#Data],$DD1015,33),0)</f>
        <v/>
      </c>
      <c r="AJ1015">
        <f>IFERROR(INDEX(PP_Grid[#Data],$DD1015,34),0)</f>
        <v/>
      </c>
      <c r="AK1015">
        <f>IFERROR(INDEX(PP_Grid[#Data],$DD1015,35),0)</f>
        <v/>
      </c>
      <c r="AL1015">
        <f>IFERROR(INDEX(PP_Grid[#Data],$DD1015,36),0)</f>
        <v/>
      </c>
      <c r="AM1015">
        <f>IFERROR(INDEX(PP_Grid[#Data],$DD1015,37),0)</f>
        <v/>
      </c>
      <c r="AN1015">
        <f>IFERROR(INDEX(PP_Grid[#Data],$DD1015,38),0)</f>
        <v/>
      </c>
      <c r="AO1015">
        <f>IFERROR(INDEX(PP_Grid[#Data],$DD1015,39),0)</f>
        <v/>
      </c>
      <c r="AP1015">
        <f>IFERROR(INDEX(PP_Grid[#Data],$DD1015,40),0)</f>
        <v/>
      </c>
      <c r="AQ1015">
        <f>IFERROR(INDEX(PP_Grid[#Data],$DD1015,41),0)</f>
        <v/>
      </c>
      <c r="AR1015">
        <f>IFERROR(INDEX(PP_Grid[#Data],$DD1015,42),0)</f>
        <v/>
      </c>
      <c r="AS1015">
        <f>IFERROR(INDEX(PP_Grid[#Data],$DD1015,43),0)</f>
        <v/>
      </c>
      <c r="AT1015">
        <f>IFERROR(INDEX(PP_Grid[#Data],$DD1015,44),0)</f>
        <v/>
      </c>
      <c r="AU1015">
        <f>IFERROR(INDEX(PP_Grid[#Data],$DD1015,45),0)</f>
        <v/>
      </c>
      <c r="AV1015">
        <f>IFERROR(INDEX(PP_Grid[#Data],$DD1015,46),0)</f>
        <v/>
      </c>
      <c r="AW1015">
        <f>IFERROR(INDEX(PP_Grid[#Data],$DD1015,47),0)</f>
        <v/>
      </c>
      <c r="AX1015">
        <f>IFERROR(INDEX(PP_Grid[#Data],$DD1015,48),0)</f>
        <v/>
      </c>
      <c r="AY1015">
        <f>IFERROR(INDEX(PP_Grid[#Data],$DD1015,49),0)</f>
        <v/>
      </c>
      <c r="AZ1015">
        <f>IFERROR(INDEX(PP_Grid[#Data],$DD1015,50),0)</f>
        <v/>
      </c>
      <c r="BA1015">
        <f>IFERROR(INDEX(PP_Grid[#Data],$DD1015,51),0)</f>
        <v/>
      </c>
      <c r="BB1015">
        <f>IFERROR(INDEX(PP_Grid[#Data],$DD1015,52),0)</f>
        <v/>
      </c>
      <c r="BC1015">
        <f>IFERROR(INDEX(PP_Grid[#Data],$DD1015,53),0)</f>
        <v/>
      </c>
      <c r="BD1015">
        <f>IFERROR(INDEX(PP_Grid[#Data],$DD1015,54),0)</f>
        <v/>
      </c>
      <c r="BE1015">
        <f>IFERROR(INDEX(PP_Grid[#Data],$DD1015,55),0)</f>
        <v/>
      </c>
      <c r="BF1015">
        <f>IFERROR(INDEX(PP_Grid[#Data],$DD1015,56),0)</f>
        <v/>
      </c>
      <c r="BG1015">
        <f>IFERROR(INDEX(PP_Grid[#Data],$DD1015,57),0)</f>
        <v/>
      </c>
      <c r="BH1015">
        <f>IFERROR(INDEX(PP_Grid[#Data],$DD1015,58),0)</f>
        <v/>
      </c>
      <c r="BI1015">
        <f>IFERROR(INDEX(PP_Grid[#Data],$DD1015,59),0)</f>
        <v/>
      </c>
      <c r="BJ1015">
        <f>IFERROR(INDEX(PP_Grid[#Data],$DD1015,60),0)</f>
        <v/>
      </c>
      <c r="BK1015">
        <f>IFERROR(INDEX(PP_Grid[#Data],$DD1015,61),0)</f>
        <v/>
      </c>
      <c r="BL1015">
        <f>IFERROR(INDEX(PP_Grid[#Data],$DD1015,62),0)</f>
        <v/>
      </c>
      <c r="BM1015">
        <f>IFERROR(INDEX(PP_Grid[#Data],$DD1015,63),0)</f>
        <v/>
      </c>
      <c r="BN1015">
        <f>IFERROR(INDEX(PP_Grid[#Data],$DD1015,64),0)</f>
        <v/>
      </c>
      <c r="BO1015">
        <f>IFERROR(INDEX(PP_Grid[#Data],$DD1015,65),0)</f>
        <v/>
      </c>
      <c r="BP1015">
        <f>IFERROR(INDEX(PP_Grid[#Data],$DD1015,66),0)</f>
        <v/>
      </c>
      <c r="BQ1015">
        <f>IFERROR(INDEX(PP_Grid[#Data],$DD1015,67),0)</f>
        <v/>
      </c>
      <c r="BR1015">
        <f>IFERROR(INDEX(PP_Grid[#Data],$DD1015,68),0)</f>
        <v/>
      </c>
      <c r="BS1015">
        <f>IFERROR(INDEX(PP_Grid[#Data],$DD1015,69),0)</f>
        <v/>
      </c>
      <c r="BT1015">
        <f>IFERROR(INDEX(PP_Grid[#Data],$DD1015,70),0)</f>
        <v/>
      </c>
      <c r="BU1015">
        <f>IFERROR(INDEX(PP_Grid[#Data],$DD1015,71),0)</f>
        <v/>
      </c>
      <c r="BV1015">
        <f>IFERROR(INDEX(PP_Grid[#Data],$DD1015,72),0)</f>
        <v/>
      </c>
      <c r="BW1015">
        <f>IFERROR(INDEX(PP_Grid[#Data],$DD1015,73),0)</f>
        <v/>
      </c>
      <c r="BX1015">
        <f>IFERROR(INDEX(PP_Grid[#Data],$DD1015,74),0)</f>
        <v/>
      </c>
      <c r="BY1015">
        <f>IFERROR(INDEX(PP_Grid[#Data],$DD1015,75),0)</f>
        <v/>
      </c>
      <c r="BZ1015">
        <f>IFERROR(INDEX(PP_Grid[#Data],$DD1015,76),0)</f>
        <v/>
      </c>
      <c r="CA1015">
        <f>IFERROR(INDEX(PP_Grid[#Data],$DD1015,77),0)</f>
        <v/>
      </c>
      <c r="CB1015">
        <f>IFERROR(INDEX(PP_Grid[#Data],$DD1015,78),0)</f>
        <v/>
      </c>
      <c r="CC1015">
        <f>IFERROR(INDEX(PP_Grid[#Data],$DD1015,79),0)</f>
        <v/>
      </c>
      <c r="CD1015">
        <f>IFERROR(INDEX(PP_Grid[#Data],$DD1015,80),0)</f>
        <v/>
      </c>
      <c r="CE1015">
        <f>IFERROR(INDEX(PP_Grid[#Data],$DD1015,81),0)</f>
        <v/>
      </c>
      <c r="CF1015">
        <f>IFERROR(INDEX(PP_Grid[#Data],$DD1015,82),0)</f>
        <v/>
      </c>
      <c r="CG1015">
        <f>IFERROR(INDEX(PP_Grid[#Data],$DD1015,83),0)</f>
        <v/>
      </c>
      <c r="CH1015">
        <f>IFERROR(INDEX(PP_Grid[#Data],$DD1015,84),0)</f>
        <v/>
      </c>
      <c r="CI1015">
        <f>IFERROR(INDEX(PP_Grid[#Data],$DD1015,85),0)</f>
        <v/>
      </c>
      <c r="CJ1015">
        <f>IFERROR(INDEX(PP_Grid[#Data],$DD1015,86),0)</f>
        <v/>
      </c>
      <c r="CK1015">
        <f>IFERROR(INDEX(PP_Grid[#Data],$DD1015,87),0)</f>
        <v/>
      </c>
      <c r="CL1015">
        <f>IFERROR(INDEX(PP_Grid[#Data],$DD1015,88),0)</f>
        <v/>
      </c>
      <c r="CM1015">
        <f>IFERROR(INDEX(PP_Grid[#Data],$DD1015,89),0)</f>
        <v/>
      </c>
      <c r="CN1015">
        <f>IFERROR(INDEX(PP_Grid[#Data],$DD1015,90),0)</f>
        <v/>
      </c>
      <c r="CO1015">
        <f>IFERROR(INDEX(PP_Grid[#Data],$DD1015,91),0)</f>
        <v/>
      </c>
      <c r="CP1015">
        <f>IFERROR(INDEX(PP_Grid[#Data],$DD1015,92),0)</f>
        <v/>
      </c>
      <c r="CQ1015">
        <f>IFERROR(INDEX(PP_Grid[#Data],$DD1015,93),0)</f>
        <v/>
      </c>
      <c r="CR1015">
        <f>IFERROR(INDEX(PP_Grid[#Data],$DD1015,94),0)</f>
        <v/>
      </c>
      <c r="CS1015">
        <f>IFERROR(INDEX(PP_Grid[#Data],$DD1015,95),0)</f>
        <v/>
      </c>
      <c r="CT1015">
        <f>IFERROR(INDEX(PP_Grid[#Data],$DD1015,96),0)</f>
        <v/>
      </c>
      <c r="CU1015">
        <f>IFERROR(INDEX(PP_Grid[#Data],$DD1015,97),0)</f>
        <v/>
      </c>
      <c r="CV1015">
        <f>IFERROR(INDEX(PP_Grid[#Data],$DD1015,98),0)</f>
        <v/>
      </c>
      <c r="CW1015">
        <f>IFERROR(INDEX(PP_Grid[#Data],$DD1015,99),0)</f>
        <v/>
      </c>
      <c r="CX1015">
        <f>IFERROR(INDEX(PP_Grid[#Data],$DD1015,100),0)</f>
        <v/>
      </c>
      <c r="CY1015">
        <f>IFERROR(INDEX(PP_Grid[#Data],$DD1015,101),0)</f>
        <v/>
      </c>
      <c r="CZ1015">
        <f>IFERROR(INDEX(PP_Grid[#Data],$DD1015,102),0)</f>
        <v/>
      </c>
      <c r="DA1015">
        <f>IFERROR(INDEX(PP_Grid[#Data],$DD1015,103),0)</f>
        <v/>
      </c>
      <c r="DB1015">
        <f>IFERROR(INDEX(PP_Grid[#Data],$DD1015,104),0)</f>
        <v/>
      </c>
      <c r="DC1015">
        <f>IFERROR(INDEX(PP_Grid[#Data],$DD1015,105),0)</f>
        <v/>
      </c>
      <c r="DD1015" s="12">
        <f>IFERROR(MATCH($B1015,PP_Grid[Intermediate],0),99999)</f>
        <v/>
      </c>
    </row>
    <row r="1016">
      <c r="B1016" t="inlineStr">
        <is>
          <t>使用量(kg)</t>
        </is>
      </c>
      <c r="C1016">
        <f>SUMIFS(M_BOM[RM_Qty_Per_Batch],M_BOM[Intermediate],$B1015,M_BOM[Part Name],$A988)</f>
        <v/>
      </c>
      <c r="D1016">
        <f>$C1016*D1015</f>
        <v/>
      </c>
      <c r="E1016">
        <f>$C1016*E1015</f>
        <v/>
      </c>
      <c r="F1016">
        <f>$C1016*F1015</f>
        <v/>
      </c>
      <c r="G1016">
        <f>$C1016*G1015</f>
        <v/>
      </c>
      <c r="H1016">
        <f>$C1016*H1015</f>
        <v/>
      </c>
      <c r="I1016">
        <f>$C1016*I1015</f>
        <v/>
      </c>
      <c r="J1016">
        <f>$C1016*J1015</f>
        <v/>
      </c>
      <c r="K1016">
        <f>$C1016*K1015</f>
        <v/>
      </c>
      <c r="L1016">
        <f>$C1016*L1015</f>
        <v/>
      </c>
      <c r="M1016">
        <f>$C1016*M1015</f>
        <v/>
      </c>
      <c r="N1016">
        <f>$C1016*N1015</f>
        <v/>
      </c>
      <c r="O1016">
        <f>$C1016*O1015</f>
        <v/>
      </c>
      <c r="P1016">
        <f>$C1016*P1015</f>
        <v/>
      </c>
      <c r="Q1016">
        <f>$C1016*Q1015</f>
        <v/>
      </c>
      <c r="R1016">
        <f>$C1016*R1015</f>
        <v/>
      </c>
      <c r="S1016">
        <f>$C1016*S1015</f>
        <v/>
      </c>
      <c r="T1016">
        <f>$C1016*T1015</f>
        <v/>
      </c>
      <c r="U1016">
        <f>$C1016*U1015</f>
        <v/>
      </c>
      <c r="V1016">
        <f>$C1016*V1015</f>
        <v/>
      </c>
      <c r="W1016">
        <f>$C1016*W1015</f>
        <v/>
      </c>
      <c r="X1016">
        <f>$C1016*X1015</f>
        <v/>
      </c>
      <c r="Y1016">
        <f>$C1016*Y1015</f>
        <v/>
      </c>
      <c r="Z1016">
        <f>$C1016*Z1015</f>
        <v/>
      </c>
      <c r="AA1016">
        <f>$C1016*AA1015</f>
        <v/>
      </c>
      <c r="AB1016">
        <f>$C1016*AB1015</f>
        <v/>
      </c>
      <c r="AC1016">
        <f>$C1016*AC1015</f>
        <v/>
      </c>
      <c r="AD1016">
        <f>$C1016*AD1015</f>
        <v/>
      </c>
      <c r="AE1016">
        <f>$C1016*AE1015</f>
        <v/>
      </c>
      <c r="AF1016">
        <f>$C1016*AF1015</f>
        <v/>
      </c>
      <c r="AG1016">
        <f>$C1016*AG1015</f>
        <v/>
      </c>
      <c r="AH1016">
        <f>$C1016*AH1015</f>
        <v/>
      </c>
      <c r="AI1016">
        <f>$C1016*AI1015</f>
        <v/>
      </c>
      <c r="AJ1016">
        <f>$C1016*AJ1015</f>
        <v/>
      </c>
      <c r="AK1016">
        <f>$C1016*AK1015</f>
        <v/>
      </c>
      <c r="AL1016">
        <f>$C1016*AL1015</f>
        <v/>
      </c>
      <c r="AM1016">
        <f>$C1016*AM1015</f>
        <v/>
      </c>
      <c r="AN1016">
        <f>$C1016*AN1015</f>
        <v/>
      </c>
      <c r="AO1016">
        <f>$C1016*AO1015</f>
        <v/>
      </c>
      <c r="AP1016">
        <f>$C1016*AP1015</f>
        <v/>
      </c>
      <c r="AQ1016">
        <f>$C1016*AQ1015</f>
        <v/>
      </c>
      <c r="AR1016">
        <f>$C1016*AR1015</f>
        <v/>
      </c>
      <c r="AS1016">
        <f>$C1016*AS1015</f>
        <v/>
      </c>
      <c r="AT1016">
        <f>$C1016*AT1015</f>
        <v/>
      </c>
      <c r="AU1016">
        <f>$C1016*AU1015</f>
        <v/>
      </c>
      <c r="AV1016">
        <f>$C1016*AV1015</f>
        <v/>
      </c>
      <c r="AW1016">
        <f>$C1016*AW1015</f>
        <v/>
      </c>
      <c r="AX1016">
        <f>$C1016*AX1015</f>
        <v/>
      </c>
      <c r="AY1016">
        <f>$C1016*AY1015</f>
        <v/>
      </c>
      <c r="AZ1016">
        <f>$C1016*AZ1015</f>
        <v/>
      </c>
      <c r="BA1016">
        <f>$C1016*BA1015</f>
        <v/>
      </c>
      <c r="BB1016">
        <f>$C1016*BB1015</f>
        <v/>
      </c>
      <c r="BC1016">
        <f>$C1016*BC1015</f>
        <v/>
      </c>
      <c r="BD1016">
        <f>$C1016*BD1015</f>
        <v/>
      </c>
      <c r="BE1016">
        <f>$C1016*BE1015</f>
        <v/>
      </c>
      <c r="BF1016">
        <f>$C1016*BF1015</f>
        <v/>
      </c>
      <c r="BG1016">
        <f>$C1016*BG1015</f>
        <v/>
      </c>
      <c r="BH1016">
        <f>$C1016*BH1015</f>
        <v/>
      </c>
      <c r="BI1016">
        <f>$C1016*BI1015</f>
        <v/>
      </c>
      <c r="BJ1016">
        <f>$C1016*BJ1015</f>
        <v/>
      </c>
      <c r="BK1016">
        <f>$C1016*BK1015</f>
        <v/>
      </c>
      <c r="BL1016">
        <f>$C1016*BL1015</f>
        <v/>
      </c>
      <c r="BM1016">
        <f>$C1016*BM1015</f>
        <v/>
      </c>
      <c r="BN1016">
        <f>$C1016*BN1015</f>
        <v/>
      </c>
      <c r="BO1016">
        <f>$C1016*BO1015</f>
        <v/>
      </c>
      <c r="BP1016">
        <f>$C1016*BP1015</f>
        <v/>
      </c>
      <c r="BQ1016">
        <f>$C1016*BQ1015</f>
        <v/>
      </c>
      <c r="BR1016">
        <f>$C1016*BR1015</f>
        <v/>
      </c>
      <c r="BS1016">
        <f>$C1016*BS1015</f>
        <v/>
      </c>
      <c r="BT1016">
        <f>$C1016*BT1015</f>
        <v/>
      </c>
      <c r="BU1016">
        <f>$C1016*BU1015</f>
        <v/>
      </c>
      <c r="BV1016">
        <f>$C1016*BV1015</f>
        <v/>
      </c>
      <c r="BW1016">
        <f>$C1016*BW1015</f>
        <v/>
      </c>
      <c r="BX1016">
        <f>$C1016*BX1015</f>
        <v/>
      </c>
      <c r="BY1016">
        <f>$C1016*BY1015</f>
        <v/>
      </c>
      <c r="BZ1016">
        <f>$C1016*BZ1015</f>
        <v/>
      </c>
      <c r="CA1016">
        <f>$C1016*CA1015</f>
        <v/>
      </c>
      <c r="CB1016">
        <f>$C1016*CB1015</f>
        <v/>
      </c>
      <c r="CC1016">
        <f>$C1016*CC1015</f>
        <v/>
      </c>
      <c r="CD1016">
        <f>$C1016*CD1015</f>
        <v/>
      </c>
      <c r="CE1016">
        <f>$C1016*CE1015</f>
        <v/>
      </c>
      <c r="CF1016">
        <f>$C1016*CF1015</f>
        <v/>
      </c>
      <c r="CG1016">
        <f>$C1016*CG1015</f>
        <v/>
      </c>
      <c r="CH1016">
        <f>$C1016*CH1015</f>
        <v/>
      </c>
      <c r="CI1016">
        <f>$C1016*CI1015</f>
        <v/>
      </c>
      <c r="CJ1016">
        <f>$C1016*CJ1015</f>
        <v/>
      </c>
      <c r="CK1016">
        <f>$C1016*CK1015</f>
        <v/>
      </c>
      <c r="CL1016">
        <f>$C1016*CL1015</f>
        <v/>
      </c>
      <c r="CM1016">
        <f>$C1016*CM1015</f>
        <v/>
      </c>
      <c r="CN1016">
        <f>$C1016*CN1015</f>
        <v/>
      </c>
      <c r="CO1016">
        <f>$C1016*CO1015</f>
        <v/>
      </c>
      <c r="CP1016">
        <f>$C1016*CP1015</f>
        <v/>
      </c>
      <c r="CQ1016">
        <f>$C1016*CQ1015</f>
        <v/>
      </c>
      <c r="CR1016">
        <f>$C1016*CR1015</f>
        <v/>
      </c>
      <c r="CS1016">
        <f>$C1016*CS1015</f>
        <v/>
      </c>
      <c r="CT1016">
        <f>$C1016*CT1015</f>
        <v/>
      </c>
      <c r="CU1016">
        <f>$C1016*CU1015</f>
        <v/>
      </c>
      <c r="CV1016">
        <f>$C1016*CV1015</f>
        <v/>
      </c>
      <c r="CW1016">
        <f>$C1016*CW1015</f>
        <v/>
      </c>
      <c r="CX1016">
        <f>$C1016*CX1015</f>
        <v/>
      </c>
      <c r="CY1016">
        <f>$C1016*CY1015</f>
        <v/>
      </c>
      <c r="CZ1016">
        <f>$C1016*CZ1015</f>
        <v/>
      </c>
      <c r="DA1016">
        <f>$C1016*DA1015</f>
        <v/>
      </c>
      <c r="DB1016">
        <f>$C1016*DB1015</f>
        <v/>
      </c>
      <c r="DC1016">
        <f>$C1016*DC1015</f>
        <v/>
      </c>
    </row>
    <row r="1017">
      <c r="B1017" t="inlineStr">
        <is>
          <t>TSP-925</t>
        </is>
      </c>
      <c r="C1017" t="inlineStr">
        <is>
          <t>No. of batches</t>
        </is>
      </c>
      <c r="D1017">
        <f>IFERROR(INDEX(PP_Grid[#Data],$DD1017,2),0)</f>
        <v/>
      </c>
      <c r="E1017">
        <f>IFERROR(INDEX(PP_Grid[#Data],$DD1017,3),0)</f>
        <v/>
      </c>
      <c r="F1017">
        <f>IFERROR(INDEX(PP_Grid[#Data],$DD1017,4),0)</f>
        <v/>
      </c>
      <c r="G1017">
        <f>IFERROR(INDEX(PP_Grid[#Data],$DD1017,5),0)</f>
        <v/>
      </c>
      <c r="H1017">
        <f>IFERROR(INDEX(PP_Grid[#Data],$DD1017,6),0)</f>
        <v/>
      </c>
      <c r="I1017">
        <f>IFERROR(INDEX(PP_Grid[#Data],$DD1017,7),0)</f>
        <v/>
      </c>
      <c r="J1017">
        <f>IFERROR(INDEX(PP_Grid[#Data],$DD1017,8),0)</f>
        <v/>
      </c>
      <c r="K1017">
        <f>IFERROR(INDEX(PP_Grid[#Data],$DD1017,9),0)</f>
        <v/>
      </c>
      <c r="L1017">
        <f>IFERROR(INDEX(PP_Grid[#Data],$DD1017,10),0)</f>
        <v/>
      </c>
      <c r="M1017">
        <f>IFERROR(INDEX(PP_Grid[#Data],$DD1017,11),0)</f>
        <v/>
      </c>
      <c r="N1017">
        <f>IFERROR(INDEX(PP_Grid[#Data],$DD1017,12),0)</f>
        <v/>
      </c>
      <c r="O1017">
        <f>IFERROR(INDEX(PP_Grid[#Data],$DD1017,13),0)</f>
        <v/>
      </c>
      <c r="P1017">
        <f>IFERROR(INDEX(PP_Grid[#Data],$DD1017,14),0)</f>
        <v/>
      </c>
      <c r="Q1017">
        <f>IFERROR(INDEX(PP_Grid[#Data],$DD1017,15),0)</f>
        <v/>
      </c>
      <c r="R1017">
        <f>IFERROR(INDEX(PP_Grid[#Data],$DD1017,16),0)</f>
        <v/>
      </c>
      <c r="S1017">
        <f>IFERROR(INDEX(PP_Grid[#Data],$DD1017,17),0)</f>
        <v/>
      </c>
      <c r="T1017">
        <f>IFERROR(INDEX(PP_Grid[#Data],$DD1017,18),0)</f>
        <v/>
      </c>
      <c r="U1017">
        <f>IFERROR(INDEX(PP_Grid[#Data],$DD1017,19),0)</f>
        <v/>
      </c>
      <c r="V1017">
        <f>IFERROR(INDEX(PP_Grid[#Data],$DD1017,20),0)</f>
        <v/>
      </c>
      <c r="W1017">
        <f>IFERROR(INDEX(PP_Grid[#Data],$DD1017,21),0)</f>
        <v/>
      </c>
      <c r="X1017">
        <f>IFERROR(INDEX(PP_Grid[#Data],$DD1017,22),0)</f>
        <v/>
      </c>
      <c r="Y1017">
        <f>IFERROR(INDEX(PP_Grid[#Data],$DD1017,23),0)</f>
        <v/>
      </c>
      <c r="Z1017">
        <f>IFERROR(INDEX(PP_Grid[#Data],$DD1017,24),0)</f>
        <v/>
      </c>
      <c r="AA1017">
        <f>IFERROR(INDEX(PP_Grid[#Data],$DD1017,25),0)</f>
        <v/>
      </c>
      <c r="AB1017">
        <f>IFERROR(INDEX(PP_Grid[#Data],$DD1017,26),0)</f>
        <v/>
      </c>
      <c r="AC1017">
        <f>IFERROR(INDEX(PP_Grid[#Data],$DD1017,27),0)</f>
        <v/>
      </c>
      <c r="AD1017">
        <f>IFERROR(INDEX(PP_Grid[#Data],$DD1017,28),0)</f>
        <v/>
      </c>
      <c r="AE1017">
        <f>IFERROR(INDEX(PP_Grid[#Data],$DD1017,29),0)</f>
        <v/>
      </c>
      <c r="AF1017">
        <f>IFERROR(INDEX(PP_Grid[#Data],$DD1017,30),0)</f>
        <v/>
      </c>
      <c r="AG1017">
        <f>IFERROR(INDEX(PP_Grid[#Data],$DD1017,31),0)</f>
        <v/>
      </c>
      <c r="AH1017">
        <f>IFERROR(INDEX(PP_Grid[#Data],$DD1017,32),0)</f>
        <v/>
      </c>
      <c r="AI1017">
        <f>IFERROR(INDEX(PP_Grid[#Data],$DD1017,33),0)</f>
        <v/>
      </c>
      <c r="AJ1017">
        <f>IFERROR(INDEX(PP_Grid[#Data],$DD1017,34),0)</f>
        <v/>
      </c>
      <c r="AK1017">
        <f>IFERROR(INDEX(PP_Grid[#Data],$DD1017,35),0)</f>
        <v/>
      </c>
      <c r="AL1017">
        <f>IFERROR(INDEX(PP_Grid[#Data],$DD1017,36),0)</f>
        <v/>
      </c>
      <c r="AM1017">
        <f>IFERROR(INDEX(PP_Grid[#Data],$DD1017,37),0)</f>
        <v/>
      </c>
      <c r="AN1017">
        <f>IFERROR(INDEX(PP_Grid[#Data],$DD1017,38),0)</f>
        <v/>
      </c>
      <c r="AO1017">
        <f>IFERROR(INDEX(PP_Grid[#Data],$DD1017,39),0)</f>
        <v/>
      </c>
      <c r="AP1017">
        <f>IFERROR(INDEX(PP_Grid[#Data],$DD1017,40),0)</f>
        <v/>
      </c>
      <c r="AQ1017">
        <f>IFERROR(INDEX(PP_Grid[#Data],$DD1017,41),0)</f>
        <v/>
      </c>
      <c r="AR1017">
        <f>IFERROR(INDEX(PP_Grid[#Data],$DD1017,42),0)</f>
        <v/>
      </c>
      <c r="AS1017">
        <f>IFERROR(INDEX(PP_Grid[#Data],$DD1017,43),0)</f>
        <v/>
      </c>
      <c r="AT1017">
        <f>IFERROR(INDEX(PP_Grid[#Data],$DD1017,44),0)</f>
        <v/>
      </c>
      <c r="AU1017">
        <f>IFERROR(INDEX(PP_Grid[#Data],$DD1017,45),0)</f>
        <v/>
      </c>
      <c r="AV1017">
        <f>IFERROR(INDEX(PP_Grid[#Data],$DD1017,46),0)</f>
        <v/>
      </c>
      <c r="AW1017">
        <f>IFERROR(INDEX(PP_Grid[#Data],$DD1017,47),0)</f>
        <v/>
      </c>
      <c r="AX1017">
        <f>IFERROR(INDEX(PP_Grid[#Data],$DD1017,48),0)</f>
        <v/>
      </c>
      <c r="AY1017">
        <f>IFERROR(INDEX(PP_Grid[#Data],$DD1017,49),0)</f>
        <v/>
      </c>
      <c r="AZ1017">
        <f>IFERROR(INDEX(PP_Grid[#Data],$DD1017,50),0)</f>
        <v/>
      </c>
      <c r="BA1017">
        <f>IFERROR(INDEX(PP_Grid[#Data],$DD1017,51),0)</f>
        <v/>
      </c>
      <c r="BB1017">
        <f>IFERROR(INDEX(PP_Grid[#Data],$DD1017,52),0)</f>
        <v/>
      </c>
      <c r="BC1017">
        <f>IFERROR(INDEX(PP_Grid[#Data],$DD1017,53),0)</f>
        <v/>
      </c>
      <c r="BD1017">
        <f>IFERROR(INDEX(PP_Grid[#Data],$DD1017,54),0)</f>
        <v/>
      </c>
      <c r="BE1017">
        <f>IFERROR(INDEX(PP_Grid[#Data],$DD1017,55),0)</f>
        <v/>
      </c>
      <c r="BF1017">
        <f>IFERROR(INDEX(PP_Grid[#Data],$DD1017,56),0)</f>
        <v/>
      </c>
      <c r="BG1017">
        <f>IFERROR(INDEX(PP_Grid[#Data],$DD1017,57),0)</f>
        <v/>
      </c>
      <c r="BH1017">
        <f>IFERROR(INDEX(PP_Grid[#Data],$DD1017,58),0)</f>
        <v/>
      </c>
      <c r="BI1017">
        <f>IFERROR(INDEX(PP_Grid[#Data],$DD1017,59),0)</f>
        <v/>
      </c>
      <c r="BJ1017">
        <f>IFERROR(INDEX(PP_Grid[#Data],$DD1017,60),0)</f>
        <v/>
      </c>
      <c r="BK1017">
        <f>IFERROR(INDEX(PP_Grid[#Data],$DD1017,61),0)</f>
        <v/>
      </c>
      <c r="BL1017">
        <f>IFERROR(INDEX(PP_Grid[#Data],$DD1017,62),0)</f>
        <v/>
      </c>
      <c r="BM1017">
        <f>IFERROR(INDEX(PP_Grid[#Data],$DD1017,63),0)</f>
        <v/>
      </c>
      <c r="BN1017">
        <f>IFERROR(INDEX(PP_Grid[#Data],$DD1017,64),0)</f>
        <v/>
      </c>
      <c r="BO1017">
        <f>IFERROR(INDEX(PP_Grid[#Data],$DD1017,65),0)</f>
        <v/>
      </c>
      <c r="BP1017">
        <f>IFERROR(INDEX(PP_Grid[#Data],$DD1017,66),0)</f>
        <v/>
      </c>
      <c r="BQ1017">
        <f>IFERROR(INDEX(PP_Grid[#Data],$DD1017,67),0)</f>
        <v/>
      </c>
      <c r="BR1017">
        <f>IFERROR(INDEX(PP_Grid[#Data],$DD1017,68),0)</f>
        <v/>
      </c>
      <c r="BS1017">
        <f>IFERROR(INDEX(PP_Grid[#Data],$DD1017,69),0)</f>
        <v/>
      </c>
      <c r="BT1017">
        <f>IFERROR(INDEX(PP_Grid[#Data],$DD1017,70),0)</f>
        <v/>
      </c>
      <c r="BU1017">
        <f>IFERROR(INDEX(PP_Grid[#Data],$DD1017,71),0)</f>
        <v/>
      </c>
      <c r="BV1017">
        <f>IFERROR(INDEX(PP_Grid[#Data],$DD1017,72),0)</f>
        <v/>
      </c>
      <c r="BW1017">
        <f>IFERROR(INDEX(PP_Grid[#Data],$DD1017,73),0)</f>
        <v/>
      </c>
      <c r="BX1017">
        <f>IFERROR(INDEX(PP_Grid[#Data],$DD1017,74),0)</f>
        <v/>
      </c>
      <c r="BY1017">
        <f>IFERROR(INDEX(PP_Grid[#Data],$DD1017,75),0)</f>
        <v/>
      </c>
      <c r="BZ1017">
        <f>IFERROR(INDEX(PP_Grid[#Data],$DD1017,76),0)</f>
        <v/>
      </c>
      <c r="CA1017">
        <f>IFERROR(INDEX(PP_Grid[#Data],$DD1017,77),0)</f>
        <v/>
      </c>
      <c r="CB1017">
        <f>IFERROR(INDEX(PP_Grid[#Data],$DD1017,78),0)</f>
        <v/>
      </c>
      <c r="CC1017">
        <f>IFERROR(INDEX(PP_Grid[#Data],$DD1017,79),0)</f>
        <v/>
      </c>
      <c r="CD1017">
        <f>IFERROR(INDEX(PP_Grid[#Data],$DD1017,80),0)</f>
        <v/>
      </c>
      <c r="CE1017">
        <f>IFERROR(INDEX(PP_Grid[#Data],$DD1017,81),0)</f>
        <v/>
      </c>
      <c r="CF1017">
        <f>IFERROR(INDEX(PP_Grid[#Data],$DD1017,82),0)</f>
        <v/>
      </c>
      <c r="CG1017">
        <f>IFERROR(INDEX(PP_Grid[#Data],$DD1017,83),0)</f>
        <v/>
      </c>
      <c r="CH1017">
        <f>IFERROR(INDEX(PP_Grid[#Data],$DD1017,84),0)</f>
        <v/>
      </c>
      <c r="CI1017">
        <f>IFERROR(INDEX(PP_Grid[#Data],$DD1017,85),0)</f>
        <v/>
      </c>
      <c r="CJ1017">
        <f>IFERROR(INDEX(PP_Grid[#Data],$DD1017,86),0)</f>
        <v/>
      </c>
      <c r="CK1017">
        <f>IFERROR(INDEX(PP_Grid[#Data],$DD1017,87),0)</f>
        <v/>
      </c>
      <c r="CL1017">
        <f>IFERROR(INDEX(PP_Grid[#Data],$DD1017,88),0)</f>
        <v/>
      </c>
      <c r="CM1017">
        <f>IFERROR(INDEX(PP_Grid[#Data],$DD1017,89),0)</f>
        <v/>
      </c>
      <c r="CN1017">
        <f>IFERROR(INDEX(PP_Grid[#Data],$DD1017,90),0)</f>
        <v/>
      </c>
      <c r="CO1017">
        <f>IFERROR(INDEX(PP_Grid[#Data],$DD1017,91),0)</f>
        <v/>
      </c>
      <c r="CP1017">
        <f>IFERROR(INDEX(PP_Grid[#Data],$DD1017,92),0)</f>
        <v/>
      </c>
      <c r="CQ1017">
        <f>IFERROR(INDEX(PP_Grid[#Data],$DD1017,93),0)</f>
        <v/>
      </c>
      <c r="CR1017">
        <f>IFERROR(INDEX(PP_Grid[#Data],$DD1017,94),0)</f>
        <v/>
      </c>
      <c r="CS1017">
        <f>IFERROR(INDEX(PP_Grid[#Data],$DD1017,95),0)</f>
        <v/>
      </c>
      <c r="CT1017">
        <f>IFERROR(INDEX(PP_Grid[#Data],$DD1017,96),0)</f>
        <v/>
      </c>
      <c r="CU1017">
        <f>IFERROR(INDEX(PP_Grid[#Data],$DD1017,97),0)</f>
        <v/>
      </c>
      <c r="CV1017">
        <f>IFERROR(INDEX(PP_Grid[#Data],$DD1017,98),0)</f>
        <v/>
      </c>
      <c r="CW1017">
        <f>IFERROR(INDEX(PP_Grid[#Data],$DD1017,99),0)</f>
        <v/>
      </c>
      <c r="CX1017">
        <f>IFERROR(INDEX(PP_Grid[#Data],$DD1017,100),0)</f>
        <v/>
      </c>
      <c r="CY1017">
        <f>IFERROR(INDEX(PP_Grid[#Data],$DD1017,101),0)</f>
        <v/>
      </c>
      <c r="CZ1017">
        <f>IFERROR(INDEX(PP_Grid[#Data],$DD1017,102),0)</f>
        <v/>
      </c>
      <c r="DA1017">
        <f>IFERROR(INDEX(PP_Grid[#Data],$DD1017,103),0)</f>
        <v/>
      </c>
      <c r="DB1017">
        <f>IFERROR(INDEX(PP_Grid[#Data],$DD1017,104),0)</f>
        <v/>
      </c>
      <c r="DC1017">
        <f>IFERROR(INDEX(PP_Grid[#Data],$DD1017,105),0)</f>
        <v/>
      </c>
      <c r="DD1017" s="12">
        <f>IFERROR(MATCH($B1017,PP_Grid[Intermediate],0),99999)</f>
        <v/>
      </c>
    </row>
    <row r="1018">
      <c r="B1018" t="inlineStr">
        <is>
          <t>使用量(kg)</t>
        </is>
      </c>
      <c r="C1018">
        <f>SUMIFS(M_BOM[RM_Qty_Per_Batch],M_BOM[Intermediate],$B1017,M_BOM[Part Name],$A988)</f>
        <v/>
      </c>
      <c r="D1018">
        <f>$C1018*D1017</f>
        <v/>
      </c>
      <c r="E1018">
        <f>$C1018*E1017</f>
        <v/>
      </c>
      <c r="F1018">
        <f>$C1018*F1017</f>
        <v/>
      </c>
      <c r="G1018">
        <f>$C1018*G1017</f>
        <v/>
      </c>
      <c r="H1018">
        <f>$C1018*H1017</f>
        <v/>
      </c>
      <c r="I1018">
        <f>$C1018*I1017</f>
        <v/>
      </c>
      <c r="J1018">
        <f>$C1018*J1017</f>
        <v/>
      </c>
      <c r="K1018">
        <f>$C1018*K1017</f>
        <v/>
      </c>
      <c r="L1018">
        <f>$C1018*L1017</f>
        <v/>
      </c>
      <c r="M1018">
        <f>$C1018*M1017</f>
        <v/>
      </c>
      <c r="N1018">
        <f>$C1018*N1017</f>
        <v/>
      </c>
      <c r="O1018">
        <f>$C1018*O1017</f>
        <v/>
      </c>
      <c r="P1018">
        <f>$C1018*P1017</f>
        <v/>
      </c>
      <c r="Q1018">
        <f>$C1018*Q1017</f>
        <v/>
      </c>
      <c r="R1018">
        <f>$C1018*R1017</f>
        <v/>
      </c>
      <c r="S1018">
        <f>$C1018*S1017</f>
        <v/>
      </c>
      <c r="T1018">
        <f>$C1018*T1017</f>
        <v/>
      </c>
      <c r="U1018">
        <f>$C1018*U1017</f>
        <v/>
      </c>
      <c r="V1018">
        <f>$C1018*V1017</f>
        <v/>
      </c>
      <c r="W1018">
        <f>$C1018*W1017</f>
        <v/>
      </c>
      <c r="X1018">
        <f>$C1018*X1017</f>
        <v/>
      </c>
      <c r="Y1018">
        <f>$C1018*Y1017</f>
        <v/>
      </c>
      <c r="Z1018">
        <f>$C1018*Z1017</f>
        <v/>
      </c>
      <c r="AA1018">
        <f>$C1018*AA1017</f>
        <v/>
      </c>
      <c r="AB1018">
        <f>$C1018*AB1017</f>
        <v/>
      </c>
      <c r="AC1018">
        <f>$C1018*AC1017</f>
        <v/>
      </c>
      <c r="AD1018">
        <f>$C1018*AD1017</f>
        <v/>
      </c>
      <c r="AE1018">
        <f>$C1018*AE1017</f>
        <v/>
      </c>
      <c r="AF1018">
        <f>$C1018*AF1017</f>
        <v/>
      </c>
      <c r="AG1018">
        <f>$C1018*AG1017</f>
        <v/>
      </c>
      <c r="AH1018">
        <f>$C1018*AH1017</f>
        <v/>
      </c>
      <c r="AI1018">
        <f>$C1018*AI1017</f>
        <v/>
      </c>
      <c r="AJ1018">
        <f>$C1018*AJ1017</f>
        <v/>
      </c>
      <c r="AK1018">
        <f>$C1018*AK1017</f>
        <v/>
      </c>
      <c r="AL1018">
        <f>$C1018*AL1017</f>
        <v/>
      </c>
      <c r="AM1018">
        <f>$C1018*AM1017</f>
        <v/>
      </c>
      <c r="AN1018">
        <f>$C1018*AN1017</f>
        <v/>
      </c>
      <c r="AO1018">
        <f>$C1018*AO1017</f>
        <v/>
      </c>
      <c r="AP1018">
        <f>$C1018*AP1017</f>
        <v/>
      </c>
      <c r="AQ1018">
        <f>$C1018*AQ1017</f>
        <v/>
      </c>
      <c r="AR1018">
        <f>$C1018*AR1017</f>
        <v/>
      </c>
      <c r="AS1018">
        <f>$C1018*AS1017</f>
        <v/>
      </c>
      <c r="AT1018">
        <f>$C1018*AT1017</f>
        <v/>
      </c>
      <c r="AU1018">
        <f>$C1018*AU1017</f>
        <v/>
      </c>
      <c r="AV1018">
        <f>$C1018*AV1017</f>
        <v/>
      </c>
      <c r="AW1018">
        <f>$C1018*AW1017</f>
        <v/>
      </c>
      <c r="AX1018">
        <f>$C1018*AX1017</f>
        <v/>
      </c>
      <c r="AY1018">
        <f>$C1018*AY1017</f>
        <v/>
      </c>
      <c r="AZ1018">
        <f>$C1018*AZ1017</f>
        <v/>
      </c>
      <c r="BA1018">
        <f>$C1018*BA1017</f>
        <v/>
      </c>
      <c r="BB1018">
        <f>$C1018*BB1017</f>
        <v/>
      </c>
      <c r="BC1018">
        <f>$C1018*BC1017</f>
        <v/>
      </c>
      <c r="BD1018">
        <f>$C1018*BD1017</f>
        <v/>
      </c>
      <c r="BE1018">
        <f>$C1018*BE1017</f>
        <v/>
      </c>
      <c r="BF1018">
        <f>$C1018*BF1017</f>
        <v/>
      </c>
      <c r="BG1018">
        <f>$C1018*BG1017</f>
        <v/>
      </c>
      <c r="BH1018">
        <f>$C1018*BH1017</f>
        <v/>
      </c>
      <c r="BI1018">
        <f>$C1018*BI1017</f>
        <v/>
      </c>
      <c r="BJ1018">
        <f>$C1018*BJ1017</f>
        <v/>
      </c>
      <c r="BK1018">
        <f>$C1018*BK1017</f>
        <v/>
      </c>
      <c r="BL1018">
        <f>$C1018*BL1017</f>
        <v/>
      </c>
      <c r="BM1018">
        <f>$C1018*BM1017</f>
        <v/>
      </c>
      <c r="BN1018">
        <f>$C1018*BN1017</f>
        <v/>
      </c>
      <c r="BO1018">
        <f>$C1018*BO1017</f>
        <v/>
      </c>
      <c r="BP1018">
        <f>$C1018*BP1017</f>
        <v/>
      </c>
      <c r="BQ1018">
        <f>$C1018*BQ1017</f>
        <v/>
      </c>
      <c r="BR1018">
        <f>$C1018*BR1017</f>
        <v/>
      </c>
      <c r="BS1018">
        <f>$C1018*BS1017</f>
        <v/>
      </c>
      <c r="BT1018">
        <f>$C1018*BT1017</f>
        <v/>
      </c>
      <c r="BU1018">
        <f>$C1018*BU1017</f>
        <v/>
      </c>
      <c r="BV1018">
        <f>$C1018*BV1017</f>
        <v/>
      </c>
      <c r="BW1018">
        <f>$C1018*BW1017</f>
        <v/>
      </c>
      <c r="BX1018">
        <f>$C1018*BX1017</f>
        <v/>
      </c>
      <c r="BY1018">
        <f>$C1018*BY1017</f>
        <v/>
      </c>
      <c r="BZ1018">
        <f>$C1018*BZ1017</f>
        <v/>
      </c>
      <c r="CA1018">
        <f>$C1018*CA1017</f>
        <v/>
      </c>
      <c r="CB1018">
        <f>$C1018*CB1017</f>
        <v/>
      </c>
      <c r="CC1018">
        <f>$C1018*CC1017</f>
        <v/>
      </c>
      <c r="CD1018">
        <f>$C1018*CD1017</f>
        <v/>
      </c>
      <c r="CE1018">
        <f>$C1018*CE1017</f>
        <v/>
      </c>
      <c r="CF1018">
        <f>$C1018*CF1017</f>
        <v/>
      </c>
      <c r="CG1018">
        <f>$C1018*CG1017</f>
        <v/>
      </c>
      <c r="CH1018">
        <f>$C1018*CH1017</f>
        <v/>
      </c>
      <c r="CI1018">
        <f>$C1018*CI1017</f>
        <v/>
      </c>
      <c r="CJ1018">
        <f>$C1018*CJ1017</f>
        <v/>
      </c>
      <c r="CK1018">
        <f>$C1018*CK1017</f>
        <v/>
      </c>
      <c r="CL1018">
        <f>$C1018*CL1017</f>
        <v/>
      </c>
      <c r="CM1018">
        <f>$C1018*CM1017</f>
        <v/>
      </c>
      <c r="CN1018">
        <f>$C1018*CN1017</f>
        <v/>
      </c>
      <c r="CO1018">
        <f>$C1018*CO1017</f>
        <v/>
      </c>
      <c r="CP1018">
        <f>$C1018*CP1017</f>
        <v/>
      </c>
      <c r="CQ1018">
        <f>$C1018*CQ1017</f>
        <v/>
      </c>
      <c r="CR1018">
        <f>$C1018*CR1017</f>
        <v/>
      </c>
      <c r="CS1018">
        <f>$C1018*CS1017</f>
        <v/>
      </c>
      <c r="CT1018">
        <f>$C1018*CT1017</f>
        <v/>
      </c>
      <c r="CU1018">
        <f>$C1018*CU1017</f>
        <v/>
      </c>
      <c r="CV1018">
        <f>$C1018*CV1017</f>
        <v/>
      </c>
      <c r="CW1018">
        <f>$C1018*CW1017</f>
        <v/>
      </c>
      <c r="CX1018">
        <f>$C1018*CX1017</f>
        <v/>
      </c>
      <c r="CY1018">
        <f>$C1018*CY1017</f>
        <v/>
      </c>
      <c r="CZ1018">
        <f>$C1018*CZ1017</f>
        <v/>
      </c>
      <c r="DA1018">
        <f>$C1018*DA1017</f>
        <v/>
      </c>
      <c r="DB1018">
        <f>$C1018*DB1017</f>
        <v/>
      </c>
      <c r="DC1018">
        <f>$C1018*DC1017</f>
        <v/>
      </c>
    </row>
    <row r="1019">
      <c r="B1019" t="inlineStr">
        <is>
          <t>TSP-934</t>
        </is>
      </c>
      <c r="C1019" t="inlineStr">
        <is>
          <t>No. of batches</t>
        </is>
      </c>
      <c r="D1019">
        <f>IFERROR(INDEX(PP_Grid[#Data],$DD1019,2),0)</f>
        <v/>
      </c>
      <c r="E1019">
        <f>IFERROR(INDEX(PP_Grid[#Data],$DD1019,3),0)</f>
        <v/>
      </c>
      <c r="F1019">
        <f>IFERROR(INDEX(PP_Grid[#Data],$DD1019,4),0)</f>
        <v/>
      </c>
      <c r="G1019">
        <f>IFERROR(INDEX(PP_Grid[#Data],$DD1019,5),0)</f>
        <v/>
      </c>
      <c r="H1019">
        <f>IFERROR(INDEX(PP_Grid[#Data],$DD1019,6),0)</f>
        <v/>
      </c>
      <c r="I1019">
        <f>IFERROR(INDEX(PP_Grid[#Data],$DD1019,7),0)</f>
        <v/>
      </c>
      <c r="J1019">
        <f>IFERROR(INDEX(PP_Grid[#Data],$DD1019,8),0)</f>
        <v/>
      </c>
      <c r="K1019">
        <f>IFERROR(INDEX(PP_Grid[#Data],$DD1019,9),0)</f>
        <v/>
      </c>
      <c r="L1019">
        <f>IFERROR(INDEX(PP_Grid[#Data],$DD1019,10),0)</f>
        <v/>
      </c>
      <c r="M1019">
        <f>IFERROR(INDEX(PP_Grid[#Data],$DD1019,11),0)</f>
        <v/>
      </c>
      <c r="N1019">
        <f>IFERROR(INDEX(PP_Grid[#Data],$DD1019,12),0)</f>
        <v/>
      </c>
      <c r="O1019">
        <f>IFERROR(INDEX(PP_Grid[#Data],$DD1019,13),0)</f>
        <v/>
      </c>
      <c r="P1019">
        <f>IFERROR(INDEX(PP_Grid[#Data],$DD1019,14),0)</f>
        <v/>
      </c>
      <c r="Q1019">
        <f>IFERROR(INDEX(PP_Grid[#Data],$DD1019,15),0)</f>
        <v/>
      </c>
      <c r="R1019">
        <f>IFERROR(INDEX(PP_Grid[#Data],$DD1019,16),0)</f>
        <v/>
      </c>
      <c r="S1019">
        <f>IFERROR(INDEX(PP_Grid[#Data],$DD1019,17),0)</f>
        <v/>
      </c>
      <c r="T1019">
        <f>IFERROR(INDEX(PP_Grid[#Data],$DD1019,18),0)</f>
        <v/>
      </c>
      <c r="U1019">
        <f>IFERROR(INDEX(PP_Grid[#Data],$DD1019,19),0)</f>
        <v/>
      </c>
      <c r="V1019">
        <f>IFERROR(INDEX(PP_Grid[#Data],$DD1019,20),0)</f>
        <v/>
      </c>
      <c r="W1019">
        <f>IFERROR(INDEX(PP_Grid[#Data],$DD1019,21),0)</f>
        <v/>
      </c>
      <c r="X1019">
        <f>IFERROR(INDEX(PP_Grid[#Data],$DD1019,22),0)</f>
        <v/>
      </c>
      <c r="Y1019">
        <f>IFERROR(INDEX(PP_Grid[#Data],$DD1019,23),0)</f>
        <v/>
      </c>
      <c r="Z1019">
        <f>IFERROR(INDEX(PP_Grid[#Data],$DD1019,24),0)</f>
        <v/>
      </c>
      <c r="AA1019">
        <f>IFERROR(INDEX(PP_Grid[#Data],$DD1019,25),0)</f>
        <v/>
      </c>
      <c r="AB1019">
        <f>IFERROR(INDEX(PP_Grid[#Data],$DD1019,26),0)</f>
        <v/>
      </c>
      <c r="AC1019">
        <f>IFERROR(INDEX(PP_Grid[#Data],$DD1019,27),0)</f>
        <v/>
      </c>
      <c r="AD1019">
        <f>IFERROR(INDEX(PP_Grid[#Data],$DD1019,28),0)</f>
        <v/>
      </c>
      <c r="AE1019">
        <f>IFERROR(INDEX(PP_Grid[#Data],$DD1019,29),0)</f>
        <v/>
      </c>
      <c r="AF1019">
        <f>IFERROR(INDEX(PP_Grid[#Data],$DD1019,30),0)</f>
        <v/>
      </c>
      <c r="AG1019">
        <f>IFERROR(INDEX(PP_Grid[#Data],$DD1019,31),0)</f>
        <v/>
      </c>
      <c r="AH1019">
        <f>IFERROR(INDEX(PP_Grid[#Data],$DD1019,32),0)</f>
        <v/>
      </c>
      <c r="AI1019">
        <f>IFERROR(INDEX(PP_Grid[#Data],$DD1019,33),0)</f>
        <v/>
      </c>
      <c r="AJ1019">
        <f>IFERROR(INDEX(PP_Grid[#Data],$DD1019,34),0)</f>
        <v/>
      </c>
      <c r="AK1019">
        <f>IFERROR(INDEX(PP_Grid[#Data],$DD1019,35),0)</f>
        <v/>
      </c>
      <c r="AL1019">
        <f>IFERROR(INDEX(PP_Grid[#Data],$DD1019,36),0)</f>
        <v/>
      </c>
      <c r="AM1019">
        <f>IFERROR(INDEX(PP_Grid[#Data],$DD1019,37),0)</f>
        <v/>
      </c>
      <c r="AN1019">
        <f>IFERROR(INDEX(PP_Grid[#Data],$DD1019,38),0)</f>
        <v/>
      </c>
      <c r="AO1019">
        <f>IFERROR(INDEX(PP_Grid[#Data],$DD1019,39),0)</f>
        <v/>
      </c>
      <c r="AP1019">
        <f>IFERROR(INDEX(PP_Grid[#Data],$DD1019,40),0)</f>
        <v/>
      </c>
      <c r="AQ1019">
        <f>IFERROR(INDEX(PP_Grid[#Data],$DD1019,41),0)</f>
        <v/>
      </c>
      <c r="AR1019">
        <f>IFERROR(INDEX(PP_Grid[#Data],$DD1019,42),0)</f>
        <v/>
      </c>
      <c r="AS1019">
        <f>IFERROR(INDEX(PP_Grid[#Data],$DD1019,43),0)</f>
        <v/>
      </c>
      <c r="AT1019">
        <f>IFERROR(INDEX(PP_Grid[#Data],$DD1019,44),0)</f>
        <v/>
      </c>
      <c r="AU1019">
        <f>IFERROR(INDEX(PP_Grid[#Data],$DD1019,45),0)</f>
        <v/>
      </c>
      <c r="AV1019">
        <f>IFERROR(INDEX(PP_Grid[#Data],$DD1019,46),0)</f>
        <v/>
      </c>
      <c r="AW1019">
        <f>IFERROR(INDEX(PP_Grid[#Data],$DD1019,47),0)</f>
        <v/>
      </c>
      <c r="AX1019">
        <f>IFERROR(INDEX(PP_Grid[#Data],$DD1019,48),0)</f>
        <v/>
      </c>
      <c r="AY1019">
        <f>IFERROR(INDEX(PP_Grid[#Data],$DD1019,49),0)</f>
        <v/>
      </c>
      <c r="AZ1019">
        <f>IFERROR(INDEX(PP_Grid[#Data],$DD1019,50),0)</f>
        <v/>
      </c>
      <c r="BA1019">
        <f>IFERROR(INDEX(PP_Grid[#Data],$DD1019,51),0)</f>
        <v/>
      </c>
      <c r="BB1019">
        <f>IFERROR(INDEX(PP_Grid[#Data],$DD1019,52),0)</f>
        <v/>
      </c>
      <c r="BC1019">
        <f>IFERROR(INDEX(PP_Grid[#Data],$DD1019,53),0)</f>
        <v/>
      </c>
      <c r="BD1019">
        <f>IFERROR(INDEX(PP_Grid[#Data],$DD1019,54),0)</f>
        <v/>
      </c>
      <c r="BE1019">
        <f>IFERROR(INDEX(PP_Grid[#Data],$DD1019,55),0)</f>
        <v/>
      </c>
      <c r="BF1019">
        <f>IFERROR(INDEX(PP_Grid[#Data],$DD1019,56),0)</f>
        <v/>
      </c>
      <c r="BG1019">
        <f>IFERROR(INDEX(PP_Grid[#Data],$DD1019,57),0)</f>
        <v/>
      </c>
      <c r="BH1019">
        <f>IFERROR(INDEX(PP_Grid[#Data],$DD1019,58),0)</f>
        <v/>
      </c>
      <c r="BI1019">
        <f>IFERROR(INDEX(PP_Grid[#Data],$DD1019,59),0)</f>
        <v/>
      </c>
      <c r="BJ1019">
        <f>IFERROR(INDEX(PP_Grid[#Data],$DD1019,60),0)</f>
        <v/>
      </c>
      <c r="BK1019">
        <f>IFERROR(INDEX(PP_Grid[#Data],$DD1019,61),0)</f>
        <v/>
      </c>
      <c r="BL1019">
        <f>IFERROR(INDEX(PP_Grid[#Data],$DD1019,62),0)</f>
        <v/>
      </c>
      <c r="BM1019">
        <f>IFERROR(INDEX(PP_Grid[#Data],$DD1019,63),0)</f>
        <v/>
      </c>
      <c r="BN1019">
        <f>IFERROR(INDEX(PP_Grid[#Data],$DD1019,64),0)</f>
        <v/>
      </c>
      <c r="BO1019">
        <f>IFERROR(INDEX(PP_Grid[#Data],$DD1019,65),0)</f>
        <v/>
      </c>
      <c r="BP1019">
        <f>IFERROR(INDEX(PP_Grid[#Data],$DD1019,66),0)</f>
        <v/>
      </c>
      <c r="BQ1019">
        <f>IFERROR(INDEX(PP_Grid[#Data],$DD1019,67),0)</f>
        <v/>
      </c>
      <c r="BR1019">
        <f>IFERROR(INDEX(PP_Grid[#Data],$DD1019,68),0)</f>
        <v/>
      </c>
      <c r="BS1019">
        <f>IFERROR(INDEX(PP_Grid[#Data],$DD1019,69),0)</f>
        <v/>
      </c>
      <c r="BT1019">
        <f>IFERROR(INDEX(PP_Grid[#Data],$DD1019,70),0)</f>
        <v/>
      </c>
      <c r="BU1019">
        <f>IFERROR(INDEX(PP_Grid[#Data],$DD1019,71),0)</f>
        <v/>
      </c>
      <c r="BV1019">
        <f>IFERROR(INDEX(PP_Grid[#Data],$DD1019,72),0)</f>
        <v/>
      </c>
      <c r="BW1019">
        <f>IFERROR(INDEX(PP_Grid[#Data],$DD1019,73),0)</f>
        <v/>
      </c>
      <c r="BX1019">
        <f>IFERROR(INDEX(PP_Grid[#Data],$DD1019,74),0)</f>
        <v/>
      </c>
      <c r="BY1019">
        <f>IFERROR(INDEX(PP_Grid[#Data],$DD1019,75),0)</f>
        <v/>
      </c>
      <c r="BZ1019">
        <f>IFERROR(INDEX(PP_Grid[#Data],$DD1019,76),0)</f>
        <v/>
      </c>
      <c r="CA1019">
        <f>IFERROR(INDEX(PP_Grid[#Data],$DD1019,77),0)</f>
        <v/>
      </c>
      <c r="CB1019">
        <f>IFERROR(INDEX(PP_Grid[#Data],$DD1019,78),0)</f>
        <v/>
      </c>
      <c r="CC1019">
        <f>IFERROR(INDEX(PP_Grid[#Data],$DD1019,79),0)</f>
        <v/>
      </c>
      <c r="CD1019">
        <f>IFERROR(INDEX(PP_Grid[#Data],$DD1019,80),0)</f>
        <v/>
      </c>
      <c r="CE1019">
        <f>IFERROR(INDEX(PP_Grid[#Data],$DD1019,81),0)</f>
        <v/>
      </c>
      <c r="CF1019">
        <f>IFERROR(INDEX(PP_Grid[#Data],$DD1019,82),0)</f>
        <v/>
      </c>
      <c r="CG1019">
        <f>IFERROR(INDEX(PP_Grid[#Data],$DD1019,83),0)</f>
        <v/>
      </c>
      <c r="CH1019">
        <f>IFERROR(INDEX(PP_Grid[#Data],$DD1019,84),0)</f>
        <v/>
      </c>
      <c r="CI1019">
        <f>IFERROR(INDEX(PP_Grid[#Data],$DD1019,85),0)</f>
        <v/>
      </c>
      <c r="CJ1019">
        <f>IFERROR(INDEX(PP_Grid[#Data],$DD1019,86),0)</f>
        <v/>
      </c>
      <c r="CK1019">
        <f>IFERROR(INDEX(PP_Grid[#Data],$DD1019,87),0)</f>
        <v/>
      </c>
      <c r="CL1019">
        <f>IFERROR(INDEX(PP_Grid[#Data],$DD1019,88),0)</f>
        <v/>
      </c>
      <c r="CM1019">
        <f>IFERROR(INDEX(PP_Grid[#Data],$DD1019,89),0)</f>
        <v/>
      </c>
      <c r="CN1019">
        <f>IFERROR(INDEX(PP_Grid[#Data],$DD1019,90),0)</f>
        <v/>
      </c>
      <c r="CO1019">
        <f>IFERROR(INDEX(PP_Grid[#Data],$DD1019,91),0)</f>
        <v/>
      </c>
      <c r="CP1019">
        <f>IFERROR(INDEX(PP_Grid[#Data],$DD1019,92),0)</f>
        <v/>
      </c>
      <c r="CQ1019">
        <f>IFERROR(INDEX(PP_Grid[#Data],$DD1019,93),0)</f>
        <v/>
      </c>
      <c r="CR1019">
        <f>IFERROR(INDEX(PP_Grid[#Data],$DD1019,94),0)</f>
        <v/>
      </c>
      <c r="CS1019">
        <f>IFERROR(INDEX(PP_Grid[#Data],$DD1019,95),0)</f>
        <v/>
      </c>
      <c r="CT1019">
        <f>IFERROR(INDEX(PP_Grid[#Data],$DD1019,96),0)</f>
        <v/>
      </c>
      <c r="CU1019">
        <f>IFERROR(INDEX(PP_Grid[#Data],$DD1019,97),0)</f>
        <v/>
      </c>
      <c r="CV1019">
        <f>IFERROR(INDEX(PP_Grid[#Data],$DD1019,98),0)</f>
        <v/>
      </c>
      <c r="CW1019">
        <f>IFERROR(INDEX(PP_Grid[#Data],$DD1019,99),0)</f>
        <v/>
      </c>
      <c r="CX1019">
        <f>IFERROR(INDEX(PP_Grid[#Data],$DD1019,100),0)</f>
        <v/>
      </c>
      <c r="CY1019">
        <f>IFERROR(INDEX(PP_Grid[#Data],$DD1019,101),0)</f>
        <v/>
      </c>
      <c r="CZ1019">
        <f>IFERROR(INDEX(PP_Grid[#Data],$DD1019,102),0)</f>
        <v/>
      </c>
      <c r="DA1019">
        <f>IFERROR(INDEX(PP_Grid[#Data],$DD1019,103),0)</f>
        <v/>
      </c>
      <c r="DB1019">
        <f>IFERROR(INDEX(PP_Grid[#Data],$DD1019,104),0)</f>
        <v/>
      </c>
      <c r="DC1019">
        <f>IFERROR(INDEX(PP_Grid[#Data],$DD1019,105),0)</f>
        <v/>
      </c>
      <c r="DD1019" s="12">
        <f>IFERROR(MATCH($B1019,PP_Grid[Intermediate],0),99999)</f>
        <v/>
      </c>
    </row>
    <row r="1020">
      <c r="B1020" t="inlineStr">
        <is>
          <t>使用量(kg)</t>
        </is>
      </c>
      <c r="C1020">
        <f>SUMIFS(M_BOM[RM_Qty_Per_Batch],M_BOM[Intermediate],$B1019,M_BOM[Part Name],$A988)</f>
        <v/>
      </c>
      <c r="D1020">
        <f>$C1020*D1019</f>
        <v/>
      </c>
      <c r="E1020">
        <f>$C1020*E1019</f>
        <v/>
      </c>
      <c r="F1020">
        <f>$C1020*F1019</f>
        <v/>
      </c>
      <c r="G1020">
        <f>$C1020*G1019</f>
        <v/>
      </c>
      <c r="H1020">
        <f>$C1020*H1019</f>
        <v/>
      </c>
      <c r="I1020">
        <f>$C1020*I1019</f>
        <v/>
      </c>
      <c r="J1020">
        <f>$C1020*J1019</f>
        <v/>
      </c>
      <c r="K1020">
        <f>$C1020*K1019</f>
        <v/>
      </c>
      <c r="L1020">
        <f>$C1020*L1019</f>
        <v/>
      </c>
      <c r="M1020">
        <f>$C1020*M1019</f>
        <v/>
      </c>
      <c r="N1020">
        <f>$C1020*N1019</f>
        <v/>
      </c>
      <c r="O1020">
        <f>$C1020*O1019</f>
        <v/>
      </c>
      <c r="P1020">
        <f>$C1020*P1019</f>
        <v/>
      </c>
      <c r="Q1020">
        <f>$C1020*Q1019</f>
        <v/>
      </c>
      <c r="R1020">
        <f>$C1020*R1019</f>
        <v/>
      </c>
      <c r="S1020">
        <f>$C1020*S1019</f>
        <v/>
      </c>
      <c r="T1020">
        <f>$C1020*T1019</f>
        <v/>
      </c>
      <c r="U1020">
        <f>$C1020*U1019</f>
        <v/>
      </c>
      <c r="V1020">
        <f>$C1020*V1019</f>
        <v/>
      </c>
      <c r="W1020">
        <f>$C1020*W1019</f>
        <v/>
      </c>
      <c r="X1020">
        <f>$C1020*X1019</f>
        <v/>
      </c>
      <c r="Y1020">
        <f>$C1020*Y1019</f>
        <v/>
      </c>
      <c r="Z1020">
        <f>$C1020*Z1019</f>
        <v/>
      </c>
      <c r="AA1020">
        <f>$C1020*AA1019</f>
        <v/>
      </c>
      <c r="AB1020">
        <f>$C1020*AB1019</f>
        <v/>
      </c>
      <c r="AC1020">
        <f>$C1020*AC1019</f>
        <v/>
      </c>
      <c r="AD1020">
        <f>$C1020*AD1019</f>
        <v/>
      </c>
      <c r="AE1020">
        <f>$C1020*AE1019</f>
        <v/>
      </c>
      <c r="AF1020">
        <f>$C1020*AF1019</f>
        <v/>
      </c>
      <c r="AG1020">
        <f>$C1020*AG1019</f>
        <v/>
      </c>
      <c r="AH1020">
        <f>$C1020*AH1019</f>
        <v/>
      </c>
      <c r="AI1020">
        <f>$C1020*AI1019</f>
        <v/>
      </c>
      <c r="AJ1020">
        <f>$C1020*AJ1019</f>
        <v/>
      </c>
      <c r="AK1020">
        <f>$C1020*AK1019</f>
        <v/>
      </c>
      <c r="AL1020">
        <f>$C1020*AL1019</f>
        <v/>
      </c>
      <c r="AM1020">
        <f>$C1020*AM1019</f>
        <v/>
      </c>
      <c r="AN1020">
        <f>$C1020*AN1019</f>
        <v/>
      </c>
      <c r="AO1020">
        <f>$C1020*AO1019</f>
        <v/>
      </c>
      <c r="AP1020">
        <f>$C1020*AP1019</f>
        <v/>
      </c>
      <c r="AQ1020">
        <f>$C1020*AQ1019</f>
        <v/>
      </c>
      <c r="AR1020">
        <f>$C1020*AR1019</f>
        <v/>
      </c>
      <c r="AS1020">
        <f>$C1020*AS1019</f>
        <v/>
      </c>
      <c r="AT1020">
        <f>$C1020*AT1019</f>
        <v/>
      </c>
      <c r="AU1020">
        <f>$C1020*AU1019</f>
        <v/>
      </c>
      <c r="AV1020">
        <f>$C1020*AV1019</f>
        <v/>
      </c>
      <c r="AW1020">
        <f>$C1020*AW1019</f>
        <v/>
      </c>
      <c r="AX1020">
        <f>$C1020*AX1019</f>
        <v/>
      </c>
      <c r="AY1020">
        <f>$C1020*AY1019</f>
        <v/>
      </c>
      <c r="AZ1020">
        <f>$C1020*AZ1019</f>
        <v/>
      </c>
      <c r="BA1020">
        <f>$C1020*BA1019</f>
        <v/>
      </c>
      <c r="BB1020">
        <f>$C1020*BB1019</f>
        <v/>
      </c>
      <c r="BC1020">
        <f>$C1020*BC1019</f>
        <v/>
      </c>
      <c r="BD1020">
        <f>$C1020*BD1019</f>
        <v/>
      </c>
      <c r="BE1020">
        <f>$C1020*BE1019</f>
        <v/>
      </c>
      <c r="BF1020">
        <f>$C1020*BF1019</f>
        <v/>
      </c>
      <c r="BG1020">
        <f>$C1020*BG1019</f>
        <v/>
      </c>
      <c r="BH1020">
        <f>$C1020*BH1019</f>
        <v/>
      </c>
      <c r="BI1020">
        <f>$C1020*BI1019</f>
        <v/>
      </c>
      <c r="BJ1020">
        <f>$C1020*BJ1019</f>
        <v/>
      </c>
      <c r="BK1020">
        <f>$C1020*BK1019</f>
        <v/>
      </c>
      <c r="BL1020">
        <f>$C1020*BL1019</f>
        <v/>
      </c>
      <c r="BM1020">
        <f>$C1020*BM1019</f>
        <v/>
      </c>
      <c r="BN1020">
        <f>$C1020*BN1019</f>
        <v/>
      </c>
      <c r="BO1020">
        <f>$C1020*BO1019</f>
        <v/>
      </c>
      <c r="BP1020">
        <f>$C1020*BP1019</f>
        <v/>
      </c>
      <c r="BQ1020">
        <f>$C1020*BQ1019</f>
        <v/>
      </c>
      <c r="BR1020">
        <f>$C1020*BR1019</f>
        <v/>
      </c>
      <c r="BS1020">
        <f>$C1020*BS1019</f>
        <v/>
      </c>
      <c r="BT1020">
        <f>$C1020*BT1019</f>
        <v/>
      </c>
      <c r="BU1020">
        <f>$C1020*BU1019</f>
        <v/>
      </c>
      <c r="BV1020">
        <f>$C1020*BV1019</f>
        <v/>
      </c>
      <c r="BW1020">
        <f>$C1020*BW1019</f>
        <v/>
      </c>
      <c r="BX1020">
        <f>$C1020*BX1019</f>
        <v/>
      </c>
      <c r="BY1020">
        <f>$C1020*BY1019</f>
        <v/>
      </c>
      <c r="BZ1020">
        <f>$C1020*BZ1019</f>
        <v/>
      </c>
      <c r="CA1020">
        <f>$C1020*CA1019</f>
        <v/>
      </c>
      <c r="CB1020">
        <f>$C1020*CB1019</f>
        <v/>
      </c>
      <c r="CC1020">
        <f>$C1020*CC1019</f>
        <v/>
      </c>
      <c r="CD1020">
        <f>$C1020*CD1019</f>
        <v/>
      </c>
      <c r="CE1020">
        <f>$C1020*CE1019</f>
        <v/>
      </c>
      <c r="CF1020">
        <f>$C1020*CF1019</f>
        <v/>
      </c>
      <c r="CG1020">
        <f>$C1020*CG1019</f>
        <v/>
      </c>
      <c r="CH1020">
        <f>$C1020*CH1019</f>
        <v/>
      </c>
      <c r="CI1020">
        <f>$C1020*CI1019</f>
        <v/>
      </c>
      <c r="CJ1020">
        <f>$C1020*CJ1019</f>
        <v/>
      </c>
      <c r="CK1020">
        <f>$C1020*CK1019</f>
        <v/>
      </c>
      <c r="CL1020">
        <f>$C1020*CL1019</f>
        <v/>
      </c>
      <c r="CM1020">
        <f>$C1020*CM1019</f>
        <v/>
      </c>
      <c r="CN1020">
        <f>$C1020*CN1019</f>
        <v/>
      </c>
      <c r="CO1020">
        <f>$C1020*CO1019</f>
        <v/>
      </c>
      <c r="CP1020">
        <f>$C1020*CP1019</f>
        <v/>
      </c>
      <c r="CQ1020">
        <f>$C1020*CQ1019</f>
        <v/>
      </c>
      <c r="CR1020">
        <f>$C1020*CR1019</f>
        <v/>
      </c>
      <c r="CS1020">
        <f>$C1020*CS1019</f>
        <v/>
      </c>
      <c r="CT1020">
        <f>$C1020*CT1019</f>
        <v/>
      </c>
      <c r="CU1020">
        <f>$C1020*CU1019</f>
        <v/>
      </c>
      <c r="CV1020">
        <f>$C1020*CV1019</f>
        <v/>
      </c>
      <c r="CW1020">
        <f>$C1020*CW1019</f>
        <v/>
      </c>
      <c r="CX1020">
        <f>$C1020*CX1019</f>
        <v/>
      </c>
      <c r="CY1020">
        <f>$C1020*CY1019</f>
        <v/>
      </c>
      <c r="CZ1020">
        <f>$C1020*CZ1019</f>
        <v/>
      </c>
      <c r="DA1020">
        <f>$C1020*DA1019</f>
        <v/>
      </c>
      <c r="DB1020">
        <f>$C1020*DB1019</f>
        <v/>
      </c>
      <c r="DC1020">
        <f>$C1020*DC1019</f>
        <v/>
      </c>
    </row>
    <row r="1021">
      <c r="B1021" t="inlineStr">
        <is>
          <t>TSP-934</t>
        </is>
      </c>
      <c r="C1021" t="inlineStr">
        <is>
          <t>No. of batches</t>
        </is>
      </c>
      <c r="D1021">
        <f>IFERROR(INDEX(PP_Grid[#Data],$DD1021,2),0)</f>
        <v/>
      </c>
      <c r="E1021">
        <f>IFERROR(INDEX(PP_Grid[#Data],$DD1021,3),0)</f>
        <v/>
      </c>
      <c r="F1021">
        <f>IFERROR(INDEX(PP_Grid[#Data],$DD1021,4),0)</f>
        <v/>
      </c>
      <c r="G1021">
        <f>IFERROR(INDEX(PP_Grid[#Data],$DD1021,5),0)</f>
        <v/>
      </c>
      <c r="H1021">
        <f>IFERROR(INDEX(PP_Grid[#Data],$DD1021,6),0)</f>
        <v/>
      </c>
      <c r="I1021">
        <f>IFERROR(INDEX(PP_Grid[#Data],$DD1021,7),0)</f>
        <v/>
      </c>
      <c r="J1021">
        <f>IFERROR(INDEX(PP_Grid[#Data],$DD1021,8),0)</f>
        <v/>
      </c>
      <c r="K1021">
        <f>IFERROR(INDEX(PP_Grid[#Data],$DD1021,9),0)</f>
        <v/>
      </c>
      <c r="L1021">
        <f>IFERROR(INDEX(PP_Grid[#Data],$DD1021,10),0)</f>
        <v/>
      </c>
      <c r="M1021">
        <f>IFERROR(INDEX(PP_Grid[#Data],$DD1021,11),0)</f>
        <v/>
      </c>
      <c r="N1021">
        <f>IFERROR(INDEX(PP_Grid[#Data],$DD1021,12),0)</f>
        <v/>
      </c>
      <c r="O1021">
        <f>IFERROR(INDEX(PP_Grid[#Data],$DD1021,13),0)</f>
        <v/>
      </c>
      <c r="P1021">
        <f>IFERROR(INDEX(PP_Grid[#Data],$DD1021,14),0)</f>
        <v/>
      </c>
      <c r="Q1021">
        <f>IFERROR(INDEX(PP_Grid[#Data],$DD1021,15),0)</f>
        <v/>
      </c>
      <c r="R1021">
        <f>IFERROR(INDEX(PP_Grid[#Data],$DD1021,16),0)</f>
        <v/>
      </c>
      <c r="S1021">
        <f>IFERROR(INDEX(PP_Grid[#Data],$DD1021,17),0)</f>
        <v/>
      </c>
      <c r="T1021">
        <f>IFERROR(INDEX(PP_Grid[#Data],$DD1021,18),0)</f>
        <v/>
      </c>
      <c r="U1021">
        <f>IFERROR(INDEX(PP_Grid[#Data],$DD1021,19),0)</f>
        <v/>
      </c>
      <c r="V1021">
        <f>IFERROR(INDEX(PP_Grid[#Data],$DD1021,20),0)</f>
        <v/>
      </c>
      <c r="W1021">
        <f>IFERROR(INDEX(PP_Grid[#Data],$DD1021,21),0)</f>
        <v/>
      </c>
      <c r="X1021">
        <f>IFERROR(INDEX(PP_Grid[#Data],$DD1021,22),0)</f>
        <v/>
      </c>
      <c r="Y1021">
        <f>IFERROR(INDEX(PP_Grid[#Data],$DD1021,23),0)</f>
        <v/>
      </c>
      <c r="Z1021">
        <f>IFERROR(INDEX(PP_Grid[#Data],$DD1021,24),0)</f>
        <v/>
      </c>
      <c r="AA1021">
        <f>IFERROR(INDEX(PP_Grid[#Data],$DD1021,25),0)</f>
        <v/>
      </c>
      <c r="AB1021">
        <f>IFERROR(INDEX(PP_Grid[#Data],$DD1021,26),0)</f>
        <v/>
      </c>
      <c r="AC1021">
        <f>IFERROR(INDEX(PP_Grid[#Data],$DD1021,27),0)</f>
        <v/>
      </c>
      <c r="AD1021">
        <f>IFERROR(INDEX(PP_Grid[#Data],$DD1021,28),0)</f>
        <v/>
      </c>
      <c r="AE1021">
        <f>IFERROR(INDEX(PP_Grid[#Data],$DD1021,29),0)</f>
        <v/>
      </c>
      <c r="AF1021">
        <f>IFERROR(INDEX(PP_Grid[#Data],$DD1021,30),0)</f>
        <v/>
      </c>
      <c r="AG1021">
        <f>IFERROR(INDEX(PP_Grid[#Data],$DD1021,31),0)</f>
        <v/>
      </c>
      <c r="AH1021">
        <f>IFERROR(INDEX(PP_Grid[#Data],$DD1021,32),0)</f>
        <v/>
      </c>
      <c r="AI1021">
        <f>IFERROR(INDEX(PP_Grid[#Data],$DD1021,33),0)</f>
        <v/>
      </c>
      <c r="AJ1021">
        <f>IFERROR(INDEX(PP_Grid[#Data],$DD1021,34),0)</f>
        <v/>
      </c>
      <c r="AK1021">
        <f>IFERROR(INDEX(PP_Grid[#Data],$DD1021,35),0)</f>
        <v/>
      </c>
      <c r="AL1021">
        <f>IFERROR(INDEX(PP_Grid[#Data],$DD1021,36),0)</f>
        <v/>
      </c>
      <c r="AM1021">
        <f>IFERROR(INDEX(PP_Grid[#Data],$DD1021,37),0)</f>
        <v/>
      </c>
      <c r="AN1021">
        <f>IFERROR(INDEX(PP_Grid[#Data],$DD1021,38),0)</f>
        <v/>
      </c>
      <c r="AO1021">
        <f>IFERROR(INDEX(PP_Grid[#Data],$DD1021,39),0)</f>
        <v/>
      </c>
      <c r="AP1021">
        <f>IFERROR(INDEX(PP_Grid[#Data],$DD1021,40),0)</f>
        <v/>
      </c>
      <c r="AQ1021">
        <f>IFERROR(INDEX(PP_Grid[#Data],$DD1021,41),0)</f>
        <v/>
      </c>
      <c r="AR1021">
        <f>IFERROR(INDEX(PP_Grid[#Data],$DD1021,42),0)</f>
        <v/>
      </c>
      <c r="AS1021">
        <f>IFERROR(INDEX(PP_Grid[#Data],$DD1021,43),0)</f>
        <v/>
      </c>
      <c r="AT1021">
        <f>IFERROR(INDEX(PP_Grid[#Data],$DD1021,44),0)</f>
        <v/>
      </c>
      <c r="AU1021">
        <f>IFERROR(INDEX(PP_Grid[#Data],$DD1021,45),0)</f>
        <v/>
      </c>
      <c r="AV1021">
        <f>IFERROR(INDEX(PP_Grid[#Data],$DD1021,46),0)</f>
        <v/>
      </c>
      <c r="AW1021">
        <f>IFERROR(INDEX(PP_Grid[#Data],$DD1021,47),0)</f>
        <v/>
      </c>
      <c r="AX1021">
        <f>IFERROR(INDEX(PP_Grid[#Data],$DD1021,48),0)</f>
        <v/>
      </c>
      <c r="AY1021">
        <f>IFERROR(INDEX(PP_Grid[#Data],$DD1021,49),0)</f>
        <v/>
      </c>
      <c r="AZ1021">
        <f>IFERROR(INDEX(PP_Grid[#Data],$DD1021,50),0)</f>
        <v/>
      </c>
      <c r="BA1021">
        <f>IFERROR(INDEX(PP_Grid[#Data],$DD1021,51),0)</f>
        <v/>
      </c>
      <c r="BB1021">
        <f>IFERROR(INDEX(PP_Grid[#Data],$DD1021,52),0)</f>
        <v/>
      </c>
      <c r="BC1021">
        <f>IFERROR(INDEX(PP_Grid[#Data],$DD1021,53),0)</f>
        <v/>
      </c>
      <c r="BD1021">
        <f>IFERROR(INDEX(PP_Grid[#Data],$DD1021,54),0)</f>
        <v/>
      </c>
      <c r="BE1021">
        <f>IFERROR(INDEX(PP_Grid[#Data],$DD1021,55),0)</f>
        <v/>
      </c>
      <c r="BF1021">
        <f>IFERROR(INDEX(PP_Grid[#Data],$DD1021,56),0)</f>
        <v/>
      </c>
      <c r="BG1021">
        <f>IFERROR(INDEX(PP_Grid[#Data],$DD1021,57),0)</f>
        <v/>
      </c>
      <c r="BH1021">
        <f>IFERROR(INDEX(PP_Grid[#Data],$DD1021,58),0)</f>
        <v/>
      </c>
      <c r="BI1021">
        <f>IFERROR(INDEX(PP_Grid[#Data],$DD1021,59),0)</f>
        <v/>
      </c>
      <c r="BJ1021">
        <f>IFERROR(INDEX(PP_Grid[#Data],$DD1021,60),0)</f>
        <v/>
      </c>
      <c r="BK1021">
        <f>IFERROR(INDEX(PP_Grid[#Data],$DD1021,61),0)</f>
        <v/>
      </c>
      <c r="BL1021">
        <f>IFERROR(INDEX(PP_Grid[#Data],$DD1021,62),0)</f>
        <v/>
      </c>
      <c r="BM1021">
        <f>IFERROR(INDEX(PP_Grid[#Data],$DD1021,63),0)</f>
        <v/>
      </c>
      <c r="BN1021">
        <f>IFERROR(INDEX(PP_Grid[#Data],$DD1021,64),0)</f>
        <v/>
      </c>
      <c r="BO1021">
        <f>IFERROR(INDEX(PP_Grid[#Data],$DD1021,65),0)</f>
        <v/>
      </c>
      <c r="BP1021">
        <f>IFERROR(INDEX(PP_Grid[#Data],$DD1021,66),0)</f>
        <v/>
      </c>
      <c r="BQ1021">
        <f>IFERROR(INDEX(PP_Grid[#Data],$DD1021,67),0)</f>
        <v/>
      </c>
      <c r="BR1021">
        <f>IFERROR(INDEX(PP_Grid[#Data],$DD1021,68),0)</f>
        <v/>
      </c>
      <c r="BS1021">
        <f>IFERROR(INDEX(PP_Grid[#Data],$DD1021,69),0)</f>
        <v/>
      </c>
      <c r="BT1021">
        <f>IFERROR(INDEX(PP_Grid[#Data],$DD1021,70),0)</f>
        <v/>
      </c>
      <c r="BU1021">
        <f>IFERROR(INDEX(PP_Grid[#Data],$DD1021,71),0)</f>
        <v/>
      </c>
      <c r="BV1021">
        <f>IFERROR(INDEX(PP_Grid[#Data],$DD1021,72),0)</f>
        <v/>
      </c>
      <c r="BW1021">
        <f>IFERROR(INDEX(PP_Grid[#Data],$DD1021,73),0)</f>
        <v/>
      </c>
      <c r="BX1021">
        <f>IFERROR(INDEX(PP_Grid[#Data],$DD1021,74),0)</f>
        <v/>
      </c>
      <c r="BY1021">
        <f>IFERROR(INDEX(PP_Grid[#Data],$DD1021,75),0)</f>
        <v/>
      </c>
      <c r="BZ1021">
        <f>IFERROR(INDEX(PP_Grid[#Data],$DD1021,76),0)</f>
        <v/>
      </c>
      <c r="CA1021">
        <f>IFERROR(INDEX(PP_Grid[#Data],$DD1021,77),0)</f>
        <v/>
      </c>
      <c r="CB1021">
        <f>IFERROR(INDEX(PP_Grid[#Data],$DD1021,78),0)</f>
        <v/>
      </c>
      <c r="CC1021">
        <f>IFERROR(INDEX(PP_Grid[#Data],$DD1021,79),0)</f>
        <v/>
      </c>
      <c r="CD1021">
        <f>IFERROR(INDEX(PP_Grid[#Data],$DD1021,80),0)</f>
        <v/>
      </c>
      <c r="CE1021">
        <f>IFERROR(INDEX(PP_Grid[#Data],$DD1021,81),0)</f>
        <v/>
      </c>
      <c r="CF1021">
        <f>IFERROR(INDEX(PP_Grid[#Data],$DD1021,82),0)</f>
        <v/>
      </c>
      <c r="CG1021">
        <f>IFERROR(INDEX(PP_Grid[#Data],$DD1021,83),0)</f>
        <v/>
      </c>
      <c r="CH1021">
        <f>IFERROR(INDEX(PP_Grid[#Data],$DD1021,84),0)</f>
        <v/>
      </c>
      <c r="CI1021">
        <f>IFERROR(INDEX(PP_Grid[#Data],$DD1021,85),0)</f>
        <v/>
      </c>
      <c r="CJ1021">
        <f>IFERROR(INDEX(PP_Grid[#Data],$DD1021,86),0)</f>
        <v/>
      </c>
      <c r="CK1021">
        <f>IFERROR(INDEX(PP_Grid[#Data],$DD1021,87),0)</f>
        <v/>
      </c>
      <c r="CL1021">
        <f>IFERROR(INDEX(PP_Grid[#Data],$DD1021,88),0)</f>
        <v/>
      </c>
      <c r="CM1021">
        <f>IFERROR(INDEX(PP_Grid[#Data],$DD1021,89),0)</f>
        <v/>
      </c>
      <c r="CN1021">
        <f>IFERROR(INDEX(PP_Grid[#Data],$DD1021,90),0)</f>
        <v/>
      </c>
      <c r="CO1021">
        <f>IFERROR(INDEX(PP_Grid[#Data],$DD1021,91),0)</f>
        <v/>
      </c>
      <c r="CP1021">
        <f>IFERROR(INDEX(PP_Grid[#Data],$DD1021,92),0)</f>
        <v/>
      </c>
      <c r="CQ1021">
        <f>IFERROR(INDEX(PP_Grid[#Data],$DD1021,93),0)</f>
        <v/>
      </c>
      <c r="CR1021">
        <f>IFERROR(INDEX(PP_Grid[#Data],$DD1021,94),0)</f>
        <v/>
      </c>
      <c r="CS1021">
        <f>IFERROR(INDEX(PP_Grid[#Data],$DD1021,95),0)</f>
        <v/>
      </c>
      <c r="CT1021">
        <f>IFERROR(INDEX(PP_Grid[#Data],$DD1021,96),0)</f>
        <v/>
      </c>
      <c r="CU1021">
        <f>IFERROR(INDEX(PP_Grid[#Data],$DD1021,97),0)</f>
        <v/>
      </c>
      <c r="CV1021">
        <f>IFERROR(INDEX(PP_Grid[#Data],$DD1021,98),0)</f>
        <v/>
      </c>
      <c r="CW1021">
        <f>IFERROR(INDEX(PP_Grid[#Data],$DD1021,99),0)</f>
        <v/>
      </c>
      <c r="CX1021">
        <f>IFERROR(INDEX(PP_Grid[#Data],$DD1021,100),0)</f>
        <v/>
      </c>
      <c r="CY1021">
        <f>IFERROR(INDEX(PP_Grid[#Data],$DD1021,101),0)</f>
        <v/>
      </c>
      <c r="CZ1021">
        <f>IFERROR(INDEX(PP_Grid[#Data],$DD1021,102),0)</f>
        <v/>
      </c>
      <c r="DA1021">
        <f>IFERROR(INDEX(PP_Grid[#Data],$DD1021,103),0)</f>
        <v/>
      </c>
      <c r="DB1021">
        <f>IFERROR(INDEX(PP_Grid[#Data],$DD1021,104),0)</f>
        <v/>
      </c>
      <c r="DC1021">
        <f>IFERROR(INDEX(PP_Grid[#Data],$DD1021,105),0)</f>
        <v/>
      </c>
      <c r="DD1021" s="12">
        <f>IFERROR(MATCH($B1021,PP_Grid[Intermediate],0),99999)</f>
        <v/>
      </c>
    </row>
    <row r="1022">
      <c r="B1022" t="inlineStr">
        <is>
          <t>使用量(kg)</t>
        </is>
      </c>
      <c r="C1022">
        <f>SUMIFS(M_BOM[RM_Qty_Per_Batch],M_BOM[Intermediate],$B1021,M_BOM[Part Name],$A988)</f>
        <v/>
      </c>
      <c r="D1022">
        <f>$C1022*D1021</f>
        <v/>
      </c>
      <c r="E1022">
        <f>$C1022*E1021</f>
        <v/>
      </c>
      <c r="F1022">
        <f>$C1022*F1021</f>
        <v/>
      </c>
      <c r="G1022">
        <f>$C1022*G1021</f>
        <v/>
      </c>
      <c r="H1022">
        <f>$C1022*H1021</f>
        <v/>
      </c>
      <c r="I1022">
        <f>$C1022*I1021</f>
        <v/>
      </c>
      <c r="J1022">
        <f>$C1022*J1021</f>
        <v/>
      </c>
      <c r="K1022">
        <f>$C1022*K1021</f>
        <v/>
      </c>
      <c r="L1022">
        <f>$C1022*L1021</f>
        <v/>
      </c>
      <c r="M1022">
        <f>$C1022*M1021</f>
        <v/>
      </c>
      <c r="N1022">
        <f>$C1022*N1021</f>
        <v/>
      </c>
      <c r="O1022">
        <f>$C1022*O1021</f>
        <v/>
      </c>
      <c r="P1022">
        <f>$C1022*P1021</f>
        <v/>
      </c>
      <c r="Q1022">
        <f>$C1022*Q1021</f>
        <v/>
      </c>
      <c r="R1022">
        <f>$C1022*R1021</f>
        <v/>
      </c>
      <c r="S1022">
        <f>$C1022*S1021</f>
        <v/>
      </c>
      <c r="T1022">
        <f>$C1022*T1021</f>
        <v/>
      </c>
      <c r="U1022">
        <f>$C1022*U1021</f>
        <v/>
      </c>
      <c r="V1022">
        <f>$C1022*V1021</f>
        <v/>
      </c>
      <c r="W1022">
        <f>$C1022*W1021</f>
        <v/>
      </c>
      <c r="X1022">
        <f>$C1022*X1021</f>
        <v/>
      </c>
      <c r="Y1022">
        <f>$C1022*Y1021</f>
        <v/>
      </c>
      <c r="Z1022">
        <f>$C1022*Z1021</f>
        <v/>
      </c>
      <c r="AA1022">
        <f>$C1022*AA1021</f>
        <v/>
      </c>
      <c r="AB1022">
        <f>$C1022*AB1021</f>
        <v/>
      </c>
      <c r="AC1022">
        <f>$C1022*AC1021</f>
        <v/>
      </c>
      <c r="AD1022">
        <f>$C1022*AD1021</f>
        <v/>
      </c>
      <c r="AE1022">
        <f>$C1022*AE1021</f>
        <v/>
      </c>
      <c r="AF1022">
        <f>$C1022*AF1021</f>
        <v/>
      </c>
      <c r="AG1022">
        <f>$C1022*AG1021</f>
        <v/>
      </c>
      <c r="AH1022">
        <f>$C1022*AH1021</f>
        <v/>
      </c>
      <c r="AI1022">
        <f>$C1022*AI1021</f>
        <v/>
      </c>
      <c r="AJ1022">
        <f>$C1022*AJ1021</f>
        <v/>
      </c>
      <c r="AK1022">
        <f>$C1022*AK1021</f>
        <v/>
      </c>
      <c r="AL1022">
        <f>$C1022*AL1021</f>
        <v/>
      </c>
      <c r="AM1022">
        <f>$C1022*AM1021</f>
        <v/>
      </c>
      <c r="AN1022">
        <f>$C1022*AN1021</f>
        <v/>
      </c>
      <c r="AO1022">
        <f>$C1022*AO1021</f>
        <v/>
      </c>
      <c r="AP1022">
        <f>$C1022*AP1021</f>
        <v/>
      </c>
      <c r="AQ1022">
        <f>$C1022*AQ1021</f>
        <v/>
      </c>
      <c r="AR1022">
        <f>$C1022*AR1021</f>
        <v/>
      </c>
      <c r="AS1022">
        <f>$C1022*AS1021</f>
        <v/>
      </c>
      <c r="AT1022">
        <f>$C1022*AT1021</f>
        <v/>
      </c>
      <c r="AU1022">
        <f>$C1022*AU1021</f>
        <v/>
      </c>
      <c r="AV1022">
        <f>$C1022*AV1021</f>
        <v/>
      </c>
      <c r="AW1022">
        <f>$C1022*AW1021</f>
        <v/>
      </c>
      <c r="AX1022">
        <f>$C1022*AX1021</f>
        <v/>
      </c>
      <c r="AY1022">
        <f>$C1022*AY1021</f>
        <v/>
      </c>
      <c r="AZ1022">
        <f>$C1022*AZ1021</f>
        <v/>
      </c>
      <c r="BA1022">
        <f>$C1022*BA1021</f>
        <v/>
      </c>
      <c r="BB1022">
        <f>$C1022*BB1021</f>
        <v/>
      </c>
      <c r="BC1022">
        <f>$C1022*BC1021</f>
        <v/>
      </c>
      <c r="BD1022">
        <f>$C1022*BD1021</f>
        <v/>
      </c>
      <c r="BE1022">
        <f>$C1022*BE1021</f>
        <v/>
      </c>
      <c r="BF1022">
        <f>$C1022*BF1021</f>
        <v/>
      </c>
      <c r="BG1022">
        <f>$C1022*BG1021</f>
        <v/>
      </c>
      <c r="BH1022">
        <f>$C1022*BH1021</f>
        <v/>
      </c>
      <c r="BI1022">
        <f>$C1022*BI1021</f>
        <v/>
      </c>
      <c r="BJ1022">
        <f>$C1022*BJ1021</f>
        <v/>
      </c>
      <c r="BK1022">
        <f>$C1022*BK1021</f>
        <v/>
      </c>
      <c r="BL1022">
        <f>$C1022*BL1021</f>
        <v/>
      </c>
      <c r="BM1022">
        <f>$C1022*BM1021</f>
        <v/>
      </c>
      <c r="BN1022">
        <f>$C1022*BN1021</f>
        <v/>
      </c>
      <c r="BO1022">
        <f>$C1022*BO1021</f>
        <v/>
      </c>
      <c r="BP1022">
        <f>$C1022*BP1021</f>
        <v/>
      </c>
      <c r="BQ1022">
        <f>$C1022*BQ1021</f>
        <v/>
      </c>
      <c r="BR1022">
        <f>$C1022*BR1021</f>
        <v/>
      </c>
      <c r="BS1022">
        <f>$C1022*BS1021</f>
        <v/>
      </c>
      <c r="BT1022">
        <f>$C1022*BT1021</f>
        <v/>
      </c>
      <c r="BU1022">
        <f>$C1022*BU1021</f>
        <v/>
      </c>
      <c r="BV1022">
        <f>$C1022*BV1021</f>
        <v/>
      </c>
      <c r="BW1022">
        <f>$C1022*BW1021</f>
        <v/>
      </c>
      <c r="BX1022">
        <f>$C1022*BX1021</f>
        <v/>
      </c>
      <c r="BY1022">
        <f>$C1022*BY1021</f>
        <v/>
      </c>
      <c r="BZ1022">
        <f>$C1022*BZ1021</f>
        <v/>
      </c>
      <c r="CA1022">
        <f>$C1022*CA1021</f>
        <v/>
      </c>
      <c r="CB1022">
        <f>$C1022*CB1021</f>
        <v/>
      </c>
      <c r="CC1022">
        <f>$C1022*CC1021</f>
        <v/>
      </c>
      <c r="CD1022">
        <f>$C1022*CD1021</f>
        <v/>
      </c>
      <c r="CE1022">
        <f>$C1022*CE1021</f>
        <v/>
      </c>
      <c r="CF1022">
        <f>$C1022*CF1021</f>
        <v/>
      </c>
      <c r="CG1022">
        <f>$C1022*CG1021</f>
        <v/>
      </c>
      <c r="CH1022">
        <f>$C1022*CH1021</f>
        <v/>
      </c>
      <c r="CI1022">
        <f>$C1022*CI1021</f>
        <v/>
      </c>
      <c r="CJ1022">
        <f>$C1022*CJ1021</f>
        <v/>
      </c>
      <c r="CK1022">
        <f>$C1022*CK1021</f>
        <v/>
      </c>
      <c r="CL1022">
        <f>$C1022*CL1021</f>
        <v/>
      </c>
      <c r="CM1022">
        <f>$C1022*CM1021</f>
        <v/>
      </c>
      <c r="CN1022">
        <f>$C1022*CN1021</f>
        <v/>
      </c>
      <c r="CO1022">
        <f>$C1022*CO1021</f>
        <v/>
      </c>
      <c r="CP1022">
        <f>$C1022*CP1021</f>
        <v/>
      </c>
      <c r="CQ1022">
        <f>$C1022*CQ1021</f>
        <v/>
      </c>
      <c r="CR1022">
        <f>$C1022*CR1021</f>
        <v/>
      </c>
      <c r="CS1022">
        <f>$C1022*CS1021</f>
        <v/>
      </c>
      <c r="CT1022">
        <f>$C1022*CT1021</f>
        <v/>
      </c>
      <c r="CU1022">
        <f>$C1022*CU1021</f>
        <v/>
      </c>
      <c r="CV1022">
        <f>$C1022*CV1021</f>
        <v/>
      </c>
      <c r="CW1022">
        <f>$C1022*CW1021</f>
        <v/>
      </c>
      <c r="CX1022">
        <f>$C1022*CX1021</f>
        <v/>
      </c>
      <c r="CY1022">
        <f>$C1022*CY1021</f>
        <v/>
      </c>
      <c r="CZ1022">
        <f>$C1022*CZ1021</f>
        <v/>
      </c>
      <c r="DA1022">
        <f>$C1022*DA1021</f>
        <v/>
      </c>
      <c r="DB1022">
        <f>$C1022*DB1021</f>
        <v/>
      </c>
      <c r="DC1022">
        <f>$C1022*DC1021</f>
        <v/>
      </c>
    </row>
    <row r="1023">
      <c r="B1023" t="inlineStr">
        <is>
          <t>TSP-935</t>
        </is>
      </c>
      <c r="C1023" t="inlineStr">
        <is>
          <t>No. of batches</t>
        </is>
      </c>
      <c r="D1023">
        <f>IFERROR(INDEX(PP_Grid[#Data],$DD1023,2),0)</f>
        <v/>
      </c>
      <c r="E1023">
        <f>IFERROR(INDEX(PP_Grid[#Data],$DD1023,3),0)</f>
        <v/>
      </c>
      <c r="F1023">
        <f>IFERROR(INDEX(PP_Grid[#Data],$DD1023,4),0)</f>
        <v/>
      </c>
      <c r="G1023">
        <f>IFERROR(INDEX(PP_Grid[#Data],$DD1023,5),0)</f>
        <v/>
      </c>
      <c r="H1023">
        <f>IFERROR(INDEX(PP_Grid[#Data],$DD1023,6),0)</f>
        <v/>
      </c>
      <c r="I1023">
        <f>IFERROR(INDEX(PP_Grid[#Data],$DD1023,7),0)</f>
        <v/>
      </c>
      <c r="J1023">
        <f>IFERROR(INDEX(PP_Grid[#Data],$DD1023,8),0)</f>
        <v/>
      </c>
      <c r="K1023">
        <f>IFERROR(INDEX(PP_Grid[#Data],$DD1023,9),0)</f>
        <v/>
      </c>
      <c r="L1023">
        <f>IFERROR(INDEX(PP_Grid[#Data],$DD1023,10),0)</f>
        <v/>
      </c>
      <c r="M1023">
        <f>IFERROR(INDEX(PP_Grid[#Data],$DD1023,11),0)</f>
        <v/>
      </c>
      <c r="N1023">
        <f>IFERROR(INDEX(PP_Grid[#Data],$DD1023,12),0)</f>
        <v/>
      </c>
      <c r="O1023">
        <f>IFERROR(INDEX(PP_Grid[#Data],$DD1023,13),0)</f>
        <v/>
      </c>
      <c r="P1023">
        <f>IFERROR(INDEX(PP_Grid[#Data],$DD1023,14),0)</f>
        <v/>
      </c>
      <c r="Q1023">
        <f>IFERROR(INDEX(PP_Grid[#Data],$DD1023,15),0)</f>
        <v/>
      </c>
      <c r="R1023">
        <f>IFERROR(INDEX(PP_Grid[#Data],$DD1023,16),0)</f>
        <v/>
      </c>
      <c r="S1023">
        <f>IFERROR(INDEX(PP_Grid[#Data],$DD1023,17),0)</f>
        <v/>
      </c>
      <c r="T1023">
        <f>IFERROR(INDEX(PP_Grid[#Data],$DD1023,18),0)</f>
        <v/>
      </c>
      <c r="U1023">
        <f>IFERROR(INDEX(PP_Grid[#Data],$DD1023,19),0)</f>
        <v/>
      </c>
      <c r="V1023">
        <f>IFERROR(INDEX(PP_Grid[#Data],$DD1023,20),0)</f>
        <v/>
      </c>
      <c r="W1023">
        <f>IFERROR(INDEX(PP_Grid[#Data],$DD1023,21),0)</f>
        <v/>
      </c>
      <c r="X1023">
        <f>IFERROR(INDEX(PP_Grid[#Data],$DD1023,22),0)</f>
        <v/>
      </c>
      <c r="Y1023">
        <f>IFERROR(INDEX(PP_Grid[#Data],$DD1023,23),0)</f>
        <v/>
      </c>
      <c r="Z1023">
        <f>IFERROR(INDEX(PP_Grid[#Data],$DD1023,24),0)</f>
        <v/>
      </c>
      <c r="AA1023">
        <f>IFERROR(INDEX(PP_Grid[#Data],$DD1023,25),0)</f>
        <v/>
      </c>
      <c r="AB1023">
        <f>IFERROR(INDEX(PP_Grid[#Data],$DD1023,26),0)</f>
        <v/>
      </c>
      <c r="AC1023">
        <f>IFERROR(INDEX(PP_Grid[#Data],$DD1023,27),0)</f>
        <v/>
      </c>
      <c r="AD1023">
        <f>IFERROR(INDEX(PP_Grid[#Data],$DD1023,28),0)</f>
        <v/>
      </c>
      <c r="AE1023">
        <f>IFERROR(INDEX(PP_Grid[#Data],$DD1023,29),0)</f>
        <v/>
      </c>
      <c r="AF1023">
        <f>IFERROR(INDEX(PP_Grid[#Data],$DD1023,30),0)</f>
        <v/>
      </c>
      <c r="AG1023">
        <f>IFERROR(INDEX(PP_Grid[#Data],$DD1023,31),0)</f>
        <v/>
      </c>
      <c r="AH1023">
        <f>IFERROR(INDEX(PP_Grid[#Data],$DD1023,32),0)</f>
        <v/>
      </c>
      <c r="AI1023">
        <f>IFERROR(INDEX(PP_Grid[#Data],$DD1023,33),0)</f>
        <v/>
      </c>
      <c r="AJ1023">
        <f>IFERROR(INDEX(PP_Grid[#Data],$DD1023,34),0)</f>
        <v/>
      </c>
      <c r="AK1023">
        <f>IFERROR(INDEX(PP_Grid[#Data],$DD1023,35),0)</f>
        <v/>
      </c>
      <c r="AL1023">
        <f>IFERROR(INDEX(PP_Grid[#Data],$DD1023,36),0)</f>
        <v/>
      </c>
      <c r="AM1023">
        <f>IFERROR(INDEX(PP_Grid[#Data],$DD1023,37),0)</f>
        <v/>
      </c>
      <c r="AN1023">
        <f>IFERROR(INDEX(PP_Grid[#Data],$DD1023,38),0)</f>
        <v/>
      </c>
      <c r="AO1023">
        <f>IFERROR(INDEX(PP_Grid[#Data],$DD1023,39),0)</f>
        <v/>
      </c>
      <c r="AP1023">
        <f>IFERROR(INDEX(PP_Grid[#Data],$DD1023,40),0)</f>
        <v/>
      </c>
      <c r="AQ1023">
        <f>IFERROR(INDEX(PP_Grid[#Data],$DD1023,41),0)</f>
        <v/>
      </c>
      <c r="AR1023">
        <f>IFERROR(INDEX(PP_Grid[#Data],$DD1023,42),0)</f>
        <v/>
      </c>
      <c r="AS1023">
        <f>IFERROR(INDEX(PP_Grid[#Data],$DD1023,43),0)</f>
        <v/>
      </c>
      <c r="AT1023">
        <f>IFERROR(INDEX(PP_Grid[#Data],$DD1023,44),0)</f>
        <v/>
      </c>
      <c r="AU1023">
        <f>IFERROR(INDEX(PP_Grid[#Data],$DD1023,45),0)</f>
        <v/>
      </c>
      <c r="AV1023">
        <f>IFERROR(INDEX(PP_Grid[#Data],$DD1023,46),0)</f>
        <v/>
      </c>
      <c r="AW1023">
        <f>IFERROR(INDEX(PP_Grid[#Data],$DD1023,47),0)</f>
        <v/>
      </c>
      <c r="AX1023">
        <f>IFERROR(INDEX(PP_Grid[#Data],$DD1023,48),0)</f>
        <v/>
      </c>
      <c r="AY1023">
        <f>IFERROR(INDEX(PP_Grid[#Data],$DD1023,49),0)</f>
        <v/>
      </c>
      <c r="AZ1023">
        <f>IFERROR(INDEX(PP_Grid[#Data],$DD1023,50),0)</f>
        <v/>
      </c>
      <c r="BA1023">
        <f>IFERROR(INDEX(PP_Grid[#Data],$DD1023,51),0)</f>
        <v/>
      </c>
      <c r="BB1023">
        <f>IFERROR(INDEX(PP_Grid[#Data],$DD1023,52),0)</f>
        <v/>
      </c>
      <c r="BC1023">
        <f>IFERROR(INDEX(PP_Grid[#Data],$DD1023,53),0)</f>
        <v/>
      </c>
      <c r="BD1023">
        <f>IFERROR(INDEX(PP_Grid[#Data],$DD1023,54),0)</f>
        <v/>
      </c>
      <c r="BE1023">
        <f>IFERROR(INDEX(PP_Grid[#Data],$DD1023,55),0)</f>
        <v/>
      </c>
      <c r="BF1023">
        <f>IFERROR(INDEX(PP_Grid[#Data],$DD1023,56),0)</f>
        <v/>
      </c>
      <c r="BG1023">
        <f>IFERROR(INDEX(PP_Grid[#Data],$DD1023,57),0)</f>
        <v/>
      </c>
      <c r="BH1023">
        <f>IFERROR(INDEX(PP_Grid[#Data],$DD1023,58),0)</f>
        <v/>
      </c>
      <c r="BI1023">
        <f>IFERROR(INDEX(PP_Grid[#Data],$DD1023,59),0)</f>
        <v/>
      </c>
      <c r="BJ1023">
        <f>IFERROR(INDEX(PP_Grid[#Data],$DD1023,60),0)</f>
        <v/>
      </c>
      <c r="BK1023">
        <f>IFERROR(INDEX(PP_Grid[#Data],$DD1023,61),0)</f>
        <v/>
      </c>
      <c r="BL1023">
        <f>IFERROR(INDEX(PP_Grid[#Data],$DD1023,62),0)</f>
        <v/>
      </c>
      <c r="BM1023">
        <f>IFERROR(INDEX(PP_Grid[#Data],$DD1023,63),0)</f>
        <v/>
      </c>
      <c r="BN1023">
        <f>IFERROR(INDEX(PP_Grid[#Data],$DD1023,64),0)</f>
        <v/>
      </c>
      <c r="BO1023">
        <f>IFERROR(INDEX(PP_Grid[#Data],$DD1023,65),0)</f>
        <v/>
      </c>
      <c r="BP1023">
        <f>IFERROR(INDEX(PP_Grid[#Data],$DD1023,66),0)</f>
        <v/>
      </c>
      <c r="BQ1023">
        <f>IFERROR(INDEX(PP_Grid[#Data],$DD1023,67),0)</f>
        <v/>
      </c>
      <c r="BR1023">
        <f>IFERROR(INDEX(PP_Grid[#Data],$DD1023,68),0)</f>
        <v/>
      </c>
      <c r="BS1023">
        <f>IFERROR(INDEX(PP_Grid[#Data],$DD1023,69),0)</f>
        <v/>
      </c>
      <c r="BT1023">
        <f>IFERROR(INDEX(PP_Grid[#Data],$DD1023,70),0)</f>
        <v/>
      </c>
      <c r="BU1023">
        <f>IFERROR(INDEX(PP_Grid[#Data],$DD1023,71),0)</f>
        <v/>
      </c>
      <c r="BV1023">
        <f>IFERROR(INDEX(PP_Grid[#Data],$DD1023,72),0)</f>
        <v/>
      </c>
      <c r="BW1023">
        <f>IFERROR(INDEX(PP_Grid[#Data],$DD1023,73),0)</f>
        <v/>
      </c>
      <c r="BX1023">
        <f>IFERROR(INDEX(PP_Grid[#Data],$DD1023,74),0)</f>
        <v/>
      </c>
      <c r="BY1023">
        <f>IFERROR(INDEX(PP_Grid[#Data],$DD1023,75),0)</f>
        <v/>
      </c>
      <c r="BZ1023">
        <f>IFERROR(INDEX(PP_Grid[#Data],$DD1023,76),0)</f>
        <v/>
      </c>
      <c r="CA1023">
        <f>IFERROR(INDEX(PP_Grid[#Data],$DD1023,77),0)</f>
        <v/>
      </c>
      <c r="CB1023">
        <f>IFERROR(INDEX(PP_Grid[#Data],$DD1023,78),0)</f>
        <v/>
      </c>
      <c r="CC1023">
        <f>IFERROR(INDEX(PP_Grid[#Data],$DD1023,79),0)</f>
        <v/>
      </c>
      <c r="CD1023">
        <f>IFERROR(INDEX(PP_Grid[#Data],$DD1023,80),0)</f>
        <v/>
      </c>
      <c r="CE1023">
        <f>IFERROR(INDEX(PP_Grid[#Data],$DD1023,81),0)</f>
        <v/>
      </c>
      <c r="CF1023">
        <f>IFERROR(INDEX(PP_Grid[#Data],$DD1023,82),0)</f>
        <v/>
      </c>
      <c r="CG1023">
        <f>IFERROR(INDEX(PP_Grid[#Data],$DD1023,83),0)</f>
        <v/>
      </c>
      <c r="CH1023">
        <f>IFERROR(INDEX(PP_Grid[#Data],$DD1023,84),0)</f>
        <v/>
      </c>
      <c r="CI1023">
        <f>IFERROR(INDEX(PP_Grid[#Data],$DD1023,85),0)</f>
        <v/>
      </c>
      <c r="CJ1023">
        <f>IFERROR(INDEX(PP_Grid[#Data],$DD1023,86),0)</f>
        <v/>
      </c>
      <c r="CK1023">
        <f>IFERROR(INDEX(PP_Grid[#Data],$DD1023,87),0)</f>
        <v/>
      </c>
      <c r="CL1023">
        <f>IFERROR(INDEX(PP_Grid[#Data],$DD1023,88),0)</f>
        <v/>
      </c>
      <c r="CM1023">
        <f>IFERROR(INDEX(PP_Grid[#Data],$DD1023,89),0)</f>
        <v/>
      </c>
      <c r="CN1023">
        <f>IFERROR(INDEX(PP_Grid[#Data],$DD1023,90),0)</f>
        <v/>
      </c>
      <c r="CO1023">
        <f>IFERROR(INDEX(PP_Grid[#Data],$DD1023,91),0)</f>
        <v/>
      </c>
      <c r="CP1023">
        <f>IFERROR(INDEX(PP_Grid[#Data],$DD1023,92),0)</f>
        <v/>
      </c>
      <c r="CQ1023">
        <f>IFERROR(INDEX(PP_Grid[#Data],$DD1023,93),0)</f>
        <v/>
      </c>
      <c r="CR1023">
        <f>IFERROR(INDEX(PP_Grid[#Data],$DD1023,94),0)</f>
        <v/>
      </c>
      <c r="CS1023">
        <f>IFERROR(INDEX(PP_Grid[#Data],$DD1023,95),0)</f>
        <v/>
      </c>
      <c r="CT1023">
        <f>IFERROR(INDEX(PP_Grid[#Data],$DD1023,96),0)</f>
        <v/>
      </c>
      <c r="CU1023">
        <f>IFERROR(INDEX(PP_Grid[#Data],$DD1023,97),0)</f>
        <v/>
      </c>
      <c r="CV1023">
        <f>IFERROR(INDEX(PP_Grid[#Data],$DD1023,98),0)</f>
        <v/>
      </c>
      <c r="CW1023">
        <f>IFERROR(INDEX(PP_Grid[#Data],$DD1023,99),0)</f>
        <v/>
      </c>
      <c r="CX1023">
        <f>IFERROR(INDEX(PP_Grid[#Data],$DD1023,100),0)</f>
        <v/>
      </c>
      <c r="CY1023">
        <f>IFERROR(INDEX(PP_Grid[#Data],$DD1023,101),0)</f>
        <v/>
      </c>
      <c r="CZ1023">
        <f>IFERROR(INDEX(PP_Grid[#Data],$DD1023,102),0)</f>
        <v/>
      </c>
      <c r="DA1023">
        <f>IFERROR(INDEX(PP_Grid[#Data],$DD1023,103),0)</f>
        <v/>
      </c>
      <c r="DB1023">
        <f>IFERROR(INDEX(PP_Grid[#Data],$DD1023,104),0)</f>
        <v/>
      </c>
      <c r="DC1023">
        <f>IFERROR(INDEX(PP_Grid[#Data],$DD1023,105),0)</f>
        <v/>
      </c>
      <c r="DD1023" s="12">
        <f>IFERROR(MATCH($B1023,PP_Grid[Intermediate],0),99999)</f>
        <v/>
      </c>
    </row>
    <row r="1024">
      <c r="B1024" t="inlineStr">
        <is>
          <t>使用量(kg)</t>
        </is>
      </c>
      <c r="C1024">
        <f>SUMIFS(M_BOM[RM_Qty_Per_Batch],M_BOM[Intermediate],$B1023,M_BOM[Part Name],$A988)</f>
        <v/>
      </c>
      <c r="D1024">
        <f>$C1024*D1023</f>
        <v/>
      </c>
      <c r="E1024">
        <f>$C1024*E1023</f>
        <v/>
      </c>
      <c r="F1024">
        <f>$C1024*F1023</f>
        <v/>
      </c>
      <c r="G1024">
        <f>$C1024*G1023</f>
        <v/>
      </c>
      <c r="H1024">
        <f>$C1024*H1023</f>
        <v/>
      </c>
      <c r="I1024">
        <f>$C1024*I1023</f>
        <v/>
      </c>
      <c r="J1024">
        <f>$C1024*J1023</f>
        <v/>
      </c>
      <c r="K1024">
        <f>$C1024*K1023</f>
        <v/>
      </c>
      <c r="L1024">
        <f>$C1024*L1023</f>
        <v/>
      </c>
      <c r="M1024">
        <f>$C1024*M1023</f>
        <v/>
      </c>
      <c r="N1024">
        <f>$C1024*N1023</f>
        <v/>
      </c>
      <c r="O1024">
        <f>$C1024*O1023</f>
        <v/>
      </c>
      <c r="P1024">
        <f>$C1024*P1023</f>
        <v/>
      </c>
      <c r="Q1024">
        <f>$C1024*Q1023</f>
        <v/>
      </c>
      <c r="R1024">
        <f>$C1024*R1023</f>
        <v/>
      </c>
      <c r="S1024">
        <f>$C1024*S1023</f>
        <v/>
      </c>
      <c r="T1024">
        <f>$C1024*T1023</f>
        <v/>
      </c>
      <c r="U1024">
        <f>$C1024*U1023</f>
        <v/>
      </c>
      <c r="V1024">
        <f>$C1024*V1023</f>
        <v/>
      </c>
      <c r="W1024">
        <f>$C1024*W1023</f>
        <v/>
      </c>
      <c r="X1024">
        <f>$C1024*X1023</f>
        <v/>
      </c>
      <c r="Y1024">
        <f>$C1024*Y1023</f>
        <v/>
      </c>
      <c r="Z1024">
        <f>$C1024*Z1023</f>
        <v/>
      </c>
      <c r="AA1024">
        <f>$C1024*AA1023</f>
        <v/>
      </c>
      <c r="AB1024">
        <f>$C1024*AB1023</f>
        <v/>
      </c>
      <c r="AC1024">
        <f>$C1024*AC1023</f>
        <v/>
      </c>
      <c r="AD1024">
        <f>$C1024*AD1023</f>
        <v/>
      </c>
      <c r="AE1024">
        <f>$C1024*AE1023</f>
        <v/>
      </c>
      <c r="AF1024">
        <f>$C1024*AF1023</f>
        <v/>
      </c>
      <c r="AG1024">
        <f>$C1024*AG1023</f>
        <v/>
      </c>
      <c r="AH1024">
        <f>$C1024*AH1023</f>
        <v/>
      </c>
      <c r="AI1024">
        <f>$C1024*AI1023</f>
        <v/>
      </c>
      <c r="AJ1024">
        <f>$C1024*AJ1023</f>
        <v/>
      </c>
      <c r="AK1024">
        <f>$C1024*AK1023</f>
        <v/>
      </c>
      <c r="AL1024">
        <f>$C1024*AL1023</f>
        <v/>
      </c>
      <c r="AM1024">
        <f>$C1024*AM1023</f>
        <v/>
      </c>
      <c r="AN1024">
        <f>$C1024*AN1023</f>
        <v/>
      </c>
      <c r="AO1024">
        <f>$C1024*AO1023</f>
        <v/>
      </c>
      <c r="AP1024">
        <f>$C1024*AP1023</f>
        <v/>
      </c>
      <c r="AQ1024">
        <f>$C1024*AQ1023</f>
        <v/>
      </c>
      <c r="AR1024">
        <f>$C1024*AR1023</f>
        <v/>
      </c>
      <c r="AS1024">
        <f>$C1024*AS1023</f>
        <v/>
      </c>
      <c r="AT1024">
        <f>$C1024*AT1023</f>
        <v/>
      </c>
      <c r="AU1024">
        <f>$C1024*AU1023</f>
        <v/>
      </c>
      <c r="AV1024">
        <f>$C1024*AV1023</f>
        <v/>
      </c>
      <c r="AW1024">
        <f>$C1024*AW1023</f>
        <v/>
      </c>
      <c r="AX1024">
        <f>$C1024*AX1023</f>
        <v/>
      </c>
      <c r="AY1024">
        <f>$C1024*AY1023</f>
        <v/>
      </c>
      <c r="AZ1024">
        <f>$C1024*AZ1023</f>
        <v/>
      </c>
      <c r="BA1024">
        <f>$C1024*BA1023</f>
        <v/>
      </c>
      <c r="BB1024">
        <f>$C1024*BB1023</f>
        <v/>
      </c>
      <c r="BC1024">
        <f>$C1024*BC1023</f>
        <v/>
      </c>
      <c r="BD1024">
        <f>$C1024*BD1023</f>
        <v/>
      </c>
      <c r="BE1024">
        <f>$C1024*BE1023</f>
        <v/>
      </c>
      <c r="BF1024">
        <f>$C1024*BF1023</f>
        <v/>
      </c>
      <c r="BG1024">
        <f>$C1024*BG1023</f>
        <v/>
      </c>
      <c r="BH1024">
        <f>$C1024*BH1023</f>
        <v/>
      </c>
      <c r="BI1024">
        <f>$C1024*BI1023</f>
        <v/>
      </c>
      <c r="BJ1024">
        <f>$C1024*BJ1023</f>
        <v/>
      </c>
      <c r="BK1024">
        <f>$C1024*BK1023</f>
        <v/>
      </c>
      <c r="BL1024">
        <f>$C1024*BL1023</f>
        <v/>
      </c>
      <c r="BM1024">
        <f>$C1024*BM1023</f>
        <v/>
      </c>
      <c r="BN1024">
        <f>$C1024*BN1023</f>
        <v/>
      </c>
      <c r="BO1024">
        <f>$C1024*BO1023</f>
        <v/>
      </c>
      <c r="BP1024">
        <f>$C1024*BP1023</f>
        <v/>
      </c>
      <c r="BQ1024">
        <f>$C1024*BQ1023</f>
        <v/>
      </c>
      <c r="BR1024">
        <f>$C1024*BR1023</f>
        <v/>
      </c>
      <c r="BS1024">
        <f>$C1024*BS1023</f>
        <v/>
      </c>
      <c r="BT1024">
        <f>$C1024*BT1023</f>
        <v/>
      </c>
      <c r="BU1024">
        <f>$C1024*BU1023</f>
        <v/>
      </c>
      <c r="BV1024">
        <f>$C1024*BV1023</f>
        <v/>
      </c>
      <c r="BW1024">
        <f>$C1024*BW1023</f>
        <v/>
      </c>
      <c r="BX1024">
        <f>$C1024*BX1023</f>
        <v/>
      </c>
      <c r="BY1024">
        <f>$C1024*BY1023</f>
        <v/>
      </c>
      <c r="BZ1024">
        <f>$C1024*BZ1023</f>
        <v/>
      </c>
      <c r="CA1024">
        <f>$C1024*CA1023</f>
        <v/>
      </c>
      <c r="CB1024">
        <f>$C1024*CB1023</f>
        <v/>
      </c>
      <c r="CC1024">
        <f>$C1024*CC1023</f>
        <v/>
      </c>
      <c r="CD1024">
        <f>$C1024*CD1023</f>
        <v/>
      </c>
      <c r="CE1024">
        <f>$C1024*CE1023</f>
        <v/>
      </c>
      <c r="CF1024">
        <f>$C1024*CF1023</f>
        <v/>
      </c>
      <c r="CG1024">
        <f>$C1024*CG1023</f>
        <v/>
      </c>
      <c r="CH1024">
        <f>$C1024*CH1023</f>
        <v/>
      </c>
      <c r="CI1024">
        <f>$C1024*CI1023</f>
        <v/>
      </c>
      <c r="CJ1024">
        <f>$C1024*CJ1023</f>
        <v/>
      </c>
      <c r="CK1024">
        <f>$C1024*CK1023</f>
        <v/>
      </c>
      <c r="CL1024">
        <f>$C1024*CL1023</f>
        <v/>
      </c>
      <c r="CM1024">
        <f>$C1024*CM1023</f>
        <v/>
      </c>
      <c r="CN1024">
        <f>$C1024*CN1023</f>
        <v/>
      </c>
      <c r="CO1024">
        <f>$C1024*CO1023</f>
        <v/>
      </c>
      <c r="CP1024">
        <f>$C1024*CP1023</f>
        <v/>
      </c>
      <c r="CQ1024">
        <f>$C1024*CQ1023</f>
        <v/>
      </c>
      <c r="CR1024">
        <f>$C1024*CR1023</f>
        <v/>
      </c>
      <c r="CS1024">
        <f>$C1024*CS1023</f>
        <v/>
      </c>
      <c r="CT1024">
        <f>$C1024*CT1023</f>
        <v/>
      </c>
      <c r="CU1024">
        <f>$C1024*CU1023</f>
        <v/>
      </c>
      <c r="CV1024">
        <f>$C1024*CV1023</f>
        <v/>
      </c>
      <c r="CW1024">
        <f>$C1024*CW1023</f>
        <v/>
      </c>
      <c r="CX1024">
        <f>$C1024*CX1023</f>
        <v/>
      </c>
      <c r="CY1024">
        <f>$C1024*CY1023</f>
        <v/>
      </c>
      <c r="CZ1024">
        <f>$C1024*CZ1023</f>
        <v/>
      </c>
      <c r="DA1024">
        <f>$C1024*DA1023</f>
        <v/>
      </c>
      <c r="DB1024">
        <f>$C1024*DB1023</f>
        <v/>
      </c>
      <c r="DC1024">
        <f>$C1024*DC1023</f>
        <v/>
      </c>
    </row>
    <row r="1025">
      <c r="B1025" t="inlineStr">
        <is>
          <t>TSP-935</t>
        </is>
      </c>
      <c r="C1025" t="inlineStr">
        <is>
          <t>No. of batches</t>
        </is>
      </c>
      <c r="D1025">
        <f>IFERROR(INDEX(PP_Grid[#Data],$DD1025,2),0)</f>
        <v/>
      </c>
      <c r="E1025">
        <f>IFERROR(INDEX(PP_Grid[#Data],$DD1025,3),0)</f>
        <v/>
      </c>
      <c r="F1025">
        <f>IFERROR(INDEX(PP_Grid[#Data],$DD1025,4),0)</f>
        <v/>
      </c>
      <c r="G1025">
        <f>IFERROR(INDEX(PP_Grid[#Data],$DD1025,5),0)</f>
        <v/>
      </c>
      <c r="H1025">
        <f>IFERROR(INDEX(PP_Grid[#Data],$DD1025,6),0)</f>
        <v/>
      </c>
      <c r="I1025">
        <f>IFERROR(INDEX(PP_Grid[#Data],$DD1025,7),0)</f>
        <v/>
      </c>
      <c r="J1025">
        <f>IFERROR(INDEX(PP_Grid[#Data],$DD1025,8),0)</f>
        <v/>
      </c>
      <c r="K1025">
        <f>IFERROR(INDEX(PP_Grid[#Data],$DD1025,9),0)</f>
        <v/>
      </c>
      <c r="L1025">
        <f>IFERROR(INDEX(PP_Grid[#Data],$DD1025,10),0)</f>
        <v/>
      </c>
      <c r="M1025">
        <f>IFERROR(INDEX(PP_Grid[#Data],$DD1025,11),0)</f>
        <v/>
      </c>
      <c r="N1025">
        <f>IFERROR(INDEX(PP_Grid[#Data],$DD1025,12),0)</f>
        <v/>
      </c>
      <c r="O1025">
        <f>IFERROR(INDEX(PP_Grid[#Data],$DD1025,13),0)</f>
        <v/>
      </c>
      <c r="P1025">
        <f>IFERROR(INDEX(PP_Grid[#Data],$DD1025,14),0)</f>
        <v/>
      </c>
      <c r="Q1025">
        <f>IFERROR(INDEX(PP_Grid[#Data],$DD1025,15),0)</f>
        <v/>
      </c>
      <c r="R1025">
        <f>IFERROR(INDEX(PP_Grid[#Data],$DD1025,16),0)</f>
        <v/>
      </c>
      <c r="S1025">
        <f>IFERROR(INDEX(PP_Grid[#Data],$DD1025,17),0)</f>
        <v/>
      </c>
      <c r="T1025">
        <f>IFERROR(INDEX(PP_Grid[#Data],$DD1025,18),0)</f>
        <v/>
      </c>
      <c r="U1025">
        <f>IFERROR(INDEX(PP_Grid[#Data],$DD1025,19),0)</f>
        <v/>
      </c>
      <c r="V1025">
        <f>IFERROR(INDEX(PP_Grid[#Data],$DD1025,20),0)</f>
        <v/>
      </c>
      <c r="W1025">
        <f>IFERROR(INDEX(PP_Grid[#Data],$DD1025,21),0)</f>
        <v/>
      </c>
      <c r="X1025">
        <f>IFERROR(INDEX(PP_Grid[#Data],$DD1025,22),0)</f>
        <v/>
      </c>
      <c r="Y1025">
        <f>IFERROR(INDEX(PP_Grid[#Data],$DD1025,23),0)</f>
        <v/>
      </c>
      <c r="Z1025">
        <f>IFERROR(INDEX(PP_Grid[#Data],$DD1025,24),0)</f>
        <v/>
      </c>
      <c r="AA1025">
        <f>IFERROR(INDEX(PP_Grid[#Data],$DD1025,25),0)</f>
        <v/>
      </c>
      <c r="AB1025">
        <f>IFERROR(INDEX(PP_Grid[#Data],$DD1025,26),0)</f>
        <v/>
      </c>
      <c r="AC1025">
        <f>IFERROR(INDEX(PP_Grid[#Data],$DD1025,27),0)</f>
        <v/>
      </c>
      <c r="AD1025">
        <f>IFERROR(INDEX(PP_Grid[#Data],$DD1025,28),0)</f>
        <v/>
      </c>
      <c r="AE1025">
        <f>IFERROR(INDEX(PP_Grid[#Data],$DD1025,29),0)</f>
        <v/>
      </c>
      <c r="AF1025">
        <f>IFERROR(INDEX(PP_Grid[#Data],$DD1025,30),0)</f>
        <v/>
      </c>
      <c r="AG1025">
        <f>IFERROR(INDEX(PP_Grid[#Data],$DD1025,31),0)</f>
        <v/>
      </c>
      <c r="AH1025">
        <f>IFERROR(INDEX(PP_Grid[#Data],$DD1025,32),0)</f>
        <v/>
      </c>
      <c r="AI1025">
        <f>IFERROR(INDEX(PP_Grid[#Data],$DD1025,33),0)</f>
        <v/>
      </c>
      <c r="AJ1025">
        <f>IFERROR(INDEX(PP_Grid[#Data],$DD1025,34),0)</f>
        <v/>
      </c>
      <c r="AK1025">
        <f>IFERROR(INDEX(PP_Grid[#Data],$DD1025,35),0)</f>
        <v/>
      </c>
      <c r="AL1025">
        <f>IFERROR(INDEX(PP_Grid[#Data],$DD1025,36),0)</f>
        <v/>
      </c>
      <c r="AM1025">
        <f>IFERROR(INDEX(PP_Grid[#Data],$DD1025,37),0)</f>
        <v/>
      </c>
      <c r="AN1025">
        <f>IFERROR(INDEX(PP_Grid[#Data],$DD1025,38),0)</f>
        <v/>
      </c>
      <c r="AO1025">
        <f>IFERROR(INDEX(PP_Grid[#Data],$DD1025,39),0)</f>
        <v/>
      </c>
      <c r="AP1025">
        <f>IFERROR(INDEX(PP_Grid[#Data],$DD1025,40),0)</f>
        <v/>
      </c>
      <c r="AQ1025">
        <f>IFERROR(INDEX(PP_Grid[#Data],$DD1025,41),0)</f>
        <v/>
      </c>
      <c r="AR1025">
        <f>IFERROR(INDEX(PP_Grid[#Data],$DD1025,42),0)</f>
        <v/>
      </c>
      <c r="AS1025">
        <f>IFERROR(INDEX(PP_Grid[#Data],$DD1025,43),0)</f>
        <v/>
      </c>
      <c r="AT1025">
        <f>IFERROR(INDEX(PP_Grid[#Data],$DD1025,44),0)</f>
        <v/>
      </c>
      <c r="AU1025">
        <f>IFERROR(INDEX(PP_Grid[#Data],$DD1025,45),0)</f>
        <v/>
      </c>
      <c r="AV1025">
        <f>IFERROR(INDEX(PP_Grid[#Data],$DD1025,46),0)</f>
        <v/>
      </c>
      <c r="AW1025">
        <f>IFERROR(INDEX(PP_Grid[#Data],$DD1025,47),0)</f>
        <v/>
      </c>
      <c r="AX1025">
        <f>IFERROR(INDEX(PP_Grid[#Data],$DD1025,48),0)</f>
        <v/>
      </c>
      <c r="AY1025">
        <f>IFERROR(INDEX(PP_Grid[#Data],$DD1025,49),0)</f>
        <v/>
      </c>
      <c r="AZ1025">
        <f>IFERROR(INDEX(PP_Grid[#Data],$DD1025,50),0)</f>
        <v/>
      </c>
      <c r="BA1025">
        <f>IFERROR(INDEX(PP_Grid[#Data],$DD1025,51),0)</f>
        <v/>
      </c>
      <c r="BB1025">
        <f>IFERROR(INDEX(PP_Grid[#Data],$DD1025,52),0)</f>
        <v/>
      </c>
      <c r="BC1025">
        <f>IFERROR(INDEX(PP_Grid[#Data],$DD1025,53),0)</f>
        <v/>
      </c>
      <c r="BD1025">
        <f>IFERROR(INDEX(PP_Grid[#Data],$DD1025,54),0)</f>
        <v/>
      </c>
      <c r="BE1025">
        <f>IFERROR(INDEX(PP_Grid[#Data],$DD1025,55),0)</f>
        <v/>
      </c>
      <c r="BF1025">
        <f>IFERROR(INDEX(PP_Grid[#Data],$DD1025,56),0)</f>
        <v/>
      </c>
      <c r="BG1025">
        <f>IFERROR(INDEX(PP_Grid[#Data],$DD1025,57),0)</f>
        <v/>
      </c>
      <c r="BH1025">
        <f>IFERROR(INDEX(PP_Grid[#Data],$DD1025,58),0)</f>
        <v/>
      </c>
      <c r="BI1025">
        <f>IFERROR(INDEX(PP_Grid[#Data],$DD1025,59),0)</f>
        <v/>
      </c>
      <c r="BJ1025">
        <f>IFERROR(INDEX(PP_Grid[#Data],$DD1025,60),0)</f>
        <v/>
      </c>
      <c r="BK1025">
        <f>IFERROR(INDEX(PP_Grid[#Data],$DD1025,61),0)</f>
        <v/>
      </c>
      <c r="BL1025">
        <f>IFERROR(INDEX(PP_Grid[#Data],$DD1025,62),0)</f>
        <v/>
      </c>
      <c r="BM1025">
        <f>IFERROR(INDEX(PP_Grid[#Data],$DD1025,63),0)</f>
        <v/>
      </c>
      <c r="BN1025">
        <f>IFERROR(INDEX(PP_Grid[#Data],$DD1025,64),0)</f>
        <v/>
      </c>
      <c r="BO1025">
        <f>IFERROR(INDEX(PP_Grid[#Data],$DD1025,65),0)</f>
        <v/>
      </c>
      <c r="BP1025">
        <f>IFERROR(INDEX(PP_Grid[#Data],$DD1025,66),0)</f>
        <v/>
      </c>
      <c r="BQ1025">
        <f>IFERROR(INDEX(PP_Grid[#Data],$DD1025,67),0)</f>
        <v/>
      </c>
      <c r="BR1025">
        <f>IFERROR(INDEX(PP_Grid[#Data],$DD1025,68),0)</f>
        <v/>
      </c>
      <c r="BS1025">
        <f>IFERROR(INDEX(PP_Grid[#Data],$DD1025,69),0)</f>
        <v/>
      </c>
      <c r="BT1025">
        <f>IFERROR(INDEX(PP_Grid[#Data],$DD1025,70),0)</f>
        <v/>
      </c>
      <c r="BU1025">
        <f>IFERROR(INDEX(PP_Grid[#Data],$DD1025,71),0)</f>
        <v/>
      </c>
      <c r="BV1025">
        <f>IFERROR(INDEX(PP_Grid[#Data],$DD1025,72),0)</f>
        <v/>
      </c>
      <c r="BW1025">
        <f>IFERROR(INDEX(PP_Grid[#Data],$DD1025,73),0)</f>
        <v/>
      </c>
      <c r="BX1025">
        <f>IFERROR(INDEX(PP_Grid[#Data],$DD1025,74),0)</f>
        <v/>
      </c>
      <c r="BY1025">
        <f>IFERROR(INDEX(PP_Grid[#Data],$DD1025,75),0)</f>
        <v/>
      </c>
      <c r="BZ1025">
        <f>IFERROR(INDEX(PP_Grid[#Data],$DD1025,76),0)</f>
        <v/>
      </c>
      <c r="CA1025">
        <f>IFERROR(INDEX(PP_Grid[#Data],$DD1025,77),0)</f>
        <v/>
      </c>
      <c r="CB1025">
        <f>IFERROR(INDEX(PP_Grid[#Data],$DD1025,78),0)</f>
        <v/>
      </c>
      <c r="CC1025">
        <f>IFERROR(INDEX(PP_Grid[#Data],$DD1025,79),0)</f>
        <v/>
      </c>
      <c r="CD1025">
        <f>IFERROR(INDEX(PP_Grid[#Data],$DD1025,80),0)</f>
        <v/>
      </c>
      <c r="CE1025">
        <f>IFERROR(INDEX(PP_Grid[#Data],$DD1025,81),0)</f>
        <v/>
      </c>
      <c r="CF1025">
        <f>IFERROR(INDEX(PP_Grid[#Data],$DD1025,82),0)</f>
        <v/>
      </c>
      <c r="CG1025">
        <f>IFERROR(INDEX(PP_Grid[#Data],$DD1025,83),0)</f>
        <v/>
      </c>
      <c r="CH1025">
        <f>IFERROR(INDEX(PP_Grid[#Data],$DD1025,84),0)</f>
        <v/>
      </c>
      <c r="CI1025">
        <f>IFERROR(INDEX(PP_Grid[#Data],$DD1025,85),0)</f>
        <v/>
      </c>
      <c r="CJ1025">
        <f>IFERROR(INDEX(PP_Grid[#Data],$DD1025,86),0)</f>
        <v/>
      </c>
      <c r="CK1025">
        <f>IFERROR(INDEX(PP_Grid[#Data],$DD1025,87),0)</f>
        <v/>
      </c>
      <c r="CL1025">
        <f>IFERROR(INDEX(PP_Grid[#Data],$DD1025,88),0)</f>
        <v/>
      </c>
      <c r="CM1025">
        <f>IFERROR(INDEX(PP_Grid[#Data],$DD1025,89),0)</f>
        <v/>
      </c>
      <c r="CN1025">
        <f>IFERROR(INDEX(PP_Grid[#Data],$DD1025,90),0)</f>
        <v/>
      </c>
      <c r="CO1025">
        <f>IFERROR(INDEX(PP_Grid[#Data],$DD1025,91),0)</f>
        <v/>
      </c>
      <c r="CP1025">
        <f>IFERROR(INDEX(PP_Grid[#Data],$DD1025,92),0)</f>
        <v/>
      </c>
      <c r="CQ1025">
        <f>IFERROR(INDEX(PP_Grid[#Data],$DD1025,93),0)</f>
        <v/>
      </c>
      <c r="CR1025">
        <f>IFERROR(INDEX(PP_Grid[#Data],$DD1025,94),0)</f>
        <v/>
      </c>
      <c r="CS1025">
        <f>IFERROR(INDEX(PP_Grid[#Data],$DD1025,95),0)</f>
        <v/>
      </c>
      <c r="CT1025">
        <f>IFERROR(INDEX(PP_Grid[#Data],$DD1025,96),0)</f>
        <v/>
      </c>
      <c r="CU1025">
        <f>IFERROR(INDEX(PP_Grid[#Data],$DD1025,97),0)</f>
        <v/>
      </c>
      <c r="CV1025">
        <f>IFERROR(INDEX(PP_Grid[#Data],$DD1025,98),0)</f>
        <v/>
      </c>
      <c r="CW1025">
        <f>IFERROR(INDEX(PP_Grid[#Data],$DD1025,99),0)</f>
        <v/>
      </c>
      <c r="CX1025">
        <f>IFERROR(INDEX(PP_Grid[#Data],$DD1025,100),0)</f>
        <v/>
      </c>
      <c r="CY1025">
        <f>IFERROR(INDEX(PP_Grid[#Data],$DD1025,101),0)</f>
        <v/>
      </c>
      <c r="CZ1025">
        <f>IFERROR(INDEX(PP_Grid[#Data],$DD1025,102),0)</f>
        <v/>
      </c>
      <c r="DA1025">
        <f>IFERROR(INDEX(PP_Grid[#Data],$DD1025,103),0)</f>
        <v/>
      </c>
      <c r="DB1025">
        <f>IFERROR(INDEX(PP_Grid[#Data],$DD1025,104),0)</f>
        <v/>
      </c>
      <c r="DC1025">
        <f>IFERROR(INDEX(PP_Grid[#Data],$DD1025,105),0)</f>
        <v/>
      </c>
      <c r="DD1025" s="12">
        <f>IFERROR(MATCH($B1025,PP_Grid[Intermediate],0),99999)</f>
        <v/>
      </c>
    </row>
    <row r="1026">
      <c r="B1026" t="inlineStr">
        <is>
          <t>使用量(kg)</t>
        </is>
      </c>
      <c r="C1026">
        <f>SUMIFS(M_BOM[RM_Qty_Per_Batch],M_BOM[Intermediate],$B1025,M_BOM[Part Name],$A988)</f>
        <v/>
      </c>
      <c r="D1026">
        <f>$C1026*D1025</f>
        <v/>
      </c>
      <c r="E1026">
        <f>$C1026*E1025</f>
        <v/>
      </c>
      <c r="F1026">
        <f>$C1026*F1025</f>
        <v/>
      </c>
      <c r="G1026">
        <f>$C1026*G1025</f>
        <v/>
      </c>
      <c r="H1026">
        <f>$C1026*H1025</f>
        <v/>
      </c>
      <c r="I1026">
        <f>$C1026*I1025</f>
        <v/>
      </c>
      <c r="J1026">
        <f>$C1026*J1025</f>
        <v/>
      </c>
      <c r="K1026">
        <f>$C1026*K1025</f>
        <v/>
      </c>
      <c r="L1026">
        <f>$C1026*L1025</f>
        <v/>
      </c>
      <c r="M1026">
        <f>$C1026*M1025</f>
        <v/>
      </c>
      <c r="N1026">
        <f>$C1026*N1025</f>
        <v/>
      </c>
      <c r="O1026">
        <f>$C1026*O1025</f>
        <v/>
      </c>
      <c r="P1026">
        <f>$C1026*P1025</f>
        <v/>
      </c>
      <c r="Q1026">
        <f>$C1026*Q1025</f>
        <v/>
      </c>
      <c r="R1026">
        <f>$C1026*R1025</f>
        <v/>
      </c>
      <c r="S1026">
        <f>$C1026*S1025</f>
        <v/>
      </c>
      <c r="T1026">
        <f>$C1026*T1025</f>
        <v/>
      </c>
      <c r="U1026">
        <f>$C1026*U1025</f>
        <v/>
      </c>
      <c r="V1026">
        <f>$C1026*V1025</f>
        <v/>
      </c>
      <c r="W1026">
        <f>$C1026*W1025</f>
        <v/>
      </c>
      <c r="X1026">
        <f>$C1026*X1025</f>
        <v/>
      </c>
      <c r="Y1026">
        <f>$C1026*Y1025</f>
        <v/>
      </c>
      <c r="Z1026">
        <f>$C1026*Z1025</f>
        <v/>
      </c>
      <c r="AA1026">
        <f>$C1026*AA1025</f>
        <v/>
      </c>
      <c r="AB1026">
        <f>$C1026*AB1025</f>
        <v/>
      </c>
      <c r="AC1026">
        <f>$C1026*AC1025</f>
        <v/>
      </c>
      <c r="AD1026">
        <f>$C1026*AD1025</f>
        <v/>
      </c>
      <c r="AE1026">
        <f>$C1026*AE1025</f>
        <v/>
      </c>
      <c r="AF1026">
        <f>$C1026*AF1025</f>
        <v/>
      </c>
      <c r="AG1026">
        <f>$C1026*AG1025</f>
        <v/>
      </c>
      <c r="AH1026">
        <f>$C1026*AH1025</f>
        <v/>
      </c>
      <c r="AI1026">
        <f>$C1026*AI1025</f>
        <v/>
      </c>
      <c r="AJ1026">
        <f>$C1026*AJ1025</f>
        <v/>
      </c>
      <c r="AK1026">
        <f>$C1026*AK1025</f>
        <v/>
      </c>
      <c r="AL1026">
        <f>$C1026*AL1025</f>
        <v/>
      </c>
      <c r="AM1026">
        <f>$C1026*AM1025</f>
        <v/>
      </c>
      <c r="AN1026">
        <f>$C1026*AN1025</f>
        <v/>
      </c>
      <c r="AO1026">
        <f>$C1026*AO1025</f>
        <v/>
      </c>
      <c r="AP1026">
        <f>$C1026*AP1025</f>
        <v/>
      </c>
      <c r="AQ1026">
        <f>$C1026*AQ1025</f>
        <v/>
      </c>
      <c r="AR1026">
        <f>$C1026*AR1025</f>
        <v/>
      </c>
      <c r="AS1026">
        <f>$C1026*AS1025</f>
        <v/>
      </c>
      <c r="AT1026">
        <f>$C1026*AT1025</f>
        <v/>
      </c>
      <c r="AU1026">
        <f>$C1026*AU1025</f>
        <v/>
      </c>
      <c r="AV1026">
        <f>$C1026*AV1025</f>
        <v/>
      </c>
      <c r="AW1026">
        <f>$C1026*AW1025</f>
        <v/>
      </c>
      <c r="AX1026">
        <f>$C1026*AX1025</f>
        <v/>
      </c>
      <c r="AY1026">
        <f>$C1026*AY1025</f>
        <v/>
      </c>
      <c r="AZ1026">
        <f>$C1026*AZ1025</f>
        <v/>
      </c>
      <c r="BA1026">
        <f>$C1026*BA1025</f>
        <v/>
      </c>
      <c r="BB1026">
        <f>$C1026*BB1025</f>
        <v/>
      </c>
      <c r="BC1026">
        <f>$C1026*BC1025</f>
        <v/>
      </c>
      <c r="BD1026">
        <f>$C1026*BD1025</f>
        <v/>
      </c>
      <c r="BE1026">
        <f>$C1026*BE1025</f>
        <v/>
      </c>
      <c r="BF1026">
        <f>$C1026*BF1025</f>
        <v/>
      </c>
      <c r="BG1026">
        <f>$C1026*BG1025</f>
        <v/>
      </c>
      <c r="BH1026">
        <f>$C1026*BH1025</f>
        <v/>
      </c>
      <c r="BI1026">
        <f>$C1026*BI1025</f>
        <v/>
      </c>
      <c r="BJ1026">
        <f>$C1026*BJ1025</f>
        <v/>
      </c>
      <c r="BK1026">
        <f>$C1026*BK1025</f>
        <v/>
      </c>
      <c r="BL1026">
        <f>$C1026*BL1025</f>
        <v/>
      </c>
      <c r="BM1026">
        <f>$C1026*BM1025</f>
        <v/>
      </c>
      <c r="BN1026">
        <f>$C1026*BN1025</f>
        <v/>
      </c>
      <c r="BO1026">
        <f>$C1026*BO1025</f>
        <v/>
      </c>
      <c r="BP1026">
        <f>$C1026*BP1025</f>
        <v/>
      </c>
      <c r="BQ1026">
        <f>$C1026*BQ1025</f>
        <v/>
      </c>
      <c r="BR1026">
        <f>$C1026*BR1025</f>
        <v/>
      </c>
      <c r="BS1026">
        <f>$C1026*BS1025</f>
        <v/>
      </c>
      <c r="BT1026">
        <f>$C1026*BT1025</f>
        <v/>
      </c>
      <c r="BU1026">
        <f>$C1026*BU1025</f>
        <v/>
      </c>
      <c r="BV1026">
        <f>$C1026*BV1025</f>
        <v/>
      </c>
      <c r="BW1026">
        <f>$C1026*BW1025</f>
        <v/>
      </c>
      <c r="BX1026">
        <f>$C1026*BX1025</f>
        <v/>
      </c>
      <c r="BY1026">
        <f>$C1026*BY1025</f>
        <v/>
      </c>
      <c r="BZ1026">
        <f>$C1026*BZ1025</f>
        <v/>
      </c>
      <c r="CA1026">
        <f>$C1026*CA1025</f>
        <v/>
      </c>
      <c r="CB1026">
        <f>$C1026*CB1025</f>
        <v/>
      </c>
      <c r="CC1026">
        <f>$C1026*CC1025</f>
        <v/>
      </c>
      <c r="CD1026">
        <f>$C1026*CD1025</f>
        <v/>
      </c>
      <c r="CE1026">
        <f>$C1026*CE1025</f>
        <v/>
      </c>
      <c r="CF1026">
        <f>$C1026*CF1025</f>
        <v/>
      </c>
      <c r="CG1026">
        <f>$C1026*CG1025</f>
        <v/>
      </c>
      <c r="CH1026">
        <f>$C1026*CH1025</f>
        <v/>
      </c>
      <c r="CI1026">
        <f>$C1026*CI1025</f>
        <v/>
      </c>
      <c r="CJ1026">
        <f>$C1026*CJ1025</f>
        <v/>
      </c>
      <c r="CK1026">
        <f>$C1026*CK1025</f>
        <v/>
      </c>
      <c r="CL1026">
        <f>$C1026*CL1025</f>
        <v/>
      </c>
      <c r="CM1026">
        <f>$C1026*CM1025</f>
        <v/>
      </c>
      <c r="CN1026">
        <f>$C1026*CN1025</f>
        <v/>
      </c>
      <c r="CO1026">
        <f>$C1026*CO1025</f>
        <v/>
      </c>
      <c r="CP1026">
        <f>$C1026*CP1025</f>
        <v/>
      </c>
      <c r="CQ1026">
        <f>$C1026*CQ1025</f>
        <v/>
      </c>
      <c r="CR1026">
        <f>$C1026*CR1025</f>
        <v/>
      </c>
      <c r="CS1026">
        <f>$C1026*CS1025</f>
        <v/>
      </c>
      <c r="CT1026">
        <f>$C1026*CT1025</f>
        <v/>
      </c>
      <c r="CU1026">
        <f>$C1026*CU1025</f>
        <v/>
      </c>
      <c r="CV1026">
        <f>$C1026*CV1025</f>
        <v/>
      </c>
      <c r="CW1026">
        <f>$C1026*CW1025</f>
        <v/>
      </c>
      <c r="CX1026">
        <f>$C1026*CX1025</f>
        <v/>
      </c>
      <c r="CY1026">
        <f>$C1026*CY1025</f>
        <v/>
      </c>
      <c r="CZ1026">
        <f>$C1026*CZ1025</f>
        <v/>
      </c>
      <c r="DA1026">
        <f>$C1026*DA1025</f>
        <v/>
      </c>
      <c r="DB1026">
        <f>$C1026*DB1025</f>
        <v/>
      </c>
      <c r="DC1026">
        <f>$C1026*DC1025</f>
        <v/>
      </c>
    </row>
    <row r="1027">
      <c r="B1027" t="inlineStr">
        <is>
          <t>TSP-936</t>
        </is>
      </c>
      <c r="C1027" t="inlineStr">
        <is>
          <t>No. of batches</t>
        </is>
      </c>
      <c r="D1027">
        <f>IFERROR(INDEX(PP_Grid[#Data],$DD1027,2),0)</f>
        <v/>
      </c>
      <c r="E1027">
        <f>IFERROR(INDEX(PP_Grid[#Data],$DD1027,3),0)</f>
        <v/>
      </c>
      <c r="F1027">
        <f>IFERROR(INDEX(PP_Grid[#Data],$DD1027,4),0)</f>
        <v/>
      </c>
      <c r="G1027">
        <f>IFERROR(INDEX(PP_Grid[#Data],$DD1027,5),0)</f>
        <v/>
      </c>
      <c r="H1027">
        <f>IFERROR(INDEX(PP_Grid[#Data],$DD1027,6),0)</f>
        <v/>
      </c>
      <c r="I1027">
        <f>IFERROR(INDEX(PP_Grid[#Data],$DD1027,7),0)</f>
        <v/>
      </c>
      <c r="J1027">
        <f>IFERROR(INDEX(PP_Grid[#Data],$DD1027,8),0)</f>
        <v/>
      </c>
      <c r="K1027">
        <f>IFERROR(INDEX(PP_Grid[#Data],$DD1027,9),0)</f>
        <v/>
      </c>
      <c r="L1027">
        <f>IFERROR(INDEX(PP_Grid[#Data],$DD1027,10),0)</f>
        <v/>
      </c>
      <c r="M1027">
        <f>IFERROR(INDEX(PP_Grid[#Data],$DD1027,11),0)</f>
        <v/>
      </c>
      <c r="N1027">
        <f>IFERROR(INDEX(PP_Grid[#Data],$DD1027,12),0)</f>
        <v/>
      </c>
      <c r="O1027">
        <f>IFERROR(INDEX(PP_Grid[#Data],$DD1027,13),0)</f>
        <v/>
      </c>
      <c r="P1027">
        <f>IFERROR(INDEX(PP_Grid[#Data],$DD1027,14),0)</f>
        <v/>
      </c>
      <c r="Q1027">
        <f>IFERROR(INDEX(PP_Grid[#Data],$DD1027,15),0)</f>
        <v/>
      </c>
      <c r="R1027">
        <f>IFERROR(INDEX(PP_Grid[#Data],$DD1027,16),0)</f>
        <v/>
      </c>
      <c r="S1027">
        <f>IFERROR(INDEX(PP_Grid[#Data],$DD1027,17),0)</f>
        <v/>
      </c>
      <c r="T1027">
        <f>IFERROR(INDEX(PP_Grid[#Data],$DD1027,18),0)</f>
        <v/>
      </c>
      <c r="U1027">
        <f>IFERROR(INDEX(PP_Grid[#Data],$DD1027,19),0)</f>
        <v/>
      </c>
      <c r="V1027">
        <f>IFERROR(INDEX(PP_Grid[#Data],$DD1027,20),0)</f>
        <v/>
      </c>
      <c r="W1027">
        <f>IFERROR(INDEX(PP_Grid[#Data],$DD1027,21),0)</f>
        <v/>
      </c>
      <c r="X1027">
        <f>IFERROR(INDEX(PP_Grid[#Data],$DD1027,22),0)</f>
        <v/>
      </c>
      <c r="Y1027">
        <f>IFERROR(INDEX(PP_Grid[#Data],$DD1027,23),0)</f>
        <v/>
      </c>
      <c r="Z1027">
        <f>IFERROR(INDEX(PP_Grid[#Data],$DD1027,24),0)</f>
        <v/>
      </c>
      <c r="AA1027">
        <f>IFERROR(INDEX(PP_Grid[#Data],$DD1027,25),0)</f>
        <v/>
      </c>
      <c r="AB1027">
        <f>IFERROR(INDEX(PP_Grid[#Data],$DD1027,26),0)</f>
        <v/>
      </c>
      <c r="AC1027">
        <f>IFERROR(INDEX(PP_Grid[#Data],$DD1027,27),0)</f>
        <v/>
      </c>
      <c r="AD1027">
        <f>IFERROR(INDEX(PP_Grid[#Data],$DD1027,28),0)</f>
        <v/>
      </c>
      <c r="AE1027">
        <f>IFERROR(INDEX(PP_Grid[#Data],$DD1027,29),0)</f>
        <v/>
      </c>
      <c r="AF1027">
        <f>IFERROR(INDEX(PP_Grid[#Data],$DD1027,30),0)</f>
        <v/>
      </c>
      <c r="AG1027">
        <f>IFERROR(INDEX(PP_Grid[#Data],$DD1027,31),0)</f>
        <v/>
      </c>
      <c r="AH1027">
        <f>IFERROR(INDEX(PP_Grid[#Data],$DD1027,32),0)</f>
        <v/>
      </c>
      <c r="AI1027">
        <f>IFERROR(INDEX(PP_Grid[#Data],$DD1027,33),0)</f>
        <v/>
      </c>
      <c r="AJ1027">
        <f>IFERROR(INDEX(PP_Grid[#Data],$DD1027,34),0)</f>
        <v/>
      </c>
      <c r="AK1027">
        <f>IFERROR(INDEX(PP_Grid[#Data],$DD1027,35),0)</f>
        <v/>
      </c>
      <c r="AL1027">
        <f>IFERROR(INDEX(PP_Grid[#Data],$DD1027,36),0)</f>
        <v/>
      </c>
      <c r="AM1027">
        <f>IFERROR(INDEX(PP_Grid[#Data],$DD1027,37),0)</f>
        <v/>
      </c>
      <c r="AN1027">
        <f>IFERROR(INDEX(PP_Grid[#Data],$DD1027,38),0)</f>
        <v/>
      </c>
      <c r="AO1027">
        <f>IFERROR(INDEX(PP_Grid[#Data],$DD1027,39),0)</f>
        <v/>
      </c>
      <c r="AP1027">
        <f>IFERROR(INDEX(PP_Grid[#Data],$DD1027,40),0)</f>
        <v/>
      </c>
      <c r="AQ1027">
        <f>IFERROR(INDEX(PP_Grid[#Data],$DD1027,41),0)</f>
        <v/>
      </c>
      <c r="AR1027">
        <f>IFERROR(INDEX(PP_Grid[#Data],$DD1027,42),0)</f>
        <v/>
      </c>
      <c r="AS1027">
        <f>IFERROR(INDEX(PP_Grid[#Data],$DD1027,43),0)</f>
        <v/>
      </c>
      <c r="AT1027">
        <f>IFERROR(INDEX(PP_Grid[#Data],$DD1027,44),0)</f>
        <v/>
      </c>
      <c r="AU1027">
        <f>IFERROR(INDEX(PP_Grid[#Data],$DD1027,45),0)</f>
        <v/>
      </c>
      <c r="AV1027">
        <f>IFERROR(INDEX(PP_Grid[#Data],$DD1027,46),0)</f>
        <v/>
      </c>
      <c r="AW1027">
        <f>IFERROR(INDEX(PP_Grid[#Data],$DD1027,47),0)</f>
        <v/>
      </c>
      <c r="AX1027">
        <f>IFERROR(INDEX(PP_Grid[#Data],$DD1027,48),0)</f>
        <v/>
      </c>
      <c r="AY1027">
        <f>IFERROR(INDEX(PP_Grid[#Data],$DD1027,49),0)</f>
        <v/>
      </c>
      <c r="AZ1027">
        <f>IFERROR(INDEX(PP_Grid[#Data],$DD1027,50),0)</f>
        <v/>
      </c>
      <c r="BA1027">
        <f>IFERROR(INDEX(PP_Grid[#Data],$DD1027,51),0)</f>
        <v/>
      </c>
      <c r="BB1027">
        <f>IFERROR(INDEX(PP_Grid[#Data],$DD1027,52),0)</f>
        <v/>
      </c>
      <c r="BC1027">
        <f>IFERROR(INDEX(PP_Grid[#Data],$DD1027,53),0)</f>
        <v/>
      </c>
      <c r="BD1027">
        <f>IFERROR(INDEX(PP_Grid[#Data],$DD1027,54),0)</f>
        <v/>
      </c>
      <c r="BE1027">
        <f>IFERROR(INDEX(PP_Grid[#Data],$DD1027,55),0)</f>
        <v/>
      </c>
      <c r="BF1027">
        <f>IFERROR(INDEX(PP_Grid[#Data],$DD1027,56),0)</f>
        <v/>
      </c>
      <c r="BG1027">
        <f>IFERROR(INDEX(PP_Grid[#Data],$DD1027,57),0)</f>
        <v/>
      </c>
      <c r="BH1027">
        <f>IFERROR(INDEX(PP_Grid[#Data],$DD1027,58),0)</f>
        <v/>
      </c>
      <c r="BI1027">
        <f>IFERROR(INDEX(PP_Grid[#Data],$DD1027,59),0)</f>
        <v/>
      </c>
      <c r="BJ1027">
        <f>IFERROR(INDEX(PP_Grid[#Data],$DD1027,60),0)</f>
        <v/>
      </c>
      <c r="BK1027">
        <f>IFERROR(INDEX(PP_Grid[#Data],$DD1027,61),0)</f>
        <v/>
      </c>
      <c r="BL1027">
        <f>IFERROR(INDEX(PP_Grid[#Data],$DD1027,62),0)</f>
        <v/>
      </c>
      <c r="BM1027">
        <f>IFERROR(INDEX(PP_Grid[#Data],$DD1027,63),0)</f>
        <v/>
      </c>
      <c r="BN1027">
        <f>IFERROR(INDEX(PP_Grid[#Data],$DD1027,64),0)</f>
        <v/>
      </c>
      <c r="BO1027">
        <f>IFERROR(INDEX(PP_Grid[#Data],$DD1027,65),0)</f>
        <v/>
      </c>
      <c r="BP1027">
        <f>IFERROR(INDEX(PP_Grid[#Data],$DD1027,66),0)</f>
        <v/>
      </c>
      <c r="BQ1027">
        <f>IFERROR(INDEX(PP_Grid[#Data],$DD1027,67),0)</f>
        <v/>
      </c>
      <c r="BR1027">
        <f>IFERROR(INDEX(PP_Grid[#Data],$DD1027,68),0)</f>
        <v/>
      </c>
      <c r="BS1027">
        <f>IFERROR(INDEX(PP_Grid[#Data],$DD1027,69),0)</f>
        <v/>
      </c>
      <c r="BT1027">
        <f>IFERROR(INDEX(PP_Grid[#Data],$DD1027,70),0)</f>
        <v/>
      </c>
      <c r="BU1027">
        <f>IFERROR(INDEX(PP_Grid[#Data],$DD1027,71),0)</f>
        <v/>
      </c>
      <c r="BV1027">
        <f>IFERROR(INDEX(PP_Grid[#Data],$DD1027,72),0)</f>
        <v/>
      </c>
      <c r="BW1027">
        <f>IFERROR(INDEX(PP_Grid[#Data],$DD1027,73),0)</f>
        <v/>
      </c>
      <c r="BX1027">
        <f>IFERROR(INDEX(PP_Grid[#Data],$DD1027,74),0)</f>
        <v/>
      </c>
      <c r="BY1027">
        <f>IFERROR(INDEX(PP_Grid[#Data],$DD1027,75),0)</f>
        <v/>
      </c>
      <c r="BZ1027">
        <f>IFERROR(INDEX(PP_Grid[#Data],$DD1027,76),0)</f>
        <v/>
      </c>
      <c r="CA1027">
        <f>IFERROR(INDEX(PP_Grid[#Data],$DD1027,77),0)</f>
        <v/>
      </c>
      <c r="CB1027">
        <f>IFERROR(INDEX(PP_Grid[#Data],$DD1027,78),0)</f>
        <v/>
      </c>
      <c r="CC1027">
        <f>IFERROR(INDEX(PP_Grid[#Data],$DD1027,79),0)</f>
        <v/>
      </c>
      <c r="CD1027">
        <f>IFERROR(INDEX(PP_Grid[#Data],$DD1027,80),0)</f>
        <v/>
      </c>
      <c r="CE1027">
        <f>IFERROR(INDEX(PP_Grid[#Data],$DD1027,81),0)</f>
        <v/>
      </c>
      <c r="CF1027">
        <f>IFERROR(INDEX(PP_Grid[#Data],$DD1027,82),0)</f>
        <v/>
      </c>
      <c r="CG1027">
        <f>IFERROR(INDEX(PP_Grid[#Data],$DD1027,83),0)</f>
        <v/>
      </c>
      <c r="CH1027">
        <f>IFERROR(INDEX(PP_Grid[#Data],$DD1027,84),0)</f>
        <v/>
      </c>
      <c r="CI1027">
        <f>IFERROR(INDEX(PP_Grid[#Data],$DD1027,85),0)</f>
        <v/>
      </c>
      <c r="CJ1027">
        <f>IFERROR(INDEX(PP_Grid[#Data],$DD1027,86),0)</f>
        <v/>
      </c>
      <c r="CK1027">
        <f>IFERROR(INDEX(PP_Grid[#Data],$DD1027,87),0)</f>
        <v/>
      </c>
      <c r="CL1027">
        <f>IFERROR(INDEX(PP_Grid[#Data],$DD1027,88),0)</f>
        <v/>
      </c>
      <c r="CM1027">
        <f>IFERROR(INDEX(PP_Grid[#Data],$DD1027,89),0)</f>
        <v/>
      </c>
      <c r="CN1027">
        <f>IFERROR(INDEX(PP_Grid[#Data],$DD1027,90),0)</f>
        <v/>
      </c>
      <c r="CO1027">
        <f>IFERROR(INDEX(PP_Grid[#Data],$DD1027,91),0)</f>
        <v/>
      </c>
      <c r="CP1027">
        <f>IFERROR(INDEX(PP_Grid[#Data],$DD1027,92),0)</f>
        <v/>
      </c>
      <c r="CQ1027">
        <f>IFERROR(INDEX(PP_Grid[#Data],$DD1027,93),0)</f>
        <v/>
      </c>
      <c r="CR1027">
        <f>IFERROR(INDEX(PP_Grid[#Data],$DD1027,94),0)</f>
        <v/>
      </c>
      <c r="CS1027">
        <f>IFERROR(INDEX(PP_Grid[#Data],$DD1027,95),0)</f>
        <v/>
      </c>
      <c r="CT1027">
        <f>IFERROR(INDEX(PP_Grid[#Data],$DD1027,96),0)</f>
        <v/>
      </c>
      <c r="CU1027">
        <f>IFERROR(INDEX(PP_Grid[#Data],$DD1027,97),0)</f>
        <v/>
      </c>
      <c r="CV1027">
        <f>IFERROR(INDEX(PP_Grid[#Data],$DD1027,98),0)</f>
        <v/>
      </c>
      <c r="CW1027">
        <f>IFERROR(INDEX(PP_Grid[#Data],$DD1027,99),0)</f>
        <v/>
      </c>
      <c r="CX1027">
        <f>IFERROR(INDEX(PP_Grid[#Data],$DD1027,100),0)</f>
        <v/>
      </c>
      <c r="CY1027">
        <f>IFERROR(INDEX(PP_Grid[#Data],$DD1027,101),0)</f>
        <v/>
      </c>
      <c r="CZ1027">
        <f>IFERROR(INDEX(PP_Grid[#Data],$DD1027,102),0)</f>
        <v/>
      </c>
      <c r="DA1027">
        <f>IFERROR(INDEX(PP_Grid[#Data],$DD1027,103),0)</f>
        <v/>
      </c>
      <c r="DB1027">
        <f>IFERROR(INDEX(PP_Grid[#Data],$DD1027,104),0)</f>
        <v/>
      </c>
      <c r="DC1027">
        <f>IFERROR(INDEX(PP_Grid[#Data],$DD1027,105),0)</f>
        <v/>
      </c>
      <c r="DD1027" s="12">
        <f>IFERROR(MATCH($B1027,PP_Grid[Intermediate],0),99999)</f>
        <v/>
      </c>
    </row>
    <row r="1028">
      <c r="B1028" t="inlineStr">
        <is>
          <t>使用量(kg)</t>
        </is>
      </c>
      <c r="C1028">
        <f>SUMIFS(M_BOM[RM_Qty_Per_Batch],M_BOM[Intermediate],$B1027,M_BOM[Part Name],$A988)</f>
        <v/>
      </c>
      <c r="D1028">
        <f>$C1028*D1027</f>
        <v/>
      </c>
      <c r="E1028">
        <f>$C1028*E1027</f>
        <v/>
      </c>
      <c r="F1028">
        <f>$C1028*F1027</f>
        <v/>
      </c>
      <c r="G1028">
        <f>$C1028*G1027</f>
        <v/>
      </c>
      <c r="H1028">
        <f>$C1028*H1027</f>
        <v/>
      </c>
      <c r="I1028">
        <f>$C1028*I1027</f>
        <v/>
      </c>
      <c r="J1028">
        <f>$C1028*J1027</f>
        <v/>
      </c>
      <c r="K1028">
        <f>$C1028*K1027</f>
        <v/>
      </c>
      <c r="L1028">
        <f>$C1028*L1027</f>
        <v/>
      </c>
      <c r="M1028">
        <f>$C1028*M1027</f>
        <v/>
      </c>
      <c r="N1028">
        <f>$C1028*N1027</f>
        <v/>
      </c>
      <c r="O1028">
        <f>$C1028*O1027</f>
        <v/>
      </c>
      <c r="P1028">
        <f>$C1028*P1027</f>
        <v/>
      </c>
      <c r="Q1028">
        <f>$C1028*Q1027</f>
        <v/>
      </c>
      <c r="R1028">
        <f>$C1028*R1027</f>
        <v/>
      </c>
      <c r="S1028">
        <f>$C1028*S1027</f>
        <v/>
      </c>
      <c r="T1028">
        <f>$C1028*T1027</f>
        <v/>
      </c>
      <c r="U1028">
        <f>$C1028*U1027</f>
        <v/>
      </c>
      <c r="V1028">
        <f>$C1028*V1027</f>
        <v/>
      </c>
      <c r="W1028">
        <f>$C1028*W1027</f>
        <v/>
      </c>
      <c r="X1028">
        <f>$C1028*X1027</f>
        <v/>
      </c>
      <c r="Y1028">
        <f>$C1028*Y1027</f>
        <v/>
      </c>
      <c r="Z1028">
        <f>$C1028*Z1027</f>
        <v/>
      </c>
      <c r="AA1028">
        <f>$C1028*AA1027</f>
        <v/>
      </c>
      <c r="AB1028">
        <f>$C1028*AB1027</f>
        <v/>
      </c>
      <c r="AC1028">
        <f>$C1028*AC1027</f>
        <v/>
      </c>
      <c r="AD1028">
        <f>$C1028*AD1027</f>
        <v/>
      </c>
      <c r="AE1028">
        <f>$C1028*AE1027</f>
        <v/>
      </c>
      <c r="AF1028">
        <f>$C1028*AF1027</f>
        <v/>
      </c>
      <c r="AG1028">
        <f>$C1028*AG1027</f>
        <v/>
      </c>
      <c r="AH1028">
        <f>$C1028*AH1027</f>
        <v/>
      </c>
      <c r="AI1028">
        <f>$C1028*AI1027</f>
        <v/>
      </c>
      <c r="AJ1028">
        <f>$C1028*AJ1027</f>
        <v/>
      </c>
      <c r="AK1028">
        <f>$C1028*AK1027</f>
        <v/>
      </c>
      <c r="AL1028">
        <f>$C1028*AL1027</f>
        <v/>
      </c>
      <c r="AM1028">
        <f>$C1028*AM1027</f>
        <v/>
      </c>
      <c r="AN1028">
        <f>$C1028*AN1027</f>
        <v/>
      </c>
      <c r="AO1028">
        <f>$C1028*AO1027</f>
        <v/>
      </c>
      <c r="AP1028">
        <f>$C1028*AP1027</f>
        <v/>
      </c>
      <c r="AQ1028">
        <f>$C1028*AQ1027</f>
        <v/>
      </c>
      <c r="AR1028">
        <f>$C1028*AR1027</f>
        <v/>
      </c>
      <c r="AS1028">
        <f>$C1028*AS1027</f>
        <v/>
      </c>
      <c r="AT1028">
        <f>$C1028*AT1027</f>
        <v/>
      </c>
      <c r="AU1028">
        <f>$C1028*AU1027</f>
        <v/>
      </c>
      <c r="AV1028">
        <f>$C1028*AV1027</f>
        <v/>
      </c>
      <c r="AW1028">
        <f>$C1028*AW1027</f>
        <v/>
      </c>
      <c r="AX1028">
        <f>$C1028*AX1027</f>
        <v/>
      </c>
      <c r="AY1028">
        <f>$C1028*AY1027</f>
        <v/>
      </c>
      <c r="AZ1028">
        <f>$C1028*AZ1027</f>
        <v/>
      </c>
      <c r="BA1028">
        <f>$C1028*BA1027</f>
        <v/>
      </c>
      <c r="BB1028">
        <f>$C1028*BB1027</f>
        <v/>
      </c>
      <c r="BC1028">
        <f>$C1028*BC1027</f>
        <v/>
      </c>
      <c r="BD1028">
        <f>$C1028*BD1027</f>
        <v/>
      </c>
      <c r="BE1028">
        <f>$C1028*BE1027</f>
        <v/>
      </c>
      <c r="BF1028">
        <f>$C1028*BF1027</f>
        <v/>
      </c>
      <c r="BG1028">
        <f>$C1028*BG1027</f>
        <v/>
      </c>
      <c r="BH1028">
        <f>$C1028*BH1027</f>
        <v/>
      </c>
      <c r="BI1028">
        <f>$C1028*BI1027</f>
        <v/>
      </c>
      <c r="BJ1028">
        <f>$C1028*BJ1027</f>
        <v/>
      </c>
      <c r="BK1028">
        <f>$C1028*BK1027</f>
        <v/>
      </c>
      <c r="BL1028">
        <f>$C1028*BL1027</f>
        <v/>
      </c>
      <c r="BM1028">
        <f>$C1028*BM1027</f>
        <v/>
      </c>
      <c r="BN1028">
        <f>$C1028*BN1027</f>
        <v/>
      </c>
      <c r="BO1028">
        <f>$C1028*BO1027</f>
        <v/>
      </c>
      <c r="BP1028">
        <f>$C1028*BP1027</f>
        <v/>
      </c>
      <c r="BQ1028">
        <f>$C1028*BQ1027</f>
        <v/>
      </c>
      <c r="BR1028">
        <f>$C1028*BR1027</f>
        <v/>
      </c>
      <c r="BS1028">
        <f>$C1028*BS1027</f>
        <v/>
      </c>
      <c r="BT1028">
        <f>$C1028*BT1027</f>
        <v/>
      </c>
      <c r="BU1028">
        <f>$C1028*BU1027</f>
        <v/>
      </c>
      <c r="BV1028">
        <f>$C1028*BV1027</f>
        <v/>
      </c>
      <c r="BW1028">
        <f>$C1028*BW1027</f>
        <v/>
      </c>
      <c r="BX1028">
        <f>$C1028*BX1027</f>
        <v/>
      </c>
      <c r="BY1028">
        <f>$C1028*BY1027</f>
        <v/>
      </c>
      <c r="BZ1028">
        <f>$C1028*BZ1027</f>
        <v/>
      </c>
      <c r="CA1028">
        <f>$C1028*CA1027</f>
        <v/>
      </c>
      <c r="CB1028">
        <f>$C1028*CB1027</f>
        <v/>
      </c>
      <c r="CC1028">
        <f>$C1028*CC1027</f>
        <v/>
      </c>
      <c r="CD1028">
        <f>$C1028*CD1027</f>
        <v/>
      </c>
      <c r="CE1028">
        <f>$C1028*CE1027</f>
        <v/>
      </c>
      <c r="CF1028">
        <f>$C1028*CF1027</f>
        <v/>
      </c>
      <c r="CG1028">
        <f>$C1028*CG1027</f>
        <v/>
      </c>
      <c r="CH1028">
        <f>$C1028*CH1027</f>
        <v/>
      </c>
      <c r="CI1028">
        <f>$C1028*CI1027</f>
        <v/>
      </c>
      <c r="CJ1028">
        <f>$C1028*CJ1027</f>
        <v/>
      </c>
      <c r="CK1028">
        <f>$C1028*CK1027</f>
        <v/>
      </c>
      <c r="CL1028">
        <f>$C1028*CL1027</f>
        <v/>
      </c>
      <c r="CM1028">
        <f>$C1028*CM1027</f>
        <v/>
      </c>
      <c r="CN1028">
        <f>$C1028*CN1027</f>
        <v/>
      </c>
      <c r="CO1028">
        <f>$C1028*CO1027</f>
        <v/>
      </c>
      <c r="CP1028">
        <f>$C1028*CP1027</f>
        <v/>
      </c>
      <c r="CQ1028">
        <f>$C1028*CQ1027</f>
        <v/>
      </c>
      <c r="CR1028">
        <f>$C1028*CR1027</f>
        <v/>
      </c>
      <c r="CS1028">
        <f>$C1028*CS1027</f>
        <v/>
      </c>
      <c r="CT1028">
        <f>$C1028*CT1027</f>
        <v/>
      </c>
      <c r="CU1028">
        <f>$C1028*CU1027</f>
        <v/>
      </c>
      <c r="CV1028">
        <f>$C1028*CV1027</f>
        <v/>
      </c>
      <c r="CW1028">
        <f>$C1028*CW1027</f>
        <v/>
      </c>
      <c r="CX1028">
        <f>$C1028*CX1027</f>
        <v/>
      </c>
      <c r="CY1028">
        <f>$C1028*CY1027</f>
        <v/>
      </c>
      <c r="CZ1028">
        <f>$C1028*CZ1027</f>
        <v/>
      </c>
      <c r="DA1028">
        <f>$C1028*DA1027</f>
        <v/>
      </c>
      <c r="DB1028">
        <f>$C1028*DB1027</f>
        <v/>
      </c>
      <c r="DC1028">
        <f>$C1028*DC1027</f>
        <v/>
      </c>
    </row>
    <row r="1029">
      <c r="B1029" t="inlineStr">
        <is>
          <t>TSP-936</t>
        </is>
      </c>
      <c r="C1029" t="inlineStr">
        <is>
          <t>No. of batches</t>
        </is>
      </c>
      <c r="D1029">
        <f>IFERROR(INDEX(PP_Grid[#Data],$DD1029,2),0)</f>
        <v/>
      </c>
      <c r="E1029">
        <f>IFERROR(INDEX(PP_Grid[#Data],$DD1029,3),0)</f>
        <v/>
      </c>
      <c r="F1029">
        <f>IFERROR(INDEX(PP_Grid[#Data],$DD1029,4),0)</f>
        <v/>
      </c>
      <c r="G1029">
        <f>IFERROR(INDEX(PP_Grid[#Data],$DD1029,5),0)</f>
        <v/>
      </c>
      <c r="H1029">
        <f>IFERROR(INDEX(PP_Grid[#Data],$DD1029,6),0)</f>
        <v/>
      </c>
      <c r="I1029">
        <f>IFERROR(INDEX(PP_Grid[#Data],$DD1029,7),0)</f>
        <v/>
      </c>
      <c r="J1029">
        <f>IFERROR(INDEX(PP_Grid[#Data],$DD1029,8),0)</f>
        <v/>
      </c>
      <c r="K1029">
        <f>IFERROR(INDEX(PP_Grid[#Data],$DD1029,9),0)</f>
        <v/>
      </c>
      <c r="L1029">
        <f>IFERROR(INDEX(PP_Grid[#Data],$DD1029,10),0)</f>
        <v/>
      </c>
      <c r="M1029">
        <f>IFERROR(INDEX(PP_Grid[#Data],$DD1029,11),0)</f>
        <v/>
      </c>
      <c r="N1029">
        <f>IFERROR(INDEX(PP_Grid[#Data],$DD1029,12),0)</f>
        <v/>
      </c>
      <c r="O1029">
        <f>IFERROR(INDEX(PP_Grid[#Data],$DD1029,13),0)</f>
        <v/>
      </c>
      <c r="P1029">
        <f>IFERROR(INDEX(PP_Grid[#Data],$DD1029,14),0)</f>
        <v/>
      </c>
      <c r="Q1029">
        <f>IFERROR(INDEX(PP_Grid[#Data],$DD1029,15),0)</f>
        <v/>
      </c>
      <c r="R1029">
        <f>IFERROR(INDEX(PP_Grid[#Data],$DD1029,16),0)</f>
        <v/>
      </c>
      <c r="S1029">
        <f>IFERROR(INDEX(PP_Grid[#Data],$DD1029,17),0)</f>
        <v/>
      </c>
      <c r="T1029">
        <f>IFERROR(INDEX(PP_Grid[#Data],$DD1029,18),0)</f>
        <v/>
      </c>
      <c r="U1029">
        <f>IFERROR(INDEX(PP_Grid[#Data],$DD1029,19),0)</f>
        <v/>
      </c>
      <c r="V1029">
        <f>IFERROR(INDEX(PP_Grid[#Data],$DD1029,20),0)</f>
        <v/>
      </c>
      <c r="W1029">
        <f>IFERROR(INDEX(PP_Grid[#Data],$DD1029,21),0)</f>
        <v/>
      </c>
      <c r="X1029">
        <f>IFERROR(INDEX(PP_Grid[#Data],$DD1029,22),0)</f>
        <v/>
      </c>
      <c r="Y1029">
        <f>IFERROR(INDEX(PP_Grid[#Data],$DD1029,23),0)</f>
        <v/>
      </c>
      <c r="Z1029">
        <f>IFERROR(INDEX(PP_Grid[#Data],$DD1029,24),0)</f>
        <v/>
      </c>
      <c r="AA1029">
        <f>IFERROR(INDEX(PP_Grid[#Data],$DD1029,25),0)</f>
        <v/>
      </c>
      <c r="AB1029">
        <f>IFERROR(INDEX(PP_Grid[#Data],$DD1029,26),0)</f>
        <v/>
      </c>
      <c r="AC1029">
        <f>IFERROR(INDEX(PP_Grid[#Data],$DD1029,27),0)</f>
        <v/>
      </c>
      <c r="AD1029">
        <f>IFERROR(INDEX(PP_Grid[#Data],$DD1029,28),0)</f>
        <v/>
      </c>
      <c r="AE1029">
        <f>IFERROR(INDEX(PP_Grid[#Data],$DD1029,29),0)</f>
        <v/>
      </c>
      <c r="AF1029">
        <f>IFERROR(INDEX(PP_Grid[#Data],$DD1029,30),0)</f>
        <v/>
      </c>
      <c r="AG1029">
        <f>IFERROR(INDEX(PP_Grid[#Data],$DD1029,31),0)</f>
        <v/>
      </c>
      <c r="AH1029">
        <f>IFERROR(INDEX(PP_Grid[#Data],$DD1029,32),0)</f>
        <v/>
      </c>
      <c r="AI1029">
        <f>IFERROR(INDEX(PP_Grid[#Data],$DD1029,33),0)</f>
        <v/>
      </c>
      <c r="AJ1029">
        <f>IFERROR(INDEX(PP_Grid[#Data],$DD1029,34),0)</f>
        <v/>
      </c>
      <c r="AK1029">
        <f>IFERROR(INDEX(PP_Grid[#Data],$DD1029,35),0)</f>
        <v/>
      </c>
      <c r="AL1029">
        <f>IFERROR(INDEX(PP_Grid[#Data],$DD1029,36),0)</f>
        <v/>
      </c>
      <c r="AM1029">
        <f>IFERROR(INDEX(PP_Grid[#Data],$DD1029,37),0)</f>
        <v/>
      </c>
      <c r="AN1029">
        <f>IFERROR(INDEX(PP_Grid[#Data],$DD1029,38),0)</f>
        <v/>
      </c>
      <c r="AO1029">
        <f>IFERROR(INDEX(PP_Grid[#Data],$DD1029,39),0)</f>
        <v/>
      </c>
      <c r="AP1029">
        <f>IFERROR(INDEX(PP_Grid[#Data],$DD1029,40),0)</f>
        <v/>
      </c>
      <c r="AQ1029">
        <f>IFERROR(INDEX(PP_Grid[#Data],$DD1029,41),0)</f>
        <v/>
      </c>
      <c r="AR1029">
        <f>IFERROR(INDEX(PP_Grid[#Data],$DD1029,42),0)</f>
        <v/>
      </c>
      <c r="AS1029">
        <f>IFERROR(INDEX(PP_Grid[#Data],$DD1029,43),0)</f>
        <v/>
      </c>
      <c r="AT1029">
        <f>IFERROR(INDEX(PP_Grid[#Data],$DD1029,44),0)</f>
        <v/>
      </c>
      <c r="AU1029">
        <f>IFERROR(INDEX(PP_Grid[#Data],$DD1029,45),0)</f>
        <v/>
      </c>
      <c r="AV1029">
        <f>IFERROR(INDEX(PP_Grid[#Data],$DD1029,46),0)</f>
        <v/>
      </c>
      <c r="AW1029">
        <f>IFERROR(INDEX(PP_Grid[#Data],$DD1029,47),0)</f>
        <v/>
      </c>
      <c r="AX1029">
        <f>IFERROR(INDEX(PP_Grid[#Data],$DD1029,48),0)</f>
        <v/>
      </c>
      <c r="AY1029">
        <f>IFERROR(INDEX(PP_Grid[#Data],$DD1029,49),0)</f>
        <v/>
      </c>
      <c r="AZ1029">
        <f>IFERROR(INDEX(PP_Grid[#Data],$DD1029,50),0)</f>
        <v/>
      </c>
      <c r="BA1029">
        <f>IFERROR(INDEX(PP_Grid[#Data],$DD1029,51),0)</f>
        <v/>
      </c>
      <c r="BB1029">
        <f>IFERROR(INDEX(PP_Grid[#Data],$DD1029,52),0)</f>
        <v/>
      </c>
      <c r="BC1029">
        <f>IFERROR(INDEX(PP_Grid[#Data],$DD1029,53),0)</f>
        <v/>
      </c>
      <c r="BD1029">
        <f>IFERROR(INDEX(PP_Grid[#Data],$DD1029,54),0)</f>
        <v/>
      </c>
      <c r="BE1029">
        <f>IFERROR(INDEX(PP_Grid[#Data],$DD1029,55),0)</f>
        <v/>
      </c>
      <c r="BF1029">
        <f>IFERROR(INDEX(PP_Grid[#Data],$DD1029,56),0)</f>
        <v/>
      </c>
      <c r="BG1029">
        <f>IFERROR(INDEX(PP_Grid[#Data],$DD1029,57),0)</f>
        <v/>
      </c>
      <c r="BH1029">
        <f>IFERROR(INDEX(PP_Grid[#Data],$DD1029,58),0)</f>
        <v/>
      </c>
      <c r="BI1029">
        <f>IFERROR(INDEX(PP_Grid[#Data],$DD1029,59),0)</f>
        <v/>
      </c>
      <c r="BJ1029">
        <f>IFERROR(INDEX(PP_Grid[#Data],$DD1029,60),0)</f>
        <v/>
      </c>
      <c r="BK1029">
        <f>IFERROR(INDEX(PP_Grid[#Data],$DD1029,61),0)</f>
        <v/>
      </c>
      <c r="BL1029">
        <f>IFERROR(INDEX(PP_Grid[#Data],$DD1029,62),0)</f>
        <v/>
      </c>
      <c r="BM1029">
        <f>IFERROR(INDEX(PP_Grid[#Data],$DD1029,63),0)</f>
        <v/>
      </c>
      <c r="BN1029">
        <f>IFERROR(INDEX(PP_Grid[#Data],$DD1029,64),0)</f>
        <v/>
      </c>
      <c r="BO1029">
        <f>IFERROR(INDEX(PP_Grid[#Data],$DD1029,65),0)</f>
        <v/>
      </c>
      <c r="BP1029">
        <f>IFERROR(INDEX(PP_Grid[#Data],$DD1029,66),0)</f>
        <v/>
      </c>
      <c r="BQ1029">
        <f>IFERROR(INDEX(PP_Grid[#Data],$DD1029,67),0)</f>
        <v/>
      </c>
      <c r="BR1029">
        <f>IFERROR(INDEX(PP_Grid[#Data],$DD1029,68),0)</f>
        <v/>
      </c>
      <c r="BS1029">
        <f>IFERROR(INDEX(PP_Grid[#Data],$DD1029,69),0)</f>
        <v/>
      </c>
      <c r="BT1029">
        <f>IFERROR(INDEX(PP_Grid[#Data],$DD1029,70),0)</f>
        <v/>
      </c>
      <c r="BU1029">
        <f>IFERROR(INDEX(PP_Grid[#Data],$DD1029,71),0)</f>
        <v/>
      </c>
      <c r="BV1029">
        <f>IFERROR(INDEX(PP_Grid[#Data],$DD1029,72),0)</f>
        <v/>
      </c>
      <c r="BW1029">
        <f>IFERROR(INDEX(PP_Grid[#Data],$DD1029,73),0)</f>
        <v/>
      </c>
      <c r="BX1029">
        <f>IFERROR(INDEX(PP_Grid[#Data],$DD1029,74),0)</f>
        <v/>
      </c>
      <c r="BY1029">
        <f>IFERROR(INDEX(PP_Grid[#Data],$DD1029,75),0)</f>
        <v/>
      </c>
      <c r="BZ1029">
        <f>IFERROR(INDEX(PP_Grid[#Data],$DD1029,76),0)</f>
        <v/>
      </c>
      <c r="CA1029">
        <f>IFERROR(INDEX(PP_Grid[#Data],$DD1029,77),0)</f>
        <v/>
      </c>
      <c r="CB1029">
        <f>IFERROR(INDEX(PP_Grid[#Data],$DD1029,78),0)</f>
        <v/>
      </c>
      <c r="CC1029">
        <f>IFERROR(INDEX(PP_Grid[#Data],$DD1029,79),0)</f>
        <v/>
      </c>
      <c r="CD1029">
        <f>IFERROR(INDEX(PP_Grid[#Data],$DD1029,80),0)</f>
        <v/>
      </c>
      <c r="CE1029">
        <f>IFERROR(INDEX(PP_Grid[#Data],$DD1029,81),0)</f>
        <v/>
      </c>
      <c r="CF1029">
        <f>IFERROR(INDEX(PP_Grid[#Data],$DD1029,82),0)</f>
        <v/>
      </c>
      <c r="CG1029">
        <f>IFERROR(INDEX(PP_Grid[#Data],$DD1029,83),0)</f>
        <v/>
      </c>
      <c r="CH1029">
        <f>IFERROR(INDEX(PP_Grid[#Data],$DD1029,84),0)</f>
        <v/>
      </c>
      <c r="CI1029">
        <f>IFERROR(INDEX(PP_Grid[#Data],$DD1029,85),0)</f>
        <v/>
      </c>
      <c r="CJ1029">
        <f>IFERROR(INDEX(PP_Grid[#Data],$DD1029,86),0)</f>
        <v/>
      </c>
      <c r="CK1029">
        <f>IFERROR(INDEX(PP_Grid[#Data],$DD1029,87),0)</f>
        <v/>
      </c>
      <c r="CL1029">
        <f>IFERROR(INDEX(PP_Grid[#Data],$DD1029,88),0)</f>
        <v/>
      </c>
      <c r="CM1029">
        <f>IFERROR(INDEX(PP_Grid[#Data],$DD1029,89),0)</f>
        <v/>
      </c>
      <c r="CN1029">
        <f>IFERROR(INDEX(PP_Grid[#Data],$DD1029,90),0)</f>
        <v/>
      </c>
      <c r="CO1029">
        <f>IFERROR(INDEX(PP_Grid[#Data],$DD1029,91),0)</f>
        <v/>
      </c>
      <c r="CP1029">
        <f>IFERROR(INDEX(PP_Grid[#Data],$DD1029,92),0)</f>
        <v/>
      </c>
      <c r="CQ1029">
        <f>IFERROR(INDEX(PP_Grid[#Data],$DD1029,93),0)</f>
        <v/>
      </c>
      <c r="CR1029">
        <f>IFERROR(INDEX(PP_Grid[#Data],$DD1029,94),0)</f>
        <v/>
      </c>
      <c r="CS1029">
        <f>IFERROR(INDEX(PP_Grid[#Data],$DD1029,95),0)</f>
        <v/>
      </c>
      <c r="CT1029">
        <f>IFERROR(INDEX(PP_Grid[#Data],$DD1029,96),0)</f>
        <v/>
      </c>
      <c r="CU1029">
        <f>IFERROR(INDEX(PP_Grid[#Data],$DD1029,97),0)</f>
        <v/>
      </c>
      <c r="CV1029">
        <f>IFERROR(INDEX(PP_Grid[#Data],$DD1029,98),0)</f>
        <v/>
      </c>
      <c r="CW1029">
        <f>IFERROR(INDEX(PP_Grid[#Data],$DD1029,99),0)</f>
        <v/>
      </c>
      <c r="CX1029">
        <f>IFERROR(INDEX(PP_Grid[#Data],$DD1029,100),0)</f>
        <v/>
      </c>
      <c r="CY1029">
        <f>IFERROR(INDEX(PP_Grid[#Data],$DD1029,101),0)</f>
        <v/>
      </c>
      <c r="CZ1029">
        <f>IFERROR(INDEX(PP_Grid[#Data],$DD1029,102),0)</f>
        <v/>
      </c>
      <c r="DA1029">
        <f>IFERROR(INDEX(PP_Grid[#Data],$DD1029,103),0)</f>
        <v/>
      </c>
      <c r="DB1029">
        <f>IFERROR(INDEX(PP_Grid[#Data],$DD1029,104),0)</f>
        <v/>
      </c>
      <c r="DC1029">
        <f>IFERROR(INDEX(PP_Grid[#Data],$DD1029,105),0)</f>
        <v/>
      </c>
      <c r="DD1029" s="12">
        <f>IFERROR(MATCH($B1029,PP_Grid[Intermediate],0),99999)</f>
        <v/>
      </c>
    </row>
    <row r="1030">
      <c r="B1030" t="inlineStr">
        <is>
          <t>使用量(kg)</t>
        </is>
      </c>
      <c r="C1030">
        <f>SUMIFS(M_BOM[RM_Qty_Per_Batch],M_BOM[Intermediate],$B1029,M_BOM[Part Name],$A988)</f>
        <v/>
      </c>
      <c r="D1030">
        <f>$C1030*D1029</f>
        <v/>
      </c>
      <c r="E1030">
        <f>$C1030*E1029</f>
        <v/>
      </c>
      <c r="F1030">
        <f>$C1030*F1029</f>
        <v/>
      </c>
      <c r="G1030">
        <f>$C1030*G1029</f>
        <v/>
      </c>
      <c r="H1030">
        <f>$C1030*H1029</f>
        <v/>
      </c>
      <c r="I1030">
        <f>$C1030*I1029</f>
        <v/>
      </c>
      <c r="J1030">
        <f>$C1030*J1029</f>
        <v/>
      </c>
      <c r="K1030">
        <f>$C1030*K1029</f>
        <v/>
      </c>
      <c r="L1030">
        <f>$C1030*L1029</f>
        <v/>
      </c>
      <c r="M1030">
        <f>$C1030*M1029</f>
        <v/>
      </c>
      <c r="N1030">
        <f>$C1030*N1029</f>
        <v/>
      </c>
      <c r="O1030">
        <f>$C1030*O1029</f>
        <v/>
      </c>
      <c r="P1030">
        <f>$C1030*P1029</f>
        <v/>
      </c>
      <c r="Q1030">
        <f>$C1030*Q1029</f>
        <v/>
      </c>
      <c r="R1030">
        <f>$C1030*R1029</f>
        <v/>
      </c>
      <c r="S1030">
        <f>$C1030*S1029</f>
        <v/>
      </c>
      <c r="T1030">
        <f>$C1030*T1029</f>
        <v/>
      </c>
      <c r="U1030">
        <f>$C1030*U1029</f>
        <v/>
      </c>
      <c r="V1030">
        <f>$C1030*V1029</f>
        <v/>
      </c>
      <c r="W1030">
        <f>$C1030*W1029</f>
        <v/>
      </c>
      <c r="X1030">
        <f>$C1030*X1029</f>
        <v/>
      </c>
      <c r="Y1030">
        <f>$C1030*Y1029</f>
        <v/>
      </c>
      <c r="Z1030">
        <f>$C1030*Z1029</f>
        <v/>
      </c>
      <c r="AA1030">
        <f>$C1030*AA1029</f>
        <v/>
      </c>
      <c r="AB1030">
        <f>$C1030*AB1029</f>
        <v/>
      </c>
      <c r="AC1030">
        <f>$C1030*AC1029</f>
        <v/>
      </c>
      <c r="AD1030">
        <f>$C1030*AD1029</f>
        <v/>
      </c>
      <c r="AE1030">
        <f>$C1030*AE1029</f>
        <v/>
      </c>
      <c r="AF1030">
        <f>$C1030*AF1029</f>
        <v/>
      </c>
      <c r="AG1030">
        <f>$C1030*AG1029</f>
        <v/>
      </c>
      <c r="AH1030">
        <f>$C1030*AH1029</f>
        <v/>
      </c>
      <c r="AI1030">
        <f>$C1030*AI1029</f>
        <v/>
      </c>
      <c r="AJ1030">
        <f>$C1030*AJ1029</f>
        <v/>
      </c>
      <c r="AK1030">
        <f>$C1030*AK1029</f>
        <v/>
      </c>
      <c r="AL1030">
        <f>$C1030*AL1029</f>
        <v/>
      </c>
      <c r="AM1030">
        <f>$C1030*AM1029</f>
        <v/>
      </c>
      <c r="AN1030">
        <f>$C1030*AN1029</f>
        <v/>
      </c>
      <c r="AO1030">
        <f>$C1030*AO1029</f>
        <v/>
      </c>
      <c r="AP1030">
        <f>$C1030*AP1029</f>
        <v/>
      </c>
      <c r="AQ1030">
        <f>$C1030*AQ1029</f>
        <v/>
      </c>
      <c r="AR1030">
        <f>$C1030*AR1029</f>
        <v/>
      </c>
      <c r="AS1030">
        <f>$C1030*AS1029</f>
        <v/>
      </c>
      <c r="AT1030">
        <f>$C1030*AT1029</f>
        <v/>
      </c>
      <c r="AU1030">
        <f>$C1030*AU1029</f>
        <v/>
      </c>
      <c r="AV1030">
        <f>$C1030*AV1029</f>
        <v/>
      </c>
      <c r="AW1030">
        <f>$C1030*AW1029</f>
        <v/>
      </c>
      <c r="AX1030">
        <f>$C1030*AX1029</f>
        <v/>
      </c>
      <c r="AY1030">
        <f>$C1030*AY1029</f>
        <v/>
      </c>
      <c r="AZ1030">
        <f>$C1030*AZ1029</f>
        <v/>
      </c>
      <c r="BA1030">
        <f>$C1030*BA1029</f>
        <v/>
      </c>
      <c r="BB1030">
        <f>$C1030*BB1029</f>
        <v/>
      </c>
      <c r="BC1030">
        <f>$C1030*BC1029</f>
        <v/>
      </c>
      <c r="BD1030">
        <f>$C1030*BD1029</f>
        <v/>
      </c>
      <c r="BE1030">
        <f>$C1030*BE1029</f>
        <v/>
      </c>
      <c r="BF1030">
        <f>$C1030*BF1029</f>
        <v/>
      </c>
      <c r="BG1030">
        <f>$C1030*BG1029</f>
        <v/>
      </c>
      <c r="BH1030">
        <f>$C1030*BH1029</f>
        <v/>
      </c>
      <c r="BI1030">
        <f>$C1030*BI1029</f>
        <v/>
      </c>
      <c r="BJ1030">
        <f>$C1030*BJ1029</f>
        <v/>
      </c>
      <c r="BK1030">
        <f>$C1030*BK1029</f>
        <v/>
      </c>
      <c r="BL1030">
        <f>$C1030*BL1029</f>
        <v/>
      </c>
      <c r="BM1030">
        <f>$C1030*BM1029</f>
        <v/>
      </c>
      <c r="BN1030">
        <f>$C1030*BN1029</f>
        <v/>
      </c>
      <c r="BO1030">
        <f>$C1030*BO1029</f>
        <v/>
      </c>
      <c r="BP1030">
        <f>$C1030*BP1029</f>
        <v/>
      </c>
      <c r="BQ1030">
        <f>$C1030*BQ1029</f>
        <v/>
      </c>
      <c r="BR1030">
        <f>$C1030*BR1029</f>
        <v/>
      </c>
      <c r="BS1030">
        <f>$C1030*BS1029</f>
        <v/>
      </c>
      <c r="BT1030">
        <f>$C1030*BT1029</f>
        <v/>
      </c>
      <c r="BU1030">
        <f>$C1030*BU1029</f>
        <v/>
      </c>
      <c r="BV1030">
        <f>$C1030*BV1029</f>
        <v/>
      </c>
      <c r="BW1030">
        <f>$C1030*BW1029</f>
        <v/>
      </c>
      <c r="BX1030">
        <f>$C1030*BX1029</f>
        <v/>
      </c>
      <c r="BY1030">
        <f>$C1030*BY1029</f>
        <v/>
      </c>
      <c r="BZ1030">
        <f>$C1030*BZ1029</f>
        <v/>
      </c>
      <c r="CA1030">
        <f>$C1030*CA1029</f>
        <v/>
      </c>
      <c r="CB1030">
        <f>$C1030*CB1029</f>
        <v/>
      </c>
      <c r="CC1030">
        <f>$C1030*CC1029</f>
        <v/>
      </c>
      <c r="CD1030">
        <f>$C1030*CD1029</f>
        <v/>
      </c>
      <c r="CE1030">
        <f>$C1030*CE1029</f>
        <v/>
      </c>
      <c r="CF1030">
        <f>$C1030*CF1029</f>
        <v/>
      </c>
      <c r="CG1030">
        <f>$C1030*CG1029</f>
        <v/>
      </c>
      <c r="CH1030">
        <f>$C1030*CH1029</f>
        <v/>
      </c>
      <c r="CI1030">
        <f>$C1030*CI1029</f>
        <v/>
      </c>
      <c r="CJ1030">
        <f>$C1030*CJ1029</f>
        <v/>
      </c>
      <c r="CK1030">
        <f>$C1030*CK1029</f>
        <v/>
      </c>
      <c r="CL1030">
        <f>$C1030*CL1029</f>
        <v/>
      </c>
      <c r="CM1030">
        <f>$C1030*CM1029</f>
        <v/>
      </c>
      <c r="CN1030">
        <f>$C1030*CN1029</f>
        <v/>
      </c>
      <c r="CO1030">
        <f>$C1030*CO1029</f>
        <v/>
      </c>
      <c r="CP1030">
        <f>$C1030*CP1029</f>
        <v/>
      </c>
      <c r="CQ1030">
        <f>$C1030*CQ1029</f>
        <v/>
      </c>
      <c r="CR1030">
        <f>$C1030*CR1029</f>
        <v/>
      </c>
      <c r="CS1030">
        <f>$C1030*CS1029</f>
        <v/>
      </c>
      <c r="CT1030">
        <f>$C1030*CT1029</f>
        <v/>
      </c>
      <c r="CU1030">
        <f>$C1030*CU1029</f>
        <v/>
      </c>
      <c r="CV1030">
        <f>$C1030*CV1029</f>
        <v/>
      </c>
      <c r="CW1030">
        <f>$C1030*CW1029</f>
        <v/>
      </c>
      <c r="CX1030">
        <f>$C1030*CX1029</f>
        <v/>
      </c>
      <c r="CY1030">
        <f>$C1030*CY1029</f>
        <v/>
      </c>
      <c r="CZ1030">
        <f>$C1030*CZ1029</f>
        <v/>
      </c>
      <c r="DA1030">
        <f>$C1030*DA1029</f>
        <v/>
      </c>
      <c r="DB1030">
        <f>$C1030*DB1029</f>
        <v/>
      </c>
      <c r="DC1030">
        <f>$C1030*DC1029</f>
        <v/>
      </c>
    </row>
    <row r="1031">
      <c r="B1031" t="inlineStr">
        <is>
          <t>TSP-937</t>
        </is>
      </c>
      <c r="C1031" t="inlineStr">
        <is>
          <t>No. of batches</t>
        </is>
      </c>
      <c r="D1031">
        <f>IFERROR(INDEX(PP_Grid[#Data],$DD1031,2),0)</f>
        <v/>
      </c>
      <c r="E1031">
        <f>IFERROR(INDEX(PP_Grid[#Data],$DD1031,3),0)</f>
        <v/>
      </c>
      <c r="F1031">
        <f>IFERROR(INDEX(PP_Grid[#Data],$DD1031,4),0)</f>
        <v/>
      </c>
      <c r="G1031">
        <f>IFERROR(INDEX(PP_Grid[#Data],$DD1031,5),0)</f>
        <v/>
      </c>
      <c r="H1031">
        <f>IFERROR(INDEX(PP_Grid[#Data],$DD1031,6),0)</f>
        <v/>
      </c>
      <c r="I1031">
        <f>IFERROR(INDEX(PP_Grid[#Data],$DD1031,7),0)</f>
        <v/>
      </c>
      <c r="J1031">
        <f>IFERROR(INDEX(PP_Grid[#Data],$DD1031,8),0)</f>
        <v/>
      </c>
      <c r="K1031">
        <f>IFERROR(INDEX(PP_Grid[#Data],$DD1031,9),0)</f>
        <v/>
      </c>
      <c r="L1031">
        <f>IFERROR(INDEX(PP_Grid[#Data],$DD1031,10),0)</f>
        <v/>
      </c>
      <c r="M1031">
        <f>IFERROR(INDEX(PP_Grid[#Data],$DD1031,11),0)</f>
        <v/>
      </c>
      <c r="N1031">
        <f>IFERROR(INDEX(PP_Grid[#Data],$DD1031,12),0)</f>
        <v/>
      </c>
      <c r="O1031">
        <f>IFERROR(INDEX(PP_Grid[#Data],$DD1031,13),0)</f>
        <v/>
      </c>
      <c r="P1031">
        <f>IFERROR(INDEX(PP_Grid[#Data],$DD1031,14),0)</f>
        <v/>
      </c>
      <c r="Q1031">
        <f>IFERROR(INDEX(PP_Grid[#Data],$DD1031,15),0)</f>
        <v/>
      </c>
      <c r="R1031">
        <f>IFERROR(INDEX(PP_Grid[#Data],$DD1031,16),0)</f>
        <v/>
      </c>
      <c r="S1031">
        <f>IFERROR(INDEX(PP_Grid[#Data],$DD1031,17),0)</f>
        <v/>
      </c>
      <c r="T1031">
        <f>IFERROR(INDEX(PP_Grid[#Data],$DD1031,18),0)</f>
        <v/>
      </c>
      <c r="U1031">
        <f>IFERROR(INDEX(PP_Grid[#Data],$DD1031,19),0)</f>
        <v/>
      </c>
      <c r="V1031">
        <f>IFERROR(INDEX(PP_Grid[#Data],$DD1031,20),0)</f>
        <v/>
      </c>
      <c r="W1031">
        <f>IFERROR(INDEX(PP_Grid[#Data],$DD1031,21),0)</f>
        <v/>
      </c>
      <c r="X1031">
        <f>IFERROR(INDEX(PP_Grid[#Data],$DD1031,22),0)</f>
        <v/>
      </c>
      <c r="Y1031">
        <f>IFERROR(INDEX(PP_Grid[#Data],$DD1031,23),0)</f>
        <v/>
      </c>
      <c r="Z1031">
        <f>IFERROR(INDEX(PP_Grid[#Data],$DD1031,24),0)</f>
        <v/>
      </c>
      <c r="AA1031">
        <f>IFERROR(INDEX(PP_Grid[#Data],$DD1031,25),0)</f>
        <v/>
      </c>
      <c r="AB1031">
        <f>IFERROR(INDEX(PP_Grid[#Data],$DD1031,26),0)</f>
        <v/>
      </c>
      <c r="AC1031">
        <f>IFERROR(INDEX(PP_Grid[#Data],$DD1031,27),0)</f>
        <v/>
      </c>
      <c r="AD1031">
        <f>IFERROR(INDEX(PP_Grid[#Data],$DD1031,28),0)</f>
        <v/>
      </c>
      <c r="AE1031">
        <f>IFERROR(INDEX(PP_Grid[#Data],$DD1031,29),0)</f>
        <v/>
      </c>
      <c r="AF1031">
        <f>IFERROR(INDEX(PP_Grid[#Data],$DD1031,30),0)</f>
        <v/>
      </c>
      <c r="AG1031">
        <f>IFERROR(INDEX(PP_Grid[#Data],$DD1031,31),0)</f>
        <v/>
      </c>
      <c r="AH1031">
        <f>IFERROR(INDEX(PP_Grid[#Data],$DD1031,32),0)</f>
        <v/>
      </c>
      <c r="AI1031">
        <f>IFERROR(INDEX(PP_Grid[#Data],$DD1031,33),0)</f>
        <v/>
      </c>
      <c r="AJ1031">
        <f>IFERROR(INDEX(PP_Grid[#Data],$DD1031,34),0)</f>
        <v/>
      </c>
      <c r="AK1031">
        <f>IFERROR(INDEX(PP_Grid[#Data],$DD1031,35),0)</f>
        <v/>
      </c>
      <c r="AL1031">
        <f>IFERROR(INDEX(PP_Grid[#Data],$DD1031,36),0)</f>
        <v/>
      </c>
      <c r="AM1031">
        <f>IFERROR(INDEX(PP_Grid[#Data],$DD1031,37),0)</f>
        <v/>
      </c>
      <c r="AN1031">
        <f>IFERROR(INDEX(PP_Grid[#Data],$DD1031,38),0)</f>
        <v/>
      </c>
      <c r="AO1031">
        <f>IFERROR(INDEX(PP_Grid[#Data],$DD1031,39),0)</f>
        <v/>
      </c>
      <c r="AP1031">
        <f>IFERROR(INDEX(PP_Grid[#Data],$DD1031,40),0)</f>
        <v/>
      </c>
      <c r="AQ1031">
        <f>IFERROR(INDEX(PP_Grid[#Data],$DD1031,41),0)</f>
        <v/>
      </c>
      <c r="AR1031">
        <f>IFERROR(INDEX(PP_Grid[#Data],$DD1031,42),0)</f>
        <v/>
      </c>
      <c r="AS1031">
        <f>IFERROR(INDEX(PP_Grid[#Data],$DD1031,43),0)</f>
        <v/>
      </c>
      <c r="AT1031">
        <f>IFERROR(INDEX(PP_Grid[#Data],$DD1031,44),0)</f>
        <v/>
      </c>
      <c r="AU1031">
        <f>IFERROR(INDEX(PP_Grid[#Data],$DD1031,45),0)</f>
        <v/>
      </c>
      <c r="AV1031">
        <f>IFERROR(INDEX(PP_Grid[#Data],$DD1031,46),0)</f>
        <v/>
      </c>
      <c r="AW1031">
        <f>IFERROR(INDEX(PP_Grid[#Data],$DD1031,47),0)</f>
        <v/>
      </c>
      <c r="AX1031">
        <f>IFERROR(INDEX(PP_Grid[#Data],$DD1031,48),0)</f>
        <v/>
      </c>
      <c r="AY1031">
        <f>IFERROR(INDEX(PP_Grid[#Data],$DD1031,49),0)</f>
        <v/>
      </c>
      <c r="AZ1031">
        <f>IFERROR(INDEX(PP_Grid[#Data],$DD1031,50),0)</f>
        <v/>
      </c>
      <c r="BA1031">
        <f>IFERROR(INDEX(PP_Grid[#Data],$DD1031,51),0)</f>
        <v/>
      </c>
      <c r="BB1031">
        <f>IFERROR(INDEX(PP_Grid[#Data],$DD1031,52),0)</f>
        <v/>
      </c>
      <c r="BC1031">
        <f>IFERROR(INDEX(PP_Grid[#Data],$DD1031,53),0)</f>
        <v/>
      </c>
      <c r="BD1031">
        <f>IFERROR(INDEX(PP_Grid[#Data],$DD1031,54),0)</f>
        <v/>
      </c>
      <c r="BE1031">
        <f>IFERROR(INDEX(PP_Grid[#Data],$DD1031,55),0)</f>
        <v/>
      </c>
      <c r="BF1031">
        <f>IFERROR(INDEX(PP_Grid[#Data],$DD1031,56),0)</f>
        <v/>
      </c>
      <c r="BG1031">
        <f>IFERROR(INDEX(PP_Grid[#Data],$DD1031,57),0)</f>
        <v/>
      </c>
      <c r="BH1031">
        <f>IFERROR(INDEX(PP_Grid[#Data],$DD1031,58),0)</f>
        <v/>
      </c>
      <c r="BI1031">
        <f>IFERROR(INDEX(PP_Grid[#Data],$DD1031,59),0)</f>
        <v/>
      </c>
      <c r="BJ1031">
        <f>IFERROR(INDEX(PP_Grid[#Data],$DD1031,60),0)</f>
        <v/>
      </c>
      <c r="BK1031">
        <f>IFERROR(INDEX(PP_Grid[#Data],$DD1031,61),0)</f>
        <v/>
      </c>
      <c r="BL1031">
        <f>IFERROR(INDEX(PP_Grid[#Data],$DD1031,62),0)</f>
        <v/>
      </c>
      <c r="BM1031">
        <f>IFERROR(INDEX(PP_Grid[#Data],$DD1031,63),0)</f>
        <v/>
      </c>
      <c r="BN1031">
        <f>IFERROR(INDEX(PP_Grid[#Data],$DD1031,64),0)</f>
        <v/>
      </c>
      <c r="BO1031">
        <f>IFERROR(INDEX(PP_Grid[#Data],$DD1031,65),0)</f>
        <v/>
      </c>
      <c r="BP1031">
        <f>IFERROR(INDEX(PP_Grid[#Data],$DD1031,66),0)</f>
        <v/>
      </c>
      <c r="BQ1031">
        <f>IFERROR(INDEX(PP_Grid[#Data],$DD1031,67),0)</f>
        <v/>
      </c>
      <c r="BR1031">
        <f>IFERROR(INDEX(PP_Grid[#Data],$DD1031,68),0)</f>
        <v/>
      </c>
      <c r="BS1031">
        <f>IFERROR(INDEX(PP_Grid[#Data],$DD1031,69),0)</f>
        <v/>
      </c>
      <c r="BT1031">
        <f>IFERROR(INDEX(PP_Grid[#Data],$DD1031,70),0)</f>
        <v/>
      </c>
      <c r="BU1031">
        <f>IFERROR(INDEX(PP_Grid[#Data],$DD1031,71),0)</f>
        <v/>
      </c>
      <c r="BV1031">
        <f>IFERROR(INDEX(PP_Grid[#Data],$DD1031,72),0)</f>
        <v/>
      </c>
      <c r="BW1031">
        <f>IFERROR(INDEX(PP_Grid[#Data],$DD1031,73),0)</f>
        <v/>
      </c>
      <c r="BX1031">
        <f>IFERROR(INDEX(PP_Grid[#Data],$DD1031,74),0)</f>
        <v/>
      </c>
      <c r="BY1031">
        <f>IFERROR(INDEX(PP_Grid[#Data],$DD1031,75),0)</f>
        <v/>
      </c>
      <c r="BZ1031">
        <f>IFERROR(INDEX(PP_Grid[#Data],$DD1031,76),0)</f>
        <v/>
      </c>
      <c r="CA1031">
        <f>IFERROR(INDEX(PP_Grid[#Data],$DD1031,77),0)</f>
        <v/>
      </c>
      <c r="CB1031">
        <f>IFERROR(INDEX(PP_Grid[#Data],$DD1031,78),0)</f>
        <v/>
      </c>
      <c r="CC1031">
        <f>IFERROR(INDEX(PP_Grid[#Data],$DD1031,79),0)</f>
        <v/>
      </c>
      <c r="CD1031">
        <f>IFERROR(INDEX(PP_Grid[#Data],$DD1031,80),0)</f>
        <v/>
      </c>
      <c r="CE1031">
        <f>IFERROR(INDEX(PP_Grid[#Data],$DD1031,81),0)</f>
        <v/>
      </c>
      <c r="CF1031">
        <f>IFERROR(INDEX(PP_Grid[#Data],$DD1031,82),0)</f>
        <v/>
      </c>
      <c r="CG1031">
        <f>IFERROR(INDEX(PP_Grid[#Data],$DD1031,83),0)</f>
        <v/>
      </c>
      <c r="CH1031">
        <f>IFERROR(INDEX(PP_Grid[#Data],$DD1031,84),0)</f>
        <v/>
      </c>
      <c r="CI1031">
        <f>IFERROR(INDEX(PP_Grid[#Data],$DD1031,85),0)</f>
        <v/>
      </c>
      <c r="CJ1031">
        <f>IFERROR(INDEX(PP_Grid[#Data],$DD1031,86),0)</f>
        <v/>
      </c>
      <c r="CK1031">
        <f>IFERROR(INDEX(PP_Grid[#Data],$DD1031,87),0)</f>
        <v/>
      </c>
      <c r="CL1031">
        <f>IFERROR(INDEX(PP_Grid[#Data],$DD1031,88),0)</f>
        <v/>
      </c>
      <c r="CM1031">
        <f>IFERROR(INDEX(PP_Grid[#Data],$DD1031,89),0)</f>
        <v/>
      </c>
      <c r="CN1031">
        <f>IFERROR(INDEX(PP_Grid[#Data],$DD1031,90),0)</f>
        <v/>
      </c>
      <c r="CO1031">
        <f>IFERROR(INDEX(PP_Grid[#Data],$DD1031,91),0)</f>
        <v/>
      </c>
      <c r="CP1031">
        <f>IFERROR(INDEX(PP_Grid[#Data],$DD1031,92),0)</f>
        <v/>
      </c>
      <c r="CQ1031">
        <f>IFERROR(INDEX(PP_Grid[#Data],$DD1031,93),0)</f>
        <v/>
      </c>
      <c r="CR1031">
        <f>IFERROR(INDEX(PP_Grid[#Data],$DD1031,94),0)</f>
        <v/>
      </c>
      <c r="CS1031">
        <f>IFERROR(INDEX(PP_Grid[#Data],$DD1031,95),0)</f>
        <v/>
      </c>
      <c r="CT1031">
        <f>IFERROR(INDEX(PP_Grid[#Data],$DD1031,96),0)</f>
        <v/>
      </c>
      <c r="CU1031">
        <f>IFERROR(INDEX(PP_Grid[#Data],$DD1031,97),0)</f>
        <v/>
      </c>
      <c r="CV1031">
        <f>IFERROR(INDEX(PP_Grid[#Data],$DD1031,98),0)</f>
        <v/>
      </c>
      <c r="CW1031">
        <f>IFERROR(INDEX(PP_Grid[#Data],$DD1031,99),0)</f>
        <v/>
      </c>
      <c r="CX1031">
        <f>IFERROR(INDEX(PP_Grid[#Data],$DD1031,100),0)</f>
        <v/>
      </c>
      <c r="CY1031">
        <f>IFERROR(INDEX(PP_Grid[#Data],$DD1031,101),0)</f>
        <v/>
      </c>
      <c r="CZ1031">
        <f>IFERROR(INDEX(PP_Grid[#Data],$DD1031,102),0)</f>
        <v/>
      </c>
      <c r="DA1031">
        <f>IFERROR(INDEX(PP_Grid[#Data],$DD1031,103),0)</f>
        <v/>
      </c>
      <c r="DB1031">
        <f>IFERROR(INDEX(PP_Grid[#Data],$DD1031,104),0)</f>
        <v/>
      </c>
      <c r="DC1031">
        <f>IFERROR(INDEX(PP_Grid[#Data],$DD1031,105),0)</f>
        <v/>
      </c>
      <c r="DD1031" s="12">
        <f>IFERROR(MATCH($B1031,PP_Grid[Intermediate],0),99999)</f>
        <v/>
      </c>
    </row>
    <row r="1032">
      <c r="B1032" t="inlineStr">
        <is>
          <t>使用量(kg)</t>
        </is>
      </c>
      <c r="C1032">
        <f>SUMIFS(M_BOM[RM_Qty_Per_Batch],M_BOM[Intermediate],$B1031,M_BOM[Part Name],$A988)</f>
        <v/>
      </c>
      <c r="D1032">
        <f>$C1032*D1031</f>
        <v/>
      </c>
      <c r="E1032">
        <f>$C1032*E1031</f>
        <v/>
      </c>
      <c r="F1032">
        <f>$C1032*F1031</f>
        <v/>
      </c>
      <c r="G1032">
        <f>$C1032*G1031</f>
        <v/>
      </c>
      <c r="H1032">
        <f>$C1032*H1031</f>
        <v/>
      </c>
      <c r="I1032">
        <f>$C1032*I1031</f>
        <v/>
      </c>
      <c r="J1032">
        <f>$C1032*J1031</f>
        <v/>
      </c>
      <c r="K1032">
        <f>$C1032*K1031</f>
        <v/>
      </c>
      <c r="L1032">
        <f>$C1032*L1031</f>
        <v/>
      </c>
      <c r="M1032">
        <f>$C1032*M1031</f>
        <v/>
      </c>
      <c r="N1032">
        <f>$C1032*N1031</f>
        <v/>
      </c>
      <c r="O1032">
        <f>$C1032*O1031</f>
        <v/>
      </c>
      <c r="P1032">
        <f>$C1032*P1031</f>
        <v/>
      </c>
      <c r="Q1032">
        <f>$C1032*Q1031</f>
        <v/>
      </c>
      <c r="R1032">
        <f>$C1032*R1031</f>
        <v/>
      </c>
      <c r="S1032">
        <f>$C1032*S1031</f>
        <v/>
      </c>
      <c r="T1032">
        <f>$C1032*T1031</f>
        <v/>
      </c>
      <c r="U1032">
        <f>$C1032*U1031</f>
        <v/>
      </c>
      <c r="V1032">
        <f>$C1032*V1031</f>
        <v/>
      </c>
      <c r="W1032">
        <f>$C1032*W1031</f>
        <v/>
      </c>
      <c r="X1032">
        <f>$C1032*X1031</f>
        <v/>
      </c>
      <c r="Y1032">
        <f>$C1032*Y1031</f>
        <v/>
      </c>
      <c r="Z1032">
        <f>$C1032*Z1031</f>
        <v/>
      </c>
      <c r="AA1032">
        <f>$C1032*AA1031</f>
        <v/>
      </c>
      <c r="AB1032">
        <f>$C1032*AB1031</f>
        <v/>
      </c>
      <c r="AC1032">
        <f>$C1032*AC1031</f>
        <v/>
      </c>
      <c r="AD1032">
        <f>$C1032*AD1031</f>
        <v/>
      </c>
      <c r="AE1032">
        <f>$C1032*AE1031</f>
        <v/>
      </c>
      <c r="AF1032">
        <f>$C1032*AF1031</f>
        <v/>
      </c>
      <c r="AG1032">
        <f>$C1032*AG1031</f>
        <v/>
      </c>
      <c r="AH1032">
        <f>$C1032*AH1031</f>
        <v/>
      </c>
      <c r="AI1032">
        <f>$C1032*AI1031</f>
        <v/>
      </c>
      <c r="AJ1032">
        <f>$C1032*AJ1031</f>
        <v/>
      </c>
      <c r="AK1032">
        <f>$C1032*AK1031</f>
        <v/>
      </c>
      <c r="AL1032">
        <f>$C1032*AL1031</f>
        <v/>
      </c>
      <c r="AM1032">
        <f>$C1032*AM1031</f>
        <v/>
      </c>
      <c r="AN1032">
        <f>$C1032*AN1031</f>
        <v/>
      </c>
      <c r="AO1032">
        <f>$C1032*AO1031</f>
        <v/>
      </c>
      <c r="AP1032">
        <f>$C1032*AP1031</f>
        <v/>
      </c>
      <c r="AQ1032">
        <f>$C1032*AQ1031</f>
        <v/>
      </c>
      <c r="AR1032">
        <f>$C1032*AR1031</f>
        <v/>
      </c>
      <c r="AS1032">
        <f>$C1032*AS1031</f>
        <v/>
      </c>
      <c r="AT1032">
        <f>$C1032*AT1031</f>
        <v/>
      </c>
      <c r="AU1032">
        <f>$C1032*AU1031</f>
        <v/>
      </c>
      <c r="AV1032">
        <f>$C1032*AV1031</f>
        <v/>
      </c>
      <c r="AW1032">
        <f>$C1032*AW1031</f>
        <v/>
      </c>
      <c r="AX1032">
        <f>$C1032*AX1031</f>
        <v/>
      </c>
      <c r="AY1032">
        <f>$C1032*AY1031</f>
        <v/>
      </c>
      <c r="AZ1032">
        <f>$C1032*AZ1031</f>
        <v/>
      </c>
      <c r="BA1032">
        <f>$C1032*BA1031</f>
        <v/>
      </c>
      <c r="BB1032">
        <f>$C1032*BB1031</f>
        <v/>
      </c>
      <c r="BC1032">
        <f>$C1032*BC1031</f>
        <v/>
      </c>
      <c r="BD1032">
        <f>$C1032*BD1031</f>
        <v/>
      </c>
      <c r="BE1032">
        <f>$C1032*BE1031</f>
        <v/>
      </c>
      <c r="BF1032">
        <f>$C1032*BF1031</f>
        <v/>
      </c>
      <c r="BG1032">
        <f>$C1032*BG1031</f>
        <v/>
      </c>
      <c r="BH1032">
        <f>$C1032*BH1031</f>
        <v/>
      </c>
      <c r="BI1032">
        <f>$C1032*BI1031</f>
        <v/>
      </c>
      <c r="BJ1032">
        <f>$C1032*BJ1031</f>
        <v/>
      </c>
      <c r="BK1032">
        <f>$C1032*BK1031</f>
        <v/>
      </c>
      <c r="BL1032">
        <f>$C1032*BL1031</f>
        <v/>
      </c>
      <c r="BM1032">
        <f>$C1032*BM1031</f>
        <v/>
      </c>
      <c r="BN1032">
        <f>$C1032*BN1031</f>
        <v/>
      </c>
      <c r="BO1032">
        <f>$C1032*BO1031</f>
        <v/>
      </c>
      <c r="BP1032">
        <f>$C1032*BP1031</f>
        <v/>
      </c>
      <c r="BQ1032">
        <f>$C1032*BQ1031</f>
        <v/>
      </c>
      <c r="BR1032">
        <f>$C1032*BR1031</f>
        <v/>
      </c>
      <c r="BS1032">
        <f>$C1032*BS1031</f>
        <v/>
      </c>
      <c r="BT1032">
        <f>$C1032*BT1031</f>
        <v/>
      </c>
      <c r="BU1032">
        <f>$C1032*BU1031</f>
        <v/>
      </c>
      <c r="BV1032">
        <f>$C1032*BV1031</f>
        <v/>
      </c>
      <c r="BW1032">
        <f>$C1032*BW1031</f>
        <v/>
      </c>
      <c r="BX1032">
        <f>$C1032*BX1031</f>
        <v/>
      </c>
      <c r="BY1032">
        <f>$C1032*BY1031</f>
        <v/>
      </c>
      <c r="BZ1032">
        <f>$C1032*BZ1031</f>
        <v/>
      </c>
      <c r="CA1032">
        <f>$C1032*CA1031</f>
        <v/>
      </c>
      <c r="CB1032">
        <f>$C1032*CB1031</f>
        <v/>
      </c>
      <c r="CC1032">
        <f>$C1032*CC1031</f>
        <v/>
      </c>
      <c r="CD1032">
        <f>$C1032*CD1031</f>
        <v/>
      </c>
      <c r="CE1032">
        <f>$C1032*CE1031</f>
        <v/>
      </c>
      <c r="CF1032">
        <f>$C1032*CF1031</f>
        <v/>
      </c>
      <c r="CG1032">
        <f>$C1032*CG1031</f>
        <v/>
      </c>
      <c r="CH1032">
        <f>$C1032*CH1031</f>
        <v/>
      </c>
      <c r="CI1032">
        <f>$C1032*CI1031</f>
        <v/>
      </c>
      <c r="CJ1032">
        <f>$C1032*CJ1031</f>
        <v/>
      </c>
      <c r="CK1032">
        <f>$C1032*CK1031</f>
        <v/>
      </c>
      <c r="CL1032">
        <f>$C1032*CL1031</f>
        <v/>
      </c>
      <c r="CM1032">
        <f>$C1032*CM1031</f>
        <v/>
      </c>
      <c r="CN1032">
        <f>$C1032*CN1031</f>
        <v/>
      </c>
      <c r="CO1032">
        <f>$C1032*CO1031</f>
        <v/>
      </c>
      <c r="CP1032">
        <f>$C1032*CP1031</f>
        <v/>
      </c>
      <c r="CQ1032">
        <f>$C1032*CQ1031</f>
        <v/>
      </c>
      <c r="CR1032">
        <f>$C1032*CR1031</f>
        <v/>
      </c>
      <c r="CS1032">
        <f>$C1032*CS1031</f>
        <v/>
      </c>
      <c r="CT1032">
        <f>$C1032*CT1031</f>
        <v/>
      </c>
      <c r="CU1032">
        <f>$C1032*CU1031</f>
        <v/>
      </c>
      <c r="CV1032">
        <f>$C1032*CV1031</f>
        <v/>
      </c>
      <c r="CW1032">
        <f>$C1032*CW1031</f>
        <v/>
      </c>
      <c r="CX1032">
        <f>$C1032*CX1031</f>
        <v/>
      </c>
      <c r="CY1032">
        <f>$C1032*CY1031</f>
        <v/>
      </c>
      <c r="CZ1032">
        <f>$C1032*CZ1031</f>
        <v/>
      </c>
      <c r="DA1032">
        <f>$C1032*DA1031</f>
        <v/>
      </c>
      <c r="DB1032">
        <f>$C1032*DB1031</f>
        <v/>
      </c>
      <c r="DC1032">
        <f>$C1032*DC1031</f>
        <v/>
      </c>
    </row>
    <row r="1033">
      <c r="B1033" t="inlineStr">
        <is>
          <t>TSP-937</t>
        </is>
      </c>
      <c r="C1033" t="inlineStr">
        <is>
          <t>No. of batches</t>
        </is>
      </c>
      <c r="D1033">
        <f>IFERROR(INDEX(PP_Grid[#Data],$DD1033,2),0)</f>
        <v/>
      </c>
      <c r="E1033">
        <f>IFERROR(INDEX(PP_Grid[#Data],$DD1033,3),0)</f>
        <v/>
      </c>
      <c r="F1033">
        <f>IFERROR(INDEX(PP_Grid[#Data],$DD1033,4),0)</f>
        <v/>
      </c>
      <c r="G1033">
        <f>IFERROR(INDEX(PP_Grid[#Data],$DD1033,5),0)</f>
        <v/>
      </c>
      <c r="H1033">
        <f>IFERROR(INDEX(PP_Grid[#Data],$DD1033,6),0)</f>
        <v/>
      </c>
      <c r="I1033">
        <f>IFERROR(INDEX(PP_Grid[#Data],$DD1033,7),0)</f>
        <v/>
      </c>
      <c r="J1033">
        <f>IFERROR(INDEX(PP_Grid[#Data],$DD1033,8),0)</f>
        <v/>
      </c>
      <c r="K1033">
        <f>IFERROR(INDEX(PP_Grid[#Data],$DD1033,9),0)</f>
        <v/>
      </c>
      <c r="L1033">
        <f>IFERROR(INDEX(PP_Grid[#Data],$DD1033,10),0)</f>
        <v/>
      </c>
      <c r="M1033">
        <f>IFERROR(INDEX(PP_Grid[#Data],$DD1033,11),0)</f>
        <v/>
      </c>
      <c r="N1033">
        <f>IFERROR(INDEX(PP_Grid[#Data],$DD1033,12),0)</f>
        <v/>
      </c>
      <c r="O1033">
        <f>IFERROR(INDEX(PP_Grid[#Data],$DD1033,13),0)</f>
        <v/>
      </c>
      <c r="P1033">
        <f>IFERROR(INDEX(PP_Grid[#Data],$DD1033,14),0)</f>
        <v/>
      </c>
      <c r="Q1033">
        <f>IFERROR(INDEX(PP_Grid[#Data],$DD1033,15),0)</f>
        <v/>
      </c>
      <c r="R1033">
        <f>IFERROR(INDEX(PP_Grid[#Data],$DD1033,16),0)</f>
        <v/>
      </c>
      <c r="S1033">
        <f>IFERROR(INDEX(PP_Grid[#Data],$DD1033,17),0)</f>
        <v/>
      </c>
      <c r="T1033">
        <f>IFERROR(INDEX(PP_Grid[#Data],$DD1033,18),0)</f>
        <v/>
      </c>
      <c r="U1033">
        <f>IFERROR(INDEX(PP_Grid[#Data],$DD1033,19),0)</f>
        <v/>
      </c>
      <c r="V1033">
        <f>IFERROR(INDEX(PP_Grid[#Data],$DD1033,20),0)</f>
        <v/>
      </c>
      <c r="W1033">
        <f>IFERROR(INDEX(PP_Grid[#Data],$DD1033,21),0)</f>
        <v/>
      </c>
      <c r="X1033">
        <f>IFERROR(INDEX(PP_Grid[#Data],$DD1033,22),0)</f>
        <v/>
      </c>
      <c r="Y1033">
        <f>IFERROR(INDEX(PP_Grid[#Data],$DD1033,23),0)</f>
        <v/>
      </c>
      <c r="Z1033">
        <f>IFERROR(INDEX(PP_Grid[#Data],$DD1033,24),0)</f>
        <v/>
      </c>
      <c r="AA1033">
        <f>IFERROR(INDEX(PP_Grid[#Data],$DD1033,25),0)</f>
        <v/>
      </c>
      <c r="AB1033">
        <f>IFERROR(INDEX(PP_Grid[#Data],$DD1033,26),0)</f>
        <v/>
      </c>
      <c r="AC1033">
        <f>IFERROR(INDEX(PP_Grid[#Data],$DD1033,27),0)</f>
        <v/>
      </c>
      <c r="AD1033">
        <f>IFERROR(INDEX(PP_Grid[#Data],$DD1033,28),0)</f>
        <v/>
      </c>
      <c r="AE1033">
        <f>IFERROR(INDEX(PP_Grid[#Data],$DD1033,29),0)</f>
        <v/>
      </c>
      <c r="AF1033">
        <f>IFERROR(INDEX(PP_Grid[#Data],$DD1033,30),0)</f>
        <v/>
      </c>
      <c r="AG1033">
        <f>IFERROR(INDEX(PP_Grid[#Data],$DD1033,31),0)</f>
        <v/>
      </c>
      <c r="AH1033">
        <f>IFERROR(INDEX(PP_Grid[#Data],$DD1033,32),0)</f>
        <v/>
      </c>
      <c r="AI1033">
        <f>IFERROR(INDEX(PP_Grid[#Data],$DD1033,33),0)</f>
        <v/>
      </c>
      <c r="AJ1033">
        <f>IFERROR(INDEX(PP_Grid[#Data],$DD1033,34),0)</f>
        <v/>
      </c>
      <c r="AK1033">
        <f>IFERROR(INDEX(PP_Grid[#Data],$DD1033,35),0)</f>
        <v/>
      </c>
      <c r="AL1033">
        <f>IFERROR(INDEX(PP_Grid[#Data],$DD1033,36),0)</f>
        <v/>
      </c>
      <c r="AM1033">
        <f>IFERROR(INDEX(PP_Grid[#Data],$DD1033,37),0)</f>
        <v/>
      </c>
      <c r="AN1033">
        <f>IFERROR(INDEX(PP_Grid[#Data],$DD1033,38),0)</f>
        <v/>
      </c>
      <c r="AO1033">
        <f>IFERROR(INDEX(PP_Grid[#Data],$DD1033,39),0)</f>
        <v/>
      </c>
      <c r="AP1033">
        <f>IFERROR(INDEX(PP_Grid[#Data],$DD1033,40),0)</f>
        <v/>
      </c>
      <c r="AQ1033">
        <f>IFERROR(INDEX(PP_Grid[#Data],$DD1033,41),0)</f>
        <v/>
      </c>
      <c r="AR1033">
        <f>IFERROR(INDEX(PP_Grid[#Data],$DD1033,42),0)</f>
        <v/>
      </c>
      <c r="AS1033">
        <f>IFERROR(INDEX(PP_Grid[#Data],$DD1033,43),0)</f>
        <v/>
      </c>
      <c r="AT1033">
        <f>IFERROR(INDEX(PP_Grid[#Data],$DD1033,44),0)</f>
        <v/>
      </c>
      <c r="AU1033">
        <f>IFERROR(INDEX(PP_Grid[#Data],$DD1033,45),0)</f>
        <v/>
      </c>
      <c r="AV1033">
        <f>IFERROR(INDEX(PP_Grid[#Data],$DD1033,46),0)</f>
        <v/>
      </c>
      <c r="AW1033">
        <f>IFERROR(INDEX(PP_Grid[#Data],$DD1033,47),0)</f>
        <v/>
      </c>
      <c r="AX1033">
        <f>IFERROR(INDEX(PP_Grid[#Data],$DD1033,48),0)</f>
        <v/>
      </c>
      <c r="AY1033">
        <f>IFERROR(INDEX(PP_Grid[#Data],$DD1033,49),0)</f>
        <v/>
      </c>
      <c r="AZ1033">
        <f>IFERROR(INDEX(PP_Grid[#Data],$DD1033,50),0)</f>
        <v/>
      </c>
      <c r="BA1033">
        <f>IFERROR(INDEX(PP_Grid[#Data],$DD1033,51),0)</f>
        <v/>
      </c>
      <c r="BB1033">
        <f>IFERROR(INDEX(PP_Grid[#Data],$DD1033,52),0)</f>
        <v/>
      </c>
      <c r="BC1033">
        <f>IFERROR(INDEX(PP_Grid[#Data],$DD1033,53),0)</f>
        <v/>
      </c>
      <c r="BD1033">
        <f>IFERROR(INDEX(PP_Grid[#Data],$DD1033,54),0)</f>
        <v/>
      </c>
      <c r="BE1033">
        <f>IFERROR(INDEX(PP_Grid[#Data],$DD1033,55),0)</f>
        <v/>
      </c>
      <c r="BF1033">
        <f>IFERROR(INDEX(PP_Grid[#Data],$DD1033,56),0)</f>
        <v/>
      </c>
      <c r="BG1033">
        <f>IFERROR(INDEX(PP_Grid[#Data],$DD1033,57),0)</f>
        <v/>
      </c>
      <c r="BH1033">
        <f>IFERROR(INDEX(PP_Grid[#Data],$DD1033,58),0)</f>
        <v/>
      </c>
      <c r="BI1033">
        <f>IFERROR(INDEX(PP_Grid[#Data],$DD1033,59),0)</f>
        <v/>
      </c>
      <c r="BJ1033">
        <f>IFERROR(INDEX(PP_Grid[#Data],$DD1033,60),0)</f>
        <v/>
      </c>
      <c r="BK1033">
        <f>IFERROR(INDEX(PP_Grid[#Data],$DD1033,61),0)</f>
        <v/>
      </c>
      <c r="BL1033">
        <f>IFERROR(INDEX(PP_Grid[#Data],$DD1033,62),0)</f>
        <v/>
      </c>
      <c r="BM1033">
        <f>IFERROR(INDEX(PP_Grid[#Data],$DD1033,63),0)</f>
        <v/>
      </c>
      <c r="BN1033">
        <f>IFERROR(INDEX(PP_Grid[#Data],$DD1033,64),0)</f>
        <v/>
      </c>
      <c r="BO1033">
        <f>IFERROR(INDEX(PP_Grid[#Data],$DD1033,65),0)</f>
        <v/>
      </c>
      <c r="BP1033">
        <f>IFERROR(INDEX(PP_Grid[#Data],$DD1033,66),0)</f>
        <v/>
      </c>
      <c r="BQ1033">
        <f>IFERROR(INDEX(PP_Grid[#Data],$DD1033,67),0)</f>
        <v/>
      </c>
      <c r="BR1033">
        <f>IFERROR(INDEX(PP_Grid[#Data],$DD1033,68),0)</f>
        <v/>
      </c>
      <c r="BS1033">
        <f>IFERROR(INDEX(PP_Grid[#Data],$DD1033,69),0)</f>
        <v/>
      </c>
      <c r="BT1033">
        <f>IFERROR(INDEX(PP_Grid[#Data],$DD1033,70),0)</f>
        <v/>
      </c>
      <c r="BU1033">
        <f>IFERROR(INDEX(PP_Grid[#Data],$DD1033,71),0)</f>
        <v/>
      </c>
      <c r="BV1033">
        <f>IFERROR(INDEX(PP_Grid[#Data],$DD1033,72),0)</f>
        <v/>
      </c>
      <c r="BW1033">
        <f>IFERROR(INDEX(PP_Grid[#Data],$DD1033,73),0)</f>
        <v/>
      </c>
      <c r="BX1033">
        <f>IFERROR(INDEX(PP_Grid[#Data],$DD1033,74),0)</f>
        <v/>
      </c>
      <c r="BY1033">
        <f>IFERROR(INDEX(PP_Grid[#Data],$DD1033,75),0)</f>
        <v/>
      </c>
      <c r="BZ1033">
        <f>IFERROR(INDEX(PP_Grid[#Data],$DD1033,76),0)</f>
        <v/>
      </c>
      <c r="CA1033">
        <f>IFERROR(INDEX(PP_Grid[#Data],$DD1033,77),0)</f>
        <v/>
      </c>
      <c r="CB1033">
        <f>IFERROR(INDEX(PP_Grid[#Data],$DD1033,78),0)</f>
        <v/>
      </c>
      <c r="CC1033">
        <f>IFERROR(INDEX(PP_Grid[#Data],$DD1033,79),0)</f>
        <v/>
      </c>
      <c r="CD1033">
        <f>IFERROR(INDEX(PP_Grid[#Data],$DD1033,80),0)</f>
        <v/>
      </c>
      <c r="CE1033">
        <f>IFERROR(INDEX(PP_Grid[#Data],$DD1033,81),0)</f>
        <v/>
      </c>
      <c r="CF1033">
        <f>IFERROR(INDEX(PP_Grid[#Data],$DD1033,82),0)</f>
        <v/>
      </c>
      <c r="CG1033">
        <f>IFERROR(INDEX(PP_Grid[#Data],$DD1033,83),0)</f>
        <v/>
      </c>
      <c r="CH1033">
        <f>IFERROR(INDEX(PP_Grid[#Data],$DD1033,84),0)</f>
        <v/>
      </c>
      <c r="CI1033">
        <f>IFERROR(INDEX(PP_Grid[#Data],$DD1033,85),0)</f>
        <v/>
      </c>
      <c r="CJ1033">
        <f>IFERROR(INDEX(PP_Grid[#Data],$DD1033,86),0)</f>
        <v/>
      </c>
      <c r="CK1033">
        <f>IFERROR(INDEX(PP_Grid[#Data],$DD1033,87),0)</f>
        <v/>
      </c>
      <c r="CL1033">
        <f>IFERROR(INDEX(PP_Grid[#Data],$DD1033,88),0)</f>
        <v/>
      </c>
      <c r="CM1033">
        <f>IFERROR(INDEX(PP_Grid[#Data],$DD1033,89),0)</f>
        <v/>
      </c>
      <c r="CN1033">
        <f>IFERROR(INDEX(PP_Grid[#Data],$DD1033,90),0)</f>
        <v/>
      </c>
      <c r="CO1033">
        <f>IFERROR(INDEX(PP_Grid[#Data],$DD1033,91),0)</f>
        <v/>
      </c>
      <c r="CP1033">
        <f>IFERROR(INDEX(PP_Grid[#Data],$DD1033,92),0)</f>
        <v/>
      </c>
      <c r="CQ1033">
        <f>IFERROR(INDEX(PP_Grid[#Data],$DD1033,93),0)</f>
        <v/>
      </c>
      <c r="CR1033">
        <f>IFERROR(INDEX(PP_Grid[#Data],$DD1033,94),0)</f>
        <v/>
      </c>
      <c r="CS1033">
        <f>IFERROR(INDEX(PP_Grid[#Data],$DD1033,95),0)</f>
        <v/>
      </c>
      <c r="CT1033">
        <f>IFERROR(INDEX(PP_Grid[#Data],$DD1033,96),0)</f>
        <v/>
      </c>
      <c r="CU1033">
        <f>IFERROR(INDEX(PP_Grid[#Data],$DD1033,97),0)</f>
        <v/>
      </c>
      <c r="CV1033">
        <f>IFERROR(INDEX(PP_Grid[#Data],$DD1033,98),0)</f>
        <v/>
      </c>
      <c r="CW1033">
        <f>IFERROR(INDEX(PP_Grid[#Data],$DD1033,99),0)</f>
        <v/>
      </c>
      <c r="CX1033">
        <f>IFERROR(INDEX(PP_Grid[#Data],$DD1033,100),0)</f>
        <v/>
      </c>
      <c r="CY1033">
        <f>IFERROR(INDEX(PP_Grid[#Data],$DD1033,101),0)</f>
        <v/>
      </c>
      <c r="CZ1033">
        <f>IFERROR(INDEX(PP_Grid[#Data],$DD1033,102),0)</f>
        <v/>
      </c>
      <c r="DA1033">
        <f>IFERROR(INDEX(PP_Grid[#Data],$DD1033,103),0)</f>
        <v/>
      </c>
      <c r="DB1033">
        <f>IFERROR(INDEX(PP_Grid[#Data],$DD1033,104),0)</f>
        <v/>
      </c>
      <c r="DC1033">
        <f>IFERROR(INDEX(PP_Grid[#Data],$DD1033,105),0)</f>
        <v/>
      </c>
      <c r="DD1033" s="12">
        <f>IFERROR(MATCH($B1033,PP_Grid[Intermediate],0),99999)</f>
        <v/>
      </c>
    </row>
    <row r="1034">
      <c r="B1034" t="inlineStr">
        <is>
          <t>使用量(kg)</t>
        </is>
      </c>
      <c r="C1034">
        <f>SUMIFS(M_BOM[RM_Qty_Per_Batch],M_BOM[Intermediate],$B1033,M_BOM[Part Name],$A988)</f>
        <v/>
      </c>
      <c r="D1034">
        <f>$C1034*D1033</f>
        <v/>
      </c>
      <c r="E1034">
        <f>$C1034*E1033</f>
        <v/>
      </c>
      <c r="F1034">
        <f>$C1034*F1033</f>
        <v/>
      </c>
      <c r="G1034">
        <f>$C1034*G1033</f>
        <v/>
      </c>
      <c r="H1034">
        <f>$C1034*H1033</f>
        <v/>
      </c>
      <c r="I1034">
        <f>$C1034*I1033</f>
        <v/>
      </c>
      <c r="J1034">
        <f>$C1034*J1033</f>
        <v/>
      </c>
      <c r="K1034">
        <f>$C1034*K1033</f>
        <v/>
      </c>
      <c r="L1034">
        <f>$C1034*L1033</f>
        <v/>
      </c>
      <c r="M1034">
        <f>$C1034*M1033</f>
        <v/>
      </c>
      <c r="N1034">
        <f>$C1034*N1033</f>
        <v/>
      </c>
      <c r="O1034">
        <f>$C1034*O1033</f>
        <v/>
      </c>
      <c r="P1034">
        <f>$C1034*P1033</f>
        <v/>
      </c>
      <c r="Q1034">
        <f>$C1034*Q1033</f>
        <v/>
      </c>
      <c r="R1034">
        <f>$C1034*R1033</f>
        <v/>
      </c>
      <c r="S1034">
        <f>$C1034*S1033</f>
        <v/>
      </c>
      <c r="T1034">
        <f>$C1034*T1033</f>
        <v/>
      </c>
      <c r="U1034">
        <f>$C1034*U1033</f>
        <v/>
      </c>
      <c r="V1034">
        <f>$C1034*V1033</f>
        <v/>
      </c>
      <c r="W1034">
        <f>$C1034*W1033</f>
        <v/>
      </c>
      <c r="X1034">
        <f>$C1034*X1033</f>
        <v/>
      </c>
      <c r="Y1034">
        <f>$C1034*Y1033</f>
        <v/>
      </c>
      <c r="Z1034">
        <f>$C1034*Z1033</f>
        <v/>
      </c>
      <c r="AA1034">
        <f>$C1034*AA1033</f>
        <v/>
      </c>
      <c r="AB1034">
        <f>$C1034*AB1033</f>
        <v/>
      </c>
      <c r="AC1034">
        <f>$C1034*AC1033</f>
        <v/>
      </c>
      <c r="AD1034">
        <f>$C1034*AD1033</f>
        <v/>
      </c>
      <c r="AE1034">
        <f>$C1034*AE1033</f>
        <v/>
      </c>
      <c r="AF1034">
        <f>$C1034*AF1033</f>
        <v/>
      </c>
      <c r="AG1034">
        <f>$C1034*AG1033</f>
        <v/>
      </c>
      <c r="AH1034">
        <f>$C1034*AH1033</f>
        <v/>
      </c>
      <c r="AI1034">
        <f>$C1034*AI1033</f>
        <v/>
      </c>
      <c r="AJ1034">
        <f>$C1034*AJ1033</f>
        <v/>
      </c>
      <c r="AK1034">
        <f>$C1034*AK1033</f>
        <v/>
      </c>
      <c r="AL1034">
        <f>$C1034*AL1033</f>
        <v/>
      </c>
      <c r="AM1034">
        <f>$C1034*AM1033</f>
        <v/>
      </c>
      <c r="AN1034">
        <f>$C1034*AN1033</f>
        <v/>
      </c>
      <c r="AO1034">
        <f>$C1034*AO1033</f>
        <v/>
      </c>
      <c r="AP1034">
        <f>$C1034*AP1033</f>
        <v/>
      </c>
      <c r="AQ1034">
        <f>$C1034*AQ1033</f>
        <v/>
      </c>
      <c r="AR1034">
        <f>$C1034*AR1033</f>
        <v/>
      </c>
      <c r="AS1034">
        <f>$C1034*AS1033</f>
        <v/>
      </c>
      <c r="AT1034">
        <f>$C1034*AT1033</f>
        <v/>
      </c>
      <c r="AU1034">
        <f>$C1034*AU1033</f>
        <v/>
      </c>
      <c r="AV1034">
        <f>$C1034*AV1033</f>
        <v/>
      </c>
      <c r="AW1034">
        <f>$C1034*AW1033</f>
        <v/>
      </c>
      <c r="AX1034">
        <f>$C1034*AX1033</f>
        <v/>
      </c>
      <c r="AY1034">
        <f>$C1034*AY1033</f>
        <v/>
      </c>
      <c r="AZ1034">
        <f>$C1034*AZ1033</f>
        <v/>
      </c>
      <c r="BA1034">
        <f>$C1034*BA1033</f>
        <v/>
      </c>
      <c r="BB1034">
        <f>$C1034*BB1033</f>
        <v/>
      </c>
      <c r="BC1034">
        <f>$C1034*BC1033</f>
        <v/>
      </c>
      <c r="BD1034">
        <f>$C1034*BD1033</f>
        <v/>
      </c>
      <c r="BE1034">
        <f>$C1034*BE1033</f>
        <v/>
      </c>
      <c r="BF1034">
        <f>$C1034*BF1033</f>
        <v/>
      </c>
      <c r="BG1034">
        <f>$C1034*BG1033</f>
        <v/>
      </c>
      <c r="BH1034">
        <f>$C1034*BH1033</f>
        <v/>
      </c>
      <c r="BI1034">
        <f>$C1034*BI1033</f>
        <v/>
      </c>
      <c r="BJ1034">
        <f>$C1034*BJ1033</f>
        <v/>
      </c>
      <c r="BK1034">
        <f>$C1034*BK1033</f>
        <v/>
      </c>
      <c r="BL1034">
        <f>$C1034*BL1033</f>
        <v/>
      </c>
      <c r="BM1034">
        <f>$C1034*BM1033</f>
        <v/>
      </c>
      <c r="BN1034">
        <f>$C1034*BN1033</f>
        <v/>
      </c>
      <c r="BO1034">
        <f>$C1034*BO1033</f>
        <v/>
      </c>
      <c r="BP1034">
        <f>$C1034*BP1033</f>
        <v/>
      </c>
      <c r="BQ1034">
        <f>$C1034*BQ1033</f>
        <v/>
      </c>
      <c r="BR1034">
        <f>$C1034*BR1033</f>
        <v/>
      </c>
      <c r="BS1034">
        <f>$C1034*BS1033</f>
        <v/>
      </c>
      <c r="BT1034">
        <f>$C1034*BT1033</f>
        <v/>
      </c>
      <c r="BU1034">
        <f>$C1034*BU1033</f>
        <v/>
      </c>
      <c r="BV1034">
        <f>$C1034*BV1033</f>
        <v/>
      </c>
      <c r="BW1034">
        <f>$C1034*BW1033</f>
        <v/>
      </c>
      <c r="BX1034">
        <f>$C1034*BX1033</f>
        <v/>
      </c>
      <c r="BY1034">
        <f>$C1034*BY1033</f>
        <v/>
      </c>
      <c r="BZ1034">
        <f>$C1034*BZ1033</f>
        <v/>
      </c>
      <c r="CA1034">
        <f>$C1034*CA1033</f>
        <v/>
      </c>
      <c r="CB1034">
        <f>$C1034*CB1033</f>
        <v/>
      </c>
      <c r="CC1034">
        <f>$C1034*CC1033</f>
        <v/>
      </c>
      <c r="CD1034">
        <f>$C1034*CD1033</f>
        <v/>
      </c>
      <c r="CE1034">
        <f>$C1034*CE1033</f>
        <v/>
      </c>
      <c r="CF1034">
        <f>$C1034*CF1033</f>
        <v/>
      </c>
      <c r="CG1034">
        <f>$C1034*CG1033</f>
        <v/>
      </c>
      <c r="CH1034">
        <f>$C1034*CH1033</f>
        <v/>
      </c>
      <c r="CI1034">
        <f>$C1034*CI1033</f>
        <v/>
      </c>
      <c r="CJ1034">
        <f>$C1034*CJ1033</f>
        <v/>
      </c>
      <c r="CK1034">
        <f>$C1034*CK1033</f>
        <v/>
      </c>
      <c r="CL1034">
        <f>$C1034*CL1033</f>
        <v/>
      </c>
      <c r="CM1034">
        <f>$C1034*CM1033</f>
        <v/>
      </c>
      <c r="CN1034">
        <f>$C1034*CN1033</f>
        <v/>
      </c>
      <c r="CO1034">
        <f>$C1034*CO1033</f>
        <v/>
      </c>
      <c r="CP1034">
        <f>$C1034*CP1033</f>
        <v/>
      </c>
      <c r="CQ1034">
        <f>$C1034*CQ1033</f>
        <v/>
      </c>
      <c r="CR1034">
        <f>$C1034*CR1033</f>
        <v/>
      </c>
      <c r="CS1034">
        <f>$C1034*CS1033</f>
        <v/>
      </c>
      <c r="CT1034">
        <f>$C1034*CT1033</f>
        <v/>
      </c>
      <c r="CU1034">
        <f>$C1034*CU1033</f>
        <v/>
      </c>
      <c r="CV1034">
        <f>$C1034*CV1033</f>
        <v/>
      </c>
      <c r="CW1034">
        <f>$C1034*CW1033</f>
        <v/>
      </c>
      <c r="CX1034">
        <f>$C1034*CX1033</f>
        <v/>
      </c>
      <c r="CY1034">
        <f>$C1034*CY1033</f>
        <v/>
      </c>
      <c r="CZ1034">
        <f>$C1034*CZ1033</f>
        <v/>
      </c>
      <c r="DA1034">
        <f>$C1034*DA1033</f>
        <v/>
      </c>
      <c r="DB1034">
        <f>$C1034*DB1033</f>
        <v/>
      </c>
      <c r="DC1034">
        <f>$C1034*DC1033</f>
        <v/>
      </c>
    </row>
    <row r="1035">
      <c r="B1035" t="inlineStr">
        <is>
          <t>TSP-959</t>
        </is>
      </c>
      <c r="C1035" t="inlineStr">
        <is>
          <t>No. of batches</t>
        </is>
      </c>
      <c r="D1035">
        <f>IFERROR(INDEX(PP_Grid[#Data],$DD1035,2),0)</f>
        <v/>
      </c>
      <c r="E1035">
        <f>IFERROR(INDEX(PP_Grid[#Data],$DD1035,3),0)</f>
        <v/>
      </c>
      <c r="F1035">
        <f>IFERROR(INDEX(PP_Grid[#Data],$DD1035,4),0)</f>
        <v/>
      </c>
      <c r="G1035">
        <f>IFERROR(INDEX(PP_Grid[#Data],$DD1035,5),0)</f>
        <v/>
      </c>
      <c r="H1035">
        <f>IFERROR(INDEX(PP_Grid[#Data],$DD1035,6),0)</f>
        <v/>
      </c>
      <c r="I1035">
        <f>IFERROR(INDEX(PP_Grid[#Data],$DD1035,7),0)</f>
        <v/>
      </c>
      <c r="J1035">
        <f>IFERROR(INDEX(PP_Grid[#Data],$DD1035,8),0)</f>
        <v/>
      </c>
      <c r="K1035">
        <f>IFERROR(INDEX(PP_Grid[#Data],$DD1035,9),0)</f>
        <v/>
      </c>
      <c r="L1035">
        <f>IFERROR(INDEX(PP_Grid[#Data],$DD1035,10),0)</f>
        <v/>
      </c>
      <c r="M1035">
        <f>IFERROR(INDEX(PP_Grid[#Data],$DD1035,11),0)</f>
        <v/>
      </c>
      <c r="N1035">
        <f>IFERROR(INDEX(PP_Grid[#Data],$DD1035,12),0)</f>
        <v/>
      </c>
      <c r="O1035">
        <f>IFERROR(INDEX(PP_Grid[#Data],$DD1035,13),0)</f>
        <v/>
      </c>
      <c r="P1035">
        <f>IFERROR(INDEX(PP_Grid[#Data],$DD1035,14),0)</f>
        <v/>
      </c>
      <c r="Q1035">
        <f>IFERROR(INDEX(PP_Grid[#Data],$DD1035,15),0)</f>
        <v/>
      </c>
      <c r="R1035">
        <f>IFERROR(INDEX(PP_Grid[#Data],$DD1035,16),0)</f>
        <v/>
      </c>
      <c r="S1035">
        <f>IFERROR(INDEX(PP_Grid[#Data],$DD1035,17),0)</f>
        <v/>
      </c>
      <c r="T1035">
        <f>IFERROR(INDEX(PP_Grid[#Data],$DD1035,18),0)</f>
        <v/>
      </c>
      <c r="U1035">
        <f>IFERROR(INDEX(PP_Grid[#Data],$DD1035,19),0)</f>
        <v/>
      </c>
      <c r="V1035">
        <f>IFERROR(INDEX(PP_Grid[#Data],$DD1035,20),0)</f>
        <v/>
      </c>
      <c r="W1035">
        <f>IFERROR(INDEX(PP_Grid[#Data],$DD1035,21),0)</f>
        <v/>
      </c>
      <c r="X1035">
        <f>IFERROR(INDEX(PP_Grid[#Data],$DD1035,22),0)</f>
        <v/>
      </c>
      <c r="Y1035">
        <f>IFERROR(INDEX(PP_Grid[#Data],$DD1035,23),0)</f>
        <v/>
      </c>
      <c r="Z1035">
        <f>IFERROR(INDEX(PP_Grid[#Data],$DD1035,24),0)</f>
        <v/>
      </c>
      <c r="AA1035">
        <f>IFERROR(INDEX(PP_Grid[#Data],$DD1035,25),0)</f>
        <v/>
      </c>
      <c r="AB1035">
        <f>IFERROR(INDEX(PP_Grid[#Data],$DD1035,26),0)</f>
        <v/>
      </c>
      <c r="AC1035">
        <f>IFERROR(INDEX(PP_Grid[#Data],$DD1035,27),0)</f>
        <v/>
      </c>
      <c r="AD1035">
        <f>IFERROR(INDEX(PP_Grid[#Data],$DD1035,28),0)</f>
        <v/>
      </c>
      <c r="AE1035">
        <f>IFERROR(INDEX(PP_Grid[#Data],$DD1035,29),0)</f>
        <v/>
      </c>
      <c r="AF1035">
        <f>IFERROR(INDEX(PP_Grid[#Data],$DD1035,30),0)</f>
        <v/>
      </c>
      <c r="AG1035">
        <f>IFERROR(INDEX(PP_Grid[#Data],$DD1035,31),0)</f>
        <v/>
      </c>
      <c r="AH1035">
        <f>IFERROR(INDEX(PP_Grid[#Data],$DD1035,32),0)</f>
        <v/>
      </c>
      <c r="AI1035">
        <f>IFERROR(INDEX(PP_Grid[#Data],$DD1035,33),0)</f>
        <v/>
      </c>
      <c r="AJ1035">
        <f>IFERROR(INDEX(PP_Grid[#Data],$DD1035,34),0)</f>
        <v/>
      </c>
      <c r="AK1035">
        <f>IFERROR(INDEX(PP_Grid[#Data],$DD1035,35),0)</f>
        <v/>
      </c>
      <c r="AL1035">
        <f>IFERROR(INDEX(PP_Grid[#Data],$DD1035,36),0)</f>
        <v/>
      </c>
      <c r="AM1035">
        <f>IFERROR(INDEX(PP_Grid[#Data],$DD1035,37),0)</f>
        <v/>
      </c>
      <c r="AN1035">
        <f>IFERROR(INDEX(PP_Grid[#Data],$DD1035,38),0)</f>
        <v/>
      </c>
      <c r="AO1035">
        <f>IFERROR(INDEX(PP_Grid[#Data],$DD1035,39),0)</f>
        <v/>
      </c>
      <c r="AP1035">
        <f>IFERROR(INDEX(PP_Grid[#Data],$DD1035,40),0)</f>
        <v/>
      </c>
      <c r="AQ1035">
        <f>IFERROR(INDEX(PP_Grid[#Data],$DD1035,41),0)</f>
        <v/>
      </c>
      <c r="AR1035">
        <f>IFERROR(INDEX(PP_Grid[#Data],$DD1035,42),0)</f>
        <v/>
      </c>
      <c r="AS1035">
        <f>IFERROR(INDEX(PP_Grid[#Data],$DD1035,43),0)</f>
        <v/>
      </c>
      <c r="AT1035">
        <f>IFERROR(INDEX(PP_Grid[#Data],$DD1035,44),0)</f>
        <v/>
      </c>
      <c r="AU1035">
        <f>IFERROR(INDEX(PP_Grid[#Data],$DD1035,45),0)</f>
        <v/>
      </c>
      <c r="AV1035">
        <f>IFERROR(INDEX(PP_Grid[#Data],$DD1035,46),0)</f>
        <v/>
      </c>
      <c r="AW1035">
        <f>IFERROR(INDEX(PP_Grid[#Data],$DD1035,47),0)</f>
        <v/>
      </c>
      <c r="AX1035">
        <f>IFERROR(INDEX(PP_Grid[#Data],$DD1035,48),0)</f>
        <v/>
      </c>
      <c r="AY1035">
        <f>IFERROR(INDEX(PP_Grid[#Data],$DD1035,49),0)</f>
        <v/>
      </c>
      <c r="AZ1035">
        <f>IFERROR(INDEX(PP_Grid[#Data],$DD1035,50),0)</f>
        <v/>
      </c>
      <c r="BA1035">
        <f>IFERROR(INDEX(PP_Grid[#Data],$DD1035,51),0)</f>
        <v/>
      </c>
      <c r="BB1035">
        <f>IFERROR(INDEX(PP_Grid[#Data],$DD1035,52),0)</f>
        <v/>
      </c>
      <c r="BC1035">
        <f>IFERROR(INDEX(PP_Grid[#Data],$DD1035,53),0)</f>
        <v/>
      </c>
      <c r="BD1035">
        <f>IFERROR(INDEX(PP_Grid[#Data],$DD1035,54),0)</f>
        <v/>
      </c>
      <c r="BE1035">
        <f>IFERROR(INDEX(PP_Grid[#Data],$DD1035,55),0)</f>
        <v/>
      </c>
      <c r="BF1035">
        <f>IFERROR(INDEX(PP_Grid[#Data],$DD1035,56),0)</f>
        <v/>
      </c>
      <c r="BG1035">
        <f>IFERROR(INDEX(PP_Grid[#Data],$DD1035,57),0)</f>
        <v/>
      </c>
      <c r="BH1035">
        <f>IFERROR(INDEX(PP_Grid[#Data],$DD1035,58),0)</f>
        <v/>
      </c>
      <c r="BI1035">
        <f>IFERROR(INDEX(PP_Grid[#Data],$DD1035,59),0)</f>
        <v/>
      </c>
      <c r="BJ1035">
        <f>IFERROR(INDEX(PP_Grid[#Data],$DD1035,60),0)</f>
        <v/>
      </c>
      <c r="BK1035">
        <f>IFERROR(INDEX(PP_Grid[#Data],$DD1035,61),0)</f>
        <v/>
      </c>
      <c r="BL1035">
        <f>IFERROR(INDEX(PP_Grid[#Data],$DD1035,62),0)</f>
        <v/>
      </c>
      <c r="BM1035">
        <f>IFERROR(INDEX(PP_Grid[#Data],$DD1035,63),0)</f>
        <v/>
      </c>
      <c r="BN1035">
        <f>IFERROR(INDEX(PP_Grid[#Data],$DD1035,64),0)</f>
        <v/>
      </c>
      <c r="BO1035">
        <f>IFERROR(INDEX(PP_Grid[#Data],$DD1035,65),0)</f>
        <v/>
      </c>
      <c r="BP1035">
        <f>IFERROR(INDEX(PP_Grid[#Data],$DD1035,66),0)</f>
        <v/>
      </c>
      <c r="BQ1035">
        <f>IFERROR(INDEX(PP_Grid[#Data],$DD1035,67),0)</f>
        <v/>
      </c>
      <c r="BR1035">
        <f>IFERROR(INDEX(PP_Grid[#Data],$DD1035,68),0)</f>
        <v/>
      </c>
      <c r="BS1035">
        <f>IFERROR(INDEX(PP_Grid[#Data],$DD1035,69),0)</f>
        <v/>
      </c>
      <c r="BT1035">
        <f>IFERROR(INDEX(PP_Grid[#Data],$DD1035,70),0)</f>
        <v/>
      </c>
      <c r="BU1035">
        <f>IFERROR(INDEX(PP_Grid[#Data],$DD1035,71),0)</f>
        <v/>
      </c>
      <c r="BV1035">
        <f>IFERROR(INDEX(PP_Grid[#Data],$DD1035,72),0)</f>
        <v/>
      </c>
      <c r="BW1035">
        <f>IFERROR(INDEX(PP_Grid[#Data],$DD1035,73),0)</f>
        <v/>
      </c>
      <c r="BX1035">
        <f>IFERROR(INDEX(PP_Grid[#Data],$DD1035,74),0)</f>
        <v/>
      </c>
      <c r="BY1035">
        <f>IFERROR(INDEX(PP_Grid[#Data],$DD1035,75),0)</f>
        <v/>
      </c>
      <c r="BZ1035">
        <f>IFERROR(INDEX(PP_Grid[#Data],$DD1035,76),0)</f>
        <v/>
      </c>
      <c r="CA1035">
        <f>IFERROR(INDEX(PP_Grid[#Data],$DD1035,77),0)</f>
        <v/>
      </c>
      <c r="CB1035">
        <f>IFERROR(INDEX(PP_Grid[#Data],$DD1035,78),0)</f>
        <v/>
      </c>
      <c r="CC1035">
        <f>IFERROR(INDEX(PP_Grid[#Data],$DD1035,79),0)</f>
        <v/>
      </c>
      <c r="CD1035">
        <f>IFERROR(INDEX(PP_Grid[#Data],$DD1035,80),0)</f>
        <v/>
      </c>
      <c r="CE1035">
        <f>IFERROR(INDEX(PP_Grid[#Data],$DD1035,81),0)</f>
        <v/>
      </c>
      <c r="CF1035">
        <f>IFERROR(INDEX(PP_Grid[#Data],$DD1035,82),0)</f>
        <v/>
      </c>
      <c r="CG1035">
        <f>IFERROR(INDEX(PP_Grid[#Data],$DD1035,83),0)</f>
        <v/>
      </c>
      <c r="CH1035">
        <f>IFERROR(INDEX(PP_Grid[#Data],$DD1035,84),0)</f>
        <v/>
      </c>
      <c r="CI1035">
        <f>IFERROR(INDEX(PP_Grid[#Data],$DD1035,85),0)</f>
        <v/>
      </c>
      <c r="CJ1035">
        <f>IFERROR(INDEX(PP_Grid[#Data],$DD1035,86),0)</f>
        <v/>
      </c>
      <c r="CK1035">
        <f>IFERROR(INDEX(PP_Grid[#Data],$DD1035,87),0)</f>
        <v/>
      </c>
      <c r="CL1035">
        <f>IFERROR(INDEX(PP_Grid[#Data],$DD1035,88),0)</f>
        <v/>
      </c>
      <c r="CM1035">
        <f>IFERROR(INDEX(PP_Grid[#Data],$DD1035,89),0)</f>
        <v/>
      </c>
      <c r="CN1035">
        <f>IFERROR(INDEX(PP_Grid[#Data],$DD1035,90),0)</f>
        <v/>
      </c>
      <c r="CO1035">
        <f>IFERROR(INDEX(PP_Grid[#Data],$DD1035,91),0)</f>
        <v/>
      </c>
      <c r="CP1035">
        <f>IFERROR(INDEX(PP_Grid[#Data],$DD1035,92),0)</f>
        <v/>
      </c>
      <c r="CQ1035">
        <f>IFERROR(INDEX(PP_Grid[#Data],$DD1035,93),0)</f>
        <v/>
      </c>
      <c r="CR1035">
        <f>IFERROR(INDEX(PP_Grid[#Data],$DD1035,94),0)</f>
        <v/>
      </c>
      <c r="CS1035">
        <f>IFERROR(INDEX(PP_Grid[#Data],$DD1035,95),0)</f>
        <v/>
      </c>
      <c r="CT1035">
        <f>IFERROR(INDEX(PP_Grid[#Data],$DD1035,96),0)</f>
        <v/>
      </c>
      <c r="CU1035">
        <f>IFERROR(INDEX(PP_Grid[#Data],$DD1035,97),0)</f>
        <v/>
      </c>
      <c r="CV1035">
        <f>IFERROR(INDEX(PP_Grid[#Data],$DD1035,98),0)</f>
        <v/>
      </c>
      <c r="CW1035">
        <f>IFERROR(INDEX(PP_Grid[#Data],$DD1035,99),0)</f>
        <v/>
      </c>
      <c r="CX1035">
        <f>IFERROR(INDEX(PP_Grid[#Data],$DD1035,100),0)</f>
        <v/>
      </c>
      <c r="CY1035">
        <f>IFERROR(INDEX(PP_Grid[#Data],$DD1035,101),0)</f>
        <v/>
      </c>
      <c r="CZ1035">
        <f>IFERROR(INDEX(PP_Grid[#Data],$DD1035,102),0)</f>
        <v/>
      </c>
      <c r="DA1035">
        <f>IFERROR(INDEX(PP_Grid[#Data],$DD1035,103),0)</f>
        <v/>
      </c>
      <c r="DB1035">
        <f>IFERROR(INDEX(PP_Grid[#Data],$DD1035,104),0)</f>
        <v/>
      </c>
      <c r="DC1035">
        <f>IFERROR(INDEX(PP_Grid[#Data],$DD1035,105),0)</f>
        <v/>
      </c>
      <c r="DD1035" s="12">
        <f>IFERROR(MATCH($B1035,PP_Grid[Intermediate],0),99999)</f>
        <v/>
      </c>
    </row>
    <row r="1036">
      <c r="B1036" t="inlineStr">
        <is>
          <t>使用量(kg)</t>
        </is>
      </c>
      <c r="C1036">
        <f>SUMIFS(M_BOM[RM_Qty_Per_Batch],M_BOM[Intermediate],$B1035,M_BOM[Part Name],$A988)</f>
        <v/>
      </c>
      <c r="D1036">
        <f>$C1036*D1035</f>
        <v/>
      </c>
      <c r="E1036">
        <f>$C1036*E1035</f>
        <v/>
      </c>
      <c r="F1036">
        <f>$C1036*F1035</f>
        <v/>
      </c>
      <c r="G1036">
        <f>$C1036*G1035</f>
        <v/>
      </c>
      <c r="H1036">
        <f>$C1036*H1035</f>
        <v/>
      </c>
      <c r="I1036">
        <f>$C1036*I1035</f>
        <v/>
      </c>
      <c r="J1036">
        <f>$C1036*J1035</f>
        <v/>
      </c>
      <c r="K1036">
        <f>$C1036*K1035</f>
        <v/>
      </c>
      <c r="L1036">
        <f>$C1036*L1035</f>
        <v/>
      </c>
      <c r="M1036">
        <f>$C1036*M1035</f>
        <v/>
      </c>
      <c r="N1036">
        <f>$C1036*N1035</f>
        <v/>
      </c>
      <c r="O1036">
        <f>$C1036*O1035</f>
        <v/>
      </c>
      <c r="P1036">
        <f>$C1036*P1035</f>
        <v/>
      </c>
      <c r="Q1036">
        <f>$C1036*Q1035</f>
        <v/>
      </c>
      <c r="R1036">
        <f>$C1036*R1035</f>
        <v/>
      </c>
      <c r="S1036">
        <f>$C1036*S1035</f>
        <v/>
      </c>
      <c r="T1036">
        <f>$C1036*T1035</f>
        <v/>
      </c>
      <c r="U1036">
        <f>$C1036*U1035</f>
        <v/>
      </c>
      <c r="V1036">
        <f>$C1036*V1035</f>
        <v/>
      </c>
      <c r="W1036">
        <f>$C1036*W1035</f>
        <v/>
      </c>
      <c r="X1036">
        <f>$C1036*X1035</f>
        <v/>
      </c>
      <c r="Y1036">
        <f>$C1036*Y1035</f>
        <v/>
      </c>
      <c r="Z1036">
        <f>$C1036*Z1035</f>
        <v/>
      </c>
      <c r="AA1036">
        <f>$C1036*AA1035</f>
        <v/>
      </c>
      <c r="AB1036">
        <f>$C1036*AB1035</f>
        <v/>
      </c>
      <c r="AC1036">
        <f>$C1036*AC1035</f>
        <v/>
      </c>
      <c r="AD1036">
        <f>$C1036*AD1035</f>
        <v/>
      </c>
      <c r="AE1036">
        <f>$C1036*AE1035</f>
        <v/>
      </c>
      <c r="AF1036">
        <f>$C1036*AF1035</f>
        <v/>
      </c>
      <c r="AG1036">
        <f>$C1036*AG1035</f>
        <v/>
      </c>
      <c r="AH1036">
        <f>$C1036*AH1035</f>
        <v/>
      </c>
      <c r="AI1036">
        <f>$C1036*AI1035</f>
        <v/>
      </c>
      <c r="AJ1036">
        <f>$C1036*AJ1035</f>
        <v/>
      </c>
      <c r="AK1036">
        <f>$C1036*AK1035</f>
        <v/>
      </c>
      <c r="AL1036">
        <f>$C1036*AL1035</f>
        <v/>
      </c>
      <c r="AM1036">
        <f>$C1036*AM1035</f>
        <v/>
      </c>
      <c r="AN1036">
        <f>$C1036*AN1035</f>
        <v/>
      </c>
      <c r="AO1036">
        <f>$C1036*AO1035</f>
        <v/>
      </c>
      <c r="AP1036">
        <f>$C1036*AP1035</f>
        <v/>
      </c>
      <c r="AQ1036">
        <f>$C1036*AQ1035</f>
        <v/>
      </c>
      <c r="AR1036">
        <f>$C1036*AR1035</f>
        <v/>
      </c>
      <c r="AS1036">
        <f>$C1036*AS1035</f>
        <v/>
      </c>
      <c r="AT1036">
        <f>$C1036*AT1035</f>
        <v/>
      </c>
      <c r="AU1036">
        <f>$C1036*AU1035</f>
        <v/>
      </c>
      <c r="AV1036">
        <f>$C1036*AV1035</f>
        <v/>
      </c>
      <c r="AW1036">
        <f>$C1036*AW1035</f>
        <v/>
      </c>
      <c r="AX1036">
        <f>$C1036*AX1035</f>
        <v/>
      </c>
      <c r="AY1036">
        <f>$C1036*AY1035</f>
        <v/>
      </c>
      <c r="AZ1036">
        <f>$C1036*AZ1035</f>
        <v/>
      </c>
      <c r="BA1036">
        <f>$C1036*BA1035</f>
        <v/>
      </c>
      <c r="BB1036">
        <f>$C1036*BB1035</f>
        <v/>
      </c>
      <c r="BC1036">
        <f>$C1036*BC1035</f>
        <v/>
      </c>
      <c r="BD1036">
        <f>$C1036*BD1035</f>
        <v/>
      </c>
      <c r="BE1036">
        <f>$C1036*BE1035</f>
        <v/>
      </c>
      <c r="BF1036">
        <f>$C1036*BF1035</f>
        <v/>
      </c>
      <c r="BG1036">
        <f>$C1036*BG1035</f>
        <v/>
      </c>
      <c r="BH1036">
        <f>$C1036*BH1035</f>
        <v/>
      </c>
      <c r="BI1036">
        <f>$C1036*BI1035</f>
        <v/>
      </c>
      <c r="BJ1036">
        <f>$C1036*BJ1035</f>
        <v/>
      </c>
      <c r="BK1036">
        <f>$C1036*BK1035</f>
        <v/>
      </c>
      <c r="BL1036">
        <f>$C1036*BL1035</f>
        <v/>
      </c>
      <c r="BM1036">
        <f>$C1036*BM1035</f>
        <v/>
      </c>
      <c r="BN1036">
        <f>$C1036*BN1035</f>
        <v/>
      </c>
      <c r="BO1036">
        <f>$C1036*BO1035</f>
        <v/>
      </c>
      <c r="BP1036">
        <f>$C1036*BP1035</f>
        <v/>
      </c>
      <c r="BQ1036">
        <f>$C1036*BQ1035</f>
        <v/>
      </c>
      <c r="BR1036">
        <f>$C1036*BR1035</f>
        <v/>
      </c>
      <c r="BS1036">
        <f>$C1036*BS1035</f>
        <v/>
      </c>
      <c r="BT1036">
        <f>$C1036*BT1035</f>
        <v/>
      </c>
      <c r="BU1036">
        <f>$C1036*BU1035</f>
        <v/>
      </c>
      <c r="BV1036">
        <f>$C1036*BV1035</f>
        <v/>
      </c>
      <c r="BW1036">
        <f>$C1036*BW1035</f>
        <v/>
      </c>
      <c r="BX1036">
        <f>$C1036*BX1035</f>
        <v/>
      </c>
      <c r="BY1036">
        <f>$C1036*BY1035</f>
        <v/>
      </c>
      <c r="BZ1036">
        <f>$C1036*BZ1035</f>
        <v/>
      </c>
      <c r="CA1036">
        <f>$C1036*CA1035</f>
        <v/>
      </c>
      <c r="CB1036">
        <f>$C1036*CB1035</f>
        <v/>
      </c>
      <c r="CC1036">
        <f>$C1036*CC1035</f>
        <v/>
      </c>
      <c r="CD1036">
        <f>$C1036*CD1035</f>
        <v/>
      </c>
      <c r="CE1036">
        <f>$C1036*CE1035</f>
        <v/>
      </c>
      <c r="CF1036">
        <f>$C1036*CF1035</f>
        <v/>
      </c>
      <c r="CG1036">
        <f>$C1036*CG1035</f>
        <v/>
      </c>
      <c r="CH1036">
        <f>$C1036*CH1035</f>
        <v/>
      </c>
      <c r="CI1036">
        <f>$C1036*CI1035</f>
        <v/>
      </c>
      <c r="CJ1036">
        <f>$C1036*CJ1035</f>
        <v/>
      </c>
      <c r="CK1036">
        <f>$C1036*CK1035</f>
        <v/>
      </c>
      <c r="CL1036">
        <f>$C1036*CL1035</f>
        <v/>
      </c>
      <c r="CM1036">
        <f>$C1036*CM1035</f>
        <v/>
      </c>
      <c r="CN1036">
        <f>$C1036*CN1035</f>
        <v/>
      </c>
      <c r="CO1036">
        <f>$C1036*CO1035</f>
        <v/>
      </c>
      <c r="CP1036">
        <f>$C1036*CP1035</f>
        <v/>
      </c>
      <c r="CQ1036">
        <f>$C1036*CQ1035</f>
        <v/>
      </c>
      <c r="CR1036">
        <f>$C1036*CR1035</f>
        <v/>
      </c>
      <c r="CS1036">
        <f>$C1036*CS1035</f>
        <v/>
      </c>
      <c r="CT1036">
        <f>$C1036*CT1035</f>
        <v/>
      </c>
      <c r="CU1036">
        <f>$C1036*CU1035</f>
        <v/>
      </c>
      <c r="CV1036">
        <f>$C1036*CV1035</f>
        <v/>
      </c>
      <c r="CW1036">
        <f>$C1036*CW1035</f>
        <v/>
      </c>
      <c r="CX1036">
        <f>$C1036*CX1035</f>
        <v/>
      </c>
      <c r="CY1036">
        <f>$C1036*CY1035</f>
        <v/>
      </c>
      <c r="CZ1036">
        <f>$C1036*CZ1035</f>
        <v/>
      </c>
      <c r="DA1036">
        <f>$C1036*DA1035</f>
        <v/>
      </c>
      <c r="DB1036">
        <f>$C1036*DB1035</f>
        <v/>
      </c>
      <c r="DC1036">
        <f>$C1036*DC1035</f>
        <v/>
      </c>
    </row>
    <row r="1037">
      <c r="B1037" t="inlineStr">
        <is>
          <t>TSP-966</t>
        </is>
      </c>
      <c r="C1037" t="inlineStr">
        <is>
          <t>No. of batches</t>
        </is>
      </c>
      <c r="D1037">
        <f>IFERROR(INDEX(PP_Grid[#Data],$DD1037,2),0)</f>
        <v/>
      </c>
      <c r="E1037">
        <f>IFERROR(INDEX(PP_Grid[#Data],$DD1037,3),0)</f>
        <v/>
      </c>
      <c r="F1037">
        <f>IFERROR(INDEX(PP_Grid[#Data],$DD1037,4),0)</f>
        <v/>
      </c>
      <c r="G1037">
        <f>IFERROR(INDEX(PP_Grid[#Data],$DD1037,5),0)</f>
        <v/>
      </c>
      <c r="H1037">
        <f>IFERROR(INDEX(PP_Grid[#Data],$DD1037,6),0)</f>
        <v/>
      </c>
      <c r="I1037">
        <f>IFERROR(INDEX(PP_Grid[#Data],$DD1037,7),0)</f>
        <v/>
      </c>
      <c r="J1037">
        <f>IFERROR(INDEX(PP_Grid[#Data],$DD1037,8),0)</f>
        <v/>
      </c>
      <c r="K1037">
        <f>IFERROR(INDEX(PP_Grid[#Data],$DD1037,9),0)</f>
        <v/>
      </c>
      <c r="L1037">
        <f>IFERROR(INDEX(PP_Grid[#Data],$DD1037,10),0)</f>
        <v/>
      </c>
      <c r="M1037">
        <f>IFERROR(INDEX(PP_Grid[#Data],$DD1037,11),0)</f>
        <v/>
      </c>
      <c r="N1037">
        <f>IFERROR(INDEX(PP_Grid[#Data],$DD1037,12),0)</f>
        <v/>
      </c>
      <c r="O1037">
        <f>IFERROR(INDEX(PP_Grid[#Data],$DD1037,13),0)</f>
        <v/>
      </c>
      <c r="P1037">
        <f>IFERROR(INDEX(PP_Grid[#Data],$DD1037,14),0)</f>
        <v/>
      </c>
      <c r="Q1037">
        <f>IFERROR(INDEX(PP_Grid[#Data],$DD1037,15),0)</f>
        <v/>
      </c>
      <c r="R1037">
        <f>IFERROR(INDEX(PP_Grid[#Data],$DD1037,16),0)</f>
        <v/>
      </c>
      <c r="S1037">
        <f>IFERROR(INDEX(PP_Grid[#Data],$DD1037,17),0)</f>
        <v/>
      </c>
      <c r="T1037">
        <f>IFERROR(INDEX(PP_Grid[#Data],$DD1037,18),0)</f>
        <v/>
      </c>
      <c r="U1037">
        <f>IFERROR(INDEX(PP_Grid[#Data],$DD1037,19),0)</f>
        <v/>
      </c>
      <c r="V1037">
        <f>IFERROR(INDEX(PP_Grid[#Data],$DD1037,20),0)</f>
        <v/>
      </c>
      <c r="W1037">
        <f>IFERROR(INDEX(PP_Grid[#Data],$DD1037,21),0)</f>
        <v/>
      </c>
      <c r="X1037">
        <f>IFERROR(INDEX(PP_Grid[#Data],$DD1037,22),0)</f>
        <v/>
      </c>
      <c r="Y1037">
        <f>IFERROR(INDEX(PP_Grid[#Data],$DD1037,23),0)</f>
        <v/>
      </c>
      <c r="Z1037">
        <f>IFERROR(INDEX(PP_Grid[#Data],$DD1037,24),0)</f>
        <v/>
      </c>
      <c r="AA1037">
        <f>IFERROR(INDEX(PP_Grid[#Data],$DD1037,25),0)</f>
        <v/>
      </c>
      <c r="AB1037">
        <f>IFERROR(INDEX(PP_Grid[#Data],$DD1037,26),0)</f>
        <v/>
      </c>
      <c r="AC1037">
        <f>IFERROR(INDEX(PP_Grid[#Data],$DD1037,27),0)</f>
        <v/>
      </c>
      <c r="AD1037">
        <f>IFERROR(INDEX(PP_Grid[#Data],$DD1037,28),0)</f>
        <v/>
      </c>
      <c r="AE1037">
        <f>IFERROR(INDEX(PP_Grid[#Data],$DD1037,29),0)</f>
        <v/>
      </c>
      <c r="AF1037">
        <f>IFERROR(INDEX(PP_Grid[#Data],$DD1037,30),0)</f>
        <v/>
      </c>
      <c r="AG1037">
        <f>IFERROR(INDEX(PP_Grid[#Data],$DD1037,31),0)</f>
        <v/>
      </c>
      <c r="AH1037">
        <f>IFERROR(INDEX(PP_Grid[#Data],$DD1037,32),0)</f>
        <v/>
      </c>
      <c r="AI1037">
        <f>IFERROR(INDEX(PP_Grid[#Data],$DD1037,33),0)</f>
        <v/>
      </c>
      <c r="AJ1037">
        <f>IFERROR(INDEX(PP_Grid[#Data],$DD1037,34),0)</f>
        <v/>
      </c>
      <c r="AK1037">
        <f>IFERROR(INDEX(PP_Grid[#Data],$DD1037,35),0)</f>
        <v/>
      </c>
      <c r="AL1037">
        <f>IFERROR(INDEX(PP_Grid[#Data],$DD1037,36),0)</f>
        <v/>
      </c>
      <c r="AM1037">
        <f>IFERROR(INDEX(PP_Grid[#Data],$DD1037,37),0)</f>
        <v/>
      </c>
      <c r="AN1037">
        <f>IFERROR(INDEX(PP_Grid[#Data],$DD1037,38),0)</f>
        <v/>
      </c>
      <c r="AO1037">
        <f>IFERROR(INDEX(PP_Grid[#Data],$DD1037,39),0)</f>
        <v/>
      </c>
      <c r="AP1037">
        <f>IFERROR(INDEX(PP_Grid[#Data],$DD1037,40),0)</f>
        <v/>
      </c>
      <c r="AQ1037">
        <f>IFERROR(INDEX(PP_Grid[#Data],$DD1037,41),0)</f>
        <v/>
      </c>
      <c r="AR1037">
        <f>IFERROR(INDEX(PP_Grid[#Data],$DD1037,42),0)</f>
        <v/>
      </c>
      <c r="AS1037">
        <f>IFERROR(INDEX(PP_Grid[#Data],$DD1037,43),0)</f>
        <v/>
      </c>
      <c r="AT1037">
        <f>IFERROR(INDEX(PP_Grid[#Data],$DD1037,44),0)</f>
        <v/>
      </c>
      <c r="AU1037">
        <f>IFERROR(INDEX(PP_Grid[#Data],$DD1037,45),0)</f>
        <v/>
      </c>
      <c r="AV1037">
        <f>IFERROR(INDEX(PP_Grid[#Data],$DD1037,46),0)</f>
        <v/>
      </c>
      <c r="AW1037">
        <f>IFERROR(INDEX(PP_Grid[#Data],$DD1037,47),0)</f>
        <v/>
      </c>
      <c r="AX1037">
        <f>IFERROR(INDEX(PP_Grid[#Data],$DD1037,48),0)</f>
        <v/>
      </c>
      <c r="AY1037">
        <f>IFERROR(INDEX(PP_Grid[#Data],$DD1037,49),0)</f>
        <v/>
      </c>
      <c r="AZ1037">
        <f>IFERROR(INDEX(PP_Grid[#Data],$DD1037,50),0)</f>
        <v/>
      </c>
      <c r="BA1037">
        <f>IFERROR(INDEX(PP_Grid[#Data],$DD1037,51),0)</f>
        <v/>
      </c>
      <c r="BB1037">
        <f>IFERROR(INDEX(PP_Grid[#Data],$DD1037,52),0)</f>
        <v/>
      </c>
      <c r="BC1037">
        <f>IFERROR(INDEX(PP_Grid[#Data],$DD1037,53),0)</f>
        <v/>
      </c>
      <c r="BD1037">
        <f>IFERROR(INDEX(PP_Grid[#Data],$DD1037,54),0)</f>
        <v/>
      </c>
      <c r="BE1037">
        <f>IFERROR(INDEX(PP_Grid[#Data],$DD1037,55),0)</f>
        <v/>
      </c>
      <c r="BF1037">
        <f>IFERROR(INDEX(PP_Grid[#Data],$DD1037,56),0)</f>
        <v/>
      </c>
      <c r="BG1037">
        <f>IFERROR(INDEX(PP_Grid[#Data],$DD1037,57),0)</f>
        <v/>
      </c>
      <c r="BH1037">
        <f>IFERROR(INDEX(PP_Grid[#Data],$DD1037,58),0)</f>
        <v/>
      </c>
      <c r="BI1037">
        <f>IFERROR(INDEX(PP_Grid[#Data],$DD1037,59),0)</f>
        <v/>
      </c>
      <c r="BJ1037">
        <f>IFERROR(INDEX(PP_Grid[#Data],$DD1037,60),0)</f>
        <v/>
      </c>
      <c r="BK1037">
        <f>IFERROR(INDEX(PP_Grid[#Data],$DD1037,61),0)</f>
        <v/>
      </c>
      <c r="BL1037">
        <f>IFERROR(INDEX(PP_Grid[#Data],$DD1037,62),0)</f>
        <v/>
      </c>
      <c r="BM1037">
        <f>IFERROR(INDEX(PP_Grid[#Data],$DD1037,63),0)</f>
        <v/>
      </c>
      <c r="BN1037">
        <f>IFERROR(INDEX(PP_Grid[#Data],$DD1037,64),0)</f>
        <v/>
      </c>
      <c r="BO1037">
        <f>IFERROR(INDEX(PP_Grid[#Data],$DD1037,65),0)</f>
        <v/>
      </c>
      <c r="BP1037">
        <f>IFERROR(INDEX(PP_Grid[#Data],$DD1037,66),0)</f>
        <v/>
      </c>
      <c r="BQ1037">
        <f>IFERROR(INDEX(PP_Grid[#Data],$DD1037,67),0)</f>
        <v/>
      </c>
      <c r="BR1037">
        <f>IFERROR(INDEX(PP_Grid[#Data],$DD1037,68),0)</f>
        <v/>
      </c>
      <c r="BS1037">
        <f>IFERROR(INDEX(PP_Grid[#Data],$DD1037,69),0)</f>
        <v/>
      </c>
      <c r="BT1037">
        <f>IFERROR(INDEX(PP_Grid[#Data],$DD1037,70),0)</f>
        <v/>
      </c>
      <c r="BU1037">
        <f>IFERROR(INDEX(PP_Grid[#Data],$DD1037,71),0)</f>
        <v/>
      </c>
      <c r="BV1037">
        <f>IFERROR(INDEX(PP_Grid[#Data],$DD1037,72),0)</f>
        <v/>
      </c>
      <c r="BW1037">
        <f>IFERROR(INDEX(PP_Grid[#Data],$DD1037,73),0)</f>
        <v/>
      </c>
      <c r="BX1037">
        <f>IFERROR(INDEX(PP_Grid[#Data],$DD1037,74),0)</f>
        <v/>
      </c>
      <c r="BY1037">
        <f>IFERROR(INDEX(PP_Grid[#Data],$DD1037,75),0)</f>
        <v/>
      </c>
      <c r="BZ1037">
        <f>IFERROR(INDEX(PP_Grid[#Data],$DD1037,76),0)</f>
        <v/>
      </c>
      <c r="CA1037">
        <f>IFERROR(INDEX(PP_Grid[#Data],$DD1037,77),0)</f>
        <v/>
      </c>
      <c r="CB1037">
        <f>IFERROR(INDEX(PP_Grid[#Data],$DD1037,78),0)</f>
        <v/>
      </c>
      <c r="CC1037">
        <f>IFERROR(INDEX(PP_Grid[#Data],$DD1037,79),0)</f>
        <v/>
      </c>
      <c r="CD1037">
        <f>IFERROR(INDEX(PP_Grid[#Data],$DD1037,80),0)</f>
        <v/>
      </c>
      <c r="CE1037">
        <f>IFERROR(INDEX(PP_Grid[#Data],$DD1037,81),0)</f>
        <v/>
      </c>
      <c r="CF1037">
        <f>IFERROR(INDEX(PP_Grid[#Data],$DD1037,82),0)</f>
        <v/>
      </c>
      <c r="CG1037">
        <f>IFERROR(INDEX(PP_Grid[#Data],$DD1037,83),0)</f>
        <v/>
      </c>
      <c r="CH1037">
        <f>IFERROR(INDEX(PP_Grid[#Data],$DD1037,84),0)</f>
        <v/>
      </c>
      <c r="CI1037">
        <f>IFERROR(INDEX(PP_Grid[#Data],$DD1037,85),0)</f>
        <v/>
      </c>
      <c r="CJ1037">
        <f>IFERROR(INDEX(PP_Grid[#Data],$DD1037,86),0)</f>
        <v/>
      </c>
      <c r="CK1037">
        <f>IFERROR(INDEX(PP_Grid[#Data],$DD1037,87),0)</f>
        <v/>
      </c>
      <c r="CL1037">
        <f>IFERROR(INDEX(PP_Grid[#Data],$DD1037,88),0)</f>
        <v/>
      </c>
      <c r="CM1037">
        <f>IFERROR(INDEX(PP_Grid[#Data],$DD1037,89),0)</f>
        <v/>
      </c>
      <c r="CN1037">
        <f>IFERROR(INDEX(PP_Grid[#Data],$DD1037,90),0)</f>
        <v/>
      </c>
      <c r="CO1037">
        <f>IFERROR(INDEX(PP_Grid[#Data],$DD1037,91),0)</f>
        <v/>
      </c>
      <c r="CP1037">
        <f>IFERROR(INDEX(PP_Grid[#Data],$DD1037,92),0)</f>
        <v/>
      </c>
      <c r="CQ1037">
        <f>IFERROR(INDEX(PP_Grid[#Data],$DD1037,93),0)</f>
        <v/>
      </c>
      <c r="CR1037">
        <f>IFERROR(INDEX(PP_Grid[#Data],$DD1037,94),0)</f>
        <v/>
      </c>
      <c r="CS1037">
        <f>IFERROR(INDEX(PP_Grid[#Data],$DD1037,95),0)</f>
        <v/>
      </c>
      <c r="CT1037">
        <f>IFERROR(INDEX(PP_Grid[#Data],$DD1037,96),0)</f>
        <v/>
      </c>
      <c r="CU1037">
        <f>IFERROR(INDEX(PP_Grid[#Data],$DD1037,97),0)</f>
        <v/>
      </c>
      <c r="CV1037">
        <f>IFERROR(INDEX(PP_Grid[#Data],$DD1037,98),0)</f>
        <v/>
      </c>
      <c r="CW1037">
        <f>IFERROR(INDEX(PP_Grid[#Data],$DD1037,99),0)</f>
        <v/>
      </c>
      <c r="CX1037">
        <f>IFERROR(INDEX(PP_Grid[#Data],$DD1037,100),0)</f>
        <v/>
      </c>
      <c r="CY1037">
        <f>IFERROR(INDEX(PP_Grid[#Data],$DD1037,101),0)</f>
        <v/>
      </c>
      <c r="CZ1037">
        <f>IFERROR(INDEX(PP_Grid[#Data],$DD1037,102),0)</f>
        <v/>
      </c>
      <c r="DA1037">
        <f>IFERROR(INDEX(PP_Grid[#Data],$DD1037,103),0)</f>
        <v/>
      </c>
      <c r="DB1037">
        <f>IFERROR(INDEX(PP_Grid[#Data],$DD1037,104),0)</f>
        <v/>
      </c>
      <c r="DC1037">
        <f>IFERROR(INDEX(PP_Grid[#Data],$DD1037,105),0)</f>
        <v/>
      </c>
      <c r="DD1037" s="12">
        <f>IFERROR(MATCH($B1037,PP_Grid[Intermediate],0),99999)</f>
        <v/>
      </c>
    </row>
    <row r="1038">
      <c r="B1038" t="inlineStr">
        <is>
          <t>使用量(kg)</t>
        </is>
      </c>
      <c r="C1038">
        <f>SUMIFS(M_BOM[RM_Qty_Per_Batch],M_BOM[Intermediate],$B1037,M_BOM[Part Name],$A988)</f>
        <v/>
      </c>
      <c r="D1038">
        <f>$C1038*D1037</f>
        <v/>
      </c>
      <c r="E1038">
        <f>$C1038*E1037</f>
        <v/>
      </c>
      <c r="F1038">
        <f>$C1038*F1037</f>
        <v/>
      </c>
      <c r="G1038">
        <f>$C1038*G1037</f>
        <v/>
      </c>
      <c r="H1038">
        <f>$C1038*H1037</f>
        <v/>
      </c>
      <c r="I1038">
        <f>$C1038*I1037</f>
        <v/>
      </c>
      <c r="J1038">
        <f>$C1038*J1037</f>
        <v/>
      </c>
      <c r="K1038">
        <f>$C1038*K1037</f>
        <v/>
      </c>
      <c r="L1038">
        <f>$C1038*L1037</f>
        <v/>
      </c>
      <c r="M1038">
        <f>$C1038*M1037</f>
        <v/>
      </c>
      <c r="N1038">
        <f>$C1038*N1037</f>
        <v/>
      </c>
      <c r="O1038">
        <f>$C1038*O1037</f>
        <v/>
      </c>
      <c r="P1038">
        <f>$C1038*P1037</f>
        <v/>
      </c>
      <c r="Q1038">
        <f>$C1038*Q1037</f>
        <v/>
      </c>
      <c r="R1038">
        <f>$C1038*R1037</f>
        <v/>
      </c>
      <c r="S1038">
        <f>$C1038*S1037</f>
        <v/>
      </c>
      <c r="T1038">
        <f>$C1038*T1037</f>
        <v/>
      </c>
      <c r="U1038">
        <f>$C1038*U1037</f>
        <v/>
      </c>
      <c r="V1038">
        <f>$C1038*V1037</f>
        <v/>
      </c>
      <c r="W1038">
        <f>$C1038*W1037</f>
        <v/>
      </c>
      <c r="X1038">
        <f>$C1038*X1037</f>
        <v/>
      </c>
      <c r="Y1038">
        <f>$C1038*Y1037</f>
        <v/>
      </c>
      <c r="Z1038">
        <f>$C1038*Z1037</f>
        <v/>
      </c>
      <c r="AA1038">
        <f>$C1038*AA1037</f>
        <v/>
      </c>
      <c r="AB1038">
        <f>$C1038*AB1037</f>
        <v/>
      </c>
      <c r="AC1038">
        <f>$C1038*AC1037</f>
        <v/>
      </c>
      <c r="AD1038">
        <f>$C1038*AD1037</f>
        <v/>
      </c>
      <c r="AE1038">
        <f>$C1038*AE1037</f>
        <v/>
      </c>
      <c r="AF1038">
        <f>$C1038*AF1037</f>
        <v/>
      </c>
      <c r="AG1038">
        <f>$C1038*AG1037</f>
        <v/>
      </c>
      <c r="AH1038">
        <f>$C1038*AH1037</f>
        <v/>
      </c>
      <c r="AI1038">
        <f>$C1038*AI1037</f>
        <v/>
      </c>
      <c r="AJ1038">
        <f>$C1038*AJ1037</f>
        <v/>
      </c>
      <c r="AK1038">
        <f>$C1038*AK1037</f>
        <v/>
      </c>
      <c r="AL1038">
        <f>$C1038*AL1037</f>
        <v/>
      </c>
      <c r="AM1038">
        <f>$C1038*AM1037</f>
        <v/>
      </c>
      <c r="AN1038">
        <f>$C1038*AN1037</f>
        <v/>
      </c>
      <c r="AO1038">
        <f>$C1038*AO1037</f>
        <v/>
      </c>
      <c r="AP1038">
        <f>$C1038*AP1037</f>
        <v/>
      </c>
      <c r="AQ1038">
        <f>$C1038*AQ1037</f>
        <v/>
      </c>
      <c r="AR1038">
        <f>$C1038*AR1037</f>
        <v/>
      </c>
      <c r="AS1038">
        <f>$C1038*AS1037</f>
        <v/>
      </c>
      <c r="AT1038">
        <f>$C1038*AT1037</f>
        <v/>
      </c>
      <c r="AU1038">
        <f>$C1038*AU1037</f>
        <v/>
      </c>
      <c r="AV1038">
        <f>$C1038*AV1037</f>
        <v/>
      </c>
      <c r="AW1038">
        <f>$C1038*AW1037</f>
        <v/>
      </c>
      <c r="AX1038">
        <f>$C1038*AX1037</f>
        <v/>
      </c>
      <c r="AY1038">
        <f>$C1038*AY1037</f>
        <v/>
      </c>
      <c r="AZ1038">
        <f>$C1038*AZ1037</f>
        <v/>
      </c>
      <c r="BA1038">
        <f>$C1038*BA1037</f>
        <v/>
      </c>
      <c r="BB1038">
        <f>$C1038*BB1037</f>
        <v/>
      </c>
      <c r="BC1038">
        <f>$C1038*BC1037</f>
        <v/>
      </c>
      <c r="BD1038">
        <f>$C1038*BD1037</f>
        <v/>
      </c>
      <c r="BE1038">
        <f>$C1038*BE1037</f>
        <v/>
      </c>
      <c r="BF1038">
        <f>$C1038*BF1037</f>
        <v/>
      </c>
      <c r="BG1038">
        <f>$C1038*BG1037</f>
        <v/>
      </c>
      <c r="BH1038">
        <f>$C1038*BH1037</f>
        <v/>
      </c>
      <c r="BI1038">
        <f>$C1038*BI1037</f>
        <v/>
      </c>
      <c r="BJ1038">
        <f>$C1038*BJ1037</f>
        <v/>
      </c>
      <c r="BK1038">
        <f>$C1038*BK1037</f>
        <v/>
      </c>
      <c r="BL1038">
        <f>$C1038*BL1037</f>
        <v/>
      </c>
      <c r="BM1038">
        <f>$C1038*BM1037</f>
        <v/>
      </c>
      <c r="BN1038">
        <f>$C1038*BN1037</f>
        <v/>
      </c>
      <c r="BO1038">
        <f>$C1038*BO1037</f>
        <v/>
      </c>
      <c r="BP1038">
        <f>$C1038*BP1037</f>
        <v/>
      </c>
      <c r="BQ1038">
        <f>$C1038*BQ1037</f>
        <v/>
      </c>
      <c r="BR1038">
        <f>$C1038*BR1037</f>
        <v/>
      </c>
      <c r="BS1038">
        <f>$C1038*BS1037</f>
        <v/>
      </c>
      <c r="BT1038">
        <f>$C1038*BT1037</f>
        <v/>
      </c>
      <c r="BU1038">
        <f>$C1038*BU1037</f>
        <v/>
      </c>
      <c r="BV1038">
        <f>$C1038*BV1037</f>
        <v/>
      </c>
      <c r="BW1038">
        <f>$C1038*BW1037</f>
        <v/>
      </c>
      <c r="BX1038">
        <f>$C1038*BX1037</f>
        <v/>
      </c>
      <c r="BY1038">
        <f>$C1038*BY1037</f>
        <v/>
      </c>
      <c r="BZ1038">
        <f>$C1038*BZ1037</f>
        <v/>
      </c>
      <c r="CA1038">
        <f>$C1038*CA1037</f>
        <v/>
      </c>
      <c r="CB1038">
        <f>$C1038*CB1037</f>
        <v/>
      </c>
      <c r="CC1038">
        <f>$C1038*CC1037</f>
        <v/>
      </c>
      <c r="CD1038">
        <f>$C1038*CD1037</f>
        <v/>
      </c>
      <c r="CE1038">
        <f>$C1038*CE1037</f>
        <v/>
      </c>
      <c r="CF1038">
        <f>$C1038*CF1037</f>
        <v/>
      </c>
      <c r="CG1038">
        <f>$C1038*CG1037</f>
        <v/>
      </c>
      <c r="CH1038">
        <f>$C1038*CH1037</f>
        <v/>
      </c>
      <c r="CI1038">
        <f>$C1038*CI1037</f>
        <v/>
      </c>
      <c r="CJ1038">
        <f>$C1038*CJ1037</f>
        <v/>
      </c>
      <c r="CK1038">
        <f>$C1038*CK1037</f>
        <v/>
      </c>
      <c r="CL1038">
        <f>$C1038*CL1037</f>
        <v/>
      </c>
      <c r="CM1038">
        <f>$C1038*CM1037</f>
        <v/>
      </c>
      <c r="CN1038">
        <f>$C1038*CN1037</f>
        <v/>
      </c>
      <c r="CO1038">
        <f>$C1038*CO1037</f>
        <v/>
      </c>
      <c r="CP1038">
        <f>$C1038*CP1037</f>
        <v/>
      </c>
      <c r="CQ1038">
        <f>$C1038*CQ1037</f>
        <v/>
      </c>
      <c r="CR1038">
        <f>$C1038*CR1037</f>
        <v/>
      </c>
      <c r="CS1038">
        <f>$C1038*CS1037</f>
        <v/>
      </c>
      <c r="CT1038">
        <f>$C1038*CT1037</f>
        <v/>
      </c>
      <c r="CU1038">
        <f>$C1038*CU1037</f>
        <v/>
      </c>
      <c r="CV1038">
        <f>$C1038*CV1037</f>
        <v/>
      </c>
      <c r="CW1038">
        <f>$C1038*CW1037</f>
        <v/>
      </c>
      <c r="CX1038">
        <f>$C1038*CX1037</f>
        <v/>
      </c>
      <c r="CY1038">
        <f>$C1038*CY1037</f>
        <v/>
      </c>
      <c r="CZ1038">
        <f>$C1038*CZ1037</f>
        <v/>
      </c>
      <c r="DA1038">
        <f>$C1038*DA1037</f>
        <v/>
      </c>
      <c r="DB1038">
        <f>$C1038*DB1037</f>
        <v/>
      </c>
      <c r="DC1038">
        <f>$C1038*DC1037</f>
        <v/>
      </c>
    </row>
    <row r="1039">
      <c r="B1039" t="inlineStr">
        <is>
          <t>TSZ-616</t>
        </is>
      </c>
      <c r="C1039" t="inlineStr">
        <is>
          <t>No. of batches</t>
        </is>
      </c>
      <c r="D1039">
        <f>IFERROR(INDEX(PP_Grid[#Data],$DD1039,2),0)</f>
        <v/>
      </c>
      <c r="E1039">
        <f>IFERROR(INDEX(PP_Grid[#Data],$DD1039,3),0)</f>
        <v/>
      </c>
      <c r="F1039">
        <f>IFERROR(INDEX(PP_Grid[#Data],$DD1039,4),0)</f>
        <v/>
      </c>
      <c r="G1039">
        <f>IFERROR(INDEX(PP_Grid[#Data],$DD1039,5),0)</f>
        <v/>
      </c>
      <c r="H1039">
        <f>IFERROR(INDEX(PP_Grid[#Data],$DD1039,6),0)</f>
        <v/>
      </c>
      <c r="I1039">
        <f>IFERROR(INDEX(PP_Grid[#Data],$DD1039,7),0)</f>
        <v/>
      </c>
      <c r="J1039">
        <f>IFERROR(INDEX(PP_Grid[#Data],$DD1039,8),0)</f>
        <v/>
      </c>
      <c r="K1039">
        <f>IFERROR(INDEX(PP_Grid[#Data],$DD1039,9),0)</f>
        <v/>
      </c>
      <c r="L1039">
        <f>IFERROR(INDEX(PP_Grid[#Data],$DD1039,10),0)</f>
        <v/>
      </c>
      <c r="M1039">
        <f>IFERROR(INDEX(PP_Grid[#Data],$DD1039,11),0)</f>
        <v/>
      </c>
      <c r="N1039">
        <f>IFERROR(INDEX(PP_Grid[#Data],$DD1039,12),0)</f>
        <v/>
      </c>
      <c r="O1039">
        <f>IFERROR(INDEX(PP_Grid[#Data],$DD1039,13),0)</f>
        <v/>
      </c>
      <c r="P1039">
        <f>IFERROR(INDEX(PP_Grid[#Data],$DD1039,14),0)</f>
        <v/>
      </c>
      <c r="Q1039">
        <f>IFERROR(INDEX(PP_Grid[#Data],$DD1039,15),0)</f>
        <v/>
      </c>
      <c r="R1039">
        <f>IFERROR(INDEX(PP_Grid[#Data],$DD1039,16),0)</f>
        <v/>
      </c>
      <c r="S1039">
        <f>IFERROR(INDEX(PP_Grid[#Data],$DD1039,17),0)</f>
        <v/>
      </c>
      <c r="T1039">
        <f>IFERROR(INDEX(PP_Grid[#Data],$DD1039,18),0)</f>
        <v/>
      </c>
      <c r="U1039">
        <f>IFERROR(INDEX(PP_Grid[#Data],$DD1039,19),0)</f>
        <v/>
      </c>
      <c r="V1039">
        <f>IFERROR(INDEX(PP_Grid[#Data],$DD1039,20),0)</f>
        <v/>
      </c>
      <c r="W1039">
        <f>IFERROR(INDEX(PP_Grid[#Data],$DD1039,21),0)</f>
        <v/>
      </c>
      <c r="X1039">
        <f>IFERROR(INDEX(PP_Grid[#Data],$DD1039,22),0)</f>
        <v/>
      </c>
      <c r="Y1039">
        <f>IFERROR(INDEX(PP_Grid[#Data],$DD1039,23),0)</f>
        <v/>
      </c>
      <c r="Z1039">
        <f>IFERROR(INDEX(PP_Grid[#Data],$DD1039,24),0)</f>
        <v/>
      </c>
      <c r="AA1039">
        <f>IFERROR(INDEX(PP_Grid[#Data],$DD1039,25),0)</f>
        <v/>
      </c>
      <c r="AB1039">
        <f>IFERROR(INDEX(PP_Grid[#Data],$DD1039,26),0)</f>
        <v/>
      </c>
      <c r="AC1039">
        <f>IFERROR(INDEX(PP_Grid[#Data],$DD1039,27),0)</f>
        <v/>
      </c>
      <c r="AD1039">
        <f>IFERROR(INDEX(PP_Grid[#Data],$DD1039,28),0)</f>
        <v/>
      </c>
      <c r="AE1039">
        <f>IFERROR(INDEX(PP_Grid[#Data],$DD1039,29),0)</f>
        <v/>
      </c>
      <c r="AF1039">
        <f>IFERROR(INDEX(PP_Grid[#Data],$DD1039,30),0)</f>
        <v/>
      </c>
      <c r="AG1039">
        <f>IFERROR(INDEX(PP_Grid[#Data],$DD1039,31),0)</f>
        <v/>
      </c>
      <c r="AH1039">
        <f>IFERROR(INDEX(PP_Grid[#Data],$DD1039,32),0)</f>
        <v/>
      </c>
      <c r="AI1039">
        <f>IFERROR(INDEX(PP_Grid[#Data],$DD1039,33),0)</f>
        <v/>
      </c>
      <c r="AJ1039">
        <f>IFERROR(INDEX(PP_Grid[#Data],$DD1039,34),0)</f>
        <v/>
      </c>
      <c r="AK1039">
        <f>IFERROR(INDEX(PP_Grid[#Data],$DD1039,35),0)</f>
        <v/>
      </c>
      <c r="AL1039">
        <f>IFERROR(INDEX(PP_Grid[#Data],$DD1039,36),0)</f>
        <v/>
      </c>
      <c r="AM1039">
        <f>IFERROR(INDEX(PP_Grid[#Data],$DD1039,37),0)</f>
        <v/>
      </c>
      <c r="AN1039">
        <f>IFERROR(INDEX(PP_Grid[#Data],$DD1039,38),0)</f>
        <v/>
      </c>
      <c r="AO1039">
        <f>IFERROR(INDEX(PP_Grid[#Data],$DD1039,39),0)</f>
        <v/>
      </c>
      <c r="AP1039">
        <f>IFERROR(INDEX(PP_Grid[#Data],$DD1039,40),0)</f>
        <v/>
      </c>
      <c r="AQ1039">
        <f>IFERROR(INDEX(PP_Grid[#Data],$DD1039,41),0)</f>
        <v/>
      </c>
      <c r="AR1039">
        <f>IFERROR(INDEX(PP_Grid[#Data],$DD1039,42),0)</f>
        <v/>
      </c>
      <c r="AS1039">
        <f>IFERROR(INDEX(PP_Grid[#Data],$DD1039,43),0)</f>
        <v/>
      </c>
      <c r="AT1039">
        <f>IFERROR(INDEX(PP_Grid[#Data],$DD1039,44),0)</f>
        <v/>
      </c>
      <c r="AU1039">
        <f>IFERROR(INDEX(PP_Grid[#Data],$DD1039,45),0)</f>
        <v/>
      </c>
      <c r="AV1039">
        <f>IFERROR(INDEX(PP_Grid[#Data],$DD1039,46),0)</f>
        <v/>
      </c>
      <c r="AW1039">
        <f>IFERROR(INDEX(PP_Grid[#Data],$DD1039,47),0)</f>
        <v/>
      </c>
      <c r="AX1039">
        <f>IFERROR(INDEX(PP_Grid[#Data],$DD1039,48),0)</f>
        <v/>
      </c>
      <c r="AY1039">
        <f>IFERROR(INDEX(PP_Grid[#Data],$DD1039,49),0)</f>
        <v/>
      </c>
      <c r="AZ1039">
        <f>IFERROR(INDEX(PP_Grid[#Data],$DD1039,50),0)</f>
        <v/>
      </c>
      <c r="BA1039">
        <f>IFERROR(INDEX(PP_Grid[#Data],$DD1039,51),0)</f>
        <v/>
      </c>
      <c r="BB1039">
        <f>IFERROR(INDEX(PP_Grid[#Data],$DD1039,52),0)</f>
        <v/>
      </c>
      <c r="BC1039">
        <f>IFERROR(INDEX(PP_Grid[#Data],$DD1039,53),0)</f>
        <v/>
      </c>
      <c r="BD1039">
        <f>IFERROR(INDEX(PP_Grid[#Data],$DD1039,54),0)</f>
        <v/>
      </c>
      <c r="BE1039">
        <f>IFERROR(INDEX(PP_Grid[#Data],$DD1039,55),0)</f>
        <v/>
      </c>
      <c r="BF1039">
        <f>IFERROR(INDEX(PP_Grid[#Data],$DD1039,56),0)</f>
        <v/>
      </c>
      <c r="BG1039">
        <f>IFERROR(INDEX(PP_Grid[#Data],$DD1039,57),0)</f>
        <v/>
      </c>
      <c r="BH1039">
        <f>IFERROR(INDEX(PP_Grid[#Data],$DD1039,58),0)</f>
        <v/>
      </c>
      <c r="BI1039">
        <f>IFERROR(INDEX(PP_Grid[#Data],$DD1039,59),0)</f>
        <v/>
      </c>
      <c r="BJ1039">
        <f>IFERROR(INDEX(PP_Grid[#Data],$DD1039,60),0)</f>
        <v/>
      </c>
      <c r="BK1039">
        <f>IFERROR(INDEX(PP_Grid[#Data],$DD1039,61),0)</f>
        <v/>
      </c>
      <c r="BL1039">
        <f>IFERROR(INDEX(PP_Grid[#Data],$DD1039,62),0)</f>
        <v/>
      </c>
      <c r="BM1039">
        <f>IFERROR(INDEX(PP_Grid[#Data],$DD1039,63),0)</f>
        <v/>
      </c>
      <c r="BN1039">
        <f>IFERROR(INDEX(PP_Grid[#Data],$DD1039,64),0)</f>
        <v/>
      </c>
      <c r="BO1039">
        <f>IFERROR(INDEX(PP_Grid[#Data],$DD1039,65),0)</f>
        <v/>
      </c>
      <c r="BP1039">
        <f>IFERROR(INDEX(PP_Grid[#Data],$DD1039,66),0)</f>
        <v/>
      </c>
      <c r="BQ1039">
        <f>IFERROR(INDEX(PP_Grid[#Data],$DD1039,67),0)</f>
        <v/>
      </c>
      <c r="BR1039">
        <f>IFERROR(INDEX(PP_Grid[#Data],$DD1039,68),0)</f>
        <v/>
      </c>
      <c r="BS1039">
        <f>IFERROR(INDEX(PP_Grid[#Data],$DD1039,69),0)</f>
        <v/>
      </c>
      <c r="BT1039">
        <f>IFERROR(INDEX(PP_Grid[#Data],$DD1039,70),0)</f>
        <v/>
      </c>
      <c r="BU1039">
        <f>IFERROR(INDEX(PP_Grid[#Data],$DD1039,71),0)</f>
        <v/>
      </c>
      <c r="BV1039">
        <f>IFERROR(INDEX(PP_Grid[#Data],$DD1039,72),0)</f>
        <v/>
      </c>
      <c r="BW1039">
        <f>IFERROR(INDEX(PP_Grid[#Data],$DD1039,73),0)</f>
        <v/>
      </c>
      <c r="BX1039">
        <f>IFERROR(INDEX(PP_Grid[#Data],$DD1039,74),0)</f>
        <v/>
      </c>
      <c r="BY1039">
        <f>IFERROR(INDEX(PP_Grid[#Data],$DD1039,75),0)</f>
        <v/>
      </c>
      <c r="BZ1039">
        <f>IFERROR(INDEX(PP_Grid[#Data],$DD1039,76),0)</f>
        <v/>
      </c>
      <c r="CA1039">
        <f>IFERROR(INDEX(PP_Grid[#Data],$DD1039,77),0)</f>
        <v/>
      </c>
      <c r="CB1039">
        <f>IFERROR(INDEX(PP_Grid[#Data],$DD1039,78),0)</f>
        <v/>
      </c>
      <c r="CC1039">
        <f>IFERROR(INDEX(PP_Grid[#Data],$DD1039,79),0)</f>
        <v/>
      </c>
      <c r="CD1039">
        <f>IFERROR(INDEX(PP_Grid[#Data],$DD1039,80),0)</f>
        <v/>
      </c>
      <c r="CE1039">
        <f>IFERROR(INDEX(PP_Grid[#Data],$DD1039,81),0)</f>
        <v/>
      </c>
      <c r="CF1039">
        <f>IFERROR(INDEX(PP_Grid[#Data],$DD1039,82),0)</f>
        <v/>
      </c>
      <c r="CG1039">
        <f>IFERROR(INDEX(PP_Grid[#Data],$DD1039,83),0)</f>
        <v/>
      </c>
      <c r="CH1039">
        <f>IFERROR(INDEX(PP_Grid[#Data],$DD1039,84),0)</f>
        <v/>
      </c>
      <c r="CI1039">
        <f>IFERROR(INDEX(PP_Grid[#Data],$DD1039,85),0)</f>
        <v/>
      </c>
      <c r="CJ1039">
        <f>IFERROR(INDEX(PP_Grid[#Data],$DD1039,86),0)</f>
        <v/>
      </c>
      <c r="CK1039">
        <f>IFERROR(INDEX(PP_Grid[#Data],$DD1039,87),0)</f>
        <v/>
      </c>
      <c r="CL1039">
        <f>IFERROR(INDEX(PP_Grid[#Data],$DD1039,88),0)</f>
        <v/>
      </c>
      <c r="CM1039">
        <f>IFERROR(INDEX(PP_Grid[#Data],$DD1039,89),0)</f>
        <v/>
      </c>
      <c r="CN1039">
        <f>IFERROR(INDEX(PP_Grid[#Data],$DD1039,90),0)</f>
        <v/>
      </c>
      <c r="CO1039">
        <f>IFERROR(INDEX(PP_Grid[#Data],$DD1039,91),0)</f>
        <v/>
      </c>
      <c r="CP1039">
        <f>IFERROR(INDEX(PP_Grid[#Data],$DD1039,92),0)</f>
        <v/>
      </c>
      <c r="CQ1039">
        <f>IFERROR(INDEX(PP_Grid[#Data],$DD1039,93),0)</f>
        <v/>
      </c>
      <c r="CR1039">
        <f>IFERROR(INDEX(PP_Grid[#Data],$DD1039,94),0)</f>
        <v/>
      </c>
      <c r="CS1039">
        <f>IFERROR(INDEX(PP_Grid[#Data],$DD1039,95),0)</f>
        <v/>
      </c>
      <c r="CT1039">
        <f>IFERROR(INDEX(PP_Grid[#Data],$DD1039,96),0)</f>
        <v/>
      </c>
      <c r="CU1039">
        <f>IFERROR(INDEX(PP_Grid[#Data],$DD1039,97),0)</f>
        <v/>
      </c>
      <c r="CV1039">
        <f>IFERROR(INDEX(PP_Grid[#Data],$DD1039,98),0)</f>
        <v/>
      </c>
      <c r="CW1039">
        <f>IFERROR(INDEX(PP_Grid[#Data],$DD1039,99),0)</f>
        <v/>
      </c>
      <c r="CX1039">
        <f>IFERROR(INDEX(PP_Grid[#Data],$DD1039,100),0)</f>
        <v/>
      </c>
      <c r="CY1039">
        <f>IFERROR(INDEX(PP_Grid[#Data],$DD1039,101),0)</f>
        <v/>
      </c>
      <c r="CZ1039">
        <f>IFERROR(INDEX(PP_Grid[#Data],$DD1039,102),0)</f>
        <v/>
      </c>
      <c r="DA1039">
        <f>IFERROR(INDEX(PP_Grid[#Data],$DD1039,103),0)</f>
        <v/>
      </c>
      <c r="DB1039">
        <f>IFERROR(INDEX(PP_Grid[#Data],$DD1039,104),0)</f>
        <v/>
      </c>
      <c r="DC1039">
        <f>IFERROR(INDEX(PP_Grid[#Data],$DD1039,105),0)</f>
        <v/>
      </c>
      <c r="DD1039" s="12">
        <f>IFERROR(MATCH($B1039,PP_Grid[Intermediate],0),99999)</f>
        <v/>
      </c>
    </row>
    <row r="1040">
      <c r="B1040" t="inlineStr">
        <is>
          <t>使用量(kg)</t>
        </is>
      </c>
      <c r="C1040">
        <f>SUMIFS(M_BOM[RM_Qty_Per_Batch],M_BOM[Intermediate],$B1039,M_BOM[Part Name],$A988)</f>
        <v/>
      </c>
      <c r="D1040">
        <f>$C1040*D1039</f>
        <v/>
      </c>
      <c r="E1040">
        <f>$C1040*E1039</f>
        <v/>
      </c>
      <c r="F1040">
        <f>$C1040*F1039</f>
        <v/>
      </c>
      <c r="G1040">
        <f>$C1040*G1039</f>
        <v/>
      </c>
      <c r="H1040">
        <f>$C1040*H1039</f>
        <v/>
      </c>
      <c r="I1040">
        <f>$C1040*I1039</f>
        <v/>
      </c>
      <c r="J1040">
        <f>$C1040*J1039</f>
        <v/>
      </c>
      <c r="K1040">
        <f>$C1040*K1039</f>
        <v/>
      </c>
      <c r="L1040">
        <f>$C1040*L1039</f>
        <v/>
      </c>
      <c r="M1040">
        <f>$C1040*M1039</f>
        <v/>
      </c>
      <c r="N1040">
        <f>$C1040*N1039</f>
        <v/>
      </c>
      <c r="O1040">
        <f>$C1040*O1039</f>
        <v/>
      </c>
      <c r="P1040">
        <f>$C1040*P1039</f>
        <v/>
      </c>
      <c r="Q1040">
        <f>$C1040*Q1039</f>
        <v/>
      </c>
      <c r="R1040">
        <f>$C1040*R1039</f>
        <v/>
      </c>
      <c r="S1040">
        <f>$C1040*S1039</f>
        <v/>
      </c>
      <c r="T1040">
        <f>$C1040*T1039</f>
        <v/>
      </c>
      <c r="U1040">
        <f>$C1040*U1039</f>
        <v/>
      </c>
      <c r="V1040">
        <f>$C1040*V1039</f>
        <v/>
      </c>
      <c r="W1040">
        <f>$C1040*W1039</f>
        <v/>
      </c>
      <c r="X1040">
        <f>$C1040*X1039</f>
        <v/>
      </c>
      <c r="Y1040">
        <f>$C1040*Y1039</f>
        <v/>
      </c>
      <c r="Z1040">
        <f>$C1040*Z1039</f>
        <v/>
      </c>
      <c r="AA1040">
        <f>$C1040*AA1039</f>
        <v/>
      </c>
      <c r="AB1040">
        <f>$C1040*AB1039</f>
        <v/>
      </c>
      <c r="AC1040">
        <f>$C1040*AC1039</f>
        <v/>
      </c>
      <c r="AD1040">
        <f>$C1040*AD1039</f>
        <v/>
      </c>
      <c r="AE1040">
        <f>$C1040*AE1039</f>
        <v/>
      </c>
      <c r="AF1040">
        <f>$C1040*AF1039</f>
        <v/>
      </c>
      <c r="AG1040">
        <f>$C1040*AG1039</f>
        <v/>
      </c>
      <c r="AH1040">
        <f>$C1040*AH1039</f>
        <v/>
      </c>
      <c r="AI1040">
        <f>$C1040*AI1039</f>
        <v/>
      </c>
      <c r="AJ1040">
        <f>$C1040*AJ1039</f>
        <v/>
      </c>
      <c r="AK1040">
        <f>$C1040*AK1039</f>
        <v/>
      </c>
      <c r="AL1040">
        <f>$C1040*AL1039</f>
        <v/>
      </c>
      <c r="AM1040">
        <f>$C1040*AM1039</f>
        <v/>
      </c>
      <c r="AN1040">
        <f>$C1040*AN1039</f>
        <v/>
      </c>
      <c r="AO1040">
        <f>$C1040*AO1039</f>
        <v/>
      </c>
      <c r="AP1040">
        <f>$C1040*AP1039</f>
        <v/>
      </c>
      <c r="AQ1040">
        <f>$C1040*AQ1039</f>
        <v/>
      </c>
      <c r="AR1040">
        <f>$C1040*AR1039</f>
        <v/>
      </c>
      <c r="AS1040">
        <f>$C1040*AS1039</f>
        <v/>
      </c>
      <c r="AT1040">
        <f>$C1040*AT1039</f>
        <v/>
      </c>
      <c r="AU1040">
        <f>$C1040*AU1039</f>
        <v/>
      </c>
      <c r="AV1040">
        <f>$C1040*AV1039</f>
        <v/>
      </c>
      <c r="AW1040">
        <f>$C1040*AW1039</f>
        <v/>
      </c>
      <c r="AX1040">
        <f>$C1040*AX1039</f>
        <v/>
      </c>
      <c r="AY1040">
        <f>$C1040*AY1039</f>
        <v/>
      </c>
      <c r="AZ1040">
        <f>$C1040*AZ1039</f>
        <v/>
      </c>
      <c r="BA1040">
        <f>$C1040*BA1039</f>
        <v/>
      </c>
      <c r="BB1040">
        <f>$C1040*BB1039</f>
        <v/>
      </c>
      <c r="BC1040">
        <f>$C1040*BC1039</f>
        <v/>
      </c>
      <c r="BD1040">
        <f>$C1040*BD1039</f>
        <v/>
      </c>
      <c r="BE1040">
        <f>$C1040*BE1039</f>
        <v/>
      </c>
      <c r="BF1040">
        <f>$C1040*BF1039</f>
        <v/>
      </c>
      <c r="BG1040">
        <f>$C1040*BG1039</f>
        <v/>
      </c>
      <c r="BH1040">
        <f>$C1040*BH1039</f>
        <v/>
      </c>
      <c r="BI1040">
        <f>$C1040*BI1039</f>
        <v/>
      </c>
      <c r="BJ1040">
        <f>$C1040*BJ1039</f>
        <v/>
      </c>
      <c r="BK1040">
        <f>$C1040*BK1039</f>
        <v/>
      </c>
      <c r="BL1040">
        <f>$C1040*BL1039</f>
        <v/>
      </c>
      <c r="BM1040">
        <f>$C1040*BM1039</f>
        <v/>
      </c>
      <c r="BN1040">
        <f>$C1040*BN1039</f>
        <v/>
      </c>
      <c r="BO1040">
        <f>$C1040*BO1039</f>
        <v/>
      </c>
      <c r="BP1040">
        <f>$C1040*BP1039</f>
        <v/>
      </c>
      <c r="BQ1040">
        <f>$C1040*BQ1039</f>
        <v/>
      </c>
      <c r="BR1040">
        <f>$C1040*BR1039</f>
        <v/>
      </c>
      <c r="BS1040">
        <f>$C1040*BS1039</f>
        <v/>
      </c>
      <c r="BT1040">
        <f>$C1040*BT1039</f>
        <v/>
      </c>
      <c r="BU1040">
        <f>$C1040*BU1039</f>
        <v/>
      </c>
      <c r="BV1040">
        <f>$C1040*BV1039</f>
        <v/>
      </c>
      <c r="BW1040">
        <f>$C1040*BW1039</f>
        <v/>
      </c>
      <c r="BX1040">
        <f>$C1040*BX1039</f>
        <v/>
      </c>
      <c r="BY1040">
        <f>$C1040*BY1039</f>
        <v/>
      </c>
      <c r="BZ1040">
        <f>$C1040*BZ1039</f>
        <v/>
      </c>
      <c r="CA1040">
        <f>$C1040*CA1039</f>
        <v/>
      </c>
      <c r="CB1040">
        <f>$C1040*CB1039</f>
        <v/>
      </c>
      <c r="CC1040">
        <f>$C1040*CC1039</f>
        <v/>
      </c>
      <c r="CD1040">
        <f>$C1040*CD1039</f>
        <v/>
      </c>
      <c r="CE1040">
        <f>$C1040*CE1039</f>
        <v/>
      </c>
      <c r="CF1040">
        <f>$C1040*CF1039</f>
        <v/>
      </c>
      <c r="CG1040">
        <f>$C1040*CG1039</f>
        <v/>
      </c>
      <c r="CH1040">
        <f>$C1040*CH1039</f>
        <v/>
      </c>
      <c r="CI1040">
        <f>$C1040*CI1039</f>
        <v/>
      </c>
      <c r="CJ1040">
        <f>$C1040*CJ1039</f>
        <v/>
      </c>
      <c r="CK1040">
        <f>$C1040*CK1039</f>
        <v/>
      </c>
      <c r="CL1040">
        <f>$C1040*CL1039</f>
        <v/>
      </c>
      <c r="CM1040">
        <f>$C1040*CM1039</f>
        <v/>
      </c>
      <c r="CN1040">
        <f>$C1040*CN1039</f>
        <v/>
      </c>
      <c r="CO1040">
        <f>$C1040*CO1039</f>
        <v/>
      </c>
      <c r="CP1040">
        <f>$C1040*CP1039</f>
        <v/>
      </c>
      <c r="CQ1040">
        <f>$C1040*CQ1039</f>
        <v/>
      </c>
      <c r="CR1040">
        <f>$C1040*CR1039</f>
        <v/>
      </c>
      <c r="CS1040">
        <f>$C1040*CS1039</f>
        <v/>
      </c>
      <c r="CT1040">
        <f>$C1040*CT1039</f>
        <v/>
      </c>
      <c r="CU1040">
        <f>$C1040*CU1039</f>
        <v/>
      </c>
      <c r="CV1040">
        <f>$C1040*CV1039</f>
        <v/>
      </c>
      <c r="CW1040">
        <f>$C1040*CW1039</f>
        <v/>
      </c>
      <c r="CX1040">
        <f>$C1040*CX1039</f>
        <v/>
      </c>
      <c r="CY1040">
        <f>$C1040*CY1039</f>
        <v/>
      </c>
      <c r="CZ1040">
        <f>$C1040*CZ1039</f>
        <v/>
      </c>
      <c r="DA1040">
        <f>$C1040*DA1039</f>
        <v/>
      </c>
      <c r="DB1040">
        <f>$C1040*DB1039</f>
        <v/>
      </c>
      <c r="DC1040">
        <f>$C1040*DC1039</f>
        <v/>
      </c>
    </row>
    <row r="1041">
      <c r="B1041" t="inlineStr">
        <is>
          <t>TSZ-938</t>
        </is>
      </c>
      <c r="C1041" t="inlineStr">
        <is>
          <t>No. of batches</t>
        </is>
      </c>
      <c r="D1041">
        <f>IFERROR(INDEX(PP_Grid[#Data],$DD1041,2),0)</f>
        <v/>
      </c>
      <c r="E1041">
        <f>IFERROR(INDEX(PP_Grid[#Data],$DD1041,3),0)</f>
        <v/>
      </c>
      <c r="F1041">
        <f>IFERROR(INDEX(PP_Grid[#Data],$DD1041,4),0)</f>
        <v/>
      </c>
      <c r="G1041">
        <f>IFERROR(INDEX(PP_Grid[#Data],$DD1041,5),0)</f>
        <v/>
      </c>
      <c r="H1041">
        <f>IFERROR(INDEX(PP_Grid[#Data],$DD1041,6),0)</f>
        <v/>
      </c>
      <c r="I1041">
        <f>IFERROR(INDEX(PP_Grid[#Data],$DD1041,7),0)</f>
        <v/>
      </c>
      <c r="J1041">
        <f>IFERROR(INDEX(PP_Grid[#Data],$DD1041,8),0)</f>
        <v/>
      </c>
      <c r="K1041">
        <f>IFERROR(INDEX(PP_Grid[#Data],$DD1041,9),0)</f>
        <v/>
      </c>
      <c r="L1041">
        <f>IFERROR(INDEX(PP_Grid[#Data],$DD1041,10),0)</f>
        <v/>
      </c>
      <c r="M1041">
        <f>IFERROR(INDEX(PP_Grid[#Data],$DD1041,11),0)</f>
        <v/>
      </c>
      <c r="N1041">
        <f>IFERROR(INDEX(PP_Grid[#Data],$DD1041,12),0)</f>
        <v/>
      </c>
      <c r="O1041">
        <f>IFERROR(INDEX(PP_Grid[#Data],$DD1041,13),0)</f>
        <v/>
      </c>
      <c r="P1041">
        <f>IFERROR(INDEX(PP_Grid[#Data],$DD1041,14),0)</f>
        <v/>
      </c>
      <c r="Q1041">
        <f>IFERROR(INDEX(PP_Grid[#Data],$DD1041,15),0)</f>
        <v/>
      </c>
      <c r="R1041">
        <f>IFERROR(INDEX(PP_Grid[#Data],$DD1041,16),0)</f>
        <v/>
      </c>
      <c r="S1041">
        <f>IFERROR(INDEX(PP_Grid[#Data],$DD1041,17),0)</f>
        <v/>
      </c>
      <c r="T1041">
        <f>IFERROR(INDEX(PP_Grid[#Data],$DD1041,18),0)</f>
        <v/>
      </c>
      <c r="U1041">
        <f>IFERROR(INDEX(PP_Grid[#Data],$DD1041,19),0)</f>
        <v/>
      </c>
      <c r="V1041">
        <f>IFERROR(INDEX(PP_Grid[#Data],$DD1041,20),0)</f>
        <v/>
      </c>
      <c r="W1041">
        <f>IFERROR(INDEX(PP_Grid[#Data],$DD1041,21),0)</f>
        <v/>
      </c>
      <c r="X1041">
        <f>IFERROR(INDEX(PP_Grid[#Data],$DD1041,22),0)</f>
        <v/>
      </c>
      <c r="Y1041">
        <f>IFERROR(INDEX(PP_Grid[#Data],$DD1041,23),0)</f>
        <v/>
      </c>
      <c r="Z1041">
        <f>IFERROR(INDEX(PP_Grid[#Data],$DD1041,24),0)</f>
        <v/>
      </c>
      <c r="AA1041">
        <f>IFERROR(INDEX(PP_Grid[#Data],$DD1041,25),0)</f>
        <v/>
      </c>
      <c r="AB1041">
        <f>IFERROR(INDEX(PP_Grid[#Data],$DD1041,26),0)</f>
        <v/>
      </c>
      <c r="AC1041">
        <f>IFERROR(INDEX(PP_Grid[#Data],$DD1041,27),0)</f>
        <v/>
      </c>
      <c r="AD1041">
        <f>IFERROR(INDEX(PP_Grid[#Data],$DD1041,28),0)</f>
        <v/>
      </c>
      <c r="AE1041">
        <f>IFERROR(INDEX(PP_Grid[#Data],$DD1041,29),0)</f>
        <v/>
      </c>
      <c r="AF1041">
        <f>IFERROR(INDEX(PP_Grid[#Data],$DD1041,30),0)</f>
        <v/>
      </c>
      <c r="AG1041">
        <f>IFERROR(INDEX(PP_Grid[#Data],$DD1041,31),0)</f>
        <v/>
      </c>
      <c r="AH1041">
        <f>IFERROR(INDEX(PP_Grid[#Data],$DD1041,32),0)</f>
        <v/>
      </c>
      <c r="AI1041">
        <f>IFERROR(INDEX(PP_Grid[#Data],$DD1041,33),0)</f>
        <v/>
      </c>
      <c r="AJ1041">
        <f>IFERROR(INDEX(PP_Grid[#Data],$DD1041,34),0)</f>
        <v/>
      </c>
      <c r="AK1041">
        <f>IFERROR(INDEX(PP_Grid[#Data],$DD1041,35),0)</f>
        <v/>
      </c>
      <c r="AL1041">
        <f>IFERROR(INDEX(PP_Grid[#Data],$DD1041,36),0)</f>
        <v/>
      </c>
      <c r="AM1041">
        <f>IFERROR(INDEX(PP_Grid[#Data],$DD1041,37),0)</f>
        <v/>
      </c>
      <c r="AN1041">
        <f>IFERROR(INDEX(PP_Grid[#Data],$DD1041,38),0)</f>
        <v/>
      </c>
      <c r="AO1041">
        <f>IFERROR(INDEX(PP_Grid[#Data],$DD1041,39),0)</f>
        <v/>
      </c>
      <c r="AP1041">
        <f>IFERROR(INDEX(PP_Grid[#Data],$DD1041,40),0)</f>
        <v/>
      </c>
      <c r="AQ1041">
        <f>IFERROR(INDEX(PP_Grid[#Data],$DD1041,41),0)</f>
        <v/>
      </c>
      <c r="AR1041">
        <f>IFERROR(INDEX(PP_Grid[#Data],$DD1041,42),0)</f>
        <v/>
      </c>
      <c r="AS1041">
        <f>IFERROR(INDEX(PP_Grid[#Data],$DD1041,43),0)</f>
        <v/>
      </c>
      <c r="AT1041">
        <f>IFERROR(INDEX(PP_Grid[#Data],$DD1041,44),0)</f>
        <v/>
      </c>
      <c r="AU1041">
        <f>IFERROR(INDEX(PP_Grid[#Data],$DD1041,45),0)</f>
        <v/>
      </c>
      <c r="AV1041">
        <f>IFERROR(INDEX(PP_Grid[#Data],$DD1041,46),0)</f>
        <v/>
      </c>
      <c r="AW1041">
        <f>IFERROR(INDEX(PP_Grid[#Data],$DD1041,47),0)</f>
        <v/>
      </c>
      <c r="AX1041">
        <f>IFERROR(INDEX(PP_Grid[#Data],$DD1041,48),0)</f>
        <v/>
      </c>
      <c r="AY1041">
        <f>IFERROR(INDEX(PP_Grid[#Data],$DD1041,49),0)</f>
        <v/>
      </c>
      <c r="AZ1041">
        <f>IFERROR(INDEX(PP_Grid[#Data],$DD1041,50),0)</f>
        <v/>
      </c>
      <c r="BA1041">
        <f>IFERROR(INDEX(PP_Grid[#Data],$DD1041,51),0)</f>
        <v/>
      </c>
      <c r="BB1041">
        <f>IFERROR(INDEX(PP_Grid[#Data],$DD1041,52),0)</f>
        <v/>
      </c>
      <c r="BC1041">
        <f>IFERROR(INDEX(PP_Grid[#Data],$DD1041,53),0)</f>
        <v/>
      </c>
      <c r="BD1041">
        <f>IFERROR(INDEX(PP_Grid[#Data],$DD1041,54),0)</f>
        <v/>
      </c>
      <c r="BE1041">
        <f>IFERROR(INDEX(PP_Grid[#Data],$DD1041,55),0)</f>
        <v/>
      </c>
      <c r="BF1041">
        <f>IFERROR(INDEX(PP_Grid[#Data],$DD1041,56),0)</f>
        <v/>
      </c>
      <c r="BG1041">
        <f>IFERROR(INDEX(PP_Grid[#Data],$DD1041,57),0)</f>
        <v/>
      </c>
      <c r="BH1041">
        <f>IFERROR(INDEX(PP_Grid[#Data],$DD1041,58),0)</f>
        <v/>
      </c>
      <c r="BI1041">
        <f>IFERROR(INDEX(PP_Grid[#Data],$DD1041,59),0)</f>
        <v/>
      </c>
      <c r="BJ1041">
        <f>IFERROR(INDEX(PP_Grid[#Data],$DD1041,60),0)</f>
        <v/>
      </c>
      <c r="BK1041">
        <f>IFERROR(INDEX(PP_Grid[#Data],$DD1041,61),0)</f>
        <v/>
      </c>
      <c r="BL1041">
        <f>IFERROR(INDEX(PP_Grid[#Data],$DD1041,62),0)</f>
        <v/>
      </c>
      <c r="BM1041">
        <f>IFERROR(INDEX(PP_Grid[#Data],$DD1041,63),0)</f>
        <v/>
      </c>
      <c r="BN1041">
        <f>IFERROR(INDEX(PP_Grid[#Data],$DD1041,64),0)</f>
        <v/>
      </c>
      <c r="BO1041">
        <f>IFERROR(INDEX(PP_Grid[#Data],$DD1041,65),0)</f>
        <v/>
      </c>
      <c r="BP1041">
        <f>IFERROR(INDEX(PP_Grid[#Data],$DD1041,66),0)</f>
        <v/>
      </c>
      <c r="BQ1041">
        <f>IFERROR(INDEX(PP_Grid[#Data],$DD1041,67),0)</f>
        <v/>
      </c>
      <c r="BR1041">
        <f>IFERROR(INDEX(PP_Grid[#Data],$DD1041,68),0)</f>
        <v/>
      </c>
      <c r="BS1041">
        <f>IFERROR(INDEX(PP_Grid[#Data],$DD1041,69),0)</f>
        <v/>
      </c>
      <c r="BT1041">
        <f>IFERROR(INDEX(PP_Grid[#Data],$DD1041,70),0)</f>
        <v/>
      </c>
      <c r="BU1041">
        <f>IFERROR(INDEX(PP_Grid[#Data],$DD1041,71),0)</f>
        <v/>
      </c>
      <c r="BV1041">
        <f>IFERROR(INDEX(PP_Grid[#Data],$DD1041,72),0)</f>
        <v/>
      </c>
      <c r="BW1041">
        <f>IFERROR(INDEX(PP_Grid[#Data],$DD1041,73),0)</f>
        <v/>
      </c>
      <c r="BX1041">
        <f>IFERROR(INDEX(PP_Grid[#Data],$DD1041,74),0)</f>
        <v/>
      </c>
      <c r="BY1041">
        <f>IFERROR(INDEX(PP_Grid[#Data],$DD1041,75),0)</f>
        <v/>
      </c>
      <c r="BZ1041">
        <f>IFERROR(INDEX(PP_Grid[#Data],$DD1041,76),0)</f>
        <v/>
      </c>
      <c r="CA1041">
        <f>IFERROR(INDEX(PP_Grid[#Data],$DD1041,77),0)</f>
        <v/>
      </c>
      <c r="CB1041">
        <f>IFERROR(INDEX(PP_Grid[#Data],$DD1041,78),0)</f>
        <v/>
      </c>
      <c r="CC1041">
        <f>IFERROR(INDEX(PP_Grid[#Data],$DD1041,79),0)</f>
        <v/>
      </c>
      <c r="CD1041">
        <f>IFERROR(INDEX(PP_Grid[#Data],$DD1041,80),0)</f>
        <v/>
      </c>
      <c r="CE1041">
        <f>IFERROR(INDEX(PP_Grid[#Data],$DD1041,81),0)</f>
        <v/>
      </c>
      <c r="CF1041">
        <f>IFERROR(INDEX(PP_Grid[#Data],$DD1041,82),0)</f>
        <v/>
      </c>
      <c r="CG1041">
        <f>IFERROR(INDEX(PP_Grid[#Data],$DD1041,83),0)</f>
        <v/>
      </c>
      <c r="CH1041">
        <f>IFERROR(INDEX(PP_Grid[#Data],$DD1041,84),0)</f>
        <v/>
      </c>
      <c r="CI1041">
        <f>IFERROR(INDEX(PP_Grid[#Data],$DD1041,85),0)</f>
        <v/>
      </c>
      <c r="CJ1041">
        <f>IFERROR(INDEX(PP_Grid[#Data],$DD1041,86),0)</f>
        <v/>
      </c>
      <c r="CK1041">
        <f>IFERROR(INDEX(PP_Grid[#Data],$DD1041,87),0)</f>
        <v/>
      </c>
      <c r="CL1041">
        <f>IFERROR(INDEX(PP_Grid[#Data],$DD1041,88),0)</f>
        <v/>
      </c>
      <c r="CM1041">
        <f>IFERROR(INDEX(PP_Grid[#Data],$DD1041,89),0)</f>
        <v/>
      </c>
      <c r="CN1041">
        <f>IFERROR(INDEX(PP_Grid[#Data],$DD1041,90),0)</f>
        <v/>
      </c>
      <c r="CO1041">
        <f>IFERROR(INDEX(PP_Grid[#Data],$DD1041,91),0)</f>
        <v/>
      </c>
      <c r="CP1041">
        <f>IFERROR(INDEX(PP_Grid[#Data],$DD1041,92),0)</f>
        <v/>
      </c>
      <c r="CQ1041">
        <f>IFERROR(INDEX(PP_Grid[#Data],$DD1041,93),0)</f>
        <v/>
      </c>
      <c r="CR1041">
        <f>IFERROR(INDEX(PP_Grid[#Data],$DD1041,94),0)</f>
        <v/>
      </c>
      <c r="CS1041">
        <f>IFERROR(INDEX(PP_Grid[#Data],$DD1041,95),0)</f>
        <v/>
      </c>
      <c r="CT1041">
        <f>IFERROR(INDEX(PP_Grid[#Data],$DD1041,96),0)</f>
        <v/>
      </c>
      <c r="CU1041">
        <f>IFERROR(INDEX(PP_Grid[#Data],$DD1041,97),0)</f>
        <v/>
      </c>
      <c r="CV1041">
        <f>IFERROR(INDEX(PP_Grid[#Data],$DD1041,98),0)</f>
        <v/>
      </c>
      <c r="CW1041">
        <f>IFERROR(INDEX(PP_Grid[#Data],$DD1041,99),0)</f>
        <v/>
      </c>
      <c r="CX1041">
        <f>IFERROR(INDEX(PP_Grid[#Data],$DD1041,100),0)</f>
        <v/>
      </c>
      <c r="CY1041">
        <f>IFERROR(INDEX(PP_Grid[#Data],$DD1041,101),0)</f>
        <v/>
      </c>
      <c r="CZ1041">
        <f>IFERROR(INDEX(PP_Grid[#Data],$DD1041,102),0)</f>
        <v/>
      </c>
      <c r="DA1041">
        <f>IFERROR(INDEX(PP_Grid[#Data],$DD1041,103),0)</f>
        <v/>
      </c>
      <c r="DB1041">
        <f>IFERROR(INDEX(PP_Grid[#Data],$DD1041,104),0)</f>
        <v/>
      </c>
      <c r="DC1041">
        <f>IFERROR(INDEX(PP_Grid[#Data],$DD1041,105),0)</f>
        <v/>
      </c>
      <c r="DD1041" s="12">
        <f>IFERROR(MATCH($B1041,PP_Grid[Intermediate],0),99999)</f>
        <v/>
      </c>
    </row>
    <row r="1042">
      <c r="B1042" t="inlineStr">
        <is>
          <t>使用量(kg)</t>
        </is>
      </c>
      <c r="C1042">
        <f>SUMIFS(M_BOM[RM_Qty_Per_Batch],M_BOM[Intermediate],$B1041,M_BOM[Part Name],$A988)</f>
        <v/>
      </c>
      <c r="D1042">
        <f>$C1042*D1041</f>
        <v/>
      </c>
      <c r="E1042">
        <f>$C1042*E1041</f>
        <v/>
      </c>
      <c r="F1042">
        <f>$C1042*F1041</f>
        <v/>
      </c>
      <c r="G1042">
        <f>$C1042*G1041</f>
        <v/>
      </c>
      <c r="H1042">
        <f>$C1042*H1041</f>
        <v/>
      </c>
      <c r="I1042">
        <f>$C1042*I1041</f>
        <v/>
      </c>
      <c r="J1042">
        <f>$C1042*J1041</f>
        <v/>
      </c>
      <c r="K1042">
        <f>$C1042*K1041</f>
        <v/>
      </c>
      <c r="L1042">
        <f>$C1042*L1041</f>
        <v/>
      </c>
      <c r="M1042">
        <f>$C1042*M1041</f>
        <v/>
      </c>
      <c r="N1042">
        <f>$C1042*N1041</f>
        <v/>
      </c>
      <c r="O1042">
        <f>$C1042*O1041</f>
        <v/>
      </c>
      <c r="P1042">
        <f>$C1042*P1041</f>
        <v/>
      </c>
      <c r="Q1042">
        <f>$C1042*Q1041</f>
        <v/>
      </c>
      <c r="R1042">
        <f>$C1042*R1041</f>
        <v/>
      </c>
      <c r="S1042">
        <f>$C1042*S1041</f>
        <v/>
      </c>
      <c r="T1042">
        <f>$C1042*T1041</f>
        <v/>
      </c>
      <c r="U1042">
        <f>$C1042*U1041</f>
        <v/>
      </c>
      <c r="V1042">
        <f>$C1042*V1041</f>
        <v/>
      </c>
      <c r="W1042">
        <f>$C1042*W1041</f>
        <v/>
      </c>
      <c r="X1042">
        <f>$C1042*X1041</f>
        <v/>
      </c>
      <c r="Y1042">
        <f>$C1042*Y1041</f>
        <v/>
      </c>
      <c r="Z1042">
        <f>$C1042*Z1041</f>
        <v/>
      </c>
      <c r="AA1042">
        <f>$C1042*AA1041</f>
        <v/>
      </c>
      <c r="AB1042">
        <f>$C1042*AB1041</f>
        <v/>
      </c>
      <c r="AC1042">
        <f>$C1042*AC1041</f>
        <v/>
      </c>
      <c r="AD1042">
        <f>$C1042*AD1041</f>
        <v/>
      </c>
      <c r="AE1042">
        <f>$C1042*AE1041</f>
        <v/>
      </c>
      <c r="AF1042">
        <f>$C1042*AF1041</f>
        <v/>
      </c>
      <c r="AG1042">
        <f>$C1042*AG1041</f>
        <v/>
      </c>
      <c r="AH1042">
        <f>$C1042*AH1041</f>
        <v/>
      </c>
      <c r="AI1042">
        <f>$C1042*AI1041</f>
        <v/>
      </c>
      <c r="AJ1042">
        <f>$C1042*AJ1041</f>
        <v/>
      </c>
      <c r="AK1042">
        <f>$C1042*AK1041</f>
        <v/>
      </c>
      <c r="AL1042">
        <f>$C1042*AL1041</f>
        <v/>
      </c>
      <c r="AM1042">
        <f>$C1042*AM1041</f>
        <v/>
      </c>
      <c r="AN1042">
        <f>$C1042*AN1041</f>
        <v/>
      </c>
      <c r="AO1042">
        <f>$C1042*AO1041</f>
        <v/>
      </c>
      <c r="AP1042">
        <f>$C1042*AP1041</f>
        <v/>
      </c>
      <c r="AQ1042">
        <f>$C1042*AQ1041</f>
        <v/>
      </c>
      <c r="AR1042">
        <f>$C1042*AR1041</f>
        <v/>
      </c>
      <c r="AS1042">
        <f>$C1042*AS1041</f>
        <v/>
      </c>
      <c r="AT1042">
        <f>$C1042*AT1041</f>
        <v/>
      </c>
      <c r="AU1042">
        <f>$C1042*AU1041</f>
        <v/>
      </c>
      <c r="AV1042">
        <f>$C1042*AV1041</f>
        <v/>
      </c>
      <c r="AW1042">
        <f>$C1042*AW1041</f>
        <v/>
      </c>
      <c r="AX1042">
        <f>$C1042*AX1041</f>
        <v/>
      </c>
      <c r="AY1042">
        <f>$C1042*AY1041</f>
        <v/>
      </c>
      <c r="AZ1042">
        <f>$C1042*AZ1041</f>
        <v/>
      </c>
      <c r="BA1042">
        <f>$C1042*BA1041</f>
        <v/>
      </c>
      <c r="BB1042">
        <f>$C1042*BB1041</f>
        <v/>
      </c>
      <c r="BC1042">
        <f>$C1042*BC1041</f>
        <v/>
      </c>
      <c r="BD1042">
        <f>$C1042*BD1041</f>
        <v/>
      </c>
      <c r="BE1042">
        <f>$C1042*BE1041</f>
        <v/>
      </c>
      <c r="BF1042">
        <f>$C1042*BF1041</f>
        <v/>
      </c>
      <c r="BG1042">
        <f>$C1042*BG1041</f>
        <v/>
      </c>
      <c r="BH1042">
        <f>$C1042*BH1041</f>
        <v/>
      </c>
      <c r="BI1042">
        <f>$C1042*BI1041</f>
        <v/>
      </c>
      <c r="BJ1042">
        <f>$C1042*BJ1041</f>
        <v/>
      </c>
      <c r="BK1042">
        <f>$C1042*BK1041</f>
        <v/>
      </c>
      <c r="BL1042">
        <f>$C1042*BL1041</f>
        <v/>
      </c>
      <c r="BM1042">
        <f>$C1042*BM1041</f>
        <v/>
      </c>
      <c r="BN1042">
        <f>$C1042*BN1041</f>
        <v/>
      </c>
      <c r="BO1042">
        <f>$C1042*BO1041</f>
        <v/>
      </c>
      <c r="BP1042">
        <f>$C1042*BP1041</f>
        <v/>
      </c>
      <c r="BQ1042">
        <f>$C1042*BQ1041</f>
        <v/>
      </c>
      <c r="BR1042">
        <f>$C1042*BR1041</f>
        <v/>
      </c>
      <c r="BS1042">
        <f>$C1042*BS1041</f>
        <v/>
      </c>
      <c r="BT1042">
        <f>$C1042*BT1041</f>
        <v/>
      </c>
      <c r="BU1042">
        <f>$C1042*BU1041</f>
        <v/>
      </c>
      <c r="BV1042">
        <f>$C1042*BV1041</f>
        <v/>
      </c>
      <c r="BW1042">
        <f>$C1042*BW1041</f>
        <v/>
      </c>
      <c r="BX1042">
        <f>$C1042*BX1041</f>
        <v/>
      </c>
      <c r="BY1042">
        <f>$C1042*BY1041</f>
        <v/>
      </c>
      <c r="BZ1042">
        <f>$C1042*BZ1041</f>
        <v/>
      </c>
      <c r="CA1042">
        <f>$C1042*CA1041</f>
        <v/>
      </c>
      <c r="CB1042">
        <f>$C1042*CB1041</f>
        <v/>
      </c>
      <c r="CC1042">
        <f>$C1042*CC1041</f>
        <v/>
      </c>
      <c r="CD1042">
        <f>$C1042*CD1041</f>
        <v/>
      </c>
      <c r="CE1042">
        <f>$C1042*CE1041</f>
        <v/>
      </c>
      <c r="CF1042">
        <f>$C1042*CF1041</f>
        <v/>
      </c>
      <c r="CG1042">
        <f>$C1042*CG1041</f>
        <v/>
      </c>
      <c r="CH1042">
        <f>$C1042*CH1041</f>
        <v/>
      </c>
      <c r="CI1042">
        <f>$C1042*CI1041</f>
        <v/>
      </c>
      <c r="CJ1042">
        <f>$C1042*CJ1041</f>
        <v/>
      </c>
      <c r="CK1042">
        <f>$C1042*CK1041</f>
        <v/>
      </c>
      <c r="CL1042">
        <f>$C1042*CL1041</f>
        <v/>
      </c>
      <c r="CM1042">
        <f>$C1042*CM1041</f>
        <v/>
      </c>
      <c r="CN1042">
        <f>$C1042*CN1041</f>
        <v/>
      </c>
      <c r="CO1042">
        <f>$C1042*CO1041</f>
        <v/>
      </c>
      <c r="CP1042">
        <f>$C1042*CP1041</f>
        <v/>
      </c>
      <c r="CQ1042">
        <f>$C1042*CQ1041</f>
        <v/>
      </c>
      <c r="CR1042">
        <f>$C1042*CR1041</f>
        <v/>
      </c>
      <c r="CS1042">
        <f>$C1042*CS1041</f>
        <v/>
      </c>
      <c r="CT1042">
        <f>$C1042*CT1041</f>
        <v/>
      </c>
      <c r="CU1042">
        <f>$C1042*CU1041</f>
        <v/>
      </c>
      <c r="CV1042">
        <f>$C1042*CV1041</f>
        <v/>
      </c>
      <c r="CW1042">
        <f>$C1042*CW1041</f>
        <v/>
      </c>
      <c r="CX1042">
        <f>$C1042*CX1041</f>
        <v/>
      </c>
      <c r="CY1042">
        <f>$C1042*CY1041</f>
        <v/>
      </c>
      <c r="CZ1042">
        <f>$C1042*CZ1041</f>
        <v/>
      </c>
      <c r="DA1042">
        <f>$C1042*DA1041</f>
        <v/>
      </c>
      <c r="DB1042">
        <f>$C1042*DB1041</f>
        <v/>
      </c>
      <c r="DC1042">
        <f>$C1042*DC1041</f>
        <v/>
      </c>
    </row>
    <row r="1043">
      <c r="B1043" t="inlineStr">
        <is>
          <t>TVS-267</t>
        </is>
      </c>
      <c r="C1043" t="inlineStr">
        <is>
          <t>No. of batches</t>
        </is>
      </c>
      <c r="D1043">
        <f>IFERROR(INDEX(PP_Grid[#Data],$DD1043,2),0)</f>
        <v/>
      </c>
      <c r="E1043">
        <f>IFERROR(INDEX(PP_Grid[#Data],$DD1043,3),0)</f>
        <v/>
      </c>
      <c r="F1043">
        <f>IFERROR(INDEX(PP_Grid[#Data],$DD1043,4),0)</f>
        <v/>
      </c>
      <c r="G1043">
        <f>IFERROR(INDEX(PP_Grid[#Data],$DD1043,5),0)</f>
        <v/>
      </c>
      <c r="H1043">
        <f>IFERROR(INDEX(PP_Grid[#Data],$DD1043,6),0)</f>
        <v/>
      </c>
      <c r="I1043">
        <f>IFERROR(INDEX(PP_Grid[#Data],$DD1043,7),0)</f>
        <v/>
      </c>
      <c r="J1043">
        <f>IFERROR(INDEX(PP_Grid[#Data],$DD1043,8),0)</f>
        <v/>
      </c>
      <c r="K1043">
        <f>IFERROR(INDEX(PP_Grid[#Data],$DD1043,9),0)</f>
        <v/>
      </c>
      <c r="L1043">
        <f>IFERROR(INDEX(PP_Grid[#Data],$DD1043,10),0)</f>
        <v/>
      </c>
      <c r="M1043">
        <f>IFERROR(INDEX(PP_Grid[#Data],$DD1043,11),0)</f>
        <v/>
      </c>
      <c r="N1043">
        <f>IFERROR(INDEX(PP_Grid[#Data],$DD1043,12),0)</f>
        <v/>
      </c>
      <c r="O1043">
        <f>IFERROR(INDEX(PP_Grid[#Data],$DD1043,13),0)</f>
        <v/>
      </c>
      <c r="P1043">
        <f>IFERROR(INDEX(PP_Grid[#Data],$DD1043,14),0)</f>
        <v/>
      </c>
      <c r="Q1043">
        <f>IFERROR(INDEX(PP_Grid[#Data],$DD1043,15),0)</f>
        <v/>
      </c>
      <c r="R1043">
        <f>IFERROR(INDEX(PP_Grid[#Data],$DD1043,16),0)</f>
        <v/>
      </c>
      <c r="S1043">
        <f>IFERROR(INDEX(PP_Grid[#Data],$DD1043,17),0)</f>
        <v/>
      </c>
      <c r="T1043">
        <f>IFERROR(INDEX(PP_Grid[#Data],$DD1043,18),0)</f>
        <v/>
      </c>
      <c r="U1043">
        <f>IFERROR(INDEX(PP_Grid[#Data],$DD1043,19),0)</f>
        <v/>
      </c>
      <c r="V1043">
        <f>IFERROR(INDEX(PP_Grid[#Data],$DD1043,20),0)</f>
        <v/>
      </c>
      <c r="W1043">
        <f>IFERROR(INDEX(PP_Grid[#Data],$DD1043,21),0)</f>
        <v/>
      </c>
      <c r="X1043">
        <f>IFERROR(INDEX(PP_Grid[#Data],$DD1043,22),0)</f>
        <v/>
      </c>
      <c r="Y1043">
        <f>IFERROR(INDEX(PP_Grid[#Data],$DD1043,23),0)</f>
        <v/>
      </c>
      <c r="Z1043">
        <f>IFERROR(INDEX(PP_Grid[#Data],$DD1043,24),0)</f>
        <v/>
      </c>
      <c r="AA1043">
        <f>IFERROR(INDEX(PP_Grid[#Data],$DD1043,25),0)</f>
        <v/>
      </c>
      <c r="AB1043">
        <f>IFERROR(INDEX(PP_Grid[#Data],$DD1043,26),0)</f>
        <v/>
      </c>
      <c r="AC1043">
        <f>IFERROR(INDEX(PP_Grid[#Data],$DD1043,27),0)</f>
        <v/>
      </c>
      <c r="AD1043">
        <f>IFERROR(INDEX(PP_Grid[#Data],$DD1043,28),0)</f>
        <v/>
      </c>
      <c r="AE1043">
        <f>IFERROR(INDEX(PP_Grid[#Data],$DD1043,29),0)</f>
        <v/>
      </c>
      <c r="AF1043">
        <f>IFERROR(INDEX(PP_Grid[#Data],$DD1043,30),0)</f>
        <v/>
      </c>
      <c r="AG1043">
        <f>IFERROR(INDEX(PP_Grid[#Data],$DD1043,31),0)</f>
        <v/>
      </c>
      <c r="AH1043">
        <f>IFERROR(INDEX(PP_Grid[#Data],$DD1043,32),0)</f>
        <v/>
      </c>
      <c r="AI1043">
        <f>IFERROR(INDEX(PP_Grid[#Data],$DD1043,33),0)</f>
        <v/>
      </c>
      <c r="AJ1043">
        <f>IFERROR(INDEX(PP_Grid[#Data],$DD1043,34),0)</f>
        <v/>
      </c>
      <c r="AK1043">
        <f>IFERROR(INDEX(PP_Grid[#Data],$DD1043,35),0)</f>
        <v/>
      </c>
      <c r="AL1043">
        <f>IFERROR(INDEX(PP_Grid[#Data],$DD1043,36),0)</f>
        <v/>
      </c>
      <c r="AM1043">
        <f>IFERROR(INDEX(PP_Grid[#Data],$DD1043,37),0)</f>
        <v/>
      </c>
      <c r="AN1043">
        <f>IFERROR(INDEX(PP_Grid[#Data],$DD1043,38),0)</f>
        <v/>
      </c>
      <c r="AO1043">
        <f>IFERROR(INDEX(PP_Grid[#Data],$DD1043,39),0)</f>
        <v/>
      </c>
      <c r="AP1043">
        <f>IFERROR(INDEX(PP_Grid[#Data],$DD1043,40),0)</f>
        <v/>
      </c>
      <c r="AQ1043">
        <f>IFERROR(INDEX(PP_Grid[#Data],$DD1043,41),0)</f>
        <v/>
      </c>
      <c r="AR1043">
        <f>IFERROR(INDEX(PP_Grid[#Data],$DD1043,42),0)</f>
        <v/>
      </c>
      <c r="AS1043">
        <f>IFERROR(INDEX(PP_Grid[#Data],$DD1043,43),0)</f>
        <v/>
      </c>
      <c r="AT1043">
        <f>IFERROR(INDEX(PP_Grid[#Data],$DD1043,44),0)</f>
        <v/>
      </c>
      <c r="AU1043">
        <f>IFERROR(INDEX(PP_Grid[#Data],$DD1043,45),0)</f>
        <v/>
      </c>
      <c r="AV1043">
        <f>IFERROR(INDEX(PP_Grid[#Data],$DD1043,46),0)</f>
        <v/>
      </c>
      <c r="AW1043">
        <f>IFERROR(INDEX(PP_Grid[#Data],$DD1043,47),0)</f>
        <v/>
      </c>
      <c r="AX1043">
        <f>IFERROR(INDEX(PP_Grid[#Data],$DD1043,48),0)</f>
        <v/>
      </c>
      <c r="AY1043">
        <f>IFERROR(INDEX(PP_Grid[#Data],$DD1043,49),0)</f>
        <v/>
      </c>
      <c r="AZ1043">
        <f>IFERROR(INDEX(PP_Grid[#Data],$DD1043,50),0)</f>
        <v/>
      </c>
      <c r="BA1043">
        <f>IFERROR(INDEX(PP_Grid[#Data],$DD1043,51),0)</f>
        <v/>
      </c>
      <c r="BB1043">
        <f>IFERROR(INDEX(PP_Grid[#Data],$DD1043,52),0)</f>
        <v/>
      </c>
      <c r="BC1043">
        <f>IFERROR(INDEX(PP_Grid[#Data],$DD1043,53),0)</f>
        <v/>
      </c>
      <c r="BD1043">
        <f>IFERROR(INDEX(PP_Grid[#Data],$DD1043,54),0)</f>
        <v/>
      </c>
      <c r="BE1043">
        <f>IFERROR(INDEX(PP_Grid[#Data],$DD1043,55),0)</f>
        <v/>
      </c>
      <c r="BF1043">
        <f>IFERROR(INDEX(PP_Grid[#Data],$DD1043,56),0)</f>
        <v/>
      </c>
      <c r="BG1043">
        <f>IFERROR(INDEX(PP_Grid[#Data],$DD1043,57),0)</f>
        <v/>
      </c>
      <c r="BH1043">
        <f>IFERROR(INDEX(PP_Grid[#Data],$DD1043,58),0)</f>
        <v/>
      </c>
      <c r="BI1043">
        <f>IFERROR(INDEX(PP_Grid[#Data],$DD1043,59),0)</f>
        <v/>
      </c>
      <c r="BJ1043">
        <f>IFERROR(INDEX(PP_Grid[#Data],$DD1043,60),0)</f>
        <v/>
      </c>
      <c r="BK1043">
        <f>IFERROR(INDEX(PP_Grid[#Data],$DD1043,61),0)</f>
        <v/>
      </c>
      <c r="BL1043">
        <f>IFERROR(INDEX(PP_Grid[#Data],$DD1043,62),0)</f>
        <v/>
      </c>
      <c r="BM1043">
        <f>IFERROR(INDEX(PP_Grid[#Data],$DD1043,63),0)</f>
        <v/>
      </c>
      <c r="BN1043">
        <f>IFERROR(INDEX(PP_Grid[#Data],$DD1043,64),0)</f>
        <v/>
      </c>
      <c r="BO1043">
        <f>IFERROR(INDEX(PP_Grid[#Data],$DD1043,65),0)</f>
        <v/>
      </c>
      <c r="BP1043">
        <f>IFERROR(INDEX(PP_Grid[#Data],$DD1043,66),0)</f>
        <v/>
      </c>
      <c r="BQ1043">
        <f>IFERROR(INDEX(PP_Grid[#Data],$DD1043,67),0)</f>
        <v/>
      </c>
      <c r="BR1043">
        <f>IFERROR(INDEX(PP_Grid[#Data],$DD1043,68),0)</f>
        <v/>
      </c>
      <c r="BS1043">
        <f>IFERROR(INDEX(PP_Grid[#Data],$DD1043,69),0)</f>
        <v/>
      </c>
      <c r="BT1043">
        <f>IFERROR(INDEX(PP_Grid[#Data],$DD1043,70),0)</f>
        <v/>
      </c>
      <c r="BU1043">
        <f>IFERROR(INDEX(PP_Grid[#Data],$DD1043,71),0)</f>
        <v/>
      </c>
      <c r="BV1043">
        <f>IFERROR(INDEX(PP_Grid[#Data],$DD1043,72),0)</f>
        <v/>
      </c>
      <c r="BW1043">
        <f>IFERROR(INDEX(PP_Grid[#Data],$DD1043,73),0)</f>
        <v/>
      </c>
      <c r="BX1043">
        <f>IFERROR(INDEX(PP_Grid[#Data],$DD1043,74),0)</f>
        <v/>
      </c>
      <c r="BY1043">
        <f>IFERROR(INDEX(PP_Grid[#Data],$DD1043,75),0)</f>
        <v/>
      </c>
      <c r="BZ1043">
        <f>IFERROR(INDEX(PP_Grid[#Data],$DD1043,76),0)</f>
        <v/>
      </c>
      <c r="CA1043">
        <f>IFERROR(INDEX(PP_Grid[#Data],$DD1043,77),0)</f>
        <v/>
      </c>
      <c r="CB1043">
        <f>IFERROR(INDEX(PP_Grid[#Data],$DD1043,78),0)</f>
        <v/>
      </c>
      <c r="CC1043">
        <f>IFERROR(INDEX(PP_Grid[#Data],$DD1043,79),0)</f>
        <v/>
      </c>
      <c r="CD1043">
        <f>IFERROR(INDEX(PP_Grid[#Data],$DD1043,80),0)</f>
        <v/>
      </c>
      <c r="CE1043">
        <f>IFERROR(INDEX(PP_Grid[#Data],$DD1043,81),0)</f>
        <v/>
      </c>
      <c r="CF1043">
        <f>IFERROR(INDEX(PP_Grid[#Data],$DD1043,82),0)</f>
        <v/>
      </c>
      <c r="CG1043">
        <f>IFERROR(INDEX(PP_Grid[#Data],$DD1043,83),0)</f>
        <v/>
      </c>
      <c r="CH1043">
        <f>IFERROR(INDEX(PP_Grid[#Data],$DD1043,84),0)</f>
        <v/>
      </c>
      <c r="CI1043">
        <f>IFERROR(INDEX(PP_Grid[#Data],$DD1043,85),0)</f>
        <v/>
      </c>
      <c r="CJ1043">
        <f>IFERROR(INDEX(PP_Grid[#Data],$DD1043,86),0)</f>
        <v/>
      </c>
      <c r="CK1043">
        <f>IFERROR(INDEX(PP_Grid[#Data],$DD1043,87),0)</f>
        <v/>
      </c>
      <c r="CL1043">
        <f>IFERROR(INDEX(PP_Grid[#Data],$DD1043,88),0)</f>
        <v/>
      </c>
      <c r="CM1043">
        <f>IFERROR(INDEX(PP_Grid[#Data],$DD1043,89),0)</f>
        <v/>
      </c>
      <c r="CN1043">
        <f>IFERROR(INDEX(PP_Grid[#Data],$DD1043,90),0)</f>
        <v/>
      </c>
      <c r="CO1043">
        <f>IFERROR(INDEX(PP_Grid[#Data],$DD1043,91),0)</f>
        <v/>
      </c>
      <c r="CP1043">
        <f>IFERROR(INDEX(PP_Grid[#Data],$DD1043,92),0)</f>
        <v/>
      </c>
      <c r="CQ1043">
        <f>IFERROR(INDEX(PP_Grid[#Data],$DD1043,93),0)</f>
        <v/>
      </c>
      <c r="CR1043">
        <f>IFERROR(INDEX(PP_Grid[#Data],$DD1043,94),0)</f>
        <v/>
      </c>
      <c r="CS1043">
        <f>IFERROR(INDEX(PP_Grid[#Data],$DD1043,95),0)</f>
        <v/>
      </c>
      <c r="CT1043">
        <f>IFERROR(INDEX(PP_Grid[#Data],$DD1043,96),0)</f>
        <v/>
      </c>
      <c r="CU1043">
        <f>IFERROR(INDEX(PP_Grid[#Data],$DD1043,97),0)</f>
        <v/>
      </c>
      <c r="CV1043">
        <f>IFERROR(INDEX(PP_Grid[#Data],$DD1043,98),0)</f>
        <v/>
      </c>
      <c r="CW1043">
        <f>IFERROR(INDEX(PP_Grid[#Data],$DD1043,99),0)</f>
        <v/>
      </c>
      <c r="CX1043">
        <f>IFERROR(INDEX(PP_Grid[#Data],$DD1043,100),0)</f>
        <v/>
      </c>
      <c r="CY1043">
        <f>IFERROR(INDEX(PP_Grid[#Data],$DD1043,101),0)</f>
        <v/>
      </c>
      <c r="CZ1043">
        <f>IFERROR(INDEX(PP_Grid[#Data],$DD1043,102),0)</f>
        <v/>
      </c>
      <c r="DA1043">
        <f>IFERROR(INDEX(PP_Grid[#Data],$DD1043,103),0)</f>
        <v/>
      </c>
      <c r="DB1043">
        <f>IFERROR(INDEX(PP_Grid[#Data],$DD1043,104),0)</f>
        <v/>
      </c>
      <c r="DC1043">
        <f>IFERROR(INDEX(PP_Grid[#Data],$DD1043,105),0)</f>
        <v/>
      </c>
      <c r="DD1043" s="12">
        <f>IFERROR(MATCH($B1043,PP_Grid[Intermediate],0),99999)</f>
        <v/>
      </c>
    </row>
    <row r="1044">
      <c r="B1044" t="inlineStr">
        <is>
          <t>使用量(kg)</t>
        </is>
      </c>
      <c r="C1044">
        <f>SUMIFS(M_BOM[RM_Qty_Per_Batch],M_BOM[Intermediate],$B1043,M_BOM[Part Name],$A988)</f>
        <v/>
      </c>
      <c r="D1044">
        <f>$C1044*D1043</f>
        <v/>
      </c>
      <c r="E1044">
        <f>$C1044*E1043</f>
        <v/>
      </c>
      <c r="F1044">
        <f>$C1044*F1043</f>
        <v/>
      </c>
      <c r="G1044">
        <f>$C1044*G1043</f>
        <v/>
      </c>
      <c r="H1044">
        <f>$C1044*H1043</f>
        <v/>
      </c>
      <c r="I1044">
        <f>$C1044*I1043</f>
        <v/>
      </c>
      <c r="J1044">
        <f>$C1044*J1043</f>
        <v/>
      </c>
      <c r="K1044">
        <f>$C1044*K1043</f>
        <v/>
      </c>
      <c r="L1044">
        <f>$C1044*L1043</f>
        <v/>
      </c>
      <c r="M1044">
        <f>$C1044*M1043</f>
        <v/>
      </c>
      <c r="N1044">
        <f>$C1044*N1043</f>
        <v/>
      </c>
      <c r="O1044">
        <f>$C1044*O1043</f>
        <v/>
      </c>
      <c r="P1044">
        <f>$C1044*P1043</f>
        <v/>
      </c>
      <c r="Q1044">
        <f>$C1044*Q1043</f>
        <v/>
      </c>
      <c r="R1044">
        <f>$C1044*R1043</f>
        <v/>
      </c>
      <c r="S1044">
        <f>$C1044*S1043</f>
        <v/>
      </c>
      <c r="T1044">
        <f>$C1044*T1043</f>
        <v/>
      </c>
      <c r="U1044">
        <f>$C1044*U1043</f>
        <v/>
      </c>
      <c r="V1044">
        <f>$C1044*V1043</f>
        <v/>
      </c>
      <c r="W1044">
        <f>$C1044*W1043</f>
        <v/>
      </c>
      <c r="X1044">
        <f>$C1044*X1043</f>
        <v/>
      </c>
      <c r="Y1044">
        <f>$C1044*Y1043</f>
        <v/>
      </c>
      <c r="Z1044">
        <f>$C1044*Z1043</f>
        <v/>
      </c>
      <c r="AA1044">
        <f>$C1044*AA1043</f>
        <v/>
      </c>
      <c r="AB1044">
        <f>$C1044*AB1043</f>
        <v/>
      </c>
      <c r="AC1044">
        <f>$C1044*AC1043</f>
        <v/>
      </c>
      <c r="AD1044">
        <f>$C1044*AD1043</f>
        <v/>
      </c>
      <c r="AE1044">
        <f>$C1044*AE1043</f>
        <v/>
      </c>
      <c r="AF1044">
        <f>$C1044*AF1043</f>
        <v/>
      </c>
      <c r="AG1044">
        <f>$C1044*AG1043</f>
        <v/>
      </c>
      <c r="AH1044">
        <f>$C1044*AH1043</f>
        <v/>
      </c>
      <c r="AI1044">
        <f>$C1044*AI1043</f>
        <v/>
      </c>
      <c r="AJ1044">
        <f>$C1044*AJ1043</f>
        <v/>
      </c>
      <c r="AK1044">
        <f>$C1044*AK1043</f>
        <v/>
      </c>
      <c r="AL1044">
        <f>$C1044*AL1043</f>
        <v/>
      </c>
      <c r="AM1044">
        <f>$C1044*AM1043</f>
        <v/>
      </c>
      <c r="AN1044">
        <f>$C1044*AN1043</f>
        <v/>
      </c>
      <c r="AO1044">
        <f>$C1044*AO1043</f>
        <v/>
      </c>
      <c r="AP1044">
        <f>$C1044*AP1043</f>
        <v/>
      </c>
      <c r="AQ1044">
        <f>$C1044*AQ1043</f>
        <v/>
      </c>
      <c r="AR1044">
        <f>$C1044*AR1043</f>
        <v/>
      </c>
      <c r="AS1044">
        <f>$C1044*AS1043</f>
        <v/>
      </c>
      <c r="AT1044">
        <f>$C1044*AT1043</f>
        <v/>
      </c>
      <c r="AU1044">
        <f>$C1044*AU1043</f>
        <v/>
      </c>
      <c r="AV1044">
        <f>$C1044*AV1043</f>
        <v/>
      </c>
      <c r="AW1044">
        <f>$C1044*AW1043</f>
        <v/>
      </c>
      <c r="AX1044">
        <f>$C1044*AX1043</f>
        <v/>
      </c>
      <c r="AY1044">
        <f>$C1044*AY1043</f>
        <v/>
      </c>
      <c r="AZ1044">
        <f>$C1044*AZ1043</f>
        <v/>
      </c>
      <c r="BA1044">
        <f>$C1044*BA1043</f>
        <v/>
      </c>
      <c r="BB1044">
        <f>$C1044*BB1043</f>
        <v/>
      </c>
      <c r="BC1044">
        <f>$C1044*BC1043</f>
        <v/>
      </c>
      <c r="BD1044">
        <f>$C1044*BD1043</f>
        <v/>
      </c>
      <c r="BE1044">
        <f>$C1044*BE1043</f>
        <v/>
      </c>
      <c r="BF1044">
        <f>$C1044*BF1043</f>
        <v/>
      </c>
      <c r="BG1044">
        <f>$C1044*BG1043</f>
        <v/>
      </c>
      <c r="BH1044">
        <f>$C1044*BH1043</f>
        <v/>
      </c>
      <c r="BI1044">
        <f>$C1044*BI1043</f>
        <v/>
      </c>
      <c r="BJ1044">
        <f>$C1044*BJ1043</f>
        <v/>
      </c>
      <c r="BK1044">
        <f>$C1044*BK1043</f>
        <v/>
      </c>
      <c r="BL1044">
        <f>$C1044*BL1043</f>
        <v/>
      </c>
      <c r="BM1044">
        <f>$C1044*BM1043</f>
        <v/>
      </c>
      <c r="BN1044">
        <f>$C1044*BN1043</f>
        <v/>
      </c>
      <c r="BO1044">
        <f>$C1044*BO1043</f>
        <v/>
      </c>
      <c r="BP1044">
        <f>$C1044*BP1043</f>
        <v/>
      </c>
      <c r="BQ1044">
        <f>$C1044*BQ1043</f>
        <v/>
      </c>
      <c r="BR1044">
        <f>$C1044*BR1043</f>
        <v/>
      </c>
      <c r="BS1044">
        <f>$C1044*BS1043</f>
        <v/>
      </c>
      <c r="BT1044">
        <f>$C1044*BT1043</f>
        <v/>
      </c>
      <c r="BU1044">
        <f>$C1044*BU1043</f>
        <v/>
      </c>
      <c r="BV1044">
        <f>$C1044*BV1043</f>
        <v/>
      </c>
      <c r="BW1044">
        <f>$C1044*BW1043</f>
        <v/>
      </c>
      <c r="BX1044">
        <f>$C1044*BX1043</f>
        <v/>
      </c>
      <c r="BY1044">
        <f>$C1044*BY1043</f>
        <v/>
      </c>
      <c r="BZ1044">
        <f>$C1044*BZ1043</f>
        <v/>
      </c>
      <c r="CA1044">
        <f>$C1044*CA1043</f>
        <v/>
      </c>
      <c r="CB1044">
        <f>$C1044*CB1043</f>
        <v/>
      </c>
      <c r="CC1044">
        <f>$C1044*CC1043</f>
        <v/>
      </c>
      <c r="CD1044">
        <f>$C1044*CD1043</f>
        <v/>
      </c>
      <c r="CE1044">
        <f>$C1044*CE1043</f>
        <v/>
      </c>
      <c r="CF1044">
        <f>$C1044*CF1043</f>
        <v/>
      </c>
      <c r="CG1044">
        <f>$C1044*CG1043</f>
        <v/>
      </c>
      <c r="CH1044">
        <f>$C1044*CH1043</f>
        <v/>
      </c>
      <c r="CI1044">
        <f>$C1044*CI1043</f>
        <v/>
      </c>
      <c r="CJ1044">
        <f>$C1044*CJ1043</f>
        <v/>
      </c>
      <c r="CK1044">
        <f>$C1044*CK1043</f>
        <v/>
      </c>
      <c r="CL1044">
        <f>$C1044*CL1043</f>
        <v/>
      </c>
      <c r="CM1044">
        <f>$C1044*CM1043</f>
        <v/>
      </c>
      <c r="CN1044">
        <f>$C1044*CN1043</f>
        <v/>
      </c>
      <c r="CO1044">
        <f>$C1044*CO1043</f>
        <v/>
      </c>
      <c r="CP1044">
        <f>$C1044*CP1043</f>
        <v/>
      </c>
      <c r="CQ1044">
        <f>$C1044*CQ1043</f>
        <v/>
      </c>
      <c r="CR1044">
        <f>$C1044*CR1043</f>
        <v/>
      </c>
      <c r="CS1044">
        <f>$C1044*CS1043</f>
        <v/>
      </c>
      <c r="CT1044">
        <f>$C1044*CT1043</f>
        <v/>
      </c>
      <c r="CU1044">
        <f>$C1044*CU1043</f>
        <v/>
      </c>
      <c r="CV1044">
        <f>$C1044*CV1043</f>
        <v/>
      </c>
      <c r="CW1044">
        <f>$C1044*CW1043</f>
        <v/>
      </c>
      <c r="CX1044">
        <f>$C1044*CX1043</f>
        <v/>
      </c>
      <c r="CY1044">
        <f>$C1044*CY1043</f>
        <v/>
      </c>
      <c r="CZ1044">
        <f>$C1044*CZ1043</f>
        <v/>
      </c>
      <c r="DA1044">
        <f>$C1044*DA1043</f>
        <v/>
      </c>
      <c r="DB1044">
        <f>$C1044*DB1043</f>
        <v/>
      </c>
      <c r="DC1044">
        <f>$C1044*DC1043</f>
        <v/>
      </c>
    </row>
    <row r="1045">
      <c r="B1045" t="inlineStr">
        <is>
          <t>TVS-500</t>
        </is>
      </c>
      <c r="C1045" t="inlineStr">
        <is>
          <t>No. of batches</t>
        </is>
      </c>
      <c r="D1045">
        <f>IFERROR(INDEX(PP_Grid[#Data],$DD1045,2),0)</f>
        <v/>
      </c>
      <c r="E1045">
        <f>IFERROR(INDEX(PP_Grid[#Data],$DD1045,3),0)</f>
        <v/>
      </c>
      <c r="F1045">
        <f>IFERROR(INDEX(PP_Grid[#Data],$DD1045,4),0)</f>
        <v/>
      </c>
      <c r="G1045">
        <f>IFERROR(INDEX(PP_Grid[#Data],$DD1045,5),0)</f>
        <v/>
      </c>
      <c r="H1045">
        <f>IFERROR(INDEX(PP_Grid[#Data],$DD1045,6),0)</f>
        <v/>
      </c>
      <c r="I1045">
        <f>IFERROR(INDEX(PP_Grid[#Data],$DD1045,7),0)</f>
        <v/>
      </c>
      <c r="J1045">
        <f>IFERROR(INDEX(PP_Grid[#Data],$DD1045,8),0)</f>
        <v/>
      </c>
      <c r="K1045">
        <f>IFERROR(INDEX(PP_Grid[#Data],$DD1045,9),0)</f>
        <v/>
      </c>
      <c r="L1045">
        <f>IFERROR(INDEX(PP_Grid[#Data],$DD1045,10),0)</f>
        <v/>
      </c>
      <c r="M1045">
        <f>IFERROR(INDEX(PP_Grid[#Data],$DD1045,11),0)</f>
        <v/>
      </c>
      <c r="N1045">
        <f>IFERROR(INDEX(PP_Grid[#Data],$DD1045,12),0)</f>
        <v/>
      </c>
      <c r="O1045">
        <f>IFERROR(INDEX(PP_Grid[#Data],$DD1045,13),0)</f>
        <v/>
      </c>
      <c r="P1045">
        <f>IFERROR(INDEX(PP_Grid[#Data],$DD1045,14),0)</f>
        <v/>
      </c>
      <c r="Q1045">
        <f>IFERROR(INDEX(PP_Grid[#Data],$DD1045,15),0)</f>
        <v/>
      </c>
      <c r="R1045">
        <f>IFERROR(INDEX(PP_Grid[#Data],$DD1045,16),0)</f>
        <v/>
      </c>
      <c r="S1045">
        <f>IFERROR(INDEX(PP_Grid[#Data],$DD1045,17),0)</f>
        <v/>
      </c>
      <c r="T1045">
        <f>IFERROR(INDEX(PP_Grid[#Data],$DD1045,18),0)</f>
        <v/>
      </c>
      <c r="U1045">
        <f>IFERROR(INDEX(PP_Grid[#Data],$DD1045,19),0)</f>
        <v/>
      </c>
      <c r="V1045">
        <f>IFERROR(INDEX(PP_Grid[#Data],$DD1045,20),0)</f>
        <v/>
      </c>
      <c r="W1045">
        <f>IFERROR(INDEX(PP_Grid[#Data],$DD1045,21),0)</f>
        <v/>
      </c>
      <c r="X1045">
        <f>IFERROR(INDEX(PP_Grid[#Data],$DD1045,22),0)</f>
        <v/>
      </c>
      <c r="Y1045">
        <f>IFERROR(INDEX(PP_Grid[#Data],$DD1045,23),0)</f>
        <v/>
      </c>
      <c r="Z1045">
        <f>IFERROR(INDEX(PP_Grid[#Data],$DD1045,24),0)</f>
        <v/>
      </c>
      <c r="AA1045">
        <f>IFERROR(INDEX(PP_Grid[#Data],$DD1045,25),0)</f>
        <v/>
      </c>
      <c r="AB1045">
        <f>IFERROR(INDEX(PP_Grid[#Data],$DD1045,26),0)</f>
        <v/>
      </c>
      <c r="AC1045">
        <f>IFERROR(INDEX(PP_Grid[#Data],$DD1045,27),0)</f>
        <v/>
      </c>
      <c r="AD1045">
        <f>IFERROR(INDEX(PP_Grid[#Data],$DD1045,28),0)</f>
        <v/>
      </c>
      <c r="AE1045">
        <f>IFERROR(INDEX(PP_Grid[#Data],$DD1045,29),0)</f>
        <v/>
      </c>
      <c r="AF1045">
        <f>IFERROR(INDEX(PP_Grid[#Data],$DD1045,30),0)</f>
        <v/>
      </c>
      <c r="AG1045">
        <f>IFERROR(INDEX(PP_Grid[#Data],$DD1045,31),0)</f>
        <v/>
      </c>
      <c r="AH1045">
        <f>IFERROR(INDEX(PP_Grid[#Data],$DD1045,32),0)</f>
        <v/>
      </c>
      <c r="AI1045">
        <f>IFERROR(INDEX(PP_Grid[#Data],$DD1045,33),0)</f>
        <v/>
      </c>
      <c r="AJ1045">
        <f>IFERROR(INDEX(PP_Grid[#Data],$DD1045,34),0)</f>
        <v/>
      </c>
      <c r="AK1045">
        <f>IFERROR(INDEX(PP_Grid[#Data],$DD1045,35),0)</f>
        <v/>
      </c>
      <c r="AL1045">
        <f>IFERROR(INDEX(PP_Grid[#Data],$DD1045,36),0)</f>
        <v/>
      </c>
      <c r="AM1045">
        <f>IFERROR(INDEX(PP_Grid[#Data],$DD1045,37),0)</f>
        <v/>
      </c>
      <c r="AN1045">
        <f>IFERROR(INDEX(PP_Grid[#Data],$DD1045,38),0)</f>
        <v/>
      </c>
      <c r="AO1045">
        <f>IFERROR(INDEX(PP_Grid[#Data],$DD1045,39),0)</f>
        <v/>
      </c>
      <c r="AP1045">
        <f>IFERROR(INDEX(PP_Grid[#Data],$DD1045,40),0)</f>
        <v/>
      </c>
      <c r="AQ1045">
        <f>IFERROR(INDEX(PP_Grid[#Data],$DD1045,41),0)</f>
        <v/>
      </c>
      <c r="AR1045">
        <f>IFERROR(INDEX(PP_Grid[#Data],$DD1045,42),0)</f>
        <v/>
      </c>
      <c r="AS1045">
        <f>IFERROR(INDEX(PP_Grid[#Data],$DD1045,43),0)</f>
        <v/>
      </c>
      <c r="AT1045">
        <f>IFERROR(INDEX(PP_Grid[#Data],$DD1045,44),0)</f>
        <v/>
      </c>
      <c r="AU1045">
        <f>IFERROR(INDEX(PP_Grid[#Data],$DD1045,45),0)</f>
        <v/>
      </c>
      <c r="AV1045">
        <f>IFERROR(INDEX(PP_Grid[#Data],$DD1045,46),0)</f>
        <v/>
      </c>
      <c r="AW1045">
        <f>IFERROR(INDEX(PP_Grid[#Data],$DD1045,47),0)</f>
        <v/>
      </c>
      <c r="AX1045">
        <f>IFERROR(INDEX(PP_Grid[#Data],$DD1045,48),0)</f>
        <v/>
      </c>
      <c r="AY1045">
        <f>IFERROR(INDEX(PP_Grid[#Data],$DD1045,49),0)</f>
        <v/>
      </c>
      <c r="AZ1045">
        <f>IFERROR(INDEX(PP_Grid[#Data],$DD1045,50),0)</f>
        <v/>
      </c>
      <c r="BA1045">
        <f>IFERROR(INDEX(PP_Grid[#Data],$DD1045,51),0)</f>
        <v/>
      </c>
      <c r="BB1045">
        <f>IFERROR(INDEX(PP_Grid[#Data],$DD1045,52),0)</f>
        <v/>
      </c>
      <c r="BC1045">
        <f>IFERROR(INDEX(PP_Grid[#Data],$DD1045,53),0)</f>
        <v/>
      </c>
      <c r="BD1045">
        <f>IFERROR(INDEX(PP_Grid[#Data],$DD1045,54),0)</f>
        <v/>
      </c>
      <c r="BE1045">
        <f>IFERROR(INDEX(PP_Grid[#Data],$DD1045,55),0)</f>
        <v/>
      </c>
      <c r="BF1045">
        <f>IFERROR(INDEX(PP_Grid[#Data],$DD1045,56),0)</f>
        <v/>
      </c>
      <c r="BG1045">
        <f>IFERROR(INDEX(PP_Grid[#Data],$DD1045,57),0)</f>
        <v/>
      </c>
      <c r="BH1045">
        <f>IFERROR(INDEX(PP_Grid[#Data],$DD1045,58),0)</f>
        <v/>
      </c>
      <c r="BI1045">
        <f>IFERROR(INDEX(PP_Grid[#Data],$DD1045,59),0)</f>
        <v/>
      </c>
      <c r="BJ1045">
        <f>IFERROR(INDEX(PP_Grid[#Data],$DD1045,60),0)</f>
        <v/>
      </c>
      <c r="BK1045">
        <f>IFERROR(INDEX(PP_Grid[#Data],$DD1045,61),0)</f>
        <v/>
      </c>
      <c r="BL1045">
        <f>IFERROR(INDEX(PP_Grid[#Data],$DD1045,62),0)</f>
        <v/>
      </c>
      <c r="BM1045">
        <f>IFERROR(INDEX(PP_Grid[#Data],$DD1045,63),0)</f>
        <v/>
      </c>
      <c r="BN1045">
        <f>IFERROR(INDEX(PP_Grid[#Data],$DD1045,64),0)</f>
        <v/>
      </c>
      <c r="BO1045">
        <f>IFERROR(INDEX(PP_Grid[#Data],$DD1045,65),0)</f>
        <v/>
      </c>
      <c r="BP1045">
        <f>IFERROR(INDEX(PP_Grid[#Data],$DD1045,66),0)</f>
        <v/>
      </c>
      <c r="BQ1045">
        <f>IFERROR(INDEX(PP_Grid[#Data],$DD1045,67),0)</f>
        <v/>
      </c>
      <c r="BR1045">
        <f>IFERROR(INDEX(PP_Grid[#Data],$DD1045,68),0)</f>
        <v/>
      </c>
      <c r="BS1045">
        <f>IFERROR(INDEX(PP_Grid[#Data],$DD1045,69),0)</f>
        <v/>
      </c>
      <c r="BT1045">
        <f>IFERROR(INDEX(PP_Grid[#Data],$DD1045,70),0)</f>
        <v/>
      </c>
      <c r="BU1045">
        <f>IFERROR(INDEX(PP_Grid[#Data],$DD1045,71),0)</f>
        <v/>
      </c>
      <c r="BV1045">
        <f>IFERROR(INDEX(PP_Grid[#Data],$DD1045,72),0)</f>
        <v/>
      </c>
      <c r="BW1045">
        <f>IFERROR(INDEX(PP_Grid[#Data],$DD1045,73),0)</f>
        <v/>
      </c>
      <c r="BX1045">
        <f>IFERROR(INDEX(PP_Grid[#Data],$DD1045,74),0)</f>
        <v/>
      </c>
      <c r="BY1045">
        <f>IFERROR(INDEX(PP_Grid[#Data],$DD1045,75),0)</f>
        <v/>
      </c>
      <c r="BZ1045">
        <f>IFERROR(INDEX(PP_Grid[#Data],$DD1045,76),0)</f>
        <v/>
      </c>
      <c r="CA1045">
        <f>IFERROR(INDEX(PP_Grid[#Data],$DD1045,77),0)</f>
        <v/>
      </c>
      <c r="CB1045">
        <f>IFERROR(INDEX(PP_Grid[#Data],$DD1045,78),0)</f>
        <v/>
      </c>
      <c r="CC1045">
        <f>IFERROR(INDEX(PP_Grid[#Data],$DD1045,79),0)</f>
        <v/>
      </c>
      <c r="CD1045">
        <f>IFERROR(INDEX(PP_Grid[#Data],$DD1045,80),0)</f>
        <v/>
      </c>
      <c r="CE1045">
        <f>IFERROR(INDEX(PP_Grid[#Data],$DD1045,81),0)</f>
        <v/>
      </c>
      <c r="CF1045">
        <f>IFERROR(INDEX(PP_Grid[#Data],$DD1045,82),0)</f>
        <v/>
      </c>
      <c r="CG1045">
        <f>IFERROR(INDEX(PP_Grid[#Data],$DD1045,83),0)</f>
        <v/>
      </c>
      <c r="CH1045">
        <f>IFERROR(INDEX(PP_Grid[#Data],$DD1045,84),0)</f>
        <v/>
      </c>
      <c r="CI1045">
        <f>IFERROR(INDEX(PP_Grid[#Data],$DD1045,85),0)</f>
        <v/>
      </c>
      <c r="CJ1045">
        <f>IFERROR(INDEX(PP_Grid[#Data],$DD1045,86),0)</f>
        <v/>
      </c>
      <c r="CK1045">
        <f>IFERROR(INDEX(PP_Grid[#Data],$DD1045,87),0)</f>
        <v/>
      </c>
      <c r="CL1045">
        <f>IFERROR(INDEX(PP_Grid[#Data],$DD1045,88),0)</f>
        <v/>
      </c>
      <c r="CM1045">
        <f>IFERROR(INDEX(PP_Grid[#Data],$DD1045,89),0)</f>
        <v/>
      </c>
      <c r="CN1045">
        <f>IFERROR(INDEX(PP_Grid[#Data],$DD1045,90),0)</f>
        <v/>
      </c>
      <c r="CO1045">
        <f>IFERROR(INDEX(PP_Grid[#Data],$DD1045,91),0)</f>
        <v/>
      </c>
      <c r="CP1045">
        <f>IFERROR(INDEX(PP_Grid[#Data],$DD1045,92),0)</f>
        <v/>
      </c>
      <c r="CQ1045">
        <f>IFERROR(INDEX(PP_Grid[#Data],$DD1045,93),0)</f>
        <v/>
      </c>
      <c r="CR1045">
        <f>IFERROR(INDEX(PP_Grid[#Data],$DD1045,94),0)</f>
        <v/>
      </c>
      <c r="CS1045">
        <f>IFERROR(INDEX(PP_Grid[#Data],$DD1045,95),0)</f>
        <v/>
      </c>
      <c r="CT1045">
        <f>IFERROR(INDEX(PP_Grid[#Data],$DD1045,96),0)</f>
        <v/>
      </c>
      <c r="CU1045">
        <f>IFERROR(INDEX(PP_Grid[#Data],$DD1045,97),0)</f>
        <v/>
      </c>
      <c r="CV1045">
        <f>IFERROR(INDEX(PP_Grid[#Data],$DD1045,98),0)</f>
        <v/>
      </c>
      <c r="CW1045">
        <f>IFERROR(INDEX(PP_Grid[#Data],$DD1045,99),0)</f>
        <v/>
      </c>
      <c r="CX1045">
        <f>IFERROR(INDEX(PP_Grid[#Data],$DD1045,100),0)</f>
        <v/>
      </c>
      <c r="CY1045">
        <f>IFERROR(INDEX(PP_Grid[#Data],$DD1045,101),0)</f>
        <v/>
      </c>
      <c r="CZ1045">
        <f>IFERROR(INDEX(PP_Grid[#Data],$DD1045,102),0)</f>
        <v/>
      </c>
      <c r="DA1045">
        <f>IFERROR(INDEX(PP_Grid[#Data],$DD1045,103),0)</f>
        <v/>
      </c>
      <c r="DB1045">
        <f>IFERROR(INDEX(PP_Grid[#Data],$DD1045,104),0)</f>
        <v/>
      </c>
      <c r="DC1045">
        <f>IFERROR(INDEX(PP_Grid[#Data],$DD1045,105),0)</f>
        <v/>
      </c>
      <c r="DD1045" s="12">
        <f>IFERROR(MATCH($B1045,PP_Grid[Intermediate],0),99999)</f>
        <v/>
      </c>
    </row>
    <row r="1046">
      <c r="B1046" t="inlineStr">
        <is>
          <t>使用量(kg)</t>
        </is>
      </c>
      <c r="C1046">
        <f>SUMIFS(M_BOM[RM_Qty_Per_Batch],M_BOM[Intermediate],$B1045,M_BOM[Part Name],$A988)</f>
        <v/>
      </c>
      <c r="D1046">
        <f>$C1046*D1045</f>
        <v/>
      </c>
      <c r="E1046">
        <f>$C1046*E1045</f>
        <v/>
      </c>
      <c r="F1046">
        <f>$C1046*F1045</f>
        <v/>
      </c>
      <c r="G1046">
        <f>$C1046*G1045</f>
        <v/>
      </c>
      <c r="H1046">
        <f>$C1046*H1045</f>
        <v/>
      </c>
      <c r="I1046">
        <f>$C1046*I1045</f>
        <v/>
      </c>
      <c r="J1046">
        <f>$C1046*J1045</f>
        <v/>
      </c>
      <c r="K1046">
        <f>$C1046*K1045</f>
        <v/>
      </c>
      <c r="L1046">
        <f>$C1046*L1045</f>
        <v/>
      </c>
      <c r="M1046">
        <f>$C1046*M1045</f>
        <v/>
      </c>
      <c r="N1046">
        <f>$C1046*N1045</f>
        <v/>
      </c>
      <c r="O1046">
        <f>$C1046*O1045</f>
        <v/>
      </c>
      <c r="P1046">
        <f>$C1046*P1045</f>
        <v/>
      </c>
      <c r="Q1046">
        <f>$C1046*Q1045</f>
        <v/>
      </c>
      <c r="R1046">
        <f>$C1046*R1045</f>
        <v/>
      </c>
      <c r="S1046">
        <f>$C1046*S1045</f>
        <v/>
      </c>
      <c r="T1046">
        <f>$C1046*T1045</f>
        <v/>
      </c>
      <c r="U1046">
        <f>$C1046*U1045</f>
        <v/>
      </c>
      <c r="V1046">
        <f>$C1046*V1045</f>
        <v/>
      </c>
      <c r="W1046">
        <f>$C1046*W1045</f>
        <v/>
      </c>
      <c r="X1046">
        <f>$C1046*X1045</f>
        <v/>
      </c>
      <c r="Y1046">
        <f>$C1046*Y1045</f>
        <v/>
      </c>
      <c r="Z1046">
        <f>$C1046*Z1045</f>
        <v/>
      </c>
      <c r="AA1046">
        <f>$C1046*AA1045</f>
        <v/>
      </c>
      <c r="AB1046">
        <f>$C1046*AB1045</f>
        <v/>
      </c>
      <c r="AC1046">
        <f>$C1046*AC1045</f>
        <v/>
      </c>
      <c r="AD1046">
        <f>$C1046*AD1045</f>
        <v/>
      </c>
      <c r="AE1046">
        <f>$C1046*AE1045</f>
        <v/>
      </c>
      <c r="AF1046">
        <f>$C1046*AF1045</f>
        <v/>
      </c>
      <c r="AG1046">
        <f>$C1046*AG1045</f>
        <v/>
      </c>
      <c r="AH1046">
        <f>$C1046*AH1045</f>
        <v/>
      </c>
      <c r="AI1046">
        <f>$C1046*AI1045</f>
        <v/>
      </c>
      <c r="AJ1046">
        <f>$C1046*AJ1045</f>
        <v/>
      </c>
      <c r="AK1046">
        <f>$C1046*AK1045</f>
        <v/>
      </c>
      <c r="AL1046">
        <f>$C1046*AL1045</f>
        <v/>
      </c>
      <c r="AM1046">
        <f>$C1046*AM1045</f>
        <v/>
      </c>
      <c r="AN1046">
        <f>$C1046*AN1045</f>
        <v/>
      </c>
      <c r="AO1046">
        <f>$C1046*AO1045</f>
        <v/>
      </c>
      <c r="AP1046">
        <f>$C1046*AP1045</f>
        <v/>
      </c>
      <c r="AQ1046">
        <f>$C1046*AQ1045</f>
        <v/>
      </c>
      <c r="AR1046">
        <f>$C1046*AR1045</f>
        <v/>
      </c>
      <c r="AS1046">
        <f>$C1046*AS1045</f>
        <v/>
      </c>
      <c r="AT1046">
        <f>$C1046*AT1045</f>
        <v/>
      </c>
      <c r="AU1046">
        <f>$C1046*AU1045</f>
        <v/>
      </c>
      <c r="AV1046">
        <f>$C1046*AV1045</f>
        <v/>
      </c>
      <c r="AW1046">
        <f>$C1046*AW1045</f>
        <v/>
      </c>
      <c r="AX1046">
        <f>$C1046*AX1045</f>
        <v/>
      </c>
      <c r="AY1046">
        <f>$C1046*AY1045</f>
        <v/>
      </c>
      <c r="AZ1046">
        <f>$C1046*AZ1045</f>
        <v/>
      </c>
      <c r="BA1046">
        <f>$C1046*BA1045</f>
        <v/>
      </c>
      <c r="BB1046">
        <f>$C1046*BB1045</f>
        <v/>
      </c>
      <c r="BC1046">
        <f>$C1046*BC1045</f>
        <v/>
      </c>
      <c r="BD1046">
        <f>$C1046*BD1045</f>
        <v/>
      </c>
      <c r="BE1046">
        <f>$C1046*BE1045</f>
        <v/>
      </c>
      <c r="BF1046">
        <f>$C1046*BF1045</f>
        <v/>
      </c>
      <c r="BG1046">
        <f>$C1046*BG1045</f>
        <v/>
      </c>
      <c r="BH1046">
        <f>$C1046*BH1045</f>
        <v/>
      </c>
      <c r="BI1046">
        <f>$C1046*BI1045</f>
        <v/>
      </c>
      <c r="BJ1046">
        <f>$C1046*BJ1045</f>
        <v/>
      </c>
      <c r="BK1046">
        <f>$C1046*BK1045</f>
        <v/>
      </c>
      <c r="BL1046">
        <f>$C1046*BL1045</f>
        <v/>
      </c>
      <c r="BM1046">
        <f>$C1046*BM1045</f>
        <v/>
      </c>
      <c r="BN1046">
        <f>$C1046*BN1045</f>
        <v/>
      </c>
      <c r="BO1046">
        <f>$C1046*BO1045</f>
        <v/>
      </c>
      <c r="BP1046">
        <f>$C1046*BP1045</f>
        <v/>
      </c>
      <c r="BQ1046">
        <f>$C1046*BQ1045</f>
        <v/>
      </c>
      <c r="BR1046">
        <f>$C1046*BR1045</f>
        <v/>
      </c>
      <c r="BS1046">
        <f>$C1046*BS1045</f>
        <v/>
      </c>
      <c r="BT1046">
        <f>$C1046*BT1045</f>
        <v/>
      </c>
      <c r="BU1046">
        <f>$C1046*BU1045</f>
        <v/>
      </c>
      <c r="BV1046">
        <f>$C1046*BV1045</f>
        <v/>
      </c>
      <c r="BW1046">
        <f>$C1046*BW1045</f>
        <v/>
      </c>
      <c r="BX1046">
        <f>$C1046*BX1045</f>
        <v/>
      </c>
      <c r="BY1046">
        <f>$C1046*BY1045</f>
        <v/>
      </c>
      <c r="BZ1046">
        <f>$C1046*BZ1045</f>
        <v/>
      </c>
      <c r="CA1046">
        <f>$C1046*CA1045</f>
        <v/>
      </c>
      <c r="CB1046">
        <f>$C1046*CB1045</f>
        <v/>
      </c>
      <c r="CC1046">
        <f>$C1046*CC1045</f>
        <v/>
      </c>
      <c r="CD1046">
        <f>$C1046*CD1045</f>
        <v/>
      </c>
      <c r="CE1046">
        <f>$C1046*CE1045</f>
        <v/>
      </c>
      <c r="CF1046">
        <f>$C1046*CF1045</f>
        <v/>
      </c>
      <c r="CG1046">
        <f>$C1046*CG1045</f>
        <v/>
      </c>
      <c r="CH1046">
        <f>$C1046*CH1045</f>
        <v/>
      </c>
      <c r="CI1046">
        <f>$C1046*CI1045</f>
        <v/>
      </c>
      <c r="CJ1046">
        <f>$C1046*CJ1045</f>
        <v/>
      </c>
      <c r="CK1046">
        <f>$C1046*CK1045</f>
        <v/>
      </c>
      <c r="CL1046">
        <f>$C1046*CL1045</f>
        <v/>
      </c>
      <c r="CM1046">
        <f>$C1046*CM1045</f>
        <v/>
      </c>
      <c r="CN1046">
        <f>$C1046*CN1045</f>
        <v/>
      </c>
      <c r="CO1046">
        <f>$C1046*CO1045</f>
        <v/>
      </c>
      <c r="CP1046">
        <f>$C1046*CP1045</f>
        <v/>
      </c>
      <c r="CQ1046">
        <f>$C1046*CQ1045</f>
        <v/>
      </c>
      <c r="CR1046">
        <f>$C1046*CR1045</f>
        <v/>
      </c>
      <c r="CS1046">
        <f>$C1046*CS1045</f>
        <v/>
      </c>
      <c r="CT1046">
        <f>$C1046*CT1045</f>
        <v/>
      </c>
      <c r="CU1046">
        <f>$C1046*CU1045</f>
        <v/>
      </c>
      <c r="CV1046">
        <f>$C1046*CV1045</f>
        <v/>
      </c>
      <c r="CW1046">
        <f>$C1046*CW1045</f>
        <v/>
      </c>
      <c r="CX1046">
        <f>$C1046*CX1045</f>
        <v/>
      </c>
      <c r="CY1046">
        <f>$C1046*CY1045</f>
        <v/>
      </c>
      <c r="CZ1046">
        <f>$C1046*CZ1045</f>
        <v/>
      </c>
      <c r="DA1046">
        <f>$C1046*DA1045</f>
        <v/>
      </c>
      <c r="DB1046">
        <f>$C1046*DB1045</f>
        <v/>
      </c>
      <c r="DC1046">
        <f>$C1046*DC1045</f>
        <v/>
      </c>
    </row>
    <row r="1047">
      <c r="B1047" t="inlineStr">
        <is>
          <t>TVS-664</t>
        </is>
      </c>
      <c r="C1047" t="inlineStr">
        <is>
          <t>No. of batches</t>
        </is>
      </c>
      <c r="D1047">
        <f>IFERROR(INDEX(PP_Grid[#Data],$DD1047,2),0)</f>
        <v/>
      </c>
      <c r="E1047">
        <f>IFERROR(INDEX(PP_Grid[#Data],$DD1047,3),0)</f>
        <v/>
      </c>
      <c r="F1047">
        <f>IFERROR(INDEX(PP_Grid[#Data],$DD1047,4),0)</f>
        <v/>
      </c>
      <c r="G1047">
        <f>IFERROR(INDEX(PP_Grid[#Data],$DD1047,5),0)</f>
        <v/>
      </c>
      <c r="H1047">
        <f>IFERROR(INDEX(PP_Grid[#Data],$DD1047,6),0)</f>
        <v/>
      </c>
      <c r="I1047">
        <f>IFERROR(INDEX(PP_Grid[#Data],$DD1047,7),0)</f>
        <v/>
      </c>
      <c r="J1047">
        <f>IFERROR(INDEX(PP_Grid[#Data],$DD1047,8),0)</f>
        <v/>
      </c>
      <c r="K1047">
        <f>IFERROR(INDEX(PP_Grid[#Data],$DD1047,9),0)</f>
        <v/>
      </c>
      <c r="L1047">
        <f>IFERROR(INDEX(PP_Grid[#Data],$DD1047,10),0)</f>
        <v/>
      </c>
      <c r="M1047">
        <f>IFERROR(INDEX(PP_Grid[#Data],$DD1047,11),0)</f>
        <v/>
      </c>
      <c r="N1047">
        <f>IFERROR(INDEX(PP_Grid[#Data],$DD1047,12),0)</f>
        <v/>
      </c>
      <c r="O1047">
        <f>IFERROR(INDEX(PP_Grid[#Data],$DD1047,13),0)</f>
        <v/>
      </c>
      <c r="P1047">
        <f>IFERROR(INDEX(PP_Grid[#Data],$DD1047,14),0)</f>
        <v/>
      </c>
      <c r="Q1047">
        <f>IFERROR(INDEX(PP_Grid[#Data],$DD1047,15),0)</f>
        <v/>
      </c>
      <c r="R1047">
        <f>IFERROR(INDEX(PP_Grid[#Data],$DD1047,16),0)</f>
        <v/>
      </c>
      <c r="S1047">
        <f>IFERROR(INDEX(PP_Grid[#Data],$DD1047,17),0)</f>
        <v/>
      </c>
      <c r="T1047">
        <f>IFERROR(INDEX(PP_Grid[#Data],$DD1047,18),0)</f>
        <v/>
      </c>
      <c r="U1047">
        <f>IFERROR(INDEX(PP_Grid[#Data],$DD1047,19),0)</f>
        <v/>
      </c>
      <c r="V1047">
        <f>IFERROR(INDEX(PP_Grid[#Data],$DD1047,20),0)</f>
        <v/>
      </c>
      <c r="W1047">
        <f>IFERROR(INDEX(PP_Grid[#Data],$DD1047,21),0)</f>
        <v/>
      </c>
      <c r="X1047">
        <f>IFERROR(INDEX(PP_Grid[#Data],$DD1047,22),0)</f>
        <v/>
      </c>
      <c r="Y1047">
        <f>IFERROR(INDEX(PP_Grid[#Data],$DD1047,23),0)</f>
        <v/>
      </c>
      <c r="Z1047">
        <f>IFERROR(INDEX(PP_Grid[#Data],$DD1047,24),0)</f>
        <v/>
      </c>
      <c r="AA1047">
        <f>IFERROR(INDEX(PP_Grid[#Data],$DD1047,25),0)</f>
        <v/>
      </c>
      <c r="AB1047">
        <f>IFERROR(INDEX(PP_Grid[#Data],$DD1047,26),0)</f>
        <v/>
      </c>
      <c r="AC1047">
        <f>IFERROR(INDEX(PP_Grid[#Data],$DD1047,27),0)</f>
        <v/>
      </c>
      <c r="AD1047">
        <f>IFERROR(INDEX(PP_Grid[#Data],$DD1047,28),0)</f>
        <v/>
      </c>
      <c r="AE1047">
        <f>IFERROR(INDEX(PP_Grid[#Data],$DD1047,29),0)</f>
        <v/>
      </c>
      <c r="AF1047">
        <f>IFERROR(INDEX(PP_Grid[#Data],$DD1047,30),0)</f>
        <v/>
      </c>
      <c r="AG1047">
        <f>IFERROR(INDEX(PP_Grid[#Data],$DD1047,31),0)</f>
        <v/>
      </c>
      <c r="AH1047">
        <f>IFERROR(INDEX(PP_Grid[#Data],$DD1047,32),0)</f>
        <v/>
      </c>
      <c r="AI1047">
        <f>IFERROR(INDEX(PP_Grid[#Data],$DD1047,33),0)</f>
        <v/>
      </c>
      <c r="AJ1047">
        <f>IFERROR(INDEX(PP_Grid[#Data],$DD1047,34),0)</f>
        <v/>
      </c>
      <c r="AK1047">
        <f>IFERROR(INDEX(PP_Grid[#Data],$DD1047,35),0)</f>
        <v/>
      </c>
      <c r="AL1047">
        <f>IFERROR(INDEX(PP_Grid[#Data],$DD1047,36),0)</f>
        <v/>
      </c>
      <c r="AM1047">
        <f>IFERROR(INDEX(PP_Grid[#Data],$DD1047,37),0)</f>
        <v/>
      </c>
      <c r="AN1047">
        <f>IFERROR(INDEX(PP_Grid[#Data],$DD1047,38),0)</f>
        <v/>
      </c>
      <c r="AO1047">
        <f>IFERROR(INDEX(PP_Grid[#Data],$DD1047,39),0)</f>
        <v/>
      </c>
      <c r="AP1047">
        <f>IFERROR(INDEX(PP_Grid[#Data],$DD1047,40),0)</f>
        <v/>
      </c>
      <c r="AQ1047">
        <f>IFERROR(INDEX(PP_Grid[#Data],$DD1047,41),0)</f>
        <v/>
      </c>
      <c r="AR1047">
        <f>IFERROR(INDEX(PP_Grid[#Data],$DD1047,42),0)</f>
        <v/>
      </c>
      <c r="AS1047">
        <f>IFERROR(INDEX(PP_Grid[#Data],$DD1047,43),0)</f>
        <v/>
      </c>
      <c r="AT1047">
        <f>IFERROR(INDEX(PP_Grid[#Data],$DD1047,44),0)</f>
        <v/>
      </c>
      <c r="AU1047">
        <f>IFERROR(INDEX(PP_Grid[#Data],$DD1047,45),0)</f>
        <v/>
      </c>
      <c r="AV1047">
        <f>IFERROR(INDEX(PP_Grid[#Data],$DD1047,46),0)</f>
        <v/>
      </c>
      <c r="AW1047">
        <f>IFERROR(INDEX(PP_Grid[#Data],$DD1047,47),0)</f>
        <v/>
      </c>
      <c r="AX1047">
        <f>IFERROR(INDEX(PP_Grid[#Data],$DD1047,48),0)</f>
        <v/>
      </c>
      <c r="AY1047">
        <f>IFERROR(INDEX(PP_Grid[#Data],$DD1047,49),0)</f>
        <v/>
      </c>
      <c r="AZ1047">
        <f>IFERROR(INDEX(PP_Grid[#Data],$DD1047,50),0)</f>
        <v/>
      </c>
      <c r="BA1047">
        <f>IFERROR(INDEX(PP_Grid[#Data],$DD1047,51),0)</f>
        <v/>
      </c>
      <c r="BB1047">
        <f>IFERROR(INDEX(PP_Grid[#Data],$DD1047,52),0)</f>
        <v/>
      </c>
      <c r="BC1047">
        <f>IFERROR(INDEX(PP_Grid[#Data],$DD1047,53),0)</f>
        <v/>
      </c>
      <c r="BD1047">
        <f>IFERROR(INDEX(PP_Grid[#Data],$DD1047,54),0)</f>
        <v/>
      </c>
      <c r="BE1047">
        <f>IFERROR(INDEX(PP_Grid[#Data],$DD1047,55),0)</f>
        <v/>
      </c>
      <c r="BF1047">
        <f>IFERROR(INDEX(PP_Grid[#Data],$DD1047,56),0)</f>
        <v/>
      </c>
      <c r="BG1047">
        <f>IFERROR(INDEX(PP_Grid[#Data],$DD1047,57),0)</f>
        <v/>
      </c>
      <c r="BH1047">
        <f>IFERROR(INDEX(PP_Grid[#Data],$DD1047,58),0)</f>
        <v/>
      </c>
      <c r="BI1047">
        <f>IFERROR(INDEX(PP_Grid[#Data],$DD1047,59),0)</f>
        <v/>
      </c>
      <c r="BJ1047">
        <f>IFERROR(INDEX(PP_Grid[#Data],$DD1047,60),0)</f>
        <v/>
      </c>
      <c r="BK1047">
        <f>IFERROR(INDEX(PP_Grid[#Data],$DD1047,61),0)</f>
        <v/>
      </c>
      <c r="BL1047">
        <f>IFERROR(INDEX(PP_Grid[#Data],$DD1047,62),0)</f>
        <v/>
      </c>
      <c r="BM1047">
        <f>IFERROR(INDEX(PP_Grid[#Data],$DD1047,63),0)</f>
        <v/>
      </c>
      <c r="BN1047">
        <f>IFERROR(INDEX(PP_Grid[#Data],$DD1047,64),0)</f>
        <v/>
      </c>
      <c r="BO1047">
        <f>IFERROR(INDEX(PP_Grid[#Data],$DD1047,65),0)</f>
        <v/>
      </c>
      <c r="BP1047">
        <f>IFERROR(INDEX(PP_Grid[#Data],$DD1047,66),0)</f>
        <v/>
      </c>
      <c r="BQ1047">
        <f>IFERROR(INDEX(PP_Grid[#Data],$DD1047,67),0)</f>
        <v/>
      </c>
      <c r="BR1047">
        <f>IFERROR(INDEX(PP_Grid[#Data],$DD1047,68),0)</f>
        <v/>
      </c>
      <c r="BS1047">
        <f>IFERROR(INDEX(PP_Grid[#Data],$DD1047,69),0)</f>
        <v/>
      </c>
      <c r="BT1047">
        <f>IFERROR(INDEX(PP_Grid[#Data],$DD1047,70),0)</f>
        <v/>
      </c>
      <c r="BU1047">
        <f>IFERROR(INDEX(PP_Grid[#Data],$DD1047,71),0)</f>
        <v/>
      </c>
      <c r="BV1047">
        <f>IFERROR(INDEX(PP_Grid[#Data],$DD1047,72),0)</f>
        <v/>
      </c>
      <c r="BW1047">
        <f>IFERROR(INDEX(PP_Grid[#Data],$DD1047,73),0)</f>
        <v/>
      </c>
      <c r="BX1047">
        <f>IFERROR(INDEX(PP_Grid[#Data],$DD1047,74),0)</f>
        <v/>
      </c>
      <c r="BY1047">
        <f>IFERROR(INDEX(PP_Grid[#Data],$DD1047,75),0)</f>
        <v/>
      </c>
      <c r="BZ1047">
        <f>IFERROR(INDEX(PP_Grid[#Data],$DD1047,76),0)</f>
        <v/>
      </c>
      <c r="CA1047">
        <f>IFERROR(INDEX(PP_Grid[#Data],$DD1047,77),0)</f>
        <v/>
      </c>
      <c r="CB1047">
        <f>IFERROR(INDEX(PP_Grid[#Data],$DD1047,78),0)</f>
        <v/>
      </c>
      <c r="CC1047">
        <f>IFERROR(INDEX(PP_Grid[#Data],$DD1047,79),0)</f>
        <v/>
      </c>
      <c r="CD1047">
        <f>IFERROR(INDEX(PP_Grid[#Data],$DD1047,80),0)</f>
        <v/>
      </c>
      <c r="CE1047">
        <f>IFERROR(INDEX(PP_Grid[#Data],$DD1047,81),0)</f>
        <v/>
      </c>
      <c r="CF1047">
        <f>IFERROR(INDEX(PP_Grid[#Data],$DD1047,82),0)</f>
        <v/>
      </c>
      <c r="CG1047">
        <f>IFERROR(INDEX(PP_Grid[#Data],$DD1047,83),0)</f>
        <v/>
      </c>
      <c r="CH1047">
        <f>IFERROR(INDEX(PP_Grid[#Data],$DD1047,84),0)</f>
        <v/>
      </c>
      <c r="CI1047">
        <f>IFERROR(INDEX(PP_Grid[#Data],$DD1047,85),0)</f>
        <v/>
      </c>
      <c r="CJ1047">
        <f>IFERROR(INDEX(PP_Grid[#Data],$DD1047,86),0)</f>
        <v/>
      </c>
      <c r="CK1047">
        <f>IFERROR(INDEX(PP_Grid[#Data],$DD1047,87),0)</f>
        <v/>
      </c>
      <c r="CL1047">
        <f>IFERROR(INDEX(PP_Grid[#Data],$DD1047,88),0)</f>
        <v/>
      </c>
      <c r="CM1047">
        <f>IFERROR(INDEX(PP_Grid[#Data],$DD1047,89),0)</f>
        <v/>
      </c>
      <c r="CN1047">
        <f>IFERROR(INDEX(PP_Grid[#Data],$DD1047,90),0)</f>
        <v/>
      </c>
      <c r="CO1047">
        <f>IFERROR(INDEX(PP_Grid[#Data],$DD1047,91),0)</f>
        <v/>
      </c>
      <c r="CP1047">
        <f>IFERROR(INDEX(PP_Grid[#Data],$DD1047,92),0)</f>
        <v/>
      </c>
      <c r="CQ1047">
        <f>IFERROR(INDEX(PP_Grid[#Data],$DD1047,93),0)</f>
        <v/>
      </c>
      <c r="CR1047">
        <f>IFERROR(INDEX(PP_Grid[#Data],$DD1047,94),0)</f>
        <v/>
      </c>
      <c r="CS1047">
        <f>IFERROR(INDEX(PP_Grid[#Data],$DD1047,95),0)</f>
        <v/>
      </c>
      <c r="CT1047">
        <f>IFERROR(INDEX(PP_Grid[#Data],$DD1047,96),0)</f>
        <v/>
      </c>
      <c r="CU1047">
        <f>IFERROR(INDEX(PP_Grid[#Data],$DD1047,97),0)</f>
        <v/>
      </c>
      <c r="CV1047">
        <f>IFERROR(INDEX(PP_Grid[#Data],$DD1047,98),0)</f>
        <v/>
      </c>
      <c r="CW1047">
        <f>IFERROR(INDEX(PP_Grid[#Data],$DD1047,99),0)</f>
        <v/>
      </c>
      <c r="CX1047">
        <f>IFERROR(INDEX(PP_Grid[#Data],$DD1047,100),0)</f>
        <v/>
      </c>
      <c r="CY1047">
        <f>IFERROR(INDEX(PP_Grid[#Data],$DD1047,101),0)</f>
        <v/>
      </c>
      <c r="CZ1047">
        <f>IFERROR(INDEX(PP_Grid[#Data],$DD1047,102),0)</f>
        <v/>
      </c>
      <c r="DA1047">
        <f>IFERROR(INDEX(PP_Grid[#Data],$DD1047,103),0)</f>
        <v/>
      </c>
      <c r="DB1047">
        <f>IFERROR(INDEX(PP_Grid[#Data],$DD1047,104),0)</f>
        <v/>
      </c>
      <c r="DC1047">
        <f>IFERROR(INDEX(PP_Grid[#Data],$DD1047,105),0)</f>
        <v/>
      </c>
      <c r="DD1047" s="12">
        <f>IFERROR(MATCH($B1047,PP_Grid[Intermediate],0),99999)</f>
        <v/>
      </c>
    </row>
    <row r="1048">
      <c r="B1048" t="inlineStr">
        <is>
          <t>使用量(kg)</t>
        </is>
      </c>
      <c r="C1048">
        <f>SUMIFS(M_BOM[RM_Qty_Per_Batch],M_BOM[Intermediate],$B1047,M_BOM[Part Name],$A988)</f>
        <v/>
      </c>
      <c r="D1048">
        <f>$C1048*D1047</f>
        <v/>
      </c>
      <c r="E1048">
        <f>$C1048*E1047</f>
        <v/>
      </c>
      <c r="F1048">
        <f>$C1048*F1047</f>
        <v/>
      </c>
      <c r="G1048">
        <f>$C1048*G1047</f>
        <v/>
      </c>
      <c r="H1048">
        <f>$C1048*H1047</f>
        <v/>
      </c>
      <c r="I1048">
        <f>$C1048*I1047</f>
        <v/>
      </c>
      <c r="J1048">
        <f>$C1048*J1047</f>
        <v/>
      </c>
      <c r="K1048">
        <f>$C1048*K1047</f>
        <v/>
      </c>
      <c r="L1048">
        <f>$C1048*L1047</f>
        <v/>
      </c>
      <c r="M1048">
        <f>$C1048*M1047</f>
        <v/>
      </c>
      <c r="N1048">
        <f>$C1048*N1047</f>
        <v/>
      </c>
      <c r="O1048">
        <f>$C1048*O1047</f>
        <v/>
      </c>
      <c r="P1048">
        <f>$C1048*P1047</f>
        <v/>
      </c>
      <c r="Q1048">
        <f>$C1048*Q1047</f>
        <v/>
      </c>
      <c r="R1048">
        <f>$C1048*R1047</f>
        <v/>
      </c>
      <c r="S1048">
        <f>$C1048*S1047</f>
        <v/>
      </c>
      <c r="T1048">
        <f>$C1048*T1047</f>
        <v/>
      </c>
      <c r="U1048">
        <f>$C1048*U1047</f>
        <v/>
      </c>
      <c r="V1048">
        <f>$C1048*V1047</f>
        <v/>
      </c>
      <c r="W1048">
        <f>$C1048*W1047</f>
        <v/>
      </c>
      <c r="X1048">
        <f>$C1048*X1047</f>
        <v/>
      </c>
      <c r="Y1048">
        <f>$C1048*Y1047</f>
        <v/>
      </c>
      <c r="Z1048">
        <f>$C1048*Z1047</f>
        <v/>
      </c>
      <c r="AA1048">
        <f>$C1048*AA1047</f>
        <v/>
      </c>
      <c r="AB1048">
        <f>$C1048*AB1047</f>
        <v/>
      </c>
      <c r="AC1048">
        <f>$C1048*AC1047</f>
        <v/>
      </c>
      <c r="AD1048">
        <f>$C1048*AD1047</f>
        <v/>
      </c>
      <c r="AE1048">
        <f>$C1048*AE1047</f>
        <v/>
      </c>
      <c r="AF1048">
        <f>$C1048*AF1047</f>
        <v/>
      </c>
      <c r="AG1048">
        <f>$C1048*AG1047</f>
        <v/>
      </c>
      <c r="AH1048">
        <f>$C1048*AH1047</f>
        <v/>
      </c>
      <c r="AI1048">
        <f>$C1048*AI1047</f>
        <v/>
      </c>
      <c r="AJ1048">
        <f>$C1048*AJ1047</f>
        <v/>
      </c>
      <c r="AK1048">
        <f>$C1048*AK1047</f>
        <v/>
      </c>
      <c r="AL1048">
        <f>$C1048*AL1047</f>
        <v/>
      </c>
      <c r="AM1048">
        <f>$C1048*AM1047</f>
        <v/>
      </c>
      <c r="AN1048">
        <f>$C1048*AN1047</f>
        <v/>
      </c>
      <c r="AO1048">
        <f>$C1048*AO1047</f>
        <v/>
      </c>
      <c r="AP1048">
        <f>$C1048*AP1047</f>
        <v/>
      </c>
      <c r="AQ1048">
        <f>$C1048*AQ1047</f>
        <v/>
      </c>
      <c r="AR1048">
        <f>$C1048*AR1047</f>
        <v/>
      </c>
      <c r="AS1048">
        <f>$C1048*AS1047</f>
        <v/>
      </c>
      <c r="AT1048">
        <f>$C1048*AT1047</f>
        <v/>
      </c>
      <c r="AU1048">
        <f>$C1048*AU1047</f>
        <v/>
      </c>
      <c r="AV1048">
        <f>$C1048*AV1047</f>
        <v/>
      </c>
      <c r="AW1048">
        <f>$C1048*AW1047</f>
        <v/>
      </c>
      <c r="AX1048">
        <f>$C1048*AX1047</f>
        <v/>
      </c>
      <c r="AY1048">
        <f>$C1048*AY1047</f>
        <v/>
      </c>
      <c r="AZ1048">
        <f>$C1048*AZ1047</f>
        <v/>
      </c>
      <c r="BA1048">
        <f>$C1048*BA1047</f>
        <v/>
      </c>
      <c r="BB1048">
        <f>$C1048*BB1047</f>
        <v/>
      </c>
      <c r="BC1048">
        <f>$C1048*BC1047</f>
        <v/>
      </c>
      <c r="BD1048">
        <f>$C1048*BD1047</f>
        <v/>
      </c>
      <c r="BE1048">
        <f>$C1048*BE1047</f>
        <v/>
      </c>
      <c r="BF1048">
        <f>$C1048*BF1047</f>
        <v/>
      </c>
      <c r="BG1048">
        <f>$C1048*BG1047</f>
        <v/>
      </c>
      <c r="BH1048">
        <f>$C1048*BH1047</f>
        <v/>
      </c>
      <c r="BI1048">
        <f>$C1048*BI1047</f>
        <v/>
      </c>
      <c r="BJ1048">
        <f>$C1048*BJ1047</f>
        <v/>
      </c>
      <c r="BK1048">
        <f>$C1048*BK1047</f>
        <v/>
      </c>
      <c r="BL1048">
        <f>$C1048*BL1047</f>
        <v/>
      </c>
      <c r="BM1048">
        <f>$C1048*BM1047</f>
        <v/>
      </c>
      <c r="BN1048">
        <f>$C1048*BN1047</f>
        <v/>
      </c>
      <c r="BO1048">
        <f>$C1048*BO1047</f>
        <v/>
      </c>
      <c r="BP1048">
        <f>$C1048*BP1047</f>
        <v/>
      </c>
      <c r="BQ1048">
        <f>$C1048*BQ1047</f>
        <v/>
      </c>
      <c r="BR1048">
        <f>$C1048*BR1047</f>
        <v/>
      </c>
      <c r="BS1048">
        <f>$C1048*BS1047</f>
        <v/>
      </c>
      <c r="BT1048">
        <f>$C1048*BT1047</f>
        <v/>
      </c>
      <c r="BU1048">
        <f>$C1048*BU1047</f>
        <v/>
      </c>
      <c r="BV1048">
        <f>$C1048*BV1047</f>
        <v/>
      </c>
      <c r="BW1048">
        <f>$C1048*BW1047</f>
        <v/>
      </c>
      <c r="BX1048">
        <f>$C1048*BX1047</f>
        <v/>
      </c>
      <c r="BY1048">
        <f>$C1048*BY1047</f>
        <v/>
      </c>
      <c r="BZ1048">
        <f>$C1048*BZ1047</f>
        <v/>
      </c>
      <c r="CA1048">
        <f>$C1048*CA1047</f>
        <v/>
      </c>
      <c r="CB1048">
        <f>$C1048*CB1047</f>
        <v/>
      </c>
      <c r="CC1048">
        <f>$C1048*CC1047</f>
        <v/>
      </c>
      <c r="CD1048">
        <f>$C1048*CD1047</f>
        <v/>
      </c>
      <c r="CE1048">
        <f>$C1048*CE1047</f>
        <v/>
      </c>
      <c r="CF1048">
        <f>$C1048*CF1047</f>
        <v/>
      </c>
      <c r="CG1048">
        <f>$C1048*CG1047</f>
        <v/>
      </c>
      <c r="CH1048">
        <f>$C1048*CH1047</f>
        <v/>
      </c>
      <c r="CI1048">
        <f>$C1048*CI1047</f>
        <v/>
      </c>
      <c r="CJ1048">
        <f>$C1048*CJ1047</f>
        <v/>
      </c>
      <c r="CK1048">
        <f>$C1048*CK1047</f>
        <v/>
      </c>
      <c r="CL1048">
        <f>$C1048*CL1047</f>
        <v/>
      </c>
      <c r="CM1048">
        <f>$C1048*CM1047</f>
        <v/>
      </c>
      <c r="CN1048">
        <f>$C1048*CN1047</f>
        <v/>
      </c>
      <c r="CO1048">
        <f>$C1048*CO1047</f>
        <v/>
      </c>
      <c r="CP1048">
        <f>$C1048*CP1047</f>
        <v/>
      </c>
      <c r="CQ1048">
        <f>$C1048*CQ1047</f>
        <v/>
      </c>
      <c r="CR1048">
        <f>$C1048*CR1047</f>
        <v/>
      </c>
      <c r="CS1048">
        <f>$C1048*CS1047</f>
        <v/>
      </c>
      <c r="CT1048">
        <f>$C1048*CT1047</f>
        <v/>
      </c>
      <c r="CU1048">
        <f>$C1048*CU1047</f>
        <v/>
      </c>
      <c r="CV1048">
        <f>$C1048*CV1047</f>
        <v/>
      </c>
      <c r="CW1048">
        <f>$C1048*CW1047</f>
        <v/>
      </c>
      <c r="CX1048">
        <f>$C1048*CX1047</f>
        <v/>
      </c>
      <c r="CY1048">
        <f>$C1048*CY1047</f>
        <v/>
      </c>
      <c r="CZ1048">
        <f>$C1048*CZ1047</f>
        <v/>
      </c>
      <c r="DA1048">
        <f>$C1048*DA1047</f>
        <v/>
      </c>
      <c r="DB1048">
        <f>$C1048*DB1047</f>
        <v/>
      </c>
      <c r="DC1048">
        <f>$C1048*DC1047</f>
        <v/>
      </c>
    </row>
    <row r="1049">
      <c r="B1049" t="inlineStr">
        <is>
          <t>TVS-833</t>
        </is>
      </c>
      <c r="C1049" t="inlineStr">
        <is>
          <t>No. of batches</t>
        </is>
      </c>
      <c r="D1049">
        <f>IFERROR(INDEX(PP_Grid[#Data],$DD1049,2),0)</f>
        <v/>
      </c>
      <c r="E1049">
        <f>IFERROR(INDEX(PP_Grid[#Data],$DD1049,3),0)</f>
        <v/>
      </c>
      <c r="F1049">
        <f>IFERROR(INDEX(PP_Grid[#Data],$DD1049,4),0)</f>
        <v/>
      </c>
      <c r="G1049">
        <f>IFERROR(INDEX(PP_Grid[#Data],$DD1049,5),0)</f>
        <v/>
      </c>
      <c r="H1049">
        <f>IFERROR(INDEX(PP_Grid[#Data],$DD1049,6),0)</f>
        <v/>
      </c>
      <c r="I1049">
        <f>IFERROR(INDEX(PP_Grid[#Data],$DD1049,7),0)</f>
        <v/>
      </c>
      <c r="J1049">
        <f>IFERROR(INDEX(PP_Grid[#Data],$DD1049,8),0)</f>
        <v/>
      </c>
      <c r="K1049">
        <f>IFERROR(INDEX(PP_Grid[#Data],$DD1049,9),0)</f>
        <v/>
      </c>
      <c r="L1049">
        <f>IFERROR(INDEX(PP_Grid[#Data],$DD1049,10),0)</f>
        <v/>
      </c>
      <c r="M1049">
        <f>IFERROR(INDEX(PP_Grid[#Data],$DD1049,11),0)</f>
        <v/>
      </c>
      <c r="N1049">
        <f>IFERROR(INDEX(PP_Grid[#Data],$DD1049,12),0)</f>
        <v/>
      </c>
      <c r="O1049">
        <f>IFERROR(INDEX(PP_Grid[#Data],$DD1049,13),0)</f>
        <v/>
      </c>
      <c r="P1049">
        <f>IFERROR(INDEX(PP_Grid[#Data],$DD1049,14),0)</f>
        <v/>
      </c>
      <c r="Q1049">
        <f>IFERROR(INDEX(PP_Grid[#Data],$DD1049,15),0)</f>
        <v/>
      </c>
      <c r="R1049">
        <f>IFERROR(INDEX(PP_Grid[#Data],$DD1049,16),0)</f>
        <v/>
      </c>
      <c r="S1049">
        <f>IFERROR(INDEX(PP_Grid[#Data],$DD1049,17),0)</f>
        <v/>
      </c>
      <c r="T1049">
        <f>IFERROR(INDEX(PP_Grid[#Data],$DD1049,18),0)</f>
        <v/>
      </c>
      <c r="U1049">
        <f>IFERROR(INDEX(PP_Grid[#Data],$DD1049,19),0)</f>
        <v/>
      </c>
      <c r="V1049">
        <f>IFERROR(INDEX(PP_Grid[#Data],$DD1049,20),0)</f>
        <v/>
      </c>
      <c r="W1049">
        <f>IFERROR(INDEX(PP_Grid[#Data],$DD1049,21),0)</f>
        <v/>
      </c>
      <c r="X1049">
        <f>IFERROR(INDEX(PP_Grid[#Data],$DD1049,22),0)</f>
        <v/>
      </c>
      <c r="Y1049">
        <f>IFERROR(INDEX(PP_Grid[#Data],$DD1049,23),0)</f>
        <v/>
      </c>
      <c r="Z1049">
        <f>IFERROR(INDEX(PP_Grid[#Data],$DD1049,24),0)</f>
        <v/>
      </c>
      <c r="AA1049">
        <f>IFERROR(INDEX(PP_Grid[#Data],$DD1049,25),0)</f>
        <v/>
      </c>
      <c r="AB1049">
        <f>IFERROR(INDEX(PP_Grid[#Data],$DD1049,26),0)</f>
        <v/>
      </c>
      <c r="AC1049">
        <f>IFERROR(INDEX(PP_Grid[#Data],$DD1049,27),0)</f>
        <v/>
      </c>
      <c r="AD1049">
        <f>IFERROR(INDEX(PP_Grid[#Data],$DD1049,28),0)</f>
        <v/>
      </c>
      <c r="AE1049">
        <f>IFERROR(INDEX(PP_Grid[#Data],$DD1049,29),0)</f>
        <v/>
      </c>
      <c r="AF1049">
        <f>IFERROR(INDEX(PP_Grid[#Data],$DD1049,30),0)</f>
        <v/>
      </c>
      <c r="AG1049">
        <f>IFERROR(INDEX(PP_Grid[#Data],$DD1049,31),0)</f>
        <v/>
      </c>
      <c r="AH1049">
        <f>IFERROR(INDEX(PP_Grid[#Data],$DD1049,32),0)</f>
        <v/>
      </c>
      <c r="AI1049">
        <f>IFERROR(INDEX(PP_Grid[#Data],$DD1049,33),0)</f>
        <v/>
      </c>
      <c r="AJ1049">
        <f>IFERROR(INDEX(PP_Grid[#Data],$DD1049,34),0)</f>
        <v/>
      </c>
      <c r="AK1049">
        <f>IFERROR(INDEX(PP_Grid[#Data],$DD1049,35),0)</f>
        <v/>
      </c>
      <c r="AL1049">
        <f>IFERROR(INDEX(PP_Grid[#Data],$DD1049,36),0)</f>
        <v/>
      </c>
      <c r="AM1049">
        <f>IFERROR(INDEX(PP_Grid[#Data],$DD1049,37),0)</f>
        <v/>
      </c>
      <c r="AN1049">
        <f>IFERROR(INDEX(PP_Grid[#Data],$DD1049,38),0)</f>
        <v/>
      </c>
      <c r="AO1049">
        <f>IFERROR(INDEX(PP_Grid[#Data],$DD1049,39),0)</f>
        <v/>
      </c>
      <c r="AP1049">
        <f>IFERROR(INDEX(PP_Grid[#Data],$DD1049,40),0)</f>
        <v/>
      </c>
      <c r="AQ1049">
        <f>IFERROR(INDEX(PP_Grid[#Data],$DD1049,41),0)</f>
        <v/>
      </c>
      <c r="AR1049">
        <f>IFERROR(INDEX(PP_Grid[#Data],$DD1049,42),0)</f>
        <v/>
      </c>
      <c r="AS1049">
        <f>IFERROR(INDEX(PP_Grid[#Data],$DD1049,43),0)</f>
        <v/>
      </c>
      <c r="AT1049">
        <f>IFERROR(INDEX(PP_Grid[#Data],$DD1049,44),0)</f>
        <v/>
      </c>
      <c r="AU1049">
        <f>IFERROR(INDEX(PP_Grid[#Data],$DD1049,45),0)</f>
        <v/>
      </c>
      <c r="AV1049">
        <f>IFERROR(INDEX(PP_Grid[#Data],$DD1049,46),0)</f>
        <v/>
      </c>
      <c r="AW1049">
        <f>IFERROR(INDEX(PP_Grid[#Data],$DD1049,47),0)</f>
        <v/>
      </c>
      <c r="AX1049">
        <f>IFERROR(INDEX(PP_Grid[#Data],$DD1049,48),0)</f>
        <v/>
      </c>
      <c r="AY1049">
        <f>IFERROR(INDEX(PP_Grid[#Data],$DD1049,49),0)</f>
        <v/>
      </c>
      <c r="AZ1049">
        <f>IFERROR(INDEX(PP_Grid[#Data],$DD1049,50),0)</f>
        <v/>
      </c>
      <c r="BA1049">
        <f>IFERROR(INDEX(PP_Grid[#Data],$DD1049,51),0)</f>
        <v/>
      </c>
      <c r="BB1049">
        <f>IFERROR(INDEX(PP_Grid[#Data],$DD1049,52),0)</f>
        <v/>
      </c>
      <c r="BC1049">
        <f>IFERROR(INDEX(PP_Grid[#Data],$DD1049,53),0)</f>
        <v/>
      </c>
      <c r="BD1049">
        <f>IFERROR(INDEX(PP_Grid[#Data],$DD1049,54),0)</f>
        <v/>
      </c>
      <c r="BE1049">
        <f>IFERROR(INDEX(PP_Grid[#Data],$DD1049,55),0)</f>
        <v/>
      </c>
      <c r="BF1049">
        <f>IFERROR(INDEX(PP_Grid[#Data],$DD1049,56),0)</f>
        <v/>
      </c>
      <c r="BG1049">
        <f>IFERROR(INDEX(PP_Grid[#Data],$DD1049,57),0)</f>
        <v/>
      </c>
      <c r="BH1049">
        <f>IFERROR(INDEX(PP_Grid[#Data],$DD1049,58),0)</f>
        <v/>
      </c>
      <c r="BI1049">
        <f>IFERROR(INDEX(PP_Grid[#Data],$DD1049,59),0)</f>
        <v/>
      </c>
      <c r="BJ1049">
        <f>IFERROR(INDEX(PP_Grid[#Data],$DD1049,60),0)</f>
        <v/>
      </c>
      <c r="BK1049">
        <f>IFERROR(INDEX(PP_Grid[#Data],$DD1049,61),0)</f>
        <v/>
      </c>
      <c r="BL1049">
        <f>IFERROR(INDEX(PP_Grid[#Data],$DD1049,62),0)</f>
        <v/>
      </c>
      <c r="BM1049">
        <f>IFERROR(INDEX(PP_Grid[#Data],$DD1049,63),0)</f>
        <v/>
      </c>
      <c r="BN1049">
        <f>IFERROR(INDEX(PP_Grid[#Data],$DD1049,64),0)</f>
        <v/>
      </c>
      <c r="BO1049">
        <f>IFERROR(INDEX(PP_Grid[#Data],$DD1049,65),0)</f>
        <v/>
      </c>
      <c r="BP1049">
        <f>IFERROR(INDEX(PP_Grid[#Data],$DD1049,66),0)</f>
        <v/>
      </c>
      <c r="BQ1049">
        <f>IFERROR(INDEX(PP_Grid[#Data],$DD1049,67),0)</f>
        <v/>
      </c>
      <c r="BR1049">
        <f>IFERROR(INDEX(PP_Grid[#Data],$DD1049,68),0)</f>
        <v/>
      </c>
      <c r="BS1049">
        <f>IFERROR(INDEX(PP_Grid[#Data],$DD1049,69),0)</f>
        <v/>
      </c>
      <c r="BT1049">
        <f>IFERROR(INDEX(PP_Grid[#Data],$DD1049,70),0)</f>
        <v/>
      </c>
      <c r="BU1049">
        <f>IFERROR(INDEX(PP_Grid[#Data],$DD1049,71),0)</f>
        <v/>
      </c>
      <c r="BV1049">
        <f>IFERROR(INDEX(PP_Grid[#Data],$DD1049,72),0)</f>
        <v/>
      </c>
      <c r="BW1049">
        <f>IFERROR(INDEX(PP_Grid[#Data],$DD1049,73),0)</f>
        <v/>
      </c>
      <c r="BX1049">
        <f>IFERROR(INDEX(PP_Grid[#Data],$DD1049,74),0)</f>
        <v/>
      </c>
      <c r="BY1049">
        <f>IFERROR(INDEX(PP_Grid[#Data],$DD1049,75),0)</f>
        <v/>
      </c>
      <c r="BZ1049">
        <f>IFERROR(INDEX(PP_Grid[#Data],$DD1049,76),0)</f>
        <v/>
      </c>
      <c r="CA1049">
        <f>IFERROR(INDEX(PP_Grid[#Data],$DD1049,77),0)</f>
        <v/>
      </c>
      <c r="CB1049">
        <f>IFERROR(INDEX(PP_Grid[#Data],$DD1049,78),0)</f>
        <v/>
      </c>
      <c r="CC1049">
        <f>IFERROR(INDEX(PP_Grid[#Data],$DD1049,79),0)</f>
        <v/>
      </c>
      <c r="CD1049">
        <f>IFERROR(INDEX(PP_Grid[#Data],$DD1049,80),0)</f>
        <v/>
      </c>
      <c r="CE1049">
        <f>IFERROR(INDEX(PP_Grid[#Data],$DD1049,81),0)</f>
        <v/>
      </c>
      <c r="CF1049">
        <f>IFERROR(INDEX(PP_Grid[#Data],$DD1049,82),0)</f>
        <v/>
      </c>
      <c r="CG1049">
        <f>IFERROR(INDEX(PP_Grid[#Data],$DD1049,83),0)</f>
        <v/>
      </c>
      <c r="CH1049">
        <f>IFERROR(INDEX(PP_Grid[#Data],$DD1049,84),0)</f>
        <v/>
      </c>
      <c r="CI1049">
        <f>IFERROR(INDEX(PP_Grid[#Data],$DD1049,85),0)</f>
        <v/>
      </c>
      <c r="CJ1049">
        <f>IFERROR(INDEX(PP_Grid[#Data],$DD1049,86),0)</f>
        <v/>
      </c>
      <c r="CK1049">
        <f>IFERROR(INDEX(PP_Grid[#Data],$DD1049,87),0)</f>
        <v/>
      </c>
      <c r="CL1049">
        <f>IFERROR(INDEX(PP_Grid[#Data],$DD1049,88),0)</f>
        <v/>
      </c>
      <c r="CM1049">
        <f>IFERROR(INDEX(PP_Grid[#Data],$DD1049,89),0)</f>
        <v/>
      </c>
      <c r="CN1049">
        <f>IFERROR(INDEX(PP_Grid[#Data],$DD1049,90),0)</f>
        <v/>
      </c>
      <c r="CO1049">
        <f>IFERROR(INDEX(PP_Grid[#Data],$DD1049,91),0)</f>
        <v/>
      </c>
      <c r="CP1049">
        <f>IFERROR(INDEX(PP_Grid[#Data],$DD1049,92),0)</f>
        <v/>
      </c>
      <c r="CQ1049">
        <f>IFERROR(INDEX(PP_Grid[#Data],$DD1049,93),0)</f>
        <v/>
      </c>
      <c r="CR1049">
        <f>IFERROR(INDEX(PP_Grid[#Data],$DD1049,94),0)</f>
        <v/>
      </c>
      <c r="CS1049">
        <f>IFERROR(INDEX(PP_Grid[#Data],$DD1049,95),0)</f>
        <v/>
      </c>
      <c r="CT1049">
        <f>IFERROR(INDEX(PP_Grid[#Data],$DD1049,96),0)</f>
        <v/>
      </c>
      <c r="CU1049">
        <f>IFERROR(INDEX(PP_Grid[#Data],$DD1049,97),0)</f>
        <v/>
      </c>
      <c r="CV1049">
        <f>IFERROR(INDEX(PP_Grid[#Data],$DD1049,98),0)</f>
        <v/>
      </c>
      <c r="CW1049">
        <f>IFERROR(INDEX(PP_Grid[#Data],$DD1049,99),0)</f>
        <v/>
      </c>
      <c r="CX1049">
        <f>IFERROR(INDEX(PP_Grid[#Data],$DD1049,100),0)</f>
        <v/>
      </c>
      <c r="CY1049">
        <f>IFERROR(INDEX(PP_Grid[#Data],$DD1049,101),0)</f>
        <v/>
      </c>
      <c r="CZ1049">
        <f>IFERROR(INDEX(PP_Grid[#Data],$DD1049,102),0)</f>
        <v/>
      </c>
      <c r="DA1049">
        <f>IFERROR(INDEX(PP_Grid[#Data],$DD1049,103),0)</f>
        <v/>
      </c>
      <c r="DB1049">
        <f>IFERROR(INDEX(PP_Grid[#Data],$DD1049,104),0)</f>
        <v/>
      </c>
      <c r="DC1049">
        <f>IFERROR(INDEX(PP_Grid[#Data],$DD1049,105),0)</f>
        <v/>
      </c>
      <c r="DD1049" s="12">
        <f>IFERROR(MATCH($B1049,PP_Grid[Intermediate],0),99999)</f>
        <v/>
      </c>
    </row>
    <row r="1050">
      <c r="B1050" t="inlineStr">
        <is>
          <t>使用量(kg)</t>
        </is>
      </c>
      <c r="C1050">
        <f>SUMIFS(M_BOM[RM_Qty_Per_Batch],M_BOM[Intermediate],$B1049,M_BOM[Part Name],$A988)</f>
        <v/>
      </c>
      <c r="D1050">
        <f>$C1050*D1049</f>
        <v/>
      </c>
      <c r="E1050">
        <f>$C1050*E1049</f>
        <v/>
      </c>
      <c r="F1050">
        <f>$C1050*F1049</f>
        <v/>
      </c>
      <c r="G1050">
        <f>$C1050*G1049</f>
        <v/>
      </c>
      <c r="H1050">
        <f>$C1050*H1049</f>
        <v/>
      </c>
      <c r="I1050">
        <f>$C1050*I1049</f>
        <v/>
      </c>
      <c r="J1050">
        <f>$C1050*J1049</f>
        <v/>
      </c>
      <c r="K1050">
        <f>$C1050*K1049</f>
        <v/>
      </c>
      <c r="L1050">
        <f>$C1050*L1049</f>
        <v/>
      </c>
      <c r="M1050">
        <f>$C1050*M1049</f>
        <v/>
      </c>
      <c r="N1050">
        <f>$C1050*N1049</f>
        <v/>
      </c>
      <c r="O1050">
        <f>$C1050*O1049</f>
        <v/>
      </c>
      <c r="P1050">
        <f>$C1050*P1049</f>
        <v/>
      </c>
      <c r="Q1050">
        <f>$C1050*Q1049</f>
        <v/>
      </c>
      <c r="R1050">
        <f>$C1050*R1049</f>
        <v/>
      </c>
      <c r="S1050">
        <f>$C1050*S1049</f>
        <v/>
      </c>
      <c r="T1050">
        <f>$C1050*T1049</f>
        <v/>
      </c>
      <c r="U1050">
        <f>$C1050*U1049</f>
        <v/>
      </c>
      <c r="V1050">
        <f>$C1050*V1049</f>
        <v/>
      </c>
      <c r="W1050">
        <f>$C1050*W1049</f>
        <v/>
      </c>
      <c r="X1050">
        <f>$C1050*X1049</f>
        <v/>
      </c>
      <c r="Y1050">
        <f>$C1050*Y1049</f>
        <v/>
      </c>
      <c r="Z1050">
        <f>$C1050*Z1049</f>
        <v/>
      </c>
      <c r="AA1050">
        <f>$C1050*AA1049</f>
        <v/>
      </c>
      <c r="AB1050">
        <f>$C1050*AB1049</f>
        <v/>
      </c>
      <c r="AC1050">
        <f>$C1050*AC1049</f>
        <v/>
      </c>
      <c r="AD1050">
        <f>$C1050*AD1049</f>
        <v/>
      </c>
      <c r="AE1050">
        <f>$C1050*AE1049</f>
        <v/>
      </c>
      <c r="AF1050">
        <f>$C1050*AF1049</f>
        <v/>
      </c>
      <c r="AG1050">
        <f>$C1050*AG1049</f>
        <v/>
      </c>
      <c r="AH1050">
        <f>$C1050*AH1049</f>
        <v/>
      </c>
      <c r="AI1050">
        <f>$C1050*AI1049</f>
        <v/>
      </c>
      <c r="AJ1050">
        <f>$C1050*AJ1049</f>
        <v/>
      </c>
      <c r="AK1050">
        <f>$C1050*AK1049</f>
        <v/>
      </c>
      <c r="AL1050">
        <f>$C1050*AL1049</f>
        <v/>
      </c>
      <c r="AM1050">
        <f>$C1050*AM1049</f>
        <v/>
      </c>
      <c r="AN1050">
        <f>$C1050*AN1049</f>
        <v/>
      </c>
      <c r="AO1050">
        <f>$C1050*AO1049</f>
        <v/>
      </c>
      <c r="AP1050">
        <f>$C1050*AP1049</f>
        <v/>
      </c>
      <c r="AQ1050">
        <f>$C1050*AQ1049</f>
        <v/>
      </c>
      <c r="AR1050">
        <f>$C1050*AR1049</f>
        <v/>
      </c>
      <c r="AS1050">
        <f>$C1050*AS1049</f>
        <v/>
      </c>
      <c r="AT1050">
        <f>$C1050*AT1049</f>
        <v/>
      </c>
      <c r="AU1050">
        <f>$C1050*AU1049</f>
        <v/>
      </c>
      <c r="AV1050">
        <f>$C1050*AV1049</f>
        <v/>
      </c>
      <c r="AW1050">
        <f>$C1050*AW1049</f>
        <v/>
      </c>
      <c r="AX1050">
        <f>$C1050*AX1049</f>
        <v/>
      </c>
      <c r="AY1050">
        <f>$C1050*AY1049</f>
        <v/>
      </c>
      <c r="AZ1050">
        <f>$C1050*AZ1049</f>
        <v/>
      </c>
      <c r="BA1050">
        <f>$C1050*BA1049</f>
        <v/>
      </c>
      <c r="BB1050">
        <f>$C1050*BB1049</f>
        <v/>
      </c>
      <c r="BC1050">
        <f>$C1050*BC1049</f>
        <v/>
      </c>
      <c r="BD1050">
        <f>$C1050*BD1049</f>
        <v/>
      </c>
      <c r="BE1050">
        <f>$C1050*BE1049</f>
        <v/>
      </c>
      <c r="BF1050">
        <f>$C1050*BF1049</f>
        <v/>
      </c>
      <c r="BG1050">
        <f>$C1050*BG1049</f>
        <v/>
      </c>
      <c r="BH1050">
        <f>$C1050*BH1049</f>
        <v/>
      </c>
      <c r="BI1050">
        <f>$C1050*BI1049</f>
        <v/>
      </c>
      <c r="BJ1050">
        <f>$C1050*BJ1049</f>
        <v/>
      </c>
      <c r="BK1050">
        <f>$C1050*BK1049</f>
        <v/>
      </c>
      <c r="BL1050">
        <f>$C1050*BL1049</f>
        <v/>
      </c>
      <c r="BM1050">
        <f>$C1050*BM1049</f>
        <v/>
      </c>
      <c r="BN1050">
        <f>$C1050*BN1049</f>
        <v/>
      </c>
      <c r="BO1050">
        <f>$C1050*BO1049</f>
        <v/>
      </c>
      <c r="BP1050">
        <f>$C1050*BP1049</f>
        <v/>
      </c>
      <c r="BQ1050">
        <f>$C1050*BQ1049</f>
        <v/>
      </c>
      <c r="BR1050">
        <f>$C1050*BR1049</f>
        <v/>
      </c>
      <c r="BS1050">
        <f>$C1050*BS1049</f>
        <v/>
      </c>
      <c r="BT1050">
        <f>$C1050*BT1049</f>
        <v/>
      </c>
      <c r="BU1050">
        <f>$C1050*BU1049</f>
        <v/>
      </c>
      <c r="BV1050">
        <f>$C1050*BV1049</f>
        <v/>
      </c>
      <c r="BW1050">
        <f>$C1050*BW1049</f>
        <v/>
      </c>
      <c r="BX1050">
        <f>$C1050*BX1049</f>
        <v/>
      </c>
      <c r="BY1050">
        <f>$C1050*BY1049</f>
        <v/>
      </c>
      <c r="BZ1050">
        <f>$C1050*BZ1049</f>
        <v/>
      </c>
      <c r="CA1050">
        <f>$C1050*CA1049</f>
        <v/>
      </c>
      <c r="CB1050">
        <f>$C1050*CB1049</f>
        <v/>
      </c>
      <c r="CC1050">
        <f>$C1050*CC1049</f>
        <v/>
      </c>
      <c r="CD1050">
        <f>$C1050*CD1049</f>
        <v/>
      </c>
      <c r="CE1050">
        <f>$C1050*CE1049</f>
        <v/>
      </c>
      <c r="CF1050">
        <f>$C1050*CF1049</f>
        <v/>
      </c>
      <c r="CG1050">
        <f>$C1050*CG1049</f>
        <v/>
      </c>
      <c r="CH1050">
        <f>$C1050*CH1049</f>
        <v/>
      </c>
      <c r="CI1050">
        <f>$C1050*CI1049</f>
        <v/>
      </c>
      <c r="CJ1050">
        <f>$C1050*CJ1049</f>
        <v/>
      </c>
      <c r="CK1050">
        <f>$C1050*CK1049</f>
        <v/>
      </c>
      <c r="CL1050">
        <f>$C1050*CL1049</f>
        <v/>
      </c>
      <c r="CM1050">
        <f>$C1050*CM1049</f>
        <v/>
      </c>
      <c r="CN1050">
        <f>$C1050*CN1049</f>
        <v/>
      </c>
      <c r="CO1050">
        <f>$C1050*CO1049</f>
        <v/>
      </c>
      <c r="CP1050">
        <f>$C1050*CP1049</f>
        <v/>
      </c>
      <c r="CQ1050">
        <f>$C1050*CQ1049</f>
        <v/>
      </c>
      <c r="CR1050">
        <f>$C1050*CR1049</f>
        <v/>
      </c>
      <c r="CS1050">
        <f>$C1050*CS1049</f>
        <v/>
      </c>
      <c r="CT1050">
        <f>$C1050*CT1049</f>
        <v/>
      </c>
      <c r="CU1050">
        <f>$C1050*CU1049</f>
        <v/>
      </c>
      <c r="CV1050">
        <f>$C1050*CV1049</f>
        <v/>
      </c>
      <c r="CW1050">
        <f>$C1050*CW1049</f>
        <v/>
      </c>
      <c r="CX1050">
        <f>$C1050*CX1049</f>
        <v/>
      </c>
      <c r="CY1050">
        <f>$C1050*CY1049</f>
        <v/>
      </c>
      <c r="CZ1050">
        <f>$C1050*CZ1049</f>
        <v/>
      </c>
      <c r="DA1050">
        <f>$C1050*DA1049</f>
        <v/>
      </c>
      <c r="DB1050">
        <f>$C1050*DB1049</f>
        <v/>
      </c>
      <c r="DC1050">
        <f>$C1050*DC1049</f>
        <v/>
      </c>
    </row>
    <row r="1051">
      <c r="B1051" t="inlineStr">
        <is>
          <t>VSP-820</t>
        </is>
      </c>
      <c r="C1051" t="inlineStr">
        <is>
          <t>No. of batches</t>
        </is>
      </c>
      <c r="D1051">
        <f>IFERROR(INDEX(PP_Grid[#Data],$DD1051,2),0)</f>
        <v/>
      </c>
      <c r="E1051">
        <f>IFERROR(INDEX(PP_Grid[#Data],$DD1051,3),0)</f>
        <v/>
      </c>
      <c r="F1051">
        <f>IFERROR(INDEX(PP_Grid[#Data],$DD1051,4),0)</f>
        <v/>
      </c>
      <c r="G1051">
        <f>IFERROR(INDEX(PP_Grid[#Data],$DD1051,5),0)</f>
        <v/>
      </c>
      <c r="H1051">
        <f>IFERROR(INDEX(PP_Grid[#Data],$DD1051,6),0)</f>
        <v/>
      </c>
      <c r="I1051">
        <f>IFERROR(INDEX(PP_Grid[#Data],$DD1051,7),0)</f>
        <v/>
      </c>
      <c r="J1051">
        <f>IFERROR(INDEX(PP_Grid[#Data],$DD1051,8),0)</f>
        <v/>
      </c>
      <c r="K1051">
        <f>IFERROR(INDEX(PP_Grid[#Data],$DD1051,9),0)</f>
        <v/>
      </c>
      <c r="L1051">
        <f>IFERROR(INDEX(PP_Grid[#Data],$DD1051,10),0)</f>
        <v/>
      </c>
      <c r="M1051">
        <f>IFERROR(INDEX(PP_Grid[#Data],$DD1051,11),0)</f>
        <v/>
      </c>
      <c r="N1051">
        <f>IFERROR(INDEX(PP_Grid[#Data],$DD1051,12),0)</f>
        <v/>
      </c>
      <c r="O1051">
        <f>IFERROR(INDEX(PP_Grid[#Data],$DD1051,13),0)</f>
        <v/>
      </c>
      <c r="P1051">
        <f>IFERROR(INDEX(PP_Grid[#Data],$DD1051,14),0)</f>
        <v/>
      </c>
      <c r="Q1051">
        <f>IFERROR(INDEX(PP_Grid[#Data],$DD1051,15),0)</f>
        <v/>
      </c>
      <c r="R1051">
        <f>IFERROR(INDEX(PP_Grid[#Data],$DD1051,16),0)</f>
        <v/>
      </c>
      <c r="S1051">
        <f>IFERROR(INDEX(PP_Grid[#Data],$DD1051,17),0)</f>
        <v/>
      </c>
      <c r="T1051">
        <f>IFERROR(INDEX(PP_Grid[#Data],$DD1051,18),0)</f>
        <v/>
      </c>
      <c r="U1051">
        <f>IFERROR(INDEX(PP_Grid[#Data],$DD1051,19),0)</f>
        <v/>
      </c>
      <c r="V1051">
        <f>IFERROR(INDEX(PP_Grid[#Data],$DD1051,20),0)</f>
        <v/>
      </c>
      <c r="W1051">
        <f>IFERROR(INDEX(PP_Grid[#Data],$DD1051,21),0)</f>
        <v/>
      </c>
      <c r="X1051">
        <f>IFERROR(INDEX(PP_Grid[#Data],$DD1051,22),0)</f>
        <v/>
      </c>
      <c r="Y1051">
        <f>IFERROR(INDEX(PP_Grid[#Data],$DD1051,23),0)</f>
        <v/>
      </c>
      <c r="Z1051">
        <f>IFERROR(INDEX(PP_Grid[#Data],$DD1051,24),0)</f>
        <v/>
      </c>
      <c r="AA1051">
        <f>IFERROR(INDEX(PP_Grid[#Data],$DD1051,25),0)</f>
        <v/>
      </c>
      <c r="AB1051">
        <f>IFERROR(INDEX(PP_Grid[#Data],$DD1051,26),0)</f>
        <v/>
      </c>
      <c r="AC1051">
        <f>IFERROR(INDEX(PP_Grid[#Data],$DD1051,27),0)</f>
        <v/>
      </c>
      <c r="AD1051">
        <f>IFERROR(INDEX(PP_Grid[#Data],$DD1051,28),0)</f>
        <v/>
      </c>
      <c r="AE1051">
        <f>IFERROR(INDEX(PP_Grid[#Data],$DD1051,29),0)</f>
        <v/>
      </c>
      <c r="AF1051">
        <f>IFERROR(INDEX(PP_Grid[#Data],$DD1051,30),0)</f>
        <v/>
      </c>
      <c r="AG1051">
        <f>IFERROR(INDEX(PP_Grid[#Data],$DD1051,31),0)</f>
        <v/>
      </c>
      <c r="AH1051">
        <f>IFERROR(INDEX(PP_Grid[#Data],$DD1051,32),0)</f>
        <v/>
      </c>
      <c r="AI1051">
        <f>IFERROR(INDEX(PP_Grid[#Data],$DD1051,33),0)</f>
        <v/>
      </c>
      <c r="AJ1051">
        <f>IFERROR(INDEX(PP_Grid[#Data],$DD1051,34),0)</f>
        <v/>
      </c>
      <c r="AK1051">
        <f>IFERROR(INDEX(PP_Grid[#Data],$DD1051,35),0)</f>
        <v/>
      </c>
      <c r="AL1051">
        <f>IFERROR(INDEX(PP_Grid[#Data],$DD1051,36),0)</f>
        <v/>
      </c>
      <c r="AM1051">
        <f>IFERROR(INDEX(PP_Grid[#Data],$DD1051,37),0)</f>
        <v/>
      </c>
      <c r="AN1051">
        <f>IFERROR(INDEX(PP_Grid[#Data],$DD1051,38),0)</f>
        <v/>
      </c>
      <c r="AO1051">
        <f>IFERROR(INDEX(PP_Grid[#Data],$DD1051,39),0)</f>
        <v/>
      </c>
      <c r="AP1051">
        <f>IFERROR(INDEX(PP_Grid[#Data],$DD1051,40),0)</f>
        <v/>
      </c>
      <c r="AQ1051">
        <f>IFERROR(INDEX(PP_Grid[#Data],$DD1051,41),0)</f>
        <v/>
      </c>
      <c r="AR1051">
        <f>IFERROR(INDEX(PP_Grid[#Data],$DD1051,42),0)</f>
        <v/>
      </c>
      <c r="AS1051">
        <f>IFERROR(INDEX(PP_Grid[#Data],$DD1051,43),0)</f>
        <v/>
      </c>
      <c r="AT1051">
        <f>IFERROR(INDEX(PP_Grid[#Data],$DD1051,44),0)</f>
        <v/>
      </c>
      <c r="AU1051">
        <f>IFERROR(INDEX(PP_Grid[#Data],$DD1051,45),0)</f>
        <v/>
      </c>
      <c r="AV1051">
        <f>IFERROR(INDEX(PP_Grid[#Data],$DD1051,46),0)</f>
        <v/>
      </c>
      <c r="AW1051">
        <f>IFERROR(INDEX(PP_Grid[#Data],$DD1051,47),0)</f>
        <v/>
      </c>
      <c r="AX1051">
        <f>IFERROR(INDEX(PP_Grid[#Data],$DD1051,48),0)</f>
        <v/>
      </c>
      <c r="AY1051">
        <f>IFERROR(INDEX(PP_Grid[#Data],$DD1051,49),0)</f>
        <v/>
      </c>
      <c r="AZ1051">
        <f>IFERROR(INDEX(PP_Grid[#Data],$DD1051,50),0)</f>
        <v/>
      </c>
      <c r="BA1051">
        <f>IFERROR(INDEX(PP_Grid[#Data],$DD1051,51),0)</f>
        <v/>
      </c>
      <c r="BB1051">
        <f>IFERROR(INDEX(PP_Grid[#Data],$DD1051,52),0)</f>
        <v/>
      </c>
      <c r="BC1051">
        <f>IFERROR(INDEX(PP_Grid[#Data],$DD1051,53),0)</f>
        <v/>
      </c>
      <c r="BD1051">
        <f>IFERROR(INDEX(PP_Grid[#Data],$DD1051,54),0)</f>
        <v/>
      </c>
      <c r="BE1051">
        <f>IFERROR(INDEX(PP_Grid[#Data],$DD1051,55),0)</f>
        <v/>
      </c>
      <c r="BF1051">
        <f>IFERROR(INDEX(PP_Grid[#Data],$DD1051,56),0)</f>
        <v/>
      </c>
      <c r="BG1051">
        <f>IFERROR(INDEX(PP_Grid[#Data],$DD1051,57),0)</f>
        <v/>
      </c>
      <c r="BH1051">
        <f>IFERROR(INDEX(PP_Grid[#Data],$DD1051,58),0)</f>
        <v/>
      </c>
      <c r="BI1051">
        <f>IFERROR(INDEX(PP_Grid[#Data],$DD1051,59),0)</f>
        <v/>
      </c>
      <c r="BJ1051">
        <f>IFERROR(INDEX(PP_Grid[#Data],$DD1051,60),0)</f>
        <v/>
      </c>
      <c r="BK1051">
        <f>IFERROR(INDEX(PP_Grid[#Data],$DD1051,61),0)</f>
        <v/>
      </c>
      <c r="BL1051">
        <f>IFERROR(INDEX(PP_Grid[#Data],$DD1051,62),0)</f>
        <v/>
      </c>
      <c r="BM1051">
        <f>IFERROR(INDEX(PP_Grid[#Data],$DD1051,63),0)</f>
        <v/>
      </c>
      <c r="BN1051">
        <f>IFERROR(INDEX(PP_Grid[#Data],$DD1051,64),0)</f>
        <v/>
      </c>
      <c r="BO1051">
        <f>IFERROR(INDEX(PP_Grid[#Data],$DD1051,65),0)</f>
        <v/>
      </c>
      <c r="BP1051">
        <f>IFERROR(INDEX(PP_Grid[#Data],$DD1051,66),0)</f>
        <v/>
      </c>
      <c r="BQ1051">
        <f>IFERROR(INDEX(PP_Grid[#Data],$DD1051,67),0)</f>
        <v/>
      </c>
      <c r="BR1051">
        <f>IFERROR(INDEX(PP_Grid[#Data],$DD1051,68),0)</f>
        <v/>
      </c>
      <c r="BS1051">
        <f>IFERROR(INDEX(PP_Grid[#Data],$DD1051,69),0)</f>
        <v/>
      </c>
      <c r="BT1051">
        <f>IFERROR(INDEX(PP_Grid[#Data],$DD1051,70),0)</f>
        <v/>
      </c>
      <c r="BU1051">
        <f>IFERROR(INDEX(PP_Grid[#Data],$DD1051,71),0)</f>
        <v/>
      </c>
      <c r="BV1051">
        <f>IFERROR(INDEX(PP_Grid[#Data],$DD1051,72),0)</f>
        <v/>
      </c>
      <c r="BW1051">
        <f>IFERROR(INDEX(PP_Grid[#Data],$DD1051,73),0)</f>
        <v/>
      </c>
      <c r="BX1051">
        <f>IFERROR(INDEX(PP_Grid[#Data],$DD1051,74),0)</f>
        <v/>
      </c>
      <c r="BY1051">
        <f>IFERROR(INDEX(PP_Grid[#Data],$DD1051,75),0)</f>
        <v/>
      </c>
      <c r="BZ1051">
        <f>IFERROR(INDEX(PP_Grid[#Data],$DD1051,76),0)</f>
        <v/>
      </c>
      <c r="CA1051">
        <f>IFERROR(INDEX(PP_Grid[#Data],$DD1051,77),0)</f>
        <v/>
      </c>
      <c r="CB1051">
        <f>IFERROR(INDEX(PP_Grid[#Data],$DD1051,78),0)</f>
        <v/>
      </c>
      <c r="CC1051">
        <f>IFERROR(INDEX(PP_Grid[#Data],$DD1051,79),0)</f>
        <v/>
      </c>
      <c r="CD1051">
        <f>IFERROR(INDEX(PP_Grid[#Data],$DD1051,80),0)</f>
        <v/>
      </c>
      <c r="CE1051">
        <f>IFERROR(INDEX(PP_Grid[#Data],$DD1051,81),0)</f>
        <v/>
      </c>
      <c r="CF1051">
        <f>IFERROR(INDEX(PP_Grid[#Data],$DD1051,82),0)</f>
        <v/>
      </c>
      <c r="CG1051">
        <f>IFERROR(INDEX(PP_Grid[#Data],$DD1051,83),0)</f>
        <v/>
      </c>
      <c r="CH1051">
        <f>IFERROR(INDEX(PP_Grid[#Data],$DD1051,84),0)</f>
        <v/>
      </c>
      <c r="CI1051">
        <f>IFERROR(INDEX(PP_Grid[#Data],$DD1051,85),0)</f>
        <v/>
      </c>
      <c r="CJ1051">
        <f>IFERROR(INDEX(PP_Grid[#Data],$DD1051,86),0)</f>
        <v/>
      </c>
      <c r="CK1051">
        <f>IFERROR(INDEX(PP_Grid[#Data],$DD1051,87),0)</f>
        <v/>
      </c>
      <c r="CL1051">
        <f>IFERROR(INDEX(PP_Grid[#Data],$DD1051,88),0)</f>
        <v/>
      </c>
      <c r="CM1051">
        <f>IFERROR(INDEX(PP_Grid[#Data],$DD1051,89),0)</f>
        <v/>
      </c>
      <c r="CN1051">
        <f>IFERROR(INDEX(PP_Grid[#Data],$DD1051,90),0)</f>
        <v/>
      </c>
      <c r="CO1051">
        <f>IFERROR(INDEX(PP_Grid[#Data],$DD1051,91),0)</f>
        <v/>
      </c>
      <c r="CP1051">
        <f>IFERROR(INDEX(PP_Grid[#Data],$DD1051,92),0)</f>
        <v/>
      </c>
      <c r="CQ1051">
        <f>IFERROR(INDEX(PP_Grid[#Data],$DD1051,93),0)</f>
        <v/>
      </c>
      <c r="CR1051">
        <f>IFERROR(INDEX(PP_Grid[#Data],$DD1051,94),0)</f>
        <v/>
      </c>
      <c r="CS1051">
        <f>IFERROR(INDEX(PP_Grid[#Data],$DD1051,95),0)</f>
        <v/>
      </c>
      <c r="CT1051">
        <f>IFERROR(INDEX(PP_Grid[#Data],$DD1051,96),0)</f>
        <v/>
      </c>
      <c r="CU1051">
        <f>IFERROR(INDEX(PP_Grid[#Data],$DD1051,97),0)</f>
        <v/>
      </c>
      <c r="CV1051">
        <f>IFERROR(INDEX(PP_Grid[#Data],$DD1051,98),0)</f>
        <v/>
      </c>
      <c r="CW1051">
        <f>IFERROR(INDEX(PP_Grid[#Data],$DD1051,99),0)</f>
        <v/>
      </c>
      <c r="CX1051">
        <f>IFERROR(INDEX(PP_Grid[#Data],$DD1051,100),0)</f>
        <v/>
      </c>
      <c r="CY1051">
        <f>IFERROR(INDEX(PP_Grid[#Data],$DD1051,101),0)</f>
        <v/>
      </c>
      <c r="CZ1051">
        <f>IFERROR(INDEX(PP_Grid[#Data],$DD1051,102),0)</f>
        <v/>
      </c>
      <c r="DA1051">
        <f>IFERROR(INDEX(PP_Grid[#Data],$DD1051,103),0)</f>
        <v/>
      </c>
      <c r="DB1051">
        <f>IFERROR(INDEX(PP_Grid[#Data],$DD1051,104),0)</f>
        <v/>
      </c>
      <c r="DC1051">
        <f>IFERROR(INDEX(PP_Grid[#Data],$DD1051,105),0)</f>
        <v/>
      </c>
      <c r="DD1051" s="12">
        <f>IFERROR(MATCH($B1051,PP_Grid[Intermediate],0),99999)</f>
        <v/>
      </c>
    </row>
    <row r="1052">
      <c r="B1052" t="inlineStr">
        <is>
          <t>使用量(kg)</t>
        </is>
      </c>
      <c r="C1052">
        <f>SUMIFS(M_BOM[RM_Qty_Per_Batch],M_BOM[Intermediate],$B1051,M_BOM[Part Name],$A988)</f>
        <v/>
      </c>
      <c r="D1052">
        <f>$C1052*D1051</f>
        <v/>
      </c>
      <c r="E1052">
        <f>$C1052*E1051</f>
        <v/>
      </c>
      <c r="F1052">
        <f>$C1052*F1051</f>
        <v/>
      </c>
      <c r="G1052">
        <f>$C1052*G1051</f>
        <v/>
      </c>
      <c r="H1052">
        <f>$C1052*H1051</f>
        <v/>
      </c>
      <c r="I1052">
        <f>$C1052*I1051</f>
        <v/>
      </c>
      <c r="J1052">
        <f>$C1052*J1051</f>
        <v/>
      </c>
      <c r="K1052">
        <f>$C1052*K1051</f>
        <v/>
      </c>
      <c r="L1052">
        <f>$C1052*L1051</f>
        <v/>
      </c>
      <c r="M1052">
        <f>$C1052*M1051</f>
        <v/>
      </c>
      <c r="N1052">
        <f>$C1052*N1051</f>
        <v/>
      </c>
      <c r="O1052">
        <f>$C1052*O1051</f>
        <v/>
      </c>
      <c r="P1052">
        <f>$C1052*P1051</f>
        <v/>
      </c>
      <c r="Q1052">
        <f>$C1052*Q1051</f>
        <v/>
      </c>
      <c r="R1052">
        <f>$C1052*R1051</f>
        <v/>
      </c>
      <c r="S1052">
        <f>$C1052*S1051</f>
        <v/>
      </c>
      <c r="T1052">
        <f>$C1052*T1051</f>
        <v/>
      </c>
      <c r="U1052">
        <f>$C1052*U1051</f>
        <v/>
      </c>
      <c r="V1052">
        <f>$C1052*V1051</f>
        <v/>
      </c>
      <c r="W1052">
        <f>$C1052*W1051</f>
        <v/>
      </c>
      <c r="X1052">
        <f>$C1052*X1051</f>
        <v/>
      </c>
      <c r="Y1052">
        <f>$C1052*Y1051</f>
        <v/>
      </c>
      <c r="Z1052">
        <f>$C1052*Z1051</f>
        <v/>
      </c>
      <c r="AA1052">
        <f>$C1052*AA1051</f>
        <v/>
      </c>
      <c r="AB1052">
        <f>$C1052*AB1051</f>
        <v/>
      </c>
      <c r="AC1052">
        <f>$C1052*AC1051</f>
        <v/>
      </c>
      <c r="AD1052">
        <f>$C1052*AD1051</f>
        <v/>
      </c>
      <c r="AE1052">
        <f>$C1052*AE1051</f>
        <v/>
      </c>
      <c r="AF1052">
        <f>$C1052*AF1051</f>
        <v/>
      </c>
      <c r="AG1052">
        <f>$C1052*AG1051</f>
        <v/>
      </c>
      <c r="AH1052">
        <f>$C1052*AH1051</f>
        <v/>
      </c>
      <c r="AI1052">
        <f>$C1052*AI1051</f>
        <v/>
      </c>
      <c r="AJ1052">
        <f>$C1052*AJ1051</f>
        <v/>
      </c>
      <c r="AK1052">
        <f>$C1052*AK1051</f>
        <v/>
      </c>
      <c r="AL1052">
        <f>$C1052*AL1051</f>
        <v/>
      </c>
      <c r="AM1052">
        <f>$C1052*AM1051</f>
        <v/>
      </c>
      <c r="AN1052">
        <f>$C1052*AN1051</f>
        <v/>
      </c>
      <c r="AO1052">
        <f>$C1052*AO1051</f>
        <v/>
      </c>
      <c r="AP1052">
        <f>$C1052*AP1051</f>
        <v/>
      </c>
      <c r="AQ1052">
        <f>$C1052*AQ1051</f>
        <v/>
      </c>
      <c r="AR1052">
        <f>$C1052*AR1051</f>
        <v/>
      </c>
      <c r="AS1052">
        <f>$C1052*AS1051</f>
        <v/>
      </c>
      <c r="AT1052">
        <f>$C1052*AT1051</f>
        <v/>
      </c>
      <c r="AU1052">
        <f>$C1052*AU1051</f>
        <v/>
      </c>
      <c r="AV1052">
        <f>$C1052*AV1051</f>
        <v/>
      </c>
      <c r="AW1052">
        <f>$C1052*AW1051</f>
        <v/>
      </c>
      <c r="AX1052">
        <f>$C1052*AX1051</f>
        <v/>
      </c>
      <c r="AY1052">
        <f>$C1052*AY1051</f>
        <v/>
      </c>
      <c r="AZ1052">
        <f>$C1052*AZ1051</f>
        <v/>
      </c>
      <c r="BA1052">
        <f>$C1052*BA1051</f>
        <v/>
      </c>
      <c r="BB1052">
        <f>$C1052*BB1051</f>
        <v/>
      </c>
      <c r="BC1052">
        <f>$C1052*BC1051</f>
        <v/>
      </c>
      <c r="BD1052">
        <f>$C1052*BD1051</f>
        <v/>
      </c>
      <c r="BE1052">
        <f>$C1052*BE1051</f>
        <v/>
      </c>
      <c r="BF1052">
        <f>$C1052*BF1051</f>
        <v/>
      </c>
      <c r="BG1052">
        <f>$C1052*BG1051</f>
        <v/>
      </c>
      <c r="BH1052">
        <f>$C1052*BH1051</f>
        <v/>
      </c>
      <c r="BI1052">
        <f>$C1052*BI1051</f>
        <v/>
      </c>
      <c r="BJ1052">
        <f>$C1052*BJ1051</f>
        <v/>
      </c>
      <c r="BK1052">
        <f>$C1052*BK1051</f>
        <v/>
      </c>
      <c r="BL1052">
        <f>$C1052*BL1051</f>
        <v/>
      </c>
      <c r="BM1052">
        <f>$C1052*BM1051</f>
        <v/>
      </c>
      <c r="BN1052">
        <f>$C1052*BN1051</f>
        <v/>
      </c>
      <c r="BO1052">
        <f>$C1052*BO1051</f>
        <v/>
      </c>
      <c r="BP1052">
        <f>$C1052*BP1051</f>
        <v/>
      </c>
      <c r="BQ1052">
        <f>$C1052*BQ1051</f>
        <v/>
      </c>
      <c r="BR1052">
        <f>$C1052*BR1051</f>
        <v/>
      </c>
      <c r="BS1052">
        <f>$C1052*BS1051</f>
        <v/>
      </c>
      <c r="BT1052">
        <f>$C1052*BT1051</f>
        <v/>
      </c>
      <c r="BU1052">
        <f>$C1052*BU1051</f>
        <v/>
      </c>
      <c r="BV1052">
        <f>$C1052*BV1051</f>
        <v/>
      </c>
      <c r="BW1052">
        <f>$C1052*BW1051</f>
        <v/>
      </c>
      <c r="BX1052">
        <f>$C1052*BX1051</f>
        <v/>
      </c>
      <c r="BY1052">
        <f>$C1052*BY1051</f>
        <v/>
      </c>
      <c r="BZ1052">
        <f>$C1052*BZ1051</f>
        <v/>
      </c>
      <c r="CA1052">
        <f>$C1052*CA1051</f>
        <v/>
      </c>
      <c r="CB1052">
        <f>$C1052*CB1051</f>
        <v/>
      </c>
      <c r="CC1052">
        <f>$C1052*CC1051</f>
        <v/>
      </c>
      <c r="CD1052">
        <f>$C1052*CD1051</f>
        <v/>
      </c>
      <c r="CE1052">
        <f>$C1052*CE1051</f>
        <v/>
      </c>
      <c r="CF1052">
        <f>$C1052*CF1051</f>
        <v/>
      </c>
      <c r="CG1052">
        <f>$C1052*CG1051</f>
        <v/>
      </c>
      <c r="CH1052">
        <f>$C1052*CH1051</f>
        <v/>
      </c>
      <c r="CI1052">
        <f>$C1052*CI1051</f>
        <v/>
      </c>
      <c r="CJ1052">
        <f>$C1052*CJ1051</f>
        <v/>
      </c>
      <c r="CK1052">
        <f>$C1052*CK1051</f>
        <v/>
      </c>
      <c r="CL1052">
        <f>$C1052*CL1051</f>
        <v/>
      </c>
      <c r="CM1052">
        <f>$C1052*CM1051</f>
        <v/>
      </c>
      <c r="CN1052">
        <f>$C1052*CN1051</f>
        <v/>
      </c>
      <c r="CO1052">
        <f>$C1052*CO1051</f>
        <v/>
      </c>
      <c r="CP1052">
        <f>$C1052*CP1051</f>
        <v/>
      </c>
      <c r="CQ1052">
        <f>$C1052*CQ1051</f>
        <v/>
      </c>
      <c r="CR1052">
        <f>$C1052*CR1051</f>
        <v/>
      </c>
      <c r="CS1052">
        <f>$C1052*CS1051</f>
        <v/>
      </c>
      <c r="CT1052">
        <f>$C1052*CT1051</f>
        <v/>
      </c>
      <c r="CU1052">
        <f>$C1052*CU1051</f>
        <v/>
      </c>
      <c r="CV1052">
        <f>$C1052*CV1051</f>
        <v/>
      </c>
      <c r="CW1052">
        <f>$C1052*CW1051</f>
        <v/>
      </c>
      <c r="CX1052">
        <f>$C1052*CX1051</f>
        <v/>
      </c>
      <c r="CY1052">
        <f>$C1052*CY1051</f>
        <v/>
      </c>
      <c r="CZ1052">
        <f>$C1052*CZ1051</f>
        <v/>
      </c>
      <c r="DA1052">
        <f>$C1052*DA1051</f>
        <v/>
      </c>
      <c r="DB1052">
        <f>$C1052*DB1051</f>
        <v/>
      </c>
      <c r="DC1052">
        <f>$C1052*DC1051</f>
        <v/>
      </c>
    </row>
    <row r="1053">
      <c r="B1053" t="inlineStr">
        <is>
          <t>VSP-822</t>
        </is>
      </c>
      <c r="C1053" t="inlineStr">
        <is>
          <t>No. of batches</t>
        </is>
      </c>
      <c r="D1053">
        <f>IFERROR(INDEX(PP_Grid[#Data],$DD1053,2),0)</f>
        <v/>
      </c>
      <c r="E1053">
        <f>IFERROR(INDEX(PP_Grid[#Data],$DD1053,3),0)</f>
        <v/>
      </c>
      <c r="F1053">
        <f>IFERROR(INDEX(PP_Grid[#Data],$DD1053,4),0)</f>
        <v/>
      </c>
      <c r="G1053">
        <f>IFERROR(INDEX(PP_Grid[#Data],$DD1053,5),0)</f>
        <v/>
      </c>
      <c r="H1053">
        <f>IFERROR(INDEX(PP_Grid[#Data],$DD1053,6),0)</f>
        <v/>
      </c>
      <c r="I1053">
        <f>IFERROR(INDEX(PP_Grid[#Data],$DD1053,7),0)</f>
        <v/>
      </c>
      <c r="J1053">
        <f>IFERROR(INDEX(PP_Grid[#Data],$DD1053,8),0)</f>
        <v/>
      </c>
      <c r="K1053">
        <f>IFERROR(INDEX(PP_Grid[#Data],$DD1053,9),0)</f>
        <v/>
      </c>
      <c r="L1053">
        <f>IFERROR(INDEX(PP_Grid[#Data],$DD1053,10),0)</f>
        <v/>
      </c>
      <c r="M1053">
        <f>IFERROR(INDEX(PP_Grid[#Data],$DD1053,11),0)</f>
        <v/>
      </c>
      <c r="N1053">
        <f>IFERROR(INDEX(PP_Grid[#Data],$DD1053,12),0)</f>
        <v/>
      </c>
      <c r="O1053">
        <f>IFERROR(INDEX(PP_Grid[#Data],$DD1053,13),0)</f>
        <v/>
      </c>
      <c r="P1053">
        <f>IFERROR(INDEX(PP_Grid[#Data],$DD1053,14),0)</f>
        <v/>
      </c>
      <c r="Q1053">
        <f>IFERROR(INDEX(PP_Grid[#Data],$DD1053,15),0)</f>
        <v/>
      </c>
      <c r="R1053">
        <f>IFERROR(INDEX(PP_Grid[#Data],$DD1053,16),0)</f>
        <v/>
      </c>
      <c r="S1053">
        <f>IFERROR(INDEX(PP_Grid[#Data],$DD1053,17),0)</f>
        <v/>
      </c>
      <c r="T1053">
        <f>IFERROR(INDEX(PP_Grid[#Data],$DD1053,18),0)</f>
        <v/>
      </c>
      <c r="U1053">
        <f>IFERROR(INDEX(PP_Grid[#Data],$DD1053,19),0)</f>
        <v/>
      </c>
      <c r="V1053">
        <f>IFERROR(INDEX(PP_Grid[#Data],$DD1053,20),0)</f>
        <v/>
      </c>
      <c r="W1053">
        <f>IFERROR(INDEX(PP_Grid[#Data],$DD1053,21),0)</f>
        <v/>
      </c>
      <c r="X1053">
        <f>IFERROR(INDEX(PP_Grid[#Data],$DD1053,22),0)</f>
        <v/>
      </c>
      <c r="Y1053">
        <f>IFERROR(INDEX(PP_Grid[#Data],$DD1053,23),0)</f>
        <v/>
      </c>
      <c r="Z1053">
        <f>IFERROR(INDEX(PP_Grid[#Data],$DD1053,24),0)</f>
        <v/>
      </c>
      <c r="AA1053">
        <f>IFERROR(INDEX(PP_Grid[#Data],$DD1053,25),0)</f>
        <v/>
      </c>
      <c r="AB1053">
        <f>IFERROR(INDEX(PP_Grid[#Data],$DD1053,26),0)</f>
        <v/>
      </c>
      <c r="AC1053">
        <f>IFERROR(INDEX(PP_Grid[#Data],$DD1053,27),0)</f>
        <v/>
      </c>
      <c r="AD1053">
        <f>IFERROR(INDEX(PP_Grid[#Data],$DD1053,28),0)</f>
        <v/>
      </c>
      <c r="AE1053">
        <f>IFERROR(INDEX(PP_Grid[#Data],$DD1053,29),0)</f>
        <v/>
      </c>
      <c r="AF1053">
        <f>IFERROR(INDEX(PP_Grid[#Data],$DD1053,30),0)</f>
        <v/>
      </c>
      <c r="AG1053">
        <f>IFERROR(INDEX(PP_Grid[#Data],$DD1053,31),0)</f>
        <v/>
      </c>
      <c r="AH1053">
        <f>IFERROR(INDEX(PP_Grid[#Data],$DD1053,32),0)</f>
        <v/>
      </c>
      <c r="AI1053">
        <f>IFERROR(INDEX(PP_Grid[#Data],$DD1053,33),0)</f>
        <v/>
      </c>
      <c r="AJ1053">
        <f>IFERROR(INDEX(PP_Grid[#Data],$DD1053,34),0)</f>
        <v/>
      </c>
      <c r="AK1053">
        <f>IFERROR(INDEX(PP_Grid[#Data],$DD1053,35),0)</f>
        <v/>
      </c>
      <c r="AL1053">
        <f>IFERROR(INDEX(PP_Grid[#Data],$DD1053,36),0)</f>
        <v/>
      </c>
      <c r="AM1053">
        <f>IFERROR(INDEX(PP_Grid[#Data],$DD1053,37),0)</f>
        <v/>
      </c>
      <c r="AN1053">
        <f>IFERROR(INDEX(PP_Grid[#Data],$DD1053,38),0)</f>
        <v/>
      </c>
      <c r="AO1053">
        <f>IFERROR(INDEX(PP_Grid[#Data],$DD1053,39),0)</f>
        <v/>
      </c>
      <c r="AP1053">
        <f>IFERROR(INDEX(PP_Grid[#Data],$DD1053,40),0)</f>
        <v/>
      </c>
      <c r="AQ1053">
        <f>IFERROR(INDEX(PP_Grid[#Data],$DD1053,41),0)</f>
        <v/>
      </c>
      <c r="AR1053">
        <f>IFERROR(INDEX(PP_Grid[#Data],$DD1053,42),0)</f>
        <v/>
      </c>
      <c r="AS1053">
        <f>IFERROR(INDEX(PP_Grid[#Data],$DD1053,43),0)</f>
        <v/>
      </c>
      <c r="AT1053">
        <f>IFERROR(INDEX(PP_Grid[#Data],$DD1053,44),0)</f>
        <v/>
      </c>
      <c r="AU1053">
        <f>IFERROR(INDEX(PP_Grid[#Data],$DD1053,45),0)</f>
        <v/>
      </c>
      <c r="AV1053">
        <f>IFERROR(INDEX(PP_Grid[#Data],$DD1053,46),0)</f>
        <v/>
      </c>
      <c r="AW1053">
        <f>IFERROR(INDEX(PP_Grid[#Data],$DD1053,47),0)</f>
        <v/>
      </c>
      <c r="AX1053">
        <f>IFERROR(INDEX(PP_Grid[#Data],$DD1053,48),0)</f>
        <v/>
      </c>
      <c r="AY1053">
        <f>IFERROR(INDEX(PP_Grid[#Data],$DD1053,49),0)</f>
        <v/>
      </c>
      <c r="AZ1053">
        <f>IFERROR(INDEX(PP_Grid[#Data],$DD1053,50),0)</f>
        <v/>
      </c>
      <c r="BA1053">
        <f>IFERROR(INDEX(PP_Grid[#Data],$DD1053,51),0)</f>
        <v/>
      </c>
      <c r="BB1053">
        <f>IFERROR(INDEX(PP_Grid[#Data],$DD1053,52),0)</f>
        <v/>
      </c>
      <c r="BC1053">
        <f>IFERROR(INDEX(PP_Grid[#Data],$DD1053,53),0)</f>
        <v/>
      </c>
      <c r="BD1053">
        <f>IFERROR(INDEX(PP_Grid[#Data],$DD1053,54),0)</f>
        <v/>
      </c>
      <c r="BE1053">
        <f>IFERROR(INDEX(PP_Grid[#Data],$DD1053,55),0)</f>
        <v/>
      </c>
      <c r="BF1053">
        <f>IFERROR(INDEX(PP_Grid[#Data],$DD1053,56),0)</f>
        <v/>
      </c>
      <c r="BG1053">
        <f>IFERROR(INDEX(PP_Grid[#Data],$DD1053,57),0)</f>
        <v/>
      </c>
      <c r="BH1053">
        <f>IFERROR(INDEX(PP_Grid[#Data],$DD1053,58),0)</f>
        <v/>
      </c>
      <c r="BI1053">
        <f>IFERROR(INDEX(PP_Grid[#Data],$DD1053,59),0)</f>
        <v/>
      </c>
      <c r="BJ1053">
        <f>IFERROR(INDEX(PP_Grid[#Data],$DD1053,60),0)</f>
        <v/>
      </c>
      <c r="BK1053">
        <f>IFERROR(INDEX(PP_Grid[#Data],$DD1053,61),0)</f>
        <v/>
      </c>
      <c r="BL1053">
        <f>IFERROR(INDEX(PP_Grid[#Data],$DD1053,62),0)</f>
        <v/>
      </c>
      <c r="BM1053">
        <f>IFERROR(INDEX(PP_Grid[#Data],$DD1053,63),0)</f>
        <v/>
      </c>
      <c r="BN1053">
        <f>IFERROR(INDEX(PP_Grid[#Data],$DD1053,64),0)</f>
        <v/>
      </c>
      <c r="BO1053">
        <f>IFERROR(INDEX(PP_Grid[#Data],$DD1053,65),0)</f>
        <v/>
      </c>
      <c r="BP1053">
        <f>IFERROR(INDEX(PP_Grid[#Data],$DD1053,66),0)</f>
        <v/>
      </c>
      <c r="BQ1053">
        <f>IFERROR(INDEX(PP_Grid[#Data],$DD1053,67),0)</f>
        <v/>
      </c>
      <c r="BR1053">
        <f>IFERROR(INDEX(PP_Grid[#Data],$DD1053,68),0)</f>
        <v/>
      </c>
      <c r="BS1053">
        <f>IFERROR(INDEX(PP_Grid[#Data],$DD1053,69),0)</f>
        <v/>
      </c>
      <c r="BT1053">
        <f>IFERROR(INDEX(PP_Grid[#Data],$DD1053,70),0)</f>
        <v/>
      </c>
      <c r="BU1053">
        <f>IFERROR(INDEX(PP_Grid[#Data],$DD1053,71),0)</f>
        <v/>
      </c>
      <c r="BV1053">
        <f>IFERROR(INDEX(PP_Grid[#Data],$DD1053,72),0)</f>
        <v/>
      </c>
      <c r="BW1053">
        <f>IFERROR(INDEX(PP_Grid[#Data],$DD1053,73),0)</f>
        <v/>
      </c>
      <c r="BX1053">
        <f>IFERROR(INDEX(PP_Grid[#Data],$DD1053,74),0)</f>
        <v/>
      </c>
      <c r="BY1053">
        <f>IFERROR(INDEX(PP_Grid[#Data],$DD1053,75),0)</f>
        <v/>
      </c>
      <c r="BZ1053">
        <f>IFERROR(INDEX(PP_Grid[#Data],$DD1053,76),0)</f>
        <v/>
      </c>
      <c r="CA1053">
        <f>IFERROR(INDEX(PP_Grid[#Data],$DD1053,77),0)</f>
        <v/>
      </c>
      <c r="CB1053">
        <f>IFERROR(INDEX(PP_Grid[#Data],$DD1053,78),0)</f>
        <v/>
      </c>
      <c r="CC1053">
        <f>IFERROR(INDEX(PP_Grid[#Data],$DD1053,79),0)</f>
        <v/>
      </c>
      <c r="CD1053">
        <f>IFERROR(INDEX(PP_Grid[#Data],$DD1053,80),0)</f>
        <v/>
      </c>
      <c r="CE1053">
        <f>IFERROR(INDEX(PP_Grid[#Data],$DD1053,81),0)</f>
        <v/>
      </c>
      <c r="CF1053">
        <f>IFERROR(INDEX(PP_Grid[#Data],$DD1053,82),0)</f>
        <v/>
      </c>
      <c r="CG1053">
        <f>IFERROR(INDEX(PP_Grid[#Data],$DD1053,83),0)</f>
        <v/>
      </c>
      <c r="CH1053">
        <f>IFERROR(INDEX(PP_Grid[#Data],$DD1053,84),0)</f>
        <v/>
      </c>
      <c r="CI1053">
        <f>IFERROR(INDEX(PP_Grid[#Data],$DD1053,85),0)</f>
        <v/>
      </c>
      <c r="CJ1053">
        <f>IFERROR(INDEX(PP_Grid[#Data],$DD1053,86),0)</f>
        <v/>
      </c>
      <c r="CK1053">
        <f>IFERROR(INDEX(PP_Grid[#Data],$DD1053,87),0)</f>
        <v/>
      </c>
      <c r="CL1053">
        <f>IFERROR(INDEX(PP_Grid[#Data],$DD1053,88),0)</f>
        <v/>
      </c>
      <c r="CM1053">
        <f>IFERROR(INDEX(PP_Grid[#Data],$DD1053,89),0)</f>
        <v/>
      </c>
      <c r="CN1053">
        <f>IFERROR(INDEX(PP_Grid[#Data],$DD1053,90),0)</f>
        <v/>
      </c>
      <c r="CO1053">
        <f>IFERROR(INDEX(PP_Grid[#Data],$DD1053,91),0)</f>
        <v/>
      </c>
      <c r="CP1053">
        <f>IFERROR(INDEX(PP_Grid[#Data],$DD1053,92),0)</f>
        <v/>
      </c>
      <c r="CQ1053">
        <f>IFERROR(INDEX(PP_Grid[#Data],$DD1053,93),0)</f>
        <v/>
      </c>
      <c r="CR1053">
        <f>IFERROR(INDEX(PP_Grid[#Data],$DD1053,94),0)</f>
        <v/>
      </c>
      <c r="CS1053">
        <f>IFERROR(INDEX(PP_Grid[#Data],$DD1053,95),0)</f>
        <v/>
      </c>
      <c r="CT1053">
        <f>IFERROR(INDEX(PP_Grid[#Data],$DD1053,96),0)</f>
        <v/>
      </c>
      <c r="CU1053">
        <f>IFERROR(INDEX(PP_Grid[#Data],$DD1053,97),0)</f>
        <v/>
      </c>
      <c r="CV1053">
        <f>IFERROR(INDEX(PP_Grid[#Data],$DD1053,98),0)</f>
        <v/>
      </c>
      <c r="CW1053">
        <f>IFERROR(INDEX(PP_Grid[#Data],$DD1053,99),0)</f>
        <v/>
      </c>
      <c r="CX1053">
        <f>IFERROR(INDEX(PP_Grid[#Data],$DD1053,100),0)</f>
        <v/>
      </c>
      <c r="CY1053">
        <f>IFERROR(INDEX(PP_Grid[#Data],$DD1053,101),0)</f>
        <v/>
      </c>
      <c r="CZ1053">
        <f>IFERROR(INDEX(PP_Grid[#Data],$DD1053,102),0)</f>
        <v/>
      </c>
      <c r="DA1053">
        <f>IFERROR(INDEX(PP_Grid[#Data],$DD1053,103),0)</f>
        <v/>
      </c>
      <c r="DB1053">
        <f>IFERROR(INDEX(PP_Grid[#Data],$DD1053,104),0)</f>
        <v/>
      </c>
      <c r="DC1053">
        <f>IFERROR(INDEX(PP_Grid[#Data],$DD1053,105),0)</f>
        <v/>
      </c>
      <c r="DD1053" s="12">
        <f>IFERROR(MATCH($B1053,PP_Grid[Intermediate],0),99999)</f>
        <v/>
      </c>
    </row>
    <row r="1054">
      <c r="B1054" t="inlineStr">
        <is>
          <t>使用量(kg)</t>
        </is>
      </c>
      <c r="C1054">
        <f>SUMIFS(M_BOM[RM_Qty_Per_Batch],M_BOM[Intermediate],$B1053,M_BOM[Part Name],$A988)</f>
        <v/>
      </c>
      <c r="D1054">
        <f>$C1054*D1053</f>
        <v/>
      </c>
      <c r="E1054">
        <f>$C1054*E1053</f>
        <v/>
      </c>
      <c r="F1054">
        <f>$C1054*F1053</f>
        <v/>
      </c>
      <c r="G1054">
        <f>$C1054*G1053</f>
        <v/>
      </c>
      <c r="H1054">
        <f>$C1054*H1053</f>
        <v/>
      </c>
      <c r="I1054">
        <f>$C1054*I1053</f>
        <v/>
      </c>
      <c r="J1054">
        <f>$C1054*J1053</f>
        <v/>
      </c>
      <c r="K1054">
        <f>$C1054*K1053</f>
        <v/>
      </c>
      <c r="L1054">
        <f>$C1054*L1053</f>
        <v/>
      </c>
      <c r="M1054">
        <f>$C1054*M1053</f>
        <v/>
      </c>
      <c r="N1054">
        <f>$C1054*N1053</f>
        <v/>
      </c>
      <c r="O1054">
        <f>$C1054*O1053</f>
        <v/>
      </c>
      <c r="P1054">
        <f>$C1054*P1053</f>
        <v/>
      </c>
      <c r="Q1054">
        <f>$C1054*Q1053</f>
        <v/>
      </c>
      <c r="R1054">
        <f>$C1054*R1053</f>
        <v/>
      </c>
      <c r="S1054">
        <f>$C1054*S1053</f>
        <v/>
      </c>
      <c r="T1054">
        <f>$C1054*T1053</f>
        <v/>
      </c>
      <c r="U1054">
        <f>$C1054*U1053</f>
        <v/>
      </c>
      <c r="V1054">
        <f>$C1054*V1053</f>
        <v/>
      </c>
      <c r="W1054">
        <f>$C1054*W1053</f>
        <v/>
      </c>
      <c r="X1054">
        <f>$C1054*X1053</f>
        <v/>
      </c>
      <c r="Y1054">
        <f>$C1054*Y1053</f>
        <v/>
      </c>
      <c r="Z1054">
        <f>$C1054*Z1053</f>
        <v/>
      </c>
      <c r="AA1054">
        <f>$C1054*AA1053</f>
        <v/>
      </c>
      <c r="AB1054">
        <f>$C1054*AB1053</f>
        <v/>
      </c>
      <c r="AC1054">
        <f>$C1054*AC1053</f>
        <v/>
      </c>
      <c r="AD1054">
        <f>$C1054*AD1053</f>
        <v/>
      </c>
      <c r="AE1054">
        <f>$C1054*AE1053</f>
        <v/>
      </c>
      <c r="AF1054">
        <f>$C1054*AF1053</f>
        <v/>
      </c>
      <c r="AG1054">
        <f>$C1054*AG1053</f>
        <v/>
      </c>
      <c r="AH1054">
        <f>$C1054*AH1053</f>
        <v/>
      </c>
      <c r="AI1054">
        <f>$C1054*AI1053</f>
        <v/>
      </c>
      <c r="AJ1054">
        <f>$C1054*AJ1053</f>
        <v/>
      </c>
      <c r="AK1054">
        <f>$C1054*AK1053</f>
        <v/>
      </c>
      <c r="AL1054">
        <f>$C1054*AL1053</f>
        <v/>
      </c>
      <c r="AM1054">
        <f>$C1054*AM1053</f>
        <v/>
      </c>
      <c r="AN1054">
        <f>$C1054*AN1053</f>
        <v/>
      </c>
      <c r="AO1054">
        <f>$C1054*AO1053</f>
        <v/>
      </c>
      <c r="AP1054">
        <f>$C1054*AP1053</f>
        <v/>
      </c>
      <c r="AQ1054">
        <f>$C1054*AQ1053</f>
        <v/>
      </c>
      <c r="AR1054">
        <f>$C1054*AR1053</f>
        <v/>
      </c>
      <c r="AS1054">
        <f>$C1054*AS1053</f>
        <v/>
      </c>
      <c r="AT1054">
        <f>$C1054*AT1053</f>
        <v/>
      </c>
      <c r="AU1054">
        <f>$C1054*AU1053</f>
        <v/>
      </c>
      <c r="AV1054">
        <f>$C1054*AV1053</f>
        <v/>
      </c>
      <c r="AW1054">
        <f>$C1054*AW1053</f>
        <v/>
      </c>
      <c r="AX1054">
        <f>$C1054*AX1053</f>
        <v/>
      </c>
      <c r="AY1054">
        <f>$C1054*AY1053</f>
        <v/>
      </c>
      <c r="AZ1054">
        <f>$C1054*AZ1053</f>
        <v/>
      </c>
      <c r="BA1054">
        <f>$C1054*BA1053</f>
        <v/>
      </c>
      <c r="BB1054">
        <f>$C1054*BB1053</f>
        <v/>
      </c>
      <c r="BC1054">
        <f>$C1054*BC1053</f>
        <v/>
      </c>
      <c r="BD1054">
        <f>$C1054*BD1053</f>
        <v/>
      </c>
      <c r="BE1054">
        <f>$C1054*BE1053</f>
        <v/>
      </c>
      <c r="BF1054">
        <f>$C1054*BF1053</f>
        <v/>
      </c>
      <c r="BG1054">
        <f>$C1054*BG1053</f>
        <v/>
      </c>
      <c r="BH1054">
        <f>$C1054*BH1053</f>
        <v/>
      </c>
      <c r="BI1054">
        <f>$C1054*BI1053</f>
        <v/>
      </c>
      <c r="BJ1054">
        <f>$C1054*BJ1053</f>
        <v/>
      </c>
      <c r="BK1054">
        <f>$C1054*BK1053</f>
        <v/>
      </c>
      <c r="BL1054">
        <f>$C1054*BL1053</f>
        <v/>
      </c>
      <c r="BM1054">
        <f>$C1054*BM1053</f>
        <v/>
      </c>
      <c r="BN1054">
        <f>$C1054*BN1053</f>
        <v/>
      </c>
      <c r="BO1054">
        <f>$C1054*BO1053</f>
        <v/>
      </c>
      <c r="BP1054">
        <f>$C1054*BP1053</f>
        <v/>
      </c>
      <c r="BQ1054">
        <f>$C1054*BQ1053</f>
        <v/>
      </c>
      <c r="BR1054">
        <f>$C1054*BR1053</f>
        <v/>
      </c>
      <c r="BS1054">
        <f>$C1054*BS1053</f>
        <v/>
      </c>
      <c r="BT1054">
        <f>$C1054*BT1053</f>
        <v/>
      </c>
      <c r="BU1054">
        <f>$C1054*BU1053</f>
        <v/>
      </c>
      <c r="BV1054">
        <f>$C1054*BV1053</f>
        <v/>
      </c>
      <c r="BW1054">
        <f>$C1054*BW1053</f>
        <v/>
      </c>
      <c r="BX1054">
        <f>$C1054*BX1053</f>
        <v/>
      </c>
      <c r="BY1054">
        <f>$C1054*BY1053</f>
        <v/>
      </c>
      <c r="BZ1054">
        <f>$C1054*BZ1053</f>
        <v/>
      </c>
      <c r="CA1054">
        <f>$C1054*CA1053</f>
        <v/>
      </c>
      <c r="CB1054">
        <f>$C1054*CB1053</f>
        <v/>
      </c>
      <c r="CC1054">
        <f>$C1054*CC1053</f>
        <v/>
      </c>
      <c r="CD1054">
        <f>$C1054*CD1053</f>
        <v/>
      </c>
      <c r="CE1054">
        <f>$C1054*CE1053</f>
        <v/>
      </c>
      <c r="CF1054">
        <f>$C1054*CF1053</f>
        <v/>
      </c>
      <c r="CG1054">
        <f>$C1054*CG1053</f>
        <v/>
      </c>
      <c r="CH1054">
        <f>$C1054*CH1053</f>
        <v/>
      </c>
      <c r="CI1054">
        <f>$C1054*CI1053</f>
        <v/>
      </c>
      <c r="CJ1054">
        <f>$C1054*CJ1053</f>
        <v/>
      </c>
      <c r="CK1054">
        <f>$C1054*CK1053</f>
        <v/>
      </c>
      <c r="CL1054">
        <f>$C1054*CL1053</f>
        <v/>
      </c>
      <c r="CM1054">
        <f>$C1054*CM1053</f>
        <v/>
      </c>
      <c r="CN1054">
        <f>$C1054*CN1053</f>
        <v/>
      </c>
      <c r="CO1054">
        <f>$C1054*CO1053</f>
        <v/>
      </c>
      <c r="CP1054">
        <f>$C1054*CP1053</f>
        <v/>
      </c>
      <c r="CQ1054">
        <f>$C1054*CQ1053</f>
        <v/>
      </c>
      <c r="CR1054">
        <f>$C1054*CR1053</f>
        <v/>
      </c>
      <c r="CS1054">
        <f>$C1054*CS1053</f>
        <v/>
      </c>
      <c r="CT1054">
        <f>$C1054*CT1053</f>
        <v/>
      </c>
      <c r="CU1054">
        <f>$C1054*CU1053</f>
        <v/>
      </c>
      <c r="CV1054">
        <f>$C1054*CV1053</f>
        <v/>
      </c>
      <c r="CW1054">
        <f>$C1054*CW1053</f>
        <v/>
      </c>
      <c r="CX1054">
        <f>$C1054*CX1053</f>
        <v/>
      </c>
      <c r="CY1054">
        <f>$C1054*CY1053</f>
        <v/>
      </c>
      <c r="CZ1054">
        <f>$C1054*CZ1053</f>
        <v/>
      </c>
      <c r="DA1054">
        <f>$C1054*DA1053</f>
        <v/>
      </c>
      <c r="DB1054">
        <f>$C1054*DB1053</f>
        <v/>
      </c>
      <c r="DC1054">
        <f>$C1054*DC1053</f>
        <v/>
      </c>
    </row>
    <row r="1055">
      <c r="B1055" t="inlineStr">
        <is>
          <t>VSP-910</t>
        </is>
      </c>
      <c r="C1055" t="inlineStr">
        <is>
          <t>No. of batches</t>
        </is>
      </c>
      <c r="D1055">
        <f>IFERROR(INDEX(PP_Grid[#Data],$DD1055,2),0)</f>
        <v/>
      </c>
      <c r="E1055">
        <f>IFERROR(INDEX(PP_Grid[#Data],$DD1055,3),0)</f>
        <v/>
      </c>
      <c r="F1055">
        <f>IFERROR(INDEX(PP_Grid[#Data],$DD1055,4),0)</f>
        <v/>
      </c>
      <c r="G1055">
        <f>IFERROR(INDEX(PP_Grid[#Data],$DD1055,5),0)</f>
        <v/>
      </c>
      <c r="H1055">
        <f>IFERROR(INDEX(PP_Grid[#Data],$DD1055,6),0)</f>
        <v/>
      </c>
      <c r="I1055">
        <f>IFERROR(INDEX(PP_Grid[#Data],$DD1055,7),0)</f>
        <v/>
      </c>
      <c r="J1055">
        <f>IFERROR(INDEX(PP_Grid[#Data],$DD1055,8),0)</f>
        <v/>
      </c>
      <c r="K1055">
        <f>IFERROR(INDEX(PP_Grid[#Data],$DD1055,9),0)</f>
        <v/>
      </c>
      <c r="L1055">
        <f>IFERROR(INDEX(PP_Grid[#Data],$DD1055,10),0)</f>
        <v/>
      </c>
      <c r="M1055">
        <f>IFERROR(INDEX(PP_Grid[#Data],$DD1055,11),0)</f>
        <v/>
      </c>
      <c r="N1055">
        <f>IFERROR(INDEX(PP_Grid[#Data],$DD1055,12),0)</f>
        <v/>
      </c>
      <c r="O1055">
        <f>IFERROR(INDEX(PP_Grid[#Data],$DD1055,13),0)</f>
        <v/>
      </c>
      <c r="P1055">
        <f>IFERROR(INDEX(PP_Grid[#Data],$DD1055,14),0)</f>
        <v/>
      </c>
      <c r="Q1055">
        <f>IFERROR(INDEX(PP_Grid[#Data],$DD1055,15),0)</f>
        <v/>
      </c>
      <c r="R1055">
        <f>IFERROR(INDEX(PP_Grid[#Data],$DD1055,16),0)</f>
        <v/>
      </c>
      <c r="S1055">
        <f>IFERROR(INDEX(PP_Grid[#Data],$DD1055,17),0)</f>
        <v/>
      </c>
      <c r="T1055">
        <f>IFERROR(INDEX(PP_Grid[#Data],$DD1055,18),0)</f>
        <v/>
      </c>
      <c r="U1055">
        <f>IFERROR(INDEX(PP_Grid[#Data],$DD1055,19),0)</f>
        <v/>
      </c>
      <c r="V1055">
        <f>IFERROR(INDEX(PP_Grid[#Data],$DD1055,20),0)</f>
        <v/>
      </c>
      <c r="W1055">
        <f>IFERROR(INDEX(PP_Grid[#Data],$DD1055,21),0)</f>
        <v/>
      </c>
      <c r="X1055">
        <f>IFERROR(INDEX(PP_Grid[#Data],$DD1055,22),0)</f>
        <v/>
      </c>
      <c r="Y1055">
        <f>IFERROR(INDEX(PP_Grid[#Data],$DD1055,23),0)</f>
        <v/>
      </c>
      <c r="Z1055">
        <f>IFERROR(INDEX(PP_Grid[#Data],$DD1055,24),0)</f>
        <v/>
      </c>
      <c r="AA1055">
        <f>IFERROR(INDEX(PP_Grid[#Data],$DD1055,25),0)</f>
        <v/>
      </c>
      <c r="AB1055">
        <f>IFERROR(INDEX(PP_Grid[#Data],$DD1055,26),0)</f>
        <v/>
      </c>
      <c r="AC1055">
        <f>IFERROR(INDEX(PP_Grid[#Data],$DD1055,27),0)</f>
        <v/>
      </c>
      <c r="AD1055">
        <f>IFERROR(INDEX(PP_Grid[#Data],$DD1055,28),0)</f>
        <v/>
      </c>
      <c r="AE1055">
        <f>IFERROR(INDEX(PP_Grid[#Data],$DD1055,29),0)</f>
        <v/>
      </c>
      <c r="AF1055">
        <f>IFERROR(INDEX(PP_Grid[#Data],$DD1055,30),0)</f>
        <v/>
      </c>
      <c r="AG1055">
        <f>IFERROR(INDEX(PP_Grid[#Data],$DD1055,31),0)</f>
        <v/>
      </c>
      <c r="AH1055">
        <f>IFERROR(INDEX(PP_Grid[#Data],$DD1055,32),0)</f>
        <v/>
      </c>
      <c r="AI1055">
        <f>IFERROR(INDEX(PP_Grid[#Data],$DD1055,33),0)</f>
        <v/>
      </c>
      <c r="AJ1055">
        <f>IFERROR(INDEX(PP_Grid[#Data],$DD1055,34),0)</f>
        <v/>
      </c>
      <c r="AK1055">
        <f>IFERROR(INDEX(PP_Grid[#Data],$DD1055,35),0)</f>
        <v/>
      </c>
      <c r="AL1055">
        <f>IFERROR(INDEX(PP_Grid[#Data],$DD1055,36),0)</f>
        <v/>
      </c>
      <c r="AM1055">
        <f>IFERROR(INDEX(PP_Grid[#Data],$DD1055,37),0)</f>
        <v/>
      </c>
      <c r="AN1055">
        <f>IFERROR(INDEX(PP_Grid[#Data],$DD1055,38),0)</f>
        <v/>
      </c>
      <c r="AO1055">
        <f>IFERROR(INDEX(PP_Grid[#Data],$DD1055,39),0)</f>
        <v/>
      </c>
      <c r="AP1055">
        <f>IFERROR(INDEX(PP_Grid[#Data],$DD1055,40),0)</f>
        <v/>
      </c>
      <c r="AQ1055">
        <f>IFERROR(INDEX(PP_Grid[#Data],$DD1055,41),0)</f>
        <v/>
      </c>
      <c r="AR1055">
        <f>IFERROR(INDEX(PP_Grid[#Data],$DD1055,42),0)</f>
        <v/>
      </c>
      <c r="AS1055">
        <f>IFERROR(INDEX(PP_Grid[#Data],$DD1055,43),0)</f>
        <v/>
      </c>
      <c r="AT1055">
        <f>IFERROR(INDEX(PP_Grid[#Data],$DD1055,44),0)</f>
        <v/>
      </c>
      <c r="AU1055">
        <f>IFERROR(INDEX(PP_Grid[#Data],$DD1055,45),0)</f>
        <v/>
      </c>
      <c r="AV1055">
        <f>IFERROR(INDEX(PP_Grid[#Data],$DD1055,46),0)</f>
        <v/>
      </c>
      <c r="AW1055">
        <f>IFERROR(INDEX(PP_Grid[#Data],$DD1055,47),0)</f>
        <v/>
      </c>
      <c r="AX1055">
        <f>IFERROR(INDEX(PP_Grid[#Data],$DD1055,48),0)</f>
        <v/>
      </c>
      <c r="AY1055">
        <f>IFERROR(INDEX(PP_Grid[#Data],$DD1055,49),0)</f>
        <v/>
      </c>
      <c r="AZ1055">
        <f>IFERROR(INDEX(PP_Grid[#Data],$DD1055,50),0)</f>
        <v/>
      </c>
      <c r="BA1055">
        <f>IFERROR(INDEX(PP_Grid[#Data],$DD1055,51),0)</f>
        <v/>
      </c>
      <c r="BB1055">
        <f>IFERROR(INDEX(PP_Grid[#Data],$DD1055,52),0)</f>
        <v/>
      </c>
      <c r="BC1055">
        <f>IFERROR(INDEX(PP_Grid[#Data],$DD1055,53),0)</f>
        <v/>
      </c>
      <c r="BD1055">
        <f>IFERROR(INDEX(PP_Grid[#Data],$DD1055,54),0)</f>
        <v/>
      </c>
      <c r="BE1055">
        <f>IFERROR(INDEX(PP_Grid[#Data],$DD1055,55),0)</f>
        <v/>
      </c>
      <c r="BF1055">
        <f>IFERROR(INDEX(PP_Grid[#Data],$DD1055,56),0)</f>
        <v/>
      </c>
      <c r="BG1055">
        <f>IFERROR(INDEX(PP_Grid[#Data],$DD1055,57),0)</f>
        <v/>
      </c>
      <c r="BH1055">
        <f>IFERROR(INDEX(PP_Grid[#Data],$DD1055,58),0)</f>
        <v/>
      </c>
      <c r="BI1055">
        <f>IFERROR(INDEX(PP_Grid[#Data],$DD1055,59),0)</f>
        <v/>
      </c>
      <c r="BJ1055">
        <f>IFERROR(INDEX(PP_Grid[#Data],$DD1055,60),0)</f>
        <v/>
      </c>
      <c r="BK1055">
        <f>IFERROR(INDEX(PP_Grid[#Data],$DD1055,61),0)</f>
        <v/>
      </c>
      <c r="BL1055">
        <f>IFERROR(INDEX(PP_Grid[#Data],$DD1055,62),0)</f>
        <v/>
      </c>
      <c r="BM1055">
        <f>IFERROR(INDEX(PP_Grid[#Data],$DD1055,63),0)</f>
        <v/>
      </c>
      <c r="BN1055">
        <f>IFERROR(INDEX(PP_Grid[#Data],$DD1055,64),0)</f>
        <v/>
      </c>
      <c r="BO1055">
        <f>IFERROR(INDEX(PP_Grid[#Data],$DD1055,65),0)</f>
        <v/>
      </c>
      <c r="BP1055">
        <f>IFERROR(INDEX(PP_Grid[#Data],$DD1055,66),0)</f>
        <v/>
      </c>
      <c r="BQ1055">
        <f>IFERROR(INDEX(PP_Grid[#Data],$DD1055,67),0)</f>
        <v/>
      </c>
      <c r="BR1055">
        <f>IFERROR(INDEX(PP_Grid[#Data],$DD1055,68),0)</f>
        <v/>
      </c>
      <c r="BS1055">
        <f>IFERROR(INDEX(PP_Grid[#Data],$DD1055,69),0)</f>
        <v/>
      </c>
      <c r="BT1055">
        <f>IFERROR(INDEX(PP_Grid[#Data],$DD1055,70),0)</f>
        <v/>
      </c>
      <c r="BU1055">
        <f>IFERROR(INDEX(PP_Grid[#Data],$DD1055,71),0)</f>
        <v/>
      </c>
      <c r="BV1055">
        <f>IFERROR(INDEX(PP_Grid[#Data],$DD1055,72),0)</f>
        <v/>
      </c>
      <c r="BW1055">
        <f>IFERROR(INDEX(PP_Grid[#Data],$DD1055,73),0)</f>
        <v/>
      </c>
      <c r="BX1055">
        <f>IFERROR(INDEX(PP_Grid[#Data],$DD1055,74),0)</f>
        <v/>
      </c>
      <c r="BY1055">
        <f>IFERROR(INDEX(PP_Grid[#Data],$DD1055,75),0)</f>
        <v/>
      </c>
      <c r="BZ1055">
        <f>IFERROR(INDEX(PP_Grid[#Data],$DD1055,76),0)</f>
        <v/>
      </c>
      <c r="CA1055">
        <f>IFERROR(INDEX(PP_Grid[#Data],$DD1055,77),0)</f>
        <v/>
      </c>
      <c r="CB1055">
        <f>IFERROR(INDEX(PP_Grid[#Data],$DD1055,78),0)</f>
        <v/>
      </c>
      <c r="CC1055">
        <f>IFERROR(INDEX(PP_Grid[#Data],$DD1055,79),0)</f>
        <v/>
      </c>
      <c r="CD1055">
        <f>IFERROR(INDEX(PP_Grid[#Data],$DD1055,80),0)</f>
        <v/>
      </c>
      <c r="CE1055">
        <f>IFERROR(INDEX(PP_Grid[#Data],$DD1055,81),0)</f>
        <v/>
      </c>
      <c r="CF1055">
        <f>IFERROR(INDEX(PP_Grid[#Data],$DD1055,82),0)</f>
        <v/>
      </c>
      <c r="CG1055">
        <f>IFERROR(INDEX(PP_Grid[#Data],$DD1055,83),0)</f>
        <v/>
      </c>
      <c r="CH1055">
        <f>IFERROR(INDEX(PP_Grid[#Data],$DD1055,84),0)</f>
        <v/>
      </c>
      <c r="CI1055">
        <f>IFERROR(INDEX(PP_Grid[#Data],$DD1055,85),0)</f>
        <v/>
      </c>
      <c r="CJ1055">
        <f>IFERROR(INDEX(PP_Grid[#Data],$DD1055,86),0)</f>
        <v/>
      </c>
      <c r="CK1055">
        <f>IFERROR(INDEX(PP_Grid[#Data],$DD1055,87),0)</f>
        <v/>
      </c>
      <c r="CL1055">
        <f>IFERROR(INDEX(PP_Grid[#Data],$DD1055,88),0)</f>
        <v/>
      </c>
      <c r="CM1055">
        <f>IFERROR(INDEX(PP_Grid[#Data],$DD1055,89),0)</f>
        <v/>
      </c>
      <c r="CN1055">
        <f>IFERROR(INDEX(PP_Grid[#Data],$DD1055,90),0)</f>
        <v/>
      </c>
      <c r="CO1055">
        <f>IFERROR(INDEX(PP_Grid[#Data],$DD1055,91),0)</f>
        <v/>
      </c>
      <c r="CP1055">
        <f>IFERROR(INDEX(PP_Grid[#Data],$DD1055,92),0)</f>
        <v/>
      </c>
      <c r="CQ1055">
        <f>IFERROR(INDEX(PP_Grid[#Data],$DD1055,93),0)</f>
        <v/>
      </c>
      <c r="CR1055">
        <f>IFERROR(INDEX(PP_Grid[#Data],$DD1055,94),0)</f>
        <v/>
      </c>
      <c r="CS1055">
        <f>IFERROR(INDEX(PP_Grid[#Data],$DD1055,95),0)</f>
        <v/>
      </c>
      <c r="CT1055">
        <f>IFERROR(INDEX(PP_Grid[#Data],$DD1055,96),0)</f>
        <v/>
      </c>
      <c r="CU1055">
        <f>IFERROR(INDEX(PP_Grid[#Data],$DD1055,97),0)</f>
        <v/>
      </c>
      <c r="CV1055">
        <f>IFERROR(INDEX(PP_Grid[#Data],$DD1055,98),0)</f>
        <v/>
      </c>
      <c r="CW1055">
        <f>IFERROR(INDEX(PP_Grid[#Data],$DD1055,99),0)</f>
        <v/>
      </c>
      <c r="CX1055">
        <f>IFERROR(INDEX(PP_Grid[#Data],$DD1055,100),0)</f>
        <v/>
      </c>
      <c r="CY1055">
        <f>IFERROR(INDEX(PP_Grid[#Data],$DD1055,101),0)</f>
        <v/>
      </c>
      <c r="CZ1055">
        <f>IFERROR(INDEX(PP_Grid[#Data],$DD1055,102),0)</f>
        <v/>
      </c>
      <c r="DA1055">
        <f>IFERROR(INDEX(PP_Grid[#Data],$DD1055,103),0)</f>
        <v/>
      </c>
      <c r="DB1055">
        <f>IFERROR(INDEX(PP_Grid[#Data],$DD1055,104),0)</f>
        <v/>
      </c>
      <c r="DC1055">
        <f>IFERROR(INDEX(PP_Grid[#Data],$DD1055,105),0)</f>
        <v/>
      </c>
      <c r="DD1055" s="12">
        <f>IFERROR(MATCH($B1055,PP_Grid[Intermediate],0),99999)</f>
        <v/>
      </c>
    </row>
    <row r="1056">
      <c r="B1056" t="inlineStr">
        <is>
          <t>使用量(kg)</t>
        </is>
      </c>
      <c r="C1056">
        <f>SUMIFS(M_BOM[RM_Qty_Per_Batch],M_BOM[Intermediate],$B1055,M_BOM[Part Name],$A988)</f>
        <v/>
      </c>
      <c r="D1056">
        <f>$C1056*D1055</f>
        <v/>
      </c>
      <c r="E1056">
        <f>$C1056*E1055</f>
        <v/>
      </c>
      <c r="F1056">
        <f>$C1056*F1055</f>
        <v/>
      </c>
      <c r="G1056">
        <f>$C1056*G1055</f>
        <v/>
      </c>
      <c r="H1056">
        <f>$C1056*H1055</f>
        <v/>
      </c>
      <c r="I1056">
        <f>$C1056*I1055</f>
        <v/>
      </c>
      <c r="J1056">
        <f>$C1056*J1055</f>
        <v/>
      </c>
      <c r="K1056">
        <f>$C1056*K1055</f>
        <v/>
      </c>
      <c r="L1056">
        <f>$C1056*L1055</f>
        <v/>
      </c>
      <c r="M1056">
        <f>$C1056*M1055</f>
        <v/>
      </c>
      <c r="N1056">
        <f>$C1056*N1055</f>
        <v/>
      </c>
      <c r="O1056">
        <f>$C1056*O1055</f>
        <v/>
      </c>
      <c r="P1056">
        <f>$C1056*P1055</f>
        <v/>
      </c>
      <c r="Q1056">
        <f>$C1056*Q1055</f>
        <v/>
      </c>
      <c r="R1056">
        <f>$C1056*R1055</f>
        <v/>
      </c>
      <c r="S1056">
        <f>$C1056*S1055</f>
        <v/>
      </c>
      <c r="T1056">
        <f>$C1056*T1055</f>
        <v/>
      </c>
      <c r="U1056">
        <f>$C1056*U1055</f>
        <v/>
      </c>
      <c r="V1056">
        <f>$C1056*V1055</f>
        <v/>
      </c>
      <c r="W1056">
        <f>$C1056*W1055</f>
        <v/>
      </c>
      <c r="X1056">
        <f>$C1056*X1055</f>
        <v/>
      </c>
      <c r="Y1056">
        <f>$C1056*Y1055</f>
        <v/>
      </c>
      <c r="Z1056">
        <f>$C1056*Z1055</f>
        <v/>
      </c>
      <c r="AA1056">
        <f>$C1056*AA1055</f>
        <v/>
      </c>
      <c r="AB1056">
        <f>$C1056*AB1055</f>
        <v/>
      </c>
      <c r="AC1056">
        <f>$C1056*AC1055</f>
        <v/>
      </c>
      <c r="AD1056">
        <f>$C1056*AD1055</f>
        <v/>
      </c>
      <c r="AE1056">
        <f>$C1056*AE1055</f>
        <v/>
      </c>
      <c r="AF1056">
        <f>$C1056*AF1055</f>
        <v/>
      </c>
      <c r="AG1056">
        <f>$C1056*AG1055</f>
        <v/>
      </c>
      <c r="AH1056">
        <f>$C1056*AH1055</f>
        <v/>
      </c>
      <c r="AI1056">
        <f>$C1056*AI1055</f>
        <v/>
      </c>
      <c r="AJ1056">
        <f>$C1056*AJ1055</f>
        <v/>
      </c>
      <c r="AK1056">
        <f>$C1056*AK1055</f>
        <v/>
      </c>
      <c r="AL1056">
        <f>$C1056*AL1055</f>
        <v/>
      </c>
      <c r="AM1056">
        <f>$C1056*AM1055</f>
        <v/>
      </c>
      <c r="AN1056">
        <f>$C1056*AN1055</f>
        <v/>
      </c>
      <c r="AO1056">
        <f>$C1056*AO1055</f>
        <v/>
      </c>
      <c r="AP1056">
        <f>$C1056*AP1055</f>
        <v/>
      </c>
      <c r="AQ1056">
        <f>$C1056*AQ1055</f>
        <v/>
      </c>
      <c r="AR1056">
        <f>$C1056*AR1055</f>
        <v/>
      </c>
      <c r="AS1056">
        <f>$C1056*AS1055</f>
        <v/>
      </c>
      <c r="AT1056">
        <f>$C1056*AT1055</f>
        <v/>
      </c>
      <c r="AU1056">
        <f>$C1056*AU1055</f>
        <v/>
      </c>
      <c r="AV1056">
        <f>$C1056*AV1055</f>
        <v/>
      </c>
      <c r="AW1056">
        <f>$C1056*AW1055</f>
        <v/>
      </c>
      <c r="AX1056">
        <f>$C1056*AX1055</f>
        <v/>
      </c>
      <c r="AY1056">
        <f>$C1056*AY1055</f>
        <v/>
      </c>
      <c r="AZ1056">
        <f>$C1056*AZ1055</f>
        <v/>
      </c>
      <c r="BA1056">
        <f>$C1056*BA1055</f>
        <v/>
      </c>
      <c r="BB1056">
        <f>$C1056*BB1055</f>
        <v/>
      </c>
      <c r="BC1056">
        <f>$C1056*BC1055</f>
        <v/>
      </c>
      <c r="BD1056">
        <f>$C1056*BD1055</f>
        <v/>
      </c>
      <c r="BE1056">
        <f>$C1056*BE1055</f>
        <v/>
      </c>
      <c r="BF1056">
        <f>$C1056*BF1055</f>
        <v/>
      </c>
      <c r="BG1056">
        <f>$C1056*BG1055</f>
        <v/>
      </c>
      <c r="BH1056">
        <f>$C1056*BH1055</f>
        <v/>
      </c>
      <c r="BI1056">
        <f>$C1056*BI1055</f>
        <v/>
      </c>
      <c r="BJ1056">
        <f>$C1056*BJ1055</f>
        <v/>
      </c>
      <c r="BK1056">
        <f>$C1056*BK1055</f>
        <v/>
      </c>
      <c r="BL1056">
        <f>$C1056*BL1055</f>
        <v/>
      </c>
      <c r="BM1056">
        <f>$C1056*BM1055</f>
        <v/>
      </c>
      <c r="BN1056">
        <f>$C1056*BN1055</f>
        <v/>
      </c>
      <c r="BO1056">
        <f>$C1056*BO1055</f>
        <v/>
      </c>
      <c r="BP1056">
        <f>$C1056*BP1055</f>
        <v/>
      </c>
      <c r="BQ1056">
        <f>$C1056*BQ1055</f>
        <v/>
      </c>
      <c r="BR1056">
        <f>$C1056*BR1055</f>
        <v/>
      </c>
      <c r="BS1056">
        <f>$C1056*BS1055</f>
        <v/>
      </c>
      <c r="BT1056">
        <f>$C1056*BT1055</f>
        <v/>
      </c>
      <c r="BU1056">
        <f>$C1056*BU1055</f>
        <v/>
      </c>
      <c r="BV1056">
        <f>$C1056*BV1055</f>
        <v/>
      </c>
      <c r="BW1056">
        <f>$C1056*BW1055</f>
        <v/>
      </c>
      <c r="BX1056">
        <f>$C1056*BX1055</f>
        <v/>
      </c>
      <c r="BY1056">
        <f>$C1056*BY1055</f>
        <v/>
      </c>
      <c r="BZ1056">
        <f>$C1056*BZ1055</f>
        <v/>
      </c>
      <c r="CA1056">
        <f>$C1056*CA1055</f>
        <v/>
      </c>
      <c r="CB1056">
        <f>$C1056*CB1055</f>
        <v/>
      </c>
      <c r="CC1056">
        <f>$C1056*CC1055</f>
        <v/>
      </c>
      <c r="CD1056">
        <f>$C1056*CD1055</f>
        <v/>
      </c>
      <c r="CE1056">
        <f>$C1056*CE1055</f>
        <v/>
      </c>
      <c r="CF1056">
        <f>$C1056*CF1055</f>
        <v/>
      </c>
      <c r="CG1056">
        <f>$C1056*CG1055</f>
        <v/>
      </c>
      <c r="CH1056">
        <f>$C1056*CH1055</f>
        <v/>
      </c>
      <c r="CI1056">
        <f>$C1056*CI1055</f>
        <v/>
      </c>
      <c r="CJ1056">
        <f>$C1056*CJ1055</f>
        <v/>
      </c>
      <c r="CK1056">
        <f>$C1056*CK1055</f>
        <v/>
      </c>
      <c r="CL1056">
        <f>$C1056*CL1055</f>
        <v/>
      </c>
      <c r="CM1056">
        <f>$C1056*CM1055</f>
        <v/>
      </c>
      <c r="CN1056">
        <f>$C1056*CN1055</f>
        <v/>
      </c>
      <c r="CO1056">
        <f>$C1056*CO1055</f>
        <v/>
      </c>
      <c r="CP1056">
        <f>$C1056*CP1055</f>
        <v/>
      </c>
      <c r="CQ1056">
        <f>$C1056*CQ1055</f>
        <v/>
      </c>
      <c r="CR1056">
        <f>$C1056*CR1055</f>
        <v/>
      </c>
      <c r="CS1056">
        <f>$C1056*CS1055</f>
        <v/>
      </c>
      <c r="CT1056">
        <f>$C1056*CT1055</f>
        <v/>
      </c>
      <c r="CU1056">
        <f>$C1056*CU1055</f>
        <v/>
      </c>
      <c r="CV1056">
        <f>$C1056*CV1055</f>
        <v/>
      </c>
      <c r="CW1056">
        <f>$C1056*CW1055</f>
        <v/>
      </c>
      <c r="CX1056">
        <f>$C1056*CX1055</f>
        <v/>
      </c>
      <c r="CY1056">
        <f>$C1056*CY1055</f>
        <v/>
      </c>
      <c r="CZ1056">
        <f>$C1056*CZ1055</f>
        <v/>
      </c>
      <c r="DA1056">
        <f>$C1056*DA1055</f>
        <v/>
      </c>
      <c r="DB1056">
        <f>$C1056*DB1055</f>
        <v/>
      </c>
      <c r="DC1056">
        <f>$C1056*DC1055</f>
        <v/>
      </c>
    </row>
    <row r="1057">
      <c r="B1057" t="inlineStr">
        <is>
          <t>VSP-989</t>
        </is>
      </c>
      <c r="C1057" t="inlineStr">
        <is>
          <t>No. of batches</t>
        </is>
      </c>
      <c r="D1057">
        <f>IFERROR(INDEX(PP_Grid[#Data],$DD1057,2),0)</f>
        <v/>
      </c>
      <c r="E1057">
        <f>IFERROR(INDEX(PP_Grid[#Data],$DD1057,3),0)</f>
        <v/>
      </c>
      <c r="F1057">
        <f>IFERROR(INDEX(PP_Grid[#Data],$DD1057,4),0)</f>
        <v/>
      </c>
      <c r="G1057">
        <f>IFERROR(INDEX(PP_Grid[#Data],$DD1057,5),0)</f>
        <v/>
      </c>
      <c r="H1057">
        <f>IFERROR(INDEX(PP_Grid[#Data],$DD1057,6),0)</f>
        <v/>
      </c>
      <c r="I1057">
        <f>IFERROR(INDEX(PP_Grid[#Data],$DD1057,7),0)</f>
        <v/>
      </c>
      <c r="J1057">
        <f>IFERROR(INDEX(PP_Grid[#Data],$DD1057,8),0)</f>
        <v/>
      </c>
      <c r="K1057">
        <f>IFERROR(INDEX(PP_Grid[#Data],$DD1057,9),0)</f>
        <v/>
      </c>
      <c r="L1057">
        <f>IFERROR(INDEX(PP_Grid[#Data],$DD1057,10),0)</f>
        <v/>
      </c>
      <c r="M1057">
        <f>IFERROR(INDEX(PP_Grid[#Data],$DD1057,11),0)</f>
        <v/>
      </c>
      <c r="N1057">
        <f>IFERROR(INDEX(PP_Grid[#Data],$DD1057,12),0)</f>
        <v/>
      </c>
      <c r="O1057">
        <f>IFERROR(INDEX(PP_Grid[#Data],$DD1057,13),0)</f>
        <v/>
      </c>
      <c r="P1057">
        <f>IFERROR(INDEX(PP_Grid[#Data],$DD1057,14),0)</f>
        <v/>
      </c>
      <c r="Q1057">
        <f>IFERROR(INDEX(PP_Grid[#Data],$DD1057,15),0)</f>
        <v/>
      </c>
      <c r="R1057">
        <f>IFERROR(INDEX(PP_Grid[#Data],$DD1057,16),0)</f>
        <v/>
      </c>
      <c r="S1057">
        <f>IFERROR(INDEX(PP_Grid[#Data],$DD1057,17),0)</f>
        <v/>
      </c>
      <c r="T1057">
        <f>IFERROR(INDEX(PP_Grid[#Data],$DD1057,18),0)</f>
        <v/>
      </c>
      <c r="U1057">
        <f>IFERROR(INDEX(PP_Grid[#Data],$DD1057,19),0)</f>
        <v/>
      </c>
      <c r="V1057">
        <f>IFERROR(INDEX(PP_Grid[#Data],$DD1057,20),0)</f>
        <v/>
      </c>
      <c r="W1057">
        <f>IFERROR(INDEX(PP_Grid[#Data],$DD1057,21),0)</f>
        <v/>
      </c>
      <c r="X1057">
        <f>IFERROR(INDEX(PP_Grid[#Data],$DD1057,22),0)</f>
        <v/>
      </c>
      <c r="Y1057">
        <f>IFERROR(INDEX(PP_Grid[#Data],$DD1057,23),0)</f>
        <v/>
      </c>
      <c r="Z1057">
        <f>IFERROR(INDEX(PP_Grid[#Data],$DD1057,24),0)</f>
        <v/>
      </c>
      <c r="AA1057">
        <f>IFERROR(INDEX(PP_Grid[#Data],$DD1057,25),0)</f>
        <v/>
      </c>
      <c r="AB1057">
        <f>IFERROR(INDEX(PP_Grid[#Data],$DD1057,26),0)</f>
        <v/>
      </c>
      <c r="AC1057">
        <f>IFERROR(INDEX(PP_Grid[#Data],$DD1057,27),0)</f>
        <v/>
      </c>
      <c r="AD1057">
        <f>IFERROR(INDEX(PP_Grid[#Data],$DD1057,28),0)</f>
        <v/>
      </c>
      <c r="AE1057">
        <f>IFERROR(INDEX(PP_Grid[#Data],$DD1057,29),0)</f>
        <v/>
      </c>
      <c r="AF1057">
        <f>IFERROR(INDEX(PP_Grid[#Data],$DD1057,30),0)</f>
        <v/>
      </c>
      <c r="AG1057">
        <f>IFERROR(INDEX(PP_Grid[#Data],$DD1057,31),0)</f>
        <v/>
      </c>
      <c r="AH1057">
        <f>IFERROR(INDEX(PP_Grid[#Data],$DD1057,32),0)</f>
        <v/>
      </c>
      <c r="AI1057">
        <f>IFERROR(INDEX(PP_Grid[#Data],$DD1057,33),0)</f>
        <v/>
      </c>
      <c r="AJ1057">
        <f>IFERROR(INDEX(PP_Grid[#Data],$DD1057,34),0)</f>
        <v/>
      </c>
      <c r="AK1057">
        <f>IFERROR(INDEX(PP_Grid[#Data],$DD1057,35),0)</f>
        <v/>
      </c>
      <c r="AL1057">
        <f>IFERROR(INDEX(PP_Grid[#Data],$DD1057,36),0)</f>
        <v/>
      </c>
      <c r="AM1057">
        <f>IFERROR(INDEX(PP_Grid[#Data],$DD1057,37),0)</f>
        <v/>
      </c>
      <c r="AN1057">
        <f>IFERROR(INDEX(PP_Grid[#Data],$DD1057,38),0)</f>
        <v/>
      </c>
      <c r="AO1057">
        <f>IFERROR(INDEX(PP_Grid[#Data],$DD1057,39),0)</f>
        <v/>
      </c>
      <c r="AP1057">
        <f>IFERROR(INDEX(PP_Grid[#Data],$DD1057,40),0)</f>
        <v/>
      </c>
      <c r="AQ1057">
        <f>IFERROR(INDEX(PP_Grid[#Data],$DD1057,41),0)</f>
        <v/>
      </c>
      <c r="AR1057">
        <f>IFERROR(INDEX(PP_Grid[#Data],$DD1057,42),0)</f>
        <v/>
      </c>
      <c r="AS1057">
        <f>IFERROR(INDEX(PP_Grid[#Data],$DD1057,43),0)</f>
        <v/>
      </c>
      <c r="AT1057">
        <f>IFERROR(INDEX(PP_Grid[#Data],$DD1057,44),0)</f>
        <v/>
      </c>
      <c r="AU1057">
        <f>IFERROR(INDEX(PP_Grid[#Data],$DD1057,45),0)</f>
        <v/>
      </c>
      <c r="AV1057">
        <f>IFERROR(INDEX(PP_Grid[#Data],$DD1057,46),0)</f>
        <v/>
      </c>
      <c r="AW1057">
        <f>IFERROR(INDEX(PP_Grid[#Data],$DD1057,47),0)</f>
        <v/>
      </c>
      <c r="AX1057">
        <f>IFERROR(INDEX(PP_Grid[#Data],$DD1057,48),0)</f>
        <v/>
      </c>
      <c r="AY1057">
        <f>IFERROR(INDEX(PP_Grid[#Data],$DD1057,49),0)</f>
        <v/>
      </c>
      <c r="AZ1057">
        <f>IFERROR(INDEX(PP_Grid[#Data],$DD1057,50),0)</f>
        <v/>
      </c>
      <c r="BA1057">
        <f>IFERROR(INDEX(PP_Grid[#Data],$DD1057,51),0)</f>
        <v/>
      </c>
      <c r="BB1057">
        <f>IFERROR(INDEX(PP_Grid[#Data],$DD1057,52),0)</f>
        <v/>
      </c>
      <c r="BC1057">
        <f>IFERROR(INDEX(PP_Grid[#Data],$DD1057,53),0)</f>
        <v/>
      </c>
      <c r="BD1057">
        <f>IFERROR(INDEX(PP_Grid[#Data],$DD1057,54),0)</f>
        <v/>
      </c>
      <c r="BE1057">
        <f>IFERROR(INDEX(PP_Grid[#Data],$DD1057,55),0)</f>
        <v/>
      </c>
      <c r="BF1057">
        <f>IFERROR(INDEX(PP_Grid[#Data],$DD1057,56),0)</f>
        <v/>
      </c>
      <c r="BG1057">
        <f>IFERROR(INDEX(PP_Grid[#Data],$DD1057,57),0)</f>
        <v/>
      </c>
      <c r="BH1057">
        <f>IFERROR(INDEX(PP_Grid[#Data],$DD1057,58),0)</f>
        <v/>
      </c>
      <c r="BI1057">
        <f>IFERROR(INDEX(PP_Grid[#Data],$DD1057,59),0)</f>
        <v/>
      </c>
      <c r="BJ1057">
        <f>IFERROR(INDEX(PP_Grid[#Data],$DD1057,60),0)</f>
        <v/>
      </c>
      <c r="BK1057">
        <f>IFERROR(INDEX(PP_Grid[#Data],$DD1057,61),0)</f>
        <v/>
      </c>
      <c r="BL1057">
        <f>IFERROR(INDEX(PP_Grid[#Data],$DD1057,62),0)</f>
        <v/>
      </c>
      <c r="BM1057">
        <f>IFERROR(INDEX(PP_Grid[#Data],$DD1057,63),0)</f>
        <v/>
      </c>
      <c r="BN1057">
        <f>IFERROR(INDEX(PP_Grid[#Data],$DD1057,64),0)</f>
        <v/>
      </c>
      <c r="BO1057">
        <f>IFERROR(INDEX(PP_Grid[#Data],$DD1057,65),0)</f>
        <v/>
      </c>
      <c r="BP1057">
        <f>IFERROR(INDEX(PP_Grid[#Data],$DD1057,66),0)</f>
        <v/>
      </c>
      <c r="BQ1057">
        <f>IFERROR(INDEX(PP_Grid[#Data],$DD1057,67),0)</f>
        <v/>
      </c>
      <c r="BR1057">
        <f>IFERROR(INDEX(PP_Grid[#Data],$DD1057,68),0)</f>
        <v/>
      </c>
      <c r="BS1057">
        <f>IFERROR(INDEX(PP_Grid[#Data],$DD1057,69),0)</f>
        <v/>
      </c>
      <c r="BT1057">
        <f>IFERROR(INDEX(PP_Grid[#Data],$DD1057,70),0)</f>
        <v/>
      </c>
      <c r="BU1057">
        <f>IFERROR(INDEX(PP_Grid[#Data],$DD1057,71),0)</f>
        <v/>
      </c>
      <c r="BV1057">
        <f>IFERROR(INDEX(PP_Grid[#Data],$DD1057,72),0)</f>
        <v/>
      </c>
      <c r="BW1057">
        <f>IFERROR(INDEX(PP_Grid[#Data],$DD1057,73),0)</f>
        <v/>
      </c>
      <c r="BX1057">
        <f>IFERROR(INDEX(PP_Grid[#Data],$DD1057,74),0)</f>
        <v/>
      </c>
      <c r="BY1057">
        <f>IFERROR(INDEX(PP_Grid[#Data],$DD1057,75),0)</f>
        <v/>
      </c>
      <c r="BZ1057">
        <f>IFERROR(INDEX(PP_Grid[#Data],$DD1057,76),0)</f>
        <v/>
      </c>
      <c r="CA1057">
        <f>IFERROR(INDEX(PP_Grid[#Data],$DD1057,77),0)</f>
        <v/>
      </c>
      <c r="CB1057">
        <f>IFERROR(INDEX(PP_Grid[#Data],$DD1057,78),0)</f>
        <v/>
      </c>
      <c r="CC1057">
        <f>IFERROR(INDEX(PP_Grid[#Data],$DD1057,79),0)</f>
        <v/>
      </c>
      <c r="CD1057">
        <f>IFERROR(INDEX(PP_Grid[#Data],$DD1057,80),0)</f>
        <v/>
      </c>
      <c r="CE1057">
        <f>IFERROR(INDEX(PP_Grid[#Data],$DD1057,81),0)</f>
        <v/>
      </c>
      <c r="CF1057">
        <f>IFERROR(INDEX(PP_Grid[#Data],$DD1057,82),0)</f>
        <v/>
      </c>
      <c r="CG1057">
        <f>IFERROR(INDEX(PP_Grid[#Data],$DD1057,83),0)</f>
        <v/>
      </c>
      <c r="CH1057">
        <f>IFERROR(INDEX(PP_Grid[#Data],$DD1057,84),0)</f>
        <v/>
      </c>
      <c r="CI1057">
        <f>IFERROR(INDEX(PP_Grid[#Data],$DD1057,85),0)</f>
        <v/>
      </c>
      <c r="CJ1057">
        <f>IFERROR(INDEX(PP_Grid[#Data],$DD1057,86),0)</f>
        <v/>
      </c>
      <c r="CK1057">
        <f>IFERROR(INDEX(PP_Grid[#Data],$DD1057,87),0)</f>
        <v/>
      </c>
      <c r="CL1057">
        <f>IFERROR(INDEX(PP_Grid[#Data],$DD1057,88),0)</f>
        <v/>
      </c>
      <c r="CM1057">
        <f>IFERROR(INDEX(PP_Grid[#Data],$DD1057,89),0)</f>
        <v/>
      </c>
      <c r="CN1057">
        <f>IFERROR(INDEX(PP_Grid[#Data],$DD1057,90),0)</f>
        <v/>
      </c>
      <c r="CO1057">
        <f>IFERROR(INDEX(PP_Grid[#Data],$DD1057,91),0)</f>
        <v/>
      </c>
      <c r="CP1057">
        <f>IFERROR(INDEX(PP_Grid[#Data],$DD1057,92),0)</f>
        <v/>
      </c>
      <c r="CQ1057">
        <f>IFERROR(INDEX(PP_Grid[#Data],$DD1057,93),0)</f>
        <v/>
      </c>
      <c r="CR1057">
        <f>IFERROR(INDEX(PP_Grid[#Data],$DD1057,94),0)</f>
        <v/>
      </c>
      <c r="CS1057">
        <f>IFERROR(INDEX(PP_Grid[#Data],$DD1057,95),0)</f>
        <v/>
      </c>
      <c r="CT1057">
        <f>IFERROR(INDEX(PP_Grid[#Data],$DD1057,96),0)</f>
        <v/>
      </c>
      <c r="CU1057">
        <f>IFERROR(INDEX(PP_Grid[#Data],$DD1057,97),0)</f>
        <v/>
      </c>
      <c r="CV1057">
        <f>IFERROR(INDEX(PP_Grid[#Data],$DD1057,98),0)</f>
        <v/>
      </c>
      <c r="CW1057">
        <f>IFERROR(INDEX(PP_Grid[#Data],$DD1057,99),0)</f>
        <v/>
      </c>
      <c r="CX1057">
        <f>IFERROR(INDEX(PP_Grid[#Data],$DD1057,100),0)</f>
        <v/>
      </c>
      <c r="CY1057">
        <f>IFERROR(INDEX(PP_Grid[#Data],$DD1057,101),0)</f>
        <v/>
      </c>
      <c r="CZ1057">
        <f>IFERROR(INDEX(PP_Grid[#Data],$DD1057,102),0)</f>
        <v/>
      </c>
      <c r="DA1057">
        <f>IFERROR(INDEX(PP_Grid[#Data],$DD1057,103),0)</f>
        <v/>
      </c>
      <c r="DB1057">
        <f>IFERROR(INDEX(PP_Grid[#Data],$DD1057,104),0)</f>
        <v/>
      </c>
      <c r="DC1057">
        <f>IFERROR(INDEX(PP_Grid[#Data],$DD1057,105),0)</f>
        <v/>
      </c>
      <c r="DD1057" s="12">
        <f>IFERROR(MATCH($B1057,PP_Grid[Intermediate],0),99999)</f>
        <v/>
      </c>
    </row>
    <row r="1058">
      <c r="B1058" t="inlineStr">
        <is>
          <t>使用量(kg)</t>
        </is>
      </c>
      <c r="C1058">
        <f>SUMIFS(M_BOM[RM_Qty_Per_Batch],M_BOM[Intermediate],$B1057,M_BOM[Part Name],$A988)</f>
        <v/>
      </c>
      <c r="D1058">
        <f>$C1058*D1057</f>
        <v/>
      </c>
      <c r="E1058">
        <f>$C1058*E1057</f>
        <v/>
      </c>
      <c r="F1058">
        <f>$C1058*F1057</f>
        <v/>
      </c>
      <c r="G1058">
        <f>$C1058*G1057</f>
        <v/>
      </c>
      <c r="H1058">
        <f>$C1058*H1057</f>
        <v/>
      </c>
      <c r="I1058">
        <f>$C1058*I1057</f>
        <v/>
      </c>
      <c r="J1058">
        <f>$C1058*J1057</f>
        <v/>
      </c>
      <c r="K1058">
        <f>$C1058*K1057</f>
        <v/>
      </c>
      <c r="L1058">
        <f>$C1058*L1057</f>
        <v/>
      </c>
      <c r="M1058">
        <f>$C1058*M1057</f>
        <v/>
      </c>
      <c r="N1058">
        <f>$C1058*N1057</f>
        <v/>
      </c>
      <c r="O1058">
        <f>$C1058*O1057</f>
        <v/>
      </c>
      <c r="P1058">
        <f>$C1058*P1057</f>
        <v/>
      </c>
      <c r="Q1058">
        <f>$C1058*Q1057</f>
        <v/>
      </c>
      <c r="R1058">
        <f>$C1058*R1057</f>
        <v/>
      </c>
      <c r="S1058">
        <f>$C1058*S1057</f>
        <v/>
      </c>
      <c r="T1058">
        <f>$C1058*T1057</f>
        <v/>
      </c>
      <c r="U1058">
        <f>$C1058*U1057</f>
        <v/>
      </c>
      <c r="V1058">
        <f>$C1058*V1057</f>
        <v/>
      </c>
      <c r="W1058">
        <f>$C1058*W1057</f>
        <v/>
      </c>
      <c r="X1058">
        <f>$C1058*X1057</f>
        <v/>
      </c>
      <c r="Y1058">
        <f>$C1058*Y1057</f>
        <v/>
      </c>
      <c r="Z1058">
        <f>$C1058*Z1057</f>
        <v/>
      </c>
      <c r="AA1058">
        <f>$C1058*AA1057</f>
        <v/>
      </c>
      <c r="AB1058">
        <f>$C1058*AB1057</f>
        <v/>
      </c>
      <c r="AC1058">
        <f>$C1058*AC1057</f>
        <v/>
      </c>
      <c r="AD1058">
        <f>$C1058*AD1057</f>
        <v/>
      </c>
      <c r="AE1058">
        <f>$C1058*AE1057</f>
        <v/>
      </c>
      <c r="AF1058">
        <f>$C1058*AF1057</f>
        <v/>
      </c>
      <c r="AG1058">
        <f>$C1058*AG1057</f>
        <v/>
      </c>
      <c r="AH1058">
        <f>$C1058*AH1057</f>
        <v/>
      </c>
      <c r="AI1058">
        <f>$C1058*AI1057</f>
        <v/>
      </c>
      <c r="AJ1058">
        <f>$C1058*AJ1057</f>
        <v/>
      </c>
      <c r="AK1058">
        <f>$C1058*AK1057</f>
        <v/>
      </c>
      <c r="AL1058">
        <f>$C1058*AL1057</f>
        <v/>
      </c>
      <c r="AM1058">
        <f>$C1058*AM1057</f>
        <v/>
      </c>
      <c r="AN1058">
        <f>$C1058*AN1057</f>
        <v/>
      </c>
      <c r="AO1058">
        <f>$C1058*AO1057</f>
        <v/>
      </c>
      <c r="AP1058">
        <f>$C1058*AP1057</f>
        <v/>
      </c>
      <c r="AQ1058">
        <f>$C1058*AQ1057</f>
        <v/>
      </c>
      <c r="AR1058">
        <f>$C1058*AR1057</f>
        <v/>
      </c>
      <c r="AS1058">
        <f>$C1058*AS1057</f>
        <v/>
      </c>
      <c r="AT1058">
        <f>$C1058*AT1057</f>
        <v/>
      </c>
      <c r="AU1058">
        <f>$C1058*AU1057</f>
        <v/>
      </c>
      <c r="AV1058">
        <f>$C1058*AV1057</f>
        <v/>
      </c>
      <c r="AW1058">
        <f>$C1058*AW1057</f>
        <v/>
      </c>
      <c r="AX1058">
        <f>$C1058*AX1057</f>
        <v/>
      </c>
      <c r="AY1058">
        <f>$C1058*AY1057</f>
        <v/>
      </c>
      <c r="AZ1058">
        <f>$C1058*AZ1057</f>
        <v/>
      </c>
      <c r="BA1058">
        <f>$C1058*BA1057</f>
        <v/>
      </c>
      <c r="BB1058">
        <f>$C1058*BB1057</f>
        <v/>
      </c>
      <c r="BC1058">
        <f>$C1058*BC1057</f>
        <v/>
      </c>
      <c r="BD1058">
        <f>$C1058*BD1057</f>
        <v/>
      </c>
      <c r="BE1058">
        <f>$C1058*BE1057</f>
        <v/>
      </c>
      <c r="BF1058">
        <f>$C1058*BF1057</f>
        <v/>
      </c>
      <c r="BG1058">
        <f>$C1058*BG1057</f>
        <v/>
      </c>
      <c r="BH1058">
        <f>$C1058*BH1057</f>
        <v/>
      </c>
      <c r="BI1058">
        <f>$C1058*BI1057</f>
        <v/>
      </c>
      <c r="BJ1058">
        <f>$C1058*BJ1057</f>
        <v/>
      </c>
      <c r="BK1058">
        <f>$C1058*BK1057</f>
        <v/>
      </c>
      <c r="BL1058">
        <f>$C1058*BL1057</f>
        <v/>
      </c>
      <c r="BM1058">
        <f>$C1058*BM1057</f>
        <v/>
      </c>
      <c r="BN1058">
        <f>$C1058*BN1057</f>
        <v/>
      </c>
      <c r="BO1058">
        <f>$C1058*BO1057</f>
        <v/>
      </c>
      <c r="BP1058">
        <f>$C1058*BP1057</f>
        <v/>
      </c>
      <c r="BQ1058">
        <f>$C1058*BQ1057</f>
        <v/>
      </c>
      <c r="BR1058">
        <f>$C1058*BR1057</f>
        <v/>
      </c>
      <c r="BS1058">
        <f>$C1058*BS1057</f>
        <v/>
      </c>
      <c r="BT1058">
        <f>$C1058*BT1057</f>
        <v/>
      </c>
      <c r="BU1058">
        <f>$C1058*BU1057</f>
        <v/>
      </c>
      <c r="BV1058">
        <f>$C1058*BV1057</f>
        <v/>
      </c>
      <c r="BW1058">
        <f>$C1058*BW1057</f>
        <v/>
      </c>
      <c r="BX1058">
        <f>$C1058*BX1057</f>
        <v/>
      </c>
      <c r="BY1058">
        <f>$C1058*BY1057</f>
        <v/>
      </c>
      <c r="BZ1058">
        <f>$C1058*BZ1057</f>
        <v/>
      </c>
      <c r="CA1058">
        <f>$C1058*CA1057</f>
        <v/>
      </c>
      <c r="CB1058">
        <f>$C1058*CB1057</f>
        <v/>
      </c>
      <c r="CC1058">
        <f>$C1058*CC1057</f>
        <v/>
      </c>
      <c r="CD1058">
        <f>$C1058*CD1057</f>
        <v/>
      </c>
      <c r="CE1058">
        <f>$C1058*CE1057</f>
        <v/>
      </c>
      <c r="CF1058">
        <f>$C1058*CF1057</f>
        <v/>
      </c>
      <c r="CG1058">
        <f>$C1058*CG1057</f>
        <v/>
      </c>
      <c r="CH1058">
        <f>$C1058*CH1057</f>
        <v/>
      </c>
      <c r="CI1058">
        <f>$C1058*CI1057</f>
        <v/>
      </c>
      <c r="CJ1058">
        <f>$C1058*CJ1057</f>
        <v/>
      </c>
      <c r="CK1058">
        <f>$C1058*CK1057</f>
        <v/>
      </c>
      <c r="CL1058">
        <f>$C1058*CL1057</f>
        <v/>
      </c>
      <c r="CM1058">
        <f>$C1058*CM1057</f>
        <v/>
      </c>
      <c r="CN1058">
        <f>$C1058*CN1057</f>
        <v/>
      </c>
      <c r="CO1058">
        <f>$C1058*CO1057</f>
        <v/>
      </c>
      <c r="CP1058">
        <f>$C1058*CP1057</f>
        <v/>
      </c>
      <c r="CQ1058">
        <f>$C1058*CQ1057</f>
        <v/>
      </c>
      <c r="CR1058">
        <f>$C1058*CR1057</f>
        <v/>
      </c>
      <c r="CS1058">
        <f>$C1058*CS1057</f>
        <v/>
      </c>
      <c r="CT1058">
        <f>$C1058*CT1057</f>
        <v/>
      </c>
      <c r="CU1058">
        <f>$C1058*CU1057</f>
        <v/>
      </c>
      <c r="CV1058">
        <f>$C1058*CV1057</f>
        <v/>
      </c>
      <c r="CW1058">
        <f>$C1058*CW1057</f>
        <v/>
      </c>
      <c r="CX1058">
        <f>$C1058*CX1057</f>
        <v/>
      </c>
      <c r="CY1058">
        <f>$C1058*CY1057</f>
        <v/>
      </c>
      <c r="CZ1058">
        <f>$C1058*CZ1057</f>
        <v/>
      </c>
      <c r="DA1058">
        <f>$C1058*DA1057</f>
        <v/>
      </c>
      <c r="DB1058">
        <f>$C1058*DB1057</f>
        <v/>
      </c>
      <c r="DC1058">
        <f>$C1058*DC1057</f>
        <v/>
      </c>
    </row>
    <row r="1059">
      <c r="B1059" t="inlineStr">
        <is>
          <t>VSP-990</t>
        </is>
      </c>
      <c r="C1059" t="inlineStr">
        <is>
          <t>No. of batches</t>
        </is>
      </c>
      <c r="D1059">
        <f>IFERROR(INDEX(PP_Grid[#Data],$DD1059,2),0)</f>
        <v/>
      </c>
      <c r="E1059">
        <f>IFERROR(INDEX(PP_Grid[#Data],$DD1059,3),0)</f>
        <v/>
      </c>
      <c r="F1059">
        <f>IFERROR(INDEX(PP_Grid[#Data],$DD1059,4),0)</f>
        <v/>
      </c>
      <c r="G1059">
        <f>IFERROR(INDEX(PP_Grid[#Data],$DD1059,5),0)</f>
        <v/>
      </c>
      <c r="H1059">
        <f>IFERROR(INDEX(PP_Grid[#Data],$DD1059,6),0)</f>
        <v/>
      </c>
      <c r="I1059">
        <f>IFERROR(INDEX(PP_Grid[#Data],$DD1059,7),0)</f>
        <v/>
      </c>
      <c r="J1059">
        <f>IFERROR(INDEX(PP_Grid[#Data],$DD1059,8),0)</f>
        <v/>
      </c>
      <c r="K1059">
        <f>IFERROR(INDEX(PP_Grid[#Data],$DD1059,9),0)</f>
        <v/>
      </c>
      <c r="L1059">
        <f>IFERROR(INDEX(PP_Grid[#Data],$DD1059,10),0)</f>
        <v/>
      </c>
      <c r="M1059">
        <f>IFERROR(INDEX(PP_Grid[#Data],$DD1059,11),0)</f>
        <v/>
      </c>
      <c r="N1059">
        <f>IFERROR(INDEX(PP_Grid[#Data],$DD1059,12),0)</f>
        <v/>
      </c>
      <c r="O1059">
        <f>IFERROR(INDEX(PP_Grid[#Data],$DD1059,13),0)</f>
        <v/>
      </c>
      <c r="P1059">
        <f>IFERROR(INDEX(PP_Grid[#Data],$DD1059,14),0)</f>
        <v/>
      </c>
      <c r="Q1059">
        <f>IFERROR(INDEX(PP_Grid[#Data],$DD1059,15),0)</f>
        <v/>
      </c>
      <c r="R1059">
        <f>IFERROR(INDEX(PP_Grid[#Data],$DD1059,16),0)</f>
        <v/>
      </c>
      <c r="S1059">
        <f>IFERROR(INDEX(PP_Grid[#Data],$DD1059,17),0)</f>
        <v/>
      </c>
      <c r="T1059">
        <f>IFERROR(INDEX(PP_Grid[#Data],$DD1059,18),0)</f>
        <v/>
      </c>
      <c r="U1059">
        <f>IFERROR(INDEX(PP_Grid[#Data],$DD1059,19),0)</f>
        <v/>
      </c>
      <c r="V1059">
        <f>IFERROR(INDEX(PP_Grid[#Data],$DD1059,20),0)</f>
        <v/>
      </c>
      <c r="W1059">
        <f>IFERROR(INDEX(PP_Grid[#Data],$DD1059,21),0)</f>
        <v/>
      </c>
      <c r="X1059">
        <f>IFERROR(INDEX(PP_Grid[#Data],$DD1059,22),0)</f>
        <v/>
      </c>
      <c r="Y1059">
        <f>IFERROR(INDEX(PP_Grid[#Data],$DD1059,23),0)</f>
        <v/>
      </c>
      <c r="Z1059">
        <f>IFERROR(INDEX(PP_Grid[#Data],$DD1059,24),0)</f>
        <v/>
      </c>
      <c r="AA1059">
        <f>IFERROR(INDEX(PP_Grid[#Data],$DD1059,25),0)</f>
        <v/>
      </c>
      <c r="AB1059">
        <f>IFERROR(INDEX(PP_Grid[#Data],$DD1059,26),0)</f>
        <v/>
      </c>
      <c r="AC1059">
        <f>IFERROR(INDEX(PP_Grid[#Data],$DD1059,27),0)</f>
        <v/>
      </c>
      <c r="AD1059">
        <f>IFERROR(INDEX(PP_Grid[#Data],$DD1059,28),0)</f>
        <v/>
      </c>
      <c r="AE1059">
        <f>IFERROR(INDEX(PP_Grid[#Data],$DD1059,29),0)</f>
        <v/>
      </c>
      <c r="AF1059">
        <f>IFERROR(INDEX(PP_Grid[#Data],$DD1059,30),0)</f>
        <v/>
      </c>
      <c r="AG1059">
        <f>IFERROR(INDEX(PP_Grid[#Data],$DD1059,31),0)</f>
        <v/>
      </c>
      <c r="AH1059">
        <f>IFERROR(INDEX(PP_Grid[#Data],$DD1059,32),0)</f>
        <v/>
      </c>
      <c r="AI1059">
        <f>IFERROR(INDEX(PP_Grid[#Data],$DD1059,33),0)</f>
        <v/>
      </c>
      <c r="AJ1059">
        <f>IFERROR(INDEX(PP_Grid[#Data],$DD1059,34),0)</f>
        <v/>
      </c>
      <c r="AK1059">
        <f>IFERROR(INDEX(PP_Grid[#Data],$DD1059,35),0)</f>
        <v/>
      </c>
      <c r="AL1059">
        <f>IFERROR(INDEX(PP_Grid[#Data],$DD1059,36),0)</f>
        <v/>
      </c>
      <c r="AM1059">
        <f>IFERROR(INDEX(PP_Grid[#Data],$DD1059,37),0)</f>
        <v/>
      </c>
      <c r="AN1059">
        <f>IFERROR(INDEX(PP_Grid[#Data],$DD1059,38),0)</f>
        <v/>
      </c>
      <c r="AO1059">
        <f>IFERROR(INDEX(PP_Grid[#Data],$DD1059,39),0)</f>
        <v/>
      </c>
      <c r="AP1059">
        <f>IFERROR(INDEX(PP_Grid[#Data],$DD1059,40),0)</f>
        <v/>
      </c>
      <c r="AQ1059">
        <f>IFERROR(INDEX(PP_Grid[#Data],$DD1059,41),0)</f>
        <v/>
      </c>
      <c r="AR1059">
        <f>IFERROR(INDEX(PP_Grid[#Data],$DD1059,42),0)</f>
        <v/>
      </c>
      <c r="AS1059">
        <f>IFERROR(INDEX(PP_Grid[#Data],$DD1059,43),0)</f>
        <v/>
      </c>
      <c r="AT1059">
        <f>IFERROR(INDEX(PP_Grid[#Data],$DD1059,44),0)</f>
        <v/>
      </c>
      <c r="AU1059">
        <f>IFERROR(INDEX(PP_Grid[#Data],$DD1059,45),0)</f>
        <v/>
      </c>
      <c r="AV1059">
        <f>IFERROR(INDEX(PP_Grid[#Data],$DD1059,46),0)</f>
        <v/>
      </c>
      <c r="AW1059">
        <f>IFERROR(INDEX(PP_Grid[#Data],$DD1059,47),0)</f>
        <v/>
      </c>
      <c r="AX1059">
        <f>IFERROR(INDEX(PP_Grid[#Data],$DD1059,48),0)</f>
        <v/>
      </c>
      <c r="AY1059">
        <f>IFERROR(INDEX(PP_Grid[#Data],$DD1059,49),0)</f>
        <v/>
      </c>
      <c r="AZ1059">
        <f>IFERROR(INDEX(PP_Grid[#Data],$DD1059,50),0)</f>
        <v/>
      </c>
      <c r="BA1059">
        <f>IFERROR(INDEX(PP_Grid[#Data],$DD1059,51),0)</f>
        <v/>
      </c>
      <c r="BB1059">
        <f>IFERROR(INDEX(PP_Grid[#Data],$DD1059,52),0)</f>
        <v/>
      </c>
      <c r="BC1059">
        <f>IFERROR(INDEX(PP_Grid[#Data],$DD1059,53),0)</f>
        <v/>
      </c>
      <c r="BD1059">
        <f>IFERROR(INDEX(PP_Grid[#Data],$DD1059,54),0)</f>
        <v/>
      </c>
      <c r="BE1059">
        <f>IFERROR(INDEX(PP_Grid[#Data],$DD1059,55),0)</f>
        <v/>
      </c>
      <c r="BF1059">
        <f>IFERROR(INDEX(PP_Grid[#Data],$DD1059,56),0)</f>
        <v/>
      </c>
      <c r="BG1059">
        <f>IFERROR(INDEX(PP_Grid[#Data],$DD1059,57),0)</f>
        <v/>
      </c>
      <c r="BH1059">
        <f>IFERROR(INDEX(PP_Grid[#Data],$DD1059,58),0)</f>
        <v/>
      </c>
      <c r="BI1059">
        <f>IFERROR(INDEX(PP_Grid[#Data],$DD1059,59),0)</f>
        <v/>
      </c>
      <c r="BJ1059">
        <f>IFERROR(INDEX(PP_Grid[#Data],$DD1059,60),0)</f>
        <v/>
      </c>
      <c r="BK1059">
        <f>IFERROR(INDEX(PP_Grid[#Data],$DD1059,61),0)</f>
        <v/>
      </c>
      <c r="BL1059">
        <f>IFERROR(INDEX(PP_Grid[#Data],$DD1059,62),0)</f>
        <v/>
      </c>
      <c r="BM1059">
        <f>IFERROR(INDEX(PP_Grid[#Data],$DD1059,63),0)</f>
        <v/>
      </c>
      <c r="BN1059">
        <f>IFERROR(INDEX(PP_Grid[#Data],$DD1059,64),0)</f>
        <v/>
      </c>
      <c r="BO1059">
        <f>IFERROR(INDEX(PP_Grid[#Data],$DD1059,65),0)</f>
        <v/>
      </c>
      <c r="BP1059">
        <f>IFERROR(INDEX(PP_Grid[#Data],$DD1059,66),0)</f>
        <v/>
      </c>
      <c r="BQ1059">
        <f>IFERROR(INDEX(PP_Grid[#Data],$DD1059,67),0)</f>
        <v/>
      </c>
      <c r="BR1059">
        <f>IFERROR(INDEX(PP_Grid[#Data],$DD1059,68),0)</f>
        <v/>
      </c>
      <c r="BS1059">
        <f>IFERROR(INDEX(PP_Grid[#Data],$DD1059,69),0)</f>
        <v/>
      </c>
      <c r="BT1059">
        <f>IFERROR(INDEX(PP_Grid[#Data],$DD1059,70),0)</f>
        <v/>
      </c>
      <c r="BU1059">
        <f>IFERROR(INDEX(PP_Grid[#Data],$DD1059,71),0)</f>
        <v/>
      </c>
      <c r="BV1059">
        <f>IFERROR(INDEX(PP_Grid[#Data],$DD1059,72),0)</f>
        <v/>
      </c>
      <c r="BW1059">
        <f>IFERROR(INDEX(PP_Grid[#Data],$DD1059,73),0)</f>
        <v/>
      </c>
      <c r="BX1059">
        <f>IFERROR(INDEX(PP_Grid[#Data],$DD1059,74),0)</f>
        <v/>
      </c>
      <c r="BY1059">
        <f>IFERROR(INDEX(PP_Grid[#Data],$DD1059,75),0)</f>
        <v/>
      </c>
      <c r="BZ1059">
        <f>IFERROR(INDEX(PP_Grid[#Data],$DD1059,76),0)</f>
        <v/>
      </c>
      <c r="CA1059">
        <f>IFERROR(INDEX(PP_Grid[#Data],$DD1059,77),0)</f>
        <v/>
      </c>
      <c r="CB1059">
        <f>IFERROR(INDEX(PP_Grid[#Data],$DD1059,78),0)</f>
        <v/>
      </c>
      <c r="CC1059">
        <f>IFERROR(INDEX(PP_Grid[#Data],$DD1059,79),0)</f>
        <v/>
      </c>
      <c r="CD1059">
        <f>IFERROR(INDEX(PP_Grid[#Data],$DD1059,80),0)</f>
        <v/>
      </c>
      <c r="CE1059">
        <f>IFERROR(INDEX(PP_Grid[#Data],$DD1059,81),0)</f>
        <v/>
      </c>
      <c r="CF1059">
        <f>IFERROR(INDEX(PP_Grid[#Data],$DD1059,82),0)</f>
        <v/>
      </c>
      <c r="CG1059">
        <f>IFERROR(INDEX(PP_Grid[#Data],$DD1059,83),0)</f>
        <v/>
      </c>
      <c r="CH1059">
        <f>IFERROR(INDEX(PP_Grid[#Data],$DD1059,84),0)</f>
        <v/>
      </c>
      <c r="CI1059">
        <f>IFERROR(INDEX(PP_Grid[#Data],$DD1059,85),0)</f>
        <v/>
      </c>
      <c r="CJ1059">
        <f>IFERROR(INDEX(PP_Grid[#Data],$DD1059,86),0)</f>
        <v/>
      </c>
      <c r="CK1059">
        <f>IFERROR(INDEX(PP_Grid[#Data],$DD1059,87),0)</f>
        <v/>
      </c>
      <c r="CL1059">
        <f>IFERROR(INDEX(PP_Grid[#Data],$DD1059,88),0)</f>
        <v/>
      </c>
      <c r="CM1059">
        <f>IFERROR(INDEX(PP_Grid[#Data],$DD1059,89),0)</f>
        <v/>
      </c>
      <c r="CN1059">
        <f>IFERROR(INDEX(PP_Grid[#Data],$DD1059,90),0)</f>
        <v/>
      </c>
      <c r="CO1059">
        <f>IFERROR(INDEX(PP_Grid[#Data],$DD1059,91),0)</f>
        <v/>
      </c>
      <c r="CP1059">
        <f>IFERROR(INDEX(PP_Grid[#Data],$DD1059,92),0)</f>
        <v/>
      </c>
      <c r="CQ1059">
        <f>IFERROR(INDEX(PP_Grid[#Data],$DD1059,93),0)</f>
        <v/>
      </c>
      <c r="CR1059">
        <f>IFERROR(INDEX(PP_Grid[#Data],$DD1059,94),0)</f>
        <v/>
      </c>
      <c r="CS1059">
        <f>IFERROR(INDEX(PP_Grid[#Data],$DD1059,95),0)</f>
        <v/>
      </c>
      <c r="CT1059">
        <f>IFERROR(INDEX(PP_Grid[#Data],$DD1059,96),0)</f>
        <v/>
      </c>
      <c r="CU1059">
        <f>IFERROR(INDEX(PP_Grid[#Data],$DD1059,97),0)</f>
        <v/>
      </c>
      <c r="CV1059">
        <f>IFERROR(INDEX(PP_Grid[#Data],$DD1059,98),0)</f>
        <v/>
      </c>
      <c r="CW1059">
        <f>IFERROR(INDEX(PP_Grid[#Data],$DD1059,99),0)</f>
        <v/>
      </c>
      <c r="CX1059">
        <f>IFERROR(INDEX(PP_Grid[#Data],$DD1059,100),0)</f>
        <v/>
      </c>
      <c r="CY1059">
        <f>IFERROR(INDEX(PP_Grid[#Data],$DD1059,101),0)</f>
        <v/>
      </c>
      <c r="CZ1059">
        <f>IFERROR(INDEX(PP_Grid[#Data],$DD1059,102),0)</f>
        <v/>
      </c>
      <c r="DA1059">
        <f>IFERROR(INDEX(PP_Grid[#Data],$DD1059,103),0)</f>
        <v/>
      </c>
      <c r="DB1059">
        <f>IFERROR(INDEX(PP_Grid[#Data],$DD1059,104),0)</f>
        <v/>
      </c>
      <c r="DC1059">
        <f>IFERROR(INDEX(PP_Grid[#Data],$DD1059,105),0)</f>
        <v/>
      </c>
      <c r="DD1059" s="12">
        <f>IFERROR(MATCH($B1059,PP_Grid[Intermediate],0),99999)</f>
        <v/>
      </c>
    </row>
    <row r="1060">
      <c r="B1060" t="inlineStr">
        <is>
          <t>使用量(kg)</t>
        </is>
      </c>
      <c r="C1060">
        <f>SUMIFS(M_BOM[RM_Qty_Per_Batch],M_BOM[Intermediate],$B1059,M_BOM[Part Name],$A988)</f>
        <v/>
      </c>
      <c r="D1060">
        <f>$C1060*D1059</f>
        <v/>
      </c>
      <c r="E1060">
        <f>$C1060*E1059</f>
        <v/>
      </c>
      <c r="F1060">
        <f>$C1060*F1059</f>
        <v/>
      </c>
      <c r="G1060">
        <f>$C1060*G1059</f>
        <v/>
      </c>
      <c r="H1060">
        <f>$C1060*H1059</f>
        <v/>
      </c>
      <c r="I1060">
        <f>$C1060*I1059</f>
        <v/>
      </c>
      <c r="J1060">
        <f>$C1060*J1059</f>
        <v/>
      </c>
      <c r="K1060">
        <f>$C1060*K1059</f>
        <v/>
      </c>
      <c r="L1060">
        <f>$C1060*L1059</f>
        <v/>
      </c>
      <c r="M1060">
        <f>$C1060*M1059</f>
        <v/>
      </c>
      <c r="N1060">
        <f>$C1060*N1059</f>
        <v/>
      </c>
      <c r="O1060">
        <f>$C1060*O1059</f>
        <v/>
      </c>
      <c r="P1060">
        <f>$C1060*P1059</f>
        <v/>
      </c>
      <c r="Q1060">
        <f>$C1060*Q1059</f>
        <v/>
      </c>
      <c r="R1060">
        <f>$C1060*R1059</f>
        <v/>
      </c>
      <c r="S1060">
        <f>$C1060*S1059</f>
        <v/>
      </c>
      <c r="T1060">
        <f>$C1060*T1059</f>
        <v/>
      </c>
      <c r="U1060">
        <f>$C1060*U1059</f>
        <v/>
      </c>
      <c r="V1060">
        <f>$C1060*V1059</f>
        <v/>
      </c>
      <c r="W1060">
        <f>$C1060*W1059</f>
        <v/>
      </c>
      <c r="X1060">
        <f>$C1060*X1059</f>
        <v/>
      </c>
      <c r="Y1060">
        <f>$C1060*Y1059</f>
        <v/>
      </c>
      <c r="Z1060">
        <f>$C1060*Z1059</f>
        <v/>
      </c>
      <c r="AA1060">
        <f>$C1060*AA1059</f>
        <v/>
      </c>
      <c r="AB1060">
        <f>$C1060*AB1059</f>
        <v/>
      </c>
      <c r="AC1060">
        <f>$C1060*AC1059</f>
        <v/>
      </c>
      <c r="AD1060">
        <f>$C1060*AD1059</f>
        <v/>
      </c>
      <c r="AE1060">
        <f>$C1060*AE1059</f>
        <v/>
      </c>
      <c r="AF1060">
        <f>$C1060*AF1059</f>
        <v/>
      </c>
      <c r="AG1060">
        <f>$C1060*AG1059</f>
        <v/>
      </c>
      <c r="AH1060">
        <f>$C1060*AH1059</f>
        <v/>
      </c>
      <c r="AI1060">
        <f>$C1060*AI1059</f>
        <v/>
      </c>
      <c r="AJ1060">
        <f>$C1060*AJ1059</f>
        <v/>
      </c>
      <c r="AK1060">
        <f>$C1060*AK1059</f>
        <v/>
      </c>
      <c r="AL1060">
        <f>$C1060*AL1059</f>
        <v/>
      </c>
      <c r="AM1060">
        <f>$C1060*AM1059</f>
        <v/>
      </c>
      <c r="AN1060">
        <f>$C1060*AN1059</f>
        <v/>
      </c>
      <c r="AO1060">
        <f>$C1060*AO1059</f>
        <v/>
      </c>
      <c r="AP1060">
        <f>$C1060*AP1059</f>
        <v/>
      </c>
      <c r="AQ1060">
        <f>$C1060*AQ1059</f>
        <v/>
      </c>
      <c r="AR1060">
        <f>$C1060*AR1059</f>
        <v/>
      </c>
      <c r="AS1060">
        <f>$C1060*AS1059</f>
        <v/>
      </c>
      <c r="AT1060">
        <f>$C1060*AT1059</f>
        <v/>
      </c>
      <c r="AU1060">
        <f>$C1060*AU1059</f>
        <v/>
      </c>
      <c r="AV1060">
        <f>$C1060*AV1059</f>
        <v/>
      </c>
      <c r="AW1060">
        <f>$C1060*AW1059</f>
        <v/>
      </c>
      <c r="AX1060">
        <f>$C1060*AX1059</f>
        <v/>
      </c>
      <c r="AY1060">
        <f>$C1060*AY1059</f>
        <v/>
      </c>
      <c r="AZ1060">
        <f>$C1060*AZ1059</f>
        <v/>
      </c>
      <c r="BA1060">
        <f>$C1060*BA1059</f>
        <v/>
      </c>
      <c r="BB1060">
        <f>$C1060*BB1059</f>
        <v/>
      </c>
      <c r="BC1060">
        <f>$C1060*BC1059</f>
        <v/>
      </c>
      <c r="BD1060">
        <f>$C1060*BD1059</f>
        <v/>
      </c>
      <c r="BE1060">
        <f>$C1060*BE1059</f>
        <v/>
      </c>
      <c r="BF1060">
        <f>$C1060*BF1059</f>
        <v/>
      </c>
      <c r="BG1060">
        <f>$C1060*BG1059</f>
        <v/>
      </c>
      <c r="BH1060">
        <f>$C1060*BH1059</f>
        <v/>
      </c>
      <c r="BI1060">
        <f>$C1060*BI1059</f>
        <v/>
      </c>
      <c r="BJ1060">
        <f>$C1060*BJ1059</f>
        <v/>
      </c>
      <c r="BK1060">
        <f>$C1060*BK1059</f>
        <v/>
      </c>
      <c r="BL1060">
        <f>$C1060*BL1059</f>
        <v/>
      </c>
      <c r="BM1060">
        <f>$C1060*BM1059</f>
        <v/>
      </c>
      <c r="BN1060">
        <f>$C1060*BN1059</f>
        <v/>
      </c>
      <c r="BO1060">
        <f>$C1060*BO1059</f>
        <v/>
      </c>
      <c r="BP1060">
        <f>$C1060*BP1059</f>
        <v/>
      </c>
      <c r="BQ1060">
        <f>$C1060*BQ1059</f>
        <v/>
      </c>
      <c r="BR1060">
        <f>$C1060*BR1059</f>
        <v/>
      </c>
      <c r="BS1060">
        <f>$C1060*BS1059</f>
        <v/>
      </c>
      <c r="BT1060">
        <f>$C1060*BT1059</f>
        <v/>
      </c>
      <c r="BU1060">
        <f>$C1060*BU1059</f>
        <v/>
      </c>
      <c r="BV1060">
        <f>$C1060*BV1059</f>
        <v/>
      </c>
      <c r="BW1060">
        <f>$C1060*BW1059</f>
        <v/>
      </c>
      <c r="BX1060">
        <f>$C1060*BX1059</f>
        <v/>
      </c>
      <c r="BY1060">
        <f>$C1060*BY1059</f>
        <v/>
      </c>
      <c r="BZ1060">
        <f>$C1060*BZ1059</f>
        <v/>
      </c>
      <c r="CA1060">
        <f>$C1060*CA1059</f>
        <v/>
      </c>
      <c r="CB1060">
        <f>$C1060*CB1059</f>
        <v/>
      </c>
      <c r="CC1060">
        <f>$C1060*CC1059</f>
        <v/>
      </c>
      <c r="CD1060">
        <f>$C1060*CD1059</f>
        <v/>
      </c>
      <c r="CE1060">
        <f>$C1060*CE1059</f>
        <v/>
      </c>
      <c r="CF1060">
        <f>$C1060*CF1059</f>
        <v/>
      </c>
      <c r="CG1060">
        <f>$C1060*CG1059</f>
        <v/>
      </c>
      <c r="CH1060">
        <f>$C1060*CH1059</f>
        <v/>
      </c>
      <c r="CI1060">
        <f>$C1060*CI1059</f>
        <v/>
      </c>
      <c r="CJ1060">
        <f>$C1060*CJ1059</f>
        <v/>
      </c>
      <c r="CK1060">
        <f>$C1060*CK1059</f>
        <v/>
      </c>
      <c r="CL1060">
        <f>$C1060*CL1059</f>
        <v/>
      </c>
      <c r="CM1060">
        <f>$C1060*CM1059</f>
        <v/>
      </c>
      <c r="CN1060">
        <f>$C1060*CN1059</f>
        <v/>
      </c>
      <c r="CO1060">
        <f>$C1060*CO1059</f>
        <v/>
      </c>
      <c r="CP1060">
        <f>$C1060*CP1059</f>
        <v/>
      </c>
      <c r="CQ1060">
        <f>$C1060*CQ1059</f>
        <v/>
      </c>
      <c r="CR1060">
        <f>$C1060*CR1059</f>
        <v/>
      </c>
      <c r="CS1060">
        <f>$C1060*CS1059</f>
        <v/>
      </c>
      <c r="CT1060">
        <f>$C1060*CT1059</f>
        <v/>
      </c>
      <c r="CU1060">
        <f>$C1060*CU1059</f>
        <v/>
      </c>
      <c r="CV1060">
        <f>$C1060*CV1059</f>
        <v/>
      </c>
      <c r="CW1060">
        <f>$C1060*CW1059</f>
        <v/>
      </c>
      <c r="CX1060">
        <f>$C1060*CX1059</f>
        <v/>
      </c>
      <c r="CY1060">
        <f>$C1060*CY1059</f>
        <v/>
      </c>
      <c r="CZ1060">
        <f>$C1060*CZ1059</f>
        <v/>
      </c>
      <c r="DA1060">
        <f>$C1060*DA1059</f>
        <v/>
      </c>
      <c r="DB1060">
        <f>$C1060*DB1059</f>
        <v/>
      </c>
      <c r="DC1060">
        <f>$C1060*DC1059</f>
        <v/>
      </c>
    </row>
    <row r="1061">
      <c r="B1061" s="5" t="inlineStr">
        <is>
          <t>合計使用量(kg)/週</t>
        </is>
      </c>
      <c r="D1061">
        <f>'Grid_Requirement'!B44</f>
        <v/>
      </c>
      <c r="E1061">
        <f>'Grid_Requirement'!C44</f>
        <v/>
      </c>
      <c r="F1061">
        <f>'Grid_Requirement'!D44</f>
        <v/>
      </c>
      <c r="G1061">
        <f>'Grid_Requirement'!E44</f>
        <v/>
      </c>
      <c r="H1061">
        <f>'Grid_Requirement'!F44</f>
        <v/>
      </c>
      <c r="I1061">
        <f>'Grid_Requirement'!G44</f>
        <v/>
      </c>
      <c r="J1061">
        <f>'Grid_Requirement'!H44</f>
        <v/>
      </c>
      <c r="K1061">
        <f>'Grid_Requirement'!I44</f>
        <v/>
      </c>
      <c r="L1061">
        <f>'Grid_Requirement'!J44</f>
        <v/>
      </c>
      <c r="M1061">
        <f>'Grid_Requirement'!K44</f>
        <v/>
      </c>
      <c r="N1061">
        <f>'Grid_Requirement'!L44</f>
        <v/>
      </c>
      <c r="O1061">
        <f>'Grid_Requirement'!M44</f>
        <v/>
      </c>
      <c r="P1061">
        <f>'Grid_Requirement'!N44</f>
        <v/>
      </c>
      <c r="Q1061">
        <f>'Grid_Requirement'!O44</f>
        <v/>
      </c>
      <c r="R1061">
        <f>'Grid_Requirement'!P44</f>
        <v/>
      </c>
      <c r="S1061">
        <f>'Grid_Requirement'!Q44</f>
        <v/>
      </c>
      <c r="T1061">
        <f>'Grid_Requirement'!R44</f>
        <v/>
      </c>
      <c r="U1061">
        <f>'Grid_Requirement'!S44</f>
        <v/>
      </c>
      <c r="V1061">
        <f>'Grid_Requirement'!T44</f>
        <v/>
      </c>
      <c r="W1061">
        <f>'Grid_Requirement'!U44</f>
        <v/>
      </c>
      <c r="X1061">
        <f>'Grid_Requirement'!V44</f>
        <v/>
      </c>
      <c r="Y1061">
        <f>'Grid_Requirement'!W44</f>
        <v/>
      </c>
      <c r="Z1061">
        <f>'Grid_Requirement'!X44</f>
        <v/>
      </c>
      <c r="AA1061">
        <f>'Grid_Requirement'!Y44</f>
        <v/>
      </c>
      <c r="AB1061">
        <f>'Grid_Requirement'!Z44</f>
        <v/>
      </c>
      <c r="AC1061">
        <f>'Grid_Requirement'!AA44</f>
        <v/>
      </c>
      <c r="AD1061">
        <f>'Grid_Requirement'!AB44</f>
        <v/>
      </c>
      <c r="AE1061">
        <f>'Grid_Requirement'!AC44</f>
        <v/>
      </c>
      <c r="AF1061">
        <f>'Grid_Requirement'!AD44</f>
        <v/>
      </c>
      <c r="AG1061">
        <f>'Grid_Requirement'!AE44</f>
        <v/>
      </c>
      <c r="AH1061">
        <f>'Grid_Requirement'!AF44</f>
        <v/>
      </c>
      <c r="AI1061">
        <f>'Grid_Requirement'!AG44</f>
        <v/>
      </c>
      <c r="AJ1061">
        <f>'Grid_Requirement'!AH44</f>
        <v/>
      </c>
      <c r="AK1061">
        <f>'Grid_Requirement'!AI44</f>
        <v/>
      </c>
      <c r="AL1061">
        <f>'Grid_Requirement'!AJ44</f>
        <v/>
      </c>
      <c r="AM1061">
        <f>'Grid_Requirement'!AK44</f>
        <v/>
      </c>
      <c r="AN1061">
        <f>'Grid_Requirement'!AL44</f>
        <v/>
      </c>
      <c r="AO1061">
        <f>'Grid_Requirement'!AM44</f>
        <v/>
      </c>
      <c r="AP1061">
        <f>'Grid_Requirement'!AN44</f>
        <v/>
      </c>
      <c r="AQ1061">
        <f>'Grid_Requirement'!AO44</f>
        <v/>
      </c>
      <c r="AR1061">
        <f>'Grid_Requirement'!AP44</f>
        <v/>
      </c>
      <c r="AS1061">
        <f>'Grid_Requirement'!AQ44</f>
        <v/>
      </c>
      <c r="AT1061">
        <f>'Grid_Requirement'!AR44</f>
        <v/>
      </c>
      <c r="AU1061">
        <f>'Grid_Requirement'!AS44</f>
        <v/>
      </c>
      <c r="AV1061">
        <f>'Grid_Requirement'!AT44</f>
        <v/>
      </c>
      <c r="AW1061">
        <f>'Grid_Requirement'!AU44</f>
        <v/>
      </c>
      <c r="AX1061">
        <f>'Grid_Requirement'!AV44</f>
        <v/>
      </c>
      <c r="AY1061">
        <f>'Grid_Requirement'!AW44</f>
        <v/>
      </c>
      <c r="AZ1061">
        <f>'Grid_Requirement'!AX44</f>
        <v/>
      </c>
      <c r="BA1061">
        <f>'Grid_Requirement'!AY44</f>
        <v/>
      </c>
      <c r="BB1061">
        <f>'Grid_Requirement'!AZ44</f>
        <v/>
      </c>
      <c r="BC1061">
        <f>'Grid_Requirement'!BA44</f>
        <v/>
      </c>
      <c r="BD1061">
        <f>'Grid_Requirement'!BB44</f>
        <v/>
      </c>
      <c r="BE1061">
        <f>'Grid_Requirement'!BC44</f>
        <v/>
      </c>
      <c r="BF1061">
        <f>'Grid_Requirement'!BD44</f>
        <v/>
      </c>
      <c r="BG1061">
        <f>'Grid_Requirement'!BE44</f>
        <v/>
      </c>
      <c r="BH1061">
        <f>'Grid_Requirement'!BF44</f>
        <v/>
      </c>
      <c r="BI1061">
        <f>'Grid_Requirement'!BG44</f>
        <v/>
      </c>
      <c r="BJ1061">
        <f>'Grid_Requirement'!BH44</f>
        <v/>
      </c>
      <c r="BK1061">
        <f>'Grid_Requirement'!BI44</f>
        <v/>
      </c>
      <c r="BL1061">
        <f>'Grid_Requirement'!BJ44</f>
        <v/>
      </c>
      <c r="BM1061">
        <f>'Grid_Requirement'!BK44</f>
        <v/>
      </c>
      <c r="BN1061">
        <f>'Grid_Requirement'!BL44</f>
        <v/>
      </c>
      <c r="BO1061">
        <f>'Grid_Requirement'!BM44</f>
        <v/>
      </c>
      <c r="BP1061">
        <f>'Grid_Requirement'!BN44</f>
        <v/>
      </c>
      <c r="BQ1061">
        <f>'Grid_Requirement'!BO44</f>
        <v/>
      </c>
      <c r="BR1061">
        <f>'Grid_Requirement'!BP44</f>
        <v/>
      </c>
      <c r="BS1061">
        <f>'Grid_Requirement'!BQ44</f>
        <v/>
      </c>
      <c r="BT1061">
        <f>'Grid_Requirement'!BR44</f>
        <v/>
      </c>
      <c r="BU1061">
        <f>'Grid_Requirement'!BS44</f>
        <v/>
      </c>
      <c r="BV1061">
        <f>'Grid_Requirement'!BT44</f>
        <v/>
      </c>
      <c r="BW1061">
        <f>'Grid_Requirement'!BU44</f>
        <v/>
      </c>
      <c r="BX1061">
        <f>'Grid_Requirement'!BV44</f>
        <v/>
      </c>
      <c r="BY1061">
        <f>'Grid_Requirement'!BW44</f>
        <v/>
      </c>
      <c r="BZ1061">
        <f>'Grid_Requirement'!BX44</f>
        <v/>
      </c>
      <c r="CA1061">
        <f>'Grid_Requirement'!BY44</f>
        <v/>
      </c>
      <c r="CB1061">
        <f>'Grid_Requirement'!BZ44</f>
        <v/>
      </c>
      <c r="CC1061">
        <f>'Grid_Requirement'!CA44</f>
        <v/>
      </c>
      <c r="CD1061">
        <f>'Grid_Requirement'!CB44</f>
        <v/>
      </c>
      <c r="CE1061">
        <f>'Grid_Requirement'!CC44</f>
        <v/>
      </c>
      <c r="CF1061">
        <f>'Grid_Requirement'!CD44</f>
        <v/>
      </c>
      <c r="CG1061">
        <f>'Grid_Requirement'!CE44</f>
        <v/>
      </c>
      <c r="CH1061">
        <f>'Grid_Requirement'!CF44</f>
        <v/>
      </c>
      <c r="CI1061">
        <f>'Grid_Requirement'!CG44</f>
        <v/>
      </c>
      <c r="CJ1061">
        <f>'Grid_Requirement'!CH44</f>
        <v/>
      </c>
      <c r="CK1061">
        <f>'Grid_Requirement'!CI44</f>
        <v/>
      </c>
      <c r="CL1061">
        <f>'Grid_Requirement'!CJ44</f>
        <v/>
      </c>
      <c r="CM1061">
        <f>'Grid_Requirement'!CK44</f>
        <v/>
      </c>
      <c r="CN1061">
        <f>'Grid_Requirement'!CL44</f>
        <v/>
      </c>
      <c r="CO1061">
        <f>'Grid_Requirement'!CM44</f>
        <v/>
      </c>
      <c r="CP1061">
        <f>'Grid_Requirement'!CN44</f>
        <v/>
      </c>
      <c r="CQ1061">
        <f>'Grid_Requirement'!CO44</f>
        <v/>
      </c>
      <c r="CR1061">
        <f>'Grid_Requirement'!CP44</f>
        <v/>
      </c>
      <c r="CS1061">
        <f>'Grid_Requirement'!CQ44</f>
        <v/>
      </c>
      <c r="CT1061">
        <f>'Grid_Requirement'!CR44</f>
        <v/>
      </c>
      <c r="CU1061">
        <f>'Grid_Requirement'!CS44</f>
        <v/>
      </c>
      <c r="CV1061">
        <f>'Grid_Requirement'!CT44</f>
        <v/>
      </c>
      <c r="CW1061">
        <f>'Grid_Requirement'!CU44</f>
        <v/>
      </c>
      <c r="CX1061">
        <f>'Grid_Requirement'!CV44</f>
        <v/>
      </c>
      <c r="CY1061">
        <f>'Grid_Requirement'!CW44</f>
        <v/>
      </c>
      <c r="CZ1061">
        <f>'Grid_Requirement'!CX44</f>
        <v/>
      </c>
      <c r="DA1061">
        <f>'Grid_Requirement'!CY44</f>
        <v/>
      </c>
      <c r="DB1061">
        <f>'Grid_Requirement'!CZ44</f>
        <v/>
      </c>
      <c r="DC1061">
        <f>'Grid_Requirement'!DA44</f>
        <v/>
      </c>
    </row>
    <row r="1062">
      <c r="B1062" t="inlineStr">
        <is>
          <t>TTAF在庫(実績,kg)</t>
        </is>
      </c>
      <c r="D1062">
        <f>'T_TTAFStock'!B48</f>
        <v/>
      </c>
      <c r="E1062">
        <f>'T_TTAFStock'!C48</f>
        <v/>
      </c>
      <c r="F1062">
        <f>'T_TTAFStock'!D48</f>
        <v/>
      </c>
      <c r="G1062">
        <f>'T_TTAFStock'!E48</f>
        <v/>
      </c>
      <c r="H1062">
        <f>'T_TTAFStock'!F48</f>
        <v/>
      </c>
      <c r="I1062">
        <f>'T_TTAFStock'!G48</f>
        <v/>
      </c>
      <c r="J1062">
        <f>'T_TTAFStock'!H48</f>
        <v/>
      </c>
      <c r="K1062">
        <f>'T_TTAFStock'!I48</f>
        <v/>
      </c>
      <c r="L1062">
        <f>'T_TTAFStock'!J48</f>
        <v/>
      </c>
      <c r="M1062">
        <f>'T_TTAFStock'!K48</f>
        <v/>
      </c>
      <c r="N1062">
        <f>'T_TTAFStock'!L48</f>
        <v/>
      </c>
      <c r="O1062">
        <f>'T_TTAFStock'!M48</f>
        <v/>
      </c>
      <c r="P1062">
        <f>'T_TTAFStock'!N48</f>
        <v/>
      </c>
      <c r="Q1062">
        <f>'T_TTAFStock'!O48</f>
        <v/>
      </c>
      <c r="R1062">
        <f>'T_TTAFStock'!P48</f>
        <v/>
      </c>
      <c r="S1062">
        <f>'T_TTAFStock'!Q48</f>
        <v/>
      </c>
      <c r="T1062">
        <f>'T_TTAFStock'!R48</f>
        <v/>
      </c>
      <c r="U1062">
        <f>'T_TTAFStock'!S48</f>
        <v/>
      </c>
      <c r="V1062">
        <f>'T_TTAFStock'!T48</f>
        <v/>
      </c>
      <c r="W1062">
        <f>'T_TTAFStock'!U48</f>
        <v/>
      </c>
      <c r="X1062">
        <f>'T_TTAFStock'!V48</f>
        <v/>
      </c>
      <c r="Y1062">
        <f>'T_TTAFStock'!W48</f>
        <v/>
      </c>
      <c r="Z1062">
        <f>'T_TTAFStock'!X48</f>
        <v/>
      </c>
      <c r="AA1062">
        <f>'T_TTAFStock'!Y48</f>
        <v/>
      </c>
      <c r="AB1062">
        <f>'T_TTAFStock'!Z48</f>
        <v/>
      </c>
      <c r="AC1062">
        <f>'T_TTAFStock'!AA48</f>
        <v/>
      </c>
      <c r="AD1062">
        <f>'T_TTAFStock'!AB48</f>
        <v/>
      </c>
      <c r="AE1062">
        <f>'T_TTAFStock'!AC48</f>
        <v/>
      </c>
      <c r="AF1062">
        <f>'T_TTAFStock'!AD48</f>
        <v/>
      </c>
      <c r="AG1062">
        <f>'T_TTAFStock'!AE48</f>
        <v/>
      </c>
      <c r="AH1062">
        <f>'T_TTAFStock'!AF48</f>
        <v/>
      </c>
      <c r="AI1062">
        <f>'T_TTAFStock'!AG48</f>
        <v/>
      </c>
      <c r="AJ1062">
        <f>'T_TTAFStock'!AH48</f>
        <v/>
      </c>
      <c r="AK1062">
        <f>'T_TTAFStock'!AI48</f>
        <v/>
      </c>
      <c r="AL1062">
        <f>'T_TTAFStock'!AJ48</f>
        <v/>
      </c>
      <c r="AM1062">
        <f>'T_TTAFStock'!AK48</f>
        <v/>
      </c>
      <c r="AN1062">
        <f>'T_TTAFStock'!AL48</f>
        <v/>
      </c>
      <c r="AO1062">
        <f>'T_TTAFStock'!AM48</f>
        <v/>
      </c>
      <c r="AP1062">
        <f>'T_TTAFStock'!AN48</f>
        <v/>
      </c>
      <c r="AQ1062">
        <f>'T_TTAFStock'!AO48</f>
        <v/>
      </c>
      <c r="AR1062">
        <f>'T_TTAFStock'!AP48</f>
        <v/>
      </c>
      <c r="AS1062">
        <f>'T_TTAFStock'!AQ48</f>
        <v/>
      </c>
      <c r="AT1062">
        <f>'T_TTAFStock'!AR48</f>
        <v/>
      </c>
      <c r="AU1062">
        <f>'T_TTAFStock'!AS48</f>
        <v/>
      </c>
      <c r="AV1062">
        <f>'T_TTAFStock'!AT48</f>
        <v/>
      </c>
      <c r="AW1062">
        <f>'T_TTAFStock'!AU48</f>
        <v/>
      </c>
      <c r="AX1062">
        <f>'T_TTAFStock'!AV48</f>
        <v/>
      </c>
      <c r="AY1062">
        <f>'T_TTAFStock'!AW48</f>
        <v/>
      </c>
      <c r="AZ1062">
        <f>'T_TTAFStock'!AX48</f>
        <v/>
      </c>
      <c r="BA1062">
        <f>'T_TTAFStock'!AY48</f>
        <v/>
      </c>
      <c r="BB1062">
        <f>'T_TTAFStock'!AZ48</f>
        <v/>
      </c>
      <c r="BC1062">
        <f>'T_TTAFStock'!BA48</f>
        <v/>
      </c>
      <c r="BD1062">
        <f>'T_TTAFStock'!BB48</f>
        <v/>
      </c>
      <c r="BE1062">
        <f>'T_TTAFStock'!BC48</f>
        <v/>
      </c>
      <c r="BF1062">
        <f>'T_TTAFStock'!BD48</f>
        <v/>
      </c>
      <c r="BG1062">
        <f>'T_TTAFStock'!BE48</f>
        <v/>
      </c>
      <c r="BH1062">
        <f>'T_TTAFStock'!BF48</f>
        <v/>
      </c>
      <c r="BI1062">
        <f>'T_TTAFStock'!BG48</f>
        <v/>
      </c>
      <c r="BJ1062">
        <f>'T_TTAFStock'!BH48</f>
        <v/>
      </c>
      <c r="BK1062">
        <f>'T_TTAFStock'!BI48</f>
        <v/>
      </c>
      <c r="BL1062">
        <f>'T_TTAFStock'!BJ48</f>
        <v/>
      </c>
      <c r="BM1062">
        <f>'T_TTAFStock'!BK48</f>
        <v/>
      </c>
      <c r="BN1062">
        <f>'T_TTAFStock'!BL48</f>
        <v/>
      </c>
      <c r="BO1062">
        <f>'T_TTAFStock'!BM48</f>
        <v/>
      </c>
      <c r="BP1062">
        <f>'T_TTAFStock'!BN48</f>
        <v/>
      </c>
      <c r="BQ1062">
        <f>'T_TTAFStock'!BO48</f>
        <v/>
      </c>
      <c r="BR1062">
        <f>'T_TTAFStock'!BP48</f>
        <v/>
      </c>
      <c r="BS1062">
        <f>'T_TTAFStock'!BQ48</f>
        <v/>
      </c>
      <c r="BT1062">
        <f>'T_TTAFStock'!BR48</f>
        <v/>
      </c>
      <c r="BU1062">
        <f>'T_TTAFStock'!BS48</f>
        <v/>
      </c>
      <c r="BV1062">
        <f>'T_TTAFStock'!BT48</f>
        <v/>
      </c>
      <c r="BW1062">
        <f>'T_TTAFStock'!BU48</f>
        <v/>
      </c>
      <c r="BX1062">
        <f>'T_TTAFStock'!BV48</f>
        <v/>
      </c>
      <c r="BY1062">
        <f>'T_TTAFStock'!BW48</f>
        <v/>
      </c>
      <c r="BZ1062">
        <f>'T_TTAFStock'!BX48</f>
        <v/>
      </c>
      <c r="CA1062">
        <f>'T_TTAFStock'!BY48</f>
        <v/>
      </c>
      <c r="CB1062">
        <f>'T_TTAFStock'!BZ48</f>
        <v/>
      </c>
      <c r="CC1062">
        <f>'T_TTAFStock'!CA48</f>
        <v/>
      </c>
      <c r="CD1062">
        <f>'T_TTAFStock'!CB48</f>
        <v/>
      </c>
      <c r="CE1062">
        <f>'T_TTAFStock'!CC48</f>
        <v/>
      </c>
      <c r="CF1062">
        <f>'T_TTAFStock'!CD48</f>
        <v/>
      </c>
      <c r="CG1062">
        <f>'T_TTAFStock'!CE48</f>
        <v/>
      </c>
      <c r="CH1062">
        <f>'T_TTAFStock'!CF48</f>
        <v/>
      </c>
      <c r="CI1062">
        <f>'T_TTAFStock'!CG48</f>
        <v/>
      </c>
      <c r="CJ1062">
        <f>'T_TTAFStock'!CH48</f>
        <v/>
      </c>
      <c r="CK1062">
        <f>'T_TTAFStock'!CI48</f>
        <v/>
      </c>
      <c r="CL1062">
        <f>'T_TTAFStock'!CJ48</f>
        <v/>
      </c>
      <c r="CM1062">
        <f>'T_TTAFStock'!CK48</f>
        <v/>
      </c>
      <c r="CN1062">
        <f>'T_TTAFStock'!CL48</f>
        <v/>
      </c>
      <c r="CO1062">
        <f>'T_TTAFStock'!CM48</f>
        <v/>
      </c>
      <c r="CP1062">
        <f>'T_TTAFStock'!CN48</f>
        <v/>
      </c>
      <c r="CQ1062">
        <f>'T_TTAFStock'!CO48</f>
        <v/>
      </c>
      <c r="CR1062">
        <f>'T_TTAFStock'!CP48</f>
        <v/>
      </c>
      <c r="CS1062">
        <f>'T_TTAFStock'!CQ48</f>
        <v/>
      </c>
      <c r="CT1062">
        <f>'T_TTAFStock'!CR48</f>
        <v/>
      </c>
      <c r="CU1062">
        <f>'T_TTAFStock'!CS48</f>
        <v/>
      </c>
      <c r="CV1062">
        <f>'T_TTAFStock'!CT48</f>
        <v/>
      </c>
      <c r="CW1062">
        <f>'T_TTAFStock'!CU48</f>
        <v/>
      </c>
      <c r="CX1062">
        <f>'T_TTAFStock'!CV48</f>
        <v/>
      </c>
      <c r="CY1062">
        <f>'T_TTAFStock'!CW48</f>
        <v/>
      </c>
      <c r="CZ1062">
        <f>'T_TTAFStock'!CX48</f>
        <v/>
      </c>
      <c r="DA1062">
        <f>'T_TTAFStock'!CY48</f>
        <v/>
      </c>
      <c r="DB1062">
        <f>'T_TTAFStock'!CZ48</f>
        <v/>
      </c>
      <c r="DC1062">
        <f>'T_TTAFStock'!DA48</f>
        <v/>
      </c>
    </row>
    <row r="1063">
      <c r="B1063" t="inlineStr">
        <is>
          <t>自社在庫(実績,kg)</t>
        </is>
      </c>
      <c r="D1063">
        <f>'T_SelfStock'!B48</f>
        <v/>
      </c>
      <c r="E1063">
        <f>'T_SelfStock'!C48</f>
        <v/>
      </c>
      <c r="F1063">
        <f>'T_SelfStock'!D48</f>
        <v/>
      </c>
      <c r="G1063">
        <f>'T_SelfStock'!E48</f>
        <v/>
      </c>
      <c r="H1063">
        <f>'T_SelfStock'!F48</f>
        <v/>
      </c>
      <c r="I1063">
        <f>'T_SelfStock'!G48</f>
        <v/>
      </c>
      <c r="J1063">
        <f>'T_SelfStock'!H48</f>
        <v/>
      </c>
      <c r="K1063">
        <f>'T_SelfStock'!I48</f>
        <v/>
      </c>
      <c r="L1063">
        <f>'T_SelfStock'!J48</f>
        <v/>
      </c>
      <c r="M1063">
        <f>'T_SelfStock'!K48</f>
        <v/>
      </c>
      <c r="N1063">
        <f>'T_SelfStock'!L48</f>
        <v/>
      </c>
      <c r="O1063">
        <f>'T_SelfStock'!M48</f>
        <v/>
      </c>
      <c r="P1063">
        <f>'T_SelfStock'!N48</f>
        <v/>
      </c>
      <c r="Q1063">
        <f>'T_SelfStock'!O48</f>
        <v/>
      </c>
      <c r="R1063">
        <f>'T_SelfStock'!P48</f>
        <v/>
      </c>
      <c r="S1063">
        <f>'T_SelfStock'!Q48</f>
        <v/>
      </c>
      <c r="T1063">
        <f>'T_SelfStock'!R48</f>
        <v/>
      </c>
      <c r="U1063">
        <f>'T_SelfStock'!S48</f>
        <v/>
      </c>
      <c r="V1063">
        <f>'T_SelfStock'!T48</f>
        <v/>
      </c>
      <c r="W1063">
        <f>'T_SelfStock'!U48</f>
        <v/>
      </c>
      <c r="X1063">
        <f>'T_SelfStock'!V48</f>
        <v/>
      </c>
      <c r="Y1063">
        <f>'T_SelfStock'!W48</f>
        <v/>
      </c>
      <c r="Z1063">
        <f>'T_SelfStock'!X48</f>
        <v/>
      </c>
      <c r="AA1063">
        <f>'T_SelfStock'!Y48</f>
        <v/>
      </c>
      <c r="AB1063">
        <f>'T_SelfStock'!Z48</f>
        <v/>
      </c>
      <c r="AC1063">
        <f>'T_SelfStock'!AA48</f>
        <v/>
      </c>
      <c r="AD1063">
        <f>'T_SelfStock'!AB48</f>
        <v/>
      </c>
      <c r="AE1063">
        <f>'T_SelfStock'!AC48</f>
        <v/>
      </c>
      <c r="AF1063">
        <f>'T_SelfStock'!AD48</f>
        <v/>
      </c>
      <c r="AG1063">
        <f>'T_SelfStock'!AE48</f>
        <v/>
      </c>
      <c r="AH1063">
        <f>'T_SelfStock'!AF48</f>
        <v/>
      </c>
      <c r="AI1063">
        <f>'T_SelfStock'!AG48</f>
        <v/>
      </c>
      <c r="AJ1063">
        <f>'T_SelfStock'!AH48</f>
        <v/>
      </c>
      <c r="AK1063">
        <f>'T_SelfStock'!AI48</f>
        <v/>
      </c>
      <c r="AL1063">
        <f>'T_SelfStock'!AJ48</f>
        <v/>
      </c>
      <c r="AM1063">
        <f>'T_SelfStock'!AK48</f>
        <v/>
      </c>
      <c r="AN1063">
        <f>'T_SelfStock'!AL48</f>
        <v/>
      </c>
      <c r="AO1063">
        <f>'T_SelfStock'!AM48</f>
        <v/>
      </c>
      <c r="AP1063">
        <f>'T_SelfStock'!AN48</f>
        <v/>
      </c>
      <c r="AQ1063">
        <f>'T_SelfStock'!AO48</f>
        <v/>
      </c>
      <c r="AR1063">
        <f>'T_SelfStock'!AP48</f>
        <v/>
      </c>
      <c r="AS1063">
        <f>'T_SelfStock'!AQ48</f>
        <v/>
      </c>
      <c r="AT1063">
        <f>'T_SelfStock'!AR48</f>
        <v/>
      </c>
      <c r="AU1063">
        <f>'T_SelfStock'!AS48</f>
        <v/>
      </c>
      <c r="AV1063">
        <f>'T_SelfStock'!AT48</f>
        <v/>
      </c>
      <c r="AW1063">
        <f>'T_SelfStock'!AU48</f>
        <v/>
      </c>
      <c r="AX1063">
        <f>'T_SelfStock'!AV48</f>
        <v/>
      </c>
      <c r="AY1063">
        <f>'T_SelfStock'!AW48</f>
        <v/>
      </c>
      <c r="AZ1063">
        <f>'T_SelfStock'!AX48</f>
        <v/>
      </c>
      <c r="BA1063">
        <f>'T_SelfStock'!AY48</f>
        <v/>
      </c>
      <c r="BB1063">
        <f>'T_SelfStock'!AZ48</f>
        <v/>
      </c>
      <c r="BC1063">
        <f>'T_SelfStock'!BA48</f>
        <v/>
      </c>
      <c r="BD1063">
        <f>'T_SelfStock'!BB48</f>
        <v/>
      </c>
      <c r="BE1063">
        <f>'T_SelfStock'!BC48</f>
        <v/>
      </c>
      <c r="BF1063">
        <f>'T_SelfStock'!BD48</f>
        <v/>
      </c>
      <c r="BG1063">
        <f>'T_SelfStock'!BE48</f>
        <v/>
      </c>
      <c r="BH1063">
        <f>'T_SelfStock'!BF48</f>
        <v/>
      </c>
      <c r="BI1063">
        <f>'T_SelfStock'!BG48</f>
        <v/>
      </c>
      <c r="BJ1063">
        <f>'T_SelfStock'!BH48</f>
        <v/>
      </c>
      <c r="BK1063">
        <f>'T_SelfStock'!BI48</f>
        <v/>
      </c>
      <c r="BL1063">
        <f>'T_SelfStock'!BJ48</f>
        <v/>
      </c>
      <c r="BM1063">
        <f>'T_SelfStock'!BK48</f>
        <v/>
      </c>
      <c r="BN1063">
        <f>'T_SelfStock'!BL48</f>
        <v/>
      </c>
      <c r="BO1063">
        <f>'T_SelfStock'!BM48</f>
        <v/>
      </c>
      <c r="BP1063">
        <f>'T_SelfStock'!BN48</f>
        <v/>
      </c>
      <c r="BQ1063">
        <f>'T_SelfStock'!BO48</f>
        <v/>
      </c>
      <c r="BR1063">
        <f>'T_SelfStock'!BP48</f>
        <v/>
      </c>
      <c r="BS1063">
        <f>'T_SelfStock'!BQ48</f>
        <v/>
      </c>
      <c r="BT1063">
        <f>'T_SelfStock'!BR48</f>
        <v/>
      </c>
      <c r="BU1063">
        <f>'T_SelfStock'!BS48</f>
        <v/>
      </c>
      <c r="BV1063">
        <f>'T_SelfStock'!BT48</f>
        <v/>
      </c>
      <c r="BW1063">
        <f>'T_SelfStock'!BU48</f>
        <v/>
      </c>
      <c r="BX1063">
        <f>'T_SelfStock'!BV48</f>
        <v/>
      </c>
      <c r="BY1063">
        <f>'T_SelfStock'!BW48</f>
        <v/>
      </c>
      <c r="BZ1063">
        <f>'T_SelfStock'!BX48</f>
        <v/>
      </c>
      <c r="CA1063">
        <f>'T_SelfStock'!BY48</f>
        <v/>
      </c>
      <c r="CB1063">
        <f>'T_SelfStock'!BZ48</f>
        <v/>
      </c>
      <c r="CC1063">
        <f>'T_SelfStock'!CA48</f>
        <v/>
      </c>
      <c r="CD1063">
        <f>'T_SelfStock'!CB48</f>
        <v/>
      </c>
      <c r="CE1063">
        <f>'T_SelfStock'!CC48</f>
        <v/>
      </c>
      <c r="CF1063">
        <f>'T_SelfStock'!CD48</f>
        <v/>
      </c>
      <c r="CG1063">
        <f>'T_SelfStock'!CE48</f>
        <v/>
      </c>
      <c r="CH1063">
        <f>'T_SelfStock'!CF48</f>
        <v/>
      </c>
      <c r="CI1063">
        <f>'T_SelfStock'!CG48</f>
        <v/>
      </c>
      <c r="CJ1063">
        <f>'T_SelfStock'!CH48</f>
        <v/>
      </c>
      <c r="CK1063">
        <f>'T_SelfStock'!CI48</f>
        <v/>
      </c>
      <c r="CL1063">
        <f>'T_SelfStock'!CJ48</f>
        <v/>
      </c>
      <c r="CM1063">
        <f>'T_SelfStock'!CK48</f>
        <v/>
      </c>
      <c r="CN1063">
        <f>'T_SelfStock'!CL48</f>
        <v/>
      </c>
      <c r="CO1063">
        <f>'T_SelfStock'!CM48</f>
        <v/>
      </c>
      <c r="CP1063">
        <f>'T_SelfStock'!CN48</f>
        <v/>
      </c>
      <c r="CQ1063">
        <f>'T_SelfStock'!CO48</f>
        <v/>
      </c>
      <c r="CR1063">
        <f>'T_SelfStock'!CP48</f>
        <v/>
      </c>
      <c r="CS1063">
        <f>'T_SelfStock'!CQ48</f>
        <v/>
      </c>
      <c r="CT1063">
        <f>'T_SelfStock'!CR48</f>
        <v/>
      </c>
      <c r="CU1063">
        <f>'T_SelfStock'!CS48</f>
        <v/>
      </c>
      <c r="CV1063">
        <f>'T_SelfStock'!CT48</f>
        <v/>
      </c>
      <c r="CW1063">
        <f>'T_SelfStock'!CU48</f>
        <v/>
      </c>
      <c r="CX1063">
        <f>'T_SelfStock'!CV48</f>
        <v/>
      </c>
      <c r="CY1063">
        <f>'T_SelfStock'!CW48</f>
        <v/>
      </c>
      <c r="CZ1063">
        <f>'T_SelfStock'!CX48</f>
        <v/>
      </c>
      <c r="DA1063">
        <f>'T_SelfStock'!CY48</f>
        <v/>
      </c>
      <c r="DB1063">
        <f>'T_SelfStock'!CZ48</f>
        <v/>
      </c>
      <c r="DC1063">
        <f>'T_SelfStock'!DA48</f>
        <v/>
      </c>
    </row>
    <row r="1064">
      <c r="B1064" t="inlineStr">
        <is>
          <t>Order(発注予定,kg)</t>
        </is>
      </c>
      <c r="D1064" s="23" t="n"/>
      <c r="E1064" s="23" t="n"/>
      <c r="F1064" s="23" t="n"/>
      <c r="G1064" s="23" t="n"/>
      <c r="H1064" s="23" t="n"/>
      <c r="I1064" s="23" t="n"/>
      <c r="J1064" s="23" t="n"/>
      <c r="K1064" s="23" t="n"/>
      <c r="L1064" s="23" t="n"/>
      <c r="M1064" s="23" t="n"/>
      <c r="N1064" s="23" t="n"/>
      <c r="O1064" s="23" t="n"/>
      <c r="P1064" s="23" t="n"/>
      <c r="Q1064" s="23" t="n"/>
      <c r="R1064" s="23" t="n"/>
      <c r="S1064" s="23" t="n"/>
      <c r="T1064" s="23" t="n"/>
      <c r="U1064" s="23" t="n"/>
      <c r="V1064" s="23" t="n"/>
      <c r="W1064" s="23" t="n"/>
      <c r="X1064" s="23" t="n"/>
      <c r="Y1064" s="23" t="n"/>
      <c r="Z1064" s="23" t="n"/>
      <c r="AA1064" s="23" t="n"/>
      <c r="AB1064" s="23" t="n"/>
      <c r="AC1064" s="23" t="n"/>
      <c r="AD1064" s="23" t="n"/>
      <c r="AE1064" s="23" t="n"/>
      <c r="AF1064" s="23" t="n"/>
      <c r="AG1064" s="23" t="n"/>
      <c r="AH1064" s="23" t="n"/>
      <c r="AI1064" s="23" t="n"/>
      <c r="AJ1064" s="23" t="n"/>
      <c r="AK1064" s="23" t="n"/>
      <c r="AL1064" s="23" t="n"/>
      <c r="AM1064" s="23" t="n"/>
      <c r="AN1064" s="23" t="n"/>
      <c r="AO1064" s="23" t="n"/>
      <c r="AP1064" s="23" t="n"/>
      <c r="AQ1064" s="23" t="n"/>
      <c r="AR1064" s="23" t="n"/>
      <c r="AS1064" s="23" t="n"/>
      <c r="AT1064" s="23" t="n"/>
      <c r="AU1064" s="23" t="n"/>
      <c r="AV1064" s="23" t="n"/>
      <c r="AW1064" s="23" t="n"/>
      <c r="AX1064" s="23" t="n"/>
      <c r="AY1064" s="23" t="n"/>
      <c r="AZ1064" s="23" t="n"/>
      <c r="BA1064" s="23" t="n"/>
      <c r="BB1064" s="23" t="n"/>
      <c r="BC1064" s="23" t="n"/>
      <c r="BD1064" s="23" t="n"/>
      <c r="BE1064" s="23" t="n"/>
      <c r="BF1064" s="23" t="n"/>
      <c r="BG1064" s="23" t="n"/>
      <c r="BH1064" s="23" t="n"/>
      <c r="BI1064" s="23" t="n"/>
      <c r="BJ1064" s="23" t="n"/>
      <c r="BK1064" s="23" t="n"/>
      <c r="BL1064" s="23" t="n"/>
      <c r="BM1064" s="23" t="n"/>
      <c r="BN1064" s="23" t="n"/>
      <c r="BO1064" s="23" t="n"/>
      <c r="BP1064" s="23" t="n"/>
      <c r="BQ1064" s="23" t="n"/>
      <c r="BR1064" s="23" t="n"/>
      <c r="BS1064" s="23" t="n"/>
      <c r="BT1064" s="23" t="n"/>
      <c r="BU1064" s="23" t="n"/>
      <c r="BV1064" s="23" t="n"/>
      <c r="BW1064" s="23" t="n"/>
      <c r="BX1064" s="23" t="n"/>
      <c r="BY1064" s="23" t="n"/>
      <c r="BZ1064" s="23" t="n"/>
      <c r="CA1064" s="23" t="n"/>
      <c r="CB1064" s="23" t="n"/>
      <c r="CC1064" s="23" t="n"/>
      <c r="CD1064" s="23" t="n"/>
      <c r="CE1064" s="23" t="n"/>
      <c r="CF1064" s="23" t="n"/>
      <c r="CG1064" s="23" t="n"/>
      <c r="CH1064" s="23" t="n"/>
      <c r="CI1064" s="23" t="n"/>
      <c r="CJ1064" s="23" t="n"/>
      <c r="CK1064" s="23" t="n"/>
      <c r="CL1064" s="23" t="n"/>
      <c r="CM1064" s="23" t="n"/>
      <c r="CN1064" s="23" t="n"/>
      <c r="CO1064" s="23" t="n"/>
      <c r="CP1064" s="23" t="n"/>
      <c r="CQ1064" s="23" t="n"/>
      <c r="CR1064" s="23" t="n"/>
      <c r="CS1064" s="23" t="n"/>
      <c r="CT1064" s="23" t="n"/>
      <c r="CU1064" s="23" t="n"/>
      <c r="CV1064" s="23" t="n"/>
      <c r="CW1064" s="23" t="n"/>
      <c r="CX1064" s="23" t="n"/>
      <c r="CY1064" s="23" t="n"/>
      <c r="CZ1064" s="23" t="n"/>
      <c r="DA1064" s="23" t="n"/>
      <c r="DB1064" s="23" t="n"/>
      <c r="DC1064" s="23" t="n"/>
      <c r="DE1064" s="12" t="inlineStr">
        <is>
          <t>CHEM-1570</t>
        </is>
      </c>
    </row>
    <row r="1065">
      <c r="B1065" s="24" t="inlineStr">
        <is>
          <t>PO_No</t>
        </is>
      </c>
      <c r="D1065" s="25" t="n"/>
      <c r="E1065" s="25" t="n"/>
      <c r="F1065" s="25" t="n"/>
      <c r="G1065" s="25" t="n"/>
      <c r="H1065" s="25" t="n"/>
      <c r="I1065" s="25" t="n"/>
      <c r="J1065" s="25" t="n"/>
      <c r="K1065" s="25" t="n"/>
      <c r="L1065" s="25" t="n"/>
      <c r="M1065" s="25" t="n"/>
      <c r="N1065" s="25" t="n"/>
      <c r="O1065" s="25" t="n"/>
      <c r="P1065" s="25" t="n"/>
      <c r="Q1065" s="25" t="n"/>
      <c r="R1065" s="25" t="n"/>
      <c r="S1065" s="25" t="n"/>
      <c r="T1065" s="25" t="n"/>
      <c r="U1065" s="25" t="n"/>
      <c r="V1065" s="25" t="n"/>
      <c r="W1065" s="25" t="n"/>
      <c r="X1065" s="25" t="n"/>
      <c r="Y1065" s="25" t="n"/>
      <c r="Z1065" s="25" t="n"/>
      <c r="AA1065" s="25" t="n"/>
      <c r="AB1065" s="25" t="n"/>
      <c r="AC1065" s="25" t="n"/>
      <c r="AD1065" s="25" t="n"/>
      <c r="AE1065" s="25" t="n"/>
      <c r="AF1065" s="25" t="n"/>
      <c r="AG1065" s="25" t="n"/>
      <c r="AH1065" s="25" t="n"/>
      <c r="AI1065" s="25" t="n"/>
      <c r="AJ1065" s="25" t="n"/>
      <c r="AK1065" s="25" t="n"/>
      <c r="AL1065" s="25" t="n"/>
      <c r="AM1065" s="25" t="n"/>
      <c r="AN1065" s="25" t="n"/>
      <c r="AO1065" s="25" t="n"/>
      <c r="AP1065" s="25" t="n"/>
      <c r="AQ1065" s="25" t="n"/>
      <c r="AR1065" s="25" t="n"/>
      <c r="AS1065" s="25" t="n"/>
      <c r="AT1065" s="25" t="n"/>
      <c r="AU1065" s="25" t="n"/>
      <c r="AV1065" s="25" t="n"/>
      <c r="AW1065" s="25" t="n"/>
      <c r="AX1065" s="25" t="n"/>
      <c r="AY1065" s="25" t="n"/>
      <c r="AZ1065" s="25" t="n"/>
      <c r="BA1065" s="25" t="n"/>
      <c r="BB1065" s="25" t="n"/>
      <c r="BC1065" s="25" t="n"/>
      <c r="BD1065" s="25" t="n"/>
      <c r="BE1065" s="25" t="n"/>
      <c r="BF1065" s="25" t="n"/>
      <c r="BG1065" s="25" t="n"/>
      <c r="BH1065" s="25" t="n"/>
      <c r="BI1065" s="25" t="n"/>
      <c r="BJ1065" s="25" t="n"/>
      <c r="BK1065" s="25" t="n"/>
      <c r="BL1065" s="25" t="n"/>
      <c r="BM1065" s="25" t="n"/>
      <c r="BN1065" s="25" t="n"/>
      <c r="BO1065" s="25" t="n"/>
      <c r="BP1065" s="25" t="n"/>
      <c r="BQ1065" s="25" t="n"/>
      <c r="BR1065" s="25" t="n"/>
      <c r="BS1065" s="25" t="n"/>
      <c r="BT1065" s="25" t="n"/>
      <c r="BU1065" s="25" t="n"/>
      <c r="BV1065" s="25" t="n"/>
      <c r="BW1065" s="25" t="n"/>
      <c r="BX1065" s="25" t="n"/>
      <c r="BY1065" s="25" t="n"/>
      <c r="BZ1065" s="25" t="n"/>
      <c r="CA1065" s="25" t="n"/>
      <c r="CB1065" s="25" t="n"/>
      <c r="CC1065" s="25" t="n"/>
      <c r="CD1065" s="25" t="n"/>
      <c r="CE1065" s="25" t="n"/>
      <c r="CF1065" s="25" t="n"/>
      <c r="CG1065" s="25" t="n"/>
      <c r="CH1065" s="25" t="n"/>
      <c r="CI1065" s="25" t="n"/>
      <c r="CJ1065" s="25" t="n"/>
      <c r="CK1065" s="25" t="n"/>
      <c r="CL1065" s="25" t="n"/>
      <c r="CM1065" s="25" t="n"/>
      <c r="CN1065" s="25" t="n"/>
      <c r="CO1065" s="25" t="n"/>
      <c r="CP1065" s="25" t="n"/>
      <c r="CQ1065" s="25" t="n"/>
      <c r="CR1065" s="25" t="n"/>
      <c r="CS1065" s="25" t="n"/>
      <c r="CT1065" s="25" t="n"/>
      <c r="CU1065" s="25" t="n"/>
      <c r="CV1065" s="25" t="n"/>
      <c r="CW1065" s="25" t="n"/>
      <c r="CX1065" s="25" t="n"/>
      <c r="CY1065" s="25" t="n"/>
      <c r="CZ1065" s="25" t="n"/>
      <c r="DA1065" s="25" t="n"/>
      <c r="DB1065" s="25" t="n"/>
      <c r="DC1065" s="25" t="n"/>
    </row>
    <row r="1066">
      <c r="B1066" s="5" t="inlineStr">
        <is>
          <t>合計在庫(週末時点,kg)</t>
        </is>
      </c>
      <c r="D1066">
        <f>'Grid_Stock'!B44</f>
        <v/>
      </c>
      <c r="E1066">
        <f>'Grid_Stock'!C44</f>
        <v/>
      </c>
      <c r="F1066">
        <f>'Grid_Stock'!D44</f>
        <v/>
      </c>
      <c r="G1066">
        <f>'Grid_Stock'!E44</f>
        <v/>
      </c>
      <c r="H1066">
        <f>'Grid_Stock'!F44</f>
        <v/>
      </c>
      <c r="I1066">
        <f>'Grid_Stock'!G44</f>
        <v/>
      </c>
      <c r="J1066">
        <f>'Grid_Stock'!H44</f>
        <v/>
      </c>
      <c r="K1066">
        <f>'Grid_Stock'!I44</f>
        <v/>
      </c>
      <c r="L1066">
        <f>'Grid_Stock'!J44</f>
        <v/>
      </c>
      <c r="M1066">
        <f>'Grid_Stock'!K44</f>
        <v/>
      </c>
      <c r="N1066">
        <f>'Grid_Stock'!L44</f>
        <v/>
      </c>
      <c r="O1066">
        <f>'Grid_Stock'!M44</f>
        <v/>
      </c>
      <c r="P1066">
        <f>'Grid_Stock'!N44</f>
        <v/>
      </c>
      <c r="Q1066">
        <f>'Grid_Stock'!O44</f>
        <v/>
      </c>
      <c r="R1066">
        <f>'Grid_Stock'!P44</f>
        <v/>
      </c>
      <c r="S1066">
        <f>'Grid_Stock'!Q44</f>
        <v/>
      </c>
      <c r="T1066">
        <f>'Grid_Stock'!R44</f>
        <v/>
      </c>
      <c r="U1066">
        <f>'Grid_Stock'!S44</f>
        <v/>
      </c>
      <c r="V1066">
        <f>'Grid_Stock'!T44</f>
        <v/>
      </c>
      <c r="W1066">
        <f>'Grid_Stock'!U44</f>
        <v/>
      </c>
      <c r="X1066">
        <f>'Grid_Stock'!V44</f>
        <v/>
      </c>
      <c r="Y1066">
        <f>'Grid_Stock'!W44</f>
        <v/>
      </c>
      <c r="Z1066">
        <f>'Grid_Stock'!X44</f>
        <v/>
      </c>
      <c r="AA1066">
        <f>'Grid_Stock'!Y44</f>
        <v/>
      </c>
      <c r="AB1066">
        <f>'Grid_Stock'!Z44</f>
        <v/>
      </c>
      <c r="AC1066">
        <f>'Grid_Stock'!AA44</f>
        <v/>
      </c>
      <c r="AD1066">
        <f>'Grid_Stock'!AB44</f>
        <v/>
      </c>
      <c r="AE1066">
        <f>'Grid_Stock'!AC44</f>
        <v/>
      </c>
      <c r="AF1066">
        <f>'Grid_Stock'!AD44</f>
        <v/>
      </c>
      <c r="AG1066">
        <f>'Grid_Stock'!AE44</f>
        <v/>
      </c>
      <c r="AH1066">
        <f>'Grid_Stock'!AF44</f>
        <v/>
      </c>
      <c r="AI1066">
        <f>'Grid_Stock'!AG44</f>
        <v/>
      </c>
      <c r="AJ1066">
        <f>'Grid_Stock'!AH44</f>
        <v/>
      </c>
      <c r="AK1066">
        <f>'Grid_Stock'!AI44</f>
        <v/>
      </c>
      <c r="AL1066">
        <f>'Grid_Stock'!AJ44</f>
        <v/>
      </c>
      <c r="AM1066">
        <f>'Grid_Stock'!AK44</f>
        <v/>
      </c>
      <c r="AN1066">
        <f>'Grid_Stock'!AL44</f>
        <v/>
      </c>
      <c r="AO1066">
        <f>'Grid_Stock'!AM44</f>
        <v/>
      </c>
      <c r="AP1066">
        <f>'Grid_Stock'!AN44</f>
        <v/>
      </c>
      <c r="AQ1066">
        <f>'Grid_Stock'!AO44</f>
        <v/>
      </c>
      <c r="AR1066">
        <f>'Grid_Stock'!AP44</f>
        <v/>
      </c>
      <c r="AS1066">
        <f>'Grid_Stock'!AQ44</f>
        <v/>
      </c>
      <c r="AT1066">
        <f>'Grid_Stock'!AR44</f>
        <v/>
      </c>
      <c r="AU1066">
        <f>'Grid_Stock'!AS44</f>
        <v/>
      </c>
      <c r="AV1066">
        <f>'Grid_Stock'!AT44</f>
        <v/>
      </c>
      <c r="AW1066">
        <f>'Grid_Stock'!AU44</f>
        <v/>
      </c>
      <c r="AX1066">
        <f>'Grid_Stock'!AV44</f>
        <v/>
      </c>
      <c r="AY1066">
        <f>'Grid_Stock'!AW44</f>
        <v/>
      </c>
      <c r="AZ1066">
        <f>'Grid_Stock'!AX44</f>
        <v/>
      </c>
      <c r="BA1066">
        <f>'Grid_Stock'!AY44</f>
        <v/>
      </c>
      <c r="BB1066">
        <f>'Grid_Stock'!AZ44</f>
        <v/>
      </c>
      <c r="BC1066">
        <f>'Grid_Stock'!BA44</f>
        <v/>
      </c>
      <c r="BD1066">
        <f>'Grid_Stock'!BB44</f>
        <v/>
      </c>
      <c r="BE1066">
        <f>'Grid_Stock'!BC44</f>
        <v/>
      </c>
      <c r="BF1066">
        <f>'Grid_Stock'!BD44</f>
        <v/>
      </c>
      <c r="BG1066">
        <f>'Grid_Stock'!BE44</f>
        <v/>
      </c>
      <c r="BH1066">
        <f>'Grid_Stock'!BF44</f>
        <v/>
      </c>
      <c r="BI1066">
        <f>'Grid_Stock'!BG44</f>
        <v/>
      </c>
      <c r="BJ1066">
        <f>'Grid_Stock'!BH44</f>
        <v/>
      </c>
      <c r="BK1066">
        <f>'Grid_Stock'!BI44</f>
        <v/>
      </c>
      <c r="BL1066">
        <f>'Grid_Stock'!BJ44</f>
        <v/>
      </c>
      <c r="BM1066">
        <f>'Grid_Stock'!BK44</f>
        <v/>
      </c>
      <c r="BN1066">
        <f>'Grid_Stock'!BL44</f>
        <v/>
      </c>
      <c r="BO1066">
        <f>'Grid_Stock'!BM44</f>
        <v/>
      </c>
      <c r="BP1066">
        <f>'Grid_Stock'!BN44</f>
        <v/>
      </c>
      <c r="BQ1066">
        <f>'Grid_Stock'!BO44</f>
        <v/>
      </c>
      <c r="BR1066">
        <f>'Grid_Stock'!BP44</f>
        <v/>
      </c>
      <c r="BS1066">
        <f>'Grid_Stock'!BQ44</f>
        <v/>
      </c>
      <c r="BT1066">
        <f>'Grid_Stock'!BR44</f>
        <v/>
      </c>
      <c r="BU1066">
        <f>'Grid_Stock'!BS44</f>
        <v/>
      </c>
      <c r="BV1066">
        <f>'Grid_Stock'!BT44</f>
        <v/>
      </c>
      <c r="BW1066">
        <f>'Grid_Stock'!BU44</f>
        <v/>
      </c>
      <c r="BX1066">
        <f>'Grid_Stock'!BV44</f>
        <v/>
      </c>
      <c r="BY1066">
        <f>'Grid_Stock'!BW44</f>
        <v/>
      </c>
      <c r="BZ1066">
        <f>'Grid_Stock'!BX44</f>
        <v/>
      </c>
      <c r="CA1066">
        <f>'Grid_Stock'!BY44</f>
        <v/>
      </c>
      <c r="CB1066">
        <f>'Grid_Stock'!BZ44</f>
        <v/>
      </c>
      <c r="CC1066">
        <f>'Grid_Stock'!CA44</f>
        <v/>
      </c>
      <c r="CD1066">
        <f>'Grid_Stock'!CB44</f>
        <v/>
      </c>
      <c r="CE1066">
        <f>'Grid_Stock'!CC44</f>
        <v/>
      </c>
      <c r="CF1066">
        <f>'Grid_Stock'!CD44</f>
        <v/>
      </c>
      <c r="CG1066">
        <f>'Grid_Stock'!CE44</f>
        <v/>
      </c>
      <c r="CH1066">
        <f>'Grid_Stock'!CF44</f>
        <v/>
      </c>
      <c r="CI1066">
        <f>'Grid_Stock'!CG44</f>
        <v/>
      </c>
      <c r="CJ1066">
        <f>'Grid_Stock'!CH44</f>
        <v/>
      </c>
      <c r="CK1066">
        <f>'Grid_Stock'!CI44</f>
        <v/>
      </c>
      <c r="CL1066">
        <f>'Grid_Stock'!CJ44</f>
        <v/>
      </c>
      <c r="CM1066">
        <f>'Grid_Stock'!CK44</f>
        <v/>
      </c>
      <c r="CN1066">
        <f>'Grid_Stock'!CL44</f>
        <v/>
      </c>
      <c r="CO1066">
        <f>'Grid_Stock'!CM44</f>
        <v/>
      </c>
      <c r="CP1066">
        <f>'Grid_Stock'!CN44</f>
        <v/>
      </c>
      <c r="CQ1066">
        <f>'Grid_Stock'!CO44</f>
        <v/>
      </c>
      <c r="CR1066">
        <f>'Grid_Stock'!CP44</f>
        <v/>
      </c>
      <c r="CS1066">
        <f>'Grid_Stock'!CQ44</f>
        <v/>
      </c>
      <c r="CT1066">
        <f>'Grid_Stock'!CR44</f>
        <v/>
      </c>
      <c r="CU1066">
        <f>'Grid_Stock'!CS44</f>
        <v/>
      </c>
      <c r="CV1066">
        <f>'Grid_Stock'!CT44</f>
        <v/>
      </c>
      <c r="CW1066">
        <f>'Grid_Stock'!CU44</f>
        <v/>
      </c>
      <c r="CX1066">
        <f>'Grid_Stock'!CV44</f>
        <v/>
      </c>
      <c r="CY1066">
        <f>'Grid_Stock'!CW44</f>
        <v/>
      </c>
      <c r="CZ1066">
        <f>'Grid_Stock'!CX44</f>
        <v/>
      </c>
      <c r="DA1066">
        <f>'Grid_Stock'!CY44</f>
        <v/>
      </c>
      <c r="DB1066">
        <f>'Grid_Stock'!CZ44</f>
        <v/>
      </c>
      <c r="DC1066">
        <f>'Grid_Stock'!DA44</f>
        <v/>
      </c>
    </row>
    <row r="1067">
      <c r="B1067" s="26" t="inlineStr">
        <is>
          <t>（発注の目安はDashboardの基準在庫[下限/上限]と色分けを参照）</t>
        </is>
      </c>
    </row>
    <row r="1069">
      <c r="A1069" s="21" t="inlineStr">
        <is>
          <t>CHEM-1450</t>
        </is>
      </c>
      <c r="B1069" s="21" t="inlineStr">
        <is>
          <t>Noptechs</t>
        </is>
      </c>
      <c r="C1069" s="22" t="n"/>
      <c r="D1069" s="21" t="n"/>
      <c r="E1069" s="21" t="n"/>
      <c r="F1069" s="21" t="n"/>
      <c r="G1069" s="21" t="n"/>
      <c r="H1069" s="21" t="n"/>
      <c r="I1069" s="21" t="n"/>
      <c r="J1069" s="21" t="n"/>
      <c r="K1069" s="21" t="n"/>
      <c r="L1069" s="21" t="n"/>
      <c r="M1069" s="21" t="n"/>
      <c r="N1069" s="21" t="n"/>
      <c r="O1069" s="21" t="n"/>
      <c r="P1069" s="21" t="n"/>
      <c r="Q1069" s="21" t="n"/>
      <c r="R1069" s="21" t="n"/>
      <c r="S1069" s="21" t="n"/>
      <c r="T1069" s="21" t="n"/>
      <c r="U1069" s="21" t="n"/>
      <c r="V1069" s="21" t="n"/>
      <c r="W1069" s="21" t="n"/>
      <c r="X1069" s="21" t="n"/>
      <c r="Y1069" s="21" t="n"/>
      <c r="Z1069" s="21" t="n"/>
      <c r="AA1069" s="21" t="n"/>
      <c r="AB1069" s="21" t="n"/>
      <c r="AC1069" s="21" t="n"/>
      <c r="AD1069" s="21" t="n"/>
      <c r="AE1069" s="21" t="n"/>
      <c r="AF1069" s="21" t="n"/>
      <c r="AG1069" s="21" t="n"/>
      <c r="AH1069" s="21" t="n"/>
      <c r="AI1069" s="21" t="n"/>
      <c r="AJ1069" s="21" t="n"/>
      <c r="AK1069" s="21" t="n"/>
      <c r="AL1069" s="21" t="n"/>
      <c r="AM1069" s="21" t="n"/>
      <c r="AN1069" s="21" t="n"/>
      <c r="AO1069" s="21" t="n"/>
      <c r="AP1069" s="21" t="n"/>
      <c r="AQ1069" s="21" t="n"/>
      <c r="AR1069" s="21" t="n"/>
      <c r="AS1069" s="21" t="n"/>
      <c r="AT1069" s="21" t="n"/>
      <c r="AU1069" s="21" t="n"/>
      <c r="AV1069" s="21" t="n"/>
      <c r="AW1069" s="21" t="n"/>
      <c r="AX1069" s="21" t="n"/>
      <c r="AY1069" s="21" t="n"/>
      <c r="AZ1069" s="21" t="n"/>
      <c r="BA1069" s="21" t="n"/>
      <c r="BB1069" s="21" t="n"/>
      <c r="BC1069" s="21" t="n"/>
      <c r="BD1069" s="21" t="n"/>
      <c r="BE1069" s="21" t="n"/>
      <c r="BF1069" s="21" t="n"/>
      <c r="BG1069" s="21" t="n"/>
      <c r="BH1069" s="21" t="n"/>
      <c r="BI1069" s="21" t="n"/>
      <c r="BJ1069" s="21" t="n"/>
      <c r="BK1069" s="21" t="n"/>
      <c r="BL1069" s="21" t="n"/>
      <c r="BM1069" s="21" t="n"/>
      <c r="BN1069" s="21" t="n"/>
      <c r="BO1069" s="21" t="n"/>
      <c r="BP1069" s="21" t="n"/>
      <c r="BQ1069" s="21" t="n"/>
      <c r="BR1069" s="21" t="n"/>
      <c r="BS1069" s="21" t="n"/>
      <c r="BT1069" s="21" t="n"/>
      <c r="BU1069" s="21" t="n"/>
      <c r="BV1069" s="21" t="n"/>
      <c r="BW1069" s="21" t="n"/>
      <c r="BX1069" s="21" t="n"/>
      <c r="BY1069" s="21" t="n"/>
      <c r="BZ1069" s="21" t="n"/>
      <c r="CA1069" s="21" t="n"/>
      <c r="CB1069" s="21" t="n"/>
      <c r="CC1069" s="21" t="n"/>
      <c r="CD1069" s="21" t="n"/>
      <c r="CE1069" s="21" t="n"/>
      <c r="CF1069" s="21" t="n"/>
      <c r="CG1069" s="21" t="n"/>
      <c r="CH1069" s="21" t="n"/>
      <c r="CI1069" s="21" t="n"/>
      <c r="CJ1069" s="21" t="n"/>
      <c r="CK1069" s="21" t="n"/>
      <c r="CL1069" s="21" t="n"/>
      <c r="CM1069" s="21" t="n"/>
      <c r="CN1069" s="21" t="n"/>
      <c r="CO1069" s="21" t="n"/>
      <c r="CP1069" s="21" t="n"/>
      <c r="CQ1069" s="21" t="n"/>
      <c r="CR1069" s="21" t="n"/>
      <c r="CS1069" s="21" t="n"/>
      <c r="CT1069" s="21" t="n"/>
      <c r="CU1069" s="21" t="n"/>
      <c r="CV1069" s="21" t="n"/>
      <c r="CW1069" s="21" t="n"/>
      <c r="CX1069" s="21" t="n"/>
      <c r="CY1069" s="21" t="n"/>
      <c r="CZ1069" s="21" t="n"/>
      <c r="DA1069" s="21" t="n"/>
      <c r="DB1069" s="21" t="n"/>
      <c r="DC1069" s="21" t="n"/>
    </row>
    <row r="1070">
      <c r="B1070" t="inlineStr">
        <is>
          <t>TSP-225</t>
        </is>
      </c>
      <c r="C1070" t="inlineStr">
        <is>
          <t>No. of batches</t>
        </is>
      </c>
      <c r="D1070">
        <f>IFERROR(INDEX(PP_Grid[#Data],$DD1070,2),0)</f>
        <v/>
      </c>
      <c r="E1070">
        <f>IFERROR(INDEX(PP_Grid[#Data],$DD1070,3),0)</f>
        <v/>
      </c>
      <c r="F1070">
        <f>IFERROR(INDEX(PP_Grid[#Data],$DD1070,4),0)</f>
        <v/>
      </c>
      <c r="G1070">
        <f>IFERROR(INDEX(PP_Grid[#Data],$DD1070,5),0)</f>
        <v/>
      </c>
      <c r="H1070">
        <f>IFERROR(INDEX(PP_Grid[#Data],$DD1070,6),0)</f>
        <v/>
      </c>
      <c r="I1070">
        <f>IFERROR(INDEX(PP_Grid[#Data],$DD1070,7),0)</f>
        <v/>
      </c>
      <c r="J1070">
        <f>IFERROR(INDEX(PP_Grid[#Data],$DD1070,8),0)</f>
        <v/>
      </c>
      <c r="K1070">
        <f>IFERROR(INDEX(PP_Grid[#Data],$DD1070,9),0)</f>
        <v/>
      </c>
      <c r="L1070">
        <f>IFERROR(INDEX(PP_Grid[#Data],$DD1070,10),0)</f>
        <v/>
      </c>
      <c r="M1070">
        <f>IFERROR(INDEX(PP_Grid[#Data],$DD1070,11),0)</f>
        <v/>
      </c>
      <c r="N1070">
        <f>IFERROR(INDEX(PP_Grid[#Data],$DD1070,12),0)</f>
        <v/>
      </c>
      <c r="O1070">
        <f>IFERROR(INDEX(PP_Grid[#Data],$DD1070,13),0)</f>
        <v/>
      </c>
      <c r="P1070">
        <f>IFERROR(INDEX(PP_Grid[#Data],$DD1070,14),0)</f>
        <v/>
      </c>
      <c r="Q1070">
        <f>IFERROR(INDEX(PP_Grid[#Data],$DD1070,15),0)</f>
        <v/>
      </c>
      <c r="R1070">
        <f>IFERROR(INDEX(PP_Grid[#Data],$DD1070,16),0)</f>
        <v/>
      </c>
      <c r="S1070">
        <f>IFERROR(INDEX(PP_Grid[#Data],$DD1070,17),0)</f>
        <v/>
      </c>
      <c r="T1070">
        <f>IFERROR(INDEX(PP_Grid[#Data],$DD1070,18),0)</f>
        <v/>
      </c>
      <c r="U1070">
        <f>IFERROR(INDEX(PP_Grid[#Data],$DD1070,19),0)</f>
        <v/>
      </c>
      <c r="V1070">
        <f>IFERROR(INDEX(PP_Grid[#Data],$DD1070,20),0)</f>
        <v/>
      </c>
      <c r="W1070">
        <f>IFERROR(INDEX(PP_Grid[#Data],$DD1070,21),0)</f>
        <v/>
      </c>
      <c r="X1070">
        <f>IFERROR(INDEX(PP_Grid[#Data],$DD1070,22),0)</f>
        <v/>
      </c>
      <c r="Y1070">
        <f>IFERROR(INDEX(PP_Grid[#Data],$DD1070,23),0)</f>
        <v/>
      </c>
      <c r="Z1070">
        <f>IFERROR(INDEX(PP_Grid[#Data],$DD1070,24),0)</f>
        <v/>
      </c>
      <c r="AA1070">
        <f>IFERROR(INDEX(PP_Grid[#Data],$DD1070,25),0)</f>
        <v/>
      </c>
      <c r="AB1070">
        <f>IFERROR(INDEX(PP_Grid[#Data],$DD1070,26),0)</f>
        <v/>
      </c>
      <c r="AC1070">
        <f>IFERROR(INDEX(PP_Grid[#Data],$DD1070,27),0)</f>
        <v/>
      </c>
      <c r="AD1070">
        <f>IFERROR(INDEX(PP_Grid[#Data],$DD1070,28),0)</f>
        <v/>
      </c>
      <c r="AE1070">
        <f>IFERROR(INDEX(PP_Grid[#Data],$DD1070,29),0)</f>
        <v/>
      </c>
      <c r="AF1070">
        <f>IFERROR(INDEX(PP_Grid[#Data],$DD1070,30),0)</f>
        <v/>
      </c>
      <c r="AG1070">
        <f>IFERROR(INDEX(PP_Grid[#Data],$DD1070,31),0)</f>
        <v/>
      </c>
      <c r="AH1070">
        <f>IFERROR(INDEX(PP_Grid[#Data],$DD1070,32),0)</f>
        <v/>
      </c>
      <c r="AI1070">
        <f>IFERROR(INDEX(PP_Grid[#Data],$DD1070,33),0)</f>
        <v/>
      </c>
      <c r="AJ1070">
        <f>IFERROR(INDEX(PP_Grid[#Data],$DD1070,34),0)</f>
        <v/>
      </c>
      <c r="AK1070">
        <f>IFERROR(INDEX(PP_Grid[#Data],$DD1070,35),0)</f>
        <v/>
      </c>
      <c r="AL1070">
        <f>IFERROR(INDEX(PP_Grid[#Data],$DD1070,36),0)</f>
        <v/>
      </c>
      <c r="AM1070">
        <f>IFERROR(INDEX(PP_Grid[#Data],$DD1070,37),0)</f>
        <v/>
      </c>
      <c r="AN1070">
        <f>IFERROR(INDEX(PP_Grid[#Data],$DD1070,38),0)</f>
        <v/>
      </c>
      <c r="AO1070">
        <f>IFERROR(INDEX(PP_Grid[#Data],$DD1070,39),0)</f>
        <v/>
      </c>
      <c r="AP1070">
        <f>IFERROR(INDEX(PP_Grid[#Data],$DD1070,40),0)</f>
        <v/>
      </c>
      <c r="AQ1070">
        <f>IFERROR(INDEX(PP_Grid[#Data],$DD1070,41),0)</f>
        <v/>
      </c>
      <c r="AR1070">
        <f>IFERROR(INDEX(PP_Grid[#Data],$DD1070,42),0)</f>
        <v/>
      </c>
      <c r="AS1070">
        <f>IFERROR(INDEX(PP_Grid[#Data],$DD1070,43),0)</f>
        <v/>
      </c>
      <c r="AT1070">
        <f>IFERROR(INDEX(PP_Grid[#Data],$DD1070,44),0)</f>
        <v/>
      </c>
      <c r="AU1070">
        <f>IFERROR(INDEX(PP_Grid[#Data],$DD1070,45),0)</f>
        <v/>
      </c>
      <c r="AV1070">
        <f>IFERROR(INDEX(PP_Grid[#Data],$DD1070,46),0)</f>
        <v/>
      </c>
      <c r="AW1070">
        <f>IFERROR(INDEX(PP_Grid[#Data],$DD1070,47),0)</f>
        <v/>
      </c>
      <c r="AX1070">
        <f>IFERROR(INDEX(PP_Grid[#Data],$DD1070,48),0)</f>
        <v/>
      </c>
      <c r="AY1070">
        <f>IFERROR(INDEX(PP_Grid[#Data],$DD1070,49),0)</f>
        <v/>
      </c>
      <c r="AZ1070">
        <f>IFERROR(INDEX(PP_Grid[#Data],$DD1070,50),0)</f>
        <v/>
      </c>
      <c r="BA1070">
        <f>IFERROR(INDEX(PP_Grid[#Data],$DD1070,51),0)</f>
        <v/>
      </c>
      <c r="BB1070">
        <f>IFERROR(INDEX(PP_Grid[#Data],$DD1070,52),0)</f>
        <v/>
      </c>
      <c r="BC1070">
        <f>IFERROR(INDEX(PP_Grid[#Data],$DD1070,53),0)</f>
        <v/>
      </c>
      <c r="BD1070">
        <f>IFERROR(INDEX(PP_Grid[#Data],$DD1070,54),0)</f>
        <v/>
      </c>
      <c r="BE1070">
        <f>IFERROR(INDEX(PP_Grid[#Data],$DD1070,55),0)</f>
        <v/>
      </c>
      <c r="BF1070">
        <f>IFERROR(INDEX(PP_Grid[#Data],$DD1070,56),0)</f>
        <v/>
      </c>
      <c r="BG1070">
        <f>IFERROR(INDEX(PP_Grid[#Data],$DD1070,57),0)</f>
        <v/>
      </c>
      <c r="BH1070">
        <f>IFERROR(INDEX(PP_Grid[#Data],$DD1070,58),0)</f>
        <v/>
      </c>
      <c r="BI1070">
        <f>IFERROR(INDEX(PP_Grid[#Data],$DD1070,59),0)</f>
        <v/>
      </c>
      <c r="BJ1070">
        <f>IFERROR(INDEX(PP_Grid[#Data],$DD1070,60),0)</f>
        <v/>
      </c>
      <c r="BK1070">
        <f>IFERROR(INDEX(PP_Grid[#Data],$DD1070,61),0)</f>
        <v/>
      </c>
      <c r="BL1070">
        <f>IFERROR(INDEX(PP_Grid[#Data],$DD1070,62),0)</f>
        <v/>
      </c>
      <c r="BM1070">
        <f>IFERROR(INDEX(PP_Grid[#Data],$DD1070,63),0)</f>
        <v/>
      </c>
      <c r="BN1070">
        <f>IFERROR(INDEX(PP_Grid[#Data],$DD1070,64),0)</f>
        <v/>
      </c>
      <c r="BO1070">
        <f>IFERROR(INDEX(PP_Grid[#Data],$DD1070,65),0)</f>
        <v/>
      </c>
      <c r="BP1070">
        <f>IFERROR(INDEX(PP_Grid[#Data],$DD1070,66),0)</f>
        <v/>
      </c>
      <c r="BQ1070">
        <f>IFERROR(INDEX(PP_Grid[#Data],$DD1070,67),0)</f>
        <v/>
      </c>
      <c r="BR1070">
        <f>IFERROR(INDEX(PP_Grid[#Data],$DD1070,68),0)</f>
        <v/>
      </c>
      <c r="BS1070">
        <f>IFERROR(INDEX(PP_Grid[#Data],$DD1070,69),0)</f>
        <v/>
      </c>
      <c r="BT1070">
        <f>IFERROR(INDEX(PP_Grid[#Data],$DD1070,70),0)</f>
        <v/>
      </c>
      <c r="BU1070">
        <f>IFERROR(INDEX(PP_Grid[#Data],$DD1070,71),0)</f>
        <v/>
      </c>
      <c r="BV1070">
        <f>IFERROR(INDEX(PP_Grid[#Data],$DD1070,72),0)</f>
        <v/>
      </c>
      <c r="BW1070">
        <f>IFERROR(INDEX(PP_Grid[#Data],$DD1070,73),0)</f>
        <v/>
      </c>
      <c r="BX1070">
        <f>IFERROR(INDEX(PP_Grid[#Data],$DD1070,74),0)</f>
        <v/>
      </c>
      <c r="BY1070">
        <f>IFERROR(INDEX(PP_Grid[#Data],$DD1070,75),0)</f>
        <v/>
      </c>
      <c r="BZ1070">
        <f>IFERROR(INDEX(PP_Grid[#Data],$DD1070,76),0)</f>
        <v/>
      </c>
      <c r="CA1070">
        <f>IFERROR(INDEX(PP_Grid[#Data],$DD1070,77),0)</f>
        <v/>
      </c>
      <c r="CB1070">
        <f>IFERROR(INDEX(PP_Grid[#Data],$DD1070,78),0)</f>
        <v/>
      </c>
      <c r="CC1070">
        <f>IFERROR(INDEX(PP_Grid[#Data],$DD1070,79),0)</f>
        <v/>
      </c>
      <c r="CD1070">
        <f>IFERROR(INDEX(PP_Grid[#Data],$DD1070,80),0)</f>
        <v/>
      </c>
      <c r="CE1070">
        <f>IFERROR(INDEX(PP_Grid[#Data],$DD1070,81),0)</f>
        <v/>
      </c>
      <c r="CF1070">
        <f>IFERROR(INDEX(PP_Grid[#Data],$DD1070,82),0)</f>
        <v/>
      </c>
      <c r="CG1070">
        <f>IFERROR(INDEX(PP_Grid[#Data],$DD1070,83),0)</f>
        <v/>
      </c>
      <c r="CH1070">
        <f>IFERROR(INDEX(PP_Grid[#Data],$DD1070,84),0)</f>
        <v/>
      </c>
      <c r="CI1070">
        <f>IFERROR(INDEX(PP_Grid[#Data],$DD1070,85),0)</f>
        <v/>
      </c>
      <c r="CJ1070">
        <f>IFERROR(INDEX(PP_Grid[#Data],$DD1070,86),0)</f>
        <v/>
      </c>
      <c r="CK1070">
        <f>IFERROR(INDEX(PP_Grid[#Data],$DD1070,87),0)</f>
        <v/>
      </c>
      <c r="CL1070">
        <f>IFERROR(INDEX(PP_Grid[#Data],$DD1070,88),0)</f>
        <v/>
      </c>
      <c r="CM1070">
        <f>IFERROR(INDEX(PP_Grid[#Data],$DD1070,89),0)</f>
        <v/>
      </c>
      <c r="CN1070">
        <f>IFERROR(INDEX(PP_Grid[#Data],$DD1070,90),0)</f>
        <v/>
      </c>
      <c r="CO1070">
        <f>IFERROR(INDEX(PP_Grid[#Data],$DD1070,91),0)</f>
        <v/>
      </c>
      <c r="CP1070">
        <f>IFERROR(INDEX(PP_Grid[#Data],$DD1070,92),0)</f>
        <v/>
      </c>
      <c r="CQ1070">
        <f>IFERROR(INDEX(PP_Grid[#Data],$DD1070,93),0)</f>
        <v/>
      </c>
      <c r="CR1070">
        <f>IFERROR(INDEX(PP_Grid[#Data],$DD1070,94),0)</f>
        <v/>
      </c>
      <c r="CS1070">
        <f>IFERROR(INDEX(PP_Grid[#Data],$DD1070,95),0)</f>
        <v/>
      </c>
      <c r="CT1070">
        <f>IFERROR(INDEX(PP_Grid[#Data],$DD1070,96),0)</f>
        <v/>
      </c>
      <c r="CU1070">
        <f>IFERROR(INDEX(PP_Grid[#Data],$DD1070,97),0)</f>
        <v/>
      </c>
      <c r="CV1070">
        <f>IFERROR(INDEX(PP_Grid[#Data],$DD1070,98),0)</f>
        <v/>
      </c>
      <c r="CW1070">
        <f>IFERROR(INDEX(PP_Grid[#Data],$DD1070,99),0)</f>
        <v/>
      </c>
      <c r="CX1070">
        <f>IFERROR(INDEX(PP_Grid[#Data],$DD1070,100),0)</f>
        <v/>
      </c>
      <c r="CY1070">
        <f>IFERROR(INDEX(PP_Grid[#Data],$DD1070,101),0)</f>
        <v/>
      </c>
      <c r="CZ1070">
        <f>IFERROR(INDEX(PP_Grid[#Data],$DD1070,102),0)</f>
        <v/>
      </c>
      <c r="DA1070">
        <f>IFERROR(INDEX(PP_Grid[#Data],$DD1070,103),0)</f>
        <v/>
      </c>
      <c r="DB1070">
        <f>IFERROR(INDEX(PP_Grid[#Data],$DD1070,104),0)</f>
        <v/>
      </c>
      <c r="DC1070">
        <f>IFERROR(INDEX(PP_Grid[#Data],$DD1070,105),0)</f>
        <v/>
      </c>
      <c r="DD1070" s="12">
        <f>IFERROR(MATCH($B1070,PP_Grid[Intermediate],0),99999)</f>
        <v/>
      </c>
    </row>
    <row r="1071">
      <c r="B1071" t="inlineStr">
        <is>
          <t>使用量(kg)</t>
        </is>
      </c>
      <c r="C1071">
        <f>SUMIFS(M_BOM[RM_Qty_Per_Batch],M_BOM[Intermediate],$B1070,M_BOM[Part Name],$A1069)</f>
        <v/>
      </c>
      <c r="D1071">
        <f>$C1071*D1070</f>
        <v/>
      </c>
      <c r="E1071">
        <f>$C1071*E1070</f>
        <v/>
      </c>
      <c r="F1071">
        <f>$C1071*F1070</f>
        <v/>
      </c>
      <c r="G1071">
        <f>$C1071*G1070</f>
        <v/>
      </c>
      <c r="H1071">
        <f>$C1071*H1070</f>
        <v/>
      </c>
      <c r="I1071">
        <f>$C1071*I1070</f>
        <v/>
      </c>
      <c r="J1071">
        <f>$C1071*J1070</f>
        <v/>
      </c>
      <c r="K1071">
        <f>$C1071*K1070</f>
        <v/>
      </c>
      <c r="L1071">
        <f>$C1071*L1070</f>
        <v/>
      </c>
      <c r="M1071">
        <f>$C1071*M1070</f>
        <v/>
      </c>
      <c r="N1071">
        <f>$C1071*N1070</f>
        <v/>
      </c>
      <c r="O1071">
        <f>$C1071*O1070</f>
        <v/>
      </c>
      <c r="P1071">
        <f>$C1071*P1070</f>
        <v/>
      </c>
      <c r="Q1071">
        <f>$C1071*Q1070</f>
        <v/>
      </c>
      <c r="R1071">
        <f>$C1071*R1070</f>
        <v/>
      </c>
      <c r="S1071">
        <f>$C1071*S1070</f>
        <v/>
      </c>
      <c r="T1071">
        <f>$C1071*T1070</f>
        <v/>
      </c>
      <c r="U1071">
        <f>$C1071*U1070</f>
        <v/>
      </c>
      <c r="V1071">
        <f>$C1071*V1070</f>
        <v/>
      </c>
      <c r="W1071">
        <f>$C1071*W1070</f>
        <v/>
      </c>
      <c r="X1071">
        <f>$C1071*X1070</f>
        <v/>
      </c>
      <c r="Y1071">
        <f>$C1071*Y1070</f>
        <v/>
      </c>
      <c r="Z1071">
        <f>$C1071*Z1070</f>
        <v/>
      </c>
      <c r="AA1071">
        <f>$C1071*AA1070</f>
        <v/>
      </c>
      <c r="AB1071">
        <f>$C1071*AB1070</f>
        <v/>
      </c>
      <c r="AC1071">
        <f>$C1071*AC1070</f>
        <v/>
      </c>
      <c r="AD1071">
        <f>$C1071*AD1070</f>
        <v/>
      </c>
      <c r="AE1071">
        <f>$C1071*AE1070</f>
        <v/>
      </c>
      <c r="AF1071">
        <f>$C1071*AF1070</f>
        <v/>
      </c>
      <c r="AG1071">
        <f>$C1071*AG1070</f>
        <v/>
      </c>
      <c r="AH1071">
        <f>$C1071*AH1070</f>
        <v/>
      </c>
      <c r="AI1071">
        <f>$C1071*AI1070</f>
        <v/>
      </c>
      <c r="AJ1071">
        <f>$C1071*AJ1070</f>
        <v/>
      </c>
      <c r="AK1071">
        <f>$C1071*AK1070</f>
        <v/>
      </c>
      <c r="AL1071">
        <f>$C1071*AL1070</f>
        <v/>
      </c>
      <c r="AM1071">
        <f>$C1071*AM1070</f>
        <v/>
      </c>
      <c r="AN1071">
        <f>$C1071*AN1070</f>
        <v/>
      </c>
      <c r="AO1071">
        <f>$C1071*AO1070</f>
        <v/>
      </c>
      <c r="AP1071">
        <f>$C1071*AP1070</f>
        <v/>
      </c>
      <c r="AQ1071">
        <f>$C1071*AQ1070</f>
        <v/>
      </c>
      <c r="AR1071">
        <f>$C1071*AR1070</f>
        <v/>
      </c>
      <c r="AS1071">
        <f>$C1071*AS1070</f>
        <v/>
      </c>
      <c r="AT1071">
        <f>$C1071*AT1070</f>
        <v/>
      </c>
      <c r="AU1071">
        <f>$C1071*AU1070</f>
        <v/>
      </c>
      <c r="AV1071">
        <f>$C1071*AV1070</f>
        <v/>
      </c>
      <c r="AW1071">
        <f>$C1071*AW1070</f>
        <v/>
      </c>
      <c r="AX1071">
        <f>$C1071*AX1070</f>
        <v/>
      </c>
      <c r="AY1071">
        <f>$C1071*AY1070</f>
        <v/>
      </c>
      <c r="AZ1071">
        <f>$C1071*AZ1070</f>
        <v/>
      </c>
      <c r="BA1071">
        <f>$C1071*BA1070</f>
        <v/>
      </c>
      <c r="BB1071">
        <f>$C1071*BB1070</f>
        <v/>
      </c>
      <c r="BC1071">
        <f>$C1071*BC1070</f>
        <v/>
      </c>
      <c r="BD1071">
        <f>$C1071*BD1070</f>
        <v/>
      </c>
      <c r="BE1071">
        <f>$C1071*BE1070</f>
        <v/>
      </c>
      <c r="BF1071">
        <f>$C1071*BF1070</f>
        <v/>
      </c>
      <c r="BG1071">
        <f>$C1071*BG1070</f>
        <v/>
      </c>
      <c r="BH1071">
        <f>$C1071*BH1070</f>
        <v/>
      </c>
      <c r="BI1071">
        <f>$C1071*BI1070</f>
        <v/>
      </c>
      <c r="BJ1071">
        <f>$C1071*BJ1070</f>
        <v/>
      </c>
      <c r="BK1071">
        <f>$C1071*BK1070</f>
        <v/>
      </c>
      <c r="BL1071">
        <f>$C1071*BL1070</f>
        <v/>
      </c>
      <c r="BM1071">
        <f>$C1071*BM1070</f>
        <v/>
      </c>
      <c r="BN1071">
        <f>$C1071*BN1070</f>
        <v/>
      </c>
      <c r="BO1071">
        <f>$C1071*BO1070</f>
        <v/>
      </c>
      <c r="BP1071">
        <f>$C1071*BP1070</f>
        <v/>
      </c>
      <c r="BQ1071">
        <f>$C1071*BQ1070</f>
        <v/>
      </c>
      <c r="BR1071">
        <f>$C1071*BR1070</f>
        <v/>
      </c>
      <c r="BS1071">
        <f>$C1071*BS1070</f>
        <v/>
      </c>
      <c r="BT1071">
        <f>$C1071*BT1070</f>
        <v/>
      </c>
      <c r="BU1071">
        <f>$C1071*BU1070</f>
        <v/>
      </c>
      <c r="BV1071">
        <f>$C1071*BV1070</f>
        <v/>
      </c>
      <c r="BW1071">
        <f>$C1071*BW1070</f>
        <v/>
      </c>
      <c r="BX1071">
        <f>$C1071*BX1070</f>
        <v/>
      </c>
      <c r="BY1071">
        <f>$C1071*BY1070</f>
        <v/>
      </c>
      <c r="BZ1071">
        <f>$C1071*BZ1070</f>
        <v/>
      </c>
      <c r="CA1071">
        <f>$C1071*CA1070</f>
        <v/>
      </c>
      <c r="CB1071">
        <f>$C1071*CB1070</f>
        <v/>
      </c>
      <c r="CC1071">
        <f>$C1071*CC1070</f>
        <v/>
      </c>
      <c r="CD1071">
        <f>$C1071*CD1070</f>
        <v/>
      </c>
      <c r="CE1071">
        <f>$C1071*CE1070</f>
        <v/>
      </c>
      <c r="CF1071">
        <f>$C1071*CF1070</f>
        <v/>
      </c>
      <c r="CG1071">
        <f>$C1071*CG1070</f>
        <v/>
      </c>
      <c r="CH1071">
        <f>$C1071*CH1070</f>
        <v/>
      </c>
      <c r="CI1071">
        <f>$C1071*CI1070</f>
        <v/>
      </c>
      <c r="CJ1071">
        <f>$C1071*CJ1070</f>
        <v/>
      </c>
      <c r="CK1071">
        <f>$C1071*CK1070</f>
        <v/>
      </c>
      <c r="CL1071">
        <f>$C1071*CL1070</f>
        <v/>
      </c>
      <c r="CM1071">
        <f>$C1071*CM1070</f>
        <v/>
      </c>
      <c r="CN1071">
        <f>$C1071*CN1070</f>
        <v/>
      </c>
      <c r="CO1071">
        <f>$C1071*CO1070</f>
        <v/>
      </c>
      <c r="CP1071">
        <f>$C1071*CP1070</f>
        <v/>
      </c>
      <c r="CQ1071">
        <f>$C1071*CQ1070</f>
        <v/>
      </c>
      <c r="CR1071">
        <f>$C1071*CR1070</f>
        <v/>
      </c>
      <c r="CS1071">
        <f>$C1071*CS1070</f>
        <v/>
      </c>
      <c r="CT1071">
        <f>$C1071*CT1070</f>
        <v/>
      </c>
      <c r="CU1071">
        <f>$C1071*CU1070</f>
        <v/>
      </c>
      <c r="CV1071">
        <f>$C1071*CV1070</f>
        <v/>
      </c>
      <c r="CW1071">
        <f>$C1071*CW1070</f>
        <v/>
      </c>
      <c r="CX1071">
        <f>$C1071*CX1070</f>
        <v/>
      </c>
      <c r="CY1071">
        <f>$C1071*CY1070</f>
        <v/>
      </c>
      <c r="CZ1071">
        <f>$C1071*CZ1070</f>
        <v/>
      </c>
      <c r="DA1071">
        <f>$C1071*DA1070</f>
        <v/>
      </c>
      <c r="DB1071">
        <f>$C1071*DB1070</f>
        <v/>
      </c>
      <c r="DC1071">
        <f>$C1071*DC1070</f>
        <v/>
      </c>
    </row>
    <row r="1072">
      <c r="B1072" t="inlineStr">
        <is>
          <t>TSP-558</t>
        </is>
      </c>
      <c r="C1072" t="inlineStr">
        <is>
          <t>No. of batches</t>
        </is>
      </c>
      <c r="D1072">
        <f>IFERROR(INDEX(PP_Grid[#Data],$DD1072,2),0)</f>
        <v/>
      </c>
      <c r="E1072">
        <f>IFERROR(INDEX(PP_Grid[#Data],$DD1072,3),0)</f>
        <v/>
      </c>
      <c r="F1072">
        <f>IFERROR(INDEX(PP_Grid[#Data],$DD1072,4),0)</f>
        <v/>
      </c>
      <c r="G1072">
        <f>IFERROR(INDEX(PP_Grid[#Data],$DD1072,5),0)</f>
        <v/>
      </c>
      <c r="H1072">
        <f>IFERROR(INDEX(PP_Grid[#Data],$DD1072,6),0)</f>
        <v/>
      </c>
      <c r="I1072">
        <f>IFERROR(INDEX(PP_Grid[#Data],$DD1072,7),0)</f>
        <v/>
      </c>
      <c r="J1072">
        <f>IFERROR(INDEX(PP_Grid[#Data],$DD1072,8),0)</f>
        <v/>
      </c>
      <c r="K1072">
        <f>IFERROR(INDEX(PP_Grid[#Data],$DD1072,9),0)</f>
        <v/>
      </c>
      <c r="L1072">
        <f>IFERROR(INDEX(PP_Grid[#Data],$DD1072,10),0)</f>
        <v/>
      </c>
      <c r="M1072">
        <f>IFERROR(INDEX(PP_Grid[#Data],$DD1072,11),0)</f>
        <v/>
      </c>
      <c r="N1072">
        <f>IFERROR(INDEX(PP_Grid[#Data],$DD1072,12),0)</f>
        <v/>
      </c>
      <c r="O1072">
        <f>IFERROR(INDEX(PP_Grid[#Data],$DD1072,13),0)</f>
        <v/>
      </c>
      <c r="P1072">
        <f>IFERROR(INDEX(PP_Grid[#Data],$DD1072,14),0)</f>
        <v/>
      </c>
      <c r="Q1072">
        <f>IFERROR(INDEX(PP_Grid[#Data],$DD1072,15),0)</f>
        <v/>
      </c>
      <c r="R1072">
        <f>IFERROR(INDEX(PP_Grid[#Data],$DD1072,16),0)</f>
        <v/>
      </c>
      <c r="S1072">
        <f>IFERROR(INDEX(PP_Grid[#Data],$DD1072,17),0)</f>
        <v/>
      </c>
      <c r="T1072">
        <f>IFERROR(INDEX(PP_Grid[#Data],$DD1072,18),0)</f>
        <v/>
      </c>
      <c r="U1072">
        <f>IFERROR(INDEX(PP_Grid[#Data],$DD1072,19),0)</f>
        <v/>
      </c>
      <c r="V1072">
        <f>IFERROR(INDEX(PP_Grid[#Data],$DD1072,20),0)</f>
        <v/>
      </c>
      <c r="W1072">
        <f>IFERROR(INDEX(PP_Grid[#Data],$DD1072,21),0)</f>
        <v/>
      </c>
      <c r="X1072">
        <f>IFERROR(INDEX(PP_Grid[#Data],$DD1072,22),0)</f>
        <v/>
      </c>
      <c r="Y1072">
        <f>IFERROR(INDEX(PP_Grid[#Data],$DD1072,23),0)</f>
        <v/>
      </c>
      <c r="Z1072">
        <f>IFERROR(INDEX(PP_Grid[#Data],$DD1072,24),0)</f>
        <v/>
      </c>
      <c r="AA1072">
        <f>IFERROR(INDEX(PP_Grid[#Data],$DD1072,25),0)</f>
        <v/>
      </c>
      <c r="AB1072">
        <f>IFERROR(INDEX(PP_Grid[#Data],$DD1072,26),0)</f>
        <v/>
      </c>
      <c r="AC1072">
        <f>IFERROR(INDEX(PP_Grid[#Data],$DD1072,27),0)</f>
        <v/>
      </c>
      <c r="AD1072">
        <f>IFERROR(INDEX(PP_Grid[#Data],$DD1072,28),0)</f>
        <v/>
      </c>
      <c r="AE1072">
        <f>IFERROR(INDEX(PP_Grid[#Data],$DD1072,29),0)</f>
        <v/>
      </c>
      <c r="AF1072">
        <f>IFERROR(INDEX(PP_Grid[#Data],$DD1072,30),0)</f>
        <v/>
      </c>
      <c r="AG1072">
        <f>IFERROR(INDEX(PP_Grid[#Data],$DD1072,31),0)</f>
        <v/>
      </c>
      <c r="AH1072">
        <f>IFERROR(INDEX(PP_Grid[#Data],$DD1072,32),0)</f>
        <v/>
      </c>
      <c r="AI1072">
        <f>IFERROR(INDEX(PP_Grid[#Data],$DD1072,33),0)</f>
        <v/>
      </c>
      <c r="AJ1072">
        <f>IFERROR(INDEX(PP_Grid[#Data],$DD1072,34),0)</f>
        <v/>
      </c>
      <c r="AK1072">
        <f>IFERROR(INDEX(PP_Grid[#Data],$DD1072,35),0)</f>
        <v/>
      </c>
      <c r="AL1072">
        <f>IFERROR(INDEX(PP_Grid[#Data],$DD1072,36),0)</f>
        <v/>
      </c>
      <c r="AM1072">
        <f>IFERROR(INDEX(PP_Grid[#Data],$DD1072,37),0)</f>
        <v/>
      </c>
      <c r="AN1072">
        <f>IFERROR(INDEX(PP_Grid[#Data],$DD1072,38),0)</f>
        <v/>
      </c>
      <c r="AO1072">
        <f>IFERROR(INDEX(PP_Grid[#Data],$DD1072,39),0)</f>
        <v/>
      </c>
      <c r="AP1072">
        <f>IFERROR(INDEX(PP_Grid[#Data],$DD1072,40),0)</f>
        <v/>
      </c>
      <c r="AQ1072">
        <f>IFERROR(INDEX(PP_Grid[#Data],$DD1072,41),0)</f>
        <v/>
      </c>
      <c r="AR1072">
        <f>IFERROR(INDEX(PP_Grid[#Data],$DD1072,42),0)</f>
        <v/>
      </c>
      <c r="AS1072">
        <f>IFERROR(INDEX(PP_Grid[#Data],$DD1072,43),0)</f>
        <v/>
      </c>
      <c r="AT1072">
        <f>IFERROR(INDEX(PP_Grid[#Data],$DD1072,44),0)</f>
        <v/>
      </c>
      <c r="AU1072">
        <f>IFERROR(INDEX(PP_Grid[#Data],$DD1072,45),0)</f>
        <v/>
      </c>
      <c r="AV1072">
        <f>IFERROR(INDEX(PP_Grid[#Data],$DD1072,46),0)</f>
        <v/>
      </c>
      <c r="AW1072">
        <f>IFERROR(INDEX(PP_Grid[#Data],$DD1072,47),0)</f>
        <v/>
      </c>
      <c r="AX1072">
        <f>IFERROR(INDEX(PP_Grid[#Data],$DD1072,48),0)</f>
        <v/>
      </c>
      <c r="AY1072">
        <f>IFERROR(INDEX(PP_Grid[#Data],$DD1072,49),0)</f>
        <v/>
      </c>
      <c r="AZ1072">
        <f>IFERROR(INDEX(PP_Grid[#Data],$DD1072,50),0)</f>
        <v/>
      </c>
      <c r="BA1072">
        <f>IFERROR(INDEX(PP_Grid[#Data],$DD1072,51),0)</f>
        <v/>
      </c>
      <c r="BB1072">
        <f>IFERROR(INDEX(PP_Grid[#Data],$DD1072,52),0)</f>
        <v/>
      </c>
      <c r="BC1072">
        <f>IFERROR(INDEX(PP_Grid[#Data],$DD1072,53),0)</f>
        <v/>
      </c>
      <c r="BD1072">
        <f>IFERROR(INDEX(PP_Grid[#Data],$DD1072,54),0)</f>
        <v/>
      </c>
      <c r="BE1072">
        <f>IFERROR(INDEX(PP_Grid[#Data],$DD1072,55),0)</f>
        <v/>
      </c>
      <c r="BF1072">
        <f>IFERROR(INDEX(PP_Grid[#Data],$DD1072,56),0)</f>
        <v/>
      </c>
      <c r="BG1072">
        <f>IFERROR(INDEX(PP_Grid[#Data],$DD1072,57),0)</f>
        <v/>
      </c>
      <c r="BH1072">
        <f>IFERROR(INDEX(PP_Grid[#Data],$DD1072,58),0)</f>
        <v/>
      </c>
      <c r="BI1072">
        <f>IFERROR(INDEX(PP_Grid[#Data],$DD1072,59),0)</f>
        <v/>
      </c>
      <c r="BJ1072">
        <f>IFERROR(INDEX(PP_Grid[#Data],$DD1072,60),0)</f>
        <v/>
      </c>
      <c r="BK1072">
        <f>IFERROR(INDEX(PP_Grid[#Data],$DD1072,61),0)</f>
        <v/>
      </c>
      <c r="BL1072">
        <f>IFERROR(INDEX(PP_Grid[#Data],$DD1072,62),0)</f>
        <v/>
      </c>
      <c r="BM1072">
        <f>IFERROR(INDEX(PP_Grid[#Data],$DD1072,63),0)</f>
        <v/>
      </c>
      <c r="BN1072">
        <f>IFERROR(INDEX(PP_Grid[#Data],$DD1072,64),0)</f>
        <v/>
      </c>
      <c r="BO1072">
        <f>IFERROR(INDEX(PP_Grid[#Data],$DD1072,65),0)</f>
        <v/>
      </c>
      <c r="BP1072">
        <f>IFERROR(INDEX(PP_Grid[#Data],$DD1072,66),0)</f>
        <v/>
      </c>
      <c r="BQ1072">
        <f>IFERROR(INDEX(PP_Grid[#Data],$DD1072,67),0)</f>
        <v/>
      </c>
      <c r="BR1072">
        <f>IFERROR(INDEX(PP_Grid[#Data],$DD1072,68),0)</f>
        <v/>
      </c>
      <c r="BS1072">
        <f>IFERROR(INDEX(PP_Grid[#Data],$DD1072,69),0)</f>
        <v/>
      </c>
      <c r="BT1072">
        <f>IFERROR(INDEX(PP_Grid[#Data],$DD1072,70),0)</f>
        <v/>
      </c>
      <c r="BU1072">
        <f>IFERROR(INDEX(PP_Grid[#Data],$DD1072,71),0)</f>
        <v/>
      </c>
      <c r="BV1072">
        <f>IFERROR(INDEX(PP_Grid[#Data],$DD1072,72),0)</f>
        <v/>
      </c>
      <c r="BW1072">
        <f>IFERROR(INDEX(PP_Grid[#Data],$DD1072,73),0)</f>
        <v/>
      </c>
      <c r="BX1072">
        <f>IFERROR(INDEX(PP_Grid[#Data],$DD1072,74),0)</f>
        <v/>
      </c>
      <c r="BY1072">
        <f>IFERROR(INDEX(PP_Grid[#Data],$DD1072,75),0)</f>
        <v/>
      </c>
      <c r="BZ1072">
        <f>IFERROR(INDEX(PP_Grid[#Data],$DD1072,76),0)</f>
        <v/>
      </c>
      <c r="CA1072">
        <f>IFERROR(INDEX(PP_Grid[#Data],$DD1072,77),0)</f>
        <v/>
      </c>
      <c r="CB1072">
        <f>IFERROR(INDEX(PP_Grid[#Data],$DD1072,78),0)</f>
        <v/>
      </c>
      <c r="CC1072">
        <f>IFERROR(INDEX(PP_Grid[#Data],$DD1072,79),0)</f>
        <v/>
      </c>
      <c r="CD1072">
        <f>IFERROR(INDEX(PP_Grid[#Data],$DD1072,80),0)</f>
        <v/>
      </c>
      <c r="CE1072">
        <f>IFERROR(INDEX(PP_Grid[#Data],$DD1072,81),0)</f>
        <v/>
      </c>
      <c r="CF1072">
        <f>IFERROR(INDEX(PP_Grid[#Data],$DD1072,82),0)</f>
        <v/>
      </c>
      <c r="CG1072">
        <f>IFERROR(INDEX(PP_Grid[#Data],$DD1072,83),0)</f>
        <v/>
      </c>
      <c r="CH1072">
        <f>IFERROR(INDEX(PP_Grid[#Data],$DD1072,84),0)</f>
        <v/>
      </c>
      <c r="CI1072">
        <f>IFERROR(INDEX(PP_Grid[#Data],$DD1072,85),0)</f>
        <v/>
      </c>
      <c r="CJ1072">
        <f>IFERROR(INDEX(PP_Grid[#Data],$DD1072,86),0)</f>
        <v/>
      </c>
      <c r="CK1072">
        <f>IFERROR(INDEX(PP_Grid[#Data],$DD1072,87),0)</f>
        <v/>
      </c>
      <c r="CL1072">
        <f>IFERROR(INDEX(PP_Grid[#Data],$DD1072,88),0)</f>
        <v/>
      </c>
      <c r="CM1072">
        <f>IFERROR(INDEX(PP_Grid[#Data],$DD1072,89),0)</f>
        <v/>
      </c>
      <c r="CN1072">
        <f>IFERROR(INDEX(PP_Grid[#Data],$DD1072,90),0)</f>
        <v/>
      </c>
      <c r="CO1072">
        <f>IFERROR(INDEX(PP_Grid[#Data],$DD1072,91),0)</f>
        <v/>
      </c>
      <c r="CP1072">
        <f>IFERROR(INDEX(PP_Grid[#Data],$DD1072,92),0)</f>
        <v/>
      </c>
      <c r="CQ1072">
        <f>IFERROR(INDEX(PP_Grid[#Data],$DD1072,93),0)</f>
        <v/>
      </c>
      <c r="CR1072">
        <f>IFERROR(INDEX(PP_Grid[#Data],$DD1072,94),0)</f>
        <v/>
      </c>
      <c r="CS1072">
        <f>IFERROR(INDEX(PP_Grid[#Data],$DD1072,95),0)</f>
        <v/>
      </c>
      <c r="CT1072">
        <f>IFERROR(INDEX(PP_Grid[#Data],$DD1072,96),0)</f>
        <v/>
      </c>
      <c r="CU1072">
        <f>IFERROR(INDEX(PP_Grid[#Data],$DD1072,97),0)</f>
        <v/>
      </c>
      <c r="CV1072">
        <f>IFERROR(INDEX(PP_Grid[#Data],$DD1072,98),0)</f>
        <v/>
      </c>
      <c r="CW1072">
        <f>IFERROR(INDEX(PP_Grid[#Data],$DD1072,99),0)</f>
        <v/>
      </c>
      <c r="CX1072">
        <f>IFERROR(INDEX(PP_Grid[#Data],$DD1072,100),0)</f>
        <v/>
      </c>
      <c r="CY1072">
        <f>IFERROR(INDEX(PP_Grid[#Data],$DD1072,101),0)</f>
        <v/>
      </c>
      <c r="CZ1072">
        <f>IFERROR(INDEX(PP_Grid[#Data],$DD1072,102),0)</f>
        <v/>
      </c>
      <c r="DA1072">
        <f>IFERROR(INDEX(PP_Grid[#Data],$DD1072,103),0)</f>
        <v/>
      </c>
      <c r="DB1072">
        <f>IFERROR(INDEX(PP_Grid[#Data],$DD1072,104),0)</f>
        <v/>
      </c>
      <c r="DC1072">
        <f>IFERROR(INDEX(PP_Grid[#Data],$DD1072,105),0)</f>
        <v/>
      </c>
      <c r="DD1072" s="12">
        <f>IFERROR(MATCH($B1072,PP_Grid[Intermediate],0),99999)</f>
        <v/>
      </c>
    </row>
    <row r="1073">
      <c r="B1073" t="inlineStr">
        <is>
          <t>使用量(kg)</t>
        </is>
      </c>
      <c r="C1073">
        <f>SUMIFS(M_BOM[RM_Qty_Per_Batch],M_BOM[Intermediate],$B1072,M_BOM[Part Name],$A1069)</f>
        <v/>
      </c>
      <c r="D1073">
        <f>$C1073*D1072</f>
        <v/>
      </c>
      <c r="E1073">
        <f>$C1073*E1072</f>
        <v/>
      </c>
      <c r="F1073">
        <f>$C1073*F1072</f>
        <v/>
      </c>
      <c r="G1073">
        <f>$C1073*G1072</f>
        <v/>
      </c>
      <c r="H1073">
        <f>$C1073*H1072</f>
        <v/>
      </c>
      <c r="I1073">
        <f>$C1073*I1072</f>
        <v/>
      </c>
      <c r="J1073">
        <f>$C1073*J1072</f>
        <v/>
      </c>
      <c r="K1073">
        <f>$C1073*K1072</f>
        <v/>
      </c>
      <c r="L1073">
        <f>$C1073*L1072</f>
        <v/>
      </c>
      <c r="M1073">
        <f>$C1073*M1072</f>
        <v/>
      </c>
      <c r="N1073">
        <f>$C1073*N1072</f>
        <v/>
      </c>
      <c r="O1073">
        <f>$C1073*O1072</f>
        <v/>
      </c>
      <c r="P1073">
        <f>$C1073*P1072</f>
        <v/>
      </c>
      <c r="Q1073">
        <f>$C1073*Q1072</f>
        <v/>
      </c>
      <c r="R1073">
        <f>$C1073*R1072</f>
        <v/>
      </c>
      <c r="S1073">
        <f>$C1073*S1072</f>
        <v/>
      </c>
      <c r="T1073">
        <f>$C1073*T1072</f>
        <v/>
      </c>
      <c r="U1073">
        <f>$C1073*U1072</f>
        <v/>
      </c>
      <c r="V1073">
        <f>$C1073*V1072</f>
        <v/>
      </c>
      <c r="W1073">
        <f>$C1073*W1072</f>
        <v/>
      </c>
      <c r="X1073">
        <f>$C1073*X1072</f>
        <v/>
      </c>
      <c r="Y1073">
        <f>$C1073*Y1072</f>
        <v/>
      </c>
      <c r="Z1073">
        <f>$C1073*Z1072</f>
        <v/>
      </c>
      <c r="AA1073">
        <f>$C1073*AA1072</f>
        <v/>
      </c>
      <c r="AB1073">
        <f>$C1073*AB1072</f>
        <v/>
      </c>
      <c r="AC1073">
        <f>$C1073*AC1072</f>
        <v/>
      </c>
      <c r="AD1073">
        <f>$C1073*AD1072</f>
        <v/>
      </c>
      <c r="AE1073">
        <f>$C1073*AE1072</f>
        <v/>
      </c>
      <c r="AF1073">
        <f>$C1073*AF1072</f>
        <v/>
      </c>
      <c r="AG1073">
        <f>$C1073*AG1072</f>
        <v/>
      </c>
      <c r="AH1073">
        <f>$C1073*AH1072</f>
        <v/>
      </c>
      <c r="AI1073">
        <f>$C1073*AI1072</f>
        <v/>
      </c>
      <c r="AJ1073">
        <f>$C1073*AJ1072</f>
        <v/>
      </c>
      <c r="AK1073">
        <f>$C1073*AK1072</f>
        <v/>
      </c>
      <c r="AL1073">
        <f>$C1073*AL1072</f>
        <v/>
      </c>
      <c r="AM1073">
        <f>$C1073*AM1072</f>
        <v/>
      </c>
      <c r="AN1073">
        <f>$C1073*AN1072</f>
        <v/>
      </c>
      <c r="AO1073">
        <f>$C1073*AO1072</f>
        <v/>
      </c>
      <c r="AP1073">
        <f>$C1073*AP1072</f>
        <v/>
      </c>
      <c r="AQ1073">
        <f>$C1073*AQ1072</f>
        <v/>
      </c>
      <c r="AR1073">
        <f>$C1073*AR1072</f>
        <v/>
      </c>
      <c r="AS1073">
        <f>$C1073*AS1072</f>
        <v/>
      </c>
      <c r="AT1073">
        <f>$C1073*AT1072</f>
        <v/>
      </c>
      <c r="AU1073">
        <f>$C1073*AU1072</f>
        <v/>
      </c>
      <c r="AV1073">
        <f>$C1073*AV1072</f>
        <v/>
      </c>
      <c r="AW1073">
        <f>$C1073*AW1072</f>
        <v/>
      </c>
      <c r="AX1073">
        <f>$C1073*AX1072</f>
        <v/>
      </c>
      <c r="AY1073">
        <f>$C1073*AY1072</f>
        <v/>
      </c>
      <c r="AZ1073">
        <f>$C1073*AZ1072</f>
        <v/>
      </c>
      <c r="BA1073">
        <f>$C1073*BA1072</f>
        <v/>
      </c>
      <c r="BB1073">
        <f>$C1073*BB1072</f>
        <v/>
      </c>
      <c r="BC1073">
        <f>$C1073*BC1072</f>
        <v/>
      </c>
      <c r="BD1073">
        <f>$C1073*BD1072</f>
        <v/>
      </c>
      <c r="BE1073">
        <f>$C1073*BE1072</f>
        <v/>
      </c>
      <c r="BF1073">
        <f>$C1073*BF1072</f>
        <v/>
      </c>
      <c r="BG1073">
        <f>$C1073*BG1072</f>
        <v/>
      </c>
      <c r="BH1073">
        <f>$C1073*BH1072</f>
        <v/>
      </c>
      <c r="BI1073">
        <f>$C1073*BI1072</f>
        <v/>
      </c>
      <c r="BJ1073">
        <f>$C1073*BJ1072</f>
        <v/>
      </c>
      <c r="BK1073">
        <f>$C1073*BK1072</f>
        <v/>
      </c>
      <c r="BL1073">
        <f>$C1073*BL1072</f>
        <v/>
      </c>
      <c r="BM1073">
        <f>$C1073*BM1072</f>
        <v/>
      </c>
      <c r="BN1073">
        <f>$C1073*BN1072</f>
        <v/>
      </c>
      <c r="BO1073">
        <f>$C1073*BO1072</f>
        <v/>
      </c>
      <c r="BP1073">
        <f>$C1073*BP1072</f>
        <v/>
      </c>
      <c r="BQ1073">
        <f>$C1073*BQ1072</f>
        <v/>
      </c>
      <c r="BR1073">
        <f>$C1073*BR1072</f>
        <v/>
      </c>
      <c r="BS1073">
        <f>$C1073*BS1072</f>
        <v/>
      </c>
      <c r="BT1073">
        <f>$C1073*BT1072</f>
        <v/>
      </c>
      <c r="BU1073">
        <f>$C1073*BU1072</f>
        <v/>
      </c>
      <c r="BV1073">
        <f>$C1073*BV1072</f>
        <v/>
      </c>
      <c r="BW1073">
        <f>$C1073*BW1072</f>
        <v/>
      </c>
      <c r="BX1073">
        <f>$C1073*BX1072</f>
        <v/>
      </c>
      <c r="BY1073">
        <f>$C1073*BY1072</f>
        <v/>
      </c>
      <c r="BZ1073">
        <f>$C1073*BZ1072</f>
        <v/>
      </c>
      <c r="CA1073">
        <f>$C1073*CA1072</f>
        <v/>
      </c>
      <c r="CB1073">
        <f>$C1073*CB1072</f>
        <v/>
      </c>
      <c r="CC1073">
        <f>$C1073*CC1072</f>
        <v/>
      </c>
      <c r="CD1073">
        <f>$C1073*CD1072</f>
        <v/>
      </c>
      <c r="CE1073">
        <f>$C1073*CE1072</f>
        <v/>
      </c>
      <c r="CF1073">
        <f>$C1073*CF1072</f>
        <v/>
      </c>
      <c r="CG1073">
        <f>$C1073*CG1072</f>
        <v/>
      </c>
      <c r="CH1073">
        <f>$C1073*CH1072</f>
        <v/>
      </c>
      <c r="CI1073">
        <f>$C1073*CI1072</f>
        <v/>
      </c>
      <c r="CJ1073">
        <f>$C1073*CJ1072</f>
        <v/>
      </c>
      <c r="CK1073">
        <f>$C1073*CK1072</f>
        <v/>
      </c>
      <c r="CL1073">
        <f>$C1073*CL1072</f>
        <v/>
      </c>
      <c r="CM1073">
        <f>$C1073*CM1072</f>
        <v/>
      </c>
      <c r="CN1073">
        <f>$C1073*CN1072</f>
        <v/>
      </c>
      <c r="CO1073">
        <f>$C1073*CO1072</f>
        <v/>
      </c>
      <c r="CP1073">
        <f>$C1073*CP1072</f>
        <v/>
      </c>
      <c r="CQ1073">
        <f>$C1073*CQ1072</f>
        <v/>
      </c>
      <c r="CR1073">
        <f>$C1073*CR1072</f>
        <v/>
      </c>
      <c r="CS1073">
        <f>$C1073*CS1072</f>
        <v/>
      </c>
      <c r="CT1073">
        <f>$C1073*CT1072</f>
        <v/>
      </c>
      <c r="CU1073">
        <f>$C1073*CU1072</f>
        <v/>
      </c>
      <c r="CV1073">
        <f>$C1073*CV1072</f>
        <v/>
      </c>
      <c r="CW1073">
        <f>$C1073*CW1072</f>
        <v/>
      </c>
      <c r="CX1073">
        <f>$C1073*CX1072</f>
        <v/>
      </c>
      <c r="CY1073">
        <f>$C1073*CY1072</f>
        <v/>
      </c>
      <c r="CZ1073">
        <f>$C1073*CZ1072</f>
        <v/>
      </c>
      <c r="DA1073">
        <f>$C1073*DA1072</f>
        <v/>
      </c>
      <c r="DB1073">
        <f>$C1073*DB1072</f>
        <v/>
      </c>
      <c r="DC1073">
        <f>$C1073*DC1072</f>
        <v/>
      </c>
    </row>
    <row r="1074">
      <c r="B1074" s="5" t="inlineStr">
        <is>
          <t>合計使用量(kg)/週</t>
        </is>
      </c>
      <c r="D1074">
        <f>'Grid_Requirement'!B45</f>
        <v/>
      </c>
      <c r="E1074">
        <f>'Grid_Requirement'!C45</f>
        <v/>
      </c>
      <c r="F1074">
        <f>'Grid_Requirement'!D45</f>
        <v/>
      </c>
      <c r="G1074">
        <f>'Grid_Requirement'!E45</f>
        <v/>
      </c>
      <c r="H1074">
        <f>'Grid_Requirement'!F45</f>
        <v/>
      </c>
      <c r="I1074">
        <f>'Grid_Requirement'!G45</f>
        <v/>
      </c>
      <c r="J1074">
        <f>'Grid_Requirement'!H45</f>
        <v/>
      </c>
      <c r="K1074">
        <f>'Grid_Requirement'!I45</f>
        <v/>
      </c>
      <c r="L1074">
        <f>'Grid_Requirement'!J45</f>
        <v/>
      </c>
      <c r="M1074">
        <f>'Grid_Requirement'!K45</f>
        <v/>
      </c>
      <c r="N1074">
        <f>'Grid_Requirement'!L45</f>
        <v/>
      </c>
      <c r="O1074">
        <f>'Grid_Requirement'!M45</f>
        <v/>
      </c>
      <c r="P1074">
        <f>'Grid_Requirement'!N45</f>
        <v/>
      </c>
      <c r="Q1074">
        <f>'Grid_Requirement'!O45</f>
        <v/>
      </c>
      <c r="R1074">
        <f>'Grid_Requirement'!P45</f>
        <v/>
      </c>
      <c r="S1074">
        <f>'Grid_Requirement'!Q45</f>
        <v/>
      </c>
      <c r="T1074">
        <f>'Grid_Requirement'!R45</f>
        <v/>
      </c>
      <c r="U1074">
        <f>'Grid_Requirement'!S45</f>
        <v/>
      </c>
      <c r="V1074">
        <f>'Grid_Requirement'!T45</f>
        <v/>
      </c>
      <c r="W1074">
        <f>'Grid_Requirement'!U45</f>
        <v/>
      </c>
      <c r="X1074">
        <f>'Grid_Requirement'!V45</f>
        <v/>
      </c>
      <c r="Y1074">
        <f>'Grid_Requirement'!W45</f>
        <v/>
      </c>
      <c r="Z1074">
        <f>'Grid_Requirement'!X45</f>
        <v/>
      </c>
      <c r="AA1074">
        <f>'Grid_Requirement'!Y45</f>
        <v/>
      </c>
      <c r="AB1074">
        <f>'Grid_Requirement'!Z45</f>
        <v/>
      </c>
      <c r="AC1074">
        <f>'Grid_Requirement'!AA45</f>
        <v/>
      </c>
      <c r="AD1074">
        <f>'Grid_Requirement'!AB45</f>
        <v/>
      </c>
      <c r="AE1074">
        <f>'Grid_Requirement'!AC45</f>
        <v/>
      </c>
      <c r="AF1074">
        <f>'Grid_Requirement'!AD45</f>
        <v/>
      </c>
      <c r="AG1074">
        <f>'Grid_Requirement'!AE45</f>
        <v/>
      </c>
      <c r="AH1074">
        <f>'Grid_Requirement'!AF45</f>
        <v/>
      </c>
      <c r="AI1074">
        <f>'Grid_Requirement'!AG45</f>
        <v/>
      </c>
      <c r="AJ1074">
        <f>'Grid_Requirement'!AH45</f>
        <v/>
      </c>
      <c r="AK1074">
        <f>'Grid_Requirement'!AI45</f>
        <v/>
      </c>
      <c r="AL1074">
        <f>'Grid_Requirement'!AJ45</f>
        <v/>
      </c>
      <c r="AM1074">
        <f>'Grid_Requirement'!AK45</f>
        <v/>
      </c>
      <c r="AN1074">
        <f>'Grid_Requirement'!AL45</f>
        <v/>
      </c>
      <c r="AO1074">
        <f>'Grid_Requirement'!AM45</f>
        <v/>
      </c>
      <c r="AP1074">
        <f>'Grid_Requirement'!AN45</f>
        <v/>
      </c>
      <c r="AQ1074">
        <f>'Grid_Requirement'!AO45</f>
        <v/>
      </c>
      <c r="AR1074">
        <f>'Grid_Requirement'!AP45</f>
        <v/>
      </c>
      <c r="AS1074">
        <f>'Grid_Requirement'!AQ45</f>
        <v/>
      </c>
      <c r="AT1074">
        <f>'Grid_Requirement'!AR45</f>
        <v/>
      </c>
      <c r="AU1074">
        <f>'Grid_Requirement'!AS45</f>
        <v/>
      </c>
      <c r="AV1074">
        <f>'Grid_Requirement'!AT45</f>
        <v/>
      </c>
      <c r="AW1074">
        <f>'Grid_Requirement'!AU45</f>
        <v/>
      </c>
      <c r="AX1074">
        <f>'Grid_Requirement'!AV45</f>
        <v/>
      </c>
      <c r="AY1074">
        <f>'Grid_Requirement'!AW45</f>
        <v/>
      </c>
      <c r="AZ1074">
        <f>'Grid_Requirement'!AX45</f>
        <v/>
      </c>
      <c r="BA1074">
        <f>'Grid_Requirement'!AY45</f>
        <v/>
      </c>
      <c r="BB1074">
        <f>'Grid_Requirement'!AZ45</f>
        <v/>
      </c>
      <c r="BC1074">
        <f>'Grid_Requirement'!BA45</f>
        <v/>
      </c>
      <c r="BD1074">
        <f>'Grid_Requirement'!BB45</f>
        <v/>
      </c>
      <c r="BE1074">
        <f>'Grid_Requirement'!BC45</f>
        <v/>
      </c>
      <c r="BF1074">
        <f>'Grid_Requirement'!BD45</f>
        <v/>
      </c>
      <c r="BG1074">
        <f>'Grid_Requirement'!BE45</f>
        <v/>
      </c>
      <c r="BH1074">
        <f>'Grid_Requirement'!BF45</f>
        <v/>
      </c>
      <c r="BI1074">
        <f>'Grid_Requirement'!BG45</f>
        <v/>
      </c>
      <c r="BJ1074">
        <f>'Grid_Requirement'!BH45</f>
        <v/>
      </c>
      <c r="BK1074">
        <f>'Grid_Requirement'!BI45</f>
        <v/>
      </c>
      <c r="BL1074">
        <f>'Grid_Requirement'!BJ45</f>
        <v/>
      </c>
      <c r="BM1074">
        <f>'Grid_Requirement'!BK45</f>
        <v/>
      </c>
      <c r="BN1074">
        <f>'Grid_Requirement'!BL45</f>
        <v/>
      </c>
      <c r="BO1074">
        <f>'Grid_Requirement'!BM45</f>
        <v/>
      </c>
      <c r="BP1074">
        <f>'Grid_Requirement'!BN45</f>
        <v/>
      </c>
      <c r="BQ1074">
        <f>'Grid_Requirement'!BO45</f>
        <v/>
      </c>
      <c r="BR1074">
        <f>'Grid_Requirement'!BP45</f>
        <v/>
      </c>
      <c r="BS1074">
        <f>'Grid_Requirement'!BQ45</f>
        <v/>
      </c>
      <c r="BT1074">
        <f>'Grid_Requirement'!BR45</f>
        <v/>
      </c>
      <c r="BU1074">
        <f>'Grid_Requirement'!BS45</f>
        <v/>
      </c>
      <c r="BV1074">
        <f>'Grid_Requirement'!BT45</f>
        <v/>
      </c>
      <c r="BW1074">
        <f>'Grid_Requirement'!BU45</f>
        <v/>
      </c>
      <c r="BX1074">
        <f>'Grid_Requirement'!BV45</f>
        <v/>
      </c>
      <c r="BY1074">
        <f>'Grid_Requirement'!BW45</f>
        <v/>
      </c>
      <c r="BZ1074">
        <f>'Grid_Requirement'!BX45</f>
        <v/>
      </c>
      <c r="CA1074">
        <f>'Grid_Requirement'!BY45</f>
        <v/>
      </c>
      <c r="CB1074">
        <f>'Grid_Requirement'!BZ45</f>
        <v/>
      </c>
      <c r="CC1074">
        <f>'Grid_Requirement'!CA45</f>
        <v/>
      </c>
      <c r="CD1074">
        <f>'Grid_Requirement'!CB45</f>
        <v/>
      </c>
      <c r="CE1074">
        <f>'Grid_Requirement'!CC45</f>
        <v/>
      </c>
      <c r="CF1074">
        <f>'Grid_Requirement'!CD45</f>
        <v/>
      </c>
      <c r="CG1074">
        <f>'Grid_Requirement'!CE45</f>
        <v/>
      </c>
      <c r="CH1074">
        <f>'Grid_Requirement'!CF45</f>
        <v/>
      </c>
      <c r="CI1074">
        <f>'Grid_Requirement'!CG45</f>
        <v/>
      </c>
      <c r="CJ1074">
        <f>'Grid_Requirement'!CH45</f>
        <v/>
      </c>
      <c r="CK1074">
        <f>'Grid_Requirement'!CI45</f>
        <v/>
      </c>
      <c r="CL1074">
        <f>'Grid_Requirement'!CJ45</f>
        <v/>
      </c>
      <c r="CM1074">
        <f>'Grid_Requirement'!CK45</f>
        <v/>
      </c>
      <c r="CN1074">
        <f>'Grid_Requirement'!CL45</f>
        <v/>
      </c>
      <c r="CO1074">
        <f>'Grid_Requirement'!CM45</f>
        <v/>
      </c>
      <c r="CP1074">
        <f>'Grid_Requirement'!CN45</f>
        <v/>
      </c>
      <c r="CQ1074">
        <f>'Grid_Requirement'!CO45</f>
        <v/>
      </c>
      <c r="CR1074">
        <f>'Grid_Requirement'!CP45</f>
        <v/>
      </c>
      <c r="CS1074">
        <f>'Grid_Requirement'!CQ45</f>
        <v/>
      </c>
      <c r="CT1074">
        <f>'Grid_Requirement'!CR45</f>
        <v/>
      </c>
      <c r="CU1074">
        <f>'Grid_Requirement'!CS45</f>
        <v/>
      </c>
      <c r="CV1074">
        <f>'Grid_Requirement'!CT45</f>
        <v/>
      </c>
      <c r="CW1074">
        <f>'Grid_Requirement'!CU45</f>
        <v/>
      </c>
      <c r="CX1074">
        <f>'Grid_Requirement'!CV45</f>
        <v/>
      </c>
      <c r="CY1074">
        <f>'Grid_Requirement'!CW45</f>
        <v/>
      </c>
      <c r="CZ1074">
        <f>'Grid_Requirement'!CX45</f>
        <v/>
      </c>
      <c r="DA1074">
        <f>'Grid_Requirement'!CY45</f>
        <v/>
      </c>
      <c r="DB1074">
        <f>'Grid_Requirement'!CZ45</f>
        <v/>
      </c>
      <c r="DC1074">
        <f>'Grid_Requirement'!DA45</f>
        <v/>
      </c>
    </row>
    <row r="1075">
      <c r="B1075" t="inlineStr">
        <is>
          <t>TTAF在庫(実績,kg)</t>
        </is>
      </c>
      <c r="D1075">
        <f>'T_TTAFStock'!B49</f>
        <v/>
      </c>
      <c r="E1075">
        <f>'T_TTAFStock'!C49</f>
        <v/>
      </c>
      <c r="F1075">
        <f>'T_TTAFStock'!D49</f>
        <v/>
      </c>
      <c r="G1075">
        <f>'T_TTAFStock'!E49</f>
        <v/>
      </c>
      <c r="H1075">
        <f>'T_TTAFStock'!F49</f>
        <v/>
      </c>
      <c r="I1075">
        <f>'T_TTAFStock'!G49</f>
        <v/>
      </c>
      <c r="J1075">
        <f>'T_TTAFStock'!H49</f>
        <v/>
      </c>
      <c r="K1075">
        <f>'T_TTAFStock'!I49</f>
        <v/>
      </c>
      <c r="L1075">
        <f>'T_TTAFStock'!J49</f>
        <v/>
      </c>
      <c r="M1075">
        <f>'T_TTAFStock'!K49</f>
        <v/>
      </c>
      <c r="N1075">
        <f>'T_TTAFStock'!L49</f>
        <v/>
      </c>
      <c r="O1075">
        <f>'T_TTAFStock'!M49</f>
        <v/>
      </c>
      <c r="P1075">
        <f>'T_TTAFStock'!N49</f>
        <v/>
      </c>
      <c r="Q1075">
        <f>'T_TTAFStock'!O49</f>
        <v/>
      </c>
      <c r="R1075">
        <f>'T_TTAFStock'!P49</f>
        <v/>
      </c>
      <c r="S1075">
        <f>'T_TTAFStock'!Q49</f>
        <v/>
      </c>
      <c r="T1075">
        <f>'T_TTAFStock'!R49</f>
        <v/>
      </c>
      <c r="U1075">
        <f>'T_TTAFStock'!S49</f>
        <v/>
      </c>
      <c r="V1075">
        <f>'T_TTAFStock'!T49</f>
        <v/>
      </c>
      <c r="W1075">
        <f>'T_TTAFStock'!U49</f>
        <v/>
      </c>
      <c r="X1075">
        <f>'T_TTAFStock'!V49</f>
        <v/>
      </c>
      <c r="Y1075">
        <f>'T_TTAFStock'!W49</f>
        <v/>
      </c>
      <c r="Z1075">
        <f>'T_TTAFStock'!X49</f>
        <v/>
      </c>
      <c r="AA1075">
        <f>'T_TTAFStock'!Y49</f>
        <v/>
      </c>
      <c r="AB1075">
        <f>'T_TTAFStock'!Z49</f>
        <v/>
      </c>
      <c r="AC1075">
        <f>'T_TTAFStock'!AA49</f>
        <v/>
      </c>
      <c r="AD1075">
        <f>'T_TTAFStock'!AB49</f>
        <v/>
      </c>
      <c r="AE1075">
        <f>'T_TTAFStock'!AC49</f>
        <v/>
      </c>
      <c r="AF1075">
        <f>'T_TTAFStock'!AD49</f>
        <v/>
      </c>
      <c r="AG1075">
        <f>'T_TTAFStock'!AE49</f>
        <v/>
      </c>
      <c r="AH1075">
        <f>'T_TTAFStock'!AF49</f>
        <v/>
      </c>
      <c r="AI1075">
        <f>'T_TTAFStock'!AG49</f>
        <v/>
      </c>
      <c r="AJ1075">
        <f>'T_TTAFStock'!AH49</f>
        <v/>
      </c>
      <c r="AK1075">
        <f>'T_TTAFStock'!AI49</f>
        <v/>
      </c>
      <c r="AL1075">
        <f>'T_TTAFStock'!AJ49</f>
        <v/>
      </c>
      <c r="AM1075">
        <f>'T_TTAFStock'!AK49</f>
        <v/>
      </c>
      <c r="AN1075">
        <f>'T_TTAFStock'!AL49</f>
        <v/>
      </c>
      <c r="AO1075">
        <f>'T_TTAFStock'!AM49</f>
        <v/>
      </c>
      <c r="AP1075">
        <f>'T_TTAFStock'!AN49</f>
        <v/>
      </c>
      <c r="AQ1075">
        <f>'T_TTAFStock'!AO49</f>
        <v/>
      </c>
      <c r="AR1075">
        <f>'T_TTAFStock'!AP49</f>
        <v/>
      </c>
      <c r="AS1075">
        <f>'T_TTAFStock'!AQ49</f>
        <v/>
      </c>
      <c r="AT1075">
        <f>'T_TTAFStock'!AR49</f>
        <v/>
      </c>
      <c r="AU1075">
        <f>'T_TTAFStock'!AS49</f>
        <v/>
      </c>
      <c r="AV1075">
        <f>'T_TTAFStock'!AT49</f>
        <v/>
      </c>
      <c r="AW1075">
        <f>'T_TTAFStock'!AU49</f>
        <v/>
      </c>
      <c r="AX1075">
        <f>'T_TTAFStock'!AV49</f>
        <v/>
      </c>
      <c r="AY1075">
        <f>'T_TTAFStock'!AW49</f>
        <v/>
      </c>
      <c r="AZ1075">
        <f>'T_TTAFStock'!AX49</f>
        <v/>
      </c>
      <c r="BA1075">
        <f>'T_TTAFStock'!AY49</f>
        <v/>
      </c>
      <c r="BB1075">
        <f>'T_TTAFStock'!AZ49</f>
        <v/>
      </c>
      <c r="BC1075">
        <f>'T_TTAFStock'!BA49</f>
        <v/>
      </c>
      <c r="BD1075">
        <f>'T_TTAFStock'!BB49</f>
        <v/>
      </c>
      <c r="BE1075">
        <f>'T_TTAFStock'!BC49</f>
        <v/>
      </c>
      <c r="BF1075">
        <f>'T_TTAFStock'!BD49</f>
        <v/>
      </c>
      <c r="BG1075">
        <f>'T_TTAFStock'!BE49</f>
        <v/>
      </c>
      <c r="BH1075">
        <f>'T_TTAFStock'!BF49</f>
        <v/>
      </c>
      <c r="BI1075">
        <f>'T_TTAFStock'!BG49</f>
        <v/>
      </c>
      <c r="BJ1075">
        <f>'T_TTAFStock'!BH49</f>
        <v/>
      </c>
      <c r="BK1075">
        <f>'T_TTAFStock'!BI49</f>
        <v/>
      </c>
      <c r="BL1075">
        <f>'T_TTAFStock'!BJ49</f>
        <v/>
      </c>
      <c r="BM1075">
        <f>'T_TTAFStock'!BK49</f>
        <v/>
      </c>
      <c r="BN1075">
        <f>'T_TTAFStock'!BL49</f>
        <v/>
      </c>
      <c r="BO1075">
        <f>'T_TTAFStock'!BM49</f>
        <v/>
      </c>
      <c r="BP1075">
        <f>'T_TTAFStock'!BN49</f>
        <v/>
      </c>
      <c r="BQ1075">
        <f>'T_TTAFStock'!BO49</f>
        <v/>
      </c>
      <c r="BR1075">
        <f>'T_TTAFStock'!BP49</f>
        <v/>
      </c>
      <c r="BS1075">
        <f>'T_TTAFStock'!BQ49</f>
        <v/>
      </c>
      <c r="BT1075">
        <f>'T_TTAFStock'!BR49</f>
        <v/>
      </c>
      <c r="BU1075">
        <f>'T_TTAFStock'!BS49</f>
        <v/>
      </c>
      <c r="BV1075">
        <f>'T_TTAFStock'!BT49</f>
        <v/>
      </c>
      <c r="BW1075">
        <f>'T_TTAFStock'!BU49</f>
        <v/>
      </c>
      <c r="BX1075">
        <f>'T_TTAFStock'!BV49</f>
        <v/>
      </c>
      <c r="BY1075">
        <f>'T_TTAFStock'!BW49</f>
        <v/>
      </c>
      <c r="BZ1075">
        <f>'T_TTAFStock'!BX49</f>
        <v/>
      </c>
      <c r="CA1075">
        <f>'T_TTAFStock'!BY49</f>
        <v/>
      </c>
      <c r="CB1075">
        <f>'T_TTAFStock'!BZ49</f>
        <v/>
      </c>
      <c r="CC1075">
        <f>'T_TTAFStock'!CA49</f>
        <v/>
      </c>
      <c r="CD1075">
        <f>'T_TTAFStock'!CB49</f>
        <v/>
      </c>
      <c r="CE1075">
        <f>'T_TTAFStock'!CC49</f>
        <v/>
      </c>
      <c r="CF1075">
        <f>'T_TTAFStock'!CD49</f>
        <v/>
      </c>
      <c r="CG1075">
        <f>'T_TTAFStock'!CE49</f>
        <v/>
      </c>
      <c r="CH1075">
        <f>'T_TTAFStock'!CF49</f>
        <v/>
      </c>
      <c r="CI1075">
        <f>'T_TTAFStock'!CG49</f>
        <v/>
      </c>
      <c r="CJ1075">
        <f>'T_TTAFStock'!CH49</f>
        <v/>
      </c>
      <c r="CK1075">
        <f>'T_TTAFStock'!CI49</f>
        <v/>
      </c>
      <c r="CL1075">
        <f>'T_TTAFStock'!CJ49</f>
        <v/>
      </c>
      <c r="CM1075">
        <f>'T_TTAFStock'!CK49</f>
        <v/>
      </c>
      <c r="CN1075">
        <f>'T_TTAFStock'!CL49</f>
        <v/>
      </c>
      <c r="CO1075">
        <f>'T_TTAFStock'!CM49</f>
        <v/>
      </c>
      <c r="CP1075">
        <f>'T_TTAFStock'!CN49</f>
        <v/>
      </c>
      <c r="CQ1075">
        <f>'T_TTAFStock'!CO49</f>
        <v/>
      </c>
      <c r="CR1075">
        <f>'T_TTAFStock'!CP49</f>
        <v/>
      </c>
      <c r="CS1075">
        <f>'T_TTAFStock'!CQ49</f>
        <v/>
      </c>
      <c r="CT1075">
        <f>'T_TTAFStock'!CR49</f>
        <v/>
      </c>
      <c r="CU1075">
        <f>'T_TTAFStock'!CS49</f>
        <v/>
      </c>
      <c r="CV1075">
        <f>'T_TTAFStock'!CT49</f>
        <v/>
      </c>
      <c r="CW1075">
        <f>'T_TTAFStock'!CU49</f>
        <v/>
      </c>
      <c r="CX1075">
        <f>'T_TTAFStock'!CV49</f>
        <v/>
      </c>
      <c r="CY1075">
        <f>'T_TTAFStock'!CW49</f>
        <v/>
      </c>
      <c r="CZ1075">
        <f>'T_TTAFStock'!CX49</f>
        <v/>
      </c>
      <c r="DA1075">
        <f>'T_TTAFStock'!CY49</f>
        <v/>
      </c>
      <c r="DB1075">
        <f>'T_TTAFStock'!CZ49</f>
        <v/>
      </c>
      <c r="DC1075">
        <f>'T_TTAFStock'!DA49</f>
        <v/>
      </c>
    </row>
    <row r="1076">
      <c r="B1076" t="inlineStr">
        <is>
          <t>自社在庫(実績,kg)</t>
        </is>
      </c>
      <c r="D1076">
        <f>'T_SelfStock'!B49</f>
        <v/>
      </c>
      <c r="E1076">
        <f>'T_SelfStock'!C49</f>
        <v/>
      </c>
      <c r="F1076">
        <f>'T_SelfStock'!D49</f>
        <v/>
      </c>
      <c r="G1076">
        <f>'T_SelfStock'!E49</f>
        <v/>
      </c>
      <c r="H1076">
        <f>'T_SelfStock'!F49</f>
        <v/>
      </c>
      <c r="I1076">
        <f>'T_SelfStock'!G49</f>
        <v/>
      </c>
      <c r="J1076">
        <f>'T_SelfStock'!H49</f>
        <v/>
      </c>
      <c r="K1076">
        <f>'T_SelfStock'!I49</f>
        <v/>
      </c>
      <c r="L1076">
        <f>'T_SelfStock'!J49</f>
        <v/>
      </c>
      <c r="M1076">
        <f>'T_SelfStock'!K49</f>
        <v/>
      </c>
      <c r="N1076">
        <f>'T_SelfStock'!L49</f>
        <v/>
      </c>
      <c r="O1076">
        <f>'T_SelfStock'!M49</f>
        <v/>
      </c>
      <c r="P1076">
        <f>'T_SelfStock'!N49</f>
        <v/>
      </c>
      <c r="Q1076">
        <f>'T_SelfStock'!O49</f>
        <v/>
      </c>
      <c r="R1076">
        <f>'T_SelfStock'!P49</f>
        <v/>
      </c>
      <c r="S1076">
        <f>'T_SelfStock'!Q49</f>
        <v/>
      </c>
      <c r="T1076">
        <f>'T_SelfStock'!R49</f>
        <v/>
      </c>
      <c r="U1076">
        <f>'T_SelfStock'!S49</f>
        <v/>
      </c>
      <c r="V1076">
        <f>'T_SelfStock'!T49</f>
        <v/>
      </c>
      <c r="W1076">
        <f>'T_SelfStock'!U49</f>
        <v/>
      </c>
      <c r="X1076">
        <f>'T_SelfStock'!V49</f>
        <v/>
      </c>
      <c r="Y1076">
        <f>'T_SelfStock'!W49</f>
        <v/>
      </c>
      <c r="Z1076">
        <f>'T_SelfStock'!X49</f>
        <v/>
      </c>
      <c r="AA1076">
        <f>'T_SelfStock'!Y49</f>
        <v/>
      </c>
      <c r="AB1076">
        <f>'T_SelfStock'!Z49</f>
        <v/>
      </c>
      <c r="AC1076">
        <f>'T_SelfStock'!AA49</f>
        <v/>
      </c>
      <c r="AD1076">
        <f>'T_SelfStock'!AB49</f>
        <v/>
      </c>
      <c r="AE1076">
        <f>'T_SelfStock'!AC49</f>
        <v/>
      </c>
      <c r="AF1076">
        <f>'T_SelfStock'!AD49</f>
        <v/>
      </c>
      <c r="AG1076">
        <f>'T_SelfStock'!AE49</f>
        <v/>
      </c>
      <c r="AH1076">
        <f>'T_SelfStock'!AF49</f>
        <v/>
      </c>
      <c r="AI1076">
        <f>'T_SelfStock'!AG49</f>
        <v/>
      </c>
      <c r="AJ1076">
        <f>'T_SelfStock'!AH49</f>
        <v/>
      </c>
      <c r="AK1076">
        <f>'T_SelfStock'!AI49</f>
        <v/>
      </c>
      <c r="AL1076">
        <f>'T_SelfStock'!AJ49</f>
        <v/>
      </c>
      <c r="AM1076">
        <f>'T_SelfStock'!AK49</f>
        <v/>
      </c>
      <c r="AN1076">
        <f>'T_SelfStock'!AL49</f>
        <v/>
      </c>
      <c r="AO1076">
        <f>'T_SelfStock'!AM49</f>
        <v/>
      </c>
      <c r="AP1076">
        <f>'T_SelfStock'!AN49</f>
        <v/>
      </c>
      <c r="AQ1076">
        <f>'T_SelfStock'!AO49</f>
        <v/>
      </c>
      <c r="AR1076">
        <f>'T_SelfStock'!AP49</f>
        <v/>
      </c>
      <c r="AS1076">
        <f>'T_SelfStock'!AQ49</f>
        <v/>
      </c>
      <c r="AT1076">
        <f>'T_SelfStock'!AR49</f>
        <v/>
      </c>
      <c r="AU1076">
        <f>'T_SelfStock'!AS49</f>
        <v/>
      </c>
      <c r="AV1076">
        <f>'T_SelfStock'!AT49</f>
        <v/>
      </c>
      <c r="AW1076">
        <f>'T_SelfStock'!AU49</f>
        <v/>
      </c>
      <c r="AX1076">
        <f>'T_SelfStock'!AV49</f>
        <v/>
      </c>
      <c r="AY1076">
        <f>'T_SelfStock'!AW49</f>
        <v/>
      </c>
      <c r="AZ1076">
        <f>'T_SelfStock'!AX49</f>
        <v/>
      </c>
      <c r="BA1076">
        <f>'T_SelfStock'!AY49</f>
        <v/>
      </c>
      <c r="BB1076">
        <f>'T_SelfStock'!AZ49</f>
        <v/>
      </c>
      <c r="BC1076">
        <f>'T_SelfStock'!BA49</f>
        <v/>
      </c>
      <c r="BD1076">
        <f>'T_SelfStock'!BB49</f>
        <v/>
      </c>
      <c r="BE1076">
        <f>'T_SelfStock'!BC49</f>
        <v/>
      </c>
      <c r="BF1076">
        <f>'T_SelfStock'!BD49</f>
        <v/>
      </c>
      <c r="BG1076">
        <f>'T_SelfStock'!BE49</f>
        <v/>
      </c>
      <c r="BH1076">
        <f>'T_SelfStock'!BF49</f>
        <v/>
      </c>
      <c r="BI1076">
        <f>'T_SelfStock'!BG49</f>
        <v/>
      </c>
      <c r="BJ1076">
        <f>'T_SelfStock'!BH49</f>
        <v/>
      </c>
      <c r="BK1076">
        <f>'T_SelfStock'!BI49</f>
        <v/>
      </c>
      <c r="BL1076">
        <f>'T_SelfStock'!BJ49</f>
        <v/>
      </c>
      <c r="BM1076">
        <f>'T_SelfStock'!BK49</f>
        <v/>
      </c>
      <c r="BN1076">
        <f>'T_SelfStock'!BL49</f>
        <v/>
      </c>
      <c r="BO1076">
        <f>'T_SelfStock'!BM49</f>
        <v/>
      </c>
      <c r="BP1076">
        <f>'T_SelfStock'!BN49</f>
        <v/>
      </c>
      <c r="BQ1076">
        <f>'T_SelfStock'!BO49</f>
        <v/>
      </c>
      <c r="BR1076">
        <f>'T_SelfStock'!BP49</f>
        <v/>
      </c>
      <c r="BS1076">
        <f>'T_SelfStock'!BQ49</f>
        <v/>
      </c>
      <c r="BT1076">
        <f>'T_SelfStock'!BR49</f>
        <v/>
      </c>
      <c r="BU1076">
        <f>'T_SelfStock'!BS49</f>
        <v/>
      </c>
      <c r="BV1076">
        <f>'T_SelfStock'!BT49</f>
        <v/>
      </c>
      <c r="BW1076">
        <f>'T_SelfStock'!BU49</f>
        <v/>
      </c>
      <c r="BX1076">
        <f>'T_SelfStock'!BV49</f>
        <v/>
      </c>
      <c r="BY1076">
        <f>'T_SelfStock'!BW49</f>
        <v/>
      </c>
      <c r="BZ1076">
        <f>'T_SelfStock'!BX49</f>
        <v/>
      </c>
      <c r="CA1076">
        <f>'T_SelfStock'!BY49</f>
        <v/>
      </c>
      <c r="CB1076">
        <f>'T_SelfStock'!BZ49</f>
        <v/>
      </c>
      <c r="CC1076">
        <f>'T_SelfStock'!CA49</f>
        <v/>
      </c>
      <c r="CD1076">
        <f>'T_SelfStock'!CB49</f>
        <v/>
      </c>
      <c r="CE1076">
        <f>'T_SelfStock'!CC49</f>
        <v/>
      </c>
      <c r="CF1076">
        <f>'T_SelfStock'!CD49</f>
        <v/>
      </c>
      <c r="CG1076">
        <f>'T_SelfStock'!CE49</f>
        <v/>
      </c>
      <c r="CH1076">
        <f>'T_SelfStock'!CF49</f>
        <v/>
      </c>
      <c r="CI1076">
        <f>'T_SelfStock'!CG49</f>
        <v/>
      </c>
      <c r="CJ1076">
        <f>'T_SelfStock'!CH49</f>
        <v/>
      </c>
      <c r="CK1076">
        <f>'T_SelfStock'!CI49</f>
        <v/>
      </c>
      <c r="CL1076">
        <f>'T_SelfStock'!CJ49</f>
        <v/>
      </c>
      <c r="CM1076">
        <f>'T_SelfStock'!CK49</f>
        <v/>
      </c>
      <c r="CN1076">
        <f>'T_SelfStock'!CL49</f>
        <v/>
      </c>
      <c r="CO1076">
        <f>'T_SelfStock'!CM49</f>
        <v/>
      </c>
      <c r="CP1076">
        <f>'T_SelfStock'!CN49</f>
        <v/>
      </c>
      <c r="CQ1076">
        <f>'T_SelfStock'!CO49</f>
        <v/>
      </c>
      <c r="CR1076">
        <f>'T_SelfStock'!CP49</f>
        <v/>
      </c>
      <c r="CS1076">
        <f>'T_SelfStock'!CQ49</f>
        <v/>
      </c>
      <c r="CT1076">
        <f>'T_SelfStock'!CR49</f>
        <v/>
      </c>
      <c r="CU1076">
        <f>'T_SelfStock'!CS49</f>
        <v/>
      </c>
      <c r="CV1076">
        <f>'T_SelfStock'!CT49</f>
        <v/>
      </c>
      <c r="CW1076">
        <f>'T_SelfStock'!CU49</f>
        <v/>
      </c>
      <c r="CX1076">
        <f>'T_SelfStock'!CV49</f>
        <v/>
      </c>
      <c r="CY1076">
        <f>'T_SelfStock'!CW49</f>
        <v/>
      </c>
      <c r="CZ1076">
        <f>'T_SelfStock'!CX49</f>
        <v/>
      </c>
      <c r="DA1076">
        <f>'T_SelfStock'!CY49</f>
        <v/>
      </c>
      <c r="DB1076">
        <f>'T_SelfStock'!CZ49</f>
        <v/>
      </c>
      <c r="DC1076">
        <f>'T_SelfStock'!DA49</f>
        <v/>
      </c>
    </row>
    <row r="1077">
      <c r="B1077" t="inlineStr">
        <is>
          <t>Order(発注予定,kg)</t>
        </is>
      </c>
      <c r="D1077" s="23" t="n"/>
      <c r="E1077" s="23" t="n"/>
      <c r="F1077" s="23" t="n"/>
      <c r="G1077" s="23" t="n"/>
      <c r="H1077" s="23" t="n"/>
      <c r="I1077" s="23" t="n"/>
      <c r="J1077" s="23" t="n"/>
      <c r="K1077" s="23" t="n"/>
      <c r="L1077" s="23" t="n"/>
      <c r="M1077" s="23" t="n"/>
      <c r="N1077" s="23" t="n"/>
      <c r="O1077" s="23" t="n"/>
      <c r="P1077" s="23" t="n"/>
      <c r="Q1077" s="23" t="n"/>
      <c r="R1077" s="23" t="n"/>
      <c r="S1077" s="23" t="n"/>
      <c r="T1077" s="23" t="n"/>
      <c r="U1077" s="23" t="n"/>
      <c r="V1077" s="23" t="n"/>
      <c r="W1077" s="23" t="n"/>
      <c r="X1077" s="23" t="n"/>
      <c r="Y1077" s="23" t="n"/>
      <c r="Z1077" s="23" t="n"/>
      <c r="AA1077" s="23" t="n"/>
      <c r="AB1077" s="23" t="n"/>
      <c r="AC1077" s="23" t="n"/>
      <c r="AD1077" s="23" t="n"/>
      <c r="AE1077" s="23" t="n"/>
      <c r="AF1077" s="23" t="n"/>
      <c r="AG1077" s="23" t="n"/>
      <c r="AH1077" s="23" t="n"/>
      <c r="AI1077" s="23" t="n"/>
      <c r="AJ1077" s="23" t="n"/>
      <c r="AK1077" s="23" t="n"/>
      <c r="AL1077" s="23" t="n"/>
      <c r="AM1077" s="23" t="n"/>
      <c r="AN1077" s="23" t="n"/>
      <c r="AO1077" s="23" t="n"/>
      <c r="AP1077" s="23" t="n"/>
      <c r="AQ1077" s="23" t="n"/>
      <c r="AR1077" s="23" t="n"/>
      <c r="AS1077" s="23" t="n"/>
      <c r="AT1077" s="23" t="n"/>
      <c r="AU1077" s="23" t="n"/>
      <c r="AV1077" s="23" t="n"/>
      <c r="AW1077" s="23" t="n"/>
      <c r="AX1077" s="23" t="n"/>
      <c r="AY1077" s="23" t="n"/>
      <c r="AZ1077" s="23" t="n"/>
      <c r="BA1077" s="23" t="n"/>
      <c r="BB1077" s="23" t="n"/>
      <c r="BC1077" s="23" t="n"/>
      <c r="BD1077" s="23" t="n"/>
      <c r="BE1077" s="23" t="n"/>
      <c r="BF1077" s="23" t="n"/>
      <c r="BG1077" s="23" t="n"/>
      <c r="BH1077" s="23" t="n"/>
      <c r="BI1077" s="23" t="n"/>
      <c r="BJ1077" s="23" t="n"/>
      <c r="BK1077" s="23" t="n"/>
      <c r="BL1077" s="23" t="n"/>
      <c r="BM1077" s="23" t="n"/>
      <c r="BN1077" s="23" t="n"/>
      <c r="BO1077" s="23" t="n"/>
      <c r="BP1077" s="23" t="n"/>
      <c r="BQ1077" s="23" t="n"/>
      <c r="BR1077" s="23" t="n"/>
      <c r="BS1077" s="23" t="n"/>
      <c r="BT1077" s="23" t="n"/>
      <c r="BU1077" s="23" t="n"/>
      <c r="BV1077" s="23" t="n"/>
      <c r="BW1077" s="23" t="n"/>
      <c r="BX1077" s="23" t="n"/>
      <c r="BY1077" s="23" t="n"/>
      <c r="BZ1077" s="23" t="n"/>
      <c r="CA1077" s="23" t="n"/>
      <c r="CB1077" s="23" t="n"/>
      <c r="CC1077" s="23" t="n"/>
      <c r="CD1077" s="23" t="n"/>
      <c r="CE1077" s="23" t="n"/>
      <c r="CF1077" s="23" t="n"/>
      <c r="CG1077" s="23" t="n"/>
      <c r="CH1077" s="23" t="n"/>
      <c r="CI1077" s="23" t="n"/>
      <c r="CJ1077" s="23" t="n"/>
      <c r="CK1077" s="23" t="n"/>
      <c r="CL1077" s="23" t="n"/>
      <c r="CM1077" s="23" t="n"/>
      <c r="CN1077" s="23" t="n"/>
      <c r="CO1077" s="23" t="n"/>
      <c r="CP1077" s="23" t="n"/>
      <c r="CQ1077" s="23" t="n"/>
      <c r="CR1077" s="23" t="n"/>
      <c r="CS1077" s="23" t="n"/>
      <c r="CT1077" s="23" t="n"/>
      <c r="CU1077" s="23" t="n"/>
      <c r="CV1077" s="23" t="n"/>
      <c r="CW1077" s="23" t="n"/>
      <c r="CX1077" s="23" t="n"/>
      <c r="CY1077" s="23" t="n"/>
      <c r="CZ1077" s="23" t="n"/>
      <c r="DA1077" s="23" t="n"/>
      <c r="DB1077" s="23" t="n"/>
      <c r="DC1077" s="23" t="n"/>
      <c r="DE1077" s="12" t="inlineStr">
        <is>
          <t>CHEM-1450</t>
        </is>
      </c>
    </row>
    <row r="1078">
      <c r="B1078" s="24" t="inlineStr">
        <is>
          <t>PO_No</t>
        </is>
      </c>
      <c r="D1078" s="25" t="n"/>
      <c r="E1078" s="25" t="n"/>
      <c r="F1078" s="25" t="n"/>
      <c r="G1078" s="25" t="n"/>
      <c r="H1078" s="25" t="n"/>
      <c r="I1078" s="25" t="n"/>
      <c r="J1078" s="25" t="n"/>
      <c r="K1078" s="25" t="n"/>
      <c r="L1078" s="25" t="n"/>
      <c r="M1078" s="25" t="n"/>
      <c r="N1078" s="25" t="n"/>
      <c r="O1078" s="25" t="n"/>
      <c r="P1078" s="25" t="n"/>
      <c r="Q1078" s="25" t="n"/>
      <c r="R1078" s="25" t="n"/>
      <c r="S1078" s="25" t="n"/>
      <c r="T1078" s="25" t="n"/>
      <c r="U1078" s="25" t="n"/>
      <c r="V1078" s="25" t="n"/>
      <c r="W1078" s="25" t="n"/>
      <c r="X1078" s="25" t="n"/>
      <c r="Y1078" s="25" t="n"/>
      <c r="Z1078" s="25" t="n"/>
      <c r="AA1078" s="25" t="n"/>
      <c r="AB1078" s="25" t="n"/>
      <c r="AC1078" s="25" t="n"/>
      <c r="AD1078" s="25" t="n"/>
      <c r="AE1078" s="25" t="n"/>
      <c r="AF1078" s="25" t="n"/>
      <c r="AG1078" s="25" t="n"/>
      <c r="AH1078" s="25" t="n"/>
      <c r="AI1078" s="25" t="n"/>
      <c r="AJ1078" s="25" t="n"/>
      <c r="AK1078" s="25" t="n"/>
      <c r="AL1078" s="25" t="n"/>
      <c r="AM1078" s="25" t="n"/>
      <c r="AN1078" s="25" t="n"/>
      <c r="AO1078" s="25" t="n"/>
      <c r="AP1078" s="25" t="n"/>
      <c r="AQ1078" s="25" t="n"/>
      <c r="AR1078" s="25" t="n"/>
      <c r="AS1078" s="25" t="n"/>
      <c r="AT1078" s="25" t="n"/>
      <c r="AU1078" s="25" t="n"/>
      <c r="AV1078" s="25" t="n"/>
      <c r="AW1078" s="25" t="n"/>
      <c r="AX1078" s="25" t="n"/>
      <c r="AY1078" s="25" t="n"/>
      <c r="AZ1078" s="25" t="n"/>
      <c r="BA1078" s="25" t="n"/>
      <c r="BB1078" s="25" t="n"/>
      <c r="BC1078" s="25" t="n"/>
      <c r="BD1078" s="25" t="n"/>
      <c r="BE1078" s="25" t="n"/>
      <c r="BF1078" s="25" t="n"/>
      <c r="BG1078" s="25" t="n"/>
      <c r="BH1078" s="25" t="n"/>
      <c r="BI1078" s="25" t="n"/>
      <c r="BJ1078" s="25" t="n"/>
      <c r="BK1078" s="25" t="n"/>
      <c r="BL1078" s="25" t="n"/>
      <c r="BM1078" s="25" t="n"/>
      <c r="BN1078" s="25" t="n"/>
      <c r="BO1078" s="25" t="n"/>
      <c r="BP1078" s="25" t="n"/>
      <c r="BQ1078" s="25" t="n"/>
      <c r="BR1078" s="25" t="n"/>
      <c r="BS1078" s="25" t="n"/>
      <c r="BT1078" s="25" t="n"/>
      <c r="BU1078" s="25" t="n"/>
      <c r="BV1078" s="25" t="n"/>
      <c r="BW1078" s="25" t="n"/>
      <c r="BX1078" s="25" t="n"/>
      <c r="BY1078" s="25" t="n"/>
      <c r="BZ1078" s="25" t="n"/>
      <c r="CA1078" s="25" t="n"/>
      <c r="CB1078" s="25" t="n"/>
      <c r="CC1078" s="25" t="n"/>
      <c r="CD1078" s="25" t="n"/>
      <c r="CE1078" s="25" t="n"/>
      <c r="CF1078" s="25" t="n"/>
      <c r="CG1078" s="25" t="n"/>
      <c r="CH1078" s="25" t="n"/>
      <c r="CI1078" s="25" t="n"/>
      <c r="CJ1078" s="25" t="n"/>
      <c r="CK1078" s="25" t="n"/>
      <c r="CL1078" s="25" t="n"/>
      <c r="CM1078" s="25" t="n"/>
      <c r="CN1078" s="25" t="n"/>
      <c r="CO1078" s="25" t="n"/>
      <c r="CP1078" s="25" t="n"/>
      <c r="CQ1078" s="25" t="n"/>
      <c r="CR1078" s="25" t="n"/>
      <c r="CS1078" s="25" t="n"/>
      <c r="CT1078" s="25" t="n"/>
      <c r="CU1078" s="25" t="n"/>
      <c r="CV1078" s="25" t="n"/>
      <c r="CW1078" s="25" t="n"/>
      <c r="CX1078" s="25" t="n"/>
      <c r="CY1078" s="25" t="n"/>
      <c r="CZ1078" s="25" t="n"/>
      <c r="DA1078" s="25" t="n"/>
      <c r="DB1078" s="25" t="n"/>
      <c r="DC1078" s="25" t="n"/>
    </row>
    <row r="1079">
      <c r="B1079" s="5" t="inlineStr">
        <is>
          <t>合計在庫(週末時点,kg)</t>
        </is>
      </c>
      <c r="D1079">
        <f>'Grid_Stock'!B45</f>
        <v/>
      </c>
      <c r="E1079">
        <f>'Grid_Stock'!C45</f>
        <v/>
      </c>
      <c r="F1079">
        <f>'Grid_Stock'!D45</f>
        <v/>
      </c>
      <c r="G1079">
        <f>'Grid_Stock'!E45</f>
        <v/>
      </c>
      <c r="H1079">
        <f>'Grid_Stock'!F45</f>
        <v/>
      </c>
      <c r="I1079">
        <f>'Grid_Stock'!G45</f>
        <v/>
      </c>
      <c r="J1079">
        <f>'Grid_Stock'!H45</f>
        <v/>
      </c>
      <c r="K1079">
        <f>'Grid_Stock'!I45</f>
        <v/>
      </c>
      <c r="L1079">
        <f>'Grid_Stock'!J45</f>
        <v/>
      </c>
      <c r="M1079">
        <f>'Grid_Stock'!K45</f>
        <v/>
      </c>
      <c r="N1079">
        <f>'Grid_Stock'!L45</f>
        <v/>
      </c>
      <c r="O1079">
        <f>'Grid_Stock'!M45</f>
        <v/>
      </c>
      <c r="P1079">
        <f>'Grid_Stock'!N45</f>
        <v/>
      </c>
      <c r="Q1079">
        <f>'Grid_Stock'!O45</f>
        <v/>
      </c>
      <c r="R1079">
        <f>'Grid_Stock'!P45</f>
        <v/>
      </c>
      <c r="S1079">
        <f>'Grid_Stock'!Q45</f>
        <v/>
      </c>
      <c r="T1079">
        <f>'Grid_Stock'!R45</f>
        <v/>
      </c>
      <c r="U1079">
        <f>'Grid_Stock'!S45</f>
        <v/>
      </c>
      <c r="V1079">
        <f>'Grid_Stock'!T45</f>
        <v/>
      </c>
      <c r="W1079">
        <f>'Grid_Stock'!U45</f>
        <v/>
      </c>
      <c r="X1079">
        <f>'Grid_Stock'!V45</f>
        <v/>
      </c>
      <c r="Y1079">
        <f>'Grid_Stock'!W45</f>
        <v/>
      </c>
      <c r="Z1079">
        <f>'Grid_Stock'!X45</f>
        <v/>
      </c>
      <c r="AA1079">
        <f>'Grid_Stock'!Y45</f>
        <v/>
      </c>
      <c r="AB1079">
        <f>'Grid_Stock'!Z45</f>
        <v/>
      </c>
      <c r="AC1079">
        <f>'Grid_Stock'!AA45</f>
        <v/>
      </c>
      <c r="AD1079">
        <f>'Grid_Stock'!AB45</f>
        <v/>
      </c>
      <c r="AE1079">
        <f>'Grid_Stock'!AC45</f>
        <v/>
      </c>
      <c r="AF1079">
        <f>'Grid_Stock'!AD45</f>
        <v/>
      </c>
      <c r="AG1079">
        <f>'Grid_Stock'!AE45</f>
        <v/>
      </c>
      <c r="AH1079">
        <f>'Grid_Stock'!AF45</f>
        <v/>
      </c>
      <c r="AI1079">
        <f>'Grid_Stock'!AG45</f>
        <v/>
      </c>
      <c r="AJ1079">
        <f>'Grid_Stock'!AH45</f>
        <v/>
      </c>
      <c r="AK1079">
        <f>'Grid_Stock'!AI45</f>
        <v/>
      </c>
      <c r="AL1079">
        <f>'Grid_Stock'!AJ45</f>
        <v/>
      </c>
      <c r="AM1079">
        <f>'Grid_Stock'!AK45</f>
        <v/>
      </c>
      <c r="AN1079">
        <f>'Grid_Stock'!AL45</f>
        <v/>
      </c>
      <c r="AO1079">
        <f>'Grid_Stock'!AM45</f>
        <v/>
      </c>
      <c r="AP1079">
        <f>'Grid_Stock'!AN45</f>
        <v/>
      </c>
      <c r="AQ1079">
        <f>'Grid_Stock'!AO45</f>
        <v/>
      </c>
      <c r="AR1079">
        <f>'Grid_Stock'!AP45</f>
        <v/>
      </c>
      <c r="AS1079">
        <f>'Grid_Stock'!AQ45</f>
        <v/>
      </c>
      <c r="AT1079">
        <f>'Grid_Stock'!AR45</f>
        <v/>
      </c>
      <c r="AU1079">
        <f>'Grid_Stock'!AS45</f>
        <v/>
      </c>
      <c r="AV1079">
        <f>'Grid_Stock'!AT45</f>
        <v/>
      </c>
      <c r="AW1079">
        <f>'Grid_Stock'!AU45</f>
        <v/>
      </c>
      <c r="AX1079">
        <f>'Grid_Stock'!AV45</f>
        <v/>
      </c>
      <c r="AY1079">
        <f>'Grid_Stock'!AW45</f>
        <v/>
      </c>
      <c r="AZ1079">
        <f>'Grid_Stock'!AX45</f>
        <v/>
      </c>
      <c r="BA1079">
        <f>'Grid_Stock'!AY45</f>
        <v/>
      </c>
      <c r="BB1079">
        <f>'Grid_Stock'!AZ45</f>
        <v/>
      </c>
      <c r="BC1079">
        <f>'Grid_Stock'!BA45</f>
        <v/>
      </c>
      <c r="BD1079">
        <f>'Grid_Stock'!BB45</f>
        <v/>
      </c>
      <c r="BE1079">
        <f>'Grid_Stock'!BC45</f>
        <v/>
      </c>
      <c r="BF1079">
        <f>'Grid_Stock'!BD45</f>
        <v/>
      </c>
      <c r="BG1079">
        <f>'Grid_Stock'!BE45</f>
        <v/>
      </c>
      <c r="BH1079">
        <f>'Grid_Stock'!BF45</f>
        <v/>
      </c>
      <c r="BI1079">
        <f>'Grid_Stock'!BG45</f>
        <v/>
      </c>
      <c r="BJ1079">
        <f>'Grid_Stock'!BH45</f>
        <v/>
      </c>
      <c r="BK1079">
        <f>'Grid_Stock'!BI45</f>
        <v/>
      </c>
      <c r="BL1079">
        <f>'Grid_Stock'!BJ45</f>
        <v/>
      </c>
      <c r="BM1079">
        <f>'Grid_Stock'!BK45</f>
        <v/>
      </c>
      <c r="BN1079">
        <f>'Grid_Stock'!BL45</f>
        <v/>
      </c>
      <c r="BO1079">
        <f>'Grid_Stock'!BM45</f>
        <v/>
      </c>
      <c r="BP1079">
        <f>'Grid_Stock'!BN45</f>
        <v/>
      </c>
      <c r="BQ1079">
        <f>'Grid_Stock'!BO45</f>
        <v/>
      </c>
      <c r="BR1079">
        <f>'Grid_Stock'!BP45</f>
        <v/>
      </c>
      <c r="BS1079">
        <f>'Grid_Stock'!BQ45</f>
        <v/>
      </c>
      <c r="BT1079">
        <f>'Grid_Stock'!BR45</f>
        <v/>
      </c>
      <c r="BU1079">
        <f>'Grid_Stock'!BS45</f>
        <v/>
      </c>
      <c r="BV1079">
        <f>'Grid_Stock'!BT45</f>
        <v/>
      </c>
      <c r="BW1079">
        <f>'Grid_Stock'!BU45</f>
        <v/>
      </c>
      <c r="BX1079">
        <f>'Grid_Stock'!BV45</f>
        <v/>
      </c>
      <c r="BY1079">
        <f>'Grid_Stock'!BW45</f>
        <v/>
      </c>
      <c r="BZ1079">
        <f>'Grid_Stock'!BX45</f>
        <v/>
      </c>
      <c r="CA1079">
        <f>'Grid_Stock'!BY45</f>
        <v/>
      </c>
      <c r="CB1079">
        <f>'Grid_Stock'!BZ45</f>
        <v/>
      </c>
      <c r="CC1079">
        <f>'Grid_Stock'!CA45</f>
        <v/>
      </c>
      <c r="CD1079">
        <f>'Grid_Stock'!CB45</f>
        <v/>
      </c>
      <c r="CE1079">
        <f>'Grid_Stock'!CC45</f>
        <v/>
      </c>
      <c r="CF1079">
        <f>'Grid_Stock'!CD45</f>
        <v/>
      </c>
      <c r="CG1079">
        <f>'Grid_Stock'!CE45</f>
        <v/>
      </c>
      <c r="CH1079">
        <f>'Grid_Stock'!CF45</f>
        <v/>
      </c>
      <c r="CI1079">
        <f>'Grid_Stock'!CG45</f>
        <v/>
      </c>
      <c r="CJ1079">
        <f>'Grid_Stock'!CH45</f>
        <v/>
      </c>
      <c r="CK1079">
        <f>'Grid_Stock'!CI45</f>
        <v/>
      </c>
      <c r="CL1079">
        <f>'Grid_Stock'!CJ45</f>
        <v/>
      </c>
      <c r="CM1079">
        <f>'Grid_Stock'!CK45</f>
        <v/>
      </c>
      <c r="CN1079">
        <f>'Grid_Stock'!CL45</f>
        <v/>
      </c>
      <c r="CO1079">
        <f>'Grid_Stock'!CM45</f>
        <v/>
      </c>
      <c r="CP1079">
        <f>'Grid_Stock'!CN45</f>
        <v/>
      </c>
      <c r="CQ1079">
        <f>'Grid_Stock'!CO45</f>
        <v/>
      </c>
      <c r="CR1079">
        <f>'Grid_Stock'!CP45</f>
        <v/>
      </c>
      <c r="CS1079">
        <f>'Grid_Stock'!CQ45</f>
        <v/>
      </c>
      <c r="CT1079">
        <f>'Grid_Stock'!CR45</f>
        <v/>
      </c>
      <c r="CU1079">
        <f>'Grid_Stock'!CS45</f>
        <v/>
      </c>
      <c r="CV1079">
        <f>'Grid_Stock'!CT45</f>
        <v/>
      </c>
      <c r="CW1079">
        <f>'Grid_Stock'!CU45</f>
        <v/>
      </c>
      <c r="CX1079">
        <f>'Grid_Stock'!CV45</f>
        <v/>
      </c>
      <c r="CY1079">
        <f>'Grid_Stock'!CW45</f>
        <v/>
      </c>
      <c r="CZ1079">
        <f>'Grid_Stock'!CX45</f>
        <v/>
      </c>
      <c r="DA1079">
        <f>'Grid_Stock'!CY45</f>
        <v/>
      </c>
      <c r="DB1079">
        <f>'Grid_Stock'!CZ45</f>
        <v/>
      </c>
      <c r="DC1079">
        <f>'Grid_Stock'!DA45</f>
        <v/>
      </c>
    </row>
    <row r="1080">
      <c r="B1080" s="26" t="inlineStr">
        <is>
          <t>（発注の目安はDashboardの基準在庫[下限/上限]と色分けを参照）</t>
        </is>
      </c>
    </row>
    <row r="1082">
      <c r="A1082" s="21" t="inlineStr">
        <is>
          <t>CHEM-1770</t>
        </is>
      </c>
      <c r="B1082" s="21" t="inlineStr">
        <is>
          <t>RCT39</t>
        </is>
      </c>
      <c r="C1082" s="22" t="n"/>
      <c r="D1082" s="21" t="n"/>
      <c r="E1082" s="21" t="n"/>
      <c r="F1082" s="21" t="n"/>
      <c r="G1082" s="21" t="n"/>
      <c r="H1082" s="21" t="n"/>
      <c r="I1082" s="21" t="n"/>
      <c r="J1082" s="21" t="n"/>
      <c r="K1082" s="21" t="n"/>
      <c r="L1082" s="21" t="n"/>
      <c r="M1082" s="21" t="n"/>
      <c r="N1082" s="21" t="n"/>
      <c r="O1082" s="21" t="n"/>
      <c r="P1082" s="21" t="n"/>
      <c r="Q1082" s="21" t="n"/>
      <c r="R1082" s="21" t="n"/>
      <c r="S1082" s="21" t="n"/>
      <c r="T1082" s="21" t="n"/>
      <c r="U1082" s="21" t="n"/>
      <c r="V1082" s="21" t="n"/>
      <c r="W1082" s="21" t="n"/>
      <c r="X1082" s="21" t="n"/>
      <c r="Y1082" s="21" t="n"/>
      <c r="Z1082" s="21" t="n"/>
      <c r="AA1082" s="21" t="n"/>
      <c r="AB1082" s="21" t="n"/>
      <c r="AC1082" s="21" t="n"/>
      <c r="AD1082" s="21" t="n"/>
      <c r="AE1082" s="21" t="n"/>
      <c r="AF1082" s="21" t="n"/>
      <c r="AG1082" s="21" t="n"/>
      <c r="AH1082" s="21" t="n"/>
      <c r="AI1082" s="21" t="n"/>
      <c r="AJ1082" s="21" t="n"/>
      <c r="AK1082" s="21" t="n"/>
      <c r="AL1082" s="21" t="n"/>
      <c r="AM1082" s="21" t="n"/>
      <c r="AN1082" s="21" t="n"/>
      <c r="AO1082" s="21" t="n"/>
      <c r="AP1082" s="21" t="n"/>
      <c r="AQ1082" s="21" t="n"/>
      <c r="AR1082" s="21" t="n"/>
      <c r="AS1082" s="21" t="n"/>
      <c r="AT1082" s="21" t="n"/>
      <c r="AU1082" s="21" t="n"/>
      <c r="AV1082" s="21" t="n"/>
      <c r="AW1082" s="21" t="n"/>
      <c r="AX1082" s="21" t="n"/>
      <c r="AY1082" s="21" t="n"/>
      <c r="AZ1082" s="21" t="n"/>
      <c r="BA1082" s="21" t="n"/>
      <c r="BB1082" s="21" t="n"/>
      <c r="BC1082" s="21" t="n"/>
      <c r="BD1082" s="21" t="n"/>
      <c r="BE1082" s="21" t="n"/>
      <c r="BF1082" s="21" t="n"/>
      <c r="BG1082" s="21" t="n"/>
      <c r="BH1082" s="21" t="n"/>
      <c r="BI1082" s="21" t="n"/>
      <c r="BJ1082" s="21" t="n"/>
      <c r="BK1082" s="21" t="n"/>
      <c r="BL1082" s="21" t="n"/>
      <c r="BM1082" s="21" t="n"/>
      <c r="BN1082" s="21" t="n"/>
      <c r="BO1082" s="21" t="n"/>
      <c r="BP1082" s="21" t="n"/>
      <c r="BQ1082" s="21" t="n"/>
      <c r="BR1082" s="21" t="n"/>
      <c r="BS1082" s="21" t="n"/>
      <c r="BT1082" s="21" t="n"/>
      <c r="BU1082" s="21" t="n"/>
      <c r="BV1082" s="21" t="n"/>
      <c r="BW1082" s="21" t="n"/>
      <c r="BX1082" s="21" t="n"/>
      <c r="BY1082" s="21" t="n"/>
      <c r="BZ1082" s="21" t="n"/>
      <c r="CA1082" s="21" t="n"/>
      <c r="CB1082" s="21" t="n"/>
      <c r="CC1082" s="21" t="n"/>
      <c r="CD1082" s="21" t="n"/>
      <c r="CE1082" s="21" t="n"/>
      <c r="CF1082" s="21" t="n"/>
      <c r="CG1082" s="21" t="n"/>
      <c r="CH1082" s="21" t="n"/>
      <c r="CI1082" s="21" t="n"/>
      <c r="CJ1082" s="21" t="n"/>
      <c r="CK1082" s="21" t="n"/>
      <c r="CL1082" s="21" t="n"/>
      <c r="CM1082" s="21" t="n"/>
      <c r="CN1082" s="21" t="n"/>
      <c r="CO1082" s="21" t="n"/>
      <c r="CP1082" s="21" t="n"/>
      <c r="CQ1082" s="21" t="n"/>
      <c r="CR1082" s="21" t="n"/>
      <c r="CS1082" s="21" t="n"/>
      <c r="CT1082" s="21" t="n"/>
      <c r="CU1082" s="21" t="n"/>
      <c r="CV1082" s="21" t="n"/>
      <c r="CW1082" s="21" t="n"/>
      <c r="CX1082" s="21" t="n"/>
      <c r="CY1082" s="21" t="n"/>
      <c r="CZ1082" s="21" t="n"/>
      <c r="DA1082" s="21" t="n"/>
      <c r="DB1082" s="21" t="n"/>
      <c r="DC1082" s="21" t="n"/>
    </row>
    <row r="1083">
      <c r="B1083" t="inlineStr">
        <is>
          <t>TPP-635</t>
        </is>
      </c>
      <c r="C1083" t="inlineStr">
        <is>
          <t>No. of batches</t>
        </is>
      </c>
      <c r="D1083">
        <f>IFERROR(INDEX(PP_Grid[#Data],$DD1083,2),0)</f>
        <v/>
      </c>
      <c r="E1083">
        <f>IFERROR(INDEX(PP_Grid[#Data],$DD1083,3),0)</f>
        <v/>
      </c>
      <c r="F1083">
        <f>IFERROR(INDEX(PP_Grid[#Data],$DD1083,4),0)</f>
        <v/>
      </c>
      <c r="G1083">
        <f>IFERROR(INDEX(PP_Grid[#Data],$DD1083,5),0)</f>
        <v/>
      </c>
      <c r="H1083">
        <f>IFERROR(INDEX(PP_Grid[#Data],$DD1083,6),0)</f>
        <v/>
      </c>
      <c r="I1083">
        <f>IFERROR(INDEX(PP_Grid[#Data],$DD1083,7),0)</f>
        <v/>
      </c>
      <c r="J1083">
        <f>IFERROR(INDEX(PP_Grid[#Data],$DD1083,8),0)</f>
        <v/>
      </c>
      <c r="K1083">
        <f>IFERROR(INDEX(PP_Grid[#Data],$DD1083,9),0)</f>
        <v/>
      </c>
      <c r="L1083">
        <f>IFERROR(INDEX(PP_Grid[#Data],$DD1083,10),0)</f>
        <v/>
      </c>
      <c r="M1083">
        <f>IFERROR(INDEX(PP_Grid[#Data],$DD1083,11),0)</f>
        <v/>
      </c>
      <c r="N1083">
        <f>IFERROR(INDEX(PP_Grid[#Data],$DD1083,12),0)</f>
        <v/>
      </c>
      <c r="O1083">
        <f>IFERROR(INDEX(PP_Grid[#Data],$DD1083,13),0)</f>
        <v/>
      </c>
      <c r="P1083">
        <f>IFERROR(INDEX(PP_Grid[#Data],$DD1083,14),0)</f>
        <v/>
      </c>
      <c r="Q1083">
        <f>IFERROR(INDEX(PP_Grid[#Data],$DD1083,15),0)</f>
        <v/>
      </c>
      <c r="R1083">
        <f>IFERROR(INDEX(PP_Grid[#Data],$DD1083,16),0)</f>
        <v/>
      </c>
      <c r="S1083">
        <f>IFERROR(INDEX(PP_Grid[#Data],$DD1083,17),0)</f>
        <v/>
      </c>
      <c r="T1083">
        <f>IFERROR(INDEX(PP_Grid[#Data],$DD1083,18),0)</f>
        <v/>
      </c>
      <c r="U1083">
        <f>IFERROR(INDEX(PP_Grid[#Data],$DD1083,19),0)</f>
        <v/>
      </c>
      <c r="V1083">
        <f>IFERROR(INDEX(PP_Grid[#Data],$DD1083,20),0)</f>
        <v/>
      </c>
      <c r="W1083">
        <f>IFERROR(INDEX(PP_Grid[#Data],$DD1083,21),0)</f>
        <v/>
      </c>
      <c r="X1083">
        <f>IFERROR(INDEX(PP_Grid[#Data],$DD1083,22),0)</f>
        <v/>
      </c>
      <c r="Y1083">
        <f>IFERROR(INDEX(PP_Grid[#Data],$DD1083,23),0)</f>
        <v/>
      </c>
      <c r="Z1083">
        <f>IFERROR(INDEX(PP_Grid[#Data],$DD1083,24),0)</f>
        <v/>
      </c>
      <c r="AA1083">
        <f>IFERROR(INDEX(PP_Grid[#Data],$DD1083,25),0)</f>
        <v/>
      </c>
      <c r="AB1083">
        <f>IFERROR(INDEX(PP_Grid[#Data],$DD1083,26),0)</f>
        <v/>
      </c>
      <c r="AC1083">
        <f>IFERROR(INDEX(PP_Grid[#Data],$DD1083,27),0)</f>
        <v/>
      </c>
      <c r="AD1083">
        <f>IFERROR(INDEX(PP_Grid[#Data],$DD1083,28),0)</f>
        <v/>
      </c>
      <c r="AE1083">
        <f>IFERROR(INDEX(PP_Grid[#Data],$DD1083,29),0)</f>
        <v/>
      </c>
      <c r="AF1083">
        <f>IFERROR(INDEX(PP_Grid[#Data],$DD1083,30),0)</f>
        <v/>
      </c>
      <c r="AG1083">
        <f>IFERROR(INDEX(PP_Grid[#Data],$DD1083,31),0)</f>
        <v/>
      </c>
      <c r="AH1083">
        <f>IFERROR(INDEX(PP_Grid[#Data],$DD1083,32),0)</f>
        <v/>
      </c>
      <c r="AI1083">
        <f>IFERROR(INDEX(PP_Grid[#Data],$DD1083,33),0)</f>
        <v/>
      </c>
      <c r="AJ1083">
        <f>IFERROR(INDEX(PP_Grid[#Data],$DD1083,34),0)</f>
        <v/>
      </c>
      <c r="AK1083">
        <f>IFERROR(INDEX(PP_Grid[#Data],$DD1083,35),0)</f>
        <v/>
      </c>
      <c r="AL1083">
        <f>IFERROR(INDEX(PP_Grid[#Data],$DD1083,36),0)</f>
        <v/>
      </c>
      <c r="AM1083">
        <f>IFERROR(INDEX(PP_Grid[#Data],$DD1083,37),0)</f>
        <v/>
      </c>
      <c r="AN1083">
        <f>IFERROR(INDEX(PP_Grid[#Data],$DD1083,38),0)</f>
        <v/>
      </c>
      <c r="AO1083">
        <f>IFERROR(INDEX(PP_Grid[#Data],$DD1083,39),0)</f>
        <v/>
      </c>
      <c r="AP1083">
        <f>IFERROR(INDEX(PP_Grid[#Data],$DD1083,40),0)</f>
        <v/>
      </c>
      <c r="AQ1083">
        <f>IFERROR(INDEX(PP_Grid[#Data],$DD1083,41),0)</f>
        <v/>
      </c>
      <c r="AR1083">
        <f>IFERROR(INDEX(PP_Grid[#Data],$DD1083,42),0)</f>
        <v/>
      </c>
      <c r="AS1083">
        <f>IFERROR(INDEX(PP_Grid[#Data],$DD1083,43),0)</f>
        <v/>
      </c>
      <c r="AT1083">
        <f>IFERROR(INDEX(PP_Grid[#Data],$DD1083,44),0)</f>
        <v/>
      </c>
      <c r="AU1083">
        <f>IFERROR(INDEX(PP_Grid[#Data],$DD1083,45),0)</f>
        <v/>
      </c>
      <c r="AV1083">
        <f>IFERROR(INDEX(PP_Grid[#Data],$DD1083,46),0)</f>
        <v/>
      </c>
      <c r="AW1083">
        <f>IFERROR(INDEX(PP_Grid[#Data],$DD1083,47),0)</f>
        <v/>
      </c>
      <c r="AX1083">
        <f>IFERROR(INDEX(PP_Grid[#Data],$DD1083,48),0)</f>
        <v/>
      </c>
      <c r="AY1083">
        <f>IFERROR(INDEX(PP_Grid[#Data],$DD1083,49),0)</f>
        <v/>
      </c>
      <c r="AZ1083">
        <f>IFERROR(INDEX(PP_Grid[#Data],$DD1083,50),0)</f>
        <v/>
      </c>
      <c r="BA1083">
        <f>IFERROR(INDEX(PP_Grid[#Data],$DD1083,51),0)</f>
        <v/>
      </c>
      <c r="BB1083">
        <f>IFERROR(INDEX(PP_Grid[#Data],$DD1083,52),0)</f>
        <v/>
      </c>
      <c r="BC1083">
        <f>IFERROR(INDEX(PP_Grid[#Data],$DD1083,53),0)</f>
        <v/>
      </c>
      <c r="BD1083">
        <f>IFERROR(INDEX(PP_Grid[#Data],$DD1083,54),0)</f>
        <v/>
      </c>
      <c r="BE1083">
        <f>IFERROR(INDEX(PP_Grid[#Data],$DD1083,55),0)</f>
        <v/>
      </c>
      <c r="BF1083">
        <f>IFERROR(INDEX(PP_Grid[#Data],$DD1083,56),0)</f>
        <v/>
      </c>
      <c r="BG1083">
        <f>IFERROR(INDEX(PP_Grid[#Data],$DD1083,57),0)</f>
        <v/>
      </c>
      <c r="BH1083">
        <f>IFERROR(INDEX(PP_Grid[#Data],$DD1083,58),0)</f>
        <v/>
      </c>
      <c r="BI1083">
        <f>IFERROR(INDEX(PP_Grid[#Data],$DD1083,59),0)</f>
        <v/>
      </c>
      <c r="BJ1083">
        <f>IFERROR(INDEX(PP_Grid[#Data],$DD1083,60),0)</f>
        <v/>
      </c>
      <c r="BK1083">
        <f>IFERROR(INDEX(PP_Grid[#Data],$DD1083,61),0)</f>
        <v/>
      </c>
      <c r="BL1083">
        <f>IFERROR(INDEX(PP_Grid[#Data],$DD1083,62),0)</f>
        <v/>
      </c>
      <c r="BM1083">
        <f>IFERROR(INDEX(PP_Grid[#Data],$DD1083,63),0)</f>
        <v/>
      </c>
      <c r="BN1083">
        <f>IFERROR(INDEX(PP_Grid[#Data],$DD1083,64),0)</f>
        <v/>
      </c>
      <c r="BO1083">
        <f>IFERROR(INDEX(PP_Grid[#Data],$DD1083,65),0)</f>
        <v/>
      </c>
      <c r="BP1083">
        <f>IFERROR(INDEX(PP_Grid[#Data],$DD1083,66),0)</f>
        <v/>
      </c>
      <c r="BQ1083">
        <f>IFERROR(INDEX(PP_Grid[#Data],$DD1083,67),0)</f>
        <v/>
      </c>
      <c r="BR1083">
        <f>IFERROR(INDEX(PP_Grid[#Data],$DD1083,68),0)</f>
        <v/>
      </c>
      <c r="BS1083">
        <f>IFERROR(INDEX(PP_Grid[#Data],$DD1083,69),0)</f>
        <v/>
      </c>
      <c r="BT1083">
        <f>IFERROR(INDEX(PP_Grid[#Data],$DD1083,70),0)</f>
        <v/>
      </c>
      <c r="BU1083">
        <f>IFERROR(INDEX(PP_Grid[#Data],$DD1083,71),0)</f>
        <v/>
      </c>
      <c r="BV1083">
        <f>IFERROR(INDEX(PP_Grid[#Data],$DD1083,72),0)</f>
        <v/>
      </c>
      <c r="BW1083">
        <f>IFERROR(INDEX(PP_Grid[#Data],$DD1083,73),0)</f>
        <v/>
      </c>
      <c r="BX1083">
        <f>IFERROR(INDEX(PP_Grid[#Data],$DD1083,74),0)</f>
        <v/>
      </c>
      <c r="BY1083">
        <f>IFERROR(INDEX(PP_Grid[#Data],$DD1083,75),0)</f>
        <v/>
      </c>
      <c r="BZ1083">
        <f>IFERROR(INDEX(PP_Grid[#Data],$DD1083,76),0)</f>
        <v/>
      </c>
      <c r="CA1083">
        <f>IFERROR(INDEX(PP_Grid[#Data],$DD1083,77),0)</f>
        <v/>
      </c>
      <c r="CB1083">
        <f>IFERROR(INDEX(PP_Grid[#Data],$DD1083,78),0)</f>
        <v/>
      </c>
      <c r="CC1083">
        <f>IFERROR(INDEX(PP_Grid[#Data],$DD1083,79),0)</f>
        <v/>
      </c>
      <c r="CD1083">
        <f>IFERROR(INDEX(PP_Grid[#Data],$DD1083,80),0)</f>
        <v/>
      </c>
      <c r="CE1083">
        <f>IFERROR(INDEX(PP_Grid[#Data],$DD1083,81),0)</f>
        <v/>
      </c>
      <c r="CF1083">
        <f>IFERROR(INDEX(PP_Grid[#Data],$DD1083,82),0)</f>
        <v/>
      </c>
      <c r="CG1083">
        <f>IFERROR(INDEX(PP_Grid[#Data],$DD1083,83),0)</f>
        <v/>
      </c>
      <c r="CH1083">
        <f>IFERROR(INDEX(PP_Grid[#Data],$DD1083,84),0)</f>
        <v/>
      </c>
      <c r="CI1083">
        <f>IFERROR(INDEX(PP_Grid[#Data],$DD1083,85),0)</f>
        <v/>
      </c>
      <c r="CJ1083">
        <f>IFERROR(INDEX(PP_Grid[#Data],$DD1083,86),0)</f>
        <v/>
      </c>
      <c r="CK1083">
        <f>IFERROR(INDEX(PP_Grid[#Data],$DD1083,87),0)</f>
        <v/>
      </c>
      <c r="CL1083">
        <f>IFERROR(INDEX(PP_Grid[#Data],$DD1083,88),0)</f>
        <v/>
      </c>
      <c r="CM1083">
        <f>IFERROR(INDEX(PP_Grid[#Data],$DD1083,89),0)</f>
        <v/>
      </c>
      <c r="CN1083">
        <f>IFERROR(INDEX(PP_Grid[#Data],$DD1083,90),0)</f>
        <v/>
      </c>
      <c r="CO1083">
        <f>IFERROR(INDEX(PP_Grid[#Data],$DD1083,91),0)</f>
        <v/>
      </c>
      <c r="CP1083">
        <f>IFERROR(INDEX(PP_Grid[#Data],$DD1083,92),0)</f>
        <v/>
      </c>
      <c r="CQ1083">
        <f>IFERROR(INDEX(PP_Grid[#Data],$DD1083,93),0)</f>
        <v/>
      </c>
      <c r="CR1083">
        <f>IFERROR(INDEX(PP_Grid[#Data],$DD1083,94),0)</f>
        <v/>
      </c>
      <c r="CS1083">
        <f>IFERROR(INDEX(PP_Grid[#Data],$DD1083,95),0)</f>
        <v/>
      </c>
      <c r="CT1083">
        <f>IFERROR(INDEX(PP_Grid[#Data],$DD1083,96),0)</f>
        <v/>
      </c>
      <c r="CU1083">
        <f>IFERROR(INDEX(PP_Grid[#Data],$DD1083,97),0)</f>
        <v/>
      </c>
      <c r="CV1083">
        <f>IFERROR(INDEX(PP_Grid[#Data],$DD1083,98),0)</f>
        <v/>
      </c>
      <c r="CW1083">
        <f>IFERROR(INDEX(PP_Grid[#Data],$DD1083,99),0)</f>
        <v/>
      </c>
      <c r="CX1083">
        <f>IFERROR(INDEX(PP_Grid[#Data],$DD1083,100),0)</f>
        <v/>
      </c>
      <c r="CY1083">
        <f>IFERROR(INDEX(PP_Grid[#Data],$DD1083,101),0)</f>
        <v/>
      </c>
      <c r="CZ1083">
        <f>IFERROR(INDEX(PP_Grid[#Data],$DD1083,102),0)</f>
        <v/>
      </c>
      <c r="DA1083">
        <f>IFERROR(INDEX(PP_Grid[#Data],$DD1083,103),0)</f>
        <v/>
      </c>
      <c r="DB1083">
        <f>IFERROR(INDEX(PP_Grid[#Data],$DD1083,104),0)</f>
        <v/>
      </c>
      <c r="DC1083">
        <f>IFERROR(INDEX(PP_Grid[#Data],$DD1083,105),0)</f>
        <v/>
      </c>
      <c r="DD1083" s="12">
        <f>IFERROR(MATCH($B1083,PP_Grid[Intermediate],0),99999)</f>
        <v/>
      </c>
    </row>
    <row r="1084">
      <c r="B1084" t="inlineStr">
        <is>
          <t>使用量(kg)</t>
        </is>
      </c>
      <c r="C1084">
        <f>SUMIFS(M_BOM[RM_Qty_Per_Batch],M_BOM[Intermediate],$B1083,M_BOM[Part Name],$A1082)</f>
        <v/>
      </c>
      <c r="D1084">
        <f>$C1084*D1083</f>
        <v/>
      </c>
      <c r="E1084">
        <f>$C1084*E1083</f>
        <v/>
      </c>
      <c r="F1084">
        <f>$C1084*F1083</f>
        <v/>
      </c>
      <c r="G1084">
        <f>$C1084*G1083</f>
        <v/>
      </c>
      <c r="H1084">
        <f>$C1084*H1083</f>
        <v/>
      </c>
      <c r="I1084">
        <f>$C1084*I1083</f>
        <v/>
      </c>
      <c r="J1084">
        <f>$C1084*J1083</f>
        <v/>
      </c>
      <c r="K1084">
        <f>$C1084*K1083</f>
        <v/>
      </c>
      <c r="L1084">
        <f>$C1084*L1083</f>
        <v/>
      </c>
      <c r="M1084">
        <f>$C1084*M1083</f>
        <v/>
      </c>
      <c r="N1084">
        <f>$C1084*N1083</f>
        <v/>
      </c>
      <c r="O1084">
        <f>$C1084*O1083</f>
        <v/>
      </c>
      <c r="P1084">
        <f>$C1084*P1083</f>
        <v/>
      </c>
      <c r="Q1084">
        <f>$C1084*Q1083</f>
        <v/>
      </c>
      <c r="R1084">
        <f>$C1084*R1083</f>
        <v/>
      </c>
      <c r="S1084">
        <f>$C1084*S1083</f>
        <v/>
      </c>
      <c r="T1084">
        <f>$C1084*T1083</f>
        <v/>
      </c>
      <c r="U1084">
        <f>$C1084*U1083</f>
        <v/>
      </c>
      <c r="V1084">
        <f>$C1084*V1083</f>
        <v/>
      </c>
      <c r="W1084">
        <f>$C1084*W1083</f>
        <v/>
      </c>
      <c r="X1084">
        <f>$C1084*X1083</f>
        <v/>
      </c>
      <c r="Y1084">
        <f>$C1084*Y1083</f>
        <v/>
      </c>
      <c r="Z1084">
        <f>$C1084*Z1083</f>
        <v/>
      </c>
      <c r="AA1084">
        <f>$C1084*AA1083</f>
        <v/>
      </c>
      <c r="AB1084">
        <f>$C1084*AB1083</f>
        <v/>
      </c>
      <c r="AC1084">
        <f>$C1084*AC1083</f>
        <v/>
      </c>
      <c r="AD1084">
        <f>$C1084*AD1083</f>
        <v/>
      </c>
      <c r="AE1084">
        <f>$C1084*AE1083</f>
        <v/>
      </c>
      <c r="AF1084">
        <f>$C1084*AF1083</f>
        <v/>
      </c>
      <c r="AG1084">
        <f>$C1084*AG1083</f>
        <v/>
      </c>
      <c r="AH1084">
        <f>$C1084*AH1083</f>
        <v/>
      </c>
      <c r="AI1084">
        <f>$C1084*AI1083</f>
        <v/>
      </c>
      <c r="AJ1084">
        <f>$C1084*AJ1083</f>
        <v/>
      </c>
      <c r="AK1084">
        <f>$C1084*AK1083</f>
        <v/>
      </c>
      <c r="AL1084">
        <f>$C1084*AL1083</f>
        <v/>
      </c>
      <c r="AM1084">
        <f>$C1084*AM1083</f>
        <v/>
      </c>
      <c r="AN1084">
        <f>$C1084*AN1083</f>
        <v/>
      </c>
      <c r="AO1084">
        <f>$C1084*AO1083</f>
        <v/>
      </c>
      <c r="AP1084">
        <f>$C1084*AP1083</f>
        <v/>
      </c>
      <c r="AQ1084">
        <f>$C1084*AQ1083</f>
        <v/>
      </c>
      <c r="AR1084">
        <f>$C1084*AR1083</f>
        <v/>
      </c>
      <c r="AS1084">
        <f>$C1084*AS1083</f>
        <v/>
      </c>
      <c r="AT1084">
        <f>$C1084*AT1083</f>
        <v/>
      </c>
      <c r="AU1084">
        <f>$C1084*AU1083</f>
        <v/>
      </c>
      <c r="AV1084">
        <f>$C1084*AV1083</f>
        <v/>
      </c>
      <c r="AW1084">
        <f>$C1084*AW1083</f>
        <v/>
      </c>
      <c r="AX1084">
        <f>$C1084*AX1083</f>
        <v/>
      </c>
      <c r="AY1084">
        <f>$C1084*AY1083</f>
        <v/>
      </c>
      <c r="AZ1084">
        <f>$C1084*AZ1083</f>
        <v/>
      </c>
      <c r="BA1084">
        <f>$C1084*BA1083</f>
        <v/>
      </c>
      <c r="BB1084">
        <f>$C1084*BB1083</f>
        <v/>
      </c>
      <c r="BC1084">
        <f>$C1084*BC1083</f>
        <v/>
      </c>
      <c r="BD1084">
        <f>$C1084*BD1083</f>
        <v/>
      </c>
      <c r="BE1084">
        <f>$C1084*BE1083</f>
        <v/>
      </c>
      <c r="BF1084">
        <f>$C1084*BF1083</f>
        <v/>
      </c>
      <c r="BG1084">
        <f>$C1084*BG1083</f>
        <v/>
      </c>
      <c r="BH1084">
        <f>$C1084*BH1083</f>
        <v/>
      </c>
      <c r="BI1084">
        <f>$C1084*BI1083</f>
        <v/>
      </c>
      <c r="BJ1084">
        <f>$C1084*BJ1083</f>
        <v/>
      </c>
      <c r="BK1084">
        <f>$C1084*BK1083</f>
        <v/>
      </c>
      <c r="BL1084">
        <f>$C1084*BL1083</f>
        <v/>
      </c>
      <c r="BM1084">
        <f>$C1084*BM1083</f>
        <v/>
      </c>
      <c r="BN1084">
        <f>$C1084*BN1083</f>
        <v/>
      </c>
      <c r="BO1084">
        <f>$C1084*BO1083</f>
        <v/>
      </c>
      <c r="BP1084">
        <f>$C1084*BP1083</f>
        <v/>
      </c>
      <c r="BQ1084">
        <f>$C1084*BQ1083</f>
        <v/>
      </c>
      <c r="BR1084">
        <f>$C1084*BR1083</f>
        <v/>
      </c>
      <c r="BS1084">
        <f>$C1084*BS1083</f>
        <v/>
      </c>
      <c r="BT1084">
        <f>$C1084*BT1083</f>
        <v/>
      </c>
      <c r="BU1084">
        <f>$C1084*BU1083</f>
        <v/>
      </c>
      <c r="BV1084">
        <f>$C1084*BV1083</f>
        <v/>
      </c>
      <c r="BW1084">
        <f>$C1084*BW1083</f>
        <v/>
      </c>
      <c r="BX1084">
        <f>$C1084*BX1083</f>
        <v/>
      </c>
      <c r="BY1084">
        <f>$C1084*BY1083</f>
        <v/>
      </c>
      <c r="BZ1084">
        <f>$C1084*BZ1083</f>
        <v/>
      </c>
      <c r="CA1084">
        <f>$C1084*CA1083</f>
        <v/>
      </c>
      <c r="CB1084">
        <f>$C1084*CB1083</f>
        <v/>
      </c>
      <c r="CC1084">
        <f>$C1084*CC1083</f>
        <v/>
      </c>
      <c r="CD1084">
        <f>$C1084*CD1083</f>
        <v/>
      </c>
      <c r="CE1084">
        <f>$C1084*CE1083</f>
        <v/>
      </c>
      <c r="CF1084">
        <f>$C1084*CF1083</f>
        <v/>
      </c>
      <c r="CG1084">
        <f>$C1084*CG1083</f>
        <v/>
      </c>
      <c r="CH1084">
        <f>$C1084*CH1083</f>
        <v/>
      </c>
      <c r="CI1084">
        <f>$C1084*CI1083</f>
        <v/>
      </c>
      <c r="CJ1084">
        <f>$C1084*CJ1083</f>
        <v/>
      </c>
      <c r="CK1084">
        <f>$C1084*CK1083</f>
        <v/>
      </c>
      <c r="CL1084">
        <f>$C1084*CL1083</f>
        <v/>
      </c>
      <c r="CM1084">
        <f>$C1084*CM1083</f>
        <v/>
      </c>
      <c r="CN1084">
        <f>$C1084*CN1083</f>
        <v/>
      </c>
      <c r="CO1084">
        <f>$C1084*CO1083</f>
        <v/>
      </c>
      <c r="CP1084">
        <f>$C1084*CP1083</f>
        <v/>
      </c>
      <c r="CQ1084">
        <f>$C1084*CQ1083</f>
        <v/>
      </c>
      <c r="CR1084">
        <f>$C1084*CR1083</f>
        <v/>
      </c>
      <c r="CS1084">
        <f>$C1084*CS1083</f>
        <v/>
      </c>
      <c r="CT1084">
        <f>$C1084*CT1083</f>
        <v/>
      </c>
      <c r="CU1084">
        <f>$C1084*CU1083</f>
        <v/>
      </c>
      <c r="CV1084">
        <f>$C1084*CV1083</f>
        <v/>
      </c>
      <c r="CW1084">
        <f>$C1084*CW1083</f>
        <v/>
      </c>
      <c r="CX1084">
        <f>$C1084*CX1083</f>
        <v/>
      </c>
      <c r="CY1084">
        <f>$C1084*CY1083</f>
        <v/>
      </c>
      <c r="CZ1084">
        <f>$C1084*CZ1083</f>
        <v/>
      </c>
      <c r="DA1084">
        <f>$C1084*DA1083</f>
        <v/>
      </c>
      <c r="DB1084">
        <f>$C1084*DB1083</f>
        <v/>
      </c>
      <c r="DC1084">
        <f>$C1084*DC1083</f>
        <v/>
      </c>
    </row>
    <row r="1085">
      <c r="B1085" t="inlineStr">
        <is>
          <t>TSP-903</t>
        </is>
      </c>
      <c r="C1085" t="inlineStr">
        <is>
          <t>No. of batches</t>
        </is>
      </c>
      <c r="D1085">
        <f>IFERROR(INDEX(PP_Grid[#Data],$DD1085,2),0)</f>
        <v/>
      </c>
      <c r="E1085">
        <f>IFERROR(INDEX(PP_Grid[#Data],$DD1085,3),0)</f>
        <v/>
      </c>
      <c r="F1085">
        <f>IFERROR(INDEX(PP_Grid[#Data],$DD1085,4),0)</f>
        <v/>
      </c>
      <c r="G1085">
        <f>IFERROR(INDEX(PP_Grid[#Data],$DD1085,5),0)</f>
        <v/>
      </c>
      <c r="H1085">
        <f>IFERROR(INDEX(PP_Grid[#Data],$DD1085,6),0)</f>
        <v/>
      </c>
      <c r="I1085">
        <f>IFERROR(INDEX(PP_Grid[#Data],$DD1085,7),0)</f>
        <v/>
      </c>
      <c r="J1085">
        <f>IFERROR(INDEX(PP_Grid[#Data],$DD1085,8),0)</f>
        <v/>
      </c>
      <c r="K1085">
        <f>IFERROR(INDEX(PP_Grid[#Data],$DD1085,9),0)</f>
        <v/>
      </c>
      <c r="L1085">
        <f>IFERROR(INDEX(PP_Grid[#Data],$DD1085,10),0)</f>
        <v/>
      </c>
      <c r="M1085">
        <f>IFERROR(INDEX(PP_Grid[#Data],$DD1085,11),0)</f>
        <v/>
      </c>
      <c r="N1085">
        <f>IFERROR(INDEX(PP_Grid[#Data],$DD1085,12),0)</f>
        <v/>
      </c>
      <c r="O1085">
        <f>IFERROR(INDEX(PP_Grid[#Data],$DD1085,13),0)</f>
        <v/>
      </c>
      <c r="P1085">
        <f>IFERROR(INDEX(PP_Grid[#Data],$DD1085,14),0)</f>
        <v/>
      </c>
      <c r="Q1085">
        <f>IFERROR(INDEX(PP_Grid[#Data],$DD1085,15),0)</f>
        <v/>
      </c>
      <c r="R1085">
        <f>IFERROR(INDEX(PP_Grid[#Data],$DD1085,16),0)</f>
        <v/>
      </c>
      <c r="S1085">
        <f>IFERROR(INDEX(PP_Grid[#Data],$DD1085,17),0)</f>
        <v/>
      </c>
      <c r="T1085">
        <f>IFERROR(INDEX(PP_Grid[#Data],$DD1085,18),0)</f>
        <v/>
      </c>
      <c r="U1085">
        <f>IFERROR(INDEX(PP_Grid[#Data],$DD1085,19),0)</f>
        <v/>
      </c>
      <c r="V1085">
        <f>IFERROR(INDEX(PP_Grid[#Data],$DD1085,20),0)</f>
        <v/>
      </c>
      <c r="W1085">
        <f>IFERROR(INDEX(PP_Grid[#Data],$DD1085,21),0)</f>
        <v/>
      </c>
      <c r="X1085">
        <f>IFERROR(INDEX(PP_Grid[#Data],$DD1085,22),0)</f>
        <v/>
      </c>
      <c r="Y1085">
        <f>IFERROR(INDEX(PP_Grid[#Data],$DD1085,23),0)</f>
        <v/>
      </c>
      <c r="Z1085">
        <f>IFERROR(INDEX(PP_Grid[#Data],$DD1085,24),0)</f>
        <v/>
      </c>
      <c r="AA1085">
        <f>IFERROR(INDEX(PP_Grid[#Data],$DD1085,25),0)</f>
        <v/>
      </c>
      <c r="AB1085">
        <f>IFERROR(INDEX(PP_Grid[#Data],$DD1085,26),0)</f>
        <v/>
      </c>
      <c r="AC1085">
        <f>IFERROR(INDEX(PP_Grid[#Data],$DD1085,27),0)</f>
        <v/>
      </c>
      <c r="AD1085">
        <f>IFERROR(INDEX(PP_Grid[#Data],$DD1085,28),0)</f>
        <v/>
      </c>
      <c r="AE1085">
        <f>IFERROR(INDEX(PP_Grid[#Data],$DD1085,29),0)</f>
        <v/>
      </c>
      <c r="AF1085">
        <f>IFERROR(INDEX(PP_Grid[#Data],$DD1085,30),0)</f>
        <v/>
      </c>
      <c r="AG1085">
        <f>IFERROR(INDEX(PP_Grid[#Data],$DD1085,31),0)</f>
        <v/>
      </c>
      <c r="AH1085">
        <f>IFERROR(INDEX(PP_Grid[#Data],$DD1085,32),0)</f>
        <v/>
      </c>
      <c r="AI1085">
        <f>IFERROR(INDEX(PP_Grid[#Data],$DD1085,33),0)</f>
        <v/>
      </c>
      <c r="AJ1085">
        <f>IFERROR(INDEX(PP_Grid[#Data],$DD1085,34),0)</f>
        <v/>
      </c>
      <c r="AK1085">
        <f>IFERROR(INDEX(PP_Grid[#Data],$DD1085,35),0)</f>
        <v/>
      </c>
      <c r="AL1085">
        <f>IFERROR(INDEX(PP_Grid[#Data],$DD1085,36),0)</f>
        <v/>
      </c>
      <c r="AM1085">
        <f>IFERROR(INDEX(PP_Grid[#Data],$DD1085,37),0)</f>
        <v/>
      </c>
      <c r="AN1085">
        <f>IFERROR(INDEX(PP_Grid[#Data],$DD1085,38),0)</f>
        <v/>
      </c>
      <c r="AO1085">
        <f>IFERROR(INDEX(PP_Grid[#Data],$DD1085,39),0)</f>
        <v/>
      </c>
      <c r="AP1085">
        <f>IFERROR(INDEX(PP_Grid[#Data],$DD1085,40),0)</f>
        <v/>
      </c>
      <c r="AQ1085">
        <f>IFERROR(INDEX(PP_Grid[#Data],$DD1085,41),0)</f>
        <v/>
      </c>
      <c r="AR1085">
        <f>IFERROR(INDEX(PP_Grid[#Data],$DD1085,42),0)</f>
        <v/>
      </c>
      <c r="AS1085">
        <f>IFERROR(INDEX(PP_Grid[#Data],$DD1085,43),0)</f>
        <v/>
      </c>
      <c r="AT1085">
        <f>IFERROR(INDEX(PP_Grid[#Data],$DD1085,44),0)</f>
        <v/>
      </c>
      <c r="AU1085">
        <f>IFERROR(INDEX(PP_Grid[#Data],$DD1085,45),0)</f>
        <v/>
      </c>
      <c r="AV1085">
        <f>IFERROR(INDEX(PP_Grid[#Data],$DD1085,46),0)</f>
        <v/>
      </c>
      <c r="AW1085">
        <f>IFERROR(INDEX(PP_Grid[#Data],$DD1085,47),0)</f>
        <v/>
      </c>
      <c r="AX1085">
        <f>IFERROR(INDEX(PP_Grid[#Data],$DD1085,48),0)</f>
        <v/>
      </c>
      <c r="AY1085">
        <f>IFERROR(INDEX(PP_Grid[#Data],$DD1085,49),0)</f>
        <v/>
      </c>
      <c r="AZ1085">
        <f>IFERROR(INDEX(PP_Grid[#Data],$DD1085,50),0)</f>
        <v/>
      </c>
      <c r="BA1085">
        <f>IFERROR(INDEX(PP_Grid[#Data],$DD1085,51),0)</f>
        <v/>
      </c>
      <c r="BB1085">
        <f>IFERROR(INDEX(PP_Grid[#Data],$DD1085,52),0)</f>
        <v/>
      </c>
      <c r="BC1085">
        <f>IFERROR(INDEX(PP_Grid[#Data],$DD1085,53),0)</f>
        <v/>
      </c>
      <c r="BD1085">
        <f>IFERROR(INDEX(PP_Grid[#Data],$DD1085,54),0)</f>
        <v/>
      </c>
      <c r="BE1085">
        <f>IFERROR(INDEX(PP_Grid[#Data],$DD1085,55),0)</f>
        <v/>
      </c>
      <c r="BF1085">
        <f>IFERROR(INDEX(PP_Grid[#Data],$DD1085,56),0)</f>
        <v/>
      </c>
      <c r="BG1085">
        <f>IFERROR(INDEX(PP_Grid[#Data],$DD1085,57),0)</f>
        <v/>
      </c>
      <c r="BH1085">
        <f>IFERROR(INDEX(PP_Grid[#Data],$DD1085,58),0)</f>
        <v/>
      </c>
      <c r="BI1085">
        <f>IFERROR(INDEX(PP_Grid[#Data],$DD1085,59),0)</f>
        <v/>
      </c>
      <c r="BJ1085">
        <f>IFERROR(INDEX(PP_Grid[#Data],$DD1085,60),0)</f>
        <v/>
      </c>
      <c r="BK1085">
        <f>IFERROR(INDEX(PP_Grid[#Data],$DD1085,61),0)</f>
        <v/>
      </c>
      <c r="BL1085">
        <f>IFERROR(INDEX(PP_Grid[#Data],$DD1085,62),0)</f>
        <v/>
      </c>
      <c r="BM1085">
        <f>IFERROR(INDEX(PP_Grid[#Data],$DD1085,63),0)</f>
        <v/>
      </c>
      <c r="BN1085">
        <f>IFERROR(INDEX(PP_Grid[#Data],$DD1085,64),0)</f>
        <v/>
      </c>
      <c r="BO1085">
        <f>IFERROR(INDEX(PP_Grid[#Data],$DD1085,65),0)</f>
        <v/>
      </c>
      <c r="BP1085">
        <f>IFERROR(INDEX(PP_Grid[#Data],$DD1085,66),0)</f>
        <v/>
      </c>
      <c r="BQ1085">
        <f>IFERROR(INDEX(PP_Grid[#Data],$DD1085,67),0)</f>
        <v/>
      </c>
      <c r="BR1085">
        <f>IFERROR(INDEX(PP_Grid[#Data],$DD1085,68),0)</f>
        <v/>
      </c>
      <c r="BS1085">
        <f>IFERROR(INDEX(PP_Grid[#Data],$DD1085,69),0)</f>
        <v/>
      </c>
      <c r="BT1085">
        <f>IFERROR(INDEX(PP_Grid[#Data],$DD1085,70),0)</f>
        <v/>
      </c>
      <c r="BU1085">
        <f>IFERROR(INDEX(PP_Grid[#Data],$DD1085,71),0)</f>
        <v/>
      </c>
      <c r="BV1085">
        <f>IFERROR(INDEX(PP_Grid[#Data],$DD1085,72),0)</f>
        <v/>
      </c>
      <c r="BW1085">
        <f>IFERROR(INDEX(PP_Grid[#Data],$DD1085,73),0)</f>
        <v/>
      </c>
      <c r="BX1085">
        <f>IFERROR(INDEX(PP_Grid[#Data],$DD1085,74),0)</f>
        <v/>
      </c>
      <c r="BY1085">
        <f>IFERROR(INDEX(PP_Grid[#Data],$DD1085,75),0)</f>
        <v/>
      </c>
      <c r="BZ1085">
        <f>IFERROR(INDEX(PP_Grid[#Data],$DD1085,76),0)</f>
        <v/>
      </c>
      <c r="CA1085">
        <f>IFERROR(INDEX(PP_Grid[#Data],$DD1085,77),0)</f>
        <v/>
      </c>
      <c r="CB1085">
        <f>IFERROR(INDEX(PP_Grid[#Data],$DD1085,78),0)</f>
        <v/>
      </c>
      <c r="CC1085">
        <f>IFERROR(INDEX(PP_Grid[#Data],$DD1085,79),0)</f>
        <v/>
      </c>
      <c r="CD1085">
        <f>IFERROR(INDEX(PP_Grid[#Data],$DD1085,80),0)</f>
        <v/>
      </c>
      <c r="CE1085">
        <f>IFERROR(INDEX(PP_Grid[#Data],$DD1085,81),0)</f>
        <v/>
      </c>
      <c r="CF1085">
        <f>IFERROR(INDEX(PP_Grid[#Data],$DD1085,82),0)</f>
        <v/>
      </c>
      <c r="CG1085">
        <f>IFERROR(INDEX(PP_Grid[#Data],$DD1085,83),0)</f>
        <v/>
      </c>
      <c r="CH1085">
        <f>IFERROR(INDEX(PP_Grid[#Data],$DD1085,84),0)</f>
        <v/>
      </c>
      <c r="CI1085">
        <f>IFERROR(INDEX(PP_Grid[#Data],$DD1085,85),0)</f>
        <v/>
      </c>
      <c r="CJ1085">
        <f>IFERROR(INDEX(PP_Grid[#Data],$DD1085,86),0)</f>
        <v/>
      </c>
      <c r="CK1085">
        <f>IFERROR(INDEX(PP_Grid[#Data],$DD1085,87),0)</f>
        <v/>
      </c>
      <c r="CL1085">
        <f>IFERROR(INDEX(PP_Grid[#Data],$DD1085,88),0)</f>
        <v/>
      </c>
      <c r="CM1085">
        <f>IFERROR(INDEX(PP_Grid[#Data],$DD1085,89),0)</f>
        <v/>
      </c>
      <c r="CN1085">
        <f>IFERROR(INDEX(PP_Grid[#Data],$DD1085,90),0)</f>
        <v/>
      </c>
      <c r="CO1085">
        <f>IFERROR(INDEX(PP_Grid[#Data],$DD1085,91),0)</f>
        <v/>
      </c>
      <c r="CP1085">
        <f>IFERROR(INDEX(PP_Grid[#Data],$DD1085,92),0)</f>
        <v/>
      </c>
      <c r="CQ1085">
        <f>IFERROR(INDEX(PP_Grid[#Data],$DD1085,93),0)</f>
        <v/>
      </c>
      <c r="CR1085">
        <f>IFERROR(INDEX(PP_Grid[#Data],$DD1085,94),0)</f>
        <v/>
      </c>
      <c r="CS1085">
        <f>IFERROR(INDEX(PP_Grid[#Data],$DD1085,95),0)</f>
        <v/>
      </c>
      <c r="CT1085">
        <f>IFERROR(INDEX(PP_Grid[#Data],$DD1085,96),0)</f>
        <v/>
      </c>
      <c r="CU1085">
        <f>IFERROR(INDEX(PP_Grid[#Data],$DD1085,97),0)</f>
        <v/>
      </c>
      <c r="CV1085">
        <f>IFERROR(INDEX(PP_Grid[#Data],$DD1085,98),0)</f>
        <v/>
      </c>
      <c r="CW1085">
        <f>IFERROR(INDEX(PP_Grid[#Data],$DD1085,99),0)</f>
        <v/>
      </c>
      <c r="CX1085">
        <f>IFERROR(INDEX(PP_Grid[#Data],$DD1085,100),0)</f>
        <v/>
      </c>
      <c r="CY1085">
        <f>IFERROR(INDEX(PP_Grid[#Data],$DD1085,101),0)</f>
        <v/>
      </c>
      <c r="CZ1085">
        <f>IFERROR(INDEX(PP_Grid[#Data],$DD1085,102),0)</f>
        <v/>
      </c>
      <c r="DA1085">
        <f>IFERROR(INDEX(PP_Grid[#Data],$DD1085,103),0)</f>
        <v/>
      </c>
      <c r="DB1085">
        <f>IFERROR(INDEX(PP_Grid[#Data],$DD1085,104),0)</f>
        <v/>
      </c>
      <c r="DC1085">
        <f>IFERROR(INDEX(PP_Grid[#Data],$DD1085,105),0)</f>
        <v/>
      </c>
      <c r="DD1085" s="12">
        <f>IFERROR(MATCH($B1085,PP_Grid[Intermediate],0),99999)</f>
        <v/>
      </c>
    </row>
    <row r="1086">
      <c r="B1086" t="inlineStr">
        <is>
          <t>使用量(kg)</t>
        </is>
      </c>
      <c r="C1086">
        <f>SUMIFS(M_BOM[RM_Qty_Per_Batch],M_BOM[Intermediate],$B1085,M_BOM[Part Name],$A1082)</f>
        <v/>
      </c>
      <c r="D1086">
        <f>$C1086*D1085</f>
        <v/>
      </c>
      <c r="E1086">
        <f>$C1086*E1085</f>
        <v/>
      </c>
      <c r="F1086">
        <f>$C1086*F1085</f>
        <v/>
      </c>
      <c r="G1086">
        <f>$C1086*G1085</f>
        <v/>
      </c>
      <c r="H1086">
        <f>$C1086*H1085</f>
        <v/>
      </c>
      <c r="I1086">
        <f>$C1086*I1085</f>
        <v/>
      </c>
      <c r="J1086">
        <f>$C1086*J1085</f>
        <v/>
      </c>
      <c r="K1086">
        <f>$C1086*K1085</f>
        <v/>
      </c>
      <c r="L1086">
        <f>$C1086*L1085</f>
        <v/>
      </c>
      <c r="M1086">
        <f>$C1086*M1085</f>
        <v/>
      </c>
      <c r="N1086">
        <f>$C1086*N1085</f>
        <v/>
      </c>
      <c r="O1086">
        <f>$C1086*O1085</f>
        <v/>
      </c>
      <c r="P1086">
        <f>$C1086*P1085</f>
        <v/>
      </c>
      <c r="Q1086">
        <f>$C1086*Q1085</f>
        <v/>
      </c>
      <c r="R1086">
        <f>$C1086*R1085</f>
        <v/>
      </c>
      <c r="S1086">
        <f>$C1086*S1085</f>
        <v/>
      </c>
      <c r="T1086">
        <f>$C1086*T1085</f>
        <v/>
      </c>
      <c r="U1086">
        <f>$C1086*U1085</f>
        <v/>
      </c>
      <c r="V1086">
        <f>$C1086*V1085</f>
        <v/>
      </c>
      <c r="W1086">
        <f>$C1086*W1085</f>
        <v/>
      </c>
      <c r="X1086">
        <f>$C1086*X1085</f>
        <v/>
      </c>
      <c r="Y1086">
        <f>$C1086*Y1085</f>
        <v/>
      </c>
      <c r="Z1086">
        <f>$C1086*Z1085</f>
        <v/>
      </c>
      <c r="AA1086">
        <f>$C1086*AA1085</f>
        <v/>
      </c>
      <c r="AB1086">
        <f>$C1086*AB1085</f>
        <v/>
      </c>
      <c r="AC1086">
        <f>$C1086*AC1085</f>
        <v/>
      </c>
      <c r="AD1086">
        <f>$C1086*AD1085</f>
        <v/>
      </c>
      <c r="AE1086">
        <f>$C1086*AE1085</f>
        <v/>
      </c>
      <c r="AF1086">
        <f>$C1086*AF1085</f>
        <v/>
      </c>
      <c r="AG1086">
        <f>$C1086*AG1085</f>
        <v/>
      </c>
      <c r="AH1086">
        <f>$C1086*AH1085</f>
        <v/>
      </c>
      <c r="AI1086">
        <f>$C1086*AI1085</f>
        <v/>
      </c>
      <c r="AJ1086">
        <f>$C1086*AJ1085</f>
        <v/>
      </c>
      <c r="AK1086">
        <f>$C1086*AK1085</f>
        <v/>
      </c>
      <c r="AL1086">
        <f>$C1086*AL1085</f>
        <v/>
      </c>
      <c r="AM1086">
        <f>$C1086*AM1085</f>
        <v/>
      </c>
      <c r="AN1086">
        <f>$C1086*AN1085</f>
        <v/>
      </c>
      <c r="AO1086">
        <f>$C1086*AO1085</f>
        <v/>
      </c>
      <c r="AP1086">
        <f>$C1086*AP1085</f>
        <v/>
      </c>
      <c r="AQ1086">
        <f>$C1086*AQ1085</f>
        <v/>
      </c>
      <c r="AR1086">
        <f>$C1086*AR1085</f>
        <v/>
      </c>
      <c r="AS1086">
        <f>$C1086*AS1085</f>
        <v/>
      </c>
      <c r="AT1086">
        <f>$C1086*AT1085</f>
        <v/>
      </c>
      <c r="AU1086">
        <f>$C1086*AU1085</f>
        <v/>
      </c>
      <c r="AV1086">
        <f>$C1086*AV1085</f>
        <v/>
      </c>
      <c r="AW1086">
        <f>$C1086*AW1085</f>
        <v/>
      </c>
      <c r="AX1086">
        <f>$C1086*AX1085</f>
        <v/>
      </c>
      <c r="AY1086">
        <f>$C1086*AY1085</f>
        <v/>
      </c>
      <c r="AZ1086">
        <f>$C1086*AZ1085</f>
        <v/>
      </c>
      <c r="BA1086">
        <f>$C1086*BA1085</f>
        <v/>
      </c>
      <c r="BB1086">
        <f>$C1086*BB1085</f>
        <v/>
      </c>
      <c r="BC1086">
        <f>$C1086*BC1085</f>
        <v/>
      </c>
      <c r="BD1086">
        <f>$C1086*BD1085</f>
        <v/>
      </c>
      <c r="BE1086">
        <f>$C1086*BE1085</f>
        <v/>
      </c>
      <c r="BF1086">
        <f>$C1086*BF1085</f>
        <v/>
      </c>
      <c r="BG1086">
        <f>$C1086*BG1085</f>
        <v/>
      </c>
      <c r="BH1086">
        <f>$C1086*BH1085</f>
        <v/>
      </c>
      <c r="BI1086">
        <f>$C1086*BI1085</f>
        <v/>
      </c>
      <c r="BJ1086">
        <f>$C1086*BJ1085</f>
        <v/>
      </c>
      <c r="BK1086">
        <f>$C1086*BK1085</f>
        <v/>
      </c>
      <c r="BL1086">
        <f>$C1086*BL1085</f>
        <v/>
      </c>
      <c r="BM1086">
        <f>$C1086*BM1085</f>
        <v/>
      </c>
      <c r="BN1086">
        <f>$C1086*BN1085</f>
        <v/>
      </c>
      <c r="BO1086">
        <f>$C1086*BO1085</f>
        <v/>
      </c>
      <c r="BP1086">
        <f>$C1086*BP1085</f>
        <v/>
      </c>
      <c r="BQ1086">
        <f>$C1086*BQ1085</f>
        <v/>
      </c>
      <c r="BR1086">
        <f>$C1086*BR1085</f>
        <v/>
      </c>
      <c r="BS1086">
        <f>$C1086*BS1085</f>
        <v/>
      </c>
      <c r="BT1086">
        <f>$C1086*BT1085</f>
        <v/>
      </c>
      <c r="BU1086">
        <f>$C1086*BU1085</f>
        <v/>
      </c>
      <c r="BV1086">
        <f>$C1086*BV1085</f>
        <v/>
      </c>
      <c r="BW1086">
        <f>$C1086*BW1085</f>
        <v/>
      </c>
      <c r="BX1086">
        <f>$C1086*BX1085</f>
        <v/>
      </c>
      <c r="BY1086">
        <f>$C1086*BY1085</f>
        <v/>
      </c>
      <c r="BZ1086">
        <f>$C1086*BZ1085</f>
        <v/>
      </c>
      <c r="CA1086">
        <f>$C1086*CA1085</f>
        <v/>
      </c>
      <c r="CB1086">
        <f>$C1086*CB1085</f>
        <v/>
      </c>
      <c r="CC1086">
        <f>$C1086*CC1085</f>
        <v/>
      </c>
      <c r="CD1086">
        <f>$C1086*CD1085</f>
        <v/>
      </c>
      <c r="CE1086">
        <f>$C1086*CE1085</f>
        <v/>
      </c>
      <c r="CF1086">
        <f>$C1086*CF1085</f>
        <v/>
      </c>
      <c r="CG1086">
        <f>$C1086*CG1085</f>
        <v/>
      </c>
      <c r="CH1086">
        <f>$C1086*CH1085</f>
        <v/>
      </c>
      <c r="CI1086">
        <f>$C1086*CI1085</f>
        <v/>
      </c>
      <c r="CJ1086">
        <f>$C1086*CJ1085</f>
        <v/>
      </c>
      <c r="CK1086">
        <f>$C1086*CK1085</f>
        <v/>
      </c>
      <c r="CL1086">
        <f>$C1086*CL1085</f>
        <v/>
      </c>
      <c r="CM1086">
        <f>$C1086*CM1085</f>
        <v/>
      </c>
      <c r="CN1086">
        <f>$C1086*CN1085</f>
        <v/>
      </c>
      <c r="CO1086">
        <f>$C1086*CO1085</f>
        <v/>
      </c>
      <c r="CP1086">
        <f>$C1086*CP1085</f>
        <v/>
      </c>
      <c r="CQ1086">
        <f>$C1086*CQ1085</f>
        <v/>
      </c>
      <c r="CR1086">
        <f>$C1086*CR1085</f>
        <v/>
      </c>
      <c r="CS1086">
        <f>$C1086*CS1085</f>
        <v/>
      </c>
      <c r="CT1086">
        <f>$C1086*CT1085</f>
        <v/>
      </c>
      <c r="CU1086">
        <f>$C1086*CU1085</f>
        <v/>
      </c>
      <c r="CV1086">
        <f>$C1086*CV1085</f>
        <v/>
      </c>
      <c r="CW1086">
        <f>$C1086*CW1085</f>
        <v/>
      </c>
      <c r="CX1086">
        <f>$C1086*CX1085</f>
        <v/>
      </c>
      <c r="CY1086">
        <f>$C1086*CY1085</f>
        <v/>
      </c>
      <c r="CZ1086">
        <f>$C1086*CZ1085</f>
        <v/>
      </c>
      <c r="DA1086">
        <f>$C1086*DA1085</f>
        <v/>
      </c>
      <c r="DB1086">
        <f>$C1086*DB1085</f>
        <v/>
      </c>
      <c r="DC1086">
        <f>$C1086*DC1085</f>
        <v/>
      </c>
    </row>
    <row r="1087">
      <c r="B1087" s="5" t="inlineStr">
        <is>
          <t>合計使用量(kg)/週</t>
        </is>
      </c>
      <c r="D1087">
        <f>'Grid_Requirement'!B46</f>
        <v/>
      </c>
      <c r="E1087">
        <f>'Grid_Requirement'!C46</f>
        <v/>
      </c>
      <c r="F1087">
        <f>'Grid_Requirement'!D46</f>
        <v/>
      </c>
      <c r="G1087">
        <f>'Grid_Requirement'!E46</f>
        <v/>
      </c>
      <c r="H1087">
        <f>'Grid_Requirement'!F46</f>
        <v/>
      </c>
      <c r="I1087">
        <f>'Grid_Requirement'!G46</f>
        <v/>
      </c>
      <c r="J1087">
        <f>'Grid_Requirement'!H46</f>
        <v/>
      </c>
      <c r="K1087">
        <f>'Grid_Requirement'!I46</f>
        <v/>
      </c>
      <c r="L1087">
        <f>'Grid_Requirement'!J46</f>
        <v/>
      </c>
      <c r="M1087">
        <f>'Grid_Requirement'!K46</f>
        <v/>
      </c>
      <c r="N1087">
        <f>'Grid_Requirement'!L46</f>
        <v/>
      </c>
      <c r="O1087">
        <f>'Grid_Requirement'!M46</f>
        <v/>
      </c>
      <c r="P1087">
        <f>'Grid_Requirement'!N46</f>
        <v/>
      </c>
      <c r="Q1087">
        <f>'Grid_Requirement'!O46</f>
        <v/>
      </c>
      <c r="R1087">
        <f>'Grid_Requirement'!P46</f>
        <v/>
      </c>
      <c r="S1087">
        <f>'Grid_Requirement'!Q46</f>
        <v/>
      </c>
      <c r="T1087">
        <f>'Grid_Requirement'!R46</f>
        <v/>
      </c>
      <c r="U1087">
        <f>'Grid_Requirement'!S46</f>
        <v/>
      </c>
      <c r="V1087">
        <f>'Grid_Requirement'!T46</f>
        <v/>
      </c>
      <c r="W1087">
        <f>'Grid_Requirement'!U46</f>
        <v/>
      </c>
      <c r="X1087">
        <f>'Grid_Requirement'!V46</f>
        <v/>
      </c>
      <c r="Y1087">
        <f>'Grid_Requirement'!W46</f>
        <v/>
      </c>
      <c r="Z1087">
        <f>'Grid_Requirement'!X46</f>
        <v/>
      </c>
      <c r="AA1087">
        <f>'Grid_Requirement'!Y46</f>
        <v/>
      </c>
      <c r="AB1087">
        <f>'Grid_Requirement'!Z46</f>
        <v/>
      </c>
      <c r="AC1087">
        <f>'Grid_Requirement'!AA46</f>
        <v/>
      </c>
      <c r="AD1087">
        <f>'Grid_Requirement'!AB46</f>
        <v/>
      </c>
      <c r="AE1087">
        <f>'Grid_Requirement'!AC46</f>
        <v/>
      </c>
      <c r="AF1087">
        <f>'Grid_Requirement'!AD46</f>
        <v/>
      </c>
      <c r="AG1087">
        <f>'Grid_Requirement'!AE46</f>
        <v/>
      </c>
      <c r="AH1087">
        <f>'Grid_Requirement'!AF46</f>
        <v/>
      </c>
      <c r="AI1087">
        <f>'Grid_Requirement'!AG46</f>
        <v/>
      </c>
      <c r="AJ1087">
        <f>'Grid_Requirement'!AH46</f>
        <v/>
      </c>
      <c r="AK1087">
        <f>'Grid_Requirement'!AI46</f>
        <v/>
      </c>
      <c r="AL1087">
        <f>'Grid_Requirement'!AJ46</f>
        <v/>
      </c>
      <c r="AM1087">
        <f>'Grid_Requirement'!AK46</f>
        <v/>
      </c>
      <c r="AN1087">
        <f>'Grid_Requirement'!AL46</f>
        <v/>
      </c>
      <c r="AO1087">
        <f>'Grid_Requirement'!AM46</f>
        <v/>
      </c>
      <c r="AP1087">
        <f>'Grid_Requirement'!AN46</f>
        <v/>
      </c>
      <c r="AQ1087">
        <f>'Grid_Requirement'!AO46</f>
        <v/>
      </c>
      <c r="AR1087">
        <f>'Grid_Requirement'!AP46</f>
        <v/>
      </c>
      <c r="AS1087">
        <f>'Grid_Requirement'!AQ46</f>
        <v/>
      </c>
      <c r="AT1087">
        <f>'Grid_Requirement'!AR46</f>
        <v/>
      </c>
      <c r="AU1087">
        <f>'Grid_Requirement'!AS46</f>
        <v/>
      </c>
      <c r="AV1087">
        <f>'Grid_Requirement'!AT46</f>
        <v/>
      </c>
      <c r="AW1087">
        <f>'Grid_Requirement'!AU46</f>
        <v/>
      </c>
      <c r="AX1087">
        <f>'Grid_Requirement'!AV46</f>
        <v/>
      </c>
      <c r="AY1087">
        <f>'Grid_Requirement'!AW46</f>
        <v/>
      </c>
      <c r="AZ1087">
        <f>'Grid_Requirement'!AX46</f>
        <v/>
      </c>
      <c r="BA1087">
        <f>'Grid_Requirement'!AY46</f>
        <v/>
      </c>
      <c r="BB1087">
        <f>'Grid_Requirement'!AZ46</f>
        <v/>
      </c>
      <c r="BC1087">
        <f>'Grid_Requirement'!BA46</f>
        <v/>
      </c>
      <c r="BD1087">
        <f>'Grid_Requirement'!BB46</f>
        <v/>
      </c>
      <c r="BE1087">
        <f>'Grid_Requirement'!BC46</f>
        <v/>
      </c>
      <c r="BF1087">
        <f>'Grid_Requirement'!BD46</f>
        <v/>
      </c>
      <c r="BG1087">
        <f>'Grid_Requirement'!BE46</f>
        <v/>
      </c>
      <c r="BH1087">
        <f>'Grid_Requirement'!BF46</f>
        <v/>
      </c>
      <c r="BI1087">
        <f>'Grid_Requirement'!BG46</f>
        <v/>
      </c>
      <c r="BJ1087">
        <f>'Grid_Requirement'!BH46</f>
        <v/>
      </c>
      <c r="BK1087">
        <f>'Grid_Requirement'!BI46</f>
        <v/>
      </c>
      <c r="BL1087">
        <f>'Grid_Requirement'!BJ46</f>
        <v/>
      </c>
      <c r="BM1087">
        <f>'Grid_Requirement'!BK46</f>
        <v/>
      </c>
      <c r="BN1087">
        <f>'Grid_Requirement'!BL46</f>
        <v/>
      </c>
      <c r="BO1087">
        <f>'Grid_Requirement'!BM46</f>
        <v/>
      </c>
      <c r="BP1087">
        <f>'Grid_Requirement'!BN46</f>
        <v/>
      </c>
      <c r="BQ1087">
        <f>'Grid_Requirement'!BO46</f>
        <v/>
      </c>
      <c r="BR1087">
        <f>'Grid_Requirement'!BP46</f>
        <v/>
      </c>
      <c r="BS1087">
        <f>'Grid_Requirement'!BQ46</f>
        <v/>
      </c>
      <c r="BT1087">
        <f>'Grid_Requirement'!BR46</f>
        <v/>
      </c>
      <c r="BU1087">
        <f>'Grid_Requirement'!BS46</f>
        <v/>
      </c>
      <c r="BV1087">
        <f>'Grid_Requirement'!BT46</f>
        <v/>
      </c>
      <c r="BW1087">
        <f>'Grid_Requirement'!BU46</f>
        <v/>
      </c>
      <c r="BX1087">
        <f>'Grid_Requirement'!BV46</f>
        <v/>
      </c>
      <c r="BY1087">
        <f>'Grid_Requirement'!BW46</f>
        <v/>
      </c>
      <c r="BZ1087">
        <f>'Grid_Requirement'!BX46</f>
        <v/>
      </c>
      <c r="CA1087">
        <f>'Grid_Requirement'!BY46</f>
        <v/>
      </c>
      <c r="CB1087">
        <f>'Grid_Requirement'!BZ46</f>
        <v/>
      </c>
      <c r="CC1087">
        <f>'Grid_Requirement'!CA46</f>
        <v/>
      </c>
      <c r="CD1087">
        <f>'Grid_Requirement'!CB46</f>
        <v/>
      </c>
      <c r="CE1087">
        <f>'Grid_Requirement'!CC46</f>
        <v/>
      </c>
      <c r="CF1087">
        <f>'Grid_Requirement'!CD46</f>
        <v/>
      </c>
      <c r="CG1087">
        <f>'Grid_Requirement'!CE46</f>
        <v/>
      </c>
      <c r="CH1087">
        <f>'Grid_Requirement'!CF46</f>
        <v/>
      </c>
      <c r="CI1087">
        <f>'Grid_Requirement'!CG46</f>
        <v/>
      </c>
      <c r="CJ1087">
        <f>'Grid_Requirement'!CH46</f>
        <v/>
      </c>
      <c r="CK1087">
        <f>'Grid_Requirement'!CI46</f>
        <v/>
      </c>
      <c r="CL1087">
        <f>'Grid_Requirement'!CJ46</f>
        <v/>
      </c>
      <c r="CM1087">
        <f>'Grid_Requirement'!CK46</f>
        <v/>
      </c>
      <c r="CN1087">
        <f>'Grid_Requirement'!CL46</f>
        <v/>
      </c>
      <c r="CO1087">
        <f>'Grid_Requirement'!CM46</f>
        <v/>
      </c>
      <c r="CP1087">
        <f>'Grid_Requirement'!CN46</f>
        <v/>
      </c>
      <c r="CQ1087">
        <f>'Grid_Requirement'!CO46</f>
        <v/>
      </c>
      <c r="CR1087">
        <f>'Grid_Requirement'!CP46</f>
        <v/>
      </c>
      <c r="CS1087">
        <f>'Grid_Requirement'!CQ46</f>
        <v/>
      </c>
      <c r="CT1087">
        <f>'Grid_Requirement'!CR46</f>
        <v/>
      </c>
      <c r="CU1087">
        <f>'Grid_Requirement'!CS46</f>
        <v/>
      </c>
      <c r="CV1087">
        <f>'Grid_Requirement'!CT46</f>
        <v/>
      </c>
      <c r="CW1087">
        <f>'Grid_Requirement'!CU46</f>
        <v/>
      </c>
      <c r="CX1087">
        <f>'Grid_Requirement'!CV46</f>
        <v/>
      </c>
      <c r="CY1087">
        <f>'Grid_Requirement'!CW46</f>
        <v/>
      </c>
      <c r="CZ1087">
        <f>'Grid_Requirement'!CX46</f>
        <v/>
      </c>
      <c r="DA1087">
        <f>'Grid_Requirement'!CY46</f>
        <v/>
      </c>
      <c r="DB1087">
        <f>'Grid_Requirement'!CZ46</f>
        <v/>
      </c>
      <c r="DC1087">
        <f>'Grid_Requirement'!DA46</f>
        <v/>
      </c>
    </row>
    <row r="1088">
      <c r="B1088" t="inlineStr">
        <is>
          <t>TTAF在庫(実績,kg)</t>
        </is>
      </c>
      <c r="D1088">
        <f>'T_TTAFStock'!B50</f>
        <v/>
      </c>
      <c r="E1088">
        <f>'T_TTAFStock'!C50</f>
        <v/>
      </c>
      <c r="F1088">
        <f>'T_TTAFStock'!D50</f>
        <v/>
      </c>
      <c r="G1088">
        <f>'T_TTAFStock'!E50</f>
        <v/>
      </c>
      <c r="H1088">
        <f>'T_TTAFStock'!F50</f>
        <v/>
      </c>
      <c r="I1088">
        <f>'T_TTAFStock'!G50</f>
        <v/>
      </c>
      <c r="J1088">
        <f>'T_TTAFStock'!H50</f>
        <v/>
      </c>
      <c r="K1088">
        <f>'T_TTAFStock'!I50</f>
        <v/>
      </c>
      <c r="L1088">
        <f>'T_TTAFStock'!J50</f>
        <v/>
      </c>
      <c r="M1088">
        <f>'T_TTAFStock'!K50</f>
        <v/>
      </c>
      <c r="N1088">
        <f>'T_TTAFStock'!L50</f>
        <v/>
      </c>
      <c r="O1088">
        <f>'T_TTAFStock'!M50</f>
        <v/>
      </c>
      <c r="P1088">
        <f>'T_TTAFStock'!N50</f>
        <v/>
      </c>
      <c r="Q1088">
        <f>'T_TTAFStock'!O50</f>
        <v/>
      </c>
      <c r="R1088">
        <f>'T_TTAFStock'!P50</f>
        <v/>
      </c>
      <c r="S1088">
        <f>'T_TTAFStock'!Q50</f>
        <v/>
      </c>
      <c r="T1088">
        <f>'T_TTAFStock'!R50</f>
        <v/>
      </c>
      <c r="U1088">
        <f>'T_TTAFStock'!S50</f>
        <v/>
      </c>
      <c r="V1088">
        <f>'T_TTAFStock'!T50</f>
        <v/>
      </c>
      <c r="W1088">
        <f>'T_TTAFStock'!U50</f>
        <v/>
      </c>
      <c r="X1088">
        <f>'T_TTAFStock'!V50</f>
        <v/>
      </c>
      <c r="Y1088">
        <f>'T_TTAFStock'!W50</f>
        <v/>
      </c>
      <c r="Z1088">
        <f>'T_TTAFStock'!X50</f>
        <v/>
      </c>
      <c r="AA1088">
        <f>'T_TTAFStock'!Y50</f>
        <v/>
      </c>
      <c r="AB1088">
        <f>'T_TTAFStock'!Z50</f>
        <v/>
      </c>
      <c r="AC1088">
        <f>'T_TTAFStock'!AA50</f>
        <v/>
      </c>
      <c r="AD1088">
        <f>'T_TTAFStock'!AB50</f>
        <v/>
      </c>
      <c r="AE1088">
        <f>'T_TTAFStock'!AC50</f>
        <v/>
      </c>
      <c r="AF1088">
        <f>'T_TTAFStock'!AD50</f>
        <v/>
      </c>
      <c r="AG1088">
        <f>'T_TTAFStock'!AE50</f>
        <v/>
      </c>
      <c r="AH1088">
        <f>'T_TTAFStock'!AF50</f>
        <v/>
      </c>
      <c r="AI1088">
        <f>'T_TTAFStock'!AG50</f>
        <v/>
      </c>
      <c r="AJ1088">
        <f>'T_TTAFStock'!AH50</f>
        <v/>
      </c>
      <c r="AK1088">
        <f>'T_TTAFStock'!AI50</f>
        <v/>
      </c>
      <c r="AL1088">
        <f>'T_TTAFStock'!AJ50</f>
        <v/>
      </c>
      <c r="AM1088">
        <f>'T_TTAFStock'!AK50</f>
        <v/>
      </c>
      <c r="AN1088">
        <f>'T_TTAFStock'!AL50</f>
        <v/>
      </c>
      <c r="AO1088">
        <f>'T_TTAFStock'!AM50</f>
        <v/>
      </c>
      <c r="AP1088">
        <f>'T_TTAFStock'!AN50</f>
        <v/>
      </c>
      <c r="AQ1088">
        <f>'T_TTAFStock'!AO50</f>
        <v/>
      </c>
      <c r="AR1088">
        <f>'T_TTAFStock'!AP50</f>
        <v/>
      </c>
      <c r="AS1088">
        <f>'T_TTAFStock'!AQ50</f>
        <v/>
      </c>
      <c r="AT1088">
        <f>'T_TTAFStock'!AR50</f>
        <v/>
      </c>
      <c r="AU1088">
        <f>'T_TTAFStock'!AS50</f>
        <v/>
      </c>
      <c r="AV1088">
        <f>'T_TTAFStock'!AT50</f>
        <v/>
      </c>
      <c r="AW1088">
        <f>'T_TTAFStock'!AU50</f>
        <v/>
      </c>
      <c r="AX1088">
        <f>'T_TTAFStock'!AV50</f>
        <v/>
      </c>
      <c r="AY1088">
        <f>'T_TTAFStock'!AW50</f>
        <v/>
      </c>
      <c r="AZ1088">
        <f>'T_TTAFStock'!AX50</f>
        <v/>
      </c>
      <c r="BA1088">
        <f>'T_TTAFStock'!AY50</f>
        <v/>
      </c>
      <c r="BB1088">
        <f>'T_TTAFStock'!AZ50</f>
        <v/>
      </c>
      <c r="BC1088">
        <f>'T_TTAFStock'!BA50</f>
        <v/>
      </c>
      <c r="BD1088">
        <f>'T_TTAFStock'!BB50</f>
        <v/>
      </c>
      <c r="BE1088">
        <f>'T_TTAFStock'!BC50</f>
        <v/>
      </c>
      <c r="BF1088">
        <f>'T_TTAFStock'!BD50</f>
        <v/>
      </c>
      <c r="BG1088">
        <f>'T_TTAFStock'!BE50</f>
        <v/>
      </c>
      <c r="BH1088">
        <f>'T_TTAFStock'!BF50</f>
        <v/>
      </c>
      <c r="BI1088">
        <f>'T_TTAFStock'!BG50</f>
        <v/>
      </c>
      <c r="BJ1088">
        <f>'T_TTAFStock'!BH50</f>
        <v/>
      </c>
      <c r="BK1088">
        <f>'T_TTAFStock'!BI50</f>
        <v/>
      </c>
      <c r="BL1088">
        <f>'T_TTAFStock'!BJ50</f>
        <v/>
      </c>
      <c r="BM1088">
        <f>'T_TTAFStock'!BK50</f>
        <v/>
      </c>
      <c r="BN1088">
        <f>'T_TTAFStock'!BL50</f>
        <v/>
      </c>
      <c r="BO1088">
        <f>'T_TTAFStock'!BM50</f>
        <v/>
      </c>
      <c r="BP1088">
        <f>'T_TTAFStock'!BN50</f>
        <v/>
      </c>
      <c r="BQ1088">
        <f>'T_TTAFStock'!BO50</f>
        <v/>
      </c>
      <c r="BR1088">
        <f>'T_TTAFStock'!BP50</f>
        <v/>
      </c>
      <c r="BS1088">
        <f>'T_TTAFStock'!BQ50</f>
        <v/>
      </c>
      <c r="BT1088">
        <f>'T_TTAFStock'!BR50</f>
        <v/>
      </c>
      <c r="BU1088">
        <f>'T_TTAFStock'!BS50</f>
        <v/>
      </c>
      <c r="BV1088">
        <f>'T_TTAFStock'!BT50</f>
        <v/>
      </c>
      <c r="BW1088">
        <f>'T_TTAFStock'!BU50</f>
        <v/>
      </c>
      <c r="BX1088">
        <f>'T_TTAFStock'!BV50</f>
        <v/>
      </c>
      <c r="BY1088">
        <f>'T_TTAFStock'!BW50</f>
        <v/>
      </c>
      <c r="BZ1088">
        <f>'T_TTAFStock'!BX50</f>
        <v/>
      </c>
      <c r="CA1088">
        <f>'T_TTAFStock'!BY50</f>
        <v/>
      </c>
      <c r="CB1088">
        <f>'T_TTAFStock'!BZ50</f>
        <v/>
      </c>
      <c r="CC1088">
        <f>'T_TTAFStock'!CA50</f>
        <v/>
      </c>
      <c r="CD1088">
        <f>'T_TTAFStock'!CB50</f>
        <v/>
      </c>
      <c r="CE1088">
        <f>'T_TTAFStock'!CC50</f>
        <v/>
      </c>
      <c r="CF1088">
        <f>'T_TTAFStock'!CD50</f>
        <v/>
      </c>
      <c r="CG1088">
        <f>'T_TTAFStock'!CE50</f>
        <v/>
      </c>
      <c r="CH1088">
        <f>'T_TTAFStock'!CF50</f>
        <v/>
      </c>
      <c r="CI1088">
        <f>'T_TTAFStock'!CG50</f>
        <v/>
      </c>
      <c r="CJ1088">
        <f>'T_TTAFStock'!CH50</f>
        <v/>
      </c>
      <c r="CK1088">
        <f>'T_TTAFStock'!CI50</f>
        <v/>
      </c>
      <c r="CL1088">
        <f>'T_TTAFStock'!CJ50</f>
        <v/>
      </c>
      <c r="CM1088">
        <f>'T_TTAFStock'!CK50</f>
        <v/>
      </c>
      <c r="CN1088">
        <f>'T_TTAFStock'!CL50</f>
        <v/>
      </c>
      <c r="CO1088">
        <f>'T_TTAFStock'!CM50</f>
        <v/>
      </c>
      <c r="CP1088">
        <f>'T_TTAFStock'!CN50</f>
        <v/>
      </c>
      <c r="CQ1088">
        <f>'T_TTAFStock'!CO50</f>
        <v/>
      </c>
      <c r="CR1088">
        <f>'T_TTAFStock'!CP50</f>
        <v/>
      </c>
      <c r="CS1088">
        <f>'T_TTAFStock'!CQ50</f>
        <v/>
      </c>
      <c r="CT1088">
        <f>'T_TTAFStock'!CR50</f>
        <v/>
      </c>
      <c r="CU1088">
        <f>'T_TTAFStock'!CS50</f>
        <v/>
      </c>
      <c r="CV1088">
        <f>'T_TTAFStock'!CT50</f>
        <v/>
      </c>
      <c r="CW1088">
        <f>'T_TTAFStock'!CU50</f>
        <v/>
      </c>
      <c r="CX1088">
        <f>'T_TTAFStock'!CV50</f>
        <v/>
      </c>
      <c r="CY1088">
        <f>'T_TTAFStock'!CW50</f>
        <v/>
      </c>
      <c r="CZ1088">
        <f>'T_TTAFStock'!CX50</f>
        <v/>
      </c>
      <c r="DA1088">
        <f>'T_TTAFStock'!CY50</f>
        <v/>
      </c>
      <c r="DB1088">
        <f>'T_TTAFStock'!CZ50</f>
        <v/>
      </c>
      <c r="DC1088">
        <f>'T_TTAFStock'!DA50</f>
        <v/>
      </c>
    </row>
    <row r="1089">
      <c r="B1089" t="inlineStr">
        <is>
          <t>自社在庫(実績,kg)</t>
        </is>
      </c>
      <c r="D1089">
        <f>'T_SelfStock'!B50</f>
        <v/>
      </c>
      <c r="E1089">
        <f>'T_SelfStock'!C50</f>
        <v/>
      </c>
      <c r="F1089">
        <f>'T_SelfStock'!D50</f>
        <v/>
      </c>
      <c r="G1089">
        <f>'T_SelfStock'!E50</f>
        <v/>
      </c>
      <c r="H1089">
        <f>'T_SelfStock'!F50</f>
        <v/>
      </c>
      <c r="I1089">
        <f>'T_SelfStock'!G50</f>
        <v/>
      </c>
      <c r="J1089">
        <f>'T_SelfStock'!H50</f>
        <v/>
      </c>
      <c r="K1089">
        <f>'T_SelfStock'!I50</f>
        <v/>
      </c>
      <c r="L1089">
        <f>'T_SelfStock'!J50</f>
        <v/>
      </c>
      <c r="M1089">
        <f>'T_SelfStock'!K50</f>
        <v/>
      </c>
      <c r="N1089">
        <f>'T_SelfStock'!L50</f>
        <v/>
      </c>
      <c r="O1089">
        <f>'T_SelfStock'!M50</f>
        <v/>
      </c>
      <c r="P1089">
        <f>'T_SelfStock'!N50</f>
        <v/>
      </c>
      <c r="Q1089">
        <f>'T_SelfStock'!O50</f>
        <v/>
      </c>
      <c r="R1089">
        <f>'T_SelfStock'!P50</f>
        <v/>
      </c>
      <c r="S1089">
        <f>'T_SelfStock'!Q50</f>
        <v/>
      </c>
      <c r="T1089">
        <f>'T_SelfStock'!R50</f>
        <v/>
      </c>
      <c r="U1089">
        <f>'T_SelfStock'!S50</f>
        <v/>
      </c>
      <c r="V1089">
        <f>'T_SelfStock'!T50</f>
        <v/>
      </c>
      <c r="W1089">
        <f>'T_SelfStock'!U50</f>
        <v/>
      </c>
      <c r="X1089">
        <f>'T_SelfStock'!V50</f>
        <v/>
      </c>
      <c r="Y1089">
        <f>'T_SelfStock'!W50</f>
        <v/>
      </c>
      <c r="Z1089">
        <f>'T_SelfStock'!X50</f>
        <v/>
      </c>
      <c r="AA1089">
        <f>'T_SelfStock'!Y50</f>
        <v/>
      </c>
      <c r="AB1089">
        <f>'T_SelfStock'!Z50</f>
        <v/>
      </c>
      <c r="AC1089">
        <f>'T_SelfStock'!AA50</f>
        <v/>
      </c>
      <c r="AD1089">
        <f>'T_SelfStock'!AB50</f>
        <v/>
      </c>
      <c r="AE1089">
        <f>'T_SelfStock'!AC50</f>
        <v/>
      </c>
      <c r="AF1089">
        <f>'T_SelfStock'!AD50</f>
        <v/>
      </c>
      <c r="AG1089">
        <f>'T_SelfStock'!AE50</f>
        <v/>
      </c>
      <c r="AH1089">
        <f>'T_SelfStock'!AF50</f>
        <v/>
      </c>
      <c r="AI1089">
        <f>'T_SelfStock'!AG50</f>
        <v/>
      </c>
      <c r="AJ1089">
        <f>'T_SelfStock'!AH50</f>
        <v/>
      </c>
      <c r="AK1089">
        <f>'T_SelfStock'!AI50</f>
        <v/>
      </c>
      <c r="AL1089">
        <f>'T_SelfStock'!AJ50</f>
        <v/>
      </c>
      <c r="AM1089">
        <f>'T_SelfStock'!AK50</f>
        <v/>
      </c>
      <c r="AN1089">
        <f>'T_SelfStock'!AL50</f>
        <v/>
      </c>
      <c r="AO1089">
        <f>'T_SelfStock'!AM50</f>
        <v/>
      </c>
      <c r="AP1089">
        <f>'T_SelfStock'!AN50</f>
        <v/>
      </c>
      <c r="AQ1089">
        <f>'T_SelfStock'!AO50</f>
        <v/>
      </c>
      <c r="AR1089">
        <f>'T_SelfStock'!AP50</f>
        <v/>
      </c>
      <c r="AS1089">
        <f>'T_SelfStock'!AQ50</f>
        <v/>
      </c>
      <c r="AT1089">
        <f>'T_SelfStock'!AR50</f>
        <v/>
      </c>
      <c r="AU1089">
        <f>'T_SelfStock'!AS50</f>
        <v/>
      </c>
      <c r="AV1089">
        <f>'T_SelfStock'!AT50</f>
        <v/>
      </c>
      <c r="AW1089">
        <f>'T_SelfStock'!AU50</f>
        <v/>
      </c>
      <c r="AX1089">
        <f>'T_SelfStock'!AV50</f>
        <v/>
      </c>
      <c r="AY1089">
        <f>'T_SelfStock'!AW50</f>
        <v/>
      </c>
      <c r="AZ1089">
        <f>'T_SelfStock'!AX50</f>
        <v/>
      </c>
      <c r="BA1089">
        <f>'T_SelfStock'!AY50</f>
        <v/>
      </c>
      <c r="BB1089">
        <f>'T_SelfStock'!AZ50</f>
        <v/>
      </c>
      <c r="BC1089">
        <f>'T_SelfStock'!BA50</f>
        <v/>
      </c>
      <c r="BD1089">
        <f>'T_SelfStock'!BB50</f>
        <v/>
      </c>
      <c r="BE1089">
        <f>'T_SelfStock'!BC50</f>
        <v/>
      </c>
      <c r="BF1089">
        <f>'T_SelfStock'!BD50</f>
        <v/>
      </c>
      <c r="BG1089">
        <f>'T_SelfStock'!BE50</f>
        <v/>
      </c>
      <c r="BH1089">
        <f>'T_SelfStock'!BF50</f>
        <v/>
      </c>
      <c r="BI1089">
        <f>'T_SelfStock'!BG50</f>
        <v/>
      </c>
      <c r="BJ1089">
        <f>'T_SelfStock'!BH50</f>
        <v/>
      </c>
      <c r="BK1089">
        <f>'T_SelfStock'!BI50</f>
        <v/>
      </c>
      <c r="BL1089">
        <f>'T_SelfStock'!BJ50</f>
        <v/>
      </c>
      <c r="BM1089">
        <f>'T_SelfStock'!BK50</f>
        <v/>
      </c>
      <c r="BN1089">
        <f>'T_SelfStock'!BL50</f>
        <v/>
      </c>
      <c r="BO1089">
        <f>'T_SelfStock'!BM50</f>
        <v/>
      </c>
      <c r="BP1089">
        <f>'T_SelfStock'!BN50</f>
        <v/>
      </c>
      <c r="BQ1089">
        <f>'T_SelfStock'!BO50</f>
        <v/>
      </c>
      <c r="BR1089">
        <f>'T_SelfStock'!BP50</f>
        <v/>
      </c>
      <c r="BS1089">
        <f>'T_SelfStock'!BQ50</f>
        <v/>
      </c>
      <c r="BT1089">
        <f>'T_SelfStock'!BR50</f>
        <v/>
      </c>
      <c r="BU1089">
        <f>'T_SelfStock'!BS50</f>
        <v/>
      </c>
      <c r="BV1089">
        <f>'T_SelfStock'!BT50</f>
        <v/>
      </c>
      <c r="BW1089">
        <f>'T_SelfStock'!BU50</f>
        <v/>
      </c>
      <c r="BX1089">
        <f>'T_SelfStock'!BV50</f>
        <v/>
      </c>
      <c r="BY1089">
        <f>'T_SelfStock'!BW50</f>
        <v/>
      </c>
      <c r="BZ1089">
        <f>'T_SelfStock'!BX50</f>
        <v/>
      </c>
      <c r="CA1089">
        <f>'T_SelfStock'!BY50</f>
        <v/>
      </c>
      <c r="CB1089">
        <f>'T_SelfStock'!BZ50</f>
        <v/>
      </c>
      <c r="CC1089">
        <f>'T_SelfStock'!CA50</f>
        <v/>
      </c>
      <c r="CD1089">
        <f>'T_SelfStock'!CB50</f>
        <v/>
      </c>
      <c r="CE1089">
        <f>'T_SelfStock'!CC50</f>
        <v/>
      </c>
      <c r="CF1089">
        <f>'T_SelfStock'!CD50</f>
        <v/>
      </c>
      <c r="CG1089">
        <f>'T_SelfStock'!CE50</f>
        <v/>
      </c>
      <c r="CH1089">
        <f>'T_SelfStock'!CF50</f>
        <v/>
      </c>
      <c r="CI1089">
        <f>'T_SelfStock'!CG50</f>
        <v/>
      </c>
      <c r="CJ1089">
        <f>'T_SelfStock'!CH50</f>
        <v/>
      </c>
      <c r="CK1089">
        <f>'T_SelfStock'!CI50</f>
        <v/>
      </c>
      <c r="CL1089">
        <f>'T_SelfStock'!CJ50</f>
        <v/>
      </c>
      <c r="CM1089">
        <f>'T_SelfStock'!CK50</f>
        <v/>
      </c>
      <c r="CN1089">
        <f>'T_SelfStock'!CL50</f>
        <v/>
      </c>
      <c r="CO1089">
        <f>'T_SelfStock'!CM50</f>
        <v/>
      </c>
      <c r="CP1089">
        <f>'T_SelfStock'!CN50</f>
        <v/>
      </c>
      <c r="CQ1089">
        <f>'T_SelfStock'!CO50</f>
        <v/>
      </c>
      <c r="CR1089">
        <f>'T_SelfStock'!CP50</f>
        <v/>
      </c>
      <c r="CS1089">
        <f>'T_SelfStock'!CQ50</f>
        <v/>
      </c>
      <c r="CT1089">
        <f>'T_SelfStock'!CR50</f>
        <v/>
      </c>
      <c r="CU1089">
        <f>'T_SelfStock'!CS50</f>
        <v/>
      </c>
      <c r="CV1089">
        <f>'T_SelfStock'!CT50</f>
        <v/>
      </c>
      <c r="CW1089">
        <f>'T_SelfStock'!CU50</f>
        <v/>
      </c>
      <c r="CX1089">
        <f>'T_SelfStock'!CV50</f>
        <v/>
      </c>
      <c r="CY1089">
        <f>'T_SelfStock'!CW50</f>
        <v/>
      </c>
      <c r="CZ1089">
        <f>'T_SelfStock'!CX50</f>
        <v/>
      </c>
      <c r="DA1089">
        <f>'T_SelfStock'!CY50</f>
        <v/>
      </c>
      <c r="DB1089">
        <f>'T_SelfStock'!CZ50</f>
        <v/>
      </c>
      <c r="DC1089">
        <f>'T_SelfStock'!DA50</f>
        <v/>
      </c>
    </row>
    <row r="1090">
      <c r="B1090" t="inlineStr">
        <is>
          <t>Order(発注予定,kg)</t>
        </is>
      </c>
      <c r="D1090" s="23" t="n"/>
      <c r="E1090" s="23" t="n"/>
      <c r="F1090" s="23" t="n"/>
      <c r="G1090" s="23" t="n"/>
      <c r="H1090" s="23" t="n"/>
      <c r="I1090" s="23" t="n"/>
      <c r="J1090" s="23" t="n"/>
      <c r="K1090" s="23" t="n"/>
      <c r="L1090" s="23" t="n"/>
      <c r="M1090" s="23" t="n"/>
      <c r="N1090" s="23" t="n"/>
      <c r="O1090" s="23" t="n"/>
      <c r="P1090" s="23" t="n"/>
      <c r="Q1090" s="23" t="n"/>
      <c r="R1090" s="23" t="n"/>
      <c r="S1090" s="23" t="n"/>
      <c r="T1090" s="23" t="n"/>
      <c r="U1090" s="23" t="n"/>
      <c r="V1090" s="23" t="n"/>
      <c r="W1090" s="23" t="n"/>
      <c r="X1090" s="23" t="n"/>
      <c r="Y1090" s="23" t="n"/>
      <c r="Z1090" s="23" t="n"/>
      <c r="AA1090" s="23" t="n"/>
      <c r="AB1090" s="23" t="n"/>
      <c r="AC1090" s="23" t="n"/>
      <c r="AD1090" s="23" t="n"/>
      <c r="AE1090" s="23" t="n"/>
      <c r="AF1090" s="23" t="n"/>
      <c r="AG1090" s="23" t="n"/>
      <c r="AH1090" s="23" t="n"/>
      <c r="AI1090" s="23" t="n"/>
      <c r="AJ1090" s="23" t="n"/>
      <c r="AK1090" s="23" t="n"/>
      <c r="AL1090" s="23" t="n"/>
      <c r="AM1090" s="23" t="n"/>
      <c r="AN1090" s="23" t="n"/>
      <c r="AO1090" s="23" t="n"/>
      <c r="AP1090" s="23" t="n"/>
      <c r="AQ1090" s="23" t="n"/>
      <c r="AR1090" s="23" t="n"/>
      <c r="AS1090" s="23" t="n"/>
      <c r="AT1090" s="23" t="n"/>
      <c r="AU1090" s="23" t="n"/>
      <c r="AV1090" s="23" t="n"/>
      <c r="AW1090" s="23" t="n"/>
      <c r="AX1090" s="23" t="n"/>
      <c r="AY1090" s="23" t="n"/>
      <c r="AZ1090" s="23" t="n"/>
      <c r="BA1090" s="23" t="n"/>
      <c r="BB1090" s="23" t="n"/>
      <c r="BC1090" s="23" t="n"/>
      <c r="BD1090" s="23" t="n"/>
      <c r="BE1090" s="23" t="n"/>
      <c r="BF1090" s="23" t="n"/>
      <c r="BG1090" s="23" t="n"/>
      <c r="BH1090" s="23" t="n"/>
      <c r="BI1090" s="23" t="n"/>
      <c r="BJ1090" s="23" t="n"/>
      <c r="BK1090" s="23" t="n"/>
      <c r="BL1090" s="23" t="n"/>
      <c r="BM1090" s="23" t="n"/>
      <c r="BN1090" s="23" t="n"/>
      <c r="BO1090" s="23" t="n"/>
      <c r="BP1090" s="23" t="n"/>
      <c r="BQ1090" s="23" t="n"/>
      <c r="BR1090" s="23" t="n"/>
      <c r="BS1090" s="23" t="n"/>
      <c r="BT1090" s="23" t="n"/>
      <c r="BU1090" s="23" t="n"/>
      <c r="BV1090" s="23" t="n"/>
      <c r="BW1090" s="23" t="n"/>
      <c r="BX1090" s="23" t="n"/>
      <c r="BY1090" s="23" t="n"/>
      <c r="BZ1090" s="23" t="n"/>
      <c r="CA1090" s="23" t="n"/>
      <c r="CB1090" s="23" t="n"/>
      <c r="CC1090" s="23" t="n"/>
      <c r="CD1090" s="23" t="n"/>
      <c r="CE1090" s="23" t="n"/>
      <c r="CF1090" s="23" t="n"/>
      <c r="CG1090" s="23" t="n"/>
      <c r="CH1090" s="23" t="n"/>
      <c r="CI1090" s="23" t="n"/>
      <c r="CJ1090" s="23" t="n"/>
      <c r="CK1090" s="23" t="n"/>
      <c r="CL1090" s="23" t="n"/>
      <c r="CM1090" s="23" t="n"/>
      <c r="CN1090" s="23" t="n"/>
      <c r="CO1090" s="23" t="n"/>
      <c r="CP1090" s="23" t="n"/>
      <c r="CQ1090" s="23" t="n"/>
      <c r="CR1090" s="23" t="n"/>
      <c r="CS1090" s="23" t="n"/>
      <c r="CT1090" s="23" t="n"/>
      <c r="CU1090" s="23" t="n"/>
      <c r="CV1090" s="23" t="n"/>
      <c r="CW1090" s="23" t="n"/>
      <c r="CX1090" s="23" t="n"/>
      <c r="CY1090" s="23" t="n"/>
      <c r="CZ1090" s="23" t="n"/>
      <c r="DA1090" s="23" t="n"/>
      <c r="DB1090" s="23" t="n"/>
      <c r="DC1090" s="23" t="n"/>
      <c r="DE1090" s="12" t="inlineStr">
        <is>
          <t>CHEM-1770</t>
        </is>
      </c>
    </row>
    <row r="1091">
      <c r="B1091" s="24" t="inlineStr">
        <is>
          <t>PO_No</t>
        </is>
      </c>
      <c r="D1091" s="25" t="n"/>
      <c r="E1091" s="25" t="n"/>
      <c r="F1091" s="25" t="n"/>
      <c r="G1091" s="25" t="n"/>
      <c r="H1091" s="25" t="n"/>
      <c r="I1091" s="25" t="n"/>
      <c r="J1091" s="25" t="n"/>
      <c r="K1091" s="25" t="n"/>
      <c r="L1091" s="25" t="n"/>
      <c r="M1091" s="25" t="n"/>
      <c r="N1091" s="25" t="n"/>
      <c r="O1091" s="25" t="n"/>
      <c r="P1091" s="25" t="n"/>
      <c r="Q1091" s="25" t="n"/>
      <c r="R1091" s="25" t="n"/>
      <c r="S1091" s="25" t="n"/>
      <c r="T1091" s="25" t="n"/>
      <c r="U1091" s="25" t="n"/>
      <c r="V1091" s="25" t="n"/>
      <c r="W1091" s="25" t="n"/>
      <c r="X1091" s="25" t="n"/>
      <c r="Y1091" s="25" t="n"/>
      <c r="Z1091" s="25" t="n"/>
      <c r="AA1091" s="25" t="n"/>
      <c r="AB1091" s="25" t="n"/>
      <c r="AC1091" s="25" t="n"/>
      <c r="AD1091" s="25" t="n"/>
      <c r="AE1091" s="25" t="n"/>
      <c r="AF1091" s="25" t="n"/>
      <c r="AG1091" s="25" t="n"/>
      <c r="AH1091" s="25" t="n"/>
      <c r="AI1091" s="25" t="n"/>
      <c r="AJ1091" s="25" t="n"/>
      <c r="AK1091" s="25" t="n"/>
      <c r="AL1091" s="25" t="n"/>
      <c r="AM1091" s="25" t="n"/>
      <c r="AN1091" s="25" t="n"/>
      <c r="AO1091" s="25" t="n"/>
      <c r="AP1091" s="25" t="n"/>
      <c r="AQ1091" s="25" t="n"/>
      <c r="AR1091" s="25" t="n"/>
      <c r="AS1091" s="25" t="n"/>
      <c r="AT1091" s="25" t="n"/>
      <c r="AU1091" s="25" t="n"/>
      <c r="AV1091" s="25" t="n"/>
      <c r="AW1091" s="25" t="n"/>
      <c r="AX1091" s="25" t="n"/>
      <c r="AY1091" s="25" t="n"/>
      <c r="AZ1091" s="25" t="n"/>
      <c r="BA1091" s="25" t="n"/>
      <c r="BB1091" s="25" t="n"/>
      <c r="BC1091" s="25" t="n"/>
      <c r="BD1091" s="25" t="n"/>
      <c r="BE1091" s="25" t="n"/>
      <c r="BF1091" s="25" t="n"/>
      <c r="BG1091" s="25" t="n"/>
      <c r="BH1091" s="25" t="n"/>
      <c r="BI1091" s="25" t="n"/>
      <c r="BJ1091" s="25" t="n"/>
      <c r="BK1091" s="25" t="n"/>
      <c r="BL1091" s="25" t="n"/>
      <c r="BM1091" s="25" t="n"/>
      <c r="BN1091" s="25" t="n"/>
      <c r="BO1091" s="25" t="n"/>
      <c r="BP1091" s="25" t="n"/>
      <c r="BQ1091" s="25" t="n"/>
      <c r="BR1091" s="25" t="n"/>
      <c r="BS1091" s="25" t="n"/>
      <c r="BT1091" s="25" t="n"/>
      <c r="BU1091" s="25" t="n"/>
      <c r="BV1091" s="25" t="n"/>
      <c r="BW1091" s="25" t="n"/>
      <c r="BX1091" s="25" t="n"/>
      <c r="BY1091" s="25" t="n"/>
      <c r="BZ1091" s="25" t="n"/>
      <c r="CA1091" s="25" t="n"/>
      <c r="CB1091" s="25" t="n"/>
      <c r="CC1091" s="25" t="n"/>
      <c r="CD1091" s="25" t="n"/>
      <c r="CE1091" s="25" t="n"/>
      <c r="CF1091" s="25" t="n"/>
      <c r="CG1091" s="25" t="n"/>
      <c r="CH1091" s="25" t="n"/>
      <c r="CI1091" s="25" t="n"/>
      <c r="CJ1091" s="25" t="n"/>
      <c r="CK1091" s="25" t="n"/>
      <c r="CL1091" s="25" t="n"/>
      <c r="CM1091" s="25" t="n"/>
      <c r="CN1091" s="25" t="n"/>
      <c r="CO1091" s="25" t="n"/>
      <c r="CP1091" s="25" t="n"/>
      <c r="CQ1091" s="25" t="n"/>
      <c r="CR1091" s="25" t="n"/>
      <c r="CS1091" s="25" t="n"/>
      <c r="CT1091" s="25" t="n"/>
      <c r="CU1091" s="25" t="n"/>
      <c r="CV1091" s="25" t="n"/>
      <c r="CW1091" s="25" t="n"/>
      <c r="CX1091" s="25" t="n"/>
      <c r="CY1091" s="25" t="n"/>
      <c r="CZ1091" s="25" t="n"/>
      <c r="DA1091" s="25" t="n"/>
      <c r="DB1091" s="25" t="n"/>
      <c r="DC1091" s="25" t="n"/>
    </row>
    <row r="1092">
      <c r="B1092" s="5" t="inlineStr">
        <is>
          <t>合計在庫(週末時点,kg)</t>
        </is>
      </c>
      <c r="D1092">
        <f>'Grid_Stock'!B46</f>
        <v/>
      </c>
      <c r="E1092">
        <f>'Grid_Stock'!C46</f>
        <v/>
      </c>
      <c r="F1092">
        <f>'Grid_Stock'!D46</f>
        <v/>
      </c>
      <c r="G1092">
        <f>'Grid_Stock'!E46</f>
        <v/>
      </c>
      <c r="H1092">
        <f>'Grid_Stock'!F46</f>
        <v/>
      </c>
      <c r="I1092">
        <f>'Grid_Stock'!G46</f>
        <v/>
      </c>
      <c r="J1092">
        <f>'Grid_Stock'!H46</f>
        <v/>
      </c>
      <c r="K1092">
        <f>'Grid_Stock'!I46</f>
        <v/>
      </c>
      <c r="L1092">
        <f>'Grid_Stock'!J46</f>
        <v/>
      </c>
      <c r="M1092">
        <f>'Grid_Stock'!K46</f>
        <v/>
      </c>
      <c r="N1092">
        <f>'Grid_Stock'!L46</f>
        <v/>
      </c>
      <c r="O1092">
        <f>'Grid_Stock'!M46</f>
        <v/>
      </c>
      <c r="P1092">
        <f>'Grid_Stock'!N46</f>
        <v/>
      </c>
      <c r="Q1092">
        <f>'Grid_Stock'!O46</f>
        <v/>
      </c>
      <c r="R1092">
        <f>'Grid_Stock'!P46</f>
        <v/>
      </c>
      <c r="S1092">
        <f>'Grid_Stock'!Q46</f>
        <v/>
      </c>
      <c r="T1092">
        <f>'Grid_Stock'!R46</f>
        <v/>
      </c>
      <c r="U1092">
        <f>'Grid_Stock'!S46</f>
        <v/>
      </c>
      <c r="V1092">
        <f>'Grid_Stock'!T46</f>
        <v/>
      </c>
      <c r="W1092">
        <f>'Grid_Stock'!U46</f>
        <v/>
      </c>
      <c r="X1092">
        <f>'Grid_Stock'!V46</f>
        <v/>
      </c>
      <c r="Y1092">
        <f>'Grid_Stock'!W46</f>
        <v/>
      </c>
      <c r="Z1092">
        <f>'Grid_Stock'!X46</f>
        <v/>
      </c>
      <c r="AA1092">
        <f>'Grid_Stock'!Y46</f>
        <v/>
      </c>
      <c r="AB1092">
        <f>'Grid_Stock'!Z46</f>
        <v/>
      </c>
      <c r="AC1092">
        <f>'Grid_Stock'!AA46</f>
        <v/>
      </c>
      <c r="AD1092">
        <f>'Grid_Stock'!AB46</f>
        <v/>
      </c>
      <c r="AE1092">
        <f>'Grid_Stock'!AC46</f>
        <v/>
      </c>
      <c r="AF1092">
        <f>'Grid_Stock'!AD46</f>
        <v/>
      </c>
      <c r="AG1092">
        <f>'Grid_Stock'!AE46</f>
        <v/>
      </c>
      <c r="AH1092">
        <f>'Grid_Stock'!AF46</f>
        <v/>
      </c>
      <c r="AI1092">
        <f>'Grid_Stock'!AG46</f>
        <v/>
      </c>
      <c r="AJ1092">
        <f>'Grid_Stock'!AH46</f>
        <v/>
      </c>
      <c r="AK1092">
        <f>'Grid_Stock'!AI46</f>
        <v/>
      </c>
      <c r="AL1092">
        <f>'Grid_Stock'!AJ46</f>
        <v/>
      </c>
      <c r="AM1092">
        <f>'Grid_Stock'!AK46</f>
        <v/>
      </c>
      <c r="AN1092">
        <f>'Grid_Stock'!AL46</f>
        <v/>
      </c>
      <c r="AO1092">
        <f>'Grid_Stock'!AM46</f>
        <v/>
      </c>
      <c r="AP1092">
        <f>'Grid_Stock'!AN46</f>
        <v/>
      </c>
      <c r="AQ1092">
        <f>'Grid_Stock'!AO46</f>
        <v/>
      </c>
      <c r="AR1092">
        <f>'Grid_Stock'!AP46</f>
        <v/>
      </c>
      <c r="AS1092">
        <f>'Grid_Stock'!AQ46</f>
        <v/>
      </c>
      <c r="AT1092">
        <f>'Grid_Stock'!AR46</f>
        <v/>
      </c>
      <c r="AU1092">
        <f>'Grid_Stock'!AS46</f>
        <v/>
      </c>
      <c r="AV1092">
        <f>'Grid_Stock'!AT46</f>
        <v/>
      </c>
      <c r="AW1092">
        <f>'Grid_Stock'!AU46</f>
        <v/>
      </c>
      <c r="AX1092">
        <f>'Grid_Stock'!AV46</f>
        <v/>
      </c>
      <c r="AY1092">
        <f>'Grid_Stock'!AW46</f>
        <v/>
      </c>
      <c r="AZ1092">
        <f>'Grid_Stock'!AX46</f>
        <v/>
      </c>
      <c r="BA1092">
        <f>'Grid_Stock'!AY46</f>
        <v/>
      </c>
      <c r="BB1092">
        <f>'Grid_Stock'!AZ46</f>
        <v/>
      </c>
      <c r="BC1092">
        <f>'Grid_Stock'!BA46</f>
        <v/>
      </c>
      <c r="BD1092">
        <f>'Grid_Stock'!BB46</f>
        <v/>
      </c>
      <c r="BE1092">
        <f>'Grid_Stock'!BC46</f>
        <v/>
      </c>
      <c r="BF1092">
        <f>'Grid_Stock'!BD46</f>
        <v/>
      </c>
      <c r="BG1092">
        <f>'Grid_Stock'!BE46</f>
        <v/>
      </c>
      <c r="BH1092">
        <f>'Grid_Stock'!BF46</f>
        <v/>
      </c>
      <c r="BI1092">
        <f>'Grid_Stock'!BG46</f>
        <v/>
      </c>
      <c r="BJ1092">
        <f>'Grid_Stock'!BH46</f>
        <v/>
      </c>
      <c r="BK1092">
        <f>'Grid_Stock'!BI46</f>
        <v/>
      </c>
      <c r="BL1092">
        <f>'Grid_Stock'!BJ46</f>
        <v/>
      </c>
      <c r="BM1092">
        <f>'Grid_Stock'!BK46</f>
        <v/>
      </c>
      <c r="BN1092">
        <f>'Grid_Stock'!BL46</f>
        <v/>
      </c>
      <c r="BO1092">
        <f>'Grid_Stock'!BM46</f>
        <v/>
      </c>
      <c r="BP1092">
        <f>'Grid_Stock'!BN46</f>
        <v/>
      </c>
      <c r="BQ1092">
        <f>'Grid_Stock'!BO46</f>
        <v/>
      </c>
      <c r="BR1092">
        <f>'Grid_Stock'!BP46</f>
        <v/>
      </c>
      <c r="BS1092">
        <f>'Grid_Stock'!BQ46</f>
        <v/>
      </c>
      <c r="BT1092">
        <f>'Grid_Stock'!BR46</f>
        <v/>
      </c>
      <c r="BU1092">
        <f>'Grid_Stock'!BS46</f>
        <v/>
      </c>
      <c r="BV1092">
        <f>'Grid_Stock'!BT46</f>
        <v/>
      </c>
      <c r="BW1092">
        <f>'Grid_Stock'!BU46</f>
        <v/>
      </c>
      <c r="BX1092">
        <f>'Grid_Stock'!BV46</f>
        <v/>
      </c>
      <c r="BY1092">
        <f>'Grid_Stock'!BW46</f>
        <v/>
      </c>
      <c r="BZ1092">
        <f>'Grid_Stock'!BX46</f>
        <v/>
      </c>
      <c r="CA1092">
        <f>'Grid_Stock'!BY46</f>
        <v/>
      </c>
      <c r="CB1092">
        <f>'Grid_Stock'!BZ46</f>
        <v/>
      </c>
      <c r="CC1092">
        <f>'Grid_Stock'!CA46</f>
        <v/>
      </c>
      <c r="CD1092">
        <f>'Grid_Stock'!CB46</f>
        <v/>
      </c>
      <c r="CE1092">
        <f>'Grid_Stock'!CC46</f>
        <v/>
      </c>
      <c r="CF1092">
        <f>'Grid_Stock'!CD46</f>
        <v/>
      </c>
      <c r="CG1092">
        <f>'Grid_Stock'!CE46</f>
        <v/>
      </c>
      <c r="CH1092">
        <f>'Grid_Stock'!CF46</f>
        <v/>
      </c>
      <c r="CI1092">
        <f>'Grid_Stock'!CG46</f>
        <v/>
      </c>
      <c r="CJ1092">
        <f>'Grid_Stock'!CH46</f>
        <v/>
      </c>
      <c r="CK1092">
        <f>'Grid_Stock'!CI46</f>
        <v/>
      </c>
      <c r="CL1092">
        <f>'Grid_Stock'!CJ46</f>
        <v/>
      </c>
      <c r="CM1092">
        <f>'Grid_Stock'!CK46</f>
        <v/>
      </c>
      <c r="CN1092">
        <f>'Grid_Stock'!CL46</f>
        <v/>
      </c>
      <c r="CO1092">
        <f>'Grid_Stock'!CM46</f>
        <v/>
      </c>
      <c r="CP1092">
        <f>'Grid_Stock'!CN46</f>
        <v/>
      </c>
      <c r="CQ1092">
        <f>'Grid_Stock'!CO46</f>
        <v/>
      </c>
      <c r="CR1092">
        <f>'Grid_Stock'!CP46</f>
        <v/>
      </c>
      <c r="CS1092">
        <f>'Grid_Stock'!CQ46</f>
        <v/>
      </c>
      <c r="CT1092">
        <f>'Grid_Stock'!CR46</f>
        <v/>
      </c>
      <c r="CU1092">
        <f>'Grid_Stock'!CS46</f>
        <v/>
      </c>
      <c r="CV1092">
        <f>'Grid_Stock'!CT46</f>
        <v/>
      </c>
      <c r="CW1092">
        <f>'Grid_Stock'!CU46</f>
        <v/>
      </c>
      <c r="CX1092">
        <f>'Grid_Stock'!CV46</f>
        <v/>
      </c>
      <c r="CY1092">
        <f>'Grid_Stock'!CW46</f>
        <v/>
      </c>
      <c r="CZ1092">
        <f>'Grid_Stock'!CX46</f>
        <v/>
      </c>
      <c r="DA1092">
        <f>'Grid_Stock'!CY46</f>
        <v/>
      </c>
      <c r="DB1092">
        <f>'Grid_Stock'!CZ46</f>
        <v/>
      </c>
      <c r="DC1092">
        <f>'Grid_Stock'!DA46</f>
        <v/>
      </c>
    </row>
    <row r="1093">
      <c r="B1093" s="26" t="inlineStr">
        <is>
          <t>（発注の目安はDashboardの基準在庫[下限/上限]と色分けを参照）</t>
        </is>
      </c>
    </row>
    <row r="1095">
      <c r="A1095" s="21" t="inlineStr">
        <is>
          <t>CHEM-1430</t>
        </is>
      </c>
      <c r="B1095" s="21" t="inlineStr">
        <is>
          <t>RCT22</t>
        </is>
      </c>
      <c r="C1095" s="22" t="n"/>
      <c r="D1095" s="21" t="n"/>
      <c r="E1095" s="21" t="n"/>
      <c r="F1095" s="21" t="n"/>
      <c r="G1095" s="21" t="n"/>
      <c r="H1095" s="21" t="n"/>
      <c r="I1095" s="21" t="n"/>
      <c r="J1095" s="21" t="n"/>
      <c r="K1095" s="21" t="n"/>
      <c r="L1095" s="21" t="n"/>
      <c r="M1095" s="21" t="n"/>
      <c r="N1095" s="21" t="n"/>
      <c r="O1095" s="21" t="n"/>
      <c r="P1095" s="21" t="n"/>
      <c r="Q1095" s="21" t="n"/>
      <c r="R1095" s="21" t="n"/>
      <c r="S1095" s="21" t="n"/>
      <c r="T1095" s="21" t="n"/>
      <c r="U1095" s="21" t="n"/>
      <c r="V1095" s="21" t="n"/>
      <c r="W1095" s="21" t="n"/>
      <c r="X1095" s="21" t="n"/>
      <c r="Y1095" s="21" t="n"/>
      <c r="Z1095" s="21" t="n"/>
      <c r="AA1095" s="21" t="n"/>
      <c r="AB1095" s="21" t="n"/>
      <c r="AC1095" s="21" t="n"/>
      <c r="AD1095" s="21" t="n"/>
      <c r="AE1095" s="21" t="n"/>
      <c r="AF1095" s="21" t="n"/>
      <c r="AG1095" s="21" t="n"/>
      <c r="AH1095" s="21" t="n"/>
      <c r="AI1095" s="21" t="n"/>
      <c r="AJ1095" s="21" t="n"/>
      <c r="AK1095" s="21" t="n"/>
      <c r="AL1095" s="21" t="n"/>
      <c r="AM1095" s="21" t="n"/>
      <c r="AN1095" s="21" t="n"/>
      <c r="AO1095" s="21" t="n"/>
      <c r="AP1095" s="21" t="n"/>
      <c r="AQ1095" s="21" t="n"/>
      <c r="AR1095" s="21" t="n"/>
      <c r="AS1095" s="21" t="n"/>
      <c r="AT1095" s="21" t="n"/>
      <c r="AU1095" s="21" t="n"/>
      <c r="AV1095" s="21" t="n"/>
      <c r="AW1095" s="21" t="n"/>
      <c r="AX1095" s="21" t="n"/>
      <c r="AY1095" s="21" t="n"/>
      <c r="AZ1095" s="21" t="n"/>
      <c r="BA1095" s="21" t="n"/>
      <c r="BB1095" s="21" t="n"/>
      <c r="BC1095" s="21" t="n"/>
      <c r="BD1095" s="21" t="n"/>
      <c r="BE1095" s="21" t="n"/>
      <c r="BF1095" s="21" t="n"/>
      <c r="BG1095" s="21" t="n"/>
      <c r="BH1095" s="21" t="n"/>
      <c r="BI1095" s="21" t="n"/>
      <c r="BJ1095" s="21" t="n"/>
      <c r="BK1095" s="21" t="n"/>
      <c r="BL1095" s="21" t="n"/>
      <c r="BM1095" s="21" t="n"/>
      <c r="BN1095" s="21" t="n"/>
      <c r="BO1095" s="21" t="n"/>
      <c r="BP1095" s="21" t="n"/>
      <c r="BQ1095" s="21" t="n"/>
      <c r="BR1095" s="21" t="n"/>
      <c r="BS1095" s="21" t="n"/>
      <c r="BT1095" s="21" t="n"/>
      <c r="BU1095" s="21" t="n"/>
      <c r="BV1095" s="21" t="n"/>
      <c r="BW1095" s="21" t="n"/>
      <c r="BX1095" s="21" t="n"/>
      <c r="BY1095" s="21" t="n"/>
      <c r="BZ1095" s="21" t="n"/>
      <c r="CA1095" s="21" t="n"/>
      <c r="CB1095" s="21" t="n"/>
      <c r="CC1095" s="21" t="n"/>
      <c r="CD1095" s="21" t="n"/>
      <c r="CE1095" s="21" t="n"/>
      <c r="CF1095" s="21" t="n"/>
      <c r="CG1095" s="21" t="n"/>
      <c r="CH1095" s="21" t="n"/>
      <c r="CI1095" s="21" t="n"/>
      <c r="CJ1095" s="21" t="n"/>
      <c r="CK1095" s="21" t="n"/>
      <c r="CL1095" s="21" t="n"/>
      <c r="CM1095" s="21" t="n"/>
      <c r="CN1095" s="21" t="n"/>
      <c r="CO1095" s="21" t="n"/>
      <c r="CP1095" s="21" t="n"/>
      <c r="CQ1095" s="21" t="n"/>
      <c r="CR1095" s="21" t="n"/>
      <c r="CS1095" s="21" t="n"/>
      <c r="CT1095" s="21" t="n"/>
      <c r="CU1095" s="21" t="n"/>
      <c r="CV1095" s="21" t="n"/>
      <c r="CW1095" s="21" t="n"/>
      <c r="CX1095" s="21" t="n"/>
      <c r="CY1095" s="21" t="n"/>
      <c r="CZ1095" s="21" t="n"/>
      <c r="DA1095" s="21" t="n"/>
      <c r="DB1095" s="21" t="n"/>
      <c r="DC1095" s="21" t="n"/>
    </row>
    <row r="1096">
      <c r="B1096" t="inlineStr">
        <is>
          <t>TSP-050</t>
        </is>
      </c>
      <c r="C1096" t="inlineStr">
        <is>
          <t>No. of batches</t>
        </is>
      </c>
      <c r="D1096">
        <f>IFERROR(INDEX(PP_Grid[#Data],$DD1096,2),0)</f>
        <v/>
      </c>
      <c r="E1096">
        <f>IFERROR(INDEX(PP_Grid[#Data],$DD1096,3),0)</f>
        <v/>
      </c>
      <c r="F1096">
        <f>IFERROR(INDEX(PP_Grid[#Data],$DD1096,4),0)</f>
        <v/>
      </c>
      <c r="G1096">
        <f>IFERROR(INDEX(PP_Grid[#Data],$DD1096,5),0)</f>
        <v/>
      </c>
      <c r="H1096">
        <f>IFERROR(INDEX(PP_Grid[#Data],$DD1096,6),0)</f>
        <v/>
      </c>
      <c r="I1096">
        <f>IFERROR(INDEX(PP_Grid[#Data],$DD1096,7),0)</f>
        <v/>
      </c>
      <c r="J1096">
        <f>IFERROR(INDEX(PP_Grid[#Data],$DD1096,8),0)</f>
        <v/>
      </c>
      <c r="K1096">
        <f>IFERROR(INDEX(PP_Grid[#Data],$DD1096,9),0)</f>
        <v/>
      </c>
      <c r="L1096">
        <f>IFERROR(INDEX(PP_Grid[#Data],$DD1096,10),0)</f>
        <v/>
      </c>
      <c r="M1096">
        <f>IFERROR(INDEX(PP_Grid[#Data],$DD1096,11),0)</f>
        <v/>
      </c>
      <c r="N1096">
        <f>IFERROR(INDEX(PP_Grid[#Data],$DD1096,12),0)</f>
        <v/>
      </c>
      <c r="O1096">
        <f>IFERROR(INDEX(PP_Grid[#Data],$DD1096,13),0)</f>
        <v/>
      </c>
      <c r="P1096">
        <f>IFERROR(INDEX(PP_Grid[#Data],$DD1096,14),0)</f>
        <v/>
      </c>
      <c r="Q1096">
        <f>IFERROR(INDEX(PP_Grid[#Data],$DD1096,15),0)</f>
        <v/>
      </c>
      <c r="R1096">
        <f>IFERROR(INDEX(PP_Grid[#Data],$DD1096,16),0)</f>
        <v/>
      </c>
      <c r="S1096">
        <f>IFERROR(INDEX(PP_Grid[#Data],$DD1096,17),0)</f>
        <v/>
      </c>
      <c r="T1096">
        <f>IFERROR(INDEX(PP_Grid[#Data],$DD1096,18),0)</f>
        <v/>
      </c>
      <c r="U1096">
        <f>IFERROR(INDEX(PP_Grid[#Data],$DD1096,19),0)</f>
        <v/>
      </c>
      <c r="V1096">
        <f>IFERROR(INDEX(PP_Grid[#Data],$DD1096,20),0)</f>
        <v/>
      </c>
      <c r="W1096">
        <f>IFERROR(INDEX(PP_Grid[#Data],$DD1096,21),0)</f>
        <v/>
      </c>
      <c r="X1096">
        <f>IFERROR(INDEX(PP_Grid[#Data],$DD1096,22),0)</f>
        <v/>
      </c>
      <c r="Y1096">
        <f>IFERROR(INDEX(PP_Grid[#Data],$DD1096,23),0)</f>
        <v/>
      </c>
      <c r="Z1096">
        <f>IFERROR(INDEX(PP_Grid[#Data],$DD1096,24),0)</f>
        <v/>
      </c>
      <c r="AA1096">
        <f>IFERROR(INDEX(PP_Grid[#Data],$DD1096,25),0)</f>
        <v/>
      </c>
      <c r="AB1096">
        <f>IFERROR(INDEX(PP_Grid[#Data],$DD1096,26),0)</f>
        <v/>
      </c>
      <c r="AC1096">
        <f>IFERROR(INDEX(PP_Grid[#Data],$DD1096,27),0)</f>
        <v/>
      </c>
      <c r="AD1096">
        <f>IFERROR(INDEX(PP_Grid[#Data],$DD1096,28),0)</f>
        <v/>
      </c>
      <c r="AE1096">
        <f>IFERROR(INDEX(PP_Grid[#Data],$DD1096,29),0)</f>
        <v/>
      </c>
      <c r="AF1096">
        <f>IFERROR(INDEX(PP_Grid[#Data],$DD1096,30),0)</f>
        <v/>
      </c>
      <c r="AG1096">
        <f>IFERROR(INDEX(PP_Grid[#Data],$DD1096,31),0)</f>
        <v/>
      </c>
      <c r="AH1096">
        <f>IFERROR(INDEX(PP_Grid[#Data],$DD1096,32),0)</f>
        <v/>
      </c>
      <c r="AI1096">
        <f>IFERROR(INDEX(PP_Grid[#Data],$DD1096,33),0)</f>
        <v/>
      </c>
      <c r="AJ1096">
        <f>IFERROR(INDEX(PP_Grid[#Data],$DD1096,34),0)</f>
        <v/>
      </c>
      <c r="AK1096">
        <f>IFERROR(INDEX(PP_Grid[#Data],$DD1096,35),0)</f>
        <v/>
      </c>
      <c r="AL1096">
        <f>IFERROR(INDEX(PP_Grid[#Data],$DD1096,36),0)</f>
        <v/>
      </c>
      <c r="AM1096">
        <f>IFERROR(INDEX(PP_Grid[#Data],$DD1096,37),0)</f>
        <v/>
      </c>
      <c r="AN1096">
        <f>IFERROR(INDEX(PP_Grid[#Data],$DD1096,38),0)</f>
        <v/>
      </c>
      <c r="AO1096">
        <f>IFERROR(INDEX(PP_Grid[#Data],$DD1096,39),0)</f>
        <v/>
      </c>
      <c r="AP1096">
        <f>IFERROR(INDEX(PP_Grid[#Data],$DD1096,40),0)</f>
        <v/>
      </c>
      <c r="AQ1096">
        <f>IFERROR(INDEX(PP_Grid[#Data],$DD1096,41),0)</f>
        <v/>
      </c>
      <c r="AR1096">
        <f>IFERROR(INDEX(PP_Grid[#Data],$DD1096,42),0)</f>
        <v/>
      </c>
      <c r="AS1096">
        <f>IFERROR(INDEX(PP_Grid[#Data],$DD1096,43),0)</f>
        <v/>
      </c>
      <c r="AT1096">
        <f>IFERROR(INDEX(PP_Grid[#Data],$DD1096,44),0)</f>
        <v/>
      </c>
      <c r="AU1096">
        <f>IFERROR(INDEX(PP_Grid[#Data],$DD1096,45),0)</f>
        <v/>
      </c>
      <c r="AV1096">
        <f>IFERROR(INDEX(PP_Grid[#Data],$DD1096,46),0)</f>
        <v/>
      </c>
      <c r="AW1096">
        <f>IFERROR(INDEX(PP_Grid[#Data],$DD1096,47),0)</f>
        <v/>
      </c>
      <c r="AX1096">
        <f>IFERROR(INDEX(PP_Grid[#Data],$DD1096,48),0)</f>
        <v/>
      </c>
      <c r="AY1096">
        <f>IFERROR(INDEX(PP_Grid[#Data],$DD1096,49),0)</f>
        <v/>
      </c>
      <c r="AZ1096">
        <f>IFERROR(INDEX(PP_Grid[#Data],$DD1096,50),0)</f>
        <v/>
      </c>
      <c r="BA1096">
        <f>IFERROR(INDEX(PP_Grid[#Data],$DD1096,51),0)</f>
        <v/>
      </c>
      <c r="BB1096">
        <f>IFERROR(INDEX(PP_Grid[#Data],$DD1096,52),0)</f>
        <v/>
      </c>
      <c r="BC1096">
        <f>IFERROR(INDEX(PP_Grid[#Data],$DD1096,53),0)</f>
        <v/>
      </c>
      <c r="BD1096">
        <f>IFERROR(INDEX(PP_Grid[#Data],$DD1096,54),0)</f>
        <v/>
      </c>
      <c r="BE1096">
        <f>IFERROR(INDEX(PP_Grid[#Data],$DD1096,55),0)</f>
        <v/>
      </c>
      <c r="BF1096">
        <f>IFERROR(INDEX(PP_Grid[#Data],$DD1096,56),0)</f>
        <v/>
      </c>
      <c r="BG1096">
        <f>IFERROR(INDEX(PP_Grid[#Data],$DD1096,57),0)</f>
        <v/>
      </c>
      <c r="BH1096">
        <f>IFERROR(INDEX(PP_Grid[#Data],$DD1096,58),0)</f>
        <v/>
      </c>
      <c r="BI1096">
        <f>IFERROR(INDEX(PP_Grid[#Data],$DD1096,59),0)</f>
        <v/>
      </c>
      <c r="BJ1096">
        <f>IFERROR(INDEX(PP_Grid[#Data],$DD1096,60),0)</f>
        <v/>
      </c>
      <c r="BK1096">
        <f>IFERROR(INDEX(PP_Grid[#Data],$DD1096,61),0)</f>
        <v/>
      </c>
      <c r="BL1096">
        <f>IFERROR(INDEX(PP_Grid[#Data],$DD1096,62),0)</f>
        <v/>
      </c>
      <c r="BM1096">
        <f>IFERROR(INDEX(PP_Grid[#Data],$DD1096,63),0)</f>
        <v/>
      </c>
      <c r="BN1096">
        <f>IFERROR(INDEX(PP_Grid[#Data],$DD1096,64),0)</f>
        <v/>
      </c>
      <c r="BO1096">
        <f>IFERROR(INDEX(PP_Grid[#Data],$DD1096,65),0)</f>
        <v/>
      </c>
      <c r="BP1096">
        <f>IFERROR(INDEX(PP_Grid[#Data],$DD1096,66),0)</f>
        <v/>
      </c>
      <c r="BQ1096">
        <f>IFERROR(INDEX(PP_Grid[#Data],$DD1096,67),0)</f>
        <v/>
      </c>
      <c r="BR1096">
        <f>IFERROR(INDEX(PP_Grid[#Data],$DD1096,68),0)</f>
        <v/>
      </c>
      <c r="BS1096">
        <f>IFERROR(INDEX(PP_Grid[#Data],$DD1096,69),0)</f>
        <v/>
      </c>
      <c r="BT1096">
        <f>IFERROR(INDEX(PP_Grid[#Data],$DD1096,70),0)</f>
        <v/>
      </c>
      <c r="BU1096">
        <f>IFERROR(INDEX(PP_Grid[#Data],$DD1096,71),0)</f>
        <v/>
      </c>
      <c r="BV1096">
        <f>IFERROR(INDEX(PP_Grid[#Data],$DD1096,72),0)</f>
        <v/>
      </c>
      <c r="BW1096">
        <f>IFERROR(INDEX(PP_Grid[#Data],$DD1096,73),0)</f>
        <v/>
      </c>
      <c r="BX1096">
        <f>IFERROR(INDEX(PP_Grid[#Data],$DD1096,74),0)</f>
        <v/>
      </c>
      <c r="BY1096">
        <f>IFERROR(INDEX(PP_Grid[#Data],$DD1096,75),0)</f>
        <v/>
      </c>
      <c r="BZ1096">
        <f>IFERROR(INDEX(PP_Grid[#Data],$DD1096,76),0)</f>
        <v/>
      </c>
      <c r="CA1096">
        <f>IFERROR(INDEX(PP_Grid[#Data],$DD1096,77),0)</f>
        <v/>
      </c>
      <c r="CB1096">
        <f>IFERROR(INDEX(PP_Grid[#Data],$DD1096,78),0)</f>
        <v/>
      </c>
      <c r="CC1096">
        <f>IFERROR(INDEX(PP_Grid[#Data],$DD1096,79),0)</f>
        <v/>
      </c>
      <c r="CD1096">
        <f>IFERROR(INDEX(PP_Grid[#Data],$DD1096,80),0)</f>
        <v/>
      </c>
      <c r="CE1096">
        <f>IFERROR(INDEX(PP_Grid[#Data],$DD1096,81),0)</f>
        <v/>
      </c>
      <c r="CF1096">
        <f>IFERROR(INDEX(PP_Grid[#Data],$DD1096,82),0)</f>
        <v/>
      </c>
      <c r="CG1096">
        <f>IFERROR(INDEX(PP_Grid[#Data],$DD1096,83),0)</f>
        <v/>
      </c>
      <c r="CH1096">
        <f>IFERROR(INDEX(PP_Grid[#Data],$DD1096,84),0)</f>
        <v/>
      </c>
      <c r="CI1096">
        <f>IFERROR(INDEX(PP_Grid[#Data],$DD1096,85),0)</f>
        <v/>
      </c>
      <c r="CJ1096">
        <f>IFERROR(INDEX(PP_Grid[#Data],$DD1096,86),0)</f>
        <v/>
      </c>
      <c r="CK1096">
        <f>IFERROR(INDEX(PP_Grid[#Data],$DD1096,87),0)</f>
        <v/>
      </c>
      <c r="CL1096">
        <f>IFERROR(INDEX(PP_Grid[#Data],$DD1096,88),0)</f>
        <v/>
      </c>
      <c r="CM1096">
        <f>IFERROR(INDEX(PP_Grid[#Data],$DD1096,89),0)</f>
        <v/>
      </c>
      <c r="CN1096">
        <f>IFERROR(INDEX(PP_Grid[#Data],$DD1096,90),0)</f>
        <v/>
      </c>
      <c r="CO1096">
        <f>IFERROR(INDEX(PP_Grid[#Data],$DD1096,91),0)</f>
        <v/>
      </c>
      <c r="CP1096">
        <f>IFERROR(INDEX(PP_Grid[#Data],$DD1096,92),0)</f>
        <v/>
      </c>
      <c r="CQ1096">
        <f>IFERROR(INDEX(PP_Grid[#Data],$DD1096,93),0)</f>
        <v/>
      </c>
      <c r="CR1096">
        <f>IFERROR(INDEX(PP_Grid[#Data],$DD1096,94),0)</f>
        <v/>
      </c>
      <c r="CS1096">
        <f>IFERROR(INDEX(PP_Grid[#Data],$DD1096,95),0)</f>
        <v/>
      </c>
      <c r="CT1096">
        <f>IFERROR(INDEX(PP_Grid[#Data],$DD1096,96),0)</f>
        <v/>
      </c>
      <c r="CU1096">
        <f>IFERROR(INDEX(PP_Grid[#Data],$DD1096,97),0)</f>
        <v/>
      </c>
      <c r="CV1096">
        <f>IFERROR(INDEX(PP_Grid[#Data],$DD1096,98),0)</f>
        <v/>
      </c>
      <c r="CW1096">
        <f>IFERROR(INDEX(PP_Grid[#Data],$DD1096,99),0)</f>
        <v/>
      </c>
      <c r="CX1096">
        <f>IFERROR(INDEX(PP_Grid[#Data],$DD1096,100),0)</f>
        <v/>
      </c>
      <c r="CY1096">
        <f>IFERROR(INDEX(PP_Grid[#Data],$DD1096,101),0)</f>
        <v/>
      </c>
      <c r="CZ1096">
        <f>IFERROR(INDEX(PP_Grid[#Data],$DD1096,102),0)</f>
        <v/>
      </c>
      <c r="DA1096">
        <f>IFERROR(INDEX(PP_Grid[#Data],$DD1096,103),0)</f>
        <v/>
      </c>
      <c r="DB1096">
        <f>IFERROR(INDEX(PP_Grid[#Data],$DD1096,104),0)</f>
        <v/>
      </c>
      <c r="DC1096">
        <f>IFERROR(INDEX(PP_Grid[#Data],$DD1096,105),0)</f>
        <v/>
      </c>
      <c r="DD1096" s="12">
        <f>IFERROR(MATCH($B1096,PP_Grid[Intermediate],0),99999)</f>
        <v/>
      </c>
    </row>
    <row r="1097">
      <c r="B1097" t="inlineStr">
        <is>
          <t>使用量(kg)</t>
        </is>
      </c>
      <c r="C1097">
        <f>SUMIFS(M_BOM[RM_Qty_Per_Batch],M_BOM[Intermediate],$B1096,M_BOM[Part Name],$A1095)</f>
        <v/>
      </c>
      <c r="D1097">
        <f>$C1097*D1096</f>
        <v/>
      </c>
      <c r="E1097">
        <f>$C1097*E1096</f>
        <v/>
      </c>
      <c r="F1097">
        <f>$C1097*F1096</f>
        <v/>
      </c>
      <c r="G1097">
        <f>$C1097*G1096</f>
        <v/>
      </c>
      <c r="H1097">
        <f>$C1097*H1096</f>
        <v/>
      </c>
      <c r="I1097">
        <f>$C1097*I1096</f>
        <v/>
      </c>
      <c r="J1097">
        <f>$C1097*J1096</f>
        <v/>
      </c>
      <c r="K1097">
        <f>$C1097*K1096</f>
        <v/>
      </c>
      <c r="L1097">
        <f>$C1097*L1096</f>
        <v/>
      </c>
      <c r="M1097">
        <f>$C1097*M1096</f>
        <v/>
      </c>
      <c r="N1097">
        <f>$C1097*N1096</f>
        <v/>
      </c>
      <c r="O1097">
        <f>$C1097*O1096</f>
        <v/>
      </c>
      <c r="P1097">
        <f>$C1097*P1096</f>
        <v/>
      </c>
      <c r="Q1097">
        <f>$C1097*Q1096</f>
        <v/>
      </c>
      <c r="R1097">
        <f>$C1097*R1096</f>
        <v/>
      </c>
      <c r="S1097">
        <f>$C1097*S1096</f>
        <v/>
      </c>
      <c r="T1097">
        <f>$C1097*T1096</f>
        <v/>
      </c>
      <c r="U1097">
        <f>$C1097*U1096</f>
        <v/>
      </c>
      <c r="V1097">
        <f>$C1097*V1096</f>
        <v/>
      </c>
      <c r="W1097">
        <f>$C1097*W1096</f>
        <v/>
      </c>
      <c r="X1097">
        <f>$C1097*X1096</f>
        <v/>
      </c>
      <c r="Y1097">
        <f>$C1097*Y1096</f>
        <v/>
      </c>
      <c r="Z1097">
        <f>$C1097*Z1096</f>
        <v/>
      </c>
      <c r="AA1097">
        <f>$C1097*AA1096</f>
        <v/>
      </c>
      <c r="AB1097">
        <f>$C1097*AB1096</f>
        <v/>
      </c>
      <c r="AC1097">
        <f>$C1097*AC1096</f>
        <v/>
      </c>
      <c r="AD1097">
        <f>$C1097*AD1096</f>
        <v/>
      </c>
      <c r="AE1097">
        <f>$C1097*AE1096</f>
        <v/>
      </c>
      <c r="AF1097">
        <f>$C1097*AF1096</f>
        <v/>
      </c>
      <c r="AG1097">
        <f>$C1097*AG1096</f>
        <v/>
      </c>
      <c r="AH1097">
        <f>$C1097*AH1096</f>
        <v/>
      </c>
      <c r="AI1097">
        <f>$C1097*AI1096</f>
        <v/>
      </c>
      <c r="AJ1097">
        <f>$C1097*AJ1096</f>
        <v/>
      </c>
      <c r="AK1097">
        <f>$C1097*AK1096</f>
        <v/>
      </c>
      <c r="AL1097">
        <f>$C1097*AL1096</f>
        <v/>
      </c>
      <c r="AM1097">
        <f>$C1097*AM1096</f>
        <v/>
      </c>
      <c r="AN1097">
        <f>$C1097*AN1096</f>
        <v/>
      </c>
      <c r="AO1097">
        <f>$C1097*AO1096</f>
        <v/>
      </c>
      <c r="AP1097">
        <f>$C1097*AP1096</f>
        <v/>
      </c>
      <c r="AQ1097">
        <f>$C1097*AQ1096</f>
        <v/>
      </c>
      <c r="AR1097">
        <f>$C1097*AR1096</f>
        <v/>
      </c>
      <c r="AS1097">
        <f>$C1097*AS1096</f>
        <v/>
      </c>
      <c r="AT1097">
        <f>$C1097*AT1096</f>
        <v/>
      </c>
      <c r="AU1097">
        <f>$C1097*AU1096</f>
        <v/>
      </c>
      <c r="AV1097">
        <f>$C1097*AV1096</f>
        <v/>
      </c>
      <c r="AW1097">
        <f>$C1097*AW1096</f>
        <v/>
      </c>
      <c r="AX1097">
        <f>$C1097*AX1096</f>
        <v/>
      </c>
      <c r="AY1097">
        <f>$C1097*AY1096</f>
        <v/>
      </c>
      <c r="AZ1097">
        <f>$C1097*AZ1096</f>
        <v/>
      </c>
      <c r="BA1097">
        <f>$C1097*BA1096</f>
        <v/>
      </c>
      <c r="BB1097">
        <f>$C1097*BB1096</f>
        <v/>
      </c>
      <c r="BC1097">
        <f>$C1097*BC1096</f>
        <v/>
      </c>
      <c r="BD1097">
        <f>$C1097*BD1096</f>
        <v/>
      </c>
      <c r="BE1097">
        <f>$C1097*BE1096</f>
        <v/>
      </c>
      <c r="BF1097">
        <f>$C1097*BF1096</f>
        <v/>
      </c>
      <c r="BG1097">
        <f>$C1097*BG1096</f>
        <v/>
      </c>
      <c r="BH1097">
        <f>$C1097*BH1096</f>
        <v/>
      </c>
      <c r="BI1097">
        <f>$C1097*BI1096</f>
        <v/>
      </c>
      <c r="BJ1097">
        <f>$C1097*BJ1096</f>
        <v/>
      </c>
      <c r="BK1097">
        <f>$C1097*BK1096</f>
        <v/>
      </c>
      <c r="BL1097">
        <f>$C1097*BL1096</f>
        <v/>
      </c>
      <c r="BM1097">
        <f>$C1097*BM1096</f>
        <v/>
      </c>
      <c r="BN1097">
        <f>$C1097*BN1096</f>
        <v/>
      </c>
      <c r="BO1097">
        <f>$C1097*BO1096</f>
        <v/>
      </c>
      <c r="BP1097">
        <f>$C1097*BP1096</f>
        <v/>
      </c>
      <c r="BQ1097">
        <f>$C1097*BQ1096</f>
        <v/>
      </c>
      <c r="BR1097">
        <f>$C1097*BR1096</f>
        <v/>
      </c>
      <c r="BS1097">
        <f>$C1097*BS1096</f>
        <v/>
      </c>
      <c r="BT1097">
        <f>$C1097*BT1096</f>
        <v/>
      </c>
      <c r="BU1097">
        <f>$C1097*BU1096</f>
        <v/>
      </c>
      <c r="BV1097">
        <f>$C1097*BV1096</f>
        <v/>
      </c>
      <c r="BW1097">
        <f>$C1097*BW1096</f>
        <v/>
      </c>
      <c r="BX1097">
        <f>$C1097*BX1096</f>
        <v/>
      </c>
      <c r="BY1097">
        <f>$C1097*BY1096</f>
        <v/>
      </c>
      <c r="BZ1097">
        <f>$C1097*BZ1096</f>
        <v/>
      </c>
      <c r="CA1097">
        <f>$C1097*CA1096</f>
        <v/>
      </c>
      <c r="CB1097">
        <f>$C1097*CB1096</f>
        <v/>
      </c>
      <c r="CC1097">
        <f>$C1097*CC1096</f>
        <v/>
      </c>
      <c r="CD1097">
        <f>$C1097*CD1096</f>
        <v/>
      </c>
      <c r="CE1097">
        <f>$C1097*CE1096</f>
        <v/>
      </c>
      <c r="CF1097">
        <f>$C1097*CF1096</f>
        <v/>
      </c>
      <c r="CG1097">
        <f>$C1097*CG1096</f>
        <v/>
      </c>
      <c r="CH1097">
        <f>$C1097*CH1096</f>
        <v/>
      </c>
      <c r="CI1097">
        <f>$C1097*CI1096</f>
        <v/>
      </c>
      <c r="CJ1097">
        <f>$C1097*CJ1096</f>
        <v/>
      </c>
      <c r="CK1097">
        <f>$C1097*CK1096</f>
        <v/>
      </c>
      <c r="CL1097">
        <f>$C1097*CL1096</f>
        <v/>
      </c>
      <c r="CM1097">
        <f>$C1097*CM1096</f>
        <v/>
      </c>
      <c r="CN1097">
        <f>$C1097*CN1096</f>
        <v/>
      </c>
      <c r="CO1097">
        <f>$C1097*CO1096</f>
        <v/>
      </c>
      <c r="CP1097">
        <f>$C1097*CP1096</f>
        <v/>
      </c>
      <c r="CQ1097">
        <f>$C1097*CQ1096</f>
        <v/>
      </c>
      <c r="CR1097">
        <f>$C1097*CR1096</f>
        <v/>
      </c>
      <c r="CS1097">
        <f>$C1097*CS1096</f>
        <v/>
      </c>
      <c r="CT1097">
        <f>$C1097*CT1096</f>
        <v/>
      </c>
      <c r="CU1097">
        <f>$C1097*CU1096</f>
        <v/>
      </c>
      <c r="CV1097">
        <f>$C1097*CV1096</f>
        <v/>
      </c>
      <c r="CW1097">
        <f>$C1097*CW1096</f>
        <v/>
      </c>
      <c r="CX1097">
        <f>$C1097*CX1096</f>
        <v/>
      </c>
      <c r="CY1097">
        <f>$C1097*CY1096</f>
        <v/>
      </c>
      <c r="CZ1097">
        <f>$C1097*CZ1096</f>
        <v/>
      </c>
      <c r="DA1097">
        <f>$C1097*DA1096</f>
        <v/>
      </c>
      <c r="DB1097">
        <f>$C1097*DB1096</f>
        <v/>
      </c>
      <c r="DC1097">
        <f>$C1097*DC1096</f>
        <v/>
      </c>
    </row>
    <row r="1098">
      <c r="B1098" t="inlineStr">
        <is>
          <t>TSP-078</t>
        </is>
      </c>
      <c r="C1098" t="inlineStr">
        <is>
          <t>No. of batches</t>
        </is>
      </c>
      <c r="D1098">
        <f>IFERROR(INDEX(PP_Grid[#Data],$DD1098,2),0)</f>
        <v/>
      </c>
      <c r="E1098">
        <f>IFERROR(INDEX(PP_Grid[#Data],$DD1098,3),0)</f>
        <v/>
      </c>
      <c r="F1098">
        <f>IFERROR(INDEX(PP_Grid[#Data],$DD1098,4),0)</f>
        <v/>
      </c>
      <c r="G1098">
        <f>IFERROR(INDEX(PP_Grid[#Data],$DD1098,5),0)</f>
        <v/>
      </c>
      <c r="H1098">
        <f>IFERROR(INDEX(PP_Grid[#Data],$DD1098,6),0)</f>
        <v/>
      </c>
      <c r="I1098">
        <f>IFERROR(INDEX(PP_Grid[#Data],$DD1098,7),0)</f>
        <v/>
      </c>
      <c r="J1098">
        <f>IFERROR(INDEX(PP_Grid[#Data],$DD1098,8),0)</f>
        <v/>
      </c>
      <c r="K1098">
        <f>IFERROR(INDEX(PP_Grid[#Data],$DD1098,9),0)</f>
        <v/>
      </c>
      <c r="L1098">
        <f>IFERROR(INDEX(PP_Grid[#Data],$DD1098,10),0)</f>
        <v/>
      </c>
      <c r="M1098">
        <f>IFERROR(INDEX(PP_Grid[#Data],$DD1098,11),0)</f>
        <v/>
      </c>
      <c r="N1098">
        <f>IFERROR(INDEX(PP_Grid[#Data],$DD1098,12),0)</f>
        <v/>
      </c>
      <c r="O1098">
        <f>IFERROR(INDEX(PP_Grid[#Data],$DD1098,13),0)</f>
        <v/>
      </c>
      <c r="P1098">
        <f>IFERROR(INDEX(PP_Grid[#Data],$DD1098,14),0)</f>
        <v/>
      </c>
      <c r="Q1098">
        <f>IFERROR(INDEX(PP_Grid[#Data],$DD1098,15),0)</f>
        <v/>
      </c>
      <c r="R1098">
        <f>IFERROR(INDEX(PP_Grid[#Data],$DD1098,16),0)</f>
        <v/>
      </c>
      <c r="S1098">
        <f>IFERROR(INDEX(PP_Grid[#Data],$DD1098,17),0)</f>
        <v/>
      </c>
      <c r="T1098">
        <f>IFERROR(INDEX(PP_Grid[#Data],$DD1098,18),0)</f>
        <v/>
      </c>
      <c r="U1098">
        <f>IFERROR(INDEX(PP_Grid[#Data],$DD1098,19),0)</f>
        <v/>
      </c>
      <c r="V1098">
        <f>IFERROR(INDEX(PP_Grid[#Data],$DD1098,20),0)</f>
        <v/>
      </c>
      <c r="W1098">
        <f>IFERROR(INDEX(PP_Grid[#Data],$DD1098,21),0)</f>
        <v/>
      </c>
      <c r="X1098">
        <f>IFERROR(INDEX(PP_Grid[#Data],$DD1098,22),0)</f>
        <v/>
      </c>
      <c r="Y1098">
        <f>IFERROR(INDEX(PP_Grid[#Data],$DD1098,23),0)</f>
        <v/>
      </c>
      <c r="Z1098">
        <f>IFERROR(INDEX(PP_Grid[#Data],$DD1098,24),0)</f>
        <v/>
      </c>
      <c r="AA1098">
        <f>IFERROR(INDEX(PP_Grid[#Data],$DD1098,25),0)</f>
        <v/>
      </c>
      <c r="AB1098">
        <f>IFERROR(INDEX(PP_Grid[#Data],$DD1098,26),0)</f>
        <v/>
      </c>
      <c r="AC1098">
        <f>IFERROR(INDEX(PP_Grid[#Data],$DD1098,27),0)</f>
        <v/>
      </c>
      <c r="AD1098">
        <f>IFERROR(INDEX(PP_Grid[#Data],$DD1098,28),0)</f>
        <v/>
      </c>
      <c r="AE1098">
        <f>IFERROR(INDEX(PP_Grid[#Data],$DD1098,29),0)</f>
        <v/>
      </c>
      <c r="AF1098">
        <f>IFERROR(INDEX(PP_Grid[#Data],$DD1098,30),0)</f>
        <v/>
      </c>
      <c r="AG1098">
        <f>IFERROR(INDEX(PP_Grid[#Data],$DD1098,31),0)</f>
        <v/>
      </c>
      <c r="AH1098">
        <f>IFERROR(INDEX(PP_Grid[#Data],$DD1098,32),0)</f>
        <v/>
      </c>
      <c r="AI1098">
        <f>IFERROR(INDEX(PP_Grid[#Data],$DD1098,33),0)</f>
        <v/>
      </c>
      <c r="AJ1098">
        <f>IFERROR(INDEX(PP_Grid[#Data],$DD1098,34),0)</f>
        <v/>
      </c>
      <c r="AK1098">
        <f>IFERROR(INDEX(PP_Grid[#Data],$DD1098,35),0)</f>
        <v/>
      </c>
      <c r="AL1098">
        <f>IFERROR(INDEX(PP_Grid[#Data],$DD1098,36),0)</f>
        <v/>
      </c>
      <c r="AM1098">
        <f>IFERROR(INDEX(PP_Grid[#Data],$DD1098,37),0)</f>
        <v/>
      </c>
      <c r="AN1098">
        <f>IFERROR(INDEX(PP_Grid[#Data],$DD1098,38),0)</f>
        <v/>
      </c>
      <c r="AO1098">
        <f>IFERROR(INDEX(PP_Grid[#Data],$DD1098,39),0)</f>
        <v/>
      </c>
      <c r="AP1098">
        <f>IFERROR(INDEX(PP_Grid[#Data],$DD1098,40),0)</f>
        <v/>
      </c>
      <c r="AQ1098">
        <f>IFERROR(INDEX(PP_Grid[#Data],$DD1098,41),0)</f>
        <v/>
      </c>
      <c r="AR1098">
        <f>IFERROR(INDEX(PP_Grid[#Data],$DD1098,42),0)</f>
        <v/>
      </c>
      <c r="AS1098">
        <f>IFERROR(INDEX(PP_Grid[#Data],$DD1098,43),0)</f>
        <v/>
      </c>
      <c r="AT1098">
        <f>IFERROR(INDEX(PP_Grid[#Data],$DD1098,44),0)</f>
        <v/>
      </c>
      <c r="AU1098">
        <f>IFERROR(INDEX(PP_Grid[#Data],$DD1098,45),0)</f>
        <v/>
      </c>
      <c r="AV1098">
        <f>IFERROR(INDEX(PP_Grid[#Data],$DD1098,46),0)</f>
        <v/>
      </c>
      <c r="AW1098">
        <f>IFERROR(INDEX(PP_Grid[#Data],$DD1098,47),0)</f>
        <v/>
      </c>
      <c r="AX1098">
        <f>IFERROR(INDEX(PP_Grid[#Data],$DD1098,48),0)</f>
        <v/>
      </c>
      <c r="AY1098">
        <f>IFERROR(INDEX(PP_Grid[#Data],$DD1098,49),0)</f>
        <v/>
      </c>
      <c r="AZ1098">
        <f>IFERROR(INDEX(PP_Grid[#Data],$DD1098,50),0)</f>
        <v/>
      </c>
      <c r="BA1098">
        <f>IFERROR(INDEX(PP_Grid[#Data],$DD1098,51),0)</f>
        <v/>
      </c>
      <c r="BB1098">
        <f>IFERROR(INDEX(PP_Grid[#Data],$DD1098,52),0)</f>
        <v/>
      </c>
      <c r="BC1098">
        <f>IFERROR(INDEX(PP_Grid[#Data],$DD1098,53),0)</f>
        <v/>
      </c>
      <c r="BD1098">
        <f>IFERROR(INDEX(PP_Grid[#Data],$DD1098,54),0)</f>
        <v/>
      </c>
      <c r="BE1098">
        <f>IFERROR(INDEX(PP_Grid[#Data],$DD1098,55),0)</f>
        <v/>
      </c>
      <c r="BF1098">
        <f>IFERROR(INDEX(PP_Grid[#Data],$DD1098,56),0)</f>
        <v/>
      </c>
      <c r="BG1098">
        <f>IFERROR(INDEX(PP_Grid[#Data],$DD1098,57),0)</f>
        <v/>
      </c>
      <c r="BH1098">
        <f>IFERROR(INDEX(PP_Grid[#Data],$DD1098,58),0)</f>
        <v/>
      </c>
      <c r="BI1098">
        <f>IFERROR(INDEX(PP_Grid[#Data],$DD1098,59),0)</f>
        <v/>
      </c>
      <c r="BJ1098">
        <f>IFERROR(INDEX(PP_Grid[#Data],$DD1098,60),0)</f>
        <v/>
      </c>
      <c r="BK1098">
        <f>IFERROR(INDEX(PP_Grid[#Data],$DD1098,61),0)</f>
        <v/>
      </c>
      <c r="BL1098">
        <f>IFERROR(INDEX(PP_Grid[#Data],$DD1098,62),0)</f>
        <v/>
      </c>
      <c r="BM1098">
        <f>IFERROR(INDEX(PP_Grid[#Data],$DD1098,63),0)</f>
        <v/>
      </c>
      <c r="BN1098">
        <f>IFERROR(INDEX(PP_Grid[#Data],$DD1098,64),0)</f>
        <v/>
      </c>
      <c r="BO1098">
        <f>IFERROR(INDEX(PP_Grid[#Data],$DD1098,65),0)</f>
        <v/>
      </c>
      <c r="BP1098">
        <f>IFERROR(INDEX(PP_Grid[#Data],$DD1098,66),0)</f>
        <v/>
      </c>
      <c r="BQ1098">
        <f>IFERROR(INDEX(PP_Grid[#Data],$DD1098,67),0)</f>
        <v/>
      </c>
      <c r="BR1098">
        <f>IFERROR(INDEX(PP_Grid[#Data],$DD1098,68),0)</f>
        <v/>
      </c>
      <c r="BS1098">
        <f>IFERROR(INDEX(PP_Grid[#Data],$DD1098,69),0)</f>
        <v/>
      </c>
      <c r="BT1098">
        <f>IFERROR(INDEX(PP_Grid[#Data],$DD1098,70),0)</f>
        <v/>
      </c>
      <c r="BU1098">
        <f>IFERROR(INDEX(PP_Grid[#Data],$DD1098,71),0)</f>
        <v/>
      </c>
      <c r="BV1098">
        <f>IFERROR(INDEX(PP_Grid[#Data],$DD1098,72),0)</f>
        <v/>
      </c>
      <c r="BW1098">
        <f>IFERROR(INDEX(PP_Grid[#Data],$DD1098,73),0)</f>
        <v/>
      </c>
      <c r="BX1098">
        <f>IFERROR(INDEX(PP_Grid[#Data],$DD1098,74),0)</f>
        <v/>
      </c>
      <c r="BY1098">
        <f>IFERROR(INDEX(PP_Grid[#Data],$DD1098,75),0)</f>
        <v/>
      </c>
      <c r="BZ1098">
        <f>IFERROR(INDEX(PP_Grid[#Data],$DD1098,76),0)</f>
        <v/>
      </c>
      <c r="CA1098">
        <f>IFERROR(INDEX(PP_Grid[#Data],$DD1098,77),0)</f>
        <v/>
      </c>
      <c r="CB1098">
        <f>IFERROR(INDEX(PP_Grid[#Data],$DD1098,78),0)</f>
        <v/>
      </c>
      <c r="CC1098">
        <f>IFERROR(INDEX(PP_Grid[#Data],$DD1098,79),0)</f>
        <v/>
      </c>
      <c r="CD1098">
        <f>IFERROR(INDEX(PP_Grid[#Data],$DD1098,80),0)</f>
        <v/>
      </c>
      <c r="CE1098">
        <f>IFERROR(INDEX(PP_Grid[#Data],$DD1098,81),0)</f>
        <v/>
      </c>
      <c r="CF1098">
        <f>IFERROR(INDEX(PP_Grid[#Data],$DD1098,82),0)</f>
        <v/>
      </c>
      <c r="CG1098">
        <f>IFERROR(INDEX(PP_Grid[#Data],$DD1098,83),0)</f>
        <v/>
      </c>
      <c r="CH1098">
        <f>IFERROR(INDEX(PP_Grid[#Data],$DD1098,84),0)</f>
        <v/>
      </c>
      <c r="CI1098">
        <f>IFERROR(INDEX(PP_Grid[#Data],$DD1098,85),0)</f>
        <v/>
      </c>
      <c r="CJ1098">
        <f>IFERROR(INDEX(PP_Grid[#Data],$DD1098,86),0)</f>
        <v/>
      </c>
      <c r="CK1098">
        <f>IFERROR(INDEX(PP_Grid[#Data],$DD1098,87),0)</f>
        <v/>
      </c>
      <c r="CL1098">
        <f>IFERROR(INDEX(PP_Grid[#Data],$DD1098,88),0)</f>
        <v/>
      </c>
      <c r="CM1098">
        <f>IFERROR(INDEX(PP_Grid[#Data],$DD1098,89),0)</f>
        <v/>
      </c>
      <c r="CN1098">
        <f>IFERROR(INDEX(PP_Grid[#Data],$DD1098,90),0)</f>
        <v/>
      </c>
      <c r="CO1098">
        <f>IFERROR(INDEX(PP_Grid[#Data],$DD1098,91),0)</f>
        <v/>
      </c>
      <c r="CP1098">
        <f>IFERROR(INDEX(PP_Grid[#Data],$DD1098,92),0)</f>
        <v/>
      </c>
      <c r="CQ1098">
        <f>IFERROR(INDEX(PP_Grid[#Data],$DD1098,93),0)</f>
        <v/>
      </c>
      <c r="CR1098">
        <f>IFERROR(INDEX(PP_Grid[#Data],$DD1098,94),0)</f>
        <v/>
      </c>
      <c r="CS1098">
        <f>IFERROR(INDEX(PP_Grid[#Data],$DD1098,95),0)</f>
        <v/>
      </c>
      <c r="CT1098">
        <f>IFERROR(INDEX(PP_Grid[#Data],$DD1098,96),0)</f>
        <v/>
      </c>
      <c r="CU1098">
        <f>IFERROR(INDEX(PP_Grid[#Data],$DD1098,97),0)</f>
        <v/>
      </c>
      <c r="CV1098">
        <f>IFERROR(INDEX(PP_Grid[#Data],$DD1098,98),0)</f>
        <v/>
      </c>
      <c r="CW1098">
        <f>IFERROR(INDEX(PP_Grid[#Data],$DD1098,99),0)</f>
        <v/>
      </c>
      <c r="CX1098">
        <f>IFERROR(INDEX(PP_Grid[#Data],$DD1098,100),0)</f>
        <v/>
      </c>
      <c r="CY1098">
        <f>IFERROR(INDEX(PP_Grid[#Data],$DD1098,101),0)</f>
        <v/>
      </c>
      <c r="CZ1098">
        <f>IFERROR(INDEX(PP_Grid[#Data],$DD1098,102),0)</f>
        <v/>
      </c>
      <c r="DA1098">
        <f>IFERROR(INDEX(PP_Grid[#Data],$DD1098,103),0)</f>
        <v/>
      </c>
      <c r="DB1098">
        <f>IFERROR(INDEX(PP_Grid[#Data],$DD1098,104),0)</f>
        <v/>
      </c>
      <c r="DC1098">
        <f>IFERROR(INDEX(PP_Grid[#Data],$DD1098,105),0)</f>
        <v/>
      </c>
      <c r="DD1098" s="12">
        <f>IFERROR(MATCH($B1098,PP_Grid[Intermediate],0),99999)</f>
        <v/>
      </c>
    </row>
    <row r="1099">
      <c r="B1099" t="inlineStr">
        <is>
          <t>使用量(kg)</t>
        </is>
      </c>
      <c r="C1099">
        <f>SUMIFS(M_BOM[RM_Qty_Per_Batch],M_BOM[Intermediate],$B1098,M_BOM[Part Name],$A1095)</f>
        <v/>
      </c>
      <c r="D1099">
        <f>$C1099*D1098</f>
        <v/>
      </c>
      <c r="E1099">
        <f>$C1099*E1098</f>
        <v/>
      </c>
      <c r="F1099">
        <f>$C1099*F1098</f>
        <v/>
      </c>
      <c r="G1099">
        <f>$C1099*G1098</f>
        <v/>
      </c>
      <c r="H1099">
        <f>$C1099*H1098</f>
        <v/>
      </c>
      <c r="I1099">
        <f>$C1099*I1098</f>
        <v/>
      </c>
      <c r="J1099">
        <f>$C1099*J1098</f>
        <v/>
      </c>
      <c r="K1099">
        <f>$C1099*K1098</f>
        <v/>
      </c>
      <c r="L1099">
        <f>$C1099*L1098</f>
        <v/>
      </c>
      <c r="M1099">
        <f>$C1099*M1098</f>
        <v/>
      </c>
      <c r="N1099">
        <f>$C1099*N1098</f>
        <v/>
      </c>
      <c r="O1099">
        <f>$C1099*O1098</f>
        <v/>
      </c>
      <c r="P1099">
        <f>$C1099*P1098</f>
        <v/>
      </c>
      <c r="Q1099">
        <f>$C1099*Q1098</f>
        <v/>
      </c>
      <c r="R1099">
        <f>$C1099*R1098</f>
        <v/>
      </c>
      <c r="S1099">
        <f>$C1099*S1098</f>
        <v/>
      </c>
      <c r="T1099">
        <f>$C1099*T1098</f>
        <v/>
      </c>
      <c r="U1099">
        <f>$C1099*U1098</f>
        <v/>
      </c>
      <c r="V1099">
        <f>$C1099*V1098</f>
        <v/>
      </c>
      <c r="W1099">
        <f>$C1099*W1098</f>
        <v/>
      </c>
      <c r="X1099">
        <f>$C1099*X1098</f>
        <v/>
      </c>
      <c r="Y1099">
        <f>$C1099*Y1098</f>
        <v/>
      </c>
      <c r="Z1099">
        <f>$C1099*Z1098</f>
        <v/>
      </c>
      <c r="AA1099">
        <f>$C1099*AA1098</f>
        <v/>
      </c>
      <c r="AB1099">
        <f>$C1099*AB1098</f>
        <v/>
      </c>
      <c r="AC1099">
        <f>$C1099*AC1098</f>
        <v/>
      </c>
      <c r="AD1099">
        <f>$C1099*AD1098</f>
        <v/>
      </c>
      <c r="AE1099">
        <f>$C1099*AE1098</f>
        <v/>
      </c>
      <c r="AF1099">
        <f>$C1099*AF1098</f>
        <v/>
      </c>
      <c r="AG1099">
        <f>$C1099*AG1098</f>
        <v/>
      </c>
      <c r="AH1099">
        <f>$C1099*AH1098</f>
        <v/>
      </c>
      <c r="AI1099">
        <f>$C1099*AI1098</f>
        <v/>
      </c>
      <c r="AJ1099">
        <f>$C1099*AJ1098</f>
        <v/>
      </c>
      <c r="AK1099">
        <f>$C1099*AK1098</f>
        <v/>
      </c>
      <c r="AL1099">
        <f>$C1099*AL1098</f>
        <v/>
      </c>
      <c r="AM1099">
        <f>$C1099*AM1098</f>
        <v/>
      </c>
      <c r="AN1099">
        <f>$C1099*AN1098</f>
        <v/>
      </c>
      <c r="AO1099">
        <f>$C1099*AO1098</f>
        <v/>
      </c>
      <c r="AP1099">
        <f>$C1099*AP1098</f>
        <v/>
      </c>
      <c r="AQ1099">
        <f>$C1099*AQ1098</f>
        <v/>
      </c>
      <c r="AR1099">
        <f>$C1099*AR1098</f>
        <v/>
      </c>
      <c r="AS1099">
        <f>$C1099*AS1098</f>
        <v/>
      </c>
      <c r="AT1099">
        <f>$C1099*AT1098</f>
        <v/>
      </c>
      <c r="AU1099">
        <f>$C1099*AU1098</f>
        <v/>
      </c>
      <c r="AV1099">
        <f>$C1099*AV1098</f>
        <v/>
      </c>
      <c r="AW1099">
        <f>$C1099*AW1098</f>
        <v/>
      </c>
      <c r="AX1099">
        <f>$C1099*AX1098</f>
        <v/>
      </c>
      <c r="AY1099">
        <f>$C1099*AY1098</f>
        <v/>
      </c>
      <c r="AZ1099">
        <f>$C1099*AZ1098</f>
        <v/>
      </c>
      <c r="BA1099">
        <f>$C1099*BA1098</f>
        <v/>
      </c>
      <c r="BB1099">
        <f>$C1099*BB1098</f>
        <v/>
      </c>
      <c r="BC1099">
        <f>$C1099*BC1098</f>
        <v/>
      </c>
      <c r="BD1099">
        <f>$C1099*BD1098</f>
        <v/>
      </c>
      <c r="BE1099">
        <f>$C1099*BE1098</f>
        <v/>
      </c>
      <c r="BF1099">
        <f>$C1099*BF1098</f>
        <v/>
      </c>
      <c r="BG1099">
        <f>$C1099*BG1098</f>
        <v/>
      </c>
      <c r="BH1099">
        <f>$C1099*BH1098</f>
        <v/>
      </c>
      <c r="BI1099">
        <f>$C1099*BI1098</f>
        <v/>
      </c>
      <c r="BJ1099">
        <f>$C1099*BJ1098</f>
        <v/>
      </c>
      <c r="BK1099">
        <f>$C1099*BK1098</f>
        <v/>
      </c>
      <c r="BL1099">
        <f>$C1099*BL1098</f>
        <v/>
      </c>
      <c r="BM1099">
        <f>$C1099*BM1098</f>
        <v/>
      </c>
      <c r="BN1099">
        <f>$C1099*BN1098</f>
        <v/>
      </c>
      <c r="BO1099">
        <f>$C1099*BO1098</f>
        <v/>
      </c>
      <c r="BP1099">
        <f>$C1099*BP1098</f>
        <v/>
      </c>
      <c r="BQ1099">
        <f>$C1099*BQ1098</f>
        <v/>
      </c>
      <c r="BR1099">
        <f>$C1099*BR1098</f>
        <v/>
      </c>
      <c r="BS1099">
        <f>$C1099*BS1098</f>
        <v/>
      </c>
      <c r="BT1099">
        <f>$C1099*BT1098</f>
        <v/>
      </c>
      <c r="BU1099">
        <f>$C1099*BU1098</f>
        <v/>
      </c>
      <c r="BV1099">
        <f>$C1099*BV1098</f>
        <v/>
      </c>
      <c r="BW1099">
        <f>$C1099*BW1098</f>
        <v/>
      </c>
      <c r="BX1099">
        <f>$C1099*BX1098</f>
        <v/>
      </c>
      <c r="BY1099">
        <f>$C1099*BY1098</f>
        <v/>
      </c>
      <c r="BZ1099">
        <f>$C1099*BZ1098</f>
        <v/>
      </c>
      <c r="CA1099">
        <f>$C1099*CA1098</f>
        <v/>
      </c>
      <c r="CB1099">
        <f>$C1099*CB1098</f>
        <v/>
      </c>
      <c r="CC1099">
        <f>$C1099*CC1098</f>
        <v/>
      </c>
      <c r="CD1099">
        <f>$C1099*CD1098</f>
        <v/>
      </c>
      <c r="CE1099">
        <f>$C1099*CE1098</f>
        <v/>
      </c>
      <c r="CF1099">
        <f>$C1099*CF1098</f>
        <v/>
      </c>
      <c r="CG1099">
        <f>$C1099*CG1098</f>
        <v/>
      </c>
      <c r="CH1099">
        <f>$C1099*CH1098</f>
        <v/>
      </c>
      <c r="CI1099">
        <f>$C1099*CI1098</f>
        <v/>
      </c>
      <c r="CJ1099">
        <f>$C1099*CJ1098</f>
        <v/>
      </c>
      <c r="CK1099">
        <f>$C1099*CK1098</f>
        <v/>
      </c>
      <c r="CL1099">
        <f>$C1099*CL1098</f>
        <v/>
      </c>
      <c r="CM1099">
        <f>$C1099*CM1098</f>
        <v/>
      </c>
      <c r="CN1099">
        <f>$C1099*CN1098</f>
        <v/>
      </c>
      <c r="CO1099">
        <f>$C1099*CO1098</f>
        <v/>
      </c>
      <c r="CP1099">
        <f>$C1099*CP1098</f>
        <v/>
      </c>
      <c r="CQ1099">
        <f>$C1099*CQ1098</f>
        <v/>
      </c>
      <c r="CR1099">
        <f>$C1099*CR1098</f>
        <v/>
      </c>
      <c r="CS1099">
        <f>$C1099*CS1098</f>
        <v/>
      </c>
      <c r="CT1099">
        <f>$C1099*CT1098</f>
        <v/>
      </c>
      <c r="CU1099">
        <f>$C1099*CU1098</f>
        <v/>
      </c>
      <c r="CV1099">
        <f>$C1099*CV1098</f>
        <v/>
      </c>
      <c r="CW1099">
        <f>$C1099*CW1098</f>
        <v/>
      </c>
      <c r="CX1099">
        <f>$C1099*CX1098</f>
        <v/>
      </c>
      <c r="CY1099">
        <f>$C1099*CY1098</f>
        <v/>
      </c>
      <c r="CZ1099">
        <f>$C1099*CZ1098</f>
        <v/>
      </c>
      <c r="DA1099">
        <f>$C1099*DA1098</f>
        <v/>
      </c>
      <c r="DB1099">
        <f>$C1099*DB1098</f>
        <v/>
      </c>
      <c r="DC1099">
        <f>$C1099*DC1098</f>
        <v/>
      </c>
    </row>
    <row r="1100">
      <c r="B1100" t="inlineStr">
        <is>
          <t>TSP-080</t>
        </is>
      </c>
      <c r="C1100" t="inlineStr">
        <is>
          <t>No. of batches</t>
        </is>
      </c>
      <c r="D1100">
        <f>IFERROR(INDEX(PP_Grid[#Data],$DD1100,2),0)</f>
        <v/>
      </c>
      <c r="E1100">
        <f>IFERROR(INDEX(PP_Grid[#Data],$DD1100,3),0)</f>
        <v/>
      </c>
      <c r="F1100">
        <f>IFERROR(INDEX(PP_Grid[#Data],$DD1100,4),0)</f>
        <v/>
      </c>
      <c r="G1100">
        <f>IFERROR(INDEX(PP_Grid[#Data],$DD1100,5),0)</f>
        <v/>
      </c>
      <c r="H1100">
        <f>IFERROR(INDEX(PP_Grid[#Data],$DD1100,6),0)</f>
        <v/>
      </c>
      <c r="I1100">
        <f>IFERROR(INDEX(PP_Grid[#Data],$DD1100,7),0)</f>
        <v/>
      </c>
      <c r="J1100">
        <f>IFERROR(INDEX(PP_Grid[#Data],$DD1100,8),0)</f>
        <v/>
      </c>
      <c r="K1100">
        <f>IFERROR(INDEX(PP_Grid[#Data],$DD1100,9),0)</f>
        <v/>
      </c>
      <c r="L1100">
        <f>IFERROR(INDEX(PP_Grid[#Data],$DD1100,10),0)</f>
        <v/>
      </c>
      <c r="M1100">
        <f>IFERROR(INDEX(PP_Grid[#Data],$DD1100,11),0)</f>
        <v/>
      </c>
      <c r="N1100">
        <f>IFERROR(INDEX(PP_Grid[#Data],$DD1100,12),0)</f>
        <v/>
      </c>
      <c r="O1100">
        <f>IFERROR(INDEX(PP_Grid[#Data],$DD1100,13),0)</f>
        <v/>
      </c>
      <c r="P1100">
        <f>IFERROR(INDEX(PP_Grid[#Data],$DD1100,14),0)</f>
        <v/>
      </c>
      <c r="Q1100">
        <f>IFERROR(INDEX(PP_Grid[#Data],$DD1100,15),0)</f>
        <v/>
      </c>
      <c r="R1100">
        <f>IFERROR(INDEX(PP_Grid[#Data],$DD1100,16),0)</f>
        <v/>
      </c>
      <c r="S1100">
        <f>IFERROR(INDEX(PP_Grid[#Data],$DD1100,17),0)</f>
        <v/>
      </c>
      <c r="T1100">
        <f>IFERROR(INDEX(PP_Grid[#Data],$DD1100,18),0)</f>
        <v/>
      </c>
      <c r="U1100">
        <f>IFERROR(INDEX(PP_Grid[#Data],$DD1100,19),0)</f>
        <v/>
      </c>
      <c r="V1100">
        <f>IFERROR(INDEX(PP_Grid[#Data],$DD1100,20),0)</f>
        <v/>
      </c>
      <c r="W1100">
        <f>IFERROR(INDEX(PP_Grid[#Data],$DD1100,21),0)</f>
        <v/>
      </c>
      <c r="X1100">
        <f>IFERROR(INDEX(PP_Grid[#Data],$DD1100,22),0)</f>
        <v/>
      </c>
      <c r="Y1100">
        <f>IFERROR(INDEX(PP_Grid[#Data],$DD1100,23),0)</f>
        <v/>
      </c>
      <c r="Z1100">
        <f>IFERROR(INDEX(PP_Grid[#Data],$DD1100,24),0)</f>
        <v/>
      </c>
      <c r="AA1100">
        <f>IFERROR(INDEX(PP_Grid[#Data],$DD1100,25),0)</f>
        <v/>
      </c>
      <c r="AB1100">
        <f>IFERROR(INDEX(PP_Grid[#Data],$DD1100,26),0)</f>
        <v/>
      </c>
      <c r="AC1100">
        <f>IFERROR(INDEX(PP_Grid[#Data],$DD1100,27),0)</f>
        <v/>
      </c>
      <c r="AD1100">
        <f>IFERROR(INDEX(PP_Grid[#Data],$DD1100,28),0)</f>
        <v/>
      </c>
      <c r="AE1100">
        <f>IFERROR(INDEX(PP_Grid[#Data],$DD1100,29),0)</f>
        <v/>
      </c>
      <c r="AF1100">
        <f>IFERROR(INDEX(PP_Grid[#Data],$DD1100,30),0)</f>
        <v/>
      </c>
      <c r="AG1100">
        <f>IFERROR(INDEX(PP_Grid[#Data],$DD1100,31),0)</f>
        <v/>
      </c>
      <c r="AH1100">
        <f>IFERROR(INDEX(PP_Grid[#Data],$DD1100,32),0)</f>
        <v/>
      </c>
      <c r="AI1100">
        <f>IFERROR(INDEX(PP_Grid[#Data],$DD1100,33),0)</f>
        <v/>
      </c>
      <c r="AJ1100">
        <f>IFERROR(INDEX(PP_Grid[#Data],$DD1100,34),0)</f>
        <v/>
      </c>
      <c r="AK1100">
        <f>IFERROR(INDEX(PP_Grid[#Data],$DD1100,35),0)</f>
        <v/>
      </c>
      <c r="AL1100">
        <f>IFERROR(INDEX(PP_Grid[#Data],$DD1100,36),0)</f>
        <v/>
      </c>
      <c r="AM1100">
        <f>IFERROR(INDEX(PP_Grid[#Data],$DD1100,37),0)</f>
        <v/>
      </c>
      <c r="AN1100">
        <f>IFERROR(INDEX(PP_Grid[#Data],$DD1100,38),0)</f>
        <v/>
      </c>
      <c r="AO1100">
        <f>IFERROR(INDEX(PP_Grid[#Data],$DD1100,39),0)</f>
        <v/>
      </c>
      <c r="AP1100">
        <f>IFERROR(INDEX(PP_Grid[#Data],$DD1100,40),0)</f>
        <v/>
      </c>
      <c r="AQ1100">
        <f>IFERROR(INDEX(PP_Grid[#Data],$DD1100,41),0)</f>
        <v/>
      </c>
      <c r="AR1100">
        <f>IFERROR(INDEX(PP_Grid[#Data],$DD1100,42),0)</f>
        <v/>
      </c>
      <c r="AS1100">
        <f>IFERROR(INDEX(PP_Grid[#Data],$DD1100,43),0)</f>
        <v/>
      </c>
      <c r="AT1100">
        <f>IFERROR(INDEX(PP_Grid[#Data],$DD1100,44),0)</f>
        <v/>
      </c>
      <c r="AU1100">
        <f>IFERROR(INDEX(PP_Grid[#Data],$DD1100,45),0)</f>
        <v/>
      </c>
      <c r="AV1100">
        <f>IFERROR(INDEX(PP_Grid[#Data],$DD1100,46),0)</f>
        <v/>
      </c>
      <c r="AW1100">
        <f>IFERROR(INDEX(PP_Grid[#Data],$DD1100,47),0)</f>
        <v/>
      </c>
      <c r="AX1100">
        <f>IFERROR(INDEX(PP_Grid[#Data],$DD1100,48),0)</f>
        <v/>
      </c>
      <c r="AY1100">
        <f>IFERROR(INDEX(PP_Grid[#Data],$DD1100,49),0)</f>
        <v/>
      </c>
      <c r="AZ1100">
        <f>IFERROR(INDEX(PP_Grid[#Data],$DD1100,50),0)</f>
        <v/>
      </c>
      <c r="BA1100">
        <f>IFERROR(INDEX(PP_Grid[#Data],$DD1100,51),0)</f>
        <v/>
      </c>
      <c r="BB1100">
        <f>IFERROR(INDEX(PP_Grid[#Data],$DD1100,52),0)</f>
        <v/>
      </c>
      <c r="BC1100">
        <f>IFERROR(INDEX(PP_Grid[#Data],$DD1100,53),0)</f>
        <v/>
      </c>
      <c r="BD1100">
        <f>IFERROR(INDEX(PP_Grid[#Data],$DD1100,54),0)</f>
        <v/>
      </c>
      <c r="BE1100">
        <f>IFERROR(INDEX(PP_Grid[#Data],$DD1100,55),0)</f>
        <v/>
      </c>
      <c r="BF1100">
        <f>IFERROR(INDEX(PP_Grid[#Data],$DD1100,56),0)</f>
        <v/>
      </c>
      <c r="BG1100">
        <f>IFERROR(INDEX(PP_Grid[#Data],$DD1100,57),0)</f>
        <v/>
      </c>
      <c r="BH1100">
        <f>IFERROR(INDEX(PP_Grid[#Data],$DD1100,58),0)</f>
        <v/>
      </c>
      <c r="BI1100">
        <f>IFERROR(INDEX(PP_Grid[#Data],$DD1100,59),0)</f>
        <v/>
      </c>
      <c r="BJ1100">
        <f>IFERROR(INDEX(PP_Grid[#Data],$DD1100,60),0)</f>
        <v/>
      </c>
      <c r="BK1100">
        <f>IFERROR(INDEX(PP_Grid[#Data],$DD1100,61),0)</f>
        <v/>
      </c>
      <c r="BL1100">
        <f>IFERROR(INDEX(PP_Grid[#Data],$DD1100,62),0)</f>
        <v/>
      </c>
      <c r="BM1100">
        <f>IFERROR(INDEX(PP_Grid[#Data],$DD1100,63),0)</f>
        <v/>
      </c>
      <c r="BN1100">
        <f>IFERROR(INDEX(PP_Grid[#Data],$DD1100,64),0)</f>
        <v/>
      </c>
      <c r="BO1100">
        <f>IFERROR(INDEX(PP_Grid[#Data],$DD1100,65),0)</f>
        <v/>
      </c>
      <c r="BP1100">
        <f>IFERROR(INDEX(PP_Grid[#Data],$DD1100,66),0)</f>
        <v/>
      </c>
      <c r="BQ1100">
        <f>IFERROR(INDEX(PP_Grid[#Data],$DD1100,67),0)</f>
        <v/>
      </c>
      <c r="BR1100">
        <f>IFERROR(INDEX(PP_Grid[#Data],$DD1100,68),0)</f>
        <v/>
      </c>
      <c r="BS1100">
        <f>IFERROR(INDEX(PP_Grid[#Data],$DD1100,69),0)</f>
        <v/>
      </c>
      <c r="BT1100">
        <f>IFERROR(INDEX(PP_Grid[#Data],$DD1100,70),0)</f>
        <v/>
      </c>
      <c r="BU1100">
        <f>IFERROR(INDEX(PP_Grid[#Data],$DD1100,71),0)</f>
        <v/>
      </c>
      <c r="BV1100">
        <f>IFERROR(INDEX(PP_Grid[#Data],$DD1100,72),0)</f>
        <v/>
      </c>
      <c r="BW1100">
        <f>IFERROR(INDEX(PP_Grid[#Data],$DD1100,73),0)</f>
        <v/>
      </c>
      <c r="BX1100">
        <f>IFERROR(INDEX(PP_Grid[#Data],$DD1100,74),0)</f>
        <v/>
      </c>
      <c r="BY1100">
        <f>IFERROR(INDEX(PP_Grid[#Data],$DD1100,75),0)</f>
        <v/>
      </c>
      <c r="BZ1100">
        <f>IFERROR(INDEX(PP_Grid[#Data],$DD1100,76),0)</f>
        <v/>
      </c>
      <c r="CA1100">
        <f>IFERROR(INDEX(PP_Grid[#Data],$DD1100,77),0)</f>
        <v/>
      </c>
      <c r="CB1100">
        <f>IFERROR(INDEX(PP_Grid[#Data],$DD1100,78),0)</f>
        <v/>
      </c>
      <c r="CC1100">
        <f>IFERROR(INDEX(PP_Grid[#Data],$DD1100,79),0)</f>
        <v/>
      </c>
      <c r="CD1100">
        <f>IFERROR(INDEX(PP_Grid[#Data],$DD1100,80),0)</f>
        <v/>
      </c>
      <c r="CE1100">
        <f>IFERROR(INDEX(PP_Grid[#Data],$DD1100,81),0)</f>
        <v/>
      </c>
      <c r="CF1100">
        <f>IFERROR(INDEX(PP_Grid[#Data],$DD1100,82),0)</f>
        <v/>
      </c>
      <c r="CG1100">
        <f>IFERROR(INDEX(PP_Grid[#Data],$DD1100,83),0)</f>
        <v/>
      </c>
      <c r="CH1100">
        <f>IFERROR(INDEX(PP_Grid[#Data],$DD1100,84),0)</f>
        <v/>
      </c>
      <c r="CI1100">
        <f>IFERROR(INDEX(PP_Grid[#Data],$DD1100,85),0)</f>
        <v/>
      </c>
      <c r="CJ1100">
        <f>IFERROR(INDEX(PP_Grid[#Data],$DD1100,86),0)</f>
        <v/>
      </c>
      <c r="CK1100">
        <f>IFERROR(INDEX(PP_Grid[#Data],$DD1100,87),0)</f>
        <v/>
      </c>
      <c r="CL1100">
        <f>IFERROR(INDEX(PP_Grid[#Data],$DD1100,88),0)</f>
        <v/>
      </c>
      <c r="CM1100">
        <f>IFERROR(INDEX(PP_Grid[#Data],$DD1100,89),0)</f>
        <v/>
      </c>
      <c r="CN1100">
        <f>IFERROR(INDEX(PP_Grid[#Data],$DD1100,90),0)</f>
        <v/>
      </c>
      <c r="CO1100">
        <f>IFERROR(INDEX(PP_Grid[#Data],$DD1100,91),0)</f>
        <v/>
      </c>
      <c r="CP1100">
        <f>IFERROR(INDEX(PP_Grid[#Data],$DD1100,92),0)</f>
        <v/>
      </c>
      <c r="CQ1100">
        <f>IFERROR(INDEX(PP_Grid[#Data],$DD1100,93),0)</f>
        <v/>
      </c>
      <c r="CR1100">
        <f>IFERROR(INDEX(PP_Grid[#Data],$DD1100,94),0)</f>
        <v/>
      </c>
      <c r="CS1100">
        <f>IFERROR(INDEX(PP_Grid[#Data],$DD1100,95),0)</f>
        <v/>
      </c>
      <c r="CT1100">
        <f>IFERROR(INDEX(PP_Grid[#Data],$DD1100,96),0)</f>
        <v/>
      </c>
      <c r="CU1100">
        <f>IFERROR(INDEX(PP_Grid[#Data],$DD1100,97),0)</f>
        <v/>
      </c>
      <c r="CV1100">
        <f>IFERROR(INDEX(PP_Grid[#Data],$DD1100,98),0)</f>
        <v/>
      </c>
      <c r="CW1100">
        <f>IFERROR(INDEX(PP_Grid[#Data],$DD1100,99),0)</f>
        <v/>
      </c>
      <c r="CX1100">
        <f>IFERROR(INDEX(PP_Grid[#Data],$DD1100,100),0)</f>
        <v/>
      </c>
      <c r="CY1100">
        <f>IFERROR(INDEX(PP_Grid[#Data],$DD1100,101),0)</f>
        <v/>
      </c>
      <c r="CZ1100">
        <f>IFERROR(INDEX(PP_Grid[#Data],$DD1100,102),0)</f>
        <v/>
      </c>
      <c r="DA1100">
        <f>IFERROR(INDEX(PP_Grid[#Data],$DD1100,103),0)</f>
        <v/>
      </c>
      <c r="DB1100">
        <f>IFERROR(INDEX(PP_Grid[#Data],$DD1100,104),0)</f>
        <v/>
      </c>
      <c r="DC1100">
        <f>IFERROR(INDEX(PP_Grid[#Data],$DD1100,105),0)</f>
        <v/>
      </c>
      <c r="DD1100" s="12">
        <f>IFERROR(MATCH($B1100,PP_Grid[Intermediate],0),99999)</f>
        <v/>
      </c>
    </row>
    <row r="1101">
      <c r="B1101" t="inlineStr">
        <is>
          <t>使用量(kg)</t>
        </is>
      </c>
      <c r="C1101">
        <f>SUMIFS(M_BOM[RM_Qty_Per_Batch],M_BOM[Intermediate],$B1100,M_BOM[Part Name],$A1095)</f>
        <v/>
      </c>
      <c r="D1101">
        <f>$C1101*D1100</f>
        <v/>
      </c>
      <c r="E1101">
        <f>$C1101*E1100</f>
        <v/>
      </c>
      <c r="F1101">
        <f>$C1101*F1100</f>
        <v/>
      </c>
      <c r="G1101">
        <f>$C1101*G1100</f>
        <v/>
      </c>
      <c r="H1101">
        <f>$C1101*H1100</f>
        <v/>
      </c>
      <c r="I1101">
        <f>$C1101*I1100</f>
        <v/>
      </c>
      <c r="J1101">
        <f>$C1101*J1100</f>
        <v/>
      </c>
      <c r="K1101">
        <f>$C1101*K1100</f>
        <v/>
      </c>
      <c r="L1101">
        <f>$C1101*L1100</f>
        <v/>
      </c>
      <c r="M1101">
        <f>$C1101*M1100</f>
        <v/>
      </c>
      <c r="N1101">
        <f>$C1101*N1100</f>
        <v/>
      </c>
      <c r="O1101">
        <f>$C1101*O1100</f>
        <v/>
      </c>
      <c r="P1101">
        <f>$C1101*P1100</f>
        <v/>
      </c>
      <c r="Q1101">
        <f>$C1101*Q1100</f>
        <v/>
      </c>
      <c r="R1101">
        <f>$C1101*R1100</f>
        <v/>
      </c>
      <c r="S1101">
        <f>$C1101*S1100</f>
        <v/>
      </c>
      <c r="T1101">
        <f>$C1101*T1100</f>
        <v/>
      </c>
      <c r="U1101">
        <f>$C1101*U1100</f>
        <v/>
      </c>
      <c r="V1101">
        <f>$C1101*V1100</f>
        <v/>
      </c>
      <c r="W1101">
        <f>$C1101*W1100</f>
        <v/>
      </c>
      <c r="X1101">
        <f>$C1101*X1100</f>
        <v/>
      </c>
      <c r="Y1101">
        <f>$C1101*Y1100</f>
        <v/>
      </c>
      <c r="Z1101">
        <f>$C1101*Z1100</f>
        <v/>
      </c>
      <c r="AA1101">
        <f>$C1101*AA1100</f>
        <v/>
      </c>
      <c r="AB1101">
        <f>$C1101*AB1100</f>
        <v/>
      </c>
      <c r="AC1101">
        <f>$C1101*AC1100</f>
        <v/>
      </c>
      <c r="AD1101">
        <f>$C1101*AD1100</f>
        <v/>
      </c>
      <c r="AE1101">
        <f>$C1101*AE1100</f>
        <v/>
      </c>
      <c r="AF1101">
        <f>$C1101*AF1100</f>
        <v/>
      </c>
      <c r="AG1101">
        <f>$C1101*AG1100</f>
        <v/>
      </c>
      <c r="AH1101">
        <f>$C1101*AH1100</f>
        <v/>
      </c>
      <c r="AI1101">
        <f>$C1101*AI1100</f>
        <v/>
      </c>
      <c r="AJ1101">
        <f>$C1101*AJ1100</f>
        <v/>
      </c>
      <c r="AK1101">
        <f>$C1101*AK1100</f>
        <v/>
      </c>
      <c r="AL1101">
        <f>$C1101*AL1100</f>
        <v/>
      </c>
      <c r="AM1101">
        <f>$C1101*AM1100</f>
        <v/>
      </c>
      <c r="AN1101">
        <f>$C1101*AN1100</f>
        <v/>
      </c>
      <c r="AO1101">
        <f>$C1101*AO1100</f>
        <v/>
      </c>
      <c r="AP1101">
        <f>$C1101*AP1100</f>
        <v/>
      </c>
      <c r="AQ1101">
        <f>$C1101*AQ1100</f>
        <v/>
      </c>
      <c r="AR1101">
        <f>$C1101*AR1100</f>
        <v/>
      </c>
      <c r="AS1101">
        <f>$C1101*AS1100</f>
        <v/>
      </c>
      <c r="AT1101">
        <f>$C1101*AT1100</f>
        <v/>
      </c>
      <c r="AU1101">
        <f>$C1101*AU1100</f>
        <v/>
      </c>
      <c r="AV1101">
        <f>$C1101*AV1100</f>
        <v/>
      </c>
      <c r="AW1101">
        <f>$C1101*AW1100</f>
        <v/>
      </c>
      <c r="AX1101">
        <f>$C1101*AX1100</f>
        <v/>
      </c>
      <c r="AY1101">
        <f>$C1101*AY1100</f>
        <v/>
      </c>
      <c r="AZ1101">
        <f>$C1101*AZ1100</f>
        <v/>
      </c>
      <c r="BA1101">
        <f>$C1101*BA1100</f>
        <v/>
      </c>
      <c r="BB1101">
        <f>$C1101*BB1100</f>
        <v/>
      </c>
      <c r="BC1101">
        <f>$C1101*BC1100</f>
        <v/>
      </c>
      <c r="BD1101">
        <f>$C1101*BD1100</f>
        <v/>
      </c>
      <c r="BE1101">
        <f>$C1101*BE1100</f>
        <v/>
      </c>
      <c r="BF1101">
        <f>$C1101*BF1100</f>
        <v/>
      </c>
      <c r="BG1101">
        <f>$C1101*BG1100</f>
        <v/>
      </c>
      <c r="BH1101">
        <f>$C1101*BH1100</f>
        <v/>
      </c>
      <c r="BI1101">
        <f>$C1101*BI1100</f>
        <v/>
      </c>
      <c r="BJ1101">
        <f>$C1101*BJ1100</f>
        <v/>
      </c>
      <c r="BK1101">
        <f>$C1101*BK1100</f>
        <v/>
      </c>
      <c r="BL1101">
        <f>$C1101*BL1100</f>
        <v/>
      </c>
      <c r="BM1101">
        <f>$C1101*BM1100</f>
        <v/>
      </c>
      <c r="BN1101">
        <f>$C1101*BN1100</f>
        <v/>
      </c>
      <c r="BO1101">
        <f>$C1101*BO1100</f>
        <v/>
      </c>
      <c r="BP1101">
        <f>$C1101*BP1100</f>
        <v/>
      </c>
      <c r="BQ1101">
        <f>$C1101*BQ1100</f>
        <v/>
      </c>
      <c r="BR1101">
        <f>$C1101*BR1100</f>
        <v/>
      </c>
      <c r="BS1101">
        <f>$C1101*BS1100</f>
        <v/>
      </c>
      <c r="BT1101">
        <f>$C1101*BT1100</f>
        <v/>
      </c>
      <c r="BU1101">
        <f>$C1101*BU1100</f>
        <v/>
      </c>
      <c r="BV1101">
        <f>$C1101*BV1100</f>
        <v/>
      </c>
      <c r="BW1101">
        <f>$C1101*BW1100</f>
        <v/>
      </c>
      <c r="BX1101">
        <f>$C1101*BX1100</f>
        <v/>
      </c>
      <c r="BY1101">
        <f>$C1101*BY1100</f>
        <v/>
      </c>
      <c r="BZ1101">
        <f>$C1101*BZ1100</f>
        <v/>
      </c>
      <c r="CA1101">
        <f>$C1101*CA1100</f>
        <v/>
      </c>
      <c r="CB1101">
        <f>$C1101*CB1100</f>
        <v/>
      </c>
      <c r="CC1101">
        <f>$C1101*CC1100</f>
        <v/>
      </c>
      <c r="CD1101">
        <f>$C1101*CD1100</f>
        <v/>
      </c>
      <c r="CE1101">
        <f>$C1101*CE1100</f>
        <v/>
      </c>
      <c r="CF1101">
        <f>$C1101*CF1100</f>
        <v/>
      </c>
      <c r="CG1101">
        <f>$C1101*CG1100</f>
        <v/>
      </c>
      <c r="CH1101">
        <f>$C1101*CH1100</f>
        <v/>
      </c>
      <c r="CI1101">
        <f>$C1101*CI1100</f>
        <v/>
      </c>
      <c r="CJ1101">
        <f>$C1101*CJ1100</f>
        <v/>
      </c>
      <c r="CK1101">
        <f>$C1101*CK1100</f>
        <v/>
      </c>
      <c r="CL1101">
        <f>$C1101*CL1100</f>
        <v/>
      </c>
      <c r="CM1101">
        <f>$C1101*CM1100</f>
        <v/>
      </c>
      <c r="CN1101">
        <f>$C1101*CN1100</f>
        <v/>
      </c>
      <c r="CO1101">
        <f>$C1101*CO1100</f>
        <v/>
      </c>
      <c r="CP1101">
        <f>$C1101*CP1100</f>
        <v/>
      </c>
      <c r="CQ1101">
        <f>$C1101*CQ1100</f>
        <v/>
      </c>
      <c r="CR1101">
        <f>$C1101*CR1100</f>
        <v/>
      </c>
      <c r="CS1101">
        <f>$C1101*CS1100</f>
        <v/>
      </c>
      <c r="CT1101">
        <f>$C1101*CT1100</f>
        <v/>
      </c>
      <c r="CU1101">
        <f>$C1101*CU1100</f>
        <v/>
      </c>
      <c r="CV1101">
        <f>$C1101*CV1100</f>
        <v/>
      </c>
      <c r="CW1101">
        <f>$C1101*CW1100</f>
        <v/>
      </c>
      <c r="CX1101">
        <f>$C1101*CX1100</f>
        <v/>
      </c>
      <c r="CY1101">
        <f>$C1101*CY1100</f>
        <v/>
      </c>
      <c r="CZ1101">
        <f>$C1101*CZ1100</f>
        <v/>
      </c>
      <c r="DA1101">
        <f>$C1101*DA1100</f>
        <v/>
      </c>
      <c r="DB1101">
        <f>$C1101*DB1100</f>
        <v/>
      </c>
      <c r="DC1101">
        <f>$C1101*DC1100</f>
        <v/>
      </c>
    </row>
    <row r="1102">
      <c r="B1102" t="inlineStr">
        <is>
          <t>TSP-105</t>
        </is>
      </c>
      <c r="C1102" t="inlineStr">
        <is>
          <t>No. of batches</t>
        </is>
      </c>
      <c r="D1102">
        <f>IFERROR(INDEX(PP_Grid[#Data],$DD1102,2),0)</f>
        <v/>
      </c>
      <c r="E1102">
        <f>IFERROR(INDEX(PP_Grid[#Data],$DD1102,3),0)</f>
        <v/>
      </c>
      <c r="F1102">
        <f>IFERROR(INDEX(PP_Grid[#Data],$DD1102,4),0)</f>
        <v/>
      </c>
      <c r="G1102">
        <f>IFERROR(INDEX(PP_Grid[#Data],$DD1102,5),0)</f>
        <v/>
      </c>
      <c r="H1102">
        <f>IFERROR(INDEX(PP_Grid[#Data],$DD1102,6),0)</f>
        <v/>
      </c>
      <c r="I1102">
        <f>IFERROR(INDEX(PP_Grid[#Data],$DD1102,7),0)</f>
        <v/>
      </c>
      <c r="J1102">
        <f>IFERROR(INDEX(PP_Grid[#Data],$DD1102,8),0)</f>
        <v/>
      </c>
      <c r="K1102">
        <f>IFERROR(INDEX(PP_Grid[#Data],$DD1102,9),0)</f>
        <v/>
      </c>
      <c r="L1102">
        <f>IFERROR(INDEX(PP_Grid[#Data],$DD1102,10),0)</f>
        <v/>
      </c>
      <c r="M1102">
        <f>IFERROR(INDEX(PP_Grid[#Data],$DD1102,11),0)</f>
        <v/>
      </c>
      <c r="N1102">
        <f>IFERROR(INDEX(PP_Grid[#Data],$DD1102,12),0)</f>
        <v/>
      </c>
      <c r="O1102">
        <f>IFERROR(INDEX(PP_Grid[#Data],$DD1102,13),0)</f>
        <v/>
      </c>
      <c r="P1102">
        <f>IFERROR(INDEX(PP_Grid[#Data],$DD1102,14),0)</f>
        <v/>
      </c>
      <c r="Q1102">
        <f>IFERROR(INDEX(PP_Grid[#Data],$DD1102,15),0)</f>
        <v/>
      </c>
      <c r="R1102">
        <f>IFERROR(INDEX(PP_Grid[#Data],$DD1102,16),0)</f>
        <v/>
      </c>
      <c r="S1102">
        <f>IFERROR(INDEX(PP_Grid[#Data],$DD1102,17),0)</f>
        <v/>
      </c>
      <c r="T1102">
        <f>IFERROR(INDEX(PP_Grid[#Data],$DD1102,18),0)</f>
        <v/>
      </c>
      <c r="U1102">
        <f>IFERROR(INDEX(PP_Grid[#Data],$DD1102,19),0)</f>
        <v/>
      </c>
      <c r="V1102">
        <f>IFERROR(INDEX(PP_Grid[#Data],$DD1102,20),0)</f>
        <v/>
      </c>
      <c r="W1102">
        <f>IFERROR(INDEX(PP_Grid[#Data],$DD1102,21),0)</f>
        <v/>
      </c>
      <c r="X1102">
        <f>IFERROR(INDEX(PP_Grid[#Data],$DD1102,22),0)</f>
        <v/>
      </c>
      <c r="Y1102">
        <f>IFERROR(INDEX(PP_Grid[#Data],$DD1102,23),0)</f>
        <v/>
      </c>
      <c r="Z1102">
        <f>IFERROR(INDEX(PP_Grid[#Data],$DD1102,24),0)</f>
        <v/>
      </c>
      <c r="AA1102">
        <f>IFERROR(INDEX(PP_Grid[#Data],$DD1102,25),0)</f>
        <v/>
      </c>
      <c r="AB1102">
        <f>IFERROR(INDEX(PP_Grid[#Data],$DD1102,26),0)</f>
        <v/>
      </c>
      <c r="AC1102">
        <f>IFERROR(INDEX(PP_Grid[#Data],$DD1102,27),0)</f>
        <v/>
      </c>
      <c r="AD1102">
        <f>IFERROR(INDEX(PP_Grid[#Data],$DD1102,28),0)</f>
        <v/>
      </c>
      <c r="AE1102">
        <f>IFERROR(INDEX(PP_Grid[#Data],$DD1102,29),0)</f>
        <v/>
      </c>
      <c r="AF1102">
        <f>IFERROR(INDEX(PP_Grid[#Data],$DD1102,30),0)</f>
        <v/>
      </c>
      <c r="AG1102">
        <f>IFERROR(INDEX(PP_Grid[#Data],$DD1102,31),0)</f>
        <v/>
      </c>
      <c r="AH1102">
        <f>IFERROR(INDEX(PP_Grid[#Data],$DD1102,32),0)</f>
        <v/>
      </c>
      <c r="AI1102">
        <f>IFERROR(INDEX(PP_Grid[#Data],$DD1102,33),0)</f>
        <v/>
      </c>
      <c r="AJ1102">
        <f>IFERROR(INDEX(PP_Grid[#Data],$DD1102,34),0)</f>
        <v/>
      </c>
      <c r="AK1102">
        <f>IFERROR(INDEX(PP_Grid[#Data],$DD1102,35),0)</f>
        <v/>
      </c>
      <c r="AL1102">
        <f>IFERROR(INDEX(PP_Grid[#Data],$DD1102,36),0)</f>
        <v/>
      </c>
      <c r="AM1102">
        <f>IFERROR(INDEX(PP_Grid[#Data],$DD1102,37),0)</f>
        <v/>
      </c>
      <c r="AN1102">
        <f>IFERROR(INDEX(PP_Grid[#Data],$DD1102,38),0)</f>
        <v/>
      </c>
      <c r="AO1102">
        <f>IFERROR(INDEX(PP_Grid[#Data],$DD1102,39),0)</f>
        <v/>
      </c>
      <c r="AP1102">
        <f>IFERROR(INDEX(PP_Grid[#Data],$DD1102,40),0)</f>
        <v/>
      </c>
      <c r="AQ1102">
        <f>IFERROR(INDEX(PP_Grid[#Data],$DD1102,41),0)</f>
        <v/>
      </c>
      <c r="AR1102">
        <f>IFERROR(INDEX(PP_Grid[#Data],$DD1102,42),0)</f>
        <v/>
      </c>
      <c r="AS1102">
        <f>IFERROR(INDEX(PP_Grid[#Data],$DD1102,43),0)</f>
        <v/>
      </c>
      <c r="AT1102">
        <f>IFERROR(INDEX(PP_Grid[#Data],$DD1102,44),0)</f>
        <v/>
      </c>
      <c r="AU1102">
        <f>IFERROR(INDEX(PP_Grid[#Data],$DD1102,45),0)</f>
        <v/>
      </c>
      <c r="AV1102">
        <f>IFERROR(INDEX(PP_Grid[#Data],$DD1102,46),0)</f>
        <v/>
      </c>
      <c r="AW1102">
        <f>IFERROR(INDEX(PP_Grid[#Data],$DD1102,47),0)</f>
        <v/>
      </c>
      <c r="AX1102">
        <f>IFERROR(INDEX(PP_Grid[#Data],$DD1102,48),0)</f>
        <v/>
      </c>
      <c r="AY1102">
        <f>IFERROR(INDEX(PP_Grid[#Data],$DD1102,49),0)</f>
        <v/>
      </c>
      <c r="AZ1102">
        <f>IFERROR(INDEX(PP_Grid[#Data],$DD1102,50),0)</f>
        <v/>
      </c>
      <c r="BA1102">
        <f>IFERROR(INDEX(PP_Grid[#Data],$DD1102,51),0)</f>
        <v/>
      </c>
      <c r="BB1102">
        <f>IFERROR(INDEX(PP_Grid[#Data],$DD1102,52),0)</f>
        <v/>
      </c>
      <c r="BC1102">
        <f>IFERROR(INDEX(PP_Grid[#Data],$DD1102,53),0)</f>
        <v/>
      </c>
      <c r="BD1102">
        <f>IFERROR(INDEX(PP_Grid[#Data],$DD1102,54),0)</f>
        <v/>
      </c>
      <c r="BE1102">
        <f>IFERROR(INDEX(PP_Grid[#Data],$DD1102,55),0)</f>
        <v/>
      </c>
      <c r="BF1102">
        <f>IFERROR(INDEX(PP_Grid[#Data],$DD1102,56),0)</f>
        <v/>
      </c>
      <c r="BG1102">
        <f>IFERROR(INDEX(PP_Grid[#Data],$DD1102,57),0)</f>
        <v/>
      </c>
      <c r="BH1102">
        <f>IFERROR(INDEX(PP_Grid[#Data],$DD1102,58),0)</f>
        <v/>
      </c>
      <c r="BI1102">
        <f>IFERROR(INDEX(PP_Grid[#Data],$DD1102,59),0)</f>
        <v/>
      </c>
      <c r="BJ1102">
        <f>IFERROR(INDEX(PP_Grid[#Data],$DD1102,60),0)</f>
        <v/>
      </c>
      <c r="BK1102">
        <f>IFERROR(INDEX(PP_Grid[#Data],$DD1102,61),0)</f>
        <v/>
      </c>
      <c r="BL1102">
        <f>IFERROR(INDEX(PP_Grid[#Data],$DD1102,62),0)</f>
        <v/>
      </c>
      <c r="BM1102">
        <f>IFERROR(INDEX(PP_Grid[#Data],$DD1102,63),0)</f>
        <v/>
      </c>
      <c r="BN1102">
        <f>IFERROR(INDEX(PP_Grid[#Data],$DD1102,64),0)</f>
        <v/>
      </c>
      <c r="BO1102">
        <f>IFERROR(INDEX(PP_Grid[#Data],$DD1102,65),0)</f>
        <v/>
      </c>
      <c r="BP1102">
        <f>IFERROR(INDEX(PP_Grid[#Data],$DD1102,66),0)</f>
        <v/>
      </c>
      <c r="BQ1102">
        <f>IFERROR(INDEX(PP_Grid[#Data],$DD1102,67),0)</f>
        <v/>
      </c>
      <c r="BR1102">
        <f>IFERROR(INDEX(PP_Grid[#Data],$DD1102,68),0)</f>
        <v/>
      </c>
      <c r="BS1102">
        <f>IFERROR(INDEX(PP_Grid[#Data],$DD1102,69),0)</f>
        <v/>
      </c>
      <c r="BT1102">
        <f>IFERROR(INDEX(PP_Grid[#Data],$DD1102,70),0)</f>
        <v/>
      </c>
      <c r="BU1102">
        <f>IFERROR(INDEX(PP_Grid[#Data],$DD1102,71),0)</f>
        <v/>
      </c>
      <c r="BV1102">
        <f>IFERROR(INDEX(PP_Grid[#Data],$DD1102,72),0)</f>
        <v/>
      </c>
      <c r="BW1102">
        <f>IFERROR(INDEX(PP_Grid[#Data],$DD1102,73),0)</f>
        <v/>
      </c>
      <c r="BX1102">
        <f>IFERROR(INDEX(PP_Grid[#Data],$DD1102,74),0)</f>
        <v/>
      </c>
      <c r="BY1102">
        <f>IFERROR(INDEX(PP_Grid[#Data],$DD1102,75),0)</f>
        <v/>
      </c>
      <c r="BZ1102">
        <f>IFERROR(INDEX(PP_Grid[#Data],$DD1102,76),0)</f>
        <v/>
      </c>
      <c r="CA1102">
        <f>IFERROR(INDEX(PP_Grid[#Data],$DD1102,77),0)</f>
        <v/>
      </c>
      <c r="CB1102">
        <f>IFERROR(INDEX(PP_Grid[#Data],$DD1102,78),0)</f>
        <v/>
      </c>
      <c r="CC1102">
        <f>IFERROR(INDEX(PP_Grid[#Data],$DD1102,79),0)</f>
        <v/>
      </c>
      <c r="CD1102">
        <f>IFERROR(INDEX(PP_Grid[#Data],$DD1102,80),0)</f>
        <v/>
      </c>
      <c r="CE1102">
        <f>IFERROR(INDEX(PP_Grid[#Data],$DD1102,81),0)</f>
        <v/>
      </c>
      <c r="CF1102">
        <f>IFERROR(INDEX(PP_Grid[#Data],$DD1102,82),0)</f>
        <v/>
      </c>
      <c r="CG1102">
        <f>IFERROR(INDEX(PP_Grid[#Data],$DD1102,83),0)</f>
        <v/>
      </c>
      <c r="CH1102">
        <f>IFERROR(INDEX(PP_Grid[#Data],$DD1102,84),0)</f>
        <v/>
      </c>
      <c r="CI1102">
        <f>IFERROR(INDEX(PP_Grid[#Data],$DD1102,85),0)</f>
        <v/>
      </c>
      <c r="CJ1102">
        <f>IFERROR(INDEX(PP_Grid[#Data],$DD1102,86),0)</f>
        <v/>
      </c>
      <c r="CK1102">
        <f>IFERROR(INDEX(PP_Grid[#Data],$DD1102,87),0)</f>
        <v/>
      </c>
      <c r="CL1102">
        <f>IFERROR(INDEX(PP_Grid[#Data],$DD1102,88),0)</f>
        <v/>
      </c>
      <c r="CM1102">
        <f>IFERROR(INDEX(PP_Grid[#Data],$DD1102,89),0)</f>
        <v/>
      </c>
      <c r="CN1102">
        <f>IFERROR(INDEX(PP_Grid[#Data],$DD1102,90),0)</f>
        <v/>
      </c>
      <c r="CO1102">
        <f>IFERROR(INDEX(PP_Grid[#Data],$DD1102,91),0)</f>
        <v/>
      </c>
      <c r="CP1102">
        <f>IFERROR(INDEX(PP_Grid[#Data],$DD1102,92),0)</f>
        <v/>
      </c>
      <c r="CQ1102">
        <f>IFERROR(INDEX(PP_Grid[#Data],$DD1102,93),0)</f>
        <v/>
      </c>
      <c r="CR1102">
        <f>IFERROR(INDEX(PP_Grid[#Data],$DD1102,94),0)</f>
        <v/>
      </c>
      <c r="CS1102">
        <f>IFERROR(INDEX(PP_Grid[#Data],$DD1102,95),0)</f>
        <v/>
      </c>
      <c r="CT1102">
        <f>IFERROR(INDEX(PP_Grid[#Data],$DD1102,96),0)</f>
        <v/>
      </c>
      <c r="CU1102">
        <f>IFERROR(INDEX(PP_Grid[#Data],$DD1102,97),0)</f>
        <v/>
      </c>
      <c r="CV1102">
        <f>IFERROR(INDEX(PP_Grid[#Data],$DD1102,98),0)</f>
        <v/>
      </c>
      <c r="CW1102">
        <f>IFERROR(INDEX(PP_Grid[#Data],$DD1102,99),0)</f>
        <v/>
      </c>
      <c r="CX1102">
        <f>IFERROR(INDEX(PP_Grid[#Data],$DD1102,100),0)</f>
        <v/>
      </c>
      <c r="CY1102">
        <f>IFERROR(INDEX(PP_Grid[#Data],$DD1102,101),0)</f>
        <v/>
      </c>
      <c r="CZ1102">
        <f>IFERROR(INDEX(PP_Grid[#Data],$DD1102,102),0)</f>
        <v/>
      </c>
      <c r="DA1102">
        <f>IFERROR(INDEX(PP_Grid[#Data],$DD1102,103),0)</f>
        <v/>
      </c>
      <c r="DB1102">
        <f>IFERROR(INDEX(PP_Grid[#Data],$DD1102,104),0)</f>
        <v/>
      </c>
      <c r="DC1102">
        <f>IFERROR(INDEX(PP_Grid[#Data],$DD1102,105),0)</f>
        <v/>
      </c>
      <c r="DD1102" s="12">
        <f>IFERROR(MATCH($B1102,PP_Grid[Intermediate],0),99999)</f>
        <v/>
      </c>
    </row>
    <row r="1103">
      <c r="B1103" t="inlineStr">
        <is>
          <t>使用量(kg)</t>
        </is>
      </c>
      <c r="C1103">
        <f>SUMIFS(M_BOM[RM_Qty_Per_Batch],M_BOM[Intermediate],$B1102,M_BOM[Part Name],$A1095)</f>
        <v/>
      </c>
      <c r="D1103">
        <f>$C1103*D1102</f>
        <v/>
      </c>
      <c r="E1103">
        <f>$C1103*E1102</f>
        <v/>
      </c>
      <c r="F1103">
        <f>$C1103*F1102</f>
        <v/>
      </c>
      <c r="G1103">
        <f>$C1103*G1102</f>
        <v/>
      </c>
      <c r="H1103">
        <f>$C1103*H1102</f>
        <v/>
      </c>
      <c r="I1103">
        <f>$C1103*I1102</f>
        <v/>
      </c>
      <c r="J1103">
        <f>$C1103*J1102</f>
        <v/>
      </c>
      <c r="K1103">
        <f>$C1103*K1102</f>
        <v/>
      </c>
      <c r="L1103">
        <f>$C1103*L1102</f>
        <v/>
      </c>
      <c r="M1103">
        <f>$C1103*M1102</f>
        <v/>
      </c>
      <c r="N1103">
        <f>$C1103*N1102</f>
        <v/>
      </c>
      <c r="O1103">
        <f>$C1103*O1102</f>
        <v/>
      </c>
      <c r="P1103">
        <f>$C1103*P1102</f>
        <v/>
      </c>
      <c r="Q1103">
        <f>$C1103*Q1102</f>
        <v/>
      </c>
      <c r="R1103">
        <f>$C1103*R1102</f>
        <v/>
      </c>
      <c r="S1103">
        <f>$C1103*S1102</f>
        <v/>
      </c>
      <c r="T1103">
        <f>$C1103*T1102</f>
        <v/>
      </c>
      <c r="U1103">
        <f>$C1103*U1102</f>
        <v/>
      </c>
      <c r="V1103">
        <f>$C1103*V1102</f>
        <v/>
      </c>
      <c r="W1103">
        <f>$C1103*W1102</f>
        <v/>
      </c>
      <c r="X1103">
        <f>$C1103*X1102</f>
        <v/>
      </c>
      <c r="Y1103">
        <f>$C1103*Y1102</f>
        <v/>
      </c>
      <c r="Z1103">
        <f>$C1103*Z1102</f>
        <v/>
      </c>
      <c r="AA1103">
        <f>$C1103*AA1102</f>
        <v/>
      </c>
      <c r="AB1103">
        <f>$C1103*AB1102</f>
        <v/>
      </c>
      <c r="AC1103">
        <f>$C1103*AC1102</f>
        <v/>
      </c>
      <c r="AD1103">
        <f>$C1103*AD1102</f>
        <v/>
      </c>
      <c r="AE1103">
        <f>$C1103*AE1102</f>
        <v/>
      </c>
      <c r="AF1103">
        <f>$C1103*AF1102</f>
        <v/>
      </c>
      <c r="AG1103">
        <f>$C1103*AG1102</f>
        <v/>
      </c>
      <c r="AH1103">
        <f>$C1103*AH1102</f>
        <v/>
      </c>
      <c r="AI1103">
        <f>$C1103*AI1102</f>
        <v/>
      </c>
      <c r="AJ1103">
        <f>$C1103*AJ1102</f>
        <v/>
      </c>
      <c r="AK1103">
        <f>$C1103*AK1102</f>
        <v/>
      </c>
      <c r="AL1103">
        <f>$C1103*AL1102</f>
        <v/>
      </c>
      <c r="AM1103">
        <f>$C1103*AM1102</f>
        <v/>
      </c>
      <c r="AN1103">
        <f>$C1103*AN1102</f>
        <v/>
      </c>
      <c r="AO1103">
        <f>$C1103*AO1102</f>
        <v/>
      </c>
      <c r="AP1103">
        <f>$C1103*AP1102</f>
        <v/>
      </c>
      <c r="AQ1103">
        <f>$C1103*AQ1102</f>
        <v/>
      </c>
      <c r="AR1103">
        <f>$C1103*AR1102</f>
        <v/>
      </c>
      <c r="AS1103">
        <f>$C1103*AS1102</f>
        <v/>
      </c>
      <c r="AT1103">
        <f>$C1103*AT1102</f>
        <v/>
      </c>
      <c r="AU1103">
        <f>$C1103*AU1102</f>
        <v/>
      </c>
      <c r="AV1103">
        <f>$C1103*AV1102</f>
        <v/>
      </c>
      <c r="AW1103">
        <f>$C1103*AW1102</f>
        <v/>
      </c>
      <c r="AX1103">
        <f>$C1103*AX1102</f>
        <v/>
      </c>
      <c r="AY1103">
        <f>$C1103*AY1102</f>
        <v/>
      </c>
      <c r="AZ1103">
        <f>$C1103*AZ1102</f>
        <v/>
      </c>
      <c r="BA1103">
        <f>$C1103*BA1102</f>
        <v/>
      </c>
      <c r="BB1103">
        <f>$C1103*BB1102</f>
        <v/>
      </c>
      <c r="BC1103">
        <f>$C1103*BC1102</f>
        <v/>
      </c>
      <c r="BD1103">
        <f>$C1103*BD1102</f>
        <v/>
      </c>
      <c r="BE1103">
        <f>$C1103*BE1102</f>
        <v/>
      </c>
      <c r="BF1103">
        <f>$C1103*BF1102</f>
        <v/>
      </c>
      <c r="BG1103">
        <f>$C1103*BG1102</f>
        <v/>
      </c>
      <c r="BH1103">
        <f>$C1103*BH1102</f>
        <v/>
      </c>
      <c r="BI1103">
        <f>$C1103*BI1102</f>
        <v/>
      </c>
      <c r="BJ1103">
        <f>$C1103*BJ1102</f>
        <v/>
      </c>
      <c r="BK1103">
        <f>$C1103*BK1102</f>
        <v/>
      </c>
      <c r="BL1103">
        <f>$C1103*BL1102</f>
        <v/>
      </c>
      <c r="BM1103">
        <f>$C1103*BM1102</f>
        <v/>
      </c>
      <c r="BN1103">
        <f>$C1103*BN1102</f>
        <v/>
      </c>
      <c r="BO1103">
        <f>$C1103*BO1102</f>
        <v/>
      </c>
      <c r="BP1103">
        <f>$C1103*BP1102</f>
        <v/>
      </c>
      <c r="BQ1103">
        <f>$C1103*BQ1102</f>
        <v/>
      </c>
      <c r="BR1103">
        <f>$C1103*BR1102</f>
        <v/>
      </c>
      <c r="BS1103">
        <f>$C1103*BS1102</f>
        <v/>
      </c>
      <c r="BT1103">
        <f>$C1103*BT1102</f>
        <v/>
      </c>
      <c r="BU1103">
        <f>$C1103*BU1102</f>
        <v/>
      </c>
      <c r="BV1103">
        <f>$C1103*BV1102</f>
        <v/>
      </c>
      <c r="BW1103">
        <f>$C1103*BW1102</f>
        <v/>
      </c>
      <c r="BX1103">
        <f>$C1103*BX1102</f>
        <v/>
      </c>
      <c r="BY1103">
        <f>$C1103*BY1102</f>
        <v/>
      </c>
      <c r="BZ1103">
        <f>$C1103*BZ1102</f>
        <v/>
      </c>
      <c r="CA1103">
        <f>$C1103*CA1102</f>
        <v/>
      </c>
      <c r="CB1103">
        <f>$C1103*CB1102</f>
        <v/>
      </c>
      <c r="CC1103">
        <f>$C1103*CC1102</f>
        <v/>
      </c>
      <c r="CD1103">
        <f>$C1103*CD1102</f>
        <v/>
      </c>
      <c r="CE1103">
        <f>$C1103*CE1102</f>
        <v/>
      </c>
      <c r="CF1103">
        <f>$C1103*CF1102</f>
        <v/>
      </c>
      <c r="CG1103">
        <f>$C1103*CG1102</f>
        <v/>
      </c>
      <c r="CH1103">
        <f>$C1103*CH1102</f>
        <v/>
      </c>
      <c r="CI1103">
        <f>$C1103*CI1102</f>
        <v/>
      </c>
      <c r="CJ1103">
        <f>$C1103*CJ1102</f>
        <v/>
      </c>
      <c r="CK1103">
        <f>$C1103*CK1102</f>
        <v/>
      </c>
      <c r="CL1103">
        <f>$C1103*CL1102</f>
        <v/>
      </c>
      <c r="CM1103">
        <f>$C1103*CM1102</f>
        <v/>
      </c>
      <c r="CN1103">
        <f>$C1103*CN1102</f>
        <v/>
      </c>
      <c r="CO1103">
        <f>$C1103*CO1102</f>
        <v/>
      </c>
      <c r="CP1103">
        <f>$C1103*CP1102</f>
        <v/>
      </c>
      <c r="CQ1103">
        <f>$C1103*CQ1102</f>
        <v/>
      </c>
      <c r="CR1103">
        <f>$C1103*CR1102</f>
        <v/>
      </c>
      <c r="CS1103">
        <f>$C1103*CS1102</f>
        <v/>
      </c>
      <c r="CT1103">
        <f>$C1103*CT1102</f>
        <v/>
      </c>
      <c r="CU1103">
        <f>$C1103*CU1102</f>
        <v/>
      </c>
      <c r="CV1103">
        <f>$C1103*CV1102</f>
        <v/>
      </c>
      <c r="CW1103">
        <f>$C1103*CW1102</f>
        <v/>
      </c>
      <c r="CX1103">
        <f>$C1103*CX1102</f>
        <v/>
      </c>
      <c r="CY1103">
        <f>$C1103*CY1102</f>
        <v/>
      </c>
      <c r="CZ1103">
        <f>$C1103*CZ1102</f>
        <v/>
      </c>
      <c r="DA1103">
        <f>$C1103*DA1102</f>
        <v/>
      </c>
      <c r="DB1103">
        <f>$C1103*DB1102</f>
        <v/>
      </c>
      <c r="DC1103">
        <f>$C1103*DC1102</f>
        <v/>
      </c>
    </row>
    <row r="1104">
      <c r="B1104" t="inlineStr">
        <is>
          <t>TSP-225</t>
        </is>
      </c>
      <c r="C1104" t="inlineStr">
        <is>
          <t>No. of batches</t>
        </is>
      </c>
      <c r="D1104">
        <f>IFERROR(INDEX(PP_Grid[#Data],$DD1104,2),0)</f>
        <v/>
      </c>
      <c r="E1104">
        <f>IFERROR(INDEX(PP_Grid[#Data],$DD1104,3),0)</f>
        <v/>
      </c>
      <c r="F1104">
        <f>IFERROR(INDEX(PP_Grid[#Data],$DD1104,4),0)</f>
        <v/>
      </c>
      <c r="G1104">
        <f>IFERROR(INDEX(PP_Grid[#Data],$DD1104,5),0)</f>
        <v/>
      </c>
      <c r="H1104">
        <f>IFERROR(INDEX(PP_Grid[#Data],$DD1104,6),0)</f>
        <v/>
      </c>
      <c r="I1104">
        <f>IFERROR(INDEX(PP_Grid[#Data],$DD1104,7),0)</f>
        <v/>
      </c>
      <c r="J1104">
        <f>IFERROR(INDEX(PP_Grid[#Data],$DD1104,8),0)</f>
        <v/>
      </c>
      <c r="K1104">
        <f>IFERROR(INDEX(PP_Grid[#Data],$DD1104,9),0)</f>
        <v/>
      </c>
      <c r="L1104">
        <f>IFERROR(INDEX(PP_Grid[#Data],$DD1104,10),0)</f>
        <v/>
      </c>
      <c r="M1104">
        <f>IFERROR(INDEX(PP_Grid[#Data],$DD1104,11),0)</f>
        <v/>
      </c>
      <c r="N1104">
        <f>IFERROR(INDEX(PP_Grid[#Data],$DD1104,12),0)</f>
        <v/>
      </c>
      <c r="O1104">
        <f>IFERROR(INDEX(PP_Grid[#Data],$DD1104,13),0)</f>
        <v/>
      </c>
      <c r="P1104">
        <f>IFERROR(INDEX(PP_Grid[#Data],$DD1104,14),0)</f>
        <v/>
      </c>
      <c r="Q1104">
        <f>IFERROR(INDEX(PP_Grid[#Data],$DD1104,15),0)</f>
        <v/>
      </c>
      <c r="R1104">
        <f>IFERROR(INDEX(PP_Grid[#Data],$DD1104,16),0)</f>
        <v/>
      </c>
      <c r="S1104">
        <f>IFERROR(INDEX(PP_Grid[#Data],$DD1104,17),0)</f>
        <v/>
      </c>
      <c r="T1104">
        <f>IFERROR(INDEX(PP_Grid[#Data],$DD1104,18),0)</f>
        <v/>
      </c>
      <c r="U1104">
        <f>IFERROR(INDEX(PP_Grid[#Data],$DD1104,19),0)</f>
        <v/>
      </c>
      <c r="V1104">
        <f>IFERROR(INDEX(PP_Grid[#Data],$DD1104,20),0)</f>
        <v/>
      </c>
      <c r="W1104">
        <f>IFERROR(INDEX(PP_Grid[#Data],$DD1104,21),0)</f>
        <v/>
      </c>
      <c r="X1104">
        <f>IFERROR(INDEX(PP_Grid[#Data],$DD1104,22),0)</f>
        <v/>
      </c>
      <c r="Y1104">
        <f>IFERROR(INDEX(PP_Grid[#Data],$DD1104,23),0)</f>
        <v/>
      </c>
      <c r="Z1104">
        <f>IFERROR(INDEX(PP_Grid[#Data],$DD1104,24),0)</f>
        <v/>
      </c>
      <c r="AA1104">
        <f>IFERROR(INDEX(PP_Grid[#Data],$DD1104,25),0)</f>
        <v/>
      </c>
      <c r="AB1104">
        <f>IFERROR(INDEX(PP_Grid[#Data],$DD1104,26),0)</f>
        <v/>
      </c>
      <c r="AC1104">
        <f>IFERROR(INDEX(PP_Grid[#Data],$DD1104,27),0)</f>
        <v/>
      </c>
      <c r="AD1104">
        <f>IFERROR(INDEX(PP_Grid[#Data],$DD1104,28),0)</f>
        <v/>
      </c>
      <c r="AE1104">
        <f>IFERROR(INDEX(PP_Grid[#Data],$DD1104,29),0)</f>
        <v/>
      </c>
      <c r="AF1104">
        <f>IFERROR(INDEX(PP_Grid[#Data],$DD1104,30),0)</f>
        <v/>
      </c>
      <c r="AG1104">
        <f>IFERROR(INDEX(PP_Grid[#Data],$DD1104,31),0)</f>
        <v/>
      </c>
      <c r="AH1104">
        <f>IFERROR(INDEX(PP_Grid[#Data],$DD1104,32),0)</f>
        <v/>
      </c>
      <c r="AI1104">
        <f>IFERROR(INDEX(PP_Grid[#Data],$DD1104,33),0)</f>
        <v/>
      </c>
      <c r="AJ1104">
        <f>IFERROR(INDEX(PP_Grid[#Data],$DD1104,34),0)</f>
        <v/>
      </c>
      <c r="AK1104">
        <f>IFERROR(INDEX(PP_Grid[#Data],$DD1104,35),0)</f>
        <v/>
      </c>
      <c r="AL1104">
        <f>IFERROR(INDEX(PP_Grid[#Data],$DD1104,36),0)</f>
        <v/>
      </c>
      <c r="AM1104">
        <f>IFERROR(INDEX(PP_Grid[#Data],$DD1104,37),0)</f>
        <v/>
      </c>
      <c r="AN1104">
        <f>IFERROR(INDEX(PP_Grid[#Data],$DD1104,38),0)</f>
        <v/>
      </c>
      <c r="AO1104">
        <f>IFERROR(INDEX(PP_Grid[#Data],$DD1104,39),0)</f>
        <v/>
      </c>
      <c r="AP1104">
        <f>IFERROR(INDEX(PP_Grid[#Data],$DD1104,40),0)</f>
        <v/>
      </c>
      <c r="AQ1104">
        <f>IFERROR(INDEX(PP_Grid[#Data],$DD1104,41),0)</f>
        <v/>
      </c>
      <c r="AR1104">
        <f>IFERROR(INDEX(PP_Grid[#Data],$DD1104,42),0)</f>
        <v/>
      </c>
      <c r="AS1104">
        <f>IFERROR(INDEX(PP_Grid[#Data],$DD1104,43),0)</f>
        <v/>
      </c>
      <c r="AT1104">
        <f>IFERROR(INDEX(PP_Grid[#Data],$DD1104,44),0)</f>
        <v/>
      </c>
      <c r="AU1104">
        <f>IFERROR(INDEX(PP_Grid[#Data],$DD1104,45),0)</f>
        <v/>
      </c>
      <c r="AV1104">
        <f>IFERROR(INDEX(PP_Grid[#Data],$DD1104,46),0)</f>
        <v/>
      </c>
      <c r="AW1104">
        <f>IFERROR(INDEX(PP_Grid[#Data],$DD1104,47),0)</f>
        <v/>
      </c>
      <c r="AX1104">
        <f>IFERROR(INDEX(PP_Grid[#Data],$DD1104,48),0)</f>
        <v/>
      </c>
      <c r="AY1104">
        <f>IFERROR(INDEX(PP_Grid[#Data],$DD1104,49),0)</f>
        <v/>
      </c>
      <c r="AZ1104">
        <f>IFERROR(INDEX(PP_Grid[#Data],$DD1104,50),0)</f>
        <v/>
      </c>
      <c r="BA1104">
        <f>IFERROR(INDEX(PP_Grid[#Data],$DD1104,51),0)</f>
        <v/>
      </c>
      <c r="BB1104">
        <f>IFERROR(INDEX(PP_Grid[#Data],$DD1104,52),0)</f>
        <v/>
      </c>
      <c r="BC1104">
        <f>IFERROR(INDEX(PP_Grid[#Data],$DD1104,53),0)</f>
        <v/>
      </c>
      <c r="BD1104">
        <f>IFERROR(INDEX(PP_Grid[#Data],$DD1104,54),0)</f>
        <v/>
      </c>
      <c r="BE1104">
        <f>IFERROR(INDEX(PP_Grid[#Data],$DD1104,55),0)</f>
        <v/>
      </c>
      <c r="BF1104">
        <f>IFERROR(INDEX(PP_Grid[#Data],$DD1104,56),0)</f>
        <v/>
      </c>
      <c r="BG1104">
        <f>IFERROR(INDEX(PP_Grid[#Data],$DD1104,57),0)</f>
        <v/>
      </c>
      <c r="BH1104">
        <f>IFERROR(INDEX(PP_Grid[#Data],$DD1104,58),0)</f>
        <v/>
      </c>
      <c r="BI1104">
        <f>IFERROR(INDEX(PP_Grid[#Data],$DD1104,59),0)</f>
        <v/>
      </c>
      <c r="BJ1104">
        <f>IFERROR(INDEX(PP_Grid[#Data],$DD1104,60),0)</f>
        <v/>
      </c>
      <c r="BK1104">
        <f>IFERROR(INDEX(PP_Grid[#Data],$DD1104,61),0)</f>
        <v/>
      </c>
      <c r="BL1104">
        <f>IFERROR(INDEX(PP_Grid[#Data],$DD1104,62),0)</f>
        <v/>
      </c>
      <c r="BM1104">
        <f>IFERROR(INDEX(PP_Grid[#Data],$DD1104,63),0)</f>
        <v/>
      </c>
      <c r="BN1104">
        <f>IFERROR(INDEX(PP_Grid[#Data],$DD1104,64),0)</f>
        <v/>
      </c>
      <c r="BO1104">
        <f>IFERROR(INDEX(PP_Grid[#Data],$DD1104,65),0)</f>
        <v/>
      </c>
      <c r="BP1104">
        <f>IFERROR(INDEX(PP_Grid[#Data],$DD1104,66),0)</f>
        <v/>
      </c>
      <c r="BQ1104">
        <f>IFERROR(INDEX(PP_Grid[#Data],$DD1104,67),0)</f>
        <v/>
      </c>
      <c r="BR1104">
        <f>IFERROR(INDEX(PP_Grid[#Data],$DD1104,68),0)</f>
        <v/>
      </c>
      <c r="BS1104">
        <f>IFERROR(INDEX(PP_Grid[#Data],$DD1104,69),0)</f>
        <v/>
      </c>
      <c r="BT1104">
        <f>IFERROR(INDEX(PP_Grid[#Data],$DD1104,70),0)</f>
        <v/>
      </c>
      <c r="BU1104">
        <f>IFERROR(INDEX(PP_Grid[#Data],$DD1104,71),0)</f>
        <v/>
      </c>
      <c r="BV1104">
        <f>IFERROR(INDEX(PP_Grid[#Data],$DD1104,72),0)</f>
        <v/>
      </c>
      <c r="BW1104">
        <f>IFERROR(INDEX(PP_Grid[#Data],$DD1104,73),0)</f>
        <v/>
      </c>
      <c r="BX1104">
        <f>IFERROR(INDEX(PP_Grid[#Data],$DD1104,74),0)</f>
        <v/>
      </c>
      <c r="BY1104">
        <f>IFERROR(INDEX(PP_Grid[#Data],$DD1104,75),0)</f>
        <v/>
      </c>
      <c r="BZ1104">
        <f>IFERROR(INDEX(PP_Grid[#Data],$DD1104,76),0)</f>
        <v/>
      </c>
      <c r="CA1104">
        <f>IFERROR(INDEX(PP_Grid[#Data],$DD1104,77),0)</f>
        <v/>
      </c>
      <c r="CB1104">
        <f>IFERROR(INDEX(PP_Grid[#Data],$DD1104,78),0)</f>
        <v/>
      </c>
      <c r="CC1104">
        <f>IFERROR(INDEX(PP_Grid[#Data],$DD1104,79),0)</f>
        <v/>
      </c>
      <c r="CD1104">
        <f>IFERROR(INDEX(PP_Grid[#Data],$DD1104,80),0)</f>
        <v/>
      </c>
      <c r="CE1104">
        <f>IFERROR(INDEX(PP_Grid[#Data],$DD1104,81),0)</f>
        <v/>
      </c>
      <c r="CF1104">
        <f>IFERROR(INDEX(PP_Grid[#Data],$DD1104,82),0)</f>
        <v/>
      </c>
      <c r="CG1104">
        <f>IFERROR(INDEX(PP_Grid[#Data],$DD1104,83),0)</f>
        <v/>
      </c>
      <c r="CH1104">
        <f>IFERROR(INDEX(PP_Grid[#Data],$DD1104,84),0)</f>
        <v/>
      </c>
      <c r="CI1104">
        <f>IFERROR(INDEX(PP_Grid[#Data],$DD1104,85),0)</f>
        <v/>
      </c>
      <c r="CJ1104">
        <f>IFERROR(INDEX(PP_Grid[#Data],$DD1104,86),0)</f>
        <v/>
      </c>
      <c r="CK1104">
        <f>IFERROR(INDEX(PP_Grid[#Data],$DD1104,87),0)</f>
        <v/>
      </c>
      <c r="CL1104">
        <f>IFERROR(INDEX(PP_Grid[#Data],$DD1104,88),0)</f>
        <v/>
      </c>
      <c r="CM1104">
        <f>IFERROR(INDEX(PP_Grid[#Data],$DD1104,89),0)</f>
        <v/>
      </c>
      <c r="CN1104">
        <f>IFERROR(INDEX(PP_Grid[#Data],$DD1104,90),0)</f>
        <v/>
      </c>
      <c r="CO1104">
        <f>IFERROR(INDEX(PP_Grid[#Data],$DD1104,91),0)</f>
        <v/>
      </c>
      <c r="CP1104">
        <f>IFERROR(INDEX(PP_Grid[#Data],$DD1104,92),0)</f>
        <v/>
      </c>
      <c r="CQ1104">
        <f>IFERROR(INDEX(PP_Grid[#Data],$DD1104,93),0)</f>
        <v/>
      </c>
      <c r="CR1104">
        <f>IFERROR(INDEX(PP_Grid[#Data],$DD1104,94),0)</f>
        <v/>
      </c>
      <c r="CS1104">
        <f>IFERROR(INDEX(PP_Grid[#Data],$DD1104,95),0)</f>
        <v/>
      </c>
      <c r="CT1104">
        <f>IFERROR(INDEX(PP_Grid[#Data],$DD1104,96),0)</f>
        <v/>
      </c>
      <c r="CU1104">
        <f>IFERROR(INDEX(PP_Grid[#Data],$DD1104,97),0)</f>
        <v/>
      </c>
      <c r="CV1104">
        <f>IFERROR(INDEX(PP_Grid[#Data],$DD1104,98),0)</f>
        <v/>
      </c>
      <c r="CW1104">
        <f>IFERROR(INDEX(PP_Grid[#Data],$DD1104,99),0)</f>
        <v/>
      </c>
      <c r="CX1104">
        <f>IFERROR(INDEX(PP_Grid[#Data],$DD1104,100),0)</f>
        <v/>
      </c>
      <c r="CY1104">
        <f>IFERROR(INDEX(PP_Grid[#Data],$DD1104,101),0)</f>
        <v/>
      </c>
      <c r="CZ1104">
        <f>IFERROR(INDEX(PP_Grid[#Data],$DD1104,102),0)</f>
        <v/>
      </c>
      <c r="DA1104">
        <f>IFERROR(INDEX(PP_Grid[#Data],$DD1104,103),0)</f>
        <v/>
      </c>
      <c r="DB1104">
        <f>IFERROR(INDEX(PP_Grid[#Data],$DD1104,104),0)</f>
        <v/>
      </c>
      <c r="DC1104">
        <f>IFERROR(INDEX(PP_Grid[#Data],$DD1104,105),0)</f>
        <v/>
      </c>
      <c r="DD1104" s="12">
        <f>IFERROR(MATCH($B1104,PP_Grid[Intermediate],0),99999)</f>
        <v/>
      </c>
    </row>
    <row r="1105">
      <c r="B1105" t="inlineStr">
        <is>
          <t>使用量(kg)</t>
        </is>
      </c>
      <c r="C1105">
        <f>SUMIFS(M_BOM[RM_Qty_Per_Batch],M_BOM[Intermediate],$B1104,M_BOM[Part Name],$A1095)</f>
        <v/>
      </c>
      <c r="D1105">
        <f>$C1105*D1104</f>
        <v/>
      </c>
      <c r="E1105">
        <f>$C1105*E1104</f>
        <v/>
      </c>
      <c r="F1105">
        <f>$C1105*F1104</f>
        <v/>
      </c>
      <c r="G1105">
        <f>$C1105*G1104</f>
        <v/>
      </c>
      <c r="H1105">
        <f>$C1105*H1104</f>
        <v/>
      </c>
      <c r="I1105">
        <f>$C1105*I1104</f>
        <v/>
      </c>
      <c r="J1105">
        <f>$C1105*J1104</f>
        <v/>
      </c>
      <c r="K1105">
        <f>$C1105*K1104</f>
        <v/>
      </c>
      <c r="L1105">
        <f>$C1105*L1104</f>
        <v/>
      </c>
      <c r="M1105">
        <f>$C1105*M1104</f>
        <v/>
      </c>
      <c r="N1105">
        <f>$C1105*N1104</f>
        <v/>
      </c>
      <c r="O1105">
        <f>$C1105*O1104</f>
        <v/>
      </c>
      <c r="P1105">
        <f>$C1105*P1104</f>
        <v/>
      </c>
      <c r="Q1105">
        <f>$C1105*Q1104</f>
        <v/>
      </c>
      <c r="R1105">
        <f>$C1105*R1104</f>
        <v/>
      </c>
      <c r="S1105">
        <f>$C1105*S1104</f>
        <v/>
      </c>
      <c r="T1105">
        <f>$C1105*T1104</f>
        <v/>
      </c>
      <c r="U1105">
        <f>$C1105*U1104</f>
        <v/>
      </c>
      <c r="V1105">
        <f>$C1105*V1104</f>
        <v/>
      </c>
      <c r="W1105">
        <f>$C1105*W1104</f>
        <v/>
      </c>
      <c r="X1105">
        <f>$C1105*X1104</f>
        <v/>
      </c>
      <c r="Y1105">
        <f>$C1105*Y1104</f>
        <v/>
      </c>
      <c r="Z1105">
        <f>$C1105*Z1104</f>
        <v/>
      </c>
      <c r="AA1105">
        <f>$C1105*AA1104</f>
        <v/>
      </c>
      <c r="AB1105">
        <f>$C1105*AB1104</f>
        <v/>
      </c>
      <c r="AC1105">
        <f>$C1105*AC1104</f>
        <v/>
      </c>
      <c r="AD1105">
        <f>$C1105*AD1104</f>
        <v/>
      </c>
      <c r="AE1105">
        <f>$C1105*AE1104</f>
        <v/>
      </c>
      <c r="AF1105">
        <f>$C1105*AF1104</f>
        <v/>
      </c>
      <c r="AG1105">
        <f>$C1105*AG1104</f>
        <v/>
      </c>
      <c r="AH1105">
        <f>$C1105*AH1104</f>
        <v/>
      </c>
      <c r="AI1105">
        <f>$C1105*AI1104</f>
        <v/>
      </c>
      <c r="AJ1105">
        <f>$C1105*AJ1104</f>
        <v/>
      </c>
      <c r="AK1105">
        <f>$C1105*AK1104</f>
        <v/>
      </c>
      <c r="AL1105">
        <f>$C1105*AL1104</f>
        <v/>
      </c>
      <c r="AM1105">
        <f>$C1105*AM1104</f>
        <v/>
      </c>
      <c r="AN1105">
        <f>$C1105*AN1104</f>
        <v/>
      </c>
      <c r="AO1105">
        <f>$C1105*AO1104</f>
        <v/>
      </c>
      <c r="AP1105">
        <f>$C1105*AP1104</f>
        <v/>
      </c>
      <c r="AQ1105">
        <f>$C1105*AQ1104</f>
        <v/>
      </c>
      <c r="AR1105">
        <f>$C1105*AR1104</f>
        <v/>
      </c>
      <c r="AS1105">
        <f>$C1105*AS1104</f>
        <v/>
      </c>
      <c r="AT1105">
        <f>$C1105*AT1104</f>
        <v/>
      </c>
      <c r="AU1105">
        <f>$C1105*AU1104</f>
        <v/>
      </c>
      <c r="AV1105">
        <f>$C1105*AV1104</f>
        <v/>
      </c>
      <c r="AW1105">
        <f>$C1105*AW1104</f>
        <v/>
      </c>
      <c r="AX1105">
        <f>$C1105*AX1104</f>
        <v/>
      </c>
      <c r="AY1105">
        <f>$C1105*AY1104</f>
        <v/>
      </c>
      <c r="AZ1105">
        <f>$C1105*AZ1104</f>
        <v/>
      </c>
      <c r="BA1105">
        <f>$C1105*BA1104</f>
        <v/>
      </c>
      <c r="BB1105">
        <f>$C1105*BB1104</f>
        <v/>
      </c>
      <c r="BC1105">
        <f>$C1105*BC1104</f>
        <v/>
      </c>
      <c r="BD1105">
        <f>$C1105*BD1104</f>
        <v/>
      </c>
      <c r="BE1105">
        <f>$C1105*BE1104</f>
        <v/>
      </c>
      <c r="BF1105">
        <f>$C1105*BF1104</f>
        <v/>
      </c>
      <c r="BG1105">
        <f>$C1105*BG1104</f>
        <v/>
      </c>
      <c r="BH1105">
        <f>$C1105*BH1104</f>
        <v/>
      </c>
      <c r="BI1105">
        <f>$C1105*BI1104</f>
        <v/>
      </c>
      <c r="BJ1105">
        <f>$C1105*BJ1104</f>
        <v/>
      </c>
      <c r="BK1105">
        <f>$C1105*BK1104</f>
        <v/>
      </c>
      <c r="BL1105">
        <f>$C1105*BL1104</f>
        <v/>
      </c>
      <c r="BM1105">
        <f>$C1105*BM1104</f>
        <v/>
      </c>
      <c r="BN1105">
        <f>$C1105*BN1104</f>
        <v/>
      </c>
      <c r="BO1105">
        <f>$C1105*BO1104</f>
        <v/>
      </c>
      <c r="BP1105">
        <f>$C1105*BP1104</f>
        <v/>
      </c>
      <c r="BQ1105">
        <f>$C1105*BQ1104</f>
        <v/>
      </c>
      <c r="BR1105">
        <f>$C1105*BR1104</f>
        <v/>
      </c>
      <c r="BS1105">
        <f>$C1105*BS1104</f>
        <v/>
      </c>
      <c r="BT1105">
        <f>$C1105*BT1104</f>
        <v/>
      </c>
      <c r="BU1105">
        <f>$C1105*BU1104</f>
        <v/>
      </c>
      <c r="BV1105">
        <f>$C1105*BV1104</f>
        <v/>
      </c>
      <c r="BW1105">
        <f>$C1105*BW1104</f>
        <v/>
      </c>
      <c r="BX1105">
        <f>$C1105*BX1104</f>
        <v/>
      </c>
      <c r="BY1105">
        <f>$C1105*BY1104</f>
        <v/>
      </c>
      <c r="BZ1105">
        <f>$C1105*BZ1104</f>
        <v/>
      </c>
      <c r="CA1105">
        <f>$C1105*CA1104</f>
        <v/>
      </c>
      <c r="CB1105">
        <f>$C1105*CB1104</f>
        <v/>
      </c>
      <c r="CC1105">
        <f>$C1105*CC1104</f>
        <v/>
      </c>
      <c r="CD1105">
        <f>$C1105*CD1104</f>
        <v/>
      </c>
      <c r="CE1105">
        <f>$C1105*CE1104</f>
        <v/>
      </c>
      <c r="CF1105">
        <f>$C1105*CF1104</f>
        <v/>
      </c>
      <c r="CG1105">
        <f>$C1105*CG1104</f>
        <v/>
      </c>
      <c r="CH1105">
        <f>$C1105*CH1104</f>
        <v/>
      </c>
      <c r="CI1105">
        <f>$C1105*CI1104</f>
        <v/>
      </c>
      <c r="CJ1105">
        <f>$C1105*CJ1104</f>
        <v/>
      </c>
      <c r="CK1105">
        <f>$C1105*CK1104</f>
        <v/>
      </c>
      <c r="CL1105">
        <f>$C1105*CL1104</f>
        <v/>
      </c>
      <c r="CM1105">
        <f>$C1105*CM1104</f>
        <v/>
      </c>
      <c r="CN1105">
        <f>$C1105*CN1104</f>
        <v/>
      </c>
      <c r="CO1105">
        <f>$C1105*CO1104</f>
        <v/>
      </c>
      <c r="CP1105">
        <f>$C1105*CP1104</f>
        <v/>
      </c>
      <c r="CQ1105">
        <f>$C1105*CQ1104</f>
        <v/>
      </c>
      <c r="CR1105">
        <f>$C1105*CR1104</f>
        <v/>
      </c>
      <c r="CS1105">
        <f>$C1105*CS1104</f>
        <v/>
      </c>
      <c r="CT1105">
        <f>$C1105*CT1104</f>
        <v/>
      </c>
      <c r="CU1105">
        <f>$C1105*CU1104</f>
        <v/>
      </c>
      <c r="CV1105">
        <f>$C1105*CV1104</f>
        <v/>
      </c>
      <c r="CW1105">
        <f>$C1105*CW1104</f>
        <v/>
      </c>
      <c r="CX1105">
        <f>$C1105*CX1104</f>
        <v/>
      </c>
      <c r="CY1105">
        <f>$C1105*CY1104</f>
        <v/>
      </c>
      <c r="CZ1105">
        <f>$C1105*CZ1104</f>
        <v/>
      </c>
      <c r="DA1105">
        <f>$C1105*DA1104</f>
        <v/>
      </c>
      <c r="DB1105">
        <f>$C1105*DB1104</f>
        <v/>
      </c>
      <c r="DC1105">
        <f>$C1105*DC1104</f>
        <v/>
      </c>
    </row>
    <row r="1106">
      <c r="B1106" s="5" t="inlineStr">
        <is>
          <t>合計使用量(kg)/週</t>
        </is>
      </c>
      <c r="D1106">
        <f>'Grid_Requirement'!B47</f>
        <v/>
      </c>
      <c r="E1106">
        <f>'Grid_Requirement'!C47</f>
        <v/>
      </c>
      <c r="F1106">
        <f>'Grid_Requirement'!D47</f>
        <v/>
      </c>
      <c r="G1106">
        <f>'Grid_Requirement'!E47</f>
        <v/>
      </c>
      <c r="H1106">
        <f>'Grid_Requirement'!F47</f>
        <v/>
      </c>
      <c r="I1106">
        <f>'Grid_Requirement'!G47</f>
        <v/>
      </c>
      <c r="J1106">
        <f>'Grid_Requirement'!H47</f>
        <v/>
      </c>
      <c r="K1106">
        <f>'Grid_Requirement'!I47</f>
        <v/>
      </c>
      <c r="L1106">
        <f>'Grid_Requirement'!J47</f>
        <v/>
      </c>
      <c r="M1106">
        <f>'Grid_Requirement'!K47</f>
        <v/>
      </c>
      <c r="N1106">
        <f>'Grid_Requirement'!L47</f>
        <v/>
      </c>
      <c r="O1106">
        <f>'Grid_Requirement'!M47</f>
        <v/>
      </c>
      <c r="P1106">
        <f>'Grid_Requirement'!N47</f>
        <v/>
      </c>
      <c r="Q1106">
        <f>'Grid_Requirement'!O47</f>
        <v/>
      </c>
      <c r="R1106">
        <f>'Grid_Requirement'!P47</f>
        <v/>
      </c>
      <c r="S1106">
        <f>'Grid_Requirement'!Q47</f>
        <v/>
      </c>
      <c r="T1106">
        <f>'Grid_Requirement'!R47</f>
        <v/>
      </c>
      <c r="U1106">
        <f>'Grid_Requirement'!S47</f>
        <v/>
      </c>
      <c r="V1106">
        <f>'Grid_Requirement'!T47</f>
        <v/>
      </c>
      <c r="W1106">
        <f>'Grid_Requirement'!U47</f>
        <v/>
      </c>
      <c r="X1106">
        <f>'Grid_Requirement'!V47</f>
        <v/>
      </c>
      <c r="Y1106">
        <f>'Grid_Requirement'!W47</f>
        <v/>
      </c>
      <c r="Z1106">
        <f>'Grid_Requirement'!X47</f>
        <v/>
      </c>
      <c r="AA1106">
        <f>'Grid_Requirement'!Y47</f>
        <v/>
      </c>
      <c r="AB1106">
        <f>'Grid_Requirement'!Z47</f>
        <v/>
      </c>
      <c r="AC1106">
        <f>'Grid_Requirement'!AA47</f>
        <v/>
      </c>
      <c r="AD1106">
        <f>'Grid_Requirement'!AB47</f>
        <v/>
      </c>
      <c r="AE1106">
        <f>'Grid_Requirement'!AC47</f>
        <v/>
      </c>
      <c r="AF1106">
        <f>'Grid_Requirement'!AD47</f>
        <v/>
      </c>
      <c r="AG1106">
        <f>'Grid_Requirement'!AE47</f>
        <v/>
      </c>
      <c r="AH1106">
        <f>'Grid_Requirement'!AF47</f>
        <v/>
      </c>
      <c r="AI1106">
        <f>'Grid_Requirement'!AG47</f>
        <v/>
      </c>
      <c r="AJ1106">
        <f>'Grid_Requirement'!AH47</f>
        <v/>
      </c>
      <c r="AK1106">
        <f>'Grid_Requirement'!AI47</f>
        <v/>
      </c>
      <c r="AL1106">
        <f>'Grid_Requirement'!AJ47</f>
        <v/>
      </c>
      <c r="AM1106">
        <f>'Grid_Requirement'!AK47</f>
        <v/>
      </c>
      <c r="AN1106">
        <f>'Grid_Requirement'!AL47</f>
        <v/>
      </c>
      <c r="AO1106">
        <f>'Grid_Requirement'!AM47</f>
        <v/>
      </c>
      <c r="AP1106">
        <f>'Grid_Requirement'!AN47</f>
        <v/>
      </c>
      <c r="AQ1106">
        <f>'Grid_Requirement'!AO47</f>
        <v/>
      </c>
      <c r="AR1106">
        <f>'Grid_Requirement'!AP47</f>
        <v/>
      </c>
      <c r="AS1106">
        <f>'Grid_Requirement'!AQ47</f>
        <v/>
      </c>
      <c r="AT1106">
        <f>'Grid_Requirement'!AR47</f>
        <v/>
      </c>
      <c r="AU1106">
        <f>'Grid_Requirement'!AS47</f>
        <v/>
      </c>
      <c r="AV1106">
        <f>'Grid_Requirement'!AT47</f>
        <v/>
      </c>
      <c r="AW1106">
        <f>'Grid_Requirement'!AU47</f>
        <v/>
      </c>
      <c r="AX1106">
        <f>'Grid_Requirement'!AV47</f>
        <v/>
      </c>
      <c r="AY1106">
        <f>'Grid_Requirement'!AW47</f>
        <v/>
      </c>
      <c r="AZ1106">
        <f>'Grid_Requirement'!AX47</f>
        <v/>
      </c>
      <c r="BA1106">
        <f>'Grid_Requirement'!AY47</f>
        <v/>
      </c>
      <c r="BB1106">
        <f>'Grid_Requirement'!AZ47</f>
        <v/>
      </c>
      <c r="BC1106">
        <f>'Grid_Requirement'!BA47</f>
        <v/>
      </c>
      <c r="BD1106">
        <f>'Grid_Requirement'!BB47</f>
        <v/>
      </c>
      <c r="BE1106">
        <f>'Grid_Requirement'!BC47</f>
        <v/>
      </c>
      <c r="BF1106">
        <f>'Grid_Requirement'!BD47</f>
        <v/>
      </c>
      <c r="BG1106">
        <f>'Grid_Requirement'!BE47</f>
        <v/>
      </c>
      <c r="BH1106">
        <f>'Grid_Requirement'!BF47</f>
        <v/>
      </c>
      <c r="BI1106">
        <f>'Grid_Requirement'!BG47</f>
        <v/>
      </c>
      <c r="BJ1106">
        <f>'Grid_Requirement'!BH47</f>
        <v/>
      </c>
      <c r="BK1106">
        <f>'Grid_Requirement'!BI47</f>
        <v/>
      </c>
      <c r="BL1106">
        <f>'Grid_Requirement'!BJ47</f>
        <v/>
      </c>
      <c r="BM1106">
        <f>'Grid_Requirement'!BK47</f>
        <v/>
      </c>
      <c r="BN1106">
        <f>'Grid_Requirement'!BL47</f>
        <v/>
      </c>
      <c r="BO1106">
        <f>'Grid_Requirement'!BM47</f>
        <v/>
      </c>
      <c r="BP1106">
        <f>'Grid_Requirement'!BN47</f>
        <v/>
      </c>
      <c r="BQ1106">
        <f>'Grid_Requirement'!BO47</f>
        <v/>
      </c>
      <c r="BR1106">
        <f>'Grid_Requirement'!BP47</f>
        <v/>
      </c>
      <c r="BS1106">
        <f>'Grid_Requirement'!BQ47</f>
        <v/>
      </c>
      <c r="BT1106">
        <f>'Grid_Requirement'!BR47</f>
        <v/>
      </c>
      <c r="BU1106">
        <f>'Grid_Requirement'!BS47</f>
        <v/>
      </c>
      <c r="BV1106">
        <f>'Grid_Requirement'!BT47</f>
        <v/>
      </c>
      <c r="BW1106">
        <f>'Grid_Requirement'!BU47</f>
        <v/>
      </c>
      <c r="BX1106">
        <f>'Grid_Requirement'!BV47</f>
        <v/>
      </c>
      <c r="BY1106">
        <f>'Grid_Requirement'!BW47</f>
        <v/>
      </c>
      <c r="BZ1106">
        <f>'Grid_Requirement'!BX47</f>
        <v/>
      </c>
      <c r="CA1106">
        <f>'Grid_Requirement'!BY47</f>
        <v/>
      </c>
      <c r="CB1106">
        <f>'Grid_Requirement'!BZ47</f>
        <v/>
      </c>
      <c r="CC1106">
        <f>'Grid_Requirement'!CA47</f>
        <v/>
      </c>
      <c r="CD1106">
        <f>'Grid_Requirement'!CB47</f>
        <v/>
      </c>
      <c r="CE1106">
        <f>'Grid_Requirement'!CC47</f>
        <v/>
      </c>
      <c r="CF1106">
        <f>'Grid_Requirement'!CD47</f>
        <v/>
      </c>
      <c r="CG1106">
        <f>'Grid_Requirement'!CE47</f>
        <v/>
      </c>
      <c r="CH1106">
        <f>'Grid_Requirement'!CF47</f>
        <v/>
      </c>
      <c r="CI1106">
        <f>'Grid_Requirement'!CG47</f>
        <v/>
      </c>
      <c r="CJ1106">
        <f>'Grid_Requirement'!CH47</f>
        <v/>
      </c>
      <c r="CK1106">
        <f>'Grid_Requirement'!CI47</f>
        <v/>
      </c>
      <c r="CL1106">
        <f>'Grid_Requirement'!CJ47</f>
        <v/>
      </c>
      <c r="CM1106">
        <f>'Grid_Requirement'!CK47</f>
        <v/>
      </c>
      <c r="CN1106">
        <f>'Grid_Requirement'!CL47</f>
        <v/>
      </c>
      <c r="CO1106">
        <f>'Grid_Requirement'!CM47</f>
        <v/>
      </c>
      <c r="CP1106">
        <f>'Grid_Requirement'!CN47</f>
        <v/>
      </c>
      <c r="CQ1106">
        <f>'Grid_Requirement'!CO47</f>
        <v/>
      </c>
      <c r="CR1106">
        <f>'Grid_Requirement'!CP47</f>
        <v/>
      </c>
      <c r="CS1106">
        <f>'Grid_Requirement'!CQ47</f>
        <v/>
      </c>
      <c r="CT1106">
        <f>'Grid_Requirement'!CR47</f>
        <v/>
      </c>
      <c r="CU1106">
        <f>'Grid_Requirement'!CS47</f>
        <v/>
      </c>
      <c r="CV1106">
        <f>'Grid_Requirement'!CT47</f>
        <v/>
      </c>
      <c r="CW1106">
        <f>'Grid_Requirement'!CU47</f>
        <v/>
      </c>
      <c r="CX1106">
        <f>'Grid_Requirement'!CV47</f>
        <v/>
      </c>
      <c r="CY1106">
        <f>'Grid_Requirement'!CW47</f>
        <v/>
      </c>
      <c r="CZ1106">
        <f>'Grid_Requirement'!CX47</f>
        <v/>
      </c>
      <c r="DA1106">
        <f>'Grid_Requirement'!CY47</f>
        <v/>
      </c>
      <c r="DB1106">
        <f>'Grid_Requirement'!CZ47</f>
        <v/>
      </c>
      <c r="DC1106">
        <f>'Grid_Requirement'!DA47</f>
        <v/>
      </c>
    </row>
    <row r="1107">
      <c r="B1107" t="inlineStr">
        <is>
          <t>TTAF在庫(実績,kg)</t>
        </is>
      </c>
      <c r="D1107">
        <f>'T_TTAFStock'!B51</f>
        <v/>
      </c>
      <c r="E1107">
        <f>'T_TTAFStock'!C51</f>
        <v/>
      </c>
      <c r="F1107">
        <f>'T_TTAFStock'!D51</f>
        <v/>
      </c>
      <c r="G1107">
        <f>'T_TTAFStock'!E51</f>
        <v/>
      </c>
      <c r="H1107">
        <f>'T_TTAFStock'!F51</f>
        <v/>
      </c>
      <c r="I1107">
        <f>'T_TTAFStock'!G51</f>
        <v/>
      </c>
      <c r="J1107">
        <f>'T_TTAFStock'!H51</f>
        <v/>
      </c>
      <c r="K1107">
        <f>'T_TTAFStock'!I51</f>
        <v/>
      </c>
      <c r="L1107">
        <f>'T_TTAFStock'!J51</f>
        <v/>
      </c>
      <c r="M1107">
        <f>'T_TTAFStock'!K51</f>
        <v/>
      </c>
      <c r="N1107">
        <f>'T_TTAFStock'!L51</f>
        <v/>
      </c>
      <c r="O1107">
        <f>'T_TTAFStock'!M51</f>
        <v/>
      </c>
      <c r="P1107">
        <f>'T_TTAFStock'!N51</f>
        <v/>
      </c>
      <c r="Q1107">
        <f>'T_TTAFStock'!O51</f>
        <v/>
      </c>
      <c r="R1107">
        <f>'T_TTAFStock'!P51</f>
        <v/>
      </c>
      <c r="S1107">
        <f>'T_TTAFStock'!Q51</f>
        <v/>
      </c>
      <c r="T1107">
        <f>'T_TTAFStock'!R51</f>
        <v/>
      </c>
      <c r="U1107">
        <f>'T_TTAFStock'!S51</f>
        <v/>
      </c>
      <c r="V1107">
        <f>'T_TTAFStock'!T51</f>
        <v/>
      </c>
      <c r="W1107">
        <f>'T_TTAFStock'!U51</f>
        <v/>
      </c>
      <c r="X1107">
        <f>'T_TTAFStock'!V51</f>
        <v/>
      </c>
      <c r="Y1107">
        <f>'T_TTAFStock'!W51</f>
        <v/>
      </c>
      <c r="Z1107">
        <f>'T_TTAFStock'!X51</f>
        <v/>
      </c>
      <c r="AA1107">
        <f>'T_TTAFStock'!Y51</f>
        <v/>
      </c>
      <c r="AB1107">
        <f>'T_TTAFStock'!Z51</f>
        <v/>
      </c>
      <c r="AC1107">
        <f>'T_TTAFStock'!AA51</f>
        <v/>
      </c>
      <c r="AD1107">
        <f>'T_TTAFStock'!AB51</f>
        <v/>
      </c>
      <c r="AE1107">
        <f>'T_TTAFStock'!AC51</f>
        <v/>
      </c>
      <c r="AF1107">
        <f>'T_TTAFStock'!AD51</f>
        <v/>
      </c>
      <c r="AG1107">
        <f>'T_TTAFStock'!AE51</f>
        <v/>
      </c>
      <c r="AH1107">
        <f>'T_TTAFStock'!AF51</f>
        <v/>
      </c>
      <c r="AI1107">
        <f>'T_TTAFStock'!AG51</f>
        <v/>
      </c>
      <c r="AJ1107">
        <f>'T_TTAFStock'!AH51</f>
        <v/>
      </c>
      <c r="AK1107">
        <f>'T_TTAFStock'!AI51</f>
        <v/>
      </c>
      <c r="AL1107">
        <f>'T_TTAFStock'!AJ51</f>
        <v/>
      </c>
      <c r="AM1107">
        <f>'T_TTAFStock'!AK51</f>
        <v/>
      </c>
      <c r="AN1107">
        <f>'T_TTAFStock'!AL51</f>
        <v/>
      </c>
      <c r="AO1107">
        <f>'T_TTAFStock'!AM51</f>
        <v/>
      </c>
      <c r="AP1107">
        <f>'T_TTAFStock'!AN51</f>
        <v/>
      </c>
      <c r="AQ1107">
        <f>'T_TTAFStock'!AO51</f>
        <v/>
      </c>
      <c r="AR1107">
        <f>'T_TTAFStock'!AP51</f>
        <v/>
      </c>
      <c r="AS1107">
        <f>'T_TTAFStock'!AQ51</f>
        <v/>
      </c>
      <c r="AT1107">
        <f>'T_TTAFStock'!AR51</f>
        <v/>
      </c>
      <c r="AU1107">
        <f>'T_TTAFStock'!AS51</f>
        <v/>
      </c>
      <c r="AV1107">
        <f>'T_TTAFStock'!AT51</f>
        <v/>
      </c>
      <c r="AW1107">
        <f>'T_TTAFStock'!AU51</f>
        <v/>
      </c>
      <c r="AX1107">
        <f>'T_TTAFStock'!AV51</f>
        <v/>
      </c>
      <c r="AY1107">
        <f>'T_TTAFStock'!AW51</f>
        <v/>
      </c>
      <c r="AZ1107">
        <f>'T_TTAFStock'!AX51</f>
        <v/>
      </c>
      <c r="BA1107">
        <f>'T_TTAFStock'!AY51</f>
        <v/>
      </c>
      <c r="BB1107">
        <f>'T_TTAFStock'!AZ51</f>
        <v/>
      </c>
      <c r="BC1107">
        <f>'T_TTAFStock'!BA51</f>
        <v/>
      </c>
      <c r="BD1107">
        <f>'T_TTAFStock'!BB51</f>
        <v/>
      </c>
      <c r="BE1107">
        <f>'T_TTAFStock'!BC51</f>
        <v/>
      </c>
      <c r="BF1107">
        <f>'T_TTAFStock'!BD51</f>
        <v/>
      </c>
      <c r="BG1107">
        <f>'T_TTAFStock'!BE51</f>
        <v/>
      </c>
      <c r="BH1107">
        <f>'T_TTAFStock'!BF51</f>
        <v/>
      </c>
      <c r="BI1107">
        <f>'T_TTAFStock'!BG51</f>
        <v/>
      </c>
      <c r="BJ1107">
        <f>'T_TTAFStock'!BH51</f>
        <v/>
      </c>
      <c r="BK1107">
        <f>'T_TTAFStock'!BI51</f>
        <v/>
      </c>
      <c r="BL1107">
        <f>'T_TTAFStock'!BJ51</f>
        <v/>
      </c>
      <c r="BM1107">
        <f>'T_TTAFStock'!BK51</f>
        <v/>
      </c>
      <c r="BN1107">
        <f>'T_TTAFStock'!BL51</f>
        <v/>
      </c>
      <c r="BO1107">
        <f>'T_TTAFStock'!BM51</f>
        <v/>
      </c>
      <c r="BP1107">
        <f>'T_TTAFStock'!BN51</f>
        <v/>
      </c>
      <c r="BQ1107">
        <f>'T_TTAFStock'!BO51</f>
        <v/>
      </c>
      <c r="BR1107">
        <f>'T_TTAFStock'!BP51</f>
        <v/>
      </c>
      <c r="BS1107">
        <f>'T_TTAFStock'!BQ51</f>
        <v/>
      </c>
      <c r="BT1107">
        <f>'T_TTAFStock'!BR51</f>
        <v/>
      </c>
      <c r="BU1107">
        <f>'T_TTAFStock'!BS51</f>
        <v/>
      </c>
      <c r="BV1107">
        <f>'T_TTAFStock'!BT51</f>
        <v/>
      </c>
      <c r="BW1107">
        <f>'T_TTAFStock'!BU51</f>
        <v/>
      </c>
      <c r="BX1107">
        <f>'T_TTAFStock'!BV51</f>
        <v/>
      </c>
      <c r="BY1107">
        <f>'T_TTAFStock'!BW51</f>
        <v/>
      </c>
      <c r="BZ1107">
        <f>'T_TTAFStock'!BX51</f>
        <v/>
      </c>
      <c r="CA1107">
        <f>'T_TTAFStock'!BY51</f>
        <v/>
      </c>
      <c r="CB1107">
        <f>'T_TTAFStock'!BZ51</f>
        <v/>
      </c>
      <c r="CC1107">
        <f>'T_TTAFStock'!CA51</f>
        <v/>
      </c>
      <c r="CD1107">
        <f>'T_TTAFStock'!CB51</f>
        <v/>
      </c>
      <c r="CE1107">
        <f>'T_TTAFStock'!CC51</f>
        <v/>
      </c>
      <c r="CF1107">
        <f>'T_TTAFStock'!CD51</f>
        <v/>
      </c>
      <c r="CG1107">
        <f>'T_TTAFStock'!CE51</f>
        <v/>
      </c>
      <c r="CH1107">
        <f>'T_TTAFStock'!CF51</f>
        <v/>
      </c>
      <c r="CI1107">
        <f>'T_TTAFStock'!CG51</f>
        <v/>
      </c>
      <c r="CJ1107">
        <f>'T_TTAFStock'!CH51</f>
        <v/>
      </c>
      <c r="CK1107">
        <f>'T_TTAFStock'!CI51</f>
        <v/>
      </c>
      <c r="CL1107">
        <f>'T_TTAFStock'!CJ51</f>
        <v/>
      </c>
      <c r="CM1107">
        <f>'T_TTAFStock'!CK51</f>
        <v/>
      </c>
      <c r="CN1107">
        <f>'T_TTAFStock'!CL51</f>
        <v/>
      </c>
      <c r="CO1107">
        <f>'T_TTAFStock'!CM51</f>
        <v/>
      </c>
      <c r="CP1107">
        <f>'T_TTAFStock'!CN51</f>
        <v/>
      </c>
      <c r="CQ1107">
        <f>'T_TTAFStock'!CO51</f>
        <v/>
      </c>
      <c r="CR1107">
        <f>'T_TTAFStock'!CP51</f>
        <v/>
      </c>
      <c r="CS1107">
        <f>'T_TTAFStock'!CQ51</f>
        <v/>
      </c>
      <c r="CT1107">
        <f>'T_TTAFStock'!CR51</f>
        <v/>
      </c>
      <c r="CU1107">
        <f>'T_TTAFStock'!CS51</f>
        <v/>
      </c>
      <c r="CV1107">
        <f>'T_TTAFStock'!CT51</f>
        <v/>
      </c>
      <c r="CW1107">
        <f>'T_TTAFStock'!CU51</f>
        <v/>
      </c>
      <c r="CX1107">
        <f>'T_TTAFStock'!CV51</f>
        <v/>
      </c>
      <c r="CY1107">
        <f>'T_TTAFStock'!CW51</f>
        <v/>
      </c>
      <c r="CZ1107">
        <f>'T_TTAFStock'!CX51</f>
        <v/>
      </c>
      <c r="DA1107">
        <f>'T_TTAFStock'!CY51</f>
        <v/>
      </c>
      <c r="DB1107">
        <f>'T_TTAFStock'!CZ51</f>
        <v/>
      </c>
      <c r="DC1107">
        <f>'T_TTAFStock'!DA51</f>
        <v/>
      </c>
    </row>
    <row r="1108">
      <c r="B1108" t="inlineStr">
        <is>
          <t>自社在庫(実績,kg)</t>
        </is>
      </c>
      <c r="D1108">
        <f>'T_SelfStock'!B51</f>
        <v/>
      </c>
      <c r="E1108">
        <f>'T_SelfStock'!C51</f>
        <v/>
      </c>
      <c r="F1108">
        <f>'T_SelfStock'!D51</f>
        <v/>
      </c>
      <c r="G1108">
        <f>'T_SelfStock'!E51</f>
        <v/>
      </c>
      <c r="H1108">
        <f>'T_SelfStock'!F51</f>
        <v/>
      </c>
      <c r="I1108">
        <f>'T_SelfStock'!G51</f>
        <v/>
      </c>
      <c r="J1108">
        <f>'T_SelfStock'!H51</f>
        <v/>
      </c>
      <c r="K1108">
        <f>'T_SelfStock'!I51</f>
        <v/>
      </c>
      <c r="L1108">
        <f>'T_SelfStock'!J51</f>
        <v/>
      </c>
      <c r="M1108">
        <f>'T_SelfStock'!K51</f>
        <v/>
      </c>
      <c r="N1108">
        <f>'T_SelfStock'!L51</f>
        <v/>
      </c>
      <c r="O1108">
        <f>'T_SelfStock'!M51</f>
        <v/>
      </c>
      <c r="P1108">
        <f>'T_SelfStock'!N51</f>
        <v/>
      </c>
      <c r="Q1108">
        <f>'T_SelfStock'!O51</f>
        <v/>
      </c>
      <c r="R1108">
        <f>'T_SelfStock'!P51</f>
        <v/>
      </c>
      <c r="S1108">
        <f>'T_SelfStock'!Q51</f>
        <v/>
      </c>
      <c r="T1108">
        <f>'T_SelfStock'!R51</f>
        <v/>
      </c>
      <c r="U1108">
        <f>'T_SelfStock'!S51</f>
        <v/>
      </c>
      <c r="V1108">
        <f>'T_SelfStock'!T51</f>
        <v/>
      </c>
      <c r="W1108">
        <f>'T_SelfStock'!U51</f>
        <v/>
      </c>
      <c r="X1108">
        <f>'T_SelfStock'!V51</f>
        <v/>
      </c>
      <c r="Y1108">
        <f>'T_SelfStock'!W51</f>
        <v/>
      </c>
      <c r="Z1108">
        <f>'T_SelfStock'!X51</f>
        <v/>
      </c>
      <c r="AA1108">
        <f>'T_SelfStock'!Y51</f>
        <v/>
      </c>
      <c r="AB1108">
        <f>'T_SelfStock'!Z51</f>
        <v/>
      </c>
      <c r="AC1108">
        <f>'T_SelfStock'!AA51</f>
        <v/>
      </c>
      <c r="AD1108">
        <f>'T_SelfStock'!AB51</f>
        <v/>
      </c>
      <c r="AE1108">
        <f>'T_SelfStock'!AC51</f>
        <v/>
      </c>
      <c r="AF1108">
        <f>'T_SelfStock'!AD51</f>
        <v/>
      </c>
      <c r="AG1108">
        <f>'T_SelfStock'!AE51</f>
        <v/>
      </c>
      <c r="AH1108">
        <f>'T_SelfStock'!AF51</f>
        <v/>
      </c>
      <c r="AI1108">
        <f>'T_SelfStock'!AG51</f>
        <v/>
      </c>
      <c r="AJ1108">
        <f>'T_SelfStock'!AH51</f>
        <v/>
      </c>
      <c r="AK1108">
        <f>'T_SelfStock'!AI51</f>
        <v/>
      </c>
      <c r="AL1108">
        <f>'T_SelfStock'!AJ51</f>
        <v/>
      </c>
      <c r="AM1108">
        <f>'T_SelfStock'!AK51</f>
        <v/>
      </c>
      <c r="AN1108">
        <f>'T_SelfStock'!AL51</f>
        <v/>
      </c>
      <c r="AO1108">
        <f>'T_SelfStock'!AM51</f>
        <v/>
      </c>
      <c r="AP1108">
        <f>'T_SelfStock'!AN51</f>
        <v/>
      </c>
      <c r="AQ1108">
        <f>'T_SelfStock'!AO51</f>
        <v/>
      </c>
      <c r="AR1108">
        <f>'T_SelfStock'!AP51</f>
        <v/>
      </c>
      <c r="AS1108">
        <f>'T_SelfStock'!AQ51</f>
        <v/>
      </c>
      <c r="AT1108">
        <f>'T_SelfStock'!AR51</f>
        <v/>
      </c>
      <c r="AU1108">
        <f>'T_SelfStock'!AS51</f>
        <v/>
      </c>
      <c r="AV1108">
        <f>'T_SelfStock'!AT51</f>
        <v/>
      </c>
      <c r="AW1108">
        <f>'T_SelfStock'!AU51</f>
        <v/>
      </c>
      <c r="AX1108">
        <f>'T_SelfStock'!AV51</f>
        <v/>
      </c>
      <c r="AY1108">
        <f>'T_SelfStock'!AW51</f>
        <v/>
      </c>
      <c r="AZ1108">
        <f>'T_SelfStock'!AX51</f>
        <v/>
      </c>
      <c r="BA1108">
        <f>'T_SelfStock'!AY51</f>
        <v/>
      </c>
      <c r="BB1108">
        <f>'T_SelfStock'!AZ51</f>
        <v/>
      </c>
      <c r="BC1108">
        <f>'T_SelfStock'!BA51</f>
        <v/>
      </c>
      <c r="BD1108">
        <f>'T_SelfStock'!BB51</f>
        <v/>
      </c>
      <c r="BE1108">
        <f>'T_SelfStock'!BC51</f>
        <v/>
      </c>
      <c r="BF1108">
        <f>'T_SelfStock'!BD51</f>
        <v/>
      </c>
      <c r="BG1108">
        <f>'T_SelfStock'!BE51</f>
        <v/>
      </c>
      <c r="BH1108">
        <f>'T_SelfStock'!BF51</f>
        <v/>
      </c>
      <c r="BI1108">
        <f>'T_SelfStock'!BG51</f>
        <v/>
      </c>
      <c r="BJ1108">
        <f>'T_SelfStock'!BH51</f>
        <v/>
      </c>
      <c r="BK1108">
        <f>'T_SelfStock'!BI51</f>
        <v/>
      </c>
      <c r="BL1108">
        <f>'T_SelfStock'!BJ51</f>
        <v/>
      </c>
      <c r="BM1108">
        <f>'T_SelfStock'!BK51</f>
        <v/>
      </c>
      <c r="BN1108">
        <f>'T_SelfStock'!BL51</f>
        <v/>
      </c>
      <c r="BO1108">
        <f>'T_SelfStock'!BM51</f>
        <v/>
      </c>
      <c r="BP1108">
        <f>'T_SelfStock'!BN51</f>
        <v/>
      </c>
      <c r="BQ1108">
        <f>'T_SelfStock'!BO51</f>
        <v/>
      </c>
      <c r="BR1108">
        <f>'T_SelfStock'!BP51</f>
        <v/>
      </c>
      <c r="BS1108">
        <f>'T_SelfStock'!BQ51</f>
        <v/>
      </c>
      <c r="BT1108">
        <f>'T_SelfStock'!BR51</f>
        <v/>
      </c>
      <c r="BU1108">
        <f>'T_SelfStock'!BS51</f>
        <v/>
      </c>
      <c r="BV1108">
        <f>'T_SelfStock'!BT51</f>
        <v/>
      </c>
      <c r="BW1108">
        <f>'T_SelfStock'!BU51</f>
        <v/>
      </c>
      <c r="BX1108">
        <f>'T_SelfStock'!BV51</f>
        <v/>
      </c>
      <c r="BY1108">
        <f>'T_SelfStock'!BW51</f>
        <v/>
      </c>
      <c r="BZ1108">
        <f>'T_SelfStock'!BX51</f>
        <v/>
      </c>
      <c r="CA1108">
        <f>'T_SelfStock'!BY51</f>
        <v/>
      </c>
      <c r="CB1108">
        <f>'T_SelfStock'!BZ51</f>
        <v/>
      </c>
      <c r="CC1108">
        <f>'T_SelfStock'!CA51</f>
        <v/>
      </c>
      <c r="CD1108">
        <f>'T_SelfStock'!CB51</f>
        <v/>
      </c>
      <c r="CE1108">
        <f>'T_SelfStock'!CC51</f>
        <v/>
      </c>
      <c r="CF1108">
        <f>'T_SelfStock'!CD51</f>
        <v/>
      </c>
      <c r="CG1108">
        <f>'T_SelfStock'!CE51</f>
        <v/>
      </c>
      <c r="CH1108">
        <f>'T_SelfStock'!CF51</f>
        <v/>
      </c>
      <c r="CI1108">
        <f>'T_SelfStock'!CG51</f>
        <v/>
      </c>
      <c r="CJ1108">
        <f>'T_SelfStock'!CH51</f>
        <v/>
      </c>
      <c r="CK1108">
        <f>'T_SelfStock'!CI51</f>
        <v/>
      </c>
      <c r="CL1108">
        <f>'T_SelfStock'!CJ51</f>
        <v/>
      </c>
      <c r="CM1108">
        <f>'T_SelfStock'!CK51</f>
        <v/>
      </c>
      <c r="CN1108">
        <f>'T_SelfStock'!CL51</f>
        <v/>
      </c>
      <c r="CO1108">
        <f>'T_SelfStock'!CM51</f>
        <v/>
      </c>
      <c r="CP1108">
        <f>'T_SelfStock'!CN51</f>
        <v/>
      </c>
      <c r="CQ1108">
        <f>'T_SelfStock'!CO51</f>
        <v/>
      </c>
      <c r="CR1108">
        <f>'T_SelfStock'!CP51</f>
        <v/>
      </c>
      <c r="CS1108">
        <f>'T_SelfStock'!CQ51</f>
        <v/>
      </c>
      <c r="CT1108">
        <f>'T_SelfStock'!CR51</f>
        <v/>
      </c>
      <c r="CU1108">
        <f>'T_SelfStock'!CS51</f>
        <v/>
      </c>
      <c r="CV1108">
        <f>'T_SelfStock'!CT51</f>
        <v/>
      </c>
      <c r="CW1108">
        <f>'T_SelfStock'!CU51</f>
        <v/>
      </c>
      <c r="CX1108">
        <f>'T_SelfStock'!CV51</f>
        <v/>
      </c>
      <c r="CY1108">
        <f>'T_SelfStock'!CW51</f>
        <v/>
      </c>
      <c r="CZ1108">
        <f>'T_SelfStock'!CX51</f>
        <v/>
      </c>
      <c r="DA1108">
        <f>'T_SelfStock'!CY51</f>
        <v/>
      </c>
      <c r="DB1108">
        <f>'T_SelfStock'!CZ51</f>
        <v/>
      </c>
      <c r="DC1108">
        <f>'T_SelfStock'!DA51</f>
        <v/>
      </c>
    </row>
    <row r="1109">
      <c r="B1109" t="inlineStr">
        <is>
          <t>Order(発注予定,kg)</t>
        </is>
      </c>
      <c r="D1109" s="23" t="n"/>
      <c r="E1109" s="23" t="n"/>
      <c r="F1109" s="23" t="n"/>
      <c r="G1109" s="23" t="n"/>
      <c r="H1109" s="23" t="n"/>
      <c r="I1109" s="23" t="n"/>
      <c r="J1109" s="23" t="n"/>
      <c r="K1109" s="23" t="n"/>
      <c r="L1109" s="23" t="n"/>
      <c r="M1109" s="23" t="n"/>
      <c r="N1109" s="23" t="n"/>
      <c r="O1109" s="23" t="n"/>
      <c r="P1109" s="23" t="n"/>
      <c r="Q1109" s="23" t="n"/>
      <c r="R1109" s="23" t="n"/>
      <c r="S1109" s="23" t="n"/>
      <c r="T1109" s="23" t="n"/>
      <c r="U1109" s="23" t="n"/>
      <c r="V1109" s="23" t="n"/>
      <c r="W1109" s="23" t="n"/>
      <c r="X1109" s="23" t="n"/>
      <c r="Y1109" s="23" t="n"/>
      <c r="Z1109" s="23" t="n"/>
      <c r="AA1109" s="23" t="n"/>
      <c r="AB1109" s="23" t="n"/>
      <c r="AC1109" s="23" t="n"/>
      <c r="AD1109" s="23" t="n"/>
      <c r="AE1109" s="23" t="n"/>
      <c r="AF1109" s="23" t="n"/>
      <c r="AG1109" s="23" t="n"/>
      <c r="AH1109" s="23" t="n"/>
      <c r="AI1109" s="23" t="n"/>
      <c r="AJ1109" s="23" t="n"/>
      <c r="AK1109" s="23" t="n"/>
      <c r="AL1109" s="23" t="n"/>
      <c r="AM1109" s="23" t="n"/>
      <c r="AN1109" s="23" t="n"/>
      <c r="AO1109" s="23" t="n"/>
      <c r="AP1109" s="23" t="n"/>
      <c r="AQ1109" s="23" t="n"/>
      <c r="AR1109" s="23" t="n"/>
      <c r="AS1109" s="23" t="n"/>
      <c r="AT1109" s="23" t="n"/>
      <c r="AU1109" s="23" t="n"/>
      <c r="AV1109" s="23" t="n"/>
      <c r="AW1109" s="23" t="n"/>
      <c r="AX1109" s="23" t="n"/>
      <c r="AY1109" s="23" t="n"/>
      <c r="AZ1109" s="23" t="n"/>
      <c r="BA1109" s="23" t="n"/>
      <c r="BB1109" s="23" t="n"/>
      <c r="BC1109" s="23" t="n"/>
      <c r="BD1109" s="23" t="n"/>
      <c r="BE1109" s="23" t="n"/>
      <c r="BF1109" s="23" t="n"/>
      <c r="BG1109" s="23" t="n"/>
      <c r="BH1109" s="23" t="n"/>
      <c r="BI1109" s="23" t="n"/>
      <c r="BJ1109" s="23" t="n"/>
      <c r="BK1109" s="23" t="n"/>
      <c r="BL1109" s="23" t="n"/>
      <c r="BM1109" s="23" t="n"/>
      <c r="BN1109" s="23" t="n"/>
      <c r="BO1109" s="23" t="n"/>
      <c r="BP1109" s="23" t="n"/>
      <c r="BQ1109" s="23" t="n"/>
      <c r="BR1109" s="23" t="n"/>
      <c r="BS1109" s="23" t="n"/>
      <c r="BT1109" s="23" t="n"/>
      <c r="BU1109" s="23" t="n"/>
      <c r="BV1109" s="23" t="n"/>
      <c r="BW1109" s="23" t="n"/>
      <c r="BX1109" s="23" t="n"/>
      <c r="BY1109" s="23" t="n"/>
      <c r="BZ1109" s="23" t="n"/>
      <c r="CA1109" s="23" t="n"/>
      <c r="CB1109" s="23" t="n"/>
      <c r="CC1109" s="23" t="n"/>
      <c r="CD1109" s="23" t="n"/>
      <c r="CE1109" s="23" t="n"/>
      <c r="CF1109" s="23" t="n"/>
      <c r="CG1109" s="23" t="n"/>
      <c r="CH1109" s="23" t="n"/>
      <c r="CI1109" s="23" t="n"/>
      <c r="CJ1109" s="23" t="n"/>
      <c r="CK1109" s="23" t="n"/>
      <c r="CL1109" s="23" t="n"/>
      <c r="CM1109" s="23" t="n"/>
      <c r="CN1109" s="23" t="n"/>
      <c r="CO1109" s="23" t="n"/>
      <c r="CP1109" s="23" t="n"/>
      <c r="CQ1109" s="23" t="n"/>
      <c r="CR1109" s="23" t="n"/>
      <c r="CS1109" s="23" t="n"/>
      <c r="CT1109" s="23" t="n"/>
      <c r="CU1109" s="23" t="n"/>
      <c r="CV1109" s="23" t="n"/>
      <c r="CW1109" s="23" t="n"/>
      <c r="CX1109" s="23" t="n"/>
      <c r="CY1109" s="23" t="n"/>
      <c r="CZ1109" s="23" t="n"/>
      <c r="DA1109" s="23" t="n"/>
      <c r="DB1109" s="23" t="n"/>
      <c r="DC1109" s="23" t="n"/>
      <c r="DE1109" s="12" t="inlineStr">
        <is>
          <t>CHEM-1430</t>
        </is>
      </c>
    </row>
    <row r="1110">
      <c r="B1110" s="24" t="inlineStr">
        <is>
          <t>PO_No</t>
        </is>
      </c>
      <c r="D1110" s="25" t="n"/>
      <c r="E1110" s="25" t="n"/>
      <c r="F1110" s="25" t="n"/>
      <c r="G1110" s="25" t="n"/>
      <c r="H1110" s="25" t="n"/>
      <c r="I1110" s="25" t="n"/>
      <c r="J1110" s="25" t="n"/>
      <c r="K1110" s="25" t="n"/>
      <c r="L1110" s="25" t="n"/>
      <c r="M1110" s="25" t="n"/>
      <c r="N1110" s="25" t="n"/>
      <c r="O1110" s="25" t="n"/>
      <c r="P1110" s="25" t="n"/>
      <c r="Q1110" s="25" t="n"/>
      <c r="R1110" s="25" t="n"/>
      <c r="S1110" s="25" t="n"/>
      <c r="T1110" s="25" t="n"/>
      <c r="U1110" s="25" t="n"/>
      <c r="V1110" s="25" t="n"/>
      <c r="W1110" s="25" t="n"/>
      <c r="X1110" s="25" t="n"/>
      <c r="Y1110" s="25" t="n"/>
      <c r="Z1110" s="25" t="n"/>
      <c r="AA1110" s="25" t="n"/>
      <c r="AB1110" s="25" t="n"/>
      <c r="AC1110" s="25" t="n"/>
      <c r="AD1110" s="25" t="n"/>
      <c r="AE1110" s="25" t="n"/>
      <c r="AF1110" s="25" t="n"/>
      <c r="AG1110" s="25" t="n"/>
      <c r="AH1110" s="25" t="n"/>
      <c r="AI1110" s="25" t="n"/>
      <c r="AJ1110" s="25" t="n"/>
      <c r="AK1110" s="25" t="n"/>
      <c r="AL1110" s="25" t="n"/>
      <c r="AM1110" s="25" t="n"/>
      <c r="AN1110" s="25" t="n"/>
      <c r="AO1110" s="25" t="n"/>
      <c r="AP1110" s="25" t="n"/>
      <c r="AQ1110" s="25" t="n"/>
      <c r="AR1110" s="25" t="n"/>
      <c r="AS1110" s="25" t="n"/>
      <c r="AT1110" s="25" t="n"/>
      <c r="AU1110" s="25" t="n"/>
      <c r="AV1110" s="25" t="n"/>
      <c r="AW1110" s="25" t="n"/>
      <c r="AX1110" s="25" t="n"/>
      <c r="AY1110" s="25" t="n"/>
      <c r="AZ1110" s="25" t="n"/>
      <c r="BA1110" s="25" t="n"/>
      <c r="BB1110" s="25" t="n"/>
      <c r="BC1110" s="25" t="n"/>
      <c r="BD1110" s="25" t="n"/>
      <c r="BE1110" s="25" t="n"/>
      <c r="BF1110" s="25" t="n"/>
      <c r="BG1110" s="25" t="n"/>
      <c r="BH1110" s="25" t="n"/>
      <c r="BI1110" s="25" t="n"/>
      <c r="BJ1110" s="25" t="n"/>
      <c r="BK1110" s="25" t="n"/>
      <c r="BL1110" s="25" t="n"/>
      <c r="BM1110" s="25" t="n"/>
      <c r="BN1110" s="25" t="n"/>
      <c r="BO1110" s="25" t="n"/>
      <c r="BP1110" s="25" t="n"/>
      <c r="BQ1110" s="25" t="n"/>
      <c r="BR1110" s="25" t="n"/>
      <c r="BS1110" s="25" t="n"/>
      <c r="BT1110" s="25" t="n"/>
      <c r="BU1110" s="25" t="n"/>
      <c r="BV1110" s="25" t="n"/>
      <c r="BW1110" s="25" t="n"/>
      <c r="BX1110" s="25" t="n"/>
      <c r="BY1110" s="25" t="n"/>
      <c r="BZ1110" s="25" t="n"/>
      <c r="CA1110" s="25" t="n"/>
      <c r="CB1110" s="25" t="n"/>
      <c r="CC1110" s="25" t="n"/>
      <c r="CD1110" s="25" t="n"/>
      <c r="CE1110" s="25" t="n"/>
      <c r="CF1110" s="25" t="n"/>
      <c r="CG1110" s="25" t="n"/>
      <c r="CH1110" s="25" t="n"/>
      <c r="CI1110" s="25" t="n"/>
      <c r="CJ1110" s="25" t="n"/>
      <c r="CK1110" s="25" t="n"/>
      <c r="CL1110" s="25" t="n"/>
      <c r="CM1110" s="25" t="n"/>
      <c r="CN1110" s="25" t="n"/>
      <c r="CO1110" s="25" t="n"/>
      <c r="CP1110" s="25" t="n"/>
      <c r="CQ1110" s="25" t="n"/>
      <c r="CR1110" s="25" t="n"/>
      <c r="CS1110" s="25" t="n"/>
      <c r="CT1110" s="25" t="n"/>
      <c r="CU1110" s="25" t="n"/>
      <c r="CV1110" s="25" t="n"/>
      <c r="CW1110" s="25" t="n"/>
      <c r="CX1110" s="25" t="n"/>
      <c r="CY1110" s="25" t="n"/>
      <c r="CZ1110" s="25" t="n"/>
      <c r="DA1110" s="25" t="n"/>
      <c r="DB1110" s="25" t="n"/>
      <c r="DC1110" s="25" t="n"/>
    </row>
    <row r="1111">
      <c r="B1111" s="5" t="inlineStr">
        <is>
          <t>合計在庫(週末時点,kg)</t>
        </is>
      </c>
      <c r="D1111">
        <f>'Grid_Stock'!B47</f>
        <v/>
      </c>
      <c r="E1111">
        <f>'Grid_Stock'!C47</f>
        <v/>
      </c>
      <c r="F1111">
        <f>'Grid_Stock'!D47</f>
        <v/>
      </c>
      <c r="G1111">
        <f>'Grid_Stock'!E47</f>
        <v/>
      </c>
      <c r="H1111">
        <f>'Grid_Stock'!F47</f>
        <v/>
      </c>
      <c r="I1111">
        <f>'Grid_Stock'!G47</f>
        <v/>
      </c>
      <c r="J1111">
        <f>'Grid_Stock'!H47</f>
        <v/>
      </c>
      <c r="K1111">
        <f>'Grid_Stock'!I47</f>
        <v/>
      </c>
      <c r="L1111">
        <f>'Grid_Stock'!J47</f>
        <v/>
      </c>
      <c r="M1111">
        <f>'Grid_Stock'!K47</f>
        <v/>
      </c>
      <c r="N1111">
        <f>'Grid_Stock'!L47</f>
        <v/>
      </c>
      <c r="O1111">
        <f>'Grid_Stock'!M47</f>
        <v/>
      </c>
      <c r="P1111">
        <f>'Grid_Stock'!N47</f>
        <v/>
      </c>
      <c r="Q1111">
        <f>'Grid_Stock'!O47</f>
        <v/>
      </c>
      <c r="R1111">
        <f>'Grid_Stock'!P47</f>
        <v/>
      </c>
      <c r="S1111">
        <f>'Grid_Stock'!Q47</f>
        <v/>
      </c>
      <c r="T1111">
        <f>'Grid_Stock'!R47</f>
        <v/>
      </c>
      <c r="U1111">
        <f>'Grid_Stock'!S47</f>
        <v/>
      </c>
      <c r="V1111">
        <f>'Grid_Stock'!T47</f>
        <v/>
      </c>
      <c r="W1111">
        <f>'Grid_Stock'!U47</f>
        <v/>
      </c>
      <c r="X1111">
        <f>'Grid_Stock'!V47</f>
        <v/>
      </c>
      <c r="Y1111">
        <f>'Grid_Stock'!W47</f>
        <v/>
      </c>
      <c r="Z1111">
        <f>'Grid_Stock'!X47</f>
        <v/>
      </c>
      <c r="AA1111">
        <f>'Grid_Stock'!Y47</f>
        <v/>
      </c>
      <c r="AB1111">
        <f>'Grid_Stock'!Z47</f>
        <v/>
      </c>
      <c r="AC1111">
        <f>'Grid_Stock'!AA47</f>
        <v/>
      </c>
      <c r="AD1111">
        <f>'Grid_Stock'!AB47</f>
        <v/>
      </c>
      <c r="AE1111">
        <f>'Grid_Stock'!AC47</f>
        <v/>
      </c>
      <c r="AF1111">
        <f>'Grid_Stock'!AD47</f>
        <v/>
      </c>
      <c r="AG1111">
        <f>'Grid_Stock'!AE47</f>
        <v/>
      </c>
      <c r="AH1111">
        <f>'Grid_Stock'!AF47</f>
        <v/>
      </c>
      <c r="AI1111">
        <f>'Grid_Stock'!AG47</f>
        <v/>
      </c>
      <c r="AJ1111">
        <f>'Grid_Stock'!AH47</f>
        <v/>
      </c>
      <c r="AK1111">
        <f>'Grid_Stock'!AI47</f>
        <v/>
      </c>
      <c r="AL1111">
        <f>'Grid_Stock'!AJ47</f>
        <v/>
      </c>
      <c r="AM1111">
        <f>'Grid_Stock'!AK47</f>
        <v/>
      </c>
      <c r="AN1111">
        <f>'Grid_Stock'!AL47</f>
        <v/>
      </c>
      <c r="AO1111">
        <f>'Grid_Stock'!AM47</f>
        <v/>
      </c>
      <c r="AP1111">
        <f>'Grid_Stock'!AN47</f>
        <v/>
      </c>
      <c r="AQ1111">
        <f>'Grid_Stock'!AO47</f>
        <v/>
      </c>
      <c r="AR1111">
        <f>'Grid_Stock'!AP47</f>
        <v/>
      </c>
      <c r="AS1111">
        <f>'Grid_Stock'!AQ47</f>
        <v/>
      </c>
      <c r="AT1111">
        <f>'Grid_Stock'!AR47</f>
        <v/>
      </c>
      <c r="AU1111">
        <f>'Grid_Stock'!AS47</f>
        <v/>
      </c>
      <c r="AV1111">
        <f>'Grid_Stock'!AT47</f>
        <v/>
      </c>
      <c r="AW1111">
        <f>'Grid_Stock'!AU47</f>
        <v/>
      </c>
      <c r="AX1111">
        <f>'Grid_Stock'!AV47</f>
        <v/>
      </c>
      <c r="AY1111">
        <f>'Grid_Stock'!AW47</f>
        <v/>
      </c>
      <c r="AZ1111">
        <f>'Grid_Stock'!AX47</f>
        <v/>
      </c>
      <c r="BA1111">
        <f>'Grid_Stock'!AY47</f>
        <v/>
      </c>
      <c r="BB1111">
        <f>'Grid_Stock'!AZ47</f>
        <v/>
      </c>
      <c r="BC1111">
        <f>'Grid_Stock'!BA47</f>
        <v/>
      </c>
      <c r="BD1111">
        <f>'Grid_Stock'!BB47</f>
        <v/>
      </c>
      <c r="BE1111">
        <f>'Grid_Stock'!BC47</f>
        <v/>
      </c>
      <c r="BF1111">
        <f>'Grid_Stock'!BD47</f>
        <v/>
      </c>
      <c r="BG1111">
        <f>'Grid_Stock'!BE47</f>
        <v/>
      </c>
      <c r="BH1111">
        <f>'Grid_Stock'!BF47</f>
        <v/>
      </c>
      <c r="BI1111">
        <f>'Grid_Stock'!BG47</f>
        <v/>
      </c>
      <c r="BJ1111">
        <f>'Grid_Stock'!BH47</f>
        <v/>
      </c>
      <c r="BK1111">
        <f>'Grid_Stock'!BI47</f>
        <v/>
      </c>
      <c r="BL1111">
        <f>'Grid_Stock'!BJ47</f>
        <v/>
      </c>
      <c r="BM1111">
        <f>'Grid_Stock'!BK47</f>
        <v/>
      </c>
      <c r="BN1111">
        <f>'Grid_Stock'!BL47</f>
        <v/>
      </c>
      <c r="BO1111">
        <f>'Grid_Stock'!BM47</f>
        <v/>
      </c>
      <c r="BP1111">
        <f>'Grid_Stock'!BN47</f>
        <v/>
      </c>
      <c r="BQ1111">
        <f>'Grid_Stock'!BO47</f>
        <v/>
      </c>
      <c r="BR1111">
        <f>'Grid_Stock'!BP47</f>
        <v/>
      </c>
      <c r="BS1111">
        <f>'Grid_Stock'!BQ47</f>
        <v/>
      </c>
      <c r="BT1111">
        <f>'Grid_Stock'!BR47</f>
        <v/>
      </c>
      <c r="BU1111">
        <f>'Grid_Stock'!BS47</f>
        <v/>
      </c>
      <c r="BV1111">
        <f>'Grid_Stock'!BT47</f>
        <v/>
      </c>
      <c r="BW1111">
        <f>'Grid_Stock'!BU47</f>
        <v/>
      </c>
      <c r="BX1111">
        <f>'Grid_Stock'!BV47</f>
        <v/>
      </c>
      <c r="BY1111">
        <f>'Grid_Stock'!BW47</f>
        <v/>
      </c>
      <c r="BZ1111">
        <f>'Grid_Stock'!BX47</f>
        <v/>
      </c>
      <c r="CA1111">
        <f>'Grid_Stock'!BY47</f>
        <v/>
      </c>
      <c r="CB1111">
        <f>'Grid_Stock'!BZ47</f>
        <v/>
      </c>
      <c r="CC1111">
        <f>'Grid_Stock'!CA47</f>
        <v/>
      </c>
      <c r="CD1111">
        <f>'Grid_Stock'!CB47</f>
        <v/>
      </c>
      <c r="CE1111">
        <f>'Grid_Stock'!CC47</f>
        <v/>
      </c>
      <c r="CF1111">
        <f>'Grid_Stock'!CD47</f>
        <v/>
      </c>
      <c r="CG1111">
        <f>'Grid_Stock'!CE47</f>
        <v/>
      </c>
      <c r="CH1111">
        <f>'Grid_Stock'!CF47</f>
        <v/>
      </c>
      <c r="CI1111">
        <f>'Grid_Stock'!CG47</f>
        <v/>
      </c>
      <c r="CJ1111">
        <f>'Grid_Stock'!CH47</f>
        <v/>
      </c>
      <c r="CK1111">
        <f>'Grid_Stock'!CI47</f>
        <v/>
      </c>
      <c r="CL1111">
        <f>'Grid_Stock'!CJ47</f>
        <v/>
      </c>
      <c r="CM1111">
        <f>'Grid_Stock'!CK47</f>
        <v/>
      </c>
      <c r="CN1111">
        <f>'Grid_Stock'!CL47</f>
        <v/>
      </c>
      <c r="CO1111">
        <f>'Grid_Stock'!CM47</f>
        <v/>
      </c>
      <c r="CP1111">
        <f>'Grid_Stock'!CN47</f>
        <v/>
      </c>
      <c r="CQ1111">
        <f>'Grid_Stock'!CO47</f>
        <v/>
      </c>
      <c r="CR1111">
        <f>'Grid_Stock'!CP47</f>
        <v/>
      </c>
      <c r="CS1111">
        <f>'Grid_Stock'!CQ47</f>
        <v/>
      </c>
      <c r="CT1111">
        <f>'Grid_Stock'!CR47</f>
        <v/>
      </c>
      <c r="CU1111">
        <f>'Grid_Stock'!CS47</f>
        <v/>
      </c>
      <c r="CV1111">
        <f>'Grid_Stock'!CT47</f>
        <v/>
      </c>
      <c r="CW1111">
        <f>'Grid_Stock'!CU47</f>
        <v/>
      </c>
      <c r="CX1111">
        <f>'Grid_Stock'!CV47</f>
        <v/>
      </c>
      <c r="CY1111">
        <f>'Grid_Stock'!CW47</f>
        <v/>
      </c>
      <c r="CZ1111">
        <f>'Grid_Stock'!CX47</f>
        <v/>
      </c>
      <c r="DA1111">
        <f>'Grid_Stock'!CY47</f>
        <v/>
      </c>
      <c r="DB1111">
        <f>'Grid_Stock'!CZ47</f>
        <v/>
      </c>
      <c r="DC1111">
        <f>'Grid_Stock'!DA47</f>
        <v/>
      </c>
    </row>
    <row r="1112">
      <c r="B1112" s="26" t="inlineStr">
        <is>
          <t>（発注の目安はDashboardの基準在庫[下限/上限]と色分けを参照）</t>
        </is>
      </c>
    </row>
    <row r="1114">
      <c r="A1114" s="21" t="inlineStr">
        <is>
          <t>CHEM-1470</t>
        </is>
      </c>
      <c r="B1114" s="21" t="inlineStr">
        <is>
          <t>Aluminium Oxide [SCFA-100] - NO LANTHANUM</t>
        </is>
      </c>
      <c r="C1114" s="22" t="n"/>
      <c r="D1114" s="21" t="n"/>
      <c r="E1114" s="21" t="n"/>
      <c r="F1114" s="21" t="n"/>
      <c r="G1114" s="21" t="n"/>
      <c r="H1114" s="21" t="n"/>
      <c r="I1114" s="21" t="n"/>
      <c r="J1114" s="21" t="n"/>
      <c r="K1114" s="21" t="n"/>
      <c r="L1114" s="21" t="n"/>
      <c r="M1114" s="21" t="n"/>
      <c r="N1114" s="21" t="n"/>
      <c r="O1114" s="21" t="n"/>
      <c r="P1114" s="21" t="n"/>
      <c r="Q1114" s="21" t="n"/>
      <c r="R1114" s="21" t="n"/>
      <c r="S1114" s="21" t="n"/>
      <c r="T1114" s="21" t="n"/>
      <c r="U1114" s="21" t="n"/>
      <c r="V1114" s="21" t="n"/>
      <c r="W1114" s="21" t="n"/>
      <c r="X1114" s="21" t="n"/>
      <c r="Y1114" s="21" t="n"/>
      <c r="Z1114" s="21" t="n"/>
      <c r="AA1114" s="21" t="n"/>
      <c r="AB1114" s="21" t="n"/>
      <c r="AC1114" s="21" t="n"/>
      <c r="AD1114" s="21" t="n"/>
      <c r="AE1114" s="21" t="n"/>
      <c r="AF1114" s="21" t="n"/>
      <c r="AG1114" s="21" t="n"/>
      <c r="AH1114" s="21" t="n"/>
      <c r="AI1114" s="21" t="n"/>
      <c r="AJ1114" s="21" t="n"/>
      <c r="AK1114" s="21" t="n"/>
      <c r="AL1114" s="21" t="n"/>
      <c r="AM1114" s="21" t="n"/>
      <c r="AN1114" s="21" t="n"/>
      <c r="AO1114" s="21" t="n"/>
      <c r="AP1114" s="21" t="n"/>
      <c r="AQ1114" s="21" t="n"/>
      <c r="AR1114" s="21" t="n"/>
      <c r="AS1114" s="21" t="n"/>
      <c r="AT1114" s="21" t="n"/>
      <c r="AU1114" s="21" t="n"/>
      <c r="AV1114" s="21" t="n"/>
      <c r="AW1114" s="21" t="n"/>
      <c r="AX1114" s="21" t="n"/>
      <c r="AY1114" s="21" t="n"/>
      <c r="AZ1114" s="21" t="n"/>
      <c r="BA1114" s="21" t="n"/>
      <c r="BB1114" s="21" t="n"/>
      <c r="BC1114" s="21" t="n"/>
      <c r="BD1114" s="21" t="n"/>
      <c r="BE1114" s="21" t="n"/>
      <c r="BF1114" s="21" t="n"/>
      <c r="BG1114" s="21" t="n"/>
      <c r="BH1114" s="21" t="n"/>
      <c r="BI1114" s="21" t="n"/>
      <c r="BJ1114" s="21" t="n"/>
      <c r="BK1114" s="21" t="n"/>
      <c r="BL1114" s="21" t="n"/>
      <c r="BM1114" s="21" t="n"/>
      <c r="BN1114" s="21" t="n"/>
      <c r="BO1114" s="21" t="n"/>
      <c r="BP1114" s="21" t="n"/>
      <c r="BQ1114" s="21" t="n"/>
      <c r="BR1114" s="21" t="n"/>
      <c r="BS1114" s="21" t="n"/>
      <c r="BT1114" s="21" t="n"/>
      <c r="BU1114" s="21" t="n"/>
      <c r="BV1114" s="21" t="n"/>
      <c r="BW1114" s="21" t="n"/>
      <c r="BX1114" s="21" t="n"/>
      <c r="BY1114" s="21" t="n"/>
      <c r="BZ1114" s="21" t="n"/>
      <c r="CA1114" s="21" t="n"/>
      <c r="CB1114" s="21" t="n"/>
      <c r="CC1114" s="21" t="n"/>
      <c r="CD1114" s="21" t="n"/>
      <c r="CE1114" s="21" t="n"/>
      <c r="CF1114" s="21" t="n"/>
      <c r="CG1114" s="21" t="n"/>
      <c r="CH1114" s="21" t="n"/>
      <c r="CI1114" s="21" t="n"/>
      <c r="CJ1114" s="21" t="n"/>
      <c r="CK1114" s="21" t="n"/>
      <c r="CL1114" s="21" t="n"/>
      <c r="CM1114" s="21" t="n"/>
      <c r="CN1114" s="21" t="n"/>
      <c r="CO1114" s="21" t="n"/>
      <c r="CP1114" s="21" t="n"/>
      <c r="CQ1114" s="21" t="n"/>
      <c r="CR1114" s="21" t="n"/>
      <c r="CS1114" s="21" t="n"/>
      <c r="CT1114" s="21" t="n"/>
      <c r="CU1114" s="21" t="n"/>
      <c r="CV1114" s="21" t="n"/>
      <c r="CW1114" s="21" t="n"/>
      <c r="CX1114" s="21" t="n"/>
      <c r="CY1114" s="21" t="n"/>
      <c r="CZ1114" s="21" t="n"/>
      <c r="DA1114" s="21" t="n"/>
      <c r="DB1114" s="21" t="n"/>
      <c r="DC1114" s="21" t="n"/>
    </row>
    <row r="1115">
      <c r="B1115" t="inlineStr">
        <is>
          <t>TSP-224</t>
        </is>
      </c>
      <c r="C1115" t="inlineStr">
        <is>
          <t>No. of batches</t>
        </is>
      </c>
      <c r="D1115">
        <f>IFERROR(INDEX(PP_Grid[#Data],$DD1115,2),0)</f>
        <v/>
      </c>
      <c r="E1115">
        <f>IFERROR(INDEX(PP_Grid[#Data],$DD1115,3),0)</f>
        <v/>
      </c>
      <c r="F1115">
        <f>IFERROR(INDEX(PP_Grid[#Data],$DD1115,4),0)</f>
        <v/>
      </c>
      <c r="G1115">
        <f>IFERROR(INDEX(PP_Grid[#Data],$DD1115,5),0)</f>
        <v/>
      </c>
      <c r="H1115">
        <f>IFERROR(INDEX(PP_Grid[#Data],$DD1115,6),0)</f>
        <v/>
      </c>
      <c r="I1115">
        <f>IFERROR(INDEX(PP_Grid[#Data],$DD1115,7),0)</f>
        <v/>
      </c>
      <c r="J1115">
        <f>IFERROR(INDEX(PP_Grid[#Data],$DD1115,8),0)</f>
        <v/>
      </c>
      <c r="K1115">
        <f>IFERROR(INDEX(PP_Grid[#Data],$DD1115,9),0)</f>
        <v/>
      </c>
      <c r="L1115">
        <f>IFERROR(INDEX(PP_Grid[#Data],$DD1115,10),0)</f>
        <v/>
      </c>
      <c r="M1115">
        <f>IFERROR(INDEX(PP_Grid[#Data],$DD1115,11),0)</f>
        <v/>
      </c>
      <c r="N1115">
        <f>IFERROR(INDEX(PP_Grid[#Data],$DD1115,12),0)</f>
        <v/>
      </c>
      <c r="O1115">
        <f>IFERROR(INDEX(PP_Grid[#Data],$DD1115,13),0)</f>
        <v/>
      </c>
      <c r="P1115">
        <f>IFERROR(INDEX(PP_Grid[#Data],$DD1115,14),0)</f>
        <v/>
      </c>
      <c r="Q1115">
        <f>IFERROR(INDEX(PP_Grid[#Data],$DD1115,15),0)</f>
        <v/>
      </c>
      <c r="R1115">
        <f>IFERROR(INDEX(PP_Grid[#Data],$DD1115,16),0)</f>
        <v/>
      </c>
      <c r="S1115">
        <f>IFERROR(INDEX(PP_Grid[#Data],$DD1115,17),0)</f>
        <v/>
      </c>
      <c r="T1115">
        <f>IFERROR(INDEX(PP_Grid[#Data],$DD1115,18),0)</f>
        <v/>
      </c>
      <c r="U1115">
        <f>IFERROR(INDEX(PP_Grid[#Data],$DD1115,19),0)</f>
        <v/>
      </c>
      <c r="V1115">
        <f>IFERROR(INDEX(PP_Grid[#Data],$DD1115,20),0)</f>
        <v/>
      </c>
      <c r="W1115">
        <f>IFERROR(INDEX(PP_Grid[#Data],$DD1115,21),0)</f>
        <v/>
      </c>
      <c r="X1115">
        <f>IFERROR(INDEX(PP_Grid[#Data],$DD1115,22),0)</f>
        <v/>
      </c>
      <c r="Y1115">
        <f>IFERROR(INDEX(PP_Grid[#Data],$DD1115,23),0)</f>
        <v/>
      </c>
      <c r="Z1115">
        <f>IFERROR(INDEX(PP_Grid[#Data],$DD1115,24),0)</f>
        <v/>
      </c>
      <c r="AA1115">
        <f>IFERROR(INDEX(PP_Grid[#Data],$DD1115,25),0)</f>
        <v/>
      </c>
      <c r="AB1115">
        <f>IFERROR(INDEX(PP_Grid[#Data],$DD1115,26),0)</f>
        <v/>
      </c>
      <c r="AC1115">
        <f>IFERROR(INDEX(PP_Grid[#Data],$DD1115,27),0)</f>
        <v/>
      </c>
      <c r="AD1115">
        <f>IFERROR(INDEX(PP_Grid[#Data],$DD1115,28),0)</f>
        <v/>
      </c>
      <c r="AE1115">
        <f>IFERROR(INDEX(PP_Grid[#Data],$DD1115,29),0)</f>
        <v/>
      </c>
      <c r="AF1115">
        <f>IFERROR(INDEX(PP_Grid[#Data],$DD1115,30),0)</f>
        <v/>
      </c>
      <c r="AG1115">
        <f>IFERROR(INDEX(PP_Grid[#Data],$DD1115,31),0)</f>
        <v/>
      </c>
      <c r="AH1115">
        <f>IFERROR(INDEX(PP_Grid[#Data],$DD1115,32),0)</f>
        <v/>
      </c>
      <c r="AI1115">
        <f>IFERROR(INDEX(PP_Grid[#Data],$DD1115,33),0)</f>
        <v/>
      </c>
      <c r="AJ1115">
        <f>IFERROR(INDEX(PP_Grid[#Data],$DD1115,34),0)</f>
        <v/>
      </c>
      <c r="AK1115">
        <f>IFERROR(INDEX(PP_Grid[#Data],$DD1115,35),0)</f>
        <v/>
      </c>
      <c r="AL1115">
        <f>IFERROR(INDEX(PP_Grid[#Data],$DD1115,36),0)</f>
        <v/>
      </c>
      <c r="AM1115">
        <f>IFERROR(INDEX(PP_Grid[#Data],$DD1115,37),0)</f>
        <v/>
      </c>
      <c r="AN1115">
        <f>IFERROR(INDEX(PP_Grid[#Data],$DD1115,38),0)</f>
        <v/>
      </c>
      <c r="AO1115">
        <f>IFERROR(INDEX(PP_Grid[#Data],$DD1115,39),0)</f>
        <v/>
      </c>
      <c r="AP1115">
        <f>IFERROR(INDEX(PP_Grid[#Data],$DD1115,40),0)</f>
        <v/>
      </c>
      <c r="AQ1115">
        <f>IFERROR(INDEX(PP_Grid[#Data],$DD1115,41),0)</f>
        <v/>
      </c>
      <c r="AR1115">
        <f>IFERROR(INDEX(PP_Grid[#Data],$DD1115,42),0)</f>
        <v/>
      </c>
      <c r="AS1115">
        <f>IFERROR(INDEX(PP_Grid[#Data],$DD1115,43),0)</f>
        <v/>
      </c>
      <c r="AT1115">
        <f>IFERROR(INDEX(PP_Grid[#Data],$DD1115,44),0)</f>
        <v/>
      </c>
      <c r="AU1115">
        <f>IFERROR(INDEX(PP_Grid[#Data],$DD1115,45),0)</f>
        <v/>
      </c>
      <c r="AV1115">
        <f>IFERROR(INDEX(PP_Grid[#Data],$DD1115,46),0)</f>
        <v/>
      </c>
      <c r="AW1115">
        <f>IFERROR(INDEX(PP_Grid[#Data],$DD1115,47),0)</f>
        <v/>
      </c>
      <c r="AX1115">
        <f>IFERROR(INDEX(PP_Grid[#Data],$DD1115,48),0)</f>
        <v/>
      </c>
      <c r="AY1115">
        <f>IFERROR(INDEX(PP_Grid[#Data],$DD1115,49),0)</f>
        <v/>
      </c>
      <c r="AZ1115">
        <f>IFERROR(INDEX(PP_Grid[#Data],$DD1115,50),0)</f>
        <v/>
      </c>
      <c r="BA1115">
        <f>IFERROR(INDEX(PP_Grid[#Data],$DD1115,51),0)</f>
        <v/>
      </c>
      <c r="BB1115">
        <f>IFERROR(INDEX(PP_Grid[#Data],$DD1115,52),0)</f>
        <v/>
      </c>
      <c r="BC1115">
        <f>IFERROR(INDEX(PP_Grid[#Data],$DD1115,53),0)</f>
        <v/>
      </c>
      <c r="BD1115">
        <f>IFERROR(INDEX(PP_Grid[#Data],$DD1115,54),0)</f>
        <v/>
      </c>
      <c r="BE1115">
        <f>IFERROR(INDEX(PP_Grid[#Data],$DD1115,55),0)</f>
        <v/>
      </c>
      <c r="BF1115">
        <f>IFERROR(INDEX(PP_Grid[#Data],$DD1115,56),0)</f>
        <v/>
      </c>
      <c r="BG1115">
        <f>IFERROR(INDEX(PP_Grid[#Data],$DD1115,57),0)</f>
        <v/>
      </c>
      <c r="BH1115">
        <f>IFERROR(INDEX(PP_Grid[#Data],$DD1115,58),0)</f>
        <v/>
      </c>
      <c r="BI1115">
        <f>IFERROR(INDEX(PP_Grid[#Data],$DD1115,59),0)</f>
        <v/>
      </c>
      <c r="BJ1115">
        <f>IFERROR(INDEX(PP_Grid[#Data],$DD1115,60),0)</f>
        <v/>
      </c>
      <c r="BK1115">
        <f>IFERROR(INDEX(PP_Grid[#Data],$DD1115,61),0)</f>
        <v/>
      </c>
      <c r="BL1115">
        <f>IFERROR(INDEX(PP_Grid[#Data],$DD1115,62),0)</f>
        <v/>
      </c>
      <c r="BM1115">
        <f>IFERROR(INDEX(PP_Grid[#Data],$DD1115,63),0)</f>
        <v/>
      </c>
      <c r="BN1115">
        <f>IFERROR(INDEX(PP_Grid[#Data],$DD1115,64),0)</f>
        <v/>
      </c>
      <c r="BO1115">
        <f>IFERROR(INDEX(PP_Grid[#Data],$DD1115,65),0)</f>
        <v/>
      </c>
      <c r="BP1115">
        <f>IFERROR(INDEX(PP_Grid[#Data],$DD1115,66),0)</f>
        <v/>
      </c>
      <c r="BQ1115">
        <f>IFERROR(INDEX(PP_Grid[#Data],$DD1115,67),0)</f>
        <v/>
      </c>
      <c r="BR1115">
        <f>IFERROR(INDEX(PP_Grid[#Data],$DD1115,68),0)</f>
        <v/>
      </c>
      <c r="BS1115">
        <f>IFERROR(INDEX(PP_Grid[#Data],$DD1115,69),0)</f>
        <v/>
      </c>
      <c r="BT1115">
        <f>IFERROR(INDEX(PP_Grid[#Data],$DD1115,70),0)</f>
        <v/>
      </c>
      <c r="BU1115">
        <f>IFERROR(INDEX(PP_Grid[#Data],$DD1115,71),0)</f>
        <v/>
      </c>
      <c r="BV1115">
        <f>IFERROR(INDEX(PP_Grid[#Data],$DD1115,72),0)</f>
        <v/>
      </c>
      <c r="BW1115">
        <f>IFERROR(INDEX(PP_Grid[#Data],$DD1115,73),0)</f>
        <v/>
      </c>
      <c r="BX1115">
        <f>IFERROR(INDEX(PP_Grid[#Data],$DD1115,74),0)</f>
        <v/>
      </c>
      <c r="BY1115">
        <f>IFERROR(INDEX(PP_Grid[#Data],$DD1115,75),0)</f>
        <v/>
      </c>
      <c r="BZ1115">
        <f>IFERROR(INDEX(PP_Grid[#Data],$DD1115,76),0)</f>
        <v/>
      </c>
      <c r="CA1115">
        <f>IFERROR(INDEX(PP_Grid[#Data],$DD1115,77),0)</f>
        <v/>
      </c>
      <c r="CB1115">
        <f>IFERROR(INDEX(PP_Grid[#Data],$DD1115,78),0)</f>
        <v/>
      </c>
      <c r="CC1115">
        <f>IFERROR(INDEX(PP_Grid[#Data],$DD1115,79),0)</f>
        <v/>
      </c>
      <c r="CD1115">
        <f>IFERROR(INDEX(PP_Grid[#Data],$DD1115,80),0)</f>
        <v/>
      </c>
      <c r="CE1115">
        <f>IFERROR(INDEX(PP_Grid[#Data],$DD1115,81),0)</f>
        <v/>
      </c>
      <c r="CF1115">
        <f>IFERROR(INDEX(PP_Grid[#Data],$DD1115,82),0)</f>
        <v/>
      </c>
      <c r="CG1115">
        <f>IFERROR(INDEX(PP_Grid[#Data],$DD1115,83),0)</f>
        <v/>
      </c>
      <c r="CH1115">
        <f>IFERROR(INDEX(PP_Grid[#Data],$DD1115,84),0)</f>
        <v/>
      </c>
      <c r="CI1115">
        <f>IFERROR(INDEX(PP_Grid[#Data],$DD1115,85),0)</f>
        <v/>
      </c>
      <c r="CJ1115">
        <f>IFERROR(INDEX(PP_Grid[#Data],$DD1115,86),0)</f>
        <v/>
      </c>
      <c r="CK1115">
        <f>IFERROR(INDEX(PP_Grid[#Data],$DD1115,87),0)</f>
        <v/>
      </c>
      <c r="CL1115">
        <f>IFERROR(INDEX(PP_Grid[#Data],$DD1115,88),0)</f>
        <v/>
      </c>
      <c r="CM1115">
        <f>IFERROR(INDEX(PP_Grid[#Data],$DD1115,89),0)</f>
        <v/>
      </c>
      <c r="CN1115">
        <f>IFERROR(INDEX(PP_Grid[#Data],$DD1115,90),0)</f>
        <v/>
      </c>
      <c r="CO1115">
        <f>IFERROR(INDEX(PP_Grid[#Data],$DD1115,91),0)</f>
        <v/>
      </c>
      <c r="CP1115">
        <f>IFERROR(INDEX(PP_Grid[#Data],$DD1115,92),0)</f>
        <v/>
      </c>
      <c r="CQ1115">
        <f>IFERROR(INDEX(PP_Grid[#Data],$DD1115,93),0)</f>
        <v/>
      </c>
      <c r="CR1115">
        <f>IFERROR(INDEX(PP_Grid[#Data],$DD1115,94),0)</f>
        <v/>
      </c>
      <c r="CS1115">
        <f>IFERROR(INDEX(PP_Grid[#Data],$DD1115,95),0)</f>
        <v/>
      </c>
      <c r="CT1115">
        <f>IFERROR(INDEX(PP_Grid[#Data],$DD1115,96),0)</f>
        <v/>
      </c>
      <c r="CU1115">
        <f>IFERROR(INDEX(PP_Grid[#Data],$DD1115,97),0)</f>
        <v/>
      </c>
      <c r="CV1115">
        <f>IFERROR(INDEX(PP_Grid[#Data],$DD1115,98),0)</f>
        <v/>
      </c>
      <c r="CW1115">
        <f>IFERROR(INDEX(PP_Grid[#Data],$DD1115,99),0)</f>
        <v/>
      </c>
      <c r="CX1115">
        <f>IFERROR(INDEX(PP_Grid[#Data],$DD1115,100),0)</f>
        <v/>
      </c>
      <c r="CY1115">
        <f>IFERROR(INDEX(PP_Grid[#Data],$DD1115,101),0)</f>
        <v/>
      </c>
      <c r="CZ1115">
        <f>IFERROR(INDEX(PP_Grid[#Data],$DD1115,102),0)</f>
        <v/>
      </c>
      <c r="DA1115">
        <f>IFERROR(INDEX(PP_Grid[#Data],$DD1115,103),0)</f>
        <v/>
      </c>
      <c r="DB1115">
        <f>IFERROR(INDEX(PP_Grid[#Data],$DD1115,104),0)</f>
        <v/>
      </c>
      <c r="DC1115">
        <f>IFERROR(INDEX(PP_Grid[#Data],$DD1115,105),0)</f>
        <v/>
      </c>
      <c r="DD1115" s="12">
        <f>IFERROR(MATCH($B1115,PP_Grid[Intermediate],0),99999)</f>
        <v/>
      </c>
    </row>
    <row r="1116">
      <c r="B1116" t="inlineStr">
        <is>
          <t>使用量(kg)</t>
        </is>
      </c>
      <c r="C1116">
        <f>SUMIFS(M_BOM[RM_Qty_Per_Batch],M_BOM[Intermediate],$B1115,M_BOM[Part Name],$A1114)</f>
        <v/>
      </c>
      <c r="D1116">
        <f>$C1116*D1115</f>
        <v/>
      </c>
      <c r="E1116">
        <f>$C1116*E1115</f>
        <v/>
      </c>
      <c r="F1116">
        <f>$C1116*F1115</f>
        <v/>
      </c>
      <c r="G1116">
        <f>$C1116*G1115</f>
        <v/>
      </c>
      <c r="H1116">
        <f>$C1116*H1115</f>
        <v/>
      </c>
      <c r="I1116">
        <f>$C1116*I1115</f>
        <v/>
      </c>
      <c r="J1116">
        <f>$C1116*J1115</f>
        <v/>
      </c>
      <c r="K1116">
        <f>$C1116*K1115</f>
        <v/>
      </c>
      <c r="L1116">
        <f>$C1116*L1115</f>
        <v/>
      </c>
      <c r="M1116">
        <f>$C1116*M1115</f>
        <v/>
      </c>
      <c r="N1116">
        <f>$C1116*N1115</f>
        <v/>
      </c>
      <c r="O1116">
        <f>$C1116*O1115</f>
        <v/>
      </c>
      <c r="P1116">
        <f>$C1116*P1115</f>
        <v/>
      </c>
      <c r="Q1116">
        <f>$C1116*Q1115</f>
        <v/>
      </c>
      <c r="R1116">
        <f>$C1116*R1115</f>
        <v/>
      </c>
      <c r="S1116">
        <f>$C1116*S1115</f>
        <v/>
      </c>
      <c r="T1116">
        <f>$C1116*T1115</f>
        <v/>
      </c>
      <c r="U1116">
        <f>$C1116*U1115</f>
        <v/>
      </c>
      <c r="V1116">
        <f>$C1116*V1115</f>
        <v/>
      </c>
      <c r="W1116">
        <f>$C1116*W1115</f>
        <v/>
      </c>
      <c r="X1116">
        <f>$C1116*X1115</f>
        <v/>
      </c>
      <c r="Y1116">
        <f>$C1116*Y1115</f>
        <v/>
      </c>
      <c r="Z1116">
        <f>$C1116*Z1115</f>
        <v/>
      </c>
      <c r="AA1116">
        <f>$C1116*AA1115</f>
        <v/>
      </c>
      <c r="AB1116">
        <f>$C1116*AB1115</f>
        <v/>
      </c>
      <c r="AC1116">
        <f>$C1116*AC1115</f>
        <v/>
      </c>
      <c r="AD1116">
        <f>$C1116*AD1115</f>
        <v/>
      </c>
      <c r="AE1116">
        <f>$C1116*AE1115</f>
        <v/>
      </c>
      <c r="AF1116">
        <f>$C1116*AF1115</f>
        <v/>
      </c>
      <c r="AG1116">
        <f>$C1116*AG1115</f>
        <v/>
      </c>
      <c r="AH1116">
        <f>$C1116*AH1115</f>
        <v/>
      </c>
      <c r="AI1116">
        <f>$C1116*AI1115</f>
        <v/>
      </c>
      <c r="AJ1116">
        <f>$C1116*AJ1115</f>
        <v/>
      </c>
      <c r="AK1116">
        <f>$C1116*AK1115</f>
        <v/>
      </c>
      <c r="AL1116">
        <f>$C1116*AL1115</f>
        <v/>
      </c>
      <c r="AM1116">
        <f>$C1116*AM1115</f>
        <v/>
      </c>
      <c r="AN1116">
        <f>$C1116*AN1115</f>
        <v/>
      </c>
      <c r="AO1116">
        <f>$C1116*AO1115</f>
        <v/>
      </c>
      <c r="AP1116">
        <f>$C1116*AP1115</f>
        <v/>
      </c>
      <c r="AQ1116">
        <f>$C1116*AQ1115</f>
        <v/>
      </c>
      <c r="AR1116">
        <f>$C1116*AR1115</f>
        <v/>
      </c>
      <c r="AS1116">
        <f>$C1116*AS1115</f>
        <v/>
      </c>
      <c r="AT1116">
        <f>$C1116*AT1115</f>
        <v/>
      </c>
      <c r="AU1116">
        <f>$C1116*AU1115</f>
        <v/>
      </c>
      <c r="AV1116">
        <f>$C1116*AV1115</f>
        <v/>
      </c>
      <c r="AW1116">
        <f>$C1116*AW1115</f>
        <v/>
      </c>
      <c r="AX1116">
        <f>$C1116*AX1115</f>
        <v/>
      </c>
      <c r="AY1116">
        <f>$C1116*AY1115</f>
        <v/>
      </c>
      <c r="AZ1116">
        <f>$C1116*AZ1115</f>
        <v/>
      </c>
      <c r="BA1116">
        <f>$C1116*BA1115</f>
        <v/>
      </c>
      <c r="BB1116">
        <f>$C1116*BB1115</f>
        <v/>
      </c>
      <c r="BC1116">
        <f>$C1116*BC1115</f>
        <v/>
      </c>
      <c r="BD1116">
        <f>$C1116*BD1115</f>
        <v/>
      </c>
      <c r="BE1116">
        <f>$C1116*BE1115</f>
        <v/>
      </c>
      <c r="BF1116">
        <f>$C1116*BF1115</f>
        <v/>
      </c>
      <c r="BG1116">
        <f>$C1116*BG1115</f>
        <v/>
      </c>
      <c r="BH1116">
        <f>$C1116*BH1115</f>
        <v/>
      </c>
      <c r="BI1116">
        <f>$C1116*BI1115</f>
        <v/>
      </c>
      <c r="BJ1116">
        <f>$C1116*BJ1115</f>
        <v/>
      </c>
      <c r="BK1116">
        <f>$C1116*BK1115</f>
        <v/>
      </c>
      <c r="BL1116">
        <f>$C1116*BL1115</f>
        <v/>
      </c>
      <c r="BM1116">
        <f>$C1116*BM1115</f>
        <v/>
      </c>
      <c r="BN1116">
        <f>$C1116*BN1115</f>
        <v/>
      </c>
      <c r="BO1116">
        <f>$C1116*BO1115</f>
        <v/>
      </c>
      <c r="BP1116">
        <f>$C1116*BP1115</f>
        <v/>
      </c>
      <c r="BQ1116">
        <f>$C1116*BQ1115</f>
        <v/>
      </c>
      <c r="BR1116">
        <f>$C1116*BR1115</f>
        <v/>
      </c>
      <c r="BS1116">
        <f>$C1116*BS1115</f>
        <v/>
      </c>
      <c r="BT1116">
        <f>$C1116*BT1115</f>
        <v/>
      </c>
      <c r="BU1116">
        <f>$C1116*BU1115</f>
        <v/>
      </c>
      <c r="BV1116">
        <f>$C1116*BV1115</f>
        <v/>
      </c>
      <c r="BW1116">
        <f>$C1116*BW1115</f>
        <v/>
      </c>
      <c r="BX1116">
        <f>$C1116*BX1115</f>
        <v/>
      </c>
      <c r="BY1116">
        <f>$C1116*BY1115</f>
        <v/>
      </c>
      <c r="BZ1116">
        <f>$C1116*BZ1115</f>
        <v/>
      </c>
      <c r="CA1116">
        <f>$C1116*CA1115</f>
        <v/>
      </c>
      <c r="CB1116">
        <f>$C1116*CB1115</f>
        <v/>
      </c>
      <c r="CC1116">
        <f>$C1116*CC1115</f>
        <v/>
      </c>
      <c r="CD1116">
        <f>$C1116*CD1115</f>
        <v/>
      </c>
      <c r="CE1116">
        <f>$C1116*CE1115</f>
        <v/>
      </c>
      <c r="CF1116">
        <f>$C1116*CF1115</f>
        <v/>
      </c>
      <c r="CG1116">
        <f>$C1116*CG1115</f>
        <v/>
      </c>
      <c r="CH1116">
        <f>$C1116*CH1115</f>
        <v/>
      </c>
      <c r="CI1116">
        <f>$C1116*CI1115</f>
        <v/>
      </c>
      <c r="CJ1116">
        <f>$C1116*CJ1115</f>
        <v/>
      </c>
      <c r="CK1116">
        <f>$C1116*CK1115</f>
        <v/>
      </c>
      <c r="CL1116">
        <f>$C1116*CL1115</f>
        <v/>
      </c>
      <c r="CM1116">
        <f>$C1116*CM1115</f>
        <v/>
      </c>
      <c r="CN1116">
        <f>$C1116*CN1115</f>
        <v/>
      </c>
      <c r="CO1116">
        <f>$C1116*CO1115</f>
        <v/>
      </c>
      <c r="CP1116">
        <f>$C1116*CP1115</f>
        <v/>
      </c>
      <c r="CQ1116">
        <f>$C1116*CQ1115</f>
        <v/>
      </c>
      <c r="CR1116">
        <f>$C1116*CR1115</f>
        <v/>
      </c>
      <c r="CS1116">
        <f>$C1116*CS1115</f>
        <v/>
      </c>
      <c r="CT1116">
        <f>$C1116*CT1115</f>
        <v/>
      </c>
      <c r="CU1116">
        <f>$C1116*CU1115</f>
        <v/>
      </c>
      <c r="CV1116">
        <f>$C1116*CV1115</f>
        <v/>
      </c>
      <c r="CW1116">
        <f>$C1116*CW1115</f>
        <v/>
      </c>
      <c r="CX1116">
        <f>$C1116*CX1115</f>
        <v/>
      </c>
      <c r="CY1116">
        <f>$C1116*CY1115</f>
        <v/>
      </c>
      <c r="CZ1116">
        <f>$C1116*CZ1115</f>
        <v/>
      </c>
      <c r="DA1116">
        <f>$C1116*DA1115</f>
        <v/>
      </c>
      <c r="DB1116">
        <f>$C1116*DB1115</f>
        <v/>
      </c>
      <c r="DC1116">
        <f>$C1116*DC1115</f>
        <v/>
      </c>
    </row>
    <row r="1117">
      <c r="B1117" t="inlineStr">
        <is>
          <t>TSP-225</t>
        </is>
      </c>
      <c r="C1117" t="inlineStr">
        <is>
          <t>No. of batches</t>
        </is>
      </c>
      <c r="D1117">
        <f>IFERROR(INDEX(PP_Grid[#Data],$DD1117,2),0)</f>
        <v/>
      </c>
      <c r="E1117">
        <f>IFERROR(INDEX(PP_Grid[#Data],$DD1117,3),0)</f>
        <v/>
      </c>
      <c r="F1117">
        <f>IFERROR(INDEX(PP_Grid[#Data],$DD1117,4),0)</f>
        <v/>
      </c>
      <c r="G1117">
        <f>IFERROR(INDEX(PP_Grid[#Data],$DD1117,5),0)</f>
        <v/>
      </c>
      <c r="H1117">
        <f>IFERROR(INDEX(PP_Grid[#Data],$DD1117,6),0)</f>
        <v/>
      </c>
      <c r="I1117">
        <f>IFERROR(INDEX(PP_Grid[#Data],$DD1117,7),0)</f>
        <v/>
      </c>
      <c r="J1117">
        <f>IFERROR(INDEX(PP_Grid[#Data],$DD1117,8),0)</f>
        <v/>
      </c>
      <c r="K1117">
        <f>IFERROR(INDEX(PP_Grid[#Data],$DD1117,9),0)</f>
        <v/>
      </c>
      <c r="L1117">
        <f>IFERROR(INDEX(PP_Grid[#Data],$DD1117,10),0)</f>
        <v/>
      </c>
      <c r="M1117">
        <f>IFERROR(INDEX(PP_Grid[#Data],$DD1117,11),0)</f>
        <v/>
      </c>
      <c r="N1117">
        <f>IFERROR(INDEX(PP_Grid[#Data],$DD1117,12),0)</f>
        <v/>
      </c>
      <c r="O1117">
        <f>IFERROR(INDEX(PP_Grid[#Data],$DD1117,13),0)</f>
        <v/>
      </c>
      <c r="P1117">
        <f>IFERROR(INDEX(PP_Grid[#Data],$DD1117,14),0)</f>
        <v/>
      </c>
      <c r="Q1117">
        <f>IFERROR(INDEX(PP_Grid[#Data],$DD1117,15),0)</f>
        <v/>
      </c>
      <c r="R1117">
        <f>IFERROR(INDEX(PP_Grid[#Data],$DD1117,16),0)</f>
        <v/>
      </c>
      <c r="S1117">
        <f>IFERROR(INDEX(PP_Grid[#Data],$DD1117,17),0)</f>
        <v/>
      </c>
      <c r="T1117">
        <f>IFERROR(INDEX(PP_Grid[#Data],$DD1117,18),0)</f>
        <v/>
      </c>
      <c r="U1117">
        <f>IFERROR(INDEX(PP_Grid[#Data],$DD1117,19),0)</f>
        <v/>
      </c>
      <c r="V1117">
        <f>IFERROR(INDEX(PP_Grid[#Data],$DD1117,20),0)</f>
        <v/>
      </c>
      <c r="W1117">
        <f>IFERROR(INDEX(PP_Grid[#Data],$DD1117,21),0)</f>
        <v/>
      </c>
      <c r="X1117">
        <f>IFERROR(INDEX(PP_Grid[#Data],$DD1117,22),0)</f>
        <v/>
      </c>
      <c r="Y1117">
        <f>IFERROR(INDEX(PP_Grid[#Data],$DD1117,23),0)</f>
        <v/>
      </c>
      <c r="Z1117">
        <f>IFERROR(INDEX(PP_Grid[#Data],$DD1117,24),0)</f>
        <v/>
      </c>
      <c r="AA1117">
        <f>IFERROR(INDEX(PP_Grid[#Data],$DD1117,25),0)</f>
        <v/>
      </c>
      <c r="AB1117">
        <f>IFERROR(INDEX(PP_Grid[#Data],$DD1117,26),0)</f>
        <v/>
      </c>
      <c r="AC1117">
        <f>IFERROR(INDEX(PP_Grid[#Data],$DD1117,27),0)</f>
        <v/>
      </c>
      <c r="AD1117">
        <f>IFERROR(INDEX(PP_Grid[#Data],$DD1117,28),0)</f>
        <v/>
      </c>
      <c r="AE1117">
        <f>IFERROR(INDEX(PP_Grid[#Data],$DD1117,29),0)</f>
        <v/>
      </c>
      <c r="AF1117">
        <f>IFERROR(INDEX(PP_Grid[#Data],$DD1117,30),0)</f>
        <v/>
      </c>
      <c r="AG1117">
        <f>IFERROR(INDEX(PP_Grid[#Data],$DD1117,31),0)</f>
        <v/>
      </c>
      <c r="AH1117">
        <f>IFERROR(INDEX(PP_Grid[#Data],$DD1117,32),0)</f>
        <v/>
      </c>
      <c r="AI1117">
        <f>IFERROR(INDEX(PP_Grid[#Data],$DD1117,33),0)</f>
        <v/>
      </c>
      <c r="AJ1117">
        <f>IFERROR(INDEX(PP_Grid[#Data],$DD1117,34),0)</f>
        <v/>
      </c>
      <c r="AK1117">
        <f>IFERROR(INDEX(PP_Grid[#Data],$DD1117,35),0)</f>
        <v/>
      </c>
      <c r="AL1117">
        <f>IFERROR(INDEX(PP_Grid[#Data],$DD1117,36),0)</f>
        <v/>
      </c>
      <c r="AM1117">
        <f>IFERROR(INDEX(PP_Grid[#Data],$DD1117,37),0)</f>
        <v/>
      </c>
      <c r="AN1117">
        <f>IFERROR(INDEX(PP_Grid[#Data],$DD1117,38),0)</f>
        <v/>
      </c>
      <c r="AO1117">
        <f>IFERROR(INDEX(PP_Grid[#Data],$DD1117,39),0)</f>
        <v/>
      </c>
      <c r="AP1117">
        <f>IFERROR(INDEX(PP_Grid[#Data],$DD1117,40),0)</f>
        <v/>
      </c>
      <c r="AQ1117">
        <f>IFERROR(INDEX(PP_Grid[#Data],$DD1117,41),0)</f>
        <v/>
      </c>
      <c r="AR1117">
        <f>IFERROR(INDEX(PP_Grid[#Data],$DD1117,42),0)</f>
        <v/>
      </c>
      <c r="AS1117">
        <f>IFERROR(INDEX(PP_Grid[#Data],$DD1117,43),0)</f>
        <v/>
      </c>
      <c r="AT1117">
        <f>IFERROR(INDEX(PP_Grid[#Data],$DD1117,44),0)</f>
        <v/>
      </c>
      <c r="AU1117">
        <f>IFERROR(INDEX(PP_Grid[#Data],$DD1117,45),0)</f>
        <v/>
      </c>
      <c r="AV1117">
        <f>IFERROR(INDEX(PP_Grid[#Data],$DD1117,46),0)</f>
        <v/>
      </c>
      <c r="AW1117">
        <f>IFERROR(INDEX(PP_Grid[#Data],$DD1117,47),0)</f>
        <v/>
      </c>
      <c r="AX1117">
        <f>IFERROR(INDEX(PP_Grid[#Data],$DD1117,48),0)</f>
        <v/>
      </c>
      <c r="AY1117">
        <f>IFERROR(INDEX(PP_Grid[#Data],$DD1117,49),0)</f>
        <v/>
      </c>
      <c r="AZ1117">
        <f>IFERROR(INDEX(PP_Grid[#Data],$DD1117,50),0)</f>
        <v/>
      </c>
      <c r="BA1117">
        <f>IFERROR(INDEX(PP_Grid[#Data],$DD1117,51),0)</f>
        <v/>
      </c>
      <c r="BB1117">
        <f>IFERROR(INDEX(PP_Grid[#Data],$DD1117,52),0)</f>
        <v/>
      </c>
      <c r="BC1117">
        <f>IFERROR(INDEX(PP_Grid[#Data],$DD1117,53),0)</f>
        <v/>
      </c>
      <c r="BD1117">
        <f>IFERROR(INDEX(PP_Grid[#Data],$DD1117,54),0)</f>
        <v/>
      </c>
      <c r="BE1117">
        <f>IFERROR(INDEX(PP_Grid[#Data],$DD1117,55),0)</f>
        <v/>
      </c>
      <c r="BF1117">
        <f>IFERROR(INDEX(PP_Grid[#Data],$DD1117,56),0)</f>
        <v/>
      </c>
      <c r="BG1117">
        <f>IFERROR(INDEX(PP_Grid[#Data],$DD1117,57),0)</f>
        <v/>
      </c>
      <c r="BH1117">
        <f>IFERROR(INDEX(PP_Grid[#Data],$DD1117,58),0)</f>
        <v/>
      </c>
      <c r="BI1117">
        <f>IFERROR(INDEX(PP_Grid[#Data],$DD1117,59),0)</f>
        <v/>
      </c>
      <c r="BJ1117">
        <f>IFERROR(INDEX(PP_Grid[#Data],$DD1117,60),0)</f>
        <v/>
      </c>
      <c r="BK1117">
        <f>IFERROR(INDEX(PP_Grid[#Data],$DD1117,61),0)</f>
        <v/>
      </c>
      <c r="BL1117">
        <f>IFERROR(INDEX(PP_Grid[#Data],$DD1117,62),0)</f>
        <v/>
      </c>
      <c r="BM1117">
        <f>IFERROR(INDEX(PP_Grid[#Data],$DD1117,63),0)</f>
        <v/>
      </c>
      <c r="BN1117">
        <f>IFERROR(INDEX(PP_Grid[#Data],$DD1117,64),0)</f>
        <v/>
      </c>
      <c r="BO1117">
        <f>IFERROR(INDEX(PP_Grid[#Data],$DD1117,65),0)</f>
        <v/>
      </c>
      <c r="BP1117">
        <f>IFERROR(INDEX(PP_Grid[#Data],$DD1117,66),0)</f>
        <v/>
      </c>
      <c r="BQ1117">
        <f>IFERROR(INDEX(PP_Grid[#Data],$DD1117,67),0)</f>
        <v/>
      </c>
      <c r="BR1117">
        <f>IFERROR(INDEX(PP_Grid[#Data],$DD1117,68),0)</f>
        <v/>
      </c>
      <c r="BS1117">
        <f>IFERROR(INDEX(PP_Grid[#Data],$DD1117,69),0)</f>
        <v/>
      </c>
      <c r="BT1117">
        <f>IFERROR(INDEX(PP_Grid[#Data],$DD1117,70),0)</f>
        <v/>
      </c>
      <c r="BU1117">
        <f>IFERROR(INDEX(PP_Grid[#Data],$DD1117,71),0)</f>
        <v/>
      </c>
      <c r="BV1117">
        <f>IFERROR(INDEX(PP_Grid[#Data],$DD1117,72),0)</f>
        <v/>
      </c>
      <c r="BW1117">
        <f>IFERROR(INDEX(PP_Grid[#Data],$DD1117,73),0)</f>
        <v/>
      </c>
      <c r="BX1117">
        <f>IFERROR(INDEX(PP_Grid[#Data],$DD1117,74),0)</f>
        <v/>
      </c>
      <c r="BY1117">
        <f>IFERROR(INDEX(PP_Grid[#Data],$DD1117,75),0)</f>
        <v/>
      </c>
      <c r="BZ1117">
        <f>IFERROR(INDEX(PP_Grid[#Data],$DD1117,76),0)</f>
        <v/>
      </c>
      <c r="CA1117">
        <f>IFERROR(INDEX(PP_Grid[#Data],$DD1117,77),0)</f>
        <v/>
      </c>
      <c r="CB1117">
        <f>IFERROR(INDEX(PP_Grid[#Data],$DD1117,78),0)</f>
        <v/>
      </c>
      <c r="CC1117">
        <f>IFERROR(INDEX(PP_Grid[#Data],$DD1117,79),0)</f>
        <v/>
      </c>
      <c r="CD1117">
        <f>IFERROR(INDEX(PP_Grid[#Data],$DD1117,80),0)</f>
        <v/>
      </c>
      <c r="CE1117">
        <f>IFERROR(INDEX(PP_Grid[#Data],$DD1117,81),0)</f>
        <v/>
      </c>
      <c r="CF1117">
        <f>IFERROR(INDEX(PP_Grid[#Data],$DD1117,82),0)</f>
        <v/>
      </c>
      <c r="CG1117">
        <f>IFERROR(INDEX(PP_Grid[#Data],$DD1117,83),0)</f>
        <v/>
      </c>
      <c r="CH1117">
        <f>IFERROR(INDEX(PP_Grid[#Data],$DD1117,84),0)</f>
        <v/>
      </c>
      <c r="CI1117">
        <f>IFERROR(INDEX(PP_Grid[#Data],$DD1117,85),0)</f>
        <v/>
      </c>
      <c r="CJ1117">
        <f>IFERROR(INDEX(PP_Grid[#Data],$DD1117,86),0)</f>
        <v/>
      </c>
      <c r="CK1117">
        <f>IFERROR(INDEX(PP_Grid[#Data],$DD1117,87),0)</f>
        <v/>
      </c>
      <c r="CL1117">
        <f>IFERROR(INDEX(PP_Grid[#Data],$DD1117,88),0)</f>
        <v/>
      </c>
      <c r="CM1117">
        <f>IFERROR(INDEX(PP_Grid[#Data],$DD1117,89),0)</f>
        <v/>
      </c>
      <c r="CN1117">
        <f>IFERROR(INDEX(PP_Grid[#Data],$DD1117,90),0)</f>
        <v/>
      </c>
      <c r="CO1117">
        <f>IFERROR(INDEX(PP_Grid[#Data],$DD1117,91),0)</f>
        <v/>
      </c>
      <c r="CP1117">
        <f>IFERROR(INDEX(PP_Grid[#Data],$DD1117,92),0)</f>
        <v/>
      </c>
      <c r="CQ1117">
        <f>IFERROR(INDEX(PP_Grid[#Data],$DD1117,93),0)</f>
        <v/>
      </c>
      <c r="CR1117">
        <f>IFERROR(INDEX(PP_Grid[#Data],$DD1117,94),0)</f>
        <v/>
      </c>
      <c r="CS1117">
        <f>IFERROR(INDEX(PP_Grid[#Data],$DD1117,95),0)</f>
        <v/>
      </c>
      <c r="CT1117">
        <f>IFERROR(INDEX(PP_Grid[#Data],$DD1117,96),0)</f>
        <v/>
      </c>
      <c r="CU1117">
        <f>IFERROR(INDEX(PP_Grid[#Data],$DD1117,97),0)</f>
        <v/>
      </c>
      <c r="CV1117">
        <f>IFERROR(INDEX(PP_Grid[#Data],$DD1117,98),0)</f>
        <v/>
      </c>
      <c r="CW1117">
        <f>IFERROR(INDEX(PP_Grid[#Data],$DD1117,99),0)</f>
        <v/>
      </c>
      <c r="CX1117">
        <f>IFERROR(INDEX(PP_Grid[#Data],$DD1117,100),0)</f>
        <v/>
      </c>
      <c r="CY1117">
        <f>IFERROR(INDEX(PP_Grid[#Data],$DD1117,101),0)</f>
        <v/>
      </c>
      <c r="CZ1117">
        <f>IFERROR(INDEX(PP_Grid[#Data],$DD1117,102),0)</f>
        <v/>
      </c>
      <c r="DA1117">
        <f>IFERROR(INDEX(PP_Grid[#Data],$DD1117,103),0)</f>
        <v/>
      </c>
      <c r="DB1117">
        <f>IFERROR(INDEX(PP_Grid[#Data],$DD1117,104),0)</f>
        <v/>
      </c>
      <c r="DC1117">
        <f>IFERROR(INDEX(PP_Grid[#Data],$DD1117,105),0)</f>
        <v/>
      </c>
      <c r="DD1117" s="12">
        <f>IFERROR(MATCH($B1117,PP_Grid[Intermediate],0),99999)</f>
        <v/>
      </c>
    </row>
    <row r="1118">
      <c r="B1118" t="inlineStr">
        <is>
          <t>使用量(kg)</t>
        </is>
      </c>
      <c r="C1118">
        <f>SUMIFS(M_BOM[RM_Qty_Per_Batch],M_BOM[Intermediate],$B1117,M_BOM[Part Name],$A1114)</f>
        <v/>
      </c>
      <c r="D1118">
        <f>$C1118*D1117</f>
        <v/>
      </c>
      <c r="E1118">
        <f>$C1118*E1117</f>
        <v/>
      </c>
      <c r="F1118">
        <f>$C1118*F1117</f>
        <v/>
      </c>
      <c r="G1118">
        <f>$C1118*G1117</f>
        <v/>
      </c>
      <c r="H1118">
        <f>$C1118*H1117</f>
        <v/>
      </c>
      <c r="I1118">
        <f>$C1118*I1117</f>
        <v/>
      </c>
      <c r="J1118">
        <f>$C1118*J1117</f>
        <v/>
      </c>
      <c r="K1118">
        <f>$C1118*K1117</f>
        <v/>
      </c>
      <c r="L1118">
        <f>$C1118*L1117</f>
        <v/>
      </c>
      <c r="M1118">
        <f>$C1118*M1117</f>
        <v/>
      </c>
      <c r="N1118">
        <f>$C1118*N1117</f>
        <v/>
      </c>
      <c r="O1118">
        <f>$C1118*O1117</f>
        <v/>
      </c>
      <c r="P1118">
        <f>$C1118*P1117</f>
        <v/>
      </c>
      <c r="Q1118">
        <f>$C1118*Q1117</f>
        <v/>
      </c>
      <c r="R1118">
        <f>$C1118*R1117</f>
        <v/>
      </c>
      <c r="S1118">
        <f>$C1118*S1117</f>
        <v/>
      </c>
      <c r="T1118">
        <f>$C1118*T1117</f>
        <v/>
      </c>
      <c r="U1118">
        <f>$C1118*U1117</f>
        <v/>
      </c>
      <c r="V1118">
        <f>$C1118*V1117</f>
        <v/>
      </c>
      <c r="W1118">
        <f>$C1118*W1117</f>
        <v/>
      </c>
      <c r="X1118">
        <f>$C1118*X1117</f>
        <v/>
      </c>
      <c r="Y1118">
        <f>$C1118*Y1117</f>
        <v/>
      </c>
      <c r="Z1118">
        <f>$C1118*Z1117</f>
        <v/>
      </c>
      <c r="AA1118">
        <f>$C1118*AA1117</f>
        <v/>
      </c>
      <c r="AB1118">
        <f>$C1118*AB1117</f>
        <v/>
      </c>
      <c r="AC1118">
        <f>$C1118*AC1117</f>
        <v/>
      </c>
      <c r="AD1118">
        <f>$C1118*AD1117</f>
        <v/>
      </c>
      <c r="AE1118">
        <f>$C1118*AE1117</f>
        <v/>
      </c>
      <c r="AF1118">
        <f>$C1118*AF1117</f>
        <v/>
      </c>
      <c r="AG1118">
        <f>$C1118*AG1117</f>
        <v/>
      </c>
      <c r="AH1118">
        <f>$C1118*AH1117</f>
        <v/>
      </c>
      <c r="AI1118">
        <f>$C1118*AI1117</f>
        <v/>
      </c>
      <c r="AJ1118">
        <f>$C1118*AJ1117</f>
        <v/>
      </c>
      <c r="AK1118">
        <f>$C1118*AK1117</f>
        <v/>
      </c>
      <c r="AL1118">
        <f>$C1118*AL1117</f>
        <v/>
      </c>
      <c r="AM1118">
        <f>$C1118*AM1117</f>
        <v/>
      </c>
      <c r="AN1118">
        <f>$C1118*AN1117</f>
        <v/>
      </c>
      <c r="AO1118">
        <f>$C1118*AO1117</f>
        <v/>
      </c>
      <c r="AP1118">
        <f>$C1118*AP1117</f>
        <v/>
      </c>
      <c r="AQ1118">
        <f>$C1118*AQ1117</f>
        <v/>
      </c>
      <c r="AR1118">
        <f>$C1118*AR1117</f>
        <v/>
      </c>
      <c r="AS1118">
        <f>$C1118*AS1117</f>
        <v/>
      </c>
      <c r="AT1118">
        <f>$C1118*AT1117</f>
        <v/>
      </c>
      <c r="AU1118">
        <f>$C1118*AU1117</f>
        <v/>
      </c>
      <c r="AV1118">
        <f>$C1118*AV1117</f>
        <v/>
      </c>
      <c r="AW1118">
        <f>$C1118*AW1117</f>
        <v/>
      </c>
      <c r="AX1118">
        <f>$C1118*AX1117</f>
        <v/>
      </c>
      <c r="AY1118">
        <f>$C1118*AY1117</f>
        <v/>
      </c>
      <c r="AZ1118">
        <f>$C1118*AZ1117</f>
        <v/>
      </c>
      <c r="BA1118">
        <f>$C1118*BA1117</f>
        <v/>
      </c>
      <c r="BB1118">
        <f>$C1118*BB1117</f>
        <v/>
      </c>
      <c r="BC1118">
        <f>$C1118*BC1117</f>
        <v/>
      </c>
      <c r="BD1118">
        <f>$C1118*BD1117</f>
        <v/>
      </c>
      <c r="BE1118">
        <f>$C1118*BE1117</f>
        <v/>
      </c>
      <c r="BF1118">
        <f>$C1118*BF1117</f>
        <v/>
      </c>
      <c r="BG1118">
        <f>$C1118*BG1117</f>
        <v/>
      </c>
      <c r="BH1118">
        <f>$C1118*BH1117</f>
        <v/>
      </c>
      <c r="BI1118">
        <f>$C1118*BI1117</f>
        <v/>
      </c>
      <c r="BJ1118">
        <f>$C1118*BJ1117</f>
        <v/>
      </c>
      <c r="BK1118">
        <f>$C1118*BK1117</f>
        <v/>
      </c>
      <c r="BL1118">
        <f>$C1118*BL1117</f>
        <v/>
      </c>
      <c r="BM1118">
        <f>$C1118*BM1117</f>
        <v/>
      </c>
      <c r="BN1118">
        <f>$C1118*BN1117</f>
        <v/>
      </c>
      <c r="BO1118">
        <f>$C1118*BO1117</f>
        <v/>
      </c>
      <c r="BP1118">
        <f>$C1118*BP1117</f>
        <v/>
      </c>
      <c r="BQ1118">
        <f>$C1118*BQ1117</f>
        <v/>
      </c>
      <c r="BR1118">
        <f>$C1118*BR1117</f>
        <v/>
      </c>
      <c r="BS1118">
        <f>$C1118*BS1117</f>
        <v/>
      </c>
      <c r="BT1118">
        <f>$C1118*BT1117</f>
        <v/>
      </c>
      <c r="BU1118">
        <f>$C1118*BU1117</f>
        <v/>
      </c>
      <c r="BV1118">
        <f>$C1118*BV1117</f>
        <v/>
      </c>
      <c r="BW1118">
        <f>$C1118*BW1117</f>
        <v/>
      </c>
      <c r="BX1118">
        <f>$C1118*BX1117</f>
        <v/>
      </c>
      <c r="BY1118">
        <f>$C1118*BY1117</f>
        <v/>
      </c>
      <c r="BZ1118">
        <f>$C1118*BZ1117</f>
        <v/>
      </c>
      <c r="CA1118">
        <f>$C1118*CA1117</f>
        <v/>
      </c>
      <c r="CB1118">
        <f>$C1118*CB1117</f>
        <v/>
      </c>
      <c r="CC1118">
        <f>$C1118*CC1117</f>
        <v/>
      </c>
      <c r="CD1118">
        <f>$C1118*CD1117</f>
        <v/>
      </c>
      <c r="CE1118">
        <f>$C1118*CE1117</f>
        <v/>
      </c>
      <c r="CF1118">
        <f>$C1118*CF1117</f>
        <v/>
      </c>
      <c r="CG1118">
        <f>$C1118*CG1117</f>
        <v/>
      </c>
      <c r="CH1118">
        <f>$C1118*CH1117</f>
        <v/>
      </c>
      <c r="CI1118">
        <f>$C1118*CI1117</f>
        <v/>
      </c>
      <c r="CJ1118">
        <f>$C1118*CJ1117</f>
        <v/>
      </c>
      <c r="CK1118">
        <f>$C1118*CK1117</f>
        <v/>
      </c>
      <c r="CL1118">
        <f>$C1118*CL1117</f>
        <v/>
      </c>
      <c r="CM1118">
        <f>$C1118*CM1117</f>
        <v/>
      </c>
      <c r="CN1118">
        <f>$C1118*CN1117</f>
        <v/>
      </c>
      <c r="CO1118">
        <f>$C1118*CO1117</f>
        <v/>
      </c>
      <c r="CP1118">
        <f>$C1118*CP1117</f>
        <v/>
      </c>
      <c r="CQ1118">
        <f>$C1118*CQ1117</f>
        <v/>
      </c>
      <c r="CR1118">
        <f>$C1118*CR1117</f>
        <v/>
      </c>
      <c r="CS1118">
        <f>$C1118*CS1117</f>
        <v/>
      </c>
      <c r="CT1118">
        <f>$C1118*CT1117</f>
        <v/>
      </c>
      <c r="CU1118">
        <f>$C1118*CU1117</f>
        <v/>
      </c>
      <c r="CV1118">
        <f>$C1118*CV1117</f>
        <v/>
      </c>
      <c r="CW1118">
        <f>$C1118*CW1117</f>
        <v/>
      </c>
      <c r="CX1118">
        <f>$C1118*CX1117</f>
        <v/>
      </c>
      <c r="CY1118">
        <f>$C1118*CY1117</f>
        <v/>
      </c>
      <c r="CZ1118">
        <f>$C1118*CZ1117</f>
        <v/>
      </c>
      <c r="DA1118">
        <f>$C1118*DA1117</f>
        <v/>
      </c>
      <c r="DB1118">
        <f>$C1118*DB1117</f>
        <v/>
      </c>
      <c r="DC1118">
        <f>$C1118*DC1117</f>
        <v/>
      </c>
    </row>
    <row r="1119">
      <c r="B1119" s="5" t="inlineStr">
        <is>
          <t>合計使用量(kg)/週</t>
        </is>
      </c>
      <c r="D1119">
        <f>'Grid_Requirement'!B48</f>
        <v/>
      </c>
      <c r="E1119">
        <f>'Grid_Requirement'!C48</f>
        <v/>
      </c>
      <c r="F1119">
        <f>'Grid_Requirement'!D48</f>
        <v/>
      </c>
      <c r="G1119">
        <f>'Grid_Requirement'!E48</f>
        <v/>
      </c>
      <c r="H1119">
        <f>'Grid_Requirement'!F48</f>
        <v/>
      </c>
      <c r="I1119">
        <f>'Grid_Requirement'!G48</f>
        <v/>
      </c>
      <c r="J1119">
        <f>'Grid_Requirement'!H48</f>
        <v/>
      </c>
      <c r="K1119">
        <f>'Grid_Requirement'!I48</f>
        <v/>
      </c>
      <c r="L1119">
        <f>'Grid_Requirement'!J48</f>
        <v/>
      </c>
      <c r="M1119">
        <f>'Grid_Requirement'!K48</f>
        <v/>
      </c>
      <c r="N1119">
        <f>'Grid_Requirement'!L48</f>
        <v/>
      </c>
      <c r="O1119">
        <f>'Grid_Requirement'!M48</f>
        <v/>
      </c>
      <c r="P1119">
        <f>'Grid_Requirement'!N48</f>
        <v/>
      </c>
      <c r="Q1119">
        <f>'Grid_Requirement'!O48</f>
        <v/>
      </c>
      <c r="R1119">
        <f>'Grid_Requirement'!P48</f>
        <v/>
      </c>
      <c r="S1119">
        <f>'Grid_Requirement'!Q48</f>
        <v/>
      </c>
      <c r="T1119">
        <f>'Grid_Requirement'!R48</f>
        <v/>
      </c>
      <c r="U1119">
        <f>'Grid_Requirement'!S48</f>
        <v/>
      </c>
      <c r="V1119">
        <f>'Grid_Requirement'!T48</f>
        <v/>
      </c>
      <c r="W1119">
        <f>'Grid_Requirement'!U48</f>
        <v/>
      </c>
      <c r="X1119">
        <f>'Grid_Requirement'!V48</f>
        <v/>
      </c>
      <c r="Y1119">
        <f>'Grid_Requirement'!W48</f>
        <v/>
      </c>
      <c r="Z1119">
        <f>'Grid_Requirement'!X48</f>
        <v/>
      </c>
      <c r="AA1119">
        <f>'Grid_Requirement'!Y48</f>
        <v/>
      </c>
      <c r="AB1119">
        <f>'Grid_Requirement'!Z48</f>
        <v/>
      </c>
      <c r="AC1119">
        <f>'Grid_Requirement'!AA48</f>
        <v/>
      </c>
      <c r="AD1119">
        <f>'Grid_Requirement'!AB48</f>
        <v/>
      </c>
      <c r="AE1119">
        <f>'Grid_Requirement'!AC48</f>
        <v/>
      </c>
      <c r="AF1119">
        <f>'Grid_Requirement'!AD48</f>
        <v/>
      </c>
      <c r="AG1119">
        <f>'Grid_Requirement'!AE48</f>
        <v/>
      </c>
      <c r="AH1119">
        <f>'Grid_Requirement'!AF48</f>
        <v/>
      </c>
      <c r="AI1119">
        <f>'Grid_Requirement'!AG48</f>
        <v/>
      </c>
      <c r="AJ1119">
        <f>'Grid_Requirement'!AH48</f>
        <v/>
      </c>
      <c r="AK1119">
        <f>'Grid_Requirement'!AI48</f>
        <v/>
      </c>
      <c r="AL1119">
        <f>'Grid_Requirement'!AJ48</f>
        <v/>
      </c>
      <c r="AM1119">
        <f>'Grid_Requirement'!AK48</f>
        <v/>
      </c>
      <c r="AN1119">
        <f>'Grid_Requirement'!AL48</f>
        <v/>
      </c>
      <c r="AO1119">
        <f>'Grid_Requirement'!AM48</f>
        <v/>
      </c>
      <c r="AP1119">
        <f>'Grid_Requirement'!AN48</f>
        <v/>
      </c>
      <c r="AQ1119">
        <f>'Grid_Requirement'!AO48</f>
        <v/>
      </c>
      <c r="AR1119">
        <f>'Grid_Requirement'!AP48</f>
        <v/>
      </c>
      <c r="AS1119">
        <f>'Grid_Requirement'!AQ48</f>
        <v/>
      </c>
      <c r="AT1119">
        <f>'Grid_Requirement'!AR48</f>
        <v/>
      </c>
      <c r="AU1119">
        <f>'Grid_Requirement'!AS48</f>
        <v/>
      </c>
      <c r="AV1119">
        <f>'Grid_Requirement'!AT48</f>
        <v/>
      </c>
      <c r="AW1119">
        <f>'Grid_Requirement'!AU48</f>
        <v/>
      </c>
      <c r="AX1119">
        <f>'Grid_Requirement'!AV48</f>
        <v/>
      </c>
      <c r="AY1119">
        <f>'Grid_Requirement'!AW48</f>
        <v/>
      </c>
      <c r="AZ1119">
        <f>'Grid_Requirement'!AX48</f>
        <v/>
      </c>
      <c r="BA1119">
        <f>'Grid_Requirement'!AY48</f>
        <v/>
      </c>
      <c r="BB1119">
        <f>'Grid_Requirement'!AZ48</f>
        <v/>
      </c>
      <c r="BC1119">
        <f>'Grid_Requirement'!BA48</f>
        <v/>
      </c>
      <c r="BD1119">
        <f>'Grid_Requirement'!BB48</f>
        <v/>
      </c>
      <c r="BE1119">
        <f>'Grid_Requirement'!BC48</f>
        <v/>
      </c>
      <c r="BF1119">
        <f>'Grid_Requirement'!BD48</f>
        <v/>
      </c>
      <c r="BG1119">
        <f>'Grid_Requirement'!BE48</f>
        <v/>
      </c>
      <c r="BH1119">
        <f>'Grid_Requirement'!BF48</f>
        <v/>
      </c>
      <c r="BI1119">
        <f>'Grid_Requirement'!BG48</f>
        <v/>
      </c>
      <c r="BJ1119">
        <f>'Grid_Requirement'!BH48</f>
        <v/>
      </c>
      <c r="BK1119">
        <f>'Grid_Requirement'!BI48</f>
        <v/>
      </c>
      <c r="BL1119">
        <f>'Grid_Requirement'!BJ48</f>
        <v/>
      </c>
      <c r="BM1119">
        <f>'Grid_Requirement'!BK48</f>
        <v/>
      </c>
      <c r="BN1119">
        <f>'Grid_Requirement'!BL48</f>
        <v/>
      </c>
      <c r="BO1119">
        <f>'Grid_Requirement'!BM48</f>
        <v/>
      </c>
      <c r="BP1119">
        <f>'Grid_Requirement'!BN48</f>
        <v/>
      </c>
      <c r="BQ1119">
        <f>'Grid_Requirement'!BO48</f>
        <v/>
      </c>
      <c r="BR1119">
        <f>'Grid_Requirement'!BP48</f>
        <v/>
      </c>
      <c r="BS1119">
        <f>'Grid_Requirement'!BQ48</f>
        <v/>
      </c>
      <c r="BT1119">
        <f>'Grid_Requirement'!BR48</f>
        <v/>
      </c>
      <c r="BU1119">
        <f>'Grid_Requirement'!BS48</f>
        <v/>
      </c>
      <c r="BV1119">
        <f>'Grid_Requirement'!BT48</f>
        <v/>
      </c>
      <c r="BW1119">
        <f>'Grid_Requirement'!BU48</f>
        <v/>
      </c>
      <c r="BX1119">
        <f>'Grid_Requirement'!BV48</f>
        <v/>
      </c>
      <c r="BY1119">
        <f>'Grid_Requirement'!BW48</f>
        <v/>
      </c>
      <c r="BZ1119">
        <f>'Grid_Requirement'!BX48</f>
        <v/>
      </c>
      <c r="CA1119">
        <f>'Grid_Requirement'!BY48</f>
        <v/>
      </c>
      <c r="CB1119">
        <f>'Grid_Requirement'!BZ48</f>
        <v/>
      </c>
      <c r="CC1119">
        <f>'Grid_Requirement'!CA48</f>
        <v/>
      </c>
      <c r="CD1119">
        <f>'Grid_Requirement'!CB48</f>
        <v/>
      </c>
      <c r="CE1119">
        <f>'Grid_Requirement'!CC48</f>
        <v/>
      </c>
      <c r="CF1119">
        <f>'Grid_Requirement'!CD48</f>
        <v/>
      </c>
      <c r="CG1119">
        <f>'Grid_Requirement'!CE48</f>
        <v/>
      </c>
      <c r="CH1119">
        <f>'Grid_Requirement'!CF48</f>
        <v/>
      </c>
      <c r="CI1119">
        <f>'Grid_Requirement'!CG48</f>
        <v/>
      </c>
      <c r="CJ1119">
        <f>'Grid_Requirement'!CH48</f>
        <v/>
      </c>
      <c r="CK1119">
        <f>'Grid_Requirement'!CI48</f>
        <v/>
      </c>
      <c r="CL1119">
        <f>'Grid_Requirement'!CJ48</f>
        <v/>
      </c>
      <c r="CM1119">
        <f>'Grid_Requirement'!CK48</f>
        <v/>
      </c>
      <c r="CN1119">
        <f>'Grid_Requirement'!CL48</f>
        <v/>
      </c>
      <c r="CO1119">
        <f>'Grid_Requirement'!CM48</f>
        <v/>
      </c>
      <c r="CP1119">
        <f>'Grid_Requirement'!CN48</f>
        <v/>
      </c>
      <c r="CQ1119">
        <f>'Grid_Requirement'!CO48</f>
        <v/>
      </c>
      <c r="CR1119">
        <f>'Grid_Requirement'!CP48</f>
        <v/>
      </c>
      <c r="CS1119">
        <f>'Grid_Requirement'!CQ48</f>
        <v/>
      </c>
      <c r="CT1119">
        <f>'Grid_Requirement'!CR48</f>
        <v/>
      </c>
      <c r="CU1119">
        <f>'Grid_Requirement'!CS48</f>
        <v/>
      </c>
      <c r="CV1119">
        <f>'Grid_Requirement'!CT48</f>
        <v/>
      </c>
      <c r="CW1119">
        <f>'Grid_Requirement'!CU48</f>
        <v/>
      </c>
      <c r="CX1119">
        <f>'Grid_Requirement'!CV48</f>
        <v/>
      </c>
      <c r="CY1119">
        <f>'Grid_Requirement'!CW48</f>
        <v/>
      </c>
      <c r="CZ1119">
        <f>'Grid_Requirement'!CX48</f>
        <v/>
      </c>
      <c r="DA1119">
        <f>'Grid_Requirement'!CY48</f>
        <v/>
      </c>
      <c r="DB1119">
        <f>'Grid_Requirement'!CZ48</f>
        <v/>
      </c>
      <c r="DC1119">
        <f>'Grid_Requirement'!DA48</f>
        <v/>
      </c>
    </row>
    <row r="1120">
      <c r="B1120" t="inlineStr">
        <is>
          <t>TTAF在庫(実績,kg)</t>
        </is>
      </c>
      <c r="D1120">
        <f>'T_TTAFStock'!B52</f>
        <v/>
      </c>
      <c r="E1120">
        <f>'T_TTAFStock'!C52</f>
        <v/>
      </c>
      <c r="F1120">
        <f>'T_TTAFStock'!D52</f>
        <v/>
      </c>
      <c r="G1120">
        <f>'T_TTAFStock'!E52</f>
        <v/>
      </c>
      <c r="H1120">
        <f>'T_TTAFStock'!F52</f>
        <v/>
      </c>
      <c r="I1120">
        <f>'T_TTAFStock'!G52</f>
        <v/>
      </c>
      <c r="J1120">
        <f>'T_TTAFStock'!H52</f>
        <v/>
      </c>
      <c r="K1120">
        <f>'T_TTAFStock'!I52</f>
        <v/>
      </c>
      <c r="L1120">
        <f>'T_TTAFStock'!J52</f>
        <v/>
      </c>
      <c r="M1120">
        <f>'T_TTAFStock'!K52</f>
        <v/>
      </c>
      <c r="N1120">
        <f>'T_TTAFStock'!L52</f>
        <v/>
      </c>
      <c r="O1120">
        <f>'T_TTAFStock'!M52</f>
        <v/>
      </c>
      <c r="P1120">
        <f>'T_TTAFStock'!N52</f>
        <v/>
      </c>
      <c r="Q1120">
        <f>'T_TTAFStock'!O52</f>
        <v/>
      </c>
      <c r="R1120">
        <f>'T_TTAFStock'!P52</f>
        <v/>
      </c>
      <c r="S1120">
        <f>'T_TTAFStock'!Q52</f>
        <v/>
      </c>
      <c r="T1120">
        <f>'T_TTAFStock'!R52</f>
        <v/>
      </c>
      <c r="U1120">
        <f>'T_TTAFStock'!S52</f>
        <v/>
      </c>
      <c r="V1120">
        <f>'T_TTAFStock'!T52</f>
        <v/>
      </c>
      <c r="W1120">
        <f>'T_TTAFStock'!U52</f>
        <v/>
      </c>
      <c r="X1120">
        <f>'T_TTAFStock'!V52</f>
        <v/>
      </c>
      <c r="Y1120">
        <f>'T_TTAFStock'!W52</f>
        <v/>
      </c>
      <c r="Z1120">
        <f>'T_TTAFStock'!X52</f>
        <v/>
      </c>
      <c r="AA1120">
        <f>'T_TTAFStock'!Y52</f>
        <v/>
      </c>
      <c r="AB1120">
        <f>'T_TTAFStock'!Z52</f>
        <v/>
      </c>
      <c r="AC1120">
        <f>'T_TTAFStock'!AA52</f>
        <v/>
      </c>
      <c r="AD1120">
        <f>'T_TTAFStock'!AB52</f>
        <v/>
      </c>
      <c r="AE1120">
        <f>'T_TTAFStock'!AC52</f>
        <v/>
      </c>
      <c r="AF1120">
        <f>'T_TTAFStock'!AD52</f>
        <v/>
      </c>
      <c r="AG1120">
        <f>'T_TTAFStock'!AE52</f>
        <v/>
      </c>
      <c r="AH1120">
        <f>'T_TTAFStock'!AF52</f>
        <v/>
      </c>
      <c r="AI1120">
        <f>'T_TTAFStock'!AG52</f>
        <v/>
      </c>
      <c r="AJ1120">
        <f>'T_TTAFStock'!AH52</f>
        <v/>
      </c>
      <c r="AK1120">
        <f>'T_TTAFStock'!AI52</f>
        <v/>
      </c>
      <c r="AL1120">
        <f>'T_TTAFStock'!AJ52</f>
        <v/>
      </c>
      <c r="AM1120">
        <f>'T_TTAFStock'!AK52</f>
        <v/>
      </c>
      <c r="AN1120">
        <f>'T_TTAFStock'!AL52</f>
        <v/>
      </c>
      <c r="AO1120">
        <f>'T_TTAFStock'!AM52</f>
        <v/>
      </c>
      <c r="AP1120">
        <f>'T_TTAFStock'!AN52</f>
        <v/>
      </c>
      <c r="AQ1120">
        <f>'T_TTAFStock'!AO52</f>
        <v/>
      </c>
      <c r="AR1120">
        <f>'T_TTAFStock'!AP52</f>
        <v/>
      </c>
      <c r="AS1120">
        <f>'T_TTAFStock'!AQ52</f>
        <v/>
      </c>
      <c r="AT1120">
        <f>'T_TTAFStock'!AR52</f>
        <v/>
      </c>
      <c r="AU1120">
        <f>'T_TTAFStock'!AS52</f>
        <v/>
      </c>
      <c r="AV1120">
        <f>'T_TTAFStock'!AT52</f>
        <v/>
      </c>
      <c r="AW1120">
        <f>'T_TTAFStock'!AU52</f>
        <v/>
      </c>
      <c r="AX1120">
        <f>'T_TTAFStock'!AV52</f>
        <v/>
      </c>
      <c r="AY1120">
        <f>'T_TTAFStock'!AW52</f>
        <v/>
      </c>
      <c r="AZ1120">
        <f>'T_TTAFStock'!AX52</f>
        <v/>
      </c>
      <c r="BA1120">
        <f>'T_TTAFStock'!AY52</f>
        <v/>
      </c>
      <c r="BB1120">
        <f>'T_TTAFStock'!AZ52</f>
        <v/>
      </c>
      <c r="BC1120">
        <f>'T_TTAFStock'!BA52</f>
        <v/>
      </c>
      <c r="BD1120">
        <f>'T_TTAFStock'!BB52</f>
        <v/>
      </c>
      <c r="BE1120">
        <f>'T_TTAFStock'!BC52</f>
        <v/>
      </c>
      <c r="BF1120">
        <f>'T_TTAFStock'!BD52</f>
        <v/>
      </c>
      <c r="BG1120">
        <f>'T_TTAFStock'!BE52</f>
        <v/>
      </c>
      <c r="BH1120">
        <f>'T_TTAFStock'!BF52</f>
        <v/>
      </c>
      <c r="BI1120">
        <f>'T_TTAFStock'!BG52</f>
        <v/>
      </c>
      <c r="BJ1120">
        <f>'T_TTAFStock'!BH52</f>
        <v/>
      </c>
      <c r="BK1120">
        <f>'T_TTAFStock'!BI52</f>
        <v/>
      </c>
      <c r="BL1120">
        <f>'T_TTAFStock'!BJ52</f>
        <v/>
      </c>
      <c r="BM1120">
        <f>'T_TTAFStock'!BK52</f>
        <v/>
      </c>
      <c r="BN1120">
        <f>'T_TTAFStock'!BL52</f>
        <v/>
      </c>
      <c r="BO1120">
        <f>'T_TTAFStock'!BM52</f>
        <v/>
      </c>
      <c r="BP1120">
        <f>'T_TTAFStock'!BN52</f>
        <v/>
      </c>
      <c r="BQ1120">
        <f>'T_TTAFStock'!BO52</f>
        <v/>
      </c>
      <c r="BR1120">
        <f>'T_TTAFStock'!BP52</f>
        <v/>
      </c>
      <c r="BS1120">
        <f>'T_TTAFStock'!BQ52</f>
        <v/>
      </c>
      <c r="BT1120">
        <f>'T_TTAFStock'!BR52</f>
        <v/>
      </c>
      <c r="BU1120">
        <f>'T_TTAFStock'!BS52</f>
        <v/>
      </c>
      <c r="BV1120">
        <f>'T_TTAFStock'!BT52</f>
        <v/>
      </c>
      <c r="BW1120">
        <f>'T_TTAFStock'!BU52</f>
        <v/>
      </c>
      <c r="BX1120">
        <f>'T_TTAFStock'!BV52</f>
        <v/>
      </c>
      <c r="BY1120">
        <f>'T_TTAFStock'!BW52</f>
        <v/>
      </c>
      <c r="BZ1120">
        <f>'T_TTAFStock'!BX52</f>
        <v/>
      </c>
      <c r="CA1120">
        <f>'T_TTAFStock'!BY52</f>
        <v/>
      </c>
      <c r="CB1120">
        <f>'T_TTAFStock'!BZ52</f>
        <v/>
      </c>
      <c r="CC1120">
        <f>'T_TTAFStock'!CA52</f>
        <v/>
      </c>
      <c r="CD1120">
        <f>'T_TTAFStock'!CB52</f>
        <v/>
      </c>
      <c r="CE1120">
        <f>'T_TTAFStock'!CC52</f>
        <v/>
      </c>
      <c r="CF1120">
        <f>'T_TTAFStock'!CD52</f>
        <v/>
      </c>
      <c r="CG1120">
        <f>'T_TTAFStock'!CE52</f>
        <v/>
      </c>
      <c r="CH1120">
        <f>'T_TTAFStock'!CF52</f>
        <v/>
      </c>
      <c r="CI1120">
        <f>'T_TTAFStock'!CG52</f>
        <v/>
      </c>
      <c r="CJ1120">
        <f>'T_TTAFStock'!CH52</f>
        <v/>
      </c>
      <c r="CK1120">
        <f>'T_TTAFStock'!CI52</f>
        <v/>
      </c>
      <c r="CL1120">
        <f>'T_TTAFStock'!CJ52</f>
        <v/>
      </c>
      <c r="CM1120">
        <f>'T_TTAFStock'!CK52</f>
        <v/>
      </c>
      <c r="CN1120">
        <f>'T_TTAFStock'!CL52</f>
        <v/>
      </c>
      <c r="CO1120">
        <f>'T_TTAFStock'!CM52</f>
        <v/>
      </c>
      <c r="CP1120">
        <f>'T_TTAFStock'!CN52</f>
        <v/>
      </c>
      <c r="CQ1120">
        <f>'T_TTAFStock'!CO52</f>
        <v/>
      </c>
      <c r="CR1120">
        <f>'T_TTAFStock'!CP52</f>
        <v/>
      </c>
      <c r="CS1120">
        <f>'T_TTAFStock'!CQ52</f>
        <v/>
      </c>
      <c r="CT1120">
        <f>'T_TTAFStock'!CR52</f>
        <v/>
      </c>
      <c r="CU1120">
        <f>'T_TTAFStock'!CS52</f>
        <v/>
      </c>
      <c r="CV1120">
        <f>'T_TTAFStock'!CT52</f>
        <v/>
      </c>
      <c r="CW1120">
        <f>'T_TTAFStock'!CU52</f>
        <v/>
      </c>
      <c r="CX1120">
        <f>'T_TTAFStock'!CV52</f>
        <v/>
      </c>
      <c r="CY1120">
        <f>'T_TTAFStock'!CW52</f>
        <v/>
      </c>
      <c r="CZ1120">
        <f>'T_TTAFStock'!CX52</f>
        <v/>
      </c>
      <c r="DA1120">
        <f>'T_TTAFStock'!CY52</f>
        <v/>
      </c>
      <c r="DB1120">
        <f>'T_TTAFStock'!CZ52</f>
        <v/>
      </c>
      <c r="DC1120">
        <f>'T_TTAFStock'!DA52</f>
        <v/>
      </c>
    </row>
    <row r="1121">
      <c r="B1121" t="inlineStr">
        <is>
          <t>自社在庫(実績,kg)</t>
        </is>
      </c>
      <c r="D1121">
        <f>'T_SelfStock'!B52</f>
        <v/>
      </c>
      <c r="E1121">
        <f>'T_SelfStock'!C52</f>
        <v/>
      </c>
      <c r="F1121">
        <f>'T_SelfStock'!D52</f>
        <v/>
      </c>
      <c r="G1121">
        <f>'T_SelfStock'!E52</f>
        <v/>
      </c>
      <c r="H1121">
        <f>'T_SelfStock'!F52</f>
        <v/>
      </c>
      <c r="I1121">
        <f>'T_SelfStock'!G52</f>
        <v/>
      </c>
      <c r="J1121">
        <f>'T_SelfStock'!H52</f>
        <v/>
      </c>
      <c r="K1121">
        <f>'T_SelfStock'!I52</f>
        <v/>
      </c>
      <c r="L1121">
        <f>'T_SelfStock'!J52</f>
        <v/>
      </c>
      <c r="M1121">
        <f>'T_SelfStock'!K52</f>
        <v/>
      </c>
      <c r="N1121">
        <f>'T_SelfStock'!L52</f>
        <v/>
      </c>
      <c r="O1121">
        <f>'T_SelfStock'!M52</f>
        <v/>
      </c>
      <c r="P1121">
        <f>'T_SelfStock'!N52</f>
        <v/>
      </c>
      <c r="Q1121">
        <f>'T_SelfStock'!O52</f>
        <v/>
      </c>
      <c r="R1121">
        <f>'T_SelfStock'!P52</f>
        <v/>
      </c>
      <c r="S1121">
        <f>'T_SelfStock'!Q52</f>
        <v/>
      </c>
      <c r="T1121">
        <f>'T_SelfStock'!R52</f>
        <v/>
      </c>
      <c r="U1121">
        <f>'T_SelfStock'!S52</f>
        <v/>
      </c>
      <c r="V1121">
        <f>'T_SelfStock'!T52</f>
        <v/>
      </c>
      <c r="W1121">
        <f>'T_SelfStock'!U52</f>
        <v/>
      </c>
      <c r="X1121">
        <f>'T_SelfStock'!V52</f>
        <v/>
      </c>
      <c r="Y1121">
        <f>'T_SelfStock'!W52</f>
        <v/>
      </c>
      <c r="Z1121">
        <f>'T_SelfStock'!X52</f>
        <v/>
      </c>
      <c r="AA1121">
        <f>'T_SelfStock'!Y52</f>
        <v/>
      </c>
      <c r="AB1121">
        <f>'T_SelfStock'!Z52</f>
        <v/>
      </c>
      <c r="AC1121">
        <f>'T_SelfStock'!AA52</f>
        <v/>
      </c>
      <c r="AD1121">
        <f>'T_SelfStock'!AB52</f>
        <v/>
      </c>
      <c r="AE1121">
        <f>'T_SelfStock'!AC52</f>
        <v/>
      </c>
      <c r="AF1121">
        <f>'T_SelfStock'!AD52</f>
        <v/>
      </c>
      <c r="AG1121">
        <f>'T_SelfStock'!AE52</f>
        <v/>
      </c>
      <c r="AH1121">
        <f>'T_SelfStock'!AF52</f>
        <v/>
      </c>
      <c r="AI1121">
        <f>'T_SelfStock'!AG52</f>
        <v/>
      </c>
      <c r="AJ1121">
        <f>'T_SelfStock'!AH52</f>
        <v/>
      </c>
      <c r="AK1121">
        <f>'T_SelfStock'!AI52</f>
        <v/>
      </c>
      <c r="AL1121">
        <f>'T_SelfStock'!AJ52</f>
        <v/>
      </c>
      <c r="AM1121">
        <f>'T_SelfStock'!AK52</f>
        <v/>
      </c>
      <c r="AN1121">
        <f>'T_SelfStock'!AL52</f>
        <v/>
      </c>
      <c r="AO1121">
        <f>'T_SelfStock'!AM52</f>
        <v/>
      </c>
      <c r="AP1121">
        <f>'T_SelfStock'!AN52</f>
        <v/>
      </c>
      <c r="AQ1121">
        <f>'T_SelfStock'!AO52</f>
        <v/>
      </c>
      <c r="AR1121">
        <f>'T_SelfStock'!AP52</f>
        <v/>
      </c>
      <c r="AS1121">
        <f>'T_SelfStock'!AQ52</f>
        <v/>
      </c>
      <c r="AT1121">
        <f>'T_SelfStock'!AR52</f>
        <v/>
      </c>
      <c r="AU1121">
        <f>'T_SelfStock'!AS52</f>
        <v/>
      </c>
      <c r="AV1121">
        <f>'T_SelfStock'!AT52</f>
        <v/>
      </c>
      <c r="AW1121">
        <f>'T_SelfStock'!AU52</f>
        <v/>
      </c>
      <c r="AX1121">
        <f>'T_SelfStock'!AV52</f>
        <v/>
      </c>
      <c r="AY1121">
        <f>'T_SelfStock'!AW52</f>
        <v/>
      </c>
      <c r="AZ1121">
        <f>'T_SelfStock'!AX52</f>
        <v/>
      </c>
      <c r="BA1121">
        <f>'T_SelfStock'!AY52</f>
        <v/>
      </c>
      <c r="BB1121">
        <f>'T_SelfStock'!AZ52</f>
        <v/>
      </c>
      <c r="BC1121">
        <f>'T_SelfStock'!BA52</f>
        <v/>
      </c>
      <c r="BD1121">
        <f>'T_SelfStock'!BB52</f>
        <v/>
      </c>
      <c r="BE1121">
        <f>'T_SelfStock'!BC52</f>
        <v/>
      </c>
      <c r="BF1121">
        <f>'T_SelfStock'!BD52</f>
        <v/>
      </c>
      <c r="BG1121">
        <f>'T_SelfStock'!BE52</f>
        <v/>
      </c>
      <c r="BH1121">
        <f>'T_SelfStock'!BF52</f>
        <v/>
      </c>
      <c r="BI1121">
        <f>'T_SelfStock'!BG52</f>
        <v/>
      </c>
      <c r="BJ1121">
        <f>'T_SelfStock'!BH52</f>
        <v/>
      </c>
      <c r="BK1121">
        <f>'T_SelfStock'!BI52</f>
        <v/>
      </c>
      <c r="BL1121">
        <f>'T_SelfStock'!BJ52</f>
        <v/>
      </c>
      <c r="BM1121">
        <f>'T_SelfStock'!BK52</f>
        <v/>
      </c>
      <c r="BN1121">
        <f>'T_SelfStock'!BL52</f>
        <v/>
      </c>
      <c r="BO1121">
        <f>'T_SelfStock'!BM52</f>
        <v/>
      </c>
      <c r="BP1121">
        <f>'T_SelfStock'!BN52</f>
        <v/>
      </c>
      <c r="BQ1121">
        <f>'T_SelfStock'!BO52</f>
        <v/>
      </c>
      <c r="BR1121">
        <f>'T_SelfStock'!BP52</f>
        <v/>
      </c>
      <c r="BS1121">
        <f>'T_SelfStock'!BQ52</f>
        <v/>
      </c>
      <c r="BT1121">
        <f>'T_SelfStock'!BR52</f>
        <v/>
      </c>
      <c r="BU1121">
        <f>'T_SelfStock'!BS52</f>
        <v/>
      </c>
      <c r="BV1121">
        <f>'T_SelfStock'!BT52</f>
        <v/>
      </c>
      <c r="BW1121">
        <f>'T_SelfStock'!BU52</f>
        <v/>
      </c>
      <c r="BX1121">
        <f>'T_SelfStock'!BV52</f>
        <v/>
      </c>
      <c r="BY1121">
        <f>'T_SelfStock'!BW52</f>
        <v/>
      </c>
      <c r="BZ1121">
        <f>'T_SelfStock'!BX52</f>
        <v/>
      </c>
      <c r="CA1121">
        <f>'T_SelfStock'!BY52</f>
        <v/>
      </c>
      <c r="CB1121">
        <f>'T_SelfStock'!BZ52</f>
        <v/>
      </c>
      <c r="CC1121">
        <f>'T_SelfStock'!CA52</f>
        <v/>
      </c>
      <c r="CD1121">
        <f>'T_SelfStock'!CB52</f>
        <v/>
      </c>
      <c r="CE1121">
        <f>'T_SelfStock'!CC52</f>
        <v/>
      </c>
      <c r="CF1121">
        <f>'T_SelfStock'!CD52</f>
        <v/>
      </c>
      <c r="CG1121">
        <f>'T_SelfStock'!CE52</f>
        <v/>
      </c>
      <c r="CH1121">
        <f>'T_SelfStock'!CF52</f>
        <v/>
      </c>
      <c r="CI1121">
        <f>'T_SelfStock'!CG52</f>
        <v/>
      </c>
      <c r="CJ1121">
        <f>'T_SelfStock'!CH52</f>
        <v/>
      </c>
      <c r="CK1121">
        <f>'T_SelfStock'!CI52</f>
        <v/>
      </c>
      <c r="CL1121">
        <f>'T_SelfStock'!CJ52</f>
        <v/>
      </c>
      <c r="CM1121">
        <f>'T_SelfStock'!CK52</f>
        <v/>
      </c>
      <c r="CN1121">
        <f>'T_SelfStock'!CL52</f>
        <v/>
      </c>
      <c r="CO1121">
        <f>'T_SelfStock'!CM52</f>
        <v/>
      </c>
      <c r="CP1121">
        <f>'T_SelfStock'!CN52</f>
        <v/>
      </c>
      <c r="CQ1121">
        <f>'T_SelfStock'!CO52</f>
        <v/>
      </c>
      <c r="CR1121">
        <f>'T_SelfStock'!CP52</f>
        <v/>
      </c>
      <c r="CS1121">
        <f>'T_SelfStock'!CQ52</f>
        <v/>
      </c>
      <c r="CT1121">
        <f>'T_SelfStock'!CR52</f>
        <v/>
      </c>
      <c r="CU1121">
        <f>'T_SelfStock'!CS52</f>
        <v/>
      </c>
      <c r="CV1121">
        <f>'T_SelfStock'!CT52</f>
        <v/>
      </c>
      <c r="CW1121">
        <f>'T_SelfStock'!CU52</f>
        <v/>
      </c>
      <c r="CX1121">
        <f>'T_SelfStock'!CV52</f>
        <v/>
      </c>
      <c r="CY1121">
        <f>'T_SelfStock'!CW52</f>
        <v/>
      </c>
      <c r="CZ1121">
        <f>'T_SelfStock'!CX52</f>
        <v/>
      </c>
      <c r="DA1121">
        <f>'T_SelfStock'!CY52</f>
        <v/>
      </c>
      <c r="DB1121">
        <f>'T_SelfStock'!CZ52</f>
        <v/>
      </c>
      <c r="DC1121">
        <f>'T_SelfStock'!DA52</f>
        <v/>
      </c>
    </row>
    <row r="1122">
      <c r="B1122" t="inlineStr">
        <is>
          <t>Order(発注予定,kg)</t>
        </is>
      </c>
      <c r="D1122" s="23" t="n"/>
      <c r="E1122" s="23" t="n"/>
      <c r="F1122" s="23" t="n"/>
      <c r="G1122" s="23" t="n"/>
      <c r="H1122" s="23" t="n"/>
      <c r="I1122" s="23" t="n"/>
      <c r="J1122" s="23" t="n"/>
      <c r="K1122" s="23" t="n"/>
      <c r="L1122" s="23" t="n"/>
      <c r="M1122" s="23" t="n"/>
      <c r="N1122" s="23" t="n"/>
      <c r="O1122" s="23" t="n"/>
      <c r="P1122" s="23" t="n"/>
      <c r="Q1122" s="23" t="n"/>
      <c r="R1122" s="23" t="n"/>
      <c r="S1122" s="23" t="n"/>
      <c r="T1122" s="23" t="n"/>
      <c r="U1122" s="23" t="n"/>
      <c r="V1122" s="23" t="n"/>
      <c r="W1122" s="23" t="n"/>
      <c r="X1122" s="23" t="n"/>
      <c r="Y1122" s="23" t="n"/>
      <c r="Z1122" s="23" t="n"/>
      <c r="AA1122" s="23" t="n"/>
      <c r="AB1122" s="23" t="n"/>
      <c r="AC1122" s="23" t="n"/>
      <c r="AD1122" s="23" t="n"/>
      <c r="AE1122" s="23" t="n"/>
      <c r="AF1122" s="23" t="n"/>
      <c r="AG1122" s="23" t="n"/>
      <c r="AH1122" s="23" t="n"/>
      <c r="AI1122" s="23" t="n"/>
      <c r="AJ1122" s="23" t="n"/>
      <c r="AK1122" s="23" t="n"/>
      <c r="AL1122" s="23" t="n"/>
      <c r="AM1122" s="23" t="n"/>
      <c r="AN1122" s="23" t="n"/>
      <c r="AO1122" s="23" t="n"/>
      <c r="AP1122" s="23" t="n"/>
      <c r="AQ1122" s="23" t="n"/>
      <c r="AR1122" s="23" t="n"/>
      <c r="AS1122" s="23" t="n"/>
      <c r="AT1122" s="23" t="n"/>
      <c r="AU1122" s="23" t="n"/>
      <c r="AV1122" s="23" t="n"/>
      <c r="AW1122" s="23" t="n"/>
      <c r="AX1122" s="23" t="n"/>
      <c r="AY1122" s="23" t="n"/>
      <c r="AZ1122" s="23" t="n"/>
      <c r="BA1122" s="23" t="n"/>
      <c r="BB1122" s="23" t="n"/>
      <c r="BC1122" s="23" t="n"/>
      <c r="BD1122" s="23" t="n"/>
      <c r="BE1122" s="23" t="n"/>
      <c r="BF1122" s="23" t="n"/>
      <c r="BG1122" s="23" t="n"/>
      <c r="BH1122" s="23" t="n"/>
      <c r="BI1122" s="23" t="n"/>
      <c r="BJ1122" s="23" t="n"/>
      <c r="BK1122" s="23" t="n"/>
      <c r="BL1122" s="23" t="n"/>
      <c r="BM1122" s="23" t="n"/>
      <c r="BN1122" s="23" t="n"/>
      <c r="BO1122" s="23" t="n"/>
      <c r="BP1122" s="23" t="n"/>
      <c r="BQ1122" s="23" t="n"/>
      <c r="BR1122" s="23" t="n"/>
      <c r="BS1122" s="23" t="n"/>
      <c r="BT1122" s="23" t="n"/>
      <c r="BU1122" s="23" t="n"/>
      <c r="BV1122" s="23" t="n"/>
      <c r="BW1122" s="23" t="n"/>
      <c r="BX1122" s="23" t="n"/>
      <c r="BY1122" s="23" t="n"/>
      <c r="BZ1122" s="23" t="n"/>
      <c r="CA1122" s="23" t="n"/>
      <c r="CB1122" s="23" t="n"/>
      <c r="CC1122" s="23" t="n"/>
      <c r="CD1122" s="23" t="n"/>
      <c r="CE1122" s="23" t="n"/>
      <c r="CF1122" s="23" t="n"/>
      <c r="CG1122" s="23" t="n"/>
      <c r="CH1122" s="23" t="n"/>
      <c r="CI1122" s="23" t="n"/>
      <c r="CJ1122" s="23" t="n"/>
      <c r="CK1122" s="23" t="n"/>
      <c r="CL1122" s="23" t="n"/>
      <c r="CM1122" s="23" t="n"/>
      <c r="CN1122" s="23" t="n"/>
      <c r="CO1122" s="23" t="n"/>
      <c r="CP1122" s="23" t="n"/>
      <c r="CQ1122" s="23" t="n"/>
      <c r="CR1122" s="23" t="n"/>
      <c r="CS1122" s="23" t="n"/>
      <c r="CT1122" s="23" t="n"/>
      <c r="CU1122" s="23" t="n"/>
      <c r="CV1122" s="23" t="n"/>
      <c r="CW1122" s="23" t="n"/>
      <c r="CX1122" s="23" t="n"/>
      <c r="CY1122" s="23" t="n"/>
      <c r="CZ1122" s="23" t="n"/>
      <c r="DA1122" s="23" t="n"/>
      <c r="DB1122" s="23" t="n"/>
      <c r="DC1122" s="23" t="n"/>
      <c r="DE1122" s="12" t="inlineStr">
        <is>
          <t>CHEM-1470</t>
        </is>
      </c>
    </row>
    <row r="1123">
      <c r="B1123" s="24" t="inlineStr">
        <is>
          <t>PO_No</t>
        </is>
      </c>
      <c r="D1123" s="25" t="n"/>
      <c r="E1123" s="25" t="n"/>
      <c r="F1123" s="25" t="n"/>
      <c r="G1123" s="25" t="n"/>
      <c r="H1123" s="25" t="n"/>
      <c r="I1123" s="25" t="n"/>
      <c r="J1123" s="25" t="n"/>
      <c r="K1123" s="25" t="n"/>
      <c r="L1123" s="25" t="n"/>
      <c r="M1123" s="25" t="n"/>
      <c r="N1123" s="25" t="n"/>
      <c r="O1123" s="25" t="n"/>
      <c r="P1123" s="25" t="n"/>
      <c r="Q1123" s="25" t="n"/>
      <c r="R1123" s="25" t="n"/>
      <c r="S1123" s="25" t="n"/>
      <c r="T1123" s="25" t="n"/>
      <c r="U1123" s="25" t="n"/>
      <c r="V1123" s="25" t="n"/>
      <c r="W1123" s="25" t="n"/>
      <c r="X1123" s="25" t="n"/>
      <c r="Y1123" s="25" t="n"/>
      <c r="Z1123" s="25" t="n"/>
      <c r="AA1123" s="25" t="n"/>
      <c r="AB1123" s="25" t="n"/>
      <c r="AC1123" s="25" t="n"/>
      <c r="AD1123" s="25" t="n"/>
      <c r="AE1123" s="25" t="n"/>
      <c r="AF1123" s="25" t="n"/>
      <c r="AG1123" s="25" t="n"/>
      <c r="AH1123" s="25" t="n"/>
      <c r="AI1123" s="25" t="n"/>
      <c r="AJ1123" s="25" t="n"/>
      <c r="AK1123" s="25" t="n"/>
      <c r="AL1123" s="25" t="n"/>
      <c r="AM1123" s="25" t="n"/>
      <c r="AN1123" s="25" t="n"/>
      <c r="AO1123" s="25" t="n"/>
      <c r="AP1123" s="25" t="n"/>
      <c r="AQ1123" s="25" t="n"/>
      <c r="AR1123" s="25" t="n"/>
      <c r="AS1123" s="25" t="n"/>
      <c r="AT1123" s="25" t="n"/>
      <c r="AU1123" s="25" t="n"/>
      <c r="AV1123" s="25" t="n"/>
      <c r="AW1123" s="25" t="n"/>
      <c r="AX1123" s="25" t="n"/>
      <c r="AY1123" s="25" t="n"/>
      <c r="AZ1123" s="25" t="n"/>
      <c r="BA1123" s="25" t="n"/>
      <c r="BB1123" s="25" t="n"/>
      <c r="BC1123" s="25" t="n"/>
      <c r="BD1123" s="25" t="n"/>
      <c r="BE1123" s="25" t="n"/>
      <c r="BF1123" s="25" t="n"/>
      <c r="BG1123" s="25" t="n"/>
      <c r="BH1123" s="25" t="n"/>
      <c r="BI1123" s="25" t="n"/>
      <c r="BJ1123" s="25" t="n"/>
      <c r="BK1123" s="25" t="n"/>
      <c r="BL1123" s="25" t="n"/>
      <c r="BM1123" s="25" t="n"/>
      <c r="BN1123" s="25" t="n"/>
      <c r="BO1123" s="25" t="n"/>
      <c r="BP1123" s="25" t="n"/>
      <c r="BQ1123" s="25" t="n"/>
      <c r="BR1123" s="25" t="n"/>
      <c r="BS1123" s="25" t="n"/>
      <c r="BT1123" s="25" t="n"/>
      <c r="BU1123" s="25" t="n"/>
      <c r="BV1123" s="25" t="n"/>
      <c r="BW1123" s="25" t="n"/>
      <c r="BX1123" s="25" t="n"/>
      <c r="BY1123" s="25" t="n"/>
      <c r="BZ1123" s="25" t="n"/>
      <c r="CA1123" s="25" t="n"/>
      <c r="CB1123" s="25" t="n"/>
      <c r="CC1123" s="25" t="n"/>
      <c r="CD1123" s="25" t="n"/>
      <c r="CE1123" s="25" t="n"/>
      <c r="CF1123" s="25" t="n"/>
      <c r="CG1123" s="25" t="n"/>
      <c r="CH1123" s="25" t="n"/>
      <c r="CI1123" s="25" t="n"/>
      <c r="CJ1123" s="25" t="n"/>
      <c r="CK1123" s="25" t="n"/>
      <c r="CL1123" s="25" t="n"/>
      <c r="CM1123" s="25" t="n"/>
      <c r="CN1123" s="25" t="n"/>
      <c r="CO1123" s="25" t="n"/>
      <c r="CP1123" s="25" t="n"/>
      <c r="CQ1123" s="25" t="n"/>
      <c r="CR1123" s="25" t="n"/>
      <c r="CS1123" s="25" t="n"/>
      <c r="CT1123" s="25" t="n"/>
      <c r="CU1123" s="25" t="n"/>
      <c r="CV1123" s="25" t="n"/>
      <c r="CW1123" s="25" t="n"/>
      <c r="CX1123" s="25" t="n"/>
      <c r="CY1123" s="25" t="n"/>
      <c r="CZ1123" s="25" t="n"/>
      <c r="DA1123" s="25" t="n"/>
      <c r="DB1123" s="25" t="n"/>
      <c r="DC1123" s="25" t="n"/>
    </row>
    <row r="1124">
      <c r="B1124" s="5" t="inlineStr">
        <is>
          <t>合計在庫(週末時点,kg)</t>
        </is>
      </c>
      <c r="D1124">
        <f>'Grid_Stock'!B48</f>
        <v/>
      </c>
      <c r="E1124">
        <f>'Grid_Stock'!C48</f>
        <v/>
      </c>
      <c r="F1124">
        <f>'Grid_Stock'!D48</f>
        <v/>
      </c>
      <c r="G1124">
        <f>'Grid_Stock'!E48</f>
        <v/>
      </c>
      <c r="H1124">
        <f>'Grid_Stock'!F48</f>
        <v/>
      </c>
      <c r="I1124">
        <f>'Grid_Stock'!G48</f>
        <v/>
      </c>
      <c r="J1124">
        <f>'Grid_Stock'!H48</f>
        <v/>
      </c>
      <c r="K1124">
        <f>'Grid_Stock'!I48</f>
        <v/>
      </c>
      <c r="L1124">
        <f>'Grid_Stock'!J48</f>
        <v/>
      </c>
      <c r="M1124">
        <f>'Grid_Stock'!K48</f>
        <v/>
      </c>
      <c r="N1124">
        <f>'Grid_Stock'!L48</f>
        <v/>
      </c>
      <c r="O1124">
        <f>'Grid_Stock'!M48</f>
        <v/>
      </c>
      <c r="P1124">
        <f>'Grid_Stock'!N48</f>
        <v/>
      </c>
      <c r="Q1124">
        <f>'Grid_Stock'!O48</f>
        <v/>
      </c>
      <c r="R1124">
        <f>'Grid_Stock'!P48</f>
        <v/>
      </c>
      <c r="S1124">
        <f>'Grid_Stock'!Q48</f>
        <v/>
      </c>
      <c r="T1124">
        <f>'Grid_Stock'!R48</f>
        <v/>
      </c>
      <c r="U1124">
        <f>'Grid_Stock'!S48</f>
        <v/>
      </c>
      <c r="V1124">
        <f>'Grid_Stock'!T48</f>
        <v/>
      </c>
      <c r="W1124">
        <f>'Grid_Stock'!U48</f>
        <v/>
      </c>
      <c r="X1124">
        <f>'Grid_Stock'!V48</f>
        <v/>
      </c>
      <c r="Y1124">
        <f>'Grid_Stock'!W48</f>
        <v/>
      </c>
      <c r="Z1124">
        <f>'Grid_Stock'!X48</f>
        <v/>
      </c>
      <c r="AA1124">
        <f>'Grid_Stock'!Y48</f>
        <v/>
      </c>
      <c r="AB1124">
        <f>'Grid_Stock'!Z48</f>
        <v/>
      </c>
      <c r="AC1124">
        <f>'Grid_Stock'!AA48</f>
        <v/>
      </c>
      <c r="AD1124">
        <f>'Grid_Stock'!AB48</f>
        <v/>
      </c>
      <c r="AE1124">
        <f>'Grid_Stock'!AC48</f>
        <v/>
      </c>
      <c r="AF1124">
        <f>'Grid_Stock'!AD48</f>
        <v/>
      </c>
      <c r="AG1124">
        <f>'Grid_Stock'!AE48</f>
        <v/>
      </c>
      <c r="AH1124">
        <f>'Grid_Stock'!AF48</f>
        <v/>
      </c>
      <c r="AI1124">
        <f>'Grid_Stock'!AG48</f>
        <v/>
      </c>
      <c r="AJ1124">
        <f>'Grid_Stock'!AH48</f>
        <v/>
      </c>
      <c r="AK1124">
        <f>'Grid_Stock'!AI48</f>
        <v/>
      </c>
      <c r="AL1124">
        <f>'Grid_Stock'!AJ48</f>
        <v/>
      </c>
      <c r="AM1124">
        <f>'Grid_Stock'!AK48</f>
        <v/>
      </c>
      <c r="AN1124">
        <f>'Grid_Stock'!AL48</f>
        <v/>
      </c>
      <c r="AO1124">
        <f>'Grid_Stock'!AM48</f>
        <v/>
      </c>
      <c r="AP1124">
        <f>'Grid_Stock'!AN48</f>
        <v/>
      </c>
      <c r="AQ1124">
        <f>'Grid_Stock'!AO48</f>
        <v/>
      </c>
      <c r="AR1124">
        <f>'Grid_Stock'!AP48</f>
        <v/>
      </c>
      <c r="AS1124">
        <f>'Grid_Stock'!AQ48</f>
        <v/>
      </c>
      <c r="AT1124">
        <f>'Grid_Stock'!AR48</f>
        <v/>
      </c>
      <c r="AU1124">
        <f>'Grid_Stock'!AS48</f>
        <v/>
      </c>
      <c r="AV1124">
        <f>'Grid_Stock'!AT48</f>
        <v/>
      </c>
      <c r="AW1124">
        <f>'Grid_Stock'!AU48</f>
        <v/>
      </c>
      <c r="AX1124">
        <f>'Grid_Stock'!AV48</f>
        <v/>
      </c>
      <c r="AY1124">
        <f>'Grid_Stock'!AW48</f>
        <v/>
      </c>
      <c r="AZ1124">
        <f>'Grid_Stock'!AX48</f>
        <v/>
      </c>
      <c r="BA1124">
        <f>'Grid_Stock'!AY48</f>
        <v/>
      </c>
      <c r="BB1124">
        <f>'Grid_Stock'!AZ48</f>
        <v/>
      </c>
      <c r="BC1124">
        <f>'Grid_Stock'!BA48</f>
        <v/>
      </c>
      <c r="BD1124">
        <f>'Grid_Stock'!BB48</f>
        <v/>
      </c>
      <c r="BE1124">
        <f>'Grid_Stock'!BC48</f>
        <v/>
      </c>
      <c r="BF1124">
        <f>'Grid_Stock'!BD48</f>
        <v/>
      </c>
      <c r="BG1124">
        <f>'Grid_Stock'!BE48</f>
        <v/>
      </c>
      <c r="BH1124">
        <f>'Grid_Stock'!BF48</f>
        <v/>
      </c>
      <c r="BI1124">
        <f>'Grid_Stock'!BG48</f>
        <v/>
      </c>
      <c r="BJ1124">
        <f>'Grid_Stock'!BH48</f>
        <v/>
      </c>
      <c r="BK1124">
        <f>'Grid_Stock'!BI48</f>
        <v/>
      </c>
      <c r="BL1124">
        <f>'Grid_Stock'!BJ48</f>
        <v/>
      </c>
      <c r="BM1124">
        <f>'Grid_Stock'!BK48</f>
        <v/>
      </c>
      <c r="BN1124">
        <f>'Grid_Stock'!BL48</f>
        <v/>
      </c>
      <c r="BO1124">
        <f>'Grid_Stock'!BM48</f>
        <v/>
      </c>
      <c r="BP1124">
        <f>'Grid_Stock'!BN48</f>
        <v/>
      </c>
      <c r="BQ1124">
        <f>'Grid_Stock'!BO48</f>
        <v/>
      </c>
      <c r="BR1124">
        <f>'Grid_Stock'!BP48</f>
        <v/>
      </c>
      <c r="BS1124">
        <f>'Grid_Stock'!BQ48</f>
        <v/>
      </c>
      <c r="BT1124">
        <f>'Grid_Stock'!BR48</f>
        <v/>
      </c>
      <c r="BU1124">
        <f>'Grid_Stock'!BS48</f>
        <v/>
      </c>
      <c r="BV1124">
        <f>'Grid_Stock'!BT48</f>
        <v/>
      </c>
      <c r="BW1124">
        <f>'Grid_Stock'!BU48</f>
        <v/>
      </c>
      <c r="BX1124">
        <f>'Grid_Stock'!BV48</f>
        <v/>
      </c>
      <c r="BY1124">
        <f>'Grid_Stock'!BW48</f>
        <v/>
      </c>
      <c r="BZ1124">
        <f>'Grid_Stock'!BX48</f>
        <v/>
      </c>
      <c r="CA1124">
        <f>'Grid_Stock'!BY48</f>
        <v/>
      </c>
      <c r="CB1124">
        <f>'Grid_Stock'!BZ48</f>
        <v/>
      </c>
      <c r="CC1124">
        <f>'Grid_Stock'!CA48</f>
        <v/>
      </c>
      <c r="CD1124">
        <f>'Grid_Stock'!CB48</f>
        <v/>
      </c>
      <c r="CE1124">
        <f>'Grid_Stock'!CC48</f>
        <v/>
      </c>
      <c r="CF1124">
        <f>'Grid_Stock'!CD48</f>
        <v/>
      </c>
      <c r="CG1124">
        <f>'Grid_Stock'!CE48</f>
        <v/>
      </c>
      <c r="CH1124">
        <f>'Grid_Stock'!CF48</f>
        <v/>
      </c>
      <c r="CI1124">
        <f>'Grid_Stock'!CG48</f>
        <v/>
      </c>
      <c r="CJ1124">
        <f>'Grid_Stock'!CH48</f>
        <v/>
      </c>
      <c r="CK1124">
        <f>'Grid_Stock'!CI48</f>
        <v/>
      </c>
      <c r="CL1124">
        <f>'Grid_Stock'!CJ48</f>
        <v/>
      </c>
      <c r="CM1124">
        <f>'Grid_Stock'!CK48</f>
        <v/>
      </c>
      <c r="CN1124">
        <f>'Grid_Stock'!CL48</f>
        <v/>
      </c>
      <c r="CO1124">
        <f>'Grid_Stock'!CM48</f>
        <v/>
      </c>
      <c r="CP1124">
        <f>'Grid_Stock'!CN48</f>
        <v/>
      </c>
      <c r="CQ1124">
        <f>'Grid_Stock'!CO48</f>
        <v/>
      </c>
      <c r="CR1124">
        <f>'Grid_Stock'!CP48</f>
        <v/>
      </c>
      <c r="CS1124">
        <f>'Grid_Stock'!CQ48</f>
        <v/>
      </c>
      <c r="CT1124">
        <f>'Grid_Stock'!CR48</f>
        <v/>
      </c>
      <c r="CU1124">
        <f>'Grid_Stock'!CS48</f>
        <v/>
      </c>
      <c r="CV1124">
        <f>'Grid_Stock'!CT48</f>
        <v/>
      </c>
      <c r="CW1124">
        <f>'Grid_Stock'!CU48</f>
        <v/>
      </c>
      <c r="CX1124">
        <f>'Grid_Stock'!CV48</f>
        <v/>
      </c>
      <c r="CY1124">
        <f>'Grid_Stock'!CW48</f>
        <v/>
      </c>
      <c r="CZ1124">
        <f>'Grid_Stock'!CX48</f>
        <v/>
      </c>
      <c r="DA1124">
        <f>'Grid_Stock'!CY48</f>
        <v/>
      </c>
      <c r="DB1124">
        <f>'Grid_Stock'!CZ48</f>
        <v/>
      </c>
      <c r="DC1124">
        <f>'Grid_Stock'!DA48</f>
        <v/>
      </c>
    </row>
    <row r="1125">
      <c r="B1125" s="26" t="inlineStr">
        <is>
          <t>（発注の目安はDashboardの基準在庫[下限/上限]と色分けを参照）</t>
        </is>
      </c>
    </row>
    <row r="1127">
      <c r="A1127" s="21" t="inlineStr">
        <is>
          <t>CHEM-1010</t>
        </is>
      </c>
      <c r="B1127" s="21" t="inlineStr">
        <is>
          <t>Sodium Carbonate Anhydrous</t>
        </is>
      </c>
      <c r="C1127" s="22" t="n"/>
      <c r="D1127" s="21" t="n"/>
      <c r="E1127" s="21" t="n"/>
      <c r="F1127" s="21" t="n"/>
      <c r="G1127" s="21" t="n"/>
      <c r="H1127" s="21" t="n"/>
      <c r="I1127" s="21" t="n"/>
      <c r="J1127" s="21" t="n"/>
      <c r="K1127" s="21" t="n"/>
      <c r="L1127" s="21" t="n"/>
      <c r="M1127" s="21" t="n"/>
      <c r="N1127" s="21" t="n"/>
      <c r="O1127" s="21" t="n"/>
      <c r="P1127" s="21" t="n"/>
      <c r="Q1127" s="21" t="n"/>
      <c r="R1127" s="21" t="n"/>
      <c r="S1127" s="21" t="n"/>
      <c r="T1127" s="21" t="n"/>
      <c r="U1127" s="21" t="n"/>
      <c r="V1127" s="21" t="n"/>
      <c r="W1127" s="21" t="n"/>
      <c r="X1127" s="21" t="n"/>
      <c r="Y1127" s="21" t="n"/>
      <c r="Z1127" s="21" t="n"/>
      <c r="AA1127" s="21" t="n"/>
      <c r="AB1127" s="21" t="n"/>
      <c r="AC1127" s="21" t="n"/>
      <c r="AD1127" s="21" t="n"/>
      <c r="AE1127" s="21" t="n"/>
      <c r="AF1127" s="21" t="n"/>
      <c r="AG1127" s="21" t="n"/>
      <c r="AH1127" s="21" t="n"/>
      <c r="AI1127" s="21" t="n"/>
      <c r="AJ1127" s="21" t="n"/>
      <c r="AK1127" s="21" t="n"/>
      <c r="AL1127" s="21" t="n"/>
      <c r="AM1127" s="21" t="n"/>
      <c r="AN1127" s="21" t="n"/>
      <c r="AO1127" s="21" t="n"/>
      <c r="AP1127" s="21" t="n"/>
      <c r="AQ1127" s="21" t="n"/>
      <c r="AR1127" s="21" t="n"/>
      <c r="AS1127" s="21" t="n"/>
      <c r="AT1127" s="21" t="n"/>
      <c r="AU1127" s="21" t="n"/>
      <c r="AV1127" s="21" t="n"/>
      <c r="AW1127" s="21" t="n"/>
      <c r="AX1127" s="21" t="n"/>
      <c r="AY1127" s="21" t="n"/>
      <c r="AZ1127" s="21" t="n"/>
      <c r="BA1127" s="21" t="n"/>
      <c r="BB1127" s="21" t="n"/>
      <c r="BC1127" s="21" t="n"/>
      <c r="BD1127" s="21" t="n"/>
      <c r="BE1127" s="21" t="n"/>
      <c r="BF1127" s="21" t="n"/>
      <c r="BG1127" s="21" t="n"/>
      <c r="BH1127" s="21" t="n"/>
      <c r="BI1127" s="21" t="n"/>
      <c r="BJ1127" s="21" t="n"/>
      <c r="BK1127" s="21" t="n"/>
      <c r="BL1127" s="21" t="n"/>
      <c r="BM1127" s="21" t="n"/>
      <c r="BN1127" s="21" t="n"/>
      <c r="BO1127" s="21" t="n"/>
      <c r="BP1127" s="21" t="n"/>
      <c r="BQ1127" s="21" t="n"/>
      <c r="BR1127" s="21" t="n"/>
      <c r="BS1127" s="21" t="n"/>
      <c r="BT1127" s="21" t="n"/>
      <c r="BU1127" s="21" t="n"/>
      <c r="BV1127" s="21" t="n"/>
      <c r="BW1127" s="21" t="n"/>
      <c r="BX1127" s="21" t="n"/>
      <c r="BY1127" s="21" t="n"/>
      <c r="BZ1127" s="21" t="n"/>
      <c r="CA1127" s="21" t="n"/>
      <c r="CB1127" s="21" t="n"/>
      <c r="CC1127" s="21" t="n"/>
      <c r="CD1127" s="21" t="n"/>
      <c r="CE1127" s="21" t="n"/>
      <c r="CF1127" s="21" t="n"/>
      <c r="CG1127" s="21" t="n"/>
      <c r="CH1127" s="21" t="n"/>
      <c r="CI1127" s="21" t="n"/>
      <c r="CJ1127" s="21" t="n"/>
      <c r="CK1127" s="21" t="n"/>
      <c r="CL1127" s="21" t="n"/>
      <c r="CM1127" s="21" t="n"/>
      <c r="CN1127" s="21" t="n"/>
      <c r="CO1127" s="21" t="n"/>
      <c r="CP1127" s="21" t="n"/>
      <c r="CQ1127" s="21" t="n"/>
      <c r="CR1127" s="21" t="n"/>
      <c r="CS1127" s="21" t="n"/>
      <c r="CT1127" s="21" t="n"/>
      <c r="CU1127" s="21" t="n"/>
      <c r="CV1127" s="21" t="n"/>
      <c r="CW1127" s="21" t="n"/>
      <c r="CX1127" s="21" t="n"/>
      <c r="CY1127" s="21" t="n"/>
      <c r="CZ1127" s="21" t="n"/>
      <c r="DA1127" s="21" t="n"/>
      <c r="DB1127" s="21" t="n"/>
      <c r="DC1127" s="21" t="n"/>
    </row>
    <row r="1128">
      <c r="B1128" t="inlineStr">
        <is>
          <t>SOL-20P</t>
        </is>
      </c>
      <c r="C1128" t="inlineStr">
        <is>
          <t>No. of batches</t>
        </is>
      </c>
      <c r="D1128">
        <f>IFERROR(INDEX(PP_Grid[#Data],$DD1128,2),0)</f>
        <v/>
      </c>
      <c r="E1128">
        <f>IFERROR(INDEX(PP_Grid[#Data],$DD1128,3),0)</f>
        <v/>
      </c>
      <c r="F1128">
        <f>IFERROR(INDEX(PP_Grid[#Data],$DD1128,4),0)</f>
        <v/>
      </c>
      <c r="G1128">
        <f>IFERROR(INDEX(PP_Grid[#Data],$DD1128,5),0)</f>
        <v/>
      </c>
      <c r="H1128">
        <f>IFERROR(INDEX(PP_Grid[#Data],$DD1128,6),0)</f>
        <v/>
      </c>
      <c r="I1128">
        <f>IFERROR(INDEX(PP_Grid[#Data],$DD1128,7),0)</f>
        <v/>
      </c>
      <c r="J1128">
        <f>IFERROR(INDEX(PP_Grid[#Data],$DD1128,8),0)</f>
        <v/>
      </c>
      <c r="K1128">
        <f>IFERROR(INDEX(PP_Grid[#Data],$DD1128,9),0)</f>
        <v/>
      </c>
      <c r="L1128">
        <f>IFERROR(INDEX(PP_Grid[#Data],$DD1128,10),0)</f>
        <v/>
      </c>
      <c r="M1128">
        <f>IFERROR(INDEX(PP_Grid[#Data],$DD1128,11),0)</f>
        <v/>
      </c>
      <c r="N1128">
        <f>IFERROR(INDEX(PP_Grid[#Data],$DD1128,12),0)</f>
        <v/>
      </c>
      <c r="O1128">
        <f>IFERROR(INDEX(PP_Grid[#Data],$DD1128,13),0)</f>
        <v/>
      </c>
      <c r="P1128">
        <f>IFERROR(INDEX(PP_Grid[#Data],$DD1128,14),0)</f>
        <v/>
      </c>
      <c r="Q1128">
        <f>IFERROR(INDEX(PP_Grid[#Data],$DD1128,15),0)</f>
        <v/>
      </c>
      <c r="R1128">
        <f>IFERROR(INDEX(PP_Grid[#Data],$DD1128,16),0)</f>
        <v/>
      </c>
      <c r="S1128">
        <f>IFERROR(INDEX(PP_Grid[#Data],$DD1128,17),0)</f>
        <v/>
      </c>
      <c r="T1128">
        <f>IFERROR(INDEX(PP_Grid[#Data],$DD1128,18),0)</f>
        <v/>
      </c>
      <c r="U1128">
        <f>IFERROR(INDEX(PP_Grid[#Data],$DD1128,19),0)</f>
        <v/>
      </c>
      <c r="V1128">
        <f>IFERROR(INDEX(PP_Grid[#Data],$DD1128,20),0)</f>
        <v/>
      </c>
      <c r="W1128">
        <f>IFERROR(INDEX(PP_Grid[#Data],$DD1128,21),0)</f>
        <v/>
      </c>
      <c r="X1128">
        <f>IFERROR(INDEX(PP_Grid[#Data],$DD1128,22),0)</f>
        <v/>
      </c>
      <c r="Y1128">
        <f>IFERROR(INDEX(PP_Grid[#Data],$DD1128,23),0)</f>
        <v/>
      </c>
      <c r="Z1128">
        <f>IFERROR(INDEX(PP_Grid[#Data],$DD1128,24),0)</f>
        <v/>
      </c>
      <c r="AA1128">
        <f>IFERROR(INDEX(PP_Grid[#Data],$DD1128,25),0)</f>
        <v/>
      </c>
      <c r="AB1128">
        <f>IFERROR(INDEX(PP_Grid[#Data],$DD1128,26),0)</f>
        <v/>
      </c>
      <c r="AC1128">
        <f>IFERROR(INDEX(PP_Grid[#Data],$DD1128,27),0)</f>
        <v/>
      </c>
      <c r="AD1128">
        <f>IFERROR(INDEX(PP_Grid[#Data],$DD1128,28),0)</f>
        <v/>
      </c>
      <c r="AE1128">
        <f>IFERROR(INDEX(PP_Grid[#Data],$DD1128,29),0)</f>
        <v/>
      </c>
      <c r="AF1128">
        <f>IFERROR(INDEX(PP_Grid[#Data],$DD1128,30),0)</f>
        <v/>
      </c>
      <c r="AG1128">
        <f>IFERROR(INDEX(PP_Grid[#Data],$DD1128,31),0)</f>
        <v/>
      </c>
      <c r="AH1128">
        <f>IFERROR(INDEX(PP_Grid[#Data],$DD1128,32),0)</f>
        <v/>
      </c>
      <c r="AI1128">
        <f>IFERROR(INDEX(PP_Grid[#Data],$DD1128,33),0)</f>
        <v/>
      </c>
      <c r="AJ1128">
        <f>IFERROR(INDEX(PP_Grid[#Data],$DD1128,34),0)</f>
        <v/>
      </c>
      <c r="AK1128">
        <f>IFERROR(INDEX(PP_Grid[#Data],$DD1128,35),0)</f>
        <v/>
      </c>
      <c r="AL1128">
        <f>IFERROR(INDEX(PP_Grid[#Data],$DD1128,36),0)</f>
        <v/>
      </c>
      <c r="AM1128">
        <f>IFERROR(INDEX(PP_Grid[#Data],$DD1128,37),0)</f>
        <v/>
      </c>
      <c r="AN1128">
        <f>IFERROR(INDEX(PP_Grid[#Data],$DD1128,38),0)</f>
        <v/>
      </c>
      <c r="AO1128">
        <f>IFERROR(INDEX(PP_Grid[#Data],$DD1128,39),0)</f>
        <v/>
      </c>
      <c r="AP1128">
        <f>IFERROR(INDEX(PP_Grid[#Data],$DD1128,40),0)</f>
        <v/>
      </c>
      <c r="AQ1128">
        <f>IFERROR(INDEX(PP_Grid[#Data],$DD1128,41),0)</f>
        <v/>
      </c>
      <c r="AR1128">
        <f>IFERROR(INDEX(PP_Grid[#Data],$DD1128,42),0)</f>
        <v/>
      </c>
      <c r="AS1128">
        <f>IFERROR(INDEX(PP_Grid[#Data],$DD1128,43),0)</f>
        <v/>
      </c>
      <c r="AT1128">
        <f>IFERROR(INDEX(PP_Grid[#Data],$DD1128,44),0)</f>
        <v/>
      </c>
      <c r="AU1128">
        <f>IFERROR(INDEX(PP_Grid[#Data],$DD1128,45),0)</f>
        <v/>
      </c>
      <c r="AV1128">
        <f>IFERROR(INDEX(PP_Grid[#Data],$DD1128,46),0)</f>
        <v/>
      </c>
      <c r="AW1128">
        <f>IFERROR(INDEX(PP_Grid[#Data],$DD1128,47),0)</f>
        <v/>
      </c>
      <c r="AX1128">
        <f>IFERROR(INDEX(PP_Grid[#Data],$DD1128,48),0)</f>
        <v/>
      </c>
      <c r="AY1128">
        <f>IFERROR(INDEX(PP_Grid[#Data],$DD1128,49),0)</f>
        <v/>
      </c>
      <c r="AZ1128">
        <f>IFERROR(INDEX(PP_Grid[#Data],$DD1128,50),0)</f>
        <v/>
      </c>
      <c r="BA1128">
        <f>IFERROR(INDEX(PP_Grid[#Data],$DD1128,51),0)</f>
        <v/>
      </c>
      <c r="BB1128">
        <f>IFERROR(INDEX(PP_Grid[#Data],$DD1128,52),0)</f>
        <v/>
      </c>
      <c r="BC1128">
        <f>IFERROR(INDEX(PP_Grid[#Data],$DD1128,53),0)</f>
        <v/>
      </c>
      <c r="BD1128">
        <f>IFERROR(INDEX(PP_Grid[#Data],$DD1128,54),0)</f>
        <v/>
      </c>
      <c r="BE1128">
        <f>IFERROR(INDEX(PP_Grid[#Data],$DD1128,55),0)</f>
        <v/>
      </c>
      <c r="BF1128">
        <f>IFERROR(INDEX(PP_Grid[#Data],$DD1128,56),0)</f>
        <v/>
      </c>
      <c r="BG1128">
        <f>IFERROR(INDEX(PP_Grid[#Data],$DD1128,57),0)</f>
        <v/>
      </c>
      <c r="BH1128">
        <f>IFERROR(INDEX(PP_Grid[#Data],$DD1128,58),0)</f>
        <v/>
      </c>
      <c r="BI1128">
        <f>IFERROR(INDEX(PP_Grid[#Data],$DD1128,59),0)</f>
        <v/>
      </c>
      <c r="BJ1128">
        <f>IFERROR(INDEX(PP_Grid[#Data],$DD1128,60),0)</f>
        <v/>
      </c>
      <c r="BK1128">
        <f>IFERROR(INDEX(PP_Grid[#Data],$DD1128,61),0)</f>
        <v/>
      </c>
      <c r="BL1128">
        <f>IFERROR(INDEX(PP_Grid[#Data],$DD1128,62),0)</f>
        <v/>
      </c>
      <c r="BM1128">
        <f>IFERROR(INDEX(PP_Grid[#Data],$DD1128,63),0)</f>
        <v/>
      </c>
      <c r="BN1128">
        <f>IFERROR(INDEX(PP_Grid[#Data],$DD1128,64),0)</f>
        <v/>
      </c>
      <c r="BO1128">
        <f>IFERROR(INDEX(PP_Grid[#Data],$DD1128,65),0)</f>
        <v/>
      </c>
      <c r="BP1128">
        <f>IFERROR(INDEX(PP_Grid[#Data],$DD1128,66),0)</f>
        <v/>
      </c>
      <c r="BQ1128">
        <f>IFERROR(INDEX(PP_Grid[#Data],$DD1128,67),0)</f>
        <v/>
      </c>
      <c r="BR1128">
        <f>IFERROR(INDEX(PP_Grid[#Data],$DD1128,68),0)</f>
        <v/>
      </c>
      <c r="BS1128">
        <f>IFERROR(INDEX(PP_Grid[#Data],$DD1128,69),0)</f>
        <v/>
      </c>
      <c r="BT1128">
        <f>IFERROR(INDEX(PP_Grid[#Data],$DD1128,70),0)</f>
        <v/>
      </c>
      <c r="BU1128">
        <f>IFERROR(INDEX(PP_Grid[#Data],$DD1128,71),0)</f>
        <v/>
      </c>
      <c r="BV1128">
        <f>IFERROR(INDEX(PP_Grid[#Data],$DD1128,72),0)</f>
        <v/>
      </c>
      <c r="BW1128">
        <f>IFERROR(INDEX(PP_Grid[#Data],$DD1128,73),0)</f>
        <v/>
      </c>
      <c r="BX1128">
        <f>IFERROR(INDEX(PP_Grid[#Data],$DD1128,74),0)</f>
        <v/>
      </c>
      <c r="BY1128">
        <f>IFERROR(INDEX(PP_Grid[#Data],$DD1128,75),0)</f>
        <v/>
      </c>
      <c r="BZ1128">
        <f>IFERROR(INDEX(PP_Grid[#Data],$DD1128,76),0)</f>
        <v/>
      </c>
      <c r="CA1128">
        <f>IFERROR(INDEX(PP_Grid[#Data],$DD1128,77),0)</f>
        <v/>
      </c>
      <c r="CB1128">
        <f>IFERROR(INDEX(PP_Grid[#Data],$DD1128,78),0)</f>
        <v/>
      </c>
      <c r="CC1128">
        <f>IFERROR(INDEX(PP_Grid[#Data],$DD1128,79),0)</f>
        <v/>
      </c>
      <c r="CD1128">
        <f>IFERROR(INDEX(PP_Grid[#Data],$DD1128,80),0)</f>
        <v/>
      </c>
      <c r="CE1128">
        <f>IFERROR(INDEX(PP_Grid[#Data],$DD1128,81),0)</f>
        <v/>
      </c>
      <c r="CF1128">
        <f>IFERROR(INDEX(PP_Grid[#Data],$DD1128,82),0)</f>
        <v/>
      </c>
      <c r="CG1128">
        <f>IFERROR(INDEX(PP_Grid[#Data],$DD1128,83),0)</f>
        <v/>
      </c>
      <c r="CH1128">
        <f>IFERROR(INDEX(PP_Grid[#Data],$DD1128,84),0)</f>
        <v/>
      </c>
      <c r="CI1128">
        <f>IFERROR(INDEX(PP_Grid[#Data],$DD1128,85),0)</f>
        <v/>
      </c>
      <c r="CJ1128">
        <f>IFERROR(INDEX(PP_Grid[#Data],$DD1128,86),0)</f>
        <v/>
      </c>
      <c r="CK1128">
        <f>IFERROR(INDEX(PP_Grid[#Data],$DD1128,87),0)</f>
        <v/>
      </c>
      <c r="CL1128">
        <f>IFERROR(INDEX(PP_Grid[#Data],$DD1128,88),0)</f>
        <v/>
      </c>
      <c r="CM1128">
        <f>IFERROR(INDEX(PP_Grid[#Data],$DD1128,89),0)</f>
        <v/>
      </c>
      <c r="CN1128">
        <f>IFERROR(INDEX(PP_Grid[#Data],$DD1128,90),0)</f>
        <v/>
      </c>
      <c r="CO1128">
        <f>IFERROR(INDEX(PP_Grid[#Data],$DD1128,91),0)</f>
        <v/>
      </c>
      <c r="CP1128">
        <f>IFERROR(INDEX(PP_Grid[#Data],$DD1128,92),0)</f>
        <v/>
      </c>
      <c r="CQ1128">
        <f>IFERROR(INDEX(PP_Grid[#Data],$DD1128,93),0)</f>
        <v/>
      </c>
      <c r="CR1128">
        <f>IFERROR(INDEX(PP_Grid[#Data],$DD1128,94),0)</f>
        <v/>
      </c>
      <c r="CS1128">
        <f>IFERROR(INDEX(PP_Grid[#Data],$DD1128,95),0)</f>
        <v/>
      </c>
      <c r="CT1128">
        <f>IFERROR(INDEX(PP_Grid[#Data],$DD1128,96),0)</f>
        <v/>
      </c>
      <c r="CU1128">
        <f>IFERROR(INDEX(PP_Grid[#Data],$DD1128,97),0)</f>
        <v/>
      </c>
      <c r="CV1128">
        <f>IFERROR(INDEX(PP_Grid[#Data],$DD1128,98),0)</f>
        <v/>
      </c>
      <c r="CW1128">
        <f>IFERROR(INDEX(PP_Grid[#Data],$DD1128,99),0)</f>
        <v/>
      </c>
      <c r="CX1128">
        <f>IFERROR(INDEX(PP_Grid[#Data],$DD1128,100),0)</f>
        <v/>
      </c>
      <c r="CY1128">
        <f>IFERROR(INDEX(PP_Grid[#Data],$DD1128,101),0)</f>
        <v/>
      </c>
      <c r="CZ1128">
        <f>IFERROR(INDEX(PP_Grid[#Data],$DD1128,102),0)</f>
        <v/>
      </c>
      <c r="DA1128">
        <f>IFERROR(INDEX(PP_Grid[#Data],$DD1128,103),0)</f>
        <v/>
      </c>
      <c r="DB1128">
        <f>IFERROR(INDEX(PP_Grid[#Data],$DD1128,104),0)</f>
        <v/>
      </c>
      <c r="DC1128">
        <f>IFERROR(INDEX(PP_Grid[#Data],$DD1128,105),0)</f>
        <v/>
      </c>
      <c r="DD1128" s="12">
        <f>IFERROR(MATCH($B1128,PP_Grid[Intermediate],0),99999)</f>
        <v/>
      </c>
    </row>
    <row r="1129">
      <c r="B1129" t="inlineStr">
        <is>
          <t>使用量(kg)</t>
        </is>
      </c>
      <c r="C1129">
        <f>SUMIFS(M_BOM[RM_Qty_Per_Batch],M_BOM[Intermediate],$B1128,M_BOM[Part Name],$A1127)</f>
        <v/>
      </c>
      <c r="D1129">
        <f>$C1129*D1128</f>
        <v/>
      </c>
      <c r="E1129">
        <f>$C1129*E1128</f>
        <v/>
      </c>
      <c r="F1129">
        <f>$C1129*F1128</f>
        <v/>
      </c>
      <c r="G1129">
        <f>$C1129*G1128</f>
        <v/>
      </c>
      <c r="H1129">
        <f>$C1129*H1128</f>
        <v/>
      </c>
      <c r="I1129">
        <f>$C1129*I1128</f>
        <v/>
      </c>
      <c r="J1129">
        <f>$C1129*J1128</f>
        <v/>
      </c>
      <c r="K1129">
        <f>$C1129*K1128</f>
        <v/>
      </c>
      <c r="L1129">
        <f>$C1129*L1128</f>
        <v/>
      </c>
      <c r="M1129">
        <f>$C1129*M1128</f>
        <v/>
      </c>
      <c r="N1129">
        <f>$C1129*N1128</f>
        <v/>
      </c>
      <c r="O1129">
        <f>$C1129*O1128</f>
        <v/>
      </c>
      <c r="P1129">
        <f>$C1129*P1128</f>
        <v/>
      </c>
      <c r="Q1129">
        <f>$C1129*Q1128</f>
        <v/>
      </c>
      <c r="R1129">
        <f>$C1129*R1128</f>
        <v/>
      </c>
      <c r="S1129">
        <f>$C1129*S1128</f>
        <v/>
      </c>
      <c r="T1129">
        <f>$C1129*T1128</f>
        <v/>
      </c>
      <c r="U1129">
        <f>$C1129*U1128</f>
        <v/>
      </c>
      <c r="V1129">
        <f>$C1129*V1128</f>
        <v/>
      </c>
      <c r="W1129">
        <f>$C1129*W1128</f>
        <v/>
      </c>
      <c r="X1129">
        <f>$C1129*X1128</f>
        <v/>
      </c>
      <c r="Y1129">
        <f>$C1129*Y1128</f>
        <v/>
      </c>
      <c r="Z1129">
        <f>$C1129*Z1128</f>
        <v/>
      </c>
      <c r="AA1129">
        <f>$C1129*AA1128</f>
        <v/>
      </c>
      <c r="AB1129">
        <f>$C1129*AB1128</f>
        <v/>
      </c>
      <c r="AC1129">
        <f>$C1129*AC1128</f>
        <v/>
      </c>
      <c r="AD1129">
        <f>$C1129*AD1128</f>
        <v/>
      </c>
      <c r="AE1129">
        <f>$C1129*AE1128</f>
        <v/>
      </c>
      <c r="AF1129">
        <f>$C1129*AF1128</f>
        <v/>
      </c>
      <c r="AG1129">
        <f>$C1129*AG1128</f>
        <v/>
      </c>
      <c r="AH1129">
        <f>$C1129*AH1128</f>
        <v/>
      </c>
      <c r="AI1129">
        <f>$C1129*AI1128</f>
        <v/>
      </c>
      <c r="AJ1129">
        <f>$C1129*AJ1128</f>
        <v/>
      </c>
      <c r="AK1129">
        <f>$C1129*AK1128</f>
        <v/>
      </c>
      <c r="AL1129">
        <f>$C1129*AL1128</f>
        <v/>
      </c>
      <c r="AM1129">
        <f>$C1129*AM1128</f>
        <v/>
      </c>
      <c r="AN1129">
        <f>$C1129*AN1128</f>
        <v/>
      </c>
      <c r="AO1129">
        <f>$C1129*AO1128</f>
        <v/>
      </c>
      <c r="AP1129">
        <f>$C1129*AP1128</f>
        <v/>
      </c>
      <c r="AQ1129">
        <f>$C1129*AQ1128</f>
        <v/>
      </c>
      <c r="AR1129">
        <f>$C1129*AR1128</f>
        <v/>
      </c>
      <c r="AS1129">
        <f>$C1129*AS1128</f>
        <v/>
      </c>
      <c r="AT1129">
        <f>$C1129*AT1128</f>
        <v/>
      </c>
      <c r="AU1129">
        <f>$C1129*AU1128</f>
        <v/>
      </c>
      <c r="AV1129">
        <f>$C1129*AV1128</f>
        <v/>
      </c>
      <c r="AW1129">
        <f>$C1129*AW1128</f>
        <v/>
      </c>
      <c r="AX1129">
        <f>$C1129*AX1128</f>
        <v/>
      </c>
      <c r="AY1129">
        <f>$C1129*AY1128</f>
        <v/>
      </c>
      <c r="AZ1129">
        <f>$C1129*AZ1128</f>
        <v/>
      </c>
      <c r="BA1129">
        <f>$C1129*BA1128</f>
        <v/>
      </c>
      <c r="BB1129">
        <f>$C1129*BB1128</f>
        <v/>
      </c>
      <c r="BC1129">
        <f>$C1129*BC1128</f>
        <v/>
      </c>
      <c r="BD1129">
        <f>$C1129*BD1128</f>
        <v/>
      </c>
      <c r="BE1129">
        <f>$C1129*BE1128</f>
        <v/>
      </c>
      <c r="BF1129">
        <f>$C1129*BF1128</f>
        <v/>
      </c>
      <c r="BG1129">
        <f>$C1129*BG1128</f>
        <v/>
      </c>
      <c r="BH1129">
        <f>$C1129*BH1128</f>
        <v/>
      </c>
      <c r="BI1129">
        <f>$C1129*BI1128</f>
        <v/>
      </c>
      <c r="BJ1129">
        <f>$C1129*BJ1128</f>
        <v/>
      </c>
      <c r="BK1129">
        <f>$C1129*BK1128</f>
        <v/>
      </c>
      <c r="BL1129">
        <f>$C1129*BL1128</f>
        <v/>
      </c>
      <c r="BM1129">
        <f>$C1129*BM1128</f>
        <v/>
      </c>
      <c r="BN1129">
        <f>$C1129*BN1128</f>
        <v/>
      </c>
      <c r="BO1129">
        <f>$C1129*BO1128</f>
        <v/>
      </c>
      <c r="BP1129">
        <f>$C1129*BP1128</f>
        <v/>
      </c>
      <c r="BQ1129">
        <f>$C1129*BQ1128</f>
        <v/>
      </c>
      <c r="BR1129">
        <f>$C1129*BR1128</f>
        <v/>
      </c>
      <c r="BS1129">
        <f>$C1129*BS1128</f>
        <v/>
      </c>
      <c r="BT1129">
        <f>$C1129*BT1128</f>
        <v/>
      </c>
      <c r="BU1129">
        <f>$C1129*BU1128</f>
        <v/>
      </c>
      <c r="BV1129">
        <f>$C1129*BV1128</f>
        <v/>
      </c>
      <c r="BW1129">
        <f>$C1129*BW1128</f>
        <v/>
      </c>
      <c r="BX1129">
        <f>$C1129*BX1128</f>
        <v/>
      </c>
      <c r="BY1129">
        <f>$C1129*BY1128</f>
        <v/>
      </c>
      <c r="BZ1129">
        <f>$C1129*BZ1128</f>
        <v/>
      </c>
      <c r="CA1129">
        <f>$C1129*CA1128</f>
        <v/>
      </c>
      <c r="CB1129">
        <f>$C1129*CB1128</f>
        <v/>
      </c>
      <c r="CC1129">
        <f>$C1129*CC1128</f>
        <v/>
      </c>
      <c r="CD1129">
        <f>$C1129*CD1128</f>
        <v/>
      </c>
      <c r="CE1129">
        <f>$C1129*CE1128</f>
        <v/>
      </c>
      <c r="CF1129">
        <f>$C1129*CF1128</f>
        <v/>
      </c>
      <c r="CG1129">
        <f>$C1129*CG1128</f>
        <v/>
      </c>
      <c r="CH1129">
        <f>$C1129*CH1128</f>
        <v/>
      </c>
      <c r="CI1129">
        <f>$C1129*CI1128</f>
        <v/>
      </c>
      <c r="CJ1129">
        <f>$C1129*CJ1128</f>
        <v/>
      </c>
      <c r="CK1129">
        <f>$C1129*CK1128</f>
        <v/>
      </c>
      <c r="CL1129">
        <f>$C1129*CL1128</f>
        <v/>
      </c>
      <c r="CM1129">
        <f>$C1129*CM1128</f>
        <v/>
      </c>
      <c r="CN1129">
        <f>$C1129*CN1128</f>
        <v/>
      </c>
      <c r="CO1129">
        <f>$C1129*CO1128</f>
        <v/>
      </c>
      <c r="CP1129">
        <f>$C1129*CP1128</f>
        <v/>
      </c>
      <c r="CQ1129">
        <f>$C1129*CQ1128</f>
        <v/>
      </c>
      <c r="CR1129">
        <f>$C1129*CR1128</f>
        <v/>
      </c>
      <c r="CS1129">
        <f>$C1129*CS1128</f>
        <v/>
      </c>
      <c r="CT1129">
        <f>$C1129*CT1128</f>
        <v/>
      </c>
      <c r="CU1129">
        <f>$C1129*CU1128</f>
        <v/>
      </c>
      <c r="CV1129">
        <f>$C1129*CV1128</f>
        <v/>
      </c>
      <c r="CW1129">
        <f>$C1129*CW1128</f>
        <v/>
      </c>
      <c r="CX1129">
        <f>$C1129*CX1128</f>
        <v/>
      </c>
      <c r="CY1129">
        <f>$C1129*CY1128</f>
        <v/>
      </c>
      <c r="CZ1129">
        <f>$C1129*CZ1128</f>
        <v/>
      </c>
      <c r="DA1129">
        <f>$C1129*DA1128</f>
        <v/>
      </c>
      <c r="DB1129">
        <f>$C1129*DB1128</f>
        <v/>
      </c>
      <c r="DC1129">
        <f>$C1129*DC1128</f>
        <v/>
      </c>
    </row>
    <row r="1130">
      <c r="B1130" t="inlineStr">
        <is>
          <t>TPP-699</t>
        </is>
      </c>
      <c r="C1130" t="inlineStr">
        <is>
          <t>No. of batches</t>
        </is>
      </c>
      <c r="D1130">
        <f>IFERROR(INDEX(PP_Grid[#Data],$DD1130,2),0)</f>
        <v/>
      </c>
      <c r="E1130">
        <f>IFERROR(INDEX(PP_Grid[#Data],$DD1130,3),0)</f>
        <v/>
      </c>
      <c r="F1130">
        <f>IFERROR(INDEX(PP_Grid[#Data],$DD1130,4),0)</f>
        <v/>
      </c>
      <c r="G1130">
        <f>IFERROR(INDEX(PP_Grid[#Data],$DD1130,5),0)</f>
        <v/>
      </c>
      <c r="H1130">
        <f>IFERROR(INDEX(PP_Grid[#Data],$DD1130,6),0)</f>
        <v/>
      </c>
      <c r="I1130">
        <f>IFERROR(INDEX(PP_Grid[#Data],$DD1130,7),0)</f>
        <v/>
      </c>
      <c r="J1130">
        <f>IFERROR(INDEX(PP_Grid[#Data],$DD1130,8),0)</f>
        <v/>
      </c>
      <c r="K1130">
        <f>IFERROR(INDEX(PP_Grid[#Data],$DD1130,9),0)</f>
        <v/>
      </c>
      <c r="L1130">
        <f>IFERROR(INDEX(PP_Grid[#Data],$DD1130,10),0)</f>
        <v/>
      </c>
      <c r="M1130">
        <f>IFERROR(INDEX(PP_Grid[#Data],$DD1130,11),0)</f>
        <v/>
      </c>
      <c r="N1130">
        <f>IFERROR(INDEX(PP_Grid[#Data],$DD1130,12),0)</f>
        <v/>
      </c>
      <c r="O1130">
        <f>IFERROR(INDEX(PP_Grid[#Data],$DD1130,13),0)</f>
        <v/>
      </c>
      <c r="P1130">
        <f>IFERROR(INDEX(PP_Grid[#Data],$DD1130,14),0)</f>
        <v/>
      </c>
      <c r="Q1130">
        <f>IFERROR(INDEX(PP_Grid[#Data],$DD1130,15),0)</f>
        <v/>
      </c>
      <c r="R1130">
        <f>IFERROR(INDEX(PP_Grid[#Data],$DD1130,16),0)</f>
        <v/>
      </c>
      <c r="S1130">
        <f>IFERROR(INDEX(PP_Grid[#Data],$DD1130,17),0)</f>
        <v/>
      </c>
      <c r="T1130">
        <f>IFERROR(INDEX(PP_Grid[#Data],$DD1130,18),0)</f>
        <v/>
      </c>
      <c r="U1130">
        <f>IFERROR(INDEX(PP_Grid[#Data],$DD1130,19),0)</f>
        <v/>
      </c>
      <c r="V1130">
        <f>IFERROR(INDEX(PP_Grid[#Data],$DD1130,20),0)</f>
        <v/>
      </c>
      <c r="W1130">
        <f>IFERROR(INDEX(PP_Grid[#Data],$DD1130,21),0)</f>
        <v/>
      </c>
      <c r="X1130">
        <f>IFERROR(INDEX(PP_Grid[#Data],$DD1130,22),0)</f>
        <v/>
      </c>
      <c r="Y1130">
        <f>IFERROR(INDEX(PP_Grid[#Data],$DD1130,23),0)</f>
        <v/>
      </c>
      <c r="Z1130">
        <f>IFERROR(INDEX(PP_Grid[#Data],$DD1130,24),0)</f>
        <v/>
      </c>
      <c r="AA1130">
        <f>IFERROR(INDEX(PP_Grid[#Data],$DD1130,25),0)</f>
        <v/>
      </c>
      <c r="AB1130">
        <f>IFERROR(INDEX(PP_Grid[#Data],$DD1130,26),0)</f>
        <v/>
      </c>
      <c r="AC1130">
        <f>IFERROR(INDEX(PP_Grid[#Data],$DD1130,27),0)</f>
        <v/>
      </c>
      <c r="AD1130">
        <f>IFERROR(INDEX(PP_Grid[#Data],$DD1130,28),0)</f>
        <v/>
      </c>
      <c r="AE1130">
        <f>IFERROR(INDEX(PP_Grid[#Data],$DD1130,29),0)</f>
        <v/>
      </c>
      <c r="AF1130">
        <f>IFERROR(INDEX(PP_Grid[#Data],$DD1130,30),0)</f>
        <v/>
      </c>
      <c r="AG1130">
        <f>IFERROR(INDEX(PP_Grid[#Data],$DD1130,31),0)</f>
        <v/>
      </c>
      <c r="AH1130">
        <f>IFERROR(INDEX(PP_Grid[#Data],$DD1130,32),0)</f>
        <v/>
      </c>
      <c r="AI1130">
        <f>IFERROR(INDEX(PP_Grid[#Data],$DD1130,33),0)</f>
        <v/>
      </c>
      <c r="AJ1130">
        <f>IFERROR(INDEX(PP_Grid[#Data],$DD1130,34),0)</f>
        <v/>
      </c>
      <c r="AK1130">
        <f>IFERROR(INDEX(PP_Grid[#Data],$DD1130,35),0)</f>
        <v/>
      </c>
      <c r="AL1130">
        <f>IFERROR(INDEX(PP_Grid[#Data],$DD1130,36),0)</f>
        <v/>
      </c>
      <c r="AM1130">
        <f>IFERROR(INDEX(PP_Grid[#Data],$DD1130,37),0)</f>
        <v/>
      </c>
      <c r="AN1130">
        <f>IFERROR(INDEX(PP_Grid[#Data],$DD1130,38),0)</f>
        <v/>
      </c>
      <c r="AO1130">
        <f>IFERROR(INDEX(PP_Grid[#Data],$DD1130,39),0)</f>
        <v/>
      </c>
      <c r="AP1130">
        <f>IFERROR(INDEX(PP_Grid[#Data],$DD1130,40),0)</f>
        <v/>
      </c>
      <c r="AQ1130">
        <f>IFERROR(INDEX(PP_Grid[#Data],$DD1130,41),0)</f>
        <v/>
      </c>
      <c r="AR1130">
        <f>IFERROR(INDEX(PP_Grid[#Data],$DD1130,42),0)</f>
        <v/>
      </c>
      <c r="AS1130">
        <f>IFERROR(INDEX(PP_Grid[#Data],$DD1130,43),0)</f>
        <v/>
      </c>
      <c r="AT1130">
        <f>IFERROR(INDEX(PP_Grid[#Data],$DD1130,44),0)</f>
        <v/>
      </c>
      <c r="AU1130">
        <f>IFERROR(INDEX(PP_Grid[#Data],$DD1130,45),0)</f>
        <v/>
      </c>
      <c r="AV1130">
        <f>IFERROR(INDEX(PP_Grid[#Data],$DD1130,46),0)</f>
        <v/>
      </c>
      <c r="AW1130">
        <f>IFERROR(INDEX(PP_Grid[#Data],$DD1130,47),0)</f>
        <v/>
      </c>
      <c r="AX1130">
        <f>IFERROR(INDEX(PP_Grid[#Data],$DD1130,48),0)</f>
        <v/>
      </c>
      <c r="AY1130">
        <f>IFERROR(INDEX(PP_Grid[#Data],$DD1130,49),0)</f>
        <v/>
      </c>
      <c r="AZ1130">
        <f>IFERROR(INDEX(PP_Grid[#Data],$DD1130,50),0)</f>
        <v/>
      </c>
      <c r="BA1130">
        <f>IFERROR(INDEX(PP_Grid[#Data],$DD1130,51),0)</f>
        <v/>
      </c>
      <c r="BB1130">
        <f>IFERROR(INDEX(PP_Grid[#Data],$DD1130,52),0)</f>
        <v/>
      </c>
      <c r="BC1130">
        <f>IFERROR(INDEX(PP_Grid[#Data],$DD1130,53),0)</f>
        <v/>
      </c>
      <c r="BD1130">
        <f>IFERROR(INDEX(PP_Grid[#Data],$DD1130,54),0)</f>
        <v/>
      </c>
      <c r="BE1130">
        <f>IFERROR(INDEX(PP_Grid[#Data],$DD1130,55),0)</f>
        <v/>
      </c>
      <c r="BF1130">
        <f>IFERROR(INDEX(PP_Grid[#Data],$DD1130,56),0)</f>
        <v/>
      </c>
      <c r="BG1130">
        <f>IFERROR(INDEX(PP_Grid[#Data],$DD1130,57),0)</f>
        <v/>
      </c>
      <c r="BH1130">
        <f>IFERROR(INDEX(PP_Grid[#Data],$DD1130,58),0)</f>
        <v/>
      </c>
      <c r="BI1130">
        <f>IFERROR(INDEX(PP_Grid[#Data],$DD1130,59),0)</f>
        <v/>
      </c>
      <c r="BJ1130">
        <f>IFERROR(INDEX(PP_Grid[#Data],$DD1130,60),0)</f>
        <v/>
      </c>
      <c r="BK1130">
        <f>IFERROR(INDEX(PP_Grid[#Data],$DD1130,61),0)</f>
        <v/>
      </c>
      <c r="BL1130">
        <f>IFERROR(INDEX(PP_Grid[#Data],$DD1130,62),0)</f>
        <v/>
      </c>
      <c r="BM1130">
        <f>IFERROR(INDEX(PP_Grid[#Data],$DD1130,63),0)</f>
        <v/>
      </c>
      <c r="BN1130">
        <f>IFERROR(INDEX(PP_Grid[#Data],$DD1130,64),0)</f>
        <v/>
      </c>
      <c r="BO1130">
        <f>IFERROR(INDEX(PP_Grid[#Data],$DD1130,65),0)</f>
        <v/>
      </c>
      <c r="BP1130">
        <f>IFERROR(INDEX(PP_Grid[#Data],$DD1130,66),0)</f>
        <v/>
      </c>
      <c r="BQ1130">
        <f>IFERROR(INDEX(PP_Grid[#Data],$DD1130,67),0)</f>
        <v/>
      </c>
      <c r="BR1130">
        <f>IFERROR(INDEX(PP_Grid[#Data],$DD1130,68),0)</f>
        <v/>
      </c>
      <c r="BS1130">
        <f>IFERROR(INDEX(PP_Grid[#Data],$DD1130,69),0)</f>
        <v/>
      </c>
      <c r="BT1130">
        <f>IFERROR(INDEX(PP_Grid[#Data],$DD1130,70),0)</f>
        <v/>
      </c>
      <c r="BU1130">
        <f>IFERROR(INDEX(PP_Grid[#Data],$DD1130,71),0)</f>
        <v/>
      </c>
      <c r="BV1130">
        <f>IFERROR(INDEX(PP_Grid[#Data],$DD1130,72),0)</f>
        <v/>
      </c>
      <c r="BW1130">
        <f>IFERROR(INDEX(PP_Grid[#Data],$DD1130,73),0)</f>
        <v/>
      </c>
      <c r="BX1130">
        <f>IFERROR(INDEX(PP_Grid[#Data],$DD1130,74),0)</f>
        <v/>
      </c>
      <c r="BY1130">
        <f>IFERROR(INDEX(PP_Grid[#Data],$DD1130,75),0)</f>
        <v/>
      </c>
      <c r="BZ1130">
        <f>IFERROR(INDEX(PP_Grid[#Data],$DD1130,76),0)</f>
        <v/>
      </c>
      <c r="CA1130">
        <f>IFERROR(INDEX(PP_Grid[#Data],$DD1130,77),0)</f>
        <v/>
      </c>
      <c r="CB1130">
        <f>IFERROR(INDEX(PP_Grid[#Data],$DD1130,78),0)</f>
        <v/>
      </c>
      <c r="CC1130">
        <f>IFERROR(INDEX(PP_Grid[#Data],$DD1130,79),0)</f>
        <v/>
      </c>
      <c r="CD1130">
        <f>IFERROR(INDEX(PP_Grid[#Data],$DD1130,80),0)</f>
        <v/>
      </c>
      <c r="CE1130">
        <f>IFERROR(INDEX(PP_Grid[#Data],$DD1130,81),0)</f>
        <v/>
      </c>
      <c r="CF1130">
        <f>IFERROR(INDEX(PP_Grid[#Data],$DD1130,82),0)</f>
        <v/>
      </c>
      <c r="CG1130">
        <f>IFERROR(INDEX(PP_Grid[#Data],$DD1130,83),0)</f>
        <v/>
      </c>
      <c r="CH1130">
        <f>IFERROR(INDEX(PP_Grid[#Data],$DD1130,84),0)</f>
        <v/>
      </c>
      <c r="CI1130">
        <f>IFERROR(INDEX(PP_Grid[#Data],$DD1130,85),0)</f>
        <v/>
      </c>
      <c r="CJ1130">
        <f>IFERROR(INDEX(PP_Grid[#Data],$DD1130,86),0)</f>
        <v/>
      </c>
      <c r="CK1130">
        <f>IFERROR(INDEX(PP_Grid[#Data],$DD1130,87),0)</f>
        <v/>
      </c>
      <c r="CL1130">
        <f>IFERROR(INDEX(PP_Grid[#Data],$DD1130,88),0)</f>
        <v/>
      </c>
      <c r="CM1130">
        <f>IFERROR(INDEX(PP_Grid[#Data],$DD1130,89),0)</f>
        <v/>
      </c>
      <c r="CN1130">
        <f>IFERROR(INDEX(PP_Grid[#Data],$DD1130,90),0)</f>
        <v/>
      </c>
      <c r="CO1130">
        <f>IFERROR(INDEX(PP_Grid[#Data],$DD1130,91),0)</f>
        <v/>
      </c>
      <c r="CP1130">
        <f>IFERROR(INDEX(PP_Grid[#Data],$DD1130,92),0)</f>
        <v/>
      </c>
      <c r="CQ1130">
        <f>IFERROR(INDEX(PP_Grid[#Data],$DD1130,93),0)</f>
        <v/>
      </c>
      <c r="CR1130">
        <f>IFERROR(INDEX(PP_Grid[#Data],$DD1130,94),0)</f>
        <v/>
      </c>
      <c r="CS1130">
        <f>IFERROR(INDEX(PP_Grid[#Data],$DD1130,95),0)</f>
        <v/>
      </c>
      <c r="CT1130">
        <f>IFERROR(INDEX(PP_Grid[#Data],$DD1130,96),0)</f>
        <v/>
      </c>
      <c r="CU1130">
        <f>IFERROR(INDEX(PP_Grid[#Data],$DD1130,97),0)</f>
        <v/>
      </c>
      <c r="CV1130">
        <f>IFERROR(INDEX(PP_Grid[#Data],$DD1130,98),0)</f>
        <v/>
      </c>
      <c r="CW1130">
        <f>IFERROR(INDEX(PP_Grid[#Data],$DD1130,99),0)</f>
        <v/>
      </c>
      <c r="CX1130">
        <f>IFERROR(INDEX(PP_Grid[#Data],$DD1130,100),0)</f>
        <v/>
      </c>
      <c r="CY1130">
        <f>IFERROR(INDEX(PP_Grid[#Data],$DD1130,101),0)</f>
        <v/>
      </c>
      <c r="CZ1130">
        <f>IFERROR(INDEX(PP_Grid[#Data],$DD1130,102),0)</f>
        <v/>
      </c>
      <c r="DA1130">
        <f>IFERROR(INDEX(PP_Grid[#Data],$DD1130,103),0)</f>
        <v/>
      </c>
      <c r="DB1130">
        <f>IFERROR(INDEX(PP_Grid[#Data],$DD1130,104),0)</f>
        <v/>
      </c>
      <c r="DC1130">
        <f>IFERROR(INDEX(PP_Grid[#Data],$DD1130,105),0)</f>
        <v/>
      </c>
      <c r="DD1130" s="12">
        <f>IFERROR(MATCH($B1130,PP_Grid[Intermediate],0),99999)</f>
        <v/>
      </c>
    </row>
    <row r="1131">
      <c r="B1131" t="inlineStr">
        <is>
          <t>使用量(kg)</t>
        </is>
      </c>
      <c r="C1131">
        <f>SUMIFS(M_BOM[RM_Qty_Per_Batch],M_BOM[Intermediate],$B1130,M_BOM[Part Name],$A1127)</f>
        <v/>
      </c>
      <c r="D1131">
        <f>$C1131*D1130</f>
        <v/>
      </c>
      <c r="E1131">
        <f>$C1131*E1130</f>
        <v/>
      </c>
      <c r="F1131">
        <f>$C1131*F1130</f>
        <v/>
      </c>
      <c r="G1131">
        <f>$C1131*G1130</f>
        <v/>
      </c>
      <c r="H1131">
        <f>$C1131*H1130</f>
        <v/>
      </c>
      <c r="I1131">
        <f>$C1131*I1130</f>
        <v/>
      </c>
      <c r="J1131">
        <f>$C1131*J1130</f>
        <v/>
      </c>
      <c r="K1131">
        <f>$C1131*K1130</f>
        <v/>
      </c>
      <c r="L1131">
        <f>$C1131*L1130</f>
        <v/>
      </c>
      <c r="M1131">
        <f>$C1131*M1130</f>
        <v/>
      </c>
      <c r="N1131">
        <f>$C1131*N1130</f>
        <v/>
      </c>
      <c r="O1131">
        <f>$C1131*O1130</f>
        <v/>
      </c>
      <c r="P1131">
        <f>$C1131*P1130</f>
        <v/>
      </c>
      <c r="Q1131">
        <f>$C1131*Q1130</f>
        <v/>
      </c>
      <c r="R1131">
        <f>$C1131*R1130</f>
        <v/>
      </c>
      <c r="S1131">
        <f>$C1131*S1130</f>
        <v/>
      </c>
      <c r="T1131">
        <f>$C1131*T1130</f>
        <v/>
      </c>
      <c r="U1131">
        <f>$C1131*U1130</f>
        <v/>
      </c>
      <c r="V1131">
        <f>$C1131*V1130</f>
        <v/>
      </c>
      <c r="W1131">
        <f>$C1131*W1130</f>
        <v/>
      </c>
      <c r="X1131">
        <f>$C1131*X1130</f>
        <v/>
      </c>
      <c r="Y1131">
        <f>$C1131*Y1130</f>
        <v/>
      </c>
      <c r="Z1131">
        <f>$C1131*Z1130</f>
        <v/>
      </c>
      <c r="AA1131">
        <f>$C1131*AA1130</f>
        <v/>
      </c>
      <c r="AB1131">
        <f>$C1131*AB1130</f>
        <v/>
      </c>
      <c r="AC1131">
        <f>$C1131*AC1130</f>
        <v/>
      </c>
      <c r="AD1131">
        <f>$C1131*AD1130</f>
        <v/>
      </c>
      <c r="AE1131">
        <f>$C1131*AE1130</f>
        <v/>
      </c>
      <c r="AF1131">
        <f>$C1131*AF1130</f>
        <v/>
      </c>
      <c r="AG1131">
        <f>$C1131*AG1130</f>
        <v/>
      </c>
      <c r="AH1131">
        <f>$C1131*AH1130</f>
        <v/>
      </c>
      <c r="AI1131">
        <f>$C1131*AI1130</f>
        <v/>
      </c>
      <c r="AJ1131">
        <f>$C1131*AJ1130</f>
        <v/>
      </c>
      <c r="AK1131">
        <f>$C1131*AK1130</f>
        <v/>
      </c>
      <c r="AL1131">
        <f>$C1131*AL1130</f>
        <v/>
      </c>
      <c r="AM1131">
        <f>$C1131*AM1130</f>
        <v/>
      </c>
      <c r="AN1131">
        <f>$C1131*AN1130</f>
        <v/>
      </c>
      <c r="AO1131">
        <f>$C1131*AO1130</f>
        <v/>
      </c>
      <c r="AP1131">
        <f>$C1131*AP1130</f>
        <v/>
      </c>
      <c r="AQ1131">
        <f>$C1131*AQ1130</f>
        <v/>
      </c>
      <c r="AR1131">
        <f>$C1131*AR1130</f>
        <v/>
      </c>
      <c r="AS1131">
        <f>$C1131*AS1130</f>
        <v/>
      </c>
      <c r="AT1131">
        <f>$C1131*AT1130</f>
        <v/>
      </c>
      <c r="AU1131">
        <f>$C1131*AU1130</f>
        <v/>
      </c>
      <c r="AV1131">
        <f>$C1131*AV1130</f>
        <v/>
      </c>
      <c r="AW1131">
        <f>$C1131*AW1130</f>
        <v/>
      </c>
      <c r="AX1131">
        <f>$C1131*AX1130</f>
        <v/>
      </c>
      <c r="AY1131">
        <f>$C1131*AY1130</f>
        <v/>
      </c>
      <c r="AZ1131">
        <f>$C1131*AZ1130</f>
        <v/>
      </c>
      <c r="BA1131">
        <f>$C1131*BA1130</f>
        <v/>
      </c>
      <c r="BB1131">
        <f>$C1131*BB1130</f>
        <v/>
      </c>
      <c r="BC1131">
        <f>$C1131*BC1130</f>
        <v/>
      </c>
      <c r="BD1131">
        <f>$C1131*BD1130</f>
        <v/>
      </c>
      <c r="BE1131">
        <f>$C1131*BE1130</f>
        <v/>
      </c>
      <c r="BF1131">
        <f>$C1131*BF1130</f>
        <v/>
      </c>
      <c r="BG1131">
        <f>$C1131*BG1130</f>
        <v/>
      </c>
      <c r="BH1131">
        <f>$C1131*BH1130</f>
        <v/>
      </c>
      <c r="BI1131">
        <f>$C1131*BI1130</f>
        <v/>
      </c>
      <c r="BJ1131">
        <f>$C1131*BJ1130</f>
        <v/>
      </c>
      <c r="BK1131">
        <f>$C1131*BK1130</f>
        <v/>
      </c>
      <c r="BL1131">
        <f>$C1131*BL1130</f>
        <v/>
      </c>
      <c r="BM1131">
        <f>$C1131*BM1130</f>
        <v/>
      </c>
      <c r="BN1131">
        <f>$C1131*BN1130</f>
        <v/>
      </c>
      <c r="BO1131">
        <f>$C1131*BO1130</f>
        <v/>
      </c>
      <c r="BP1131">
        <f>$C1131*BP1130</f>
        <v/>
      </c>
      <c r="BQ1131">
        <f>$C1131*BQ1130</f>
        <v/>
      </c>
      <c r="BR1131">
        <f>$C1131*BR1130</f>
        <v/>
      </c>
      <c r="BS1131">
        <f>$C1131*BS1130</f>
        <v/>
      </c>
      <c r="BT1131">
        <f>$C1131*BT1130</f>
        <v/>
      </c>
      <c r="BU1131">
        <f>$C1131*BU1130</f>
        <v/>
      </c>
      <c r="BV1131">
        <f>$C1131*BV1130</f>
        <v/>
      </c>
      <c r="BW1131">
        <f>$C1131*BW1130</f>
        <v/>
      </c>
      <c r="BX1131">
        <f>$C1131*BX1130</f>
        <v/>
      </c>
      <c r="BY1131">
        <f>$C1131*BY1130</f>
        <v/>
      </c>
      <c r="BZ1131">
        <f>$C1131*BZ1130</f>
        <v/>
      </c>
      <c r="CA1131">
        <f>$C1131*CA1130</f>
        <v/>
      </c>
      <c r="CB1131">
        <f>$C1131*CB1130</f>
        <v/>
      </c>
      <c r="CC1131">
        <f>$C1131*CC1130</f>
        <v/>
      </c>
      <c r="CD1131">
        <f>$C1131*CD1130</f>
        <v/>
      </c>
      <c r="CE1131">
        <f>$C1131*CE1130</f>
        <v/>
      </c>
      <c r="CF1131">
        <f>$C1131*CF1130</f>
        <v/>
      </c>
      <c r="CG1131">
        <f>$C1131*CG1130</f>
        <v/>
      </c>
      <c r="CH1131">
        <f>$C1131*CH1130</f>
        <v/>
      </c>
      <c r="CI1131">
        <f>$C1131*CI1130</f>
        <v/>
      </c>
      <c r="CJ1131">
        <f>$C1131*CJ1130</f>
        <v/>
      </c>
      <c r="CK1131">
        <f>$C1131*CK1130</f>
        <v/>
      </c>
      <c r="CL1131">
        <f>$C1131*CL1130</f>
        <v/>
      </c>
      <c r="CM1131">
        <f>$C1131*CM1130</f>
        <v/>
      </c>
      <c r="CN1131">
        <f>$C1131*CN1130</f>
        <v/>
      </c>
      <c r="CO1131">
        <f>$C1131*CO1130</f>
        <v/>
      </c>
      <c r="CP1131">
        <f>$C1131*CP1130</f>
        <v/>
      </c>
      <c r="CQ1131">
        <f>$C1131*CQ1130</f>
        <v/>
      </c>
      <c r="CR1131">
        <f>$C1131*CR1130</f>
        <v/>
      </c>
      <c r="CS1131">
        <f>$C1131*CS1130</f>
        <v/>
      </c>
      <c r="CT1131">
        <f>$C1131*CT1130</f>
        <v/>
      </c>
      <c r="CU1131">
        <f>$C1131*CU1130</f>
        <v/>
      </c>
      <c r="CV1131">
        <f>$C1131*CV1130</f>
        <v/>
      </c>
      <c r="CW1131">
        <f>$C1131*CW1130</f>
        <v/>
      </c>
      <c r="CX1131">
        <f>$C1131*CX1130</f>
        <v/>
      </c>
      <c r="CY1131">
        <f>$C1131*CY1130</f>
        <v/>
      </c>
      <c r="CZ1131">
        <f>$C1131*CZ1130</f>
        <v/>
      </c>
      <c r="DA1131">
        <f>$C1131*DA1130</f>
        <v/>
      </c>
      <c r="DB1131">
        <f>$C1131*DB1130</f>
        <v/>
      </c>
      <c r="DC1131">
        <f>$C1131*DC1130</f>
        <v/>
      </c>
    </row>
    <row r="1132">
      <c r="B1132" t="inlineStr">
        <is>
          <t>TPP-700</t>
        </is>
      </c>
      <c r="C1132" t="inlineStr">
        <is>
          <t>No. of batches</t>
        </is>
      </c>
      <c r="D1132">
        <f>IFERROR(INDEX(PP_Grid[#Data],$DD1132,2),0)</f>
        <v/>
      </c>
      <c r="E1132">
        <f>IFERROR(INDEX(PP_Grid[#Data],$DD1132,3),0)</f>
        <v/>
      </c>
      <c r="F1132">
        <f>IFERROR(INDEX(PP_Grid[#Data],$DD1132,4),0)</f>
        <v/>
      </c>
      <c r="G1132">
        <f>IFERROR(INDEX(PP_Grid[#Data],$DD1132,5),0)</f>
        <v/>
      </c>
      <c r="H1132">
        <f>IFERROR(INDEX(PP_Grid[#Data],$DD1132,6),0)</f>
        <v/>
      </c>
      <c r="I1132">
        <f>IFERROR(INDEX(PP_Grid[#Data],$DD1132,7),0)</f>
        <v/>
      </c>
      <c r="J1132">
        <f>IFERROR(INDEX(PP_Grid[#Data],$DD1132,8),0)</f>
        <v/>
      </c>
      <c r="K1132">
        <f>IFERROR(INDEX(PP_Grid[#Data],$DD1132,9),0)</f>
        <v/>
      </c>
      <c r="L1132">
        <f>IFERROR(INDEX(PP_Grid[#Data],$DD1132,10),0)</f>
        <v/>
      </c>
      <c r="M1132">
        <f>IFERROR(INDEX(PP_Grid[#Data],$DD1132,11),0)</f>
        <v/>
      </c>
      <c r="N1132">
        <f>IFERROR(INDEX(PP_Grid[#Data],$DD1132,12),0)</f>
        <v/>
      </c>
      <c r="O1132">
        <f>IFERROR(INDEX(PP_Grid[#Data],$DD1132,13),0)</f>
        <v/>
      </c>
      <c r="P1132">
        <f>IFERROR(INDEX(PP_Grid[#Data],$DD1132,14),0)</f>
        <v/>
      </c>
      <c r="Q1132">
        <f>IFERROR(INDEX(PP_Grid[#Data],$DD1132,15),0)</f>
        <v/>
      </c>
      <c r="R1132">
        <f>IFERROR(INDEX(PP_Grid[#Data],$DD1132,16),0)</f>
        <v/>
      </c>
      <c r="S1132">
        <f>IFERROR(INDEX(PP_Grid[#Data],$DD1132,17),0)</f>
        <v/>
      </c>
      <c r="T1132">
        <f>IFERROR(INDEX(PP_Grid[#Data],$DD1132,18),0)</f>
        <v/>
      </c>
      <c r="U1132">
        <f>IFERROR(INDEX(PP_Grid[#Data],$DD1132,19),0)</f>
        <v/>
      </c>
      <c r="V1132">
        <f>IFERROR(INDEX(PP_Grid[#Data],$DD1132,20),0)</f>
        <v/>
      </c>
      <c r="W1132">
        <f>IFERROR(INDEX(PP_Grid[#Data],$DD1132,21),0)</f>
        <v/>
      </c>
      <c r="X1132">
        <f>IFERROR(INDEX(PP_Grid[#Data],$DD1132,22),0)</f>
        <v/>
      </c>
      <c r="Y1132">
        <f>IFERROR(INDEX(PP_Grid[#Data],$DD1132,23),0)</f>
        <v/>
      </c>
      <c r="Z1132">
        <f>IFERROR(INDEX(PP_Grid[#Data],$DD1132,24),0)</f>
        <v/>
      </c>
      <c r="AA1132">
        <f>IFERROR(INDEX(PP_Grid[#Data],$DD1132,25),0)</f>
        <v/>
      </c>
      <c r="AB1132">
        <f>IFERROR(INDEX(PP_Grid[#Data],$DD1132,26),0)</f>
        <v/>
      </c>
      <c r="AC1132">
        <f>IFERROR(INDEX(PP_Grid[#Data],$DD1132,27),0)</f>
        <v/>
      </c>
      <c r="AD1132">
        <f>IFERROR(INDEX(PP_Grid[#Data],$DD1132,28),0)</f>
        <v/>
      </c>
      <c r="AE1132">
        <f>IFERROR(INDEX(PP_Grid[#Data],$DD1132,29),0)</f>
        <v/>
      </c>
      <c r="AF1132">
        <f>IFERROR(INDEX(PP_Grid[#Data],$DD1132,30),0)</f>
        <v/>
      </c>
      <c r="AG1132">
        <f>IFERROR(INDEX(PP_Grid[#Data],$DD1132,31),0)</f>
        <v/>
      </c>
      <c r="AH1132">
        <f>IFERROR(INDEX(PP_Grid[#Data],$DD1132,32),0)</f>
        <v/>
      </c>
      <c r="AI1132">
        <f>IFERROR(INDEX(PP_Grid[#Data],$DD1132,33),0)</f>
        <v/>
      </c>
      <c r="AJ1132">
        <f>IFERROR(INDEX(PP_Grid[#Data],$DD1132,34),0)</f>
        <v/>
      </c>
      <c r="AK1132">
        <f>IFERROR(INDEX(PP_Grid[#Data],$DD1132,35),0)</f>
        <v/>
      </c>
      <c r="AL1132">
        <f>IFERROR(INDEX(PP_Grid[#Data],$DD1132,36),0)</f>
        <v/>
      </c>
      <c r="AM1132">
        <f>IFERROR(INDEX(PP_Grid[#Data],$DD1132,37),0)</f>
        <v/>
      </c>
      <c r="AN1132">
        <f>IFERROR(INDEX(PP_Grid[#Data],$DD1132,38),0)</f>
        <v/>
      </c>
      <c r="AO1132">
        <f>IFERROR(INDEX(PP_Grid[#Data],$DD1132,39),0)</f>
        <v/>
      </c>
      <c r="AP1132">
        <f>IFERROR(INDEX(PP_Grid[#Data],$DD1132,40),0)</f>
        <v/>
      </c>
      <c r="AQ1132">
        <f>IFERROR(INDEX(PP_Grid[#Data],$DD1132,41),0)</f>
        <v/>
      </c>
      <c r="AR1132">
        <f>IFERROR(INDEX(PP_Grid[#Data],$DD1132,42),0)</f>
        <v/>
      </c>
      <c r="AS1132">
        <f>IFERROR(INDEX(PP_Grid[#Data],$DD1132,43),0)</f>
        <v/>
      </c>
      <c r="AT1132">
        <f>IFERROR(INDEX(PP_Grid[#Data],$DD1132,44),0)</f>
        <v/>
      </c>
      <c r="AU1132">
        <f>IFERROR(INDEX(PP_Grid[#Data],$DD1132,45),0)</f>
        <v/>
      </c>
      <c r="AV1132">
        <f>IFERROR(INDEX(PP_Grid[#Data],$DD1132,46),0)</f>
        <v/>
      </c>
      <c r="AW1132">
        <f>IFERROR(INDEX(PP_Grid[#Data],$DD1132,47),0)</f>
        <v/>
      </c>
      <c r="AX1132">
        <f>IFERROR(INDEX(PP_Grid[#Data],$DD1132,48),0)</f>
        <v/>
      </c>
      <c r="AY1132">
        <f>IFERROR(INDEX(PP_Grid[#Data],$DD1132,49),0)</f>
        <v/>
      </c>
      <c r="AZ1132">
        <f>IFERROR(INDEX(PP_Grid[#Data],$DD1132,50),0)</f>
        <v/>
      </c>
      <c r="BA1132">
        <f>IFERROR(INDEX(PP_Grid[#Data],$DD1132,51),0)</f>
        <v/>
      </c>
      <c r="BB1132">
        <f>IFERROR(INDEX(PP_Grid[#Data],$DD1132,52),0)</f>
        <v/>
      </c>
      <c r="BC1132">
        <f>IFERROR(INDEX(PP_Grid[#Data],$DD1132,53),0)</f>
        <v/>
      </c>
      <c r="BD1132">
        <f>IFERROR(INDEX(PP_Grid[#Data],$DD1132,54),0)</f>
        <v/>
      </c>
      <c r="BE1132">
        <f>IFERROR(INDEX(PP_Grid[#Data],$DD1132,55),0)</f>
        <v/>
      </c>
      <c r="BF1132">
        <f>IFERROR(INDEX(PP_Grid[#Data],$DD1132,56),0)</f>
        <v/>
      </c>
      <c r="BG1132">
        <f>IFERROR(INDEX(PP_Grid[#Data],$DD1132,57),0)</f>
        <v/>
      </c>
      <c r="BH1132">
        <f>IFERROR(INDEX(PP_Grid[#Data],$DD1132,58),0)</f>
        <v/>
      </c>
      <c r="BI1132">
        <f>IFERROR(INDEX(PP_Grid[#Data],$DD1132,59),0)</f>
        <v/>
      </c>
      <c r="BJ1132">
        <f>IFERROR(INDEX(PP_Grid[#Data],$DD1132,60),0)</f>
        <v/>
      </c>
      <c r="BK1132">
        <f>IFERROR(INDEX(PP_Grid[#Data],$DD1132,61),0)</f>
        <v/>
      </c>
      <c r="BL1132">
        <f>IFERROR(INDEX(PP_Grid[#Data],$DD1132,62),0)</f>
        <v/>
      </c>
      <c r="BM1132">
        <f>IFERROR(INDEX(PP_Grid[#Data],$DD1132,63),0)</f>
        <v/>
      </c>
      <c r="BN1132">
        <f>IFERROR(INDEX(PP_Grid[#Data],$DD1132,64),0)</f>
        <v/>
      </c>
      <c r="BO1132">
        <f>IFERROR(INDEX(PP_Grid[#Data],$DD1132,65),0)</f>
        <v/>
      </c>
      <c r="BP1132">
        <f>IFERROR(INDEX(PP_Grid[#Data],$DD1132,66),0)</f>
        <v/>
      </c>
      <c r="BQ1132">
        <f>IFERROR(INDEX(PP_Grid[#Data],$DD1132,67),0)</f>
        <v/>
      </c>
      <c r="BR1132">
        <f>IFERROR(INDEX(PP_Grid[#Data],$DD1132,68),0)</f>
        <v/>
      </c>
      <c r="BS1132">
        <f>IFERROR(INDEX(PP_Grid[#Data],$DD1132,69),0)</f>
        <v/>
      </c>
      <c r="BT1132">
        <f>IFERROR(INDEX(PP_Grid[#Data],$DD1132,70),0)</f>
        <v/>
      </c>
      <c r="BU1132">
        <f>IFERROR(INDEX(PP_Grid[#Data],$DD1132,71),0)</f>
        <v/>
      </c>
      <c r="BV1132">
        <f>IFERROR(INDEX(PP_Grid[#Data],$DD1132,72),0)</f>
        <v/>
      </c>
      <c r="BW1132">
        <f>IFERROR(INDEX(PP_Grid[#Data],$DD1132,73),0)</f>
        <v/>
      </c>
      <c r="BX1132">
        <f>IFERROR(INDEX(PP_Grid[#Data],$DD1132,74),0)</f>
        <v/>
      </c>
      <c r="BY1132">
        <f>IFERROR(INDEX(PP_Grid[#Data],$DD1132,75),0)</f>
        <v/>
      </c>
      <c r="BZ1132">
        <f>IFERROR(INDEX(PP_Grid[#Data],$DD1132,76),0)</f>
        <v/>
      </c>
      <c r="CA1132">
        <f>IFERROR(INDEX(PP_Grid[#Data],$DD1132,77),0)</f>
        <v/>
      </c>
      <c r="CB1132">
        <f>IFERROR(INDEX(PP_Grid[#Data],$DD1132,78),0)</f>
        <v/>
      </c>
      <c r="CC1132">
        <f>IFERROR(INDEX(PP_Grid[#Data],$DD1132,79),0)</f>
        <v/>
      </c>
      <c r="CD1132">
        <f>IFERROR(INDEX(PP_Grid[#Data],$DD1132,80),0)</f>
        <v/>
      </c>
      <c r="CE1132">
        <f>IFERROR(INDEX(PP_Grid[#Data],$DD1132,81),0)</f>
        <v/>
      </c>
      <c r="CF1132">
        <f>IFERROR(INDEX(PP_Grid[#Data],$DD1132,82),0)</f>
        <v/>
      </c>
      <c r="CG1132">
        <f>IFERROR(INDEX(PP_Grid[#Data],$DD1132,83),0)</f>
        <v/>
      </c>
      <c r="CH1132">
        <f>IFERROR(INDEX(PP_Grid[#Data],$DD1132,84),0)</f>
        <v/>
      </c>
      <c r="CI1132">
        <f>IFERROR(INDEX(PP_Grid[#Data],$DD1132,85),0)</f>
        <v/>
      </c>
      <c r="CJ1132">
        <f>IFERROR(INDEX(PP_Grid[#Data],$DD1132,86),0)</f>
        <v/>
      </c>
      <c r="CK1132">
        <f>IFERROR(INDEX(PP_Grid[#Data],$DD1132,87),0)</f>
        <v/>
      </c>
      <c r="CL1132">
        <f>IFERROR(INDEX(PP_Grid[#Data],$DD1132,88),0)</f>
        <v/>
      </c>
      <c r="CM1132">
        <f>IFERROR(INDEX(PP_Grid[#Data],$DD1132,89),0)</f>
        <v/>
      </c>
      <c r="CN1132">
        <f>IFERROR(INDEX(PP_Grid[#Data],$DD1132,90),0)</f>
        <v/>
      </c>
      <c r="CO1132">
        <f>IFERROR(INDEX(PP_Grid[#Data],$DD1132,91),0)</f>
        <v/>
      </c>
      <c r="CP1132">
        <f>IFERROR(INDEX(PP_Grid[#Data],$DD1132,92),0)</f>
        <v/>
      </c>
      <c r="CQ1132">
        <f>IFERROR(INDEX(PP_Grid[#Data],$DD1132,93),0)</f>
        <v/>
      </c>
      <c r="CR1132">
        <f>IFERROR(INDEX(PP_Grid[#Data],$DD1132,94),0)</f>
        <v/>
      </c>
      <c r="CS1132">
        <f>IFERROR(INDEX(PP_Grid[#Data],$DD1132,95),0)</f>
        <v/>
      </c>
      <c r="CT1132">
        <f>IFERROR(INDEX(PP_Grid[#Data],$DD1132,96),0)</f>
        <v/>
      </c>
      <c r="CU1132">
        <f>IFERROR(INDEX(PP_Grid[#Data],$DD1132,97),0)</f>
        <v/>
      </c>
      <c r="CV1132">
        <f>IFERROR(INDEX(PP_Grid[#Data],$DD1132,98),0)</f>
        <v/>
      </c>
      <c r="CW1132">
        <f>IFERROR(INDEX(PP_Grid[#Data],$DD1132,99),0)</f>
        <v/>
      </c>
      <c r="CX1132">
        <f>IFERROR(INDEX(PP_Grid[#Data],$DD1132,100),0)</f>
        <v/>
      </c>
      <c r="CY1132">
        <f>IFERROR(INDEX(PP_Grid[#Data],$DD1132,101),0)</f>
        <v/>
      </c>
      <c r="CZ1132">
        <f>IFERROR(INDEX(PP_Grid[#Data],$DD1132,102),0)</f>
        <v/>
      </c>
      <c r="DA1132">
        <f>IFERROR(INDEX(PP_Grid[#Data],$DD1132,103),0)</f>
        <v/>
      </c>
      <c r="DB1132">
        <f>IFERROR(INDEX(PP_Grid[#Data],$DD1132,104),0)</f>
        <v/>
      </c>
      <c r="DC1132">
        <f>IFERROR(INDEX(PP_Grid[#Data],$DD1132,105),0)</f>
        <v/>
      </c>
      <c r="DD1132" s="12">
        <f>IFERROR(MATCH($B1132,PP_Grid[Intermediate],0),99999)</f>
        <v/>
      </c>
    </row>
    <row r="1133">
      <c r="B1133" t="inlineStr">
        <is>
          <t>使用量(kg)</t>
        </is>
      </c>
      <c r="C1133">
        <f>SUMIFS(M_BOM[RM_Qty_Per_Batch],M_BOM[Intermediate],$B1132,M_BOM[Part Name],$A1127)</f>
        <v/>
      </c>
      <c r="D1133">
        <f>$C1133*D1132</f>
        <v/>
      </c>
      <c r="E1133">
        <f>$C1133*E1132</f>
        <v/>
      </c>
      <c r="F1133">
        <f>$C1133*F1132</f>
        <v/>
      </c>
      <c r="G1133">
        <f>$C1133*G1132</f>
        <v/>
      </c>
      <c r="H1133">
        <f>$C1133*H1132</f>
        <v/>
      </c>
      <c r="I1133">
        <f>$C1133*I1132</f>
        <v/>
      </c>
      <c r="J1133">
        <f>$C1133*J1132</f>
        <v/>
      </c>
      <c r="K1133">
        <f>$C1133*K1132</f>
        <v/>
      </c>
      <c r="L1133">
        <f>$C1133*L1132</f>
        <v/>
      </c>
      <c r="M1133">
        <f>$C1133*M1132</f>
        <v/>
      </c>
      <c r="N1133">
        <f>$C1133*N1132</f>
        <v/>
      </c>
      <c r="O1133">
        <f>$C1133*O1132</f>
        <v/>
      </c>
      <c r="P1133">
        <f>$C1133*P1132</f>
        <v/>
      </c>
      <c r="Q1133">
        <f>$C1133*Q1132</f>
        <v/>
      </c>
      <c r="R1133">
        <f>$C1133*R1132</f>
        <v/>
      </c>
      <c r="S1133">
        <f>$C1133*S1132</f>
        <v/>
      </c>
      <c r="T1133">
        <f>$C1133*T1132</f>
        <v/>
      </c>
      <c r="U1133">
        <f>$C1133*U1132</f>
        <v/>
      </c>
      <c r="V1133">
        <f>$C1133*V1132</f>
        <v/>
      </c>
      <c r="W1133">
        <f>$C1133*W1132</f>
        <v/>
      </c>
      <c r="X1133">
        <f>$C1133*X1132</f>
        <v/>
      </c>
      <c r="Y1133">
        <f>$C1133*Y1132</f>
        <v/>
      </c>
      <c r="Z1133">
        <f>$C1133*Z1132</f>
        <v/>
      </c>
      <c r="AA1133">
        <f>$C1133*AA1132</f>
        <v/>
      </c>
      <c r="AB1133">
        <f>$C1133*AB1132</f>
        <v/>
      </c>
      <c r="AC1133">
        <f>$C1133*AC1132</f>
        <v/>
      </c>
      <c r="AD1133">
        <f>$C1133*AD1132</f>
        <v/>
      </c>
      <c r="AE1133">
        <f>$C1133*AE1132</f>
        <v/>
      </c>
      <c r="AF1133">
        <f>$C1133*AF1132</f>
        <v/>
      </c>
      <c r="AG1133">
        <f>$C1133*AG1132</f>
        <v/>
      </c>
      <c r="AH1133">
        <f>$C1133*AH1132</f>
        <v/>
      </c>
      <c r="AI1133">
        <f>$C1133*AI1132</f>
        <v/>
      </c>
      <c r="AJ1133">
        <f>$C1133*AJ1132</f>
        <v/>
      </c>
      <c r="AK1133">
        <f>$C1133*AK1132</f>
        <v/>
      </c>
      <c r="AL1133">
        <f>$C1133*AL1132</f>
        <v/>
      </c>
      <c r="AM1133">
        <f>$C1133*AM1132</f>
        <v/>
      </c>
      <c r="AN1133">
        <f>$C1133*AN1132</f>
        <v/>
      </c>
      <c r="AO1133">
        <f>$C1133*AO1132</f>
        <v/>
      </c>
      <c r="AP1133">
        <f>$C1133*AP1132</f>
        <v/>
      </c>
      <c r="AQ1133">
        <f>$C1133*AQ1132</f>
        <v/>
      </c>
      <c r="AR1133">
        <f>$C1133*AR1132</f>
        <v/>
      </c>
      <c r="AS1133">
        <f>$C1133*AS1132</f>
        <v/>
      </c>
      <c r="AT1133">
        <f>$C1133*AT1132</f>
        <v/>
      </c>
      <c r="AU1133">
        <f>$C1133*AU1132</f>
        <v/>
      </c>
      <c r="AV1133">
        <f>$C1133*AV1132</f>
        <v/>
      </c>
      <c r="AW1133">
        <f>$C1133*AW1132</f>
        <v/>
      </c>
      <c r="AX1133">
        <f>$C1133*AX1132</f>
        <v/>
      </c>
      <c r="AY1133">
        <f>$C1133*AY1132</f>
        <v/>
      </c>
      <c r="AZ1133">
        <f>$C1133*AZ1132</f>
        <v/>
      </c>
      <c r="BA1133">
        <f>$C1133*BA1132</f>
        <v/>
      </c>
      <c r="BB1133">
        <f>$C1133*BB1132</f>
        <v/>
      </c>
      <c r="BC1133">
        <f>$C1133*BC1132</f>
        <v/>
      </c>
      <c r="BD1133">
        <f>$C1133*BD1132</f>
        <v/>
      </c>
      <c r="BE1133">
        <f>$C1133*BE1132</f>
        <v/>
      </c>
      <c r="BF1133">
        <f>$C1133*BF1132</f>
        <v/>
      </c>
      <c r="BG1133">
        <f>$C1133*BG1132</f>
        <v/>
      </c>
      <c r="BH1133">
        <f>$C1133*BH1132</f>
        <v/>
      </c>
      <c r="BI1133">
        <f>$C1133*BI1132</f>
        <v/>
      </c>
      <c r="BJ1133">
        <f>$C1133*BJ1132</f>
        <v/>
      </c>
      <c r="BK1133">
        <f>$C1133*BK1132</f>
        <v/>
      </c>
      <c r="BL1133">
        <f>$C1133*BL1132</f>
        <v/>
      </c>
      <c r="BM1133">
        <f>$C1133*BM1132</f>
        <v/>
      </c>
      <c r="BN1133">
        <f>$C1133*BN1132</f>
        <v/>
      </c>
      <c r="BO1133">
        <f>$C1133*BO1132</f>
        <v/>
      </c>
      <c r="BP1133">
        <f>$C1133*BP1132</f>
        <v/>
      </c>
      <c r="BQ1133">
        <f>$C1133*BQ1132</f>
        <v/>
      </c>
      <c r="BR1133">
        <f>$C1133*BR1132</f>
        <v/>
      </c>
      <c r="BS1133">
        <f>$C1133*BS1132</f>
        <v/>
      </c>
      <c r="BT1133">
        <f>$C1133*BT1132</f>
        <v/>
      </c>
      <c r="BU1133">
        <f>$C1133*BU1132</f>
        <v/>
      </c>
      <c r="BV1133">
        <f>$C1133*BV1132</f>
        <v/>
      </c>
      <c r="BW1133">
        <f>$C1133*BW1132</f>
        <v/>
      </c>
      <c r="BX1133">
        <f>$C1133*BX1132</f>
        <v/>
      </c>
      <c r="BY1133">
        <f>$C1133*BY1132</f>
        <v/>
      </c>
      <c r="BZ1133">
        <f>$C1133*BZ1132</f>
        <v/>
      </c>
      <c r="CA1133">
        <f>$C1133*CA1132</f>
        <v/>
      </c>
      <c r="CB1133">
        <f>$C1133*CB1132</f>
        <v/>
      </c>
      <c r="CC1133">
        <f>$C1133*CC1132</f>
        <v/>
      </c>
      <c r="CD1133">
        <f>$C1133*CD1132</f>
        <v/>
      </c>
      <c r="CE1133">
        <f>$C1133*CE1132</f>
        <v/>
      </c>
      <c r="CF1133">
        <f>$C1133*CF1132</f>
        <v/>
      </c>
      <c r="CG1133">
        <f>$C1133*CG1132</f>
        <v/>
      </c>
      <c r="CH1133">
        <f>$C1133*CH1132</f>
        <v/>
      </c>
      <c r="CI1133">
        <f>$C1133*CI1132</f>
        <v/>
      </c>
      <c r="CJ1133">
        <f>$C1133*CJ1132</f>
        <v/>
      </c>
      <c r="CK1133">
        <f>$C1133*CK1132</f>
        <v/>
      </c>
      <c r="CL1133">
        <f>$C1133*CL1132</f>
        <v/>
      </c>
      <c r="CM1133">
        <f>$C1133*CM1132</f>
        <v/>
      </c>
      <c r="CN1133">
        <f>$C1133*CN1132</f>
        <v/>
      </c>
      <c r="CO1133">
        <f>$C1133*CO1132</f>
        <v/>
      </c>
      <c r="CP1133">
        <f>$C1133*CP1132</f>
        <v/>
      </c>
      <c r="CQ1133">
        <f>$C1133*CQ1132</f>
        <v/>
      </c>
      <c r="CR1133">
        <f>$C1133*CR1132</f>
        <v/>
      </c>
      <c r="CS1133">
        <f>$C1133*CS1132</f>
        <v/>
      </c>
      <c r="CT1133">
        <f>$C1133*CT1132</f>
        <v/>
      </c>
      <c r="CU1133">
        <f>$C1133*CU1132</f>
        <v/>
      </c>
      <c r="CV1133">
        <f>$C1133*CV1132</f>
        <v/>
      </c>
      <c r="CW1133">
        <f>$C1133*CW1132</f>
        <v/>
      </c>
      <c r="CX1133">
        <f>$C1133*CX1132</f>
        <v/>
      </c>
      <c r="CY1133">
        <f>$C1133*CY1132</f>
        <v/>
      </c>
      <c r="CZ1133">
        <f>$C1133*CZ1132</f>
        <v/>
      </c>
      <c r="DA1133">
        <f>$C1133*DA1132</f>
        <v/>
      </c>
      <c r="DB1133">
        <f>$C1133*DB1132</f>
        <v/>
      </c>
      <c r="DC1133">
        <f>$C1133*DC1132</f>
        <v/>
      </c>
    </row>
    <row r="1134">
      <c r="B1134" t="inlineStr">
        <is>
          <t>TPP-701</t>
        </is>
      </c>
      <c r="C1134" t="inlineStr">
        <is>
          <t>No. of batches</t>
        </is>
      </c>
      <c r="D1134">
        <f>IFERROR(INDEX(PP_Grid[#Data],$DD1134,2),0)</f>
        <v/>
      </c>
      <c r="E1134">
        <f>IFERROR(INDEX(PP_Grid[#Data],$DD1134,3),0)</f>
        <v/>
      </c>
      <c r="F1134">
        <f>IFERROR(INDEX(PP_Grid[#Data],$DD1134,4),0)</f>
        <v/>
      </c>
      <c r="G1134">
        <f>IFERROR(INDEX(PP_Grid[#Data],$DD1134,5),0)</f>
        <v/>
      </c>
      <c r="H1134">
        <f>IFERROR(INDEX(PP_Grid[#Data],$DD1134,6),0)</f>
        <v/>
      </c>
      <c r="I1134">
        <f>IFERROR(INDEX(PP_Grid[#Data],$DD1134,7),0)</f>
        <v/>
      </c>
      <c r="J1134">
        <f>IFERROR(INDEX(PP_Grid[#Data],$DD1134,8),0)</f>
        <v/>
      </c>
      <c r="K1134">
        <f>IFERROR(INDEX(PP_Grid[#Data],$DD1134,9),0)</f>
        <v/>
      </c>
      <c r="L1134">
        <f>IFERROR(INDEX(PP_Grid[#Data],$DD1134,10),0)</f>
        <v/>
      </c>
      <c r="M1134">
        <f>IFERROR(INDEX(PP_Grid[#Data],$DD1134,11),0)</f>
        <v/>
      </c>
      <c r="N1134">
        <f>IFERROR(INDEX(PP_Grid[#Data],$DD1134,12),0)</f>
        <v/>
      </c>
      <c r="O1134">
        <f>IFERROR(INDEX(PP_Grid[#Data],$DD1134,13),0)</f>
        <v/>
      </c>
      <c r="P1134">
        <f>IFERROR(INDEX(PP_Grid[#Data],$DD1134,14),0)</f>
        <v/>
      </c>
      <c r="Q1134">
        <f>IFERROR(INDEX(PP_Grid[#Data],$DD1134,15),0)</f>
        <v/>
      </c>
      <c r="R1134">
        <f>IFERROR(INDEX(PP_Grid[#Data],$DD1134,16),0)</f>
        <v/>
      </c>
      <c r="S1134">
        <f>IFERROR(INDEX(PP_Grid[#Data],$DD1134,17),0)</f>
        <v/>
      </c>
      <c r="T1134">
        <f>IFERROR(INDEX(PP_Grid[#Data],$DD1134,18),0)</f>
        <v/>
      </c>
      <c r="U1134">
        <f>IFERROR(INDEX(PP_Grid[#Data],$DD1134,19),0)</f>
        <v/>
      </c>
      <c r="V1134">
        <f>IFERROR(INDEX(PP_Grid[#Data],$DD1134,20),0)</f>
        <v/>
      </c>
      <c r="W1134">
        <f>IFERROR(INDEX(PP_Grid[#Data],$DD1134,21),0)</f>
        <v/>
      </c>
      <c r="X1134">
        <f>IFERROR(INDEX(PP_Grid[#Data],$DD1134,22),0)</f>
        <v/>
      </c>
      <c r="Y1134">
        <f>IFERROR(INDEX(PP_Grid[#Data],$DD1134,23),0)</f>
        <v/>
      </c>
      <c r="Z1134">
        <f>IFERROR(INDEX(PP_Grid[#Data],$DD1134,24),0)</f>
        <v/>
      </c>
      <c r="AA1134">
        <f>IFERROR(INDEX(PP_Grid[#Data],$DD1134,25),0)</f>
        <v/>
      </c>
      <c r="AB1134">
        <f>IFERROR(INDEX(PP_Grid[#Data],$DD1134,26),0)</f>
        <v/>
      </c>
      <c r="AC1134">
        <f>IFERROR(INDEX(PP_Grid[#Data],$DD1134,27),0)</f>
        <v/>
      </c>
      <c r="AD1134">
        <f>IFERROR(INDEX(PP_Grid[#Data],$DD1134,28),0)</f>
        <v/>
      </c>
      <c r="AE1134">
        <f>IFERROR(INDEX(PP_Grid[#Data],$DD1134,29),0)</f>
        <v/>
      </c>
      <c r="AF1134">
        <f>IFERROR(INDEX(PP_Grid[#Data],$DD1134,30),0)</f>
        <v/>
      </c>
      <c r="AG1134">
        <f>IFERROR(INDEX(PP_Grid[#Data],$DD1134,31),0)</f>
        <v/>
      </c>
      <c r="AH1134">
        <f>IFERROR(INDEX(PP_Grid[#Data],$DD1134,32),0)</f>
        <v/>
      </c>
      <c r="AI1134">
        <f>IFERROR(INDEX(PP_Grid[#Data],$DD1134,33),0)</f>
        <v/>
      </c>
      <c r="AJ1134">
        <f>IFERROR(INDEX(PP_Grid[#Data],$DD1134,34),0)</f>
        <v/>
      </c>
      <c r="AK1134">
        <f>IFERROR(INDEX(PP_Grid[#Data],$DD1134,35),0)</f>
        <v/>
      </c>
      <c r="AL1134">
        <f>IFERROR(INDEX(PP_Grid[#Data],$DD1134,36),0)</f>
        <v/>
      </c>
      <c r="AM1134">
        <f>IFERROR(INDEX(PP_Grid[#Data],$DD1134,37),0)</f>
        <v/>
      </c>
      <c r="AN1134">
        <f>IFERROR(INDEX(PP_Grid[#Data],$DD1134,38),0)</f>
        <v/>
      </c>
      <c r="AO1134">
        <f>IFERROR(INDEX(PP_Grid[#Data],$DD1134,39),0)</f>
        <v/>
      </c>
      <c r="AP1134">
        <f>IFERROR(INDEX(PP_Grid[#Data],$DD1134,40),0)</f>
        <v/>
      </c>
      <c r="AQ1134">
        <f>IFERROR(INDEX(PP_Grid[#Data],$DD1134,41),0)</f>
        <v/>
      </c>
      <c r="AR1134">
        <f>IFERROR(INDEX(PP_Grid[#Data],$DD1134,42),0)</f>
        <v/>
      </c>
      <c r="AS1134">
        <f>IFERROR(INDEX(PP_Grid[#Data],$DD1134,43),0)</f>
        <v/>
      </c>
      <c r="AT1134">
        <f>IFERROR(INDEX(PP_Grid[#Data],$DD1134,44),0)</f>
        <v/>
      </c>
      <c r="AU1134">
        <f>IFERROR(INDEX(PP_Grid[#Data],$DD1134,45),0)</f>
        <v/>
      </c>
      <c r="AV1134">
        <f>IFERROR(INDEX(PP_Grid[#Data],$DD1134,46),0)</f>
        <v/>
      </c>
      <c r="AW1134">
        <f>IFERROR(INDEX(PP_Grid[#Data],$DD1134,47),0)</f>
        <v/>
      </c>
      <c r="AX1134">
        <f>IFERROR(INDEX(PP_Grid[#Data],$DD1134,48),0)</f>
        <v/>
      </c>
      <c r="AY1134">
        <f>IFERROR(INDEX(PP_Grid[#Data],$DD1134,49),0)</f>
        <v/>
      </c>
      <c r="AZ1134">
        <f>IFERROR(INDEX(PP_Grid[#Data],$DD1134,50),0)</f>
        <v/>
      </c>
      <c r="BA1134">
        <f>IFERROR(INDEX(PP_Grid[#Data],$DD1134,51),0)</f>
        <v/>
      </c>
      <c r="BB1134">
        <f>IFERROR(INDEX(PP_Grid[#Data],$DD1134,52),0)</f>
        <v/>
      </c>
      <c r="BC1134">
        <f>IFERROR(INDEX(PP_Grid[#Data],$DD1134,53),0)</f>
        <v/>
      </c>
      <c r="BD1134">
        <f>IFERROR(INDEX(PP_Grid[#Data],$DD1134,54),0)</f>
        <v/>
      </c>
      <c r="BE1134">
        <f>IFERROR(INDEX(PP_Grid[#Data],$DD1134,55),0)</f>
        <v/>
      </c>
      <c r="BF1134">
        <f>IFERROR(INDEX(PP_Grid[#Data],$DD1134,56),0)</f>
        <v/>
      </c>
      <c r="BG1134">
        <f>IFERROR(INDEX(PP_Grid[#Data],$DD1134,57),0)</f>
        <v/>
      </c>
      <c r="BH1134">
        <f>IFERROR(INDEX(PP_Grid[#Data],$DD1134,58),0)</f>
        <v/>
      </c>
      <c r="BI1134">
        <f>IFERROR(INDEX(PP_Grid[#Data],$DD1134,59),0)</f>
        <v/>
      </c>
      <c r="BJ1134">
        <f>IFERROR(INDEX(PP_Grid[#Data],$DD1134,60),0)</f>
        <v/>
      </c>
      <c r="BK1134">
        <f>IFERROR(INDEX(PP_Grid[#Data],$DD1134,61),0)</f>
        <v/>
      </c>
      <c r="BL1134">
        <f>IFERROR(INDEX(PP_Grid[#Data],$DD1134,62),0)</f>
        <v/>
      </c>
      <c r="BM1134">
        <f>IFERROR(INDEX(PP_Grid[#Data],$DD1134,63),0)</f>
        <v/>
      </c>
      <c r="BN1134">
        <f>IFERROR(INDEX(PP_Grid[#Data],$DD1134,64),0)</f>
        <v/>
      </c>
      <c r="BO1134">
        <f>IFERROR(INDEX(PP_Grid[#Data],$DD1134,65),0)</f>
        <v/>
      </c>
      <c r="BP1134">
        <f>IFERROR(INDEX(PP_Grid[#Data],$DD1134,66),0)</f>
        <v/>
      </c>
      <c r="BQ1134">
        <f>IFERROR(INDEX(PP_Grid[#Data],$DD1134,67),0)</f>
        <v/>
      </c>
      <c r="BR1134">
        <f>IFERROR(INDEX(PP_Grid[#Data],$DD1134,68),0)</f>
        <v/>
      </c>
      <c r="BS1134">
        <f>IFERROR(INDEX(PP_Grid[#Data],$DD1134,69),0)</f>
        <v/>
      </c>
      <c r="BT1134">
        <f>IFERROR(INDEX(PP_Grid[#Data],$DD1134,70),0)</f>
        <v/>
      </c>
      <c r="BU1134">
        <f>IFERROR(INDEX(PP_Grid[#Data],$DD1134,71),0)</f>
        <v/>
      </c>
      <c r="BV1134">
        <f>IFERROR(INDEX(PP_Grid[#Data],$DD1134,72),0)</f>
        <v/>
      </c>
      <c r="BW1134">
        <f>IFERROR(INDEX(PP_Grid[#Data],$DD1134,73),0)</f>
        <v/>
      </c>
      <c r="BX1134">
        <f>IFERROR(INDEX(PP_Grid[#Data],$DD1134,74),0)</f>
        <v/>
      </c>
      <c r="BY1134">
        <f>IFERROR(INDEX(PP_Grid[#Data],$DD1134,75),0)</f>
        <v/>
      </c>
      <c r="BZ1134">
        <f>IFERROR(INDEX(PP_Grid[#Data],$DD1134,76),0)</f>
        <v/>
      </c>
      <c r="CA1134">
        <f>IFERROR(INDEX(PP_Grid[#Data],$DD1134,77),0)</f>
        <v/>
      </c>
      <c r="CB1134">
        <f>IFERROR(INDEX(PP_Grid[#Data],$DD1134,78),0)</f>
        <v/>
      </c>
      <c r="CC1134">
        <f>IFERROR(INDEX(PP_Grid[#Data],$DD1134,79),0)</f>
        <v/>
      </c>
      <c r="CD1134">
        <f>IFERROR(INDEX(PP_Grid[#Data],$DD1134,80),0)</f>
        <v/>
      </c>
      <c r="CE1134">
        <f>IFERROR(INDEX(PP_Grid[#Data],$DD1134,81),0)</f>
        <v/>
      </c>
      <c r="CF1134">
        <f>IFERROR(INDEX(PP_Grid[#Data],$DD1134,82),0)</f>
        <v/>
      </c>
      <c r="CG1134">
        <f>IFERROR(INDEX(PP_Grid[#Data],$DD1134,83),0)</f>
        <v/>
      </c>
      <c r="CH1134">
        <f>IFERROR(INDEX(PP_Grid[#Data],$DD1134,84),0)</f>
        <v/>
      </c>
      <c r="CI1134">
        <f>IFERROR(INDEX(PP_Grid[#Data],$DD1134,85),0)</f>
        <v/>
      </c>
      <c r="CJ1134">
        <f>IFERROR(INDEX(PP_Grid[#Data],$DD1134,86),0)</f>
        <v/>
      </c>
      <c r="CK1134">
        <f>IFERROR(INDEX(PP_Grid[#Data],$DD1134,87),0)</f>
        <v/>
      </c>
      <c r="CL1134">
        <f>IFERROR(INDEX(PP_Grid[#Data],$DD1134,88),0)</f>
        <v/>
      </c>
      <c r="CM1134">
        <f>IFERROR(INDEX(PP_Grid[#Data],$DD1134,89),0)</f>
        <v/>
      </c>
      <c r="CN1134">
        <f>IFERROR(INDEX(PP_Grid[#Data],$DD1134,90),0)</f>
        <v/>
      </c>
      <c r="CO1134">
        <f>IFERROR(INDEX(PP_Grid[#Data],$DD1134,91),0)</f>
        <v/>
      </c>
      <c r="CP1134">
        <f>IFERROR(INDEX(PP_Grid[#Data],$DD1134,92),0)</f>
        <v/>
      </c>
      <c r="CQ1134">
        <f>IFERROR(INDEX(PP_Grid[#Data],$DD1134,93),0)</f>
        <v/>
      </c>
      <c r="CR1134">
        <f>IFERROR(INDEX(PP_Grid[#Data],$DD1134,94),0)</f>
        <v/>
      </c>
      <c r="CS1134">
        <f>IFERROR(INDEX(PP_Grid[#Data],$DD1134,95),0)</f>
        <v/>
      </c>
      <c r="CT1134">
        <f>IFERROR(INDEX(PP_Grid[#Data],$DD1134,96),0)</f>
        <v/>
      </c>
      <c r="CU1134">
        <f>IFERROR(INDEX(PP_Grid[#Data],$DD1134,97),0)</f>
        <v/>
      </c>
      <c r="CV1134">
        <f>IFERROR(INDEX(PP_Grid[#Data],$DD1134,98),0)</f>
        <v/>
      </c>
      <c r="CW1134">
        <f>IFERROR(INDEX(PP_Grid[#Data],$DD1134,99),0)</f>
        <v/>
      </c>
      <c r="CX1134">
        <f>IFERROR(INDEX(PP_Grid[#Data],$DD1134,100),0)</f>
        <v/>
      </c>
      <c r="CY1134">
        <f>IFERROR(INDEX(PP_Grid[#Data],$DD1134,101),0)</f>
        <v/>
      </c>
      <c r="CZ1134">
        <f>IFERROR(INDEX(PP_Grid[#Data],$DD1134,102),0)</f>
        <v/>
      </c>
      <c r="DA1134">
        <f>IFERROR(INDEX(PP_Grid[#Data],$DD1134,103),0)</f>
        <v/>
      </c>
      <c r="DB1134">
        <f>IFERROR(INDEX(PP_Grid[#Data],$DD1134,104),0)</f>
        <v/>
      </c>
      <c r="DC1134">
        <f>IFERROR(INDEX(PP_Grid[#Data],$DD1134,105),0)</f>
        <v/>
      </c>
      <c r="DD1134" s="12">
        <f>IFERROR(MATCH($B1134,PP_Grid[Intermediate],0),99999)</f>
        <v/>
      </c>
    </row>
    <row r="1135">
      <c r="B1135" t="inlineStr">
        <is>
          <t>使用量(kg)</t>
        </is>
      </c>
      <c r="C1135">
        <f>SUMIFS(M_BOM[RM_Qty_Per_Batch],M_BOM[Intermediate],$B1134,M_BOM[Part Name],$A1127)</f>
        <v/>
      </c>
      <c r="D1135">
        <f>$C1135*D1134</f>
        <v/>
      </c>
      <c r="E1135">
        <f>$C1135*E1134</f>
        <v/>
      </c>
      <c r="F1135">
        <f>$C1135*F1134</f>
        <v/>
      </c>
      <c r="G1135">
        <f>$C1135*G1134</f>
        <v/>
      </c>
      <c r="H1135">
        <f>$C1135*H1134</f>
        <v/>
      </c>
      <c r="I1135">
        <f>$C1135*I1134</f>
        <v/>
      </c>
      <c r="J1135">
        <f>$C1135*J1134</f>
        <v/>
      </c>
      <c r="K1135">
        <f>$C1135*K1134</f>
        <v/>
      </c>
      <c r="L1135">
        <f>$C1135*L1134</f>
        <v/>
      </c>
      <c r="M1135">
        <f>$C1135*M1134</f>
        <v/>
      </c>
      <c r="N1135">
        <f>$C1135*N1134</f>
        <v/>
      </c>
      <c r="O1135">
        <f>$C1135*O1134</f>
        <v/>
      </c>
      <c r="P1135">
        <f>$C1135*P1134</f>
        <v/>
      </c>
      <c r="Q1135">
        <f>$C1135*Q1134</f>
        <v/>
      </c>
      <c r="R1135">
        <f>$C1135*R1134</f>
        <v/>
      </c>
      <c r="S1135">
        <f>$C1135*S1134</f>
        <v/>
      </c>
      <c r="T1135">
        <f>$C1135*T1134</f>
        <v/>
      </c>
      <c r="U1135">
        <f>$C1135*U1134</f>
        <v/>
      </c>
      <c r="V1135">
        <f>$C1135*V1134</f>
        <v/>
      </c>
      <c r="W1135">
        <f>$C1135*W1134</f>
        <v/>
      </c>
      <c r="X1135">
        <f>$C1135*X1134</f>
        <v/>
      </c>
      <c r="Y1135">
        <f>$C1135*Y1134</f>
        <v/>
      </c>
      <c r="Z1135">
        <f>$C1135*Z1134</f>
        <v/>
      </c>
      <c r="AA1135">
        <f>$C1135*AA1134</f>
        <v/>
      </c>
      <c r="AB1135">
        <f>$C1135*AB1134</f>
        <v/>
      </c>
      <c r="AC1135">
        <f>$C1135*AC1134</f>
        <v/>
      </c>
      <c r="AD1135">
        <f>$C1135*AD1134</f>
        <v/>
      </c>
      <c r="AE1135">
        <f>$C1135*AE1134</f>
        <v/>
      </c>
      <c r="AF1135">
        <f>$C1135*AF1134</f>
        <v/>
      </c>
      <c r="AG1135">
        <f>$C1135*AG1134</f>
        <v/>
      </c>
      <c r="AH1135">
        <f>$C1135*AH1134</f>
        <v/>
      </c>
      <c r="AI1135">
        <f>$C1135*AI1134</f>
        <v/>
      </c>
      <c r="AJ1135">
        <f>$C1135*AJ1134</f>
        <v/>
      </c>
      <c r="AK1135">
        <f>$C1135*AK1134</f>
        <v/>
      </c>
      <c r="AL1135">
        <f>$C1135*AL1134</f>
        <v/>
      </c>
      <c r="AM1135">
        <f>$C1135*AM1134</f>
        <v/>
      </c>
      <c r="AN1135">
        <f>$C1135*AN1134</f>
        <v/>
      </c>
      <c r="AO1135">
        <f>$C1135*AO1134</f>
        <v/>
      </c>
      <c r="AP1135">
        <f>$C1135*AP1134</f>
        <v/>
      </c>
      <c r="AQ1135">
        <f>$C1135*AQ1134</f>
        <v/>
      </c>
      <c r="AR1135">
        <f>$C1135*AR1134</f>
        <v/>
      </c>
      <c r="AS1135">
        <f>$C1135*AS1134</f>
        <v/>
      </c>
      <c r="AT1135">
        <f>$C1135*AT1134</f>
        <v/>
      </c>
      <c r="AU1135">
        <f>$C1135*AU1134</f>
        <v/>
      </c>
      <c r="AV1135">
        <f>$C1135*AV1134</f>
        <v/>
      </c>
      <c r="AW1135">
        <f>$C1135*AW1134</f>
        <v/>
      </c>
      <c r="AX1135">
        <f>$C1135*AX1134</f>
        <v/>
      </c>
      <c r="AY1135">
        <f>$C1135*AY1134</f>
        <v/>
      </c>
      <c r="AZ1135">
        <f>$C1135*AZ1134</f>
        <v/>
      </c>
      <c r="BA1135">
        <f>$C1135*BA1134</f>
        <v/>
      </c>
      <c r="BB1135">
        <f>$C1135*BB1134</f>
        <v/>
      </c>
      <c r="BC1135">
        <f>$C1135*BC1134</f>
        <v/>
      </c>
      <c r="BD1135">
        <f>$C1135*BD1134</f>
        <v/>
      </c>
      <c r="BE1135">
        <f>$C1135*BE1134</f>
        <v/>
      </c>
      <c r="BF1135">
        <f>$C1135*BF1134</f>
        <v/>
      </c>
      <c r="BG1135">
        <f>$C1135*BG1134</f>
        <v/>
      </c>
      <c r="BH1135">
        <f>$C1135*BH1134</f>
        <v/>
      </c>
      <c r="BI1135">
        <f>$C1135*BI1134</f>
        <v/>
      </c>
      <c r="BJ1135">
        <f>$C1135*BJ1134</f>
        <v/>
      </c>
      <c r="BK1135">
        <f>$C1135*BK1134</f>
        <v/>
      </c>
      <c r="BL1135">
        <f>$C1135*BL1134</f>
        <v/>
      </c>
      <c r="BM1135">
        <f>$C1135*BM1134</f>
        <v/>
      </c>
      <c r="BN1135">
        <f>$C1135*BN1134</f>
        <v/>
      </c>
      <c r="BO1135">
        <f>$C1135*BO1134</f>
        <v/>
      </c>
      <c r="BP1135">
        <f>$C1135*BP1134</f>
        <v/>
      </c>
      <c r="BQ1135">
        <f>$C1135*BQ1134</f>
        <v/>
      </c>
      <c r="BR1135">
        <f>$C1135*BR1134</f>
        <v/>
      </c>
      <c r="BS1135">
        <f>$C1135*BS1134</f>
        <v/>
      </c>
      <c r="BT1135">
        <f>$C1135*BT1134</f>
        <v/>
      </c>
      <c r="BU1135">
        <f>$C1135*BU1134</f>
        <v/>
      </c>
      <c r="BV1135">
        <f>$C1135*BV1134</f>
        <v/>
      </c>
      <c r="BW1135">
        <f>$C1135*BW1134</f>
        <v/>
      </c>
      <c r="BX1135">
        <f>$C1135*BX1134</f>
        <v/>
      </c>
      <c r="BY1135">
        <f>$C1135*BY1134</f>
        <v/>
      </c>
      <c r="BZ1135">
        <f>$C1135*BZ1134</f>
        <v/>
      </c>
      <c r="CA1135">
        <f>$C1135*CA1134</f>
        <v/>
      </c>
      <c r="CB1135">
        <f>$C1135*CB1134</f>
        <v/>
      </c>
      <c r="CC1135">
        <f>$C1135*CC1134</f>
        <v/>
      </c>
      <c r="CD1135">
        <f>$C1135*CD1134</f>
        <v/>
      </c>
      <c r="CE1135">
        <f>$C1135*CE1134</f>
        <v/>
      </c>
      <c r="CF1135">
        <f>$C1135*CF1134</f>
        <v/>
      </c>
      <c r="CG1135">
        <f>$C1135*CG1134</f>
        <v/>
      </c>
      <c r="CH1135">
        <f>$C1135*CH1134</f>
        <v/>
      </c>
      <c r="CI1135">
        <f>$C1135*CI1134</f>
        <v/>
      </c>
      <c r="CJ1135">
        <f>$C1135*CJ1134</f>
        <v/>
      </c>
      <c r="CK1135">
        <f>$C1135*CK1134</f>
        <v/>
      </c>
      <c r="CL1135">
        <f>$C1135*CL1134</f>
        <v/>
      </c>
      <c r="CM1135">
        <f>$C1135*CM1134</f>
        <v/>
      </c>
      <c r="CN1135">
        <f>$C1135*CN1134</f>
        <v/>
      </c>
      <c r="CO1135">
        <f>$C1135*CO1134</f>
        <v/>
      </c>
      <c r="CP1135">
        <f>$C1135*CP1134</f>
        <v/>
      </c>
      <c r="CQ1135">
        <f>$C1135*CQ1134</f>
        <v/>
      </c>
      <c r="CR1135">
        <f>$C1135*CR1134</f>
        <v/>
      </c>
      <c r="CS1135">
        <f>$C1135*CS1134</f>
        <v/>
      </c>
      <c r="CT1135">
        <f>$C1135*CT1134</f>
        <v/>
      </c>
      <c r="CU1135">
        <f>$C1135*CU1134</f>
        <v/>
      </c>
      <c r="CV1135">
        <f>$C1135*CV1134</f>
        <v/>
      </c>
      <c r="CW1135">
        <f>$C1135*CW1134</f>
        <v/>
      </c>
      <c r="CX1135">
        <f>$C1135*CX1134</f>
        <v/>
      </c>
      <c r="CY1135">
        <f>$C1135*CY1134</f>
        <v/>
      </c>
      <c r="CZ1135">
        <f>$C1135*CZ1134</f>
        <v/>
      </c>
      <c r="DA1135">
        <f>$C1135*DA1134</f>
        <v/>
      </c>
      <c r="DB1135">
        <f>$C1135*DB1134</f>
        <v/>
      </c>
      <c r="DC1135">
        <f>$C1135*DC1134</f>
        <v/>
      </c>
    </row>
    <row r="1136">
      <c r="B1136" t="inlineStr">
        <is>
          <t>TPP-825</t>
        </is>
      </c>
      <c r="C1136" t="inlineStr">
        <is>
          <t>No. of batches</t>
        </is>
      </c>
      <c r="D1136">
        <f>IFERROR(INDEX(PP_Grid[#Data],$DD1136,2),0)</f>
        <v/>
      </c>
      <c r="E1136">
        <f>IFERROR(INDEX(PP_Grid[#Data],$DD1136,3),0)</f>
        <v/>
      </c>
      <c r="F1136">
        <f>IFERROR(INDEX(PP_Grid[#Data],$DD1136,4),0)</f>
        <v/>
      </c>
      <c r="G1136">
        <f>IFERROR(INDEX(PP_Grid[#Data],$DD1136,5),0)</f>
        <v/>
      </c>
      <c r="H1136">
        <f>IFERROR(INDEX(PP_Grid[#Data],$DD1136,6),0)</f>
        <v/>
      </c>
      <c r="I1136">
        <f>IFERROR(INDEX(PP_Grid[#Data],$DD1136,7),0)</f>
        <v/>
      </c>
      <c r="J1136">
        <f>IFERROR(INDEX(PP_Grid[#Data],$DD1136,8),0)</f>
        <v/>
      </c>
      <c r="K1136">
        <f>IFERROR(INDEX(PP_Grid[#Data],$DD1136,9),0)</f>
        <v/>
      </c>
      <c r="L1136">
        <f>IFERROR(INDEX(PP_Grid[#Data],$DD1136,10),0)</f>
        <v/>
      </c>
      <c r="M1136">
        <f>IFERROR(INDEX(PP_Grid[#Data],$DD1136,11),0)</f>
        <v/>
      </c>
      <c r="N1136">
        <f>IFERROR(INDEX(PP_Grid[#Data],$DD1136,12),0)</f>
        <v/>
      </c>
      <c r="O1136">
        <f>IFERROR(INDEX(PP_Grid[#Data],$DD1136,13),0)</f>
        <v/>
      </c>
      <c r="P1136">
        <f>IFERROR(INDEX(PP_Grid[#Data],$DD1136,14),0)</f>
        <v/>
      </c>
      <c r="Q1136">
        <f>IFERROR(INDEX(PP_Grid[#Data],$DD1136,15),0)</f>
        <v/>
      </c>
      <c r="R1136">
        <f>IFERROR(INDEX(PP_Grid[#Data],$DD1136,16),0)</f>
        <v/>
      </c>
      <c r="S1136">
        <f>IFERROR(INDEX(PP_Grid[#Data],$DD1136,17),0)</f>
        <v/>
      </c>
      <c r="T1136">
        <f>IFERROR(INDEX(PP_Grid[#Data],$DD1136,18),0)</f>
        <v/>
      </c>
      <c r="U1136">
        <f>IFERROR(INDEX(PP_Grid[#Data],$DD1136,19),0)</f>
        <v/>
      </c>
      <c r="V1136">
        <f>IFERROR(INDEX(PP_Grid[#Data],$DD1136,20),0)</f>
        <v/>
      </c>
      <c r="W1136">
        <f>IFERROR(INDEX(PP_Grid[#Data],$DD1136,21),0)</f>
        <v/>
      </c>
      <c r="X1136">
        <f>IFERROR(INDEX(PP_Grid[#Data],$DD1136,22),0)</f>
        <v/>
      </c>
      <c r="Y1136">
        <f>IFERROR(INDEX(PP_Grid[#Data],$DD1136,23),0)</f>
        <v/>
      </c>
      <c r="Z1136">
        <f>IFERROR(INDEX(PP_Grid[#Data],$DD1136,24),0)</f>
        <v/>
      </c>
      <c r="AA1136">
        <f>IFERROR(INDEX(PP_Grid[#Data],$DD1136,25),0)</f>
        <v/>
      </c>
      <c r="AB1136">
        <f>IFERROR(INDEX(PP_Grid[#Data],$DD1136,26),0)</f>
        <v/>
      </c>
      <c r="AC1136">
        <f>IFERROR(INDEX(PP_Grid[#Data],$DD1136,27),0)</f>
        <v/>
      </c>
      <c r="AD1136">
        <f>IFERROR(INDEX(PP_Grid[#Data],$DD1136,28),0)</f>
        <v/>
      </c>
      <c r="AE1136">
        <f>IFERROR(INDEX(PP_Grid[#Data],$DD1136,29),0)</f>
        <v/>
      </c>
      <c r="AF1136">
        <f>IFERROR(INDEX(PP_Grid[#Data],$DD1136,30),0)</f>
        <v/>
      </c>
      <c r="AG1136">
        <f>IFERROR(INDEX(PP_Grid[#Data],$DD1136,31),0)</f>
        <v/>
      </c>
      <c r="AH1136">
        <f>IFERROR(INDEX(PP_Grid[#Data],$DD1136,32),0)</f>
        <v/>
      </c>
      <c r="AI1136">
        <f>IFERROR(INDEX(PP_Grid[#Data],$DD1136,33),0)</f>
        <v/>
      </c>
      <c r="AJ1136">
        <f>IFERROR(INDEX(PP_Grid[#Data],$DD1136,34),0)</f>
        <v/>
      </c>
      <c r="AK1136">
        <f>IFERROR(INDEX(PP_Grid[#Data],$DD1136,35),0)</f>
        <v/>
      </c>
      <c r="AL1136">
        <f>IFERROR(INDEX(PP_Grid[#Data],$DD1136,36),0)</f>
        <v/>
      </c>
      <c r="AM1136">
        <f>IFERROR(INDEX(PP_Grid[#Data],$DD1136,37),0)</f>
        <v/>
      </c>
      <c r="AN1136">
        <f>IFERROR(INDEX(PP_Grid[#Data],$DD1136,38),0)</f>
        <v/>
      </c>
      <c r="AO1136">
        <f>IFERROR(INDEX(PP_Grid[#Data],$DD1136,39),0)</f>
        <v/>
      </c>
      <c r="AP1136">
        <f>IFERROR(INDEX(PP_Grid[#Data],$DD1136,40),0)</f>
        <v/>
      </c>
      <c r="AQ1136">
        <f>IFERROR(INDEX(PP_Grid[#Data],$DD1136,41),0)</f>
        <v/>
      </c>
      <c r="AR1136">
        <f>IFERROR(INDEX(PP_Grid[#Data],$DD1136,42),0)</f>
        <v/>
      </c>
      <c r="AS1136">
        <f>IFERROR(INDEX(PP_Grid[#Data],$DD1136,43),0)</f>
        <v/>
      </c>
      <c r="AT1136">
        <f>IFERROR(INDEX(PP_Grid[#Data],$DD1136,44),0)</f>
        <v/>
      </c>
      <c r="AU1136">
        <f>IFERROR(INDEX(PP_Grid[#Data],$DD1136,45),0)</f>
        <v/>
      </c>
      <c r="AV1136">
        <f>IFERROR(INDEX(PP_Grid[#Data],$DD1136,46),0)</f>
        <v/>
      </c>
      <c r="AW1136">
        <f>IFERROR(INDEX(PP_Grid[#Data],$DD1136,47),0)</f>
        <v/>
      </c>
      <c r="AX1136">
        <f>IFERROR(INDEX(PP_Grid[#Data],$DD1136,48),0)</f>
        <v/>
      </c>
      <c r="AY1136">
        <f>IFERROR(INDEX(PP_Grid[#Data],$DD1136,49),0)</f>
        <v/>
      </c>
      <c r="AZ1136">
        <f>IFERROR(INDEX(PP_Grid[#Data],$DD1136,50),0)</f>
        <v/>
      </c>
      <c r="BA1136">
        <f>IFERROR(INDEX(PP_Grid[#Data],$DD1136,51),0)</f>
        <v/>
      </c>
      <c r="BB1136">
        <f>IFERROR(INDEX(PP_Grid[#Data],$DD1136,52),0)</f>
        <v/>
      </c>
      <c r="BC1136">
        <f>IFERROR(INDEX(PP_Grid[#Data],$DD1136,53),0)</f>
        <v/>
      </c>
      <c r="BD1136">
        <f>IFERROR(INDEX(PP_Grid[#Data],$DD1136,54),0)</f>
        <v/>
      </c>
      <c r="BE1136">
        <f>IFERROR(INDEX(PP_Grid[#Data],$DD1136,55),0)</f>
        <v/>
      </c>
      <c r="BF1136">
        <f>IFERROR(INDEX(PP_Grid[#Data],$DD1136,56),0)</f>
        <v/>
      </c>
      <c r="BG1136">
        <f>IFERROR(INDEX(PP_Grid[#Data],$DD1136,57),0)</f>
        <v/>
      </c>
      <c r="BH1136">
        <f>IFERROR(INDEX(PP_Grid[#Data],$DD1136,58),0)</f>
        <v/>
      </c>
      <c r="BI1136">
        <f>IFERROR(INDEX(PP_Grid[#Data],$DD1136,59),0)</f>
        <v/>
      </c>
      <c r="BJ1136">
        <f>IFERROR(INDEX(PP_Grid[#Data],$DD1136,60),0)</f>
        <v/>
      </c>
      <c r="BK1136">
        <f>IFERROR(INDEX(PP_Grid[#Data],$DD1136,61),0)</f>
        <v/>
      </c>
      <c r="BL1136">
        <f>IFERROR(INDEX(PP_Grid[#Data],$DD1136,62),0)</f>
        <v/>
      </c>
      <c r="BM1136">
        <f>IFERROR(INDEX(PP_Grid[#Data],$DD1136,63),0)</f>
        <v/>
      </c>
      <c r="BN1136">
        <f>IFERROR(INDEX(PP_Grid[#Data],$DD1136,64),0)</f>
        <v/>
      </c>
      <c r="BO1136">
        <f>IFERROR(INDEX(PP_Grid[#Data],$DD1136,65),0)</f>
        <v/>
      </c>
      <c r="BP1136">
        <f>IFERROR(INDEX(PP_Grid[#Data],$DD1136,66),0)</f>
        <v/>
      </c>
      <c r="BQ1136">
        <f>IFERROR(INDEX(PP_Grid[#Data],$DD1136,67),0)</f>
        <v/>
      </c>
      <c r="BR1136">
        <f>IFERROR(INDEX(PP_Grid[#Data],$DD1136,68),0)</f>
        <v/>
      </c>
      <c r="BS1136">
        <f>IFERROR(INDEX(PP_Grid[#Data],$DD1136,69),0)</f>
        <v/>
      </c>
      <c r="BT1136">
        <f>IFERROR(INDEX(PP_Grid[#Data],$DD1136,70),0)</f>
        <v/>
      </c>
      <c r="BU1136">
        <f>IFERROR(INDEX(PP_Grid[#Data],$DD1136,71),0)</f>
        <v/>
      </c>
      <c r="BV1136">
        <f>IFERROR(INDEX(PP_Grid[#Data],$DD1136,72),0)</f>
        <v/>
      </c>
      <c r="BW1136">
        <f>IFERROR(INDEX(PP_Grid[#Data],$DD1136,73),0)</f>
        <v/>
      </c>
      <c r="BX1136">
        <f>IFERROR(INDEX(PP_Grid[#Data],$DD1136,74),0)</f>
        <v/>
      </c>
      <c r="BY1136">
        <f>IFERROR(INDEX(PP_Grid[#Data],$DD1136,75),0)</f>
        <v/>
      </c>
      <c r="BZ1136">
        <f>IFERROR(INDEX(PP_Grid[#Data],$DD1136,76),0)</f>
        <v/>
      </c>
      <c r="CA1136">
        <f>IFERROR(INDEX(PP_Grid[#Data],$DD1136,77),0)</f>
        <v/>
      </c>
      <c r="CB1136">
        <f>IFERROR(INDEX(PP_Grid[#Data],$DD1136,78),0)</f>
        <v/>
      </c>
      <c r="CC1136">
        <f>IFERROR(INDEX(PP_Grid[#Data],$DD1136,79),0)</f>
        <v/>
      </c>
      <c r="CD1136">
        <f>IFERROR(INDEX(PP_Grid[#Data],$DD1136,80),0)</f>
        <v/>
      </c>
      <c r="CE1136">
        <f>IFERROR(INDEX(PP_Grid[#Data],$DD1136,81),0)</f>
        <v/>
      </c>
      <c r="CF1136">
        <f>IFERROR(INDEX(PP_Grid[#Data],$DD1136,82),0)</f>
        <v/>
      </c>
      <c r="CG1136">
        <f>IFERROR(INDEX(PP_Grid[#Data],$DD1136,83),0)</f>
        <v/>
      </c>
      <c r="CH1136">
        <f>IFERROR(INDEX(PP_Grid[#Data],$DD1136,84),0)</f>
        <v/>
      </c>
      <c r="CI1136">
        <f>IFERROR(INDEX(PP_Grid[#Data],$DD1136,85),0)</f>
        <v/>
      </c>
      <c r="CJ1136">
        <f>IFERROR(INDEX(PP_Grid[#Data],$DD1136,86),0)</f>
        <v/>
      </c>
      <c r="CK1136">
        <f>IFERROR(INDEX(PP_Grid[#Data],$DD1136,87),0)</f>
        <v/>
      </c>
      <c r="CL1136">
        <f>IFERROR(INDEX(PP_Grid[#Data],$DD1136,88),0)</f>
        <v/>
      </c>
      <c r="CM1136">
        <f>IFERROR(INDEX(PP_Grid[#Data],$DD1136,89),0)</f>
        <v/>
      </c>
      <c r="CN1136">
        <f>IFERROR(INDEX(PP_Grid[#Data],$DD1136,90),0)</f>
        <v/>
      </c>
      <c r="CO1136">
        <f>IFERROR(INDEX(PP_Grid[#Data],$DD1136,91),0)</f>
        <v/>
      </c>
      <c r="CP1136">
        <f>IFERROR(INDEX(PP_Grid[#Data],$DD1136,92),0)</f>
        <v/>
      </c>
      <c r="CQ1136">
        <f>IFERROR(INDEX(PP_Grid[#Data],$DD1136,93),0)</f>
        <v/>
      </c>
      <c r="CR1136">
        <f>IFERROR(INDEX(PP_Grid[#Data],$DD1136,94),0)</f>
        <v/>
      </c>
      <c r="CS1136">
        <f>IFERROR(INDEX(PP_Grid[#Data],$DD1136,95),0)</f>
        <v/>
      </c>
      <c r="CT1136">
        <f>IFERROR(INDEX(PP_Grid[#Data],$DD1136,96),0)</f>
        <v/>
      </c>
      <c r="CU1136">
        <f>IFERROR(INDEX(PP_Grid[#Data],$DD1136,97),0)</f>
        <v/>
      </c>
      <c r="CV1136">
        <f>IFERROR(INDEX(PP_Grid[#Data],$DD1136,98),0)</f>
        <v/>
      </c>
      <c r="CW1136">
        <f>IFERROR(INDEX(PP_Grid[#Data],$DD1136,99),0)</f>
        <v/>
      </c>
      <c r="CX1136">
        <f>IFERROR(INDEX(PP_Grid[#Data],$DD1136,100),0)</f>
        <v/>
      </c>
      <c r="CY1136">
        <f>IFERROR(INDEX(PP_Grid[#Data],$DD1136,101),0)</f>
        <v/>
      </c>
      <c r="CZ1136">
        <f>IFERROR(INDEX(PP_Grid[#Data],$DD1136,102),0)</f>
        <v/>
      </c>
      <c r="DA1136">
        <f>IFERROR(INDEX(PP_Grid[#Data],$DD1136,103),0)</f>
        <v/>
      </c>
      <c r="DB1136">
        <f>IFERROR(INDEX(PP_Grid[#Data],$DD1136,104),0)</f>
        <v/>
      </c>
      <c r="DC1136">
        <f>IFERROR(INDEX(PP_Grid[#Data],$DD1136,105),0)</f>
        <v/>
      </c>
      <c r="DD1136" s="12">
        <f>IFERROR(MATCH($B1136,PP_Grid[Intermediate],0),99999)</f>
        <v/>
      </c>
    </row>
    <row r="1137">
      <c r="B1137" t="inlineStr">
        <is>
          <t>使用量(kg)</t>
        </is>
      </c>
      <c r="C1137">
        <f>SUMIFS(M_BOM[RM_Qty_Per_Batch],M_BOM[Intermediate],$B1136,M_BOM[Part Name],$A1127)</f>
        <v/>
      </c>
      <c r="D1137">
        <f>$C1137*D1136</f>
        <v/>
      </c>
      <c r="E1137">
        <f>$C1137*E1136</f>
        <v/>
      </c>
      <c r="F1137">
        <f>$C1137*F1136</f>
        <v/>
      </c>
      <c r="G1137">
        <f>$C1137*G1136</f>
        <v/>
      </c>
      <c r="H1137">
        <f>$C1137*H1136</f>
        <v/>
      </c>
      <c r="I1137">
        <f>$C1137*I1136</f>
        <v/>
      </c>
      <c r="J1137">
        <f>$C1137*J1136</f>
        <v/>
      </c>
      <c r="K1137">
        <f>$C1137*K1136</f>
        <v/>
      </c>
      <c r="L1137">
        <f>$C1137*L1136</f>
        <v/>
      </c>
      <c r="M1137">
        <f>$C1137*M1136</f>
        <v/>
      </c>
      <c r="N1137">
        <f>$C1137*N1136</f>
        <v/>
      </c>
      <c r="O1137">
        <f>$C1137*O1136</f>
        <v/>
      </c>
      <c r="P1137">
        <f>$C1137*P1136</f>
        <v/>
      </c>
      <c r="Q1137">
        <f>$C1137*Q1136</f>
        <v/>
      </c>
      <c r="R1137">
        <f>$C1137*R1136</f>
        <v/>
      </c>
      <c r="S1137">
        <f>$C1137*S1136</f>
        <v/>
      </c>
      <c r="T1137">
        <f>$C1137*T1136</f>
        <v/>
      </c>
      <c r="U1137">
        <f>$C1137*U1136</f>
        <v/>
      </c>
      <c r="V1137">
        <f>$C1137*V1136</f>
        <v/>
      </c>
      <c r="W1137">
        <f>$C1137*W1136</f>
        <v/>
      </c>
      <c r="X1137">
        <f>$C1137*X1136</f>
        <v/>
      </c>
      <c r="Y1137">
        <f>$C1137*Y1136</f>
        <v/>
      </c>
      <c r="Z1137">
        <f>$C1137*Z1136</f>
        <v/>
      </c>
      <c r="AA1137">
        <f>$C1137*AA1136</f>
        <v/>
      </c>
      <c r="AB1137">
        <f>$C1137*AB1136</f>
        <v/>
      </c>
      <c r="AC1137">
        <f>$C1137*AC1136</f>
        <v/>
      </c>
      <c r="AD1137">
        <f>$C1137*AD1136</f>
        <v/>
      </c>
      <c r="AE1137">
        <f>$C1137*AE1136</f>
        <v/>
      </c>
      <c r="AF1137">
        <f>$C1137*AF1136</f>
        <v/>
      </c>
      <c r="AG1137">
        <f>$C1137*AG1136</f>
        <v/>
      </c>
      <c r="AH1137">
        <f>$C1137*AH1136</f>
        <v/>
      </c>
      <c r="AI1137">
        <f>$C1137*AI1136</f>
        <v/>
      </c>
      <c r="AJ1137">
        <f>$C1137*AJ1136</f>
        <v/>
      </c>
      <c r="AK1137">
        <f>$C1137*AK1136</f>
        <v/>
      </c>
      <c r="AL1137">
        <f>$C1137*AL1136</f>
        <v/>
      </c>
      <c r="AM1137">
        <f>$C1137*AM1136</f>
        <v/>
      </c>
      <c r="AN1137">
        <f>$C1137*AN1136</f>
        <v/>
      </c>
      <c r="AO1137">
        <f>$C1137*AO1136</f>
        <v/>
      </c>
      <c r="AP1137">
        <f>$C1137*AP1136</f>
        <v/>
      </c>
      <c r="AQ1137">
        <f>$C1137*AQ1136</f>
        <v/>
      </c>
      <c r="AR1137">
        <f>$C1137*AR1136</f>
        <v/>
      </c>
      <c r="AS1137">
        <f>$C1137*AS1136</f>
        <v/>
      </c>
      <c r="AT1137">
        <f>$C1137*AT1136</f>
        <v/>
      </c>
      <c r="AU1137">
        <f>$C1137*AU1136</f>
        <v/>
      </c>
      <c r="AV1137">
        <f>$C1137*AV1136</f>
        <v/>
      </c>
      <c r="AW1137">
        <f>$C1137*AW1136</f>
        <v/>
      </c>
      <c r="AX1137">
        <f>$C1137*AX1136</f>
        <v/>
      </c>
      <c r="AY1137">
        <f>$C1137*AY1136</f>
        <v/>
      </c>
      <c r="AZ1137">
        <f>$C1137*AZ1136</f>
        <v/>
      </c>
      <c r="BA1137">
        <f>$C1137*BA1136</f>
        <v/>
      </c>
      <c r="BB1137">
        <f>$C1137*BB1136</f>
        <v/>
      </c>
      <c r="BC1137">
        <f>$C1137*BC1136</f>
        <v/>
      </c>
      <c r="BD1137">
        <f>$C1137*BD1136</f>
        <v/>
      </c>
      <c r="BE1137">
        <f>$C1137*BE1136</f>
        <v/>
      </c>
      <c r="BF1137">
        <f>$C1137*BF1136</f>
        <v/>
      </c>
      <c r="BG1137">
        <f>$C1137*BG1136</f>
        <v/>
      </c>
      <c r="BH1137">
        <f>$C1137*BH1136</f>
        <v/>
      </c>
      <c r="BI1137">
        <f>$C1137*BI1136</f>
        <v/>
      </c>
      <c r="BJ1137">
        <f>$C1137*BJ1136</f>
        <v/>
      </c>
      <c r="BK1137">
        <f>$C1137*BK1136</f>
        <v/>
      </c>
      <c r="BL1137">
        <f>$C1137*BL1136</f>
        <v/>
      </c>
      <c r="BM1137">
        <f>$C1137*BM1136</f>
        <v/>
      </c>
      <c r="BN1137">
        <f>$C1137*BN1136</f>
        <v/>
      </c>
      <c r="BO1137">
        <f>$C1137*BO1136</f>
        <v/>
      </c>
      <c r="BP1137">
        <f>$C1137*BP1136</f>
        <v/>
      </c>
      <c r="BQ1137">
        <f>$C1137*BQ1136</f>
        <v/>
      </c>
      <c r="BR1137">
        <f>$C1137*BR1136</f>
        <v/>
      </c>
      <c r="BS1137">
        <f>$C1137*BS1136</f>
        <v/>
      </c>
      <c r="BT1137">
        <f>$C1137*BT1136</f>
        <v/>
      </c>
      <c r="BU1137">
        <f>$C1137*BU1136</f>
        <v/>
      </c>
      <c r="BV1137">
        <f>$C1137*BV1136</f>
        <v/>
      </c>
      <c r="BW1137">
        <f>$C1137*BW1136</f>
        <v/>
      </c>
      <c r="BX1137">
        <f>$C1137*BX1136</f>
        <v/>
      </c>
      <c r="BY1137">
        <f>$C1137*BY1136</f>
        <v/>
      </c>
      <c r="BZ1137">
        <f>$C1137*BZ1136</f>
        <v/>
      </c>
      <c r="CA1137">
        <f>$C1137*CA1136</f>
        <v/>
      </c>
      <c r="CB1137">
        <f>$C1137*CB1136</f>
        <v/>
      </c>
      <c r="CC1137">
        <f>$C1137*CC1136</f>
        <v/>
      </c>
      <c r="CD1137">
        <f>$C1137*CD1136</f>
        <v/>
      </c>
      <c r="CE1137">
        <f>$C1137*CE1136</f>
        <v/>
      </c>
      <c r="CF1137">
        <f>$C1137*CF1136</f>
        <v/>
      </c>
      <c r="CG1137">
        <f>$C1137*CG1136</f>
        <v/>
      </c>
      <c r="CH1137">
        <f>$C1137*CH1136</f>
        <v/>
      </c>
      <c r="CI1137">
        <f>$C1137*CI1136</f>
        <v/>
      </c>
      <c r="CJ1137">
        <f>$C1137*CJ1136</f>
        <v/>
      </c>
      <c r="CK1137">
        <f>$C1137*CK1136</f>
        <v/>
      </c>
      <c r="CL1137">
        <f>$C1137*CL1136</f>
        <v/>
      </c>
      <c r="CM1137">
        <f>$C1137*CM1136</f>
        <v/>
      </c>
      <c r="CN1137">
        <f>$C1137*CN1136</f>
        <v/>
      </c>
      <c r="CO1137">
        <f>$C1137*CO1136</f>
        <v/>
      </c>
      <c r="CP1137">
        <f>$C1137*CP1136</f>
        <v/>
      </c>
      <c r="CQ1137">
        <f>$C1137*CQ1136</f>
        <v/>
      </c>
      <c r="CR1137">
        <f>$C1137*CR1136</f>
        <v/>
      </c>
      <c r="CS1137">
        <f>$C1137*CS1136</f>
        <v/>
      </c>
      <c r="CT1137">
        <f>$C1137*CT1136</f>
        <v/>
      </c>
      <c r="CU1137">
        <f>$C1137*CU1136</f>
        <v/>
      </c>
      <c r="CV1137">
        <f>$C1137*CV1136</f>
        <v/>
      </c>
      <c r="CW1137">
        <f>$C1137*CW1136</f>
        <v/>
      </c>
      <c r="CX1137">
        <f>$C1137*CX1136</f>
        <v/>
      </c>
      <c r="CY1137">
        <f>$C1137*CY1136</f>
        <v/>
      </c>
      <c r="CZ1137">
        <f>$C1137*CZ1136</f>
        <v/>
      </c>
      <c r="DA1137">
        <f>$C1137*DA1136</f>
        <v/>
      </c>
      <c r="DB1137">
        <f>$C1137*DB1136</f>
        <v/>
      </c>
      <c r="DC1137">
        <f>$C1137*DC1136</f>
        <v/>
      </c>
    </row>
    <row r="1138">
      <c r="B1138" t="inlineStr">
        <is>
          <t>TSP-049</t>
        </is>
      </c>
      <c r="C1138" t="inlineStr">
        <is>
          <t>No. of batches</t>
        </is>
      </c>
      <c r="D1138">
        <f>IFERROR(INDEX(PP_Grid[#Data],$DD1138,2),0)</f>
        <v/>
      </c>
      <c r="E1138">
        <f>IFERROR(INDEX(PP_Grid[#Data],$DD1138,3),0)</f>
        <v/>
      </c>
      <c r="F1138">
        <f>IFERROR(INDEX(PP_Grid[#Data],$DD1138,4),0)</f>
        <v/>
      </c>
      <c r="G1138">
        <f>IFERROR(INDEX(PP_Grid[#Data],$DD1138,5),0)</f>
        <v/>
      </c>
      <c r="H1138">
        <f>IFERROR(INDEX(PP_Grid[#Data],$DD1138,6),0)</f>
        <v/>
      </c>
      <c r="I1138">
        <f>IFERROR(INDEX(PP_Grid[#Data],$DD1138,7),0)</f>
        <v/>
      </c>
      <c r="J1138">
        <f>IFERROR(INDEX(PP_Grid[#Data],$DD1138,8),0)</f>
        <v/>
      </c>
      <c r="K1138">
        <f>IFERROR(INDEX(PP_Grid[#Data],$DD1138,9),0)</f>
        <v/>
      </c>
      <c r="L1138">
        <f>IFERROR(INDEX(PP_Grid[#Data],$DD1138,10),0)</f>
        <v/>
      </c>
      <c r="M1138">
        <f>IFERROR(INDEX(PP_Grid[#Data],$DD1138,11),0)</f>
        <v/>
      </c>
      <c r="N1138">
        <f>IFERROR(INDEX(PP_Grid[#Data],$DD1138,12),0)</f>
        <v/>
      </c>
      <c r="O1138">
        <f>IFERROR(INDEX(PP_Grid[#Data],$DD1138,13),0)</f>
        <v/>
      </c>
      <c r="P1138">
        <f>IFERROR(INDEX(PP_Grid[#Data],$DD1138,14),0)</f>
        <v/>
      </c>
      <c r="Q1138">
        <f>IFERROR(INDEX(PP_Grid[#Data],$DD1138,15),0)</f>
        <v/>
      </c>
      <c r="R1138">
        <f>IFERROR(INDEX(PP_Grid[#Data],$DD1138,16),0)</f>
        <v/>
      </c>
      <c r="S1138">
        <f>IFERROR(INDEX(PP_Grid[#Data],$DD1138,17),0)</f>
        <v/>
      </c>
      <c r="T1138">
        <f>IFERROR(INDEX(PP_Grid[#Data],$DD1138,18),0)</f>
        <v/>
      </c>
      <c r="U1138">
        <f>IFERROR(INDEX(PP_Grid[#Data],$DD1138,19),0)</f>
        <v/>
      </c>
      <c r="V1138">
        <f>IFERROR(INDEX(PP_Grid[#Data],$DD1138,20),0)</f>
        <v/>
      </c>
      <c r="W1138">
        <f>IFERROR(INDEX(PP_Grid[#Data],$DD1138,21),0)</f>
        <v/>
      </c>
      <c r="X1138">
        <f>IFERROR(INDEX(PP_Grid[#Data],$DD1138,22),0)</f>
        <v/>
      </c>
      <c r="Y1138">
        <f>IFERROR(INDEX(PP_Grid[#Data],$DD1138,23),0)</f>
        <v/>
      </c>
      <c r="Z1138">
        <f>IFERROR(INDEX(PP_Grid[#Data],$DD1138,24),0)</f>
        <v/>
      </c>
      <c r="AA1138">
        <f>IFERROR(INDEX(PP_Grid[#Data],$DD1138,25),0)</f>
        <v/>
      </c>
      <c r="AB1138">
        <f>IFERROR(INDEX(PP_Grid[#Data],$DD1138,26),0)</f>
        <v/>
      </c>
      <c r="AC1138">
        <f>IFERROR(INDEX(PP_Grid[#Data],$DD1138,27),0)</f>
        <v/>
      </c>
      <c r="AD1138">
        <f>IFERROR(INDEX(PP_Grid[#Data],$DD1138,28),0)</f>
        <v/>
      </c>
      <c r="AE1138">
        <f>IFERROR(INDEX(PP_Grid[#Data],$DD1138,29),0)</f>
        <v/>
      </c>
      <c r="AF1138">
        <f>IFERROR(INDEX(PP_Grid[#Data],$DD1138,30),0)</f>
        <v/>
      </c>
      <c r="AG1138">
        <f>IFERROR(INDEX(PP_Grid[#Data],$DD1138,31),0)</f>
        <v/>
      </c>
      <c r="AH1138">
        <f>IFERROR(INDEX(PP_Grid[#Data],$DD1138,32),0)</f>
        <v/>
      </c>
      <c r="AI1138">
        <f>IFERROR(INDEX(PP_Grid[#Data],$DD1138,33),0)</f>
        <v/>
      </c>
      <c r="AJ1138">
        <f>IFERROR(INDEX(PP_Grid[#Data],$DD1138,34),0)</f>
        <v/>
      </c>
      <c r="AK1138">
        <f>IFERROR(INDEX(PP_Grid[#Data],$DD1138,35),0)</f>
        <v/>
      </c>
      <c r="AL1138">
        <f>IFERROR(INDEX(PP_Grid[#Data],$DD1138,36),0)</f>
        <v/>
      </c>
      <c r="AM1138">
        <f>IFERROR(INDEX(PP_Grid[#Data],$DD1138,37),0)</f>
        <v/>
      </c>
      <c r="AN1138">
        <f>IFERROR(INDEX(PP_Grid[#Data],$DD1138,38),0)</f>
        <v/>
      </c>
      <c r="AO1138">
        <f>IFERROR(INDEX(PP_Grid[#Data],$DD1138,39),0)</f>
        <v/>
      </c>
      <c r="AP1138">
        <f>IFERROR(INDEX(PP_Grid[#Data],$DD1138,40),0)</f>
        <v/>
      </c>
      <c r="AQ1138">
        <f>IFERROR(INDEX(PP_Grid[#Data],$DD1138,41),0)</f>
        <v/>
      </c>
      <c r="AR1138">
        <f>IFERROR(INDEX(PP_Grid[#Data],$DD1138,42),0)</f>
        <v/>
      </c>
      <c r="AS1138">
        <f>IFERROR(INDEX(PP_Grid[#Data],$DD1138,43),0)</f>
        <v/>
      </c>
      <c r="AT1138">
        <f>IFERROR(INDEX(PP_Grid[#Data],$DD1138,44),0)</f>
        <v/>
      </c>
      <c r="AU1138">
        <f>IFERROR(INDEX(PP_Grid[#Data],$DD1138,45),0)</f>
        <v/>
      </c>
      <c r="AV1138">
        <f>IFERROR(INDEX(PP_Grid[#Data],$DD1138,46),0)</f>
        <v/>
      </c>
      <c r="AW1138">
        <f>IFERROR(INDEX(PP_Grid[#Data],$DD1138,47),0)</f>
        <v/>
      </c>
      <c r="AX1138">
        <f>IFERROR(INDEX(PP_Grid[#Data],$DD1138,48),0)</f>
        <v/>
      </c>
      <c r="AY1138">
        <f>IFERROR(INDEX(PP_Grid[#Data],$DD1138,49),0)</f>
        <v/>
      </c>
      <c r="AZ1138">
        <f>IFERROR(INDEX(PP_Grid[#Data],$DD1138,50),0)</f>
        <v/>
      </c>
      <c r="BA1138">
        <f>IFERROR(INDEX(PP_Grid[#Data],$DD1138,51),0)</f>
        <v/>
      </c>
      <c r="BB1138">
        <f>IFERROR(INDEX(PP_Grid[#Data],$DD1138,52),0)</f>
        <v/>
      </c>
      <c r="BC1138">
        <f>IFERROR(INDEX(PP_Grid[#Data],$DD1138,53),0)</f>
        <v/>
      </c>
      <c r="BD1138">
        <f>IFERROR(INDEX(PP_Grid[#Data],$DD1138,54),0)</f>
        <v/>
      </c>
      <c r="BE1138">
        <f>IFERROR(INDEX(PP_Grid[#Data],$DD1138,55),0)</f>
        <v/>
      </c>
      <c r="BF1138">
        <f>IFERROR(INDEX(PP_Grid[#Data],$DD1138,56),0)</f>
        <v/>
      </c>
      <c r="BG1138">
        <f>IFERROR(INDEX(PP_Grid[#Data],$DD1138,57),0)</f>
        <v/>
      </c>
      <c r="BH1138">
        <f>IFERROR(INDEX(PP_Grid[#Data],$DD1138,58),0)</f>
        <v/>
      </c>
      <c r="BI1138">
        <f>IFERROR(INDEX(PP_Grid[#Data],$DD1138,59),0)</f>
        <v/>
      </c>
      <c r="BJ1138">
        <f>IFERROR(INDEX(PP_Grid[#Data],$DD1138,60),0)</f>
        <v/>
      </c>
      <c r="BK1138">
        <f>IFERROR(INDEX(PP_Grid[#Data],$DD1138,61),0)</f>
        <v/>
      </c>
      <c r="BL1138">
        <f>IFERROR(INDEX(PP_Grid[#Data],$DD1138,62),0)</f>
        <v/>
      </c>
      <c r="BM1138">
        <f>IFERROR(INDEX(PP_Grid[#Data],$DD1138,63),0)</f>
        <v/>
      </c>
      <c r="BN1138">
        <f>IFERROR(INDEX(PP_Grid[#Data],$DD1138,64),0)</f>
        <v/>
      </c>
      <c r="BO1138">
        <f>IFERROR(INDEX(PP_Grid[#Data],$DD1138,65),0)</f>
        <v/>
      </c>
      <c r="BP1138">
        <f>IFERROR(INDEX(PP_Grid[#Data],$DD1138,66),0)</f>
        <v/>
      </c>
      <c r="BQ1138">
        <f>IFERROR(INDEX(PP_Grid[#Data],$DD1138,67),0)</f>
        <v/>
      </c>
      <c r="BR1138">
        <f>IFERROR(INDEX(PP_Grid[#Data],$DD1138,68),0)</f>
        <v/>
      </c>
      <c r="BS1138">
        <f>IFERROR(INDEX(PP_Grid[#Data],$DD1138,69),0)</f>
        <v/>
      </c>
      <c r="BT1138">
        <f>IFERROR(INDEX(PP_Grid[#Data],$DD1138,70),0)</f>
        <v/>
      </c>
      <c r="BU1138">
        <f>IFERROR(INDEX(PP_Grid[#Data],$DD1138,71),0)</f>
        <v/>
      </c>
      <c r="BV1138">
        <f>IFERROR(INDEX(PP_Grid[#Data],$DD1138,72),0)</f>
        <v/>
      </c>
      <c r="BW1138">
        <f>IFERROR(INDEX(PP_Grid[#Data],$DD1138,73),0)</f>
        <v/>
      </c>
      <c r="BX1138">
        <f>IFERROR(INDEX(PP_Grid[#Data],$DD1138,74),0)</f>
        <v/>
      </c>
      <c r="BY1138">
        <f>IFERROR(INDEX(PP_Grid[#Data],$DD1138,75),0)</f>
        <v/>
      </c>
      <c r="BZ1138">
        <f>IFERROR(INDEX(PP_Grid[#Data],$DD1138,76),0)</f>
        <v/>
      </c>
      <c r="CA1138">
        <f>IFERROR(INDEX(PP_Grid[#Data],$DD1138,77),0)</f>
        <v/>
      </c>
      <c r="CB1138">
        <f>IFERROR(INDEX(PP_Grid[#Data],$DD1138,78),0)</f>
        <v/>
      </c>
      <c r="CC1138">
        <f>IFERROR(INDEX(PP_Grid[#Data],$DD1138,79),0)</f>
        <v/>
      </c>
      <c r="CD1138">
        <f>IFERROR(INDEX(PP_Grid[#Data],$DD1138,80),0)</f>
        <v/>
      </c>
      <c r="CE1138">
        <f>IFERROR(INDEX(PP_Grid[#Data],$DD1138,81),0)</f>
        <v/>
      </c>
      <c r="CF1138">
        <f>IFERROR(INDEX(PP_Grid[#Data],$DD1138,82),0)</f>
        <v/>
      </c>
      <c r="CG1138">
        <f>IFERROR(INDEX(PP_Grid[#Data],$DD1138,83),0)</f>
        <v/>
      </c>
      <c r="CH1138">
        <f>IFERROR(INDEX(PP_Grid[#Data],$DD1138,84),0)</f>
        <v/>
      </c>
      <c r="CI1138">
        <f>IFERROR(INDEX(PP_Grid[#Data],$DD1138,85),0)</f>
        <v/>
      </c>
      <c r="CJ1138">
        <f>IFERROR(INDEX(PP_Grid[#Data],$DD1138,86),0)</f>
        <v/>
      </c>
      <c r="CK1138">
        <f>IFERROR(INDEX(PP_Grid[#Data],$DD1138,87),0)</f>
        <v/>
      </c>
      <c r="CL1138">
        <f>IFERROR(INDEX(PP_Grid[#Data],$DD1138,88),0)</f>
        <v/>
      </c>
      <c r="CM1138">
        <f>IFERROR(INDEX(PP_Grid[#Data],$DD1138,89),0)</f>
        <v/>
      </c>
      <c r="CN1138">
        <f>IFERROR(INDEX(PP_Grid[#Data],$DD1138,90),0)</f>
        <v/>
      </c>
      <c r="CO1138">
        <f>IFERROR(INDEX(PP_Grid[#Data],$DD1138,91),0)</f>
        <v/>
      </c>
      <c r="CP1138">
        <f>IFERROR(INDEX(PP_Grid[#Data],$DD1138,92),0)</f>
        <v/>
      </c>
      <c r="CQ1138">
        <f>IFERROR(INDEX(PP_Grid[#Data],$DD1138,93),0)</f>
        <v/>
      </c>
      <c r="CR1138">
        <f>IFERROR(INDEX(PP_Grid[#Data],$DD1138,94),0)</f>
        <v/>
      </c>
      <c r="CS1138">
        <f>IFERROR(INDEX(PP_Grid[#Data],$DD1138,95),0)</f>
        <v/>
      </c>
      <c r="CT1138">
        <f>IFERROR(INDEX(PP_Grid[#Data],$DD1138,96),0)</f>
        <v/>
      </c>
      <c r="CU1138">
        <f>IFERROR(INDEX(PP_Grid[#Data],$DD1138,97),0)</f>
        <v/>
      </c>
      <c r="CV1138">
        <f>IFERROR(INDEX(PP_Grid[#Data],$DD1138,98),0)</f>
        <v/>
      </c>
      <c r="CW1138">
        <f>IFERROR(INDEX(PP_Grid[#Data],$DD1138,99),0)</f>
        <v/>
      </c>
      <c r="CX1138">
        <f>IFERROR(INDEX(PP_Grid[#Data],$DD1138,100),0)</f>
        <v/>
      </c>
      <c r="CY1138">
        <f>IFERROR(INDEX(PP_Grid[#Data],$DD1138,101),0)</f>
        <v/>
      </c>
      <c r="CZ1138">
        <f>IFERROR(INDEX(PP_Grid[#Data],$DD1138,102),0)</f>
        <v/>
      </c>
      <c r="DA1138">
        <f>IFERROR(INDEX(PP_Grid[#Data],$DD1138,103),0)</f>
        <v/>
      </c>
      <c r="DB1138">
        <f>IFERROR(INDEX(PP_Grid[#Data],$DD1138,104),0)</f>
        <v/>
      </c>
      <c r="DC1138">
        <f>IFERROR(INDEX(PP_Grid[#Data],$DD1138,105),0)</f>
        <v/>
      </c>
      <c r="DD1138" s="12">
        <f>IFERROR(MATCH($B1138,PP_Grid[Intermediate],0),99999)</f>
        <v/>
      </c>
    </row>
    <row r="1139">
      <c r="B1139" t="inlineStr">
        <is>
          <t>使用量(kg)</t>
        </is>
      </c>
      <c r="C1139">
        <f>SUMIFS(M_BOM[RM_Qty_Per_Batch],M_BOM[Intermediate],$B1138,M_BOM[Part Name],$A1127)</f>
        <v/>
      </c>
      <c r="D1139">
        <f>$C1139*D1138</f>
        <v/>
      </c>
      <c r="E1139">
        <f>$C1139*E1138</f>
        <v/>
      </c>
      <c r="F1139">
        <f>$C1139*F1138</f>
        <v/>
      </c>
      <c r="G1139">
        <f>$C1139*G1138</f>
        <v/>
      </c>
      <c r="H1139">
        <f>$C1139*H1138</f>
        <v/>
      </c>
      <c r="I1139">
        <f>$C1139*I1138</f>
        <v/>
      </c>
      <c r="J1139">
        <f>$C1139*J1138</f>
        <v/>
      </c>
      <c r="K1139">
        <f>$C1139*K1138</f>
        <v/>
      </c>
      <c r="L1139">
        <f>$C1139*L1138</f>
        <v/>
      </c>
      <c r="M1139">
        <f>$C1139*M1138</f>
        <v/>
      </c>
      <c r="N1139">
        <f>$C1139*N1138</f>
        <v/>
      </c>
      <c r="O1139">
        <f>$C1139*O1138</f>
        <v/>
      </c>
      <c r="P1139">
        <f>$C1139*P1138</f>
        <v/>
      </c>
      <c r="Q1139">
        <f>$C1139*Q1138</f>
        <v/>
      </c>
      <c r="R1139">
        <f>$C1139*R1138</f>
        <v/>
      </c>
      <c r="S1139">
        <f>$C1139*S1138</f>
        <v/>
      </c>
      <c r="T1139">
        <f>$C1139*T1138</f>
        <v/>
      </c>
      <c r="U1139">
        <f>$C1139*U1138</f>
        <v/>
      </c>
      <c r="V1139">
        <f>$C1139*V1138</f>
        <v/>
      </c>
      <c r="W1139">
        <f>$C1139*W1138</f>
        <v/>
      </c>
      <c r="X1139">
        <f>$C1139*X1138</f>
        <v/>
      </c>
      <c r="Y1139">
        <f>$C1139*Y1138</f>
        <v/>
      </c>
      <c r="Z1139">
        <f>$C1139*Z1138</f>
        <v/>
      </c>
      <c r="AA1139">
        <f>$C1139*AA1138</f>
        <v/>
      </c>
      <c r="AB1139">
        <f>$C1139*AB1138</f>
        <v/>
      </c>
      <c r="AC1139">
        <f>$C1139*AC1138</f>
        <v/>
      </c>
      <c r="AD1139">
        <f>$C1139*AD1138</f>
        <v/>
      </c>
      <c r="AE1139">
        <f>$C1139*AE1138</f>
        <v/>
      </c>
      <c r="AF1139">
        <f>$C1139*AF1138</f>
        <v/>
      </c>
      <c r="AG1139">
        <f>$C1139*AG1138</f>
        <v/>
      </c>
      <c r="AH1139">
        <f>$C1139*AH1138</f>
        <v/>
      </c>
      <c r="AI1139">
        <f>$C1139*AI1138</f>
        <v/>
      </c>
      <c r="AJ1139">
        <f>$C1139*AJ1138</f>
        <v/>
      </c>
      <c r="AK1139">
        <f>$C1139*AK1138</f>
        <v/>
      </c>
      <c r="AL1139">
        <f>$C1139*AL1138</f>
        <v/>
      </c>
      <c r="AM1139">
        <f>$C1139*AM1138</f>
        <v/>
      </c>
      <c r="AN1139">
        <f>$C1139*AN1138</f>
        <v/>
      </c>
      <c r="AO1139">
        <f>$C1139*AO1138</f>
        <v/>
      </c>
      <c r="AP1139">
        <f>$C1139*AP1138</f>
        <v/>
      </c>
      <c r="AQ1139">
        <f>$C1139*AQ1138</f>
        <v/>
      </c>
      <c r="AR1139">
        <f>$C1139*AR1138</f>
        <v/>
      </c>
      <c r="AS1139">
        <f>$C1139*AS1138</f>
        <v/>
      </c>
      <c r="AT1139">
        <f>$C1139*AT1138</f>
        <v/>
      </c>
      <c r="AU1139">
        <f>$C1139*AU1138</f>
        <v/>
      </c>
      <c r="AV1139">
        <f>$C1139*AV1138</f>
        <v/>
      </c>
      <c r="AW1139">
        <f>$C1139*AW1138</f>
        <v/>
      </c>
      <c r="AX1139">
        <f>$C1139*AX1138</f>
        <v/>
      </c>
      <c r="AY1139">
        <f>$C1139*AY1138</f>
        <v/>
      </c>
      <c r="AZ1139">
        <f>$C1139*AZ1138</f>
        <v/>
      </c>
      <c r="BA1139">
        <f>$C1139*BA1138</f>
        <v/>
      </c>
      <c r="BB1139">
        <f>$C1139*BB1138</f>
        <v/>
      </c>
      <c r="BC1139">
        <f>$C1139*BC1138</f>
        <v/>
      </c>
      <c r="BD1139">
        <f>$C1139*BD1138</f>
        <v/>
      </c>
      <c r="BE1139">
        <f>$C1139*BE1138</f>
        <v/>
      </c>
      <c r="BF1139">
        <f>$C1139*BF1138</f>
        <v/>
      </c>
      <c r="BG1139">
        <f>$C1139*BG1138</f>
        <v/>
      </c>
      <c r="BH1139">
        <f>$C1139*BH1138</f>
        <v/>
      </c>
      <c r="BI1139">
        <f>$C1139*BI1138</f>
        <v/>
      </c>
      <c r="BJ1139">
        <f>$C1139*BJ1138</f>
        <v/>
      </c>
      <c r="BK1139">
        <f>$C1139*BK1138</f>
        <v/>
      </c>
      <c r="BL1139">
        <f>$C1139*BL1138</f>
        <v/>
      </c>
      <c r="BM1139">
        <f>$C1139*BM1138</f>
        <v/>
      </c>
      <c r="BN1139">
        <f>$C1139*BN1138</f>
        <v/>
      </c>
      <c r="BO1139">
        <f>$C1139*BO1138</f>
        <v/>
      </c>
      <c r="BP1139">
        <f>$C1139*BP1138</f>
        <v/>
      </c>
      <c r="BQ1139">
        <f>$C1139*BQ1138</f>
        <v/>
      </c>
      <c r="BR1139">
        <f>$C1139*BR1138</f>
        <v/>
      </c>
      <c r="BS1139">
        <f>$C1139*BS1138</f>
        <v/>
      </c>
      <c r="BT1139">
        <f>$C1139*BT1138</f>
        <v/>
      </c>
      <c r="BU1139">
        <f>$C1139*BU1138</f>
        <v/>
      </c>
      <c r="BV1139">
        <f>$C1139*BV1138</f>
        <v/>
      </c>
      <c r="BW1139">
        <f>$C1139*BW1138</f>
        <v/>
      </c>
      <c r="BX1139">
        <f>$C1139*BX1138</f>
        <v/>
      </c>
      <c r="BY1139">
        <f>$C1139*BY1138</f>
        <v/>
      </c>
      <c r="BZ1139">
        <f>$C1139*BZ1138</f>
        <v/>
      </c>
      <c r="CA1139">
        <f>$C1139*CA1138</f>
        <v/>
      </c>
      <c r="CB1139">
        <f>$C1139*CB1138</f>
        <v/>
      </c>
      <c r="CC1139">
        <f>$C1139*CC1138</f>
        <v/>
      </c>
      <c r="CD1139">
        <f>$C1139*CD1138</f>
        <v/>
      </c>
      <c r="CE1139">
        <f>$C1139*CE1138</f>
        <v/>
      </c>
      <c r="CF1139">
        <f>$C1139*CF1138</f>
        <v/>
      </c>
      <c r="CG1139">
        <f>$C1139*CG1138</f>
        <v/>
      </c>
      <c r="CH1139">
        <f>$C1139*CH1138</f>
        <v/>
      </c>
      <c r="CI1139">
        <f>$C1139*CI1138</f>
        <v/>
      </c>
      <c r="CJ1139">
        <f>$C1139*CJ1138</f>
        <v/>
      </c>
      <c r="CK1139">
        <f>$C1139*CK1138</f>
        <v/>
      </c>
      <c r="CL1139">
        <f>$C1139*CL1138</f>
        <v/>
      </c>
      <c r="CM1139">
        <f>$C1139*CM1138</f>
        <v/>
      </c>
      <c r="CN1139">
        <f>$C1139*CN1138</f>
        <v/>
      </c>
      <c r="CO1139">
        <f>$C1139*CO1138</f>
        <v/>
      </c>
      <c r="CP1139">
        <f>$C1139*CP1138</f>
        <v/>
      </c>
      <c r="CQ1139">
        <f>$C1139*CQ1138</f>
        <v/>
      </c>
      <c r="CR1139">
        <f>$C1139*CR1138</f>
        <v/>
      </c>
      <c r="CS1139">
        <f>$C1139*CS1138</f>
        <v/>
      </c>
      <c r="CT1139">
        <f>$C1139*CT1138</f>
        <v/>
      </c>
      <c r="CU1139">
        <f>$C1139*CU1138</f>
        <v/>
      </c>
      <c r="CV1139">
        <f>$C1139*CV1138</f>
        <v/>
      </c>
      <c r="CW1139">
        <f>$C1139*CW1138</f>
        <v/>
      </c>
      <c r="CX1139">
        <f>$C1139*CX1138</f>
        <v/>
      </c>
      <c r="CY1139">
        <f>$C1139*CY1138</f>
        <v/>
      </c>
      <c r="CZ1139">
        <f>$C1139*CZ1138</f>
        <v/>
      </c>
      <c r="DA1139">
        <f>$C1139*DA1138</f>
        <v/>
      </c>
      <c r="DB1139">
        <f>$C1139*DB1138</f>
        <v/>
      </c>
      <c r="DC1139">
        <f>$C1139*DC1138</f>
        <v/>
      </c>
    </row>
    <row r="1140">
      <c r="B1140" t="inlineStr">
        <is>
          <t>TSP-067</t>
        </is>
      </c>
      <c r="C1140" t="inlineStr">
        <is>
          <t>No. of batches</t>
        </is>
      </c>
      <c r="D1140">
        <f>IFERROR(INDEX(PP_Grid[#Data],$DD1140,2),0)</f>
        <v/>
      </c>
      <c r="E1140">
        <f>IFERROR(INDEX(PP_Grid[#Data],$DD1140,3),0)</f>
        <v/>
      </c>
      <c r="F1140">
        <f>IFERROR(INDEX(PP_Grid[#Data],$DD1140,4),0)</f>
        <v/>
      </c>
      <c r="G1140">
        <f>IFERROR(INDEX(PP_Grid[#Data],$DD1140,5),0)</f>
        <v/>
      </c>
      <c r="H1140">
        <f>IFERROR(INDEX(PP_Grid[#Data],$DD1140,6),0)</f>
        <v/>
      </c>
      <c r="I1140">
        <f>IFERROR(INDEX(PP_Grid[#Data],$DD1140,7),0)</f>
        <v/>
      </c>
      <c r="J1140">
        <f>IFERROR(INDEX(PP_Grid[#Data],$DD1140,8),0)</f>
        <v/>
      </c>
      <c r="K1140">
        <f>IFERROR(INDEX(PP_Grid[#Data],$DD1140,9),0)</f>
        <v/>
      </c>
      <c r="L1140">
        <f>IFERROR(INDEX(PP_Grid[#Data],$DD1140,10),0)</f>
        <v/>
      </c>
      <c r="M1140">
        <f>IFERROR(INDEX(PP_Grid[#Data],$DD1140,11),0)</f>
        <v/>
      </c>
      <c r="N1140">
        <f>IFERROR(INDEX(PP_Grid[#Data],$DD1140,12),0)</f>
        <v/>
      </c>
      <c r="O1140">
        <f>IFERROR(INDEX(PP_Grid[#Data],$DD1140,13),0)</f>
        <v/>
      </c>
      <c r="P1140">
        <f>IFERROR(INDEX(PP_Grid[#Data],$DD1140,14),0)</f>
        <v/>
      </c>
      <c r="Q1140">
        <f>IFERROR(INDEX(PP_Grid[#Data],$DD1140,15),0)</f>
        <v/>
      </c>
      <c r="R1140">
        <f>IFERROR(INDEX(PP_Grid[#Data],$DD1140,16),0)</f>
        <v/>
      </c>
      <c r="S1140">
        <f>IFERROR(INDEX(PP_Grid[#Data],$DD1140,17),0)</f>
        <v/>
      </c>
      <c r="T1140">
        <f>IFERROR(INDEX(PP_Grid[#Data],$DD1140,18),0)</f>
        <v/>
      </c>
      <c r="U1140">
        <f>IFERROR(INDEX(PP_Grid[#Data],$DD1140,19),0)</f>
        <v/>
      </c>
      <c r="V1140">
        <f>IFERROR(INDEX(PP_Grid[#Data],$DD1140,20),0)</f>
        <v/>
      </c>
      <c r="W1140">
        <f>IFERROR(INDEX(PP_Grid[#Data],$DD1140,21),0)</f>
        <v/>
      </c>
      <c r="X1140">
        <f>IFERROR(INDEX(PP_Grid[#Data],$DD1140,22),0)</f>
        <v/>
      </c>
      <c r="Y1140">
        <f>IFERROR(INDEX(PP_Grid[#Data],$DD1140,23),0)</f>
        <v/>
      </c>
      <c r="Z1140">
        <f>IFERROR(INDEX(PP_Grid[#Data],$DD1140,24),0)</f>
        <v/>
      </c>
      <c r="AA1140">
        <f>IFERROR(INDEX(PP_Grid[#Data],$DD1140,25),0)</f>
        <v/>
      </c>
      <c r="AB1140">
        <f>IFERROR(INDEX(PP_Grid[#Data],$DD1140,26),0)</f>
        <v/>
      </c>
      <c r="AC1140">
        <f>IFERROR(INDEX(PP_Grid[#Data],$DD1140,27),0)</f>
        <v/>
      </c>
      <c r="AD1140">
        <f>IFERROR(INDEX(PP_Grid[#Data],$DD1140,28),0)</f>
        <v/>
      </c>
      <c r="AE1140">
        <f>IFERROR(INDEX(PP_Grid[#Data],$DD1140,29),0)</f>
        <v/>
      </c>
      <c r="AF1140">
        <f>IFERROR(INDEX(PP_Grid[#Data],$DD1140,30),0)</f>
        <v/>
      </c>
      <c r="AG1140">
        <f>IFERROR(INDEX(PP_Grid[#Data],$DD1140,31),0)</f>
        <v/>
      </c>
      <c r="AH1140">
        <f>IFERROR(INDEX(PP_Grid[#Data],$DD1140,32),0)</f>
        <v/>
      </c>
      <c r="AI1140">
        <f>IFERROR(INDEX(PP_Grid[#Data],$DD1140,33),0)</f>
        <v/>
      </c>
      <c r="AJ1140">
        <f>IFERROR(INDEX(PP_Grid[#Data],$DD1140,34),0)</f>
        <v/>
      </c>
      <c r="AK1140">
        <f>IFERROR(INDEX(PP_Grid[#Data],$DD1140,35),0)</f>
        <v/>
      </c>
      <c r="AL1140">
        <f>IFERROR(INDEX(PP_Grid[#Data],$DD1140,36),0)</f>
        <v/>
      </c>
      <c r="AM1140">
        <f>IFERROR(INDEX(PP_Grid[#Data],$DD1140,37),0)</f>
        <v/>
      </c>
      <c r="AN1140">
        <f>IFERROR(INDEX(PP_Grid[#Data],$DD1140,38),0)</f>
        <v/>
      </c>
      <c r="AO1140">
        <f>IFERROR(INDEX(PP_Grid[#Data],$DD1140,39),0)</f>
        <v/>
      </c>
      <c r="AP1140">
        <f>IFERROR(INDEX(PP_Grid[#Data],$DD1140,40),0)</f>
        <v/>
      </c>
      <c r="AQ1140">
        <f>IFERROR(INDEX(PP_Grid[#Data],$DD1140,41),0)</f>
        <v/>
      </c>
      <c r="AR1140">
        <f>IFERROR(INDEX(PP_Grid[#Data],$DD1140,42),0)</f>
        <v/>
      </c>
      <c r="AS1140">
        <f>IFERROR(INDEX(PP_Grid[#Data],$DD1140,43),0)</f>
        <v/>
      </c>
      <c r="AT1140">
        <f>IFERROR(INDEX(PP_Grid[#Data],$DD1140,44),0)</f>
        <v/>
      </c>
      <c r="AU1140">
        <f>IFERROR(INDEX(PP_Grid[#Data],$DD1140,45),0)</f>
        <v/>
      </c>
      <c r="AV1140">
        <f>IFERROR(INDEX(PP_Grid[#Data],$DD1140,46),0)</f>
        <v/>
      </c>
      <c r="AW1140">
        <f>IFERROR(INDEX(PP_Grid[#Data],$DD1140,47),0)</f>
        <v/>
      </c>
      <c r="AX1140">
        <f>IFERROR(INDEX(PP_Grid[#Data],$DD1140,48),0)</f>
        <v/>
      </c>
      <c r="AY1140">
        <f>IFERROR(INDEX(PP_Grid[#Data],$DD1140,49),0)</f>
        <v/>
      </c>
      <c r="AZ1140">
        <f>IFERROR(INDEX(PP_Grid[#Data],$DD1140,50),0)</f>
        <v/>
      </c>
      <c r="BA1140">
        <f>IFERROR(INDEX(PP_Grid[#Data],$DD1140,51),0)</f>
        <v/>
      </c>
      <c r="BB1140">
        <f>IFERROR(INDEX(PP_Grid[#Data],$DD1140,52),0)</f>
        <v/>
      </c>
      <c r="BC1140">
        <f>IFERROR(INDEX(PP_Grid[#Data],$DD1140,53),0)</f>
        <v/>
      </c>
      <c r="BD1140">
        <f>IFERROR(INDEX(PP_Grid[#Data],$DD1140,54),0)</f>
        <v/>
      </c>
      <c r="BE1140">
        <f>IFERROR(INDEX(PP_Grid[#Data],$DD1140,55),0)</f>
        <v/>
      </c>
      <c r="BF1140">
        <f>IFERROR(INDEX(PP_Grid[#Data],$DD1140,56),0)</f>
        <v/>
      </c>
      <c r="BG1140">
        <f>IFERROR(INDEX(PP_Grid[#Data],$DD1140,57),0)</f>
        <v/>
      </c>
      <c r="BH1140">
        <f>IFERROR(INDEX(PP_Grid[#Data],$DD1140,58),0)</f>
        <v/>
      </c>
      <c r="BI1140">
        <f>IFERROR(INDEX(PP_Grid[#Data],$DD1140,59),0)</f>
        <v/>
      </c>
      <c r="BJ1140">
        <f>IFERROR(INDEX(PP_Grid[#Data],$DD1140,60),0)</f>
        <v/>
      </c>
      <c r="BK1140">
        <f>IFERROR(INDEX(PP_Grid[#Data],$DD1140,61),0)</f>
        <v/>
      </c>
      <c r="BL1140">
        <f>IFERROR(INDEX(PP_Grid[#Data],$DD1140,62),0)</f>
        <v/>
      </c>
      <c r="BM1140">
        <f>IFERROR(INDEX(PP_Grid[#Data],$DD1140,63),0)</f>
        <v/>
      </c>
      <c r="BN1140">
        <f>IFERROR(INDEX(PP_Grid[#Data],$DD1140,64),0)</f>
        <v/>
      </c>
      <c r="BO1140">
        <f>IFERROR(INDEX(PP_Grid[#Data],$DD1140,65),0)</f>
        <v/>
      </c>
      <c r="BP1140">
        <f>IFERROR(INDEX(PP_Grid[#Data],$DD1140,66),0)</f>
        <v/>
      </c>
      <c r="BQ1140">
        <f>IFERROR(INDEX(PP_Grid[#Data],$DD1140,67),0)</f>
        <v/>
      </c>
      <c r="BR1140">
        <f>IFERROR(INDEX(PP_Grid[#Data],$DD1140,68),0)</f>
        <v/>
      </c>
      <c r="BS1140">
        <f>IFERROR(INDEX(PP_Grid[#Data],$DD1140,69),0)</f>
        <v/>
      </c>
      <c r="BT1140">
        <f>IFERROR(INDEX(PP_Grid[#Data],$DD1140,70),0)</f>
        <v/>
      </c>
      <c r="BU1140">
        <f>IFERROR(INDEX(PP_Grid[#Data],$DD1140,71),0)</f>
        <v/>
      </c>
      <c r="BV1140">
        <f>IFERROR(INDEX(PP_Grid[#Data],$DD1140,72),0)</f>
        <v/>
      </c>
      <c r="BW1140">
        <f>IFERROR(INDEX(PP_Grid[#Data],$DD1140,73),0)</f>
        <v/>
      </c>
      <c r="BX1140">
        <f>IFERROR(INDEX(PP_Grid[#Data],$DD1140,74),0)</f>
        <v/>
      </c>
      <c r="BY1140">
        <f>IFERROR(INDEX(PP_Grid[#Data],$DD1140,75),0)</f>
        <v/>
      </c>
      <c r="BZ1140">
        <f>IFERROR(INDEX(PP_Grid[#Data],$DD1140,76),0)</f>
        <v/>
      </c>
      <c r="CA1140">
        <f>IFERROR(INDEX(PP_Grid[#Data],$DD1140,77),0)</f>
        <v/>
      </c>
      <c r="CB1140">
        <f>IFERROR(INDEX(PP_Grid[#Data],$DD1140,78),0)</f>
        <v/>
      </c>
      <c r="CC1140">
        <f>IFERROR(INDEX(PP_Grid[#Data],$DD1140,79),0)</f>
        <v/>
      </c>
      <c r="CD1140">
        <f>IFERROR(INDEX(PP_Grid[#Data],$DD1140,80),0)</f>
        <v/>
      </c>
      <c r="CE1140">
        <f>IFERROR(INDEX(PP_Grid[#Data],$DD1140,81),0)</f>
        <v/>
      </c>
      <c r="CF1140">
        <f>IFERROR(INDEX(PP_Grid[#Data],$DD1140,82),0)</f>
        <v/>
      </c>
      <c r="CG1140">
        <f>IFERROR(INDEX(PP_Grid[#Data],$DD1140,83),0)</f>
        <v/>
      </c>
      <c r="CH1140">
        <f>IFERROR(INDEX(PP_Grid[#Data],$DD1140,84),0)</f>
        <v/>
      </c>
      <c r="CI1140">
        <f>IFERROR(INDEX(PP_Grid[#Data],$DD1140,85),0)</f>
        <v/>
      </c>
      <c r="CJ1140">
        <f>IFERROR(INDEX(PP_Grid[#Data],$DD1140,86),0)</f>
        <v/>
      </c>
      <c r="CK1140">
        <f>IFERROR(INDEX(PP_Grid[#Data],$DD1140,87),0)</f>
        <v/>
      </c>
      <c r="CL1140">
        <f>IFERROR(INDEX(PP_Grid[#Data],$DD1140,88),0)</f>
        <v/>
      </c>
      <c r="CM1140">
        <f>IFERROR(INDEX(PP_Grid[#Data],$DD1140,89),0)</f>
        <v/>
      </c>
      <c r="CN1140">
        <f>IFERROR(INDEX(PP_Grid[#Data],$DD1140,90),0)</f>
        <v/>
      </c>
      <c r="CO1140">
        <f>IFERROR(INDEX(PP_Grid[#Data],$DD1140,91),0)</f>
        <v/>
      </c>
      <c r="CP1140">
        <f>IFERROR(INDEX(PP_Grid[#Data],$DD1140,92),0)</f>
        <v/>
      </c>
      <c r="CQ1140">
        <f>IFERROR(INDEX(PP_Grid[#Data],$DD1140,93),0)</f>
        <v/>
      </c>
      <c r="CR1140">
        <f>IFERROR(INDEX(PP_Grid[#Data],$DD1140,94),0)</f>
        <v/>
      </c>
      <c r="CS1140">
        <f>IFERROR(INDEX(PP_Grid[#Data],$DD1140,95),0)</f>
        <v/>
      </c>
      <c r="CT1140">
        <f>IFERROR(INDEX(PP_Grid[#Data],$DD1140,96),0)</f>
        <v/>
      </c>
      <c r="CU1140">
        <f>IFERROR(INDEX(PP_Grid[#Data],$DD1140,97),0)</f>
        <v/>
      </c>
      <c r="CV1140">
        <f>IFERROR(INDEX(PP_Grid[#Data],$DD1140,98),0)</f>
        <v/>
      </c>
      <c r="CW1140">
        <f>IFERROR(INDEX(PP_Grid[#Data],$DD1140,99),0)</f>
        <v/>
      </c>
      <c r="CX1140">
        <f>IFERROR(INDEX(PP_Grid[#Data],$DD1140,100),0)</f>
        <v/>
      </c>
      <c r="CY1140">
        <f>IFERROR(INDEX(PP_Grid[#Data],$DD1140,101),0)</f>
        <v/>
      </c>
      <c r="CZ1140">
        <f>IFERROR(INDEX(PP_Grid[#Data],$DD1140,102),0)</f>
        <v/>
      </c>
      <c r="DA1140">
        <f>IFERROR(INDEX(PP_Grid[#Data],$DD1140,103),0)</f>
        <v/>
      </c>
      <c r="DB1140">
        <f>IFERROR(INDEX(PP_Grid[#Data],$DD1140,104),0)</f>
        <v/>
      </c>
      <c r="DC1140">
        <f>IFERROR(INDEX(PP_Grid[#Data],$DD1140,105),0)</f>
        <v/>
      </c>
      <c r="DD1140" s="12">
        <f>IFERROR(MATCH($B1140,PP_Grid[Intermediate],0),99999)</f>
        <v/>
      </c>
    </row>
    <row r="1141">
      <c r="B1141" t="inlineStr">
        <is>
          <t>使用量(kg)</t>
        </is>
      </c>
      <c r="C1141">
        <f>SUMIFS(M_BOM[RM_Qty_Per_Batch],M_BOM[Intermediate],$B1140,M_BOM[Part Name],$A1127)</f>
        <v/>
      </c>
      <c r="D1141">
        <f>$C1141*D1140</f>
        <v/>
      </c>
      <c r="E1141">
        <f>$C1141*E1140</f>
        <v/>
      </c>
      <c r="F1141">
        <f>$C1141*F1140</f>
        <v/>
      </c>
      <c r="G1141">
        <f>$C1141*G1140</f>
        <v/>
      </c>
      <c r="H1141">
        <f>$C1141*H1140</f>
        <v/>
      </c>
      <c r="I1141">
        <f>$C1141*I1140</f>
        <v/>
      </c>
      <c r="J1141">
        <f>$C1141*J1140</f>
        <v/>
      </c>
      <c r="K1141">
        <f>$C1141*K1140</f>
        <v/>
      </c>
      <c r="L1141">
        <f>$C1141*L1140</f>
        <v/>
      </c>
      <c r="M1141">
        <f>$C1141*M1140</f>
        <v/>
      </c>
      <c r="N1141">
        <f>$C1141*N1140</f>
        <v/>
      </c>
      <c r="O1141">
        <f>$C1141*O1140</f>
        <v/>
      </c>
      <c r="P1141">
        <f>$C1141*P1140</f>
        <v/>
      </c>
      <c r="Q1141">
        <f>$C1141*Q1140</f>
        <v/>
      </c>
      <c r="R1141">
        <f>$C1141*R1140</f>
        <v/>
      </c>
      <c r="S1141">
        <f>$C1141*S1140</f>
        <v/>
      </c>
      <c r="T1141">
        <f>$C1141*T1140</f>
        <v/>
      </c>
      <c r="U1141">
        <f>$C1141*U1140</f>
        <v/>
      </c>
      <c r="V1141">
        <f>$C1141*V1140</f>
        <v/>
      </c>
      <c r="W1141">
        <f>$C1141*W1140</f>
        <v/>
      </c>
      <c r="X1141">
        <f>$C1141*X1140</f>
        <v/>
      </c>
      <c r="Y1141">
        <f>$C1141*Y1140</f>
        <v/>
      </c>
      <c r="Z1141">
        <f>$C1141*Z1140</f>
        <v/>
      </c>
      <c r="AA1141">
        <f>$C1141*AA1140</f>
        <v/>
      </c>
      <c r="AB1141">
        <f>$C1141*AB1140</f>
        <v/>
      </c>
      <c r="AC1141">
        <f>$C1141*AC1140</f>
        <v/>
      </c>
      <c r="AD1141">
        <f>$C1141*AD1140</f>
        <v/>
      </c>
      <c r="AE1141">
        <f>$C1141*AE1140</f>
        <v/>
      </c>
      <c r="AF1141">
        <f>$C1141*AF1140</f>
        <v/>
      </c>
      <c r="AG1141">
        <f>$C1141*AG1140</f>
        <v/>
      </c>
      <c r="AH1141">
        <f>$C1141*AH1140</f>
        <v/>
      </c>
      <c r="AI1141">
        <f>$C1141*AI1140</f>
        <v/>
      </c>
      <c r="AJ1141">
        <f>$C1141*AJ1140</f>
        <v/>
      </c>
      <c r="AK1141">
        <f>$C1141*AK1140</f>
        <v/>
      </c>
      <c r="AL1141">
        <f>$C1141*AL1140</f>
        <v/>
      </c>
      <c r="AM1141">
        <f>$C1141*AM1140</f>
        <v/>
      </c>
      <c r="AN1141">
        <f>$C1141*AN1140</f>
        <v/>
      </c>
      <c r="AO1141">
        <f>$C1141*AO1140</f>
        <v/>
      </c>
      <c r="AP1141">
        <f>$C1141*AP1140</f>
        <v/>
      </c>
      <c r="AQ1141">
        <f>$C1141*AQ1140</f>
        <v/>
      </c>
      <c r="AR1141">
        <f>$C1141*AR1140</f>
        <v/>
      </c>
      <c r="AS1141">
        <f>$C1141*AS1140</f>
        <v/>
      </c>
      <c r="AT1141">
        <f>$C1141*AT1140</f>
        <v/>
      </c>
      <c r="AU1141">
        <f>$C1141*AU1140</f>
        <v/>
      </c>
      <c r="AV1141">
        <f>$C1141*AV1140</f>
        <v/>
      </c>
      <c r="AW1141">
        <f>$C1141*AW1140</f>
        <v/>
      </c>
      <c r="AX1141">
        <f>$C1141*AX1140</f>
        <v/>
      </c>
      <c r="AY1141">
        <f>$C1141*AY1140</f>
        <v/>
      </c>
      <c r="AZ1141">
        <f>$C1141*AZ1140</f>
        <v/>
      </c>
      <c r="BA1141">
        <f>$C1141*BA1140</f>
        <v/>
      </c>
      <c r="BB1141">
        <f>$C1141*BB1140</f>
        <v/>
      </c>
      <c r="BC1141">
        <f>$C1141*BC1140</f>
        <v/>
      </c>
      <c r="BD1141">
        <f>$C1141*BD1140</f>
        <v/>
      </c>
      <c r="BE1141">
        <f>$C1141*BE1140</f>
        <v/>
      </c>
      <c r="BF1141">
        <f>$C1141*BF1140</f>
        <v/>
      </c>
      <c r="BG1141">
        <f>$C1141*BG1140</f>
        <v/>
      </c>
      <c r="BH1141">
        <f>$C1141*BH1140</f>
        <v/>
      </c>
      <c r="BI1141">
        <f>$C1141*BI1140</f>
        <v/>
      </c>
      <c r="BJ1141">
        <f>$C1141*BJ1140</f>
        <v/>
      </c>
      <c r="BK1141">
        <f>$C1141*BK1140</f>
        <v/>
      </c>
      <c r="BL1141">
        <f>$C1141*BL1140</f>
        <v/>
      </c>
      <c r="BM1141">
        <f>$C1141*BM1140</f>
        <v/>
      </c>
      <c r="BN1141">
        <f>$C1141*BN1140</f>
        <v/>
      </c>
      <c r="BO1141">
        <f>$C1141*BO1140</f>
        <v/>
      </c>
      <c r="BP1141">
        <f>$C1141*BP1140</f>
        <v/>
      </c>
      <c r="BQ1141">
        <f>$C1141*BQ1140</f>
        <v/>
      </c>
      <c r="BR1141">
        <f>$C1141*BR1140</f>
        <v/>
      </c>
      <c r="BS1141">
        <f>$C1141*BS1140</f>
        <v/>
      </c>
      <c r="BT1141">
        <f>$C1141*BT1140</f>
        <v/>
      </c>
      <c r="BU1141">
        <f>$C1141*BU1140</f>
        <v/>
      </c>
      <c r="BV1141">
        <f>$C1141*BV1140</f>
        <v/>
      </c>
      <c r="BW1141">
        <f>$C1141*BW1140</f>
        <v/>
      </c>
      <c r="BX1141">
        <f>$C1141*BX1140</f>
        <v/>
      </c>
      <c r="BY1141">
        <f>$C1141*BY1140</f>
        <v/>
      </c>
      <c r="BZ1141">
        <f>$C1141*BZ1140</f>
        <v/>
      </c>
      <c r="CA1141">
        <f>$C1141*CA1140</f>
        <v/>
      </c>
      <c r="CB1141">
        <f>$C1141*CB1140</f>
        <v/>
      </c>
      <c r="CC1141">
        <f>$C1141*CC1140</f>
        <v/>
      </c>
      <c r="CD1141">
        <f>$C1141*CD1140</f>
        <v/>
      </c>
      <c r="CE1141">
        <f>$C1141*CE1140</f>
        <v/>
      </c>
      <c r="CF1141">
        <f>$C1141*CF1140</f>
        <v/>
      </c>
      <c r="CG1141">
        <f>$C1141*CG1140</f>
        <v/>
      </c>
      <c r="CH1141">
        <f>$C1141*CH1140</f>
        <v/>
      </c>
      <c r="CI1141">
        <f>$C1141*CI1140</f>
        <v/>
      </c>
      <c r="CJ1141">
        <f>$C1141*CJ1140</f>
        <v/>
      </c>
      <c r="CK1141">
        <f>$C1141*CK1140</f>
        <v/>
      </c>
      <c r="CL1141">
        <f>$C1141*CL1140</f>
        <v/>
      </c>
      <c r="CM1141">
        <f>$C1141*CM1140</f>
        <v/>
      </c>
      <c r="CN1141">
        <f>$C1141*CN1140</f>
        <v/>
      </c>
      <c r="CO1141">
        <f>$C1141*CO1140</f>
        <v/>
      </c>
      <c r="CP1141">
        <f>$C1141*CP1140</f>
        <v/>
      </c>
      <c r="CQ1141">
        <f>$C1141*CQ1140</f>
        <v/>
      </c>
      <c r="CR1141">
        <f>$C1141*CR1140</f>
        <v/>
      </c>
      <c r="CS1141">
        <f>$C1141*CS1140</f>
        <v/>
      </c>
      <c r="CT1141">
        <f>$C1141*CT1140</f>
        <v/>
      </c>
      <c r="CU1141">
        <f>$C1141*CU1140</f>
        <v/>
      </c>
      <c r="CV1141">
        <f>$C1141*CV1140</f>
        <v/>
      </c>
      <c r="CW1141">
        <f>$C1141*CW1140</f>
        <v/>
      </c>
      <c r="CX1141">
        <f>$C1141*CX1140</f>
        <v/>
      </c>
      <c r="CY1141">
        <f>$C1141*CY1140</f>
        <v/>
      </c>
      <c r="CZ1141">
        <f>$C1141*CZ1140</f>
        <v/>
      </c>
      <c r="DA1141">
        <f>$C1141*DA1140</f>
        <v/>
      </c>
      <c r="DB1141">
        <f>$C1141*DB1140</f>
        <v/>
      </c>
      <c r="DC1141">
        <f>$C1141*DC1140</f>
        <v/>
      </c>
    </row>
    <row r="1142">
      <c r="B1142" t="inlineStr">
        <is>
          <t>TSP-069</t>
        </is>
      </c>
      <c r="C1142" t="inlineStr">
        <is>
          <t>No. of batches</t>
        </is>
      </c>
      <c r="D1142">
        <f>IFERROR(INDEX(PP_Grid[#Data],$DD1142,2),0)</f>
        <v/>
      </c>
      <c r="E1142">
        <f>IFERROR(INDEX(PP_Grid[#Data],$DD1142,3),0)</f>
        <v/>
      </c>
      <c r="F1142">
        <f>IFERROR(INDEX(PP_Grid[#Data],$DD1142,4),0)</f>
        <v/>
      </c>
      <c r="G1142">
        <f>IFERROR(INDEX(PP_Grid[#Data],$DD1142,5),0)</f>
        <v/>
      </c>
      <c r="H1142">
        <f>IFERROR(INDEX(PP_Grid[#Data],$DD1142,6),0)</f>
        <v/>
      </c>
      <c r="I1142">
        <f>IFERROR(INDEX(PP_Grid[#Data],$DD1142,7),0)</f>
        <v/>
      </c>
      <c r="J1142">
        <f>IFERROR(INDEX(PP_Grid[#Data],$DD1142,8),0)</f>
        <v/>
      </c>
      <c r="K1142">
        <f>IFERROR(INDEX(PP_Grid[#Data],$DD1142,9),0)</f>
        <v/>
      </c>
      <c r="L1142">
        <f>IFERROR(INDEX(PP_Grid[#Data],$DD1142,10),0)</f>
        <v/>
      </c>
      <c r="M1142">
        <f>IFERROR(INDEX(PP_Grid[#Data],$DD1142,11),0)</f>
        <v/>
      </c>
      <c r="N1142">
        <f>IFERROR(INDEX(PP_Grid[#Data],$DD1142,12),0)</f>
        <v/>
      </c>
      <c r="O1142">
        <f>IFERROR(INDEX(PP_Grid[#Data],$DD1142,13),0)</f>
        <v/>
      </c>
      <c r="P1142">
        <f>IFERROR(INDEX(PP_Grid[#Data],$DD1142,14),0)</f>
        <v/>
      </c>
      <c r="Q1142">
        <f>IFERROR(INDEX(PP_Grid[#Data],$DD1142,15),0)</f>
        <v/>
      </c>
      <c r="R1142">
        <f>IFERROR(INDEX(PP_Grid[#Data],$DD1142,16),0)</f>
        <v/>
      </c>
      <c r="S1142">
        <f>IFERROR(INDEX(PP_Grid[#Data],$DD1142,17),0)</f>
        <v/>
      </c>
      <c r="T1142">
        <f>IFERROR(INDEX(PP_Grid[#Data],$DD1142,18),0)</f>
        <v/>
      </c>
      <c r="U1142">
        <f>IFERROR(INDEX(PP_Grid[#Data],$DD1142,19),0)</f>
        <v/>
      </c>
      <c r="V1142">
        <f>IFERROR(INDEX(PP_Grid[#Data],$DD1142,20),0)</f>
        <v/>
      </c>
      <c r="W1142">
        <f>IFERROR(INDEX(PP_Grid[#Data],$DD1142,21),0)</f>
        <v/>
      </c>
      <c r="X1142">
        <f>IFERROR(INDEX(PP_Grid[#Data],$DD1142,22),0)</f>
        <v/>
      </c>
      <c r="Y1142">
        <f>IFERROR(INDEX(PP_Grid[#Data],$DD1142,23),0)</f>
        <v/>
      </c>
      <c r="Z1142">
        <f>IFERROR(INDEX(PP_Grid[#Data],$DD1142,24),0)</f>
        <v/>
      </c>
      <c r="AA1142">
        <f>IFERROR(INDEX(PP_Grid[#Data],$DD1142,25),0)</f>
        <v/>
      </c>
      <c r="AB1142">
        <f>IFERROR(INDEX(PP_Grid[#Data],$DD1142,26),0)</f>
        <v/>
      </c>
      <c r="AC1142">
        <f>IFERROR(INDEX(PP_Grid[#Data],$DD1142,27),0)</f>
        <v/>
      </c>
      <c r="AD1142">
        <f>IFERROR(INDEX(PP_Grid[#Data],$DD1142,28),0)</f>
        <v/>
      </c>
      <c r="AE1142">
        <f>IFERROR(INDEX(PP_Grid[#Data],$DD1142,29),0)</f>
        <v/>
      </c>
      <c r="AF1142">
        <f>IFERROR(INDEX(PP_Grid[#Data],$DD1142,30),0)</f>
        <v/>
      </c>
      <c r="AG1142">
        <f>IFERROR(INDEX(PP_Grid[#Data],$DD1142,31),0)</f>
        <v/>
      </c>
      <c r="AH1142">
        <f>IFERROR(INDEX(PP_Grid[#Data],$DD1142,32),0)</f>
        <v/>
      </c>
      <c r="AI1142">
        <f>IFERROR(INDEX(PP_Grid[#Data],$DD1142,33),0)</f>
        <v/>
      </c>
      <c r="AJ1142">
        <f>IFERROR(INDEX(PP_Grid[#Data],$DD1142,34),0)</f>
        <v/>
      </c>
      <c r="AK1142">
        <f>IFERROR(INDEX(PP_Grid[#Data],$DD1142,35),0)</f>
        <v/>
      </c>
      <c r="AL1142">
        <f>IFERROR(INDEX(PP_Grid[#Data],$DD1142,36),0)</f>
        <v/>
      </c>
      <c r="AM1142">
        <f>IFERROR(INDEX(PP_Grid[#Data],$DD1142,37),0)</f>
        <v/>
      </c>
      <c r="AN1142">
        <f>IFERROR(INDEX(PP_Grid[#Data],$DD1142,38),0)</f>
        <v/>
      </c>
      <c r="AO1142">
        <f>IFERROR(INDEX(PP_Grid[#Data],$DD1142,39),0)</f>
        <v/>
      </c>
      <c r="AP1142">
        <f>IFERROR(INDEX(PP_Grid[#Data],$DD1142,40),0)</f>
        <v/>
      </c>
      <c r="AQ1142">
        <f>IFERROR(INDEX(PP_Grid[#Data],$DD1142,41),0)</f>
        <v/>
      </c>
      <c r="AR1142">
        <f>IFERROR(INDEX(PP_Grid[#Data],$DD1142,42),0)</f>
        <v/>
      </c>
      <c r="AS1142">
        <f>IFERROR(INDEX(PP_Grid[#Data],$DD1142,43),0)</f>
        <v/>
      </c>
      <c r="AT1142">
        <f>IFERROR(INDEX(PP_Grid[#Data],$DD1142,44),0)</f>
        <v/>
      </c>
      <c r="AU1142">
        <f>IFERROR(INDEX(PP_Grid[#Data],$DD1142,45),0)</f>
        <v/>
      </c>
      <c r="AV1142">
        <f>IFERROR(INDEX(PP_Grid[#Data],$DD1142,46),0)</f>
        <v/>
      </c>
      <c r="AW1142">
        <f>IFERROR(INDEX(PP_Grid[#Data],$DD1142,47),0)</f>
        <v/>
      </c>
      <c r="AX1142">
        <f>IFERROR(INDEX(PP_Grid[#Data],$DD1142,48),0)</f>
        <v/>
      </c>
      <c r="AY1142">
        <f>IFERROR(INDEX(PP_Grid[#Data],$DD1142,49),0)</f>
        <v/>
      </c>
      <c r="AZ1142">
        <f>IFERROR(INDEX(PP_Grid[#Data],$DD1142,50),0)</f>
        <v/>
      </c>
      <c r="BA1142">
        <f>IFERROR(INDEX(PP_Grid[#Data],$DD1142,51),0)</f>
        <v/>
      </c>
      <c r="BB1142">
        <f>IFERROR(INDEX(PP_Grid[#Data],$DD1142,52),0)</f>
        <v/>
      </c>
      <c r="BC1142">
        <f>IFERROR(INDEX(PP_Grid[#Data],$DD1142,53),0)</f>
        <v/>
      </c>
      <c r="BD1142">
        <f>IFERROR(INDEX(PP_Grid[#Data],$DD1142,54),0)</f>
        <v/>
      </c>
      <c r="BE1142">
        <f>IFERROR(INDEX(PP_Grid[#Data],$DD1142,55),0)</f>
        <v/>
      </c>
      <c r="BF1142">
        <f>IFERROR(INDEX(PP_Grid[#Data],$DD1142,56),0)</f>
        <v/>
      </c>
      <c r="BG1142">
        <f>IFERROR(INDEX(PP_Grid[#Data],$DD1142,57),0)</f>
        <v/>
      </c>
      <c r="BH1142">
        <f>IFERROR(INDEX(PP_Grid[#Data],$DD1142,58),0)</f>
        <v/>
      </c>
      <c r="BI1142">
        <f>IFERROR(INDEX(PP_Grid[#Data],$DD1142,59),0)</f>
        <v/>
      </c>
      <c r="BJ1142">
        <f>IFERROR(INDEX(PP_Grid[#Data],$DD1142,60),0)</f>
        <v/>
      </c>
      <c r="BK1142">
        <f>IFERROR(INDEX(PP_Grid[#Data],$DD1142,61),0)</f>
        <v/>
      </c>
      <c r="BL1142">
        <f>IFERROR(INDEX(PP_Grid[#Data],$DD1142,62),0)</f>
        <v/>
      </c>
      <c r="BM1142">
        <f>IFERROR(INDEX(PP_Grid[#Data],$DD1142,63),0)</f>
        <v/>
      </c>
      <c r="BN1142">
        <f>IFERROR(INDEX(PP_Grid[#Data],$DD1142,64),0)</f>
        <v/>
      </c>
      <c r="BO1142">
        <f>IFERROR(INDEX(PP_Grid[#Data],$DD1142,65),0)</f>
        <v/>
      </c>
      <c r="BP1142">
        <f>IFERROR(INDEX(PP_Grid[#Data],$DD1142,66),0)</f>
        <v/>
      </c>
      <c r="BQ1142">
        <f>IFERROR(INDEX(PP_Grid[#Data],$DD1142,67),0)</f>
        <v/>
      </c>
      <c r="BR1142">
        <f>IFERROR(INDEX(PP_Grid[#Data],$DD1142,68),0)</f>
        <v/>
      </c>
      <c r="BS1142">
        <f>IFERROR(INDEX(PP_Grid[#Data],$DD1142,69),0)</f>
        <v/>
      </c>
      <c r="BT1142">
        <f>IFERROR(INDEX(PP_Grid[#Data],$DD1142,70),0)</f>
        <v/>
      </c>
      <c r="BU1142">
        <f>IFERROR(INDEX(PP_Grid[#Data],$DD1142,71),0)</f>
        <v/>
      </c>
      <c r="BV1142">
        <f>IFERROR(INDEX(PP_Grid[#Data],$DD1142,72),0)</f>
        <v/>
      </c>
      <c r="BW1142">
        <f>IFERROR(INDEX(PP_Grid[#Data],$DD1142,73),0)</f>
        <v/>
      </c>
      <c r="BX1142">
        <f>IFERROR(INDEX(PP_Grid[#Data],$DD1142,74),0)</f>
        <v/>
      </c>
      <c r="BY1142">
        <f>IFERROR(INDEX(PP_Grid[#Data],$DD1142,75),0)</f>
        <v/>
      </c>
      <c r="BZ1142">
        <f>IFERROR(INDEX(PP_Grid[#Data],$DD1142,76),0)</f>
        <v/>
      </c>
      <c r="CA1142">
        <f>IFERROR(INDEX(PP_Grid[#Data],$DD1142,77),0)</f>
        <v/>
      </c>
      <c r="CB1142">
        <f>IFERROR(INDEX(PP_Grid[#Data],$DD1142,78),0)</f>
        <v/>
      </c>
      <c r="CC1142">
        <f>IFERROR(INDEX(PP_Grid[#Data],$DD1142,79),0)</f>
        <v/>
      </c>
      <c r="CD1142">
        <f>IFERROR(INDEX(PP_Grid[#Data],$DD1142,80),0)</f>
        <v/>
      </c>
      <c r="CE1142">
        <f>IFERROR(INDEX(PP_Grid[#Data],$DD1142,81),0)</f>
        <v/>
      </c>
      <c r="CF1142">
        <f>IFERROR(INDEX(PP_Grid[#Data],$DD1142,82),0)</f>
        <v/>
      </c>
      <c r="CG1142">
        <f>IFERROR(INDEX(PP_Grid[#Data],$DD1142,83),0)</f>
        <v/>
      </c>
      <c r="CH1142">
        <f>IFERROR(INDEX(PP_Grid[#Data],$DD1142,84),0)</f>
        <v/>
      </c>
      <c r="CI1142">
        <f>IFERROR(INDEX(PP_Grid[#Data],$DD1142,85),0)</f>
        <v/>
      </c>
      <c r="CJ1142">
        <f>IFERROR(INDEX(PP_Grid[#Data],$DD1142,86),0)</f>
        <v/>
      </c>
      <c r="CK1142">
        <f>IFERROR(INDEX(PP_Grid[#Data],$DD1142,87),0)</f>
        <v/>
      </c>
      <c r="CL1142">
        <f>IFERROR(INDEX(PP_Grid[#Data],$DD1142,88),0)</f>
        <v/>
      </c>
      <c r="CM1142">
        <f>IFERROR(INDEX(PP_Grid[#Data],$DD1142,89),0)</f>
        <v/>
      </c>
      <c r="CN1142">
        <f>IFERROR(INDEX(PP_Grid[#Data],$DD1142,90),0)</f>
        <v/>
      </c>
      <c r="CO1142">
        <f>IFERROR(INDEX(PP_Grid[#Data],$DD1142,91),0)</f>
        <v/>
      </c>
      <c r="CP1142">
        <f>IFERROR(INDEX(PP_Grid[#Data],$DD1142,92),0)</f>
        <v/>
      </c>
      <c r="CQ1142">
        <f>IFERROR(INDEX(PP_Grid[#Data],$DD1142,93),0)</f>
        <v/>
      </c>
      <c r="CR1142">
        <f>IFERROR(INDEX(PP_Grid[#Data],$DD1142,94),0)</f>
        <v/>
      </c>
      <c r="CS1142">
        <f>IFERROR(INDEX(PP_Grid[#Data],$DD1142,95),0)</f>
        <v/>
      </c>
      <c r="CT1142">
        <f>IFERROR(INDEX(PP_Grid[#Data],$DD1142,96),0)</f>
        <v/>
      </c>
      <c r="CU1142">
        <f>IFERROR(INDEX(PP_Grid[#Data],$DD1142,97),0)</f>
        <v/>
      </c>
      <c r="CV1142">
        <f>IFERROR(INDEX(PP_Grid[#Data],$DD1142,98),0)</f>
        <v/>
      </c>
      <c r="CW1142">
        <f>IFERROR(INDEX(PP_Grid[#Data],$DD1142,99),0)</f>
        <v/>
      </c>
      <c r="CX1142">
        <f>IFERROR(INDEX(PP_Grid[#Data],$DD1142,100),0)</f>
        <v/>
      </c>
      <c r="CY1142">
        <f>IFERROR(INDEX(PP_Grid[#Data],$DD1142,101),0)</f>
        <v/>
      </c>
      <c r="CZ1142">
        <f>IFERROR(INDEX(PP_Grid[#Data],$DD1142,102),0)</f>
        <v/>
      </c>
      <c r="DA1142">
        <f>IFERROR(INDEX(PP_Grid[#Data],$DD1142,103),0)</f>
        <v/>
      </c>
      <c r="DB1142">
        <f>IFERROR(INDEX(PP_Grid[#Data],$DD1142,104),0)</f>
        <v/>
      </c>
      <c r="DC1142">
        <f>IFERROR(INDEX(PP_Grid[#Data],$DD1142,105),0)</f>
        <v/>
      </c>
      <c r="DD1142" s="12">
        <f>IFERROR(MATCH($B1142,PP_Grid[Intermediate],0),99999)</f>
        <v/>
      </c>
    </row>
    <row r="1143">
      <c r="B1143" t="inlineStr">
        <is>
          <t>使用量(kg)</t>
        </is>
      </c>
      <c r="C1143">
        <f>SUMIFS(M_BOM[RM_Qty_Per_Batch],M_BOM[Intermediate],$B1142,M_BOM[Part Name],$A1127)</f>
        <v/>
      </c>
      <c r="D1143">
        <f>$C1143*D1142</f>
        <v/>
      </c>
      <c r="E1143">
        <f>$C1143*E1142</f>
        <v/>
      </c>
      <c r="F1143">
        <f>$C1143*F1142</f>
        <v/>
      </c>
      <c r="G1143">
        <f>$C1143*G1142</f>
        <v/>
      </c>
      <c r="H1143">
        <f>$C1143*H1142</f>
        <v/>
      </c>
      <c r="I1143">
        <f>$C1143*I1142</f>
        <v/>
      </c>
      <c r="J1143">
        <f>$C1143*J1142</f>
        <v/>
      </c>
      <c r="K1143">
        <f>$C1143*K1142</f>
        <v/>
      </c>
      <c r="L1143">
        <f>$C1143*L1142</f>
        <v/>
      </c>
      <c r="M1143">
        <f>$C1143*M1142</f>
        <v/>
      </c>
      <c r="N1143">
        <f>$C1143*N1142</f>
        <v/>
      </c>
      <c r="O1143">
        <f>$C1143*O1142</f>
        <v/>
      </c>
      <c r="P1143">
        <f>$C1143*P1142</f>
        <v/>
      </c>
      <c r="Q1143">
        <f>$C1143*Q1142</f>
        <v/>
      </c>
      <c r="R1143">
        <f>$C1143*R1142</f>
        <v/>
      </c>
      <c r="S1143">
        <f>$C1143*S1142</f>
        <v/>
      </c>
      <c r="T1143">
        <f>$C1143*T1142</f>
        <v/>
      </c>
      <c r="U1143">
        <f>$C1143*U1142</f>
        <v/>
      </c>
      <c r="V1143">
        <f>$C1143*V1142</f>
        <v/>
      </c>
      <c r="W1143">
        <f>$C1143*W1142</f>
        <v/>
      </c>
      <c r="X1143">
        <f>$C1143*X1142</f>
        <v/>
      </c>
      <c r="Y1143">
        <f>$C1143*Y1142</f>
        <v/>
      </c>
      <c r="Z1143">
        <f>$C1143*Z1142</f>
        <v/>
      </c>
      <c r="AA1143">
        <f>$C1143*AA1142</f>
        <v/>
      </c>
      <c r="AB1143">
        <f>$C1143*AB1142</f>
        <v/>
      </c>
      <c r="AC1143">
        <f>$C1143*AC1142</f>
        <v/>
      </c>
      <c r="AD1143">
        <f>$C1143*AD1142</f>
        <v/>
      </c>
      <c r="AE1143">
        <f>$C1143*AE1142</f>
        <v/>
      </c>
      <c r="AF1143">
        <f>$C1143*AF1142</f>
        <v/>
      </c>
      <c r="AG1143">
        <f>$C1143*AG1142</f>
        <v/>
      </c>
      <c r="AH1143">
        <f>$C1143*AH1142</f>
        <v/>
      </c>
      <c r="AI1143">
        <f>$C1143*AI1142</f>
        <v/>
      </c>
      <c r="AJ1143">
        <f>$C1143*AJ1142</f>
        <v/>
      </c>
      <c r="AK1143">
        <f>$C1143*AK1142</f>
        <v/>
      </c>
      <c r="AL1143">
        <f>$C1143*AL1142</f>
        <v/>
      </c>
      <c r="AM1143">
        <f>$C1143*AM1142</f>
        <v/>
      </c>
      <c r="AN1143">
        <f>$C1143*AN1142</f>
        <v/>
      </c>
      <c r="AO1143">
        <f>$C1143*AO1142</f>
        <v/>
      </c>
      <c r="AP1143">
        <f>$C1143*AP1142</f>
        <v/>
      </c>
      <c r="AQ1143">
        <f>$C1143*AQ1142</f>
        <v/>
      </c>
      <c r="AR1143">
        <f>$C1143*AR1142</f>
        <v/>
      </c>
      <c r="AS1143">
        <f>$C1143*AS1142</f>
        <v/>
      </c>
      <c r="AT1143">
        <f>$C1143*AT1142</f>
        <v/>
      </c>
      <c r="AU1143">
        <f>$C1143*AU1142</f>
        <v/>
      </c>
      <c r="AV1143">
        <f>$C1143*AV1142</f>
        <v/>
      </c>
      <c r="AW1143">
        <f>$C1143*AW1142</f>
        <v/>
      </c>
      <c r="AX1143">
        <f>$C1143*AX1142</f>
        <v/>
      </c>
      <c r="AY1143">
        <f>$C1143*AY1142</f>
        <v/>
      </c>
      <c r="AZ1143">
        <f>$C1143*AZ1142</f>
        <v/>
      </c>
      <c r="BA1143">
        <f>$C1143*BA1142</f>
        <v/>
      </c>
      <c r="BB1143">
        <f>$C1143*BB1142</f>
        <v/>
      </c>
      <c r="BC1143">
        <f>$C1143*BC1142</f>
        <v/>
      </c>
      <c r="BD1143">
        <f>$C1143*BD1142</f>
        <v/>
      </c>
      <c r="BE1143">
        <f>$C1143*BE1142</f>
        <v/>
      </c>
      <c r="BF1143">
        <f>$C1143*BF1142</f>
        <v/>
      </c>
      <c r="BG1143">
        <f>$C1143*BG1142</f>
        <v/>
      </c>
      <c r="BH1143">
        <f>$C1143*BH1142</f>
        <v/>
      </c>
      <c r="BI1143">
        <f>$C1143*BI1142</f>
        <v/>
      </c>
      <c r="BJ1143">
        <f>$C1143*BJ1142</f>
        <v/>
      </c>
      <c r="BK1143">
        <f>$C1143*BK1142</f>
        <v/>
      </c>
      <c r="BL1143">
        <f>$C1143*BL1142</f>
        <v/>
      </c>
      <c r="BM1143">
        <f>$C1143*BM1142</f>
        <v/>
      </c>
      <c r="BN1143">
        <f>$C1143*BN1142</f>
        <v/>
      </c>
      <c r="BO1143">
        <f>$C1143*BO1142</f>
        <v/>
      </c>
      <c r="BP1143">
        <f>$C1143*BP1142</f>
        <v/>
      </c>
      <c r="BQ1143">
        <f>$C1143*BQ1142</f>
        <v/>
      </c>
      <c r="BR1143">
        <f>$C1143*BR1142</f>
        <v/>
      </c>
      <c r="BS1143">
        <f>$C1143*BS1142</f>
        <v/>
      </c>
      <c r="BT1143">
        <f>$C1143*BT1142</f>
        <v/>
      </c>
      <c r="BU1143">
        <f>$C1143*BU1142</f>
        <v/>
      </c>
      <c r="BV1143">
        <f>$C1143*BV1142</f>
        <v/>
      </c>
      <c r="BW1143">
        <f>$C1143*BW1142</f>
        <v/>
      </c>
      <c r="BX1143">
        <f>$C1143*BX1142</f>
        <v/>
      </c>
      <c r="BY1143">
        <f>$C1143*BY1142</f>
        <v/>
      </c>
      <c r="BZ1143">
        <f>$C1143*BZ1142</f>
        <v/>
      </c>
      <c r="CA1143">
        <f>$C1143*CA1142</f>
        <v/>
      </c>
      <c r="CB1143">
        <f>$C1143*CB1142</f>
        <v/>
      </c>
      <c r="CC1143">
        <f>$C1143*CC1142</f>
        <v/>
      </c>
      <c r="CD1143">
        <f>$C1143*CD1142</f>
        <v/>
      </c>
      <c r="CE1143">
        <f>$C1143*CE1142</f>
        <v/>
      </c>
      <c r="CF1143">
        <f>$C1143*CF1142</f>
        <v/>
      </c>
      <c r="CG1143">
        <f>$C1143*CG1142</f>
        <v/>
      </c>
      <c r="CH1143">
        <f>$C1143*CH1142</f>
        <v/>
      </c>
      <c r="CI1143">
        <f>$C1143*CI1142</f>
        <v/>
      </c>
      <c r="CJ1143">
        <f>$C1143*CJ1142</f>
        <v/>
      </c>
      <c r="CK1143">
        <f>$C1143*CK1142</f>
        <v/>
      </c>
      <c r="CL1143">
        <f>$C1143*CL1142</f>
        <v/>
      </c>
      <c r="CM1143">
        <f>$C1143*CM1142</f>
        <v/>
      </c>
      <c r="CN1143">
        <f>$C1143*CN1142</f>
        <v/>
      </c>
      <c r="CO1143">
        <f>$C1143*CO1142</f>
        <v/>
      </c>
      <c r="CP1143">
        <f>$C1143*CP1142</f>
        <v/>
      </c>
      <c r="CQ1143">
        <f>$C1143*CQ1142</f>
        <v/>
      </c>
      <c r="CR1143">
        <f>$C1143*CR1142</f>
        <v/>
      </c>
      <c r="CS1143">
        <f>$C1143*CS1142</f>
        <v/>
      </c>
      <c r="CT1143">
        <f>$C1143*CT1142</f>
        <v/>
      </c>
      <c r="CU1143">
        <f>$C1143*CU1142</f>
        <v/>
      </c>
      <c r="CV1143">
        <f>$C1143*CV1142</f>
        <v/>
      </c>
      <c r="CW1143">
        <f>$C1143*CW1142</f>
        <v/>
      </c>
      <c r="CX1143">
        <f>$C1143*CX1142</f>
        <v/>
      </c>
      <c r="CY1143">
        <f>$C1143*CY1142</f>
        <v/>
      </c>
      <c r="CZ1143">
        <f>$C1143*CZ1142</f>
        <v/>
      </c>
      <c r="DA1143">
        <f>$C1143*DA1142</f>
        <v/>
      </c>
      <c r="DB1143">
        <f>$C1143*DB1142</f>
        <v/>
      </c>
      <c r="DC1143">
        <f>$C1143*DC1142</f>
        <v/>
      </c>
    </row>
    <row r="1144">
      <c r="B1144" t="inlineStr">
        <is>
          <t>TSP-224</t>
        </is>
      </c>
      <c r="C1144" t="inlineStr">
        <is>
          <t>No. of batches</t>
        </is>
      </c>
      <c r="D1144">
        <f>IFERROR(INDEX(PP_Grid[#Data],$DD1144,2),0)</f>
        <v/>
      </c>
      <c r="E1144">
        <f>IFERROR(INDEX(PP_Grid[#Data],$DD1144,3),0)</f>
        <v/>
      </c>
      <c r="F1144">
        <f>IFERROR(INDEX(PP_Grid[#Data],$DD1144,4),0)</f>
        <v/>
      </c>
      <c r="G1144">
        <f>IFERROR(INDEX(PP_Grid[#Data],$DD1144,5),0)</f>
        <v/>
      </c>
      <c r="H1144">
        <f>IFERROR(INDEX(PP_Grid[#Data],$DD1144,6),0)</f>
        <v/>
      </c>
      <c r="I1144">
        <f>IFERROR(INDEX(PP_Grid[#Data],$DD1144,7),0)</f>
        <v/>
      </c>
      <c r="J1144">
        <f>IFERROR(INDEX(PP_Grid[#Data],$DD1144,8),0)</f>
        <v/>
      </c>
      <c r="K1144">
        <f>IFERROR(INDEX(PP_Grid[#Data],$DD1144,9),0)</f>
        <v/>
      </c>
      <c r="L1144">
        <f>IFERROR(INDEX(PP_Grid[#Data],$DD1144,10),0)</f>
        <v/>
      </c>
      <c r="M1144">
        <f>IFERROR(INDEX(PP_Grid[#Data],$DD1144,11),0)</f>
        <v/>
      </c>
      <c r="N1144">
        <f>IFERROR(INDEX(PP_Grid[#Data],$DD1144,12),0)</f>
        <v/>
      </c>
      <c r="O1144">
        <f>IFERROR(INDEX(PP_Grid[#Data],$DD1144,13),0)</f>
        <v/>
      </c>
      <c r="P1144">
        <f>IFERROR(INDEX(PP_Grid[#Data],$DD1144,14),0)</f>
        <v/>
      </c>
      <c r="Q1144">
        <f>IFERROR(INDEX(PP_Grid[#Data],$DD1144,15),0)</f>
        <v/>
      </c>
      <c r="R1144">
        <f>IFERROR(INDEX(PP_Grid[#Data],$DD1144,16),0)</f>
        <v/>
      </c>
      <c r="S1144">
        <f>IFERROR(INDEX(PP_Grid[#Data],$DD1144,17),0)</f>
        <v/>
      </c>
      <c r="T1144">
        <f>IFERROR(INDEX(PP_Grid[#Data],$DD1144,18),0)</f>
        <v/>
      </c>
      <c r="U1144">
        <f>IFERROR(INDEX(PP_Grid[#Data],$DD1144,19),0)</f>
        <v/>
      </c>
      <c r="V1144">
        <f>IFERROR(INDEX(PP_Grid[#Data],$DD1144,20),0)</f>
        <v/>
      </c>
      <c r="W1144">
        <f>IFERROR(INDEX(PP_Grid[#Data],$DD1144,21),0)</f>
        <v/>
      </c>
      <c r="X1144">
        <f>IFERROR(INDEX(PP_Grid[#Data],$DD1144,22),0)</f>
        <v/>
      </c>
      <c r="Y1144">
        <f>IFERROR(INDEX(PP_Grid[#Data],$DD1144,23),0)</f>
        <v/>
      </c>
      <c r="Z1144">
        <f>IFERROR(INDEX(PP_Grid[#Data],$DD1144,24),0)</f>
        <v/>
      </c>
      <c r="AA1144">
        <f>IFERROR(INDEX(PP_Grid[#Data],$DD1144,25),0)</f>
        <v/>
      </c>
      <c r="AB1144">
        <f>IFERROR(INDEX(PP_Grid[#Data],$DD1144,26),0)</f>
        <v/>
      </c>
      <c r="AC1144">
        <f>IFERROR(INDEX(PP_Grid[#Data],$DD1144,27),0)</f>
        <v/>
      </c>
      <c r="AD1144">
        <f>IFERROR(INDEX(PP_Grid[#Data],$DD1144,28),0)</f>
        <v/>
      </c>
      <c r="AE1144">
        <f>IFERROR(INDEX(PP_Grid[#Data],$DD1144,29),0)</f>
        <v/>
      </c>
      <c r="AF1144">
        <f>IFERROR(INDEX(PP_Grid[#Data],$DD1144,30),0)</f>
        <v/>
      </c>
      <c r="AG1144">
        <f>IFERROR(INDEX(PP_Grid[#Data],$DD1144,31),0)</f>
        <v/>
      </c>
      <c r="AH1144">
        <f>IFERROR(INDEX(PP_Grid[#Data],$DD1144,32),0)</f>
        <v/>
      </c>
      <c r="AI1144">
        <f>IFERROR(INDEX(PP_Grid[#Data],$DD1144,33),0)</f>
        <v/>
      </c>
      <c r="AJ1144">
        <f>IFERROR(INDEX(PP_Grid[#Data],$DD1144,34),0)</f>
        <v/>
      </c>
      <c r="AK1144">
        <f>IFERROR(INDEX(PP_Grid[#Data],$DD1144,35),0)</f>
        <v/>
      </c>
      <c r="AL1144">
        <f>IFERROR(INDEX(PP_Grid[#Data],$DD1144,36),0)</f>
        <v/>
      </c>
      <c r="AM1144">
        <f>IFERROR(INDEX(PP_Grid[#Data],$DD1144,37),0)</f>
        <v/>
      </c>
      <c r="AN1144">
        <f>IFERROR(INDEX(PP_Grid[#Data],$DD1144,38),0)</f>
        <v/>
      </c>
      <c r="AO1144">
        <f>IFERROR(INDEX(PP_Grid[#Data],$DD1144,39),0)</f>
        <v/>
      </c>
      <c r="AP1144">
        <f>IFERROR(INDEX(PP_Grid[#Data],$DD1144,40),0)</f>
        <v/>
      </c>
      <c r="AQ1144">
        <f>IFERROR(INDEX(PP_Grid[#Data],$DD1144,41),0)</f>
        <v/>
      </c>
      <c r="AR1144">
        <f>IFERROR(INDEX(PP_Grid[#Data],$DD1144,42),0)</f>
        <v/>
      </c>
      <c r="AS1144">
        <f>IFERROR(INDEX(PP_Grid[#Data],$DD1144,43),0)</f>
        <v/>
      </c>
      <c r="AT1144">
        <f>IFERROR(INDEX(PP_Grid[#Data],$DD1144,44),0)</f>
        <v/>
      </c>
      <c r="AU1144">
        <f>IFERROR(INDEX(PP_Grid[#Data],$DD1144,45),0)</f>
        <v/>
      </c>
      <c r="AV1144">
        <f>IFERROR(INDEX(PP_Grid[#Data],$DD1144,46),0)</f>
        <v/>
      </c>
      <c r="AW1144">
        <f>IFERROR(INDEX(PP_Grid[#Data],$DD1144,47),0)</f>
        <v/>
      </c>
      <c r="AX1144">
        <f>IFERROR(INDEX(PP_Grid[#Data],$DD1144,48),0)</f>
        <v/>
      </c>
      <c r="AY1144">
        <f>IFERROR(INDEX(PP_Grid[#Data],$DD1144,49),0)</f>
        <v/>
      </c>
      <c r="AZ1144">
        <f>IFERROR(INDEX(PP_Grid[#Data],$DD1144,50),0)</f>
        <v/>
      </c>
      <c r="BA1144">
        <f>IFERROR(INDEX(PP_Grid[#Data],$DD1144,51),0)</f>
        <v/>
      </c>
      <c r="BB1144">
        <f>IFERROR(INDEX(PP_Grid[#Data],$DD1144,52),0)</f>
        <v/>
      </c>
      <c r="BC1144">
        <f>IFERROR(INDEX(PP_Grid[#Data],$DD1144,53),0)</f>
        <v/>
      </c>
      <c r="BD1144">
        <f>IFERROR(INDEX(PP_Grid[#Data],$DD1144,54),0)</f>
        <v/>
      </c>
      <c r="BE1144">
        <f>IFERROR(INDEX(PP_Grid[#Data],$DD1144,55),0)</f>
        <v/>
      </c>
      <c r="BF1144">
        <f>IFERROR(INDEX(PP_Grid[#Data],$DD1144,56),0)</f>
        <v/>
      </c>
      <c r="BG1144">
        <f>IFERROR(INDEX(PP_Grid[#Data],$DD1144,57),0)</f>
        <v/>
      </c>
      <c r="BH1144">
        <f>IFERROR(INDEX(PP_Grid[#Data],$DD1144,58),0)</f>
        <v/>
      </c>
      <c r="BI1144">
        <f>IFERROR(INDEX(PP_Grid[#Data],$DD1144,59),0)</f>
        <v/>
      </c>
      <c r="BJ1144">
        <f>IFERROR(INDEX(PP_Grid[#Data],$DD1144,60),0)</f>
        <v/>
      </c>
      <c r="BK1144">
        <f>IFERROR(INDEX(PP_Grid[#Data],$DD1144,61),0)</f>
        <v/>
      </c>
      <c r="BL1144">
        <f>IFERROR(INDEX(PP_Grid[#Data],$DD1144,62),0)</f>
        <v/>
      </c>
      <c r="BM1144">
        <f>IFERROR(INDEX(PP_Grid[#Data],$DD1144,63),0)</f>
        <v/>
      </c>
      <c r="BN1144">
        <f>IFERROR(INDEX(PP_Grid[#Data],$DD1144,64),0)</f>
        <v/>
      </c>
      <c r="BO1144">
        <f>IFERROR(INDEX(PP_Grid[#Data],$DD1144,65),0)</f>
        <v/>
      </c>
      <c r="BP1144">
        <f>IFERROR(INDEX(PP_Grid[#Data],$DD1144,66),0)</f>
        <v/>
      </c>
      <c r="BQ1144">
        <f>IFERROR(INDEX(PP_Grid[#Data],$DD1144,67),0)</f>
        <v/>
      </c>
      <c r="BR1144">
        <f>IFERROR(INDEX(PP_Grid[#Data],$DD1144,68),0)</f>
        <v/>
      </c>
      <c r="BS1144">
        <f>IFERROR(INDEX(PP_Grid[#Data],$DD1144,69),0)</f>
        <v/>
      </c>
      <c r="BT1144">
        <f>IFERROR(INDEX(PP_Grid[#Data],$DD1144,70),0)</f>
        <v/>
      </c>
      <c r="BU1144">
        <f>IFERROR(INDEX(PP_Grid[#Data],$DD1144,71),0)</f>
        <v/>
      </c>
      <c r="BV1144">
        <f>IFERROR(INDEX(PP_Grid[#Data],$DD1144,72),0)</f>
        <v/>
      </c>
      <c r="BW1144">
        <f>IFERROR(INDEX(PP_Grid[#Data],$DD1144,73),0)</f>
        <v/>
      </c>
      <c r="BX1144">
        <f>IFERROR(INDEX(PP_Grid[#Data],$DD1144,74),0)</f>
        <v/>
      </c>
      <c r="BY1144">
        <f>IFERROR(INDEX(PP_Grid[#Data],$DD1144,75),0)</f>
        <v/>
      </c>
      <c r="BZ1144">
        <f>IFERROR(INDEX(PP_Grid[#Data],$DD1144,76),0)</f>
        <v/>
      </c>
      <c r="CA1144">
        <f>IFERROR(INDEX(PP_Grid[#Data],$DD1144,77),0)</f>
        <v/>
      </c>
      <c r="CB1144">
        <f>IFERROR(INDEX(PP_Grid[#Data],$DD1144,78),0)</f>
        <v/>
      </c>
      <c r="CC1144">
        <f>IFERROR(INDEX(PP_Grid[#Data],$DD1144,79),0)</f>
        <v/>
      </c>
      <c r="CD1144">
        <f>IFERROR(INDEX(PP_Grid[#Data],$DD1144,80),0)</f>
        <v/>
      </c>
      <c r="CE1144">
        <f>IFERROR(INDEX(PP_Grid[#Data],$DD1144,81),0)</f>
        <v/>
      </c>
      <c r="CF1144">
        <f>IFERROR(INDEX(PP_Grid[#Data],$DD1144,82),0)</f>
        <v/>
      </c>
      <c r="CG1144">
        <f>IFERROR(INDEX(PP_Grid[#Data],$DD1144,83),0)</f>
        <v/>
      </c>
      <c r="CH1144">
        <f>IFERROR(INDEX(PP_Grid[#Data],$DD1144,84),0)</f>
        <v/>
      </c>
      <c r="CI1144">
        <f>IFERROR(INDEX(PP_Grid[#Data],$DD1144,85),0)</f>
        <v/>
      </c>
      <c r="CJ1144">
        <f>IFERROR(INDEX(PP_Grid[#Data],$DD1144,86),0)</f>
        <v/>
      </c>
      <c r="CK1144">
        <f>IFERROR(INDEX(PP_Grid[#Data],$DD1144,87),0)</f>
        <v/>
      </c>
      <c r="CL1144">
        <f>IFERROR(INDEX(PP_Grid[#Data],$DD1144,88),0)</f>
        <v/>
      </c>
      <c r="CM1144">
        <f>IFERROR(INDEX(PP_Grid[#Data],$DD1144,89),0)</f>
        <v/>
      </c>
      <c r="CN1144">
        <f>IFERROR(INDEX(PP_Grid[#Data],$DD1144,90),0)</f>
        <v/>
      </c>
      <c r="CO1144">
        <f>IFERROR(INDEX(PP_Grid[#Data],$DD1144,91),0)</f>
        <v/>
      </c>
      <c r="CP1144">
        <f>IFERROR(INDEX(PP_Grid[#Data],$DD1144,92),0)</f>
        <v/>
      </c>
      <c r="CQ1144">
        <f>IFERROR(INDEX(PP_Grid[#Data],$DD1144,93),0)</f>
        <v/>
      </c>
      <c r="CR1144">
        <f>IFERROR(INDEX(PP_Grid[#Data],$DD1144,94),0)</f>
        <v/>
      </c>
      <c r="CS1144">
        <f>IFERROR(INDEX(PP_Grid[#Data],$DD1144,95),0)</f>
        <v/>
      </c>
      <c r="CT1144">
        <f>IFERROR(INDEX(PP_Grid[#Data],$DD1144,96),0)</f>
        <v/>
      </c>
      <c r="CU1144">
        <f>IFERROR(INDEX(PP_Grid[#Data],$DD1144,97),0)</f>
        <v/>
      </c>
      <c r="CV1144">
        <f>IFERROR(INDEX(PP_Grid[#Data],$DD1144,98),0)</f>
        <v/>
      </c>
      <c r="CW1144">
        <f>IFERROR(INDEX(PP_Grid[#Data],$DD1144,99),0)</f>
        <v/>
      </c>
      <c r="CX1144">
        <f>IFERROR(INDEX(PP_Grid[#Data],$DD1144,100),0)</f>
        <v/>
      </c>
      <c r="CY1144">
        <f>IFERROR(INDEX(PP_Grid[#Data],$DD1144,101),0)</f>
        <v/>
      </c>
      <c r="CZ1144">
        <f>IFERROR(INDEX(PP_Grid[#Data],$DD1144,102),0)</f>
        <v/>
      </c>
      <c r="DA1144">
        <f>IFERROR(INDEX(PP_Grid[#Data],$DD1144,103),0)</f>
        <v/>
      </c>
      <c r="DB1144">
        <f>IFERROR(INDEX(PP_Grid[#Data],$DD1144,104),0)</f>
        <v/>
      </c>
      <c r="DC1144">
        <f>IFERROR(INDEX(PP_Grid[#Data],$DD1144,105),0)</f>
        <v/>
      </c>
      <c r="DD1144" s="12">
        <f>IFERROR(MATCH($B1144,PP_Grid[Intermediate],0),99999)</f>
        <v/>
      </c>
    </row>
    <row r="1145">
      <c r="B1145" t="inlineStr">
        <is>
          <t>使用量(kg)</t>
        </is>
      </c>
      <c r="C1145">
        <f>SUMIFS(M_BOM[RM_Qty_Per_Batch],M_BOM[Intermediate],$B1144,M_BOM[Part Name],$A1127)</f>
        <v/>
      </c>
      <c r="D1145">
        <f>$C1145*D1144</f>
        <v/>
      </c>
      <c r="E1145">
        <f>$C1145*E1144</f>
        <v/>
      </c>
      <c r="F1145">
        <f>$C1145*F1144</f>
        <v/>
      </c>
      <c r="G1145">
        <f>$C1145*G1144</f>
        <v/>
      </c>
      <c r="H1145">
        <f>$C1145*H1144</f>
        <v/>
      </c>
      <c r="I1145">
        <f>$C1145*I1144</f>
        <v/>
      </c>
      <c r="J1145">
        <f>$C1145*J1144</f>
        <v/>
      </c>
      <c r="K1145">
        <f>$C1145*K1144</f>
        <v/>
      </c>
      <c r="L1145">
        <f>$C1145*L1144</f>
        <v/>
      </c>
      <c r="M1145">
        <f>$C1145*M1144</f>
        <v/>
      </c>
      <c r="N1145">
        <f>$C1145*N1144</f>
        <v/>
      </c>
      <c r="O1145">
        <f>$C1145*O1144</f>
        <v/>
      </c>
      <c r="P1145">
        <f>$C1145*P1144</f>
        <v/>
      </c>
      <c r="Q1145">
        <f>$C1145*Q1144</f>
        <v/>
      </c>
      <c r="R1145">
        <f>$C1145*R1144</f>
        <v/>
      </c>
      <c r="S1145">
        <f>$C1145*S1144</f>
        <v/>
      </c>
      <c r="T1145">
        <f>$C1145*T1144</f>
        <v/>
      </c>
      <c r="U1145">
        <f>$C1145*U1144</f>
        <v/>
      </c>
      <c r="V1145">
        <f>$C1145*V1144</f>
        <v/>
      </c>
      <c r="W1145">
        <f>$C1145*W1144</f>
        <v/>
      </c>
      <c r="X1145">
        <f>$C1145*X1144</f>
        <v/>
      </c>
      <c r="Y1145">
        <f>$C1145*Y1144</f>
        <v/>
      </c>
      <c r="Z1145">
        <f>$C1145*Z1144</f>
        <v/>
      </c>
      <c r="AA1145">
        <f>$C1145*AA1144</f>
        <v/>
      </c>
      <c r="AB1145">
        <f>$C1145*AB1144</f>
        <v/>
      </c>
      <c r="AC1145">
        <f>$C1145*AC1144</f>
        <v/>
      </c>
      <c r="AD1145">
        <f>$C1145*AD1144</f>
        <v/>
      </c>
      <c r="AE1145">
        <f>$C1145*AE1144</f>
        <v/>
      </c>
      <c r="AF1145">
        <f>$C1145*AF1144</f>
        <v/>
      </c>
      <c r="AG1145">
        <f>$C1145*AG1144</f>
        <v/>
      </c>
      <c r="AH1145">
        <f>$C1145*AH1144</f>
        <v/>
      </c>
      <c r="AI1145">
        <f>$C1145*AI1144</f>
        <v/>
      </c>
      <c r="AJ1145">
        <f>$C1145*AJ1144</f>
        <v/>
      </c>
      <c r="AK1145">
        <f>$C1145*AK1144</f>
        <v/>
      </c>
      <c r="AL1145">
        <f>$C1145*AL1144</f>
        <v/>
      </c>
      <c r="AM1145">
        <f>$C1145*AM1144</f>
        <v/>
      </c>
      <c r="AN1145">
        <f>$C1145*AN1144</f>
        <v/>
      </c>
      <c r="AO1145">
        <f>$C1145*AO1144</f>
        <v/>
      </c>
      <c r="AP1145">
        <f>$C1145*AP1144</f>
        <v/>
      </c>
      <c r="AQ1145">
        <f>$C1145*AQ1144</f>
        <v/>
      </c>
      <c r="AR1145">
        <f>$C1145*AR1144</f>
        <v/>
      </c>
      <c r="AS1145">
        <f>$C1145*AS1144</f>
        <v/>
      </c>
      <c r="AT1145">
        <f>$C1145*AT1144</f>
        <v/>
      </c>
      <c r="AU1145">
        <f>$C1145*AU1144</f>
        <v/>
      </c>
      <c r="AV1145">
        <f>$C1145*AV1144</f>
        <v/>
      </c>
      <c r="AW1145">
        <f>$C1145*AW1144</f>
        <v/>
      </c>
      <c r="AX1145">
        <f>$C1145*AX1144</f>
        <v/>
      </c>
      <c r="AY1145">
        <f>$C1145*AY1144</f>
        <v/>
      </c>
      <c r="AZ1145">
        <f>$C1145*AZ1144</f>
        <v/>
      </c>
      <c r="BA1145">
        <f>$C1145*BA1144</f>
        <v/>
      </c>
      <c r="BB1145">
        <f>$C1145*BB1144</f>
        <v/>
      </c>
      <c r="BC1145">
        <f>$C1145*BC1144</f>
        <v/>
      </c>
      <c r="BD1145">
        <f>$C1145*BD1144</f>
        <v/>
      </c>
      <c r="BE1145">
        <f>$C1145*BE1144</f>
        <v/>
      </c>
      <c r="BF1145">
        <f>$C1145*BF1144</f>
        <v/>
      </c>
      <c r="BG1145">
        <f>$C1145*BG1144</f>
        <v/>
      </c>
      <c r="BH1145">
        <f>$C1145*BH1144</f>
        <v/>
      </c>
      <c r="BI1145">
        <f>$C1145*BI1144</f>
        <v/>
      </c>
      <c r="BJ1145">
        <f>$C1145*BJ1144</f>
        <v/>
      </c>
      <c r="BK1145">
        <f>$C1145*BK1144</f>
        <v/>
      </c>
      <c r="BL1145">
        <f>$C1145*BL1144</f>
        <v/>
      </c>
      <c r="BM1145">
        <f>$C1145*BM1144</f>
        <v/>
      </c>
      <c r="BN1145">
        <f>$C1145*BN1144</f>
        <v/>
      </c>
      <c r="BO1145">
        <f>$C1145*BO1144</f>
        <v/>
      </c>
      <c r="BP1145">
        <f>$C1145*BP1144</f>
        <v/>
      </c>
      <c r="BQ1145">
        <f>$C1145*BQ1144</f>
        <v/>
      </c>
      <c r="BR1145">
        <f>$C1145*BR1144</f>
        <v/>
      </c>
      <c r="BS1145">
        <f>$C1145*BS1144</f>
        <v/>
      </c>
      <c r="BT1145">
        <f>$C1145*BT1144</f>
        <v/>
      </c>
      <c r="BU1145">
        <f>$C1145*BU1144</f>
        <v/>
      </c>
      <c r="BV1145">
        <f>$C1145*BV1144</f>
        <v/>
      </c>
      <c r="BW1145">
        <f>$C1145*BW1144</f>
        <v/>
      </c>
      <c r="BX1145">
        <f>$C1145*BX1144</f>
        <v/>
      </c>
      <c r="BY1145">
        <f>$C1145*BY1144</f>
        <v/>
      </c>
      <c r="BZ1145">
        <f>$C1145*BZ1144</f>
        <v/>
      </c>
      <c r="CA1145">
        <f>$C1145*CA1144</f>
        <v/>
      </c>
      <c r="CB1145">
        <f>$C1145*CB1144</f>
        <v/>
      </c>
      <c r="CC1145">
        <f>$C1145*CC1144</f>
        <v/>
      </c>
      <c r="CD1145">
        <f>$C1145*CD1144</f>
        <v/>
      </c>
      <c r="CE1145">
        <f>$C1145*CE1144</f>
        <v/>
      </c>
      <c r="CF1145">
        <f>$C1145*CF1144</f>
        <v/>
      </c>
      <c r="CG1145">
        <f>$C1145*CG1144</f>
        <v/>
      </c>
      <c r="CH1145">
        <f>$C1145*CH1144</f>
        <v/>
      </c>
      <c r="CI1145">
        <f>$C1145*CI1144</f>
        <v/>
      </c>
      <c r="CJ1145">
        <f>$C1145*CJ1144</f>
        <v/>
      </c>
      <c r="CK1145">
        <f>$C1145*CK1144</f>
        <v/>
      </c>
      <c r="CL1145">
        <f>$C1145*CL1144</f>
        <v/>
      </c>
      <c r="CM1145">
        <f>$C1145*CM1144</f>
        <v/>
      </c>
      <c r="CN1145">
        <f>$C1145*CN1144</f>
        <v/>
      </c>
      <c r="CO1145">
        <f>$C1145*CO1144</f>
        <v/>
      </c>
      <c r="CP1145">
        <f>$C1145*CP1144</f>
        <v/>
      </c>
      <c r="CQ1145">
        <f>$C1145*CQ1144</f>
        <v/>
      </c>
      <c r="CR1145">
        <f>$C1145*CR1144</f>
        <v/>
      </c>
      <c r="CS1145">
        <f>$C1145*CS1144</f>
        <v/>
      </c>
      <c r="CT1145">
        <f>$C1145*CT1144</f>
        <v/>
      </c>
      <c r="CU1145">
        <f>$C1145*CU1144</f>
        <v/>
      </c>
      <c r="CV1145">
        <f>$C1145*CV1144</f>
        <v/>
      </c>
      <c r="CW1145">
        <f>$C1145*CW1144</f>
        <v/>
      </c>
      <c r="CX1145">
        <f>$C1145*CX1144</f>
        <v/>
      </c>
      <c r="CY1145">
        <f>$C1145*CY1144</f>
        <v/>
      </c>
      <c r="CZ1145">
        <f>$C1145*CZ1144</f>
        <v/>
      </c>
      <c r="DA1145">
        <f>$C1145*DA1144</f>
        <v/>
      </c>
      <c r="DB1145">
        <f>$C1145*DB1144</f>
        <v/>
      </c>
      <c r="DC1145">
        <f>$C1145*DC1144</f>
        <v/>
      </c>
    </row>
    <row r="1146">
      <c r="B1146" t="inlineStr">
        <is>
          <t>TSP-668</t>
        </is>
      </c>
      <c r="C1146" t="inlineStr">
        <is>
          <t>No. of batches</t>
        </is>
      </c>
      <c r="D1146">
        <f>IFERROR(INDEX(PP_Grid[#Data],$DD1146,2),0)</f>
        <v/>
      </c>
      <c r="E1146">
        <f>IFERROR(INDEX(PP_Grid[#Data],$DD1146,3),0)</f>
        <v/>
      </c>
      <c r="F1146">
        <f>IFERROR(INDEX(PP_Grid[#Data],$DD1146,4),0)</f>
        <v/>
      </c>
      <c r="G1146">
        <f>IFERROR(INDEX(PP_Grid[#Data],$DD1146,5),0)</f>
        <v/>
      </c>
      <c r="H1146">
        <f>IFERROR(INDEX(PP_Grid[#Data],$DD1146,6),0)</f>
        <v/>
      </c>
      <c r="I1146">
        <f>IFERROR(INDEX(PP_Grid[#Data],$DD1146,7),0)</f>
        <v/>
      </c>
      <c r="J1146">
        <f>IFERROR(INDEX(PP_Grid[#Data],$DD1146,8),0)</f>
        <v/>
      </c>
      <c r="K1146">
        <f>IFERROR(INDEX(PP_Grid[#Data],$DD1146,9),0)</f>
        <v/>
      </c>
      <c r="L1146">
        <f>IFERROR(INDEX(PP_Grid[#Data],$DD1146,10),0)</f>
        <v/>
      </c>
      <c r="M1146">
        <f>IFERROR(INDEX(PP_Grid[#Data],$DD1146,11),0)</f>
        <v/>
      </c>
      <c r="N1146">
        <f>IFERROR(INDEX(PP_Grid[#Data],$DD1146,12),0)</f>
        <v/>
      </c>
      <c r="O1146">
        <f>IFERROR(INDEX(PP_Grid[#Data],$DD1146,13),0)</f>
        <v/>
      </c>
      <c r="P1146">
        <f>IFERROR(INDEX(PP_Grid[#Data],$DD1146,14),0)</f>
        <v/>
      </c>
      <c r="Q1146">
        <f>IFERROR(INDEX(PP_Grid[#Data],$DD1146,15),0)</f>
        <v/>
      </c>
      <c r="R1146">
        <f>IFERROR(INDEX(PP_Grid[#Data],$DD1146,16),0)</f>
        <v/>
      </c>
      <c r="S1146">
        <f>IFERROR(INDEX(PP_Grid[#Data],$DD1146,17),0)</f>
        <v/>
      </c>
      <c r="T1146">
        <f>IFERROR(INDEX(PP_Grid[#Data],$DD1146,18),0)</f>
        <v/>
      </c>
      <c r="U1146">
        <f>IFERROR(INDEX(PP_Grid[#Data],$DD1146,19),0)</f>
        <v/>
      </c>
      <c r="V1146">
        <f>IFERROR(INDEX(PP_Grid[#Data],$DD1146,20),0)</f>
        <v/>
      </c>
      <c r="W1146">
        <f>IFERROR(INDEX(PP_Grid[#Data],$DD1146,21),0)</f>
        <v/>
      </c>
      <c r="X1146">
        <f>IFERROR(INDEX(PP_Grid[#Data],$DD1146,22),0)</f>
        <v/>
      </c>
      <c r="Y1146">
        <f>IFERROR(INDEX(PP_Grid[#Data],$DD1146,23),0)</f>
        <v/>
      </c>
      <c r="Z1146">
        <f>IFERROR(INDEX(PP_Grid[#Data],$DD1146,24),0)</f>
        <v/>
      </c>
      <c r="AA1146">
        <f>IFERROR(INDEX(PP_Grid[#Data],$DD1146,25),0)</f>
        <v/>
      </c>
      <c r="AB1146">
        <f>IFERROR(INDEX(PP_Grid[#Data],$DD1146,26),0)</f>
        <v/>
      </c>
      <c r="AC1146">
        <f>IFERROR(INDEX(PP_Grid[#Data],$DD1146,27),0)</f>
        <v/>
      </c>
      <c r="AD1146">
        <f>IFERROR(INDEX(PP_Grid[#Data],$DD1146,28),0)</f>
        <v/>
      </c>
      <c r="AE1146">
        <f>IFERROR(INDEX(PP_Grid[#Data],$DD1146,29),0)</f>
        <v/>
      </c>
      <c r="AF1146">
        <f>IFERROR(INDEX(PP_Grid[#Data],$DD1146,30),0)</f>
        <v/>
      </c>
      <c r="AG1146">
        <f>IFERROR(INDEX(PP_Grid[#Data],$DD1146,31),0)</f>
        <v/>
      </c>
      <c r="AH1146">
        <f>IFERROR(INDEX(PP_Grid[#Data],$DD1146,32),0)</f>
        <v/>
      </c>
      <c r="AI1146">
        <f>IFERROR(INDEX(PP_Grid[#Data],$DD1146,33),0)</f>
        <v/>
      </c>
      <c r="AJ1146">
        <f>IFERROR(INDEX(PP_Grid[#Data],$DD1146,34),0)</f>
        <v/>
      </c>
      <c r="AK1146">
        <f>IFERROR(INDEX(PP_Grid[#Data],$DD1146,35),0)</f>
        <v/>
      </c>
      <c r="AL1146">
        <f>IFERROR(INDEX(PP_Grid[#Data],$DD1146,36),0)</f>
        <v/>
      </c>
      <c r="AM1146">
        <f>IFERROR(INDEX(PP_Grid[#Data],$DD1146,37),0)</f>
        <v/>
      </c>
      <c r="AN1146">
        <f>IFERROR(INDEX(PP_Grid[#Data],$DD1146,38),0)</f>
        <v/>
      </c>
      <c r="AO1146">
        <f>IFERROR(INDEX(PP_Grid[#Data],$DD1146,39),0)</f>
        <v/>
      </c>
      <c r="AP1146">
        <f>IFERROR(INDEX(PP_Grid[#Data],$DD1146,40),0)</f>
        <v/>
      </c>
      <c r="AQ1146">
        <f>IFERROR(INDEX(PP_Grid[#Data],$DD1146,41),0)</f>
        <v/>
      </c>
      <c r="AR1146">
        <f>IFERROR(INDEX(PP_Grid[#Data],$DD1146,42),0)</f>
        <v/>
      </c>
      <c r="AS1146">
        <f>IFERROR(INDEX(PP_Grid[#Data],$DD1146,43),0)</f>
        <v/>
      </c>
      <c r="AT1146">
        <f>IFERROR(INDEX(PP_Grid[#Data],$DD1146,44),0)</f>
        <v/>
      </c>
      <c r="AU1146">
        <f>IFERROR(INDEX(PP_Grid[#Data],$DD1146,45),0)</f>
        <v/>
      </c>
      <c r="AV1146">
        <f>IFERROR(INDEX(PP_Grid[#Data],$DD1146,46),0)</f>
        <v/>
      </c>
      <c r="AW1146">
        <f>IFERROR(INDEX(PP_Grid[#Data],$DD1146,47),0)</f>
        <v/>
      </c>
      <c r="AX1146">
        <f>IFERROR(INDEX(PP_Grid[#Data],$DD1146,48),0)</f>
        <v/>
      </c>
      <c r="AY1146">
        <f>IFERROR(INDEX(PP_Grid[#Data],$DD1146,49),0)</f>
        <v/>
      </c>
      <c r="AZ1146">
        <f>IFERROR(INDEX(PP_Grid[#Data],$DD1146,50),0)</f>
        <v/>
      </c>
      <c r="BA1146">
        <f>IFERROR(INDEX(PP_Grid[#Data],$DD1146,51),0)</f>
        <v/>
      </c>
      <c r="BB1146">
        <f>IFERROR(INDEX(PP_Grid[#Data],$DD1146,52),0)</f>
        <v/>
      </c>
      <c r="BC1146">
        <f>IFERROR(INDEX(PP_Grid[#Data],$DD1146,53),0)</f>
        <v/>
      </c>
      <c r="BD1146">
        <f>IFERROR(INDEX(PP_Grid[#Data],$DD1146,54),0)</f>
        <v/>
      </c>
      <c r="BE1146">
        <f>IFERROR(INDEX(PP_Grid[#Data],$DD1146,55),0)</f>
        <v/>
      </c>
      <c r="BF1146">
        <f>IFERROR(INDEX(PP_Grid[#Data],$DD1146,56),0)</f>
        <v/>
      </c>
      <c r="BG1146">
        <f>IFERROR(INDEX(PP_Grid[#Data],$DD1146,57),0)</f>
        <v/>
      </c>
      <c r="BH1146">
        <f>IFERROR(INDEX(PP_Grid[#Data],$DD1146,58),0)</f>
        <v/>
      </c>
      <c r="BI1146">
        <f>IFERROR(INDEX(PP_Grid[#Data],$DD1146,59),0)</f>
        <v/>
      </c>
      <c r="BJ1146">
        <f>IFERROR(INDEX(PP_Grid[#Data],$DD1146,60),0)</f>
        <v/>
      </c>
      <c r="BK1146">
        <f>IFERROR(INDEX(PP_Grid[#Data],$DD1146,61),0)</f>
        <v/>
      </c>
      <c r="BL1146">
        <f>IFERROR(INDEX(PP_Grid[#Data],$DD1146,62),0)</f>
        <v/>
      </c>
      <c r="BM1146">
        <f>IFERROR(INDEX(PP_Grid[#Data],$DD1146,63),0)</f>
        <v/>
      </c>
      <c r="BN1146">
        <f>IFERROR(INDEX(PP_Grid[#Data],$DD1146,64),0)</f>
        <v/>
      </c>
      <c r="BO1146">
        <f>IFERROR(INDEX(PP_Grid[#Data],$DD1146,65),0)</f>
        <v/>
      </c>
      <c r="BP1146">
        <f>IFERROR(INDEX(PP_Grid[#Data],$DD1146,66),0)</f>
        <v/>
      </c>
      <c r="BQ1146">
        <f>IFERROR(INDEX(PP_Grid[#Data],$DD1146,67),0)</f>
        <v/>
      </c>
      <c r="BR1146">
        <f>IFERROR(INDEX(PP_Grid[#Data],$DD1146,68),0)</f>
        <v/>
      </c>
      <c r="BS1146">
        <f>IFERROR(INDEX(PP_Grid[#Data],$DD1146,69),0)</f>
        <v/>
      </c>
      <c r="BT1146">
        <f>IFERROR(INDEX(PP_Grid[#Data],$DD1146,70),0)</f>
        <v/>
      </c>
      <c r="BU1146">
        <f>IFERROR(INDEX(PP_Grid[#Data],$DD1146,71),0)</f>
        <v/>
      </c>
      <c r="BV1146">
        <f>IFERROR(INDEX(PP_Grid[#Data],$DD1146,72),0)</f>
        <v/>
      </c>
      <c r="BW1146">
        <f>IFERROR(INDEX(PP_Grid[#Data],$DD1146,73),0)</f>
        <v/>
      </c>
      <c r="BX1146">
        <f>IFERROR(INDEX(PP_Grid[#Data],$DD1146,74),0)</f>
        <v/>
      </c>
      <c r="BY1146">
        <f>IFERROR(INDEX(PP_Grid[#Data],$DD1146,75),0)</f>
        <v/>
      </c>
      <c r="BZ1146">
        <f>IFERROR(INDEX(PP_Grid[#Data],$DD1146,76),0)</f>
        <v/>
      </c>
      <c r="CA1146">
        <f>IFERROR(INDEX(PP_Grid[#Data],$DD1146,77),0)</f>
        <v/>
      </c>
      <c r="CB1146">
        <f>IFERROR(INDEX(PP_Grid[#Data],$DD1146,78),0)</f>
        <v/>
      </c>
      <c r="CC1146">
        <f>IFERROR(INDEX(PP_Grid[#Data],$DD1146,79),0)</f>
        <v/>
      </c>
      <c r="CD1146">
        <f>IFERROR(INDEX(PP_Grid[#Data],$DD1146,80),0)</f>
        <v/>
      </c>
      <c r="CE1146">
        <f>IFERROR(INDEX(PP_Grid[#Data],$DD1146,81),0)</f>
        <v/>
      </c>
      <c r="CF1146">
        <f>IFERROR(INDEX(PP_Grid[#Data],$DD1146,82),0)</f>
        <v/>
      </c>
      <c r="CG1146">
        <f>IFERROR(INDEX(PP_Grid[#Data],$DD1146,83),0)</f>
        <v/>
      </c>
      <c r="CH1146">
        <f>IFERROR(INDEX(PP_Grid[#Data],$DD1146,84),0)</f>
        <v/>
      </c>
      <c r="CI1146">
        <f>IFERROR(INDEX(PP_Grid[#Data],$DD1146,85),0)</f>
        <v/>
      </c>
      <c r="CJ1146">
        <f>IFERROR(INDEX(PP_Grid[#Data],$DD1146,86),0)</f>
        <v/>
      </c>
      <c r="CK1146">
        <f>IFERROR(INDEX(PP_Grid[#Data],$DD1146,87),0)</f>
        <v/>
      </c>
      <c r="CL1146">
        <f>IFERROR(INDEX(PP_Grid[#Data],$DD1146,88),0)</f>
        <v/>
      </c>
      <c r="CM1146">
        <f>IFERROR(INDEX(PP_Grid[#Data],$DD1146,89),0)</f>
        <v/>
      </c>
      <c r="CN1146">
        <f>IFERROR(INDEX(PP_Grid[#Data],$DD1146,90),0)</f>
        <v/>
      </c>
      <c r="CO1146">
        <f>IFERROR(INDEX(PP_Grid[#Data],$DD1146,91),0)</f>
        <v/>
      </c>
      <c r="CP1146">
        <f>IFERROR(INDEX(PP_Grid[#Data],$DD1146,92),0)</f>
        <v/>
      </c>
      <c r="CQ1146">
        <f>IFERROR(INDEX(PP_Grid[#Data],$DD1146,93),0)</f>
        <v/>
      </c>
      <c r="CR1146">
        <f>IFERROR(INDEX(PP_Grid[#Data],$DD1146,94),0)</f>
        <v/>
      </c>
      <c r="CS1146">
        <f>IFERROR(INDEX(PP_Grid[#Data],$DD1146,95),0)</f>
        <v/>
      </c>
      <c r="CT1146">
        <f>IFERROR(INDEX(PP_Grid[#Data],$DD1146,96),0)</f>
        <v/>
      </c>
      <c r="CU1146">
        <f>IFERROR(INDEX(PP_Grid[#Data],$DD1146,97),0)</f>
        <v/>
      </c>
      <c r="CV1146">
        <f>IFERROR(INDEX(PP_Grid[#Data],$DD1146,98),0)</f>
        <v/>
      </c>
      <c r="CW1146">
        <f>IFERROR(INDEX(PP_Grid[#Data],$DD1146,99),0)</f>
        <v/>
      </c>
      <c r="CX1146">
        <f>IFERROR(INDEX(PP_Grid[#Data],$DD1146,100),0)</f>
        <v/>
      </c>
      <c r="CY1146">
        <f>IFERROR(INDEX(PP_Grid[#Data],$DD1146,101),0)</f>
        <v/>
      </c>
      <c r="CZ1146">
        <f>IFERROR(INDEX(PP_Grid[#Data],$DD1146,102),0)</f>
        <v/>
      </c>
      <c r="DA1146">
        <f>IFERROR(INDEX(PP_Grid[#Data],$DD1146,103),0)</f>
        <v/>
      </c>
      <c r="DB1146">
        <f>IFERROR(INDEX(PP_Grid[#Data],$DD1146,104),0)</f>
        <v/>
      </c>
      <c r="DC1146">
        <f>IFERROR(INDEX(PP_Grid[#Data],$DD1146,105),0)</f>
        <v/>
      </c>
      <c r="DD1146" s="12">
        <f>IFERROR(MATCH($B1146,PP_Grid[Intermediate],0),99999)</f>
        <v/>
      </c>
    </row>
    <row r="1147">
      <c r="B1147" t="inlineStr">
        <is>
          <t>使用量(kg)</t>
        </is>
      </c>
      <c r="C1147">
        <f>SUMIFS(M_BOM[RM_Qty_Per_Batch],M_BOM[Intermediate],$B1146,M_BOM[Part Name],$A1127)</f>
        <v/>
      </c>
      <c r="D1147">
        <f>$C1147*D1146</f>
        <v/>
      </c>
      <c r="E1147">
        <f>$C1147*E1146</f>
        <v/>
      </c>
      <c r="F1147">
        <f>$C1147*F1146</f>
        <v/>
      </c>
      <c r="G1147">
        <f>$C1147*G1146</f>
        <v/>
      </c>
      <c r="H1147">
        <f>$C1147*H1146</f>
        <v/>
      </c>
      <c r="I1147">
        <f>$C1147*I1146</f>
        <v/>
      </c>
      <c r="J1147">
        <f>$C1147*J1146</f>
        <v/>
      </c>
      <c r="K1147">
        <f>$C1147*K1146</f>
        <v/>
      </c>
      <c r="L1147">
        <f>$C1147*L1146</f>
        <v/>
      </c>
      <c r="M1147">
        <f>$C1147*M1146</f>
        <v/>
      </c>
      <c r="N1147">
        <f>$C1147*N1146</f>
        <v/>
      </c>
      <c r="O1147">
        <f>$C1147*O1146</f>
        <v/>
      </c>
      <c r="P1147">
        <f>$C1147*P1146</f>
        <v/>
      </c>
      <c r="Q1147">
        <f>$C1147*Q1146</f>
        <v/>
      </c>
      <c r="R1147">
        <f>$C1147*R1146</f>
        <v/>
      </c>
      <c r="S1147">
        <f>$C1147*S1146</f>
        <v/>
      </c>
      <c r="T1147">
        <f>$C1147*T1146</f>
        <v/>
      </c>
      <c r="U1147">
        <f>$C1147*U1146</f>
        <v/>
      </c>
      <c r="V1147">
        <f>$C1147*V1146</f>
        <v/>
      </c>
      <c r="W1147">
        <f>$C1147*W1146</f>
        <v/>
      </c>
      <c r="X1147">
        <f>$C1147*X1146</f>
        <v/>
      </c>
      <c r="Y1147">
        <f>$C1147*Y1146</f>
        <v/>
      </c>
      <c r="Z1147">
        <f>$C1147*Z1146</f>
        <v/>
      </c>
      <c r="AA1147">
        <f>$C1147*AA1146</f>
        <v/>
      </c>
      <c r="AB1147">
        <f>$C1147*AB1146</f>
        <v/>
      </c>
      <c r="AC1147">
        <f>$C1147*AC1146</f>
        <v/>
      </c>
      <c r="AD1147">
        <f>$C1147*AD1146</f>
        <v/>
      </c>
      <c r="AE1147">
        <f>$C1147*AE1146</f>
        <v/>
      </c>
      <c r="AF1147">
        <f>$C1147*AF1146</f>
        <v/>
      </c>
      <c r="AG1147">
        <f>$C1147*AG1146</f>
        <v/>
      </c>
      <c r="AH1147">
        <f>$C1147*AH1146</f>
        <v/>
      </c>
      <c r="AI1147">
        <f>$C1147*AI1146</f>
        <v/>
      </c>
      <c r="AJ1147">
        <f>$C1147*AJ1146</f>
        <v/>
      </c>
      <c r="AK1147">
        <f>$C1147*AK1146</f>
        <v/>
      </c>
      <c r="AL1147">
        <f>$C1147*AL1146</f>
        <v/>
      </c>
      <c r="AM1147">
        <f>$C1147*AM1146</f>
        <v/>
      </c>
      <c r="AN1147">
        <f>$C1147*AN1146</f>
        <v/>
      </c>
      <c r="AO1147">
        <f>$C1147*AO1146</f>
        <v/>
      </c>
      <c r="AP1147">
        <f>$C1147*AP1146</f>
        <v/>
      </c>
      <c r="AQ1147">
        <f>$C1147*AQ1146</f>
        <v/>
      </c>
      <c r="AR1147">
        <f>$C1147*AR1146</f>
        <v/>
      </c>
      <c r="AS1147">
        <f>$C1147*AS1146</f>
        <v/>
      </c>
      <c r="AT1147">
        <f>$C1147*AT1146</f>
        <v/>
      </c>
      <c r="AU1147">
        <f>$C1147*AU1146</f>
        <v/>
      </c>
      <c r="AV1147">
        <f>$C1147*AV1146</f>
        <v/>
      </c>
      <c r="AW1147">
        <f>$C1147*AW1146</f>
        <v/>
      </c>
      <c r="AX1147">
        <f>$C1147*AX1146</f>
        <v/>
      </c>
      <c r="AY1147">
        <f>$C1147*AY1146</f>
        <v/>
      </c>
      <c r="AZ1147">
        <f>$C1147*AZ1146</f>
        <v/>
      </c>
      <c r="BA1147">
        <f>$C1147*BA1146</f>
        <v/>
      </c>
      <c r="BB1147">
        <f>$C1147*BB1146</f>
        <v/>
      </c>
      <c r="BC1147">
        <f>$C1147*BC1146</f>
        <v/>
      </c>
      <c r="BD1147">
        <f>$C1147*BD1146</f>
        <v/>
      </c>
      <c r="BE1147">
        <f>$C1147*BE1146</f>
        <v/>
      </c>
      <c r="BF1147">
        <f>$C1147*BF1146</f>
        <v/>
      </c>
      <c r="BG1147">
        <f>$C1147*BG1146</f>
        <v/>
      </c>
      <c r="BH1147">
        <f>$C1147*BH1146</f>
        <v/>
      </c>
      <c r="BI1147">
        <f>$C1147*BI1146</f>
        <v/>
      </c>
      <c r="BJ1147">
        <f>$C1147*BJ1146</f>
        <v/>
      </c>
      <c r="BK1147">
        <f>$C1147*BK1146</f>
        <v/>
      </c>
      <c r="BL1147">
        <f>$C1147*BL1146</f>
        <v/>
      </c>
      <c r="BM1147">
        <f>$C1147*BM1146</f>
        <v/>
      </c>
      <c r="BN1147">
        <f>$C1147*BN1146</f>
        <v/>
      </c>
      <c r="BO1147">
        <f>$C1147*BO1146</f>
        <v/>
      </c>
      <c r="BP1147">
        <f>$C1147*BP1146</f>
        <v/>
      </c>
      <c r="BQ1147">
        <f>$C1147*BQ1146</f>
        <v/>
      </c>
      <c r="BR1147">
        <f>$C1147*BR1146</f>
        <v/>
      </c>
      <c r="BS1147">
        <f>$C1147*BS1146</f>
        <v/>
      </c>
      <c r="BT1147">
        <f>$C1147*BT1146</f>
        <v/>
      </c>
      <c r="BU1147">
        <f>$C1147*BU1146</f>
        <v/>
      </c>
      <c r="BV1147">
        <f>$C1147*BV1146</f>
        <v/>
      </c>
      <c r="BW1147">
        <f>$C1147*BW1146</f>
        <v/>
      </c>
      <c r="BX1147">
        <f>$C1147*BX1146</f>
        <v/>
      </c>
      <c r="BY1147">
        <f>$C1147*BY1146</f>
        <v/>
      </c>
      <c r="BZ1147">
        <f>$C1147*BZ1146</f>
        <v/>
      </c>
      <c r="CA1147">
        <f>$C1147*CA1146</f>
        <v/>
      </c>
      <c r="CB1147">
        <f>$C1147*CB1146</f>
        <v/>
      </c>
      <c r="CC1147">
        <f>$C1147*CC1146</f>
        <v/>
      </c>
      <c r="CD1147">
        <f>$C1147*CD1146</f>
        <v/>
      </c>
      <c r="CE1147">
        <f>$C1147*CE1146</f>
        <v/>
      </c>
      <c r="CF1147">
        <f>$C1147*CF1146</f>
        <v/>
      </c>
      <c r="CG1147">
        <f>$C1147*CG1146</f>
        <v/>
      </c>
      <c r="CH1147">
        <f>$C1147*CH1146</f>
        <v/>
      </c>
      <c r="CI1147">
        <f>$C1147*CI1146</f>
        <v/>
      </c>
      <c r="CJ1147">
        <f>$C1147*CJ1146</f>
        <v/>
      </c>
      <c r="CK1147">
        <f>$C1147*CK1146</f>
        <v/>
      </c>
      <c r="CL1147">
        <f>$C1147*CL1146</f>
        <v/>
      </c>
      <c r="CM1147">
        <f>$C1147*CM1146</f>
        <v/>
      </c>
      <c r="CN1147">
        <f>$C1147*CN1146</f>
        <v/>
      </c>
      <c r="CO1147">
        <f>$C1147*CO1146</f>
        <v/>
      </c>
      <c r="CP1147">
        <f>$C1147*CP1146</f>
        <v/>
      </c>
      <c r="CQ1147">
        <f>$C1147*CQ1146</f>
        <v/>
      </c>
      <c r="CR1147">
        <f>$C1147*CR1146</f>
        <v/>
      </c>
      <c r="CS1147">
        <f>$C1147*CS1146</f>
        <v/>
      </c>
      <c r="CT1147">
        <f>$C1147*CT1146</f>
        <v/>
      </c>
      <c r="CU1147">
        <f>$C1147*CU1146</f>
        <v/>
      </c>
      <c r="CV1147">
        <f>$C1147*CV1146</f>
        <v/>
      </c>
      <c r="CW1147">
        <f>$C1147*CW1146</f>
        <v/>
      </c>
      <c r="CX1147">
        <f>$C1147*CX1146</f>
        <v/>
      </c>
      <c r="CY1147">
        <f>$C1147*CY1146</f>
        <v/>
      </c>
      <c r="CZ1147">
        <f>$C1147*CZ1146</f>
        <v/>
      </c>
      <c r="DA1147">
        <f>$C1147*DA1146</f>
        <v/>
      </c>
      <c r="DB1147">
        <f>$C1147*DB1146</f>
        <v/>
      </c>
      <c r="DC1147">
        <f>$C1147*DC1146</f>
        <v/>
      </c>
    </row>
    <row r="1148">
      <c r="B1148" t="inlineStr">
        <is>
          <t>TSP-669</t>
        </is>
      </c>
      <c r="C1148" t="inlineStr">
        <is>
          <t>No. of batches</t>
        </is>
      </c>
      <c r="D1148">
        <f>IFERROR(INDEX(PP_Grid[#Data],$DD1148,2),0)</f>
        <v/>
      </c>
      <c r="E1148">
        <f>IFERROR(INDEX(PP_Grid[#Data],$DD1148,3),0)</f>
        <v/>
      </c>
      <c r="F1148">
        <f>IFERROR(INDEX(PP_Grid[#Data],$DD1148,4),0)</f>
        <v/>
      </c>
      <c r="G1148">
        <f>IFERROR(INDEX(PP_Grid[#Data],$DD1148,5),0)</f>
        <v/>
      </c>
      <c r="H1148">
        <f>IFERROR(INDEX(PP_Grid[#Data],$DD1148,6),0)</f>
        <v/>
      </c>
      <c r="I1148">
        <f>IFERROR(INDEX(PP_Grid[#Data],$DD1148,7),0)</f>
        <v/>
      </c>
      <c r="J1148">
        <f>IFERROR(INDEX(PP_Grid[#Data],$DD1148,8),0)</f>
        <v/>
      </c>
      <c r="K1148">
        <f>IFERROR(INDEX(PP_Grid[#Data],$DD1148,9),0)</f>
        <v/>
      </c>
      <c r="L1148">
        <f>IFERROR(INDEX(PP_Grid[#Data],$DD1148,10),0)</f>
        <v/>
      </c>
      <c r="M1148">
        <f>IFERROR(INDEX(PP_Grid[#Data],$DD1148,11),0)</f>
        <v/>
      </c>
      <c r="N1148">
        <f>IFERROR(INDEX(PP_Grid[#Data],$DD1148,12),0)</f>
        <v/>
      </c>
      <c r="O1148">
        <f>IFERROR(INDEX(PP_Grid[#Data],$DD1148,13),0)</f>
        <v/>
      </c>
      <c r="P1148">
        <f>IFERROR(INDEX(PP_Grid[#Data],$DD1148,14),0)</f>
        <v/>
      </c>
      <c r="Q1148">
        <f>IFERROR(INDEX(PP_Grid[#Data],$DD1148,15),0)</f>
        <v/>
      </c>
      <c r="R1148">
        <f>IFERROR(INDEX(PP_Grid[#Data],$DD1148,16),0)</f>
        <v/>
      </c>
      <c r="S1148">
        <f>IFERROR(INDEX(PP_Grid[#Data],$DD1148,17),0)</f>
        <v/>
      </c>
      <c r="T1148">
        <f>IFERROR(INDEX(PP_Grid[#Data],$DD1148,18),0)</f>
        <v/>
      </c>
      <c r="U1148">
        <f>IFERROR(INDEX(PP_Grid[#Data],$DD1148,19),0)</f>
        <v/>
      </c>
      <c r="V1148">
        <f>IFERROR(INDEX(PP_Grid[#Data],$DD1148,20),0)</f>
        <v/>
      </c>
      <c r="W1148">
        <f>IFERROR(INDEX(PP_Grid[#Data],$DD1148,21),0)</f>
        <v/>
      </c>
      <c r="X1148">
        <f>IFERROR(INDEX(PP_Grid[#Data],$DD1148,22),0)</f>
        <v/>
      </c>
      <c r="Y1148">
        <f>IFERROR(INDEX(PP_Grid[#Data],$DD1148,23),0)</f>
        <v/>
      </c>
      <c r="Z1148">
        <f>IFERROR(INDEX(PP_Grid[#Data],$DD1148,24),0)</f>
        <v/>
      </c>
      <c r="AA1148">
        <f>IFERROR(INDEX(PP_Grid[#Data],$DD1148,25),0)</f>
        <v/>
      </c>
      <c r="AB1148">
        <f>IFERROR(INDEX(PP_Grid[#Data],$DD1148,26),0)</f>
        <v/>
      </c>
      <c r="AC1148">
        <f>IFERROR(INDEX(PP_Grid[#Data],$DD1148,27),0)</f>
        <v/>
      </c>
      <c r="AD1148">
        <f>IFERROR(INDEX(PP_Grid[#Data],$DD1148,28),0)</f>
        <v/>
      </c>
      <c r="AE1148">
        <f>IFERROR(INDEX(PP_Grid[#Data],$DD1148,29),0)</f>
        <v/>
      </c>
      <c r="AF1148">
        <f>IFERROR(INDEX(PP_Grid[#Data],$DD1148,30),0)</f>
        <v/>
      </c>
      <c r="AG1148">
        <f>IFERROR(INDEX(PP_Grid[#Data],$DD1148,31),0)</f>
        <v/>
      </c>
      <c r="AH1148">
        <f>IFERROR(INDEX(PP_Grid[#Data],$DD1148,32),0)</f>
        <v/>
      </c>
      <c r="AI1148">
        <f>IFERROR(INDEX(PP_Grid[#Data],$DD1148,33),0)</f>
        <v/>
      </c>
      <c r="AJ1148">
        <f>IFERROR(INDEX(PP_Grid[#Data],$DD1148,34),0)</f>
        <v/>
      </c>
      <c r="AK1148">
        <f>IFERROR(INDEX(PP_Grid[#Data],$DD1148,35),0)</f>
        <v/>
      </c>
      <c r="AL1148">
        <f>IFERROR(INDEX(PP_Grid[#Data],$DD1148,36),0)</f>
        <v/>
      </c>
      <c r="AM1148">
        <f>IFERROR(INDEX(PP_Grid[#Data],$DD1148,37),0)</f>
        <v/>
      </c>
      <c r="AN1148">
        <f>IFERROR(INDEX(PP_Grid[#Data],$DD1148,38),0)</f>
        <v/>
      </c>
      <c r="AO1148">
        <f>IFERROR(INDEX(PP_Grid[#Data],$DD1148,39),0)</f>
        <v/>
      </c>
      <c r="AP1148">
        <f>IFERROR(INDEX(PP_Grid[#Data],$DD1148,40),0)</f>
        <v/>
      </c>
      <c r="AQ1148">
        <f>IFERROR(INDEX(PP_Grid[#Data],$DD1148,41),0)</f>
        <v/>
      </c>
      <c r="AR1148">
        <f>IFERROR(INDEX(PP_Grid[#Data],$DD1148,42),0)</f>
        <v/>
      </c>
      <c r="AS1148">
        <f>IFERROR(INDEX(PP_Grid[#Data],$DD1148,43),0)</f>
        <v/>
      </c>
      <c r="AT1148">
        <f>IFERROR(INDEX(PP_Grid[#Data],$DD1148,44),0)</f>
        <v/>
      </c>
      <c r="AU1148">
        <f>IFERROR(INDEX(PP_Grid[#Data],$DD1148,45),0)</f>
        <v/>
      </c>
      <c r="AV1148">
        <f>IFERROR(INDEX(PP_Grid[#Data],$DD1148,46),0)</f>
        <v/>
      </c>
      <c r="AW1148">
        <f>IFERROR(INDEX(PP_Grid[#Data],$DD1148,47),0)</f>
        <v/>
      </c>
      <c r="AX1148">
        <f>IFERROR(INDEX(PP_Grid[#Data],$DD1148,48),0)</f>
        <v/>
      </c>
      <c r="AY1148">
        <f>IFERROR(INDEX(PP_Grid[#Data],$DD1148,49),0)</f>
        <v/>
      </c>
      <c r="AZ1148">
        <f>IFERROR(INDEX(PP_Grid[#Data],$DD1148,50),0)</f>
        <v/>
      </c>
      <c r="BA1148">
        <f>IFERROR(INDEX(PP_Grid[#Data],$DD1148,51),0)</f>
        <v/>
      </c>
      <c r="BB1148">
        <f>IFERROR(INDEX(PP_Grid[#Data],$DD1148,52),0)</f>
        <v/>
      </c>
      <c r="BC1148">
        <f>IFERROR(INDEX(PP_Grid[#Data],$DD1148,53),0)</f>
        <v/>
      </c>
      <c r="BD1148">
        <f>IFERROR(INDEX(PP_Grid[#Data],$DD1148,54),0)</f>
        <v/>
      </c>
      <c r="BE1148">
        <f>IFERROR(INDEX(PP_Grid[#Data],$DD1148,55),0)</f>
        <v/>
      </c>
      <c r="BF1148">
        <f>IFERROR(INDEX(PP_Grid[#Data],$DD1148,56),0)</f>
        <v/>
      </c>
      <c r="BG1148">
        <f>IFERROR(INDEX(PP_Grid[#Data],$DD1148,57),0)</f>
        <v/>
      </c>
      <c r="BH1148">
        <f>IFERROR(INDEX(PP_Grid[#Data],$DD1148,58),0)</f>
        <v/>
      </c>
      <c r="BI1148">
        <f>IFERROR(INDEX(PP_Grid[#Data],$DD1148,59),0)</f>
        <v/>
      </c>
      <c r="BJ1148">
        <f>IFERROR(INDEX(PP_Grid[#Data],$DD1148,60),0)</f>
        <v/>
      </c>
      <c r="BK1148">
        <f>IFERROR(INDEX(PP_Grid[#Data],$DD1148,61),0)</f>
        <v/>
      </c>
      <c r="BL1148">
        <f>IFERROR(INDEX(PP_Grid[#Data],$DD1148,62),0)</f>
        <v/>
      </c>
      <c r="BM1148">
        <f>IFERROR(INDEX(PP_Grid[#Data],$DD1148,63),0)</f>
        <v/>
      </c>
      <c r="BN1148">
        <f>IFERROR(INDEX(PP_Grid[#Data],$DD1148,64),0)</f>
        <v/>
      </c>
      <c r="BO1148">
        <f>IFERROR(INDEX(PP_Grid[#Data],$DD1148,65),0)</f>
        <v/>
      </c>
      <c r="BP1148">
        <f>IFERROR(INDEX(PP_Grid[#Data],$DD1148,66),0)</f>
        <v/>
      </c>
      <c r="BQ1148">
        <f>IFERROR(INDEX(PP_Grid[#Data],$DD1148,67),0)</f>
        <v/>
      </c>
      <c r="BR1148">
        <f>IFERROR(INDEX(PP_Grid[#Data],$DD1148,68),0)</f>
        <v/>
      </c>
      <c r="BS1148">
        <f>IFERROR(INDEX(PP_Grid[#Data],$DD1148,69),0)</f>
        <v/>
      </c>
      <c r="BT1148">
        <f>IFERROR(INDEX(PP_Grid[#Data],$DD1148,70),0)</f>
        <v/>
      </c>
      <c r="BU1148">
        <f>IFERROR(INDEX(PP_Grid[#Data],$DD1148,71),0)</f>
        <v/>
      </c>
      <c r="BV1148">
        <f>IFERROR(INDEX(PP_Grid[#Data],$DD1148,72),0)</f>
        <v/>
      </c>
      <c r="BW1148">
        <f>IFERROR(INDEX(PP_Grid[#Data],$DD1148,73),0)</f>
        <v/>
      </c>
      <c r="BX1148">
        <f>IFERROR(INDEX(PP_Grid[#Data],$DD1148,74),0)</f>
        <v/>
      </c>
      <c r="BY1148">
        <f>IFERROR(INDEX(PP_Grid[#Data],$DD1148,75),0)</f>
        <v/>
      </c>
      <c r="BZ1148">
        <f>IFERROR(INDEX(PP_Grid[#Data],$DD1148,76),0)</f>
        <v/>
      </c>
      <c r="CA1148">
        <f>IFERROR(INDEX(PP_Grid[#Data],$DD1148,77),0)</f>
        <v/>
      </c>
      <c r="CB1148">
        <f>IFERROR(INDEX(PP_Grid[#Data],$DD1148,78),0)</f>
        <v/>
      </c>
      <c r="CC1148">
        <f>IFERROR(INDEX(PP_Grid[#Data],$DD1148,79),0)</f>
        <v/>
      </c>
      <c r="CD1148">
        <f>IFERROR(INDEX(PP_Grid[#Data],$DD1148,80),0)</f>
        <v/>
      </c>
      <c r="CE1148">
        <f>IFERROR(INDEX(PP_Grid[#Data],$DD1148,81),0)</f>
        <v/>
      </c>
      <c r="CF1148">
        <f>IFERROR(INDEX(PP_Grid[#Data],$DD1148,82),0)</f>
        <v/>
      </c>
      <c r="CG1148">
        <f>IFERROR(INDEX(PP_Grid[#Data],$DD1148,83),0)</f>
        <v/>
      </c>
      <c r="CH1148">
        <f>IFERROR(INDEX(PP_Grid[#Data],$DD1148,84),0)</f>
        <v/>
      </c>
      <c r="CI1148">
        <f>IFERROR(INDEX(PP_Grid[#Data],$DD1148,85),0)</f>
        <v/>
      </c>
      <c r="CJ1148">
        <f>IFERROR(INDEX(PP_Grid[#Data],$DD1148,86),0)</f>
        <v/>
      </c>
      <c r="CK1148">
        <f>IFERROR(INDEX(PP_Grid[#Data],$DD1148,87),0)</f>
        <v/>
      </c>
      <c r="CL1148">
        <f>IFERROR(INDEX(PP_Grid[#Data],$DD1148,88),0)</f>
        <v/>
      </c>
      <c r="CM1148">
        <f>IFERROR(INDEX(PP_Grid[#Data],$DD1148,89),0)</f>
        <v/>
      </c>
      <c r="CN1148">
        <f>IFERROR(INDEX(PP_Grid[#Data],$DD1148,90),0)</f>
        <v/>
      </c>
      <c r="CO1148">
        <f>IFERROR(INDEX(PP_Grid[#Data],$DD1148,91),0)</f>
        <v/>
      </c>
      <c r="CP1148">
        <f>IFERROR(INDEX(PP_Grid[#Data],$DD1148,92),0)</f>
        <v/>
      </c>
      <c r="CQ1148">
        <f>IFERROR(INDEX(PP_Grid[#Data],$DD1148,93),0)</f>
        <v/>
      </c>
      <c r="CR1148">
        <f>IFERROR(INDEX(PP_Grid[#Data],$DD1148,94),0)</f>
        <v/>
      </c>
      <c r="CS1148">
        <f>IFERROR(INDEX(PP_Grid[#Data],$DD1148,95),0)</f>
        <v/>
      </c>
      <c r="CT1148">
        <f>IFERROR(INDEX(PP_Grid[#Data],$DD1148,96),0)</f>
        <v/>
      </c>
      <c r="CU1148">
        <f>IFERROR(INDEX(PP_Grid[#Data],$DD1148,97),0)</f>
        <v/>
      </c>
      <c r="CV1148">
        <f>IFERROR(INDEX(PP_Grid[#Data],$DD1148,98),0)</f>
        <v/>
      </c>
      <c r="CW1148">
        <f>IFERROR(INDEX(PP_Grid[#Data],$DD1148,99),0)</f>
        <v/>
      </c>
      <c r="CX1148">
        <f>IFERROR(INDEX(PP_Grid[#Data],$DD1148,100),0)</f>
        <v/>
      </c>
      <c r="CY1148">
        <f>IFERROR(INDEX(PP_Grid[#Data],$DD1148,101),0)</f>
        <v/>
      </c>
      <c r="CZ1148">
        <f>IFERROR(INDEX(PP_Grid[#Data],$DD1148,102),0)</f>
        <v/>
      </c>
      <c r="DA1148">
        <f>IFERROR(INDEX(PP_Grid[#Data],$DD1148,103),0)</f>
        <v/>
      </c>
      <c r="DB1148">
        <f>IFERROR(INDEX(PP_Grid[#Data],$DD1148,104),0)</f>
        <v/>
      </c>
      <c r="DC1148">
        <f>IFERROR(INDEX(PP_Grid[#Data],$DD1148,105),0)</f>
        <v/>
      </c>
      <c r="DD1148" s="12">
        <f>IFERROR(MATCH($B1148,PP_Grid[Intermediate],0),99999)</f>
        <v/>
      </c>
    </row>
    <row r="1149">
      <c r="B1149" t="inlineStr">
        <is>
          <t>使用量(kg)</t>
        </is>
      </c>
      <c r="C1149">
        <f>SUMIFS(M_BOM[RM_Qty_Per_Batch],M_BOM[Intermediate],$B1148,M_BOM[Part Name],$A1127)</f>
        <v/>
      </c>
      <c r="D1149">
        <f>$C1149*D1148</f>
        <v/>
      </c>
      <c r="E1149">
        <f>$C1149*E1148</f>
        <v/>
      </c>
      <c r="F1149">
        <f>$C1149*F1148</f>
        <v/>
      </c>
      <c r="G1149">
        <f>$C1149*G1148</f>
        <v/>
      </c>
      <c r="H1149">
        <f>$C1149*H1148</f>
        <v/>
      </c>
      <c r="I1149">
        <f>$C1149*I1148</f>
        <v/>
      </c>
      <c r="J1149">
        <f>$C1149*J1148</f>
        <v/>
      </c>
      <c r="K1149">
        <f>$C1149*K1148</f>
        <v/>
      </c>
      <c r="L1149">
        <f>$C1149*L1148</f>
        <v/>
      </c>
      <c r="M1149">
        <f>$C1149*M1148</f>
        <v/>
      </c>
      <c r="N1149">
        <f>$C1149*N1148</f>
        <v/>
      </c>
      <c r="O1149">
        <f>$C1149*O1148</f>
        <v/>
      </c>
      <c r="P1149">
        <f>$C1149*P1148</f>
        <v/>
      </c>
      <c r="Q1149">
        <f>$C1149*Q1148</f>
        <v/>
      </c>
      <c r="R1149">
        <f>$C1149*R1148</f>
        <v/>
      </c>
      <c r="S1149">
        <f>$C1149*S1148</f>
        <v/>
      </c>
      <c r="T1149">
        <f>$C1149*T1148</f>
        <v/>
      </c>
      <c r="U1149">
        <f>$C1149*U1148</f>
        <v/>
      </c>
      <c r="V1149">
        <f>$C1149*V1148</f>
        <v/>
      </c>
      <c r="W1149">
        <f>$C1149*W1148</f>
        <v/>
      </c>
      <c r="X1149">
        <f>$C1149*X1148</f>
        <v/>
      </c>
      <c r="Y1149">
        <f>$C1149*Y1148</f>
        <v/>
      </c>
      <c r="Z1149">
        <f>$C1149*Z1148</f>
        <v/>
      </c>
      <c r="AA1149">
        <f>$C1149*AA1148</f>
        <v/>
      </c>
      <c r="AB1149">
        <f>$C1149*AB1148</f>
        <v/>
      </c>
      <c r="AC1149">
        <f>$C1149*AC1148</f>
        <v/>
      </c>
      <c r="AD1149">
        <f>$C1149*AD1148</f>
        <v/>
      </c>
      <c r="AE1149">
        <f>$C1149*AE1148</f>
        <v/>
      </c>
      <c r="AF1149">
        <f>$C1149*AF1148</f>
        <v/>
      </c>
      <c r="AG1149">
        <f>$C1149*AG1148</f>
        <v/>
      </c>
      <c r="AH1149">
        <f>$C1149*AH1148</f>
        <v/>
      </c>
      <c r="AI1149">
        <f>$C1149*AI1148</f>
        <v/>
      </c>
      <c r="AJ1149">
        <f>$C1149*AJ1148</f>
        <v/>
      </c>
      <c r="AK1149">
        <f>$C1149*AK1148</f>
        <v/>
      </c>
      <c r="AL1149">
        <f>$C1149*AL1148</f>
        <v/>
      </c>
      <c r="AM1149">
        <f>$C1149*AM1148</f>
        <v/>
      </c>
      <c r="AN1149">
        <f>$C1149*AN1148</f>
        <v/>
      </c>
      <c r="AO1149">
        <f>$C1149*AO1148</f>
        <v/>
      </c>
      <c r="AP1149">
        <f>$C1149*AP1148</f>
        <v/>
      </c>
      <c r="AQ1149">
        <f>$C1149*AQ1148</f>
        <v/>
      </c>
      <c r="AR1149">
        <f>$C1149*AR1148</f>
        <v/>
      </c>
      <c r="AS1149">
        <f>$C1149*AS1148</f>
        <v/>
      </c>
      <c r="AT1149">
        <f>$C1149*AT1148</f>
        <v/>
      </c>
      <c r="AU1149">
        <f>$C1149*AU1148</f>
        <v/>
      </c>
      <c r="AV1149">
        <f>$C1149*AV1148</f>
        <v/>
      </c>
      <c r="AW1149">
        <f>$C1149*AW1148</f>
        <v/>
      </c>
      <c r="AX1149">
        <f>$C1149*AX1148</f>
        <v/>
      </c>
      <c r="AY1149">
        <f>$C1149*AY1148</f>
        <v/>
      </c>
      <c r="AZ1149">
        <f>$C1149*AZ1148</f>
        <v/>
      </c>
      <c r="BA1149">
        <f>$C1149*BA1148</f>
        <v/>
      </c>
      <c r="BB1149">
        <f>$C1149*BB1148</f>
        <v/>
      </c>
      <c r="BC1149">
        <f>$C1149*BC1148</f>
        <v/>
      </c>
      <c r="BD1149">
        <f>$C1149*BD1148</f>
        <v/>
      </c>
      <c r="BE1149">
        <f>$C1149*BE1148</f>
        <v/>
      </c>
      <c r="BF1149">
        <f>$C1149*BF1148</f>
        <v/>
      </c>
      <c r="BG1149">
        <f>$C1149*BG1148</f>
        <v/>
      </c>
      <c r="BH1149">
        <f>$C1149*BH1148</f>
        <v/>
      </c>
      <c r="BI1149">
        <f>$C1149*BI1148</f>
        <v/>
      </c>
      <c r="BJ1149">
        <f>$C1149*BJ1148</f>
        <v/>
      </c>
      <c r="BK1149">
        <f>$C1149*BK1148</f>
        <v/>
      </c>
      <c r="BL1149">
        <f>$C1149*BL1148</f>
        <v/>
      </c>
      <c r="BM1149">
        <f>$C1149*BM1148</f>
        <v/>
      </c>
      <c r="BN1149">
        <f>$C1149*BN1148</f>
        <v/>
      </c>
      <c r="BO1149">
        <f>$C1149*BO1148</f>
        <v/>
      </c>
      <c r="BP1149">
        <f>$C1149*BP1148</f>
        <v/>
      </c>
      <c r="BQ1149">
        <f>$C1149*BQ1148</f>
        <v/>
      </c>
      <c r="BR1149">
        <f>$C1149*BR1148</f>
        <v/>
      </c>
      <c r="BS1149">
        <f>$C1149*BS1148</f>
        <v/>
      </c>
      <c r="BT1149">
        <f>$C1149*BT1148</f>
        <v/>
      </c>
      <c r="BU1149">
        <f>$C1149*BU1148</f>
        <v/>
      </c>
      <c r="BV1149">
        <f>$C1149*BV1148</f>
        <v/>
      </c>
      <c r="BW1149">
        <f>$C1149*BW1148</f>
        <v/>
      </c>
      <c r="BX1149">
        <f>$C1149*BX1148</f>
        <v/>
      </c>
      <c r="BY1149">
        <f>$C1149*BY1148</f>
        <v/>
      </c>
      <c r="BZ1149">
        <f>$C1149*BZ1148</f>
        <v/>
      </c>
      <c r="CA1149">
        <f>$C1149*CA1148</f>
        <v/>
      </c>
      <c r="CB1149">
        <f>$C1149*CB1148</f>
        <v/>
      </c>
      <c r="CC1149">
        <f>$C1149*CC1148</f>
        <v/>
      </c>
      <c r="CD1149">
        <f>$C1149*CD1148</f>
        <v/>
      </c>
      <c r="CE1149">
        <f>$C1149*CE1148</f>
        <v/>
      </c>
      <c r="CF1149">
        <f>$C1149*CF1148</f>
        <v/>
      </c>
      <c r="CG1149">
        <f>$C1149*CG1148</f>
        <v/>
      </c>
      <c r="CH1149">
        <f>$C1149*CH1148</f>
        <v/>
      </c>
      <c r="CI1149">
        <f>$C1149*CI1148</f>
        <v/>
      </c>
      <c r="CJ1149">
        <f>$C1149*CJ1148</f>
        <v/>
      </c>
      <c r="CK1149">
        <f>$C1149*CK1148</f>
        <v/>
      </c>
      <c r="CL1149">
        <f>$C1149*CL1148</f>
        <v/>
      </c>
      <c r="CM1149">
        <f>$C1149*CM1148</f>
        <v/>
      </c>
      <c r="CN1149">
        <f>$C1149*CN1148</f>
        <v/>
      </c>
      <c r="CO1149">
        <f>$C1149*CO1148</f>
        <v/>
      </c>
      <c r="CP1149">
        <f>$C1149*CP1148</f>
        <v/>
      </c>
      <c r="CQ1149">
        <f>$C1149*CQ1148</f>
        <v/>
      </c>
      <c r="CR1149">
        <f>$C1149*CR1148</f>
        <v/>
      </c>
      <c r="CS1149">
        <f>$C1149*CS1148</f>
        <v/>
      </c>
      <c r="CT1149">
        <f>$C1149*CT1148</f>
        <v/>
      </c>
      <c r="CU1149">
        <f>$C1149*CU1148</f>
        <v/>
      </c>
      <c r="CV1149">
        <f>$C1149*CV1148</f>
        <v/>
      </c>
      <c r="CW1149">
        <f>$C1149*CW1148</f>
        <v/>
      </c>
      <c r="CX1149">
        <f>$C1149*CX1148</f>
        <v/>
      </c>
      <c r="CY1149">
        <f>$C1149*CY1148</f>
        <v/>
      </c>
      <c r="CZ1149">
        <f>$C1149*CZ1148</f>
        <v/>
      </c>
      <c r="DA1149">
        <f>$C1149*DA1148</f>
        <v/>
      </c>
      <c r="DB1149">
        <f>$C1149*DB1148</f>
        <v/>
      </c>
      <c r="DC1149">
        <f>$C1149*DC1148</f>
        <v/>
      </c>
    </row>
    <row r="1150">
      <c r="B1150" t="inlineStr">
        <is>
          <t>TSP-670</t>
        </is>
      </c>
      <c r="C1150" t="inlineStr">
        <is>
          <t>No. of batches</t>
        </is>
      </c>
      <c r="D1150">
        <f>IFERROR(INDEX(PP_Grid[#Data],$DD1150,2),0)</f>
        <v/>
      </c>
      <c r="E1150">
        <f>IFERROR(INDEX(PP_Grid[#Data],$DD1150,3),0)</f>
        <v/>
      </c>
      <c r="F1150">
        <f>IFERROR(INDEX(PP_Grid[#Data],$DD1150,4),0)</f>
        <v/>
      </c>
      <c r="G1150">
        <f>IFERROR(INDEX(PP_Grid[#Data],$DD1150,5),0)</f>
        <v/>
      </c>
      <c r="H1150">
        <f>IFERROR(INDEX(PP_Grid[#Data],$DD1150,6),0)</f>
        <v/>
      </c>
      <c r="I1150">
        <f>IFERROR(INDEX(PP_Grid[#Data],$DD1150,7),0)</f>
        <v/>
      </c>
      <c r="J1150">
        <f>IFERROR(INDEX(PP_Grid[#Data],$DD1150,8),0)</f>
        <v/>
      </c>
      <c r="K1150">
        <f>IFERROR(INDEX(PP_Grid[#Data],$DD1150,9),0)</f>
        <v/>
      </c>
      <c r="L1150">
        <f>IFERROR(INDEX(PP_Grid[#Data],$DD1150,10),0)</f>
        <v/>
      </c>
      <c r="M1150">
        <f>IFERROR(INDEX(PP_Grid[#Data],$DD1150,11),0)</f>
        <v/>
      </c>
      <c r="N1150">
        <f>IFERROR(INDEX(PP_Grid[#Data],$DD1150,12),0)</f>
        <v/>
      </c>
      <c r="O1150">
        <f>IFERROR(INDEX(PP_Grid[#Data],$DD1150,13),0)</f>
        <v/>
      </c>
      <c r="P1150">
        <f>IFERROR(INDEX(PP_Grid[#Data],$DD1150,14),0)</f>
        <v/>
      </c>
      <c r="Q1150">
        <f>IFERROR(INDEX(PP_Grid[#Data],$DD1150,15),0)</f>
        <v/>
      </c>
      <c r="R1150">
        <f>IFERROR(INDEX(PP_Grid[#Data],$DD1150,16),0)</f>
        <v/>
      </c>
      <c r="S1150">
        <f>IFERROR(INDEX(PP_Grid[#Data],$DD1150,17),0)</f>
        <v/>
      </c>
      <c r="T1150">
        <f>IFERROR(INDEX(PP_Grid[#Data],$DD1150,18),0)</f>
        <v/>
      </c>
      <c r="U1150">
        <f>IFERROR(INDEX(PP_Grid[#Data],$DD1150,19),0)</f>
        <v/>
      </c>
      <c r="V1150">
        <f>IFERROR(INDEX(PP_Grid[#Data],$DD1150,20),0)</f>
        <v/>
      </c>
      <c r="W1150">
        <f>IFERROR(INDEX(PP_Grid[#Data],$DD1150,21),0)</f>
        <v/>
      </c>
      <c r="X1150">
        <f>IFERROR(INDEX(PP_Grid[#Data],$DD1150,22),0)</f>
        <v/>
      </c>
      <c r="Y1150">
        <f>IFERROR(INDEX(PP_Grid[#Data],$DD1150,23),0)</f>
        <v/>
      </c>
      <c r="Z1150">
        <f>IFERROR(INDEX(PP_Grid[#Data],$DD1150,24),0)</f>
        <v/>
      </c>
      <c r="AA1150">
        <f>IFERROR(INDEX(PP_Grid[#Data],$DD1150,25),0)</f>
        <v/>
      </c>
      <c r="AB1150">
        <f>IFERROR(INDEX(PP_Grid[#Data],$DD1150,26),0)</f>
        <v/>
      </c>
      <c r="AC1150">
        <f>IFERROR(INDEX(PP_Grid[#Data],$DD1150,27),0)</f>
        <v/>
      </c>
      <c r="AD1150">
        <f>IFERROR(INDEX(PP_Grid[#Data],$DD1150,28),0)</f>
        <v/>
      </c>
      <c r="AE1150">
        <f>IFERROR(INDEX(PP_Grid[#Data],$DD1150,29),0)</f>
        <v/>
      </c>
      <c r="AF1150">
        <f>IFERROR(INDEX(PP_Grid[#Data],$DD1150,30),0)</f>
        <v/>
      </c>
      <c r="AG1150">
        <f>IFERROR(INDEX(PP_Grid[#Data],$DD1150,31),0)</f>
        <v/>
      </c>
      <c r="AH1150">
        <f>IFERROR(INDEX(PP_Grid[#Data],$DD1150,32),0)</f>
        <v/>
      </c>
      <c r="AI1150">
        <f>IFERROR(INDEX(PP_Grid[#Data],$DD1150,33),0)</f>
        <v/>
      </c>
      <c r="AJ1150">
        <f>IFERROR(INDEX(PP_Grid[#Data],$DD1150,34),0)</f>
        <v/>
      </c>
      <c r="AK1150">
        <f>IFERROR(INDEX(PP_Grid[#Data],$DD1150,35),0)</f>
        <v/>
      </c>
      <c r="AL1150">
        <f>IFERROR(INDEX(PP_Grid[#Data],$DD1150,36),0)</f>
        <v/>
      </c>
      <c r="AM1150">
        <f>IFERROR(INDEX(PP_Grid[#Data],$DD1150,37),0)</f>
        <v/>
      </c>
      <c r="AN1150">
        <f>IFERROR(INDEX(PP_Grid[#Data],$DD1150,38),0)</f>
        <v/>
      </c>
      <c r="AO1150">
        <f>IFERROR(INDEX(PP_Grid[#Data],$DD1150,39),0)</f>
        <v/>
      </c>
      <c r="AP1150">
        <f>IFERROR(INDEX(PP_Grid[#Data],$DD1150,40),0)</f>
        <v/>
      </c>
      <c r="AQ1150">
        <f>IFERROR(INDEX(PP_Grid[#Data],$DD1150,41),0)</f>
        <v/>
      </c>
      <c r="AR1150">
        <f>IFERROR(INDEX(PP_Grid[#Data],$DD1150,42),0)</f>
        <v/>
      </c>
      <c r="AS1150">
        <f>IFERROR(INDEX(PP_Grid[#Data],$DD1150,43),0)</f>
        <v/>
      </c>
      <c r="AT1150">
        <f>IFERROR(INDEX(PP_Grid[#Data],$DD1150,44),0)</f>
        <v/>
      </c>
      <c r="AU1150">
        <f>IFERROR(INDEX(PP_Grid[#Data],$DD1150,45),0)</f>
        <v/>
      </c>
      <c r="AV1150">
        <f>IFERROR(INDEX(PP_Grid[#Data],$DD1150,46),0)</f>
        <v/>
      </c>
      <c r="AW1150">
        <f>IFERROR(INDEX(PP_Grid[#Data],$DD1150,47),0)</f>
        <v/>
      </c>
      <c r="AX1150">
        <f>IFERROR(INDEX(PP_Grid[#Data],$DD1150,48),0)</f>
        <v/>
      </c>
      <c r="AY1150">
        <f>IFERROR(INDEX(PP_Grid[#Data],$DD1150,49),0)</f>
        <v/>
      </c>
      <c r="AZ1150">
        <f>IFERROR(INDEX(PP_Grid[#Data],$DD1150,50),0)</f>
        <v/>
      </c>
      <c r="BA1150">
        <f>IFERROR(INDEX(PP_Grid[#Data],$DD1150,51),0)</f>
        <v/>
      </c>
      <c r="BB1150">
        <f>IFERROR(INDEX(PP_Grid[#Data],$DD1150,52),0)</f>
        <v/>
      </c>
      <c r="BC1150">
        <f>IFERROR(INDEX(PP_Grid[#Data],$DD1150,53),0)</f>
        <v/>
      </c>
      <c r="BD1150">
        <f>IFERROR(INDEX(PP_Grid[#Data],$DD1150,54),0)</f>
        <v/>
      </c>
      <c r="BE1150">
        <f>IFERROR(INDEX(PP_Grid[#Data],$DD1150,55),0)</f>
        <v/>
      </c>
      <c r="BF1150">
        <f>IFERROR(INDEX(PP_Grid[#Data],$DD1150,56),0)</f>
        <v/>
      </c>
      <c r="BG1150">
        <f>IFERROR(INDEX(PP_Grid[#Data],$DD1150,57),0)</f>
        <v/>
      </c>
      <c r="BH1150">
        <f>IFERROR(INDEX(PP_Grid[#Data],$DD1150,58),0)</f>
        <v/>
      </c>
      <c r="BI1150">
        <f>IFERROR(INDEX(PP_Grid[#Data],$DD1150,59),0)</f>
        <v/>
      </c>
      <c r="BJ1150">
        <f>IFERROR(INDEX(PP_Grid[#Data],$DD1150,60),0)</f>
        <v/>
      </c>
      <c r="BK1150">
        <f>IFERROR(INDEX(PP_Grid[#Data],$DD1150,61),0)</f>
        <v/>
      </c>
      <c r="BL1150">
        <f>IFERROR(INDEX(PP_Grid[#Data],$DD1150,62),0)</f>
        <v/>
      </c>
      <c r="BM1150">
        <f>IFERROR(INDEX(PP_Grid[#Data],$DD1150,63),0)</f>
        <v/>
      </c>
      <c r="BN1150">
        <f>IFERROR(INDEX(PP_Grid[#Data],$DD1150,64),0)</f>
        <v/>
      </c>
      <c r="BO1150">
        <f>IFERROR(INDEX(PP_Grid[#Data],$DD1150,65),0)</f>
        <v/>
      </c>
      <c r="BP1150">
        <f>IFERROR(INDEX(PP_Grid[#Data],$DD1150,66),0)</f>
        <v/>
      </c>
      <c r="BQ1150">
        <f>IFERROR(INDEX(PP_Grid[#Data],$DD1150,67),0)</f>
        <v/>
      </c>
      <c r="BR1150">
        <f>IFERROR(INDEX(PP_Grid[#Data],$DD1150,68),0)</f>
        <v/>
      </c>
      <c r="BS1150">
        <f>IFERROR(INDEX(PP_Grid[#Data],$DD1150,69),0)</f>
        <v/>
      </c>
      <c r="BT1150">
        <f>IFERROR(INDEX(PP_Grid[#Data],$DD1150,70),0)</f>
        <v/>
      </c>
      <c r="BU1150">
        <f>IFERROR(INDEX(PP_Grid[#Data],$DD1150,71),0)</f>
        <v/>
      </c>
      <c r="BV1150">
        <f>IFERROR(INDEX(PP_Grid[#Data],$DD1150,72),0)</f>
        <v/>
      </c>
      <c r="BW1150">
        <f>IFERROR(INDEX(PP_Grid[#Data],$DD1150,73),0)</f>
        <v/>
      </c>
      <c r="BX1150">
        <f>IFERROR(INDEX(PP_Grid[#Data],$DD1150,74),0)</f>
        <v/>
      </c>
      <c r="BY1150">
        <f>IFERROR(INDEX(PP_Grid[#Data],$DD1150,75),0)</f>
        <v/>
      </c>
      <c r="BZ1150">
        <f>IFERROR(INDEX(PP_Grid[#Data],$DD1150,76),0)</f>
        <v/>
      </c>
      <c r="CA1150">
        <f>IFERROR(INDEX(PP_Grid[#Data],$DD1150,77),0)</f>
        <v/>
      </c>
      <c r="CB1150">
        <f>IFERROR(INDEX(PP_Grid[#Data],$DD1150,78),0)</f>
        <v/>
      </c>
      <c r="CC1150">
        <f>IFERROR(INDEX(PP_Grid[#Data],$DD1150,79),0)</f>
        <v/>
      </c>
      <c r="CD1150">
        <f>IFERROR(INDEX(PP_Grid[#Data],$DD1150,80),0)</f>
        <v/>
      </c>
      <c r="CE1150">
        <f>IFERROR(INDEX(PP_Grid[#Data],$DD1150,81),0)</f>
        <v/>
      </c>
      <c r="CF1150">
        <f>IFERROR(INDEX(PP_Grid[#Data],$DD1150,82),0)</f>
        <v/>
      </c>
      <c r="CG1150">
        <f>IFERROR(INDEX(PP_Grid[#Data],$DD1150,83),0)</f>
        <v/>
      </c>
      <c r="CH1150">
        <f>IFERROR(INDEX(PP_Grid[#Data],$DD1150,84),0)</f>
        <v/>
      </c>
      <c r="CI1150">
        <f>IFERROR(INDEX(PP_Grid[#Data],$DD1150,85),0)</f>
        <v/>
      </c>
      <c r="CJ1150">
        <f>IFERROR(INDEX(PP_Grid[#Data],$DD1150,86),0)</f>
        <v/>
      </c>
      <c r="CK1150">
        <f>IFERROR(INDEX(PP_Grid[#Data],$DD1150,87),0)</f>
        <v/>
      </c>
      <c r="CL1150">
        <f>IFERROR(INDEX(PP_Grid[#Data],$DD1150,88),0)</f>
        <v/>
      </c>
      <c r="CM1150">
        <f>IFERROR(INDEX(PP_Grid[#Data],$DD1150,89),0)</f>
        <v/>
      </c>
      <c r="CN1150">
        <f>IFERROR(INDEX(PP_Grid[#Data],$DD1150,90),0)</f>
        <v/>
      </c>
      <c r="CO1150">
        <f>IFERROR(INDEX(PP_Grid[#Data],$DD1150,91),0)</f>
        <v/>
      </c>
      <c r="CP1150">
        <f>IFERROR(INDEX(PP_Grid[#Data],$DD1150,92),0)</f>
        <v/>
      </c>
      <c r="CQ1150">
        <f>IFERROR(INDEX(PP_Grid[#Data],$DD1150,93),0)</f>
        <v/>
      </c>
      <c r="CR1150">
        <f>IFERROR(INDEX(PP_Grid[#Data],$DD1150,94),0)</f>
        <v/>
      </c>
      <c r="CS1150">
        <f>IFERROR(INDEX(PP_Grid[#Data],$DD1150,95),0)</f>
        <v/>
      </c>
      <c r="CT1150">
        <f>IFERROR(INDEX(PP_Grid[#Data],$DD1150,96),0)</f>
        <v/>
      </c>
      <c r="CU1150">
        <f>IFERROR(INDEX(PP_Grid[#Data],$DD1150,97),0)</f>
        <v/>
      </c>
      <c r="CV1150">
        <f>IFERROR(INDEX(PP_Grid[#Data],$DD1150,98),0)</f>
        <v/>
      </c>
      <c r="CW1150">
        <f>IFERROR(INDEX(PP_Grid[#Data],$DD1150,99),0)</f>
        <v/>
      </c>
      <c r="CX1150">
        <f>IFERROR(INDEX(PP_Grid[#Data],$DD1150,100),0)</f>
        <v/>
      </c>
      <c r="CY1150">
        <f>IFERROR(INDEX(PP_Grid[#Data],$DD1150,101),0)</f>
        <v/>
      </c>
      <c r="CZ1150">
        <f>IFERROR(INDEX(PP_Grid[#Data],$DD1150,102),0)</f>
        <v/>
      </c>
      <c r="DA1150">
        <f>IFERROR(INDEX(PP_Grid[#Data],$DD1150,103),0)</f>
        <v/>
      </c>
      <c r="DB1150">
        <f>IFERROR(INDEX(PP_Grid[#Data],$DD1150,104),0)</f>
        <v/>
      </c>
      <c r="DC1150">
        <f>IFERROR(INDEX(PP_Grid[#Data],$DD1150,105),0)</f>
        <v/>
      </c>
      <c r="DD1150" s="12">
        <f>IFERROR(MATCH($B1150,PP_Grid[Intermediate],0),99999)</f>
        <v/>
      </c>
    </row>
    <row r="1151">
      <c r="B1151" t="inlineStr">
        <is>
          <t>使用量(kg)</t>
        </is>
      </c>
      <c r="C1151">
        <f>SUMIFS(M_BOM[RM_Qty_Per_Batch],M_BOM[Intermediate],$B1150,M_BOM[Part Name],$A1127)</f>
        <v/>
      </c>
      <c r="D1151">
        <f>$C1151*D1150</f>
        <v/>
      </c>
      <c r="E1151">
        <f>$C1151*E1150</f>
        <v/>
      </c>
      <c r="F1151">
        <f>$C1151*F1150</f>
        <v/>
      </c>
      <c r="G1151">
        <f>$C1151*G1150</f>
        <v/>
      </c>
      <c r="H1151">
        <f>$C1151*H1150</f>
        <v/>
      </c>
      <c r="I1151">
        <f>$C1151*I1150</f>
        <v/>
      </c>
      <c r="J1151">
        <f>$C1151*J1150</f>
        <v/>
      </c>
      <c r="K1151">
        <f>$C1151*K1150</f>
        <v/>
      </c>
      <c r="L1151">
        <f>$C1151*L1150</f>
        <v/>
      </c>
      <c r="M1151">
        <f>$C1151*M1150</f>
        <v/>
      </c>
      <c r="N1151">
        <f>$C1151*N1150</f>
        <v/>
      </c>
      <c r="O1151">
        <f>$C1151*O1150</f>
        <v/>
      </c>
      <c r="P1151">
        <f>$C1151*P1150</f>
        <v/>
      </c>
      <c r="Q1151">
        <f>$C1151*Q1150</f>
        <v/>
      </c>
      <c r="R1151">
        <f>$C1151*R1150</f>
        <v/>
      </c>
      <c r="S1151">
        <f>$C1151*S1150</f>
        <v/>
      </c>
      <c r="T1151">
        <f>$C1151*T1150</f>
        <v/>
      </c>
      <c r="U1151">
        <f>$C1151*U1150</f>
        <v/>
      </c>
      <c r="V1151">
        <f>$C1151*V1150</f>
        <v/>
      </c>
      <c r="W1151">
        <f>$C1151*W1150</f>
        <v/>
      </c>
      <c r="X1151">
        <f>$C1151*X1150</f>
        <v/>
      </c>
      <c r="Y1151">
        <f>$C1151*Y1150</f>
        <v/>
      </c>
      <c r="Z1151">
        <f>$C1151*Z1150</f>
        <v/>
      </c>
      <c r="AA1151">
        <f>$C1151*AA1150</f>
        <v/>
      </c>
      <c r="AB1151">
        <f>$C1151*AB1150</f>
        <v/>
      </c>
      <c r="AC1151">
        <f>$C1151*AC1150</f>
        <v/>
      </c>
      <c r="AD1151">
        <f>$C1151*AD1150</f>
        <v/>
      </c>
      <c r="AE1151">
        <f>$C1151*AE1150</f>
        <v/>
      </c>
      <c r="AF1151">
        <f>$C1151*AF1150</f>
        <v/>
      </c>
      <c r="AG1151">
        <f>$C1151*AG1150</f>
        <v/>
      </c>
      <c r="AH1151">
        <f>$C1151*AH1150</f>
        <v/>
      </c>
      <c r="AI1151">
        <f>$C1151*AI1150</f>
        <v/>
      </c>
      <c r="AJ1151">
        <f>$C1151*AJ1150</f>
        <v/>
      </c>
      <c r="AK1151">
        <f>$C1151*AK1150</f>
        <v/>
      </c>
      <c r="AL1151">
        <f>$C1151*AL1150</f>
        <v/>
      </c>
      <c r="AM1151">
        <f>$C1151*AM1150</f>
        <v/>
      </c>
      <c r="AN1151">
        <f>$C1151*AN1150</f>
        <v/>
      </c>
      <c r="AO1151">
        <f>$C1151*AO1150</f>
        <v/>
      </c>
      <c r="AP1151">
        <f>$C1151*AP1150</f>
        <v/>
      </c>
      <c r="AQ1151">
        <f>$C1151*AQ1150</f>
        <v/>
      </c>
      <c r="AR1151">
        <f>$C1151*AR1150</f>
        <v/>
      </c>
      <c r="AS1151">
        <f>$C1151*AS1150</f>
        <v/>
      </c>
      <c r="AT1151">
        <f>$C1151*AT1150</f>
        <v/>
      </c>
      <c r="AU1151">
        <f>$C1151*AU1150</f>
        <v/>
      </c>
      <c r="AV1151">
        <f>$C1151*AV1150</f>
        <v/>
      </c>
      <c r="AW1151">
        <f>$C1151*AW1150</f>
        <v/>
      </c>
      <c r="AX1151">
        <f>$C1151*AX1150</f>
        <v/>
      </c>
      <c r="AY1151">
        <f>$C1151*AY1150</f>
        <v/>
      </c>
      <c r="AZ1151">
        <f>$C1151*AZ1150</f>
        <v/>
      </c>
      <c r="BA1151">
        <f>$C1151*BA1150</f>
        <v/>
      </c>
      <c r="BB1151">
        <f>$C1151*BB1150</f>
        <v/>
      </c>
      <c r="BC1151">
        <f>$C1151*BC1150</f>
        <v/>
      </c>
      <c r="BD1151">
        <f>$C1151*BD1150</f>
        <v/>
      </c>
      <c r="BE1151">
        <f>$C1151*BE1150</f>
        <v/>
      </c>
      <c r="BF1151">
        <f>$C1151*BF1150</f>
        <v/>
      </c>
      <c r="BG1151">
        <f>$C1151*BG1150</f>
        <v/>
      </c>
      <c r="BH1151">
        <f>$C1151*BH1150</f>
        <v/>
      </c>
      <c r="BI1151">
        <f>$C1151*BI1150</f>
        <v/>
      </c>
      <c r="BJ1151">
        <f>$C1151*BJ1150</f>
        <v/>
      </c>
      <c r="BK1151">
        <f>$C1151*BK1150</f>
        <v/>
      </c>
      <c r="BL1151">
        <f>$C1151*BL1150</f>
        <v/>
      </c>
      <c r="BM1151">
        <f>$C1151*BM1150</f>
        <v/>
      </c>
      <c r="BN1151">
        <f>$C1151*BN1150</f>
        <v/>
      </c>
      <c r="BO1151">
        <f>$C1151*BO1150</f>
        <v/>
      </c>
      <c r="BP1151">
        <f>$C1151*BP1150</f>
        <v/>
      </c>
      <c r="BQ1151">
        <f>$C1151*BQ1150</f>
        <v/>
      </c>
      <c r="BR1151">
        <f>$C1151*BR1150</f>
        <v/>
      </c>
      <c r="BS1151">
        <f>$C1151*BS1150</f>
        <v/>
      </c>
      <c r="BT1151">
        <f>$C1151*BT1150</f>
        <v/>
      </c>
      <c r="BU1151">
        <f>$C1151*BU1150</f>
        <v/>
      </c>
      <c r="BV1151">
        <f>$C1151*BV1150</f>
        <v/>
      </c>
      <c r="BW1151">
        <f>$C1151*BW1150</f>
        <v/>
      </c>
      <c r="BX1151">
        <f>$C1151*BX1150</f>
        <v/>
      </c>
      <c r="BY1151">
        <f>$C1151*BY1150</f>
        <v/>
      </c>
      <c r="BZ1151">
        <f>$C1151*BZ1150</f>
        <v/>
      </c>
      <c r="CA1151">
        <f>$C1151*CA1150</f>
        <v/>
      </c>
      <c r="CB1151">
        <f>$C1151*CB1150</f>
        <v/>
      </c>
      <c r="CC1151">
        <f>$C1151*CC1150</f>
        <v/>
      </c>
      <c r="CD1151">
        <f>$C1151*CD1150</f>
        <v/>
      </c>
      <c r="CE1151">
        <f>$C1151*CE1150</f>
        <v/>
      </c>
      <c r="CF1151">
        <f>$C1151*CF1150</f>
        <v/>
      </c>
      <c r="CG1151">
        <f>$C1151*CG1150</f>
        <v/>
      </c>
      <c r="CH1151">
        <f>$C1151*CH1150</f>
        <v/>
      </c>
      <c r="CI1151">
        <f>$C1151*CI1150</f>
        <v/>
      </c>
      <c r="CJ1151">
        <f>$C1151*CJ1150</f>
        <v/>
      </c>
      <c r="CK1151">
        <f>$C1151*CK1150</f>
        <v/>
      </c>
      <c r="CL1151">
        <f>$C1151*CL1150</f>
        <v/>
      </c>
      <c r="CM1151">
        <f>$C1151*CM1150</f>
        <v/>
      </c>
      <c r="CN1151">
        <f>$C1151*CN1150</f>
        <v/>
      </c>
      <c r="CO1151">
        <f>$C1151*CO1150</f>
        <v/>
      </c>
      <c r="CP1151">
        <f>$C1151*CP1150</f>
        <v/>
      </c>
      <c r="CQ1151">
        <f>$C1151*CQ1150</f>
        <v/>
      </c>
      <c r="CR1151">
        <f>$C1151*CR1150</f>
        <v/>
      </c>
      <c r="CS1151">
        <f>$C1151*CS1150</f>
        <v/>
      </c>
      <c r="CT1151">
        <f>$C1151*CT1150</f>
        <v/>
      </c>
      <c r="CU1151">
        <f>$C1151*CU1150</f>
        <v/>
      </c>
      <c r="CV1151">
        <f>$C1151*CV1150</f>
        <v/>
      </c>
      <c r="CW1151">
        <f>$C1151*CW1150</f>
        <v/>
      </c>
      <c r="CX1151">
        <f>$C1151*CX1150</f>
        <v/>
      </c>
      <c r="CY1151">
        <f>$C1151*CY1150</f>
        <v/>
      </c>
      <c r="CZ1151">
        <f>$C1151*CZ1150</f>
        <v/>
      </c>
      <c r="DA1151">
        <f>$C1151*DA1150</f>
        <v/>
      </c>
      <c r="DB1151">
        <f>$C1151*DB1150</f>
        <v/>
      </c>
      <c r="DC1151">
        <f>$C1151*DC1150</f>
        <v/>
      </c>
    </row>
    <row r="1152">
      <c r="B1152" t="inlineStr">
        <is>
          <t>TSP-828</t>
        </is>
      </c>
      <c r="C1152" t="inlineStr">
        <is>
          <t>No. of batches</t>
        </is>
      </c>
      <c r="D1152">
        <f>IFERROR(INDEX(PP_Grid[#Data],$DD1152,2),0)</f>
        <v/>
      </c>
      <c r="E1152">
        <f>IFERROR(INDEX(PP_Grid[#Data],$DD1152,3),0)</f>
        <v/>
      </c>
      <c r="F1152">
        <f>IFERROR(INDEX(PP_Grid[#Data],$DD1152,4),0)</f>
        <v/>
      </c>
      <c r="G1152">
        <f>IFERROR(INDEX(PP_Grid[#Data],$DD1152,5),0)</f>
        <v/>
      </c>
      <c r="H1152">
        <f>IFERROR(INDEX(PP_Grid[#Data],$DD1152,6),0)</f>
        <v/>
      </c>
      <c r="I1152">
        <f>IFERROR(INDEX(PP_Grid[#Data],$DD1152,7),0)</f>
        <v/>
      </c>
      <c r="J1152">
        <f>IFERROR(INDEX(PP_Grid[#Data],$DD1152,8),0)</f>
        <v/>
      </c>
      <c r="K1152">
        <f>IFERROR(INDEX(PP_Grid[#Data],$DD1152,9),0)</f>
        <v/>
      </c>
      <c r="L1152">
        <f>IFERROR(INDEX(PP_Grid[#Data],$DD1152,10),0)</f>
        <v/>
      </c>
      <c r="M1152">
        <f>IFERROR(INDEX(PP_Grid[#Data],$DD1152,11),0)</f>
        <v/>
      </c>
      <c r="N1152">
        <f>IFERROR(INDEX(PP_Grid[#Data],$DD1152,12),0)</f>
        <v/>
      </c>
      <c r="O1152">
        <f>IFERROR(INDEX(PP_Grid[#Data],$DD1152,13),0)</f>
        <v/>
      </c>
      <c r="P1152">
        <f>IFERROR(INDEX(PP_Grid[#Data],$DD1152,14),0)</f>
        <v/>
      </c>
      <c r="Q1152">
        <f>IFERROR(INDEX(PP_Grid[#Data],$DD1152,15),0)</f>
        <v/>
      </c>
      <c r="R1152">
        <f>IFERROR(INDEX(PP_Grid[#Data],$DD1152,16),0)</f>
        <v/>
      </c>
      <c r="S1152">
        <f>IFERROR(INDEX(PP_Grid[#Data],$DD1152,17),0)</f>
        <v/>
      </c>
      <c r="T1152">
        <f>IFERROR(INDEX(PP_Grid[#Data],$DD1152,18),0)</f>
        <v/>
      </c>
      <c r="U1152">
        <f>IFERROR(INDEX(PP_Grid[#Data],$DD1152,19),0)</f>
        <v/>
      </c>
      <c r="V1152">
        <f>IFERROR(INDEX(PP_Grid[#Data],$DD1152,20),0)</f>
        <v/>
      </c>
      <c r="W1152">
        <f>IFERROR(INDEX(PP_Grid[#Data],$DD1152,21),0)</f>
        <v/>
      </c>
      <c r="X1152">
        <f>IFERROR(INDEX(PP_Grid[#Data],$DD1152,22),0)</f>
        <v/>
      </c>
      <c r="Y1152">
        <f>IFERROR(INDEX(PP_Grid[#Data],$DD1152,23),0)</f>
        <v/>
      </c>
      <c r="Z1152">
        <f>IFERROR(INDEX(PP_Grid[#Data],$DD1152,24),0)</f>
        <v/>
      </c>
      <c r="AA1152">
        <f>IFERROR(INDEX(PP_Grid[#Data],$DD1152,25),0)</f>
        <v/>
      </c>
      <c r="AB1152">
        <f>IFERROR(INDEX(PP_Grid[#Data],$DD1152,26),0)</f>
        <v/>
      </c>
      <c r="AC1152">
        <f>IFERROR(INDEX(PP_Grid[#Data],$DD1152,27),0)</f>
        <v/>
      </c>
      <c r="AD1152">
        <f>IFERROR(INDEX(PP_Grid[#Data],$DD1152,28),0)</f>
        <v/>
      </c>
      <c r="AE1152">
        <f>IFERROR(INDEX(PP_Grid[#Data],$DD1152,29),0)</f>
        <v/>
      </c>
      <c r="AF1152">
        <f>IFERROR(INDEX(PP_Grid[#Data],$DD1152,30),0)</f>
        <v/>
      </c>
      <c r="AG1152">
        <f>IFERROR(INDEX(PP_Grid[#Data],$DD1152,31),0)</f>
        <v/>
      </c>
      <c r="AH1152">
        <f>IFERROR(INDEX(PP_Grid[#Data],$DD1152,32),0)</f>
        <v/>
      </c>
      <c r="AI1152">
        <f>IFERROR(INDEX(PP_Grid[#Data],$DD1152,33),0)</f>
        <v/>
      </c>
      <c r="AJ1152">
        <f>IFERROR(INDEX(PP_Grid[#Data],$DD1152,34),0)</f>
        <v/>
      </c>
      <c r="AK1152">
        <f>IFERROR(INDEX(PP_Grid[#Data],$DD1152,35),0)</f>
        <v/>
      </c>
      <c r="AL1152">
        <f>IFERROR(INDEX(PP_Grid[#Data],$DD1152,36),0)</f>
        <v/>
      </c>
      <c r="AM1152">
        <f>IFERROR(INDEX(PP_Grid[#Data],$DD1152,37),0)</f>
        <v/>
      </c>
      <c r="AN1152">
        <f>IFERROR(INDEX(PP_Grid[#Data],$DD1152,38),0)</f>
        <v/>
      </c>
      <c r="AO1152">
        <f>IFERROR(INDEX(PP_Grid[#Data],$DD1152,39),0)</f>
        <v/>
      </c>
      <c r="AP1152">
        <f>IFERROR(INDEX(PP_Grid[#Data],$DD1152,40),0)</f>
        <v/>
      </c>
      <c r="AQ1152">
        <f>IFERROR(INDEX(PP_Grid[#Data],$DD1152,41),0)</f>
        <v/>
      </c>
      <c r="AR1152">
        <f>IFERROR(INDEX(PP_Grid[#Data],$DD1152,42),0)</f>
        <v/>
      </c>
      <c r="AS1152">
        <f>IFERROR(INDEX(PP_Grid[#Data],$DD1152,43),0)</f>
        <v/>
      </c>
      <c r="AT1152">
        <f>IFERROR(INDEX(PP_Grid[#Data],$DD1152,44),0)</f>
        <v/>
      </c>
      <c r="AU1152">
        <f>IFERROR(INDEX(PP_Grid[#Data],$DD1152,45),0)</f>
        <v/>
      </c>
      <c r="AV1152">
        <f>IFERROR(INDEX(PP_Grid[#Data],$DD1152,46),0)</f>
        <v/>
      </c>
      <c r="AW1152">
        <f>IFERROR(INDEX(PP_Grid[#Data],$DD1152,47),0)</f>
        <v/>
      </c>
      <c r="AX1152">
        <f>IFERROR(INDEX(PP_Grid[#Data],$DD1152,48),0)</f>
        <v/>
      </c>
      <c r="AY1152">
        <f>IFERROR(INDEX(PP_Grid[#Data],$DD1152,49),0)</f>
        <v/>
      </c>
      <c r="AZ1152">
        <f>IFERROR(INDEX(PP_Grid[#Data],$DD1152,50),0)</f>
        <v/>
      </c>
      <c r="BA1152">
        <f>IFERROR(INDEX(PP_Grid[#Data],$DD1152,51),0)</f>
        <v/>
      </c>
      <c r="BB1152">
        <f>IFERROR(INDEX(PP_Grid[#Data],$DD1152,52),0)</f>
        <v/>
      </c>
      <c r="BC1152">
        <f>IFERROR(INDEX(PP_Grid[#Data],$DD1152,53),0)</f>
        <v/>
      </c>
      <c r="BD1152">
        <f>IFERROR(INDEX(PP_Grid[#Data],$DD1152,54),0)</f>
        <v/>
      </c>
      <c r="BE1152">
        <f>IFERROR(INDEX(PP_Grid[#Data],$DD1152,55),0)</f>
        <v/>
      </c>
      <c r="BF1152">
        <f>IFERROR(INDEX(PP_Grid[#Data],$DD1152,56),0)</f>
        <v/>
      </c>
      <c r="BG1152">
        <f>IFERROR(INDEX(PP_Grid[#Data],$DD1152,57),0)</f>
        <v/>
      </c>
      <c r="BH1152">
        <f>IFERROR(INDEX(PP_Grid[#Data],$DD1152,58),0)</f>
        <v/>
      </c>
      <c r="BI1152">
        <f>IFERROR(INDEX(PP_Grid[#Data],$DD1152,59),0)</f>
        <v/>
      </c>
      <c r="BJ1152">
        <f>IFERROR(INDEX(PP_Grid[#Data],$DD1152,60),0)</f>
        <v/>
      </c>
      <c r="BK1152">
        <f>IFERROR(INDEX(PP_Grid[#Data],$DD1152,61),0)</f>
        <v/>
      </c>
      <c r="BL1152">
        <f>IFERROR(INDEX(PP_Grid[#Data],$DD1152,62),0)</f>
        <v/>
      </c>
      <c r="BM1152">
        <f>IFERROR(INDEX(PP_Grid[#Data],$DD1152,63),0)</f>
        <v/>
      </c>
      <c r="BN1152">
        <f>IFERROR(INDEX(PP_Grid[#Data],$DD1152,64),0)</f>
        <v/>
      </c>
      <c r="BO1152">
        <f>IFERROR(INDEX(PP_Grid[#Data],$DD1152,65),0)</f>
        <v/>
      </c>
      <c r="BP1152">
        <f>IFERROR(INDEX(PP_Grid[#Data],$DD1152,66),0)</f>
        <v/>
      </c>
      <c r="BQ1152">
        <f>IFERROR(INDEX(PP_Grid[#Data],$DD1152,67),0)</f>
        <v/>
      </c>
      <c r="BR1152">
        <f>IFERROR(INDEX(PP_Grid[#Data],$DD1152,68),0)</f>
        <v/>
      </c>
      <c r="BS1152">
        <f>IFERROR(INDEX(PP_Grid[#Data],$DD1152,69),0)</f>
        <v/>
      </c>
      <c r="BT1152">
        <f>IFERROR(INDEX(PP_Grid[#Data],$DD1152,70),0)</f>
        <v/>
      </c>
      <c r="BU1152">
        <f>IFERROR(INDEX(PP_Grid[#Data],$DD1152,71),0)</f>
        <v/>
      </c>
      <c r="BV1152">
        <f>IFERROR(INDEX(PP_Grid[#Data],$DD1152,72),0)</f>
        <v/>
      </c>
      <c r="BW1152">
        <f>IFERROR(INDEX(PP_Grid[#Data],$DD1152,73),0)</f>
        <v/>
      </c>
      <c r="BX1152">
        <f>IFERROR(INDEX(PP_Grid[#Data],$DD1152,74),0)</f>
        <v/>
      </c>
      <c r="BY1152">
        <f>IFERROR(INDEX(PP_Grid[#Data],$DD1152,75),0)</f>
        <v/>
      </c>
      <c r="BZ1152">
        <f>IFERROR(INDEX(PP_Grid[#Data],$DD1152,76),0)</f>
        <v/>
      </c>
      <c r="CA1152">
        <f>IFERROR(INDEX(PP_Grid[#Data],$DD1152,77),0)</f>
        <v/>
      </c>
      <c r="CB1152">
        <f>IFERROR(INDEX(PP_Grid[#Data],$DD1152,78),0)</f>
        <v/>
      </c>
      <c r="CC1152">
        <f>IFERROR(INDEX(PP_Grid[#Data],$DD1152,79),0)</f>
        <v/>
      </c>
      <c r="CD1152">
        <f>IFERROR(INDEX(PP_Grid[#Data],$DD1152,80),0)</f>
        <v/>
      </c>
      <c r="CE1152">
        <f>IFERROR(INDEX(PP_Grid[#Data],$DD1152,81),0)</f>
        <v/>
      </c>
      <c r="CF1152">
        <f>IFERROR(INDEX(PP_Grid[#Data],$DD1152,82),0)</f>
        <v/>
      </c>
      <c r="CG1152">
        <f>IFERROR(INDEX(PP_Grid[#Data],$DD1152,83),0)</f>
        <v/>
      </c>
      <c r="CH1152">
        <f>IFERROR(INDEX(PP_Grid[#Data],$DD1152,84),0)</f>
        <v/>
      </c>
      <c r="CI1152">
        <f>IFERROR(INDEX(PP_Grid[#Data],$DD1152,85),0)</f>
        <v/>
      </c>
      <c r="CJ1152">
        <f>IFERROR(INDEX(PP_Grid[#Data],$DD1152,86),0)</f>
        <v/>
      </c>
      <c r="CK1152">
        <f>IFERROR(INDEX(PP_Grid[#Data],$DD1152,87),0)</f>
        <v/>
      </c>
      <c r="CL1152">
        <f>IFERROR(INDEX(PP_Grid[#Data],$DD1152,88),0)</f>
        <v/>
      </c>
      <c r="CM1152">
        <f>IFERROR(INDEX(PP_Grid[#Data],$DD1152,89),0)</f>
        <v/>
      </c>
      <c r="CN1152">
        <f>IFERROR(INDEX(PP_Grid[#Data],$DD1152,90),0)</f>
        <v/>
      </c>
      <c r="CO1152">
        <f>IFERROR(INDEX(PP_Grid[#Data],$DD1152,91),0)</f>
        <v/>
      </c>
      <c r="CP1152">
        <f>IFERROR(INDEX(PP_Grid[#Data],$DD1152,92),0)</f>
        <v/>
      </c>
      <c r="CQ1152">
        <f>IFERROR(INDEX(PP_Grid[#Data],$DD1152,93),0)</f>
        <v/>
      </c>
      <c r="CR1152">
        <f>IFERROR(INDEX(PP_Grid[#Data],$DD1152,94),0)</f>
        <v/>
      </c>
      <c r="CS1152">
        <f>IFERROR(INDEX(PP_Grid[#Data],$DD1152,95),0)</f>
        <v/>
      </c>
      <c r="CT1152">
        <f>IFERROR(INDEX(PP_Grid[#Data],$DD1152,96),0)</f>
        <v/>
      </c>
      <c r="CU1152">
        <f>IFERROR(INDEX(PP_Grid[#Data],$DD1152,97),0)</f>
        <v/>
      </c>
      <c r="CV1152">
        <f>IFERROR(INDEX(PP_Grid[#Data],$DD1152,98),0)</f>
        <v/>
      </c>
      <c r="CW1152">
        <f>IFERROR(INDEX(PP_Grid[#Data],$DD1152,99),0)</f>
        <v/>
      </c>
      <c r="CX1152">
        <f>IFERROR(INDEX(PP_Grid[#Data],$DD1152,100),0)</f>
        <v/>
      </c>
      <c r="CY1152">
        <f>IFERROR(INDEX(PP_Grid[#Data],$DD1152,101),0)</f>
        <v/>
      </c>
      <c r="CZ1152">
        <f>IFERROR(INDEX(PP_Grid[#Data],$DD1152,102),0)</f>
        <v/>
      </c>
      <c r="DA1152">
        <f>IFERROR(INDEX(PP_Grid[#Data],$DD1152,103),0)</f>
        <v/>
      </c>
      <c r="DB1152">
        <f>IFERROR(INDEX(PP_Grid[#Data],$DD1152,104),0)</f>
        <v/>
      </c>
      <c r="DC1152">
        <f>IFERROR(INDEX(PP_Grid[#Data],$DD1152,105),0)</f>
        <v/>
      </c>
      <c r="DD1152" s="12">
        <f>IFERROR(MATCH($B1152,PP_Grid[Intermediate],0),99999)</f>
        <v/>
      </c>
    </row>
    <row r="1153">
      <c r="B1153" t="inlineStr">
        <is>
          <t>使用量(kg)</t>
        </is>
      </c>
      <c r="C1153">
        <f>SUMIFS(M_BOM[RM_Qty_Per_Batch],M_BOM[Intermediate],$B1152,M_BOM[Part Name],$A1127)</f>
        <v/>
      </c>
      <c r="D1153">
        <f>$C1153*D1152</f>
        <v/>
      </c>
      <c r="E1153">
        <f>$C1153*E1152</f>
        <v/>
      </c>
      <c r="F1153">
        <f>$C1153*F1152</f>
        <v/>
      </c>
      <c r="G1153">
        <f>$C1153*G1152</f>
        <v/>
      </c>
      <c r="H1153">
        <f>$C1153*H1152</f>
        <v/>
      </c>
      <c r="I1153">
        <f>$C1153*I1152</f>
        <v/>
      </c>
      <c r="J1153">
        <f>$C1153*J1152</f>
        <v/>
      </c>
      <c r="K1153">
        <f>$C1153*K1152</f>
        <v/>
      </c>
      <c r="L1153">
        <f>$C1153*L1152</f>
        <v/>
      </c>
      <c r="M1153">
        <f>$C1153*M1152</f>
        <v/>
      </c>
      <c r="N1153">
        <f>$C1153*N1152</f>
        <v/>
      </c>
      <c r="O1153">
        <f>$C1153*O1152</f>
        <v/>
      </c>
      <c r="P1153">
        <f>$C1153*P1152</f>
        <v/>
      </c>
      <c r="Q1153">
        <f>$C1153*Q1152</f>
        <v/>
      </c>
      <c r="R1153">
        <f>$C1153*R1152</f>
        <v/>
      </c>
      <c r="S1153">
        <f>$C1153*S1152</f>
        <v/>
      </c>
      <c r="T1153">
        <f>$C1153*T1152</f>
        <v/>
      </c>
      <c r="U1153">
        <f>$C1153*U1152</f>
        <v/>
      </c>
      <c r="V1153">
        <f>$C1153*V1152</f>
        <v/>
      </c>
      <c r="W1153">
        <f>$C1153*W1152</f>
        <v/>
      </c>
      <c r="X1153">
        <f>$C1153*X1152</f>
        <v/>
      </c>
      <c r="Y1153">
        <f>$C1153*Y1152</f>
        <v/>
      </c>
      <c r="Z1153">
        <f>$C1153*Z1152</f>
        <v/>
      </c>
      <c r="AA1153">
        <f>$C1153*AA1152</f>
        <v/>
      </c>
      <c r="AB1153">
        <f>$C1153*AB1152</f>
        <v/>
      </c>
      <c r="AC1153">
        <f>$C1153*AC1152</f>
        <v/>
      </c>
      <c r="AD1153">
        <f>$C1153*AD1152</f>
        <v/>
      </c>
      <c r="AE1153">
        <f>$C1153*AE1152</f>
        <v/>
      </c>
      <c r="AF1153">
        <f>$C1153*AF1152</f>
        <v/>
      </c>
      <c r="AG1153">
        <f>$C1153*AG1152</f>
        <v/>
      </c>
      <c r="AH1153">
        <f>$C1153*AH1152</f>
        <v/>
      </c>
      <c r="AI1153">
        <f>$C1153*AI1152</f>
        <v/>
      </c>
      <c r="AJ1153">
        <f>$C1153*AJ1152</f>
        <v/>
      </c>
      <c r="AK1153">
        <f>$C1153*AK1152</f>
        <v/>
      </c>
      <c r="AL1153">
        <f>$C1153*AL1152</f>
        <v/>
      </c>
      <c r="AM1153">
        <f>$C1153*AM1152</f>
        <v/>
      </c>
      <c r="AN1153">
        <f>$C1153*AN1152</f>
        <v/>
      </c>
      <c r="AO1153">
        <f>$C1153*AO1152</f>
        <v/>
      </c>
      <c r="AP1153">
        <f>$C1153*AP1152</f>
        <v/>
      </c>
      <c r="AQ1153">
        <f>$C1153*AQ1152</f>
        <v/>
      </c>
      <c r="AR1153">
        <f>$C1153*AR1152</f>
        <v/>
      </c>
      <c r="AS1153">
        <f>$C1153*AS1152</f>
        <v/>
      </c>
      <c r="AT1153">
        <f>$C1153*AT1152</f>
        <v/>
      </c>
      <c r="AU1153">
        <f>$C1153*AU1152</f>
        <v/>
      </c>
      <c r="AV1153">
        <f>$C1153*AV1152</f>
        <v/>
      </c>
      <c r="AW1153">
        <f>$C1153*AW1152</f>
        <v/>
      </c>
      <c r="AX1153">
        <f>$C1153*AX1152</f>
        <v/>
      </c>
      <c r="AY1153">
        <f>$C1153*AY1152</f>
        <v/>
      </c>
      <c r="AZ1153">
        <f>$C1153*AZ1152</f>
        <v/>
      </c>
      <c r="BA1153">
        <f>$C1153*BA1152</f>
        <v/>
      </c>
      <c r="BB1153">
        <f>$C1153*BB1152</f>
        <v/>
      </c>
      <c r="BC1153">
        <f>$C1153*BC1152</f>
        <v/>
      </c>
      <c r="BD1153">
        <f>$C1153*BD1152</f>
        <v/>
      </c>
      <c r="BE1153">
        <f>$C1153*BE1152</f>
        <v/>
      </c>
      <c r="BF1153">
        <f>$C1153*BF1152</f>
        <v/>
      </c>
      <c r="BG1153">
        <f>$C1153*BG1152</f>
        <v/>
      </c>
      <c r="BH1153">
        <f>$C1153*BH1152</f>
        <v/>
      </c>
      <c r="BI1153">
        <f>$C1153*BI1152</f>
        <v/>
      </c>
      <c r="BJ1153">
        <f>$C1153*BJ1152</f>
        <v/>
      </c>
      <c r="BK1153">
        <f>$C1153*BK1152</f>
        <v/>
      </c>
      <c r="BL1153">
        <f>$C1153*BL1152</f>
        <v/>
      </c>
      <c r="BM1153">
        <f>$C1153*BM1152</f>
        <v/>
      </c>
      <c r="BN1153">
        <f>$C1153*BN1152</f>
        <v/>
      </c>
      <c r="BO1153">
        <f>$C1153*BO1152</f>
        <v/>
      </c>
      <c r="BP1153">
        <f>$C1153*BP1152</f>
        <v/>
      </c>
      <c r="BQ1153">
        <f>$C1153*BQ1152</f>
        <v/>
      </c>
      <c r="BR1153">
        <f>$C1153*BR1152</f>
        <v/>
      </c>
      <c r="BS1153">
        <f>$C1153*BS1152</f>
        <v/>
      </c>
      <c r="BT1153">
        <f>$C1153*BT1152</f>
        <v/>
      </c>
      <c r="BU1153">
        <f>$C1153*BU1152</f>
        <v/>
      </c>
      <c r="BV1153">
        <f>$C1153*BV1152</f>
        <v/>
      </c>
      <c r="BW1153">
        <f>$C1153*BW1152</f>
        <v/>
      </c>
      <c r="BX1153">
        <f>$C1153*BX1152</f>
        <v/>
      </c>
      <c r="BY1153">
        <f>$C1153*BY1152</f>
        <v/>
      </c>
      <c r="BZ1153">
        <f>$C1153*BZ1152</f>
        <v/>
      </c>
      <c r="CA1153">
        <f>$C1153*CA1152</f>
        <v/>
      </c>
      <c r="CB1153">
        <f>$C1153*CB1152</f>
        <v/>
      </c>
      <c r="CC1153">
        <f>$C1153*CC1152</f>
        <v/>
      </c>
      <c r="CD1153">
        <f>$C1153*CD1152</f>
        <v/>
      </c>
      <c r="CE1153">
        <f>$C1153*CE1152</f>
        <v/>
      </c>
      <c r="CF1153">
        <f>$C1153*CF1152</f>
        <v/>
      </c>
      <c r="CG1153">
        <f>$C1153*CG1152</f>
        <v/>
      </c>
      <c r="CH1153">
        <f>$C1153*CH1152</f>
        <v/>
      </c>
      <c r="CI1153">
        <f>$C1153*CI1152</f>
        <v/>
      </c>
      <c r="CJ1153">
        <f>$C1153*CJ1152</f>
        <v/>
      </c>
      <c r="CK1153">
        <f>$C1153*CK1152</f>
        <v/>
      </c>
      <c r="CL1153">
        <f>$C1153*CL1152</f>
        <v/>
      </c>
      <c r="CM1153">
        <f>$C1153*CM1152</f>
        <v/>
      </c>
      <c r="CN1153">
        <f>$C1153*CN1152</f>
        <v/>
      </c>
      <c r="CO1153">
        <f>$C1153*CO1152</f>
        <v/>
      </c>
      <c r="CP1153">
        <f>$C1153*CP1152</f>
        <v/>
      </c>
      <c r="CQ1153">
        <f>$C1153*CQ1152</f>
        <v/>
      </c>
      <c r="CR1153">
        <f>$C1153*CR1152</f>
        <v/>
      </c>
      <c r="CS1153">
        <f>$C1153*CS1152</f>
        <v/>
      </c>
      <c r="CT1153">
        <f>$C1153*CT1152</f>
        <v/>
      </c>
      <c r="CU1153">
        <f>$C1153*CU1152</f>
        <v/>
      </c>
      <c r="CV1153">
        <f>$C1153*CV1152</f>
        <v/>
      </c>
      <c r="CW1153">
        <f>$C1153*CW1152</f>
        <v/>
      </c>
      <c r="CX1153">
        <f>$C1153*CX1152</f>
        <v/>
      </c>
      <c r="CY1153">
        <f>$C1153*CY1152</f>
        <v/>
      </c>
      <c r="CZ1153">
        <f>$C1153*CZ1152</f>
        <v/>
      </c>
      <c r="DA1153">
        <f>$C1153*DA1152</f>
        <v/>
      </c>
      <c r="DB1153">
        <f>$C1153*DB1152</f>
        <v/>
      </c>
      <c r="DC1153">
        <f>$C1153*DC1152</f>
        <v/>
      </c>
    </row>
    <row r="1154">
      <c r="B1154" s="5" t="inlineStr">
        <is>
          <t>合計使用量(kg)/週</t>
        </is>
      </c>
      <c r="D1154">
        <f>'Grid_Requirement'!B49</f>
        <v/>
      </c>
      <c r="E1154">
        <f>'Grid_Requirement'!C49</f>
        <v/>
      </c>
      <c r="F1154">
        <f>'Grid_Requirement'!D49</f>
        <v/>
      </c>
      <c r="G1154">
        <f>'Grid_Requirement'!E49</f>
        <v/>
      </c>
      <c r="H1154">
        <f>'Grid_Requirement'!F49</f>
        <v/>
      </c>
      <c r="I1154">
        <f>'Grid_Requirement'!G49</f>
        <v/>
      </c>
      <c r="J1154">
        <f>'Grid_Requirement'!H49</f>
        <v/>
      </c>
      <c r="K1154">
        <f>'Grid_Requirement'!I49</f>
        <v/>
      </c>
      <c r="L1154">
        <f>'Grid_Requirement'!J49</f>
        <v/>
      </c>
      <c r="M1154">
        <f>'Grid_Requirement'!K49</f>
        <v/>
      </c>
      <c r="N1154">
        <f>'Grid_Requirement'!L49</f>
        <v/>
      </c>
      <c r="O1154">
        <f>'Grid_Requirement'!M49</f>
        <v/>
      </c>
      <c r="P1154">
        <f>'Grid_Requirement'!N49</f>
        <v/>
      </c>
      <c r="Q1154">
        <f>'Grid_Requirement'!O49</f>
        <v/>
      </c>
      <c r="R1154">
        <f>'Grid_Requirement'!P49</f>
        <v/>
      </c>
      <c r="S1154">
        <f>'Grid_Requirement'!Q49</f>
        <v/>
      </c>
      <c r="T1154">
        <f>'Grid_Requirement'!R49</f>
        <v/>
      </c>
      <c r="U1154">
        <f>'Grid_Requirement'!S49</f>
        <v/>
      </c>
      <c r="V1154">
        <f>'Grid_Requirement'!T49</f>
        <v/>
      </c>
      <c r="W1154">
        <f>'Grid_Requirement'!U49</f>
        <v/>
      </c>
      <c r="X1154">
        <f>'Grid_Requirement'!V49</f>
        <v/>
      </c>
      <c r="Y1154">
        <f>'Grid_Requirement'!W49</f>
        <v/>
      </c>
      <c r="Z1154">
        <f>'Grid_Requirement'!X49</f>
        <v/>
      </c>
      <c r="AA1154">
        <f>'Grid_Requirement'!Y49</f>
        <v/>
      </c>
      <c r="AB1154">
        <f>'Grid_Requirement'!Z49</f>
        <v/>
      </c>
      <c r="AC1154">
        <f>'Grid_Requirement'!AA49</f>
        <v/>
      </c>
      <c r="AD1154">
        <f>'Grid_Requirement'!AB49</f>
        <v/>
      </c>
      <c r="AE1154">
        <f>'Grid_Requirement'!AC49</f>
        <v/>
      </c>
      <c r="AF1154">
        <f>'Grid_Requirement'!AD49</f>
        <v/>
      </c>
      <c r="AG1154">
        <f>'Grid_Requirement'!AE49</f>
        <v/>
      </c>
      <c r="AH1154">
        <f>'Grid_Requirement'!AF49</f>
        <v/>
      </c>
      <c r="AI1154">
        <f>'Grid_Requirement'!AG49</f>
        <v/>
      </c>
      <c r="AJ1154">
        <f>'Grid_Requirement'!AH49</f>
        <v/>
      </c>
      <c r="AK1154">
        <f>'Grid_Requirement'!AI49</f>
        <v/>
      </c>
      <c r="AL1154">
        <f>'Grid_Requirement'!AJ49</f>
        <v/>
      </c>
      <c r="AM1154">
        <f>'Grid_Requirement'!AK49</f>
        <v/>
      </c>
      <c r="AN1154">
        <f>'Grid_Requirement'!AL49</f>
        <v/>
      </c>
      <c r="AO1154">
        <f>'Grid_Requirement'!AM49</f>
        <v/>
      </c>
      <c r="AP1154">
        <f>'Grid_Requirement'!AN49</f>
        <v/>
      </c>
      <c r="AQ1154">
        <f>'Grid_Requirement'!AO49</f>
        <v/>
      </c>
      <c r="AR1154">
        <f>'Grid_Requirement'!AP49</f>
        <v/>
      </c>
      <c r="AS1154">
        <f>'Grid_Requirement'!AQ49</f>
        <v/>
      </c>
      <c r="AT1154">
        <f>'Grid_Requirement'!AR49</f>
        <v/>
      </c>
      <c r="AU1154">
        <f>'Grid_Requirement'!AS49</f>
        <v/>
      </c>
      <c r="AV1154">
        <f>'Grid_Requirement'!AT49</f>
        <v/>
      </c>
      <c r="AW1154">
        <f>'Grid_Requirement'!AU49</f>
        <v/>
      </c>
      <c r="AX1154">
        <f>'Grid_Requirement'!AV49</f>
        <v/>
      </c>
      <c r="AY1154">
        <f>'Grid_Requirement'!AW49</f>
        <v/>
      </c>
      <c r="AZ1154">
        <f>'Grid_Requirement'!AX49</f>
        <v/>
      </c>
      <c r="BA1154">
        <f>'Grid_Requirement'!AY49</f>
        <v/>
      </c>
      <c r="BB1154">
        <f>'Grid_Requirement'!AZ49</f>
        <v/>
      </c>
      <c r="BC1154">
        <f>'Grid_Requirement'!BA49</f>
        <v/>
      </c>
      <c r="BD1154">
        <f>'Grid_Requirement'!BB49</f>
        <v/>
      </c>
      <c r="BE1154">
        <f>'Grid_Requirement'!BC49</f>
        <v/>
      </c>
      <c r="BF1154">
        <f>'Grid_Requirement'!BD49</f>
        <v/>
      </c>
      <c r="BG1154">
        <f>'Grid_Requirement'!BE49</f>
        <v/>
      </c>
      <c r="BH1154">
        <f>'Grid_Requirement'!BF49</f>
        <v/>
      </c>
      <c r="BI1154">
        <f>'Grid_Requirement'!BG49</f>
        <v/>
      </c>
      <c r="BJ1154">
        <f>'Grid_Requirement'!BH49</f>
        <v/>
      </c>
      <c r="BK1154">
        <f>'Grid_Requirement'!BI49</f>
        <v/>
      </c>
      <c r="BL1154">
        <f>'Grid_Requirement'!BJ49</f>
        <v/>
      </c>
      <c r="BM1154">
        <f>'Grid_Requirement'!BK49</f>
        <v/>
      </c>
      <c r="BN1154">
        <f>'Grid_Requirement'!BL49</f>
        <v/>
      </c>
      <c r="BO1154">
        <f>'Grid_Requirement'!BM49</f>
        <v/>
      </c>
      <c r="BP1154">
        <f>'Grid_Requirement'!BN49</f>
        <v/>
      </c>
      <c r="BQ1154">
        <f>'Grid_Requirement'!BO49</f>
        <v/>
      </c>
      <c r="BR1154">
        <f>'Grid_Requirement'!BP49</f>
        <v/>
      </c>
      <c r="BS1154">
        <f>'Grid_Requirement'!BQ49</f>
        <v/>
      </c>
      <c r="BT1154">
        <f>'Grid_Requirement'!BR49</f>
        <v/>
      </c>
      <c r="BU1154">
        <f>'Grid_Requirement'!BS49</f>
        <v/>
      </c>
      <c r="BV1154">
        <f>'Grid_Requirement'!BT49</f>
        <v/>
      </c>
      <c r="BW1154">
        <f>'Grid_Requirement'!BU49</f>
        <v/>
      </c>
      <c r="BX1154">
        <f>'Grid_Requirement'!BV49</f>
        <v/>
      </c>
      <c r="BY1154">
        <f>'Grid_Requirement'!BW49</f>
        <v/>
      </c>
      <c r="BZ1154">
        <f>'Grid_Requirement'!BX49</f>
        <v/>
      </c>
      <c r="CA1154">
        <f>'Grid_Requirement'!BY49</f>
        <v/>
      </c>
      <c r="CB1154">
        <f>'Grid_Requirement'!BZ49</f>
        <v/>
      </c>
      <c r="CC1154">
        <f>'Grid_Requirement'!CA49</f>
        <v/>
      </c>
      <c r="CD1154">
        <f>'Grid_Requirement'!CB49</f>
        <v/>
      </c>
      <c r="CE1154">
        <f>'Grid_Requirement'!CC49</f>
        <v/>
      </c>
      <c r="CF1154">
        <f>'Grid_Requirement'!CD49</f>
        <v/>
      </c>
      <c r="CG1154">
        <f>'Grid_Requirement'!CE49</f>
        <v/>
      </c>
      <c r="CH1154">
        <f>'Grid_Requirement'!CF49</f>
        <v/>
      </c>
      <c r="CI1154">
        <f>'Grid_Requirement'!CG49</f>
        <v/>
      </c>
      <c r="CJ1154">
        <f>'Grid_Requirement'!CH49</f>
        <v/>
      </c>
      <c r="CK1154">
        <f>'Grid_Requirement'!CI49</f>
        <v/>
      </c>
      <c r="CL1154">
        <f>'Grid_Requirement'!CJ49</f>
        <v/>
      </c>
      <c r="CM1154">
        <f>'Grid_Requirement'!CK49</f>
        <v/>
      </c>
      <c r="CN1154">
        <f>'Grid_Requirement'!CL49</f>
        <v/>
      </c>
      <c r="CO1154">
        <f>'Grid_Requirement'!CM49</f>
        <v/>
      </c>
      <c r="CP1154">
        <f>'Grid_Requirement'!CN49</f>
        <v/>
      </c>
      <c r="CQ1154">
        <f>'Grid_Requirement'!CO49</f>
        <v/>
      </c>
      <c r="CR1154">
        <f>'Grid_Requirement'!CP49</f>
        <v/>
      </c>
      <c r="CS1154">
        <f>'Grid_Requirement'!CQ49</f>
        <v/>
      </c>
      <c r="CT1154">
        <f>'Grid_Requirement'!CR49</f>
        <v/>
      </c>
      <c r="CU1154">
        <f>'Grid_Requirement'!CS49</f>
        <v/>
      </c>
      <c r="CV1154">
        <f>'Grid_Requirement'!CT49</f>
        <v/>
      </c>
      <c r="CW1154">
        <f>'Grid_Requirement'!CU49</f>
        <v/>
      </c>
      <c r="CX1154">
        <f>'Grid_Requirement'!CV49</f>
        <v/>
      </c>
      <c r="CY1154">
        <f>'Grid_Requirement'!CW49</f>
        <v/>
      </c>
      <c r="CZ1154">
        <f>'Grid_Requirement'!CX49</f>
        <v/>
      </c>
      <c r="DA1154">
        <f>'Grid_Requirement'!CY49</f>
        <v/>
      </c>
      <c r="DB1154">
        <f>'Grid_Requirement'!CZ49</f>
        <v/>
      </c>
      <c r="DC1154">
        <f>'Grid_Requirement'!DA49</f>
        <v/>
      </c>
    </row>
    <row r="1155">
      <c r="B1155" t="inlineStr">
        <is>
          <t>TTAF在庫(実績,kg)</t>
        </is>
      </c>
      <c r="D1155">
        <f>'T_TTAFStock'!B53</f>
        <v/>
      </c>
      <c r="E1155">
        <f>'T_TTAFStock'!C53</f>
        <v/>
      </c>
      <c r="F1155">
        <f>'T_TTAFStock'!D53</f>
        <v/>
      </c>
      <c r="G1155">
        <f>'T_TTAFStock'!E53</f>
        <v/>
      </c>
      <c r="H1155">
        <f>'T_TTAFStock'!F53</f>
        <v/>
      </c>
      <c r="I1155">
        <f>'T_TTAFStock'!G53</f>
        <v/>
      </c>
      <c r="J1155">
        <f>'T_TTAFStock'!H53</f>
        <v/>
      </c>
      <c r="K1155">
        <f>'T_TTAFStock'!I53</f>
        <v/>
      </c>
      <c r="L1155">
        <f>'T_TTAFStock'!J53</f>
        <v/>
      </c>
      <c r="M1155">
        <f>'T_TTAFStock'!K53</f>
        <v/>
      </c>
      <c r="N1155">
        <f>'T_TTAFStock'!L53</f>
        <v/>
      </c>
      <c r="O1155">
        <f>'T_TTAFStock'!M53</f>
        <v/>
      </c>
      <c r="P1155">
        <f>'T_TTAFStock'!N53</f>
        <v/>
      </c>
      <c r="Q1155">
        <f>'T_TTAFStock'!O53</f>
        <v/>
      </c>
      <c r="R1155">
        <f>'T_TTAFStock'!P53</f>
        <v/>
      </c>
      <c r="S1155">
        <f>'T_TTAFStock'!Q53</f>
        <v/>
      </c>
      <c r="T1155">
        <f>'T_TTAFStock'!R53</f>
        <v/>
      </c>
      <c r="U1155">
        <f>'T_TTAFStock'!S53</f>
        <v/>
      </c>
      <c r="V1155">
        <f>'T_TTAFStock'!T53</f>
        <v/>
      </c>
      <c r="W1155">
        <f>'T_TTAFStock'!U53</f>
        <v/>
      </c>
      <c r="X1155">
        <f>'T_TTAFStock'!V53</f>
        <v/>
      </c>
      <c r="Y1155">
        <f>'T_TTAFStock'!W53</f>
        <v/>
      </c>
      <c r="Z1155">
        <f>'T_TTAFStock'!X53</f>
        <v/>
      </c>
      <c r="AA1155">
        <f>'T_TTAFStock'!Y53</f>
        <v/>
      </c>
      <c r="AB1155">
        <f>'T_TTAFStock'!Z53</f>
        <v/>
      </c>
      <c r="AC1155">
        <f>'T_TTAFStock'!AA53</f>
        <v/>
      </c>
      <c r="AD1155">
        <f>'T_TTAFStock'!AB53</f>
        <v/>
      </c>
      <c r="AE1155">
        <f>'T_TTAFStock'!AC53</f>
        <v/>
      </c>
      <c r="AF1155">
        <f>'T_TTAFStock'!AD53</f>
        <v/>
      </c>
      <c r="AG1155">
        <f>'T_TTAFStock'!AE53</f>
        <v/>
      </c>
      <c r="AH1155">
        <f>'T_TTAFStock'!AF53</f>
        <v/>
      </c>
      <c r="AI1155">
        <f>'T_TTAFStock'!AG53</f>
        <v/>
      </c>
      <c r="AJ1155">
        <f>'T_TTAFStock'!AH53</f>
        <v/>
      </c>
      <c r="AK1155">
        <f>'T_TTAFStock'!AI53</f>
        <v/>
      </c>
      <c r="AL1155">
        <f>'T_TTAFStock'!AJ53</f>
        <v/>
      </c>
      <c r="AM1155">
        <f>'T_TTAFStock'!AK53</f>
        <v/>
      </c>
      <c r="AN1155">
        <f>'T_TTAFStock'!AL53</f>
        <v/>
      </c>
      <c r="AO1155">
        <f>'T_TTAFStock'!AM53</f>
        <v/>
      </c>
      <c r="AP1155">
        <f>'T_TTAFStock'!AN53</f>
        <v/>
      </c>
      <c r="AQ1155">
        <f>'T_TTAFStock'!AO53</f>
        <v/>
      </c>
      <c r="AR1155">
        <f>'T_TTAFStock'!AP53</f>
        <v/>
      </c>
      <c r="AS1155">
        <f>'T_TTAFStock'!AQ53</f>
        <v/>
      </c>
      <c r="AT1155">
        <f>'T_TTAFStock'!AR53</f>
        <v/>
      </c>
      <c r="AU1155">
        <f>'T_TTAFStock'!AS53</f>
        <v/>
      </c>
      <c r="AV1155">
        <f>'T_TTAFStock'!AT53</f>
        <v/>
      </c>
      <c r="AW1155">
        <f>'T_TTAFStock'!AU53</f>
        <v/>
      </c>
      <c r="AX1155">
        <f>'T_TTAFStock'!AV53</f>
        <v/>
      </c>
      <c r="AY1155">
        <f>'T_TTAFStock'!AW53</f>
        <v/>
      </c>
      <c r="AZ1155">
        <f>'T_TTAFStock'!AX53</f>
        <v/>
      </c>
      <c r="BA1155">
        <f>'T_TTAFStock'!AY53</f>
        <v/>
      </c>
      <c r="BB1155">
        <f>'T_TTAFStock'!AZ53</f>
        <v/>
      </c>
      <c r="BC1155">
        <f>'T_TTAFStock'!BA53</f>
        <v/>
      </c>
      <c r="BD1155">
        <f>'T_TTAFStock'!BB53</f>
        <v/>
      </c>
      <c r="BE1155">
        <f>'T_TTAFStock'!BC53</f>
        <v/>
      </c>
      <c r="BF1155">
        <f>'T_TTAFStock'!BD53</f>
        <v/>
      </c>
      <c r="BG1155">
        <f>'T_TTAFStock'!BE53</f>
        <v/>
      </c>
      <c r="BH1155">
        <f>'T_TTAFStock'!BF53</f>
        <v/>
      </c>
      <c r="BI1155">
        <f>'T_TTAFStock'!BG53</f>
        <v/>
      </c>
      <c r="BJ1155">
        <f>'T_TTAFStock'!BH53</f>
        <v/>
      </c>
      <c r="BK1155">
        <f>'T_TTAFStock'!BI53</f>
        <v/>
      </c>
      <c r="BL1155">
        <f>'T_TTAFStock'!BJ53</f>
        <v/>
      </c>
      <c r="BM1155">
        <f>'T_TTAFStock'!BK53</f>
        <v/>
      </c>
      <c r="BN1155">
        <f>'T_TTAFStock'!BL53</f>
        <v/>
      </c>
      <c r="BO1155">
        <f>'T_TTAFStock'!BM53</f>
        <v/>
      </c>
      <c r="BP1155">
        <f>'T_TTAFStock'!BN53</f>
        <v/>
      </c>
      <c r="BQ1155">
        <f>'T_TTAFStock'!BO53</f>
        <v/>
      </c>
      <c r="BR1155">
        <f>'T_TTAFStock'!BP53</f>
        <v/>
      </c>
      <c r="BS1155">
        <f>'T_TTAFStock'!BQ53</f>
        <v/>
      </c>
      <c r="BT1155">
        <f>'T_TTAFStock'!BR53</f>
        <v/>
      </c>
      <c r="BU1155">
        <f>'T_TTAFStock'!BS53</f>
        <v/>
      </c>
      <c r="BV1155">
        <f>'T_TTAFStock'!BT53</f>
        <v/>
      </c>
      <c r="BW1155">
        <f>'T_TTAFStock'!BU53</f>
        <v/>
      </c>
      <c r="BX1155">
        <f>'T_TTAFStock'!BV53</f>
        <v/>
      </c>
      <c r="BY1155">
        <f>'T_TTAFStock'!BW53</f>
        <v/>
      </c>
      <c r="BZ1155">
        <f>'T_TTAFStock'!BX53</f>
        <v/>
      </c>
      <c r="CA1155">
        <f>'T_TTAFStock'!BY53</f>
        <v/>
      </c>
      <c r="CB1155">
        <f>'T_TTAFStock'!BZ53</f>
        <v/>
      </c>
      <c r="CC1155">
        <f>'T_TTAFStock'!CA53</f>
        <v/>
      </c>
      <c r="CD1155">
        <f>'T_TTAFStock'!CB53</f>
        <v/>
      </c>
      <c r="CE1155">
        <f>'T_TTAFStock'!CC53</f>
        <v/>
      </c>
      <c r="CF1155">
        <f>'T_TTAFStock'!CD53</f>
        <v/>
      </c>
      <c r="CG1155">
        <f>'T_TTAFStock'!CE53</f>
        <v/>
      </c>
      <c r="CH1155">
        <f>'T_TTAFStock'!CF53</f>
        <v/>
      </c>
      <c r="CI1155">
        <f>'T_TTAFStock'!CG53</f>
        <v/>
      </c>
      <c r="CJ1155">
        <f>'T_TTAFStock'!CH53</f>
        <v/>
      </c>
      <c r="CK1155">
        <f>'T_TTAFStock'!CI53</f>
        <v/>
      </c>
      <c r="CL1155">
        <f>'T_TTAFStock'!CJ53</f>
        <v/>
      </c>
      <c r="CM1155">
        <f>'T_TTAFStock'!CK53</f>
        <v/>
      </c>
      <c r="CN1155">
        <f>'T_TTAFStock'!CL53</f>
        <v/>
      </c>
      <c r="CO1155">
        <f>'T_TTAFStock'!CM53</f>
        <v/>
      </c>
      <c r="CP1155">
        <f>'T_TTAFStock'!CN53</f>
        <v/>
      </c>
      <c r="CQ1155">
        <f>'T_TTAFStock'!CO53</f>
        <v/>
      </c>
      <c r="CR1155">
        <f>'T_TTAFStock'!CP53</f>
        <v/>
      </c>
      <c r="CS1155">
        <f>'T_TTAFStock'!CQ53</f>
        <v/>
      </c>
      <c r="CT1155">
        <f>'T_TTAFStock'!CR53</f>
        <v/>
      </c>
      <c r="CU1155">
        <f>'T_TTAFStock'!CS53</f>
        <v/>
      </c>
      <c r="CV1155">
        <f>'T_TTAFStock'!CT53</f>
        <v/>
      </c>
      <c r="CW1155">
        <f>'T_TTAFStock'!CU53</f>
        <v/>
      </c>
      <c r="CX1155">
        <f>'T_TTAFStock'!CV53</f>
        <v/>
      </c>
      <c r="CY1155">
        <f>'T_TTAFStock'!CW53</f>
        <v/>
      </c>
      <c r="CZ1155">
        <f>'T_TTAFStock'!CX53</f>
        <v/>
      </c>
      <c r="DA1155">
        <f>'T_TTAFStock'!CY53</f>
        <v/>
      </c>
      <c r="DB1155">
        <f>'T_TTAFStock'!CZ53</f>
        <v/>
      </c>
      <c r="DC1155">
        <f>'T_TTAFStock'!DA53</f>
        <v/>
      </c>
    </row>
    <row r="1156">
      <c r="B1156" t="inlineStr">
        <is>
          <t>自社在庫(実績,kg)</t>
        </is>
      </c>
      <c r="D1156">
        <f>'T_SelfStock'!B53</f>
        <v/>
      </c>
      <c r="E1156">
        <f>'T_SelfStock'!C53</f>
        <v/>
      </c>
      <c r="F1156">
        <f>'T_SelfStock'!D53</f>
        <v/>
      </c>
      <c r="G1156">
        <f>'T_SelfStock'!E53</f>
        <v/>
      </c>
      <c r="H1156">
        <f>'T_SelfStock'!F53</f>
        <v/>
      </c>
      <c r="I1156">
        <f>'T_SelfStock'!G53</f>
        <v/>
      </c>
      <c r="J1156">
        <f>'T_SelfStock'!H53</f>
        <v/>
      </c>
      <c r="K1156">
        <f>'T_SelfStock'!I53</f>
        <v/>
      </c>
      <c r="L1156">
        <f>'T_SelfStock'!J53</f>
        <v/>
      </c>
      <c r="M1156">
        <f>'T_SelfStock'!K53</f>
        <v/>
      </c>
      <c r="N1156">
        <f>'T_SelfStock'!L53</f>
        <v/>
      </c>
      <c r="O1156">
        <f>'T_SelfStock'!M53</f>
        <v/>
      </c>
      <c r="P1156">
        <f>'T_SelfStock'!N53</f>
        <v/>
      </c>
      <c r="Q1156">
        <f>'T_SelfStock'!O53</f>
        <v/>
      </c>
      <c r="R1156">
        <f>'T_SelfStock'!P53</f>
        <v/>
      </c>
      <c r="S1156">
        <f>'T_SelfStock'!Q53</f>
        <v/>
      </c>
      <c r="T1156">
        <f>'T_SelfStock'!R53</f>
        <v/>
      </c>
      <c r="U1156">
        <f>'T_SelfStock'!S53</f>
        <v/>
      </c>
      <c r="V1156">
        <f>'T_SelfStock'!T53</f>
        <v/>
      </c>
      <c r="W1156">
        <f>'T_SelfStock'!U53</f>
        <v/>
      </c>
      <c r="X1156">
        <f>'T_SelfStock'!V53</f>
        <v/>
      </c>
      <c r="Y1156">
        <f>'T_SelfStock'!W53</f>
        <v/>
      </c>
      <c r="Z1156">
        <f>'T_SelfStock'!X53</f>
        <v/>
      </c>
      <c r="AA1156">
        <f>'T_SelfStock'!Y53</f>
        <v/>
      </c>
      <c r="AB1156">
        <f>'T_SelfStock'!Z53</f>
        <v/>
      </c>
      <c r="AC1156">
        <f>'T_SelfStock'!AA53</f>
        <v/>
      </c>
      <c r="AD1156">
        <f>'T_SelfStock'!AB53</f>
        <v/>
      </c>
      <c r="AE1156">
        <f>'T_SelfStock'!AC53</f>
        <v/>
      </c>
      <c r="AF1156">
        <f>'T_SelfStock'!AD53</f>
        <v/>
      </c>
      <c r="AG1156">
        <f>'T_SelfStock'!AE53</f>
        <v/>
      </c>
      <c r="AH1156">
        <f>'T_SelfStock'!AF53</f>
        <v/>
      </c>
      <c r="AI1156">
        <f>'T_SelfStock'!AG53</f>
        <v/>
      </c>
      <c r="AJ1156">
        <f>'T_SelfStock'!AH53</f>
        <v/>
      </c>
      <c r="AK1156">
        <f>'T_SelfStock'!AI53</f>
        <v/>
      </c>
      <c r="AL1156">
        <f>'T_SelfStock'!AJ53</f>
        <v/>
      </c>
      <c r="AM1156">
        <f>'T_SelfStock'!AK53</f>
        <v/>
      </c>
      <c r="AN1156">
        <f>'T_SelfStock'!AL53</f>
        <v/>
      </c>
      <c r="AO1156">
        <f>'T_SelfStock'!AM53</f>
        <v/>
      </c>
      <c r="AP1156">
        <f>'T_SelfStock'!AN53</f>
        <v/>
      </c>
      <c r="AQ1156">
        <f>'T_SelfStock'!AO53</f>
        <v/>
      </c>
      <c r="AR1156">
        <f>'T_SelfStock'!AP53</f>
        <v/>
      </c>
      <c r="AS1156">
        <f>'T_SelfStock'!AQ53</f>
        <v/>
      </c>
      <c r="AT1156">
        <f>'T_SelfStock'!AR53</f>
        <v/>
      </c>
      <c r="AU1156">
        <f>'T_SelfStock'!AS53</f>
        <v/>
      </c>
      <c r="AV1156">
        <f>'T_SelfStock'!AT53</f>
        <v/>
      </c>
      <c r="AW1156">
        <f>'T_SelfStock'!AU53</f>
        <v/>
      </c>
      <c r="AX1156">
        <f>'T_SelfStock'!AV53</f>
        <v/>
      </c>
      <c r="AY1156">
        <f>'T_SelfStock'!AW53</f>
        <v/>
      </c>
      <c r="AZ1156">
        <f>'T_SelfStock'!AX53</f>
        <v/>
      </c>
      <c r="BA1156">
        <f>'T_SelfStock'!AY53</f>
        <v/>
      </c>
      <c r="BB1156">
        <f>'T_SelfStock'!AZ53</f>
        <v/>
      </c>
      <c r="BC1156">
        <f>'T_SelfStock'!BA53</f>
        <v/>
      </c>
      <c r="BD1156">
        <f>'T_SelfStock'!BB53</f>
        <v/>
      </c>
      <c r="BE1156">
        <f>'T_SelfStock'!BC53</f>
        <v/>
      </c>
      <c r="BF1156">
        <f>'T_SelfStock'!BD53</f>
        <v/>
      </c>
      <c r="BG1156">
        <f>'T_SelfStock'!BE53</f>
        <v/>
      </c>
      <c r="BH1156">
        <f>'T_SelfStock'!BF53</f>
        <v/>
      </c>
      <c r="BI1156">
        <f>'T_SelfStock'!BG53</f>
        <v/>
      </c>
      <c r="BJ1156">
        <f>'T_SelfStock'!BH53</f>
        <v/>
      </c>
      <c r="BK1156">
        <f>'T_SelfStock'!BI53</f>
        <v/>
      </c>
      <c r="BL1156">
        <f>'T_SelfStock'!BJ53</f>
        <v/>
      </c>
      <c r="BM1156">
        <f>'T_SelfStock'!BK53</f>
        <v/>
      </c>
      <c r="BN1156">
        <f>'T_SelfStock'!BL53</f>
        <v/>
      </c>
      <c r="BO1156">
        <f>'T_SelfStock'!BM53</f>
        <v/>
      </c>
      <c r="BP1156">
        <f>'T_SelfStock'!BN53</f>
        <v/>
      </c>
      <c r="BQ1156">
        <f>'T_SelfStock'!BO53</f>
        <v/>
      </c>
      <c r="BR1156">
        <f>'T_SelfStock'!BP53</f>
        <v/>
      </c>
      <c r="BS1156">
        <f>'T_SelfStock'!BQ53</f>
        <v/>
      </c>
      <c r="BT1156">
        <f>'T_SelfStock'!BR53</f>
        <v/>
      </c>
      <c r="BU1156">
        <f>'T_SelfStock'!BS53</f>
        <v/>
      </c>
      <c r="BV1156">
        <f>'T_SelfStock'!BT53</f>
        <v/>
      </c>
      <c r="BW1156">
        <f>'T_SelfStock'!BU53</f>
        <v/>
      </c>
      <c r="BX1156">
        <f>'T_SelfStock'!BV53</f>
        <v/>
      </c>
      <c r="BY1156">
        <f>'T_SelfStock'!BW53</f>
        <v/>
      </c>
      <c r="BZ1156">
        <f>'T_SelfStock'!BX53</f>
        <v/>
      </c>
      <c r="CA1156">
        <f>'T_SelfStock'!BY53</f>
        <v/>
      </c>
      <c r="CB1156">
        <f>'T_SelfStock'!BZ53</f>
        <v/>
      </c>
      <c r="CC1156">
        <f>'T_SelfStock'!CA53</f>
        <v/>
      </c>
      <c r="CD1156">
        <f>'T_SelfStock'!CB53</f>
        <v/>
      </c>
      <c r="CE1156">
        <f>'T_SelfStock'!CC53</f>
        <v/>
      </c>
      <c r="CF1156">
        <f>'T_SelfStock'!CD53</f>
        <v/>
      </c>
      <c r="CG1156">
        <f>'T_SelfStock'!CE53</f>
        <v/>
      </c>
      <c r="CH1156">
        <f>'T_SelfStock'!CF53</f>
        <v/>
      </c>
      <c r="CI1156">
        <f>'T_SelfStock'!CG53</f>
        <v/>
      </c>
      <c r="CJ1156">
        <f>'T_SelfStock'!CH53</f>
        <v/>
      </c>
      <c r="CK1156">
        <f>'T_SelfStock'!CI53</f>
        <v/>
      </c>
      <c r="CL1156">
        <f>'T_SelfStock'!CJ53</f>
        <v/>
      </c>
      <c r="CM1156">
        <f>'T_SelfStock'!CK53</f>
        <v/>
      </c>
      <c r="CN1156">
        <f>'T_SelfStock'!CL53</f>
        <v/>
      </c>
      <c r="CO1156">
        <f>'T_SelfStock'!CM53</f>
        <v/>
      </c>
      <c r="CP1156">
        <f>'T_SelfStock'!CN53</f>
        <v/>
      </c>
      <c r="CQ1156">
        <f>'T_SelfStock'!CO53</f>
        <v/>
      </c>
      <c r="CR1156">
        <f>'T_SelfStock'!CP53</f>
        <v/>
      </c>
      <c r="CS1156">
        <f>'T_SelfStock'!CQ53</f>
        <v/>
      </c>
      <c r="CT1156">
        <f>'T_SelfStock'!CR53</f>
        <v/>
      </c>
      <c r="CU1156">
        <f>'T_SelfStock'!CS53</f>
        <v/>
      </c>
      <c r="CV1156">
        <f>'T_SelfStock'!CT53</f>
        <v/>
      </c>
      <c r="CW1156">
        <f>'T_SelfStock'!CU53</f>
        <v/>
      </c>
      <c r="CX1156">
        <f>'T_SelfStock'!CV53</f>
        <v/>
      </c>
      <c r="CY1156">
        <f>'T_SelfStock'!CW53</f>
        <v/>
      </c>
      <c r="CZ1156">
        <f>'T_SelfStock'!CX53</f>
        <v/>
      </c>
      <c r="DA1156">
        <f>'T_SelfStock'!CY53</f>
        <v/>
      </c>
      <c r="DB1156">
        <f>'T_SelfStock'!CZ53</f>
        <v/>
      </c>
      <c r="DC1156">
        <f>'T_SelfStock'!DA53</f>
        <v/>
      </c>
    </row>
    <row r="1157">
      <c r="B1157" t="inlineStr">
        <is>
          <t>Order(発注予定,kg)</t>
        </is>
      </c>
      <c r="D1157" s="23" t="n"/>
      <c r="E1157" s="23" t="n"/>
      <c r="F1157" s="23" t="n"/>
      <c r="G1157" s="23" t="n"/>
      <c r="H1157" s="23" t="n"/>
      <c r="I1157" s="23" t="n"/>
      <c r="J1157" s="23" t="n"/>
      <c r="K1157" s="23" t="n"/>
      <c r="L1157" s="23" t="n"/>
      <c r="M1157" s="23" t="n"/>
      <c r="N1157" s="23" t="n"/>
      <c r="O1157" s="23" t="n"/>
      <c r="P1157" s="23" t="n"/>
      <c r="Q1157" s="23" t="n"/>
      <c r="R1157" s="23" t="n"/>
      <c r="S1157" s="23" t="n"/>
      <c r="T1157" s="23" t="n"/>
      <c r="U1157" s="23" t="n"/>
      <c r="V1157" s="23" t="n"/>
      <c r="W1157" s="23" t="n"/>
      <c r="X1157" s="23" t="n"/>
      <c r="Y1157" s="23" t="n"/>
      <c r="Z1157" s="23" t="n"/>
      <c r="AA1157" s="23" t="n"/>
      <c r="AB1157" s="23" t="n"/>
      <c r="AC1157" s="23" t="n"/>
      <c r="AD1157" s="23" t="n"/>
      <c r="AE1157" s="23" t="n"/>
      <c r="AF1157" s="23" t="n"/>
      <c r="AG1157" s="23" t="n"/>
      <c r="AH1157" s="23" t="n"/>
      <c r="AI1157" s="23" t="n"/>
      <c r="AJ1157" s="23" t="n"/>
      <c r="AK1157" s="23" t="n"/>
      <c r="AL1157" s="23" t="n"/>
      <c r="AM1157" s="23" t="n"/>
      <c r="AN1157" s="23" t="n"/>
      <c r="AO1157" s="23" t="n"/>
      <c r="AP1157" s="23" t="n"/>
      <c r="AQ1157" s="23" t="n"/>
      <c r="AR1157" s="23" t="n"/>
      <c r="AS1157" s="23" t="n"/>
      <c r="AT1157" s="23" t="n"/>
      <c r="AU1157" s="23" t="n"/>
      <c r="AV1157" s="23" t="n"/>
      <c r="AW1157" s="23" t="n"/>
      <c r="AX1157" s="23" t="n"/>
      <c r="AY1157" s="23" t="n"/>
      <c r="AZ1157" s="23" t="n"/>
      <c r="BA1157" s="23" t="n"/>
      <c r="BB1157" s="23" t="n"/>
      <c r="BC1157" s="23" t="n"/>
      <c r="BD1157" s="23" t="n"/>
      <c r="BE1157" s="23" t="n"/>
      <c r="BF1157" s="23" t="n"/>
      <c r="BG1157" s="23" t="n"/>
      <c r="BH1157" s="23" t="n"/>
      <c r="BI1157" s="23" t="n"/>
      <c r="BJ1157" s="23" t="n"/>
      <c r="BK1157" s="23" t="n"/>
      <c r="BL1157" s="23" t="n"/>
      <c r="BM1157" s="23" t="n"/>
      <c r="BN1157" s="23" t="n"/>
      <c r="BO1157" s="23" t="n"/>
      <c r="BP1157" s="23" t="n"/>
      <c r="BQ1157" s="23" t="n"/>
      <c r="BR1157" s="23" t="n"/>
      <c r="BS1157" s="23" t="n"/>
      <c r="BT1157" s="23" t="n"/>
      <c r="BU1157" s="23" t="n"/>
      <c r="BV1157" s="23" t="n"/>
      <c r="BW1157" s="23" t="n"/>
      <c r="BX1157" s="23" t="n"/>
      <c r="BY1157" s="23" t="n"/>
      <c r="BZ1157" s="23" t="n"/>
      <c r="CA1157" s="23" t="n"/>
      <c r="CB1157" s="23" t="n"/>
      <c r="CC1157" s="23" t="n"/>
      <c r="CD1157" s="23" t="n"/>
      <c r="CE1157" s="23" t="n"/>
      <c r="CF1157" s="23" t="n"/>
      <c r="CG1157" s="23" t="n"/>
      <c r="CH1157" s="23" t="n"/>
      <c r="CI1157" s="23" t="n"/>
      <c r="CJ1157" s="23" t="n"/>
      <c r="CK1157" s="23" t="n"/>
      <c r="CL1157" s="23" t="n"/>
      <c r="CM1157" s="23" t="n"/>
      <c r="CN1157" s="23" t="n"/>
      <c r="CO1157" s="23" t="n"/>
      <c r="CP1157" s="23" t="n"/>
      <c r="CQ1157" s="23" t="n"/>
      <c r="CR1157" s="23" t="n"/>
      <c r="CS1157" s="23" t="n"/>
      <c r="CT1157" s="23" t="n"/>
      <c r="CU1157" s="23" t="n"/>
      <c r="CV1157" s="23" t="n"/>
      <c r="CW1157" s="23" t="n"/>
      <c r="CX1157" s="23" t="n"/>
      <c r="CY1157" s="23" t="n"/>
      <c r="CZ1157" s="23" t="n"/>
      <c r="DA1157" s="23" t="n"/>
      <c r="DB1157" s="23" t="n"/>
      <c r="DC1157" s="23" t="n"/>
      <c r="DE1157" s="12" t="inlineStr">
        <is>
          <t>CHEM-1010</t>
        </is>
      </c>
    </row>
    <row r="1158">
      <c r="B1158" s="24" t="inlineStr">
        <is>
          <t>PO_No</t>
        </is>
      </c>
      <c r="D1158" s="25" t="n"/>
      <c r="E1158" s="25" t="n"/>
      <c r="F1158" s="25" t="n"/>
      <c r="G1158" s="25" t="n"/>
      <c r="H1158" s="25" t="n"/>
      <c r="I1158" s="25" t="n"/>
      <c r="J1158" s="25" t="n"/>
      <c r="K1158" s="25" t="n"/>
      <c r="L1158" s="25" t="n"/>
      <c r="M1158" s="25" t="n"/>
      <c r="N1158" s="25" t="n"/>
      <c r="O1158" s="25" t="n"/>
      <c r="P1158" s="25" t="n"/>
      <c r="Q1158" s="25" t="n"/>
      <c r="R1158" s="25" t="n"/>
      <c r="S1158" s="25" t="n"/>
      <c r="T1158" s="25" t="n"/>
      <c r="U1158" s="25" t="n"/>
      <c r="V1158" s="25" t="n"/>
      <c r="W1158" s="25" t="n"/>
      <c r="X1158" s="25" t="n"/>
      <c r="Y1158" s="25" t="n"/>
      <c r="Z1158" s="25" t="n"/>
      <c r="AA1158" s="25" t="n"/>
      <c r="AB1158" s="25" t="n"/>
      <c r="AC1158" s="25" t="n"/>
      <c r="AD1158" s="25" t="n"/>
      <c r="AE1158" s="25" t="n"/>
      <c r="AF1158" s="25" t="n"/>
      <c r="AG1158" s="25" t="n"/>
      <c r="AH1158" s="25" t="n"/>
      <c r="AI1158" s="25" t="n"/>
      <c r="AJ1158" s="25" t="n"/>
      <c r="AK1158" s="25" t="n"/>
      <c r="AL1158" s="25" t="n"/>
      <c r="AM1158" s="25" t="n"/>
      <c r="AN1158" s="25" t="n"/>
      <c r="AO1158" s="25" t="n"/>
      <c r="AP1158" s="25" t="n"/>
      <c r="AQ1158" s="25" t="n"/>
      <c r="AR1158" s="25" t="n"/>
      <c r="AS1158" s="25" t="n"/>
      <c r="AT1158" s="25" t="n"/>
      <c r="AU1158" s="25" t="n"/>
      <c r="AV1158" s="25" t="n"/>
      <c r="AW1158" s="25" t="n"/>
      <c r="AX1158" s="25" t="n"/>
      <c r="AY1158" s="25" t="n"/>
      <c r="AZ1158" s="25" t="n"/>
      <c r="BA1158" s="25" t="n"/>
      <c r="BB1158" s="25" t="n"/>
      <c r="BC1158" s="25" t="n"/>
      <c r="BD1158" s="25" t="n"/>
      <c r="BE1158" s="25" t="n"/>
      <c r="BF1158" s="25" t="n"/>
      <c r="BG1158" s="25" t="n"/>
      <c r="BH1158" s="25" t="n"/>
      <c r="BI1158" s="25" t="n"/>
      <c r="BJ1158" s="25" t="n"/>
      <c r="BK1158" s="25" t="n"/>
      <c r="BL1158" s="25" t="n"/>
      <c r="BM1158" s="25" t="n"/>
      <c r="BN1158" s="25" t="n"/>
      <c r="BO1158" s="25" t="n"/>
      <c r="BP1158" s="25" t="n"/>
      <c r="BQ1158" s="25" t="n"/>
      <c r="BR1158" s="25" t="n"/>
      <c r="BS1158" s="25" t="n"/>
      <c r="BT1158" s="25" t="n"/>
      <c r="BU1158" s="25" t="n"/>
      <c r="BV1158" s="25" t="n"/>
      <c r="BW1158" s="25" t="n"/>
      <c r="BX1158" s="25" t="n"/>
      <c r="BY1158" s="25" t="n"/>
      <c r="BZ1158" s="25" t="n"/>
      <c r="CA1158" s="25" t="n"/>
      <c r="CB1158" s="25" t="n"/>
      <c r="CC1158" s="25" t="n"/>
      <c r="CD1158" s="25" t="n"/>
      <c r="CE1158" s="25" t="n"/>
      <c r="CF1158" s="25" t="n"/>
      <c r="CG1158" s="25" t="n"/>
      <c r="CH1158" s="25" t="n"/>
      <c r="CI1158" s="25" t="n"/>
      <c r="CJ1158" s="25" t="n"/>
      <c r="CK1158" s="25" t="n"/>
      <c r="CL1158" s="25" t="n"/>
      <c r="CM1158" s="25" t="n"/>
      <c r="CN1158" s="25" t="n"/>
      <c r="CO1158" s="25" t="n"/>
      <c r="CP1158" s="25" t="n"/>
      <c r="CQ1158" s="25" t="n"/>
      <c r="CR1158" s="25" t="n"/>
      <c r="CS1158" s="25" t="n"/>
      <c r="CT1158" s="25" t="n"/>
      <c r="CU1158" s="25" t="n"/>
      <c r="CV1158" s="25" t="n"/>
      <c r="CW1158" s="25" t="n"/>
      <c r="CX1158" s="25" t="n"/>
      <c r="CY1158" s="25" t="n"/>
      <c r="CZ1158" s="25" t="n"/>
      <c r="DA1158" s="25" t="n"/>
      <c r="DB1158" s="25" t="n"/>
      <c r="DC1158" s="25" t="n"/>
    </row>
    <row r="1159">
      <c r="B1159" s="5" t="inlineStr">
        <is>
          <t>合計在庫(週末時点,kg)</t>
        </is>
      </c>
      <c r="D1159">
        <f>'Grid_Stock'!B49</f>
        <v/>
      </c>
      <c r="E1159">
        <f>'Grid_Stock'!C49</f>
        <v/>
      </c>
      <c r="F1159">
        <f>'Grid_Stock'!D49</f>
        <v/>
      </c>
      <c r="G1159">
        <f>'Grid_Stock'!E49</f>
        <v/>
      </c>
      <c r="H1159">
        <f>'Grid_Stock'!F49</f>
        <v/>
      </c>
      <c r="I1159">
        <f>'Grid_Stock'!G49</f>
        <v/>
      </c>
      <c r="J1159">
        <f>'Grid_Stock'!H49</f>
        <v/>
      </c>
      <c r="K1159">
        <f>'Grid_Stock'!I49</f>
        <v/>
      </c>
      <c r="L1159">
        <f>'Grid_Stock'!J49</f>
        <v/>
      </c>
      <c r="M1159">
        <f>'Grid_Stock'!K49</f>
        <v/>
      </c>
      <c r="N1159">
        <f>'Grid_Stock'!L49</f>
        <v/>
      </c>
      <c r="O1159">
        <f>'Grid_Stock'!M49</f>
        <v/>
      </c>
      <c r="P1159">
        <f>'Grid_Stock'!N49</f>
        <v/>
      </c>
      <c r="Q1159">
        <f>'Grid_Stock'!O49</f>
        <v/>
      </c>
      <c r="R1159">
        <f>'Grid_Stock'!P49</f>
        <v/>
      </c>
      <c r="S1159">
        <f>'Grid_Stock'!Q49</f>
        <v/>
      </c>
      <c r="T1159">
        <f>'Grid_Stock'!R49</f>
        <v/>
      </c>
      <c r="U1159">
        <f>'Grid_Stock'!S49</f>
        <v/>
      </c>
      <c r="V1159">
        <f>'Grid_Stock'!T49</f>
        <v/>
      </c>
      <c r="W1159">
        <f>'Grid_Stock'!U49</f>
        <v/>
      </c>
      <c r="X1159">
        <f>'Grid_Stock'!V49</f>
        <v/>
      </c>
      <c r="Y1159">
        <f>'Grid_Stock'!W49</f>
        <v/>
      </c>
      <c r="Z1159">
        <f>'Grid_Stock'!X49</f>
        <v/>
      </c>
      <c r="AA1159">
        <f>'Grid_Stock'!Y49</f>
        <v/>
      </c>
      <c r="AB1159">
        <f>'Grid_Stock'!Z49</f>
        <v/>
      </c>
      <c r="AC1159">
        <f>'Grid_Stock'!AA49</f>
        <v/>
      </c>
      <c r="AD1159">
        <f>'Grid_Stock'!AB49</f>
        <v/>
      </c>
      <c r="AE1159">
        <f>'Grid_Stock'!AC49</f>
        <v/>
      </c>
      <c r="AF1159">
        <f>'Grid_Stock'!AD49</f>
        <v/>
      </c>
      <c r="AG1159">
        <f>'Grid_Stock'!AE49</f>
        <v/>
      </c>
      <c r="AH1159">
        <f>'Grid_Stock'!AF49</f>
        <v/>
      </c>
      <c r="AI1159">
        <f>'Grid_Stock'!AG49</f>
        <v/>
      </c>
      <c r="AJ1159">
        <f>'Grid_Stock'!AH49</f>
        <v/>
      </c>
      <c r="AK1159">
        <f>'Grid_Stock'!AI49</f>
        <v/>
      </c>
      <c r="AL1159">
        <f>'Grid_Stock'!AJ49</f>
        <v/>
      </c>
      <c r="AM1159">
        <f>'Grid_Stock'!AK49</f>
        <v/>
      </c>
      <c r="AN1159">
        <f>'Grid_Stock'!AL49</f>
        <v/>
      </c>
      <c r="AO1159">
        <f>'Grid_Stock'!AM49</f>
        <v/>
      </c>
      <c r="AP1159">
        <f>'Grid_Stock'!AN49</f>
        <v/>
      </c>
      <c r="AQ1159">
        <f>'Grid_Stock'!AO49</f>
        <v/>
      </c>
      <c r="AR1159">
        <f>'Grid_Stock'!AP49</f>
        <v/>
      </c>
      <c r="AS1159">
        <f>'Grid_Stock'!AQ49</f>
        <v/>
      </c>
      <c r="AT1159">
        <f>'Grid_Stock'!AR49</f>
        <v/>
      </c>
      <c r="AU1159">
        <f>'Grid_Stock'!AS49</f>
        <v/>
      </c>
      <c r="AV1159">
        <f>'Grid_Stock'!AT49</f>
        <v/>
      </c>
      <c r="AW1159">
        <f>'Grid_Stock'!AU49</f>
        <v/>
      </c>
      <c r="AX1159">
        <f>'Grid_Stock'!AV49</f>
        <v/>
      </c>
      <c r="AY1159">
        <f>'Grid_Stock'!AW49</f>
        <v/>
      </c>
      <c r="AZ1159">
        <f>'Grid_Stock'!AX49</f>
        <v/>
      </c>
      <c r="BA1159">
        <f>'Grid_Stock'!AY49</f>
        <v/>
      </c>
      <c r="BB1159">
        <f>'Grid_Stock'!AZ49</f>
        <v/>
      </c>
      <c r="BC1159">
        <f>'Grid_Stock'!BA49</f>
        <v/>
      </c>
      <c r="BD1159">
        <f>'Grid_Stock'!BB49</f>
        <v/>
      </c>
      <c r="BE1159">
        <f>'Grid_Stock'!BC49</f>
        <v/>
      </c>
      <c r="BF1159">
        <f>'Grid_Stock'!BD49</f>
        <v/>
      </c>
      <c r="BG1159">
        <f>'Grid_Stock'!BE49</f>
        <v/>
      </c>
      <c r="BH1159">
        <f>'Grid_Stock'!BF49</f>
        <v/>
      </c>
      <c r="BI1159">
        <f>'Grid_Stock'!BG49</f>
        <v/>
      </c>
      <c r="BJ1159">
        <f>'Grid_Stock'!BH49</f>
        <v/>
      </c>
      <c r="BK1159">
        <f>'Grid_Stock'!BI49</f>
        <v/>
      </c>
      <c r="BL1159">
        <f>'Grid_Stock'!BJ49</f>
        <v/>
      </c>
      <c r="BM1159">
        <f>'Grid_Stock'!BK49</f>
        <v/>
      </c>
      <c r="BN1159">
        <f>'Grid_Stock'!BL49</f>
        <v/>
      </c>
      <c r="BO1159">
        <f>'Grid_Stock'!BM49</f>
        <v/>
      </c>
      <c r="BP1159">
        <f>'Grid_Stock'!BN49</f>
        <v/>
      </c>
      <c r="BQ1159">
        <f>'Grid_Stock'!BO49</f>
        <v/>
      </c>
      <c r="BR1159">
        <f>'Grid_Stock'!BP49</f>
        <v/>
      </c>
      <c r="BS1159">
        <f>'Grid_Stock'!BQ49</f>
        <v/>
      </c>
      <c r="BT1159">
        <f>'Grid_Stock'!BR49</f>
        <v/>
      </c>
      <c r="BU1159">
        <f>'Grid_Stock'!BS49</f>
        <v/>
      </c>
      <c r="BV1159">
        <f>'Grid_Stock'!BT49</f>
        <v/>
      </c>
      <c r="BW1159">
        <f>'Grid_Stock'!BU49</f>
        <v/>
      </c>
      <c r="BX1159">
        <f>'Grid_Stock'!BV49</f>
        <v/>
      </c>
      <c r="BY1159">
        <f>'Grid_Stock'!BW49</f>
        <v/>
      </c>
      <c r="BZ1159">
        <f>'Grid_Stock'!BX49</f>
        <v/>
      </c>
      <c r="CA1159">
        <f>'Grid_Stock'!BY49</f>
        <v/>
      </c>
      <c r="CB1159">
        <f>'Grid_Stock'!BZ49</f>
        <v/>
      </c>
      <c r="CC1159">
        <f>'Grid_Stock'!CA49</f>
        <v/>
      </c>
      <c r="CD1159">
        <f>'Grid_Stock'!CB49</f>
        <v/>
      </c>
      <c r="CE1159">
        <f>'Grid_Stock'!CC49</f>
        <v/>
      </c>
      <c r="CF1159">
        <f>'Grid_Stock'!CD49</f>
        <v/>
      </c>
      <c r="CG1159">
        <f>'Grid_Stock'!CE49</f>
        <v/>
      </c>
      <c r="CH1159">
        <f>'Grid_Stock'!CF49</f>
        <v/>
      </c>
      <c r="CI1159">
        <f>'Grid_Stock'!CG49</f>
        <v/>
      </c>
      <c r="CJ1159">
        <f>'Grid_Stock'!CH49</f>
        <v/>
      </c>
      <c r="CK1159">
        <f>'Grid_Stock'!CI49</f>
        <v/>
      </c>
      <c r="CL1159">
        <f>'Grid_Stock'!CJ49</f>
        <v/>
      </c>
      <c r="CM1159">
        <f>'Grid_Stock'!CK49</f>
        <v/>
      </c>
      <c r="CN1159">
        <f>'Grid_Stock'!CL49</f>
        <v/>
      </c>
      <c r="CO1159">
        <f>'Grid_Stock'!CM49</f>
        <v/>
      </c>
      <c r="CP1159">
        <f>'Grid_Stock'!CN49</f>
        <v/>
      </c>
      <c r="CQ1159">
        <f>'Grid_Stock'!CO49</f>
        <v/>
      </c>
      <c r="CR1159">
        <f>'Grid_Stock'!CP49</f>
        <v/>
      </c>
      <c r="CS1159">
        <f>'Grid_Stock'!CQ49</f>
        <v/>
      </c>
      <c r="CT1159">
        <f>'Grid_Stock'!CR49</f>
        <v/>
      </c>
      <c r="CU1159">
        <f>'Grid_Stock'!CS49</f>
        <v/>
      </c>
      <c r="CV1159">
        <f>'Grid_Stock'!CT49</f>
        <v/>
      </c>
      <c r="CW1159">
        <f>'Grid_Stock'!CU49</f>
        <v/>
      </c>
      <c r="CX1159">
        <f>'Grid_Stock'!CV49</f>
        <v/>
      </c>
      <c r="CY1159">
        <f>'Grid_Stock'!CW49</f>
        <v/>
      </c>
      <c r="CZ1159">
        <f>'Grid_Stock'!CX49</f>
        <v/>
      </c>
      <c r="DA1159">
        <f>'Grid_Stock'!CY49</f>
        <v/>
      </c>
      <c r="DB1159">
        <f>'Grid_Stock'!CZ49</f>
        <v/>
      </c>
      <c r="DC1159">
        <f>'Grid_Stock'!DA49</f>
        <v/>
      </c>
    </row>
    <row r="1160">
      <c r="B1160" s="26" t="inlineStr">
        <is>
          <t>（発注の目安はDashboardの基準在庫[下限/上限]と色分けを参照）</t>
        </is>
      </c>
    </row>
    <row r="1162">
      <c r="A1162" s="21" t="inlineStr">
        <is>
          <t>CHEM-1760</t>
        </is>
      </c>
      <c r="B1162" s="21" t="inlineStr">
        <is>
          <t>Pigment TC RED FD (A)</t>
        </is>
      </c>
      <c r="C1162" s="22" t="n"/>
      <c r="D1162" s="21" t="n"/>
      <c r="E1162" s="21" t="n"/>
      <c r="F1162" s="21" t="n"/>
      <c r="G1162" s="21" t="n"/>
      <c r="H1162" s="21" t="n"/>
      <c r="I1162" s="21" t="n"/>
      <c r="J1162" s="21" t="n"/>
      <c r="K1162" s="21" t="n"/>
      <c r="L1162" s="21" t="n"/>
      <c r="M1162" s="21" t="n"/>
      <c r="N1162" s="21" t="n"/>
      <c r="O1162" s="21" t="n"/>
      <c r="P1162" s="21" t="n"/>
      <c r="Q1162" s="21" t="n"/>
      <c r="R1162" s="21" t="n"/>
      <c r="S1162" s="21" t="n"/>
      <c r="T1162" s="21" t="n"/>
      <c r="U1162" s="21" t="n"/>
      <c r="V1162" s="21" t="n"/>
      <c r="W1162" s="21" t="n"/>
      <c r="X1162" s="21" t="n"/>
      <c r="Y1162" s="21" t="n"/>
      <c r="Z1162" s="21" t="n"/>
      <c r="AA1162" s="21" t="n"/>
      <c r="AB1162" s="21" t="n"/>
      <c r="AC1162" s="21" t="n"/>
      <c r="AD1162" s="21" t="n"/>
      <c r="AE1162" s="21" t="n"/>
      <c r="AF1162" s="21" t="n"/>
      <c r="AG1162" s="21" t="n"/>
      <c r="AH1162" s="21" t="n"/>
      <c r="AI1162" s="21" t="n"/>
      <c r="AJ1162" s="21" t="n"/>
      <c r="AK1162" s="21" t="n"/>
      <c r="AL1162" s="21" t="n"/>
      <c r="AM1162" s="21" t="n"/>
      <c r="AN1162" s="21" t="n"/>
      <c r="AO1162" s="21" t="n"/>
      <c r="AP1162" s="21" t="n"/>
      <c r="AQ1162" s="21" t="n"/>
      <c r="AR1162" s="21" t="n"/>
      <c r="AS1162" s="21" t="n"/>
      <c r="AT1162" s="21" t="n"/>
      <c r="AU1162" s="21" t="n"/>
      <c r="AV1162" s="21" t="n"/>
      <c r="AW1162" s="21" t="n"/>
      <c r="AX1162" s="21" t="n"/>
      <c r="AY1162" s="21" t="n"/>
      <c r="AZ1162" s="21" t="n"/>
      <c r="BA1162" s="21" t="n"/>
      <c r="BB1162" s="21" t="n"/>
      <c r="BC1162" s="21" t="n"/>
      <c r="BD1162" s="21" t="n"/>
      <c r="BE1162" s="21" t="n"/>
      <c r="BF1162" s="21" t="n"/>
      <c r="BG1162" s="21" t="n"/>
      <c r="BH1162" s="21" t="n"/>
      <c r="BI1162" s="21" t="n"/>
      <c r="BJ1162" s="21" t="n"/>
      <c r="BK1162" s="21" t="n"/>
      <c r="BL1162" s="21" t="n"/>
      <c r="BM1162" s="21" t="n"/>
      <c r="BN1162" s="21" t="n"/>
      <c r="BO1162" s="21" t="n"/>
      <c r="BP1162" s="21" t="n"/>
      <c r="BQ1162" s="21" t="n"/>
      <c r="BR1162" s="21" t="n"/>
      <c r="BS1162" s="21" t="n"/>
      <c r="BT1162" s="21" t="n"/>
      <c r="BU1162" s="21" t="n"/>
      <c r="BV1162" s="21" t="n"/>
      <c r="BW1162" s="21" t="n"/>
      <c r="BX1162" s="21" t="n"/>
      <c r="BY1162" s="21" t="n"/>
      <c r="BZ1162" s="21" t="n"/>
      <c r="CA1162" s="21" t="n"/>
      <c r="CB1162" s="21" t="n"/>
      <c r="CC1162" s="21" t="n"/>
      <c r="CD1162" s="21" t="n"/>
      <c r="CE1162" s="21" t="n"/>
      <c r="CF1162" s="21" t="n"/>
      <c r="CG1162" s="21" t="n"/>
      <c r="CH1162" s="21" t="n"/>
      <c r="CI1162" s="21" t="n"/>
      <c r="CJ1162" s="21" t="n"/>
      <c r="CK1162" s="21" t="n"/>
      <c r="CL1162" s="21" t="n"/>
      <c r="CM1162" s="21" t="n"/>
      <c r="CN1162" s="21" t="n"/>
      <c r="CO1162" s="21" t="n"/>
      <c r="CP1162" s="21" t="n"/>
      <c r="CQ1162" s="21" t="n"/>
      <c r="CR1162" s="21" t="n"/>
      <c r="CS1162" s="21" t="n"/>
      <c r="CT1162" s="21" t="n"/>
      <c r="CU1162" s="21" t="n"/>
      <c r="CV1162" s="21" t="n"/>
      <c r="CW1162" s="21" t="n"/>
      <c r="CX1162" s="21" t="n"/>
      <c r="CY1162" s="21" t="n"/>
      <c r="CZ1162" s="21" t="n"/>
      <c r="DA1162" s="21" t="n"/>
      <c r="DB1162" s="21" t="n"/>
      <c r="DC1162" s="21" t="n"/>
    </row>
    <row r="1163">
      <c r="B1163" t="inlineStr">
        <is>
          <t>TVS-267</t>
        </is>
      </c>
      <c r="C1163" t="inlineStr">
        <is>
          <t>No. of batches</t>
        </is>
      </c>
      <c r="D1163">
        <f>IFERROR(INDEX(PP_Grid[#Data],$DD1163,2),0)</f>
        <v/>
      </c>
      <c r="E1163">
        <f>IFERROR(INDEX(PP_Grid[#Data],$DD1163,3),0)</f>
        <v/>
      </c>
      <c r="F1163">
        <f>IFERROR(INDEX(PP_Grid[#Data],$DD1163,4),0)</f>
        <v/>
      </c>
      <c r="G1163">
        <f>IFERROR(INDEX(PP_Grid[#Data],$DD1163,5),0)</f>
        <v/>
      </c>
      <c r="H1163">
        <f>IFERROR(INDEX(PP_Grid[#Data],$DD1163,6),0)</f>
        <v/>
      </c>
      <c r="I1163">
        <f>IFERROR(INDEX(PP_Grid[#Data],$DD1163,7),0)</f>
        <v/>
      </c>
      <c r="J1163">
        <f>IFERROR(INDEX(PP_Grid[#Data],$DD1163,8),0)</f>
        <v/>
      </c>
      <c r="K1163">
        <f>IFERROR(INDEX(PP_Grid[#Data],$DD1163,9),0)</f>
        <v/>
      </c>
      <c r="L1163">
        <f>IFERROR(INDEX(PP_Grid[#Data],$DD1163,10),0)</f>
        <v/>
      </c>
      <c r="M1163">
        <f>IFERROR(INDEX(PP_Grid[#Data],$DD1163,11),0)</f>
        <v/>
      </c>
      <c r="N1163">
        <f>IFERROR(INDEX(PP_Grid[#Data],$DD1163,12),0)</f>
        <v/>
      </c>
      <c r="O1163">
        <f>IFERROR(INDEX(PP_Grid[#Data],$DD1163,13),0)</f>
        <v/>
      </c>
      <c r="P1163">
        <f>IFERROR(INDEX(PP_Grid[#Data],$DD1163,14),0)</f>
        <v/>
      </c>
      <c r="Q1163">
        <f>IFERROR(INDEX(PP_Grid[#Data],$DD1163,15),0)</f>
        <v/>
      </c>
      <c r="R1163">
        <f>IFERROR(INDEX(PP_Grid[#Data],$DD1163,16),0)</f>
        <v/>
      </c>
      <c r="S1163">
        <f>IFERROR(INDEX(PP_Grid[#Data],$DD1163,17),0)</f>
        <v/>
      </c>
      <c r="T1163">
        <f>IFERROR(INDEX(PP_Grid[#Data],$DD1163,18),0)</f>
        <v/>
      </c>
      <c r="U1163">
        <f>IFERROR(INDEX(PP_Grid[#Data],$DD1163,19),0)</f>
        <v/>
      </c>
      <c r="V1163">
        <f>IFERROR(INDEX(PP_Grid[#Data],$DD1163,20),0)</f>
        <v/>
      </c>
      <c r="W1163">
        <f>IFERROR(INDEX(PP_Grid[#Data],$DD1163,21),0)</f>
        <v/>
      </c>
      <c r="X1163">
        <f>IFERROR(INDEX(PP_Grid[#Data],$DD1163,22),0)</f>
        <v/>
      </c>
      <c r="Y1163">
        <f>IFERROR(INDEX(PP_Grid[#Data],$DD1163,23),0)</f>
        <v/>
      </c>
      <c r="Z1163">
        <f>IFERROR(INDEX(PP_Grid[#Data],$DD1163,24),0)</f>
        <v/>
      </c>
      <c r="AA1163">
        <f>IFERROR(INDEX(PP_Grid[#Data],$DD1163,25),0)</f>
        <v/>
      </c>
      <c r="AB1163">
        <f>IFERROR(INDEX(PP_Grid[#Data],$DD1163,26),0)</f>
        <v/>
      </c>
      <c r="AC1163">
        <f>IFERROR(INDEX(PP_Grid[#Data],$DD1163,27),0)</f>
        <v/>
      </c>
      <c r="AD1163">
        <f>IFERROR(INDEX(PP_Grid[#Data],$DD1163,28),0)</f>
        <v/>
      </c>
      <c r="AE1163">
        <f>IFERROR(INDEX(PP_Grid[#Data],$DD1163,29),0)</f>
        <v/>
      </c>
      <c r="AF1163">
        <f>IFERROR(INDEX(PP_Grid[#Data],$DD1163,30),0)</f>
        <v/>
      </c>
      <c r="AG1163">
        <f>IFERROR(INDEX(PP_Grid[#Data],$DD1163,31),0)</f>
        <v/>
      </c>
      <c r="AH1163">
        <f>IFERROR(INDEX(PP_Grid[#Data],$DD1163,32),0)</f>
        <v/>
      </c>
      <c r="AI1163">
        <f>IFERROR(INDEX(PP_Grid[#Data],$DD1163,33),0)</f>
        <v/>
      </c>
      <c r="AJ1163">
        <f>IFERROR(INDEX(PP_Grid[#Data],$DD1163,34),0)</f>
        <v/>
      </c>
      <c r="AK1163">
        <f>IFERROR(INDEX(PP_Grid[#Data],$DD1163,35),0)</f>
        <v/>
      </c>
      <c r="AL1163">
        <f>IFERROR(INDEX(PP_Grid[#Data],$DD1163,36),0)</f>
        <v/>
      </c>
      <c r="AM1163">
        <f>IFERROR(INDEX(PP_Grid[#Data],$DD1163,37),0)</f>
        <v/>
      </c>
      <c r="AN1163">
        <f>IFERROR(INDEX(PP_Grid[#Data],$DD1163,38),0)</f>
        <v/>
      </c>
      <c r="AO1163">
        <f>IFERROR(INDEX(PP_Grid[#Data],$DD1163,39),0)</f>
        <v/>
      </c>
      <c r="AP1163">
        <f>IFERROR(INDEX(PP_Grid[#Data],$DD1163,40),0)</f>
        <v/>
      </c>
      <c r="AQ1163">
        <f>IFERROR(INDEX(PP_Grid[#Data],$DD1163,41),0)</f>
        <v/>
      </c>
      <c r="AR1163">
        <f>IFERROR(INDEX(PP_Grid[#Data],$DD1163,42),0)</f>
        <v/>
      </c>
      <c r="AS1163">
        <f>IFERROR(INDEX(PP_Grid[#Data],$DD1163,43),0)</f>
        <v/>
      </c>
      <c r="AT1163">
        <f>IFERROR(INDEX(PP_Grid[#Data],$DD1163,44),0)</f>
        <v/>
      </c>
      <c r="AU1163">
        <f>IFERROR(INDEX(PP_Grid[#Data],$DD1163,45),0)</f>
        <v/>
      </c>
      <c r="AV1163">
        <f>IFERROR(INDEX(PP_Grid[#Data],$DD1163,46),0)</f>
        <v/>
      </c>
      <c r="AW1163">
        <f>IFERROR(INDEX(PP_Grid[#Data],$DD1163,47),0)</f>
        <v/>
      </c>
      <c r="AX1163">
        <f>IFERROR(INDEX(PP_Grid[#Data],$DD1163,48),0)</f>
        <v/>
      </c>
      <c r="AY1163">
        <f>IFERROR(INDEX(PP_Grid[#Data],$DD1163,49),0)</f>
        <v/>
      </c>
      <c r="AZ1163">
        <f>IFERROR(INDEX(PP_Grid[#Data],$DD1163,50),0)</f>
        <v/>
      </c>
      <c r="BA1163">
        <f>IFERROR(INDEX(PP_Grid[#Data],$DD1163,51),0)</f>
        <v/>
      </c>
      <c r="BB1163">
        <f>IFERROR(INDEX(PP_Grid[#Data],$DD1163,52),0)</f>
        <v/>
      </c>
      <c r="BC1163">
        <f>IFERROR(INDEX(PP_Grid[#Data],$DD1163,53),0)</f>
        <v/>
      </c>
      <c r="BD1163">
        <f>IFERROR(INDEX(PP_Grid[#Data],$DD1163,54),0)</f>
        <v/>
      </c>
      <c r="BE1163">
        <f>IFERROR(INDEX(PP_Grid[#Data],$DD1163,55),0)</f>
        <v/>
      </c>
      <c r="BF1163">
        <f>IFERROR(INDEX(PP_Grid[#Data],$DD1163,56),0)</f>
        <v/>
      </c>
      <c r="BG1163">
        <f>IFERROR(INDEX(PP_Grid[#Data],$DD1163,57),0)</f>
        <v/>
      </c>
      <c r="BH1163">
        <f>IFERROR(INDEX(PP_Grid[#Data],$DD1163,58),0)</f>
        <v/>
      </c>
      <c r="BI1163">
        <f>IFERROR(INDEX(PP_Grid[#Data],$DD1163,59),0)</f>
        <v/>
      </c>
      <c r="BJ1163">
        <f>IFERROR(INDEX(PP_Grid[#Data],$DD1163,60),0)</f>
        <v/>
      </c>
      <c r="BK1163">
        <f>IFERROR(INDEX(PP_Grid[#Data],$DD1163,61),0)</f>
        <v/>
      </c>
      <c r="BL1163">
        <f>IFERROR(INDEX(PP_Grid[#Data],$DD1163,62),0)</f>
        <v/>
      </c>
      <c r="BM1163">
        <f>IFERROR(INDEX(PP_Grid[#Data],$DD1163,63),0)</f>
        <v/>
      </c>
      <c r="BN1163">
        <f>IFERROR(INDEX(PP_Grid[#Data],$DD1163,64),0)</f>
        <v/>
      </c>
      <c r="BO1163">
        <f>IFERROR(INDEX(PP_Grid[#Data],$DD1163,65),0)</f>
        <v/>
      </c>
      <c r="BP1163">
        <f>IFERROR(INDEX(PP_Grid[#Data],$DD1163,66),0)</f>
        <v/>
      </c>
      <c r="BQ1163">
        <f>IFERROR(INDEX(PP_Grid[#Data],$DD1163,67),0)</f>
        <v/>
      </c>
      <c r="BR1163">
        <f>IFERROR(INDEX(PP_Grid[#Data],$DD1163,68),0)</f>
        <v/>
      </c>
      <c r="BS1163">
        <f>IFERROR(INDEX(PP_Grid[#Data],$DD1163,69),0)</f>
        <v/>
      </c>
      <c r="BT1163">
        <f>IFERROR(INDEX(PP_Grid[#Data],$DD1163,70),0)</f>
        <v/>
      </c>
      <c r="BU1163">
        <f>IFERROR(INDEX(PP_Grid[#Data],$DD1163,71),0)</f>
        <v/>
      </c>
      <c r="BV1163">
        <f>IFERROR(INDEX(PP_Grid[#Data],$DD1163,72),0)</f>
        <v/>
      </c>
      <c r="BW1163">
        <f>IFERROR(INDEX(PP_Grid[#Data],$DD1163,73),0)</f>
        <v/>
      </c>
      <c r="BX1163">
        <f>IFERROR(INDEX(PP_Grid[#Data],$DD1163,74),0)</f>
        <v/>
      </c>
      <c r="BY1163">
        <f>IFERROR(INDEX(PP_Grid[#Data],$DD1163,75),0)</f>
        <v/>
      </c>
      <c r="BZ1163">
        <f>IFERROR(INDEX(PP_Grid[#Data],$DD1163,76),0)</f>
        <v/>
      </c>
      <c r="CA1163">
        <f>IFERROR(INDEX(PP_Grid[#Data],$DD1163,77),0)</f>
        <v/>
      </c>
      <c r="CB1163">
        <f>IFERROR(INDEX(PP_Grid[#Data],$DD1163,78),0)</f>
        <v/>
      </c>
      <c r="CC1163">
        <f>IFERROR(INDEX(PP_Grid[#Data],$DD1163,79),0)</f>
        <v/>
      </c>
      <c r="CD1163">
        <f>IFERROR(INDEX(PP_Grid[#Data],$DD1163,80),0)</f>
        <v/>
      </c>
      <c r="CE1163">
        <f>IFERROR(INDEX(PP_Grid[#Data],$DD1163,81),0)</f>
        <v/>
      </c>
      <c r="CF1163">
        <f>IFERROR(INDEX(PP_Grid[#Data],$DD1163,82),0)</f>
        <v/>
      </c>
      <c r="CG1163">
        <f>IFERROR(INDEX(PP_Grid[#Data],$DD1163,83),0)</f>
        <v/>
      </c>
      <c r="CH1163">
        <f>IFERROR(INDEX(PP_Grid[#Data],$DD1163,84),0)</f>
        <v/>
      </c>
      <c r="CI1163">
        <f>IFERROR(INDEX(PP_Grid[#Data],$DD1163,85),0)</f>
        <v/>
      </c>
      <c r="CJ1163">
        <f>IFERROR(INDEX(PP_Grid[#Data],$DD1163,86),0)</f>
        <v/>
      </c>
      <c r="CK1163">
        <f>IFERROR(INDEX(PP_Grid[#Data],$DD1163,87),0)</f>
        <v/>
      </c>
      <c r="CL1163">
        <f>IFERROR(INDEX(PP_Grid[#Data],$DD1163,88),0)</f>
        <v/>
      </c>
      <c r="CM1163">
        <f>IFERROR(INDEX(PP_Grid[#Data],$DD1163,89),0)</f>
        <v/>
      </c>
      <c r="CN1163">
        <f>IFERROR(INDEX(PP_Grid[#Data],$DD1163,90),0)</f>
        <v/>
      </c>
      <c r="CO1163">
        <f>IFERROR(INDEX(PP_Grid[#Data],$DD1163,91),0)</f>
        <v/>
      </c>
      <c r="CP1163">
        <f>IFERROR(INDEX(PP_Grid[#Data],$DD1163,92),0)</f>
        <v/>
      </c>
      <c r="CQ1163">
        <f>IFERROR(INDEX(PP_Grid[#Data],$DD1163,93),0)</f>
        <v/>
      </c>
      <c r="CR1163">
        <f>IFERROR(INDEX(PP_Grid[#Data],$DD1163,94),0)</f>
        <v/>
      </c>
      <c r="CS1163">
        <f>IFERROR(INDEX(PP_Grid[#Data],$DD1163,95),0)</f>
        <v/>
      </c>
      <c r="CT1163">
        <f>IFERROR(INDEX(PP_Grid[#Data],$DD1163,96),0)</f>
        <v/>
      </c>
      <c r="CU1163">
        <f>IFERROR(INDEX(PP_Grid[#Data],$DD1163,97),0)</f>
        <v/>
      </c>
      <c r="CV1163">
        <f>IFERROR(INDEX(PP_Grid[#Data],$DD1163,98),0)</f>
        <v/>
      </c>
      <c r="CW1163">
        <f>IFERROR(INDEX(PP_Grid[#Data],$DD1163,99),0)</f>
        <v/>
      </c>
      <c r="CX1163">
        <f>IFERROR(INDEX(PP_Grid[#Data],$DD1163,100),0)</f>
        <v/>
      </c>
      <c r="CY1163">
        <f>IFERROR(INDEX(PP_Grid[#Data],$DD1163,101),0)</f>
        <v/>
      </c>
      <c r="CZ1163">
        <f>IFERROR(INDEX(PP_Grid[#Data],$DD1163,102),0)</f>
        <v/>
      </c>
      <c r="DA1163">
        <f>IFERROR(INDEX(PP_Grid[#Data],$DD1163,103),0)</f>
        <v/>
      </c>
      <c r="DB1163">
        <f>IFERROR(INDEX(PP_Grid[#Data],$DD1163,104),0)</f>
        <v/>
      </c>
      <c r="DC1163">
        <f>IFERROR(INDEX(PP_Grid[#Data],$DD1163,105),0)</f>
        <v/>
      </c>
      <c r="DD1163" s="12">
        <f>IFERROR(MATCH($B1163,PP_Grid[Intermediate],0),99999)</f>
        <v/>
      </c>
    </row>
    <row r="1164">
      <c r="B1164" t="inlineStr">
        <is>
          <t>使用量(kg)</t>
        </is>
      </c>
      <c r="C1164">
        <f>SUMIFS(M_BOM[RM_Qty_Per_Batch],M_BOM[Intermediate],$B1163,M_BOM[Part Name],$A1162)</f>
        <v/>
      </c>
      <c r="D1164">
        <f>$C1164*D1163</f>
        <v/>
      </c>
      <c r="E1164">
        <f>$C1164*E1163</f>
        <v/>
      </c>
      <c r="F1164">
        <f>$C1164*F1163</f>
        <v/>
      </c>
      <c r="G1164">
        <f>$C1164*G1163</f>
        <v/>
      </c>
      <c r="H1164">
        <f>$C1164*H1163</f>
        <v/>
      </c>
      <c r="I1164">
        <f>$C1164*I1163</f>
        <v/>
      </c>
      <c r="J1164">
        <f>$C1164*J1163</f>
        <v/>
      </c>
      <c r="K1164">
        <f>$C1164*K1163</f>
        <v/>
      </c>
      <c r="L1164">
        <f>$C1164*L1163</f>
        <v/>
      </c>
      <c r="M1164">
        <f>$C1164*M1163</f>
        <v/>
      </c>
      <c r="N1164">
        <f>$C1164*N1163</f>
        <v/>
      </c>
      <c r="O1164">
        <f>$C1164*O1163</f>
        <v/>
      </c>
      <c r="P1164">
        <f>$C1164*P1163</f>
        <v/>
      </c>
      <c r="Q1164">
        <f>$C1164*Q1163</f>
        <v/>
      </c>
      <c r="R1164">
        <f>$C1164*R1163</f>
        <v/>
      </c>
      <c r="S1164">
        <f>$C1164*S1163</f>
        <v/>
      </c>
      <c r="T1164">
        <f>$C1164*T1163</f>
        <v/>
      </c>
      <c r="U1164">
        <f>$C1164*U1163</f>
        <v/>
      </c>
      <c r="V1164">
        <f>$C1164*V1163</f>
        <v/>
      </c>
      <c r="W1164">
        <f>$C1164*W1163</f>
        <v/>
      </c>
      <c r="X1164">
        <f>$C1164*X1163</f>
        <v/>
      </c>
      <c r="Y1164">
        <f>$C1164*Y1163</f>
        <v/>
      </c>
      <c r="Z1164">
        <f>$C1164*Z1163</f>
        <v/>
      </c>
      <c r="AA1164">
        <f>$C1164*AA1163</f>
        <v/>
      </c>
      <c r="AB1164">
        <f>$C1164*AB1163</f>
        <v/>
      </c>
      <c r="AC1164">
        <f>$C1164*AC1163</f>
        <v/>
      </c>
      <c r="AD1164">
        <f>$C1164*AD1163</f>
        <v/>
      </c>
      <c r="AE1164">
        <f>$C1164*AE1163</f>
        <v/>
      </c>
      <c r="AF1164">
        <f>$C1164*AF1163</f>
        <v/>
      </c>
      <c r="AG1164">
        <f>$C1164*AG1163</f>
        <v/>
      </c>
      <c r="AH1164">
        <f>$C1164*AH1163</f>
        <v/>
      </c>
      <c r="AI1164">
        <f>$C1164*AI1163</f>
        <v/>
      </c>
      <c r="AJ1164">
        <f>$C1164*AJ1163</f>
        <v/>
      </c>
      <c r="AK1164">
        <f>$C1164*AK1163</f>
        <v/>
      </c>
      <c r="AL1164">
        <f>$C1164*AL1163</f>
        <v/>
      </c>
      <c r="AM1164">
        <f>$C1164*AM1163</f>
        <v/>
      </c>
      <c r="AN1164">
        <f>$C1164*AN1163</f>
        <v/>
      </c>
      <c r="AO1164">
        <f>$C1164*AO1163</f>
        <v/>
      </c>
      <c r="AP1164">
        <f>$C1164*AP1163</f>
        <v/>
      </c>
      <c r="AQ1164">
        <f>$C1164*AQ1163</f>
        <v/>
      </c>
      <c r="AR1164">
        <f>$C1164*AR1163</f>
        <v/>
      </c>
      <c r="AS1164">
        <f>$C1164*AS1163</f>
        <v/>
      </c>
      <c r="AT1164">
        <f>$C1164*AT1163</f>
        <v/>
      </c>
      <c r="AU1164">
        <f>$C1164*AU1163</f>
        <v/>
      </c>
      <c r="AV1164">
        <f>$C1164*AV1163</f>
        <v/>
      </c>
      <c r="AW1164">
        <f>$C1164*AW1163</f>
        <v/>
      </c>
      <c r="AX1164">
        <f>$C1164*AX1163</f>
        <v/>
      </c>
      <c r="AY1164">
        <f>$C1164*AY1163</f>
        <v/>
      </c>
      <c r="AZ1164">
        <f>$C1164*AZ1163</f>
        <v/>
      </c>
      <c r="BA1164">
        <f>$C1164*BA1163</f>
        <v/>
      </c>
      <c r="BB1164">
        <f>$C1164*BB1163</f>
        <v/>
      </c>
      <c r="BC1164">
        <f>$C1164*BC1163</f>
        <v/>
      </c>
      <c r="BD1164">
        <f>$C1164*BD1163</f>
        <v/>
      </c>
      <c r="BE1164">
        <f>$C1164*BE1163</f>
        <v/>
      </c>
      <c r="BF1164">
        <f>$C1164*BF1163</f>
        <v/>
      </c>
      <c r="BG1164">
        <f>$C1164*BG1163</f>
        <v/>
      </c>
      <c r="BH1164">
        <f>$C1164*BH1163</f>
        <v/>
      </c>
      <c r="BI1164">
        <f>$C1164*BI1163</f>
        <v/>
      </c>
      <c r="BJ1164">
        <f>$C1164*BJ1163</f>
        <v/>
      </c>
      <c r="BK1164">
        <f>$C1164*BK1163</f>
        <v/>
      </c>
      <c r="BL1164">
        <f>$C1164*BL1163</f>
        <v/>
      </c>
      <c r="BM1164">
        <f>$C1164*BM1163</f>
        <v/>
      </c>
      <c r="BN1164">
        <f>$C1164*BN1163</f>
        <v/>
      </c>
      <c r="BO1164">
        <f>$C1164*BO1163</f>
        <v/>
      </c>
      <c r="BP1164">
        <f>$C1164*BP1163</f>
        <v/>
      </c>
      <c r="BQ1164">
        <f>$C1164*BQ1163</f>
        <v/>
      </c>
      <c r="BR1164">
        <f>$C1164*BR1163</f>
        <v/>
      </c>
      <c r="BS1164">
        <f>$C1164*BS1163</f>
        <v/>
      </c>
      <c r="BT1164">
        <f>$C1164*BT1163</f>
        <v/>
      </c>
      <c r="BU1164">
        <f>$C1164*BU1163</f>
        <v/>
      </c>
      <c r="BV1164">
        <f>$C1164*BV1163</f>
        <v/>
      </c>
      <c r="BW1164">
        <f>$C1164*BW1163</f>
        <v/>
      </c>
      <c r="BX1164">
        <f>$C1164*BX1163</f>
        <v/>
      </c>
      <c r="BY1164">
        <f>$C1164*BY1163</f>
        <v/>
      </c>
      <c r="BZ1164">
        <f>$C1164*BZ1163</f>
        <v/>
      </c>
      <c r="CA1164">
        <f>$C1164*CA1163</f>
        <v/>
      </c>
      <c r="CB1164">
        <f>$C1164*CB1163</f>
        <v/>
      </c>
      <c r="CC1164">
        <f>$C1164*CC1163</f>
        <v/>
      </c>
      <c r="CD1164">
        <f>$C1164*CD1163</f>
        <v/>
      </c>
      <c r="CE1164">
        <f>$C1164*CE1163</f>
        <v/>
      </c>
      <c r="CF1164">
        <f>$C1164*CF1163</f>
        <v/>
      </c>
      <c r="CG1164">
        <f>$C1164*CG1163</f>
        <v/>
      </c>
      <c r="CH1164">
        <f>$C1164*CH1163</f>
        <v/>
      </c>
      <c r="CI1164">
        <f>$C1164*CI1163</f>
        <v/>
      </c>
      <c r="CJ1164">
        <f>$C1164*CJ1163</f>
        <v/>
      </c>
      <c r="CK1164">
        <f>$C1164*CK1163</f>
        <v/>
      </c>
      <c r="CL1164">
        <f>$C1164*CL1163</f>
        <v/>
      </c>
      <c r="CM1164">
        <f>$C1164*CM1163</f>
        <v/>
      </c>
      <c r="CN1164">
        <f>$C1164*CN1163</f>
        <v/>
      </c>
      <c r="CO1164">
        <f>$C1164*CO1163</f>
        <v/>
      </c>
      <c r="CP1164">
        <f>$C1164*CP1163</f>
        <v/>
      </c>
      <c r="CQ1164">
        <f>$C1164*CQ1163</f>
        <v/>
      </c>
      <c r="CR1164">
        <f>$C1164*CR1163</f>
        <v/>
      </c>
      <c r="CS1164">
        <f>$C1164*CS1163</f>
        <v/>
      </c>
      <c r="CT1164">
        <f>$C1164*CT1163</f>
        <v/>
      </c>
      <c r="CU1164">
        <f>$C1164*CU1163</f>
        <v/>
      </c>
      <c r="CV1164">
        <f>$C1164*CV1163</f>
        <v/>
      </c>
      <c r="CW1164">
        <f>$C1164*CW1163</f>
        <v/>
      </c>
      <c r="CX1164">
        <f>$C1164*CX1163</f>
        <v/>
      </c>
      <c r="CY1164">
        <f>$C1164*CY1163</f>
        <v/>
      </c>
      <c r="CZ1164">
        <f>$C1164*CZ1163</f>
        <v/>
      </c>
      <c r="DA1164">
        <f>$C1164*DA1163</f>
        <v/>
      </c>
      <c r="DB1164">
        <f>$C1164*DB1163</f>
        <v/>
      </c>
      <c r="DC1164">
        <f>$C1164*DC1163</f>
        <v/>
      </c>
    </row>
    <row r="1165">
      <c r="B1165" t="inlineStr">
        <is>
          <t>TVS-500</t>
        </is>
      </c>
      <c r="C1165" t="inlineStr">
        <is>
          <t>No. of batches</t>
        </is>
      </c>
      <c r="D1165">
        <f>IFERROR(INDEX(PP_Grid[#Data],$DD1165,2),0)</f>
        <v/>
      </c>
      <c r="E1165">
        <f>IFERROR(INDEX(PP_Grid[#Data],$DD1165,3),0)</f>
        <v/>
      </c>
      <c r="F1165">
        <f>IFERROR(INDEX(PP_Grid[#Data],$DD1165,4),0)</f>
        <v/>
      </c>
      <c r="G1165">
        <f>IFERROR(INDEX(PP_Grid[#Data],$DD1165,5),0)</f>
        <v/>
      </c>
      <c r="H1165">
        <f>IFERROR(INDEX(PP_Grid[#Data],$DD1165,6),0)</f>
        <v/>
      </c>
      <c r="I1165">
        <f>IFERROR(INDEX(PP_Grid[#Data],$DD1165,7),0)</f>
        <v/>
      </c>
      <c r="J1165">
        <f>IFERROR(INDEX(PP_Grid[#Data],$DD1165,8),0)</f>
        <v/>
      </c>
      <c r="K1165">
        <f>IFERROR(INDEX(PP_Grid[#Data],$DD1165,9),0)</f>
        <v/>
      </c>
      <c r="L1165">
        <f>IFERROR(INDEX(PP_Grid[#Data],$DD1165,10),0)</f>
        <v/>
      </c>
      <c r="M1165">
        <f>IFERROR(INDEX(PP_Grid[#Data],$DD1165,11),0)</f>
        <v/>
      </c>
      <c r="N1165">
        <f>IFERROR(INDEX(PP_Grid[#Data],$DD1165,12),0)</f>
        <v/>
      </c>
      <c r="O1165">
        <f>IFERROR(INDEX(PP_Grid[#Data],$DD1165,13),0)</f>
        <v/>
      </c>
      <c r="P1165">
        <f>IFERROR(INDEX(PP_Grid[#Data],$DD1165,14),0)</f>
        <v/>
      </c>
      <c r="Q1165">
        <f>IFERROR(INDEX(PP_Grid[#Data],$DD1165,15),0)</f>
        <v/>
      </c>
      <c r="R1165">
        <f>IFERROR(INDEX(PP_Grid[#Data],$DD1165,16),0)</f>
        <v/>
      </c>
      <c r="S1165">
        <f>IFERROR(INDEX(PP_Grid[#Data],$DD1165,17),0)</f>
        <v/>
      </c>
      <c r="T1165">
        <f>IFERROR(INDEX(PP_Grid[#Data],$DD1165,18),0)</f>
        <v/>
      </c>
      <c r="U1165">
        <f>IFERROR(INDEX(PP_Grid[#Data],$DD1165,19),0)</f>
        <v/>
      </c>
      <c r="V1165">
        <f>IFERROR(INDEX(PP_Grid[#Data],$DD1165,20),0)</f>
        <v/>
      </c>
      <c r="W1165">
        <f>IFERROR(INDEX(PP_Grid[#Data],$DD1165,21),0)</f>
        <v/>
      </c>
      <c r="X1165">
        <f>IFERROR(INDEX(PP_Grid[#Data],$DD1165,22),0)</f>
        <v/>
      </c>
      <c r="Y1165">
        <f>IFERROR(INDEX(PP_Grid[#Data],$DD1165,23),0)</f>
        <v/>
      </c>
      <c r="Z1165">
        <f>IFERROR(INDEX(PP_Grid[#Data],$DD1165,24),0)</f>
        <v/>
      </c>
      <c r="AA1165">
        <f>IFERROR(INDEX(PP_Grid[#Data],$DD1165,25),0)</f>
        <v/>
      </c>
      <c r="AB1165">
        <f>IFERROR(INDEX(PP_Grid[#Data],$DD1165,26),0)</f>
        <v/>
      </c>
      <c r="AC1165">
        <f>IFERROR(INDEX(PP_Grid[#Data],$DD1165,27),0)</f>
        <v/>
      </c>
      <c r="AD1165">
        <f>IFERROR(INDEX(PP_Grid[#Data],$DD1165,28),0)</f>
        <v/>
      </c>
      <c r="AE1165">
        <f>IFERROR(INDEX(PP_Grid[#Data],$DD1165,29),0)</f>
        <v/>
      </c>
      <c r="AF1165">
        <f>IFERROR(INDEX(PP_Grid[#Data],$DD1165,30),0)</f>
        <v/>
      </c>
      <c r="AG1165">
        <f>IFERROR(INDEX(PP_Grid[#Data],$DD1165,31),0)</f>
        <v/>
      </c>
      <c r="AH1165">
        <f>IFERROR(INDEX(PP_Grid[#Data],$DD1165,32),0)</f>
        <v/>
      </c>
      <c r="AI1165">
        <f>IFERROR(INDEX(PP_Grid[#Data],$DD1165,33),0)</f>
        <v/>
      </c>
      <c r="AJ1165">
        <f>IFERROR(INDEX(PP_Grid[#Data],$DD1165,34),0)</f>
        <v/>
      </c>
      <c r="AK1165">
        <f>IFERROR(INDEX(PP_Grid[#Data],$DD1165,35),0)</f>
        <v/>
      </c>
      <c r="AL1165">
        <f>IFERROR(INDEX(PP_Grid[#Data],$DD1165,36),0)</f>
        <v/>
      </c>
      <c r="AM1165">
        <f>IFERROR(INDEX(PP_Grid[#Data],$DD1165,37),0)</f>
        <v/>
      </c>
      <c r="AN1165">
        <f>IFERROR(INDEX(PP_Grid[#Data],$DD1165,38),0)</f>
        <v/>
      </c>
      <c r="AO1165">
        <f>IFERROR(INDEX(PP_Grid[#Data],$DD1165,39),0)</f>
        <v/>
      </c>
      <c r="AP1165">
        <f>IFERROR(INDEX(PP_Grid[#Data],$DD1165,40),0)</f>
        <v/>
      </c>
      <c r="AQ1165">
        <f>IFERROR(INDEX(PP_Grid[#Data],$DD1165,41),0)</f>
        <v/>
      </c>
      <c r="AR1165">
        <f>IFERROR(INDEX(PP_Grid[#Data],$DD1165,42),0)</f>
        <v/>
      </c>
      <c r="AS1165">
        <f>IFERROR(INDEX(PP_Grid[#Data],$DD1165,43),0)</f>
        <v/>
      </c>
      <c r="AT1165">
        <f>IFERROR(INDEX(PP_Grid[#Data],$DD1165,44),0)</f>
        <v/>
      </c>
      <c r="AU1165">
        <f>IFERROR(INDEX(PP_Grid[#Data],$DD1165,45),0)</f>
        <v/>
      </c>
      <c r="AV1165">
        <f>IFERROR(INDEX(PP_Grid[#Data],$DD1165,46),0)</f>
        <v/>
      </c>
      <c r="AW1165">
        <f>IFERROR(INDEX(PP_Grid[#Data],$DD1165,47),0)</f>
        <v/>
      </c>
      <c r="AX1165">
        <f>IFERROR(INDEX(PP_Grid[#Data],$DD1165,48),0)</f>
        <v/>
      </c>
      <c r="AY1165">
        <f>IFERROR(INDEX(PP_Grid[#Data],$DD1165,49),0)</f>
        <v/>
      </c>
      <c r="AZ1165">
        <f>IFERROR(INDEX(PP_Grid[#Data],$DD1165,50),0)</f>
        <v/>
      </c>
      <c r="BA1165">
        <f>IFERROR(INDEX(PP_Grid[#Data],$DD1165,51),0)</f>
        <v/>
      </c>
      <c r="BB1165">
        <f>IFERROR(INDEX(PP_Grid[#Data],$DD1165,52),0)</f>
        <v/>
      </c>
      <c r="BC1165">
        <f>IFERROR(INDEX(PP_Grid[#Data],$DD1165,53),0)</f>
        <v/>
      </c>
      <c r="BD1165">
        <f>IFERROR(INDEX(PP_Grid[#Data],$DD1165,54),0)</f>
        <v/>
      </c>
      <c r="BE1165">
        <f>IFERROR(INDEX(PP_Grid[#Data],$DD1165,55),0)</f>
        <v/>
      </c>
      <c r="BF1165">
        <f>IFERROR(INDEX(PP_Grid[#Data],$DD1165,56),0)</f>
        <v/>
      </c>
      <c r="BG1165">
        <f>IFERROR(INDEX(PP_Grid[#Data],$DD1165,57),0)</f>
        <v/>
      </c>
      <c r="BH1165">
        <f>IFERROR(INDEX(PP_Grid[#Data],$DD1165,58),0)</f>
        <v/>
      </c>
      <c r="BI1165">
        <f>IFERROR(INDEX(PP_Grid[#Data],$DD1165,59),0)</f>
        <v/>
      </c>
      <c r="BJ1165">
        <f>IFERROR(INDEX(PP_Grid[#Data],$DD1165,60),0)</f>
        <v/>
      </c>
      <c r="BK1165">
        <f>IFERROR(INDEX(PP_Grid[#Data],$DD1165,61),0)</f>
        <v/>
      </c>
      <c r="BL1165">
        <f>IFERROR(INDEX(PP_Grid[#Data],$DD1165,62),0)</f>
        <v/>
      </c>
      <c r="BM1165">
        <f>IFERROR(INDEX(PP_Grid[#Data],$DD1165,63),0)</f>
        <v/>
      </c>
      <c r="BN1165">
        <f>IFERROR(INDEX(PP_Grid[#Data],$DD1165,64),0)</f>
        <v/>
      </c>
      <c r="BO1165">
        <f>IFERROR(INDEX(PP_Grid[#Data],$DD1165,65),0)</f>
        <v/>
      </c>
      <c r="BP1165">
        <f>IFERROR(INDEX(PP_Grid[#Data],$DD1165,66),0)</f>
        <v/>
      </c>
      <c r="BQ1165">
        <f>IFERROR(INDEX(PP_Grid[#Data],$DD1165,67),0)</f>
        <v/>
      </c>
      <c r="BR1165">
        <f>IFERROR(INDEX(PP_Grid[#Data],$DD1165,68),0)</f>
        <v/>
      </c>
      <c r="BS1165">
        <f>IFERROR(INDEX(PP_Grid[#Data],$DD1165,69),0)</f>
        <v/>
      </c>
      <c r="BT1165">
        <f>IFERROR(INDEX(PP_Grid[#Data],$DD1165,70),0)</f>
        <v/>
      </c>
      <c r="BU1165">
        <f>IFERROR(INDEX(PP_Grid[#Data],$DD1165,71),0)</f>
        <v/>
      </c>
      <c r="BV1165">
        <f>IFERROR(INDEX(PP_Grid[#Data],$DD1165,72),0)</f>
        <v/>
      </c>
      <c r="BW1165">
        <f>IFERROR(INDEX(PP_Grid[#Data],$DD1165,73),0)</f>
        <v/>
      </c>
      <c r="BX1165">
        <f>IFERROR(INDEX(PP_Grid[#Data],$DD1165,74),0)</f>
        <v/>
      </c>
      <c r="BY1165">
        <f>IFERROR(INDEX(PP_Grid[#Data],$DD1165,75),0)</f>
        <v/>
      </c>
      <c r="BZ1165">
        <f>IFERROR(INDEX(PP_Grid[#Data],$DD1165,76),0)</f>
        <v/>
      </c>
      <c r="CA1165">
        <f>IFERROR(INDEX(PP_Grid[#Data],$DD1165,77),0)</f>
        <v/>
      </c>
      <c r="CB1165">
        <f>IFERROR(INDEX(PP_Grid[#Data],$DD1165,78),0)</f>
        <v/>
      </c>
      <c r="CC1165">
        <f>IFERROR(INDEX(PP_Grid[#Data],$DD1165,79),0)</f>
        <v/>
      </c>
      <c r="CD1165">
        <f>IFERROR(INDEX(PP_Grid[#Data],$DD1165,80),0)</f>
        <v/>
      </c>
      <c r="CE1165">
        <f>IFERROR(INDEX(PP_Grid[#Data],$DD1165,81),0)</f>
        <v/>
      </c>
      <c r="CF1165">
        <f>IFERROR(INDEX(PP_Grid[#Data],$DD1165,82),0)</f>
        <v/>
      </c>
      <c r="CG1165">
        <f>IFERROR(INDEX(PP_Grid[#Data],$DD1165,83),0)</f>
        <v/>
      </c>
      <c r="CH1165">
        <f>IFERROR(INDEX(PP_Grid[#Data],$DD1165,84),0)</f>
        <v/>
      </c>
      <c r="CI1165">
        <f>IFERROR(INDEX(PP_Grid[#Data],$DD1165,85),0)</f>
        <v/>
      </c>
      <c r="CJ1165">
        <f>IFERROR(INDEX(PP_Grid[#Data],$DD1165,86),0)</f>
        <v/>
      </c>
      <c r="CK1165">
        <f>IFERROR(INDEX(PP_Grid[#Data],$DD1165,87),0)</f>
        <v/>
      </c>
      <c r="CL1165">
        <f>IFERROR(INDEX(PP_Grid[#Data],$DD1165,88),0)</f>
        <v/>
      </c>
      <c r="CM1165">
        <f>IFERROR(INDEX(PP_Grid[#Data],$DD1165,89),0)</f>
        <v/>
      </c>
      <c r="CN1165">
        <f>IFERROR(INDEX(PP_Grid[#Data],$DD1165,90),0)</f>
        <v/>
      </c>
      <c r="CO1165">
        <f>IFERROR(INDEX(PP_Grid[#Data],$DD1165,91),0)</f>
        <v/>
      </c>
      <c r="CP1165">
        <f>IFERROR(INDEX(PP_Grid[#Data],$DD1165,92),0)</f>
        <v/>
      </c>
      <c r="CQ1165">
        <f>IFERROR(INDEX(PP_Grid[#Data],$DD1165,93),0)</f>
        <v/>
      </c>
      <c r="CR1165">
        <f>IFERROR(INDEX(PP_Grid[#Data],$DD1165,94),0)</f>
        <v/>
      </c>
      <c r="CS1165">
        <f>IFERROR(INDEX(PP_Grid[#Data],$DD1165,95),0)</f>
        <v/>
      </c>
      <c r="CT1165">
        <f>IFERROR(INDEX(PP_Grid[#Data],$DD1165,96),0)</f>
        <v/>
      </c>
      <c r="CU1165">
        <f>IFERROR(INDEX(PP_Grid[#Data],$DD1165,97),0)</f>
        <v/>
      </c>
      <c r="CV1165">
        <f>IFERROR(INDEX(PP_Grid[#Data],$DD1165,98),0)</f>
        <v/>
      </c>
      <c r="CW1165">
        <f>IFERROR(INDEX(PP_Grid[#Data],$DD1165,99),0)</f>
        <v/>
      </c>
      <c r="CX1165">
        <f>IFERROR(INDEX(PP_Grid[#Data],$DD1165,100),0)</f>
        <v/>
      </c>
      <c r="CY1165">
        <f>IFERROR(INDEX(PP_Grid[#Data],$DD1165,101),0)</f>
        <v/>
      </c>
      <c r="CZ1165">
        <f>IFERROR(INDEX(PP_Grid[#Data],$DD1165,102),0)</f>
        <v/>
      </c>
      <c r="DA1165">
        <f>IFERROR(INDEX(PP_Grid[#Data],$DD1165,103),0)</f>
        <v/>
      </c>
      <c r="DB1165">
        <f>IFERROR(INDEX(PP_Grid[#Data],$DD1165,104),0)</f>
        <v/>
      </c>
      <c r="DC1165">
        <f>IFERROR(INDEX(PP_Grid[#Data],$DD1165,105),0)</f>
        <v/>
      </c>
      <c r="DD1165" s="12">
        <f>IFERROR(MATCH($B1165,PP_Grid[Intermediate],0),99999)</f>
        <v/>
      </c>
    </row>
    <row r="1166">
      <c r="B1166" t="inlineStr">
        <is>
          <t>使用量(kg)</t>
        </is>
      </c>
      <c r="C1166">
        <f>SUMIFS(M_BOM[RM_Qty_Per_Batch],M_BOM[Intermediate],$B1165,M_BOM[Part Name],$A1162)</f>
        <v/>
      </c>
      <c r="D1166">
        <f>$C1166*D1165</f>
        <v/>
      </c>
      <c r="E1166">
        <f>$C1166*E1165</f>
        <v/>
      </c>
      <c r="F1166">
        <f>$C1166*F1165</f>
        <v/>
      </c>
      <c r="G1166">
        <f>$C1166*G1165</f>
        <v/>
      </c>
      <c r="H1166">
        <f>$C1166*H1165</f>
        <v/>
      </c>
      <c r="I1166">
        <f>$C1166*I1165</f>
        <v/>
      </c>
      <c r="J1166">
        <f>$C1166*J1165</f>
        <v/>
      </c>
      <c r="K1166">
        <f>$C1166*K1165</f>
        <v/>
      </c>
      <c r="L1166">
        <f>$C1166*L1165</f>
        <v/>
      </c>
      <c r="M1166">
        <f>$C1166*M1165</f>
        <v/>
      </c>
      <c r="N1166">
        <f>$C1166*N1165</f>
        <v/>
      </c>
      <c r="O1166">
        <f>$C1166*O1165</f>
        <v/>
      </c>
      <c r="P1166">
        <f>$C1166*P1165</f>
        <v/>
      </c>
      <c r="Q1166">
        <f>$C1166*Q1165</f>
        <v/>
      </c>
      <c r="R1166">
        <f>$C1166*R1165</f>
        <v/>
      </c>
      <c r="S1166">
        <f>$C1166*S1165</f>
        <v/>
      </c>
      <c r="T1166">
        <f>$C1166*T1165</f>
        <v/>
      </c>
      <c r="U1166">
        <f>$C1166*U1165</f>
        <v/>
      </c>
      <c r="V1166">
        <f>$C1166*V1165</f>
        <v/>
      </c>
      <c r="W1166">
        <f>$C1166*W1165</f>
        <v/>
      </c>
      <c r="X1166">
        <f>$C1166*X1165</f>
        <v/>
      </c>
      <c r="Y1166">
        <f>$C1166*Y1165</f>
        <v/>
      </c>
      <c r="Z1166">
        <f>$C1166*Z1165</f>
        <v/>
      </c>
      <c r="AA1166">
        <f>$C1166*AA1165</f>
        <v/>
      </c>
      <c r="AB1166">
        <f>$C1166*AB1165</f>
        <v/>
      </c>
      <c r="AC1166">
        <f>$C1166*AC1165</f>
        <v/>
      </c>
      <c r="AD1166">
        <f>$C1166*AD1165</f>
        <v/>
      </c>
      <c r="AE1166">
        <f>$C1166*AE1165</f>
        <v/>
      </c>
      <c r="AF1166">
        <f>$C1166*AF1165</f>
        <v/>
      </c>
      <c r="AG1166">
        <f>$C1166*AG1165</f>
        <v/>
      </c>
      <c r="AH1166">
        <f>$C1166*AH1165</f>
        <v/>
      </c>
      <c r="AI1166">
        <f>$C1166*AI1165</f>
        <v/>
      </c>
      <c r="AJ1166">
        <f>$C1166*AJ1165</f>
        <v/>
      </c>
      <c r="AK1166">
        <f>$C1166*AK1165</f>
        <v/>
      </c>
      <c r="AL1166">
        <f>$C1166*AL1165</f>
        <v/>
      </c>
      <c r="AM1166">
        <f>$C1166*AM1165</f>
        <v/>
      </c>
      <c r="AN1166">
        <f>$C1166*AN1165</f>
        <v/>
      </c>
      <c r="AO1166">
        <f>$C1166*AO1165</f>
        <v/>
      </c>
      <c r="AP1166">
        <f>$C1166*AP1165</f>
        <v/>
      </c>
      <c r="AQ1166">
        <f>$C1166*AQ1165</f>
        <v/>
      </c>
      <c r="AR1166">
        <f>$C1166*AR1165</f>
        <v/>
      </c>
      <c r="AS1166">
        <f>$C1166*AS1165</f>
        <v/>
      </c>
      <c r="AT1166">
        <f>$C1166*AT1165</f>
        <v/>
      </c>
      <c r="AU1166">
        <f>$C1166*AU1165</f>
        <v/>
      </c>
      <c r="AV1166">
        <f>$C1166*AV1165</f>
        <v/>
      </c>
      <c r="AW1166">
        <f>$C1166*AW1165</f>
        <v/>
      </c>
      <c r="AX1166">
        <f>$C1166*AX1165</f>
        <v/>
      </c>
      <c r="AY1166">
        <f>$C1166*AY1165</f>
        <v/>
      </c>
      <c r="AZ1166">
        <f>$C1166*AZ1165</f>
        <v/>
      </c>
      <c r="BA1166">
        <f>$C1166*BA1165</f>
        <v/>
      </c>
      <c r="BB1166">
        <f>$C1166*BB1165</f>
        <v/>
      </c>
      <c r="BC1166">
        <f>$C1166*BC1165</f>
        <v/>
      </c>
      <c r="BD1166">
        <f>$C1166*BD1165</f>
        <v/>
      </c>
      <c r="BE1166">
        <f>$C1166*BE1165</f>
        <v/>
      </c>
      <c r="BF1166">
        <f>$C1166*BF1165</f>
        <v/>
      </c>
      <c r="BG1166">
        <f>$C1166*BG1165</f>
        <v/>
      </c>
      <c r="BH1166">
        <f>$C1166*BH1165</f>
        <v/>
      </c>
      <c r="BI1166">
        <f>$C1166*BI1165</f>
        <v/>
      </c>
      <c r="BJ1166">
        <f>$C1166*BJ1165</f>
        <v/>
      </c>
      <c r="BK1166">
        <f>$C1166*BK1165</f>
        <v/>
      </c>
      <c r="BL1166">
        <f>$C1166*BL1165</f>
        <v/>
      </c>
      <c r="BM1166">
        <f>$C1166*BM1165</f>
        <v/>
      </c>
      <c r="BN1166">
        <f>$C1166*BN1165</f>
        <v/>
      </c>
      <c r="BO1166">
        <f>$C1166*BO1165</f>
        <v/>
      </c>
      <c r="BP1166">
        <f>$C1166*BP1165</f>
        <v/>
      </c>
      <c r="BQ1166">
        <f>$C1166*BQ1165</f>
        <v/>
      </c>
      <c r="BR1166">
        <f>$C1166*BR1165</f>
        <v/>
      </c>
      <c r="BS1166">
        <f>$C1166*BS1165</f>
        <v/>
      </c>
      <c r="BT1166">
        <f>$C1166*BT1165</f>
        <v/>
      </c>
      <c r="BU1166">
        <f>$C1166*BU1165</f>
        <v/>
      </c>
      <c r="BV1166">
        <f>$C1166*BV1165</f>
        <v/>
      </c>
      <c r="BW1166">
        <f>$C1166*BW1165</f>
        <v/>
      </c>
      <c r="BX1166">
        <f>$C1166*BX1165</f>
        <v/>
      </c>
      <c r="BY1166">
        <f>$C1166*BY1165</f>
        <v/>
      </c>
      <c r="BZ1166">
        <f>$C1166*BZ1165</f>
        <v/>
      </c>
      <c r="CA1166">
        <f>$C1166*CA1165</f>
        <v/>
      </c>
      <c r="CB1166">
        <f>$C1166*CB1165</f>
        <v/>
      </c>
      <c r="CC1166">
        <f>$C1166*CC1165</f>
        <v/>
      </c>
      <c r="CD1166">
        <f>$C1166*CD1165</f>
        <v/>
      </c>
      <c r="CE1166">
        <f>$C1166*CE1165</f>
        <v/>
      </c>
      <c r="CF1166">
        <f>$C1166*CF1165</f>
        <v/>
      </c>
      <c r="CG1166">
        <f>$C1166*CG1165</f>
        <v/>
      </c>
      <c r="CH1166">
        <f>$C1166*CH1165</f>
        <v/>
      </c>
      <c r="CI1166">
        <f>$C1166*CI1165</f>
        <v/>
      </c>
      <c r="CJ1166">
        <f>$C1166*CJ1165</f>
        <v/>
      </c>
      <c r="CK1166">
        <f>$C1166*CK1165</f>
        <v/>
      </c>
      <c r="CL1166">
        <f>$C1166*CL1165</f>
        <v/>
      </c>
      <c r="CM1166">
        <f>$C1166*CM1165</f>
        <v/>
      </c>
      <c r="CN1166">
        <f>$C1166*CN1165</f>
        <v/>
      </c>
      <c r="CO1166">
        <f>$C1166*CO1165</f>
        <v/>
      </c>
      <c r="CP1166">
        <f>$C1166*CP1165</f>
        <v/>
      </c>
      <c r="CQ1166">
        <f>$C1166*CQ1165</f>
        <v/>
      </c>
      <c r="CR1166">
        <f>$C1166*CR1165</f>
        <v/>
      </c>
      <c r="CS1166">
        <f>$C1166*CS1165</f>
        <v/>
      </c>
      <c r="CT1166">
        <f>$C1166*CT1165</f>
        <v/>
      </c>
      <c r="CU1166">
        <f>$C1166*CU1165</f>
        <v/>
      </c>
      <c r="CV1166">
        <f>$C1166*CV1165</f>
        <v/>
      </c>
      <c r="CW1166">
        <f>$C1166*CW1165</f>
        <v/>
      </c>
      <c r="CX1166">
        <f>$C1166*CX1165</f>
        <v/>
      </c>
      <c r="CY1166">
        <f>$C1166*CY1165</f>
        <v/>
      </c>
      <c r="CZ1166">
        <f>$C1166*CZ1165</f>
        <v/>
      </c>
      <c r="DA1166">
        <f>$C1166*DA1165</f>
        <v/>
      </c>
      <c r="DB1166">
        <f>$C1166*DB1165</f>
        <v/>
      </c>
      <c r="DC1166">
        <f>$C1166*DC1165</f>
        <v/>
      </c>
    </row>
    <row r="1167">
      <c r="B1167" t="inlineStr">
        <is>
          <t>TVS-664</t>
        </is>
      </c>
      <c r="C1167" t="inlineStr">
        <is>
          <t>No. of batches</t>
        </is>
      </c>
      <c r="D1167">
        <f>IFERROR(INDEX(PP_Grid[#Data],$DD1167,2),0)</f>
        <v/>
      </c>
      <c r="E1167">
        <f>IFERROR(INDEX(PP_Grid[#Data],$DD1167,3),0)</f>
        <v/>
      </c>
      <c r="F1167">
        <f>IFERROR(INDEX(PP_Grid[#Data],$DD1167,4),0)</f>
        <v/>
      </c>
      <c r="G1167">
        <f>IFERROR(INDEX(PP_Grid[#Data],$DD1167,5),0)</f>
        <v/>
      </c>
      <c r="H1167">
        <f>IFERROR(INDEX(PP_Grid[#Data],$DD1167,6),0)</f>
        <v/>
      </c>
      <c r="I1167">
        <f>IFERROR(INDEX(PP_Grid[#Data],$DD1167,7),0)</f>
        <v/>
      </c>
      <c r="J1167">
        <f>IFERROR(INDEX(PP_Grid[#Data],$DD1167,8),0)</f>
        <v/>
      </c>
      <c r="K1167">
        <f>IFERROR(INDEX(PP_Grid[#Data],$DD1167,9),0)</f>
        <v/>
      </c>
      <c r="L1167">
        <f>IFERROR(INDEX(PP_Grid[#Data],$DD1167,10),0)</f>
        <v/>
      </c>
      <c r="M1167">
        <f>IFERROR(INDEX(PP_Grid[#Data],$DD1167,11),0)</f>
        <v/>
      </c>
      <c r="N1167">
        <f>IFERROR(INDEX(PP_Grid[#Data],$DD1167,12),0)</f>
        <v/>
      </c>
      <c r="O1167">
        <f>IFERROR(INDEX(PP_Grid[#Data],$DD1167,13),0)</f>
        <v/>
      </c>
      <c r="P1167">
        <f>IFERROR(INDEX(PP_Grid[#Data],$DD1167,14),0)</f>
        <v/>
      </c>
      <c r="Q1167">
        <f>IFERROR(INDEX(PP_Grid[#Data],$DD1167,15),0)</f>
        <v/>
      </c>
      <c r="R1167">
        <f>IFERROR(INDEX(PP_Grid[#Data],$DD1167,16),0)</f>
        <v/>
      </c>
      <c r="S1167">
        <f>IFERROR(INDEX(PP_Grid[#Data],$DD1167,17),0)</f>
        <v/>
      </c>
      <c r="T1167">
        <f>IFERROR(INDEX(PP_Grid[#Data],$DD1167,18),0)</f>
        <v/>
      </c>
      <c r="U1167">
        <f>IFERROR(INDEX(PP_Grid[#Data],$DD1167,19),0)</f>
        <v/>
      </c>
      <c r="V1167">
        <f>IFERROR(INDEX(PP_Grid[#Data],$DD1167,20),0)</f>
        <v/>
      </c>
      <c r="W1167">
        <f>IFERROR(INDEX(PP_Grid[#Data],$DD1167,21),0)</f>
        <v/>
      </c>
      <c r="X1167">
        <f>IFERROR(INDEX(PP_Grid[#Data],$DD1167,22),0)</f>
        <v/>
      </c>
      <c r="Y1167">
        <f>IFERROR(INDEX(PP_Grid[#Data],$DD1167,23),0)</f>
        <v/>
      </c>
      <c r="Z1167">
        <f>IFERROR(INDEX(PP_Grid[#Data],$DD1167,24),0)</f>
        <v/>
      </c>
      <c r="AA1167">
        <f>IFERROR(INDEX(PP_Grid[#Data],$DD1167,25),0)</f>
        <v/>
      </c>
      <c r="AB1167">
        <f>IFERROR(INDEX(PP_Grid[#Data],$DD1167,26),0)</f>
        <v/>
      </c>
      <c r="AC1167">
        <f>IFERROR(INDEX(PP_Grid[#Data],$DD1167,27),0)</f>
        <v/>
      </c>
      <c r="AD1167">
        <f>IFERROR(INDEX(PP_Grid[#Data],$DD1167,28),0)</f>
        <v/>
      </c>
      <c r="AE1167">
        <f>IFERROR(INDEX(PP_Grid[#Data],$DD1167,29),0)</f>
        <v/>
      </c>
      <c r="AF1167">
        <f>IFERROR(INDEX(PP_Grid[#Data],$DD1167,30),0)</f>
        <v/>
      </c>
      <c r="AG1167">
        <f>IFERROR(INDEX(PP_Grid[#Data],$DD1167,31),0)</f>
        <v/>
      </c>
      <c r="AH1167">
        <f>IFERROR(INDEX(PP_Grid[#Data],$DD1167,32),0)</f>
        <v/>
      </c>
      <c r="AI1167">
        <f>IFERROR(INDEX(PP_Grid[#Data],$DD1167,33),0)</f>
        <v/>
      </c>
      <c r="AJ1167">
        <f>IFERROR(INDEX(PP_Grid[#Data],$DD1167,34),0)</f>
        <v/>
      </c>
      <c r="AK1167">
        <f>IFERROR(INDEX(PP_Grid[#Data],$DD1167,35),0)</f>
        <v/>
      </c>
      <c r="AL1167">
        <f>IFERROR(INDEX(PP_Grid[#Data],$DD1167,36),0)</f>
        <v/>
      </c>
      <c r="AM1167">
        <f>IFERROR(INDEX(PP_Grid[#Data],$DD1167,37),0)</f>
        <v/>
      </c>
      <c r="AN1167">
        <f>IFERROR(INDEX(PP_Grid[#Data],$DD1167,38),0)</f>
        <v/>
      </c>
      <c r="AO1167">
        <f>IFERROR(INDEX(PP_Grid[#Data],$DD1167,39),0)</f>
        <v/>
      </c>
      <c r="AP1167">
        <f>IFERROR(INDEX(PP_Grid[#Data],$DD1167,40),0)</f>
        <v/>
      </c>
      <c r="AQ1167">
        <f>IFERROR(INDEX(PP_Grid[#Data],$DD1167,41),0)</f>
        <v/>
      </c>
      <c r="AR1167">
        <f>IFERROR(INDEX(PP_Grid[#Data],$DD1167,42),0)</f>
        <v/>
      </c>
      <c r="AS1167">
        <f>IFERROR(INDEX(PP_Grid[#Data],$DD1167,43),0)</f>
        <v/>
      </c>
      <c r="AT1167">
        <f>IFERROR(INDEX(PP_Grid[#Data],$DD1167,44),0)</f>
        <v/>
      </c>
      <c r="AU1167">
        <f>IFERROR(INDEX(PP_Grid[#Data],$DD1167,45),0)</f>
        <v/>
      </c>
      <c r="AV1167">
        <f>IFERROR(INDEX(PP_Grid[#Data],$DD1167,46),0)</f>
        <v/>
      </c>
      <c r="AW1167">
        <f>IFERROR(INDEX(PP_Grid[#Data],$DD1167,47),0)</f>
        <v/>
      </c>
      <c r="AX1167">
        <f>IFERROR(INDEX(PP_Grid[#Data],$DD1167,48),0)</f>
        <v/>
      </c>
      <c r="AY1167">
        <f>IFERROR(INDEX(PP_Grid[#Data],$DD1167,49),0)</f>
        <v/>
      </c>
      <c r="AZ1167">
        <f>IFERROR(INDEX(PP_Grid[#Data],$DD1167,50),0)</f>
        <v/>
      </c>
      <c r="BA1167">
        <f>IFERROR(INDEX(PP_Grid[#Data],$DD1167,51),0)</f>
        <v/>
      </c>
      <c r="BB1167">
        <f>IFERROR(INDEX(PP_Grid[#Data],$DD1167,52),0)</f>
        <v/>
      </c>
      <c r="BC1167">
        <f>IFERROR(INDEX(PP_Grid[#Data],$DD1167,53),0)</f>
        <v/>
      </c>
      <c r="BD1167">
        <f>IFERROR(INDEX(PP_Grid[#Data],$DD1167,54),0)</f>
        <v/>
      </c>
      <c r="BE1167">
        <f>IFERROR(INDEX(PP_Grid[#Data],$DD1167,55),0)</f>
        <v/>
      </c>
      <c r="BF1167">
        <f>IFERROR(INDEX(PP_Grid[#Data],$DD1167,56),0)</f>
        <v/>
      </c>
      <c r="BG1167">
        <f>IFERROR(INDEX(PP_Grid[#Data],$DD1167,57),0)</f>
        <v/>
      </c>
      <c r="BH1167">
        <f>IFERROR(INDEX(PP_Grid[#Data],$DD1167,58),0)</f>
        <v/>
      </c>
      <c r="BI1167">
        <f>IFERROR(INDEX(PP_Grid[#Data],$DD1167,59),0)</f>
        <v/>
      </c>
      <c r="BJ1167">
        <f>IFERROR(INDEX(PP_Grid[#Data],$DD1167,60),0)</f>
        <v/>
      </c>
      <c r="BK1167">
        <f>IFERROR(INDEX(PP_Grid[#Data],$DD1167,61),0)</f>
        <v/>
      </c>
      <c r="BL1167">
        <f>IFERROR(INDEX(PP_Grid[#Data],$DD1167,62),0)</f>
        <v/>
      </c>
      <c r="BM1167">
        <f>IFERROR(INDEX(PP_Grid[#Data],$DD1167,63),0)</f>
        <v/>
      </c>
      <c r="BN1167">
        <f>IFERROR(INDEX(PP_Grid[#Data],$DD1167,64),0)</f>
        <v/>
      </c>
      <c r="BO1167">
        <f>IFERROR(INDEX(PP_Grid[#Data],$DD1167,65),0)</f>
        <v/>
      </c>
      <c r="BP1167">
        <f>IFERROR(INDEX(PP_Grid[#Data],$DD1167,66),0)</f>
        <v/>
      </c>
      <c r="BQ1167">
        <f>IFERROR(INDEX(PP_Grid[#Data],$DD1167,67),0)</f>
        <v/>
      </c>
      <c r="BR1167">
        <f>IFERROR(INDEX(PP_Grid[#Data],$DD1167,68),0)</f>
        <v/>
      </c>
      <c r="BS1167">
        <f>IFERROR(INDEX(PP_Grid[#Data],$DD1167,69),0)</f>
        <v/>
      </c>
      <c r="BT1167">
        <f>IFERROR(INDEX(PP_Grid[#Data],$DD1167,70),0)</f>
        <v/>
      </c>
      <c r="BU1167">
        <f>IFERROR(INDEX(PP_Grid[#Data],$DD1167,71),0)</f>
        <v/>
      </c>
      <c r="BV1167">
        <f>IFERROR(INDEX(PP_Grid[#Data],$DD1167,72),0)</f>
        <v/>
      </c>
      <c r="BW1167">
        <f>IFERROR(INDEX(PP_Grid[#Data],$DD1167,73),0)</f>
        <v/>
      </c>
      <c r="BX1167">
        <f>IFERROR(INDEX(PP_Grid[#Data],$DD1167,74),0)</f>
        <v/>
      </c>
      <c r="BY1167">
        <f>IFERROR(INDEX(PP_Grid[#Data],$DD1167,75),0)</f>
        <v/>
      </c>
      <c r="BZ1167">
        <f>IFERROR(INDEX(PP_Grid[#Data],$DD1167,76),0)</f>
        <v/>
      </c>
      <c r="CA1167">
        <f>IFERROR(INDEX(PP_Grid[#Data],$DD1167,77),0)</f>
        <v/>
      </c>
      <c r="CB1167">
        <f>IFERROR(INDEX(PP_Grid[#Data],$DD1167,78),0)</f>
        <v/>
      </c>
      <c r="CC1167">
        <f>IFERROR(INDEX(PP_Grid[#Data],$DD1167,79),0)</f>
        <v/>
      </c>
      <c r="CD1167">
        <f>IFERROR(INDEX(PP_Grid[#Data],$DD1167,80),0)</f>
        <v/>
      </c>
      <c r="CE1167">
        <f>IFERROR(INDEX(PP_Grid[#Data],$DD1167,81),0)</f>
        <v/>
      </c>
      <c r="CF1167">
        <f>IFERROR(INDEX(PP_Grid[#Data],$DD1167,82),0)</f>
        <v/>
      </c>
      <c r="CG1167">
        <f>IFERROR(INDEX(PP_Grid[#Data],$DD1167,83),0)</f>
        <v/>
      </c>
      <c r="CH1167">
        <f>IFERROR(INDEX(PP_Grid[#Data],$DD1167,84),0)</f>
        <v/>
      </c>
      <c r="CI1167">
        <f>IFERROR(INDEX(PP_Grid[#Data],$DD1167,85),0)</f>
        <v/>
      </c>
      <c r="CJ1167">
        <f>IFERROR(INDEX(PP_Grid[#Data],$DD1167,86),0)</f>
        <v/>
      </c>
      <c r="CK1167">
        <f>IFERROR(INDEX(PP_Grid[#Data],$DD1167,87),0)</f>
        <v/>
      </c>
      <c r="CL1167">
        <f>IFERROR(INDEX(PP_Grid[#Data],$DD1167,88),0)</f>
        <v/>
      </c>
      <c r="CM1167">
        <f>IFERROR(INDEX(PP_Grid[#Data],$DD1167,89),0)</f>
        <v/>
      </c>
      <c r="CN1167">
        <f>IFERROR(INDEX(PP_Grid[#Data],$DD1167,90),0)</f>
        <v/>
      </c>
      <c r="CO1167">
        <f>IFERROR(INDEX(PP_Grid[#Data],$DD1167,91),0)</f>
        <v/>
      </c>
      <c r="CP1167">
        <f>IFERROR(INDEX(PP_Grid[#Data],$DD1167,92),0)</f>
        <v/>
      </c>
      <c r="CQ1167">
        <f>IFERROR(INDEX(PP_Grid[#Data],$DD1167,93),0)</f>
        <v/>
      </c>
      <c r="CR1167">
        <f>IFERROR(INDEX(PP_Grid[#Data],$DD1167,94),0)</f>
        <v/>
      </c>
      <c r="CS1167">
        <f>IFERROR(INDEX(PP_Grid[#Data],$DD1167,95),0)</f>
        <v/>
      </c>
      <c r="CT1167">
        <f>IFERROR(INDEX(PP_Grid[#Data],$DD1167,96),0)</f>
        <v/>
      </c>
      <c r="CU1167">
        <f>IFERROR(INDEX(PP_Grid[#Data],$DD1167,97),0)</f>
        <v/>
      </c>
      <c r="CV1167">
        <f>IFERROR(INDEX(PP_Grid[#Data],$DD1167,98),0)</f>
        <v/>
      </c>
      <c r="CW1167">
        <f>IFERROR(INDEX(PP_Grid[#Data],$DD1167,99),0)</f>
        <v/>
      </c>
      <c r="CX1167">
        <f>IFERROR(INDEX(PP_Grid[#Data],$DD1167,100),0)</f>
        <v/>
      </c>
      <c r="CY1167">
        <f>IFERROR(INDEX(PP_Grid[#Data],$DD1167,101),0)</f>
        <v/>
      </c>
      <c r="CZ1167">
        <f>IFERROR(INDEX(PP_Grid[#Data],$DD1167,102),0)</f>
        <v/>
      </c>
      <c r="DA1167">
        <f>IFERROR(INDEX(PP_Grid[#Data],$DD1167,103),0)</f>
        <v/>
      </c>
      <c r="DB1167">
        <f>IFERROR(INDEX(PP_Grid[#Data],$DD1167,104),0)</f>
        <v/>
      </c>
      <c r="DC1167">
        <f>IFERROR(INDEX(PP_Grid[#Data],$DD1167,105),0)</f>
        <v/>
      </c>
      <c r="DD1167" s="12">
        <f>IFERROR(MATCH($B1167,PP_Grid[Intermediate],0),99999)</f>
        <v/>
      </c>
    </row>
    <row r="1168">
      <c r="B1168" t="inlineStr">
        <is>
          <t>使用量(kg)</t>
        </is>
      </c>
      <c r="C1168">
        <f>SUMIFS(M_BOM[RM_Qty_Per_Batch],M_BOM[Intermediate],$B1167,M_BOM[Part Name],$A1162)</f>
        <v/>
      </c>
      <c r="D1168">
        <f>$C1168*D1167</f>
        <v/>
      </c>
      <c r="E1168">
        <f>$C1168*E1167</f>
        <v/>
      </c>
      <c r="F1168">
        <f>$C1168*F1167</f>
        <v/>
      </c>
      <c r="G1168">
        <f>$C1168*G1167</f>
        <v/>
      </c>
      <c r="H1168">
        <f>$C1168*H1167</f>
        <v/>
      </c>
      <c r="I1168">
        <f>$C1168*I1167</f>
        <v/>
      </c>
      <c r="J1168">
        <f>$C1168*J1167</f>
        <v/>
      </c>
      <c r="K1168">
        <f>$C1168*K1167</f>
        <v/>
      </c>
      <c r="L1168">
        <f>$C1168*L1167</f>
        <v/>
      </c>
      <c r="M1168">
        <f>$C1168*M1167</f>
        <v/>
      </c>
      <c r="N1168">
        <f>$C1168*N1167</f>
        <v/>
      </c>
      <c r="O1168">
        <f>$C1168*O1167</f>
        <v/>
      </c>
      <c r="P1168">
        <f>$C1168*P1167</f>
        <v/>
      </c>
      <c r="Q1168">
        <f>$C1168*Q1167</f>
        <v/>
      </c>
      <c r="R1168">
        <f>$C1168*R1167</f>
        <v/>
      </c>
      <c r="S1168">
        <f>$C1168*S1167</f>
        <v/>
      </c>
      <c r="T1168">
        <f>$C1168*T1167</f>
        <v/>
      </c>
      <c r="U1168">
        <f>$C1168*U1167</f>
        <v/>
      </c>
      <c r="V1168">
        <f>$C1168*V1167</f>
        <v/>
      </c>
      <c r="W1168">
        <f>$C1168*W1167</f>
        <v/>
      </c>
      <c r="X1168">
        <f>$C1168*X1167</f>
        <v/>
      </c>
      <c r="Y1168">
        <f>$C1168*Y1167</f>
        <v/>
      </c>
      <c r="Z1168">
        <f>$C1168*Z1167</f>
        <v/>
      </c>
      <c r="AA1168">
        <f>$C1168*AA1167</f>
        <v/>
      </c>
      <c r="AB1168">
        <f>$C1168*AB1167</f>
        <v/>
      </c>
      <c r="AC1168">
        <f>$C1168*AC1167</f>
        <v/>
      </c>
      <c r="AD1168">
        <f>$C1168*AD1167</f>
        <v/>
      </c>
      <c r="AE1168">
        <f>$C1168*AE1167</f>
        <v/>
      </c>
      <c r="AF1168">
        <f>$C1168*AF1167</f>
        <v/>
      </c>
      <c r="AG1168">
        <f>$C1168*AG1167</f>
        <v/>
      </c>
      <c r="AH1168">
        <f>$C1168*AH1167</f>
        <v/>
      </c>
      <c r="AI1168">
        <f>$C1168*AI1167</f>
        <v/>
      </c>
      <c r="AJ1168">
        <f>$C1168*AJ1167</f>
        <v/>
      </c>
      <c r="AK1168">
        <f>$C1168*AK1167</f>
        <v/>
      </c>
      <c r="AL1168">
        <f>$C1168*AL1167</f>
        <v/>
      </c>
      <c r="AM1168">
        <f>$C1168*AM1167</f>
        <v/>
      </c>
      <c r="AN1168">
        <f>$C1168*AN1167</f>
        <v/>
      </c>
      <c r="AO1168">
        <f>$C1168*AO1167</f>
        <v/>
      </c>
      <c r="AP1168">
        <f>$C1168*AP1167</f>
        <v/>
      </c>
      <c r="AQ1168">
        <f>$C1168*AQ1167</f>
        <v/>
      </c>
      <c r="AR1168">
        <f>$C1168*AR1167</f>
        <v/>
      </c>
      <c r="AS1168">
        <f>$C1168*AS1167</f>
        <v/>
      </c>
      <c r="AT1168">
        <f>$C1168*AT1167</f>
        <v/>
      </c>
      <c r="AU1168">
        <f>$C1168*AU1167</f>
        <v/>
      </c>
      <c r="AV1168">
        <f>$C1168*AV1167</f>
        <v/>
      </c>
      <c r="AW1168">
        <f>$C1168*AW1167</f>
        <v/>
      </c>
      <c r="AX1168">
        <f>$C1168*AX1167</f>
        <v/>
      </c>
      <c r="AY1168">
        <f>$C1168*AY1167</f>
        <v/>
      </c>
      <c r="AZ1168">
        <f>$C1168*AZ1167</f>
        <v/>
      </c>
      <c r="BA1168">
        <f>$C1168*BA1167</f>
        <v/>
      </c>
      <c r="BB1168">
        <f>$C1168*BB1167</f>
        <v/>
      </c>
      <c r="BC1168">
        <f>$C1168*BC1167</f>
        <v/>
      </c>
      <c r="BD1168">
        <f>$C1168*BD1167</f>
        <v/>
      </c>
      <c r="BE1168">
        <f>$C1168*BE1167</f>
        <v/>
      </c>
      <c r="BF1168">
        <f>$C1168*BF1167</f>
        <v/>
      </c>
      <c r="BG1168">
        <f>$C1168*BG1167</f>
        <v/>
      </c>
      <c r="BH1168">
        <f>$C1168*BH1167</f>
        <v/>
      </c>
      <c r="BI1168">
        <f>$C1168*BI1167</f>
        <v/>
      </c>
      <c r="BJ1168">
        <f>$C1168*BJ1167</f>
        <v/>
      </c>
      <c r="BK1168">
        <f>$C1168*BK1167</f>
        <v/>
      </c>
      <c r="BL1168">
        <f>$C1168*BL1167</f>
        <v/>
      </c>
      <c r="BM1168">
        <f>$C1168*BM1167</f>
        <v/>
      </c>
      <c r="BN1168">
        <f>$C1168*BN1167</f>
        <v/>
      </c>
      <c r="BO1168">
        <f>$C1168*BO1167</f>
        <v/>
      </c>
      <c r="BP1168">
        <f>$C1168*BP1167</f>
        <v/>
      </c>
      <c r="BQ1168">
        <f>$C1168*BQ1167</f>
        <v/>
      </c>
      <c r="BR1168">
        <f>$C1168*BR1167</f>
        <v/>
      </c>
      <c r="BS1168">
        <f>$C1168*BS1167</f>
        <v/>
      </c>
      <c r="BT1168">
        <f>$C1168*BT1167</f>
        <v/>
      </c>
      <c r="BU1168">
        <f>$C1168*BU1167</f>
        <v/>
      </c>
      <c r="BV1168">
        <f>$C1168*BV1167</f>
        <v/>
      </c>
      <c r="BW1168">
        <f>$C1168*BW1167</f>
        <v/>
      </c>
      <c r="BX1168">
        <f>$C1168*BX1167</f>
        <v/>
      </c>
      <c r="BY1168">
        <f>$C1168*BY1167</f>
        <v/>
      </c>
      <c r="BZ1168">
        <f>$C1168*BZ1167</f>
        <v/>
      </c>
      <c r="CA1168">
        <f>$C1168*CA1167</f>
        <v/>
      </c>
      <c r="CB1168">
        <f>$C1168*CB1167</f>
        <v/>
      </c>
      <c r="CC1168">
        <f>$C1168*CC1167</f>
        <v/>
      </c>
      <c r="CD1168">
        <f>$C1168*CD1167</f>
        <v/>
      </c>
      <c r="CE1168">
        <f>$C1168*CE1167</f>
        <v/>
      </c>
      <c r="CF1168">
        <f>$C1168*CF1167</f>
        <v/>
      </c>
      <c r="CG1168">
        <f>$C1168*CG1167</f>
        <v/>
      </c>
      <c r="CH1168">
        <f>$C1168*CH1167</f>
        <v/>
      </c>
      <c r="CI1168">
        <f>$C1168*CI1167</f>
        <v/>
      </c>
      <c r="CJ1168">
        <f>$C1168*CJ1167</f>
        <v/>
      </c>
      <c r="CK1168">
        <f>$C1168*CK1167</f>
        <v/>
      </c>
      <c r="CL1168">
        <f>$C1168*CL1167</f>
        <v/>
      </c>
      <c r="CM1168">
        <f>$C1168*CM1167</f>
        <v/>
      </c>
      <c r="CN1168">
        <f>$C1168*CN1167</f>
        <v/>
      </c>
      <c r="CO1168">
        <f>$C1168*CO1167</f>
        <v/>
      </c>
      <c r="CP1168">
        <f>$C1168*CP1167</f>
        <v/>
      </c>
      <c r="CQ1168">
        <f>$C1168*CQ1167</f>
        <v/>
      </c>
      <c r="CR1168">
        <f>$C1168*CR1167</f>
        <v/>
      </c>
      <c r="CS1168">
        <f>$C1168*CS1167</f>
        <v/>
      </c>
      <c r="CT1168">
        <f>$C1168*CT1167</f>
        <v/>
      </c>
      <c r="CU1168">
        <f>$C1168*CU1167</f>
        <v/>
      </c>
      <c r="CV1168">
        <f>$C1168*CV1167</f>
        <v/>
      </c>
      <c r="CW1168">
        <f>$C1168*CW1167</f>
        <v/>
      </c>
      <c r="CX1168">
        <f>$C1168*CX1167</f>
        <v/>
      </c>
      <c r="CY1168">
        <f>$C1168*CY1167</f>
        <v/>
      </c>
      <c r="CZ1168">
        <f>$C1168*CZ1167</f>
        <v/>
      </c>
      <c r="DA1168">
        <f>$C1168*DA1167</f>
        <v/>
      </c>
      <c r="DB1168">
        <f>$C1168*DB1167</f>
        <v/>
      </c>
      <c r="DC1168">
        <f>$C1168*DC1167</f>
        <v/>
      </c>
    </row>
    <row r="1169">
      <c r="B1169" t="inlineStr">
        <is>
          <t>TVS-833</t>
        </is>
      </c>
      <c r="C1169" t="inlineStr">
        <is>
          <t>No. of batches</t>
        </is>
      </c>
      <c r="D1169">
        <f>IFERROR(INDEX(PP_Grid[#Data],$DD1169,2),0)</f>
        <v/>
      </c>
      <c r="E1169">
        <f>IFERROR(INDEX(PP_Grid[#Data],$DD1169,3),0)</f>
        <v/>
      </c>
      <c r="F1169">
        <f>IFERROR(INDEX(PP_Grid[#Data],$DD1169,4),0)</f>
        <v/>
      </c>
      <c r="G1169">
        <f>IFERROR(INDEX(PP_Grid[#Data],$DD1169,5),0)</f>
        <v/>
      </c>
      <c r="H1169">
        <f>IFERROR(INDEX(PP_Grid[#Data],$DD1169,6),0)</f>
        <v/>
      </c>
      <c r="I1169">
        <f>IFERROR(INDEX(PP_Grid[#Data],$DD1169,7),0)</f>
        <v/>
      </c>
      <c r="J1169">
        <f>IFERROR(INDEX(PP_Grid[#Data],$DD1169,8),0)</f>
        <v/>
      </c>
      <c r="K1169">
        <f>IFERROR(INDEX(PP_Grid[#Data],$DD1169,9),0)</f>
        <v/>
      </c>
      <c r="L1169">
        <f>IFERROR(INDEX(PP_Grid[#Data],$DD1169,10),0)</f>
        <v/>
      </c>
      <c r="M1169">
        <f>IFERROR(INDEX(PP_Grid[#Data],$DD1169,11),0)</f>
        <v/>
      </c>
      <c r="N1169">
        <f>IFERROR(INDEX(PP_Grid[#Data],$DD1169,12),0)</f>
        <v/>
      </c>
      <c r="O1169">
        <f>IFERROR(INDEX(PP_Grid[#Data],$DD1169,13),0)</f>
        <v/>
      </c>
      <c r="P1169">
        <f>IFERROR(INDEX(PP_Grid[#Data],$DD1169,14),0)</f>
        <v/>
      </c>
      <c r="Q1169">
        <f>IFERROR(INDEX(PP_Grid[#Data],$DD1169,15),0)</f>
        <v/>
      </c>
      <c r="R1169">
        <f>IFERROR(INDEX(PP_Grid[#Data],$DD1169,16),0)</f>
        <v/>
      </c>
      <c r="S1169">
        <f>IFERROR(INDEX(PP_Grid[#Data],$DD1169,17),0)</f>
        <v/>
      </c>
      <c r="T1169">
        <f>IFERROR(INDEX(PP_Grid[#Data],$DD1169,18),0)</f>
        <v/>
      </c>
      <c r="U1169">
        <f>IFERROR(INDEX(PP_Grid[#Data],$DD1169,19),0)</f>
        <v/>
      </c>
      <c r="V1169">
        <f>IFERROR(INDEX(PP_Grid[#Data],$DD1169,20),0)</f>
        <v/>
      </c>
      <c r="W1169">
        <f>IFERROR(INDEX(PP_Grid[#Data],$DD1169,21),0)</f>
        <v/>
      </c>
      <c r="X1169">
        <f>IFERROR(INDEX(PP_Grid[#Data],$DD1169,22),0)</f>
        <v/>
      </c>
      <c r="Y1169">
        <f>IFERROR(INDEX(PP_Grid[#Data],$DD1169,23),0)</f>
        <v/>
      </c>
      <c r="Z1169">
        <f>IFERROR(INDEX(PP_Grid[#Data],$DD1169,24),0)</f>
        <v/>
      </c>
      <c r="AA1169">
        <f>IFERROR(INDEX(PP_Grid[#Data],$DD1169,25),0)</f>
        <v/>
      </c>
      <c r="AB1169">
        <f>IFERROR(INDEX(PP_Grid[#Data],$DD1169,26),0)</f>
        <v/>
      </c>
      <c r="AC1169">
        <f>IFERROR(INDEX(PP_Grid[#Data],$DD1169,27),0)</f>
        <v/>
      </c>
      <c r="AD1169">
        <f>IFERROR(INDEX(PP_Grid[#Data],$DD1169,28),0)</f>
        <v/>
      </c>
      <c r="AE1169">
        <f>IFERROR(INDEX(PP_Grid[#Data],$DD1169,29),0)</f>
        <v/>
      </c>
      <c r="AF1169">
        <f>IFERROR(INDEX(PP_Grid[#Data],$DD1169,30),0)</f>
        <v/>
      </c>
      <c r="AG1169">
        <f>IFERROR(INDEX(PP_Grid[#Data],$DD1169,31),0)</f>
        <v/>
      </c>
      <c r="AH1169">
        <f>IFERROR(INDEX(PP_Grid[#Data],$DD1169,32),0)</f>
        <v/>
      </c>
      <c r="AI1169">
        <f>IFERROR(INDEX(PP_Grid[#Data],$DD1169,33),0)</f>
        <v/>
      </c>
      <c r="AJ1169">
        <f>IFERROR(INDEX(PP_Grid[#Data],$DD1169,34),0)</f>
        <v/>
      </c>
      <c r="AK1169">
        <f>IFERROR(INDEX(PP_Grid[#Data],$DD1169,35),0)</f>
        <v/>
      </c>
      <c r="AL1169">
        <f>IFERROR(INDEX(PP_Grid[#Data],$DD1169,36),0)</f>
        <v/>
      </c>
      <c r="AM1169">
        <f>IFERROR(INDEX(PP_Grid[#Data],$DD1169,37),0)</f>
        <v/>
      </c>
      <c r="AN1169">
        <f>IFERROR(INDEX(PP_Grid[#Data],$DD1169,38),0)</f>
        <v/>
      </c>
      <c r="AO1169">
        <f>IFERROR(INDEX(PP_Grid[#Data],$DD1169,39),0)</f>
        <v/>
      </c>
      <c r="AP1169">
        <f>IFERROR(INDEX(PP_Grid[#Data],$DD1169,40),0)</f>
        <v/>
      </c>
      <c r="AQ1169">
        <f>IFERROR(INDEX(PP_Grid[#Data],$DD1169,41),0)</f>
        <v/>
      </c>
      <c r="AR1169">
        <f>IFERROR(INDEX(PP_Grid[#Data],$DD1169,42),0)</f>
        <v/>
      </c>
      <c r="AS1169">
        <f>IFERROR(INDEX(PP_Grid[#Data],$DD1169,43),0)</f>
        <v/>
      </c>
      <c r="AT1169">
        <f>IFERROR(INDEX(PP_Grid[#Data],$DD1169,44),0)</f>
        <v/>
      </c>
      <c r="AU1169">
        <f>IFERROR(INDEX(PP_Grid[#Data],$DD1169,45),0)</f>
        <v/>
      </c>
      <c r="AV1169">
        <f>IFERROR(INDEX(PP_Grid[#Data],$DD1169,46),0)</f>
        <v/>
      </c>
      <c r="AW1169">
        <f>IFERROR(INDEX(PP_Grid[#Data],$DD1169,47),0)</f>
        <v/>
      </c>
      <c r="AX1169">
        <f>IFERROR(INDEX(PP_Grid[#Data],$DD1169,48),0)</f>
        <v/>
      </c>
      <c r="AY1169">
        <f>IFERROR(INDEX(PP_Grid[#Data],$DD1169,49),0)</f>
        <v/>
      </c>
      <c r="AZ1169">
        <f>IFERROR(INDEX(PP_Grid[#Data],$DD1169,50),0)</f>
        <v/>
      </c>
      <c r="BA1169">
        <f>IFERROR(INDEX(PP_Grid[#Data],$DD1169,51),0)</f>
        <v/>
      </c>
      <c r="BB1169">
        <f>IFERROR(INDEX(PP_Grid[#Data],$DD1169,52),0)</f>
        <v/>
      </c>
      <c r="BC1169">
        <f>IFERROR(INDEX(PP_Grid[#Data],$DD1169,53),0)</f>
        <v/>
      </c>
      <c r="BD1169">
        <f>IFERROR(INDEX(PP_Grid[#Data],$DD1169,54),0)</f>
        <v/>
      </c>
      <c r="BE1169">
        <f>IFERROR(INDEX(PP_Grid[#Data],$DD1169,55),0)</f>
        <v/>
      </c>
      <c r="BF1169">
        <f>IFERROR(INDEX(PP_Grid[#Data],$DD1169,56),0)</f>
        <v/>
      </c>
      <c r="BG1169">
        <f>IFERROR(INDEX(PP_Grid[#Data],$DD1169,57),0)</f>
        <v/>
      </c>
      <c r="BH1169">
        <f>IFERROR(INDEX(PP_Grid[#Data],$DD1169,58),0)</f>
        <v/>
      </c>
      <c r="BI1169">
        <f>IFERROR(INDEX(PP_Grid[#Data],$DD1169,59),0)</f>
        <v/>
      </c>
      <c r="BJ1169">
        <f>IFERROR(INDEX(PP_Grid[#Data],$DD1169,60),0)</f>
        <v/>
      </c>
      <c r="BK1169">
        <f>IFERROR(INDEX(PP_Grid[#Data],$DD1169,61),0)</f>
        <v/>
      </c>
      <c r="BL1169">
        <f>IFERROR(INDEX(PP_Grid[#Data],$DD1169,62),0)</f>
        <v/>
      </c>
      <c r="BM1169">
        <f>IFERROR(INDEX(PP_Grid[#Data],$DD1169,63),0)</f>
        <v/>
      </c>
      <c r="BN1169">
        <f>IFERROR(INDEX(PP_Grid[#Data],$DD1169,64),0)</f>
        <v/>
      </c>
      <c r="BO1169">
        <f>IFERROR(INDEX(PP_Grid[#Data],$DD1169,65),0)</f>
        <v/>
      </c>
      <c r="BP1169">
        <f>IFERROR(INDEX(PP_Grid[#Data],$DD1169,66),0)</f>
        <v/>
      </c>
      <c r="BQ1169">
        <f>IFERROR(INDEX(PP_Grid[#Data],$DD1169,67),0)</f>
        <v/>
      </c>
      <c r="BR1169">
        <f>IFERROR(INDEX(PP_Grid[#Data],$DD1169,68),0)</f>
        <v/>
      </c>
      <c r="BS1169">
        <f>IFERROR(INDEX(PP_Grid[#Data],$DD1169,69),0)</f>
        <v/>
      </c>
      <c r="BT1169">
        <f>IFERROR(INDEX(PP_Grid[#Data],$DD1169,70),0)</f>
        <v/>
      </c>
      <c r="BU1169">
        <f>IFERROR(INDEX(PP_Grid[#Data],$DD1169,71),0)</f>
        <v/>
      </c>
      <c r="BV1169">
        <f>IFERROR(INDEX(PP_Grid[#Data],$DD1169,72),0)</f>
        <v/>
      </c>
      <c r="BW1169">
        <f>IFERROR(INDEX(PP_Grid[#Data],$DD1169,73),0)</f>
        <v/>
      </c>
      <c r="BX1169">
        <f>IFERROR(INDEX(PP_Grid[#Data],$DD1169,74),0)</f>
        <v/>
      </c>
      <c r="BY1169">
        <f>IFERROR(INDEX(PP_Grid[#Data],$DD1169,75),0)</f>
        <v/>
      </c>
      <c r="BZ1169">
        <f>IFERROR(INDEX(PP_Grid[#Data],$DD1169,76),0)</f>
        <v/>
      </c>
      <c r="CA1169">
        <f>IFERROR(INDEX(PP_Grid[#Data],$DD1169,77),0)</f>
        <v/>
      </c>
      <c r="CB1169">
        <f>IFERROR(INDEX(PP_Grid[#Data],$DD1169,78),0)</f>
        <v/>
      </c>
      <c r="CC1169">
        <f>IFERROR(INDEX(PP_Grid[#Data],$DD1169,79),0)</f>
        <v/>
      </c>
      <c r="CD1169">
        <f>IFERROR(INDEX(PP_Grid[#Data],$DD1169,80),0)</f>
        <v/>
      </c>
      <c r="CE1169">
        <f>IFERROR(INDEX(PP_Grid[#Data],$DD1169,81),0)</f>
        <v/>
      </c>
      <c r="CF1169">
        <f>IFERROR(INDEX(PP_Grid[#Data],$DD1169,82),0)</f>
        <v/>
      </c>
      <c r="CG1169">
        <f>IFERROR(INDEX(PP_Grid[#Data],$DD1169,83),0)</f>
        <v/>
      </c>
      <c r="CH1169">
        <f>IFERROR(INDEX(PP_Grid[#Data],$DD1169,84),0)</f>
        <v/>
      </c>
      <c r="CI1169">
        <f>IFERROR(INDEX(PP_Grid[#Data],$DD1169,85),0)</f>
        <v/>
      </c>
      <c r="CJ1169">
        <f>IFERROR(INDEX(PP_Grid[#Data],$DD1169,86),0)</f>
        <v/>
      </c>
      <c r="CK1169">
        <f>IFERROR(INDEX(PP_Grid[#Data],$DD1169,87),0)</f>
        <v/>
      </c>
      <c r="CL1169">
        <f>IFERROR(INDEX(PP_Grid[#Data],$DD1169,88),0)</f>
        <v/>
      </c>
      <c r="CM1169">
        <f>IFERROR(INDEX(PP_Grid[#Data],$DD1169,89),0)</f>
        <v/>
      </c>
      <c r="CN1169">
        <f>IFERROR(INDEX(PP_Grid[#Data],$DD1169,90),0)</f>
        <v/>
      </c>
      <c r="CO1169">
        <f>IFERROR(INDEX(PP_Grid[#Data],$DD1169,91),0)</f>
        <v/>
      </c>
      <c r="CP1169">
        <f>IFERROR(INDEX(PP_Grid[#Data],$DD1169,92),0)</f>
        <v/>
      </c>
      <c r="CQ1169">
        <f>IFERROR(INDEX(PP_Grid[#Data],$DD1169,93),0)</f>
        <v/>
      </c>
      <c r="CR1169">
        <f>IFERROR(INDEX(PP_Grid[#Data],$DD1169,94),0)</f>
        <v/>
      </c>
      <c r="CS1169">
        <f>IFERROR(INDEX(PP_Grid[#Data],$DD1169,95),0)</f>
        <v/>
      </c>
      <c r="CT1169">
        <f>IFERROR(INDEX(PP_Grid[#Data],$DD1169,96),0)</f>
        <v/>
      </c>
      <c r="CU1169">
        <f>IFERROR(INDEX(PP_Grid[#Data],$DD1169,97),0)</f>
        <v/>
      </c>
      <c r="CV1169">
        <f>IFERROR(INDEX(PP_Grid[#Data],$DD1169,98),0)</f>
        <v/>
      </c>
      <c r="CW1169">
        <f>IFERROR(INDEX(PP_Grid[#Data],$DD1169,99),0)</f>
        <v/>
      </c>
      <c r="CX1169">
        <f>IFERROR(INDEX(PP_Grid[#Data],$DD1169,100),0)</f>
        <v/>
      </c>
      <c r="CY1169">
        <f>IFERROR(INDEX(PP_Grid[#Data],$DD1169,101),0)</f>
        <v/>
      </c>
      <c r="CZ1169">
        <f>IFERROR(INDEX(PP_Grid[#Data],$DD1169,102),0)</f>
        <v/>
      </c>
      <c r="DA1169">
        <f>IFERROR(INDEX(PP_Grid[#Data],$DD1169,103),0)</f>
        <v/>
      </c>
      <c r="DB1169">
        <f>IFERROR(INDEX(PP_Grid[#Data],$DD1169,104),0)</f>
        <v/>
      </c>
      <c r="DC1169">
        <f>IFERROR(INDEX(PP_Grid[#Data],$DD1169,105),0)</f>
        <v/>
      </c>
      <c r="DD1169" s="12">
        <f>IFERROR(MATCH($B1169,PP_Grid[Intermediate],0),99999)</f>
        <v/>
      </c>
    </row>
    <row r="1170">
      <c r="B1170" t="inlineStr">
        <is>
          <t>使用量(kg)</t>
        </is>
      </c>
      <c r="C1170">
        <f>SUMIFS(M_BOM[RM_Qty_Per_Batch],M_BOM[Intermediate],$B1169,M_BOM[Part Name],$A1162)</f>
        <v/>
      </c>
      <c r="D1170">
        <f>$C1170*D1169</f>
        <v/>
      </c>
      <c r="E1170">
        <f>$C1170*E1169</f>
        <v/>
      </c>
      <c r="F1170">
        <f>$C1170*F1169</f>
        <v/>
      </c>
      <c r="G1170">
        <f>$C1170*G1169</f>
        <v/>
      </c>
      <c r="H1170">
        <f>$C1170*H1169</f>
        <v/>
      </c>
      <c r="I1170">
        <f>$C1170*I1169</f>
        <v/>
      </c>
      <c r="J1170">
        <f>$C1170*J1169</f>
        <v/>
      </c>
      <c r="K1170">
        <f>$C1170*K1169</f>
        <v/>
      </c>
      <c r="L1170">
        <f>$C1170*L1169</f>
        <v/>
      </c>
      <c r="M1170">
        <f>$C1170*M1169</f>
        <v/>
      </c>
      <c r="N1170">
        <f>$C1170*N1169</f>
        <v/>
      </c>
      <c r="O1170">
        <f>$C1170*O1169</f>
        <v/>
      </c>
      <c r="P1170">
        <f>$C1170*P1169</f>
        <v/>
      </c>
      <c r="Q1170">
        <f>$C1170*Q1169</f>
        <v/>
      </c>
      <c r="R1170">
        <f>$C1170*R1169</f>
        <v/>
      </c>
      <c r="S1170">
        <f>$C1170*S1169</f>
        <v/>
      </c>
      <c r="T1170">
        <f>$C1170*T1169</f>
        <v/>
      </c>
      <c r="U1170">
        <f>$C1170*U1169</f>
        <v/>
      </c>
      <c r="V1170">
        <f>$C1170*V1169</f>
        <v/>
      </c>
      <c r="W1170">
        <f>$C1170*W1169</f>
        <v/>
      </c>
      <c r="X1170">
        <f>$C1170*X1169</f>
        <v/>
      </c>
      <c r="Y1170">
        <f>$C1170*Y1169</f>
        <v/>
      </c>
      <c r="Z1170">
        <f>$C1170*Z1169</f>
        <v/>
      </c>
      <c r="AA1170">
        <f>$C1170*AA1169</f>
        <v/>
      </c>
      <c r="AB1170">
        <f>$C1170*AB1169</f>
        <v/>
      </c>
      <c r="AC1170">
        <f>$C1170*AC1169</f>
        <v/>
      </c>
      <c r="AD1170">
        <f>$C1170*AD1169</f>
        <v/>
      </c>
      <c r="AE1170">
        <f>$C1170*AE1169</f>
        <v/>
      </c>
      <c r="AF1170">
        <f>$C1170*AF1169</f>
        <v/>
      </c>
      <c r="AG1170">
        <f>$C1170*AG1169</f>
        <v/>
      </c>
      <c r="AH1170">
        <f>$C1170*AH1169</f>
        <v/>
      </c>
      <c r="AI1170">
        <f>$C1170*AI1169</f>
        <v/>
      </c>
      <c r="AJ1170">
        <f>$C1170*AJ1169</f>
        <v/>
      </c>
      <c r="AK1170">
        <f>$C1170*AK1169</f>
        <v/>
      </c>
      <c r="AL1170">
        <f>$C1170*AL1169</f>
        <v/>
      </c>
      <c r="AM1170">
        <f>$C1170*AM1169</f>
        <v/>
      </c>
      <c r="AN1170">
        <f>$C1170*AN1169</f>
        <v/>
      </c>
      <c r="AO1170">
        <f>$C1170*AO1169</f>
        <v/>
      </c>
      <c r="AP1170">
        <f>$C1170*AP1169</f>
        <v/>
      </c>
      <c r="AQ1170">
        <f>$C1170*AQ1169</f>
        <v/>
      </c>
      <c r="AR1170">
        <f>$C1170*AR1169</f>
        <v/>
      </c>
      <c r="AS1170">
        <f>$C1170*AS1169</f>
        <v/>
      </c>
      <c r="AT1170">
        <f>$C1170*AT1169</f>
        <v/>
      </c>
      <c r="AU1170">
        <f>$C1170*AU1169</f>
        <v/>
      </c>
      <c r="AV1170">
        <f>$C1170*AV1169</f>
        <v/>
      </c>
      <c r="AW1170">
        <f>$C1170*AW1169</f>
        <v/>
      </c>
      <c r="AX1170">
        <f>$C1170*AX1169</f>
        <v/>
      </c>
      <c r="AY1170">
        <f>$C1170*AY1169</f>
        <v/>
      </c>
      <c r="AZ1170">
        <f>$C1170*AZ1169</f>
        <v/>
      </c>
      <c r="BA1170">
        <f>$C1170*BA1169</f>
        <v/>
      </c>
      <c r="BB1170">
        <f>$C1170*BB1169</f>
        <v/>
      </c>
      <c r="BC1170">
        <f>$C1170*BC1169</f>
        <v/>
      </c>
      <c r="BD1170">
        <f>$C1170*BD1169</f>
        <v/>
      </c>
      <c r="BE1170">
        <f>$C1170*BE1169</f>
        <v/>
      </c>
      <c r="BF1170">
        <f>$C1170*BF1169</f>
        <v/>
      </c>
      <c r="BG1170">
        <f>$C1170*BG1169</f>
        <v/>
      </c>
      <c r="BH1170">
        <f>$C1170*BH1169</f>
        <v/>
      </c>
      <c r="BI1170">
        <f>$C1170*BI1169</f>
        <v/>
      </c>
      <c r="BJ1170">
        <f>$C1170*BJ1169</f>
        <v/>
      </c>
      <c r="BK1170">
        <f>$C1170*BK1169</f>
        <v/>
      </c>
      <c r="BL1170">
        <f>$C1170*BL1169</f>
        <v/>
      </c>
      <c r="BM1170">
        <f>$C1170*BM1169</f>
        <v/>
      </c>
      <c r="BN1170">
        <f>$C1170*BN1169</f>
        <v/>
      </c>
      <c r="BO1170">
        <f>$C1170*BO1169</f>
        <v/>
      </c>
      <c r="BP1170">
        <f>$C1170*BP1169</f>
        <v/>
      </c>
      <c r="BQ1170">
        <f>$C1170*BQ1169</f>
        <v/>
      </c>
      <c r="BR1170">
        <f>$C1170*BR1169</f>
        <v/>
      </c>
      <c r="BS1170">
        <f>$C1170*BS1169</f>
        <v/>
      </c>
      <c r="BT1170">
        <f>$C1170*BT1169</f>
        <v/>
      </c>
      <c r="BU1170">
        <f>$C1170*BU1169</f>
        <v/>
      </c>
      <c r="BV1170">
        <f>$C1170*BV1169</f>
        <v/>
      </c>
      <c r="BW1170">
        <f>$C1170*BW1169</f>
        <v/>
      </c>
      <c r="BX1170">
        <f>$C1170*BX1169</f>
        <v/>
      </c>
      <c r="BY1170">
        <f>$C1170*BY1169</f>
        <v/>
      </c>
      <c r="BZ1170">
        <f>$C1170*BZ1169</f>
        <v/>
      </c>
      <c r="CA1170">
        <f>$C1170*CA1169</f>
        <v/>
      </c>
      <c r="CB1170">
        <f>$C1170*CB1169</f>
        <v/>
      </c>
      <c r="CC1170">
        <f>$C1170*CC1169</f>
        <v/>
      </c>
      <c r="CD1170">
        <f>$C1170*CD1169</f>
        <v/>
      </c>
      <c r="CE1170">
        <f>$C1170*CE1169</f>
        <v/>
      </c>
      <c r="CF1170">
        <f>$C1170*CF1169</f>
        <v/>
      </c>
      <c r="CG1170">
        <f>$C1170*CG1169</f>
        <v/>
      </c>
      <c r="CH1170">
        <f>$C1170*CH1169</f>
        <v/>
      </c>
      <c r="CI1170">
        <f>$C1170*CI1169</f>
        <v/>
      </c>
      <c r="CJ1170">
        <f>$C1170*CJ1169</f>
        <v/>
      </c>
      <c r="CK1170">
        <f>$C1170*CK1169</f>
        <v/>
      </c>
      <c r="CL1170">
        <f>$C1170*CL1169</f>
        <v/>
      </c>
      <c r="CM1170">
        <f>$C1170*CM1169</f>
        <v/>
      </c>
      <c r="CN1170">
        <f>$C1170*CN1169</f>
        <v/>
      </c>
      <c r="CO1170">
        <f>$C1170*CO1169</f>
        <v/>
      </c>
      <c r="CP1170">
        <f>$C1170*CP1169</f>
        <v/>
      </c>
      <c r="CQ1170">
        <f>$C1170*CQ1169</f>
        <v/>
      </c>
      <c r="CR1170">
        <f>$C1170*CR1169</f>
        <v/>
      </c>
      <c r="CS1170">
        <f>$C1170*CS1169</f>
        <v/>
      </c>
      <c r="CT1170">
        <f>$C1170*CT1169</f>
        <v/>
      </c>
      <c r="CU1170">
        <f>$C1170*CU1169</f>
        <v/>
      </c>
      <c r="CV1170">
        <f>$C1170*CV1169</f>
        <v/>
      </c>
      <c r="CW1170">
        <f>$C1170*CW1169</f>
        <v/>
      </c>
      <c r="CX1170">
        <f>$C1170*CX1169</f>
        <v/>
      </c>
      <c r="CY1170">
        <f>$C1170*CY1169</f>
        <v/>
      </c>
      <c r="CZ1170">
        <f>$C1170*CZ1169</f>
        <v/>
      </c>
      <c r="DA1170">
        <f>$C1170*DA1169</f>
        <v/>
      </c>
      <c r="DB1170">
        <f>$C1170*DB1169</f>
        <v/>
      </c>
      <c r="DC1170">
        <f>$C1170*DC1169</f>
        <v/>
      </c>
    </row>
    <row r="1171">
      <c r="B1171" s="5" t="inlineStr">
        <is>
          <t>合計使用量(kg)/週</t>
        </is>
      </c>
      <c r="D1171">
        <f>'Grid_Requirement'!B50</f>
        <v/>
      </c>
      <c r="E1171">
        <f>'Grid_Requirement'!C50</f>
        <v/>
      </c>
      <c r="F1171">
        <f>'Grid_Requirement'!D50</f>
        <v/>
      </c>
      <c r="G1171">
        <f>'Grid_Requirement'!E50</f>
        <v/>
      </c>
      <c r="H1171">
        <f>'Grid_Requirement'!F50</f>
        <v/>
      </c>
      <c r="I1171">
        <f>'Grid_Requirement'!G50</f>
        <v/>
      </c>
      <c r="J1171">
        <f>'Grid_Requirement'!H50</f>
        <v/>
      </c>
      <c r="K1171">
        <f>'Grid_Requirement'!I50</f>
        <v/>
      </c>
      <c r="L1171">
        <f>'Grid_Requirement'!J50</f>
        <v/>
      </c>
      <c r="M1171">
        <f>'Grid_Requirement'!K50</f>
        <v/>
      </c>
      <c r="N1171">
        <f>'Grid_Requirement'!L50</f>
        <v/>
      </c>
      <c r="O1171">
        <f>'Grid_Requirement'!M50</f>
        <v/>
      </c>
      <c r="P1171">
        <f>'Grid_Requirement'!N50</f>
        <v/>
      </c>
      <c r="Q1171">
        <f>'Grid_Requirement'!O50</f>
        <v/>
      </c>
      <c r="R1171">
        <f>'Grid_Requirement'!P50</f>
        <v/>
      </c>
      <c r="S1171">
        <f>'Grid_Requirement'!Q50</f>
        <v/>
      </c>
      <c r="T1171">
        <f>'Grid_Requirement'!R50</f>
        <v/>
      </c>
      <c r="U1171">
        <f>'Grid_Requirement'!S50</f>
        <v/>
      </c>
      <c r="V1171">
        <f>'Grid_Requirement'!T50</f>
        <v/>
      </c>
      <c r="W1171">
        <f>'Grid_Requirement'!U50</f>
        <v/>
      </c>
      <c r="X1171">
        <f>'Grid_Requirement'!V50</f>
        <v/>
      </c>
      <c r="Y1171">
        <f>'Grid_Requirement'!W50</f>
        <v/>
      </c>
      <c r="Z1171">
        <f>'Grid_Requirement'!X50</f>
        <v/>
      </c>
      <c r="AA1171">
        <f>'Grid_Requirement'!Y50</f>
        <v/>
      </c>
      <c r="AB1171">
        <f>'Grid_Requirement'!Z50</f>
        <v/>
      </c>
      <c r="AC1171">
        <f>'Grid_Requirement'!AA50</f>
        <v/>
      </c>
      <c r="AD1171">
        <f>'Grid_Requirement'!AB50</f>
        <v/>
      </c>
      <c r="AE1171">
        <f>'Grid_Requirement'!AC50</f>
        <v/>
      </c>
      <c r="AF1171">
        <f>'Grid_Requirement'!AD50</f>
        <v/>
      </c>
      <c r="AG1171">
        <f>'Grid_Requirement'!AE50</f>
        <v/>
      </c>
      <c r="AH1171">
        <f>'Grid_Requirement'!AF50</f>
        <v/>
      </c>
      <c r="AI1171">
        <f>'Grid_Requirement'!AG50</f>
        <v/>
      </c>
      <c r="AJ1171">
        <f>'Grid_Requirement'!AH50</f>
        <v/>
      </c>
      <c r="AK1171">
        <f>'Grid_Requirement'!AI50</f>
        <v/>
      </c>
      <c r="AL1171">
        <f>'Grid_Requirement'!AJ50</f>
        <v/>
      </c>
      <c r="AM1171">
        <f>'Grid_Requirement'!AK50</f>
        <v/>
      </c>
      <c r="AN1171">
        <f>'Grid_Requirement'!AL50</f>
        <v/>
      </c>
      <c r="AO1171">
        <f>'Grid_Requirement'!AM50</f>
        <v/>
      </c>
      <c r="AP1171">
        <f>'Grid_Requirement'!AN50</f>
        <v/>
      </c>
      <c r="AQ1171">
        <f>'Grid_Requirement'!AO50</f>
        <v/>
      </c>
      <c r="AR1171">
        <f>'Grid_Requirement'!AP50</f>
        <v/>
      </c>
      <c r="AS1171">
        <f>'Grid_Requirement'!AQ50</f>
        <v/>
      </c>
      <c r="AT1171">
        <f>'Grid_Requirement'!AR50</f>
        <v/>
      </c>
      <c r="AU1171">
        <f>'Grid_Requirement'!AS50</f>
        <v/>
      </c>
      <c r="AV1171">
        <f>'Grid_Requirement'!AT50</f>
        <v/>
      </c>
      <c r="AW1171">
        <f>'Grid_Requirement'!AU50</f>
        <v/>
      </c>
      <c r="AX1171">
        <f>'Grid_Requirement'!AV50</f>
        <v/>
      </c>
      <c r="AY1171">
        <f>'Grid_Requirement'!AW50</f>
        <v/>
      </c>
      <c r="AZ1171">
        <f>'Grid_Requirement'!AX50</f>
        <v/>
      </c>
      <c r="BA1171">
        <f>'Grid_Requirement'!AY50</f>
        <v/>
      </c>
      <c r="BB1171">
        <f>'Grid_Requirement'!AZ50</f>
        <v/>
      </c>
      <c r="BC1171">
        <f>'Grid_Requirement'!BA50</f>
        <v/>
      </c>
      <c r="BD1171">
        <f>'Grid_Requirement'!BB50</f>
        <v/>
      </c>
      <c r="BE1171">
        <f>'Grid_Requirement'!BC50</f>
        <v/>
      </c>
      <c r="BF1171">
        <f>'Grid_Requirement'!BD50</f>
        <v/>
      </c>
      <c r="BG1171">
        <f>'Grid_Requirement'!BE50</f>
        <v/>
      </c>
      <c r="BH1171">
        <f>'Grid_Requirement'!BF50</f>
        <v/>
      </c>
      <c r="BI1171">
        <f>'Grid_Requirement'!BG50</f>
        <v/>
      </c>
      <c r="BJ1171">
        <f>'Grid_Requirement'!BH50</f>
        <v/>
      </c>
      <c r="BK1171">
        <f>'Grid_Requirement'!BI50</f>
        <v/>
      </c>
      <c r="BL1171">
        <f>'Grid_Requirement'!BJ50</f>
        <v/>
      </c>
      <c r="BM1171">
        <f>'Grid_Requirement'!BK50</f>
        <v/>
      </c>
      <c r="BN1171">
        <f>'Grid_Requirement'!BL50</f>
        <v/>
      </c>
      <c r="BO1171">
        <f>'Grid_Requirement'!BM50</f>
        <v/>
      </c>
      <c r="BP1171">
        <f>'Grid_Requirement'!BN50</f>
        <v/>
      </c>
      <c r="BQ1171">
        <f>'Grid_Requirement'!BO50</f>
        <v/>
      </c>
      <c r="BR1171">
        <f>'Grid_Requirement'!BP50</f>
        <v/>
      </c>
      <c r="BS1171">
        <f>'Grid_Requirement'!BQ50</f>
        <v/>
      </c>
      <c r="BT1171">
        <f>'Grid_Requirement'!BR50</f>
        <v/>
      </c>
      <c r="BU1171">
        <f>'Grid_Requirement'!BS50</f>
        <v/>
      </c>
      <c r="BV1171">
        <f>'Grid_Requirement'!BT50</f>
        <v/>
      </c>
      <c r="BW1171">
        <f>'Grid_Requirement'!BU50</f>
        <v/>
      </c>
      <c r="BX1171">
        <f>'Grid_Requirement'!BV50</f>
        <v/>
      </c>
      <c r="BY1171">
        <f>'Grid_Requirement'!BW50</f>
        <v/>
      </c>
      <c r="BZ1171">
        <f>'Grid_Requirement'!BX50</f>
        <v/>
      </c>
      <c r="CA1171">
        <f>'Grid_Requirement'!BY50</f>
        <v/>
      </c>
      <c r="CB1171">
        <f>'Grid_Requirement'!BZ50</f>
        <v/>
      </c>
      <c r="CC1171">
        <f>'Grid_Requirement'!CA50</f>
        <v/>
      </c>
      <c r="CD1171">
        <f>'Grid_Requirement'!CB50</f>
        <v/>
      </c>
      <c r="CE1171">
        <f>'Grid_Requirement'!CC50</f>
        <v/>
      </c>
      <c r="CF1171">
        <f>'Grid_Requirement'!CD50</f>
        <v/>
      </c>
      <c r="CG1171">
        <f>'Grid_Requirement'!CE50</f>
        <v/>
      </c>
      <c r="CH1171">
        <f>'Grid_Requirement'!CF50</f>
        <v/>
      </c>
      <c r="CI1171">
        <f>'Grid_Requirement'!CG50</f>
        <v/>
      </c>
      <c r="CJ1171">
        <f>'Grid_Requirement'!CH50</f>
        <v/>
      </c>
      <c r="CK1171">
        <f>'Grid_Requirement'!CI50</f>
        <v/>
      </c>
      <c r="CL1171">
        <f>'Grid_Requirement'!CJ50</f>
        <v/>
      </c>
      <c r="CM1171">
        <f>'Grid_Requirement'!CK50</f>
        <v/>
      </c>
      <c r="CN1171">
        <f>'Grid_Requirement'!CL50</f>
        <v/>
      </c>
      <c r="CO1171">
        <f>'Grid_Requirement'!CM50</f>
        <v/>
      </c>
      <c r="CP1171">
        <f>'Grid_Requirement'!CN50</f>
        <v/>
      </c>
      <c r="CQ1171">
        <f>'Grid_Requirement'!CO50</f>
        <v/>
      </c>
      <c r="CR1171">
        <f>'Grid_Requirement'!CP50</f>
        <v/>
      </c>
      <c r="CS1171">
        <f>'Grid_Requirement'!CQ50</f>
        <v/>
      </c>
      <c r="CT1171">
        <f>'Grid_Requirement'!CR50</f>
        <v/>
      </c>
      <c r="CU1171">
        <f>'Grid_Requirement'!CS50</f>
        <v/>
      </c>
      <c r="CV1171">
        <f>'Grid_Requirement'!CT50</f>
        <v/>
      </c>
      <c r="CW1171">
        <f>'Grid_Requirement'!CU50</f>
        <v/>
      </c>
      <c r="CX1171">
        <f>'Grid_Requirement'!CV50</f>
        <v/>
      </c>
      <c r="CY1171">
        <f>'Grid_Requirement'!CW50</f>
        <v/>
      </c>
      <c r="CZ1171">
        <f>'Grid_Requirement'!CX50</f>
        <v/>
      </c>
      <c r="DA1171">
        <f>'Grid_Requirement'!CY50</f>
        <v/>
      </c>
      <c r="DB1171">
        <f>'Grid_Requirement'!CZ50</f>
        <v/>
      </c>
      <c r="DC1171">
        <f>'Grid_Requirement'!DA50</f>
        <v/>
      </c>
    </row>
    <row r="1172">
      <c r="B1172" t="inlineStr">
        <is>
          <t>TTAF在庫(実績,kg)</t>
        </is>
      </c>
      <c r="D1172">
        <f>'T_TTAFStock'!B54</f>
        <v/>
      </c>
      <c r="E1172">
        <f>'T_TTAFStock'!C54</f>
        <v/>
      </c>
      <c r="F1172">
        <f>'T_TTAFStock'!D54</f>
        <v/>
      </c>
      <c r="G1172">
        <f>'T_TTAFStock'!E54</f>
        <v/>
      </c>
      <c r="H1172">
        <f>'T_TTAFStock'!F54</f>
        <v/>
      </c>
      <c r="I1172">
        <f>'T_TTAFStock'!G54</f>
        <v/>
      </c>
      <c r="J1172">
        <f>'T_TTAFStock'!H54</f>
        <v/>
      </c>
      <c r="K1172">
        <f>'T_TTAFStock'!I54</f>
        <v/>
      </c>
      <c r="L1172">
        <f>'T_TTAFStock'!J54</f>
        <v/>
      </c>
      <c r="M1172">
        <f>'T_TTAFStock'!K54</f>
        <v/>
      </c>
      <c r="N1172">
        <f>'T_TTAFStock'!L54</f>
        <v/>
      </c>
      <c r="O1172">
        <f>'T_TTAFStock'!M54</f>
        <v/>
      </c>
      <c r="P1172">
        <f>'T_TTAFStock'!N54</f>
        <v/>
      </c>
      <c r="Q1172">
        <f>'T_TTAFStock'!O54</f>
        <v/>
      </c>
      <c r="R1172">
        <f>'T_TTAFStock'!P54</f>
        <v/>
      </c>
      <c r="S1172">
        <f>'T_TTAFStock'!Q54</f>
        <v/>
      </c>
      <c r="T1172">
        <f>'T_TTAFStock'!R54</f>
        <v/>
      </c>
      <c r="U1172">
        <f>'T_TTAFStock'!S54</f>
        <v/>
      </c>
      <c r="V1172">
        <f>'T_TTAFStock'!T54</f>
        <v/>
      </c>
      <c r="W1172">
        <f>'T_TTAFStock'!U54</f>
        <v/>
      </c>
      <c r="X1172">
        <f>'T_TTAFStock'!V54</f>
        <v/>
      </c>
      <c r="Y1172">
        <f>'T_TTAFStock'!W54</f>
        <v/>
      </c>
      <c r="Z1172">
        <f>'T_TTAFStock'!X54</f>
        <v/>
      </c>
      <c r="AA1172">
        <f>'T_TTAFStock'!Y54</f>
        <v/>
      </c>
      <c r="AB1172">
        <f>'T_TTAFStock'!Z54</f>
        <v/>
      </c>
      <c r="AC1172">
        <f>'T_TTAFStock'!AA54</f>
        <v/>
      </c>
      <c r="AD1172">
        <f>'T_TTAFStock'!AB54</f>
        <v/>
      </c>
      <c r="AE1172">
        <f>'T_TTAFStock'!AC54</f>
        <v/>
      </c>
      <c r="AF1172">
        <f>'T_TTAFStock'!AD54</f>
        <v/>
      </c>
      <c r="AG1172">
        <f>'T_TTAFStock'!AE54</f>
        <v/>
      </c>
      <c r="AH1172">
        <f>'T_TTAFStock'!AF54</f>
        <v/>
      </c>
      <c r="AI1172">
        <f>'T_TTAFStock'!AG54</f>
        <v/>
      </c>
      <c r="AJ1172">
        <f>'T_TTAFStock'!AH54</f>
        <v/>
      </c>
      <c r="AK1172">
        <f>'T_TTAFStock'!AI54</f>
        <v/>
      </c>
      <c r="AL1172">
        <f>'T_TTAFStock'!AJ54</f>
        <v/>
      </c>
      <c r="AM1172">
        <f>'T_TTAFStock'!AK54</f>
        <v/>
      </c>
      <c r="AN1172">
        <f>'T_TTAFStock'!AL54</f>
        <v/>
      </c>
      <c r="AO1172">
        <f>'T_TTAFStock'!AM54</f>
        <v/>
      </c>
      <c r="AP1172">
        <f>'T_TTAFStock'!AN54</f>
        <v/>
      </c>
      <c r="AQ1172">
        <f>'T_TTAFStock'!AO54</f>
        <v/>
      </c>
      <c r="AR1172">
        <f>'T_TTAFStock'!AP54</f>
        <v/>
      </c>
      <c r="AS1172">
        <f>'T_TTAFStock'!AQ54</f>
        <v/>
      </c>
      <c r="AT1172">
        <f>'T_TTAFStock'!AR54</f>
        <v/>
      </c>
      <c r="AU1172">
        <f>'T_TTAFStock'!AS54</f>
        <v/>
      </c>
      <c r="AV1172">
        <f>'T_TTAFStock'!AT54</f>
        <v/>
      </c>
      <c r="AW1172">
        <f>'T_TTAFStock'!AU54</f>
        <v/>
      </c>
      <c r="AX1172">
        <f>'T_TTAFStock'!AV54</f>
        <v/>
      </c>
      <c r="AY1172">
        <f>'T_TTAFStock'!AW54</f>
        <v/>
      </c>
      <c r="AZ1172">
        <f>'T_TTAFStock'!AX54</f>
        <v/>
      </c>
      <c r="BA1172">
        <f>'T_TTAFStock'!AY54</f>
        <v/>
      </c>
      <c r="BB1172">
        <f>'T_TTAFStock'!AZ54</f>
        <v/>
      </c>
      <c r="BC1172">
        <f>'T_TTAFStock'!BA54</f>
        <v/>
      </c>
      <c r="BD1172">
        <f>'T_TTAFStock'!BB54</f>
        <v/>
      </c>
      <c r="BE1172">
        <f>'T_TTAFStock'!BC54</f>
        <v/>
      </c>
      <c r="BF1172">
        <f>'T_TTAFStock'!BD54</f>
        <v/>
      </c>
      <c r="BG1172">
        <f>'T_TTAFStock'!BE54</f>
        <v/>
      </c>
      <c r="BH1172">
        <f>'T_TTAFStock'!BF54</f>
        <v/>
      </c>
      <c r="BI1172">
        <f>'T_TTAFStock'!BG54</f>
        <v/>
      </c>
      <c r="BJ1172">
        <f>'T_TTAFStock'!BH54</f>
        <v/>
      </c>
      <c r="BK1172">
        <f>'T_TTAFStock'!BI54</f>
        <v/>
      </c>
      <c r="BL1172">
        <f>'T_TTAFStock'!BJ54</f>
        <v/>
      </c>
      <c r="BM1172">
        <f>'T_TTAFStock'!BK54</f>
        <v/>
      </c>
      <c r="BN1172">
        <f>'T_TTAFStock'!BL54</f>
        <v/>
      </c>
      <c r="BO1172">
        <f>'T_TTAFStock'!BM54</f>
        <v/>
      </c>
      <c r="BP1172">
        <f>'T_TTAFStock'!BN54</f>
        <v/>
      </c>
      <c r="BQ1172">
        <f>'T_TTAFStock'!BO54</f>
        <v/>
      </c>
      <c r="BR1172">
        <f>'T_TTAFStock'!BP54</f>
        <v/>
      </c>
      <c r="BS1172">
        <f>'T_TTAFStock'!BQ54</f>
        <v/>
      </c>
      <c r="BT1172">
        <f>'T_TTAFStock'!BR54</f>
        <v/>
      </c>
      <c r="BU1172">
        <f>'T_TTAFStock'!BS54</f>
        <v/>
      </c>
      <c r="BV1172">
        <f>'T_TTAFStock'!BT54</f>
        <v/>
      </c>
      <c r="BW1172">
        <f>'T_TTAFStock'!BU54</f>
        <v/>
      </c>
      <c r="BX1172">
        <f>'T_TTAFStock'!BV54</f>
        <v/>
      </c>
      <c r="BY1172">
        <f>'T_TTAFStock'!BW54</f>
        <v/>
      </c>
      <c r="BZ1172">
        <f>'T_TTAFStock'!BX54</f>
        <v/>
      </c>
      <c r="CA1172">
        <f>'T_TTAFStock'!BY54</f>
        <v/>
      </c>
      <c r="CB1172">
        <f>'T_TTAFStock'!BZ54</f>
        <v/>
      </c>
      <c r="CC1172">
        <f>'T_TTAFStock'!CA54</f>
        <v/>
      </c>
      <c r="CD1172">
        <f>'T_TTAFStock'!CB54</f>
        <v/>
      </c>
      <c r="CE1172">
        <f>'T_TTAFStock'!CC54</f>
        <v/>
      </c>
      <c r="CF1172">
        <f>'T_TTAFStock'!CD54</f>
        <v/>
      </c>
      <c r="CG1172">
        <f>'T_TTAFStock'!CE54</f>
        <v/>
      </c>
      <c r="CH1172">
        <f>'T_TTAFStock'!CF54</f>
        <v/>
      </c>
      <c r="CI1172">
        <f>'T_TTAFStock'!CG54</f>
        <v/>
      </c>
      <c r="CJ1172">
        <f>'T_TTAFStock'!CH54</f>
        <v/>
      </c>
      <c r="CK1172">
        <f>'T_TTAFStock'!CI54</f>
        <v/>
      </c>
      <c r="CL1172">
        <f>'T_TTAFStock'!CJ54</f>
        <v/>
      </c>
      <c r="CM1172">
        <f>'T_TTAFStock'!CK54</f>
        <v/>
      </c>
      <c r="CN1172">
        <f>'T_TTAFStock'!CL54</f>
        <v/>
      </c>
      <c r="CO1172">
        <f>'T_TTAFStock'!CM54</f>
        <v/>
      </c>
      <c r="CP1172">
        <f>'T_TTAFStock'!CN54</f>
        <v/>
      </c>
      <c r="CQ1172">
        <f>'T_TTAFStock'!CO54</f>
        <v/>
      </c>
      <c r="CR1172">
        <f>'T_TTAFStock'!CP54</f>
        <v/>
      </c>
      <c r="CS1172">
        <f>'T_TTAFStock'!CQ54</f>
        <v/>
      </c>
      <c r="CT1172">
        <f>'T_TTAFStock'!CR54</f>
        <v/>
      </c>
      <c r="CU1172">
        <f>'T_TTAFStock'!CS54</f>
        <v/>
      </c>
      <c r="CV1172">
        <f>'T_TTAFStock'!CT54</f>
        <v/>
      </c>
      <c r="CW1172">
        <f>'T_TTAFStock'!CU54</f>
        <v/>
      </c>
      <c r="CX1172">
        <f>'T_TTAFStock'!CV54</f>
        <v/>
      </c>
      <c r="CY1172">
        <f>'T_TTAFStock'!CW54</f>
        <v/>
      </c>
      <c r="CZ1172">
        <f>'T_TTAFStock'!CX54</f>
        <v/>
      </c>
      <c r="DA1172">
        <f>'T_TTAFStock'!CY54</f>
        <v/>
      </c>
      <c r="DB1172">
        <f>'T_TTAFStock'!CZ54</f>
        <v/>
      </c>
      <c r="DC1172">
        <f>'T_TTAFStock'!DA54</f>
        <v/>
      </c>
    </row>
    <row r="1173">
      <c r="B1173" t="inlineStr">
        <is>
          <t>自社在庫(実績,kg)</t>
        </is>
      </c>
      <c r="D1173">
        <f>'T_SelfStock'!B54</f>
        <v/>
      </c>
      <c r="E1173">
        <f>'T_SelfStock'!C54</f>
        <v/>
      </c>
      <c r="F1173">
        <f>'T_SelfStock'!D54</f>
        <v/>
      </c>
      <c r="G1173">
        <f>'T_SelfStock'!E54</f>
        <v/>
      </c>
      <c r="H1173">
        <f>'T_SelfStock'!F54</f>
        <v/>
      </c>
      <c r="I1173">
        <f>'T_SelfStock'!G54</f>
        <v/>
      </c>
      <c r="J1173">
        <f>'T_SelfStock'!H54</f>
        <v/>
      </c>
      <c r="K1173">
        <f>'T_SelfStock'!I54</f>
        <v/>
      </c>
      <c r="L1173">
        <f>'T_SelfStock'!J54</f>
        <v/>
      </c>
      <c r="M1173">
        <f>'T_SelfStock'!K54</f>
        <v/>
      </c>
      <c r="N1173">
        <f>'T_SelfStock'!L54</f>
        <v/>
      </c>
      <c r="O1173">
        <f>'T_SelfStock'!M54</f>
        <v/>
      </c>
      <c r="P1173">
        <f>'T_SelfStock'!N54</f>
        <v/>
      </c>
      <c r="Q1173">
        <f>'T_SelfStock'!O54</f>
        <v/>
      </c>
      <c r="R1173">
        <f>'T_SelfStock'!P54</f>
        <v/>
      </c>
      <c r="S1173">
        <f>'T_SelfStock'!Q54</f>
        <v/>
      </c>
      <c r="T1173">
        <f>'T_SelfStock'!R54</f>
        <v/>
      </c>
      <c r="U1173">
        <f>'T_SelfStock'!S54</f>
        <v/>
      </c>
      <c r="V1173">
        <f>'T_SelfStock'!T54</f>
        <v/>
      </c>
      <c r="W1173">
        <f>'T_SelfStock'!U54</f>
        <v/>
      </c>
      <c r="X1173">
        <f>'T_SelfStock'!V54</f>
        <v/>
      </c>
      <c r="Y1173">
        <f>'T_SelfStock'!W54</f>
        <v/>
      </c>
      <c r="Z1173">
        <f>'T_SelfStock'!X54</f>
        <v/>
      </c>
      <c r="AA1173">
        <f>'T_SelfStock'!Y54</f>
        <v/>
      </c>
      <c r="AB1173">
        <f>'T_SelfStock'!Z54</f>
        <v/>
      </c>
      <c r="AC1173">
        <f>'T_SelfStock'!AA54</f>
        <v/>
      </c>
      <c r="AD1173">
        <f>'T_SelfStock'!AB54</f>
        <v/>
      </c>
      <c r="AE1173">
        <f>'T_SelfStock'!AC54</f>
        <v/>
      </c>
      <c r="AF1173">
        <f>'T_SelfStock'!AD54</f>
        <v/>
      </c>
      <c r="AG1173">
        <f>'T_SelfStock'!AE54</f>
        <v/>
      </c>
      <c r="AH1173">
        <f>'T_SelfStock'!AF54</f>
        <v/>
      </c>
      <c r="AI1173">
        <f>'T_SelfStock'!AG54</f>
        <v/>
      </c>
      <c r="AJ1173">
        <f>'T_SelfStock'!AH54</f>
        <v/>
      </c>
      <c r="AK1173">
        <f>'T_SelfStock'!AI54</f>
        <v/>
      </c>
      <c r="AL1173">
        <f>'T_SelfStock'!AJ54</f>
        <v/>
      </c>
      <c r="AM1173">
        <f>'T_SelfStock'!AK54</f>
        <v/>
      </c>
      <c r="AN1173">
        <f>'T_SelfStock'!AL54</f>
        <v/>
      </c>
      <c r="AO1173">
        <f>'T_SelfStock'!AM54</f>
        <v/>
      </c>
      <c r="AP1173">
        <f>'T_SelfStock'!AN54</f>
        <v/>
      </c>
      <c r="AQ1173">
        <f>'T_SelfStock'!AO54</f>
        <v/>
      </c>
      <c r="AR1173">
        <f>'T_SelfStock'!AP54</f>
        <v/>
      </c>
      <c r="AS1173">
        <f>'T_SelfStock'!AQ54</f>
        <v/>
      </c>
      <c r="AT1173">
        <f>'T_SelfStock'!AR54</f>
        <v/>
      </c>
      <c r="AU1173">
        <f>'T_SelfStock'!AS54</f>
        <v/>
      </c>
      <c r="AV1173">
        <f>'T_SelfStock'!AT54</f>
        <v/>
      </c>
      <c r="AW1173">
        <f>'T_SelfStock'!AU54</f>
        <v/>
      </c>
      <c r="AX1173">
        <f>'T_SelfStock'!AV54</f>
        <v/>
      </c>
      <c r="AY1173">
        <f>'T_SelfStock'!AW54</f>
        <v/>
      </c>
      <c r="AZ1173">
        <f>'T_SelfStock'!AX54</f>
        <v/>
      </c>
      <c r="BA1173">
        <f>'T_SelfStock'!AY54</f>
        <v/>
      </c>
      <c r="BB1173">
        <f>'T_SelfStock'!AZ54</f>
        <v/>
      </c>
      <c r="BC1173">
        <f>'T_SelfStock'!BA54</f>
        <v/>
      </c>
      <c r="BD1173">
        <f>'T_SelfStock'!BB54</f>
        <v/>
      </c>
      <c r="BE1173">
        <f>'T_SelfStock'!BC54</f>
        <v/>
      </c>
      <c r="BF1173">
        <f>'T_SelfStock'!BD54</f>
        <v/>
      </c>
      <c r="BG1173">
        <f>'T_SelfStock'!BE54</f>
        <v/>
      </c>
      <c r="BH1173">
        <f>'T_SelfStock'!BF54</f>
        <v/>
      </c>
      <c r="BI1173">
        <f>'T_SelfStock'!BG54</f>
        <v/>
      </c>
      <c r="BJ1173">
        <f>'T_SelfStock'!BH54</f>
        <v/>
      </c>
      <c r="BK1173">
        <f>'T_SelfStock'!BI54</f>
        <v/>
      </c>
      <c r="BL1173">
        <f>'T_SelfStock'!BJ54</f>
        <v/>
      </c>
      <c r="BM1173">
        <f>'T_SelfStock'!BK54</f>
        <v/>
      </c>
      <c r="BN1173">
        <f>'T_SelfStock'!BL54</f>
        <v/>
      </c>
      <c r="BO1173">
        <f>'T_SelfStock'!BM54</f>
        <v/>
      </c>
      <c r="BP1173">
        <f>'T_SelfStock'!BN54</f>
        <v/>
      </c>
      <c r="BQ1173">
        <f>'T_SelfStock'!BO54</f>
        <v/>
      </c>
      <c r="BR1173">
        <f>'T_SelfStock'!BP54</f>
        <v/>
      </c>
      <c r="BS1173">
        <f>'T_SelfStock'!BQ54</f>
        <v/>
      </c>
      <c r="BT1173">
        <f>'T_SelfStock'!BR54</f>
        <v/>
      </c>
      <c r="BU1173">
        <f>'T_SelfStock'!BS54</f>
        <v/>
      </c>
      <c r="BV1173">
        <f>'T_SelfStock'!BT54</f>
        <v/>
      </c>
      <c r="BW1173">
        <f>'T_SelfStock'!BU54</f>
        <v/>
      </c>
      <c r="BX1173">
        <f>'T_SelfStock'!BV54</f>
        <v/>
      </c>
      <c r="BY1173">
        <f>'T_SelfStock'!BW54</f>
        <v/>
      </c>
      <c r="BZ1173">
        <f>'T_SelfStock'!BX54</f>
        <v/>
      </c>
      <c r="CA1173">
        <f>'T_SelfStock'!BY54</f>
        <v/>
      </c>
      <c r="CB1173">
        <f>'T_SelfStock'!BZ54</f>
        <v/>
      </c>
      <c r="CC1173">
        <f>'T_SelfStock'!CA54</f>
        <v/>
      </c>
      <c r="CD1173">
        <f>'T_SelfStock'!CB54</f>
        <v/>
      </c>
      <c r="CE1173">
        <f>'T_SelfStock'!CC54</f>
        <v/>
      </c>
      <c r="CF1173">
        <f>'T_SelfStock'!CD54</f>
        <v/>
      </c>
      <c r="CG1173">
        <f>'T_SelfStock'!CE54</f>
        <v/>
      </c>
      <c r="CH1173">
        <f>'T_SelfStock'!CF54</f>
        <v/>
      </c>
      <c r="CI1173">
        <f>'T_SelfStock'!CG54</f>
        <v/>
      </c>
      <c r="CJ1173">
        <f>'T_SelfStock'!CH54</f>
        <v/>
      </c>
      <c r="CK1173">
        <f>'T_SelfStock'!CI54</f>
        <v/>
      </c>
      <c r="CL1173">
        <f>'T_SelfStock'!CJ54</f>
        <v/>
      </c>
      <c r="CM1173">
        <f>'T_SelfStock'!CK54</f>
        <v/>
      </c>
      <c r="CN1173">
        <f>'T_SelfStock'!CL54</f>
        <v/>
      </c>
      <c r="CO1173">
        <f>'T_SelfStock'!CM54</f>
        <v/>
      </c>
      <c r="CP1173">
        <f>'T_SelfStock'!CN54</f>
        <v/>
      </c>
      <c r="CQ1173">
        <f>'T_SelfStock'!CO54</f>
        <v/>
      </c>
      <c r="CR1173">
        <f>'T_SelfStock'!CP54</f>
        <v/>
      </c>
      <c r="CS1173">
        <f>'T_SelfStock'!CQ54</f>
        <v/>
      </c>
      <c r="CT1173">
        <f>'T_SelfStock'!CR54</f>
        <v/>
      </c>
      <c r="CU1173">
        <f>'T_SelfStock'!CS54</f>
        <v/>
      </c>
      <c r="CV1173">
        <f>'T_SelfStock'!CT54</f>
        <v/>
      </c>
      <c r="CW1173">
        <f>'T_SelfStock'!CU54</f>
        <v/>
      </c>
      <c r="CX1173">
        <f>'T_SelfStock'!CV54</f>
        <v/>
      </c>
      <c r="CY1173">
        <f>'T_SelfStock'!CW54</f>
        <v/>
      </c>
      <c r="CZ1173">
        <f>'T_SelfStock'!CX54</f>
        <v/>
      </c>
      <c r="DA1173">
        <f>'T_SelfStock'!CY54</f>
        <v/>
      </c>
      <c r="DB1173">
        <f>'T_SelfStock'!CZ54</f>
        <v/>
      </c>
      <c r="DC1173">
        <f>'T_SelfStock'!DA54</f>
        <v/>
      </c>
    </row>
    <row r="1174">
      <c r="B1174" t="inlineStr">
        <is>
          <t>Order(発注予定,kg)</t>
        </is>
      </c>
      <c r="D1174" s="23" t="n"/>
      <c r="E1174" s="23" t="n"/>
      <c r="F1174" s="23" t="n"/>
      <c r="G1174" s="23" t="n"/>
      <c r="H1174" s="23" t="n"/>
      <c r="I1174" s="23" t="n"/>
      <c r="J1174" s="23" t="n"/>
      <c r="K1174" s="23" t="n"/>
      <c r="L1174" s="23" t="n"/>
      <c r="M1174" s="23" t="n"/>
      <c r="N1174" s="23" t="n"/>
      <c r="O1174" s="23" t="n"/>
      <c r="P1174" s="23" t="n"/>
      <c r="Q1174" s="23" t="n"/>
      <c r="R1174" s="23" t="n"/>
      <c r="S1174" s="23" t="n"/>
      <c r="T1174" s="23" t="n"/>
      <c r="U1174" s="23" t="n"/>
      <c r="V1174" s="23" t="n"/>
      <c r="W1174" s="23" t="n"/>
      <c r="X1174" s="23" t="n"/>
      <c r="Y1174" s="23" t="n"/>
      <c r="Z1174" s="23" t="n"/>
      <c r="AA1174" s="23" t="n"/>
      <c r="AB1174" s="23" t="n"/>
      <c r="AC1174" s="23" t="n"/>
      <c r="AD1174" s="23" t="n"/>
      <c r="AE1174" s="23" t="n"/>
      <c r="AF1174" s="23" t="n"/>
      <c r="AG1174" s="23" t="n"/>
      <c r="AH1174" s="23" t="n"/>
      <c r="AI1174" s="23" t="n"/>
      <c r="AJ1174" s="23" t="n"/>
      <c r="AK1174" s="23" t="n"/>
      <c r="AL1174" s="23" t="n"/>
      <c r="AM1174" s="23" t="n"/>
      <c r="AN1174" s="23" t="n"/>
      <c r="AO1174" s="23" t="n"/>
      <c r="AP1174" s="23" t="n"/>
      <c r="AQ1174" s="23" t="n"/>
      <c r="AR1174" s="23" t="n"/>
      <c r="AS1174" s="23" t="n"/>
      <c r="AT1174" s="23" t="n"/>
      <c r="AU1174" s="23" t="n"/>
      <c r="AV1174" s="23" t="n"/>
      <c r="AW1174" s="23" t="n"/>
      <c r="AX1174" s="23" t="n"/>
      <c r="AY1174" s="23" t="n"/>
      <c r="AZ1174" s="23" t="n"/>
      <c r="BA1174" s="23" t="n"/>
      <c r="BB1174" s="23" t="n"/>
      <c r="BC1174" s="23" t="n"/>
      <c r="BD1174" s="23" t="n"/>
      <c r="BE1174" s="23" t="n"/>
      <c r="BF1174" s="23" t="n"/>
      <c r="BG1174" s="23" t="n"/>
      <c r="BH1174" s="23" t="n"/>
      <c r="BI1174" s="23" t="n"/>
      <c r="BJ1174" s="23" t="n"/>
      <c r="BK1174" s="23" t="n"/>
      <c r="BL1174" s="23" t="n"/>
      <c r="BM1174" s="23" t="n"/>
      <c r="BN1174" s="23" t="n"/>
      <c r="BO1174" s="23" t="n"/>
      <c r="BP1174" s="23" t="n"/>
      <c r="BQ1174" s="23" t="n"/>
      <c r="BR1174" s="23" t="n"/>
      <c r="BS1174" s="23" t="n"/>
      <c r="BT1174" s="23" t="n"/>
      <c r="BU1174" s="23" t="n"/>
      <c r="BV1174" s="23" t="n"/>
      <c r="BW1174" s="23" t="n"/>
      <c r="BX1174" s="23" t="n"/>
      <c r="BY1174" s="23" t="n"/>
      <c r="BZ1174" s="23" t="n"/>
      <c r="CA1174" s="23" t="n"/>
      <c r="CB1174" s="23" t="n"/>
      <c r="CC1174" s="23" t="n"/>
      <c r="CD1174" s="23" t="n"/>
      <c r="CE1174" s="23" t="n"/>
      <c r="CF1174" s="23" t="n"/>
      <c r="CG1174" s="23" t="n"/>
      <c r="CH1174" s="23" t="n"/>
      <c r="CI1174" s="23" t="n"/>
      <c r="CJ1174" s="23" t="n"/>
      <c r="CK1174" s="23" t="n"/>
      <c r="CL1174" s="23" t="n"/>
      <c r="CM1174" s="23" t="n"/>
      <c r="CN1174" s="23" t="n"/>
      <c r="CO1174" s="23" t="n"/>
      <c r="CP1174" s="23" t="n"/>
      <c r="CQ1174" s="23" t="n"/>
      <c r="CR1174" s="23" t="n"/>
      <c r="CS1174" s="23" t="n"/>
      <c r="CT1174" s="23" t="n"/>
      <c r="CU1174" s="23" t="n"/>
      <c r="CV1174" s="23" t="n"/>
      <c r="CW1174" s="23" t="n"/>
      <c r="CX1174" s="23" t="n"/>
      <c r="CY1174" s="23" t="n"/>
      <c r="CZ1174" s="23" t="n"/>
      <c r="DA1174" s="23" t="n"/>
      <c r="DB1174" s="23" t="n"/>
      <c r="DC1174" s="23" t="n"/>
      <c r="DE1174" s="12" t="inlineStr">
        <is>
          <t>CHEM-1760</t>
        </is>
      </c>
    </row>
    <row r="1175">
      <c r="B1175" s="24" t="inlineStr">
        <is>
          <t>PO_No</t>
        </is>
      </c>
      <c r="D1175" s="25" t="n"/>
      <c r="E1175" s="25" t="n"/>
      <c r="F1175" s="25" t="n"/>
      <c r="G1175" s="25" t="n"/>
      <c r="H1175" s="25" t="n"/>
      <c r="I1175" s="25" t="n"/>
      <c r="J1175" s="25" t="n"/>
      <c r="K1175" s="25" t="n"/>
      <c r="L1175" s="25" t="n"/>
      <c r="M1175" s="25" t="n"/>
      <c r="N1175" s="25" t="n"/>
      <c r="O1175" s="25" t="n"/>
      <c r="P1175" s="25" t="n"/>
      <c r="Q1175" s="25" t="n"/>
      <c r="R1175" s="25" t="n"/>
      <c r="S1175" s="25" t="n"/>
      <c r="T1175" s="25" t="n"/>
      <c r="U1175" s="25" t="n"/>
      <c r="V1175" s="25" t="n"/>
      <c r="W1175" s="25" t="n"/>
      <c r="X1175" s="25" t="n"/>
      <c r="Y1175" s="25" t="n"/>
      <c r="Z1175" s="25" t="n"/>
      <c r="AA1175" s="25" t="n"/>
      <c r="AB1175" s="25" t="n"/>
      <c r="AC1175" s="25" t="n"/>
      <c r="AD1175" s="25" t="n"/>
      <c r="AE1175" s="25" t="n"/>
      <c r="AF1175" s="25" t="n"/>
      <c r="AG1175" s="25" t="n"/>
      <c r="AH1175" s="25" t="n"/>
      <c r="AI1175" s="25" t="n"/>
      <c r="AJ1175" s="25" t="n"/>
      <c r="AK1175" s="25" t="n"/>
      <c r="AL1175" s="25" t="n"/>
      <c r="AM1175" s="25" t="n"/>
      <c r="AN1175" s="25" t="n"/>
      <c r="AO1175" s="25" t="n"/>
      <c r="AP1175" s="25" t="n"/>
      <c r="AQ1175" s="25" t="n"/>
      <c r="AR1175" s="25" t="n"/>
      <c r="AS1175" s="25" t="n"/>
      <c r="AT1175" s="25" t="n"/>
      <c r="AU1175" s="25" t="n"/>
      <c r="AV1175" s="25" t="n"/>
      <c r="AW1175" s="25" t="n"/>
      <c r="AX1175" s="25" t="n"/>
      <c r="AY1175" s="25" t="n"/>
      <c r="AZ1175" s="25" t="n"/>
      <c r="BA1175" s="25" t="n"/>
      <c r="BB1175" s="25" t="n"/>
      <c r="BC1175" s="25" t="n"/>
      <c r="BD1175" s="25" t="n"/>
      <c r="BE1175" s="25" t="n"/>
      <c r="BF1175" s="25" t="n"/>
      <c r="BG1175" s="25" t="n"/>
      <c r="BH1175" s="25" t="n"/>
      <c r="BI1175" s="25" t="n"/>
      <c r="BJ1175" s="25" t="n"/>
      <c r="BK1175" s="25" t="n"/>
      <c r="BL1175" s="25" t="n"/>
      <c r="BM1175" s="25" t="n"/>
      <c r="BN1175" s="25" t="n"/>
      <c r="BO1175" s="25" t="n"/>
      <c r="BP1175" s="25" t="n"/>
      <c r="BQ1175" s="25" t="n"/>
      <c r="BR1175" s="25" t="n"/>
      <c r="BS1175" s="25" t="n"/>
      <c r="BT1175" s="25" t="n"/>
      <c r="BU1175" s="25" t="n"/>
      <c r="BV1175" s="25" t="n"/>
      <c r="BW1175" s="25" t="n"/>
      <c r="BX1175" s="25" t="n"/>
      <c r="BY1175" s="25" t="n"/>
      <c r="BZ1175" s="25" t="n"/>
      <c r="CA1175" s="25" t="n"/>
      <c r="CB1175" s="25" t="n"/>
      <c r="CC1175" s="25" t="n"/>
      <c r="CD1175" s="25" t="n"/>
      <c r="CE1175" s="25" t="n"/>
      <c r="CF1175" s="25" t="n"/>
      <c r="CG1175" s="25" t="n"/>
      <c r="CH1175" s="25" t="n"/>
      <c r="CI1175" s="25" t="n"/>
      <c r="CJ1175" s="25" t="n"/>
      <c r="CK1175" s="25" t="n"/>
      <c r="CL1175" s="25" t="n"/>
      <c r="CM1175" s="25" t="n"/>
      <c r="CN1175" s="25" t="n"/>
      <c r="CO1175" s="25" t="n"/>
      <c r="CP1175" s="25" t="n"/>
      <c r="CQ1175" s="25" t="n"/>
      <c r="CR1175" s="25" t="n"/>
      <c r="CS1175" s="25" t="n"/>
      <c r="CT1175" s="25" t="n"/>
      <c r="CU1175" s="25" t="n"/>
      <c r="CV1175" s="25" t="n"/>
      <c r="CW1175" s="25" t="n"/>
      <c r="CX1175" s="25" t="n"/>
      <c r="CY1175" s="25" t="n"/>
      <c r="CZ1175" s="25" t="n"/>
      <c r="DA1175" s="25" t="n"/>
      <c r="DB1175" s="25" t="n"/>
      <c r="DC1175" s="25" t="n"/>
    </row>
    <row r="1176">
      <c r="B1176" s="5" t="inlineStr">
        <is>
          <t>合計在庫(週末時点,kg)</t>
        </is>
      </c>
      <c r="D1176">
        <f>'Grid_Stock'!B50</f>
        <v/>
      </c>
      <c r="E1176">
        <f>'Grid_Stock'!C50</f>
        <v/>
      </c>
      <c r="F1176">
        <f>'Grid_Stock'!D50</f>
        <v/>
      </c>
      <c r="G1176">
        <f>'Grid_Stock'!E50</f>
        <v/>
      </c>
      <c r="H1176">
        <f>'Grid_Stock'!F50</f>
        <v/>
      </c>
      <c r="I1176">
        <f>'Grid_Stock'!G50</f>
        <v/>
      </c>
      <c r="J1176">
        <f>'Grid_Stock'!H50</f>
        <v/>
      </c>
      <c r="K1176">
        <f>'Grid_Stock'!I50</f>
        <v/>
      </c>
      <c r="L1176">
        <f>'Grid_Stock'!J50</f>
        <v/>
      </c>
      <c r="M1176">
        <f>'Grid_Stock'!K50</f>
        <v/>
      </c>
      <c r="N1176">
        <f>'Grid_Stock'!L50</f>
        <v/>
      </c>
      <c r="O1176">
        <f>'Grid_Stock'!M50</f>
        <v/>
      </c>
      <c r="P1176">
        <f>'Grid_Stock'!N50</f>
        <v/>
      </c>
      <c r="Q1176">
        <f>'Grid_Stock'!O50</f>
        <v/>
      </c>
      <c r="R1176">
        <f>'Grid_Stock'!P50</f>
        <v/>
      </c>
      <c r="S1176">
        <f>'Grid_Stock'!Q50</f>
        <v/>
      </c>
      <c r="T1176">
        <f>'Grid_Stock'!R50</f>
        <v/>
      </c>
      <c r="U1176">
        <f>'Grid_Stock'!S50</f>
        <v/>
      </c>
      <c r="V1176">
        <f>'Grid_Stock'!T50</f>
        <v/>
      </c>
      <c r="W1176">
        <f>'Grid_Stock'!U50</f>
        <v/>
      </c>
      <c r="X1176">
        <f>'Grid_Stock'!V50</f>
        <v/>
      </c>
      <c r="Y1176">
        <f>'Grid_Stock'!W50</f>
        <v/>
      </c>
      <c r="Z1176">
        <f>'Grid_Stock'!X50</f>
        <v/>
      </c>
      <c r="AA1176">
        <f>'Grid_Stock'!Y50</f>
        <v/>
      </c>
      <c r="AB1176">
        <f>'Grid_Stock'!Z50</f>
        <v/>
      </c>
      <c r="AC1176">
        <f>'Grid_Stock'!AA50</f>
        <v/>
      </c>
      <c r="AD1176">
        <f>'Grid_Stock'!AB50</f>
        <v/>
      </c>
      <c r="AE1176">
        <f>'Grid_Stock'!AC50</f>
        <v/>
      </c>
      <c r="AF1176">
        <f>'Grid_Stock'!AD50</f>
        <v/>
      </c>
      <c r="AG1176">
        <f>'Grid_Stock'!AE50</f>
        <v/>
      </c>
      <c r="AH1176">
        <f>'Grid_Stock'!AF50</f>
        <v/>
      </c>
      <c r="AI1176">
        <f>'Grid_Stock'!AG50</f>
        <v/>
      </c>
      <c r="AJ1176">
        <f>'Grid_Stock'!AH50</f>
        <v/>
      </c>
      <c r="AK1176">
        <f>'Grid_Stock'!AI50</f>
        <v/>
      </c>
      <c r="AL1176">
        <f>'Grid_Stock'!AJ50</f>
        <v/>
      </c>
      <c r="AM1176">
        <f>'Grid_Stock'!AK50</f>
        <v/>
      </c>
      <c r="AN1176">
        <f>'Grid_Stock'!AL50</f>
        <v/>
      </c>
      <c r="AO1176">
        <f>'Grid_Stock'!AM50</f>
        <v/>
      </c>
      <c r="AP1176">
        <f>'Grid_Stock'!AN50</f>
        <v/>
      </c>
      <c r="AQ1176">
        <f>'Grid_Stock'!AO50</f>
        <v/>
      </c>
      <c r="AR1176">
        <f>'Grid_Stock'!AP50</f>
        <v/>
      </c>
      <c r="AS1176">
        <f>'Grid_Stock'!AQ50</f>
        <v/>
      </c>
      <c r="AT1176">
        <f>'Grid_Stock'!AR50</f>
        <v/>
      </c>
      <c r="AU1176">
        <f>'Grid_Stock'!AS50</f>
        <v/>
      </c>
      <c r="AV1176">
        <f>'Grid_Stock'!AT50</f>
        <v/>
      </c>
      <c r="AW1176">
        <f>'Grid_Stock'!AU50</f>
        <v/>
      </c>
      <c r="AX1176">
        <f>'Grid_Stock'!AV50</f>
        <v/>
      </c>
      <c r="AY1176">
        <f>'Grid_Stock'!AW50</f>
        <v/>
      </c>
      <c r="AZ1176">
        <f>'Grid_Stock'!AX50</f>
        <v/>
      </c>
      <c r="BA1176">
        <f>'Grid_Stock'!AY50</f>
        <v/>
      </c>
      <c r="BB1176">
        <f>'Grid_Stock'!AZ50</f>
        <v/>
      </c>
      <c r="BC1176">
        <f>'Grid_Stock'!BA50</f>
        <v/>
      </c>
      <c r="BD1176">
        <f>'Grid_Stock'!BB50</f>
        <v/>
      </c>
      <c r="BE1176">
        <f>'Grid_Stock'!BC50</f>
        <v/>
      </c>
      <c r="BF1176">
        <f>'Grid_Stock'!BD50</f>
        <v/>
      </c>
      <c r="BG1176">
        <f>'Grid_Stock'!BE50</f>
        <v/>
      </c>
      <c r="BH1176">
        <f>'Grid_Stock'!BF50</f>
        <v/>
      </c>
      <c r="BI1176">
        <f>'Grid_Stock'!BG50</f>
        <v/>
      </c>
      <c r="BJ1176">
        <f>'Grid_Stock'!BH50</f>
        <v/>
      </c>
      <c r="BK1176">
        <f>'Grid_Stock'!BI50</f>
        <v/>
      </c>
      <c r="BL1176">
        <f>'Grid_Stock'!BJ50</f>
        <v/>
      </c>
      <c r="BM1176">
        <f>'Grid_Stock'!BK50</f>
        <v/>
      </c>
      <c r="BN1176">
        <f>'Grid_Stock'!BL50</f>
        <v/>
      </c>
      <c r="BO1176">
        <f>'Grid_Stock'!BM50</f>
        <v/>
      </c>
      <c r="BP1176">
        <f>'Grid_Stock'!BN50</f>
        <v/>
      </c>
      <c r="BQ1176">
        <f>'Grid_Stock'!BO50</f>
        <v/>
      </c>
      <c r="BR1176">
        <f>'Grid_Stock'!BP50</f>
        <v/>
      </c>
      <c r="BS1176">
        <f>'Grid_Stock'!BQ50</f>
        <v/>
      </c>
      <c r="BT1176">
        <f>'Grid_Stock'!BR50</f>
        <v/>
      </c>
      <c r="BU1176">
        <f>'Grid_Stock'!BS50</f>
        <v/>
      </c>
      <c r="BV1176">
        <f>'Grid_Stock'!BT50</f>
        <v/>
      </c>
      <c r="BW1176">
        <f>'Grid_Stock'!BU50</f>
        <v/>
      </c>
      <c r="BX1176">
        <f>'Grid_Stock'!BV50</f>
        <v/>
      </c>
      <c r="BY1176">
        <f>'Grid_Stock'!BW50</f>
        <v/>
      </c>
      <c r="BZ1176">
        <f>'Grid_Stock'!BX50</f>
        <v/>
      </c>
      <c r="CA1176">
        <f>'Grid_Stock'!BY50</f>
        <v/>
      </c>
      <c r="CB1176">
        <f>'Grid_Stock'!BZ50</f>
        <v/>
      </c>
      <c r="CC1176">
        <f>'Grid_Stock'!CA50</f>
        <v/>
      </c>
      <c r="CD1176">
        <f>'Grid_Stock'!CB50</f>
        <v/>
      </c>
      <c r="CE1176">
        <f>'Grid_Stock'!CC50</f>
        <v/>
      </c>
      <c r="CF1176">
        <f>'Grid_Stock'!CD50</f>
        <v/>
      </c>
      <c r="CG1176">
        <f>'Grid_Stock'!CE50</f>
        <v/>
      </c>
      <c r="CH1176">
        <f>'Grid_Stock'!CF50</f>
        <v/>
      </c>
      <c r="CI1176">
        <f>'Grid_Stock'!CG50</f>
        <v/>
      </c>
      <c r="CJ1176">
        <f>'Grid_Stock'!CH50</f>
        <v/>
      </c>
      <c r="CK1176">
        <f>'Grid_Stock'!CI50</f>
        <v/>
      </c>
      <c r="CL1176">
        <f>'Grid_Stock'!CJ50</f>
        <v/>
      </c>
      <c r="CM1176">
        <f>'Grid_Stock'!CK50</f>
        <v/>
      </c>
      <c r="CN1176">
        <f>'Grid_Stock'!CL50</f>
        <v/>
      </c>
      <c r="CO1176">
        <f>'Grid_Stock'!CM50</f>
        <v/>
      </c>
      <c r="CP1176">
        <f>'Grid_Stock'!CN50</f>
        <v/>
      </c>
      <c r="CQ1176">
        <f>'Grid_Stock'!CO50</f>
        <v/>
      </c>
      <c r="CR1176">
        <f>'Grid_Stock'!CP50</f>
        <v/>
      </c>
      <c r="CS1176">
        <f>'Grid_Stock'!CQ50</f>
        <v/>
      </c>
      <c r="CT1176">
        <f>'Grid_Stock'!CR50</f>
        <v/>
      </c>
      <c r="CU1176">
        <f>'Grid_Stock'!CS50</f>
        <v/>
      </c>
      <c r="CV1176">
        <f>'Grid_Stock'!CT50</f>
        <v/>
      </c>
      <c r="CW1176">
        <f>'Grid_Stock'!CU50</f>
        <v/>
      </c>
      <c r="CX1176">
        <f>'Grid_Stock'!CV50</f>
        <v/>
      </c>
      <c r="CY1176">
        <f>'Grid_Stock'!CW50</f>
        <v/>
      </c>
      <c r="CZ1176">
        <f>'Grid_Stock'!CX50</f>
        <v/>
      </c>
      <c r="DA1176">
        <f>'Grid_Stock'!CY50</f>
        <v/>
      </c>
      <c r="DB1176">
        <f>'Grid_Stock'!CZ50</f>
        <v/>
      </c>
      <c r="DC1176">
        <f>'Grid_Stock'!DA50</f>
        <v/>
      </c>
    </row>
    <row r="1177">
      <c r="B1177" s="26" t="inlineStr">
        <is>
          <t>（発注の目安はDashboardの基準在庫[下限/上限]と色分けを参照）</t>
        </is>
      </c>
    </row>
    <row r="1179">
      <c r="A1179" s="21" t="inlineStr">
        <is>
          <t>CHEM-1700</t>
        </is>
      </c>
      <c r="B1179" s="21" t="inlineStr">
        <is>
          <t>Tepyrus CT38</t>
        </is>
      </c>
      <c r="C1179" s="22" t="n"/>
      <c r="D1179" s="21" t="n"/>
      <c r="E1179" s="21" t="n"/>
      <c r="F1179" s="21" t="n"/>
      <c r="G1179" s="21" t="n"/>
      <c r="H1179" s="21" t="n"/>
      <c r="I1179" s="21" t="n"/>
      <c r="J1179" s="21" t="n"/>
      <c r="K1179" s="21" t="n"/>
      <c r="L1179" s="21" t="n"/>
      <c r="M1179" s="21" t="n"/>
      <c r="N1179" s="21" t="n"/>
      <c r="O1179" s="21" t="n"/>
      <c r="P1179" s="21" t="n"/>
      <c r="Q1179" s="21" t="n"/>
      <c r="R1179" s="21" t="n"/>
      <c r="S1179" s="21" t="n"/>
      <c r="T1179" s="21" t="n"/>
      <c r="U1179" s="21" t="n"/>
      <c r="V1179" s="21" t="n"/>
      <c r="W1179" s="21" t="n"/>
      <c r="X1179" s="21" t="n"/>
      <c r="Y1179" s="21" t="n"/>
      <c r="Z1179" s="21" t="n"/>
      <c r="AA1179" s="21" t="n"/>
      <c r="AB1179" s="21" t="n"/>
      <c r="AC1179" s="21" t="n"/>
      <c r="AD1179" s="21" t="n"/>
      <c r="AE1179" s="21" t="n"/>
      <c r="AF1179" s="21" t="n"/>
      <c r="AG1179" s="21" t="n"/>
      <c r="AH1179" s="21" t="n"/>
      <c r="AI1179" s="21" t="n"/>
      <c r="AJ1179" s="21" t="n"/>
      <c r="AK1179" s="21" t="n"/>
      <c r="AL1179" s="21" t="n"/>
      <c r="AM1179" s="21" t="n"/>
      <c r="AN1179" s="21" t="n"/>
      <c r="AO1179" s="21" t="n"/>
      <c r="AP1179" s="21" t="n"/>
      <c r="AQ1179" s="21" t="n"/>
      <c r="AR1179" s="21" t="n"/>
      <c r="AS1179" s="21" t="n"/>
      <c r="AT1179" s="21" t="n"/>
      <c r="AU1179" s="21" t="n"/>
      <c r="AV1179" s="21" t="n"/>
      <c r="AW1179" s="21" t="n"/>
      <c r="AX1179" s="21" t="n"/>
      <c r="AY1179" s="21" t="n"/>
      <c r="AZ1179" s="21" t="n"/>
      <c r="BA1179" s="21" t="n"/>
      <c r="BB1179" s="21" t="n"/>
      <c r="BC1179" s="21" t="n"/>
      <c r="BD1179" s="21" t="n"/>
      <c r="BE1179" s="21" t="n"/>
      <c r="BF1179" s="21" t="n"/>
      <c r="BG1179" s="21" t="n"/>
      <c r="BH1179" s="21" t="n"/>
      <c r="BI1179" s="21" t="n"/>
      <c r="BJ1179" s="21" t="n"/>
      <c r="BK1179" s="21" t="n"/>
      <c r="BL1179" s="21" t="n"/>
      <c r="BM1179" s="21" t="n"/>
      <c r="BN1179" s="21" t="n"/>
      <c r="BO1179" s="21" t="n"/>
      <c r="BP1179" s="21" t="n"/>
      <c r="BQ1179" s="21" t="n"/>
      <c r="BR1179" s="21" t="n"/>
      <c r="BS1179" s="21" t="n"/>
      <c r="BT1179" s="21" t="n"/>
      <c r="BU1179" s="21" t="n"/>
      <c r="BV1179" s="21" t="n"/>
      <c r="BW1179" s="21" t="n"/>
      <c r="BX1179" s="21" t="n"/>
      <c r="BY1179" s="21" t="n"/>
      <c r="BZ1179" s="21" t="n"/>
      <c r="CA1179" s="21" t="n"/>
      <c r="CB1179" s="21" t="n"/>
      <c r="CC1179" s="21" t="n"/>
      <c r="CD1179" s="21" t="n"/>
      <c r="CE1179" s="21" t="n"/>
      <c r="CF1179" s="21" t="n"/>
      <c r="CG1179" s="21" t="n"/>
      <c r="CH1179" s="21" t="n"/>
      <c r="CI1179" s="21" t="n"/>
      <c r="CJ1179" s="21" t="n"/>
      <c r="CK1179" s="21" t="n"/>
      <c r="CL1179" s="21" t="n"/>
      <c r="CM1179" s="21" t="n"/>
      <c r="CN1179" s="21" t="n"/>
      <c r="CO1179" s="21" t="n"/>
      <c r="CP1179" s="21" t="n"/>
      <c r="CQ1179" s="21" t="n"/>
      <c r="CR1179" s="21" t="n"/>
      <c r="CS1179" s="21" t="n"/>
      <c r="CT1179" s="21" t="n"/>
      <c r="CU1179" s="21" t="n"/>
      <c r="CV1179" s="21" t="n"/>
      <c r="CW1179" s="21" t="n"/>
      <c r="CX1179" s="21" t="n"/>
      <c r="CY1179" s="21" t="n"/>
      <c r="CZ1179" s="21" t="n"/>
      <c r="DA1179" s="21" t="n"/>
      <c r="DB1179" s="21" t="n"/>
      <c r="DC1179" s="21" t="n"/>
    </row>
    <row r="1180">
      <c r="B1180" t="inlineStr">
        <is>
          <t>TSP-1388</t>
        </is>
      </c>
      <c r="C1180" t="inlineStr">
        <is>
          <t>No. of batches</t>
        </is>
      </c>
      <c r="D1180">
        <f>IFERROR(INDEX(PP_Grid[#Data],$DD1180,2),0)</f>
        <v/>
      </c>
      <c r="E1180">
        <f>IFERROR(INDEX(PP_Grid[#Data],$DD1180,3),0)</f>
        <v/>
      </c>
      <c r="F1180">
        <f>IFERROR(INDEX(PP_Grid[#Data],$DD1180,4),0)</f>
        <v/>
      </c>
      <c r="G1180">
        <f>IFERROR(INDEX(PP_Grid[#Data],$DD1180,5),0)</f>
        <v/>
      </c>
      <c r="H1180">
        <f>IFERROR(INDEX(PP_Grid[#Data],$DD1180,6),0)</f>
        <v/>
      </c>
      <c r="I1180">
        <f>IFERROR(INDEX(PP_Grid[#Data],$DD1180,7),0)</f>
        <v/>
      </c>
      <c r="J1180">
        <f>IFERROR(INDEX(PP_Grid[#Data],$DD1180,8),0)</f>
        <v/>
      </c>
      <c r="K1180">
        <f>IFERROR(INDEX(PP_Grid[#Data],$DD1180,9),0)</f>
        <v/>
      </c>
      <c r="L1180">
        <f>IFERROR(INDEX(PP_Grid[#Data],$DD1180,10),0)</f>
        <v/>
      </c>
      <c r="M1180">
        <f>IFERROR(INDEX(PP_Grid[#Data],$DD1180,11),0)</f>
        <v/>
      </c>
      <c r="N1180">
        <f>IFERROR(INDEX(PP_Grid[#Data],$DD1180,12),0)</f>
        <v/>
      </c>
      <c r="O1180">
        <f>IFERROR(INDEX(PP_Grid[#Data],$DD1180,13),0)</f>
        <v/>
      </c>
      <c r="P1180">
        <f>IFERROR(INDEX(PP_Grid[#Data],$DD1180,14),0)</f>
        <v/>
      </c>
      <c r="Q1180">
        <f>IFERROR(INDEX(PP_Grid[#Data],$DD1180,15),0)</f>
        <v/>
      </c>
      <c r="R1180">
        <f>IFERROR(INDEX(PP_Grid[#Data],$DD1180,16),0)</f>
        <v/>
      </c>
      <c r="S1180">
        <f>IFERROR(INDEX(PP_Grid[#Data],$DD1180,17),0)</f>
        <v/>
      </c>
      <c r="T1180">
        <f>IFERROR(INDEX(PP_Grid[#Data],$DD1180,18),0)</f>
        <v/>
      </c>
      <c r="U1180">
        <f>IFERROR(INDEX(PP_Grid[#Data],$DD1180,19),0)</f>
        <v/>
      </c>
      <c r="V1180">
        <f>IFERROR(INDEX(PP_Grid[#Data],$DD1180,20),0)</f>
        <v/>
      </c>
      <c r="W1180">
        <f>IFERROR(INDEX(PP_Grid[#Data],$DD1180,21),0)</f>
        <v/>
      </c>
      <c r="X1180">
        <f>IFERROR(INDEX(PP_Grid[#Data],$DD1180,22),0)</f>
        <v/>
      </c>
      <c r="Y1180">
        <f>IFERROR(INDEX(PP_Grid[#Data],$DD1180,23),0)</f>
        <v/>
      </c>
      <c r="Z1180">
        <f>IFERROR(INDEX(PP_Grid[#Data],$DD1180,24),0)</f>
        <v/>
      </c>
      <c r="AA1180">
        <f>IFERROR(INDEX(PP_Grid[#Data],$DD1180,25),0)</f>
        <v/>
      </c>
      <c r="AB1180">
        <f>IFERROR(INDEX(PP_Grid[#Data],$DD1180,26),0)</f>
        <v/>
      </c>
      <c r="AC1180">
        <f>IFERROR(INDEX(PP_Grid[#Data],$DD1180,27),0)</f>
        <v/>
      </c>
      <c r="AD1180">
        <f>IFERROR(INDEX(PP_Grid[#Data],$DD1180,28),0)</f>
        <v/>
      </c>
      <c r="AE1180">
        <f>IFERROR(INDEX(PP_Grid[#Data],$DD1180,29),0)</f>
        <v/>
      </c>
      <c r="AF1180">
        <f>IFERROR(INDEX(PP_Grid[#Data],$DD1180,30),0)</f>
        <v/>
      </c>
      <c r="AG1180">
        <f>IFERROR(INDEX(PP_Grid[#Data],$DD1180,31),0)</f>
        <v/>
      </c>
      <c r="AH1180">
        <f>IFERROR(INDEX(PP_Grid[#Data],$DD1180,32),0)</f>
        <v/>
      </c>
      <c r="AI1180">
        <f>IFERROR(INDEX(PP_Grid[#Data],$DD1180,33),0)</f>
        <v/>
      </c>
      <c r="AJ1180">
        <f>IFERROR(INDEX(PP_Grid[#Data],$DD1180,34),0)</f>
        <v/>
      </c>
      <c r="AK1180">
        <f>IFERROR(INDEX(PP_Grid[#Data],$DD1180,35),0)</f>
        <v/>
      </c>
      <c r="AL1180">
        <f>IFERROR(INDEX(PP_Grid[#Data],$DD1180,36),0)</f>
        <v/>
      </c>
      <c r="AM1180">
        <f>IFERROR(INDEX(PP_Grid[#Data],$DD1180,37),0)</f>
        <v/>
      </c>
      <c r="AN1180">
        <f>IFERROR(INDEX(PP_Grid[#Data],$DD1180,38),0)</f>
        <v/>
      </c>
      <c r="AO1180">
        <f>IFERROR(INDEX(PP_Grid[#Data],$DD1180,39),0)</f>
        <v/>
      </c>
      <c r="AP1180">
        <f>IFERROR(INDEX(PP_Grid[#Data],$DD1180,40),0)</f>
        <v/>
      </c>
      <c r="AQ1180">
        <f>IFERROR(INDEX(PP_Grid[#Data],$DD1180,41),0)</f>
        <v/>
      </c>
      <c r="AR1180">
        <f>IFERROR(INDEX(PP_Grid[#Data],$DD1180,42),0)</f>
        <v/>
      </c>
      <c r="AS1180">
        <f>IFERROR(INDEX(PP_Grid[#Data],$DD1180,43),0)</f>
        <v/>
      </c>
      <c r="AT1180">
        <f>IFERROR(INDEX(PP_Grid[#Data],$DD1180,44),0)</f>
        <v/>
      </c>
      <c r="AU1180">
        <f>IFERROR(INDEX(PP_Grid[#Data],$DD1180,45),0)</f>
        <v/>
      </c>
      <c r="AV1180">
        <f>IFERROR(INDEX(PP_Grid[#Data],$DD1180,46),0)</f>
        <v/>
      </c>
      <c r="AW1180">
        <f>IFERROR(INDEX(PP_Grid[#Data],$DD1180,47),0)</f>
        <v/>
      </c>
      <c r="AX1180">
        <f>IFERROR(INDEX(PP_Grid[#Data],$DD1180,48),0)</f>
        <v/>
      </c>
      <c r="AY1180">
        <f>IFERROR(INDEX(PP_Grid[#Data],$DD1180,49),0)</f>
        <v/>
      </c>
      <c r="AZ1180">
        <f>IFERROR(INDEX(PP_Grid[#Data],$DD1180,50),0)</f>
        <v/>
      </c>
      <c r="BA1180">
        <f>IFERROR(INDEX(PP_Grid[#Data],$DD1180,51),0)</f>
        <v/>
      </c>
      <c r="BB1180">
        <f>IFERROR(INDEX(PP_Grid[#Data],$DD1180,52),0)</f>
        <v/>
      </c>
      <c r="BC1180">
        <f>IFERROR(INDEX(PP_Grid[#Data],$DD1180,53),0)</f>
        <v/>
      </c>
      <c r="BD1180">
        <f>IFERROR(INDEX(PP_Grid[#Data],$DD1180,54),0)</f>
        <v/>
      </c>
      <c r="BE1180">
        <f>IFERROR(INDEX(PP_Grid[#Data],$DD1180,55),0)</f>
        <v/>
      </c>
      <c r="BF1180">
        <f>IFERROR(INDEX(PP_Grid[#Data],$DD1180,56),0)</f>
        <v/>
      </c>
      <c r="BG1180">
        <f>IFERROR(INDEX(PP_Grid[#Data],$DD1180,57),0)</f>
        <v/>
      </c>
      <c r="BH1180">
        <f>IFERROR(INDEX(PP_Grid[#Data],$DD1180,58),0)</f>
        <v/>
      </c>
      <c r="BI1180">
        <f>IFERROR(INDEX(PP_Grid[#Data],$DD1180,59),0)</f>
        <v/>
      </c>
      <c r="BJ1180">
        <f>IFERROR(INDEX(PP_Grid[#Data],$DD1180,60),0)</f>
        <v/>
      </c>
      <c r="BK1180">
        <f>IFERROR(INDEX(PP_Grid[#Data],$DD1180,61),0)</f>
        <v/>
      </c>
      <c r="BL1180">
        <f>IFERROR(INDEX(PP_Grid[#Data],$DD1180,62),0)</f>
        <v/>
      </c>
      <c r="BM1180">
        <f>IFERROR(INDEX(PP_Grid[#Data],$DD1180,63),0)</f>
        <v/>
      </c>
      <c r="BN1180">
        <f>IFERROR(INDEX(PP_Grid[#Data],$DD1180,64),0)</f>
        <v/>
      </c>
      <c r="BO1180">
        <f>IFERROR(INDEX(PP_Grid[#Data],$DD1180,65),0)</f>
        <v/>
      </c>
      <c r="BP1180">
        <f>IFERROR(INDEX(PP_Grid[#Data],$DD1180,66),0)</f>
        <v/>
      </c>
      <c r="BQ1180">
        <f>IFERROR(INDEX(PP_Grid[#Data],$DD1180,67),0)</f>
        <v/>
      </c>
      <c r="BR1180">
        <f>IFERROR(INDEX(PP_Grid[#Data],$DD1180,68),0)</f>
        <v/>
      </c>
      <c r="BS1180">
        <f>IFERROR(INDEX(PP_Grid[#Data],$DD1180,69),0)</f>
        <v/>
      </c>
      <c r="BT1180">
        <f>IFERROR(INDEX(PP_Grid[#Data],$DD1180,70),0)</f>
        <v/>
      </c>
      <c r="BU1180">
        <f>IFERROR(INDEX(PP_Grid[#Data],$DD1180,71),0)</f>
        <v/>
      </c>
      <c r="BV1180">
        <f>IFERROR(INDEX(PP_Grid[#Data],$DD1180,72),0)</f>
        <v/>
      </c>
      <c r="BW1180">
        <f>IFERROR(INDEX(PP_Grid[#Data],$DD1180,73),0)</f>
        <v/>
      </c>
      <c r="BX1180">
        <f>IFERROR(INDEX(PP_Grid[#Data],$DD1180,74),0)</f>
        <v/>
      </c>
      <c r="BY1180">
        <f>IFERROR(INDEX(PP_Grid[#Data],$DD1180,75),0)</f>
        <v/>
      </c>
      <c r="BZ1180">
        <f>IFERROR(INDEX(PP_Grid[#Data],$DD1180,76),0)</f>
        <v/>
      </c>
      <c r="CA1180">
        <f>IFERROR(INDEX(PP_Grid[#Data],$DD1180,77),0)</f>
        <v/>
      </c>
      <c r="CB1180">
        <f>IFERROR(INDEX(PP_Grid[#Data],$DD1180,78),0)</f>
        <v/>
      </c>
      <c r="CC1180">
        <f>IFERROR(INDEX(PP_Grid[#Data],$DD1180,79),0)</f>
        <v/>
      </c>
      <c r="CD1180">
        <f>IFERROR(INDEX(PP_Grid[#Data],$DD1180,80),0)</f>
        <v/>
      </c>
      <c r="CE1180">
        <f>IFERROR(INDEX(PP_Grid[#Data],$DD1180,81),0)</f>
        <v/>
      </c>
      <c r="CF1180">
        <f>IFERROR(INDEX(PP_Grid[#Data],$DD1180,82),0)</f>
        <v/>
      </c>
      <c r="CG1180">
        <f>IFERROR(INDEX(PP_Grid[#Data],$DD1180,83),0)</f>
        <v/>
      </c>
      <c r="CH1180">
        <f>IFERROR(INDEX(PP_Grid[#Data],$DD1180,84),0)</f>
        <v/>
      </c>
      <c r="CI1180">
        <f>IFERROR(INDEX(PP_Grid[#Data],$DD1180,85),0)</f>
        <v/>
      </c>
      <c r="CJ1180">
        <f>IFERROR(INDEX(PP_Grid[#Data],$DD1180,86),0)</f>
        <v/>
      </c>
      <c r="CK1180">
        <f>IFERROR(INDEX(PP_Grid[#Data],$DD1180,87),0)</f>
        <v/>
      </c>
      <c r="CL1180">
        <f>IFERROR(INDEX(PP_Grid[#Data],$DD1180,88),0)</f>
        <v/>
      </c>
      <c r="CM1180">
        <f>IFERROR(INDEX(PP_Grid[#Data],$DD1180,89),0)</f>
        <v/>
      </c>
      <c r="CN1180">
        <f>IFERROR(INDEX(PP_Grid[#Data],$DD1180,90),0)</f>
        <v/>
      </c>
      <c r="CO1180">
        <f>IFERROR(INDEX(PP_Grid[#Data],$DD1180,91),0)</f>
        <v/>
      </c>
      <c r="CP1180">
        <f>IFERROR(INDEX(PP_Grid[#Data],$DD1180,92),0)</f>
        <v/>
      </c>
      <c r="CQ1180">
        <f>IFERROR(INDEX(PP_Grid[#Data],$DD1180,93),0)</f>
        <v/>
      </c>
      <c r="CR1180">
        <f>IFERROR(INDEX(PP_Grid[#Data],$DD1180,94),0)</f>
        <v/>
      </c>
      <c r="CS1180">
        <f>IFERROR(INDEX(PP_Grid[#Data],$DD1180,95),0)</f>
        <v/>
      </c>
      <c r="CT1180">
        <f>IFERROR(INDEX(PP_Grid[#Data],$DD1180,96),0)</f>
        <v/>
      </c>
      <c r="CU1180">
        <f>IFERROR(INDEX(PP_Grid[#Data],$DD1180,97),0)</f>
        <v/>
      </c>
      <c r="CV1180">
        <f>IFERROR(INDEX(PP_Grid[#Data],$DD1180,98),0)</f>
        <v/>
      </c>
      <c r="CW1180">
        <f>IFERROR(INDEX(PP_Grid[#Data],$DD1180,99),0)</f>
        <v/>
      </c>
      <c r="CX1180">
        <f>IFERROR(INDEX(PP_Grid[#Data],$DD1180,100),0)</f>
        <v/>
      </c>
      <c r="CY1180">
        <f>IFERROR(INDEX(PP_Grid[#Data],$DD1180,101),0)</f>
        <v/>
      </c>
      <c r="CZ1180">
        <f>IFERROR(INDEX(PP_Grid[#Data],$DD1180,102),0)</f>
        <v/>
      </c>
      <c r="DA1180">
        <f>IFERROR(INDEX(PP_Grid[#Data],$DD1180,103),0)</f>
        <v/>
      </c>
      <c r="DB1180">
        <f>IFERROR(INDEX(PP_Grid[#Data],$DD1180,104),0)</f>
        <v/>
      </c>
      <c r="DC1180">
        <f>IFERROR(INDEX(PP_Grid[#Data],$DD1180,105),0)</f>
        <v/>
      </c>
      <c r="DD1180" s="12">
        <f>IFERROR(MATCH($B1180,PP_Grid[Intermediate],0),99999)</f>
        <v/>
      </c>
    </row>
    <row r="1181">
      <c r="B1181" t="inlineStr">
        <is>
          <t>使用量(kg)</t>
        </is>
      </c>
      <c r="C1181">
        <f>SUMIFS(M_BOM[RM_Qty_Per_Batch],M_BOM[Intermediate],$B1180,M_BOM[Part Name],$A1179)</f>
        <v/>
      </c>
      <c r="D1181">
        <f>$C1181*D1180</f>
        <v/>
      </c>
      <c r="E1181">
        <f>$C1181*E1180</f>
        <v/>
      </c>
      <c r="F1181">
        <f>$C1181*F1180</f>
        <v/>
      </c>
      <c r="G1181">
        <f>$C1181*G1180</f>
        <v/>
      </c>
      <c r="H1181">
        <f>$C1181*H1180</f>
        <v/>
      </c>
      <c r="I1181">
        <f>$C1181*I1180</f>
        <v/>
      </c>
      <c r="J1181">
        <f>$C1181*J1180</f>
        <v/>
      </c>
      <c r="K1181">
        <f>$C1181*K1180</f>
        <v/>
      </c>
      <c r="L1181">
        <f>$C1181*L1180</f>
        <v/>
      </c>
      <c r="M1181">
        <f>$C1181*M1180</f>
        <v/>
      </c>
      <c r="N1181">
        <f>$C1181*N1180</f>
        <v/>
      </c>
      <c r="O1181">
        <f>$C1181*O1180</f>
        <v/>
      </c>
      <c r="P1181">
        <f>$C1181*P1180</f>
        <v/>
      </c>
      <c r="Q1181">
        <f>$C1181*Q1180</f>
        <v/>
      </c>
      <c r="R1181">
        <f>$C1181*R1180</f>
        <v/>
      </c>
      <c r="S1181">
        <f>$C1181*S1180</f>
        <v/>
      </c>
      <c r="T1181">
        <f>$C1181*T1180</f>
        <v/>
      </c>
      <c r="U1181">
        <f>$C1181*U1180</f>
        <v/>
      </c>
      <c r="V1181">
        <f>$C1181*V1180</f>
        <v/>
      </c>
      <c r="W1181">
        <f>$C1181*W1180</f>
        <v/>
      </c>
      <c r="X1181">
        <f>$C1181*X1180</f>
        <v/>
      </c>
      <c r="Y1181">
        <f>$C1181*Y1180</f>
        <v/>
      </c>
      <c r="Z1181">
        <f>$C1181*Z1180</f>
        <v/>
      </c>
      <c r="AA1181">
        <f>$C1181*AA1180</f>
        <v/>
      </c>
      <c r="AB1181">
        <f>$C1181*AB1180</f>
        <v/>
      </c>
      <c r="AC1181">
        <f>$C1181*AC1180</f>
        <v/>
      </c>
      <c r="AD1181">
        <f>$C1181*AD1180</f>
        <v/>
      </c>
      <c r="AE1181">
        <f>$C1181*AE1180</f>
        <v/>
      </c>
      <c r="AF1181">
        <f>$C1181*AF1180</f>
        <v/>
      </c>
      <c r="AG1181">
        <f>$C1181*AG1180</f>
        <v/>
      </c>
      <c r="AH1181">
        <f>$C1181*AH1180</f>
        <v/>
      </c>
      <c r="AI1181">
        <f>$C1181*AI1180</f>
        <v/>
      </c>
      <c r="AJ1181">
        <f>$C1181*AJ1180</f>
        <v/>
      </c>
      <c r="AK1181">
        <f>$C1181*AK1180</f>
        <v/>
      </c>
      <c r="AL1181">
        <f>$C1181*AL1180</f>
        <v/>
      </c>
      <c r="AM1181">
        <f>$C1181*AM1180</f>
        <v/>
      </c>
      <c r="AN1181">
        <f>$C1181*AN1180</f>
        <v/>
      </c>
      <c r="AO1181">
        <f>$C1181*AO1180</f>
        <v/>
      </c>
      <c r="AP1181">
        <f>$C1181*AP1180</f>
        <v/>
      </c>
      <c r="AQ1181">
        <f>$C1181*AQ1180</f>
        <v/>
      </c>
      <c r="AR1181">
        <f>$C1181*AR1180</f>
        <v/>
      </c>
      <c r="AS1181">
        <f>$C1181*AS1180</f>
        <v/>
      </c>
      <c r="AT1181">
        <f>$C1181*AT1180</f>
        <v/>
      </c>
      <c r="AU1181">
        <f>$C1181*AU1180</f>
        <v/>
      </c>
      <c r="AV1181">
        <f>$C1181*AV1180</f>
        <v/>
      </c>
      <c r="AW1181">
        <f>$C1181*AW1180</f>
        <v/>
      </c>
      <c r="AX1181">
        <f>$C1181*AX1180</f>
        <v/>
      </c>
      <c r="AY1181">
        <f>$C1181*AY1180</f>
        <v/>
      </c>
      <c r="AZ1181">
        <f>$C1181*AZ1180</f>
        <v/>
      </c>
      <c r="BA1181">
        <f>$C1181*BA1180</f>
        <v/>
      </c>
      <c r="BB1181">
        <f>$C1181*BB1180</f>
        <v/>
      </c>
      <c r="BC1181">
        <f>$C1181*BC1180</f>
        <v/>
      </c>
      <c r="BD1181">
        <f>$C1181*BD1180</f>
        <v/>
      </c>
      <c r="BE1181">
        <f>$C1181*BE1180</f>
        <v/>
      </c>
      <c r="BF1181">
        <f>$C1181*BF1180</f>
        <v/>
      </c>
      <c r="BG1181">
        <f>$C1181*BG1180</f>
        <v/>
      </c>
      <c r="BH1181">
        <f>$C1181*BH1180</f>
        <v/>
      </c>
      <c r="BI1181">
        <f>$C1181*BI1180</f>
        <v/>
      </c>
      <c r="BJ1181">
        <f>$C1181*BJ1180</f>
        <v/>
      </c>
      <c r="BK1181">
        <f>$C1181*BK1180</f>
        <v/>
      </c>
      <c r="BL1181">
        <f>$C1181*BL1180</f>
        <v/>
      </c>
      <c r="BM1181">
        <f>$C1181*BM1180</f>
        <v/>
      </c>
      <c r="BN1181">
        <f>$C1181*BN1180</f>
        <v/>
      </c>
      <c r="BO1181">
        <f>$C1181*BO1180</f>
        <v/>
      </c>
      <c r="BP1181">
        <f>$C1181*BP1180</f>
        <v/>
      </c>
      <c r="BQ1181">
        <f>$C1181*BQ1180</f>
        <v/>
      </c>
      <c r="BR1181">
        <f>$C1181*BR1180</f>
        <v/>
      </c>
      <c r="BS1181">
        <f>$C1181*BS1180</f>
        <v/>
      </c>
      <c r="BT1181">
        <f>$C1181*BT1180</f>
        <v/>
      </c>
      <c r="BU1181">
        <f>$C1181*BU1180</f>
        <v/>
      </c>
      <c r="BV1181">
        <f>$C1181*BV1180</f>
        <v/>
      </c>
      <c r="BW1181">
        <f>$C1181*BW1180</f>
        <v/>
      </c>
      <c r="BX1181">
        <f>$C1181*BX1180</f>
        <v/>
      </c>
      <c r="BY1181">
        <f>$C1181*BY1180</f>
        <v/>
      </c>
      <c r="BZ1181">
        <f>$C1181*BZ1180</f>
        <v/>
      </c>
      <c r="CA1181">
        <f>$C1181*CA1180</f>
        <v/>
      </c>
      <c r="CB1181">
        <f>$C1181*CB1180</f>
        <v/>
      </c>
      <c r="CC1181">
        <f>$C1181*CC1180</f>
        <v/>
      </c>
      <c r="CD1181">
        <f>$C1181*CD1180</f>
        <v/>
      </c>
      <c r="CE1181">
        <f>$C1181*CE1180</f>
        <v/>
      </c>
      <c r="CF1181">
        <f>$C1181*CF1180</f>
        <v/>
      </c>
      <c r="CG1181">
        <f>$C1181*CG1180</f>
        <v/>
      </c>
      <c r="CH1181">
        <f>$C1181*CH1180</f>
        <v/>
      </c>
      <c r="CI1181">
        <f>$C1181*CI1180</f>
        <v/>
      </c>
      <c r="CJ1181">
        <f>$C1181*CJ1180</f>
        <v/>
      </c>
      <c r="CK1181">
        <f>$C1181*CK1180</f>
        <v/>
      </c>
      <c r="CL1181">
        <f>$C1181*CL1180</f>
        <v/>
      </c>
      <c r="CM1181">
        <f>$C1181*CM1180</f>
        <v/>
      </c>
      <c r="CN1181">
        <f>$C1181*CN1180</f>
        <v/>
      </c>
      <c r="CO1181">
        <f>$C1181*CO1180</f>
        <v/>
      </c>
      <c r="CP1181">
        <f>$C1181*CP1180</f>
        <v/>
      </c>
      <c r="CQ1181">
        <f>$C1181*CQ1180</f>
        <v/>
      </c>
      <c r="CR1181">
        <f>$C1181*CR1180</f>
        <v/>
      </c>
      <c r="CS1181">
        <f>$C1181*CS1180</f>
        <v/>
      </c>
      <c r="CT1181">
        <f>$C1181*CT1180</f>
        <v/>
      </c>
      <c r="CU1181">
        <f>$C1181*CU1180</f>
        <v/>
      </c>
      <c r="CV1181">
        <f>$C1181*CV1180</f>
        <v/>
      </c>
      <c r="CW1181">
        <f>$C1181*CW1180</f>
        <v/>
      </c>
      <c r="CX1181">
        <f>$C1181*CX1180</f>
        <v/>
      </c>
      <c r="CY1181">
        <f>$C1181*CY1180</f>
        <v/>
      </c>
      <c r="CZ1181">
        <f>$C1181*CZ1180</f>
        <v/>
      </c>
      <c r="DA1181">
        <f>$C1181*DA1180</f>
        <v/>
      </c>
      <c r="DB1181">
        <f>$C1181*DB1180</f>
        <v/>
      </c>
      <c r="DC1181">
        <f>$C1181*DC1180</f>
        <v/>
      </c>
    </row>
    <row r="1182">
      <c r="B1182" t="inlineStr">
        <is>
          <t>TSP-1448</t>
        </is>
      </c>
      <c r="C1182" t="inlineStr">
        <is>
          <t>No. of batches</t>
        </is>
      </c>
      <c r="D1182">
        <f>IFERROR(INDEX(PP_Grid[#Data],$DD1182,2),0)</f>
        <v/>
      </c>
      <c r="E1182">
        <f>IFERROR(INDEX(PP_Grid[#Data],$DD1182,3),0)</f>
        <v/>
      </c>
      <c r="F1182">
        <f>IFERROR(INDEX(PP_Grid[#Data],$DD1182,4),0)</f>
        <v/>
      </c>
      <c r="G1182">
        <f>IFERROR(INDEX(PP_Grid[#Data],$DD1182,5),0)</f>
        <v/>
      </c>
      <c r="H1182">
        <f>IFERROR(INDEX(PP_Grid[#Data],$DD1182,6),0)</f>
        <v/>
      </c>
      <c r="I1182">
        <f>IFERROR(INDEX(PP_Grid[#Data],$DD1182,7),0)</f>
        <v/>
      </c>
      <c r="J1182">
        <f>IFERROR(INDEX(PP_Grid[#Data],$DD1182,8),0)</f>
        <v/>
      </c>
      <c r="K1182">
        <f>IFERROR(INDEX(PP_Grid[#Data],$DD1182,9),0)</f>
        <v/>
      </c>
      <c r="L1182">
        <f>IFERROR(INDEX(PP_Grid[#Data],$DD1182,10),0)</f>
        <v/>
      </c>
      <c r="M1182">
        <f>IFERROR(INDEX(PP_Grid[#Data],$DD1182,11),0)</f>
        <v/>
      </c>
      <c r="N1182">
        <f>IFERROR(INDEX(PP_Grid[#Data],$DD1182,12),0)</f>
        <v/>
      </c>
      <c r="O1182">
        <f>IFERROR(INDEX(PP_Grid[#Data],$DD1182,13),0)</f>
        <v/>
      </c>
      <c r="P1182">
        <f>IFERROR(INDEX(PP_Grid[#Data],$DD1182,14),0)</f>
        <v/>
      </c>
      <c r="Q1182">
        <f>IFERROR(INDEX(PP_Grid[#Data],$DD1182,15),0)</f>
        <v/>
      </c>
      <c r="R1182">
        <f>IFERROR(INDEX(PP_Grid[#Data],$DD1182,16),0)</f>
        <v/>
      </c>
      <c r="S1182">
        <f>IFERROR(INDEX(PP_Grid[#Data],$DD1182,17),0)</f>
        <v/>
      </c>
      <c r="T1182">
        <f>IFERROR(INDEX(PP_Grid[#Data],$DD1182,18),0)</f>
        <v/>
      </c>
      <c r="U1182">
        <f>IFERROR(INDEX(PP_Grid[#Data],$DD1182,19),0)</f>
        <v/>
      </c>
      <c r="V1182">
        <f>IFERROR(INDEX(PP_Grid[#Data],$DD1182,20),0)</f>
        <v/>
      </c>
      <c r="W1182">
        <f>IFERROR(INDEX(PP_Grid[#Data],$DD1182,21),0)</f>
        <v/>
      </c>
      <c r="X1182">
        <f>IFERROR(INDEX(PP_Grid[#Data],$DD1182,22),0)</f>
        <v/>
      </c>
      <c r="Y1182">
        <f>IFERROR(INDEX(PP_Grid[#Data],$DD1182,23),0)</f>
        <v/>
      </c>
      <c r="Z1182">
        <f>IFERROR(INDEX(PP_Grid[#Data],$DD1182,24),0)</f>
        <v/>
      </c>
      <c r="AA1182">
        <f>IFERROR(INDEX(PP_Grid[#Data],$DD1182,25),0)</f>
        <v/>
      </c>
      <c r="AB1182">
        <f>IFERROR(INDEX(PP_Grid[#Data],$DD1182,26),0)</f>
        <v/>
      </c>
      <c r="AC1182">
        <f>IFERROR(INDEX(PP_Grid[#Data],$DD1182,27),0)</f>
        <v/>
      </c>
      <c r="AD1182">
        <f>IFERROR(INDEX(PP_Grid[#Data],$DD1182,28),0)</f>
        <v/>
      </c>
      <c r="AE1182">
        <f>IFERROR(INDEX(PP_Grid[#Data],$DD1182,29),0)</f>
        <v/>
      </c>
      <c r="AF1182">
        <f>IFERROR(INDEX(PP_Grid[#Data],$DD1182,30),0)</f>
        <v/>
      </c>
      <c r="AG1182">
        <f>IFERROR(INDEX(PP_Grid[#Data],$DD1182,31),0)</f>
        <v/>
      </c>
      <c r="AH1182">
        <f>IFERROR(INDEX(PP_Grid[#Data],$DD1182,32),0)</f>
        <v/>
      </c>
      <c r="AI1182">
        <f>IFERROR(INDEX(PP_Grid[#Data],$DD1182,33),0)</f>
        <v/>
      </c>
      <c r="AJ1182">
        <f>IFERROR(INDEX(PP_Grid[#Data],$DD1182,34),0)</f>
        <v/>
      </c>
      <c r="AK1182">
        <f>IFERROR(INDEX(PP_Grid[#Data],$DD1182,35),0)</f>
        <v/>
      </c>
      <c r="AL1182">
        <f>IFERROR(INDEX(PP_Grid[#Data],$DD1182,36),0)</f>
        <v/>
      </c>
      <c r="AM1182">
        <f>IFERROR(INDEX(PP_Grid[#Data],$DD1182,37),0)</f>
        <v/>
      </c>
      <c r="AN1182">
        <f>IFERROR(INDEX(PP_Grid[#Data],$DD1182,38),0)</f>
        <v/>
      </c>
      <c r="AO1182">
        <f>IFERROR(INDEX(PP_Grid[#Data],$DD1182,39),0)</f>
        <v/>
      </c>
      <c r="AP1182">
        <f>IFERROR(INDEX(PP_Grid[#Data],$DD1182,40),0)</f>
        <v/>
      </c>
      <c r="AQ1182">
        <f>IFERROR(INDEX(PP_Grid[#Data],$DD1182,41),0)</f>
        <v/>
      </c>
      <c r="AR1182">
        <f>IFERROR(INDEX(PP_Grid[#Data],$DD1182,42),0)</f>
        <v/>
      </c>
      <c r="AS1182">
        <f>IFERROR(INDEX(PP_Grid[#Data],$DD1182,43),0)</f>
        <v/>
      </c>
      <c r="AT1182">
        <f>IFERROR(INDEX(PP_Grid[#Data],$DD1182,44),0)</f>
        <v/>
      </c>
      <c r="AU1182">
        <f>IFERROR(INDEX(PP_Grid[#Data],$DD1182,45),0)</f>
        <v/>
      </c>
      <c r="AV1182">
        <f>IFERROR(INDEX(PP_Grid[#Data],$DD1182,46),0)</f>
        <v/>
      </c>
      <c r="AW1182">
        <f>IFERROR(INDEX(PP_Grid[#Data],$DD1182,47),0)</f>
        <v/>
      </c>
      <c r="AX1182">
        <f>IFERROR(INDEX(PP_Grid[#Data],$DD1182,48),0)</f>
        <v/>
      </c>
      <c r="AY1182">
        <f>IFERROR(INDEX(PP_Grid[#Data],$DD1182,49),0)</f>
        <v/>
      </c>
      <c r="AZ1182">
        <f>IFERROR(INDEX(PP_Grid[#Data],$DD1182,50),0)</f>
        <v/>
      </c>
      <c r="BA1182">
        <f>IFERROR(INDEX(PP_Grid[#Data],$DD1182,51),0)</f>
        <v/>
      </c>
      <c r="BB1182">
        <f>IFERROR(INDEX(PP_Grid[#Data],$DD1182,52),0)</f>
        <v/>
      </c>
      <c r="BC1182">
        <f>IFERROR(INDEX(PP_Grid[#Data],$DD1182,53),0)</f>
        <v/>
      </c>
      <c r="BD1182">
        <f>IFERROR(INDEX(PP_Grid[#Data],$DD1182,54),0)</f>
        <v/>
      </c>
      <c r="BE1182">
        <f>IFERROR(INDEX(PP_Grid[#Data],$DD1182,55),0)</f>
        <v/>
      </c>
      <c r="BF1182">
        <f>IFERROR(INDEX(PP_Grid[#Data],$DD1182,56),0)</f>
        <v/>
      </c>
      <c r="BG1182">
        <f>IFERROR(INDEX(PP_Grid[#Data],$DD1182,57),0)</f>
        <v/>
      </c>
      <c r="BH1182">
        <f>IFERROR(INDEX(PP_Grid[#Data],$DD1182,58),0)</f>
        <v/>
      </c>
      <c r="BI1182">
        <f>IFERROR(INDEX(PP_Grid[#Data],$DD1182,59),0)</f>
        <v/>
      </c>
      <c r="BJ1182">
        <f>IFERROR(INDEX(PP_Grid[#Data],$DD1182,60),0)</f>
        <v/>
      </c>
      <c r="BK1182">
        <f>IFERROR(INDEX(PP_Grid[#Data],$DD1182,61),0)</f>
        <v/>
      </c>
      <c r="BL1182">
        <f>IFERROR(INDEX(PP_Grid[#Data],$DD1182,62),0)</f>
        <v/>
      </c>
      <c r="BM1182">
        <f>IFERROR(INDEX(PP_Grid[#Data],$DD1182,63),0)</f>
        <v/>
      </c>
      <c r="BN1182">
        <f>IFERROR(INDEX(PP_Grid[#Data],$DD1182,64),0)</f>
        <v/>
      </c>
      <c r="BO1182">
        <f>IFERROR(INDEX(PP_Grid[#Data],$DD1182,65),0)</f>
        <v/>
      </c>
      <c r="BP1182">
        <f>IFERROR(INDEX(PP_Grid[#Data],$DD1182,66),0)</f>
        <v/>
      </c>
      <c r="BQ1182">
        <f>IFERROR(INDEX(PP_Grid[#Data],$DD1182,67),0)</f>
        <v/>
      </c>
      <c r="BR1182">
        <f>IFERROR(INDEX(PP_Grid[#Data],$DD1182,68),0)</f>
        <v/>
      </c>
      <c r="BS1182">
        <f>IFERROR(INDEX(PP_Grid[#Data],$DD1182,69),0)</f>
        <v/>
      </c>
      <c r="BT1182">
        <f>IFERROR(INDEX(PP_Grid[#Data],$DD1182,70),0)</f>
        <v/>
      </c>
      <c r="BU1182">
        <f>IFERROR(INDEX(PP_Grid[#Data],$DD1182,71),0)</f>
        <v/>
      </c>
      <c r="BV1182">
        <f>IFERROR(INDEX(PP_Grid[#Data],$DD1182,72),0)</f>
        <v/>
      </c>
      <c r="BW1182">
        <f>IFERROR(INDEX(PP_Grid[#Data],$DD1182,73),0)</f>
        <v/>
      </c>
      <c r="BX1182">
        <f>IFERROR(INDEX(PP_Grid[#Data],$DD1182,74),0)</f>
        <v/>
      </c>
      <c r="BY1182">
        <f>IFERROR(INDEX(PP_Grid[#Data],$DD1182,75),0)</f>
        <v/>
      </c>
      <c r="BZ1182">
        <f>IFERROR(INDEX(PP_Grid[#Data],$DD1182,76),0)</f>
        <v/>
      </c>
      <c r="CA1182">
        <f>IFERROR(INDEX(PP_Grid[#Data],$DD1182,77),0)</f>
        <v/>
      </c>
      <c r="CB1182">
        <f>IFERROR(INDEX(PP_Grid[#Data],$DD1182,78),0)</f>
        <v/>
      </c>
      <c r="CC1182">
        <f>IFERROR(INDEX(PP_Grid[#Data],$DD1182,79),0)</f>
        <v/>
      </c>
      <c r="CD1182">
        <f>IFERROR(INDEX(PP_Grid[#Data],$DD1182,80),0)</f>
        <v/>
      </c>
      <c r="CE1182">
        <f>IFERROR(INDEX(PP_Grid[#Data],$DD1182,81),0)</f>
        <v/>
      </c>
      <c r="CF1182">
        <f>IFERROR(INDEX(PP_Grid[#Data],$DD1182,82),0)</f>
        <v/>
      </c>
      <c r="CG1182">
        <f>IFERROR(INDEX(PP_Grid[#Data],$DD1182,83),0)</f>
        <v/>
      </c>
      <c r="CH1182">
        <f>IFERROR(INDEX(PP_Grid[#Data],$DD1182,84),0)</f>
        <v/>
      </c>
      <c r="CI1182">
        <f>IFERROR(INDEX(PP_Grid[#Data],$DD1182,85),0)</f>
        <v/>
      </c>
      <c r="CJ1182">
        <f>IFERROR(INDEX(PP_Grid[#Data],$DD1182,86),0)</f>
        <v/>
      </c>
      <c r="CK1182">
        <f>IFERROR(INDEX(PP_Grid[#Data],$DD1182,87),0)</f>
        <v/>
      </c>
      <c r="CL1182">
        <f>IFERROR(INDEX(PP_Grid[#Data],$DD1182,88),0)</f>
        <v/>
      </c>
      <c r="CM1182">
        <f>IFERROR(INDEX(PP_Grid[#Data],$DD1182,89),0)</f>
        <v/>
      </c>
      <c r="CN1182">
        <f>IFERROR(INDEX(PP_Grid[#Data],$DD1182,90),0)</f>
        <v/>
      </c>
      <c r="CO1182">
        <f>IFERROR(INDEX(PP_Grid[#Data],$DD1182,91),0)</f>
        <v/>
      </c>
      <c r="CP1182">
        <f>IFERROR(INDEX(PP_Grid[#Data],$DD1182,92),0)</f>
        <v/>
      </c>
      <c r="CQ1182">
        <f>IFERROR(INDEX(PP_Grid[#Data],$DD1182,93),0)</f>
        <v/>
      </c>
      <c r="CR1182">
        <f>IFERROR(INDEX(PP_Grid[#Data],$DD1182,94),0)</f>
        <v/>
      </c>
      <c r="CS1182">
        <f>IFERROR(INDEX(PP_Grid[#Data],$DD1182,95),0)</f>
        <v/>
      </c>
      <c r="CT1182">
        <f>IFERROR(INDEX(PP_Grid[#Data],$DD1182,96),0)</f>
        <v/>
      </c>
      <c r="CU1182">
        <f>IFERROR(INDEX(PP_Grid[#Data],$DD1182,97),0)</f>
        <v/>
      </c>
      <c r="CV1182">
        <f>IFERROR(INDEX(PP_Grid[#Data],$DD1182,98),0)</f>
        <v/>
      </c>
      <c r="CW1182">
        <f>IFERROR(INDEX(PP_Grid[#Data],$DD1182,99),0)</f>
        <v/>
      </c>
      <c r="CX1182">
        <f>IFERROR(INDEX(PP_Grid[#Data],$DD1182,100),0)</f>
        <v/>
      </c>
      <c r="CY1182">
        <f>IFERROR(INDEX(PP_Grid[#Data],$DD1182,101),0)</f>
        <v/>
      </c>
      <c r="CZ1182">
        <f>IFERROR(INDEX(PP_Grid[#Data],$DD1182,102),0)</f>
        <v/>
      </c>
      <c r="DA1182">
        <f>IFERROR(INDEX(PP_Grid[#Data],$DD1182,103),0)</f>
        <v/>
      </c>
      <c r="DB1182">
        <f>IFERROR(INDEX(PP_Grid[#Data],$DD1182,104),0)</f>
        <v/>
      </c>
      <c r="DC1182">
        <f>IFERROR(INDEX(PP_Grid[#Data],$DD1182,105),0)</f>
        <v/>
      </c>
      <c r="DD1182" s="12">
        <f>IFERROR(MATCH($B1182,PP_Grid[Intermediate],0),99999)</f>
        <v/>
      </c>
    </row>
    <row r="1183">
      <c r="B1183" t="inlineStr">
        <is>
          <t>使用量(kg)</t>
        </is>
      </c>
      <c r="C1183">
        <f>SUMIFS(M_BOM[RM_Qty_Per_Batch],M_BOM[Intermediate],$B1182,M_BOM[Part Name],$A1179)</f>
        <v/>
      </c>
      <c r="D1183">
        <f>$C1183*D1182</f>
        <v/>
      </c>
      <c r="E1183">
        <f>$C1183*E1182</f>
        <v/>
      </c>
      <c r="F1183">
        <f>$C1183*F1182</f>
        <v/>
      </c>
      <c r="G1183">
        <f>$C1183*G1182</f>
        <v/>
      </c>
      <c r="H1183">
        <f>$C1183*H1182</f>
        <v/>
      </c>
      <c r="I1183">
        <f>$C1183*I1182</f>
        <v/>
      </c>
      <c r="J1183">
        <f>$C1183*J1182</f>
        <v/>
      </c>
      <c r="K1183">
        <f>$C1183*K1182</f>
        <v/>
      </c>
      <c r="L1183">
        <f>$C1183*L1182</f>
        <v/>
      </c>
      <c r="M1183">
        <f>$C1183*M1182</f>
        <v/>
      </c>
      <c r="N1183">
        <f>$C1183*N1182</f>
        <v/>
      </c>
      <c r="O1183">
        <f>$C1183*O1182</f>
        <v/>
      </c>
      <c r="P1183">
        <f>$C1183*P1182</f>
        <v/>
      </c>
      <c r="Q1183">
        <f>$C1183*Q1182</f>
        <v/>
      </c>
      <c r="R1183">
        <f>$C1183*R1182</f>
        <v/>
      </c>
      <c r="S1183">
        <f>$C1183*S1182</f>
        <v/>
      </c>
      <c r="T1183">
        <f>$C1183*T1182</f>
        <v/>
      </c>
      <c r="U1183">
        <f>$C1183*U1182</f>
        <v/>
      </c>
      <c r="V1183">
        <f>$C1183*V1182</f>
        <v/>
      </c>
      <c r="W1183">
        <f>$C1183*W1182</f>
        <v/>
      </c>
      <c r="X1183">
        <f>$C1183*X1182</f>
        <v/>
      </c>
      <c r="Y1183">
        <f>$C1183*Y1182</f>
        <v/>
      </c>
      <c r="Z1183">
        <f>$C1183*Z1182</f>
        <v/>
      </c>
      <c r="AA1183">
        <f>$C1183*AA1182</f>
        <v/>
      </c>
      <c r="AB1183">
        <f>$C1183*AB1182</f>
        <v/>
      </c>
      <c r="AC1183">
        <f>$C1183*AC1182</f>
        <v/>
      </c>
      <c r="AD1183">
        <f>$C1183*AD1182</f>
        <v/>
      </c>
      <c r="AE1183">
        <f>$C1183*AE1182</f>
        <v/>
      </c>
      <c r="AF1183">
        <f>$C1183*AF1182</f>
        <v/>
      </c>
      <c r="AG1183">
        <f>$C1183*AG1182</f>
        <v/>
      </c>
      <c r="AH1183">
        <f>$C1183*AH1182</f>
        <v/>
      </c>
      <c r="AI1183">
        <f>$C1183*AI1182</f>
        <v/>
      </c>
      <c r="AJ1183">
        <f>$C1183*AJ1182</f>
        <v/>
      </c>
      <c r="AK1183">
        <f>$C1183*AK1182</f>
        <v/>
      </c>
      <c r="AL1183">
        <f>$C1183*AL1182</f>
        <v/>
      </c>
      <c r="AM1183">
        <f>$C1183*AM1182</f>
        <v/>
      </c>
      <c r="AN1183">
        <f>$C1183*AN1182</f>
        <v/>
      </c>
      <c r="AO1183">
        <f>$C1183*AO1182</f>
        <v/>
      </c>
      <c r="AP1183">
        <f>$C1183*AP1182</f>
        <v/>
      </c>
      <c r="AQ1183">
        <f>$C1183*AQ1182</f>
        <v/>
      </c>
      <c r="AR1183">
        <f>$C1183*AR1182</f>
        <v/>
      </c>
      <c r="AS1183">
        <f>$C1183*AS1182</f>
        <v/>
      </c>
      <c r="AT1183">
        <f>$C1183*AT1182</f>
        <v/>
      </c>
      <c r="AU1183">
        <f>$C1183*AU1182</f>
        <v/>
      </c>
      <c r="AV1183">
        <f>$C1183*AV1182</f>
        <v/>
      </c>
      <c r="AW1183">
        <f>$C1183*AW1182</f>
        <v/>
      </c>
      <c r="AX1183">
        <f>$C1183*AX1182</f>
        <v/>
      </c>
      <c r="AY1183">
        <f>$C1183*AY1182</f>
        <v/>
      </c>
      <c r="AZ1183">
        <f>$C1183*AZ1182</f>
        <v/>
      </c>
      <c r="BA1183">
        <f>$C1183*BA1182</f>
        <v/>
      </c>
      <c r="BB1183">
        <f>$C1183*BB1182</f>
        <v/>
      </c>
      <c r="BC1183">
        <f>$C1183*BC1182</f>
        <v/>
      </c>
      <c r="BD1183">
        <f>$C1183*BD1182</f>
        <v/>
      </c>
      <c r="BE1183">
        <f>$C1183*BE1182</f>
        <v/>
      </c>
      <c r="BF1183">
        <f>$C1183*BF1182</f>
        <v/>
      </c>
      <c r="BG1183">
        <f>$C1183*BG1182</f>
        <v/>
      </c>
      <c r="BH1183">
        <f>$C1183*BH1182</f>
        <v/>
      </c>
      <c r="BI1183">
        <f>$C1183*BI1182</f>
        <v/>
      </c>
      <c r="BJ1183">
        <f>$C1183*BJ1182</f>
        <v/>
      </c>
      <c r="BK1183">
        <f>$C1183*BK1182</f>
        <v/>
      </c>
      <c r="BL1183">
        <f>$C1183*BL1182</f>
        <v/>
      </c>
      <c r="BM1183">
        <f>$C1183*BM1182</f>
        <v/>
      </c>
      <c r="BN1183">
        <f>$C1183*BN1182</f>
        <v/>
      </c>
      <c r="BO1183">
        <f>$C1183*BO1182</f>
        <v/>
      </c>
      <c r="BP1183">
        <f>$C1183*BP1182</f>
        <v/>
      </c>
      <c r="BQ1183">
        <f>$C1183*BQ1182</f>
        <v/>
      </c>
      <c r="BR1183">
        <f>$C1183*BR1182</f>
        <v/>
      </c>
      <c r="BS1183">
        <f>$C1183*BS1182</f>
        <v/>
      </c>
      <c r="BT1183">
        <f>$C1183*BT1182</f>
        <v/>
      </c>
      <c r="BU1183">
        <f>$C1183*BU1182</f>
        <v/>
      </c>
      <c r="BV1183">
        <f>$C1183*BV1182</f>
        <v/>
      </c>
      <c r="BW1183">
        <f>$C1183*BW1182</f>
        <v/>
      </c>
      <c r="BX1183">
        <f>$C1183*BX1182</f>
        <v/>
      </c>
      <c r="BY1183">
        <f>$C1183*BY1182</f>
        <v/>
      </c>
      <c r="BZ1183">
        <f>$C1183*BZ1182</f>
        <v/>
      </c>
      <c r="CA1183">
        <f>$C1183*CA1182</f>
        <v/>
      </c>
      <c r="CB1183">
        <f>$C1183*CB1182</f>
        <v/>
      </c>
      <c r="CC1183">
        <f>$C1183*CC1182</f>
        <v/>
      </c>
      <c r="CD1183">
        <f>$C1183*CD1182</f>
        <v/>
      </c>
      <c r="CE1183">
        <f>$C1183*CE1182</f>
        <v/>
      </c>
      <c r="CF1183">
        <f>$C1183*CF1182</f>
        <v/>
      </c>
      <c r="CG1183">
        <f>$C1183*CG1182</f>
        <v/>
      </c>
      <c r="CH1183">
        <f>$C1183*CH1182</f>
        <v/>
      </c>
      <c r="CI1183">
        <f>$C1183*CI1182</f>
        <v/>
      </c>
      <c r="CJ1183">
        <f>$C1183*CJ1182</f>
        <v/>
      </c>
      <c r="CK1183">
        <f>$C1183*CK1182</f>
        <v/>
      </c>
      <c r="CL1183">
        <f>$C1183*CL1182</f>
        <v/>
      </c>
      <c r="CM1183">
        <f>$C1183*CM1182</f>
        <v/>
      </c>
      <c r="CN1183">
        <f>$C1183*CN1182</f>
        <v/>
      </c>
      <c r="CO1183">
        <f>$C1183*CO1182</f>
        <v/>
      </c>
      <c r="CP1183">
        <f>$C1183*CP1182</f>
        <v/>
      </c>
      <c r="CQ1183">
        <f>$C1183*CQ1182</f>
        <v/>
      </c>
      <c r="CR1183">
        <f>$C1183*CR1182</f>
        <v/>
      </c>
      <c r="CS1183">
        <f>$C1183*CS1182</f>
        <v/>
      </c>
      <c r="CT1183">
        <f>$C1183*CT1182</f>
        <v/>
      </c>
      <c r="CU1183">
        <f>$C1183*CU1182</f>
        <v/>
      </c>
      <c r="CV1183">
        <f>$C1183*CV1182</f>
        <v/>
      </c>
      <c r="CW1183">
        <f>$C1183*CW1182</f>
        <v/>
      </c>
      <c r="CX1183">
        <f>$C1183*CX1182</f>
        <v/>
      </c>
      <c r="CY1183">
        <f>$C1183*CY1182</f>
        <v/>
      </c>
      <c r="CZ1183">
        <f>$C1183*CZ1182</f>
        <v/>
      </c>
      <c r="DA1183">
        <f>$C1183*DA1182</f>
        <v/>
      </c>
      <c r="DB1183">
        <f>$C1183*DB1182</f>
        <v/>
      </c>
      <c r="DC1183">
        <f>$C1183*DC1182</f>
        <v/>
      </c>
    </row>
    <row r="1184">
      <c r="B1184" t="inlineStr">
        <is>
          <t>TSP-1449</t>
        </is>
      </c>
      <c r="C1184" t="inlineStr">
        <is>
          <t>No. of batches</t>
        </is>
      </c>
      <c r="D1184">
        <f>IFERROR(INDEX(PP_Grid[#Data],$DD1184,2),0)</f>
        <v/>
      </c>
      <c r="E1184">
        <f>IFERROR(INDEX(PP_Grid[#Data],$DD1184,3),0)</f>
        <v/>
      </c>
      <c r="F1184">
        <f>IFERROR(INDEX(PP_Grid[#Data],$DD1184,4),0)</f>
        <v/>
      </c>
      <c r="G1184">
        <f>IFERROR(INDEX(PP_Grid[#Data],$DD1184,5),0)</f>
        <v/>
      </c>
      <c r="H1184">
        <f>IFERROR(INDEX(PP_Grid[#Data],$DD1184,6),0)</f>
        <v/>
      </c>
      <c r="I1184">
        <f>IFERROR(INDEX(PP_Grid[#Data],$DD1184,7),0)</f>
        <v/>
      </c>
      <c r="J1184">
        <f>IFERROR(INDEX(PP_Grid[#Data],$DD1184,8),0)</f>
        <v/>
      </c>
      <c r="K1184">
        <f>IFERROR(INDEX(PP_Grid[#Data],$DD1184,9),0)</f>
        <v/>
      </c>
      <c r="L1184">
        <f>IFERROR(INDEX(PP_Grid[#Data],$DD1184,10),0)</f>
        <v/>
      </c>
      <c r="M1184">
        <f>IFERROR(INDEX(PP_Grid[#Data],$DD1184,11),0)</f>
        <v/>
      </c>
      <c r="N1184">
        <f>IFERROR(INDEX(PP_Grid[#Data],$DD1184,12),0)</f>
        <v/>
      </c>
      <c r="O1184">
        <f>IFERROR(INDEX(PP_Grid[#Data],$DD1184,13),0)</f>
        <v/>
      </c>
      <c r="P1184">
        <f>IFERROR(INDEX(PP_Grid[#Data],$DD1184,14),0)</f>
        <v/>
      </c>
      <c r="Q1184">
        <f>IFERROR(INDEX(PP_Grid[#Data],$DD1184,15),0)</f>
        <v/>
      </c>
      <c r="R1184">
        <f>IFERROR(INDEX(PP_Grid[#Data],$DD1184,16),0)</f>
        <v/>
      </c>
      <c r="S1184">
        <f>IFERROR(INDEX(PP_Grid[#Data],$DD1184,17),0)</f>
        <v/>
      </c>
      <c r="T1184">
        <f>IFERROR(INDEX(PP_Grid[#Data],$DD1184,18),0)</f>
        <v/>
      </c>
      <c r="U1184">
        <f>IFERROR(INDEX(PP_Grid[#Data],$DD1184,19),0)</f>
        <v/>
      </c>
      <c r="V1184">
        <f>IFERROR(INDEX(PP_Grid[#Data],$DD1184,20),0)</f>
        <v/>
      </c>
      <c r="W1184">
        <f>IFERROR(INDEX(PP_Grid[#Data],$DD1184,21),0)</f>
        <v/>
      </c>
      <c r="X1184">
        <f>IFERROR(INDEX(PP_Grid[#Data],$DD1184,22),0)</f>
        <v/>
      </c>
      <c r="Y1184">
        <f>IFERROR(INDEX(PP_Grid[#Data],$DD1184,23),0)</f>
        <v/>
      </c>
      <c r="Z1184">
        <f>IFERROR(INDEX(PP_Grid[#Data],$DD1184,24),0)</f>
        <v/>
      </c>
      <c r="AA1184">
        <f>IFERROR(INDEX(PP_Grid[#Data],$DD1184,25),0)</f>
        <v/>
      </c>
      <c r="AB1184">
        <f>IFERROR(INDEX(PP_Grid[#Data],$DD1184,26),0)</f>
        <v/>
      </c>
      <c r="AC1184">
        <f>IFERROR(INDEX(PP_Grid[#Data],$DD1184,27),0)</f>
        <v/>
      </c>
      <c r="AD1184">
        <f>IFERROR(INDEX(PP_Grid[#Data],$DD1184,28),0)</f>
        <v/>
      </c>
      <c r="AE1184">
        <f>IFERROR(INDEX(PP_Grid[#Data],$DD1184,29),0)</f>
        <v/>
      </c>
      <c r="AF1184">
        <f>IFERROR(INDEX(PP_Grid[#Data],$DD1184,30),0)</f>
        <v/>
      </c>
      <c r="AG1184">
        <f>IFERROR(INDEX(PP_Grid[#Data],$DD1184,31),0)</f>
        <v/>
      </c>
      <c r="AH1184">
        <f>IFERROR(INDEX(PP_Grid[#Data],$DD1184,32),0)</f>
        <v/>
      </c>
      <c r="AI1184">
        <f>IFERROR(INDEX(PP_Grid[#Data],$DD1184,33),0)</f>
        <v/>
      </c>
      <c r="AJ1184">
        <f>IFERROR(INDEX(PP_Grid[#Data],$DD1184,34),0)</f>
        <v/>
      </c>
      <c r="AK1184">
        <f>IFERROR(INDEX(PP_Grid[#Data],$DD1184,35),0)</f>
        <v/>
      </c>
      <c r="AL1184">
        <f>IFERROR(INDEX(PP_Grid[#Data],$DD1184,36),0)</f>
        <v/>
      </c>
      <c r="AM1184">
        <f>IFERROR(INDEX(PP_Grid[#Data],$DD1184,37),0)</f>
        <v/>
      </c>
      <c r="AN1184">
        <f>IFERROR(INDEX(PP_Grid[#Data],$DD1184,38),0)</f>
        <v/>
      </c>
      <c r="AO1184">
        <f>IFERROR(INDEX(PP_Grid[#Data],$DD1184,39),0)</f>
        <v/>
      </c>
      <c r="AP1184">
        <f>IFERROR(INDEX(PP_Grid[#Data],$DD1184,40),0)</f>
        <v/>
      </c>
      <c r="AQ1184">
        <f>IFERROR(INDEX(PP_Grid[#Data],$DD1184,41),0)</f>
        <v/>
      </c>
      <c r="AR1184">
        <f>IFERROR(INDEX(PP_Grid[#Data],$DD1184,42),0)</f>
        <v/>
      </c>
      <c r="AS1184">
        <f>IFERROR(INDEX(PP_Grid[#Data],$DD1184,43),0)</f>
        <v/>
      </c>
      <c r="AT1184">
        <f>IFERROR(INDEX(PP_Grid[#Data],$DD1184,44),0)</f>
        <v/>
      </c>
      <c r="AU1184">
        <f>IFERROR(INDEX(PP_Grid[#Data],$DD1184,45),0)</f>
        <v/>
      </c>
      <c r="AV1184">
        <f>IFERROR(INDEX(PP_Grid[#Data],$DD1184,46),0)</f>
        <v/>
      </c>
      <c r="AW1184">
        <f>IFERROR(INDEX(PP_Grid[#Data],$DD1184,47),0)</f>
        <v/>
      </c>
      <c r="AX1184">
        <f>IFERROR(INDEX(PP_Grid[#Data],$DD1184,48),0)</f>
        <v/>
      </c>
      <c r="AY1184">
        <f>IFERROR(INDEX(PP_Grid[#Data],$DD1184,49),0)</f>
        <v/>
      </c>
      <c r="AZ1184">
        <f>IFERROR(INDEX(PP_Grid[#Data],$DD1184,50),0)</f>
        <v/>
      </c>
      <c r="BA1184">
        <f>IFERROR(INDEX(PP_Grid[#Data],$DD1184,51),0)</f>
        <v/>
      </c>
      <c r="BB1184">
        <f>IFERROR(INDEX(PP_Grid[#Data],$DD1184,52),0)</f>
        <v/>
      </c>
      <c r="BC1184">
        <f>IFERROR(INDEX(PP_Grid[#Data],$DD1184,53),0)</f>
        <v/>
      </c>
      <c r="BD1184">
        <f>IFERROR(INDEX(PP_Grid[#Data],$DD1184,54),0)</f>
        <v/>
      </c>
      <c r="BE1184">
        <f>IFERROR(INDEX(PP_Grid[#Data],$DD1184,55),0)</f>
        <v/>
      </c>
      <c r="BF1184">
        <f>IFERROR(INDEX(PP_Grid[#Data],$DD1184,56),0)</f>
        <v/>
      </c>
      <c r="BG1184">
        <f>IFERROR(INDEX(PP_Grid[#Data],$DD1184,57),0)</f>
        <v/>
      </c>
      <c r="BH1184">
        <f>IFERROR(INDEX(PP_Grid[#Data],$DD1184,58),0)</f>
        <v/>
      </c>
      <c r="BI1184">
        <f>IFERROR(INDEX(PP_Grid[#Data],$DD1184,59),0)</f>
        <v/>
      </c>
      <c r="BJ1184">
        <f>IFERROR(INDEX(PP_Grid[#Data],$DD1184,60),0)</f>
        <v/>
      </c>
      <c r="BK1184">
        <f>IFERROR(INDEX(PP_Grid[#Data],$DD1184,61),0)</f>
        <v/>
      </c>
      <c r="BL1184">
        <f>IFERROR(INDEX(PP_Grid[#Data],$DD1184,62),0)</f>
        <v/>
      </c>
      <c r="BM1184">
        <f>IFERROR(INDEX(PP_Grid[#Data],$DD1184,63),0)</f>
        <v/>
      </c>
      <c r="BN1184">
        <f>IFERROR(INDEX(PP_Grid[#Data],$DD1184,64),0)</f>
        <v/>
      </c>
      <c r="BO1184">
        <f>IFERROR(INDEX(PP_Grid[#Data],$DD1184,65),0)</f>
        <v/>
      </c>
      <c r="BP1184">
        <f>IFERROR(INDEX(PP_Grid[#Data],$DD1184,66),0)</f>
        <v/>
      </c>
      <c r="BQ1184">
        <f>IFERROR(INDEX(PP_Grid[#Data],$DD1184,67),0)</f>
        <v/>
      </c>
      <c r="BR1184">
        <f>IFERROR(INDEX(PP_Grid[#Data],$DD1184,68),0)</f>
        <v/>
      </c>
      <c r="BS1184">
        <f>IFERROR(INDEX(PP_Grid[#Data],$DD1184,69),0)</f>
        <v/>
      </c>
      <c r="BT1184">
        <f>IFERROR(INDEX(PP_Grid[#Data],$DD1184,70),0)</f>
        <v/>
      </c>
      <c r="BU1184">
        <f>IFERROR(INDEX(PP_Grid[#Data],$DD1184,71),0)</f>
        <v/>
      </c>
      <c r="BV1184">
        <f>IFERROR(INDEX(PP_Grid[#Data],$DD1184,72),0)</f>
        <v/>
      </c>
      <c r="BW1184">
        <f>IFERROR(INDEX(PP_Grid[#Data],$DD1184,73),0)</f>
        <v/>
      </c>
      <c r="BX1184">
        <f>IFERROR(INDEX(PP_Grid[#Data],$DD1184,74),0)</f>
        <v/>
      </c>
      <c r="BY1184">
        <f>IFERROR(INDEX(PP_Grid[#Data],$DD1184,75),0)</f>
        <v/>
      </c>
      <c r="BZ1184">
        <f>IFERROR(INDEX(PP_Grid[#Data],$DD1184,76),0)</f>
        <v/>
      </c>
      <c r="CA1184">
        <f>IFERROR(INDEX(PP_Grid[#Data],$DD1184,77),0)</f>
        <v/>
      </c>
      <c r="CB1184">
        <f>IFERROR(INDEX(PP_Grid[#Data],$DD1184,78),0)</f>
        <v/>
      </c>
      <c r="CC1184">
        <f>IFERROR(INDEX(PP_Grid[#Data],$DD1184,79),0)</f>
        <v/>
      </c>
      <c r="CD1184">
        <f>IFERROR(INDEX(PP_Grid[#Data],$DD1184,80),0)</f>
        <v/>
      </c>
      <c r="CE1184">
        <f>IFERROR(INDEX(PP_Grid[#Data],$DD1184,81),0)</f>
        <v/>
      </c>
      <c r="CF1184">
        <f>IFERROR(INDEX(PP_Grid[#Data],$DD1184,82),0)</f>
        <v/>
      </c>
      <c r="CG1184">
        <f>IFERROR(INDEX(PP_Grid[#Data],$DD1184,83),0)</f>
        <v/>
      </c>
      <c r="CH1184">
        <f>IFERROR(INDEX(PP_Grid[#Data],$DD1184,84),0)</f>
        <v/>
      </c>
      <c r="CI1184">
        <f>IFERROR(INDEX(PP_Grid[#Data],$DD1184,85),0)</f>
        <v/>
      </c>
      <c r="CJ1184">
        <f>IFERROR(INDEX(PP_Grid[#Data],$DD1184,86),0)</f>
        <v/>
      </c>
      <c r="CK1184">
        <f>IFERROR(INDEX(PP_Grid[#Data],$DD1184,87),0)</f>
        <v/>
      </c>
      <c r="CL1184">
        <f>IFERROR(INDEX(PP_Grid[#Data],$DD1184,88),0)</f>
        <v/>
      </c>
      <c r="CM1184">
        <f>IFERROR(INDEX(PP_Grid[#Data],$DD1184,89),0)</f>
        <v/>
      </c>
      <c r="CN1184">
        <f>IFERROR(INDEX(PP_Grid[#Data],$DD1184,90),0)</f>
        <v/>
      </c>
      <c r="CO1184">
        <f>IFERROR(INDEX(PP_Grid[#Data],$DD1184,91),0)</f>
        <v/>
      </c>
      <c r="CP1184">
        <f>IFERROR(INDEX(PP_Grid[#Data],$DD1184,92),0)</f>
        <v/>
      </c>
      <c r="CQ1184">
        <f>IFERROR(INDEX(PP_Grid[#Data],$DD1184,93),0)</f>
        <v/>
      </c>
      <c r="CR1184">
        <f>IFERROR(INDEX(PP_Grid[#Data],$DD1184,94),0)</f>
        <v/>
      </c>
      <c r="CS1184">
        <f>IFERROR(INDEX(PP_Grid[#Data],$DD1184,95),0)</f>
        <v/>
      </c>
      <c r="CT1184">
        <f>IFERROR(INDEX(PP_Grid[#Data],$DD1184,96),0)</f>
        <v/>
      </c>
      <c r="CU1184">
        <f>IFERROR(INDEX(PP_Grid[#Data],$DD1184,97),0)</f>
        <v/>
      </c>
      <c r="CV1184">
        <f>IFERROR(INDEX(PP_Grid[#Data],$DD1184,98),0)</f>
        <v/>
      </c>
      <c r="CW1184">
        <f>IFERROR(INDEX(PP_Grid[#Data],$DD1184,99),0)</f>
        <v/>
      </c>
      <c r="CX1184">
        <f>IFERROR(INDEX(PP_Grid[#Data],$DD1184,100),0)</f>
        <v/>
      </c>
      <c r="CY1184">
        <f>IFERROR(INDEX(PP_Grid[#Data],$DD1184,101),0)</f>
        <v/>
      </c>
      <c r="CZ1184">
        <f>IFERROR(INDEX(PP_Grid[#Data],$DD1184,102),0)</f>
        <v/>
      </c>
      <c r="DA1184">
        <f>IFERROR(INDEX(PP_Grid[#Data],$DD1184,103),0)</f>
        <v/>
      </c>
      <c r="DB1184">
        <f>IFERROR(INDEX(PP_Grid[#Data],$DD1184,104),0)</f>
        <v/>
      </c>
      <c r="DC1184">
        <f>IFERROR(INDEX(PP_Grid[#Data],$DD1184,105),0)</f>
        <v/>
      </c>
      <c r="DD1184" s="12">
        <f>IFERROR(MATCH($B1184,PP_Grid[Intermediate],0),99999)</f>
        <v/>
      </c>
    </row>
    <row r="1185">
      <c r="B1185" t="inlineStr">
        <is>
          <t>使用量(kg)</t>
        </is>
      </c>
      <c r="C1185">
        <f>SUMIFS(M_BOM[RM_Qty_Per_Batch],M_BOM[Intermediate],$B1184,M_BOM[Part Name],$A1179)</f>
        <v/>
      </c>
      <c r="D1185">
        <f>$C1185*D1184</f>
        <v/>
      </c>
      <c r="E1185">
        <f>$C1185*E1184</f>
        <v/>
      </c>
      <c r="F1185">
        <f>$C1185*F1184</f>
        <v/>
      </c>
      <c r="G1185">
        <f>$C1185*G1184</f>
        <v/>
      </c>
      <c r="H1185">
        <f>$C1185*H1184</f>
        <v/>
      </c>
      <c r="I1185">
        <f>$C1185*I1184</f>
        <v/>
      </c>
      <c r="J1185">
        <f>$C1185*J1184</f>
        <v/>
      </c>
      <c r="K1185">
        <f>$C1185*K1184</f>
        <v/>
      </c>
      <c r="L1185">
        <f>$C1185*L1184</f>
        <v/>
      </c>
      <c r="M1185">
        <f>$C1185*M1184</f>
        <v/>
      </c>
      <c r="N1185">
        <f>$C1185*N1184</f>
        <v/>
      </c>
      <c r="O1185">
        <f>$C1185*O1184</f>
        <v/>
      </c>
      <c r="P1185">
        <f>$C1185*P1184</f>
        <v/>
      </c>
      <c r="Q1185">
        <f>$C1185*Q1184</f>
        <v/>
      </c>
      <c r="R1185">
        <f>$C1185*R1184</f>
        <v/>
      </c>
      <c r="S1185">
        <f>$C1185*S1184</f>
        <v/>
      </c>
      <c r="T1185">
        <f>$C1185*T1184</f>
        <v/>
      </c>
      <c r="U1185">
        <f>$C1185*U1184</f>
        <v/>
      </c>
      <c r="V1185">
        <f>$C1185*V1184</f>
        <v/>
      </c>
      <c r="W1185">
        <f>$C1185*W1184</f>
        <v/>
      </c>
      <c r="X1185">
        <f>$C1185*X1184</f>
        <v/>
      </c>
      <c r="Y1185">
        <f>$C1185*Y1184</f>
        <v/>
      </c>
      <c r="Z1185">
        <f>$C1185*Z1184</f>
        <v/>
      </c>
      <c r="AA1185">
        <f>$C1185*AA1184</f>
        <v/>
      </c>
      <c r="AB1185">
        <f>$C1185*AB1184</f>
        <v/>
      </c>
      <c r="AC1185">
        <f>$C1185*AC1184</f>
        <v/>
      </c>
      <c r="AD1185">
        <f>$C1185*AD1184</f>
        <v/>
      </c>
      <c r="AE1185">
        <f>$C1185*AE1184</f>
        <v/>
      </c>
      <c r="AF1185">
        <f>$C1185*AF1184</f>
        <v/>
      </c>
      <c r="AG1185">
        <f>$C1185*AG1184</f>
        <v/>
      </c>
      <c r="AH1185">
        <f>$C1185*AH1184</f>
        <v/>
      </c>
      <c r="AI1185">
        <f>$C1185*AI1184</f>
        <v/>
      </c>
      <c r="AJ1185">
        <f>$C1185*AJ1184</f>
        <v/>
      </c>
      <c r="AK1185">
        <f>$C1185*AK1184</f>
        <v/>
      </c>
      <c r="AL1185">
        <f>$C1185*AL1184</f>
        <v/>
      </c>
      <c r="AM1185">
        <f>$C1185*AM1184</f>
        <v/>
      </c>
      <c r="AN1185">
        <f>$C1185*AN1184</f>
        <v/>
      </c>
      <c r="AO1185">
        <f>$C1185*AO1184</f>
        <v/>
      </c>
      <c r="AP1185">
        <f>$C1185*AP1184</f>
        <v/>
      </c>
      <c r="AQ1185">
        <f>$C1185*AQ1184</f>
        <v/>
      </c>
      <c r="AR1185">
        <f>$C1185*AR1184</f>
        <v/>
      </c>
      <c r="AS1185">
        <f>$C1185*AS1184</f>
        <v/>
      </c>
      <c r="AT1185">
        <f>$C1185*AT1184</f>
        <v/>
      </c>
      <c r="AU1185">
        <f>$C1185*AU1184</f>
        <v/>
      </c>
      <c r="AV1185">
        <f>$C1185*AV1184</f>
        <v/>
      </c>
      <c r="AW1185">
        <f>$C1185*AW1184</f>
        <v/>
      </c>
      <c r="AX1185">
        <f>$C1185*AX1184</f>
        <v/>
      </c>
      <c r="AY1185">
        <f>$C1185*AY1184</f>
        <v/>
      </c>
      <c r="AZ1185">
        <f>$C1185*AZ1184</f>
        <v/>
      </c>
      <c r="BA1185">
        <f>$C1185*BA1184</f>
        <v/>
      </c>
      <c r="BB1185">
        <f>$C1185*BB1184</f>
        <v/>
      </c>
      <c r="BC1185">
        <f>$C1185*BC1184</f>
        <v/>
      </c>
      <c r="BD1185">
        <f>$C1185*BD1184</f>
        <v/>
      </c>
      <c r="BE1185">
        <f>$C1185*BE1184</f>
        <v/>
      </c>
      <c r="BF1185">
        <f>$C1185*BF1184</f>
        <v/>
      </c>
      <c r="BG1185">
        <f>$C1185*BG1184</f>
        <v/>
      </c>
      <c r="BH1185">
        <f>$C1185*BH1184</f>
        <v/>
      </c>
      <c r="BI1185">
        <f>$C1185*BI1184</f>
        <v/>
      </c>
      <c r="BJ1185">
        <f>$C1185*BJ1184</f>
        <v/>
      </c>
      <c r="BK1185">
        <f>$C1185*BK1184</f>
        <v/>
      </c>
      <c r="BL1185">
        <f>$C1185*BL1184</f>
        <v/>
      </c>
      <c r="BM1185">
        <f>$C1185*BM1184</f>
        <v/>
      </c>
      <c r="BN1185">
        <f>$C1185*BN1184</f>
        <v/>
      </c>
      <c r="BO1185">
        <f>$C1185*BO1184</f>
        <v/>
      </c>
      <c r="BP1185">
        <f>$C1185*BP1184</f>
        <v/>
      </c>
      <c r="BQ1185">
        <f>$C1185*BQ1184</f>
        <v/>
      </c>
      <c r="BR1185">
        <f>$C1185*BR1184</f>
        <v/>
      </c>
      <c r="BS1185">
        <f>$C1185*BS1184</f>
        <v/>
      </c>
      <c r="BT1185">
        <f>$C1185*BT1184</f>
        <v/>
      </c>
      <c r="BU1185">
        <f>$C1185*BU1184</f>
        <v/>
      </c>
      <c r="BV1185">
        <f>$C1185*BV1184</f>
        <v/>
      </c>
      <c r="BW1185">
        <f>$C1185*BW1184</f>
        <v/>
      </c>
      <c r="BX1185">
        <f>$C1185*BX1184</f>
        <v/>
      </c>
      <c r="BY1185">
        <f>$C1185*BY1184</f>
        <v/>
      </c>
      <c r="BZ1185">
        <f>$C1185*BZ1184</f>
        <v/>
      </c>
      <c r="CA1185">
        <f>$C1185*CA1184</f>
        <v/>
      </c>
      <c r="CB1185">
        <f>$C1185*CB1184</f>
        <v/>
      </c>
      <c r="CC1185">
        <f>$C1185*CC1184</f>
        <v/>
      </c>
      <c r="CD1185">
        <f>$C1185*CD1184</f>
        <v/>
      </c>
      <c r="CE1185">
        <f>$C1185*CE1184</f>
        <v/>
      </c>
      <c r="CF1185">
        <f>$C1185*CF1184</f>
        <v/>
      </c>
      <c r="CG1185">
        <f>$C1185*CG1184</f>
        <v/>
      </c>
      <c r="CH1185">
        <f>$C1185*CH1184</f>
        <v/>
      </c>
      <c r="CI1185">
        <f>$C1185*CI1184</f>
        <v/>
      </c>
      <c r="CJ1185">
        <f>$C1185*CJ1184</f>
        <v/>
      </c>
      <c r="CK1185">
        <f>$C1185*CK1184</f>
        <v/>
      </c>
      <c r="CL1185">
        <f>$C1185*CL1184</f>
        <v/>
      </c>
      <c r="CM1185">
        <f>$C1185*CM1184</f>
        <v/>
      </c>
      <c r="CN1185">
        <f>$C1185*CN1184</f>
        <v/>
      </c>
      <c r="CO1185">
        <f>$C1185*CO1184</f>
        <v/>
      </c>
      <c r="CP1185">
        <f>$C1185*CP1184</f>
        <v/>
      </c>
      <c r="CQ1185">
        <f>$C1185*CQ1184</f>
        <v/>
      </c>
      <c r="CR1185">
        <f>$C1185*CR1184</f>
        <v/>
      </c>
      <c r="CS1185">
        <f>$C1185*CS1184</f>
        <v/>
      </c>
      <c r="CT1185">
        <f>$C1185*CT1184</f>
        <v/>
      </c>
      <c r="CU1185">
        <f>$C1185*CU1184</f>
        <v/>
      </c>
      <c r="CV1185">
        <f>$C1185*CV1184</f>
        <v/>
      </c>
      <c r="CW1185">
        <f>$C1185*CW1184</f>
        <v/>
      </c>
      <c r="CX1185">
        <f>$C1185*CX1184</f>
        <v/>
      </c>
      <c r="CY1185">
        <f>$C1185*CY1184</f>
        <v/>
      </c>
      <c r="CZ1185">
        <f>$C1185*CZ1184</f>
        <v/>
      </c>
      <c r="DA1185">
        <f>$C1185*DA1184</f>
        <v/>
      </c>
      <c r="DB1185">
        <f>$C1185*DB1184</f>
        <v/>
      </c>
      <c r="DC1185">
        <f>$C1185*DC1184</f>
        <v/>
      </c>
    </row>
    <row r="1186">
      <c r="B1186" t="inlineStr">
        <is>
          <t>TSP-1499</t>
        </is>
      </c>
      <c r="C1186" t="inlineStr">
        <is>
          <t>No. of batches</t>
        </is>
      </c>
      <c r="D1186">
        <f>IFERROR(INDEX(PP_Grid[#Data],$DD1186,2),0)</f>
        <v/>
      </c>
      <c r="E1186">
        <f>IFERROR(INDEX(PP_Grid[#Data],$DD1186,3),0)</f>
        <v/>
      </c>
      <c r="F1186">
        <f>IFERROR(INDEX(PP_Grid[#Data],$DD1186,4),0)</f>
        <v/>
      </c>
      <c r="G1186">
        <f>IFERROR(INDEX(PP_Grid[#Data],$DD1186,5),0)</f>
        <v/>
      </c>
      <c r="H1186">
        <f>IFERROR(INDEX(PP_Grid[#Data],$DD1186,6),0)</f>
        <v/>
      </c>
      <c r="I1186">
        <f>IFERROR(INDEX(PP_Grid[#Data],$DD1186,7),0)</f>
        <v/>
      </c>
      <c r="J1186">
        <f>IFERROR(INDEX(PP_Grid[#Data],$DD1186,8),0)</f>
        <v/>
      </c>
      <c r="K1186">
        <f>IFERROR(INDEX(PP_Grid[#Data],$DD1186,9),0)</f>
        <v/>
      </c>
      <c r="L1186">
        <f>IFERROR(INDEX(PP_Grid[#Data],$DD1186,10),0)</f>
        <v/>
      </c>
      <c r="M1186">
        <f>IFERROR(INDEX(PP_Grid[#Data],$DD1186,11),0)</f>
        <v/>
      </c>
      <c r="N1186">
        <f>IFERROR(INDEX(PP_Grid[#Data],$DD1186,12),0)</f>
        <v/>
      </c>
      <c r="O1186">
        <f>IFERROR(INDEX(PP_Grid[#Data],$DD1186,13),0)</f>
        <v/>
      </c>
      <c r="P1186">
        <f>IFERROR(INDEX(PP_Grid[#Data],$DD1186,14),0)</f>
        <v/>
      </c>
      <c r="Q1186">
        <f>IFERROR(INDEX(PP_Grid[#Data],$DD1186,15),0)</f>
        <v/>
      </c>
      <c r="R1186">
        <f>IFERROR(INDEX(PP_Grid[#Data],$DD1186,16),0)</f>
        <v/>
      </c>
      <c r="S1186">
        <f>IFERROR(INDEX(PP_Grid[#Data],$DD1186,17),0)</f>
        <v/>
      </c>
      <c r="T1186">
        <f>IFERROR(INDEX(PP_Grid[#Data],$DD1186,18),0)</f>
        <v/>
      </c>
      <c r="U1186">
        <f>IFERROR(INDEX(PP_Grid[#Data],$DD1186,19),0)</f>
        <v/>
      </c>
      <c r="V1186">
        <f>IFERROR(INDEX(PP_Grid[#Data],$DD1186,20),0)</f>
        <v/>
      </c>
      <c r="W1186">
        <f>IFERROR(INDEX(PP_Grid[#Data],$DD1186,21),0)</f>
        <v/>
      </c>
      <c r="X1186">
        <f>IFERROR(INDEX(PP_Grid[#Data],$DD1186,22),0)</f>
        <v/>
      </c>
      <c r="Y1186">
        <f>IFERROR(INDEX(PP_Grid[#Data],$DD1186,23),0)</f>
        <v/>
      </c>
      <c r="Z1186">
        <f>IFERROR(INDEX(PP_Grid[#Data],$DD1186,24),0)</f>
        <v/>
      </c>
      <c r="AA1186">
        <f>IFERROR(INDEX(PP_Grid[#Data],$DD1186,25),0)</f>
        <v/>
      </c>
      <c r="AB1186">
        <f>IFERROR(INDEX(PP_Grid[#Data],$DD1186,26),0)</f>
        <v/>
      </c>
      <c r="AC1186">
        <f>IFERROR(INDEX(PP_Grid[#Data],$DD1186,27),0)</f>
        <v/>
      </c>
      <c r="AD1186">
        <f>IFERROR(INDEX(PP_Grid[#Data],$DD1186,28),0)</f>
        <v/>
      </c>
      <c r="AE1186">
        <f>IFERROR(INDEX(PP_Grid[#Data],$DD1186,29),0)</f>
        <v/>
      </c>
      <c r="AF1186">
        <f>IFERROR(INDEX(PP_Grid[#Data],$DD1186,30),0)</f>
        <v/>
      </c>
      <c r="AG1186">
        <f>IFERROR(INDEX(PP_Grid[#Data],$DD1186,31),0)</f>
        <v/>
      </c>
      <c r="AH1186">
        <f>IFERROR(INDEX(PP_Grid[#Data],$DD1186,32),0)</f>
        <v/>
      </c>
      <c r="AI1186">
        <f>IFERROR(INDEX(PP_Grid[#Data],$DD1186,33),0)</f>
        <v/>
      </c>
      <c r="AJ1186">
        <f>IFERROR(INDEX(PP_Grid[#Data],$DD1186,34),0)</f>
        <v/>
      </c>
      <c r="AK1186">
        <f>IFERROR(INDEX(PP_Grid[#Data],$DD1186,35),0)</f>
        <v/>
      </c>
      <c r="AL1186">
        <f>IFERROR(INDEX(PP_Grid[#Data],$DD1186,36),0)</f>
        <v/>
      </c>
      <c r="AM1186">
        <f>IFERROR(INDEX(PP_Grid[#Data],$DD1186,37),0)</f>
        <v/>
      </c>
      <c r="AN1186">
        <f>IFERROR(INDEX(PP_Grid[#Data],$DD1186,38),0)</f>
        <v/>
      </c>
      <c r="AO1186">
        <f>IFERROR(INDEX(PP_Grid[#Data],$DD1186,39),0)</f>
        <v/>
      </c>
      <c r="AP1186">
        <f>IFERROR(INDEX(PP_Grid[#Data],$DD1186,40),0)</f>
        <v/>
      </c>
      <c r="AQ1186">
        <f>IFERROR(INDEX(PP_Grid[#Data],$DD1186,41),0)</f>
        <v/>
      </c>
      <c r="AR1186">
        <f>IFERROR(INDEX(PP_Grid[#Data],$DD1186,42),0)</f>
        <v/>
      </c>
      <c r="AS1186">
        <f>IFERROR(INDEX(PP_Grid[#Data],$DD1186,43),0)</f>
        <v/>
      </c>
      <c r="AT1186">
        <f>IFERROR(INDEX(PP_Grid[#Data],$DD1186,44),0)</f>
        <v/>
      </c>
      <c r="AU1186">
        <f>IFERROR(INDEX(PP_Grid[#Data],$DD1186,45),0)</f>
        <v/>
      </c>
      <c r="AV1186">
        <f>IFERROR(INDEX(PP_Grid[#Data],$DD1186,46),0)</f>
        <v/>
      </c>
      <c r="AW1186">
        <f>IFERROR(INDEX(PP_Grid[#Data],$DD1186,47),0)</f>
        <v/>
      </c>
      <c r="AX1186">
        <f>IFERROR(INDEX(PP_Grid[#Data],$DD1186,48),0)</f>
        <v/>
      </c>
      <c r="AY1186">
        <f>IFERROR(INDEX(PP_Grid[#Data],$DD1186,49),0)</f>
        <v/>
      </c>
      <c r="AZ1186">
        <f>IFERROR(INDEX(PP_Grid[#Data],$DD1186,50),0)</f>
        <v/>
      </c>
      <c r="BA1186">
        <f>IFERROR(INDEX(PP_Grid[#Data],$DD1186,51),0)</f>
        <v/>
      </c>
      <c r="BB1186">
        <f>IFERROR(INDEX(PP_Grid[#Data],$DD1186,52),0)</f>
        <v/>
      </c>
      <c r="BC1186">
        <f>IFERROR(INDEX(PP_Grid[#Data],$DD1186,53),0)</f>
        <v/>
      </c>
      <c r="BD1186">
        <f>IFERROR(INDEX(PP_Grid[#Data],$DD1186,54),0)</f>
        <v/>
      </c>
      <c r="BE1186">
        <f>IFERROR(INDEX(PP_Grid[#Data],$DD1186,55),0)</f>
        <v/>
      </c>
      <c r="BF1186">
        <f>IFERROR(INDEX(PP_Grid[#Data],$DD1186,56),0)</f>
        <v/>
      </c>
      <c r="BG1186">
        <f>IFERROR(INDEX(PP_Grid[#Data],$DD1186,57),0)</f>
        <v/>
      </c>
      <c r="BH1186">
        <f>IFERROR(INDEX(PP_Grid[#Data],$DD1186,58),0)</f>
        <v/>
      </c>
      <c r="BI1186">
        <f>IFERROR(INDEX(PP_Grid[#Data],$DD1186,59),0)</f>
        <v/>
      </c>
      <c r="BJ1186">
        <f>IFERROR(INDEX(PP_Grid[#Data],$DD1186,60),0)</f>
        <v/>
      </c>
      <c r="BK1186">
        <f>IFERROR(INDEX(PP_Grid[#Data],$DD1186,61),0)</f>
        <v/>
      </c>
      <c r="BL1186">
        <f>IFERROR(INDEX(PP_Grid[#Data],$DD1186,62),0)</f>
        <v/>
      </c>
      <c r="BM1186">
        <f>IFERROR(INDEX(PP_Grid[#Data],$DD1186,63),0)</f>
        <v/>
      </c>
      <c r="BN1186">
        <f>IFERROR(INDEX(PP_Grid[#Data],$DD1186,64),0)</f>
        <v/>
      </c>
      <c r="BO1186">
        <f>IFERROR(INDEX(PP_Grid[#Data],$DD1186,65),0)</f>
        <v/>
      </c>
      <c r="BP1186">
        <f>IFERROR(INDEX(PP_Grid[#Data],$DD1186,66),0)</f>
        <v/>
      </c>
      <c r="BQ1186">
        <f>IFERROR(INDEX(PP_Grid[#Data],$DD1186,67),0)</f>
        <v/>
      </c>
      <c r="BR1186">
        <f>IFERROR(INDEX(PP_Grid[#Data],$DD1186,68),0)</f>
        <v/>
      </c>
      <c r="BS1186">
        <f>IFERROR(INDEX(PP_Grid[#Data],$DD1186,69),0)</f>
        <v/>
      </c>
      <c r="BT1186">
        <f>IFERROR(INDEX(PP_Grid[#Data],$DD1186,70),0)</f>
        <v/>
      </c>
      <c r="BU1186">
        <f>IFERROR(INDEX(PP_Grid[#Data],$DD1186,71),0)</f>
        <v/>
      </c>
      <c r="BV1186">
        <f>IFERROR(INDEX(PP_Grid[#Data],$DD1186,72),0)</f>
        <v/>
      </c>
      <c r="BW1186">
        <f>IFERROR(INDEX(PP_Grid[#Data],$DD1186,73),0)</f>
        <v/>
      </c>
      <c r="BX1186">
        <f>IFERROR(INDEX(PP_Grid[#Data],$DD1186,74),0)</f>
        <v/>
      </c>
      <c r="BY1186">
        <f>IFERROR(INDEX(PP_Grid[#Data],$DD1186,75),0)</f>
        <v/>
      </c>
      <c r="BZ1186">
        <f>IFERROR(INDEX(PP_Grid[#Data],$DD1186,76),0)</f>
        <v/>
      </c>
      <c r="CA1186">
        <f>IFERROR(INDEX(PP_Grid[#Data],$DD1186,77),0)</f>
        <v/>
      </c>
      <c r="CB1186">
        <f>IFERROR(INDEX(PP_Grid[#Data],$DD1186,78),0)</f>
        <v/>
      </c>
      <c r="CC1186">
        <f>IFERROR(INDEX(PP_Grid[#Data],$DD1186,79),0)</f>
        <v/>
      </c>
      <c r="CD1186">
        <f>IFERROR(INDEX(PP_Grid[#Data],$DD1186,80),0)</f>
        <v/>
      </c>
      <c r="CE1186">
        <f>IFERROR(INDEX(PP_Grid[#Data],$DD1186,81),0)</f>
        <v/>
      </c>
      <c r="CF1186">
        <f>IFERROR(INDEX(PP_Grid[#Data],$DD1186,82),0)</f>
        <v/>
      </c>
      <c r="CG1186">
        <f>IFERROR(INDEX(PP_Grid[#Data],$DD1186,83),0)</f>
        <v/>
      </c>
      <c r="CH1186">
        <f>IFERROR(INDEX(PP_Grid[#Data],$DD1186,84),0)</f>
        <v/>
      </c>
      <c r="CI1186">
        <f>IFERROR(INDEX(PP_Grid[#Data],$DD1186,85),0)</f>
        <v/>
      </c>
      <c r="CJ1186">
        <f>IFERROR(INDEX(PP_Grid[#Data],$DD1186,86),0)</f>
        <v/>
      </c>
      <c r="CK1186">
        <f>IFERROR(INDEX(PP_Grid[#Data],$DD1186,87),0)</f>
        <v/>
      </c>
      <c r="CL1186">
        <f>IFERROR(INDEX(PP_Grid[#Data],$DD1186,88),0)</f>
        <v/>
      </c>
      <c r="CM1186">
        <f>IFERROR(INDEX(PP_Grid[#Data],$DD1186,89),0)</f>
        <v/>
      </c>
      <c r="CN1186">
        <f>IFERROR(INDEX(PP_Grid[#Data],$DD1186,90),0)</f>
        <v/>
      </c>
      <c r="CO1186">
        <f>IFERROR(INDEX(PP_Grid[#Data],$DD1186,91),0)</f>
        <v/>
      </c>
      <c r="CP1186">
        <f>IFERROR(INDEX(PP_Grid[#Data],$DD1186,92),0)</f>
        <v/>
      </c>
      <c r="CQ1186">
        <f>IFERROR(INDEX(PP_Grid[#Data],$DD1186,93),0)</f>
        <v/>
      </c>
      <c r="CR1186">
        <f>IFERROR(INDEX(PP_Grid[#Data],$DD1186,94),0)</f>
        <v/>
      </c>
      <c r="CS1186">
        <f>IFERROR(INDEX(PP_Grid[#Data],$DD1186,95),0)</f>
        <v/>
      </c>
      <c r="CT1186">
        <f>IFERROR(INDEX(PP_Grid[#Data],$DD1186,96),0)</f>
        <v/>
      </c>
      <c r="CU1186">
        <f>IFERROR(INDEX(PP_Grid[#Data],$DD1186,97),0)</f>
        <v/>
      </c>
      <c r="CV1186">
        <f>IFERROR(INDEX(PP_Grid[#Data],$DD1186,98),0)</f>
        <v/>
      </c>
      <c r="CW1186">
        <f>IFERROR(INDEX(PP_Grid[#Data],$DD1186,99),0)</f>
        <v/>
      </c>
      <c r="CX1186">
        <f>IFERROR(INDEX(PP_Grid[#Data],$DD1186,100),0)</f>
        <v/>
      </c>
      <c r="CY1186">
        <f>IFERROR(INDEX(PP_Grid[#Data],$DD1186,101),0)</f>
        <v/>
      </c>
      <c r="CZ1186">
        <f>IFERROR(INDEX(PP_Grid[#Data],$DD1186,102),0)</f>
        <v/>
      </c>
      <c r="DA1186">
        <f>IFERROR(INDEX(PP_Grid[#Data],$DD1186,103),0)</f>
        <v/>
      </c>
      <c r="DB1186">
        <f>IFERROR(INDEX(PP_Grid[#Data],$DD1186,104),0)</f>
        <v/>
      </c>
      <c r="DC1186">
        <f>IFERROR(INDEX(PP_Grid[#Data],$DD1186,105),0)</f>
        <v/>
      </c>
      <c r="DD1186" s="12">
        <f>IFERROR(MATCH($B1186,PP_Grid[Intermediate],0),99999)</f>
        <v/>
      </c>
    </row>
    <row r="1187">
      <c r="B1187" t="inlineStr">
        <is>
          <t>使用量(kg)</t>
        </is>
      </c>
      <c r="C1187">
        <f>SUMIFS(M_BOM[RM_Qty_Per_Batch],M_BOM[Intermediate],$B1186,M_BOM[Part Name],$A1179)</f>
        <v/>
      </c>
      <c r="D1187">
        <f>$C1187*D1186</f>
        <v/>
      </c>
      <c r="E1187">
        <f>$C1187*E1186</f>
        <v/>
      </c>
      <c r="F1187">
        <f>$C1187*F1186</f>
        <v/>
      </c>
      <c r="G1187">
        <f>$C1187*G1186</f>
        <v/>
      </c>
      <c r="H1187">
        <f>$C1187*H1186</f>
        <v/>
      </c>
      <c r="I1187">
        <f>$C1187*I1186</f>
        <v/>
      </c>
      <c r="J1187">
        <f>$C1187*J1186</f>
        <v/>
      </c>
      <c r="K1187">
        <f>$C1187*K1186</f>
        <v/>
      </c>
      <c r="L1187">
        <f>$C1187*L1186</f>
        <v/>
      </c>
      <c r="M1187">
        <f>$C1187*M1186</f>
        <v/>
      </c>
      <c r="N1187">
        <f>$C1187*N1186</f>
        <v/>
      </c>
      <c r="O1187">
        <f>$C1187*O1186</f>
        <v/>
      </c>
      <c r="P1187">
        <f>$C1187*P1186</f>
        <v/>
      </c>
      <c r="Q1187">
        <f>$C1187*Q1186</f>
        <v/>
      </c>
      <c r="R1187">
        <f>$C1187*R1186</f>
        <v/>
      </c>
      <c r="S1187">
        <f>$C1187*S1186</f>
        <v/>
      </c>
      <c r="T1187">
        <f>$C1187*T1186</f>
        <v/>
      </c>
      <c r="U1187">
        <f>$C1187*U1186</f>
        <v/>
      </c>
      <c r="V1187">
        <f>$C1187*V1186</f>
        <v/>
      </c>
      <c r="W1187">
        <f>$C1187*W1186</f>
        <v/>
      </c>
      <c r="X1187">
        <f>$C1187*X1186</f>
        <v/>
      </c>
      <c r="Y1187">
        <f>$C1187*Y1186</f>
        <v/>
      </c>
      <c r="Z1187">
        <f>$C1187*Z1186</f>
        <v/>
      </c>
      <c r="AA1187">
        <f>$C1187*AA1186</f>
        <v/>
      </c>
      <c r="AB1187">
        <f>$C1187*AB1186</f>
        <v/>
      </c>
      <c r="AC1187">
        <f>$C1187*AC1186</f>
        <v/>
      </c>
      <c r="AD1187">
        <f>$C1187*AD1186</f>
        <v/>
      </c>
      <c r="AE1187">
        <f>$C1187*AE1186</f>
        <v/>
      </c>
      <c r="AF1187">
        <f>$C1187*AF1186</f>
        <v/>
      </c>
      <c r="AG1187">
        <f>$C1187*AG1186</f>
        <v/>
      </c>
      <c r="AH1187">
        <f>$C1187*AH1186</f>
        <v/>
      </c>
      <c r="AI1187">
        <f>$C1187*AI1186</f>
        <v/>
      </c>
      <c r="AJ1187">
        <f>$C1187*AJ1186</f>
        <v/>
      </c>
      <c r="AK1187">
        <f>$C1187*AK1186</f>
        <v/>
      </c>
      <c r="AL1187">
        <f>$C1187*AL1186</f>
        <v/>
      </c>
      <c r="AM1187">
        <f>$C1187*AM1186</f>
        <v/>
      </c>
      <c r="AN1187">
        <f>$C1187*AN1186</f>
        <v/>
      </c>
      <c r="AO1187">
        <f>$C1187*AO1186</f>
        <v/>
      </c>
      <c r="AP1187">
        <f>$C1187*AP1186</f>
        <v/>
      </c>
      <c r="AQ1187">
        <f>$C1187*AQ1186</f>
        <v/>
      </c>
      <c r="AR1187">
        <f>$C1187*AR1186</f>
        <v/>
      </c>
      <c r="AS1187">
        <f>$C1187*AS1186</f>
        <v/>
      </c>
      <c r="AT1187">
        <f>$C1187*AT1186</f>
        <v/>
      </c>
      <c r="AU1187">
        <f>$C1187*AU1186</f>
        <v/>
      </c>
      <c r="AV1187">
        <f>$C1187*AV1186</f>
        <v/>
      </c>
      <c r="AW1187">
        <f>$C1187*AW1186</f>
        <v/>
      </c>
      <c r="AX1187">
        <f>$C1187*AX1186</f>
        <v/>
      </c>
      <c r="AY1187">
        <f>$C1187*AY1186</f>
        <v/>
      </c>
      <c r="AZ1187">
        <f>$C1187*AZ1186</f>
        <v/>
      </c>
      <c r="BA1187">
        <f>$C1187*BA1186</f>
        <v/>
      </c>
      <c r="BB1187">
        <f>$C1187*BB1186</f>
        <v/>
      </c>
      <c r="BC1187">
        <f>$C1187*BC1186</f>
        <v/>
      </c>
      <c r="BD1187">
        <f>$C1187*BD1186</f>
        <v/>
      </c>
      <c r="BE1187">
        <f>$C1187*BE1186</f>
        <v/>
      </c>
      <c r="BF1187">
        <f>$C1187*BF1186</f>
        <v/>
      </c>
      <c r="BG1187">
        <f>$C1187*BG1186</f>
        <v/>
      </c>
      <c r="BH1187">
        <f>$C1187*BH1186</f>
        <v/>
      </c>
      <c r="BI1187">
        <f>$C1187*BI1186</f>
        <v/>
      </c>
      <c r="BJ1187">
        <f>$C1187*BJ1186</f>
        <v/>
      </c>
      <c r="BK1187">
        <f>$C1187*BK1186</f>
        <v/>
      </c>
      <c r="BL1187">
        <f>$C1187*BL1186</f>
        <v/>
      </c>
      <c r="BM1187">
        <f>$C1187*BM1186</f>
        <v/>
      </c>
      <c r="BN1187">
        <f>$C1187*BN1186</f>
        <v/>
      </c>
      <c r="BO1187">
        <f>$C1187*BO1186</f>
        <v/>
      </c>
      <c r="BP1187">
        <f>$C1187*BP1186</f>
        <v/>
      </c>
      <c r="BQ1187">
        <f>$C1187*BQ1186</f>
        <v/>
      </c>
      <c r="BR1187">
        <f>$C1187*BR1186</f>
        <v/>
      </c>
      <c r="BS1187">
        <f>$C1187*BS1186</f>
        <v/>
      </c>
      <c r="BT1187">
        <f>$C1187*BT1186</f>
        <v/>
      </c>
      <c r="BU1187">
        <f>$C1187*BU1186</f>
        <v/>
      </c>
      <c r="BV1187">
        <f>$C1187*BV1186</f>
        <v/>
      </c>
      <c r="BW1187">
        <f>$C1187*BW1186</f>
        <v/>
      </c>
      <c r="BX1187">
        <f>$C1187*BX1186</f>
        <v/>
      </c>
      <c r="BY1187">
        <f>$C1187*BY1186</f>
        <v/>
      </c>
      <c r="BZ1187">
        <f>$C1187*BZ1186</f>
        <v/>
      </c>
      <c r="CA1187">
        <f>$C1187*CA1186</f>
        <v/>
      </c>
      <c r="CB1187">
        <f>$C1187*CB1186</f>
        <v/>
      </c>
      <c r="CC1187">
        <f>$C1187*CC1186</f>
        <v/>
      </c>
      <c r="CD1187">
        <f>$C1187*CD1186</f>
        <v/>
      </c>
      <c r="CE1187">
        <f>$C1187*CE1186</f>
        <v/>
      </c>
      <c r="CF1187">
        <f>$C1187*CF1186</f>
        <v/>
      </c>
      <c r="CG1187">
        <f>$C1187*CG1186</f>
        <v/>
      </c>
      <c r="CH1187">
        <f>$C1187*CH1186</f>
        <v/>
      </c>
      <c r="CI1187">
        <f>$C1187*CI1186</f>
        <v/>
      </c>
      <c r="CJ1187">
        <f>$C1187*CJ1186</f>
        <v/>
      </c>
      <c r="CK1187">
        <f>$C1187*CK1186</f>
        <v/>
      </c>
      <c r="CL1187">
        <f>$C1187*CL1186</f>
        <v/>
      </c>
      <c r="CM1187">
        <f>$C1187*CM1186</f>
        <v/>
      </c>
      <c r="CN1187">
        <f>$C1187*CN1186</f>
        <v/>
      </c>
      <c r="CO1187">
        <f>$C1187*CO1186</f>
        <v/>
      </c>
      <c r="CP1187">
        <f>$C1187*CP1186</f>
        <v/>
      </c>
      <c r="CQ1187">
        <f>$C1187*CQ1186</f>
        <v/>
      </c>
      <c r="CR1187">
        <f>$C1187*CR1186</f>
        <v/>
      </c>
      <c r="CS1187">
        <f>$C1187*CS1186</f>
        <v/>
      </c>
      <c r="CT1187">
        <f>$C1187*CT1186</f>
        <v/>
      </c>
      <c r="CU1187">
        <f>$C1187*CU1186</f>
        <v/>
      </c>
      <c r="CV1187">
        <f>$C1187*CV1186</f>
        <v/>
      </c>
      <c r="CW1187">
        <f>$C1187*CW1186</f>
        <v/>
      </c>
      <c r="CX1187">
        <f>$C1187*CX1186</f>
        <v/>
      </c>
      <c r="CY1187">
        <f>$C1187*CY1186</f>
        <v/>
      </c>
      <c r="CZ1187">
        <f>$C1187*CZ1186</f>
        <v/>
      </c>
      <c r="DA1187">
        <f>$C1187*DA1186</f>
        <v/>
      </c>
      <c r="DB1187">
        <f>$C1187*DB1186</f>
        <v/>
      </c>
      <c r="DC1187">
        <f>$C1187*DC1186</f>
        <v/>
      </c>
    </row>
    <row r="1188">
      <c r="B1188" t="inlineStr">
        <is>
          <t>TSP-1555</t>
        </is>
      </c>
      <c r="C1188" t="inlineStr">
        <is>
          <t>No. of batches</t>
        </is>
      </c>
      <c r="D1188">
        <f>IFERROR(INDEX(PP_Grid[#Data],$DD1188,2),0)</f>
        <v/>
      </c>
      <c r="E1188">
        <f>IFERROR(INDEX(PP_Grid[#Data],$DD1188,3),0)</f>
        <v/>
      </c>
      <c r="F1188">
        <f>IFERROR(INDEX(PP_Grid[#Data],$DD1188,4),0)</f>
        <v/>
      </c>
      <c r="G1188">
        <f>IFERROR(INDEX(PP_Grid[#Data],$DD1188,5),0)</f>
        <v/>
      </c>
      <c r="H1188">
        <f>IFERROR(INDEX(PP_Grid[#Data],$DD1188,6),0)</f>
        <v/>
      </c>
      <c r="I1188">
        <f>IFERROR(INDEX(PP_Grid[#Data],$DD1188,7),0)</f>
        <v/>
      </c>
      <c r="J1188">
        <f>IFERROR(INDEX(PP_Grid[#Data],$DD1188,8),0)</f>
        <v/>
      </c>
      <c r="K1188">
        <f>IFERROR(INDEX(PP_Grid[#Data],$DD1188,9),0)</f>
        <v/>
      </c>
      <c r="L1188">
        <f>IFERROR(INDEX(PP_Grid[#Data],$DD1188,10),0)</f>
        <v/>
      </c>
      <c r="M1188">
        <f>IFERROR(INDEX(PP_Grid[#Data],$DD1188,11),0)</f>
        <v/>
      </c>
      <c r="N1188">
        <f>IFERROR(INDEX(PP_Grid[#Data],$DD1188,12),0)</f>
        <v/>
      </c>
      <c r="O1188">
        <f>IFERROR(INDEX(PP_Grid[#Data],$DD1188,13),0)</f>
        <v/>
      </c>
      <c r="P1188">
        <f>IFERROR(INDEX(PP_Grid[#Data],$DD1188,14),0)</f>
        <v/>
      </c>
      <c r="Q1188">
        <f>IFERROR(INDEX(PP_Grid[#Data],$DD1188,15),0)</f>
        <v/>
      </c>
      <c r="R1188">
        <f>IFERROR(INDEX(PP_Grid[#Data],$DD1188,16),0)</f>
        <v/>
      </c>
      <c r="S1188">
        <f>IFERROR(INDEX(PP_Grid[#Data],$DD1188,17),0)</f>
        <v/>
      </c>
      <c r="T1188">
        <f>IFERROR(INDEX(PP_Grid[#Data],$DD1188,18),0)</f>
        <v/>
      </c>
      <c r="U1188">
        <f>IFERROR(INDEX(PP_Grid[#Data],$DD1188,19),0)</f>
        <v/>
      </c>
      <c r="V1188">
        <f>IFERROR(INDEX(PP_Grid[#Data],$DD1188,20),0)</f>
        <v/>
      </c>
      <c r="W1188">
        <f>IFERROR(INDEX(PP_Grid[#Data],$DD1188,21),0)</f>
        <v/>
      </c>
      <c r="X1188">
        <f>IFERROR(INDEX(PP_Grid[#Data],$DD1188,22),0)</f>
        <v/>
      </c>
      <c r="Y1188">
        <f>IFERROR(INDEX(PP_Grid[#Data],$DD1188,23),0)</f>
        <v/>
      </c>
      <c r="Z1188">
        <f>IFERROR(INDEX(PP_Grid[#Data],$DD1188,24),0)</f>
        <v/>
      </c>
      <c r="AA1188">
        <f>IFERROR(INDEX(PP_Grid[#Data],$DD1188,25),0)</f>
        <v/>
      </c>
      <c r="AB1188">
        <f>IFERROR(INDEX(PP_Grid[#Data],$DD1188,26),0)</f>
        <v/>
      </c>
      <c r="AC1188">
        <f>IFERROR(INDEX(PP_Grid[#Data],$DD1188,27),0)</f>
        <v/>
      </c>
      <c r="AD1188">
        <f>IFERROR(INDEX(PP_Grid[#Data],$DD1188,28),0)</f>
        <v/>
      </c>
      <c r="AE1188">
        <f>IFERROR(INDEX(PP_Grid[#Data],$DD1188,29),0)</f>
        <v/>
      </c>
      <c r="AF1188">
        <f>IFERROR(INDEX(PP_Grid[#Data],$DD1188,30),0)</f>
        <v/>
      </c>
      <c r="AG1188">
        <f>IFERROR(INDEX(PP_Grid[#Data],$DD1188,31),0)</f>
        <v/>
      </c>
      <c r="AH1188">
        <f>IFERROR(INDEX(PP_Grid[#Data],$DD1188,32),0)</f>
        <v/>
      </c>
      <c r="AI1188">
        <f>IFERROR(INDEX(PP_Grid[#Data],$DD1188,33),0)</f>
        <v/>
      </c>
      <c r="AJ1188">
        <f>IFERROR(INDEX(PP_Grid[#Data],$DD1188,34),0)</f>
        <v/>
      </c>
      <c r="AK1188">
        <f>IFERROR(INDEX(PP_Grid[#Data],$DD1188,35),0)</f>
        <v/>
      </c>
      <c r="AL1188">
        <f>IFERROR(INDEX(PP_Grid[#Data],$DD1188,36),0)</f>
        <v/>
      </c>
      <c r="AM1188">
        <f>IFERROR(INDEX(PP_Grid[#Data],$DD1188,37),0)</f>
        <v/>
      </c>
      <c r="AN1188">
        <f>IFERROR(INDEX(PP_Grid[#Data],$DD1188,38),0)</f>
        <v/>
      </c>
      <c r="AO1188">
        <f>IFERROR(INDEX(PP_Grid[#Data],$DD1188,39),0)</f>
        <v/>
      </c>
      <c r="AP1188">
        <f>IFERROR(INDEX(PP_Grid[#Data],$DD1188,40),0)</f>
        <v/>
      </c>
      <c r="AQ1188">
        <f>IFERROR(INDEX(PP_Grid[#Data],$DD1188,41),0)</f>
        <v/>
      </c>
      <c r="AR1188">
        <f>IFERROR(INDEX(PP_Grid[#Data],$DD1188,42),0)</f>
        <v/>
      </c>
      <c r="AS1188">
        <f>IFERROR(INDEX(PP_Grid[#Data],$DD1188,43),0)</f>
        <v/>
      </c>
      <c r="AT1188">
        <f>IFERROR(INDEX(PP_Grid[#Data],$DD1188,44),0)</f>
        <v/>
      </c>
      <c r="AU1188">
        <f>IFERROR(INDEX(PP_Grid[#Data],$DD1188,45),0)</f>
        <v/>
      </c>
      <c r="AV1188">
        <f>IFERROR(INDEX(PP_Grid[#Data],$DD1188,46),0)</f>
        <v/>
      </c>
      <c r="AW1188">
        <f>IFERROR(INDEX(PP_Grid[#Data],$DD1188,47),0)</f>
        <v/>
      </c>
      <c r="AX1188">
        <f>IFERROR(INDEX(PP_Grid[#Data],$DD1188,48),0)</f>
        <v/>
      </c>
      <c r="AY1188">
        <f>IFERROR(INDEX(PP_Grid[#Data],$DD1188,49),0)</f>
        <v/>
      </c>
      <c r="AZ1188">
        <f>IFERROR(INDEX(PP_Grid[#Data],$DD1188,50),0)</f>
        <v/>
      </c>
      <c r="BA1188">
        <f>IFERROR(INDEX(PP_Grid[#Data],$DD1188,51),0)</f>
        <v/>
      </c>
      <c r="BB1188">
        <f>IFERROR(INDEX(PP_Grid[#Data],$DD1188,52),0)</f>
        <v/>
      </c>
      <c r="BC1188">
        <f>IFERROR(INDEX(PP_Grid[#Data],$DD1188,53),0)</f>
        <v/>
      </c>
      <c r="BD1188">
        <f>IFERROR(INDEX(PP_Grid[#Data],$DD1188,54),0)</f>
        <v/>
      </c>
      <c r="BE1188">
        <f>IFERROR(INDEX(PP_Grid[#Data],$DD1188,55),0)</f>
        <v/>
      </c>
      <c r="BF1188">
        <f>IFERROR(INDEX(PP_Grid[#Data],$DD1188,56),0)</f>
        <v/>
      </c>
      <c r="BG1188">
        <f>IFERROR(INDEX(PP_Grid[#Data],$DD1188,57),0)</f>
        <v/>
      </c>
      <c r="BH1188">
        <f>IFERROR(INDEX(PP_Grid[#Data],$DD1188,58),0)</f>
        <v/>
      </c>
      <c r="BI1188">
        <f>IFERROR(INDEX(PP_Grid[#Data],$DD1188,59),0)</f>
        <v/>
      </c>
      <c r="BJ1188">
        <f>IFERROR(INDEX(PP_Grid[#Data],$DD1188,60),0)</f>
        <v/>
      </c>
      <c r="BK1188">
        <f>IFERROR(INDEX(PP_Grid[#Data],$DD1188,61),0)</f>
        <v/>
      </c>
      <c r="BL1188">
        <f>IFERROR(INDEX(PP_Grid[#Data],$DD1188,62),0)</f>
        <v/>
      </c>
      <c r="BM1188">
        <f>IFERROR(INDEX(PP_Grid[#Data],$DD1188,63),0)</f>
        <v/>
      </c>
      <c r="BN1188">
        <f>IFERROR(INDEX(PP_Grid[#Data],$DD1188,64),0)</f>
        <v/>
      </c>
      <c r="BO1188">
        <f>IFERROR(INDEX(PP_Grid[#Data],$DD1188,65),0)</f>
        <v/>
      </c>
      <c r="BP1188">
        <f>IFERROR(INDEX(PP_Grid[#Data],$DD1188,66),0)</f>
        <v/>
      </c>
      <c r="BQ1188">
        <f>IFERROR(INDEX(PP_Grid[#Data],$DD1188,67),0)</f>
        <v/>
      </c>
      <c r="BR1188">
        <f>IFERROR(INDEX(PP_Grid[#Data],$DD1188,68),0)</f>
        <v/>
      </c>
      <c r="BS1188">
        <f>IFERROR(INDEX(PP_Grid[#Data],$DD1188,69),0)</f>
        <v/>
      </c>
      <c r="BT1188">
        <f>IFERROR(INDEX(PP_Grid[#Data],$DD1188,70),0)</f>
        <v/>
      </c>
      <c r="BU1188">
        <f>IFERROR(INDEX(PP_Grid[#Data],$DD1188,71),0)</f>
        <v/>
      </c>
      <c r="BV1188">
        <f>IFERROR(INDEX(PP_Grid[#Data],$DD1188,72),0)</f>
        <v/>
      </c>
      <c r="BW1188">
        <f>IFERROR(INDEX(PP_Grid[#Data],$DD1188,73),0)</f>
        <v/>
      </c>
      <c r="BX1188">
        <f>IFERROR(INDEX(PP_Grid[#Data],$DD1188,74),0)</f>
        <v/>
      </c>
      <c r="BY1188">
        <f>IFERROR(INDEX(PP_Grid[#Data],$DD1188,75),0)</f>
        <v/>
      </c>
      <c r="BZ1188">
        <f>IFERROR(INDEX(PP_Grid[#Data],$DD1188,76),0)</f>
        <v/>
      </c>
      <c r="CA1188">
        <f>IFERROR(INDEX(PP_Grid[#Data],$DD1188,77),0)</f>
        <v/>
      </c>
      <c r="CB1188">
        <f>IFERROR(INDEX(PP_Grid[#Data],$DD1188,78),0)</f>
        <v/>
      </c>
      <c r="CC1188">
        <f>IFERROR(INDEX(PP_Grid[#Data],$DD1188,79),0)</f>
        <v/>
      </c>
      <c r="CD1188">
        <f>IFERROR(INDEX(PP_Grid[#Data],$DD1188,80),0)</f>
        <v/>
      </c>
      <c r="CE1188">
        <f>IFERROR(INDEX(PP_Grid[#Data],$DD1188,81),0)</f>
        <v/>
      </c>
      <c r="CF1188">
        <f>IFERROR(INDEX(PP_Grid[#Data],$DD1188,82),0)</f>
        <v/>
      </c>
      <c r="CG1188">
        <f>IFERROR(INDEX(PP_Grid[#Data],$DD1188,83),0)</f>
        <v/>
      </c>
      <c r="CH1188">
        <f>IFERROR(INDEX(PP_Grid[#Data],$DD1188,84),0)</f>
        <v/>
      </c>
      <c r="CI1188">
        <f>IFERROR(INDEX(PP_Grid[#Data],$DD1188,85),0)</f>
        <v/>
      </c>
      <c r="CJ1188">
        <f>IFERROR(INDEX(PP_Grid[#Data],$DD1188,86),0)</f>
        <v/>
      </c>
      <c r="CK1188">
        <f>IFERROR(INDEX(PP_Grid[#Data],$DD1188,87),0)</f>
        <v/>
      </c>
      <c r="CL1188">
        <f>IFERROR(INDEX(PP_Grid[#Data],$DD1188,88),0)</f>
        <v/>
      </c>
      <c r="CM1188">
        <f>IFERROR(INDEX(PP_Grid[#Data],$DD1188,89),0)</f>
        <v/>
      </c>
      <c r="CN1188">
        <f>IFERROR(INDEX(PP_Grid[#Data],$DD1188,90),0)</f>
        <v/>
      </c>
      <c r="CO1188">
        <f>IFERROR(INDEX(PP_Grid[#Data],$DD1188,91),0)</f>
        <v/>
      </c>
      <c r="CP1188">
        <f>IFERROR(INDEX(PP_Grid[#Data],$DD1188,92),0)</f>
        <v/>
      </c>
      <c r="CQ1188">
        <f>IFERROR(INDEX(PP_Grid[#Data],$DD1188,93),0)</f>
        <v/>
      </c>
      <c r="CR1188">
        <f>IFERROR(INDEX(PP_Grid[#Data],$DD1188,94),0)</f>
        <v/>
      </c>
      <c r="CS1188">
        <f>IFERROR(INDEX(PP_Grid[#Data],$DD1188,95),0)</f>
        <v/>
      </c>
      <c r="CT1188">
        <f>IFERROR(INDEX(PP_Grid[#Data],$DD1188,96),0)</f>
        <v/>
      </c>
      <c r="CU1188">
        <f>IFERROR(INDEX(PP_Grid[#Data],$DD1188,97),0)</f>
        <v/>
      </c>
      <c r="CV1188">
        <f>IFERROR(INDEX(PP_Grid[#Data],$DD1188,98),0)</f>
        <v/>
      </c>
      <c r="CW1188">
        <f>IFERROR(INDEX(PP_Grid[#Data],$DD1188,99),0)</f>
        <v/>
      </c>
      <c r="CX1188">
        <f>IFERROR(INDEX(PP_Grid[#Data],$DD1188,100),0)</f>
        <v/>
      </c>
      <c r="CY1188">
        <f>IFERROR(INDEX(PP_Grid[#Data],$DD1188,101),0)</f>
        <v/>
      </c>
      <c r="CZ1188">
        <f>IFERROR(INDEX(PP_Grid[#Data],$DD1188,102),0)</f>
        <v/>
      </c>
      <c r="DA1188">
        <f>IFERROR(INDEX(PP_Grid[#Data],$DD1188,103),0)</f>
        <v/>
      </c>
      <c r="DB1188">
        <f>IFERROR(INDEX(PP_Grid[#Data],$DD1188,104),0)</f>
        <v/>
      </c>
      <c r="DC1188">
        <f>IFERROR(INDEX(PP_Grid[#Data],$DD1188,105),0)</f>
        <v/>
      </c>
      <c r="DD1188" s="12">
        <f>IFERROR(MATCH($B1188,PP_Grid[Intermediate],0),99999)</f>
        <v/>
      </c>
    </row>
    <row r="1189">
      <c r="B1189" t="inlineStr">
        <is>
          <t>使用量(kg)</t>
        </is>
      </c>
      <c r="C1189">
        <f>SUMIFS(M_BOM[RM_Qty_Per_Batch],M_BOM[Intermediate],$B1188,M_BOM[Part Name],$A1179)</f>
        <v/>
      </c>
      <c r="D1189">
        <f>$C1189*D1188</f>
        <v/>
      </c>
      <c r="E1189">
        <f>$C1189*E1188</f>
        <v/>
      </c>
      <c r="F1189">
        <f>$C1189*F1188</f>
        <v/>
      </c>
      <c r="G1189">
        <f>$C1189*G1188</f>
        <v/>
      </c>
      <c r="H1189">
        <f>$C1189*H1188</f>
        <v/>
      </c>
      <c r="I1189">
        <f>$C1189*I1188</f>
        <v/>
      </c>
      <c r="J1189">
        <f>$C1189*J1188</f>
        <v/>
      </c>
      <c r="K1189">
        <f>$C1189*K1188</f>
        <v/>
      </c>
      <c r="L1189">
        <f>$C1189*L1188</f>
        <v/>
      </c>
      <c r="M1189">
        <f>$C1189*M1188</f>
        <v/>
      </c>
      <c r="N1189">
        <f>$C1189*N1188</f>
        <v/>
      </c>
      <c r="O1189">
        <f>$C1189*O1188</f>
        <v/>
      </c>
      <c r="P1189">
        <f>$C1189*P1188</f>
        <v/>
      </c>
      <c r="Q1189">
        <f>$C1189*Q1188</f>
        <v/>
      </c>
      <c r="R1189">
        <f>$C1189*R1188</f>
        <v/>
      </c>
      <c r="S1189">
        <f>$C1189*S1188</f>
        <v/>
      </c>
      <c r="T1189">
        <f>$C1189*T1188</f>
        <v/>
      </c>
      <c r="U1189">
        <f>$C1189*U1188</f>
        <v/>
      </c>
      <c r="V1189">
        <f>$C1189*V1188</f>
        <v/>
      </c>
      <c r="W1189">
        <f>$C1189*W1188</f>
        <v/>
      </c>
      <c r="X1189">
        <f>$C1189*X1188</f>
        <v/>
      </c>
      <c r="Y1189">
        <f>$C1189*Y1188</f>
        <v/>
      </c>
      <c r="Z1189">
        <f>$C1189*Z1188</f>
        <v/>
      </c>
      <c r="AA1189">
        <f>$C1189*AA1188</f>
        <v/>
      </c>
      <c r="AB1189">
        <f>$C1189*AB1188</f>
        <v/>
      </c>
      <c r="AC1189">
        <f>$C1189*AC1188</f>
        <v/>
      </c>
      <c r="AD1189">
        <f>$C1189*AD1188</f>
        <v/>
      </c>
      <c r="AE1189">
        <f>$C1189*AE1188</f>
        <v/>
      </c>
      <c r="AF1189">
        <f>$C1189*AF1188</f>
        <v/>
      </c>
      <c r="AG1189">
        <f>$C1189*AG1188</f>
        <v/>
      </c>
      <c r="AH1189">
        <f>$C1189*AH1188</f>
        <v/>
      </c>
      <c r="AI1189">
        <f>$C1189*AI1188</f>
        <v/>
      </c>
      <c r="AJ1189">
        <f>$C1189*AJ1188</f>
        <v/>
      </c>
      <c r="AK1189">
        <f>$C1189*AK1188</f>
        <v/>
      </c>
      <c r="AL1189">
        <f>$C1189*AL1188</f>
        <v/>
      </c>
      <c r="AM1189">
        <f>$C1189*AM1188</f>
        <v/>
      </c>
      <c r="AN1189">
        <f>$C1189*AN1188</f>
        <v/>
      </c>
      <c r="AO1189">
        <f>$C1189*AO1188</f>
        <v/>
      </c>
      <c r="AP1189">
        <f>$C1189*AP1188</f>
        <v/>
      </c>
      <c r="AQ1189">
        <f>$C1189*AQ1188</f>
        <v/>
      </c>
      <c r="AR1189">
        <f>$C1189*AR1188</f>
        <v/>
      </c>
      <c r="AS1189">
        <f>$C1189*AS1188</f>
        <v/>
      </c>
      <c r="AT1189">
        <f>$C1189*AT1188</f>
        <v/>
      </c>
      <c r="AU1189">
        <f>$C1189*AU1188</f>
        <v/>
      </c>
      <c r="AV1189">
        <f>$C1189*AV1188</f>
        <v/>
      </c>
      <c r="AW1189">
        <f>$C1189*AW1188</f>
        <v/>
      </c>
      <c r="AX1189">
        <f>$C1189*AX1188</f>
        <v/>
      </c>
      <c r="AY1189">
        <f>$C1189*AY1188</f>
        <v/>
      </c>
      <c r="AZ1189">
        <f>$C1189*AZ1188</f>
        <v/>
      </c>
      <c r="BA1189">
        <f>$C1189*BA1188</f>
        <v/>
      </c>
      <c r="BB1189">
        <f>$C1189*BB1188</f>
        <v/>
      </c>
      <c r="BC1189">
        <f>$C1189*BC1188</f>
        <v/>
      </c>
      <c r="BD1189">
        <f>$C1189*BD1188</f>
        <v/>
      </c>
      <c r="BE1189">
        <f>$C1189*BE1188</f>
        <v/>
      </c>
      <c r="BF1189">
        <f>$C1189*BF1188</f>
        <v/>
      </c>
      <c r="BG1189">
        <f>$C1189*BG1188</f>
        <v/>
      </c>
      <c r="BH1189">
        <f>$C1189*BH1188</f>
        <v/>
      </c>
      <c r="BI1189">
        <f>$C1189*BI1188</f>
        <v/>
      </c>
      <c r="BJ1189">
        <f>$C1189*BJ1188</f>
        <v/>
      </c>
      <c r="BK1189">
        <f>$C1189*BK1188</f>
        <v/>
      </c>
      <c r="BL1189">
        <f>$C1189*BL1188</f>
        <v/>
      </c>
      <c r="BM1189">
        <f>$C1189*BM1188</f>
        <v/>
      </c>
      <c r="BN1189">
        <f>$C1189*BN1188</f>
        <v/>
      </c>
      <c r="BO1189">
        <f>$C1189*BO1188</f>
        <v/>
      </c>
      <c r="BP1189">
        <f>$C1189*BP1188</f>
        <v/>
      </c>
      <c r="BQ1189">
        <f>$C1189*BQ1188</f>
        <v/>
      </c>
      <c r="BR1189">
        <f>$C1189*BR1188</f>
        <v/>
      </c>
      <c r="BS1189">
        <f>$C1189*BS1188</f>
        <v/>
      </c>
      <c r="BT1189">
        <f>$C1189*BT1188</f>
        <v/>
      </c>
      <c r="BU1189">
        <f>$C1189*BU1188</f>
        <v/>
      </c>
      <c r="BV1189">
        <f>$C1189*BV1188</f>
        <v/>
      </c>
      <c r="BW1189">
        <f>$C1189*BW1188</f>
        <v/>
      </c>
      <c r="BX1189">
        <f>$C1189*BX1188</f>
        <v/>
      </c>
      <c r="BY1189">
        <f>$C1189*BY1188</f>
        <v/>
      </c>
      <c r="BZ1189">
        <f>$C1189*BZ1188</f>
        <v/>
      </c>
      <c r="CA1189">
        <f>$C1189*CA1188</f>
        <v/>
      </c>
      <c r="CB1189">
        <f>$C1189*CB1188</f>
        <v/>
      </c>
      <c r="CC1189">
        <f>$C1189*CC1188</f>
        <v/>
      </c>
      <c r="CD1189">
        <f>$C1189*CD1188</f>
        <v/>
      </c>
      <c r="CE1189">
        <f>$C1189*CE1188</f>
        <v/>
      </c>
      <c r="CF1189">
        <f>$C1189*CF1188</f>
        <v/>
      </c>
      <c r="CG1189">
        <f>$C1189*CG1188</f>
        <v/>
      </c>
      <c r="CH1189">
        <f>$C1189*CH1188</f>
        <v/>
      </c>
      <c r="CI1189">
        <f>$C1189*CI1188</f>
        <v/>
      </c>
      <c r="CJ1189">
        <f>$C1189*CJ1188</f>
        <v/>
      </c>
      <c r="CK1189">
        <f>$C1189*CK1188</f>
        <v/>
      </c>
      <c r="CL1189">
        <f>$C1189*CL1188</f>
        <v/>
      </c>
      <c r="CM1189">
        <f>$C1189*CM1188</f>
        <v/>
      </c>
      <c r="CN1189">
        <f>$C1189*CN1188</f>
        <v/>
      </c>
      <c r="CO1189">
        <f>$C1189*CO1188</f>
        <v/>
      </c>
      <c r="CP1189">
        <f>$C1189*CP1188</f>
        <v/>
      </c>
      <c r="CQ1189">
        <f>$C1189*CQ1188</f>
        <v/>
      </c>
      <c r="CR1189">
        <f>$C1189*CR1188</f>
        <v/>
      </c>
      <c r="CS1189">
        <f>$C1189*CS1188</f>
        <v/>
      </c>
      <c r="CT1189">
        <f>$C1189*CT1188</f>
        <v/>
      </c>
      <c r="CU1189">
        <f>$C1189*CU1188</f>
        <v/>
      </c>
      <c r="CV1189">
        <f>$C1189*CV1188</f>
        <v/>
      </c>
      <c r="CW1189">
        <f>$C1189*CW1188</f>
        <v/>
      </c>
      <c r="CX1189">
        <f>$C1189*CX1188</f>
        <v/>
      </c>
      <c r="CY1189">
        <f>$C1189*CY1188</f>
        <v/>
      </c>
      <c r="CZ1189">
        <f>$C1189*CZ1188</f>
        <v/>
      </c>
      <c r="DA1189">
        <f>$C1189*DA1188</f>
        <v/>
      </c>
      <c r="DB1189">
        <f>$C1189*DB1188</f>
        <v/>
      </c>
      <c r="DC1189">
        <f>$C1189*DC1188</f>
        <v/>
      </c>
    </row>
    <row r="1190">
      <c r="B1190" t="inlineStr">
        <is>
          <t>TSP-620</t>
        </is>
      </c>
      <c r="C1190" t="inlineStr">
        <is>
          <t>No. of batches</t>
        </is>
      </c>
      <c r="D1190">
        <f>IFERROR(INDEX(PP_Grid[#Data],$DD1190,2),0)</f>
        <v/>
      </c>
      <c r="E1190">
        <f>IFERROR(INDEX(PP_Grid[#Data],$DD1190,3),0)</f>
        <v/>
      </c>
      <c r="F1190">
        <f>IFERROR(INDEX(PP_Grid[#Data],$DD1190,4),0)</f>
        <v/>
      </c>
      <c r="G1190">
        <f>IFERROR(INDEX(PP_Grid[#Data],$DD1190,5),0)</f>
        <v/>
      </c>
      <c r="H1190">
        <f>IFERROR(INDEX(PP_Grid[#Data],$DD1190,6),0)</f>
        <v/>
      </c>
      <c r="I1190">
        <f>IFERROR(INDEX(PP_Grid[#Data],$DD1190,7),0)</f>
        <v/>
      </c>
      <c r="J1190">
        <f>IFERROR(INDEX(PP_Grid[#Data],$DD1190,8),0)</f>
        <v/>
      </c>
      <c r="K1190">
        <f>IFERROR(INDEX(PP_Grid[#Data],$DD1190,9),0)</f>
        <v/>
      </c>
      <c r="L1190">
        <f>IFERROR(INDEX(PP_Grid[#Data],$DD1190,10),0)</f>
        <v/>
      </c>
      <c r="M1190">
        <f>IFERROR(INDEX(PP_Grid[#Data],$DD1190,11),0)</f>
        <v/>
      </c>
      <c r="N1190">
        <f>IFERROR(INDEX(PP_Grid[#Data],$DD1190,12),0)</f>
        <v/>
      </c>
      <c r="O1190">
        <f>IFERROR(INDEX(PP_Grid[#Data],$DD1190,13),0)</f>
        <v/>
      </c>
      <c r="P1190">
        <f>IFERROR(INDEX(PP_Grid[#Data],$DD1190,14),0)</f>
        <v/>
      </c>
      <c r="Q1190">
        <f>IFERROR(INDEX(PP_Grid[#Data],$DD1190,15),0)</f>
        <v/>
      </c>
      <c r="R1190">
        <f>IFERROR(INDEX(PP_Grid[#Data],$DD1190,16),0)</f>
        <v/>
      </c>
      <c r="S1190">
        <f>IFERROR(INDEX(PP_Grid[#Data],$DD1190,17),0)</f>
        <v/>
      </c>
      <c r="T1190">
        <f>IFERROR(INDEX(PP_Grid[#Data],$DD1190,18),0)</f>
        <v/>
      </c>
      <c r="U1190">
        <f>IFERROR(INDEX(PP_Grid[#Data],$DD1190,19),0)</f>
        <v/>
      </c>
      <c r="V1190">
        <f>IFERROR(INDEX(PP_Grid[#Data],$DD1190,20),0)</f>
        <v/>
      </c>
      <c r="W1190">
        <f>IFERROR(INDEX(PP_Grid[#Data],$DD1190,21),0)</f>
        <v/>
      </c>
      <c r="X1190">
        <f>IFERROR(INDEX(PP_Grid[#Data],$DD1190,22),0)</f>
        <v/>
      </c>
      <c r="Y1190">
        <f>IFERROR(INDEX(PP_Grid[#Data],$DD1190,23),0)</f>
        <v/>
      </c>
      <c r="Z1190">
        <f>IFERROR(INDEX(PP_Grid[#Data],$DD1190,24),0)</f>
        <v/>
      </c>
      <c r="AA1190">
        <f>IFERROR(INDEX(PP_Grid[#Data],$DD1190,25),0)</f>
        <v/>
      </c>
      <c r="AB1190">
        <f>IFERROR(INDEX(PP_Grid[#Data],$DD1190,26),0)</f>
        <v/>
      </c>
      <c r="AC1190">
        <f>IFERROR(INDEX(PP_Grid[#Data],$DD1190,27),0)</f>
        <v/>
      </c>
      <c r="AD1190">
        <f>IFERROR(INDEX(PP_Grid[#Data],$DD1190,28),0)</f>
        <v/>
      </c>
      <c r="AE1190">
        <f>IFERROR(INDEX(PP_Grid[#Data],$DD1190,29),0)</f>
        <v/>
      </c>
      <c r="AF1190">
        <f>IFERROR(INDEX(PP_Grid[#Data],$DD1190,30),0)</f>
        <v/>
      </c>
      <c r="AG1190">
        <f>IFERROR(INDEX(PP_Grid[#Data],$DD1190,31),0)</f>
        <v/>
      </c>
      <c r="AH1190">
        <f>IFERROR(INDEX(PP_Grid[#Data],$DD1190,32),0)</f>
        <v/>
      </c>
      <c r="AI1190">
        <f>IFERROR(INDEX(PP_Grid[#Data],$DD1190,33),0)</f>
        <v/>
      </c>
      <c r="AJ1190">
        <f>IFERROR(INDEX(PP_Grid[#Data],$DD1190,34),0)</f>
        <v/>
      </c>
      <c r="AK1190">
        <f>IFERROR(INDEX(PP_Grid[#Data],$DD1190,35),0)</f>
        <v/>
      </c>
      <c r="AL1190">
        <f>IFERROR(INDEX(PP_Grid[#Data],$DD1190,36),0)</f>
        <v/>
      </c>
      <c r="AM1190">
        <f>IFERROR(INDEX(PP_Grid[#Data],$DD1190,37),0)</f>
        <v/>
      </c>
      <c r="AN1190">
        <f>IFERROR(INDEX(PP_Grid[#Data],$DD1190,38),0)</f>
        <v/>
      </c>
      <c r="AO1190">
        <f>IFERROR(INDEX(PP_Grid[#Data],$DD1190,39),0)</f>
        <v/>
      </c>
      <c r="AP1190">
        <f>IFERROR(INDEX(PP_Grid[#Data],$DD1190,40),0)</f>
        <v/>
      </c>
      <c r="AQ1190">
        <f>IFERROR(INDEX(PP_Grid[#Data],$DD1190,41),0)</f>
        <v/>
      </c>
      <c r="AR1190">
        <f>IFERROR(INDEX(PP_Grid[#Data],$DD1190,42),0)</f>
        <v/>
      </c>
      <c r="AS1190">
        <f>IFERROR(INDEX(PP_Grid[#Data],$DD1190,43),0)</f>
        <v/>
      </c>
      <c r="AT1190">
        <f>IFERROR(INDEX(PP_Grid[#Data],$DD1190,44),0)</f>
        <v/>
      </c>
      <c r="AU1190">
        <f>IFERROR(INDEX(PP_Grid[#Data],$DD1190,45),0)</f>
        <v/>
      </c>
      <c r="AV1190">
        <f>IFERROR(INDEX(PP_Grid[#Data],$DD1190,46),0)</f>
        <v/>
      </c>
      <c r="AW1190">
        <f>IFERROR(INDEX(PP_Grid[#Data],$DD1190,47),0)</f>
        <v/>
      </c>
      <c r="AX1190">
        <f>IFERROR(INDEX(PP_Grid[#Data],$DD1190,48),0)</f>
        <v/>
      </c>
      <c r="AY1190">
        <f>IFERROR(INDEX(PP_Grid[#Data],$DD1190,49),0)</f>
        <v/>
      </c>
      <c r="AZ1190">
        <f>IFERROR(INDEX(PP_Grid[#Data],$DD1190,50),0)</f>
        <v/>
      </c>
      <c r="BA1190">
        <f>IFERROR(INDEX(PP_Grid[#Data],$DD1190,51),0)</f>
        <v/>
      </c>
      <c r="BB1190">
        <f>IFERROR(INDEX(PP_Grid[#Data],$DD1190,52),0)</f>
        <v/>
      </c>
      <c r="BC1190">
        <f>IFERROR(INDEX(PP_Grid[#Data],$DD1190,53),0)</f>
        <v/>
      </c>
      <c r="BD1190">
        <f>IFERROR(INDEX(PP_Grid[#Data],$DD1190,54),0)</f>
        <v/>
      </c>
      <c r="BE1190">
        <f>IFERROR(INDEX(PP_Grid[#Data],$DD1190,55),0)</f>
        <v/>
      </c>
      <c r="BF1190">
        <f>IFERROR(INDEX(PP_Grid[#Data],$DD1190,56),0)</f>
        <v/>
      </c>
      <c r="BG1190">
        <f>IFERROR(INDEX(PP_Grid[#Data],$DD1190,57),0)</f>
        <v/>
      </c>
      <c r="BH1190">
        <f>IFERROR(INDEX(PP_Grid[#Data],$DD1190,58),0)</f>
        <v/>
      </c>
      <c r="BI1190">
        <f>IFERROR(INDEX(PP_Grid[#Data],$DD1190,59),0)</f>
        <v/>
      </c>
      <c r="BJ1190">
        <f>IFERROR(INDEX(PP_Grid[#Data],$DD1190,60),0)</f>
        <v/>
      </c>
      <c r="BK1190">
        <f>IFERROR(INDEX(PP_Grid[#Data],$DD1190,61),0)</f>
        <v/>
      </c>
      <c r="BL1190">
        <f>IFERROR(INDEX(PP_Grid[#Data],$DD1190,62),0)</f>
        <v/>
      </c>
      <c r="BM1190">
        <f>IFERROR(INDEX(PP_Grid[#Data],$DD1190,63),0)</f>
        <v/>
      </c>
      <c r="BN1190">
        <f>IFERROR(INDEX(PP_Grid[#Data],$DD1190,64),0)</f>
        <v/>
      </c>
      <c r="BO1190">
        <f>IFERROR(INDEX(PP_Grid[#Data],$DD1190,65),0)</f>
        <v/>
      </c>
      <c r="BP1190">
        <f>IFERROR(INDEX(PP_Grid[#Data],$DD1190,66),0)</f>
        <v/>
      </c>
      <c r="BQ1190">
        <f>IFERROR(INDEX(PP_Grid[#Data],$DD1190,67),0)</f>
        <v/>
      </c>
      <c r="BR1190">
        <f>IFERROR(INDEX(PP_Grid[#Data],$DD1190,68),0)</f>
        <v/>
      </c>
      <c r="BS1190">
        <f>IFERROR(INDEX(PP_Grid[#Data],$DD1190,69),0)</f>
        <v/>
      </c>
      <c r="BT1190">
        <f>IFERROR(INDEX(PP_Grid[#Data],$DD1190,70),0)</f>
        <v/>
      </c>
      <c r="BU1190">
        <f>IFERROR(INDEX(PP_Grid[#Data],$DD1190,71),0)</f>
        <v/>
      </c>
      <c r="BV1190">
        <f>IFERROR(INDEX(PP_Grid[#Data],$DD1190,72),0)</f>
        <v/>
      </c>
      <c r="BW1190">
        <f>IFERROR(INDEX(PP_Grid[#Data],$DD1190,73),0)</f>
        <v/>
      </c>
      <c r="BX1190">
        <f>IFERROR(INDEX(PP_Grid[#Data],$DD1190,74),0)</f>
        <v/>
      </c>
      <c r="BY1190">
        <f>IFERROR(INDEX(PP_Grid[#Data],$DD1190,75),0)</f>
        <v/>
      </c>
      <c r="BZ1190">
        <f>IFERROR(INDEX(PP_Grid[#Data],$DD1190,76),0)</f>
        <v/>
      </c>
      <c r="CA1190">
        <f>IFERROR(INDEX(PP_Grid[#Data],$DD1190,77),0)</f>
        <v/>
      </c>
      <c r="CB1190">
        <f>IFERROR(INDEX(PP_Grid[#Data],$DD1190,78),0)</f>
        <v/>
      </c>
      <c r="CC1190">
        <f>IFERROR(INDEX(PP_Grid[#Data],$DD1190,79),0)</f>
        <v/>
      </c>
      <c r="CD1190">
        <f>IFERROR(INDEX(PP_Grid[#Data],$DD1190,80),0)</f>
        <v/>
      </c>
      <c r="CE1190">
        <f>IFERROR(INDEX(PP_Grid[#Data],$DD1190,81),0)</f>
        <v/>
      </c>
      <c r="CF1190">
        <f>IFERROR(INDEX(PP_Grid[#Data],$DD1190,82),0)</f>
        <v/>
      </c>
      <c r="CG1190">
        <f>IFERROR(INDEX(PP_Grid[#Data],$DD1190,83),0)</f>
        <v/>
      </c>
      <c r="CH1190">
        <f>IFERROR(INDEX(PP_Grid[#Data],$DD1190,84),0)</f>
        <v/>
      </c>
      <c r="CI1190">
        <f>IFERROR(INDEX(PP_Grid[#Data],$DD1190,85),0)</f>
        <v/>
      </c>
      <c r="CJ1190">
        <f>IFERROR(INDEX(PP_Grid[#Data],$DD1190,86),0)</f>
        <v/>
      </c>
      <c r="CK1190">
        <f>IFERROR(INDEX(PP_Grid[#Data],$DD1190,87),0)</f>
        <v/>
      </c>
      <c r="CL1190">
        <f>IFERROR(INDEX(PP_Grid[#Data],$DD1190,88),0)</f>
        <v/>
      </c>
      <c r="CM1190">
        <f>IFERROR(INDEX(PP_Grid[#Data],$DD1190,89),0)</f>
        <v/>
      </c>
      <c r="CN1190">
        <f>IFERROR(INDEX(PP_Grid[#Data],$DD1190,90),0)</f>
        <v/>
      </c>
      <c r="CO1190">
        <f>IFERROR(INDEX(PP_Grid[#Data],$DD1190,91),0)</f>
        <v/>
      </c>
      <c r="CP1190">
        <f>IFERROR(INDEX(PP_Grid[#Data],$DD1190,92),0)</f>
        <v/>
      </c>
      <c r="CQ1190">
        <f>IFERROR(INDEX(PP_Grid[#Data],$DD1190,93),0)</f>
        <v/>
      </c>
      <c r="CR1190">
        <f>IFERROR(INDEX(PP_Grid[#Data],$DD1190,94),0)</f>
        <v/>
      </c>
      <c r="CS1190">
        <f>IFERROR(INDEX(PP_Grid[#Data],$DD1190,95),0)</f>
        <v/>
      </c>
      <c r="CT1190">
        <f>IFERROR(INDEX(PP_Grid[#Data],$DD1190,96),0)</f>
        <v/>
      </c>
      <c r="CU1190">
        <f>IFERROR(INDEX(PP_Grid[#Data],$DD1190,97),0)</f>
        <v/>
      </c>
      <c r="CV1190">
        <f>IFERROR(INDEX(PP_Grid[#Data],$DD1190,98),0)</f>
        <v/>
      </c>
      <c r="CW1190">
        <f>IFERROR(INDEX(PP_Grid[#Data],$DD1190,99),0)</f>
        <v/>
      </c>
      <c r="CX1190">
        <f>IFERROR(INDEX(PP_Grid[#Data],$DD1190,100),0)</f>
        <v/>
      </c>
      <c r="CY1190">
        <f>IFERROR(INDEX(PP_Grid[#Data],$DD1190,101),0)</f>
        <v/>
      </c>
      <c r="CZ1190">
        <f>IFERROR(INDEX(PP_Grid[#Data],$DD1190,102),0)</f>
        <v/>
      </c>
      <c r="DA1190">
        <f>IFERROR(INDEX(PP_Grid[#Data],$DD1190,103),0)</f>
        <v/>
      </c>
      <c r="DB1190">
        <f>IFERROR(INDEX(PP_Grid[#Data],$DD1190,104),0)</f>
        <v/>
      </c>
      <c r="DC1190">
        <f>IFERROR(INDEX(PP_Grid[#Data],$DD1190,105),0)</f>
        <v/>
      </c>
      <c r="DD1190" s="12">
        <f>IFERROR(MATCH($B1190,PP_Grid[Intermediate],0),99999)</f>
        <v/>
      </c>
    </row>
    <row r="1191">
      <c r="B1191" t="inlineStr">
        <is>
          <t>使用量(kg)</t>
        </is>
      </c>
      <c r="C1191">
        <f>SUMIFS(M_BOM[RM_Qty_Per_Batch],M_BOM[Intermediate],$B1190,M_BOM[Part Name],$A1179)</f>
        <v/>
      </c>
      <c r="D1191">
        <f>$C1191*D1190</f>
        <v/>
      </c>
      <c r="E1191">
        <f>$C1191*E1190</f>
        <v/>
      </c>
      <c r="F1191">
        <f>$C1191*F1190</f>
        <v/>
      </c>
      <c r="G1191">
        <f>$C1191*G1190</f>
        <v/>
      </c>
      <c r="H1191">
        <f>$C1191*H1190</f>
        <v/>
      </c>
      <c r="I1191">
        <f>$C1191*I1190</f>
        <v/>
      </c>
      <c r="J1191">
        <f>$C1191*J1190</f>
        <v/>
      </c>
      <c r="K1191">
        <f>$C1191*K1190</f>
        <v/>
      </c>
      <c r="L1191">
        <f>$C1191*L1190</f>
        <v/>
      </c>
      <c r="M1191">
        <f>$C1191*M1190</f>
        <v/>
      </c>
      <c r="N1191">
        <f>$C1191*N1190</f>
        <v/>
      </c>
      <c r="O1191">
        <f>$C1191*O1190</f>
        <v/>
      </c>
      <c r="P1191">
        <f>$C1191*P1190</f>
        <v/>
      </c>
      <c r="Q1191">
        <f>$C1191*Q1190</f>
        <v/>
      </c>
      <c r="R1191">
        <f>$C1191*R1190</f>
        <v/>
      </c>
      <c r="S1191">
        <f>$C1191*S1190</f>
        <v/>
      </c>
      <c r="T1191">
        <f>$C1191*T1190</f>
        <v/>
      </c>
      <c r="U1191">
        <f>$C1191*U1190</f>
        <v/>
      </c>
      <c r="V1191">
        <f>$C1191*V1190</f>
        <v/>
      </c>
      <c r="W1191">
        <f>$C1191*W1190</f>
        <v/>
      </c>
      <c r="X1191">
        <f>$C1191*X1190</f>
        <v/>
      </c>
      <c r="Y1191">
        <f>$C1191*Y1190</f>
        <v/>
      </c>
      <c r="Z1191">
        <f>$C1191*Z1190</f>
        <v/>
      </c>
      <c r="AA1191">
        <f>$C1191*AA1190</f>
        <v/>
      </c>
      <c r="AB1191">
        <f>$C1191*AB1190</f>
        <v/>
      </c>
      <c r="AC1191">
        <f>$C1191*AC1190</f>
        <v/>
      </c>
      <c r="AD1191">
        <f>$C1191*AD1190</f>
        <v/>
      </c>
      <c r="AE1191">
        <f>$C1191*AE1190</f>
        <v/>
      </c>
      <c r="AF1191">
        <f>$C1191*AF1190</f>
        <v/>
      </c>
      <c r="AG1191">
        <f>$C1191*AG1190</f>
        <v/>
      </c>
      <c r="AH1191">
        <f>$C1191*AH1190</f>
        <v/>
      </c>
      <c r="AI1191">
        <f>$C1191*AI1190</f>
        <v/>
      </c>
      <c r="AJ1191">
        <f>$C1191*AJ1190</f>
        <v/>
      </c>
      <c r="AK1191">
        <f>$C1191*AK1190</f>
        <v/>
      </c>
      <c r="AL1191">
        <f>$C1191*AL1190</f>
        <v/>
      </c>
      <c r="AM1191">
        <f>$C1191*AM1190</f>
        <v/>
      </c>
      <c r="AN1191">
        <f>$C1191*AN1190</f>
        <v/>
      </c>
      <c r="AO1191">
        <f>$C1191*AO1190</f>
        <v/>
      </c>
      <c r="AP1191">
        <f>$C1191*AP1190</f>
        <v/>
      </c>
      <c r="AQ1191">
        <f>$C1191*AQ1190</f>
        <v/>
      </c>
      <c r="AR1191">
        <f>$C1191*AR1190</f>
        <v/>
      </c>
      <c r="AS1191">
        <f>$C1191*AS1190</f>
        <v/>
      </c>
      <c r="AT1191">
        <f>$C1191*AT1190</f>
        <v/>
      </c>
      <c r="AU1191">
        <f>$C1191*AU1190</f>
        <v/>
      </c>
      <c r="AV1191">
        <f>$C1191*AV1190</f>
        <v/>
      </c>
      <c r="AW1191">
        <f>$C1191*AW1190</f>
        <v/>
      </c>
      <c r="AX1191">
        <f>$C1191*AX1190</f>
        <v/>
      </c>
      <c r="AY1191">
        <f>$C1191*AY1190</f>
        <v/>
      </c>
      <c r="AZ1191">
        <f>$C1191*AZ1190</f>
        <v/>
      </c>
      <c r="BA1191">
        <f>$C1191*BA1190</f>
        <v/>
      </c>
      <c r="BB1191">
        <f>$C1191*BB1190</f>
        <v/>
      </c>
      <c r="BC1191">
        <f>$C1191*BC1190</f>
        <v/>
      </c>
      <c r="BD1191">
        <f>$C1191*BD1190</f>
        <v/>
      </c>
      <c r="BE1191">
        <f>$C1191*BE1190</f>
        <v/>
      </c>
      <c r="BF1191">
        <f>$C1191*BF1190</f>
        <v/>
      </c>
      <c r="BG1191">
        <f>$C1191*BG1190</f>
        <v/>
      </c>
      <c r="BH1191">
        <f>$C1191*BH1190</f>
        <v/>
      </c>
      <c r="BI1191">
        <f>$C1191*BI1190</f>
        <v/>
      </c>
      <c r="BJ1191">
        <f>$C1191*BJ1190</f>
        <v/>
      </c>
      <c r="BK1191">
        <f>$C1191*BK1190</f>
        <v/>
      </c>
      <c r="BL1191">
        <f>$C1191*BL1190</f>
        <v/>
      </c>
      <c r="BM1191">
        <f>$C1191*BM1190</f>
        <v/>
      </c>
      <c r="BN1191">
        <f>$C1191*BN1190</f>
        <v/>
      </c>
      <c r="BO1191">
        <f>$C1191*BO1190</f>
        <v/>
      </c>
      <c r="BP1191">
        <f>$C1191*BP1190</f>
        <v/>
      </c>
      <c r="BQ1191">
        <f>$C1191*BQ1190</f>
        <v/>
      </c>
      <c r="BR1191">
        <f>$C1191*BR1190</f>
        <v/>
      </c>
      <c r="BS1191">
        <f>$C1191*BS1190</f>
        <v/>
      </c>
      <c r="BT1191">
        <f>$C1191*BT1190</f>
        <v/>
      </c>
      <c r="BU1191">
        <f>$C1191*BU1190</f>
        <v/>
      </c>
      <c r="BV1191">
        <f>$C1191*BV1190</f>
        <v/>
      </c>
      <c r="BW1191">
        <f>$C1191*BW1190</f>
        <v/>
      </c>
      <c r="BX1191">
        <f>$C1191*BX1190</f>
        <v/>
      </c>
      <c r="BY1191">
        <f>$C1191*BY1190</f>
        <v/>
      </c>
      <c r="BZ1191">
        <f>$C1191*BZ1190</f>
        <v/>
      </c>
      <c r="CA1191">
        <f>$C1191*CA1190</f>
        <v/>
      </c>
      <c r="CB1191">
        <f>$C1191*CB1190</f>
        <v/>
      </c>
      <c r="CC1191">
        <f>$C1191*CC1190</f>
        <v/>
      </c>
      <c r="CD1191">
        <f>$C1191*CD1190</f>
        <v/>
      </c>
      <c r="CE1191">
        <f>$C1191*CE1190</f>
        <v/>
      </c>
      <c r="CF1191">
        <f>$C1191*CF1190</f>
        <v/>
      </c>
      <c r="CG1191">
        <f>$C1191*CG1190</f>
        <v/>
      </c>
      <c r="CH1191">
        <f>$C1191*CH1190</f>
        <v/>
      </c>
      <c r="CI1191">
        <f>$C1191*CI1190</f>
        <v/>
      </c>
      <c r="CJ1191">
        <f>$C1191*CJ1190</f>
        <v/>
      </c>
      <c r="CK1191">
        <f>$C1191*CK1190</f>
        <v/>
      </c>
      <c r="CL1191">
        <f>$C1191*CL1190</f>
        <v/>
      </c>
      <c r="CM1191">
        <f>$C1191*CM1190</f>
        <v/>
      </c>
      <c r="CN1191">
        <f>$C1191*CN1190</f>
        <v/>
      </c>
      <c r="CO1191">
        <f>$C1191*CO1190</f>
        <v/>
      </c>
      <c r="CP1191">
        <f>$C1191*CP1190</f>
        <v/>
      </c>
      <c r="CQ1191">
        <f>$C1191*CQ1190</f>
        <v/>
      </c>
      <c r="CR1191">
        <f>$C1191*CR1190</f>
        <v/>
      </c>
      <c r="CS1191">
        <f>$C1191*CS1190</f>
        <v/>
      </c>
      <c r="CT1191">
        <f>$C1191*CT1190</f>
        <v/>
      </c>
      <c r="CU1191">
        <f>$C1191*CU1190</f>
        <v/>
      </c>
      <c r="CV1191">
        <f>$C1191*CV1190</f>
        <v/>
      </c>
      <c r="CW1191">
        <f>$C1191*CW1190</f>
        <v/>
      </c>
      <c r="CX1191">
        <f>$C1191*CX1190</f>
        <v/>
      </c>
      <c r="CY1191">
        <f>$C1191*CY1190</f>
        <v/>
      </c>
      <c r="CZ1191">
        <f>$C1191*CZ1190</f>
        <v/>
      </c>
      <c r="DA1191">
        <f>$C1191*DA1190</f>
        <v/>
      </c>
      <c r="DB1191">
        <f>$C1191*DB1190</f>
        <v/>
      </c>
      <c r="DC1191">
        <f>$C1191*DC1190</f>
        <v/>
      </c>
    </row>
    <row r="1192">
      <c r="B1192" t="inlineStr">
        <is>
          <t>TSP-623</t>
        </is>
      </c>
      <c r="C1192" t="inlineStr">
        <is>
          <t>No. of batches</t>
        </is>
      </c>
      <c r="D1192">
        <f>IFERROR(INDEX(PP_Grid[#Data],$DD1192,2),0)</f>
        <v/>
      </c>
      <c r="E1192">
        <f>IFERROR(INDEX(PP_Grid[#Data],$DD1192,3),0)</f>
        <v/>
      </c>
      <c r="F1192">
        <f>IFERROR(INDEX(PP_Grid[#Data],$DD1192,4),0)</f>
        <v/>
      </c>
      <c r="G1192">
        <f>IFERROR(INDEX(PP_Grid[#Data],$DD1192,5),0)</f>
        <v/>
      </c>
      <c r="H1192">
        <f>IFERROR(INDEX(PP_Grid[#Data],$DD1192,6),0)</f>
        <v/>
      </c>
      <c r="I1192">
        <f>IFERROR(INDEX(PP_Grid[#Data],$DD1192,7),0)</f>
        <v/>
      </c>
      <c r="J1192">
        <f>IFERROR(INDEX(PP_Grid[#Data],$DD1192,8),0)</f>
        <v/>
      </c>
      <c r="K1192">
        <f>IFERROR(INDEX(PP_Grid[#Data],$DD1192,9),0)</f>
        <v/>
      </c>
      <c r="L1192">
        <f>IFERROR(INDEX(PP_Grid[#Data],$DD1192,10),0)</f>
        <v/>
      </c>
      <c r="M1192">
        <f>IFERROR(INDEX(PP_Grid[#Data],$DD1192,11),0)</f>
        <v/>
      </c>
      <c r="N1192">
        <f>IFERROR(INDEX(PP_Grid[#Data],$DD1192,12),0)</f>
        <v/>
      </c>
      <c r="O1192">
        <f>IFERROR(INDEX(PP_Grid[#Data],$DD1192,13),0)</f>
        <v/>
      </c>
      <c r="P1192">
        <f>IFERROR(INDEX(PP_Grid[#Data],$DD1192,14),0)</f>
        <v/>
      </c>
      <c r="Q1192">
        <f>IFERROR(INDEX(PP_Grid[#Data],$DD1192,15),0)</f>
        <v/>
      </c>
      <c r="R1192">
        <f>IFERROR(INDEX(PP_Grid[#Data],$DD1192,16),0)</f>
        <v/>
      </c>
      <c r="S1192">
        <f>IFERROR(INDEX(PP_Grid[#Data],$DD1192,17),0)</f>
        <v/>
      </c>
      <c r="T1192">
        <f>IFERROR(INDEX(PP_Grid[#Data],$DD1192,18),0)</f>
        <v/>
      </c>
      <c r="U1192">
        <f>IFERROR(INDEX(PP_Grid[#Data],$DD1192,19),0)</f>
        <v/>
      </c>
      <c r="V1192">
        <f>IFERROR(INDEX(PP_Grid[#Data],$DD1192,20),0)</f>
        <v/>
      </c>
      <c r="W1192">
        <f>IFERROR(INDEX(PP_Grid[#Data],$DD1192,21),0)</f>
        <v/>
      </c>
      <c r="X1192">
        <f>IFERROR(INDEX(PP_Grid[#Data],$DD1192,22),0)</f>
        <v/>
      </c>
      <c r="Y1192">
        <f>IFERROR(INDEX(PP_Grid[#Data],$DD1192,23),0)</f>
        <v/>
      </c>
      <c r="Z1192">
        <f>IFERROR(INDEX(PP_Grid[#Data],$DD1192,24),0)</f>
        <v/>
      </c>
      <c r="AA1192">
        <f>IFERROR(INDEX(PP_Grid[#Data],$DD1192,25),0)</f>
        <v/>
      </c>
      <c r="AB1192">
        <f>IFERROR(INDEX(PP_Grid[#Data],$DD1192,26),0)</f>
        <v/>
      </c>
      <c r="AC1192">
        <f>IFERROR(INDEX(PP_Grid[#Data],$DD1192,27),0)</f>
        <v/>
      </c>
      <c r="AD1192">
        <f>IFERROR(INDEX(PP_Grid[#Data],$DD1192,28),0)</f>
        <v/>
      </c>
      <c r="AE1192">
        <f>IFERROR(INDEX(PP_Grid[#Data],$DD1192,29),0)</f>
        <v/>
      </c>
      <c r="AF1192">
        <f>IFERROR(INDEX(PP_Grid[#Data],$DD1192,30),0)</f>
        <v/>
      </c>
      <c r="AG1192">
        <f>IFERROR(INDEX(PP_Grid[#Data],$DD1192,31),0)</f>
        <v/>
      </c>
      <c r="AH1192">
        <f>IFERROR(INDEX(PP_Grid[#Data],$DD1192,32),0)</f>
        <v/>
      </c>
      <c r="AI1192">
        <f>IFERROR(INDEX(PP_Grid[#Data],$DD1192,33),0)</f>
        <v/>
      </c>
      <c r="AJ1192">
        <f>IFERROR(INDEX(PP_Grid[#Data],$DD1192,34),0)</f>
        <v/>
      </c>
      <c r="AK1192">
        <f>IFERROR(INDEX(PP_Grid[#Data],$DD1192,35),0)</f>
        <v/>
      </c>
      <c r="AL1192">
        <f>IFERROR(INDEX(PP_Grid[#Data],$DD1192,36),0)</f>
        <v/>
      </c>
      <c r="AM1192">
        <f>IFERROR(INDEX(PP_Grid[#Data],$DD1192,37),0)</f>
        <v/>
      </c>
      <c r="AN1192">
        <f>IFERROR(INDEX(PP_Grid[#Data],$DD1192,38),0)</f>
        <v/>
      </c>
      <c r="AO1192">
        <f>IFERROR(INDEX(PP_Grid[#Data],$DD1192,39),0)</f>
        <v/>
      </c>
      <c r="AP1192">
        <f>IFERROR(INDEX(PP_Grid[#Data],$DD1192,40),0)</f>
        <v/>
      </c>
      <c r="AQ1192">
        <f>IFERROR(INDEX(PP_Grid[#Data],$DD1192,41),0)</f>
        <v/>
      </c>
      <c r="AR1192">
        <f>IFERROR(INDEX(PP_Grid[#Data],$DD1192,42),0)</f>
        <v/>
      </c>
      <c r="AS1192">
        <f>IFERROR(INDEX(PP_Grid[#Data],$DD1192,43),0)</f>
        <v/>
      </c>
      <c r="AT1192">
        <f>IFERROR(INDEX(PP_Grid[#Data],$DD1192,44),0)</f>
        <v/>
      </c>
      <c r="AU1192">
        <f>IFERROR(INDEX(PP_Grid[#Data],$DD1192,45),0)</f>
        <v/>
      </c>
      <c r="AV1192">
        <f>IFERROR(INDEX(PP_Grid[#Data],$DD1192,46),0)</f>
        <v/>
      </c>
      <c r="AW1192">
        <f>IFERROR(INDEX(PP_Grid[#Data],$DD1192,47),0)</f>
        <v/>
      </c>
      <c r="AX1192">
        <f>IFERROR(INDEX(PP_Grid[#Data],$DD1192,48),0)</f>
        <v/>
      </c>
      <c r="AY1192">
        <f>IFERROR(INDEX(PP_Grid[#Data],$DD1192,49),0)</f>
        <v/>
      </c>
      <c r="AZ1192">
        <f>IFERROR(INDEX(PP_Grid[#Data],$DD1192,50),0)</f>
        <v/>
      </c>
      <c r="BA1192">
        <f>IFERROR(INDEX(PP_Grid[#Data],$DD1192,51),0)</f>
        <v/>
      </c>
      <c r="BB1192">
        <f>IFERROR(INDEX(PP_Grid[#Data],$DD1192,52),0)</f>
        <v/>
      </c>
      <c r="BC1192">
        <f>IFERROR(INDEX(PP_Grid[#Data],$DD1192,53),0)</f>
        <v/>
      </c>
      <c r="BD1192">
        <f>IFERROR(INDEX(PP_Grid[#Data],$DD1192,54),0)</f>
        <v/>
      </c>
      <c r="BE1192">
        <f>IFERROR(INDEX(PP_Grid[#Data],$DD1192,55),0)</f>
        <v/>
      </c>
      <c r="BF1192">
        <f>IFERROR(INDEX(PP_Grid[#Data],$DD1192,56),0)</f>
        <v/>
      </c>
      <c r="BG1192">
        <f>IFERROR(INDEX(PP_Grid[#Data],$DD1192,57),0)</f>
        <v/>
      </c>
      <c r="BH1192">
        <f>IFERROR(INDEX(PP_Grid[#Data],$DD1192,58),0)</f>
        <v/>
      </c>
      <c r="BI1192">
        <f>IFERROR(INDEX(PP_Grid[#Data],$DD1192,59),0)</f>
        <v/>
      </c>
      <c r="BJ1192">
        <f>IFERROR(INDEX(PP_Grid[#Data],$DD1192,60),0)</f>
        <v/>
      </c>
      <c r="BK1192">
        <f>IFERROR(INDEX(PP_Grid[#Data],$DD1192,61),0)</f>
        <v/>
      </c>
      <c r="BL1192">
        <f>IFERROR(INDEX(PP_Grid[#Data],$DD1192,62),0)</f>
        <v/>
      </c>
      <c r="BM1192">
        <f>IFERROR(INDEX(PP_Grid[#Data],$DD1192,63),0)</f>
        <v/>
      </c>
      <c r="BN1192">
        <f>IFERROR(INDEX(PP_Grid[#Data],$DD1192,64),0)</f>
        <v/>
      </c>
      <c r="BO1192">
        <f>IFERROR(INDEX(PP_Grid[#Data],$DD1192,65),0)</f>
        <v/>
      </c>
      <c r="BP1192">
        <f>IFERROR(INDEX(PP_Grid[#Data],$DD1192,66),0)</f>
        <v/>
      </c>
      <c r="BQ1192">
        <f>IFERROR(INDEX(PP_Grid[#Data],$DD1192,67),0)</f>
        <v/>
      </c>
      <c r="BR1192">
        <f>IFERROR(INDEX(PP_Grid[#Data],$DD1192,68),0)</f>
        <v/>
      </c>
      <c r="BS1192">
        <f>IFERROR(INDEX(PP_Grid[#Data],$DD1192,69),0)</f>
        <v/>
      </c>
      <c r="BT1192">
        <f>IFERROR(INDEX(PP_Grid[#Data],$DD1192,70),0)</f>
        <v/>
      </c>
      <c r="BU1192">
        <f>IFERROR(INDEX(PP_Grid[#Data],$DD1192,71),0)</f>
        <v/>
      </c>
      <c r="BV1192">
        <f>IFERROR(INDEX(PP_Grid[#Data],$DD1192,72),0)</f>
        <v/>
      </c>
      <c r="BW1192">
        <f>IFERROR(INDEX(PP_Grid[#Data],$DD1192,73),0)</f>
        <v/>
      </c>
      <c r="BX1192">
        <f>IFERROR(INDEX(PP_Grid[#Data],$DD1192,74),0)</f>
        <v/>
      </c>
      <c r="BY1192">
        <f>IFERROR(INDEX(PP_Grid[#Data],$DD1192,75),0)</f>
        <v/>
      </c>
      <c r="BZ1192">
        <f>IFERROR(INDEX(PP_Grid[#Data],$DD1192,76),0)</f>
        <v/>
      </c>
      <c r="CA1192">
        <f>IFERROR(INDEX(PP_Grid[#Data],$DD1192,77),0)</f>
        <v/>
      </c>
      <c r="CB1192">
        <f>IFERROR(INDEX(PP_Grid[#Data],$DD1192,78),0)</f>
        <v/>
      </c>
      <c r="CC1192">
        <f>IFERROR(INDEX(PP_Grid[#Data],$DD1192,79),0)</f>
        <v/>
      </c>
      <c r="CD1192">
        <f>IFERROR(INDEX(PP_Grid[#Data],$DD1192,80),0)</f>
        <v/>
      </c>
      <c r="CE1192">
        <f>IFERROR(INDEX(PP_Grid[#Data],$DD1192,81),0)</f>
        <v/>
      </c>
      <c r="CF1192">
        <f>IFERROR(INDEX(PP_Grid[#Data],$DD1192,82),0)</f>
        <v/>
      </c>
      <c r="CG1192">
        <f>IFERROR(INDEX(PP_Grid[#Data],$DD1192,83),0)</f>
        <v/>
      </c>
      <c r="CH1192">
        <f>IFERROR(INDEX(PP_Grid[#Data],$DD1192,84),0)</f>
        <v/>
      </c>
      <c r="CI1192">
        <f>IFERROR(INDEX(PP_Grid[#Data],$DD1192,85),0)</f>
        <v/>
      </c>
      <c r="CJ1192">
        <f>IFERROR(INDEX(PP_Grid[#Data],$DD1192,86),0)</f>
        <v/>
      </c>
      <c r="CK1192">
        <f>IFERROR(INDEX(PP_Grid[#Data],$DD1192,87),0)</f>
        <v/>
      </c>
      <c r="CL1192">
        <f>IFERROR(INDEX(PP_Grid[#Data],$DD1192,88),0)</f>
        <v/>
      </c>
      <c r="CM1192">
        <f>IFERROR(INDEX(PP_Grid[#Data],$DD1192,89),0)</f>
        <v/>
      </c>
      <c r="CN1192">
        <f>IFERROR(INDEX(PP_Grid[#Data],$DD1192,90),0)</f>
        <v/>
      </c>
      <c r="CO1192">
        <f>IFERROR(INDEX(PP_Grid[#Data],$DD1192,91),0)</f>
        <v/>
      </c>
      <c r="CP1192">
        <f>IFERROR(INDEX(PP_Grid[#Data],$DD1192,92),0)</f>
        <v/>
      </c>
      <c r="CQ1192">
        <f>IFERROR(INDEX(PP_Grid[#Data],$DD1192,93),0)</f>
        <v/>
      </c>
      <c r="CR1192">
        <f>IFERROR(INDEX(PP_Grid[#Data],$DD1192,94),0)</f>
        <v/>
      </c>
      <c r="CS1192">
        <f>IFERROR(INDEX(PP_Grid[#Data],$DD1192,95),0)</f>
        <v/>
      </c>
      <c r="CT1192">
        <f>IFERROR(INDEX(PP_Grid[#Data],$DD1192,96),0)</f>
        <v/>
      </c>
      <c r="CU1192">
        <f>IFERROR(INDEX(PP_Grid[#Data],$DD1192,97),0)</f>
        <v/>
      </c>
      <c r="CV1192">
        <f>IFERROR(INDEX(PP_Grid[#Data],$DD1192,98),0)</f>
        <v/>
      </c>
      <c r="CW1192">
        <f>IFERROR(INDEX(PP_Grid[#Data],$DD1192,99),0)</f>
        <v/>
      </c>
      <c r="CX1192">
        <f>IFERROR(INDEX(PP_Grid[#Data],$DD1192,100),0)</f>
        <v/>
      </c>
      <c r="CY1192">
        <f>IFERROR(INDEX(PP_Grid[#Data],$DD1192,101),0)</f>
        <v/>
      </c>
      <c r="CZ1192">
        <f>IFERROR(INDEX(PP_Grid[#Data],$DD1192,102),0)</f>
        <v/>
      </c>
      <c r="DA1192">
        <f>IFERROR(INDEX(PP_Grid[#Data],$DD1192,103),0)</f>
        <v/>
      </c>
      <c r="DB1192">
        <f>IFERROR(INDEX(PP_Grid[#Data],$DD1192,104),0)</f>
        <v/>
      </c>
      <c r="DC1192">
        <f>IFERROR(INDEX(PP_Grid[#Data],$DD1192,105),0)</f>
        <v/>
      </c>
      <c r="DD1192" s="12">
        <f>IFERROR(MATCH($B1192,PP_Grid[Intermediate],0),99999)</f>
        <v/>
      </c>
    </row>
    <row r="1193">
      <c r="B1193" t="inlineStr">
        <is>
          <t>使用量(kg)</t>
        </is>
      </c>
      <c r="C1193">
        <f>SUMIFS(M_BOM[RM_Qty_Per_Batch],M_BOM[Intermediate],$B1192,M_BOM[Part Name],$A1179)</f>
        <v/>
      </c>
      <c r="D1193">
        <f>$C1193*D1192</f>
        <v/>
      </c>
      <c r="E1193">
        <f>$C1193*E1192</f>
        <v/>
      </c>
      <c r="F1193">
        <f>$C1193*F1192</f>
        <v/>
      </c>
      <c r="G1193">
        <f>$C1193*G1192</f>
        <v/>
      </c>
      <c r="H1193">
        <f>$C1193*H1192</f>
        <v/>
      </c>
      <c r="I1193">
        <f>$C1193*I1192</f>
        <v/>
      </c>
      <c r="J1193">
        <f>$C1193*J1192</f>
        <v/>
      </c>
      <c r="K1193">
        <f>$C1193*K1192</f>
        <v/>
      </c>
      <c r="L1193">
        <f>$C1193*L1192</f>
        <v/>
      </c>
      <c r="M1193">
        <f>$C1193*M1192</f>
        <v/>
      </c>
      <c r="N1193">
        <f>$C1193*N1192</f>
        <v/>
      </c>
      <c r="O1193">
        <f>$C1193*O1192</f>
        <v/>
      </c>
      <c r="P1193">
        <f>$C1193*P1192</f>
        <v/>
      </c>
      <c r="Q1193">
        <f>$C1193*Q1192</f>
        <v/>
      </c>
      <c r="R1193">
        <f>$C1193*R1192</f>
        <v/>
      </c>
      <c r="S1193">
        <f>$C1193*S1192</f>
        <v/>
      </c>
      <c r="T1193">
        <f>$C1193*T1192</f>
        <v/>
      </c>
      <c r="U1193">
        <f>$C1193*U1192</f>
        <v/>
      </c>
      <c r="V1193">
        <f>$C1193*V1192</f>
        <v/>
      </c>
      <c r="W1193">
        <f>$C1193*W1192</f>
        <v/>
      </c>
      <c r="X1193">
        <f>$C1193*X1192</f>
        <v/>
      </c>
      <c r="Y1193">
        <f>$C1193*Y1192</f>
        <v/>
      </c>
      <c r="Z1193">
        <f>$C1193*Z1192</f>
        <v/>
      </c>
      <c r="AA1193">
        <f>$C1193*AA1192</f>
        <v/>
      </c>
      <c r="AB1193">
        <f>$C1193*AB1192</f>
        <v/>
      </c>
      <c r="AC1193">
        <f>$C1193*AC1192</f>
        <v/>
      </c>
      <c r="AD1193">
        <f>$C1193*AD1192</f>
        <v/>
      </c>
      <c r="AE1193">
        <f>$C1193*AE1192</f>
        <v/>
      </c>
      <c r="AF1193">
        <f>$C1193*AF1192</f>
        <v/>
      </c>
      <c r="AG1193">
        <f>$C1193*AG1192</f>
        <v/>
      </c>
      <c r="AH1193">
        <f>$C1193*AH1192</f>
        <v/>
      </c>
      <c r="AI1193">
        <f>$C1193*AI1192</f>
        <v/>
      </c>
      <c r="AJ1193">
        <f>$C1193*AJ1192</f>
        <v/>
      </c>
      <c r="AK1193">
        <f>$C1193*AK1192</f>
        <v/>
      </c>
      <c r="AL1193">
        <f>$C1193*AL1192</f>
        <v/>
      </c>
      <c r="AM1193">
        <f>$C1193*AM1192</f>
        <v/>
      </c>
      <c r="AN1193">
        <f>$C1193*AN1192</f>
        <v/>
      </c>
      <c r="AO1193">
        <f>$C1193*AO1192</f>
        <v/>
      </c>
      <c r="AP1193">
        <f>$C1193*AP1192</f>
        <v/>
      </c>
      <c r="AQ1193">
        <f>$C1193*AQ1192</f>
        <v/>
      </c>
      <c r="AR1193">
        <f>$C1193*AR1192</f>
        <v/>
      </c>
      <c r="AS1193">
        <f>$C1193*AS1192</f>
        <v/>
      </c>
      <c r="AT1193">
        <f>$C1193*AT1192</f>
        <v/>
      </c>
      <c r="AU1193">
        <f>$C1193*AU1192</f>
        <v/>
      </c>
      <c r="AV1193">
        <f>$C1193*AV1192</f>
        <v/>
      </c>
      <c r="AW1193">
        <f>$C1193*AW1192</f>
        <v/>
      </c>
      <c r="AX1193">
        <f>$C1193*AX1192</f>
        <v/>
      </c>
      <c r="AY1193">
        <f>$C1193*AY1192</f>
        <v/>
      </c>
      <c r="AZ1193">
        <f>$C1193*AZ1192</f>
        <v/>
      </c>
      <c r="BA1193">
        <f>$C1193*BA1192</f>
        <v/>
      </c>
      <c r="BB1193">
        <f>$C1193*BB1192</f>
        <v/>
      </c>
      <c r="BC1193">
        <f>$C1193*BC1192</f>
        <v/>
      </c>
      <c r="BD1193">
        <f>$C1193*BD1192</f>
        <v/>
      </c>
      <c r="BE1193">
        <f>$C1193*BE1192</f>
        <v/>
      </c>
      <c r="BF1193">
        <f>$C1193*BF1192</f>
        <v/>
      </c>
      <c r="BG1193">
        <f>$C1193*BG1192</f>
        <v/>
      </c>
      <c r="BH1193">
        <f>$C1193*BH1192</f>
        <v/>
      </c>
      <c r="BI1193">
        <f>$C1193*BI1192</f>
        <v/>
      </c>
      <c r="BJ1193">
        <f>$C1193*BJ1192</f>
        <v/>
      </c>
      <c r="BK1193">
        <f>$C1193*BK1192</f>
        <v/>
      </c>
      <c r="BL1193">
        <f>$C1193*BL1192</f>
        <v/>
      </c>
      <c r="BM1193">
        <f>$C1193*BM1192</f>
        <v/>
      </c>
      <c r="BN1193">
        <f>$C1193*BN1192</f>
        <v/>
      </c>
      <c r="BO1193">
        <f>$C1193*BO1192</f>
        <v/>
      </c>
      <c r="BP1193">
        <f>$C1193*BP1192</f>
        <v/>
      </c>
      <c r="BQ1193">
        <f>$C1193*BQ1192</f>
        <v/>
      </c>
      <c r="BR1193">
        <f>$C1193*BR1192</f>
        <v/>
      </c>
      <c r="BS1193">
        <f>$C1193*BS1192</f>
        <v/>
      </c>
      <c r="BT1193">
        <f>$C1193*BT1192</f>
        <v/>
      </c>
      <c r="BU1193">
        <f>$C1193*BU1192</f>
        <v/>
      </c>
      <c r="BV1193">
        <f>$C1193*BV1192</f>
        <v/>
      </c>
      <c r="BW1193">
        <f>$C1193*BW1192</f>
        <v/>
      </c>
      <c r="BX1193">
        <f>$C1193*BX1192</f>
        <v/>
      </c>
      <c r="BY1193">
        <f>$C1193*BY1192</f>
        <v/>
      </c>
      <c r="BZ1193">
        <f>$C1193*BZ1192</f>
        <v/>
      </c>
      <c r="CA1193">
        <f>$C1193*CA1192</f>
        <v/>
      </c>
      <c r="CB1193">
        <f>$C1193*CB1192</f>
        <v/>
      </c>
      <c r="CC1193">
        <f>$C1193*CC1192</f>
        <v/>
      </c>
      <c r="CD1193">
        <f>$C1193*CD1192</f>
        <v/>
      </c>
      <c r="CE1193">
        <f>$C1193*CE1192</f>
        <v/>
      </c>
      <c r="CF1193">
        <f>$C1193*CF1192</f>
        <v/>
      </c>
      <c r="CG1193">
        <f>$C1193*CG1192</f>
        <v/>
      </c>
      <c r="CH1193">
        <f>$C1193*CH1192</f>
        <v/>
      </c>
      <c r="CI1193">
        <f>$C1193*CI1192</f>
        <v/>
      </c>
      <c r="CJ1193">
        <f>$C1193*CJ1192</f>
        <v/>
      </c>
      <c r="CK1193">
        <f>$C1193*CK1192</f>
        <v/>
      </c>
      <c r="CL1193">
        <f>$C1193*CL1192</f>
        <v/>
      </c>
      <c r="CM1193">
        <f>$C1193*CM1192</f>
        <v/>
      </c>
      <c r="CN1193">
        <f>$C1193*CN1192</f>
        <v/>
      </c>
      <c r="CO1193">
        <f>$C1193*CO1192</f>
        <v/>
      </c>
      <c r="CP1193">
        <f>$C1193*CP1192</f>
        <v/>
      </c>
      <c r="CQ1193">
        <f>$C1193*CQ1192</f>
        <v/>
      </c>
      <c r="CR1193">
        <f>$C1193*CR1192</f>
        <v/>
      </c>
      <c r="CS1193">
        <f>$C1193*CS1192</f>
        <v/>
      </c>
      <c r="CT1193">
        <f>$C1193*CT1192</f>
        <v/>
      </c>
      <c r="CU1193">
        <f>$C1193*CU1192</f>
        <v/>
      </c>
      <c r="CV1193">
        <f>$C1193*CV1192</f>
        <v/>
      </c>
      <c r="CW1193">
        <f>$C1193*CW1192</f>
        <v/>
      </c>
      <c r="CX1193">
        <f>$C1193*CX1192</f>
        <v/>
      </c>
      <c r="CY1193">
        <f>$C1193*CY1192</f>
        <v/>
      </c>
      <c r="CZ1193">
        <f>$C1193*CZ1192</f>
        <v/>
      </c>
      <c r="DA1193">
        <f>$C1193*DA1192</f>
        <v/>
      </c>
      <c r="DB1193">
        <f>$C1193*DB1192</f>
        <v/>
      </c>
      <c r="DC1193">
        <f>$C1193*DC1192</f>
        <v/>
      </c>
    </row>
    <row r="1194">
      <c r="B1194" t="inlineStr">
        <is>
          <t>TSP-934</t>
        </is>
      </c>
      <c r="C1194" t="inlineStr">
        <is>
          <t>No. of batches</t>
        </is>
      </c>
      <c r="D1194">
        <f>IFERROR(INDEX(PP_Grid[#Data],$DD1194,2),0)</f>
        <v/>
      </c>
      <c r="E1194">
        <f>IFERROR(INDEX(PP_Grid[#Data],$DD1194,3),0)</f>
        <v/>
      </c>
      <c r="F1194">
        <f>IFERROR(INDEX(PP_Grid[#Data],$DD1194,4),0)</f>
        <v/>
      </c>
      <c r="G1194">
        <f>IFERROR(INDEX(PP_Grid[#Data],$DD1194,5),0)</f>
        <v/>
      </c>
      <c r="H1194">
        <f>IFERROR(INDEX(PP_Grid[#Data],$DD1194,6),0)</f>
        <v/>
      </c>
      <c r="I1194">
        <f>IFERROR(INDEX(PP_Grid[#Data],$DD1194,7),0)</f>
        <v/>
      </c>
      <c r="J1194">
        <f>IFERROR(INDEX(PP_Grid[#Data],$DD1194,8),0)</f>
        <v/>
      </c>
      <c r="K1194">
        <f>IFERROR(INDEX(PP_Grid[#Data],$DD1194,9),0)</f>
        <v/>
      </c>
      <c r="L1194">
        <f>IFERROR(INDEX(PP_Grid[#Data],$DD1194,10),0)</f>
        <v/>
      </c>
      <c r="M1194">
        <f>IFERROR(INDEX(PP_Grid[#Data],$DD1194,11),0)</f>
        <v/>
      </c>
      <c r="N1194">
        <f>IFERROR(INDEX(PP_Grid[#Data],$DD1194,12),0)</f>
        <v/>
      </c>
      <c r="O1194">
        <f>IFERROR(INDEX(PP_Grid[#Data],$DD1194,13),0)</f>
        <v/>
      </c>
      <c r="P1194">
        <f>IFERROR(INDEX(PP_Grid[#Data],$DD1194,14),0)</f>
        <v/>
      </c>
      <c r="Q1194">
        <f>IFERROR(INDEX(PP_Grid[#Data],$DD1194,15),0)</f>
        <v/>
      </c>
      <c r="R1194">
        <f>IFERROR(INDEX(PP_Grid[#Data],$DD1194,16),0)</f>
        <v/>
      </c>
      <c r="S1194">
        <f>IFERROR(INDEX(PP_Grid[#Data],$DD1194,17),0)</f>
        <v/>
      </c>
      <c r="T1194">
        <f>IFERROR(INDEX(PP_Grid[#Data],$DD1194,18),0)</f>
        <v/>
      </c>
      <c r="U1194">
        <f>IFERROR(INDEX(PP_Grid[#Data],$DD1194,19),0)</f>
        <v/>
      </c>
      <c r="V1194">
        <f>IFERROR(INDEX(PP_Grid[#Data],$DD1194,20),0)</f>
        <v/>
      </c>
      <c r="W1194">
        <f>IFERROR(INDEX(PP_Grid[#Data],$DD1194,21),0)</f>
        <v/>
      </c>
      <c r="X1194">
        <f>IFERROR(INDEX(PP_Grid[#Data],$DD1194,22),0)</f>
        <v/>
      </c>
      <c r="Y1194">
        <f>IFERROR(INDEX(PP_Grid[#Data],$DD1194,23),0)</f>
        <v/>
      </c>
      <c r="Z1194">
        <f>IFERROR(INDEX(PP_Grid[#Data],$DD1194,24),0)</f>
        <v/>
      </c>
      <c r="AA1194">
        <f>IFERROR(INDEX(PP_Grid[#Data],$DD1194,25),0)</f>
        <v/>
      </c>
      <c r="AB1194">
        <f>IFERROR(INDEX(PP_Grid[#Data],$DD1194,26),0)</f>
        <v/>
      </c>
      <c r="AC1194">
        <f>IFERROR(INDEX(PP_Grid[#Data],$DD1194,27),0)</f>
        <v/>
      </c>
      <c r="AD1194">
        <f>IFERROR(INDEX(PP_Grid[#Data],$DD1194,28),0)</f>
        <v/>
      </c>
      <c r="AE1194">
        <f>IFERROR(INDEX(PP_Grid[#Data],$DD1194,29),0)</f>
        <v/>
      </c>
      <c r="AF1194">
        <f>IFERROR(INDEX(PP_Grid[#Data],$DD1194,30),0)</f>
        <v/>
      </c>
      <c r="AG1194">
        <f>IFERROR(INDEX(PP_Grid[#Data],$DD1194,31),0)</f>
        <v/>
      </c>
      <c r="AH1194">
        <f>IFERROR(INDEX(PP_Grid[#Data],$DD1194,32),0)</f>
        <v/>
      </c>
      <c r="AI1194">
        <f>IFERROR(INDEX(PP_Grid[#Data],$DD1194,33),0)</f>
        <v/>
      </c>
      <c r="AJ1194">
        <f>IFERROR(INDEX(PP_Grid[#Data],$DD1194,34),0)</f>
        <v/>
      </c>
      <c r="AK1194">
        <f>IFERROR(INDEX(PP_Grid[#Data],$DD1194,35),0)</f>
        <v/>
      </c>
      <c r="AL1194">
        <f>IFERROR(INDEX(PP_Grid[#Data],$DD1194,36),0)</f>
        <v/>
      </c>
      <c r="AM1194">
        <f>IFERROR(INDEX(PP_Grid[#Data],$DD1194,37),0)</f>
        <v/>
      </c>
      <c r="AN1194">
        <f>IFERROR(INDEX(PP_Grid[#Data],$DD1194,38),0)</f>
        <v/>
      </c>
      <c r="AO1194">
        <f>IFERROR(INDEX(PP_Grid[#Data],$DD1194,39),0)</f>
        <v/>
      </c>
      <c r="AP1194">
        <f>IFERROR(INDEX(PP_Grid[#Data],$DD1194,40),0)</f>
        <v/>
      </c>
      <c r="AQ1194">
        <f>IFERROR(INDEX(PP_Grid[#Data],$DD1194,41),0)</f>
        <v/>
      </c>
      <c r="AR1194">
        <f>IFERROR(INDEX(PP_Grid[#Data],$DD1194,42),0)</f>
        <v/>
      </c>
      <c r="AS1194">
        <f>IFERROR(INDEX(PP_Grid[#Data],$DD1194,43),0)</f>
        <v/>
      </c>
      <c r="AT1194">
        <f>IFERROR(INDEX(PP_Grid[#Data],$DD1194,44),0)</f>
        <v/>
      </c>
      <c r="AU1194">
        <f>IFERROR(INDEX(PP_Grid[#Data],$DD1194,45),0)</f>
        <v/>
      </c>
      <c r="AV1194">
        <f>IFERROR(INDEX(PP_Grid[#Data],$DD1194,46),0)</f>
        <v/>
      </c>
      <c r="AW1194">
        <f>IFERROR(INDEX(PP_Grid[#Data],$DD1194,47),0)</f>
        <v/>
      </c>
      <c r="AX1194">
        <f>IFERROR(INDEX(PP_Grid[#Data],$DD1194,48),0)</f>
        <v/>
      </c>
      <c r="AY1194">
        <f>IFERROR(INDEX(PP_Grid[#Data],$DD1194,49),0)</f>
        <v/>
      </c>
      <c r="AZ1194">
        <f>IFERROR(INDEX(PP_Grid[#Data],$DD1194,50),0)</f>
        <v/>
      </c>
      <c r="BA1194">
        <f>IFERROR(INDEX(PP_Grid[#Data],$DD1194,51),0)</f>
        <v/>
      </c>
      <c r="BB1194">
        <f>IFERROR(INDEX(PP_Grid[#Data],$DD1194,52),0)</f>
        <v/>
      </c>
      <c r="BC1194">
        <f>IFERROR(INDEX(PP_Grid[#Data],$DD1194,53),0)</f>
        <v/>
      </c>
      <c r="BD1194">
        <f>IFERROR(INDEX(PP_Grid[#Data],$DD1194,54),0)</f>
        <v/>
      </c>
      <c r="BE1194">
        <f>IFERROR(INDEX(PP_Grid[#Data],$DD1194,55),0)</f>
        <v/>
      </c>
      <c r="BF1194">
        <f>IFERROR(INDEX(PP_Grid[#Data],$DD1194,56),0)</f>
        <v/>
      </c>
      <c r="BG1194">
        <f>IFERROR(INDEX(PP_Grid[#Data],$DD1194,57),0)</f>
        <v/>
      </c>
      <c r="BH1194">
        <f>IFERROR(INDEX(PP_Grid[#Data],$DD1194,58),0)</f>
        <v/>
      </c>
      <c r="BI1194">
        <f>IFERROR(INDEX(PP_Grid[#Data],$DD1194,59),0)</f>
        <v/>
      </c>
      <c r="BJ1194">
        <f>IFERROR(INDEX(PP_Grid[#Data],$DD1194,60),0)</f>
        <v/>
      </c>
      <c r="BK1194">
        <f>IFERROR(INDEX(PP_Grid[#Data],$DD1194,61),0)</f>
        <v/>
      </c>
      <c r="BL1194">
        <f>IFERROR(INDEX(PP_Grid[#Data],$DD1194,62),0)</f>
        <v/>
      </c>
      <c r="BM1194">
        <f>IFERROR(INDEX(PP_Grid[#Data],$DD1194,63),0)</f>
        <v/>
      </c>
      <c r="BN1194">
        <f>IFERROR(INDEX(PP_Grid[#Data],$DD1194,64),0)</f>
        <v/>
      </c>
      <c r="BO1194">
        <f>IFERROR(INDEX(PP_Grid[#Data],$DD1194,65),0)</f>
        <v/>
      </c>
      <c r="BP1194">
        <f>IFERROR(INDEX(PP_Grid[#Data],$DD1194,66),0)</f>
        <v/>
      </c>
      <c r="BQ1194">
        <f>IFERROR(INDEX(PP_Grid[#Data],$DD1194,67),0)</f>
        <v/>
      </c>
      <c r="BR1194">
        <f>IFERROR(INDEX(PP_Grid[#Data],$DD1194,68),0)</f>
        <v/>
      </c>
      <c r="BS1194">
        <f>IFERROR(INDEX(PP_Grid[#Data],$DD1194,69),0)</f>
        <v/>
      </c>
      <c r="BT1194">
        <f>IFERROR(INDEX(PP_Grid[#Data],$DD1194,70),0)</f>
        <v/>
      </c>
      <c r="BU1194">
        <f>IFERROR(INDEX(PP_Grid[#Data],$DD1194,71),0)</f>
        <v/>
      </c>
      <c r="BV1194">
        <f>IFERROR(INDEX(PP_Grid[#Data],$DD1194,72),0)</f>
        <v/>
      </c>
      <c r="BW1194">
        <f>IFERROR(INDEX(PP_Grid[#Data],$DD1194,73),0)</f>
        <v/>
      </c>
      <c r="BX1194">
        <f>IFERROR(INDEX(PP_Grid[#Data],$DD1194,74),0)</f>
        <v/>
      </c>
      <c r="BY1194">
        <f>IFERROR(INDEX(PP_Grid[#Data],$DD1194,75),0)</f>
        <v/>
      </c>
      <c r="BZ1194">
        <f>IFERROR(INDEX(PP_Grid[#Data],$DD1194,76),0)</f>
        <v/>
      </c>
      <c r="CA1194">
        <f>IFERROR(INDEX(PP_Grid[#Data],$DD1194,77),0)</f>
        <v/>
      </c>
      <c r="CB1194">
        <f>IFERROR(INDEX(PP_Grid[#Data],$DD1194,78),0)</f>
        <v/>
      </c>
      <c r="CC1194">
        <f>IFERROR(INDEX(PP_Grid[#Data],$DD1194,79),0)</f>
        <v/>
      </c>
      <c r="CD1194">
        <f>IFERROR(INDEX(PP_Grid[#Data],$DD1194,80),0)</f>
        <v/>
      </c>
      <c r="CE1194">
        <f>IFERROR(INDEX(PP_Grid[#Data],$DD1194,81),0)</f>
        <v/>
      </c>
      <c r="CF1194">
        <f>IFERROR(INDEX(PP_Grid[#Data],$DD1194,82),0)</f>
        <v/>
      </c>
      <c r="CG1194">
        <f>IFERROR(INDEX(PP_Grid[#Data],$DD1194,83),0)</f>
        <v/>
      </c>
      <c r="CH1194">
        <f>IFERROR(INDEX(PP_Grid[#Data],$DD1194,84),0)</f>
        <v/>
      </c>
      <c r="CI1194">
        <f>IFERROR(INDEX(PP_Grid[#Data],$DD1194,85),0)</f>
        <v/>
      </c>
      <c r="CJ1194">
        <f>IFERROR(INDEX(PP_Grid[#Data],$DD1194,86),0)</f>
        <v/>
      </c>
      <c r="CK1194">
        <f>IFERROR(INDEX(PP_Grid[#Data],$DD1194,87),0)</f>
        <v/>
      </c>
      <c r="CL1194">
        <f>IFERROR(INDEX(PP_Grid[#Data],$DD1194,88),0)</f>
        <v/>
      </c>
      <c r="CM1194">
        <f>IFERROR(INDEX(PP_Grid[#Data],$DD1194,89),0)</f>
        <v/>
      </c>
      <c r="CN1194">
        <f>IFERROR(INDEX(PP_Grid[#Data],$DD1194,90),0)</f>
        <v/>
      </c>
      <c r="CO1194">
        <f>IFERROR(INDEX(PP_Grid[#Data],$DD1194,91),0)</f>
        <v/>
      </c>
      <c r="CP1194">
        <f>IFERROR(INDEX(PP_Grid[#Data],$DD1194,92),0)</f>
        <v/>
      </c>
      <c r="CQ1194">
        <f>IFERROR(INDEX(PP_Grid[#Data],$DD1194,93),0)</f>
        <v/>
      </c>
      <c r="CR1194">
        <f>IFERROR(INDEX(PP_Grid[#Data],$DD1194,94),0)</f>
        <v/>
      </c>
      <c r="CS1194">
        <f>IFERROR(INDEX(PP_Grid[#Data],$DD1194,95),0)</f>
        <v/>
      </c>
      <c r="CT1194">
        <f>IFERROR(INDEX(PP_Grid[#Data],$DD1194,96),0)</f>
        <v/>
      </c>
      <c r="CU1194">
        <f>IFERROR(INDEX(PP_Grid[#Data],$DD1194,97),0)</f>
        <v/>
      </c>
      <c r="CV1194">
        <f>IFERROR(INDEX(PP_Grid[#Data],$DD1194,98),0)</f>
        <v/>
      </c>
      <c r="CW1194">
        <f>IFERROR(INDEX(PP_Grid[#Data],$DD1194,99),0)</f>
        <v/>
      </c>
      <c r="CX1194">
        <f>IFERROR(INDEX(PP_Grid[#Data],$DD1194,100),0)</f>
        <v/>
      </c>
      <c r="CY1194">
        <f>IFERROR(INDEX(PP_Grid[#Data],$DD1194,101),0)</f>
        <v/>
      </c>
      <c r="CZ1194">
        <f>IFERROR(INDEX(PP_Grid[#Data],$DD1194,102),0)</f>
        <v/>
      </c>
      <c r="DA1194">
        <f>IFERROR(INDEX(PP_Grid[#Data],$DD1194,103),0)</f>
        <v/>
      </c>
      <c r="DB1194">
        <f>IFERROR(INDEX(PP_Grid[#Data],$DD1194,104),0)</f>
        <v/>
      </c>
      <c r="DC1194">
        <f>IFERROR(INDEX(PP_Grid[#Data],$DD1194,105),0)</f>
        <v/>
      </c>
      <c r="DD1194" s="12">
        <f>IFERROR(MATCH($B1194,PP_Grid[Intermediate],0),99999)</f>
        <v/>
      </c>
    </row>
    <row r="1195">
      <c r="B1195" t="inlineStr">
        <is>
          <t>使用量(kg)</t>
        </is>
      </c>
      <c r="C1195">
        <f>SUMIFS(M_BOM[RM_Qty_Per_Batch],M_BOM[Intermediate],$B1194,M_BOM[Part Name],$A1179)</f>
        <v/>
      </c>
      <c r="D1195">
        <f>$C1195*D1194</f>
        <v/>
      </c>
      <c r="E1195">
        <f>$C1195*E1194</f>
        <v/>
      </c>
      <c r="F1195">
        <f>$C1195*F1194</f>
        <v/>
      </c>
      <c r="G1195">
        <f>$C1195*G1194</f>
        <v/>
      </c>
      <c r="H1195">
        <f>$C1195*H1194</f>
        <v/>
      </c>
      <c r="I1195">
        <f>$C1195*I1194</f>
        <v/>
      </c>
      <c r="J1195">
        <f>$C1195*J1194</f>
        <v/>
      </c>
      <c r="K1195">
        <f>$C1195*K1194</f>
        <v/>
      </c>
      <c r="L1195">
        <f>$C1195*L1194</f>
        <v/>
      </c>
      <c r="M1195">
        <f>$C1195*M1194</f>
        <v/>
      </c>
      <c r="N1195">
        <f>$C1195*N1194</f>
        <v/>
      </c>
      <c r="O1195">
        <f>$C1195*O1194</f>
        <v/>
      </c>
      <c r="P1195">
        <f>$C1195*P1194</f>
        <v/>
      </c>
      <c r="Q1195">
        <f>$C1195*Q1194</f>
        <v/>
      </c>
      <c r="R1195">
        <f>$C1195*R1194</f>
        <v/>
      </c>
      <c r="S1195">
        <f>$C1195*S1194</f>
        <v/>
      </c>
      <c r="T1195">
        <f>$C1195*T1194</f>
        <v/>
      </c>
      <c r="U1195">
        <f>$C1195*U1194</f>
        <v/>
      </c>
      <c r="V1195">
        <f>$C1195*V1194</f>
        <v/>
      </c>
      <c r="W1195">
        <f>$C1195*W1194</f>
        <v/>
      </c>
      <c r="X1195">
        <f>$C1195*X1194</f>
        <v/>
      </c>
      <c r="Y1195">
        <f>$C1195*Y1194</f>
        <v/>
      </c>
      <c r="Z1195">
        <f>$C1195*Z1194</f>
        <v/>
      </c>
      <c r="AA1195">
        <f>$C1195*AA1194</f>
        <v/>
      </c>
      <c r="AB1195">
        <f>$C1195*AB1194</f>
        <v/>
      </c>
      <c r="AC1195">
        <f>$C1195*AC1194</f>
        <v/>
      </c>
      <c r="AD1195">
        <f>$C1195*AD1194</f>
        <v/>
      </c>
      <c r="AE1195">
        <f>$C1195*AE1194</f>
        <v/>
      </c>
      <c r="AF1195">
        <f>$C1195*AF1194</f>
        <v/>
      </c>
      <c r="AG1195">
        <f>$C1195*AG1194</f>
        <v/>
      </c>
      <c r="AH1195">
        <f>$C1195*AH1194</f>
        <v/>
      </c>
      <c r="AI1195">
        <f>$C1195*AI1194</f>
        <v/>
      </c>
      <c r="AJ1195">
        <f>$C1195*AJ1194</f>
        <v/>
      </c>
      <c r="AK1195">
        <f>$C1195*AK1194</f>
        <v/>
      </c>
      <c r="AL1195">
        <f>$C1195*AL1194</f>
        <v/>
      </c>
      <c r="AM1195">
        <f>$C1195*AM1194</f>
        <v/>
      </c>
      <c r="AN1195">
        <f>$C1195*AN1194</f>
        <v/>
      </c>
      <c r="AO1195">
        <f>$C1195*AO1194</f>
        <v/>
      </c>
      <c r="AP1195">
        <f>$C1195*AP1194</f>
        <v/>
      </c>
      <c r="AQ1195">
        <f>$C1195*AQ1194</f>
        <v/>
      </c>
      <c r="AR1195">
        <f>$C1195*AR1194</f>
        <v/>
      </c>
      <c r="AS1195">
        <f>$C1195*AS1194</f>
        <v/>
      </c>
      <c r="AT1195">
        <f>$C1195*AT1194</f>
        <v/>
      </c>
      <c r="AU1195">
        <f>$C1195*AU1194</f>
        <v/>
      </c>
      <c r="AV1195">
        <f>$C1195*AV1194</f>
        <v/>
      </c>
      <c r="AW1195">
        <f>$C1195*AW1194</f>
        <v/>
      </c>
      <c r="AX1195">
        <f>$C1195*AX1194</f>
        <v/>
      </c>
      <c r="AY1195">
        <f>$C1195*AY1194</f>
        <v/>
      </c>
      <c r="AZ1195">
        <f>$C1195*AZ1194</f>
        <v/>
      </c>
      <c r="BA1195">
        <f>$C1195*BA1194</f>
        <v/>
      </c>
      <c r="BB1195">
        <f>$C1195*BB1194</f>
        <v/>
      </c>
      <c r="BC1195">
        <f>$C1195*BC1194</f>
        <v/>
      </c>
      <c r="BD1195">
        <f>$C1195*BD1194</f>
        <v/>
      </c>
      <c r="BE1195">
        <f>$C1195*BE1194</f>
        <v/>
      </c>
      <c r="BF1195">
        <f>$C1195*BF1194</f>
        <v/>
      </c>
      <c r="BG1195">
        <f>$C1195*BG1194</f>
        <v/>
      </c>
      <c r="BH1195">
        <f>$C1195*BH1194</f>
        <v/>
      </c>
      <c r="BI1195">
        <f>$C1195*BI1194</f>
        <v/>
      </c>
      <c r="BJ1195">
        <f>$C1195*BJ1194</f>
        <v/>
      </c>
      <c r="BK1195">
        <f>$C1195*BK1194</f>
        <v/>
      </c>
      <c r="BL1195">
        <f>$C1195*BL1194</f>
        <v/>
      </c>
      <c r="BM1195">
        <f>$C1195*BM1194</f>
        <v/>
      </c>
      <c r="BN1195">
        <f>$C1195*BN1194</f>
        <v/>
      </c>
      <c r="BO1195">
        <f>$C1195*BO1194</f>
        <v/>
      </c>
      <c r="BP1195">
        <f>$C1195*BP1194</f>
        <v/>
      </c>
      <c r="BQ1195">
        <f>$C1195*BQ1194</f>
        <v/>
      </c>
      <c r="BR1195">
        <f>$C1195*BR1194</f>
        <v/>
      </c>
      <c r="BS1195">
        <f>$C1195*BS1194</f>
        <v/>
      </c>
      <c r="BT1195">
        <f>$C1195*BT1194</f>
        <v/>
      </c>
      <c r="BU1195">
        <f>$C1195*BU1194</f>
        <v/>
      </c>
      <c r="BV1195">
        <f>$C1195*BV1194</f>
        <v/>
      </c>
      <c r="BW1195">
        <f>$C1195*BW1194</f>
        <v/>
      </c>
      <c r="BX1195">
        <f>$C1195*BX1194</f>
        <v/>
      </c>
      <c r="BY1195">
        <f>$C1195*BY1194</f>
        <v/>
      </c>
      <c r="BZ1195">
        <f>$C1195*BZ1194</f>
        <v/>
      </c>
      <c r="CA1195">
        <f>$C1195*CA1194</f>
        <v/>
      </c>
      <c r="CB1195">
        <f>$C1195*CB1194</f>
        <v/>
      </c>
      <c r="CC1195">
        <f>$C1195*CC1194</f>
        <v/>
      </c>
      <c r="CD1195">
        <f>$C1195*CD1194</f>
        <v/>
      </c>
      <c r="CE1195">
        <f>$C1195*CE1194</f>
        <v/>
      </c>
      <c r="CF1195">
        <f>$C1195*CF1194</f>
        <v/>
      </c>
      <c r="CG1195">
        <f>$C1195*CG1194</f>
        <v/>
      </c>
      <c r="CH1195">
        <f>$C1195*CH1194</f>
        <v/>
      </c>
      <c r="CI1195">
        <f>$C1195*CI1194</f>
        <v/>
      </c>
      <c r="CJ1195">
        <f>$C1195*CJ1194</f>
        <v/>
      </c>
      <c r="CK1195">
        <f>$C1195*CK1194</f>
        <v/>
      </c>
      <c r="CL1195">
        <f>$C1195*CL1194</f>
        <v/>
      </c>
      <c r="CM1195">
        <f>$C1195*CM1194</f>
        <v/>
      </c>
      <c r="CN1195">
        <f>$C1195*CN1194</f>
        <v/>
      </c>
      <c r="CO1195">
        <f>$C1195*CO1194</f>
        <v/>
      </c>
      <c r="CP1195">
        <f>$C1195*CP1194</f>
        <v/>
      </c>
      <c r="CQ1195">
        <f>$C1195*CQ1194</f>
        <v/>
      </c>
      <c r="CR1195">
        <f>$C1195*CR1194</f>
        <v/>
      </c>
      <c r="CS1195">
        <f>$C1195*CS1194</f>
        <v/>
      </c>
      <c r="CT1195">
        <f>$C1195*CT1194</f>
        <v/>
      </c>
      <c r="CU1195">
        <f>$C1195*CU1194</f>
        <v/>
      </c>
      <c r="CV1195">
        <f>$C1195*CV1194</f>
        <v/>
      </c>
      <c r="CW1195">
        <f>$C1195*CW1194</f>
        <v/>
      </c>
      <c r="CX1195">
        <f>$C1195*CX1194</f>
        <v/>
      </c>
      <c r="CY1195">
        <f>$C1195*CY1194</f>
        <v/>
      </c>
      <c r="CZ1195">
        <f>$C1195*CZ1194</f>
        <v/>
      </c>
      <c r="DA1195">
        <f>$C1195*DA1194</f>
        <v/>
      </c>
      <c r="DB1195">
        <f>$C1195*DB1194</f>
        <v/>
      </c>
      <c r="DC1195">
        <f>$C1195*DC1194</f>
        <v/>
      </c>
    </row>
    <row r="1196">
      <c r="B1196" t="inlineStr">
        <is>
          <t>TSP-935</t>
        </is>
      </c>
      <c r="C1196" t="inlineStr">
        <is>
          <t>No. of batches</t>
        </is>
      </c>
      <c r="D1196">
        <f>IFERROR(INDEX(PP_Grid[#Data],$DD1196,2),0)</f>
        <v/>
      </c>
      <c r="E1196">
        <f>IFERROR(INDEX(PP_Grid[#Data],$DD1196,3),0)</f>
        <v/>
      </c>
      <c r="F1196">
        <f>IFERROR(INDEX(PP_Grid[#Data],$DD1196,4),0)</f>
        <v/>
      </c>
      <c r="G1196">
        <f>IFERROR(INDEX(PP_Grid[#Data],$DD1196,5),0)</f>
        <v/>
      </c>
      <c r="H1196">
        <f>IFERROR(INDEX(PP_Grid[#Data],$DD1196,6),0)</f>
        <v/>
      </c>
      <c r="I1196">
        <f>IFERROR(INDEX(PP_Grid[#Data],$DD1196,7),0)</f>
        <v/>
      </c>
      <c r="J1196">
        <f>IFERROR(INDEX(PP_Grid[#Data],$DD1196,8),0)</f>
        <v/>
      </c>
      <c r="K1196">
        <f>IFERROR(INDEX(PP_Grid[#Data],$DD1196,9),0)</f>
        <v/>
      </c>
      <c r="L1196">
        <f>IFERROR(INDEX(PP_Grid[#Data],$DD1196,10),0)</f>
        <v/>
      </c>
      <c r="M1196">
        <f>IFERROR(INDEX(PP_Grid[#Data],$DD1196,11),0)</f>
        <v/>
      </c>
      <c r="N1196">
        <f>IFERROR(INDEX(PP_Grid[#Data],$DD1196,12),0)</f>
        <v/>
      </c>
      <c r="O1196">
        <f>IFERROR(INDEX(PP_Grid[#Data],$DD1196,13),0)</f>
        <v/>
      </c>
      <c r="P1196">
        <f>IFERROR(INDEX(PP_Grid[#Data],$DD1196,14),0)</f>
        <v/>
      </c>
      <c r="Q1196">
        <f>IFERROR(INDEX(PP_Grid[#Data],$DD1196,15),0)</f>
        <v/>
      </c>
      <c r="R1196">
        <f>IFERROR(INDEX(PP_Grid[#Data],$DD1196,16),0)</f>
        <v/>
      </c>
      <c r="S1196">
        <f>IFERROR(INDEX(PP_Grid[#Data],$DD1196,17),0)</f>
        <v/>
      </c>
      <c r="T1196">
        <f>IFERROR(INDEX(PP_Grid[#Data],$DD1196,18),0)</f>
        <v/>
      </c>
      <c r="U1196">
        <f>IFERROR(INDEX(PP_Grid[#Data],$DD1196,19),0)</f>
        <v/>
      </c>
      <c r="V1196">
        <f>IFERROR(INDEX(PP_Grid[#Data],$DD1196,20),0)</f>
        <v/>
      </c>
      <c r="W1196">
        <f>IFERROR(INDEX(PP_Grid[#Data],$DD1196,21),0)</f>
        <v/>
      </c>
      <c r="X1196">
        <f>IFERROR(INDEX(PP_Grid[#Data],$DD1196,22),0)</f>
        <v/>
      </c>
      <c r="Y1196">
        <f>IFERROR(INDEX(PP_Grid[#Data],$DD1196,23),0)</f>
        <v/>
      </c>
      <c r="Z1196">
        <f>IFERROR(INDEX(PP_Grid[#Data],$DD1196,24),0)</f>
        <v/>
      </c>
      <c r="AA1196">
        <f>IFERROR(INDEX(PP_Grid[#Data],$DD1196,25),0)</f>
        <v/>
      </c>
      <c r="AB1196">
        <f>IFERROR(INDEX(PP_Grid[#Data],$DD1196,26),0)</f>
        <v/>
      </c>
      <c r="AC1196">
        <f>IFERROR(INDEX(PP_Grid[#Data],$DD1196,27),0)</f>
        <v/>
      </c>
      <c r="AD1196">
        <f>IFERROR(INDEX(PP_Grid[#Data],$DD1196,28),0)</f>
        <v/>
      </c>
      <c r="AE1196">
        <f>IFERROR(INDEX(PP_Grid[#Data],$DD1196,29),0)</f>
        <v/>
      </c>
      <c r="AF1196">
        <f>IFERROR(INDEX(PP_Grid[#Data],$DD1196,30),0)</f>
        <v/>
      </c>
      <c r="AG1196">
        <f>IFERROR(INDEX(PP_Grid[#Data],$DD1196,31),0)</f>
        <v/>
      </c>
      <c r="AH1196">
        <f>IFERROR(INDEX(PP_Grid[#Data],$DD1196,32),0)</f>
        <v/>
      </c>
      <c r="AI1196">
        <f>IFERROR(INDEX(PP_Grid[#Data],$DD1196,33),0)</f>
        <v/>
      </c>
      <c r="AJ1196">
        <f>IFERROR(INDEX(PP_Grid[#Data],$DD1196,34),0)</f>
        <v/>
      </c>
      <c r="AK1196">
        <f>IFERROR(INDEX(PP_Grid[#Data],$DD1196,35),0)</f>
        <v/>
      </c>
      <c r="AL1196">
        <f>IFERROR(INDEX(PP_Grid[#Data],$DD1196,36),0)</f>
        <v/>
      </c>
      <c r="AM1196">
        <f>IFERROR(INDEX(PP_Grid[#Data],$DD1196,37),0)</f>
        <v/>
      </c>
      <c r="AN1196">
        <f>IFERROR(INDEX(PP_Grid[#Data],$DD1196,38),0)</f>
        <v/>
      </c>
      <c r="AO1196">
        <f>IFERROR(INDEX(PP_Grid[#Data],$DD1196,39),0)</f>
        <v/>
      </c>
      <c r="AP1196">
        <f>IFERROR(INDEX(PP_Grid[#Data],$DD1196,40),0)</f>
        <v/>
      </c>
      <c r="AQ1196">
        <f>IFERROR(INDEX(PP_Grid[#Data],$DD1196,41),0)</f>
        <v/>
      </c>
      <c r="AR1196">
        <f>IFERROR(INDEX(PP_Grid[#Data],$DD1196,42),0)</f>
        <v/>
      </c>
      <c r="AS1196">
        <f>IFERROR(INDEX(PP_Grid[#Data],$DD1196,43),0)</f>
        <v/>
      </c>
      <c r="AT1196">
        <f>IFERROR(INDEX(PP_Grid[#Data],$DD1196,44),0)</f>
        <v/>
      </c>
      <c r="AU1196">
        <f>IFERROR(INDEX(PP_Grid[#Data],$DD1196,45),0)</f>
        <v/>
      </c>
      <c r="AV1196">
        <f>IFERROR(INDEX(PP_Grid[#Data],$DD1196,46),0)</f>
        <v/>
      </c>
      <c r="AW1196">
        <f>IFERROR(INDEX(PP_Grid[#Data],$DD1196,47),0)</f>
        <v/>
      </c>
      <c r="AX1196">
        <f>IFERROR(INDEX(PP_Grid[#Data],$DD1196,48),0)</f>
        <v/>
      </c>
      <c r="AY1196">
        <f>IFERROR(INDEX(PP_Grid[#Data],$DD1196,49),0)</f>
        <v/>
      </c>
      <c r="AZ1196">
        <f>IFERROR(INDEX(PP_Grid[#Data],$DD1196,50),0)</f>
        <v/>
      </c>
      <c r="BA1196">
        <f>IFERROR(INDEX(PP_Grid[#Data],$DD1196,51),0)</f>
        <v/>
      </c>
      <c r="BB1196">
        <f>IFERROR(INDEX(PP_Grid[#Data],$DD1196,52),0)</f>
        <v/>
      </c>
      <c r="BC1196">
        <f>IFERROR(INDEX(PP_Grid[#Data],$DD1196,53),0)</f>
        <v/>
      </c>
      <c r="BD1196">
        <f>IFERROR(INDEX(PP_Grid[#Data],$DD1196,54),0)</f>
        <v/>
      </c>
      <c r="BE1196">
        <f>IFERROR(INDEX(PP_Grid[#Data],$DD1196,55),0)</f>
        <v/>
      </c>
      <c r="BF1196">
        <f>IFERROR(INDEX(PP_Grid[#Data],$DD1196,56),0)</f>
        <v/>
      </c>
      <c r="BG1196">
        <f>IFERROR(INDEX(PP_Grid[#Data],$DD1196,57),0)</f>
        <v/>
      </c>
      <c r="BH1196">
        <f>IFERROR(INDEX(PP_Grid[#Data],$DD1196,58),0)</f>
        <v/>
      </c>
      <c r="BI1196">
        <f>IFERROR(INDEX(PP_Grid[#Data],$DD1196,59),0)</f>
        <v/>
      </c>
      <c r="BJ1196">
        <f>IFERROR(INDEX(PP_Grid[#Data],$DD1196,60),0)</f>
        <v/>
      </c>
      <c r="BK1196">
        <f>IFERROR(INDEX(PP_Grid[#Data],$DD1196,61),0)</f>
        <v/>
      </c>
      <c r="BL1196">
        <f>IFERROR(INDEX(PP_Grid[#Data],$DD1196,62),0)</f>
        <v/>
      </c>
      <c r="BM1196">
        <f>IFERROR(INDEX(PP_Grid[#Data],$DD1196,63),0)</f>
        <v/>
      </c>
      <c r="BN1196">
        <f>IFERROR(INDEX(PP_Grid[#Data],$DD1196,64),0)</f>
        <v/>
      </c>
      <c r="BO1196">
        <f>IFERROR(INDEX(PP_Grid[#Data],$DD1196,65),0)</f>
        <v/>
      </c>
      <c r="BP1196">
        <f>IFERROR(INDEX(PP_Grid[#Data],$DD1196,66),0)</f>
        <v/>
      </c>
      <c r="BQ1196">
        <f>IFERROR(INDEX(PP_Grid[#Data],$DD1196,67),0)</f>
        <v/>
      </c>
      <c r="BR1196">
        <f>IFERROR(INDEX(PP_Grid[#Data],$DD1196,68),0)</f>
        <v/>
      </c>
      <c r="BS1196">
        <f>IFERROR(INDEX(PP_Grid[#Data],$DD1196,69),0)</f>
        <v/>
      </c>
      <c r="BT1196">
        <f>IFERROR(INDEX(PP_Grid[#Data],$DD1196,70),0)</f>
        <v/>
      </c>
      <c r="BU1196">
        <f>IFERROR(INDEX(PP_Grid[#Data],$DD1196,71),0)</f>
        <v/>
      </c>
      <c r="BV1196">
        <f>IFERROR(INDEX(PP_Grid[#Data],$DD1196,72),0)</f>
        <v/>
      </c>
      <c r="BW1196">
        <f>IFERROR(INDEX(PP_Grid[#Data],$DD1196,73),0)</f>
        <v/>
      </c>
      <c r="BX1196">
        <f>IFERROR(INDEX(PP_Grid[#Data],$DD1196,74),0)</f>
        <v/>
      </c>
      <c r="BY1196">
        <f>IFERROR(INDEX(PP_Grid[#Data],$DD1196,75),0)</f>
        <v/>
      </c>
      <c r="BZ1196">
        <f>IFERROR(INDEX(PP_Grid[#Data],$DD1196,76),0)</f>
        <v/>
      </c>
      <c r="CA1196">
        <f>IFERROR(INDEX(PP_Grid[#Data],$DD1196,77),0)</f>
        <v/>
      </c>
      <c r="CB1196">
        <f>IFERROR(INDEX(PP_Grid[#Data],$DD1196,78),0)</f>
        <v/>
      </c>
      <c r="CC1196">
        <f>IFERROR(INDEX(PP_Grid[#Data],$DD1196,79),0)</f>
        <v/>
      </c>
      <c r="CD1196">
        <f>IFERROR(INDEX(PP_Grid[#Data],$DD1196,80),0)</f>
        <v/>
      </c>
      <c r="CE1196">
        <f>IFERROR(INDEX(PP_Grid[#Data],$DD1196,81),0)</f>
        <v/>
      </c>
      <c r="CF1196">
        <f>IFERROR(INDEX(PP_Grid[#Data],$DD1196,82),0)</f>
        <v/>
      </c>
      <c r="CG1196">
        <f>IFERROR(INDEX(PP_Grid[#Data],$DD1196,83),0)</f>
        <v/>
      </c>
      <c r="CH1196">
        <f>IFERROR(INDEX(PP_Grid[#Data],$DD1196,84),0)</f>
        <v/>
      </c>
      <c r="CI1196">
        <f>IFERROR(INDEX(PP_Grid[#Data],$DD1196,85),0)</f>
        <v/>
      </c>
      <c r="CJ1196">
        <f>IFERROR(INDEX(PP_Grid[#Data],$DD1196,86),0)</f>
        <v/>
      </c>
      <c r="CK1196">
        <f>IFERROR(INDEX(PP_Grid[#Data],$DD1196,87),0)</f>
        <v/>
      </c>
      <c r="CL1196">
        <f>IFERROR(INDEX(PP_Grid[#Data],$DD1196,88),0)</f>
        <v/>
      </c>
      <c r="CM1196">
        <f>IFERROR(INDEX(PP_Grid[#Data],$DD1196,89),0)</f>
        <v/>
      </c>
      <c r="CN1196">
        <f>IFERROR(INDEX(PP_Grid[#Data],$DD1196,90),0)</f>
        <v/>
      </c>
      <c r="CO1196">
        <f>IFERROR(INDEX(PP_Grid[#Data],$DD1196,91),0)</f>
        <v/>
      </c>
      <c r="CP1196">
        <f>IFERROR(INDEX(PP_Grid[#Data],$DD1196,92),0)</f>
        <v/>
      </c>
      <c r="CQ1196">
        <f>IFERROR(INDEX(PP_Grid[#Data],$DD1196,93),0)</f>
        <v/>
      </c>
      <c r="CR1196">
        <f>IFERROR(INDEX(PP_Grid[#Data],$DD1196,94),0)</f>
        <v/>
      </c>
      <c r="CS1196">
        <f>IFERROR(INDEX(PP_Grid[#Data],$DD1196,95),0)</f>
        <v/>
      </c>
      <c r="CT1196">
        <f>IFERROR(INDEX(PP_Grid[#Data],$DD1196,96),0)</f>
        <v/>
      </c>
      <c r="CU1196">
        <f>IFERROR(INDEX(PP_Grid[#Data],$DD1196,97),0)</f>
        <v/>
      </c>
      <c r="CV1196">
        <f>IFERROR(INDEX(PP_Grid[#Data],$DD1196,98),0)</f>
        <v/>
      </c>
      <c r="CW1196">
        <f>IFERROR(INDEX(PP_Grid[#Data],$DD1196,99),0)</f>
        <v/>
      </c>
      <c r="CX1196">
        <f>IFERROR(INDEX(PP_Grid[#Data],$DD1196,100),0)</f>
        <v/>
      </c>
      <c r="CY1196">
        <f>IFERROR(INDEX(PP_Grid[#Data],$DD1196,101),0)</f>
        <v/>
      </c>
      <c r="CZ1196">
        <f>IFERROR(INDEX(PP_Grid[#Data],$DD1196,102),0)</f>
        <v/>
      </c>
      <c r="DA1196">
        <f>IFERROR(INDEX(PP_Grid[#Data],$DD1196,103),0)</f>
        <v/>
      </c>
      <c r="DB1196">
        <f>IFERROR(INDEX(PP_Grid[#Data],$DD1196,104),0)</f>
        <v/>
      </c>
      <c r="DC1196">
        <f>IFERROR(INDEX(PP_Grid[#Data],$DD1196,105),0)</f>
        <v/>
      </c>
      <c r="DD1196" s="12">
        <f>IFERROR(MATCH($B1196,PP_Grid[Intermediate],0),99999)</f>
        <v/>
      </c>
    </row>
    <row r="1197">
      <c r="B1197" t="inlineStr">
        <is>
          <t>使用量(kg)</t>
        </is>
      </c>
      <c r="C1197">
        <f>SUMIFS(M_BOM[RM_Qty_Per_Batch],M_BOM[Intermediate],$B1196,M_BOM[Part Name],$A1179)</f>
        <v/>
      </c>
      <c r="D1197">
        <f>$C1197*D1196</f>
        <v/>
      </c>
      <c r="E1197">
        <f>$C1197*E1196</f>
        <v/>
      </c>
      <c r="F1197">
        <f>$C1197*F1196</f>
        <v/>
      </c>
      <c r="G1197">
        <f>$C1197*G1196</f>
        <v/>
      </c>
      <c r="H1197">
        <f>$C1197*H1196</f>
        <v/>
      </c>
      <c r="I1197">
        <f>$C1197*I1196</f>
        <v/>
      </c>
      <c r="J1197">
        <f>$C1197*J1196</f>
        <v/>
      </c>
      <c r="K1197">
        <f>$C1197*K1196</f>
        <v/>
      </c>
      <c r="L1197">
        <f>$C1197*L1196</f>
        <v/>
      </c>
      <c r="M1197">
        <f>$C1197*M1196</f>
        <v/>
      </c>
      <c r="N1197">
        <f>$C1197*N1196</f>
        <v/>
      </c>
      <c r="O1197">
        <f>$C1197*O1196</f>
        <v/>
      </c>
      <c r="P1197">
        <f>$C1197*P1196</f>
        <v/>
      </c>
      <c r="Q1197">
        <f>$C1197*Q1196</f>
        <v/>
      </c>
      <c r="R1197">
        <f>$C1197*R1196</f>
        <v/>
      </c>
      <c r="S1197">
        <f>$C1197*S1196</f>
        <v/>
      </c>
      <c r="T1197">
        <f>$C1197*T1196</f>
        <v/>
      </c>
      <c r="U1197">
        <f>$C1197*U1196</f>
        <v/>
      </c>
      <c r="V1197">
        <f>$C1197*V1196</f>
        <v/>
      </c>
      <c r="W1197">
        <f>$C1197*W1196</f>
        <v/>
      </c>
      <c r="X1197">
        <f>$C1197*X1196</f>
        <v/>
      </c>
      <c r="Y1197">
        <f>$C1197*Y1196</f>
        <v/>
      </c>
      <c r="Z1197">
        <f>$C1197*Z1196</f>
        <v/>
      </c>
      <c r="AA1197">
        <f>$C1197*AA1196</f>
        <v/>
      </c>
      <c r="AB1197">
        <f>$C1197*AB1196</f>
        <v/>
      </c>
      <c r="AC1197">
        <f>$C1197*AC1196</f>
        <v/>
      </c>
      <c r="AD1197">
        <f>$C1197*AD1196</f>
        <v/>
      </c>
      <c r="AE1197">
        <f>$C1197*AE1196</f>
        <v/>
      </c>
      <c r="AF1197">
        <f>$C1197*AF1196</f>
        <v/>
      </c>
      <c r="AG1197">
        <f>$C1197*AG1196</f>
        <v/>
      </c>
      <c r="AH1197">
        <f>$C1197*AH1196</f>
        <v/>
      </c>
      <c r="AI1197">
        <f>$C1197*AI1196</f>
        <v/>
      </c>
      <c r="AJ1197">
        <f>$C1197*AJ1196</f>
        <v/>
      </c>
      <c r="AK1197">
        <f>$C1197*AK1196</f>
        <v/>
      </c>
      <c r="AL1197">
        <f>$C1197*AL1196</f>
        <v/>
      </c>
      <c r="AM1197">
        <f>$C1197*AM1196</f>
        <v/>
      </c>
      <c r="AN1197">
        <f>$C1197*AN1196</f>
        <v/>
      </c>
      <c r="AO1197">
        <f>$C1197*AO1196</f>
        <v/>
      </c>
      <c r="AP1197">
        <f>$C1197*AP1196</f>
        <v/>
      </c>
      <c r="AQ1197">
        <f>$C1197*AQ1196</f>
        <v/>
      </c>
      <c r="AR1197">
        <f>$C1197*AR1196</f>
        <v/>
      </c>
      <c r="AS1197">
        <f>$C1197*AS1196</f>
        <v/>
      </c>
      <c r="AT1197">
        <f>$C1197*AT1196</f>
        <v/>
      </c>
      <c r="AU1197">
        <f>$C1197*AU1196</f>
        <v/>
      </c>
      <c r="AV1197">
        <f>$C1197*AV1196</f>
        <v/>
      </c>
      <c r="AW1197">
        <f>$C1197*AW1196</f>
        <v/>
      </c>
      <c r="AX1197">
        <f>$C1197*AX1196</f>
        <v/>
      </c>
      <c r="AY1197">
        <f>$C1197*AY1196</f>
        <v/>
      </c>
      <c r="AZ1197">
        <f>$C1197*AZ1196</f>
        <v/>
      </c>
      <c r="BA1197">
        <f>$C1197*BA1196</f>
        <v/>
      </c>
      <c r="BB1197">
        <f>$C1197*BB1196</f>
        <v/>
      </c>
      <c r="BC1197">
        <f>$C1197*BC1196</f>
        <v/>
      </c>
      <c r="BD1197">
        <f>$C1197*BD1196</f>
        <v/>
      </c>
      <c r="BE1197">
        <f>$C1197*BE1196</f>
        <v/>
      </c>
      <c r="BF1197">
        <f>$C1197*BF1196</f>
        <v/>
      </c>
      <c r="BG1197">
        <f>$C1197*BG1196</f>
        <v/>
      </c>
      <c r="BH1197">
        <f>$C1197*BH1196</f>
        <v/>
      </c>
      <c r="BI1197">
        <f>$C1197*BI1196</f>
        <v/>
      </c>
      <c r="BJ1197">
        <f>$C1197*BJ1196</f>
        <v/>
      </c>
      <c r="BK1197">
        <f>$C1197*BK1196</f>
        <v/>
      </c>
      <c r="BL1197">
        <f>$C1197*BL1196</f>
        <v/>
      </c>
      <c r="BM1197">
        <f>$C1197*BM1196</f>
        <v/>
      </c>
      <c r="BN1197">
        <f>$C1197*BN1196</f>
        <v/>
      </c>
      <c r="BO1197">
        <f>$C1197*BO1196</f>
        <v/>
      </c>
      <c r="BP1197">
        <f>$C1197*BP1196</f>
        <v/>
      </c>
      <c r="BQ1197">
        <f>$C1197*BQ1196</f>
        <v/>
      </c>
      <c r="BR1197">
        <f>$C1197*BR1196</f>
        <v/>
      </c>
      <c r="BS1197">
        <f>$C1197*BS1196</f>
        <v/>
      </c>
      <c r="BT1197">
        <f>$C1197*BT1196</f>
        <v/>
      </c>
      <c r="BU1197">
        <f>$C1197*BU1196</f>
        <v/>
      </c>
      <c r="BV1197">
        <f>$C1197*BV1196</f>
        <v/>
      </c>
      <c r="BW1197">
        <f>$C1197*BW1196</f>
        <v/>
      </c>
      <c r="BX1197">
        <f>$C1197*BX1196</f>
        <v/>
      </c>
      <c r="BY1197">
        <f>$C1197*BY1196</f>
        <v/>
      </c>
      <c r="BZ1197">
        <f>$C1197*BZ1196</f>
        <v/>
      </c>
      <c r="CA1197">
        <f>$C1197*CA1196</f>
        <v/>
      </c>
      <c r="CB1197">
        <f>$C1197*CB1196</f>
        <v/>
      </c>
      <c r="CC1197">
        <f>$C1197*CC1196</f>
        <v/>
      </c>
      <c r="CD1197">
        <f>$C1197*CD1196</f>
        <v/>
      </c>
      <c r="CE1197">
        <f>$C1197*CE1196</f>
        <v/>
      </c>
      <c r="CF1197">
        <f>$C1197*CF1196</f>
        <v/>
      </c>
      <c r="CG1197">
        <f>$C1197*CG1196</f>
        <v/>
      </c>
      <c r="CH1197">
        <f>$C1197*CH1196</f>
        <v/>
      </c>
      <c r="CI1197">
        <f>$C1197*CI1196</f>
        <v/>
      </c>
      <c r="CJ1197">
        <f>$C1197*CJ1196</f>
        <v/>
      </c>
      <c r="CK1197">
        <f>$C1197*CK1196</f>
        <v/>
      </c>
      <c r="CL1197">
        <f>$C1197*CL1196</f>
        <v/>
      </c>
      <c r="CM1197">
        <f>$C1197*CM1196</f>
        <v/>
      </c>
      <c r="CN1197">
        <f>$C1197*CN1196</f>
        <v/>
      </c>
      <c r="CO1197">
        <f>$C1197*CO1196</f>
        <v/>
      </c>
      <c r="CP1197">
        <f>$C1197*CP1196</f>
        <v/>
      </c>
      <c r="CQ1197">
        <f>$C1197*CQ1196</f>
        <v/>
      </c>
      <c r="CR1197">
        <f>$C1197*CR1196</f>
        <v/>
      </c>
      <c r="CS1197">
        <f>$C1197*CS1196</f>
        <v/>
      </c>
      <c r="CT1197">
        <f>$C1197*CT1196</f>
        <v/>
      </c>
      <c r="CU1197">
        <f>$C1197*CU1196</f>
        <v/>
      </c>
      <c r="CV1197">
        <f>$C1197*CV1196</f>
        <v/>
      </c>
      <c r="CW1197">
        <f>$C1197*CW1196</f>
        <v/>
      </c>
      <c r="CX1197">
        <f>$C1197*CX1196</f>
        <v/>
      </c>
      <c r="CY1197">
        <f>$C1197*CY1196</f>
        <v/>
      </c>
      <c r="CZ1197">
        <f>$C1197*CZ1196</f>
        <v/>
      </c>
      <c r="DA1197">
        <f>$C1197*DA1196</f>
        <v/>
      </c>
      <c r="DB1197">
        <f>$C1197*DB1196</f>
        <v/>
      </c>
      <c r="DC1197">
        <f>$C1197*DC1196</f>
        <v/>
      </c>
    </row>
    <row r="1198">
      <c r="B1198" t="inlineStr">
        <is>
          <t>TSP-936</t>
        </is>
      </c>
      <c r="C1198" t="inlineStr">
        <is>
          <t>No. of batches</t>
        </is>
      </c>
      <c r="D1198">
        <f>IFERROR(INDEX(PP_Grid[#Data],$DD1198,2),0)</f>
        <v/>
      </c>
      <c r="E1198">
        <f>IFERROR(INDEX(PP_Grid[#Data],$DD1198,3),0)</f>
        <v/>
      </c>
      <c r="F1198">
        <f>IFERROR(INDEX(PP_Grid[#Data],$DD1198,4),0)</f>
        <v/>
      </c>
      <c r="G1198">
        <f>IFERROR(INDEX(PP_Grid[#Data],$DD1198,5),0)</f>
        <v/>
      </c>
      <c r="H1198">
        <f>IFERROR(INDEX(PP_Grid[#Data],$DD1198,6),0)</f>
        <v/>
      </c>
      <c r="I1198">
        <f>IFERROR(INDEX(PP_Grid[#Data],$DD1198,7),0)</f>
        <v/>
      </c>
      <c r="J1198">
        <f>IFERROR(INDEX(PP_Grid[#Data],$DD1198,8),0)</f>
        <v/>
      </c>
      <c r="K1198">
        <f>IFERROR(INDEX(PP_Grid[#Data],$DD1198,9),0)</f>
        <v/>
      </c>
      <c r="L1198">
        <f>IFERROR(INDEX(PP_Grid[#Data],$DD1198,10),0)</f>
        <v/>
      </c>
      <c r="M1198">
        <f>IFERROR(INDEX(PP_Grid[#Data],$DD1198,11),0)</f>
        <v/>
      </c>
      <c r="N1198">
        <f>IFERROR(INDEX(PP_Grid[#Data],$DD1198,12),0)</f>
        <v/>
      </c>
      <c r="O1198">
        <f>IFERROR(INDEX(PP_Grid[#Data],$DD1198,13),0)</f>
        <v/>
      </c>
      <c r="P1198">
        <f>IFERROR(INDEX(PP_Grid[#Data],$DD1198,14),0)</f>
        <v/>
      </c>
      <c r="Q1198">
        <f>IFERROR(INDEX(PP_Grid[#Data],$DD1198,15),0)</f>
        <v/>
      </c>
      <c r="R1198">
        <f>IFERROR(INDEX(PP_Grid[#Data],$DD1198,16),0)</f>
        <v/>
      </c>
      <c r="S1198">
        <f>IFERROR(INDEX(PP_Grid[#Data],$DD1198,17),0)</f>
        <v/>
      </c>
      <c r="T1198">
        <f>IFERROR(INDEX(PP_Grid[#Data],$DD1198,18),0)</f>
        <v/>
      </c>
      <c r="U1198">
        <f>IFERROR(INDEX(PP_Grid[#Data],$DD1198,19),0)</f>
        <v/>
      </c>
      <c r="V1198">
        <f>IFERROR(INDEX(PP_Grid[#Data],$DD1198,20),0)</f>
        <v/>
      </c>
      <c r="W1198">
        <f>IFERROR(INDEX(PP_Grid[#Data],$DD1198,21),0)</f>
        <v/>
      </c>
      <c r="X1198">
        <f>IFERROR(INDEX(PP_Grid[#Data],$DD1198,22),0)</f>
        <v/>
      </c>
      <c r="Y1198">
        <f>IFERROR(INDEX(PP_Grid[#Data],$DD1198,23),0)</f>
        <v/>
      </c>
      <c r="Z1198">
        <f>IFERROR(INDEX(PP_Grid[#Data],$DD1198,24),0)</f>
        <v/>
      </c>
      <c r="AA1198">
        <f>IFERROR(INDEX(PP_Grid[#Data],$DD1198,25),0)</f>
        <v/>
      </c>
      <c r="AB1198">
        <f>IFERROR(INDEX(PP_Grid[#Data],$DD1198,26),0)</f>
        <v/>
      </c>
      <c r="AC1198">
        <f>IFERROR(INDEX(PP_Grid[#Data],$DD1198,27),0)</f>
        <v/>
      </c>
      <c r="AD1198">
        <f>IFERROR(INDEX(PP_Grid[#Data],$DD1198,28),0)</f>
        <v/>
      </c>
      <c r="AE1198">
        <f>IFERROR(INDEX(PP_Grid[#Data],$DD1198,29),0)</f>
        <v/>
      </c>
      <c r="AF1198">
        <f>IFERROR(INDEX(PP_Grid[#Data],$DD1198,30),0)</f>
        <v/>
      </c>
      <c r="AG1198">
        <f>IFERROR(INDEX(PP_Grid[#Data],$DD1198,31),0)</f>
        <v/>
      </c>
      <c r="AH1198">
        <f>IFERROR(INDEX(PP_Grid[#Data],$DD1198,32),0)</f>
        <v/>
      </c>
      <c r="AI1198">
        <f>IFERROR(INDEX(PP_Grid[#Data],$DD1198,33),0)</f>
        <v/>
      </c>
      <c r="AJ1198">
        <f>IFERROR(INDEX(PP_Grid[#Data],$DD1198,34),0)</f>
        <v/>
      </c>
      <c r="AK1198">
        <f>IFERROR(INDEX(PP_Grid[#Data],$DD1198,35),0)</f>
        <v/>
      </c>
      <c r="AL1198">
        <f>IFERROR(INDEX(PP_Grid[#Data],$DD1198,36),0)</f>
        <v/>
      </c>
      <c r="AM1198">
        <f>IFERROR(INDEX(PP_Grid[#Data],$DD1198,37),0)</f>
        <v/>
      </c>
      <c r="AN1198">
        <f>IFERROR(INDEX(PP_Grid[#Data],$DD1198,38),0)</f>
        <v/>
      </c>
      <c r="AO1198">
        <f>IFERROR(INDEX(PP_Grid[#Data],$DD1198,39),0)</f>
        <v/>
      </c>
      <c r="AP1198">
        <f>IFERROR(INDEX(PP_Grid[#Data],$DD1198,40),0)</f>
        <v/>
      </c>
      <c r="AQ1198">
        <f>IFERROR(INDEX(PP_Grid[#Data],$DD1198,41),0)</f>
        <v/>
      </c>
      <c r="AR1198">
        <f>IFERROR(INDEX(PP_Grid[#Data],$DD1198,42),0)</f>
        <v/>
      </c>
      <c r="AS1198">
        <f>IFERROR(INDEX(PP_Grid[#Data],$DD1198,43),0)</f>
        <v/>
      </c>
      <c r="AT1198">
        <f>IFERROR(INDEX(PP_Grid[#Data],$DD1198,44),0)</f>
        <v/>
      </c>
      <c r="AU1198">
        <f>IFERROR(INDEX(PP_Grid[#Data],$DD1198,45),0)</f>
        <v/>
      </c>
      <c r="AV1198">
        <f>IFERROR(INDEX(PP_Grid[#Data],$DD1198,46),0)</f>
        <v/>
      </c>
      <c r="AW1198">
        <f>IFERROR(INDEX(PP_Grid[#Data],$DD1198,47),0)</f>
        <v/>
      </c>
      <c r="AX1198">
        <f>IFERROR(INDEX(PP_Grid[#Data],$DD1198,48),0)</f>
        <v/>
      </c>
      <c r="AY1198">
        <f>IFERROR(INDEX(PP_Grid[#Data],$DD1198,49),0)</f>
        <v/>
      </c>
      <c r="AZ1198">
        <f>IFERROR(INDEX(PP_Grid[#Data],$DD1198,50),0)</f>
        <v/>
      </c>
      <c r="BA1198">
        <f>IFERROR(INDEX(PP_Grid[#Data],$DD1198,51),0)</f>
        <v/>
      </c>
      <c r="BB1198">
        <f>IFERROR(INDEX(PP_Grid[#Data],$DD1198,52),0)</f>
        <v/>
      </c>
      <c r="BC1198">
        <f>IFERROR(INDEX(PP_Grid[#Data],$DD1198,53),0)</f>
        <v/>
      </c>
      <c r="BD1198">
        <f>IFERROR(INDEX(PP_Grid[#Data],$DD1198,54),0)</f>
        <v/>
      </c>
      <c r="BE1198">
        <f>IFERROR(INDEX(PP_Grid[#Data],$DD1198,55),0)</f>
        <v/>
      </c>
      <c r="BF1198">
        <f>IFERROR(INDEX(PP_Grid[#Data],$DD1198,56),0)</f>
        <v/>
      </c>
      <c r="BG1198">
        <f>IFERROR(INDEX(PP_Grid[#Data],$DD1198,57),0)</f>
        <v/>
      </c>
      <c r="BH1198">
        <f>IFERROR(INDEX(PP_Grid[#Data],$DD1198,58),0)</f>
        <v/>
      </c>
      <c r="BI1198">
        <f>IFERROR(INDEX(PP_Grid[#Data],$DD1198,59),0)</f>
        <v/>
      </c>
      <c r="BJ1198">
        <f>IFERROR(INDEX(PP_Grid[#Data],$DD1198,60),0)</f>
        <v/>
      </c>
      <c r="BK1198">
        <f>IFERROR(INDEX(PP_Grid[#Data],$DD1198,61),0)</f>
        <v/>
      </c>
      <c r="BL1198">
        <f>IFERROR(INDEX(PP_Grid[#Data],$DD1198,62),0)</f>
        <v/>
      </c>
      <c r="BM1198">
        <f>IFERROR(INDEX(PP_Grid[#Data],$DD1198,63),0)</f>
        <v/>
      </c>
      <c r="BN1198">
        <f>IFERROR(INDEX(PP_Grid[#Data],$DD1198,64),0)</f>
        <v/>
      </c>
      <c r="BO1198">
        <f>IFERROR(INDEX(PP_Grid[#Data],$DD1198,65),0)</f>
        <v/>
      </c>
      <c r="BP1198">
        <f>IFERROR(INDEX(PP_Grid[#Data],$DD1198,66),0)</f>
        <v/>
      </c>
      <c r="BQ1198">
        <f>IFERROR(INDEX(PP_Grid[#Data],$DD1198,67),0)</f>
        <v/>
      </c>
      <c r="BR1198">
        <f>IFERROR(INDEX(PP_Grid[#Data],$DD1198,68),0)</f>
        <v/>
      </c>
      <c r="BS1198">
        <f>IFERROR(INDEX(PP_Grid[#Data],$DD1198,69),0)</f>
        <v/>
      </c>
      <c r="BT1198">
        <f>IFERROR(INDEX(PP_Grid[#Data],$DD1198,70),0)</f>
        <v/>
      </c>
      <c r="BU1198">
        <f>IFERROR(INDEX(PP_Grid[#Data],$DD1198,71),0)</f>
        <v/>
      </c>
      <c r="BV1198">
        <f>IFERROR(INDEX(PP_Grid[#Data],$DD1198,72),0)</f>
        <v/>
      </c>
      <c r="BW1198">
        <f>IFERROR(INDEX(PP_Grid[#Data],$DD1198,73),0)</f>
        <v/>
      </c>
      <c r="BX1198">
        <f>IFERROR(INDEX(PP_Grid[#Data],$DD1198,74),0)</f>
        <v/>
      </c>
      <c r="BY1198">
        <f>IFERROR(INDEX(PP_Grid[#Data],$DD1198,75),0)</f>
        <v/>
      </c>
      <c r="BZ1198">
        <f>IFERROR(INDEX(PP_Grid[#Data],$DD1198,76),0)</f>
        <v/>
      </c>
      <c r="CA1198">
        <f>IFERROR(INDEX(PP_Grid[#Data],$DD1198,77),0)</f>
        <v/>
      </c>
      <c r="CB1198">
        <f>IFERROR(INDEX(PP_Grid[#Data],$DD1198,78),0)</f>
        <v/>
      </c>
      <c r="CC1198">
        <f>IFERROR(INDEX(PP_Grid[#Data],$DD1198,79),0)</f>
        <v/>
      </c>
      <c r="CD1198">
        <f>IFERROR(INDEX(PP_Grid[#Data],$DD1198,80),0)</f>
        <v/>
      </c>
      <c r="CE1198">
        <f>IFERROR(INDEX(PP_Grid[#Data],$DD1198,81),0)</f>
        <v/>
      </c>
      <c r="CF1198">
        <f>IFERROR(INDEX(PP_Grid[#Data],$DD1198,82),0)</f>
        <v/>
      </c>
      <c r="CG1198">
        <f>IFERROR(INDEX(PP_Grid[#Data],$DD1198,83),0)</f>
        <v/>
      </c>
      <c r="CH1198">
        <f>IFERROR(INDEX(PP_Grid[#Data],$DD1198,84),0)</f>
        <v/>
      </c>
      <c r="CI1198">
        <f>IFERROR(INDEX(PP_Grid[#Data],$DD1198,85),0)</f>
        <v/>
      </c>
      <c r="CJ1198">
        <f>IFERROR(INDEX(PP_Grid[#Data],$DD1198,86),0)</f>
        <v/>
      </c>
      <c r="CK1198">
        <f>IFERROR(INDEX(PP_Grid[#Data],$DD1198,87),0)</f>
        <v/>
      </c>
      <c r="CL1198">
        <f>IFERROR(INDEX(PP_Grid[#Data],$DD1198,88),0)</f>
        <v/>
      </c>
      <c r="CM1198">
        <f>IFERROR(INDEX(PP_Grid[#Data],$DD1198,89),0)</f>
        <v/>
      </c>
      <c r="CN1198">
        <f>IFERROR(INDEX(PP_Grid[#Data],$DD1198,90),0)</f>
        <v/>
      </c>
      <c r="CO1198">
        <f>IFERROR(INDEX(PP_Grid[#Data],$DD1198,91),0)</f>
        <v/>
      </c>
      <c r="CP1198">
        <f>IFERROR(INDEX(PP_Grid[#Data],$DD1198,92),0)</f>
        <v/>
      </c>
      <c r="CQ1198">
        <f>IFERROR(INDEX(PP_Grid[#Data],$DD1198,93),0)</f>
        <v/>
      </c>
      <c r="CR1198">
        <f>IFERROR(INDEX(PP_Grid[#Data],$DD1198,94),0)</f>
        <v/>
      </c>
      <c r="CS1198">
        <f>IFERROR(INDEX(PP_Grid[#Data],$DD1198,95),0)</f>
        <v/>
      </c>
      <c r="CT1198">
        <f>IFERROR(INDEX(PP_Grid[#Data],$DD1198,96),0)</f>
        <v/>
      </c>
      <c r="CU1198">
        <f>IFERROR(INDEX(PP_Grid[#Data],$DD1198,97),0)</f>
        <v/>
      </c>
      <c r="CV1198">
        <f>IFERROR(INDEX(PP_Grid[#Data],$DD1198,98),0)</f>
        <v/>
      </c>
      <c r="CW1198">
        <f>IFERROR(INDEX(PP_Grid[#Data],$DD1198,99),0)</f>
        <v/>
      </c>
      <c r="CX1198">
        <f>IFERROR(INDEX(PP_Grid[#Data],$DD1198,100),0)</f>
        <v/>
      </c>
      <c r="CY1198">
        <f>IFERROR(INDEX(PP_Grid[#Data],$DD1198,101),0)</f>
        <v/>
      </c>
      <c r="CZ1198">
        <f>IFERROR(INDEX(PP_Grid[#Data],$DD1198,102),0)</f>
        <v/>
      </c>
      <c r="DA1198">
        <f>IFERROR(INDEX(PP_Grid[#Data],$DD1198,103),0)</f>
        <v/>
      </c>
      <c r="DB1198">
        <f>IFERROR(INDEX(PP_Grid[#Data],$DD1198,104),0)</f>
        <v/>
      </c>
      <c r="DC1198">
        <f>IFERROR(INDEX(PP_Grid[#Data],$DD1198,105),0)</f>
        <v/>
      </c>
      <c r="DD1198" s="12">
        <f>IFERROR(MATCH($B1198,PP_Grid[Intermediate],0),99999)</f>
        <v/>
      </c>
    </row>
    <row r="1199">
      <c r="B1199" t="inlineStr">
        <is>
          <t>使用量(kg)</t>
        </is>
      </c>
      <c r="C1199">
        <f>SUMIFS(M_BOM[RM_Qty_Per_Batch],M_BOM[Intermediate],$B1198,M_BOM[Part Name],$A1179)</f>
        <v/>
      </c>
      <c r="D1199">
        <f>$C1199*D1198</f>
        <v/>
      </c>
      <c r="E1199">
        <f>$C1199*E1198</f>
        <v/>
      </c>
      <c r="F1199">
        <f>$C1199*F1198</f>
        <v/>
      </c>
      <c r="G1199">
        <f>$C1199*G1198</f>
        <v/>
      </c>
      <c r="H1199">
        <f>$C1199*H1198</f>
        <v/>
      </c>
      <c r="I1199">
        <f>$C1199*I1198</f>
        <v/>
      </c>
      <c r="J1199">
        <f>$C1199*J1198</f>
        <v/>
      </c>
      <c r="K1199">
        <f>$C1199*K1198</f>
        <v/>
      </c>
      <c r="L1199">
        <f>$C1199*L1198</f>
        <v/>
      </c>
      <c r="M1199">
        <f>$C1199*M1198</f>
        <v/>
      </c>
      <c r="N1199">
        <f>$C1199*N1198</f>
        <v/>
      </c>
      <c r="O1199">
        <f>$C1199*O1198</f>
        <v/>
      </c>
      <c r="P1199">
        <f>$C1199*P1198</f>
        <v/>
      </c>
      <c r="Q1199">
        <f>$C1199*Q1198</f>
        <v/>
      </c>
      <c r="R1199">
        <f>$C1199*R1198</f>
        <v/>
      </c>
      <c r="S1199">
        <f>$C1199*S1198</f>
        <v/>
      </c>
      <c r="T1199">
        <f>$C1199*T1198</f>
        <v/>
      </c>
      <c r="U1199">
        <f>$C1199*U1198</f>
        <v/>
      </c>
      <c r="V1199">
        <f>$C1199*V1198</f>
        <v/>
      </c>
      <c r="W1199">
        <f>$C1199*W1198</f>
        <v/>
      </c>
      <c r="X1199">
        <f>$C1199*X1198</f>
        <v/>
      </c>
      <c r="Y1199">
        <f>$C1199*Y1198</f>
        <v/>
      </c>
      <c r="Z1199">
        <f>$C1199*Z1198</f>
        <v/>
      </c>
      <c r="AA1199">
        <f>$C1199*AA1198</f>
        <v/>
      </c>
      <c r="AB1199">
        <f>$C1199*AB1198</f>
        <v/>
      </c>
      <c r="AC1199">
        <f>$C1199*AC1198</f>
        <v/>
      </c>
      <c r="AD1199">
        <f>$C1199*AD1198</f>
        <v/>
      </c>
      <c r="AE1199">
        <f>$C1199*AE1198</f>
        <v/>
      </c>
      <c r="AF1199">
        <f>$C1199*AF1198</f>
        <v/>
      </c>
      <c r="AG1199">
        <f>$C1199*AG1198</f>
        <v/>
      </c>
      <c r="AH1199">
        <f>$C1199*AH1198</f>
        <v/>
      </c>
      <c r="AI1199">
        <f>$C1199*AI1198</f>
        <v/>
      </c>
      <c r="AJ1199">
        <f>$C1199*AJ1198</f>
        <v/>
      </c>
      <c r="AK1199">
        <f>$C1199*AK1198</f>
        <v/>
      </c>
      <c r="AL1199">
        <f>$C1199*AL1198</f>
        <v/>
      </c>
      <c r="AM1199">
        <f>$C1199*AM1198</f>
        <v/>
      </c>
      <c r="AN1199">
        <f>$C1199*AN1198</f>
        <v/>
      </c>
      <c r="AO1199">
        <f>$C1199*AO1198</f>
        <v/>
      </c>
      <c r="AP1199">
        <f>$C1199*AP1198</f>
        <v/>
      </c>
      <c r="AQ1199">
        <f>$C1199*AQ1198</f>
        <v/>
      </c>
      <c r="AR1199">
        <f>$C1199*AR1198</f>
        <v/>
      </c>
      <c r="AS1199">
        <f>$C1199*AS1198</f>
        <v/>
      </c>
      <c r="AT1199">
        <f>$C1199*AT1198</f>
        <v/>
      </c>
      <c r="AU1199">
        <f>$C1199*AU1198</f>
        <v/>
      </c>
      <c r="AV1199">
        <f>$C1199*AV1198</f>
        <v/>
      </c>
      <c r="AW1199">
        <f>$C1199*AW1198</f>
        <v/>
      </c>
      <c r="AX1199">
        <f>$C1199*AX1198</f>
        <v/>
      </c>
      <c r="AY1199">
        <f>$C1199*AY1198</f>
        <v/>
      </c>
      <c r="AZ1199">
        <f>$C1199*AZ1198</f>
        <v/>
      </c>
      <c r="BA1199">
        <f>$C1199*BA1198</f>
        <v/>
      </c>
      <c r="BB1199">
        <f>$C1199*BB1198</f>
        <v/>
      </c>
      <c r="BC1199">
        <f>$C1199*BC1198</f>
        <v/>
      </c>
      <c r="BD1199">
        <f>$C1199*BD1198</f>
        <v/>
      </c>
      <c r="BE1199">
        <f>$C1199*BE1198</f>
        <v/>
      </c>
      <c r="BF1199">
        <f>$C1199*BF1198</f>
        <v/>
      </c>
      <c r="BG1199">
        <f>$C1199*BG1198</f>
        <v/>
      </c>
      <c r="BH1199">
        <f>$C1199*BH1198</f>
        <v/>
      </c>
      <c r="BI1199">
        <f>$C1199*BI1198</f>
        <v/>
      </c>
      <c r="BJ1199">
        <f>$C1199*BJ1198</f>
        <v/>
      </c>
      <c r="BK1199">
        <f>$C1199*BK1198</f>
        <v/>
      </c>
      <c r="BL1199">
        <f>$C1199*BL1198</f>
        <v/>
      </c>
      <c r="BM1199">
        <f>$C1199*BM1198</f>
        <v/>
      </c>
      <c r="BN1199">
        <f>$C1199*BN1198</f>
        <v/>
      </c>
      <c r="BO1199">
        <f>$C1199*BO1198</f>
        <v/>
      </c>
      <c r="BP1199">
        <f>$C1199*BP1198</f>
        <v/>
      </c>
      <c r="BQ1199">
        <f>$C1199*BQ1198</f>
        <v/>
      </c>
      <c r="BR1199">
        <f>$C1199*BR1198</f>
        <v/>
      </c>
      <c r="BS1199">
        <f>$C1199*BS1198</f>
        <v/>
      </c>
      <c r="BT1199">
        <f>$C1199*BT1198</f>
        <v/>
      </c>
      <c r="BU1199">
        <f>$C1199*BU1198</f>
        <v/>
      </c>
      <c r="BV1199">
        <f>$C1199*BV1198</f>
        <v/>
      </c>
      <c r="BW1199">
        <f>$C1199*BW1198</f>
        <v/>
      </c>
      <c r="BX1199">
        <f>$C1199*BX1198</f>
        <v/>
      </c>
      <c r="BY1199">
        <f>$C1199*BY1198</f>
        <v/>
      </c>
      <c r="BZ1199">
        <f>$C1199*BZ1198</f>
        <v/>
      </c>
      <c r="CA1199">
        <f>$C1199*CA1198</f>
        <v/>
      </c>
      <c r="CB1199">
        <f>$C1199*CB1198</f>
        <v/>
      </c>
      <c r="CC1199">
        <f>$C1199*CC1198</f>
        <v/>
      </c>
      <c r="CD1199">
        <f>$C1199*CD1198</f>
        <v/>
      </c>
      <c r="CE1199">
        <f>$C1199*CE1198</f>
        <v/>
      </c>
      <c r="CF1199">
        <f>$C1199*CF1198</f>
        <v/>
      </c>
      <c r="CG1199">
        <f>$C1199*CG1198</f>
        <v/>
      </c>
      <c r="CH1199">
        <f>$C1199*CH1198</f>
        <v/>
      </c>
      <c r="CI1199">
        <f>$C1199*CI1198</f>
        <v/>
      </c>
      <c r="CJ1199">
        <f>$C1199*CJ1198</f>
        <v/>
      </c>
      <c r="CK1199">
        <f>$C1199*CK1198</f>
        <v/>
      </c>
      <c r="CL1199">
        <f>$C1199*CL1198</f>
        <v/>
      </c>
      <c r="CM1199">
        <f>$C1199*CM1198</f>
        <v/>
      </c>
      <c r="CN1199">
        <f>$C1199*CN1198</f>
        <v/>
      </c>
      <c r="CO1199">
        <f>$C1199*CO1198</f>
        <v/>
      </c>
      <c r="CP1199">
        <f>$C1199*CP1198</f>
        <v/>
      </c>
      <c r="CQ1199">
        <f>$C1199*CQ1198</f>
        <v/>
      </c>
      <c r="CR1199">
        <f>$C1199*CR1198</f>
        <v/>
      </c>
      <c r="CS1199">
        <f>$C1199*CS1198</f>
        <v/>
      </c>
      <c r="CT1199">
        <f>$C1199*CT1198</f>
        <v/>
      </c>
      <c r="CU1199">
        <f>$C1199*CU1198</f>
        <v/>
      </c>
      <c r="CV1199">
        <f>$C1199*CV1198</f>
        <v/>
      </c>
      <c r="CW1199">
        <f>$C1199*CW1198</f>
        <v/>
      </c>
      <c r="CX1199">
        <f>$C1199*CX1198</f>
        <v/>
      </c>
      <c r="CY1199">
        <f>$C1199*CY1198</f>
        <v/>
      </c>
      <c r="CZ1199">
        <f>$C1199*CZ1198</f>
        <v/>
      </c>
      <c r="DA1199">
        <f>$C1199*DA1198</f>
        <v/>
      </c>
      <c r="DB1199">
        <f>$C1199*DB1198</f>
        <v/>
      </c>
      <c r="DC1199">
        <f>$C1199*DC1198</f>
        <v/>
      </c>
    </row>
    <row r="1200">
      <c r="B1200" t="inlineStr">
        <is>
          <t>TSP-937</t>
        </is>
      </c>
      <c r="C1200" t="inlineStr">
        <is>
          <t>No. of batches</t>
        </is>
      </c>
      <c r="D1200">
        <f>IFERROR(INDEX(PP_Grid[#Data],$DD1200,2),0)</f>
        <v/>
      </c>
      <c r="E1200">
        <f>IFERROR(INDEX(PP_Grid[#Data],$DD1200,3),0)</f>
        <v/>
      </c>
      <c r="F1200">
        <f>IFERROR(INDEX(PP_Grid[#Data],$DD1200,4),0)</f>
        <v/>
      </c>
      <c r="G1200">
        <f>IFERROR(INDEX(PP_Grid[#Data],$DD1200,5),0)</f>
        <v/>
      </c>
      <c r="H1200">
        <f>IFERROR(INDEX(PP_Grid[#Data],$DD1200,6),0)</f>
        <v/>
      </c>
      <c r="I1200">
        <f>IFERROR(INDEX(PP_Grid[#Data],$DD1200,7),0)</f>
        <v/>
      </c>
      <c r="J1200">
        <f>IFERROR(INDEX(PP_Grid[#Data],$DD1200,8),0)</f>
        <v/>
      </c>
      <c r="K1200">
        <f>IFERROR(INDEX(PP_Grid[#Data],$DD1200,9),0)</f>
        <v/>
      </c>
      <c r="L1200">
        <f>IFERROR(INDEX(PP_Grid[#Data],$DD1200,10),0)</f>
        <v/>
      </c>
      <c r="M1200">
        <f>IFERROR(INDEX(PP_Grid[#Data],$DD1200,11),0)</f>
        <v/>
      </c>
      <c r="N1200">
        <f>IFERROR(INDEX(PP_Grid[#Data],$DD1200,12),0)</f>
        <v/>
      </c>
      <c r="O1200">
        <f>IFERROR(INDEX(PP_Grid[#Data],$DD1200,13),0)</f>
        <v/>
      </c>
      <c r="P1200">
        <f>IFERROR(INDEX(PP_Grid[#Data],$DD1200,14),0)</f>
        <v/>
      </c>
      <c r="Q1200">
        <f>IFERROR(INDEX(PP_Grid[#Data],$DD1200,15),0)</f>
        <v/>
      </c>
      <c r="R1200">
        <f>IFERROR(INDEX(PP_Grid[#Data],$DD1200,16),0)</f>
        <v/>
      </c>
      <c r="S1200">
        <f>IFERROR(INDEX(PP_Grid[#Data],$DD1200,17),0)</f>
        <v/>
      </c>
      <c r="T1200">
        <f>IFERROR(INDEX(PP_Grid[#Data],$DD1200,18),0)</f>
        <v/>
      </c>
      <c r="U1200">
        <f>IFERROR(INDEX(PP_Grid[#Data],$DD1200,19),0)</f>
        <v/>
      </c>
      <c r="V1200">
        <f>IFERROR(INDEX(PP_Grid[#Data],$DD1200,20),0)</f>
        <v/>
      </c>
      <c r="W1200">
        <f>IFERROR(INDEX(PP_Grid[#Data],$DD1200,21),0)</f>
        <v/>
      </c>
      <c r="X1200">
        <f>IFERROR(INDEX(PP_Grid[#Data],$DD1200,22),0)</f>
        <v/>
      </c>
      <c r="Y1200">
        <f>IFERROR(INDEX(PP_Grid[#Data],$DD1200,23),0)</f>
        <v/>
      </c>
      <c r="Z1200">
        <f>IFERROR(INDEX(PP_Grid[#Data],$DD1200,24),0)</f>
        <v/>
      </c>
      <c r="AA1200">
        <f>IFERROR(INDEX(PP_Grid[#Data],$DD1200,25),0)</f>
        <v/>
      </c>
      <c r="AB1200">
        <f>IFERROR(INDEX(PP_Grid[#Data],$DD1200,26),0)</f>
        <v/>
      </c>
      <c r="AC1200">
        <f>IFERROR(INDEX(PP_Grid[#Data],$DD1200,27),0)</f>
        <v/>
      </c>
      <c r="AD1200">
        <f>IFERROR(INDEX(PP_Grid[#Data],$DD1200,28),0)</f>
        <v/>
      </c>
      <c r="AE1200">
        <f>IFERROR(INDEX(PP_Grid[#Data],$DD1200,29),0)</f>
        <v/>
      </c>
      <c r="AF1200">
        <f>IFERROR(INDEX(PP_Grid[#Data],$DD1200,30),0)</f>
        <v/>
      </c>
      <c r="AG1200">
        <f>IFERROR(INDEX(PP_Grid[#Data],$DD1200,31),0)</f>
        <v/>
      </c>
      <c r="AH1200">
        <f>IFERROR(INDEX(PP_Grid[#Data],$DD1200,32),0)</f>
        <v/>
      </c>
      <c r="AI1200">
        <f>IFERROR(INDEX(PP_Grid[#Data],$DD1200,33),0)</f>
        <v/>
      </c>
      <c r="AJ1200">
        <f>IFERROR(INDEX(PP_Grid[#Data],$DD1200,34),0)</f>
        <v/>
      </c>
      <c r="AK1200">
        <f>IFERROR(INDEX(PP_Grid[#Data],$DD1200,35),0)</f>
        <v/>
      </c>
      <c r="AL1200">
        <f>IFERROR(INDEX(PP_Grid[#Data],$DD1200,36),0)</f>
        <v/>
      </c>
      <c r="AM1200">
        <f>IFERROR(INDEX(PP_Grid[#Data],$DD1200,37),0)</f>
        <v/>
      </c>
      <c r="AN1200">
        <f>IFERROR(INDEX(PP_Grid[#Data],$DD1200,38),0)</f>
        <v/>
      </c>
      <c r="AO1200">
        <f>IFERROR(INDEX(PP_Grid[#Data],$DD1200,39),0)</f>
        <v/>
      </c>
      <c r="AP1200">
        <f>IFERROR(INDEX(PP_Grid[#Data],$DD1200,40),0)</f>
        <v/>
      </c>
      <c r="AQ1200">
        <f>IFERROR(INDEX(PP_Grid[#Data],$DD1200,41),0)</f>
        <v/>
      </c>
      <c r="AR1200">
        <f>IFERROR(INDEX(PP_Grid[#Data],$DD1200,42),0)</f>
        <v/>
      </c>
      <c r="AS1200">
        <f>IFERROR(INDEX(PP_Grid[#Data],$DD1200,43),0)</f>
        <v/>
      </c>
      <c r="AT1200">
        <f>IFERROR(INDEX(PP_Grid[#Data],$DD1200,44),0)</f>
        <v/>
      </c>
      <c r="AU1200">
        <f>IFERROR(INDEX(PP_Grid[#Data],$DD1200,45),0)</f>
        <v/>
      </c>
      <c r="AV1200">
        <f>IFERROR(INDEX(PP_Grid[#Data],$DD1200,46),0)</f>
        <v/>
      </c>
      <c r="AW1200">
        <f>IFERROR(INDEX(PP_Grid[#Data],$DD1200,47),0)</f>
        <v/>
      </c>
      <c r="AX1200">
        <f>IFERROR(INDEX(PP_Grid[#Data],$DD1200,48),0)</f>
        <v/>
      </c>
      <c r="AY1200">
        <f>IFERROR(INDEX(PP_Grid[#Data],$DD1200,49),0)</f>
        <v/>
      </c>
      <c r="AZ1200">
        <f>IFERROR(INDEX(PP_Grid[#Data],$DD1200,50),0)</f>
        <v/>
      </c>
      <c r="BA1200">
        <f>IFERROR(INDEX(PP_Grid[#Data],$DD1200,51),0)</f>
        <v/>
      </c>
      <c r="BB1200">
        <f>IFERROR(INDEX(PP_Grid[#Data],$DD1200,52),0)</f>
        <v/>
      </c>
      <c r="BC1200">
        <f>IFERROR(INDEX(PP_Grid[#Data],$DD1200,53),0)</f>
        <v/>
      </c>
      <c r="BD1200">
        <f>IFERROR(INDEX(PP_Grid[#Data],$DD1200,54),0)</f>
        <v/>
      </c>
      <c r="BE1200">
        <f>IFERROR(INDEX(PP_Grid[#Data],$DD1200,55),0)</f>
        <v/>
      </c>
      <c r="BF1200">
        <f>IFERROR(INDEX(PP_Grid[#Data],$DD1200,56),0)</f>
        <v/>
      </c>
      <c r="BG1200">
        <f>IFERROR(INDEX(PP_Grid[#Data],$DD1200,57),0)</f>
        <v/>
      </c>
      <c r="BH1200">
        <f>IFERROR(INDEX(PP_Grid[#Data],$DD1200,58),0)</f>
        <v/>
      </c>
      <c r="BI1200">
        <f>IFERROR(INDEX(PP_Grid[#Data],$DD1200,59),0)</f>
        <v/>
      </c>
      <c r="BJ1200">
        <f>IFERROR(INDEX(PP_Grid[#Data],$DD1200,60),0)</f>
        <v/>
      </c>
      <c r="BK1200">
        <f>IFERROR(INDEX(PP_Grid[#Data],$DD1200,61),0)</f>
        <v/>
      </c>
      <c r="BL1200">
        <f>IFERROR(INDEX(PP_Grid[#Data],$DD1200,62),0)</f>
        <v/>
      </c>
      <c r="BM1200">
        <f>IFERROR(INDEX(PP_Grid[#Data],$DD1200,63),0)</f>
        <v/>
      </c>
      <c r="BN1200">
        <f>IFERROR(INDEX(PP_Grid[#Data],$DD1200,64),0)</f>
        <v/>
      </c>
      <c r="BO1200">
        <f>IFERROR(INDEX(PP_Grid[#Data],$DD1200,65),0)</f>
        <v/>
      </c>
      <c r="BP1200">
        <f>IFERROR(INDEX(PP_Grid[#Data],$DD1200,66),0)</f>
        <v/>
      </c>
      <c r="BQ1200">
        <f>IFERROR(INDEX(PP_Grid[#Data],$DD1200,67),0)</f>
        <v/>
      </c>
      <c r="BR1200">
        <f>IFERROR(INDEX(PP_Grid[#Data],$DD1200,68),0)</f>
        <v/>
      </c>
      <c r="BS1200">
        <f>IFERROR(INDEX(PP_Grid[#Data],$DD1200,69),0)</f>
        <v/>
      </c>
      <c r="BT1200">
        <f>IFERROR(INDEX(PP_Grid[#Data],$DD1200,70),0)</f>
        <v/>
      </c>
      <c r="BU1200">
        <f>IFERROR(INDEX(PP_Grid[#Data],$DD1200,71),0)</f>
        <v/>
      </c>
      <c r="BV1200">
        <f>IFERROR(INDEX(PP_Grid[#Data],$DD1200,72),0)</f>
        <v/>
      </c>
      <c r="BW1200">
        <f>IFERROR(INDEX(PP_Grid[#Data],$DD1200,73),0)</f>
        <v/>
      </c>
      <c r="BX1200">
        <f>IFERROR(INDEX(PP_Grid[#Data],$DD1200,74),0)</f>
        <v/>
      </c>
      <c r="BY1200">
        <f>IFERROR(INDEX(PP_Grid[#Data],$DD1200,75),0)</f>
        <v/>
      </c>
      <c r="BZ1200">
        <f>IFERROR(INDEX(PP_Grid[#Data],$DD1200,76),0)</f>
        <v/>
      </c>
      <c r="CA1200">
        <f>IFERROR(INDEX(PP_Grid[#Data],$DD1200,77),0)</f>
        <v/>
      </c>
      <c r="CB1200">
        <f>IFERROR(INDEX(PP_Grid[#Data],$DD1200,78),0)</f>
        <v/>
      </c>
      <c r="CC1200">
        <f>IFERROR(INDEX(PP_Grid[#Data],$DD1200,79),0)</f>
        <v/>
      </c>
      <c r="CD1200">
        <f>IFERROR(INDEX(PP_Grid[#Data],$DD1200,80),0)</f>
        <v/>
      </c>
      <c r="CE1200">
        <f>IFERROR(INDEX(PP_Grid[#Data],$DD1200,81),0)</f>
        <v/>
      </c>
      <c r="CF1200">
        <f>IFERROR(INDEX(PP_Grid[#Data],$DD1200,82),0)</f>
        <v/>
      </c>
      <c r="CG1200">
        <f>IFERROR(INDEX(PP_Grid[#Data],$DD1200,83),0)</f>
        <v/>
      </c>
      <c r="CH1200">
        <f>IFERROR(INDEX(PP_Grid[#Data],$DD1200,84),0)</f>
        <v/>
      </c>
      <c r="CI1200">
        <f>IFERROR(INDEX(PP_Grid[#Data],$DD1200,85),0)</f>
        <v/>
      </c>
      <c r="CJ1200">
        <f>IFERROR(INDEX(PP_Grid[#Data],$DD1200,86),0)</f>
        <v/>
      </c>
      <c r="CK1200">
        <f>IFERROR(INDEX(PP_Grid[#Data],$DD1200,87),0)</f>
        <v/>
      </c>
      <c r="CL1200">
        <f>IFERROR(INDEX(PP_Grid[#Data],$DD1200,88),0)</f>
        <v/>
      </c>
      <c r="CM1200">
        <f>IFERROR(INDEX(PP_Grid[#Data],$DD1200,89),0)</f>
        <v/>
      </c>
      <c r="CN1200">
        <f>IFERROR(INDEX(PP_Grid[#Data],$DD1200,90),0)</f>
        <v/>
      </c>
      <c r="CO1200">
        <f>IFERROR(INDEX(PP_Grid[#Data],$DD1200,91),0)</f>
        <v/>
      </c>
      <c r="CP1200">
        <f>IFERROR(INDEX(PP_Grid[#Data],$DD1200,92),0)</f>
        <v/>
      </c>
      <c r="CQ1200">
        <f>IFERROR(INDEX(PP_Grid[#Data],$DD1200,93),0)</f>
        <v/>
      </c>
      <c r="CR1200">
        <f>IFERROR(INDEX(PP_Grid[#Data],$DD1200,94),0)</f>
        <v/>
      </c>
      <c r="CS1200">
        <f>IFERROR(INDEX(PP_Grid[#Data],$DD1200,95),0)</f>
        <v/>
      </c>
      <c r="CT1200">
        <f>IFERROR(INDEX(PP_Grid[#Data],$DD1200,96),0)</f>
        <v/>
      </c>
      <c r="CU1200">
        <f>IFERROR(INDEX(PP_Grid[#Data],$DD1200,97),0)</f>
        <v/>
      </c>
      <c r="CV1200">
        <f>IFERROR(INDEX(PP_Grid[#Data],$DD1200,98),0)</f>
        <v/>
      </c>
      <c r="CW1200">
        <f>IFERROR(INDEX(PP_Grid[#Data],$DD1200,99),0)</f>
        <v/>
      </c>
      <c r="CX1200">
        <f>IFERROR(INDEX(PP_Grid[#Data],$DD1200,100),0)</f>
        <v/>
      </c>
      <c r="CY1200">
        <f>IFERROR(INDEX(PP_Grid[#Data],$DD1200,101),0)</f>
        <v/>
      </c>
      <c r="CZ1200">
        <f>IFERROR(INDEX(PP_Grid[#Data],$DD1200,102),0)</f>
        <v/>
      </c>
      <c r="DA1200">
        <f>IFERROR(INDEX(PP_Grid[#Data],$DD1200,103),0)</f>
        <v/>
      </c>
      <c r="DB1200">
        <f>IFERROR(INDEX(PP_Grid[#Data],$DD1200,104),0)</f>
        <v/>
      </c>
      <c r="DC1200">
        <f>IFERROR(INDEX(PP_Grid[#Data],$DD1200,105),0)</f>
        <v/>
      </c>
      <c r="DD1200" s="12">
        <f>IFERROR(MATCH($B1200,PP_Grid[Intermediate],0),99999)</f>
        <v/>
      </c>
    </row>
    <row r="1201">
      <c r="B1201" t="inlineStr">
        <is>
          <t>使用量(kg)</t>
        </is>
      </c>
      <c r="C1201">
        <f>SUMIFS(M_BOM[RM_Qty_Per_Batch],M_BOM[Intermediate],$B1200,M_BOM[Part Name],$A1179)</f>
        <v/>
      </c>
      <c r="D1201">
        <f>$C1201*D1200</f>
        <v/>
      </c>
      <c r="E1201">
        <f>$C1201*E1200</f>
        <v/>
      </c>
      <c r="F1201">
        <f>$C1201*F1200</f>
        <v/>
      </c>
      <c r="G1201">
        <f>$C1201*G1200</f>
        <v/>
      </c>
      <c r="H1201">
        <f>$C1201*H1200</f>
        <v/>
      </c>
      <c r="I1201">
        <f>$C1201*I1200</f>
        <v/>
      </c>
      <c r="J1201">
        <f>$C1201*J1200</f>
        <v/>
      </c>
      <c r="K1201">
        <f>$C1201*K1200</f>
        <v/>
      </c>
      <c r="L1201">
        <f>$C1201*L1200</f>
        <v/>
      </c>
      <c r="M1201">
        <f>$C1201*M1200</f>
        <v/>
      </c>
      <c r="N1201">
        <f>$C1201*N1200</f>
        <v/>
      </c>
      <c r="O1201">
        <f>$C1201*O1200</f>
        <v/>
      </c>
      <c r="P1201">
        <f>$C1201*P1200</f>
        <v/>
      </c>
      <c r="Q1201">
        <f>$C1201*Q1200</f>
        <v/>
      </c>
      <c r="R1201">
        <f>$C1201*R1200</f>
        <v/>
      </c>
      <c r="S1201">
        <f>$C1201*S1200</f>
        <v/>
      </c>
      <c r="T1201">
        <f>$C1201*T1200</f>
        <v/>
      </c>
      <c r="U1201">
        <f>$C1201*U1200</f>
        <v/>
      </c>
      <c r="V1201">
        <f>$C1201*V1200</f>
        <v/>
      </c>
      <c r="W1201">
        <f>$C1201*W1200</f>
        <v/>
      </c>
      <c r="X1201">
        <f>$C1201*X1200</f>
        <v/>
      </c>
      <c r="Y1201">
        <f>$C1201*Y1200</f>
        <v/>
      </c>
      <c r="Z1201">
        <f>$C1201*Z1200</f>
        <v/>
      </c>
      <c r="AA1201">
        <f>$C1201*AA1200</f>
        <v/>
      </c>
      <c r="AB1201">
        <f>$C1201*AB1200</f>
        <v/>
      </c>
      <c r="AC1201">
        <f>$C1201*AC1200</f>
        <v/>
      </c>
      <c r="AD1201">
        <f>$C1201*AD1200</f>
        <v/>
      </c>
      <c r="AE1201">
        <f>$C1201*AE1200</f>
        <v/>
      </c>
      <c r="AF1201">
        <f>$C1201*AF1200</f>
        <v/>
      </c>
      <c r="AG1201">
        <f>$C1201*AG1200</f>
        <v/>
      </c>
      <c r="AH1201">
        <f>$C1201*AH1200</f>
        <v/>
      </c>
      <c r="AI1201">
        <f>$C1201*AI1200</f>
        <v/>
      </c>
      <c r="AJ1201">
        <f>$C1201*AJ1200</f>
        <v/>
      </c>
      <c r="AK1201">
        <f>$C1201*AK1200</f>
        <v/>
      </c>
      <c r="AL1201">
        <f>$C1201*AL1200</f>
        <v/>
      </c>
      <c r="AM1201">
        <f>$C1201*AM1200</f>
        <v/>
      </c>
      <c r="AN1201">
        <f>$C1201*AN1200</f>
        <v/>
      </c>
      <c r="AO1201">
        <f>$C1201*AO1200</f>
        <v/>
      </c>
      <c r="AP1201">
        <f>$C1201*AP1200</f>
        <v/>
      </c>
      <c r="AQ1201">
        <f>$C1201*AQ1200</f>
        <v/>
      </c>
      <c r="AR1201">
        <f>$C1201*AR1200</f>
        <v/>
      </c>
      <c r="AS1201">
        <f>$C1201*AS1200</f>
        <v/>
      </c>
      <c r="AT1201">
        <f>$C1201*AT1200</f>
        <v/>
      </c>
      <c r="AU1201">
        <f>$C1201*AU1200</f>
        <v/>
      </c>
      <c r="AV1201">
        <f>$C1201*AV1200</f>
        <v/>
      </c>
      <c r="AW1201">
        <f>$C1201*AW1200</f>
        <v/>
      </c>
      <c r="AX1201">
        <f>$C1201*AX1200</f>
        <v/>
      </c>
      <c r="AY1201">
        <f>$C1201*AY1200</f>
        <v/>
      </c>
      <c r="AZ1201">
        <f>$C1201*AZ1200</f>
        <v/>
      </c>
      <c r="BA1201">
        <f>$C1201*BA1200</f>
        <v/>
      </c>
      <c r="BB1201">
        <f>$C1201*BB1200</f>
        <v/>
      </c>
      <c r="BC1201">
        <f>$C1201*BC1200</f>
        <v/>
      </c>
      <c r="BD1201">
        <f>$C1201*BD1200</f>
        <v/>
      </c>
      <c r="BE1201">
        <f>$C1201*BE1200</f>
        <v/>
      </c>
      <c r="BF1201">
        <f>$C1201*BF1200</f>
        <v/>
      </c>
      <c r="BG1201">
        <f>$C1201*BG1200</f>
        <v/>
      </c>
      <c r="BH1201">
        <f>$C1201*BH1200</f>
        <v/>
      </c>
      <c r="BI1201">
        <f>$C1201*BI1200</f>
        <v/>
      </c>
      <c r="BJ1201">
        <f>$C1201*BJ1200</f>
        <v/>
      </c>
      <c r="BK1201">
        <f>$C1201*BK1200</f>
        <v/>
      </c>
      <c r="BL1201">
        <f>$C1201*BL1200</f>
        <v/>
      </c>
      <c r="BM1201">
        <f>$C1201*BM1200</f>
        <v/>
      </c>
      <c r="BN1201">
        <f>$C1201*BN1200</f>
        <v/>
      </c>
      <c r="BO1201">
        <f>$C1201*BO1200</f>
        <v/>
      </c>
      <c r="BP1201">
        <f>$C1201*BP1200</f>
        <v/>
      </c>
      <c r="BQ1201">
        <f>$C1201*BQ1200</f>
        <v/>
      </c>
      <c r="BR1201">
        <f>$C1201*BR1200</f>
        <v/>
      </c>
      <c r="BS1201">
        <f>$C1201*BS1200</f>
        <v/>
      </c>
      <c r="BT1201">
        <f>$C1201*BT1200</f>
        <v/>
      </c>
      <c r="BU1201">
        <f>$C1201*BU1200</f>
        <v/>
      </c>
      <c r="BV1201">
        <f>$C1201*BV1200</f>
        <v/>
      </c>
      <c r="BW1201">
        <f>$C1201*BW1200</f>
        <v/>
      </c>
      <c r="BX1201">
        <f>$C1201*BX1200</f>
        <v/>
      </c>
      <c r="BY1201">
        <f>$C1201*BY1200</f>
        <v/>
      </c>
      <c r="BZ1201">
        <f>$C1201*BZ1200</f>
        <v/>
      </c>
      <c r="CA1201">
        <f>$C1201*CA1200</f>
        <v/>
      </c>
      <c r="CB1201">
        <f>$C1201*CB1200</f>
        <v/>
      </c>
      <c r="CC1201">
        <f>$C1201*CC1200</f>
        <v/>
      </c>
      <c r="CD1201">
        <f>$C1201*CD1200</f>
        <v/>
      </c>
      <c r="CE1201">
        <f>$C1201*CE1200</f>
        <v/>
      </c>
      <c r="CF1201">
        <f>$C1201*CF1200</f>
        <v/>
      </c>
      <c r="CG1201">
        <f>$C1201*CG1200</f>
        <v/>
      </c>
      <c r="CH1201">
        <f>$C1201*CH1200</f>
        <v/>
      </c>
      <c r="CI1201">
        <f>$C1201*CI1200</f>
        <v/>
      </c>
      <c r="CJ1201">
        <f>$C1201*CJ1200</f>
        <v/>
      </c>
      <c r="CK1201">
        <f>$C1201*CK1200</f>
        <v/>
      </c>
      <c r="CL1201">
        <f>$C1201*CL1200</f>
        <v/>
      </c>
      <c r="CM1201">
        <f>$C1201*CM1200</f>
        <v/>
      </c>
      <c r="CN1201">
        <f>$C1201*CN1200</f>
        <v/>
      </c>
      <c r="CO1201">
        <f>$C1201*CO1200</f>
        <v/>
      </c>
      <c r="CP1201">
        <f>$C1201*CP1200</f>
        <v/>
      </c>
      <c r="CQ1201">
        <f>$C1201*CQ1200</f>
        <v/>
      </c>
      <c r="CR1201">
        <f>$C1201*CR1200</f>
        <v/>
      </c>
      <c r="CS1201">
        <f>$C1201*CS1200</f>
        <v/>
      </c>
      <c r="CT1201">
        <f>$C1201*CT1200</f>
        <v/>
      </c>
      <c r="CU1201">
        <f>$C1201*CU1200</f>
        <v/>
      </c>
      <c r="CV1201">
        <f>$C1201*CV1200</f>
        <v/>
      </c>
      <c r="CW1201">
        <f>$C1201*CW1200</f>
        <v/>
      </c>
      <c r="CX1201">
        <f>$C1201*CX1200</f>
        <v/>
      </c>
      <c r="CY1201">
        <f>$C1201*CY1200</f>
        <v/>
      </c>
      <c r="CZ1201">
        <f>$C1201*CZ1200</f>
        <v/>
      </c>
      <c r="DA1201">
        <f>$C1201*DA1200</f>
        <v/>
      </c>
      <c r="DB1201">
        <f>$C1201*DB1200</f>
        <v/>
      </c>
      <c r="DC1201">
        <f>$C1201*DC1200</f>
        <v/>
      </c>
    </row>
    <row r="1202">
      <c r="B1202" s="5" t="inlineStr">
        <is>
          <t>合計使用量(kg)/週</t>
        </is>
      </c>
      <c r="D1202">
        <f>'Grid_Requirement'!B51</f>
        <v/>
      </c>
      <c r="E1202">
        <f>'Grid_Requirement'!C51</f>
        <v/>
      </c>
      <c r="F1202">
        <f>'Grid_Requirement'!D51</f>
        <v/>
      </c>
      <c r="G1202">
        <f>'Grid_Requirement'!E51</f>
        <v/>
      </c>
      <c r="H1202">
        <f>'Grid_Requirement'!F51</f>
        <v/>
      </c>
      <c r="I1202">
        <f>'Grid_Requirement'!G51</f>
        <v/>
      </c>
      <c r="J1202">
        <f>'Grid_Requirement'!H51</f>
        <v/>
      </c>
      <c r="K1202">
        <f>'Grid_Requirement'!I51</f>
        <v/>
      </c>
      <c r="L1202">
        <f>'Grid_Requirement'!J51</f>
        <v/>
      </c>
      <c r="M1202">
        <f>'Grid_Requirement'!K51</f>
        <v/>
      </c>
      <c r="N1202">
        <f>'Grid_Requirement'!L51</f>
        <v/>
      </c>
      <c r="O1202">
        <f>'Grid_Requirement'!M51</f>
        <v/>
      </c>
      <c r="P1202">
        <f>'Grid_Requirement'!N51</f>
        <v/>
      </c>
      <c r="Q1202">
        <f>'Grid_Requirement'!O51</f>
        <v/>
      </c>
      <c r="R1202">
        <f>'Grid_Requirement'!P51</f>
        <v/>
      </c>
      <c r="S1202">
        <f>'Grid_Requirement'!Q51</f>
        <v/>
      </c>
      <c r="T1202">
        <f>'Grid_Requirement'!R51</f>
        <v/>
      </c>
      <c r="U1202">
        <f>'Grid_Requirement'!S51</f>
        <v/>
      </c>
      <c r="V1202">
        <f>'Grid_Requirement'!T51</f>
        <v/>
      </c>
      <c r="W1202">
        <f>'Grid_Requirement'!U51</f>
        <v/>
      </c>
      <c r="X1202">
        <f>'Grid_Requirement'!V51</f>
        <v/>
      </c>
      <c r="Y1202">
        <f>'Grid_Requirement'!W51</f>
        <v/>
      </c>
      <c r="Z1202">
        <f>'Grid_Requirement'!X51</f>
        <v/>
      </c>
      <c r="AA1202">
        <f>'Grid_Requirement'!Y51</f>
        <v/>
      </c>
      <c r="AB1202">
        <f>'Grid_Requirement'!Z51</f>
        <v/>
      </c>
      <c r="AC1202">
        <f>'Grid_Requirement'!AA51</f>
        <v/>
      </c>
      <c r="AD1202">
        <f>'Grid_Requirement'!AB51</f>
        <v/>
      </c>
      <c r="AE1202">
        <f>'Grid_Requirement'!AC51</f>
        <v/>
      </c>
      <c r="AF1202">
        <f>'Grid_Requirement'!AD51</f>
        <v/>
      </c>
      <c r="AG1202">
        <f>'Grid_Requirement'!AE51</f>
        <v/>
      </c>
      <c r="AH1202">
        <f>'Grid_Requirement'!AF51</f>
        <v/>
      </c>
      <c r="AI1202">
        <f>'Grid_Requirement'!AG51</f>
        <v/>
      </c>
      <c r="AJ1202">
        <f>'Grid_Requirement'!AH51</f>
        <v/>
      </c>
      <c r="AK1202">
        <f>'Grid_Requirement'!AI51</f>
        <v/>
      </c>
      <c r="AL1202">
        <f>'Grid_Requirement'!AJ51</f>
        <v/>
      </c>
      <c r="AM1202">
        <f>'Grid_Requirement'!AK51</f>
        <v/>
      </c>
      <c r="AN1202">
        <f>'Grid_Requirement'!AL51</f>
        <v/>
      </c>
      <c r="AO1202">
        <f>'Grid_Requirement'!AM51</f>
        <v/>
      </c>
      <c r="AP1202">
        <f>'Grid_Requirement'!AN51</f>
        <v/>
      </c>
      <c r="AQ1202">
        <f>'Grid_Requirement'!AO51</f>
        <v/>
      </c>
      <c r="AR1202">
        <f>'Grid_Requirement'!AP51</f>
        <v/>
      </c>
      <c r="AS1202">
        <f>'Grid_Requirement'!AQ51</f>
        <v/>
      </c>
      <c r="AT1202">
        <f>'Grid_Requirement'!AR51</f>
        <v/>
      </c>
      <c r="AU1202">
        <f>'Grid_Requirement'!AS51</f>
        <v/>
      </c>
      <c r="AV1202">
        <f>'Grid_Requirement'!AT51</f>
        <v/>
      </c>
      <c r="AW1202">
        <f>'Grid_Requirement'!AU51</f>
        <v/>
      </c>
      <c r="AX1202">
        <f>'Grid_Requirement'!AV51</f>
        <v/>
      </c>
      <c r="AY1202">
        <f>'Grid_Requirement'!AW51</f>
        <v/>
      </c>
      <c r="AZ1202">
        <f>'Grid_Requirement'!AX51</f>
        <v/>
      </c>
      <c r="BA1202">
        <f>'Grid_Requirement'!AY51</f>
        <v/>
      </c>
      <c r="BB1202">
        <f>'Grid_Requirement'!AZ51</f>
        <v/>
      </c>
      <c r="BC1202">
        <f>'Grid_Requirement'!BA51</f>
        <v/>
      </c>
      <c r="BD1202">
        <f>'Grid_Requirement'!BB51</f>
        <v/>
      </c>
      <c r="BE1202">
        <f>'Grid_Requirement'!BC51</f>
        <v/>
      </c>
      <c r="BF1202">
        <f>'Grid_Requirement'!BD51</f>
        <v/>
      </c>
      <c r="BG1202">
        <f>'Grid_Requirement'!BE51</f>
        <v/>
      </c>
      <c r="BH1202">
        <f>'Grid_Requirement'!BF51</f>
        <v/>
      </c>
      <c r="BI1202">
        <f>'Grid_Requirement'!BG51</f>
        <v/>
      </c>
      <c r="BJ1202">
        <f>'Grid_Requirement'!BH51</f>
        <v/>
      </c>
      <c r="BK1202">
        <f>'Grid_Requirement'!BI51</f>
        <v/>
      </c>
      <c r="BL1202">
        <f>'Grid_Requirement'!BJ51</f>
        <v/>
      </c>
      <c r="BM1202">
        <f>'Grid_Requirement'!BK51</f>
        <v/>
      </c>
      <c r="BN1202">
        <f>'Grid_Requirement'!BL51</f>
        <v/>
      </c>
      <c r="BO1202">
        <f>'Grid_Requirement'!BM51</f>
        <v/>
      </c>
      <c r="BP1202">
        <f>'Grid_Requirement'!BN51</f>
        <v/>
      </c>
      <c r="BQ1202">
        <f>'Grid_Requirement'!BO51</f>
        <v/>
      </c>
      <c r="BR1202">
        <f>'Grid_Requirement'!BP51</f>
        <v/>
      </c>
      <c r="BS1202">
        <f>'Grid_Requirement'!BQ51</f>
        <v/>
      </c>
      <c r="BT1202">
        <f>'Grid_Requirement'!BR51</f>
        <v/>
      </c>
      <c r="BU1202">
        <f>'Grid_Requirement'!BS51</f>
        <v/>
      </c>
      <c r="BV1202">
        <f>'Grid_Requirement'!BT51</f>
        <v/>
      </c>
      <c r="BW1202">
        <f>'Grid_Requirement'!BU51</f>
        <v/>
      </c>
      <c r="BX1202">
        <f>'Grid_Requirement'!BV51</f>
        <v/>
      </c>
      <c r="BY1202">
        <f>'Grid_Requirement'!BW51</f>
        <v/>
      </c>
      <c r="BZ1202">
        <f>'Grid_Requirement'!BX51</f>
        <v/>
      </c>
      <c r="CA1202">
        <f>'Grid_Requirement'!BY51</f>
        <v/>
      </c>
      <c r="CB1202">
        <f>'Grid_Requirement'!BZ51</f>
        <v/>
      </c>
      <c r="CC1202">
        <f>'Grid_Requirement'!CA51</f>
        <v/>
      </c>
      <c r="CD1202">
        <f>'Grid_Requirement'!CB51</f>
        <v/>
      </c>
      <c r="CE1202">
        <f>'Grid_Requirement'!CC51</f>
        <v/>
      </c>
      <c r="CF1202">
        <f>'Grid_Requirement'!CD51</f>
        <v/>
      </c>
      <c r="CG1202">
        <f>'Grid_Requirement'!CE51</f>
        <v/>
      </c>
      <c r="CH1202">
        <f>'Grid_Requirement'!CF51</f>
        <v/>
      </c>
      <c r="CI1202">
        <f>'Grid_Requirement'!CG51</f>
        <v/>
      </c>
      <c r="CJ1202">
        <f>'Grid_Requirement'!CH51</f>
        <v/>
      </c>
      <c r="CK1202">
        <f>'Grid_Requirement'!CI51</f>
        <v/>
      </c>
      <c r="CL1202">
        <f>'Grid_Requirement'!CJ51</f>
        <v/>
      </c>
      <c r="CM1202">
        <f>'Grid_Requirement'!CK51</f>
        <v/>
      </c>
      <c r="CN1202">
        <f>'Grid_Requirement'!CL51</f>
        <v/>
      </c>
      <c r="CO1202">
        <f>'Grid_Requirement'!CM51</f>
        <v/>
      </c>
      <c r="CP1202">
        <f>'Grid_Requirement'!CN51</f>
        <v/>
      </c>
      <c r="CQ1202">
        <f>'Grid_Requirement'!CO51</f>
        <v/>
      </c>
      <c r="CR1202">
        <f>'Grid_Requirement'!CP51</f>
        <v/>
      </c>
      <c r="CS1202">
        <f>'Grid_Requirement'!CQ51</f>
        <v/>
      </c>
      <c r="CT1202">
        <f>'Grid_Requirement'!CR51</f>
        <v/>
      </c>
      <c r="CU1202">
        <f>'Grid_Requirement'!CS51</f>
        <v/>
      </c>
      <c r="CV1202">
        <f>'Grid_Requirement'!CT51</f>
        <v/>
      </c>
      <c r="CW1202">
        <f>'Grid_Requirement'!CU51</f>
        <v/>
      </c>
      <c r="CX1202">
        <f>'Grid_Requirement'!CV51</f>
        <v/>
      </c>
      <c r="CY1202">
        <f>'Grid_Requirement'!CW51</f>
        <v/>
      </c>
      <c r="CZ1202">
        <f>'Grid_Requirement'!CX51</f>
        <v/>
      </c>
      <c r="DA1202">
        <f>'Grid_Requirement'!CY51</f>
        <v/>
      </c>
      <c r="DB1202">
        <f>'Grid_Requirement'!CZ51</f>
        <v/>
      </c>
      <c r="DC1202">
        <f>'Grid_Requirement'!DA51</f>
        <v/>
      </c>
    </row>
    <row r="1203">
      <c r="B1203" t="inlineStr">
        <is>
          <t>TTAF在庫(実績,kg)</t>
        </is>
      </c>
      <c r="D1203">
        <f>'T_TTAFStock'!B55</f>
        <v/>
      </c>
      <c r="E1203">
        <f>'T_TTAFStock'!C55</f>
        <v/>
      </c>
      <c r="F1203">
        <f>'T_TTAFStock'!D55</f>
        <v/>
      </c>
      <c r="G1203">
        <f>'T_TTAFStock'!E55</f>
        <v/>
      </c>
      <c r="H1203">
        <f>'T_TTAFStock'!F55</f>
        <v/>
      </c>
      <c r="I1203">
        <f>'T_TTAFStock'!G55</f>
        <v/>
      </c>
      <c r="J1203">
        <f>'T_TTAFStock'!H55</f>
        <v/>
      </c>
      <c r="K1203">
        <f>'T_TTAFStock'!I55</f>
        <v/>
      </c>
      <c r="L1203">
        <f>'T_TTAFStock'!J55</f>
        <v/>
      </c>
      <c r="M1203">
        <f>'T_TTAFStock'!K55</f>
        <v/>
      </c>
      <c r="N1203">
        <f>'T_TTAFStock'!L55</f>
        <v/>
      </c>
      <c r="O1203">
        <f>'T_TTAFStock'!M55</f>
        <v/>
      </c>
      <c r="P1203">
        <f>'T_TTAFStock'!N55</f>
        <v/>
      </c>
      <c r="Q1203">
        <f>'T_TTAFStock'!O55</f>
        <v/>
      </c>
      <c r="R1203">
        <f>'T_TTAFStock'!P55</f>
        <v/>
      </c>
      <c r="S1203">
        <f>'T_TTAFStock'!Q55</f>
        <v/>
      </c>
      <c r="T1203">
        <f>'T_TTAFStock'!R55</f>
        <v/>
      </c>
      <c r="U1203">
        <f>'T_TTAFStock'!S55</f>
        <v/>
      </c>
      <c r="V1203">
        <f>'T_TTAFStock'!T55</f>
        <v/>
      </c>
      <c r="W1203">
        <f>'T_TTAFStock'!U55</f>
        <v/>
      </c>
      <c r="X1203">
        <f>'T_TTAFStock'!V55</f>
        <v/>
      </c>
      <c r="Y1203">
        <f>'T_TTAFStock'!W55</f>
        <v/>
      </c>
      <c r="Z1203">
        <f>'T_TTAFStock'!X55</f>
        <v/>
      </c>
      <c r="AA1203">
        <f>'T_TTAFStock'!Y55</f>
        <v/>
      </c>
      <c r="AB1203">
        <f>'T_TTAFStock'!Z55</f>
        <v/>
      </c>
      <c r="AC1203">
        <f>'T_TTAFStock'!AA55</f>
        <v/>
      </c>
      <c r="AD1203">
        <f>'T_TTAFStock'!AB55</f>
        <v/>
      </c>
      <c r="AE1203">
        <f>'T_TTAFStock'!AC55</f>
        <v/>
      </c>
      <c r="AF1203">
        <f>'T_TTAFStock'!AD55</f>
        <v/>
      </c>
      <c r="AG1203">
        <f>'T_TTAFStock'!AE55</f>
        <v/>
      </c>
      <c r="AH1203">
        <f>'T_TTAFStock'!AF55</f>
        <v/>
      </c>
      <c r="AI1203">
        <f>'T_TTAFStock'!AG55</f>
        <v/>
      </c>
      <c r="AJ1203">
        <f>'T_TTAFStock'!AH55</f>
        <v/>
      </c>
      <c r="AK1203">
        <f>'T_TTAFStock'!AI55</f>
        <v/>
      </c>
      <c r="AL1203">
        <f>'T_TTAFStock'!AJ55</f>
        <v/>
      </c>
      <c r="AM1203">
        <f>'T_TTAFStock'!AK55</f>
        <v/>
      </c>
      <c r="AN1203">
        <f>'T_TTAFStock'!AL55</f>
        <v/>
      </c>
      <c r="AO1203">
        <f>'T_TTAFStock'!AM55</f>
        <v/>
      </c>
      <c r="AP1203">
        <f>'T_TTAFStock'!AN55</f>
        <v/>
      </c>
      <c r="AQ1203">
        <f>'T_TTAFStock'!AO55</f>
        <v/>
      </c>
      <c r="AR1203">
        <f>'T_TTAFStock'!AP55</f>
        <v/>
      </c>
      <c r="AS1203">
        <f>'T_TTAFStock'!AQ55</f>
        <v/>
      </c>
      <c r="AT1203">
        <f>'T_TTAFStock'!AR55</f>
        <v/>
      </c>
      <c r="AU1203">
        <f>'T_TTAFStock'!AS55</f>
        <v/>
      </c>
      <c r="AV1203">
        <f>'T_TTAFStock'!AT55</f>
        <v/>
      </c>
      <c r="AW1203">
        <f>'T_TTAFStock'!AU55</f>
        <v/>
      </c>
      <c r="AX1203">
        <f>'T_TTAFStock'!AV55</f>
        <v/>
      </c>
      <c r="AY1203">
        <f>'T_TTAFStock'!AW55</f>
        <v/>
      </c>
      <c r="AZ1203">
        <f>'T_TTAFStock'!AX55</f>
        <v/>
      </c>
      <c r="BA1203">
        <f>'T_TTAFStock'!AY55</f>
        <v/>
      </c>
      <c r="BB1203">
        <f>'T_TTAFStock'!AZ55</f>
        <v/>
      </c>
      <c r="BC1203">
        <f>'T_TTAFStock'!BA55</f>
        <v/>
      </c>
      <c r="BD1203">
        <f>'T_TTAFStock'!BB55</f>
        <v/>
      </c>
      <c r="BE1203">
        <f>'T_TTAFStock'!BC55</f>
        <v/>
      </c>
      <c r="BF1203">
        <f>'T_TTAFStock'!BD55</f>
        <v/>
      </c>
      <c r="BG1203">
        <f>'T_TTAFStock'!BE55</f>
        <v/>
      </c>
      <c r="BH1203">
        <f>'T_TTAFStock'!BF55</f>
        <v/>
      </c>
      <c r="BI1203">
        <f>'T_TTAFStock'!BG55</f>
        <v/>
      </c>
      <c r="BJ1203">
        <f>'T_TTAFStock'!BH55</f>
        <v/>
      </c>
      <c r="BK1203">
        <f>'T_TTAFStock'!BI55</f>
        <v/>
      </c>
      <c r="BL1203">
        <f>'T_TTAFStock'!BJ55</f>
        <v/>
      </c>
      <c r="BM1203">
        <f>'T_TTAFStock'!BK55</f>
        <v/>
      </c>
      <c r="BN1203">
        <f>'T_TTAFStock'!BL55</f>
        <v/>
      </c>
      <c r="BO1203">
        <f>'T_TTAFStock'!BM55</f>
        <v/>
      </c>
      <c r="BP1203">
        <f>'T_TTAFStock'!BN55</f>
        <v/>
      </c>
      <c r="BQ1203">
        <f>'T_TTAFStock'!BO55</f>
        <v/>
      </c>
      <c r="BR1203">
        <f>'T_TTAFStock'!BP55</f>
        <v/>
      </c>
      <c r="BS1203">
        <f>'T_TTAFStock'!BQ55</f>
        <v/>
      </c>
      <c r="BT1203">
        <f>'T_TTAFStock'!BR55</f>
        <v/>
      </c>
      <c r="BU1203">
        <f>'T_TTAFStock'!BS55</f>
        <v/>
      </c>
      <c r="BV1203">
        <f>'T_TTAFStock'!BT55</f>
        <v/>
      </c>
      <c r="BW1203">
        <f>'T_TTAFStock'!BU55</f>
        <v/>
      </c>
      <c r="BX1203">
        <f>'T_TTAFStock'!BV55</f>
        <v/>
      </c>
      <c r="BY1203">
        <f>'T_TTAFStock'!BW55</f>
        <v/>
      </c>
      <c r="BZ1203">
        <f>'T_TTAFStock'!BX55</f>
        <v/>
      </c>
      <c r="CA1203">
        <f>'T_TTAFStock'!BY55</f>
        <v/>
      </c>
      <c r="CB1203">
        <f>'T_TTAFStock'!BZ55</f>
        <v/>
      </c>
      <c r="CC1203">
        <f>'T_TTAFStock'!CA55</f>
        <v/>
      </c>
      <c r="CD1203">
        <f>'T_TTAFStock'!CB55</f>
        <v/>
      </c>
      <c r="CE1203">
        <f>'T_TTAFStock'!CC55</f>
        <v/>
      </c>
      <c r="CF1203">
        <f>'T_TTAFStock'!CD55</f>
        <v/>
      </c>
      <c r="CG1203">
        <f>'T_TTAFStock'!CE55</f>
        <v/>
      </c>
      <c r="CH1203">
        <f>'T_TTAFStock'!CF55</f>
        <v/>
      </c>
      <c r="CI1203">
        <f>'T_TTAFStock'!CG55</f>
        <v/>
      </c>
      <c r="CJ1203">
        <f>'T_TTAFStock'!CH55</f>
        <v/>
      </c>
      <c r="CK1203">
        <f>'T_TTAFStock'!CI55</f>
        <v/>
      </c>
      <c r="CL1203">
        <f>'T_TTAFStock'!CJ55</f>
        <v/>
      </c>
      <c r="CM1203">
        <f>'T_TTAFStock'!CK55</f>
        <v/>
      </c>
      <c r="CN1203">
        <f>'T_TTAFStock'!CL55</f>
        <v/>
      </c>
      <c r="CO1203">
        <f>'T_TTAFStock'!CM55</f>
        <v/>
      </c>
      <c r="CP1203">
        <f>'T_TTAFStock'!CN55</f>
        <v/>
      </c>
      <c r="CQ1203">
        <f>'T_TTAFStock'!CO55</f>
        <v/>
      </c>
      <c r="CR1203">
        <f>'T_TTAFStock'!CP55</f>
        <v/>
      </c>
      <c r="CS1203">
        <f>'T_TTAFStock'!CQ55</f>
        <v/>
      </c>
      <c r="CT1203">
        <f>'T_TTAFStock'!CR55</f>
        <v/>
      </c>
      <c r="CU1203">
        <f>'T_TTAFStock'!CS55</f>
        <v/>
      </c>
      <c r="CV1203">
        <f>'T_TTAFStock'!CT55</f>
        <v/>
      </c>
      <c r="CW1203">
        <f>'T_TTAFStock'!CU55</f>
        <v/>
      </c>
      <c r="CX1203">
        <f>'T_TTAFStock'!CV55</f>
        <v/>
      </c>
      <c r="CY1203">
        <f>'T_TTAFStock'!CW55</f>
        <v/>
      </c>
      <c r="CZ1203">
        <f>'T_TTAFStock'!CX55</f>
        <v/>
      </c>
      <c r="DA1203">
        <f>'T_TTAFStock'!CY55</f>
        <v/>
      </c>
      <c r="DB1203">
        <f>'T_TTAFStock'!CZ55</f>
        <v/>
      </c>
      <c r="DC1203">
        <f>'T_TTAFStock'!DA55</f>
        <v/>
      </c>
    </row>
    <row r="1204">
      <c r="B1204" t="inlineStr">
        <is>
          <t>自社在庫(実績,kg)</t>
        </is>
      </c>
      <c r="D1204">
        <f>'T_SelfStock'!B55</f>
        <v/>
      </c>
      <c r="E1204">
        <f>'T_SelfStock'!C55</f>
        <v/>
      </c>
      <c r="F1204">
        <f>'T_SelfStock'!D55</f>
        <v/>
      </c>
      <c r="G1204">
        <f>'T_SelfStock'!E55</f>
        <v/>
      </c>
      <c r="H1204">
        <f>'T_SelfStock'!F55</f>
        <v/>
      </c>
      <c r="I1204">
        <f>'T_SelfStock'!G55</f>
        <v/>
      </c>
      <c r="J1204">
        <f>'T_SelfStock'!H55</f>
        <v/>
      </c>
      <c r="K1204">
        <f>'T_SelfStock'!I55</f>
        <v/>
      </c>
      <c r="L1204">
        <f>'T_SelfStock'!J55</f>
        <v/>
      </c>
      <c r="M1204">
        <f>'T_SelfStock'!K55</f>
        <v/>
      </c>
      <c r="N1204">
        <f>'T_SelfStock'!L55</f>
        <v/>
      </c>
      <c r="O1204">
        <f>'T_SelfStock'!M55</f>
        <v/>
      </c>
      <c r="P1204">
        <f>'T_SelfStock'!N55</f>
        <v/>
      </c>
      <c r="Q1204">
        <f>'T_SelfStock'!O55</f>
        <v/>
      </c>
      <c r="R1204">
        <f>'T_SelfStock'!P55</f>
        <v/>
      </c>
      <c r="S1204">
        <f>'T_SelfStock'!Q55</f>
        <v/>
      </c>
      <c r="T1204">
        <f>'T_SelfStock'!R55</f>
        <v/>
      </c>
      <c r="U1204">
        <f>'T_SelfStock'!S55</f>
        <v/>
      </c>
      <c r="V1204">
        <f>'T_SelfStock'!T55</f>
        <v/>
      </c>
      <c r="W1204">
        <f>'T_SelfStock'!U55</f>
        <v/>
      </c>
      <c r="X1204">
        <f>'T_SelfStock'!V55</f>
        <v/>
      </c>
      <c r="Y1204">
        <f>'T_SelfStock'!W55</f>
        <v/>
      </c>
      <c r="Z1204">
        <f>'T_SelfStock'!X55</f>
        <v/>
      </c>
      <c r="AA1204">
        <f>'T_SelfStock'!Y55</f>
        <v/>
      </c>
      <c r="AB1204">
        <f>'T_SelfStock'!Z55</f>
        <v/>
      </c>
      <c r="AC1204">
        <f>'T_SelfStock'!AA55</f>
        <v/>
      </c>
      <c r="AD1204">
        <f>'T_SelfStock'!AB55</f>
        <v/>
      </c>
      <c r="AE1204">
        <f>'T_SelfStock'!AC55</f>
        <v/>
      </c>
      <c r="AF1204">
        <f>'T_SelfStock'!AD55</f>
        <v/>
      </c>
      <c r="AG1204">
        <f>'T_SelfStock'!AE55</f>
        <v/>
      </c>
      <c r="AH1204">
        <f>'T_SelfStock'!AF55</f>
        <v/>
      </c>
      <c r="AI1204">
        <f>'T_SelfStock'!AG55</f>
        <v/>
      </c>
      <c r="AJ1204">
        <f>'T_SelfStock'!AH55</f>
        <v/>
      </c>
      <c r="AK1204">
        <f>'T_SelfStock'!AI55</f>
        <v/>
      </c>
      <c r="AL1204">
        <f>'T_SelfStock'!AJ55</f>
        <v/>
      </c>
      <c r="AM1204">
        <f>'T_SelfStock'!AK55</f>
        <v/>
      </c>
      <c r="AN1204">
        <f>'T_SelfStock'!AL55</f>
        <v/>
      </c>
      <c r="AO1204">
        <f>'T_SelfStock'!AM55</f>
        <v/>
      </c>
      <c r="AP1204">
        <f>'T_SelfStock'!AN55</f>
        <v/>
      </c>
      <c r="AQ1204">
        <f>'T_SelfStock'!AO55</f>
        <v/>
      </c>
      <c r="AR1204">
        <f>'T_SelfStock'!AP55</f>
        <v/>
      </c>
      <c r="AS1204">
        <f>'T_SelfStock'!AQ55</f>
        <v/>
      </c>
      <c r="AT1204">
        <f>'T_SelfStock'!AR55</f>
        <v/>
      </c>
      <c r="AU1204">
        <f>'T_SelfStock'!AS55</f>
        <v/>
      </c>
      <c r="AV1204">
        <f>'T_SelfStock'!AT55</f>
        <v/>
      </c>
      <c r="AW1204">
        <f>'T_SelfStock'!AU55</f>
        <v/>
      </c>
      <c r="AX1204">
        <f>'T_SelfStock'!AV55</f>
        <v/>
      </c>
      <c r="AY1204">
        <f>'T_SelfStock'!AW55</f>
        <v/>
      </c>
      <c r="AZ1204">
        <f>'T_SelfStock'!AX55</f>
        <v/>
      </c>
      <c r="BA1204">
        <f>'T_SelfStock'!AY55</f>
        <v/>
      </c>
      <c r="BB1204">
        <f>'T_SelfStock'!AZ55</f>
        <v/>
      </c>
      <c r="BC1204">
        <f>'T_SelfStock'!BA55</f>
        <v/>
      </c>
      <c r="BD1204">
        <f>'T_SelfStock'!BB55</f>
        <v/>
      </c>
      <c r="BE1204">
        <f>'T_SelfStock'!BC55</f>
        <v/>
      </c>
      <c r="BF1204">
        <f>'T_SelfStock'!BD55</f>
        <v/>
      </c>
      <c r="BG1204">
        <f>'T_SelfStock'!BE55</f>
        <v/>
      </c>
      <c r="BH1204">
        <f>'T_SelfStock'!BF55</f>
        <v/>
      </c>
      <c r="BI1204">
        <f>'T_SelfStock'!BG55</f>
        <v/>
      </c>
      <c r="BJ1204">
        <f>'T_SelfStock'!BH55</f>
        <v/>
      </c>
      <c r="BK1204">
        <f>'T_SelfStock'!BI55</f>
        <v/>
      </c>
      <c r="BL1204">
        <f>'T_SelfStock'!BJ55</f>
        <v/>
      </c>
      <c r="BM1204">
        <f>'T_SelfStock'!BK55</f>
        <v/>
      </c>
      <c r="BN1204">
        <f>'T_SelfStock'!BL55</f>
        <v/>
      </c>
      <c r="BO1204">
        <f>'T_SelfStock'!BM55</f>
        <v/>
      </c>
      <c r="BP1204">
        <f>'T_SelfStock'!BN55</f>
        <v/>
      </c>
      <c r="BQ1204">
        <f>'T_SelfStock'!BO55</f>
        <v/>
      </c>
      <c r="BR1204">
        <f>'T_SelfStock'!BP55</f>
        <v/>
      </c>
      <c r="BS1204">
        <f>'T_SelfStock'!BQ55</f>
        <v/>
      </c>
      <c r="BT1204">
        <f>'T_SelfStock'!BR55</f>
        <v/>
      </c>
      <c r="BU1204">
        <f>'T_SelfStock'!BS55</f>
        <v/>
      </c>
      <c r="BV1204">
        <f>'T_SelfStock'!BT55</f>
        <v/>
      </c>
      <c r="BW1204">
        <f>'T_SelfStock'!BU55</f>
        <v/>
      </c>
      <c r="BX1204">
        <f>'T_SelfStock'!BV55</f>
        <v/>
      </c>
      <c r="BY1204">
        <f>'T_SelfStock'!BW55</f>
        <v/>
      </c>
      <c r="BZ1204">
        <f>'T_SelfStock'!BX55</f>
        <v/>
      </c>
      <c r="CA1204">
        <f>'T_SelfStock'!BY55</f>
        <v/>
      </c>
      <c r="CB1204">
        <f>'T_SelfStock'!BZ55</f>
        <v/>
      </c>
      <c r="CC1204">
        <f>'T_SelfStock'!CA55</f>
        <v/>
      </c>
      <c r="CD1204">
        <f>'T_SelfStock'!CB55</f>
        <v/>
      </c>
      <c r="CE1204">
        <f>'T_SelfStock'!CC55</f>
        <v/>
      </c>
      <c r="CF1204">
        <f>'T_SelfStock'!CD55</f>
        <v/>
      </c>
      <c r="CG1204">
        <f>'T_SelfStock'!CE55</f>
        <v/>
      </c>
      <c r="CH1204">
        <f>'T_SelfStock'!CF55</f>
        <v/>
      </c>
      <c r="CI1204">
        <f>'T_SelfStock'!CG55</f>
        <v/>
      </c>
      <c r="CJ1204">
        <f>'T_SelfStock'!CH55</f>
        <v/>
      </c>
      <c r="CK1204">
        <f>'T_SelfStock'!CI55</f>
        <v/>
      </c>
      <c r="CL1204">
        <f>'T_SelfStock'!CJ55</f>
        <v/>
      </c>
      <c r="CM1204">
        <f>'T_SelfStock'!CK55</f>
        <v/>
      </c>
      <c r="CN1204">
        <f>'T_SelfStock'!CL55</f>
        <v/>
      </c>
      <c r="CO1204">
        <f>'T_SelfStock'!CM55</f>
        <v/>
      </c>
      <c r="CP1204">
        <f>'T_SelfStock'!CN55</f>
        <v/>
      </c>
      <c r="CQ1204">
        <f>'T_SelfStock'!CO55</f>
        <v/>
      </c>
      <c r="CR1204">
        <f>'T_SelfStock'!CP55</f>
        <v/>
      </c>
      <c r="CS1204">
        <f>'T_SelfStock'!CQ55</f>
        <v/>
      </c>
      <c r="CT1204">
        <f>'T_SelfStock'!CR55</f>
        <v/>
      </c>
      <c r="CU1204">
        <f>'T_SelfStock'!CS55</f>
        <v/>
      </c>
      <c r="CV1204">
        <f>'T_SelfStock'!CT55</f>
        <v/>
      </c>
      <c r="CW1204">
        <f>'T_SelfStock'!CU55</f>
        <v/>
      </c>
      <c r="CX1204">
        <f>'T_SelfStock'!CV55</f>
        <v/>
      </c>
      <c r="CY1204">
        <f>'T_SelfStock'!CW55</f>
        <v/>
      </c>
      <c r="CZ1204">
        <f>'T_SelfStock'!CX55</f>
        <v/>
      </c>
      <c r="DA1204">
        <f>'T_SelfStock'!CY55</f>
        <v/>
      </c>
      <c r="DB1204">
        <f>'T_SelfStock'!CZ55</f>
        <v/>
      </c>
      <c r="DC1204">
        <f>'T_SelfStock'!DA55</f>
        <v/>
      </c>
    </row>
    <row r="1205">
      <c r="B1205" t="inlineStr">
        <is>
          <t>Order(発注予定,kg)</t>
        </is>
      </c>
      <c r="D1205" s="23" t="n"/>
      <c r="E1205" s="23" t="n"/>
      <c r="F1205" s="23" t="n"/>
      <c r="G1205" s="23" t="n"/>
      <c r="H1205" s="23" t="n"/>
      <c r="I1205" s="23" t="n"/>
      <c r="J1205" s="23" t="n"/>
      <c r="K1205" s="23" t="n"/>
      <c r="L1205" s="23" t="n"/>
      <c r="M1205" s="23" t="n"/>
      <c r="N1205" s="23" t="n"/>
      <c r="O1205" s="23" t="n"/>
      <c r="P1205" s="23" t="n"/>
      <c r="Q1205" s="23" t="n"/>
      <c r="R1205" s="23" t="n"/>
      <c r="S1205" s="23" t="n"/>
      <c r="T1205" s="23" t="n"/>
      <c r="U1205" s="23" t="n"/>
      <c r="V1205" s="23" t="n"/>
      <c r="W1205" s="23" t="n"/>
      <c r="X1205" s="23" t="n"/>
      <c r="Y1205" s="23" t="n"/>
      <c r="Z1205" s="23" t="n"/>
      <c r="AA1205" s="23" t="n"/>
      <c r="AB1205" s="23" t="n"/>
      <c r="AC1205" s="23" t="n"/>
      <c r="AD1205" s="23" t="n"/>
      <c r="AE1205" s="23" t="n"/>
      <c r="AF1205" s="23" t="n"/>
      <c r="AG1205" s="23" t="n"/>
      <c r="AH1205" s="23" t="n"/>
      <c r="AI1205" s="23" t="n"/>
      <c r="AJ1205" s="23" t="n"/>
      <c r="AK1205" s="23" t="n"/>
      <c r="AL1205" s="23" t="n"/>
      <c r="AM1205" s="23" t="n"/>
      <c r="AN1205" s="23" t="n"/>
      <c r="AO1205" s="23" t="n"/>
      <c r="AP1205" s="23" t="n"/>
      <c r="AQ1205" s="23" t="n"/>
      <c r="AR1205" s="23" t="n"/>
      <c r="AS1205" s="23" t="n"/>
      <c r="AT1205" s="23" t="n"/>
      <c r="AU1205" s="23" t="n"/>
      <c r="AV1205" s="23" t="n"/>
      <c r="AW1205" s="23" t="n"/>
      <c r="AX1205" s="23" t="n"/>
      <c r="AY1205" s="23" t="n"/>
      <c r="AZ1205" s="23" t="n"/>
      <c r="BA1205" s="23" t="n"/>
      <c r="BB1205" s="23" t="n"/>
      <c r="BC1205" s="23" t="n"/>
      <c r="BD1205" s="23" t="n"/>
      <c r="BE1205" s="23" t="n"/>
      <c r="BF1205" s="23" t="n"/>
      <c r="BG1205" s="23" t="n"/>
      <c r="BH1205" s="23" t="n"/>
      <c r="BI1205" s="23" t="n"/>
      <c r="BJ1205" s="23" t="n"/>
      <c r="BK1205" s="23" t="n"/>
      <c r="BL1205" s="23" t="n"/>
      <c r="BM1205" s="23" t="n"/>
      <c r="BN1205" s="23" t="n"/>
      <c r="BO1205" s="23" t="n"/>
      <c r="BP1205" s="23" t="n"/>
      <c r="BQ1205" s="23" t="n"/>
      <c r="BR1205" s="23" t="n"/>
      <c r="BS1205" s="23" t="n"/>
      <c r="BT1205" s="23" t="n"/>
      <c r="BU1205" s="23" t="n"/>
      <c r="BV1205" s="23" t="n"/>
      <c r="BW1205" s="23" t="n"/>
      <c r="BX1205" s="23" t="n"/>
      <c r="BY1205" s="23" t="n"/>
      <c r="BZ1205" s="23" t="n"/>
      <c r="CA1205" s="23" t="n"/>
      <c r="CB1205" s="23" t="n"/>
      <c r="CC1205" s="23" t="n"/>
      <c r="CD1205" s="23" t="n"/>
      <c r="CE1205" s="23" t="n"/>
      <c r="CF1205" s="23" t="n"/>
      <c r="CG1205" s="23" t="n"/>
      <c r="CH1205" s="23" t="n"/>
      <c r="CI1205" s="23" t="n"/>
      <c r="CJ1205" s="23" t="n"/>
      <c r="CK1205" s="23" t="n"/>
      <c r="CL1205" s="23" t="n"/>
      <c r="CM1205" s="23" t="n"/>
      <c r="CN1205" s="23" t="n"/>
      <c r="CO1205" s="23" t="n"/>
      <c r="CP1205" s="23" t="n"/>
      <c r="CQ1205" s="23" t="n"/>
      <c r="CR1205" s="23" t="n"/>
      <c r="CS1205" s="23" t="n"/>
      <c r="CT1205" s="23" t="n"/>
      <c r="CU1205" s="23" t="n"/>
      <c r="CV1205" s="23" t="n"/>
      <c r="CW1205" s="23" t="n"/>
      <c r="CX1205" s="23" t="n"/>
      <c r="CY1205" s="23" t="n"/>
      <c r="CZ1205" s="23" t="n"/>
      <c r="DA1205" s="23" t="n"/>
      <c r="DB1205" s="23" t="n"/>
      <c r="DC1205" s="23" t="n"/>
      <c r="DE1205" s="12" t="inlineStr">
        <is>
          <t>CHEM-1700</t>
        </is>
      </c>
    </row>
    <row r="1206">
      <c r="B1206" s="24" t="inlineStr">
        <is>
          <t>PO_No</t>
        </is>
      </c>
      <c r="D1206" s="25" t="n"/>
      <c r="E1206" s="25" t="n"/>
      <c r="F1206" s="25" t="n"/>
      <c r="G1206" s="25" t="n"/>
      <c r="H1206" s="25" t="n"/>
      <c r="I1206" s="25" t="n"/>
      <c r="J1206" s="25" t="n"/>
      <c r="K1206" s="25" t="n"/>
      <c r="L1206" s="25" t="n"/>
      <c r="M1206" s="25" t="n"/>
      <c r="N1206" s="25" t="n"/>
      <c r="O1206" s="25" t="n"/>
      <c r="P1206" s="25" t="n"/>
      <c r="Q1206" s="25" t="n"/>
      <c r="R1206" s="25" t="n"/>
      <c r="S1206" s="25" t="n"/>
      <c r="T1206" s="25" t="n"/>
      <c r="U1206" s="25" t="n"/>
      <c r="V1206" s="25" t="n"/>
      <c r="W1206" s="25" t="n"/>
      <c r="X1206" s="25" t="n"/>
      <c r="Y1206" s="25" t="n"/>
      <c r="Z1206" s="25" t="n"/>
      <c r="AA1206" s="25" t="n"/>
      <c r="AB1206" s="25" t="n"/>
      <c r="AC1206" s="25" t="n"/>
      <c r="AD1206" s="25" t="n"/>
      <c r="AE1206" s="25" t="n"/>
      <c r="AF1206" s="25" t="n"/>
      <c r="AG1206" s="25" t="n"/>
      <c r="AH1206" s="25" t="n"/>
      <c r="AI1206" s="25" t="n"/>
      <c r="AJ1206" s="25" t="n"/>
      <c r="AK1206" s="25" t="n"/>
      <c r="AL1206" s="25" t="n"/>
      <c r="AM1206" s="25" t="n"/>
      <c r="AN1206" s="25" t="n"/>
      <c r="AO1206" s="25" t="n"/>
      <c r="AP1206" s="25" t="n"/>
      <c r="AQ1206" s="25" t="n"/>
      <c r="AR1206" s="25" t="n"/>
      <c r="AS1206" s="25" t="n"/>
      <c r="AT1206" s="25" t="n"/>
      <c r="AU1206" s="25" t="n"/>
      <c r="AV1206" s="25" t="n"/>
      <c r="AW1206" s="25" t="n"/>
      <c r="AX1206" s="25" t="n"/>
      <c r="AY1206" s="25" t="n"/>
      <c r="AZ1206" s="25" t="n"/>
      <c r="BA1206" s="25" t="n"/>
      <c r="BB1206" s="25" t="n"/>
      <c r="BC1206" s="25" t="n"/>
      <c r="BD1206" s="25" t="n"/>
      <c r="BE1206" s="25" t="n"/>
      <c r="BF1206" s="25" t="n"/>
      <c r="BG1206" s="25" t="n"/>
      <c r="BH1206" s="25" t="n"/>
      <c r="BI1206" s="25" t="n"/>
      <c r="BJ1206" s="25" t="n"/>
      <c r="BK1206" s="25" t="n"/>
      <c r="BL1206" s="25" t="n"/>
      <c r="BM1206" s="25" t="n"/>
      <c r="BN1206" s="25" t="n"/>
      <c r="BO1206" s="25" t="n"/>
      <c r="BP1206" s="25" t="n"/>
      <c r="BQ1206" s="25" t="n"/>
      <c r="BR1206" s="25" t="n"/>
      <c r="BS1206" s="25" t="n"/>
      <c r="BT1206" s="25" t="n"/>
      <c r="BU1206" s="25" t="n"/>
      <c r="BV1206" s="25" t="n"/>
      <c r="BW1206" s="25" t="n"/>
      <c r="BX1206" s="25" t="n"/>
      <c r="BY1206" s="25" t="n"/>
      <c r="BZ1206" s="25" t="n"/>
      <c r="CA1206" s="25" t="n"/>
      <c r="CB1206" s="25" t="n"/>
      <c r="CC1206" s="25" t="n"/>
      <c r="CD1206" s="25" t="n"/>
      <c r="CE1206" s="25" t="n"/>
      <c r="CF1206" s="25" t="n"/>
      <c r="CG1206" s="25" t="n"/>
      <c r="CH1206" s="25" t="n"/>
      <c r="CI1206" s="25" t="n"/>
      <c r="CJ1206" s="25" t="n"/>
      <c r="CK1206" s="25" t="n"/>
      <c r="CL1206" s="25" t="n"/>
      <c r="CM1206" s="25" t="n"/>
      <c r="CN1206" s="25" t="n"/>
      <c r="CO1206" s="25" t="n"/>
      <c r="CP1206" s="25" t="n"/>
      <c r="CQ1206" s="25" t="n"/>
      <c r="CR1206" s="25" t="n"/>
      <c r="CS1206" s="25" t="n"/>
      <c r="CT1206" s="25" t="n"/>
      <c r="CU1206" s="25" t="n"/>
      <c r="CV1206" s="25" t="n"/>
      <c r="CW1206" s="25" t="n"/>
      <c r="CX1206" s="25" t="n"/>
      <c r="CY1206" s="25" t="n"/>
      <c r="CZ1206" s="25" t="n"/>
      <c r="DA1206" s="25" t="n"/>
      <c r="DB1206" s="25" t="n"/>
      <c r="DC1206" s="25" t="n"/>
    </row>
    <row r="1207">
      <c r="B1207" s="5" t="inlineStr">
        <is>
          <t>合計在庫(週末時点,kg)</t>
        </is>
      </c>
      <c r="D1207">
        <f>'Grid_Stock'!B51</f>
        <v/>
      </c>
      <c r="E1207">
        <f>'Grid_Stock'!C51</f>
        <v/>
      </c>
      <c r="F1207">
        <f>'Grid_Stock'!D51</f>
        <v/>
      </c>
      <c r="G1207">
        <f>'Grid_Stock'!E51</f>
        <v/>
      </c>
      <c r="H1207">
        <f>'Grid_Stock'!F51</f>
        <v/>
      </c>
      <c r="I1207">
        <f>'Grid_Stock'!G51</f>
        <v/>
      </c>
      <c r="J1207">
        <f>'Grid_Stock'!H51</f>
        <v/>
      </c>
      <c r="K1207">
        <f>'Grid_Stock'!I51</f>
        <v/>
      </c>
      <c r="L1207">
        <f>'Grid_Stock'!J51</f>
        <v/>
      </c>
      <c r="M1207">
        <f>'Grid_Stock'!K51</f>
        <v/>
      </c>
      <c r="N1207">
        <f>'Grid_Stock'!L51</f>
        <v/>
      </c>
      <c r="O1207">
        <f>'Grid_Stock'!M51</f>
        <v/>
      </c>
      <c r="P1207">
        <f>'Grid_Stock'!N51</f>
        <v/>
      </c>
      <c r="Q1207">
        <f>'Grid_Stock'!O51</f>
        <v/>
      </c>
      <c r="R1207">
        <f>'Grid_Stock'!P51</f>
        <v/>
      </c>
      <c r="S1207">
        <f>'Grid_Stock'!Q51</f>
        <v/>
      </c>
      <c r="T1207">
        <f>'Grid_Stock'!R51</f>
        <v/>
      </c>
      <c r="U1207">
        <f>'Grid_Stock'!S51</f>
        <v/>
      </c>
      <c r="V1207">
        <f>'Grid_Stock'!T51</f>
        <v/>
      </c>
      <c r="W1207">
        <f>'Grid_Stock'!U51</f>
        <v/>
      </c>
      <c r="X1207">
        <f>'Grid_Stock'!V51</f>
        <v/>
      </c>
      <c r="Y1207">
        <f>'Grid_Stock'!W51</f>
        <v/>
      </c>
      <c r="Z1207">
        <f>'Grid_Stock'!X51</f>
        <v/>
      </c>
      <c r="AA1207">
        <f>'Grid_Stock'!Y51</f>
        <v/>
      </c>
      <c r="AB1207">
        <f>'Grid_Stock'!Z51</f>
        <v/>
      </c>
      <c r="AC1207">
        <f>'Grid_Stock'!AA51</f>
        <v/>
      </c>
      <c r="AD1207">
        <f>'Grid_Stock'!AB51</f>
        <v/>
      </c>
      <c r="AE1207">
        <f>'Grid_Stock'!AC51</f>
        <v/>
      </c>
      <c r="AF1207">
        <f>'Grid_Stock'!AD51</f>
        <v/>
      </c>
      <c r="AG1207">
        <f>'Grid_Stock'!AE51</f>
        <v/>
      </c>
      <c r="AH1207">
        <f>'Grid_Stock'!AF51</f>
        <v/>
      </c>
      <c r="AI1207">
        <f>'Grid_Stock'!AG51</f>
        <v/>
      </c>
      <c r="AJ1207">
        <f>'Grid_Stock'!AH51</f>
        <v/>
      </c>
      <c r="AK1207">
        <f>'Grid_Stock'!AI51</f>
        <v/>
      </c>
      <c r="AL1207">
        <f>'Grid_Stock'!AJ51</f>
        <v/>
      </c>
      <c r="AM1207">
        <f>'Grid_Stock'!AK51</f>
        <v/>
      </c>
      <c r="AN1207">
        <f>'Grid_Stock'!AL51</f>
        <v/>
      </c>
      <c r="AO1207">
        <f>'Grid_Stock'!AM51</f>
        <v/>
      </c>
      <c r="AP1207">
        <f>'Grid_Stock'!AN51</f>
        <v/>
      </c>
      <c r="AQ1207">
        <f>'Grid_Stock'!AO51</f>
        <v/>
      </c>
      <c r="AR1207">
        <f>'Grid_Stock'!AP51</f>
        <v/>
      </c>
      <c r="AS1207">
        <f>'Grid_Stock'!AQ51</f>
        <v/>
      </c>
      <c r="AT1207">
        <f>'Grid_Stock'!AR51</f>
        <v/>
      </c>
      <c r="AU1207">
        <f>'Grid_Stock'!AS51</f>
        <v/>
      </c>
      <c r="AV1207">
        <f>'Grid_Stock'!AT51</f>
        <v/>
      </c>
      <c r="AW1207">
        <f>'Grid_Stock'!AU51</f>
        <v/>
      </c>
      <c r="AX1207">
        <f>'Grid_Stock'!AV51</f>
        <v/>
      </c>
      <c r="AY1207">
        <f>'Grid_Stock'!AW51</f>
        <v/>
      </c>
      <c r="AZ1207">
        <f>'Grid_Stock'!AX51</f>
        <v/>
      </c>
      <c r="BA1207">
        <f>'Grid_Stock'!AY51</f>
        <v/>
      </c>
      <c r="BB1207">
        <f>'Grid_Stock'!AZ51</f>
        <v/>
      </c>
      <c r="BC1207">
        <f>'Grid_Stock'!BA51</f>
        <v/>
      </c>
      <c r="BD1207">
        <f>'Grid_Stock'!BB51</f>
        <v/>
      </c>
      <c r="BE1207">
        <f>'Grid_Stock'!BC51</f>
        <v/>
      </c>
      <c r="BF1207">
        <f>'Grid_Stock'!BD51</f>
        <v/>
      </c>
      <c r="BG1207">
        <f>'Grid_Stock'!BE51</f>
        <v/>
      </c>
      <c r="BH1207">
        <f>'Grid_Stock'!BF51</f>
        <v/>
      </c>
      <c r="BI1207">
        <f>'Grid_Stock'!BG51</f>
        <v/>
      </c>
      <c r="BJ1207">
        <f>'Grid_Stock'!BH51</f>
        <v/>
      </c>
      <c r="BK1207">
        <f>'Grid_Stock'!BI51</f>
        <v/>
      </c>
      <c r="BL1207">
        <f>'Grid_Stock'!BJ51</f>
        <v/>
      </c>
      <c r="BM1207">
        <f>'Grid_Stock'!BK51</f>
        <v/>
      </c>
      <c r="BN1207">
        <f>'Grid_Stock'!BL51</f>
        <v/>
      </c>
      <c r="BO1207">
        <f>'Grid_Stock'!BM51</f>
        <v/>
      </c>
      <c r="BP1207">
        <f>'Grid_Stock'!BN51</f>
        <v/>
      </c>
      <c r="BQ1207">
        <f>'Grid_Stock'!BO51</f>
        <v/>
      </c>
      <c r="BR1207">
        <f>'Grid_Stock'!BP51</f>
        <v/>
      </c>
      <c r="BS1207">
        <f>'Grid_Stock'!BQ51</f>
        <v/>
      </c>
      <c r="BT1207">
        <f>'Grid_Stock'!BR51</f>
        <v/>
      </c>
      <c r="BU1207">
        <f>'Grid_Stock'!BS51</f>
        <v/>
      </c>
      <c r="BV1207">
        <f>'Grid_Stock'!BT51</f>
        <v/>
      </c>
      <c r="BW1207">
        <f>'Grid_Stock'!BU51</f>
        <v/>
      </c>
      <c r="BX1207">
        <f>'Grid_Stock'!BV51</f>
        <v/>
      </c>
      <c r="BY1207">
        <f>'Grid_Stock'!BW51</f>
        <v/>
      </c>
      <c r="BZ1207">
        <f>'Grid_Stock'!BX51</f>
        <v/>
      </c>
      <c r="CA1207">
        <f>'Grid_Stock'!BY51</f>
        <v/>
      </c>
      <c r="CB1207">
        <f>'Grid_Stock'!BZ51</f>
        <v/>
      </c>
      <c r="CC1207">
        <f>'Grid_Stock'!CA51</f>
        <v/>
      </c>
      <c r="CD1207">
        <f>'Grid_Stock'!CB51</f>
        <v/>
      </c>
      <c r="CE1207">
        <f>'Grid_Stock'!CC51</f>
        <v/>
      </c>
      <c r="CF1207">
        <f>'Grid_Stock'!CD51</f>
        <v/>
      </c>
      <c r="CG1207">
        <f>'Grid_Stock'!CE51</f>
        <v/>
      </c>
      <c r="CH1207">
        <f>'Grid_Stock'!CF51</f>
        <v/>
      </c>
      <c r="CI1207">
        <f>'Grid_Stock'!CG51</f>
        <v/>
      </c>
      <c r="CJ1207">
        <f>'Grid_Stock'!CH51</f>
        <v/>
      </c>
      <c r="CK1207">
        <f>'Grid_Stock'!CI51</f>
        <v/>
      </c>
      <c r="CL1207">
        <f>'Grid_Stock'!CJ51</f>
        <v/>
      </c>
      <c r="CM1207">
        <f>'Grid_Stock'!CK51</f>
        <v/>
      </c>
      <c r="CN1207">
        <f>'Grid_Stock'!CL51</f>
        <v/>
      </c>
      <c r="CO1207">
        <f>'Grid_Stock'!CM51</f>
        <v/>
      </c>
      <c r="CP1207">
        <f>'Grid_Stock'!CN51</f>
        <v/>
      </c>
      <c r="CQ1207">
        <f>'Grid_Stock'!CO51</f>
        <v/>
      </c>
      <c r="CR1207">
        <f>'Grid_Stock'!CP51</f>
        <v/>
      </c>
      <c r="CS1207">
        <f>'Grid_Stock'!CQ51</f>
        <v/>
      </c>
      <c r="CT1207">
        <f>'Grid_Stock'!CR51</f>
        <v/>
      </c>
      <c r="CU1207">
        <f>'Grid_Stock'!CS51</f>
        <v/>
      </c>
      <c r="CV1207">
        <f>'Grid_Stock'!CT51</f>
        <v/>
      </c>
      <c r="CW1207">
        <f>'Grid_Stock'!CU51</f>
        <v/>
      </c>
      <c r="CX1207">
        <f>'Grid_Stock'!CV51</f>
        <v/>
      </c>
      <c r="CY1207">
        <f>'Grid_Stock'!CW51</f>
        <v/>
      </c>
      <c r="CZ1207">
        <f>'Grid_Stock'!CX51</f>
        <v/>
      </c>
      <c r="DA1207">
        <f>'Grid_Stock'!CY51</f>
        <v/>
      </c>
      <c r="DB1207">
        <f>'Grid_Stock'!CZ51</f>
        <v/>
      </c>
      <c r="DC1207">
        <f>'Grid_Stock'!DA51</f>
        <v/>
      </c>
    </row>
    <row r="1208">
      <c r="B1208" s="26" t="inlineStr">
        <is>
          <t>（発注の目安はDashboardの基準在庫[下限/上限]と色分けを参照）</t>
        </is>
      </c>
    </row>
    <row r="1210">
      <c r="A1210" s="21" t="inlineStr">
        <is>
          <t>CHEM-1850</t>
        </is>
      </c>
      <c r="B1210" s="21" t="inlineStr">
        <is>
          <t>TPP-1469</t>
        </is>
      </c>
      <c r="C1210" s="22" t="n"/>
      <c r="D1210" s="21" t="n"/>
      <c r="E1210" s="21" t="n"/>
      <c r="F1210" s="21" t="n"/>
      <c r="G1210" s="21" t="n"/>
      <c r="H1210" s="21" t="n"/>
      <c r="I1210" s="21" t="n"/>
      <c r="J1210" s="21" t="n"/>
      <c r="K1210" s="21" t="n"/>
      <c r="L1210" s="21" t="n"/>
      <c r="M1210" s="21" t="n"/>
      <c r="N1210" s="21" t="n"/>
      <c r="O1210" s="21" t="n"/>
      <c r="P1210" s="21" t="n"/>
      <c r="Q1210" s="21" t="n"/>
      <c r="R1210" s="21" t="n"/>
      <c r="S1210" s="21" t="n"/>
      <c r="T1210" s="21" t="n"/>
      <c r="U1210" s="21" t="n"/>
      <c r="V1210" s="21" t="n"/>
      <c r="W1210" s="21" t="n"/>
      <c r="X1210" s="21" t="n"/>
      <c r="Y1210" s="21" t="n"/>
      <c r="Z1210" s="21" t="n"/>
      <c r="AA1210" s="21" t="n"/>
      <c r="AB1210" s="21" t="n"/>
      <c r="AC1210" s="21" t="n"/>
      <c r="AD1210" s="21" t="n"/>
      <c r="AE1210" s="21" t="n"/>
      <c r="AF1210" s="21" t="n"/>
      <c r="AG1210" s="21" t="n"/>
      <c r="AH1210" s="21" t="n"/>
      <c r="AI1210" s="21" t="n"/>
      <c r="AJ1210" s="21" t="n"/>
      <c r="AK1210" s="21" t="n"/>
      <c r="AL1210" s="21" t="n"/>
      <c r="AM1210" s="21" t="n"/>
      <c r="AN1210" s="21" t="n"/>
      <c r="AO1210" s="21" t="n"/>
      <c r="AP1210" s="21" t="n"/>
      <c r="AQ1210" s="21" t="n"/>
      <c r="AR1210" s="21" t="n"/>
      <c r="AS1210" s="21" t="n"/>
      <c r="AT1210" s="21" t="n"/>
      <c r="AU1210" s="21" t="n"/>
      <c r="AV1210" s="21" t="n"/>
      <c r="AW1210" s="21" t="n"/>
      <c r="AX1210" s="21" t="n"/>
      <c r="AY1210" s="21" t="n"/>
      <c r="AZ1210" s="21" t="n"/>
      <c r="BA1210" s="21" t="n"/>
      <c r="BB1210" s="21" t="n"/>
      <c r="BC1210" s="21" t="n"/>
      <c r="BD1210" s="21" t="n"/>
      <c r="BE1210" s="21" t="n"/>
      <c r="BF1210" s="21" t="n"/>
      <c r="BG1210" s="21" t="n"/>
      <c r="BH1210" s="21" t="n"/>
      <c r="BI1210" s="21" t="n"/>
      <c r="BJ1210" s="21" t="n"/>
      <c r="BK1210" s="21" t="n"/>
      <c r="BL1210" s="21" t="n"/>
      <c r="BM1210" s="21" t="n"/>
      <c r="BN1210" s="21" t="n"/>
      <c r="BO1210" s="21" t="n"/>
      <c r="BP1210" s="21" t="n"/>
      <c r="BQ1210" s="21" t="n"/>
      <c r="BR1210" s="21" t="n"/>
      <c r="BS1210" s="21" t="n"/>
      <c r="BT1210" s="21" t="n"/>
      <c r="BU1210" s="21" t="n"/>
      <c r="BV1210" s="21" t="n"/>
      <c r="BW1210" s="21" t="n"/>
      <c r="BX1210" s="21" t="n"/>
      <c r="BY1210" s="21" t="n"/>
      <c r="BZ1210" s="21" t="n"/>
      <c r="CA1210" s="21" t="n"/>
      <c r="CB1210" s="21" t="n"/>
      <c r="CC1210" s="21" t="n"/>
      <c r="CD1210" s="21" t="n"/>
      <c r="CE1210" s="21" t="n"/>
      <c r="CF1210" s="21" t="n"/>
      <c r="CG1210" s="21" t="n"/>
      <c r="CH1210" s="21" t="n"/>
      <c r="CI1210" s="21" t="n"/>
      <c r="CJ1210" s="21" t="n"/>
      <c r="CK1210" s="21" t="n"/>
      <c r="CL1210" s="21" t="n"/>
      <c r="CM1210" s="21" t="n"/>
      <c r="CN1210" s="21" t="n"/>
      <c r="CO1210" s="21" t="n"/>
      <c r="CP1210" s="21" t="n"/>
      <c r="CQ1210" s="21" t="n"/>
      <c r="CR1210" s="21" t="n"/>
      <c r="CS1210" s="21" t="n"/>
      <c r="CT1210" s="21" t="n"/>
      <c r="CU1210" s="21" t="n"/>
      <c r="CV1210" s="21" t="n"/>
      <c r="CW1210" s="21" t="n"/>
      <c r="CX1210" s="21" t="n"/>
      <c r="CY1210" s="21" t="n"/>
      <c r="CZ1210" s="21" t="n"/>
      <c r="DA1210" s="21" t="n"/>
      <c r="DB1210" s="21" t="n"/>
      <c r="DC1210" s="21" t="n"/>
    </row>
    <row r="1211">
      <c r="B1211" t="inlineStr">
        <is>
          <t>TSP-1558</t>
        </is>
      </c>
      <c r="C1211" t="inlineStr">
        <is>
          <t>No. of batches</t>
        </is>
      </c>
      <c r="D1211">
        <f>IFERROR(INDEX(PP_Grid[#Data],$DD1211,2),0)</f>
        <v/>
      </c>
      <c r="E1211">
        <f>IFERROR(INDEX(PP_Grid[#Data],$DD1211,3),0)</f>
        <v/>
      </c>
      <c r="F1211">
        <f>IFERROR(INDEX(PP_Grid[#Data],$DD1211,4),0)</f>
        <v/>
      </c>
      <c r="G1211">
        <f>IFERROR(INDEX(PP_Grid[#Data],$DD1211,5),0)</f>
        <v/>
      </c>
      <c r="H1211">
        <f>IFERROR(INDEX(PP_Grid[#Data],$DD1211,6),0)</f>
        <v/>
      </c>
      <c r="I1211">
        <f>IFERROR(INDEX(PP_Grid[#Data],$DD1211,7),0)</f>
        <v/>
      </c>
      <c r="J1211">
        <f>IFERROR(INDEX(PP_Grid[#Data],$DD1211,8),0)</f>
        <v/>
      </c>
      <c r="K1211">
        <f>IFERROR(INDEX(PP_Grid[#Data],$DD1211,9),0)</f>
        <v/>
      </c>
      <c r="L1211">
        <f>IFERROR(INDEX(PP_Grid[#Data],$DD1211,10),0)</f>
        <v/>
      </c>
      <c r="M1211">
        <f>IFERROR(INDEX(PP_Grid[#Data],$DD1211,11),0)</f>
        <v/>
      </c>
      <c r="N1211">
        <f>IFERROR(INDEX(PP_Grid[#Data],$DD1211,12),0)</f>
        <v/>
      </c>
      <c r="O1211">
        <f>IFERROR(INDEX(PP_Grid[#Data],$DD1211,13),0)</f>
        <v/>
      </c>
      <c r="P1211">
        <f>IFERROR(INDEX(PP_Grid[#Data],$DD1211,14),0)</f>
        <v/>
      </c>
      <c r="Q1211">
        <f>IFERROR(INDEX(PP_Grid[#Data],$DD1211,15),0)</f>
        <v/>
      </c>
      <c r="R1211">
        <f>IFERROR(INDEX(PP_Grid[#Data],$DD1211,16),0)</f>
        <v/>
      </c>
      <c r="S1211">
        <f>IFERROR(INDEX(PP_Grid[#Data],$DD1211,17),0)</f>
        <v/>
      </c>
      <c r="T1211">
        <f>IFERROR(INDEX(PP_Grid[#Data],$DD1211,18),0)</f>
        <v/>
      </c>
      <c r="U1211">
        <f>IFERROR(INDEX(PP_Grid[#Data],$DD1211,19),0)</f>
        <v/>
      </c>
      <c r="V1211">
        <f>IFERROR(INDEX(PP_Grid[#Data],$DD1211,20),0)</f>
        <v/>
      </c>
      <c r="W1211">
        <f>IFERROR(INDEX(PP_Grid[#Data],$DD1211,21),0)</f>
        <v/>
      </c>
      <c r="X1211">
        <f>IFERROR(INDEX(PP_Grid[#Data],$DD1211,22),0)</f>
        <v/>
      </c>
      <c r="Y1211">
        <f>IFERROR(INDEX(PP_Grid[#Data],$DD1211,23),0)</f>
        <v/>
      </c>
      <c r="Z1211">
        <f>IFERROR(INDEX(PP_Grid[#Data],$DD1211,24),0)</f>
        <v/>
      </c>
      <c r="AA1211">
        <f>IFERROR(INDEX(PP_Grid[#Data],$DD1211,25),0)</f>
        <v/>
      </c>
      <c r="AB1211">
        <f>IFERROR(INDEX(PP_Grid[#Data],$DD1211,26),0)</f>
        <v/>
      </c>
      <c r="AC1211">
        <f>IFERROR(INDEX(PP_Grid[#Data],$DD1211,27),0)</f>
        <v/>
      </c>
      <c r="AD1211">
        <f>IFERROR(INDEX(PP_Grid[#Data],$DD1211,28),0)</f>
        <v/>
      </c>
      <c r="AE1211">
        <f>IFERROR(INDEX(PP_Grid[#Data],$DD1211,29),0)</f>
        <v/>
      </c>
      <c r="AF1211">
        <f>IFERROR(INDEX(PP_Grid[#Data],$DD1211,30),0)</f>
        <v/>
      </c>
      <c r="AG1211">
        <f>IFERROR(INDEX(PP_Grid[#Data],$DD1211,31),0)</f>
        <v/>
      </c>
      <c r="AH1211">
        <f>IFERROR(INDEX(PP_Grid[#Data],$DD1211,32),0)</f>
        <v/>
      </c>
      <c r="AI1211">
        <f>IFERROR(INDEX(PP_Grid[#Data],$DD1211,33),0)</f>
        <v/>
      </c>
      <c r="AJ1211">
        <f>IFERROR(INDEX(PP_Grid[#Data],$DD1211,34),0)</f>
        <v/>
      </c>
      <c r="AK1211">
        <f>IFERROR(INDEX(PP_Grid[#Data],$DD1211,35),0)</f>
        <v/>
      </c>
      <c r="AL1211">
        <f>IFERROR(INDEX(PP_Grid[#Data],$DD1211,36),0)</f>
        <v/>
      </c>
      <c r="AM1211">
        <f>IFERROR(INDEX(PP_Grid[#Data],$DD1211,37),0)</f>
        <v/>
      </c>
      <c r="AN1211">
        <f>IFERROR(INDEX(PP_Grid[#Data],$DD1211,38),0)</f>
        <v/>
      </c>
      <c r="AO1211">
        <f>IFERROR(INDEX(PP_Grid[#Data],$DD1211,39),0)</f>
        <v/>
      </c>
      <c r="AP1211">
        <f>IFERROR(INDEX(PP_Grid[#Data],$DD1211,40),0)</f>
        <v/>
      </c>
      <c r="AQ1211">
        <f>IFERROR(INDEX(PP_Grid[#Data],$DD1211,41),0)</f>
        <v/>
      </c>
      <c r="AR1211">
        <f>IFERROR(INDEX(PP_Grid[#Data],$DD1211,42),0)</f>
        <v/>
      </c>
      <c r="AS1211">
        <f>IFERROR(INDEX(PP_Grid[#Data],$DD1211,43),0)</f>
        <v/>
      </c>
      <c r="AT1211">
        <f>IFERROR(INDEX(PP_Grid[#Data],$DD1211,44),0)</f>
        <v/>
      </c>
      <c r="AU1211">
        <f>IFERROR(INDEX(PP_Grid[#Data],$DD1211,45),0)</f>
        <v/>
      </c>
      <c r="AV1211">
        <f>IFERROR(INDEX(PP_Grid[#Data],$DD1211,46),0)</f>
        <v/>
      </c>
      <c r="AW1211">
        <f>IFERROR(INDEX(PP_Grid[#Data],$DD1211,47),0)</f>
        <v/>
      </c>
      <c r="AX1211">
        <f>IFERROR(INDEX(PP_Grid[#Data],$DD1211,48),0)</f>
        <v/>
      </c>
      <c r="AY1211">
        <f>IFERROR(INDEX(PP_Grid[#Data],$DD1211,49),0)</f>
        <v/>
      </c>
      <c r="AZ1211">
        <f>IFERROR(INDEX(PP_Grid[#Data],$DD1211,50),0)</f>
        <v/>
      </c>
      <c r="BA1211">
        <f>IFERROR(INDEX(PP_Grid[#Data],$DD1211,51),0)</f>
        <v/>
      </c>
      <c r="BB1211">
        <f>IFERROR(INDEX(PP_Grid[#Data],$DD1211,52),0)</f>
        <v/>
      </c>
      <c r="BC1211">
        <f>IFERROR(INDEX(PP_Grid[#Data],$DD1211,53),0)</f>
        <v/>
      </c>
      <c r="BD1211">
        <f>IFERROR(INDEX(PP_Grid[#Data],$DD1211,54),0)</f>
        <v/>
      </c>
      <c r="BE1211">
        <f>IFERROR(INDEX(PP_Grid[#Data],$DD1211,55),0)</f>
        <v/>
      </c>
      <c r="BF1211">
        <f>IFERROR(INDEX(PP_Grid[#Data],$DD1211,56),0)</f>
        <v/>
      </c>
      <c r="BG1211">
        <f>IFERROR(INDEX(PP_Grid[#Data],$DD1211,57),0)</f>
        <v/>
      </c>
      <c r="BH1211">
        <f>IFERROR(INDEX(PP_Grid[#Data],$DD1211,58),0)</f>
        <v/>
      </c>
      <c r="BI1211">
        <f>IFERROR(INDEX(PP_Grid[#Data],$DD1211,59),0)</f>
        <v/>
      </c>
      <c r="BJ1211">
        <f>IFERROR(INDEX(PP_Grid[#Data],$DD1211,60),0)</f>
        <v/>
      </c>
      <c r="BK1211">
        <f>IFERROR(INDEX(PP_Grid[#Data],$DD1211,61),0)</f>
        <v/>
      </c>
      <c r="BL1211">
        <f>IFERROR(INDEX(PP_Grid[#Data],$DD1211,62),0)</f>
        <v/>
      </c>
      <c r="BM1211">
        <f>IFERROR(INDEX(PP_Grid[#Data],$DD1211,63),0)</f>
        <v/>
      </c>
      <c r="BN1211">
        <f>IFERROR(INDEX(PP_Grid[#Data],$DD1211,64),0)</f>
        <v/>
      </c>
      <c r="BO1211">
        <f>IFERROR(INDEX(PP_Grid[#Data],$DD1211,65),0)</f>
        <v/>
      </c>
      <c r="BP1211">
        <f>IFERROR(INDEX(PP_Grid[#Data],$DD1211,66),0)</f>
        <v/>
      </c>
      <c r="BQ1211">
        <f>IFERROR(INDEX(PP_Grid[#Data],$DD1211,67),0)</f>
        <v/>
      </c>
      <c r="BR1211">
        <f>IFERROR(INDEX(PP_Grid[#Data],$DD1211,68),0)</f>
        <v/>
      </c>
      <c r="BS1211">
        <f>IFERROR(INDEX(PP_Grid[#Data],$DD1211,69),0)</f>
        <v/>
      </c>
      <c r="BT1211">
        <f>IFERROR(INDEX(PP_Grid[#Data],$DD1211,70),0)</f>
        <v/>
      </c>
      <c r="BU1211">
        <f>IFERROR(INDEX(PP_Grid[#Data],$DD1211,71),0)</f>
        <v/>
      </c>
      <c r="BV1211">
        <f>IFERROR(INDEX(PP_Grid[#Data],$DD1211,72),0)</f>
        <v/>
      </c>
      <c r="BW1211">
        <f>IFERROR(INDEX(PP_Grid[#Data],$DD1211,73),0)</f>
        <v/>
      </c>
      <c r="BX1211">
        <f>IFERROR(INDEX(PP_Grid[#Data],$DD1211,74),0)</f>
        <v/>
      </c>
      <c r="BY1211">
        <f>IFERROR(INDEX(PP_Grid[#Data],$DD1211,75),0)</f>
        <v/>
      </c>
      <c r="BZ1211">
        <f>IFERROR(INDEX(PP_Grid[#Data],$DD1211,76),0)</f>
        <v/>
      </c>
      <c r="CA1211">
        <f>IFERROR(INDEX(PP_Grid[#Data],$DD1211,77),0)</f>
        <v/>
      </c>
      <c r="CB1211">
        <f>IFERROR(INDEX(PP_Grid[#Data],$DD1211,78),0)</f>
        <v/>
      </c>
      <c r="CC1211">
        <f>IFERROR(INDEX(PP_Grid[#Data],$DD1211,79),0)</f>
        <v/>
      </c>
      <c r="CD1211">
        <f>IFERROR(INDEX(PP_Grid[#Data],$DD1211,80),0)</f>
        <v/>
      </c>
      <c r="CE1211">
        <f>IFERROR(INDEX(PP_Grid[#Data],$DD1211,81),0)</f>
        <v/>
      </c>
      <c r="CF1211">
        <f>IFERROR(INDEX(PP_Grid[#Data],$DD1211,82),0)</f>
        <v/>
      </c>
      <c r="CG1211">
        <f>IFERROR(INDEX(PP_Grid[#Data],$DD1211,83),0)</f>
        <v/>
      </c>
      <c r="CH1211">
        <f>IFERROR(INDEX(PP_Grid[#Data],$DD1211,84),0)</f>
        <v/>
      </c>
      <c r="CI1211">
        <f>IFERROR(INDEX(PP_Grid[#Data],$DD1211,85),0)</f>
        <v/>
      </c>
      <c r="CJ1211">
        <f>IFERROR(INDEX(PP_Grid[#Data],$DD1211,86),0)</f>
        <v/>
      </c>
      <c r="CK1211">
        <f>IFERROR(INDEX(PP_Grid[#Data],$DD1211,87),0)</f>
        <v/>
      </c>
      <c r="CL1211">
        <f>IFERROR(INDEX(PP_Grid[#Data],$DD1211,88),0)</f>
        <v/>
      </c>
      <c r="CM1211">
        <f>IFERROR(INDEX(PP_Grid[#Data],$DD1211,89),0)</f>
        <v/>
      </c>
      <c r="CN1211">
        <f>IFERROR(INDEX(PP_Grid[#Data],$DD1211,90),0)</f>
        <v/>
      </c>
      <c r="CO1211">
        <f>IFERROR(INDEX(PP_Grid[#Data],$DD1211,91),0)</f>
        <v/>
      </c>
      <c r="CP1211">
        <f>IFERROR(INDEX(PP_Grid[#Data],$DD1211,92),0)</f>
        <v/>
      </c>
      <c r="CQ1211">
        <f>IFERROR(INDEX(PP_Grid[#Data],$DD1211,93),0)</f>
        <v/>
      </c>
      <c r="CR1211">
        <f>IFERROR(INDEX(PP_Grid[#Data],$DD1211,94),0)</f>
        <v/>
      </c>
      <c r="CS1211">
        <f>IFERROR(INDEX(PP_Grid[#Data],$DD1211,95),0)</f>
        <v/>
      </c>
      <c r="CT1211">
        <f>IFERROR(INDEX(PP_Grid[#Data],$DD1211,96),0)</f>
        <v/>
      </c>
      <c r="CU1211">
        <f>IFERROR(INDEX(PP_Grid[#Data],$DD1211,97),0)</f>
        <v/>
      </c>
      <c r="CV1211">
        <f>IFERROR(INDEX(PP_Grid[#Data],$DD1211,98),0)</f>
        <v/>
      </c>
      <c r="CW1211">
        <f>IFERROR(INDEX(PP_Grid[#Data],$DD1211,99),0)</f>
        <v/>
      </c>
      <c r="CX1211">
        <f>IFERROR(INDEX(PP_Grid[#Data],$DD1211,100),0)</f>
        <v/>
      </c>
      <c r="CY1211">
        <f>IFERROR(INDEX(PP_Grid[#Data],$DD1211,101),0)</f>
        <v/>
      </c>
      <c r="CZ1211">
        <f>IFERROR(INDEX(PP_Grid[#Data],$DD1211,102),0)</f>
        <v/>
      </c>
      <c r="DA1211">
        <f>IFERROR(INDEX(PP_Grid[#Data],$DD1211,103),0)</f>
        <v/>
      </c>
      <c r="DB1211">
        <f>IFERROR(INDEX(PP_Grid[#Data],$DD1211,104),0)</f>
        <v/>
      </c>
      <c r="DC1211">
        <f>IFERROR(INDEX(PP_Grid[#Data],$DD1211,105),0)</f>
        <v/>
      </c>
      <c r="DD1211" s="12">
        <f>IFERROR(MATCH($B1211,PP_Grid[Intermediate],0),99999)</f>
        <v/>
      </c>
    </row>
    <row r="1212">
      <c r="B1212" t="inlineStr">
        <is>
          <t>使用量(kg)</t>
        </is>
      </c>
      <c r="C1212">
        <f>SUMIFS(M_BOM[RM_Qty_Per_Batch],M_BOM[Intermediate],$B1211,M_BOM[Part Name],$A1210)</f>
        <v/>
      </c>
      <c r="D1212">
        <f>$C1212*D1211</f>
        <v/>
      </c>
      <c r="E1212">
        <f>$C1212*E1211</f>
        <v/>
      </c>
      <c r="F1212">
        <f>$C1212*F1211</f>
        <v/>
      </c>
      <c r="G1212">
        <f>$C1212*G1211</f>
        <v/>
      </c>
      <c r="H1212">
        <f>$C1212*H1211</f>
        <v/>
      </c>
      <c r="I1212">
        <f>$C1212*I1211</f>
        <v/>
      </c>
      <c r="J1212">
        <f>$C1212*J1211</f>
        <v/>
      </c>
      <c r="K1212">
        <f>$C1212*K1211</f>
        <v/>
      </c>
      <c r="L1212">
        <f>$C1212*L1211</f>
        <v/>
      </c>
      <c r="M1212">
        <f>$C1212*M1211</f>
        <v/>
      </c>
      <c r="N1212">
        <f>$C1212*N1211</f>
        <v/>
      </c>
      <c r="O1212">
        <f>$C1212*O1211</f>
        <v/>
      </c>
      <c r="P1212">
        <f>$C1212*P1211</f>
        <v/>
      </c>
      <c r="Q1212">
        <f>$C1212*Q1211</f>
        <v/>
      </c>
      <c r="R1212">
        <f>$C1212*R1211</f>
        <v/>
      </c>
      <c r="S1212">
        <f>$C1212*S1211</f>
        <v/>
      </c>
      <c r="T1212">
        <f>$C1212*T1211</f>
        <v/>
      </c>
      <c r="U1212">
        <f>$C1212*U1211</f>
        <v/>
      </c>
      <c r="V1212">
        <f>$C1212*V1211</f>
        <v/>
      </c>
      <c r="W1212">
        <f>$C1212*W1211</f>
        <v/>
      </c>
      <c r="X1212">
        <f>$C1212*X1211</f>
        <v/>
      </c>
      <c r="Y1212">
        <f>$C1212*Y1211</f>
        <v/>
      </c>
      <c r="Z1212">
        <f>$C1212*Z1211</f>
        <v/>
      </c>
      <c r="AA1212">
        <f>$C1212*AA1211</f>
        <v/>
      </c>
      <c r="AB1212">
        <f>$C1212*AB1211</f>
        <v/>
      </c>
      <c r="AC1212">
        <f>$C1212*AC1211</f>
        <v/>
      </c>
      <c r="AD1212">
        <f>$C1212*AD1211</f>
        <v/>
      </c>
      <c r="AE1212">
        <f>$C1212*AE1211</f>
        <v/>
      </c>
      <c r="AF1212">
        <f>$C1212*AF1211</f>
        <v/>
      </c>
      <c r="AG1212">
        <f>$C1212*AG1211</f>
        <v/>
      </c>
      <c r="AH1212">
        <f>$C1212*AH1211</f>
        <v/>
      </c>
      <c r="AI1212">
        <f>$C1212*AI1211</f>
        <v/>
      </c>
      <c r="AJ1212">
        <f>$C1212*AJ1211</f>
        <v/>
      </c>
      <c r="AK1212">
        <f>$C1212*AK1211</f>
        <v/>
      </c>
      <c r="AL1212">
        <f>$C1212*AL1211</f>
        <v/>
      </c>
      <c r="AM1212">
        <f>$C1212*AM1211</f>
        <v/>
      </c>
      <c r="AN1212">
        <f>$C1212*AN1211</f>
        <v/>
      </c>
      <c r="AO1212">
        <f>$C1212*AO1211</f>
        <v/>
      </c>
      <c r="AP1212">
        <f>$C1212*AP1211</f>
        <v/>
      </c>
      <c r="AQ1212">
        <f>$C1212*AQ1211</f>
        <v/>
      </c>
      <c r="AR1212">
        <f>$C1212*AR1211</f>
        <v/>
      </c>
      <c r="AS1212">
        <f>$C1212*AS1211</f>
        <v/>
      </c>
      <c r="AT1212">
        <f>$C1212*AT1211</f>
        <v/>
      </c>
      <c r="AU1212">
        <f>$C1212*AU1211</f>
        <v/>
      </c>
      <c r="AV1212">
        <f>$C1212*AV1211</f>
        <v/>
      </c>
      <c r="AW1212">
        <f>$C1212*AW1211</f>
        <v/>
      </c>
      <c r="AX1212">
        <f>$C1212*AX1211</f>
        <v/>
      </c>
      <c r="AY1212">
        <f>$C1212*AY1211</f>
        <v/>
      </c>
      <c r="AZ1212">
        <f>$C1212*AZ1211</f>
        <v/>
      </c>
      <c r="BA1212">
        <f>$C1212*BA1211</f>
        <v/>
      </c>
      <c r="BB1212">
        <f>$C1212*BB1211</f>
        <v/>
      </c>
      <c r="BC1212">
        <f>$C1212*BC1211</f>
        <v/>
      </c>
      <c r="BD1212">
        <f>$C1212*BD1211</f>
        <v/>
      </c>
      <c r="BE1212">
        <f>$C1212*BE1211</f>
        <v/>
      </c>
      <c r="BF1212">
        <f>$C1212*BF1211</f>
        <v/>
      </c>
      <c r="BG1212">
        <f>$C1212*BG1211</f>
        <v/>
      </c>
      <c r="BH1212">
        <f>$C1212*BH1211</f>
        <v/>
      </c>
      <c r="BI1212">
        <f>$C1212*BI1211</f>
        <v/>
      </c>
      <c r="BJ1212">
        <f>$C1212*BJ1211</f>
        <v/>
      </c>
      <c r="BK1212">
        <f>$C1212*BK1211</f>
        <v/>
      </c>
      <c r="BL1212">
        <f>$C1212*BL1211</f>
        <v/>
      </c>
      <c r="BM1212">
        <f>$C1212*BM1211</f>
        <v/>
      </c>
      <c r="BN1212">
        <f>$C1212*BN1211</f>
        <v/>
      </c>
      <c r="BO1212">
        <f>$C1212*BO1211</f>
        <v/>
      </c>
      <c r="BP1212">
        <f>$C1212*BP1211</f>
        <v/>
      </c>
      <c r="BQ1212">
        <f>$C1212*BQ1211</f>
        <v/>
      </c>
      <c r="BR1212">
        <f>$C1212*BR1211</f>
        <v/>
      </c>
      <c r="BS1212">
        <f>$C1212*BS1211</f>
        <v/>
      </c>
      <c r="BT1212">
        <f>$C1212*BT1211</f>
        <v/>
      </c>
      <c r="BU1212">
        <f>$C1212*BU1211</f>
        <v/>
      </c>
      <c r="BV1212">
        <f>$C1212*BV1211</f>
        <v/>
      </c>
      <c r="BW1212">
        <f>$C1212*BW1211</f>
        <v/>
      </c>
      <c r="BX1212">
        <f>$C1212*BX1211</f>
        <v/>
      </c>
      <c r="BY1212">
        <f>$C1212*BY1211</f>
        <v/>
      </c>
      <c r="BZ1212">
        <f>$C1212*BZ1211</f>
        <v/>
      </c>
      <c r="CA1212">
        <f>$C1212*CA1211</f>
        <v/>
      </c>
      <c r="CB1212">
        <f>$C1212*CB1211</f>
        <v/>
      </c>
      <c r="CC1212">
        <f>$C1212*CC1211</f>
        <v/>
      </c>
      <c r="CD1212">
        <f>$C1212*CD1211</f>
        <v/>
      </c>
      <c r="CE1212">
        <f>$C1212*CE1211</f>
        <v/>
      </c>
      <c r="CF1212">
        <f>$C1212*CF1211</f>
        <v/>
      </c>
      <c r="CG1212">
        <f>$C1212*CG1211</f>
        <v/>
      </c>
      <c r="CH1212">
        <f>$C1212*CH1211</f>
        <v/>
      </c>
      <c r="CI1212">
        <f>$C1212*CI1211</f>
        <v/>
      </c>
      <c r="CJ1212">
        <f>$C1212*CJ1211</f>
        <v/>
      </c>
      <c r="CK1212">
        <f>$C1212*CK1211</f>
        <v/>
      </c>
      <c r="CL1212">
        <f>$C1212*CL1211</f>
        <v/>
      </c>
      <c r="CM1212">
        <f>$C1212*CM1211</f>
        <v/>
      </c>
      <c r="CN1212">
        <f>$C1212*CN1211</f>
        <v/>
      </c>
      <c r="CO1212">
        <f>$C1212*CO1211</f>
        <v/>
      </c>
      <c r="CP1212">
        <f>$C1212*CP1211</f>
        <v/>
      </c>
      <c r="CQ1212">
        <f>$C1212*CQ1211</f>
        <v/>
      </c>
      <c r="CR1212">
        <f>$C1212*CR1211</f>
        <v/>
      </c>
      <c r="CS1212">
        <f>$C1212*CS1211</f>
        <v/>
      </c>
      <c r="CT1212">
        <f>$C1212*CT1211</f>
        <v/>
      </c>
      <c r="CU1212">
        <f>$C1212*CU1211</f>
        <v/>
      </c>
      <c r="CV1212">
        <f>$C1212*CV1211</f>
        <v/>
      </c>
      <c r="CW1212">
        <f>$C1212*CW1211</f>
        <v/>
      </c>
      <c r="CX1212">
        <f>$C1212*CX1211</f>
        <v/>
      </c>
      <c r="CY1212">
        <f>$C1212*CY1211</f>
        <v/>
      </c>
      <c r="CZ1212">
        <f>$C1212*CZ1211</f>
        <v/>
      </c>
      <c r="DA1212">
        <f>$C1212*DA1211</f>
        <v/>
      </c>
      <c r="DB1212">
        <f>$C1212*DB1211</f>
        <v/>
      </c>
      <c r="DC1212">
        <f>$C1212*DC1211</f>
        <v/>
      </c>
    </row>
    <row r="1213">
      <c r="B1213" s="5" t="inlineStr">
        <is>
          <t>合計使用量(kg)/週</t>
        </is>
      </c>
      <c r="D1213">
        <f>'Grid_Requirement'!B52</f>
        <v/>
      </c>
      <c r="E1213">
        <f>'Grid_Requirement'!C52</f>
        <v/>
      </c>
      <c r="F1213">
        <f>'Grid_Requirement'!D52</f>
        <v/>
      </c>
      <c r="G1213">
        <f>'Grid_Requirement'!E52</f>
        <v/>
      </c>
      <c r="H1213">
        <f>'Grid_Requirement'!F52</f>
        <v/>
      </c>
      <c r="I1213">
        <f>'Grid_Requirement'!G52</f>
        <v/>
      </c>
      <c r="J1213">
        <f>'Grid_Requirement'!H52</f>
        <v/>
      </c>
      <c r="K1213">
        <f>'Grid_Requirement'!I52</f>
        <v/>
      </c>
      <c r="L1213">
        <f>'Grid_Requirement'!J52</f>
        <v/>
      </c>
      <c r="M1213">
        <f>'Grid_Requirement'!K52</f>
        <v/>
      </c>
      <c r="N1213">
        <f>'Grid_Requirement'!L52</f>
        <v/>
      </c>
      <c r="O1213">
        <f>'Grid_Requirement'!M52</f>
        <v/>
      </c>
      <c r="P1213">
        <f>'Grid_Requirement'!N52</f>
        <v/>
      </c>
      <c r="Q1213">
        <f>'Grid_Requirement'!O52</f>
        <v/>
      </c>
      <c r="R1213">
        <f>'Grid_Requirement'!P52</f>
        <v/>
      </c>
      <c r="S1213">
        <f>'Grid_Requirement'!Q52</f>
        <v/>
      </c>
      <c r="T1213">
        <f>'Grid_Requirement'!R52</f>
        <v/>
      </c>
      <c r="U1213">
        <f>'Grid_Requirement'!S52</f>
        <v/>
      </c>
      <c r="V1213">
        <f>'Grid_Requirement'!T52</f>
        <v/>
      </c>
      <c r="W1213">
        <f>'Grid_Requirement'!U52</f>
        <v/>
      </c>
      <c r="X1213">
        <f>'Grid_Requirement'!V52</f>
        <v/>
      </c>
      <c r="Y1213">
        <f>'Grid_Requirement'!W52</f>
        <v/>
      </c>
      <c r="Z1213">
        <f>'Grid_Requirement'!X52</f>
        <v/>
      </c>
      <c r="AA1213">
        <f>'Grid_Requirement'!Y52</f>
        <v/>
      </c>
      <c r="AB1213">
        <f>'Grid_Requirement'!Z52</f>
        <v/>
      </c>
      <c r="AC1213">
        <f>'Grid_Requirement'!AA52</f>
        <v/>
      </c>
      <c r="AD1213">
        <f>'Grid_Requirement'!AB52</f>
        <v/>
      </c>
      <c r="AE1213">
        <f>'Grid_Requirement'!AC52</f>
        <v/>
      </c>
      <c r="AF1213">
        <f>'Grid_Requirement'!AD52</f>
        <v/>
      </c>
      <c r="AG1213">
        <f>'Grid_Requirement'!AE52</f>
        <v/>
      </c>
      <c r="AH1213">
        <f>'Grid_Requirement'!AF52</f>
        <v/>
      </c>
      <c r="AI1213">
        <f>'Grid_Requirement'!AG52</f>
        <v/>
      </c>
      <c r="AJ1213">
        <f>'Grid_Requirement'!AH52</f>
        <v/>
      </c>
      <c r="AK1213">
        <f>'Grid_Requirement'!AI52</f>
        <v/>
      </c>
      <c r="AL1213">
        <f>'Grid_Requirement'!AJ52</f>
        <v/>
      </c>
      <c r="AM1213">
        <f>'Grid_Requirement'!AK52</f>
        <v/>
      </c>
      <c r="AN1213">
        <f>'Grid_Requirement'!AL52</f>
        <v/>
      </c>
      <c r="AO1213">
        <f>'Grid_Requirement'!AM52</f>
        <v/>
      </c>
      <c r="AP1213">
        <f>'Grid_Requirement'!AN52</f>
        <v/>
      </c>
      <c r="AQ1213">
        <f>'Grid_Requirement'!AO52</f>
        <v/>
      </c>
      <c r="AR1213">
        <f>'Grid_Requirement'!AP52</f>
        <v/>
      </c>
      <c r="AS1213">
        <f>'Grid_Requirement'!AQ52</f>
        <v/>
      </c>
      <c r="AT1213">
        <f>'Grid_Requirement'!AR52</f>
        <v/>
      </c>
      <c r="AU1213">
        <f>'Grid_Requirement'!AS52</f>
        <v/>
      </c>
      <c r="AV1213">
        <f>'Grid_Requirement'!AT52</f>
        <v/>
      </c>
      <c r="AW1213">
        <f>'Grid_Requirement'!AU52</f>
        <v/>
      </c>
      <c r="AX1213">
        <f>'Grid_Requirement'!AV52</f>
        <v/>
      </c>
      <c r="AY1213">
        <f>'Grid_Requirement'!AW52</f>
        <v/>
      </c>
      <c r="AZ1213">
        <f>'Grid_Requirement'!AX52</f>
        <v/>
      </c>
      <c r="BA1213">
        <f>'Grid_Requirement'!AY52</f>
        <v/>
      </c>
      <c r="BB1213">
        <f>'Grid_Requirement'!AZ52</f>
        <v/>
      </c>
      <c r="BC1213">
        <f>'Grid_Requirement'!BA52</f>
        <v/>
      </c>
      <c r="BD1213">
        <f>'Grid_Requirement'!BB52</f>
        <v/>
      </c>
      <c r="BE1213">
        <f>'Grid_Requirement'!BC52</f>
        <v/>
      </c>
      <c r="BF1213">
        <f>'Grid_Requirement'!BD52</f>
        <v/>
      </c>
      <c r="BG1213">
        <f>'Grid_Requirement'!BE52</f>
        <v/>
      </c>
      <c r="BH1213">
        <f>'Grid_Requirement'!BF52</f>
        <v/>
      </c>
      <c r="BI1213">
        <f>'Grid_Requirement'!BG52</f>
        <v/>
      </c>
      <c r="BJ1213">
        <f>'Grid_Requirement'!BH52</f>
        <v/>
      </c>
      <c r="BK1213">
        <f>'Grid_Requirement'!BI52</f>
        <v/>
      </c>
      <c r="BL1213">
        <f>'Grid_Requirement'!BJ52</f>
        <v/>
      </c>
      <c r="BM1213">
        <f>'Grid_Requirement'!BK52</f>
        <v/>
      </c>
      <c r="BN1213">
        <f>'Grid_Requirement'!BL52</f>
        <v/>
      </c>
      <c r="BO1213">
        <f>'Grid_Requirement'!BM52</f>
        <v/>
      </c>
      <c r="BP1213">
        <f>'Grid_Requirement'!BN52</f>
        <v/>
      </c>
      <c r="BQ1213">
        <f>'Grid_Requirement'!BO52</f>
        <v/>
      </c>
      <c r="BR1213">
        <f>'Grid_Requirement'!BP52</f>
        <v/>
      </c>
      <c r="BS1213">
        <f>'Grid_Requirement'!BQ52</f>
        <v/>
      </c>
      <c r="BT1213">
        <f>'Grid_Requirement'!BR52</f>
        <v/>
      </c>
      <c r="BU1213">
        <f>'Grid_Requirement'!BS52</f>
        <v/>
      </c>
      <c r="BV1213">
        <f>'Grid_Requirement'!BT52</f>
        <v/>
      </c>
      <c r="BW1213">
        <f>'Grid_Requirement'!BU52</f>
        <v/>
      </c>
      <c r="BX1213">
        <f>'Grid_Requirement'!BV52</f>
        <v/>
      </c>
      <c r="BY1213">
        <f>'Grid_Requirement'!BW52</f>
        <v/>
      </c>
      <c r="BZ1213">
        <f>'Grid_Requirement'!BX52</f>
        <v/>
      </c>
      <c r="CA1213">
        <f>'Grid_Requirement'!BY52</f>
        <v/>
      </c>
      <c r="CB1213">
        <f>'Grid_Requirement'!BZ52</f>
        <v/>
      </c>
      <c r="CC1213">
        <f>'Grid_Requirement'!CA52</f>
        <v/>
      </c>
      <c r="CD1213">
        <f>'Grid_Requirement'!CB52</f>
        <v/>
      </c>
      <c r="CE1213">
        <f>'Grid_Requirement'!CC52</f>
        <v/>
      </c>
      <c r="CF1213">
        <f>'Grid_Requirement'!CD52</f>
        <v/>
      </c>
      <c r="CG1213">
        <f>'Grid_Requirement'!CE52</f>
        <v/>
      </c>
      <c r="CH1213">
        <f>'Grid_Requirement'!CF52</f>
        <v/>
      </c>
      <c r="CI1213">
        <f>'Grid_Requirement'!CG52</f>
        <v/>
      </c>
      <c r="CJ1213">
        <f>'Grid_Requirement'!CH52</f>
        <v/>
      </c>
      <c r="CK1213">
        <f>'Grid_Requirement'!CI52</f>
        <v/>
      </c>
      <c r="CL1213">
        <f>'Grid_Requirement'!CJ52</f>
        <v/>
      </c>
      <c r="CM1213">
        <f>'Grid_Requirement'!CK52</f>
        <v/>
      </c>
      <c r="CN1213">
        <f>'Grid_Requirement'!CL52</f>
        <v/>
      </c>
      <c r="CO1213">
        <f>'Grid_Requirement'!CM52</f>
        <v/>
      </c>
      <c r="CP1213">
        <f>'Grid_Requirement'!CN52</f>
        <v/>
      </c>
      <c r="CQ1213">
        <f>'Grid_Requirement'!CO52</f>
        <v/>
      </c>
      <c r="CR1213">
        <f>'Grid_Requirement'!CP52</f>
        <v/>
      </c>
      <c r="CS1213">
        <f>'Grid_Requirement'!CQ52</f>
        <v/>
      </c>
      <c r="CT1213">
        <f>'Grid_Requirement'!CR52</f>
        <v/>
      </c>
      <c r="CU1213">
        <f>'Grid_Requirement'!CS52</f>
        <v/>
      </c>
      <c r="CV1213">
        <f>'Grid_Requirement'!CT52</f>
        <v/>
      </c>
      <c r="CW1213">
        <f>'Grid_Requirement'!CU52</f>
        <v/>
      </c>
      <c r="CX1213">
        <f>'Grid_Requirement'!CV52</f>
        <v/>
      </c>
      <c r="CY1213">
        <f>'Grid_Requirement'!CW52</f>
        <v/>
      </c>
      <c r="CZ1213">
        <f>'Grid_Requirement'!CX52</f>
        <v/>
      </c>
      <c r="DA1213">
        <f>'Grid_Requirement'!CY52</f>
        <v/>
      </c>
      <c r="DB1213">
        <f>'Grid_Requirement'!CZ52</f>
        <v/>
      </c>
      <c r="DC1213">
        <f>'Grid_Requirement'!DA52</f>
        <v/>
      </c>
    </row>
    <row r="1214">
      <c r="B1214" t="inlineStr">
        <is>
          <t>TTAF在庫(実績,kg)</t>
        </is>
      </c>
      <c r="D1214">
        <f>'T_TTAFStock'!B56</f>
        <v/>
      </c>
      <c r="E1214">
        <f>'T_TTAFStock'!C56</f>
        <v/>
      </c>
      <c r="F1214">
        <f>'T_TTAFStock'!D56</f>
        <v/>
      </c>
      <c r="G1214">
        <f>'T_TTAFStock'!E56</f>
        <v/>
      </c>
      <c r="H1214">
        <f>'T_TTAFStock'!F56</f>
        <v/>
      </c>
      <c r="I1214">
        <f>'T_TTAFStock'!G56</f>
        <v/>
      </c>
      <c r="J1214">
        <f>'T_TTAFStock'!H56</f>
        <v/>
      </c>
      <c r="K1214">
        <f>'T_TTAFStock'!I56</f>
        <v/>
      </c>
      <c r="L1214">
        <f>'T_TTAFStock'!J56</f>
        <v/>
      </c>
      <c r="M1214">
        <f>'T_TTAFStock'!K56</f>
        <v/>
      </c>
      <c r="N1214">
        <f>'T_TTAFStock'!L56</f>
        <v/>
      </c>
      <c r="O1214">
        <f>'T_TTAFStock'!M56</f>
        <v/>
      </c>
      <c r="P1214">
        <f>'T_TTAFStock'!N56</f>
        <v/>
      </c>
      <c r="Q1214">
        <f>'T_TTAFStock'!O56</f>
        <v/>
      </c>
      <c r="R1214">
        <f>'T_TTAFStock'!P56</f>
        <v/>
      </c>
      <c r="S1214">
        <f>'T_TTAFStock'!Q56</f>
        <v/>
      </c>
      <c r="T1214">
        <f>'T_TTAFStock'!R56</f>
        <v/>
      </c>
      <c r="U1214">
        <f>'T_TTAFStock'!S56</f>
        <v/>
      </c>
      <c r="V1214">
        <f>'T_TTAFStock'!T56</f>
        <v/>
      </c>
      <c r="W1214">
        <f>'T_TTAFStock'!U56</f>
        <v/>
      </c>
      <c r="X1214">
        <f>'T_TTAFStock'!V56</f>
        <v/>
      </c>
      <c r="Y1214">
        <f>'T_TTAFStock'!W56</f>
        <v/>
      </c>
      <c r="Z1214">
        <f>'T_TTAFStock'!X56</f>
        <v/>
      </c>
      <c r="AA1214">
        <f>'T_TTAFStock'!Y56</f>
        <v/>
      </c>
      <c r="AB1214">
        <f>'T_TTAFStock'!Z56</f>
        <v/>
      </c>
      <c r="AC1214">
        <f>'T_TTAFStock'!AA56</f>
        <v/>
      </c>
      <c r="AD1214">
        <f>'T_TTAFStock'!AB56</f>
        <v/>
      </c>
      <c r="AE1214">
        <f>'T_TTAFStock'!AC56</f>
        <v/>
      </c>
      <c r="AF1214">
        <f>'T_TTAFStock'!AD56</f>
        <v/>
      </c>
      <c r="AG1214">
        <f>'T_TTAFStock'!AE56</f>
        <v/>
      </c>
      <c r="AH1214">
        <f>'T_TTAFStock'!AF56</f>
        <v/>
      </c>
      <c r="AI1214">
        <f>'T_TTAFStock'!AG56</f>
        <v/>
      </c>
      <c r="AJ1214">
        <f>'T_TTAFStock'!AH56</f>
        <v/>
      </c>
      <c r="AK1214">
        <f>'T_TTAFStock'!AI56</f>
        <v/>
      </c>
      <c r="AL1214">
        <f>'T_TTAFStock'!AJ56</f>
        <v/>
      </c>
      <c r="AM1214">
        <f>'T_TTAFStock'!AK56</f>
        <v/>
      </c>
      <c r="AN1214">
        <f>'T_TTAFStock'!AL56</f>
        <v/>
      </c>
      <c r="AO1214">
        <f>'T_TTAFStock'!AM56</f>
        <v/>
      </c>
      <c r="AP1214">
        <f>'T_TTAFStock'!AN56</f>
        <v/>
      </c>
      <c r="AQ1214">
        <f>'T_TTAFStock'!AO56</f>
        <v/>
      </c>
      <c r="AR1214">
        <f>'T_TTAFStock'!AP56</f>
        <v/>
      </c>
      <c r="AS1214">
        <f>'T_TTAFStock'!AQ56</f>
        <v/>
      </c>
      <c r="AT1214">
        <f>'T_TTAFStock'!AR56</f>
        <v/>
      </c>
      <c r="AU1214">
        <f>'T_TTAFStock'!AS56</f>
        <v/>
      </c>
      <c r="AV1214">
        <f>'T_TTAFStock'!AT56</f>
        <v/>
      </c>
      <c r="AW1214">
        <f>'T_TTAFStock'!AU56</f>
        <v/>
      </c>
      <c r="AX1214">
        <f>'T_TTAFStock'!AV56</f>
        <v/>
      </c>
      <c r="AY1214">
        <f>'T_TTAFStock'!AW56</f>
        <v/>
      </c>
      <c r="AZ1214">
        <f>'T_TTAFStock'!AX56</f>
        <v/>
      </c>
      <c r="BA1214">
        <f>'T_TTAFStock'!AY56</f>
        <v/>
      </c>
      <c r="BB1214">
        <f>'T_TTAFStock'!AZ56</f>
        <v/>
      </c>
      <c r="BC1214">
        <f>'T_TTAFStock'!BA56</f>
        <v/>
      </c>
      <c r="BD1214">
        <f>'T_TTAFStock'!BB56</f>
        <v/>
      </c>
      <c r="BE1214">
        <f>'T_TTAFStock'!BC56</f>
        <v/>
      </c>
      <c r="BF1214">
        <f>'T_TTAFStock'!BD56</f>
        <v/>
      </c>
      <c r="BG1214">
        <f>'T_TTAFStock'!BE56</f>
        <v/>
      </c>
      <c r="BH1214">
        <f>'T_TTAFStock'!BF56</f>
        <v/>
      </c>
      <c r="BI1214">
        <f>'T_TTAFStock'!BG56</f>
        <v/>
      </c>
      <c r="BJ1214">
        <f>'T_TTAFStock'!BH56</f>
        <v/>
      </c>
      <c r="BK1214">
        <f>'T_TTAFStock'!BI56</f>
        <v/>
      </c>
      <c r="BL1214">
        <f>'T_TTAFStock'!BJ56</f>
        <v/>
      </c>
      <c r="BM1214">
        <f>'T_TTAFStock'!BK56</f>
        <v/>
      </c>
      <c r="BN1214">
        <f>'T_TTAFStock'!BL56</f>
        <v/>
      </c>
      <c r="BO1214">
        <f>'T_TTAFStock'!BM56</f>
        <v/>
      </c>
      <c r="BP1214">
        <f>'T_TTAFStock'!BN56</f>
        <v/>
      </c>
      <c r="BQ1214">
        <f>'T_TTAFStock'!BO56</f>
        <v/>
      </c>
      <c r="BR1214">
        <f>'T_TTAFStock'!BP56</f>
        <v/>
      </c>
      <c r="BS1214">
        <f>'T_TTAFStock'!BQ56</f>
        <v/>
      </c>
      <c r="BT1214">
        <f>'T_TTAFStock'!BR56</f>
        <v/>
      </c>
      <c r="BU1214">
        <f>'T_TTAFStock'!BS56</f>
        <v/>
      </c>
      <c r="BV1214">
        <f>'T_TTAFStock'!BT56</f>
        <v/>
      </c>
      <c r="BW1214">
        <f>'T_TTAFStock'!BU56</f>
        <v/>
      </c>
      <c r="BX1214">
        <f>'T_TTAFStock'!BV56</f>
        <v/>
      </c>
      <c r="BY1214">
        <f>'T_TTAFStock'!BW56</f>
        <v/>
      </c>
      <c r="BZ1214">
        <f>'T_TTAFStock'!BX56</f>
        <v/>
      </c>
      <c r="CA1214">
        <f>'T_TTAFStock'!BY56</f>
        <v/>
      </c>
      <c r="CB1214">
        <f>'T_TTAFStock'!BZ56</f>
        <v/>
      </c>
      <c r="CC1214">
        <f>'T_TTAFStock'!CA56</f>
        <v/>
      </c>
      <c r="CD1214">
        <f>'T_TTAFStock'!CB56</f>
        <v/>
      </c>
      <c r="CE1214">
        <f>'T_TTAFStock'!CC56</f>
        <v/>
      </c>
      <c r="CF1214">
        <f>'T_TTAFStock'!CD56</f>
        <v/>
      </c>
      <c r="CG1214">
        <f>'T_TTAFStock'!CE56</f>
        <v/>
      </c>
      <c r="CH1214">
        <f>'T_TTAFStock'!CF56</f>
        <v/>
      </c>
      <c r="CI1214">
        <f>'T_TTAFStock'!CG56</f>
        <v/>
      </c>
      <c r="CJ1214">
        <f>'T_TTAFStock'!CH56</f>
        <v/>
      </c>
      <c r="CK1214">
        <f>'T_TTAFStock'!CI56</f>
        <v/>
      </c>
      <c r="CL1214">
        <f>'T_TTAFStock'!CJ56</f>
        <v/>
      </c>
      <c r="CM1214">
        <f>'T_TTAFStock'!CK56</f>
        <v/>
      </c>
      <c r="CN1214">
        <f>'T_TTAFStock'!CL56</f>
        <v/>
      </c>
      <c r="CO1214">
        <f>'T_TTAFStock'!CM56</f>
        <v/>
      </c>
      <c r="CP1214">
        <f>'T_TTAFStock'!CN56</f>
        <v/>
      </c>
      <c r="CQ1214">
        <f>'T_TTAFStock'!CO56</f>
        <v/>
      </c>
      <c r="CR1214">
        <f>'T_TTAFStock'!CP56</f>
        <v/>
      </c>
      <c r="CS1214">
        <f>'T_TTAFStock'!CQ56</f>
        <v/>
      </c>
      <c r="CT1214">
        <f>'T_TTAFStock'!CR56</f>
        <v/>
      </c>
      <c r="CU1214">
        <f>'T_TTAFStock'!CS56</f>
        <v/>
      </c>
      <c r="CV1214">
        <f>'T_TTAFStock'!CT56</f>
        <v/>
      </c>
      <c r="CW1214">
        <f>'T_TTAFStock'!CU56</f>
        <v/>
      </c>
      <c r="CX1214">
        <f>'T_TTAFStock'!CV56</f>
        <v/>
      </c>
      <c r="CY1214">
        <f>'T_TTAFStock'!CW56</f>
        <v/>
      </c>
      <c r="CZ1214">
        <f>'T_TTAFStock'!CX56</f>
        <v/>
      </c>
      <c r="DA1214">
        <f>'T_TTAFStock'!CY56</f>
        <v/>
      </c>
      <c r="DB1214">
        <f>'T_TTAFStock'!CZ56</f>
        <v/>
      </c>
      <c r="DC1214">
        <f>'T_TTAFStock'!DA56</f>
        <v/>
      </c>
    </row>
    <row r="1215">
      <c r="B1215" t="inlineStr">
        <is>
          <t>自社在庫(実績,kg)</t>
        </is>
      </c>
      <c r="D1215">
        <f>'T_SelfStock'!B56</f>
        <v/>
      </c>
      <c r="E1215">
        <f>'T_SelfStock'!C56</f>
        <v/>
      </c>
      <c r="F1215">
        <f>'T_SelfStock'!D56</f>
        <v/>
      </c>
      <c r="G1215">
        <f>'T_SelfStock'!E56</f>
        <v/>
      </c>
      <c r="H1215">
        <f>'T_SelfStock'!F56</f>
        <v/>
      </c>
      <c r="I1215">
        <f>'T_SelfStock'!G56</f>
        <v/>
      </c>
      <c r="J1215">
        <f>'T_SelfStock'!H56</f>
        <v/>
      </c>
      <c r="K1215">
        <f>'T_SelfStock'!I56</f>
        <v/>
      </c>
      <c r="L1215">
        <f>'T_SelfStock'!J56</f>
        <v/>
      </c>
      <c r="M1215">
        <f>'T_SelfStock'!K56</f>
        <v/>
      </c>
      <c r="N1215">
        <f>'T_SelfStock'!L56</f>
        <v/>
      </c>
      <c r="O1215">
        <f>'T_SelfStock'!M56</f>
        <v/>
      </c>
      <c r="P1215">
        <f>'T_SelfStock'!N56</f>
        <v/>
      </c>
      <c r="Q1215">
        <f>'T_SelfStock'!O56</f>
        <v/>
      </c>
      <c r="R1215">
        <f>'T_SelfStock'!P56</f>
        <v/>
      </c>
      <c r="S1215">
        <f>'T_SelfStock'!Q56</f>
        <v/>
      </c>
      <c r="T1215">
        <f>'T_SelfStock'!R56</f>
        <v/>
      </c>
      <c r="U1215">
        <f>'T_SelfStock'!S56</f>
        <v/>
      </c>
      <c r="V1215">
        <f>'T_SelfStock'!T56</f>
        <v/>
      </c>
      <c r="W1215">
        <f>'T_SelfStock'!U56</f>
        <v/>
      </c>
      <c r="X1215">
        <f>'T_SelfStock'!V56</f>
        <v/>
      </c>
      <c r="Y1215">
        <f>'T_SelfStock'!W56</f>
        <v/>
      </c>
      <c r="Z1215">
        <f>'T_SelfStock'!X56</f>
        <v/>
      </c>
      <c r="AA1215">
        <f>'T_SelfStock'!Y56</f>
        <v/>
      </c>
      <c r="AB1215">
        <f>'T_SelfStock'!Z56</f>
        <v/>
      </c>
      <c r="AC1215">
        <f>'T_SelfStock'!AA56</f>
        <v/>
      </c>
      <c r="AD1215">
        <f>'T_SelfStock'!AB56</f>
        <v/>
      </c>
      <c r="AE1215">
        <f>'T_SelfStock'!AC56</f>
        <v/>
      </c>
      <c r="AF1215">
        <f>'T_SelfStock'!AD56</f>
        <v/>
      </c>
      <c r="AG1215">
        <f>'T_SelfStock'!AE56</f>
        <v/>
      </c>
      <c r="AH1215">
        <f>'T_SelfStock'!AF56</f>
        <v/>
      </c>
      <c r="AI1215">
        <f>'T_SelfStock'!AG56</f>
        <v/>
      </c>
      <c r="AJ1215">
        <f>'T_SelfStock'!AH56</f>
        <v/>
      </c>
      <c r="AK1215">
        <f>'T_SelfStock'!AI56</f>
        <v/>
      </c>
      <c r="AL1215">
        <f>'T_SelfStock'!AJ56</f>
        <v/>
      </c>
      <c r="AM1215">
        <f>'T_SelfStock'!AK56</f>
        <v/>
      </c>
      <c r="AN1215">
        <f>'T_SelfStock'!AL56</f>
        <v/>
      </c>
      <c r="AO1215">
        <f>'T_SelfStock'!AM56</f>
        <v/>
      </c>
      <c r="AP1215">
        <f>'T_SelfStock'!AN56</f>
        <v/>
      </c>
      <c r="AQ1215">
        <f>'T_SelfStock'!AO56</f>
        <v/>
      </c>
      <c r="AR1215">
        <f>'T_SelfStock'!AP56</f>
        <v/>
      </c>
      <c r="AS1215">
        <f>'T_SelfStock'!AQ56</f>
        <v/>
      </c>
      <c r="AT1215">
        <f>'T_SelfStock'!AR56</f>
        <v/>
      </c>
      <c r="AU1215">
        <f>'T_SelfStock'!AS56</f>
        <v/>
      </c>
      <c r="AV1215">
        <f>'T_SelfStock'!AT56</f>
        <v/>
      </c>
      <c r="AW1215">
        <f>'T_SelfStock'!AU56</f>
        <v/>
      </c>
      <c r="AX1215">
        <f>'T_SelfStock'!AV56</f>
        <v/>
      </c>
      <c r="AY1215">
        <f>'T_SelfStock'!AW56</f>
        <v/>
      </c>
      <c r="AZ1215">
        <f>'T_SelfStock'!AX56</f>
        <v/>
      </c>
      <c r="BA1215">
        <f>'T_SelfStock'!AY56</f>
        <v/>
      </c>
      <c r="BB1215">
        <f>'T_SelfStock'!AZ56</f>
        <v/>
      </c>
      <c r="BC1215">
        <f>'T_SelfStock'!BA56</f>
        <v/>
      </c>
      <c r="BD1215">
        <f>'T_SelfStock'!BB56</f>
        <v/>
      </c>
      <c r="BE1215">
        <f>'T_SelfStock'!BC56</f>
        <v/>
      </c>
      <c r="BF1215">
        <f>'T_SelfStock'!BD56</f>
        <v/>
      </c>
      <c r="BG1215">
        <f>'T_SelfStock'!BE56</f>
        <v/>
      </c>
      <c r="BH1215">
        <f>'T_SelfStock'!BF56</f>
        <v/>
      </c>
      <c r="BI1215">
        <f>'T_SelfStock'!BG56</f>
        <v/>
      </c>
      <c r="BJ1215">
        <f>'T_SelfStock'!BH56</f>
        <v/>
      </c>
      <c r="BK1215">
        <f>'T_SelfStock'!BI56</f>
        <v/>
      </c>
      <c r="BL1215">
        <f>'T_SelfStock'!BJ56</f>
        <v/>
      </c>
      <c r="BM1215">
        <f>'T_SelfStock'!BK56</f>
        <v/>
      </c>
      <c r="BN1215">
        <f>'T_SelfStock'!BL56</f>
        <v/>
      </c>
      <c r="BO1215">
        <f>'T_SelfStock'!BM56</f>
        <v/>
      </c>
      <c r="BP1215">
        <f>'T_SelfStock'!BN56</f>
        <v/>
      </c>
      <c r="BQ1215">
        <f>'T_SelfStock'!BO56</f>
        <v/>
      </c>
      <c r="BR1215">
        <f>'T_SelfStock'!BP56</f>
        <v/>
      </c>
      <c r="BS1215">
        <f>'T_SelfStock'!BQ56</f>
        <v/>
      </c>
      <c r="BT1215">
        <f>'T_SelfStock'!BR56</f>
        <v/>
      </c>
      <c r="BU1215">
        <f>'T_SelfStock'!BS56</f>
        <v/>
      </c>
      <c r="BV1215">
        <f>'T_SelfStock'!BT56</f>
        <v/>
      </c>
      <c r="BW1215">
        <f>'T_SelfStock'!BU56</f>
        <v/>
      </c>
      <c r="BX1215">
        <f>'T_SelfStock'!BV56</f>
        <v/>
      </c>
      <c r="BY1215">
        <f>'T_SelfStock'!BW56</f>
        <v/>
      </c>
      <c r="BZ1215">
        <f>'T_SelfStock'!BX56</f>
        <v/>
      </c>
      <c r="CA1215">
        <f>'T_SelfStock'!BY56</f>
        <v/>
      </c>
      <c r="CB1215">
        <f>'T_SelfStock'!BZ56</f>
        <v/>
      </c>
      <c r="CC1215">
        <f>'T_SelfStock'!CA56</f>
        <v/>
      </c>
      <c r="CD1215">
        <f>'T_SelfStock'!CB56</f>
        <v/>
      </c>
      <c r="CE1215">
        <f>'T_SelfStock'!CC56</f>
        <v/>
      </c>
      <c r="CF1215">
        <f>'T_SelfStock'!CD56</f>
        <v/>
      </c>
      <c r="CG1215">
        <f>'T_SelfStock'!CE56</f>
        <v/>
      </c>
      <c r="CH1215">
        <f>'T_SelfStock'!CF56</f>
        <v/>
      </c>
      <c r="CI1215">
        <f>'T_SelfStock'!CG56</f>
        <v/>
      </c>
      <c r="CJ1215">
        <f>'T_SelfStock'!CH56</f>
        <v/>
      </c>
      <c r="CK1215">
        <f>'T_SelfStock'!CI56</f>
        <v/>
      </c>
      <c r="CL1215">
        <f>'T_SelfStock'!CJ56</f>
        <v/>
      </c>
      <c r="CM1215">
        <f>'T_SelfStock'!CK56</f>
        <v/>
      </c>
      <c r="CN1215">
        <f>'T_SelfStock'!CL56</f>
        <v/>
      </c>
      <c r="CO1215">
        <f>'T_SelfStock'!CM56</f>
        <v/>
      </c>
      <c r="CP1215">
        <f>'T_SelfStock'!CN56</f>
        <v/>
      </c>
      <c r="CQ1215">
        <f>'T_SelfStock'!CO56</f>
        <v/>
      </c>
      <c r="CR1215">
        <f>'T_SelfStock'!CP56</f>
        <v/>
      </c>
      <c r="CS1215">
        <f>'T_SelfStock'!CQ56</f>
        <v/>
      </c>
      <c r="CT1215">
        <f>'T_SelfStock'!CR56</f>
        <v/>
      </c>
      <c r="CU1215">
        <f>'T_SelfStock'!CS56</f>
        <v/>
      </c>
      <c r="CV1215">
        <f>'T_SelfStock'!CT56</f>
        <v/>
      </c>
      <c r="CW1215">
        <f>'T_SelfStock'!CU56</f>
        <v/>
      </c>
      <c r="CX1215">
        <f>'T_SelfStock'!CV56</f>
        <v/>
      </c>
      <c r="CY1215">
        <f>'T_SelfStock'!CW56</f>
        <v/>
      </c>
      <c r="CZ1215">
        <f>'T_SelfStock'!CX56</f>
        <v/>
      </c>
      <c r="DA1215">
        <f>'T_SelfStock'!CY56</f>
        <v/>
      </c>
      <c r="DB1215">
        <f>'T_SelfStock'!CZ56</f>
        <v/>
      </c>
      <c r="DC1215">
        <f>'T_SelfStock'!DA56</f>
        <v/>
      </c>
    </row>
    <row r="1216">
      <c r="B1216" t="inlineStr">
        <is>
          <t>Order(発注予定,kg)</t>
        </is>
      </c>
      <c r="D1216" s="23" t="n"/>
      <c r="E1216" s="23" t="n"/>
      <c r="F1216" s="23" t="n"/>
      <c r="G1216" s="23" t="n"/>
      <c r="H1216" s="23" t="n"/>
      <c r="I1216" s="23" t="n"/>
      <c r="J1216" s="23" t="n"/>
      <c r="K1216" s="23" t="n"/>
      <c r="L1216" s="23" t="n"/>
      <c r="M1216" s="23" t="n"/>
      <c r="N1216" s="23" t="n"/>
      <c r="O1216" s="23" t="n"/>
      <c r="P1216" s="23" t="n"/>
      <c r="Q1216" s="23" t="n"/>
      <c r="R1216" s="23" t="n"/>
      <c r="S1216" s="23" t="n"/>
      <c r="T1216" s="23" t="n"/>
      <c r="U1216" s="23" t="n"/>
      <c r="V1216" s="23" t="n"/>
      <c r="W1216" s="23" t="n"/>
      <c r="X1216" s="23" t="n"/>
      <c r="Y1216" s="23" t="n"/>
      <c r="Z1216" s="23" t="n"/>
      <c r="AA1216" s="23" t="n"/>
      <c r="AB1216" s="23" t="n"/>
      <c r="AC1216" s="23" t="n"/>
      <c r="AD1216" s="23" t="n"/>
      <c r="AE1216" s="23" t="n"/>
      <c r="AF1216" s="23" t="n"/>
      <c r="AG1216" s="23" t="n"/>
      <c r="AH1216" s="23" t="n"/>
      <c r="AI1216" s="23" t="n"/>
      <c r="AJ1216" s="23" t="n"/>
      <c r="AK1216" s="23" t="n"/>
      <c r="AL1216" s="23" t="n"/>
      <c r="AM1216" s="23" t="n"/>
      <c r="AN1216" s="23" t="n"/>
      <c r="AO1216" s="23" t="n"/>
      <c r="AP1216" s="23" t="n"/>
      <c r="AQ1216" s="23" t="n"/>
      <c r="AR1216" s="23" t="n"/>
      <c r="AS1216" s="23" t="n"/>
      <c r="AT1216" s="23" t="n"/>
      <c r="AU1216" s="23" t="n"/>
      <c r="AV1216" s="23" t="n"/>
      <c r="AW1216" s="23" t="n"/>
      <c r="AX1216" s="23" t="n"/>
      <c r="AY1216" s="23" t="n"/>
      <c r="AZ1216" s="23" t="n"/>
      <c r="BA1216" s="23" t="n"/>
      <c r="BB1216" s="23" t="n"/>
      <c r="BC1216" s="23" t="n"/>
      <c r="BD1216" s="23" t="n"/>
      <c r="BE1216" s="23" t="n"/>
      <c r="BF1216" s="23" t="n"/>
      <c r="BG1216" s="23" t="n"/>
      <c r="BH1216" s="23" t="n"/>
      <c r="BI1216" s="23" t="n"/>
      <c r="BJ1216" s="23" t="n"/>
      <c r="BK1216" s="23" t="n"/>
      <c r="BL1216" s="23" t="n"/>
      <c r="BM1216" s="23" t="n"/>
      <c r="BN1216" s="23" t="n"/>
      <c r="BO1216" s="23" t="n"/>
      <c r="BP1216" s="23" t="n"/>
      <c r="BQ1216" s="23" t="n"/>
      <c r="BR1216" s="23" t="n"/>
      <c r="BS1216" s="23" t="n"/>
      <c r="BT1216" s="23" t="n"/>
      <c r="BU1216" s="23" t="n"/>
      <c r="BV1216" s="23" t="n"/>
      <c r="BW1216" s="23" t="n"/>
      <c r="BX1216" s="23" t="n"/>
      <c r="BY1216" s="23" t="n"/>
      <c r="BZ1216" s="23" t="n"/>
      <c r="CA1216" s="23" t="n"/>
      <c r="CB1216" s="23" t="n"/>
      <c r="CC1216" s="23" t="n"/>
      <c r="CD1216" s="23" t="n"/>
      <c r="CE1216" s="23" t="n"/>
      <c r="CF1216" s="23" t="n"/>
      <c r="CG1216" s="23" t="n"/>
      <c r="CH1216" s="23" t="n"/>
      <c r="CI1216" s="23" t="n"/>
      <c r="CJ1216" s="23" t="n"/>
      <c r="CK1216" s="23" t="n"/>
      <c r="CL1216" s="23" t="n"/>
      <c r="CM1216" s="23" t="n"/>
      <c r="CN1216" s="23" t="n"/>
      <c r="CO1216" s="23" t="n"/>
      <c r="CP1216" s="23" t="n"/>
      <c r="CQ1216" s="23" t="n"/>
      <c r="CR1216" s="23" t="n"/>
      <c r="CS1216" s="23" t="n"/>
      <c r="CT1216" s="23" t="n"/>
      <c r="CU1216" s="23" t="n"/>
      <c r="CV1216" s="23" t="n"/>
      <c r="CW1216" s="23" t="n"/>
      <c r="CX1216" s="23" t="n"/>
      <c r="CY1216" s="23" t="n"/>
      <c r="CZ1216" s="23" t="n"/>
      <c r="DA1216" s="23" t="n"/>
      <c r="DB1216" s="23" t="n"/>
      <c r="DC1216" s="23" t="n"/>
      <c r="DE1216" s="12" t="inlineStr">
        <is>
          <t>CHEM-1850</t>
        </is>
      </c>
    </row>
    <row r="1217">
      <c r="B1217" s="24" t="inlineStr">
        <is>
          <t>PO_No</t>
        </is>
      </c>
      <c r="D1217" s="25" t="n"/>
      <c r="E1217" s="25" t="n"/>
      <c r="F1217" s="25" t="n"/>
      <c r="G1217" s="25" t="n"/>
      <c r="H1217" s="25" t="n"/>
      <c r="I1217" s="25" t="n"/>
      <c r="J1217" s="25" t="n"/>
      <c r="K1217" s="25" t="n"/>
      <c r="L1217" s="25" t="n"/>
      <c r="M1217" s="25" t="n"/>
      <c r="N1217" s="25" t="n"/>
      <c r="O1217" s="25" t="n"/>
      <c r="P1217" s="25" t="n"/>
      <c r="Q1217" s="25" t="n"/>
      <c r="R1217" s="25" t="n"/>
      <c r="S1217" s="25" t="n"/>
      <c r="T1217" s="25" t="n"/>
      <c r="U1217" s="25" t="n"/>
      <c r="V1217" s="25" t="n"/>
      <c r="W1217" s="25" t="n"/>
      <c r="X1217" s="25" t="n"/>
      <c r="Y1217" s="25" t="n"/>
      <c r="Z1217" s="25" t="n"/>
      <c r="AA1217" s="25" t="n"/>
      <c r="AB1217" s="25" t="n"/>
      <c r="AC1217" s="25" t="n"/>
      <c r="AD1217" s="25" t="n"/>
      <c r="AE1217" s="25" t="n"/>
      <c r="AF1217" s="25" t="n"/>
      <c r="AG1217" s="25" t="n"/>
      <c r="AH1217" s="25" t="n"/>
      <c r="AI1217" s="25" t="n"/>
      <c r="AJ1217" s="25" t="n"/>
      <c r="AK1217" s="25" t="n"/>
      <c r="AL1217" s="25" t="n"/>
      <c r="AM1217" s="25" t="n"/>
      <c r="AN1217" s="25" t="n"/>
      <c r="AO1217" s="25" t="n"/>
      <c r="AP1217" s="25" t="n"/>
      <c r="AQ1217" s="25" t="n"/>
      <c r="AR1217" s="25" t="n"/>
      <c r="AS1217" s="25" t="n"/>
      <c r="AT1217" s="25" t="n"/>
      <c r="AU1217" s="25" t="n"/>
      <c r="AV1217" s="25" t="n"/>
      <c r="AW1217" s="25" t="n"/>
      <c r="AX1217" s="25" t="n"/>
      <c r="AY1217" s="25" t="n"/>
      <c r="AZ1217" s="25" t="n"/>
      <c r="BA1217" s="25" t="n"/>
      <c r="BB1217" s="25" t="n"/>
      <c r="BC1217" s="25" t="n"/>
      <c r="BD1217" s="25" t="n"/>
      <c r="BE1217" s="25" t="n"/>
      <c r="BF1217" s="25" t="n"/>
      <c r="BG1217" s="25" t="n"/>
      <c r="BH1217" s="25" t="n"/>
      <c r="BI1217" s="25" t="n"/>
      <c r="BJ1217" s="25" t="n"/>
      <c r="BK1217" s="25" t="n"/>
      <c r="BL1217" s="25" t="n"/>
      <c r="BM1217" s="25" t="n"/>
      <c r="BN1217" s="25" t="n"/>
      <c r="BO1217" s="25" t="n"/>
      <c r="BP1217" s="25" t="n"/>
      <c r="BQ1217" s="25" t="n"/>
      <c r="BR1217" s="25" t="n"/>
      <c r="BS1217" s="25" t="n"/>
      <c r="BT1217" s="25" t="n"/>
      <c r="BU1217" s="25" t="n"/>
      <c r="BV1217" s="25" t="n"/>
      <c r="BW1217" s="25" t="n"/>
      <c r="BX1217" s="25" t="n"/>
      <c r="BY1217" s="25" t="n"/>
      <c r="BZ1217" s="25" t="n"/>
      <c r="CA1217" s="25" t="n"/>
      <c r="CB1217" s="25" t="n"/>
      <c r="CC1217" s="25" t="n"/>
      <c r="CD1217" s="25" t="n"/>
      <c r="CE1217" s="25" t="n"/>
      <c r="CF1217" s="25" t="n"/>
      <c r="CG1217" s="25" t="n"/>
      <c r="CH1217" s="25" t="n"/>
      <c r="CI1217" s="25" t="n"/>
      <c r="CJ1217" s="25" t="n"/>
      <c r="CK1217" s="25" t="n"/>
      <c r="CL1217" s="25" t="n"/>
      <c r="CM1217" s="25" t="n"/>
      <c r="CN1217" s="25" t="n"/>
      <c r="CO1217" s="25" t="n"/>
      <c r="CP1217" s="25" t="n"/>
      <c r="CQ1217" s="25" t="n"/>
      <c r="CR1217" s="25" t="n"/>
      <c r="CS1217" s="25" t="n"/>
      <c r="CT1217" s="25" t="n"/>
      <c r="CU1217" s="25" t="n"/>
      <c r="CV1217" s="25" t="n"/>
      <c r="CW1217" s="25" t="n"/>
      <c r="CX1217" s="25" t="n"/>
      <c r="CY1217" s="25" t="n"/>
      <c r="CZ1217" s="25" t="n"/>
      <c r="DA1217" s="25" t="n"/>
      <c r="DB1217" s="25" t="n"/>
      <c r="DC1217" s="25" t="n"/>
    </row>
    <row r="1218">
      <c r="B1218" s="5" t="inlineStr">
        <is>
          <t>合計在庫(週末時点,kg)</t>
        </is>
      </c>
      <c r="D1218">
        <f>'Grid_Stock'!B52</f>
        <v/>
      </c>
      <c r="E1218">
        <f>'Grid_Stock'!C52</f>
        <v/>
      </c>
      <c r="F1218">
        <f>'Grid_Stock'!D52</f>
        <v/>
      </c>
      <c r="G1218">
        <f>'Grid_Stock'!E52</f>
        <v/>
      </c>
      <c r="H1218">
        <f>'Grid_Stock'!F52</f>
        <v/>
      </c>
      <c r="I1218">
        <f>'Grid_Stock'!G52</f>
        <v/>
      </c>
      <c r="J1218">
        <f>'Grid_Stock'!H52</f>
        <v/>
      </c>
      <c r="K1218">
        <f>'Grid_Stock'!I52</f>
        <v/>
      </c>
      <c r="L1218">
        <f>'Grid_Stock'!J52</f>
        <v/>
      </c>
      <c r="M1218">
        <f>'Grid_Stock'!K52</f>
        <v/>
      </c>
      <c r="N1218">
        <f>'Grid_Stock'!L52</f>
        <v/>
      </c>
      <c r="O1218">
        <f>'Grid_Stock'!M52</f>
        <v/>
      </c>
      <c r="P1218">
        <f>'Grid_Stock'!N52</f>
        <v/>
      </c>
      <c r="Q1218">
        <f>'Grid_Stock'!O52</f>
        <v/>
      </c>
      <c r="R1218">
        <f>'Grid_Stock'!P52</f>
        <v/>
      </c>
      <c r="S1218">
        <f>'Grid_Stock'!Q52</f>
        <v/>
      </c>
      <c r="T1218">
        <f>'Grid_Stock'!R52</f>
        <v/>
      </c>
      <c r="U1218">
        <f>'Grid_Stock'!S52</f>
        <v/>
      </c>
      <c r="V1218">
        <f>'Grid_Stock'!T52</f>
        <v/>
      </c>
      <c r="W1218">
        <f>'Grid_Stock'!U52</f>
        <v/>
      </c>
      <c r="X1218">
        <f>'Grid_Stock'!V52</f>
        <v/>
      </c>
      <c r="Y1218">
        <f>'Grid_Stock'!W52</f>
        <v/>
      </c>
      <c r="Z1218">
        <f>'Grid_Stock'!X52</f>
        <v/>
      </c>
      <c r="AA1218">
        <f>'Grid_Stock'!Y52</f>
        <v/>
      </c>
      <c r="AB1218">
        <f>'Grid_Stock'!Z52</f>
        <v/>
      </c>
      <c r="AC1218">
        <f>'Grid_Stock'!AA52</f>
        <v/>
      </c>
      <c r="AD1218">
        <f>'Grid_Stock'!AB52</f>
        <v/>
      </c>
      <c r="AE1218">
        <f>'Grid_Stock'!AC52</f>
        <v/>
      </c>
      <c r="AF1218">
        <f>'Grid_Stock'!AD52</f>
        <v/>
      </c>
      <c r="AG1218">
        <f>'Grid_Stock'!AE52</f>
        <v/>
      </c>
      <c r="AH1218">
        <f>'Grid_Stock'!AF52</f>
        <v/>
      </c>
      <c r="AI1218">
        <f>'Grid_Stock'!AG52</f>
        <v/>
      </c>
      <c r="AJ1218">
        <f>'Grid_Stock'!AH52</f>
        <v/>
      </c>
      <c r="AK1218">
        <f>'Grid_Stock'!AI52</f>
        <v/>
      </c>
      <c r="AL1218">
        <f>'Grid_Stock'!AJ52</f>
        <v/>
      </c>
      <c r="AM1218">
        <f>'Grid_Stock'!AK52</f>
        <v/>
      </c>
      <c r="AN1218">
        <f>'Grid_Stock'!AL52</f>
        <v/>
      </c>
      <c r="AO1218">
        <f>'Grid_Stock'!AM52</f>
        <v/>
      </c>
      <c r="AP1218">
        <f>'Grid_Stock'!AN52</f>
        <v/>
      </c>
      <c r="AQ1218">
        <f>'Grid_Stock'!AO52</f>
        <v/>
      </c>
      <c r="AR1218">
        <f>'Grid_Stock'!AP52</f>
        <v/>
      </c>
      <c r="AS1218">
        <f>'Grid_Stock'!AQ52</f>
        <v/>
      </c>
      <c r="AT1218">
        <f>'Grid_Stock'!AR52</f>
        <v/>
      </c>
      <c r="AU1218">
        <f>'Grid_Stock'!AS52</f>
        <v/>
      </c>
      <c r="AV1218">
        <f>'Grid_Stock'!AT52</f>
        <v/>
      </c>
      <c r="AW1218">
        <f>'Grid_Stock'!AU52</f>
        <v/>
      </c>
      <c r="AX1218">
        <f>'Grid_Stock'!AV52</f>
        <v/>
      </c>
      <c r="AY1218">
        <f>'Grid_Stock'!AW52</f>
        <v/>
      </c>
      <c r="AZ1218">
        <f>'Grid_Stock'!AX52</f>
        <v/>
      </c>
      <c r="BA1218">
        <f>'Grid_Stock'!AY52</f>
        <v/>
      </c>
      <c r="BB1218">
        <f>'Grid_Stock'!AZ52</f>
        <v/>
      </c>
      <c r="BC1218">
        <f>'Grid_Stock'!BA52</f>
        <v/>
      </c>
      <c r="BD1218">
        <f>'Grid_Stock'!BB52</f>
        <v/>
      </c>
      <c r="BE1218">
        <f>'Grid_Stock'!BC52</f>
        <v/>
      </c>
      <c r="BF1218">
        <f>'Grid_Stock'!BD52</f>
        <v/>
      </c>
      <c r="BG1218">
        <f>'Grid_Stock'!BE52</f>
        <v/>
      </c>
      <c r="BH1218">
        <f>'Grid_Stock'!BF52</f>
        <v/>
      </c>
      <c r="BI1218">
        <f>'Grid_Stock'!BG52</f>
        <v/>
      </c>
      <c r="BJ1218">
        <f>'Grid_Stock'!BH52</f>
        <v/>
      </c>
      <c r="BK1218">
        <f>'Grid_Stock'!BI52</f>
        <v/>
      </c>
      <c r="BL1218">
        <f>'Grid_Stock'!BJ52</f>
        <v/>
      </c>
      <c r="BM1218">
        <f>'Grid_Stock'!BK52</f>
        <v/>
      </c>
      <c r="BN1218">
        <f>'Grid_Stock'!BL52</f>
        <v/>
      </c>
      <c r="BO1218">
        <f>'Grid_Stock'!BM52</f>
        <v/>
      </c>
      <c r="BP1218">
        <f>'Grid_Stock'!BN52</f>
        <v/>
      </c>
      <c r="BQ1218">
        <f>'Grid_Stock'!BO52</f>
        <v/>
      </c>
      <c r="BR1218">
        <f>'Grid_Stock'!BP52</f>
        <v/>
      </c>
      <c r="BS1218">
        <f>'Grid_Stock'!BQ52</f>
        <v/>
      </c>
      <c r="BT1218">
        <f>'Grid_Stock'!BR52</f>
        <v/>
      </c>
      <c r="BU1218">
        <f>'Grid_Stock'!BS52</f>
        <v/>
      </c>
      <c r="BV1218">
        <f>'Grid_Stock'!BT52</f>
        <v/>
      </c>
      <c r="BW1218">
        <f>'Grid_Stock'!BU52</f>
        <v/>
      </c>
      <c r="BX1218">
        <f>'Grid_Stock'!BV52</f>
        <v/>
      </c>
      <c r="BY1218">
        <f>'Grid_Stock'!BW52</f>
        <v/>
      </c>
      <c r="BZ1218">
        <f>'Grid_Stock'!BX52</f>
        <v/>
      </c>
      <c r="CA1218">
        <f>'Grid_Stock'!BY52</f>
        <v/>
      </c>
      <c r="CB1218">
        <f>'Grid_Stock'!BZ52</f>
        <v/>
      </c>
      <c r="CC1218">
        <f>'Grid_Stock'!CA52</f>
        <v/>
      </c>
      <c r="CD1218">
        <f>'Grid_Stock'!CB52</f>
        <v/>
      </c>
      <c r="CE1218">
        <f>'Grid_Stock'!CC52</f>
        <v/>
      </c>
      <c r="CF1218">
        <f>'Grid_Stock'!CD52</f>
        <v/>
      </c>
      <c r="CG1218">
        <f>'Grid_Stock'!CE52</f>
        <v/>
      </c>
      <c r="CH1218">
        <f>'Grid_Stock'!CF52</f>
        <v/>
      </c>
      <c r="CI1218">
        <f>'Grid_Stock'!CG52</f>
        <v/>
      </c>
      <c r="CJ1218">
        <f>'Grid_Stock'!CH52</f>
        <v/>
      </c>
      <c r="CK1218">
        <f>'Grid_Stock'!CI52</f>
        <v/>
      </c>
      <c r="CL1218">
        <f>'Grid_Stock'!CJ52</f>
        <v/>
      </c>
      <c r="CM1218">
        <f>'Grid_Stock'!CK52</f>
        <v/>
      </c>
      <c r="CN1218">
        <f>'Grid_Stock'!CL52</f>
        <v/>
      </c>
      <c r="CO1218">
        <f>'Grid_Stock'!CM52</f>
        <v/>
      </c>
      <c r="CP1218">
        <f>'Grid_Stock'!CN52</f>
        <v/>
      </c>
      <c r="CQ1218">
        <f>'Grid_Stock'!CO52</f>
        <v/>
      </c>
      <c r="CR1218">
        <f>'Grid_Stock'!CP52</f>
        <v/>
      </c>
      <c r="CS1218">
        <f>'Grid_Stock'!CQ52</f>
        <v/>
      </c>
      <c r="CT1218">
        <f>'Grid_Stock'!CR52</f>
        <v/>
      </c>
      <c r="CU1218">
        <f>'Grid_Stock'!CS52</f>
        <v/>
      </c>
      <c r="CV1218">
        <f>'Grid_Stock'!CT52</f>
        <v/>
      </c>
      <c r="CW1218">
        <f>'Grid_Stock'!CU52</f>
        <v/>
      </c>
      <c r="CX1218">
        <f>'Grid_Stock'!CV52</f>
        <v/>
      </c>
      <c r="CY1218">
        <f>'Grid_Stock'!CW52</f>
        <v/>
      </c>
      <c r="CZ1218">
        <f>'Grid_Stock'!CX52</f>
        <v/>
      </c>
      <c r="DA1218">
        <f>'Grid_Stock'!CY52</f>
        <v/>
      </c>
      <c r="DB1218">
        <f>'Grid_Stock'!CZ52</f>
        <v/>
      </c>
      <c r="DC1218">
        <f>'Grid_Stock'!DA52</f>
        <v/>
      </c>
    </row>
    <row r="1219">
      <c r="B1219" s="26" t="inlineStr">
        <is>
          <t>（発注の目安はDashboardの基準在庫[下限/上限]と色分けを参照）</t>
        </is>
      </c>
    </row>
    <row r="1221">
      <c r="A1221" s="21" t="inlineStr">
        <is>
          <t>CHEM-1560</t>
        </is>
      </c>
      <c r="B1221" s="21" t="inlineStr">
        <is>
          <t>TZP 511</t>
        </is>
      </c>
      <c r="C1221" s="22" t="n"/>
      <c r="D1221" s="21" t="n"/>
      <c r="E1221" s="21" t="n"/>
      <c r="F1221" s="21" t="n"/>
      <c r="G1221" s="21" t="n"/>
      <c r="H1221" s="21" t="n"/>
      <c r="I1221" s="21" t="n"/>
      <c r="J1221" s="21" t="n"/>
      <c r="K1221" s="21" t="n"/>
      <c r="L1221" s="21" t="n"/>
      <c r="M1221" s="21" t="n"/>
      <c r="N1221" s="21" t="n"/>
      <c r="O1221" s="21" t="n"/>
      <c r="P1221" s="21" t="n"/>
      <c r="Q1221" s="21" t="n"/>
      <c r="R1221" s="21" t="n"/>
      <c r="S1221" s="21" t="n"/>
      <c r="T1221" s="21" t="n"/>
      <c r="U1221" s="21" t="n"/>
      <c r="V1221" s="21" t="n"/>
      <c r="W1221" s="21" t="n"/>
      <c r="X1221" s="21" t="n"/>
      <c r="Y1221" s="21" t="n"/>
      <c r="Z1221" s="21" t="n"/>
      <c r="AA1221" s="21" t="n"/>
      <c r="AB1221" s="21" t="n"/>
      <c r="AC1221" s="21" t="n"/>
      <c r="AD1221" s="21" t="n"/>
      <c r="AE1221" s="21" t="n"/>
      <c r="AF1221" s="21" t="n"/>
      <c r="AG1221" s="21" t="n"/>
      <c r="AH1221" s="21" t="n"/>
      <c r="AI1221" s="21" t="n"/>
      <c r="AJ1221" s="21" t="n"/>
      <c r="AK1221" s="21" t="n"/>
      <c r="AL1221" s="21" t="n"/>
      <c r="AM1221" s="21" t="n"/>
      <c r="AN1221" s="21" t="n"/>
      <c r="AO1221" s="21" t="n"/>
      <c r="AP1221" s="21" t="n"/>
      <c r="AQ1221" s="21" t="n"/>
      <c r="AR1221" s="21" t="n"/>
      <c r="AS1221" s="21" t="n"/>
      <c r="AT1221" s="21" t="n"/>
      <c r="AU1221" s="21" t="n"/>
      <c r="AV1221" s="21" t="n"/>
      <c r="AW1221" s="21" t="n"/>
      <c r="AX1221" s="21" t="n"/>
      <c r="AY1221" s="21" t="n"/>
      <c r="AZ1221" s="21" t="n"/>
      <c r="BA1221" s="21" t="n"/>
      <c r="BB1221" s="21" t="n"/>
      <c r="BC1221" s="21" t="n"/>
      <c r="BD1221" s="21" t="n"/>
      <c r="BE1221" s="21" t="n"/>
      <c r="BF1221" s="21" t="n"/>
      <c r="BG1221" s="21" t="n"/>
      <c r="BH1221" s="21" t="n"/>
      <c r="BI1221" s="21" t="n"/>
      <c r="BJ1221" s="21" t="n"/>
      <c r="BK1221" s="21" t="n"/>
      <c r="BL1221" s="21" t="n"/>
      <c r="BM1221" s="21" t="n"/>
      <c r="BN1221" s="21" t="n"/>
      <c r="BO1221" s="21" t="n"/>
      <c r="BP1221" s="21" t="n"/>
      <c r="BQ1221" s="21" t="n"/>
      <c r="BR1221" s="21" t="n"/>
      <c r="BS1221" s="21" t="n"/>
      <c r="BT1221" s="21" t="n"/>
      <c r="BU1221" s="21" t="n"/>
      <c r="BV1221" s="21" t="n"/>
      <c r="BW1221" s="21" t="n"/>
      <c r="BX1221" s="21" t="n"/>
      <c r="BY1221" s="21" t="n"/>
      <c r="BZ1221" s="21" t="n"/>
      <c r="CA1221" s="21" t="n"/>
      <c r="CB1221" s="21" t="n"/>
      <c r="CC1221" s="21" t="n"/>
      <c r="CD1221" s="21" t="n"/>
      <c r="CE1221" s="21" t="n"/>
      <c r="CF1221" s="21" t="n"/>
      <c r="CG1221" s="21" t="n"/>
      <c r="CH1221" s="21" t="n"/>
      <c r="CI1221" s="21" t="n"/>
      <c r="CJ1221" s="21" t="n"/>
      <c r="CK1221" s="21" t="n"/>
      <c r="CL1221" s="21" t="n"/>
      <c r="CM1221" s="21" t="n"/>
      <c r="CN1221" s="21" t="n"/>
      <c r="CO1221" s="21" t="n"/>
      <c r="CP1221" s="21" t="n"/>
      <c r="CQ1221" s="21" t="n"/>
      <c r="CR1221" s="21" t="n"/>
      <c r="CS1221" s="21" t="n"/>
      <c r="CT1221" s="21" t="n"/>
      <c r="CU1221" s="21" t="n"/>
      <c r="CV1221" s="21" t="n"/>
      <c r="CW1221" s="21" t="n"/>
      <c r="CX1221" s="21" t="n"/>
      <c r="CY1221" s="21" t="n"/>
      <c r="CZ1221" s="21" t="n"/>
      <c r="DA1221" s="21" t="n"/>
      <c r="DB1221" s="21" t="n"/>
      <c r="DC1221" s="21" t="n"/>
    </row>
    <row r="1222">
      <c r="B1222" t="inlineStr">
        <is>
          <t>TSP-360</t>
        </is>
      </c>
      <c r="C1222" t="inlineStr">
        <is>
          <t>No. of batches</t>
        </is>
      </c>
      <c r="D1222">
        <f>IFERROR(INDEX(PP_Grid[#Data],$DD1222,2),0)</f>
        <v/>
      </c>
      <c r="E1222">
        <f>IFERROR(INDEX(PP_Grid[#Data],$DD1222,3),0)</f>
        <v/>
      </c>
      <c r="F1222">
        <f>IFERROR(INDEX(PP_Grid[#Data],$DD1222,4),0)</f>
        <v/>
      </c>
      <c r="G1222">
        <f>IFERROR(INDEX(PP_Grid[#Data],$DD1222,5),0)</f>
        <v/>
      </c>
      <c r="H1222">
        <f>IFERROR(INDEX(PP_Grid[#Data],$DD1222,6),0)</f>
        <v/>
      </c>
      <c r="I1222">
        <f>IFERROR(INDEX(PP_Grid[#Data],$DD1222,7),0)</f>
        <v/>
      </c>
      <c r="J1222">
        <f>IFERROR(INDEX(PP_Grid[#Data],$DD1222,8),0)</f>
        <v/>
      </c>
      <c r="K1222">
        <f>IFERROR(INDEX(PP_Grid[#Data],$DD1222,9),0)</f>
        <v/>
      </c>
      <c r="L1222">
        <f>IFERROR(INDEX(PP_Grid[#Data],$DD1222,10),0)</f>
        <v/>
      </c>
      <c r="M1222">
        <f>IFERROR(INDEX(PP_Grid[#Data],$DD1222,11),0)</f>
        <v/>
      </c>
      <c r="N1222">
        <f>IFERROR(INDEX(PP_Grid[#Data],$DD1222,12),0)</f>
        <v/>
      </c>
      <c r="O1222">
        <f>IFERROR(INDEX(PP_Grid[#Data],$DD1222,13),0)</f>
        <v/>
      </c>
      <c r="P1222">
        <f>IFERROR(INDEX(PP_Grid[#Data],$DD1222,14),0)</f>
        <v/>
      </c>
      <c r="Q1222">
        <f>IFERROR(INDEX(PP_Grid[#Data],$DD1222,15),0)</f>
        <v/>
      </c>
      <c r="R1222">
        <f>IFERROR(INDEX(PP_Grid[#Data],$DD1222,16),0)</f>
        <v/>
      </c>
      <c r="S1222">
        <f>IFERROR(INDEX(PP_Grid[#Data],$DD1222,17),0)</f>
        <v/>
      </c>
      <c r="T1222">
        <f>IFERROR(INDEX(PP_Grid[#Data],$DD1222,18),0)</f>
        <v/>
      </c>
      <c r="U1222">
        <f>IFERROR(INDEX(PP_Grid[#Data],$DD1222,19),0)</f>
        <v/>
      </c>
      <c r="V1222">
        <f>IFERROR(INDEX(PP_Grid[#Data],$DD1222,20),0)</f>
        <v/>
      </c>
      <c r="W1222">
        <f>IFERROR(INDEX(PP_Grid[#Data],$DD1222,21),0)</f>
        <v/>
      </c>
      <c r="X1222">
        <f>IFERROR(INDEX(PP_Grid[#Data],$DD1222,22),0)</f>
        <v/>
      </c>
      <c r="Y1222">
        <f>IFERROR(INDEX(PP_Grid[#Data],$DD1222,23),0)</f>
        <v/>
      </c>
      <c r="Z1222">
        <f>IFERROR(INDEX(PP_Grid[#Data],$DD1222,24),0)</f>
        <v/>
      </c>
      <c r="AA1222">
        <f>IFERROR(INDEX(PP_Grid[#Data],$DD1222,25),0)</f>
        <v/>
      </c>
      <c r="AB1222">
        <f>IFERROR(INDEX(PP_Grid[#Data],$DD1222,26),0)</f>
        <v/>
      </c>
      <c r="AC1222">
        <f>IFERROR(INDEX(PP_Grid[#Data],$DD1222,27),0)</f>
        <v/>
      </c>
      <c r="AD1222">
        <f>IFERROR(INDEX(PP_Grid[#Data],$DD1222,28),0)</f>
        <v/>
      </c>
      <c r="AE1222">
        <f>IFERROR(INDEX(PP_Grid[#Data],$DD1222,29),0)</f>
        <v/>
      </c>
      <c r="AF1222">
        <f>IFERROR(INDEX(PP_Grid[#Data],$DD1222,30),0)</f>
        <v/>
      </c>
      <c r="AG1222">
        <f>IFERROR(INDEX(PP_Grid[#Data],$DD1222,31),0)</f>
        <v/>
      </c>
      <c r="AH1222">
        <f>IFERROR(INDEX(PP_Grid[#Data],$DD1222,32),0)</f>
        <v/>
      </c>
      <c r="AI1222">
        <f>IFERROR(INDEX(PP_Grid[#Data],$DD1222,33),0)</f>
        <v/>
      </c>
      <c r="AJ1222">
        <f>IFERROR(INDEX(PP_Grid[#Data],$DD1222,34),0)</f>
        <v/>
      </c>
      <c r="AK1222">
        <f>IFERROR(INDEX(PP_Grid[#Data],$DD1222,35),0)</f>
        <v/>
      </c>
      <c r="AL1222">
        <f>IFERROR(INDEX(PP_Grid[#Data],$DD1222,36),0)</f>
        <v/>
      </c>
      <c r="AM1222">
        <f>IFERROR(INDEX(PP_Grid[#Data],$DD1222,37),0)</f>
        <v/>
      </c>
      <c r="AN1222">
        <f>IFERROR(INDEX(PP_Grid[#Data],$DD1222,38),0)</f>
        <v/>
      </c>
      <c r="AO1222">
        <f>IFERROR(INDEX(PP_Grid[#Data],$DD1222,39),0)</f>
        <v/>
      </c>
      <c r="AP1222">
        <f>IFERROR(INDEX(PP_Grid[#Data],$DD1222,40),0)</f>
        <v/>
      </c>
      <c r="AQ1222">
        <f>IFERROR(INDEX(PP_Grid[#Data],$DD1222,41),0)</f>
        <v/>
      </c>
      <c r="AR1222">
        <f>IFERROR(INDEX(PP_Grid[#Data],$DD1222,42),0)</f>
        <v/>
      </c>
      <c r="AS1222">
        <f>IFERROR(INDEX(PP_Grid[#Data],$DD1222,43),0)</f>
        <v/>
      </c>
      <c r="AT1222">
        <f>IFERROR(INDEX(PP_Grid[#Data],$DD1222,44),0)</f>
        <v/>
      </c>
      <c r="AU1222">
        <f>IFERROR(INDEX(PP_Grid[#Data],$DD1222,45),0)</f>
        <v/>
      </c>
      <c r="AV1222">
        <f>IFERROR(INDEX(PP_Grid[#Data],$DD1222,46),0)</f>
        <v/>
      </c>
      <c r="AW1222">
        <f>IFERROR(INDEX(PP_Grid[#Data],$DD1222,47),0)</f>
        <v/>
      </c>
      <c r="AX1222">
        <f>IFERROR(INDEX(PP_Grid[#Data],$DD1222,48),0)</f>
        <v/>
      </c>
      <c r="AY1222">
        <f>IFERROR(INDEX(PP_Grid[#Data],$DD1222,49),0)</f>
        <v/>
      </c>
      <c r="AZ1222">
        <f>IFERROR(INDEX(PP_Grid[#Data],$DD1222,50),0)</f>
        <v/>
      </c>
      <c r="BA1222">
        <f>IFERROR(INDEX(PP_Grid[#Data],$DD1222,51),0)</f>
        <v/>
      </c>
      <c r="BB1222">
        <f>IFERROR(INDEX(PP_Grid[#Data],$DD1222,52),0)</f>
        <v/>
      </c>
      <c r="BC1222">
        <f>IFERROR(INDEX(PP_Grid[#Data],$DD1222,53),0)</f>
        <v/>
      </c>
      <c r="BD1222">
        <f>IFERROR(INDEX(PP_Grid[#Data],$DD1222,54),0)</f>
        <v/>
      </c>
      <c r="BE1222">
        <f>IFERROR(INDEX(PP_Grid[#Data],$DD1222,55),0)</f>
        <v/>
      </c>
      <c r="BF1222">
        <f>IFERROR(INDEX(PP_Grid[#Data],$DD1222,56),0)</f>
        <v/>
      </c>
      <c r="BG1222">
        <f>IFERROR(INDEX(PP_Grid[#Data],$DD1222,57),0)</f>
        <v/>
      </c>
      <c r="BH1222">
        <f>IFERROR(INDEX(PP_Grid[#Data],$DD1222,58),0)</f>
        <v/>
      </c>
      <c r="BI1222">
        <f>IFERROR(INDEX(PP_Grid[#Data],$DD1222,59),0)</f>
        <v/>
      </c>
      <c r="BJ1222">
        <f>IFERROR(INDEX(PP_Grid[#Data],$DD1222,60),0)</f>
        <v/>
      </c>
      <c r="BK1222">
        <f>IFERROR(INDEX(PP_Grid[#Data],$DD1222,61),0)</f>
        <v/>
      </c>
      <c r="BL1222">
        <f>IFERROR(INDEX(PP_Grid[#Data],$DD1222,62),0)</f>
        <v/>
      </c>
      <c r="BM1222">
        <f>IFERROR(INDEX(PP_Grid[#Data],$DD1222,63),0)</f>
        <v/>
      </c>
      <c r="BN1222">
        <f>IFERROR(INDEX(PP_Grid[#Data],$DD1222,64),0)</f>
        <v/>
      </c>
      <c r="BO1222">
        <f>IFERROR(INDEX(PP_Grid[#Data],$DD1222,65),0)</f>
        <v/>
      </c>
      <c r="BP1222">
        <f>IFERROR(INDEX(PP_Grid[#Data],$DD1222,66),0)</f>
        <v/>
      </c>
      <c r="BQ1222">
        <f>IFERROR(INDEX(PP_Grid[#Data],$DD1222,67),0)</f>
        <v/>
      </c>
      <c r="BR1222">
        <f>IFERROR(INDEX(PP_Grid[#Data],$DD1222,68),0)</f>
        <v/>
      </c>
      <c r="BS1222">
        <f>IFERROR(INDEX(PP_Grid[#Data],$DD1222,69),0)</f>
        <v/>
      </c>
      <c r="BT1222">
        <f>IFERROR(INDEX(PP_Grid[#Data],$DD1222,70),0)</f>
        <v/>
      </c>
      <c r="BU1222">
        <f>IFERROR(INDEX(PP_Grid[#Data],$DD1222,71),0)</f>
        <v/>
      </c>
      <c r="BV1222">
        <f>IFERROR(INDEX(PP_Grid[#Data],$DD1222,72),0)</f>
        <v/>
      </c>
      <c r="BW1222">
        <f>IFERROR(INDEX(PP_Grid[#Data],$DD1222,73),0)</f>
        <v/>
      </c>
      <c r="BX1222">
        <f>IFERROR(INDEX(PP_Grid[#Data],$DD1222,74),0)</f>
        <v/>
      </c>
      <c r="BY1222">
        <f>IFERROR(INDEX(PP_Grid[#Data],$DD1222,75),0)</f>
        <v/>
      </c>
      <c r="BZ1222">
        <f>IFERROR(INDEX(PP_Grid[#Data],$DD1222,76),0)</f>
        <v/>
      </c>
      <c r="CA1222">
        <f>IFERROR(INDEX(PP_Grid[#Data],$DD1222,77),0)</f>
        <v/>
      </c>
      <c r="CB1222">
        <f>IFERROR(INDEX(PP_Grid[#Data],$DD1222,78),0)</f>
        <v/>
      </c>
      <c r="CC1222">
        <f>IFERROR(INDEX(PP_Grid[#Data],$DD1222,79),0)</f>
        <v/>
      </c>
      <c r="CD1222">
        <f>IFERROR(INDEX(PP_Grid[#Data],$DD1222,80),0)</f>
        <v/>
      </c>
      <c r="CE1222">
        <f>IFERROR(INDEX(PP_Grid[#Data],$DD1222,81),0)</f>
        <v/>
      </c>
      <c r="CF1222">
        <f>IFERROR(INDEX(PP_Grid[#Data],$DD1222,82),0)</f>
        <v/>
      </c>
      <c r="CG1222">
        <f>IFERROR(INDEX(PP_Grid[#Data],$DD1222,83),0)</f>
        <v/>
      </c>
      <c r="CH1222">
        <f>IFERROR(INDEX(PP_Grid[#Data],$DD1222,84),0)</f>
        <v/>
      </c>
      <c r="CI1222">
        <f>IFERROR(INDEX(PP_Grid[#Data],$DD1222,85),0)</f>
        <v/>
      </c>
      <c r="CJ1222">
        <f>IFERROR(INDEX(PP_Grid[#Data],$DD1222,86),0)</f>
        <v/>
      </c>
      <c r="CK1222">
        <f>IFERROR(INDEX(PP_Grid[#Data],$DD1222,87),0)</f>
        <v/>
      </c>
      <c r="CL1222">
        <f>IFERROR(INDEX(PP_Grid[#Data],$DD1222,88),0)</f>
        <v/>
      </c>
      <c r="CM1222">
        <f>IFERROR(INDEX(PP_Grid[#Data],$DD1222,89),0)</f>
        <v/>
      </c>
      <c r="CN1222">
        <f>IFERROR(INDEX(PP_Grid[#Data],$DD1222,90),0)</f>
        <v/>
      </c>
      <c r="CO1222">
        <f>IFERROR(INDEX(PP_Grid[#Data],$DD1222,91),0)</f>
        <v/>
      </c>
      <c r="CP1222">
        <f>IFERROR(INDEX(PP_Grid[#Data],$DD1222,92),0)</f>
        <v/>
      </c>
      <c r="CQ1222">
        <f>IFERROR(INDEX(PP_Grid[#Data],$DD1222,93),0)</f>
        <v/>
      </c>
      <c r="CR1222">
        <f>IFERROR(INDEX(PP_Grid[#Data],$DD1222,94),0)</f>
        <v/>
      </c>
      <c r="CS1222">
        <f>IFERROR(INDEX(PP_Grid[#Data],$DD1222,95),0)</f>
        <v/>
      </c>
      <c r="CT1222">
        <f>IFERROR(INDEX(PP_Grid[#Data],$DD1222,96),0)</f>
        <v/>
      </c>
      <c r="CU1222">
        <f>IFERROR(INDEX(PP_Grid[#Data],$DD1222,97),0)</f>
        <v/>
      </c>
      <c r="CV1222">
        <f>IFERROR(INDEX(PP_Grid[#Data],$DD1222,98),0)</f>
        <v/>
      </c>
      <c r="CW1222">
        <f>IFERROR(INDEX(PP_Grid[#Data],$DD1222,99),0)</f>
        <v/>
      </c>
      <c r="CX1222">
        <f>IFERROR(INDEX(PP_Grid[#Data],$DD1222,100),0)</f>
        <v/>
      </c>
      <c r="CY1222">
        <f>IFERROR(INDEX(PP_Grid[#Data],$DD1222,101),0)</f>
        <v/>
      </c>
      <c r="CZ1222">
        <f>IFERROR(INDEX(PP_Grid[#Data],$DD1222,102),0)</f>
        <v/>
      </c>
      <c r="DA1222">
        <f>IFERROR(INDEX(PP_Grid[#Data],$DD1222,103),0)</f>
        <v/>
      </c>
      <c r="DB1222">
        <f>IFERROR(INDEX(PP_Grid[#Data],$DD1222,104),0)</f>
        <v/>
      </c>
      <c r="DC1222">
        <f>IFERROR(INDEX(PP_Grid[#Data],$DD1222,105),0)</f>
        <v/>
      </c>
      <c r="DD1222" s="12">
        <f>IFERROR(MATCH($B1222,PP_Grid[Intermediate],0),99999)</f>
        <v/>
      </c>
    </row>
    <row r="1223">
      <c r="B1223" t="inlineStr">
        <is>
          <t>使用量(kg)</t>
        </is>
      </c>
      <c r="C1223">
        <f>SUMIFS(M_BOM[RM_Qty_Per_Batch],M_BOM[Intermediate],$B1222,M_BOM[Part Name],$A1221)</f>
        <v/>
      </c>
      <c r="D1223">
        <f>$C1223*D1222</f>
        <v/>
      </c>
      <c r="E1223">
        <f>$C1223*E1222</f>
        <v/>
      </c>
      <c r="F1223">
        <f>$C1223*F1222</f>
        <v/>
      </c>
      <c r="G1223">
        <f>$C1223*G1222</f>
        <v/>
      </c>
      <c r="H1223">
        <f>$C1223*H1222</f>
        <v/>
      </c>
      <c r="I1223">
        <f>$C1223*I1222</f>
        <v/>
      </c>
      <c r="J1223">
        <f>$C1223*J1222</f>
        <v/>
      </c>
      <c r="K1223">
        <f>$C1223*K1222</f>
        <v/>
      </c>
      <c r="L1223">
        <f>$C1223*L1222</f>
        <v/>
      </c>
      <c r="M1223">
        <f>$C1223*M1222</f>
        <v/>
      </c>
      <c r="N1223">
        <f>$C1223*N1222</f>
        <v/>
      </c>
      <c r="O1223">
        <f>$C1223*O1222</f>
        <v/>
      </c>
      <c r="P1223">
        <f>$C1223*P1222</f>
        <v/>
      </c>
      <c r="Q1223">
        <f>$C1223*Q1222</f>
        <v/>
      </c>
      <c r="R1223">
        <f>$C1223*R1222</f>
        <v/>
      </c>
      <c r="S1223">
        <f>$C1223*S1222</f>
        <v/>
      </c>
      <c r="T1223">
        <f>$C1223*T1222</f>
        <v/>
      </c>
      <c r="U1223">
        <f>$C1223*U1222</f>
        <v/>
      </c>
      <c r="V1223">
        <f>$C1223*V1222</f>
        <v/>
      </c>
      <c r="W1223">
        <f>$C1223*W1222</f>
        <v/>
      </c>
      <c r="X1223">
        <f>$C1223*X1222</f>
        <v/>
      </c>
      <c r="Y1223">
        <f>$C1223*Y1222</f>
        <v/>
      </c>
      <c r="Z1223">
        <f>$C1223*Z1222</f>
        <v/>
      </c>
      <c r="AA1223">
        <f>$C1223*AA1222</f>
        <v/>
      </c>
      <c r="AB1223">
        <f>$C1223*AB1222</f>
        <v/>
      </c>
      <c r="AC1223">
        <f>$C1223*AC1222</f>
        <v/>
      </c>
      <c r="AD1223">
        <f>$C1223*AD1222</f>
        <v/>
      </c>
      <c r="AE1223">
        <f>$C1223*AE1222</f>
        <v/>
      </c>
      <c r="AF1223">
        <f>$C1223*AF1222</f>
        <v/>
      </c>
      <c r="AG1223">
        <f>$C1223*AG1222</f>
        <v/>
      </c>
      <c r="AH1223">
        <f>$C1223*AH1222</f>
        <v/>
      </c>
      <c r="AI1223">
        <f>$C1223*AI1222</f>
        <v/>
      </c>
      <c r="AJ1223">
        <f>$C1223*AJ1222</f>
        <v/>
      </c>
      <c r="AK1223">
        <f>$C1223*AK1222</f>
        <v/>
      </c>
      <c r="AL1223">
        <f>$C1223*AL1222</f>
        <v/>
      </c>
      <c r="AM1223">
        <f>$C1223*AM1222</f>
        <v/>
      </c>
      <c r="AN1223">
        <f>$C1223*AN1222</f>
        <v/>
      </c>
      <c r="AO1223">
        <f>$C1223*AO1222</f>
        <v/>
      </c>
      <c r="AP1223">
        <f>$C1223*AP1222</f>
        <v/>
      </c>
      <c r="AQ1223">
        <f>$C1223*AQ1222</f>
        <v/>
      </c>
      <c r="AR1223">
        <f>$C1223*AR1222</f>
        <v/>
      </c>
      <c r="AS1223">
        <f>$C1223*AS1222</f>
        <v/>
      </c>
      <c r="AT1223">
        <f>$C1223*AT1222</f>
        <v/>
      </c>
      <c r="AU1223">
        <f>$C1223*AU1222</f>
        <v/>
      </c>
      <c r="AV1223">
        <f>$C1223*AV1222</f>
        <v/>
      </c>
      <c r="AW1223">
        <f>$C1223*AW1222</f>
        <v/>
      </c>
      <c r="AX1223">
        <f>$C1223*AX1222</f>
        <v/>
      </c>
      <c r="AY1223">
        <f>$C1223*AY1222</f>
        <v/>
      </c>
      <c r="AZ1223">
        <f>$C1223*AZ1222</f>
        <v/>
      </c>
      <c r="BA1223">
        <f>$C1223*BA1222</f>
        <v/>
      </c>
      <c r="BB1223">
        <f>$C1223*BB1222</f>
        <v/>
      </c>
      <c r="BC1223">
        <f>$C1223*BC1222</f>
        <v/>
      </c>
      <c r="BD1223">
        <f>$C1223*BD1222</f>
        <v/>
      </c>
      <c r="BE1223">
        <f>$C1223*BE1222</f>
        <v/>
      </c>
      <c r="BF1223">
        <f>$C1223*BF1222</f>
        <v/>
      </c>
      <c r="BG1223">
        <f>$C1223*BG1222</f>
        <v/>
      </c>
      <c r="BH1223">
        <f>$C1223*BH1222</f>
        <v/>
      </c>
      <c r="BI1223">
        <f>$C1223*BI1222</f>
        <v/>
      </c>
      <c r="BJ1223">
        <f>$C1223*BJ1222</f>
        <v/>
      </c>
      <c r="BK1223">
        <f>$C1223*BK1222</f>
        <v/>
      </c>
      <c r="BL1223">
        <f>$C1223*BL1222</f>
        <v/>
      </c>
      <c r="BM1223">
        <f>$C1223*BM1222</f>
        <v/>
      </c>
      <c r="BN1223">
        <f>$C1223*BN1222</f>
        <v/>
      </c>
      <c r="BO1223">
        <f>$C1223*BO1222</f>
        <v/>
      </c>
      <c r="BP1223">
        <f>$C1223*BP1222</f>
        <v/>
      </c>
      <c r="BQ1223">
        <f>$C1223*BQ1222</f>
        <v/>
      </c>
      <c r="BR1223">
        <f>$C1223*BR1222</f>
        <v/>
      </c>
      <c r="BS1223">
        <f>$C1223*BS1222</f>
        <v/>
      </c>
      <c r="BT1223">
        <f>$C1223*BT1222</f>
        <v/>
      </c>
      <c r="BU1223">
        <f>$C1223*BU1222</f>
        <v/>
      </c>
      <c r="BV1223">
        <f>$C1223*BV1222</f>
        <v/>
      </c>
      <c r="BW1223">
        <f>$C1223*BW1222</f>
        <v/>
      </c>
      <c r="BX1223">
        <f>$C1223*BX1222</f>
        <v/>
      </c>
      <c r="BY1223">
        <f>$C1223*BY1222</f>
        <v/>
      </c>
      <c r="BZ1223">
        <f>$C1223*BZ1222</f>
        <v/>
      </c>
      <c r="CA1223">
        <f>$C1223*CA1222</f>
        <v/>
      </c>
      <c r="CB1223">
        <f>$C1223*CB1222</f>
        <v/>
      </c>
      <c r="CC1223">
        <f>$C1223*CC1222</f>
        <v/>
      </c>
      <c r="CD1223">
        <f>$C1223*CD1222</f>
        <v/>
      </c>
      <c r="CE1223">
        <f>$C1223*CE1222</f>
        <v/>
      </c>
      <c r="CF1223">
        <f>$C1223*CF1222</f>
        <v/>
      </c>
      <c r="CG1223">
        <f>$C1223*CG1222</f>
        <v/>
      </c>
      <c r="CH1223">
        <f>$C1223*CH1222</f>
        <v/>
      </c>
      <c r="CI1223">
        <f>$C1223*CI1222</f>
        <v/>
      </c>
      <c r="CJ1223">
        <f>$C1223*CJ1222</f>
        <v/>
      </c>
      <c r="CK1223">
        <f>$C1223*CK1222</f>
        <v/>
      </c>
      <c r="CL1223">
        <f>$C1223*CL1222</f>
        <v/>
      </c>
      <c r="CM1223">
        <f>$C1223*CM1222</f>
        <v/>
      </c>
      <c r="CN1223">
        <f>$C1223*CN1222</f>
        <v/>
      </c>
      <c r="CO1223">
        <f>$C1223*CO1222</f>
        <v/>
      </c>
      <c r="CP1223">
        <f>$C1223*CP1222</f>
        <v/>
      </c>
      <c r="CQ1223">
        <f>$C1223*CQ1222</f>
        <v/>
      </c>
      <c r="CR1223">
        <f>$C1223*CR1222</f>
        <v/>
      </c>
      <c r="CS1223">
        <f>$C1223*CS1222</f>
        <v/>
      </c>
      <c r="CT1223">
        <f>$C1223*CT1222</f>
        <v/>
      </c>
      <c r="CU1223">
        <f>$C1223*CU1222</f>
        <v/>
      </c>
      <c r="CV1223">
        <f>$C1223*CV1222</f>
        <v/>
      </c>
      <c r="CW1223">
        <f>$C1223*CW1222</f>
        <v/>
      </c>
      <c r="CX1223">
        <f>$C1223*CX1222</f>
        <v/>
      </c>
      <c r="CY1223">
        <f>$C1223*CY1222</f>
        <v/>
      </c>
      <c r="CZ1223">
        <f>$C1223*CZ1222</f>
        <v/>
      </c>
      <c r="DA1223">
        <f>$C1223*DA1222</f>
        <v/>
      </c>
      <c r="DB1223">
        <f>$C1223*DB1222</f>
        <v/>
      </c>
      <c r="DC1223">
        <f>$C1223*DC1222</f>
        <v/>
      </c>
    </row>
    <row r="1224">
      <c r="B1224" t="inlineStr">
        <is>
          <t>TSP-544</t>
        </is>
      </c>
      <c r="C1224" t="inlineStr">
        <is>
          <t>No. of batches</t>
        </is>
      </c>
      <c r="D1224">
        <f>IFERROR(INDEX(PP_Grid[#Data],$DD1224,2),0)</f>
        <v/>
      </c>
      <c r="E1224">
        <f>IFERROR(INDEX(PP_Grid[#Data],$DD1224,3),0)</f>
        <v/>
      </c>
      <c r="F1224">
        <f>IFERROR(INDEX(PP_Grid[#Data],$DD1224,4),0)</f>
        <v/>
      </c>
      <c r="G1224">
        <f>IFERROR(INDEX(PP_Grid[#Data],$DD1224,5),0)</f>
        <v/>
      </c>
      <c r="H1224">
        <f>IFERROR(INDEX(PP_Grid[#Data],$DD1224,6),0)</f>
        <v/>
      </c>
      <c r="I1224">
        <f>IFERROR(INDEX(PP_Grid[#Data],$DD1224,7),0)</f>
        <v/>
      </c>
      <c r="J1224">
        <f>IFERROR(INDEX(PP_Grid[#Data],$DD1224,8),0)</f>
        <v/>
      </c>
      <c r="K1224">
        <f>IFERROR(INDEX(PP_Grid[#Data],$DD1224,9),0)</f>
        <v/>
      </c>
      <c r="L1224">
        <f>IFERROR(INDEX(PP_Grid[#Data],$DD1224,10),0)</f>
        <v/>
      </c>
      <c r="M1224">
        <f>IFERROR(INDEX(PP_Grid[#Data],$DD1224,11),0)</f>
        <v/>
      </c>
      <c r="N1224">
        <f>IFERROR(INDEX(PP_Grid[#Data],$DD1224,12),0)</f>
        <v/>
      </c>
      <c r="O1224">
        <f>IFERROR(INDEX(PP_Grid[#Data],$DD1224,13),0)</f>
        <v/>
      </c>
      <c r="P1224">
        <f>IFERROR(INDEX(PP_Grid[#Data],$DD1224,14),0)</f>
        <v/>
      </c>
      <c r="Q1224">
        <f>IFERROR(INDEX(PP_Grid[#Data],$DD1224,15),0)</f>
        <v/>
      </c>
      <c r="R1224">
        <f>IFERROR(INDEX(PP_Grid[#Data],$DD1224,16),0)</f>
        <v/>
      </c>
      <c r="S1224">
        <f>IFERROR(INDEX(PP_Grid[#Data],$DD1224,17),0)</f>
        <v/>
      </c>
      <c r="T1224">
        <f>IFERROR(INDEX(PP_Grid[#Data],$DD1224,18),0)</f>
        <v/>
      </c>
      <c r="U1224">
        <f>IFERROR(INDEX(PP_Grid[#Data],$DD1224,19),0)</f>
        <v/>
      </c>
      <c r="V1224">
        <f>IFERROR(INDEX(PP_Grid[#Data],$DD1224,20),0)</f>
        <v/>
      </c>
      <c r="W1224">
        <f>IFERROR(INDEX(PP_Grid[#Data],$DD1224,21),0)</f>
        <v/>
      </c>
      <c r="X1224">
        <f>IFERROR(INDEX(PP_Grid[#Data],$DD1224,22),0)</f>
        <v/>
      </c>
      <c r="Y1224">
        <f>IFERROR(INDEX(PP_Grid[#Data],$DD1224,23),0)</f>
        <v/>
      </c>
      <c r="Z1224">
        <f>IFERROR(INDEX(PP_Grid[#Data],$DD1224,24),0)</f>
        <v/>
      </c>
      <c r="AA1224">
        <f>IFERROR(INDEX(PP_Grid[#Data],$DD1224,25),0)</f>
        <v/>
      </c>
      <c r="AB1224">
        <f>IFERROR(INDEX(PP_Grid[#Data],$DD1224,26),0)</f>
        <v/>
      </c>
      <c r="AC1224">
        <f>IFERROR(INDEX(PP_Grid[#Data],$DD1224,27),0)</f>
        <v/>
      </c>
      <c r="AD1224">
        <f>IFERROR(INDEX(PP_Grid[#Data],$DD1224,28),0)</f>
        <v/>
      </c>
      <c r="AE1224">
        <f>IFERROR(INDEX(PP_Grid[#Data],$DD1224,29),0)</f>
        <v/>
      </c>
      <c r="AF1224">
        <f>IFERROR(INDEX(PP_Grid[#Data],$DD1224,30),0)</f>
        <v/>
      </c>
      <c r="AG1224">
        <f>IFERROR(INDEX(PP_Grid[#Data],$DD1224,31),0)</f>
        <v/>
      </c>
      <c r="AH1224">
        <f>IFERROR(INDEX(PP_Grid[#Data],$DD1224,32),0)</f>
        <v/>
      </c>
      <c r="AI1224">
        <f>IFERROR(INDEX(PP_Grid[#Data],$DD1224,33),0)</f>
        <v/>
      </c>
      <c r="AJ1224">
        <f>IFERROR(INDEX(PP_Grid[#Data],$DD1224,34),0)</f>
        <v/>
      </c>
      <c r="AK1224">
        <f>IFERROR(INDEX(PP_Grid[#Data],$DD1224,35),0)</f>
        <v/>
      </c>
      <c r="AL1224">
        <f>IFERROR(INDEX(PP_Grid[#Data],$DD1224,36),0)</f>
        <v/>
      </c>
      <c r="AM1224">
        <f>IFERROR(INDEX(PP_Grid[#Data],$DD1224,37),0)</f>
        <v/>
      </c>
      <c r="AN1224">
        <f>IFERROR(INDEX(PP_Grid[#Data],$DD1224,38),0)</f>
        <v/>
      </c>
      <c r="AO1224">
        <f>IFERROR(INDEX(PP_Grid[#Data],$DD1224,39),0)</f>
        <v/>
      </c>
      <c r="AP1224">
        <f>IFERROR(INDEX(PP_Grid[#Data],$DD1224,40),0)</f>
        <v/>
      </c>
      <c r="AQ1224">
        <f>IFERROR(INDEX(PP_Grid[#Data],$DD1224,41),0)</f>
        <v/>
      </c>
      <c r="AR1224">
        <f>IFERROR(INDEX(PP_Grid[#Data],$DD1224,42),0)</f>
        <v/>
      </c>
      <c r="AS1224">
        <f>IFERROR(INDEX(PP_Grid[#Data],$DD1224,43),0)</f>
        <v/>
      </c>
      <c r="AT1224">
        <f>IFERROR(INDEX(PP_Grid[#Data],$DD1224,44),0)</f>
        <v/>
      </c>
      <c r="AU1224">
        <f>IFERROR(INDEX(PP_Grid[#Data],$DD1224,45),0)</f>
        <v/>
      </c>
      <c r="AV1224">
        <f>IFERROR(INDEX(PP_Grid[#Data],$DD1224,46),0)</f>
        <v/>
      </c>
      <c r="AW1224">
        <f>IFERROR(INDEX(PP_Grid[#Data],$DD1224,47),0)</f>
        <v/>
      </c>
      <c r="AX1224">
        <f>IFERROR(INDEX(PP_Grid[#Data],$DD1224,48),0)</f>
        <v/>
      </c>
      <c r="AY1224">
        <f>IFERROR(INDEX(PP_Grid[#Data],$DD1224,49),0)</f>
        <v/>
      </c>
      <c r="AZ1224">
        <f>IFERROR(INDEX(PP_Grid[#Data],$DD1224,50),0)</f>
        <v/>
      </c>
      <c r="BA1224">
        <f>IFERROR(INDEX(PP_Grid[#Data],$DD1224,51),0)</f>
        <v/>
      </c>
      <c r="BB1224">
        <f>IFERROR(INDEX(PP_Grid[#Data],$DD1224,52),0)</f>
        <v/>
      </c>
      <c r="BC1224">
        <f>IFERROR(INDEX(PP_Grid[#Data],$DD1224,53),0)</f>
        <v/>
      </c>
      <c r="BD1224">
        <f>IFERROR(INDEX(PP_Grid[#Data],$DD1224,54),0)</f>
        <v/>
      </c>
      <c r="BE1224">
        <f>IFERROR(INDEX(PP_Grid[#Data],$DD1224,55),0)</f>
        <v/>
      </c>
      <c r="BF1224">
        <f>IFERROR(INDEX(PP_Grid[#Data],$DD1224,56),0)</f>
        <v/>
      </c>
      <c r="BG1224">
        <f>IFERROR(INDEX(PP_Grid[#Data],$DD1224,57),0)</f>
        <v/>
      </c>
      <c r="BH1224">
        <f>IFERROR(INDEX(PP_Grid[#Data],$DD1224,58),0)</f>
        <v/>
      </c>
      <c r="BI1224">
        <f>IFERROR(INDEX(PP_Grid[#Data],$DD1224,59),0)</f>
        <v/>
      </c>
      <c r="BJ1224">
        <f>IFERROR(INDEX(PP_Grid[#Data],$DD1224,60),0)</f>
        <v/>
      </c>
      <c r="BK1224">
        <f>IFERROR(INDEX(PP_Grid[#Data],$DD1224,61),0)</f>
        <v/>
      </c>
      <c r="BL1224">
        <f>IFERROR(INDEX(PP_Grid[#Data],$DD1224,62),0)</f>
        <v/>
      </c>
      <c r="BM1224">
        <f>IFERROR(INDEX(PP_Grid[#Data],$DD1224,63),0)</f>
        <v/>
      </c>
      <c r="BN1224">
        <f>IFERROR(INDEX(PP_Grid[#Data],$DD1224,64),0)</f>
        <v/>
      </c>
      <c r="BO1224">
        <f>IFERROR(INDEX(PP_Grid[#Data],$DD1224,65),0)</f>
        <v/>
      </c>
      <c r="BP1224">
        <f>IFERROR(INDEX(PP_Grid[#Data],$DD1224,66),0)</f>
        <v/>
      </c>
      <c r="BQ1224">
        <f>IFERROR(INDEX(PP_Grid[#Data],$DD1224,67),0)</f>
        <v/>
      </c>
      <c r="BR1224">
        <f>IFERROR(INDEX(PP_Grid[#Data],$DD1224,68),0)</f>
        <v/>
      </c>
      <c r="BS1224">
        <f>IFERROR(INDEX(PP_Grid[#Data],$DD1224,69),0)</f>
        <v/>
      </c>
      <c r="BT1224">
        <f>IFERROR(INDEX(PP_Grid[#Data],$DD1224,70),0)</f>
        <v/>
      </c>
      <c r="BU1224">
        <f>IFERROR(INDEX(PP_Grid[#Data],$DD1224,71),0)</f>
        <v/>
      </c>
      <c r="BV1224">
        <f>IFERROR(INDEX(PP_Grid[#Data],$DD1224,72),0)</f>
        <v/>
      </c>
      <c r="BW1224">
        <f>IFERROR(INDEX(PP_Grid[#Data],$DD1224,73),0)</f>
        <v/>
      </c>
      <c r="BX1224">
        <f>IFERROR(INDEX(PP_Grid[#Data],$DD1224,74),0)</f>
        <v/>
      </c>
      <c r="BY1224">
        <f>IFERROR(INDEX(PP_Grid[#Data],$DD1224,75),0)</f>
        <v/>
      </c>
      <c r="BZ1224">
        <f>IFERROR(INDEX(PP_Grid[#Data],$DD1224,76),0)</f>
        <v/>
      </c>
      <c r="CA1224">
        <f>IFERROR(INDEX(PP_Grid[#Data],$DD1224,77),0)</f>
        <v/>
      </c>
      <c r="CB1224">
        <f>IFERROR(INDEX(PP_Grid[#Data],$DD1224,78),0)</f>
        <v/>
      </c>
      <c r="CC1224">
        <f>IFERROR(INDEX(PP_Grid[#Data],$DD1224,79),0)</f>
        <v/>
      </c>
      <c r="CD1224">
        <f>IFERROR(INDEX(PP_Grid[#Data],$DD1224,80),0)</f>
        <v/>
      </c>
      <c r="CE1224">
        <f>IFERROR(INDEX(PP_Grid[#Data],$DD1224,81),0)</f>
        <v/>
      </c>
      <c r="CF1224">
        <f>IFERROR(INDEX(PP_Grid[#Data],$DD1224,82),0)</f>
        <v/>
      </c>
      <c r="CG1224">
        <f>IFERROR(INDEX(PP_Grid[#Data],$DD1224,83),0)</f>
        <v/>
      </c>
      <c r="CH1224">
        <f>IFERROR(INDEX(PP_Grid[#Data],$DD1224,84),0)</f>
        <v/>
      </c>
      <c r="CI1224">
        <f>IFERROR(INDEX(PP_Grid[#Data],$DD1224,85),0)</f>
        <v/>
      </c>
      <c r="CJ1224">
        <f>IFERROR(INDEX(PP_Grid[#Data],$DD1224,86),0)</f>
        <v/>
      </c>
      <c r="CK1224">
        <f>IFERROR(INDEX(PP_Grid[#Data],$DD1224,87),0)</f>
        <v/>
      </c>
      <c r="CL1224">
        <f>IFERROR(INDEX(PP_Grid[#Data],$DD1224,88),0)</f>
        <v/>
      </c>
      <c r="CM1224">
        <f>IFERROR(INDEX(PP_Grid[#Data],$DD1224,89),0)</f>
        <v/>
      </c>
      <c r="CN1224">
        <f>IFERROR(INDEX(PP_Grid[#Data],$DD1224,90),0)</f>
        <v/>
      </c>
      <c r="CO1224">
        <f>IFERROR(INDEX(PP_Grid[#Data],$DD1224,91),0)</f>
        <v/>
      </c>
      <c r="CP1224">
        <f>IFERROR(INDEX(PP_Grid[#Data],$DD1224,92),0)</f>
        <v/>
      </c>
      <c r="CQ1224">
        <f>IFERROR(INDEX(PP_Grid[#Data],$DD1224,93),0)</f>
        <v/>
      </c>
      <c r="CR1224">
        <f>IFERROR(INDEX(PP_Grid[#Data],$DD1224,94),0)</f>
        <v/>
      </c>
      <c r="CS1224">
        <f>IFERROR(INDEX(PP_Grid[#Data],$DD1224,95),0)</f>
        <v/>
      </c>
      <c r="CT1224">
        <f>IFERROR(INDEX(PP_Grid[#Data],$DD1224,96),0)</f>
        <v/>
      </c>
      <c r="CU1224">
        <f>IFERROR(INDEX(PP_Grid[#Data],$DD1224,97),0)</f>
        <v/>
      </c>
      <c r="CV1224">
        <f>IFERROR(INDEX(PP_Grid[#Data],$DD1224,98),0)</f>
        <v/>
      </c>
      <c r="CW1224">
        <f>IFERROR(INDEX(PP_Grid[#Data],$DD1224,99),0)</f>
        <v/>
      </c>
      <c r="CX1224">
        <f>IFERROR(INDEX(PP_Grid[#Data],$DD1224,100),0)</f>
        <v/>
      </c>
      <c r="CY1224">
        <f>IFERROR(INDEX(PP_Grid[#Data],$DD1224,101),0)</f>
        <v/>
      </c>
      <c r="CZ1224">
        <f>IFERROR(INDEX(PP_Grid[#Data],$DD1224,102),0)</f>
        <v/>
      </c>
      <c r="DA1224">
        <f>IFERROR(INDEX(PP_Grid[#Data],$DD1224,103),0)</f>
        <v/>
      </c>
      <c r="DB1224">
        <f>IFERROR(INDEX(PP_Grid[#Data],$DD1224,104),0)</f>
        <v/>
      </c>
      <c r="DC1224">
        <f>IFERROR(INDEX(PP_Grid[#Data],$DD1224,105),0)</f>
        <v/>
      </c>
      <c r="DD1224" s="12">
        <f>IFERROR(MATCH($B1224,PP_Grid[Intermediate],0),99999)</f>
        <v/>
      </c>
    </row>
    <row r="1225">
      <c r="B1225" t="inlineStr">
        <is>
          <t>使用量(kg)</t>
        </is>
      </c>
      <c r="C1225">
        <f>SUMIFS(M_BOM[RM_Qty_Per_Batch],M_BOM[Intermediate],$B1224,M_BOM[Part Name],$A1221)</f>
        <v/>
      </c>
      <c r="D1225">
        <f>$C1225*D1224</f>
        <v/>
      </c>
      <c r="E1225">
        <f>$C1225*E1224</f>
        <v/>
      </c>
      <c r="F1225">
        <f>$C1225*F1224</f>
        <v/>
      </c>
      <c r="G1225">
        <f>$C1225*G1224</f>
        <v/>
      </c>
      <c r="H1225">
        <f>$C1225*H1224</f>
        <v/>
      </c>
      <c r="I1225">
        <f>$C1225*I1224</f>
        <v/>
      </c>
      <c r="J1225">
        <f>$C1225*J1224</f>
        <v/>
      </c>
      <c r="K1225">
        <f>$C1225*K1224</f>
        <v/>
      </c>
      <c r="L1225">
        <f>$C1225*L1224</f>
        <v/>
      </c>
      <c r="M1225">
        <f>$C1225*M1224</f>
        <v/>
      </c>
      <c r="N1225">
        <f>$C1225*N1224</f>
        <v/>
      </c>
      <c r="O1225">
        <f>$C1225*O1224</f>
        <v/>
      </c>
      <c r="P1225">
        <f>$C1225*P1224</f>
        <v/>
      </c>
      <c r="Q1225">
        <f>$C1225*Q1224</f>
        <v/>
      </c>
      <c r="R1225">
        <f>$C1225*R1224</f>
        <v/>
      </c>
      <c r="S1225">
        <f>$C1225*S1224</f>
        <v/>
      </c>
      <c r="T1225">
        <f>$C1225*T1224</f>
        <v/>
      </c>
      <c r="U1225">
        <f>$C1225*U1224</f>
        <v/>
      </c>
      <c r="V1225">
        <f>$C1225*V1224</f>
        <v/>
      </c>
      <c r="W1225">
        <f>$C1225*W1224</f>
        <v/>
      </c>
      <c r="X1225">
        <f>$C1225*X1224</f>
        <v/>
      </c>
      <c r="Y1225">
        <f>$C1225*Y1224</f>
        <v/>
      </c>
      <c r="Z1225">
        <f>$C1225*Z1224</f>
        <v/>
      </c>
      <c r="AA1225">
        <f>$C1225*AA1224</f>
        <v/>
      </c>
      <c r="AB1225">
        <f>$C1225*AB1224</f>
        <v/>
      </c>
      <c r="AC1225">
        <f>$C1225*AC1224</f>
        <v/>
      </c>
      <c r="AD1225">
        <f>$C1225*AD1224</f>
        <v/>
      </c>
      <c r="AE1225">
        <f>$C1225*AE1224</f>
        <v/>
      </c>
      <c r="AF1225">
        <f>$C1225*AF1224</f>
        <v/>
      </c>
      <c r="AG1225">
        <f>$C1225*AG1224</f>
        <v/>
      </c>
      <c r="AH1225">
        <f>$C1225*AH1224</f>
        <v/>
      </c>
      <c r="AI1225">
        <f>$C1225*AI1224</f>
        <v/>
      </c>
      <c r="AJ1225">
        <f>$C1225*AJ1224</f>
        <v/>
      </c>
      <c r="AK1225">
        <f>$C1225*AK1224</f>
        <v/>
      </c>
      <c r="AL1225">
        <f>$C1225*AL1224</f>
        <v/>
      </c>
      <c r="AM1225">
        <f>$C1225*AM1224</f>
        <v/>
      </c>
      <c r="AN1225">
        <f>$C1225*AN1224</f>
        <v/>
      </c>
      <c r="AO1225">
        <f>$C1225*AO1224</f>
        <v/>
      </c>
      <c r="AP1225">
        <f>$C1225*AP1224</f>
        <v/>
      </c>
      <c r="AQ1225">
        <f>$C1225*AQ1224</f>
        <v/>
      </c>
      <c r="AR1225">
        <f>$C1225*AR1224</f>
        <v/>
      </c>
      <c r="AS1225">
        <f>$C1225*AS1224</f>
        <v/>
      </c>
      <c r="AT1225">
        <f>$C1225*AT1224</f>
        <v/>
      </c>
      <c r="AU1225">
        <f>$C1225*AU1224</f>
        <v/>
      </c>
      <c r="AV1225">
        <f>$C1225*AV1224</f>
        <v/>
      </c>
      <c r="AW1225">
        <f>$C1225*AW1224</f>
        <v/>
      </c>
      <c r="AX1225">
        <f>$C1225*AX1224</f>
        <v/>
      </c>
      <c r="AY1225">
        <f>$C1225*AY1224</f>
        <v/>
      </c>
      <c r="AZ1225">
        <f>$C1225*AZ1224</f>
        <v/>
      </c>
      <c r="BA1225">
        <f>$C1225*BA1224</f>
        <v/>
      </c>
      <c r="BB1225">
        <f>$C1225*BB1224</f>
        <v/>
      </c>
      <c r="BC1225">
        <f>$C1225*BC1224</f>
        <v/>
      </c>
      <c r="BD1225">
        <f>$C1225*BD1224</f>
        <v/>
      </c>
      <c r="BE1225">
        <f>$C1225*BE1224</f>
        <v/>
      </c>
      <c r="BF1225">
        <f>$C1225*BF1224</f>
        <v/>
      </c>
      <c r="BG1225">
        <f>$C1225*BG1224</f>
        <v/>
      </c>
      <c r="BH1225">
        <f>$C1225*BH1224</f>
        <v/>
      </c>
      <c r="BI1225">
        <f>$C1225*BI1224</f>
        <v/>
      </c>
      <c r="BJ1225">
        <f>$C1225*BJ1224</f>
        <v/>
      </c>
      <c r="BK1225">
        <f>$C1225*BK1224</f>
        <v/>
      </c>
      <c r="BL1225">
        <f>$C1225*BL1224</f>
        <v/>
      </c>
      <c r="BM1225">
        <f>$C1225*BM1224</f>
        <v/>
      </c>
      <c r="BN1225">
        <f>$C1225*BN1224</f>
        <v/>
      </c>
      <c r="BO1225">
        <f>$C1225*BO1224</f>
        <v/>
      </c>
      <c r="BP1225">
        <f>$C1225*BP1224</f>
        <v/>
      </c>
      <c r="BQ1225">
        <f>$C1225*BQ1224</f>
        <v/>
      </c>
      <c r="BR1225">
        <f>$C1225*BR1224</f>
        <v/>
      </c>
      <c r="BS1225">
        <f>$C1225*BS1224</f>
        <v/>
      </c>
      <c r="BT1225">
        <f>$C1225*BT1224</f>
        <v/>
      </c>
      <c r="BU1225">
        <f>$C1225*BU1224</f>
        <v/>
      </c>
      <c r="BV1225">
        <f>$C1225*BV1224</f>
        <v/>
      </c>
      <c r="BW1225">
        <f>$C1225*BW1224</f>
        <v/>
      </c>
      <c r="BX1225">
        <f>$C1225*BX1224</f>
        <v/>
      </c>
      <c r="BY1225">
        <f>$C1225*BY1224</f>
        <v/>
      </c>
      <c r="BZ1225">
        <f>$C1225*BZ1224</f>
        <v/>
      </c>
      <c r="CA1225">
        <f>$C1225*CA1224</f>
        <v/>
      </c>
      <c r="CB1225">
        <f>$C1225*CB1224</f>
        <v/>
      </c>
      <c r="CC1225">
        <f>$C1225*CC1224</f>
        <v/>
      </c>
      <c r="CD1225">
        <f>$C1225*CD1224</f>
        <v/>
      </c>
      <c r="CE1225">
        <f>$C1225*CE1224</f>
        <v/>
      </c>
      <c r="CF1225">
        <f>$C1225*CF1224</f>
        <v/>
      </c>
      <c r="CG1225">
        <f>$C1225*CG1224</f>
        <v/>
      </c>
      <c r="CH1225">
        <f>$C1225*CH1224</f>
        <v/>
      </c>
      <c r="CI1225">
        <f>$C1225*CI1224</f>
        <v/>
      </c>
      <c r="CJ1225">
        <f>$C1225*CJ1224</f>
        <v/>
      </c>
      <c r="CK1225">
        <f>$C1225*CK1224</f>
        <v/>
      </c>
      <c r="CL1225">
        <f>$C1225*CL1224</f>
        <v/>
      </c>
      <c r="CM1225">
        <f>$C1225*CM1224</f>
        <v/>
      </c>
      <c r="CN1225">
        <f>$C1225*CN1224</f>
        <v/>
      </c>
      <c r="CO1225">
        <f>$C1225*CO1224</f>
        <v/>
      </c>
      <c r="CP1225">
        <f>$C1225*CP1224</f>
        <v/>
      </c>
      <c r="CQ1225">
        <f>$C1225*CQ1224</f>
        <v/>
      </c>
      <c r="CR1225">
        <f>$C1225*CR1224</f>
        <v/>
      </c>
      <c r="CS1225">
        <f>$C1225*CS1224</f>
        <v/>
      </c>
      <c r="CT1225">
        <f>$C1225*CT1224</f>
        <v/>
      </c>
      <c r="CU1225">
        <f>$C1225*CU1224</f>
        <v/>
      </c>
      <c r="CV1225">
        <f>$C1225*CV1224</f>
        <v/>
      </c>
      <c r="CW1225">
        <f>$C1225*CW1224</f>
        <v/>
      </c>
      <c r="CX1225">
        <f>$C1225*CX1224</f>
        <v/>
      </c>
      <c r="CY1225">
        <f>$C1225*CY1224</f>
        <v/>
      </c>
      <c r="CZ1225">
        <f>$C1225*CZ1224</f>
        <v/>
      </c>
      <c r="DA1225">
        <f>$C1225*DA1224</f>
        <v/>
      </c>
      <c r="DB1225">
        <f>$C1225*DB1224</f>
        <v/>
      </c>
      <c r="DC1225">
        <f>$C1225*DC1224</f>
        <v/>
      </c>
    </row>
    <row r="1226">
      <c r="B1226" t="inlineStr">
        <is>
          <t>TSP-710</t>
        </is>
      </c>
      <c r="C1226" t="inlineStr">
        <is>
          <t>No. of batches</t>
        </is>
      </c>
      <c r="D1226">
        <f>IFERROR(INDEX(PP_Grid[#Data],$DD1226,2),0)</f>
        <v/>
      </c>
      <c r="E1226">
        <f>IFERROR(INDEX(PP_Grid[#Data],$DD1226,3),0)</f>
        <v/>
      </c>
      <c r="F1226">
        <f>IFERROR(INDEX(PP_Grid[#Data],$DD1226,4),0)</f>
        <v/>
      </c>
      <c r="G1226">
        <f>IFERROR(INDEX(PP_Grid[#Data],$DD1226,5),0)</f>
        <v/>
      </c>
      <c r="H1226">
        <f>IFERROR(INDEX(PP_Grid[#Data],$DD1226,6),0)</f>
        <v/>
      </c>
      <c r="I1226">
        <f>IFERROR(INDEX(PP_Grid[#Data],$DD1226,7),0)</f>
        <v/>
      </c>
      <c r="J1226">
        <f>IFERROR(INDEX(PP_Grid[#Data],$DD1226,8),0)</f>
        <v/>
      </c>
      <c r="K1226">
        <f>IFERROR(INDEX(PP_Grid[#Data],$DD1226,9),0)</f>
        <v/>
      </c>
      <c r="L1226">
        <f>IFERROR(INDEX(PP_Grid[#Data],$DD1226,10),0)</f>
        <v/>
      </c>
      <c r="M1226">
        <f>IFERROR(INDEX(PP_Grid[#Data],$DD1226,11),0)</f>
        <v/>
      </c>
      <c r="N1226">
        <f>IFERROR(INDEX(PP_Grid[#Data],$DD1226,12),0)</f>
        <v/>
      </c>
      <c r="O1226">
        <f>IFERROR(INDEX(PP_Grid[#Data],$DD1226,13),0)</f>
        <v/>
      </c>
      <c r="P1226">
        <f>IFERROR(INDEX(PP_Grid[#Data],$DD1226,14),0)</f>
        <v/>
      </c>
      <c r="Q1226">
        <f>IFERROR(INDEX(PP_Grid[#Data],$DD1226,15),0)</f>
        <v/>
      </c>
      <c r="R1226">
        <f>IFERROR(INDEX(PP_Grid[#Data],$DD1226,16),0)</f>
        <v/>
      </c>
      <c r="S1226">
        <f>IFERROR(INDEX(PP_Grid[#Data],$DD1226,17),0)</f>
        <v/>
      </c>
      <c r="T1226">
        <f>IFERROR(INDEX(PP_Grid[#Data],$DD1226,18),0)</f>
        <v/>
      </c>
      <c r="U1226">
        <f>IFERROR(INDEX(PP_Grid[#Data],$DD1226,19),0)</f>
        <v/>
      </c>
      <c r="V1226">
        <f>IFERROR(INDEX(PP_Grid[#Data],$DD1226,20),0)</f>
        <v/>
      </c>
      <c r="W1226">
        <f>IFERROR(INDEX(PP_Grid[#Data],$DD1226,21),0)</f>
        <v/>
      </c>
      <c r="X1226">
        <f>IFERROR(INDEX(PP_Grid[#Data],$DD1226,22),0)</f>
        <v/>
      </c>
      <c r="Y1226">
        <f>IFERROR(INDEX(PP_Grid[#Data],$DD1226,23),0)</f>
        <v/>
      </c>
      <c r="Z1226">
        <f>IFERROR(INDEX(PP_Grid[#Data],$DD1226,24),0)</f>
        <v/>
      </c>
      <c r="AA1226">
        <f>IFERROR(INDEX(PP_Grid[#Data],$DD1226,25),0)</f>
        <v/>
      </c>
      <c r="AB1226">
        <f>IFERROR(INDEX(PP_Grid[#Data],$DD1226,26),0)</f>
        <v/>
      </c>
      <c r="AC1226">
        <f>IFERROR(INDEX(PP_Grid[#Data],$DD1226,27),0)</f>
        <v/>
      </c>
      <c r="AD1226">
        <f>IFERROR(INDEX(PP_Grid[#Data],$DD1226,28),0)</f>
        <v/>
      </c>
      <c r="AE1226">
        <f>IFERROR(INDEX(PP_Grid[#Data],$DD1226,29),0)</f>
        <v/>
      </c>
      <c r="AF1226">
        <f>IFERROR(INDEX(PP_Grid[#Data],$DD1226,30),0)</f>
        <v/>
      </c>
      <c r="AG1226">
        <f>IFERROR(INDEX(PP_Grid[#Data],$DD1226,31),0)</f>
        <v/>
      </c>
      <c r="AH1226">
        <f>IFERROR(INDEX(PP_Grid[#Data],$DD1226,32),0)</f>
        <v/>
      </c>
      <c r="AI1226">
        <f>IFERROR(INDEX(PP_Grid[#Data],$DD1226,33),0)</f>
        <v/>
      </c>
      <c r="AJ1226">
        <f>IFERROR(INDEX(PP_Grid[#Data],$DD1226,34),0)</f>
        <v/>
      </c>
      <c r="AK1226">
        <f>IFERROR(INDEX(PP_Grid[#Data],$DD1226,35),0)</f>
        <v/>
      </c>
      <c r="AL1226">
        <f>IFERROR(INDEX(PP_Grid[#Data],$DD1226,36),0)</f>
        <v/>
      </c>
      <c r="AM1226">
        <f>IFERROR(INDEX(PP_Grid[#Data],$DD1226,37),0)</f>
        <v/>
      </c>
      <c r="AN1226">
        <f>IFERROR(INDEX(PP_Grid[#Data],$DD1226,38),0)</f>
        <v/>
      </c>
      <c r="AO1226">
        <f>IFERROR(INDEX(PP_Grid[#Data],$DD1226,39),0)</f>
        <v/>
      </c>
      <c r="AP1226">
        <f>IFERROR(INDEX(PP_Grid[#Data],$DD1226,40),0)</f>
        <v/>
      </c>
      <c r="AQ1226">
        <f>IFERROR(INDEX(PP_Grid[#Data],$DD1226,41),0)</f>
        <v/>
      </c>
      <c r="AR1226">
        <f>IFERROR(INDEX(PP_Grid[#Data],$DD1226,42),0)</f>
        <v/>
      </c>
      <c r="AS1226">
        <f>IFERROR(INDEX(PP_Grid[#Data],$DD1226,43),0)</f>
        <v/>
      </c>
      <c r="AT1226">
        <f>IFERROR(INDEX(PP_Grid[#Data],$DD1226,44),0)</f>
        <v/>
      </c>
      <c r="AU1226">
        <f>IFERROR(INDEX(PP_Grid[#Data],$DD1226,45),0)</f>
        <v/>
      </c>
      <c r="AV1226">
        <f>IFERROR(INDEX(PP_Grid[#Data],$DD1226,46),0)</f>
        <v/>
      </c>
      <c r="AW1226">
        <f>IFERROR(INDEX(PP_Grid[#Data],$DD1226,47),0)</f>
        <v/>
      </c>
      <c r="AX1226">
        <f>IFERROR(INDEX(PP_Grid[#Data],$DD1226,48),0)</f>
        <v/>
      </c>
      <c r="AY1226">
        <f>IFERROR(INDEX(PP_Grid[#Data],$DD1226,49),0)</f>
        <v/>
      </c>
      <c r="AZ1226">
        <f>IFERROR(INDEX(PP_Grid[#Data],$DD1226,50),0)</f>
        <v/>
      </c>
      <c r="BA1226">
        <f>IFERROR(INDEX(PP_Grid[#Data],$DD1226,51),0)</f>
        <v/>
      </c>
      <c r="BB1226">
        <f>IFERROR(INDEX(PP_Grid[#Data],$DD1226,52),0)</f>
        <v/>
      </c>
      <c r="BC1226">
        <f>IFERROR(INDEX(PP_Grid[#Data],$DD1226,53),0)</f>
        <v/>
      </c>
      <c r="BD1226">
        <f>IFERROR(INDEX(PP_Grid[#Data],$DD1226,54),0)</f>
        <v/>
      </c>
      <c r="BE1226">
        <f>IFERROR(INDEX(PP_Grid[#Data],$DD1226,55),0)</f>
        <v/>
      </c>
      <c r="BF1226">
        <f>IFERROR(INDEX(PP_Grid[#Data],$DD1226,56),0)</f>
        <v/>
      </c>
      <c r="BG1226">
        <f>IFERROR(INDEX(PP_Grid[#Data],$DD1226,57),0)</f>
        <v/>
      </c>
      <c r="BH1226">
        <f>IFERROR(INDEX(PP_Grid[#Data],$DD1226,58),0)</f>
        <v/>
      </c>
      <c r="BI1226">
        <f>IFERROR(INDEX(PP_Grid[#Data],$DD1226,59),0)</f>
        <v/>
      </c>
      <c r="BJ1226">
        <f>IFERROR(INDEX(PP_Grid[#Data],$DD1226,60),0)</f>
        <v/>
      </c>
      <c r="BK1226">
        <f>IFERROR(INDEX(PP_Grid[#Data],$DD1226,61),0)</f>
        <v/>
      </c>
      <c r="BL1226">
        <f>IFERROR(INDEX(PP_Grid[#Data],$DD1226,62),0)</f>
        <v/>
      </c>
      <c r="BM1226">
        <f>IFERROR(INDEX(PP_Grid[#Data],$DD1226,63),0)</f>
        <v/>
      </c>
      <c r="BN1226">
        <f>IFERROR(INDEX(PP_Grid[#Data],$DD1226,64),0)</f>
        <v/>
      </c>
      <c r="BO1226">
        <f>IFERROR(INDEX(PP_Grid[#Data],$DD1226,65),0)</f>
        <v/>
      </c>
      <c r="BP1226">
        <f>IFERROR(INDEX(PP_Grid[#Data],$DD1226,66),0)</f>
        <v/>
      </c>
      <c r="BQ1226">
        <f>IFERROR(INDEX(PP_Grid[#Data],$DD1226,67),0)</f>
        <v/>
      </c>
      <c r="BR1226">
        <f>IFERROR(INDEX(PP_Grid[#Data],$DD1226,68),0)</f>
        <v/>
      </c>
      <c r="BS1226">
        <f>IFERROR(INDEX(PP_Grid[#Data],$DD1226,69),0)</f>
        <v/>
      </c>
      <c r="BT1226">
        <f>IFERROR(INDEX(PP_Grid[#Data],$DD1226,70),0)</f>
        <v/>
      </c>
      <c r="BU1226">
        <f>IFERROR(INDEX(PP_Grid[#Data],$DD1226,71),0)</f>
        <v/>
      </c>
      <c r="BV1226">
        <f>IFERROR(INDEX(PP_Grid[#Data],$DD1226,72),0)</f>
        <v/>
      </c>
      <c r="BW1226">
        <f>IFERROR(INDEX(PP_Grid[#Data],$DD1226,73),0)</f>
        <v/>
      </c>
      <c r="BX1226">
        <f>IFERROR(INDEX(PP_Grid[#Data],$DD1226,74),0)</f>
        <v/>
      </c>
      <c r="BY1226">
        <f>IFERROR(INDEX(PP_Grid[#Data],$DD1226,75),0)</f>
        <v/>
      </c>
      <c r="BZ1226">
        <f>IFERROR(INDEX(PP_Grid[#Data],$DD1226,76),0)</f>
        <v/>
      </c>
      <c r="CA1226">
        <f>IFERROR(INDEX(PP_Grid[#Data],$DD1226,77),0)</f>
        <v/>
      </c>
      <c r="CB1226">
        <f>IFERROR(INDEX(PP_Grid[#Data],$DD1226,78),0)</f>
        <v/>
      </c>
      <c r="CC1226">
        <f>IFERROR(INDEX(PP_Grid[#Data],$DD1226,79),0)</f>
        <v/>
      </c>
      <c r="CD1226">
        <f>IFERROR(INDEX(PP_Grid[#Data],$DD1226,80),0)</f>
        <v/>
      </c>
      <c r="CE1226">
        <f>IFERROR(INDEX(PP_Grid[#Data],$DD1226,81),0)</f>
        <v/>
      </c>
      <c r="CF1226">
        <f>IFERROR(INDEX(PP_Grid[#Data],$DD1226,82),0)</f>
        <v/>
      </c>
      <c r="CG1226">
        <f>IFERROR(INDEX(PP_Grid[#Data],$DD1226,83),0)</f>
        <v/>
      </c>
      <c r="CH1226">
        <f>IFERROR(INDEX(PP_Grid[#Data],$DD1226,84),0)</f>
        <v/>
      </c>
      <c r="CI1226">
        <f>IFERROR(INDEX(PP_Grid[#Data],$DD1226,85),0)</f>
        <v/>
      </c>
      <c r="CJ1226">
        <f>IFERROR(INDEX(PP_Grid[#Data],$DD1226,86),0)</f>
        <v/>
      </c>
      <c r="CK1226">
        <f>IFERROR(INDEX(PP_Grid[#Data],$DD1226,87),0)</f>
        <v/>
      </c>
      <c r="CL1226">
        <f>IFERROR(INDEX(PP_Grid[#Data],$DD1226,88),0)</f>
        <v/>
      </c>
      <c r="CM1226">
        <f>IFERROR(INDEX(PP_Grid[#Data],$DD1226,89),0)</f>
        <v/>
      </c>
      <c r="CN1226">
        <f>IFERROR(INDEX(PP_Grid[#Data],$DD1226,90),0)</f>
        <v/>
      </c>
      <c r="CO1226">
        <f>IFERROR(INDEX(PP_Grid[#Data],$DD1226,91),0)</f>
        <v/>
      </c>
      <c r="CP1226">
        <f>IFERROR(INDEX(PP_Grid[#Data],$DD1226,92),0)</f>
        <v/>
      </c>
      <c r="CQ1226">
        <f>IFERROR(INDEX(PP_Grid[#Data],$DD1226,93),0)</f>
        <v/>
      </c>
      <c r="CR1226">
        <f>IFERROR(INDEX(PP_Grid[#Data],$DD1226,94),0)</f>
        <v/>
      </c>
      <c r="CS1226">
        <f>IFERROR(INDEX(PP_Grid[#Data],$DD1226,95),0)</f>
        <v/>
      </c>
      <c r="CT1226">
        <f>IFERROR(INDEX(PP_Grid[#Data],$DD1226,96),0)</f>
        <v/>
      </c>
      <c r="CU1226">
        <f>IFERROR(INDEX(PP_Grid[#Data],$DD1226,97),0)</f>
        <v/>
      </c>
      <c r="CV1226">
        <f>IFERROR(INDEX(PP_Grid[#Data],$DD1226,98),0)</f>
        <v/>
      </c>
      <c r="CW1226">
        <f>IFERROR(INDEX(PP_Grid[#Data],$DD1226,99),0)</f>
        <v/>
      </c>
      <c r="CX1226">
        <f>IFERROR(INDEX(PP_Grid[#Data],$DD1226,100),0)</f>
        <v/>
      </c>
      <c r="CY1226">
        <f>IFERROR(INDEX(PP_Grid[#Data],$DD1226,101),0)</f>
        <v/>
      </c>
      <c r="CZ1226">
        <f>IFERROR(INDEX(PP_Grid[#Data],$DD1226,102),0)</f>
        <v/>
      </c>
      <c r="DA1226">
        <f>IFERROR(INDEX(PP_Grid[#Data],$DD1226,103),0)</f>
        <v/>
      </c>
      <c r="DB1226">
        <f>IFERROR(INDEX(PP_Grid[#Data],$DD1226,104),0)</f>
        <v/>
      </c>
      <c r="DC1226">
        <f>IFERROR(INDEX(PP_Grid[#Data],$DD1226,105),0)</f>
        <v/>
      </c>
      <c r="DD1226" s="12">
        <f>IFERROR(MATCH($B1226,PP_Grid[Intermediate],0),99999)</f>
        <v/>
      </c>
    </row>
    <row r="1227">
      <c r="B1227" t="inlineStr">
        <is>
          <t>使用量(kg)</t>
        </is>
      </c>
      <c r="C1227">
        <f>SUMIFS(M_BOM[RM_Qty_Per_Batch],M_BOM[Intermediate],$B1226,M_BOM[Part Name],$A1221)</f>
        <v/>
      </c>
      <c r="D1227">
        <f>$C1227*D1226</f>
        <v/>
      </c>
      <c r="E1227">
        <f>$C1227*E1226</f>
        <v/>
      </c>
      <c r="F1227">
        <f>$C1227*F1226</f>
        <v/>
      </c>
      <c r="G1227">
        <f>$C1227*G1226</f>
        <v/>
      </c>
      <c r="H1227">
        <f>$C1227*H1226</f>
        <v/>
      </c>
      <c r="I1227">
        <f>$C1227*I1226</f>
        <v/>
      </c>
      <c r="J1227">
        <f>$C1227*J1226</f>
        <v/>
      </c>
      <c r="K1227">
        <f>$C1227*K1226</f>
        <v/>
      </c>
      <c r="L1227">
        <f>$C1227*L1226</f>
        <v/>
      </c>
      <c r="M1227">
        <f>$C1227*M1226</f>
        <v/>
      </c>
      <c r="N1227">
        <f>$C1227*N1226</f>
        <v/>
      </c>
      <c r="O1227">
        <f>$C1227*O1226</f>
        <v/>
      </c>
      <c r="P1227">
        <f>$C1227*P1226</f>
        <v/>
      </c>
      <c r="Q1227">
        <f>$C1227*Q1226</f>
        <v/>
      </c>
      <c r="R1227">
        <f>$C1227*R1226</f>
        <v/>
      </c>
      <c r="S1227">
        <f>$C1227*S1226</f>
        <v/>
      </c>
      <c r="T1227">
        <f>$C1227*T1226</f>
        <v/>
      </c>
      <c r="U1227">
        <f>$C1227*U1226</f>
        <v/>
      </c>
      <c r="V1227">
        <f>$C1227*V1226</f>
        <v/>
      </c>
      <c r="W1227">
        <f>$C1227*W1226</f>
        <v/>
      </c>
      <c r="X1227">
        <f>$C1227*X1226</f>
        <v/>
      </c>
      <c r="Y1227">
        <f>$C1227*Y1226</f>
        <v/>
      </c>
      <c r="Z1227">
        <f>$C1227*Z1226</f>
        <v/>
      </c>
      <c r="AA1227">
        <f>$C1227*AA1226</f>
        <v/>
      </c>
      <c r="AB1227">
        <f>$C1227*AB1226</f>
        <v/>
      </c>
      <c r="AC1227">
        <f>$C1227*AC1226</f>
        <v/>
      </c>
      <c r="AD1227">
        <f>$C1227*AD1226</f>
        <v/>
      </c>
      <c r="AE1227">
        <f>$C1227*AE1226</f>
        <v/>
      </c>
      <c r="AF1227">
        <f>$C1227*AF1226</f>
        <v/>
      </c>
      <c r="AG1227">
        <f>$C1227*AG1226</f>
        <v/>
      </c>
      <c r="AH1227">
        <f>$C1227*AH1226</f>
        <v/>
      </c>
      <c r="AI1227">
        <f>$C1227*AI1226</f>
        <v/>
      </c>
      <c r="AJ1227">
        <f>$C1227*AJ1226</f>
        <v/>
      </c>
      <c r="AK1227">
        <f>$C1227*AK1226</f>
        <v/>
      </c>
      <c r="AL1227">
        <f>$C1227*AL1226</f>
        <v/>
      </c>
      <c r="AM1227">
        <f>$C1227*AM1226</f>
        <v/>
      </c>
      <c r="AN1227">
        <f>$C1227*AN1226</f>
        <v/>
      </c>
      <c r="AO1227">
        <f>$C1227*AO1226</f>
        <v/>
      </c>
      <c r="AP1227">
        <f>$C1227*AP1226</f>
        <v/>
      </c>
      <c r="AQ1227">
        <f>$C1227*AQ1226</f>
        <v/>
      </c>
      <c r="AR1227">
        <f>$C1227*AR1226</f>
        <v/>
      </c>
      <c r="AS1227">
        <f>$C1227*AS1226</f>
        <v/>
      </c>
      <c r="AT1227">
        <f>$C1227*AT1226</f>
        <v/>
      </c>
      <c r="AU1227">
        <f>$C1227*AU1226</f>
        <v/>
      </c>
      <c r="AV1227">
        <f>$C1227*AV1226</f>
        <v/>
      </c>
      <c r="AW1227">
        <f>$C1227*AW1226</f>
        <v/>
      </c>
      <c r="AX1227">
        <f>$C1227*AX1226</f>
        <v/>
      </c>
      <c r="AY1227">
        <f>$C1227*AY1226</f>
        <v/>
      </c>
      <c r="AZ1227">
        <f>$C1227*AZ1226</f>
        <v/>
      </c>
      <c r="BA1227">
        <f>$C1227*BA1226</f>
        <v/>
      </c>
      <c r="BB1227">
        <f>$C1227*BB1226</f>
        <v/>
      </c>
      <c r="BC1227">
        <f>$C1227*BC1226</f>
        <v/>
      </c>
      <c r="BD1227">
        <f>$C1227*BD1226</f>
        <v/>
      </c>
      <c r="BE1227">
        <f>$C1227*BE1226</f>
        <v/>
      </c>
      <c r="BF1227">
        <f>$C1227*BF1226</f>
        <v/>
      </c>
      <c r="BG1227">
        <f>$C1227*BG1226</f>
        <v/>
      </c>
      <c r="BH1227">
        <f>$C1227*BH1226</f>
        <v/>
      </c>
      <c r="BI1227">
        <f>$C1227*BI1226</f>
        <v/>
      </c>
      <c r="BJ1227">
        <f>$C1227*BJ1226</f>
        <v/>
      </c>
      <c r="BK1227">
        <f>$C1227*BK1226</f>
        <v/>
      </c>
      <c r="BL1227">
        <f>$C1227*BL1226</f>
        <v/>
      </c>
      <c r="BM1227">
        <f>$C1227*BM1226</f>
        <v/>
      </c>
      <c r="BN1227">
        <f>$C1227*BN1226</f>
        <v/>
      </c>
      <c r="BO1227">
        <f>$C1227*BO1226</f>
        <v/>
      </c>
      <c r="BP1227">
        <f>$C1227*BP1226</f>
        <v/>
      </c>
      <c r="BQ1227">
        <f>$C1227*BQ1226</f>
        <v/>
      </c>
      <c r="BR1227">
        <f>$C1227*BR1226</f>
        <v/>
      </c>
      <c r="BS1227">
        <f>$C1227*BS1226</f>
        <v/>
      </c>
      <c r="BT1227">
        <f>$C1227*BT1226</f>
        <v/>
      </c>
      <c r="BU1227">
        <f>$C1227*BU1226</f>
        <v/>
      </c>
      <c r="BV1227">
        <f>$C1227*BV1226</f>
        <v/>
      </c>
      <c r="BW1227">
        <f>$C1227*BW1226</f>
        <v/>
      </c>
      <c r="BX1227">
        <f>$C1227*BX1226</f>
        <v/>
      </c>
      <c r="BY1227">
        <f>$C1227*BY1226</f>
        <v/>
      </c>
      <c r="BZ1227">
        <f>$C1227*BZ1226</f>
        <v/>
      </c>
      <c r="CA1227">
        <f>$C1227*CA1226</f>
        <v/>
      </c>
      <c r="CB1227">
        <f>$C1227*CB1226</f>
        <v/>
      </c>
      <c r="CC1227">
        <f>$C1227*CC1226</f>
        <v/>
      </c>
      <c r="CD1227">
        <f>$C1227*CD1226</f>
        <v/>
      </c>
      <c r="CE1227">
        <f>$C1227*CE1226</f>
        <v/>
      </c>
      <c r="CF1227">
        <f>$C1227*CF1226</f>
        <v/>
      </c>
      <c r="CG1227">
        <f>$C1227*CG1226</f>
        <v/>
      </c>
      <c r="CH1227">
        <f>$C1227*CH1226</f>
        <v/>
      </c>
      <c r="CI1227">
        <f>$C1227*CI1226</f>
        <v/>
      </c>
      <c r="CJ1227">
        <f>$C1227*CJ1226</f>
        <v/>
      </c>
      <c r="CK1227">
        <f>$C1227*CK1226</f>
        <v/>
      </c>
      <c r="CL1227">
        <f>$C1227*CL1226</f>
        <v/>
      </c>
      <c r="CM1227">
        <f>$C1227*CM1226</f>
        <v/>
      </c>
      <c r="CN1227">
        <f>$C1227*CN1226</f>
        <v/>
      </c>
      <c r="CO1227">
        <f>$C1227*CO1226</f>
        <v/>
      </c>
      <c r="CP1227">
        <f>$C1227*CP1226</f>
        <v/>
      </c>
      <c r="CQ1227">
        <f>$C1227*CQ1226</f>
        <v/>
      </c>
      <c r="CR1227">
        <f>$C1227*CR1226</f>
        <v/>
      </c>
      <c r="CS1227">
        <f>$C1227*CS1226</f>
        <v/>
      </c>
      <c r="CT1227">
        <f>$C1227*CT1226</f>
        <v/>
      </c>
      <c r="CU1227">
        <f>$C1227*CU1226</f>
        <v/>
      </c>
      <c r="CV1227">
        <f>$C1227*CV1226</f>
        <v/>
      </c>
      <c r="CW1227">
        <f>$C1227*CW1226</f>
        <v/>
      </c>
      <c r="CX1227">
        <f>$C1227*CX1226</f>
        <v/>
      </c>
      <c r="CY1227">
        <f>$C1227*CY1226</f>
        <v/>
      </c>
      <c r="CZ1227">
        <f>$C1227*CZ1226</f>
        <v/>
      </c>
      <c r="DA1227">
        <f>$C1227*DA1226</f>
        <v/>
      </c>
      <c r="DB1227">
        <f>$C1227*DB1226</f>
        <v/>
      </c>
      <c r="DC1227">
        <f>$C1227*DC1226</f>
        <v/>
      </c>
    </row>
    <row r="1228">
      <c r="B1228" s="5" t="inlineStr">
        <is>
          <t>合計使用量(kg)/週</t>
        </is>
      </c>
      <c r="D1228">
        <f>'Grid_Requirement'!B59</f>
        <v/>
      </c>
      <c r="E1228">
        <f>'Grid_Requirement'!C59</f>
        <v/>
      </c>
      <c r="F1228">
        <f>'Grid_Requirement'!D59</f>
        <v/>
      </c>
      <c r="G1228">
        <f>'Grid_Requirement'!E59</f>
        <v/>
      </c>
      <c r="H1228">
        <f>'Grid_Requirement'!F59</f>
        <v/>
      </c>
      <c r="I1228">
        <f>'Grid_Requirement'!G59</f>
        <v/>
      </c>
      <c r="J1228">
        <f>'Grid_Requirement'!H59</f>
        <v/>
      </c>
      <c r="K1228">
        <f>'Grid_Requirement'!I59</f>
        <v/>
      </c>
      <c r="L1228">
        <f>'Grid_Requirement'!J59</f>
        <v/>
      </c>
      <c r="M1228">
        <f>'Grid_Requirement'!K59</f>
        <v/>
      </c>
      <c r="N1228">
        <f>'Grid_Requirement'!L59</f>
        <v/>
      </c>
      <c r="O1228">
        <f>'Grid_Requirement'!M59</f>
        <v/>
      </c>
      <c r="P1228">
        <f>'Grid_Requirement'!N59</f>
        <v/>
      </c>
      <c r="Q1228">
        <f>'Grid_Requirement'!O59</f>
        <v/>
      </c>
      <c r="R1228">
        <f>'Grid_Requirement'!P59</f>
        <v/>
      </c>
      <c r="S1228">
        <f>'Grid_Requirement'!Q59</f>
        <v/>
      </c>
      <c r="T1228">
        <f>'Grid_Requirement'!R59</f>
        <v/>
      </c>
      <c r="U1228">
        <f>'Grid_Requirement'!S59</f>
        <v/>
      </c>
      <c r="V1228">
        <f>'Grid_Requirement'!T59</f>
        <v/>
      </c>
      <c r="W1228">
        <f>'Grid_Requirement'!U59</f>
        <v/>
      </c>
      <c r="X1228">
        <f>'Grid_Requirement'!V59</f>
        <v/>
      </c>
      <c r="Y1228">
        <f>'Grid_Requirement'!W59</f>
        <v/>
      </c>
      <c r="Z1228">
        <f>'Grid_Requirement'!X59</f>
        <v/>
      </c>
      <c r="AA1228">
        <f>'Grid_Requirement'!Y59</f>
        <v/>
      </c>
      <c r="AB1228">
        <f>'Grid_Requirement'!Z59</f>
        <v/>
      </c>
      <c r="AC1228">
        <f>'Grid_Requirement'!AA59</f>
        <v/>
      </c>
      <c r="AD1228">
        <f>'Grid_Requirement'!AB59</f>
        <v/>
      </c>
      <c r="AE1228">
        <f>'Grid_Requirement'!AC59</f>
        <v/>
      </c>
      <c r="AF1228">
        <f>'Grid_Requirement'!AD59</f>
        <v/>
      </c>
      <c r="AG1228">
        <f>'Grid_Requirement'!AE59</f>
        <v/>
      </c>
      <c r="AH1228">
        <f>'Grid_Requirement'!AF59</f>
        <v/>
      </c>
      <c r="AI1228">
        <f>'Grid_Requirement'!AG59</f>
        <v/>
      </c>
      <c r="AJ1228">
        <f>'Grid_Requirement'!AH59</f>
        <v/>
      </c>
      <c r="AK1228">
        <f>'Grid_Requirement'!AI59</f>
        <v/>
      </c>
      <c r="AL1228">
        <f>'Grid_Requirement'!AJ59</f>
        <v/>
      </c>
      <c r="AM1228">
        <f>'Grid_Requirement'!AK59</f>
        <v/>
      </c>
      <c r="AN1228">
        <f>'Grid_Requirement'!AL59</f>
        <v/>
      </c>
      <c r="AO1228">
        <f>'Grid_Requirement'!AM59</f>
        <v/>
      </c>
      <c r="AP1228">
        <f>'Grid_Requirement'!AN59</f>
        <v/>
      </c>
      <c r="AQ1228">
        <f>'Grid_Requirement'!AO59</f>
        <v/>
      </c>
      <c r="AR1228">
        <f>'Grid_Requirement'!AP59</f>
        <v/>
      </c>
      <c r="AS1228">
        <f>'Grid_Requirement'!AQ59</f>
        <v/>
      </c>
      <c r="AT1228">
        <f>'Grid_Requirement'!AR59</f>
        <v/>
      </c>
      <c r="AU1228">
        <f>'Grid_Requirement'!AS59</f>
        <v/>
      </c>
      <c r="AV1228">
        <f>'Grid_Requirement'!AT59</f>
        <v/>
      </c>
      <c r="AW1228">
        <f>'Grid_Requirement'!AU59</f>
        <v/>
      </c>
      <c r="AX1228">
        <f>'Grid_Requirement'!AV59</f>
        <v/>
      </c>
      <c r="AY1228">
        <f>'Grid_Requirement'!AW59</f>
        <v/>
      </c>
      <c r="AZ1228">
        <f>'Grid_Requirement'!AX59</f>
        <v/>
      </c>
      <c r="BA1228">
        <f>'Grid_Requirement'!AY59</f>
        <v/>
      </c>
      <c r="BB1228">
        <f>'Grid_Requirement'!AZ59</f>
        <v/>
      </c>
      <c r="BC1228">
        <f>'Grid_Requirement'!BA59</f>
        <v/>
      </c>
      <c r="BD1228">
        <f>'Grid_Requirement'!BB59</f>
        <v/>
      </c>
      <c r="BE1228">
        <f>'Grid_Requirement'!BC59</f>
        <v/>
      </c>
      <c r="BF1228">
        <f>'Grid_Requirement'!BD59</f>
        <v/>
      </c>
      <c r="BG1228">
        <f>'Grid_Requirement'!BE59</f>
        <v/>
      </c>
      <c r="BH1228">
        <f>'Grid_Requirement'!BF59</f>
        <v/>
      </c>
      <c r="BI1228">
        <f>'Grid_Requirement'!BG59</f>
        <v/>
      </c>
      <c r="BJ1228">
        <f>'Grid_Requirement'!BH59</f>
        <v/>
      </c>
      <c r="BK1228">
        <f>'Grid_Requirement'!BI59</f>
        <v/>
      </c>
      <c r="BL1228">
        <f>'Grid_Requirement'!BJ59</f>
        <v/>
      </c>
      <c r="BM1228">
        <f>'Grid_Requirement'!BK59</f>
        <v/>
      </c>
      <c r="BN1228">
        <f>'Grid_Requirement'!BL59</f>
        <v/>
      </c>
      <c r="BO1228">
        <f>'Grid_Requirement'!BM59</f>
        <v/>
      </c>
      <c r="BP1228">
        <f>'Grid_Requirement'!BN59</f>
        <v/>
      </c>
      <c r="BQ1228">
        <f>'Grid_Requirement'!BO59</f>
        <v/>
      </c>
      <c r="BR1228">
        <f>'Grid_Requirement'!BP59</f>
        <v/>
      </c>
      <c r="BS1228">
        <f>'Grid_Requirement'!BQ59</f>
        <v/>
      </c>
      <c r="BT1228">
        <f>'Grid_Requirement'!BR59</f>
        <v/>
      </c>
      <c r="BU1228">
        <f>'Grid_Requirement'!BS59</f>
        <v/>
      </c>
      <c r="BV1228">
        <f>'Grid_Requirement'!BT59</f>
        <v/>
      </c>
      <c r="BW1228">
        <f>'Grid_Requirement'!BU59</f>
        <v/>
      </c>
      <c r="BX1228">
        <f>'Grid_Requirement'!BV59</f>
        <v/>
      </c>
      <c r="BY1228">
        <f>'Grid_Requirement'!BW59</f>
        <v/>
      </c>
      <c r="BZ1228">
        <f>'Grid_Requirement'!BX59</f>
        <v/>
      </c>
      <c r="CA1228">
        <f>'Grid_Requirement'!BY59</f>
        <v/>
      </c>
      <c r="CB1228">
        <f>'Grid_Requirement'!BZ59</f>
        <v/>
      </c>
      <c r="CC1228">
        <f>'Grid_Requirement'!CA59</f>
        <v/>
      </c>
      <c r="CD1228">
        <f>'Grid_Requirement'!CB59</f>
        <v/>
      </c>
      <c r="CE1228">
        <f>'Grid_Requirement'!CC59</f>
        <v/>
      </c>
      <c r="CF1228">
        <f>'Grid_Requirement'!CD59</f>
        <v/>
      </c>
      <c r="CG1228">
        <f>'Grid_Requirement'!CE59</f>
        <v/>
      </c>
      <c r="CH1228">
        <f>'Grid_Requirement'!CF59</f>
        <v/>
      </c>
      <c r="CI1228">
        <f>'Grid_Requirement'!CG59</f>
        <v/>
      </c>
      <c r="CJ1228">
        <f>'Grid_Requirement'!CH59</f>
        <v/>
      </c>
      <c r="CK1228">
        <f>'Grid_Requirement'!CI59</f>
        <v/>
      </c>
      <c r="CL1228">
        <f>'Grid_Requirement'!CJ59</f>
        <v/>
      </c>
      <c r="CM1228">
        <f>'Grid_Requirement'!CK59</f>
        <v/>
      </c>
      <c r="CN1228">
        <f>'Grid_Requirement'!CL59</f>
        <v/>
      </c>
      <c r="CO1228">
        <f>'Grid_Requirement'!CM59</f>
        <v/>
      </c>
      <c r="CP1228">
        <f>'Grid_Requirement'!CN59</f>
        <v/>
      </c>
      <c r="CQ1228">
        <f>'Grid_Requirement'!CO59</f>
        <v/>
      </c>
      <c r="CR1228">
        <f>'Grid_Requirement'!CP59</f>
        <v/>
      </c>
      <c r="CS1228">
        <f>'Grid_Requirement'!CQ59</f>
        <v/>
      </c>
      <c r="CT1228">
        <f>'Grid_Requirement'!CR59</f>
        <v/>
      </c>
      <c r="CU1228">
        <f>'Grid_Requirement'!CS59</f>
        <v/>
      </c>
      <c r="CV1228">
        <f>'Grid_Requirement'!CT59</f>
        <v/>
      </c>
      <c r="CW1228">
        <f>'Grid_Requirement'!CU59</f>
        <v/>
      </c>
      <c r="CX1228">
        <f>'Grid_Requirement'!CV59</f>
        <v/>
      </c>
      <c r="CY1228">
        <f>'Grid_Requirement'!CW59</f>
        <v/>
      </c>
      <c r="CZ1228">
        <f>'Grid_Requirement'!CX59</f>
        <v/>
      </c>
      <c r="DA1228">
        <f>'Grid_Requirement'!CY59</f>
        <v/>
      </c>
      <c r="DB1228">
        <f>'Grid_Requirement'!CZ59</f>
        <v/>
      </c>
      <c r="DC1228">
        <f>'Grid_Requirement'!DA59</f>
        <v/>
      </c>
    </row>
    <row r="1229">
      <c r="B1229" t="inlineStr">
        <is>
          <t>TTAF在庫(実績,kg)</t>
        </is>
      </c>
      <c r="D1229">
        <f>'T_TTAFStock'!B63</f>
        <v/>
      </c>
      <c r="E1229">
        <f>'T_TTAFStock'!C63</f>
        <v/>
      </c>
      <c r="F1229">
        <f>'T_TTAFStock'!D63</f>
        <v/>
      </c>
      <c r="G1229">
        <f>'T_TTAFStock'!E63</f>
        <v/>
      </c>
      <c r="H1229">
        <f>'T_TTAFStock'!F63</f>
        <v/>
      </c>
      <c r="I1229">
        <f>'T_TTAFStock'!G63</f>
        <v/>
      </c>
      <c r="J1229">
        <f>'T_TTAFStock'!H63</f>
        <v/>
      </c>
      <c r="K1229">
        <f>'T_TTAFStock'!I63</f>
        <v/>
      </c>
      <c r="L1229">
        <f>'T_TTAFStock'!J63</f>
        <v/>
      </c>
      <c r="M1229">
        <f>'T_TTAFStock'!K63</f>
        <v/>
      </c>
      <c r="N1229">
        <f>'T_TTAFStock'!L63</f>
        <v/>
      </c>
      <c r="O1229">
        <f>'T_TTAFStock'!M63</f>
        <v/>
      </c>
      <c r="P1229">
        <f>'T_TTAFStock'!N63</f>
        <v/>
      </c>
      <c r="Q1229">
        <f>'T_TTAFStock'!O63</f>
        <v/>
      </c>
      <c r="R1229">
        <f>'T_TTAFStock'!P63</f>
        <v/>
      </c>
      <c r="S1229">
        <f>'T_TTAFStock'!Q63</f>
        <v/>
      </c>
      <c r="T1229">
        <f>'T_TTAFStock'!R63</f>
        <v/>
      </c>
      <c r="U1229">
        <f>'T_TTAFStock'!S63</f>
        <v/>
      </c>
      <c r="V1229">
        <f>'T_TTAFStock'!T63</f>
        <v/>
      </c>
      <c r="W1229">
        <f>'T_TTAFStock'!U63</f>
        <v/>
      </c>
      <c r="X1229">
        <f>'T_TTAFStock'!V63</f>
        <v/>
      </c>
      <c r="Y1229">
        <f>'T_TTAFStock'!W63</f>
        <v/>
      </c>
      <c r="Z1229">
        <f>'T_TTAFStock'!X63</f>
        <v/>
      </c>
      <c r="AA1229">
        <f>'T_TTAFStock'!Y63</f>
        <v/>
      </c>
      <c r="AB1229">
        <f>'T_TTAFStock'!Z63</f>
        <v/>
      </c>
      <c r="AC1229">
        <f>'T_TTAFStock'!AA63</f>
        <v/>
      </c>
      <c r="AD1229">
        <f>'T_TTAFStock'!AB63</f>
        <v/>
      </c>
      <c r="AE1229">
        <f>'T_TTAFStock'!AC63</f>
        <v/>
      </c>
      <c r="AF1229">
        <f>'T_TTAFStock'!AD63</f>
        <v/>
      </c>
      <c r="AG1229">
        <f>'T_TTAFStock'!AE63</f>
        <v/>
      </c>
      <c r="AH1229">
        <f>'T_TTAFStock'!AF63</f>
        <v/>
      </c>
      <c r="AI1229">
        <f>'T_TTAFStock'!AG63</f>
        <v/>
      </c>
      <c r="AJ1229">
        <f>'T_TTAFStock'!AH63</f>
        <v/>
      </c>
      <c r="AK1229">
        <f>'T_TTAFStock'!AI63</f>
        <v/>
      </c>
      <c r="AL1229">
        <f>'T_TTAFStock'!AJ63</f>
        <v/>
      </c>
      <c r="AM1229">
        <f>'T_TTAFStock'!AK63</f>
        <v/>
      </c>
      <c r="AN1229">
        <f>'T_TTAFStock'!AL63</f>
        <v/>
      </c>
      <c r="AO1229">
        <f>'T_TTAFStock'!AM63</f>
        <v/>
      </c>
      <c r="AP1229">
        <f>'T_TTAFStock'!AN63</f>
        <v/>
      </c>
      <c r="AQ1229">
        <f>'T_TTAFStock'!AO63</f>
        <v/>
      </c>
      <c r="AR1229">
        <f>'T_TTAFStock'!AP63</f>
        <v/>
      </c>
      <c r="AS1229">
        <f>'T_TTAFStock'!AQ63</f>
        <v/>
      </c>
      <c r="AT1229">
        <f>'T_TTAFStock'!AR63</f>
        <v/>
      </c>
      <c r="AU1229">
        <f>'T_TTAFStock'!AS63</f>
        <v/>
      </c>
      <c r="AV1229">
        <f>'T_TTAFStock'!AT63</f>
        <v/>
      </c>
      <c r="AW1229">
        <f>'T_TTAFStock'!AU63</f>
        <v/>
      </c>
      <c r="AX1229">
        <f>'T_TTAFStock'!AV63</f>
        <v/>
      </c>
      <c r="AY1229">
        <f>'T_TTAFStock'!AW63</f>
        <v/>
      </c>
      <c r="AZ1229">
        <f>'T_TTAFStock'!AX63</f>
        <v/>
      </c>
      <c r="BA1229">
        <f>'T_TTAFStock'!AY63</f>
        <v/>
      </c>
      <c r="BB1229">
        <f>'T_TTAFStock'!AZ63</f>
        <v/>
      </c>
      <c r="BC1229">
        <f>'T_TTAFStock'!BA63</f>
        <v/>
      </c>
      <c r="BD1229">
        <f>'T_TTAFStock'!BB63</f>
        <v/>
      </c>
      <c r="BE1229">
        <f>'T_TTAFStock'!BC63</f>
        <v/>
      </c>
      <c r="BF1229">
        <f>'T_TTAFStock'!BD63</f>
        <v/>
      </c>
      <c r="BG1229">
        <f>'T_TTAFStock'!BE63</f>
        <v/>
      </c>
      <c r="BH1229">
        <f>'T_TTAFStock'!BF63</f>
        <v/>
      </c>
      <c r="BI1229">
        <f>'T_TTAFStock'!BG63</f>
        <v/>
      </c>
      <c r="BJ1229">
        <f>'T_TTAFStock'!BH63</f>
        <v/>
      </c>
      <c r="BK1229">
        <f>'T_TTAFStock'!BI63</f>
        <v/>
      </c>
      <c r="BL1229">
        <f>'T_TTAFStock'!BJ63</f>
        <v/>
      </c>
      <c r="BM1229">
        <f>'T_TTAFStock'!BK63</f>
        <v/>
      </c>
      <c r="BN1229">
        <f>'T_TTAFStock'!BL63</f>
        <v/>
      </c>
      <c r="BO1229">
        <f>'T_TTAFStock'!BM63</f>
        <v/>
      </c>
      <c r="BP1229">
        <f>'T_TTAFStock'!BN63</f>
        <v/>
      </c>
      <c r="BQ1229">
        <f>'T_TTAFStock'!BO63</f>
        <v/>
      </c>
      <c r="BR1229">
        <f>'T_TTAFStock'!BP63</f>
        <v/>
      </c>
      <c r="BS1229">
        <f>'T_TTAFStock'!BQ63</f>
        <v/>
      </c>
      <c r="BT1229">
        <f>'T_TTAFStock'!BR63</f>
        <v/>
      </c>
      <c r="BU1229">
        <f>'T_TTAFStock'!BS63</f>
        <v/>
      </c>
      <c r="BV1229">
        <f>'T_TTAFStock'!BT63</f>
        <v/>
      </c>
      <c r="BW1229">
        <f>'T_TTAFStock'!BU63</f>
        <v/>
      </c>
      <c r="BX1229">
        <f>'T_TTAFStock'!BV63</f>
        <v/>
      </c>
      <c r="BY1229">
        <f>'T_TTAFStock'!BW63</f>
        <v/>
      </c>
      <c r="BZ1229">
        <f>'T_TTAFStock'!BX63</f>
        <v/>
      </c>
      <c r="CA1229">
        <f>'T_TTAFStock'!BY63</f>
        <v/>
      </c>
      <c r="CB1229">
        <f>'T_TTAFStock'!BZ63</f>
        <v/>
      </c>
      <c r="CC1229">
        <f>'T_TTAFStock'!CA63</f>
        <v/>
      </c>
      <c r="CD1229">
        <f>'T_TTAFStock'!CB63</f>
        <v/>
      </c>
      <c r="CE1229">
        <f>'T_TTAFStock'!CC63</f>
        <v/>
      </c>
      <c r="CF1229">
        <f>'T_TTAFStock'!CD63</f>
        <v/>
      </c>
      <c r="CG1229">
        <f>'T_TTAFStock'!CE63</f>
        <v/>
      </c>
      <c r="CH1229">
        <f>'T_TTAFStock'!CF63</f>
        <v/>
      </c>
      <c r="CI1229">
        <f>'T_TTAFStock'!CG63</f>
        <v/>
      </c>
      <c r="CJ1229">
        <f>'T_TTAFStock'!CH63</f>
        <v/>
      </c>
      <c r="CK1229">
        <f>'T_TTAFStock'!CI63</f>
        <v/>
      </c>
      <c r="CL1229">
        <f>'T_TTAFStock'!CJ63</f>
        <v/>
      </c>
      <c r="CM1229">
        <f>'T_TTAFStock'!CK63</f>
        <v/>
      </c>
      <c r="CN1229">
        <f>'T_TTAFStock'!CL63</f>
        <v/>
      </c>
      <c r="CO1229">
        <f>'T_TTAFStock'!CM63</f>
        <v/>
      </c>
      <c r="CP1229">
        <f>'T_TTAFStock'!CN63</f>
        <v/>
      </c>
      <c r="CQ1229">
        <f>'T_TTAFStock'!CO63</f>
        <v/>
      </c>
      <c r="CR1229">
        <f>'T_TTAFStock'!CP63</f>
        <v/>
      </c>
      <c r="CS1229">
        <f>'T_TTAFStock'!CQ63</f>
        <v/>
      </c>
      <c r="CT1229">
        <f>'T_TTAFStock'!CR63</f>
        <v/>
      </c>
      <c r="CU1229">
        <f>'T_TTAFStock'!CS63</f>
        <v/>
      </c>
      <c r="CV1229">
        <f>'T_TTAFStock'!CT63</f>
        <v/>
      </c>
      <c r="CW1229">
        <f>'T_TTAFStock'!CU63</f>
        <v/>
      </c>
      <c r="CX1229">
        <f>'T_TTAFStock'!CV63</f>
        <v/>
      </c>
      <c r="CY1229">
        <f>'T_TTAFStock'!CW63</f>
        <v/>
      </c>
      <c r="CZ1229">
        <f>'T_TTAFStock'!CX63</f>
        <v/>
      </c>
      <c r="DA1229">
        <f>'T_TTAFStock'!CY63</f>
        <v/>
      </c>
      <c r="DB1229">
        <f>'T_TTAFStock'!CZ63</f>
        <v/>
      </c>
      <c r="DC1229">
        <f>'T_TTAFStock'!DA63</f>
        <v/>
      </c>
    </row>
    <row r="1230">
      <c r="B1230" t="inlineStr">
        <is>
          <t>自社在庫(実績,kg)</t>
        </is>
      </c>
      <c r="D1230">
        <f>'T_SelfStock'!B63</f>
        <v/>
      </c>
      <c r="E1230">
        <f>'T_SelfStock'!C63</f>
        <v/>
      </c>
      <c r="F1230">
        <f>'T_SelfStock'!D63</f>
        <v/>
      </c>
      <c r="G1230">
        <f>'T_SelfStock'!E63</f>
        <v/>
      </c>
      <c r="H1230">
        <f>'T_SelfStock'!F63</f>
        <v/>
      </c>
      <c r="I1230">
        <f>'T_SelfStock'!G63</f>
        <v/>
      </c>
      <c r="J1230">
        <f>'T_SelfStock'!H63</f>
        <v/>
      </c>
      <c r="K1230">
        <f>'T_SelfStock'!I63</f>
        <v/>
      </c>
      <c r="L1230">
        <f>'T_SelfStock'!J63</f>
        <v/>
      </c>
      <c r="M1230">
        <f>'T_SelfStock'!K63</f>
        <v/>
      </c>
      <c r="N1230">
        <f>'T_SelfStock'!L63</f>
        <v/>
      </c>
      <c r="O1230">
        <f>'T_SelfStock'!M63</f>
        <v/>
      </c>
      <c r="P1230">
        <f>'T_SelfStock'!N63</f>
        <v/>
      </c>
      <c r="Q1230">
        <f>'T_SelfStock'!O63</f>
        <v/>
      </c>
      <c r="R1230">
        <f>'T_SelfStock'!P63</f>
        <v/>
      </c>
      <c r="S1230">
        <f>'T_SelfStock'!Q63</f>
        <v/>
      </c>
      <c r="T1230">
        <f>'T_SelfStock'!R63</f>
        <v/>
      </c>
      <c r="U1230">
        <f>'T_SelfStock'!S63</f>
        <v/>
      </c>
      <c r="V1230">
        <f>'T_SelfStock'!T63</f>
        <v/>
      </c>
      <c r="W1230">
        <f>'T_SelfStock'!U63</f>
        <v/>
      </c>
      <c r="X1230">
        <f>'T_SelfStock'!V63</f>
        <v/>
      </c>
      <c r="Y1230">
        <f>'T_SelfStock'!W63</f>
        <v/>
      </c>
      <c r="Z1230">
        <f>'T_SelfStock'!X63</f>
        <v/>
      </c>
      <c r="AA1230">
        <f>'T_SelfStock'!Y63</f>
        <v/>
      </c>
      <c r="AB1230">
        <f>'T_SelfStock'!Z63</f>
        <v/>
      </c>
      <c r="AC1230">
        <f>'T_SelfStock'!AA63</f>
        <v/>
      </c>
      <c r="AD1230">
        <f>'T_SelfStock'!AB63</f>
        <v/>
      </c>
      <c r="AE1230">
        <f>'T_SelfStock'!AC63</f>
        <v/>
      </c>
      <c r="AF1230">
        <f>'T_SelfStock'!AD63</f>
        <v/>
      </c>
      <c r="AG1230">
        <f>'T_SelfStock'!AE63</f>
        <v/>
      </c>
      <c r="AH1230">
        <f>'T_SelfStock'!AF63</f>
        <v/>
      </c>
      <c r="AI1230">
        <f>'T_SelfStock'!AG63</f>
        <v/>
      </c>
      <c r="AJ1230">
        <f>'T_SelfStock'!AH63</f>
        <v/>
      </c>
      <c r="AK1230">
        <f>'T_SelfStock'!AI63</f>
        <v/>
      </c>
      <c r="AL1230">
        <f>'T_SelfStock'!AJ63</f>
        <v/>
      </c>
      <c r="AM1230">
        <f>'T_SelfStock'!AK63</f>
        <v/>
      </c>
      <c r="AN1230">
        <f>'T_SelfStock'!AL63</f>
        <v/>
      </c>
      <c r="AO1230">
        <f>'T_SelfStock'!AM63</f>
        <v/>
      </c>
      <c r="AP1230">
        <f>'T_SelfStock'!AN63</f>
        <v/>
      </c>
      <c r="AQ1230">
        <f>'T_SelfStock'!AO63</f>
        <v/>
      </c>
      <c r="AR1230">
        <f>'T_SelfStock'!AP63</f>
        <v/>
      </c>
      <c r="AS1230">
        <f>'T_SelfStock'!AQ63</f>
        <v/>
      </c>
      <c r="AT1230">
        <f>'T_SelfStock'!AR63</f>
        <v/>
      </c>
      <c r="AU1230">
        <f>'T_SelfStock'!AS63</f>
        <v/>
      </c>
      <c r="AV1230">
        <f>'T_SelfStock'!AT63</f>
        <v/>
      </c>
      <c r="AW1230">
        <f>'T_SelfStock'!AU63</f>
        <v/>
      </c>
      <c r="AX1230">
        <f>'T_SelfStock'!AV63</f>
        <v/>
      </c>
      <c r="AY1230">
        <f>'T_SelfStock'!AW63</f>
        <v/>
      </c>
      <c r="AZ1230">
        <f>'T_SelfStock'!AX63</f>
        <v/>
      </c>
      <c r="BA1230">
        <f>'T_SelfStock'!AY63</f>
        <v/>
      </c>
      <c r="BB1230">
        <f>'T_SelfStock'!AZ63</f>
        <v/>
      </c>
      <c r="BC1230">
        <f>'T_SelfStock'!BA63</f>
        <v/>
      </c>
      <c r="BD1230">
        <f>'T_SelfStock'!BB63</f>
        <v/>
      </c>
      <c r="BE1230">
        <f>'T_SelfStock'!BC63</f>
        <v/>
      </c>
      <c r="BF1230">
        <f>'T_SelfStock'!BD63</f>
        <v/>
      </c>
      <c r="BG1230">
        <f>'T_SelfStock'!BE63</f>
        <v/>
      </c>
      <c r="BH1230">
        <f>'T_SelfStock'!BF63</f>
        <v/>
      </c>
      <c r="BI1230">
        <f>'T_SelfStock'!BG63</f>
        <v/>
      </c>
      <c r="BJ1230">
        <f>'T_SelfStock'!BH63</f>
        <v/>
      </c>
      <c r="BK1230">
        <f>'T_SelfStock'!BI63</f>
        <v/>
      </c>
      <c r="BL1230">
        <f>'T_SelfStock'!BJ63</f>
        <v/>
      </c>
      <c r="BM1230">
        <f>'T_SelfStock'!BK63</f>
        <v/>
      </c>
      <c r="BN1230">
        <f>'T_SelfStock'!BL63</f>
        <v/>
      </c>
      <c r="BO1230">
        <f>'T_SelfStock'!BM63</f>
        <v/>
      </c>
      <c r="BP1230">
        <f>'T_SelfStock'!BN63</f>
        <v/>
      </c>
      <c r="BQ1230">
        <f>'T_SelfStock'!BO63</f>
        <v/>
      </c>
      <c r="BR1230">
        <f>'T_SelfStock'!BP63</f>
        <v/>
      </c>
      <c r="BS1230">
        <f>'T_SelfStock'!BQ63</f>
        <v/>
      </c>
      <c r="BT1230">
        <f>'T_SelfStock'!BR63</f>
        <v/>
      </c>
      <c r="BU1230">
        <f>'T_SelfStock'!BS63</f>
        <v/>
      </c>
      <c r="BV1230">
        <f>'T_SelfStock'!BT63</f>
        <v/>
      </c>
      <c r="BW1230">
        <f>'T_SelfStock'!BU63</f>
        <v/>
      </c>
      <c r="BX1230">
        <f>'T_SelfStock'!BV63</f>
        <v/>
      </c>
      <c r="BY1230">
        <f>'T_SelfStock'!BW63</f>
        <v/>
      </c>
      <c r="BZ1230">
        <f>'T_SelfStock'!BX63</f>
        <v/>
      </c>
      <c r="CA1230">
        <f>'T_SelfStock'!BY63</f>
        <v/>
      </c>
      <c r="CB1230">
        <f>'T_SelfStock'!BZ63</f>
        <v/>
      </c>
      <c r="CC1230">
        <f>'T_SelfStock'!CA63</f>
        <v/>
      </c>
      <c r="CD1230">
        <f>'T_SelfStock'!CB63</f>
        <v/>
      </c>
      <c r="CE1230">
        <f>'T_SelfStock'!CC63</f>
        <v/>
      </c>
      <c r="CF1230">
        <f>'T_SelfStock'!CD63</f>
        <v/>
      </c>
      <c r="CG1230">
        <f>'T_SelfStock'!CE63</f>
        <v/>
      </c>
      <c r="CH1230">
        <f>'T_SelfStock'!CF63</f>
        <v/>
      </c>
      <c r="CI1230">
        <f>'T_SelfStock'!CG63</f>
        <v/>
      </c>
      <c r="CJ1230">
        <f>'T_SelfStock'!CH63</f>
        <v/>
      </c>
      <c r="CK1230">
        <f>'T_SelfStock'!CI63</f>
        <v/>
      </c>
      <c r="CL1230">
        <f>'T_SelfStock'!CJ63</f>
        <v/>
      </c>
      <c r="CM1230">
        <f>'T_SelfStock'!CK63</f>
        <v/>
      </c>
      <c r="CN1230">
        <f>'T_SelfStock'!CL63</f>
        <v/>
      </c>
      <c r="CO1230">
        <f>'T_SelfStock'!CM63</f>
        <v/>
      </c>
      <c r="CP1230">
        <f>'T_SelfStock'!CN63</f>
        <v/>
      </c>
      <c r="CQ1230">
        <f>'T_SelfStock'!CO63</f>
        <v/>
      </c>
      <c r="CR1230">
        <f>'T_SelfStock'!CP63</f>
        <v/>
      </c>
      <c r="CS1230">
        <f>'T_SelfStock'!CQ63</f>
        <v/>
      </c>
      <c r="CT1230">
        <f>'T_SelfStock'!CR63</f>
        <v/>
      </c>
      <c r="CU1230">
        <f>'T_SelfStock'!CS63</f>
        <v/>
      </c>
      <c r="CV1230">
        <f>'T_SelfStock'!CT63</f>
        <v/>
      </c>
      <c r="CW1230">
        <f>'T_SelfStock'!CU63</f>
        <v/>
      </c>
      <c r="CX1230">
        <f>'T_SelfStock'!CV63</f>
        <v/>
      </c>
      <c r="CY1230">
        <f>'T_SelfStock'!CW63</f>
        <v/>
      </c>
      <c r="CZ1230">
        <f>'T_SelfStock'!CX63</f>
        <v/>
      </c>
      <c r="DA1230">
        <f>'T_SelfStock'!CY63</f>
        <v/>
      </c>
      <c r="DB1230">
        <f>'T_SelfStock'!CZ63</f>
        <v/>
      </c>
      <c r="DC1230">
        <f>'T_SelfStock'!DA63</f>
        <v/>
      </c>
    </row>
    <row r="1231">
      <c r="B1231" t="inlineStr">
        <is>
          <t>Order(発注予定,kg)</t>
        </is>
      </c>
      <c r="D1231" s="23" t="n"/>
      <c r="E1231" s="23" t="n"/>
      <c r="F1231" s="23" t="n"/>
      <c r="G1231" s="23" t="n"/>
      <c r="H1231" s="23" t="n"/>
      <c r="I1231" s="23" t="n"/>
      <c r="J1231" s="23" t="n"/>
      <c r="K1231" s="23" t="n"/>
      <c r="L1231" s="23" t="n"/>
      <c r="M1231" s="23" t="n"/>
      <c r="N1231" s="23" t="n"/>
      <c r="O1231" s="23" t="n"/>
      <c r="P1231" s="23" t="n"/>
      <c r="Q1231" s="23" t="n"/>
      <c r="R1231" s="23" t="n"/>
      <c r="S1231" s="23" t="n"/>
      <c r="T1231" s="23" t="n"/>
      <c r="U1231" s="23" t="n"/>
      <c r="V1231" s="23" t="n"/>
      <c r="W1231" s="23" t="n"/>
      <c r="X1231" s="23" t="n"/>
      <c r="Y1231" s="23" t="n"/>
      <c r="Z1231" s="23" t="n"/>
      <c r="AA1231" s="23" t="n"/>
      <c r="AB1231" s="23" t="n"/>
      <c r="AC1231" s="23" t="n"/>
      <c r="AD1231" s="23" t="n"/>
      <c r="AE1231" s="23" t="n"/>
      <c r="AF1231" s="23" t="n"/>
      <c r="AG1231" s="23" t="n"/>
      <c r="AH1231" s="23" t="n"/>
      <c r="AI1231" s="23" t="n"/>
      <c r="AJ1231" s="23" t="n"/>
      <c r="AK1231" s="23" t="n"/>
      <c r="AL1231" s="23" t="n"/>
      <c r="AM1231" s="23" t="n"/>
      <c r="AN1231" s="23" t="n"/>
      <c r="AO1231" s="23" t="n"/>
      <c r="AP1231" s="23" t="n"/>
      <c r="AQ1231" s="23" t="n"/>
      <c r="AR1231" s="23" t="n"/>
      <c r="AS1231" s="23" t="n"/>
      <c r="AT1231" s="23" t="n"/>
      <c r="AU1231" s="23" t="n"/>
      <c r="AV1231" s="23" t="n"/>
      <c r="AW1231" s="23" t="n"/>
      <c r="AX1231" s="23" t="n"/>
      <c r="AY1231" s="23" t="n"/>
      <c r="AZ1231" s="23" t="n"/>
      <c r="BA1231" s="23" t="n"/>
      <c r="BB1231" s="23" t="n"/>
      <c r="BC1231" s="23" t="n"/>
      <c r="BD1231" s="23" t="n"/>
      <c r="BE1231" s="23" t="n"/>
      <c r="BF1231" s="23" t="n"/>
      <c r="BG1231" s="23" t="n"/>
      <c r="BH1231" s="23" t="n"/>
      <c r="BI1231" s="23" t="n"/>
      <c r="BJ1231" s="23" t="n"/>
      <c r="BK1231" s="23" t="n"/>
      <c r="BL1231" s="23" t="n"/>
      <c r="BM1231" s="23" t="n"/>
      <c r="BN1231" s="23" t="n"/>
      <c r="BO1231" s="23" t="n"/>
      <c r="BP1231" s="23" t="n"/>
      <c r="BQ1231" s="23" t="n"/>
      <c r="BR1231" s="23" t="n"/>
      <c r="BS1231" s="23" t="n"/>
      <c r="BT1231" s="23" t="n"/>
      <c r="BU1231" s="23" t="n"/>
      <c r="BV1231" s="23" t="n"/>
      <c r="BW1231" s="23" t="n"/>
      <c r="BX1231" s="23" t="n"/>
      <c r="BY1231" s="23" t="n"/>
      <c r="BZ1231" s="23" t="n"/>
      <c r="CA1231" s="23" t="n"/>
      <c r="CB1231" s="23" t="n"/>
      <c r="CC1231" s="23" t="n"/>
      <c r="CD1231" s="23" t="n"/>
      <c r="CE1231" s="23" t="n"/>
      <c r="CF1231" s="23" t="n"/>
      <c r="CG1231" s="23" t="n"/>
      <c r="CH1231" s="23" t="n"/>
      <c r="CI1231" s="23" t="n"/>
      <c r="CJ1231" s="23" t="n"/>
      <c r="CK1231" s="23" t="n"/>
      <c r="CL1231" s="23" t="n"/>
      <c r="CM1231" s="23" t="n"/>
      <c r="CN1231" s="23" t="n"/>
      <c r="CO1231" s="23" t="n"/>
      <c r="CP1231" s="23" t="n"/>
      <c r="CQ1231" s="23" t="n"/>
      <c r="CR1231" s="23" t="n"/>
      <c r="CS1231" s="23" t="n"/>
      <c r="CT1231" s="23" t="n"/>
      <c r="CU1231" s="23" t="n"/>
      <c r="CV1231" s="23" t="n"/>
      <c r="CW1231" s="23" t="n"/>
      <c r="CX1231" s="23" t="n"/>
      <c r="CY1231" s="23" t="n"/>
      <c r="CZ1231" s="23" t="n"/>
      <c r="DA1231" s="23" t="n"/>
      <c r="DB1231" s="23" t="n"/>
      <c r="DC1231" s="23" t="n"/>
      <c r="DE1231" s="12" t="inlineStr">
        <is>
          <t>CHEM-1560</t>
        </is>
      </c>
    </row>
    <row r="1232">
      <c r="B1232" s="24" t="inlineStr">
        <is>
          <t>PO_No</t>
        </is>
      </c>
      <c r="D1232" s="25" t="n"/>
      <c r="E1232" s="25" t="n"/>
      <c r="F1232" s="25" t="n"/>
      <c r="G1232" s="25" t="n"/>
      <c r="H1232" s="25" t="n"/>
      <c r="I1232" s="25" t="n"/>
      <c r="J1232" s="25" t="n"/>
      <c r="K1232" s="25" t="n"/>
      <c r="L1232" s="25" t="n"/>
      <c r="M1232" s="25" t="n"/>
      <c r="N1232" s="25" t="n"/>
      <c r="O1232" s="25" t="n"/>
      <c r="P1232" s="25" t="n"/>
      <c r="Q1232" s="25" t="n"/>
      <c r="R1232" s="25" t="n"/>
      <c r="S1232" s="25" t="n"/>
      <c r="T1232" s="25" t="n"/>
      <c r="U1232" s="25" t="n"/>
      <c r="V1232" s="25" t="n"/>
      <c r="W1232" s="25" t="n"/>
      <c r="X1232" s="25" t="n"/>
      <c r="Y1232" s="25" t="n"/>
      <c r="Z1232" s="25" t="n"/>
      <c r="AA1232" s="25" t="n"/>
      <c r="AB1232" s="25" t="n"/>
      <c r="AC1232" s="25" t="n"/>
      <c r="AD1232" s="25" t="n"/>
      <c r="AE1232" s="25" t="n"/>
      <c r="AF1232" s="25" t="n"/>
      <c r="AG1232" s="25" t="n"/>
      <c r="AH1232" s="25" t="n"/>
      <c r="AI1232" s="25" t="n"/>
      <c r="AJ1232" s="25" t="n"/>
      <c r="AK1232" s="25" t="n"/>
      <c r="AL1232" s="25" t="n"/>
      <c r="AM1232" s="25" t="n"/>
      <c r="AN1232" s="25" t="n"/>
      <c r="AO1232" s="25" t="n"/>
      <c r="AP1232" s="25" t="n"/>
      <c r="AQ1232" s="25" t="n"/>
      <c r="AR1232" s="25" t="n"/>
      <c r="AS1232" s="25" t="n"/>
      <c r="AT1232" s="25" t="n"/>
      <c r="AU1232" s="25" t="n"/>
      <c r="AV1232" s="25" t="n"/>
      <c r="AW1232" s="25" t="n"/>
      <c r="AX1232" s="25" t="n"/>
      <c r="AY1232" s="25" t="n"/>
      <c r="AZ1232" s="25" t="n"/>
      <c r="BA1232" s="25" t="n"/>
      <c r="BB1232" s="25" t="n"/>
      <c r="BC1232" s="25" t="n"/>
      <c r="BD1232" s="25" t="n"/>
      <c r="BE1232" s="25" t="n"/>
      <c r="BF1232" s="25" t="n"/>
      <c r="BG1232" s="25" t="n"/>
      <c r="BH1232" s="25" t="n"/>
      <c r="BI1232" s="25" t="n"/>
      <c r="BJ1232" s="25" t="n"/>
      <c r="BK1232" s="25" t="n"/>
      <c r="BL1232" s="25" t="n"/>
      <c r="BM1232" s="25" t="n"/>
      <c r="BN1232" s="25" t="n"/>
      <c r="BO1232" s="25" t="n"/>
      <c r="BP1232" s="25" t="n"/>
      <c r="BQ1232" s="25" t="n"/>
      <c r="BR1232" s="25" t="n"/>
      <c r="BS1232" s="25" t="n"/>
      <c r="BT1232" s="25" t="n"/>
      <c r="BU1232" s="25" t="n"/>
      <c r="BV1232" s="25" t="n"/>
      <c r="BW1232" s="25" t="n"/>
      <c r="BX1232" s="25" t="n"/>
      <c r="BY1232" s="25" t="n"/>
      <c r="BZ1232" s="25" t="n"/>
      <c r="CA1232" s="25" t="n"/>
      <c r="CB1232" s="25" t="n"/>
      <c r="CC1232" s="25" t="n"/>
      <c r="CD1232" s="25" t="n"/>
      <c r="CE1232" s="25" t="n"/>
      <c r="CF1232" s="25" t="n"/>
      <c r="CG1232" s="25" t="n"/>
      <c r="CH1232" s="25" t="n"/>
      <c r="CI1232" s="25" t="n"/>
      <c r="CJ1232" s="25" t="n"/>
      <c r="CK1232" s="25" t="n"/>
      <c r="CL1232" s="25" t="n"/>
      <c r="CM1232" s="25" t="n"/>
      <c r="CN1232" s="25" t="n"/>
      <c r="CO1232" s="25" t="n"/>
      <c r="CP1232" s="25" t="n"/>
      <c r="CQ1232" s="25" t="n"/>
      <c r="CR1232" s="25" t="n"/>
      <c r="CS1232" s="25" t="n"/>
      <c r="CT1232" s="25" t="n"/>
      <c r="CU1232" s="25" t="n"/>
      <c r="CV1232" s="25" t="n"/>
      <c r="CW1232" s="25" t="n"/>
      <c r="CX1232" s="25" t="n"/>
      <c r="CY1232" s="25" t="n"/>
      <c r="CZ1232" s="25" t="n"/>
      <c r="DA1232" s="25" t="n"/>
      <c r="DB1232" s="25" t="n"/>
      <c r="DC1232" s="25" t="n"/>
    </row>
    <row r="1233">
      <c r="B1233" s="5" t="inlineStr">
        <is>
          <t>合計在庫(週末時点,kg)</t>
        </is>
      </c>
      <c r="D1233">
        <f>'Grid_Stock'!B59</f>
        <v/>
      </c>
      <c r="E1233">
        <f>'Grid_Stock'!C59</f>
        <v/>
      </c>
      <c r="F1233">
        <f>'Grid_Stock'!D59</f>
        <v/>
      </c>
      <c r="G1233">
        <f>'Grid_Stock'!E59</f>
        <v/>
      </c>
      <c r="H1233">
        <f>'Grid_Stock'!F59</f>
        <v/>
      </c>
      <c r="I1233">
        <f>'Grid_Stock'!G59</f>
        <v/>
      </c>
      <c r="J1233">
        <f>'Grid_Stock'!H59</f>
        <v/>
      </c>
      <c r="K1233">
        <f>'Grid_Stock'!I59</f>
        <v/>
      </c>
      <c r="L1233">
        <f>'Grid_Stock'!J59</f>
        <v/>
      </c>
      <c r="M1233">
        <f>'Grid_Stock'!K59</f>
        <v/>
      </c>
      <c r="N1233">
        <f>'Grid_Stock'!L59</f>
        <v/>
      </c>
      <c r="O1233">
        <f>'Grid_Stock'!M59</f>
        <v/>
      </c>
      <c r="P1233">
        <f>'Grid_Stock'!N59</f>
        <v/>
      </c>
      <c r="Q1233">
        <f>'Grid_Stock'!O59</f>
        <v/>
      </c>
      <c r="R1233">
        <f>'Grid_Stock'!P59</f>
        <v/>
      </c>
      <c r="S1233">
        <f>'Grid_Stock'!Q59</f>
        <v/>
      </c>
      <c r="T1233">
        <f>'Grid_Stock'!R59</f>
        <v/>
      </c>
      <c r="U1233">
        <f>'Grid_Stock'!S59</f>
        <v/>
      </c>
      <c r="V1233">
        <f>'Grid_Stock'!T59</f>
        <v/>
      </c>
      <c r="W1233">
        <f>'Grid_Stock'!U59</f>
        <v/>
      </c>
      <c r="X1233">
        <f>'Grid_Stock'!V59</f>
        <v/>
      </c>
      <c r="Y1233">
        <f>'Grid_Stock'!W59</f>
        <v/>
      </c>
      <c r="Z1233">
        <f>'Grid_Stock'!X59</f>
        <v/>
      </c>
      <c r="AA1233">
        <f>'Grid_Stock'!Y59</f>
        <v/>
      </c>
      <c r="AB1233">
        <f>'Grid_Stock'!Z59</f>
        <v/>
      </c>
      <c r="AC1233">
        <f>'Grid_Stock'!AA59</f>
        <v/>
      </c>
      <c r="AD1233">
        <f>'Grid_Stock'!AB59</f>
        <v/>
      </c>
      <c r="AE1233">
        <f>'Grid_Stock'!AC59</f>
        <v/>
      </c>
      <c r="AF1233">
        <f>'Grid_Stock'!AD59</f>
        <v/>
      </c>
      <c r="AG1233">
        <f>'Grid_Stock'!AE59</f>
        <v/>
      </c>
      <c r="AH1233">
        <f>'Grid_Stock'!AF59</f>
        <v/>
      </c>
      <c r="AI1233">
        <f>'Grid_Stock'!AG59</f>
        <v/>
      </c>
      <c r="AJ1233">
        <f>'Grid_Stock'!AH59</f>
        <v/>
      </c>
      <c r="AK1233">
        <f>'Grid_Stock'!AI59</f>
        <v/>
      </c>
      <c r="AL1233">
        <f>'Grid_Stock'!AJ59</f>
        <v/>
      </c>
      <c r="AM1233">
        <f>'Grid_Stock'!AK59</f>
        <v/>
      </c>
      <c r="AN1233">
        <f>'Grid_Stock'!AL59</f>
        <v/>
      </c>
      <c r="AO1233">
        <f>'Grid_Stock'!AM59</f>
        <v/>
      </c>
      <c r="AP1233">
        <f>'Grid_Stock'!AN59</f>
        <v/>
      </c>
      <c r="AQ1233">
        <f>'Grid_Stock'!AO59</f>
        <v/>
      </c>
      <c r="AR1233">
        <f>'Grid_Stock'!AP59</f>
        <v/>
      </c>
      <c r="AS1233">
        <f>'Grid_Stock'!AQ59</f>
        <v/>
      </c>
      <c r="AT1233">
        <f>'Grid_Stock'!AR59</f>
        <v/>
      </c>
      <c r="AU1233">
        <f>'Grid_Stock'!AS59</f>
        <v/>
      </c>
      <c r="AV1233">
        <f>'Grid_Stock'!AT59</f>
        <v/>
      </c>
      <c r="AW1233">
        <f>'Grid_Stock'!AU59</f>
        <v/>
      </c>
      <c r="AX1233">
        <f>'Grid_Stock'!AV59</f>
        <v/>
      </c>
      <c r="AY1233">
        <f>'Grid_Stock'!AW59</f>
        <v/>
      </c>
      <c r="AZ1233">
        <f>'Grid_Stock'!AX59</f>
        <v/>
      </c>
      <c r="BA1233">
        <f>'Grid_Stock'!AY59</f>
        <v/>
      </c>
      <c r="BB1233">
        <f>'Grid_Stock'!AZ59</f>
        <v/>
      </c>
      <c r="BC1233">
        <f>'Grid_Stock'!BA59</f>
        <v/>
      </c>
      <c r="BD1233">
        <f>'Grid_Stock'!BB59</f>
        <v/>
      </c>
      <c r="BE1233">
        <f>'Grid_Stock'!BC59</f>
        <v/>
      </c>
      <c r="BF1233">
        <f>'Grid_Stock'!BD59</f>
        <v/>
      </c>
      <c r="BG1233">
        <f>'Grid_Stock'!BE59</f>
        <v/>
      </c>
      <c r="BH1233">
        <f>'Grid_Stock'!BF59</f>
        <v/>
      </c>
      <c r="BI1233">
        <f>'Grid_Stock'!BG59</f>
        <v/>
      </c>
      <c r="BJ1233">
        <f>'Grid_Stock'!BH59</f>
        <v/>
      </c>
      <c r="BK1233">
        <f>'Grid_Stock'!BI59</f>
        <v/>
      </c>
      <c r="BL1233">
        <f>'Grid_Stock'!BJ59</f>
        <v/>
      </c>
      <c r="BM1233">
        <f>'Grid_Stock'!BK59</f>
        <v/>
      </c>
      <c r="BN1233">
        <f>'Grid_Stock'!BL59</f>
        <v/>
      </c>
      <c r="BO1233">
        <f>'Grid_Stock'!BM59</f>
        <v/>
      </c>
      <c r="BP1233">
        <f>'Grid_Stock'!BN59</f>
        <v/>
      </c>
      <c r="BQ1233">
        <f>'Grid_Stock'!BO59</f>
        <v/>
      </c>
      <c r="BR1233">
        <f>'Grid_Stock'!BP59</f>
        <v/>
      </c>
      <c r="BS1233">
        <f>'Grid_Stock'!BQ59</f>
        <v/>
      </c>
      <c r="BT1233">
        <f>'Grid_Stock'!BR59</f>
        <v/>
      </c>
      <c r="BU1233">
        <f>'Grid_Stock'!BS59</f>
        <v/>
      </c>
      <c r="BV1233">
        <f>'Grid_Stock'!BT59</f>
        <v/>
      </c>
      <c r="BW1233">
        <f>'Grid_Stock'!BU59</f>
        <v/>
      </c>
      <c r="BX1233">
        <f>'Grid_Stock'!BV59</f>
        <v/>
      </c>
      <c r="BY1233">
        <f>'Grid_Stock'!BW59</f>
        <v/>
      </c>
      <c r="BZ1233">
        <f>'Grid_Stock'!BX59</f>
        <v/>
      </c>
      <c r="CA1233">
        <f>'Grid_Stock'!BY59</f>
        <v/>
      </c>
      <c r="CB1233">
        <f>'Grid_Stock'!BZ59</f>
        <v/>
      </c>
      <c r="CC1233">
        <f>'Grid_Stock'!CA59</f>
        <v/>
      </c>
      <c r="CD1233">
        <f>'Grid_Stock'!CB59</f>
        <v/>
      </c>
      <c r="CE1233">
        <f>'Grid_Stock'!CC59</f>
        <v/>
      </c>
      <c r="CF1233">
        <f>'Grid_Stock'!CD59</f>
        <v/>
      </c>
      <c r="CG1233">
        <f>'Grid_Stock'!CE59</f>
        <v/>
      </c>
      <c r="CH1233">
        <f>'Grid_Stock'!CF59</f>
        <v/>
      </c>
      <c r="CI1233">
        <f>'Grid_Stock'!CG59</f>
        <v/>
      </c>
      <c r="CJ1233">
        <f>'Grid_Stock'!CH59</f>
        <v/>
      </c>
      <c r="CK1233">
        <f>'Grid_Stock'!CI59</f>
        <v/>
      </c>
      <c r="CL1233">
        <f>'Grid_Stock'!CJ59</f>
        <v/>
      </c>
      <c r="CM1233">
        <f>'Grid_Stock'!CK59</f>
        <v/>
      </c>
      <c r="CN1233">
        <f>'Grid_Stock'!CL59</f>
        <v/>
      </c>
      <c r="CO1233">
        <f>'Grid_Stock'!CM59</f>
        <v/>
      </c>
      <c r="CP1233">
        <f>'Grid_Stock'!CN59</f>
        <v/>
      </c>
      <c r="CQ1233">
        <f>'Grid_Stock'!CO59</f>
        <v/>
      </c>
      <c r="CR1233">
        <f>'Grid_Stock'!CP59</f>
        <v/>
      </c>
      <c r="CS1233">
        <f>'Grid_Stock'!CQ59</f>
        <v/>
      </c>
      <c r="CT1233">
        <f>'Grid_Stock'!CR59</f>
        <v/>
      </c>
      <c r="CU1233">
        <f>'Grid_Stock'!CS59</f>
        <v/>
      </c>
      <c r="CV1233">
        <f>'Grid_Stock'!CT59</f>
        <v/>
      </c>
      <c r="CW1233">
        <f>'Grid_Stock'!CU59</f>
        <v/>
      </c>
      <c r="CX1233">
        <f>'Grid_Stock'!CV59</f>
        <v/>
      </c>
      <c r="CY1233">
        <f>'Grid_Stock'!CW59</f>
        <v/>
      </c>
      <c r="CZ1233">
        <f>'Grid_Stock'!CX59</f>
        <v/>
      </c>
      <c r="DA1233">
        <f>'Grid_Stock'!CY59</f>
        <v/>
      </c>
      <c r="DB1233">
        <f>'Grid_Stock'!CZ59</f>
        <v/>
      </c>
      <c r="DC1233">
        <f>'Grid_Stock'!DA59</f>
        <v/>
      </c>
    </row>
    <row r="1234">
      <c r="B1234" s="26" t="inlineStr">
        <is>
          <t>（発注の目安はDashboardの基準在庫[下限/上限]と色分けを参照）</t>
        </is>
      </c>
    </row>
    <row r="1236">
      <c r="A1236" s="21" t="inlineStr">
        <is>
          <t>CHEM-1690</t>
        </is>
      </c>
      <c r="B1236" s="21" t="inlineStr">
        <is>
          <t>TPZ 560</t>
        </is>
      </c>
      <c r="C1236" s="22" t="n"/>
      <c r="D1236" s="21" t="n"/>
      <c r="E1236" s="21" t="n"/>
      <c r="F1236" s="21" t="n"/>
      <c r="G1236" s="21" t="n"/>
      <c r="H1236" s="21" t="n"/>
      <c r="I1236" s="21" t="n"/>
      <c r="J1236" s="21" t="n"/>
      <c r="K1236" s="21" t="n"/>
      <c r="L1236" s="21" t="n"/>
      <c r="M1236" s="21" t="n"/>
      <c r="N1236" s="21" t="n"/>
      <c r="O1236" s="21" t="n"/>
      <c r="P1236" s="21" t="n"/>
      <c r="Q1236" s="21" t="n"/>
      <c r="R1236" s="21" t="n"/>
      <c r="S1236" s="21" t="n"/>
      <c r="T1236" s="21" t="n"/>
      <c r="U1236" s="21" t="n"/>
      <c r="V1236" s="21" t="n"/>
      <c r="W1236" s="21" t="n"/>
      <c r="X1236" s="21" t="n"/>
      <c r="Y1236" s="21" t="n"/>
      <c r="Z1236" s="21" t="n"/>
      <c r="AA1236" s="21" t="n"/>
      <c r="AB1236" s="21" t="n"/>
      <c r="AC1236" s="21" t="n"/>
      <c r="AD1236" s="21" t="n"/>
      <c r="AE1236" s="21" t="n"/>
      <c r="AF1236" s="21" t="n"/>
      <c r="AG1236" s="21" t="n"/>
      <c r="AH1236" s="21" t="n"/>
      <c r="AI1236" s="21" t="n"/>
      <c r="AJ1236" s="21" t="n"/>
      <c r="AK1236" s="21" t="n"/>
      <c r="AL1236" s="21" t="n"/>
      <c r="AM1236" s="21" t="n"/>
      <c r="AN1236" s="21" t="n"/>
      <c r="AO1236" s="21" t="n"/>
      <c r="AP1236" s="21" t="n"/>
      <c r="AQ1236" s="21" t="n"/>
      <c r="AR1236" s="21" t="n"/>
      <c r="AS1236" s="21" t="n"/>
      <c r="AT1236" s="21" t="n"/>
      <c r="AU1236" s="21" t="n"/>
      <c r="AV1236" s="21" t="n"/>
      <c r="AW1236" s="21" t="n"/>
      <c r="AX1236" s="21" t="n"/>
      <c r="AY1236" s="21" t="n"/>
      <c r="AZ1236" s="21" t="n"/>
      <c r="BA1236" s="21" t="n"/>
      <c r="BB1236" s="21" t="n"/>
      <c r="BC1236" s="21" t="n"/>
      <c r="BD1236" s="21" t="n"/>
      <c r="BE1236" s="21" t="n"/>
      <c r="BF1236" s="21" t="n"/>
      <c r="BG1236" s="21" t="n"/>
      <c r="BH1236" s="21" t="n"/>
      <c r="BI1236" s="21" t="n"/>
      <c r="BJ1236" s="21" t="n"/>
      <c r="BK1236" s="21" t="n"/>
      <c r="BL1236" s="21" t="n"/>
      <c r="BM1236" s="21" t="n"/>
      <c r="BN1236" s="21" t="n"/>
      <c r="BO1236" s="21" t="n"/>
      <c r="BP1236" s="21" t="n"/>
      <c r="BQ1236" s="21" t="n"/>
      <c r="BR1236" s="21" t="n"/>
      <c r="BS1236" s="21" t="n"/>
      <c r="BT1236" s="21" t="n"/>
      <c r="BU1236" s="21" t="n"/>
      <c r="BV1236" s="21" t="n"/>
      <c r="BW1236" s="21" t="n"/>
      <c r="BX1236" s="21" t="n"/>
      <c r="BY1236" s="21" t="n"/>
      <c r="BZ1236" s="21" t="n"/>
      <c r="CA1236" s="21" t="n"/>
      <c r="CB1236" s="21" t="n"/>
      <c r="CC1236" s="21" t="n"/>
      <c r="CD1236" s="21" t="n"/>
      <c r="CE1236" s="21" t="n"/>
      <c r="CF1236" s="21" t="n"/>
      <c r="CG1236" s="21" t="n"/>
      <c r="CH1236" s="21" t="n"/>
      <c r="CI1236" s="21" t="n"/>
      <c r="CJ1236" s="21" t="n"/>
      <c r="CK1236" s="21" t="n"/>
      <c r="CL1236" s="21" t="n"/>
      <c r="CM1236" s="21" t="n"/>
      <c r="CN1236" s="21" t="n"/>
      <c r="CO1236" s="21" t="n"/>
      <c r="CP1236" s="21" t="n"/>
      <c r="CQ1236" s="21" t="n"/>
      <c r="CR1236" s="21" t="n"/>
      <c r="CS1236" s="21" t="n"/>
      <c r="CT1236" s="21" t="n"/>
      <c r="CU1236" s="21" t="n"/>
      <c r="CV1236" s="21" t="n"/>
      <c r="CW1236" s="21" t="n"/>
      <c r="CX1236" s="21" t="n"/>
      <c r="CY1236" s="21" t="n"/>
      <c r="CZ1236" s="21" t="n"/>
      <c r="DA1236" s="21" t="n"/>
      <c r="DB1236" s="21" t="n"/>
      <c r="DC1236" s="21" t="n"/>
    </row>
    <row r="1237">
      <c r="B1237" t="inlineStr">
        <is>
          <t>TSP-618</t>
        </is>
      </c>
      <c r="C1237" t="inlineStr">
        <is>
          <t>No. of batches</t>
        </is>
      </c>
      <c r="D1237">
        <f>IFERROR(INDEX(PP_Grid[#Data],$DD1237,2),0)</f>
        <v/>
      </c>
      <c r="E1237">
        <f>IFERROR(INDEX(PP_Grid[#Data],$DD1237,3),0)</f>
        <v/>
      </c>
      <c r="F1237">
        <f>IFERROR(INDEX(PP_Grid[#Data],$DD1237,4),0)</f>
        <v/>
      </c>
      <c r="G1237">
        <f>IFERROR(INDEX(PP_Grid[#Data],$DD1237,5),0)</f>
        <v/>
      </c>
      <c r="H1237">
        <f>IFERROR(INDEX(PP_Grid[#Data],$DD1237,6),0)</f>
        <v/>
      </c>
      <c r="I1237">
        <f>IFERROR(INDEX(PP_Grid[#Data],$DD1237,7),0)</f>
        <v/>
      </c>
      <c r="J1237">
        <f>IFERROR(INDEX(PP_Grid[#Data],$DD1237,8),0)</f>
        <v/>
      </c>
      <c r="K1237">
        <f>IFERROR(INDEX(PP_Grid[#Data],$DD1237,9),0)</f>
        <v/>
      </c>
      <c r="L1237">
        <f>IFERROR(INDEX(PP_Grid[#Data],$DD1237,10),0)</f>
        <v/>
      </c>
      <c r="M1237">
        <f>IFERROR(INDEX(PP_Grid[#Data],$DD1237,11),0)</f>
        <v/>
      </c>
      <c r="N1237">
        <f>IFERROR(INDEX(PP_Grid[#Data],$DD1237,12),0)</f>
        <v/>
      </c>
      <c r="O1237">
        <f>IFERROR(INDEX(PP_Grid[#Data],$DD1237,13),0)</f>
        <v/>
      </c>
      <c r="P1237">
        <f>IFERROR(INDEX(PP_Grid[#Data],$DD1237,14),0)</f>
        <v/>
      </c>
      <c r="Q1237">
        <f>IFERROR(INDEX(PP_Grid[#Data],$DD1237,15),0)</f>
        <v/>
      </c>
      <c r="R1237">
        <f>IFERROR(INDEX(PP_Grid[#Data],$DD1237,16),0)</f>
        <v/>
      </c>
      <c r="S1237">
        <f>IFERROR(INDEX(PP_Grid[#Data],$DD1237,17),0)</f>
        <v/>
      </c>
      <c r="T1237">
        <f>IFERROR(INDEX(PP_Grid[#Data],$DD1237,18),0)</f>
        <v/>
      </c>
      <c r="U1237">
        <f>IFERROR(INDEX(PP_Grid[#Data],$DD1237,19),0)</f>
        <v/>
      </c>
      <c r="V1237">
        <f>IFERROR(INDEX(PP_Grid[#Data],$DD1237,20),0)</f>
        <v/>
      </c>
      <c r="W1237">
        <f>IFERROR(INDEX(PP_Grid[#Data],$DD1237,21),0)</f>
        <v/>
      </c>
      <c r="X1237">
        <f>IFERROR(INDEX(PP_Grid[#Data],$DD1237,22),0)</f>
        <v/>
      </c>
      <c r="Y1237">
        <f>IFERROR(INDEX(PP_Grid[#Data],$DD1237,23),0)</f>
        <v/>
      </c>
      <c r="Z1237">
        <f>IFERROR(INDEX(PP_Grid[#Data],$DD1237,24),0)</f>
        <v/>
      </c>
      <c r="AA1237">
        <f>IFERROR(INDEX(PP_Grid[#Data],$DD1237,25),0)</f>
        <v/>
      </c>
      <c r="AB1237">
        <f>IFERROR(INDEX(PP_Grid[#Data],$DD1237,26),0)</f>
        <v/>
      </c>
      <c r="AC1237">
        <f>IFERROR(INDEX(PP_Grid[#Data],$DD1237,27),0)</f>
        <v/>
      </c>
      <c r="AD1237">
        <f>IFERROR(INDEX(PP_Grid[#Data],$DD1237,28),0)</f>
        <v/>
      </c>
      <c r="AE1237">
        <f>IFERROR(INDEX(PP_Grid[#Data],$DD1237,29),0)</f>
        <v/>
      </c>
      <c r="AF1237">
        <f>IFERROR(INDEX(PP_Grid[#Data],$DD1237,30),0)</f>
        <v/>
      </c>
      <c r="AG1237">
        <f>IFERROR(INDEX(PP_Grid[#Data],$DD1237,31),0)</f>
        <v/>
      </c>
      <c r="AH1237">
        <f>IFERROR(INDEX(PP_Grid[#Data],$DD1237,32),0)</f>
        <v/>
      </c>
      <c r="AI1237">
        <f>IFERROR(INDEX(PP_Grid[#Data],$DD1237,33),0)</f>
        <v/>
      </c>
      <c r="AJ1237">
        <f>IFERROR(INDEX(PP_Grid[#Data],$DD1237,34),0)</f>
        <v/>
      </c>
      <c r="AK1237">
        <f>IFERROR(INDEX(PP_Grid[#Data],$DD1237,35),0)</f>
        <v/>
      </c>
      <c r="AL1237">
        <f>IFERROR(INDEX(PP_Grid[#Data],$DD1237,36),0)</f>
        <v/>
      </c>
      <c r="AM1237">
        <f>IFERROR(INDEX(PP_Grid[#Data],$DD1237,37),0)</f>
        <v/>
      </c>
      <c r="AN1237">
        <f>IFERROR(INDEX(PP_Grid[#Data],$DD1237,38),0)</f>
        <v/>
      </c>
      <c r="AO1237">
        <f>IFERROR(INDEX(PP_Grid[#Data],$DD1237,39),0)</f>
        <v/>
      </c>
      <c r="AP1237">
        <f>IFERROR(INDEX(PP_Grid[#Data],$DD1237,40),0)</f>
        <v/>
      </c>
      <c r="AQ1237">
        <f>IFERROR(INDEX(PP_Grid[#Data],$DD1237,41),0)</f>
        <v/>
      </c>
      <c r="AR1237">
        <f>IFERROR(INDEX(PP_Grid[#Data],$DD1237,42),0)</f>
        <v/>
      </c>
      <c r="AS1237">
        <f>IFERROR(INDEX(PP_Grid[#Data],$DD1237,43),0)</f>
        <v/>
      </c>
      <c r="AT1237">
        <f>IFERROR(INDEX(PP_Grid[#Data],$DD1237,44),0)</f>
        <v/>
      </c>
      <c r="AU1237">
        <f>IFERROR(INDEX(PP_Grid[#Data],$DD1237,45),0)</f>
        <v/>
      </c>
      <c r="AV1237">
        <f>IFERROR(INDEX(PP_Grid[#Data],$DD1237,46),0)</f>
        <v/>
      </c>
      <c r="AW1237">
        <f>IFERROR(INDEX(PP_Grid[#Data],$DD1237,47),0)</f>
        <v/>
      </c>
      <c r="AX1237">
        <f>IFERROR(INDEX(PP_Grid[#Data],$DD1237,48),0)</f>
        <v/>
      </c>
      <c r="AY1237">
        <f>IFERROR(INDEX(PP_Grid[#Data],$DD1237,49),0)</f>
        <v/>
      </c>
      <c r="AZ1237">
        <f>IFERROR(INDEX(PP_Grid[#Data],$DD1237,50),0)</f>
        <v/>
      </c>
      <c r="BA1237">
        <f>IFERROR(INDEX(PP_Grid[#Data],$DD1237,51),0)</f>
        <v/>
      </c>
      <c r="BB1237">
        <f>IFERROR(INDEX(PP_Grid[#Data],$DD1237,52),0)</f>
        <v/>
      </c>
      <c r="BC1237">
        <f>IFERROR(INDEX(PP_Grid[#Data],$DD1237,53),0)</f>
        <v/>
      </c>
      <c r="BD1237">
        <f>IFERROR(INDEX(PP_Grid[#Data],$DD1237,54),0)</f>
        <v/>
      </c>
      <c r="BE1237">
        <f>IFERROR(INDEX(PP_Grid[#Data],$DD1237,55),0)</f>
        <v/>
      </c>
      <c r="BF1237">
        <f>IFERROR(INDEX(PP_Grid[#Data],$DD1237,56),0)</f>
        <v/>
      </c>
      <c r="BG1237">
        <f>IFERROR(INDEX(PP_Grid[#Data],$DD1237,57),0)</f>
        <v/>
      </c>
      <c r="BH1237">
        <f>IFERROR(INDEX(PP_Grid[#Data],$DD1237,58),0)</f>
        <v/>
      </c>
      <c r="BI1237">
        <f>IFERROR(INDEX(PP_Grid[#Data],$DD1237,59),0)</f>
        <v/>
      </c>
      <c r="BJ1237">
        <f>IFERROR(INDEX(PP_Grid[#Data],$DD1237,60),0)</f>
        <v/>
      </c>
      <c r="BK1237">
        <f>IFERROR(INDEX(PP_Grid[#Data],$DD1237,61),0)</f>
        <v/>
      </c>
      <c r="BL1237">
        <f>IFERROR(INDEX(PP_Grid[#Data],$DD1237,62),0)</f>
        <v/>
      </c>
      <c r="BM1237">
        <f>IFERROR(INDEX(PP_Grid[#Data],$DD1237,63),0)</f>
        <v/>
      </c>
      <c r="BN1237">
        <f>IFERROR(INDEX(PP_Grid[#Data],$DD1237,64),0)</f>
        <v/>
      </c>
      <c r="BO1237">
        <f>IFERROR(INDEX(PP_Grid[#Data],$DD1237,65),0)</f>
        <v/>
      </c>
      <c r="BP1237">
        <f>IFERROR(INDEX(PP_Grid[#Data],$DD1237,66),0)</f>
        <v/>
      </c>
      <c r="BQ1237">
        <f>IFERROR(INDEX(PP_Grid[#Data],$DD1237,67),0)</f>
        <v/>
      </c>
      <c r="BR1237">
        <f>IFERROR(INDEX(PP_Grid[#Data],$DD1237,68),0)</f>
        <v/>
      </c>
      <c r="BS1237">
        <f>IFERROR(INDEX(PP_Grid[#Data],$DD1237,69),0)</f>
        <v/>
      </c>
      <c r="BT1237">
        <f>IFERROR(INDEX(PP_Grid[#Data],$DD1237,70),0)</f>
        <v/>
      </c>
      <c r="BU1237">
        <f>IFERROR(INDEX(PP_Grid[#Data],$DD1237,71),0)</f>
        <v/>
      </c>
      <c r="BV1237">
        <f>IFERROR(INDEX(PP_Grid[#Data],$DD1237,72),0)</f>
        <v/>
      </c>
      <c r="BW1237">
        <f>IFERROR(INDEX(PP_Grid[#Data],$DD1237,73),0)</f>
        <v/>
      </c>
      <c r="BX1237">
        <f>IFERROR(INDEX(PP_Grid[#Data],$DD1237,74),0)</f>
        <v/>
      </c>
      <c r="BY1237">
        <f>IFERROR(INDEX(PP_Grid[#Data],$DD1237,75),0)</f>
        <v/>
      </c>
      <c r="BZ1237">
        <f>IFERROR(INDEX(PP_Grid[#Data],$DD1237,76),0)</f>
        <v/>
      </c>
      <c r="CA1237">
        <f>IFERROR(INDEX(PP_Grid[#Data],$DD1237,77),0)</f>
        <v/>
      </c>
      <c r="CB1237">
        <f>IFERROR(INDEX(PP_Grid[#Data],$DD1237,78),0)</f>
        <v/>
      </c>
      <c r="CC1237">
        <f>IFERROR(INDEX(PP_Grid[#Data],$DD1237,79),0)</f>
        <v/>
      </c>
      <c r="CD1237">
        <f>IFERROR(INDEX(PP_Grid[#Data],$DD1237,80),0)</f>
        <v/>
      </c>
      <c r="CE1237">
        <f>IFERROR(INDEX(PP_Grid[#Data],$DD1237,81),0)</f>
        <v/>
      </c>
      <c r="CF1237">
        <f>IFERROR(INDEX(PP_Grid[#Data],$DD1237,82),0)</f>
        <v/>
      </c>
      <c r="CG1237">
        <f>IFERROR(INDEX(PP_Grid[#Data],$DD1237,83),0)</f>
        <v/>
      </c>
      <c r="CH1237">
        <f>IFERROR(INDEX(PP_Grid[#Data],$DD1237,84),0)</f>
        <v/>
      </c>
      <c r="CI1237">
        <f>IFERROR(INDEX(PP_Grid[#Data],$DD1237,85),0)</f>
        <v/>
      </c>
      <c r="CJ1237">
        <f>IFERROR(INDEX(PP_Grid[#Data],$DD1237,86),0)</f>
        <v/>
      </c>
      <c r="CK1237">
        <f>IFERROR(INDEX(PP_Grid[#Data],$DD1237,87),0)</f>
        <v/>
      </c>
      <c r="CL1237">
        <f>IFERROR(INDEX(PP_Grid[#Data],$DD1237,88),0)</f>
        <v/>
      </c>
      <c r="CM1237">
        <f>IFERROR(INDEX(PP_Grid[#Data],$DD1237,89),0)</f>
        <v/>
      </c>
      <c r="CN1237">
        <f>IFERROR(INDEX(PP_Grid[#Data],$DD1237,90),0)</f>
        <v/>
      </c>
      <c r="CO1237">
        <f>IFERROR(INDEX(PP_Grid[#Data],$DD1237,91),0)</f>
        <v/>
      </c>
      <c r="CP1237">
        <f>IFERROR(INDEX(PP_Grid[#Data],$DD1237,92),0)</f>
        <v/>
      </c>
      <c r="CQ1237">
        <f>IFERROR(INDEX(PP_Grid[#Data],$DD1237,93),0)</f>
        <v/>
      </c>
      <c r="CR1237">
        <f>IFERROR(INDEX(PP_Grid[#Data],$DD1237,94),0)</f>
        <v/>
      </c>
      <c r="CS1237">
        <f>IFERROR(INDEX(PP_Grid[#Data],$DD1237,95),0)</f>
        <v/>
      </c>
      <c r="CT1237">
        <f>IFERROR(INDEX(PP_Grid[#Data],$DD1237,96),0)</f>
        <v/>
      </c>
      <c r="CU1237">
        <f>IFERROR(INDEX(PP_Grid[#Data],$DD1237,97),0)</f>
        <v/>
      </c>
      <c r="CV1237">
        <f>IFERROR(INDEX(PP_Grid[#Data],$DD1237,98),0)</f>
        <v/>
      </c>
      <c r="CW1237">
        <f>IFERROR(INDEX(PP_Grid[#Data],$DD1237,99),0)</f>
        <v/>
      </c>
      <c r="CX1237">
        <f>IFERROR(INDEX(PP_Grid[#Data],$DD1237,100),0)</f>
        <v/>
      </c>
      <c r="CY1237">
        <f>IFERROR(INDEX(PP_Grid[#Data],$DD1237,101),0)</f>
        <v/>
      </c>
      <c r="CZ1237">
        <f>IFERROR(INDEX(PP_Grid[#Data],$DD1237,102),0)</f>
        <v/>
      </c>
      <c r="DA1237">
        <f>IFERROR(INDEX(PP_Grid[#Data],$DD1237,103),0)</f>
        <v/>
      </c>
      <c r="DB1237">
        <f>IFERROR(INDEX(PP_Grid[#Data],$DD1237,104),0)</f>
        <v/>
      </c>
      <c r="DC1237">
        <f>IFERROR(INDEX(PP_Grid[#Data],$DD1237,105),0)</f>
        <v/>
      </c>
      <c r="DD1237" s="12">
        <f>IFERROR(MATCH($B1237,PP_Grid[Intermediate],0),99999)</f>
        <v/>
      </c>
    </row>
    <row r="1238">
      <c r="B1238" t="inlineStr">
        <is>
          <t>使用量(kg)</t>
        </is>
      </c>
      <c r="C1238">
        <f>SUMIFS(M_BOM[RM_Qty_Per_Batch],M_BOM[Intermediate],$B1237,M_BOM[Part Name],$A1236)</f>
        <v/>
      </c>
      <c r="D1238">
        <f>$C1238*D1237</f>
        <v/>
      </c>
      <c r="E1238">
        <f>$C1238*E1237</f>
        <v/>
      </c>
      <c r="F1238">
        <f>$C1238*F1237</f>
        <v/>
      </c>
      <c r="G1238">
        <f>$C1238*G1237</f>
        <v/>
      </c>
      <c r="H1238">
        <f>$C1238*H1237</f>
        <v/>
      </c>
      <c r="I1238">
        <f>$C1238*I1237</f>
        <v/>
      </c>
      <c r="J1238">
        <f>$C1238*J1237</f>
        <v/>
      </c>
      <c r="K1238">
        <f>$C1238*K1237</f>
        <v/>
      </c>
      <c r="L1238">
        <f>$C1238*L1237</f>
        <v/>
      </c>
      <c r="M1238">
        <f>$C1238*M1237</f>
        <v/>
      </c>
      <c r="N1238">
        <f>$C1238*N1237</f>
        <v/>
      </c>
      <c r="O1238">
        <f>$C1238*O1237</f>
        <v/>
      </c>
      <c r="P1238">
        <f>$C1238*P1237</f>
        <v/>
      </c>
      <c r="Q1238">
        <f>$C1238*Q1237</f>
        <v/>
      </c>
      <c r="R1238">
        <f>$C1238*R1237</f>
        <v/>
      </c>
      <c r="S1238">
        <f>$C1238*S1237</f>
        <v/>
      </c>
      <c r="T1238">
        <f>$C1238*T1237</f>
        <v/>
      </c>
      <c r="U1238">
        <f>$C1238*U1237</f>
        <v/>
      </c>
      <c r="V1238">
        <f>$C1238*V1237</f>
        <v/>
      </c>
      <c r="W1238">
        <f>$C1238*W1237</f>
        <v/>
      </c>
      <c r="X1238">
        <f>$C1238*X1237</f>
        <v/>
      </c>
      <c r="Y1238">
        <f>$C1238*Y1237</f>
        <v/>
      </c>
      <c r="Z1238">
        <f>$C1238*Z1237</f>
        <v/>
      </c>
      <c r="AA1238">
        <f>$C1238*AA1237</f>
        <v/>
      </c>
      <c r="AB1238">
        <f>$C1238*AB1237</f>
        <v/>
      </c>
      <c r="AC1238">
        <f>$C1238*AC1237</f>
        <v/>
      </c>
      <c r="AD1238">
        <f>$C1238*AD1237</f>
        <v/>
      </c>
      <c r="AE1238">
        <f>$C1238*AE1237</f>
        <v/>
      </c>
      <c r="AF1238">
        <f>$C1238*AF1237</f>
        <v/>
      </c>
      <c r="AG1238">
        <f>$C1238*AG1237</f>
        <v/>
      </c>
      <c r="AH1238">
        <f>$C1238*AH1237</f>
        <v/>
      </c>
      <c r="AI1238">
        <f>$C1238*AI1237</f>
        <v/>
      </c>
      <c r="AJ1238">
        <f>$C1238*AJ1237</f>
        <v/>
      </c>
      <c r="AK1238">
        <f>$C1238*AK1237</f>
        <v/>
      </c>
      <c r="AL1238">
        <f>$C1238*AL1237</f>
        <v/>
      </c>
      <c r="AM1238">
        <f>$C1238*AM1237</f>
        <v/>
      </c>
      <c r="AN1238">
        <f>$C1238*AN1237</f>
        <v/>
      </c>
      <c r="AO1238">
        <f>$C1238*AO1237</f>
        <v/>
      </c>
      <c r="AP1238">
        <f>$C1238*AP1237</f>
        <v/>
      </c>
      <c r="AQ1238">
        <f>$C1238*AQ1237</f>
        <v/>
      </c>
      <c r="AR1238">
        <f>$C1238*AR1237</f>
        <v/>
      </c>
      <c r="AS1238">
        <f>$C1238*AS1237</f>
        <v/>
      </c>
      <c r="AT1238">
        <f>$C1238*AT1237</f>
        <v/>
      </c>
      <c r="AU1238">
        <f>$C1238*AU1237</f>
        <v/>
      </c>
      <c r="AV1238">
        <f>$C1238*AV1237</f>
        <v/>
      </c>
      <c r="AW1238">
        <f>$C1238*AW1237</f>
        <v/>
      </c>
      <c r="AX1238">
        <f>$C1238*AX1237</f>
        <v/>
      </c>
      <c r="AY1238">
        <f>$C1238*AY1237</f>
        <v/>
      </c>
      <c r="AZ1238">
        <f>$C1238*AZ1237</f>
        <v/>
      </c>
      <c r="BA1238">
        <f>$C1238*BA1237</f>
        <v/>
      </c>
      <c r="BB1238">
        <f>$C1238*BB1237</f>
        <v/>
      </c>
      <c r="BC1238">
        <f>$C1238*BC1237</f>
        <v/>
      </c>
      <c r="BD1238">
        <f>$C1238*BD1237</f>
        <v/>
      </c>
      <c r="BE1238">
        <f>$C1238*BE1237</f>
        <v/>
      </c>
      <c r="BF1238">
        <f>$C1238*BF1237</f>
        <v/>
      </c>
      <c r="BG1238">
        <f>$C1238*BG1237</f>
        <v/>
      </c>
      <c r="BH1238">
        <f>$C1238*BH1237</f>
        <v/>
      </c>
      <c r="BI1238">
        <f>$C1238*BI1237</f>
        <v/>
      </c>
      <c r="BJ1238">
        <f>$C1238*BJ1237</f>
        <v/>
      </c>
      <c r="BK1238">
        <f>$C1238*BK1237</f>
        <v/>
      </c>
      <c r="BL1238">
        <f>$C1238*BL1237</f>
        <v/>
      </c>
      <c r="BM1238">
        <f>$C1238*BM1237</f>
        <v/>
      </c>
      <c r="BN1238">
        <f>$C1238*BN1237</f>
        <v/>
      </c>
      <c r="BO1238">
        <f>$C1238*BO1237</f>
        <v/>
      </c>
      <c r="BP1238">
        <f>$C1238*BP1237</f>
        <v/>
      </c>
      <c r="BQ1238">
        <f>$C1238*BQ1237</f>
        <v/>
      </c>
      <c r="BR1238">
        <f>$C1238*BR1237</f>
        <v/>
      </c>
      <c r="BS1238">
        <f>$C1238*BS1237</f>
        <v/>
      </c>
      <c r="BT1238">
        <f>$C1238*BT1237</f>
        <v/>
      </c>
      <c r="BU1238">
        <f>$C1238*BU1237</f>
        <v/>
      </c>
      <c r="BV1238">
        <f>$C1238*BV1237</f>
        <v/>
      </c>
      <c r="BW1238">
        <f>$C1238*BW1237</f>
        <v/>
      </c>
      <c r="BX1238">
        <f>$C1238*BX1237</f>
        <v/>
      </c>
      <c r="BY1238">
        <f>$C1238*BY1237</f>
        <v/>
      </c>
      <c r="BZ1238">
        <f>$C1238*BZ1237</f>
        <v/>
      </c>
      <c r="CA1238">
        <f>$C1238*CA1237</f>
        <v/>
      </c>
      <c r="CB1238">
        <f>$C1238*CB1237</f>
        <v/>
      </c>
      <c r="CC1238">
        <f>$C1238*CC1237</f>
        <v/>
      </c>
      <c r="CD1238">
        <f>$C1238*CD1237</f>
        <v/>
      </c>
      <c r="CE1238">
        <f>$C1238*CE1237</f>
        <v/>
      </c>
      <c r="CF1238">
        <f>$C1238*CF1237</f>
        <v/>
      </c>
      <c r="CG1238">
        <f>$C1238*CG1237</f>
        <v/>
      </c>
      <c r="CH1238">
        <f>$C1238*CH1237</f>
        <v/>
      </c>
      <c r="CI1238">
        <f>$C1238*CI1237</f>
        <v/>
      </c>
      <c r="CJ1238">
        <f>$C1238*CJ1237</f>
        <v/>
      </c>
      <c r="CK1238">
        <f>$C1238*CK1237</f>
        <v/>
      </c>
      <c r="CL1238">
        <f>$C1238*CL1237</f>
        <v/>
      </c>
      <c r="CM1238">
        <f>$C1238*CM1237</f>
        <v/>
      </c>
      <c r="CN1238">
        <f>$C1238*CN1237</f>
        <v/>
      </c>
      <c r="CO1238">
        <f>$C1238*CO1237</f>
        <v/>
      </c>
      <c r="CP1238">
        <f>$C1238*CP1237</f>
        <v/>
      </c>
      <c r="CQ1238">
        <f>$C1238*CQ1237</f>
        <v/>
      </c>
      <c r="CR1238">
        <f>$C1238*CR1237</f>
        <v/>
      </c>
      <c r="CS1238">
        <f>$C1238*CS1237</f>
        <v/>
      </c>
      <c r="CT1238">
        <f>$C1238*CT1237</f>
        <v/>
      </c>
      <c r="CU1238">
        <f>$C1238*CU1237</f>
        <v/>
      </c>
      <c r="CV1238">
        <f>$C1238*CV1237</f>
        <v/>
      </c>
      <c r="CW1238">
        <f>$C1238*CW1237</f>
        <v/>
      </c>
      <c r="CX1238">
        <f>$C1238*CX1237</f>
        <v/>
      </c>
      <c r="CY1238">
        <f>$C1238*CY1237</f>
        <v/>
      </c>
      <c r="CZ1238">
        <f>$C1238*CZ1237</f>
        <v/>
      </c>
      <c r="DA1238">
        <f>$C1238*DA1237</f>
        <v/>
      </c>
      <c r="DB1238">
        <f>$C1238*DB1237</f>
        <v/>
      </c>
      <c r="DC1238">
        <f>$C1238*DC1237</f>
        <v/>
      </c>
    </row>
    <row r="1239">
      <c r="B1239" t="inlineStr">
        <is>
          <t>TSP-903</t>
        </is>
      </c>
      <c r="C1239" t="inlineStr">
        <is>
          <t>No. of batches</t>
        </is>
      </c>
      <c r="D1239">
        <f>IFERROR(INDEX(PP_Grid[#Data],$DD1239,2),0)</f>
        <v/>
      </c>
      <c r="E1239">
        <f>IFERROR(INDEX(PP_Grid[#Data],$DD1239,3),0)</f>
        <v/>
      </c>
      <c r="F1239">
        <f>IFERROR(INDEX(PP_Grid[#Data],$DD1239,4),0)</f>
        <v/>
      </c>
      <c r="G1239">
        <f>IFERROR(INDEX(PP_Grid[#Data],$DD1239,5),0)</f>
        <v/>
      </c>
      <c r="H1239">
        <f>IFERROR(INDEX(PP_Grid[#Data],$DD1239,6),0)</f>
        <v/>
      </c>
      <c r="I1239">
        <f>IFERROR(INDEX(PP_Grid[#Data],$DD1239,7),0)</f>
        <v/>
      </c>
      <c r="J1239">
        <f>IFERROR(INDEX(PP_Grid[#Data],$DD1239,8),0)</f>
        <v/>
      </c>
      <c r="K1239">
        <f>IFERROR(INDEX(PP_Grid[#Data],$DD1239,9),0)</f>
        <v/>
      </c>
      <c r="L1239">
        <f>IFERROR(INDEX(PP_Grid[#Data],$DD1239,10),0)</f>
        <v/>
      </c>
      <c r="M1239">
        <f>IFERROR(INDEX(PP_Grid[#Data],$DD1239,11),0)</f>
        <v/>
      </c>
      <c r="N1239">
        <f>IFERROR(INDEX(PP_Grid[#Data],$DD1239,12),0)</f>
        <v/>
      </c>
      <c r="O1239">
        <f>IFERROR(INDEX(PP_Grid[#Data],$DD1239,13),0)</f>
        <v/>
      </c>
      <c r="P1239">
        <f>IFERROR(INDEX(PP_Grid[#Data],$DD1239,14),0)</f>
        <v/>
      </c>
      <c r="Q1239">
        <f>IFERROR(INDEX(PP_Grid[#Data],$DD1239,15),0)</f>
        <v/>
      </c>
      <c r="R1239">
        <f>IFERROR(INDEX(PP_Grid[#Data],$DD1239,16),0)</f>
        <v/>
      </c>
      <c r="S1239">
        <f>IFERROR(INDEX(PP_Grid[#Data],$DD1239,17),0)</f>
        <v/>
      </c>
      <c r="T1239">
        <f>IFERROR(INDEX(PP_Grid[#Data],$DD1239,18),0)</f>
        <v/>
      </c>
      <c r="U1239">
        <f>IFERROR(INDEX(PP_Grid[#Data],$DD1239,19),0)</f>
        <v/>
      </c>
      <c r="V1239">
        <f>IFERROR(INDEX(PP_Grid[#Data],$DD1239,20),0)</f>
        <v/>
      </c>
      <c r="W1239">
        <f>IFERROR(INDEX(PP_Grid[#Data],$DD1239,21),0)</f>
        <v/>
      </c>
      <c r="X1239">
        <f>IFERROR(INDEX(PP_Grid[#Data],$DD1239,22),0)</f>
        <v/>
      </c>
      <c r="Y1239">
        <f>IFERROR(INDEX(PP_Grid[#Data],$DD1239,23),0)</f>
        <v/>
      </c>
      <c r="Z1239">
        <f>IFERROR(INDEX(PP_Grid[#Data],$DD1239,24),0)</f>
        <v/>
      </c>
      <c r="AA1239">
        <f>IFERROR(INDEX(PP_Grid[#Data],$DD1239,25),0)</f>
        <v/>
      </c>
      <c r="AB1239">
        <f>IFERROR(INDEX(PP_Grid[#Data],$DD1239,26),0)</f>
        <v/>
      </c>
      <c r="AC1239">
        <f>IFERROR(INDEX(PP_Grid[#Data],$DD1239,27),0)</f>
        <v/>
      </c>
      <c r="AD1239">
        <f>IFERROR(INDEX(PP_Grid[#Data],$DD1239,28),0)</f>
        <v/>
      </c>
      <c r="AE1239">
        <f>IFERROR(INDEX(PP_Grid[#Data],$DD1239,29),0)</f>
        <v/>
      </c>
      <c r="AF1239">
        <f>IFERROR(INDEX(PP_Grid[#Data],$DD1239,30),0)</f>
        <v/>
      </c>
      <c r="AG1239">
        <f>IFERROR(INDEX(PP_Grid[#Data],$DD1239,31),0)</f>
        <v/>
      </c>
      <c r="AH1239">
        <f>IFERROR(INDEX(PP_Grid[#Data],$DD1239,32),0)</f>
        <v/>
      </c>
      <c r="AI1239">
        <f>IFERROR(INDEX(PP_Grid[#Data],$DD1239,33),0)</f>
        <v/>
      </c>
      <c r="AJ1239">
        <f>IFERROR(INDEX(PP_Grid[#Data],$DD1239,34),0)</f>
        <v/>
      </c>
      <c r="AK1239">
        <f>IFERROR(INDEX(PP_Grid[#Data],$DD1239,35),0)</f>
        <v/>
      </c>
      <c r="AL1239">
        <f>IFERROR(INDEX(PP_Grid[#Data],$DD1239,36),0)</f>
        <v/>
      </c>
      <c r="AM1239">
        <f>IFERROR(INDEX(PP_Grid[#Data],$DD1239,37),0)</f>
        <v/>
      </c>
      <c r="AN1239">
        <f>IFERROR(INDEX(PP_Grid[#Data],$DD1239,38),0)</f>
        <v/>
      </c>
      <c r="AO1239">
        <f>IFERROR(INDEX(PP_Grid[#Data],$DD1239,39),0)</f>
        <v/>
      </c>
      <c r="AP1239">
        <f>IFERROR(INDEX(PP_Grid[#Data],$DD1239,40),0)</f>
        <v/>
      </c>
      <c r="AQ1239">
        <f>IFERROR(INDEX(PP_Grid[#Data],$DD1239,41),0)</f>
        <v/>
      </c>
      <c r="AR1239">
        <f>IFERROR(INDEX(PP_Grid[#Data],$DD1239,42),0)</f>
        <v/>
      </c>
      <c r="AS1239">
        <f>IFERROR(INDEX(PP_Grid[#Data],$DD1239,43),0)</f>
        <v/>
      </c>
      <c r="AT1239">
        <f>IFERROR(INDEX(PP_Grid[#Data],$DD1239,44),0)</f>
        <v/>
      </c>
      <c r="AU1239">
        <f>IFERROR(INDEX(PP_Grid[#Data],$DD1239,45),0)</f>
        <v/>
      </c>
      <c r="AV1239">
        <f>IFERROR(INDEX(PP_Grid[#Data],$DD1239,46),0)</f>
        <v/>
      </c>
      <c r="AW1239">
        <f>IFERROR(INDEX(PP_Grid[#Data],$DD1239,47),0)</f>
        <v/>
      </c>
      <c r="AX1239">
        <f>IFERROR(INDEX(PP_Grid[#Data],$DD1239,48),0)</f>
        <v/>
      </c>
      <c r="AY1239">
        <f>IFERROR(INDEX(PP_Grid[#Data],$DD1239,49),0)</f>
        <v/>
      </c>
      <c r="AZ1239">
        <f>IFERROR(INDEX(PP_Grid[#Data],$DD1239,50),0)</f>
        <v/>
      </c>
      <c r="BA1239">
        <f>IFERROR(INDEX(PP_Grid[#Data],$DD1239,51),0)</f>
        <v/>
      </c>
      <c r="BB1239">
        <f>IFERROR(INDEX(PP_Grid[#Data],$DD1239,52),0)</f>
        <v/>
      </c>
      <c r="BC1239">
        <f>IFERROR(INDEX(PP_Grid[#Data],$DD1239,53),0)</f>
        <v/>
      </c>
      <c r="BD1239">
        <f>IFERROR(INDEX(PP_Grid[#Data],$DD1239,54),0)</f>
        <v/>
      </c>
      <c r="BE1239">
        <f>IFERROR(INDEX(PP_Grid[#Data],$DD1239,55),0)</f>
        <v/>
      </c>
      <c r="BF1239">
        <f>IFERROR(INDEX(PP_Grid[#Data],$DD1239,56),0)</f>
        <v/>
      </c>
      <c r="BG1239">
        <f>IFERROR(INDEX(PP_Grid[#Data],$DD1239,57),0)</f>
        <v/>
      </c>
      <c r="BH1239">
        <f>IFERROR(INDEX(PP_Grid[#Data],$DD1239,58),0)</f>
        <v/>
      </c>
      <c r="BI1239">
        <f>IFERROR(INDEX(PP_Grid[#Data],$DD1239,59),0)</f>
        <v/>
      </c>
      <c r="BJ1239">
        <f>IFERROR(INDEX(PP_Grid[#Data],$DD1239,60),0)</f>
        <v/>
      </c>
      <c r="BK1239">
        <f>IFERROR(INDEX(PP_Grid[#Data],$DD1239,61),0)</f>
        <v/>
      </c>
      <c r="BL1239">
        <f>IFERROR(INDEX(PP_Grid[#Data],$DD1239,62),0)</f>
        <v/>
      </c>
      <c r="BM1239">
        <f>IFERROR(INDEX(PP_Grid[#Data],$DD1239,63),0)</f>
        <v/>
      </c>
      <c r="BN1239">
        <f>IFERROR(INDEX(PP_Grid[#Data],$DD1239,64),0)</f>
        <v/>
      </c>
      <c r="BO1239">
        <f>IFERROR(INDEX(PP_Grid[#Data],$DD1239,65),0)</f>
        <v/>
      </c>
      <c r="BP1239">
        <f>IFERROR(INDEX(PP_Grid[#Data],$DD1239,66),0)</f>
        <v/>
      </c>
      <c r="BQ1239">
        <f>IFERROR(INDEX(PP_Grid[#Data],$DD1239,67),0)</f>
        <v/>
      </c>
      <c r="BR1239">
        <f>IFERROR(INDEX(PP_Grid[#Data],$DD1239,68),0)</f>
        <v/>
      </c>
      <c r="BS1239">
        <f>IFERROR(INDEX(PP_Grid[#Data],$DD1239,69),0)</f>
        <v/>
      </c>
      <c r="BT1239">
        <f>IFERROR(INDEX(PP_Grid[#Data],$DD1239,70),0)</f>
        <v/>
      </c>
      <c r="BU1239">
        <f>IFERROR(INDEX(PP_Grid[#Data],$DD1239,71),0)</f>
        <v/>
      </c>
      <c r="BV1239">
        <f>IFERROR(INDEX(PP_Grid[#Data],$DD1239,72),0)</f>
        <v/>
      </c>
      <c r="BW1239">
        <f>IFERROR(INDEX(PP_Grid[#Data],$DD1239,73),0)</f>
        <v/>
      </c>
      <c r="BX1239">
        <f>IFERROR(INDEX(PP_Grid[#Data],$DD1239,74),0)</f>
        <v/>
      </c>
      <c r="BY1239">
        <f>IFERROR(INDEX(PP_Grid[#Data],$DD1239,75),0)</f>
        <v/>
      </c>
      <c r="BZ1239">
        <f>IFERROR(INDEX(PP_Grid[#Data],$DD1239,76),0)</f>
        <v/>
      </c>
      <c r="CA1239">
        <f>IFERROR(INDEX(PP_Grid[#Data],$DD1239,77),0)</f>
        <v/>
      </c>
      <c r="CB1239">
        <f>IFERROR(INDEX(PP_Grid[#Data],$DD1239,78),0)</f>
        <v/>
      </c>
      <c r="CC1239">
        <f>IFERROR(INDEX(PP_Grid[#Data],$DD1239,79),0)</f>
        <v/>
      </c>
      <c r="CD1239">
        <f>IFERROR(INDEX(PP_Grid[#Data],$DD1239,80),0)</f>
        <v/>
      </c>
      <c r="CE1239">
        <f>IFERROR(INDEX(PP_Grid[#Data],$DD1239,81),0)</f>
        <v/>
      </c>
      <c r="CF1239">
        <f>IFERROR(INDEX(PP_Grid[#Data],$DD1239,82),0)</f>
        <v/>
      </c>
      <c r="CG1239">
        <f>IFERROR(INDEX(PP_Grid[#Data],$DD1239,83),0)</f>
        <v/>
      </c>
      <c r="CH1239">
        <f>IFERROR(INDEX(PP_Grid[#Data],$DD1239,84),0)</f>
        <v/>
      </c>
      <c r="CI1239">
        <f>IFERROR(INDEX(PP_Grid[#Data],$DD1239,85),0)</f>
        <v/>
      </c>
      <c r="CJ1239">
        <f>IFERROR(INDEX(PP_Grid[#Data],$DD1239,86),0)</f>
        <v/>
      </c>
      <c r="CK1239">
        <f>IFERROR(INDEX(PP_Grid[#Data],$DD1239,87),0)</f>
        <v/>
      </c>
      <c r="CL1239">
        <f>IFERROR(INDEX(PP_Grid[#Data],$DD1239,88),0)</f>
        <v/>
      </c>
      <c r="CM1239">
        <f>IFERROR(INDEX(PP_Grid[#Data],$DD1239,89),0)</f>
        <v/>
      </c>
      <c r="CN1239">
        <f>IFERROR(INDEX(PP_Grid[#Data],$DD1239,90),0)</f>
        <v/>
      </c>
      <c r="CO1239">
        <f>IFERROR(INDEX(PP_Grid[#Data],$DD1239,91),0)</f>
        <v/>
      </c>
      <c r="CP1239">
        <f>IFERROR(INDEX(PP_Grid[#Data],$DD1239,92),0)</f>
        <v/>
      </c>
      <c r="CQ1239">
        <f>IFERROR(INDEX(PP_Grid[#Data],$DD1239,93),0)</f>
        <v/>
      </c>
      <c r="CR1239">
        <f>IFERROR(INDEX(PP_Grid[#Data],$DD1239,94),0)</f>
        <v/>
      </c>
      <c r="CS1239">
        <f>IFERROR(INDEX(PP_Grid[#Data],$DD1239,95),0)</f>
        <v/>
      </c>
      <c r="CT1239">
        <f>IFERROR(INDEX(PP_Grid[#Data],$DD1239,96),0)</f>
        <v/>
      </c>
      <c r="CU1239">
        <f>IFERROR(INDEX(PP_Grid[#Data],$DD1239,97),0)</f>
        <v/>
      </c>
      <c r="CV1239">
        <f>IFERROR(INDEX(PP_Grid[#Data],$DD1239,98),0)</f>
        <v/>
      </c>
      <c r="CW1239">
        <f>IFERROR(INDEX(PP_Grid[#Data],$DD1239,99),0)</f>
        <v/>
      </c>
      <c r="CX1239">
        <f>IFERROR(INDEX(PP_Grid[#Data],$DD1239,100),0)</f>
        <v/>
      </c>
      <c r="CY1239">
        <f>IFERROR(INDEX(PP_Grid[#Data],$DD1239,101),0)</f>
        <v/>
      </c>
      <c r="CZ1239">
        <f>IFERROR(INDEX(PP_Grid[#Data],$DD1239,102),0)</f>
        <v/>
      </c>
      <c r="DA1239">
        <f>IFERROR(INDEX(PP_Grid[#Data],$DD1239,103),0)</f>
        <v/>
      </c>
      <c r="DB1239">
        <f>IFERROR(INDEX(PP_Grid[#Data],$DD1239,104),0)</f>
        <v/>
      </c>
      <c r="DC1239">
        <f>IFERROR(INDEX(PP_Grid[#Data],$DD1239,105),0)</f>
        <v/>
      </c>
      <c r="DD1239" s="12">
        <f>IFERROR(MATCH($B1239,PP_Grid[Intermediate],0),99999)</f>
        <v/>
      </c>
    </row>
    <row r="1240">
      <c r="B1240" t="inlineStr">
        <is>
          <t>使用量(kg)</t>
        </is>
      </c>
      <c r="C1240">
        <f>SUMIFS(M_BOM[RM_Qty_Per_Batch],M_BOM[Intermediate],$B1239,M_BOM[Part Name],$A1236)</f>
        <v/>
      </c>
      <c r="D1240">
        <f>$C1240*D1239</f>
        <v/>
      </c>
      <c r="E1240">
        <f>$C1240*E1239</f>
        <v/>
      </c>
      <c r="F1240">
        <f>$C1240*F1239</f>
        <v/>
      </c>
      <c r="G1240">
        <f>$C1240*G1239</f>
        <v/>
      </c>
      <c r="H1240">
        <f>$C1240*H1239</f>
        <v/>
      </c>
      <c r="I1240">
        <f>$C1240*I1239</f>
        <v/>
      </c>
      <c r="J1240">
        <f>$C1240*J1239</f>
        <v/>
      </c>
      <c r="K1240">
        <f>$C1240*K1239</f>
        <v/>
      </c>
      <c r="L1240">
        <f>$C1240*L1239</f>
        <v/>
      </c>
      <c r="M1240">
        <f>$C1240*M1239</f>
        <v/>
      </c>
      <c r="N1240">
        <f>$C1240*N1239</f>
        <v/>
      </c>
      <c r="O1240">
        <f>$C1240*O1239</f>
        <v/>
      </c>
      <c r="P1240">
        <f>$C1240*P1239</f>
        <v/>
      </c>
      <c r="Q1240">
        <f>$C1240*Q1239</f>
        <v/>
      </c>
      <c r="R1240">
        <f>$C1240*R1239</f>
        <v/>
      </c>
      <c r="S1240">
        <f>$C1240*S1239</f>
        <v/>
      </c>
      <c r="T1240">
        <f>$C1240*T1239</f>
        <v/>
      </c>
      <c r="U1240">
        <f>$C1240*U1239</f>
        <v/>
      </c>
      <c r="V1240">
        <f>$C1240*V1239</f>
        <v/>
      </c>
      <c r="W1240">
        <f>$C1240*W1239</f>
        <v/>
      </c>
      <c r="X1240">
        <f>$C1240*X1239</f>
        <v/>
      </c>
      <c r="Y1240">
        <f>$C1240*Y1239</f>
        <v/>
      </c>
      <c r="Z1240">
        <f>$C1240*Z1239</f>
        <v/>
      </c>
      <c r="AA1240">
        <f>$C1240*AA1239</f>
        <v/>
      </c>
      <c r="AB1240">
        <f>$C1240*AB1239</f>
        <v/>
      </c>
      <c r="AC1240">
        <f>$C1240*AC1239</f>
        <v/>
      </c>
      <c r="AD1240">
        <f>$C1240*AD1239</f>
        <v/>
      </c>
      <c r="AE1240">
        <f>$C1240*AE1239</f>
        <v/>
      </c>
      <c r="AF1240">
        <f>$C1240*AF1239</f>
        <v/>
      </c>
      <c r="AG1240">
        <f>$C1240*AG1239</f>
        <v/>
      </c>
      <c r="AH1240">
        <f>$C1240*AH1239</f>
        <v/>
      </c>
      <c r="AI1240">
        <f>$C1240*AI1239</f>
        <v/>
      </c>
      <c r="AJ1240">
        <f>$C1240*AJ1239</f>
        <v/>
      </c>
      <c r="AK1240">
        <f>$C1240*AK1239</f>
        <v/>
      </c>
      <c r="AL1240">
        <f>$C1240*AL1239</f>
        <v/>
      </c>
      <c r="AM1240">
        <f>$C1240*AM1239</f>
        <v/>
      </c>
      <c r="AN1240">
        <f>$C1240*AN1239</f>
        <v/>
      </c>
      <c r="AO1240">
        <f>$C1240*AO1239</f>
        <v/>
      </c>
      <c r="AP1240">
        <f>$C1240*AP1239</f>
        <v/>
      </c>
      <c r="AQ1240">
        <f>$C1240*AQ1239</f>
        <v/>
      </c>
      <c r="AR1240">
        <f>$C1240*AR1239</f>
        <v/>
      </c>
      <c r="AS1240">
        <f>$C1240*AS1239</f>
        <v/>
      </c>
      <c r="AT1240">
        <f>$C1240*AT1239</f>
        <v/>
      </c>
      <c r="AU1240">
        <f>$C1240*AU1239</f>
        <v/>
      </c>
      <c r="AV1240">
        <f>$C1240*AV1239</f>
        <v/>
      </c>
      <c r="AW1240">
        <f>$C1240*AW1239</f>
        <v/>
      </c>
      <c r="AX1240">
        <f>$C1240*AX1239</f>
        <v/>
      </c>
      <c r="AY1240">
        <f>$C1240*AY1239</f>
        <v/>
      </c>
      <c r="AZ1240">
        <f>$C1240*AZ1239</f>
        <v/>
      </c>
      <c r="BA1240">
        <f>$C1240*BA1239</f>
        <v/>
      </c>
      <c r="BB1240">
        <f>$C1240*BB1239</f>
        <v/>
      </c>
      <c r="BC1240">
        <f>$C1240*BC1239</f>
        <v/>
      </c>
      <c r="BD1240">
        <f>$C1240*BD1239</f>
        <v/>
      </c>
      <c r="BE1240">
        <f>$C1240*BE1239</f>
        <v/>
      </c>
      <c r="BF1240">
        <f>$C1240*BF1239</f>
        <v/>
      </c>
      <c r="BG1240">
        <f>$C1240*BG1239</f>
        <v/>
      </c>
      <c r="BH1240">
        <f>$C1240*BH1239</f>
        <v/>
      </c>
      <c r="BI1240">
        <f>$C1240*BI1239</f>
        <v/>
      </c>
      <c r="BJ1240">
        <f>$C1240*BJ1239</f>
        <v/>
      </c>
      <c r="BK1240">
        <f>$C1240*BK1239</f>
        <v/>
      </c>
      <c r="BL1240">
        <f>$C1240*BL1239</f>
        <v/>
      </c>
      <c r="BM1240">
        <f>$C1240*BM1239</f>
        <v/>
      </c>
      <c r="BN1240">
        <f>$C1240*BN1239</f>
        <v/>
      </c>
      <c r="BO1240">
        <f>$C1240*BO1239</f>
        <v/>
      </c>
      <c r="BP1240">
        <f>$C1240*BP1239</f>
        <v/>
      </c>
      <c r="BQ1240">
        <f>$C1240*BQ1239</f>
        <v/>
      </c>
      <c r="BR1240">
        <f>$C1240*BR1239</f>
        <v/>
      </c>
      <c r="BS1240">
        <f>$C1240*BS1239</f>
        <v/>
      </c>
      <c r="BT1240">
        <f>$C1240*BT1239</f>
        <v/>
      </c>
      <c r="BU1240">
        <f>$C1240*BU1239</f>
        <v/>
      </c>
      <c r="BV1240">
        <f>$C1240*BV1239</f>
        <v/>
      </c>
      <c r="BW1240">
        <f>$C1240*BW1239</f>
        <v/>
      </c>
      <c r="BX1240">
        <f>$C1240*BX1239</f>
        <v/>
      </c>
      <c r="BY1240">
        <f>$C1240*BY1239</f>
        <v/>
      </c>
      <c r="BZ1240">
        <f>$C1240*BZ1239</f>
        <v/>
      </c>
      <c r="CA1240">
        <f>$C1240*CA1239</f>
        <v/>
      </c>
      <c r="CB1240">
        <f>$C1240*CB1239</f>
        <v/>
      </c>
      <c r="CC1240">
        <f>$C1240*CC1239</f>
        <v/>
      </c>
      <c r="CD1240">
        <f>$C1240*CD1239</f>
        <v/>
      </c>
      <c r="CE1240">
        <f>$C1240*CE1239</f>
        <v/>
      </c>
      <c r="CF1240">
        <f>$C1240*CF1239</f>
        <v/>
      </c>
      <c r="CG1240">
        <f>$C1240*CG1239</f>
        <v/>
      </c>
      <c r="CH1240">
        <f>$C1240*CH1239</f>
        <v/>
      </c>
      <c r="CI1240">
        <f>$C1240*CI1239</f>
        <v/>
      </c>
      <c r="CJ1240">
        <f>$C1240*CJ1239</f>
        <v/>
      </c>
      <c r="CK1240">
        <f>$C1240*CK1239</f>
        <v/>
      </c>
      <c r="CL1240">
        <f>$C1240*CL1239</f>
        <v/>
      </c>
      <c r="CM1240">
        <f>$C1240*CM1239</f>
        <v/>
      </c>
      <c r="CN1240">
        <f>$C1240*CN1239</f>
        <v/>
      </c>
      <c r="CO1240">
        <f>$C1240*CO1239</f>
        <v/>
      </c>
      <c r="CP1240">
        <f>$C1240*CP1239</f>
        <v/>
      </c>
      <c r="CQ1240">
        <f>$C1240*CQ1239</f>
        <v/>
      </c>
      <c r="CR1240">
        <f>$C1240*CR1239</f>
        <v/>
      </c>
      <c r="CS1240">
        <f>$C1240*CS1239</f>
        <v/>
      </c>
      <c r="CT1240">
        <f>$C1240*CT1239</f>
        <v/>
      </c>
      <c r="CU1240">
        <f>$C1240*CU1239</f>
        <v/>
      </c>
      <c r="CV1240">
        <f>$C1240*CV1239</f>
        <v/>
      </c>
      <c r="CW1240">
        <f>$C1240*CW1239</f>
        <v/>
      </c>
      <c r="CX1240">
        <f>$C1240*CX1239</f>
        <v/>
      </c>
      <c r="CY1240">
        <f>$C1240*CY1239</f>
        <v/>
      </c>
      <c r="CZ1240">
        <f>$C1240*CZ1239</f>
        <v/>
      </c>
      <c r="DA1240">
        <f>$C1240*DA1239</f>
        <v/>
      </c>
      <c r="DB1240">
        <f>$C1240*DB1239</f>
        <v/>
      </c>
      <c r="DC1240">
        <f>$C1240*DC1239</f>
        <v/>
      </c>
    </row>
    <row r="1241">
      <c r="B1241" t="inlineStr">
        <is>
          <t>TSP-966</t>
        </is>
      </c>
      <c r="C1241" t="inlineStr">
        <is>
          <t>No. of batches</t>
        </is>
      </c>
      <c r="D1241">
        <f>IFERROR(INDEX(PP_Grid[#Data],$DD1241,2),0)</f>
        <v/>
      </c>
      <c r="E1241">
        <f>IFERROR(INDEX(PP_Grid[#Data],$DD1241,3),0)</f>
        <v/>
      </c>
      <c r="F1241">
        <f>IFERROR(INDEX(PP_Grid[#Data],$DD1241,4),0)</f>
        <v/>
      </c>
      <c r="G1241">
        <f>IFERROR(INDEX(PP_Grid[#Data],$DD1241,5),0)</f>
        <v/>
      </c>
      <c r="H1241">
        <f>IFERROR(INDEX(PP_Grid[#Data],$DD1241,6),0)</f>
        <v/>
      </c>
      <c r="I1241">
        <f>IFERROR(INDEX(PP_Grid[#Data],$DD1241,7),0)</f>
        <v/>
      </c>
      <c r="J1241">
        <f>IFERROR(INDEX(PP_Grid[#Data],$DD1241,8),0)</f>
        <v/>
      </c>
      <c r="K1241">
        <f>IFERROR(INDEX(PP_Grid[#Data],$DD1241,9),0)</f>
        <v/>
      </c>
      <c r="L1241">
        <f>IFERROR(INDEX(PP_Grid[#Data],$DD1241,10),0)</f>
        <v/>
      </c>
      <c r="M1241">
        <f>IFERROR(INDEX(PP_Grid[#Data],$DD1241,11),0)</f>
        <v/>
      </c>
      <c r="N1241">
        <f>IFERROR(INDEX(PP_Grid[#Data],$DD1241,12),0)</f>
        <v/>
      </c>
      <c r="O1241">
        <f>IFERROR(INDEX(PP_Grid[#Data],$DD1241,13),0)</f>
        <v/>
      </c>
      <c r="P1241">
        <f>IFERROR(INDEX(PP_Grid[#Data],$DD1241,14),0)</f>
        <v/>
      </c>
      <c r="Q1241">
        <f>IFERROR(INDEX(PP_Grid[#Data],$DD1241,15),0)</f>
        <v/>
      </c>
      <c r="R1241">
        <f>IFERROR(INDEX(PP_Grid[#Data],$DD1241,16),0)</f>
        <v/>
      </c>
      <c r="S1241">
        <f>IFERROR(INDEX(PP_Grid[#Data],$DD1241,17),0)</f>
        <v/>
      </c>
      <c r="T1241">
        <f>IFERROR(INDEX(PP_Grid[#Data],$DD1241,18),0)</f>
        <v/>
      </c>
      <c r="U1241">
        <f>IFERROR(INDEX(PP_Grid[#Data],$DD1241,19),0)</f>
        <v/>
      </c>
      <c r="V1241">
        <f>IFERROR(INDEX(PP_Grid[#Data],$DD1241,20),0)</f>
        <v/>
      </c>
      <c r="W1241">
        <f>IFERROR(INDEX(PP_Grid[#Data],$DD1241,21),0)</f>
        <v/>
      </c>
      <c r="X1241">
        <f>IFERROR(INDEX(PP_Grid[#Data],$DD1241,22),0)</f>
        <v/>
      </c>
      <c r="Y1241">
        <f>IFERROR(INDEX(PP_Grid[#Data],$DD1241,23),0)</f>
        <v/>
      </c>
      <c r="Z1241">
        <f>IFERROR(INDEX(PP_Grid[#Data],$DD1241,24),0)</f>
        <v/>
      </c>
      <c r="AA1241">
        <f>IFERROR(INDEX(PP_Grid[#Data],$DD1241,25),0)</f>
        <v/>
      </c>
      <c r="AB1241">
        <f>IFERROR(INDEX(PP_Grid[#Data],$DD1241,26),0)</f>
        <v/>
      </c>
      <c r="AC1241">
        <f>IFERROR(INDEX(PP_Grid[#Data],$DD1241,27),0)</f>
        <v/>
      </c>
      <c r="AD1241">
        <f>IFERROR(INDEX(PP_Grid[#Data],$DD1241,28),0)</f>
        <v/>
      </c>
      <c r="AE1241">
        <f>IFERROR(INDEX(PP_Grid[#Data],$DD1241,29),0)</f>
        <v/>
      </c>
      <c r="AF1241">
        <f>IFERROR(INDEX(PP_Grid[#Data],$DD1241,30),0)</f>
        <v/>
      </c>
      <c r="AG1241">
        <f>IFERROR(INDEX(PP_Grid[#Data],$DD1241,31),0)</f>
        <v/>
      </c>
      <c r="AH1241">
        <f>IFERROR(INDEX(PP_Grid[#Data],$DD1241,32),0)</f>
        <v/>
      </c>
      <c r="AI1241">
        <f>IFERROR(INDEX(PP_Grid[#Data],$DD1241,33),0)</f>
        <v/>
      </c>
      <c r="AJ1241">
        <f>IFERROR(INDEX(PP_Grid[#Data],$DD1241,34),0)</f>
        <v/>
      </c>
      <c r="AK1241">
        <f>IFERROR(INDEX(PP_Grid[#Data],$DD1241,35),0)</f>
        <v/>
      </c>
      <c r="AL1241">
        <f>IFERROR(INDEX(PP_Grid[#Data],$DD1241,36),0)</f>
        <v/>
      </c>
      <c r="AM1241">
        <f>IFERROR(INDEX(PP_Grid[#Data],$DD1241,37),0)</f>
        <v/>
      </c>
      <c r="AN1241">
        <f>IFERROR(INDEX(PP_Grid[#Data],$DD1241,38),0)</f>
        <v/>
      </c>
      <c r="AO1241">
        <f>IFERROR(INDEX(PP_Grid[#Data],$DD1241,39),0)</f>
        <v/>
      </c>
      <c r="AP1241">
        <f>IFERROR(INDEX(PP_Grid[#Data],$DD1241,40),0)</f>
        <v/>
      </c>
      <c r="AQ1241">
        <f>IFERROR(INDEX(PP_Grid[#Data],$DD1241,41),0)</f>
        <v/>
      </c>
      <c r="AR1241">
        <f>IFERROR(INDEX(PP_Grid[#Data],$DD1241,42),0)</f>
        <v/>
      </c>
      <c r="AS1241">
        <f>IFERROR(INDEX(PP_Grid[#Data],$DD1241,43),0)</f>
        <v/>
      </c>
      <c r="AT1241">
        <f>IFERROR(INDEX(PP_Grid[#Data],$DD1241,44),0)</f>
        <v/>
      </c>
      <c r="AU1241">
        <f>IFERROR(INDEX(PP_Grid[#Data],$DD1241,45),0)</f>
        <v/>
      </c>
      <c r="AV1241">
        <f>IFERROR(INDEX(PP_Grid[#Data],$DD1241,46),0)</f>
        <v/>
      </c>
      <c r="AW1241">
        <f>IFERROR(INDEX(PP_Grid[#Data],$DD1241,47),0)</f>
        <v/>
      </c>
      <c r="AX1241">
        <f>IFERROR(INDEX(PP_Grid[#Data],$DD1241,48),0)</f>
        <v/>
      </c>
      <c r="AY1241">
        <f>IFERROR(INDEX(PP_Grid[#Data],$DD1241,49),0)</f>
        <v/>
      </c>
      <c r="AZ1241">
        <f>IFERROR(INDEX(PP_Grid[#Data],$DD1241,50),0)</f>
        <v/>
      </c>
      <c r="BA1241">
        <f>IFERROR(INDEX(PP_Grid[#Data],$DD1241,51),0)</f>
        <v/>
      </c>
      <c r="BB1241">
        <f>IFERROR(INDEX(PP_Grid[#Data],$DD1241,52),0)</f>
        <v/>
      </c>
      <c r="BC1241">
        <f>IFERROR(INDEX(PP_Grid[#Data],$DD1241,53),0)</f>
        <v/>
      </c>
      <c r="BD1241">
        <f>IFERROR(INDEX(PP_Grid[#Data],$DD1241,54),0)</f>
        <v/>
      </c>
      <c r="BE1241">
        <f>IFERROR(INDEX(PP_Grid[#Data],$DD1241,55),0)</f>
        <v/>
      </c>
      <c r="BF1241">
        <f>IFERROR(INDEX(PP_Grid[#Data],$DD1241,56),0)</f>
        <v/>
      </c>
      <c r="BG1241">
        <f>IFERROR(INDEX(PP_Grid[#Data],$DD1241,57),0)</f>
        <v/>
      </c>
      <c r="BH1241">
        <f>IFERROR(INDEX(PP_Grid[#Data],$DD1241,58),0)</f>
        <v/>
      </c>
      <c r="BI1241">
        <f>IFERROR(INDEX(PP_Grid[#Data],$DD1241,59),0)</f>
        <v/>
      </c>
      <c r="BJ1241">
        <f>IFERROR(INDEX(PP_Grid[#Data],$DD1241,60),0)</f>
        <v/>
      </c>
      <c r="BK1241">
        <f>IFERROR(INDEX(PP_Grid[#Data],$DD1241,61),0)</f>
        <v/>
      </c>
      <c r="BL1241">
        <f>IFERROR(INDEX(PP_Grid[#Data],$DD1241,62),0)</f>
        <v/>
      </c>
      <c r="BM1241">
        <f>IFERROR(INDEX(PP_Grid[#Data],$DD1241,63),0)</f>
        <v/>
      </c>
      <c r="BN1241">
        <f>IFERROR(INDEX(PP_Grid[#Data],$DD1241,64),0)</f>
        <v/>
      </c>
      <c r="BO1241">
        <f>IFERROR(INDEX(PP_Grid[#Data],$DD1241,65),0)</f>
        <v/>
      </c>
      <c r="BP1241">
        <f>IFERROR(INDEX(PP_Grid[#Data],$DD1241,66),0)</f>
        <v/>
      </c>
      <c r="BQ1241">
        <f>IFERROR(INDEX(PP_Grid[#Data],$DD1241,67),0)</f>
        <v/>
      </c>
      <c r="BR1241">
        <f>IFERROR(INDEX(PP_Grid[#Data],$DD1241,68),0)</f>
        <v/>
      </c>
      <c r="BS1241">
        <f>IFERROR(INDEX(PP_Grid[#Data],$DD1241,69),0)</f>
        <v/>
      </c>
      <c r="BT1241">
        <f>IFERROR(INDEX(PP_Grid[#Data],$DD1241,70),0)</f>
        <v/>
      </c>
      <c r="BU1241">
        <f>IFERROR(INDEX(PP_Grid[#Data],$DD1241,71),0)</f>
        <v/>
      </c>
      <c r="BV1241">
        <f>IFERROR(INDEX(PP_Grid[#Data],$DD1241,72),0)</f>
        <v/>
      </c>
      <c r="BW1241">
        <f>IFERROR(INDEX(PP_Grid[#Data],$DD1241,73),0)</f>
        <v/>
      </c>
      <c r="BX1241">
        <f>IFERROR(INDEX(PP_Grid[#Data],$DD1241,74),0)</f>
        <v/>
      </c>
      <c r="BY1241">
        <f>IFERROR(INDEX(PP_Grid[#Data],$DD1241,75),0)</f>
        <v/>
      </c>
      <c r="BZ1241">
        <f>IFERROR(INDEX(PP_Grid[#Data],$DD1241,76),0)</f>
        <v/>
      </c>
      <c r="CA1241">
        <f>IFERROR(INDEX(PP_Grid[#Data],$DD1241,77),0)</f>
        <v/>
      </c>
      <c r="CB1241">
        <f>IFERROR(INDEX(PP_Grid[#Data],$DD1241,78),0)</f>
        <v/>
      </c>
      <c r="CC1241">
        <f>IFERROR(INDEX(PP_Grid[#Data],$DD1241,79),0)</f>
        <v/>
      </c>
      <c r="CD1241">
        <f>IFERROR(INDEX(PP_Grid[#Data],$DD1241,80),0)</f>
        <v/>
      </c>
      <c r="CE1241">
        <f>IFERROR(INDEX(PP_Grid[#Data],$DD1241,81),0)</f>
        <v/>
      </c>
      <c r="CF1241">
        <f>IFERROR(INDEX(PP_Grid[#Data],$DD1241,82),0)</f>
        <v/>
      </c>
      <c r="CG1241">
        <f>IFERROR(INDEX(PP_Grid[#Data],$DD1241,83),0)</f>
        <v/>
      </c>
      <c r="CH1241">
        <f>IFERROR(INDEX(PP_Grid[#Data],$DD1241,84),0)</f>
        <v/>
      </c>
      <c r="CI1241">
        <f>IFERROR(INDEX(PP_Grid[#Data],$DD1241,85),0)</f>
        <v/>
      </c>
      <c r="CJ1241">
        <f>IFERROR(INDEX(PP_Grid[#Data],$DD1241,86),0)</f>
        <v/>
      </c>
      <c r="CK1241">
        <f>IFERROR(INDEX(PP_Grid[#Data],$DD1241,87),0)</f>
        <v/>
      </c>
      <c r="CL1241">
        <f>IFERROR(INDEX(PP_Grid[#Data],$DD1241,88),0)</f>
        <v/>
      </c>
      <c r="CM1241">
        <f>IFERROR(INDEX(PP_Grid[#Data],$DD1241,89),0)</f>
        <v/>
      </c>
      <c r="CN1241">
        <f>IFERROR(INDEX(PP_Grid[#Data],$DD1241,90),0)</f>
        <v/>
      </c>
      <c r="CO1241">
        <f>IFERROR(INDEX(PP_Grid[#Data],$DD1241,91),0)</f>
        <v/>
      </c>
      <c r="CP1241">
        <f>IFERROR(INDEX(PP_Grid[#Data],$DD1241,92),0)</f>
        <v/>
      </c>
      <c r="CQ1241">
        <f>IFERROR(INDEX(PP_Grid[#Data],$DD1241,93),0)</f>
        <v/>
      </c>
      <c r="CR1241">
        <f>IFERROR(INDEX(PP_Grid[#Data],$DD1241,94),0)</f>
        <v/>
      </c>
      <c r="CS1241">
        <f>IFERROR(INDEX(PP_Grid[#Data],$DD1241,95),0)</f>
        <v/>
      </c>
      <c r="CT1241">
        <f>IFERROR(INDEX(PP_Grid[#Data],$DD1241,96),0)</f>
        <v/>
      </c>
      <c r="CU1241">
        <f>IFERROR(INDEX(PP_Grid[#Data],$DD1241,97),0)</f>
        <v/>
      </c>
      <c r="CV1241">
        <f>IFERROR(INDEX(PP_Grid[#Data],$DD1241,98),0)</f>
        <v/>
      </c>
      <c r="CW1241">
        <f>IFERROR(INDEX(PP_Grid[#Data],$DD1241,99),0)</f>
        <v/>
      </c>
      <c r="CX1241">
        <f>IFERROR(INDEX(PP_Grid[#Data],$DD1241,100),0)</f>
        <v/>
      </c>
      <c r="CY1241">
        <f>IFERROR(INDEX(PP_Grid[#Data],$DD1241,101),0)</f>
        <v/>
      </c>
      <c r="CZ1241">
        <f>IFERROR(INDEX(PP_Grid[#Data],$DD1241,102),0)</f>
        <v/>
      </c>
      <c r="DA1241">
        <f>IFERROR(INDEX(PP_Grid[#Data],$DD1241,103),0)</f>
        <v/>
      </c>
      <c r="DB1241">
        <f>IFERROR(INDEX(PP_Grid[#Data],$DD1241,104),0)</f>
        <v/>
      </c>
      <c r="DC1241">
        <f>IFERROR(INDEX(PP_Grid[#Data],$DD1241,105),0)</f>
        <v/>
      </c>
      <c r="DD1241" s="12">
        <f>IFERROR(MATCH($B1241,PP_Grid[Intermediate],0),99999)</f>
        <v/>
      </c>
    </row>
    <row r="1242">
      <c r="B1242" t="inlineStr">
        <is>
          <t>使用量(kg)</t>
        </is>
      </c>
      <c r="C1242">
        <f>SUMIFS(M_BOM[RM_Qty_Per_Batch],M_BOM[Intermediate],$B1241,M_BOM[Part Name],$A1236)</f>
        <v/>
      </c>
      <c r="D1242">
        <f>$C1242*D1241</f>
        <v/>
      </c>
      <c r="E1242">
        <f>$C1242*E1241</f>
        <v/>
      </c>
      <c r="F1242">
        <f>$C1242*F1241</f>
        <v/>
      </c>
      <c r="G1242">
        <f>$C1242*G1241</f>
        <v/>
      </c>
      <c r="H1242">
        <f>$C1242*H1241</f>
        <v/>
      </c>
      <c r="I1242">
        <f>$C1242*I1241</f>
        <v/>
      </c>
      <c r="J1242">
        <f>$C1242*J1241</f>
        <v/>
      </c>
      <c r="K1242">
        <f>$C1242*K1241</f>
        <v/>
      </c>
      <c r="L1242">
        <f>$C1242*L1241</f>
        <v/>
      </c>
      <c r="M1242">
        <f>$C1242*M1241</f>
        <v/>
      </c>
      <c r="N1242">
        <f>$C1242*N1241</f>
        <v/>
      </c>
      <c r="O1242">
        <f>$C1242*O1241</f>
        <v/>
      </c>
      <c r="P1242">
        <f>$C1242*P1241</f>
        <v/>
      </c>
      <c r="Q1242">
        <f>$C1242*Q1241</f>
        <v/>
      </c>
      <c r="R1242">
        <f>$C1242*R1241</f>
        <v/>
      </c>
      <c r="S1242">
        <f>$C1242*S1241</f>
        <v/>
      </c>
      <c r="T1242">
        <f>$C1242*T1241</f>
        <v/>
      </c>
      <c r="U1242">
        <f>$C1242*U1241</f>
        <v/>
      </c>
      <c r="V1242">
        <f>$C1242*V1241</f>
        <v/>
      </c>
      <c r="W1242">
        <f>$C1242*W1241</f>
        <v/>
      </c>
      <c r="X1242">
        <f>$C1242*X1241</f>
        <v/>
      </c>
      <c r="Y1242">
        <f>$C1242*Y1241</f>
        <v/>
      </c>
      <c r="Z1242">
        <f>$C1242*Z1241</f>
        <v/>
      </c>
      <c r="AA1242">
        <f>$C1242*AA1241</f>
        <v/>
      </c>
      <c r="AB1242">
        <f>$C1242*AB1241</f>
        <v/>
      </c>
      <c r="AC1242">
        <f>$C1242*AC1241</f>
        <v/>
      </c>
      <c r="AD1242">
        <f>$C1242*AD1241</f>
        <v/>
      </c>
      <c r="AE1242">
        <f>$C1242*AE1241</f>
        <v/>
      </c>
      <c r="AF1242">
        <f>$C1242*AF1241</f>
        <v/>
      </c>
      <c r="AG1242">
        <f>$C1242*AG1241</f>
        <v/>
      </c>
      <c r="AH1242">
        <f>$C1242*AH1241</f>
        <v/>
      </c>
      <c r="AI1242">
        <f>$C1242*AI1241</f>
        <v/>
      </c>
      <c r="AJ1242">
        <f>$C1242*AJ1241</f>
        <v/>
      </c>
      <c r="AK1242">
        <f>$C1242*AK1241</f>
        <v/>
      </c>
      <c r="AL1242">
        <f>$C1242*AL1241</f>
        <v/>
      </c>
      <c r="AM1242">
        <f>$C1242*AM1241</f>
        <v/>
      </c>
      <c r="AN1242">
        <f>$C1242*AN1241</f>
        <v/>
      </c>
      <c r="AO1242">
        <f>$C1242*AO1241</f>
        <v/>
      </c>
      <c r="AP1242">
        <f>$C1242*AP1241</f>
        <v/>
      </c>
      <c r="AQ1242">
        <f>$C1242*AQ1241</f>
        <v/>
      </c>
      <c r="AR1242">
        <f>$C1242*AR1241</f>
        <v/>
      </c>
      <c r="AS1242">
        <f>$C1242*AS1241</f>
        <v/>
      </c>
      <c r="AT1242">
        <f>$C1242*AT1241</f>
        <v/>
      </c>
      <c r="AU1242">
        <f>$C1242*AU1241</f>
        <v/>
      </c>
      <c r="AV1242">
        <f>$C1242*AV1241</f>
        <v/>
      </c>
      <c r="AW1242">
        <f>$C1242*AW1241</f>
        <v/>
      </c>
      <c r="AX1242">
        <f>$C1242*AX1241</f>
        <v/>
      </c>
      <c r="AY1242">
        <f>$C1242*AY1241</f>
        <v/>
      </c>
      <c r="AZ1242">
        <f>$C1242*AZ1241</f>
        <v/>
      </c>
      <c r="BA1242">
        <f>$C1242*BA1241</f>
        <v/>
      </c>
      <c r="BB1242">
        <f>$C1242*BB1241</f>
        <v/>
      </c>
      <c r="BC1242">
        <f>$C1242*BC1241</f>
        <v/>
      </c>
      <c r="BD1242">
        <f>$C1242*BD1241</f>
        <v/>
      </c>
      <c r="BE1242">
        <f>$C1242*BE1241</f>
        <v/>
      </c>
      <c r="BF1242">
        <f>$C1242*BF1241</f>
        <v/>
      </c>
      <c r="BG1242">
        <f>$C1242*BG1241</f>
        <v/>
      </c>
      <c r="BH1242">
        <f>$C1242*BH1241</f>
        <v/>
      </c>
      <c r="BI1242">
        <f>$C1242*BI1241</f>
        <v/>
      </c>
      <c r="BJ1242">
        <f>$C1242*BJ1241</f>
        <v/>
      </c>
      <c r="BK1242">
        <f>$C1242*BK1241</f>
        <v/>
      </c>
      <c r="BL1242">
        <f>$C1242*BL1241</f>
        <v/>
      </c>
      <c r="BM1242">
        <f>$C1242*BM1241</f>
        <v/>
      </c>
      <c r="BN1242">
        <f>$C1242*BN1241</f>
        <v/>
      </c>
      <c r="BO1242">
        <f>$C1242*BO1241</f>
        <v/>
      </c>
      <c r="BP1242">
        <f>$C1242*BP1241</f>
        <v/>
      </c>
      <c r="BQ1242">
        <f>$C1242*BQ1241</f>
        <v/>
      </c>
      <c r="BR1242">
        <f>$C1242*BR1241</f>
        <v/>
      </c>
      <c r="BS1242">
        <f>$C1242*BS1241</f>
        <v/>
      </c>
      <c r="BT1242">
        <f>$C1242*BT1241</f>
        <v/>
      </c>
      <c r="BU1242">
        <f>$C1242*BU1241</f>
        <v/>
      </c>
      <c r="BV1242">
        <f>$C1242*BV1241</f>
        <v/>
      </c>
      <c r="BW1242">
        <f>$C1242*BW1241</f>
        <v/>
      </c>
      <c r="BX1242">
        <f>$C1242*BX1241</f>
        <v/>
      </c>
      <c r="BY1242">
        <f>$C1242*BY1241</f>
        <v/>
      </c>
      <c r="BZ1242">
        <f>$C1242*BZ1241</f>
        <v/>
      </c>
      <c r="CA1242">
        <f>$C1242*CA1241</f>
        <v/>
      </c>
      <c r="CB1242">
        <f>$C1242*CB1241</f>
        <v/>
      </c>
      <c r="CC1242">
        <f>$C1242*CC1241</f>
        <v/>
      </c>
      <c r="CD1242">
        <f>$C1242*CD1241</f>
        <v/>
      </c>
      <c r="CE1242">
        <f>$C1242*CE1241</f>
        <v/>
      </c>
      <c r="CF1242">
        <f>$C1242*CF1241</f>
        <v/>
      </c>
      <c r="CG1242">
        <f>$C1242*CG1241</f>
        <v/>
      </c>
      <c r="CH1242">
        <f>$C1242*CH1241</f>
        <v/>
      </c>
      <c r="CI1242">
        <f>$C1242*CI1241</f>
        <v/>
      </c>
      <c r="CJ1242">
        <f>$C1242*CJ1241</f>
        <v/>
      </c>
      <c r="CK1242">
        <f>$C1242*CK1241</f>
        <v/>
      </c>
      <c r="CL1242">
        <f>$C1242*CL1241</f>
        <v/>
      </c>
      <c r="CM1242">
        <f>$C1242*CM1241</f>
        <v/>
      </c>
      <c r="CN1242">
        <f>$C1242*CN1241</f>
        <v/>
      </c>
      <c r="CO1242">
        <f>$C1242*CO1241</f>
        <v/>
      </c>
      <c r="CP1242">
        <f>$C1242*CP1241</f>
        <v/>
      </c>
      <c r="CQ1242">
        <f>$C1242*CQ1241</f>
        <v/>
      </c>
      <c r="CR1242">
        <f>$C1242*CR1241</f>
        <v/>
      </c>
      <c r="CS1242">
        <f>$C1242*CS1241</f>
        <v/>
      </c>
      <c r="CT1242">
        <f>$C1242*CT1241</f>
        <v/>
      </c>
      <c r="CU1242">
        <f>$C1242*CU1241</f>
        <v/>
      </c>
      <c r="CV1242">
        <f>$C1242*CV1241</f>
        <v/>
      </c>
      <c r="CW1242">
        <f>$C1242*CW1241</f>
        <v/>
      </c>
      <c r="CX1242">
        <f>$C1242*CX1241</f>
        <v/>
      </c>
      <c r="CY1242">
        <f>$C1242*CY1241</f>
        <v/>
      </c>
      <c r="CZ1242">
        <f>$C1242*CZ1241</f>
        <v/>
      </c>
      <c r="DA1242">
        <f>$C1242*DA1241</f>
        <v/>
      </c>
      <c r="DB1242">
        <f>$C1242*DB1241</f>
        <v/>
      </c>
      <c r="DC1242">
        <f>$C1242*DC1241</f>
        <v/>
      </c>
    </row>
    <row r="1243">
      <c r="B1243" s="5" t="inlineStr">
        <is>
          <t>合計使用量(kg)/週</t>
        </is>
      </c>
      <c r="D1243">
        <f>'Grid_Requirement'!B60</f>
        <v/>
      </c>
      <c r="E1243">
        <f>'Grid_Requirement'!C60</f>
        <v/>
      </c>
      <c r="F1243">
        <f>'Grid_Requirement'!D60</f>
        <v/>
      </c>
      <c r="G1243">
        <f>'Grid_Requirement'!E60</f>
        <v/>
      </c>
      <c r="H1243">
        <f>'Grid_Requirement'!F60</f>
        <v/>
      </c>
      <c r="I1243">
        <f>'Grid_Requirement'!G60</f>
        <v/>
      </c>
      <c r="J1243">
        <f>'Grid_Requirement'!H60</f>
        <v/>
      </c>
      <c r="K1243">
        <f>'Grid_Requirement'!I60</f>
        <v/>
      </c>
      <c r="L1243">
        <f>'Grid_Requirement'!J60</f>
        <v/>
      </c>
      <c r="M1243">
        <f>'Grid_Requirement'!K60</f>
        <v/>
      </c>
      <c r="N1243">
        <f>'Grid_Requirement'!L60</f>
        <v/>
      </c>
      <c r="O1243">
        <f>'Grid_Requirement'!M60</f>
        <v/>
      </c>
      <c r="P1243">
        <f>'Grid_Requirement'!N60</f>
        <v/>
      </c>
      <c r="Q1243">
        <f>'Grid_Requirement'!O60</f>
        <v/>
      </c>
      <c r="R1243">
        <f>'Grid_Requirement'!P60</f>
        <v/>
      </c>
      <c r="S1243">
        <f>'Grid_Requirement'!Q60</f>
        <v/>
      </c>
      <c r="T1243">
        <f>'Grid_Requirement'!R60</f>
        <v/>
      </c>
      <c r="U1243">
        <f>'Grid_Requirement'!S60</f>
        <v/>
      </c>
      <c r="V1243">
        <f>'Grid_Requirement'!T60</f>
        <v/>
      </c>
      <c r="W1243">
        <f>'Grid_Requirement'!U60</f>
        <v/>
      </c>
      <c r="X1243">
        <f>'Grid_Requirement'!V60</f>
        <v/>
      </c>
      <c r="Y1243">
        <f>'Grid_Requirement'!W60</f>
        <v/>
      </c>
      <c r="Z1243">
        <f>'Grid_Requirement'!X60</f>
        <v/>
      </c>
      <c r="AA1243">
        <f>'Grid_Requirement'!Y60</f>
        <v/>
      </c>
      <c r="AB1243">
        <f>'Grid_Requirement'!Z60</f>
        <v/>
      </c>
      <c r="AC1243">
        <f>'Grid_Requirement'!AA60</f>
        <v/>
      </c>
      <c r="AD1243">
        <f>'Grid_Requirement'!AB60</f>
        <v/>
      </c>
      <c r="AE1243">
        <f>'Grid_Requirement'!AC60</f>
        <v/>
      </c>
      <c r="AF1243">
        <f>'Grid_Requirement'!AD60</f>
        <v/>
      </c>
      <c r="AG1243">
        <f>'Grid_Requirement'!AE60</f>
        <v/>
      </c>
      <c r="AH1243">
        <f>'Grid_Requirement'!AF60</f>
        <v/>
      </c>
      <c r="AI1243">
        <f>'Grid_Requirement'!AG60</f>
        <v/>
      </c>
      <c r="AJ1243">
        <f>'Grid_Requirement'!AH60</f>
        <v/>
      </c>
      <c r="AK1243">
        <f>'Grid_Requirement'!AI60</f>
        <v/>
      </c>
      <c r="AL1243">
        <f>'Grid_Requirement'!AJ60</f>
        <v/>
      </c>
      <c r="AM1243">
        <f>'Grid_Requirement'!AK60</f>
        <v/>
      </c>
      <c r="AN1243">
        <f>'Grid_Requirement'!AL60</f>
        <v/>
      </c>
      <c r="AO1243">
        <f>'Grid_Requirement'!AM60</f>
        <v/>
      </c>
      <c r="AP1243">
        <f>'Grid_Requirement'!AN60</f>
        <v/>
      </c>
      <c r="AQ1243">
        <f>'Grid_Requirement'!AO60</f>
        <v/>
      </c>
      <c r="AR1243">
        <f>'Grid_Requirement'!AP60</f>
        <v/>
      </c>
      <c r="AS1243">
        <f>'Grid_Requirement'!AQ60</f>
        <v/>
      </c>
      <c r="AT1243">
        <f>'Grid_Requirement'!AR60</f>
        <v/>
      </c>
      <c r="AU1243">
        <f>'Grid_Requirement'!AS60</f>
        <v/>
      </c>
      <c r="AV1243">
        <f>'Grid_Requirement'!AT60</f>
        <v/>
      </c>
      <c r="AW1243">
        <f>'Grid_Requirement'!AU60</f>
        <v/>
      </c>
      <c r="AX1243">
        <f>'Grid_Requirement'!AV60</f>
        <v/>
      </c>
      <c r="AY1243">
        <f>'Grid_Requirement'!AW60</f>
        <v/>
      </c>
      <c r="AZ1243">
        <f>'Grid_Requirement'!AX60</f>
        <v/>
      </c>
      <c r="BA1243">
        <f>'Grid_Requirement'!AY60</f>
        <v/>
      </c>
      <c r="BB1243">
        <f>'Grid_Requirement'!AZ60</f>
        <v/>
      </c>
      <c r="BC1243">
        <f>'Grid_Requirement'!BA60</f>
        <v/>
      </c>
      <c r="BD1243">
        <f>'Grid_Requirement'!BB60</f>
        <v/>
      </c>
      <c r="BE1243">
        <f>'Grid_Requirement'!BC60</f>
        <v/>
      </c>
      <c r="BF1243">
        <f>'Grid_Requirement'!BD60</f>
        <v/>
      </c>
      <c r="BG1243">
        <f>'Grid_Requirement'!BE60</f>
        <v/>
      </c>
      <c r="BH1243">
        <f>'Grid_Requirement'!BF60</f>
        <v/>
      </c>
      <c r="BI1243">
        <f>'Grid_Requirement'!BG60</f>
        <v/>
      </c>
      <c r="BJ1243">
        <f>'Grid_Requirement'!BH60</f>
        <v/>
      </c>
      <c r="BK1243">
        <f>'Grid_Requirement'!BI60</f>
        <v/>
      </c>
      <c r="BL1243">
        <f>'Grid_Requirement'!BJ60</f>
        <v/>
      </c>
      <c r="BM1243">
        <f>'Grid_Requirement'!BK60</f>
        <v/>
      </c>
      <c r="BN1243">
        <f>'Grid_Requirement'!BL60</f>
        <v/>
      </c>
      <c r="BO1243">
        <f>'Grid_Requirement'!BM60</f>
        <v/>
      </c>
      <c r="BP1243">
        <f>'Grid_Requirement'!BN60</f>
        <v/>
      </c>
      <c r="BQ1243">
        <f>'Grid_Requirement'!BO60</f>
        <v/>
      </c>
      <c r="BR1243">
        <f>'Grid_Requirement'!BP60</f>
        <v/>
      </c>
      <c r="BS1243">
        <f>'Grid_Requirement'!BQ60</f>
        <v/>
      </c>
      <c r="BT1243">
        <f>'Grid_Requirement'!BR60</f>
        <v/>
      </c>
      <c r="BU1243">
        <f>'Grid_Requirement'!BS60</f>
        <v/>
      </c>
      <c r="BV1243">
        <f>'Grid_Requirement'!BT60</f>
        <v/>
      </c>
      <c r="BW1243">
        <f>'Grid_Requirement'!BU60</f>
        <v/>
      </c>
      <c r="BX1243">
        <f>'Grid_Requirement'!BV60</f>
        <v/>
      </c>
      <c r="BY1243">
        <f>'Grid_Requirement'!BW60</f>
        <v/>
      </c>
      <c r="BZ1243">
        <f>'Grid_Requirement'!BX60</f>
        <v/>
      </c>
      <c r="CA1243">
        <f>'Grid_Requirement'!BY60</f>
        <v/>
      </c>
      <c r="CB1243">
        <f>'Grid_Requirement'!BZ60</f>
        <v/>
      </c>
      <c r="CC1243">
        <f>'Grid_Requirement'!CA60</f>
        <v/>
      </c>
      <c r="CD1243">
        <f>'Grid_Requirement'!CB60</f>
        <v/>
      </c>
      <c r="CE1243">
        <f>'Grid_Requirement'!CC60</f>
        <v/>
      </c>
      <c r="CF1243">
        <f>'Grid_Requirement'!CD60</f>
        <v/>
      </c>
      <c r="CG1243">
        <f>'Grid_Requirement'!CE60</f>
        <v/>
      </c>
      <c r="CH1243">
        <f>'Grid_Requirement'!CF60</f>
        <v/>
      </c>
      <c r="CI1243">
        <f>'Grid_Requirement'!CG60</f>
        <v/>
      </c>
      <c r="CJ1243">
        <f>'Grid_Requirement'!CH60</f>
        <v/>
      </c>
      <c r="CK1243">
        <f>'Grid_Requirement'!CI60</f>
        <v/>
      </c>
      <c r="CL1243">
        <f>'Grid_Requirement'!CJ60</f>
        <v/>
      </c>
      <c r="CM1243">
        <f>'Grid_Requirement'!CK60</f>
        <v/>
      </c>
      <c r="CN1243">
        <f>'Grid_Requirement'!CL60</f>
        <v/>
      </c>
      <c r="CO1243">
        <f>'Grid_Requirement'!CM60</f>
        <v/>
      </c>
      <c r="CP1243">
        <f>'Grid_Requirement'!CN60</f>
        <v/>
      </c>
      <c r="CQ1243">
        <f>'Grid_Requirement'!CO60</f>
        <v/>
      </c>
      <c r="CR1243">
        <f>'Grid_Requirement'!CP60</f>
        <v/>
      </c>
      <c r="CS1243">
        <f>'Grid_Requirement'!CQ60</f>
        <v/>
      </c>
      <c r="CT1243">
        <f>'Grid_Requirement'!CR60</f>
        <v/>
      </c>
      <c r="CU1243">
        <f>'Grid_Requirement'!CS60</f>
        <v/>
      </c>
      <c r="CV1243">
        <f>'Grid_Requirement'!CT60</f>
        <v/>
      </c>
      <c r="CW1243">
        <f>'Grid_Requirement'!CU60</f>
        <v/>
      </c>
      <c r="CX1243">
        <f>'Grid_Requirement'!CV60</f>
        <v/>
      </c>
      <c r="CY1243">
        <f>'Grid_Requirement'!CW60</f>
        <v/>
      </c>
      <c r="CZ1243">
        <f>'Grid_Requirement'!CX60</f>
        <v/>
      </c>
      <c r="DA1243">
        <f>'Grid_Requirement'!CY60</f>
        <v/>
      </c>
      <c r="DB1243">
        <f>'Grid_Requirement'!CZ60</f>
        <v/>
      </c>
      <c r="DC1243">
        <f>'Grid_Requirement'!DA60</f>
        <v/>
      </c>
    </row>
    <row r="1244">
      <c r="B1244" t="inlineStr">
        <is>
          <t>TTAF在庫(実績,kg)</t>
        </is>
      </c>
      <c r="D1244">
        <f>'T_TTAFStock'!B64</f>
        <v/>
      </c>
      <c r="E1244">
        <f>'T_TTAFStock'!C64</f>
        <v/>
      </c>
      <c r="F1244">
        <f>'T_TTAFStock'!D64</f>
        <v/>
      </c>
      <c r="G1244">
        <f>'T_TTAFStock'!E64</f>
        <v/>
      </c>
      <c r="H1244">
        <f>'T_TTAFStock'!F64</f>
        <v/>
      </c>
      <c r="I1244">
        <f>'T_TTAFStock'!G64</f>
        <v/>
      </c>
      <c r="J1244">
        <f>'T_TTAFStock'!H64</f>
        <v/>
      </c>
      <c r="K1244">
        <f>'T_TTAFStock'!I64</f>
        <v/>
      </c>
      <c r="L1244">
        <f>'T_TTAFStock'!J64</f>
        <v/>
      </c>
      <c r="M1244">
        <f>'T_TTAFStock'!K64</f>
        <v/>
      </c>
      <c r="N1244">
        <f>'T_TTAFStock'!L64</f>
        <v/>
      </c>
      <c r="O1244">
        <f>'T_TTAFStock'!M64</f>
        <v/>
      </c>
      <c r="P1244">
        <f>'T_TTAFStock'!N64</f>
        <v/>
      </c>
      <c r="Q1244">
        <f>'T_TTAFStock'!O64</f>
        <v/>
      </c>
      <c r="R1244">
        <f>'T_TTAFStock'!P64</f>
        <v/>
      </c>
      <c r="S1244">
        <f>'T_TTAFStock'!Q64</f>
        <v/>
      </c>
      <c r="T1244">
        <f>'T_TTAFStock'!R64</f>
        <v/>
      </c>
      <c r="U1244">
        <f>'T_TTAFStock'!S64</f>
        <v/>
      </c>
      <c r="V1244">
        <f>'T_TTAFStock'!T64</f>
        <v/>
      </c>
      <c r="W1244">
        <f>'T_TTAFStock'!U64</f>
        <v/>
      </c>
      <c r="X1244">
        <f>'T_TTAFStock'!V64</f>
        <v/>
      </c>
      <c r="Y1244">
        <f>'T_TTAFStock'!W64</f>
        <v/>
      </c>
      <c r="Z1244">
        <f>'T_TTAFStock'!X64</f>
        <v/>
      </c>
      <c r="AA1244">
        <f>'T_TTAFStock'!Y64</f>
        <v/>
      </c>
      <c r="AB1244">
        <f>'T_TTAFStock'!Z64</f>
        <v/>
      </c>
      <c r="AC1244">
        <f>'T_TTAFStock'!AA64</f>
        <v/>
      </c>
      <c r="AD1244">
        <f>'T_TTAFStock'!AB64</f>
        <v/>
      </c>
      <c r="AE1244">
        <f>'T_TTAFStock'!AC64</f>
        <v/>
      </c>
      <c r="AF1244">
        <f>'T_TTAFStock'!AD64</f>
        <v/>
      </c>
      <c r="AG1244">
        <f>'T_TTAFStock'!AE64</f>
        <v/>
      </c>
      <c r="AH1244">
        <f>'T_TTAFStock'!AF64</f>
        <v/>
      </c>
      <c r="AI1244">
        <f>'T_TTAFStock'!AG64</f>
        <v/>
      </c>
      <c r="AJ1244">
        <f>'T_TTAFStock'!AH64</f>
        <v/>
      </c>
      <c r="AK1244">
        <f>'T_TTAFStock'!AI64</f>
        <v/>
      </c>
      <c r="AL1244">
        <f>'T_TTAFStock'!AJ64</f>
        <v/>
      </c>
      <c r="AM1244">
        <f>'T_TTAFStock'!AK64</f>
        <v/>
      </c>
      <c r="AN1244">
        <f>'T_TTAFStock'!AL64</f>
        <v/>
      </c>
      <c r="AO1244">
        <f>'T_TTAFStock'!AM64</f>
        <v/>
      </c>
      <c r="AP1244">
        <f>'T_TTAFStock'!AN64</f>
        <v/>
      </c>
      <c r="AQ1244">
        <f>'T_TTAFStock'!AO64</f>
        <v/>
      </c>
      <c r="AR1244">
        <f>'T_TTAFStock'!AP64</f>
        <v/>
      </c>
      <c r="AS1244">
        <f>'T_TTAFStock'!AQ64</f>
        <v/>
      </c>
      <c r="AT1244">
        <f>'T_TTAFStock'!AR64</f>
        <v/>
      </c>
      <c r="AU1244">
        <f>'T_TTAFStock'!AS64</f>
        <v/>
      </c>
      <c r="AV1244">
        <f>'T_TTAFStock'!AT64</f>
        <v/>
      </c>
      <c r="AW1244">
        <f>'T_TTAFStock'!AU64</f>
        <v/>
      </c>
      <c r="AX1244">
        <f>'T_TTAFStock'!AV64</f>
        <v/>
      </c>
      <c r="AY1244">
        <f>'T_TTAFStock'!AW64</f>
        <v/>
      </c>
      <c r="AZ1244">
        <f>'T_TTAFStock'!AX64</f>
        <v/>
      </c>
      <c r="BA1244">
        <f>'T_TTAFStock'!AY64</f>
        <v/>
      </c>
      <c r="BB1244">
        <f>'T_TTAFStock'!AZ64</f>
        <v/>
      </c>
      <c r="BC1244">
        <f>'T_TTAFStock'!BA64</f>
        <v/>
      </c>
      <c r="BD1244">
        <f>'T_TTAFStock'!BB64</f>
        <v/>
      </c>
      <c r="BE1244">
        <f>'T_TTAFStock'!BC64</f>
        <v/>
      </c>
      <c r="BF1244">
        <f>'T_TTAFStock'!BD64</f>
        <v/>
      </c>
      <c r="BG1244">
        <f>'T_TTAFStock'!BE64</f>
        <v/>
      </c>
      <c r="BH1244">
        <f>'T_TTAFStock'!BF64</f>
        <v/>
      </c>
      <c r="BI1244">
        <f>'T_TTAFStock'!BG64</f>
        <v/>
      </c>
      <c r="BJ1244">
        <f>'T_TTAFStock'!BH64</f>
        <v/>
      </c>
      <c r="BK1244">
        <f>'T_TTAFStock'!BI64</f>
        <v/>
      </c>
      <c r="BL1244">
        <f>'T_TTAFStock'!BJ64</f>
        <v/>
      </c>
      <c r="BM1244">
        <f>'T_TTAFStock'!BK64</f>
        <v/>
      </c>
      <c r="BN1244">
        <f>'T_TTAFStock'!BL64</f>
        <v/>
      </c>
      <c r="BO1244">
        <f>'T_TTAFStock'!BM64</f>
        <v/>
      </c>
      <c r="BP1244">
        <f>'T_TTAFStock'!BN64</f>
        <v/>
      </c>
      <c r="BQ1244">
        <f>'T_TTAFStock'!BO64</f>
        <v/>
      </c>
      <c r="BR1244">
        <f>'T_TTAFStock'!BP64</f>
        <v/>
      </c>
      <c r="BS1244">
        <f>'T_TTAFStock'!BQ64</f>
        <v/>
      </c>
      <c r="BT1244">
        <f>'T_TTAFStock'!BR64</f>
        <v/>
      </c>
      <c r="BU1244">
        <f>'T_TTAFStock'!BS64</f>
        <v/>
      </c>
      <c r="BV1244">
        <f>'T_TTAFStock'!BT64</f>
        <v/>
      </c>
      <c r="BW1244">
        <f>'T_TTAFStock'!BU64</f>
        <v/>
      </c>
      <c r="BX1244">
        <f>'T_TTAFStock'!BV64</f>
        <v/>
      </c>
      <c r="BY1244">
        <f>'T_TTAFStock'!BW64</f>
        <v/>
      </c>
      <c r="BZ1244">
        <f>'T_TTAFStock'!BX64</f>
        <v/>
      </c>
      <c r="CA1244">
        <f>'T_TTAFStock'!BY64</f>
        <v/>
      </c>
      <c r="CB1244">
        <f>'T_TTAFStock'!BZ64</f>
        <v/>
      </c>
      <c r="CC1244">
        <f>'T_TTAFStock'!CA64</f>
        <v/>
      </c>
      <c r="CD1244">
        <f>'T_TTAFStock'!CB64</f>
        <v/>
      </c>
      <c r="CE1244">
        <f>'T_TTAFStock'!CC64</f>
        <v/>
      </c>
      <c r="CF1244">
        <f>'T_TTAFStock'!CD64</f>
        <v/>
      </c>
      <c r="CG1244">
        <f>'T_TTAFStock'!CE64</f>
        <v/>
      </c>
      <c r="CH1244">
        <f>'T_TTAFStock'!CF64</f>
        <v/>
      </c>
      <c r="CI1244">
        <f>'T_TTAFStock'!CG64</f>
        <v/>
      </c>
      <c r="CJ1244">
        <f>'T_TTAFStock'!CH64</f>
        <v/>
      </c>
      <c r="CK1244">
        <f>'T_TTAFStock'!CI64</f>
        <v/>
      </c>
      <c r="CL1244">
        <f>'T_TTAFStock'!CJ64</f>
        <v/>
      </c>
      <c r="CM1244">
        <f>'T_TTAFStock'!CK64</f>
        <v/>
      </c>
      <c r="CN1244">
        <f>'T_TTAFStock'!CL64</f>
        <v/>
      </c>
      <c r="CO1244">
        <f>'T_TTAFStock'!CM64</f>
        <v/>
      </c>
      <c r="CP1244">
        <f>'T_TTAFStock'!CN64</f>
        <v/>
      </c>
      <c r="CQ1244">
        <f>'T_TTAFStock'!CO64</f>
        <v/>
      </c>
      <c r="CR1244">
        <f>'T_TTAFStock'!CP64</f>
        <v/>
      </c>
      <c r="CS1244">
        <f>'T_TTAFStock'!CQ64</f>
        <v/>
      </c>
      <c r="CT1244">
        <f>'T_TTAFStock'!CR64</f>
        <v/>
      </c>
      <c r="CU1244">
        <f>'T_TTAFStock'!CS64</f>
        <v/>
      </c>
      <c r="CV1244">
        <f>'T_TTAFStock'!CT64</f>
        <v/>
      </c>
      <c r="CW1244">
        <f>'T_TTAFStock'!CU64</f>
        <v/>
      </c>
      <c r="CX1244">
        <f>'T_TTAFStock'!CV64</f>
        <v/>
      </c>
      <c r="CY1244">
        <f>'T_TTAFStock'!CW64</f>
        <v/>
      </c>
      <c r="CZ1244">
        <f>'T_TTAFStock'!CX64</f>
        <v/>
      </c>
      <c r="DA1244">
        <f>'T_TTAFStock'!CY64</f>
        <v/>
      </c>
      <c r="DB1244">
        <f>'T_TTAFStock'!CZ64</f>
        <v/>
      </c>
      <c r="DC1244">
        <f>'T_TTAFStock'!DA64</f>
        <v/>
      </c>
    </row>
    <row r="1245">
      <c r="B1245" t="inlineStr">
        <is>
          <t>自社在庫(実績,kg)</t>
        </is>
      </c>
      <c r="D1245">
        <f>'T_SelfStock'!B64</f>
        <v/>
      </c>
      <c r="E1245">
        <f>'T_SelfStock'!C64</f>
        <v/>
      </c>
      <c r="F1245">
        <f>'T_SelfStock'!D64</f>
        <v/>
      </c>
      <c r="G1245">
        <f>'T_SelfStock'!E64</f>
        <v/>
      </c>
      <c r="H1245">
        <f>'T_SelfStock'!F64</f>
        <v/>
      </c>
      <c r="I1245">
        <f>'T_SelfStock'!G64</f>
        <v/>
      </c>
      <c r="J1245">
        <f>'T_SelfStock'!H64</f>
        <v/>
      </c>
      <c r="K1245">
        <f>'T_SelfStock'!I64</f>
        <v/>
      </c>
      <c r="L1245">
        <f>'T_SelfStock'!J64</f>
        <v/>
      </c>
      <c r="M1245">
        <f>'T_SelfStock'!K64</f>
        <v/>
      </c>
      <c r="N1245">
        <f>'T_SelfStock'!L64</f>
        <v/>
      </c>
      <c r="O1245">
        <f>'T_SelfStock'!M64</f>
        <v/>
      </c>
      <c r="P1245">
        <f>'T_SelfStock'!N64</f>
        <v/>
      </c>
      <c r="Q1245">
        <f>'T_SelfStock'!O64</f>
        <v/>
      </c>
      <c r="R1245">
        <f>'T_SelfStock'!P64</f>
        <v/>
      </c>
      <c r="S1245">
        <f>'T_SelfStock'!Q64</f>
        <v/>
      </c>
      <c r="T1245">
        <f>'T_SelfStock'!R64</f>
        <v/>
      </c>
      <c r="U1245">
        <f>'T_SelfStock'!S64</f>
        <v/>
      </c>
      <c r="V1245">
        <f>'T_SelfStock'!T64</f>
        <v/>
      </c>
      <c r="W1245">
        <f>'T_SelfStock'!U64</f>
        <v/>
      </c>
      <c r="X1245">
        <f>'T_SelfStock'!V64</f>
        <v/>
      </c>
      <c r="Y1245">
        <f>'T_SelfStock'!W64</f>
        <v/>
      </c>
      <c r="Z1245">
        <f>'T_SelfStock'!X64</f>
        <v/>
      </c>
      <c r="AA1245">
        <f>'T_SelfStock'!Y64</f>
        <v/>
      </c>
      <c r="AB1245">
        <f>'T_SelfStock'!Z64</f>
        <v/>
      </c>
      <c r="AC1245">
        <f>'T_SelfStock'!AA64</f>
        <v/>
      </c>
      <c r="AD1245">
        <f>'T_SelfStock'!AB64</f>
        <v/>
      </c>
      <c r="AE1245">
        <f>'T_SelfStock'!AC64</f>
        <v/>
      </c>
      <c r="AF1245">
        <f>'T_SelfStock'!AD64</f>
        <v/>
      </c>
      <c r="AG1245">
        <f>'T_SelfStock'!AE64</f>
        <v/>
      </c>
      <c r="AH1245">
        <f>'T_SelfStock'!AF64</f>
        <v/>
      </c>
      <c r="AI1245">
        <f>'T_SelfStock'!AG64</f>
        <v/>
      </c>
      <c r="AJ1245">
        <f>'T_SelfStock'!AH64</f>
        <v/>
      </c>
      <c r="AK1245">
        <f>'T_SelfStock'!AI64</f>
        <v/>
      </c>
      <c r="AL1245">
        <f>'T_SelfStock'!AJ64</f>
        <v/>
      </c>
      <c r="AM1245">
        <f>'T_SelfStock'!AK64</f>
        <v/>
      </c>
      <c r="AN1245">
        <f>'T_SelfStock'!AL64</f>
        <v/>
      </c>
      <c r="AO1245">
        <f>'T_SelfStock'!AM64</f>
        <v/>
      </c>
      <c r="AP1245">
        <f>'T_SelfStock'!AN64</f>
        <v/>
      </c>
      <c r="AQ1245">
        <f>'T_SelfStock'!AO64</f>
        <v/>
      </c>
      <c r="AR1245">
        <f>'T_SelfStock'!AP64</f>
        <v/>
      </c>
      <c r="AS1245">
        <f>'T_SelfStock'!AQ64</f>
        <v/>
      </c>
      <c r="AT1245">
        <f>'T_SelfStock'!AR64</f>
        <v/>
      </c>
      <c r="AU1245">
        <f>'T_SelfStock'!AS64</f>
        <v/>
      </c>
      <c r="AV1245">
        <f>'T_SelfStock'!AT64</f>
        <v/>
      </c>
      <c r="AW1245">
        <f>'T_SelfStock'!AU64</f>
        <v/>
      </c>
      <c r="AX1245">
        <f>'T_SelfStock'!AV64</f>
        <v/>
      </c>
      <c r="AY1245">
        <f>'T_SelfStock'!AW64</f>
        <v/>
      </c>
      <c r="AZ1245">
        <f>'T_SelfStock'!AX64</f>
        <v/>
      </c>
      <c r="BA1245">
        <f>'T_SelfStock'!AY64</f>
        <v/>
      </c>
      <c r="BB1245">
        <f>'T_SelfStock'!AZ64</f>
        <v/>
      </c>
      <c r="BC1245">
        <f>'T_SelfStock'!BA64</f>
        <v/>
      </c>
      <c r="BD1245">
        <f>'T_SelfStock'!BB64</f>
        <v/>
      </c>
      <c r="BE1245">
        <f>'T_SelfStock'!BC64</f>
        <v/>
      </c>
      <c r="BF1245">
        <f>'T_SelfStock'!BD64</f>
        <v/>
      </c>
      <c r="BG1245">
        <f>'T_SelfStock'!BE64</f>
        <v/>
      </c>
      <c r="BH1245">
        <f>'T_SelfStock'!BF64</f>
        <v/>
      </c>
      <c r="BI1245">
        <f>'T_SelfStock'!BG64</f>
        <v/>
      </c>
      <c r="BJ1245">
        <f>'T_SelfStock'!BH64</f>
        <v/>
      </c>
      <c r="BK1245">
        <f>'T_SelfStock'!BI64</f>
        <v/>
      </c>
      <c r="BL1245">
        <f>'T_SelfStock'!BJ64</f>
        <v/>
      </c>
      <c r="BM1245">
        <f>'T_SelfStock'!BK64</f>
        <v/>
      </c>
      <c r="BN1245">
        <f>'T_SelfStock'!BL64</f>
        <v/>
      </c>
      <c r="BO1245">
        <f>'T_SelfStock'!BM64</f>
        <v/>
      </c>
      <c r="BP1245">
        <f>'T_SelfStock'!BN64</f>
        <v/>
      </c>
      <c r="BQ1245">
        <f>'T_SelfStock'!BO64</f>
        <v/>
      </c>
      <c r="BR1245">
        <f>'T_SelfStock'!BP64</f>
        <v/>
      </c>
      <c r="BS1245">
        <f>'T_SelfStock'!BQ64</f>
        <v/>
      </c>
      <c r="BT1245">
        <f>'T_SelfStock'!BR64</f>
        <v/>
      </c>
      <c r="BU1245">
        <f>'T_SelfStock'!BS64</f>
        <v/>
      </c>
      <c r="BV1245">
        <f>'T_SelfStock'!BT64</f>
        <v/>
      </c>
      <c r="BW1245">
        <f>'T_SelfStock'!BU64</f>
        <v/>
      </c>
      <c r="BX1245">
        <f>'T_SelfStock'!BV64</f>
        <v/>
      </c>
      <c r="BY1245">
        <f>'T_SelfStock'!BW64</f>
        <v/>
      </c>
      <c r="BZ1245">
        <f>'T_SelfStock'!BX64</f>
        <v/>
      </c>
      <c r="CA1245">
        <f>'T_SelfStock'!BY64</f>
        <v/>
      </c>
      <c r="CB1245">
        <f>'T_SelfStock'!BZ64</f>
        <v/>
      </c>
      <c r="CC1245">
        <f>'T_SelfStock'!CA64</f>
        <v/>
      </c>
      <c r="CD1245">
        <f>'T_SelfStock'!CB64</f>
        <v/>
      </c>
      <c r="CE1245">
        <f>'T_SelfStock'!CC64</f>
        <v/>
      </c>
      <c r="CF1245">
        <f>'T_SelfStock'!CD64</f>
        <v/>
      </c>
      <c r="CG1245">
        <f>'T_SelfStock'!CE64</f>
        <v/>
      </c>
      <c r="CH1245">
        <f>'T_SelfStock'!CF64</f>
        <v/>
      </c>
      <c r="CI1245">
        <f>'T_SelfStock'!CG64</f>
        <v/>
      </c>
      <c r="CJ1245">
        <f>'T_SelfStock'!CH64</f>
        <v/>
      </c>
      <c r="CK1245">
        <f>'T_SelfStock'!CI64</f>
        <v/>
      </c>
      <c r="CL1245">
        <f>'T_SelfStock'!CJ64</f>
        <v/>
      </c>
      <c r="CM1245">
        <f>'T_SelfStock'!CK64</f>
        <v/>
      </c>
      <c r="CN1245">
        <f>'T_SelfStock'!CL64</f>
        <v/>
      </c>
      <c r="CO1245">
        <f>'T_SelfStock'!CM64</f>
        <v/>
      </c>
      <c r="CP1245">
        <f>'T_SelfStock'!CN64</f>
        <v/>
      </c>
      <c r="CQ1245">
        <f>'T_SelfStock'!CO64</f>
        <v/>
      </c>
      <c r="CR1245">
        <f>'T_SelfStock'!CP64</f>
        <v/>
      </c>
      <c r="CS1245">
        <f>'T_SelfStock'!CQ64</f>
        <v/>
      </c>
      <c r="CT1245">
        <f>'T_SelfStock'!CR64</f>
        <v/>
      </c>
      <c r="CU1245">
        <f>'T_SelfStock'!CS64</f>
        <v/>
      </c>
      <c r="CV1245">
        <f>'T_SelfStock'!CT64</f>
        <v/>
      </c>
      <c r="CW1245">
        <f>'T_SelfStock'!CU64</f>
        <v/>
      </c>
      <c r="CX1245">
        <f>'T_SelfStock'!CV64</f>
        <v/>
      </c>
      <c r="CY1245">
        <f>'T_SelfStock'!CW64</f>
        <v/>
      </c>
      <c r="CZ1245">
        <f>'T_SelfStock'!CX64</f>
        <v/>
      </c>
      <c r="DA1245">
        <f>'T_SelfStock'!CY64</f>
        <v/>
      </c>
      <c r="DB1245">
        <f>'T_SelfStock'!CZ64</f>
        <v/>
      </c>
      <c r="DC1245">
        <f>'T_SelfStock'!DA64</f>
        <v/>
      </c>
    </row>
    <row r="1246">
      <c r="B1246" t="inlineStr">
        <is>
          <t>Order(発注予定,kg)</t>
        </is>
      </c>
      <c r="D1246" s="23" t="n"/>
      <c r="E1246" s="23" t="n"/>
      <c r="F1246" s="23" t="n"/>
      <c r="G1246" s="23" t="n"/>
      <c r="H1246" s="23" t="n"/>
      <c r="I1246" s="23" t="n"/>
      <c r="J1246" s="23" t="n"/>
      <c r="K1246" s="23" t="n"/>
      <c r="L1246" s="23" t="n"/>
      <c r="M1246" s="23" t="n"/>
      <c r="N1246" s="23" t="n"/>
      <c r="O1246" s="23" t="n"/>
      <c r="P1246" s="23" t="n"/>
      <c r="Q1246" s="23" t="n"/>
      <c r="R1246" s="23" t="n"/>
      <c r="S1246" s="23" t="n"/>
      <c r="T1246" s="23" t="n"/>
      <c r="U1246" s="23" t="n"/>
      <c r="V1246" s="23" t="n"/>
      <c r="W1246" s="23" t="n"/>
      <c r="X1246" s="23" t="n"/>
      <c r="Y1246" s="23" t="n"/>
      <c r="Z1246" s="23" t="n"/>
      <c r="AA1246" s="23" t="n"/>
      <c r="AB1246" s="23" t="n"/>
      <c r="AC1246" s="23" t="n"/>
      <c r="AD1246" s="23" t="n"/>
      <c r="AE1246" s="23" t="n"/>
      <c r="AF1246" s="23" t="n"/>
      <c r="AG1246" s="23" t="n"/>
      <c r="AH1246" s="23" t="n"/>
      <c r="AI1246" s="23" t="n"/>
      <c r="AJ1246" s="23" t="n"/>
      <c r="AK1246" s="23" t="n"/>
      <c r="AL1246" s="23" t="n"/>
      <c r="AM1246" s="23" t="n"/>
      <c r="AN1246" s="23" t="n"/>
      <c r="AO1246" s="23" t="n"/>
      <c r="AP1246" s="23" t="n"/>
      <c r="AQ1246" s="23" t="n"/>
      <c r="AR1246" s="23" t="n"/>
      <c r="AS1246" s="23" t="n"/>
      <c r="AT1246" s="23" t="n"/>
      <c r="AU1246" s="23" t="n"/>
      <c r="AV1246" s="23" t="n"/>
      <c r="AW1246" s="23" t="n"/>
      <c r="AX1246" s="23" t="n"/>
      <c r="AY1246" s="23" t="n"/>
      <c r="AZ1246" s="23" t="n"/>
      <c r="BA1246" s="23" t="n"/>
      <c r="BB1246" s="23" t="n"/>
      <c r="BC1246" s="23" t="n"/>
      <c r="BD1246" s="23" t="n"/>
      <c r="BE1246" s="23" t="n"/>
      <c r="BF1246" s="23" t="n"/>
      <c r="BG1246" s="23" t="n"/>
      <c r="BH1246" s="23" t="n"/>
      <c r="BI1246" s="23" t="n"/>
      <c r="BJ1246" s="23" t="n"/>
      <c r="BK1246" s="23" t="n"/>
      <c r="BL1246" s="23" t="n"/>
      <c r="BM1246" s="23" t="n"/>
      <c r="BN1246" s="23" t="n"/>
      <c r="BO1246" s="23" t="n"/>
      <c r="BP1246" s="23" t="n"/>
      <c r="BQ1246" s="23" t="n"/>
      <c r="BR1246" s="23" t="n"/>
      <c r="BS1246" s="23" t="n"/>
      <c r="BT1246" s="23" t="n"/>
      <c r="BU1246" s="23" t="n"/>
      <c r="BV1246" s="23" t="n"/>
      <c r="BW1246" s="23" t="n"/>
      <c r="BX1246" s="23" t="n"/>
      <c r="BY1246" s="23" t="n"/>
      <c r="BZ1246" s="23" t="n"/>
      <c r="CA1246" s="23" t="n"/>
      <c r="CB1246" s="23" t="n"/>
      <c r="CC1246" s="23" t="n"/>
      <c r="CD1246" s="23" t="n"/>
      <c r="CE1246" s="23" t="n"/>
      <c r="CF1246" s="23" t="n"/>
      <c r="CG1246" s="23" t="n"/>
      <c r="CH1246" s="23" t="n"/>
      <c r="CI1246" s="23" t="n"/>
      <c r="CJ1246" s="23" t="n"/>
      <c r="CK1246" s="23" t="n"/>
      <c r="CL1246" s="23" t="n"/>
      <c r="CM1246" s="23" t="n"/>
      <c r="CN1246" s="23" t="n"/>
      <c r="CO1246" s="23" t="n"/>
      <c r="CP1246" s="23" t="n"/>
      <c r="CQ1246" s="23" t="n"/>
      <c r="CR1246" s="23" t="n"/>
      <c r="CS1246" s="23" t="n"/>
      <c r="CT1246" s="23" t="n"/>
      <c r="CU1246" s="23" t="n"/>
      <c r="CV1246" s="23" t="n"/>
      <c r="CW1246" s="23" t="n"/>
      <c r="CX1246" s="23" t="n"/>
      <c r="CY1246" s="23" t="n"/>
      <c r="CZ1246" s="23" t="n"/>
      <c r="DA1246" s="23" t="n"/>
      <c r="DB1246" s="23" t="n"/>
      <c r="DC1246" s="23" t="n"/>
      <c r="DE1246" s="12" t="inlineStr">
        <is>
          <t>CHEM-1690</t>
        </is>
      </c>
    </row>
    <row r="1247">
      <c r="B1247" s="24" t="inlineStr">
        <is>
          <t>PO_No</t>
        </is>
      </c>
      <c r="D1247" s="25" t="n"/>
      <c r="E1247" s="25" t="n"/>
      <c r="F1247" s="25" t="n"/>
      <c r="G1247" s="25" t="n"/>
      <c r="H1247" s="25" t="n"/>
      <c r="I1247" s="25" t="n"/>
      <c r="J1247" s="25" t="n"/>
      <c r="K1247" s="25" t="n"/>
      <c r="L1247" s="25" t="n"/>
      <c r="M1247" s="25" t="n"/>
      <c r="N1247" s="25" t="n"/>
      <c r="O1247" s="25" t="n"/>
      <c r="P1247" s="25" t="n"/>
      <c r="Q1247" s="25" t="n"/>
      <c r="R1247" s="25" t="n"/>
      <c r="S1247" s="25" t="n"/>
      <c r="T1247" s="25" t="n"/>
      <c r="U1247" s="25" t="n"/>
      <c r="V1247" s="25" t="n"/>
      <c r="W1247" s="25" t="n"/>
      <c r="X1247" s="25" t="n"/>
      <c r="Y1247" s="25" t="n"/>
      <c r="Z1247" s="25" t="n"/>
      <c r="AA1247" s="25" t="n"/>
      <c r="AB1247" s="25" t="n"/>
      <c r="AC1247" s="25" t="n"/>
      <c r="AD1247" s="25" t="n"/>
      <c r="AE1247" s="25" t="n"/>
      <c r="AF1247" s="25" t="n"/>
      <c r="AG1247" s="25" t="n"/>
      <c r="AH1247" s="25" t="n"/>
      <c r="AI1247" s="25" t="n"/>
      <c r="AJ1247" s="25" t="n"/>
      <c r="AK1247" s="25" t="n"/>
      <c r="AL1247" s="25" t="n"/>
      <c r="AM1247" s="25" t="n"/>
      <c r="AN1247" s="25" t="n"/>
      <c r="AO1247" s="25" t="n"/>
      <c r="AP1247" s="25" t="n"/>
      <c r="AQ1247" s="25" t="n"/>
      <c r="AR1247" s="25" t="n"/>
      <c r="AS1247" s="25" t="n"/>
      <c r="AT1247" s="25" t="n"/>
      <c r="AU1247" s="25" t="n"/>
      <c r="AV1247" s="25" t="n"/>
      <c r="AW1247" s="25" t="n"/>
      <c r="AX1247" s="25" t="n"/>
      <c r="AY1247" s="25" t="n"/>
      <c r="AZ1247" s="25" t="n"/>
      <c r="BA1247" s="25" t="n"/>
      <c r="BB1247" s="25" t="n"/>
      <c r="BC1247" s="25" t="n"/>
      <c r="BD1247" s="25" t="n"/>
      <c r="BE1247" s="25" t="n"/>
      <c r="BF1247" s="25" t="n"/>
      <c r="BG1247" s="25" t="n"/>
      <c r="BH1247" s="25" t="n"/>
      <c r="BI1247" s="25" t="n"/>
      <c r="BJ1247" s="25" t="n"/>
      <c r="BK1247" s="25" t="n"/>
      <c r="BL1247" s="25" t="n"/>
      <c r="BM1247" s="25" t="n"/>
      <c r="BN1247" s="25" t="n"/>
      <c r="BO1247" s="25" t="n"/>
      <c r="BP1247" s="25" t="n"/>
      <c r="BQ1247" s="25" t="n"/>
      <c r="BR1247" s="25" t="n"/>
      <c r="BS1247" s="25" t="n"/>
      <c r="BT1247" s="25" t="n"/>
      <c r="BU1247" s="25" t="n"/>
      <c r="BV1247" s="25" t="n"/>
      <c r="BW1247" s="25" t="n"/>
      <c r="BX1247" s="25" t="n"/>
      <c r="BY1247" s="25" t="n"/>
      <c r="BZ1247" s="25" t="n"/>
      <c r="CA1247" s="25" t="n"/>
      <c r="CB1247" s="25" t="n"/>
      <c r="CC1247" s="25" t="n"/>
      <c r="CD1247" s="25" t="n"/>
      <c r="CE1247" s="25" t="n"/>
      <c r="CF1247" s="25" t="n"/>
      <c r="CG1247" s="25" t="n"/>
      <c r="CH1247" s="25" t="n"/>
      <c r="CI1247" s="25" t="n"/>
      <c r="CJ1247" s="25" t="n"/>
      <c r="CK1247" s="25" t="n"/>
      <c r="CL1247" s="25" t="n"/>
      <c r="CM1247" s="25" t="n"/>
      <c r="CN1247" s="25" t="n"/>
      <c r="CO1247" s="25" t="n"/>
      <c r="CP1247" s="25" t="n"/>
      <c r="CQ1247" s="25" t="n"/>
      <c r="CR1247" s="25" t="n"/>
      <c r="CS1247" s="25" t="n"/>
      <c r="CT1247" s="25" t="n"/>
      <c r="CU1247" s="25" t="n"/>
      <c r="CV1247" s="25" t="n"/>
      <c r="CW1247" s="25" t="n"/>
      <c r="CX1247" s="25" t="n"/>
      <c r="CY1247" s="25" t="n"/>
      <c r="CZ1247" s="25" t="n"/>
      <c r="DA1247" s="25" t="n"/>
      <c r="DB1247" s="25" t="n"/>
      <c r="DC1247" s="25" t="n"/>
    </row>
    <row r="1248">
      <c r="B1248" s="5" t="inlineStr">
        <is>
          <t>合計在庫(週末時点,kg)</t>
        </is>
      </c>
      <c r="D1248">
        <f>'Grid_Stock'!B60</f>
        <v/>
      </c>
      <c r="E1248">
        <f>'Grid_Stock'!C60</f>
        <v/>
      </c>
      <c r="F1248">
        <f>'Grid_Stock'!D60</f>
        <v/>
      </c>
      <c r="G1248">
        <f>'Grid_Stock'!E60</f>
        <v/>
      </c>
      <c r="H1248">
        <f>'Grid_Stock'!F60</f>
        <v/>
      </c>
      <c r="I1248">
        <f>'Grid_Stock'!G60</f>
        <v/>
      </c>
      <c r="J1248">
        <f>'Grid_Stock'!H60</f>
        <v/>
      </c>
      <c r="K1248">
        <f>'Grid_Stock'!I60</f>
        <v/>
      </c>
      <c r="L1248">
        <f>'Grid_Stock'!J60</f>
        <v/>
      </c>
      <c r="M1248">
        <f>'Grid_Stock'!K60</f>
        <v/>
      </c>
      <c r="N1248">
        <f>'Grid_Stock'!L60</f>
        <v/>
      </c>
      <c r="O1248">
        <f>'Grid_Stock'!M60</f>
        <v/>
      </c>
      <c r="P1248">
        <f>'Grid_Stock'!N60</f>
        <v/>
      </c>
      <c r="Q1248">
        <f>'Grid_Stock'!O60</f>
        <v/>
      </c>
      <c r="R1248">
        <f>'Grid_Stock'!P60</f>
        <v/>
      </c>
      <c r="S1248">
        <f>'Grid_Stock'!Q60</f>
        <v/>
      </c>
      <c r="T1248">
        <f>'Grid_Stock'!R60</f>
        <v/>
      </c>
      <c r="U1248">
        <f>'Grid_Stock'!S60</f>
        <v/>
      </c>
      <c r="V1248">
        <f>'Grid_Stock'!T60</f>
        <v/>
      </c>
      <c r="W1248">
        <f>'Grid_Stock'!U60</f>
        <v/>
      </c>
      <c r="X1248">
        <f>'Grid_Stock'!V60</f>
        <v/>
      </c>
      <c r="Y1248">
        <f>'Grid_Stock'!W60</f>
        <v/>
      </c>
      <c r="Z1248">
        <f>'Grid_Stock'!X60</f>
        <v/>
      </c>
      <c r="AA1248">
        <f>'Grid_Stock'!Y60</f>
        <v/>
      </c>
      <c r="AB1248">
        <f>'Grid_Stock'!Z60</f>
        <v/>
      </c>
      <c r="AC1248">
        <f>'Grid_Stock'!AA60</f>
        <v/>
      </c>
      <c r="AD1248">
        <f>'Grid_Stock'!AB60</f>
        <v/>
      </c>
      <c r="AE1248">
        <f>'Grid_Stock'!AC60</f>
        <v/>
      </c>
      <c r="AF1248">
        <f>'Grid_Stock'!AD60</f>
        <v/>
      </c>
      <c r="AG1248">
        <f>'Grid_Stock'!AE60</f>
        <v/>
      </c>
      <c r="AH1248">
        <f>'Grid_Stock'!AF60</f>
        <v/>
      </c>
      <c r="AI1248">
        <f>'Grid_Stock'!AG60</f>
        <v/>
      </c>
      <c r="AJ1248">
        <f>'Grid_Stock'!AH60</f>
        <v/>
      </c>
      <c r="AK1248">
        <f>'Grid_Stock'!AI60</f>
        <v/>
      </c>
      <c r="AL1248">
        <f>'Grid_Stock'!AJ60</f>
        <v/>
      </c>
      <c r="AM1248">
        <f>'Grid_Stock'!AK60</f>
        <v/>
      </c>
      <c r="AN1248">
        <f>'Grid_Stock'!AL60</f>
        <v/>
      </c>
      <c r="AO1248">
        <f>'Grid_Stock'!AM60</f>
        <v/>
      </c>
      <c r="AP1248">
        <f>'Grid_Stock'!AN60</f>
        <v/>
      </c>
      <c r="AQ1248">
        <f>'Grid_Stock'!AO60</f>
        <v/>
      </c>
      <c r="AR1248">
        <f>'Grid_Stock'!AP60</f>
        <v/>
      </c>
      <c r="AS1248">
        <f>'Grid_Stock'!AQ60</f>
        <v/>
      </c>
      <c r="AT1248">
        <f>'Grid_Stock'!AR60</f>
        <v/>
      </c>
      <c r="AU1248">
        <f>'Grid_Stock'!AS60</f>
        <v/>
      </c>
      <c r="AV1248">
        <f>'Grid_Stock'!AT60</f>
        <v/>
      </c>
      <c r="AW1248">
        <f>'Grid_Stock'!AU60</f>
        <v/>
      </c>
      <c r="AX1248">
        <f>'Grid_Stock'!AV60</f>
        <v/>
      </c>
      <c r="AY1248">
        <f>'Grid_Stock'!AW60</f>
        <v/>
      </c>
      <c r="AZ1248">
        <f>'Grid_Stock'!AX60</f>
        <v/>
      </c>
      <c r="BA1248">
        <f>'Grid_Stock'!AY60</f>
        <v/>
      </c>
      <c r="BB1248">
        <f>'Grid_Stock'!AZ60</f>
        <v/>
      </c>
      <c r="BC1248">
        <f>'Grid_Stock'!BA60</f>
        <v/>
      </c>
      <c r="BD1248">
        <f>'Grid_Stock'!BB60</f>
        <v/>
      </c>
      <c r="BE1248">
        <f>'Grid_Stock'!BC60</f>
        <v/>
      </c>
      <c r="BF1248">
        <f>'Grid_Stock'!BD60</f>
        <v/>
      </c>
      <c r="BG1248">
        <f>'Grid_Stock'!BE60</f>
        <v/>
      </c>
      <c r="BH1248">
        <f>'Grid_Stock'!BF60</f>
        <v/>
      </c>
      <c r="BI1248">
        <f>'Grid_Stock'!BG60</f>
        <v/>
      </c>
      <c r="BJ1248">
        <f>'Grid_Stock'!BH60</f>
        <v/>
      </c>
      <c r="BK1248">
        <f>'Grid_Stock'!BI60</f>
        <v/>
      </c>
      <c r="BL1248">
        <f>'Grid_Stock'!BJ60</f>
        <v/>
      </c>
      <c r="BM1248">
        <f>'Grid_Stock'!BK60</f>
        <v/>
      </c>
      <c r="BN1248">
        <f>'Grid_Stock'!BL60</f>
        <v/>
      </c>
      <c r="BO1248">
        <f>'Grid_Stock'!BM60</f>
        <v/>
      </c>
      <c r="BP1248">
        <f>'Grid_Stock'!BN60</f>
        <v/>
      </c>
      <c r="BQ1248">
        <f>'Grid_Stock'!BO60</f>
        <v/>
      </c>
      <c r="BR1248">
        <f>'Grid_Stock'!BP60</f>
        <v/>
      </c>
      <c r="BS1248">
        <f>'Grid_Stock'!BQ60</f>
        <v/>
      </c>
      <c r="BT1248">
        <f>'Grid_Stock'!BR60</f>
        <v/>
      </c>
      <c r="BU1248">
        <f>'Grid_Stock'!BS60</f>
        <v/>
      </c>
      <c r="BV1248">
        <f>'Grid_Stock'!BT60</f>
        <v/>
      </c>
      <c r="BW1248">
        <f>'Grid_Stock'!BU60</f>
        <v/>
      </c>
      <c r="BX1248">
        <f>'Grid_Stock'!BV60</f>
        <v/>
      </c>
      <c r="BY1248">
        <f>'Grid_Stock'!BW60</f>
        <v/>
      </c>
      <c r="BZ1248">
        <f>'Grid_Stock'!BX60</f>
        <v/>
      </c>
      <c r="CA1248">
        <f>'Grid_Stock'!BY60</f>
        <v/>
      </c>
      <c r="CB1248">
        <f>'Grid_Stock'!BZ60</f>
        <v/>
      </c>
      <c r="CC1248">
        <f>'Grid_Stock'!CA60</f>
        <v/>
      </c>
      <c r="CD1248">
        <f>'Grid_Stock'!CB60</f>
        <v/>
      </c>
      <c r="CE1248">
        <f>'Grid_Stock'!CC60</f>
        <v/>
      </c>
      <c r="CF1248">
        <f>'Grid_Stock'!CD60</f>
        <v/>
      </c>
      <c r="CG1248">
        <f>'Grid_Stock'!CE60</f>
        <v/>
      </c>
      <c r="CH1248">
        <f>'Grid_Stock'!CF60</f>
        <v/>
      </c>
      <c r="CI1248">
        <f>'Grid_Stock'!CG60</f>
        <v/>
      </c>
      <c r="CJ1248">
        <f>'Grid_Stock'!CH60</f>
        <v/>
      </c>
      <c r="CK1248">
        <f>'Grid_Stock'!CI60</f>
        <v/>
      </c>
      <c r="CL1248">
        <f>'Grid_Stock'!CJ60</f>
        <v/>
      </c>
      <c r="CM1248">
        <f>'Grid_Stock'!CK60</f>
        <v/>
      </c>
      <c r="CN1248">
        <f>'Grid_Stock'!CL60</f>
        <v/>
      </c>
      <c r="CO1248">
        <f>'Grid_Stock'!CM60</f>
        <v/>
      </c>
      <c r="CP1248">
        <f>'Grid_Stock'!CN60</f>
        <v/>
      </c>
      <c r="CQ1248">
        <f>'Grid_Stock'!CO60</f>
        <v/>
      </c>
      <c r="CR1248">
        <f>'Grid_Stock'!CP60</f>
        <v/>
      </c>
      <c r="CS1248">
        <f>'Grid_Stock'!CQ60</f>
        <v/>
      </c>
      <c r="CT1248">
        <f>'Grid_Stock'!CR60</f>
        <v/>
      </c>
      <c r="CU1248">
        <f>'Grid_Stock'!CS60</f>
        <v/>
      </c>
      <c r="CV1248">
        <f>'Grid_Stock'!CT60</f>
        <v/>
      </c>
      <c r="CW1248">
        <f>'Grid_Stock'!CU60</f>
        <v/>
      </c>
      <c r="CX1248">
        <f>'Grid_Stock'!CV60</f>
        <v/>
      </c>
      <c r="CY1248">
        <f>'Grid_Stock'!CW60</f>
        <v/>
      </c>
      <c r="CZ1248">
        <f>'Grid_Stock'!CX60</f>
        <v/>
      </c>
      <c r="DA1248">
        <f>'Grid_Stock'!CY60</f>
        <v/>
      </c>
      <c r="DB1248">
        <f>'Grid_Stock'!CZ60</f>
        <v/>
      </c>
      <c r="DC1248">
        <f>'Grid_Stock'!DA60</f>
        <v/>
      </c>
    </row>
    <row r="1249">
      <c r="B1249" s="26" t="inlineStr">
        <is>
          <t>（発注の目安はDashboardの基準在庫[下限/上限]と色分けを参照）</t>
        </is>
      </c>
    </row>
    <row r="1251">
      <c r="A1251" s="21" t="inlineStr">
        <is>
          <t>CHEM-1720</t>
        </is>
      </c>
      <c r="B1251" s="21" t="inlineStr">
        <is>
          <t>TPZ 868</t>
        </is>
      </c>
      <c r="C1251" s="22" t="n"/>
      <c r="D1251" s="21" t="n"/>
      <c r="E1251" s="21" t="n"/>
      <c r="F1251" s="21" t="n"/>
      <c r="G1251" s="21" t="n"/>
      <c r="H1251" s="21" t="n"/>
      <c r="I1251" s="21" t="n"/>
      <c r="J1251" s="21" t="n"/>
      <c r="K1251" s="21" t="n"/>
      <c r="L1251" s="21" t="n"/>
      <c r="M1251" s="21" t="n"/>
      <c r="N1251" s="21" t="n"/>
      <c r="O1251" s="21" t="n"/>
      <c r="P1251" s="21" t="n"/>
      <c r="Q1251" s="21" t="n"/>
      <c r="R1251" s="21" t="n"/>
      <c r="S1251" s="21" t="n"/>
      <c r="T1251" s="21" t="n"/>
      <c r="U1251" s="21" t="n"/>
      <c r="V1251" s="21" t="n"/>
      <c r="W1251" s="21" t="n"/>
      <c r="X1251" s="21" t="n"/>
      <c r="Y1251" s="21" t="n"/>
      <c r="Z1251" s="21" t="n"/>
      <c r="AA1251" s="21" t="n"/>
      <c r="AB1251" s="21" t="n"/>
      <c r="AC1251" s="21" t="n"/>
      <c r="AD1251" s="21" t="n"/>
      <c r="AE1251" s="21" t="n"/>
      <c r="AF1251" s="21" t="n"/>
      <c r="AG1251" s="21" t="n"/>
      <c r="AH1251" s="21" t="n"/>
      <c r="AI1251" s="21" t="n"/>
      <c r="AJ1251" s="21" t="n"/>
      <c r="AK1251" s="21" t="n"/>
      <c r="AL1251" s="21" t="n"/>
      <c r="AM1251" s="21" t="n"/>
      <c r="AN1251" s="21" t="n"/>
      <c r="AO1251" s="21" t="n"/>
      <c r="AP1251" s="21" t="n"/>
      <c r="AQ1251" s="21" t="n"/>
      <c r="AR1251" s="21" t="n"/>
      <c r="AS1251" s="21" t="n"/>
      <c r="AT1251" s="21" t="n"/>
      <c r="AU1251" s="21" t="n"/>
      <c r="AV1251" s="21" t="n"/>
      <c r="AW1251" s="21" t="n"/>
      <c r="AX1251" s="21" t="n"/>
      <c r="AY1251" s="21" t="n"/>
      <c r="AZ1251" s="21" t="n"/>
      <c r="BA1251" s="21" t="n"/>
      <c r="BB1251" s="21" t="n"/>
      <c r="BC1251" s="21" t="n"/>
      <c r="BD1251" s="21" t="n"/>
      <c r="BE1251" s="21" t="n"/>
      <c r="BF1251" s="21" t="n"/>
      <c r="BG1251" s="21" t="n"/>
      <c r="BH1251" s="21" t="n"/>
      <c r="BI1251" s="21" t="n"/>
      <c r="BJ1251" s="21" t="n"/>
      <c r="BK1251" s="21" t="n"/>
      <c r="BL1251" s="21" t="n"/>
      <c r="BM1251" s="21" t="n"/>
      <c r="BN1251" s="21" t="n"/>
      <c r="BO1251" s="21" t="n"/>
      <c r="BP1251" s="21" t="n"/>
      <c r="BQ1251" s="21" t="n"/>
      <c r="BR1251" s="21" t="n"/>
      <c r="BS1251" s="21" t="n"/>
      <c r="BT1251" s="21" t="n"/>
      <c r="BU1251" s="21" t="n"/>
      <c r="BV1251" s="21" t="n"/>
      <c r="BW1251" s="21" t="n"/>
      <c r="BX1251" s="21" t="n"/>
      <c r="BY1251" s="21" t="n"/>
      <c r="BZ1251" s="21" t="n"/>
      <c r="CA1251" s="21" t="n"/>
      <c r="CB1251" s="21" t="n"/>
      <c r="CC1251" s="21" t="n"/>
      <c r="CD1251" s="21" t="n"/>
      <c r="CE1251" s="21" t="n"/>
      <c r="CF1251" s="21" t="n"/>
      <c r="CG1251" s="21" t="n"/>
      <c r="CH1251" s="21" t="n"/>
      <c r="CI1251" s="21" t="n"/>
      <c r="CJ1251" s="21" t="n"/>
      <c r="CK1251" s="21" t="n"/>
      <c r="CL1251" s="21" t="n"/>
      <c r="CM1251" s="21" t="n"/>
      <c r="CN1251" s="21" t="n"/>
      <c r="CO1251" s="21" t="n"/>
      <c r="CP1251" s="21" t="n"/>
      <c r="CQ1251" s="21" t="n"/>
      <c r="CR1251" s="21" t="n"/>
      <c r="CS1251" s="21" t="n"/>
      <c r="CT1251" s="21" t="n"/>
      <c r="CU1251" s="21" t="n"/>
      <c r="CV1251" s="21" t="n"/>
      <c r="CW1251" s="21" t="n"/>
      <c r="CX1251" s="21" t="n"/>
      <c r="CY1251" s="21" t="n"/>
      <c r="CZ1251" s="21" t="n"/>
      <c r="DA1251" s="21" t="n"/>
      <c r="DB1251" s="21" t="n"/>
      <c r="DC1251" s="21" t="n"/>
    </row>
    <row r="1252">
      <c r="B1252" t="inlineStr">
        <is>
          <t>TSP-1444</t>
        </is>
      </c>
      <c r="C1252" t="inlineStr">
        <is>
          <t>No. of batches</t>
        </is>
      </c>
      <c r="D1252">
        <f>IFERROR(INDEX(PP_Grid[#Data],$DD1252,2),0)</f>
        <v/>
      </c>
      <c r="E1252">
        <f>IFERROR(INDEX(PP_Grid[#Data],$DD1252,3),0)</f>
        <v/>
      </c>
      <c r="F1252">
        <f>IFERROR(INDEX(PP_Grid[#Data],$DD1252,4),0)</f>
        <v/>
      </c>
      <c r="G1252">
        <f>IFERROR(INDEX(PP_Grid[#Data],$DD1252,5),0)</f>
        <v/>
      </c>
      <c r="H1252">
        <f>IFERROR(INDEX(PP_Grid[#Data],$DD1252,6),0)</f>
        <v/>
      </c>
      <c r="I1252">
        <f>IFERROR(INDEX(PP_Grid[#Data],$DD1252,7),0)</f>
        <v/>
      </c>
      <c r="J1252">
        <f>IFERROR(INDEX(PP_Grid[#Data],$DD1252,8),0)</f>
        <v/>
      </c>
      <c r="K1252">
        <f>IFERROR(INDEX(PP_Grid[#Data],$DD1252,9),0)</f>
        <v/>
      </c>
      <c r="L1252">
        <f>IFERROR(INDEX(PP_Grid[#Data],$DD1252,10),0)</f>
        <v/>
      </c>
      <c r="M1252">
        <f>IFERROR(INDEX(PP_Grid[#Data],$DD1252,11),0)</f>
        <v/>
      </c>
      <c r="N1252">
        <f>IFERROR(INDEX(PP_Grid[#Data],$DD1252,12),0)</f>
        <v/>
      </c>
      <c r="O1252">
        <f>IFERROR(INDEX(PP_Grid[#Data],$DD1252,13),0)</f>
        <v/>
      </c>
      <c r="P1252">
        <f>IFERROR(INDEX(PP_Grid[#Data],$DD1252,14),0)</f>
        <v/>
      </c>
      <c r="Q1252">
        <f>IFERROR(INDEX(PP_Grid[#Data],$DD1252,15),0)</f>
        <v/>
      </c>
      <c r="R1252">
        <f>IFERROR(INDEX(PP_Grid[#Data],$DD1252,16),0)</f>
        <v/>
      </c>
      <c r="S1252">
        <f>IFERROR(INDEX(PP_Grid[#Data],$DD1252,17),0)</f>
        <v/>
      </c>
      <c r="T1252">
        <f>IFERROR(INDEX(PP_Grid[#Data],$DD1252,18),0)</f>
        <v/>
      </c>
      <c r="U1252">
        <f>IFERROR(INDEX(PP_Grid[#Data],$DD1252,19),0)</f>
        <v/>
      </c>
      <c r="V1252">
        <f>IFERROR(INDEX(PP_Grid[#Data],$DD1252,20),0)</f>
        <v/>
      </c>
      <c r="W1252">
        <f>IFERROR(INDEX(PP_Grid[#Data],$DD1252,21),0)</f>
        <v/>
      </c>
      <c r="X1252">
        <f>IFERROR(INDEX(PP_Grid[#Data],$DD1252,22),0)</f>
        <v/>
      </c>
      <c r="Y1252">
        <f>IFERROR(INDEX(PP_Grid[#Data],$DD1252,23),0)</f>
        <v/>
      </c>
      <c r="Z1252">
        <f>IFERROR(INDEX(PP_Grid[#Data],$DD1252,24),0)</f>
        <v/>
      </c>
      <c r="AA1252">
        <f>IFERROR(INDEX(PP_Grid[#Data],$DD1252,25),0)</f>
        <v/>
      </c>
      <c r="AB1252">
        <f>IFERROR(INDEX(PP_Grid[#Data],$DD1252,26),0)</f>
        <v/>
      </c>
      <c r="AC1252">
        <f>IFERROR(INDEX(PP_Grid[#Data],$DD1252,27),0)</f>
        <v/>
      </c>
      <c r="AD1252">
        <f>IFERROR(INDEX(PP_Grid[#Data],$DD1252,28),0)</f>
        <v/>
      </c>
      <c r="AE1252">
        <f>IFERROR(INDEX(PP_Grid[#Data],$DD1252,29),0)</f>
        <v/>
      </c>
      <c r="AF1252">
        <f>IFERROR(INDEX(PP_Grid[#Data],$DD1252,30),0)</f>
        <v/>
      </c>
      <c r="AG1252">
        <f>IFERROR(INDEX(PP_Grid[#Data],$DD1252,31),0)</f>
        <v/>
      </c>
      <c r="AH1252">
        <f>IFERROR(INDEX(PP_Grid[#Data],$DD1252,32),0)</f>
        <v/>
      </c>
      <c r="AI1252">
        <f>IFERROR(INDEX(PP_Grid[#Data],$DD1252,33),0)</f>
        <v/>
      </c>
      <c r="AJ1252">
        <f>IFERROR(INDEX(PP_Grid[#Data],$DD1252,34),0)</f>
        <v/>
      </c>
      <c r="AK1252">
        <f>IFERROR(INDEX(PP_Grid[#Data],$DD1252,35),0)</f>
        <v/>
      </c>
      <c r="AL1252">
        <f>IFERROR(INDEX(PP_Grid[#Data],$DD1252,36),0)</f>
        <v/>
      </c>
      <c r="AM1252">
        <f>IFERROR(INDEX(PP_Grid[#Data],$DD1252,37),0)</f>
        <v/>
      </c>
      <c r="AN1252">
        <f>IFERROR(INDEX(PP_Grid[#Data],$DD1252,38),0)</f>
        <v/>
      </c>
      <c r="AO1252">
        <f>IFERROR(INDEX(PP_Grid[#Data],$DD1252,39),0)</f>
        <v/>
      </c>
      <c r="AP1252">
        <f>IFERROR(INDEX(PP_Grid[#Data],$DD1252,40),0)</f>
        <v/>
      </c>
      <c r="AQ1252">
        <f>IFERROR(INDEX(PP_Grid[#Data],$DD1252,41),0)</f>
        <v/>
      </c>
      <c r="AR1252">
        <f>IFERROR(INDEX(PP_Grid[#Data],$DD1252,42),0)</f>
        <v/>
      </c>
      <c r="AS1252">
        <f>IFERROR(INDEX(PP_Grid[#Data],$DD1252,43),0)</f>
        <v/>
      </c>
      <c r="AT1252">
        <f>IFERROR(INDEX(PP_Grid[#Data],$DD1252,44),0)</f>
        <v/>
      </c>
      <c r="AU1252">
        <f>IFERROR(INDEX(PP_Grid[#Data],$DD1252,45),0)</f>
        <v/>
      </c>
      <c r="AV1252">
        <f>IFERROR(INDEX(PP_Grid[#Data],$DD1252,46),0)</f>
        <v/>
      </c>
      <c r="AW1252">
        <f>IFERROR(INDEX(PP_Grid[#Data],$DD1252,47),0)</f>
        <v/>
      </c>
      <c r="AX1252">
        <f>IFERROR(INDEX(PP_Grid[#Data],$DD1252,48),0)</f>
        <v/>
      </c>
      <c r="AY1252">
        <f>IFERROR(INDEX(PP_Grid[#Data],$DD1252,49),0)</f>
        <v/>
      </c>
      <c r="AZ1252">
        <f>IFERROR(INDEX(PP_Grid[#Data],$DD1252,50),0)</f>
        <v/>
      </c>
      <c r="BA1252">
        <f>IFERROR(INDEX(PP_Grid[#Data],$DD1252,51),0)</f>
        <v/>
      </c>
      <c r="BB1252">
        <f>IFERROR(INDEX(PP_Grid[#Data],$DD1252,52),0)</f>
        <v/>
      </c>
      <c r="BC1252">
        <f>IFERROR(INDEX(PP_Grid[#Data],$DD1252,53),0)</f>
        <v/>
      </c>
      <c r="BD1252">
        <f>IFERROR(INDEX(PP_Grid[#Data],$DD1252,54),0)</f>
        <v/>
      </c>
      <c r="BE1252">
        <f>IFERROR(INDEX(PP_Grid[#Data],$DD1252,55),0)</f>
        <v/>
      </c>
      <c r="BF1252">
        <f>IFERROR(INDEX(PP_Grid[#Data],$DD1252,56),0)</f>
        <v/>
      </c>
      <c r="BG1252">
        <f>IFERROR(INDEX(PP_Grid[#Data],$DD1252,57),0)</f>
        <v/>
      </c>
      <c r="BH1252">
        <f>IFERROR(INDEX(PP_Grid[#Data],$DD1252,58),0)</f>
        <v/>
      </c>
      <c r="BI1252">
        <f>IFERROR(INDEX(PP_Grid[#Data],$DD1252,59),0)</f>
        <v/>
      </c>
      <c r="BJ1252">
        <f>IFERROR(INDEX(PP_Grid[#Data],$DD1252,60),0)</f>
        <v/>
      </c>
      <c r="BK1252">
        <f>IFERROR(INDEX(PP_Grid[#Data],$DD1252,61),0)</f>
        <v/>
      </c>
      <c r="BL1252">
        <f>IFERROR(INDEX(PP_Grid[#Data],$DD1252,62),0)</f>
        <v/>
      </c>
      <c r="BM1252">
        <f>IFERROR(INDEX(PP_Grid[#Data],$DD1252,63),0)</f>
        <v/>
      </c>
      <c r="BN1252">
        <f>IFERROR(INDEX(PP_Grid[#Data],$DD1252,64),0)</f>
        <v/>
      </c>
      <c r="BO1252">
        <f>IFERROR(INDEX(PP_Grid[#Data],$DD1252,65),0)</f>
        <v/>
      </c>
      <c r="BP1252">
        <f>IFERROR(INDEX(PP_Grid[#Data],$DD1252,66),0)</f>
        <v/>
      </c>
      <c r="BQ1252">
        <f>IFERROR(INDEX(PP_Grid[#Data],$DD1252,67),0)</f>
        <v/>
      </c>
      <c r="BR1252">
        <f>IFERROR(INDEX(PP_Grid[#Data],$DD1252,68),0)</f>
        <v/>
      </c>
      <c r="BS1252">
        <f>IFERROR(INDEX(PP_Grid[#Data],$DD1252,69),0)</f>
        <v/>
      </c>
      <c r="BT1252">
        <f>IFERROR(INDEX(PP_Grid[#Data],$DD1252,70),0)</f>
        <v/>
      </c>
      <c r="BU1252">
        <f>IFERROR(INDEX(PP_Grid[#Data],$DD1252,71),0)</f>
        <v/>
      </c>
      <c r="BV1252">
        <f>IFERROR(INDEX(PP_Grid[#Data],$DD1252,72),0)</f>
        <v/>
      </c>
      <c r="BW1252">
        <f>IFERROR(INDEX(PP_Grid[#Data],$DD1252,73),0)</f>
        <v/>
      </c>
      <c r="BX1252">
        <f>IFERROR(INDEX(PP_Grid[#Data],$DD1252,74),0)</f>
        <v/>
      </c>
      <c r="BY1252">
        <f>IFERROR(INDEX(PP_Grid[#Data],$DD1252,75),0)</f>
        <v/>
      </c>
      <c r="BZ1252">
        <f>IFERROR(INDEX(PP_Grid[#Data],$DD1252,76),0)</f>
        <v/>
      </c>
      <c r="CA1252">
        <f>IFERROR(INDEX(PP_Grid[#Data],$DD1252,77),0)</f>
        <v/>
      </c>
      <c r="CB1252">
        <f>IFERROR(INDEX(PP_Grid[#Data],$DD1252,78),0)</f>
        <v/>
      </c>
      <c r="CC1252">
        <f>IFERROR(INDEX(PP_Grid[#Data],$DD1252,79),0)</f>
        <v/>
      </c>
      <c r="CD1252">
        <f>IFERROR(INDEX(PP_Grid[#Data],$DD1252,80),0)</f>
        <v/>
      </c>
      <c r="CE1252">
        <f>IFERROR(INDEX(PP_Grid[#Data],$DD1252,81),0)</f>
        <v/>
      </c>
      <c r="CF1252">
        <f>IFERROR(INDEX(PP_Grid[#Data],$DD1252,82),0)</f>
        <v/>
      </c>
      <c r="CG1252">
        <f>IFERROR(INDEX(PP_Grid[#Data],$DD1252,83),0)</f>
        <v/>
      </c>
      <c r="CH1252">
        <f>IFERROR(INDEX(PP_Grid[#Data],$DD1252,84),0)</f>
        <v/>
      </c>
      <c r="CI1252">
        <f>IFERROR(INDEX(PP_Grid[#Data],$DD1252,85),0)</f>
        <v/>
      </c>
      <c r="CJ1252">
        <f>IFERROR(INDEX(PP_Grid[#Data],$DD1252,86),0)</f>
        <v/>
      </c>
      <c r="CK1252">
        <f>IFERROR(INDEX(PP_Grid[#Data],$DD1252,87),0)</f>
        <v/>
      </c>
      <c r="CL1252">
        <f>IFERROR(INDEX(PP_Grid[#Data],$DD1252,88),0)</f>
        <v/>
      </c>
      <c r="CM1252">
        <f>IFERROR(INDEX(PP_Grid[#Data],$DD1252,89),0)</f>
        <v/>
      </c>
      <c r="CN1252">
        <f>IFERROR(INDEX(PP_Grid[#Data],$DD1252,90),0)</f>
        <v/>
      </c>
      <c r="CO1252">
        <f>IFERROR(INDEX(PP_Grid[#Data],$DD1252,91),0)</f>
        <v/>
      </c>
      <c r="CP1252">
        <f>IFERROR(INDEX(PP_Grid[#Data],$DD1252,92),0)</f>
        <v/>
      </c>
      <c r="CQ1252">
        <f>IFERROR(INDEX(PP_Grid[#Data],$DD1252,93),0)</f>
        <v/>
      </c>
      <c r="CR1252">
        <f>IFERROR(INDEX(PP_Grid[#Data],$DD1252,94),0)</f>
        <v/>
      </c>
      <c r="CS1252">
        <f>IFERROR(INDEX(PP_Grid[#Data],$DD1252,95),0)</f>
        <v/>
      </c>
      <c r="CT1252">
        <f>IFERROR(INDEX(PP_Grid[#Data],$DD1252,96),0)</f>
        <v/>
      </c>
      <c r="CU1252">
        <f>IFERROR(INDEX(PP_Grid[#Data],$DD1252,97),0)</f>
        <v/>
      </c>
      <c r="CV1252">
        <f>IFERROR(INDEX(PP_Grid[#Data],$DD1252,98),0)</f>
        <v/>
      </c>
      <c r="CW1252">
        <f>IFERROR(INDEX(PP_Grid[#Data],$DD1252,99),0)</f>
        <v/>
      </c>
      <c r="CX1252">
        <f>IFERROR(INDEX(PP_Grid[#Data],$DD1252,100),0)</f>
        <v/>
      </c>
      <c r="CY1252">
        <f>IFERROR(INDEX(PP_Grid[#Data],$DD1252,101),0)</f>
        <v/>
      </c>
      <c r="CZ1252">
        <f>IFERROR(INDEX(PP_Grid[#Data],$DD1252,102),0)</f>
        <v/>
      </c>
      <c r="DA1252">
        <f>IFERROR(INDEX(PP_Grid[#Data],$DD1252,103),0)</f>
        <v/>
      </c>
      <c r="DB1252">
        <f>IFERROR(INDEX(PP_Grid[#Data],$DD1252,104),0)</f>
        <v/>
      </c>
      <c r="DC1252">
        <f>IFERROR(INDEX(PP_Grid[#Data],$DD1252,105),0)</f>
        <v/>
      </c>
      <c r="DD1252" s="12">
        <f>IFERROR(MATCH($B1252,PP_Grid[Intermediate],0),99999)</f>
        <v/>
      </c>
    </row>
    <row r="1253">
      <c r="B1253" t="inlineStr">
        <is>
          <t>使用量(kg)</t>
        </is>
      </c>
      <c r="C1253">
        <f>SUMIFS(M_BOM[RM_Qty_Per_Batch],M_BOM[Intermediate],$B1252,M_BOM[Part Name],$A1251)</f>
        <v/>
      </c>
      <c r="D1253">
        <f>$C1253*D1252</f>
        <v/>
      </c>
      <c r="E1253">
        <f>$C1253*E1252</f>
        <v/>
      </c>
      <c r="F1253">
        <f>$C1253*F1252</f>
        <v/>
      </c>
      <c r="G1253">
        <f>$C1253*G1252</f>
        <v/>
      </c>
      <c r="H1253">
        <f>$C1253*H1252</f>
        <v/>
      </c>
      <c r="I1253">
        <f>$C1253*I1252</f>
        <v/>
      </c>
      <c r="J1253">
        <f>$C1253*J1252</f>
        <v/>
      </c>
      <c r="K1253">
        <f>$C1253*K1252</f>
        <v/>
      </c>
      <c r="L1253">
        <f>$C1253*L1252</f>
        <v/>
      </c>
      <c r="M1253">
        <f>$C1253*M1252</f>
        <v/>
      </c>
      <c r="N1253">
        <f>$C1253*N1252</f>
        <v/>
      </c>
      <c r="O1253">
        <f>$C1253*O1252</f>
        <v/>
      </c>
      <c r="P1253">
        <f>$C1253*P1252</f>
        <v/>
      </c>
      <c r="Q1253">
        <f>$C1253*Q1252</f>
        <v/>
      </c>
      <c r="R1253">
        <f>$C1253*R1252</f>
        <v/>
      </c>
      <c r="S1253">
        <f>$C1253*S1252</f>
        <v/>
      </c>
      <c r="T1253">
        <f>$C1253*T1252</f>
        <v/>
      </c>
      <c r="U1253">
        <f>$C1253*U1252</f>
        <v/>
      </c>
      <c r="V1253">
        <f>$C1253*V1252</f>
        <v/>
      </c>
      <c r="W1253">
        <f>$C1253*W1252</f>
        <v/>
      </c>
      <c r="X1253">
        <f>$C1253*X1252</f>
        <v/>
      </c>
      <c r="Y1253">
        <f>$C1253*Y1252</f>
        <v/>
      </c>
      <c r="Z1253">
        <f>$C1253*Z1252</f>
        <v/>
      </c>
      <c r="AA1253">
        <f>$C1253*AA1252</f>
        <v/>
      </c>
      <c r="AB1253">
        <f>$C1253*AB1252</f>
        <v/>
      </c>
      <c r="AC1253">
        <f>$C1253*AC1252</f>
        <v/>
      </c>
      <c r="AD1253">
        <f>$C1253*AD1252</f>
        <v/>
      </c>
      <c r="AE1253">
        <f>$C1253*AE1252</f>
        <v/>
      </c>
      <c r="AF1253">
        <f>$C1253*AF1252</f>
        <v/>
      </c>
      <c r="AG1253">
        <f>$C1253*AG1252</f>
        <v/>
      </c>
      <c r="AH1253">
        <f>$C1253*AH1252</f>
        <v/>
      </c>
      <c r="AI1253">
        <f>$C1253*AI1252</f>
        <v/>
      </c>
      <c r="AJ1253">
        <f>$C1253*AJ1252</f>
        <v/>
      </c>
      <c r="AK1253">
        <f>$C1253*AK1252</f>
        <v/>
      </c>
      <c r="AL1253">
        <f>$C1253*AL1252</f>
        <v/>
      </c>
      <c r="AM1253">
        <f>$C1253*AM1252</f>
        <v/>
      </c>
      <c r="AN1253">
        <f>$C1253*AN1252</f>
        <v/>
      </c>
      <c r="AO1253">
        <f>$C1253*AO1252</f>
        <v/>
      </c>
      <c r="AP1253">
        <f>$C1253*AP1252</f>
        <v/>
      </c>
      <c r="AQ1253">
        <f>$C1253*AQ1252</f>
        <v/>
      </c>
      <c r="AR1253">
        <f>$C1253*AR1252</f>
        <v/>
      </c>
      <c r="AS1253">
        <f>$C1253*AS1252</f>
        <v/>
      </c>
      <c r="AT1253">
        <f>$C1253*AT1252</f>
        <v/>
      </c>
      <c r="AU1253">
        <f>$C1253*AU1252</f>
        <v/>
      </c>
      <c r="AV1253">
        <f>$C1253*AV1252</f>
        <v/>
      </c>
      <c r="AW1253">
        <f>$C1253*AW1252</f>
        <v/>
      </c>
      <c r="AX1253">
        <f>$C1253*AX1252</f>
        <v/>
      </c>
      <c r="AY1253">
        <f>$C1253*AY1252</f>
        <v/>
      </c>
      <c r="AZ1253">
        <f>$C1253*AZ1252</f>
        <v/>
      </c>
      <c r="BA1253">
        <f>$C1253*BA1252</f>
        <v/>
      </c>
      <c r="BB1253">
        <f>$C1253*BB1252</f>
        <v/>
      </c>
      <c r="BC1253">
        <f>$C1253*BC1252</f>
        <v/>
      </c>
      <c r="BD1253">
        <f>$C1253*BD1252</f>
        <v/>
      </c>
      <c r="BE1253">
        <f>$C1253*BE1252</f>
        <v/>
      </c>
      <c r="BF1253">
        <f>$C1253*BF1252</f>
        <v/>
      </c>
      <c r="BG1253">
        <f>$C1253*BG1252</f>
        <v/>
      </c>
      <c r="BH1253">
        <f>$C1253*BH1252</f>
        <v/>
      </c>
      <c r="BI1253">
        <f>$C1253*BI1252</f>
        <v/>
      </c>
      <c r="BJ1253">
        <f>$C1253*BJ1252</f>
        <v/>
      </c>
      <c r="BK1253">
        <f>$C1253*BK1252</f>
        <v/>
      </c>
      <c r="BL1253">
        <f>$C1253*BL1252</f>
        <v/>
      </c>
      <c r="BM1253">
        <f>$C1253*BM1252</f>
        <v/>
      </c>
      <c r="BN1253">
        <f>$C1253*BN1252</f>
        <v/>
      </c>
      <c r="BO1253">
        <f>$C1253*BO1252</f>
        <v/>
      </c>
      <c r="BP1253">
        <f>$C1253*BP1252</f>
        <v/>
      </c>
      <c r="BQ1253">
        <f>$C1253*BQ1252</f>
        <v/>
      </c>
      <c r="BR1253">
        <f>$C1253*BR1252</f>
        <v/>
      </c>
      <c r="BS1253">
        <f>$C1253*BS1252</f>
        <v/>
      </c>
      <c r="BT1253">
        <f>$C1253*BT1252</f>
        <v/>
      </c>
      <c r="BU1253">
        <f>$C1253*BU1252</f>
        <v/>
      </c>
      <c r="BV1253">
        <f>$C1253*BV1252</f>
        <v/>
      </c>
      <c r="BW1253">
        <f>$C1253*BW1252</f>
        <v/>
      </c>
      <c r="BX1253">
        <f>$C1253*BX1252</f>
        <v/>
      </c>
      <c r="BY1253">
        <f>$C1253*BY1252</f>
        <v/>
      </c>
      <c r="BZ1253">
        <f>$C1253*BZ1252</f>
        <v/>
      </c>
      <c r="CA1253">
        <f>$C1253*CA1252</f>
        <v/>
      </c>
      <c r="CB1253">
        <f>$C1253*CB1252</f>
        <v/>
      </c>
      <c r="CC1253">
        <f>$C1253*CC1252</f>
        <v/>
      </c>
      <c r="CD1253">
        <f>$C1253*CD1252</f>
        <v/>
      </c>
      <c r="CE1253">
        <f>$C1253*CE1252</f>
        <v/>
      </c>
      <c r="CF1253">
        <f>$C1253*CF1252</f>
        <v/>
      </c>
      <c r="CG1253">
        <f>$C1253*CG1252</f>
        <v/>
      </c>
      <c r="CH1253">
        <f>$C1253*CH1252</f>
        <v/>
      </c>
      <c r="CI1253">
        <f>$C1253*CI1252</f>
        <v/>
      </c>
      <c r="CJ1253">
        <f>$C1253*CJ1252</f>
        <v/>
      </c>
      <c r="CK1253">
        <f>$C1253*CK1252</f>
        <v/>
      </c>
      <c r="CL1253">
        <f>$C1253*CL1252</f>
        <v/>
      </c>
      <c r="CM1253">
        <f>$C1253*CM1252</f>
        <v/>
      </c>
      <c r="CN1253">
        <f>$C1253*CN1252</f>
        <v/>
      </c>
      <c r="CO1253">
        <f>$C1253*CO1252</f>
        <v/>
      </c>
      <c r="CP1253">
        <f>$C1253*CP1252</f>
        <v/>
      </c>
      <c r="CQ1253">
        <f>$C1253*CQ1252</f>
        <v/>
      </c>
      <c r="CR1253">
        <f>$C1253*CR1252</f>
        <v/>
      </c>
      <c r="CS1253">
        <f>$C1253*CS1252</f>
        <v/>
      </c>
      <c r="CT1253">
        <f>$C1253*CT1252</f>
        <v/>
      </c>
      <c r="CU1253">
        <f>$C1253*CU1252</f>
        <v/>
      </c>
      <c r="CV1253">
        <f>$C1253*CV1252</f>
        <v/>
      </c>
      <c r="CW1253">
        <f>$C1253*CW1252</f>
        <v/>
      </c>
      <c r="CX1253">
        <f>$C1253*CX1252</f>
        <v/>
      </c>
      <c r="CY1253">
        <f>$C1253*CY1252</f>
        <v/>
      </c>
      <c r="CZ1253">
        <f>$C1253*CZ1252</f>
        <v/>
      </c>
      <c r="DA1253">
        <f>$C1253*DA1252</f>
        <v/>
      </c>
      <c r="DB1253">
        <f>$C1253*DB1252</f>
        <v/>
      </c>
      <c r="DC1253">
        <f>$C1253*DC1252</f>
        <v/>
      </c>
    </row>
    <row r="1254">
      <c r="B1254" t="inlineStr">
        <is>
          <t>TSP-1445</t>
        </is>
      </c>
      <c r="C1254" t="inlineStr">
        <is>
          <t>No. of batches</t>
        </is>
      </c>
      <c r="D1254">
        <f>IFERROR(INDEX(PP_Grid[#Data],$DD1254,2),0)</f>
        <v/>
      </c>
      <c r="E1254">
        <f>IFERROR(INDEX(PP_Grid[#Data],$DD1254,3),0)</f>
        <v/>
      </c>
      <c r="F1254">
        <f>IFERROR(INDEX(PP_Grid[#Data],$DD1254,4),0)</f>
        <v/>
      </c>
      <c r="G1254">
        <f>IFERROR(INDEX(PP_Grid[#Data],$DD1254,5),0)</f>
        <v/>
      </c>
      <c r="H1254">
        <f>IFERROR(INDEX(PP_Grid[#Data],$DD1254,6),0)</f>
        <v/>
      </c>
      <c r="I1254">
        <f>IFERROR(INDEX(PP_Grid[#Data],$DD1254,7),0)</f>
        <v/>
      </c>
      <c r="J1254">
        <f>IFERROR(INDEX(PP_Grid[#Data],$DD1254,8),0)</f>
        <v/>
      </c>
      <c r="K1254">
        <f>IFERROR(INDEX(PP_Grid[#Data],$DD1254,9),0)</f>
        <v/>
      </c>
      <c r="L1254">
        <f>IFERROR(INDEX(PP_Grid[#Data],$DD1254,10),0)</f>
        <v/>
      </c>
      <c r="M1254">
        <f>IFERROR(INDEX(PP_Grid[#Data],$DD1254,11),0)</f>
        <v/>
      </c>
      <c r="N1254">
        <f>IFERROR(INDEX(PP_Grid[#Data],$DD1254,12),0)</f>
        <v/>
      </c>
      <c r="O1254">
        <f>IFERROR(INDEX(PP_Grid[#Data],$DD1254,13),0)</f>
        <v/>
      </c>
      <c r="P1254">
        <f>IFERROR(INDEX(PP_Grid[#Data],$DD1254,14),0)</f>
        <v/>
      </c>
      <c r="Q1254">
        <f>IFERROR(INDEX(PP_Grid[#Data],$DD1254,15),0)</f>
        <v/>
      </c>
      <c r="R1254">
        <f>IFERROR(INDEX(PP_Grid[#Data],$DD1254,16),0)</f>
        <v/>
      </c>
      <c r="S1254">
        <f>IFERROR(INDEX(PP_Grid[#Data],$DD1254,17),0)</f>
        <v/>
      </c>
      <c r="T1254">
        <f>IFERROR(INDEX(PP_Grid[#Data],$DD1254,18),0)</f>
        <v/>
      </c>
      <c r="U1254">
        <f>IFERROR(INDEX(PP_Grid[#Data],$DD1254,19),0)</f>
        <v/>
      </c>
      <c r="V1254">
        <f>IFERROR(INDEX(PP_Grid[#Data],$DD1254,20),0)</f>
        <v/>
      </c>
      <c r="W1254">
        <f>IFERROR(INDEX(PP_Grid[#Data],$DD1254,21),0)</f>
        <v/>
      </c>
      <c r="X1254">
        <f>IFERROR(INDEX(PP_Grid[#Data],$DD1254,22),0)</f>
        <v/>
      </c>
      <c r="Y1254">
        <f>IFERROR(INDEX(PP_Grid[#Data],$DD1254,23),0)</f>
        <v/>
      </c>
      <c r="Z1254">
        <f>IFERROR(INDEX(PP_Grid[#Data],$DD1254,24),0)</f>
        <v/>
      </c>
      <c r="AA1254">
        <f>IFERROR(INDEX(PP_Grid[#Data],$DD1254,25),0)</f>
        <v/>
      </c>
      <c r="AB1254">
        <f>IFERROR(INDEX(PP_Grid[#Data],$DD1254,26),0)</f>
        <v/>
      </c>
      <c r="AC1254">
        <f>IFERROR(INDEX(PP_Grid[#Data],$DD1254,27),0)</f>
        <v/>
      </c>
      <c r="AD1254">
        <f>IFERROR(INDEX(PP_Grid[#Data],$DD1254,28),0)</f>
        <v/>
      </c>
      <c r="AE1254">
        <f>IFERROR(INDEX(PP_Grid[#Data],$DD1254,29),0)</f>
        <v/>
      </c>
      <c r="AF1254">
        <f>IFERROR(INDEX(PP_Grid[#Data],$DD1254,30),0)</f>
        <v/>
      </c>
      <c r="AG1254">
        <f>IFERROR(INDEX(PP_Grid[#Data],$DD1254,31),0)</f>
        <v/>
      </c>
      <c r="AH1254">
        <f>IFERROR(INDEX(PP_Grid[#Data],$DD1254,32),0)</f>
        <v/>
      </c>
      <c r="AI1254">
        <f>IFERROR(INDEX(PP_Grid[#Data],$DD1254,33),0)</f>
        <v/>
      </c>
      <c r="AJ1254">
        <f>IFERROR(INDEX(PP_Grid[#Data],$DD1254,34),0)</f>
        <v/>
      </c>
      <c r="AK1254">
        <f>IFERROR(INDEX(PP_Grid[#Data],$DD1254,35),0)</f>
        <v/>
      </c>
      <c r="AL1254">
        <f>IFERROR(INDEX(PP_Grid[#Data],$DD1254,36),0)</f>
        <v/>
      </c>
      <c r="AM1254">
        <f>IFERROR(INDEX(PP_Grid[#Data],$DD1254,37),0)</f>
        <v/>
      </c>
      <c r="AN1254">
        <f>IFERROR(INDEX(PP_Grid[#Data],$DD1254,38),0)</f>
        <v/>
      </c>
      <c r="AO1254">
        <f>IFERROR(INDEX(PP_Grid[#Data],$DD1254,39),0)</f>
        <v/>
      </c>
      <c r="AP1254">
        <f>IFERROR(INDEX(PP_Grid[#Data],$DD1254,40),0)</f>
        <v/>
      </c>
      <c r="AQ1254">
        <f>IFERROR(INDEX(PP_Grid[#Data],$DD1254,41),0)</f>
        <v/>
      </c>
      <c r="AR1254">
        <f>IFERROR(INDEX(PP_Grid[#Data],$DD1254,42),0)</f>
        <v/>
      </c>
      <c r="AS1254">
        <f>IFERROR(INDEX(PP_Grid[#Data],$DD1254,43),0)</f>
        <v/>
      </c>
      <c r="AT1254">
        <f>IFERROR(INDEX(PP_Grid[#Data],$DD1254,44),0)</f>
        <v/>
      </c>
      <c r="AU1254">
        <f>IFERROR(INDEX(PP_Grid[#Data],$DD1254,45),0)</f>
        <v/>
      </c>
      <c r="AV1254">
        <f>IFERROR(INDEX(PP_Grid[#Data],$DD1254,46),0)</f>
        <v/>
      </c>
      <c r="AW1254">
        <f>IFERROR(INDEX(PP_Grid[#Data],$DD1254,47),0)</f>
        <v/>
      </c>
      <c r="AX1254">
        <f>IFERROR(INDEX(PP_Grid[#Data],$DD1254,48),0)</f>
        <v/>
      </c>
      <c r="AY1254">
        <f>IFERROR(INDEX(PP_Grid[#Data],$DD1254,49),0)</f>
        <v/>
      </c>
      <c r="AZ1254">
        <f>IFERROR(INDEX(PP_Grid[#Data],$DD1254,50),0)</f>
        <v/>
      </c>
      <c r="BA1254">
        <f>IFERROR(INDEX(PP_Grid[#Data],$DD1254,51),0)</f>
        <v/>
      </c>
      <c r="BB1254">
        <f>IFERROR(INDEX(PP_Grid[#Data],$DD1254,52),0)</f>
        <v/>
      </c>
      <c r="BC1254">
        <f>IFERROR(INDEX(PP_Grid[#Data],$DD1254,53),0)</f>
        <v/>
      </c>
      <c r="BD1254">
        <f>IFERROR(INDEX(PP_Grid[#Data],$DD1254,54),0)</f>
        <v/>
      </c>
      <c r="BE1254">
        <f>IFERROR(INDEX(PP_Grid[#Data],$DD1254,55),0)</f>
        <v/>
      </c>
      <c r="BF1254">
        <f>IFERROR(INDEX(PP_Grid[#Data],$DD1254,56),0)</f>
        <v/>
      </c>
      <c r="BG1254">
        <f>IFERROR(INDEX(PP_Grid[#Data],$DD1254,57),0)</f>
        <v/>
      </c>
      <c r="BH1254">
        <f>IFERROR(INDEX(PP_Grid[#Data],$DD1254,58),0)</f>
        <v/>
      </c>
      <c r="BI1254">
        <f>IFERROR(INDEX(PP_Grid[#Data],$DD1254,59),0)</f>
        <v/>
      </c>
      <c r="BJ1254">
        <f>IFERROR(INDEX(PP_Grid[#Data],$DD1254,60),0)</f>
        <v/>
      </c>
      <c r="BK1254">
        <f>IFERROR(INDEX(PP_Grid[#Data],$DD1254,61),0)</f>
        <v/>
      </c>
      <c r="BL1254">
        <f>IFERROR(INDEX(PP_Grid[#Data],$DD1254,62),0)</f>
        <v/>
      </c>
      <c r="BM1254">
        <f>IFERROR(INDEX(PP_Grid[#Data],$DD1254,63),0)</f>
        <v/>
      </c>
      <c r="BN1254">
        <f>IFERROR(INDEX(PP_Grid[#Data],$DD1254,64),0)</f>
        <v/>
      </c>
      <c r="BO1254">
        <f>IFERROR(INDEX(PP_Grid[#Data],$DD1254,65),0)</f>
        <v/>
      </c>
      <c r="BP1254">
        <f>IFERROR(INDEX(PP_Grid[#Data],$DD1254,66),0)</f>
        <v/>
      </c>
      <c r="BQ1254">
        <f>IFERROR(INDEX(PP_Grid[#Data],$DD1254,67),0)</f>
        <v/>
      </c>
      <c r="BR1254">
        <f>IFERROR(INDEX(PP_Grid[#Data],$DD1254,68),0)</f>
        <v/>
      </c>
      <c r="BS1254">
        <f>IFERROR(INDEX(PP_Grid[#Data],$DD1254,69),0)</f>
        <v/>
      </c>
      <c r="BT1254">
        <f>IFERROR(INDEX(PP_Grid[#Data],$DD1254,70),0)</f>
        <v/>
      </c>
      <c r="BU1254">
        <f>IFERROR(INDEX(PP_Grid[#Data],$DD1254,71),0)</f>
        <v/>
      </c>
      <c r="BV1254">
        <f>IFERROR(INDEX(PP_Grid[#Data],$DD1254,72),0)</f>
        <v/>
      </c>
      <c r="BW1254">
        <f>IFERROR(INDEX(PP_Grid[#Data],$DD1254,73),0)</f>
        <v/>
      </c>
      <c r="BX1254">
        <f>IFERROR(INDEX(PP_Grid[#Data],$DD1254,74),0)</f>
        <v/>
      </c>
      <c r="BY1254">
        <f>IFERROR(INDEX(PP_Grid[#Data],$DD1254,75),0)</f>
        <v/>
      </c>
      <c r="BZ1254">
        <f>IFERROR(INDEX(PP_Grid[#Data],$DD1254,76),0)</f>
        <v/>
      </c>
      <c r="CA1254">
        <f>IFERROR(INDEX(PP_Grid[#Data],$DD1254,77),0)</f>
        <v/>
      </c>
      <c r="CB1254">
        <f>IFERROR(INDEX(PP_Grid[#Data],$DD1254,78),0)</f>
        <v/>
      </c>
      <c r="CC1254">
        <f>IFERROR(INDEX(PP_Grid[#Data],$DD1254,79),0)</f>
        <v/>
      </c>
      <c r="CD1254">
        <f>IFERROR(INDEX(PP_Grid[#Data],$DD1254,80),0)</f>
        <v/>
      </c>
      <c r="CE1254">
        <f>IFERROR(INDEX(PP_Grid[#Data],$DD1254,81),0)</f>
        <v/>
      </c>
      <c r="CF1254">
        <f>IFERROR(INDEX(PP_Grid[#Data],$DD1254,82),0)</f>
        <v/>
      </c>
      <c r="CG1254">
        <f>IFERROR(INDEX(PP_Grid[#Data],$DD1254,83),0)</f>
        <v/>
      </c>
      <c r="CH1254">
        <f>IFERROR(INDEX(PP_Grid[#Data],$DD1254,84),0)</f>
        <v/>
      </c>
      <c r="CI1254">
        <f>IFERROR(INDEX(PP_Grid[#Data],$DD1254,85),0)</f>
        <v/>
      </c>
      <c r="CJ1254">
        <f>IFERROR(INDEX(PP_Grid[#Data],$DD1254,86),0)</f>
        <v/>
      </c>
      <c r="CK1254">
        <f>IFERROR(INDEX(PP_Grid[#Data],$DD1254,87),0)</f>
        <v/>
      </c>
      <c r="CL1254">
        <f>IFERROR(INDEX(PP_Grid[#Data],$DD1254,88),0)</f>
        <v/>
      </c>
      <c r="CM1254">
        <f>IFERROR(INDEX(PP_Grid[#Data],$DD1254,89),0)</f>
        <v/>
      </c>
      <c r="CN1254">
        <f>IFERROR(INDEX(PP_Grid[#Data],$DD1254,90),0)</f>
        <v/>
      </c>
      <c r="CO1254">
        <f>IFERROR(INDEX(PP_Grid[#Data],$DD1254,91),0)</f>
        <v/>
      </c>
      <c r="CP1254">
        <f>IFERROR(INDEX(PP_Grid[#Data],$DD1254,92),0)</f>
        <v/>
      </c>
      <c r="CQ1254">
        <f>IFERROR(INDEX(PP_Grid[#Data],$DD1254,93),0)</f>
        <v/>
      </c>
      <c r="CR1254">
        <f>IFERROR(INDEX(PP_Grid[#Data],$DD1254,94),0)</f>
        <v/>
      </c>
      <c r="CS1254">
        <f>IFERROR(INDEX(PP_Grid[#Data],$DD1254,95),0)</f>
        <v/>
      </c>
      <c r="CT1254">
        <f>IFERROR(INDEX(PP_Grid[#Data],$DD1254,96),0)</f>
        <v/>
      </c>
      <c r="CU1254">
        <f>IFERROR(INDEX(PP_Grid[#Data],$DD1254,97),0)</f>
        <v/>
      </c>
      <c r="CV1254">
        <f>IFERROR(INDEX(PP_Grid[#Data],$DD1254,98),0)</f>
        <v/>
      </c>
      <c r="CW1254">
        <f>IFERROR(INDEX(PP_Grid[#Data],$DD1254,99),0)</f>
        <v/>
      </c>
      <c r="CX1254">
        <f>IFERROR(INDEX(PP_Grid[#Data],$DD1254,100),0)</f>
        <v/>
      </c>
      <c r="CY1254">
        <f>IFERROR(INDEX(PP_Grid[#Data],$DD1254,101),0)</f>
        <v/>
      </c>
      <c r="CZ1254">
        <f>IFERROR(INDEX(PP_Grid[#Data],$DD1254,102),0)</f>
        <v/>
      </c>
      <c r="DA1254">
        <f>IFERROR(INDEX(PP_Grid[#Data],$DD1254,103),0)</f>
        <v/>
      </c>
      <c r="DB1254">
        <f>IFERROR(INDEX(PP_Grid[#Data],$DD1254,104),0)</f>
        <v/>
      </c>
      <c r="DC1254">
        <f>IFERROR(INDEX(PP_Grid[#Data],$DD1254,105),0)</f>
        <v/>
      </c>
      <c r="DD1254" s="12">
        <f>IFERROR(MATCH($B1254,PP_Grid[Intermediate],0),99999)</f>
        <v/>
      </c>
    </row>
    <row r="1255">
      <c r="B1255" t="inlineStr">
        <is>
          <t>使用量(kg)</t>
        </is>
      </c>
      <c r="C1255">
        <f>SUMIFS(M_BOM[RM_Qty_Per_Batch],M_BOM[Intermediate],$B1254,M_BOM[Part Name],$A1251)</f>
        <v/>
      </c>
      <c r="D1255">
        <f>$C1255*D1254</f>
        <v/>
      </c>
      <c r="E1255">
        <f>$C1255*E1254</f>
        <v/>
      </c>
      <c r="F1255">
        <f>$C1255*F1254</f>
        <v/>
      </c>
      <c r="G1255">
        <f>$C1255*G1254</f>
        <v/>
      </c>
      <c r="H1255">
        <f>$C1255*H1254</f>
        <v/>
      </c>
      <c r="I1255">
        <f>$C1255*I1254</f>
        <v/>
      </c>
      <c r="J1255">
        <f>$C1255*J1254</f>
        <v/>
      </c>
      <c r="K1255">
        <f>$C1255*K1254</f>
        <v/>
      </c>
      <c r="L1255">
        <f>$C1255*L1254</f>
        <v/>
      </c>
      <c r="M1255">
        <f>$C1255*M1254</f>
        <v/>
      </c>
      <c r="N1255">
        <f>$C1255*N1254</f>
        <v/>
      </c>
      <c r="O1255">
        <f>$C1255*O1254</f>
        <v/>
      </c>
      <c r="P1255">
        <f>$C1255*P1254</f>
        <v/>
      </c>
      <c r="Q1255">
        <f>$C1255*Q1254</f>
        <v/>
      </c>
      <c r="R1255">
        <f>$C1255*R1254</f>
        <v/>
      </c>
      <c r="S1255">
        <f>$C1255*S1254</f>
        <v/>
      </c>
      <c r="T1255">
        <f>$C1255*T1254</f>
        <v/>
      </c>
      <c r="U1255">
        <f>$C1255*U1254</f>
        <v/>
      </c>
      <c r="V1255">
        <f>$C1255*V1254</f>
        <v/>
      </c>
      <c r="W1255">
        <f>$C1255*W1254</f>
        <v/>
      </c>
      <c r="X1255">
        <f>$C1255*X1254</f>
        <v/>
      </c>
      <c r="Y1255">
        <f>$C1255*Y1254</f>
        <v/>
      </c>
      <c r="Z1255">
        <f>$C1255*Z1254</f>
        <v/>
      </c>
      <c r="AA1255">
        <f>$C1255*AA1254</f>
        <v/>
      </c>
      <c r="AB1255">
        <f>$C1255*AB1254</f>
        <v/>
      </c>
      <c r="AC1255">
        <f>$C1255*AC1254</f>
        <v/>
      </c>
      <c r="AD1255">
        <f>$C1255*AD1254</f>
        <v/>
      </c>
      <c r="AE1255">
        <f>$C1255*AE1254</f>
        <v/>
      </c>
      <c r="AF1255">
        <f>$C1255*AF1254</f>
        <v/>
      </c>
      <c r="AG1255">
        <f>$C1255*AG1254</f>
        <v/>
      </c>
      <c r="AH1255">
        <f>$C1255*AH1254</f>
        <v/>
      </c>
      <c r="AI1255">
        <f>$C1255*AI1254</f>
        <v/>
      </c>
      <c r="AJ1255">
        <f>$C1255*AJ1254</f>
        <v/>
      </c>
      <c r="AK1255">
        <f>$C1255*AK1254</f>
        <v/>
      </c>
      <c r="AL1255">
        <f>$C1255*AL1254</f>
        <v/>
      </c>
      <c r="AM1255">
        <f>$C1255*AM1254</f>
        <v/>
      </c>
      <c r="AN1255">
        <f>$C1255*AN1254</f>
        <v/>
      </c>
      <c r="AO1255">
        <f>$C1255*AO1254</f>
        <v/>
      </c>
      <c r="AP1255">
        <f>$C1255*AP1254</f>
        <v/>
      </c>
      <c r="AQ1255">
        <f>$C1255*AQ1254</f>
        <v/>
      </c>
      <c r="AR1255">
        <f>$C1255*AR1254</f>
        <v/>
      </c>
      <c r="AS1255">
        <f>$C1255*AS1254</f>
        <v/>
      </c>
      <c r="AT1255">
        <f>$C1255*AT1254</f>
        <v/>
      </c>
      <c r="AU1255">
        <f>$C1255*AU1254</f>
        <v/>
      </c>
      <c r="AV1255">
        <f>$C1255*AV1254</f>
        <v/>
      </c>
      <c r="AW1255">
        <f>$C1255*AW1254</f>
        <v/>
      </c>
      <c r="AX1255">
        <f>$C1255*AX1254</f>
        <v/>
      </c>
      <c r="AY1255">
        <f>$C1255*AY1254</f>
        <v/>
      </c>
      <c r="AZ1255">
        <f>$C1255*AZ1254</f>
        <v/>
      </c>
      <c r="BA1255">
        <f>$C1255*BA1254</f>
        <v/>
      </c>
      <c r="BB1255">
        <f>$C1255*BB1254</f>
        <v/>
      </c>
      <c r="BC1255">
        <f>$C1255*BC1254</f>
        <v/>
      </c>
      <c r="BD1255">
        <f>$C1255*BD1254</f>
        <v/>
      </c>
      <c r="BE1255">
        <f>$C1255*BE1254</f>
        <v/>
      </c>
      <c r="BF1255">
        <f>$C1255*BF1254</f>
        <v/>
      </c>
      <c r="BG1255">
        <f>$C1255*BG1254</f>
        <v/>
      </c>
      <c r="BH1255">
        <f>$C1255*BH1254</f>
        <v/>
      </c>
      <c r="BI1255">
        <f>$C1255*BI1254</f>
        <v/>
      </c>
      <c r="BJ1255">
        <f>$C1255*BJ1254</f>
        <v/>
      </c>
      <c r="BK1255">
        <f>$C1255*BK1254</f>
        <v/>
      </c>
      <c r="BL1255">
        <f>$C1255*BL1254</f>
        <v/>
      </c>
      <c r="BM1255">
        <f>$C1255*BM1254</f>
        <v/>
      </c>
      <c r="BN1255">
        <f>$C1255*BN1254</f>
        <v/>
      </c>
      <c r="BO1255">
        <f>$C1255*BO1254</f>
        <v/>
      </c>
      <c r="BP1255">
        <f>$C1255*BP1254</f>
        <v/>
      </c>
      <c r="BQ1255">
        <f>$C1255*BQ1254</f>
        <v/>
      </c>
      <c r="BR1255">
        <f>$C1255*BR1254</f>
        <v/>
      </c>
      <c r="BS1255">
        <f>$C1255*BS1254</f>
        <v/>
      </c>
      <c r="BT1255">
        <f>$C1255*BT1254</f>
        <v/>
      </c>
      <c r="BU1255">
        <f>$C1255*BU1254</f>
        <v/>
      </c>
      <c r="BV1255">
        <f>$C1255*BV1254</f>
        <v/>
      </c>
      <c r="BW1255">
        <f>$C1255*BW1254</f>
        <v/>
      </c>
      <c r="BX1255">
        <f>$C1255*BX1254</f>
        <v/>
      </c>
      <c r="BY1255">
        <f>$C1255*BY1254</f>
        <v/>
      </c>
      <c r="BZ1255">
        <f>$C1255*BZ1254</f>
        <v/>
      </c>
      <c r="CA1255">
        <f>$C1255*CA1254</f>
        <v/>
      </c>
      <c r="CB1255">
        <f>$C1255*CB1254</f>
        <v/>
      </c>
      <c r="CC1255">
        <f>$C1255*CC1254</f>
        <v/>
      </c>
      <c r="CD1255">
        <f>$C1255*CD1254</f>
        <v/>
      </c>
      <c r="CE1255">
        <f>$C1255*CE1254</f>
        <v/>
      </c>
      <c r="CF1255">
        <f>$C1255*CF1254</f>
        <v/>
      </c>
      <c r="CG1255">
        <f>$C1255*CG1254</f>
        <v/>
      </c>
      <c r="CH1255">
        <f>$C1255*CH1254</f>
        <v/>
      </c>
      <c r="CI1255">
        <f>$C1255*CI1254</f>
        <v/>
      </c>
      <c r="CJ1255">
        <f>$C1255*CJ1254</f>
        <v/>
      </c>
      <c r="CK1255">
        <f>$C1255*CK1254</f>
        <v/>
      </c>
      <c r="CL1255">
        <f>$C1255*CL1254</f>
        <v/>
      </c>
      <c r="CM1255">
        <f>$C1255*CM1254</f>
        <v/>
      </c>
      <c r="CN1255">
        <f>$C1255*CN1254</f>
        <v/>
      </c>
      <c r="CO1255">
        <f>$C1255*CO1254</f>
        <v/>
      </c>
      <c r="CP1255">
        <f>$C1255*CP1254</f>
        <v/>
      </c>
      <c r="CQ1255">
        <f>$C1255*CQ1254</f>
        <v/>
      </c>
      <c r="CR1255">
        <f>$C1255*CR1254</f>
        <v/>
      </c>
      <c r="CS1255">
        <f>$C1255*CS1254</f>
        <v/>
      </c>
      <c r="CT1255">
        <f>$C1255*CT1254</f>
        <v/>
      </c>
      <c r="CU1255">
        <f>$C1255*CU1254</f>
        <v/>
      </c>
      <c r="CV1255">
        <f>$C1255*CV1254</f>
        <v/>
      </c>
      <c r="CW1255">
        <f>$C1255*CW1254</f>
        <v/>
      </c>
      <c r="CX1255">
        <f>$C1255*CX1254</f>
        <v/>
      </c>
      <c r="CY1255">
        <f>$C1255*CY1254</f>
        <v/>
      </c>
      <c r="CZ1255">
        <f>$C1255*CZ1254</f>
        <v/>
      </c>
      <c r="DA1255">
        <f>$C1255*DA1254</f>
        <v/>
      </c>
      <c r="DB1255">
        <f>$C1255*DB1254</f>
        <v/>
      </c>
      <c r="DC1255">
        <f>$C1255*DC1254</f>
        <v/>
      </c>
    </row>
    <row r="1256">
      <c r="B1256" t="inlineStr">
        <is>
          <t>TSP-1446</t>
        </is>
      </c>
      <c r="C1256" t="inlineStr">
        <is>
          <t>No. of batches</t>
        </is>
      </c>
      <c r="D1256">
        <f>IFERROR(INDEX(PP_Grid[#Data],$DD1256,2),0)</f>
        <v/>
      </c>
      <c r="E1256">
        <f>IFERROR(INDEX(PP_Grid[#Data],$DD1256,3),0)</f>
        <v/>
      </c>
      <c r="F1256">
        <f>IFERROR(INDEX(PP_Grid[#Data],$DD1256,4),0)</f>
        <v/>
      </c>
      <c r="G1256">
        <f>IFERROR(INDEX(PP_Grid[#Data],$DD1256,5),0)</f>
        <v/>
      </c>
      <c r="H1256">
        <f>IFERROR(INDEX(PP_Grid[#Data],$DD1256,6),0)</f>
        <v/>
      </c>
      <c r="I1256">
        <f>IFERROR(INDEX(PP_Grid[#Data],$DD1256,7),0)</f>
        <v/>
      </c>
      <c r="J1256">
        <f>IFERROR(INDEX(PP_Grid[#Data],$DD1256,8),0)</f>
        <v/>
      </c>
      <c r="K1256">
        <f>IFERROR(INDEX(PP_Grid[#Data],$DD1256,9),0)</f>
        <v/>
      </c>
      <c r="L1256">
        <f>IFERROR(INDEX(PP_Grid[#Data],$DD1256,10),0)</f>
        <v/>
      </c>
      <c r="M1256">
        <f>IFERROR(INDEX(PP_Grid[#Data],$DD1256,11),0)</f>
        <v/>
      </c>
      <c r="N1256">
        <f>IFERROR(INDEX(PP_Grid[#Data],$DD1256,12),0)</f>
        <v/>
      </c>
      <c r="O1256">
        <f>IFERROR(INDEX(PP_Grid[#Data],$DD1256,13),0)</f>
        <v/>
      </c>
      <c r="P1256">
        <f>IFERROR(INDEX(PP_Grid[#Data],$DD1256,14),0)</f>
        <v/>
      </c>
      <c r="Q1256">
        <f>IFERROR(INDEX(PP_Grid[#Data],$DD1256,15),0)</f>
        <v/>
      </c>
      <c r="R1256">
        <f>IFERROR(INDEX(PP_Grid[#Data],$DD1256,16),0)</f>
        <v/>
      </c>
      <c r="S1256">
        <f>IFERROR(INDEX(PP_Grid[#Data],$DD1256,17),0)</f>
        <v/>
      </c>
      <c r="T1256">
        <f>IFERROR(INDEX(PP_Grid[#Data],$DD1256,18),0)</f>
        <v/>
      </c>
      <c r="U1256">
        <f>IFERROR(INDEX(PP_Grid[#Data],$DD1256,19),0)</f>
        <v/>
      </c>
      <c r="V1256">
        <f>IFERROR(INDEX(PP_Grid[#Data],$DD1256,20),0)</f>
        <v/>
      </c>
      <c r="W1256">
        <f>IFERROR(INDEX(PP_Grid[#Data],$DD1256,21),0)</f>
        <v/>
      </c>
      <c r="X1256">
        <f>IFERROR(INDEX(PP_Grid[#Data],$DD1256,22),0)</f>
        <v/>
      </c>
      <c r="Y1256">
        <f>IFERROR(INDEX(PP_Grid[#Data],$DD1256,23),0)</f>
        <v/>
      </c>
      <c r="Z1256">
        <f>IFERROR(INDEX(PP_Grid[#Data],$DD1256,24),0)</f>
        <v/>
      </c>
      <c r="AA1256">
        <f>IFERROR(INDEX(PP_Grid[#Data],$DD1256,25),0)</f>
        <v/>
      </c>
      <c r="AB1256">
        <f>IFERROR(INDEX(PP_Grid[#Data],$DD1256,26),0)</f>
        <v/>
      </c>
      <c r="AC1256">
        <f>IFERROR(INDEX(PP_Grid[#Data],$DD1256,27),0)</f>
        <v/>
      </c>
      <c r="AD1256">
        <f>IFERROR(INDEX(PP_Grid[#Data],$DD1256,28),0)</f>
        <v/>
      </c>
      <c r="AE1256">
        <f>IFERROR(INDEX(PP_Grid[#Data],$DD1256,29),0)</f>
        <v/>
      </c>
      <c r="AF1256">
        <f>IFERROR(INDEX(PP_Grid[#Data],$DD1256,30),0)</f>
        <v/>
      </c>
      <c r="AG1256">
        <f>IFERROR(INDEX(PP_Grid[#Data],$DD1256,31),0)</f>
        <v/>
      </c>
      <c r="AH1256">
        <f>IFERROR(INDEX(PP_Grid[#Data],$DD1256,32),0)</f>
        <v/>
      </c>
      <c r="AI1256">
        <f>IFERROR(INDEX(PP_Grid[#Data],$DD1256,33),0)</f>
        <v/>
      </c>
      <c r="AJ1256">
        <f>IFERROR(INDEX(PP_Grid[#Data],$DD1256,34),0)</f>
        <v/>
      </c>
      <c r="AK1256">
        <f>IFERROR(INDEX(PP_Grid[#Data],$DD1256,35),0)</f>
        <v/>
      </c>
      <c r="AL1256">
        <f>IFERROR(INDEX(PP_Grid[#Data],$DD1256,36),0)</f>
        <v/>
      </c>
      <c r="AM1256">
        <f>IFERROR(INDEX(PP_Grid[#Data],$DD1256,37),0)</f>
        <v/>
      </c>
      <c r="AN1256">
        <f>IFERROR(INDEX(PP_Grid[#Data],$DD1256,38),0)</f>
        <v/>
      </c>
      <c r="AO1256">
        <f>IFERROR(INDEX(PP_Grid[#Data],$DD1256,39),0)</f>
        <v/>
      </c>
      <c r="AP1256">
        <f>IFERROR(INDEX(PP_Grid[#Data],$DD1256,40),0)</f>
        <v/>
      </c>
      <c r="AQ1256">
        <f>IFERROR(INDEX(PP_Grid[#Data],$DD1256,41),0)</f>
        <v/>
      </c>
      <c r="AR1256">
        <f>IFERROR(INDEX(PP_Grid[#Data],$DD1256,42),0)</f>
        <v/>
      </c>
      <c r="AS1256">
        <f>IFERROR(INDEX(PP_Grid[#Data],$DD1256,43),0)</f>
        <v/>
      </c>
      <c r="AT1256">
        <f>IFERROR(INDEX(PP_Grid[#Data],$DD1256,44),0)</f>
        <v/>
      </c>
      <c r="AU1256">
        <f>IFERROR(INDEX(PP_Grid[#Data],$DD1256,45),0)</f>
        <v/>
      </c>
      <c r="AV1256">
        <f>IFERROR(INDEX(PP_Grid[#Data],$DD1256,46),0)</f>
        <v/>
      </c>
      <c r="AW1256">
        <f>IFERROR(INDEX(PP_Grid[#Data],$DD1256,47),0)</f>
        <v/>
      </c>
      <c r="AX1256">
        <f>IFERROR(INDEX(PP_Grid[#Data],$DD1256,48),0)</f>
        <v/>
      </c>
      <c r="AY1256">
        <f>IFERROR(INDEX(PP_Grid[#Data],$DD1256,49),0)</f>
        <v/>
      </c>
      <c r="AZ1256">
        <f>IFERROR(INDEX(PP_Grid[#Data],$DD1256,50),0)</f>
        <v/>
      </c>
      <c r="BA1256">
        <f>IFERROR(INDEX(PP_Grid[#Data],$DD1256,51),0)</f>
        <v/>
      </c>
      <c r="BB1256">
        <f>IFERROR(INDEX(PP_Grid[#Data],$DD1256,52),0)</f>
        <v/>
      </c>
      <c r="BC1256">
        <f>IFERROR(INDEX(PP_Grid[#Data],$DD1256,53),0)</f>
        <v/>
      </c>
      <c r="BD1256">
        <f>IFERROR(INDEX(PP_Grid[#Data],$DD1256,54),0)</f>
        <v/>
      </c>
      <c r="BE1256">
        <f>IFERROR(INDEX(PP_Grid[#Data],$DD1256,55),0)</f>
        <v/>
      </c>
      <c r="BF1256">
        <f>IFERROR(INDEX(PP_Grid[#Data],$DD1256,56),0)</f>
        <v/>
      </c>
      <c r="BG1256">
        <f>IFERROR(INDEX(PP_Grid[#Data],$DD1256,57),0)</f>
        <v/>
      </c>
      <c r="BH1256">
        <f>IFERROR(INDEX(PP_Grid[#Data],$DD1256,58),0)</f>
        <v/>
      </c>
      <c r="BI1256">
        <f>IFERROR(INDEX(PP_Grid[#Data],$DD1256,59),0)</f>
        <v/>
      </c>
      <c r="BJ1256">
        <f>IFERROR(INDEX(PP_Grid[#Data],$DD1256,60),0)</f>
        <v/>
      </c>
      <c r="BK1256">
        <f>IFERROR(INDEX(PP_Grid[#Data],$DD1256,61),0)</f>
        <v/>
      </c>
      <c r="BL1256">
        <f>IFERROR(INDEX(PP_Grid[#Data],$DD1256,62),0)</f>
        <v/>
      </c>
      <c r="BM1256">
        <f>IFERROR(INDEX(PP_Grid[#Data],$DD1256,63),0)</f>
        <v/>
      </c>
      <c r="BN1256">
        <f>IFERROR(INDEX(PP_Grid[#Data],$DD1256,64),0)</f>
        <v/>
      </c>
      <c r="BO1256">
        <f>IFERROR(INDEX(PP_Grid[#Data],$DD1256,65),0)</f>
        <v/>
      </c>
      <c r="BP1256">
        <f>IFERROR(INDEX(PP_Grid[#Data],$DD1256,66),0)</f>
        <v/>
      </c>
      <c r="BQ1256">
        <f>IFERROR(INDEX(PP_Grid[#Data],$DD1256,67),0)</f>
        <v/>
      </c>
      <c r="BR1256">
        <f>IFERROR(INDEX(PP_Grid[#Data],$DD1256,68),0)</f>
        <v/>
      </c>
      <c r="BS1256">
        <f>IFERROR(INDEX(PP_Grid[#Data],$DD1256,69),0)</f>
        <v/>
      </c>
      <c r="BT1256">
        <f>IFERROR(INDEX(PP_Grid[#Data],$DD1256,70),0)</f>
        <v/>
      </c>
      <c r="BU1256">
        <f>IFERROR(INDEX(PP_Grid[#Data],$DD1256,71),0)</f>
        <v/>
      </c>
      <c r="BV1256">
        <f>IFERROR(INDEX(PP_Grid[#Data],$DD1256,72),0)</f>
        <v/>
      </c>
      <c r="BW1256">
        <f>IFERROR(INDEX(PP_Grid[#Data],$DD1256,73),0)</f>
        <v/>
      </c>
      <c r="BX1256">
        <f>IFERROR(INDEX(PP_Grid[#Data],$DD1256,74),0)</f>
        <v/>
      </c>
      <c r="BY1256">
        <f>IFERROR(INDEX(PP_Grid[#Data],$DD1256,75),0)</f>
        <v/>
      </c>
      <c r="BZ1256">
        <f>IFERROR(INDEX(PP_Grid[#Data],$DD1256,76),0)</f>
        <v/>
      </c>
      <c r="CA1256">
        <f>IFERROR(INDEX(PP_Grid[#Data],$DD1256,77),0)</f>
        <v/>
      </c>
      <c r="CB1256">
        <f>IFERROR(INDEX(PP_Grid[#Data],$DD1256,78),0)</f>
        <v/>
      </c>
      <c r="CC1256">
        <f>IFERROR(INDEX(PP_Grid[#Data],$DD1256,79),0)</f>
        <v/>
      </c>
      <c r="CD1256">
        <f>IFERROR(INDEX(PP_Grid[#Data],$DD1256,80),0)</f>
        <v/>
      </c>
      <c r="CE1256">
        <f>IFERROR(INDEX(PP_Grid[#Data],$DD1256,81),0)</f>
        <v/>
      </c>
      <c r="CF1256">
        <f>IFERROR(INDEX(PP_Grid[#Data],$DD1256,82),0)</f>
        <v/>
      </c>
      <c r="CG1256">
        <f>IFERROR(INDEX(PP_Grid[#Data],$DD1256,83),0)</f>
        <v/>
      </c>
      <c r="CH1256">
        <f>IFERROR(INDEX(PP_Grid[#Data],$DD1256,84),0)</f>
        <v/>
      </c>
      <c r="CI1256">
        <f>IFERROR(INDEX(PP_Grid[#Data],$DD1256,85),0)</f>
        <v/>
      </c>
      <c r="CJ1256">
        <f>IFERROR(INDEX(PP_Grid[#Data],$DD1256,86),0)</f>
        <v/>
      </c>
      <c r="CK1256">
        <f>IFERROR(INDEX(PP_Grid[#Data],$DD1256,87),0)</f>
        <v/>
      </c>
      <c r="CL1256">
        <f>IFERROR(INDEX(PP_Grid[#Data],$DD1256,88),0)</f>
        <v/>
      </c>
      <c r="CM1256">
        <f>IFERROR(INDEX(PP_Grid[#Data],$DD1256,89),0)</f>
        <v/>
      </c>
      <c r="CN1256">
        <f>IFERROR(INDEX(PP_Grid[#Data],$DD1256,90),0)</f>
        <v/>
      </c>
      <c r="CO1256">
        <f>IFERROR(INDEX(PP_Grid[#Data],$DD1256,91),0)</f>
        <v/>
      </c>
      <c r="CP1256">
        <f>IFERROR(INDEX(PP_Grid[#Data],$DD1256,92),0)</f>
        <v/>
      </c>
      <c r="CQ1256">
        <f>IFERROR(INDEX(PP_Grid[#Data],$DD1256,93),0)</f>
        <v/>
      </c>
      <c r="CR1256">
        <f>IFERROR(INDEX(PP_Grid[#Data],$DD1256,94),0)</f>
        <v/>
      </c>
      <c r="CS1256">
        <f>IFERROR(INDEX(PP_Grid[#Data],$DD1256,95),0)</f>
        <v/>
      </c>
      <c r="CT1256">
        <f>IFERROR(INDEX(PP_Grid[#Data],$DD1256,96),0)</f>
        <v/>
      </c>
      <c r="CU1256">
        <f>IFERROR(INDEX(PP_Grid[#Data],$DD1256,97),0)</f>
        <v/>
      </c>
      <c r="CV1256">
        <f>IFERROR(INDEX(PP_Grid[#Data],$DD1256,98),0)</f>
        <v/>
      </c>
      <c r="CW1256">
        <f>IFERROR(INDEX(PP_Grid[#Data],$DD1256,99),0)</f>
        <v/>
      </c>
      <c r="CX1256">
        <f>IFERROR(INDEX(PP_Grid[#Data],$DD1256,100),0)</f>
        <v/>
      </c>
      <c r="CY1256">
        <f>IFERROR(INDEX(PP_Grid[#Data],$DD1256,101),0)</f>
        <v/>
      </c>
      <c r="CZ1256">
        <f>IFERROR(INDEX(PP_Grid[#Data],$DD1256,102),0)</f>
        <v/>
      </c>
      <c r="DA1256">
        <f>IFERROR(INDEX(PP_Grid[#Data],$DD1256,103),0)</f>
        <v/>
      </c>
      <c r="DB1256">
        <f>IFERROR(INDEX(PP_Grid[#Data],$DD1256,104),0)</f>
        <v/>
      </c>
      <c r="DC1256">
        <f>IFERROR(INDEX(PP_Grid[#Data],$DD1256,105),0)</f>
        <v/>
      </c>
      <c r="DD1256" s="12">
        <f>IFERROR(MATCH($B1256,PP_Grid[Intermediate],0),99999)</f>
        <v/>
      </c>
    </row>
    <row r="1257">
      <c r="B1257" t="inlineStr">
        <is>
          <t>使用量(kg)</t>
        </is>
      </c>
      <c r="C1257">
        <f>SUMIFS(M_BOM[RM_Qty_Per_Batch],M_BOM[Intermediate],$B1256,M_BOM[Part Name],$A1251)</f>
        <v/>
      </c>
      <c r="D1257">
        <f>$C1257*D1256</f>
        <v/>
      </c>
      <c r="E1257">
        <f>$C1257*E1256</f>
        <v/>
      </c>
      <c r="F1257">
        <f>$C1257*F1256</f>
        <v/>
      </c>
      <c r="G1257">
        <f>$C1257*G1256</f>
        <v/>
      </c>
      <c r="H1257">
        <f>$C1257*H1256</f>
        <v/>
      </c>
      <c r="I1257">
        <f>$C1257*I1256</f>
        <v/>
      </c>
      <c r="J1257">
        <f>$C1257*J1256</f>
        <v/>
      </c>
      <c r="K1257">
        <f>$C1257*K1256</f>
        <v/>
      </c>
      <c r="L1257">
        <f>$C1257*L1256</f>
        <v/>
      </c>
      <c r="M1257">
        <f>$C1257*M1256</f>
        <v/>
      </c>
      <c r="N1257">
        <f>$C1257*N1256</f>
        <v/>
      </c>
      <c r="O1257">
        <f>$C1257*O1256</f>
        <v/>
      </c>
      <c r="P1257">
        <f>$C1257*P1256</f>
        <v/>
      </c>
      <c r="Q1257">
        <f>$C1257*Q1256</f>
        <v/>
      </c>
      <c r="R1257">
        <f>$C1257*R1256</f>
        <v/>
      </c>
      <c r="S1257">
        <f>$C1257*S1256</f>
        <v/>
      </c>
      <c r="T1257">
        <f>$C1257*T1256</f>
        <v/>
      </c>
      <c r="U1257">
        <f>$C1257*U1256</f>
        <v/>
      </c>
      <c r="V1257">
        <f>$C1257*V1256</f>
        <v/>
      </c>
      <c r="W1257">
        <f>$C1257*W1256</f>
        <v/>
      </c>
      <c r="X1257">
        <f>$C1257*X1256</f>
        <v/>
      </c>
      <c r="Y1257">
        <f>$C1257*Y1256</f>
        <v/>
      </c>
      <c r="Z1257">
        <f>$C1257*Z1256</f>
        <v/>
      </c>
      <c r="AA1257">
        <f>$C1257*AA1256</f>
        <v/>
      </c>
      <c r="AB1257">
        <f>$C1257*AB1256</f>
        <v/>
      </c>
      <c r="AC1257">
        <f>$C1257*AC1256</f>
        <v/>
      </c>
      <c r="AD1257">
        <f>$C1257*AD1256</f>
        <v/>
      </c>
      <c r="AE1257">
        <f>$C1257*AE1256</f>
        <v/>
      </c>
      <c r="AF1257">
        <f>$C1257*AF1256</f>
        <v/>
      </c>
      <c r="AG1257">
        <f>$C1257*AG1256</f>
        <v/>
      </c>
      <c r="AH1257">
        <f>$C1257*AH1256</f>
        <v/>
      </c>
      <c r="AI1257">
        <f>$C1257*AI1256</f>
        <v/>
      </c>
      <c r="AJ1257">
        <f>$C1257*AJ1256</f>
        <v/>
      </c>
      <c r="AK1257">
        <f>$C1257*AK1256</f>
        <v/>
      </c>
      <c r="AL1257">
        <f>$C1257*AL1256</f>
        <v/>
      </c>
      <c r="AM1257">
        <f>$C1257*AM1256</f>
        <v/>
      </c>
      <c r="AN1257">
        <f>$C1257*AN1256</f>
        <v/>
      </c>
      <c r="AO1257">
        <f>$C1257*AO1256</f>
        <v/>
      </c>
      <c r="AP1257">
        <f>$C1257*AP1256</f>
        <v/>
      </c>
      <c r="AQ1257">
        <f>$C1257*AQ1256</f>
        <v/>
      </c>
      <c r="AR1257">
        <f>$C1257*AR1256</f>
        <v/>
      </c>
      <c r="AS1257">
        <f>$C1257*AS1256</f>
        <v/>
      </c>
      <c r="AT1257">
        <f>$C1257*AT1256</f>
        <v/>
      </c>
      <c r="AU1257">
        <f>$C1257*AU1256</f>
        <v/>
      </c>
      <c r="AV1257">
        <f>$C1257*AV1256</f>
        <v/>
      </c>
      <c r="AW1257">
        <f>$C1257*AW1256</f>
        <v/>
      </c>
      <c r="AX1257">
        <f>$C1257*AX1256</f>
        <v/>
      </c>
      <c r="AY1257">
        <f>$C1257*AY1256</f>
        <v/>
      </c>
      <c r="AZ1257">
        <f>$C1257*AZ1256</f>
        <v/>
      </c>
      <c r="BA1257">
        <f>$C1257*BA1256</f>
        <v/>
      </c>
      <c r="BB1257">
        <f>$C1257*BB1256</f>
        <v/>
      </c>
      <c r="BC1257">
        <f>$C1257*BC1256</f>
        <v/>
      </c>
      <c r="BD1257">
        <f>$C1257*BD1256</f>
        <v/>
      </c>
      <c r="BE1257">
        <f>$C1257*BE1256</f>
        <v/>
      </c>
      <c r="BF1257">
        <f>$C1257*BF1256</f>
        <v/>
      </c>
      <c r="BG1257">
        <f>$C1257*BG1256</f>
        <v/>
      </c>
      <c r="BH1257">
        <f>$C1257*BH1256</f>
        <v/>
      </c>
      <c r="BI1257">
        <f>$C1257*BI1256</f>
        <v/>
      </c>
      <c r="BJ1257">
        <f>$C1257*BJ1256</f>
        <v/>
      </c>
      <c r="BK1257">
        <f>$C1257*BK1256</f>
        <v/>
      </c>
      <c r="BL1257">
        <f>$C1257*BL1256</f>
        <v/>
      </c>
      <c r="BM1257">
        <f>$C1257*BM1256</f>
        <v/>
      </c>
      <c r="BN1257">
        <f>$C1257*BN1256</f>
        <v/>
      </c>
      <c r="BO1257">
        <f>$C1257*BO1256</f>
        <v/>
      </c>
      <c r="BP1257">
        <f>$C1257*BP1256</f>
        <v/>
      </c>
      <c r="BQ1257">
        <f>$C1257*BQ1256</f>
        <v/>
      </c>
      <c r="BR1257">
        <f>$C1257*BR1256</f>
        <v/>
      </c>
      <c r="BS1257">
        <f>$C1257*BS1256</f>
        <v/>
      </c>
      <c r="BT1257">
        <f>$C1257*BT1256</f>
        <v/>
      </c>
      <c r="BU1257">
        <f>$C1257*BU1256</f>
        <v/>
      </c>
      <c r="BV1257">
        <f>$C1257*BV1256</f>
        <v/>
      </c>
      <c r="BW1257">
        <f>$C1257*BW1256</f>
        <v/>
      </c>
      <c r="BX1257">
        <f>$C1257*BX1256</f>
        <v/>
      </c>
      <c r="BY1257">
        <f>$C1257*BY1256</f>
        <v/>
      </c>
      <c r="BZ1257">
        <f>$C1257*BZ1256</f>
        <v/>
      </c>
      <c r="CA1257">
        <f>$C1257*CA1256</f>
        <v/>
      </c>
      <c r="CB1257">
        <f>$C1257*CB1256</f>
        <v/>
      </c>
      <c r="CC1257">
        <f>$C1257*CC1256</f>
        <v/>
      </c>
      <c r="CD1257">
        <f>$C1257*CD1256</f>
        <v/>
      </c>
      <c r="CE1257">
        <f>$C1257*CE1256</f>
        <v/>
      </c>
      <c r="CF1257">
        <f>$C1257*CF1256</f>
        <v/>
      </c>
      <c r="CG1257">
        <f>$C1257*CG1256</f>
        <v/>
      </c>
      <c r="CH1257">
        <f>$C1257*CH1256</f>
        <v/>
      </c>
      <c r="CI1257">
        <f>$C1257*CI1256</f>
        <v/>
      </c>
      <c r="CJ1257">
        <f>$C1257*CJ1256</f>
        <v/>
      </c>
      <c r="CK1257">
        <f>$C1257*CK1256</f>
        <v/>
      </c>
      <c r="CL1257">
        <f>$C1257*CL1256</f>
        <v/>
      </c>
      <c r="CM1257">
        <f>$C1257*CM1256</f>
        <v/>
      </c>
      <c r="CN1257">
        <f>$C1257*CN1256</f>
        <v/>
      </c>
      <c r="CO1257">
        <f>$C1257*CO1256</f>
        <v/>
      </c>
      <c r="CP1257">
        <f>$C1257*CP1256</f>
        <v/>
      </c>
      <c r="CQ1257">
        <f>$C1257*CQ1256</f>
        <v/>
      </c>
      <c r="CR1257">
        <f>$C1257*CR1256</f>
        <v/>
      </c>
      <c r="CS1257">
        <f>$C1257*CS1256</f>
        <v/>
      </c>
      <c r="CT1257">
        <f>$C1257*CT1256</f>
        <v/>
      </c>
      <c r="CU1257">
        <f>$C1257*CU1256</f>
        <v/>
      </c>
      <c r="CV1257">
        <f>$C1257*CV1256</f>
        <v/>
      </c>
      <c r="CW1257">
        <f>$C1257*CW1256</f>
        <v/>
      </c>
      <c r="CX1257">
        <f>$C1257*CX1256</f>
        <v/>
      </c>
      <c r="CY1257">
        <f>$C1257*CY1256</f>
        <v/>
      </c>
      <c r="CZ1257">
        <f>$C1257*CZ1256</f>
        <v/>
      </c>
      <c r="DA1257">
        <f>$C1257*DA1256</f>
        <v/>
      </c>
      <c r="DB1257">
        <f>$C1257*DB1256</f>
        <v/>
      </c>
      <c r="DC1257">
        <f>$C1257*DC1256</f>
        <v/>
      </c>
    </row>
    <row r="1258">
      <c r="B1258" t="inlineStr">
        <is>
          <t>TSP-1448</t>
        </is>
      </c>
      <c r="C1258" t="inlineStr">
        <is>
          <t>No. of batches</t>
        </is>
      </c>
      <c r="D1258">
        <f>IFERROR(INDEX(PP_Grid[#Data],$DD1258,2),0)</f>
        <v/>
      </c>
      <c r="E1258">
        <f>IFERROR(INDEX(PP_Grid[#Data],$DD1258,3),0)</f>
        <v/>
      </c>
      <c r="F1258">
        <f>IFERROR(INDEX(PP_Grid[#Data],$DD1258,4),0)</f>
        <v/>
      </c>
      <c r="G1258">
        <f>IFERROR(INDEX(PP_Grid[#Data],$DD1258,5),0)</f>
        <v/>
      </c>
      <c r="H1258">
        <f>IFERROR(INDEX(PP_Grid[#Data],$DD1258,6),0)</f>
        <v/>
      </c>
      <c r="I1258">
        <f>IFERROR(INDEX(PP_Grid[#Data],$DD1258,7),0)</f>
        <v/>
      </c>
      <c r="J1258">
        <f>IFERROR(INDEX(PP_Grid[#Data],$DD1258,8),0)</f>
        <v/>
      </c>
      <c r="K1258">
        <f>IFERROR(INDEX(PP_Grid[#Data],$DD1258,9),0)</f>
        <v/>
      </c>
      <c r="L1258">
        <f>IFERROR(INDEX(PP_Grid[#Data],$DD1258,10),0)</f>
        <v/>
      </c>
      <c r="M1258">
        <f>IFERROR(INDEX(PP_Grid[#Data],$DD1258,11),0)</f>
        <v/>
      </c>
      <c r="N1258">
        <f>IFERROR(INDEX(PP_Grid[#Data],$DD1258,12),0)</f>
        <v/>
      </c>
      <c r="O1258">
        <f>IFERROR(INDEX(PP_Grid[#Data],$DD1258,13),0)</f>
        <v/>
      </c>
      <c r="P1258">
        <f>IFERROR(INDEX(PP_Grid[#Data],$DD1258,14),0)</f>
        <v/>
      </c>
      <c r="Q1258">
        <f>IFERROR(INDEX(PP_Grid[#Data],$DD1258,15),0)</f>
        <v/>
      </c>
      <c r="R1258">
        <f>IFERROR(INDEX(PP_Grid[#Data],$DD1258,16),0)</f>
        <v/>
      </c>
      <c r="S1258">
        <f>IFERROR(INDEX(PP_Grid[#Data],$DD1258,17),0)</f>
        <v/>
      </c>
      <c r="T1258">
        <f>IFERROR(INDEX(PP_Grid[#Data],$DD1258,18),0)</f>
        <v/>
      </c>
      <c r="U1258">
        <f>IFERROR(INDEX(PP_Grid[#Data],$DD1258,19),0)</f>
        <v/>
      </c>
      <c r="V1258">
        <f>IFERROR(INDEX(PP_Grid[#Data],$DD1258,20),0)</f>
        <v/>
      </c>
      <c r="W1258">
        <f>IFERROR(INDEX(PP_Grid[#Data],$DD1258,21),0)</f>
        <v/>
      </c>
      <c r="X1258">
        <f>IFERROR(INDEX(PP_Grid[#Data],$DD1258,22),0)</f>
        <v/>
      </c>
      <c r="Y1258">
        <f>IFERROR(INDEX(PP_Grid[#Data],$DD1258,23),0)</f>
        <v/>
      </c>
      <c r="Z1258">
        <f>IFERROR(INDEX(PP_Grid[#Data],$DD1258,24),0)</f>
        <v/>
      </c>
      <c r="AA1258">
        <f>IFERROR(INDEX(PP_Grid[#Data],$DD1258,25),0)</f>
        <v/>
      </c>
      <c r="AB1258">
        <f>IFERROR(INDEX(PP_Grid[#Data],$DD1258,26),0)</f>
        <v/>
      </c>
      <c r="AC1258">
        <f>IFERROR(INDEX(PP_Grid[#Data],$DD1258,27),0)</f>
        <v/>
      </c>
      <c r="AD1258">
        <f>IFERROR(INDEX(PP_Grid[#Data],$DD1258,28),0)</f>
        <v/>
      </c>
      <c r="AE1258">
        <f>IFERROR(INDEX(PP_Grid[#Data],$DD1258,29),0)</f>
        <v/>
      </c>
      <c r="AF1258">
        <f>IFERROR(INDEX(PP_Grid[#Data],$DD1258,30),0)</f>
        <v/>
      </c>
      <c r="AG1258">
        <f>IFERROR(INDEX(PP_Grid[#Data],$DD1258,31),0)</f>
        <v/>
      </c>
      <c r="AH1258">
        <f>IFERROR(INDEX(PP_Grid[#Data],$DD1258,32),0)</f>
        <v/>
      </c>
      <c r="AI1258">
        <f>IFERROR(INDEX(PP_Grid[#Data],$DD1258,33),0)</f>
        <v/>
      </c>
      <c r="AJ1258">
        <f>IFERROR(INDEX(PP_Grid[#Data],$DD1258,34),0)</f>
        <v/>
      </c>
      <c r="AK1258">
        <f>IFERROR(INDEX(PP_Grid[#Data],$DD1258,35),0)</f>
        <v/>
      </c>
      <c r="AL1258">
        <f>IFERROR(INDEX(PP_Grid[#Data],$DD1258,36),0)</f>
        <v/>
      </c>
      <c r="AM1258">
        <f>IFERROR(INDEX(PP_Grid[#Data],$DD1258,37),0)</f>
        <v/>
      </c>
      <c r="AN1258">
        <f>IFERROR(INDEX(PP_Grid[#Data],$DD1258,38),0)</f>
        <v/>
      </c>
      <c r="AO1258">
        <f>IFERROR(INDEX(PP_Grid[#Data],$DD1258,39),0)</f>
        <v/>
      </c>
      <c r="AP1258">
        <f>IFERROR(INDEX(PP_Grid[#Data],$DD1258,40),0)</f>
        <v/>
      </c>
      <c r="AQ1258">
        <f>IFERROR(INDEX(PP_Grid[#Data],$DD1258,41),0)</f>
        <v/>
      </c>
      <c r="AR1258">
        <f>IFERROR(INDEX(PP_Grid[#Data],$DD1258,42),0)</f>
        <v/>
      </c>
      <c r="AS1258">
        <f>IFERROR(INDEX(PP_Grid[#Data],$DD1258,43),0)</f>
        <v/>
      </c>
      <c r="AT1258">
        <f>IFERROR(INDEX(PP_Grid[#Data],$DD1258,44),0)</f>
        <v/>
      </c>
      <c r="AU1258">
        <f>IFERROR(INDEX(PP_Grid[#Data],$DD1258,45),0)</f>
        <v/>
      </c>
      <c r="AV1258">
        <f>IFERROR(INDEX(PP_Grid[#Data],$DD1258,46),0)</f>
        <v/>
      </c>
      <c r="AW1258">
        <f>IFERROR(INDEX(PP_Grid[#Data],$DD1258,47),0)</f>
        <v/>
      </c>
      <c r="AX1258">
        <f>IFERROR(INDEX(PP_Grid[#Data],$DD1258,48),0)</f>
        <v/>
      </c>
      <c r="AY1258">
        <f>IFERROR(INDEX(PP_Grid[#Data],$DD1258,49),0)</f>
        <v/>
      </c>
      <c r="AZ1258">
        <f>IFERROR(INDEX(PP_Grid[#Data],$DD1258,50),0)</f>
        <v/>
      </c>
      <c r="BA1258">
        <f>IFERROR(INDEX(PP_Grid[#Data],$DD1258,51),0)</f>
        <v/>
      </c>
      <c r="BB1258">
        <f>IFERROR(INDEX(PP_Grid[#Data],$DD1258,52),0)</f>
        <v/>
      </c>
      <c r="BC1258">
        <f>IFERROR(INDEX(PP_Grid[#Data],$DD1258,53),0)</f>
        <v/>
      </c>
      <c r="BD1258">
        <f>IFERROR(INDEX(PP_Grid[#Data],$DD1258,54),0)</f>
        <v/>
      </c>
      <c r="BE1258">
        <f>IFERROR(INDEX(PP_Grid[#Data],$DD1258,55),0)</f>
        <v/>
      </c>
      <c r="BF1258">
        <f>IFERROR(INDEX(PP_Grid[#Data],$DD1258,56),0)</f>
        <v/>
      </c>
      <c r="BG1258">
        <f>IFERROR(INDEX(PP_Grid[#Data],$DD1258,57),0)</f>
        <v/>
      </c>
      <c r="BH1258">
        <f>IFERROR(INDEX(PP_Grid[#Data],$DD1258,58),0)</f>
        <v/>
      </c>
      <c r="BI1258">
        <f>IFERROR(INDEX(PP_Grid[#Data],$DD1258,59),0)</f>
        <v/>
      </c>
      <c r="BJ1258">
        <f>IFERROR(INDEX(PP_Grid[#Data],$DD1258,60),0)</f>
        <v/>
      </c>
      <c r="BK1258">
        <f>IFERROR(INDEX(PP_Grid[#Data],$DD1258,61),0)</f>
        <v/>
      </c>
      <c r="BL1258">
        <f>IFERROR(INDEX(PP_Grid[#Data],$DD1258,62),0)</f>
        <v/>
      </c>
      <c r="BM1258">
        <f>IFERROR(INDEX(PP_Grid[#Data],$DD1258,63),0)</f>
        <v/>
      </c>
      <c r="BN1258">
        <f>IFERROR(INDEX(PP_Grid[#Data],$DD1258,64),0)</f>
        <v/>
      </c>
      <c r="BO1258">
        <f>IFERROR(INDEX(PP_Grid[#Data],$DD1258,65),0)</f>
        <v/>
      </c>
      <c r="BP1258">
        <f>IFERROR(INDEX(PP_Grid[#Data],$DD1258,66),0)</f>
        <v/>
      </c>
      <c r="BQ1258">
        <f>IFERROR(INDEX(PP_Grid[#Data],$DD1258,67),0)</f>
        <v/>
      </c>
      <c r="BR1258">
        <f>IFERROR(INDEX(PP_Grid[#Data],$DD1258,68),0)</f>
        <v/>
      </c>
      <c r="BS1258">
        <f>IFERROR(INDEX(PP_Grid[#Data],$DD1258,69),0)</f>
        <v/>
      </c>
      <c r="BT1258">
        <f>IFERROR(INDEX(PP_Grid[#Data],$DD1258,70),0)</f>
        <v/>
      </c>
      <c r="BU1258">
        <f>IFERROR(INDEX(PP_Grid[#Data],$DD1258,71),0)</f>
        <v/>
      </c>
      <c r="BV1258">
        <f>IFERROR(INDEX(PP_Grid[#Data],$DD1258,72),0)</f>
        <v/>
      </c>
      <c r="BW1258">
        <f>IFERROR(INDEX(PP_Grid[#Data],$DD1258,73),0)</f>
        <v/>
      </c>
      <c r="BX1258">
        <f>IFERROR(INDEX(PP_Grid[#Data],$DD1258,74),0)</f>
        <v/>
      </c>
      <c r="BY1258">
        <f>IFERROR(INDEX(PP_Grid[#Data],$DD1258,75),0)</f>
        <v/>
      </c>
      <c r="BZ1258">
        <f>IFERROR(INDEX(PP_Grid[#Data],$DD1258,76),0)</f>
        <v/>
      </c>
      <c r="CA1258">
        <f>IFERROR(INDEX(PP_Grid[#Data],$DD1258,77),0)</f>
        <v/>
      </c>
      <c r="CB1258">
        <f>IFERROR(INDEX(PP_Grid[#Data],$DD1258,78),0)</f>
        <v/>
      </c>
      <c r="CC1258">
        <f>IFERROR(INDEX(PP_Grid[#Data],$DD1258,79),0)</f>
        <v/>
      </c>
      <c r="CD1258">
        <f>IFERROR(INDEX(PP_Grid[#Data],$DD1258,80),0)</f>
        <v/>
      </c>
      <c r="CE1258">
        <f>IFERROR(INDEX(PP_Grid[#Data],$DD1258,81),0)</f>
        <v/>
      </c>
      <c r="CF1258">
        <f>IFERROR(INDEX(PP_Grid[#Data],$DD1258,82),0)</f>
        <v/>
      </c>
      <c r="CG1258">
        <f>IFERROR(INDEX(PP_Grid[#Data],$DD1258,83),0)</f>
        <v/>
      </c>
      <c r="CH1258">
        <f>IFERROR(INDEX(PP_Grid[#Data],$DD1258,84),0)</f>
        <v/>
      </c>
      <c r="CI1258">
        <f>IFERROR(INDEX(PP_Grid[#Data],$DD1258,85),0)</f>
        <v/>
      </c>
      <c r="CJ1258">
        <f>IFERROR(INDEX(PP_Grid[#Data],$DD1258,86),0)</f>
        <v/>
      </c>
      <c r="CK1258">
        <f>IFERROR(INDEX(PP_Grid[#Data],$DD1258,87),0)</f>
        <v/>
      </c>
      <c r="CL1258">
        <f>IFERROR(INDEX(PP_Grid[#Data],$DD1258,88),0)</f>
        <v/>
      </c>
      <c r="CM1258">
        <f>IFERROR(INDEX(PP_Grid[#Data],$DD1258,89),0)</f>
        <v/>
      </c>
      <c r="CN1258">
        <f>IFERROR(INDEX(PP_Grid[#Data],$DD1258,90),0)</f>
        <v/>
      </c>
      <c r="CO1258">
        <f>IFERROR(INDEX(PP_Grid[#Data],$DD1258,91),0)</f>
        <v/>
      </c>
      <c r="CP1258">
        <f>IFERROR(INDEX(PP_Grid[#Data],$DD1258,92),0)</f>
        <v/>
      </c>
      <c r="CQ1258">
        <f>IFERROR(INDEX(PP_Grid[#Data],$DD1258,93),0)</f>
        <v/>
      </c>
      <c r="CR1258">
        <f>IFERROR(INDEX(PP_Grid[#Data],$DD1258,94),0)</f>
        <v/>
      </c>
      <c r="CS1258">
        <f>IFERROR(INDEX(PP_Grid[#Data],$DD1258,95),0)</f>
        <v/>
      </c>
      <c r="CT1258">
        <f>IFERROR(INDEX(PP_Grid[#Data],$DD1258,96),0)</f>
        <v/>
      </c>
      <c r="CU1258">
        <f>IFERROR(INDEX(PP_Grid[#Data],$DD1258,97),0)</f>
        <v/>
      </c>
      <c r="CV1258">
        <f>IFERROR(INDEX(PP_Grid[#Data],$DD1258,98),0)</f>
        <v/>
      </c>
      <c r="CW1258">
        <f>IFERROR(INDEX(PP_Grid[#Data],$DD1258,99),0)</f>
        <v/>
      </c>
      <c r="CX1258">
        <f>IFERROR(INDEX(PP_Grid[#Data],$DD1258,100),0)</f>
        <v/>
      </c>
      <c r="CY1258">
        <f>IFERROR(INDEX(PP_Grid[#Data],$DD1258,101),0)</f>
        <v/>
      </c>
      <c r="CZ1258">
        <f>IFERROR(INDEX(PP_Grid[#Data],$DD1258,102),0)</f>
        <v/>
      </c>
      <c r="DA1258">
        <f>IFERROR(INDEX(PP_Grid[#Data],$DD1258,103),0)</f>
        <v/>
      </c>
      <c r="DB1258">
        <f>IFERROR(INDEX(PP_Grid[#Data],$DD1258,104),0)</f>
        <v/>
      </c>
      <c r="DC1258">
        <f>IFERROR(INDEX(PP_Grid[#Data],$DD1258,105),0)</f>
        <v/>
      </c>
      <c r="DD1258" s="12">
        <f>IFERROR(MATCH($B1258,PP_Grid[Intermediate],0),99999)</f>
        <v/>
      </c>
    </row>
    <row r="1259">
      <c r="B1259" t="inlineStr">
        <is>
          <t>使用量(kg)</t>
        </is>
      </c>
      <c r="C1259">
        <f>SUMIFS(M_BOM[RM_Qty_Per_Batch],M_BOM[Intermediate],$B1258,M_BOM[Part Name],$A1251)</f>
        <v/>
      </c>
      <c r="D1259">
        <f>$C1259*D1258</f>
        <v/>
      </c>
      <c r="E1259">
        <f>$C1259*E1258</f>
        <v/>
      </c>
      <c r="F1259">
        <f>$C1259*F1258</f>
        <v/>
      </c>
      <c r="G1259">
        <f>$C1259*G1258</f>
        <v/>
      </c>
      <c r="H1259">
        <f>$C1259*H1258</f>
        <v/>
      </c>
      <c r="I1259">
        <f>$C1259*I1258</f>
        <v/>
      </c>
      <c r="J1259">
        <f>$C1259*J1258</f>
        <v/>
      </c>
      <c r="K1259">
        <f>$C1259*K1258</f>
        <v/>
      </c>
      <c r="L1259">
        <f>$C1259*L1258</f>
        <v/>
      </c>
      <c r="M1259">
        <f>$C1259*M1258</f>
        <v/>
      </c>
      <c r="N1259">
        <f>$C1259*N1258</f>
        <v/>
      </c>
      <c r="O1259">
        <f>$C1259*O1258</f>
        <v/>
      </c>
      <c r="P1259">
        <f>$C1259*P1258</f>
        <v/>
      </c>
      <c r="Q1259">
        <f>$C1259*Q1258</f>
        <v/>
      </c>
      <c r="R1259">
        <f>$C1259*R1258</f>
        <v/>
      </c>
      <c r="S1259">
        <f>$C1259*S1258</f>
        <v/>
      </c>
      <c r="T1259">
        <f>$C1259*T1258</f>
        <v/>
      </c>
      <c r="U1259">
        <f>$C1259*U1258</f>
        <v/>
      </c>
      <c r="V1259">
        <f>$C1259*V1258</f>
        <v/>
      </c>
      <c r="W1259">
        <f>$C1259*W1258</f>
        <v/>
      </c>
      <c r="X1259">
        <f>$C1259*X1258</f>
        <v/>
      </c>
      <c r="Y1259">
        <f>$C1259*Y1258</f>
        <v/>
      </c>
      <c r="Z1259">
        <f>$C1259*Z1258</f>
        <v/>
      </c>
      <c r="AA1259">
        <f>$C1259*AA1258</f>
        <v/>
      </c>
      <c r="AB1259">
        <f>$C1259*AB1258</f>
        <v/>
      </c>
      <c r="AC1259">
        <f>$C1259*AC1258</f>
        <v/>
      </c>
      <c r="AD1259">
        <f>$C1259*AD1258</f>
        <v/>
      </c>
      <c r="AE1259">
        <f>$C1259*AE1258</f>
        <v/>
      </c>
      <c r="AF1259">
        <f>$C1259*AF1258</f>
        <v/>
      </c>
      <c r="AG1259">
        <f>$C1259*AG1258</f>
        <v/>
      </c>
      <c r="AH1259">
        <f>$C1259*AH1258</f>
        <v/>
      </c>
      <c r="AI1259">
        <f>$C1259*AI1258</f>
        <v/>
      </c>
      <c r="AJ1259">
        <f>$C1259*AJ1258</f>
        <v/>
      </c>
      <c r="AK1259">
        <f>$C1259*AK1258</f>
        <v/>
      </c>
      <c r="AL1259">
        <f>$C1259*AL1258</f>
        <v/>
      </c>
      <c r="AM1259">
        <f>$C1259*AM1258</f>
        <v/>
      </c>
      <c r="AN1259">
        <f>$C1259*AN1258</f>
        <v/>
      </c>
      <c r="AO1259">
        <f>$C1259*AO1258</f>
        <v/>
      </c>
      <c r="AP1259">
        <f>$C1259*AP1258</f>
        <v/>
      </c>
      <c r="AQ1259">
        <f>$C1259*AQ1258</f>
        <v/>
      </c>
      <c r="AR1259">
        <f>$C1259*AR1258</f>
        <v/>
      </c>
      <c r="AS1259">
        <f>$C1259*AS1258</f>
        <v/>
      </c>
      <c r="AT1259">
        <f>$C1259*AT1258</f>
        <v/>
      </c>
      <c r="AU1259">
        <f>$C1259*AU1258</f>
        <v/>
      </c>
      <c r="AV1259">
        <f>$C1259*AV1258</f>
        <v/>
      </c>
      <c r="AW1259">
        <f>$C1259*AW1258</f>
        <v/>
      </c>
      <c r="AX1259">
        <f>$C1259*AX1258</f>
        <v/>
      </c>
      <c r="AY1259">
        <f>$C1259*AY1258</f>
        <v/>
      </c>
      <c r="AZ1259">
        <f>$C1259*AZ1258</f>
        <v/>
      </c>
      <c r="BA1259">
        <f>$C1259*BA1258</f>
        <v/>
      </c>
      <c r="BB1259">
        <f>$C1259*BB1258</f>
        <v/>
      </c>
      <c r="BC1259">
        <f>$C1259*BC1258</f>
        <v/>
      </c>
      <c r="BD1259">
        <f>$C1259*BD1258</f>
        <v/>
      </c>
      <c r="BE1259">
        <f>$C1259*BE1258</f>
        <v/>
      </c>
      <c r="BF1259">
        <f>$C1259*BF1258</f>
        <v/>
      </c>
      <c r="BG1259">
        <f>$C1259*BG1258</f>
        <v/>
      </c>
      <c r="BH1259">
        <f>$C1259*BH1258</f>
        <v/>
      </c>
      <c r="BI1259">
        <f>$C1259*BI1258</f>
        <v/>
      </c>
      <c r="BJ1259">
        <f>$C1259*BJ1258</f>
        <v/>
      </c>
      <c r="BK1259">
        <f>$C1259*BK1258</f>
        <v/>
      </c>
      <c r="BL1259">
        <f>$C1259*BL1258</f>
        <v/>
      </c>
      <c r="BM1259">
        <f>$C1259*BM1258</f>
        <v/>
      </c>
      <c r="BN1259">
        <f>$C1259*BN1258</f>
        <v/>
      </c>
      <c r="BO1259">
        <f>$C1259*BO1258</f>
        <v/>
      </c>
      <c r="BP1259">
        <f>$C1259*BP1258</f>
        <v/>
      </c>
      <c r="BQ1259">
        <f>$C1259*BQ1258</f>
        <v/>
      </c>
      <c r="BR1259">
        <f>$C1259*BR1258</f>
        <v/>
      </c>
      <c r="BS1259">
        <f>$C1259*BS1258</f>
        <v/>
      </c>
      <c r="BT1259">
        <f>$C1259*BT1258</f>
        <v/>
      </c>
      <c r="BU1259">
        <f>$C1259*BU1258</f>
        <v/>
      </c>
      <c r="BV1259">
        <f>$C1259*BV1258</f>
        <v/>
      </c>
      <c r="BW1259">
        <f>$C1259*BW1258</f>
        <v/>
      </c>
      <c r="BX1259">
        <f>$C1259*BX1258</f>
        <v/>
      </c>
      <c r="BY1259">
        <f>$C1259*BY1258</f>
        <v/>
      </c>
      <c r="BZ1259">
        <f>$C1259*BZ1258</f>
        <v/>
      </c>
      <c r="CA1259">
        <f>$C1259*CA1258</f>
        <v/>
      </c>
      <c r="CB1259">
        <f>$C1259*CB1258</f>
        <v/>
      </c>
      <c r="CC1259">
        <f>$C1259*CC1258</f>
        <v/>
      </c>
      <c r="CD1259">
        <f>$C1259*CD1258</f>
        <v/>
      </c>
      <c r="CE1259">
        <f>$C1259*CE1258</f>
        <v/>
      </c>
      <c r="CF1259">
        <f>$C1259*CF1258</f>
        <v/>
      </c>
      <c r="CG1259">
        <f>$C1259*CG1258</f>
        <v/>
      </c>
      <c r="CH1259">
        <f>$C1259*CH1258</f>
        <v/>
      </c>
      <c r="CI1259">
        <f>$C1259*CI1258</f>
        <v/>
      </c>
      <c r="CJ1259">
        <f>$C1259*CJ1258</f>
        <v/>
      </c>
      <c r="CK1259">
        <f>$C1259*CK1258</f>
        <v/>
      </c>
      <c r="CL1259">
        <f>$C1259*CL1258</f>
        <v/>
      </c>
      <c r="CM1259">
        <f>$C1259*CM1258</f>
        <v/>
      </c>
      <c r="CN1259">
        <f>$C1259*CN1258</f>
        <v/>
      </c>
      <c r="CO1259">
        <f>$C1259*CO1258</f>
        <v/>
      </c>
      <c r="CP1259">
        <f>$C1259*CP1258</f>
        <v/>
      </c>
      <c r="CQ1259">
        <f>$C1259*CQ1258</f>
        <v/>
      </c>
      <c r="CR1259">
        <f>$C1259*CR1258</f>
        <v/>
      </c>
      <c r="CS1259">
        <f>$C1259*CS1258</f>
        <v/>
      </c>
      <c r="CT1259">
        <f>$C1259*CT1258</f>
        <v/>
      </c>
      <c r="CU1259">
        <f>$C1259*CU1258</f>
        <v/>
      </c>
      <c r="CV1259">
        <f>$C1259*CV1258</f>
        <v/>
      </c>
      <c r="CW1259">
        <f>$C1259*CW1258</f>
        <v/>
      </c>
      <c r="CX1259">
        <f>$C1259*CX1258</f>
        <v/>
      </c>
      <c r="CY1259">
        <f>$C1259*CY1258</f>
        <v/>
      </c>
      <c r="CZ1259">
        <f>$C1259*CZ1258</f>
        <v/>
      </c>
      <c r="DA1259">
        <f>$C1259*DA1258</f>
        <v/>
      </c>
      <c r="DB1259">
        <f>$C1259*DB1258</f>
        <v/>
      </c>
      <c r="DC1259">
        <f>$C1259*DC1258</f>
        <v/>
      </c>
    </row>
    <row r="1260">
      <c r="B1260" t="inlineStr">
        <is>
          <t>TSP-1449</t>
        </is>
      </c>
      <c r="C1260" t="inlineStr">
        <is>
          <t>No. of batches</t>
        </is>
      </c>
      <c r="D1260">
        <f>IFERROR(INDEX(PP_Grid[#Data],$DD1260,2),0)</f>
        <v/>
      </c>
      <c r="E1260">
        <f>IFERROR(INDEX(PP_Grid[#Data],$DD1260,3),0)</f>
        <v/>
      </c>
      <c r="F1260">
        <f>IFERROR(INDEX(PP_Grid[#Data],$DD1260,4),0)</f>
        <v/>
      </c>
      <c r="G1260">
        <f>IFERROR(INDEX(PP_Grid[#Data],$DD1260,5),0)</f>
        <v/>
      </c>
      <c r="H1260">
        <f>IFERROR(INDEX(PP_Grid[#Data],$DD1260,6),0)</f>
        <v/>
      </c>
      <c r="I1260">
        <f>IFERROR(INDEX(PP_Grid[#Data],$DD1260,7),0)</f>
        <v/>
      </c>
      <c r="J1260">
        <f>IFERROR(INDEX(PP_Grid[#Data],$DD1260,8),0)</f>
        <v/>
      </c>
      <c r="K1260">
        <f>IFERROR(INDEX(PP_Grid[#Data],$DD1260,9),0)</f>
        <v/>
      </c>
      <c r="L1260">
        <f>IFERROR(INDEX(PP_Grid[#Data],$DD1260,10),0)</f>
        <v/>
      </c>
      <c r="M1260">
        <f>IFERROR(INDEX(PP_Grid[#Data],$DD1260,11),0)</f>
        <v/>
      </c>
      <c r="N1260">
        <f>IFERROR(INDEX(PP_Grid[#Data],$DD1260,12),0)</f>
        <v/>
      </c>
      <c r="O1260">
        <f>IFERROR(INDEX(PP_Grid[#Data],$DD1260,13),0)</f>
        <v/>
      </c>
      <c r="P1260">
        <f>IFERROR(INDEX(PP_Grid[#Data],$DD1260,14),0)</f>
        <v/>
      </c>
      <c r="Q1260">
        <f>IFERROR(INDEX(PP_Grid[#Data],$DD1260,15),0)</f>
        <v/>
      </c>
      <c r="R1260">
        <f>IFERROR(INDEX(PP_Grid[#Data],$DD1260,16),0)</f>
        <v/>
      </c>
      <c r="S1260">
        <f>IFERROR(INDEX(PP_Grid[#Data],$DD1260,17),0)</f>
        <v/>
      </c>
      <c r="T1260">
        <f>IFERROR(INDEX(PP_Grid[#Data],$DD1260,18),0)</f>
        <v/>
      </c>
      <c r="U1260">
        <f>IFERROR(INDEX(PP_Grid[#Data],$DD1260,19),0)</f>
        <v/>
      </c>
      <c r="V1260">
        <f>IFERROR(INDEX(PP_Grid[#Data],$DD1260,20),0)</f>
        <v/>
      </c>
      <c r="W1260">
        <f>IFERROR(INDEX(PP_Grid[#Data],$DD1260,21),0)</f>
        <v/>
      </c>
      <c r="X1260">
        <f>IFERROR(INDEX(PP_Grid[#Data],$DD1260,22),0)</f>
        <v/>
      </c>
      <c r="Y1260">
        <f>IFERROR(INDEX(PP_Grid[#Data],$DD1260,23),0)</f>
        <v/>
      </c>
      <c r="Z1260">
        <f>IFERROR(INDEX(PP_Grid[#Data],$DD1260,24),0)</f>
        <v/>
      </c>
      <c r="AA1260">
        <f>IFERROR(INDEX(PP_Grid[#Data],$DD1260,25),0)</f>
        <v/>
      </c>
      <c r="AB1260">
        <f>IFERROR(INDEX(PP_Grid[#Data],$DD1260,26),0)</f>
        <v/>
      </c>
      <c r="AC1260">
        <f>IFERROR(INDEX(PP_Grid[#Data],$DD1260,27),0)</f>
        <v/>
      </c>
      <c r="AD1260">
        <f>IFERROR(INDEX(PP_Grid[#Data],$DD1260,28),0)</f>
        <v/>
      </c>
      <c r="AE1260">
        <f>IFERROR(INDEX(PP_Grid[#Data],$DD1260,29),0)</f>
        <v/>
      </c>
      <c r="AF1260">
        <f>IFERROR(INDEX(PP_Grid[#Data],$DD1260,30),0)</f>
        <v/>
      </c>
      <c r="AG1260">
        <f>IFERROR(INDEX(PP_Grid[#Data],$DD1260,31),0)</f>
        <v/>
      </c>
      <c r="AH1260">
        <f>IFERROR(INDEX(PP_Grid[#Data],$DD1260,32),0)</f>
        <v/>
      </c>
      <c r="AI1260">
        <f>IFERROR(INDEX(PP_Grid[#Data],$DD1260,33),0)</f>
        <v/>
      </c>
      <c r="AJ1260">
        <f>IFERROR(INDEX(PP_Grid[#Data],$DD1260,34),0)</f>
        <v/>
      </c>
      <c r="AK1260">
        <f>IFERROR(INDEX(PP_Grid[#Data],$DD1260,35),0)</f>
        <v/>
      </c>
      <c r="AL1260">
        <f>IFERROR(INDEX(PP_Grid[#Data],$DD1260,36),0)</f>
        <v/>
      </c>
      <c r="AM1260">
        <f>IFERROR(INDEX(PP_Grid[#Data],$DD1260,37),0)</f>
        <v/>
      </c>
      <c r="AN1260">
        <f>IFERROR(INDEX(PP_Grid[#Data],$DD1260,38),0)</f>
        <v/>
      </c>
      <c r="AO1260">
        <f>IFERROR(INDEX(PP_Grid[#Data],$DD1260,39),0)</f>
        <v/>
      </c>
      <c r="AP1260">
        <f>IFERROR(INDEX(PP_Grid[#Data],$DD1260,40),0)</f>
        <v/>
      </c>
      <c r="AQ1260">
        <f>IFERROR(INDEX(PP_Grid[#Data],$DD1260,41),0)</f>
        <v/>
      </c>
      <c r="AR1260">
        <f>IFERROR(INDEX(PP_Grid[#Data],$DD1260,42),0)</f>
        <v/>
      </c>
      <c r="AS1260">
        <f>IFERROR(INDEX(PP_Grid[#Data],$DD1260,43),0)</f>
        <v/>
      </c>
      <c r="AT1260">
        <f>IFERROR(INDEX(PP_Grid[#Data],$DD1260,44),0)</f>
        <v/>
      </c>
      <c r="AU1260">
        <f>IFERROR(INDEX(PP_Grid[#Data],$DD1260,45),0)</f>
        <v/>
      </c>
      <c r="AV1260">
        <f>IFERROR(INDEX(PP_Grid[#Data],$DD1260,46),0)</f>
        <v/>
      </c>
      <c r="AW1260">
        <f>IFERROR(INDEX(PP_Grid[#Data],$DD1260,47),0)</f>
        <v/>
      </c>
      <c r="AX1260">
        <f>IFERROR(INDEX(PP_Grid[#Data],$DD1260,48),0)</f>
        <v/>
      </c>
      <c r="AY1260">
        <f>IFERROR(INDEX(PP_Grid[#Data],$DD1260,49),0)</f>
        <v/>
      </c>
      <c r="AZ1260">
        <f>IFERROR(INDEX(PP_Grid[#Data],$DD1260,50),0)</f>
        <v/>
      </c>
      <c r="BA1260">
        <f>IFERROR(INDEX(PP_Grid[#Data],$DD1260,51),0)</f>
        <v/>
      </c>
      <c r="BB1260">
        <f>IFERROR(INDEX(PP_Grid[#Data],$DD1260,52),0)</f>
        <v/>
      </c>
      <c r="BC1260">
        <f>IFERROR(INDEX(PP_Grid[#Data],$DD1260,53),0)</f>
        <v/>
      </c>
      <c r="BD1260">
        <f>IFERROR(INDEX(PP_Grid[#Data],$DD1260,54),0)</f>
        <v/>
      </c>
      <c r="BE1260">
        <f>IFERROR(INDEX(PP_Grid[#Data],$DD1260,55),0)</f>
        <v/>
      </c>
      <c r="BF1260">
        <f>IFERROR(INDEX(PP_Grid[#Data],$DD1260,56),0)</f>
        <v/>
      </c>
      <c r="BG1260">
        <f>IFERROR(INDEX(PP_Grid[#Data],$DD1260,57),0)</f>
        <v/>
      </c>
      <c r="BH1260">
        <f>IFERROR(INDEX(PP_Grid[#Data],$DD1260,58),0)</f>
        <v/>
      </c>
      <c r="BI1260">
        <f>IFERROR(INDEX(PP_Grid[#Data],$DD1260,59),0)</f>
        <v/>
      </c>
      <c r="BJ1260">
        <f>IFERROR(INDEX(PP_Grid[#Data],$DD1260,60),0)</f>
        <v/>
      </c>
      <c r="BK1260">
        <f>IFERROR(INDEX(PP_Grid[#Data],$DD1260,61),0)</f>
        <v/>
      </c>
      <c r="BL1260">
        <f>IFERROR(INDEX(PP_Grid[#Data],$DD1260,62),0)</f>
        <v/>
      </c>
      <c r="BM1260">
        <f>IFERROR(INDEX(PP_Grid[#Data],$DD1260,63),0)</f>
        <v/>
      </c>
      <c r="BN1260">
        <f>IFERROR(INDEX(PP_Grid[#Data],$DD1260,64),0)</f>
        <v/>
      </c>
      <c r="BO1260">
        <f>IFERROR(INDEX(PP_Grid[#Data],$DD1260,65),0)</f>
        <v/>
      </c>
      <c r="BP1260">
        <f>IFERROR(INDEX(PP_Grid[#Data],$DD1260,66),0)</f>
        <v/>
      </c>
      <c r="BQ1260">
        <f>IFERROR(INDEX(PP_Grid[#Data],$DD1260,67),0)</f>
        <v/>
      </c>
      <c r="BR1260">
        <f>IFERROR(INDEX(PP_Grid[#Data],$DD1260,68),0)</f>
        <v/>
      </c>
      <c r="BS1260">
        <f>IFERROR(INDEX(PP_Grid[#Data],$DD1260,69),0)</f>
        <v/>
      </c>
      <c r="BT1260">
        <f>IFERROR(INDEX(PP_Grid[#Data],$DD1260,70),0)</f>
        <v/>
      </c>
      <c r="BU1260">
        <f>IFERROR(INDEX(PP_Grid[#Data],$DD1260,71),0)</f>
        <v/>
      </c>
      <c r="BV1260">
        <f>IFERROR(INDEX(PP_Grid[#Data],$DD1260,72),0)</f>
        <v/>
      </c>
      <c r="BW1260">
        <f>IFERROR(INDEX(PP_Grid[#Data],$DD1260,73),0)</f>
        <v/>
      </c>
      <c r="BX1260">
        <f>IFERROR(INDEX(PP_Grid[#Data],$DD1260,74),0)</f>
        <v/>
      </c>
      <c r="BY1260">
        <f>IFERROR(INDEX(PP_Grid[#Data],$DD1260,75),0)</f>
        <v/>
      </c>
      <c r="BZ1260">
        <f>IFERROR(INDEX(PP_Grid[#Data],$DD1260,76),0)</f>
        <v/>
      </c>
      <c r="CA1260">
        <f>IFERROR(INDEX(PP_Grid[#Data],$DD1260,77),0)</f>
        <v/>
      </c>
      <c r="CB1260">
        <f>IFERROR(INDEX(PP_Grid[#Data],$DD1260,78),0)</f>
        <v/>
      </c>
      <c r="CC1260">
        <f>IFERROR(INDEX(PP_Grid[#Data],$DD1260,79),0)</f>
        <v/>
      </c>
      <c r="CD1260">
        <f>IFERROR(INDEX(PP_Grid[#Data],$DD1260,80),0)</f>
        <v/>
      </c>
      <c r="CE1260">
        <f>IFERROR(INDEX(PP_Grid[#Data],$DD1260,81),0)</f>
        <v/>
      </c>
      <c r="CF1260">
        <f>IFERROR(INDEX(PP_Grid[#Data],$DD1260,82),0)</f>
        <v/>
      </c>
      <c r="CG1260">
        <f>IFERROR(INDEX(PP_Grid[#Data],$DD1260,83),0)</f>
        <v/>
      </c>
      <c r="CH1260">
        <f>IFERROR(INDEX(PP_Grid[#Data],$DD1260,84),0)</f>
        <v/>
      </c>
      <c r="CI1260">
        <f>IFERROR(INDEX(PP_Grid[#Data],$DD1260,85),0)</f>
        <v/>
      </c>
      <c r="CJ1260">
        <f>IFERROR(INDEX(PP_Grid[#Data],$DD1260,86),0)</f>
        <v/>
      </c>
      <c r="CK1260">
        <f>IFERROR(INDEX(PP_Grid[#Data],$DD1260,87),0)</f>
        <v/>
      </c>
      <c r="CL1260">
        <f>IFERROR(INDEX(PP_Grid[#Data],$DD1260,88),0)</f>
        <v/>
      </c>
      <c r="CM1260">
        <f>IFERROR(INDEX(PP_Grid[#Data],$DD1260,89),0)</f>
        <v/>
      </c>
      <c r="CN1260">
        <f>IFERROR(INDEX(PP_Grid[#Data],$DD1260,90),0)</f>
        <v/>
      </c>
      <c r="CO1260">
        <f>IFERROR(INDEX(PP_Grid[#Data],$DD1260,91),0)</f>
        <v/>
      </c>
      <c r="CP1260">
        <f>IFERROR(INDEX(PP_Grid[#Data],$DD1260,92),0)</f>
        <v/>
      </c>
      <c r="CQ1260">
        <f>IFERROR(INDEX(PP_Grid[#Data],$DD1260,93),0)</f>
        <v/>
      </c>
      <c r="CR1260">
        <f>IFERROR(INDEX(PP_Grid[#Data],$DD1260,94),0)</f>
        <v/>
      </c>
      <c r="CS1260">
        <f>IFERROR(INDEX(PP_Grid[#Data],$DD1260,95),0)</f>
        <v/>
      </c>
      <c r="CT1260">
        <f>IFERROR(INDEX(PP_Grid[#Data],$DD1260,96),0)</f>
        <v/>
      </c>
      <c r="CU1260">
        <f>IFERROR(INDEX(PP_Grid[#Data],$DD1260,97),0)</f>
        <v/>
      </c>
      <c r="CV1260">
        <f>IFERROR(INDEX(PP_Grid[#Data],$DD1260,98),0)</f>
        <v/>
      </c>
      <c r="CW1260">
        <f>IFERROR(INDEX(PP_Grid[#Data],$DD1260,99),0)</f>
        <v/>
      </c>
      <c r="CX1260">
        <f>IFERROR(INDEX(PP_Grid[#Data],$DD1260,100),0)</f>
        <v/>
      </c>
      <c r="CY1260">
        <f>IFERROR(INDEX(PP_Grid[#Data],$DD1260,101),0)</f>
        <v/>
      </c>
      <c r="CZ1260">
        <f>IFERROR(INDEX(PP_Grid[#Data],$DD1260,102),0)</f>
        <v/>
      </c>
      <c r="DA1260">
        <f>IFERROR(INDEX(PP_Grid[#Data],$DD1260,103),0)</f>
        <v/>
      </c>
      <c r="DB1260">
        <f>IFERROR(INDEX(PP_Grid[#Data],$DD1260,104),0)</f>
        <v/>
      </c>
      <c r="DC1260">
        <f>IFERROR(INDEX(PP_Grid[#Data],$DD1260,105),0)</f>
        <v/>
      </c>
      <c r="DD1260" s="12">
        <f>IFERROR(MATCH($B1260,PP_Grid[Intermediate],0),99999)</f>
        <v/>
      </c>
    </row>
    <row r="1261">
      <c r="B1261" t="inlineStr">
        <is>
          <t>使用量(kg)</t>
        </is>
      </c>
      <c r="C1261">
        <f>SUMIFS(M_BOM[RM_Qty_Per_Batch],M_BOM[Intermediate],$B1260,M_BOM[Part Name],$A1251)</f>
        <v/>
      </c>
      <c r="D1261">
        <f>$C1261*D1260</f>
        <v/>
      </c>
      <c r="E1261">
        <f>$C1261*E1260</f>
        <v/>
      </c>
      <c r="F1261">
        <f>$C1261*F1260</f>
        <v/>
      </c>
      <c r="G1261">
        <f>$C1261*G1260</f>
        <v/>
      </c>
      <c r="H1261">
        <f>$C1261*H1260</f>
        <v/>
      </c>
      <c r="I1261">
        <f>$C1261*I1260</f>
        <v/>
      </c>
      <c r="J1261">
        <f>$C1261*J1260</f>
        <v/>
      </c>
      <c r="K1261">
        <f>$C1261*K1260</f>
        <v/>
      </c>
      <c r="L1261">
        <f>$C1261*L1260</f>
        <v/>
      </c>
      <c r="M1261">
        <f>$C1261*M1260</f>
        <v/>
      </c>
      <c r="N1261">
        <f>$C1261*N1260</f>
        <v/>
      </c>
      <c r="O1261">
        <f>$C1261*O1260</f>
        <v/>
      </c>
      <c r="P1261">
        <f>$C1261*P1260</f>
        <v/>
      </c>
      <c r="Q1261">
        <f>$C1261*Q1260</f>
        <v/>
      </c>
      <c r="R1261">
        <f>$C1261*R1260</f>
        <v/>
      </c>
      <c r="S1261">
        <f>$C1261*S1260</f>
        <v/>
      </c>
      <c r="T1261">
        <f>$C1261*T1260</f>
        <v/>
      </c>
      <c r="U1261">
        <f>$C1261*U1260</f>
        <v/>
      </c>
      <c r="V1261">
        <f>$C1261*V1260</f>
        <v/>
      </c>
      <c r="W1261">
        <f>$C1261*W1260</f>
        <v/>
      </c>
      <c r="X1261">
        <f>$C1261*X1260</f>
        <v/>
      </c>
      <c r="Y1261">
        <f>$C1261*Y1260</f>
        <v/>
      </c>
      <c r="Z1261">
        <f>$C1261*Z1260</f>
        <v/>
      </c>
      <c r="AA1261">
        <f>$C1261*AA1260</f>
        <v/>
      </c>
      <c r="AB1261">
        <f>$C1261*AB1260</f>
        <v/>
      </c>
      <c r="AC1261">
        <f>$C1261*AC1260</f>
        <v/>
      </c>
      <c r="AD1261">
        <f>$C1261*AD1260</f>
        <v/>
      </c>
      <c r="AE1261">
        <f>$C1261*AE1260</f>
        <v/>
      </c>
      <c r="AF1261">
        <f>$C1261*AF1260</f>
        <v/>
      </c>
      <c r="AG1261">
        <f>$C1261*AG1260</f>
        <v/>
      </c>
      <c r="AH1261">
        <f>$C1261*AH1260</f>
        <v/>
      </c>
      <c r="AI1261">
        <f>$C1261*AI1260</f>
        <v/>
      </c>
      <c r="AJ1261">
        <f>$C1261*AJ1260</f>
        <v/>
      </c>
      <c r="AK1261">
        <f>$C1261*AK1260</f>
        <v/>
      </c>
      <c r="AL1261">
        <f>$C1261*AL1260</f>
        <v/>
      </c>
      <c r="AM1261">
        <f>$C1261*AM1260</f>
        <v/>
      </c>
      <c r="AN1261">
        <f>$C1261*AN1260</f>
        <v/>
      </c>
      <c r="AO1261">
        <f>$C1261*AO1260</f>
        <v/>
      </c>
      <c r="AP1261">
        <f>$C1261*AP1260</f>
        <v/>
      </c>
      <c r="AQ1261">
        <f>$C1261*AQ1260</f>
        <v/>
      </c>
      <c r="AR1261">
        <f>$C1261*AR1260</f>
        <v/>
      </c>
      <c r="AS1261">
        <f>$C1261*AS1260</f>
        <v/>
      </c>
      <c r="AT1261">
        <f>$C1261*AT1260</f>
        <v/>
      </c>
      <c r="AU1261">
        <f>$C1261*AU1260</f>
        <v/>
      </c>
      <c r="AV1261">
        <f>$C1261*AV1260</f>
        <v/>
      </c>
      <c r="AW1261">
        <f>$C1261*AW1260</f>
        <v/>
      </c>
      <c r="AX1261">
        <f>$C1261*AX1260</f>
        <v/>
      </c>
      <c r="AY1261">
        <f>$C1261*AY1260</f>
        <v/>
      </c>
      <c r="AZ1261">
        <f>$C1261*AZ1260</f>
        <v/>
      </c>
      <c r="BA1261">
        <f>$C1261*BA1260</f>
        <v/>
      </c>
      <c r="BB1261">
        <f>$C1261*BB1260</f>
        <v/>
      </c>
      <c r="BC1261">
        <f>$C1261*BC1260</f>
        <v/>
      </c>
      <c r="BD1261">
        <f>$C1261*BD1260</f>
        <v/>
      </c>
      <c r="BE1261">
        <f>$C1261*BE1260</f>
        <v/>
      </c>
      <c r="BF1261">
        <f>$C1261*BF1260</f>
        <v/>
      </c>
      <c r="BG1261">
        <f>$C1261*BG1260</f>
        <v/>
      </c>
      <c r="BH1261">
        <f>$C1261*BH1260</f>
        <v/>
      </c>
      <c r="BI1261">
        <f>$C1261*BI1260</f>
        <v/>
      </c>
      <c r="BJ1261">
        <f>$C1261*BJ1260</f>
        <v/>
      </c>
      <c r="BK1261">
        <f>$C1261*BK1260</f>
        <v/>
      </c>
      <c r="BL1261">
        <f>$C1261*BL1260</f>
        <v/>
      </c>
      <c r="BM1261">
        <f>$C1261*BM1260</f>
        <v/>
      </c>
      <c r="BN1261">
        <f>$C1261*BN1260</f>
        <v/>
      </c>
      <c r="BO1261">
        <f>$C1261*BO1260</f>
        <v/>
      </c>
      <c r="BP1261">
        <f>$C1261*BP1260</f>
        <v/>
      </c>
      <c r="BQ1261">
        <f>$C1261*BQ1260</f>
        <v/>
      </c>
      <c r="BR1261">
        <f>$C1261*BR1260</f>
        <v/>
      </c>
      <c r="BS1261">
        <f>$C1261*BS1260</f>
        <v/>
      </c>
      <c r="BT1261">
        <f>$C1261*BT1260</f>
        <v/>
      </c>
      <c r="BU1261">
        <f>$C1261*BU1260</f>
        <v/>
      </c>
      <c r="BV1261">
        <f>$C1261*BV1260</f>
        <v/>
      </c>
      <c r="BW1261">
        <f>$C1261*BW1260</f>
        <v/>
      </c>
      <c r="BX1261">
        <f>$C1261*BX1260</f>
        <v/>
      </c>
      <c r="BY1261">
        <f>$C1261*BY1260</f>
        <v/>
      </c>
      <c r="BZ1261">
        <f>$C1261*BZ1260</f>
        <v/>
      </c>
      <c r="CA1261">
        <f>$C1261*CA1260</f>
        <v/>
      </c>
      <c r="CB1261">
        <f>$C1261*CB1260</f>
        <v/>
      </c>
      <c r="CC1261">
        <f>$C1261*CC1260</f>
        <v/>
      </c>
      <c r="CD1261">
        <f>$C1261*CD1260</f>
        <v/>
      </c>
      <c r="CE1261">
        <f>$C1261*CE1260</f>
        <v/>
      </c>
      <c r="CF1261">
        <f>$C1261*CF1260</f>
        <v/>
      </c>
      <c r="CG1261">
        <f>$C1261*CG1260</f>
        <v/>
      </c>
      <c r="CH1261">
        <f>$C1261*CH1260</f>
        <v/>
      </c>
      <c r="CI1261">
        <f>$C1261*CI1260</f>
        <v/>
      </c>
      <c r="CJ1261">
        <f>$C1261*CJ1260</f>
        <v/>
      </c>
      <c r="CK1261">
        <f>$C1261*CK1260</f>
        <v/>
      </c>
      <c r="CL1261">
        <f>$C1261*CL1260</f>
        <v/>
      </c>
      <c r="CM1261">
        <f>$C1261*CM1260</f>
        <v/>
      </c>
      <c r="CN1261">
        <f>$C1261*CN1260</f>
        <v/>
      </c>
      <c r="CO1261">
        <f>$C1261*CO1260</f>
        <v/>
      </c>
      <c r="CP1261">
        <f>$C1261*CP1260</f>
        <v/>
      </c>
      <c r="CQ1261">
        <f>$C1261*CQ1260</f>
        <v/>
      </c>
      <c r="CR1261">
        <f>$C1261*CR1260</f>
        <v/>
      </c>
      <c r="CS1261">
        <f>$C1261*CS1260</f>
        <v/>
      </c>
      <c r="CT1261">
        <f>$C1261*CT1260</f>
        <v/>
      </c>
      <c r="CU1261">
        <f>$C1261*CU1260</f>
        <v/>
      </c>
      <c r="CV1261">
        <f>$C1261*CV1260</f>
        <v/>
      </c>
      <c r="CW1261">
        <f>$C1261*CW1260</f>
        <v/>
      </c>
      <c r="CX1261">
        <f>$C1261*CX1260</f>
        <v/>
      </c>
      <c r="CY1261">
        <f>$C1261*CY1260</f>
        <v/>
      </c>
      <c r="CZ1261">
        <f>$C1261*CZ1260</f>
        <v/>
      </c>
      <c r="DA1261">
        <f>$C1261*DA1260</f>
        <v/>
      </c>
      <c r="DB1261">
        <f>$C1261*DB1260</f>
        <v/>
      </c>
      <c r="DC1261">
        <f>$C1261*DC1260</f>
        <v/>
      </c>
    </row>
    <row r="1262">
      <c r="B1262" t="inlineStr">
        <is>
          <t>TSP-1499</t>
        </is>
      </c>
      <c r="C1262" t="inlineStr">
        <is>
          <t>No. of batches</t>
        </is>
      </c>
      <c r="D1262">
        <f>IFERROR(INDEX(PP_Grid[#Data],$DD1262,2),0)</f>
        <v/>
      </c>
      <c r="E1262">
        <f>IFERROR(INDEX(PP_Grid[#Data],$DD1262,3),0)</f>
        <v/>
      </c>
      <c r="F1262">
        <f>IFERROR(INDEX(PP_Grid[#Data],$DD1262,4),0)</f>
        <v/>
      </c>
      <c r="G1262">
        <f>IFERROR(INDEX(PP_Grid[#Data],$DD1262,5),0)</f>
        <v/>
      </c>
      <c r="H1262">
        <f>IFERROR(INDEX(PP_Grid[#Data],$DD1262,6),0)</f>
        <v/>
      </c>
      <c r="I1262">
        <f>IFERROR(INDEX(PP_Grid[#Data],$DD1262,7),0)</f>
        <v/>
      </c>
      <c r="J1262">
        <f>IFERROR(INDEX(PP_Grid[#Data],$DD1262,8),0)</f>
        <v/>
      </c>
      <c r="K1262">
        <f>IFERROR(INDEX(PP_Grid[#Data],$DD1262,9),0)</f>
        <v/>
      </c>
      <c r="L1262">
        <f>IFERROR(INDEX(PP_Grid[#Data],$DD1262,10),0)</f>
        <v/>
      </c>
      <c r="M1262">
        <f>IFERROR(INDEX(PP_Grid[#Data],$DD1262,11),0)</f>
        <v/>
      </c>
      <c r="N1262">
        <f>IFERROR(INDEX(PP_Grid[#Data],$DD1262,12),0)</f>
        <v/>
      </c>
      <c r="O1262">
        <f>IFERROR(INDEX(PP_Grid[#Data],$DD1262,13),0)</f>
        <v/>
      </c>
      <c r="P1262">
        <f>IFERROR(INDEX(PP_Grid[#Data],$DD1262,14),0)</f>
        <v/>
      </c>
      <c r="Q1262">
        <f>IFERROR(INDEX(PP_Grid[#Data],$DD1262,15),0)</f>
        <v/>
      </c>
      <c r="R1262">
        <f>IFERROR(INDEX(PP_Grid[#Data],$DD1262,16),0)</f>
        <v/>
      </c>
      <c r="S1262">
        <f>IFERROR(INDEX(PP_Grid[#Data],$DD1262,17),0)</f>
        <v/>
      </c>
      <c r="T1262">
        <f>IFERROR(INDEX(PP_Grid[#Data],$DD1262,18),0)</f>
        <v/>
      </c>
      <c r="U1262">
        <f>IFERROR(INDEX(PP_Grid[#Data],$DD1262,19),0)</f>
        <v/>
      </c>
      <c r="V1262">
        <f>IFERROR(INDEX(PP_Grid[#Data],$DD1262,20),0)</f>
        <v/>
      </c>
      <c r="W1262">
        <f>IFERROR(INDEX(PP_Grid[#Data],$DD1262,21),0)</f>
        <v/>
      </c>
      <c r="X1262">
        <f>IFERROR(INDEX(PP_Grid[#Data],$DD1262,22),0)</f>
        <v/>
      </c>
      <c r="Y1262">
        <f>IFERROR(INDEX(PP_Grid[#Data],$DD1262,23),0)</f>
        <v/>
      </c>
      <c r="Z1262">
        <f>IFERROR(INDEX(PP_Grid[#Data],$DD1262,24),0)</f>
        <v/>
      </c>
      <c r="AA1262">
        <f>IFERROR(INDEX(PP_Grid[#Data],$DD1262,25),0)</f>
        <v/>
      </c>
      <c r="AB1262">
        <f>IFERROR(INDEX(PP_Grid[#Data],$DD1262,26),0)</f>
        <v/>
      </c>
      <c r="AC1262">
        <f>IFERROR(INDEX(PP_Grid[#Data],$DD1262,27),0)</f>
        <v/>
      </c>
      <c r="AD1262">
        <f>IFERROR(INDEX(PP_Grid[#Data],$DD1262,28),0)</f>
        <v/>
      </c>
      <c r="AE1262">
        <f>IFERROR(INDEX(PP_Grid[#Data],$DD1262,29),0)</f>
        <v/>
      </c>
      <c r="AF1262">
        <f>IFERROR(INDEX(PP_Grid[#Data],$DD1262,30),0)</f>
        <v/>
      </c>
      <c r="AG1262">
        <f>IFERROR(INDEX(PP_Grid[#Data],$DD1262,31),0)</f>
        <v/>
      </c>
      <c r="AH1262">
        <f>IFERROR(INDEX(PP_Grid[#Data],$DD1262,32),0)</f>
        <v/>
      </c>
      <c r="AI1262">
        <f>IFERROR(INDEX(PP_Grid[#Data],$DD1262,33),0)</f>
        <v/>
      </c>
      <c r="AJ1262">
        <f>IFERROR(INDEX(PP_Grid[#Data],$DD1262,34),0)</f>
        <v/>
      </c>
      <c r="AK1262">
        <f>IFERROR(INDEX(PP_Grid[#Data],$DD1262,35),0)</f>
        <v/>
      </c>
      <c r="AL1262">
        <f>IFERROR(INDEX(PP_Grid[#Data],$DD1262,36),0)</f>
        <v/>
      </c>
      <c r="AM1262">
        <f>IFERROR(INDEX(PP_Grid[#Data],$DD1262,37),0)</f>
        <v/>
      </c>
      <c r="AN1262">
        <f>IFERROR(INDEX(PP_Grid[#Data],$DD1262,38),0)</f>
        <v/>
      </c>
      <c r="AO1262">
        <f>IFERROR(INDEX(PP_Grid[#Data],$DD1262,39),0)</f>
        <v/>
      </c>
      <c r="AP1262">
        <f>IFERROR(INDEX(PP_Grid[#Data],$DD1262,40),0)</f>
        <v/>
      </c>
      <c r="AQ1262">
        <f>IFERROR(INDEX(PP_Grid[#Data],$DD1262,41),0)</f>
        <v/>
      </c>
      <c r="AR1262">
        <f>IFERROR(INDEX(PP_Grid[#Data],$DD1262,42),0)</f>
        <v/>
      </c>
      <c r="AS1262">
        <f>IFERROR(INDEX(PP_Grid[#Data],$DD1262,43),0)</f>
        <v/>
      </c>
      <c r="AT1262">
        <f>IFERROR(INDEX(PP_Grid[#Data],$DD1262,44),0)</f>
        <v/>
      </c>
      <c r="AU1262">
        <f>IFERROR(INDEX(PP_Grid[#Data],$DD1262,45),0)</f>
        <v/>
      </c>
      <c r="AV1262">
        <f>IFERROR(INDEX(PP_Grid[#Data],$DD1262,46),0)</f>
        <v/>
      </c>
      <c r="AW1262">
        <f>IFERROR(INDEX(PP_Grid[#Data],$DD1262,47),0)</f>
        <v/>
      </c>
      <c r="AX1262">
        <f>IFERROR(INDEX(PP_Grid[#Data],$DD1262,48),0)</f>
        <v/>
      </c>
      <c r="AY1262">
        <f>IFERROR(INDEX(PP_Grid[#Data],$DD1262,49),0)</f>
        <v/>
      </c>
      <c r="AZ1262">
        <f>IFERROR(INDEX(PP_Grid[#Data],$DD1262,50),0)</f>
        <v/>
      </c>
      <c r="BA1262">
        <f>IFERROR(INDEX(PP_Grid[#Data],$DD1262,51),0)</f>
        <v/>
      </c>
      <c r="BB1262">
        <f>IFERROR(INDEX(PP_Grid[#Data],$DD1262,52),0)</f>
        <v/>
      </c>
      <c r="BC1262">
        <f>IFERROR(INDEX(PP_Grid[#Data],$DD1262,53),0)</f>
        <v/>
      </c>
      <c r="BD1262">
        <f>IFERROR(INDEX(PP_Grid[#Data],$DD1262,54),0)</f>
        <v/>
      </c>
      <c r="BE1262">
        <f>IFERROR(INDEX(PP_Grid[#Data],$DD1262,55),0)</f>
        <v/>
      </c>
      <c r="BF1262">
        <f>IFERROR(INDEX(PP_Grid[#Data],$DD1262,56),0)</f>
        <v/>
      </c>
      <c r="BG1262">
        <f>IFERROR(INDEX(PP_Grid[#Data],$DD1262,57),0)</f>
        <v/>
      </c>
      <c r="BH1262">
        <f>IFERROR(INDEX(PP_Grid[#Data],$DD1262,58),0)</f>
        <v/>
      </c>
      <c r="BI1262">
        <f>IFERROR(INDEX(PP_Grid[#Data],$DD1262,59),0)</f>
        <v/>
      </c>
      <c r="BJ1262">
        <f>IFERROR(INDEX(PP_Grid[#Data],$DD1262,60),0)</f>
        <v/>
      </c>
      <c r="BK1262">
        <f>IFERROR(INDEX(PP_Grid[#Data],$DD1262,61),0)</f>
        <v/>
      </c>
      <c r="BL1262">
        <f>IFERROR(INDEX(PP_Grid[#Data],$DD1262,62),0)</f>
        <v/>
      </c>
      <c r="BM1262">
        <f>IFERROR(INDEX(PP_Grid[#Data],$DD1262,63),0)</f>
        <v/>
      </c>
      <c r="BN1262">
        <f>IFERROR(INDEX(PP_Grid[#Data],$DD1262,64),0)</f>
        <v/>
      </c>
      <c r="BO1262">
        <f>IFERROR(INDEX(PP_Grid[#Data],$DD1262,65),0)</f>
        <v/>
      </c>
      <c r="BP1262">
        <f>IFERROR(INDEX(PP_Grid[#Data],$DD1262,66),0)</f>
        <v/>
      </c>
      <c r="BQ1262">
        <f>IFERROR(INDEX(PP_Grid[#Data],$DD1262,67),0)</f>
        <v/>
      </c>
      <c r="BR1262">
        <f>IFERROR(INDEX(PP_Grid[#Data],$DD1262,68),0)</f>
        <v/>
      </c>
      <c r="BS1262">
        <f>IFERROR(INDEX(PP_Grid[#Data],$DD1262,69),0)</f>
        <v/>
      </c>
      <c r="BT1262">
        <f>IFERROR(INDEX(PP_Grid[#Data],$DD1262,70),0)</f>
        <v/>
      </c>
      <c r="BU1262">
        <f>IFERROR(INDEX(PP_Grid[#Data],$DD1262,71),0)</f>
        <v/>
      </c>
      <c r="BV1262">
        <f>IFERROR(INDEX(PP_Grid[#Data],$DD1262,72),0)</f>
        <v/>
      </c>
      <c r="BW1262">
        <f>IFERROR(INDEX(PP_Grid[#Data],$DD1262,73),0)</f>
        <v/>
      </c>
      <c r="BX1262">
        <f>IFERROR(INDEX(PP_Grid[#Data],$DD1262,74),0)</f>
        <v/>
      </c>
      <c r="BY1262">
        <f>IFERROR(INDEX(PP_Grid[#Data],$DD1262,75),0)</f>
        <v/>
      </c>
      <c r="BZ1262">
        <f>IFERROR(INDEX(PP_Grid[#Data],$DD1262,76),0)</f>
        <v/>
      </c>
      <c r="CA1262">
        <f>IFERROR(INDEX(PP_Grid[#Data],$DD1262,77),0)</f>
        <v/>
      </c>
      <c r="CB1262">
        <f>IFERROR(INDEX(PP_Grid[#Data],$DD1262,78),0)</f>
        <v/>
      </c>
      <c r="CC1262">
        <f>IFERROR(INDEX(PP_Grid[#Data],$DD1262,79),0)</f>
        <v/>
      </c>
      <c r="CD1262">
        <f>IFERROR(INDEX(PP_Grid[#Data],$DD1262,80),0)</f>
        <v/>
      </c>
      <c r="CE1262">
        <f>IFERROR(INDEX(PP_Grid[#Data],$DD1262,81),0)</f>
        <v/>
      </c>
      <c r="CF1262">
        <f>IFERROR(INDEX(PP_Grid[#Data],$DD1262,82),0)</f>
        <v/>
      </c>
      <c r="CG1262">
        <f>IFERROR(INDEX(PP_Grid[#Data],$DD1262,83),0)</f>
        <v/>
      </c>
      <c r="CH1262">
        <f>IFERROR(INDEX(PP_Grid[#Data],$DD1262,84),0)</f>
        <v/>
      </c>
      <c r="CI1262">
        <f>IFERROR(INDEX(PP_Grid[#Data],$DD1262,85),0)</f>
        <v/>
      </c>
      <c r="CJ1262">
        <f>IFERROR(INDEX(PP_Grid[#Data],$DD1262,86),0)</f>
        <v/>
      </c>
      <c r="CK1262">
        <f>IFERROR(INDEX(PP_Grid[#Data],$DD1262,87),0)</f>
        <v/>
      </c>
      <c r="CL1262">
        <f>IFERROR(INDEX(PP_Grid[#Data],$DD1262,88),0)</f>
        <v/>
      </c>
      <c r="CM1262">
        <f>IFERROR(INDEX(PP_Grid[#Data],$DD1262,89),0)</f>
        <v/>
      </c>
      <c r="CN1262">
        <f>IFERROR(INDEX(PP_Grid[#Data],$DD1262,90),0)</f>
        <v/>
      </c>
      <c r="CO1262">
        <f>IFERROR(INDEX(PP_Grid[#Data],$DD1262,91),0)</f>
        <v/>
      </c>
      <c r="CP1262">
        <f>IFERROR(INDEX(PP_Grid[#Data],$DD1262,92),0)</f>
        <v/>
      </c>
      <c r="CQ1262">
        <f>IFERROR(INDEX(PP_Grid[#Data],$DD1262,93),0)</f>
        <v/>
      </c>
      <c r="CR1262">
        <f>IFERROR(INDEX(PP_Grid[#Data],$DD1262,94),0)</f>
        <v/>
      </c>
      <c r="CS1262">
        <f>IFERROR(INDEX(PP_Grid[#Data],$DD1262,95),0)</f>
        <v/>
      </c>
      <c r="CT1262">
        <f>IFERROR(INDEX(PP_Grid[#Data],$DD1262,96),0)</f>
        <v/>
      </c>
      <c r="CU1262">
        <f>IFERROR(INDEX(PP_Grid[#Data],$DD1262,97),0)</f>
        <v/>
      </c>
      <c r="CV1262">
        <f>IFERROR(INDEX(PP_Grid[#Data],$DD1262,98),0)</f>
        <v/>
      </c>
      <c r="CW1262">
        <f>IFERROR(INDEX(PP_Grid[#Data],$DD1262,99),0)</f>
        <v/>
      </c>
      <c r="CX1262">
        <f>IFERROR(INDEX(PP_Grid[#Data],$DD1262,100),0)</f>
        <v/>
      </c>
      <c r="CY1262">
        <f>IFERROR(INDEX(PP_Grid[#Data],$DD1262,101),0)</f>
        <v/>
      </c>
      <c r="CZ1262">
        <f>IFERROR(INDEX(PP_Grid[#Data],$DD1262,102),0)</f>
        <v/>
      </c>
      <c r="DA1262">
        <f>IFERROR(INDEX(PP_Grid[#Data],$DD1262,103),0)</f>
        <v/>
      </c>
      <c r="DB1262">
        <f>IFERROR(INDEX(PP_Grid[#Data],$DD1262,104),0)</f>
        <v/>
      </c>
      <c r="DC1262">
        <f>IFERROR(INDEX(PP_Grid[#Data],$DD1262,105),0)</f>
        <v/>
      </c>
      <c r="DD1262" s="12">
        <f>IFERROR(MATCH($B1262,PP_Grid[Intermediate],0),99999)</f>
        <v/>
      </c>
    </row>
    <row r="1263">
      <c r="B1263" t="inlineStr">
        <is>
          <t>使用量(kg)</t>
        </is>
      </c>
      <c r="C1263">
        <f>SUMIFS(M_BOM[RM_Qty_Per_Batch],M_BOM[Intermediate],$B1262,M_BOM[Part Name],$A1251)</f>
        <v/>
      </c>
      <c r="D1263">
        <f>$C1263*D1262</f>
        <v/>
      </c>
      <c r="E1263">
        <f>$C1263*E1262</f>
        <v/>
      </c>
      <c r="F1263">
        <f>$C1263*F1262</f>
        <v/>
      </c>
      <c r="G1263">
        <f>$C1263*G1262</f>
        <v/>
      </c>
      <c r="H1263">
        <f>$C1263*H1262</f>
        <v/>
      </c>
      <c r="I1263">
        <f>$C1263*I1262</f>
        <v/>
      </c>
      <c r="J1263">
        <f>$C1263*J1262</f>
        <v/>
      </c>
      <c r="K1263">
        <f>$C1263*K1262</f>
        <v/>
      </c>
      <c r="L1263">
        <f>$C1263*L1262</f>
        <v/>
      </c>
      <c r="M1263">
        <f>$C1263*M1262</f>
        <v/>
      </c>
      <c r="N1263">
        <f>$C1263*N1262</f>
        <v/>
      </c>
      <c r="O1263">
        <f>$C1263*O1262</f>
        <v/>
      </c>
      <c r="P1263">
        <f>$C1263*P1262</f>
        <v/>
      </c>
      <c r="Q1263">
        <f>$C1263*Q1262</f>
        <v/>
      </c>
      <c r="R1263">
        <f>$C1263*R1262</f>
        <v/>
      </c>
      <c r="S1263">
        <f>$C1263*S1262</f>
        <v/>
      </c>
      <c r="T1263">
        <f>$C1263*T1262</f>
        <v/>
      </c>
      <c r="U1263">
        <f>$C1263*U1262</f>
        <v/>
      </c>
      <c r="V1263">
        <f>$C1263*V1262</f>
        <v/>
      </c>
      <c r="W1263">
        <f>$C1263*W1262</f>
        <v/>
      </c>
      <c r="X1263">
        <f>$C1263*X1262</f>
        <v/>
      </c>
      <c r="Y1263">
        <f>$C1263*Y1262</f>
        <v/>
      </c>
      <c r="Z1263">
        <f>$C1263*Z1262</f>
        <v/>
      </c>
      <c r="AA1263">
        <f>$C1263*AA1262</f>
        <v/>
      </c>
      <c r="AB1263">
        <f>$C1263*AB1262</f>
        <v/>
      </c>
      <c r="AC1263">
        <f>$C1263*AC1262</f>
        <v/>
      </c>
      <c r="AD1263">
        <f>$C1263*AD1262</f>
        <v/>
      </c>
      <c r="AE1263">
        <f>$C1263*AE1262</f>
        <v/>
      </c>
      <c r="AF1263">
        <f>$C1263*AF1262</f>
        <v/>
      </c>
      <c r="AG1263">
        <f>$C1263*AG1262</f>
        <v/>
      </c>
      <c r="AH1263">
        <f>$C1263*AH1262</f>
        <v/>
      </c>
      <c r="AI1263">
        <f>$C1263*AI1262</f>
        <v/>
      </c>
      <c r="AJ1263">
        <f>$C1263*AJ1262</f>
        <v/>
      </c>
      <c r="AK1263">
        <f>$C1263*AK1262</f>
        <v/>
      </c>
      <c r="AL1263">
        <f>$C1263*AL1262</f>
        <v/>
      </c>
      <c r="AM1263">
        <f>$C1263*AM1262</f>
        <v/>
      </c>
      <c r="AN1263">
        <f>$C1263*AN1262</f>
        <v/>
      </c>
      <c r="AO1263">
        <f>$C1263*AO1262</f>
        <v/>
      </c>
      <c r="AP1263">
        <f>$C1263*AP1262</f>
        <v/>
      </c>
      <c r="AQ1263">
        <f>$C1263*AQ1262</f>
        <v/>
      </c>
      <c r="AR1263">
        <f>$C1263*AR1262</f>
        <v/>
      </c>
      <c r="AS1263">
        <f>$C1263*AS1262</f>
        <v/>
      </c>
      <c r="AT1263">
        <f>$C1263*AT1262</f>
        <v/>
      </c>
      <c r="AU1263">
        <f>$C1263*AU1262</f>
        <v/>
      </c>
      <c r="AV1263">
        <f>$C1263*AV1262</f>
        <v/>
      </c>
      <c r="AW1263">
        <f>$C1263*AW1262</f>
        <v/>
      </c>
      <c r="AX1263">
        <f>$C1263*AX1262</f>
        <v/>
      </c>
      <c r="AY1263">
        <f>$C1263*AY1262</f>
        <v/>
      </c>
      <c r="AZ1263">
        <f>$C1263*AZ1262</f>
        <v/>
      </c>
      <c r="BA1263">
        <f>$C1263*BA1262</f>
        <v/>
      </c>
      <c r="BB1263">
        <f>$C1263*BB1262</f>
        <v/>
      </c>
      <c r="BC1263">
        <f>$C1263*BC1262</f>
        <v/>
      </c>
      <c r="BD1263">
        <f>$C1263*BD1262</f>
        <v/>
      </c>
      <c r="BE1263">
        <f>$C1263*BE1262</f>
        <v/>
      </c>
      <c r="BF1263">
        <f>$C1263*BF1262</f>
        <v/>
      </c>
      <c r="BG1263">
        <f>$C1263*BG1262</f>
        <v/>
      </c>
      <c r="BH1263">
        <f>$C1263*BH1262</f>
        <v/>
      </c>
      <c r="BI1263">
        <f>$C1263*BI1262</f>
        <v/>
      </c>
      <c r="BJ1263">
        <f>$C1263*BJ1262</f>
        <v/>
      </c>
      <c r="BK1263">
        <f>$C1263*BK1262</f>
        <v/>
      </c>
      <c r="BL1263">
        <f>$C1263*BL1262</f>
        <v/>
      </c>
      <c r="BM1263">
        <f>$C1263*BM1262</f>
        <v/>
      </c>
      <c r="BN1263">
        <f>$C1263*BN1262</f>
        <v/>
      </c>
      <c r="BO1263">
        <f>$C1263*BO1262</f>
        <v/>
      </c>
      <c r="BP1263">
        <f>$C1263*BP1262</f>
        <v/>
      </c>
      <c r="BQ1263">
        <f>$C1263*BQ1262</f>
        <v/>
      </c>
      <c r="BR1263">
        <f>$C1263*BR1262</f>
        <v/>
      </c>
      <c r="BS1263">
        <f>$C1263*BS1262</f>
        <v/>
      </c>
      <c r="BT1263">
        <f>$C1263*BT1262</f>
        <v/>
      </c>
      <c r="BU1263">
        <f>$C1263*BU1262</f>
        <v/>
      </c>
      <c r="BV1263">
        <f>$C1263*BV1262</f>
        <v/>
      </c>
      <c r="BW1263">
        <f>$C1263*BW1262</f>
        <v/>
      </c>
      <c r="BX1263">
        <f>$C1263*BX1262</f>
        <v/>
      </c>
      <c r="BY1263">
        <f>$C1263*BY1262</f>
        <v/>
      </c>
      <c r="BZ1263">
        <f>$C1263*BZ1262</f>
        <v/>
      </c>
      <c r="CA1263">
        <f>$C1263*CA1262</f>
        <v/>
      </c>
      <c r="CB1263">
        <f>$C1263*CB1262</f>
        <v/>
      </c>
      <c r="CC1263">
        <f>$C1263*CC1262</f>
        <v/>
      </c>
      <c r="CD1263">
        <f>$C1263*CD1262</f>
        <v/>
      </c>
      <c r="CE1263">
        <f>$C1263*CE1262</f>
        <v/>
      </c>
      <c r="CF1263">
        <f>$C1263*CF1262</f>
        <v/>
      </c>
      <c r="CG1263">
        <f>$C1263*CG1262</f>
        <v/>
      </c>
      <c r="CH1263">
        <f>$C1263*CH1262</f>
        <v/>
      </c>
      <c r="CI1263">
        <f>$C1263*CI1262</f>
        <v/>
      </c>
      <c r="CJ1263">
        <f>$C1263*CJ1262</f>
        <v/>
      </c>
      <c r="CK1263">
        <f>$C1263*CK1262</f>
        <v/>
      </c>
      <c r="CL1263">
        <f>$C1263*CL1262</f>
        <v/>
      </c>
      <c r="CM1263">
        <f>$C1263*CM1262</f>
        <v/>
      </c>
      <c r="CN1263">
        <f>$C1263*CN1262</f>
        <v/>
      </c>
      <c r="CO1263">
        <f>$C1263*CO1262</f>
        <v/>
      </c>
      <c r="CP1263">
        <f>$C1263*CP1262</f>
        <v/>
      </c>
      <c r="CQ1263">
        <f>$C1263*CQ1262</f>
        <v/>
      </c>
      <c r="CR1263">
        <f>$C1263*CR1262</f>
        <v/>
      </c>
      <c r="CS1263">
        <f>$C1263*CS1262</f>
        <v/>
      </c>
      <c r="CT1263">
        <f>$C1263*CT1262</f>
        <v/>
      </c>
      <c r="CU1263">
        <f>$C1263*CU1262</f>
        <v/>
      </c>
      <c r="CV1263">
        <f>$C1263*CV1262</f>
        <v/>
      </c>
      <c r="CW1263">
        <f>$C1263*CW1262</f>
        <v/>
      </c>
      <c r="CX1263">
        <f>$C1263*CX1262</f>
        <v/>
      </c>
      <c r="CY1263">
        <f>$C1263*CY1262</f>
        <v/>
      </c>
      <c r="CZ1263">
        <f>$C1263*CZ1262</f>
        <v/>
      </c>
      <c r="DA1263">
        <f>$C1263*DA1262</f>
        <v/>
      </c>
      <c r="DB1263">
        <f>$C1263*DB1262</f>
        <v/>
      </c>
      <c r="DC1263">
        <f>$C1263*DC1262</f>
        <v/>
      </c>
    </row>
    <row r="1264">
      <c r="B1264" t="inlineStr">
        <is>
          <t>TSP-1555</t>
        </is>
      </c>
      <c r="C1264" t="inlineStr">
        <is>
          <t>No. of batches</t>
        </is>
      </c>
      <c r="D1264">
        <f>IFERROR(INDEX(PP_Grid[#Data],$DD1264,2),0)</f>
        <v/>
      </c>
      <c r="E1264">
        <f>IFERROR(INDEX(PP_Grid[#Data],$DD1264,3),0)</f>
        <v/>
      </c>
      <c r="F1264">
        <f>IFERROR(INDEX(PP_Grid[#Data],$DD1264,4),0)</f>
        <v/>
      </c>
      <c r="G1264">
        <f>IFERROR(INDEX(PP_Grid[#Data],$DD1264,5),0)</f>
        <v/>
      </c>
      <c r="H1264">
        <f>IFERROR(INDEX(PP_Grid[#Data],$DD1264,6),0)</f>
        <v/>
      </c>
      <c r="I1264">
        <f>IFERROR(INDEX(PP_Grid[#Data],$DD1264,7),0)</f>
        <v/>
      </c>
      <c r="J1264">
        <f>IFERROR(INDEX(PP_Grid[#Data],$DD1264,8),0)</f>
        <v/>
      </c>
      <c r="K1264">
        <f>IFERROR(INDEX(PP_Grid[#Data],$DD1264,9),0)</f>
        <v/>
      </c>
      <c r="L1264">
        <f>IFERROR(INDEX(PP_Grid[#Data],$DD1264,10),0)</f>
        <v/>
      </c>
      <c r="M1264">
        <f>IFERROR(INDEX(PP_Grid[#Data],$DD1264,11),0)</f>
        <v/>
      </c>
      <c r="N1264">
        <f>IFERROR(INDEX(PP_Grid[#Data],$DD1264,12),0)</f>
        <v/>
      </c>
      <c r="O1264">
        <f>IFERROR(INDEX(PP_Grid[#Data],$DD1264,13),0)</f>
        <v/>
      </c>
      <c r="P1264">
        <f>IFERROR(INDEX(PP_Grid[#Data],$DD1264,14),0)</f>
        <v/>
      </c>
      <c r="Q1264">
        <f>IFERROR(INDEX(PP_Grid[#Data],$DD1264,15),0)</f>
        <v/>
      </c>
      <c r="R1264">
        <f>IFERROR(INDEX(PP_Grid[#Data],$DD1264,16),0)</f>
        <v/>
      </c>
      <c r="S1264">
        <f>IFERROR(INDEX(PP_Grid[#Data],$DD1264,17),0)</f>
        <v/>
      </c>
      <c r="T1264">
        <f>IFERROR(INDEX(PP_Grid[#Data],$DD1264,18),0)</f>
        <v/>
      </c>
      <c r="U1264">
        <f>IFERROR(INDEX(PP_Grid[#Data],$DD1264,19),0)</f>
        <v/>
      </c>
      <c r="V1264">
        <f>IFERROR(INDEX(PP_Grid[#Data],$DD1264,20),0)</f>
        <v/>
      </c>
      <c r="W1264">
        <f>IFERROR(INDEX(PP_Grid[#Data],$DD1264,21),0)</f>
        <v/>
      </c>
      <c r="X1264">
        <f>IFERROR(INDEX(PP_Grid[#Data],$DD1264,22),0)</f>
        <v/>
      </c>
      <c r="Y1264">
        <f>IFERROR(INDEX(PP_Grid[#Data],$DD1264,23),0)</f>
        <v/>
      </c>
      <c r="Z1264">
        <f>IFERROR(INDEX(PP_Grid[#Data],$DD1264,24),0)</f>
        <v/>
      </c>
      <c r="AA1264">
        <f>IFERROR(INDEX(PP_Grid[#Data],$DD1264,25),0)</f>
        <v/>
      </c>
      <c r="AB1264">
        <f>IFERROR(INDEX(PP_Grid[#Data],$DD1264,26),0)</f>
        <v/>
      </c>
      <c r="AC1264">
        <f>IFERROR(INDEX(PP_Grid[#Data],$DD1264,27),0)</f>
        <v/>
      </c>
      <c r="AD1264">
        <f>IFERROR(INDEX(PP_Grid[#Data],$DD1264,28),0)</f>
        <v/>
      </c>
      <c r="AE1264">
        <f>IFERROR(INDEX(PP_Grid[#Data],$DD1264,29),0)</f>
        <v/>
      </c>
      <c r="AF1264">
        <f>IFERROR(INDEX(PP_Grid[#Data],$DD1264,30),0)</f>
        <v/>
      </c>
      <c r="AG1264">
        <f>IFERROR(INDEX(PP_Grid[#Data],$DD1264,31),0)</f>
        <v/>
      </c>
      <c r="AH1264">
        <f>IFERROR(INDEX(PP_Grid[#Data],$DD1264,32),0)</f>
        <v/>
      </c>
      <c r="AI1264">
        <f>IFERROR(INDEX(PP_Grid[#Data],$DD1264,33),0)</f>
        <v/>
      </c>
      <c r="AJ1264">
        <f>IFERROR(INDEX(PP_Grid[#Data],$DD1264,34),0)</f>
        <v/>
      </c>
      <c r="AK1264">
        <f>IFERROR(INDEX(PP_Grid[#Data],$DD1264,35),0)</f>
        <v/>
      </c>
      <c r="AL1264">
        <f>IFERROR(INDEX(PP_Grid[#Data],$DD1264,36),0)</f>
        <v/>
      </c>
      <c r="AM1264">
        <f>IFERROR(INDEX(PP_Grid[#Data],$DD1264,37),0)</f>
        <v/>
      </c>
      <c r="AN1264">
        <f>IFERROR(INDEX(PP_Grid[#Data],$DD1264,38),0)</f>
        <v/>
      </c>
      <c r="AO1264">
        <f>IFERROR(INDEX(PP_Grid[#Data],$DD1264,39),0)</f>
        <v/>
      </c>
      <c r="AP1264">
        <f>IFERROR(INDEX(PP_Grid[#Data],$DD1264,40),0)</f>
        <v/>
      </c>
      <c r="AQ1264">
        <f>IFERROR(INDEX(PP_Grid[#Data],$DD1264,41),0)</f>
        <v/>
      </c>
      <c r="AR1264">
        <f>IFERROR(INDEX(PP_Grid[#Data],$DD1264,42),0)</f>
        <v/>
      </c>
      <c r="AS1264">
        <f>IFERROR(INDEX(PP_Grid[#Data],$DD1264,43),0)</f>
        <v/>
      </c>
      <c r="AT1264">
        <f>IFERROR(INDEX(PP_Grid[#Data],$DD1264,44),0)</f>
        <v/>
      </c>
      <c r="AU1264">
        <f>IFERROR(INDEX(PP_Grid[#Data],$DD1264,45),0)</f>
        <v/>
      </c>
      <c r="AV1264">
        <f>IFERROR(INDEX(PP_Grid[#Data],$DD1264,46),0)</f>
        <v/>
      </c>
      <c r="AW1264">
        <f>IFERROR(INDEX(PP_Grid[#Data],$DD1264,47),0)</f>
        <v/>
      </c>
      <c r="AX1264">
        <f>IFERROR(INDEX(PP_Grid[#Data],$DD1264,48),0)</f>
        <v/>
      </c>
      <c r="AY1264">
        <f>IFERROR(INDEX(PP_Grid[#Data],$DD1264,49),0)</f>
        <v/>
      </c>
      <c r="AZ1264">
        <f>IFERROR(INDEX(PP_Grid[#Data],$DD1264,50),0)</f>
        <v/>
      </c>
      <c r="BA1264">
        <f>IFERROR(INDEX(PP_Grid[#Data],$DD1264,51),0)</f>
        <v/>
      </c>
      <c r="BB1264">
        <f>IFERROR(INDEX(PP_Grid[#Data],$DD1264,52),0)</f>
        <v/>
      </c>
      <c r="BC1264">
        <f>IFERROR(INDEX(PP_Grid[#Data],$DD1264,53),0)</f>
        <v/>
      </c>
      <c r="BD1264">
        <f>IFERROR(INDEX(PP_Grid[#Data],$DD1264,54),0)</f>
        <v/>
      </c>
      <c r="BE1264">
        <f>IFERROR(INDEX(PP_Grid[#Data],$DD1264,55),0)</f>
        <v/>
      </c>
      <c r="BF1264">
        <f>IFERROR(INDEX(PP_Grid[#Data],$DD1264,56),0)</f>
        <v/>
      </c>
      <c r="BG1264">
        <f>IFERROR(INDEX(PP_Grid[#Data],$DD1264,57),0)</f>
        <v/>
      </c>
      <c r="BH1264">
        <f>IFERROR(INDEX(PP_Grid[#Data],$DD1264,58),0)</f>
        <v/>
      </c>
      <c r="BI1264">
        <f>IFERROR(INDEX(PP_Grid[#Data],$DD1264,59),0)</f>
        <v/>
      </c>
      <c r="BJ1264">
        <f>IFERROR(INDEX(PP_Grid[#Data],$DD1264,60),0)</f>
        <v/>
      </c>
      <c r="BK1264">
        <f>IFERROR(INDEX(PP_Grid[#Data],$DD1264,61),0)</f>
        <v/>
      </c>
      <c r="BL1264">
        <f>IFERROR(INDEX(PP_Grid[#Data],$DD1264,62),0)</f>
        <v/>
      </c>
      <c r="BM1264">
        <f>IFERROR(INDEX(PP_Grid[#Data],$DD1264,63),0)</f>
        <v/>
      </c>
      <c r="BN1264">
        <f>IFERROR(INDEX(PP_Grid[#Data],$DD1264,64),0)</f>
        <v/>
      </c>
      <c r="BO1264">
        <f>IFERROR(INDEX(PP_Grid[#Data],$DD1264,65),0)</f>
        <v/>
      </c>
      <c r="BP1264">
        <f>IFERROR(INDEX(PP_Grid[#Data],$DD1264,66),0)</f>
        <v/>
      </c>
      <c r="BQ1264">
        <f>IFERROR(INDEX(PP_Grid[#Data],$DD1264,67),0)</f>
        <v/>
      </c>
      <c r="BR1264">
        <f>IFERROR(INDEX(PP_Grid[#Data],$DD1264,68),0)</f>
        <v/>
      </c>
      <c r="BS1264">
        <f>IFERROR(INDEX(PP_Grid[#Data],$DD1264,69),0)</f>
        <v/>
      </c>
      <c r="BT1264">
        <f>IFERROR(INDEX(PP_Grid[#Data],$DD1264,70),0)</f>
        <v/>
      </c>
      <c r="BU1264">
        <f>IFERROR(INDEX(PP_Grid[#Data],$DD1264,71),0)</f>
        <v/>
      </c>
      <c r="BV1264">
        <f>IFERROR(INDEX(PP_Grid[#Data],$DD1264,72),0)</f>
        <v/>
      </c>
      <c r="BW1264">
        <f>IFERROR(INDEX(PP_Grid[#Data],$DD1264,73),0)</f>
        <v/>
      </c>
      <c r="BX1264">
        <f>IFERROR(INDEX(PP_Grid[#Data],$DD1264,74),0)</f>
        <v/>
      </c>
      <c r="BY1264">
        <f>IFERROR(INDEX(PP_Grid[#Data],$DD1264,75),0)</f>
        <v/>
      </c>
      <c r="BZ1264">
        <f>IFERROR(INDEX(PP_Grid[#Data],$DD1264,76),0)</f>
        <v/>
      </c>
      <c r="CA1264">
        <f>IFERROR(INDEX(PP_Grid[#Data],$DD1264,77),0)</f>
        <v/>
      </c>
      <c r="CB1264">
        <f>IFERROR(INDEX(PP_Grid[#Data],$DD1264,78),0)</f>
        <v/>
      </c>
      <c r="CC1264">
        <f>IFERROR(INDEX(PP_Grid[#Data],$DD1264,79),0)</f>
        <v/>
      </c>
      <c r="CD1264">
        <f>IFERROR(INDEX(PP_Grid[#Data],$DD1264,80),0)</f>
        <v/>
      </c>
      <c r="CE1264">
        <f>IFERROR(INDEX(PP_Grid[#Data],$DD1264,81),0)</f>
        <v/>
      </c>
      <c r="CF1264">
        <f>IFERROR(INDEX(PP_Grid[#Data],$DD1264,82),0)</f>
        <v/>
      </c>
      <c r="CG1264">
        <f>IFERROR(INDEX(PP_Grid[#Data],$DD1264,83),0)</f>
        <v/>
      </c>
      <c r="CH1264">
        <f>IFERROR(INDEX(PP_Grid[#Data],$DD1264,84),0)</f>
        <v/>
      </c>
      <c r="CI1264">
        <f>IFERROR(INDEX(PP_Grid[#Data],$DD1264,85),0)</f>
        <v/>
      </c>
      <c r="CJ1264">
        <f>IFERROR(INDEX(PP_Grid[#Data],$DD1264,86),0)</f>
        <v/>
      </c>
      <c r="CK1264">
        <f>IFERROR(INDEX(PP_Grid[#Data],$DD1264,87),0)</f>
        <v/>
      </c>
      <c r="CL1264">
        <f>IFERROR(INDEX(PP_Grid[#Data],$DD1264,88),0)</f>
        <v/>
      </c>
      <c r="CM1264">
        <f>IFERROR(INDEX(PP_Grid[#Data],$DD1264,89),0)</f>
        <v/>
      </c>
      <c r="CN1264">
        <f>IFERROR(INDEX(PP_Grid[#Data],$DD1264,90),0)</f>
        <v/>
      </c>
      <c r="CO1264">
        <f>IFERROR(INDEX(PP_Grid[#Data],$DD1264,91),0)</f>
        <v/>
      </c>
      <c r="CP1264">
        <f>IFERROR(INDEX(PP_Grid[#Data],$DD1264,92),0)</f>
        <v/>
      </c>
      <c r="CQ1264">
        <f>IFERROR(INDEX(PP_Grid[#Data],$DD1264,93),0)</f>
        <v/>
      </c>
      <c r="CR1264">
        <f>IFERROR(INDEX(PP_Grid[#Data],$DD1264,94),0)</f>
        <v/>
      </c>
      <c r="CS1264">
        <f>IFERROR(INDEX(PP_Grid[#Data],$DD1264,95),0)</f>
        <v/>
      </c>
      <c r="CT1264">
        <f>IFERROR(INDEX(PP_Grid[#Data],$DD1264,96),0)</f>
        <v/>
      </c>
      <c r="CU1264">
        <f>IFERROR(INDEX(PP_Grid[#Data],$DD1264,97),0)</f>
        <v/>
      </c>
      <c r="CV1264">
        <f>IFERROR(INDEX(PP_Grid[#Data],$DD1264,98),0)</f>
        <v/>
      </c>
      <c r="CW1264">
        <f>IFERROR(INDEX(PP_Grid[#Data],$DD1264,99),0)</f>
        <v/>
      </c>
      <c r="CX1264">
        <f>IFERROR(INDEX(PP_Grid[#Data],$DD1264,100),0)</f>
        <v/>
      </c>
      <c r="CY1264">
        <f>IFERROR(INDEX(PP_Grid[#Data],$DD1264,101),0)</f>
        <v/>
      </c>
      <c r="CZ1264">
        <f>IFERROR(INDEX(PP_Grid[#Data],$DD1264,102),0)</f>
        <v/>
      </c>
      <c r="DA1264">
        <f>IFERROR(INDEX(PP_Grid[#Data],$DD1264,103),0)</f>
        <v/>
      </c>
      <c r="DB1264">
        <f>IFERROR(INDEX(PP_Grid[#Data],$DD1264,104),0)</f>
        <v/>
      </c>
      <c r="DC1264">
        <f>IFERROR(INDEX(PP_Grid[#Data],$DD1264,105),0)</f>
        <v/>
      </c>
      <c r="DD1264" s="12">
        <f>IFERROR(MATCH($B1264,PP_Grid[Intermediate],0),99999)</f>
        <v/>
      </c>
    </row>
    <row r="1265">
      <c r="B1265" t="inlineStr">
        <is>
          <t>使用量(kg)</t>
        </is>
      </c>
      <c r="C1265">
        <f>SUMIFS(M_BOM[RM_Qty_Per_Batch],M_BOM[Intermediate],$B1264,M_BOM[Part Name],$A1251)</f>
        <v/>
      </c>
      <c r="D1265">
        <f>$C1265*D1264</f>
        <v/>
      </c>
      <c r="E1265">
        <f>$C1265*E1264</f>
        <v/>
      </c>
      <c r="F1265">
        <f>$C1265*F1264</f>
        <v/>
      </c>
      <c r="G1265">
        <f>$C1265*G1264</f>
        <v/>
      </c>
      <c r="H1265">
        <f>$C1265*H1264</f>
        <v/>
      </c>
      <c r="I1265">
        <f>$C1265*I1264</f>
        <v/>
      </c>
      <c r="J1265">
        <f>$C1265*J1264</f>
        <v/>
      </c>
      <c r="K1265">
        <f>$C1265*K1264</f>
        <v/>
      </c>
      <c r="L1265">
        <f>$C1265*L1264</f>
        <v/>
      </c>
      <c r="M1265">
        <f>$C1265*M1264</f>
        <v/>
      </c>
      <c r="N1265">
        <f>$C1265*N1264</f>
        <v/>
      </c>
      <c r="O1265">
        <f>$C1265*O1264</f>
        <v/>
      </c>
      <c r="P1265">
        <f>$C1265*P1264</f>
        <v/>
      </c>
      <c r="Q1265">
        <f>$C1265*Q1264</f>
        <v/>
      </c>
      <c r="R1265">
        <f>$C1265*R1264</f>
        <v/>
      </c>
      <c r="S1265">
        <f>$C1265*S1264</f>
        <v/>
      </c>
      <c r="T1265">
        <f>$C1265*T1264</f>
        <v/>
      </c>
      <c r="U1265">
        <f>$C1265*U1264</f>
        <v/>
      </c>
      <c r="V1265">
        <f>$C1265*V1264</f>
        <v/>
      </c>
      <c r="W1265">
        <f>$C1265*W1264</f>
        <v/>
      </c>
      <c r="X1265">
        <f>$C1265*X1264</f>
        <v/>
      </c>
      <c r="Y1265">
        <f>$C1265*Y1264</f>
        <v/>
      </c>
      <c r="Z1265">
        <f>$C1265*Z1264</f>
        <v/>
      </c>
      <c r="AA1265">
        <f>$C1265*AA1264</f>
        <v/>
      </c>
      <c r="AB1265">
        <f>$C1265*AB1264</f>
        <v/>
      </c>
      <c r="AC1265">
        <f>$C1265*AC1264</f>
        <v/>
      </c>
      <c r="AD1265">
        <f>$C1265*AD1264</f>
        <v/>
      </c>
      <c r="AE1265">
        <f>$C1265*AE1264</f>
        <v/>
      </c>
      <c r="AF1265">
        <f>$C1265*AF1264</f>
        <v/>
      </c>
      <c r="AG1265">
        <f>$C1265*AG1264</f>
        <v/>
      </c>
      <c r="AH1265">
        <f>$C1265*AH1264</f>
        <v/>
      </c>
      <c r="AI1265">
        <f>$C1265*AI1264</f>
        <v/>
      </c>
      <c r="AJ1265">
        <f>$C1265*AJ1264</f>
        <v/>
      </c>
      <c r="AK1265">
        <f>$C1265*AK1264</f>
        <v/>
      </c>
      <c r="AL1265">
        <f>$C1265*AL1264</f>
        <v/>
      </c>
      <c r="AM1265">
        <f>$C1265*AM1264</f>
        <v/>
      </c>
      <c r="AN1265">
        <f>$C1265*AN1264</f>
        <v/>
      </c>
      <c r="AO1265">
        <f>$C1265*AO1264</f>
        <v/>
      </c>
      <c r="AP1265">
        <f>$C1265*AP1264</f>
        <v/>
      </c>
      <c r="AQ1265">
        <f>$C1265*AQ1264</f>
        <v/>
      </c>
      <c r="AR1265">
        <f>$C1265*AR1264</f>
        <v/>
      </c>
      <c r="AS1265">
        <f>$C1265*AS1264</f>
        <v/>
      </c>
      <c r="AT1265">
        <f>$C1265*AT1264</f>
        <v/>
      </c>
      <c r="AU1265">
        <f>$C1265*AU1264</f>
        <v/>
      </c>
      <c r="AV1265">
        <f>$C1265*AV1264</f>
        <v/>
      </c>
      <c r="AW1265">
        <f>$C1265*AW1264</f>
        <v/>
      </c>
      <c r="AX1265">
        <f>$C1265*AX1264</f>
        <v/>
      </c>
      <c r="AY1265">
        <f>$C1265*AY1264</f>
        <v/>
      </c>
      <c r="AZ1265">
        <f>$C1265*AZ1264</f>
        <v/>
      </c>
      <c r="BA1265">
        <f>$C1265*BA1264</f>
        <v/>
      </c>
      <c r="BB1265">
        <f>$C1265*BB1264</f>
        <v/>
      </c>
      <c r="BC1265">
        <f>$C1265*BC1264</f>
        <v/>
      </c>
      <c r="BD1265">
        <f>$C1265*BD1264</f>
        <v/>
      </c>
      <c r="BE1265">
        <f>$C1265*BE1264</f>
        <v/>
      </c>
      <c r="BF1265">
        <f>$C1265*BF1264</f>
        <v/>
      </c>
      <c r="BG1265">
        <f>$C1265*BG1264</f>
        <v/>
      </c>
      <c r="BH1265">
        <f>$C1265*BH1264</f>
        <v/>
      </c>
      <c r="BI1265">
        <f>$C1265*BI1264</f>
        <v/>
      </c>
      <c r="BJ1265">
        <f>$C1265*BJ1264</f>
        <v/>
      </c>
      <c r="BK1265">
        <f>$C1265*BK1264</f>
        <v/>
      </c>
      <c r="BL1265">
        <f>$C1265*BL1264</f>
        <v/>
      </c>
      <c r="BM1265">
        <f>$C1265*BM1264</f>
        <v/>
      </c>
      <c r="BN1265">
        <f>$C1265*BN1264</f>
        <v/>
      </c>
      <c r="BO1265">
        <f>$C1265*BO1264</f>
        <v/>
      </c>
      <c r="BP1265">
        <f>$C1265*BP1264</f>
        <v/>
      </c>
      <c r="BQ1265">
        <f>$C1265*BQ1264</f>
        <v/>
      </c>
      <c r="BR1265">
        <f>$C1265*BR1264</f>
        <v/>
      </c>
      <c r="BS1265">
        <f>$C1265*BS1264</f>
        <v/>
      </c>
      <c r="BT1265">
        <f>$C1265*BT1264</f>
        <v/>
      </c>
      <c r="BU1265">
        <f>$C1265*BU1264</f>
        <v/>
      </c>
      <c r="BV1265">
        <f>$C1265*BV1264</f>
        <v/>
      </c>
      <c r="BW1265">
        <f>$C1265*BW1264</f>
        <v/>
      </c>
      <c r="BX1265">
        <f>$C1265*BX1264</f>
        <v/>
      </c>
      <c r="BY1265">
        <f>$C1265*BY1264</f>
        <v/>
      </c>
      <c r="BZ1265">
        <f>$C1265*BZ1264</f>
        <v/>
      </c>
      <c r="CA1265">
        <f>$C1265*CA1264</f>
        <v/>
      </c>
      <c r="CB1265">
        <f>$C1265*CB1264</f>
        <v/>
      </c>
      <c r="CC1265">
        <f>$C1265*CC1264</f>
        <v/>
      </c>
      <c r="CD1265">
        <f>$C1265*CD1264</f>
        <v/>
      </c>
      <c r="CE1265">
        <f>$C1265*CE1264</f>
        <v/>
      </c>
      <c r="CF1265">
        <f>$C1265*CF1264</f>
        <v/>
      </c>
      <c r="CG1265">
        <f>$C1265*CG1264</f>
        <v/>
      </c>
      <c r="CH1265">
        <f>$C1265*CH1264</f>
        <v/>
      </c>
      <c r="CI1265">
        <f>$C1265*CI1264</f>
        <v/>
      </c>
      <c r="CJ1265">
        <f>$C1265*CJ1264</f>
        <v/>
      </c>
      <c r="CK1265">
        <f>$C1265*CK1264</f>
        <v/>
      </c>
      <c r="CL1265">
        <f>$C1265*CL1264</f>
        <v/>
      </c>
      <c r="CM1265">
        <f>$C1265*CM1264</f>
        <v/>
      </c>
      <c r="CN1265">
        <f>$C1265*CN1264</f>
        <v/>
      </c>
      <c r="CO1265">
        <f>$C1265*CO1264</f>
        <v/>
      </c>
      <c r="CP1265">
        <f>$C1265*CP1264</f>
        <v/>
      </c>
      <c r="CQ1265">
        <f>$C1265*CQ1264</f>
        <v/>
      </c>
      <c r="CR1265">
        <f>$C1265*CR1264</f>
        <v/>
      </c>
      <c r="CS1265">
        <f>$C1265*CS1264</f>
        <v/>
      </c>
      <c r="CT1265">
        <f>$C1265*CT1264</f>
        <v/>
      </c>
      <c r="CU1265">
        <f>$C1265*CU1264</f>
        <v/>
      </c>
      <c r="CV1265">
        <f>$C1265*CV1264</f>
        <v/>
      </c>
      <c r="CW1265">
        <f>$C1265*CW1264</f>
        <v/>
      </c>
      <c r="CX1265">
        <f>$C1265*CX1264</f>
        <v/>
      </c>
      <c r="CY1265">
        <f>$C1265*CY1264</f>
        <v/>
      </c>
      <c r="CZ1265">
        <f>$C1265*CZ1264</f>
        <v/>
      </c>
      <c r="DA1265">
        <f>$C1265*DA1264</f>
        <v/>
      </c>
      <c r="DB1265">
        <f>$C1265*DB1264</f>
        <v/>
      </c>
      <c r="DC1265">
        <f>$C1265*DC1264</f>
        <v/>
      </c>
    </row>
    <row r="1266">
      <c r="B1266" t="inlineStr">
        <is>
          <t>TSP-927</t>
        </is>
      </c>
      <c r="C1266" t="inlineStr">
        <is>
          <t>No. of batches</t>
        </is>
      </c>
      <c r="D1266">
        <f>IFERROR(INDEX(PP_Grid[#Data],$DD1266,2),0)</f>
        <v/>
      </c>
      <c r="E1266">
        <f>IFERROR(INDEX(PP_Grid[#Data],$DD1266,3),0)</f>
        <v/>
      </c>
      <c r="F1266">
        <f>IFERROR(INDEX(PP_Grid[#Data],$DD1266,4),0)</f>
        <v/>
      </c>
      <c r="G1266">
        <f>IFERROR(INDEX(PP_Grid[#Data],$DD1266,5),0)</f>
        <v/>
      </c>
      <c r="H1266">
        <f>IFERROR(INDEX(PP_Grid[#Data],$DD1266,6),0)</f>
        <v/>
      </c>
      <c r="I1266">
        <f>IFERROR(INDEX(PP_Grid[#Data],$DD1266,7),0)</f>
        <v/>
      </c>
      <c r="J1266">
        <f>IFERROR(INDEX(PP_Grid[#Data],$DD1266,8),0)</f>
        <v/>
      </c>
      <c r="K1266">
        <f>IFERROR(INDEX(PP_Grid[#Data],$DD1266,9),0)</f>
        <v/>
      </c>
      <c r="L1266">
        <f>IFERROR(INDEX(PP_Grid[#Data],$DD1266,10),0)</f>
        <v/>
      </c>
      <c r="M1266">
        <f>IFERROR(INDEX(PP_Grid[#Data],$DD1266,11),0)</f>
        <v/>
      </c>
      <c r="N1266">
        <f>IFERROR(INDEX(PP_Grid[#Data],$DD1266,12),0)</f>
        <v/>
      </c>
      <c r="O1266">
        <f>IFERROR(INDEX(PP_Grid[#Data],$DD1266,13),0)</f>
        <v/>
      </c>
      <c r="P1266">
        <f>IFERROR(INDEX(PP_Grid[#Data],$DD1266,14),0)</f>
        <v/>
      </c>
      <c r="Q1266">
        <f>IFERROR(INDEX(PP_Grid[#Data],$DD1266,15),0)</f>
        <v/>
      </c>
      <c r="R1266">
        <f>IFERROR(INDEX(PP_Grid[#Data],$DD1266,16),0)</f>
        <v/>
      </c>
      <c r="S1266">
        <f>IFERROR(INDEX(PP_Grid[#Data],$DD1266,17),0)</f>
        <v/>
      </c>
      <c r="T1266">
        <f>IFERROR(INDEX(PP_Grid[#Data],$DD1266,18),0)</f>
        <v/>
      </c>
      <c r="U1266">
        <f>IFERROR(INDEX(PP_Grid[#Data],$DD1266,19),0)</f>
        <v/>
      </c>
      <c r="V1266">
        <f>IFERROR(INDEX(PP_Grid[#Data],$DD1266,20),0)</f>
        <v/>
      </c>
      <c r="W1266">
        <f>IFERROR(INDEX(PP_Grid[#Data],$DD1266,21),0)</f>
        <v/>
      </c>
      <c r="X1266">
        <f>IFERROR(INDEX(PP_Grid[#Data],$DD1266,22),0)</f>
        <v/>
      </c>
      <c r="Y1266">
        <f>IFERROR(INDEX(PP_Grid[#Data],$DD1266,23),0)</f>
        <v/>
      </c>
      <c r="Z1266">
        <f>IFERROR(INDEX(PP_Grid[#Data],$DD1266,24),0)</f>
        <v/>
      </c>
      <c r="AA1266">
        <f>IFERROR(INDEX(PP_Grid[#Data],$DD1266,25),0)</f>
        <v/>
      </c>
      <c r="AB1266">
        <f>IFERROR(INDEX(PP_Grid[#Data],$DD1266,26),0)</f>
        <v/>
      </c>
      <c r="AC1266">
        <f>IFERROR(INDEX(PP_Grid[#Data],$DD1266,27),0)</f>
        <v/>
      </c>
      <c r="AD1266">
        <f>IFERROR(INDEX(PP_Grid[#Data],$DD1266,28),0)</f>
        <v/>
      </c>
      <c r="AE1266">
        <f>IFERROR(INDEX(PP_Grid[#Data],$DD1266,29),0)</f>
        <v/>
      </c>
      <c r="AF1266">
        <f>IFERROR(INDEX(PP_Grid[#Data],$DD1266,30),0)</f>
        <v/>
      </c>
      <c r="AG1266">
        <f>IFERROR(INDEX(PP_Grid[#Data],$DD1266,31),0)</f>
        <v/>
      </c>
      <c r="AH1266">
        <f>IFERROR(INDEX(PP_Grid[#Data],$DD1266,32),0)</f>
        <v/>
      </c>
      <c r="AI1266">
        <f>IFERROR(INDEX(PP_Grid[#Data],$DD1266,33),0)</f>
        <v/>
      </c>
      <c r="AJ1266">
        <f>IFERROR(INDEX(PP_Grid[#Data],$DD1266,34),0)</f>
        <v/>
      </c>
      <c r="AK1266">
        <f>IFERROR(INDEX(PP_Grid[#Data],$DD1266,35),0)</f>
        <v/>
      </c>
      <c r="AL1266">
        <f>IFERROR(INDEX(PP_Grid[#Data],$DD1266,36),0)</f>
        <v/>
      </c>
      <c r="AM1266">
        <f>IFERROR(INDEX(PP_Grid[#Data],$DD1266,37),0)</f>
        <v/>
      </c>
      <c r="AN1266">
        <f>IFERROR(INDEX(PP_Grid[#Data],$DD1266,38),0)</f>
        <v/>
      </c>
      <c r="AO1266">
        <f>IFERROR(INDEX(PP_Grid[#Data],$DD1266,39),0)</f>
        <v/>
      </c>
      <c r="AP1266">
        <f>IFERROR(INDEX(PP_Grid[#Data],$DD1266,40),0)</f>
        <v/>
      </c>
      <c r="AQ1266">
        <f>IFERROR(INDEX(PP_Grid[#Data],$DD1266,41),0)</f>
        <v/>
      </c>
      <c r="AR1266">
        <f>IFERROR(INDEX(PP_Grid[#Data],$DD1266,42),0)</f>
        <v/>
      </c>
      <c r="AS1266">
        <f>IFERROR(INDEX(PP_Grid[#Data],$DD1266,43),0)</f>
        <v/>
      </c>
      <c r="AT1266">
        <f>IFERROR(INDEX(PP_Grid[#Data],$DD1266,44),0)</f>
        <v/>
      </c>
      <c r="AU1266">
        <f>IFERROR(INDEX(PP_Grid[#Data],$DD1266,45),0)</f>
        <v/>
      </c>
      <c r="AV1266">
        <f>IFERROR(INDEX(PP_Grid[#Data],$DD1266,46),0)</f>
        <v/>
      </c>
      <c r="AW1266">
        <f>IFERROR(INDEX(PP_Grid[#Data],$DD1266,47),0)</f>
        <v/>
      </c>
      <c r="AX1266">
        <f>IFERROR(INDEX(PP_Grid[#Data],$DD1266,48),0)</f>
        <v/>
      </c>
      <c r="AY1266">
        <f>IFERROR(INDEX(PP_Grid[#Data],$DD1266,49),0)</f>
        <v/>
      </c>
      <c r="AZ1266">
        <f>IFERROR(INDEX(PP_Grid[#Data],$DD1266,50),0)</f>
        <v/>
      </c>
      <c r="BA1266">
        <f>IFERROR(INDEX(PP_Grid[#Data],$DD1266,51),0)</f>
        <v/>
      </c>
      <c r="BB1266">
        <f>IFERROR(INDEX(PP_Grid[#Data],$DD1266,52),0)</f>
        <v/>
      </c>
      <c r="BC1266">
        <f>IFERROR(INDEX(PP_Grid[#Data],$DD1266,53),0)</f>
        <v/>
      </c>
      <c r="BD1266">
        <f>IFERROR(INDEX(PP_Grid[#Data],$DD1266,54),0)</f>
        <v/>
      </c>
      <c r="BE1266">
        <f>IFERROR(INDEX(PP_Grid[#Data],$DD1266,55),0)</f>
        <v/>
      </c>
      <c r="BF1266">
        <f>IFERROR(INDEX(PP_Grid[#Data],$DD1266,56),0)</f>
        <v/>
      </c>
      <c r="BG1266">
        <f>IFERROR(INDEX(PP_Grid[#Data],$DD1266,57),0)</f>
        <v/>
      </c>
      <c r="BH1266">
        <f>IFERROR(INDEX(PP_Grid[#Data],$DD1266,58),0)</f>
        <v/>
      </c>
      <c r="BI1266">
        <f>IFERROR(INDEX(PP_Grid[#Data],$DD1266,59),0)</f>
        <v/>
      </c>
      <c r="BJ1266">
        <f>IFERROR(INDEX(PP_Grid[#Data],$DD1266,60),0)</f>
        <v/>
      </c>
      <c r="BK1266">
        <f>IFERROR(INDEX(PP_Grid[#Data],$DD1266,61),0)</f>
        <v/>
      </c>
      <c r="BL1266">
        <f>IFERROR(INDEX(PP_Grid[#Data],$DD1266,62),0)</f>
        <v/>
      </c>
      <c r="BM1266">
        <f>IFERROR(INDEX(PP_Grid[#Data],$DD1266,63),0)</f>
        <v/>
      </c>
      <c r="BN1266">
        <f>IFERROR(INDEX(PP_Grid[#Data],$DD1266,64),0)</f>
        <v/>
      </c>
      <c r="BO1266">
        <f>IFERROR(INDEX(PP_Grid[#Data],$DD1266,65),0)</f>
        <v/>
      </c>
      <c r="BP1266">
        <f>IFERROR(INDEX(PP_Grid[#Data],$DD1266,66),0)</f>
        <v/>
      </c>
      <c r="BQ1266">
        <f>IFERROR(INDEX(PP_Grid[#Data],$DD1266,67),0)</f>
        <v/>
      </c>
      <c r="BR1266">
        <f>IFERROR(INDEX(PP_Grid[#Data],$DD1266,68),0)</f>
        <v/>
      </c>
      <c r="BS1266">
        <f>IFERROR(INDEX(PP_Grid[#Data],$DD1266,69),0)</f>
        <v/>
      </c>
      <c r="BT1266">
        <f>IFERROR(INDEX(PP_Grid[#Data],$DD1266,70),0)</f>
        <v/>
      </c>
      <c r="BU1266">
        <f>IFERROR(INDEX(PP_Grid[#Data],$DD1266,71),0)</f>
        <v/>
      </c>
      <c r="BV1266">
        <f>IFERROR(INDEX(PP_Grid[#Data],$DD1266,72),0)</f>
        <v/>
      </c>
      <c r="BW1266">
        <f>IFERROR(INDEX(PP_Grid[#Data],$DD1266,73),0)</f>
        <v/>
      </c>
      <c r="BX1266">
        <f>IFERROR(INDEX(PP_Grid[#Data],$DD1266,74),0)</f>
        <v/>
      </c>
      <c r="BY1266">
        <f>IFERROR(INDEX(PP_Grid[#Data],$DD1266,75),0)</f>
        <v/>
      </c>
      <c r="BZ1266">
        <f>IFERROR(INDEX(PP_Grid[#Data],$DD1266,76),0)</f>
        <v/>
      </c>
      <c r="CA1266">
        <f>IFERROR(INDEX(PP_Grid[#Data],$DD1266,77),0)</f>
        <v/>
      </c>
      <c r="CB1266">
        <f>IFERROR(INDEX(PP_Grid[#Data],$DD1266,78),0)</f>
        <v/>
      </c>
      <c r="CC1266">
        <f>IFERROR(INDEX(PP_Grid[#Data],$DD1266,79),0)</f>
        <v/>
      </c>
      <c r="CD1266">
        <f>IFERROR(INDEX(PP_Grid[#Data],$DD1266,80),0)</f>
        <v/>
      </c>
      <c r="CE1266">
        <f>IFERROR(INDEX(PP_Grid[#Data],$DD1266,81),0)</f>
        <v/>
      </c>
      <c r="CF1266">
        <f>IFERROR(INDEX(PP_Grid[#Data],$DD1266,82),0)</f>
        <v/>
      </c>
      <c r="CG1266">
        <f>IFERROR(INDEX(PP_Grid[#Data],$DD1266,83),0)</f>
        <v/>
      </c>
      <c r="CH1266">
        <f>IFERROR(INDEX(PP_Grid[#Data],$DD1266,84),0)</f>
        <v/>
      </c>
      <c r="CI1266">
        <f>IFERROR(INDEX(PP_Grid[#Data],$DD1266,85),0)</f>
        <v/>
      </c>
      <c r="CJ1266">
        <f>IFERROR(INDEX(PP_Grid[#Data],$DD1266,86),0)</f>
        <v/>
      </c>
      <c r="CK1266">
        <f>IFERROR(INDEX(PP_Grid[#Data],$DD1266,87),0)</f>
        <v/>
      </c>
      <c r="CL1266">
        <f>IFERROR(INDEX(PP_Grid[#Data],$DD1266,88),0)</f>
        <v/>
      </c>
      <c r="CM1266">
        <f>IFERROR(INDEX(PP_Grid[#Data],$DD1266,89),0)</f>
        <v/>
      </c>
      <c r="CN1266">
        <f>IFERROR(INDEX(PP_Grid[#Data],$DD1266,90),0)</f>
        <v/>
      </c>
      <c r="CO1266">
        <f>IFERROR(INDEX(PP_Grid[#Data],$DD1266,91),0)</f>
        <v/>
      </c>
      <c r="CP1266">
        <f>IFERROR(INDEX(PP_Grid[#Data],$DD1266,92),0)</f>
        <v/>
      </c>
      <c r="CQ1266">
        <f>IFERROR(INDEX(PP_Grid[#Data],$DD1266,93),0)</f>
        <v/>
      </c>
      <c r="CR1266">
        <f>IFERROR(INDEX(PP_Grid[#Data],$DD1266,94),0)</f>
        <v/>
      </c>
      <c r="CS1266">
        <f>IFERROR(INDEX(PP_Grid[#Data],$DD1266,95),0)</f>
        <v/>
      </c>
      <c r="CT1266">
        <f>IFERROR(INDEX(PP_Grid[#Data],$DD1266,96),0)</f>
        <v/>
      </c>
      <c r="CU1266">
        <f>IFERROR(INDEX(PP_Grid[#Data],$DD1266,97),0)</f>
        <v/>
      </c>
      <c r="CV1266">
        <f>IFERROR(INDEX(PP_Grid[#Data],$DD1266,98),0)</f>
        <v/>
      </c>
      <c r="CW1266">
        <f>IFERROR(INDEX(PP_Grid[#Data],$DD1266,99),0)</f>
        <v/>
      </c>
      <c r="CX1266">
        <f>IFERROR(INDEX(PP_Grid[#Data],$DD1266,100),0)</f>
        <v/>
      </c>
      <c r="CY1266">
        <f>IFERROR(INDEX(PP_Grid[#Data],$DD1266,101),0)</f>
        <v/>
      </c>
      <c r="CZ1266">
        <f>IFERROR(INDEX(PP_Grid[#Data],$DD1266,102),0)</f>
        <v/>
      </c>
      <c r="DA1266">
        <f>IFERROR(INDEX(PP_Grid[#Data],$DD1266,103),0)</f>
        <v/>
      </c>
      <c r="DB1266">
        <f>IFERROR(INDEX(PP_Grid[#Data],$DD1266,104),0)</f>
        <v/>
      </c>
      <c r="DC1266">
        <f>IFERROR(INDEX(PP_Grid[#Data],$DD1266,105),0)</f>
        <v/>
      </c>
      <c r="DD1266" s="12">
        <f>IFERROR(MATCH($B1266,PP_Grid[Intermediate],0),99999)</f>
        <v/>
      </c>
    </row>
    <row r="1267">
      <c r="B1267" t="inlineStr">
        <is>
          <t>使用量(kg)</t>
        </is>
      </c>
      <c r="C1267">
        <f>SUMIFS(M_BOM[RM_Qty_Per_Batch],M_BOM[Intermediate],$B1266,M_BOM[Part Name],$A1251)</f>
        <v/>
      </c>
      <c r="D1267">
        <f>$C1267*D1266</f>
        <v/>
      </c>
      <c r="E1267">
        <f>$C1267*E1266</f>
        <v/>
      </c>
      <c r="F1267">
        <f>$C1267*F1266</f>
        <v/>
      </c>
      <c r="G1267">
        <f>$C1267*G1266</f>
        <v/>
      </c>
      <c r="H1267">
        <f>$C1267*H1266</f>
        <v/>
      </c>
      <c r="I1267">
        <f>$C1267*I1266</f>
        <v/>
      </c>
      <c r="J1267">
        <f>$C1267*J1266</f>
        <v/>
      </c>
      <c r="K1267">
        <f>$C1267*K1266</f>
        <v/>
      </c>
      <c r="L1267">
        <f>$C1267*L1266</f>
        <v/>
      </c>
      <c r="M1267">
        <f>$C1267*M1266</f>
        <v/>
      </c>
      <c r="N1267">
        <f>$C1267*N1266</f>
        <v/>
      </c>
      <c r="O1267">
        <f>$C1267*O1266</f>
        <v/>
      </c>
      <c r="P1267">
        <f>$C1267*P1266</f>
        <v/>
      </c>
      <c r="Q1267">
        <f>$C1267*Q1266</f>
        <v/>
      </c>
      <c r="R1267">
        <f>$C1267*R1266</f>
        <v/>
      </c>
      <c r="S1267">
        <f>$C1267*S1266</f>
        <v/>
      </c>
      <c r="T1267">
        <f>$C1267*T1266</f>
        <v/>
      </c>
      <c r="U1267">
        <f>$C1267*U1266</f>
        <v/>
      </c>
      <c r="V1267">
        <f>$C1267*V1266</f>
        <v/>
      </c>
      <c r="W1267">
        <f>$C1267*W1266</f>
        <v/>
      </c>
      <c r="X1267">
        <f>$C1267*X1266</f>
        <v/>
      </c>
      <c r="Y1267">
        <f>$C1267*Y1266</f>
        <v/>
      </c>
      <c r="Z1267">
        <f>$C1267*Z1266</f>
        <v/>
      </c>
      <c r="AA1267">
        <f>$C1267*AA1266</f>
        <v/>
      </c>
      <c r="AB1267">
        <f>$C1267*AB1266</f>
        <v/>
      </c>
      <c r="AC1267">
        <f>$C1267*AC1266</f>
        <v/>
      </c>
      <c r="AD1267">
        <f>$C1267*AD1266</f>
        <v/>
      </c>
      <c r="AE1267">
        <f>$C1267*AE1266</f>
        <v/>
      </c>
      <c r="AF1267">
        <f>$C1267*AF1266</f>
        <v/>
      </c>
      <c r="AG1267">
        <f>$C1267*AG1266</f>
        <v/>
      </c>
      <c r="AH1267">
        <f>$C1267*AH1266</f>
        <v/>
      </c>
      <c r="AI1267">
        <f>$C1267*AI1266</f>
        <v/>
      </c>
      <c r="AJ1267">
        <f>$C1267*AJ1266</f>
        <v/>
      </c>
      <c r="AK1267">
        <f>$C1267*AK1266</f>
        <v/>
      </c>
      <c r="AL1267">
        <f>$C1267*AL1266</f>
        <v/>
      </c>
      <c r="AM1267">
        <f>$C1267*AM1266</f>
        <v/>
      </c>
      <c r="AN1267">
        <f>$C1267*AN1266</f>
        <v/>
      </c>
      <c r="AO1267">
        <f>$C1267*AO1266</f>
        <v/>
      </c>
      <c r="AP1267">
        <f>$C1267*AP1266</f>
        <v/>
      </c>
      <c r="AQ1267">
        <f>$C1267*AQ1266</f>
        <v/>
      </c>
      <c r="AR1267">
        <f>$C1267*AR1266</f>
        <v/>
      </c>
      <c r="AS1267">
        <f>$C1267*AS1266</f>
        <v/>
      </c>
      <c r="AT1267">
        <f>$C1267*AT1266</f>
        <v/>
      </c>
      <c r="AU1267">
        <f>$C1267*AU1266</f>
        <v/>
      </c>
      <c r="AV1267">
        <f>$C1267*AV1266</f>
        <v/>
      </c>
      <c r="AW1267">
        <f>$C1267*AW1266</f>
        <v/>
      </c>
      <c r="AX1267">
        <f>$C1267*AX1266</f>
        <v/>
      </c>
      <c r="AY1267">
        <f>$C1267*AY1266</f>
        <v/>
      </c>
      <c r="AZ1267">
        <f>$C1267*AZ1266</f>
        <v/>
      </c>
      <c r="BA1267">
        <f>$C1267*BA1266</f>
        <v/>
      </c>
      <c r="BB1267">
        <f>$C1267*BB1266</f>
        <v/>
      </c>
      <c r="BC1267">
        <f>$C1267*BC1266</f>
        <v/>
      </c>
      <c r="BD1267">
        <f>$C1267*BD1266</f>
        <v/>
      </c>
      <c r="BE1267">
        <f>$C1267*BE1266</f>
        <v/>
      </c>
      <c r="BF1267">
        <f>$C1267*BF1266</f>
        <v/>
      </c>
      <c r="BG1267">
        <f>$C1267*BG1266</f>
        <v/>
      </c>
      <c r="BH1267">
        <f>$C1267*BH1266</f>
        <v/>
      </c>
      <c r="BI1267">
        <f>$C1267*BI1266</f>
        <v/>
      </c>
      <c r="BJ1267">
        <f>$C1267*BJ1266</f>
        <v/>
      </c>
      <c r="BK1267">
        <f>$C1267*BK1266</f>
        <v/>
      </c>
      <c r="BL1267">
        <f>$C1267*BL1266</f>
        <v/>
      </c>
      <c r="BM1267">
        <f>$C1267*BM1266</f>
        <v/>
      </c>
      <c r="BN1267">
        <f>$C1267*BN1266</f>
        <v/>
      </c>
      <c r="BO1267">
        <f>$C1267*BO1266</f>
        <v/>
      </c>
      <c r="BP1267">
        <f>$C1267*BP1266</f>
        <v/>
      </c>
      <c r="BQ1267">
        <f>$C1267*BQ1266</f>
        <v/>
      </c>
      <c r="BR1267">
        <f>$C1267*BR1266</f>
        <v/>
      </c>
      <c r="BS1267">
        <f>$C1267*BS1266</f>
        <v/>
      </c>
      <c r="BT1267">
        <f>$C1267*BT1266</f>
        <v/>
      </c>
      <c r="BU1267">
        <f>$C1267*BU1266</f>
        <v/>
      </c>
      <c r="BV1267">
        <f>$C1267*BV1266</f>
        <v/>
      </c>
      <c r="BW1267">
        <f>$C1267*BW1266</f>
        <v/>
      </c>
      <c r="BX1267">
        <f>$C1267*BX1266</f>
        <v/>
      </c>
      <c r="BY1267">
        <f>$C1267*BY1266</f>
        <v/>
      </c>
      <c r="BZ1267">
        <f>$C1267*BZ1266</f>
        <v/>
      </c>
      <c r="CA1267">
        <f>$C1267*CA1266</f>
        <v/>
      </c>
      <c r="CB1267">
        <f>$C1267*CB1266</f>
        <v/>
      </c>
      <c r="CC1267">
        <f>$C1267*CC1266</f>
        <v/>
      </c>
      <c r="CD1267">
        <f>$C1267*CD1266</f>
        <v/>
      </c>
      <c r="CE1267">
        <f>$C1267*CE1266</f>
        <v/>
      </c>
      <c r="CF1267">
        <f>$C1267*CF1266</f>
        <v/>
      </c>
      <c r="CG1267">
        <f>$C1267*CG1266</f>
        <v/>
      </c>
      <c r="CH1267">
        <f>$C1267*CH1266</f>
        <v/>
      </c>
      <c r="CI1267">
        <f>$C1267*CI1266</f>
        <v/>
      </c>
      <c r="CJ1267">
        <f>$C1267*CJ1266</f>
        <v/>
      </c>
      <c r="CK1267">
        <f>$C1267*CK1266</f>
        <v/>
      </c>
      <c r="CL1267">
        <f>$C1267*CL1266</f>
        <v/>
      </c>
      <c r="CM1267">
        <f>$C1267*CM1266</f>
        <v/>
      </c>
      <c r="CN1267">
        <f>$C1267*CN1266</f>
        <v/>
      </c>
      <c r="CO1267">
        <f>$C1267*CO1266</f>
        <v/>
      </c>
      <c r="CP1267">
        <f>$C1267*CP1266</f>
        <v/>
      </c>
      <c r="CQ1267">
        <f>$C1267*CQ1266</f>
        <v/>
      </c>
      <c r="CR1267">
        <f>$C1267*CR1266</f>
        <v/>
      </c>
      <c r="CS1267">
        <f>$C1267*CS1266</f>
        <v/>
      </c>
      <c r="CT1267">
        <f>$C1267*CT1266</f>
        <v/>
      </c>
      <c r="CU1267">
        <f>$C1267*CU1266</f>
        <v/>
      </c>
      <c r="CV1267">
        <f>$C1267*CV1266</f>
        <v/>
      </c>
      <c r="CW1267">
        <f>$C1267*CW1266</f>
        <v/>
      </c>
      <c r="CX1267">
        <f>$C1267*CX1266</f>
        <v/>
      </c>
      <c r="CY1267">
        <f>$C1267*CY1266</f>
        <v/>
      </c>
      <c r="CZ1267">
        <f>$C1267*CZ1266</f>
        <v/>
      </c>
      <c r="DA1267">
        <f>$C1267*DA1266</f>
        <v/>
      </c>
      <c r="DB1267">
        <f>$C1267*DB1266</f>
        <v/>
      </c>
      <c r="DC1267">
        <f>$C1267*DC1266</f>
        <v/>
      </c>
    </row>
    <row r="1268">
      <c r="B1268" t="inlineStr">
        <is>
          <t>TSP-928</t>
        </is>
      </c>
      <c r="C1268" t="inlineStr">
        <is>
          <t>No. of batches</t>
        </is>
      </c>
      <c r="D1268">
        <f>IFERROR(INDEX(PP_Grid[#Data],$DD1268,2),0)</f>
        <v/>
      </c>
      <c r="E1268">
        <f>IFERROR(INDEX(PP_Grid[#Data],$DD1268,3),0)</f>
        <v/>
      </c>
      <c r="F1268">
        <f>IFERROR(INDEX(PP_Grid[#Data],$DD1268,4),0)</f>
        <v/>
      </c>
      <c r="G1268">
        <f>IFERROR(INDEX(PP_Grid[#Data],$DD1268,5),0)</f>
        <v/>
      </c>
      <c r="H1268">
        <f>IFERROR(INDEX(PP_Grid[#Data],$DD1268,6),0)</f>
        <v/>
      </c>
      <c r="I1268">
        <f>IFERROR(INDEX(PP_Grid[#Data],$DD1268,7),0)</f>
        <v/>
      </c>
      <c r="J1268">
        <f>IFERROR(INDEX(PP_Grid[#Data],$DD1268,8),0)</f>
        <v/>
      </c>
      <c r="K1268">
        <f>IFERROR(INDEX(PP_Grid[#Data],$DD1268,9),0)</f>
        <v/>
      </c>
      <c r="L1268">
        <f>IFERROR(INDEX(PP_Grid[#Data],$DD1268,10),0)</f>
        <v/>
      </c>
      <c r="M1268">
        <f>IFERROR(INDEX(PP_Grid[#Data],$DD1268,11),0)</f>
        <v/>
      </c>
      <c r="N1268">
        <f>IFERROR(INDEX(PP_Grid[#Data],$DD1268,12),0)</f>
        <v/>
      </c>
      <c r="O1268">
        <f>IFERROR(INDEX(PP_Grid[#Data],$DD1268,13),0)</f>
        <v/>
      </c>
      <c r="P1268">
        <f>IFERROR(INDEX(PP_Grid[#Data],$DD1268,14),0)</f>
        <v/>
      </c>
      <c r="Q1268">
        <f>IFERROR(INDEX(PP_Grid[#Data],$DD1268,15),0)</f>
        <v/>
      </c>
      <c r="R1268">
        <f>IFERROR(INDEX(PP_Grid[#Data],$DD1268,16),0)</f>
        <v/>
      </c>
      <c r="S1268">
        <f>IFERROR(INDEX(PP_Grid[#Data],$DD1268,17),0)</f>
        <v/>
      </c>
      <c r="T1268">
        <f>IFERROR(INDEX(PP_Grid[#Data],$DD1268,18),0)</f>
        <v/>
      </c>
      <c r="U1268">
        <f>IFERROR(INDEX(PP_Grid[#Data],$DD1268,19),0)</f>
        <v/>
      </c>
      <c r="V1268">
        <f>IFERROR(INDEX(PP_Grid[#Data],$DD1268,20),0)</f>
        <v/>
      </c>
      <c r="W1268">
        <f>IFERROR(INDEX(PP_Grid[#Data],$DD1268,21),0)</f>
        <v/>
      </c>
      <c r="X1268">
        <f>IFERROR(INDEX(PP_Grid[#Data],$DD1268,22),0)</f>
        <v/>
      </c>
      <c r="Y1268">
        <f>IFERROR(INDEX(PP_Grid[#Data],$DD1268,23),0)</f>
        <v/>
      </c>
      <c r="Z1268">
        <f>IFERROR(INDEX(PP_Grid[#Data],$DD1268,24),0)</f>
        <v/>
      </c>
      <c r="AA1268">
        <f>IFERROR(INDEX(PP_Grid[#Data],$DD1268,25),0)</f>
        <v/>
      </c>
      <c r="AB1268">
        <f>IFERROR(INDEX(PP_Grid[#Data],$DD1268,26),0)</f>
        <v/>
      </c>
      <c r="AC1268">
        <f>IFERROR(INDEX(PP_Grid[#Data],$DD1268,27),0)</f>
        <v/>
      </c>
      <c r="AD1268">
        <f>IFERROR(INDEX(PP_Grid[#Data],$DD1268,28),0)</f>
        <v/>
      </c>
      <c r="AE1268">
        <f>IFERROR(INDEX(PP_Grid[#Data],$DD1268,29),0)</f>
        <v/>
      </c>
      <c r="AF1268">
        <f>IFERROR(INDEX(PP_Grid[#Data],$DD1268,30),0)</f>
        <v/>
      </c>
      <c r="AG1268">
        <f>IFERROR(INDEX(PP_Grid[#Data],$DD1268,31),0)</f>
        <v/>
      </c>
      <c r="AH1268">
        <f>IFERROR(INDEX(PP_Grid[#Data],$DD1268,32),0)</f>
        <v/>
      </c>
      <c r="AI1268">
        <f>IFERROR(INDEX(PP_Grid[#Data],$DD1268,33),0)</f>
        <v/>
      </c>
      <c r="AJ1268">
        <f>IFERROR(INDEX(PP_Grid[#Data],$DD1268,34),0)</f>
        <v/>
      </c>
      <c r="AK1268">
        <f>IFERROR(INDEX(PP_Grid[#Data],$DD1268,35),0)</f>
        <v/>
      </c>
      <c r="AL1268">
        <f>IFERROR(INDEX(PP_Grid[#Data],$DD1268,36),0)</f>
        <v/>
      </c>
      <c r="AM1268">
        <f>IFERROR(INDEX(PP_Grid[#Data],$DD1268,37),0)</f>
        <v/>
      </c>
      <c r="AN1268">
        <f>IFERROR(INDEX(PP_Grid[#Data],$DD1268,38),0)</f>
        <v/>
      </c>
      <c r="AO1268">
        <f>IFERROR(INDEX(PP_Grid[#Data],$DD1268,39),0)</f>
        <v/>
      </c>
      <c r="AP1268">
        <f>IFERROR(INDEX(PP_Grid[#Data],$DD1268,40),0)</f>
        <v/>
      </c>
      <c r="AQ1268">
        <f>IFERROR(INDEX(PP_Grid[#Data],$DD1268,41),0)</f>
        <v/>
      </c>
      <c r="AR1268">
        <f>IFERROR(INDEX(PP_Grid[#Data],$DD1268,42),0)</f>
        <v/>
      </c>
      <c r="AS1268">
        <f>IFERROR(INDEX(PP_Grid[#Data],$DD1268,43),0)</f>
        <v/>
      </c>
      <c r="AT1268">
        <f>IFERROR(INDEX(PP_Grid[#Data],$DD1268,44),0)</f>
        <v/>
      </c>
      <c r="AU1268">
        <f>IFERROR(INDEX(PP_Grid[#Data],$DD1268,45),0)</f>
        <v/>
      </c>
      <c r="AV1268">
        <f>IFERROR(INDEX(PP_Grid[#Data],$DD1268,46),0)</f>
        <v/>
      </c>
      <c r="AW1268">
        <f>IFERROR(INDEX(PP_Grid[#Data],$DD1268,47),0)</f>
        <v/>
      </c>
      <c r="AX1268">
        <f>IFERROR(INDEX(PP_Grid[#Data],$DD1268,48),0)</f>
        <v/>
      </c>
      <c r="AY1268">
        <f>IFERROR(INDEX(PP_Grid[#Data],$DD1268,49),0)</f>
        <v/>
      </c>
      <c r="AZ1268">
        <f>IFERROR(INDEX(PP_Grid[#Data],$DD1268,50),0)</f>
        <v/>
      </c>
      <c r="BA1268">
        <f>IFERROR(INDEX(PP_Grid[#Data],$DD1268,51),0)</f>
        <v/>
      </c>
      <c r="BB1268">
        <f>IFERROR(INDEX(PP_Grid[#Data],$DD1268,52),0)</f>
        <v/>
      </c>
      <c r="BC1268">
        <f>IFERROR(INDEX(PP_Grid[#Data],$DD1268,53),0)</f>
        <v/>
      </c>
      <c r="BD1268">
        <f>IFERROR(INDEX(PP_Grid[#Data],$DD1268,54),0)</f>
        <v/>
      </c>
      <c r="BE1268">
        <f>IFERROR(INDEX(PP_Grid[#Data],$DD1268,55),0)</f>
        <v/>
      </c>
      <c r="BF1268">
        <f>IFERROR(INDEX(PP_Grid[#Data],$DD1268,56),0)</f>
        <v/>
      </c>
      <c r="BG1268">
        <f>IFERROR(INDEX(PP_Grid[#Data],$DD1268,57),0)</f>
        <v/>
      </c>
      <c r="BH1268">
        <f>IFERROR(INDEX(PP_Grid[#Data],$DD1268,58),0)</f>
        <v/>
      </c>
      <c r="BI1268">
        <f>IFERROR(INDEX(PP_Grid[#Data],$DD1268,59),0)</f>
        <v/>
      </c>
      <c r="BJ1268">
        <f>IFERROR(INDEX(PP_Grid[#Data],$DD1268,60),0)</f>
        <v/>
      </c>
      <c r="BK1268">
        <f>IFERROR(INDEX(PP_Grid[#Data],$DD1268,61),0)</f>
        <v/>
      </c>
      <c r="BL1268">
        <f>IFERROR(INDEX(PP_Grid[#Data],$DD1268,62),0)</f>
        <v/>
      </c>
      <c r="BM1268">
        <f>IFERROR(INDEX(PP_Grid[#Data],$DD1268,63),0)</f>
        <v/>
      </c>
      <c r="BN1268">
        <f>IFERROR(INDEX(PP_Grid[#Data],$DD1268,64),0)</f>
        <v/>
      </c>
      <c r="BO1268">
        <f>IFERROR(INDEX(PP_Grid[#Data],$DD1268,65),0)</f>
        <v/>
      </c>
      <c r="BP1268">
        <f>IFERROR(INDEX(PP_Grid[#Data],$DD1268,66),0)</f>
        <v/>
      </c>
      <c r="BQ1268">
        <f>IFERROR(INDEX(PP_Grid[#Data],$DD1268,67),0)</f>
        <v/>
      </c>
      <c r="BR1268">
        <f>IFERROR(INDEX(PP_Grid[#Data],$DD1268,68),0)</f>
        <v/>
      </c>
      <c r="BS1268">
        <f>IFERROR(INDEX(PP_Grid[#Data],$DD1268,69),0)</f>
        <v/>
      </c>
      <c r="BT1268">
        <f>IFERROR(INDEX(PP_Grid[#Data],$DD1268,70),0)</f>
        <v/>
      </c>
      <c r="BU1268">
        <f>IFERROR(INDEX(PP_Grid[#Data],$DD1268,71),0)</f>
        <v/>
      </c>
      <c r="BV1268">
        <f>IFERROR(INDEX(PP_Grid[#Data],$DD1268,72),0)</f>
        <v/>
      </c>
      <c r="BW1268">
        <f>IFERROR(INDEX(PP_Grid[#Data],$DD1268,73),0)</f>
        <v/>
      </c>
      <c r="BX1268">
        <f>IFERROR(INDEX(PP_Grid[#Data],$DD1268,74),0)</f>
        <v/>
      </c>
      <c r="BY1268">
        <f>IFERROR(INDEX(PP_Grid[#Data],$DD1268,75),0)</f>
        <v/>
      </c>
      <c r="BZ1268">
        <f>IFERROR(INDEX(PP_Grid[#Data],$DD1268,76),0)</f>
        <v/>
      </c>
      <c r="CA1268">
        <f>IFERROR(INDEX(PP_Grid[#Data],$DD1268,77),0)</f>
        <v/>
      </c>
      <c r="CB1268">
        <f>IFERROR(INDEX(PP_Grid[#Data],$DD1268,78),0)</f>
        <v/>
      </c>
      <c r="CC1268">
        <f>IFERROR(INDEX(PP_Grid[#Data],$DD1268,79),0)</f>
        <v/>
      </c>
      <c r="CD1268">
        <f>IFERROR(INDEX(PP_Grid[#Data],$DD1268,80),0)</f>
        <v/>
      </c>
      <c r="CE1268">
        <f>IFERROR(INDEX(PP_Grid[#Data],$DD1268,81),0)</f>
        <v/>
      </c>
      <c r="CF1268">
        <f>IFERROR(INDEX(PP_Grid[#Data],$DD1268,82),0)</f>
        <v/>
      </c>
      <c r="CG1268">
        <f>IFERROR(INDEX(PP_Grid[#Data],$DD1268,83),0)</f>
        <v/>
      </c>
      <c r="CH1268">
        <f>IFERROR(INDEX(PP_Grid[#Data],$DD1268,84),0)</f>
        <v/>
      </c>
      <c r="CI1268">
        <f>IFERROR(INDEX(PP_Grid[#Data],$DD1268,85),0)</f>
        <v/>
      </c>
      <c r="CJ1268">
        <f>IFERROR(INDEX(PP_Grid[#Data],$DD1268,86),0)</f>
        <v/>
      </c>
      <c r="CK1268">
        <f>IFERROR(INDEX(PP_Grid[#Data],$DD1268,87),0)</f>
        <v/>
      </c>
      <c r="CL1268">
        <f>IFERROR(INDEX(PP_Grid[#Data],$DD1268,88),0)</f>
        <v/>
      </c>
      <c r="CM1268">
        <f>IFERROR(INDEX(PP_Grid[#Data],$DD1268,89),0)</f>
        <v/>
      </c>
      <c r="CN1268">
        <f>IFERROR(INDEX(PP_Grid[#Data],$DD1268,90),0)</f>
        <v/>
      </c>
      <c r="CO1268">
        <f>IFERROR(INDEX(PP_Grid[#Data],$DD1268,91),0)</f>
        <v/>
      </c>
      <c r="CP1268">
        <f>IFERROR(INDEX(PP_Grid[#Data],$DD1268,92),0)</f>
        <v/>
      </c>
      <c r="CQ1268">
        <f>IFERROR(INDEX(PP_Grid[#Data],$DD1268,93),0)</f>
        <v/>
      </c>
      <c r="CR1268">
        <f>IFERROR(INDEX(PP_Grid[#Data],$DD1268,94),0)</f>
        <v/>
      </c>
      <c r="CS1268">
        <f>IFERROR(INDEX(PP_Grid[#Data],$DD1268,95),0)</f>
        <v/>
      </c>
      <c r="CT1268">
        <f>IFERROR(INDEX(PP_Grid[#Data],$DD1268,96),0)</f>
        <v/>
      </c>
      <c r="CU1268">
        <f>IFERROR(INDEX(PP_Grid[#Data],$DD1268,97),0)</f>
        <v/>
      </c>
      <c r="CV1268">
        <f>IFERROR(INDEX(PP_Grid[#Data],$DD1268,98),0)</f>
        <v/>
      </c>
      <c r="CW1268">
        <f>IFERROR(INDEX(PP_Grid[#Data],$DD1268,99),0)</f>
        <v/>
      </c>
      <c r="CX1268">
        <f>IFERROR(INDEX(PP_Grid[#Data],$DD1268,100),0)</f>
        <v/>
      </c>
      <c r="CY1268">
        <f>IFERROR(INDEX(PP_Grid[#Data],$DD1268,101),0)</f>
        <v/>
      </c>
      <c r="CZ1268">
        <f>IFERROR(INDEX(PP_Grid[#Data],$DD1268,102),0)</f>
        <v/>
      </c>
      <c r="DA1268">
        <f>IFERROR(INDEX(PP_Grid[#Data],$DD1268,103),0)</f>
        <v/>
      </c>
      <c r="DB1268">
        <f>IFERROR(INDEX(PP_Grid[#Data],$DD1268,104),0)</f>
        <v/>
      </c>
      <c r="DC1268">
        <f>IFERROR(INDEX(PP_Grid[#Data],$DD1268,105),0)</f>
        <v/>
      </c>
      <c r="DD1268" s="12">
        <f>IFERROR(MATCH($B1268,PP_Grid[Intermediate],0),99999)</f>
        <v/>
      </c>
    </row>
    <row r="1269">
      <c r="B1269" t="inlineStr">
        <is>
          <t>使用量(kg)</t>
        </is>
      </c>
      <c r="C1269">
        <f>SUMIFS(M_BOM[RM_Qty_Per_Batch],M_BOM[Intermediate],$B1268,M_BOM[Part Name],$A1251)</f>
        <v/>
      </c>
      <c r="D1269">
        <f>$C1269*D1268</f>
        <v/>
      </c>
      <c r="E1269">
        <f>$C1269*E1268</f>
        <v/>
      </c>
      <c r="F1269">
        <f>$C1269*F1268</f>
        <v/>
      </c>
      <c r="G1269">
        <f>$C1269*G1268</f>
        <v/>
      </c>
      <c r="H1269">
        <f>$C1269*H1268</f>
        <v/>
      </c>
      <c r="I1269">
        <f>$C1269*I1268</f>
        <v/>
      </c>
      <c r="J1269">
        <f>$C1269*J1268</f>
        <v/>
      </c>
      <c r="K1269">
        <f>$C1269*K1268</f>
        <v/>
      </c>
      <c r="L1269">
        <f>$C1269*L1268</f>
        <v/>
      </c>
      <c r="M1269">
        <f>$C1269*M1268</f>
        <v/>
      </c>
      <c r="N1269">
        <f>$C1269*N1268</f>
        <v/>
      </c>
      <c r="O1269">
        <f>$C1269*O1268</f>
        <v/>
      </c>
      <c r="P1269">
        <f>$C1269*P1268</f>
        <v/>
      </c>
      <c r="Q1269">
        <f>$C1269*Q1268</f>
        <v/>
      </c>
      <c r="R1269">
        <f>$C1269*R1268</f>
        <v/>
      </c>
      <c r="S1269">
        <f>$C1269*S1268</f>
        <v/>
      </c>
      <c r="T1269">
        <f>$C1269*T1268</f>
        <v/>
      </c>
      <c r="U1269">
        <f>$C1269*U1268</f>
        <v/>
      </c>
      <c r="V1269">
        <f>$C1269*V1268</f>
        <v/>
      </c>
      <c r="W1269">
        <f>$C1269*W1268</f>
        <v/>
      </c>
      <c r="X1269">
        <f>$C1269*X1268</f>
        <v/>
      </c>
      <c r="Y1269">
        <f>$C1269*Y1268</f>
        <v/>
      </c>
      <c r="Z1269">
        <f>$C1269*Z1268</f>
        <v/>
      </c>
      <c r="AA1269">
        <f>$C1269*AA1268</f>
        <v/>
      </c>
      <c r="AB1269">
        <f>$C1269*AB1268</f>
        <v/>
      </c>
      <c r="AC1269">
        <f>$C1269*AC1268</f>
        <v/>
      </c>
      <c r="AD1269">
        <f>$C1269*AD1268</f>
        <v/>
      </c>
      <c r="AE1269">
        <f>$C1269*AE1268</f>
        <v/>
      </c>
      <c r="AF1269">
        <f>$C1269*AF1268</f>
        <v/>
      </c>
      <c r="AG1269">
        <f>$C1269*AG1268</f>
        <v/>
      </c>
      <c r="AH1269">
        <f>$C1269*AH1268</f>
        <v/>
      </c>
      <c r="AI1269">
        <f>$C1269*AI1268</f>
        <v/>
      </c>
      <c r="AJ1269">
        <f>$C1269*AJ1268</f>
        <v/>
      </c>
      <c r="AK1269">
        <f>$C1269*AK1268</f>
        <v/>
      </c>
      <c r="AL1269">
        <f>$C1269*AL1268</f>
        <v/>
      </c>
      <c r="AM1269">
        <f>$C1269*AM1268</f>
        <v/>
      </c>
      <c r="AN1269">
        <f>$C1269*AN1268</f>
        <v/>
      </c>
      <c r="AO1269">
        <f>$C1269*AO1268</f>
        <v/>
      </c>
      <c r="AP1269">
        <f>$C1269*AP1268</f>
        <v/>
      </c>
      <c r="AQ1269">
        <f>$C1269*AQ1268</f>
        <v/>
      </c>
      <c r="AR1269">
        <f>$C1269*AR1268</f>
        <v/>
      </c>
      <c r="AS1269">
        <f>$C1269*AS1268</f>
        <v/>
      </c>
      <c r="AT1269">
        <f>$C1269*AT1268</f>
        <v/>
      </c>
      <c r="AU1269">
        <f>$C1269*AU1268</f>
        <v/>
      </c>
      <c r="AV1269">
        <f>$C1269*AV1268</f>
        <v/>
      </c>
      <c r="AW1269">
        <f>$C1269*AW1268</f>
        <v/>
      </c>
      <c r="AX1269">
        <f>$C1269*AX1268</f>
        <v/>
      </c>
      <c r="AY1269">
        <f>$C1269*AY1268</f>
        <v/>
      </c>
      <c r="AZ1269">
        <f>$C1269*AZ1268</f>
        <v/>
      </c>
      <c r="BA1269">
        <f>$C1269*BA1268</f>
        <v/>
      </c>
      <c r="BB1269">
        <f>$C1269*BB1268</f>
        <v/>
      </c>
      <c r="BC1269">
        <f>$C1269*BC1268</f>
        <v/>
      </c>
      <c r="BD1269">
        <f>$C1269*BD1268</f>
        <v/>
      </c>
      <c r="BE1269">
        <f>$C1269*BE1268</f>
        <v/>
      </c>
      <c r="BF1269">
        <f>$C1269*BF1268</f>
        <v/>
      </c>
      <c r="BG1269">
        <f>$C1269*BG1268</f>
        <v/>
      </c>
      <c r="BH1269">
        <f>$C1269*BH1268</f>
        <v/>
      </c>
      <c r="BI1269">
        <f>$C1269*BI1268</f>
        <v/>
      </c>
      <c r="BJ1269">
        <f>$C1269*BJ1268</f>
        <v/>
      </c>
      <c r="BK1269">
        <f>$C1269*BK1268</f>
        <v/>
      </c>
      <c r="BL1269">
        <f>$C1269*BL1268</f>
        <v/>
      </c>
      <c r="BM1269">
        <f>$C1269*BM1268</f>
        <v/>
      </c>
      <c r="BN1269">
        <f>$C1269*BN1268</f>
        <v/>
      </c>
      <c r="BO1269">
        <f>$C1269*BO1268</f>
        <v/>
      </c>
      <c r="BP1269">
        <f>$C1269*BP1268</f>
        <v/>
      </c>
      <c r="BQ1269">
        <f>$C1269*BQ1268</f>
        <v/>
      </c>
      <c r="BR1269">
        <f>$C1269*BR1268</f>
        <v/>
      </c>
      <c r="BS1269">
        <f>$C1269*BS1268</f>
        <v/>
      </c>
      <c r="BT1269">
        <f>$C1269*BT1268</f>
        <v/>
      </c>
      <c r="BU1269">
        <f>$C1269*BU1268</f>
        <v/>
      </c>
      <c r="BV1269">
        <f>$C1269*BV1268</f>
        <v/>
      </c>
      <c r="BW1269">
        <f>$C1269*BW1268</f>
        <v/>
      </c>
      <c r="BX1269">
        <f>$C1269*BX1268</f>
        <v/>
      </c>
      <c r="BY1269">
        <f>$C1269*BY1268</f>
        <v/>
      </c>
      <c r="BZ1269">
        <f>$C1269*BZ1268</f>
        <v/>
      </c>
      <c r="CA1269">
        <f>$C1269*CA1268</f>
        <v/>
      </c>
      <c r="CB1269">
        <f>$C1269*CB1268</f>
        <v/>
      </c>
      <c r="CC1269">
        <f>$C1269*CC1268</f>
        <v/>
      </c>
      <c r="CD1269">
        <f>$C1269*CD1268</f>
        <v/>
      </c>
      <c r="CE1269">
        <f>$C1269*CE1268</f>
        <v/>
      </c>
      <c r="CF1269">
        <f>$C1269*CF1268</f>
        <v/>
      </c>
      <c r="CG1269">
        <f>$C1269*CG1268</f>
        <v/>
      </c>
      <c r="CH1269">
        <f>$C1269*CH1268</f>
        <v/>
      </c>
      <c r="CI1269">
        <f>$C1269*CI1268</f>
        <v/>
      </c>
      <c r="CJ1269">
        <f>$C1269*CJ1268</f>
        <v/>
      </c>
      <c r="CK1269">
        <f>$C1269*CK1268</f>
        <v/>
      </c>
      <c r="CL1269">
        <f>$C1269*CL1268</f>
        <v/>
      </c>
      <c r="CM1269">
        <f>$C1269*CM1268</f>
        <v/>
      </c>
      <c r="CN1269">
        <f>$C1269*CN1268</f>
        <v/>
      </c>
      <c r="CO1269">
        <f>$C1269*CO1268</f>
        <v/>
      </c>
      <c r="CP1269">
        <f>$C1269*CP1268</f>
        <v/>
      </c>
      <c r="CQ1269">
        <f>$C1269*CQ1268</f>
        <v/>
      </c>
      <c r="CR1269">
        <f>$C1269*CR1268</f>
        <v/>
      </c>
      <c r="CS1269">
        <f>$C1269*CS1268</f>
        <v/>
      </c>
      <c r="CT1269">
        <f>$C1269*CT1268</f>
        <v/>
      </c>
      <c r="CU1269">
        <f>$C1269*CU1268</f>
        <v/>
      </c>
      <c r="CV1269">
        <f>$C1269*CV1268</f>
        <v/>
      </c>
      <c r="CW1269">
        <f>$C1269*CW1268</f>
        <v/>
      </c>
      <c r="CX1269">
        <f>$C1269*CX1268</f>
        <v/>
      </c>
      <c r="CY1269">
        <f>$C1269*CY1268</f>
        <v/>
      </c>
      <c r="CZ1269">
        <f>$C1269*CZ1268</f>
        <v/>
      </c>
      <c r="DA1269">
        <f>$C1269*DA1268</f>
        <v/>
      </c>
      <c r="DB1269">
        <f>$C1269*DB1268</f>
        <v/>
      </c>
      <c r="DC1269">
        <f>$C1269*DC1268</f>
        <v/>
      </c>
    </row>
    <row r="1270">
      <c r="B1270" t="inlineStr">
        <is>
          <t>TSP-929</t>
        </is>
      </c>
      <c r="C1270" t="inlineStr">
        <is>
          <t>No. of batches</t>
        </is>
      </c>
      <c r="D1270">
        <f>IFERROR(INDEX(PP_Grid[#Data],$DD1270,2),0)</f>
        <v/>
      </c>
      <c r="E1270">
        <f>IFERROR(INDEX(PP_Grid[#Data],$DD1270,3),0)</f>
        <v/>
      </c>
      <c r="F1270">
        <f>IFERROR(INDEX(PP_Grid[#Data],$DD1270,4),0)</f>
        <v/>
      </c>
      <c r="G1270">
        <f>IFERROR(INDEX(PP_Grid[#Data],$DD1270,5),0)</f>
        <v/>
      </c>
      <c r="H1270">
        <f>IFERROR(INDEX(PP_Grid[#Data],$DD1270,6),0)</f>
        <v/>
      </c>
      <c r="I1270">
        <f>IFERROR(INDEX(PP_Grid[#Data],$DD1270,7),0)</f>
        <v/>
      </c>
      <c r="J1270">
        <f>IFERROR(INDEX(PP_Grid[#Data],$DD1270,8),0)</f>
        <v/>
      </c>
      <c r="K1270">
        <f>IFERROR(INDEX(PP_Grid[#Data],$DD1270,9),0)</f>
        <v/>
      </c>
      <c r="L1270">
        <f>IFERROR(INDEX(PP_Grid[#Data],$DD1270,10),0)</f>
        <v/>
      </c>
      <c r="M1270">
        <f>IFERROR(INDEX(PP_Grid[#Data],$DD1270,11),0)</f>
        <v/>
      </c>
      <c r="N1270">
        <f>IFERROR(INDEX(PP_Grid[#Data],$DD1270,12),0)</f>
        <v/>
      </c>
      <c r="O1270">
        <f>IFERROR(INDEX(PP_Grid[#Data],$DD1270,13),0)</f>
        <v/>
      </c>
      <c r="P1270">
        <f>IFERROR(INDEX(PP_Grid[#Data],$DD1270,14),0)</f>
        <v/>
      </c>
      <c r="Q1270">
        <f>IFERROR(INDEX(PP_Grid[#Data],$DD1270,15),0)</f>
        <v/>
      </c>
      <c r="R1270">
        <f>IFERROR(INDEX(PP_Grid[#Data],$DD1270,16),0)</f>
        <v/>
      </c>
      <c r="S1270">
        <f>IFERROR(INDEX(PP_Grid[#Data],$DD1270,17),0)</f>
        <v/>
      </c>
      <c r="T1270">
        <f>IFERROR(INDEX(PP_Grid[#Data],$DD1270,18),0)</f>
        <v/>
      </c>
      <c r="U1270">
        <f>IFERROR(INDEX(PP_Grid[#Data],$DD1270,19),0)</f>
        <v/>
      </c>
      <c r="V1270">
        <f>IFERROR(INDEX(PP_Grid[#Data],$DD1270,20),0)</f>
        <v/>
      </c>
      <c r="W1270">
        <f>IFERROR(INDEX(PP_Grid[#Data],$DD1270,21),0)</f>
        <v/>
      </c>
      <c r="X1270">
        <f>IFERROR(INDEX(PP_Grid[#Data],$DD1270,22),0)</f>
        <v/>
      </c>
      <c r="Y1270">
        <f>IFERROR(INDEX(PP_Grid[#Data],$DD1270,23),0)</f>
        <v/>
      </c>
      <c r="Z1270">
        <f>IFERROR(INDEX(PP_Grid[#Data],$DD1270,24),0)</f>
        <v/>
      </c>
      <c r="AA1270">
        <f>IFERROR(INDEX(PP_Grid[#Data],$DD1270,25),0)</f>
        <v/>
      </c>
      <c r="AB1270">
        <f>IFERROR(INDEX(PP_Grid[#Data],$DD1270,26),0)</f>
        <v/>
      </c>
      <c r="AC1270">
        <f>IFERROR(INDEX(PP_Grid[#Data],$DD1270,27),0)</f>
        <v/>
      </c>
      <c r="AD1270">
        <f>IFERROR(INDEX(PP_Grid[#Data],$DD1270,28),0)</f>
        <v/>
      </c>
      <c r="AE1270">
        <f>IFERROR(INDEX(PP_Grid[#Data],$DD1270,29),0)</f>
        <v/>
      </c>
      <c r="AF1270">
        <f>IFERROR(INDEX(PP_Grid[#Data],$DD1270,30),0)</f>
        <v/>
      </c>
      <c r="AG1270">
        <f>IFERROR(INDEX(PP_Grid[#Data],$DD1270,31),0)</f>
        <v/>
      </c>
      <c r="AH1270">
        <f>IFERROR(INDEX(PP_Grid[#Data],$DD1270,32),0)</f>
        <v/>
      </c>
      <c r="AI1270">
        <f>IFERROR(INDEX(PP_Grid[#Data],$DD1270,33),0)</f>
        <v/>
      </c>
      <c r="AJ1270">
        <f>IFERROR(INDEX(PP_Grid[#Data],$DD1270,34),0)</f>
        <v/>
      </c>
      <c r="AK1270">
        <f>IFERROR(INDEX(PP_Grid[#Data],$DD1270,35),0)</f>
        <v/>
      </c>
      <c r="AL1270">
        <f>IFERROR(INDEX(PP_Grid[#Data],$DD1270,36),0)</f>
        <v/>
      </c>
      <c r="AM1270">
        <f>IFERROR(INDEX(PP_Grid[#Data],$DD1270,37),0)</f>
        <v/>
      </c>
      <c r="AN1270">
        <f>IFERROR(INDEX(PP_Grid[#Data],$DD1270,38),0)</f>
        <v/>
      </c>
      <c r="AO1270">
        <f>IFERROR(INDEX(PP_Grid[#Data],$DD1270,39),0)</f>
        <v/>
      </c>
      <c r="AP1270">
        <f>IFERROR(INDEX(PP_Grid[#Data],$DD1270,40),0)</f>
        <v/>
      </c>
      <c r="AQ1270">
        <f>IFERROR(INDEX(PP_Grid[#Data],$DD1270,41),0)</f>
        <v/>
      </c>
      <c r="AR1270">
        <f>IFERROR(INDEX(PP_Grid[#Data],$DD1270,42),0)</f>
        <v/>
      </c>
      <c r="AS1270">
        <f>IFERROR(INDEX(PP_Grid[#Data],$DD1270,43),0)</f>
        <v/>
      </c>
      <c r="AT1270">
        <f>IFERROR(INDEX(PP_Grid[#Data],$DD1270,44),0)</f>
        <v/>
      </c>
      <c r="AU1270">
        <f>IFERROR(INDEX(PP_Grid[#Data],$DD1270,45),0)</f>
        <v/>
      </c>
      <c r="AV1270">
        <f>IFERROR(INDEX(PP_Grid[#Data],$DD1270,46),0)</f>
        <v/>
      </c>
      <c r="AW1270">
        <f>IFERROR(INDEX(PP_Grid[#Data],$DD1270,47),0)</f>
        <v/>
      </c>
      <c r="AX1270">
        <f>IFERROR(INDEX(PP_Grid[#Data],$DD1270,48),0)</f>
        <v/>
      </c>
      <c r="AY1270">
        <f>IFERROR(INDEX(PP_Grid[#Data],$DD1270,49),0)</f>
        <v/>
      </c>
      <c r="AZ1270">
        <f>IFERROR(INDEX(PP_Grid[#Data],$DD1270,50),0)</f>
        <v/>
      </c>
      <c r="BA1270">
        <f>IFERROR(INDEX(PP_Grid[#Data],$DD1270,51),0)</f>
        <v/>
      </c>
      <c r="BB1270">
        <f>IFERROR(INDEX(PP_Grid[#Data],$DD1270,52),0)</f>
        <v/>
      </c>
      <c r="BC1270">
        <f>IFERROR(INDEX(PP_Grid[#Data],$DD1270,53),0)</f>
        <v/>
      </c>
      <c r="BD1270">
        <f>IFERROR(INDEX(PP_Grid[#Data],$DD1270,54),0)</f>
        <v/>
      </c>
      <c r="BE1270">
        <f>IFERROR(INDEX(PP_Grid[#Data],$DD1270,55),0)</f>
        <v/>
      </c>
      <c r="BF1270">
        <f>IFERROR(INDEX(PP_Grid[#Data],$DD1270,56),0)</f>
        <v/>
      </c>
      <c r="BG1270">
        <f>IFERROR(INDEX(PP_Grid[#Data],$DD1270,57),0)</f>
        <v/>
      </c>
      <c r="BH1270">
        <f>IFERROR(INDEX(PP_Grid[#Data],$DD1270,58),0)</f>
        <v/>
      </c>
      <c r="BI1270">
        <f>IFERROR(INDEX(PP_Grid[#Data],$DD1270,59),0)</f>
        <v/>
      </c>
      <c r="BJ1270">
        <f>IFERROR(INDEX(PP_Grid[#Data],$DD1270,60),0)</f>
        <v/>
      </c>
      <c r="BK1270">
        <f>IFERROR(INDEX(PP_Grid[#Data],$DD1270,61),0)</f>
        <v/>
      </c>
      <c r="BL1270">
        <f>IFERROR(INDEX(PP_Grid[#Data],$DD1270,62),0)</f>
        <v/>
      </c>
      <c r="BM1270">
        <f>IFERROR(INDEX(PP_Grid[#Data],$DD1270,63),0)</f>
        <v/>
      </c>
      <c r="BN1270">
        <f>IFERROR(INDEX(PP_Grid[#Data],$DD1270,64),0)</f>
        <v/>
      </c>
      <c r="BO1270">
        <f>IFERROR(INDEX(PP_Grid[#Data],$DD1270,65),0)</f>
        <v/>
      </c>
      <c r="BP1270">
        <f>IFERROR(INDEX(PP_Grid[#Data],$DD1270,66),0)</f>
        <v/>
      </c>
      <c r="BQ1270">
        <f>IFERROR(INDEX(PP_Grid[#Data],$DD1270,67),0)</f>
        <v/>
      </c>
      <c r="BR1270">
        <f>IFERROR(INDEX(PP_Grid[#Data],$DD1270,68),0)</f>
        <v/>
      </c>
      <c r="BS1270">
        <f>IFERROR(INDEX(PP_Grid[#Data],$DD1270,69),0)</f>
        <v/>
      </c>
      <c r="BT1270">
        <f>IFERROR(INDEX(PP_Grid[#Data],$DD1270,70),0)</f>
        <v/>
      </c>
      <c r="BU1270">
        <f>IFERROR(INDEX(PP_Grid[#Data],$DD1270,71),0)</f>
        <v/>
      </c>
      <c r="BV1270">
        <f>IFERROR(INDEX(PP_Grid[#Data],$DD1270,72),0)</f>
        <v/>
      </c>
      <c r="BW1270">
        <f>IFERROR(INDEX(PP_Grid[#Data],$DD1270,73),0)</f>
        <v/>
      </c>
      <c r="BX1270">
        <f>IFERROR(INDEX(PP_Grid[#Data],$DD1270,74),0)</f>
        <v/>
      </c>
      <c r="BY1270">
        <f>IFERROR(INDEX(PP_Grid[#Data],$DD1270,75),0)</f>
        <v/>
      </c>
      <c r="BZ1270">
        <f>IFERROR(INDEX(PP_Grid[#Data],$DD1270,76),0)</f>
        <v/>
      </c>
      <c r="CA1270">
        <f>IFERROR(INDEX(PP_Grid[#Data],$DD1270,77),0)</f>
        <v/>
      </c>
      <c r="CB1270">
        <f>IFERROR(INDEX(PP_Grid[#Data],$DD1270,78),0)</f>
        <v/>
      </c>
      <c r="CC1270">
        <f>IFERROR(INDEX(PP_Grid[#Data],$DD1270,79),0)</f>
        <v/>
      </c>
      <c r="CD1270">
        <f>IFERROR(INDEX(PP_Grid[#Data],$DD1270,80),0)</f>
        <v/>
      </c>
      <c r="CE1270">
        <f>IFERROR(INDEX(PP_Grid[#Data],$DD1270,81),0)</f>
        <v/>
      </c>
      <c r="CF1270">
        <f>IFERROR(INDEX(PP_Grid[#Data],$DD1270,82),0)</f>
        <v/>
      </c>
      <c r="CG1270">
        <f>IFERROR(INDEX(PP_Grid[#Data],$DD1270,83),0)</f>
        <v/>
      </c>
      <c r="CH1270">
        <f>IFERROR(INDEX(PP_Grid[#Data],$DD1270,84),0)</f>
        <v/>
      </c>
      <c r="CI1270">
        <f>IFERROR(INDEX(PP_Grid[#Data],$DD1270,85),0)</f>
        <v/>
      </c>
      <c r="CJ1270">
        <f>IFERROR(INDEX(PP_Grid[#Data],$DD1270,86),0)</f>
        <v/>
      </c>
      <c r="CK1270">
        <f>IFERROR(INDEX(PP_Grid[#Data],$DD1270,87),0)</f>
        <v/>
      </c>
      <c r="CL1270">
        <f>IFERROR(INDEX(PP_Grid[#Data],$DD1270,88),0)</f>
        <v/>
      </c>
      <c r="CM1270">
        <f>IFERROR(INDEX(PP_Grid[#Data],$DD1270,89),0)</f>
        <v/>
      </c>
      <c r="CN1270">
        <f>IFERROR(INDEX(PP_Grid[#Data],$DD1270,90),0)</f>
        <v/>
      </c>
      <c r="CO1270">
        <f>IFERROR(INDEX(PP_Grid[#Data],$DD1270,91),0)</f>
        <v/>
      </c>
      <c r="CP1270">
        <f>IFERROR(INDEX(PP_Grid[#Data],$DD1270,92),0)</f>
        <v/>
      </c>
      <c r="CQ1270">
        <f>IFERROR(INDEX(PP_Grid[#Data],$DD1270,93),0)</f>
        <v/>
      </c>
      <c r="CR1270">
        <f>IFERROR(INDEX(PP_Grid[#Data],$DD1270,94),0)</f>
        <v/>
      </c>
      <c r="CS1270">
        <f>IFERROR(INDEX(PP_Grid[#Data],$DD1270,95),0)</f>
        <v/>
      </c>
      <c r="CT1270">
        <f>IFERROR(INDEX(PP_Grid[#Data],$DD1270,96),0)</f>
        <v/>
      </c>
      <c r="CU1270">
        <f>IFERROR(INDEX(PP_Grid[#Data],$DD1270,97),0)</f>
        <v/>
      </c>
      <c r="CV1270">
        <f>IFERROR(INDEX(PP_Grid[#Data],$DD1270,98),0)</f>
        <v/>
      </c>
      <c r="CW1270">
        <f>IFERROR(INDEX(PP_Grid[#Data],$DD1270,99),0)</f>
        <v/>
      </c>
      <c r="CX1270">
        <f>IFERROR(INDEX(PP_Grid[#Data],$DD1270,100),0)</f>
        <v/>
      </c>
      <c r="CY1270">
        <f>IFERROR(INDEX(PP_Grid[#Data],$DD1270,101),0)</f>
        <v/>
      </c>
      <c r="CZ1270">
        <f>IFERROR(INDEX(PP_Grid[#Data],$DD1270,102),0)</f>
        <v/>
      </c>
      <c r="DA1270">
        <f>IFERROR(INDEX(PP_Grid[#Data],$DD1270,103),0)</f>
        <v/>
      </c>
      <c r="DB1270">
        <f>IFERROR(INDEX(PP_Grid[#Data],$DD1270,104),0)</f>
        <v/>
      </c>
      <c r="DC1270">
        <f>IFERROR(INDEX(PP_Grid[#Data],$DD1270,105),0)</f>
        <v/>
      </c>
      <c r="DD1270" s="12">
        <f>IFERROR(MATCH($B1270,PP_Grid[Intermediate],0),99999)</f>
        <v/>
      </c>
    </row>
    <row r="1271">
      <c r="B1271" t="inlineStr">
        <is>
          <t>使用量(kg)</t>
        </is>
      </c>
      <c r="C1271">
        <f>SUMIFS(M_BOM[RM_Qty_Per_Batch],M_BOM[Intermediate],$B1270,M_BOM[Part Name],$A1251)</f>
        <v/>
      </c>
      <c r="D1271">
        <f>$C1271*D1270</f>
        <v/>
      </c>
      <c r="E1271">
        <f>$C1271*E1270</f>
        <v/>
      </c>
      <c r="F1271">
        <f>$C1271*F1270</f>
        <v/>
      </c>
      <c r="G1271">
        <f>$C1271*G1270</f>
        <v/>
      </c>
      <c r="H1271">
        <f>$C1271*H1270</f>
        <v/>
      </c>
      <c r="I1271">
        <f>$C1271*I1270</f>
        <v/>
      </c>
      <c r="J1271">
        <f>$C1271*J1270</f>
        <v/>
      </c>
      <c r="K1271">
        <f>$C1271*K1270</f>
        <v/>
      </c>
      <c r="L1271">
        <f>$C1271*L1270</f>
        <v/>
      </c>
      <c r="M1271">
        <f>$C1271*M1270</f>
        <v/>
      </c>
      <c r="N1271">
        <f>$C1271*N1270</f>
        <v/>
      </c>
      <c r="O1271">
        <f>$C1271*O1270</f>
        <v/>
      </c>
      <c r="P1271">
        <f>$C1271*P1270</f>
        <v/>
      </c>
      <c r="Q1271">
        <f>$C1271*Q1270</f>
        <v/>
      </c>
      <c r="R1271">
        <f>$C1271*R1270</f>
        <v/>
      </c>
      <c r="S1271">
        <f>$C1271*S1270</f>
        <v/>
      </c>
      <c r="T1271">
        <f>$C1271*T1270</f>
        <v/>
      </c>
      <c r="U1271">
        <f>$C1271*U1270</f>
        <v/>
      </c>
      <c r="V1271">
        <f>$C1271*V1270</f>
        <v/>
      </c>
      <c r="W1271">
        <f>$C1271*W1270</f>
        <v/>
      </c>
      <c r="X1271">
        <f>$C1271*X1270</f>
        <v/>
      </c>
      <c r="Y1271">
        <f>$C1271*Y1270</f>
        <v/>
      </c>
      <c r="Z1271">
        <f>$C1271*Z1270</f>
        <v/>
      </c>
      <c r="AA1271">
        <f>$C1271*AA1270</f>
        <v/>
      </c>
      <c r="AB1271">
        <f>$C1271*AB1270</f>
        <v/>
      </c>
      <c r="AC1271">
        <f>$C1271*AC1270</f>
        <v/>
      </c>
      <c r="AD1271">
        <f>$C1271*AD1270</f>
        <v/>
      </c>
      <c r="AE1271">
        <f>$C1271*AE1270</f>
        <v/>
      </c>
      <c r="AF1271">
        <f>$C1271*AF1270</f>
        <v/>
      </c>
      <c r="AG1271">
        <f>$C1271*AG1270</f>
        <v/>
      </c>
      <c r="AH1271">
        <f>$C1271*AH1270</f>
        <v/>
      </c>
      <c r="AI1271">
        <f>$C1271*AI1270</f>
        <v/>
      </c>
      <c r="AJ1271">
        <f>$C1271*AJ1270</f>
        <v/>
      </c>
      <c r="AK1271">
        <f>$C1271*AK1270</f>
        <v/>
      </c>
      <c r="AL1271">
        <f>$C1271*AL1270</f>
        <v/>
      </c>
      <c r="AM1271">
        <f>$C1271*AM1270</f>
        <v/>
      </c>
      <c r="AN1271">
        <f>$C1271*AN1270</f>
        <v/>
      </c>
      <c r="AO1271">
        <f>$C1271*AO1270</f>
        <v/>
      </c>
      <c r="AP1271">
        <f>$C1271*AP1270</f>
        <v/>
      </c>
      <c r="AQ1271">
        <f>$C1271*AQ1270</f>
        <v/>
      </c>
      <c r="AR1271">
        <f>$C1271*AR1270</f>
        <v/>
      </c>
      <c r="AS1271">
        <f>$C1271*AS1270</f>
        <v/>
      </c>
      <c r="AT1271">
        <f>$C1271*AT1270</f>
        <v/>
      </c>
      <c r="AU1271">
        <f>$C1271*AU1270</f>
        <v/>
      </c>
      <c r="AV1271">
        <f>$C1271*AV1270</f>
        <v/>
      </c>
      <c r="AW1271">
        <f>$C1271*AW1270</f>
        <v/>
      </c>
      <c r="AX1271">
        <f>$C1271*AX1270</f>
        <v/>
      </c>
      <c r="AY1271">
        <f>$C1271*AY1270</f>
        <v/>
      </c>
      <c r="AZ1271">
        <f>$C1271*AZ1270</f>
        <v/>
      </c>
      <c r="BA1271">
        <f>$C1271*BA1270</f>
        <v/>
      </c>
      <c r="BB1271">
        <f>$C1271*BB1270</f>
        <v/>
      </c>
      <c r="BC1271">
        <f>$C1271*BC1270</f>
        <v/>
      </c>
      <c r="BD1271">
        <f>$C1271*BD1270</f>
        <v/>
      </c>
      <c r="BE1271">
        <f>$C1271*BE1270</f>
        <v/>
      </c>
      <c r="BF1271">
        <f>$C1271*BF1270</f>
        <v/>
      </c>
      <c r="BG1271">
        <f>$C1271*BG1270</f>
        <v/>
      </c>
      <c r="BH1271">
        <f>$C1271*BH1270</f>
        <v/>
      </c>
      <c r="BI1271">
        <f>$C1271*BI1270</f>
        <v/>
      </c>
      <c r="BJ1271">
        <f>$C1271*BJ1270</f>
        <v/>
      </c>
      <c r="BK1271">
        <f>$C1271*BK1270</f>
        <v/>
      </c>
      <c r="BL1271">
        <f>$C1271*BL1270</f>
        <v/>
      </c>
      <c r="BM1271">
        <f>$C1271*BM1270</f>
        <v/>
      </c>
      <c r="BN1271">
        <f>$C1271*BN1270</f>
        <v/>
      </c>
      <c r="BO1271">
        <f>$C1271*BO1270</f>
        <v/>
      </c>
      <c r="BP1271">
        <f>$C1271*BP1270</f>
        <v/>
      </c>
      <c r="BQ1271">
        <f>$C1271*BQ1270</f>
        <v/>
      </c>
      <c r="BR1271">
        <f>$C1271*BR1270</f>
        <v/>
      </c>
      <c r="BS1271">
        <f>$C1271*BS1270</f>
        <v/>
      </c>
      <c r="BT1271">
        <f>$C1271*BT1270</f>
        <v/>
      </c>
      <c r="BU1271">
        <f>$C1271*BU1270</f>
        <v/>
      </c>
      <c r="BV1271">
        <f>$C1271*BV1270</f>
        <v/>
      </c>
      <c r="BW1271">
        <f>$C1271*BW1270</f>
        <v/>
      </c>
      <c r="BX1271">
        <f>$C1271*BX1270</f>
        <v/>
      </c>
      <c r="BY1271">
        <f>$C1271*BY1270</f>
        <v/>
      </c>
      <c r="BZ1271">
        <f>$C1271*BZ1270</f>
        <v/>
      </c>
      <c r="CA1271">
        <f>$C1271*CA1270</f>
        <v/>
      </c>
      <c r="CB1271">
        <f>$C1271*CB1270</f>
        <v/>
      </c>
      <c r="CC1271">
        <f>$C1271*CC1270</f>
        <v/>
      </c>
      <c r="CD1271">
        <f>$C1271*CD1270</f>
        <v/>
      </c>
      <c r="CE1271">
        <f>$C1271*CE1270</f>
        <v/>
      </c>
      <c r="CF1271">
        <f>$C1271*CF1270</f>
        <v/>
      </c>
      <c r="CG1271">
        <f>$C1271*CG1270</f>
        <v/>
      </c>
      <c r="CH1271">
        <f>$C1271*CH1270</f>
        <v/>
      </c>
      <c r="CI1271">
        <f>$C1271*CI1270</f>
        <v/>
      </c>
      <c r="CJ1271">
        <f>$C1271*CJ1270</f>
        <v/>
      </c>
      <c r="CK1271">
        <f>$C1271*CK1270</f>
        <v/>
      </c>
      <c r="CL1271">
        <f>$C1271*CL1270</f>
        <v/>
      </c>
      <c r="CM1271">
        <f>$C1271*CM1270</f>
        <v/>
      </c>
      <c r="CN1271">
        <f>$C1271*CN1270</f>
        <v/>
      </c>
      <c r="CO1271">
        <f>$C1271*CO1270</f>
        <v/>
      </c>
      <c r="CP1271">
        <f>$C1271*CP1270</f>
        <v/>
      </c>
      <c r="CQ1271">
        <f>$C1271*CQ1270</f>
        <v/>
      </c>
      <c r="CR1271">
        <f>$C1271*CR1270</f>
        <v/>
      </c>
      <c r="CS1271">
        <f>$C1271*CS1270</f>
        <v/>
      </c>
      <c r="CT1271">
        <f>$C1271*CT1270</f>
        <v/>
      </c>
      <c r="CU1271">
        <f>$C1271*CU1270</f>
        <v/>
      </c>
      <c r="CV1271">
        <f>$C1271*CV1270</f>
        <v/>
      </c>
      <c r="CW1271">
        <f>$C1271*CW1270</f>
        <v/>
      </c>
      <c r="CX1271">
        <f>$C1271*CX1270</f>
        <v/>
      </c>
      <c r="CY1271">
        <f>$C1271*CY1270</f>
        <v/>
      </c>
      <c r="CZ1271">
        <f>$C1271*CZ1270</f>
        <v/>
      </c>
      <c r="DA1271">
        <f>$C1271*DA1270</f>
        <v/>
      </c>
      <c r="DB1271">
        <f>$C1271*DB1270</f>
        <v/>
      </c>
      <c r="DC1271">
        <f>$C1271*DC1270</f>
        <v/>
      </c>
    </row>
    <row r="1272">
      <c r="B1272" t="inlineStr">
        <is>
          <t>TSP-930</t>
        </is>
      </c>
      <c r="C1272" t="inlineStr">
        <is>
          <t>No. of batches</t>
        </is>
      </c>
      <c r="D1272">
        <f>IFERROR(INDEX(PP_Grid[#Data],$DD1272,2),0)</f>
        <v/>
      </c>
      <c r="E1272">
        <f>IFERROR(INDEX(PP_Grid[#Data],$DD1272,3),0)</f>
        <v/>
      </c>
      <c r="F1272">
        <f>IFERROR(INDEX(PP_Grid[#Data],$DD1272,4),0)</f>
        <v/>
      </c>
      <c r="G1272">
        <f>IFERROR(INDEX(PP_Grid[#Data],$DD1272,5),0)</f>
        <v/>
      </c>
      <c r="H1272">
        <f>IFERROR(INDEX(PP_Grid[#Data],$DD1272,6),0)</f>
        <v/>
      </c>
      <c r="I1272">
        <f>IFERROR(INDEX(PP_Grid[#Data],$DD1272,7),0)</f>
        <v/>
      </c>
      <c r="J1272">
        <f>IFERROR(INDEX(PP_Grid[#Data],$DD1272,8),0)</f>
        <v/>
      </c>
      <c r="K1272">
        <f>IFERROR(INDEX(PP_Grid[#Data],$DD1272,9),0)</f>
        <v/>
      </c>
      <c r="L1272">
        <f>IFERROR(INDEX(PP_Grid[#Data],$DD1272,10),0)</f>
        <v/>
      </c>
      <c r="M1272">
        <f>IFERROR(INDEX(PP_Grid[#Data],$DD1272,11),0)</f>
        <v/>
      </c>
      <c r="N1272">
        <f>IFERROR(INDEX(PP_Grid[#Data],$DD1272,12),0)</f>
        <v/>
      </c>
      <c r="O1272">
        <f>IFERROR(INDEX(PP_Grid[#Data],$DD1272,13),0)</f>
        <v/>
      </c>
      <c r="P1272">
        <f>IFERROR(INDEX(PP_Grid[#Data],$DD1272,14),0)</f>
        <v/>
      </c>
      <c r="Q1272">
        <f>IFERROR(INDEX(PP_Grid[#Data],$DD1272,15),0)</f>
        <v/>
      </c>
      <c r="R1272">
        <f>IFERROR(INDEX(PP_Grid[#Data],$DD1272,16),0)</f>
        <v/>
      </c>
      <c r="S1272">
        <f>IFERROR(INDEX(PP_Grid[#Data],$DD1272,17),0)</f>
        <v/>
      </c>
      <c r="T1272">
        <f>IFERROR(INDEX(PP_Grid[#Data],$DD1272,18),0)</f>
        <v/>
      </c>
      <c r="U1272">
        <f>IFERROR(INDEX(PP_Grid[#Data],$DD1272,19),0)</f>
        <v/>
      </c>
      <c r="V1272">
        <f>IFERROR(INDEX(PP_Grid[#Data],$DD1272,20),0)</f>
        <v/>
      </c>
      <c r="W1272">
        <f>IFERROR(INDEX(PP_Grid[#Data],$DD1272,21),0)</f>
        <v/>
      </c>
      <c r="X1272">
        <f>IFERROR(INDEX(PP_Grid[#Data],$DD1272,22),0)</f>
        <v/>
      </c>
      <c r="Y1272">
        <f>IFERROR(INDEX(PP_Grid[#Data],$DD1272,23),0)</f>
        <v/>
      </c>
      <c r="Z1272">
        <f>IFERROR(INDEX(PP_Grid[#Data],$DD1272,24),0)</f>
        <v/>
      </c>
      <c r="AA1272">
        <f>IFERROR(INDEX(PP_Grid[#Data],$DD1272,25),0)</f>
        <v/>
      </c>
      <c r="AB1272">
        <f>IFERROR(INDEX(PP_Grid[#Data],$DD1272,26),0)</f>
        <v/>
      </c>
      <c r="AC1272">
        <f>IFERROR(INDEX(PP_Grid[#Data],$DD1272,27),0)</f>
        <v/>
      </c>
      <c r="AD1272">
        <f>IFERROR(INDEX(PP_Grid[#Data],$DD1272,28),0)</f>
        <v/>
      </c>
      <c r="AE1272">
        <f>IFERROR(INDEX(PP_Grid[#Data],$DD1272,29),0)</f>
        <v/>
      </c>
      <c r="AF1272">
        <f>IFERROR(INDEX(PP_Grid[#Data],$DD1272,30),0)</f>
        <v/>
      </c>
      <c r="AG1272">
        <f>IFERROR(INDEX(PP_Grid[#Data],$DD1272,31),0)</f>
        <v/>
      </c>
      <c r="AH1272">
        <f>IFERROR(INDEX(PP_Grid[#Data],$DD1272,32),0)</f>
        <v/>
      </c>
      <c r="AI1272">
        <f>IFERROR(INDEX(PP_Grid[#Data],$DD1272,33),0)</f>
        <v/>
      </c>
      <c r="AJ1272">
        <f>IFERROR(INDEX(PP_Grid[#Data],$DD1272,34),0)</f>
        <v/>
      </c>
      <c r="AK1272">
        <f>IFERROR(INDEX(PP_Grid[#Data],$DD1272,35),0)</f>
        <v/>
      </c>
      <c r="AL1272">
        <f>IFERROR(INDEX(PP_Grid[#Data],$DD1272,36),0)</f>
        <v/>
      </c>
      <c r="AM1272">
        <f>IFERROR(INDEX(PP_Grid[#Data],$DD1272,37),0)</f>
        <v/>
      </c>
      <c r="AN1272">
        <f>IFERROR(INDEX(PP_Grid[#Data],$DD1272,38),0)</f>
        <v/>
      </c>
      <c r="AO1272">
        <f>IFERROR(INDEX(PP_Grid[#Data],$DD1272,39),0)</f>
        <v/>
      </c>
      <c r="AP1272">
        <f>IFERROR(INDEX(PP_Grid[#Data],$DD1272,40),0)</f>
        <v/>
      </c>
      <c r="AQ1272">
        <f>IFERROR(INDEX(PP_Grid[#Data],$DD1272,41),0)</f>
        <v/>
      </c>
      <c r="AR1272">
        <f>IFERROR(INDEX(PP_Grid[#Data],$DD1272,42),0)</f>
        <v/>
      </c>
      <c r="AS1272">
        <f>IFERROR(INDEX(PP_Grid[#Data],$DD1272,43),0)</f>
        <v/>
      </c>
      <c r="AT1272">
        <f>IFERROR(INDEX(PP_Grid[#Data],$DD1272,44),0)</f>
        <v/>
      </c>
      <c r="AU1272">
        <f>IFERROR(INDEX(PP_Grid[#Data],$DD1272,45),0)</f>
        <v/>
      </c>
      <c r="AV1272">
        <f>IFERROR(INDEX(PP_Grid[#Data],$DD1272,46),0)</f>
        <v/>
      </c>
      <c r="AW1272">
        <f>IFERROR(INDEX(PP_Grid[#Data],$DD1272,47),0)</f>
        <v/>
      </c>
      <c r="AX1272">
        <f>IFERROR(INDEX(PP_Grid[#Data],$DD1272,48),0)</f>
        <v/>
      </c>
      <c r="AY1272">
        <f>IFERROR(INDEX(PP_Grid[#Data],$DD1272,49),0)</f>
        <v/>
      </c>
      <c r="AZ1272">
        <f>IFERROR(INDEX(PP_Grid[#Data],$DD1272,50),0)</f>
        <v/>
      </c>
      <c r="BA1272">
        <f>IFERROR(INDEX(PP_Grid[#Data],$DD1272,51),0)</f>
        <v/>
      </c>
      <c r="BB1272">
        <f>IFERROR(INDEX(PP_Grid[#Data],$DD1272,52),0)</f>
        <v/>
      </c>
      <c r="BC1272">
        <f>IFERROR(INDEX(PP_Grid[#Data],$DD1272,53),0)</f>
        <v/>
      </c>
      <c r="BD1272">
        <f>IFERROR(INDEX(PP_Grid[#Data],$DD1272,54),0)</f>
        <v/>
      </c>
      <c r="BE1272">
        <f>IFERROR(INDEX(PP_Grid[#Data],$DD1272,55),0)</f>
        <v/>
      </c>
      <c r="BF1272">
        <f>IFERROR(INDEX(PP_Grid[#Data],$DD1272,56),0)</f>
        <v/>
      </c>
      <c r="BG1272">
        <f>IFERROR(INDEX(PP_Grid[#Data],$DD1272,57),0)</f>
        <v/>
      </c>
      <c r="BH1272">
        <f>IFERROR(INDEX(PP_Grid[#Data],$DD1272,58),0)</f>
        <v/>
      </c>
      <c r="BI1272">
        <f>IFERROR(INDEX(PP_Grid[#Data],$DD1272,59),0)</f>
        <v/>
      </c>
      <c r="BJ1272">
        <f>IFERROR(INDEX(PP_Grid[#Data],$DD1272,60),0)</f>
        <v/>
      </c>
      <c r="BK1272">
        <f>IFERROR(INDEX(PP_Grid[#Data],$DD1272,61),0)</f>
        <v/>
      </c>
      <c r="BL1272">
        <f>IFERROR(INDEX(PP_Grid[#Data],$DD1272,62),0)</f>
        <v/>
      </c>
      <c r="BM1272">
        <f>IFERROR(INDEX(PP_Grid[#Data],$DD1272,63),0)</f>
        <v/>
      </c>
      <c r="BN1272">
        <f>IFERROR(INDEX(PP_Grid[#Data],$DD1272,64),0)</f>
        <v/>
      </c>
      <c r="BO1272">
        <f>IFERROR(INDEX(PP_Grid[#Data],$DD1272,65),0)</f>
        <v/>
      </c>
      <c r="BP1272">
        <f>IFERROR(INDEX(PP_Grid[#Data],$DD1272,66),0)</f>
        <v/>
      </c>
      <c r="BQ1272">
        <f>IFERROR(INDEX(PP_Grid[#Data],$DD1272,67),0)</f>
        <v/>
      </c>
      <c r="BR1272">
        <f>IFERROR(INDEX(PP_Grid[#Data],$DD1272,68),0)</f>
        <v/>
      </c>
      <c r="BS1272">
        <f>IFERROR(INDEX(PP_Grid[#Data],$DD1272,69),0)</f>
        <v/>
      </c>
      <c r="BT1272">
        <f>IFERROR(INDEX(PP_Grid[#Data],$DD1272,70),0)</f>
        <v/>
      </c>
      <c r="BU1272">
        <f>IFERROR(INDEX(PP_Grid[#Data],$DD1272,71),0)</f>
        <v/>
      </c>
      <c r="BV1272">
        <f>IFERROR(INDEX(PP_Grid[#Data],$DD1272,72),0)</f>
        <v/>
      </c>
      <c r="BW1272">
        <f>IFERROR(INDEX(PP_Grid[#Data],$DD1272,73),0)</f>
        <v/>
      </c>
      <c r="BX1272">
        <f>IFERROR(INDEX(PP_Grid[#Data],$DD1272,74),0)</f>
        <v/>
      </c>
      <c r="BY1272">
        <f>IFERROR(INDEX(PP_Grid[#Data],$DD1272,75),0)</f>
        <v/>
      </c>
      <c r="BZ1272">
        <f>IFERROR(INDEX(PP_Grid[#Data],$DD1272,76),0)</f>
        <v/>
      </c>
      <c r="CA1272">
        <f>IFERROR(INDEX(PP_Grid[#Data],$DD1272,77),0)</f>
        <v/>
      </c>
      <c r="CB1272">
        <f>IFERROR(INDEX(PP_Grid[#Data],$DD1272,78),0)</f>
        <v/>
      </c>
      <c r="CC1272">
        <f>IFERROR(INDEX(PP_Grid[#Data],$DD1272,79),0)</f>
        <v/>
      </c>
      <c r="CD1272">
        <f>IFERROR(INDEX(PP_Grid[#Data],$DD1272,80),0)</f>
        <v/>
      </c>
      <c r="CE1272">
        <f>IFERROR(INDEX(PP_Grid[#Data],$DD1272,81),0)</f>
        <v/>
      </c>
      <c r="CF1272">
        <f>IFERROR(INDEX(PP_Grid[#Data],$DD1272,82),0)</f>
        <v/>
      </c>
      <c r="CG1272">
        <f>IFERROR(INDEX(PP_Grid[#Data],$DD1272,83),0)</f>
        <v/>
      </c>
      <c r="CH1272">
        <f>IFERROR(INDEX(PP_Grid[#Data],$DD1272,84),0)</f>
        <v/>
      </c>
      <c r="CI1272">
        <f>IFERROR(INDEX(PP_Grid[#Data],$DD1272,85),0)</f>
        <v/>
      </c>
      <c r="CJ1272">
        <f>IFERROR(INDEX(PP_Grid[#Data],$DD1272,86),0)</f>
        <v/>
      </c>
      <c r="CK1272">
        <f>IFERROR(INDEX(PP_Grid[#Data],$DD1272,87),0)</f>
        <v/>
      </c>
      <c r="CL1272">
        <f>IFERROR(INDEX(PP_Grid[#Data],$DD1272,88),0)</f>
        <v/>
      </c>
      <c r="CM1272">
        <f>IFERROR(INDEX(PP_Grid[#Data],$DD1272,89),0)</f>
        <v/>
      </c>
      <c r="CN1272">
        <f>IFERROR(INDEX(PP_Grid[#Data],$DD1272,90),0)</f>
        <v/>
      </c>
      <c r="CO1272">
        <f>IFERROR(INDEX(PP_Grid[#Data],$DD1272,91),0)</f>
        <v/>
      </c>
      <c r="CP1272">
        <f>IFERROR(INDEX(PP_Grid[#Data],$DD1272,92),0)</f>
        <v/>
      </c>
      <c r="CQ1272">
        <f>IFERROR(INDEX(PP_Grid[#Data],$DD1272,93),0)</f>
        <v/>
      </c>
      <c r="CR1272">
        <f>IFERROR(INDEX(PP_Grid[#Data],$DD1272,94),0)</f>
        <v/>
      </c>
      <c r="CS1272">
        <f>IFERROR(INDEX(PP_Grid[#Data],$DD1272,95),0)</f>
        <v/>
      </c>
      <c r="CT1272">
        <f>IFERROR(INDEX(PP_Grid[#Data],$DD1272,96),0)</f>
        <v/>
      </c>
      <c r="CU1272">
        <f>IFERROR(INDEX(PP_Grid[#Data],$DD1272,97),0)</f>
        <v/>
      </c>
      <c r="CV1272">
        <f>IFERROR(INDEX(PP_Grid[#Data],$DD1272,98),0)</f>
        <v/>
      </c>
      <c r="CW1272">
        <f>IFERROR(INDEX(PP_Grid[#Data],$DD1272,99),0)</f>
        <v/>
      </c>
      <c r="CX1272">
        <f>IFERROR(INDEX(PP_Grid[#Data],$DD1272,100),0)</f>
        <v/>
      </c>
      <c r="CY1272">
        <f>IFERROR(INDEX(PP_Grid[#Data],$DD1272,101),0)</f>
        <v/>
      </c>
      <c r="CZ1272">
        <f>IFERROR(INDEX(PP_Grid[#Data],$DD1272,102),0)</f>
        <v/>
      </c>
      <c r="DA1272">
        <f>IFERROR(INDEX(PP_Grid[#Data],$DD1272,103),0)</f>
        <v/>
      </c>
      <c r="DB1272">
        <f>IFERROR(INDEX(PP_Grid[#Data],$DD1272,104),0)</f>
        <v/>
      </c>
      <c r="DC1272">
        <f>IFERROR(INDEX(PP_Grid[#Data],$DD1272,105),0)</f>
        <v/>
      </c>
      <c r="DD1272" s="12">
        <f>IFERROR(MATCH($B1272,PP_Grid[Intermediate],0),99999)</f>
        <v/>
      </c>
    </row>
    <row r="1273">
      <c r="B1273" t="inlineStr">
        <is>
          <t>使用量(kg)</t>
        </is>
      </c>
      <c r="C1273">
        <f>SUMIFS(M_BOM[RM_Qty_Per_Batch],M_BOM[Intermediate],$B1272,M_BOM[Part Name],$A1251)</f>
        <v/>
      </c>
      <c r="D1273">
        <f>$C1273*D1272</f>
        <v/>
      </c>
      <c r="E1273">
        <f>$C1273*E1272</f>
        <v/>
      </c>
      <c r="F1273">
        <f>$C1273*F1272</f>
        <v/>
      </c>
      <c r="G1273">
        <f>$C1273*G1272</f>
        <v/>
      </c>
      <c r="H1273">
        <f>$C1273*H1272</f>
        <v/>
      </c>
      <c r="I1273">
        <f>$C1273*I1272</f>
        <v/>
      </c>
      <c r="J1273">
        <f>$C1273*J1272</f>
        <v/>
      </c>
      <c r="K1273">
        <f>$C1273*K1272</f>
        <v/>
      </c>
      <c r="L1273">
        <f>$C1273*L1272</f>
        <v/>
      </c>
      <c r="M1273">
        <f>$C1273*M1272</f>
        <v/>
      </c>
      <c r="N1273">
        <f>$C1273*N1272</f>
        <v/>
      </c>
      <c r="O1273">
        <f>$C1273*O1272</f>
        <v/>
      </c>
      <c r="P1273">
        <f>$C1273*P1272</f>
        <v/>
      </c>
      <c r="Q1273">
        <f>$C1273*Q1272</f>
        <v/>
      </c>
      <c r="R1273">
        <f>$C1273*R1272</f>
        <v/>
      </c>
      <c r="S1273">
        <f>$C1273*S1272</f>
        <v/>
      </c>
      <c r="T1273">
        <f>$C1273*T1272</f>
        <v/>
      </c>
      <c r="U1273">
        <f>$C1273*U1272</f>
        <v/>
      </c>
      <c r="V1273">
        <f>$C1273*V1272</f>
        <v/>
      </c>
      <c r="W1273">
        <f>$C1273*W1272</f>
        <v/>
      </c>
      <c r="X1273">
        <f>$C1273*X1272</f>
        <v/>
      </c>
      <c r="Y1273">
        <f>$C1273*Y1272</f>
        <v/>
      </c>
      <c r="Z1273">
        <f>$C1273*Z1272</f>
        <v/>
      </c>
      <c r="AA1273">
        <f>$C1273*AA1272</f>
        <v/>
      </c>
      <c r="AB1273">
        <f>$C1273*AB1272</f>
        <v/>
      </c>
      <c r="AC1273">
        <f>$C1273*AC1272</f>
        <v/>
      </c>
      <c r="AD1273">
        <f>$C1273*AD1272</f>
        <v/>
      </c>
      <c r="AE1273">
        <f>$C1273*AE1272</f>
        <v/>
      </c>
      <c r="AF1273">
        <f>$C1273*AF1272</f>
        <v/>
      </c>
      <c r="AG1273">
        <f>$C1273*AG1272</f>
        <v/>
      </c>
      <c r="AH1273">
        <f>$C1273*AH1272</f>
        <v/>
      </c>
      <c r="AI1273">
        <f>$C1273*AI1272</f>
        <v/>
      </c>
      <c r="AJ1273">
        <f>$C1273*AJ1272</f>
        <v/>
      </c>
      <c r="AK1273">
        <f>$C1273*AK1272</f>
        <v/>
      </c>
      <c r="AL1273">
        <f>$C1273*AL1272</f>
        <v/>
      </c>
      <c r="AM1273">
        <f>$C1273*AM1272</f>
        <v/>
      </c>
      <c r="AN1273">
        <f>$C1273*AN1272</f>
        <v/>
      </c>
      <c r="AO1273">
        <f>$C1273*AO1272</f>
        <v/>
      </c>
      <c r="AP1273">
        <f>$C1273*AP1272</f>
        <v/>
      </c>
      <c r="AQ1273">
        <f>$C1273*AQ1272</f>
        <v/>
      </c>
      <c r="AR1273">
        <f>$C1273*AR1272</f>
        <v/>
      </c>
      <c r="AS1273">
        <f>$C1273*AS1272</f>
        <v/>
      </c>
      <c r="AT1273">
        <f>$C1273*AT1272</f>
        <v/>
      </c>
      <c r="AU1273">
        <f>$C1273*AU1272</f>
        <v/>
      </c>
      <c r="AV1273">
        <f>$C1273*AV1272</f>
        <v/>
      </c>
      <c r="AW1273">
        <f>$C1273*AW1272</f>
        <v/>
      </c>
      <c r="AX1273">
        <f>$C1273*AX1272</f>
        <v/>
      </c>
      <c r="AY1273">
        <f>$C1273*AY1272</f>
        <v/>
      </c>
      <c r="AZ1273">
        <f>$C1273*AZ1272</f>
        <v/>
      </c>
      <c r="BA1273">
        <f>$C1273*BA1272</f>
        <v/>
      </c>
      <c r="BB1273">
        <f>$C1273*BB1272</f>
        <v/>
      </c>
      <c r="BC1273">
        <f>$C1273*BC1272</f>
        <v/>
      </c>
      <c r="BD1273">
        <f>$C1273*BD1272</f>
        <v/>
      </c>
      <c r="BE1273">
        <f>$C1273*BE1272</f>
        <v/>
      </c>
      <c r="BF1273">
        <f>$C1273*BF1272</f>
        <v/>
      </c>
      <c r="BG1273">
        <f>$C1273*BG1272</f>
        <v/>
      </c>
      <c r="BH1273">
        <f>$C1273*BH1272</f>
        <v/>
      </c>
      <c r="BI1273">
        <f>$C1273*BI1272</f>
        <v/>
      </c>
      <c r="BJ1273">
        <f>$C1273*BJ1272</f>
        <v/>
      </c>
      <c r="BK1273">
        <f>$C1273*BK1272</f>
        <v/>
      </c>
      <c r="BL1273">
        <f>$C1273*BL1272</f>
        <v/>
      </c>
      <c r="BM1273">
        <f>$C1273*BM1272</f>
        <v/>
      </c>
      <c r="BN1273">
        <f>$C1273*BN1272</f>
        <v/>
      </c>
      <c r="BO1273">
        <f>$C1273*BO1272</f>
        <v/>
      </c>
      <c r="BP1273">
        <f>$C1273*BP1272</f>
        <v/>
      </c>
      <c r="BQ1273">
        <f>$C1273*BQ1272</f>
        <v/>
      </c>
      <c r="BR1273">
        <f>$C1273*BR1272</f>
        <v/>
      </c>
      <c r="BS1273">
        <f>$C1273*BS1272</f>
        <v/>
      </c>
      <c r="BT1273">
        <f>$C1273*BT1272</f>
        <v/>
      </c>
      <c r="BU1273">
        <f>$C1273*BU1272</f>
        <v/>
      </c>
      <c r="BV1273">
        <f>$C1273*BV1272</f>
        <v/>
      </c>
      <c r="BW1273">
        <f>$C1273*BW1272</f>
        <v/>
      </c>
      <c r="BX1273">
        <f>$C1273*BX1272</f>
        <v/>
      </c>
      <c r="BY1273">
        <f>$C1273*BY1272</f>
        <v/>
      </c>
      <c r="BZ1273">
        <f>$C1273*BZ1272</f>
        <v/>
      </c>
      <c r="CA1273">
        <f>$C1273*CA1272</f>
        <v/>
      </c>
      <c r="CB1273">
        <f>$C1273*CB1272</f>
        <v/>
      </c>
      <c r="CC1273">
        <f>$C1273*CC1272</f>
        <v/>
      </c>
      <c r="CD1273">
        <f>$C1273*CD1272</f>
        <v/>
      </c>
      <c r="CE1273">
        <f>$C1273*CE1272</f>
        <v/>
      </c>
      <c r="CF1273">
        <f>$C1273*CF1272</f>
        <v/>
      </c>
      <c r="CG1273">
        <f>$C1273*CG1272</f>
        <v/>
      </c>
      <c r="CH1273">
        <f>$C1273*CH1272</f>
        <v/>
      </c>
      <c r="CI1273">
        <f>$C1273*CI1272</f>
        <v/>
      </c>
      <c r="CJ1273">
        <f>$C1273*CJ1272</f>
        <v/>
      </c>
      <c r="CK1273">
        <f>$C1273*CK1272</f>
        <v/>
      </c>
      <c r="CL1273">
        <f>$C1273*CL1272</f>
        <v/>
      </c>
      <c r="CM1273">
        <f>$C1273*CM1272</f>
        <v/>
      </c>
      <c r="CN1273">
        <f>$C1273*CN1272</f>
        <v/>
      </c>
      <c r="CO1273">
        <f>$C1273*CO1272</f>
        <v/>
      </c>
      <c r="CP1273">
        <f>$C1273*CP1272</f>
        <v/>
      </c>
      <c r="CQ1273">
        <f>$C1273*CQ1272</f>
        <v/>
      </c>
      <c r="CR1273">
        <f>$C1273*CR1272</f>
        <v/>
      </c>
      <c r="CS1273">
        <f>$C1273*CS1272</f>
        <v/>
      </c>
      <c r="CT1273">
        <f>$C1273*CT1272</f>
        <v/>
      </c>
      <c r="CU1273">
        <f>$C1273*CU1272</f>
        <v/>
      </c>
      <c r="CV1273">
        <f>$C1273*CV1272</f>
        <v/>
      </c>
      <c r="CW1273">
        <f>$C1273*CW1272</f>
        <v/>
      </c>
      <c r="CX1273">
        <f>$C1273*CX1272</f>
        <v/>
      </c>
      <c r="CY1273">
        <f>$C1273*CY1272</f>
        <v/>
      </c>
      <c r="CZ1273">
        <f>$C1273*CZ1272</f>
        <v/>
      </c>
      <c r="DA1273">
        <f>$C1273*DA1272</f>
        <v/>
      </c>
      <c r="DB1273">
        <f>$C1273*DB1272</f>
        <v/>
      </c>
      <c r="DC1273">
        <f>$C1273*DC1272</f>
        <v/>
      </c>
    </row>
    <row r="1274">
      <c r="B1274" t="inlineStr">
        <is>
          <t>TSP-934</t>
        </is>
      </c>
      <c r="C1274" t="inlineStr">
        <is>
          <t>No. of batches</t>
        </is>
      </c>
      <c r="D1274">
        <f>IFERROR(INDEX(PP_Grid[#Data],$DD1274,2),0)</f>
        <v/>
      </c>
      <c r="E1274">
        <f>IFERROR(INDEX(PP_Grid[#Data],$DD1274,3),0)</f>
        <v/>
      </c>
      <c r="F1274">
        <f>IFERROR(INDEX(PP_Grid[#Data],$DD1274,4),0)</f>
        <v/>
      </c>
      <c r="G1274">
        <f>IFERROR(INDEX(PP_Grid[#Data],$DD1274,5),0)</f>
        <v/>
      </c>
      <c r="H1274">
        <f>IFERROR(INDEX(PP_Grid[#Data],$DD1274,6),0)</f>
        <v/>
      </c>
      <c r="I1274">
        <f>IFERROR(INDEX(PP_Grid[#Data],$DD1274,7),0)</f>
        <v/>
      </c>
      <c r="J1274">
        <f>IFERROR(INDEX(PP_Grid[#Data],$DD1274,8),0)</f>
        <v/>
      </c>
      <c r="K1274">
        <f>IFERROR(INDEX(PP_Grid[#Data],$DD1274,9),0)</f>
        <v/>
      </c>
      <c r="L1274">
        <f>IFERROR(INDEX(PP_Grid[#Data],$DD1274,10),0)</f>
        <v/>
      </c>
      <c r="M1274">
        <f>IFERROR(INDEX(PP_Grid[#Data],$DD1274,11),0)</f>
        <v/>
      </c>
      <c r="N1274">
        <f>IFERROR(INDEX(PP_Grid[#Data],$DD1274,12),0)</f>
        <v/>
      </c>
      <c r="O1274">
        <f>IFERROR(INDEX(PP_Grid[#Data],$DD1274,13),0)</f>
        <v/>
      </c>
      <c r="P1274">
        <f>IFERROR(INDEX(PP_Grid[#Data],$DD1274,14),0)</f>
        <v/>
      </c>
      <c r="Q1274">
        <f>IFERROR(INDEX(PP_Grid[#Data],$DD1274,15),0)</f>
        <v/>
      </c>
      <c r="R1274">
        <f>IFERROR(INDEX(PP_Grid[#Data],$DD1274,16),0)</f>
        <v/>
      </c>
      <c r="S1274">
        <f>IFERROR(INDEX(PP_Grid[#Data],$DD1274,17),0)</f>
        <v/>
      </c>
      <c r="T1274">
        <f>IFERROR(INDEX(PP_Grid[#Data],$DD1274,18),0)</f>
        <v/>
      </c>
      <c r="U1274">
        <f>IFERROR(INDEX(PP_Grid[#Data],$DD1274,19),0)</f>
        <v/>
      </c>
      <c r="V1274">
        <f>IFERROR(INDEX(PP_Grid[#Data],$DD1274,20),0)</f>
        <v/>
      </c>
      <c r="W1274">
        <f>IFERROR(INDEX(PP_Grid[#Data],$DD1274,21),0)</f>
        <v/>
      </c>
      <c r="X1274">
        <f>IFERROR(INDEX(PP_Grid[#Data],$DD1274,22),0)</f>
        <v/>
      </c>
      <c r="Y1274">
        <f>IFERROR(INDEX(PP_Grid[#Data],$DD1274,23),0)</f>
        <v/>
      </c>
      <c r="Z1274">
        <f>IFERROR(INDEX(PP_Grid[#Data],$DD1274,24),0)</f>
        <v/>
      </c>
      <c r="AA1274">
        <f>IFERROR(INDEX(PP_Grid[#Data],$DD1274,25),0)</f>
        <v/>
      </c>
      <c r="AB1274">
        <f>IFERROR(INDEX(PP_Grid[#Data],$DD1274,26),0)</f>
        <v/>
      </c>
      <c r="AC1274">
        <f>IFERROR(INDEX(PP_Grid[#Data],$DD1274,27),0)</f>
        <v/>
      </c>
      <c r="AD1274">
        <f>IFERROR(INDEX(PP_Grid[#Data],$DD1274,28),0)</f>
        <v/>
      </c>
      <c r="AE1274">
        <f>IFERROR(INDEX(PP_Grid[#Data],$DD1274,29),0)</f>
        <v/>
      </c>
      <c r="AF1274">
        <f>IFERROR(INDEX(PP_Grid[#Data],$DD1274,30),0)</f>
        <v/>
      </c>
      <c r="AG1274">
        <f>IFERROR(INDEX(PP_Grid[#Data],$DD1274,31),0)</f>
        <v/>
      </c>
      <c r="AH1274">
        <f>IFERROR(INDEX(PP_Grid[#Data],$DD1274,32),0)</f>
        <v/>
      </c>
      <c r="AI1274">
        <f>IFERROR(INDEX(PP_Grid[#Data],$DD1274,33),0)</f>
        <v/>
      </c>
      <c r="AJ1274">
        <f>IFERROR(INDEX(PP_Grid[#Data],$DD1274,34),0)</f>
        <v/>
      </c>
      <c r="AK1274">
        <f>IFERROR(INDEX(PP_Grid[#Data],$DD1274,35),0)</f>
        <v/>
      </c>
      <c r="AL1274">
        <f>IFERROR(INDEX(PP_Grid[#Data],$DD1274,36),0)</f>
        <v/>
      </c>
      <c r="AM1274">
        <f>IFERROR(INDEX(PP_Grid[#Data],$DD1274,37),0)</f>
        <v/>
      </c>
      <c r="AN1274">
        <f>IFERROR(INDEX(PP_Grid[#Data],$DD1274,38),0)</f>
        <v/>
      </c>
      <c r="AO1274">
        <f>IFERROR(INDEX(PP_Grid[#Data],$DD1274,39),0)</f>
        <v/>
      </c>
      <c r="AP1274">
        <f>IFERROR(INDEX(PP_Grid[#Data],$DD1274,40),0)</f>
        <v/>
      </c>
      <c r="AQ1274">
        <f>IFERROR(INDEX(PP_Grid[#Data],$DD1274,41),0)</f>
        <v/>
      </c>
      <c r="AR1274">
        <f>IFERROR(INDEX(PP_Grid[#Data],$DD1274,42),0)</f>
        <v/>
      </c>
      <c r="AS1274">
        <f>IFERROR(INDEX(PP_Grid[#Data],$DD1274,43),0)</f>
        <v/>
      </c>
      <c r="AT1274">
        <f>IFERROR(INDEX(PP_Grid[#Data],$DD1274,44),0)</f>
        <v/>
      </c>
      <c r="AU1274">
        <f>IFERROR(INDEX(PP_Grid[#Data],$DD1274,45),0)</f>
        <v/>
      </c>
      <c r="AV1274">
        <f>IFERROR(INDEX(PP_Grid[#Data],$DD1274,46),0)</f>
        <v/>
      </c>
      <c r="AW1274">
        <f>IFERROR(INDEX(PP_Grid[#Data],$DD1274,47),0)</f>
        <v/>
      </c>
      <c r="AX1274">
        <f>IFERROR(INDEX(PP_Grid[#Data],$DD1274,48),0)</f>
        <v/>
      </c>
      <c r="AY1274">
        <f>IFERROR(INDEX(PP_Grid[#Data],$DD1274,49),0)</f>
        <v/>
      </c>
      <c r="AZ1274">
        <f>IFERROR(INDEX(PP_Grid[#Data],$DD1274,50),0)</f>
        <v/>
      </c>
      <c r="BA1274">
        <f>IFERROR(INDEX(PP_Grid[#Data],$DD1274,51),0)</f>
        <v/>
      </c>
      <c r="BB1274">
        <f>IFERROR(INDEX(PP_Grid[#Data],$DD1274,52),0)</f>
        <v/>
      </c>
      <c r="BC1274">
        <f>IFERROR(INDEX(PP_Grid[#Data],$DD1274,53),0)</f>
        <v/>
      </c>
      <c r="BD1274">
        <f>IFERROR(INDEX(PP_Grid[#Data],$DD1274,54),0)</f>
        <v/>
      </c>
      <c r="BE1274">
        <f>IFERROR(INDEX(PP_Grid[#Data],$DD1274,55),0)</f>
        <v/>
      </c>
      <c r="BF1274">
        <f>IFERROR(INDEX(PP_Grid[#Data],$DD1274,56),0)</f>
        <v/>
      </c>
      <c r="BG1274">
        <f>IFERROR(INDEX(PP_Grid[#Data],$DD1274,57),0)</f>
        <v/>
      </c>
      <c r="BH1274">
        <f>IFERROR(INDEX(PP_Grid[#Data],$DD1274,58),0)</f>
        <v/>
      </c>
      <c r="BI1274">
        <f>IFERROR(INDEX(PP_Grid[#Data],$DD1274,59),0)</f>
        <v/>
      </c>
      <c r="BJ1274">
        <f>IFERROR(INDEX(PP_Grid[#Data],$DD1274,60),0)</f>
        <v/>
      </c>
      <c r="BK1274">
        <f>IFERROR(INDEX(PP_Grid[#Data],$DD1274,61),0)</f>
        <v/>
      </c>
      <c r="BL1274">
        <f>IFERROR(INDEX(PP_Grid[#Data],$DD1274,62),0)</f>
        <v/>
      </c>
      <c r="BM1274">
        <f>IFERROR(INDEX(PP_Grid[#Data],$DD1274,63),0)</f>
        <v/>
      </c>
      <c r="BN1274">
        <f>IFERROR(INDEX(PP_Grid[#Data],$DD1274,64),0)</f>
        <v/>
      </c>
      <c r="BO1274">
        <f>IFERROR(INDEX(PP_Grid[#Data],$DD1274,65),0)</f>
        <v/>
      </c>
      <c r="BP1274">
        <f>IFERROR(INDEX(PP_Grid[#Data],$DD1274,66),0)</f>
        <v/>
      </c>
      <c r="BQ1274">
        <f>IFERROR(INDEX(PP_Grid[#Data],$DD1274,67),0)</f>
        <v/>
      </c>
      <c r="BR1274">
        <f>IFERROR(INDEX(PP_Grid[#Data],$DD1274,68),0)</f>
        <v/>
      </c>
      <c r="BS1274">
        <f>IFERROR(INDEX(PP_Grid[#Data],$DD1274,69),0)</f>
        <v/>
      </c>
      <c r="BT1274">
        <f>IFERROR(INDEX(PP_Grid[#Data],$DD1274,70),0)</f>
        <v/>
      </c>
      <c r="BU1274">
        <f>IFERROR(INDEX(PP_Grid[#Data],$DD1274,71),0)</f>
        <v/>
      </c>
      <c r="BV1274">
        <f>IFERROR(INDEX(PP_Grid[#Data],$DD1274,72),0)</f>
        <v/>
      </c>
      <c r="BW1274">
        <f>IFERROR(INDEX(PP_Grid[#Data],$DD1274,73),0)</f>
        <v/>
      </c>
      <c r="BX1274">
        <f>IFERROR(INDEX(PP_Grid[#Data],$DD1274,74),0)</f>
        <v/>
      </c>
      <c r="BY1274">
        <f>IFERROR(INDEX(PP_Grid[#Data],$DD1274,75),0)</f>
        <v/>
      </c>
      <c r="BZ1274">
        <f>IFERROR(INDEX(PP_Grid[#Data],$DD1274,76),0)</f>
        <v/>
      </c>
      <c r="CA1274">
        <f>IFERROR(INDEX(PP_Grid[#Data],$DD1274,77),0)</f>
        <v/>
      </c>
      <c r="CB1274">
        <f>IFERROR(INDEX(PP_Grid[#Data],$DD1274,78),0)</f>
        <v/>
      </c>
      <c r="CC1274">
        <f>IFERROR(INDEX(PP_Grid[#Data],$DD1274,79),0)</f>
        <v/>
      </c>
      <c r="CD1274">
        <f>IFERROR(INDEX(PP_Grid[#Data],$DD1274,80),0)</f>
        <v/>
      </c>
      <c r="CE1274">
        <f>IFERROR(INDEX(PP_Grid[#Data],$DD1274,81),0)</f>
        <v/>
      </c>
      <c r="CF1274">
        <f>IFERROR(INDEX(PP_Grid[#Data],$DD1274,82),0)</f>
        <v/>
      </c>
      <c r="CG1274">
        <f>IFERROR(INDEX(PP_Grid[#Data],$DD1274,83),0)</f>
        <v/>
      </c>
      <c r="CH1274">
        <f>IFERROR(INDEX(PP_Grid[#Data],$DD1274,84),0)</f>
        <v/>
      </c>
      <c r="CI1274">
        <f>IFERROR(INDEX(PP_Grid[#Data],$DD1274,85),0)</f>
        <v/>
      </c>
      <c r="CJ1274">
        <f>IFERROR(INDEX(PP_Grid[#Data],$DD1274,86),0)</f>
        <v/>
      </c>
      <c r="CK1274">
        <f>IFERROR(INDEX(PP_Grid[#Data],$DD1274,87),0)</f>
        <v/>
      </c>
      <c r="CL1274">
        <f>IFERROR(INDEX(PP_Grid[#Data],$DD1274,88),0)</f>
        <v/>
      </c>
      <c r="CM1274">
        <f>IFERROR(INDEX(PP_Grid[#Data],$DD1274,89),0)</f>
        <v/>
      </c>
      <c r="CN1274">
        <f>IFERROR(INDEX(PP_Grid[#Data],$DD1274,90),0)</f>
        <v/>
      </c>
      <c r="CO1274">
        <f>IFERROR(INDEX(PP_Grid[#Data],$DD1274,91),0)</f>
        <v/>
      </c>
      <c r="CP1274">
        <f>IFERROR(INDEX(PP_Grid[#Data],$DD1274,92),0)</f>
        <v/>
      </c>
      <c r="CQ1274">
        <f>IFERROR(INDEX(PP_Grid[#Data],$DD1274,93),0)</f>
        <v/>
      </c>
      <c r="CR1274">
        <f>IFERROR(INDEX(PP_Grid[#Data],$DD1274,94),0)</f>
        <v/>
      </c>
      <c r="CS1274">
        <f>IFERROR(INDEX(PP_Grid[#Data],$DD1274,95),0)</f>
        <v/>
      </c>
      <c r="CT1274">
        <f>IFERROR(INDEX(PP_Grid[#Data],$DD1274,96),0)</f>
        <v/>
      </c>
      <c r="CU1274">
        <f>IFERROR(INDEX(PP_Grid[#Data],$DD1274,97),0)</f>
        <v/>
      </c>
      <c r="CV1274">
        <f>IFERROR(INDEX(PP_Grid[#Data],$DD1274,98),0)</f>
        <v/>
      </c>
      <c r="CW1274">
        <f>IFERROR(INDEX(PP_Grid[#Data],$DD1274,99),0)</f>
        <v/>
      </c>
      <c r="CX1274">
        <f>IFERROR(INDEX(PP_Grid[#Data],$DD1274,100),0)</f>
        <v/>
      </c>
      <c r="CY1274">
        <f>IFERROR(INDEX(PP_Grid[#Data],$DD1274,101),0)</f>
        <v/>
      </c>
      <c r="CZ1274">
        <f>IFERROR(INDEX(PP_Grid[#Data],$DD1274,102),0)</f>
        <v/>
      </c>
      <c r="DA1274">
        <f>IFERROR(INDEX(PP_Grid[#Data],$DD1274,103),0)</f>
        <v/>
      </c>
      <c r="DB1274">
        <f>IFERROR(INDEX(PP_Grid[#Data],$DD1274,104),0)</f>
        <v/>
      </c>
      <c r="DC1274">
        <f>IFERROR(INDEX(PP_Grid[#Data],$DD1274,105),0)</f>
        <v/>
      </c>
      <c r="DD1274" s="12">
        <f>IFERROR(MATCH($B1274,PP_Grid[Intermediate],0),99999)</f>
        <v/>
      </c>
    </row>
    <row r="1275">
      <c r="B1275" t="inlineStr">
        <is>
          <t>使用量(kg)</t>
        </is>
      </c>
      <c r="C1275">
        <f>SUMIFS(M_BOM[RM_Qty_Per_Batch],M_BOM[Intermediate],$B1274,M_BOM[Part Name],$A1251)</f>
        <v/>
      </c>
      <c r="D1275">
        <f>$C1275*D1274</f>
        <v/>
      </c>
      <c r="E1275">
        <f>$C1275*E1274</f>
        <v/>
      </c>
      <c r="F1275">
        <f>$C1275*F1274</f>
        <v/>
      </c>
      <c r="G1275">
        <f>$C1275*G1274</f>
        <v/>
      </c>
      <c r="H1275">
        <f>$C1275*H1274</f>
        <v/>
      </c>
      <c r="I1275">
        <f>$C1275*I1274</f>
        <v/>
      </c>
      <c r="J1275">
        <f>$C1275*J1274</f>
        <v/>
      </c>
      <c r="K1275">
        <f>$C1275*K1274</f>
        <v/>
      </c>
      <c r="L1275">
        <f>$C1275*L1274</f>
        <v/>
      </c>
      <c r="M1275">
        <f>$C1275*M1274</f>
        <v/>
      </c>
      <c r="N1275">
        <f>$C1275*N1274</f>
        <v/>
      </c>
      <c r="O1275">
        <f>$C1275*O1274</f>
        <v/>
      </c>
      <c r="P1275">
        <f>$C1275*P1274</f>
        <v/>
      </c>
      <c r="Q1275">
        <f>$C1275*Q1274</f>
        <v/>
      </c>
      <c r="R1275">
        <f>$C1275*R1274</f>
        <v/>
      </c>
      <c r="S1275">
        <f>$C1275*S1274</f>
        <v/>
      </c>
      <c r="T1275">
        <f>$C1275*T1274</f>
        <v/>
      </c>
      <c r="U1275">
        <f>$C1275*U1274</f>
        <v/>
      </c>
      <c r="V1275">
        <f>$C1275*V1274</f>
        <v/>
      </c>
      <c r="W1275">
        <f>$C1275*W1274</f>
        <v/>
      </c>
      <c r="X1275">
        <f>$C1275*X1274</f>
        <v/>
      </c>
      <c r="Y1275">
        <f>$C1275*Y1274</f>
        <v/>
      </c>
      <c r="Z1275">
        <f>$C1275*Z1274</f>
        <v/>
      </c>
      <c r="AA1275">
        <f>$C1275*AA1274</f>
        <v/>
      </c>
      <c r="AB1275">
        <f>$C1275*AB1274</f>
        <v/>
      </c>
      <c r="AC1275">
        <f>$C1275*AC1274</f>
        <v/>
      </c>
      <c r="AD1275">
        <f>$C1275*AD1274</f>
        <v/>
      </c>
      <c r="AE1275">
        <f>$C1275*AE1274</f>
        <v/>
      </c>
      <c r="AF1275">
        <f>$C1275*AF1274</f>
        <v/>
      </c>
      <c r="AG1275">
        <f>$C1275*AG1274</f>
        <v/>
      </c>
      <c r="AH1275">
        <f>$C1275*AH1274</f>
        <v/>
      </c>
      <c r="AI1275">
        <f>$C1275*AI1274</f>
        <v/>
      </c>
      <c r="AJ1275">
        <f>$C1275*AJ1274</f>
        <v/>
      </c>
      <c r="AK1275">
        <f>$C1275*AK1274</f>
        <v/>
      </c>
      <c r="AL1275">
        <f>$C1275*AL1274</f>
        <v/>
      </c>
      <c r="AM1275">
        <f>$C1275*AM1274</f>
        <v/>
      </c>
      <c r="AN1275">
        <f>$C1275*AN1274</f>
        <v/>
      </c>
      <c r="AO1275">
        <f>$C1275*AO1274</f>
        <v/>
      </c>
      <c r="AP1275">
        <f>$C1275*AP1274</f>
        <v/>
      </c>
      <c r="AQ1275">
        <f>$C1275*AQ1274</f>
        <v/>
      </c>
      <c r="AR1275">
        <f>$C1275*AR1274</f>
        <v/>
      </c>
      <c r="AS1275">
        <f>$C1275*AS1274</f>
        <v/>
      </c>
      <c r="AT1275">
        <f>$C1275*AT1274</f>
        <v/>
      </c>
      <c r="AU1275">
        <f>$C1275*AU1274</f>
        <v/>
      </c>
      <c r="AV1275">
        <f>$C1275*AV1274</f>
        <v/>
      </c>
      <c r="AW1275">
        <f>$C1275*AW1274</f>
        <v/>
      </c>
      <c r="AX1275">
        <f>$C1275*AX1274</f>
        <v/>
      </c>
      <c r="AY1275">
        <f>$C1275*AY1274</f>
        <v/>
      </c>
      <c r="AZ1275">
        <f>$C1275*AZ1274</f>
        <v/>
      </c>
      <c r="BA1275">
        <f>$C1275*BA1274</f>
        <v/>
      </c>
      <c r="BB1275">
        <f>$C1275*BB1274</f>
        <v/>
      </c>
      <c r="BC1275">
        <f>$C1275*BC1274</f>
        <v/>
      </c>
      <c r="BD1275">
        <f>$C1275*BD1274</f>
        <v/>
      </c>
      <c r="BE1275">
        <f>$C1275*BE1274</f>
        <v/>
      </c>
      <c r="BF1275">
        <f>$C1275*BF1274</f>
        <v/>
      </c>
      <c r="BG1275">
        <f>$C1275*BG1274</f>
        <v/>
      </c>
      <c r="BH1275">
        <f>$C1275*BH1274</f>
        <v/>
      </c>
      <c r="BI1275">
        <f>$C1275*BI1274</f>
        <v/>
      </c>
      <c r="BJ1275">
        <f>$C1275*BJ1274</f>
        <v/>
      </c>
      <c r="BK1275">
        <f>$C1275*BK1274</f>
        <v/>
      </c>
      <c r="BL1275">
        <f>$C1275*BL1274</f>
        <v/>
      </c>
      <c r="BM1275">
        <f>$C1275*BM1274</f>
        <v/>
      </c>
      <c r="BN1275">
        <f>$C1275*BN1274</f>
        <v/>
      </c>
      <c r="BO1275">
        <f>$C1275*BO1274</f>
        <v/>
      </c>
      <c r="BP1275">
        <f>$C1275*BP1274</f>
        <v/>
      </c>
      <c r="BQ1275">
        <f>$C1275*BQ1274</f>
        <v/>
      </c>
      <c r="BR1275">
        <f>$C1275*BR1274</f>
        <v/>
      </c>
      <c r="BS1275">
        <f>$C1275*BS1274</f>
        <v/>
      </c>
      <c r="BT1275">
        <f>$C1275*BT1274</f>
        <v/>
      </c>
      <c r="BU1275">
        <f>$C1275*BU1274</f>
        <v/>
      </c>
      <c r="BV1275">
        <f>$C1275*BV1274</f>
        <v/>
      </c>
      <c r="BW1275">
        <f>$C1275*BW1274</f>
        <v/>
      </c>
      <c r="BX1275">
        <f>$C1275*BX1274</f>
        <v/>
      </c>
      <c r="BY1275">
        <f>$C1275*BY1274</f>
        <v/>
      </c>
      <c r="BZ1275">
        <f>$C1275*BZ1274</f>
        <v/>
      </c>
      <c r="CA1275">
        <f>$C1275*CA1274</f>
        <v/>
      </c>
      <c r="CB1275">
        <f>$C1275*CB1274</f>
        <v/>
      </c>
      <c r="CC1275">
        <f>$C1275*CC1274</f>
        <v/>
      </c>
      <c r="CD1275">
        <f>$C1275*CD1274</f>
        <v/>
      </c>
      <c r="CE1275">
        <f>$C1275*CE1274</f>
        <v/>
      </c>
      <c r="CF1275">
        <f>$C1275*CF1274</f>
        <v/>
      </c>
      <c r="CG1275">
        <f>$C1275*CG1274</f>
        <v/>
      </c>
      <c r="CH1275">
        <f>$C1275*CH1274</f>
        <v/>
      </c>
      <c r="CI1275">
        <f>$C1275*CI1274</f>
        <v/>
      </c>
      <c r="CJ1275">
        <f>$C1275*CJ1274</f>
        <v/>
      </c>
      <c r="CK1275">
        <f>$C1275*CK1274</f>
        <v/>
      </c>
      <c r="CL1275">
        <f>$C1275*CL1274</f>
        <v/>
      </c>
      <c r="CM1275">
        <f>$C1275*CM1274</f>
        <v/>
      </c>
      <c r="CN1275">
        <f>$C1275*CN1274</f>
        <v/>
      </c>
      <c r="CO1275">
        <f>$C1275*CO1274</f>
        <v/>
      </c>
      <c r="CP1275">
        <f>$C1275*CP1274</f>
        <v/>
      </c>
      <c r="CQ1275">
        <f>$C1275*CQ1274</f>
        <v/>
      </c>
      <c r="CR1275">
        <f>$C1275*CR1274</f>
        <v/>
      </c>
      <c r="CS1275">
        <f>$C1275*CS1274</f>
        <v/>
      </c>
      <c r="CT1275">
        <f>$C1275*CT1274</f>
        <v/>
      </c>
      <c r="CU1275">
        <f>$C1275*CU1274</f>
        <v/>
      </c>
      <c r="CV1275">
        <f>$C1275*CV1274</f>
        <v/>
      </c>
      <c r="CW1275">
        <f>$C1275*CW1274</f>
        <v/>
      </c>
      <c r="CX1275">
        <f>$C1275*CX1274</f>
        <v/>
      </c>
      <c r="CY1275">
        <f>$C1275*CY1274</f>
        <v/>
      </c>
      <c r="CZ1275">
        <f>$C1275*CZ1274</f>
        <v/>
      </c>
      <c r="DA1275">
        <f>$C1275*DA1274</f>
        <v/>
      </c>
      <c r="DB1275">
        <f>$C1275*DB1274</f>
        <v/>
      </c>
      <c r="DC1275">
        <f>$C1275*DC1274</f>
        <v/>
      </c>
    </row>
    <row r="1276">
      <c r="B1276" t="inlineStr">
        <is>
          <t>TSP-935</t>
        </is>
      </c>
      <c r="C1276" t="inlineStr">
        <is>
          <t>No. of batches</t>
        </is>
      </c>
      <c r="D1276">
        <f>IFERROR(INDEX(PP_Grid[#Data],$DD1276,2),0)</f>
        <v/>
      </c>
      <c r="E1276">
        <f>IFERROR(INDEX(PP_Grid[#Data],$DD1276,3),0)</f>
        <v/>
      </c>
      <c r="F1276">
        <f>IFERROR(INDEX(PP_Grid[#Data],$DD1276,4),0)</f>
        <v/>
      </c>
      <c r="G1276">
        <f>IFERROR(INDEX(PP_Grid[#Data],$DD1276,5),0)</f>
        <v/>
      </c>
      <c r="H1276">
        <f>IFERROR(INDEX(PP_Grid[#Data],$DD1276,6),0)</f>
        <v/>
      </c>
      <c r="I1276">
        <f>IFERROR(INDEX(PP_Grid[#Data],$DD1276,7),0)</f>
        <v/>
      </c>
      <c r="J1276">
        <f>IFERROR(INDEX(PP_Grid[#Data],$DD1276,8),0)</f>
        <v/>
      </c>
      <c r="K1276">
        <f>IFERROR(INDEX(PP_Grid[#Data],$DD1276,9),0)</f>
        <v/>
      </c>
      <c r="L1276">
        <f>IFERROR(INDEX(PP_Grid[#Data],$DD1276,10),0)</f>
        <v/>
      </c>
      <c r="M1276">
        <f>IFERROR(INDEX(PP_Grid[#Data],$DD1276,11),0)</f>
        <v/>
      </c>
      <c r="N1276">
        <f>IFERROR(INDEX(PP_Grid[#Data],$DD1276,12),0)</f>
        <v/>
      </c>
      <c r="O1276">
        <f>IFERROR(INDEX(PP_Grid[#Data],$DD1276,13),0)</f>
        <v/>
      </c>
      <c r="P1276">
        <f>IFERROR(INDEX(PP_Grid[#Data],$DD1276,14),0)</f>
        <v/>
      </c>
      <c r="Q1276">
        <f>IFERROR(INDEX(PP_Grid[#Data],$DD1276,15),0)</f>
        <v/>
      </c>
      <c r="R1276">
        <f>IFERROR(INDEX(PP_Grid[#Data],$DD1276,16),0)</f>
        <v/>
      </c>
      <c r="S1276">
        <f>IFERROR(INDEX(PP_Grid[#Data],$DD1276,17),0)</f>
        <v/>
      </c>
      <c r="T1276">
        <f>IFERROR(INDEX(PP_Grid[#Data],$DD1276,18),0)</f>
        <v/>
      </c>
      <c r="U1276">
        <f>IFERROR(INDEX(PP_Grid[#Data],$DD1276,19),0)</f>
        <v/>
      </c>
      <c r="V1276">
        <f>IFERROR(INDEX(PP_Grid[#Data],$DD1276,20),0)</f>
        <v/>
      </c>
      <c r="W1276">
        <f>IFERROR(INDEX(PP_Grid[#Data],$DD1276,21),0)</f>
        <v/>
      </c>
      <c r="X1276">
        <f>IFERROR(INDEX(PP_Grid[#Data],$DD1276,22),0)</f>
        <v/>
      </c>
      <c r="Y1276">
        <f>IFERROR(INDEX(PP_Grid[#Data],$DD1276,23),0)</f>
        <v/>
      </c>
      <c r="Z1276">
        <f>IFERROR(INDEX(PP_Grid[#Data],$DD1276,24),0)</f>
        <v/>
      </c>
      <c r="AA1276">
        <f>IFERROR(INDEX(PP_Grid[#Data],$DD1276,25),0)</f>
        <v/>
      </c>
      <c r="AB1276">
        <f>IFERROR(INDEX(PP_Grid[#Data],$DD1276,26),0)</f>
        <v/>
      </c>
      <c r="AC1276">
        <f>IFERROR(INDEX(PP_Grid[#Data],$DD1276,27),0)</f>
        <v/>
      </c>
      <c r="AD1276">
        <f>IFERROR(INDEX(PP_Grid[#Data],$DD1276,28),0)</f>
        <v/>
      </c>
      <c r="AE1276">
        <f>IFERROR(INDEX(PP_Grid[#Data],$DD1276,29),0)</f>
        <v/>
      </c>
      <c r="AF1276">
        <f>IFERROR(INDEX(PP_Grid[#Data],$DD1276,30),0)</f>
        <v/>
      </c>
      <c r="AG1276">
        <f>IFERROR(INDEX(PP_Grid[#Data],$DD1276,31),0)</f>
        <v/>
      </c>
      <c r="AH1276">
        <f>IFERROR(INDEX(PP_Grid[#Data],$DD1276,32),0)</f>
        <v/>
      </c>
      <c r="AI1276">
        <f>IFERROR(INDEX(PP_Grid[#Data],$DD1276,33),0)</f>
        <v/>
      </c>
      <c r="AJ1276">
        <f>IFERROR(INDEX(PP_Grid[#Data],$DD1276,34),0)</f>
        <v/>
      </c>
      <c r="AK1276">
        <f>IFERROR(INDEX(PP_Grid[#Data],$DD1276,35),0)</f>
        <v/>
      </c>
      <c r="AL1276">
        <f>IFERROR(INDEX(PP_Grid[#Data],$DD1276,36),0)</f>
        <v/>
      </c>
      <c r="AM1276">
        <f>IFERROR(INDEX(PP_Grid[#Data],$DD1276,37),0)</f>
        <v/>
      </c>
      <c r="AN1276">
        <f>IFERROR(INDEX(PP_Grid[#Data],$DD1276,38),0)</f>
        <v/>
      </c>
      <c r="AO1276">
        <f>IFERROR(INDEX(PP_Grid[#Data],$DD1276,39),0)</f>
        <v/>
      </c>
      <c r="AP1276">
        <f>IFERROR(INDEX(PP_Grid[#Data],$DD1276,40),0)</f>
        <v/>
      </c>
      <c r="AQ1276">
        <f>IFERROR(INDEX(PP_Grid[#Data],$DD1276,41),0)</f>
        <v/>
      </c>
      <c r="AR1276">
        <f>IFERROR(INDEX(PP_Grid[#Data],$DD1276,42),0)</f>
        <v/>
      </c>
      <c r="AS1276">
        <f>IFERROR(INDEX(PP_Grid[#Data],$DD1276,43),0)</f>
        <v/>
      </c>
      <c r="AT1276">
        <f>IFERROR(INDEX(PP_Grid[#Data],$DD1276,44),0)</f>
        <v/>
      </c>
      <c r="AU1276">
        <f>IFERROR(INDEX(PP_Grid[#Data],$DD1276,45),0)</f>
        <v/>
      </c>
      <c r="AV1276">
        <f>IFERROR(INDEX(PP_Grid[#Data],$DD1276,46),0)</f>
        <v/>
      </c>
      <c r="AW1276">
        <f>IFERROR(INDEX(PP_Grid[#Data],$DD1276,47),0)</f>
        <v/>
      </c>
      <c r="AX1276">
        <f>IFERROR(INDEX(PP_Grid[#Data],$DD1276,48),0)</f>
        <v/>
      </c>
      <c r="AY1276">
        <f>IFERROR(INDEX(PP_Grid[#Data],$DD1276,49),0)</f>
        <v/>
      </c>
      <c r="AZ1276">
        <f>IFERROR(INDEX(PP_Grid[#Data],$DD1276,50),0)</f>
        <v/>
      </c>
      <c r="BA1276">
        <f>IFERROR(INDEX(PP_Grid[#Data],$DD1276,51),0)</f>
        <v/>
      </c>
      <c r="BB1276">
        <f>IFERROR(INDEX(PP_Grid[#Data],$DD1276,52),0)</f>
        <v/>
      </c>
      <c r="BC1276">
        <f>IFERROR(INDEX(PP_Grid[#Data],$DD1276,53),0)</f>
        <v/>
      </c>
      <c r="BD1276">
        <f>IFERROR(INDEX(PP_Grid[#Data],$DD1276,54),0)</f>
        <v/>
      </c>
      <c r="BE1276">
        <f>IFERROR(INDEX(PP_Grid[#Data],$DD1276,55),0)</f>
        <v/>
      </c>
      <c r="BF1276">
        <f>IFERROR(INDEX(PP_Grid[#Data],$DD1276,56),0)</f>
        <v/>
      </c>
      <c r="BG1276">
        <f>IFERROR(INDEX(PP_Grid[#Data],$DD1276,57),0)</f>
        <v/>
      </c>
      <c r="BH1276">
        <f>IFERROR(INDEX(PP_Grid[#Data],$DD1276,58),0)</f>
        <v/>
      </c>
      <c r="BI1276">
        <f>IFERROR(INDEX(PP_Grid[#Data],$DD1276,59),0)</f>
        <v/>
      </c>
      <c r="BJ1276">
        <f>IFERROR(INDEX(PP_Grid[#Data],$DD1276,60),0)</f>
        <v/>
      </c>
      <c r="BK1276">
        <f>IFERROR(INDEX(PP_Grid[#Data],$DD1276,61),0)</f>
        <v/>
      </c>
      <c r="BL1276">
        <f>IFERROR(INDEX(PP_Grid[#Data],$DD1276,62),0)</f>
        <v/>
      </c>
      <c r="BM1276">
        <f>IFERROR(INDEX(PP_Grid[#Data],$DD1276,63),0)</f>
        <v/>
      </c>
      <c r="BN1276">
        <f>IFERROR(INDEX(PP_Grid[#Data],$DD1276,64),0)</f>
        <v/>
      </c>
      <c r="BO1276">
        <f>IFERROR(INDEX(PP_Grid[#Data],$DD1276,65),0)</f>
        <v/>
      </c>
      <c r="BP1276">
        <f>IFERROR(INDEX(PP_Grid[#Data],$DD1276,66),0)</f>
        <v/>
      </c>
      <c r="BQ1276">
        <f>IFERROR(INDEX(PP_Grid[#Data],$DD1276,67),0)</f>
        <v/>
      </c>
      <c r="BR1276">
        <f>IFERROR(INDEX(PP_Grid[#Data],$DD1276,68),0)</f>
        <v/>
      </c>
      <c r="BS1276">
        <f>IFERROR(INDEX(PP_Grid[#Data],$DD1276,69),0)</f>
        <v/>
      </c>
      <c r="BT1276">
        <f>IFERROR(INDEX(PP_Grid[#Data],$DD1276,70),0)</f>
        <v/>
      </c>
      <c r="BU1276">
        <f>IFERROR(INDEX(PP_Grid[#Data],$DD1276,71),0)</f>
        <v/>
      </c>
      <c r="BV1276">
        <f>IFERROR(INDEX(PP_Grid[#Data],$DD1276,72),0)</f>
        <v/>
      </c>
      <c r="BW1276">
        <f>IFERROR(INDEX(PP_Grid[#Data],$DD1276,73),0)</f>
        <v/>
      </c>
      <c r="BX1276">
        <f>IFERROR(INDEX(PP_Grid[#Data],$DD1276,74),0)</f>
        <v/>
      </c>
      <c r="BY1276">
        <f>IFERROR(INDEX(PP_Grid[#Data],$DD1276,75),0)</f>
        <v/>
      </c>
      <c r="BZ1276">
        <f>IFERROR(INDEX(PP_Grid[#Data],$DD1276,76),0)</f>
        <v/>
      </c>
      <c r="CA1276">
        <f>IFERROR(INDEX(PP_Grid[#Data],$DD1276,77),0)</f>
        <v/>
      </c>
      <c r="CB1276">
        <f>IFERROR(INDEX(PP_Grid[#Data],$DD1276,78),0)</f>
        <v/>
      </c>
      <c r="CC1276">
        <f>IFERROR(INDEX(PP_Grid[#Data],$DD1276,79),0)</f>
        <v/>
      </c>
      <c r="CD1276">
        <f>IFERROR(INDEX(PP_Grid[#Data],$DD1276,80),0)</f>
        <v/>
      </c>
      <c r="CE1276">
        <f>IFERROR(INDEX(PP_Grid[#Data],$DD1276,81),0)</f>
        <v/>
      </c>
      <c r="CF1276">
        <f>IFERROR(INDEX(PP_Grid[#Data],$DD1276,82),0)</f>
        <v/>
      </c>
      <c r="CG1276">
        <f>IFERROR(INDEX(PP_Grid[#Data],$DD1276,83),0)</f>
        <v/>
      </c>
      <c r="CH1276">
        <f>IFERROR(INDEX(PP_Grid[#Data],$DD1276,84),0)</f>
        <v/>
      </c>
      <c r="CI1276">
        <f>IFERROR(INDEX(PP_Grid[#Data],$DD1276,85),0)</f>
        <v/>
      </c>
      <c r="CJ1276">
        <f>IFERROR(INDEX(PP_Grid[#Data],$DD1276,86),0)</f>
        <v/>
      </c>
      <c r="CK1276">
        <f>IFERROR(INDEX(PP_Grid[#Data],$DD1276,87),0)</f>
        <v/>
      </c>
      <c r="CL1276">
        <f>IFERROR(INDEX(PP_Grid[#Data],$DD1276,88),0)</f>
        <v/>
      </c>
      <c r="CM1276">
        <f>IFERROR(INDEX(PP_Grid[#Data],$DD1276,89),0)</f>
        <v/>
      </c>
      <c r="CN1276">
        <f>IFERROR(INDEX(PP_Grid[#Data],$DD1276,90),0)</f>
        <v/>
      </c>
      <c r="CO1276">
        <f>IFERROR(INDEX(PP_Grid[#Data],$DD1276,91),0)</f>
        <v/>
      </c>
      <c r="CP1276">
        <f>IFERROR(INDEX(PP_Grid[#Data],$DD1276,92),0)</f>
        <v/>
      </c>
      <c r="CQ1276">
        <f>IFERROR(INDEX(PP_Grid[#Data],$DD1276,93),0)</f>
        <v/>
      </c>
      <c r="CR1276">
        <f>IFERROR(INDEX(PP_Grid[#Data],$DD1276,94),0)</f>
        <v/>
      </c>
      <c r="CS1276">
        <f>IFERROR(INDEX(PP_Grid[#Data],$DD1276,95),0)</f>
        <v/>
      </c>
      <c r="CT1276">
        <f>IFERROR(INDEX(PP_Grid[#Data],$DD1276,96),0)</f>
        <v/>
      </c>
      <c r="CU1276">
        <f>IFERROR(INDEX(PP_Grid[#Data],$DD1276,97),0)</f>
        <v/>
      </c>
      <c r="CV1276">
        <f>IFERROR(INDEX(PP_Grid[#Data],$DD1276,98),0)</f>
        <v/>
      </c>
      <c r="CW1276">
        <f>IFERROR(INDEX(PP_Grid[#Data],$DD1276,99),0)</f>
        <v/>
      </c>
      <c r="CX1276">
        <f>IFERROR(INDEX(PP_Grid[#Data],$DD1276,100),0)</f>
        <v/>
      </c>
      <c r="CY1276">
        <f>IFERROR(INDEX(PP_Grid[#Data],$DD1276,101),0)</f>
        <v/>
      </c>
      <c r="CZ1276">
        <f>IFERROR(INDEX(PP_Grid[#Data],$DD1276,102),0)</f>
        <v/>
      </c>
      <c r="DA1276">
        <f>IFERROR(INDEX(PP_Grid[#Data],$DD1276,103),0)</f>
        <v/>
      </c>
      <c r="DB1276">
        <f>IFERROR(INDEX(PP_Grid[#Data],$DD1276,104),0)</f>
        <v/>
      </c>
      <c r="DC1276">
        <f>IFERROR(INDEX(PP_Grid[#Data],$DD1276,105),0)</f>
        <v/>
      </c>
      <c r="DD1276" s="12">
        <f>IFERROR(MATCH($B1276,PP_Grid[Intermediate],0),99999)</f>
        <v/>
      </c>
    </row>
    <row r="1277">
      <c r="B1277" t="inlineStr">
        <is>
          <t>使用量(kg)</t>
        </is>
      </c>
      <c r="C1277">
        <f>SUMIFS(M_BOM[RM_Qty_Per_Batch],M_BOM[Intermediate],$B1276,M_BOM[Part Name],$A1251)</f>
        <v/>
      </c>
      <c r="D1277">
        <f>$C1277*D1276</f>
        <v/>
      </c>
      <c r="E1277">
        <f>$C1277*E1276</f>
        <v/>
      </c>
      <c r="F1277">
        <f>$C1277*F1276</f>
        <v/>
      </c>
      <c r="G1277">
        <f>$C1277*G1276</f>
        <v/>
      </c>
      <c r="H1277">
        <f>$C1277*H1276</f>
        <v/>
      </c>
      <c r="I1277">
        <f>$C1277*I1276</f>
        <v/>
      </c>
      <c r="J1277">
        <f>$C1277*J1276</f>
        <v/>
      </c>
      <c r="K1277">
        <f>$C1277*K1276</f>
        <v/>
      </c>
      <c r="L1277">
        <f>$C1277*L1276</f>
        <v/>
      </c>
      <c r="M1277">
        <f>$C1277*M1276</f>
        <v/>
      </c>
      <c r="N1277">
        <f>$C1277*N1276</f>
        <v/>
      </c>
      <c r="O1277">
        <f>$C1277*O1276</f>
        <v/>
      </c>
      <c r="P1277">
        <f>$C1277*P1276</f>
        <v/>
      </c>
      <c r="Q1277">
        <f>$C1277*Q1276</f>
        <v/>
      </c>
      <c r="R1277">
        <f>$C1277*R1276</f>
        <v/>
      </c>
      <c r="S1277">
        <f>$C1277*S1276</f>
        <v/>
      </c>
      <c r="T1277">
        <f>$C1277*T1276</f>
        <v/>
      </c>
      <c r="U1277">
        <f>$C1277*U1276</f>
        <v/>
      </c>
      <c r="V1277">
        <f>$C1277*V1276</f>
        <v/>
      </c>
      <c r="W1277">
        <f>$C1277*W1276</f>
        <v/>
      </c>
      <c r="X1277">
        <f>$C1277*X1276</f>
        <v/>
      </c>
      <c r="Y1277">
        <f>$C1277*Y1276</f>
        <v/>
      </c>
      <c r="Z1277">
        <f>$C1277*Z1276</f>
        <v/>
      </c>
      <c r="AA1277">
        <f>$C1277*AA1276</f>
        <v/>
      </c>
      <c r="AB1277">
        <f>$C1277*AB1276</f>
        <v/>
      </c>
      <c r="AC1277">
        <f>$C1277*AC1276</f>
        <v/>
      </c>
      <c r="AD1277">
        <f>$C1277*AD1276</f>
        <v/>
      </c>
      <c r="AE1277">
        <f>$C1277*AE1276</f>
        <v/>
      </c>
      <c r="AF1277">
        <f>$C1277*AF1276</f>
        <v/>
      </c>
      <c r="AG1277">
        <f>$C1277*AG1276</f>
        <v/>
      </c>
      <c r="AH1277">
        <f>$C1277*AH1276</f>
        <v/>
      </c>
      <c r="AI1277">
        <f>$C1277*AI1276</f>
        <v/>
      </c>
      <c r="AJ1277">
        <f>$C1277*AJ1276</f>
        <v/>
      </c>
      <c r="AK1277">
        <f>$C1277*AK1276</f>
        <v/>
      </c>
      <c r="AL1277">
        <f>$C1277*AL1276</f>
        <v/>
      </c>
      <c r="AM1277">
        <f>$C1277*AM1276</f>
        <v/>
      </c>
      <c r="AN1277">
        <f>$C1277*AN1276</f>
        <v/>
      </c>
      <c r="AO1277">
        <f>$C1277*AO1276</f>
        <v/>
      </c>
      <c r="AP1277">
        <f>$C1277*AP1276</f>
        <v/>
      </c>
      <c r="AQ1277">
        <f>$C1277*AQ1276</f>
        <v/>
      </c>
      <c r="AR1277">
        <f>$C1277*AR1276</f>
        <v/>
      </c>
      <c r="AS1277">
        <f>$C1277*AS1276</f>
        <v/>
      </c>
      <c r="AT1277">
        <f>$C1277*AT1276</f>
        <v/>
      </c>
      <c r="AU1277">
        <f>$C1277*AU1276</f>
        <v/>
      </c>
      <c r="AV1277">
        <f>$C1277*AV1276</f>
        <v/>
      </c>
      <c r="AW1277">
        <f>$C1277*AW1276</f>
        <v/>
      </c>
      <c r="AX1277">
        <f>$C1277*AX1276</f>
        <v/>
      </c>
      <c r="AY1277">
        <f>$C1277*AY1276</f>
        <v/>
      </c>
      <c r="AZ1277">
        <f>$C1277*AZ1276</f>
        <v/>
      </c>
      <c r="BA1277">
        <f>$C1277*BA1276</f>
        <v/>
      </c>
      <c r="BB1277">
        <f>$C1277*BB1276</f>
        <v/>
      </c>
      <c r="BC1277">
        <f>$C1277*BC1276</f>
        <v/>
      </c>
      <c r="BD1277">
        <f>$C1277*BD1276</f>
        <v/>
      </c>
      <c r="BE1277">
        <f>$C1277*BE1276</f>
        <v/>
      </c>
      <c r="BF1277">
        <f>$C1277*BF1276</f>
        <v/>
      </c>
      <c r="BG1277">
        <f>$C1277*BG1276</f>
        <v/>
      </c>
      <c r="BH1277">
        <f>$C1277*BH1276</f>
        <v/>
      </c>
      <c r="BI1277">
        <f>$C1277*BI1276</f>
        <v/>
      </c>
      <c r="BJ1277">
        <f>$C1277*BJ1276</f>
        <v/>
      </c>
      <c r="BK1277">
        <f>$C1277*BK1276</f>
        <v/>
      </c>
      <c r="BL1277">
        <f>$C1277*BL1276</f>
        <v/>
      </c>
      <c r="BM1277">
        <f>$C1277*BM1276</f>
        <v/>
      </c>
      <c r="BN1277">
        <f>$C1277*BN1276</f>
        <v/>
      </c>
      <c r="BO1277">
        <f>$C1277*BO1276</f>
        <v/>
      </c>
      <c r="BP1277">
        <f>$C1277*BP1276</f>
        <v/>
      </c>
      <c r="BQ1277">
        <f>$C1277*BQ1276</f>
        <v/>
      </c>
      <c r="BR1277">
        <f>$C1277*BR1276</f>
        <v/>
      </c>
      <c r="BS1277">
        <f>$C1277*BS1276</f>
        <v/>
      </c>
      <c r="BT1277">
        <f>$C1277*BT1276</f>
        <v/>
      </c>
      <c r="BU1277">
        <f>$C1277*BU1276</f>
        <v/>
      </c>
      <c r="BV1277">
        <f>$C1277*BV1276</f>
        <v/>
      </c>
      <c r="BW1277">
        <f>$C1277*BW1276</f>
        <v/>
      </c>
      <c r="BX1277">
        <f>$C1277*BX1276</f>
        <v/>
      </c>
      <c r="BY1277">
        <f>$C1277*BY1276</f>
        <v/>
      </c>
      <c r="BZ1277">
        <f>$C1277*BZ1276</f>
        <v/>
      </c>
      <c r="CA1277">
        <f>$C1277*CA1276</f>
        <v/>
      </c>
      <c r="CB1277">
        <f>$C1277*CB1276</f>
        <v/>
      </c>
      <c r="CC1277">
        <f>$C1277*CC1276</f>
        <v/>
      </c>
      <c r="CD1277">
        <f>$C1277*CD1276</f>
        <v/>
      </c>
      <c r="CE1277">
        <f>$C1277*CE1276</f>
        <v/>
      </c>
      <c r="CF1277">
        <f>$C1277*CF1276</f>
        <v/>
      </c>
      <c r="CG1277">
        <f>$C1277*CG1276</f>
        <v/>
      </c>
      <c r="CH1277">
        <f>$C1277*CH1276</f>
        <v/>
      </c>
      <c r="CI1277">
        <f>$C1277*CI1276</f>
        <v/>
      </c>
      <c r="CJ1277">
        <f>$C1277*CJ1276</f>
        <v/>
      </c>
      <c r="CK1277">
        <f>$C1277*CK1276</f>
        <v/>
      </c>
      <c r="CL1277">
        <f>$C1277*CL1276</f>
        <v/>
      </c>
      <c r="CM1277">
        <f>$C1277*CM1276</f>
        <v/>
      </c>
      <c r="CN1277">
        <f>$C1277*CN1276</f>
        <v/>
      </c>
      <c r="CO1277">
        <f>$C1277*CO1276</f>
        <v/>
      </c>
      <c r="CP1277">
        <f>$C1277*CP1276</f>
        <v/>
      </c>
      <c r="CQ1277">
        <f>$C1277*CQ1276</f>
        <v/>
      </c>
      <c r="CR1277">
        <f>$C1277*CR1276</f>
        <v/>
      </c>
      <c r="CS1277">
        <f>$C1277*CS1276</f>
        <v/>
      </c>
      <c r="CT1277">
        <f>$C1277*CT1276</f>
        <v/>
      </c>
      <c r="CU1277">
        <f>$C1277*CU1276</f>
        <v/>
      </c>
      <c r="CV1277">
        <f>$C1277*CV1276</f>
        <v/>
      </c>
      <c r="CW1277">
        <f>$C1277*CW1276</f>
        <v/>
      </c>
      <c r="CX1277">
        <f>$C1277*CX1276</f>
        <v/>
      </c>
      <c r="CY1277">
        <f>$C1277*CY1276</f>
        <v/>
      </c>
      <c r="CZ1277">
        <f>$C1277*CZ1276</f>
        <v/>
      </c>
      <c r="DA1277">
        <f>$C1277*DA1276</f>
        <v/>
      </c>
      <c r="DB1277">
        <f>$C1277*DB1276</f>
        <v/>
      </c>
      <c r="DC1277">
        <f>$C1277*DC1276</f>
        <v/>
      </c>
    </row>
    <row r="1278">
      <c r="B1278" t="inlineStr">
        <is>
          <t>TSP-936</t>
        </is>
      </c>
      <c r="C1278" t="inlineStr">
        <is>
          <t>No. of batches</t>
        </is>
      </c>
      <c r="D1278">
        <f>IFERROR(INDEX(PP_Grid[#Data],$DD1278,2),0)</f>
        <v/>
      </c>
      <c r="E1278">
        <f>IFERROR(INDEX(PP_Grid[#Data],$DD1278,3),0)</f>
        <v/>
      </c>
      <c r="F1278">
        <f>IFERROR(INDEX(PP_Grid[#Data],$DD1278,4),0)</f>
        <v/>
      </c>
      <c r="G1278">
        <f>IFERROR(INDEX(PP_Grid[#Data],$DD1278,5),0)</f>
        <v/>
      </c>
      <c r="H1278">
        <f>IFERROR(INDEX(PP_Grid[#Data],$DD1278,6),0)</f>
        <v/>
      </c>
      <c r="I1278">
        <f>IFERROR(INDEX(PP_Grid[#Data],$DD1278,7),0)</f>
        <v/>
      </c>
      <c r="J1278">
        <f>IFERROR(INDEX(PP_Grid[#Data],$DD1278,8),0)</f>
        <v/>
      </c>
      <c r="K1278">
        <f>IFERROR(INDEX(PP_Grid[#Data],$DD1278,9),0)</f>
        <v/>
      </c>
      <c r="L1278">
        <f>IFERROR(INDEX(PP_Grid[#Data],$DD1278,10),0)</f>
        <v/>
      </c>
      <c r="M1278">
        <f>IFERROR(INDEX(PP_Grid[#Data],$DD1278,11),0)</f>
        <v/>
      </c>
      <c r="N1278">
        <f>IFERROR(INDEX(PP_Grid[#Data],$DD1278,12),0)</f>
        <v/>
      </c>
      <c r="O1278">
        <f>IFERROR(INDEX(PP_Grid[#Data],$DD1278,13),0)</f>
        <v/>
      </c>
      <c r="P1278">
        <f>IFERROR(INDEX(PP_Grid[#Data],$DD1278,14),0)</f>
        <v/>
      </c>
      <c r="Q1278">
        <f>IFERROR(INDEX(PP_Grid[#Data],$DD1278,15),0)</f>
        <v/>
      </c>
      <c r="R1278">
        <f>IFERROR(INDEX(PP_Grid[#Data],$DD1278,16),0)</f>
        <v/>
      </c>
      <c r="S1278">
        <f>IFERROR(INDEX(PP_Grid[#Data],$DD1278,17),0)</f>
        <v/>
      </c>
      <c r="T1278">
        <f>IFERROR(INDEX(PP_Grid[#Data],$DD1278,18),0)</f>
        <v/>
      </c>
      <c r="U1278">
        <f>IFERROR(INDEX(PP_Grid[#Data],$DD1278,19),0)</f>
        <v/>
      </c>
      <c r="V1278">
        <f>IFERROR(INDEX(PP_Grid[#Data],$DD1278,20),0)</f>
        <v/>
      </c>
      <c r="W1278">
        <f>IFERROR(INDEX(PP_Grid[#Data],$DD1278,21),0)</f>
        <v/>
      </c>
      <c r="X1278">
        <f>IFERROR(INDEX(PP_Grid[#Data],$DD1278,22),0)</f>
        <v/>
      </c>
      <c r="Y1278">
        <f>IFERROR(INDEX(PP_Grid[#Data],$DD1278,23),0)</f>
        <v/>
      </c>
      <c r="Z1278">
        <f>IFERROR(INDEX(PP_Grid[#Data],$DD1278,24),0)</f>
        <v/>
      </c>
      <c r="AA1278">
        <f>IFERROR(INDEX(PP_Grid[#Data],$DD1278,25),0)</f>
        <v/>
      </c>
      <c r="AB1278">
        <f>IFERROR(INDEX(PP_Grid[#Data],$DD1278,26),0)</f>
        <v/>
      </c>
      <c r="AC1278">
        <f>IFERROR(INDEX(PP_Grid[#Data],$DD1278,27),0)</f>
        <v/>
      </c>
      <c r="AD1278">
        <f>IFERROR(INDEX(PP_Grid[#Data],$DD1278,28),0)</f>
        <v/>
      </c>
      <c r="AE1278">
        <f>IFERROR(INDEX(PP_Grid[#Data],$DD1278,29),0)</f>
        <v/>
      </c>
      <c r="AF1278">
        <f>IFERROR(INDEX(PP_Grid[#Data],$DD1278,30),0)</f>
        <v/>
      </c>
      <c r="AG1278">
        <f>IFERROR(INDEX(PP_Grid[#Data],$DD1278,31),0)</f>
        <v/>
      </c>
      <c r="AH1278">
        <f>IFERROR(INDEX(PP_Grid[#Data],$DD1278,32),0)</f>
        <v/>
      </c>
      <c r="AI1278">
        <f>IFERROR(INDEX(PP_Grid[#Data],$DD1278,33),0)</f>
        <v/>
      </c>
      <c r="AJ1278">
        <f>IFERROR(INDEX(PP_Grid[#Data],$DD1278,34),0)</f>
        <v/>
      </c>
      <c r="AK1278">
        <f>IFERROR(INDEX(PP_Grid[#Data],$DD1278,35),0)</f>
        <v/>
      </c>
      <c r="AL1278">
        <f>IFERROR(INDEX(PP_Grid[#Data],$DD1278,36),0)</f>
        <v/>
      </c>
      <c r="AM1278">
        <f>IFERROR(INDEX(PP_Grid[#Data],$DD1278,37),0)</f>
        <v/>
      </c>
      <c r="AN1278">
        <f>IFERROR(INDEX(PP_Grid[#Data],$DD1278,38),0)</f>
        <v/>
      </c>
      <c r="AO1278">
        <f>IFERROR(INDEX(PP_Grid[#Data],$DD1278,39),0)</f>
        <v/>
      </c>
      <c r="AP1278">
        <f>IFERROR(INDEX(PP_Grid[#Data],$DD1278,40),0)</f>
        <v/>
      </c>
      <c r="AQ1278">
        <f>IFERROR(INDEX(PP_Grid[#Data],$DD1278,41),0)</f>
        <v/>
      </c>
      <c r="AR1278">
        <f>IFERROR(INDEX(PP_Grid[#Data],$DD1278,42),0)</f>
        <v/>
      </c>
      <c r="AS1278">
        <f>IFERROR(INDEX(PP_Grid[#Data],$DD1278,43),0)</f>
        <v/>
      </c>
      <c r="AT1278">
        <f>IFERROR(INDEX(PP_Grid[#Data],$DD1278,44),0)</f>
        <v/>
      </c>
      <c r="AU1278">
        <f>IFERROR(INDEX(PP_Grid[#Data],$DD1278,45),0)</f>
        <v/>
      </c>
      <c r="AV1278">
        <f>IFERROR(INDEX(PP_Grid[#Data],$DD1278,46),0)</f>
        <v/>
      </c>
      <c r="AW1278">
        <f>IFERROR(INDEX(PP_Grid[#Data],$DD1278,47),0)</f>
        <v/>
      </c>
      <c r="AX1278">
        <f>IFERROR(INDEX(PP_Grid[#Data],$DD1278,48),0)</f>
        <v/>
      </c>
      <c r="AY1278">
        <f>IFERROR(INDEX(PP_Grid[#Data],$DD1278,49),0)</f>
        <v/>
      </c>
      <c r="AZ1278">
        <f>IFERROR(INDEX(PP_Grid[#Data],$DD1278,50),0)</f>
        <v/>
      </c>
      <c r="BA1278">
        <f>IFERROR(INDEX(PP_Grid[#Data],$DD1278,51),0)</f>
        <v/>
      </c>
      <c r="BB1278">
        <f>IFERROR(INDEX(PP_Grid[#Data],$DD1278,52),0)</f>
        <v/>
      </c>
      <c r="BC1278">
        <f>IFERROR(INDEX(PP_Grid[#Data],$DD1278,53),0)</f>
        <v/>
      </c>
      <c r="BD1278">
        <f>IFERROR(INDEX(PP_Grid[#Data],$DD1278,54),0)</f>
        <v/>
      </c>
      <c r="BE1278">
        <f>IFERROR(INDEX(PP_Grid[#Data],$DD1278,55),0)</f>
        <v/>
      </c>
      <c r="BF1278">
        <f>IFERROR(INDEX(PP_Grid[#Data],$DD1278,56),0)</f>
        <v/>
      </c>
      <c r="BG1278">
        <f>IFERROR(INDEX(PP_Grid[#Data],$DD1278,57),0)</f>
        <v/>
      </c>
      <c r="BH1278">
        <f>IFERROR(INDEX(PP_Grid[#Data],$DD1278,58),0)</f>
        <v/>
      </c>
      <c r="BI1278">
        <f>IFERROR(INDEX(PP_Grid[#Data],$DD1278,59),0)</f>
        <v/>
      </c>
      <c r="BJ1278">
        <f>IFERROR(INDEX(PP_Grid[#Data],$DD1278,60),0)</f>
        <v/>
      </c>
      <c r="BK1278">
        <f>IFERROR(INDEX(PP_Grid[#Data],$DD1278,61),0)</f>
        <v/>
      </c>
      <c r="BL1278">
        <f>IFERROR(INDEX(PP_Grid[#Data],$DD1278,62),0)</f>
        <v/>
      </c>
      <c r="BM1278">
        <f>IFERROR(INDEX(PP_Grid[#Data],$DD1278,63),0)</f>
        <v/>
      </c>
      <c r="BN1278">
        <f>IFERROR(INDEX(PP_Grid[#Data],$DD1278,64),0)</f>
        <v/>
      </c>
      <c r="BO1278">
        <f>IFERROR(INDEX(PP_Grid[#Data],$DD1278,65),0)</f>
        <v/>
      </c>
      <c r="BP1278">
        <f>IFERROR(INDEX(PP_Grid[#Data],$DD1278,66),0)</f>
        <v/>
      </c>
      <c r="BQ1278">
        <f>IFERROR(INDEX(PP_Grid[#Data],$DD1278,67),0)</f>
        <v/>
      </c>
      <c r="BR1278">
        <f>IFERROR(INDEX(PP_Grid[#Data],$DD1278,68),0)</f>
        <v/>
      </c>
      <c r="BS1278">
        <f>IFERROR(INDEX(PP_Grid[#Data],$DD1278,69),0)</f>
        <v/>
      </c>
      <c r="BT1278">
        <f>IFERROR(INDEX(PP_Grid[#Data],$DD1278,70),0)</f>
        <v/>
      </c>
      <c r="BU1278">
        <f>IFERROR(INDEX(PP_Grid[#Data],$DD1278,71),0)</f>
        <v/>
      </c>
      <c r="BV1278">
        <f>IFERROR(INDEX(PP_Grid[#Data],$DD1278,72),0)</f>
        <v/>
      </c>
      <c r="BW1278">
        <f>IFERROR(INDEX(PP_Grid[#Data],$DD1278,73),0)</f>
        <v/>
      </c>
      <c r="BX1278">
        <f>IFERROR(INDEX(PP_Grid[#Data],$DD1278,74),0)</f>
        <v/>
      </c>
      <c r="BY1278">
        <f>IFERROR(INDEX(PP_Grid[#Data],$DD1278,75),0)</f>
        <v/>
      </c>
      <c r="BZ1278">
        <f>IFERROR(INDEX(PP_Grid[#Data],$DD1278,76),0)</f>
        <v/>
      </c>
      <c r="CA1278">
        <f>IFERROR(INDEX(PP_Grid[#Data],$DD1278,77),0)</f>
        <v/>
      </c>
      <c r="CB1278">
        <f>IFERROR(INDEX(PP_Grid[#Data],$DD1278,78),0)</f>
        <v/>
      </c>
      <c r="CC1278">
        <f>IFERROR(INDEX(PP_Grid[#Data],$DD1278,79),0)</f>
        <v/>
      </c>
      <c r="CD1278">
        <f>IFERROR(INDEX(PP_Grid[#Data],$DD1278,80),0)</f>
        <v/>
      </c>
      <c r="CE1278">
        <f>IFERROR(INDEX(PP_Grid[#Data],$DD1278,81),0)</f>
        <v/>
      </c>
      <c r="CF1278">
        <f>IFERROR(INDEX(PP_Grid[#Data],$DD1278,82),0)</f>
        <v/>
      </c>
      <c r="CG1278">
        <f>IFERROR(INDEX(PP_Grid[#Data],$DD1278,83),0)</f>
        <v/>
      </c>
      <c r="CH1278">
        <f>IFERROR(INDEX(PP_Grid[#Data],$DD1278,84),0)</f>
        <v/>
      </c>
      <c r="CI1278">
        <f>IFERROR(INDEX(PP_Grid[#Data],$DD1278,85),0)</f>
        <v/>
      </c>
      <c r="CJ1278">
        <f>IFERROR(INDEX(PP_Grid[#Data],$DD1278,86),0)</f>
        <v/>
      </c>
      <c r="CK1278">
        <f>IFERROR(INDEX(PP_Grid[#Data],$DD1278,87),0)</f>
        <v/>
      </c>
      <c r="CL1278">
        <f>IFERROR(INDEX(PP_Grid[#Data],$DD1278,88),0)</f>
        <v/>
      </c>
      <c r="CM1278">
        <f>IFERROR(INDEX(PP_Grid[#Data],$DD1278,89),0)</f>
        <v/>
      </c>
      <c r="CN1278">
        <f>IFERROR(INDEX(PP_Grid[#Data],$DD1278,90),0)</f>
        <v/>
      </c>
      <c r="CO1278">
        <f>IFERROR(INDEX(PP_Grid[#Data],$DD1278,91),0)</f>
        <v/>
      </c>
      <c r="CP1278">
        <f>IFERROR(INDEX(PP_Grid[#Data],$DD1278,92),0)</f>
        <v/>
      </c>
      <c r="CQ1278">
        <f>IFERROR(INDEX(PP_Grid[#Data],$DD1278,93),0)</f>
        <v/>
      </c>
      <c r="CR1278">
        <f>IFERROR(INDEX(PP_Grid[#Data],$DD1278,94),0)</f>
        <v/>
      </c>
      <c r="CS1278">
        <f>IFERROR(INDEX(PP_Grid[#Data],$DD1278,95),0)</f>
        <v/>
      </c>
      <c r="CT1278">
        <f>IFERROR(INDEX(PP_Grid[#Data],$DD1278,96),0)</f>
        <v/>
      </c>
      <c r="CU1278">
        <f>IFERROR(INDEX(PP_Grid[#Data],$DD1278,97),0)</f>
        <v/>
      </c>
      <c r="CV1278">
        <f>IFERROR(INDEX(PP_Grid[#Data],$DD1278,98),0)</f>
        <v/>
      </c>
      <c r="CW1278">
        <f>IFERROR(INDEX(PP_Grid[#Data],$DD1278,99),0)</f>
        <v/>
      </c>
      <c r="CX1278">
        <f>IFERROR(INDEX(PP_Grid[#Data],$DD1278,100),0)</f>
        <v/>
      </c>
      <c r="CY1278">
        <f>IFERROR(INDEX(PP_Grid[#Data],$DD1278,101),0)</f>
        <v/>
      </c>
      <c r="CZ1278">
        <f>IFERROR(INDEX(PP_Grid[#Data],$DD1278,102),0)</f>
        <v/>
      </c>
      <c r="DA1278">
        <f>IFERROR(INDEX(PP_Grid[#Data],$DD1278,103),0)</f>
        <v/>
      </c>
      <c r="DB1278">
        <f>IFERROR(INDEX(PP_Grid[#Data],$DD1278,104),0)</f>
        <v/>
      </c>
      <c r="DC1278">
        <f>IFERROR(INDEX(PP_Grid[#Data],$DD1278,105),0)</f>
        <v/>
      </c>
      <c r="DD1278" s="12">
        <f>IFERROR(MATCH($B1278,PP_Grid[Intermediate],0),99999)</f>
        <v/>
      </c>
    </row>
    <row r="1279">
      <c r="B1279" t="inlineStr">
        <is>
          <t>使用量(kg)</t>
        </is>
      </c>
      <c r="C1279">
        <f>SUMIFS(M_BOM[RM_Qty_Per_Batch],M_BOM[Intermediate],$B1278,M_BOM[Part Name],$A1251)</f>
        <v/>
      </c>
      <c r="D1279">
        <f>$C1279*D1278</f>
        <v/>
      </c>
      <c r="E1279">
        <f>$C1279*E1278</f>
        <v/>
      </c>
      <c r="F1279">
        <f>$C1279*F1278</f>
        <v/>
      </c>
      <c r="G1279">
        <f>$C1279*G1278</f>
        <v/>
      </c>
      <c r="H1279">
        <f>$C1279*H1278</f>
        <v/>
      </c>
      <c r="I1279">
        <f>$C1279*I1278</f>
        <v/>
      </c>
      <c r="J1279">
        <f>$C1279*J1278</f>
        <v/>
      </c>
      <c r="K1279">
        <f>$C1279*K1278</f>
        <v/>
      </c>
      <c r="L1279">
        <f>$C1279*L1278</f>
        <v/>
      </c>
      <c r="M1279">
        <f>$C1279*M1278</f>
        <v/>
      </c>
      <c r="N1279">
        <f>$C1279*N1278</f>
        <v/>
      </c>
      <c r="O1279">
        <f>$C1279*O1278</f>
        <v/>
      </c>
      <c r="P1279">
        <f>$C1279*P1278</f>
        <v/>
      </c>
      <c r="Q1279">
        <f>$C1279*Q1278</f>
        <v/>
      </c>
      <c r="R1279">
        <f>$C1279*R1278</f>
        <v/>
      </c>
      <c r="S1279">
        <f>$C1279*S1278</f>
        <v/>
      </c>
      <c r="T1279">
        <f>$C1279*T1278</f>
        <v/>
      </c>
      <c r="U1279">
        <f>$C1279*U1278</f>
        <v/>
      </c>
      <c r="V1279">
        <f>$C1279*V1278</f>
        <v/>
      </c>
      <c r="W1279">
        <f>$C1279*W1278</f>
        <v/>
      </c>
      <c r="X1279">
        <f>$C1279*X1278</f>
        <v/>
      </c>
      <c r="Y1279">
        <f>$C1279*Y1278</f>
        <v/>
      </c>
      <c r="Z1279">
        <f>$C1279*Z1278</f>
        <v/>
      </c>
      <c r="AA1279">
        <f>$C1279*AA1278</f>
        <v/>
      </c>
      <c r="AB1279">
        <f>$C1279*AB1278</f>
        <v/>
      </c>
      <c r="AC1279">
        <f>$C1279*AC1278</f>
        <v/>
      </c>
      <c r="AD1279">
        <f>$C1279*AD1278</f>
        <v/>
      </c>
      <c r="AE1279">
        <f>$C1279*AE1278</f>
        <v/>
      </c>
      <c r="AF1279">
        <f>$C1279*AF1278</f>
        <v/>
      </c>
      <c r="AG1279">
        <f>$C1279*AG1278</f>
        <v/>
      </c>
      <c r="AH1279">
        <f>$C1279*AH1278</f>
        <v/>
      </c>
      <c r="AI1279">
        <f>$C1279*AI1278</f>
        <v/>
      </c>
      <c r="AJ1279">
        <f>$C1279*AJ1278</f>
        <v/>
      </c>
      <c r="AK1279">
        <f>$C1279*AK1278</f>
        <v/>
      </c>
      <c r="AL1279">
        <f>$C1279*AL1278</f>
        <v/>
      </c>
      <c r="AM1279">
        <f>$C1279*AM1278</f>
        <v/>
      </c>
      <c r="AN1279">
        <f>$C1279*AN1278</f>
        <v/>
      </c>
      <c r="AO1279">
        <f>$C1279*AO1278</f>
        <v/>
      </c>
      <c r="AP1279">
        <f>$C1279*AP1278</f>
        <v/>
      </c>
      <c r="AQ1279">
        <f>$C1279*AQ1278</f>
        <v/>
      </c>
      <c r="AR1279">
        <f>$C1279*AR1278</f>
        <v/>
      </c>
      <c r="AS1279">
        <f>$C1279*AS1278</f>
        <v/>
      </c>
      <c r="AT1279">
        <f>$C1279*AT1278</f>
        <v/>
      </c>
      <c r="AU1279">
        <f>$C1279*AU1278</f>
        <v/>
      </c>
      <c r="AV1279">
        <f>$C1279*AV1278</f>
        <v/>
      </c>
      <c r="AW1279">
        <f>$C1279*AW1278</f>
        <v/>
      </c>
      <c r="AX1279">
        <f>$C1279*AX1278</f>
        <v/>
      </c>
      <c r="AY1279">
        <f>$C1279*AY1278</f>
        <v/>
      </c>
      <c r="AZ1279">
        <f>$C1279*AZ1278</f>
        <v/>
      </c>
      <c r="BA1279">
        <f>$C1279*BA1278</f>
        <v/>
      </c>
      <c r="BB1279">
        <f>$C1279*BB1278</f>
        <v/>
      </c>
      <c r="BC1279">
        <f>$C1279*BC1278</f>
        <v/>
      </c>
      <c r="BD1279">
        <f>$C1279*BD1278</f>
        <v/>
      </c>
      <c r="BE1279">
        <f>$C1279*BE1278</f>
        <v/>
      </c>
      <c r="BF1279">
        <f>$C1279*BF1278</f>
        <v/>
      </c>
      <c r="BG1279">
        <f>$C1279*BG1278</f>
        <v/>
      </c>
      <c r="BH1279">
        <f>$C1279*BH1278</f>
        <v/>
      </c>
      <c r="BI1279">
        <f>$C1279*BI1278</f>
        <v/>
      </c>
      <c r="BJ1279">
        <f>$C1279*BJ1278</f>
        <v/>
      </c>
      <c r="BK1279">
        <f>$C1279*BK1278</f>
        <v/>
      </c>
      <c r="BL1279">
        <f>$C1279*BL1278</f>
        <v/>
      </c>
      <c r="BM1279">
        <f>$C1279*BM1278</f>
        <v/>
      </c>
      <c r="BN1279">
        <f>$C1279*BN1278</f>
        <v/>
      </c>
      <c r="BO1279">
        <f>$C1279*BO1278</f>
        <v/>
      </c>
      <c r="BP1279">
        <f>$C1279*BP1278</f>
        <v/>
      </c>
      <c r="BQ1279">
        <f>$C1279*BQ1278</f>
        <v/>
      </c>
      <c r="BR1279">
        <f>$C1279*BR1278</f>
        <v/>
      </c>
      <c r="BS1279">
        <f>$C1279*BS1278</f>
        <v/>
      </c>
      <c r="BT1279">
        <f>$C1279*BT1278</f>
        <v/>
      </c>
      <c r="BU1279">
        <f>$C1279*BU1278</f>
        <v/>
      </c>
      <c r="BV1279">
        <f>$C1279*BV1278</f>
        <v/>
      </c>
      <c r="BW1279">
        <f>$C1279*BW1278</f>
        <v/>
      </c>
      <c r="BX1279">
        <f>$C1279*BX1278</f>
        <v/>
      </c>
      <c r="BY1279">
        <f>$C1279*BY1278</f>
        <v/>
      </c>
      <c r="BZ1279">
        <f>$C1279*BZ1278</f>
        <v/>
      </c>
      <c r="CA1279">
        <f>$C1279*CA1278</f>
        <v/>
      </c>
      <c r="CB1279">
        <f>$C1279*CB1278</f>
        <v/>
      </c>
      <c r="CC1279">
        <f>$C1279*CC1278</f>
        <v/>
      </c>
      <c r="CD1279">
        <f>$C1279*CD1278</f>
        <v/>
      </c>
      <c r="CE1279">
        <f>$C1279*CE1278</f>
        <v/>
      </c>
      <c r="CF1279">
        <f>$C1279*CF1278</f>
        <v/>
      </c>
      <c r="CG1279">
        <f>$C1279*CG1278</f>
        <v/>
      </c>
      <c r="CH1279">
        <f>$C1279*CH1278</f>
        <v/>
      </c>
      <c r="CI1279">
        <f>$C1279*CI1278</f>
        <v/>
      </c>
      <c r="CJ1279">
        <f>$C1279*CJ1278</f>
        <v/>
      </c>
      <c r="CK1279">
        <f>$C1279*CK1278</f>
        <v/>
      </c>
      <c r="CL1279">
        <f>$C1279*CL1278</f>
        <v/>
      </c>
      <c r="CM1279">
        <f>$C1279*CM1278</f>
        <v/>
      </c>
      <c r="CN1279">
        <f>$C1279*CN1278</f>
        <v/>
      </c>
      <c r="CO1279">
        <f>$C1279*CO1278</f>
        <v/>
      </c>
      <c r="CP1279">
        <f>$C1279*CP1278</f>
        <v/>
      </c>
      <c r="CQ1279">
        <f>$C1279*CQ1278</f>
        <v/>
      </c>
      <c r="CR1279">
        <f>$C1279*CR1278</f>
        <v/>
      </c>
      <c r="CS1279">
        <f>$C1279*CS1278</f>
        <v/>
      </c>
      <c r="CT1279">
        <f>$C1279*CT1278</f>
        <v/>
      </c>
      <c r="CU1279">
        <f>$C1279*CU1278</f>
        <v/>
      </c>
      <c r="CV1279">
        <f>$C1279*CV1278</f>
        <v/>
      </c>
      <c r="CW1279">
        <f>$C1279*CW1278</f>
        <v/>
      </c>
      <c r="CX1279">
        <f>$C1279*CX1278</f>
        <v/>
      </c>
      <c r="CY1279">
        <f>$C1279*CY1278</f>
        <v/>
      </c>
      <c r="CZ1279">
        <f>$C1279*CZ1278</f>
        <v/>
      </c>
      <c r="DA1279">
        <f>$C1279*DA1278</f>
        <v/>
      </c>
      <c r="DB1279">
        <f>$C1279*DB1278</f>
        <v/>
      </c>
      <c r="DC1279">
        <f>$C1279*DC1278</f>
        <v/>
      </c>
    </row>
    <row r="1280">
      <c r="B1280" t="inlineStr">
        <is>
          <t>TSP-937</t>
        </is>
      </c>
      <c r="C1280" t="inlineStr">
        <is>
          <t>No. of batches</t>
        </is>
      </c>
      <c r="D1280">
        <f>IFERROR(INDEX(PP_Grid[#Data],$DD1280,2),0)</f>
        <v/>
      </c>
      <c r="E1280">
        <f>IFERROR(INDEX(PP_Grid[#Data],$DD1280,3),0)</f>
        <v/>
      </c>
      <c r="F1280">
        <f>IFERROR(INDEX(PP_Grid[#Data],$DD1280,4),0)</f>
        <v/>
      </c>
      <c r="G1280">
        <f>IFERROR(INDEX(PP_Grid[#Data],$DD1280,5),0)</f>
        <v/>
      </c>
      <c r="H1280">
        <f>IFERROR(INDEX(PP_Grid[#Data],$DD1280,6),0)</f>
        <v/>
      </c>
      <c r="I1280">
        <f>IFERROR(INDEX(PP_Grid[#Data],$DD1280,7),0)</f>
        <v/>
      </c>
      <c r="J1280">
        <f>IFERROR(INDEX(PP_Grid[#Data],$DD1280,8),0)</f>
        <v/>
      </c>
      <c r="K1280">
        <f>IFERROR(INDEX(PP_Grid[#Data],$DD1280,9),0)</f>
        <v/>
      </c>
      <c r="L1280">
        <f>IFERROR(INDEX(PP_Grid[#Data],$DD1280,10),0)</f>
        <v/>
      </c>
      <c r="M1280">
        <f>IFERROR(INDEX(PP_Grid[#Data],$DD1280,11),0)</f>
        <v/>
      </c>
      <c r="N1280">
        <f>IFERROR(INDEX(PP_Grid[#Data],$DD1280,12),0)</f>
        <v/>
      </c>
      <c r="O1280">
        <f>IFERROR(INDEX(PP_Grid[#Data],$DD1280,13),0)</f>
        <v/>
      </c>
      <c r="P1280">
        <f>IFERROR(INDEX(PP_Grid[#Data],$DD1280,14),0)</f>
        <v/>
      </c>
      <c r="Q1280">
        <f>IFERROR(INDEX(PP_Grid[#Data],$DD1280,15),0)</f>
        <v/>
      </c>
      <c r="R1280">
        <f>IFERROR(INDEX(PP_Grid[#Data],$DD1280,16),0)</f>
        <v/>
      </c>
      <c r="S1280">
        <f>IFERROR(INDEX(PP_Grid[#Data],$DD1280,17),0)</f>
        <v/>
      </c>
      <c r="T1280">
        <f>IFERROR(INDEX(PP_Grid[#Data],$DD1280,18),0)</f>
        <v/>
      </c>
      <c r="U1280">
        <f>IFERROR(INDEX(PP_Grid[#Data],$DD1280,19),0)</f>
        <v/>
      </c>
      <c r="V1280">
        <f>IFERROR(INDEX(PP_Grid[#Data],$DD1280,20),0)</f>
        <v/>
      </c>
      <c r="W1280">
        <f>IFERROR(INDEX(PP_Grid[#Data],$DD1280,21),0)</f>
        <v/>
      </c>
      <c r="X1280">
        <f>IFERROR(INDEX(PP_Grid[#Data],$DD1280,22),0)</f>
        <v/>
      </c>
      <c r="Y1280">
        <f>IFERROR(INDEX(PP_Grid[#Data],$DD1280,23),0)</f>
        <v/>
      </c>
      <c r="Z1280">
        <f>IFERROR(INDEX(PP_Grid[#Data],$DD1280,24),0)</f>
        <v/>
      </c>
      <c r="AA1280">
        <f>IFERROR(INDEX(PP_Grid[#Data],$DD1280,25),0)</f>
        <v/>
      </c>
      <c r="AB1280">
        <f>IFERROR(INDEX(PP_Grid[#Data],$DD1280,26),0)</f>
        <v/>
      </c>
      <c r="AC1280">
        <f>IFERROR(INDEX(PP_Grid[#Data],$DD1280,27),0)</f>
        <v/>
      </c>
      <c r="AD1280">
        <f>IFERROR(INDEX(PP_Grid[#Data],$DD1280,28),0)</f>
        <v/>
      </c>
      <c r="AE1280">
        <f>IFERROR(INDEX(PP_Grid[#Data],$DD1280,29),0)</f>
        <v/>
      </c>
      <c r="AF1280">
        <f>IFERROR(INDEX(PP_Grid[#Data],$DD1280,30),0)</f>
        <v/>
      </c>
      <c r="AG1280">
        <f>IFERROR(INDEX(PP_Grid[#Data],$DD1280,31),0)</f>
        <v/>
      </c>
      <c r="AH1280">
        <f>IFERROR(INDEX(PP_Grid[#Data],$DD1280,32),0)</f>
        <v/>
      </c>
      <c r="AI1280">
        <f>IFERROR(INDEX(PP_Grid[#Data],$DD1280,33),0)</f>
        <v/>
      </c>
      <c r="AJ1280">
        <f>IFERROR(INDEX(PP_Grid[#Data],$DD1280,34),0)</f>
        <v/>
      </c>
      <c r="AK1280">
        <f>IFERROR(INDEX(PP_Grid[#Data],$DD1280,35),0)</f>
        <v/>
      </c>
      <c r="AL1280">
        <f>IFERROR(INDEX(PP_Grid[#Data],$DD1280,36),0)</f>
        <v/>
      </c>
      <c r="AM1280">
        <f>IFERROR(INDEX(PP_Grid[#Data],$DD1280,37),0)</f>
        <v/>
      </c>
      <c r="AN1280">
        <f>IFERROR(INDEX(PP_Grid[#Data],$DD1280,38),0)</f>
        <v/>
      </c>
      <c r="AO1280">
        <f>IFERROR(INDEX(PP_Grid[#Data],$DD1280,39),0)</f>
        <v/>
      </c>
      <c r="AP1280">
        <f>IFERROR(INDEX(PP_Grid[#Data],$DD1280,40),0)</f>
        <v/>
      </c>
      <c r="AQ1280">
        <f>IFERROR(INDEX(PP_Grid[#Data],$DD1280,41),0)</f>
        <v/>
      </c>
      <c r="AR1280">
        <f>IFERROR(INDEX(PP_Grid[#Data],$DD1280,42),0)</f>
        <v/>
      </c>
      <c r="AS1280">
        <f>IFERROR(INDEX(PP_Grid[#Data],$DD1280,43),0)</f>
        <v/>
      </c>
      <c r="AT1280">
        <f>IFERROR(INDEX(PP_Grid[#Data],$DD1280,44),0)</f>
        <v/>
      </c>
      <c r="AU1280">
        <f>IFERROR(INDEX(PP_Grid[#Data],$DD1280,45),0)</f>
        <v/>
      </c>
      <c r="AV1280">
        <f>IFERROR(INDEX(PP_Grid[#Data],$DD1280,46),0)</f>
        <v/>
      </c>
      <c r="AW1280">
        <f>IFERROR(INDEX(PP_Grid[#Data],$DD1280,47),0)</f>
        <v/>
      </c>
      <c r="AX1280">
        <f>IFERROR(INDEX(PP_Grid[#Data],$DD1280,48),0)</f>
        <v/>
      </c>
      <c r="AY1280">
        <f>IFERROR(INDEX(PP_Grid[#Data],$DD1280,49),0)</f>
        <v/>
      </c>
      <c r="AZ1280">
        <f>IFERROR(INDEX(PP_Grid[#Data],$DD1280,50),0)</f>
        <v/>
      </c>
      <c r="BA1280">
        <f>IFERROR(INDEX(PP_Grid[#Data],$DD1280,51),0)</f>
        <v/>
      </c>
      <c r="BB1280">
        <f>IFERROR(INDEX(PP_Grid[#Data],$DD1280,52),0)</f>
        <v/>
      </c>
      <c r="BC1280">
        <f>IFERROR(INDEX(PP_Grid[#Data],$DD1280,53),0)</f>
        <v/>
      </c>
      <c r="BD1280">
        <f>IFERROR(INDEX(PP_Grid[#Data],$DD1280,54),0)</f>
        <v/>
      </c>
      <c r="BE1280">
        <f>IFERROR(INDEX(PP_Grid[#Data],$DD1280,55),0)</f>
        <v/>
      </c>
      <c r="BF1280">
        <f>IFERROR(INDEX(PP_Grid[#Data],$DD1280,56),0)</f>
        <v/>
      </c>
      <c r="BG1280">
        <f>IFERROR(INDEX(PP_Grid[#Data],$DD1280,57),0)</f>
        <v/>
      </c>
      <c r="BH1280">
        <f>IFERROR(INDEX(PP_Grid[#Data],$DD1280,58),0)</f>
        <v/>
      </c>
      <c r="BI1280">
        <f>IFERROR(INDEX(PP_Grid[#Data],$DD1280,59),0)</f>
        <v/>
      </c>
      <c r="BJ1280">
        <f>IFERROR(INDEX(PP_Grid[#Data],$DD1280,60),0)</f>
        <v/>
      </c>
      <c r="BK1280">
        <f>IFERROR(INDEX(PP_Grid[#Data],$DD1280,61),0)</f>
        <v/>
      </c>
      <c r="BL1280">
        <f>IFERROR(INDEX(PP_Grid[#Data],$DD1280,62),0)</f>
        <v/>
      </c>
      <c r="BM1280">
        <f>IFERROR(INDEX(PP_Grid[#Data],$DD1280,63),0)</f>
        <v/>
      </c>
      <c r="BN1280">
        <f>IFERROR(INDEX(PP_Grid[#Data],$DD1280,64),0)</f>
        <v/>
      </c>
      <c r="BO1280">
        <f>IFERROR(INDEX(PP_Grid[#Data],$DD1280,65),0)</f>
        <v/>
      </c>
      <c r="BP1280">
        <f>IFERROR(INDEX(PP_Grid[#Data],$DD1280,66),0)</f>
        <v/>
      </c>
      <c r="BQ1280">
        <f>IFERROR(INDEX(PP_Grid[#Data],$DD1280,67),0)</f>
        <v/>
      </c>
      <c r="BR1280">
        <f>IFERROR(INDEX(PP_Grid[#Data],$DD1280,68),0)</f>
        <v/>
      </c>
      <c r="BS1280">
        <f>IFERROR(INDEX(PP_Grid[#Data],$DD1280,69),0)</f>
        <v/>
      </c>
      <c r="BT1280">
        <f>IFERROR(INDEX(PP_Grid[#Data],$DD1280,70),0)</f>
        <v/>
      </c>
      <c r="BU1280">
        <f>IFERROR(INDEX(PP_Grid[#Data],$DD1280,71),0)</f>
        <v/>
      </c>
      <c r="BV1280">
        <f>IFERROR(INDEX(PP_Grid[#Data],$DD1280,72),0)</f>
        <v/>
      </c>
      <c r="BW1280">
        <f>IFERROR(INDEX(PP_Grid[#Data],$DD1280,73),0)</f>
        <v/>
      </c>
      <c r="BX1280">
        <f>IFERROR(INDEX(PP_Grid[#Data],$DD1280,74),0)</f>
        <v/>
      </c>
      <c r="BY1280">
        <f>IFERROR(INDEX(PP_Grid[#Data],$DD1280,75),0)</f>
        <v/>
      </c>
      <c r="BZ1280">
        <f>IFERROR(INDEX(PP_Grid[#Data],$DD1280,76),0)</f>
        <v/>
      </c>
      <c r="CA1280">
        <f>IFERROR(INDEX(PP_Grid[#Data],$DD1280,77),0)</f>
        <v/>
      </c>
      <c r="CB1280">
        <f>IFERROR(INDEX(PP_Grid[#Data],$DD1280,78),0)</f>
        <v/>
      </c>
      <c r="CC1280">
        <f>IFERROR(INDEX(PP_Grid[#Data],$DD1280,79),0)</f>
        <v/>
      </c>
      <c r="CD1280">
        <f>IFERROR(INDEX(PP_Grid[#Data],$DD1280,80),0)</f>
        <v/>
      </c>
      <c r="CE1280">
        <f>IFERROR(INDEX(PP_Grid[#Data],$DD1280,81),0)</f>
        <v/>
      </c>
      <c r="CF1280">
        <f>IFERROR(INDEX(PP_Grid[#Data],$DD1280,82),0)</f>
        <v/>
      </c>
      <c r="CG1280">
        <f>IFERROR(INDEX(PP_Grid[#Data],$DD1280,83),0)</f>
        <v/>
      </c>
      <c r="CH1280">
        <f>IFERROR(INDEX(PP_Grid[#Data],$DD1280,84),0)</f>
        <v/>
      </c>
      <c r="CI1280">
        <f>IFERROR(INDEX(PP_Grid[#Data],$DD1280,85),0)</f>
        <v/>
      </c>
      <c r="CJ1280">
        <f>IFERROR(INDEX(PP_Grid[#Data],$DD1280,86),0)</f>
        <v/>
      </c>
      <c r="CK1280">
        <f>IFERROR(INDEX(PP_Grid[#Data],$DD1280,87),0)</f>
        <v/>
      </c>
      <c r="CL1280">
        <f>IFERROR(INDEX(PP_Grid[#Data],$DD1280,88),0)</f>
        <v/>
      </c>
      <c r="CM1280">
        <f>IFERROR(INDEX(PP_Grid[#Data],$DD1280,89),0)</f>
        <v/>
      </c>
      <c r="CN1280">
        <f>IFERROR(INDEX(PP_Grid[#Data],$DD1280,90),0)</f>
        <v/>
      </c>
      <c r="CO1280">
        <f>IFERROR(INDEX(PP_Grid[#Data],$DD1280,91),0)</f>
        <v/>
      </c>
      <c r="CP1280">
        <f>IFERROR(INDEX(PP_Grid[#Data],$DD1280,92),0)</f>
        <v/>
      </c>
      <c r="CQ1280">
        <f>IFERROR(INDEX(PP_Grid[#Data],$DD1280,93),0)</f>
        <v/>
      </c>
      <c r="CR1280">
        <f>IFERROR(INDEX(PP_Grid[#Data],$DD1280,94),0)</f>
        <v/>
      </c>
      <c r="CS1280">
        <f>IFERROR(INDEX(PP_Grid[#Data],$DD1280,95),0)</f>
        <v/>
      </c>
      <c r="CT1280">
        <f>IFERROR(INDEX(PP_Grid[#Data],$DD1280,96),0)</f>
        <v/>
      </c>
      <c r="CU1280">
        <f>IFERROR(INDEX(PP_Grid[#Data],$DD1280,97),0)</f>
        <v/>
      </c>
      <c r="CV1280">
        <f>IFERROR(INDEX(PP_Grid[#Data],$DD1280,98),0)</f>
        <v/>
      </c>
      <c r="CW1280">
        <f>IFERROR(INDEX(PP_Grid[#Data],$DD1280,99),0)</f>
        <v/>
      </c>
      <c r="CX1280">
        <f>IFERROR(INDEX(PP_Grid[#Data],$DD1280,100),0)</f>
        <v/>
      </c>
      <c r="CY1280">
        <f>IFERROR(INDEX(PP_Grid[#Data],$DD1280,101),0)</f>
        <v/>
      </c>
      <c r="CZ1280">
        <f>IFERROR(INDEX(PP_Grid[#Data],$DD1280,102),0)</f>
        <v/>
      </c>
      <c r="DA1280">
        <f>IFERROR(INDEX(PP_Grid[#Data],$DD1280,103),0)</f>
        <v/>
      </c>
      <c r="DB1280">
        <f>IFERROR(INDEX(PP_Grid[#Data],$DD1280,104),0)</f>
        <v/>
      </c>
      <c r="DC1280">
        <f>IFERROR(INDEX(PP_Grid[#Data],$DD1280,105),0)</f>
        <v/>
      </c>
      <c r="DD1280" s="12">
        <f>IFERROR(MATCH($B1280,PP_Grid[Intermediate],0),99999)</f>
        <v/>
      </c>
    </row>
    <row r="1281">
      <c r="B1281" t="inlineStr">
        <is>
          <t>使用量(kg)</t>
        </is>
      </c>
      <c r="C1281">
        <f>SUMIFS(M_BOM[RM_Qty_Per_Batch],M_BOM[Intermediate],$B1280,M_BOM[Part Name],$A1251)</f>
        <v/>
      </c>
      <c r="D1281">
        <f>$C1281*D1280</f>
        <v/>
      </c>
      <c r="E1281">
        <f>$C1281*E1280</f>
        <v/>
      </c>
      <c r="F1281">
        <f>$C1281*F1280</f>
        <v/>
      </c>
      <c r="G1281">
        <f>$C1281*G1280</f>
        <v/>
      </c>
      <c r="H1281">
        <f>$C1281*H1280</f>
        <v/>
      </c>
      <c r="I1281">
        <f>$C1281*I1280</f>
        <v/>
      </c>
      <c r="J1281">
        <f>$C1281*J1280</f>
        <v/>
      </c>
      <c r="K1281">
        <f>$C1281*K1280</f>
        <v/>
      </c>
      <c r="L1281">
        <f>$C1281*L1280</f>
        <v/>
      </c>
      <c r="M1281">
        <f>$C1281*M1280</f>
        <v/>
      </c>
      <c r="N1281">
        <f>$C1281*N1280</f>
        <v/>
      </c>
      <c r="O1281">
        <f>$C1281*O1280</f>
        <v/>
      </c>
      <c r="P1281">
        <f>$C1281*P1280</f>
        <v/>
      </c>
      <c r="Q1281">
        <f>$C1281*Q1280</f>
        <v/>
      </c>
      <c r="R1281">
        <f>$C1281*R1280</f>
        <v/>
      </c>
      <c r="S1281">
        <f>$C1281*S1280</f>
        <v/>
      </c>
      <c r="T1281">
        <f>$C1281*T1280</f>
        <v/>
      </c>
      <c r="U1281">
        <f>$C1281*U1280</f>
        <v/>
      </c>
      <c r="V1281">
        <f>$C1281*V1280</f>
        <v/>
      </c>
      <c r="W1281">
        <f>$C1281*W1280</f>
        <v/>
      </c>
      <c r="X1281">
        <f>$C1281*X1280</f>
        <v/>
      </c>
      <c r="Y1281">
        <f>$C1281*Y1280</f>
        <v/>
      </c>
      <c r="Z1281">
        <f>$C1281*Z1280</f>
        <v/>
      </c>
      <c r="AA1281">
        <f>$C1281*AA1280</f>
        <v/>
      </c>
      <c r="AB1281">
        <f>$C1281*AB1280</f>
        <v/>
      </c>
      <c r="AC1281">
        <f>$C1281*AC1280</f>
        <v/>
      </c>
      <c r="AD1281">
        <f>$C1281*AD1280</f>
        <v/>
      </c>
      <c r="AE1281">
        <f>$C1281*AE1280</f>
        <v/>
      </c>
      <c r="AF1281">
        <f>$C1281*AF1280</f>
        <v/>
      </c>
      <c r="AG1281">
        <f>$C1281*AG1280</f>
        <v/>
      </c>
      <c r="AH1281">
        <f>$C1281*AH1280</f>
        <v/>
      </c>
      <c r="AI1281">
        <f>$C1281*AI1280</f>
        <v/>
      </c>
      <c r="AJ1281">
        <f>$C1281*AJ1280</f>
        <v/>
      </c>
      <c r="AK1281">
        <f>$C1281*AK1280</f>
        <v/>
      </c>
      <c r="AL1281">
        <f>$C1281*AL1280</f>
        <v/>
      </c>
      <c r="AM1281">
        <f>$C1281*AM1280</f>
        <v/>
      </c>
      <c r="AN1281">
        <f>$C1281*AN1280</f>
        <v/>
      </c>
      <c r="AO1281">
        <f>$C1281*AO1280</f>
        <v/>
      </c>
      <c r="AP1281">
        <f>$C1281*AP1280</f>
        <v/>
      </c>
      <c r="AQ1281">
        <f>$C1281*AQ1280</f>
        <v/>
      </c>
      <c r="AR1281">
        <f>$C1281*AR1280</f>
        <v/>
      </c>
      <c r="AS1281">
        <f>$C1281*AS1280</f>
        <v/>
      </c>
      <c r="AT1281">
        <f>$C1281*AT1280</f>
        <v/>
      </c>
      <c r="AU1281">
        <f>$C1281*AU1280</f>
        <v/>
      </c>
      <c r="AV1281">
        <f>$C1281*AV1280</f>
        <v/>
      </c>
      <c r="AW1281">
        <f>$C1281*AW1280</f>
        <v/>
      </c>
      <c r="AX1281">
        <f>$C1281*AX1280</f>
        <v/>
      </c>
      <c r="AY1281">
        <f>$C1281*AY1280</f>
        <v/>
      </c>
      <c r="AZ1281">
        <f>$C1281*AZ1280</f>
        <v/>
      </c>
      <c r="BA1281">
        <f>$C1281*BA1280</f>
        <v/>
      </c>
      <c r="BB1281">
        <f>$C1281*BB1280</f>
        <v/>
      </c>
      <c r="BC1281">
        <f>$C1281*BC1280</f>
        <v/>
      </c>
      <c r="BD1281">
        <f>$C1281*BD1280</f>
        <v/>
      </c>
      <c r="BE1281">
        <f>$C1281*BE1280</f>
        <v/>
      </c>
      <c r="BF1281">
        <f>$C1281*BF1280</f>
        <v/>
      </c>
      <c r="BG1281">
        <f>$C1281*BG1280</f>
        <v/>
      </c>
      <c r="BH1281">
        <f>$C1281*BH1280</f>
        <v/>
      </c>
      <c r="BI1281">
        <f>$C1281*BI1280</f>
        <v/>
      </c>
      <c r="BJ1281">
        <f>$C1281*BJ1280</f>
        <v/>
      </c>
      <c r="BK1281">
        <f>$C1281*BK1280</f>
        <v/>
      </c>
      <c r="BL1281">
        <f>$C1281*BL1280</f>
        <v/>
      </c>
      <c r="BM1281">
        <f>$C1281*BM1280</f>
        <v/>
      </c>
      <c r="BN1281">
        <f>$C1281*BN1280</f>
        <v/>
      </c>
      <c r="BO1281">
        <f>$C1281*BO1280</f>
        <v/>
      </c>
      <c r="BP1281">
        <f>$C1281*BP1280</f>
        <v/>
      </c>
      <c r="BQ1281">
        <f>$C1281*BQ1280</f>
        <v/>
      </c>
      <c r="BR1281">
        <f>$C1281*BR1280</f>
        <v/>
      </c>
      <c r="BS1281">
        <f>$C1281*BS1280</f>
        <v/>
      </c>
      <c r="BT1281">
        <f>$C1281*BT1280</f>
        <v/>
      </c>
      <c r="BU1281">
        <f>$C1281*BU1280</f>
        <v/>
      </c>
      <c r="BV1281">
        <f>$C1281*BV1280</f>
        <v/>
      </c>
      <c r="BW1281">
        <f>$C1281*BW1280</f>
        <v/>
      </c>
      <c r="BX1281">
        <f>$C1281*BX1280</f>
        <v/>
      </c>
      <c r="BY1281">
        <f>$C1281*BY1280</f>
        <v/>
      </c>
      <c r="BZ1281">
        <f>$C1281*BZ1280</f>
        <v/>
      </c>
      <c r="CA1281">
        <f>$C1281*CA1280</f>
        <v/>
      </c>
      <c r="CB1281">
        <f>$C1281*CB1280</f>
        <v/>
      </c>
      <c r="CC1281">
        <f>$C1281*CC1280</f>
        <v/>
      </c>
      <c r="CD1281">
        <f>$C1281*CD1280</f>
        <v/>
      </c>
      <c r="CE1281">
        <f>$C1281*CE1280</f>
        <v/>
      </c>
      <c r="CF1281">
        <f>$C1281*CF1280</f>
        <v/>
      </c>
      <c r="CG1281">
        <f>$C1281*CG1280</f>
        <v/>
      </c>
      <c r="CH1281">
        <f>$C1281*CH1280</f>
        <v/>
      </c>
      <c r="CI1281">
        <f>$C1281*CI1280</f>
        <v/>
      </c>
      <c r="CJ1281">
        <f>$C1281*CJ1280</f>
        <v/>
      </c>
      <c r="CK1281">
        <f>$C1281*CK1280</f>
        <v/>
      </c>
      <c r="CL1281">
        <f>$C1281*CL1280</f>
        <v/>
      </c>
      <c r="CM1281">
        <f>$C1281*CM1280</f>
        <v/>
      </c>
      <c r="CN1281">
        <f>$C1281*CN1280</f>
        <v/>
      </c>
      <c r="CO1281">
        <f>$C1281*CO1280</f>
        <v/>
      </c>
      <c r="CP1281">
        <f>$C1281*CP1280</f>
        <v/>
      </c>
      <c r="CQ1281">
        <f>$C1281*CQ1280</f>
        <v/>
      </c>
      <c r="CR1281">
        <f>$C1281*CR1280</f>
        <v/>
      </c>
      <c r="CS1281">
        <f>$C1281*CS1280</f>
        <v/>
      </c>
      <c r="CT1281">
        <f>$C1281*CT1280</f>
        <v/>
      </c>
      <c r="CU1281">
        <f>$C1281*CU1280</f>
        <v/>
      </c>
      <c r="CV1281">
        <f>$C1281*CV1280</f>
        <v/>
      </c>
      <c r="CW1281">
        <f>$C1281*CW1280</f>
        <v/>
      </c>
      <c r="CX1281">
        <f>$C1281*CX1280</f>
        <v/>
      </c>
      <c r="CY1281">
        <f>$C1281*CY1280</f>
        <v/>
      </c>
      <c r="CZ1281">
        <f>$C1281*CZ1280</f>
        <v/>
      </c>
      <c r="DA1281">
        <f>$C1281*DA1280</f>
        <v/>
      </c>
      <c r="DB1281">
        <f>$C1281*DB1280</f>
        <v/>
      </c>
      <c r="DC1281">
        <f>$C1281*DC1280</f>
        <v/>
      </c>
    </row>
    <row r="1282">
      <c r="B1282" s="5" t="inlineStr">
        <is>
          <t>合計使用量(kg)/週</t>
        </is>
      </c>
      <c r="D1282">
        <f>'Grid_Requirement'!B61</f>
        <v/>
      </c>
      <c r="E1282">
        <f>'Grid_Requirement'!C61</f>
        <v/>
      </c>
      <c r="F1282">
        <f>'Grid_Requirement'!D61</f>
        <v/>
      </c>
      <c r="G1282">
        <f>'Grid_Requirement'!E61</f>
        <v/>
      </c>
      <c r="H1282">
        <f>'Grid_Requirement'!F61</f>
        <v/>
      </c>
      <c r="I1282">
        <f>'Grid_Requirement'!G61</f>
        <v/>
      </c>
      <c r="J1282">
        <f>'Grid_Requirement'!H61</f>
        <v/>
      </c>
      <c r="K1282">
        <f>'Grid_Requirement'!I61</f>
        <v/>
      </c>
      <c r="L1282">
        <f>'Grid_Requirement'!J61</f>
        <v/>
      </c>
      <c r="M1282">
        <f>'Grid_Requirement'!K61</f>
        <v/>
      </c>
      <c r="N1282">
        <f>'Grid_Requirement'!L61</f>
        <v/>
      </c>
      <c r="O1282">
        <f>'Grid_Requirement'!M61</f>
        <v/>
      </c>
      <c r="P1282">
        <f>'Grid_Requirement'!N61</f>
        <v/>
      </c>
      <c r="Q1282">
        <f>'Grid_Requirement'!O61</f>
        <v/>
      </c>
      <c r="R1282">
        <f>'Grid_Requirement'!P61</f>
        <v/>
      </c>
      <c r="S1282">
        <f>'Grid_Requirement'!Q61</f>
        <v/>
      </c>
      <c r="T1282">
        <f>'Grid_Requirement'!R61</f>
        <v/>
      </c>
      <c r="U1282">
        <f>'Grid_Requirement'!S61</f>
        <v/>
      </c>
      <c r="V1282">
        <f>'Grid_Requirement'!T61</f>
        <v/>
      </c>
      <c r="W1282">
        <f>'Grid_Requirement'!U61</f>
        <v/>
      </c>
      <c r="X1282">
        <f>'Grid_Requirement'!V61</f>
        <v/>
      </c>
      <c r="Y1282">
        <f>'Grid_Requirement'!W61</f>
        <v/>
      </c>
      <c r="Z1282">
        <f>'Grid_Requirement'!X61</f>
        <v/>
      </c>
      <c r="AA1282">
        <f>'Grid_Requirement'!Y61</f>
        <v/>
      </c>
      <c r="AB1282">
        <f>'Grid_Requirement'!Z61</f>
        <v/>
      </c>
      <c r="AC1282">
        <f>'Grid_Requirement'!AA61</f>
        <v/>
      </c>
      <c r="AD1282">
        <f>'Grid_Requirement'!AB61</f>
        <v/>
      </c>
      <c r="AE1282">
        <f>'Grid_Requirement'!AC61</f>
        <v/>
      </c>
      <c r="AF1282">
        <f>'Grid_Requirement'!AD61</f>
        <v/>
      </c>
      <c r="AG1282">
        <f>'Grid_Requirement'!AE61</f>
        <v/>
      </c>
      <c r="AH1282">
        <f>'Grid_Requirement'!AF61</f>
        <v/>
      </c>
      <c r="AI1282">
        <f>'Grid_Requirement'!AG61</f>
        <v/>
      </c>
      <c r="AJ1282">
        <f>'Grid_Requirement'!AH61</f>
        <v/>
      </c>
      <c r="AK1282">
        <f>'Grid_Requirement'!AI61</f>
        <v/>
      </c>
      <c r="AL1282">
        <f>'Grid_Requirement'!AJ61</f>
        <v/>
      </c>
      <c r="AM1282">
        <f>'Grid_Requirement'!AK61</f>
        <v/>
      </c>
      <c r="AN1282">
        <f>'Grid_Requirement'!AL61</f>
        <v/>
      </c>
      <c r="AO1282">
        <f>'Grid_Requirement'!AM61</f>
        <v/>
      </c>
      <c r="AP1282">
        <f>'Grid_Requirement'!AN61</f>
        <v/>
      </c>
      <c r="AQ1282">
        <f>'Grid_Requirement'!AO61</f>
        <v/>
      </c>
      <c r="AR1282">
        <f>'Grid_Requirement'!AP61</f>
        <v/>
      </c>
      <c r="AS1282">
        <f>'Grid_Requirement'!AQ61</f>
        <v/>
      </c>
      <c r="AT1282">
        <f>'Grid_Requirement'!AR61</f>
        <v/>
      </c>
      <c r="AU1282">
        <f>'Grid_Requirement'!AS61</f>
        <v/>
      </c>
      <c r="AV1282">
        <f>'Grid_Requirement'!AT61</f>
        <v/>
      </c>
      <c r="AW1282">
        <f>'Grid_Requirement'!AU61</f>
        <v/>
      </c>
      <c r="AX1282">
        <f>'Grid_Requirement'!AV61</f>
        <v/>
      </c>
      <c r="AY1282">
        <f>'Grid_Requirement'!AW61</f>
        <v/>
      </c>
      <c r="AZ1282">
        <f>'Grid_Requirement'!AX61</f>
        <v/>
      </c>
      <c r="BA1282">
        <f>'Grid_Requirement'!AY61</f>
        <v/>
      </c>
      <c r="BB1282">
        <f>'Grid_Requirement'!AZ61</f>
        <v/>
      </c>
      <c r="BC1282">
        <f>'Grid_Requirement'!BA61</f>
        <v/>
      </c>
      <c r="BD1282">
        <f>'Grid_Requirement'!BB61</f>
        <v/>
      </c>
      <c r="BE1282">
        <f>'Grid_Requirement'!BC61</f>
        <v/>
      </c>
      <c r="BF1282">
        <f>'Grid_Requirement'!BD61</f>
        <v/>
      </c>
      <c r="BG1282">
        <f>'Grid_Requirement'!BE61</f>
        <v/>
      </c>
      <c r="BH1282">
        <f>'Grid_Requirement'!BF61</f>
        <v/>
      </c>
      <c r="BI1282">
        <f>'Grid_Requirement'!BG61</f>
        <v/>
      </c>
      <c r="BJ1282">
        <f>'Grid_Requirement'!BH61</f>
        <v/>
      </c>
      <c r="BK1282">
        <f>'Grid_Requirement'!BI61</f>
        <v/>
      </c>
      <c r="BL1282">
        <f>'Grid_Requirement'!BJ61</f>
        <v/>
      </c>
      <c r="BM1282">
        <f>'Grid_Requirement'!BK61</f>
        <v/>
      </c>
      <c r="BN1282">
        <f>'Grid_Requirement'!BL61</f>
        <v/>
      </c>
      <c r="BO1282">
        <f>'Grid_Requirement'!BM61</f>
        <v/>
      </c>
      <c r="BP1282">
        <f>'Grid_Requirement'!BN61</f>
        <v/>
      </c>
      <c r="BQ1282">
        <f>'Grid_Requirement'!BO61</f>
        <v/>
      </c>
      <c r="BR1282">
        <f>'Grid_Requirement'!BP61</f>
        <v/>
      </c>
      <c r="BS1282">
        <f>'Grid_Requirement'!BQ61</f>
        <v/>
      </c>
      <c r="BT1282">
        <f>'Grid_Requirement'!BR61</f>
        <v/>
      </c>
      <c r="BU1282">
        <f>'Grid_Requirement'!BS61</f>
        <v/>
      </c>
      <c r="BV1282">
        <f>'Grid_Requirement'!BT61</f>
        <v/>
      </c>
      <c r="BW1282">
        <f>'Grid_Requirement'!BU61</f>
        <v/>
      </c>
      <c r="BX1282">
        <f>'Grid_Requirement'!BV61</f>
        <v/>
      </c>
      <c r="BY1282">
        <f>'Grid_Requirement'!BW61</f>
        <v/>
      </c>
      <c r="BZ1282">
        <f>'Grid_Requirement'!BX61</f>
        <v/>
      </c>
      <c r="CA1282">
        <f>'Grid_Requirement'!BY61</f>
        <v/>
      </c>
      <c r="CB1282">
        <f>'Grid_Requirement'!BZ61</f>
        <v/>
      </c>
      <c r="CC1282">
        <f>'Grid_Requirement'!CA61</f>
        <v/>
      </c>
      <c r="CD1282">
        <f>'Grid_Requirement'!CB61</f>
        <v/>
      </c>
      <c r="CE1282">
        <f>'Grid_Requirement'!CC61</f>
        <v/>
      </c>
      <c r="CF1282">
        <f>'Grid_Requirement'!CD61</f>
        <v/>
      </c>
      <c r="CG1282">
        <f>'Grid_Requirement'!CE61</f>
        <v/>
      </c>
      <c r="CH1282">
        <f>'Grid_Requirement'!CF61</f>
        <v/>
      </c>
      <c r="CI1282">
        <f>'Grid_Requirement'!CG61</f>
        <v/>
      </c>
      <c r="CJ1282">
        <f>'Grid_Requirement'!CH61</f>
        <v/>
      </c>
      <c r="CK1282">
        <f>'Grid_Requirement'!CI61</f>
        <v/>
      </c>
      <c r="CL1282">
        <f>'Grid_Requirement'!CJ61</f>
        <v/>
      </c>
      <c r="CM1282">
        <f>'Grid_Requirement'!CK61</f>
        <v/>
      </c>
      <c r="CN1282">
        <f>'Grid_Requirement'!CL61</f>
        <v/>
      </c>
      <c r="CO1282">
        <f>'Grid_Requirement'!CM61</f>
        <v/>
      </c>
      <c r="CP1282">
        <f>'Grid_Requirement'!CN61</f>
        <v/>
      </c>
      <c r="CQ1282">
        <f>'Grid_Requirement'!CO61</f>
        <v/>
      </c>
      <c r="CR1282">
        <f>'Grid_Requirement'!CP61</f>
        <v/>
      </c>
      <c r="CS1282">
        <f>'Grid_Requirement'!CQ61</f>
        <v/>
      </c>
      <c r="CT1282">
        <f>'Grid_Requirement'!CR61</f>
        <v/>
      </c>
      <c r="CU1282">
        <f>'Grid_Requirement'!CS61</f>
        <v/>
      </c>
      <c r="CV1282">
        <f>'Grid_Requirement'!CT61</f>
        <v/>
      </c>
      <c r="CW1282">
        <f>'Grid_Requirement'!CU61</f>
        <v/>
      </c>
      <c r="CX1282">
        <f>'Grid_Requirement'!CV61</f>
        <v/>
      </c>
      <c r="CY1282">
        <f>'Grid_Requirement'!CW61</f>
        <v/>
      </c>
      <c r="CZ1282">
        <f>'Grid_Requirement'!CX61</f>
        <v/>
      </c>
      <c r="DA1282">
        <f>'Grid_Requirement'!CY61</f>
        <v/>
      </c>
      <c r="DB1282">
        <f>'Grid_Requirement'!CZ61</f>
        <v/>
      </c>
      <c r="DC1282">
        <f>'Grid_Requirement'!DA61</f>
        <v/>
      </c>
    </row>
    <row r="1283">
      <c r="B1283" t="inlineStr">
        <is>
          <t>TTAF在庫(実績,kg)</t>
        </is>
      </c>
      <c r="D1283">
        <f>'T_TTAFStock'!B65</f>
        <v/>
      </c>
      <c r="E1283">
        <f>'T_TTAFStock'!C65</f>
        <v/>
      </c>
      <c r="F1283">
        <f>'T_TTAFStock'!D65</f>
        <v/>
      </c>
      <c r="G1283">
        <f>'T_TTAFStock'!E65</f>
        <v/>
      </c>
      <c r="H1283">
        <f>'T_TTAFStock'!F65</f>
        <v/>
      </c>
      <c r="I1283">
        <f>'T_TTAFStock'!G65</f>
        <v/>
      </c>
      <c r="J1283">
        <f>'T_TTAFStock'!H65</f>
        <v/>
      </c>
      <c r="K1283">
        <f>'T_TTAFStock'!I65</f>
        <v/>
      </c>
      <c r="L1283">
        <f>'T_TTAFStock'!J65</f>
        <v/>
      </c>
      <c r="M1283">
        <f>'T_TTAFStock'!K65</f>
        <v/>
      </c>
      <c r="N1283">
        <f>'T_TTAFStock'!L65</f>
        <v/>
      </c>
      <c r="O1283">
        <f>'T_TTAFStock'!M65</f>
        <v/>
      </c>
      <c r="P1283">
        <f>'T_TTAFStock'!N65</f>
        <v/>
      </c>
      <c r="Q1283">
        <f>'T_TTAFStock'!O65</f>
        <v/>
      </c>
      <c r="R1283">
        <f>'T_TTAFStock'!P65</f>
        <v/>
      </c>
      <c r="S1283">
        <f>'T_TTAFStock'!Q65</f>
        <v/>
      </c>
      <c r="T1283">
        <f>'T_TTAFStock'!R65</f>
        <v/>
      </c>
      <c r="U1283">
        <f>'T_TTAFStock'!S65</f>
        <v/>
      </c>
      <c r="V1283">
        <f>'T_TTAFStock'!T65</f>
        <v/>
      </c>
      <c r="W1283">
        <f>'T_TTAFStock'!U65</f>
        <v/>
      </c>
      <c r="X1283">
        <f>'T_TTAFStock'!V65</f>
        <v/>
      </c>
      <c r="Y1283">
        <f>'T_TTAFStock'!W65</f>
        <v/>
      </c>
      <c r="Z1283">
        <f>'T_TTAFStock'!X65</f>
        <v/>
      </c>
      <c r="AA1283">
        <f>'T_TTAFStock'!Y65</f>
        <v/>
      </c>
      <c r="AB1283">
        <f>'T_TTAFStock'!Z65</f>
        <v/>
      </c>
      <c r="AC1283">
        <f>'T_TTAFStock'!AA65</f>
        <v/>
      </c>
      <c r="AD1283">
        <f>'T_TTAFStock'!AB65</f>
        <v/>
      </c>
      <c r="AE1283">
        <f>'T_TTAFStock'!AC65</f>
        <v/>
      </c>
      <c r="AF1283">
        <f>'T_TTAFStock'!AD65</f>
        <v/>
      </c>
      <c r="AG1283">
        <f>'T_TTAFStock'!AE65</f>
        <v/>
      </c>
      <c r="AH1283">
        <f>'T_TTAFStock'!AF65</f>
        <v/>
      </c>
      <c r="AI1283">
        <f>'T_TTAFStock'!AG65</f>
        <v/>
      </c>
      <c r="AJ1283">
        <f>'T_TTAFStock'!AH65</f>
        <v/>
      </c>
      <c r="AK1283">
        <f>'T_TTAFStock'!AI65</f>
        <v/>
      </c>
      <c r="AL1283">
        <f>'T_TTAFStock'!AJ65</f>
        <v/>
      </c>
      <c r="AM1283">
        <f>'T_TTAFStock'!AK65</f>
        <v/>
      </c>
      <c r="AN1283">
        <f>'T_TTAFStock'!AL65</f>
        <v/>
      </c>
      <c r="AO1283">
        <f>'T_TTAFStock'!AM65</f>
        <v/>
      </c>
      <c r="AP1283">
        <f>'T_TTAFStock'!AN65</f>
        <v/>
      </c>
      <c r="AQ1283">
        <f>'T_TTAFStock'!AO65</f>
        <v/>
      </c>
      <c r="AR1283">
        <f>'T_TTAFStock'!AP65</f>
        <v/>
      </c>
      <c r="AS1283">
        <f>'T_TTAFStock'!AQ65</f>
        <v/>
      </c>
      <c r="AT1283">
        <f>'T_TTAFStock'!AR65</f>
        <v/>
      </c>
      <c r="AU1283">
        <f>'T_TTAFStock'!AS65</f>
        <v/>
      </c>
      <c r="AV1283">
        <f>'T_TTAFStock'!AT65</f>
        <v/>
      </c>
      <c r="AW1283">
        <f>'T_TTAFStock'!AU65</f>
        <v/>
      </c>
      <c r="AX1283">
        <f>'T_TTAFStock'!AV65</f>
        <v/>
      </c>
      <c r="AY1283">
        <f>'T_TTAFStock'!AW65</f>
        <v/>
      </c>
      <c r="AZ1283">
        <f>'T_TTAFStock'!AX65</f>
        <v/>
      </c>
      <c r="BA1283">
        <f>'T_TTAFStock'!AY65</f>
        <v/>
      </c>
      <c r="BB1283">
        <f>'T_TTAFStock'!AZ65</f>
        <v/>
      </c>
      <c r="BC1283">
        <f>'T_TTAFStock'!BA65</f>
        <v/>
      </c>
      <c r="BD1283">
        <f>'T_TTAFStock'!BB65</f>
        <v/>
      </c>
      <c r="BE1283">
        <f>'T_TTAFStock'!BC65</f>
        <v/>
      </c>
      <c r="BF1283">
        <f>'T_TTAFStock'!BD65</f>
        <v/>
      </c>
      <c r="BG1283">
        <f>'T_TTAFStock'!BE65</f>
        <v/>
      </c>
      <c r="BH1283">
        <f>'T_TTAFStock'!BF65</f>
        <v/>
      </c>
      <c r="BI1283">
        <f>'T_TTAFStock'!BG65</f>
        <v/>
      </c>
      <c r="BJ1283">
        <f>'T_TTAFStock'!BH65</f>
        <v/>
      </c>
      <c r="BK1283">
        <f>'T_TTAFStock'!BI65</f>
        <v/>
      </c>
      <c r="BL1283">
        <f>'T_TTAFStock'!BJ65</f>
        <v/>
      </c>
      <c r="BM1283">
        <f>'T_TTAFStock'!BK65</f>
        <v/>
      </c>
      <c r="BN1283">
        <f>'T_TTAFStock'!BL65</f>
        <v/>
      </c>
      <c r="BO1283">
        <f>'T_TTAFStock'!BM65</f>
        <v/>
      </c>
      <c r="BP1283">
        <f>'T_TTAFStock'!BN65</f>
        <v/>
      </c>
      <c r="BQ1283">
        <f>'T_TTAFStock'!BO65</f>
        <v/>
      </c>
      <c r="BR1283">
        <f>'T_TTAFStock'!BP65</f>
        <v/>
      </c>
      <c r="BS1283">
        <f>'T_TTAFStock'!BQ65</f>
        <v/>
      </c>
      <c r="BT1283">
        <f>'T_TTAFStock'!BR65</f>
        <v/>
      </c>
      <c r="BU1283">
        <f>'T_TTAFStock'!BS65</f>
        <v/>
      </c>
      <c r="BV1283">
        <f>'T_TTAFStock'!BT65</f>
        <v/>
      </c>
      <c r="BW1283">
        <f>'T_TTAFStock'!BU65</f>
        <v/>
      </c>
      <c r="BX1283">
        <f>'T_TTAFStock'!BV65</f>
        <v/>
      </c>
      <c r="BY1283">
        <f>'T_TTAFStock'!BW65</f>
        <v/>
      </c>
      <c r="BZ1283">
        <f>'T_TTAFStock'!BX65</f>
        <v/>
      </c>
      <c r="CA1283">
        <f>'T_TTAFStock'!BY65</f>
        <v/>
      </c>
      <c r="CB1283">
        <f>'T_TTAFStock'!BZ65</f>
        <v/>
      </c>
      <c r="CC1283">
        <f>'T_TTAFStock'!CA65</f>
        <v/>
      </c>
      <c r="CD1283">
        <f>'T_TTAFStock'!CB65</f>
        <v/>
      </c>
      <c r="CE1283">
        <f>'T_TTAFStock'!CC65</f>
        <v/>
      </c>
      <c r="CF1283">
        <f>'T_TTAFStock'!CD65</f>
        <v/>
      </c>
      <c r="CG1283">
        <f>'T_TTAFStock'!CE65</f>
        <v/>
      </c>
      <c r="CH1283">
        <f>'T_TTAFStock'!CF65</f>
        <v/>
      </c>
      <c r="CI1283">
        <f>'T_TTAFStock'!CG65</f>
        <v/>
      </c>
      <c r="CJ1283">
        <f>'T_TTAFStock'!CH65</f>
        <v/>
      </c>
      <c r="CK1283">
        <f>'T_TTAFStock'!CI65</f>
        <v/>
      </c>
      <c r="CL1283">
        <f>'T_TTAFStock'!CJ65</f>
        <v/>
      </c>
      <c r="CM1283">
        <f>'T_TTAFStock'!CK65</f>
        <v/>
      </c>
      <c r="CN1283">
        <f>'T_TTAFStock'!CL65</f>
        <v/>
      </c>
      <c r="CO1283">
        <f>'T_TTAFStock'!CM65</f>
        <v/>
      </c>
      <c r="CP1283">
        <f>'T_TTAFStock'!CN65</f>
        <v/>
      </c>
      <c r="CQ1283">
        <f>'T_TTAFStock'!CO65</f>
        <v/>
      </c>
      <c r="CR1283">
        <f>'T_TTAFStock'!CP65</f>
        <v/>
      </c>
      <c r="CS1283">
        <f>'T_TTAFStock'!CQ65</f>
        <v/>
      </c>
      <c r="CT1283">
        <f>'T_TTAFStock'!CR65</f>
        <v/>
      </c>
      <c r="CU1283">
        <f>'T_TTAFStock'!CS65</f>
        <v/>
      </c>
      <c r="CV1283">
        <f>'T_TTAFStock'!CT65</f>
        <v/>
      </c>
      <c r="CW1283">
        <f>'T_TTAFStock'!CU65</f>
        <v/>
      </c>
      <c r="CX1283">
        <f>'T_TTAFStock'!CV65</f>
        <v/>
      </c>
      <c r="CY1283">
        <f>'T_TTAFStock'!CW65</f>
        <v/>
      </c>
      <c r="CZ1283">
        <f>'T_TTAFStock'!CX65</f>
        <v/>
      </c>
      <c r="DA1283">
        <f>'T_TTAFStock'!CY65</f>
        <v/>
      </c>
      <c r="DB1283">
        <f>'T_TTAFStock'!CZ65</f>
        <v/>
      </c>
      <c r="DC1283">
        <f>'T_TTAFStock'!DA65</f>
        <v/>
      </c>
    </row>
    <row r="1284">
      <c r="B1284" t="inlineStr">
        <is>
          <t>自社在庫(実績,kg)</t>
        </is>
      </c>
      <c r="D1284">
        <f>'T_SelfStock'!B65</f>
        <v/>
      </c>
      <c r="E1284">
        <f>'T_SelfStock'!C65</f>
        <v/>
      </c>
      <c r="F1284">
        <f>'T_SelfStock'!D65</f>
        <v/>
      </c>
      <c r="G1284">
        <f>'T_SelfStock'!E65</f>
        <v/>
      </c>
      <c r="H1284">
        <f>'T_SelfStock'!F65</f>
        <v/>
      </c>
      <c r="I1284">
        <f>'T_SelfStock'!G65</f>
        <v/>
      </c>
      <c r="J1284">
        <f>'T_SelfStock'!H65</f>
        <v/>
      </c>
      <c r="K1284">
        <f>'T_SelfStock'!I65</f>
        <v/>
      </c>
      <c r="L1284">
        <f>'T_SelfStock'!J65</f>
        <v/>
      </c>
      <c r="M1284">
        <f>'T_SelfStock'!K65</f>
        <v/>
      </c>
      <c r="N1284">
        <f>'T_SelfStock'!L65</f>
        <v/>
      </c>
      <c r="O1284">
        <f>'T_SelfStock'!M65</f>
        <v/>
      </c>
      <c r="P1284">
        <f>'T_SelfStock'!N65</f>
        <v/>
      </c>
      <c r="Q1284">
        <f>'T_SelfStock'!O65</f>
        <v/>
      </c>
      <c r="R1284">
        <f>'T_SelfStock'!P65</f>
        <v/>
      </c>
      <c r="S1284">
        <f>'T_SelfStock'!Q65</f>
        <v/>
      </c>
      <c r="T1284">
        <f>'T_SelfStock'!R65</f>
        <v/>
      </c>
      <c r="U1284">
        <f>'T_SelfStock'!S65</f>
        <v/>
      </c>
      <c r="V1284">
        <f>'T_SelfStock'!T65</f>
        <v/>
      </c>
      <c r="W1284">
        <f>'T_SelfStock'!U65</f>
        <v/>
      </c>
      <c r="X1284">
        <f>'T_SelfStock'!V65</f>
        <v/>
      </c>
      <c r="Y1284">
        <f>'T_SelfStock'!W65</f>
        <v/>
      </c>
      <c r="Z1284">
        <f>'T_SelfStock'!X65</f>
        <v/>
      </c>
      <c r="AA1284">
        <f>'T_SelfStock'!Y65</f>
        <v/>
      </c>
      <c r="AB1284">
        <f>'T_SelfStock'!Z65</f>
        <v/>
      </c>
      <c r="AC1284">
        <f>'T_SelfStock'!AA65</f>
        <v/>
      </c>
      <c r="AD1284">
        <f>'T_SelfStock'!AB65</f>
        <v/>
      </c>
      <c r="AE1284">
        <f>'T_SelfStock'!AC65</f>
        <v/>
      </c>
      <c r="AF1284">
        <f>'T_SelfStock'!AD65</f>
        <v/>
      </c>
      <c r="AG1284">
        <f>'T_SelfStock'!AE65</f>
        <v/>
      </c>
      <c r="AH1284">
        <f>'T_SelfStock'!AF65</f>
        <v/>
      </c>
      <c r="AI1284">
        <f>'T_SelfStock'!AG65</f>
        <v/>
      </c>
      <c r="AJ1284">
        <f>'T_SelfStock'!AH65</f>
        <v/>
      </c>
      <c r="AK1284">
        <f>'T_SelfStock'!AI65</f>
        <v/>
      </c>
      <c r="AL1284">
        <f>'T_SelfStock'!AJ65</f>
        <v/>
      </c>
      <c r="AM1284">
        <f>'T_SelfStock'!AK65</f>
        <v/>
      </c>
      <c r="AN1284">
        <f>'T_SelfStock'!AL65</f>
        <v/>
      </c>
      <c r="AO1284">
        <f>'T_SelfStock'!AM65</f>
        <v/>
      </c>
      <c r="AP1284">
        <f>'T_SelfStock'!AN65</f>
        <v/>
      </c>
      <c r="AQ1284">
        <f>'T_SelfStock'!AO65</f>
        <v/>
      </c>
      <c r="AR1284">
        <f>'T_SelfStock'!AP65</f>
        <v/>
      </c>
      <c r="AS1284">
        <f>'T_SelfStock'!AQ65</f>
        <v/>
      </c>
      <c r="AT1284">
        <f>'T_SelfStock'!AR65</f>
        <v/>
      </c>
      <c r="AU1284">
        <f>'T_SelfStock'!AS65</f>
        <v/>
      </c>
      <c r="AV1284">
        <f>'T_SelfStock'!AT65</f>
        <v/>
      </c>
      <c r="AW1284">
        <f>'T_SelfStock'!AU65</f>
        <v/>
      </c>
      <c r="AX1284">
        <f>'T_SelfStock'!AV65</f>
        <v/>
      </c>
      <c r="AY1284">
        <f>'T_SelfStock'!AW65</f>
        <v/>
      </c>
      <c r="AZ1284">
        <f>'T_SelfStock'!AX65</f>
        <v/>
      </c>
      <c r="BA1284">
        <f>'T_SelfStock'!AY65</f>
        <v/>
      </c>
      <c r="BB1284">
        <f>'T_SelfStock'!AZ65</f>
        <v/>
      </c>
      <c r="BC1284">
        <f>'T_SelfStock'!BA65</f>
        <v/>
      </c>
      <c r="BD1284">
        <f>'T_SelfStock'!BB65</f>
        <v/>
      </c>
      <c r="BE1284">
        <f>'T_SelfStock'!BC65</f>
        <v/>
      </c>
      <c r="BF1284">
        <f>'T_SelfStock'!BD65</f>
        <v/>
      </c>
      <c r="BG1284">
        <f>'T_SelfStock'!BE65</f>
        <v/>
      </c>
      <c r="BH1284">
        <f>'T_SelfStock'!BF65</f>
        <v/>
      </c>
      <c r="BI1284">
        <f>'T_SelfStock'!BG65</f>
        <v/>
      </c>
      <c r="BJ1284">
        <f>'T_SelfStock'!BH65</f>
        <v/>
      </c>
      <c r="BK1284">
        <f>'T_SelfStock'!BI65</f>
        <v/>
      </c>
      <c r="BL1284">
        <f>'T_SelfStock'!BJ65</f>
        <v/>
      </c>
      <c r="BM1284">
        <f>'T_SelfStock'!BK65</f>
        <v/>
      </c>
      <c r="BN1284">
        <f>'T_SelfStock'!BL65</f>
        <v/>
      </c>
      <c r="BO1284">
        <f>'T_SelfStock'!BM65</f>
        <v/>
      </c>
      <c r="BP1284">
        <f>'T_SelfStock'!BN65</f>
        <v/>
      </c>
      <c r="BQ1284">
        <f>'T_SelfStock'!BO65</f>
        <v/>
      </c>
      <c r="BR1284">
        <f>'T_SelfStock'!BP65</f>
        <v/>
      </c>
      <c r="BS1284">
        <f>'T_SelfStock'!BQ65</f>
        <v/>
      </c>
      <c r="BT1284">
        <f>'T_SelfStock'!BR65</f>
        <v/>
      </c>
      <c r="BU1284">
        <f>'T_SelfStock'!BS65</f>
        <v/>
      </c>
      <c r="BV1284">
        <f>'T_SelfStock'!BT65</f>
        <v/>
      </c>
      <c r="BW1284">
        <f>'T_SelfStock'!BU65</f>
        <v/>
      </c>
      <c r="BX1284">
        <f>'T_SelfStock'!BV65</f>
        <v/>
      </c>
      <c r="BY1284">
        <f>'T_SelfStock'!BW65</f>
        <v/>
      </c>
      <c r="BZ1284">
        <f>'T_SelfStock'!BX65</f>
        <v/>
      </c>
      <c r="CA1284">
        <f>'T_SelfStock'!BY65</f>
        <v/>
      </c>
      <c r="CB1284">
        <f>'T_SelfStock'!BZ65</f>
        <v/>
      </c>
      <c r="CC1284">
        <f>'T_SelfStock'!CA65</f>
        <v/>
      </c>
      <c r="CD1284">
        <f>'T_SelfStock'!CB65</f>
        <v/>
      </c>
      <c r="CE1284">
        <f>'T_SelfStock'!CC65</f>
        <v/>
      </c>
      <c r="CF1284">
        <f>'T_SelfStock'!CD65</f>
        <v/>
      </c>
      <c r="CG1284">
        <f>'T_SelfStock'!CE65</f>
        <v/>
      </c>
      <c r="CH1284">
        <f>'T_SelfStock'!CF65</f>
        <v/>
      </c>
      <c r="CI1284">
        <f>'T_SelfStock'!CG65</f>
        <v/>
      </c>
      <c r="CJ1284">
        <f>'T_SelfStock'!CH65</f>
        <v/>
      </c>
      <c r="CK1284">
        <f>'T_SelfStock'!CI65</f>
        <v/>
      </c>
      <c r="CL1284">
        <f>'T_SelfStock'!CJ65</f>
        <v/>
      </c>
      <c r="CM1284">
        <f>'T_SelfStock'!CK65</f>
        <v/>
      </c>
      <c r="CN1284">
        <f>'T_SelfStock'!CL65</f>
        <v/>
      </c>
      <c r="CO1284">
        <f>'T_SelfStock'!CM65</f>
        <v/>
      </c>
      <c r="CP1284">
        <f>'T_SelfStock'!CN65</f>
        <v/>
      </c>
      <c r="CQ1284">
        <f>'T_SelfStock'!CO65</f>
        <v/>
      </c>
      <c r="CR1284">
        <f>'T_SelfStock'!CP65</f>
        <v/>
      </c>
      <c r="CS1284">
        <f>'T_SelfStock'!CQ65</f>
        <v/>
      </c>
      <c r="CT1284">
        <f>'T_SelfStock'!CR65</f>
        <v/>
      </c>
      <c r="CU1284">
        <f>'T_SelfStock'!CS65</f>
        <v/>
      </c>
      <c r="CV1284">
        <f>'T_SelfStock'!CT65</f>
        <v/>
      </c>
      <c r="CW1284">
        <f>'T_SelfStock'!CU65</f>
        <v/>
      </c>
      <c r="CX1284">
        <f>'T_SelfStock'!CV65</f>
        <v/>
      </c>
      <c r="CY1284">
        <f>'T_SelfStock'!CW65</f>
        <v/>
      </c>
      <c r="CZ1284">
        <f>'T_SelfStock'!CX65</f>
        <v/>
      </c>
      <c r="DA1284">
        <f>'T_SelfStock'!CY65</f>
        <v/>
      </c>
      <c r="DB1284">
        <f>'T_SelfStock'!CZ65</f>
        <v/>
      </c>
      <c r="DC1284">
        <f>'T_SelfStock'!DA65</f>
        <v/>
      </c>
    </row>
    <row r="1285">
      <c r="B1285" t="inlineStr">
        <is>
          <t>Order(発注予定,kg)</t>
        </is>
      </c>
      <c r="D1285" s="23" t="n"/>
      <c r="E1285" s="23" t="n"/>
      <c r="F1285" s="23" t="n"/>
      <c r="G1285" s="23" t="n"/>
      <c r="H1285" s="23" t="n"/>
      <c r="I1285" s="23" t="n"/>
      <c r="J1285" s="23" t="n"/>
      <c r="K1285" s="23" t="n"/>
      <c r="L1285" s="23" t="n"/>
      <c r="M1285" s="23" t="n"/>
      <c r="N1285" s="23" t="n"/>
      <c r="O1285" s="23" t="n"/>
      <c r="P1285" s="23" t="n"/>
      <c r="Q1285" s="23" t="n"/>
      <c r="R1285" s="23" t="n"/>
      <c r="S1285" s="23" t="n"/>
      <c r="T1285" s="23" t="n"/>
      <c r="U1285" s="23" t="n"/>
      <c r="V1285" s="23" t="n"/>
      <c r="W1285" s="23" t="n"/>
      <c r="X1285" s="23" t="n"/>
      <c r="Y1285" s="23" t="n"/>
      <c r="Z1285" s="23" t="n"/>
      <c r="AA1285" s="23" t="n"/>
      <c r="AB1285" s="23" t="n"/>
      <c r="AC1285" s="23" t="n"/>
      <c r="AD1285" s="23" t="n"/>
      <c r="AE1285" s="23" t="n"/>
      <c r="AF1285" s="23" t="n"/>
      <c r="AG1285" s="23" t="n"/>
      <c r="AH1285" s="23" t="n"/>
      <c r="AI1285" s="23" t="n"/>
      <c r="AJ1285" s="23" t="n"/>
      <c r="AK1285" s="23" t="n"/>
      <c r="AL1285" s="23" t="n"/>
      <c r="AM1285" s="23" t="n"/>
      <c r="AN1285" s="23" t="n"/>
      <c r="AO1285" s="23" t="n"/>
      <c r="AP1285" s="23" t="n"/>
      <c r="AQ1285" s="23" t="n"/>
      <c r="AR1285" s="23" t="n"/>
      <c r="AS1285" s="23" t="n"/>
      <c r="AT1285" s="23" t="n"/>
      <c r="AU1285" s="23" t="n"/>
      <c r="AV1285" s="23" t="n"/>
      <c r="AW1285" s="23" t="n"/>
      <c r="AX1285" s="23" t="n"/>
      <c r="AY1285" s="23" t="n"/>
      <c r="AZ1285" s="23" t="n"/>
      <c r="BA1285" s="23" t="n"/>
      <c r="BB1285" s="23" t="n"/>
      <c r="BC1285" s="23" t="n"/>
      <c r="BD1285" s="23" t="n"/>
      <c r="BE1285" s="23" t="n"/>
      <c r="BF1285" s="23" t="n"/>
      <c r="BG1285" s="23" t="n"/>
      <c r="BH1285" s="23" t="n"/>
      <c r="BI1285" s="23" t="n"/>
      <c r="BJ1285" s="23" t="n"/>
      <c r="BK1285" s="23" t="n"/>
      <c r="BL1285" s="23" t="n"/>
      <c r="BM1285" s="23" t="n"/>
      <c r="BN1285" s="23" t="n"/>
      <c r="BO1285" s="23" t="n"/>
      <c r="BP1285" s="23" t="n"/>
      <c r="BQ1285" s="23" t="n"/>
      <c r="BR1285" s="23" t="n"/>
      <c r="BS1285" s="23" t="n"/>
      <c r="BT1285" s="23" t="n"/>
      <c r="BU1285" s="23" t="n"/>
      <c r="BV1285" s="23" t="n"/>
      <c r="BW1285" s="23" t="n"/>
      <c r="BX1285" s="23" t="n"/>
      <c r="BY1285" s="23" t="n"/>
      <c r="BZ1285" s="23" t="n"/>
      <c r="CA1285" s="23" t="n"/>
      <c r="CB1285" s="23" t="n"/>
      <c r="CC1285" s="23" t="n"/>
      <c r="CD1285" s="23" t="n"/>
      <c r="CE1285" s="23" t="n"/>
      <c r="CF1285" s="23" t="n"/>
      <c r="CG1285" s="23" t="n"/>
      <c r="CH1285" s="23" t="n"/>
      <c r="CI1285" s="23" t="n"/>
      <c r="CJ1285" s="23" t="n"/>
      <c r="CK1285" s="23" t="n"/>
      <c r="CL1285" s="23" t="n"/>
      <c r="CM1285" s="23" t="n"/>
      <c r="CN1285" s="23" t="n"/>
      <c r="CO1285" s="23" t="n"/>
      <c r="CP1285" s="23" t="n"/>
      <c r="CQ1285" s="23" t="n"/>
      <c r="CR1285" s="23" t="n"/>
      <c r="CS1285" s="23" t="n"/>
      <c r="CT1285" s="23" t="n"/>
      <c r="CU1285" s="23" t="n"/>
      <c r="CV1285" s="23" t="n"/>
      <c r="CW1285" s="23" t="n"/>
      <c r="CX1285" s="23" t="n"/>
      <c r="CY1285" s="23" t="n"/>
      <c r="CZ1285" s="23" t="n"/>
      <c r="DA1285" s="23" t="n"/>
      <c r="DB1285" s="23" t="n"/>
      <c r="DC1285" s="23" t="n"/>
      <c r="DE1285" s="12" t="inlineStr">
        <is>
          <t>CHEM-1720</t>
        </is>
      </c>
    </row>
    <row r="1286">
      <c r="B1286" s="24" t="inlineStr">
        <is>
          <t>PO_No</t>
        </is>
      </c>
      <c r="D1286" s="25" t="n"/>
      <c r="E1286" s="25" t="n"/>
      <c r="F1286" s="25" t="n"/>
      <c r="G1286" s="25" t="n"/>
      <c r="H1286" s="25" t="n"/>
      <c r="I1286" s="25" t="n"/>
      <c r="J1286" s="25" t="n"/>
      <c r="K1286" s="25" t="n"/>
      <c r="L1286" s="25" t="n"/>
      <c r="M1286" s="25" t="n"/>
      <c r="N1286" s="25" t="n"/>
      <c r="O1286" s="25" t="n"/>
      <c r="P1286" s="25" t="n"/>
      <c r="Q1286" s="25" t="n"/>
      <c r="R1286" s="25" t="n"/>
      <c r="S1286" s="25" t="n"/>
      <c r="T1286" s="25" t="n"/>
      <c r="U1286" s="25" t="n"/>
      <c r="V1286" s="25" t="n"/>
      <c r="W1286" s="25" t="n"/>
      <c r="X1286" s="25" t="n"/>
      <c r="Y1286" s="25" t="n"/>
      <c r="Z1286" s="25" t="n"/>
      <c r="AA1286" s="25" t="n"/>
      <c r="AB1286" s="25" t="n"/>
      <c r="AC1286" s="25" t="n"/>
      <c r="AD1286" s="25" t="n"/>
      <c r="AE1286" s="25" t="n"/>
      <c r="AF1286" s="25" t="n"/>
      <c r="AG1286" s="25" t="n"/>
      <c r="AH1286" s="25" t="n"/>
      <c r="AI1286" s="25" t="n"/>
      <c r="AJ1286" s="25" t="n"/>
      <c r="AK1286" s="25" t="n"/>
      <c r="AL1286" s="25" t="n"/>
      <c r="AM1286" s="25" t="n"/>
      <c r="AN1286" s="25" t="n"/>
      <c r="AO1286" s="25" t="n"/>
      <c r="AP1286" s="25" t="n"/>
      <c r="AQ1286" s="25" t="n"/>
      <c r="AR1286" s="25" t="n"/>
      <c r="AS1286" s="25" t="n"/>
      <c r="AT1286" s="25" t="n"/>
      <c r="AU1286" s="25" t="n"/>
      <c r="AV1286" s="25" t="n"/>
      <c r="AW1286" s="25" t="n"/>
      <c r="AX1286" s="25" t="n"/>
      <c r="AY1286" s="25" t="n"/>
      <c r="AZ1286" s="25" t="n"/>
      <c r="BA1286" s="25" t="n"/>
      <c r="BB1286" s="25" t="n"/>
      <c r="BC1286" s="25" t="n"/>
      <c r="BD1286" s="25" t="n"/>
      <c r="BE1286" s="25" t="n"/>
      <c r="BF1286" s="25" t="n"/>
      <c r="BG1286" s="25" t="n"/>
      <c r="BH1286" s="25" t="n"/>
      <c r="BI1286" s="25" t="n"/>
      <c r="BJ1286" s="25" t="n"/>
      <c r="BK1286" s="25" t="n"/>
      <c r="BL1286" s="25" t="n"/>
      <c r="BM1286" s="25" t="n"/>
      <c r="BN1286" s="25" t="n"/>
      <c r="BO1286" s="25" t="n"/>
      <c r="BP1286" s="25" t="n"/>
      <c r="BQ1286" s="25" t="n"/>
      <c r="BR1286" s="25" t="n"/>
      <c r="BS1286" s="25" t="n"/>
      <c r="BT1286" s="25" t="n"/>
      <c r="BU1286" s="25" t="n"/>
      <c r="BV1286" s="25" t="n"/>
      <c r="BW1286" s="25" t="n"/>
      <c r="BX1286" s="25" t="n"/>
      <c r="BY1286" s="25" t="n"/>
      <c r="BZ1286" s="25" t="n"/>
      <c r="CA1286" s="25" t="n"/>
      <c r="CB1286" s="25" t="n"/>
      <c r="CC1286" s="25" t="n"/>
      <c r="CD1286" s="25" t="n"/>
      <c r="CE1286" s="25" t="n"/>
      <c r="CF1286" s="25" t="n"/>
      <c r="CG1286" s="25" t="n"/>
      <c r="CH1286" s="25" t="n"/>
      <c r="CI1286" s="25" t="n"/>
      <c r="CJ1286" s="25" t="n"/>
      <c r="CK1286" s="25" t="n"/>
      <c r="CL1286" s="25" t="n"/>
      <c r="CM1286" s="25" t="n"/>
      <c r="CN1286" s="25" t="n"/>
      <c r="CO1286" s="25" t="n"/>
      <c r="CP1286" s="25" t="n"/>
      <c r="CQ1286" s="25" t="n"/>
      <c r="CR1286" s="25" t="n"/>
      <c r="CS1286" s="25" t="n"/>
      <c r="CT1286" s="25" t="n"/>
      <c r="CU1286" s="25" t="n"/>
      <c r="CV1286" s="25" t="n"/>
      <c r="CW1286" s="25" t="n"/>
      <c r="CX1286" s="25" t="n"/>
      <c r="CY1286" s="25" t="n"/>
      <c r="CZ1286" s="25" t="n"/>
      <c r="DA1286" s="25" t="n"/>
      <c r="DB1286" s="25" t="n"/>
      <c r="DC1286" s="25" t="n"/>
    </row>
    <row r="1287">
      <c r="B1287" s="5" t="inlineStr">
        <is>
          <t>合計在庫(週末時点,kg)</t>
        </is>
      </c>
      <c r="D1287">
        <f>'Grid_Stock'!B61</f>
        <v/>
      </c>
      <c r="E1287">
        <f>'Grid_Stock'!C61</f>
        <v/>
      </c>
      <c r="F1287">
        <f>'Grid_Stock'!D61</f>
        <v/>
      </c>
      <c r="G1287">
        <f>'Grid_Stock'!E61</f>
        <v/>
      </c>
      <c r="H1287">
        <f>'Grid_Stock'!F61</f>
        <v/>
      </c>
      <c r="I1287">
        <f>'Grid_Stock'!G61</f>
        <v/>
      </c>
      <c r="J1287">
        <f>'Grid_Stock'!H61</f>
        <v/>
      </c>
      <c r="K1287">
        <f>'Grid_Stock'!I61</f>
        <v/>
      </c>
      <c r="L1287">
        <f>'Grid_Stock'!J61</f>
        <v/>
      </c>
      <c r="M1287">
        <f>'Grid_Stock'!K61</f>
        <v/>
      </c>
      <c r="N1287">
        <f>'Grid_Stock'!L61</f>
        <v/>
      </c>
      <c r="O1287">
        <f>'Grid_Stock'!M61</f>
        <v/>
      </c>
      <c r="P1287">
        <f>'Grid_Stock'!N61</f>
        <v/>
      </c>
      <c r="Q1287">
        <f>'Grid_Stock'!O61</f>
        <v/>
      </c>
      <c r="R1287">
        <f>'Grid_Stock'!P61</f>
        <v/>
      </c>
      <c r="S1287">
        <f>'Grid_Stock'!Q61</f>
        <v/>
      </c>
      <c r="T1287">
        <f>'Grid_Stock'!R61</f>
        <v/>
      </c>
      <c r="U1287">
        <f>'Grid_Stock'!S61</f>
        <v/>
      </c>
      <c r="V1287">
        <f>'Grid_Stock'!T61</f>
        <v/>
      </c>
      <c r="W1287">
        <f>'Grid_Stock'!U61</f>
        <v/>
      </c>
      <c r="X1287">
        <f>'Grid_Stock'!V61</f>
        <v/>
      </c>
      <c r="Y1287">
        <f>'Grid_Stock'!W61</f>
        <v/>
      </c>
      <c r="Z1287">
        <f>'Grid_Stock'!X61</f>
        <v/>
      </c>
      <c r="AA1287">
        <f>'Grid_Stock'!Y61</f>
        <v/>
      </c>
      <c r="AB1287">
        <f>'Grid_Stock'!Z61</f>
        <v/>
      </c>
      <c r="AC1287">
        <f>'Grid_Stock'!AA61</f>
        <v/>
      </c>
      <c r="AD1287">
        <f>'Grid_Stock'!AB61</f>
        <v/>
      </c>
      <c r="AE1287">
        <f>'Grid_Stock'!AC61</f>
        <v/>
      </c>
      <c r="AF1287">
        <f>'Grid_Stock'!AD61</f>
        <v/>
      </c>
      <c r="AG1287">
        <f>'Grid_Stock'!AE61</f>
        <v/>
      </c>
      <c r="AH1287">
        <f>'Grid_Stock'!AF61</f>
        <v/>
      </c>
      <c r="AI1287">
        <f>'Grid_Stock'!AG61</f>
        <v/>
      </c>
      <c r="AJ1287">
        <f>'Grid_Stock'!AH61</f>
        <v/>
      </c>
      <c r="AK1287">
        <f>'Grid_Stock'!AI61</f>
        <v/>
      </c>
      <c r="AL1287">
        <f>'Grid_Stock'!AJ61</f>
        <v/>
      </c>
      <c r="AM1287">
        <f>'Grid_Stock'!AK61</f>
        <v/>
      </c>
      <c r="AN1287">
        <f>'Grid_Stock'!AL61</f>
        <v/>
      </c>
      <c r="AO1287">
        <f>'Grid_Stock'!AM61</f>
        <v/>
      </c>
      <c r="AP1287">
        <f>'Grid_Stock'!AN61</f>
        <v/>
      </c>
      <c r="AQ1287">
        <f>'Grid_Stock'!AO61</f>
        <v/>
      </c>
      <c r="AR1287">
        <f>'Grid_Stock'!AP61</f>
        <v/>
      </c>
      <c r="AS1287">
        <f>'Grid_Stock'!AQ61</f>
        <v/>
      </c>
      <c r="AT1287">
        <f>'Grid_Stock'!AR61</f>
        <v/>
      </c>
      <c r="AU1287">
        <f>'Grid_Stock'!AS61</f>
        <v/>
      </c>
      <c r="AV1287">
        <f>'Grid_Stock'!AT61</f>
        <v/>
      </c>
      <c r="AW1287">
        <f>'Grid_Stock'!AU61</f>
        <v/>
      </c>
      <c r="AX1287">
        <f>'Grid_Stock'!AV61</f>
        <v/>
      </c>
      <c r="AY1287">
        <f>'Grid_Stock'!AW61</f>
        <v/>
      </c>
      <c r="AZ1287">
        <f>'Grid_Stock'!AX61</f>
        <v/>
      </c>
      <c r="BA1287">
        <f>'Grid_Stock'!AY61</f>
        <v/>
      </c>
      <c r="BB1287">
        <f>'Grid_Stock'!AZ61</f>
        <v/>
      </c>
      <c r="BC1287">
        <f>'Grid_Stock'!BA61</f>
        <v/>
      </c>
      <c r="BD1287">
        <f>'Grid_Stock'!BB61</f>
        <v/>
      </c>
      <c r="BE1287">
        <f>'Grid_Stock'!BC61</f>
        <v/>
      </c>
      <c r="BF1287">
        <f>'Grid_Stock'!BD61</f>
        <v/>
      </c>
      <c r="BG1287">
        <f>'Grid_Stock'!BE61</f>
        <v/>
      </c>
      <c r="BH1287">
        <f>'Grid_Stock'!BF61</f>
        <v/>
      </c>
      <c r="BI1287">
        <f>'Grid_Stock'!BG61</f>
        <v/>
      </c>
      <c r="BJ1287">
        <f>'Grid_Stock'!BH61</f>
        <v/>
      </c>
      <c r="BK1287">
        <f>'Grid_Stock'!BI61</f>
        <v/>
      </c>
      <c r="BL1287">
        <f>'Grid_Stock'!BJ61</f>
        <v/>
      </c>
      <c r="BM1287">
        <f>'Grid_Stock'!BK61</f>
        <v/>
      </c>
      <c r="BN1287">
        <f>'Grid_Stock'!BL61</f>
        <v/>
      </c>
      <c r="BO1287">
        <f>'Grid_Stock'!BM61</f>
        <v/>
      </c>
      <c r="BP1287">
        <f>'Grid_Stock'!BN61</f>
        <v/>
      </c>
      <c r="BQ1287">
        <f>'Grid_Stock'!BO61</f>
        <v/>
      </c>
      <c r="BR1287">
        <f>'Grid_Stock'!BP61</f>
        <v/>
      </c>
      <c r="BS1287">
        <f>'Grid_Stock'!BQ61</f>
        <v/>
      </c>
      <c r="BT1287">
        <f>'Grid_Stock'!BR61</f>
        <v/>
      </c>
      <c r="BU1287">
        <f>'Grid_Stock'!BS61</f>
        <v/>
      </c>
      <c r="BV1287">
        <f>'Grid_Stock'!BT61</f>
        <v/>
      </c>
      <c r="BW1287">
        <f>'Grid_Stock'!BU61</f>
        <v/>
      </c>
      <c r="BX1287">
        <f>'Grid_Stock'!BV61</f>
        <v/>
      </c>
      <c r="BY1287">
        <f>'Grid_Stock'!BW61</f>
        <v/>
      </c>
      <c r="BZ1287">
        <f>'Grid_Stock'!BX61</f>
        <v/>
      </c>
      <c r="CA1287">
        <f>'Grid_Stock'!BY61</f>
        <v/>
      </c>
      <c r="CB1287">
        <f>'Grid_Stock'!BZ61</f>
        <v/>
      </c>
      <c r="CC1287">
        <f>'Grid_Stock'!CA61</f>
        <v/>
      </c>
      <c r="CD1287">
        <f>'Grid_Stock'!CB61</f>
        <v/>
      </c>
      <c r="CE1287">
        <f>'Grid_Stock'!CC61</f>
        <v/>
      </c>
      <c r="CF1287">
        <f>'Grid_Stock'!CD61</f>
        <v/>
      </c>
      <c r="CG1287">
        <f>'Grid_Stock'!CE61</f>
        <v/>
      </c>
      <c r="CH1287">
        <f>'Grid_Stock'!CF61</f>
        <v/>
      </c>
      <c r="CI1287">
        <f>'Grid_Stock'!CG61</f>
        <v/>
      </c>
      <c r="CJ1287">
        <f>'Grid_Stock'!CH61</f>
        <v/>
      </c>
      <c r="CK1287">
        <f>'Grid_Stock'!CI61</f>
        <v/>
      </c>
      <c r="CL1287">
        <f>'Grid_Stock'!CJ61</f>
        <v/>
      </c>
      <c r="CM1287">
        <f>'Grid_Stock'!CK61</f>
        <v/>
      </c>
      <c r="CN1287">
        <f>'Grid_Stock'!CL61</f>
        <v/>
      </c>
      <c r="CO1287">
        <f>'Grid_Stock'!CM61</f>
        <v/>
      </c>
      <c r="CP1287">
        <f>'Grid_Stock'!CN61</f>
        <v/>
      </c>
      <c r="CQ1287">
        <f>'Grid_Stock'!CO61</f>
        <v/>
      </c>
      <c r="CR1287">
        <f>'Grid_Stock'!CP61</f>
        <v/>
      </c>
      <c r="CS1287">
        <f>'Grid_Stock'!CQ61</f>
        <v/>
      </c>
      <c r="CT1287">
        <f>'Grid_Stock'!CR61</f>
        <v/>
      </c>
      <c r="CU1287">
        <f>'Grid_Stock'!CS61</f>
        <v/>
      </c>
      <c r="CV1287">
        <f>'Grid_Stock'!CT61</f>
        <v/>
      </c>
      <c r="CW1287">
        <f>'Grid_Stock'!CU61</f>
        <v/>
      </c>
      <c r="CX1287">
        <f>'Grid_Stock'!CV61</f>
        <v/>
      </c>
      <c r="CY1287">
        <f>'Grid_Stock'!CW61</f>
        <v/>
      </c>
      <c r="CZ1287">
        <f>'Grid_Stock'!CX61</f>
        <v/>
      </c>
      <c r="DA1287">
        <f>'Grid_Stock'!CY61</f>
        <v/>
      </c>
      <c r="DB1287">
        <f>'Grid_Stock'!CZ61</f>
        <v/>
      </c>
      <c r="DC1287">
        <f>'Grid_Stock'!DA61</f>
        <v/>
      </c>
    </row>
    <row r="1288">
      <c r="B1288" s="26" t="inlineStr">
        <is>
          <t>（発注の目安はDashboardの基準在庫[下限/上限]と色分けを参照）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U52"/>
  <sheetViews>
    <sheetView workbookViewId="0">
      <pane xSplit="7" ySplit="14" topLeftCell="H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2" max="2"/>
    <col width="14" customWidth="1" min="3" max="3"/>
    <col width="12" customWidth="1" min="4" max="4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2">
      <c r="B2" t="inlineStr">
        <is>
          <t>TO：（サプライヤー／TTAF担当者名を入力）</t>
        </is>
      </c>
      <c r="N2" t="inlineStr">
        <is>
          <t>Order Date:</t>
        </is>
      </c>
      <c r="P2" s="27" t="n">
        <v>46258</v>
      </c>
    </row>
    <row r="3">
      <c r="B3" t="inlineStr">
        <is>
          <t xml:space="preserve">　　　　　（会社名）</t>
        </is>
      </c>
      <c r="N3" t="inlineStr">
        <is>
          <t>Issue Month:</t>
        </is>
      </c>
    </row>
    <row r="4">
      <c r="N4" t="inlineStr">
        <is>
          <t>Firm Month:</t>
        </is>
      </c>
    </row>
    <row r="5">
      <c r="B5" t="inlineStr">
        <is>
          <t>FROM：（発行者名）</t>
        </is>
      </c>
      <c r="N5" t="inlineStr">
        <is>
          <t>Revision</t>
        </is>
      </c>
      <c r="P5" t="inlineStr">
        <is>
          <t>00</t>
        </is>
      </c>
    </row>
    <row r="6">
      <c r="B6" t="inlineStr">
        <is>
          <t xml:space="preserve">　　　　　（自社名）</t>
        </is>
      </c>
    </row>
    <row r="7">
      <c r="N7" t="inlineStr">
        <is>
          <t>基準週(WeekIndex, 翌月の頭を推奨):</t>
        </is>
      </c>
      <c r="P7" s="28" t="n">
        <v>36</v>
      </c>
    </row>
    <row r="8">
      <c r="B8" s="2" t="inlineStr">
        <is>
          <t>Chemicals : TTAF Supply</t>
        </is>
      </c>
    </row>
    <row r="10">
      <c r="B10" s="13" t="n"/>
      <c r="C10" s="13" t="n"/>
      <c r="D10" s="13" t="n"/>
      <c r="E10" s="13" t="n"/>
      <c r="F10" s="13" t="n"/>
      <c r="G10" s="13" t="n"/>
      <c r="H10" s="13">
        <f>INDEX(Cal_Weeks[MonthYearLabel],$P$7)</f>
        <v/>
      </c>
      <c r="I10" s="13">
        <f>IF(INDEX(Cal_Weeks[MonthYearLabel],$P$7+1)&lt;&gt;INDEX(Cal_Weeks[MonthYearLabel],$P$7+0),INDEX(Cal_Weeks[MonthYearLabel],$P$7+1),"")</f>
        <v/>
      </c>
      <c r="J10" s="13">
        <f>IF(INDEX(Cal_Weeks[MonthYearLabel],$P$7+2)&lt;&gt;INDEX(Cal_Weeks[MonthYearLabel],$P$7+1),INDEX(Cal_Weeks[MonthYearLabel],$P$7+2),"")</f>
        <v/>
      </c>
      <c r="K10" s="13">
        <f>IF(INDEX(Cal_Weeks[MonthYearLabel],$P$7+3)&lt;&gt;INDEX(Cal_Weeks[MonthYearLabel],$P$7+2),INDEX(Cal_Weeks[MonthYearLabel],$P$7+3),"")</f>
        <v/>
      </c>
      <c r="L10" s="13">
        <f>IF(INDEX(Cal_Weeks[MonthYearLabel],$P$7+4)&lt;&gt;INDEX(Cal_Weeks[MonthYearLabel],$P$7+3),INDEX(Cal_Weeks[MonthYearLabel],$P$7+4),"")</f>
        <v/>
      </c>
      <c r="M10" s="13">
        <f>IF(INDEX(Cal_Weeks[MonthYearLabel],$P$7+5)&lt;&gt;INDEX(Cal_Weeks[MonthYearLabel],$P$7+4),INDEX(Cal_Weeks[MonthYearLabel],$P$7+5),"")</f>
        <v/>
      </c>
      <c r="N10" s="13">
        <f>IF(INDEX(Cal_Weeks[MonthYearLabel],$P$7+6)&lt;&gt;INDEX(Cal_Weeks[MonthYearLabel],$P$7+5),INDEX(Cal_Weeks[MonthYearLabel],$P$7+6),"")</f>
        <v/>
      </c>
      <c r="O10" s="13">
        <f>IF(INDEX(Cal_Weeks[MonthYearLabel],$P$7+7)&lt;&gt;INDEX(Cal_Weeks[MonthYearLabel],$P$7+6),INDEX(Cal_Weeks[MonthYearLabel],$P$7+7),"")</f>
        <v/>
      </c>
      <c r="P10" s="13">
        <f>IF(INDEX(Cal_Weeks[MonthYearLabel],$P$7+8)&lt;&gt;INDEX(Cal_Weeks[MonthYearLabel],$P$7+7),INDEX(Cal_Weeks[MonthYearLabel],$P$7+8),"")</f>
        <v/>
      </c>
      <c r="Q10" s="13">
        <f>IF(INDEX(Cal_Weeks[MonthYearLabel],$P$7+9)&lt;&gt;INDEX(Cal_Weeks[MonthYearLabel],$P$7+8),INDEX(Cal_Weeks[MonthYearLabel],$P$7+9),"")</f>
        <v/>
      </c>
      <c r="R10" s="13">
        <f>IF(INDEX(Cal_Weeks[MonthYearLabel],$P$7+10)&lt;&gt;INDEX(Cal_Weeks[MonthYearLabel],$P$7+9),INDEX(Cal_Weeks[MonthYearLabel],$P$7+10),"")</f>
        <v/>
      </c>
      <c r="S10" s="13">
        <f>IF(INDEX(Cal_Weeks[MonthYearLabel],$P$7+11)&lt;&gt;INDEX(Cal_Weeks[MonthYearLabel],$P$7+10),INDEX(Cal_Weeks[MonthYearLabel],$P$7+11),"")</f>
        <v/>
      </c>
      <c r="T10" s="13">
        <f>IF(INDEX(Cal_Weeks[MonthYearLabel],$P$7+12)&lt;&gt;INDEX(Cal_Weeks[MonthYearLabel],$P$7+11),INDEX(Cal_Weeks[MonthYearLabel],$P$7+12),"")</f>
        <v/>
      </c>
      <c r="U10" s="13" t="n"/>
    </row>
    <row r="11">
      <c r="B11" s="14" t="n"/>
      <c r="C11" s="14" t="n"/>
      <c r="D11" s="14" t="n"/>
      <c r="E11" s="14" t="n"/>
      <c r="F11" s="14" t="n"/>
      <c r="G11" s="14" t="n"/>
      <c r="H11" s="15">
        <f>INDEX(Cal_Weeks[WeekStart],$P$7+0)</f>
        <v/>
      </c>
      <c r="I11" s="15">
        <f>INDEX(Cal_Weeks[WeekStart],$P$7+1)</f>
        <v/>
      </c>
      <c r="J11" s="15">
        <f>INDEX(Cal_Weeks[WeekStart],$P$7+2)</f>
        <v/>
      </c>
      <c r="K11" s="15">
        <f>INDEX(Cal_Weeks[WeekStart],$P$7+3)</f>
        <v/>
      </c>
      <c r="L11" s="15">
        <f>INDEX(Cal_Weeks[WeekStart],$P$7+4)</f>
        <v/>
      </c>
      <c r="M11" s="15">
        <f>INDEX(Cal_Weeks[WeekStart],$P$7+5)</f>
        <v/>
      </c>
      <c r="N11" s="15">
        <f>INDEX(Cal_Weeks[WeekStart],$P$7+6)</f>
        <v/>
      </c>
      <c r="O11" s="15">
        <f>INDEX(Cal_Weeks[WeekStart],$P$7+7)</f>
        <v/>
      </c>
      <c r="P11" s="15">
        <f>INDEX(Cal_Weeks[WeekStart],$P$7+8)</f>
        <v/>
      </c>
      <c r="Q11" s="15">
        <f>INDEX(Cal_Weeks[WeekStart],$P$7+9)</f>
        <v/>
      </c>
      <c r="R11" s="15">
        <f>INDEX(Cal_Weeks[WeekStart],$P$7+10)</f>
        <v/>
      </c>
      <c r="S11" s="15">
        <f>INDEX(Cal_Weeks[WeekStart],$P$7+11)</f>
        <v/>
      </c>
      <c r="T11" s="15">
        <f>INDEX(Cal_Weeks[WeekStart],$P$7+12)</f>
        <v/>
      </c>
      <c r="U11" s="14" t="n"/>
    </row>
    <row r="12">
      <c r="B12" s="14" t="n"/>
      <c r="C12" s="14" t="n"/>
      <c r="D12" s="14" t="n"/>
      <c r="E12" s="14" t="n"/>
      <c r="F12" s="14" t="n"/>
      <c r="G12" s="14" t="n"/>
      <c r="H12" s="14">
        <f>INDEX(Cal_Weeks[WeekOfYear],$P$7+0)</f>
        <v/>
      </c>
      <c r="I12" s="14">
        <f>INDEX(Cal_Weeks[WeekOfYear],$P$7+1)</f>
        <v/>
      </c>
      <c r="J12" s="14">
        <f>INDEX(Cal_Weeks[WeekOfYear],$P$7+2)</f>
        <v/>
      </c>
      <c r="K12" s="14">
        <f>INDEX(Cal_Weeks[WeekOfYear],$P$7+3)</f>
        <v/>
      </c>
      <c r="L12" s="14">
        <f>INDEX(Cal_Weeks[WeekOfYear],$P$7+4)</f>
        <v/>
      </c>
      <c r="M12" s="14">
        <f>INDEX(Cal_Weeks[WeekOfYear],$P$7+5)</f>
        <v/>
      </c>
      <c r="N12" s="14">
        <f>INDEX(Cal_Weeks[WeekOfYear],$P$7+6)</f>
        <v/>
      </c>
      <c r="O12" s="14">
        <f>INDEX(Cal_Weeks[WeekOfYear],$P$7+7)</f>
        <v/>
      </c>
      <c r="P12" s="14">
        <f>INDEX(Cal_Weeks[WeekOfYear],$P$7+8)</f>
        <v/>
      </c>
      <c r="Q12" s="14">
        <f>INDEX(Cal_Weeks[WeekOfYear],$P$7+9)</f>
        <v/>
      </c>
      <c r="R12" s="14">
        <f>INDEX(Cal_Weeks[WeekOfYear],$P$7+10)</f>
        <v/>
      </c>
      <c r="S12" s="14">
        <f>INDEX(Cal_Weeks[WeekOfYear],$P$7+11)</f>
        <v/>
      </c>
      <c r="T12" s="14">
        <f>INDEX(Cal_Weeks[WeekOfYear],$P$7+12)</f>
        <v/>
      </c>
      <c r="U12" s="14" t="n"/>
    </row>
    <row r="13">
      <c r="B13" s="14" t="n"/>
      <c r="C13" s="14" t="n"/>
      <c r="D13" s="14" t="n"/>
      <c r="E13" s="14" t="n"/>
      <c r="F13" s="14" t="n"/>
      <c r="G13" s="14" t="n"/>
      <c r="H13" s="14">
        <f>IF(INDEX(Cal_Weeks[MonthYearLabel],$P$7+0)=INDEX(Cal_Weeks[MonthYearLabel],$P$7),"Firm","Forecast")</f>
        <v/>
      </c>
      <c r="I13" s="14">
        <f>IF(INDEX(Cal_Weeks[MonthYearLabel],$P$7+1)=INDEX(Cal_Weeks[MonthYearLabel],$P$7),"Firm","Forecast")</f>
        <v/>
      </c>
      <c r="J13" s="14">
        <f>IF(INDEX(Cal_Weeks[MonthYearLabel],$P$7+2)=INDEX(Cal_Weeks[MonthYearLabel],$P$7),"Firm","Forecast")</f>
        <v/>
      </c>
      <c r="K13" s="14">
        <f>IF(INDEX(Cal_Weeks[MonthYearLabel],$P$7+3)=INDEX(Cal_Weeks[MonthYearLabel],$P$7),"Firm","Forecast")</f>
        <v/>
      </c>
      <c r="L13" s="14">
        <f>IF(INDEX(Cal_Weeks[MonthYearLabel],$P$7+4)=INDEX(Cal_Weeks[MonthYearLabel],$P$7),"Firm","Forecast")</f>
        <v/>
      </c>
      <c r="M13" s="14">
        <f>IF(INDEX(Cal_Weeks[MonthYearLabel],$P$7+5)=INDEX(Cal_Weeks[MonthYearLabel],$P$7),"Firm","Forecast")</f>
        <v/>
      </c>
      <c r="N13" s="14">
        <f>IF(INDEX(Cal_Weeks[MonthYearLabel],$P$7+6)=INDEX(Cal_Weeks[MonthYearLabel],$P$7),"Firm","Forecast")</f>
        <v/>
      </c>
      <c r="O13" s="14">
        <f>IF(INDEX(Cal_Weeks[MonthYearLabel],$P$7+7)=INDEX(Cal_Weeks[MonthYearLabel],$P$7),"Firm","Forecast")</f>
        <v/>
      </c>
      <c r="P13" s="14">
        <f>IF(INDEX(Cal_Weeks[MonthYearLabel],$P$7+8)=INDEX(Cal_Weeks[MonthYearLabel],$P$7),"Firm","Forecast")</f>
        <v/>
      </c>
      <c r="Q13" s="14">
        <f>IF(INDEX(Cal_Weeks[MonthYearLabel],$P$7+9)=INDEX(Cal_Weeks[MonthYearLabel],$P$7),"Firm","Forecast")</f>
        <v/>
      </c>
      <c r="R13" s="14">
        <f>IF(INDEX(Cal_Weeks[MonthYearLabel],$P$7+10)=INDEX(Cal_Weeks[MonthYearLabel],$P$7),"Firm","Forecast")</f>
        <v/>
      </c>
      <c r="S13" s="14">
        <f>IF(INDEX(Cal_Weeks[MonthYearLabel],$P$7+11)=INDEX(Cal_Weeks[MonthYearLabel],$P$7),"Firm","Forecast")</f>
        <v/>
      </c>
      <c r="T13" s="14">
        <f>IF(INDEX(Cal_Weeks[MonthYearLabel],$P$7+12)=INDEX(Cal_Weeks[MonthYearLabel],$P$7),"Firm","Forecast")</f>
        <v/>
      </c>
      <c r="U13" s="14" t="n"/>
    </row>
    <row r="14">
      <c r="B14" s="29" t="inlineStr">
        <is>
          <t>Part Name</t>
        </is>
      </c>
      <c r="C14" s="29" t="inlineStr">
        <is>
          <t>TTAF Code</t>
        </is>
      </c>
      <c r="D14" s="29" t="inlineStr">
        <is>
          <t>CSA Code</t>
        </is>
      </c>
      <c r="E14" s="29" t="inlineStr">
        <is>
          <t>UOM</t>
        </is>
      </c>
      <c r="F14" s="29" t="inlineStr">
        <is>
          <t>SafetyStock</t>
        </is>
      </c>
      <c r="G14" s="29" t="inlineStr">
        <is>
          <t>CurrentStock</t>
        </is>
      </c>
      <c r="H14" s="29">
        <f>INDEX(Cal_Weeks[Label],$P$7+0)</f>
        <v/>
      </c>
      <c r="I14" s="29">
        <f>INDEX(Cal_Weeks[Label],$P$7+1)</f>
        <v/>
      </c>
      <c r="J14" s="29">
        <f>INDEX(Cal_Weeks[Label],$P$7+2)</f>
        <v/>
      </c>
      <c r="K14" s="29">
        <f>INDEX(Cal_Weeks[Label],$P$7+3)</f>
        <v/>
      </c>
      <c r="L14" s="29">
        <f>INDEX(Cal_Weeks[Label],$P$7+4)</f>
        <v/>
      </c>
      <c r="M14" s="29">
        <f>INDEX(Cal_Weeks[Label],$P$7+5)</f>
        <v/>
      </c>
      <c r="N14" s="29">
        <f>INDEX(Cal_Weeks[Label],$P$7+6)</f>
        <v/>
      </c>
      <c r="O14" s="29">
        <f>INDEX(Cal_Weeks[Label],$P$7+7)</f>
        <v/>
      </c>
      <c r="P14" s="29">
        <f>INDEX(Cal_Weeks[Label],$P$7+8)</f>
        <v/>
      </c>
      <c r="Q14" s="29">
        <f>INDEX(Cal_Weeks[Label],$P$7+9)</f>
        <v/>
      </c>
      <c r="R14" s="29">
        <f>INDEX(Cal_Weeks[Label],$P$7+10)</f>
        <v/>
      </c>
      <c r="S14" s="29">
        <f>INDEX(Cal_Weeks[Label],$P$7+11)</f>
        <v/>
      </c>
      <c r="T14" s="29">
        <f>INDEX(Cal_Weeks[Label],$P$7+12)</f>
        <v/>
      </c>
      <c r="U14" s="29" t="inlineStr">
        <is>
          <t>Total</t>
        </is>
      </c>
    </row>
    <row r="15">
      <c r="B15" s="17">
        <f>IFERROR(INDEX(M_RawMaterials[Description],MATCH("CHEM-1670",M_RawMaterials[Part Name],0)),"")</f>
        <v/>
      </c>
      <c r="C15" s="17" t="inlineStr">
        <is>
          <t>712886265</t>
        </is>
      </c>
      <c r="D15" s="17" t="inlineStr">
        <is>
          <t>CHEM-1670</t>
        </is>
      </c>
      <c r="E15" s="17" t="inlineStr">
        <is>
          <t>kg</t>
        </is>
      </c>
      <c r="F15" s="17">
        <f>IFERROR(INDEX(M_RawMaterials[基準在庫下限_要入力],MATCH("CHEM-1670",M_RawMaterials[Part Name],0)),0)</f>
        <v/>
      </c>
      <c r="G15" s="17">
        <f>INDEX(Grid_Stock[#Data],MATCH($D15,Grid_Stock[Part Name],0),$P$7)</f>
        <v/>
      </c>
      <c r="H15" s="17">
        <f>IFERROR(INDEX(Material_Detail!$D:$DC,MATCH($D15,Material_Detail!$DE:$DE,0),$P$7+0),0)</f>
        <v/>
      </c>
      <c r="I15" s="17">
        <f>IFERROR(INDEX(Material_Detail!$D:$DC,MATCH($D15,Material_Detail!$DE:$DE,0),$P$7+1),0)</f>
        <v/>
      </c>
      <c r="J15" s="17">
        <f>IFERROR(INDEX(Material_Detail!$D:$DC,MATCH($D15,Material_Detail!$DE:$DE,0),$P$7+2),0)</f>
        <v/>
      </c>
      <c r="K15" s="17">
        <f>IFERROR(INDEX(Material_Detail!$D:$DC,MATCH($D15,Material_Detail!$DE:$DE,0),$P$7+3),0)</f>
        <v/>
      </c>
      <c r="L15" s="17">
        <f>IFERROR(INDEX(Material_Detail!$D:$DC,MATCH($D15,Material_Detail!$DE:$DE,0),$P$7+4),0)</f>
        <v/>
      </c>
      <c r="M15" s="17">
        <f>IFERROR(INDEX(Material_Detail!$D:$DC,MATCH($D15,Material_Detail!$DE:$DE,0),$P$7+5),0)</f>
        <v/>
      </c>
      <c r="N15" s="17">
        <f>IFERROR(INDEX(Material_Detail!$D:$DC,MATCH($D15,Material_Detail!$DE:$DE,0),$P$7+6),0)</f>
        <v/>
      </c>
      <c r="O15" s="17">
        <f>IFERROR(INDEX(Material_Detail!$D:$DC,MATCH($D15,Material_Detail!$DE:$DE,0),$P$7+7),0)</f>
        <v/>
      </c>
      <c r="P15" s="17">
        <f>IFERROR(INDEX(Material_Detail!$D:$DC,MATCH($D15,Material_Detail!$DE:$DE,0),$P$7+8),0)</f>
        <v/>
      </c>
      <c r="Q15" s="17">
        <f>IFERROR(INDEX(Material_Detail!$D:$DC,MATCH($D15,Material_Detail!$DE:$DE,0),$P$7+9),0)</f>
        <v/>
      </c>
      <c r="R15" s="17">
        <f>IFERROR(INDEX(Material_Detail!$D:$DC,MATCH($D15,Material_Detail!$DE:$DE,0),$P$7+10),0)</f>
        <v/>
      </c>
      <c r="S15" s="17">
        <f>IFERROR(INDEX(Material_Detail!$D:$DC,MATCH($D15,Material_Detail!$DE:$DE,0),$P$7+11),0)</f>
        <v/>
      </c>
      <c r="T15" s="17">
        <f>IFERROR(INDEX(Material_Detail!$D:$DC,MATCH($D15,Material_Detail!$DE:$DE,0),$P$7+12),0)</f>
        <v/>
      </c>
      <c r="U15" s="17">
        <f>SUM(H15:T15)</f>
        <v/>
      </c>
    </row>
    <row r="16">
      <c r="B16" s="19">
        <f>IFERROR(INDEX(M_RawMaterials[Description],MATCH("CHEM-1110",M_RawMaterials[Part Name],0)),"")</f>
        <v/>
      </c>
      <c r="C16" s="19" t="inlineStr">
        <is>
          <t>Alumina Powder</t>
        </is>
      </c>
      <c r="D16" s="19" t="inlineStr">
        <is>
          <t>CHEM-1110</t>
        </is>
      </c>
      <c r="E16" s="19" t="inlineStr">
        <is>
          <t>kg</t>
        </is>
      </c>
      <c r="F16" s="19">
        <f>IFERROR(INDEX(M_RawMaterials[基準在庫下限_要入力],MATCH("CHEM-1110",M_RawMaterials[Part Name],0)),0)</f>
        <v/>
      </c>
      <c r="G16" s="19">
        <f>INDEX(Grid_Stock[#Data],MATCH($D16,Grid_Stock[Part Name],0),$P$7)</f>
        <v/>
      </c>
      <c r="H16" s="19">
        <f>IFERROR(INDEX(Material_Detail!$D:$DC,MATCH($D16,Material_Detail!$DE:$DE,0),$P$7+0),0)</f>
        <v/>
      </c>
      <c r="I16" s="19">
        <f>IFERROR(INDEX(Material_Detail!$D:$DC,MATCH($D16,Material_Detail!$DE:$DE,0),$P$7+1),0)</f>
        <v/>
      </c>
      <c r="J16" s="19">
        <f>IFERROR(INDEX(Material_Detail!$D:$DC,MATCH($D16,Material_Detail!$DE:$DE,0),$P$7+2),0)</f>
        <v/>
      </c>
      <c r="K16" s="19">
        <f>IFERROR(INDEX(Material_Detail!$D:$DC,MATCH($D16,Material_Detail!$DE:$DE,0),$P$7+3),0)</f>
        <v/>
      </c>
      <c r="L16" s="19">
        <f>IFERROR(INDEX(Material_Detail!$D:$DC,MATCH($D16,Material_Detail!$DE:$DE,0),$P$7+4),0)</f>
        <v/>
      </c>
      <c r="M16" s="19">
        <f>IFERROR(INDEX(Material_Detail!$D:$DC,MATCH($D16,Material_Detail!$DE:$DE,0),$P$7+5),0)</f>
        <v/>
      </c>
      <c r="N16" s="19">
        <f>IFERROR(INDEX(Material_Detail!$D:$DC,MATCH($D16,Material_Detail!$DE:$DE,0),$P$7+6),0)</f>
        <v/>
      </c>
      <c r="O16" s="19">
        <f>IFERROR(INDEX(Material_Detail!$D:$DC,MATCH($D16,Material_Detail!$DE:$DE,0),$P$7+7),0)</f>
        <v/>
      </c>
      <c r="P16" s="19">
        <f>IFERROR(INDEX(Material_Detail!$D:$DC,MATCH($D16,Material_Detail!$DE:$DE,0),$P$7+8),0)</f>
        <v/>
      </c>
      <c r="Q16" s="19">
        <f>IFERROR(INDEX(Material_Detail!$D:$DC,MATCH($D16,Material_Detail!$DE:$DE,0),$P$7+9),0)</f>
        <v/>
      </c>
      <c r="R16" s="19">
        <f>IFERROR(INDEX(Material_Detail!$D:$DC,MATCH($D16,Material_Detail!$DE:$DE,0),$P$7+10),0)</f>
        <v/>
      </c>
      <c r="S16" s="19">
        <f>IFERROR(INDEX(Material_Detail!$D:$DC,MATCH($D16,Material_Detail!$DE:$DE,0),$P$7+11),0)</f>
        <v/>
      </c>
      <c r="T16" s="19">
        <f>IFERROR(INDEX(Material_Detail!$D:$DC,MATCH($D16,Material_Detail!$DE:$DE,0),$P$7+12),0)</f>
        <v/>
      </c>
      <c r="U16" s="19">
        <f>SUM(H16:T16)</f>
        <v/>
      </c>
    </row>
    <row r="17">
      <c r="B17" s="17">
        <f>IFERROR(INDEX(M_RawMaterials[Description],MATCH("CHEM-1240",M_RawMaterials[Part Name],0)),"")</f>
        <v/>
      </c>
      <c r="C17" s="17" t="inlineStr">
        <is>
          <t>83988008101</t>
        </is>
      </c>
      <c r="D17" s="17" t="inlineStr">
        <is>
          <t>CHEM-1240</t>
        </is>
      </c>
      <c r="E17" s="17" t="inlineStr">
        <is>
          <t>kg</t>
        </is>
      </c>
      <c r="F17" s="17">
        <f>IFERROR(INDEX(M_RawMaterials[基準在庫下限_要入力],MATCH("CHEM-1240",M_RawMaterials[Part Name],0)),0)</f>
        <v/>
      </c>
      <c r="G17" s="17">
        <f>INDEX(Grid_Stock[#Data],MATCH($D17,Grid_Stock[Part Name],0),$P$7)</f>
        <v/>
      </c>
      <c r="H17" s="17">
        <f>IFERROR(INDEX(Material_Detail!$D:$DC,MATCH($D17,Material_Detail!$DE:$DE,0),$P$7+0),0)</f>
        <v/>
      </c>
      <c r="I17" s="17">
        <f>IFERROR(INDEX(Material_Detail!$D:$DC,MATCH($D17,Material_Detail!$DE:$DE,0),$P$7+1),0)</f>
        <v/>
      </c>
      <c r="J17" s="17">
        <f>IFERROR(INDEX(Material_Detail!$D:$DC,MATCH($D17,Material_Detail!$DE:$DE,0),$P$7+2),0)</f>
        <v/>
      </c>
      <c r="K17" s="17">
        <f>IFERROR(INDEX(Material_Detail!$D:$DC,MATCH($D17,Material_Detail!$DE:$DE,0),$P$7+3),0)</f>
        <v/>
      </c>
      <c r="L17" s="17">
        <f>IFERROR(INDEX(Material_Detail!$D:$DC,MATCH($D17,Material_Detail!$DE:$DE,0),$P$7+4),0)</f>
        <v/>
      </c>
      <c r="M17" s="17">
        <f>IFERROR(INDEX(Material_Detail!$D:$DC,MATCH($D17,Material_Detail!$DE:$DE,0),$P$7+5),0)</f>
        <v/>
      </c>
      <c r="N17" s="17">
        <f>IFERROR(INDEX(Material_Detail!$D:$DC,MATCH($D17,Material_Detail!$DE:$DE,0),$P$7+6),0)</f>
        <v/>
      </c>
      <c r="O17" s="17">
        <f>IFERROR(INDEX(Material_Detail!$D:$DC,MATCH($D17,Material_Detail!$DE:$DE,0),$P$7+7),0)</f>
        <v/>
      </c>
      <c r="P17" s="17">
        <f>IFERROR(INDEX(Material_Detail!$D:$DC,MATCH($D17,Material_Detail!$DE:$DE,0),$P$7+8),0)</f>
        <v/>
      </c>
      <c r="Q17" s="17">
        <f>IFERROR(INDEX(Material_Detail!$D:$DC,MATCH($D17,Material_Detail!$DE:$DE,0),$P$7+9),0)</f>
        <v/>
      </c>
      <c r="R17" s="17">
        <f>IFERROR(INDEX(Material_Detail!$D:$DC,MATCH($D17,Material_Detail!$DE:$DE,0),$P$7+10),0)</f>
        <v/>
      </c>
      <c r="S17" s="17">
        <f>IFERROR(INDEX(Material_Detail!$D:$DC,MATCH($D17,Material_Detail!$DE:$DE,0),$P$7+11),0)</f>
        <v/>
      </c>
      <c r="T17" s="17">
        <f>IFERROR(INDEX(Material_Detail!$D:$DC,MATCH($D17,Material_Detail!$DE:$DE,0),$P$7+12),0)</f>
        <v/>
      </c>
      <c r="U17" s="17">
        <f>SUM(H17:T17)</f>
        <v/>
      </c>
    </row>
    <row r="18">
      <c r="B18" s="19">
        <f>IFERROR(INDEX(M_RawMaterials[Description],MATCH("CHEM-1510",M_RawMaterials[Part Name],0)),"")</f>
        <v/>
      </c>
      <c r="C18" s="19" t="inlineStr">
        <is>
          <t>71288625001</t>
        </is>
      </c>
      <c r="D18" s="19" t="inlineStr">
        <is>
          <t>CHEM-1510</t>
        </is>
      </c>
      <c r="E18" s="19" t="inlineStr">
        <is>
          <t>kg</t>
        </is>
      </c>
      <c r="F18" s="19">
        <f>IFERROR(INDEX(M_RawMaterials[基準在庫下限_要入力],MATCH("CHEM-1510",M_RawMaterials[Part Name],0)),0)</f>
        <v/>
      </c>
      <c r="G18" s="19">
        <f>INDEX(Grid_Stock[#Data],MATCH($D18,Grid_Stock[Part Name],0),$P$7)</f>
        <v/>
      </c>
      <c r="H18" s="19">
        <f>IFERROR(INDEX(Material_Detail!$D:$DC,MATCH($D18,Material_Detail!$DE:$DE,0),$P$7+0),0)</f>
        <v/>
      </c>
      <c r="I18" s="19">
        <f>IFERROR(INDEX(Material_Detail!$D:$DC,MATCH($D18,Material_Detail!$DE:$DE,0),$P$7+1),0)</f>
        <v/>
      </c>
      <c r="J18" s="19">
        <f>IFERROR(INDEX(Material_Detail!$D:$DC,MATCH($D18,Material_Detail!$DE:$DE,0),$P$7+2),0)</f>
        <v/>
      </c>
      <c r="K18" s="19">
        <f>IFERROR(INDEX(Material_Detail!$D:$DC,MATCH($D18,Material_Detail!$DE:$DE,0),$P$7+3),0)</f>
        <v/>
      </c>
      <c r="L18" s="19">
        <f>IFERROR(INDEX(Material_Detail!$D:$DC,MATCH($D18,Material_Detail!$DE:$DE,0),$P$7+4),0)</f>
        <v/>
      </c>
      <c r="M18" s="19">
        <f>IFERROR(INDEX(Material_Detail!$D:$DC,MATCH($D18,Material_Detail!$DE:$DE,0),$P$7+5),0)</f>
        <v/>
      </c>
      <c r="N18" s="19">
        <f>IFERROR(INDEX(Material_Detail!$D:$DC,MATCH($D18,Material_Detail!$DE:$DE,0),$P$7+6),0)</f>
        <v/>
      </c>
      <c r="O18" s="19">
        <f>IFERROR(INDEX(Material_Detail!$D:$DC,MATCH($D18,Material_Detail!$DE:$DE,0),$P$7+7),0)</f>
        <v/>
      </c>
      <c r="P18" s="19">
        <f>IFERROR(INDEX(Material_Detail!$D:$DC,MATCH($D18,Material_Detail!$DE:$DE,0),$P$7+8),0)</f>
        <v/>
      </c>
      <c r="Q18" s="19">
        <f>IFERROR(INDEX(Material_Detail!$D:$DC,MATCH($D18,Material_Detail!$DE:$DE,0),$P$7+9),0)</f>
        <v/>
      </c>
      <c r="R18" s="19">
        <f>IFERROR(INDEX(Material_Detail!$D:$DC,MATCH($D18,Material_Detail!$DE:$DE,0),$P$7+10),0)</f>
        <v/>
      </c>
      <c r="S18" s="19">
        <f>IFERROR(INDEX(Material_Detail!$D:$DC,MATCH($D18,Material_Detail!$DE:$DE,0),$P$7+11),0)</f>
        <v/>
      </c>
      <c r="T18" s="19">
        <f>IFERROR(INDEX(Material_Detail!$D:$DC,MATCH($D18,Material_Detail!$DE:$DE,0),$P$7+12),0)</f>
        <v/>
      </c>
      <c r="U18" s="19">
        <f>SUM(H18:T18)</f>
        <v/>
      </c>
    </row>
    <row r="19">
      <c r="B19" s="17">
        <f>IFERROR(INDEX(M_RawMaterials[Description],MATCH("CHEM-1580",M_RawMaterials[Part Name],0)),"")</f>
        <v/>
      </c>
      <c r="C19" s="17" t="inlineStr">
        <is>
          <t>71288614301</t>
        </is>
      </c>
      <c r="D19" s="17" t="inlineStr">
        <is>
          <t>CHEM-1580</t>
        </is>
      </c>
      <c r="E19" s="17" t="inlineStr">
        <is>
          <t>kg</t>
        </is>
      </c>
      <c r="F19" s="17">
        <f>IFERROR(INDEX(M_RawMaterials[基準在庫下限_要入力],MATCH("CHEM-1580",M_RawMaterials[Part Name],0)),0)</f>
        <v/>
      </c>
      <c r="G19" s="17">
        <f>INDEX(Grid_Stock[#Data],MATCH($D19,Grid_Stock[Part Name],0),$P$7)</f>
        <v/>
      </c>
      <c r="H19" s="17">
        <f>IFERROR(INDEX(Material_Detail!$D:$DC,MATCH($D19,Material_Detail!$DE:$DE,0),$P$7+0),0)</f>
        <v/>
      </c>
      <c r="I19" s="17">
        <f>IFERROR(INDEX(Material_Detail!$D:$DC,MATCH($D19,Material_Detail!$DE:$DE,0),$P$7+1),0)</f>
        <v/>
      </c>
      <c r="J19" s="17">
        <f>IFERROR(INDEX(Material_Detail!$D:$DC,MATCH($D19,Material_Detail!$DE:$DE,0),$P$7+2),0)</f>
        <v/>
      </c>
      <c r="K19" s="17">
        <f>IFERROR(INDEX(Material_Detail!$D:$DC,MATCH($D19,Material_Detail!$DE:$DE,0),$P$7+3),0)</f>
        <v/>
      </c>
      <c r="L19" s="17">
        <f>IFERROR(INDEX(Material_Detail!$D:$DC,MATCH($D19,Material_Detail!$DE:$DE,0),$P$7+4),0)</f>
        <v/>
      </c>
      <c r="M19" s="17">
        <f>IFERROR(INDEX(Material_Detail!$D:$DC,MATCH($D19,Material_Detail!$DE:$DE,0),$P$7+5),0)</f>
        <v/>
      </c>
      <c r="N19" s="17">
        <f>IFERROR(INDEX(Material_Detail!$D:$DC,MATCH($D19,Material_Detail!$DE:$DE,0),$P$7+6),0)</f>
        <v/>
      </c>
      <c r="O19" s="17">
        <f>IFERROR(INDEX(Material_Detail!$D:$DC,MATCH($D19,Material_Detail!$DE:$DE,0),$P$7+7),0)</f>
        <v/>
      </c>
      <c r="P19" s="17">
        <f>IFERROR(INDEX(Material_Detail!$D:$DC,MATCH($D19,Material_Detail!$DE:$DE,0),$P$7+8),0)</f>
        <v/>
      </c>
      <c r="Q19" s="17">
        <f>IFERROR(INDEX(Material_Detail!$D:$DC,MATCH($D19,Material_Detail!$DE:$DE,0),$P$7+9),0)</f>
        <v/>
      </c>
      <c r="R19" s="17">
        <f>IFERROR(INDEX(Material_Detail!$D:$DC,MATCH($D19,Material_Detail!$DE:$DE,0),$P$7+10),0)</f>
        <v/>
      </c>
      <c r="S19" s="17">
        <f>IFERROR(INDEX(Material_Detail!$D:$DC,MATCH($D19,Material_Detail!$DE:$DE,0),$P$7+11),0)</f>
        <v/>
      </c>
      <c r="T19" s="17">
        <f>IFERROR(INDEX(Material_Detail!$D:$DC,MATCH($D19,Material_Detail!$DE:$DE,0),$P$7+12),0)</f>
        <v/>
      </c>
      <c r="U19" s="17">
        <f>SUM(H19:T19)</f>
        <v/>
      </c>
    </row>
    <row r="20">
      <c r="B20" s="19">
        <f>IFERROR(INDEX(M_RawMaterials[Description],MATCH("CHEM-1250",M_RawMaterials[Part Name],0)),"")</f>
        <v/>
      </c>
      <c r="C20" s="19" t="inlineStr">
        <is>
          <t>71288614901</t>
        </is>
      </c>
      <c r="D20" s="19" t="inlineStr">
        <is>
          <t>CHEM-1250</t>
        </is>
      </c>
      <c r="E20" s="19" t="inlineStr">
        <is>
          <t>kg</t>
        </is>
      </c>
      <c r="F20" s="19">
        <f>IFERROR(INDEX(M_RawMaterials[基準在庫下限_要入力],MATCH("CHEM-1250",M_RawMaterials[Part Name],0)),0)</f>
        <v/>
      </c>
      <c r="G20" s="19">
        <f>INDEX(Grid_Stock[#Data],MATCH($D20,Grid_Stock[Part Name],0),$P$7)</f>
        <v/>
      </c>
      <c r="H20" s="19">
        <f>IFERROR(INDEX(Material_Detail!$D:$DC,MATCH($D20,Material_Detail!$DE:$DE,0),$P$7+0),0)</f>
        <v/>
      </c>
      <c r="I20" s="19">
        <f>IFERROR(INDEX(Material_Detail!$D:$DC,MATCH($D20,Material_Detail!$DE:$DE,0),$P$7+1),0)</f>
        <v/>
      </c>
      <c r="J20" s="19">
        <f>IFERROR(INDEX(Material_Detail!$D:$DC,MATCH($D20,Material_Detail!$DE:$DE,0),$P$7+2),0)</f>
        <v/>
      </c>
      <c r="K20" s="19">
        <f>IFERROR(INDEX(Material_Detail!$D:$DC,MATCH($D20,Material_Detail!$DE:$DE,0),$P$7+3),0)</f>
        <v/>
      </c>
      <c r="L20" s="19">
        <f>IFERROR(INDEX(Material_Detail!$D:$DC,MATCH($D20,Material_Detail!$DE:$DE,0),$P$7+4),0)</f>
        <v/>
      </c>
      <c r="M20" s="19">
        <f>IFERROR(INDEX(Material_Detail!$D:$DC,MATCH($D20,Material_Detail!$DE:$DE,0),$P$7+5),0)</f>
        <v/>
      </c>
      <c r="N20" s="19">
        <f>IFERROR(INDEX(Material_Detail!$D:$DC,MATCH($D20,Material_Detail!$DE:$DE,0),$P$7+6),0)</f>
        <v/>
      </c>
      <c r="O20" s="19">
        <f>IFERROR(INDEX(Material_Detail!$D:$DC,MATCH($D20,Material_Detail!$DE:$DE,0),$P$7+7),0)</f>
        <v/>
      </c>
      <c r="P20" s="19">
        <f>IFERROR(INDEX(Material_Detail!$D:$DC,MATCH($D20,Material_Detail!$DE:$DE,0),$P$7+8),0)</f>
        <v/>
      </c>
      <c r="Q20" s="19">
        <f>IFERROR(INDEX(Material_Detail!$D:$DC,MATCH($D20,Material_Detail!$DE:$DE,0),$P$7+9),0)</f>
        <v/>
      </c>
      <c r="R20" s="19">
        <f>IFERROR(INDEX(Material_Detail!$D:$DC,MATCH($D20,Material_Detail!$DE:$DE,0),$P$7+10),0)</f>
        <v/>
      </c>
      <c r="S20" s="19">
        <f>IFERROR(INDEX(Material_Detail!$D:$DC,MATCH($D20,Material_Detail!$DE:$DE,0),$P$7+11),0)</f>
        <v/>
      </c>
      <c r="T20" s="19">
        <f>IFERROR(INDEX(Material_Detail!$D:$DC,MATCH($D20,Material_Detail!$DE:$DE,0),$P$7+12),0)</f>
        <v/>
      </c>
      <c r="U20" s="19">
        <f>SUM(H20:T20)</f>
        <v/>
      </c>
    </row>
    <row r="21">
      <c r="B21" s="17">
        <f>IFERROR(INDEX(M_RawMaterials[Description],MATCH("CHEM-1600",M_RawMaterials[Part Name],0)),"")</f>
        <v/>
      </c>
      <c r="C21" s="17" t="inlineStr">
        <is>
          <t>71388005101</t>
        </is>
      </c>
      <c r="D21" s="17" t="inlineStr">
        <is>
          <t>CHEM-1600</t>
        </is>
      </c>
      <c r="E21" s="17" t="inlineStr">
        <is>
          <t>kg</t>
        </is>
      </c>
      <c r="F21" s="17">
        <f>IFERROR(INDEX(M_RawMaterials[基準在庫下限_要入力],MATCH("CHEM-1600",M_RawMaterials[Part Name],0)),0)</f>
        <v/>
      </c>
      <c r="G21" s="17">
        <f>INDEX(Grid_Stock[#Data],MATCH($D21,Grid_Stock[Part Name],0),$P$7)</f>
        <v/>
      </c>
      <c r="H21" s="17">
        <f>IFERROR(INDEX(Material_Detail!$D:$DC,MATCH($D21,Material_Detail!$DE:$DE,0),$P$7+0),0)</f>
        <v/>
      </c>
      <c r="I21" s="17">
        <f>IFERROR(INDEX(Material_Detail!$D:$DC,MATCH($D21,Material_Detail!$DE:$DE,0),$P$7+1),0)</f>
        <v/>
      </c>
      <c r="J21" s="17">
        <f>IFERROR(INDEX(Material_Detail!$D:$DC,MATCH($D21,Material_Detail!$DE:$DE,0),$P$7+2),0)</f>
        <v/>
      </c>
      <c r="K21" s="17">
        <f>IFERROR(INDEX(Material_Detail!$D:$DC,MATCH($D21,Material_Detail!$DE:$DE,0),$P$7+3),0)</f>
        <v/>
      </c>
      <c r="L21" s="17">
        <f>IFERROR(INDEX(Material_Detail!$D:$DC,MATCH($D21,Material_Detail!$DE:$DE,0),$P$7+4),0)</f>
        <v/>
      </c>
      <c r="M21" s="17">
        <f>IFERROR(INDEX(Material_Detail!$D:$DC,MATCH($D21,Material_Detail!$DE:$DE,0),$P$7+5),0)</f>
        <v/>
      </c>
      <c r="N21" s="17">
        <f>IFERROR(INDEX(Material_Detail!$D:$DC,MATCH($D21,Material_Detail!$DE:$DE,0),$P$7+6),0)</f>
        <v/>
      </c>
      <c r="O21" s="17">
        <f>IFERROR(INDEX(Material_Detail!$D:$DC,MATCH($D21,Material_Detail!$DE:$DE,0),$P$7+7),0)</f>
        <v/>
      </c>
      <c r="P21" s="17">
        <f>IFERROR(INDEX(Material_Detail!$D:$DC,MATCH($D21,Material_Detail!$DE:$DE,0),$P$7+8),0)</f>
        <v/>
      </c>
      <c r="Q21" s="17">
        <f>IFERROR(INDEX(Material_Detail!$D:$DC,MATCH($D21,Material_Detail!$DE:$DE,0),$P$7+9),0)</f>
        <v/>
      </c>
      <c r="R21" s="17">
        <f>IFERROR(INDEX(Material_Detail!$D:$DC,MATCH($D21,Material_Detail!$DE:$DE,0),$P$7+10),0)</f>
        <v/>
      </c>
      <c r="S21" s="17">
        <f>IFERROR(INDEX(Material_Detail!$D:$DC,MATCH($D21,Material_Detail!$DE:$DE,0),$P$7+11),0)</f>
        <v/>
      </c>
      <c r="T21" s="17">
        <f>IFERROR(INDEX(Material_Detail!$D:$DC,MATCH($D21,Material_Detail!$DE:$DE,0),$P$7+12),0)</f>
        <v/>
      </c>
      <c r="U21" s="17">
        <f>SUM(H21:T21)</f>
        <v/>
      </c>
    </row>
    <row r="22">
      <c r="B22" s="19">
        <f>IFERROR(INDEX(M_RawMaterials[Description],MATCH("CHEM-1120",M_RawMaterials[Part Name],0)),"")</f>
        <v/>
      </c>
      <c r="C22" s="19" t="inlineStr">
        <is>
          <t>712886120</t>
        </is>
      </c>
      <c r="D22" s="19" t="inlineStr">
        <is>
          <t>CHEM-1120</t>
        </is>
      </c>
      <c r="E22" s="19" t="inlineStr">
        <is>
          <t>kg</t>
        </is>
      </c>
      <c r="F22" s="19">
        <f>IFERROR(INDEX(M_RawMaterials[基準在庫下限_要入力],MATCH("CHEM-1120",M_RawMaterials[Part Name],0)),0)</f>
        <v/>
      </c>
      <c r="G22" s="19">
        <f>INDEX(Grid_Stock[#Data],MATCH($D22,Grid_Stock[Part Name],0),$P$7)</f>
        <v/>
      </c>
      <c r="H22" s="19">
        <f>IFERROR(INDEX(Material_Detail!$D:$DC,MATCH($D22,Material_Detail!$DE:$DE,0),$P$7+0),0)</f>
        <v/>
      </c>
      <c r="I22" s="19">
        <f>IFERROR(INDEX(Material_Detail!$D:$DC,MATCH($D22,Material_Detail!$DE:$DE,0),$P$7+1),0)</f>
        <v/>
      </c>
      <c r="J22" s="19">
        <f>IFERROR(INDEX(Material_Detail!$D:$DC,MATCH($D22,Material_Detail!$DE:$DE,0),$P$7+2),0)</f>
        <v/>
      </c>
      <c r="K22" s="19">
        <f>IFERROR(INDEX(Material_Detail!$D:$DC,MATCH($D22,Material_Detail!$DE:$DE,0),$P$7+3),0)</f>
        <v/>
      </c>
      <c r="L22" s="19">
        <f>IFERROR(INDEX(Material_Detail!$D:$DC,MATCH($D22,Material_Detail!$DE:$DE,0),$P$7+4),0)</f>
        <v/>
      </c>
      <c r="M22" s="19">
        <f>IFERROR(INDEX(Material_Detail!$D:$DC,MATCH($D22,Material_Detail!$DE:$DE,0),$P$7+5),0)</f>
        <v/>
      </c>
      <c r="N22" s="19">
        <f>IFERROR(INDEX(Material_Detail!$D:$DC,MATCH($D22,Material_Detail!$DE:$DE,0),$P$7+6),0)</f>
        <v/>
      </c>
      <c r="O22" s="19">
        <f>IFERROR(INDEX(Material_Detail!$D:$DC,MATCH($D22,Material_Detail!$DE:$DE,0),$P$7+7),0)</f>
        <v/>
      </c>
      <c r="P22" s="19">
        <f>IFERROR(INDEX(Material_Detail!$D:$DC,MATCH($D22,Material_Detail!$DE:$DE,0),$P$7+8),0)</f>
        <v/>
      </c>
      <c r="Q22" s="19">
        <f>IFERROR(INDEX(Material_Detail!$D:$DC,MATCH($D22,Material_Detail!$DE:$DE,0),$P$7+9),0)</f>
        <v/>
      </c>
      <c r="R22" s="19">
        <f>IFERROR(INDEX(Material_Detail!$D:$DC,MATCH($D22,Material_Detail!$DE:$DE,0),$P$7+10),0)</f>
        <v/>
      </c>
      <c r="S22" s="19">
        <f>IFERROR(INDEX(Material_Detail!$D:$DC,MATCH($D22,Material_Detail!$DE:$DE,0),$P$7+11),0)</f>
        <v/>
      </c>
      <c r="T22" s="19">
        <f>IFERROR(INDEX(Material_Detail!$D:$DC,MATCH($D22,Material_Detail!$DE:$DE,0),$P$7+12),0)</f>
        <v/>
      </c>
      <c r="U22" s="19">
        <f>SUM(H22:T22)</f>
        <v/>
      </c>
    </row>
    <row r="23">
      <c r="B23" s="17">
        <f>IFERROR(INDEX(M_RawMaterials[Description],MATCH("CHEM-1550",M_RawMaterials[Part Name],0)),"")</f>
        <v/>
      </c>
      <c r="C23" s="17" t="inlineStr">
        <is>
          <t>71288624901</t>
        </is>
      </c>
      <c r="D23" s="17" t="inlineStr">
        <is>
          <t>CHEM-1550</t>
        </is>
      </c>
      <c r="E23" s="17" t="inlineStr">
        <is>
          <t>kg</t>
        </is>
      </c>
      <c r="F23" s="17">
        <f>IFERROR(INDEX(M_RawMaterials[基準在庫下限_要入力],MATCH("CHEM-1550",M_RawMaterials[Part Name],0)),0)</f>
        <v/>
      </c>
      <c r="G23" s="17">
        <f>INDEX(Grid_Stock[#Data],MATCH($D23,Grid_Stock[Part Name],0),$P$7)</f>
        <v/>
      </c>
      <c r="H23" s="17">
        <f>IFERROR(INDEX(Material_Detail!$D:$DC,MATCH($D23,Material_Detail!$DE:$DE,0),$P$7+0),0)</f>
        <v/>
      </c>
      <c r="I23" s="17">
        <f>IFERROR(INDEX(Material_Detail!$D:$DC,MATCH($D23,Material_Detail!$DE:$DE,0),$P$7+1),0)</f>
        <v/>
      </c>
      <c r="J23" s="17">
        <f>IFERROR(INDEX(Material_Detail!$D:$DC,MATCH($D23,Material_Detail!$DE:$DE,0),$P$7+2),0)</f>
        <v/>
      </c>
      <c r="K23" s="17">
        <f>IFERROR(INDEX(Material_Detail!$D:$DC,MATCH($D23,Material_Detail!$DE:$DE,0),$P$7+3),0)</f>
        <v/>
      </c>
      <c r="L23" s="17">
        <f>IFERROR(INDEX(Material_Detail!$D:$DC,MATCH($D23,Material_Detail!$DE:$DE,0),$P$7+4),0)</f>
        <v/>
      </c>
      <c r="M23" s="17">
        <f>IFERROR(INDEX(Material_Detail!$D:$DC,MATCH($D23,Material_Detail!$DE:$DE,0),$P$7+5),0)</f>
        <v/>
      </c>
      <c r="N23" s="17">
        <f>IFERROR(INDEX(Material_Detail!$D:$DC,MATCH($D23,Material_Detail!$DE:$DE,0),$P$7+6),0)</f>
        <v/>
      </c>
      <c r="O23" s="17">
        <f>IFERROR(INDEX(Material_Detail!$D:$DC,MATCH($D23,Material_Detail!$DE:$DE,0),$P$7+7),0)</f>
        <v/>
      </c>
      <c r="P23" s="17">
        <f>IFERROR(INDEX(Material_Detail!$D:$DC,MATCH($D23,Material_Detail!$DE:$DE,0),$P$7+8),0)</f>
        <v/>
      </c>
      <c r="Q23" s="17">
        <f>IFERROR(INDEX(Material_Detail!$D:$DC,MATCH($D23,Material_Detail!$DE:$DE,0),$P$7+9),0)</f>
        <v/>
      </c>
      <c r="R23" s="17">
        <f>IFERROR(INDEX(Material_Detail!$D:$DC,MATCH($D23,Material_Detail!$DE:$DE,0),$P$7+10),0)</f>
        <v/>
      </c>
      <c r="S23" s="17">
        <f>IFERROR(INDEX(Material_Detail!$D:$DC,MATCH($D23,Material_Detail!$DE:$DE,0),$P$7+11),0)</f>
        <v/>
      </c>
      <c r="T23" s="17">
        <f>IFERROR(INDEX(Material_Detail!$D:$DC,MATCH($D23,Material_Detail!$DE:$DE,0),$P$7+12),0)</f>
        <v/>
      </c>
      <c r="U23" s="17">
        <f>SUM(H23:T23)</f>
        <v/>
      </c>
    </row>
    <row r="24">
      <c r="B24" s="19">
        <f>IFERROR(INDEX(M_RawMaterials[Description],MATCH("CHEM-1440",M_RawMaterials[Part Name],0)),"")</f>
        <v/>
      </c>
      <c r="C24" s="19" t="inlineStr">
        <is>
          <t>83988005701</t>
        </is>
      </c>
      <c r="D24" s="19" t="inlineStr">
        <is>
          <t>CHEM-1440</t>
        </is>
      </c>
      <c r="E24" s="19" t="inlineStr">
        <is>
          <t>kg</t>
        </is>
      </c>
      <c r="F24" s="19">
        <f>IFERROR(INDEX(M_RawMaterials[基準在庫下限_要入力],MATCH("CHEM-1440",M_RawMaterials[Part Name],0)),0)</f>
        <v/>
      </c>
      <c r="G24" s="19">
        <f>INDEX(Grid_Stock[#Data],MATCH($D24,Grid_Stock[Part Name],0),$P$7)</f>
        <v/>
      </c>
      <c r="H24" s="19">
        <f>IFERROR(INDEX(Material_Detail!$D:$DC,MATCH($D24,Material_Detail!$DE:$DE,0),$P$7+0),0)</f>
        <v/>
      </c>
      <c r="I24" s="19">
        <f>IFERROR(INDEX(Material_Detail!$D:$DC,MATCH($D24,Material_Detail!$DE:$DE,0),$P$7+1),0)</f>
        <v/>
      </c>
      <c r="J24" s="19">
        <f>IFERROR(INDEX(Material_Detail!$D:$DC,MATCH($D24,Material_Detail!$DE:$DE,0),$P$7+2),0)</f>
        <v/>
      </c>
      <c r="K24" s="19">
        <f>IFERROR(INDEX(Material_Detail!$D:$DC,MATCH($D24,Material_Detail!$DE:$DE,0),$P$7+3),0)</f>
        <v/>
      </c>
      <c r="L24" s="19">
        <f>IFERROR(INDEX(Material_Detail!$D:$DC,MATCH($D24,Material_Detail!$DE:$DE,0),$P$7+4),0)</f>
        <v/>
      </c>
      <c r="M24" s="19">
        <f>IFERROR(INDEX(Material_Detail!$D:$DC,MATCH($D24,Material_Detail!$DE:$DE,0),$P$7+5),0)</f>
        <v/>
      </c>
      <c r="N24" s="19">
        <f>IFERROR(INDEX(Material_Detail!$D:$DC,MATCH($D24,Material_Detail!$DE:$DE,0),$P$7+6),0)</f>
        <v/>
      </c>
      <c r="O24" s="19">
        <f>IFERROR(INDEX(Material_Detail!$D:$DC,MATCH($D24,Material_Detail!$DE:$DE,0),$P$7+7),0)</f>
        <v/>
      </c>
      <c r="P24" s="19">
        <f>IFERROR(INDEX(Material_Detail!$D:$DC,MATCH($D24,Material_Detail!$DE:$DE,0),$P$7+8),0)</f>
        <v/>
      </c>
      <c r="Q24" s="19">
        <f>IFERROR(INDEX(Material_Detail!$D:$DC,MATCH($D24,Material_Detail!$DE:$DE,0),$P$7+9),0)</f>
        <v/>
      </c>
      <c r="R24" s="19">
        <f>IFERROR(INDEX(Material_Detail!$D:$DC,MATCH($D24,Material_Detail!$DE:$DE,0),$P$7+10),0)</f>
        <v/>
      </c>
      <c r="S24" s="19">
        <f>IFERROR(INDEX(Material_Detail!$D:$DC,MATCH($D24,Material_Detail!$DE:$DE,0),$P$7+11),0)</f>
        <v/>
      </c>
      <c r="T24" s="19">
        <f>IFERROR(INDEX(Material_Detail!$D:$DC,MATCH($D24,Material_Detail!$DE:$DE,0),$P$7+12),0)</f>
        <v/>
      </c>
      <c r="U24" s="19">
        <f>SUM(H24:T24)</f>
        <v/>
      </c>
    </row>
    <row r="25">
      <c r="B25" s="17">
        <f>IFERROR(INDEX(M_RawMaterials[Description],MATCH("CHEM-1780",M_RawMaterials[Part Name],0)),"")</f>
        <v/>
      </c>
      <c r="C25" s="17" t="inlineStr">
        <is>
          <t>New</t>
        </is>
      </c>
      <c r="D25" s="17" t="inlineStr">
        <is>
          <t>CHEM-1780</t>
        </is>
      </c>
      <c r="E25" s="17" t="inlineStr">
        <is>
          <t>kg</t>
        </is>
      </c>
      <c r="F25" s="17">
        <f>IFERROR(INDEX(M_RawMaterials[基準在庫下限_要入力],MATCH("CHEM-1780",M_RawMaterials[Part Name],0)),0)</f>
        <v/>
      </c>
      <c r="G25" s="17">
        <f>INDEX(Grid_Stock[#Data],MATCH($D25,Grid_Stock[Part Name],0),$P$7)</f>
        <v/>
      </c>
      <c r="H25" s="17">
        <f>IFERROR(INDEX(Material_Detail!$D:$DC,MATCH($D25,Material_Detail!$DE:$DE,0),$P$7+0),0)</f>
        <v/>
      </c>
      <c r="I25" s="17">
        <f>IFERROR(INDEX(Material_Detail!$D:$DC,MATCH($D25,Material_Detail!$DE:$DE,0),$P$7+1),0)</f>
        <v/>
      </c>
      <c r="J25" s="17">
        <f>IFERROR(INDEX(Material_Detail!$D:$DC,MATCH($D25,Material_Detail!$DE:$DE,0),$P$7+2),0)</f>
        <v/>
      </c>
      <c r="K25" s="17">
        <f>IFERROR(INDEX(Material_Detail!$D:$DC,MATCH($D25,Material_Detail!$DE:$DE,0),$P$7+3),0)</f>
        <v/>
      </c>
      <c r="L25" s="17">
        <f>IFERROR(INDEX(Material_Detail!$D:$DC,MATCH($D25,Material_Detail!$DE:$DE,0),$P$7+4),0)</f>
        <v/>
      </c>
      <c r="M25" s="17">
        <f>IFERROR(INDEX(Material_Detail!$D:$DC,MATCH($D25,Material_Detail!$DE:$DE,0),$P$7+5),0)</f>
        <v/>
      </c>
      <c r="N25" s="17">
        <f>IFERROR(INDEX(Material_Detail!$D:$DC,MATCH($D25,Material_Detail!$DE:$DE,0),$P$7+6),0)</f>
        <v/>
      </c>
      <c r="O25" s="17">
        <f>IFERROR(INDEX(Material_Detail!$D:$DC,MATCH($D25,Material_Detail!$DE:$DE,0),$P$7+7),0)</f>
        <v/>
      </c>
      <c r="P25" s="17">
        <f>IFERROR(INDEX(Material_Detail!$D:$DC,MATCH($D25,Material_Detail!$DE:$DE,0),$P$7+8),0)</f>
        <v/>
      </c>
      <c r="Q25" s="17">
        <f>IFERROR(INDEX(Material_Detail!$D:$DC,MATCH($D25,Material_Detail!$DE:$DE,0),$P$7+9),0)</f>
        <v/>
      </c>
      <c r="R25" s="17">
        <f>IFERROR(INDEX(Material_Detail!$D:$DC,MATCH($D25,Material_Detail!$DE:$DE,0),$P$7+10),0)</f>
        <v/>
      </c>
      <c r="S25" s="17">
        <f>IFERROR(INDEX(Material_Detail!$D:$DC,MATCH($D25,Material_Detail!$DE:$DE,0),$P$7+11),0)</f>
        <v/>
      </c>
      <c r="T25" s="17">
        <f>IFERROR(INDEX(Material_Detail!$D:$DC,MATCH($D25,Material_Detail!$DE:$DE,0),$P$7+12),0)</f>
        <v/>
      </c>
      <c r="U25" s="17">
        <f>SUM(H25:T25)</f>
        <v/>
      </c>
    </row>
    <row r="26">
      <c r="B26" s="19">
        <f>IFERROR(INDEX(M_RawMaterials[Description],MATCH("CHEM-1400",M_RawMaterials[Part Name],0)),"")</f>
        <v/>
      </c>
      <c r="C26" s="19" t="inlineStr">
        <is>
          <t>71288617001</t>
        </is>
      </c>
      <c r="D26" s="19" t="inlineStr">
        <is>
          <t>CHEM-1400</t>
        </is>
      </c>
      <c r="E26" s="19" t="inlineStr">
        <is>
          <t>kg</t>
        </is>
      </c>
      <c r="F26" s="19">
        <f>IFERROR(INDEX(M_RawMaterials[基準在庫下限_要入力],MATCH("CHEM-1400",M_RawMaterials[Part Name],0)),0)</f>
        <v/>
      </c>
      <c r="G26" s="19">
        <f>INDEX(Grid_Stock[#Data],MATCH($D26,Grid_Stock[Part Name],0),$P$7)</f>
        <v/>
      </c>
      <c r="H26" s="19">
        <f>IFERROR(INDEX(Material_Detail!$D:$DC,MATCH($D26,Material_Detail!$DE:$DE,0),$P$7+0),0)</f>
        <v/>
      </c>
      <c r="I26" s="19">
        <f>IFERROR(INDEX(Material_Detail!$D:$DC,MATCH($D26,Material_Detail!$DE:$DE,0),$P$7+1),0)</f>
        <v/>
      </c>
      <c r="J26" s="19">
        <f>IFERROR(INDEX(Material_Detail!$D:$DC,MATCH($D26,Material_Detail!$DE:$DE,0),$P$7+2),0)</f>
        <v/>
      </c>
      <c r="K26" s="19">
        <f>IFERROR(INDEX(Material_Detail!$D:$DC,MATCH($D26,Material_Detail!$DE:$DE,0),$P$7+3),0)</f>
        <v/>
      </c>
      <c r="L26" s="19">
        <f>IFERROR(INDEX(Material_Detail!$D:$DC,MATCH($D26,Material_Detail!$DE:$DE,0),$P$7+4),0)</f>
        <v/>
      </c>
      <c r="M26" s="19">
        <f>IFERROR(INDEX(Material_Detail!$D:$DC,MATCH($D26,Material_Detail!$DE:$DE,0),$P$7+5),0)</f>
        <v/>
      </c>
      <c r="N26" s="19">
        <f>IFERROR(INDEX(Material_Detail!$D:$DC,MATCH($D26,Material_Detail!$DE:$DE,0),$P$7+6),0)</f>
        <v/>
      </c>
      <c r="O26" s="19">
        <f>IFERROR(INDEX(Material_Detail!$D:$DC,MATCH($D26,Material_Detail!$DE:$DE,0),$P$7+7),0)</f>
        <v/>
      </c>
      <c r="P26" s="19">
        <f>IFERROR(INDEX(Material_Detail!$D:$DC,MATCH($D26,Material_Detail!$DE:$DE,0),$P$7+8),0)</f>
        <v/>
      </c>
      <c r="Q26" s="19">
        <f>IFERROR(INDEX(Material_Detail!$D:$DC,MATCH($D26,Material_Detail!$DE:$DE,0),$P$7+9),0)</f>
        <v/>
      </c>
      <c r="R26" s="19">
        <f>IFERROR(INDEX(Material_Detail!$D:$DC,MATCH($D26,Material_Detail!$DE:$DE,0),$P$7+10),0)</f>
        <v/>
      </c>
      <c r="S26" s="19">
        <f>IFERROR(INDEX(Material_Detail!$D:$DC,MATCH($D26,Material_Detail!$DE:$DE,0),$P$7+11),0)</f>
        <v/>
      </c>
      <c r="T26" s="19">
        <f>IFERROR(INDEX(Material_Detail!$D:$DC,MATCH($D26,Material_Detail!$DE:$DE,0),$P$7+12),0)</f>
        <v/>
      </c>
      <c r="U26" s="19">
        <f>SUM(H26:T26)</f>
        <v/>
      </c>
    </row>
    <row r="27">
      <c r="B27" s="17">
        <f>IFERROR(INDEX(M_RawMaterials[Description],MATCH("CHEM-1650",M_RawMaterials[Part Name],0)),"")</f>
        <v/>
      </c>
      <c r="C27" s="17" t="inlineStr">
        <is>
          <t>712886256</t>
        </is>
      </c>
      <c r="D27" s="17" t="inlineStr">
        <is>
          <t>CHEM-1650</t>
        </is>
      </c>
      <c r="E27" s="17" t="inlineStr">
        <is>
          <t>kg</t>
        </is>
      </c>
      <c r="F27" s="17">
        <f>IFERROR(INDEX(M_RawMaterials[基準在庫下限_要入力],MATCH("CHEM-1650",M_RawMaterials[Part Name],0)),0)</f>
        <v/>
      </c>
      <c r="G27" s="17">
        <f>INDEX(Grid_Stock[#Data],MATCH($D27,Grid_Stock[Part Name],0),$P$7)</f>
        <v/>
      </c>
      <c r="H27" s="17">
        <f>IFERROR(INDEX(Material_Detail!$D:$DC,MATCH($D27,Material_Detail!$DE:$DE,0),$P$7+0),0)</f>
        <v/>
      </c>
      <c r="I27" s="17">
        <f>IFERROR(INDEX(Material_Detail!$D:$DC,MATCH($D27,Material_Detail!$DE:$DE,0),$P$7+1),0)</f>
        <v/>
      </c>
      <c r="J27" s="17">
        <f>IFERROR(INDEX(Material_Detail!$D:$DC,MATCH($D27,Material_Detail!$DE:$DE,0),$P$7+2),0)</f>
        <v/>
      </c>
      <c r="K27" s="17">
        <f>IFERROR(INDEX(Material_Detail!$D:$DC,MATCH($D27,Material_Detail!$DE:$DE,0),$P$7+3),0)</f>
        <v/>
      </c>
      <c r="L27" s="17">
        <f>IFERROR(INDEX(Material_Detail!$D:$DC,MATCH($D27,Material_Detail!$DE:$DE,0),$P$7+4),0)</f>
        <v/>
      </c>
      <c r="M27" s="17">
        <f>IFERROR(INDEX(Material_Detail!$D:$DC,MATCH($D27,Material_Detail!$DE:$DE,0),$P$7+5),0)</f>
        <v/>
      </c>
      <c r="N27" s="17">
        <f>IFERROR(INDEX(Material_Detail!$D:$DC,MATCH($D27,Material_Detail!$DE:$DE,0),$P$7+6),0)</f>
        <v/>
      </c>
      <c r="O27" s="17">
        <f>IFERROR(INDEX(Material_Detail!$D:$DC,MATCH($D27,Material_Detail!$DE:$DE,0),$P$7+7),0)</f>
        <v/>
      </c>
      <c r="P27" s="17">
        <f>IFERROR(INDEX(Material_Detail!$D:$DC,MATCH($D27,Material_Detail!$DE:$DE,0),$P$7+8),0)</f>
        <v/>
      </c>
      <c r="Q27" s="17">
        <f>IFERROR(INDEX(Material_Detail!$D:$DC,MATCH($D27,Material_Detail!$DE:$DE,0),$P$7+9),0)</f>
        <v/>
      </c>
      <c r="R27" s="17">
        <f>IFERROR(INDEX(Material_Detail!$D:$DC,MATCH($D27,Material_Detail!$DE:$DE,0),$P$7+10),0)</f>
        <v/>
      </c>
      <c r="S27" s="17">
        <f>IFERROR(INDEX(Material_Detail!$D:$DC,MATCH($D27,Material_Detail!$DE:$DE,0),$P$7+11),0)</f>
        <v/>
      </c>
      <c r="T27" s="17">
        <f>IFERROR(INDEX(Material_Detail!$D:$DC,MATCH($D27,Material_Detail!$DE:$DE,0),$P$7+12),0)</f>
        <v/>
      </c>
      <c r="U27" s="17">
        <f>SUM(H27:T27)</f>
        <v/>
      </c>
    </row>
    <row r="28">
      <c r="B28" s="19">
        <f>IFERROR(INDEX(M_RawMaterials[Description],MATCH("CHEM-1420",M_RawMaterials[Part Name],0)),"")</f>
        <v/>
      </c>
      <c r="C28" s="19" t="inlineStr">
        <is>
          <t>71288629601</t>
        </is>
      </c>
      <c r="D28" s="19" t="inlineStr">
        <is>
          <t>CHEM-1420</t>
        </is>
      </c>
      <c r="E28" s="19" t="inlineStr">
        <is>
          <t>kg</t>
        </is>
      </c>
      <c r="F28" s="19">
        <f>IFERROR(INDEX(M_RawMaterials[基準在庫下限_要入力],MATCH("CHEM-1420",M_RawMaterials[Part Name],0)),0)</f>
        <v/>
      </c>
      <c r="G28" s="19">
        <f>INDEX(Grid_Stock[#Data],MATCH($D28,Grid_Stock[Part Name],0),$P$7)</f>
        <v/>
      </c>
      <c r="H28" s="19">
        <f>IFERROR(INDEX(Material_Detail!$D:$DC,MATCH($D28,Material_Detail!$DE:$DE,0),$P$7+0),0)</f>
        <v/>
      </c>
      <c r="I28" s="19">
        <f>IFERROR(INDEX(Material_Detail!$D:$DC,MATCH($D28,Material_Detail!$DE:$DE,0),$P$7+1),0)</f>
        <v/>
      </c>
      <c r="J28" s="19">
        <f>IFERROR(INDEX(Material_Detail!$D:$DC,MATCH($D28,Material_Detail!$DE:$DE,0),$P$7+2),0)</f>
        <v/>
      </c>
      <c r="K28" s="19">
        <f>IFERROR(INDEX(Material_Detail!$D:$DC,MATCH($D28,Material_Detail!$DE:$DE,0),$P$7+3),0)</f>
        <v/>
      </c>
      <c r="L28" s="19">
        <f>IFERROR(INDEX(Material_Detail!$D:$DC,MATCH($D28,Material_Detail!$DE:$DE,0),$P$7+4),0)</f>
        <v/>
      </c>
      <c r="M28" s="19">
        <f>IFERROR(INDEX(Material_Detail!$D:$DC,MATCH($D28,Material_Detail!$DE:$DE,0),$P$7+5),0)</f>
        <v/>
      </c>
      <c r="N28" s="19">
        <f>IFERROR(INDEX(Material_Detail!$D:$DC,MATCH($D28,Material_Detail!$DE:$DE,0),$P$7+6),0)</f>
        <v/>
      </c>
      <c r="O28" s="19">
        <f>IFERROR(INDEX(Material_Detail!$D:$DC,MATCH($D28,Material_Detail!$DE:$DE,0),$P$7+7),0)</f>
        <v/>
      </c>
      <c r="P28" s="19">
        <f>IFERROR(INDEX(Material_Detail!$D:$DC,MATCH($D28,Material_Detail!$DE:$DE,0),$P$7+8),0)</f>
        <v/>
      </c>
      <c r="Q28" s="19">
        <f>IFERROR(INDEX(Material_Detail!$D:$DC,MATCH($D28,Material_Detail!$DE:$DE,0),$P$7+9),0)</f>
        <v/>
      </c>
      <c r="R28" s="19">
        <f>IFERROR(INDEX(Material_Detail!$D:$DC,MATCH($D28,Material_Detail!$DE:$DE,0),$P$7+10),0)</f>
        <v/>
      </c>
      <c r="S28" s="19">
        <f>IFERROR(INDEX(Material_Detail!$D:$DC,MATCH($D28,Material_Detail!$DE:$DE,0),$P$7+11),0)</f>
        <v/>
      </c>
      <c r="T28" s="19">
        <f>IFERROR(INDEX(Material_Detail!$D:$DC,MATCH($D28,Material_Detail!$DE:$DE,0),$P$7+12),0)</f>
        <v/>
      </c>
      <c r="U28" s="19">
        <f>SUM(H28:T28)</f>
        <v/>
      </c>
    </row>
    <row r="29">
      <c r="B29" s="17">
        <f>IFERROR(INDEX(M_RawMaterials[Description],MATCH("CHEM-1080",M_RawMaterials[Part Name],0)),"")</f>
        <v/>
      </c>
      <c r="C29" s="17" t="inlineStr"/>
      <c r="D29" s="17" t="inlineStr">
        <is>
          <t>CHEM-1080</t>
        </is>
      </c>
      <c r="E29" s="17" t="inlineStr">
        <is>
          <t>kg</t>
        </is>
      </c>
      <c r="F29" s="17">
        <f>IFERROR(INDEX(M_RawMaterials[基準在庫下限_要入力],MATCH("CHEM-1080",M_RawMaterials[Part Name],0)),0)</f>
        <v/>
      </c>
      <c r="G29" s="17">
        <f>INDEX(Grid_Stock[#Data],MATCH($D29,Grid_Stock[Part Name],0),$P$7)</f>
        <v/>
      </c>
      <c r="H29" s="17">
        <f>IFERROR(INDEX(Material_Detail!$D:$DC,MATCH($D29,Material_Detail!$DE:$DE,0),$P$7+0),0)</f>
        <v/>
      </c>
      <c r="I29" s="17">
        <f>IFERROR(INDEX(Material_Detail!$D:$DC,MATCH($D29,Material_Detail!$DE:$DE,0),$P$7+1),0)</f>
        <v/>
      </c>
      <c r="J29" s="17">
        <f>IFERROR(INDEX(Material_Detail!$D:$DC,MATCH($D29,Material_Detail!$DE:$DE,0),$P$7+2),0)</f>
        <v/>
      </c>
      <c r="K29" s="17">
        <f>IFERROR(INDEX(Material_Detail!$D:$DC,MATCH($D29,Material_Detail!$DE:$DE,0),$P$7+3),0)</f>
        <v/>
      </c>
      <c r="L29" s="17">
        <f>IFERROR(INDEX(Material_Detail!$D:$DC,MATCH($D29,Material_Detail!$DE:$DE,0),$P$7+4),0)</f>
        <v/>
      </c>
      <c r="M29" s="17">
        <f>IFERROR(INDEX(Material_Detail!$D:$DC,MATCH($D29,Material_Detail!$DE:$DE,0),$P$7+5),0)</f>
        <v/>
      </c>
      <c r="N29" s="17">
        <f>IFERROR(INDEX(Material_Detail!$D:$DC,MATCH($D29,Material_Detail!$DE:$DE,0),$P$7+6),0)</f>
        <v/>
      </c>
      <c r="O29" s="17">
        <f>IFERROR(INDEX(Material_Detail!$D:$DC,MATCH($D29,Material_Detail!$DE:$DE,0),$P$7+7),0)</f>
        <v/>
      </c>
      <c r="P29" s="17">
        <f>IFERROR(INDEX(Material_Detail!$D:$DC,MATCH($D29,Material_Detail!$DE:$DE,0),$P$7+8),0)</f>
        <v/>
      </c>
      <c r="Q29" s="17">
        <f>IFERROR(INDEX(Material_Detail!$D:$DC,MATCH($D29,Material_Detail!$DE:$DE,0),$P$7+9),0)</f>
        <v/>
      </c>
      <c r="R29" s="17">
        <f>IFERROR(INDEX(Material_Detail!$D:$DC,MATCH($D29,Material_Detail!$DE:$DE,0),$P$7+10),0)</f>
        <v/>
      </c>
      <c r="S29" s="17">
        <f>IFERROR(INDEX(Material_Detail!$D:$DC,MATCH($D29,Material_Detail!$DE:$DE,0),$P$7+11),0)</f>
        <v/>
      </c>
      <c r="T29" s="17">
        <f>IFERROR(INDEX(Material_Detail!$D:$DC,MATCH($D29,Material_Detail!$DE:$DE,0),$P$7+12),0)</f>
        <v/>
      </c>
      <c r="U29" s="17">
        <f>SUM(H29:T29)</f>
        <v/>
      </c>
    </row>
    <row r="30">
      <c r="B30" s="19">
        <f>IFERROR(INDEX(M_RawMaterials[Description],MATCH("CHEM-1530",M_RawMaterials[Part Name],0)),"")</f>
        <v/>
      </c>
      <c r="C30" s="19" t="inlineStr">
        <is>
          <t>71388003501</t>
        </is>
      </c>
      <c r="D30" s="19" t="inlineStr">
        <is>
          <t>CHEM-1530</t>
        </is>
      </c>
      <c r="E30" s="19" t="inlineStr">
        <is>
          <t>kg</t>
        </is>
      </c>
      <c r="F30" s="19">
        <f>IFERROR(INDEX(M_RawMaterials[基準在庫下限_要入力],MATCH("CHEM-1530",M_RawMaterials[Part Name],0)),0)</f>
        <v/>
      </c>
      <c r="G30" s="19">
        <f>INDEX(Grid_Stock[#Data],MATCH($D30,Grid_Stock[Part Name],0),$P$7)</f>
        <v/>
      </c>
      <c r="H30" s="19">
        <f>IFERROR(INDEX(Material_Detail!$D:$DC,MATCH($D30,Material_Detail!$DE:$DE,0),$P$7+0),0)</f>
        <v/>
      </c>
      <c r="I30" s="19">
        <f>IFERROR(INDEX(Material_Detail!$D:$DC,MATCH($D30,Material_Detail!$DE:$DE,0),$P$7+1),0)</f>
        <v/>
      </c>
      <c r="J30" s="19">
        <f>IFERROR(INDEX(Material_Detail!$D:$DC,MATCH($D30,Material_Detail!$DE:$DE,0),$P$7+2),0)</f>
        <v/>
      </c>
      <c r="K30" s="19">
        <f>IFERROR(INDEX(Material_Detail!$D:$DC,MATCH($D30,Material_Detail!$DE:$DE,0),$P$7+3),0)</f>
        <v/>
      </c>
      <c r="L30" s="19">
        <f>IFERROR(INDEX(Material_Detail!$D:$DC,MATCH($D30,Material_Detail!$DE:$DE,0),$P$7+4),0)</f>
        <v/>
      </c>
      <c r="M30" s="19">
        <f>IFERROR(INDEX(Material_Detail!$D:$DC,MATCH($D30,Material_Detail!$DE:$DE,0),$P$7+5),0)</f>
        <v/>
      </c>
      <c r="N30" s="19">
        <f>IFERROR(INDEX(Material_Detail!$D:$DC,MATCH($D30,Material_Detail!$DE:$DE,0),$P$7+6),0)</f>
        <v/>
      </c>
      <c r="O30" s="19">
        <f>IFERROR(INDEX(Material_Detail!$D:$DC,MATCH($D30,Material_Detail!$DE:$DE,0),$P$7+7),0)</f>
        <v/>
      </c>
      <c r="P30" s="19">
        <f>IFERROR(INDEX(Material_Detail!$D:$DC,MATCH($D30,Material_Detail!$DE:$DE,0),$P$7+8),0)</f>
        <v/>
      </c>
      <c r="Q30" s="19">
        <f>IFERROR(INDEX(Material_Detail!$D:$DC,MATCH($D30,Material_Detail!$DE:$DE,0),$P$7+9),0)</f>
        <v/>
      </c>
      <c r="R30" s="19">
        <f>IFERROR(INDEX(Material_Detail!$D:$DC,MATCH($D30,Material_Detail!$DE:$DE,0),$P$7+10),0)</f>
        <v/>
      </c>
      <c r="S30" s="19">
        <f>IFERROR(INDEX(Material_Detail!$D:$DC,MATCH($D30,Material_Detail!$DE:$DE,0),$P$7+11),0)</f>
        <v/>
      </c>
      <c r="T30" s="19">
        <f>IFERROR(INDEX(Material_Detail!$D:$DC,MATCH($D30,Material_Detail!$DE:$DE,0),$P$7+12),0)</f>
        <v/>
      </c>
      <c r="U30" s="19">
        <f>SUM(H30:T30)</f>
        <v/>
      </c>
    </row>
    <row r="31">
      <c r="B31" s="17">
        <f>IFERROR(INDEX(M_RawMaterials[Description],MATCH("CHEM-1480",M_RawMaterials[Part Name],0)),"")</f>
        <v/>
      </c>
      <c r="C31" s="17" t="inlineStr">
        <is>
          <t>NAT30</t>
        </is>
      </c>
      <c r="D31" s="17" t="inlineStr">
        <is>
          <t>CHEM-1480</t>
        </is>
      </c>
      <c r="E31" s="17" t="inlineStr">
        <is>
          <t>kg</t>
        </is>
      </c>
      <c r="F31" s="17">
        <f>IFERROR(INDEX(M_RawMaterials[基準在庫下限_要入力],MATCH("CHEM-1480",M_RawMaterials[Part Name],0)),0)</f>
        <v/>
      </c>
      <c r="G31" s="17">
        <f>INDEX(Grid_Stock[#Data],MATCH($D31,Grid_Stock[Part Name],0),$P$7)</f>
        <v/>
      </c>
      <c r="H31" s="17">
        <f>IFERROR(INDEX(Material_Detail!$D:$DC,MATCH($D31,Material_Detail!$DE:$DE,0),$P$7+0),0)</f>
        <v/>
      </c>
      <c r="I31" s="17">
        <f>IFERROR(INDEX(Material_Detail!$D:$DC,MATCH($D31,Material_Detail!$DE:$DE,0),$P$7+1),0)</f>
        <v/>
      </c>
      <c r="J31" s="17">
        <f>IFERROR(INDEX(Material_Detail!$D:$DC,MATCH($D31,Material_Detail!$DE:$DE,0),$P$7+2),0)</f>
        <v/>
      </c>
      <c r="K31" s="17">
        <f>IFERROR(INDEX(Material_Detail!$D:$DC,MATCH($D31,Material_Detail!$DE:$DE,0),$P$7+3),0)</f>
        <v/>
      </c>
      <c r="L31" s="17">
        <f>IFERROR(INDEX(Material_Detail!$D:$DC,MATCH($D31,Material_Detail!$DE:$DE,0),$P$7+4),0)</f>
        <v/>
      </c>
      <c r="M31" s="17">
        <f>IFERROR(INDEX(Material_Detail!$D:$DC,MATCH($D31,Material_Detail!$DE:$DE,0),$P$7+5),0)</f>
        <v/>
      </c>
      <c r="N31" s="17">
        <f>IFERROR(INDEX(Material_Detail!$D:$DC,MATCH($D31,Material_Detail!$DE:$DE,0),$P$7+6),0)</f>
        <v/>
      </c>
      <c r="O31" s="17">
        <f>IFERROR(INDEX(Material_Detail!$D:$DC,MATCH($D31,Material_Detail!$DE:$DE,0),$P$7+7),0)</f>
        <v/>
      </c>
      <c r="P31" s="17">
        <f>IFERROR(INDEX(Material_Detail!$D:$DC,MATCH($D31,Material_Detail!$DE:$DE,0),$P$7+8),0)</f>
        <v/>
      </c>
      <c r="Q31" s="17">
        <f>IFERROR(INDEX(Material_Detail!$D:$DC,MATCH($D31,Material_Detail!$DE:$DE,0),$P$7+9),0)</f>
        <v/>
      </c>
      <c r="R31" s="17">
        <f>IFERROR(INDEX(Material_Detail!$D:$DC,MATCH($D31,Material_Detail!$DE:$DE,0),$P$7+10),0)</f>
        <v/>
      </c>
      <c r="S31" s="17">
        <f>IFERROR(INDEX(Material_Detail!$D:$DC,MATCH($D31,Material_Detail!$DE:$DE,0),$P$7+11),0)</f>
        <v/>
      </c>
      <c r="T31" s="17">
        <f>IFERROR(INDEX(Material_Detail!$D:$DC,MATCH($D31,Material_Detail!$DE:$DE,0),$P$7+12),0)</f>
        <v/>
      </c>
      <c r="U31" s="17">
        <f>SUM(H31:T31)</f>
        <v/>
      </c>
    </row>
    <row r="32">
      <c r="B32" s="19">
        <f>IFERROR(INDEX(M_RawMaterials[Description],MATCH("CHEM-1540",M_RawMaterials[Part Name],0)),"")</f>
        <v/>
      </c>
      <c r="C32" s="19" t="inlineStr">
        <is>
          <t>71388005801</t>
        </is>
      </c>
      <c r="D32" s="19" t="inlineStr">
        <is>
          <t>CHEM-1540</t>
        </is>
      </c>
      <c r="E32" s="19" t="inlineStr">
        <is>
          <t>kg</t>
        </is>
      </c>
      <c r="F32" s="19">
        <f>IFERROR(INDEX(M_RawMaterials[基準在庫下限_要入力],MATCH("CHEM-1540",M_RawMaterials[Part Name],0)),0)</f>
        <v/>
      </c>
      <c r="G32" s="19">
        <f>INDEX(Grid_Stock[#Data],MATCH($D32,Grid_Stock[Part Name],0),$P$7)</f>
        <v/>
      </c>
      <c r="H32" s="19">
        <f>IFERROR(INDEX(Material_Detail!$D:$DC,MATCH($D32,Material_Detail!$DE:$DE,0),$P$7+0),0)</f>
        <v/>
      </c>
      <c r="I32" s="19">
        <f>IFERROR(INDEX(Material_Detail!$D:$DC,MATCH($D32,Material_Detail!$DE:$DE,0),$P$7+1),0)</f>
        <v/>
      </c>
      <c r="J32" s="19">
        <f>IFERROR(INDEX(Material_Detail!$D:$DC,MATCH($D32,Material_Detail!$DE:$DE,0),$P$7+2),0)</f>
        <v/>
      </c>
      <c r="K32" s="19">
        <f>IFERROR(INDEX(Material_Detail!$D:$DC,MATCH($D32,Material_Detail!$DE:$DE,0),$P$7+3),0)</f>
        <v/>
      </c>
      <c r="L32" s="19">
        <f>IFERROR(INDEX(Material_Detail!$D:$DC,MATCH($D32,Material_Detail!$DE:$DE,0),$P$7+4),0)</f>
        <v/>
      </c>
      <c r="M32" s="19">
        <f>IFERROR(INDEX(Material_Detail!$D:$DC,MATCH($D32,Material_Detail!$DE:$DE,0),$P$7+5),0)</f>
        <v/>
      </c>
      <c r="N32" s="19">
        <f>IFERROR(INDEX(Material_Detail!$D:$DC,MATCH($D32,Material_Detail!$DE:$DE,0),$P$7+6),0)</f>
        <v/>
      </c>
      <c r="O32" s="19">
        <f>IFERROR(INDEX(Material_Detail!$D:$DC,MATCH($D32,Material_Detail!$DE:$DE,0),$P$7+7),0)</f>
        <v/>
      </c>
      <c r="P32" s="19">
        <f>IFERROR(INDEX(Material_Detail!$D:$DC,MATCH($D32,Material_Detail!$DE:$DE,0),$P$7+8),0)</f>
        <v/>
      </c>
      <c r="Q32" s="19">
        <f>IFERROR(INDEX(Material_Detail!$D:$DC,MATCH($D32,Material_Detail!$DE:$DE,0),$P$7+9),0)</f>
        <v/>
      </c>
      <c r="R32" s="19">
        <f>IFERROR(INDEX(Material_Detail!$D:$DC,MATCH($D32,Material_Detail!$DE:$DE,0),$P$7+10),0)</f>
        <v/>
      </c>
      <c r="S32" s="19">
        <f>IFERROR(INDEX(Material_Detail!$D:$DC,MATCH($D32,Material_Detail!$DE:$DE,0),$P$7+11),0)</f>
        <v/>
      </c>
      <c r="T32" s="19">
        <f>IFERROR(INDEX(Material_Detail!$D:$DC,MATCH($D32,Material_Detail!$DE:$DE,0),$P$7+12),0)</f>
        <v/>
      </c>
      <c r="U32" s="19">
        <f>SUM(H32:T32)</f>
        <v/>
      </c>
    </row>
    <row r="33">
      <c r="B33" s="17">
        <f>IFERROR(INDEX(M_RawMaterials[Description],MATCH("CHEM-1680",M_RawMaterials[Part Name],0)),"")</f>
        <v/>
      </c>
      <c r="C33" s="17" t="inlineStr">
        <is>
          <t>713880069</t>
        </is>
      </c>
      <c r="D33" s="17" t="inlineStr">
        <is>
          <t>CHEM-1680</t>
        </is>
      </c>
      <c r="E33" s="17" t="inlineStr">
        <is>
          <t>kg</t>
        </is>
      </c>
      <c r="F33" s="17">
        <f>IFERROR(INDEX(M_RawMaterials[基準在庫下限_要入力],MATCH("CHEM-1680",M_RawMaterials[Part Name],0)),0)</f>
        <v/>
      </c>
      <c r="G33" s="17">
        <f>INDEX(Grid_Stock[#Data],MATCH($D33,Grid_Stock[Part Name],0),$P$7)</f>
        <v/>
      </c>
      <c r="H33" s="17">
        <f>IFERROR(INDEX(Material_Detail!$D:$DC,MATCH($D33,Material_Detail!$DE:$DE,0),$P$7+0),0)</f>
        <v/>
      </c>
      <c r="I33" s="17">
        <f>IFERROR(INDEX(Material_Detail!$D:$DC,MATCH($D33,Material_Detail!$DE:$DE,0),$P$7+1),0)</f>
        <v/>
      </c>
      <c r="J33" s="17">
        <f>IFERROR(INDEX(Material_Detail!$D:$DC,MATCH($D33,Material_Detail!$DE:$DE,0),$P$7+2),0)</f>
        <v/>
      </c>
      <c r="K33" s="17">
        <f>IFERROR(INDEX(Material_Detail!$D:$DC,MATCH($D33,Material_Detail!$DE:$DE,0),$P$7+3),0)</f>
        <v/>
      </c>
      <c r="L33" s="17">
        <f>IFERROR(INDEX(Material_Detail!$D:$DC,MATCH($D33,Material_Detail!$DE:$DE,0),$P$7+4),0)</f>
        <v/>
      </c>
      <c r="M33" s="17">
        <f>IFERROR(INDEX(Material_Detail!$D:$DC,MATCH($D33,Material_Detail!$DE:$DE,0),$P$7+5),0)</f>
        <v/>
      </c>
      <c r="N33" s="17">
        <f>IFERROR(INDEX(Material_Detail!$D:$DC,MATCH($D33,Material_Detail!$DE:$DE,0),$P$7+6),0)</f>
        <v/>
      </c>
      <c r="O33" s="17">
        <f>IFERROR(INDEX(Material_Detail!$D:$DC,MATCH($D33,Material_Detail!$DE:$DE,0),$P$7+7),0)</f>
        <v/>
      </c>
      <c r="P33" s="17">
        <f>IFERROR(INDEX(Material_Detail!$D:$DC,MATCH($D33,Material_Detail!$DE:$DE,0),$P$7+8),0)</f>
        <v/>
      </c>
      <c r="Q33" s="17">
        <f>IFERROR(INDEX(Material_Detail!$D:$DC,MATCH($D33,Material_Detail!$DE:$DE,0),$P$7+9),0)</f>
        <v/>
      </c>
      <c r="R33" s="17">
        <f>IFERROR(INDEX(Material_Detail!$D:$DC,MATCH($D33,Material_Detail!$DE:$DE,0),$P$7+10),0)</f>
        <v/>
      </c>
      <c r="S33" s="17">
        <f>IFERROR(INDEX(Material_Detail!$D:$DC,MATCH($D33,Material_Detail!$DE:$DE,0),$P$7+11),0)</f>
        <v/>
      </c>
      <c r="T33" s="17">
        <f>IFERROR(INDEX(Material_Detail!$D:$DC,MATCH($D33,Material_Detail!$DE:$DE,0),$P$7+12),0)</f>
        <v/>
      </c>
      <c r="U33" s="17">
        <f>SUM(H33:T33)</f>
        <v/>
      </c>
    </row>
    <row r="34">
      <c r="B34" s="19">
        <f>IFERROR(INDEX(M_RawMaterials[Description],MATCH("CHEM-1730",M_RawMaterials[Part Name],0)),"")</f>
        <v/>
      </c>
      <c r="C34" s="19" t="inlineStr">
        <is>
          <t>71388007701</t>
        </is>
      </c>
      <c r="D34" s="19" t="inlineStr">
        <is>
          <t>CHEM-1730</t>
        </is>
      </c>
      <c r="E34" s="19" t="inlineStr">
        <is>
          <t>kg</t>
        </is>
      </c>
      <c r="F34" s="19">
        <f>IFERROR(INDEX(M_RawMaterials[基準在庫下限_要入力],MATCH("CHEM-1730",M_RawMaterials[Part Name],0)),0)</f>
        <v/>
      </c>
      <c r="G34" s="19">
        <f>INDEX(Grid_Stock[#Data],MATCH($D34,Grid_Stock[Part Name],0),$P$7)</f>
        <v/>
      </c>
      <c r="H34" s="19">
        <f>IFERROR(INDEX(Material_Detail!$D:$DC,MATCH($D34,Material_Detail!$DE:$DE,0),$P$7+0),0)</f>
        <v/>
      </c>
      <c r="I34" s="19">
        <f>IFERROR(INDEX(Material_Detail!$D:$DC,MATCH($D34,Material_Detail!$DE:$DE,0),$P$7+1),0)</f>
        <v/>
      </c>
      <c r="J34" s="19">
        <f>IFERROR(INDEX(Material_Detail!$D:$DC,MATCH($D34,Material_Detail!$DE:$DE,0),$P$7+2),0)</f>
        <v/>
      </c>
      <c r="K34" s="19">
        <f>IFERROR(INDEX(Material_Detail!$D:$DC,MATCH($D34,Material_Detail!$DE:$DE,0),$P$7+3),0)</f>
        <v/>
      </c>
      <c r="L34" s="19">
        <f>IFERROR(INDEX(Material_Detail!$D:$DC,MATCH($D34,Material_Detail!$DE:$DE,0),$P$7+4),0)</f>
        <v/>
      </c>
      <c r="M34" s="19">
        <f>IFERROR(INDEX(Material_Detail!$D:$DC,MATCH($D34,Material_Detail!$DE:$DE,0),$P$7+5),0)</f>
        <v/>
      </c>
      <c r="N34" s="19">
        <f>IFERROR(INDEX(Material_Detail!$D:$DC,MATCH($D34,Material_Detail!$DE:$DE,0),$P$7+6),0)</f>
        <v/>
      </c>
      <c r="O34" s="19">
        <f>IFERROR(INDEX(Material_Detail!$D:$DC,MATCH($D34,Material_Detail!$DE:$DE,0),$P$7+7),0)</f>
        <v/>
      </c>
      <c r="P34" s="19">
        <f>IFERROR(INDEX(Material_Detail!$D:$DC,MATCH($D34,Material_Detail!$DE:$DE,0),$P$7+8),0)</f>
        <v/>
      </c>
      <c r="Q34" s="19">
        <f>IFERROR(INDEX(Material_Detail!$D:$DC,MATCH($D34,Material_Detail!$DE:$DE,0),$P$7+9),0)</f>
        <v/>
      </c>
      <c r="R34" s="19">
        <f>IFERROR(INDEX(Material_Detail!$D:$DC,MATCH($D34,Material_Detail!$DE:$DE,0),$P$7+10),0)</f>
        <v/>
      </c>
      <c r="S34" s="19">
        <f>IFERROR(INDEX(Material_Detail!$D:$DC,MATCH($D34,Material_Detail!$DE:$DE,0),$P$7+11),0)</f>
        <v/>
      </c>
      <c r="T34" s="19">
        <f>IFERROR(INDEX(Material_Detail!$D:$DC,MATCH($D34,Material_Detail!$DE:$DE,0),$P$7+12),0)</f>
        <v/>
      </c>
      <c r="U34" s="19">
        <f>SUM(H34:T34)</f>
        <v/>
      </c>
    </row>
    <row r="35">
      <c r="B35" s="17">
        <f>IFERROR(INDEX(M_RawMaterials[Description],MATCH("CHEM-1570",M_RawMaterials[Part Name],0)),"")</f>
        <v/>
      </c>
      <c r="C35" s="17" t="inlineStr">
        <is>
          <t>71288624802</t>
        </is>
      </c>
      <c r="D35" s="17" t="inlineStr">
        <is>
          <t>CHEM-1570</t>
        </is>
      </c>
      <c r="E35" s="17" t="inlineStr">
        <is>
          <t>kg</t>
        </is>
      </c>
      <c r="F35" s="17">
        <f>IFERROR(INDEX(M_RawMaterials[基準在庫下限_要入力],MATCH("CHEM-1570",M_RawMaterials[Part Name],0)),0)</f>
        <v/>
      </c>
      <c r="G35" s="17">
        <f>INDEX(Grid_Stock[#Data],MATCH($D35,Grid_Stock[Part Name],0),$P$7)</f>
        <v/>
      </c>
      <c r="H35" s="17">
        <f>IFERROR(INDEX(Material_Detail!$D:$DC,MATCH($D35,Material_Detail!$DE:$DE,0),$P$7+0),0)</f>
        <v/>
      </c>
      <c r="I35" s="17">
        <f>IFERROR(INDEX(Material_Detail!$D:$DC,MATCH($D35,Material_Detail!$DE:$DE,0),$P$7+1),0)</f>
        <v/>
      </c>
      <c r="J35" s="17">
        <f>IFERROR(INDEX(Material_Detail!$D:$DC,MATCH($D35,Material_Detail!$DE:$DE,0),$P$7+2),0)</f>
        <v/>
      </c>
      <c r="K35" s="17">
        <f>IFERROR(INDEX(Material_Detail!$D:$DC,MATCH($D35,Material_Detail!$DE:$DE,0),$P$7+3),0)</f>
        <v/>
      </c>
      <c r="L35" s="17">
        <f>IFERROR(INDEX(Material_Detail!$D:$DC,MATCH($D35,Material_Detail!$DE:$DE,0),$P$7+4),0)</f>
        <v/>
      </c>
      <c r="M35" s="17">
        <f>IFERROR(INDEX(Material_Detail!$D:$DC,MATCH($D35,Material_Detail!$DE:$DE,0),$P$7+5),0)</f>
        <v/>
      </c>
      <c r="N35" s="17">
        <f>IFERROR(INDEX(Material_Detail!$D:$DC,MATCH($D35,Material_Detail!$DE:$DE,0),$P$7+6),0)</f>
        <v/>
      </c>
      <c r="O35" s="17">
        <f>IFERROR(INDEX(Material_Detail!$D:$DC,MATCH($D35,Material_Detail!$DE:$DE,0),$P$7+7),0)</f>
        <v/>
      </c>
      <c r="P35" s="17">
        <f>IFERROR(INDEX(Material_Detail!$D:$DC,MATCH($D35,Material_Detail!$DE:$DE,0),$P$7+8),0)</f>
        <v/>
      </c>
      <c r="Q35" s="17">
        <f>IFERROR(INDEX(Material_Detail!$D:$DC,MATCH($D35,Material_Detail!$DE:$DE,0),$P$7+9),0)</f>
        <v/>
      </c>
      <c r="R35" s="17">
        <f>IFERROR(INDEX(Material_Detail!$D:$DC,MATCH($D35,Material_Detail!$DE:$DE,0),$P$7+10),0)</f>
        <v/>
      </c>
      <c r="S35" s="17">
        <f>IFERROR(INDEX(Material_Detail!$D:$DC,MATCH($D35,Material_Detail!$DE:$DE,0),$P$7+11),0)</f>
        <v/>
      </c>
      <c r="T35" s="17">
        <f>IFERROR(INDEX(Material_Detail!$D:$DC,MATCH($D35,Material_Detail!$DE:$DE,0),$P$7+12),0)</f>
        <v/>
      </c>
      <c r="U35" s="17">
        <f>SUM(H35:T35)</f>
        <v/>
      </c>
    </row>
    <row r="36">
      <c r="B36" s="19">
        <f>IFERROR(INDEX(M_RawMaterials[Description],MATCH("CHEM-1450",M_RawMaterials[Part Name],0)),"")</f>
        <v/>
      </c>
      <c r="C36" s="19" t="inlineStr">
        <is>
          <t>Noptechs</t>
        </is>
      </c>
      <c r="D36" s="19" t="inlineStr">
        <is>
          <t>CHEM-1450</t>
        </is>
      </c>
      <c r="E36" s="19" t="inlineStr">
        <is>
          <t>kg</t>
        </is>
      </c>
      <c r="F36" s="19">
        <f>IFERROR(INDEX(M_RawMaterials[基準在庫下限_要入力],MATCH("CHEM-1450",M_RawMaterials[Part Name],0)),0)</f>
        <v/>
      </c>
      <c r="G36" s="19">
        <f>INDEX(Grid_Stock[#Data],MATCH($D36,Grid_Stock[Part Name],0),$P$7)</f>
        <v/>
      </c>
      <c r="H36" s="19">
        <f>IFERROR(INDEX(Material_Detail!$D:$DC,MATCH($D36,Material_Detail!$DE:$DE,0),$P$7+0),0)</f>
        <v/>
      </c>
      <c r="I36" s="19">
        <f>IFERROR(INDEX(Material_Detail!$D:$DC,MATCH($D36,Material_Detail!$DE:$DE,0),$P$7+1),0)</f>
        <v/>
      </c>
      <c r="J36" s="19">
        <f>IFERROR(INDEX(Material_Detail!$D:$DC,MATCH($D36,Material_Detail!$DE:$DE,0),$P$7+2),0)</f>
        <v/>
      </c>
      <c r="K36" s="19">
        <f>IFERROR(INDEX(Material_Detail!$D:$DC,MATCH($D36,Material_Detail!$DE:$DE,0),$P$7+3),0)</f>
        <v/>
      </c>
      <c r="L36" s="19">
        <f>IFERROR(INDEX(Material_Detail!$D:$DC,MATCH($D36,Material_Detail!$DE:$DE,0),$P$7+4),0)</f>
        <v/>
      </c>
      <c r="M36" s="19">
        <f>IFERROR(INDEX(Material_Detail!$D:$DC,MATCH($D36,Material_Detail!$DE:$DE,0),$P$7+5),0)</f>
        <v/>
      </c>
      <c r="N36" s="19">
        <f>IFERROR(INDEX(Material_Detail!$D:$DC,MATCH($D36,Material_Detail!$DE:$DE,0),$P$7+6),0)</f>
        <v/>
      </c>
      <c r="O36" s="19">
        <f>IFERROR(INDEX(Material_Detail!$D:$DC,MATCH($D36,Material_Detail!$DE:$DE,0),$P$7+7),0)</f>
        <v/>
      </c>
      <c r="P36" s="19">
        <f>IFERROR(INDEX(Material_Detail!$D:$DC,MATCH($D36,Material_Detail!$DE:$DE,0),$P$7+8),0)</f>
        <v/>
      </c>
      <c r="Q36" s="19">
        <f>IFERROR(INDEX(Material_Detail!$D:$DC,MATCH($D36,Material_Detail!$DE:$DE,0),$P$7+9),0)</f>
        <v/>
      </c>
      <c r="R36" s="19">
        <f>IFERROR(INDEX(Material_Detail!$D:$DC,MATCH($D36,Material_Detail!$DE:$DE,0),$P$7+10),0)</f>
        <v/>
      </c>
      <c r="S36" s="19">
        <f>IFERROR(INDEX(Material_Detail!$D:$DC,MATCH($D36,Material_Detail!$DE:$DE,0),$P$7+11),0)</f>
        <v/>
      </c>
      <c r="T36" s="19">
        <f>IFERROR(INDEX(Material_Detail!$D:$DC,MATCH($D36,Material_Detail!$DE:$DE,0),$P$7+12),0)</f>
        <v/>
      </c>
      <c r="U36" s="19">
        <f>SUM(H36:T36)</f>
        <v/>
      </c>
    </row>
    <row r="37">
      <c r="B37" s="17">
        <f>IFERROR(INDEX(M_RawMaterials[Description],MATCH("CHEM-1770",M_RawMaterials[Part Name],0)),"")</f>
        <v/>
      </c>
      <c r="C37" s="17" t="inlineStr">
        <is>
          <t>New</t>
        </is>
      </c>
      <c r="D37" s="17" t="inlineStr">
        <is>
          <t>CHEM-1770</t>
        </is>
      </c>
      <c r="E37" s="17" t="inlineStr">
        <is>
          <t>kg</t>
        </is>
      </c>
      <c r="F37" s="17">
        <f>IFERROR(INDEX(M_RawMaterials[基準在庫下限_要入力],MATCH("CHEM-1770",M_RawMaterials[Part Name],0)),0)</f>
        <v/>
      </c>
      <c r="G37" s="17">
        <f>INDEX(Grid_Stock[#Data],MATCH($D37,Grid_Stock[Part Name],0),$P$7)</f>
        <v/>
      </c>
      <c r="H37" s="17">
        <f>IFERROR(INDEX(Material_Detail!$D:$DC,MATCH($D37,Material_Detail!$DE:$DE,0),$P$7+0),0)</f>
        <v/>
      </c>
      <c r="I37" s="17">
        <f>IFERROR(INDEX(Material_Detail!$D:$DC,MATCH($D37,Material_Detail!$DE:$DE,0),$P$7+1),0)</f>
        <v/>
      </c>
      <c r="J37" s="17">
        <f>IFERROR(INDEX(Material_Detail!$D:$DC,MATCH($D37,Material_Detail!$DE:$DE,0),$P$7+2),0)</f>
        <v/>
      </c>
      <c r="K37" s="17">
        <f>IFERROR(INDEX(Material_Detail!$D:$DC,MATCH($D37,Material_Detail!$DE:$DE,0),$P$7+3),0)</f>
        <v/>
      </c>
      <c r="L37" s="17">
        <f>IFERROR(INDEX(Material_Detail!$D:$DC,MATCH($D37,Material_Detail!$DE:$DE,0),$P$7+4),0)</f>
        <v/>
      </c>
      <c r="M37" s="17">
        <f>IFERROR(INDEX(Material_Detail!$D:$DC,MATCH($D37,Material_Detail!$DE:$DE,0),$P$7+5),0)</f>
        <v/>
      </c>
      <c r="N37" s="17">
        <f>IFERROR(INDEX(Material_Detail!$D:$DC,MATCH($D37,Material_Detail!$DE:$DE,0),$P$7+6),0)</f>
        <v/>
      </c>
      <c r="O37" s="17">
        <f>IFERROR(INDEX(Material_Detail!$D:$DC,MATCH($D37,Material_Detail!$DE:$DE,0),$P$7+7),0)</f>
        <v/>
      </c>
      <c r="P37" s="17">
        <f>IFERROR(INDEX(Material_Detail!$D:$DC,MATCH($D37,Material_Detail!$DE:$DE,0),$P$7+8),0)</f>
        <v/>
      </c>
      <c r="Q37" s="17">
        <f>IFERROR(INDEX(Material_Detail!$D:$DC,MATCH($D37,Material_Detail!$DE:$DE,0),$P$7+9),0)</f>
        <v/>
      </c>
      <c r="R37" s="17">
        <f>IFERROR(INDEX(Material_Detail!$D:$DC,MATCH($D37,Material_Detail!$DE:$DE,0),$P$7+10),0)</f>
        <v/>
      </c>
      <c r="S37" s="17">
        <f>IFERROR(INDEX(Material_Detail!$D:$DC,MATCH($D37,Material_Detail!$DE:$DE,0),$P$7+11),0)</f>
        <v/>
      </c>
      <c r="T37" s="17">
        <f>IFERROR(INDEX(Material_Detail!$D:$DC,MATCH($D37,Material_Detail!$DE:$DE,0),$P$7+12),0)</f>
        <v/>
      </c>
      <c r="U37" s="17">
        <f>SUM(H37:T37)</f>
        <v/>
      </c>
    </row>
    <row r="38">
      <c r="B38" s="19">
        <f>IFERROR(INDEX(M_RawMaterials[Description],MATCH("CHEM-1430",M_RawMaterials[Part Name],0)),"")</f>
        <v/>
      </c>
      <c r="C38" s="19" t="inlineStr">
        <is>
          <t>71388004301</t>
        </is>
      </c>
      <c r="D38" s="19" t="inlineStr">
        <is>
          <t>CHEM-1430</t>
        </is>
      </c>
      <c r="E38" s="19" t="inlineStr">
        <is>
          <t>kg</t>
        </is>
      </c>
      <c r="F38" s="19">
        <f>IFERROR(INDEX(M_RawMaterials[基準在庫下限_要入力],MATCH("CHEM-1430",M_RawMaterials[Part Name],0)),0)</f>
        <v/>
      </c>
      <c r="G38" s="19">
        <f>INDEX(Grid_Stock[#Data],MATCH($D38,Grid_Stock[Part Name],0),$P$7)</f>
        <v/>
      </c>
      <c r="H38" s="19">
        <f>IFERROR(INDEX(Material_Detail!$D:$DC,MATCH($D38,Material_Detail!$DE:$DE,0),$P$7+0),0)</f>
        <v/>
      </c>
      <c r="I38" s="19">
        <f>IFERROR(INDEX(Material_Detail!$D:$DC,MATCH($D38,Material_Detail!$DE:$DE,0),$P$7+1),0)</f>
        <v/>
      </c>
      <c r="J38" s="19">
        <f>IFERROR(INDEX(Material_Detail!$D:$DC,MATCH($D38,Material_Detail!$DE:$DE,0),$P$7+2),0)</f>
        <v/>
      </c>
      <c r="K38" s="19">
        <f>IFERROR(INDEX(Material_Detail!$D:$DC,MATCH($D38,Material_Detail!$DE:$DE,0),$P$7+3),0)</f>
        <v/>
      </c>
      <c r="L38" s="19">
        <f>IFERROR(INDEX(Material_Detail!$D:$DC,MATCH($D38,Material_Detail!$DE:$DE,0),$P$7+4),0)</f>
        <v/>
      </c>
      <c r="M38" s="19">
        <f>IFERROR(INDEX(Material_Detail!$D:$DC,MATCH($D38,Material_Detail!$DE:$DE,0),$P$7+5),0)</f>
        <v/>
      </c>
      <c r="N38" s="19">
        <f>IFERROR(INDEX(Material_Detail!$D:$DC,MATCH($D38,Material_Detail!$DE:$DE,0),$P$7+6),0)</f>
        <v/>
      </c>
      <c r="O38" s="19">
        <f>IFERROR(INDEX(Material_Detail!$D:$DC,MATCH($D38,Material_Detail!$DE:$DE,0),$P$7+7),0)</f>
        <v/>
      </c>
      <c r="P38" s="19">
        <f>IFERROR(INDEX(Material_Detail!$D:$DC,MATCH($D38,Material_Detail!$DE:$DE,0),$P$7+8),0)</f>
        <v/>
      </c>
      <c r="Q38" s="19">
        <f>IFERROR(INDEX(Material_Detail!$D:$DC,MATCH($D38,Material_Detail!$DE:$DE,0),$P$7+9),0)</f>
        <v/>
      </c>
      <c r="R38" s="19">
        <f>IFERROR(INDEX(Material_Detail!$D:$DC,MATCH($D38,Material_Detail!$DE:$DE,0),$P$7+10),0)</f>
        <v/>
      </c>
      <c r="S38" s="19">
        <f>IFERROR(INDEX(Material_Detail!$D:$DC,MATCH($D38,Material_Detail!$DE:$DE,0),$P$7+11),0)</f>
        <v/>
      </c>
      <c r="T38" s="19">
        <f>IFERROR(INDEX(Material_Detail!$D:$DC,MATCH($D38,Material_Detail!$DE:$DE,0),$P$7+12),0)</f>
        <v/>
      </c>
      <c r="U38" s="19">
        <f>SUM(H38:T38)</f>
        <v/>
      </c>
    </row>
    <row r="39">
      <c r="B39" s="17">
        <f>IFERROR(INDEX(M_RawMaterials[Description],MATCH("CHEM-1470",M_RawMaterials[Part Name],0)),"")</f>
        <v/>
      </c>
      <c r="C39" s="17" t="inlineStr">
        <is>
          <t>SCFA100</t>
        </is>
      </c>
      <c r="D39" s="17" t="inlineStr">
        <is>
          <t>CHEM-1470</t>
        </is>
      </c>
      <c r="E39" s="17" t="inlineStr">
        <is>
          <t>kg</t>
        </is>
      </c>
      <c r="F39" s="17">
        <f>IFERROR(INDEX(M_RawMaterials[基準在庫下限_要入力],MATCH("CHEM-1470",M_RawMaterials[Part Name],0)),0)</f>
        <v/>
      </c>
      <c r="G39" s="17">
        <f>INDEX(Grid_Stock[#Data],MATCH($D39,Grid_Stock[Part Name],0),$P$7)</f>
        <v/>
      </c>
      <c r="H39" s="17">
        <f>IFERROR(INDEX(Material_Detail!$D:$DC,MATCH($D39,Material_Detail!$DE:$DE,0),$P$7+0),0)</f>
        <v/>
      </c>
      <c r="I39" s="17">
        <f>IFERROR(INDEX(Material_Detail!$D:$DC,MATCH($D39,Material_Detail!$DE:$DE,0),$P$7+1),0)</f>
        <v/>
      </c>
      <c r="J39" s="17">
        <f>IFERROR(INDEX(Material_Detail!$D:$DC,MATCH($D39,Material_Detail!$DE:$DE,0),$P$7+2),0)</f>
        <v/>
      </c>
      <c r="K39" s="17">
        <f>IFERROR(INDEX(Material_Detail!$D:$DC,MATCH($D39,Material_Detail!$DE:$DE,0),$P$7+3),0)</f>
        <v/>
      </c>
      <c r="L39" s="17">
        <f>IFERROR(INDEX(Material_Detail!$D:$DC,MATCH($D39,Material_Detail!$DE:$DE,0),$P$7+4),0)</f>
        <v/>
      </c>
      <c r="M39" s="17">
        <f>IFERROR(INDEX(Material_Detail!$D:$DC,MATCH($D39,Material_Detail!$DE:$DE,0),$P$7+5),0)</f>
        <v/>
      </c>
      <c r="N39" s="17">
        <f>IFERROR(INDEX(Material_Detail!$D:$DC,MATCH($D39,Material_Detail!$DE:$DE,0),$P$7+6),0)</f>
        <v/>
      </c>
      <c r="O39" s="17">
        <f>IFERROR(INDEX(Material_Detail!$D:$DC,MATCH($D39,Material_Detail!$DE:$DE,0),$P$7+7),0)</f>
        <v/>
      </c>
      <c r="P39" s="17">
        <f>IFERROR(INDEX(Material_Detail!$D:$DC,MATCH($D39,Material_Detail!$DE:$DE,0),$P$7+8),0)</f>
        <v/>
      </c>
      <c r="Q39" s="17">
        <f>IFERROR(INDEX(Material_Detail!$D:$DC,MATCH($D39,Material_Detail!$DE:$DE,0),$P$7+9),0)</f>
        <v/>
      </c>
      <c r="R39" s="17">
        <f>IFERROR(INDEX(Material_Detail!$D:$DC,MATCH($D39,Material_Detail!$DE:$DE,0),$P$7+10),0)</f>
        <v/>
      </c>
      <c r="S39" s="17">
        <f>IFERROR(INDEX(Material_Detail!$D:$DC,MATCH($D39,Material_Detail!$DE:$DE,0),$P$7+11),0)</f>
        <v/>
      </c>
      <c r="T39" s="17">
        <f>IFERROR(INDEX(Material_Detail!$D:$DC,MATCH($D39,Material_Detail!$DE:$DE,0),$P$7+12),0)</f>
        <v/>
      </c>
      <c r="U39" s="17">
        <f>SUM(H39:T39)</f>
        <v/>
      </c>
    </row>
    <row r="40">
      <c r="B40" s="19">
        <f>IFERROR(INDEX(M_RawMaterials[Description],MATCH("CHEM-1010",M_RawMaterials[Part Name],0)),"")</f>
        <v/>
      </c>
      <c r="C40" s="19" t="inlineStr">
        <is>
          <t>Sodium Carbonate</t>
        </is>
      </c>
      <c r="D40" s="19" t="inlineStr">
        <is>
          <t>CHEM-1010</t>
        </is>
      </c>
      <c r="E40" s="19" t="inlineStr">
        <is>
          <t>kg</t>
        </is>
      </c>
      <c r="F40" s="19">
        <f>IFERROR(INDEX(M_RawMaterials[基準在庫下限_要入力],MATCH("CHEM-1010",M_RawMaterials[Part Name],0)),0)</f>
        <v/>
      </c>
      <c r="G40" s="19">
        <f>INDEX(Grid_Stock[#Data],MATCH($D40,Grid_Stock[Part Name],0),$P$7)</f>
        <v/>
      </c>
      <c r="H40" s="19">
        <f>IFERROR(INDEX(Material_Detail!$D:$DC,MATCH($D40,Material_Detail!$DE:$DE,0),$P$7+0),0)</f>
        <v/>
      </c>
      <c r="I40" s="19">
        <f>IFERROR(INDEX(Material_Detail!$D:$DC,MATCH($D40,Material_Detail!$DE:$DE,0),$P$7+1),0)</f>
        <v/>
      </c>
      <c r="J40" s="19">
        <f>IFERROR(INDEX(Material_Detail!$D:$DC,MATCH($D40,Material_Detail!$DE:$DE,0),$P$7+2),0)</f>
        <v/>
      </c>
      <c r="K40" s="19">
        <f>IFERROR(INDEX(Material_Detail!$D:$DC,MATCH($D40,Material_Detail!$DE:$DE,0),$P$7+3),0)</f>
        <v/>
      </c>
      <c r="L40" s="19">
        <f>IFERROR(INDEX(Material_Detail!$D:$DC,MATCH($D40,Material_Detail!$DE:$DE,0),$P$7+4),0)</f>
        <v/>
      </c>
      <c r="M40" s="19">
        <f>IFERROR(INDEX(Material_Detail!$D:$DC,MATCH($D40,Material_Detail!$DE:$DE,0),$P$7+5),0)</f>
        <v/>
      </c>
      <c r="N40" s="19">
        <f>IFERROR(INDEX(Material_Detail!$D:$DC,MATCH($D40,Material_Detail!$DE:$DE,0),$P$7+6),0)</f>
        <v/>
      </c>
      <c r="O40" s="19">
        <f>IFERROR(INDEX(Material_Detail!$D:$DC,MATCH($D40,Material_Detail!$DE:$DE,0),$P$7+7),0)</f>
        <v/>
      </c>
      <c r="P40" s="19">
        <f>IFERROR(INDEX(Material_Detail!$D:$DC,MATCH($D40,Material_Detail!$DE:$DE,0),$P$7+8),0)</f>
        <v/>
      </c>
      <c r="Q40" s="19">
        <f>IFERROR(INDEX(Material_Detail!$D:$DC,MATCH($D40,Material_Detail!$DE:$DE,0),$P$7+9),0)</f>
        <v/>
      </c>
      <c r="R40" s="19">
        <f>IFERROR(INDEX(Material_Detail!$D:$DC,MATCH($D40,Material_Detail!$DE:$DE,0),$P$7+10),0)</f>
        <v/>
      </c>
      <c r="S40" s="19">
        <f>IFERROR(INDEX(Material_Detail!$D:$DC,MATCH($D40,Material_Detail!$DE:$DE,0),$P$7+11),0)</f>
        <v/>
      </c>
      <c r="T40" s="19">
        <f>IFERROR(INDEX(Material_Detail!$D:$DC,MATCH($D40,Material_Detail!$DE:$DE,0),$P$7+12),0)</f>
        <v/>
      </c>
      <c r="U40" s="19">
        <f>SUM(H40:T40)</f>
        <v/>
      </c>
    </row>
    <row r="41">
      <c r="B41" s="17">
        <f>IFERROR(INDEX(M_RawMaterials[Description],MATCH("CHEM-1760",M_RawMaterials[Part Name],0)),"")</f>
        <v/>
      </c>
      <c r="C41" s="17" t="inlineStr">
        <is>
          <t>713880079</t>
        </is>
      </c>
      <c r="D41" s="17" t="inlineStr">
        <is>
          <t>CHEM-1760</t>
        </is>
      </c>
      <c r="E41" s="17" t="inlineStr">
        <is>
          <t>kg</t>
        </is>
      </c>
      <c r="F41" s="17">
        <f>IFERROR(INDEX(M_RawMaterials[基準在庫下限_要入力],MATCH("CHEM-1760",M_RawMaterials[Part Name],0)),0)</f>
        <v/>
      </c>
      <c r="G41" s="17">
        <f>INDEX(Grid_Stock[#Data],MATCH($D41,Grid_Stock[Part Name],0),$P$7)</f>
        <v/>
      </c>
      <c r="H41" s="17">
        <f>IFERROR(INDEX(Material_Detail!$D:$DC,MATCH($D41,Material_Detail!$DE:$DE,0),$P$7+0),0)</f>
        <v/>
      </c>
      <c r="I41" s="17">
        <f>IFERROR(INDEX(Material_Detail!$D:$DC,MATCH($D41,Material_Detail!$DE:$DE,0),$P$7+1),0)</f>
        <v/>
      </c>
      <c r="J41" s="17">
        <f>IFERROR(INDEX(Material_Detail!$D:$DC,MATCH($D41,Material_Detail!$DE:$DE,0),$P$7+2),0)</f>
        <v/>
      </c>
      <c r="K41" s="17">
        <f>IFERROR(INDEX(Material_Detail!$D:$DC,MATCH($D41,Material_Detail!$DE:$DE,0),$P$7+3),0)</f>
        <v/>
      </c>
      <c r="L41" s="17">
        <f>IFERROR(INDEX(Material_Detail!$D:$DC,MATCH($D41,Material_Detail!$DE:$DE,0),$P$7+4),0)</f>
        <v/>
      </c>
      <c r="M41" s="17">
        <f>IFERROR(INDEX(Material_Detail!$D:$DC,MATCH($D41,Material_Detail!$DE:$DE,0),$P$7+5),0)</f>
        <v/>
      </c>
      <c r="N41" s="17">
        <f>IFERROR(INDEX(Material_Detail!$D:$DC,MATCH($D41,Material_Detail!$DE:$DE,0),$P$7+6),0)</f>
        <v/>
      </c>
      <c r="O41" s="17">
        <f>IFERROR(INDEX(Material_Detail!$D:$DC,MATCH($D41,Material_Detail!$DE:$DE,0),$P$7+7),0)</f>
        <v/>
      </c>
      <c r="P41" s="17">
        <f>IFERROR(INDEX(Material_Detail!$D:$DC,MATCH($D41,Material_Detail!$DE:$DE,0),$P$7+8),0)</f>
        <v/>
      </c>
      <c r="Q41" s="17">
        <f>IFERROR(INDEX(Material_Detail!$D:$DC,MATCH($D41,Material_Detail!$DE:$DE,0),$P$7+9),0)</f>
        <v/>
      </c>
      <c r="R41" s="17">
        <f>IFERROR(INDEX(Material_Detail!$D:$DC,MATCH($D41,Material_Detail!$DE:$DE,0),$P$7+10),0)</f>
        <v/>
      </c>
      <c r="S41" s="17">
        <f>IFERROR(INDEX(Material_Detail!$D:$DC,MATCH($D41,Material_Detail!$DE:$DE,0),$P$7+11),0)</f>
        <v/>
      </c>
      <c r="T41" s="17">
        <f>IFERROR(INDEX(Material_Detail!$D:$DC,MATCH($D41,Material_Detail!$DE:$DE,0),$P$7+12),0)</f>
        <v/>
      </c>
      <c r="U41" s="17">
        <f>SUM(H41:T41)</f>
        <v/>
      </c>
    </row>
    <row r="42">
      <c r="B42" s="19">
        <f>IFERROR(INDEX(M_RawMaterials[Description],MATCH("CHEM-1700",M_RawMaterials[Part Name],0)),"")</f>
        <v/>
      </c>
      <c r="C42" s="19" t="inlineStr">
        <is>
          <t>712886270</t>
        </is>
      </c>
      <c r="D42" s="19" t="inlineStr">
        <is>
          <t>CHEM-1700</t>
        </is>
      </c>
      <c r="E42" s="19" t="inlineStr">
        <is>
          <t>kg</t>
        </is>
      </c>
      <c r="F42" s="19">
        <f>IFERROR(INDEX(M_RawMaterials[基準在庫下限_要入力],MATCH("CHEM-1700",M_RawMaterials[Part Name],0)),0)</f>
        <v/>
      </c>
      <c r="G42" s="19">
        <f>INDEX(Grid_Stock[#Data],MATCH($D42,Grid_Stock[Part Name],0),$P$7)</f>
        <v/>
      </c>
      <c r="H42" s="19">
        <f>IFERROR(INDEX(Material_Detail!$D:$DC,MATCH($D42,Material_Detail!$DE:$DE,0),$P$7+0),0)</f>
        <v/>
      </c>
      <c r="I42" s="19">
        <f>IFERROR(INDEX(Material_Detail!$D:$DC,MATCH($D42,Material_Detail!$DE:$DE,0),$P$7+1),0)</f>
        <v/>
      </c>
      <c r="J42" s="19">
        <f>IFERROR(INDEX(Material_Detail!$D:$DC,MATCH($D42,Material_Detail!$DE:$DE,0),$P$7+2),0)</f>
        <v/>
      </c>
      <c r="K42" s="19">
        <f>IFERROR(INDEX(Material_Detail!$D:$DC,MATCH($D42,Material_Detail!$DE:$DE,0),$P$7+3),0)</f>
        <v/>
      </c>
      <c r="L42" s="19">
        <f>IFERROR(INDEX(Material_Detail!$D:$DC,MATCH($D42,Material_Detail!$DE:$DE,0),$P$7+4),0)</f>
        <v/>
      </c>
      <c r="M42" s="19">
        <f>IFERROR(INDEX(Material_Detail!$D:$DC,MATCH($D42,Material_Detail!$DE:$DE,0),$P$7+5),0)</f>
        <v/>
      </c>
      <c r="N42" s="19">
        <f>IFERROR(INDEX(Material_Detail!$D:$DC,MATCH($D42,Material_Detail!$DE:$DE,0),$P$7+6),0)</f>
        <v/>
      </c>
      <c r="O42" s="19">
        <f>IFERROR(INDEX(Material_Detail!$D:$DC,MATCH($D42,Material_Detail!$DE:$DE,0),$P$7+7),0)</f>
        <v/>
      </c>
      <c r="P42" s="19">
        <f>IFERROR(INDEX(Material_Detail!$D:$DC,MATCH($D42,Material_Detail!$DE:$DE,0),$P$7+8),0)</f>
        <v/>
      </c>
      <c r="Q42" s="19">
        <f>IFERROR(INDEX(Material_Detail!$D:$DC,MATCH($D42,Material_Detail!$DE:$DE,0),$P$7+9),0)</f>
        <v/>
      </c>
      <c r="R42" s="19">
        <f>IFERROR(INDEX(Material_Detail!$D:$DC,MATCH($D42,Material_Detail!$DE:$DE,0),$P$7+10),0)</f>
        <v/>
      </c>
      <c r="S42" s="19">
        <f>IFERROR(INDEX(Material_Detail!$D:$DC,MATCH($D42,Material_Detail!$DE:$DE,0),$P$7+11),0)</f>
        <v/>
      </c>
      <c r="T42" s="19">
        <f>IFERROR(INDEX(Material_Detail!$D:$DC,MATCH($D42,Material_Detail!$DE:$DE,0),$P$7+12),0)</f>
        <v/>
      </c>
      <c r="U42" s="19">
        <f>SUM(H42:T42)</f>
        <v/>
      </c>
    </row>
    <row r="43">
      <c r="B43" s="17">
        <f>IFERROR(INDEX(M_RawMaterials[Description],MATCH("CHEM-1850",M_RawMaterials[Part Name],0)),"")</f>
        <v/>
      </c>
      <c r="C43" s="17" t="inlineStr">
        <is>
          <t>kg</t>
        </is>
      </c>
      <c r="D43" s="17" t="inlineStr">
        <is>
          <t>CHEM-1850</t>
        </is>
      </c>
      <c r="E43" s="17" t="inlineStr">
        <is>
          <t>kg</t>
        </is>
      </c>
      <c r="F43" s="17">
        <f>IFERROR(INDEX(M_RawMaterials[基準在庫下限_要入力],MATCH("CHEM-1850",M_RawMaterials[Part Name],0)),0)</f>
        <v/>
      </c>
      <c r="G43" s="17">
        <f>INDEX(Grid_Stock[#Data],MATCH($D43,Grid_Stock[Part Name],0),$P$7)</f>
        <v/>
      </c>
      <c r="H43" s="17">
        <f>IFERROR(INDEX(Material_Detail!$D:$DC,MATCH($D43,Material_Detail!$DE:$DE,0),$P$7+0),0)</f>
        <v/>
      </c>
      <c r="I43" s="17">
        <f>IFERROR(INDEX(Material_Detail!$D:$DC,MATCH($D43,Material_Detail!$DE:$DE,0),$P$7+1),0)</f>
        <v/>
      </c>
      <c r="J43" s="17">
        <f>IFERROR(INDEX(Material_Detail!$D:$DC,MATCH($D43,Material_Detail!$DE:$DE,0),$P$7+2),0)</f>
        <v/>
      </c>
      <c r="K43" s="17">
        <f>IFERROR(INDEX(Material_Detail!$D:$DC,MATCH($D43,Material_Detail!$DE:$DE,0),$P$7+3),0)</f>
        <v/>
      </c>
      <c r="L43" s="17">
        <f>IFERROR(INDEX(Material_Detail!$D:$DC,MATCH($D43,Material_Detail!$DE:$DE,0),$P$7+4),0)</f>
        <v/>
      </c>
      <c r="M43" s="17">
        <f>IFERROR(INDEX(Material_Detail!$D:$DC,MATCH($D43,Material_Detail!$DE:$DE,0),$P$7+5),0)</f>
        <v/>
      </c>
      <c r="N43" s="17">
        <f>IFERROR(INDEX(Material_Detail!$D:$DC,MATCH($D43,Material_Detail!$DE:$DE,0),$P$7+6),0)</f>
        <v/>
      </c>
      <c r="O43" s="17">
        <f>IFERROR(INDEX(Material_Detail!$D:$DC,MATCH($D43,Material_Detail!$DE:$DE,0),$P$7+7),0)</f>
        <v/>
      </c>
      <c r="P43" s="17">
        <f>IFERROR(INDEX(Material_Detail!$D:$DC,MATCH($D43,Material_Detail!$DE:$DE,0),$P$7+8),0)</f>
        <v/>
      </c>
      <c r="Q43" s="17">
        <f>IFERROR(INDEX(Material_Detail!$D:$DC,MATCH($D43,Material_Detail!$DE:$DE,0),$P$7+9),0)</f>
        <v/>
      </c>
      <c r="R43" s="17">
        <f>IFERROR(INDEX(Material_Detail!$D:$DC,MATCH($D43,Material_Detail!$DE:$DE,0),$P$7+10),0)</f>
        <v/>
      </c>
      <c r="S43" s="17">
        <f>IFERROR(INDEX(Material_Detail!$D:$DC,MATCH($D43,Material_Detail!$DE:$DE,0),$P$7+11),0)</f>
        <v/>
      </c>
      <c r="T43" s="17">
        <f>IFERROR(INDEX(Material_Detail!$D:$DC,MATCH($D43,Material_Detail!$DE:$DE,0),$P$7+12),0)</f>
        <v/>
      </c>
      <c r="U43" s="17">
        <f>SUM(H43:T43)</f>
        <v/>
      </c>
    </row>
    <row r="44">
      <c r="B44" s="19">
        <f>IFERROR(INDEX(M_RawMaterials[Description],MATCH("18456-50041",M_RawMaterials[Part Name],0)),"")</f>
        <v/>
      </c>
      <c r="C44" s="19" t="inlineStr"/>
      <c r="D44" s="19" t="inlineStr">
        <is>
          <t>18456-50041</t>
        </is>
      </c>
      <c r="E44" s="19" t="inlineStr">
        <is>
          <t>kg</t>
        </is>
      </c>
      <c r="F44" s="19">
        <f>IFERROR(INDEX(M_RawMaterials[基準在庫下限_要入力],MATCH("18456-50041",M_RawMaterials[Part Name],0)),0)</f>
        <v/>
      </c>
      <c r="G44" s="19">
        <f>INDEX(Grid_Stock[#Data],MATCH($D44,Grid_Stock[Part Name],0),$P$7)</f>
        <v/>
      </c>
      <c r="H44" s="19">
        <f>IFERROR(INDEX(Material_Detail!$D:$DC,MATCH($D44,Material_Detail!$DE:$DE,0),$P$7+0),0)</f>
        <v/>
      </c>
      <c r="I44" s="19">
        <f>IFERROR(INDEX(Material_Detail!$D:$DC,MATCH($D44,Material_Detail!$DE:$DE,0),$P$7+1),0)</f>
        <v/>
      </c>
      <c r="J44" s="19">
        <f>IFERROR(INDEX(Material_Detail!$D:$DC,MATCH($D44,Material_Detail!$DE:$DE,0),$P$7+2),0)</f>
        <v/>
      </c>
      <c r="K44" s="19">
        <f>IFERROR(INDEX(Material_Detail!$D:$DC,MATCH($D44,Material_Detail!$DE:$DE,0),$P$7+3),0)</f>
        <v/>
      </c>
      <c r="L44" s="19">
        <f>IFERROR(INDEX(Material_Detail!$D:$DC,MATCH($D44,Material_Detail!$DE:$DE,0),$P$7+4),0)</f>
        <v/>
      </c>
      <c r="M44" s="19">
        <f>IFERROR(INDEX(Material_Detail!$D:$DC,MATCH($D44,Material_Detail!$DE:$DE,0),$P$7+5),0)</f>
        <v/>
      </c>
      <c r="N44" s="19">
        <f>IFERROR(INDEX(Material_Detail!$D:$DC,MATCH($D44,Material_Detail!$DE:$DE,0),$P$7+6),0)</f>
        <v/>
      </c>
      <c r="O44" s="19">
        <f>IFERROR(INDEX(Material_Detail!$D:$DC,MATCH($D44,Material_Detail!$DE:$DE,0),$P$7+7),0)</f>
        <v/>
      </c>
      <c r="P44" s="19">
        <f>IFERROR(INDEX(Material_Detail!$D:$DC,MATCH($D44,Material_Detail!$DE:$DE,0),$P$7+8),0)</f>
        <v/>
      </c>
      <c r="Q44" s="19">
        <f>IFERROR(INDEX(Material_Detail!$D:$DC,MATCH($D44,Material_Detail!$DE:$DE,0),$P$7+9),0)</f>
        <v/>
      </c>
      <c r="R44" s="19">
        <f>IFERROR(INDEX(Material_Detail!$D:$DC,MATCH($D44,Material_Detail!$DE:$DE,0),$P$7+10),0)</f>
        <v/>
      </c>
      <c r="S44" s="19">
        <f>IFERROR(INDEX(Material_Detail!$D:$DC,MATCH($D44,Material_Detail!$DE:$DE,0),$P$7+11),0)</f>
        <v/>
      </c>
      <c r="T44" s="19">
        <f>IFERROR(INDEX(Material_Detail!$D:$DC,MATCH($D44,Material_Detail!$DE:$DE,0),$P$7+12),0)</f>
        <v/>
      </c>
      <c r="U44" s="19">
        <f>SUM(H44:T44)</f>
        <v/>
      </c>
    </row>
    <row r="45">
      <c r="B45" s="17">
        <f>IFERROR(INDEX(M_RawMaterials[Description],MATCH("18456-50061",M_RawMaterials[Part Name],0)),"")</f>
        <v/>
      </c>
      <c r="C45" s="17" t="inlineStr"/>
      <c r="D45" s="17" t="inlineStr">
        <is>
          <t>18456-50061</t>
        </is>
      </c>
      <c r="E45" s="17" t="inlineStr">
        <is>
          <t>kg</t>
        </is>
      </c>
      <c r="F45" s="17">
        <f>IFERROR(INDEX(M_RawMaterials[基準在庫下限_要入力],MATCH("18456-50061",M_RawMaterials[Part Name],0)),0)</f>
        <v/>
      </c>
      <c r="G45" s="17">
        <f>INDEX(Grid_Stock[#Data],MATCH($D45,Grid_Stock[Part Name],0),$P$7)</f>
        <v/>
      </c>
      <c r="H45" s="17">
        <f>IFERROR(INDEX(Material_Detail!$D:$DC,MATCH($D45,Material_Detail!$DE:$DE,0),$P$7+0),0)</f>
        <v/>
      </c>
      <c r="I45" s="17">
        <f>IFERROR(INDEX(Material_Detail!$D:$DC,MATCH($D45,Material_Detail!$DE:$DE,0),$P$7+1),0)</f>
        <v/>
      </c>
      <c r="J45" s="17">
        <f>IFERROR(INDEX(Material_Detail!$D:$DC,MATCH($D45,Material_Detail!$DE:$DE,0),$P$7+2),0)</f>
        <v/>
      </c>
      <c r="K45" s="17">
        <f>IFERROR(INDEX(Material_Detail!$D:$DC,MATCH($D45,Material_Detail!$DE:$DE,0),$P$7+3),0)</f>
        <v/>
      </c>
      <c r="L45" s="17">
        <f>IFERROR(INDEX(Material_Detail!$D:$DC,MATCH($D45,Material_Detail!$DE:$DE,0),$P$7+4),0)</f>
        <v/>
      </c>
      <c r="M45" s="17">
        <f>IFERROR(INDEX(Material_Detail!$D:$DC,MATCH($D45,Material_Detail!$DE:$DE,0),$P$7+5),0)</f>
        <v/>
      </c>
      <c r="N45" s="17">
        <f>IFERROR(INDEX(Material_Detail!$D:$DC,MATCH($D45,Material_Detail!$DE:$DE,0),$P$7+6),0)</f>
        <v/>
      </c>
      <c r="O45" s="17">
        <f>IFERROR(INDEX(Material_Detail!$D:$DC,MATCH($D45,Material_Detail!$DE:$DE,0),$P$7+7),0)</f>
        <v/>
      </c>
      <c r="P45" s="17">
        <f>IFERROR(INDEX(Material_Detail!$D:$DC,MATCH($D45,Material_Detail!$DE:$DE,0),$P$7+8),0)</f>
        <v/>
      </c>
      <c r="Q45" s="17">
        <f>IFERROR(INDEX(Material_Detail!$D:$DC,MATCH($D45,Material_Detail!$DE:$DE,0),$P$7+9),0)</f>
        <v/>
      </c>
      <c r="R45" s="17">
        <f>IFERROR(INDEX(Material_Detail!$D:$DC,MATCH($D45,Material_Detail!$DE:$DE,0),$P$7+10),0)</f>
        <v/>
      </c>
      <c r="S45" s="17">
        <f>IFERROR(INDEX(Material_Detail!$D:$DC,MATCH($D45,Material_Detail!$DE:$DE,0),$P$7+11),0)</f>
        <v/>
      </c>
      <c r="T45" s="17">
        <f>IFERROR(INDEX(Material_Detail!$D:$DC,MATCH($D45,Material_Detail!$DE:$DE,0),$P$7+12),0)</f>
        <v/>
      </c>
      <c r="U45" s="17">
        <f>SUM(H45:T45)</f>
        <v/>
      </c>
    </row>
    <row r="46">
      <c r="B46" s="19">
        <f>IFERROR(INDEX(M_RawMaterials[Description],MATCH("Original Towel",M_RawMaterials[Part Name],0)),"")</f>
        <v/>
      </c>
      <c r="C46" s="19" t="inlineStr">
        <is>
          <t>859882220</t>
        </is>
      </c>
      <c r="D46" s="19" t="inlineStr">
        <is>
          <t>Original Towel</t>
        </is>
      </c>
      <c r="E46" s="19" t="inlineStr">
        <is>
          <t>kg</t>
        </is>
      </c>
      <c r="F46" s="19">
        <f>IFERROR(INDEX(M_RawMaterials[基準在庫下限_要入力],MATCH("Original Towel",M_RawMaterials[Part Name],0)),0)</f>
        <v/>
      </c>
      <c r="G46" s="19">
        <f>INDEX(Grid_Stock[#Data],MATCH($D46,Grid_Stock[Part Name],0),$P$7)</f>
        <v/>
      </c>
      <c r="H46" s="19">
        <f>IFERROR(INDEX(Material_Detail!$D:$DC,MATCH($D46,Material_Detail!$DE:$DE,0),$P$7+0),0)</f>
        <v/>
      </c>
      <c r="I46" s="19">
        <f>IFERROR(INDEX(Material_Detail!$D:$DC,MATCH($D46,Material_Detail!$DE:$DE,0),$P$7+1),0)</f>
        <v/>
      </c>
      <c r="J46" s="19">
        <f>IFERROR(INDEX(Material_Detail!$D:$DC,MATCH($D46,Material_Detail!$DE:$DE,0),$P$7+2),0)</f>
        <v/>
      </c>
      <c r="K46" s="19">
        <f>IFERROR(INDEX(Material_Detail!$D:$DC,MATCH($D46,Material_Detail!$DE:$DE,0),$P$7+3),0)</f>
        <v/>
      </c>
      <c r="L46" s="19">
        <f>IFERROR(INDEX(Material_Detail!$D:$DC,MATCH($D46,Material_Detail!$DE:$DE,0),$P$7+4),0)</f>
        <v/>
      </c>
      <c r="M46" s="19">
        <f>IFERROR(INDEX(Material_Detail!$D:$DC,MATCH($D46,Material_Detail!$DE:$DE,0),$P$7+5),0)</f>
        <v/>
      </c>
      <c r="N46" s="19">
        <f>IFERROR(INDEX(Material_Detail!$D:$DC,MATCH($D46,Material_Detail!$DE:$DE,0),$P$7+6),0)</f>
        <v/>
      </c>
      <c r="O46" s="19">
        <f>IFERROR(INDEX(Material_Detail!$D:$DC,MATCH($D46,Material_Detail!$DE:$DE,0),$P$7+7),0)</f>
        <v/>
      </c>
      <c r="P46" s="19">
        <f>IFERROR(INDEX(Material_Detail!$D:$DC,MATCH($D46,Material_Detail!$DE:$DE,0),$P$7+8),0)</f>
        <v/>
      </c>
      <c r="Q46" s="19">
        <f>IFERROR(INDEX(Material_Detail!$D:$DC,MATCH($D46,Material_Detail!$DE:$DE,0),$P$7+9),0)</f>
        <v/>
      </c>
      <c r="R46" s="19">
        <f>IFERROR(INDEX(Material_Detail!$D:$DC,MATCH($D46,Material_Detail!$DE:$DE,0),$P$7+10),0)</f>
        <v/>
      </c>
      <c r="S46" s="19">
        <f>IFERROR(INDEX(Material_Detail!$D:$DC,MATCH($D46,Material_Detail!$DE:$DE,0),$P$7+11),0)</f>
        <v/>
      </c>
      <c r="T46" s="19">
        <f>IFERROR(INDEX(Material_Detail!$D:$DC,MATCH($D46,Material_Detail!$DE:$DE,0),$P$7+12),0)</f>
        <v/>
      </c>
      <c r="U46" s="19">
        <f>SUM(H46:T46)</f>
        <v/>
      </c>
    </row>
    <row r="47">
      <c r="B47" s="17">
        <f>IFERROR(INDEX(M_RawMaterials[Description],MATCH("PP Film",M_RawMaterials[Part Name],0)),"")</f>
        <v/>
      </c>
      <c r="C47" s="17" t="inlineStr">
        <is>
          <t>83988405701</t>
        </is>
      </c>
      <c r="D47" s="17" t="inlineStr">
        <is>
          <t>PP Film</t>
        </is>
      </c>
      <c r="E47" s="17" t="inlineStr">
        <is>
          <t>kg</t>
        </is>
      </c>
      <c r="F47" s="17">
        <f>IFERROR(INDEX(M_RawMaterials[基準在庫下限_要入力],MATCH("PP Film",M_RawMaterials[Part Name],0)),0)</f>
        <v/>
      </c>
      <c r="G47" s="17">
        <f>INDEX(Grid_Stock[#Data],MATCH($D47,Grid_Stock[Part Name],0),$P$7)</f>
        <v/>
      </c>
      <c r="H47" s="17">
        <f>IFERROR(INDEX(Material_Detail!$D:$DC,MATCH($D47,Material_Detail!$DE:$DE,0),$P$7+0),0)</f>
        <v/>
      </c>
      <c r="I47" s="17">
        <f>IFERROR(INDEX(Material_Detail!$D:$DC,MATCH($D47,Material_Detail!$DE:$DE,0),$P$7+1),0)</f>
        <v/>
      </c>
      <c r="J47" s="17">
        <f>IFERROR(INDEX(Material_Detail!$D:$DC,MATCH($D47,Material_Detail!$DE:$DE,0),$P$7+2),0)</f>
        <v/>
      </c>
      <c r="K47" s="17">
        <f>IFERROR(INDEX(Material_Detail!$D:$DC,MATCH($D47,Material_Detail!$DE:$DE,0),$P$7+3),0)</f>
        <v/>
      </c>
      <c r="L47" s="17">
        <f>IFERROR(INDEX(Material_Detail!$D:$DC,MATCH($D47,Material_Detail!$DE:$DE,0),$P$7+4),0)</f>
        <v/>
      </c>
      <c r="M47" s="17">
        <f>IFERROR(INDEX(Material_Detail!$D:$DC,MATCH($D47,Material_Detail!$DE:$DE,0),$P$7+5),0)</f>
        <v/>
      </c>
      <c r="N47" s="17">
        <f>IFERROR(INDEX(Material_Detail!$D:$DC,MATCH($D47,Material_Detail!$DE:$DE,0),$P$7+6),0)</f>
        <v/>
      </c>
      <c r="O47" s="17">
        <f>IFERROR(INDEX(Material_Detail!$D:$DC,MATCH($D47,Material_Detail!$DE:$DE,0),$P$7+7),0)</f>
        <v/>
      </c>
      <c r="P47" s="17">
        <f>IFERROR(INDEX(Material_Detail!$D:$DC,MATCH($D47,Material_Detail!$DE:$DE,0),$P$7+8),0)</f>
        <v/>
      </c>
      <c r="Q47" s="17">
        <f>IFERROR(INDEX(Material_Detail!$D:$DC,MATCH($D47,Material_Detail!$DE:$DE,0),$P$7+9),0)</f>
        <v/>
      </c>
      <c r="R47" s="17">
        <f>IFERROR(INDEX(Material_Detail!$D:$DC,MATCH($D47,Material_Detail!$DE:$DE,0),$P$7+10),0)</f>
        <v/>
      </c>
      <c r="S47" s="17">
        <f>IFERROR(INDEX(Material_Detail!$D:$DC,MATCH($D47,Material_Detail!$DE:$DE,0),$P$7+11),0)</f>
        <v/>
      </c>
      <c r="T47" s="17">
        <f>IFERROR(INDEX(Material_Detail!$D:$DC,MATCH($D47,Material_Detail!$DE:$DE,0),$P$7+12),0)</f>
        <v/>
      </c>
      <c r="U47" s="17">
        <f>SUM(H47:T47)</f>
        <v/>
      </c>
    </row>
    <row r="48">
      <c r="B48" s="19">
        <f>IFERROR(INDEX(M_RawMaterials[Description],MATCH("Ester Film",M_RawMaterials[Part Name],0)),"")</f>
        <v/>
      </c>
      <c r="C48" s="19" t="inlineStr"/>
      <c r="D48" s="19" t="inlineStr">
        <is>
          <t>Ester Film</t>
        </is>
      </c>
      <c r="E48" s="19" t="inlineStr">
        <is>
          <t>kg</t>
        </is>
      </c>
      <c r="F48" s="19">
        <f>IFERROR(INDEX(M_RawMaterials[基準在庫下限_要入力],MATCH("Ester Film",M_RawMaterials[Part Name],0)),0)</f>
        <v/>
      </c>
      <c r="G48" s="19">
        <f>INDEX(Grid_Stock[#Data],MATCH($D48,Grid_Stock[Part Name],0),$P$7)</f>
        <v/>
      </c>
      <c r="H48" s="19">
        <f>IFERROR(INDEX(Material_Detail!$D:$DC,MATCH($D48,Material_Detail!$DE:$DE,0),$P$7+0),0)</f>
        <v/>
      </c>
      <c r="I48" s="19">
        <f>IFERROR(INDEX(Material_Detail!$D:$DC,MATCH($D48,Material_Detail!$DE:$DE,0),$P$7+1),0)</f>
        <v/>
      </c>
      <c r="J48" s="19">
        <f>IFERROR(INDEX(Material_Detail!$D:$DC,MATCH($D48,Material_Detail!$DE:$DE,0),$P$7+2),0)</f>
        <v/>
      </c>
      <c r="K48" s="19">
        <f>IFERROR(INDEX(Material_Detail!$D:$DC,MATCH($D48,Material_Detail!$DE:$DE,0),$P$7+3),0)</f>
        <v/>
      </c>
      <c r="L48" s="19">
        <f>IFERROR(INDEX(Material_Detail!$D:$DC,MATCH($D48,Material_Detail!$DE:$DE,0),$P$7+4),0)</f>
        <v/>
      </c>
      <c r="M48" s="19">
        <f>IFERROR(INDEX(Material_Detail!$D:$DC,MATCH($D48,Material_Detail!$DE:$DE,0),$P$7+5),0)</f>
        <v/>
      </c>
      <c r="N48" s="19">
        <f>IFERROR(INDEX(Material_Detail!$D:$DC,MATCH($D48,Material_Detail!$DE:$DE,0),$P$7+6),0)</f>
        <v/>
      </c>
      <c r="O48" s="19">
        <f>IFERROR(INDEX(Material_Detail!$D:$DC,MATCH($D48,Material_Detail!$DE:$DE,0),$P$7+7),0)</f>
        <v/>
      </c>
      <c r="P48" s="19">
        <f>IFERROR(INDEX(Material_Detail!$D:$DC,MATCH($D48,Material_Detail!$DE:$DE,0),$P$7+8),0)</f>
        <v/>
      </c>
      <c r="Q48" s="19">
        <f>IFERROR(INDEX(Material_Detail!$D:$DC,MATCH($D48,Material_Detail!$DE:$DE,0),$P$7+9),0)</f>
        <v/>
      </c>
      <c r="R48" s="19">
        <f>IFERROR(INDEX(Material_Detail!$D:$DC,MATCH($D48,Material_Detail!$DE:$DE,0),$P$7+10),0)</f>
        <v/>
      </c>
      <c r="S48" s="19">
        <f>IFERROR(INDEX(Material_Detail!$D:$DC,MATCH($D48,Material_Detail!$DE:$DE,0),$P$7+11),0)</f>
        <v/>
      </c>
      <c r="T48" s="19">
        <f>IFERROR(INDEX(Material_Detail!$D:$DC,MATCH($D48,Material_Detail!$DE:$DE,0),$P$7+12),0)</f>
        <v/>
      </c>
      <c r="U48" s="19">
        <f>SUM(H48:T48)</f>
        <v/>
      </c>
    </row>
    <row r="49">
      <c r="B49" s="17">
        <f>IFERROR(INDEX(M_RawMaterials[Description],MATCH("CHEM-1870",M_RawMaterials[Part Name],0)),"")</f>
        <v/>
      </c>
      <c r="C49" s="17" t="inlineStr"/>
      <c r="D49" s="17" t="inlineStr">
        <is>
          <t>CHEM-1870</t>
        </is>
      </c>
      <c r="E49" s="17" t="inlineStr">
        <is>
          <t>kg</t>
        </is>
      </c>
      <c r="F49" s="17">
        <f>IFERROR(INDEX(M_RawMaterials[基準在庫下限_要入力],MATCH("CHEM-1870",M_RawMaterials[Part Name],0)),0)</f>
        <v/>
      </c>
      <c r="G49" s="17">
        <f>INDEX(Grid_Stock[#Data],MATCH($D49,Grid_Stock[Part Name],0),$P$7)</f>
        <v/>
      </c>
      <c r="H49" s="17">
        <f>IFERROR(INDEX(Material_Detail!$D:$DC,MATCH($D49,Material_Detail!$DE:$DE,0),$P$7+0),0)</f>
        <v/>
      </c>
      <c r="I49" s="17">
        <f>IFERROR(INDEX(Material_Detail!$D:$DC,MATCH($D49,Material_Detail!$DE:$DE,0),$P$7+1),0)</f>
        <v/>
      </c>
      <c r="J49" s="17">
        <f>IFERROR(INDEX(Material_Detail!$D:$DC,MATCH($D49,Material_Detail!$DE:$DE,0),$P$7+2),0)</f>
        <v/>
      </c>
      <c r="K49" s="17">
        <f>IFERROR(INDEX(Material_Detail!$D:$DC,MATCH($D49,Material_Detail!$DE:$DE,0),$P$7+3),0)</f>
        <v/>
      </c>
      <c r="L49" s="17">
        <f>IFERROR(INDEX(Material_Detail!$D:$DC,MATCH($D49,Material_Detail!$DE:$DE,0),$P$7+4),0)</f>
        <v/>
      </c>
      <c r="M49" s="17">
        <f>IFERROR(INDEX(Material_Detail!$D:$DC,MATCH($D49,Material_Detail!$DE:$DE,0),$P$7+5),0)</f>
        <v/>
      </c>
      <c r="N49" s="17">
        <f>IFERROR(INDEX(Material_Detail!$D:$DC,MATCH($D49,Material_Detail!$DE:$DE,0),$P$7+6),0)</f>
        <v/>
      </c>
      <c r="O49" s="17">
        <f>IFERROR(INDEX(Material_Detail!$D:$DC,MATCH($D49,Material_Detail!$DE:$DE,0),$P$7+7),0)</f>
        <v/>
      </c>
      <c r="P49" s="17">
        <f>IFERROR(INDEX(Material_Detail!$D:$DC,MATCH($D49,Material_Detail!$DE:$DE,0),$P$7+8),0)</f>
        <v/>
      </c>
      <c r="Q49" s="17">
        <f>IFERROR(INDEX(Material_Detail!$D:$DC,MATCH($D49,Material_Detail!$DE:$DE,0),$P$7+9),0)</f>
        <v/>
      </c>
      <c r="R49" s="17">
        <f>IFERROR(INDEX(Material_Detail!$D:$DC,MATCH($D49,Material_Detail!$DE:$DE,0),$P$7+10),0)</f>
        <v/>
      </c>
      <c r="S49" s="17">
        <f>IFERROR(INDEX(Material_Detail!$D:$DC,MATCH($D49,Material_Detail!$DE:$DE,0),$P$7+11),0)</f>
        <v/>
      </c>
      <c r="T49" s="17">
        <f>IFERROR(INDEX(Material_Detail!$D:$DC,MATCH($D49,Material_Detail!$DE:$DE,0),$P$7+12),0)</f>
        <v/>
      </c>
      <c r="U49" s="17">
        <f>SUM(H49:T49)</f>
        <v/>
      </c>
    </row>
    <row r="50">
      <c r="B50" s="19">
        <f>IFERROR(INDEX(M_RawMaterials[Description],MATCH("CHEM-1560",M_RawMaterials[Part Name],0)),"")</f>
        <v/>
      </c>
      <c r="C50" s="19" t="inlineStr">
        <is>
          <t>734831030</t>
        </is>
      </c>
      <c r="D50" s="19" t="inlineStr">
        <is>
          <t>CHEM-1560</t>
        </is>
      </c>
      <c r="E50" s="19" t="inlineStr">
        <is>
          <t>kg</t>
        </is>
      </c>
      <c r="F50" s="19">
        <f>IFERROR(INDEX(M_RawMaterials[基準在庫下限_要入力],MATCH("CHEM-1560",M_RawMaterials[Part Name],0)),0)</f>
        <v/>
      </c>
      <c r="G50" s="19">
        <f>INDEX(Grid_Stock[#Data],MATCH($D50,Grid_Stock[Part Name],0),$P$7)</f>
        <v/>
      </c>
      <c r="H50" s="19">
        <f>IFERROR(INDEX(Material_Detail!$D:$DC,MATCH($D50,Material_Detail!$DE:$DE,0),$P$7+0),0)</f>
        <v/>
      </c>
      <c r="I50" s="19">
        <f>IFERROR(INDEX(Material_Detail!$D:$DC,MATCH($D50,Material_Detail!$DE:$DE,0),$P$7+1),0)</f>
        <v/>
      </c>
      <c r="J50" s="19">
        <f>IFERROR(INDEX(Material_Detail!$D:$DC,MATCH($D50,Material_Detail!$DE:$DE,0),$P$7+2),0)</f>
        <v/>
      </c>
      <c r="K50" s="19">
        <f>IFERROR(INDEX(Material_Detail!$D:$DC,MATCH($D50,Material_Detail!$DE:$DE,0),$P$7+3),0)</f>
        <v/>
      </c>
      <c r="L50" s="19">
        <f>IFERROR(INDEX(Material_Detail!$D:$DC,MATCH($D50,Material_Detail!$DE:$DE,0),$P$7+4),0)</f>
        <v/>
      </c>
      <c r="M50" s="19">
        <f>IFERROR(INDEX(Material_Detail!$D:$DC,MATCH($D50,Material_Detail!$DE:$DE,0),$P$7+5),0)</f>
        <v/>
      </c>
      <c r="N50" s="19">
        <f>IFERROR(INDEX(Material_Detail!$D:$DC,MATCH($D50,Material_Detail!$DE:$DE,0),$P$7+6),0)</f>
        <v/>
      </c>
      <c r="O50" s="19">
        <f>IFERROR(INDEX(Material_Detail!$D:$DC,MATCH($D50,Material_Detail!$DE:$DE,0),$P$7+7),0)</f>
        <v/>
      </c>
      <c r="P50" s="19">
        <f>IFERROR(INDEX(Material_Detail!$D:$DC,MATCH($D50,Material_Detail!$DE:$DE,0),$P$7+8),0)</f>
        <v/>
      </c>
      <c r="Q50" s="19">
        <f>IFERROR(INDEX(Material_Detail!$D:$DC,MATCH($D50,Material_Detail!$DE:$DE,0),$P$7+9),0)</f>
        <v/>
      </c>
      <c r="R50" s="19">
        <f>IFERROR(INDEX(Material_Detail!$D:$DC,MATCH($D50,Material_Detail!$DE:$DE,0),$P$7+10),0)</f>
        <v/>
      </c>
      <c r="S50" s="19">
        <f>IFERROR(INDEX(Material_Detail!$D:$DC,MATCH($D50,Material_Detail!$DE:$DE,0),$P$7+11),0)</f>
        <v/>
      </c>
      <c r="T50" s="19">
        <f>IFERROR(INDEX(Material_Detail!$D:$DC,MATCH($D50,Material_Detail!$DE:$DE,0),$P$7+12),0)</f>
        <v/>
      </c>
      <c r="U50" s="19">
        <f>SUM(H50:T50)</f>
        <v/>
      </c>
    </row>
    <row r="51">
      <c r="B51" s="17">
        <f>IFERROR(INDEX(M_RawMaterials[Description],MATCH("CHEM-1690",M_RawMaterials[Part Name],0)),"")</f>
        <v/>
      </c>
      <c r="C51" s="17" t="inlineStr">
        <is>
          <t>734831040</t>
        </is>
      </c>
      <c r="D51" s="17" t="inlineStr">
        <is>
          <t>CHEM-1690</t>
        </is>
      </c>
      <c r="E51" s="17" t="inlineStr">
        <is>
          <t>kg</t>
        </is>
      </c>
      <c r="F51" s="17">
        <f>IFERROR(INDEX(M_RawMaterials[基準在庫下限_要入力],MATCH("CHEM-1690",M_RawMaterials[Part Name],0)),0)</f>
        <v/>
      </c>
      <c r="G51" s="17">
        <f>INDEX(Grid_Stock[#Data],MATCH($D51,Grid_Stock[Part Name],0),$P$7)</f>
        <v/>
      </c>
      <c r="H51" s="17">
        <f>IFERROR(INDEX(Material_Detail!$D:$DC,MATCH($D51,Material_Detail!$DE:$DE,0),$P$7+0),0)</f>
        <v/>
      </c>
      <c r="I51" s="17">
        <f>IFERROR(INDEX(Material_Detail!$D:$DC,MATCH($D51,Material_Detail!$DE:$DE,0),$P$7+1),0)</f>
        <v/>
      </c>
      <c r="J51" s="17">
        <f>IFERROR(INDEX(Material_Detail!$D:$DC,MATCH($D51,Material_Detail!$DE:$DE,0),$P$7+2),0)</f>
        <v/>
      </c>
      <c r="K51" s="17">
        <f>IFERROR(INDEX(Material_Detail!$D:$DC,MATCH($D51,Material_Detail!$DE:$DE,0),$P$7+3),0)</f>
        <v/>
      </c>
      <c r="L51" s="17">
        <f>IFERROR(INDEX(Material_Detail!$D:$DC,MATCH($D51,Material_Detail!$DE:$DE,0),$P$7+4),0)</f>
        <v/>
      </c>
      <c r="M51" s="17">
        <f>IFERROR(INDEX(Material_Detail!$D:$DC,MATCH($D51,Material_Detail!$DE:$DE,0),$P$7+5),0)</f>
        <v/>
      </c>
      <c r="N51" s="17">
        <f>IFERROR(INDEX(Material_Detail!$D:$DC,MATCH($D51,Material_Detail!$DE:$DE,0),$P$7+6),0)</f>
        <v/>
      </c>
      <c r="O51" s="17">
        <f>IFERROR(INDEX(Material_Detail!$D:$DC,MATCH($D51,Material_Detail!$DE:$DE,0),$P$7+7),0)</f>
        <v/>
      </c>
      <c r="P51" s="17">
        <f>IFERROR(INDEX(Material_Detail!$D:$DC,MATCH($D51,Material_Detail!$DE:$DE,0),$P$7+8),0)</f>
        <v/>
      </c>
      <c r="Q51" s="17">
        <f>IFERROR(INDEX(Material_Detail!$D:$DC,MATCH($D51,Material_Detail!$DE:$DE,0),$P$7+9),0)</f>
        <v/>
      </c>
      <c r="R51" s="17">
        <f>IFERROR(INDEX(Material_Detail!$D:$DC,MATCH($D51,Material_Detail!$DE:$DE,0),$P$7+10),0)</f>
        <v/>
      </c>
      <c r="S51" s="17">
        <f>IFERROR(INDEX(Material_Detail!$D:$DC,MATCH($D51,Material_Detail!$DE:$DE,0),$P$7+11),0)</f>
        <v/>
      </c>
      <c r="T51" s="17">
        <f>IFERROR(INDEX(Material_Detail!$D:$DC,MATCH($D51,Material_Detail!$DE:$DE,0),$P$7+12),0)</f>
        <v/>
      </c>
      <c r="U51" s="17">
        <f>SUM(H51:T51)</f>
        <v/>
      </c>
    </row>
    <row r="52">
      <c r="B52" s="19">
        <f>IFERROR(INDEX(M_RawMaterials[Description],MATCH("CHEM-1720",M_RawMaterials[Part Name],0)),"")</f>
        <v/>
      </c>
      <c r="C52" s="19" t="inlineStr">
        <is>
          <t>734831050</t>
        </is>
      </c>
      <c r="D52" s="19" t="inlineStr">
        <is>
          <t>CHEM-1720</t>
        </is>
      </c>
      <c r="E52" s="19" t="inlineStr">
        <is>
          <t>kg</t>
        </is>
      </c>
      <c r="F52" s="19">
        <f>IFERROR(INDEX(M_RawMaterials[基準在庫下限_要入力],MATCH("CHEM-1720",M_RawMaterials[Part Name],0)),0)</f>
        <v/>
      </c>
      <c r="G52" s="19">
        <f>INDEX(Grid_Stock[#Data],MATCH($D52,Grid_Stock[Part Name],0),$P$7)</f>
        <v/>
      </c>
      <c r="H52" s="19">
        <f>IFERROR(INDEX(Material_Detail!$D:$DC,MATCH($D52,Material_Detail!$DE:$DE,0),$P$7+0),0)</f>
        <v/>
      </c>
      <c r="I52" s="19">
        <f>IFERROR(INDEX(Material_Detail!$D:$DC,MATCH($D52,Material_Detail!$DE:$DE,0),$P$7+1),0)</f>
        <v/>
      </c>
      <c r="J52" s="19">
        <f>IFERROR(INDEX(Material_Detail!$D:$DC,MATCH($D52,Material_Detail!$DE:$DE,0),$P$7+2),0)</f>
        <v/>
      </c>
      <c r="K52" s="19">
        <f>IFERROR(INDEX(Material_Detail!$D:$DC,MATCH($D52,Material_Detail!$DE:$DE,0),$P$7+3),0)</f>
        <v/>
      </c>
      <c r="L52" s="19">
        <f>IFERROR(INDEX(Material_Detail!$D:$DC,MATCH($D52,Material_Detail!$DE:$DE,0),$P$7+4),0)</f>
        <v/>
      </c>
      <c r="M52" s="19">
        <f>IFERROR(INDEX(Material_Detail!$D:$DC,MATCH($D52,Material_Detail!$DE:$DE,0),$P$7+5),0)</f>
        <v/>
      </c>
      <c r="N52" s="19">
        <f>IFERROR(INDEX(Material_Detail!$D:$DC,MATCH($D52,Material_Detail!$DE:$DE,0),$P$7+6),0)</f>
        <v/>
      </c>
      <c r="O52" s="19">
        <f>IFERROR(INDEX(Material_Detail!$D:$DC,MATCH($D52,Material_Detail!$DE:$DE,0),$P$7+7),0)</f>
        <v/>
      </c>
      <c r="P52" s="19">
        <f>IFERROR(INDEX(Material_Detail!$D:$DC,MATCH($D52,Material_Detail!$DE:$DE,0),$P$7+8),0)</f>
        <v/>
      </c>
      <c r="Q52" s="19">
        <f>IFERROR(INDEX(Material_Detail!$D:$DC,MATCH($D52,Material_Detail!$DE:$DE,0),$P$7+9),0)</f>
        <v/>
      </c>
      <c r="R52" s="19">
        <f>IFERROR(INDEX(Material_Detail!$D:$DC,MATCH($D52,Material_Detail!$DE:$DE,0),$P$7+10),0)</f>
        <v/>
      </c>
      <c r="S52" s="19">
        <f>IFERROR(INDEX(Material_Detail!$D:$DC,MATCH($D52,Material_Detail!$DE:$DE,0),$P$7+11),0)</f>
        <v/>
      </c>
      <c r="T52" s="19">
        <f>IFERROR(INDEX(Material_Detail!$D:$DC,MATCH($D52,Material_Detail!$DE:$DE,0),$P$7+12),0)</f>
        <v/>
      </c>
      <c r="U52" s="19">
        <f>SUM(H52:T52)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U16"/>
  <sheetViews>
    <sheetView workbookViewId="0">
      <pane xSplit="7" ySplit="14" topLeftCell="H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2" max="2"/>
    <col width="14" customWidth="1" min="3" max="3"/>
    <col width="12" customWidth="1" min="4" max="4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2">
      <c r="B2" t="inlineStr">
        <is>
          <t>TO：（サプライヤー／TTAF担当者名を入力）</t>
        </is>
      </c>
      <c r="N2" t="inlineStr">
        <is>
          <t>Order Date:</t>
        </is>
      </c>
      <c r="P2" s="27" t="n">
        <v>46258</v>
      </c>
    </row>
    <row r="3">
      <c r="B3" t="inlineStr">
        <is>
          <t xml:space="preserve">　　　　　（会社名）</t>
        </is>
      </c>
      <c r="N3" t="inlineStr">
        <is>
          <t>Issue Month:</t>
        </is>
      </c>
    </row>
    <row r="4">
      <c r="N4" t="inlineStr">
        <is>
          <t>Firm Month:</t>
        </is>
      </c>
    </row>
    <row r="5">
      <c r="B5" t="inlineStr">
        <is>
          <t>FROM：（発行者名）</t>
        </is>
      </c>
      <c r="N5" t="inlineStr">
        <is>
          <t>Revision</t>
        </is>
      </c>
      <c r="P5" t="inlineStr">
        <is>
          <t>00</t>
        </is>
      </c>
    </row>
    <row r="6">
      <c r="B6" t="inlineStr">
        <is>
          <t xml:space="preserve">　　　　　（自社名）</t>
        </is>
      </c>
    </row>
    <row r="7">
      <c r="N7" t="inlineStr">
        <is>
          <t>基準週(WeekIndex, 翌月の頭を推奨):</t>
        </is>
      </c>
      <c r="P7" s="28" t="n">
        <v>36</v>
      </c>
    </row>
    <row r="8">
      <c r="B8" s="2" t="inlineStr">
        <is>
          <t>Hazardous Chemicals</t>
        </is>
      </c>
    </row>
    <row r="10">
      <c r="B10" s="13" t="n"/>
      <c r="C10" s="13" t="n"/>
      <c r="D10" s="13" t="n"/>
      <c r="E10" s="13" t="n"/>
      <c r="F10" s="13" t="n"/>
      <c r="G10" s="13" t="n"/>
      <c r="H10" s="13">
        <f>INDEX(Cal_Weeks[MonthYearLabel],$P$7)</f>
        <v/>
      </c>
      <c r="I10" s="13">
        <f>IF(INDEX(Cal_Weeks[MonthYearLabel],$P$7+1)&lt;&gt;INDEX(Cal_Weeks[MonthYearLabel],$P$7+0),INDEX(Cal_Weeks[MonthYearLabel],$P$7+1),"")</f>
        <v/>
      </c>
      <c r="J10" s="13">
        <f>IF(INDEX(Cal_Weeks[MonthYearLabel],$P$7+2)&lt;&gt;INDEX(Cal_Weeks[MonthYearLabel],$P$7+1),INDEX(Cal_Weeks[MonthYearLabel],$P$7+2),"")</f>
        <v/>
      </c>
      <c r="K10" s="13">
        <f>IF(INDEX(Cal_Weeks[MonthYearLabel],$P$7+3)&lt;&gt;INDEX(Cal_Weeks[MonthYearLabel],$P$7+2),INDEX(Cal_Weeks[MonthYearLabel],$P$7+3),"")</f>
        <v/>
      </c>
      <c r="L10" s="13">
        <f>IF(INDEX(Cal_Weeks[MonthYearLabel],$P$7+4)&lt;&gt;INDEX(Cal_Weeks[MonthYearLabel],$P$7+3),INDEX(Cal_Weeks[MonthYearLabel],$P$7+4),"")</f>
        <v/>
      </c>
      <c r="M10" s="13">
        <f>IF(INDEX(Cal_Weeks[MonthYearLabel],$P$7+5)&lt;&gt;INDEX(Cal_Weeks[MonthYearLabel],$P$7+4),INDEX(Cal_Weeks[MonthYearLabel],$P$7+5),"")</f>
        <v/>
      </c>
      <c r="N10" s="13">
        <f>IF(INDEX(Cal_Weeks[MonthYearLabel],$P$7+6)&lt;&gt;INDEX(Cal_Weeks[MonthYearLabel],$P$7+5),INDEX(Cal_Weeks[MonthYearLabel],$P$7+6),"")</f>
        <v/>
      </c>
      <c r="O10" s="13">
        <f>IF(INDEX(Cal_Weeks[MonthYearLabel],$P$7+7)&lt;&gt;INDEX(Cal_Weeks[MonthYearLabel],$P$7+6),INDEX(Cal_Weeks[MonthYearLabel],$P$7+7),"")</f>
        <v/>
      </c>
      <c r="P10" s="13">
        <f>IF(INDEX(Cal_Weeks[MonthYearLabel],$P$7+8)&lt;&gt;INDEX(Cal_Weeks[MonthYearLabel],$P$7+7),INDEX(Cal_Weeks[MonthYearLabel],$P$7+8),"")</f>
        <v/>
      </c>
      <c r="Q10" s="13">
        <f>IF(INDEX(Cal_Weeks[MonthYearLabel],$P$7+9)&lt;&gt;INDEX(Cal_Weeks[MonthYearLabel],$P$7+8),INDEX(Cal_Weeks[MonthYearLabel],$P$7+9),"")</f>
        <v/>
      </c>
      <c r="R10" s="13">
        <f>IF(INDEX(Cal_Weeks[MonthYearLabel],$P$7+10)&lt;&gt;INDEX(Cal_Weeks[MonthYearLabel],$P$7+9),INDEX(Cal_Weeks[MonthYearLabel],$P$7+10),"")</f>
        <v/>
      </c>
      <c r="S10" s="13">
        <f>IF(INDEX(Cal_Weeks[MonthYearLabel],$P$7+11)&lt;&gt;INDEX(Cal_Weeks[MonthYearLabel],$P$7+10),INDEX(Cal_Weeks[MonthYearLabel],$P$7+11),"")</f>
        <v/>
      </c>
      <c r="T10" s="13">
        <f>IF(INDEX(Cal_Weeks[MonthYearLabel],$P$7+12)&lt;&gt;INDEX(Cal_Weeks[MonthYearLabel],$P$7+11),INDEX(Cal_Weeks[MonthYearLabel],$P$7+12),"")</f>
        <v/>
      </c>
      <c r="U10" s="13" t="n"/>
    </row>
    <row r="11">
      <c r="B11" s="14" t="n"/>
      <c r="C11" s="14" t="n"/>
      <c r="D11" s="14" t="n"/>
      <c r="E11" s="14" t="n"/>
      <c r="F11" s="14" t="n"/>
      <c r="G11" s="14" t="n"/>
      <c r="H11" s="15">
        <f>INDEX(Cal_Weeks[WeekStart],$P$7+0)</f>
        <v/>
      </c>
      <c r="I11" s="15">
        <f>INDEX(Cal_Weeks[WeekStart],$P$7+1)</f>
        <v/>
      </c>
      <c r="J11" s="15">
        <f>INDEX(Cal_Weeks[WeekStart],$P$7+2)</f>
        <v/>
      </c>
      <c r="K11" s="15">
        <f>INDEX(Cal_Weeks[WeekStart],$P$7+3)</f>
        <v/>
      </c>
      <c r="L11" s="15">
        <f>INDEX(Cal_Weeks[WeekStart],$P$7+4)</f>
        <v/>
      </c>
      <c r="M11" s="15">
        <f>INDEX(Cal_Weeks[WeekStart],$P$7+5)</f>
        <v/>
      </c>
      <c r="N11" s="15">
        <f>INDEX(Cal_Weeks[WeekStart],$P$7+6)</f>
        <v/>
      </c>
      <c r="O11" s="15">
        <f>INDEX(Cal_Weeks[WeekStart],$P$7+7)</f>
        <v/>
      </c>
      <c r="P11" s="15">
        <f>INDEX(Cal_Weeks[WeekStart],$P$7+8)</f>
        <v/>
      </c>
      <c r="Q11" s="15">
        <f>INDEX(Cal_Weeks[WeekStart],$P$7+9)</f>
        <v/>
      </c>
      <c r="R11" s="15">
        <f>INDEX(Cal_Weeks[WeekStart],$P$7+10)</f>
        <v/>
      </c>
      <c r="S11" s="15">
        <f>INDEX(Cal_Weeks[WeekStart],$P$7+11)</f>
        <v/>
      </c>
      <c r="T11" s="15">
        <f>INDEX(Cal_Weeks[WeekStart],$P$7+12)</f>
        <v/>
      </c>
      <c r="U11" s="14" t="n"/>
    </row>
    <row r="12">
      <c r="B12" s="14" t="n"/>
      <c r="C12" s="14" t="n"/>
      <c r="D12" s="14" t="n"/>
      <c r="E12" s="14" t="n"/>
      <c r="F12" s="14" t="n"/>
      <c r="G12" s="14" t="n"/>
      <c r="H12" s="14">
        <f>INDEX(Cal_Weeks[WeekOfYear],$P$7+0)</f>
        <v/>
      </c>
      <c r="I12" s="14">
        <f>INDEX(Cal_Weeks[WeekOfYear],$P$7+1)</f>
        <v/>
      </c>
      <c r="J12" s="14">
        <f>INDEX(Cal_Weeks[WeekOfYear],$P$7+2)</f>
        <v/>
      </c>
      <c r="K12" s="14">
        <f>INDEX(Cal_Weeks[WeekOfYear],$P$7+3)</f>
        <v/>
      </c>
      <c r="L12" s="14">
        <f>INDEX(Cal_Weeks[WeekOfYear],$P$7+4)</f>
        <v/>
      </c>
      <c r="M12" s="14">
        <f>INDEX(Cal_Weeks[WeekOfYear],$P$7+5)</f>
        <v/>
      </c>
      <c r="N12" s="14">
        <f>INDEX(Cal_Weeks[WeekOfYear],$P$7+6)</f>
        <v/>
      </c>
      <c r="O12" s="14">
        <f>INDEX(Cal_Weeks[WeekOfYear],$P$7+7)</f>
        <v/>
      </c>
      <c r="P12" s="14">
        <f>INDEX(Cal_Weeks[WeekOfYear],$P$7+8)</f>
        <v/>
      </c>
      <c r="Q12" s="14">
        <f>INDEX(Cal_Weeks[WeekOfYear],$P$7+9)</f>
        <v/>
      </c>
      <c r="R12" s="14">
        <f>INDEX(Cal_Weeks[WeekOfYear],$P$7+10)</f>
        <v/>
      </c>
      <c r="S12" s="14">
        <f>INDEX(Cal_Weeks[WeekOfYear],$P$7+11)</f>
        <v/>
      </c>
      <c r="T12" s="14">
        <f>INDEX(Cal_Weeks[WeekOfYear],$P$7+12)</f>
        <v/>
      </c>
      <c r="U12" s="14" t="n"/>
    </row>
    <row r="13">
      <c r="B13" s="14" t="n"/>
      <c r="C13" s="14" t="n"/>
      <c r="D13" s="14" t="n"/>
      <c r="E13" s="14" t="n"/>
      <c r="F13" s="14" t="n"/>
      <c r="G13" s="14" t="n"/>
      <c r="H13" s="14">
        <f>IF(INDEX(Cal_Weeks[MonthYearLabel],$P$7+0)=INDEX(Cal_Weeks[MonthYearLabel],$P$7),"Firm","Forecast")</f>
        <v/>
      </c>
      <c r="I13" s="14">
        <f>IF(INDEX(Cal_Weeks[MonthYearLabel],$P$7+1)=INDEX(Cal_Weeks[MonthYearLabel],$P$7),"Firm","Forecast")</f>
        <v/>
      </c>
      <c r="J13" s="14">
        <f>IF(INDEX(Cal_Weeks[MonthYearLabel],$P$7+2)=INDEX(Cal_Weeks[MonthYearLabel],$P$7),"Firm","Forecast")</f>
        <v/>
      </c>
      <c r="K13" s="14">
        <f>IF(INDEX(Cal_Weeks[MonthYearLabel],$P$7+3)=INDEX(Cal_Weeks[MonthYearLabel],$P$7),"Firm","Forecast")</f>
        <v/>
      </c>
      <c r="L13" s="14">
        <f>IF(INDEX(Cal_Weeks[MonthYearLabel],$P$7+4)=INDEX(Cal_Weeks[MonthYearLabel],$P$7),"Firm","Forecast")</f>
        <v/>
      </c>
      <c r="M13" s="14">
        <f>IF(INDEX(Cal_Weeks[MonthYearLabel],$P$7+5)=INDEX(Cal_Weeks[MonthYearLabel],$P$7),"Firm","Forecast")</f>
        <v/>
      </c>
      <c r="N13" s="14">
        <f>IF(INDEX(Cal_Weeks[MonthYearLabel],$P$7+6)=INDEX(Cal_Weeks[MonthYearLabel],$P$7),"Firm","Forecast")</f>
        <v/>
      </c>
      <c r="O13" s="14">
        <f>IF(INDEX(Cal_Weeks[MonthYearLabel],$P$7+7)=INDEX(Cal_Weeks[MonthYearLabel],$P$7),"Firm","Forecast")</f>
        <v/>
      </c>
      <c r="P13" s="14">
        <f>IF(INDEX(Cal_Weeks[MonthYearLabel],$P$7+8)=INDEX(Cal_Weeks[MonthYearLabel],$P$7),"Firm","Forecast")</f>
        <v/>
      </c>
      <c r="Q13" s="14">
        <f>IF(INDEX(Cal_Weeks[MonthYearLabel],$P$7+9)=INDEX(Cal_Weeks[MonthYearLabel],$P$7),"Firm","Forecast")</f>
        <v/>
      </c>
      <c r="R13" s="14">
        <f>IF(INDEX(Cal_Weeks[MonthYearLabel],$P$7+10)=INDEX(Cal_Weeks[MonthYearLabel],$P$7),"Firm","Forecast")</f>
        <v/>
      </c>
      <c r="S13" s="14">
        <f>IF(INDEX(Cal_Weeks[MonthYearLabel],$P$7+11)=INDEX(Cal_Weeks[MonthYearLabel],$P$7),"Firm","Forecast")</f>
        <v/>
      </c>
      <c r="T13" s="14">
        <f>IF(INDEX(Cal_Weeks[MonthYearLabel],$P$7+12)=INDEX(Cal_Weeks[MonthYearLabel],$P$7),"Firm","Forecast")</f>
        <v/>
      </c>
      <c r="U13" s="14" t="n"/>
    </row>
    <row r="14">
      <c r="B14" s="29" t="inlineStr">
        <is>
          <t>Part Name</t>
        </is>
      </c>
      <c r="C14" s="29" t="inlineStr">
        <is>
          <t>TTAF Code</t>
        </is>
      </c>
      <c r="D14" s="29" t="inlineStr">
        <is>
          <t>CSA Code</t>
        </is>
      </c>
      <c r="E14" s="29" t="inlineStr">
        <is>
          <t>UOM</t>
        </is>
      </c>
      <c r="F14" s="29" t="inlineStr">
        <is>
          <t>SafetyStock</t>
        </is>
      </c>
      <c r="G14" s="29" t="inlineStr">
        <is>
          <t>CurrentStock</t>
        </is>
      </c>
      <c r="H14" s="29">
        <f>INDEX(Cal_Weeks[Label],$P$7+0)</f>
        <v/>
      </c>
      <c r="I14" s="29">
        <f>INDEX(Cal_Weeks[Label],$P$7+1)</f>
        <v/>
      </c>
      <c r="J14" s="29">
        <f>INDEX(Cal_Weeks[Label],$P$7+2)</f>
        <v/>
      </c>
      <c r="K14" s="29">
        <f>INDEX(Cal_Weeks[Label],$P$7+3)</f>
        <v/>
      </c>
      <c r="L14" s="29">
        <f>INDEX(Cal_Weeks[Label],$P$7+4)</f>
        <v/>
      </c>
      <c r="M14" s="29">
        <f>INDEX(Cal_Weeks[Label],$P$7+5)</f>
        <v/>
      </c>
      <c r="N14" s="29">
        <f>INDEX(Cal_Weeks[Label],$P$7+6)</f>
        <v/>
      </c>
      <c r="O14" s="29">
        <f>INDEX(Cal_Weeks[Label],$P$7+7)</f>
        <v/>
      </c>
      <c r="P14" s="29">
        <f>INDEX(Cal_Weeks[Label],$P$7+8)</f>
        <v/>
      </c>
      <c r="Q14" s="29">
        <f>INDEX(Cal_Weeks[Label],$P$7+9)</f>
        <v/>
      </c>
      <c r="R14" s="29">
        <f>INDEX(Cal_Weeks[Label],$P$7+10)</f>
        <v/>
      </c>
      <c r="S14" s="29">
        <f>INDEX(Cal_Weeks[Label],$P$7+11)</f>
        <v/>
      </c>
      <c r="T14" s="29">
        <f>INDEX(Cal_Weeks[Label],$P$7+12)</f>
        <v/>
      </c>
      <c r="U14" s="29" t="inlineStr">
        <is>
          <t>Total</t>
        </is>
      </c>
    </row>
    <row r="15">
      <c r="B15" s="17">
        <f>IFERROR(INDEX(M_RawMaterials[Description],MATCH("CHEM-1660",M_RawMaterials[Part Name],0)),"")</f>
        <v/>
      </c>
      <c r="C15" s="17" t="inlineStr">
        <is>
          <t>71288627101</t>
        </is>
      </c>
      <c r="D15" s="17" t="inlineStr">
        <is>
          <t>CHEM-1660</t>
        </is>
      </c>
      <c r="E15" s="17" t="inlineStr">
        <is>
          <t>kg</t>
        </is>
      </c>
      <c r="F15" s="17">
        <f>IFERROR(INDEX(M_RawMaterials[基準在庫下限_要入力],MATCH("CHEM-1660",M_RawMaterials[Part Name],0)),0)</f>
        <v/>
      </c>
      <c r="G15" s="17">
        <f>INDEX(Grid_Stock[#Data],MATCH($D15,Grid_Stock[Part Name],0),$P$7)</f>
        <v/>
      </c>
      <c r="H15" s="17">
        <f>IFERROR(INDEX(Material_Detail!$D:$DC,MATCH($D15,Material_Detail!$DE:$DE,0),$P$7+0),0)</f>
        <v/>
      </c>
      <c r="I15" s="17">
        <f>IFERROR(INDEX(Material_Detail!$D:$DC,MATCH($D15,Material_Detail!$DE:$DE,0),$P$7+1),0)</f>
        <v/>
      </c>
      <c r="J15" s="17">
        <f>IFERROR(INDEX(Material_Detail!$D:$DC,MATCH($D15,Material_Detail!$DE:$DE,0),$P$7+2),0)</f>
        <v/>
      </c>
      <c r="K15" s="17">
        <f>IFERROR(INDEX(Material_Detail!$D:$DC,MATCH($D15,Material_Detail!$DE:$DE,0),$P$7+3),0)</f>
        <v/>
      </c>
      <c r="L15" s="17">
        <f>IFERROR(INDEX(Material_Detail!$D:$DC,MATCH($D15,Material_Detail!$DE:$DE,0),$P$7+4),0)</f>
        <v/>
      </c>
      <c r="M15" s="17">
        <f>IFERROR(INDEX(Material_Detail!$D:$DC,MATCH($D15,Material_Detail!$DE:$DE,0),$P$7+5),0)</f>
        <v/>
      </c>
      <c r="N15" s="17">
        <f>IFERROR(INDEX(Material_Detail!$D:$DC,MATCH($D15,Material_Detail!$DE:$DE,0),$P$7+6),0)</f>
        <v/>
      </c>
      <c r="O15" s="17">
        <f>IFERROR(INDEX(Material_Detail!$D:$DC,MATCH($D15,Material_Detail!$DE:$DE,0),$P$7+7),0)</f>
        <v/>
      </c>
      <c r="P15" s="17">
        <f>IFERROR(INDEX(Material_Detail!$D:$DC,MATCH($D15,Material_Detail!$DE:$DE,0),$P$7+8),0)</f>
        <v/>
      </c>
      <c r="Q15" s="17">
        <f>IFERROR(INDEX(Material_Detail!$D:$DC,MATCH($D15,Material_Detail!$DE:$DE,0),$P$7+9),0)</f>
        <v/>
      </c>
      <c r="R15" s="17">
        <f>IFERROR(INDEX(Material_Detail!$D:$DC,MATCH($D15,Material_Detail!$DE:$DE,0),$P$7+10),0)</f>
        <v/>
      </c>
      <c r="S15" s="17">
        <f>IFERROR(INDEX(Material_Detail!$D:$DC,MATCH($D15,Material_Detail!$DE:$DE,0),$P$7+11),0)</f>
        <v/>
      </c>
      <c r="T15" s="17">
        <f>IFERROR(INDEX(Material_Detail!$D:$DC,MATCH($D15,Material_Detail!$DE:$DE,0),$P$7+12),0)</f>
        <v/>
      </c>
      <c r="U15" s="17">
        <f>SUM(H15:T15)</f>
        <v/>
      </c>
    </row>
    <row r="16">
      <c r="B16" s="19">
        <f>IFERROR(INDEX(M_RawMaterials[Description],MATCH("CHEM-1280",M_RawMaterials[Part Name],0)),"")</f>
        <v/>
      </c>
      <c r="C16" s="19" t="inlineStr">
        <is>
          <t>83988002202</t>
        </is>
      </c>
      <c r="D16" s="19" t="inlineStr">
        <is>
          <t>CHEM-1280</t>
        </is>
      </c>
      <c r="E16" s="19" t="inlineStr">
        <is>
          <t>kg</t>
        </is>
      </c>
      <c r="F16" s="19">
        <f>IFERROR(INDEX(M_RawMaterials[基準在庫下限_要入力],MATCH("CHEM-1280",M_RawMaterials[Part Name],0)),0)</f>
        <v/>
      </c>
      <c r="G16" s="19">
        <f>INDEX(Grid_Stock[#Data],MATCH($D16,Grid_Stock[Part Name],0),$P$7)</f>
        <v/>
      </c>
      <c r="H16" s="19">
        <f>IFERROR(INDEX(Material_Detail!$D:$DC,MATCH($D16,Material_Detail!$DE:$DE,0),$P$7+0),0)</f>
        <v/>
      </c>
      <c r="I16" s="19">
        <f>IFERROR(INDEX(Material_Detail!$D:$DC,MATCH($D16,Material_Detail!$DE:$DE,0),$P$7+1),0)</f>
        <v/>
      </c>
      <c r="J16" s="19">
        <f>IFERROR(INDEX(Material_Detail!$D:$DC,MATCH($D16,Material_Detail!$DE:$DE,0),$P$7+2),0)</f>
        <v/>
      </c>
      <c r="K16" s="19">
        <f>IFERROR(INDEX(Material_Detail!$D:$DC,MATCH($D16,Material_Detail!$DE:$DE,0),$P$7+3),0)</f>
        <v/>
      </c>
      <c r="L16" s="19">
        <f>IFERROR(INDEX(Material_Detail!$D:$DC,MATCH($D16,Material_Detail!$DE:$DE,0),$P$7+4),0)</f>
        <v/>
      </c>
      <c r="M16" s="19">
        <f>IFERROR(INDEX(Material_Detail!$D:$DC,MATCH($D16,Material_Detail!$DE:$DE,0),$P$7+5),0)</f>
        <v/>
      </c>
      <c r="N16" s="19">
        <f>IFERROR(INDEX(Material_Detail!$D:$DC,MATCH($D16,Material_Detail!$DE:$DE,0),$P$7+6),0)</f>
        <v/>
      </c>
      <c r="O16" s="19">
        <f>IFERROR(INDEX(Material_Detail!$D:$DC,MATCH($D16,Material_Detail!$DE:$DE,0),$P$7+7),0)</f>
        <v/>
      </c>
      <c r="P16" s="19">
        <f>IFERROR(INDEX(Material_Detail!$D:$DC,MATCH($D16,Material_Detail!$DE:$DE,0),$P$7+8),0)</f>
        <v/>
      </c>
      <c r="Q16" s="19">
        <f>IFERROR(INDEX(Material_Detail!$D:$DC,MATCH($D16,Material_Detail!$DE:$DE,0),$P$7+9),0)</f>
        <v/>
      </c>
      <c r="R16" s="19">
        <f>IFERROR(INDEX(Material_Detail!$D:$DC,MATCH($D16,Material_Detail!$DE:$DE,0),$P$7+10),0)</f>
        <v/>
      </c>
      <c r="S16" s="19">
        <f>IFERROR(INDEX(Material_Detail!$D:$DC,MATCH($D16,Material_Detail!$DE:$DE,0),$P$7+11),0)</f>
        <v/>
      </c>
      <c r="T16" s="19">
        <f>IFERROR(INDEX(Material_Detail!$D:$DC,MATCH($D16,Material_Detail!$DE:$DE,0),$P$7+12),0)</f>
        <v/>
      </c>
      <c r="U16" s="19">
        <f>SUM(H16:T16)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U34"/>
  <sheetViews>
    <sheetView workbookViewId="0">
      <pane xSplit="7" ySplit="14" topLeftCell="H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2" max="2"/>
    <col width="14" customWidth="1" min="3" max="3"/>
    <col width="12" customWidth="1" min="4" max="4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2">
      <c r="B2" t="inlineStr">
        <is>
          <t>TO：（サプライヤー／TTAF担当者名を入力）</t>
        </is>
      </c>
      <c r="N2" t="inlineStr">
        <is>
          <t>Order Date:</t>
        </is>
      </c>
      <c r="P2" s="27" t="n">
        <v>46258</v>
      </c>
    </row>
    <row r="3">
      <c r="B3" t="inlineStr">
        <is>
          <t xml:space="preserve">　　　　　（会社名）</t>
        </is>
      </c>
      <c r="N3" t="inlineStr">
        <is>
          <t>Issue Month:</t>
        </is>
      </c>
    </row>
    <row r="4">
      <c r="N4" t="inlineStr">
        <is>
          <t>Firm Month:</t>
        </is>
      </c>
    </row>
    <row r="5">
      <c r="B5" t="inlineStr">
        <is>
          <t>FROM：（発行者名）</t>
        </is>
      </c>
      <c r="N5" t="inlineStr">
        <is>
          <t>Revision</t>
        </is>
      </c>
      <c r="P5" t="inlineStr">
        <is>
          <t>00</t>
        </is>
      </c>
    </row>
    <row r="6">
      <c r="B6" t="inlineStr">
        <is>
          <t xml:space="preserve">　　　　　（自社名）</t>
        </is>
      </c>
    </row>
    <row r="7">
      <c r="N7" t="inlineStr">
        <is>
          <t>基準週(WeekIndex, 翌月の頭を推奨):</t>
        </is>
      </c>
      <c r="P7" s="28" t="n">
        <v>36</v>
      </c>
    </row>
    <row r="8">
      <c r="B8" s="2" t="inlineStr">
        <is>
          <t>Substrates</t>
        </is>
      </c>
    </row>
    <row r="10">
      <c r="B10" s="13" t="n"/>
      <c r="C10" s="13" t="n"/>
      <c r="D10" s="13" t="n"/>
      <c r="E10" s="13" t="n"/>
      <c r="F10" s="13" t="n"/>
      <c r="G10" s="13" t="n"/>
      <c r="H10" s="13">
        <f>INDEX(Cal_Weeks[MonthYearLabel],$P$7)</f>
        <v/>
      </c>
      <c r="I10" s="13">
        <f>IF(INDEX(Cal_Weeks[MonthYearLabel],$P$7+1)&lt;&gt;INDEX(Cal_Weeks[MonthYearLabel],$P$7+0),INDEX(Cal_Weeks[MonthYearLabel],$P$7+1),"")</f>
        <v/>
      </c>
      <c r="J10" s="13">
        <f>IF(INDEX(Cal_Weeks[MonthYearLabel],$P$7+2)&lt;&gt;INDEX(Cal_Weeks[MonthYearLabel],$P$7+1),INDEX(Cal_Weeks[MonthYearLabel],$P$7+2),"")</f>
        <v/>
      </c>
      <c r="K10" s="13">
        <f>IF(INDEX(Cal_Weeks[MonthYearLabel],$P$7+3)&lt;&gt;INDEX(Cal_Weeks[MonthYearLabel],$P$7+2),INDEX(Cal_Weeks[MonthYearLabel],$P$7+3),"")</f>
        <v/>
      </c>
      <c r="L10" s="13">
        <f>IF(INDEX(Cal_Weeks[MonthYearLabel],$P$7+4)&lt;&gt;INDEX(Cal_Weeks[MonthYearLabel],$P$7+3),INDEX(Cal_Weeks[MonthYearLabel],$P$7+4),"")</f>
        <v/>
      </c>
      <c r="M10" s="13">
        <f>IF(INDEX(Cal_Weeks[MonthYearLabel],$P$7+5)&lt;&gt;INDEX(Cal_Weeks[MonthYearLabel],$P$7+4),INDEX(Cal_Weeks[MonthYearLabel],$P$7+5),"")</f>
        <v/>
      </c>
      <c r="N10" s="13">
        <f>IF(INDEX(Cal_Weeks[MonthYearLabel],$P$7+6)&lt;&gt;INDEX(Cal_Weeks[MonthYearLabel],$P$7+5),INDEX(Cal_Weeks[MonthYearLabel],$P$7+6),"")</f>
        <v/>
      </c>
      <c r="O10" s="13">
        <f>IF(INDEX(Cal_Weeks[MonthYearLabel],$P$7+7)&lt;&gt;INDEX(Cal_Weeks[MonthYearLabel],$P$7+6),INDEX(Cal_Weeks[MonthYearLabel],$P$7+7),"")</f>
        <v/>
      </c>
      <c r="P10" s="13">
        <f>IF(INDEX(Cal_Weeks[MonthYearLabel],$P$7+8)&lt;&gt;INDEX(Cal_Weeks[MonthYearLabel],$P$7+7),INDEX(Cal_Weeks[MonthYearLabel],$P$7+8),"")</f>
        <v/>
      </c>
      <c r="Q10" s="13">
        <f>IF(INDEX(Cal_Weeks[MonthYearLabel],$P$7+9)&lt;&gt;INDEX(Cal_Weeks[MonthYearLabel],$P$7+8),INDEX(Cal_Weeks[MonthYearLabel],$P$7+9),"")</f>
        <v/>
      </c>
      <c r="R10" s="13">
        <f>IF(INDEX(Cal_Weeks[MonthYearLabel],$P$7+10)&lt;&gt;INDEX(Cal_Weeks[MonthYearLabel],$P$7+9),INDEX(Cal_Weeks[MonthYearLabel],$P$7+10),"")</f>
        <v/>
      </c>
      <c r="S10" s="13">
        <f>IF(INDEX(Cal_Weeks[MonthYearLabel],$P$7+11)&lt;&gt;INDEX(Cal_Weeks[MonthYearLabel],$P$7+10),INDEX(Cal_Weeks[MonthYearLabel],$P$7+11),"")</f>
        <v/>
      </c>
      <c r="T10" s="13">
        <f>IF(INDEX(Cal_Weeks[MonthYearLabel],$P$7+12)&lt;&gt;INDEX(Cal_Weeks[MonthYearLabel],$P$7+11),INDEX(Cal_Weeks[MonthYearLabel],$P$7+12),"")</f>
        <v/>
      </c>
      <c r="U10" s="13" t="n"/>
    </row>
    <row r="11">
      <c r="B11" s="14" t="n"/>
      <c r="C11" s="14" t="n"/>
      <c r="D11" s="14" t="n"/>
      <c r="E11" s="14" t="n"/>
      <c r="F11" s="14" t="n"/>
      <c r="G11" s="14" t="n"/>
      <c r="H11" s="15">
        <f>INDEX(Cal_Weeks[WeekStart],$P$7+0)</f>
        <v/>
      </c>
      <c r="I11" s="15">
        <f>INDEX(Cal_Weeks[WeekStart],$P$7+1)</f>
        <v/>
      </c>
      <c r="J11" s="15">
        <f>INDEX(Cal_Weeks[WeekStart],$P$7+2)</f>
        <v/>
      </c>
      <c r="K11" s="15">
        <f>INDEX(Cal_Weeks[WeekStart],$P$7+3)</f>
        <v/>
      </c>
      <c r="L11" s="15">
        <f>INDEX(Cal_Weeks[WeekStart],$P$7+4)</f>
        <v/>
      </c>
      <c r="M11" s="15">
        <f>INDEX(Cal_Weeks[WeekStart],$P$7+5)</f>
        <v/>
      </c>
      <c r="N11" s="15">
        <f>INDEX(Cal_Weeks[WeekStart],$P$7+6)</f>
        <v/>
      </c>
      <c r="O11" s="15">
        <f>INDEX(Cal_Weeks[WeekStart],$P$7+7)</f>
        <v/>
      </c>
      <c r="P11" s="15">
        <f>INDEX(Cal_Weeks[WeekStart],$P$7+8)</f>
        <v/>
      </c>
      <c r="Q11" s="15">
        <f>INDEX(Cal_Weeks[WeekStart],$P$7+9)</f>
        <v/>
      </c>
      <c r="R11" s="15">
        <f>INDEX(Cal_Weeks[WeekStart],$P$7+10)</f>
        <v/>
      </c>
      <c r="S11" s="15">
        <f>INDEX(Cal_Weeks[WeekStart],$P$7+11)</f>
        <v/>
      </c>
      <c r="T11" s="15">
        <f>INDEX(Cal_Weeks[WeekStart],$P$7+12)</f>
        <v/>
      </c>
      <c r="U11" s="14" t="n"/>
    </row>
    <row r="12">
      <c r="B12" s="14" t="n"/>
      <c r="C12" s="14" t="n"/>
      <c r="D12" s="14" t="n"/>
      <c r="E12" s="14" t="n"/>
      <c r="F12" s="14" t="n"/>
      <c r="G12" s="14" t="n"/>
      <c r="H12" s="14">
        <f>INDEX(Cal_Weeks[WeekOfYear],$P$7+0)</f>
        <v/>
      </c>
      <c r="I12" s="14">
        <f>INDEX(Cal_Weeks[WeekOfYear],$P$7+1)</f>
        <v/>
      </c>
      <c r="J12" s="14">
        <f>INDEX(Cal_Weeks[WeekOfYear],$P$7+2)</f>
        <v/>
      </c>
      <c r="K12" s="14">
        <f>INDEX(Cal_Weeks[WeekOfYear],$P$7+3)</f>
        <v/>
      </c>
      <c r="L12" s="14">
        <f>INDEX(Cal_Weeks[WeekOfYear],$P$7+4)</f>
        <v/>
      </c>
      <c r="M12" s="14">
        <f>INDEX(Cal_Weeks[WeekOfYear],$P$7+5)</f>
        <v/>
      </c>
      <c r="N12" s="14">
        <f>INDEX(Cal_Weeks[WeekOfYear],$P$7+6)</f>
        <v/>
      </c>
      <c r="O12" s="14">
        <f>INDEX(Cal_Weeks[WeekOfYear],$P$7+7)</f>
        <v/>
      </c>
      <c r="P12" s="14">
        <f>INDEX(Cal_Weeks[WeekOfYear],$P$7+8)</f>
        <v/>
      </c>
      <c r="Q12" s="14">
        <f>INDEX(Cal_Weeks[WeekOfYear],$P$7+9)</f>
        <v/>
      </c>
      <c r="R12" s="14">
        <f>INDEX(Cal_Weeks[WeekOfYear],$P$7+10)</f>
        <v/>
      </c>
      <c r="S12" s="14">
        <f>INDEX(Cal_Weeks[WeekOfYear],$P$7+11)</f>
        <v/>
      </c>
      <c r="T12" s="14">
        <f>INDEX(Cal_Weeks[WeekOfYear],$P$7+12)</f>
        <v/>
      </c>
      <c r="U12" s="14" t="n"/>
    </row>
    <row r="13">
      <c r="B13" s="14" t="n"/>
      <c r="C13" s="14" t="n"/>
      <c r="D13" s="14" t="n"/>
      <c r="E13" s="14" t="n"/>
      <c r="F13" s="14" t="n"/>
      <c r="G13" s="14" t="n"/>
      <c r="H13" s="14">
        <f>IF(INDEX(Cal_Weeks[MonthYearLabel],$P$7+0)=INDEX(Cal_Weeks[MonthYearLabel],$P$7),"Firm","Forecast")</f>
        <v/>
      </c>
      <c r="I13" s="14">
        <f>IF(INDEX(Cal_Weeks[MonthYearLabel],$P$7+1)=INDEX(Cal_Weeks[MonthYearLabel],$P$7),"Firm","Forecast")</f>
        <v/>
      </c>
      <c r="J13" s="14">
        <f>IF(INDEX(Cal_Weeks[MonthYearLabel],$P$7+2)=INDEX(Cal_Weeks[MonthYearLabel],$P$7),"Firm","Forecast")</f>
        <v/>
      </c>
      <c r="K13" s="14">
        <f>IF(INDEX(Cal_Weeks[MonthYearLabel],$P$7+3)=INDEX(Cal_Weeks[MonthYearLabel],$P$7),"Firm","Forecast")</f>
        <v/>
      </c>
      <c r="L13" s="14">
        <f>IF(INDEX(Cal_Weeks[MonthYearLabel],$P$7+4)=INDEX(Cal_Weeks[MonthYearLabel],$P$7),"Firm","Forecast")</f>
        <v/>
      </c>
      <c r="M13" s="14">
        <f>IF(INDEX(Cal_Weeks[MonthYearLabel],$P$7+5)=INDEX(Cal_Weeks[MonthYearLabel],$P$7),"Firm","Forecast")</f>
        <v/>
      </c>
      <c r="N13" s="14">
        <f>IF(INDEX(Cal_Weeks[MonthYearLabel],$P$7+6)=INDEX(Cal_Weeks[MonthYearLabel],$P$7),"Firm","Forecast")</f>
        <v/>
      </c>
      <c r="O13" s="14">
        <f>IF(INDEX(Cal_Weeks[MonthYearLabel],$P$7+7)=INDEX(Cal_Weeks[MonthYearLabel],$P$7),"Firm","Forecast")</f>
        <v/>
      </c>
      <c r="P13" s="14">
        <f>IF(INDEX(Cal_Weeks[MonthYearLabel],$P$7+8)=INDEX(Cal_Weeks[MonthYearLabel],$P$7),"Firm","Forecast")</f>
        <v/>
      </c>
      <c r="Q13" s="14">
        <f>IF(INDEX(Cal_Weeks[MonthYearLabel],$P$7+9)=INDEX(Cal_Weeks[MonthYearLabel],$P$7),"Firm","Forecast")</f>
        <v/>
      </c>
      <c r="R13" s="14">
        <f>IF(INDEX(Cal_Weeks[MonthYearLabel],$P$7+10)=INDEX(Cal_Weeks[MonthYearLabel],$P$7),"Firm","Forecast")</f>
        <v/>
      </c>
      <c r="S13" s="14">
        <f>IF(INDEX(Cal_Weeks[MonthYearLabel],$P$7+11)=INDEX(Cal_Weeks[MonthYearLabel],$P$7),"Firm","Forecast")</f>
        <v/>
      </c>
      <c r="T13" s="14">
        <f>IF(INDEX(Cal_Weeks[MonthYearLabel],$P$7+12)=INDEX(Cal_Weeks[MonthYearLabel],$P$7),"Firm","Forecast")</f>
        <v/>
      </c>
      <c r="U13" s="14" t="n"/>
    </row>
    <row r="14">
      <c r="B14" s="29" t="inlineStr">
        <is>
          <t>Part Name</t>
        </is>
      </c>
      <c r="C14" s="29" t="inlineStr">
        <is>
          <t>TTAF Code</t>
        </is>
      </c>
      <c r="D14" s="29" t="inlineStr">
        <is>
          <t>CSA Code</t>
        </is>
      </c>
      <c r="E14" s="29" t="inlineStr">
        <is>
          <t>UOM</t>
        </is>
      </c>
      <c r="F14" s="29" t="inlineStr">
        <is>
          <t>SafetyStock</t>
        </is>
      </c>
      <c r="G14" s="29" t="inlineStr">
        <is>
          <t>CurrentStock</t>
        </is>
      </c>
      <c r="H14" s="29">
        <f>INDEX(Cal_Weeks[Label],$P$7+0)</f>
        <v/>
      </c>
      <c r="I14" s="29">
        <f>INDEX(Cal_Weeks[Label],$P$7+1)</f>
        <v/>
      </c>
      <c r="J14" s="29">
        <f>INDEX(Cal_Weeks[Label],$P$7+2)</f>
        <v/>
      </c>
      <c r="K14" s="29">
        <f>INDEX(Cal_Weeks[Label],$P$7+3)</f>
        <v/>
      </c>
      <c r="L14" s="29">
        <f>INDEX(Cal_Weeks[Label],$P$7+4)</f>
        <v/>
      </c>
      <c r="M14" s="29">
        <f>INDEX(Cal_Weeks[Label],$P$7+5)</f>
        <v/>
      </c>
      <c r="N14" s="29">
        <f>INDEX(Cal_Weeks[Label],$P$7+6)</f>
        <v/>
      </c>
      <c r="O14" s="29">
        <f>INDEX(Cal_Weeks[Label],$P$7+7)</f>
        <v/>
      </c>
      <c r="P14" s="29">
        <f>INDEX(Cal_Weeks[Label],$P$7+8)</f>
        <v/>
      </c>
      <c r="Q14" s="29">
        <f>INDEX(Cal_Weeks[Label],$P$7+9)</f>
        <v/>
      </c>
      <c r="R14" s="29">
        <f>INDEX(Cal_Weeks[Label],$P$7+10)</f>
        <v/>
      </c>
      <c r="S14" s="29">
        <f>INDEX(Cal_Weeks[Label],$P$7+11)</f>
        <v/>
      </c>
      <c r="T14" s="29">
        <f>INDEX(Cal_Weeks[Label],$P$7+12)</f>
        <v/>
      </c>
      <c r="U14" s="29" t="inlineStr">
        <is>
          <t>Total</t>
        </is>
      </c>
    </row>
    <row r="15">
      <c r="B15" s="17">
        <f>IFERROR(INDEX(M_RawMaterials[Description],MATCH("7EP",M_RawMaterials[Part Name],0)),"")</f>
        <v/>
      </c>
      <c r="C15" s="17" t="inlineStr">
        <is>
          <t>1846540040 ( 4FK13093100Z)</t>
        </is>
      </c>
      <c r="D15" s="17" t="inlineStr">
        <is>
          <t>7EP</t>
        </is>
      </c>
      <c r="E15" s="17" t="inlineStr">
        <is>
          <t>kg</t>
        </is>
      </c>
      <c r="F15" s="17">
        <f>IFERROR(INDEX(M_RawMaterials[基準在庫下限_要入力],MATCH("7EP",M_RawMaterials[Part Name],0)),0)</f>
        <v/>
      </c>
      <c r="G15" s="17">
        <f>INDEX(Grid_Stock[#Data],MATCH($D15,Grid_Stock[Part Name],0),$P$7)</f>
        <v/>
      </c>
      <c r="H15" s="17">
        <f>IFERROR(INDEX(Material_Detail!$D:$DC,MATCH($D15,Material_Detail!$DE:$DE,0),$P$7+0),0)</f>
        <v/>
      </c>
      <c r="I15" s="17">
        <f>IFERROR(INDEX(Material_Detail!$D:$DC,MATCH($D15,Material_Detail!$DE:$DE,0),$P$7+1),0)</f>
        <v/>
      </c>
      <c r="J15" s="17">
        <f>IFERROR(INDEX(Material_Detail!$D:$DC,MATCH($D15,Material_Detail!$DE:$DE,0),$P$7+2),0)</f>
        <v/>
      </c>
      <c r="K15" s="17">
        <f>IFERROR(INDEX(Material_Detail!$D:$DC,MATCH($D15,Material_Detail!$DE:$DE,0),$P$7+3),0)</f>
        <v/>
      </c>
      <c r="L15" s="17">
        <f>IFERROR(INDEX(Material_Detail!$D:$DC,MATCH($D15,Material_Detail!$DE:$DE,0),$P$7+4),0)</f>
        <v/>
      </c>
      <c r="M15" s="17">
        <f>IFERROR(INDEX(Material_Detail!$D:$DC,MATCH($D15,Material_Detail!$DE:$DE,0),$P$7+5),0)</f>
        <v/>
      </c>
      <c r="N15" s="17">
        <f>IFERROR(INDEX(Material_Detail!$D:$DC,MATCH($D15,Material_Detail!$DE:$DE,0),$P$7+6),0)</f>
        <v/>
      </c>
      <c r="O15" s="17">
        <f>IFERROR(INDEX(Material_Detail!$D:$DC,MATCH($D15,Material_Detail!$DE:$DE,0),$P$7+7),0)</f>
        <v/>
      </c>
      <c r="P15" s="17">
        <f>IFERROR(INDEX(Material_Detail!$D:$DC,MATCH($D15,Material_Detail!$DE:$DE,0),$P$7+8),0)</f>
        <v/>
      </c>
      <c r="Q15" s="17">
        <f>IFERROR(INDEX(Material_Detail!$D:$DC,MATCH($D15,Material_Detail!$DE:$DE,0),$P$7+9),0)</f>
        <v/>
      </c>
      <c r="R15" s="17">
        <f>IFERROR(INDEX(Material_Detail!$D:$DC,MATCH($D15,Material_Detail!$DE:$DE,0),$P$7+10),0)</f>
        <v/>
      </c>
      <c r="S15" s="17">
        <f>IFERROR(INDEX(Material_Detail!$D:$DC,MATCH($D15,Material_Detail!$DE:$DE,0),$P$7+11),0)</f>
        <v/>
      </c>
      <c r="T15" s="17">
        <f>IFERROR(INDEX(Material_Detail!$D:$DC,MATCH($D15,Material_Detail!$DE:$DE,0),$P$7+12),0)</f>
        <v/>
      </c>
      <c r="U15" s="17">
        <f>SUM(H15:T15)</f>
        <v/>
      </c>
    </row>
    <row r="16">
      <c r="B16" s="19">
        <f>IFERROR(INDEX(M_RawMaterials[Description],MATCH("1EK",M_RawMaterials[Part Name],0)),"")</f>
        <v/>
      </c>
      <c r="C16" s="19" t="inlineStr">
        <is>
          <t>N60H29R08-JP</t>
        </is>
      </c>
      <c r="D16" s="19" t="inlineStr">
        <is>
          <t>1EK</t>
        </is>
      </c>
      <c r="E16" s="19" t="inlineStr">
        <is>
          <t>kg</t>
        </is>
      </c>
      <c r="F16" s="19">
        <f>IFERROR(INDEX(M_RawMaterials[基準在庫下限_要入力],MATCH("1EK",M_RawMaterials[Part Name],0)),0)</f>
        <v/>
      </c>
      <c r="G16" s="19">
        <f>INDEX(Grid_Stock[#Data],MATCH($D16,Grid_Stock[Part Name],0),$P$7)</f>
        <v/>
      </c>
      <c r="H16" s="19">
        <f>IFERROR(INDEX(Material_Detail!$D:$DC,MATCH($D16,Material_Detail!$DE:$DE,0),$P$7+0),0)</f>
        <v/>
      </c>
      <c r="I16" s="19">
        <f>IFERROR(INDEX(Material_Detail!$D:$DC,MATCH($D16,Material_Detail!$DE:$DE,0),$P$7+1),0)</f>
        <v/>
      </c>
      <c r="J16" s="19">
        <f>IFERROR(INDEX(Material_Detail!$D:$DC,MATCH($D16,Material_Detail!$DE:$DE,0),$P$7+2),0)</f>
        <v/>
      </c>
      <c r="K16" s="19">
        <f>IFERROR(INDEX(Material_Detail!$D:$DC,MATCH($D16,Material_Detail!$DE:$DE,0),$P$7+3),0)</f>
        <v/>
      </c>
      <c r="L16" s="19">
        <f>IFERROR(INDEX(Material_Detail!$D:$DC,MATCH($D16,Material_Detail!$DE:$DE,0),$P$7+4),0)</f>
        <v/>
      </c>
      <c r="M16" s="19">
        <f>IFERROR(INDEX(Material_Detail!$D:$DC,MATCH($D16,Material_Detail!$DE:$DE,0),$P$7+5),0)</f>
        <v/>
      </c>
      <c r="N16" s="19">
        <f>IFERROR(INDEX(Material_Detail!$D:$DC,MATCH($D16,Material_Detail!$DE:$DE,0),$P$7+6),0)</f>
        <v/>
      </c>
      <c r="O16" s="19">
        <f>IFERROR(INDEX(Material_Detail!$D:$DC,MATCH($D16,Material_Detail!$DE:$DE,0),$P$7+7),0)</f>
        <v/>
      </c>
      <c r="P16" s="19">
        <f>IFERROR(INDEX(Material_Detail!$D:$DC,MATCH($D16,Material_Detail!$DE:$DE,0),$P$7+8),0)</f>
        <v/>
      </c>
      <c r="Q16" s="19">
        <f>IFERROR(INDEX(Material_Detail!$D:$DC,MATCH($D16,Material_Detail!$DE:$DE,0),$P$7+9),0)</f>
        <v/>
      </c>
      <c r="R16" s="19">
        <f>IFERROR(INDEX(Material_Detail!$D:$DC,MATCH($D16,Material_Detail!$DE:$DE,0),$P$7+10),0)</f>
        <v/>
      </c>
      <c r="S16" s="19">
        <f>IFERROR(INDEX(Material_Detail!$D:$DC,MATCH($D16,Material_Detail!$DE:$DE,0),$P$7+11),0)</f>
        <v/>
      </c>
      <c r="T16" s="19">
        <f>IFERROR(INDEX(Material_Detail!$D:$DC,MATCH($D16,Material_Detail!$DE:$DE,0),$P$7+12),0)</f>
        <v/>
      </c>
      <c r="U16" s="19">
        <f>SUM(H16:T16)</f>
        <v/>
      </c>
    </row>
    <row r="17">
      <c r="B17" s="17">
        <f>IFERROR(INDEX(M_RawMaterials[Description],MATCH("4HL",M_RawMaterials[Part Name],0)),"")</f>
        <v/>
      </c>
      <c r="C17" s="17" t="inlineStr">
        <is>
          <t>N60H27R08-JP</t>
        </is>
      </c>
      <c r="D17" s="17" t="inlineStr">
        <is>
          <t>4HL</t>
        </is>
      </c>
      <c r="E17" s="17" t="inlineStr">
        <is>
          <t>kg</t>
        </is>
      </c>
      <c r="F17" s="17">
        <f>IFERROR(INDEX(M_RawMaterials[基準在庫下限_要入力],MATCH("4HL",M_RawMaterials[Part Name],0)),0)</f>
        <v/>
      </c>
      <c r="G17" s="17">
        <f>INDEX(Grid_Stock[#Data],MATCH($D17,Grid_Stock[Part Name],0),$P$7)</f>
        <v/>
      </c>
      <c r="H17" s="17">
        <f>IFERROR(INDEX(Material_Detail!$D:$DC,MATCH($D17,Material_Detail!$DE:$DE,0),$P$7+0),0)</f>
        <v/>
      </c>
      <c r="I17" s="17">
        <f>IFERROR(INDEX(Material_Detail!$D:$DC,MATCH($D17,Material_Detail!$DE:$DE,0),$P$7+1),0)</f>
        <v/>
      </c>
      <c r="J17" s="17">
        <f>IFERROR(INDEX(Material_Detail!$D:$DC,MATCH($D17,Material_Detail!$DE:$DE,0),$P$7+2),0)</f>
        <v/>
      </c>
      <c r="K17" s="17">
        <f>IFERROR(INDEX(Material_Detail!$D:$DC,MATCH($D17,Material_Detail!$DE:$DE,0),$P$7+3),0)</f>
        <v/>
      </c>
      <c r="L17" s="17">
        <f>IFERROR(INDEX(Material_Detail!$D:$DC,MATCH($D17,Material_Detail!$DE:$DE,0),$P$7+4),0)</f>
        <v/>
      </c>
      <c r="M17" s="17">
        <f>IFERROR(INDEX(Material_Detail!$D:$DC,MATCH($D17,Material_Detail!$DE:$DE,0),$P$7+5),0)</f>
        <v/>
      </c>
      <c r="N17" s="17">
        <f>IFERROR(INDEX(Material_Detail!$D:$DC,MATCH($D17,Material_Detail!$DE:$DE,0),$P$7+6),0)</f>
        <v/>
      </c>
      <c r="O17" s="17">
        <f>IFERROR(INDEX(Material_Detail!$D:$DC,MATCH($D17,Material_Detail!$DE:$DE,0),$P$7+7),0)</f>
        <v/>
      </c>
      <c r="P17" s="17">
        <f>IFERROR(INDEX(Material_Detail!$D:$DC,MATCH($D17,Material_Detail!$DE:$DE,0),$P$7+8),0)</f>
        <v/>
      </c>
      <c r="Q17" s="17">
        <f>IFERROR(INDEX(Material_Detail!$D:$DC,MATCH($D17,Material_Detail!$DE:$DE,0),$P$7+9),0)</f>
        <v/>
      </c>
      <c r="R17" s="17">
        <f>IFERROR(INDEX(Material_Detail!$D:$DC,MATCH($D17,Material_Detail!$DE:$DE,0),$P$7+10),0)</f>
        <v/>
      </c>
      <c r="S17" s="17">
        <f>IFERROR(INDEX(Material_Detail!$D:$DC,MATCH($D17,Material_Detail!$DE:$DE,0),$P$7+11),0)</f>
        <v/>
      </c>
      <c r="T17" s="17">
        <f>IFERROR(INDEX(Material_Detail!$D:$DC,MATCH($D17,Material_Detail!$DE:$DE,0),$P$7+12),0)</f>
        <v/>
      </c>
      <c r="U17" s="17">
        <f>SUM(H17:T17)</f>
        <v/>
      </c>
    </row>
    <row r="18">
      <c r="B18" s="19">
        <f>IFERROR(INDEX(M_RawMaterials[Description],MATCH("9RN",M_RawMaterials[Part Name],0)),"")</f>
        <v/>
      </c>
      <c r="C18" s="19" t="inlineStr">
        <is>
          <t>1846515030 ( 4FK13117080Z)</t>
        </is>
      </c>
      <c r="D18" s="19" t="inlineStr">
        <is>
          <t>9RN</t>
        </is>
      </c>
      <c r="E18" s="19" t="inlineStr">
        <is>
          <t>kg</t>
        </is>
      </c>
      <c r="F18" s="19">
        <f>IFERROR(INDEX(M_RawMaterials[基準在庫下限_要入力],MATCH("9RN",M_RawMaterials[Part Name],0)),0)</f>
        <v/>
      </c>
      <c r="G18" s="19">
        <f>INDEX(Grid_Stock[#Data],MATCH($D18,Grid_Stock[Part Name],0),$P$7)</f>
        <v/>
      </c>
      <c r="H18" s="19">
        <f>IFERROR(INDEX(Material_Detail!$D:$DC,MATCH($D18,Material_Detail!$DE:$DE,0),$P$7+0),0)</f>
        <v/>
      </c>
      <c r="I18" s="19">
        <f>IFERROR(INDEX(Material_Detail!$D:$DC,MATCH($D18,Material_Detail!$DE:$DE,0),$P$7+1),0)</f>
        <v/>
      </c>
      <c r="J18" s="19">
        <f>IFERROR(INDEX(Material_Detail!$D:$DC,MATCH($D18,Material_Detail!$DE:$DE,0),$P$7+2),0)</f>
        <v/>
      </c>
      <c r="K18" s="19">
        <f>IFERROR(INDEX(Material_Detail!$D:$DC,MATCH($D18,Material_Detail!$DE:$DE,0),$P$7+3),0)</f>
        <v/>
      </c>
      <c r="L18" s="19">
        <f>IFERROR(INDEX(Material_Detail!$D:$DC,MATCH($D18,Material_Detail!$DE:$DE,0),$P$7+4),0)</f>
        <v/>
      </c>
      <c r="M18" s="19">
        <f>IFERROR(INDEX(Material_Detail!$D:$DC,MATCH($D18,Material_Detail!$DE:$DE,0),$P$7+5),0)</f>
        <v/>
      </c>
      <c r="N18" s="19">
        <f>IFERROR(INDEX(Material_Detail!$D:$DC,MATCH($D18,Material_Detail!$DE:$DE,0),$P$7+6),0)</f>
        <v/>
      </c>
      <c r="O18" s="19">
        <f>IFERROR(INDEX(Material_Detail!$D:$DC,MATCH($D18,Material_Detail!$DE:$DE,0),$P$7+7),0)</f>
        <v/>
      </c>
      <c r="P18" s="19">
        <f>IFERROR(INDEX(Material_Detail!$D:$DC,MATCH($D18,Material_Detail!$DE:$DE,0),$P$7+8),0)</f>
        <v/>
      </c>
      <c r="Q18" s="19">
        <f>IFERROR(INDEX(Material_Detail!$D:$DC,MATCH($D18,Material_Detail!$DE:$DE,0),$P$7+9),0)</f>
        <v/>
      </c>
      <c r="R18" s="19">
        <f>IFERROR(INDEX(Material_Detail!$D:$DC,MATCH($D18,Material_Detail!$DE:$DE,0),$P$7+10),0)</f>
        <v/>
      </c>
      <c r="S18" s="19">
        <f>IFERROR(INDEX(Material_Detail!$D:$DC,MATCH($D18,Material_Detail!$DE:$DE,0),$P$7+11),0)</f>
        <v/>
      </c>
      <c r="T18" s="19">
        <f>IFERROR(INDEX(Material_Detail!$D:$DC,MATCH($D18,Material_Detail!$DE:$DE,0),$P$7+12),0)</f>
        <v/>
      </c>
      <c r="U18" s="19">
        <f>SUM(H18:T18)</f>
        <v/>
      </c>
    </row>
    <row r="19">
      <c r="B19" s="17">
        <f>IFERROR(INDEX(M_RawMaterials[Description],MATCH("7CL",M_RawMaterials[Part Name],0)),"")</f>
        <v/>
      </c>
      <c r="C19" s="17" t="inlineStr">
        <is>
          <t>N75H28R08-JP</t>
        </is>
      </c>
      <c r="D19" s="17" t="inlineStr">
        <is>
          <t>7CL</t>
        </is>
      </c>
      <c r="E19" s="17" t="inlineStr">
        <is>
          <t>kg</t>
        </is>
      </c>
      <c r="F19" s="17">
        <f>IFERROR(INDEX(M_RawMaterials[基準在庫下限_要入力],MATCH("7CL",M_RawMaterials[Part Name],0)),0)</f>
        <v/>
      </c>
      <c r="G19" s="17">
        <f>INDEX(Grid_Stock[#Data],MATCH($D19,Grid_Stock[Part Name],0),$P$7)</f>
        <v/>
      </c>
      <c r="H19" s="17">
        <f>IFERROR(INDEX(Material_Detail!$D:$DC,MATCH($D19,Material_Detail!$DE:$DE,0),$P$7+0),0)</f>
        <v/>
      </c>
      <c r="I19" s="17">
        <f>IFERROR(INDEX(Material_Detail!$D:$DC,MATCH($D19,Material_Detail!$DE:$DE,0),$P$7+1),0)</f>
        <v/>
      </c>
      <c r="J19" s="17">
        <f>IFERROR(INDEX(Material_Detail!$D:$DC,MATCH($D19,Material_Detail!$DE:$DE,0),$P$7+2),0)</f>
        <v/>
      </c>
      <c r="K19" s="17">
        <f>IFERROR(INDEX(Material_Detail!$D:$DC,MATCH($D19,Material_Detail!$DE:$DE,0),$P$7+3),0)</f>
        <v/>
      </c>
      <c r="L19" s="17">
        <f>IFERROR(INDEX(Material_Detail!$D:$DC,MATCH($D19,Material_Detail!$DE:$DE,0),$P$7+4),0)</f>
        <v/>
      </c>
      <c r="M19" s="17">
        <f>IFERROR(INDEX(Material_Detail!$D:$DC,MATCH($D19,Material_Detail!$DE:$DE,0),$P$7+5),0)</f>
        <v/>
      </c>
      <c r="N19" s="17">
        <f>IFERROR(INDEX(Material_Detail!$D:$DC,MATCH($D19,Material_Detail!$DE:$DE,0),$P$7+6),0)</f>
        <v/>
      </c>
      <c r="O19" s="17">
        <f>IFERROR(INDEX(Material_Detail!$D:$DC,MATCH($D19,Material_Detail!$DE:$DE,0),$P$7+7),0)</f>
        <v/>
      </c>
      <c r="P19" s="17">
        <f>IFERROR(INDEX(Material_Detail!$D:$DC,MATCH($D19,Material_Detail!$DE:$DE,0),$P$7+8),0)</f>
        <v/>
      </c>
      <c r="Q19" s="17">
        <f>IFERROR(INDEX(Material_Detail!$D:$DC,MATCH($D19,Material_Detail!$DE:$DE,0),$P$7+9),0)</f>
        <v/>
      </c>
      <c r="R19" s="17">
        <f>IFERROR(INDEX(Material_Detail!$D:$DC,MATCH($D19,Material_Detail!$DE:$DE,0),$P$7+10),0)</f>
        <v/>
      </c>
      <c r="S19" s="17">
        <f>IFERROR(INDEX(Material_Detail!$D:$DC,MATCH($D19,Material_Detail!$DE:$DE,0),$P$7+11),0)</f>
        <v/>
      </c>
      <c r="T19" s="17">
        <f>IFERROR(INDEX(Material_Detail!$D:$DC,MATCH($D19,Material_Detail!$DE:$DE,0),$P$7+12),0)</f>
        <v/>
      </c>
      <c r="U19" s="17">
        <f>SUM(H19:T19)</f>
        <v/>
      </c>
    </row>
    <row r="20">
      <c r="B20" s="19">
        <f>IFERROR(INDEX(M_RawMaterials[Description],MATCH("OJN",M_RawMaterials[Part Name],0)),"")</f>
        <v/>
      </c>
      <c r="C20" s="19" t="inlineStr"/>
      <c r="D20" s="19" t="inlineStr">
        <is>
          <t>OJN</t>
        </is>
      </c>
      <c r="E20" s="19" t="inlineStr">
        <is>
          <t>kg</t>
        </is>
      </c>
      <c r="F20" s="19">
        <f>IFERROR(INDEX(M_RawMaterials[基準在庫下限_要入力],MATCH("OJN",M_RawMaterials[Part Name],0)),0)</f>
        <v/>
      </c>
      <c r="G20" s="19">
        <f>INDEX(Grid_Stock[#Data],MATCH($D20,Grid_Stock[Part Name],0),$P$7)</f>
        <v/>
      </c>
      <c r="H20" s="19">
        <f>IFERROR(INDEX(Material_Detail!$D:$DC,MATCH($D20,Material_Detail!$DE:$DE,0),$P$7+0),0)</f>
        <v/>
      </c>
      <c r="I20" s="19">
        <f>IFERROR(INDEX(Material_Detail!$D:$DC,MATCH($D20,Material_Detail!$DE:$DE,0),$P$7+1),0)</f>
        <v/>
      </c>
      <c r="J20" s="19">
        <f>IFERROR(INDEX(Material_Detail!$D:$DC,MATCH($D20,Material_Detail!$DE:$DE,0),$P$7+2),0)</f>
        <v/>
      </c>
      <c r="K20" s="19">
        <f>IFERROR(INDEX(Material_Detail!$D:$DC,MATCH($D20,Material_Detail!$DE:$DE,0),$P$7+3),0)</f>
        <v/>
      </c>
      <c r="L20" s="19">
        <f>IFERROR(INDEX(Material_Detail!$D:$DC,MATCH($D20,Material_Detail!$DE:$DE,0),$P$7+4),0)</f>
        <v/>
      </c>
      <c r="M20" s="19">
        <f>IFERROR(INDEX(Material_Detail!$D:$DC,MATCH($D20,Material_Detail!$DE:$DE,0),$P$7+5),0)</f>
        <v/>
      </c>
      <c r="N20" s="19">
        <f>IFERROR(INDEX(Material_Detail!$D:$DC,MATCH($D20,Material_Detail!$DE:$DE,0),$P$7+6),0)</f>
        <v/>
      </c>
      <c r="O20" s="19">
        <f>IFERROR(INDEX(Material_Detail!$D:$DC,MATCH($D20,Material_Detail!$DE:$DE,0),$P$7+7),0)</f>
        <v/>
      </c>
      <c r="P20" s="19">
        <f>IFERROR(INDEX(Material_Detail!$D:$DC,MATCH($D20,Material_Detail!$DE:$DE,0),$P$7+8),0)</f>
        <v/>
      </c>
      <c r="Q20" s="19">
        <f>IFERROR(INDEX(Material_Detail!$D:$DC,MATCH($D20,Material_Detail!$DE:$DE,0),$P$7+9),0)</f>
        <v/>
      </c>
      <c r="R20" s="19">
        <f>IFERROR(INDEX(Material_Detail!$D:$DC,MATCH($D20,Material_Detail!$DE:$DE,0),$P$7+10),0)</f>
        <v/>
      </c>
      <c r="S20" s="19">
        <f>IFERROR(INDEX(Material_Detail!$D:$DC,MATCH($D20,Material_Detail!$DE:$DE,0),$P$7+11),0)</f>
        <v/>
      </c>
      <c r="T20" s="19">
        <f>IFERROR(INDEX(Material_Detail!$D:$DC,MATCH($D20,Material_Detail!$DE:$DE,0),$P$7+12),0)</f>
        <v/>
      </c>
      <c r="U20" s="19">
        <f>SUM(H20:T20)</f>
        <v/>
      </c>
    </row>
    <row r="21">
      <c r="B21" s="17">
        <f>IFERROR(INDEX(M_RawMaterials[Description],MATCH("TDJ",M_RawMaterials[Part Name],0)),"")</f>
        <v/>
      </c>
      <c r="C21" s="17" t="inlineStr">
        <is>
          <t>1846537010</t>
        </is>
      </c>
      <c r="D21" s="17" t="inlineStr">
        <is>
          <t>TDJ</t>
        </is>
      </c>
      <c r="E21" s="17" t="inlineStr">
        <is>
          <t>kg</t>
        </is>
      </c>
      <c r="F21" s="17">
        <f>IFERROR(INDEX(M_RawMaterials[基準在庫下限_要入力],MATCH("TDJ",M_RawMaterials[Part Name],0)),0)</f>
        <v/>
      </c>
      <c r="G21" s="17">
        <f>INDEX(Grid_Stock[#Data],MATCH($D21,Grid_Stock[Part Name],0),$P$7)</f>
        <v/>
      </c>
      <c r="H21" s="17">
        <f>IFERROR(INDEX(Material_Detail!$D:$DC,MATCH($D21,Material_Detail!$DE:$DE,0),$P$7+0),0)</f>
        <v/>
      </c>
      <c r="I21" s="17">
        <f>IFERROR(INDEX(Material_Detail!$D:$DC,MATCH($D21,Material_Detail!$DE:$DE,0),$P$7+1),0)</f>
        <v/>
      </c>
      <c r="J21" s="17">
        <f>IFERROR(INDEX(Material_Detail!$D:$DC,MATCH($D21,Material_Detail!$DE:$DE,0),$P$7+2),0)</f>
        <v/>
      </c>
      <c r="K21" s="17">
        <f>IFERROR(INDEX(Material_Detail!$D:$DC,MATCH($D21,Material_Detail!$DE:$DE,0),$P$7+3),0)</f>
        <v/>
      </c>
      <c r="L21" s="17">
        <f>IFERROR(INDEX(Material_Detail!$D:$DC,MATCH($D21,Material_Detail!$DE:$DE,0),$P$7+4),0)</f>
        <v/>
      </c>
      <c r="M21" s="17">
        <f>IFERROR(INDEX(Material_Detail!$D:$DC,MATCH($D21,Material_Detail!$DE:$DE,0),$P$7+5),0)</f>
        <v/>
      </c>
      <c r="N21" s="17">
        <f>IFERROR(INDEX(Material_Detail!$D:$DC,MATCH($D21,Material_Detail!$DE:$DE,0),$P$7+6),0)</f>
        <v/>
      </c>
      <c r="O21" s="17">
        <f>IFERROR(INDEX(Material_Detail!$D:$DC,MATCH($D21,Material_Detail!$DE:$DE,0),$P$7+7),0)</f>
        <v/>
      </c>
      <c r="P21" s="17">
        <f>IFERROR(INDEX(Material_Detail!$D:$DC,MATCH($D21,Material_Detail!$DE:$DE,0),$P$7+8),0)</f>
        <v/>
      </c>
      <c r="Q21" s="17">
        <f>IFERROR(INDEX(Material_Detail!$D:$DC,MATCH($D21,Material_Detail!$DE:$DE,0),$P$7+9),0)</f>
        <v/>
      </c>
      <c r="R21" s="17">
        <f>IFERROR(INDEX(Material_Detail!$D:$DC,MATCH($D21,Material_Detail!$DE:$DE,0),$P$7+10),0)</f>
        <v/>
      </c>
      <c r="S21" s="17">
        <f>IFERROR(INDEX(Material_Detail!$D:$DC,MATCH($D21,Material_Detail!$DE:$DE,0),$P$7+11),0)</f>
        <v/>
      </c>
      <c r="T21" s="17">
        <f>IFERROR(INDEX(Material_Detail!$D:$DC,MATCH($D21,Material_Detail!$DE:$DE,0),$P$7+12),0)</f>
        <v/>
      </c>
      <c r="U21" s="17">
        <f>SUM(H21:T21)</f>
        <v/>
      </c>
    </row>
    <row r="22">
      <c r="B22" s="19">
        <f>IFERROR(INDEX(M_RawMaterials[Description],MATCH("3TP",M_RawMaterials[Part Name],0)),"")</f>
        <v/>
      </c>
      <c r="C22" s="19" t="inlineStr"/>
      <c r="D22" s="19" t="inlineStr">
        <is>
          <t>3TP</t>
        </is>
      </c>
      <c r="E22" s="19" t="inlineStr">
        <is>
          <t>kg</t>
        </is>
      </c>
      <c r="F22" s="19">
        <f>IFERROR(INDEX(M_RawMaterials[基準在庫下限_要入力],MATCH("3TP",M_RawMaterials[Part Name],0)),0)</f>
        <v/>
      </c>
      <c r="G22" s="19">
        <f>INDEX(Grid_Stock[#Data],MATCH($D22,Grid_Stock[Part Name],0),$P$7)</f>
        <v/>
      </c>
      <c r="H22" s="19">
        <f>IFERROR(INDEX(Material_Detail!$D:$DC,MATCH($D22,Material_Detail!$DE:$DE,0),$P$7+0),0)</f>
        <v/>
      </c>
      <c r="I22" s="19">
        <f>IFERROR(INDEX(Material_Detail!$D:$DC,MATCH($D22,Material_Detail!$DE:$DE,0),$P$7+1),0)</f>
        <v/>
      </c>
      <c r="J22" s="19">
        <f>IFERROR(INDEX(Material_Detail!$D:$DC,MATCH($D22,Material_Detail!$DE:$DE,0),$P$7+2),0)</f>
        <v/>
      </c>
      <c r="K22" s="19">
        <f>IFERROR(INDEX(Material_Detail!$D:$DC,MATCH($D22,Material_Detail!$DE:$DE,0),$P$7+3),0)</f>
        <v/>
      </c>
      <c r="L22" s="19">
        <f>IFERROR(INDEX(Material_Detail!$D:$DC,MATCH($D22,Material_Detail!$DE:$DE,0),$P$7+4),0)</f>
        <v/>
      </c>
      <c r="M22" s="19">
        <f>IFERROR(INDEX(Material_Detail!$D:$DC,MATCH($D22,Material_Detail!$DE:$DE,0),$P$7+5),0)</f>
        <v/>
      </c>
      <c r="N22" s="19">
        <f>IFERROR(INDEX(Material_Detail!$D:$DC,MATCH($D22,Material_Detail!$DE:$DE,0),$P$7+6),0)</f>
        <v/>
      </c>
      <c r="O22" s="19">
        <f>IFERROR(INDEX(Material_Detail!$D:$DC,MATCH($D22,Material_Detail!$DE:$DE,0),$P$7+7),0)</f>
        <v/>
      </c>
      <c r="P22" s="19">
        <f>IFERROR(INDEX(Material_Detail!$D:$DC,MATCH($D22,Material_Detail!$DE:$DE,0),$P$7+8),0)</f>
        <v/>
      </c>
      <c r="Q22" s="19">
        <f>IFERROR(INDEX(Material_Detail!$D:$DC,MATCH($D22,Material_Detail!$DE:$DE,0),$P$7+9),0)</f>
        <v/>
      </c>
      <c r="R22" s="19">
        <f>IFERROR(INDEX(Material_Detail!$D:$DC,MATCH($D22,Material_Detail!$DE:$DE,0),$P$7+10),0)</f>
        <v/>
      </c>
      <c r="S22" s="19">
        <f>IFERROR(INDEX(Material_Detail!$D:$DC,MATCH($D22,Material_Detail!$DE:$DE,0),$P$7+11),0)</f>
        <v/>
      </c>
      <c r="T22" s="19">
        <f>IFERROR(INDEX(Material_Detail!$D:$DC,MATCH($D22,Material_Detail!$DE:$DE,0),$P$7+12),0)</f>
        <v/>
      </c>
      <c r="U22" s="19">
        <f>SUM(H22:T22)</f>
        <v/>
      </c>
    </row>
    <row r="23">
      <c r="B23" s="17">
        <f>IFERROR(INDEX(M_RawMaterials[Description],MATCH("KEJ",M_RawMaterials[Part Name],0)),"")</f>
        <v/>
      </c>
      <c r="C23" s="17" t="inlineStr">
        <is>
          <t>N90S27R08</t>
        </is>
      </c>
      <c r="D23" s="17" t="inlineStr">
        <is>
          <t>KEJ</t>
        </is>
      </c>
      <c r="E23" s="17" t="inlineStr">
        <is>
          <t>kg</t>
        </is>
      </c>
      <c r="F23" s="17">
        <f>IFERROR(INDEX(M_RawMaterials[基準在庫下限_要入力],MATCH("KEJ",M_RawMaterials[Part Name],0)),0)</f>
        <v/>
      </c>
      <c r="G23" s="17">
        <f>INDEX(Grid_Stock[#Data],MATCH($D23,Grid_Stock[Part Name],0),$P$7)</f>
        <v/>
      </c>
      <c r="H23" s="17">
        <f>IFERROR(INDEX(Material_Detail!$D:$DC,MATCH($D23,Material_Detail!$DE:$DE,0),$P$7+0),0)</f>
        <v/>
      </c>
      <c r="I23" s="17">
        <f>IFERROR(INDEX(Material_Detail!$D:$DC,MATCH($D23,Material_Detail!$DE:$DE,0),$P$7+1),0)</f>
        <v/>
      </c>
      <c r="J23" s="17">
        <f>IFERROR(INDEX(Material_Detail!$D:$DC,MATCH($D23,Material_Detail!$DE:$DE,0),$P$7+2),0)</f>
        <v/>
      </c>
      <c r="K23" s="17">
        <f>IFERROR(INDEX(Material_Detail!$D:$DC,MATCH($D23,Material_Detail!$DE:$DE,0),$P$7+3),0)</f>
        <v/>
      </c>
      <c r="L23" s="17">
        <f>IFERROR(INDEX(Material_Detail!$D:$DC,MATCH($D23,Material_Detail!$DE:$DE,0),$P$7+4),0)</f>
        <v/>
      </c>
      <c r="M23" s="17">
        <f>IFERROR(INDEX(Material_Detail!$D:$DC,MATCH($D23,Material_Detail!$DE:$DE,0),$P$7+5),0)</f>
        <v/>
      </c>
      <c r="N23" s="17">
        <f>IFERROR(INDEX(Material_Detail!$D:$DC,MATCH($D23,Material_Detail!$DE:$DE,0),$P$7+6),0)</f>
        <v/>
      </c>
      <c r="O23" s="17">
        <f>IFERROR(INDEX(Material_Detail!$D:$DC,MATCH($D23,Material_Detail!$DE:$DE,0),$P$7+7),0)</f>
        <v/>
      </c>
      <c r="P23" s="17">
        <f>IFERROR(INDEX(Material_Detail!$D:$DC,MATCH($D23,Material_Detail!$DE:$DE,0),$P$7+8),0)</f>
        <v/>
      </c>
      <c r="Q23" s="17">
        <f>IFERROR(INDEX(Material_Detail!$D:$DC,MATCH($D23,Material_Detail!$DE:$DE,0),$P$7+9),0)</f>
        <v/>
      </c>
      <c r="R23" s="17">
        <f>IFERROR(INDEX(Material_Detail!$D:$DC,MATCH($D23,Material_Detail!$DE:$DE,0),$P$7+10),0)</f>
        <v/>
      </c>
      <c r="S23" s="17">
        <f>IFERROR(INDEX(Material_Detail!$D:$DC,MATCH($D23,Material_Detail!$DE:$DE,0),$P$7+11),0)</f>
        <v/>
      </c>
      <c r="T23" s="17">
        <f>IFERROR(INDEX(Material_Detail!$D:$DC,MATCH($D23,Material_Detail!$DE:$DE,0),$P$7+12),0)</f>
        <v/>
      </c>
      <c r="U23" s="17">
        <f>SUM(H23:T23)</f>
        <v/>
      </c>
    </row>
    <row r="24">
      <c r="B24" s="19">
        <f>IFERROR(INDEX(M_RawMaterials[Description],MATCH("JEJ",M_RawMaterials[Part Name],0)),"")</f>
        <v/>
      </c>
      <c r="C24" s="19" t="inlineStr">
        <is>
          <t>N90S29R08</t>
        </is>
      </c>
      <c r="D24" s="19" t="inlineStr">
        <is>
          <t>JEJ</t>
        </is>
      </c>
      <c r="E24" s="19" t="inlineStr">
        <is>
          <t>kg</t>
        </is>
      </c>
      <c r="F24" s="19">
        <f>IFERROR(INDEX(M_RawMaterials[基準在庫下限_要入力],MATCH("JEJ",M_RawMaterials[Part Name],0)),0)</f>
        <v/>
      </c>
      <c r="G24" s="19">
        <f>INDEX(Grid_Stock[#Data],MATCH($D24,Grid_Stock[Part Name],0),$P$7)</f>
        <v/>
      </c>
      <c r="H24" s="19">
        <f>IFERROR(INDEX(Material_Detail!$D:$DC,MATCH($D24,Material_Detail!$DE:$DE,0),$P$7+0),0)</f>
        <v/>
      </c>
      <c r="I24" s="19">
        <f>IFERROR(INDEX(Material_Detail!$D:$DC,MATCH($D24,Material_Detail!$DE:$DE,0),$P$7+1),0)</f>
        <v/>
      </c>
      <c r="J24" s="19">
        <f>IFERROR(INDEX(Material_Detail!$D:$DC,MATCH($D24,Material_Detail!$DE:$DE,0),$P$7+2),0)</f>
        <v/>
      </c>
      <c r="K24" s="19">
        <f>IFERROR(INDEX(Material_Detail!$D:$DC,MATCH($D24,Material_Detail!$DE:$DE,0),$P$7+3),0)</f>
        <v/>
      </c>
      <c r="L24" s="19">
        <f>IFERROR(INDEX(Material_Detail!$D:$DC,MATCH($D24,Material_Detail!$DE:$DE,0),$P$7+4),0)</f>
        <v/>
      </c>
      <c r="M24" s="19">
        <f>IFERROR(INDEX(Material_Detail!$D:$DC,MATCH($D24,Material_Detail!$DE:$DE,0),$P$7+5),0)</f>
        <v/>
      </c>
      <c r="N24" s="19">
        <f>IFERROR(INDEX(Material_Detail!$D:$DC,MATCH($D24,Material_Detail!$DE:$DE,0),$P$7+6),0)</f>
        <v/>
      </c>
      <c r="O24" s="19">
        <f>IFERROR(INDEX(Material_Detail!$D:$DC,MATCH($D24,Material_Detail!$DE:$DE,0),$P$7+7),0)</f>
        <v/>
      </c>
      <c r="P24" s="19">
        <f>IFERROR(INDEX(Material_Detail!$D:$DC,MATCH($D24,Material_Detail!$DE:$DE,0),$P$7+8),0)</f>
        <v/>
      </c>
      <c r="Q24" s="19">
        <f>IFERROR(INDEX(Material_Detail!$D:$DC,MATCH($D24,Material_Detail!$DE:$DE,0),$P$7+9),0)</f>
        <v/>
      </c>
      <c r="R24" s="19">
        <f>IFERROR(INDEX(Material_Detail!$D:$DC,MATCH($D24,Material_Detail!$DE:$DE,0),$P$7+10),0)</f>
        <v/>
      </c>
      <c r="S24" s="19">
        <f>IFERROR(INDEX(Material_Detail!$D:$DC,MATCH($D24,Material_Detail!$DE:$DE,0),$P$7+11),0)</f>
        <v/>
      </c>
      <c r="T24" s="19">
        <f>IFERROR(INDEX(Material_Detail!$D:$DC,MATCH($D24,Material_Detail!$DE:$DE,0),$P$7+12),0)</f>
        <v/>
      </c>
      <c r="U24" s="19">
        <f>SUM(H24:T24)</f>
        <v/>
      </c>
    </row>
    <row r="25">
      <c r="B25" s="17">
        <f>IFERROR(INDEX(M_RawMaterials[Description],MATCH("YAN",M_RawMaterials[Part Name],0)),"")</f>
        <v/>
      </c>
      <c r="C25" s="17" t="inlineStr">
        <is>
          <t>18465F2100Z</t>
        </is>
      </c>
      <c r="D25" s="17" t="inlineStr">
        <is>
          <t>YAN</t>
        </is>
      </c>
      <c r="E25" s="17" t="inlineStr">
        <is>
          <t>kg</t>
        </is>
      </c>
      <c r="F25" s="17">
        <f>IFERROR(INDEX(M_RawMaterials[基準在庫下限_要入力],MATCH("YAN",M_RawMaterials[Part Name],0)),0)</f>
        <v/>
      </c>
      <c r="G25" s="17">
        <f>INDEX(Grid_Stock[#Data],MATCH($D25,Grid_Stock[Part Name],0),$P$7)</f>
        <v/>
      </c>
      <c r="H25" s="17">
        <f>IFERROR(INDEX(Material_Detail!$D:$DC,MATCH($D25,Material_Detail!$DE:$DE,0),$P$7+0),0)</f>
        <v/>
      </c>
      <c r="I25" s="17">
        <f>IFERROR(INDEX(Material_Detail!$D:$DC,MATCH($D25,Material_Detail!$DE:$DE,0),$P$7+1),0)</f>
        <v/>
      </c>
      <c r="J25" s="17">
        <f>IFERROR(INDEX(Material_Detail!$D:$DC,MATCH($D25,Material_Detail!$DE:$DE,0),$P$7+2),0)</f>
        <v/>
      </c>
      <c r="K25" s="17">
        <f>IFERROR(INDEX(Material_Detail!$D:$DC,MATCH($D25,Material_Detail!$DE:$DE,0),$P$7+3),0)</f>
        <v/>
      </c>
      <c r="L25" s="17">
        <f>IFERROR(INDEX(Material_Detail!$D:$DC,MATCH($D25,Material_Detail!$DE:$DE,0),$P$7+4),0)</f>
        <v/>
      </c>
      <c r="M25" s="17">
        <f>IFERROR(INDEX(Material_Detail!$D:$DC,MATCH($D25,Material_Detail!$DE:$DE,0),$P$7+5),0)</f>
        <v/>
      </c>
      <c r="N25" s="17">
        <f>IFERROR(INDEX(Material_Detail!$D:$DC,MATCH($D25,Material_Detail!$DE:$DE,0),$P$7+6),0)</f>
        <v/>
      </c>
      <c r="O25" s="17">
        <f>IFERROR(INDEX(Material_Detail!$D:$DC,MATCH($D25,Material_Detail!$DE:$DE,0),$P$7+7),0)</f>
        <v/>
      </c>
      <c r="P25" s="17">
        <f>IFERROR(INDEX(Material_Detail!$D:$DC,MATCH($D25,Material_Detail!$DE:$DE,0),$P$7+8),0)</f>
        <v/>
      </c>
      <c r="Q25" s="17">
        <f>IFERROR(INDEX(Material_Detail!$D:$DC,MATCH($D25,Material_Detail!$DE:$DE,0),$P$7+9),0)</f>
        <v/>
      </c>
      <c r="R25" s="17">
        <f>IFERROR(INDEX(Material_Detail!$D:$DC,MATCH($D25,Material_Detail!$DE:$DE,0),$P$7+10),0)</f>
        <v/>
      </c>
      <c r="S25" s="17">
        <f>IFERROR(INDEX(Material_Detail!$D:$DC,MATCH($D25,Material_Detail!$DE:$DE,0),$P$7+11),0)</f>
        <v/>
      </c>
      <c r="T25" s="17">
        <f>IFERROR(INDEX(Material_Detail!$D:$DC,MATCH($D25,Material_Detail!$DE:$DE,0),$P$7+12),0)</f>
        <v/>
      </c>
      <c r="U25" s="17">
        <f>SUM(H25:T25)</f>
        <v/>
      </c>
    </row>
    <row r="26">
      <c r="B26" s="19">
        <f>IFERROR(INDEX(M_RawMaterials[Description],MATCH("ABN",M_RawMaterials[Part Name],0)),"")</f>
        <v/>
      </c>
      <c r="C26" s="19" t="inlineStr">
        <is>
          <t>18465F3050Z</t>
        </is>
      </c>
      <c r="D26" s="19" t="inlineStr">
        <is>
          <t>ABN</t>
        </is>
      </c>
      <c r="E26" s="19" t="inlineStr">
        <is>
          <t>kg</t>
        </is>
      </c>
      <c r="F26" s="19">
        <f>IFERROR(INDEX(M_RawMaterials[基準在庫下限_要入力],MATCH("ABN",M_RawMaterials[Part Name],0)),0)</f>
        <v/>
      </c>
      <c r="G26" s="19">
        <f>INDEX(Grid_Stock[#Data],MATCH($D26,Grid_Stock[Part Name],0),$P$7)</f>
        <v/>
      </c>
      <c r="H26" s="19">
        <f>IFERROR(INDEX(Material_Detail!$D:$DC,MATCH($D26,Material_Detail!$DE:$DE,0),$P$7+0),0)</f>
        <v/>
      </c>
      <c r="I26" s="19">
        <f>IFERROR(INDEX(Material_Detail!$D:$DC,MATCH($D26,Material_Detail!$DE:$DE,0),$P$7+1),0)</f>
        <v/>
      </c>
      <c r="J26" s="19">
        <f>IFERROR(INDEX(Material_Detail!$D:$DC,MATCH($D26,Material_Detail!$DE:$DE,0),$P$7+2),0)</f>
        <v/>
      </c>
      <c r="K26" s="19">
        <f>IFERROR(INDEX(Material_Detail!$D:$DC,MATCH($D26,Material_Detail!$DE:$DE,0),$P$7+3),0)</f>
        <v/>
      </c>
      <c r="L26" s="19">
        <f>IFERROR(INDEX(Material_Detail!$D:$DC,MATCH($D26,Material_Detail!$DE:$DE,0),$P$7+4),0)</f>
        <v/>
      </c>
      <c r="M26" s="19">
        <f>IFERROR(INDEX(Material_Detail!$D:$DC,MATCH($D26,Material_Detail!$DE:$DE,0),$P$7+5),0)</f>
        <v/>
      </c>
      <c r="N26" s="19">
        <f>IFERROR(INDEX(Material_Detail!$D:$DC,MATCH($D26,Material_Detail!$DE:$DE,0),$P$7+6),0)</f>
        <v/>
      </c>
      <c r="O26" s="19">
        <f>IFERROR(INDEX(Material_Detail!$D:$DC,MATCH($D26,Material_Detail!$DE:$DE,0),$P$7+7),0)</f>
        <v/>
      </c>
      <c r="P26" s="19">
        <f>IFERROR(INDEX(Material_Detail!$D:$DC,MATCH($D26,Material_Detail!$DE:$DE,0),$P$7+8),0)</f>
        <v/>
      </c>
      <c r="Q26" s="19">
        <f>IFERROR(INDEX(Material_Detail!$D:$DC,MATCH($D26,Material_Detail!$DE:$DE,0),$P$7+9),0)</f>
        <v/>
      </c>
      <c r="R26" s="19">
        <f>IFERROR(INDEX(Material_Detail!$D:$DC,MATCH($D26,Material_Detail!$DE:$DE,0),$P$7+10),0)</f>
        <v/>
      </c>
      <c r="S26" s="19">
        <f>IFERROR(INDEX(Material_Detail!$D:$DC,MATCH($D26,Material_Detail!$DE:$DE,0),$P$7+11),0)</f>
        <v/>
      </c>
      <c r="T26" s="19">
        <f>IFERROR(INDEX(Material_Detail!$D:$DC,MATCH($D26,Material_Detail!$DE:$DE,0),$P$7+12),0)</f>
        <v/>
      </c>
      <c r="U26" s="19">
        <f>SUM(H26:T26)</f>
        <v/>
      </c>
    </row>
    <row r="27">
      <c r="B27" s="17">
        <f>IFERROR(INDEX(M_RawMaterials[Description],MATCH("OLJ",M_RawMaterials[Part Name],0)),"")</f>
        <v/>
      </c>
      <c r="C27" s="17" t="inlineStr"/>
      <c r="D27" s="17" t="inlineStr">
        <is>
          <t>OLJ</t>
        </is>
      </c>
      <c r="E27" s="17" t="inlineStr">
        <is>
          <t>kg</t>
        </is>
      </c>
      <c r="F27" s="17">
        <f>IFERROR(INDEX(M_RawMaterials[基準在庫下限_要入力],MATCH("OLJ",M_RawMaterials[Part Name],0)),0)</f>
        <v/>
      </c>
      <c r="G27" s="17">
        <f>INDEX(Grid_Stock[#Data],MATCH($D27,Grid_Stock[Part Name],0),$P$7)</f>
        <v/>
      </c>
      <c r="H27" s="17">
        <f>IFERROR(INDEX(Material_Detail!$D:$DC,MATCH($D27,Material_Detail!$DE:$DE,0),$P$7+0),0)</f>
        <v/>
      </c>
      <c r="I27" s="17">
        <f>IFERROR(INDEX(Material_Detail!$D:$DC,MATCH($D27,Material_Detail!$DE:$DE,0),$P$7+1),0)</f>
        <v/>
      </c>
      <c r="J27" s="17">
        <f>IFERROR(INDEX(Material_Detail!$D:$DC,MATCH($D27,Material_Detail!$DE:$DE,0),$P$7+2),0)</f>
        <v/>
      </c>
      <c r="K27" s="17">
        <f>IFERROR(INDEX(Material_Detail!$D:$DC,MATCH($D27,Material_Detail!$DE:$DE,0),$P$7+3),0)</f>
        <v/>
      </c>
      <c r="L27" s="17">
        <f>IFERROR(INDEX(Material_Detail!$D:$DC,MATCH($D27,Material_Detail!$DE:$DE,0),$P$7+4),0)</f>
        <v/>
      </c>
      <c r="M27" s="17">
        <f>IFERROR(INDEX(Material_Detail!$D:$DC,MATCH($D27,Material_Detail!$DE:$DE,0),$P$7+5),0)</f>
        <v/>
      </c>
      <c r="N27" s="17">
        <f>IFERROR(INDEX(Material_Detail!$D:$DC,MATCH($D27,Material_Detail!$DE:$DE,0),$P$7+6),0)</f>
        <v/>
      </c>
      <c r="O27" s="17">
        <f>IFERROR(INDEX(Material_Detail!$D:$DC,MATCH($D27,Material_Detail!$DE:$DE,0),$P$7+7),0)</f>
        <v/>
      </c>
      <c r="P27" s="17">
        <f>IFERROR(INDEX(Material_Detail!$D:$DC,MATCH($D27,Material_Detail!$DE:$DE,0),$P$7+8),0)</f>
        <v/>
      </c>
      <c r="Q27" s="17">
        <f>IFERROR(INDEX(Material_Detail!$D:$DC,MATCH($D27,Material_Detail!$DE:$DE,0),$P$7+9),0)</f>
        <v/>
      </c>
      <c r="R27" s="17">
        <f>IFERROR(INDEX(Material_Detail!$D:$DC,MATCH($D27,Material_Detail!$DE:$DE,0),$P$7+10),0)</f>
        <v/>
      </c>
      <c r="S27" s="17">
        <f>IFERROR(INDEX(Material_Detail!$D:$DC,MATCH($D27,Material_Detail!$DE:$DE,0),$P$7+11),0)</f>
        <v/>
      </c>
      <c r="T27" s="17">
        <f>IFERROR(INDEX(Material_Detail!$D:$DC,MATCH($D27,Material_Detail!$DE:$DE,0),$P$7+12),0)</f>
        <v/>
      </c>
      <c r="U27" s="17">
        <f>SUM(H27:T27)</f>
        <v/>
      </c>
    </row>
    <row r="28">
      <c r="B28" s="19">
        <f>IFERROR(INDEX(M_RawMaterials[Description],MATCH("5SN",M_RawMaterials[Part Name],0)),"")</f>
        <v/>
      </c>
      <c r="C28" s="19" t="inlineStr"/>
      <c r="D28" s="19" t="inlineStr">
        <is>
          <t>5SN</t>
        </is>
      </c>
      <c r="E28" s="19" t="inlineStr">
        <is>
          <t>kg</t>
        </is>
      </c>
      <c r="F28" s="19">
        <f>IFERROR(INDEX(M_RawMaterials[基準在庫下限_要入力],MATCH("5SN",M_RawMaterials[Part Name],0)),0)</f>
        <v/>
      </c>
      <c r="G28" s="19">
        <f>INDEX(Grid_Stock[#Data],MATCH($D28,Grid_Stock[Part Name],0),$P$7)</f>
        <v/>
      </c>
      <c r="H28" s="19">
        <f>IFERROR(INDEX(Material_Detail!$D:$DC,MATCH($D28,Material_Detail!$DE:$DE,0),$P$7+0),0)</f>
        <v/>
      </c>
      <c r="I28" s="19">
        <f>IFERROR(INDEX(Material_Detail!$D:$DC,MATCH($D28,Material_Detail!$DE:$DE,0),$P$7+1),0)</f>
        <v/>
      </c>
      <c r="J28" s="19">
        <f>IFERROR(INDEX(Material_Detail!$D:$DC,MATCH($D28,Material_Detail!$DE:$DE,0),$P$7+2),0)</f>
        <v/>
      </c>
      <c r="K28" s="19">
        <f>IFERROR(INDEX(Material_Detail!$D:$DC,MATCH($D28,Material_Detail!$DE:$DE,0),$P$7+3),0)</f>
        <v/>
      </c>
      <c r="L28" s="19">
        <f>IFERROR(INDEX(Material_Detail!$D:$DC,MATCH($D28,Material_Detail!$DE:$DE,0),$P$7+4),0)</f>
        <v/>
      </c>
      <c r="M28" s="19">
        <f>IFERROR(INDEX(Material_Detail!$D:$DC,MATCH($D28,Material_Detail!$DE:$DE,0),$P$7+5),0)</f>
        <v/>
      </c>
      <c r="N28" s="19">
        <f>IFERROR(INDEX(Material_Detail!$D:$DC,MATCH($D28,Material_Detail!$DE:$DE,0),$P$7+6),0)</f>
        <v/>
      </c>
      <c r="O28" s="19">
        <f>IFERROR(INDEX(Material_Detail!$D:$DC,MATCH($D28,Material_Detail!$DE:$DE,0),$P$7+7),0)</f>
        <v/>
      </c>
      <c r="P28" s="19">
        <f>IFERROR(INDEX(Material_Detail!$D:$DC,MATCH($D28,Material_Detail!$DE:$DE,0),$P$7+8),0)</f>
        <v/>
      </c>
      <c r="Q28" s="19">
        <f>IFERROR(INDEX(Material_Detail!$D:$DC,MATCH($D28,Material_Detail!$DE:$DE,0),$P$7+9),0)</f>
        <v/>
      </c>
      <c r="R28" s="19">
        <f>IFERROR(INDEX(Material_Detail!$D:$DC,MATCH($D28,Material_Detail!$DE:$DE,0),$P$7+10),0)</f>
        <v/>
      </c>
      <c r="S28" s="19">
        <f>IFERROR(INDEX(Material_Detail!$D:$DC,MATCH($D28,Material_Detail!$DE:$DE,0),$P$7+11),0)</f>
        <v/>
      </c>
      <c r="T28" s="19">
        <f>IFERROR(INDEX(Material_Detail!$D:$DC,MATCH($D28,Material_Detail!$DE:$DE,0),$P$7+12),0)</f>
        <v/>
      </c>
      <c r="U28" s="19">
        <f>SUM(H28:T28)</f>
        <v/>
      </c>
    </row>
    <row r="29">
      <c r="B29" s="17">
        <f>IFERROR(INDEX(M_RawMaterials[Description],MATCH("8EN",M_RawMaterials[Part Name],0)),"")</f>
        <v/>
      </c>
      <c r="C29" s="17" t="inlineStr"/>
      <c r="D29" s="17" t="inlineStr">
        <is>
          <t>8EN</t>
        </is>
      </c>
      <c r="E29" s="17" t="inlineStr">
        <is>
          <t>kg</t>
        </is>
      </c>
      <c r="F29" s="17">
        <f>IFERROR(INDEX(M_RawMaterials[基準在庫下限_要入力],MATCH("8EN",M_RawMaterials[Part Name],0)),0)</f>
        <v/>
      </c>
      <c r="G29" s="17">
        <f>INDEX(Grid_Stock[#Data],MATCH($D29,Grid_Stock[Part Name],0),$P$7)</f>
        <v/>
      </c>
      <c r="H29" s="17">
        <f>IFERROR(INDEX(Material_Detail!$D:$DC,MATCH($D29,Material_Detail!$DE:$DE,0),$P$7+0),0)</f>
        <v/>
      </c>
      <c r="I29" s="17">
        <f>IFERROR(INDEX(Material_Detail!$D:$DC,MATCH($D29,Material_Detail!$DE:$DE,0),$P$7+1),0)</f>
        <v/>
      </c>
      <c r="J29" s="17">
        <f>IFERROR(INDEX(Material_Detail!$D:$DC,MATCH($D29,Material_Detail!$DE:$DE,0),$P$7+2),0)</f>
        <v/>
      </c>
      <c r="K29" s="17">
        <f>IFERROR(INDEX(Material_Detail!$D:$DC,MATCH($D29,Material_Detail!$DE:$DE,0),$P$7+3),0)</f>
        <v/>
      </c>
      <c r="L29" s="17">
        <f>IFERROR(INDEX(Material_Detail!$D:$DC,MATCH($D29,Material_Detail!$DE:$DE,0),$P$7+4),0)</f>
        <v/>
      </c>
      <c r="M29" s="17">
        <f>IFERROR(INDEX(Material_Detail!$D:$DC,MATCH($D29,Material_Detail!$DE:$DE,0),$P$7+5),0)</f>
        <v/>
      </c>
      <c r="N29" s="17">
        <f>IFERROR(INDEX(Material_Detail!$D:$DC,MATCH($D29,Material_Detail!$DE:$DE,0),$P$7+6),0)</f>
        <v/>
      </c>
      <c r="O29" s="17">
        <f>IFERROR(INDEX(Material_Detail!$D:$DC,MATCH($D29,Material_Detail!$DE:$DE,0),$P$7+7),0)</f>
        <v/>
      </c>
      <c r="P29" s="17">
        <f>IFERROR(INDEX(Material_Detail!$D:$DC,MATCH($D29,Material_Detail!$DE:$DE,0),$P$7+8),0)</f>
        <v/>
      </c>
      <c r="Q29" s="17">
        <f>IFERROR(INDEX(Material_Detail!$D:$DC,MATCH($D29,Material_Detail!$DE:$DE,0),$P$7+9),0)</f>
        <v/>
      </c>
      <c r="R29" s="17">
        <f>IFERROR(INDEX(Material_Detail!$D:$DC,MATCH($D29,Material_Detail!$DE:$DE,0),$P$7+10),0)</f>
        <v/>
      </c>
      <c r="S29" s="17">
        <f>IFERROR(INDEX(Material_Detail!$D:$DC,MATCH($D29,Material_Detail!$DE:$DE,0),$P$7+11),0)</f>
        <v/>
      </c>
      <c r="T29" s="17">
        <f>IFERROR(INDEX(Material_Detail!$D:$DC,MATCH($D29,Material_Detail!$DE:$DE,0),$P$7+12),0)</f>
        <v/>
      </c>
      <c r="U29" s="17">
        <f>SUM(H29:T29)</f>
        <v/>
      </c>
    </row>
    <row r="30">
      <c r="B30" s="19">
        <f>IFERROR(INDEX(M_RawMaterials[Description],MATCH("9RJ",M_RawMaterials[Part Name],0)),"")</f>
        <v/>
      </c>
      <c r="C30" s="19" t="inlineStr"/>
      <c r="D30" s="19" t="inlineStr">
        <is>
          <t>9RJ</t>
        </is>
      </c>
      <c r="E30" s="19" t="inlineStr">
        <is>
          <t>kg</t>
        </is>
      </c>
      <c r="F30" s="19">
        <f>IFERROR(INDEX(M_RawMaterials[基準在庫下限_要入力],MATCH("9RJ",M_RawMaterials[Part Name],0)),0)</f>
        <v/>
      </c>
      <c r="G30" s="19">
        <f>INDEX(Grid_Stock[#Data],MATCH($D30,Grid_Stock[Part Name],0),$P$7)</f>
        <v/>
      </c>
      <c r="H30" s="19">
        <f>IFERROR(INDEX(Material_Detail!$D:$DC,MATCH($D30,Material_Detail!$DE:$DE,0),$P$7+0),0)</f>
        <v/>
      </c>
      <c r="I30" s="19">
        <f>IFERROR(INDEX(Material_Detail!$D:$DC,MATCH($D30,Material_Detail!$DE:$DE,0),$P$7+1),0)</f>
        <v/>
      </c>
      <c r="J30" s="19">
        <f>IFERROR(INDEX(Material_Detail!$D:$DC,MATCH($D30,Material_Detail!$DE:$DE,0),$P$7+2),0)</f>
        <v/>
      </c>
      <c r="K30" s="19">
        <f>IFERROR(INDEX(Material_Detail!$D:$DC,MATCH($D30,Material_Detail!$DE:$DE,0),$P$7+3),0)</f>
        <v/>
      </c>
      <c r="L30" s="19">
        <f>IFERROR(INDEX(Material_Detail!$D:$DC,MATCH($D30,Material_Detail!$DE:$DE,0),$P$7+4),0)</f>
        <v/>
      </c>
      <c r="M30" s="19">
        <f>IFERROR(INDEX(Material_Detail!$D:$DC,MATCH($D30,Material_Detail!$DE:$DE,0),$P$7+5),0)</f>
        <v/>
      </c>
      <c r="N30" s="19">
        <f>IFERROR(INDEX(Material_Detail!$D:$DC,MATCH($D30,Material_Detail!$DE:$DE,0),$P$7+6),0)</f>
        <v/>
      </c>
      <c r="O30" s="19">
        <f>IFERROR(INDEX(Material_Detail!$D:$DC,MATCH($D30,Material_Detail!$DE:$DE,0),$P$7+7),0)</f>
        <v/>
      </c>
      <c r="P30" s="19">
        <f>IFERROR(INDEX(Material_Detail!$D:$DC,MATCH($D30,Material_Detail!$DE:$DE,0),$P$7+8),0)</f>
        <v/>
      </c>
      <c r="Q30" s="19">
        <f>IFERROR(INDEX(Material_Detail!$D:$DC,MATCH($D30,Material_Detail!$DE:$DE,0),$P$7+9),0)</f>
        <v/>
      </c>
      <c r="R30" s="19">
        <f>IFERROR(INDEX(Material_Detail!$D:$DC,MATCH($D30,Material_Detail!$DE:$DE,0),$P$7+10),0)</f>
        <v/>
      </c>
      <c r="S30" s="19">
        <f>IFERROR(INDEX(Material_Detail!$D:$DC,MATCH($D30,Material_Detail!$DE:$DE,0),$P$7+11),0)</f>
        <v/>
      </c>
      <c r="T30" s="19">
        <f>IFERROR(INDEX(Material_Detail!$D:$DC,MATCH($D30,Material_Detail!$DE:$DE,0),$P$7+12),0)</f>
        <v/>
      </c>
      <c r="U30" s="19">
        <f>SUM(H30:T30)</f>
        <v/>
      </c>
    </row>
    <row r="31">
      <c r="B31" s="17">
        <f>IFERROR(INDEX(M_RawMaterials[Description],MATCH("5JK",M_RawMaterials[Part Name],0)),"")</f>
        <v/>
      </c>
      <c r="C31" s="17" t="inlineStr"/>
      <c r="D31" s="17" t="inlineStr">
        <is>
          <t>5JK</t>
        </is>
      </c>
      <c r="E31" s="17" t="inlineStr">
        <is>
          <t>kg</t>
        </is>
      </c>
      <c r="F31" s="17">
        <f>IFERROR(INDEX(M_RawMaterials[基準在庫下限_要入力],MATCH("5JK",M_RawMaterials[Part Name],0)),0)</f>
        <v/>
      </c>
      <c r="G31" s="17">
        <f>INDEX(Grid_Stock[#Data],MATCH($D31,Grid_Stock[Part Name],0),$P$7)</f>
        <v/>
      </c>
      <c r="H31" s="17">
        <f>IFERROR(INDEX(Material_Detail!$D:$DC,MATCH($D31,Material_Detail!$DE:$DE,0),$P$7+0),0)</f>
        <v/>
      </c>
      <c r="I31" s="17">
        <f>IFERROR(INDEX(Material_Detail!$D:$DC,MATCH($D31,Material_Detail!$DE:$DE,0),$P$7+1),0)</f>
        <v/>
      </c>
      <c r="J31" s="17">
        <f>IFERROR(INDEX(Material_Detail!$D:$DC,MATCH($D31,Material_Detail!$DE:$DE,0),$P$7+2),0)</f>
        <v/>
      </c>
      <c r="K31" s="17">
        <f>IFERROR(INDEX(Material_Detail!$D:$DC,MATCH($D31,Material_Detail!$DE:$DE,0),$P$7+3),0)</f>
        <v/>
      </c>
      <c r="L31" s="17">
        <f>IFERROR(INDEX(Material_Detail!$D:$DC,MATCH($D31,Material_Detail!$DE:$DE,0),$P$7+4),0)</f>
        <v/>
      </c>
      <c r="M31" s="17">
        <f>IFERROR(INDEX(Material_Detail!$D:$DC,MATCH($D31,Material_Detail!$DE:$DE,0),$P$7+5),0)</f>
        <v/>
      </c>
      <c r="N31" s="17">
        <f>IFERROR(INDEX(Material_Detail!$D:$DC,MATCH($D31,Material_Detail!$DE:$DE,0),$P$7+6),0)</f>
        <v/>
      </c>
      <c r="O31" s="17">
        <f>IFERROR(INDEX(Material_Detail!$D:$DC,MATCH($D31,Material_Detail!$DE:$DE,0),$P$7+7),0)</f>
        <v/>
      </c>
      <c r="P31" s="17">
        <f>IFERROR(INDEX(Material_Detail!$D:$DC,MATCH($D31,Material_Detail!$DE:$DE,0),$P$7+8),0)</f>
        <v/>
      </c>
      <c r="Q31" s="17">
        <f>IFERROR(INDEX(Material_Detail!$D:$DC,MATCH($D31,Material_Detail!$DE:$DE,0),$P$7+9),0)</f>
        <v/>
      </c>
      <c r="R31" s="17">
        <f>IFERROR(INDEX(Material_Detail!$D:$DC,MATCH($D31,Material_Detail!$DE:$DE,0),$P$7+10),0)</f>
        <v/>
      </c>
      <c r="S31" s="17">
        <f>IFERROR(INDEX(Material_Detail!$D:$DC,MATCH($D31,Material_Detail!$DE:$DE,0),$P$7+11),0)</f>
        <v/>
      </c>
      <c r="T31" s="17">
        <f>IFERROR(INDEX(Material_Detail!$D:$DC,MATCH($D31,Material_Detail!$DE:$DE,0),$P$7+12),0)</f>
        <v/>
      </c>
      <c r="U31" s="17">
        <f>SUM(H31:T31)</f>
        <v/>
      </c>
    </row>
    <row r="32">
      <c r="B32" s="19">
        <f>IFERROR(INDEX(M_RawMaterials[Description],MATCH("26F",M_RawMaterials[Part Name],0)),"")</f>
        <v/>
      </c>
      <c r="C32" s="19" t="inlineStr"/>
      <c r="D32" s="19" t="inlineStr">
        <is>
          <t>26F</t>
        </is>
      </c>
      <c r="E32" s="19" t="inlineStr">
        <is>
          <t>kg</t>
        </is>
      </c>
      <c r="F32" s="19">
        <f>IFERROR(INDEX(M_RawMaterials[基準在庫下限_要入力],MATCH("26F",M_RawMaterials[Part Name],0)),0)</f>
        <v/>
      </c>
      <c r="G32" s="19">
        <f>INDEX(Grid_Stock[#Data],MATCH($D32,Grid_Stock[Part Name],0),$P$7)</f>
        <v/>
      </c>
      <c r="H32" s="19">
        <f>IFERROR(INDEX(Material_Detail!$D:$DC,MATCH($D32,Material_Detail!$DE:$DE,0),$P$7+0),0)</f>
        <v/>
      </c>
      <c r="I32" s="19">
        <f>IFERROR(INDEX(Material_Detail!$D:$DC,MATCH($D32,Material_Detail!$DE:$DE,0),$P$7+1),0)</f>
        <v/>
      </c>
      <c r="J32" s="19">
        <f>IFERROR(INDEX(Material_Detail!$D:$DC,MATCH($D32,Material_Detail!$DE:$DE,0),$P$7+2),0)</f>
        <v/>
      </c>
      <c r="K32" s="19">
        <f>IFERROR(INDEX(Material_Detail!$D:$DC,MATCH($D32,Material_Detail!$DE:$DE,0),$P$7+3),0)</f>
        <v/>
      </c>
      <c r="L32" s="19">
        <f>IFERROR(INDEX(Material_Detail!$D:$DC,MATCH($D32,Material_Detail!$DE:$DE,0),$P$7+4),0)</f>
        <v/>
      </c>
      <c r="M32" s="19">
        <f>IFERROR(INDEX(Material_Detail!$D:$DC,MATCH($D32,Material_Detail!$DE:$DE,0),$P$7+5),0)</f>
        <v/>
      </c>
      <c r="N32" s="19">
        <f>IFERROR(INDEX(Material_Detail!$D:$DC,MATCH($D32,Material_Detail!$DE:$DE,0),$P$7+6),0)</f>
        <v/>
      </c>
      <c r="O32" s="19">
        <f>IFERROR(INDEX(Material_Detail!$D:$DC,MATCH($D32,Material_Detail!$DE:$DE,0),$P$7+7),0)</f>
        <v/>
      </c>
      <c r="P32" s="19">
        <f>IFERROR(INDEX(Material_Detail!$D:$DC,MATCH($D32,Material_Detail!$DE:$DE,0),$P$7+8),0)</f>
        <v/>
      </c>
      <c r="Q32" s="19">
        <f>IFERROR(INDEX(Material_Detail!$D:$DC,MATCH($D32,Material_Detail!$DE:$DE,0),$P$7+9),0)</f>
        <v/>
      </c>
      <c r="R32" s="19">
        <f>IFERROR(INDEX(Material_Detail!$D:$DC,MATCH($D32,Material_Detail!$DE:$DE,0),$P$7+10),0)</f>
        <v/>
      </c>
      <c r="S32" s="19">
        <f>IFERROR(INDEX(Material_Detail!$D:$DC,MATCH($D32,Material_Detail!$DE:$DE,0),$P$7+11),0)</f>
        <v/>
      </c>
      <c r="T32" s="19">
        <f>IFERROR(INDEX(Material_Detail!$D:$DC,MATCH($D32,Material_Detail!$DE:$DE,0),$P$7+12),0)</f>
        <v/>
      </c>
      <c r="U32" s="19">
        <f>SUM(H32:T32)</f>
        <v/>
      </c>
    </row>
    <row r="33">
      <c r="B33" s="17">
        <f>IFERROR(INDEX(M_RawMaterials[Description],MATCH("73K",M_RawMaterials[Part Name],0)),"")</f>
        <v/>
      </c>
      <c r="C33" s="17" t="inlineStr"/>
      <c r="D33" s="17" t="inlineStr">
        <is>
          <t>73K</t>
        </is>
      </c>
      <c r="E33" s="17" t="inlineStr">
        <is>
          <t>kg</t>
        </is>
      </c>
      <c r="F33" s="17">
        <f>IFERROR(INDEX(M_RawMaterials[基準在庫下限_要入力],MATCH("73K",M_RawMaterials[Part Name],0)),0)</f>
        <v/>
      </c>
      <c r="G33" s="17">
        <f>INDEX(Grid_Stock[#Data],MATCH($D33,Grid_Stock[Part Name],0),$P$7)</f>
        <v/>
      </c>
      <c r="H33" s="17">
        <f>IFERROR(INDEX(Material_Detail!$D:$DC,MATCH($D33,Material_Detail!$DE:$DE,0),$P$7+0),0)</f>
        <v/>
      </c>
      <c r="I33" s="17">
        <f>IFERROR(INDEX(Material_Detail!$D:$DC,MATCH($D33,Material_Detail!$DE:$DE,0),$P$7+1),0)</f>
        <v/>
      </c>
      <c r="J33" s="17">
        <f>IFERROR(INDEX(Material_Detail!$D:$DC,MATCH($D33,Material_Detail!$DE:$DE,0),$P$7+2),0)</f>
        <v/>
      </c>
      <c r="K33" s="17">
        <f>IFERROR(INDEX(Material_Detail!$D:$DC,MATCH($D33,Material_Detail!$DE:$DE,0),$P$7+3),0)</f>
        <v/>
      </c>
      <c r="L33" s="17">
        <f>IFERROR(INDEX(Material_Detail!$D:$DC,MATCH($D33,Material_Detail!$DE:$DE,0),$P$7+4),0)</f>
        <v/>
      </c>
      <c r="M33" s="17">
        <f>IFERROR(INDEX(Material_Detail!$D:$DC,MATCH($D33,Material_Detail!$DE:$DE,0),$P$7+5),0)</f>
        <v/>
      </c>
      <c r="N33" s="17">
        <f>IFERROR(INDEX(Material_Detail!$D:$DC,MATCH($D33,Material_Detail!$DE:$DE,0),$P$7+6),0)</f>
        <v/>
      </c>
      <c r="O33" s="17">
        <f>IFERROR(INDEX(Material_Detail!$D:$DC,MATCH($D33,Material_Detail!$DE:$DE,0),$P$7+7),0)</f>
        <v/>
      </c>
      <c r="P33" s="17">
        <f>IFERROR(INDEX(Material_Detail!$D:$DC,MATCH($D33,Material_Detail!$DE:$DE,0),$P$7+8),0)</f>
        <v/>
      </c>
      <c r="Q33" s="17">
        <f>IFERROR(INDEX(Material_Detail!$D:$DC,MATCH($D33,Material_Detail!$DE:$DE,0),$P$7+9),0)</f>
        <v/>
      </c>
      <c r="R33" s="17">
        <f>IFERROR(INDEX(Material_Detail!$D:$DC,MATCH($D33,Material_Detail!$DE:$DE,0),$P$7+10),0)</f>
        <v/>
      </c>
      <c r="S33" s="17">
        <f>IFERROR(INDEX(Material_Detail!$D:$DC,MATCH($D33,Material_Detail!$DE:$DE,0),$P$7+11),0)</f>
        <v/>
      </c>
      <c r="T33" s="17">
        <f>IFERROR(INDEX(Material_Detail!$D:$DC,MATCH($D33,Material_Detail!$DE:$DE,0),$P$7+12),0)</f>
        <v/>
      </c>
      <c r="U33" s="17">
        <f>SUM(H33:T33)</f>
        <v/>
      </c>
    </row>
    <row r="34">
      <c r="B34" s="19">
        <f>IFERROR(INDEX(M_RawMaterials[Description],MATCH("1JN",M_RawMaterials[Part Name],0)),"")</f>
        <v/>
      </c>
      <c r="C34" s="19" t="inlineStr"/>
      <c r="D34" s="19" t="inlineStr">
        <is>
          <t>1JN</t>
        </is>
      </c>
      <c r="E34" s="19" t="inlineStr">
        <is>
          <t>kg</t>
        </is>
      </c>
      <c r="F34" s="19">
        <f>IFERROR(INDEX(M_RawMaterials[基準在庫下限_要入力],MATCH("1JN",M_RawMaterials[Part Name],0)),0)</f>
        <v/>
      </c>
      <c r="G34" s="19">
        <f>INDEX(Grid_Stock[#Data],MATCH($D34,Grid_Stock[Part Name],0),$P$7)</f>
        <v/>
      </c>
      <c r="H34" s="19">
        <f>IFERROR(INDEX(Material_Detail!$D:$DC,MATCH($D34,Material_Detail!$DE:$DE,0),$P$7+0),0)</f>
        <v/>
      </c>
      <c r="I34" s="19">
        <f>IFERROR(INDEX(Material_Detail!$D:$DC,MATCH($D34,Material_Detail!$DE:$DE,0),$P$7+1),0)</f>
        <v/>
      </c>
      <c r="J34" s="19">
        <f>IFERROR(INDEX(Material_Detail!$D:$DC,MATCH($D34,Material_Detail!$DE:$DE,0),$P$7+2),0)</f>
        <v/>
      </c>
      <c r="K34" s="19">
        <f>IFERROR(INDEX(Material_Detail!$D:$DC,MATCH($D34,Material_Detail!$DE:$DE,0),$P$7+3),0)</f>
        <v/>
      </c>
      <c r="L34" s="19">
        <f>IFERROR(INDEX(Material_Detail!$D:$DC,MATCH($D34,Material_Detail!$DE:$DE,0),$P$7+4),0)</f>
        <v/>
      </c>
      <c r="M34" s="19">
        <f>IFERROR(INDEX(Material_Detail!$D:$DC,MATCH($D34,Material_Detail!$DE:$DE,0),$P$7+5),0)</f>
        <v/>
      </c>
      <c r="N34" s="19">
        <f>IFERROR(INDEX(Material_Detail!$D:$DC,MATCH($D34,Material_Detail!$DE:$DE,0),$P$7+6),0)</f>
        <v/>
      </c>
      <c r="O34" s="19">
        <f>IFERROR(INDEX(Material_Detail!$D:$DC,MATCH($D34,Material_Detail!$DE:$DE,0),$P$7+7),0)</f>
        <v/>
      </c>
      <c r="P34" s="19">
        <f>IFERROR(INDEX(Material_Detail!$D:$DC,MATCH($D34,Material_Detail!$DE:$DE,0),$P$7+8),0)</f>
        <v/>
      </c>
      <c r="Q34" s="19">
        <f>IFERROR(INDEX(Material_Detail!$D:$DC,MATCH($D34,Material_Detail!$DE:$DE,0),$P$7+9),0)</f>
        <v/>
      </c>
      <c r="R34" s="19">
        <f>IFERROR(INDEX(Material_Detail!$D:$DC,MATCH($D34,Material_Detail!$DE:$DE,0),$P$7+10),0)</f>
        <v/>
      </c>
      <c r="S34" s="19">
        <f>IFERROR(INDEX(Material_Detail!$D:$DC,MATCH($D34,Material_Detail!$DE:$DE,0),$P$7+11),0)</f>
        <v/>
      </c>
      <c r="T34" s="19">
        <f>IFERROR(INDEX(Material_Detail!$D:$DC,MATCH($D34,Material_Detail!$DE:$DE,0),$P$7+12),0)</f>
        <v/>
      </c>
      <c r="U34" s="19">
        <f>SUM(H34:T34)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U15"/>
  <sheetViews>
    <sheetView workbookViewId="0">
      <pane xSplit="7" ySplit="14" topLeftCell="H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2" max="2"/>
    <col width="14" customWidth="1" min="3" max="3"/>
    <col width="12" customWidth="1" min="4" max="4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2">
      <c r="B2" t="inlineStr">
        <is>
          <t>TO：（サプライヤー／TTAF担当者名を入力）</t>
        </is>
      </c>
      <c r="N2" t="inlineStr">
        <is>
          <t>Order Date:</t>
        </is>
      </c>
      <c r="P2" s="27" t="n">
        <v>46258</v>
      </c>
    </row>
    <row r="3">
      <c r="B3" t="inlineStr">
        <is>
          <t xml:space="preserve">　　　　　（会社名）</t>
        </is>
      </c>
      <c r="N3" t="inlineStr">
        <is>
          <t>Issue Month:</t>
        </is>
      </c>
    </row>
    <row r="4">
      <c r="N4" t="inlineStr">
        <is>
          <t>Firm Month:</t>
        </is>
      </c>
    </row>
    <row r="5">
      <c r="B5" t="inlineStr">
        <is>
          <t>FROM：（発行者名）</t>
        </is>
      </c>
      <c r="N5" t="inlineStr">
        <is>
          <t>Revision</t>
        </is>
      </c>
      <c r="P5" t="inlineStr">
        <is>
          <t>00</t>
        </is>
      </c>
    </row>
    <row r="6">
      <c r="B6" t="inlineStr">
        <is>
          <t xml:space="preserve">　　　　　（自社名）</t>
        </is>
      </c>
    </row>
    <row r="7">
      <c r="N7" t="inlineStr">
        <is>
          <t>基準週(WeekIndex, 翌月の頭を推奨):</t>
        </is>
      </c>
      <c r="P7" s="28" t="n">
        <v>36</v>
      </c>
    </row>
    <row r="8">
      <c r="B8" s="2" t="inlineStr">
        <is>
          <t>Substrates (Poland)</t>
        </is>
      </c>
    </row>
    <row r="10">
      <c r="B10" s="13" t="n"/>
      <c r="C10" s="13" t="n"/>
      <c r="D10" s="13" t="n"/>
      <c r="E10" s="13" t="n"/>
      <c r="F10" s="13" t="n"/>
      <c r="G10" s="13" t="n"/>
      <c r="H10" s="13">
        <f>INDEX(Cal_Weeks[MonthYearLabel],$P$7)</f>
        <v/>
      </c>
      <c r="I10" s="13">
        <f>IF(INDEX(Cal_Weeks[MonthYearLabel],$P$7+1)&lt;&gt;INDEX(Cal_Weeks[MonthYearLabel],$P$7+0),INDEX(Cal_Weeks[MonthYearLabel],$P$7+1),"")</f>
        <v/>
      </c>
      <c r="J10" s="13">
        <f>IF(INDEX(Cal_Weeks[MonthYearLabel],$P$7+2)&lt;&gt;INDEX(Cal_Weeks[MonthYearLabel],$P$7+1),INDEX(Cal_Weeks[MonthYearLabel],$P$7+2),"")</f>
        <v/>
      </c>
      <c r="K10" s="13">
        <f>IF(INDEX(Cal_Weeks[MonthYearLabel],$P$7+3)&lt;&gt;INDEX(Cal_Weeks[MonthYearLabel],$P$7+2),INDEX(Cal_Weeks[MonthYearLabel],$P$7+3),"")</f>
        <v/>
      </c>
      <c r="L10" s="13">
        <f>IF(INDEX(Cal_Weeks[MonthYearLabel],$P$7+4)&lt;&gt;INDEX(Cal_Weeks[MonthYearLabel],$P$7+3),INDEX(Cal_Weeks[MonthYearLabel],$P$7+4),"")</f>
        <v/>
      </c>
      <c r="M10" s="13">
        <f>IF(INDEX(Cal_Weeks[MonthYearLabel],$P$7+5)&lt;&gt;INDEX(Cal_Weeks[MonthYearLabel],$P$7+4),INDEX(Cal_Weeks[MonthYearLabel],$P$7+5),"")</f>
        <v/>
      </c>
      <c r="N10" s="13">
        <f>IF(INDEX(Cal_Weeks[MonthYearLabel],$P$7+6)&lt;&gt;INDEX(Cal_Weeks[MonthYearLabel],$P$7+5),INDEX(Cal_Weeks[MonthYearLabel],$P$7+6),"")</f>
        <v/>
      </c>
      <c r="O10" s="13">
        <f>IF(INDEX(Cal_Weeks[MonthYearLabel],$P$7+7)&lt;&gt;INDEX(Cal_Weeks[MonthYearLabel],$P$7+6),INDEX(Cal_Weeks[MonthYearLabel],$P$7+7),"")</f>
        <v/>
      </c>
      <c r="P10" s="13">
        <f>IF(INDEX(Cal_Weeks[MonthYearLabel],$P$7+8)&lt;&gt;INDEX(Cal_Weeks[MonthYearLabel],$P$7+7),INDEX(Cal_Weeks[MonthYearLabel],$P$7+8),"")</f>
        <v/>
      </c>
      <c r="Q10" s="13">
        <f>IF(INDEX(Cal_Weeks[MonthYearLabel],$P$7+9)&lt;&gt;INDEX(Cal_Weeks[MonthYearLabel],$P$7+8),INDEX(Cal_Weeks[MonthYearLabel],$P$7+9),"")</f>
        <v/>
      </c>
      <c r="R10" s="13">
        <f>IF(INDEX(Cal_Weeks[MonthYearLabel],$P$7+10)&lt;&gt;INDEX(Cal_Weeks[MonthYearLabel],$P$7+9),INDEX(Cal_Weeks[MonthYearLabel],$P$7+10),"")</f>
        <v/>
      </c>
      <c r="S10" s="13">
        <f>IF(INDEX(Cal_Weeks[MonthYearLabel],$P$7+11)&lt;&gt;INDEX(Cal_Weeks[MonthYearLabel],$P$7+10),INDEX(Cal_Weeks[MonthYearLabel],$P$7+11),"")</f>
        <v/>
      </c>
      <c r="T10" s="13">
        <f>IF(INDEX(Cal_Weeks[MonthYearLabel],$P$7+12)&lt;&gt;INDEX(Cal_Weeks[MonthYearLabel],$P$7+11),INDEX(Cal_Weeks[MonthYearLabel],$P$7+12),"")</f>
        <v/>
      </c>
      <c r="U10" s="13" t="n"/>
    </row>
    <row r="11">
      <c r="B11" s="14" t="n"/>
      <c r="C11" s="14" t="n"/>
      <c r="D11" s="14" t="n"/>
      <c r="E11" s="14" t="n"/>
      <c r="F11" s="14" t="n"/>
      <c r="G11" s="14" t="n"/>
      <c r="H11" s="15">
        <f>INDEX(Cal_Weeks[WeekStart],$P$7+0)</f>
        <v/>
      </c>
      <c r="I11" s="15">
        <f>INDEX(Cal_Weeks[WeekStart],$P$7+1)</f>
        <v/>
      </c>
      <c r="J11" s="15">
        <f>INDEX(Cal_Weeks[WeekStart],$P$7+2)</f>
        <v/>
      </c>
      <c r="K11" s="15">
        <f>INDEX(Cal_Weeks[WeekStart],$P$7+3)</f>
        <v/>
      </c>
      <c r="L11" s="15">
        <f>INDEX(Cal_Weeks[WeekStart],$P$7+4)</f>
        <v/>
      </c>
      <c r="M11" s="15">
        <f>INDEX(Cal_Weeks[WeekStart],$P$7+5)</f>
        <v/>
      </c>
      <c r="N11" s="15">
        <f>INDEX(Cal_Weeks[WeekStart],$P$7+6)</f>
        <v/>
      </c>
      <c r="O11" s="15">
        <f>INDEX(Cal_Weeks[WeekStart],$P$7+7)</f>
        <v/>
      </c>
      <c r="P11" s="15">
        <f>INDEX(Cal_Weeks[WeekStart],$P$7+8)</f>
        <v/>
      </c>
      <c r="Q11" s="15">
        <f>INDEX(Cal_Weeks[WeekStart],$P$7+9)</f>
        <v/>
      </c>
      <c r="R11" s="15">
        <f>INDEX(Cal_Weeks[WeekStart],$P$7+10)</f>
        <v/>
      </c>
      <c r="S11" s="15">
        <f>INDEX(Cal_Weeks[WeekStart],$P$7+11)</f>
        <v/>
      </c>
      <c r="T11" s="15">
        <f>INDEX(Cal_Weeks[WeekStart],$P$7+12)</f>
        <v/>
      </c>
      <c r="U11" s="14" t="n"/>
    </row>
    <row r="12">
      <c r="B12" s="14" t="n"/>
      <c r="C12" s="14" t="n"/>
      <c r="D12" s="14" t="n"/>
      <c r="E12" s="14" t="n"/>
      <c r="F12" s="14" t="n"/>
      <c r="G12" s="14" t="n"/>
      <c r="H12" s="14">
        <f>INDEX(Cal_Weeks[WeekOfYear],$P$7+0)</f>
        <v/>
      </c>
      <c r="I12" s="14">
        <f>INDEX(Cal_Weeks[WeekOfYear],$P$7+1)</f>
        <v/>
      </c>
      <c r="J12" s="14">
        <f>INDEX(Cal_Weeks[WeekOfYear],$P$7+2)</f>
        <v/>
      </c>
      <c r="K12" s="14">
        <f>INDEX(Cal_Weeks[WeekOfYear],$P$7+3)</f>
        <v/>
      </c>
      <c r="L12" s="14">
        <f>INDEX(Cal_Weeks[WeekOfYear],$P$7+4)</f>
        <v/>
      </c>
      <c r="M12" s="14">
        <f>INDEX(Cal_Weeks[WeekOfYear],$P$7+5)</f>
        <v/>
      </c>
      <c r="N12" s="14">
        <f>INDEX(Cal_Weeks[WeekOfYear],$P$7+6)</f>
        <v/>
      </c>
      <c r="O12" s="14">
        <f>INDEX(Cal_Weeks[WeekOfYear],$P$7+7)</f>
        <v/>
      </c>
      <c r="P12" s="14">
        <f>INDEX(Cal_Weeks[WeekOfYear],$P$7+8)</f>
        <v/>
      </c>
      <c r="Q12" s="14">
        <f>INDEX(Cal_Weeks[WeekOfYear],$P$7+9)</f>
        <v/>
      </c>
      <c r="R12" s="14">
        <f>INDEX(Cal_Weeks[WeekOfYear],$P$7+10)</f>
        <v/>
      </c>
      <c r="S12" s="14">
        <f>INDEX(Cal_Weeks[WeekOfYear],$P$7+11)</f>
        <v/>
      </c>
      <c r="T12" s="14">
        <f>INDEX(Cal_Weeks[WeekOfYear],$P$7+12)</f>
        <v/>
      </c>
      <c r="U12" s="14" t="n"/>
    </row>
    <row r="13">
      <c r="B13" s="14" t="n"/>
      <c r="C13" s="14" t="n"/>
      <c r="D13" s="14" t="n"/>
      <c r="E13" s="14" t="n"/>
      <c r="F13" s="14" t="n"/>
      <c r="G13" s="14" t="n"/>
      <c r="H13" s="14">
        <f>IF(INDEX(Cal_Weeks[MonthYearLabel],$P$7+0)=INDEX(Cal_Weeks[MonthYearLabel],$P$7),"Firm","Forecast")</f>
        <v/>
      </c>
      <c r="I13" s="14">
        <f>IF(INDEX(Cal_Weeks[MonthYearLabel],$P$7+1)=INDEX(Cal_Weeks[MonthYearLabel],$P$7),"Firm","Forecast")</f>
        <v/>
      </c>
      <c r="J13" s="14">
        <f>IF(INDEX(Cal_Weeks[MonthYearLabel],$P$7+2)=INDEX(Cal_Weeks[MonthYearLabel],$P$7),"Firm","Forecast")</f>
        <v/>
      </c>
      <c r="K13" s="14">
        <f>IF(INDEX(Cal_Weeks[MonthYearLabel],$P$7+3)=INDEX(Cal_Weeks[MonthYearLabel],$P$7),"Firm","Forecast")</f>
        <v/>
      </c>
      <c r="L13" s="14">
        <f>IF(INDEX(Cal_Weeks[MonthYearLabel],$P$7+4)=INDEX(Cal_Weeks[MonthYearLabel],$P$7),"Firm","Forecast")</f>
        <v/>
      </c>
      <c r="M13" s="14">
        <f>IF(INDEX(Cal_Weeks[MonthYearLabel],$P$7+5)=INDEX(Cal_Weeks[MonthYearLabel],$P$7),"Firm","Forecast")</f>
        <v/>
      </c>
      <c r="N13" s="14">
        <f>IF(INDEX(Cal_Weeks[MonthYearLabel],$P$7+6)=INDEX(Cal_Weeks[MonthYearLabel],$P$7),"Firm","Forecast")</f>
        <v/>
      </c>
      <c r="O13" s="14">
        <f>IF(INDEX(Cal_Weeks[MonthYearLabel],$P$7+7)=INDEX(Cal_Weeks[MonthYearLabel],$P$7),"Firm","Forecast")</f>
        <v/>
      </c>
      <c r="P13" s="14">
        <f>IF(INDEX(Cal_Weeks[MonthYearLabel],$P$7+8)=INDEX(Cal_Weeks[MonthYearLabel],$P$7),"Firm","Forecast")</f>
        <v/>
      </c>
      <c r="Q13" s="14">
        <f>IF(INDEX(Cal_Weeks[MonthYearLabel],$P$7+9)=INDEX(Cal_Weeks[MonthYearLabel],$P$7),"Firm","Forecast")</f>
        <v/>
      </c>
      <c r="R13" s="14">
        <f>IF(INDEX(Cal_Weeks[MonthYearLabel],$P$7+10)=INDEX(Cal_Weeks[MonthYearLabel],$P$7),"Firm","Forecast")</f>
        <v/>
      </c>
      <c r="S13" s="14">
        <f>IF(INDEX(Cal_Weeks[MonthYearLabel],$P$7+11)=INDEX(Cal_Weeks[MonthYearLabel],$P$7),"Firm","Forecast")</f>
        <v/>
      </c>
      <c r="T13" s="14">
        <f>IF(INDEX(Cal_Weeks[MonthYearLabel],$P$7+12)=INDEX(Cal_Weeks[MonthYearLabel],$P$7),"Firm","Forecast")</f>
        <v/>
      </c>
      <c r="U13" s="14" t="n"/>
    </row>
    <row r="14">
      <c r="B14" s="13" t="inlineStr">
        <is>
          <t>Part Name</t>
        </is>
      </c>
      <c r="C14" s="13" t="inlineStr">
        <is>
          <t>TTAF Code</t>
        </is>
      </c>
      <c r="D14" s="13" t="inlineStr">
        <is>
          <t>CSA Code</t>
        </is>
      </c>
      <c r="E14" s="13" t="inlineStr">
        <is>
          <t>UOM</t>
        </is>
      </c>
      <c r="F14" s="13" t="inlineStr">
        <is>
          <t>SafetyStock</t>
        </is>
      </c>
      <c r="G14" s="13" t="inlineStr">
        <is>
          <t>CurrentStock</t>
        </is>
      </c>
      <c r="H14" s="13">
        <f>INDEX(Cal_Weeks[Label],$P$7+0)</f>
        <v/>
      </c>
      <c r="I14" s="13">
        <f>INDEX(Cal_Weeks[Label],$P$7+1)</f>
        <v/>
      </c>
      <c r="J14" s="13">
        <f>INDEX(Cal_Weeks[Label],$P$7+2)</f>
        <v/>
      </c>
      <c r="K14" s="13">
        <f>INDEX(Cal_Weeks[Label],$P$7+3)</f>
        <v/>
      </c>
      <c r="L14" s="13">
        <f>INDEX(Cal_Weeks[Label],$P$7+4)</f>
        <v/>
      </c>
      <c r="M14" s="13">
        <f>INDEX(Cal_Weeks[Label],$P$7+5)</f>
        <v/>
      </c>
      <c r="N14" s="13">
        <f>INDEX(Cal_Weeks[Label],$P$7+6)</f>
        <v/>
      </c>
      <c r="O14" s="13">
        <f>INDEX(Cal_Weeks[Label],$P$7+7)</f>
        <v/>
      </c>
      <c r="P14" s="13">
        <f>INDEX(Cal_Weeks[Label],$P$7+8)</f>
        <v/>
      </c>
      <c r="Q14" s="13">
        <f>INDEX(Cal_Weeks[Label],$P$7+9)</f>
        <v/>
      </c>
      <c r="R14" s="13">
        <f>INDEX(Cal_Weeks[Label],$P$7+10)</f>
        <v/>
      </c>
      <c r="S14" s="13">
        <f>INDEX(Cal_Weeks[Label],$P$7+11)</f>
        <v/>
      </c>
      <c r="T14" s="13">
        <f>INDEX(Cal_Weeks[Label],$P$7+12)</f>
        <v/>
      </c>
      <c r="U14" s="13" t="inlineStr">
        <is>
          <t>Total</t>
        </is>
      </c>
    </row>
    <row r="15">
      <c r="B15" t="inlineStr">
        <is>
          <t>(該当品目なし)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6" customWidth="1" min="10" max="10"/>
    <col width="14" customWidth="1" min="11" max="11"/>
    <col width="14" customWidth="1" min="12" max="12"/>
  </cols>
  <sheetData>
    <row r="1">
      <c r="A1" s="6" t="inlineStr">
        <is>
          <t>Part Name</t>
        </is>
      </c>
      <c r="B1" s="6" t="inlineStr">
        <is>
          <t>PO_No</t>
        </is>
      </c>
      <c r="C1" s="6" t="inlineStr">
        <is>
          <t>Order_Date_発注日</t>
        </is>
      </c>
      <c r="D1" s="6" t="inlineStr">
        <is>
          <t>Confirmed_Qty</t>
        </is>
      </c>
      <c r="E1" s="6" t="inlineStr">
        <is>
          <t>Latest_ETA</t>
        </is>
      </c>
      <c r="F1" s="6" t="inlineStr">
        <is>
          <t>Received_Date</t>
        </is>
      </c>
      <c r="G1" s="6" t="inlineStr">
        <is>
          <t>Status</t>
        </is>
      </c>
      <c r="H1" s="6" t="inlineStr">
        <is>
          <t>Effective_Week</t>
        </is>
      </c>
      <c r="I1" s="6" t="inlineStr">
        <is>
          <t>Order_Month</t>
        </is>
      </c>
      <c r="J1" s="6" t="inlineStr">
        <is>
          <t>Vessel</t>
        </is>
      </c>
      <c r="K1" s="6" t="inlineStr">
        <is>
          <t>Container</t>
        </is>
      </c>
      <c r="L1" s="6" t="inlineStr">
        <is>
          <t>Original_ETD</t>
        </is>
      </c>
    </row>
    <row r="2">
      <c r="A2" t="inlineStr">
        <is>
          <t>(例) CHEM-1010</t>
        </is>
      </c>
      <c r="B2" t="inlineStr"/>
      <c r="C2" s="23" t="n"/>
      <c r="D2" t="n">
        <v>0</v>
      </c>
      <c r="E2" s="27" t="n">
        <v>46020</v>
      </c>
      <c r="G2" t="inlineStr"/>
      <c r="H2">
        <f>IFERROR(MAX(1,MIN(104,INT((IF(F2="",E2,F2)-(DATE(Cal_Weeks!$B$1,1,1)-WEEKDAY(DATE(Cal_Weeks!$B$1,1,1),3)))/7)+1)),"")</f>
        <v/>
      </c>
      <c r="I2" s="3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6" t="inlineStr">
        <is>
          <t>Part Name</t>
        </is>
      </c>
      <c r="B1" s="6" t="inlineStr">
        <is>
          <t>Opening_Qty_要入力</t>
        </is>
      </c>
      <c r="C1" s="6" t="inlineStr">
        <is>
          <t>AsOf</t>
        </is>
      </c>
    </row>
    <row r="2">
      <c r="A2" t="inlineStr">
        <is>
          <t>7EP</t>
        </is>
      </c>
      <c r="B2" s="23" t="n">
        <v>0</v>
      </c>
      <c r="C2" s="31" t="n">
        <v>46020</v>
      </c>
    </row>
    <row r="3">
      <c r="A3" t="inlineStr">
        <is>
          <t>1EK</t>
        </is>
      </c>
      <c r="B3" s="23" t="n">
        <v>0</v>
      </c>
      <c r="C3" s="31" t="n">
        <v>46020</v>
      </c>
    </row>
    <row r="4">
      <c r="A4" t="inlineStr">
        <is>
          <t>4HL</t>
        </is>
      </c>
      <c r="B4" s="23" t="n">
        <v>0</v>
      </c>
      <c r="C4" s="31" t="n">
        <v>46020</v>
      </c>
    </row>
    <row r="5">
      <c r="A5" t="inlineStr">
        <is>
          <t>9RN</t>
        </is>
      </c>
      <c r="B5" s="23" t="n">
        <v>0</v>
      </c>
      <c r="C5" s="31" t="n">
        <v>46020</v>
      </c>
    </row>
    <row r="6">
      <c r="A6" t="inlineStr">
        <is>
          <t>7CL</t>
        </is>
      </c>
      <c r="B6" s="23" t="n">
        <v>0</v>
      </c>
      <c r="C6" s="31" t="n">
        <v>46020</v>
      </c>
    </row>
    <row r="7">
      <c r="A7" t="inlineStr">
        <is>
          <t>OJN</t>
        </is>
      </c>
      <c r="B7" s="23" t="n">
        <v>0</v>
      </c>
      <c r="C7" s="31" t="n">
        <v>46020</v>
      </c>
    </row>
    <row r="8">
      <c r="A8" t="inlineStr">
        <is>
          <t>TDJ</t>
        </is>
      </c>
      <c r="B8" s="23" t="n">
        <v>0</v>
      </c>
      <c r="C8" s="31" t="n">
        <v>46020</v>
      </c>
    </row>
    <row r="9">
      <c r="A9" t="inlineStr">
        <is>
          <t>3TP</t>
        </is>
      </c>
      <c r="B9" s="23" t="n">
        <v>0</v>
      </c>
      <c r="C9" s="31" t="n">
        <v>46020</v>
      </c>
    </row>
    <row r="10">
      <c r="A10" t="inlineStr">
        <is>
          <t>KEJ</t>
        </is>
      </c>
      <c r="B10" s="23" t="n">
        <v>0</v>
      </c>
      <c r="C10" s="31" t="n">
        <v>46020</v>
      </c>
    </row>
    <row r="11">
      <c r="A11" t="inlineStr">
        <is>
          <t>JEJ</t>
        </is>
      </c>
      <c r="B11" s="23" t="n">
        <v>0</v>
      </c>
      <c r="C11" s="31" t="n">
        <v>46020</v>
      </c>
    </row>
    <row r="12">
      <c r="A12" t="inlineStr">
        <is>
          <t>YAN</t>
        </is>
      </c>
      <c r="B12" s="23" t="n">
        <v>0</v>
      </c>
      <c r="C12" s="31" t="n">
        <v>46020</v>
      </c>
    </row>
    <row r="13">
      <c r="A13" t="inlineStr">
        <is>
          <t>ABN</t>
        </is>
      </c>
      <c r="B13" s="23" t="n">
        <v>0</v>
      </c>
      <c r="C13" s="31" t="n">
        <v>46020</v>
      </c>
    </row>
    <row r="14">
      <c r="A14" t="inlineStr">
        <is>
          <t>OLJ</t>
        </is>
      </c>
      <c r="B14" s="23" t="n">
        <v>0</v>
      </c>
      <c r="C14" s="31" t="n">
        <v>46020</v>
      </c>
    </row>
    <row r="15">
      <c r="A15" t="inlineStr">
        <is>
          <t>5SN</t>
        </is>
      </c>
      <c r="B15" s="23" t="n">
        <v>0</v>
      </c>
      <c r="C15" s="31" t="n">
        <v>46020</v>
      </c>
    </row>
    <row r="16">
      <c r="A16" t="inlineStr">
        <is>
          <t>8EN</t>
        </is>
      </c>
      <c r="B16" s="23" t="n">
        <v>0</v>
      </c>
      <c r="C16" s="31" t="n">
        <v>46020</v>
      </c>
    </row>
    <row r="17">
      <c r="A17" t="inlineStr">
        <is>
          <t>9RJ</t>
        </is>
      </c>
      <c r="B17" s="23" t="n">
        <v>0</v>
      </c>
      <c r="C17" s="31" t="n">
        <v>46020</v>
      </c>
    </row>
    <row r="18">
      <c r="A18" t="inlineStr">
        <is>
          <t>5JK</t>
        </is>
      </c>
      <c r="B18" s="23" t="n">
        <v>0</v>
      </c>
      <c r="C18" s="31" t="n">
        <v>46020</v>
      </c>
    </row>
    <row r="19">
      <c r="A19" t="inlineStr">
        <is>
          <t>26F</t>
        </is>
      </c>
      <c r="B19" s="23" t="n">
        <v>0</v>
      </c>
      <c r="C19" s="31" t="n">
        <v>46020</v>
      </c>
    </row>
    <row r="20">
      <c r="A20" t="inlineStr">
        <is>
          <t>73K</t>
        </is>
      </c>
      <c r="B20" s="23" t="n">
        <v>0</v>
      </c>
      <c r="C20" s="31" t="n">
        <v>46020</v>
      </c>
    </row>
    <row r="21">
      <c r="A21" t="inlineStr">
        <is>
          <t>1JN</t>
        </is>
      </c>
      <c r="B21" s="23" t="n">
        <v>0</v>
      </c>
      <c r="C21" s="31" t="n">
        <v>46020</v>
      </c>
    </row>
    <row r="22">
      <c r="A22" t="inlineStr">
        <is>
          <t>CHEM-1670</t>
        </is>
      </c>
      <c r="B22" s="23" t="n">
        <v>0</v>
      </c>
      <c r="C22" s="31" t="n">
        <v>46020</v>
      </c>
    </row>
    <row r="23">
      <c r="A23" t="inlineStr">
        <is>
          <t>CHEM-1110</t>
        </is>
      </c>
      <c r="B23" s="23" t="n">
        <v>0</v>
      </c>
      <c r="C23" s="31" t="n">
        <v>46020</v>
      </c>
    </row>
    <row r="24">
      <c r="A24" t="inlineStr">
        <is>
          <t>CHEM-1240</t>
        </is>
      </c>
      <c r="B24" s="23" t="n">
        <v>0</v>
      </c>
      <c r="C24" s="31" t="n">
        <v>46020</v>
      </c>
    </row>
    <row r="25">
      <c r="A25" t="inlineStr">
        <is>
          <t>CHEM-1510</t>
        </is>
      </c>
      <c r="B25" s="23" t="n">
        <v>0</v>
      </c>
      <c r="C25" s="31" t="n">
        <v>46020</v>
      </c>
    </row>
    <row r="26">
      <c r="A26" t="inlineStr">
        <is>
          <t>CHEM-1580</t>
        </is>
      </c>
      <c r="B26" s="23" t="n">
        <v>0</v>
      </c>
      <c r="C26" s="31" t="n">
        <v>46020</v>
      </c>
    </row>
    <row r="27">
      <c r="A27" t="inlineStr">
        <is>
          <t>CHEM-1250</t>
        </is>
      </c>
      <c r="B27" s="23" t="n">
        <v>0</v>
      </c>
      <c r="C27" s="31" t="n">
        <v>46020</v>
      </c>
    </row>
    <row r="28">
      <c r="A28" t="inlineStr">
        <is>
          <t>CHEM-1600</t>
        </is>
      </c>
      <c r="B28" s="23" t="n">
        <v>0</v>
      </c>
      <c r="C28" s="31" t="n">
        <v>46020</v>
      </c>
    </row>
    <row r="29">
      <c r="A29" t="inlineStr">
        <is>
          <t>CHEM-1120</t>
        </is>
      </c>
      <c r="B29" s="23" t="n">
        <v>0</v>
      </c>
      <c r="C29" s="31" t="n">
        <v>46020</v>
      </c>
    </row>
    <row r="30">
      <c r="A30" t="inlineStr">
        <is>
          <t>CHEM-1550</t>
        </is>
      </c>
      <c r="B30" s="23" t="n">
        <v>0</v>
      </c>
      <c r="C30" s="31" t="n">
        <v>46020</v>
      </c>
    </row>
    <row r="31">
      <c r="A31" t="inlineStr">
        <is>
          <t>CHEM-1440</t>
        </is>
      </c>
      <c r="B31" s="23" t="n">
        <v>0</v>
      </c>
      <c r="C31" s="31" t="n">
        <v>46020</v>
      </c>
    </row>
    <row r="32">
      <c r="A32" t="inlineStr">
        <is>
          <t>CHEM-1780</t>
        </is>
      </c>
      <c r="B32" s="23" t="n">
        <v>0</v>
      </c>
      <c r="C32" s="31" t="n">
        <v>46020</v>
      </c>
    </row>
    <row r="33">
      <c r="A33" t="inlineStr">
        <is>
          <t>CHEM-1400</t>
        </is>
      </c>
      <c r="B33" s="23" t="n">
        <v>0</v>
      </c>
      <c r="C33" s="31" t="n">
        <v>46020</v>
      </c>
    </row>
    <row r="34">
      <c r="A34" t="inlineStr">
        <is>
          <t>CHEM-1650</t>
        </is>
      </c>
      <c r="B34" s="23" t="n">
        <v>0</v>
      </c>
      <c r="C34" s="31" t="n">
        <v>46020</v>
      </c>
    </row>
    <row r="35">
      <c r="A35" t="inlineStr">
        <is>
          <t>CHEM-1660</t>
        </is>
      </c>
      <c r="B35" s="23" t="n">
        <v>0</v>
      </c>
      <c r="C35" s="31" t="n">
        <v>46020</v>
      </c>
    </row>
    <row r="36">
      <c r="A36" t="inlineStr">
        <is>
          <t>CHEM-1420</t>
        </is>
      </c>
      <c r="B36" s="23" t="n">
        <v>0</v>
      </c>
      <c r="C36" s="31" t="n">
        <v>46020</v>
      </c>
    </row>
    <row r="37">
      <c r="A37" t="inlineStr">
        <is>
          <t>CHEM-1080</t>
        </is>
      </c>
      <c r="B37" s="23" t="n">
        <v>0</v>
      </c>
      <c r="C37" s="31" t="n">
        <v>46020</v>
      </c>
    </row>
    <row r="38">
      <c r="A38" t="inlineStr">
        <is>
          <t>CHEM-1530</t>
        </is>
      </c>
      <c r="B38" s="23" t="n">
        <v>0</v>
      </c>
      <c r="C38" s="31" t="n">
        <v>46020</v>
      </c>
    </row>
    <row r="39">
      <c r="A39" t="inlineStr">
        <is>
          <t>CHEM-1480</t>
        </is>
      </c>
      <c r="B39" s="23" t="n">
        <v>0</v>
      </c>
      <c r="C39" s="31" t="n">
        <v>46020</v>
      </c>
    </row>
    <row r="40">
      <c r="A40" t="inlineStr">
        <is>
          <t>CHEM-1540</t>
        </is>
      </c>
      <c r="B40" s="23" t="n">
        <v>0</v>
      </c>
      <c r="C40" s="31" t="n">
        <v>46020</v>
      </c>
    </row>
    <row r="41">
      <c r="A41" t="inlineStr">
        <is>
          <t>CHEM-1680</t>
        </is>
      </c>
      <c r="B41" s="23" t="n">
        <v>0</v>
      </c>
      <c r="C41" s="31" t="n">
        <v>46020</v>
      </c>
    </row>
    <row r="42">
      <c r="A42" t="inlineStr">
        <is>
          <t>CHEM-1730</t>
        </is>
      </c>
      <c r="B42" s="23" t="n">
        <v>0</v>
      </c>
      <c r="C42" s="31" t="n">
        <v>46020</v>
      </c>
    </row>
    <row r="43">
      <c r="A43" t="inlineStr">
        <is>
          <t>CHEM-1280</t>
        </is>
      </c>
      <c r="B43" s="23" t="n">
        <v>0</v>
      </c>
      <c r="C43" s="31" t="n">
        <v>46020</v>
      </c>
    </row>
    <row r="44">
      <c r="A44" t="inlineStr">
        <is>
          <t>CHEM-1570</t>
        </is>
      </c>
      <c r="B44" s="23" t="n">
        <v>0</v>
      </c>
      <c r="C44" s="31" t="n">
        <v>46020</v>
      </c>
    </row>
    <row r="45">
      <c r="A45" t="inlineStr">
        <is>
          <t>CHEM-1450</t>
        </is>
      </c>
      <c r="B45" s="23" t="n">
        <v>0</v>
      </c>
      <c r="C45" s="31" t="n">
        <v>46020</v>
      </c>
    </row>
    <row r="46">
      <c r="A46" t="inlineStr">
        <is>
          <t>CHEM-1770</t>
        </is>
      </c>
      <c r="B46" s="23" t="n">
        <v>0</v>
      </c>
      <c r="C46" s="31" t="n">
        <v>46020</v>
      </c>
    </row>
    <row r="47">
      <c r="A47" t="inlineStr">
        <is>
          <t>CHEM-1430</t>
        </is>
      </c>
      <c r="B47" s="23" t="n">
        <v>0</v>
      </c>
      <c r="C47" s="31" t="n">
        <v>46020</v>
      </c>
    </row>
    <row r="48">
      <c r="A48" t="inlineStr">
        <is>
          <t>CHEM-1470</t>
        </is>
      </c>
      <c r="B48" s="23" t="n">
        <v>0</v>
      </c>
      <c r="C48" s="31" t="n">
        <v>46020</v>
      </c>
    </row>
    <row r="49">
      <c r="A49" t="inlineStr">
        <is>
          <t>CHEM-1010</t>
        </is>
      </c>
      <c r="B49" s="23" t="n">
        <v>0</v>
      </c>
      <c r="C49" s="31" t="n">
        <v>46020</v>
      </c>
    </row>
    <row r="50">
      <c r="A50" t="inlineStr">
        <is>
          <t>CHEM-1760</t>
        </is>
      </c>
      <c r="B50" s="23" t="n">
        <v>0</v>
      </c>
      <c r="C50" s="31" t="n">
        <v>46020</v>
      </c>
    </row>
    <row r="51">
      <c r="A51" t="inlineStr">
        <is>
          <t>CHEM-1700</t>
        </is>
      </c>
      <c r="B51" s="23" t="n">
        <v>0</v>
      </c>
      <c r="C51" s="31" t="n">
        <v>46020</v>
      </c>
    </row>
    <row r="52">
      <c r="A52" t="inlineStr">
        <is>
          <t>CHEM-1850</t>
        </is>
      </c>
      <c r="B52" s="23" t="n">
        <v>0</v>
      </c>
      <c r="C52" s="31" t="n">
        <v>46020</v>
      </c>
    </row>
    <row r="53">
      <c r="A53" t="inlineStr">
        <is>
          <t>18456-50041</t>
        </is>
      </c>
      <c r="B53" s="23" t="n">
        <v>0</v>
      </c>
      <c r="C53" s="31" t="n">
        <v>46020</v>
      </c>
    </row>
    <row r="54">
      <c r="A54" t="inlineStr">
        <is>
          <t>18456-50061</t>
        </is>
      </c>
      <c r="B54" s="23" t="n">
        <v>0</v>
      </c>
      <c r="C54" s="31" t="n">
        <v>46020</v>
      </c>
    </row>
    <row r="55">
      <c r="A55" t="inlineStr">
        <is>
          <t>Original Towel</t>
        </is>
      </c>
      <c r="B55" s="23" t="n">
        <v>0</v>
      </c>
      <c r="C55" s="31" t="n">
        <v>46020</v>
      </c>
    </row>
    <row r="56">
      <c r="A56" t="inlineStr">
        <is>
          <t>PP Film</t>
        </is>
      </c>
      <c r="B56" s="23" t="n">
        <v>0</v>
      </c>
      <c r="C56" s="31" t="n">
        <v>46020</v>
      </c>
    </row>
    <row r="57">
      <c r="A57" t="inlineStr">
        <is>
          <t>Ester Film</t>
        </is>
      </c>
      <c r="B57" s="23" t="n">
        <v>0</v>
      </c>
      <c r="C57" s="31" t="n">
        <v>46020</v>
      </c>
    </row>
    <row r="58">
      <c r="A58" t="inlineStr">
        <is>
          <t>CHEM-1870</t>
        </is>
      </c>
      <c r="B58" s="23" t="n">
        <v>0</v>
      </c>
      <c r="C58" s="31" t="n">
        <v>46020</v>
      </c>
    </row>
    <row r="59">
      <c r="A59" t="inlineStr">
        <is>
          <t>CHEM-1560</t>
        </is>
      </c>
      <c r="B59" s="23" t="n">
        <v>0</v>
      </c>
      <c r="C59" s="31" t="n">
        <v>46020</v>
      </c>
    </row>
    <row r="60">
      <c r="A60" t="inlineStr">
        <is>
          <t>CHEM-1690</t>
        </is>
      </c>
      <c r="B60" s="23" t="n">
        <v>0</v>
      </c>
      <c r="C60" s="31" t="n">
        <v>46020</v>
      </c>
    </row>
    <row r="61">
      <c r="A61" t="inlineStr">
        <is>
          <t>CHEM-1720</t>
        </is>
      </c>
      <c r="B61" s="23" t="n">
        <v>0</v>
      </c>
      <c r="C61" s="31" t="n">
        <v>46020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30" customWidth="1" min="5" max="5"/>
  </cols>
  <sheetData>
    <row r="1">
      <c r="A1" s="6" t="inlineStr">
        <is>
          <t>Part Name</t>
        </is>
      </c>
      <c r="B1" s="6" t="inlineStr">
        <is>
          <t>Date_棚卸実施日</t>
        </is>
      </c>
      <c r="C1" s="6" t="inlineStr">
        <is>
          <t>WeekIndex</t>
        </is>
      </c>
      <c r="D1" s="6" t="inlineStr">
        <is>
          <t>CountedQty</t>
        </is>
      </c>
      <c r="E1" s="6" t="inlineStr">
        <is>
          <t>Notes</t>
        </is>
      </c>
    </row>
    <row r="2">
      <c r="A2" t="inlineStr">
        <is>
          <t>(例) CHEM-1010</t>
        </is>
      </c>
      <c r="B2" s="27" t="n">
        <v>46020</v>
      </c>
      <c r="C2">
        <f>IFERROR(IF(AND((INT(($B2-(DATE(Cal_Weeks!$B$1,1,1)-WEEKDAY(DATE(Cal_Weeks!$B$1,1,1),3)))/7)+1)&gt;=1,(INT(($B2-(DATE(Cal_Weeks!$B$1,1,1)-WEEKDAY(DATE(Cal_Weeks!$B$1,1,1),3)))/7)+1)&lt;=104),(INT(($B2-(DATE(Cal_Weeks!$B$1,1,1)-WEEKDAY(DATE(Cal_Weeks!$B$1,1,1),3)))/7)+1),""),"")</f>
        <v/>
      </c>
      <c r="D2" t="n">
        <v>0</v>
      </c>
      <c r="E2" t="inlineStr">
        <is>
          <t>棚卸実施時にこの行へ追記(Dateを入力するとWeekIndexは自動計算されます)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A6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</cols>
  <sheetData>
    <row r="1">
      <c r="A1" s="5" t="inlineStr">
        <is>
          <t>選択週を入力（例: W23。現在年の週Noで検索します）</t>
        </is>
      </c>
      <c r="C1" s="10" t="inlineStr"/>
      <c r="D1" s="11">
        <f>IF($C$1="","週Noを入力してください（例: W23）",IF($F$1="","該当週が見つかりません（今年の週Noか確認してください）",INDEX(Cal_Weeks!$E$4:$E$107,$F$1)&amp;" が該当週です（VBA導入時は自動でスクロールします）"))</f>
        <v/>
      </c>
      <c r="E1" s="12" t="inlineStr">
        <is>
          <t>→WeekIndex</t>
        </is>
      </c>
      <c r="F1" s="12">
        <f>IFERROR(IF(SUMPRODUCT((Cal_Weeks!$C$4:$C$107=Cal_Weeks!$B$1)*(Cal_Weeks!$D$4:$D$107=VALUE(SUBSTITUTE(UPPER(TRIM($C$1)),"W",""))))=0,"",SUMPRODUCT((Cal_Weeks!$C$4:$C$107=Cal_Weeks!$B$1)*(Cal_Weeks!$D$4:$D$107=VALUE(SUBSTITUTE(UPPER(TRIM($C$1)),"W","")))*(Cal_Weeks!$A$4:$A$107))),"")</f>
        <v/>
      </c>
    </row>
    <row r="2">
      <c r="A2" s="13" t="n"/>
      <c r="B2" s="13">
        <f>'Cal_Weeks'!G4</f>
        <v/>
      </c>
      <c r="C2" s="13">
        <f>IF(TEXT('Cal_Weeks'!B5,"mmm-yy")&lt;&gt;TEXT('Cal_Weeks'!B4,"mmm-yy"),'Cal_Weeks'!G5,"")</f>
        <v/>
      </c>
      <c r="D2" s="13">
        <f>IF(TEXT('Cal_Weeks'!B6,"mmm-yy")&lt;&gt;TEXT('Cal_Weeks'!B5,"mmm-yy"),'Cal_Weeks'!G6,"")</f>
        <v/>
      </c>
      <c r="E2" s="13">
        <f>IF(TEXT('Cal_Weeks'!B7,"mmm-yy")&lt;&gt;TEXT('Cal_Weeks'!B6,"mmm-yy"),'Cal_Weeks'!G7,"")</f>
        <v/>
      </c>
      <c r="F2" s="13">
        <f>IF(TEXT('Cal_Weeks'!B8,"mmm-yy")&lt;&gt;TEXT('Cal_Weeks'!B7,"mmm-yy"),'Cal_Weeks'!G8,"")</f>
        <v/>
      </c>
      <c r="G2" s="13">
        <f>IF(TEXT('Cal_Weeks'!B9,"mmm-yy")&lt;&gt;TEXT('Cal_Weeks'!B8,"mmm-yy"),'Cal_Weeks'!G9,"")</f>
        <v/>
      </c>
      <c r="H2" s="13">
        <f>IF(TEXT('Cal_Weeks'!B10,"mmm-yy")&lt;&gt;TEXT('Cal_Weeks'!B9,"mmm-yy"),'Cal_Weeks'!G10,"")</f>
        <v/>
      </c>
      <c r="I2" s="13">
        <f>IF(TEXT('Cal_Weeks'!B11,"mmm-yy")&lt;&gt;TEXT('Cal_Weeks'!B10,"mmm-yy"),'Cal_Weeks'!G11,"")</f>
        <v/>
      </c>
      <c r="J2" s="13">
        <f>IF(TEXT('Cal_Weeks'!B12,"mmm-yy")&lt;&gt;TEXT('Cal_Weeks'!B11,"mmm-yy"),'Cal_Weeks'!G12,"")</f>
        <v/>
      </c>
      <c r="K2" s="13">
        <f>IF(TEXT('Cal_Weeks'!B13,"mmm-yy")&lt;&gt;TEXT('Cal_Weeks'!B12,"mmm-yy"),'Cal_Weeks'!G13,"")</f>
        <v/>
      </c>
      <c r="L2" s="13">
        <f>IF(TEXT('Cal_Weeks'!B14,"mmm-yy")&lt;&gt;TEXT('Cal_Weeks'!B13,"mmm-yy"),'Cal_Weeks'!G14,"")</f>
        <v/>
      </c>
      <c r="M2" s="13">
        <f>IF(TEXT('Cal_Weeks'!B15,"mmm-yy")&lt;&gt;TEXT('Cal_Weeks'!B14,"mmm-yy"),'Cal_Weeks'!G15,"")</f>
        <v/>
      </c>
      <c r="N2" s="13">
        <f>IF(TEXT('Cal_Weeks'!B16,"mmm-yy")&lt;&gt;TEXT('Cal_Weeks'!B15,"mmm-yy"),'Cal_Weeks'!G16,"")</f>
        <v/>
      </c>
      <c r="O2" s="13">
        <f>IF(TEXT('Cal_Weeks'!B17,"mmm-yy")&lt;&gt;TEXT('Cal_Weeks'!B16,"mmm-yy"),'Cal_Weeks'!G17,"")</f>
        <v/>
      </c>
      <c r="P2" s="13">
        <f>IF(TEXT('Cal_Weeks'!B18,"mmm-yy")&lt;&gt;TEXT('Cal_Weeks'!B17,"mmm-yy"),'Cal_Weeks'!G18,"")</f>
        <v/>
      </c>
      <c r="Q2" s="13">
        <f>IF(TEXT('Cal_Weeks'!B19,"mmm-yy")&lt;&gt;TEXT('Cal_Weeks'!B18,"mmm-yy"),'Cal_Weeks'!G19,"")</f>
        <v/>
      </c>
      <c r="R2" s="13">
        <f>IF(TEXT('Cal_Weeks'!B20,"mmm-yy")&lt;&gt;TEXT('Cal_Weeks'!B19,"mmm-yy"),'Cal_Weeks'!G20,"")</f>
        <v/>
      </c>
      <c r="S2" s="13">
        <f>IF(TEXT('Cal_Weeks'!B21,"mmm-yy")&lt;&gt;TEXT('Cal_Weeks'!B20,"mmm-yy"),'Cal_Weeks'!G21,"")</f>
        <v/>
      </c>
      <c r="T2" s="13">
        <f>IF(TEXT('Cal_Weeks'!B22,"mmm-yy")&lt;&gt;TEXT('Cal_Weeks'!B21,"mmm-yy"),'Cal_Weeks'!G22,"")</f>
        <v/>
      </c>
      <c r="U2" s="13">
        <f>IF(TEXT('Cal_Weeks'!B23,"mmm-yy")&lt;&gt;TEXT('Cal_Weeks'!B22,"mmm-yy"),'Cal_Weeks'!G23,"")</f>
        <v/>
      </c>
      <c r="V2" s="13">
        <f>IF(TEXT('Cal_Weeks'!B24,"mmm-yy")&lt;&gt;TEXT('Cal_Weeks'!B23,"mmm-yy"),'Cal_Weeks'!G24,"")</f>
        <v/>
      </c>
      <c r="W2" s="13">
        <f>IF(TEXT('Cal_Weeks'!B25,"mmm-yy")&lt;&gt;TEXT('Cal_Weeks'!B24,"mmm-yy"),'Cal_Weeks'!G25,"")</f>
        <v/>
      </c>
      <c r="X2" s="13">
        <f>IF(TEXT('Cal_Weeks'!B26,"mmm-yy")&lt;&gt;TEXT('Cal_Weeks'!B25,"mmm-yy"),'Cal_Weeks'!G26,"")</f>
        <v/>
      </c>
      <c r="Y2" s="13">
        <f>IF(TEXT('Cal_Weeks'!B27,"mmm-yy")&lt;&gt;TEXT('Cal_Weeks'!B26,"mmm-yy"),'Cal_Weeks'!G27,"")</f>
        <v/>
      </c>
      <c r="Z2" s="13">
        <f>IF(TEXT('Cal_Weeks'!B28,"mmm-yy")&lt;&gt;TEXT('Cal_Weeks'!B27,"mmm-yy"),'Cal_Weeks'!G28,"")</f>
        <v/>
      </c>
      <c r="AA2" s="13">
        <f>IF(TEXT('Cal_Weeks'!B29,"mmm-yy")&lt;&gt;TEXT('Cal_Weeks'!B28,"mmm-yy"),'Cal_Weeks'!G29,"")</f>
        <v/>
      </c>
      <c r="AB2" s="13">
        <f>IF(TEXT('Cal_Weeks'!B30,"mmm-yy")&lt;&gt;TEXT('Cal_Weeks'!B29,"mmm-yy"),'Cal_Weeks'!G30,"")</f>
        <v/>
      </c>
      <c r="AC2" s="13">
        <f>IF(TEXT('Cal_Weeks'!B31,"mmm-yy")&lt;&gt;TEXT('Cal_Weeks'!B30,"mmm-yy"),'Cal_Weeks'!G31,"")</f>
        <v/>
      </c>
      <c r="AD2" s="13">
        <f>IF(TEXT('Cal_Weeks'!B32,"mmm-yy")&lt;&gt;TEXT('Cal_Weeks'!B31,"mmm-yy"),'Cal_Weeks'!G32,"")</f>
        <v/>
      </c>
      <c r="AE2" s="13">
        <f>IF(TEXT('Cal_Weeks'!B33,"mmm-yy")&lt;&gt;TEXT('Cal_Weeks'!B32,"mmm-yy"),'Cal_Weeks'!G33,"")</f>
        <v/>
      </c>
      <c r="AF2" s="13">
        <f>IF(TEXT('Cal_Weeks'!B34,"mmm-yy")&lt;&gt;TEXT('Cal_Weeks'!B33,"mmm-yy"),'Cal_Weeks'!G34,"")</f>
        <v/>
      </c>
      <c r="AG2" s="13">
        <f>IF(TEXT('Cal_Weeks'!B35,"mmm-yy")&lt;&gt;TEXT('Cal_Weeks'!B34,"mmm-yy"),'Cal_Weeks'!G35,"")</f>
        <v/>
      </c>
      <c r="AH2" s="13">
        <f>IF(TEXT('Cal_Weeks'!B36,"mmm-yy")&lt;&gt;TEXT('Cal_Weeks'!B35,"mmm-yy"),'Cal_Weeks'!G36,"")</f>
        <v/>
      </c>
      <c r="AI2" s="13">
        <f>IF(TEXT('Cal_Weeks'!B37,"mmm-yy")&lt;&gt;TEXT('Cal_Weeks'!B36,"mmm-yy"),'Cal_Weeks'!G37,"")</f>
        <v/>
      </c>
      <c r="AJ2" s="13">
        <f>IF(TEXT('Cal_Weeks'!B38,"mmm-yy")&lt;&gt;TEXT('Cal_Weeks'!B37,"mmm-yy"),'Cal_Weeks'!G38,"")</f>
        <v/>
      </c>
      <c r="AK2" s="13">
        <f>IF(TEXT('Cal_Weeks'!B39,"mmm-yy")&lt;&gt;TEXT('Cal_Weeks'!B38,"mmm-yy"),'Cal_Weeks'!G39,"")</f>
        <v/>
      </c>
      <c r="AL2" s="13">
        <f>IF(TEXT('Cal_Weeks'!B40,"mmm-yy")&lt;&gt;TEXT('Cal_Weeks'!B39,"mmm-yy"),'Cal_Weeks'!G40,"")</f>
        <v/>
      </c>
      <c r="AM2" s="13">
        <f>IF(TEXT('Cal_Weeks'!B41,"mmm-yy")&lt;&gt;TEXT('Cal_Weeks'!B40,"mmm-yy"),'Cal_Weeks'!G41,"")</f>
        <v/>
      </c>
      <c r="AN2" s="13">
        <f>IF(TEXT('Cal_Weeks'!B42,"mmm-yy")&lt;&gt;TEXT('Cal_Weeks'!B41,"mmm-yy"),'Cal_Weeks'!G42,"")</f>
        <v/>
      </c>
      <c r="AO2" s="13">
        <f>IF(TEXT('Cal_Weeks'!B43,"mmm-yy")&lt;&gt;TEXT('Cal_Weeks'!B42,"mmm-yy"),'Cal_Weeks'!G43,"")</f>
        <v/>
      </c>
      <c r="AP2" s="13">
        <f>IF(TEXT('Cal_Weeks'!B44,"mmm-yy")&lt;&gt;TEXT('Cal_Weeks'!B43,"mmm-yy"),'Cal_Weeks'!G44,"")</f>
        <v/>
      </c>
      <c r="AQ2" s="13">
        <f>IF(TEXT('Cal_Weeks'!B45,"mmm-yy")&lt;&gt;TEXT('Cal_Weeks'!B44,"mmm-yy"),'Cal_Weeks'!G45,"")</f>
        <v/>
      </c>
      <c r="AR2" s="13">
        <f>IF(TEXT('Cal_Weeks'!B46,"mmm-yy")&lt;&gt;TEXT('Cal_Weeks'!B45,"mmm-yy"),'Cal_Weeks'!G46,"")</f>
        <v/>
      </c>
      <c r="AS2" s="13">
        <f>IF(TEXT('Cal_Weeks'!B47,"mmm-yy")&lt;&gt;TEXT('Cal_Weeks'!B46,"mmm-yy"),'Cal_Weeks'!G47,"")</f>
        <v/>
      </c>
      <c r="AT2" s="13">
        <f>IF(TEXT('Cal_Weeks'!B48,"mmm-yy")&lt;&gt;TEXT('Cal_Weeks'!B47,"mmm-yy"),'Cal_Weeks'!G48,"")</f>
        <v/>
      </c>
      <c r="AU2" s="13">
        <f>IF(TEXT('Cal_Weeks'!B49,"mmm-yy")&lt;&gt;TEXT('Cal_Weeks'!B48,"mmm-yy"),'Cal_Weeks'!G49,"")</f>
        <v/>
      </c>
      <c r="AV2" s="13">
        <f>IF(TEXT('Cal_Weeks'!B50,"mmm-yy")&lt;&gt;TEXT('Cal_Weeks'!B49,"mmm-yy"),'Cal_Weeks'!G50,"")</f>
        <v/>
      </c>
      <c r="AW2" s="13">
        <f>IF(TEXT('Cal_Weeks'!B51,"mmm-yy")&lt;&gt;TEXT('Cal_Weeks'!B50,"mmm-yy"),'Cal_Weeks'!G51,"")</f>
        <v/>
      </c>
      <c r="AX2" s="13">
        <f>IF(TEXT('Cal_Weeks'!B52,"mmm-yy")&lt;&gt;TEXT('Cal_Weeks'!B51,"mmm-yy"),'Cal_Weeks'!G52,"")</f>
        <v/>
      </c>
      <c r="AY2" s="13">
        <f>IF(TEXT('Cal_Weeks'!B53,"mmm-yy")&lt;&gt;TEXT('Cal_Weeks'!B52,"mmm-yy"),'Cal_Weeks'!G53,"")</f>
        <v/>
      </c>
      <c r="AZ2" s="13">
        <f>IF(TEXT('Cal_Weeks'!B54,"mmm-yy")&lt;&gt;TEXT('Cal_Weeks'!B53,"mmm-yy"),'Cal_Weeks'!G54,"")</f>
        <v/>
      </c>
      <c r="BA2" s="13">
        <f>IF(TEXT('Cal_Weeks'!B55,"mmm-yy")&lt;&gt;TEXT('Cal_Weeks'!B54,"mmm-yy"),'Cal_Weeks'!G55,"")</f>
        <v/>
      </c>
      <c r="BB2" s="13">
        <f>IF(TEXT('Cal_Weeks'!B56,"mmm-yy")&lt;&gt;TEXT('Cal_Weeks'!B55,"mmm-yy"),'Cal_Weeks'!G56,"")</f>
        <v/>
      </c>
      <c r="BC2" s="13">
        <f>IF(TEXT('Cal_Weeks'!B57,"mmm-yy")&lt;&gt;TEXT('Cal_Weeks'!B56,"mmm-yy"),'Cal_Weeks'!G57,"")</f>
        <v/>
      </c>
      <c r="BD2" s="13">
        <f>IF(TEXT('Cal_Weeks'!B58,"mmm-yy")&lt;&gt;TEXT('Cal_Weeks'!B57,"mmm-yy"),'Cal_Weeks'!G58,"")</f>
        <v/>
      </c>
      <c r="BE2" s="13">
        <f>IF(TEXT('Cal_Weeks'!B59,"mmm-yy")&lt;&gt;TEXT('Cal_Weeks'!B58,"mmm-yy"),'Cal_Weeks'!G59,"")</f>
        <v/>
      </c>
      <c r="BF2" s="13">
        <f>IF(TEXT('Cal_Weeks'!B60,"mmm-yy")&lt;&gt;TEXT('Cal_Weeks'!B59,"mmm-yy"),'Cal_Weeks'!G60,"")</f>
        <v/>
      </c>
      <c r="BG2" s="13">
        <f>IF(TEXT('Cal_Weeks'!B61,"mmm-yy")&lt;&gt;TEXT('Cal_Weeks'!B60,"mmm-yy"),'Cal_Weeks'!G61,"")</f>
        <v/>
      </c>
      <c r="BH2" s="13">
        <f>IF(TEXT('Cal_Weeks'!B62,"mmm-yy")&lt;&gt;TEXT('Cal_Weeks'!B61,"mmm-yy"),'Cal_Weeks'!G62,"")</f>
        <v/>
      </c>
      <c r="BI2" s="13">
        <f>IF(TEXT('Cal_Weeks'!B63,"mmm-yy")&lt;&gt;TEXT('Cal_Weeks'!B62,"mmm-yy"),'Cal_Weeks'!G63,"")</f>
        <v/>
      </c>
      <c r="BJ2" s="13">
        <f>IF(TEXT('Cal_Weeks'!B64,"mmm-yy")&lt;&gt;TEXT('Cal_Weeks'!B63,"mmm-yy"),'Cal_Weeks'!G64,"")</f>
        <v/>
      </c>
      <c r="BK2" s="13">
        <f>IF(TEXT('Cal_Weeks'!B65,"mmm-yy")&lt;&gt;TEXT('Cal_Weeks'!B64,"mmm-yy"),'Cal_Weeks'!G65,"")</f>
        <v/>
      </c>
      <c r="BL2" s="13">
        <f>IF(TEXT('Cal_Weeks'!B66,"mmm-yy")&lt;&gt;TEXT('Cal_Weeks'!B65,"mmm-yy"),'Cal_Weeks'!G66,"")</f>
        <v/>
      </c>
      <c r="BM2" s="13">
        <f>IF(TEXT('Cal_Weeks'!B67,"mmm-yy")&lt;&gt;TEXT('Cal_Weeks'!B66,"mmm-yy"),'Cal_Weeks'!G67,"")</f>
        <v/>
      </c>
      <c r="BN2" s="13">
        <f>IF(TEXT('Cal_Weeks'!B68,"mmm-yy")&lt;&gt;TEXT('Cal_Weeks'!B67,"mmm-yy"),'Cal_Weeks'!G68,"")</f>
        <v/>
      </c>
      <c r="BO2" s="13">
        <f>IF(TEXT('Cal_Weeks'!B69,"mmm-yy")&lt;&gt;TEXT('Cal_Weeks'!B68,"mmm-yy"),'Cal_Weeks'!G69,"")</f>
        <v/>
      </c>
      <c r="BP2" s="13">
        <f>IF(TEXT('Cal_Weeks'!B70,"mmm-yy")&lt;&gt;TEXT('Cal_Weeks'!B69,"mmm-yy"),'Cal_Weeks'!G70,"")</f>
        <v/>
      </c>
      <c r="BQ2" s="13">
        <f>IF(TEXT('Cal_Weeks'!B71,"mmm-yy")&lt;&gt;TEXT('Cal_Weeks'!B70,"mmm-yy"),'Cal_Weeks'!G71,"")</f>
        <v/>
      </c>
      <c r="BR2" s="13">
        <f>IF(TEXT('Cal_Weeks'!B72,"mmm-yy")&lt;&gt;TEXT('Cal_Weeks'!B71,"mmm-yy"),'Cal_Weeks'!G72,"")</f>
        <v/>
      </c>
      <c r="BS2" s="13">
        <f>IF(TEXT('Cal_Weeks'!B73,"mmm-yy")&lt;&gt;TEXT('Cal_Weeks'!B72,"mmm-yy"),'Cal_Weeks'!G73,"")</f>
        <v/>
      </c>
      <c r="BT2" s="13">
        <f>IF(TEXT('Cal_Weeks'!B74,"mmm-yy")&lt;&gt;TEXT('Cal_Weeks'!B73,"mmm-yy"),'Cal_Weeks'!G74,"")</f>
        <v/>
      </c>
      <c r="BU2" s="13">
        <f>IF(TEXT('Cal_Weeks'!B75,"mmm-yy")&lt;&gt;TEXT('Cal_Weeks'!B74,"mmm-yy"),'Cal_Weeks'!G75,"")</f>
        <v/>
      </c>
      <c r="BV2" s="13">
        <f>IF(TEXT('Cal_Weeks'!B76,"mmm-yy")&lt;&gt;TEXT('Cal_Weeks'!B75,"mmm-yy"),'Cal_Weeks'!G76,"")</f>
        <v/>
      </c>
      <c r="BW2" s="13">
        <f>IF(TEXT('Cal_Weeks'!B77,"mmm-yy")&lt;&gt;TEXT('Cal_Weeks'!B76,"mmm-yy"),'Cal_Weeks'!G77,"")</f>
        <v/>
      </c>
      <c r="BX2" s="13">
        <f>IF(TEXT('Cal_Weeks'!B78,"mmm-yy")&lt;&gt;TEXT('Cal_Weeks'!B77,"mmm-yy"),'Cal_Weeks'!G78,"")</f>
        <v/>
      </c>
      <c r="BY2" s="13">
        <f>IF(TEXT('Cal_Weeks'!B79,"mmm-yy")&lt;&gt;TEXT('Cal_Weeks'!B78,"mmm-yy"),'Cal_Weeks'!G79,"")</f>
        <v/>
      </c>
      <c r="BZ2" s="13">
        <f>IF(TEXT('Cal_Weeks'!B80,"mmm-yy")&lt;&gt;TEXT('Cal_Weeks'!B79,"mmm-yy"),'Cal_Weeks'!G80,"")</f>
        <v/>
      </c>
      <c r="CA2" s="13">
        <f>IF(TEXT('Cal_Weeks'!B81,"mmm-yy")&lt;&gt;TEXT('Cal_Weeks'!B80,"mmm-yy"),'Cal_Weeks'!G81,"")</f>
        <v/>
      </c>
      <c r="CB2" s="13">
        <f>IF(TEXT('Cal_Weeks'!B82,"mmm-yy")&lt;&gt;TEXT('Cal_Weeks'!B81,"mmm-yy"),'Cal_Weeks'!G82,"")</f>
        <v/>
      </c>
      <c r="CC2" s="13">
        <f>IF(TEXT('Cal_Weeks'!B83,"mmm-yy")&lt;&gt;TEXT('Cal_Weeks'!B82,"mmm-yy"),'Cal_Weeks'!G83,"")</f>
        <v/>
      </c>
      <c r="CD2" s="13">
        <f>IF(TEXT('Cal_Weeks'!B84,"mmm-yy")&lt;&gt;TEXT('Cal_Weeks'!B83,"mmm-yy"),'Cal_Weeks'!G84,"")</f>
        <v/>
      </c>
      <c r="CE2" s="13">
        <f>IF(TEXT('Cal_Weeks'!B85,"mmm-yy")&lt;&gt;TEXT('Cal_Weeks'!B84,"mmm-yy"),'Cal_Weeks'!G85,"")</f>
        <v/>
      </c>
      <c r="CF2" s="13">
        <f>IF(TEXT('Cal_Weeks'!B86,"mmm-yy")&lt;&gt;TEXT('Cal_Weeks'!B85,"mmm-yy"),'Cal_Weeks'!G86,"")</f>
        <v/>
      </c>
      <c r="CG2" s="13">
        <f>IF(TEXT('Cal_Weeks'!B87,"mmm-yy")&lt;&gt;TEXT('Cal_Weeks'!B86,"mmm-yy"),'Cal_Weeks'!G87,"")</f>
        <v/>
      </c>
      <c r="CH2" s="13">
        <f>IF(TEXT('Cal_Weeks'!B88,"mmm-yy")&lt;&gt;TEXT('Cal_Weeks'!B87,"mmm-yy"),'Cal_Weeks'!G88,"")</f>
        <v/>
      </c>
      <c r="CI2" s="13">
        <f>IF(TEXT('Cal_Weeks'!B89,"mmm-yy")&lt;&gt;TEXT('Cal_Weeks'!B88,"mmm-yy"),'Cal_Weeks'!G89,"")</f>
        <v/>
      </c>
      <c r="CJ2" s="13">
        <f>IF(TEXT('Cal_Weeks'!B90,"mmm-yy")&lt;&gt;TEXT('Cal_Weeks'!B89,"mmm-yy"),'Cal_Weeks'!G90,"")</f>
        <v/>
      </c>
      <c r="CK2" s="13">
        <f>IF(TEXT('Cal_Weeks'!B91,"mmm-yy")&lt;&gt;TEXT('Cal_Weeks'!B90,"mmm-yy"),'Cal_Weeks'!G91,"")</f>
        <v/>
      </c>
      <c r="CL2" s="13">
        <f>IF(TEXT('Cal_Weeks'!B92,"mmm-yy")&lt;&gt;TEXT('Cal_Weeks'!B91,"mmm-yy"),'Cal_Weeks'!G92,"")</f>
        <v/>
      </c>
      <c r="CM2" s="13">
        <f>IF(TEXT('Cal_Weeks'!B93,"mmm-yy")&lt;&gt;TEXT('Cal_Weeks'!B92,"mmm-yy"),'Cal_Weeks'!G93,"")</f>
        <v/>
      </c>
      <c r="CN2" s="13">
        <f>IF(TEXT('Cal_Weeks'!B94,"mmm-yy")&lt;&gt;TEXT('Cal_Weeks'!B93,"mmm-yy"),'Cal_Weeks'!G94,"")</f>
        <v/>
      </c>
      <c r="CO2" s="13">
        <f>IF(TEXT('Cal_Weeks'!B95,"mmm-yy")&lt;&gt;TEXT('Cal_Weeks'!B94,"mmm-yy"),'Cal_Weeks'!G95,"")</f>
        <v/>
      </c>
      <c r="CP2" s="13">
        <f>IF(TEXT('Cal_Weeks'!B96,"mmm-yy")&lt;&gt;TEXT('Cal_Weeks'!B95,"mmm-yy"),'Cal_Weeks'!G96,"")</f>
        <v/>
      </c>
      <c r="CQ2" s="13">
        <f>IF(TEXT('Cal_Weeks'!B97,"mmm-yy")&lt;&gt;TEXT('Cal_Weeks'!B96,"mmm-yy"),'Cal_Weeks'!G97,"")</f>
        <v/>
      </c>
      <c r="CR2" s="13">
        <f>IF(TEXT('Cal_Weeks'!B98,"mmm-yy")&lt;&gt;TEXT('Cal_Weeks'!B97,"mmm-yy"),'Cal_Weeks'!G98,"")</f>
        <v/>
      </c>
      <c r="CS2" s="13">
        <f>IF(TEXT('Cal_Weeks'!B99,"mmm-yy")&lt;&gt;TEXT('Cal_Weeks'!B98,"mmm-yy"),'Cal_Weeks'!G99,"")</f>
        <v/>
      </c>
      <c r="CT2" s="13">
        <f>IF(TEXT('Cal_Weeks'!B100,"mmm-yy")&lt;&gt;TEXT('Cal_Weeks'!B99,"mmm-yy"),'Cal_Weeks'!G100,"")</f>
        <v/>
      </c>
      <c r="CU2" s="13">
        <f>IF(TEXT('Cal_Weeks'!B101,"mmm-yy")&lt;&gt;TEXT('Cal_Weeks'!B100,"mmm-yy"),'Cal_Weeks'!G101,"")</f>
        <v/>
      </c>
      <c r="CV2" s="13">
        <f>IF(TEXT('Cal_Weeks'!B102,"mmm-yy")&lt;&gt;TEXT('Cal_Weeks'!B101,"mmm-yy"),'Cal_Weeks'!G102,"")</f>
        <v/>
      </c>
      <c r="CW2" s="13">
        <f>IF(TEXT('Cal_Weeks'!B103,"mmm-yy")&lt;&gt;TEXT('Cal_Weeks'!B102,"mmm-yy"),'Cal_Weeks'!G103,"")</f>
        <v/>
      </c>
      <c r="CX2" s="13">
        <f>IF(TEXT('Cal_Weeks'!B104,"mmm-yy")&lt;&gt;TEXT('Cal_Weeks'!B103,"mmm-yy"),'Cal_Weeks'!G104,"")</f>
        <v/>
      </c>
      <c r="CY2" s="13">
        <f>IF(TEXT('Cal_Weeks'!B105,"mmm-yy")&lt;&gt;TEXT('Cal_Weeks'!B104,"mmm-yy"),'Cal_Weeks'!G105,"")</f>
        <v/>
      </c>
      <c r="CZ2" s="13">
        <f>IF(TEXT('Cal_Weeks'!B106,"mmm-yy")&lt;&gt;TEXT('Cal_Weeks'!B105,"mmm-yy"),'Cal_Weeks'!G106,"")</f>
        <v/>
      </c>
      <c r="DA2" s="13">
        <f>IF(TEXT('Cal_Weeks'!B107,"mmm-yy")&lt;&gt;TEXT('Cal_Weeks'!B106,"mmm-yy"),'Cal_Weeks'!G107,"")</f>
        <v/>
      </c>
    </row>
    <row r="3">
      <c r="A3" s="14" t="n"/>
      <c r="B3" s="15">
        <f>'Cal_Weeks'!B4</f>
        <v/>
      </c>
      <c r="C3" s="15">
        <f>'Cal_Weeks'!B5</f>
        <v/>
      </c>
      <c r="D3" s="15">
        <f>'Cal_Weeks'!B6</f>
        <v/>
      </c>
      <c r="E3" s="15">
        <f>'Cal_Weeks'!B7</f>
        <v/>
      </c>
      <c r="F3" s="15">
        <f>'Cal_Weeks'!B8</f>
        <v/>
      </c>
      <c r="G3" s="15">
        <f>'Cal_Weeks'!B9</f>
        <v/>
      </c>
      <c r="H3" s="15">
        <f>'Cal_Weeks'!B10</f>
        <v/>
      </c>
      <c r="I3" s="15">
        <f>'Cal_Weeks'!B11</f>
        <v/>
      </c>
      <c r="J3" s="15">
        <f>'Cal_Weeks'!B12</f>
        <v/>
      </c>
      <c r="K3" s="15">
        <f>'Cal_Weeks'!B13</f>
        <v/>
      </c>
      <c r="L3" s="15">
        <f>'Cal_Weeks'!B14</f>
        <v/>
      </c>
      <c r="M3" s="15">
        <f>'Cal_Weeks'!B15</f>
        <v/>
      </c>
      <c r="N3" s="15">
        <f>'Cal_Weeks'!B16</f>
        <v/>
      </c>
      <c r="O3" s="15">
        <f>'Cal_Weeks'!B17</f>
        <v/>
      </c>
      <c r="P3" s="15">
        <f>'Cal_Weeks'!B18</f>
        <v/>
      </c>
      <c r="Q3" s="15">
        <f>'Cal_Weeks'!B19</f>
        <v/>
      </c>
      <c r="R3" s="15">
        <f>'Cal_Weeks'!B20</f>
        <v/>
      </c>
      <c r="S3" s="15">
        <f>'Cal_Weeks'!B21</f>
        <v/>
      </c>
      <c r="T3" s="15">
        <f>'Cal_Weeks'!B22</f>
        <v/>
      </c>
      <c r="U3" s="15">
        <f>'Cal_Weeks'!B23</f>
        <v/>
      </c>
      <c r="V3" s="15">
        <f>'Cal_Weeks'!B24</f>
        <v/>
      </c>
      <c r="W3" s="15">
        <f>'Cal_Weeks'!B25</f>
        <v/>
      </c>
      <c r="X3" s="15">
        <f>'Cal_Weeks'!B26</f>
        <v/>
      </c>
      <c r="Y3" s="15">
        <f>'Cal_Weeks'!B27</f>
        <v/>
      </c>
      <c r="Z3" s="15">
        <f>'Cal_Weeks'!B28</f>
        <v/>
      </c>
      <c r="AA3" s="15">
        <f>'Cal_Weeks'!B29</f>
        <v/>
      </c>
      <c r="AB3" s="15">
        <f>'Cal_Weeks'!B30</f>
        <v/>
      </c>
      <c r="AC3" s="15">
        <f>'Cal_Weeks'!B31</f>
        <v/>
      </c>
      <c r="AD3" s="15">
        <f>'Cal_Weeks'!B32</f>
        <v/>
      </c>
      <c r="AE3" s="15">
        <f>'Cal_Weeks'!B33</f>
        <v/>
      </c>
      <c r="AF3" s="15">
        <f>'Cal_Weeks'!B34</f>
        <v/>
      </c>
      <c r="AG3" s="15">
        <f>'Cal_Weeks'!B35</f>
        <v/>
      </c>
      <c r="AH3" s="15">
        <f>'Cal_Weeks'!B36</f>
        <v/>
      </c>
      <c r="AI3" s="15">
        <f>'Cal_Weeks'!B37</f>
        <v/>
      </c>
      <c r="AJ3" s="15">
        <f>'Cal_Weeks'!B38</f>
        <v/>
      </c>
      <c r="AK3" s="15">
        <f>'Cal_Weeks'!B39</f>
        <v/>
      </c>
      <c r="AL3" s="15">
        <f>'Cal_Weeks'!B40</f>
        <v/>
      </c>
      <c r="AM3" s="15">
        <f>'Cal_Weeks'!B41</f>
        <v/>
      </c>
      <c r="AN3" s="15">
        <f>'Cal_Weeks'!B42</f>
        <v/>
      </c>
      <c r="AO3" s="15">
        <f>'Cal_Weeks'!B43</f>
        <v/>
      </c>
      <c r="AP3" s="15">
        <f>'Cal_Weeks'!B44</f>
        <v/>
      </c>
      <c r="AQ3" s="15">
        <f>'Cal_Weeks'!B45</f>
        <v/>
      </c>
      <c r="AR3" s="15">
        <f>'Cal_Weeks'!B46</f>
        <v/>
      </c>
      <c r="AS3" s="15">
        <f>'Cal_Weeks'!B47</f>
        <v/>
      </c>
      <c r="AT3" s="15">
        <f>'Cal_Weeks'!B48</f>
        <v/>
      </c>
      <c r="AU3" s="15">
        <f>'Cal_Weeks'!B49</f>
        <v/>
      </c>
      <c r="AV3" s="15">
        <f>'Cal_Weeks'!B50</f>
        <v/>
      </c>
      <c r="AW3" s="15">
        <f>'Cal_Weeks'!B51</f>
        <v/>
      </c>
      <c r="AX3" s="15">
        <f>'Cal_Weeks'!B52</f>
        <v/>
      </c>
      <c r="AY3" s="15">
        <f>'Cal_Weeks'!B53</f>
        <v/>
      </c>
      <c r="AZ3" s="15">
        <f>'Cal_Weeks'!B54</f>
        <v/>
      </c>
      <c r="BA3" s="15">
        <f>'Cal_Weeks'!B55</f>
        <v/>
      </c>
      <c r="BB3" s="15">
        <f>'Cal_Weeks'!B56</f>
        <v/>
      </c>
      <c r="BC3" s="15">
        <f>'Cal_Weeks'!B57</f>
        <v/>
      </c>
      <c r="BD3" s="15">
        <f>'Cal_Weeks'!B58</f>
        <v/>
      </c>
      <c r="BE3" s="15">
        <f>'Cal_Weeks'!B59</f>
        <v/>
      </c>
      <c r="BF3" s="15">
        <f>'Cal_Weeks'!B60</f>
        <v/>
      </c>
      <c r="BG3" s="15">
        <f>'Cal_Weeks'!B61</f>
        <v/>
      </c>
      <c r="BH3" s="15">
        <f>'Cal_Weeks'!B62</f>
        <v/>
      </c>
      <c r="BI3" s="15">
        <f>'Cal_Weeks'!B63</f>
        <v/>
      </c>
      <c r="BJ3" s="15">
        <f>'Cal_Weeks'!B64</f>
        <v/>
      </c>
      <c r="BK3" s="15">
        <f>'Cal_Weeks'!B65</f>
        <v/>
      </c>
      <c r="BL3" s="15">
        <f>'Cal_Weeks'!B66</f>
        <v/>
      </c>
      <c r="BM3" s="15">
        <f>'Cal_Weeks'!B67</f>
        <v/>
      </c>
      <c r="BN3" s="15">
        <f>'Cal_Weeks'!B68</f>
        <v/>
      </c>
      <c r="BO3" s="15">
        <f>'Cal_Weeks'!B69</f>
        <v/>
      </c>
      <c r="BP3" s="15">
        <f>'Cal_Weeks'!B70</f>
        <v/>
      </c>
      <c r="BQ3" s="15">
        <f>'Cal_Weeks'!B71</f>
        <v/>
      </c>
      <c r="BR3" s="15">
        <f>'Cal_Weeks'!B72</f>
        <v/>
      </c>
      <c r="BS3" s="15">
        <f>'Cal_Weeks'!B73</f>
        <v/>
      </c>
      <c r="BT3" s="15">
        <f>'Cal_Weeks'!B74</f>
        <v/>
      </c>
      <c r="BU3" s="15">
        <f>'Cal_Weeks'!B75</f>
        <v/>
      </c>
      <c r="BV3" s="15">
        <f>'Cal_Weeks'!B76</f>
        <v/>
      </c>
      <c r="BW3" s="15">
        <f>'Cal_Weeks'!B77</f>
        <v/>
      </c>
      <c r="BX3" s="15">
        <f>'Cal_Weeks'!B78</f>
        <v/>
      </c>
      <c r="BY3" s="15">
        <f>'Cal_Weeks'!B79</f>
        <v/>
      </c>
      <c r="BZ3" s="15">
        <f>'Cal_Weeks'!B80</f>
        <v/>
      </c>
      <c r="CA3" s="15">
        <f>'Cal_Weeks'!B81</f>
        <v/>
      </c>
      <c r="CB3" s="15">
        <f>'Cal_Weeks'!B82</f>
        <v/>
      </c>
      <c r="CC3" s="15">
        <f>'Cal_Weeks'!B83</f>
        <v/>
      </c>
      <c r="CD3" s="15">
        <f>'Cal_Weeks'!B84</f>
        <v/>
      </c>
      <c r="CE3" s="15">
        <f>'Cal_Weeks'!B85</f>
        <v/>
      </c>
      <c r="CF3" s="15">
        <f>'Cal_Weeks'!B86</f>
        <v/>
      </c>
      <c r="CG3" s="15">
        <f>'Cal_Weeks'!B87</f>
        <v/>
      </c>
      <c r="CH3" s="15">
        <f>'Cal_Weeks'!B88</f>
        <v/>
      </c>
      <c r="CI3" s="15">
        <f>'Cal_Weeks'!B89</f>
        <v/>
      </c>
      <c r="CJ3" s="15">
        <f>'Cal_Weeks'!B90</f>
        <v/>
      </c>
      <c r="CK3" s="15">
        <f>'Cal_Weeks'!B91</f>
        <v/>
      </c>
      <c r="CL3" s="15">
        <f>'Cal_Weeks'!B92</f>
        <v/>
      </c>
      <c r="CM3" s="15">
        <f>'Cal_Weeks'!B93</f>
        <v/>
      </c>
      <c r="CN3" s="15">
        <f>'Cal_Weeks'!B94</f>
        <v/>
      </c>
      <c r="CO3" s="15">
        <f>'Cal_Weeks'!B95</f>
        <v/>
      </c>
      <c r="CP3" s="15">
        <f>'Cal_Weeks'!B96</f>
        <v/>
      </c>
      <c r="CQ3" s="15">
        <f>'Cal_Weeks'!B97</f>
        <v/>
      </c>
      <c r="CR3" s="15">
        <f>'Cal_Weeks'!B98</f>
        <v/>
      </c>
      <c r="CS3" s="15">
        <f>'Cal_Weeks'!B99</f>
        <v/>
      </c>
      <c r="CT3" s="15">
        <f>'Cal_Weeks'!B100</f>
        <v/>
      </c>
      <c r="CU3" s="15">
        <f>'Cal_Weeks'!B101</f>
        <v/>
      </c>
      <c r="CV3" s="15">
        <f>'Cal_Weeks'!B102</f>
        <v/>
      </c>
      <c r="CW3" s="15">
        <f>'Cal_Weeks'!B103</f>
        <v/>
      </c>
      <c r="CX3" s="15">
        <f>'Cal_Weeks'!B104</f>
        <v/>
      </c>
      <c r="CY3" s="15">
        <f>'Cal_Weeks'!B105</f>
        <v/>
      </c>
      <c r="CZ3" s="15">
        <f>'Cal_Weeks'!B106</f>
        <v/>
      </c>
      <c r="DA3" s="15">
        <f>'Cal_Weeks'!B107</f>
        <v/>
      </c>
    </row>
    <row r="4">
      <c r="A4" s="14" t="n"/>
      <c r="B4" s="14">
        <f>'Cal_Weeks'!D4</f>
        <v/>
      </c>
      <c r="C4" s="14">
        <f>'Cal_Weeks'!D5</f>
        <v/>
      </c>
      <c r="D4" s="14">
        <f>'Cal_Weeks'!D6</f>
        <v/>
      </c>
      <c r="E4" s="14">
        <f>'Cal_Weeks'!D7</f>
        <v/>
      </c>
      <c r="F4" s="14">
        <f>'Cal_Weeks'!D8</f>
        <v/>
      </c>
      <c r="G4" s="14">
        <f>'Cal_Weeks'!D9</f>
        <v/>
      </c>
      <c r="H4" s="14">
        <f>'Cal_Weeks'!D10</f>
        <v/>
      </c>
      <c r="I4" s="14">
        <f>'Cal_Weeks'!D11</f>
        <v/>
      </c>
      <c r="J4" s="14">
        <f>'Cal_Weeks'!D12</f>
        <v/>
      </c>
      <c r="K4" s="14">
        <f>'Cal_Weeks'!D13</f>
        <v/>
      </c>
      <c r="L4" s="14">
        <f>'Cal_Weeks'!D14</f>
        <v/>
      </c>
      <c r="M4" s="14">
        <f>'Cal_Weeks'!D15</f>
        <v/>
      </c>
      <c r="N4" s="14">
        <f>'Cal_Weeks'!D16</f>
        <v/>
      </c>
      <c r="O4" s="14">
        <f>'Cal_Weeks'!D17</f>
        <v/>
      </c>
      <c r="P4" s="14">
        <f>'Cal_Weeks'!D18</f>
        <v/>
      </c>
      <c r="Q4" s="14">
        <f>'Cal_Weeks'!D19</f>
        <v/>
      </c>
      <c r="R4" s="14">
        <f>'Cal_Weeks'!D20</f>
        <v/>
      </c>
      <c r="S4" s="14">
        <f>'Cal_Weeks'!D21</f>
        <v/>
      </c>
      <c r="T4" s="14">
        <f>'Cal_Weeks'!D22</f>
        <v/>
      </c>
      <c r="U4" s="14">
        <f>'Cal_Weeks'!D23</f>
        <v/>
      </c>
      <c r="V4" s="14">
        <f>'Cal_Weeks'!D24</f>
        <v/>
      </c>
      <c r="W4" s="14">
        <f>'Cal_Weeks'!D25</f>
        <v/>
      </c>
      <c r="X4" s="14">
        <f>'Cal_Weeks'!D26</f>
        <v/>
      </c>
      <c r="Y4" s="14">
        <f>'Cal_Weeks'!D27</f>
        <v/>
      </c>
      <c r="Z4" s="14">
        <f>'Cal_Weeks'!D28</f>
        <v/>
      </c>
      <c r="AA4" s="14">
        <f>'Cal_Weeks'!D29</f>
        <v/>
      </c>
      <c r="AB4" s="14">
        <f>'Cal_Weeks'!D30</f>
        <v/>
      </c>
      <c r="AC4" s="14">
        <f>'Cal_Weeks'!D31</f>
        <v/>
      </c>
      <c r="AD4" s="14">
        <f>'Cal_Weeks'!D32</f>
        <v/>
      </c>
      <c r="AE4" s="14">
        <f>'Cal_Weeks'!D33</f>
        <v/>
      </c>
      <c r="AF4" s="14">
        <f>'Cal_Weeks'!D34</f>
        <v/>
      </c>
      <c r="AG4" s="14">
        <f>'Cal_Weeks'!D35</f>
        <v/>
      </c>
      <c r="AH4" s="14">
        <f>'Cal_Weeks'!D36</f>
        <v/>
      </c>
      <c r="AI4" s="14">
        <f>'Cal_Weeks'!D37</f>
        <v/>
      </c>
      <c r="AJ4" s="14">
        <f>'Cal_Weeks'!D38</f>
        <v/>
      </c>
      <c r="AK4" s="14">
        <f>'Cal_Weeks'!D39</f>
        <v/>
      </c>
      <c r="AL4" s="14">
        <f>'Cal_Weeks'!D40</f>
        <v/>
      </c>
      <c r="AM4" s="14">
        <f>'Cal_Weeks'!D41</f>
        <v/>
      </c>
      <c r="AN4" s="14">
        <f>'Cal_Weeks'!D42</f>
        <v/>
      </c>
      <c r="AO4" s="14">
        <f>'Cal_Weeks'!D43</f>
        <v/>
      </c>
      <c r="AP4" s="14">
        <f>'Cal_Weeks'!D44</f>
        <v/>
      </c>
      <c r="AQ4" s="14">
        <f>'Cal_Weeks'!D45</f>
        <v/>
      </c>
      <c r="AR4" s="14">
        <f>'Cal_Weeks'!D46</f>
        <v/>
      </c>
      <c r="AS4" s="14">
        <f>'Cal_Weeks'!D47</f>
        <v/>
      </c>
      <c r="AT4" s="14">
        <f>'Cal_Weeks'!D48</f>
        <v/>
      </c>
      <c r="AU4" s="14">
        <f>'Cal_Weeks'!D49</f>
        <v/>
      </c>
      <c r="AV4" s="14">
        <f>'Cal_Weeks'!D50</f>
        <v/>
      </c>
      <c r="AW4" s="14">
        <f>'Cal_Weeks'!D51</f>
        <v/>
      </c>
      <c r="AX4" s="14">
        <f>'Cal_Weeks'!D52</f>
        <v/>
      </c>
      <c r="AY4" s="14">
        <f>'Cal_Weeks'!D53</f>
        <v/>
      </c>
      <c r="AZ4" s="14">
        <f>'Cal_Weeks'!D54</f>
        <v/>
      </c>
      <c r="BA4" s="14">
        <f>'Cal_Weeks'!D55</f>
        <v/>
      </c>
      <c r="BB4" s="14">
        <f>'Cal_Weeks'!D56</f>
        <v/>
      </c>
      <c r="BC4" s="14">
        <f>'Cal_Weeks'!D57</f>
        <v/>
      </c>
      <c r="BD4" s="14">
        <f>'Cal_Weeks'!D58</f>
        <v/>
      </c>
      <c r="BE4" s="14">
        <f>'Cal_Weeks'!D59</f>
        <v/>
      </c>
      <c r="BF4" s="14">
        <f>'Cal_Weeks'!D60</f>
        <v/>
      </c>
      <c r="BG4" s="14">
        <f>'Cal_Weeks'!D61</f>
        <v/>
      </c>
      <c r="BH4" s="14">
        <f>'Cal_Weeks'!D62</f>
        <v/>
      </c>
      <c r="BI4" s="14">
        <f>'Cal_Weeks'!D63</f>
        <v/>
      </c>
      <c r="BJ4" s="14">
        <f>'Cal_Weeks'!D64</f>
        <v/>
      </c>
      <c r="BK4" s="14">
        <f>'Cal_Weeks'!D65</f>
        <v/>
      </c>
      <c r="BL4" s="14">
        <f>'Cal_Weeks'!D66</f>
        <v/>
      </c>
      <c r="BM4" s="14">
        <f>'Cal_Weeks'!D67</f>
        <v/>
      </c>
      <c r="BN4" s="14">
        <f>'Cal_Weeks'!D68</f>
        <v/>
      </c>
      <c r="BO4" s="14">
        <f>'Cal_Weeks'!D69</f>
        <v/>
      </c>
      <c r="BP4" s="14">
        <f>'Cal_Weeks'!D70</f>
        <v/>
      </c>
      <c r="BQ4" s="14">
        <f>'Cal_Weeks'!D71</f>
        <v/>
      </c>
      <c r="BR4" s="14">
        <f>'Cal_Weeks'!D72</f>
        <v/>
      </c>
      <c r="BS4" s="14">
        <f>'Cal_Weeks'!D73</f>
        <v/>
      </c>
      <c r="BT4" s="14">
        <f>'Cal_Weeks'!D74</f>
        <v/>
      </c>
      <c r="BU4" s="14">
        <f>'Cal_Weeks'!D75</f>
        <v/>
      </c>
      <c r="BV4" s="14">
        <f>'Cal_Weeks'!D76</f>
        <v/>
      </c>
      <c r="BW4" s="14">
        <f>'Cal_Weeks'!D77</f>
        <v/>
      </c>
      <c r="BX4" s="14">
        <f>'Cal_Weeks'!D78</f>
        <v/>
      </c>
      <c r="BY4" s="14">
        <f>'Cal_Weeks'!D79</f>
        <v/>
      </c>
      <c r="BZ4" s="14">
        <f>'Cal_Weeks'!D80</f>
        <v/>
      </c>
      <c r="CA4" s="14">
        <f>'Cal_Weeks'!D81</f>
        <v/>
      </c>
      <c r="CB4" s="14">
        <f>'Cal_Weeks'!D82</f>
        <v/>
      </c>
      <c r="CC4" s="14">
        <f>'Cal_Weeks'!D83</f>
        <v/>
      </c>
      <c r="CD4" s="14">
        <f>'Cal_Weeks'!D84</f>
        <v/>
      </c>
      <c r="CE4" s="14">
        <f>'Cal_Weeks'!D85</f>
        <v/>
      </c>
      <c r="CF4" s="14">
        <f>'Cal_Weeks'!D86</f>
        <v/>
      </c>
      <c r="CG4" s="14">
        <f>'Cal_Weeks'!D87</f>
        <v/>
      </c>
      <c r="CH4" s="14">
        <f>'Cal_Weeks'!D88</f>
        <v/>
      </c>
      <c r="CI4" s="14">
        <f>'Cal_Weeks'!D89</f>
        <v/>
      </c>
      <c r="CJ4" s="14">
        <f>'Cal_Weeks'!D90</f>
        <v/>
      </c>
      <c r="CK4" s="14">
        <f>'Cal_Weeks'!D91</f>
        <v/>
      </c>
      <c r="CL4" s="14">
        <f>'Cal_Weeks'!D92</f>
        <v/>
      </c>
      <c r="CM4" s="14">
        <f>'Cal_Weeks'!D93</f>
        <v/>
      </c>
      <c r="CN4" s="14">
        <f>'Cal_Weeks'!D94</f>
        <v/>
      </c>
      <c r="CO4" s="14">
        <f>'Cal_Weeks'!D95</f>
        <v/>
      </c>
      <c r="CP4" s="14">
        <f>'Cal_Weeks'!D96</f>
        <v/>
      </c>
      <c r="CQ4" s="14">
        <f>'Cal_Weeks'!D97</f>
        <v/>
      </c>
      <c r="CR4" s="14">
        <f>'Cal_Weeks'!D98</f>
        <v/>
      </c>
      <c r="CS4" s="14">
        <f>'Cal_Weeks'!D99</f>
        <v/>
      </c>
      <c r="CT4" s="14">
        <f>'Cal_Weeks'!D100</f>
        <v/>
      </c>
      <c r="CU4" s="14">
        <f>'Cal_Weeks'!D101</f>
        <v/>
      </c>
      <c r="CV4" s="14">
        <f>'Cal_Weeks'!D102</f>
        <v/>
      </c>
      <c r="CW4" s="14">
        <f>'Cal_Weeks'!D103</f>
        <v/>
      </c>
      <c r="CX4" s="14">
        <f>'Cal_Weeks'!D104</f>
        <v/>
      </c>
      <c r="CY4" s="14">
        <f>'Cal_Weeks'!D105</f>
        <v/>
      </c>
      <c r="CZ4" s="14">
        <f>'Cal_Weeks'!D106</f>
        <v/>
      </c>
      <c r="DA4" s="14">
        <f>'Cal_Weeks'!D107</f>
        <v/>
      </c>
    </row>
    <row r="5">
      <c r="A5" s="16" t="inlineStr">
        <is>
          <t>Part Name</t>
        </is>
      </c>
      <c r="B5" s="16" t="inlineStr">
        <is>
          <t>2026-W01</t>
        </is>
      </c>
      <c r="C5" s="16" t="inlineStr">
        <is>
          <t>2026-W02</t>
        </is>
      </c>
      <c r="D5" s="16" t="inlineStr">
        <is>
          <t>2026-W03</t>
        </is>
      </c>
      <c r="E5" s="16" t="inlineStr">
        <is>
          <t>2026-W04</t>
        </is>
      </c>
      <c r="F5" s="16" t="inlineStr">
        <is>
          <t>2026-W05</t>
        </is>
      </c>
      <c r="G5" s="16" t="inlineStr">
        <is>
          <t>2026-W06</t>
        </is>
      </c>
      <c r="H5" s="16" t="inlineStr">
        <is>
          <t>2026-W07</t>
        </is>
      </c>
      <c r="I5" s="16" t="inlineStr">
        <is>
          <t>2026-W08</t>
        </is>
      </c>
      <c r="J5" s="16" t="inlineStr">
        <is>
          <t>2026-W09</t>
        </is>
      </c>
      <c r="K5" s="16" t="inlineStr">
        <is>
          <t>2026-W10</t>
        </is>
      </c>
      <c r="L5" s="16" t="inlineStr">
        <is>
          <t>2026-W11</t>
        </is>
      </c>
      <c r="M5" s="16" t="inlineStr">
        <is>
          <t>2026-W12</t>
        </is>
      </c>
      <c r="N5" s="16" t="inlineStr">
        <is>
          <t>2026-W13</t>
        </is>
      </c>
      <c r="O5" s="16" t="inlineStr">
        <is>
          <t>2026-W14</t>
        </is>
      </c>
      <c r="P5" s="16" t="inlineStr">
        <is>
          <t>2026-W15</t>
        </is>
      </c>
      <c r="Q5" s="16" t="inlineStr">
        <is>
          <t>2026-W16</t>
        </is>
      </c>
      <c r="R5" s="16" t="inlineStr">
        <is>
          <t>2026-W17</t>
        </is>
      </c>
      <c r="S5" s="16" t="inlineStr">
        <is>
          <t>2026-W18</t>
        </is>
      </c>
      <c r="T5" s="16" t="inlineStr">
        <is>
          <t>2026-W19</t>
        </is>
      </c>
      <c r="U5" s="16" t="inlineStr">
        <is>
          <t>2026-W20</t>
        </is>
      </c>
      <c r="V5" s="16" t="inlineStr">
        <is>
          <t>2026-W21</t>
        </is>
      </c>
      <c r="W5" s="16" t="inlineStr">
        <is>
          <t>2026-W22</t>
        </is>
      </c>
      <c r="X5" s="16" t="inlineStr">
        <is>
          <t>2026-W23</t>
        </is>
      </c>
      <c r="Y5" s="16" t="inlineStr">
        <is>
          <t>2026-W24</t>
        </is>
      </c>
      <c r="Z5" s="16" t="inlineStr">
        <is>
          <t>2026-W25</t>
        </is>
      </c>
      <c r="AA5" s="16" t="inlineStr">
        <is>
          <t>2026-W26</t>
        </is>
      </c>
      <c r="AB5" s="16" t="inlineStr">
        <is>
          <t>2026-W27</t>
        </is>
      </c>
      <c r="AC5" s="16" t="inlineStr">
        <is>
          <t>2026-W28</t>
        </is>
      </c>
      <c r="AD5" s="16" t="inlineStr">
        <is>
          <t>2026-W29</t>
        </is>
      </c>
      <c r="AE5" s="16" t="inlineStr">
        <is>
          <t>2026-W30</t>
        </is>
      </c>
      <c r="AF5" s="16" t="inlineStr">
        <is>
          <t>2026-W31</t>
        </is>
      </c>
      <c r="AG5" s="16" t="inlineStr">
        <is>
          <t>2026-W32</t>
        </is>
      </c>
      <c r="AH5" s="16" t="inlineStr">
        <is>
          <t>2026-W33</t>
        </is>
      </c>
      <c r="AI5" s="16" t="inlineStr">
        <is>
          <t>2026-W34</t>
        </is>
      </c>
      <c r="AJ5" s="16" t="inlineStr">
        <is>
          <t>2026-W35</t>
        </is>
      </c>
      <c r="AK5" s="16" t="inlineStr">
        <is>
          <t>2026-W36</t>
        </is>
      </c>
      <c r="AL5" s="16" t="inlineStr">
        <is>
          <t>2026-W37</t>
        </is>
      </c>
      <c r="AM5" s="16" t="inlineStr">
        <is>
          <t>2026-W38</t>
        </is>
      </c>
      <c r="AN5" s="16" t="inlineStr">
        <is>
          <t>2026-W39</t>
        </is>
      </c>
      <c r="AO5" s="16" t="inlineStr">
        <is>
          <t>2026-W40</t>
        </is>
      </c>
      <c r="AP5" s="16" t="inlineStr">
        <is>
          <t>2026-W41</t>
        </is>
      </c>
      <c r="AQ5" s="16" t="inlineStr">
        <is>
          <t>2026-W42</t>
        </is>
      </c>
      <c r="AR5" s="16" t="inlineStr">
        <is>
          <t>2026-W43</t>
        </is>
      </c>
      <c r="AS5" s="16" t="inlineStr">
        <is>
          <t>2026-W44</t>
        </is>
      </c>
      <c r="AT5" s="16" t="inlineStr">
        <is>
          <t>2026-W45</t>
        </is>
      </c>
      <c r="AU5" s="16" t="inlineStr">
        <is>
          <t>2026-W46</t>
        </is>
      </c>
      <c r="AV5" s="16" t="inlineStr">
        <is>
          <t>2026-W47</t>
        </is>
      </c>
      <c r="AW5" s="16" t="inlineStr">
        <is>
          <t>2026-W48</t>
        </is>
      </c>
      <c r="AX5" s="16" t="inlineStr">
        <is>
          <t>2026-W49</t>
        </is>
      </c>
      <c r="AY5" s="16" t="inlineStr">
        <is>
          <t>2026-W50</t>
        </is>
      </c>
      <c r="AZ5" s="16" t="inlineStr">
        <is>
          <t>2026-W51</t>
        </is>
      </c>
      <c r="BA5" s="16" t="inlineStr">
        <is>
          <t>2026-W52</t>
        </is>
      </c>
      <c r="BB5" s="16" t="inlineStr">
        <is>
          <t>2027-W01</t>
        </is>
      </c>
      <c r="BC5" s="16" t="inlineStr">
        <is>
          <t>2027-W02</t>
        </is>
      </c>
      <c r="BD5" s="16" t="inlineStr">
        <is>
          <t>2027-W03</t>
        </is>
      </c>
      <c r="BE5" s="16" t="inlineStr">
        <is>
          <t>2027-W04</t>
        </is>
      </c>
      <c r="BF5" s="16" t="inlineStr">
        <is>
          <t>2027-W05</t>
        </is>
      </c>
      <c r="BG5" s="16" t="inlineStr">
        <is>
          <t>2027-W06</t>
        </is>
      </c>
      <c r="BH5" s="16" t="inlineStr">
        <is>
          <t>2027-W07</t>
        </is>
      </c>
      <c r="BI5" s="16" t="inlineStr">
        <is>
          <t>2027-W08</t>
        </is>
      </c>
      <c r="BJ5" s="16" t="inlineStr">
        <is>
          <t>2027-W09</t>
        </is>
      </c>
      <c r="BK5" s="16" t="inlineStr">
        <is>
          <t>2027-W10</t>
        </is>
      </c>
      <c r="BL5" s="16" t="inlineStr">
        <is>
          <t>2027-W11</t>
        </is>
      </c>
      <c r="BM5" s="16" t="inlineStr">
        <is>
          <t>2027-W12</t>
        </is>
      </c>
      <c r="BN5" s="16" t="inlineStr">
        <is>
          <t>2027-W13</t>
        </is>
      </c>
      <c r="BO5" s="16" t="inlineStr">
        <is>
          <t>2027-W14</t>
        </is>
      </c>
      <c r="BP5" s="16" t="inlineStr">
        <is>
          <t>2027-W15</t>
        </is>
      </c>
      <c r="BQ5" s="16" t="inlineStr">
        <is>
          <t>2027-W16</t>
        </is>
      </c>
      <c r="BR5" s="16" t="inlineStr">
        <is>
          <t>2027-W17</t>
        </is>
      </c>
      <c r="BS5" s="16" t="inlineStr">
        <is>
          <t>2027-W18</t>
        </is>
      </c>
      <c r="BT5" s="16" t="inlineStr">
        <is>
          <t>2027-W19</t>
        </is>
      </c>
      <c r="BU5" s="16" t="inlineStr">
        <is>
          <t>2027-W20</t>
        </is>
      </c>
      <c r="BV5" s="16" t="inlineStr">
        <is>
          <t>2027-W21</t>
        </is>
      </c>
      <c r="BW5" s="16" t="inlineStr">
        <is>
          <t>2027-W22</t>
        </is>
      </c>
      <c r="BX5" s="16" t="inlineStr">
        <is>
          <t>2027-W23</t>
        </is>
      </c>
      <c r="BY5" s="16" t="inlineStr">
        <is>
          <t>2027-W24</t>
        </is>
      </c>
      <c r="BZ5" s="16" t="inlineStr">
        <is>
          <t>2027-W25</t>
        </is>
      </c>
      <c r="CA5" s="16" t="inlineStr">
        <is>
          <t>2027-W26</t>
        </is>
      </c>
      <c r="CB5" s="16" t="inlineStr">
        <is>
          <t>2027-W27</t>
        </is>
      </c>
      <c r="CC5" s="16" t="inlineStr">
        <is>
          <t>2027-W28</t>
        </is>
      </c>
      <c r="CD5" s="16" t="inlineStr">
        <is>
          <t>2027-W29</t>
        </is>
      </c>
      <c r="CE5" s="16" t="inlineStr">
        <is>
          <t>2027-W30</t>
        </is>
      </c>
      <c r="CF5" s="16" t="inlineStr">
        <is>
          <t>2027-W31</t>
        </is>
      </c>
      <c r="CG5" s="16" t="inlineStr">
        <is>
          <t>2027-W32</t>
        </is>
      </c>
      <c r="CH5" s="16" t="inlineStr">
        <is>
          <t>2027-W33</t>
        </is>
      </c>
      <c r="CI5" s="16" t="inlineStr">
        <is>
          <t>2027-W34</t>
        </is>
      </c>
      <c r="CJ5" s="16" t="inlineStr">
        <is>
          <t>2027-W35</t>
        </is>
      </c>
      <c r="CK5" s="16" t="inlineStr">
        <is>
          <t>2027-W36</t>
        </is>
      </c>
      <c r="CL5" s="16" t="inlineStr">
        <is>
          <t>2027-W37</t>
        </is>
      </c>
      <c r="CM5" s="16" t="inlineStr">
        <is>
          <t>2027-W38</t>
        </is>
      </c>
      <c r="CN5" s="16" t="inlineStr">
        <is>
          <t>2027-W39</t>
        </is>
      </c>
      <c r="CO5" s="16" t="inlineStr">
        <is>
          <t>2027-W40</t>
        </is>
      </c>
      <c r="CP5" s="16" t="inlineStr">
        <is>
          <t>2027-W41</t>
        </is>
      </c>
      <c r="CQ5" s="16" t="inlineStr">
        <is>
          <t>2027-W42</t>
        </is>
      </c>
      <c r="CR5" s="16" t="inlineStr">
        <is>
          <t>2027-W43</t>
        </is>
      </c>
      <c r="CS5" s="16" t="inlineStr">
        <is>
          <t>2027-W44</t>
        </is>
      </c>
      <c r="CT5" s="16" t="inlineStr">
        <is>
          <t>2027-W45</t>
        </is>
      </c>
      <c r="CU5" s="16" t="inlineStr">
        <is>
          <t>2027-W46</t>
        </is>
      </c>
      <c r="CV5" s="16" t="inlineStr">
        <is>
          <t>2027-W47</t>
        </is>
      </c>
      <c r="CW5" s="16" t="inlineStr">
        <is>
          <t>2027-W48</t>
        </is>
      </c>
      <c r="CX5" s="16" t="inlineStr">
        <is>
          <t>2027-W49</t>
        </is>
      </c>
      <c r="CY5" s="16" t="inlineStr">
        <is>
          <t>2027-W50</t>
        </is>
      </c>
      <c r="CZ5" s="16" t="inlineStr">
        <is>
          <t>2027-W51</t>
        </is>
      </c>
      <c r="DA5" s="16" t="inlineStr">
        <is>
          <t>2027-W52</t>
        </is>
      </c>
    </row>
    <row r="6">
      <c r="A6" s="17" t="inlineStr">
        <is>
          <t>7EP</t>
        </is>
      </c>
      <c r="B6" s="17">
        <f>IF(COUNTIFS(T_SelfStock_Log[Part Name],$A6,T_SelfStock_Log[WeekIndex],1)=0,"",SUMIFS(T_SelfStock_Log[Self_Qty],T_SelfStock_Log[Part Name],$A6,T_SelfStock_Log[WeekIndex],1))</f>
        <v/>
      </c>
      <c r="C6" s="17">
        <f>IF(COUNTIFS(T_SelfStock_Log[Part Name],$A6,T_SelfStock_Log[WeekIndex],2)=0,"",SUMIFS(T_SelfStock_Log[Self_Qty],T_SelfStock_Log[Part Name],$A6,T_SelfStock_Log[WeekIndex],2))</f>
        <v/>
      </c>
      <c r="D6" s="17">
        <f>IF(COUNTIFS(T_SelfStock_Log[Part Name],$A6,T_SelfStock_Log[WeekIndex],3)=0,"",SUMIFS(T_SelfStock_Log[Self_Qty],T_SelfStock_Log[Part Name],$A6,T_SelfStock_Log[WeekIndex],3))</f>
        <v/>
      </c>
      <c r="E6" s="17">
        <f>IF(COUNTIFS(T_SelfStock_Log[Part Name],$A6,T_SelfStock_Log[WeekIndex],4)=0,"",SUMIFS(T_SelfStock_Log[Self_Qty],T_SelfStock_Log[Part Name],$A6,T_SelfStock_Log[WeekIndex],4))</f>
        <v/>
      </c>
      <c r="F6" s="17">
        <f>IF(COUNTIFS(T_SelfStock_Log[Part Name],$A6,T_SelfStock_Log[WeekIndex],5)=0,"",SUMIFS(T_SelfStock_Log[Self_Qty],T_SelfStock_Log[Part Name],$A6,T_SelfStock_Log[WeekIndex],5))</f>
        <v/>
      </c>
      <c r="G6" s="17">
        <f>IF(COUNTIFS(T_SelfStock_Log[Part Name],$A6,T_SelfStock_Log[WeekIndex],6)=0,"",SUMIFS(T_SelfStock_Log[Self_Qty],T_SelfStock_Log[Part Name],$A6,T_SelfStock_Log[WeekIndex],6))</f>
        <v/>
      </c>
      <c r="H6" s="17">
        <f>IF(COUNTIFS(T_SelfStock_Log[Part Name],$A6,T_SelfStock_Log[WeekIndex],7)=0,"",SUMIFS(T_SelfStock_Log[Self_Qty],T_SelfStock_Log[Part Name],$A6,T_SelfStock_Log[WeekIndex],7))</f>
        <v/>
      </c>
      <c r="I6" s="17">
        <f>IF(COUNTIFS(T_SelfStock_Log[Part Name],$A6,T_SelfStock_Log[WeekIndex],8)=0,"",SUMIFS(T_SelfStock_Log[Self_Qty],T_SelfStock_Log[Part Name],$A6,T_SelfStock_Log[WeekIndex],8))</f>
        <v/>
      </c>
      <c r="J6" s="17">
        <f>IF(COUNTIFS(T_SelfStock_Log[Part Name],$A6,T_SelfStock_Log[WeekIndex],9)=0,"",SUMIFS(T_SelfStock_Log[Self_Qty],T_SelfStock_Log[Part Name],$A6,T_SelfStock_Log[WeekIndex],9))</f>
        <v/>
      </c>
      <c r="K6" s="17">
        <f>IF(COUNTIFS(T_SelfStock_Log[Part Name],$A6,T_SelfStock_Log[WeekIndex],10)=0,"",SUMIFS(T_SelfStock_Log[Self_Qty],T_SelfStock_Log[Part Name],$A6,T_SelfStock_Log[WeekIndex],10))</f>
        <v/>
      </c>
      <c r="L6" s="17">
        <f>IF(COUNTIFS(T_SelfStock_Log[Part Name],$A6,T_SelfStock_Log[WeekIndex],11)=0,"",SUMIFS(T_SelfStock_Log[Self_Qty],T_SelfStock_Log[Part Name],$A6,T_SelfStock_Log[WeekIndex],11))</f>
        <v/>
      </c>
      <c r="M6" s="17">
        <f>IF(COUNTIFS(T_SelfStock_Log[Part Name],$A6,T_SelfStock_Log[WeekIndex],12)=0,"",SUMIFS(T_SelfStock_Log[Self_Qty],T_SelfStock_Log[Part Name],$A6,T_SelfStock_Log[WeekIndex],12))</f>
        <v/>
      </c>
      <c r="N6" s="17">
        <f>IF(COUNTIFS(T_SelfStock_Log[Part Name],$A6,T_SelfStock_Log[WeekIndex],13)=0,"",SUMIFS(T_SelfStock_Log[Self_Qty],T_SelfStock_Log[Part Name],$A6,T_SelfStock_Log[WeekIndex],13))</f>
        <v/>
      </c>
      <c r="O6" s="17">
        <f>IF(COUNTIFS(T_SelfStock_Log[Part Name],$A6,T_SelfStock_Log[WeekIndex],14)=0,"",SUMIFS(T_SelfStock_Log[Self_Qty],T_SelfStock_Log[Part Name],$A6,T_SelfStock_Log[WeekIndex],14))</f>
        <v/>
      </c>
      <c r="P6" s="17">
        <f>IF(COUNTIFS(T_SelfStock_Log[Part Name],$A6,T_SelfStock_Log[WeekIndex],15)=0,"",SUMIFS(T_SelfStock_Log[Self_Qty],T_SelfStock_Log[Part Name],$A6,T_SelfStock_Log[WeekIndex],15))</f>
        <v/>
      </c>
      <c r="Q6" s="17">
        <f>IF(COUNTIFS(T_SelfStock_Log[Part Name],$A6,T_SelfStock_Log[WeekIndex],16)=0,"",SUMIFS(T_SelfStock_Log[Self_Qty],T_SelfStock_Log[Part Name],$A6,T_SelfStock_Log[WeekIndex],16))</f>
        <v/>
      </c>
      <c r="R6" s="17">
        <f>IF(COUNTIFS(T_SelfStock_Log[Part Name],$A6,T_SelfStock_Log[WeekIndex],17)=0,"",SUMIFS(T_SelfStock_Log[Self_Qty],T_SelfStock_Log[Part Name],$A6,T_SelfStock_Log[WeekIndex],17))</f>
        <v/>
      </c>
      <c r="S6" s="17">
        <f>IF(COUNTIFS(T_SelfStock_Log[Part Name],$A6,T_SelfStock_Log[WeekIndex],18)=0,"",SUMIFS(T_SelfStock_Log[Self_Qty],T_SelfStock_Log[Part Name],$A6,T_SelfStock_Log[WeekIndex],18))</f>
        <v/>
      </c>
      <c r="T6" s="17">
        <f>IF(COUNTIFS(T_SelfStock_Log[Part Name],$A6,T_SelfStock_Log[WeekIndex],19)=0,"",SUMIFS(T_SelfStock_Log[Self_Qty],T_SelfStock_Log[Part Name],$A6,T_SelfStock_Log[WeekIndex],19))</f>
        <v/>
      </c>
      <c r="U6" s="17">
        <f>IF(COUNTIFS(T_SelfStock_Log[Part Name],$A6,T_SelfStock_Log[WeekIndex],20)=0,"",SUMIFS(T_SelfStock_Log[Self_Qty],T_SelfStock_Log[Part Name],$A6,T_SelfStock_Log[WeekIndex],20))</f>
        <v/>
      </c>
      <c r="V6" s="17">
        <f>IF(COUNTIFS(T_SelfStock_Log[Part Name],$A6,T_SelfStock_Log[WeekIndex],21)=0,"",SUMIFS(T_SelfStock_Log[Self_Qty],T_SelfStock_Log[Part Name],$A6,T_SelfStock_Log[WeekIndex],21))</f>
        <v/>
      </c>
      <c r="W6" s="17">
        <f>IF(COUNTIFS(T_SelfStock_Log[Part Name],$A6,T_SelfStock_Log[WeekIndex],22)=0,"",SUMIFS(T_SelfStock_Log[Self_Qty],T_SelfStock_Log[Part Name],$A6,T_SelfStock_Log[WeekIndex],22))</f>
        <v/>
      </c>
      <c r="X6" s="17">
        <f>IF(COUNTIFS(T_SelfStock_Log[Part Name],$A6,T_SelfStock_Log[WeekIndex],23)=0,"",SUMIFS(T_SelfStock_Log[Self_Qty],T_SelfStock_Log[Part Name],$A6,T_SelfStock_Log[WeekIndex],23))</f>
        <v/>
      </c>
      <c r="Y6" s="17">
        <f>IF(COUNTIFS(T_SelfStock_Log[Part Name],$A6,T_SelfStock_Log[WeekIndex],24)=0,"",SUMIFS(T_SelfStock_Log[Self_Qty],T_SelfStock_Log[Part Name],$A6,T_SelfStock_Log[WeekIndex],24))</f>
        <v/>
      </c>
      <c r="Z6" s="17">
        <f>IF(COUNTIFS(T_SelfStock_Log[Part Name],$A6,T_SelfStock_Log[WeekIndex],25)=0,"",SUMIFS(T_SelfStock_Log[Self_Qty],T_SelfStock_Log[Part Name],$A6,T_SelfStock_Log[WeekIndex],25))</f>
        <v/>
      </c>
      <c r="AA6" s="17">
        <f>IF(COUNTIFS(T_SelfStock_Log[Part Name],$A6,T_SelfStock_Log[WeekIndex],26)=0,"",SUMIFS(T_SelfStock_Log[Self_Qty],T_SelfStock_Log[Part Name],$A6,T_SelfStock_Log[WeekIndex],26))</f>
        <v/>
      </c>
      <c r="AB6" s="17">
        <f>IF(COUNTIFS(T_SelfStock_Log[Part Name],$A6,T_SelfStock_Log[WeekIndex],27)=0,"",SUMIFS(T_SelfStock_Log[Self_Qty],T_SelfStock_Log[Part Name],$A6,T_SelfStock_Log[WeekIndex],27))</f>
        <v/>
      </c>
      <c r="AC6" s="17">
        <f>IF(COUNTIFS(T_SelfStock_Log[Part Name],$A6,T_SelfStock_Log[WeekIndex],28)=0,"",SUMIFS(T_SelfStock_Log[Self_Qty],T_SelfStock_Log[Part Name],$A6,T_SelfStock_Log[WeekIndex],28))</f>
        <v/>
      </c>
      <c r="AD6" s="17">
        <f>IF(COUNTIFS(T_SelfStock_Log[Part Name],$A6,T_SelfStock_Log[WeekIndex],29)=0,"",SUMIFS(T_SelfStock_Log[Self_Qty],T_SelfStock_Log[Part Name],$A6,T_SelfStock_Log[WeekIndex],29))</f>
        <v/>
      </c>
      <c r="AE6" s="17">
        <f>IF(COUNTIFS(T_SelfStock_Log[Part Name],$A6,T_SelfStock_Log[WeekIndex],30)=0,"",SUMIFS(T_SelfStock_Log[Self_Qty],T_SelfStock_Log[Part Name],$A6,T_SelfStock_Log[WeekIndex],30))</f>
        <v/>
      </c>
      <c r="AF6" s="17">
        <f>IF(COUNTIFS(T_SelfStock_Log[Part Name],$A6,T_SelfStock_Log[WeekIndex],31)=0,"",SUMIFS(T_SelfStock_Log[Self_Qty],T_SelfStock_Log[Part Name],$A6,T_SelfStock_Log[WeekIndex],31))</f>
        <v/>
      </c>
      <c r="AG6" s="17">
        <f>IF(COUNTIFS(T_SelfStock_Log[Part Name],$A6,T_SelfStock_Log[WeekIndex],32)=0,"",SUMIFS(T_SelfStock_Log[Self_Qty],T_SelfStock_Log[Part Name],$A6,T_SelfStock_Log[WeekIndex],32))</f>
        <v/>
      </c>
      <c r="AH6" s="17">
        <f>IF(COUNTIFS(T_SelfStock_Log[Part Name],$A6,T_SelfStock_Log[WeekIndex],33)=0,"",SUMIFS(T_SelfStock_Log[Self_Qty],T_SelfStock_Log[Part Name],$A6,T_SelfStock_Log[WeekIndex],33))</f>
        <v/>
      </c>
      <c r="AI6" s="17">
        <f>IF(COUNTIFS(T_SelfStock_Log[Part Name],$A6,T_SelfStock_Log[WeekIndex],34)=0,"",SUMIFS(T_SelfStock_Log[Self_Qty],T_SelfStock_Log[Part Name],$A6,T_SelfStock_Log[WeekIndex],34))</f>
        <v/>
      </c>
      <c r="AJ6" s="17">
        <f>IF(COUNTIFS(T_SelfStock_Log[Part Name],$A6,T_SelfStock_Log[WeekIndex],35)=0,"",SUMIFS(T_SelfStock_Log[Self_Qty],T_SelfStock_Log[Part Name],$A6,T_SelfStock_Log[WeekIndex],35))</f>
        <v/>
      </c>
      <c r="AK6" s="17">
        <f>IF(COUNTIFS(T_SelfStock_Log[Part Name],$A6,T_SelfStock_Log[WeekIndex],36)=0,"",SUMIFS(T_SelfStock_Log[Self_Qty],T_SelfStock_Log[Part Name],$A6,T_SelfStock_Log[WeekIndex],36))</f>
        <v/>
      </c>
      <c r="AL6" s="17">
        <f>IF(COUNTIFS(T_SelfStock_Log[Part Name],$A6,T_SelfStock_Log[WeekIndex],37)=0,"",SUMIFS(T_SelfStock_Log[Self_Qty],T_SelfStock_Log[Part Name],$A6,T_SelfStock_Log[WeekIndex],37))</f>
        <v/>
      </c>
      <c r="AM6" s="17">
        <f>IF(COUNTIFS(T_SelfStock_Log[Part Name],$A6,T_SelfStock_Log[WeekIndex],38)=0,"",SUMIFS(T_SelfStock_Log[Self_Qty],T_SelfStock_Log[Part Name],$A6,T_SelfStock_Log[WeekIndex],38))</f>
        <v/>
      </c>
      <c r="AN6" s="17">
        <f>IF(COUNTIFS(T_SelfStock_Log[Part Name],$A6,T_SelfStock_Log[WeekIndex],39)=0,"",SUMIFS(T_SelfStock_Log[Self_Qty],T_SelfStock_Log[Part Name],$A6,T_SelfStock_Log[WeekIndex],39))</f>
        <v/>
      </c>
      <c r="AO6" s="17">
        <f>IF(COUNTIFS(T_SelfStock_Log[Part Name],$A6,T_SelfStock_Log[WeekIndex],40)=0,"",SUMIFS(T_SelfStock_Log[Self_Qty],T_SelfStock_Log[Part Name],$A6,T_SelfStock_Log[WeekIndex],40))</f>
        <v/>
      </c>
      <c r="AP6" s="17">
        <f>IF(COUNTIFS(T_SelfStock_Log[Part Name],$A6,T_SelfStock_Log[WeekIndex],41)=0,"",SUMIFS(T_SelfStock_Log[Self_Qty],T_SelfStock_Log[Part Name],$A6,T_SelfStock_Log[WeekIndex],41))</f>
        <v/>
      </c>
      <c r="AQ6" s="17">
        <f>IF(COUNTIFS(T_SelfStock_Log[Part Name],$A6,T_SelfStock_Log[WeekIndex],42)=0,"",SUMIFS(T_SelfStock_Log[Self_Qty],T_SelfStock_Log[Part Name],$A6,T_SelfStock_Log[WeekIndex],42))</f>
        <v/>
      </c>
      <c r="AR6" s="17">
        <f>IF(COUNTIFS(T_SelfStock_Log[Part Name],$A6,T_SelfStock_Log[WeekIndex],43)=0,"",SUMIFS(T_SelfStock_Log[Self_Qty],T_SelfStock_Log[Part Name],$A6,T_SelfStock_Log[WeekIndex],43))</f>
        <v/>
      </c>
      <c r="AS6" s="17">
        <f>IF(COUNTIFS(T_SelfStock_Log[Part Name],$A6,T_SelfStock_Log[WeekIndex],44)=0,"",SUMIFS(T_SelfStock_Log[Self_Qty],T_SelfStock_Log[Part Name],$A6,T_SelfStock_Log[WeekIndex],44))</f>
        <v/>
      </c>
      <c r="AT6" s="17">
        <f>IF(COUNTIFS(T_SelfStock_Log[Part Name],$A6,T_SelfStock_Log[WeekIndex],45)=0,"",SUMIFS(T_SelfStock_Log[Self_Qty],T_SelfStock_Log[Part Name],$A6,T_SelfStock_Log[WeekIndex],45))</f>
        <v/>
      </c>
      <c r="AU6" s="17">
        <f>IF(COUNTIFS(T_SelfStock_Log[Part Name],$A6,T_SelfStock_Log[WeekIndex],46)=0,"",SUMIFS(T_SelfStock_Log[Self_Qty],T_SelfStock_Log[Part Name],$A6,T_SelfStock_Log[WeekIndex],46))</f>
        <v/>
      </c>
      <c r="AV6" s="17">
        <f>IF(COUNTIFS(T_SelfStock_Log[Part Name],$A6,T_SelfStock_Log[WeekIndex],47)=0,"",SUMIFS(T_SelfStock_Log[Self_Qty],T_SelfStock_Log[Part Name],$A6,T_SelfStock_Log[WeekIndex],47))</f>
        <v/>
      </c>
      <c r="AW6" s="17">
        <f>IF(COUNTIFS(T_SelfStock_Log[Part Name],$A6,T_SelfStock_Log[WeekIndex],48)=0,"",SUMIFS(T_SelfStock_Log[Self_Qty],T_SelfStock_Log[Part Name],$A6,T_SelfStock_Log[WeekIndex],48))</f>
        <v/>
      </c>
      <c r="AX6" s="17">
        <f>IF(COUNTIFS(T_SelfStock_Log[Part Name],$A6,T_SelfStock_Log[WeekIndex],49)=0,"",SUMIFS(T_SelfStock_Log[Self_Qty],T_SelfStock_Log[Part Name],$A6,T_SelfStock_Log[WeekIndex],49))</f>
        <v/>
      </c>
      <c r="AY6" s="17">
        <f>IF(COUNTIFS(T_SelfStock_Log[Part Name],$A6,T_SelfStock_Log[WeekIndex],50)=0,"",SUMIFS(T_SelfStock_Log[Self_Qty],T_SelfStock_Log[Part Name],$A6,T_SelfStock_Log[WeekIndex],50))</f>
        <v/>
      </c>
      <c r="AZ6" s="17">
        <f>IF(COUNTIFS(T_SelfStock_Log[Part Name],$A6,T_SelfStock_Log[WeekIndex],51)=0,"",SUMIFS(T_SelfStock_Log[Self_Qty],T_SelfStock_Log[Part Name],$A6,T_SelfStock_Log[WeekIndex],51))</f>
        <v/>
      </c>
      <c r="BA6" s="17">
        <f>IF(COUNTIFS(T_SelfStock_Log[Part Name],$A6,T_SelfStock_Log[WeekIndex],52)=0,"",SUMIFS(T_SelfStock_Log[Self_Qty],T_SelfStock_Log[Part Name],$A6,T_SelfStock_Log[WeekIndex],52))</f>
        <v/>
      </c>
      <c r="BB6" s="17">
        <f>IF(COUNTIFS(T_SelfStock_Log[Part Name],$A6,T_SelfStock_Log[WeekIndex],53)=0,"",SUMIFS(T_SelfStock_Log[Self_Qty],T_SelfStock_Log[Part Name],$A6,T_SelfStock_Log[WeekIndex],53))</f>
        <v/>
      </c>
      <c r="BC6" s="17">
        <f>IF(COUNTIFS(T_SelfStock_Log[Part Name],$A6,T_SelfStock_Log[WeekIndex],54)=0,"",SUMIFS(T_SelfStock_Log[Self_Qty],T_SelfStock_Log[Part Name],$A6,T_SelfStock_Log[WeekIndex],54))</f>
        <v/>
      </c>
      <c r="BD6" s="17">
        <f>IF(COUNTIFS(T_SelfStock_Log[Part Name],$A6,T_SelfStock_Log[WeekIndex],55)=0,"",SUMIFS(T_SelfStock_Log[Self_Qty],T_SelfStock_Log[Part Name],$A6,T_SelfStock_Log[WeekIndex],55))</f>
        <v/>
      </c>
      <c r="BE6" s="17">
        <f>IF(COUNTIFS(T_SelfStock_Log[Part Name],$A6,T_SelfStock_Log[WeekIndex],56)=0,"",SUMIFS(T_SelfStock_Log[Self_Qty],T_SelfStock_Log[Part Name],$A6,T_SelfStock_Log[WeekIndex],56))</f>
        <v/>
      </c>
      <c r="BF6" s="17">
        <f>IF(COUNTIFS(T_SelfStock_Log[Part Name],$A6,T_SelfStock_Log[WeekIndex],57)=0,"",SUMIFS(T_SelfStock_Log[Self_Qty],T_SelfStock_Log[Part Name],$A6,T_SelfStock_Log[WeekIndex],57))</f>
        <v/>
      </c>
      <c r="BG6" s="17">
        <f>IF(COUNTIFS(T_SelfStock_Log[Part Name],$A6,T_SelfStock_Log[WeekIndex],58)=0,"",SUMIFS(T_SelfStock_Log[Self_Qty],T_SelfStock_Log[Part Name],$A6,T_SelfStock_Log[WeekIndex],58))</f>
        <v/>
      </c>
      <c r="BH6" s="17">
        <f>IF(COUNTIFS(T_SelfStock_Log[Part Name],$A6,T_SelfStock_Log[WeekIndex],59)=0,"",SUMIFS(T_SelfStock_Log[Self_Qty],T_SelfStock_Log[Part Name],$A6,T_SelfStock_Log[WeekIndex],59))</f>
        <v/>
      </c>
      <c r="BI6" s="17">
        <f>IF(COUNTIFS(T_SelfStock_Log[Part Name],$A6,T_SelfStock_Log[WeekIndex],60)=0,"",SUMIFS(T_SelfStock_Log[Self_Qty],T_SelfStock_Log[Part Name],$A6,T_SelfStock_Log[WeekIndex],60))</f>
        <v/>
      </c>
      <c r="BJ6" s="17">
        <f>IF(COUNTIFS(T_SelfStock_Log[Part Name],$A6,T_SelfStock_Log[WeekIndex],61)=0,"",SUMIFS(T_SelfStock_Log[Self_Qty],T_SelfStock_Log[Part Name],$A6,T_SelfStock_Log[WeekIndex],61))</f>
        <v/>
      </c>
      <c r="BK6" s="17">
        <f>IF(COUNTIFS(T_SelfStock_Log[Part Name],$A6,T_SelfStock_Log[WeekIndex],62)=0,"",SUMIFS(T_SelfStock_Log[Self_Qty],T_SelfStock_Log[Part Name],$A6,T_SelfStock_Log[WeekIndex],62))</f>
        <v/>
      </c>
      <c r="BL6" s="17">
        <f>IF(COUNTIFS(T_SelfStock_Log[Part Name],$A6,T_SelfStock_Log[WeekIndex],63)=0,"",SUMIFS(T_SelfStock_Log[Self_Qty],T_SelfStock_Log[Part Name],$A6,T_SelfStock_Log[WeekIndex],63))</f>
        <v/>
      </c>
      <c r="BM6" s="17">
        <f>IF(COUNTIFS(T_SelfStock_Log[Part Name],$A6,T_SelfStock_Log[WeekIndex],64)=0,"",SUMIFS(T_SelfStock_Log[Self_Qty],T_SelfStock_Log[Part Name],$A6,T_SelfStock_Log[WeekIndex],64))</f>
        <v/>
      </c>
      <c r="BN6" s="17">
        <f>IF(COUNTIFS(T_SelfStock_Log[Part Name],$A6,T_SelfStock_Log[WeekIndex],65)=0,"",SUMIFS(T_SelfStock_Log[Self_Qty],T_SelfStock_Log[Part Name],$A6,T_SelfStock_Log[WeekIndex],65))</f>
        <v/>
      </c>
      <c r="BO6" s="17">
        <f>IF(COUNTIFS(T_SelfStock_Log[Part Name],$A6,T_SelfStock_Log[WeekIndex],66)=0,"",SUMIFS(T_SelfStock_Log[Self_Qty],T_SelfStock_Log[Part Name],$A6,T_SelfStock_Log[WeekIndex],66))</f>
        <v/>
      </c>
      <c r="BP6" s="17">
        <f>IF(COUNTIFS(T_SelfStock_Log[Part Name],$A6,T_SelfStock_Log[WeekIndex],67)=0,"",SUMIFS(T_SelfStock_Log[Self_Qty],T_SelfStock_Log[Part Name],$A6,T_SelfStock_Log[WeekIndex],67))</f>
        <v/>
      </c>
      <c r="BQ6" s="17">
        <f>IF(COUNTIFS(T_SelfStock_Log[Part Name],$A6,T_SelfStock_Log[WeekIndex],68)=0,"",SUMIFS(T_SelfStock_Log[Self_Qty],T_SelfStock_Log[Part Name],$A6,T_SelfStock_Log[WeekIndex],68))</f>
        <v/>
      </c>
      <c r="BR6" s="17">
        <f>IF(COUNTIFS(T_SelfStock_Log[Part Name],$A6,T_SelfStock_Log[WeekIndex],69)=0,"",SUMIFS(T_SelfStock_Log[Self_Qty],T_SelfStock_Log[Part Name],$A6,T_SelfStock_Log[WeekIndex],69))</f>
        <v/>
      </c>
      <c r="BS6" s="17">
        <f>IF(COUNTIFS(T_SelfStock_Log[Part Name],$A6,T_SelfStock_Log[WeekIndex],70)=0,"",SUMIFS(T_SelfStock_Log[Self_Qty],T_SelfStock_Log[Part Name],$A6,T_SelfStock_Log[WeekIndex],70))</f>
        <v/>
      </c>
      <c r="BT6" s="17">
        <f>IF(COUNTIFS(T_SelfStock_Log[Part Name],$A6,T_SelfStock_Log[WeekIndex],71)=0,"",SUMIFS(T_SelfStock_Log[Self_Qty],T_SelfStock_Log[Part Name],$A6,T_SelfStock_Log[WeekIndex],71))</f>
        <v/>
      </c>
      <c r="BU6" s="17">
        <f>IF(COUNTIFS(T_SelfStock_Log[Part Name],$A6,T_SelfStock_Log[WeekIndex],72)=0,"",SUMIFS(T_SelfStock_Log[Self_Qty],T_SelfStock_Log[Part Name],$A6,T_SelfStock_Log[WeekIndex],72))</f>
        <v/>
      </c>
      <c r="BV6" s="17">
        <f>IF(COUNTIFS(T_SelfStock_Log[Part Name],$A6,T_SelfStock_Log[WeekIndex],73)=0,"",SUMIFS(T_SelfStock_Log[Self_Qty],T_SelfStock_Log[Part Name],$A6,T_SelfStock_Log[WeekIndex],73))</f>
        <v/>
      </c>
      <c r="BW6" s="17">
        <f>IF(COUNTIFS(T_SelfStock_Log[Part Name],$A6,T_SelfStock_Log[WeekIndex],74)=0,"",SUMIFS(T_SelfStock_Log[Self_Qty],T_SelfStock_Log[Part Name],$A6,T_SelfStock_Log[WeekIndex],74))</f>
        <v/>
      </c>
      <c r="BX6" s="17">
        <f>IF(COUNTIFS(T_SelfStock_Log[Part Name],$A6,T_SelfStock_Log[WeekIndex],75)=0,"",SUMIFS(T_SelfStock_Log[Self_Qty],T_SelfStock_Log[Part Name],$A6,T_SelfStock_Log[WeekIndex],75))</f>
        <v/>
      </c>
      <c r="BY6" s="17">
        <f>IF(COUNTIFS(T_SelfStock_Log[Part Name],$A6,T_SelfStock_Log[WeekIndex],76)=0,"",SUMIFS(T_SelfStock_Log[Self_Qty],T_SelfStock_Log[Part Name],$A6,T_SelfStock_Log[WeekIndex],76))</f>
        <v/>
      </c>
      <c r="BZ6" s="17">
        <f>IF(COUNTIFS(T_SelfStock_Log[Part Name],$A6,T_SelfStock_Log[WeekIndex],77)=0,"",SUMIFS(T_SelfStock_Log[Self_Qty],T_SelfStock_Log[Part Name],$A6,T_SelfStock_Log[WeekIndex],77))</f>
        <v/>
      </c>
      <c r="CA6" s="17">
        <f>IF(COUNTIFS(T_SelfStock_Log[Part Name],$A6,T_SelfStock_Log[WeekIndex],78)=0,"",SUMIFS(T_SelfStock_Log[Self_Qty],T_SelfStock_Log[Part Name],$A6,T_SelfStock_Log[WeekIndex],78))</f>
        <v/>
      </c>
      <c r="CB6" s="17">
        <f>IF(COUNTIFS(T_SelfStock_Log[Part Name],$A6,T_SelfStock_Log[WeekIndex],79)=0,"",SUMIFS(T_SelfStock_Log[Self_Qty],T_SelfStock_Log[Part Name],$A6,T_SelfStock_Log[WeekIndex],79))</f>
        <v/>
      </c>
      <c r="CC6" s="17">
        <f>IF(COUNTIFS(T_SelfStock_Log[Part Name],$A6,T_SelfStock_Log[WeekIndex],80)=0,"",SUMIFS(T_SelfStock_Log[Self_Qty],T_SelfStock_Log[Part Name],$A6,T_SelfStock_Log[WeekIndex],80))</f>
        <v/>
      </c>
      <c r="CD6" s="17">
        <f>IF(COUNTIFS(T_SelfStock_Log[Part Name],$A6,T_SelfStock_Log[WeekIndex],81)=0,"",SUMIFS(T_SelfStock_Log[Self_Qty],T_SelfStock_Log[Part Name],$A6,T_SelfStock_Log[WeekIndex],81))</f>
        <v/>
      </c>
      <c r="CE6" s="17">
        <f>IF(COUNTIFS(T_SelfStock_Log[Part Name],$A6,T_SelfStock_Log[WeekIndex],82)=0,"",SUMIFS(T_SelfStock_Log[Self_Qty],T_SelfStock_Log[Part Name],$A6,T_SelfStock_Log[WeekIndex],82))</f>
        <v/>
      </c>
      <c r="CF6" s="17">
        <f>IF(COUNTIFS(T_SelfStock_Log[Part Name],$A6,T_SelfStock_Log[WeekIndex],83)=0,"",SUMIFS(T_SelfStock_Log[Self_Qty],T_SelfStock_Log[Part Name],$A6,T_SelfStock_Log[WeekIndex],83))</f>
        <v/>
      </c>
      <c r="CG6" s="17">
        <f>IF(COUNTIFS(T_SelfStock_Log[Part Name],$A6,T_SelfStock_Log[WeekIndex],84)=0,"",SUMIFS(T_SelfStock_Log[Self_Qty],T_SelfStock_Log[Part Name],$A6,T_SelfStock_Log[WeekIndex],84))</f>
        <v/>
      </c>
      <c r="CH6" s="17">
        <f>IF(COUNTIFS(T_SelfStock_Log[Part Name],$A6,T_SelfStock_Log[WeekIndex],85)=0,"",SUMIFS(T_SelfStock_Log[Self_Qty],T_SelfStock_Log[Part Name],$A6,T_SelfStock_Log[WeekIndex],85))</f>
        <v/>
      </c>
      <c r="CI6" s="17">
        <f>IF(COUNTIFS(T_SelfStock_Log[Part Name],$A6,T_SelfStock_Log[WeekIndex],86)=0,"",SUMIFS(T_SelfStock_Log[Self_Qty],T_SelfStock_Log[Part Name],$A6,T_SelfStock_Log[WeekIndex],86))</f>
        <v/>
      </c>
      <c r="CJ6" s="17">
        <f>IF(COUNTIFS(T_SelfStock_Log[Part Name],$A6,T_SelfStock_Log[WeekIndex],87)=0,"",SUMIFS(T_SelfStock_Log[Self_Qty],T_SelfStock_Log[Part Name],$A6,T_SelfStock_Log[WeekIndex],87))</f>
        <v/>
      </c>
      <c r="CK6" s="17">
        <f>IF(COUNTIFS(T_SelfStock_Log[Part Name],$A6,T_SelfStock_Log[WeekIndex],88)=0,"",SUMIFS(T_SelfStock_Log[Self_Qty],T_SelfStock_Log[Part Name],$A6,T_SelfStock_Log[WeekIndex],88))</f>
        <v/>
      </c>
      <c r="CL6" s="17">
        <f>IF(COUNTIFS(T_SelfStock_Log[Part Name],$A6,T_SelfStock_Log[WeekIndex],89)=0,"",SUMIFS(T_SelfStock_Log[Self_Qty],T_SelfStock_Log[Part Name],$A6,T_SelfStock_Log[WeekIndex],89))</f>
        <v/>
      </c>
      <c r="CM6" s="17">
        <f>IF(COUNTIFS(T_SelfStock_Log[Part Name],$A6,T_SelfStock_Log[WeekIndex],90)=0,"",SUMIFS(T_SelfStock_Log[Self_Qty],T_SelfStock_Log[Part Name],$A6,T_SelfStock_Log[WeekIndex],90))</f>
        <v/>
      </c>
      <c r="CN6" s="17">
        <f>IF(COUNTIFS(T_SelfStock_Log[Part Name],$A6,T_SelfStock_Log[WeekIndex],91)=0,"",SUMIFS(T_SelfStock_Log[Self_Qty],T_SelfStock_Log[Part Name],$A6,T_SelfStock_Log[WeekIndex],91))</f>
        <v/>
      </c>
      <c r="CO6" s="17">
        <f>IF(COUNTIFS(T_SelfStock_Log[Part Name],$A6,T_SelfStock_Log[WeekIndex],92)=0,"",SUMIFS(T_SelfStock_Log[Self_Qty],T_SelfStock_Log[Part Name],$A6,T_SelfStock_Log[WeekIndex],92))</f>
        <v/>
      </c>
      <c r="CP6" s="17">
        <f>IF(COUNTIFS(T_SelfStock_Log[Part Name],$A6,T_SelfStock_Log[WeekIndex],93)=0,"",SUMIFS(T_SelfStock_Log[Self_Qty],T_SelfStock_Log[Part Name],$A6,T_SelfStock_Log[WeekIndex],93))</f>
        <v/>
      </c>
      <c r="CQ6" s="17">
        <f>IF(COUNTIFS(T_SelfStock_Log[Part Name],$A6,T_SelfStock_Log[WeekIndex],94)=0,"",SUMIFS(T_SelfStock_Log[Self_Qty],T_SelfStock_Log[Part Name],$A6,T_SelfStock_Log[WeekIndex],94))</f>
        <v/>
      </c>
      <c r="CR6" s="17">
        <f>IF(COUNTIFS(T_SelfStock_Log[Part Name],$A6,T_SelfStock_Log[WeekIndex],95)=0,"",SUMIFS(T_SelfStock_Log[Self_Qty],T_SelfStock_Log[Part Name],$A6,T_SelfStock_Log[WeekIndex],95))</f>
        <v/>
      </c>
      <c r="CS6" s="17">
        <f>IF(COUNTIFS(T_SelfStock_Log[Part Name],$A6,T_SelfStock_Log[WeekIndex],96)=0,"",SUMIFS(T_SelfStock_Log[Self_Qty],T_SelfStock_Log[Part Name],$A6,T_SelfStock_Log[WeekIndex],96))</f>
        <v/>
      </c>
      <c r="CT6" s="17">
        <f>IF(COUNTIFS(T_SelfStock_Log[Part Name],$A6,T_SelfStock_Log[WeekIndex],97)=0,"",SUMIFS(T_SelfStock_Log[Self_Qty],T_SelfStock_Log[Part Name],$A6,T_SelfStock_Log[WeekIndex],97))</f>
        <v/>
      </c>
      <c r="CU6" s="17">
        <f>IF(COUNTIFS(T_SelfStock_Log[Part Name],$A6,T_SelfStock_Log[WeekIndex],98)=0,"",SUMIFS(T_SelfStock_Log[Self_Qty],T_SelfStock_Log[Part Name],$A6,T_SelfStock_Log[WeekIndex],98))</f>
        <v/>
      </c>
      <c r="CV6" s="17">
        <f>IF(COUNTIFS(T_SelfStock_Log[Part Name],$A6,T_SelfStock_Log[WeekIndex],99)=0,"",SUMIFS(T_SelfStock_Log[Self_Qty],T_SelfStock_Log[Part Name],$A6,T_SelfStock_Log[WeekIndex],99))</f>
        <v/>
      </c>
      <c r="CW6" s="17">
        <f>IF(COUNTIFS(T_SelfStock_Log[Part Name],$A6,T_SelfStock_Log[WeekIndex],100)=0,"",SUMIFS(T_SelfStock_Log[Self_Qty],T_SelfStock_Log[Part Name],$A6,T_SelfStock_Log[WeekIndex],100))</f>
        <v/>
      </c>
      <c r="CX6" s="17">
        <f>IF(COUNTIFS(T_SelfStock_Log[Part Name],$A6,T_SelfStock_Log[WeekIndex],101)=0,"",SUMIFS(T_SelfStock_Log[Self_Qty],T_SelfStock_Log[Part Name],$A6,T_SelfStock_Log[WeekIndex],101))</f>
        <v/>
      </c>
      <c r="CY6" s="17">
        <f>IF(COUNTIFS(T_SelfStock_Log[Part Name],$A6,T_SelfStock_Log[WeekIndex],102)=0,"",SUMIFS(T_SelfStock_Log[Self_Qty],T_SelfStock_Log[Part Name],$A6,T_SelfStock_Log[WeekIndex],102))</f>
        <v/>
      </c>
      <c r="CZ6" s="17">
        <f>IF(COUNTIFS(T_SelfStock_Log[Part Name],$A6,T_SelfStock_Log[WeekIndex],103)=0,"",SUMIFS(T_SelfStock_Log[Self_Qty],T_SelfStock_Log[Part Name],$A6,T_SelfStock_Log[WeekIndex],103))</f>
        <v/>
      </c>
      <c r="DA6" s="17">
        <f>IF(COUNTIFS(T_SelfStock_Log[Part Name],$A6,T_SelfStock_Log[WeekIndex],104)=0,"",SUMIFS(T_SelfStock_Log[Self_Qty],T_SelfStock_Log[Part Name],$A6,T_SelfStock_Log[WeekIndex],104))</f>
        <v/>
      </c>
    </row>
    <row r="7">
      <c r="A7" s="19" t="inlineStr">
        <is>
          <t>1EK</t>
        </is>
      </c>
      <c r="B7" s="19">
        <f>IF(COUNTIFS(T_SelfStock_Log[Part Name],$A7,T_SelfStock_Log[WeekIndex],1)=0,"",SUMIFS(T_SelfStock_Log[Self_Qty],T_SelfStock_Log[Part Name],$A7,T_SelfStock_Log[WeekIndex],1))</f>
        <v/>
      </c>
      <c r="C7" s="19">
        <f>IF(COUNTIFS(T_SelfStock_Log[Part Name],$A7,T_SelfStock_Log[WeekIndex],2)=0,"",SUMIFS(T_SelfStock_Log[Self_Qty],T_SelfStock_Log[Part Name],$A7,T_SelfStock_Log[WeekIndex],2))</f>
        <v/>
      </c>
      <c r="D7" s="19">
        <f>IF(COUNTIFS(T_SelfStock_Log[Part Name],$A7,T_SelfStock_Log[WeekIndex],3)=0,"",SUMIFS(T_SelfStock_Log[Self_Qty],T_SelfStock_Log[Part Name],$A7,T_SelfStock_Log[WeekIndex],3))</f>
        <v/>
      </c>
      <c r="E7" s="19">
        <f>IF(COUNTIFS(T_SelfStock_Log[Part Name],$A7,T_SelfStock_Log[WeekIndex],4)=0,"",SUMIFS(T_SelfStock_Log[Self_Qty],T_SelfStock_Log[Part Name],$A7,T_SelfStock_Log[WeekIndex],4))</f>
        <v/>
      </c>
      <c r="F7" s="19">
        <f>IF(COUNTIFS(T_SelfStock_Log[Part Name],$A7,T_SelfStock_Log[WeekIndex],5)=0,"",SUMIFS(T_SelfStock_Log[Self_Qty],T_SelfStock_Log[Part Name],$A7,T_SelfStock_Log[WeekIndex],5))</f>
        <v/>
      </c>
      <c r="G7" s="19">
        <f>IF(COUNTIFS(T_SelfStock_Log[Part Name],$A7,T_SelfStock_Log[WeekIndex],6)=0,"",SUMIFS(T_SelfStock_Log[Self_Qty],T_SelfStock_Log[Part Name],$A7,T_SelfStock_Log[WeekIndex],6))</f>
        <v/>
      </c>
      <c r="H7" s="19">
        <f>IF(COUNTIFS(T_SelfStock_Log[Part Name],$A7,T_SelfStock_Log[WeekIndex],7)=0,"",SUMIFS(T_SelfStock_Log[Self_Qty],T_SelfStock_Log[Part Name],$A7,T_SelfStock_Log[WeekIndex],7))</f>
        <v/>
      </c>
      <c r="I7" s="19">
        <f>IF(COUNTIFS(T_SelfStock_Log[Part Name],$A7,T_SelfStock_Log[WeekIndex],8)=0,"",SUMIFS(T_SelfStock_Log[Self_Qty],T_SelfStock_Log[Part Name],$A7,T_SelfStock_Log[WeekIndex],8))</f>
        <v/>
      </c>
      <c r="J7" s="19">
        <f>IF(COUNTIFS(T_SelfStock_Log[Part Name],$A7,T_SelfStock_Log[WeekIndex],9)=0,"",SUMIFS(T_SelfStock_Log[Self_Qty],T_SelfStock_Log[Part Name],$A7,T_SelfStock_Log[WeekIndex],9))</f>
        <v/>
      </c>
      <c r="K7" s="19">
        <f>IF(COUNTIFS(T_SelfStock_Log[Part Name],$A7,T_SelfStock_Log[WeekIndex],10)=0,"",SUMIFS(T_SelfStock_Log[Self_Qty],T_SelfStock_Log[Part Name],$A7,T_SelfStock_Log[WeekIndex],10))</f>
        <v/>
      </c>
      <c r="L7" s="19">
        <f>IF(COUNTIFS(T_SelfStock_Log[Part Name],$A7,T_SelfStock_Log[WeekIndex],11)=0,"",SUMIFS(T_SelfStock_Log[Self_Qty],T_SelfStock_Log[Part Name],$A7,T_SelfStock_Log[WeekIndex],11))</f>
        <v/>
      </c>
      <c r="M7" s="19">
        <f>IF(COUNTIFS(T_SelfStock_Log[Part Name],$A7,T_SelfStock_Log[WeekIndex],12)=0,"",SUMIFS(T_SelfStock_Log[Self_Qty],T_SelfStock_Log[Part Name],$A7,T_SelfStock_Log[WeekIndex],12))</f>
        <v/>
      </c>
      <c r="N7" s="19">
        <f>IF(COUNTIFS(T_SelfStock_Log[Part Name],$A7,T_SelfStock_Log[WeekIndex],13)=0,"",SUMIFS(T_SelfStock_Log[Self_Qty],T_SelfStock_Log[Part Name],$A7,T_SelfStock_Log[WeekIndex],13))</f>
        <v/>
      </c>
      <c r="O7" s="19">
        <f>IF(COUNTIFS(T_SelfStock_Log[Part Name],$A7,T_SelfStock_Log[WeekIndex],14)=0,"",SUMIFS(T_SelfStock_Log[Self_Qty],T_SelfStock_Log[Part Name],$A7,T_SelfStock_Log[WeekIndex],14))</f>
        <v/>
      </c>
      <c r="P7" s="19">
        <f>IF(COUNTIFS(T_SelfStock_Log[Part Name],$A7,T_SelfStock_Log[WeekIndex],15)=0,"",SUMIFS(T_SelfStock_Log[Self_Qty],T_SelfStock_Log[Part Name],$A7,T_SelfStock_Log[WeekIndex],15))</f>
        <v/>
      </c>
      <c r="Q7" s="19">
        <f>IF(COUNTIFS(T_SelfStock_Log[Part Name],$A7,T_SelfStock_Log[WeekIndex],16)=0,"",SUMIFS(T_SelfStock_Log[Self_Qty],T_SelfStock_Log[Part Name],$A7,T_SelfStock_Log[WeekIndex],16))</f>
        <v/>
      </c>
      <c r="R7" s="19">
        <f>IF(COUNTIFS(T_SelfStock_Log[Part Name],$A7,T_SelfStock_Log[WeekIndex],17)=0,"",SUMIFS(T_SelfStock_Log[Self_Qty],T_SelfStock_Log[Part Name],$A7,T_SelfStock_Log[WeekIndex],17))</f>
        <v/>
      </c>
      <c r="S7" s="19">
        <f>IF(COUNTIFS(T_SelfStock_Log[Part Name],$A7,T_SelfStock_Log[WeekIndex],18)=0,"",SUMIFS(T_SelfStock_Log[Self_Qty],T_SelfStock_Log[Part Name],$A7,T_SelfStock_Log[WeekIndex],18))</f>
        <v/>
      </c>
      <c r="T7" s="19">
        <f>IF(COUNTIFS(T_SelfStock_Log[Part Name],$A7,T_SelfStock_Log[WeekIndex],19)=0,"",SUMIFS(T_SelfStock_Log[Self_Qty],T_SelfStock_Log[Part Name],$A7,T_SelfStock_Log[WeekIndex],19))</f>
        <v/>
      </c>
      <c r="U7" s="19">
        <f>IF(COUNTIFS(T_SelfStock_Log[Part Name],$A7,T_SelfStock_Log[WeekIndex],20)=0,"",SUMIFS(T_SelfStock_Log[Self_Qty],T_SelfStock_Log[Part Name],$A7,T_SelfStock_Log[WeekIndex],20))</f>
        <v/>
      </c>
      <c r="V7" s="19">
        <f>IF(COUNTIFS(T_SelfStock_Log[Part Name],$A7,T_SelfStock_Log[WeekIndex],21)=0,"",SUMIFS(T_SelfStock_Log[Self_Qty],T_SelfStock_Log[Part Name],$A7,T_SelfStock_Log[WeekIndex],21))</f>
        <v/>
      </c>
      <c r="W7" s="19">
        <f>IF(COUNTIFS(T_SelfStock_Log[Part Name],$A7,T_SelfStock_Log[WeekIndex],22)=0,"",SUMIFS(T_SelfStock_Log[Self_Qty],T_SelfStock_Log[Part Name],$A7,T_SelfStock_Log[WeekIndex],22))</f>
        <v/>
      </c>
      <c r="X7" s="19">
        <f>IF(COUNTIFS(T_SelfStock_Log[Part Name],$A7,T_SelfStock_Log[WeekIndex],23)=0,"",SUMIFS(T_SelfStock_Log[Self_Qty],T_SelfStock_Log[Part Name],$A7,T_SelfStock_Log[WeekIndex],23))</f>
        <v/>
      </c>
      <c r="Y7" s="19">
        <f>IF(COUNTIFS(T_SelfStock_Log[Part Name],$A7,T_SelfStock_Log[WeekIndex],24)=0,"",SUMIFS(T_SelfStock_Log[Self_Qty],T_SelfStock_Log[Part Name],$A7,T_SelfStock_Log[WeekIndex],24))</f>
        <v/>
      </c>
      <c r="Z7" s="19">
        <f>IF(COUNTIFS(T_SelfStock_Log[Part Name],$A7,T_SelfStock_Log[WeekIndex],25)=0,"",SUMIFS(T_SelfStock_Log[Self_Qty],T_SelfStock_Log[Part Name],$A7,T_SelfStock_Log[WeekIndex],25))</f>
        <v/>
      </c>
      <c r="AA7" s="19">
        <f>IF(COUNTIFS(T_SelfStock_Log[Part Name],$A7,T_SelfStock_Log[WeekIndex],26)=0,"",SUMIFS(T_SelfStock_Log[Self_Qty],T_SelfStock_Log[Part Name],$A7,T_SelfStock_Log[WeekIndex],26))</f>
        <v/>
      </c>
      <c r="AB7" s="19">
        <f>IF(COUNTIFS(T_SelfStock_Log[Part Name],$A7,T_SelfStock_Log[WeekIndex],27)=0,"",SUMIFS(T_SelfStock_Log[Self_Qty],T_SelfStock_Log[Part Name],$A7,T_SelfStock_Log[WeekIndex],27))</f>
        <v/>
      </c>
      <c r="AC7" s="19">
        <f>IF(COUNTIFS(T_SelfStock_Log[Part Name],$A7,T_SelfStock_Log[WeekIndex],28)=0,"",SUMIFS(T_SelfStock_Log[Self_Qty],T_SelfStock_Log[Part Name],$A7,T_SelfStock_Log[WeekIndex],28))</f>
        <v/>
      </c>
      <c r="AD7" s="19">
        <f>IF(COUNTIFS(T_SelfStock_Log[Part Name],$A7,T_SelfStock_Log[WeekIndex],29)=0,"",SUMIFS(T_SelfStock_Log[Self_Qty],T_SelfStock_Log[Part Name],$A7,T_SelfStock_Log[WeekIndex],29))</f>
        <v/>
      </c>
      <c r="AE7" s="19">
        <f>IF(COUNTIFS(T_SelfStock_Log[Part Name],$A7,T_SelfStock_Log[WeekIndex],30)=0,"",SUMIFS(T_SelfStock_Log[Self_Qty],T_SelfStock_Log[Part Name],$A7,T_SelfStock_Log[WeekIndex],30))</f>
        <v/>
      </c>
      <c r="AF7" s="19">
        <f>IF(COUNTIFS(T_SelfStock_Log[Part Name],$A7,T_SelfStock_Log[WeekIndex],31)=0,"",SUMIFS(T_SelfStock_Log[Self_Qty],T_SelfStock_Log[Part Name],$A7,T_SelfStock_Log[WeekIndex],31))</f>
        <v/>
      </c>
      <c r="AG7" s="19">
        <f>IF(COUNTIFS(T_SelfStock_Log[Part Name],$A7,T_SelfStock_Log[WeekIndex],32)=0,"",SUMIFS(T_SelfStock_Log[Self_Qty],T_SelfStock_Log[Part Name],$A7,T_SelfStock_Log[WeekIndex],32))</f>
        <v/>
      </c>
      <c r="AH7" s="19">
        <f>IF(COUNTIFS(T_SelfStock_Log[Part Name],$A7,T_SelfStock_Log[WeekIndex],33)=0,"",SUMIFS(T_SelfStock_Log[Self_Qty],T_SelfStock_Log[Part Name],$A7,T_SelfStock_Log[WeekIndex],33))</f>
        <v/>
      </c>
      <c r="AI7" s="19">
        <f>IF(COUNTIFS(T_SelfStock_Log[Part Name],$A7,T_SelfStock_Log[WeekIndex],34)=0,"",SUMIFS(T_SelfStock_Log[Self_Qty],T_SelfStock_Log[Part Name],$A7,T_SelfStock_Log[WeekIndex],34))</f>
        <v/>
      </c>
      <c r="AJ7" s="19">
        <f>IF(COUNTIFS(T_SelfStock_Log[Part Name],$A7,T_SelfStock_Log[WeekIndex],35)=0,"",SUMIFS(T_SelfStock_Log[Self_Qty],T_SelfStock_Log[Part Name],$A7,T_SelfStock_Log[WeekIndex],35))</f>
        <v/>
      </c>
      <c r="AK7" s="19">
        <f>IF(COUNTIFS(T_SelfStock_Log[Part Name],$A7,T_SelfStock_Log[WeekIndex],36)=0,"",SUMIFS(T_SelfStock_Log[Self_Qty],T_SelfStock_Log[Part Name],$A7,T_SelfStock_Log[WeekIndex],36))</f>
        <v/>
      </c>
      <c r="AL7" s="19">
        <f>IF(COUNTIFS(T_SelfStock_Log[Part Name],$A7,T_SelfStock_Log[WeekIndex],37)=0,"",SUMIFS(T_SelfStock_Log[Self_Qty],T_SelfStock_Log[Part Name],$A7,T_SelfStock_Log[WeekIndex],37))</f>
        <v/>
      </c>
      <c r="AM7" s="19">
        <f>IF(COUNTIFS(T_SelfStock_Log[Part Name],$A7,T_SelfStock_Log[WeekIndex],38)=0,"",SUMIFS(T_SelfStock_Log[Self_Qty],T_SelfStock_Log[Part Name],$A7,T_SelfStock_Log[WeekIndex],38))</f>
        <v/>
      </c>
      <c r="AN7" s="19">
        <f>IF(COUNTIFS(T_SelfStock_Log[Part Name],$A7,T_SelfStock_Log[WeekIndex],39)=0,"",SUMIFS(T_SelfStock_Log[Self_Qty],T_SelfStock_Log[Part Name],$A7,T_SelfStock_Log[WeekIndex],39))</f>
        <v/>
      </c>
      <c r="AO7" s="19">
        <f>IF(COUNTIFS(T_SelfStock_Log[Part Name],$A7,T_SelfStock_Log[WeekIndex],40)=0,"",SUMIFS(T_SelfStock_Log[Self_Qty],T_SelfStock_Log[Part Name],$A7,T_SelfStock_Log[WeekIndex],40))</f>
        <v/>
      </c>
      <c r="AP7" s="19">
        <f>IF(COUNTIFS(T_SelfStock_Log[Part Name],$A7,T_SelfStock_Log[WeekIndex],41)=0,"",SUMIFS(T_SelfStock_Log[Self_Qty],T_SelfStock_Log[Part Name],$A7,T_SelfStock_Log[WeekIndex],41))</f>
        <v/>
      </c>
      <c r="AQ7" s="19">
        <f>IF(COUNTIFS(T_SelfStock_Log[Part Name],$A7,T_SelfStock_Log[WeekIndex],42)=0,"",SUMIFS(T_SelfStock_Log[Self_Qty],T_SelfStock_Log[Part Name],$A7,T_SelfStock_Log[WeekIndex],42))</f>
        <v/>
      </c>
      <c r="AR7" s="19">
        <f>IF(COUNTIFS(T_SelfStock_Log[Part Name],$A7,T_SelfStock_Log[WeekIndex],43)=0,"",SUMIFS(T_SelfStock_Log[Self_Qty],T_SelfStock_Log[Part Name],$A7,T_SelfStock_Log[WeekIndex],43))</f>
        <v/>
      </c>
      <c r="AS7" s="19">
        <f>IF(COUNTIFS(T_SelfStock_Log[Part Name],$A7,T_SelfStock_Log[WeekIndex],44)=0,"",SUMIFS(T_SelfStock_Log[Self_Qty],T_SelfStock_Log[Part Name],$A7,T_SelfStock_Log[WeekIndex],44))</f>
        <v/>
      </c>
      <c r="AT7" s="19">
        <f>IF(COUNTIFS(T_SelfStock_Log[Part Name],$A7,T_SelfStock_Log[WeekIndex],45)=0,"",SUMIFS(T_SelfStock_Log[Self_Qty],T_SelfStock_Log[Part Name],$A7,T_SelfStock_Log[WeekIndex],45))</f>
        <v/>
      </c>
      <c r="AU7" s="19">
        <f>IF(COUNTIFS(T_SelfStock_Log[Part Name],$A7,T_SelfStock_Log[WeekIndex],46)=0,"",SUMIFS(T_SelfStock_Log[Self_Qty],T_SelfStock_Log[Part Name],$A7,T_SelfStock_Log[WeekIndex],46))</f>
        <v/>
      </c>
      <c r="AV7" s="19">
        <f>IF(COUNTIFS(T_SelfStock_Log[Part Name],$A7,T_SelfStock_Log[WeekIndex],47)=0,"",SUMIFS(T_SelfStock_Log[Self_Qty],T_SelfStock_Log[Part Name],$A7,T_SelfStock_Log[WeekIndex],47))</f>
        <v/>
      </c>
      <c r="AW7" s="19">
        <f>IF(COUNTIFS(T_SelfStock_Log[Part Name],$A7,T_SelfStock_Log[WeekIndex],48)=0,"",SUMIFS(T_SelfStock_Log[Self_Qty],T_SelfStock_Log[Part Name],$A7,T_SelfStock_Log[WeekIndex],48))</f>
        <v/>
      </c>
      <c r="AX7" s="19">
        <f>IF(COUNTIFS(T_SelfStock_Log[Part Name],$A7,T_SelfStock_Log[WeekIndex],49)=0,"",SUMIFS(T_SelfStock_Log[Self_Qty],T_SelfStock_Log[Part Name],$A7,T_SelfStock_Log[WeekIndex],49))</f>
        <v/>
      </c>
      <c r="AY7" s="19">
        <f>IF(COUNTIFS(T_SelfStock_Log[Part Name],$A7,T_SelfStock_Log[WeekIndex],50)=0,"",SUMIFS(T_SelfStock_Log[Self_Qty],T_SelfStock_Log[Part Name],$A7,T_SelfStock_Log[WeekIndex],50))</f>
        <v/>
      </c>
      <c r="AZ7" s="19">
        <f>IF(COUNTIFS(T_SelfStock_Log[Part Name],$A7,T_SelfStock_Log[WeekIndex],51)=0,"",SUMIFS(T_SelfStock_Log[Self_Qty],T_SelfStock_Log[Part Name],$A7,T_SelfStock_Log[WeekIndex],51))</f>
        <v/>
      </c>
      <c r="BA7" s="19">
        <f>IF(COUNTIFS(T_SelfStock_Log[Part Name],$A7,T_SelfStock_Log[WeekIndex],52)=0,"",SUMIFS(T_SelfStock_Log[Self_Qty],T_SelfStock_Log[Part Name],$A7,T_SelfStock_Log[WeekIndex],52))</f>
        <v/>
      </c>
      <c r="BB7" s="19">
        <f>IF(COUNTIFS(T_SelfStock_Log[Part Name],$A7,T_SelfStock_Log[WeekIndex],53)=0,"",SUMIFS(T_SelfStock_Log[Self_Qty],T_SelfStock_Log[Part Name],$A7,T_SelfStock_Log[WeekIndex],53))</f>
        <v/>
      </c>
      <c r="BC7" s="19">
        <f>IF(COUNTIFS(T_SelfStock_Log[Part Name],$A7,T_SelfStock_Log[WeekIndex],54)=0,"",SUMIFS(T_SelfStock_Log[Self_Qty],T_SelfStock_Log[Part Name],$A7,T_SelfStock_Log[WeekIndex],54))</f>
        <v/>
      </c>
      <c r="BD7" s="19">
        <f>IF(COUNTIFS(T_SelfStock_Log[Part Name],$A7,T_SelfStock_Log[WeekIndex],55)=0,"",SUMIFS(T_SelfStock_Log[Self_Qty],T_SelfStock_Log[Part Name],$A7,T_SelfStock_Log[WeekIndex],55))</f>
        <v/>
      </c>
      <c r="BE7" s="19">
        <f>IF(COUNTIFS(T_SelfStock_Log[Part Name],$A7,T_SelfStock_Log[WeekIndex],56)=0,"",SUMIFS(T_SelfStock_Log[Self_Qty],T_SelfStock_Log[Part Name],$A7,T_SelfStock_Log[WeekIndex],56))</f>
        <v/>
      </c>
      <c r="BF7" s="19">
        <f>IF(COUNTIFS(T_SelfStock_Log[Part Name],$A7,T_SelfStock_Log[WeekIndex],57)=0,"",SUMIFS(T_SelfStock_Log[Self_Qty],T_SelfStock_Log[Part Name],$A7,T_SelfStock_Log[WeekIndex],57))</f>
        <v/>
      </c>
      <c r="BG7" s="19">
        <f>IF(COUNTIFS(T_SelfStock_Log[Part Name],$A7,T_SelfStock_Log[WeekIndex],58)=0,"",SUMIFS(T_SelfStock_Log[Self_Qty],T_SelfStock_Log[Part Name],$A7,T_SelfStock_Log[WeekIndex],58))</f>
        <v/>
      </c>
      <c r="BH7" s="19">
        <f>IF(COUNTIFS(T_SelfStock_Log[Part Name],$A7,T_SelfStock_Log[WeekIndex],59)=0,"",SUMIFS(T_SelfStock_Log[Self_Qty],T_SelfStock_Log[Part Name],$A7,T_SelfStock_Log[WeekIndex],59))</f>
        <v/>
      </c>
      <c r="BI7" s="19">
        <f>IF(COUNTIFS(T_SelfStock_Log[Part Name],$A7,T_SelfStock_Log[WeekIndex],60)=0,"",SUMIFS(T_SelfStock_Log[Self_Qty],T_SelfStock_Log[Part Name],$A7,T_SelfStock_Log[WeekIndex],60))</f>
        <v/>
      </c>
      <c r="BJ7" s="19">
        <f>IF(COUNTIFS(T_SelfStock_Log[Part Name],$A7,T_SelfStock_Log[WeekIndex],61)=0,"",SUMIFS(T_SelfStock_Log[Self_Qty],T_SelfStock_Log[Part Name],$A7,T_SelfStock_Log[WeekIndex],61))</f>
        <v/>
      </c>
      <c r="BK7" s="19">
        <f>IF(COUNTIFS(T_SelfStock_Log[Part Name],$A7,T_SelfStock_Log[WeekIndex],62)=0,"",SUMIFS(T_SelfStock_Log[Self_Qty],T_SelfStock_Log[Part Name],$A7,T_SelfStock_Log[WeekIndex],62))</f>
        <v/>
      </c>
      <c r="BL7" s="19">
        <f>IF(COUNTIFS(T_SelfStock_Log[Part Name],$A7,T_SelfStock_Log[WeekIndex],63)=0,"",SUMIFS(T_SelfStock_Log[Self_Qty],T_SelfStock_Log[Part Name],$A7,T_SelfStock_Log[WeekIndex],63))</f>
        <v/>
      </c>
      <c r="BM7" s="19">
        <f>IF(COUNTIFS(T_SelfStock_Log[Part Name],$A7,T_SelfStock_Log[WeekIndex],64)=0,"",SUMIFS(T_SelfStock_Log[Self_Qty],T_SelfStock_Log[Part Name],$A7,T_SelfStock_Log[WeekIndex],64))</f>
        <v/>
      </c>
      <c r="BN7" s="19">
        <f>IF(COUNTIFS(T_SelfStock_Log[Part Name],$A7,T_SelfStock_Log[WeekIndex],65)=0,"",SUMIFS(T_SelfStock_Log[Self_Qty],T_SelfStock_Log[Part Name],$A7,T_SelfStock_Log[WeekIndex],65))</f>
        <v/>
      </c>
      <c r="BO7" s="19">
        <f>IF(COUNTIFS(T_SelfStock_Log[Part Name],$A7,T_SelfStock_Log[WeekIndex],66)=0,"",SUMIFS(T_SelfStock_Log[Self_Qty],T_SelfStock_Log[Part Name],$A7,T_SelfStock_Log[WeekIndex],66))</f>
        <v/>
      </c>
      <c r="BP7" s="19">
        <f>IF(COUNTIFS(T_SelfStock_Log[Part Name],$A7,T_SelfStock_Log[WeekIndex],67)=0,"",SUMIFS(T_SelfStock_Log[Self_Qty],T_SelfStock_Log[Part Name],$A7,T_SelfStock_Log[WeekIndex],67))</f>
        <v/>
      </c>
      <c r="BQ7" s="19">
        <f>IF(COUNTIFS(T_SelfStock_Log[Part Name],$A7,T_SelfStock_Log[WeekIndex],68)=0,"",SUMIFS(T_SelfStock_Log[Self_Qty],T_SelfStock_Log[Part Name],$A7,T_SelfStock_Log[WeekIndex],68))</f>
        <v/>
      </c>
      <c r="BR7" s="19">
        <f>IF(COUNTIFS(T_SelfStock_Log[Part Name],$A7,T_SelfStock_Log[WeekIndex],69)=0,"",SUMIFS(T_SelfStock_Log[Self_Qty],T_SelfStock_Log[Part Name],$A7,T_SelfStock_Log[WeekIndex],69))</f>
        <v/>
      </c>
      <c r="BS7" s="19">
        <f>IF(COUNTIFS(T_SelfStock_Log[Part Name],$A7,T_SelfStock_Log[WeekIndex],70)=0,"",SUMIFS(T_SelfStock_Log[Self_Qty],T_SelfStock_Log[Part Name],$A7,T_SelfStock_Log[WeekIndex],70))</f>
        <v/>
      </c>
      <c r="BT7" s="19">
        <f>IF(COUNTIFS(T_SelfStock_Log[Part Name],$A7,T_SelfStock_Log[WeekIndex],71)=0,"",SUMIFS(T_SelfStock_Log[Self_Qty],T_SelfStock_Log[Part Name],$A7,T_SelfStock_Log[WeekIndex],71))</f>
        <v/>
      </c>
      <c r="BU7" s="19">
        <f>IF(COUNTIFS(T_SelfStock_Log[Part Name],$A7,T_SelfStock_Log[WeekIndex],72)=0,"",SUMIFS(T_SelfStock_Log[Self_Qty],T_SelfStock_Log[Part Name],$A7,T_SelfStock_Log[WeekIndex],72))</f>
        <v/>
      </c>
      <c r="BV7" s="19">
        <f>IF(COUNTIFS(T_SelfStock_Log[Part Name],$A7,T_SelfStock_Log[WeekIndex],73)=0,"",SUMIFS(T_SelfStock_Log[Self_Qty],T_SelfStock_Log[Part Name],$A7,T_SelfStock_Log[WeekIndex],73))</f>
        <v/>
      </c>
      <c r="BW7" s="19">
        <f>IF(COUNTIFS(T_SelfStock_Log[Part Name],$A7,T_SelfStock_Log[WeekIndex],74)=0,"",SUMIFS(T_SelfStock_Log[Self_Qty],T_SelfStock_Log[Part Name],$A7,T_SelfStock_Log[WeekIndex],74))</f>
        <v/>
      </c>
      <c r="BX7" s="19">
        <f>IF(COUNTIFS(T_SelfStock_Log[Part Name],$A7,T_SelfStock_Log[WeekIndex],75)=0,"",SUMIFS(T_SelfStock_Log[Self_Qty],T_SelfStock_Log[Part Name],$A7,T_SelfStock_Log[WeekIndex],75))</f>
        <v/>
      </c>
      <c r="BY7" s="19">
        <f>IF(COUNTIFS(T_SelfStock_Log[Part Name],$A7,T_SelfStock_Log[WeekIndex],76)=0,"",SUMIFS(T_SelfStock_Log[Self_Qty],T_SelfStock_Log[Part Name],$A7,T_SelfStock_Log[WeekIndex],76))</f>
        <v/>
      </c>
      <c r="BZ7" s="19">
        <f>IF(COUNTIFS(T_SelfStock_Log[Part Name],$A7,T_SelfStock_Log[WeekIndex],77)=0,"",SUMIFS(T_SelfStock_Log[Self_Qty],T_SelfStock_Log[Part Name],$A7,T_SelfStock_Log[WeekIndex],77))</f>
        <v/>
      </c>
      <c r="CA7" s="19">
        <f>IF(COUNTIFS(T_SelfStock_Log[Part Name],$A7,T_SelfStock_Log[WeekIndex],78)=0,"",SUMIFS(T_SelfStock_Log[Self_Qty],T_SelfStock_Log[Part Name],$A7,T_SelfStock_Log[WeekIndex],78))</f>
        <v/>
      </c>
      <c r="CB7" s="19">
        <f>IF(COUNTIFS(T_SelfStock_Log[Part Name],$A7,T_SelfStock_Log[WeekIndex],79)=0,"",SUMIFS(T_SelfStock_Log[Self_Qty],T_SelfStock_Log[Part Name],$A7,T_SelfStock_Log[WeekIndex],79))</f>
        <v/>
      </c>
      <c r="CC7" s="19">
        <f>IF(COUNTIFS(T_SelfStock_Log[Part Name],$A7,T_SelfStock_Log[WeekIndex],80)=0,"",SUMIFS(T_SelfStock_Log[Self_Qty],T_SelfStock_Log[Part Name],$A7,T_SelfStock_Log[WeekIndex],80))</f>
        <v/>
      </c>
      <c r="CD7" s="19">
        <f>IF(COUNTIFS(T_SelfStock_Log[Part Name],$A7,T_SelfStock_Log[WeekIndex],81)=0,"",SUMIFS(T_SelfStock_Log[Self_Qty],T_SelfStock_Log[Part Name],$A7,T_SelfStock_Log[WeekIndex],81))</f>
        <v/>
      </c>
      <c r="CE7" s="19">
        <f>IF(COUNTIFS(T_SelfStock_Log[Part Name],$A7,T_SelfStock_Log[WeekIndex],82)=0,"",SUMIFS(T_SelfStock_Log[Self_Qty],T_SelfStock_Log[Part Name],$A7,T_SelfStock_Log[WeekIndex],82))</f>
        <v/>
      </c>
      <c r="CF7" s="19">
        <f>IF(COUNTIFS(T_SelfStock_Log[Part Name],$A7,T_SelfStock_Log[WeekIndex],83)=0,"",SUMIFS(T_SelfStock_Log[Self_Qty],T_SelfStock_Log[Part Name],$A7,T_SelfStock_Log[WeekIndex],83))</f>
        <v/>
      </c>
      <c r="CG7" s="19">
        <f>IF(COUNTIFS(T_SelfStock_Log[Part Name],$A7,T_SelfStock_Log[WeekIndex],84)=0,"",SUMIFS(T_SelfStock_Log[Self_Qty],T_SelfStock_Log[Part Name],$A7,T_SelfStock_Log[WeekIndex],84))</f>
        <v/>
      </c>
      <c r="CH7" s="19">
        <f>IF(COUNTIFS(T_SelfStock_Log[Part Name],$A7,T_SelfStock_Log[WeekIndex],85)=0,"",SUMIFS(T_SelfStock_Log[Self_Qty],T_SelfStock_Log[Part Name],$A7,T_SelfStock_Log[WeekIndex],85))</f>
        <v/>
      </c>
      <c r="CI7" s="19">
        <f>IF(COUNTIFS(T_SelfStock_Log[Part Name],$A7,T_SelfStock_Log[WeekIndex],86)=0,"",SUMIFS(T_SelfStock_Log[Self_Qty],T_SelfStock_Log[Part Name],$A7,T_SelfStock_Log[WeekIndex],86))</f>
        <v/>
      </c>
      <c r="CJ7" s="19">
        <f>IF(COUNTIFS(T_SelfStock_Log[Part Name],$A7,T_SelfStock_Log[WeekIndex],87)=0,"",SUMIFS(T_SelfStock_Log[Self_Qty],T_SelfStock_Log[Part Name],$A7,T_SelfStock_Log[WeekIndex],87))</f>
        <v/>
      </c>
      <c r="CK7" s="19">
        <f>IF(COUNTIFS(T_SelfStock_Log[Part Name],$A7,T_SelfStock_Log[WeekIndex],88)=0,"",SUMIFS(T_SelfStock_Log[Self_Qty],T_SelfStock_Log[Part Name],$A7,T_SelfStock_Log[WeekIndex],88))</f>
        <v/>
      </c>
      <c r="CL7" s="19">
        <f>IF(COUNTIFS(T_SelfStock_Log[Part Name],$A7,T_SelfStock_Log[WeekIndex],89)=0,"",SUMIFS(T_SelfStock_Log[Self_Qty],T_SelfStock_Log[Part Name],$A7,T_SelfStock_Log[WeekIndex],89))</f>
        <v/>
      </c>
      <c r="CM7" s="19">
        <f>IF(COUNTIFS(T_SelfStock_Log[Part Name],$A7,T_SelfStock_Log[WeekIndex],90)=0,"",SUMIFS(T_SelfStock_Log[Self_Qty],T_SelfStock_Log[Part Name],$A7,T_SelfStock_Log[WeekIndex],90))</f>
        <v/>
      </c>
      <c r="CN7" s="19">
        <f>IF(COUNTIFS(T_SelfStock_Log[Part Name],$A7,T_SelfStock_Log[WeekIndex],91)=0,"",SUMIFS(T_SelfStock_Log[Self_Qty],T_SelfStock_Log[Part Name],$A7,T_SelfStock_Log[WeekIndex],91))</f>
        <v/>
      </c>
      <c r="CO7" s="19">
        <f>IF(COUNTIFS(T_SelfStock_Log[Part Name],$A7,T_SelfStock_Log[WeekIndex],92)=0,"",SUMIFS(T_SelfStock_Log[Self_Qty],T_SelfStock_Log[Part Name],$A7,T_SelfStock_Log[WeekIndex],92))</f>
        <v/>
      </c>
      <c r="CP7" s="19">
        <f>IF(COUNTIFS(T_SelfStock_Log[Part Name],$A7,T_SelfStock_Log[WeekIndex],93)=0,"",SUMIFS(T_SelfStock_Log[Self_Qty],T_SelfStock_Log[Part Name],$A7,T_SelfStock_Log[WeekIndex],93))</f>
        <v/>
      </c>
      <c r="CQ7" s="19">
        <f>IF(COUNTIFS(T_SelfStock_Log[Part Name],$A7,T_SelfStock_Log[WeekIndex],94)=0,"",SUMIFS(T_SelfStock_Log[Self_Qty],T_SelfStock_Log[Part Name],$A7,T_SelfStock_Log[WeekIndex],94))</f>
        <v/>
      </c>
      <c r="CR7" s="19">
        <f>IF(COUNTIFS(T_SelfStock_Log[Part Name],$A7,T_SelfStock_Log[WeekIndex],95)=0,"",SUMIFS(T_SelfStock_Log[Self_Qty],T_SelfStock_Log[Part Name],$A7,T_SelfStock_Log[WeekIndex],95))</f>
        <v/>
      </c>
      <c r="CS7" s="19">
        <f>IF(COUNTIFS(T_SelfStock_Log[Part Name],$A7,T_SelfStock_Log[WeekIndex],96)=0,"",SUMIFS(T_SelfStock_Log[Self_Qty],T_SelfStock_Log[Part Name],$A7,T_SelfStock_Log[WeekIndex],96))</f>
        <v/>
      </c>
      <c r="CT7" s="19">
        <f>IF(COUNTIFS(T_SelfStock_Log[Part Name],$A7,T_SelfStock_Log[WeekIndex],97)=0,"",SUMIFS(T_SelfStock_Log[Self_Qty],T_SelfStock_Log[Part Name],$A7,T_SelfStock_Log[WeekIndex],97))</f>
        <v/>
      </c>
      <c r="CU7" s="19">
        <f>IF(COUNTIFS(T_SelfStock_Log[Part Name],$A7,T_SelfStock_Log[WeekIndex],98)=0,"",SUMIFS(T_SelfStock_Log[Self_Qty],T_SelfStock_Log[Part Name],$A7,T_SelfStock_Log[WeekIndex],98))</f>
        <v/>
      </c>
      <c r="CV7" s="19">
        <f>IF(COUNTIFS(T_SelfStock_Log[Part Name],$A7,T_SelfStock_Log[WeekIndex],99)=0,"",SUMIFS(T_SelfStock_Log[Self_Qty],T_SelfStock_Log[Part Name],$A7,T_SelfStock_Log[WeekIndex],99))</f>
        <v/>
      </c>
      <c r="CW7" s="19">
        <f>IF(COUNTIFS(T_SelfStock_Log[Part Name],$A7,T_SelfStock_Log[WeekIndex],100)=0,"",SUMIFS(T_SelfStock_Log[Self_Qty],T_SelfStock_Log[Part Name],$A7,T_SelfStock_Log[WeekIndex],100))</f>
        <v/>
      </c>
      <c r="CX7" s="19">
        <f>IF(COUNTIFS(T_SelfStock_Log[Part Name],$A7,T_SelfStock_Log[WeekIndex],101)=0,"",SUMIFS(T_SelfStock_Log[Self_Qty],T_SelfStock_Log[Part Name],$A7,T_SelfStock_Log[WeekIndex],101))</f>
        <v/>
      </c>
      <c r="CY7" s="19">
        <f>IF(COUNTIFS(T_SelfStock_Log[Part Name],$A7,T_SelfStock_Log[WeekIndex],102)=0,"",SUMIFS(T_SelfStock_Log[Self_Qty],T_SelfStock_Log[Part Name],$A7,T_SelfStock_Log[WeekIndex],102))</f>
        <v/>
      </c>
      <c r="CZ7" s="19">
        <f>IF(COUNTIFS(T_SelfStock_Log[Part Name],$A7,T_SelfStock_Log[WeekIndex],103)=0,"",SUMIFS(T_SelfStock_Log[Self_Qty],T_SelfStock_Log[Part Name],$A7,T_SelfStock_Log[WeekIndex],103))</f>
        <v/>
      </c>
      <c r="DA7" s="19">
        <f>IF(COUNTIFS(T_SelfStock_Log[Part Name],$A7,T_SelfStock_Log[WeekIndex],104)=0,"",SUMIFS(T_SelfStock_Log[Self_Qty],T_SelfStock_Log[Part Name],$A7,T_SelfStock_Log[WeekIndex],104))</f>
        <v/>
      </c>
    </row>
    <row r="8">
      <c r="A8" s="17" t="inlineStr">
        <is>
          <t>4HL</t>
        </is>
      </c>
      <c r="B8" s="17">
        <f>IF(COUNTIFS(T_SelfStock_Log[Part Name],$A8,T_SelfStock_Log[WeekIndex],1)=0,"",SUMIFS(T_SelfStock_Log[Self_Qty],T_SelfStock_Log[Part Name],$A8,T_SelfStock_Log[WeekIndex],1))</f>
        <v/>
      </c>
      <c r="C8" s="17">
        <f>IF(COUNTIFS(T_SelfStock_Log[Part Name],$A8,T_SelfStock_Log[WeekIndex],2)=0,"",SUMIFS(T_SelfStock_Log[Self_Qty],T_SelfStock_Log[Part Name],$A8,T_SelfStock_Log[WeekIndex],2))</f>
        <v/>
      </c>
      <c r="D8" s="17">
        <f>IF(COUNTIFS(T_SelfStock_Log[Part Name],$A8,T_SelfStock_Log[WeekIndex],3)=0,"",SUMIFS(T_SelfStock_Log[Self_Qty],T_SelfStock_Log[Part Name],$A8,T_SelfStock_Log[WeekIndex],3))</f>
        <v/>
      </c>
      <c r="E8" s="17">
        <f>IF(COUNTIFS(T_SelfStock_Log[Part Name],$A8,T_SelfStock_Log[WeekIndex],4)=0,"",SUMIFS(T_SelfStock_Log[Self_Qty],T_SelfStock_Log[Part Name],$A8,T_SelfStock_Log[WeekIndex],4))</f>
        <v/>
      </c>
      <c r="F8" s="17">
        <f>IF(COUNTIFS(T_SelfStock_Log[Part Name],$A8,T_SelfStock_Log[WeekIndex],5)=0,"",SUMIFS(T_SelfStock_Log[Self_Qty],T_SelfStock_Log[Part Name],$A8,T_SelfStock_Log[WeekIndex],5))</f>
        <v/>
      </c>
      <c r="G8" s="17">
        <f>IF(COUNTIFS(T_SelfStock_Log[Part Name],$A8,T_SelfStock_Log[WeekIndex],6)=0,"",SUMIFS(T_SelfStock_Log[Self_Qty],T_SelfStock_Log[Part Name],$A8,T_SelfStock_Log[WeekIndex],6))</f>
        <v/>
      </c>
      <c r="H8" s="17">
        <f>IF(COUNTIFS(T_SelfStock_Log[Part Name],$A8,T_SelfStock_Log[WeekIndex],7)=0,"",SUMIFS(T_SelfStock_Log[Self_Qty],T_SelfStock_Log[Part Name],$A8,T_SelfStock_Log[WeekIndex],7))</f>
        <v/>
      </c>
      <c r="I8" s="17">
        <f>IF(COUNTIFS(T_SelfStock_Log[Part Name],$A8,T_SelfStock_Log[WeekIndex],8)=0,"",SUMIFS(T_SelfStock_Log[Self_Qty],T_SelfStock_Log[Part Name],$A8,T_SelfStock_Log[WeekIndex],8))</f>
        <v/>
      </c>
      <c r="J8" s="17">
        <f>IF(COUNTIFS(T_SelfStock_Log[Part Name],$A8,T_SelfStock_Log[WeekIndex],9)=0,"",SUMIFS(T_SelfStock_Log[Self_Qty],T_SelfStock_Log[Part Name],$A8,T_SelfStock_Log[WeekIndex],9))</f>
        <v/>
      </c>
      <c r="K8" s="17">
        <f>IF(COUNTIFS(T_SelfStock_Log[Part Name],$A8,T_SelfStock_Log[WeekIndex],10)=0,"",SUMIFS(T_SelfStock_Log[Self_Qty],T_SelfStock_Log[Part Name],$A8,T_SelfStock_Log[WeekIndex],10))</f>
        <v/>
      </c>
      <c r="L8" s="17">
        <f>IF(COUNTIFS(T_SelfStock_Log[Part Name],$A8,T_SelfStock_Log[WeekIndex],11)=0,"",SUMIFS(T_SelfStock_Log[Self_Qty],T_SelfStock_Log[Part Name],$A8,T_SelfStock_Log[WeekIndex],11))</f>
        <v/>
      </c>
      <c r="M8" s="17">
        <f>IF(COUNTIFS(T_SelfStock_Log[Part Name],$A8,T_SelfStock_Log[WeekIndex],12)=0,"",SUMIFS(T_SelfStock_Log[Self_Qty],T_SelfStock_Log[Part Name],$A8,T_SelfStock_Log[WeekIndex],12))</f>
        <v/>
      </c>
      <c r="N8" s="17">
        <f>IF(COUNTIFS(T_SelfStock_Log[Part Name],$A8,T_SelfStock_Log[WeekIndex],13)=0,"",SUMIFS(T_SelfStock_Log[Self_Qty],T_SelfStock_Log[Part Name],$A8,T_SelfStock_Log[WeekIndex],13))</f>
        <v/>
      </c>
      <c r="O8" s="17">
        <f>IF(COUNTIFS(T_SelfStock_Log[Part Name],$A8,T_SelfStock_Log[WeekIndex],14)=0,"",SUMIFS(T_SelfStock_Log[Self_Qty],T_SelfStock_Log[Part Name],$A8,T_SelfStock_Log[WeekIndex],14))</f>
        <v/>
      </c>
      <c r="P8" s="17">
        <f>IF(COUNTIFS(T_SelfStock_Log[Part Name],$A8,T_SelfStock_Log[WeekIndex],15)=0,"",SUMIFS(T_SelfStock_Log[Self_Qty],T_SelfStock_Log[Part Name],$A8,T_SelfStock_Log[WeekIndex],15))</f>
        <v/>
      </c>
      <c r="Q8" s="17">
        <f>IF(COUNTIFS(T_SelfStock_Log[Part Name],$A8,T_SelfStock_Log[WeekIndex],16)=0,"",SUMIFS(T_SelfStock_Log[Self_Qty],T_SelfStock_Log[Part Name],$A8,T_SelfStock_Log[WeekIndex],16))</f>
        <v/>
      </c>
      <c r="R8" s="17">
        <f>IF(COUNTIFS(T_SelfStock_Log[Part Name],$A8,T_SelfStock_Log[WeekIndex],17)=0,"",SUMIFS(T_SelfStock_Log[Self_Qty],T_SelfStock_Log[Part Name],$A8,T_SelfStock_Log[WeekIndex],17))</f>
        <v/>
      </c>
      <c r="S8" s="17">
        <f>IF(COUNTIFS(T_SelfStock_Log[Part Name],$A8,T_SelfStock_Log[WeekIndex],18)=0,"",SUMIFS(T_SelfStock_Log[Self_Qty],T_SelfStock_Log[Part Name],$A8,T_SelfStock_Log[WeekIndex],18))</f>
        <v/>
      </c>
      <c r="T8" s="17">
        <f>IF(COUNTIFS(T_SelfStock_Log[Part Name],$A8,T_SelfStock_Log[WeekIndex],19)=0,"",SUMIFS(T_SelfStock_Log[Self_Qty],T_SelfStock_Log[Part Name],$A8,T_SelfStock_Log[WeekIndex],19))</f>
        <v/>
      </c>
      <c r="U8" s="17">
        <f>IF(COUNTIFS(T_SelfStock_Log[Part Name],$A8,T_SelfStock_Log[WeekIndex],20)=0,"",SUMIFS(T_SelfStock_Log[Self_Qty],T_SelfStock_Log[Part Name],$A8,T_SelfStock_Log[WeekIndex],20))</f>
        <v/>
      </c>
      <c r="V8" s="17">
        <f>IF(COUNTIFS(T_SelfStock_Log[Part Name],$A8,T_SelfStock_Log[WeekIndex],21)=0,"",SUMIFS(T_SelfStock_Log[Self_Qty],T_SelfStock_Log[Part Name],$A8,T_SelfStock_Log[WeekIndex],21))</f>
        <v/>
      </c>
      <c r="W8" s="17">
        <f>IF(COUNTIFS(T_SelfStock_Log[Part Name],$A8,T_SelfStock_Log[WeekIndex],22)=0,"",SUMIFS(T_SelfStock_Log[Self_Qty],T_SelfStock_Log[Part Name],$A8,T_SelfStock_Log[WeekIndex],22))</f>
        <v/>
      </c>
      <c r="X8" s="17">
        <f>IF(COUNTIFS(T_SelfStock_Log[Part Name],$A8,T_SelfStock_Log[WeekIndex],23)=0,"",SUMIFS(T_SelfStock_Log[Self_Qty],T_SelfStock_Log[Part Name],$A8,T_SelfStock_Log[WeekIndex],23))</f>
        <v/>
      </c>
      <c r="Y8" s="17">
        <f>IF(COUNTIFS(T_SelfStock_Log[Part Name],$A8,T_SelfStock_Log[WeekIndex],24)=0,"",SUMIFS(T_SelfStock_Log[Self_Qty],T_SelfStock_Log[Part Name],$A8,T_SelfStock_Log[WeekIndex],24))</f>
        <v/>
      </c>
      <c r="Z8" s="17">
        <f>IF(COUNTIFS(T_SelfStock_Log[Part Name],$A8,T_SelfStock_Log[WeekIndex],25)=0,"",SUMIFS(T_SelfStock_Log[Self_Qty],T_SelfStock_Log[Part Name],$A8,T_SelfStock_Log[WeekIndex],25))</f>
        <v/>
      </c>
      <c r="AA8" s="17">
        <f>IF(COUNTIFS(T_SelfStock_Log[Part Name],$A8,T_SelfStock_Log[WeekIndex],26)=0,"",SUMIFS(T_SelfStock_Log[Self_Qty],T_SelfStock_Log[Part Name],$A8,T_SelfStock_Log[WeekIndex],26))</f>
        <v/>
      </c>
      <c r="AB8" s="17">
        <f>IF(COUNTIFS(T_SelfStock_Log[Part Name],$A8,T_SelfStock_Log[WeekIndex],27)=0,"",SUMIFS(T_SelfStock_Log[Self_Qty],T_SelfStock_Log[Part Name],$A8,T_SelfStock_Log[WeekIndex],27))</f>
        <v/>
      </c>
      <c r="AC8" s="17">
        <f>IF(COUNTIFS(T_SelfStock_Log[Part Name],$A8,T_SelfStock_Log[WeekIndex],28)=0,"",SUMIFS(T_SelfStock_Log[Self_Qty],T_SelfStock_Log[Part Name],$A8,T_SelfStock_Log[WeekIndex],28))</f>
        <v/>
      </c>
      <c r="AD8" s="17">
        <f>IF(COUNTIFS(T_SelfStock_Log[Part Name],$A8,T_SelfStock_Log[WeekIndex],29)=0,"",SUMIFS(T_SelfStock_Log[Self_Qty],T_SelfStock_Log[Part Name],$A8,T_SelfStock_Log[WeekIndex],29))</f>
        <v/>
      </c>
      <c r="AE8" s="17">
        <f>IF(COUNTIFS(T_SelfStock_Log[Part Name],$A8,T_SelfStock_Log[WeekIndex],30)=0,"",SUMIFS(T_SelfStock_Log[Self_Qty],T_SelfStock_Log[Part Name],$A8,T_SelfStock_Log[WeekIndex],30))</f>
        <v/>
      </c>
      <c r="AF8" s="17">
        <f>IF(COUNTIFS(T_SelfStock_Log[Part Name],$A8,T_SelfStock_Log[WeekIndex],31)=0,"",SUMIFS(T_SelfStock_Log[Self_Qty],T_SelfStock_Log[Part Name],$A8,T_SelfStock_Log[WeekIndex],31))</f>
        <v/>
      </c>
      <c r="AG8" s="17">
        <f>IF(COUNTIFS(T_SelfStock_Log[Part Name],$A8,T_SelfStock_Log[WeekIndex],32)=0,"",SUMIFS(T_SelfStock_Log[Self_Qty],T_SelfStock_Log[Part Name],$A8,T_SelfStock_Log[WeekIndex],32))</f>
        <v/>
      </c>
      <c r="AH8" s="17">
        <f>IF(COUNTIFS(T_SelfStock_Log[Part Name],$A8,T_SelfStock_Log[WeekIndex],33)=0,"",SUMIFS(T_SelfStock_Log[Self_Qty],T_SelfStock_Log[Part Name],$A8,T_SelfStock_Log[WeekIndex],33))</f>
        <v/>
      </c>
      <c r="AI8" s="17">
        <f>IF(COUNTIFS(T_SelfStock_Log[Part Name],$A8,T_SelfStock_Log[WeekIndex],34)=0,"",SUMIFS(T_SelfStock_Log[Self_Qty],T_SelfStock_Log[Part Name],$A8,T_SelfStock_Log[WeekIndex],34))</f>
        <v/>
      </c>
      <c r="AJ8" s="17">
        <f>IF(COUNTIFS(T_SelfStock_Log[Part Name],$A8,T_SelfStock_Log[WeekIndex],35)=0,"",SUMIFS(T_SelfStock_Log[Self_Qty],T_SelfStock_Log[Part Name],$A8,T_SelfStock_Log[WeekIndex],35))</f>
        <v/>
      </c>
      <c r="AK8" s="17">
        <f>IF(COUNTIFS(T_SelfStock_Log[Part Name],$A8,T_SelfStock_Log[WeekIndex],36)=0,"",SUMIFS(T_SelfStock_Log[Self_Qty],T_SelfStock_Log[Part Name],$A8,T_SelfStock_Log[WeekIndex],36))</f>
        <v/>
      </c>
      <c r="AL8" s="17">
        <f>IF(COUNTIFS(T_SelfStock_Log[Part Name],$A8,T_SelfStock_Log[WeekIndex],37)=0,"",SUMIFS(T_SelfStock_Log[Self_Qty],T_SelfStock_Log[Part Name],$A8,T_SelfStock_Log[WeekIndex],37))</f>
        <v/>
      </c>
      <c r="AM8" s="17">
        <f>IF(COUNTIFS(T_SelfStock_Log[Part Name],$A8,T_SelfStock_Log[WeekIndex],38)=0,"",SUMIFS(T_SelfStock_Log[Self_Qty],T_SelfStock_Log[Part Name],$A8,T_SelfStock_Log[WeekIndex],38))</f>
        <v/>
      </c>
      <c r="AN8" s="17">
        <f>IF(COUNTIFS(T_SelfStock_Log[Part Name],$A8,T_SelfStock_Log[WeekIndex],39)=0,"",SUMIFS(T_SelfStock_Log[Self_Qty],T_SelfStock_Log[Part Name],$A8,T_SelfStock_Log[WeekIndex],39))</f>
        <v/>
      </c>
      <c r="AO8" s="17">
        <f>IF(COUNTIFS(T_SelfStock_Log[Part Name],$A8,T_SelfStock_Log[WeekIndex],40)=0,"",SUMIFS(T_SelfStock_Log[Self_Qty],T_SelfStock_Log[Part Name],$A8,T_SelfStock_Log[WeekIndex],40))</f>
        <v/>
      </c>
      <c r="AP8" s="17">
        <f>IF(COUNTIFS(T_SelfStock_Log[Part Name],$A8,T_SelfStock_Log[WeekIndex],41)=0,"",SUMIFS(T_SelfStock_Log[Self_Qty],T_SelfStock_Log[Part Name],$A8,T_SelfStock_Log[WeekIndex],41))</f>
        <v/>
      </c>
      <c r="AQ8" s="17">
        <f>IF(COUNTIFS(T_SelfStock_Log[Part Name],$A8,T_SelfStock_Log[WeekIndex],42)=0,"",SUMIFS(T_SelfStock_Log[Self_Qty],T_SelfStock_Log[Part Name],$A8,T_SelfStock_Log[WeekIndex],42))</f>
        <v/>
      </c>
      <c r="AR8" s="17">
        <f>IF(COUNTIFS(T_SelfStock_Log[Part Name],$A8,T_SelfStock_Log[WeekIndex],43)=0,"",SUMIFS(T_SelfStock_Log[Self_Qty],T_SelfStock_Log[Part Name],$A8,T_SelfStock_Log[WeekIndex],43))</f>
        <v/>
      </c>
      <c r="AS8" s="17">
        <f>IF(COUNTIFS(T_SelfStock_Log[Part Name],$A8,T_SelfStock_Log[WeekIndex],44)=0,"",SUMIFS(T_SelfStock_Log[Self_Qty],T_SelfStock_Log[Part Name],$A8,T_SelfStock_Log[WeekIndex],44))</f>
        <v/>
      </c>
      <c r="AT8" s="17">
        <f>IF(COUNTIFS(T_SelfStock_Log[Part Name],$A8,T_SelfStock_Log[WeekIndex],45)=0,"",SUMIFS(T_SelfStock_Log[Self_Qty],T_SelfStock_Log[Part Name],$A8,T_SelfStock_Log[WeekIndex],45))</f>
        <v/>
      </c>
      <c r="AU8" s="17">
        <f>IF(COUNTIFS(T_SelfStock_Log[Part Name],$A8,T_SelfStock_Log[WeekIndex],46)=0,"",SUMIFS(T_SelfStock_Log[Self_Qty],T_SelfStock_Log[Part Name],$A8,T_SelfStock_Log[WeekIndex],46))</f>
        <v/>
      </c>
      <c r="AV8" s="17">
        <f>IF(COUNTIFS(T_SelfStock_Log[Part Name],$A8,T_SelfStock_Log[WeekIndex],47)=0,"",SUMIFS(T_SelfStock_Log[Self_Qty],T_SelfStock_Log[Part Name],$A8,T_SelfStock_Log[WeekIndex],47))</f>
        <v/>
      </c>
      <c r="AW8" s="17">
        <f>IF(COUNTIFS(T_SelfStock_Log[Part Name],$A8,T_SelfStock_Log[WeekIndex],48)=0,"",SUMIFS(T_SelfStock_Log[Self_Qty],T_SelfStock_Log[Part Name],$A8,T_SelfStock_Log[WeekIndex],48))</f>
        <v/>
      </c>
      <c r="AX8" s="17">
        <f>IF(COUNTIFS(T_SelfStock_Log[Part Name],$A8,T_SelfStock_Log[WeekIndex],49)=0,"",SUMIFS(T_SelfStock_Log[Self_Qty],T_SelfStock_Log[Part Name],$A8,T_SelfStock_Log[WeekIndex],49))</f>
        <v/>
      </c>
      <c r="AY8" s="17">
        <f>IF(COUNTIFS(T_SelfStock_Log[Part Name],$A8,T_SelfStock_Log[WeekIndex],50)=0,"",SUMIFS(T_SelfStock_Log[Self_Qty],T_SelfStock_Log[Part Name],$A8,T_SelfStock_Log[WeekIndex],50))</f>
        <v/>
      </c>
      <c r="AZ8" s="17">
        <f>IF(COUNTIFS(T_SelfStock_Log[Part Name],$A8,T_SelfStock_Log[WeekIndex],51)=0,"",SUMIFS(T_SelfStock_Log[Self_Qty],T_SelfStock_Log[Part Name],$A8,T_SelfStock_Log[WeekIndex],51))</f>
        <v/>
      </c>
      <c r="BA8" s="17">
        <f>IF(COUNTIFS(T_SelfStock_Log[Part Name],$A8,T_SelfStock_Log[WeekIndex],52)=0,"",SUMIFS(T_SelfStock_Log[Self_Qty],T_SelfStock_Log[Part Name],$A8,T_SelfStock_Log[WeekIndex],52))</f>
        <v/>
      </c>
      <c r="BB8" s="17">
        <f>IF(COUNTIFS(T_SelfStock_Log[Part Name],$A8,T_SelfStock_Log[WeekIndex],53)=0,"",SUMIFS(T_SelfStock_Log[Self_Qty],T_SelfStock_Log[Part Name],$A8,T_SelfStock_Log[WeekIndex],53))</f>
        <v/>
      </c>
      <c r="BC8" s="17">
        <f>IF(COUNTIFS(T_SelfStock_Log[Part Name],$A8,T_SelfStock_Log[WeekIndex],54)=0,"",SUMIFS(T_SelfStock_Log[Self_Qty],T_SelfStock_Log[Part Name],$A8,T_SelfStock_Log[WeekIndex],54))</f>
        <v/>
      </c>
      <c r="BD8" s="17">
        <f>IF(COUNTIFS(T_SelfStock_Log[Part Name],$A8,T_SelfStock_Log[WeekIndex],55)=0,"",SUMIFS(T_SelfStock_Log[Self_Qty],T_SelfStock_Log[Part Name],$A8,T_SelfStock_Log[WeekIndex],55))</f>
        <v/>
      </c>
      <c r="BE8" s="17">
        <f>IF(COUNTIFS(T_SelfStock_Log[Part Name],$A8,T_SelfStock_Log[WeekIndex],56)=0,"",SUMIFS(T_SelfStock_Log[Self_Qty],T_SelfStock_Log[Part Name],$A8,T_SelfStock_Log[WeekIndex],56))</f>
        <v/>
      </c>
      <c r="BF8" s="17">
        <f>IF(COUNTIFS(T_SelfStock_Log[Part Name],$A8,T_SelfStock_Log[WeekIndex],57)=0,"",SUMIFS(T_SelfStock_Log[Self_Qty],T_SelfStock_Log[Part Name],$A8,T_SelfStock_Log[WeekIndex],57))</f>
        <v/>
      </c>
      <c r="BG8" s="17">
        <f>IF(COUNTIFS(T_SelfStock_Log[Part Name],$A8,T_SelfStock_Log[WeekIndex],58)=0,"",SUMIFS(T_SelfStock_Log[Self_Qty],T_SelfStock_Log[Part Name],$A8,T_SelfStock_Log[WeekIndex],58))</f>
        <v/>
      </c>
      <c r="BH8" s="17">
        <f>IF(COUNTIFS(T_SelfStock_Log[Part Name],$A8,T_SelfStock_Log[WeekIndex],59)=0,"",SUMIFS(T_SelfStock_Log[Self_Qty],T_SelfStock_Log[Part Name],$A8,T_SelfStock_Log[WeekIndex],59))</f>
        <v/>
      </c>
      <c r="BI8" s="17">
        <f>IF(COUNTIFS(T_SelfStock_Log[Part Name],$A8,T_SelfStock_Log[WeekIndex],60)=0,"",SUMIFS(T_SelfStock_Log[Self_Qty],T_SelfStock_Log[Part Name],$A8,T_SelfStock_Log[WeekIndex],60))</f>
        <v/>
      </c>
      <c r="BJ8" s="17">
        <f>IF(COUNTIFS(T_SelfStock_Log[Part Name],$A8,T_SelfStock_Log[WeekIndex],61)=0,"",SUMIFS(T_SelfStock_Log[Self_Qty],T_SelfStock_Log[Part Name],$A8,T_SelfStock_Log[WeekIndex],61))</f>
        <v/>
      </c>
      <c r="BK8" s="17">
        <f>IF(COUNTIFS(T_SelfStock_Log[Part Name],$A8,T_SelfStock_Log[WeekIndex],62)=0,"",SUMIFS(T_SelfStock_Log[Self_Qty],T_SelfStock_Log[Part Name],$A8,T_SelfStock_Log[WeekIndex],62))</f>
        <v/>
      </c>
      <c r="BL8" s="17">
        <f>IF(COUNTIFS(T_SelfStock_Log[Part Name],$A8,T_SelfStock_Log[WeekIndex],63)=0,"",SUMIFS(T_SelfStock_Log[Self_Qty],T_SelfStock_Log[Part Name],$A8,T_SelfStock_Log[WeekIndex],63))</f>
        <v/>
      </c>
      <c r="BM8" s="17">
        <f>IF(COUNTIFS(T_SelfStock_Log[Part Name],$A8,T_SelfStock_Log[WeekIndex],64)=0,"",SUMIFS(T_SelfStock_Log[Self_Qty],T_SelfStock_Log[Part Name],$A8,T_SelfStock_Log[WeekIndex],64))</f>
        <v/>
      </c>
      <c r="BN8" s="17">
        <f>IF(COUNTIFS(T_SelfStock_Log[Part Name],$A8,T_SelfStock_Log[WeekIndex],65)=0,"",SUMIFS(T_SelfStock_Log[Self_Qty],T_SelfStock_Log[Part Name],$A8,T_SelfStock_Log[WeekIndex],65))</f>
        <v/>
      </c>
      <c r="BO8" s="17">
        <f>IF(COUNTIFS(T_SelfStock_Log[Part Name],$A8,T_SelfStock_Log[WeekIndex],66)=0,"",SUMIFS(T_SelfStock_Log[Self_Qty],T_SelfStock_Log[Part Name],$A8,T_SelfStock_Log[WeekIndex],66))</f>
        <v/>
      </c>
      <c r="BP8" s="17">
        <f>IF(COUNTIFS(T_SelfStock_Log[Part Name],$A8,T_SelfStock_Log[WeekIndex],67)=0,"",SUMIFS(T_SelfStock_Log[Self_Qty],T_SelfStock_Log[Part Name],$A8,T_SelfStock_Log[WeekIndex],67))</f>
        <v/>
      </c>
      <c r="BQ8" s="17">
        <f>IF(COUNTIFS(T_SelfStock_Log[Part Name],$A8,T_SelfStock_Log[WeekIndex],68)=0,"",SUMIFS(T_SelfStock_Log[Self_Qty],T_SelfStock_Log[Part Name],$A8,T_SelfStock_Log[WeekIndex],68))</f>
        <v/>
      </c>
      <c r="BR8" s="17">
        <f>IF(COUNTIFS(T_SelfStock_Log[Part Name],$A8,T_SelfStock_Log[WeekIndex],69)=0,"",SUMIFS(T_SelfStock_Log[Self_Qty],T_SelfStock_Log[Part Name],$A8,T_SelfStock_Log[WeekIndex],69))</f>
        <v/>
      </c>
      <c r="BS8" s="17">
        <f>IF(COUNTIFS(T_SelfStock_Log[Part Name],$A8,T_SelfStock_Log[WeekIndex],70)=0,"",SUMIFS(T_SelfStock_Log[Self_Qty],T_SelfStock_Log[Part Name],$A8,T_SelfStock_Log[WeekIndex],70))</f>
        <v/>
      </c>
      <c r="BT8" s="17">
        <f>IF(COUNTIFS(T_SelfStock_Log[Part Name],$A8,T_SelfStock_Log[WeekIndex],71)=0,"",SUMIFS(T_SelfStock_Log[Self_Qty],T_SelfStock_Log[Part Name],$A8,T_SelfStock_Log[WeekIndex],71))</f>
        <v/>
      </c>
      <c r="BU8" s="17">
        <f>IF(COUNTIFS(T_SelfStock_Log[Part Name],$A8,T_SelfStock_Log[WeekIndex],72)=0,"",SUMIFS(T_SelfStock_Log[Self_Qty],T_SelfStock_Log[Part Name],$A8,T_SelfStock_Log[WeekIndex],72))</f>
        <v/>
      </c>
      <c r="BV8" s="17">
        <f>IF(COUNTIFS(T_SelfStock_Log[Part Name],$A8,T_SelfStock_Log[WeekIndex],73)=0,"",SUMIFS(T_SelfStock_Log[Self_Qty],T_SelfStock_Log[Part Name],$A8,T_SelfStock_Log[WeekIndex],73))</f>
        <v/>
      </c>
      <c r="BW8" s="17">
        <f>IF(COUNTIFS(T_SelfStock_Log[Part Name],$A8,T_SelfStock_Log[WeekIndex],74)=0,"",SUMIFS(T_SelfStock_Log[Self_Qty],T_SelfStock_Log[Part Name],$A8,T_SelfStock_Log[WeekIndex],74))</f>
        <v/>
      </c>
      <c r="BX8" s="17">
        <f>IF(COUNTIFS(T_SelfStock_Log[Part Name],$A8,T_SelfStock_Log[WeekIndex],75)=0,"",SUMIFS(T_SelfStock_Log[Self_Qty],T_SelfStock_Log[Part Name],$A8,T_SelfStock_Log[WeekIndex],75))</f>
        <v/>
      </c>
      <c r="BY8" s="17">
        <f>IF(COUNTIFS(T_SelfStock_Log[Part Name],$A8,T_SelfStock_Log[WeekIndex],76)=0,"",SUMIFS(T_SelfStock_Log[Self_Qty],T_SelfStock_Log[Part Name],$A8,T_SelfStock_Log[WeekIndex],76))</f>
        <v/>
      </c>
      <c r="BZ8" s="17">
        <f>IF(COUNTIFS(T_SelfStock_Log[Part Name],$A8,T_SelfStock_Log[WeekIndex],77)=0,"",SUMIFS(T_SelfStock_Log[Self_Qty],T_SelfStock_Log[Part Name],$A8,T_SelfStock_Log[WeekIndex],77))</f>
        <v/>
      </c>
      <c r="CA8" s="17">
        <f>IF(COUNTIFS(T_SelfStock_Log[Part Name],$A8,T_SelfStock_Log[WeekIndex],78)=0,"",SUMIFS(T_SelfStock_Log[Self_Qty],T_SelfStock_Log[Part Name],$A8,T_SelfStock_Log[WeekIndex],78))</f>
        <v/>
      </c>
      <c r="CB8" s="17">
        <f>IF(COUNTIFS(T_SelfStock_Log[Part Name],$A8,T_SelfStock_Log[WeekIndex],79)=0,"",SUMIFS(T_SelfStock_Log[Self_Qty],T_SelfStock_Log[Part Name],$A8,T_SelfStock_Log[WeekIndex],79))</f>
        <v/>
      </c>
      <c r="CC8" s="17">
        <f>IF(COUNTIFS(T_SelfStock_Log[Part Name],$A8,T_SelfStock_Log[WeekIndex],80)=0,"",SUMIFS(T_SelfStock_Log[Self_Qty],T_SelfStock_Log[Part Name],$A8,T_SelfStock_Log[WeekIndex],80))</f>
        <v/>
      </c>
      <c r="CD8" s="17">
        <f>IF(COUNTIFS(T_SelfStock_Log[Part Name],$A8,T_SelfStock_Log[WeekIndex],81)=0,"",SUMIFS(T_SelfStock_Log[Self_Qty],T_SelfStock_Log[Part Name],$A8,T_SelfStock_Log[WeekIndex],81))</f>
        <v/>
      </c>
      <c r="CE8" s="17">
        <f>IF(COUNTIFS(T_SelfStock_Log[Part Name],$A8,T_SelfStock_Log[WeekIndex],82)=0,"",SUMIFS(T_SelfStock_Log[Self_Qty],T_SelfStock_Log[Part Name],$A8,T_SelfStock_Log[WeekIndex],82))</f>
        <v/>
      </c>
      <c r="CF8" s="17">
        <f>IF(COUNTIFS(T_SelfStock_Log[Part Name],$A8,T_SelfStock_Log[WeekIndex],83)=0,"",SUMIFS(T_SelfStock_Log[Self_Qty],T_SelfStock_Log[Part Name],$A8,T_SelfStock_Log[WeekIndex],83))</f>
        <v/>
      </c>
      <c r="CG8" s="17">
        <f>IF(COUNTIFS(T_SelfStock_Log[Part Name],$A8,T_SelfStock_Log[WeekIndex],84)=0,"",SUMIFS(T_SelfStock_Log[Self_Qty],T_SelfStock_Log[Part Name],$A8,T_SelfStock_Log[WeekIndex],84))</f>
        <v/>
      </c>
      <c r="CH8" s="17">
        <f>IF(COUNTIFS(T_SelfStock_Log[Part Name],$A8,T_SelfStock_Log[WeekIndex],85)=0,"",SUMIFS(T_SelfStock_Log[Self_Qty],T_SelfStock_Log[Part Name],$A8,T_SelfStock_Log[WeekIndex],85))</f>
        <v/>
      </c>
      <c r="CI8" s="17">
        <f>IF(COUNTIFS(T_SelfStock_Log[Part Name],$A8,T_SelfStock_Log[WeekIndex],86)=0,"",SUMIFS(T_SelfStock_Log[Self_Qty],T_SelfStock_Log[Part Name],$A8,T_SelfStock_Log[WeekIndex],86))</f>
        <v/>
      </c>
      <c r="CJ8" s="17">
        <f>IF(COUNTIFS(T_SelfStock_Log[Part Name],$A8,T_SelfStock_Log[WeekIndex],87)=0,"",SUMIFS(T_SelfStock_Log[Self_Qty],T_SelfStock_Log[Part Name],$A8,T_SelfStock_Log[WeekIndex],87))</f>
        <v/>
      </c>
      <c r="CK8" s="17">
        <f>IF(COUNTIFS(T_SelfStock_Log[Part Name],$A8,T_SelfStock_Log[WeekIndex],88)=0,"",SUMIFS(T_SelfStock_Log[Self_Qty],T_SelfStock_Log[Part Name],$A8,T_SelfStock_Log[WeekIndex],88))</f>
        <v/>
      </c>
      <c r="CL8" s="17">
        <f>IF(COUNTIFS(T_SelfStock_Log[Part Name],$A8,T_SelfStock_Log[WeekIndex],89)=0,"",SUMIFS(T_SelfStock_Log[Self_Qty],T_SelfStock_Log[Part Name],$A8,T_SelfStock_Log[WeekIndex],89))</f>
        <v/>
      </c>
      <c r="CM8" s="17">
        <f>IF(COUNTIFS(T_SelfStock_Log[Part Name],$A8,T_SelfStock_Log[WeekIndex],90)=0,"",SUMIFS(T_SelfStock_Log[Self_Qty],T_SelfStock_Log[Part Name],$A8,T_SelfStock_Log[WeekIndex],90))</f>
        <v/>
      </c>
      <c r="CN8" s="17">
        <f>IF(COUNTIFS(T_SelfStock_Log[Part Name],$A8,T_SelfStock_Log[WeekIndex],91)=0,"",SUMIFS(T_SelfStock_Log[Self_Qty],T_SelfStock_Log[Part Name],$A8,T_SelfStock_Log[WeekIndex],91))</f>
        <v/>
      </c>
      <c r="CO8" s="17">
        <f>IF(COUNTIFS(T_SelfStock_Log[Part Name],$A8,T_SelfStock_Log[WeekIndex],92)=0,"",SUMIFS(T_SelfStock_Log[Self_Qty],T_SelfStock_Log[Part Name],$A8,T_SelfStock_Log[WeekIndex],92))</f>
        <v/>
      </c>
      <c r="CP8" s="17">
        <f>IF(COUNTIFS(T_SelfStock_Log[Part Name],$A8,T_SelfStock_Log[WeekIndex],93)=0,"",SUMIFS(T_SelfStock_Log[Self_Qty],T_SelfStock_Log[Part Name],$A8,T_SelfStock_Log[WeekIndex],93))</f>
        <v/>
      </c>
      <c r="CQ8" s="17">
        <f>IF(COUNTIFS(T_SelfStock_Log[Part Name],$A8,T_SelfStock_Log[WeekIndex],94)=0,"",SUMIFS(T_SelfStock_Log[Self_Qty],T_SelfStock_Log[Part Name],$A8,T_SelfStock_Log[WeekIndex],94))</f>
        <v/>
      </c>
      <c r="CR8" s="17">
        <f>IF(COUNTIFS(T_SelfStock_Log[Part Name],$A8,T_SelfStock_Log[WeekIndex],95)=0,"",SUMIFS(T_SelfStock_Log[Self_Qty],T_SelfStock_Log[Part Name],$A8,T_SelfStock_Log[WeekIndex],95))</f>
        <v/>
      </c>
      <c r="CS8" s="17">
        <f>IF(COUNTIFS(T_SelfStock_Log[Part Name],$A8,T_SelfStock_Log[WeekIndex],96)=0,"",SUMIFS(T_SelfStock_Log[Self_Qty],T_SelfStock_Log[Part Name],$A8,T_SelfStock_Log[WeekIndex],96))</f>
        <v/>
      </c>
      <c r="CT8" s="17">
        <f>IF(COUNTIFS(T_SelfStock_Log[Part Name],$A8,T_SelfStock_Log[WeekIndex],97)=0,"",SUMIFS(T_SelfStock_Log[Self_Qty],T_SelfStock_Log[Part Name],$A8,T_SelfStock_Log[WeekIndex],97))</f>
        <v/>
      </c>
      <c r="CU8" s="17">
        <f>IF(COUNTIFS(T_SelfStock_Log[Part Name],$A8,T_SelfStock_Log[WeekIndex],98)=0,"",SUMIFS(T_SelfStock_Log[Self_Qty],T_SelfStock_Log[Part Name],$A8,T_SelfStock_Log[WeekIndex],98))</f>
        <v/>
      </c>
      <c r="CV8" s="17">
        <f>IF(COUNTIFS(T_SelfStock_Log[Part Name],$A8,T_SelfStock_Log[WeekIndex],99)=0,"",SUMIFS(T_SelfStock_Log[Self_Qty],T_SelfStock_Log[Part Name],$A8,T_SelfStock_Log[WeekIndex],99))</f>
        <v/>
      </c>
      <c r="CW8" s="17">
        <f>IF(COUNTIFS(T_SelfStock_Log[Part Name],$A8,T_SelfStock_Log[WeekIndex],100)=0,"",SUMIFS(T_SelfStock_Log[Self_Qty],T_SelfStock_Log[Part Name],$A8,T_SelfStock_Log[WeekIndex],100))</f>
        <v/>
      </c>
      <c r="CX8" s="17">
        <f>IF(COUNTIFS(T_SelfStock_Log[Part Name],$A8,T_SelfStock_Log[WeekIndex],101)=0,"",SUMIFS(T_SelfStock_Log[Self_Qty],T_SelfStock_Log[Part Name],$A8,T_SelfStock_Log[WeekIndex],101))</f>
        <v/>
      </c>
      <c r="CY8" s="17">
        <f>IF(COUNTIFS(T_SelfStock_Log[Part Name],$A8,T_SelfStock_Log[WeekIndex],102)=0,"",SUMIFS(T_SelfStock_Log[Self_Qty],T_SelfStock_Log[Part Name],$A8,T_SelfStock_Log[WeekIndex],102))</f>
        <v/>
      </c>
      <c r="CZ8" s="17">
        <f>IF(COUNTIFS(T_SelfStock_Log[Part Name],$A8,T_SelfStock_Log[WeekIndex],103)=0,"",SUMIFS(T_SelfStock_Log[Self_Qty],T_SelfStock_Log[Part Name],$A8,T_SelfStock_Log[WeekIndex],103))</f>
        <v/>
      </c>
      <c r="DA8" s="17">
        <f>IF(COUNTIFS(T_SelfStock_Log[Part Name],$A8,T_SelfStock_Log[WeekIndex],104)=0,"",SUMIFS(T_SelfStock_Log[Self_Qty],T_SelfStock_Log[Part Name],$A8,T_SelfStock_Log[WeekIndex],104))</f>
        <v/>
      </c>
    </row>
    <row r="9">
      <c r="A9" s="19" t="inlineStr">
        <is>
          <t>9RN</t>
        </is>
      </c>
      <c r="B9" s="19">
        <f>IF(COUNTIFS(T_SelfStock_Log[Part Name],$A9,T_SelfStock_Log[WeekIndex],1)=0,"",SUMIFS(T_SelfStock_Log[Self_Qty],T_SelfStock_Log[Part Name],$A9,T_SelfStock_Log[WeekIndex],1))</f>
        <v/>
      </c>
      <c r="C9" s="19">
        <f>IF(COUNTIFS(T_SelfStock_Log[Part Name],$A9,T_SelfStock_Log[WeekIndex],2)=0,"",SUMIFS(T_SelfStock_Log[Self_Qty],T_SelfStock_Log[Part Name],$A9,T_SelfStock_Log[WeekIndex],2))</f>
        <v/>
      </c>
      <c r="D9" s="19">
        <f>IF(COUNTIFS(T_SelfStock_Log[Part Name],$A9,T_SelfStock_Log[WeekIndex],3)=0,"",SUMIFS(T_SelfStock_Log[Self_Qty],T_SelfStock_Log[Part Name],$A9,T_SelfStock_Log[WeekIndex],3))</f>
        <v/>
      </c>
      <c r="E9" s="19">
        <f>IF(COUNTIFS(T_SelfStock_Log[Part Name],$A9,T_SelfStock_Log[WeekIndex],4)=0,"",SUMIFS(T_SelfStock_Log[Self_Qty],T_SelfStock_Log[Part Name],$A9,T_SelfStock_Log[WeekIndex],4))</f>
        <v/>
      </c>
      <c r="F9" s="19">
        <f>IF(COUNTIFS(T_SelfStock_Log[Part Name],$A9,T_SelfStock_Log[WeekIndex],5)=0,"",SUMIFS(T_SelfStock_Log[Self_Qty],T_SelfStock_Log[Part Name],$A9,T_SelfStock_Log[WeekIndex],5))</f>
        <v/>
      </c>
      <c r="G9" s="19">
        <f>IF(COUNTIFS(T_SelfStock_Log[Part Name],$A9,T_SelfStock_Log[WeekIndex],6)=0,"",SUMIFS(T_SelfStock_Log[Self_Qty],T_SelfStock_Log[Part Name],$A9,T_SelfStock_Log[WeekIndex],6))</f>
        <v/>
      </c>
      <c r="H9" s="19">
        <f>IF(COUNTIFS(T_SelfStock_Log[Part Name],$A9,T_SelfStock_Log[WeekIndex],7)=0,"",SUMIFS(T_SelfStock_Log[Self_Qty],T_SelfStock_Log[Part Name],$A9,T_SelfStock_Log[WeekIndex],7))</f>
        <v/>
      </c>
      <c r="I9" s="19">
        <f>IF(COUNTIFS(T_SelfStock_Log[Part Name],$A9,T_SelfStock_Log[WeekIndex],8)=0,"",SUMIFS(T_SelfStock_Log[Self_Qty],T_SelfStock_Log[Part Name],$A9,T_SelfStock_Log[WeekIndex],8))</f>
        <v/>
      </c>
      <c r="J9" s="19">
        <f>IF(COUNTIFS(T_SelfStock_Log[Part Name],$A9,T_SelfStock_Log[WeekIndex],9)=0,"",SUMIFS(T_SelfStock_Log[Self_Qty],T_SelfStock_Log[Part Name],$A9,T_SelfStock_Log[WeekIndex],9))</f>
        <v/>
      </c>
      <c r="K9" s="19">
        <f>IF(COUNTIFS(T_SelfStock_Log[Part Name],$A9,T_SelfStock_Log[WeekIndex],10)=0,"",SUMIFS(T_SelfStock_Log[Self_Qty],T_SelfStock_Log[Part Name],$A9,T_SelfStock_Log[WeekIndex],10))</f>
        <v/>
      </c>
      <c r="L9" s="19">
        <f>IF(COUNTIFS(T_SelfStock_Log[Part Name],$A9,T_SelfStock_Log[WeekIndex],11)=0,"",SUMIFS(T_SelfStock_Log[Self_Qty],T_SelfStock_Log[Part Name],$A9,T_SelfStock_Log[WeekIndex],11))</f>
        <v/>
      </c>
      <c r="M9" s="19">
        <f>IF(COUNTIFS(T_SelfStock_Log[Part Name],$A9,T_SelfStock_Log[WeekIndex],12)=0,"",SUMIFS(T_SelfStock_Log[Self_Qty],T_SelfStock_Log[Part Name],$A9,T_SelfStock_Log[WeekIndex],12))</f>
        <v/>
      </c>
      <c r="N9" s="19">
        <f>IF(COUNTIFS(T_SelfStock_Log[Part Name],$A9,T_SelfStock_Log[WeekIndex],13)=0,"",SUMIFS(T_SelfStock_Log[Self_Qty],T_SelfStock_Log[Part Name],$A9,T_SelfStock_Log[WeekIndex],13))</f>
        <v/>
      </c>
      <c r="O9" s="19">
        <f>IF(COUNTIFS(T_SelfStock_Log[Part Name],$A9,T_SelfStock_Log[WeekIndex],14)=0,"",SUMIFS(T_SelfStock_Log[Self_Qty],T_SelfStock_Log[Part Name],$A9,T_SelfStock_Log[WeekIndex],14))</f>
        <v/>
      </c>
      <c r="P9" s="19">
        <f>IF(COUNTIFS(T_SelfStock_Log[Part Name],$A9,T_SelfStock_Log[WeekIndex],15)=0,"",SUMIFS(T_SelfStock_Log[Self_Qty],T_SelfStock_Log[Part Name],$A9,T_SelfStock_Log[WeekIndex],15))</f>
        <v/>
      </c>
      <c r="Q9" s="19">
        <f>IF(COUNTIFS(T_SelfStock_Log[Part Name],$A9,T_SelfStock_Log[WeekIndex],16)=0,"",SUMIFS(T_SelfStock_Log[Self_Qty],T_SelfStock_Log[Part Name],$A9,T_SelfStock_Log[WeekIndex],16))</f>
        <v/>
      </c>
      <c r="R9" s="19">
        <f>IF(COUNTIFS(T_SelfStock_Log[Part Name],$A9,T_SelfStock_Log[WeekIndex],17)=0,"",SUMIFS(T_SelfStock_Log[Self_Qty],T_SelfStock_Log[Part Name],$A9,T_SelfStock_Log[WeekIndex],17))</f>
        <v/>
      </c>
      <c r="S9" s="19">
        <f>IF(COUNTIFS(T_SelfStock_Log[Part Name],$A9,T_SelfStock_Log[WeekIndex],18)=0,"",SUMIFS(T_SelfStock_Log[Self_Qty],T_SelfStock_Log[Part Name],$A9,T_SelfStock_Log[WeekIndex],18))</f>
        <v/>
      </c>
      <c r="T9" s="19">
        <f>IF(COUNTIFS(T_SelfStock_Log[Part Name],$A9,T_SelfStock_Log[WeekIndex],19)=0,"",SUMIFS(T_SelfStock_Log[Self_Qty],T_SelfStock_Log[Part Name],$A9,T_SelfStock_Log[WeekIndex],19))</f>
        <v/>
      </c>
      <c r="U9" s="19">
        <f>IF(COUNTIFS(T_SelfStock_Log[Part Name],$A9,T_SelfStock_Log[WeekIndex],20)=0,"",SUMIFS(T_SelfStock_Log[Self_Qty],T_SelfStock_Log[Part Name],$A9,T_SelfStock_Log[WeekIndex],20))</f>
        <v/>
      </c>
      <c r="V9" s="19">
        <f>IF(COUNTIFS(T_SelfStock_Log[Part Name],$A9,T_SelfStock_Log[WeekIndex],21)=0,"",SUMIFS(T_SelfStock_Log[Self_Qty],T_SelfStock_Log[Part Name],$A9,T_SelfStock_Log[WeekIndex],21))</f>
        <v/>
      </c>
      <c r="W9" s="19">
        <f>IF(COUNTIFS(T_SelfStock_Log[Part Name],$A9,T_SelfStock_Log[WeekIndex],22)=0,"",SUMIFS(T_SelfStock_Log[Self_Qty],T_SelfStock_Log[Part Name],$A9,T_SelfStock_Log[WeekIndex],22))</f>
        <v/>
      </c>
      <c r="X9" s="19">
        <f>IF(COUNTIFS(T_SelfStock_Log[Part Name],$A9,T_SelfStock_Log[WeekIndex],23)=0,"",SUMIFS(T_SelfStock_Log[Self_Qty],T_SelfStock_Log[Part Name],$A9,T_SelfStock_Log[WeekIndex],23))</f>
        <v/>
      </c>
      <c r="Y9" s="19">
        <f>IF(COUNTIFS(T_SelfStock_Log[Part Name],$A9,T_SelfStock_Log[WeekIndex],24)=0,"",SUMIFS(T_SelfStock_Log[Self_Qty],T_SelfStock_Log[Part Name],$A9,T_SelfStock_Log[WeekIndex],24))</f>
        <v/>
      </c>
      <c r="Z9" s="19">
        <f>IF(COUNTIFS(T_SelfStock_Log[Part Name],$A9,T_SelfStock_Log[WeekIndex],25)=0,"",SUMIFS(T_SelfStock_Log[Self_Qty],T_SelfStock_Log[Part Name],$A9,T_SelfStock_Log[WeekIndex],25))</f>
        <v/>
      </c>
      <c r="AA9" s="19">
        <f>IF(COUNTIFS(T_SelfStock_Log[Part Name],$A9,T_SelfStock_Log[WeekIndex],26)=0,"",SUMIFS(T_SelfStock_Log[Self_Qty],T_SelfStock_Log[Part Name],$A9,T_SelfStock_Log[WeekIndex],26))</f>
        <v/>
      </c>
      <c r="AB9" s="19">
        <f>IF(COUNTIFS(T_SelfStock_Log[Part Name],$A9,T_SelfStock_Log[WeekIndex],27)=0,"",SUMIFS(T_SelfStock_Log[Self_Qty],T_SelfStock_Log[Part Name],$A9,T_SelfStock_Log[WeekIndex],27))</f>
        <v/>
      </c>
      <c r="AC9" s="19">
        <f>IF(COUNTIFS(T_SelfStock_Log[Part Name],$A9,T_SelfStock_Log[WeekIndex],28)=0,"",SUMIFS(T_SelfStock_Log[Self_Qty],T_SelfStock_Log[Part Name],$A9,T_SelfStock_Log[WeekIndex],28))</f>
        <v/>
      </c>
      <c r="AD9" s="19">
        <f>IF(COUNTIFS(T_SelfStock_Log[Part Name],$A9,T_SelfStock_Log[WeekIndex],29)=0,"",SUMIFS(T_SelfStock_Log[Self_Qty],T_SelfStock_Log[Part Name],$A9,T_SelfStock_Log[WeekIndex],29))</f>
        <v/>
      </c>
      <c r="AE9" s="19">
        <f>IF(COUNTIFS(T_SelfStock_Log[Part Name],$A9,T_SelfStock_Log[WeekIndex],30)=0,"",SUMIFS(T_SelfStock_Log[Self_Qty],T_SelfStock_Log[Part Name],$A9,T_SelfStock_Log[WeekIndex],30))</f>
        <v/>
      </c>
      <c r="AF9" s="19">
        <f>IF(COUNTIFS(T_SelfStock_Log[Part Name],$A9,T_SelfStock_Log[WeekIndex],31)=0,"",SUMIFS(T_SelfStock_Log[Self_Qty],T_SelfStock_Log[Part Name],$A9,T_SelfStock_Log[WeekIndex],31))</f>
        <v/>
      </c>
      <c r="AG9" s="19">
        <f>IF(COUNTIFS(T_SelfStock_Log[Part Name],$A9,T_SelfStock_Log[WeekIndex],32)=0,"",SUMIFS(T_SelfStock_Log[Self_Qty],T_SelfStock_Log[Part Name],$A9,T_SelfStock_Log[WeekIndex],32))</f>
        <v/>
      </c>
      <c r="AH9" s="19">
        <f>IF(COUNTIFS(T_SelfStock_Log[Part Name],$A9,T_SelfStock_Log[WeekIndex],33)=0,"",SUMIFS(T_SelfStock_Log[Self_Qty],T_SelfStock_Log[Part Name],$A9,T_SelfStock_Log[WeekIndex],33))</f>
        <v/>
      </c>
      <c r="AI9" s="19">
        <f>IF(COUNTIFS(T_SelfStock_Log[Part Name],$A9,T_SelfStock_Log[WeekIndex],34)=0,"",SUMIFS(T_SelfStock_Log[Self_Qty],T_SelfStock_Log[Part Name],$A9,T_SelfStock_Log[WeekIndex],34))</f>
        <v/>
      </c>
      <c r="AJ9" s="19">
        <f>IF(COUNTIFS(T_SelfStock_Log[Part Name],$A9,T_SelfStock_Log[WeekIndex],35)=0,"",SUMIFS(T_SelfStock_Log[Self_Qty],T_SelfStock_Log[Part Name],$A9,T_SelfStock_Log[WeekIndex],35))</f>
        <v/>
      </c>
      <c r="AK9" s="19">
        <f>IF(COUNTIFS(T_SelfStock_Log[Part Name],$A9,T_SelfStock_Log[WeekIndex],36)=0,"",SUMIFS(T_SelfStock_Log[Self_Qty],T_SelfStock_Log[Part Name],$A9,T_SelfStock_Log[WeekIndex],36))</f>
        <v/>
      </c>
      <c r="AL9" s="19">
        <f>IF(COUNTIFS(T_SelfStock_Log[Part Name],$A9,T_SelfStock_Log[WeekIndex],37)=0,"",SUMIFS(T_SelfStock_Log[Self_Qty],T_SelfStock_Log[Part Name],$A9,T_SelfStock_Log[WeekIndex],37))</f>
        <v/>
      </c>
      <c r="AM9" s="19">
        <f>IF(COUNTIFS(T_SelfStock_Log[Part Name],$A9,T_SelfStock_Log[WeekIndex],38)=0,"",SUMIFS(T_SelfStock_Log[Self_Qty],T_SelfStock_Log[Part Name],$A9,T_SelfStock_Log[WeekIndex],38))</f>
        <v/>
      </c>
      <c r="AN9" s="19">
        <f>IF(COUNTIFS(T_SelfStock_Log[Part Name],$A9,T_SelfStock_Log[WeekIndex],39)=0,"",SUMIFS(T_SelfStock_Log[Self_Qty],T_SelfStock_Log[Part Name],$A9,T_SelfStock_Log[WeekIndex],39))</f>
        <v/>
      </c>
      <c r="AO9" s="19">
        <f>IF(COUNTIFS(T_SelfStock_Log[Part Name],$A9,T_SelfStock_Log[WeekIndex],40)=0,"",SUMIFS(T_SelfStock_Log[Self_Qty],T_SelfStock_Log[Part Name],$A9,T_SelfStock_Log[WeekIndex],40))</f>
        <v/>
      </c>
      <c r="AP9" s="19">
        <f>IF(COUNTIFS(T_SelfStock_Log[Part Name],$A9,T_SelfStock_Log[WeekIndex],41)=0,"",SUMIFS(T_SelfStock_Log[Self_Qty],T_SelfStock_Log[Part Name],$A9,T_SelfStock_Log[WeekIndex],41))</f>
        <v/>
      </c>
      <c r="AQ9" s="19">
        <f>IF(COUNTIFS(T_SelfStock_Log[Part Name],$A9,T_SelfStock_Log[WeekIndex],42)=0,"",SUMIFS(T_SelfStock_Log[Self_Qty],T_SelfStock_Log[Part Name],$A9,T_SelfStock_Log[WeekIndex],42))</f>
        <v/>
      </c>
      <c r="AR9" s="19">
        <f>IF(COUNTIFS(T_SelfStock_Log[Part Name],$A9,T_SelfStock_Log[WeekIndex],43)=0,"",SUMIFS(T_SelfStock_Log[Self_Qty],T_SelfStock_Log[Part Name],$A9,T_SelfStock_Log[WeekIndex],43))</f>
        <v/>
      </c>
      <c r="AS9" s="19">
        <f>IF(COUNTIFS(T_SelfStock_Log[Part Name],$A9,T_SelfStock_Log[WeekIndex],44)=0,"",SUMIFS(T_SelfStock_Log[Self_Qty],T_SelfStock_Log[Part Name],$A9,T_SelfStock_Log[WeekIndex],44))</f>
        <v/>
      </c>
      <c r="AT9" s="19">
        <f>IF(COUNTIFS(T_SelfStock_Log[Part Name],$A9,T_SelfStock_Log[WeekIndex],45)=0,"",SUMIFS(T_SelfStock_Log[Self_Qty],T_SelfStock_Log[Part Name],$A9,T_SelfStock_Log[WeekIndex],45))</f>
        <v/>
      </c>
      <c r="AU9" s="19">
        <f>IF(COUNTIFS(T_SelfStock_Log[Part Name],$A9,T_SelfStock_Log[WeekIndex],46)=0,"",SUMIFS(T_SelfStock_Log[Self_Qty],T_SelfStock_Log[Part Name],$A9,T_SelfStock_Log[WeekIndex],46))</f>
        <v/>
      </c>
      <c r="AV9" s="19">
        <f>IF(COUNTIFS(T_SelfStock_Log[Part Name],$A9,T_SelfStock_Log[WeekIndex],47)=0,"",SUMIFS(T_SelfStock_Log[Self_Qty],T_SelfStock_Log[Part Name],$A9,T_SelfStock_Log[WeekIndex],47))</f>
        <v/>
      </c>
      <c r="AW9" s="19">
        <f>IF(COUNTIFS(T_SelfStock_Log[Part Name],$A9,T_SelfStock_Log[WeekIndex],48)=0,"",SUMIFS(T_SelfStock_Log[Self_Qty],T_SelfStock_Log[Part Name],$A9,T_SelfStock_Log[WeekIndex],48))</f>
        <v/>
      </c>
      <c r="AX9" s="19">
        <f>IF(COUNTIFS(T_SelfStock_Log[Part Name],$A9,T_SelfStock_Log[WeekIndex],49)=0,"",SUMIFS(T_SelfStock_Log[Self_Qty],T_SelfStock_Log[Part Name],$A9,T_SelfStock_Log[WeekIndex],49))</f>
        <v/>
      </c>
      <c r="AY9" s="19">
        <f>IF(COUNTIFS(T_SelfStock_Log[Part Name],$A9,T_SelfStock_Log[WeekIndex],50)=0,"",SUMIFS(T_SelfStock_Log[Self_Qty],T_SelfStock_Log[Part Name],$A9,T_SelfStock_Log[WeekIndex],50))</f>
        <v/>
      </c>
      <c r="AZ9" s="19">
        <f>IF(COUNTIFS(T_SelfStock_Log[Part Name],$A9,T_SelfStock_Log[WeekIndex],51)=0,"",SUMIFS(T_SelfStock_Log[Self_Qty],T_SelfStock_Log[Part Name],$A9,T_SelfStock_Log[WeekIndex],51))</f>
        <v/>
      </c>
      <c r="BA9" s="19">
        <f>IF(COUNTIFS(T_SelfStock_Log[Part Name],$A9,T_SelfStock_Log[WeekIndex],52)=0,"",SUMIFS(T_SelfStock_Log[Self_Qty],T_SelfStock_Log[Part Name],$A9,T_SelfStock_Log[WeekIndex],52))</f>
        <v/>
      </c>
      <c r="BB9" s="19">
        <f>IF(COUNTIFS(T_SelfStock_Log[Part Name],$A9,T_SelfStock_Log[WeekIndex],53)=0,"",SUMIFS(T_SelfStock_Log[Self_Qty],T_SelfStock_Log[Part Name],$A9,T_SelfStock_Log[WeekIndex],53))</f>
        <v/>
      </c>
      <c r="BC9" s="19">
        <f>IF(COUNTIFS(T_SelfStock_Log[Part Name],$A9,T_SelfStock_Log[WeekIndex],54)=0,"",SUMIFS(T_SelfStock_Log[Self_Qty],T_SelfStock_Log[Part Name],$A9,T_SelfStock_Log[WeekIndex],54))</f>
        <v/>
      </c>
      <c r="BD9" s="19">
        <f>IF(COUNTIFS(T_SelfStock_Log[Part Name],$A9,T_SelfStock_Log[WeekIndex],55)=0,"",SUMIFS(T_SelfStock_Log[Self_Qty],T_SelfStock_Log[Part Name],$A9,T_SelfStock_Log[WeekIndex],55))</f>
        <v/>
      </c>
      <c r="BE9" s="19">
        <f>IF(COUNTIFS(T_SelfStock_Log[Part Name],$A9,T_SelfStock_Log[WeekIndex],56)=0,"",SUMIFS(T_SelfStock_Log[Self_Qty],T_SelfStock_Log[Part Name],$A9,T_SelfStock_Log[WeekIndex],56))</f>
        <v/>
      </c>
      <c r="BF9" s="19">
        <f>IF(COUNTIFS(T_SelfStock_Log[Part Name],$A9,T_SelfStock_Log[WeekIndex],57)=0,"",SUMIFS(T_SelfStock_Log[Self_Qty],T_SelfStock_Log[Part Name],$A9,T_SelfStock_Log[WeekIndex],57))</f>
        <v/>
      </c>
      <c r="BG9" s="19">
        <f>IF(COUNTIFS(T_SelfStock_Log[Part Name],$A9,T_SelfStock_Log[WeekIndex],58)=0,"",SUMIFS(T_SelfStock_Log[Self_Qty],T_SelfStock_Log[Part Name],$A9,T_SelfStock_Log[WeekIndex],58))</f>
        <v/>
      </c>
      <c r="BH9" s="19">
        <f>IF(COUNTIFS(T_SelfStock_Log[Part Name],$A9,T_SelfStock_Log[WeekIndex],59)=0,"",SUMIFS(T_SelfStock_Log[Self_Qty],T_SelfStock_Log[Part Name],$A9,T_SelfStock_Log[WeekIndex],59))</f>
        <v/>
      </c>
      <c r="BI9" s="19">
        <f>IF(COUNTIFS(T_SelfStock_Log[Part Name],$A9,T_SelfStock_Log[WeekIndex],60)=0,"",SUMIFS(T_SelfStock_Log[Self_Qty],T_SelfStock_Log[Part Name],$A9,T_SelfStock_Log[WeekIndex],60))</f>
        <v/>
      </c>
      <c r="BJ9" s="19">
        <f>IF(COUNTIFS(T_SelfStock_Log[Part Name],$A9,T_SelfStock_Log[WeekIndex],61)=0,"",SUMIFS(T_SelfStock_Log[Self_Qty],T_SelfStock_Log[Part Name],$A9,T_SelfStock_Log[WeekIndex],61))</f>
        <v/>
      </c>
      <c r="BK9" s="19">
        <f>IF(COUNTIFS(T_SelfStock_Log[Part Name],$A9,T_SelfStock_Log[WeekIndex],62)=0,"",SUMIFS(T_SelfStock_Log[Self_Qty],T_SelfStock_Log[Part Name],$A9,T_SelfStock_Log[WeekIndex],62))</f>
        <v/>
      </c>
      <c r="BL9" s="19">
        <f>IF(COUNTIFS(T_SelfStock_Log[Part Name],$A9,T_SelfStock_Log[WeekIndex],63)=0,"",SUMIFS(T_SelfStock_Log[Self_Qty],T_SelfStock_Log[Part Name],$A9,T_SelfStock_Log[WeekIndex],63))</f>
        <v/>
      </c>
      <c r="BM9" s="19">
        <f>IF(COUNTIFS(T_SelfStock_Log[Part Name],$A9,T_SelfStock_Log[WeekIndex],64)=0,"",SUMIFS(T_SelfStock_Log[Self_Qty],T_SelfStock_Log[Part Name],$A9,T_SelfStock_Log[WeekIndex],64))</f>
        <v/>
      </c>
      <c r="BN9" s="19">
        <f>IF(COUNTIFS(T_SelfStock_Log[Part Name],$A9,T_SelfStock_Log[WeekIndex],65)=0,"",SUMIFS(T_SelfStock_Log[Self_Qty],T_SelfStock_Log[Part Name],$A9,T_SelfStock_Log[WeekIndex],65))</f>
        <v/>
      </c>
      <c r="BO9" s="19">
        <f>IF(COUNTIFS(T_SelfStock_Log[Part Name],$A9,T_SelfStock_Log[WeekIndex],66)=0,"",SUMIFS(T_SelfStock_Log[Self_Qty],T_SelfStock_Log[Part Name],$A9,T_SelfStock_Log[WeekIndex],66))</f>
        <v/>
      </c>
      <c r="BP9" s="19">
        <f>IF(COUNTIFS(T_SelfStock_Log[Part Name],$A9,T_SelfStock_Log[WeekIndex],67)=0,"",SUMIFS(T_SelfStock_Log[Self_Qty],T_SelfStock_Log[Part Name],$A9,T_SelfStock_Log[WeekIndex],67))</f>
        <v/>
      </c>
      <c r="BQ9" s="19">
        <f>IF(COUNTIFS(T_SelfStock_Log[Part Name],$A9,T_SelfStock_Log[WeekIndex],68)=0,"",SUMIFS(T_SelfStock_Log[Self_Qty],T_SelfStock_Log[Part Name],$A9,T_SelfStock_Log[WeekIndex],68))</f>
        <v/>
      </c>
      <c r="BR9" s="19">
        <f>IF(COUNTIFS(T_SelfStock_Log[Part Name],$A9,T_SelfStock_Log[WeekIndex],69)=0,"",SUMIFS(T_SelfStock_Log[Self_Qty],T_SelfStock_Log[Part Name],$A9,T_SelfStock_Log[WeekIndex],69))</f>
        <v/>
      </c>
      <c r="BS9" s="19">
        <f>IF(COUNTIFS(T_SelfStock_Log[Part Name],$A9,T_SelfStock_Log[WeekIndex],70)=0,"",SUMIFS(T_SelfStock_Log[Self_Qty],T_SelfStock_Log[Part Name],$A9,T_SelfStock_Log[WeekIndex],70))</f>
        <v/>
      </c>
      <c r="BT9" s="19">
        <f>IF(COUNTIFS(T_SelfStock_Log[Part Name],$A9,T_SelfStock_Log[WeekIndex],71)=0,"",SUMIFS(T_SelfStock_Log[Self_Qty],T_SelfStock_Log[Part Name],$A9,T_SelfStock_Log[WeekIndex],71))</f>
        <v/>
      </c>
      <c r="BU9" s="19">
        <f>IF(COUNTIFS(T_SelfStock_Log[Part Name],$A9,T_SelfStock_Log[WeekIndex],72)=0,"",SUMIFS(T_SelfStock_Log[Self_Qty],T_SelfStock_Log[Part Name],$A9,T_SelfStock_Log[WeekIndex],72))</f>
        <v/>
      </c>
      <c r="BV9" s="19">
        <f>IF(COUNTIFS(T_SelfStock_Log[Part Name],$A9,T_SelfStock_Log[WeekIndex],73)=0,"",SUMIFS(T_SelfStock_Log[Self_Qty],T_SelfStock_Log[Part Name],$A9,T_SelfStock_Log[WeekIndex],73))</f>
        <v/>
      </c>
      <c r="BW9" s="19">
        <f>IF(COUNTIFS(T_SelfStock_Log[Part Name],$A9,T_SelfStock_Log[WeekIndex],74)=0,"",SUMIFS(T_SelfStock_Log[Self_Qty],T_SelfStock_Log[Part Name],$A9,T_SelfStock_Log[WeekIndex],74))</f>
        <v/>
      </c>
      <c r="BX9" s="19">
        <f>IF(COUNTIFS(T_SelfStock_Log[Part Name],$A9,T_SelfStock_Log[WeekIndex],75)=0,"",SUMIFS(T_SelfStock_Log[Self_Qty],T_SelfStock_Log[Part Name],$A9,T_SelfStock_Log[WeekIndex],75))</f>
        <v/>
      </c>
      <c r="BY9" s="19">
        <f>IF(COUNTIFS(T_SelfStock_Log[Part Name],$A9,T_SelfStock_Log[WeekIndex],76)=0,"",SUMIFS(T_SelfStock_Log[Self_Qty],T_SelfStock_Log[Part Name],$A9,T_SelfStock_Log[WeekIndex],76))</f>
        <v/>
      </c>
      <c r="BZ9" s="19">
        <f>IF(COUNTIFS(T_SelfStock_Log[Part Name],$A9,T_SelfStock_Log[WeekIndex],77)=0,"",SUMIFS(T_SelfStock_Log[Self_Qty],T_SelfStock_Log[Part Name],$A9,T_SelfStock_Log[WeekIndex],77))</f>
        <v/>
      </c>
      <c r="CA9" s="19">
        <f>IF(COUNTIFS(T_SelfStock_Log[Part Name],$A9,T_SelfStock_Log[WeekIndex],78)=0,"",SUMIFS(T_SelfStock_Log[Self_Qty],T_SelfStock_Log[Part Name],$A9,T_SelfStock_Log[WeekIndex],78))</f>
        <v/>
      </c>
      <c r="CB9" s="19">
        <f>IF(COUNTIFS(T_SelfStock_Log[Part Name],$A9,T_SelfStock_Log[WeekIndex],79)=0,"",SUMIFS(T_SelfStock_Log[Self_Qty],T_SelfStock_Log[Part Name],$A9,T_SelfStock_Log[WeekIndex],79))</f>
        <v/>
      </c>
      <c r="CC9" s="19">
        <f>IF(COUNTIFS(T_SelfStock_Log[Part Name],$A9,T_SelfStock_Log[WeekIndex],80)=0,"",SUMIFS(T_SelfStock_Log[Self_Qty],T_SelfStock_Log[Part Name],$A9,T_SelfStock_Log[WeekIndex],80))</f>
        <v/>
      </c>
      <c r="CD9" s="19">
        <f>IF(COUNTIFS(T_SelfStock_Log[Part Name],$A9,T_SelfStock_Log[WeekIndex],81)=0,"",SUMIFS(T_SelfStock_Log[Self_Qty],T_SelfStock_Log[Part Name],$A9,T_SelfStock_Log[WeekIndex],81))</f>
        <v/>
      </c>
      <c r="CE9" s="19">
        <f>IF(COUNTIFS(T_SelfStock_Log[Part Name],$A9,T_SelfStock_Log[WeekIndex],82)=0,"",SUMIFS(T_SelfStock_Log[Self_Qty],T_SelfStock_Log[Part Name],$A9,T_SelfStock_Log[WeekIndex],82))</f>
        <v/>
      </c>
      <c r="CF9" s="19">
        <f>IF(COUNTIFS(T_SelfStock_Log[Part Name],$A9,T_SelfStock_Log[WeekIndex],83)=0,"",SUMIFS(T_SelfStock_Log[Self_Qty],T_SelfStock_Log[Part Name],$A9,T_SelfStock_Log[WeekIndex],83))</f>
        <v/>
      </c>
      <c r="CG9" s="19">
        <f>IF(COUNTIFS(T_SelfStock_Log[Part Name],$A9,T_SelfStock_Log[WeekIndex],84)=0,"",SUMIFS(T_SelfStock_Log[Self_Qty],T_SelfStock_Log[Part Name],$A9,T_SelfStock_Log[WeekIndex],84))</f>
        <v/>
      </c>
      <c r="CH9" s="19">
        <f>IF(COUNTIFS(T_SelfStock_Log[Part Name],$A9,T_SelfStock_Log[WeekIndex],85)=0,"",SUMIFS(T_SelfStock_Log[Self_Qty],T_SelfStock_Log[Part Name],$A9,T_SelfStock_Log[WeekIndex],85))</f>
        <v/>
      </c>
      <c r="CI9" s="19">
        <f>IF(COUNTIFS(T_SelfStock_Log[Part Name],$A9,T_SelfStock_Log[WeekIndex],86)=0,"",SUMIFS(T_SelfStock_Log[Self_Qty],T_SelfStock_Log[Part Name],$A9,T_SelfStock_Log[WeekIndex],86))</f>
        <v/>
      </c>
      <c r="CJ9" s="19">
        <f>IF(COUNTIFS(T_SelfStock_Log[Part Name],$A9,T_SelfStock_Log[WeekIndex],87)=0,"",SUMIFS(T_SelfStock_Log[Self_Qty],T_SelfStock_Log[Part Name],$A9,T_SelfStock_Log[WeekIndex],87))</f>
        <v/>
      </c>
      <c r="CK9" s="19">
        <f>IF(COUNTIFS(T_SelfStock_Log[Part Name],$A9,T_SelfStock_Log[WeekIndex],88)=0,"",SUMIFS(T_SelfStock_Log[Self_Qty],T_SelfStock_Log[Part Name],$A9,T_SelfStock_Log[WeekIndex],88))</f>
        <v/>
      </c>
      <c r="CL9" s="19">
        <f>IF(COUNTIFS(T_SelfStock_Log[Part Name],$A9,T_SelfStock_Log[WeekIndex],89)=0,"",SUMIFS(T_SelfStock_Log[Self_Qty],T_SelfStock_Log[Part Name],$A9,T_SelfStock_Log[WeekIndex],89))</f>
        <v/>
      </c>
      <c r="CM9" s="19">
        <f>IF(COUNTIFS(T_SelfStock_Log[Part Name],$A9,T_SelfStock_Log[WeekIndex],90)=0,"",SUMIFS(T_SelfStock_Log[Self_Qty],T_SelfStock_Log[Part Name],$A9,T_SelfStock_Log[WeekIndex],90))</f>
        <v/>
      </c>
      <c r="CN9" s="19">
        <f>IF(COUNTIFS(T_SelfStock_Log[Part Name],$A9,T_SelfStock_Log[WeekIndex],91)=0,"",SUMIFS(T_SelfStock_Log[Self_Qty],T_SelfStock_Log[Part Name],$A9,T_SelfStock_Log[WeekIndex],91))</f>
        <v/>
      </c>
      <c r="CO9" s="19">
        <f>IF(COUNTIFS(T_SelfStock_Log[Part Name],$A9,T_SelfStock_Log[WeekIndex],92)=0,"",SUMIFS(T_SelfStock_Log[Self_Qty],T_SelfStock_Log[Part Name],$A9,T_SelfStock_Log[WeekIndex],92))</f>
        <v/>
      </c>
      <c r="CP9" s="19">
        <f>IF(COUNTIFS(T_SelfStock_Log[Part Name],$A9,T_SelfStock_Log[WeekIndex],93)=0,"",SUMIFS(T_SelfStock_Log[Self_Qty],T_SelfStock_Log[Part Name],$A9,T_SelfStock_Log[WeekIndex],93))</f>
        <v/>
      </c>
      <c r="CQ9" s="19">
        <f>IF(COUNTIFS(T_SelfStock_Log[Part Name],$A9,T_SelfStock_Log[WeekIndex],94)=0,"",SUMIFS(T_SelfStock_Log[Self_Qty],T_SelfStock_Log[Part Name],$A9,T_SelfStock_Log[WeekIndex],94))</f>
        <v/>
      </c>
      <c r="CR9" s="19">
        <f>IF(COUNTIFS(T_SelfStock_Log[Part Name],$A9,T_SelfStock_Log[WeekIndex],95)=0,"",SUMIFS(T_SelfStock_Log[Self_Qty],T_SelfStock_Log[Part Name],$A9,T_SelfStock_Log[WeekIndex],95))</f>
        <v/>
      </c>
      <c r="CS9" s="19">
        <f>IF(COUNTIFS(T_SelfStock_Log[Part Name],$A9,T_SelfStock_Log[WeekIndex],96)=0,"",SUMIFS(T_SelfStock_Log[Self_Qty],T_SelfStock_Log[Part Name],$A9,T_SelfStock_Log[WeekIndex],96))</f>
        <v/>
      </c>
      <c r="CT9" s="19">
        <f>IF(COUNTIFS(T_SelfStock_Log[Part Name],$A9,T_SelfStock_Log[WeekIndex],97)=0,"",SUMIFS(T_SelfStock_Log[Self_Qty],T_SelfStock_Log[Part Name],$A9,T_SelfStock_Log[WeekIndex],97))</f>
        <v/>
      </c>
      <c r="CU9" s="19">
        <f>IF(COUNTIFS(T_SelfStock_Log[Part Name],$A9,T_SelfStock_Log[WeekIndex],98)=0,"",SUMIFS(T_SelfStock_Log[Self_Qty],T_SelfStock_Log[Part Name],$A9,T_SelfStock_Log[WeekIndex],98))</f>
        <v/>
      </c>
      <c r="CV9" s="19">
        <f>IF(COUNTIFS(T_SelfStock_Log[Part Name],$A9,T_SelfStock_Log[WeekIndex],99)=0,"",SUMIFS(T_SelfStock_Log[Self_Qty],T_SelfStock_Log[Part Name],$A9,T_SelfStock_Log[WeekIndex],99))</f>
        <v/>
      </c>
      <c r="CW9" s="19">
        <f>IF(COUNTIFS(T_SelfStock_Log[Part Name],$A9,T_SelfStock_Log[WeekIndex],100)=0,"",SUMIFS(T_SelfStock_Log[Self_Qty],T_SelfStock_Log[Part Name],$A9,T_SelfStock_Log[WeekIndex],100))</f>
        <v/>
      </c>
      <c r="CX9" s="19">
        <f>IF(COUNTIFS(T_SelfStock_Log[Part Name],$A9,T_SelfStock_Log[WeekIndex],101)=0,"",SUMIFS(T_SelfStock_Log[Self_Qty],T_SelfStock_Log[Part Name],$A9,T_SelfStock_Log[WeekIndex],101))</f>
        <v/>
      </c>
      <c r="CY9" s="19">
        <f>IF(COUNTIFS(T_SelfStock_Log[Part Name],$A9,T_SelfStock_Log[WeekIndex],102)=0,"",SUMIFS(T_SelfStock_Log[Self_Qty],T_SelfStock_Log[Part Name],$A9,T_SelfStock_Log[WeekIndex],102))</f>
        <v/>
      </c>
      <c r="CZ9" s="19">
        <f>IF(COUNTIFS(T_SelfStock_Log[Part Name],$A9,T_SelfStock_Log[WeekIndex],103)=0,"",SUMIFS(T_SelfStock_Log[Self_Qty],T_SelfStock_Log[Part Name],$A9,T_SelfStock_Log[WeekIndex],103))</f>
        <v/>
      </c>
      <c r="DA9" s="19">
        <f>IF(COUNTIFS(T_SelfStock_Log[Part Name],$A9,T_SelfStock_Log[WeekIndex],104)=0,"",SUMIFS(T_SelfStock_Log[Self_Qty],T_SelfStock_Log[Part Name],$A9,T_SelfStock_Log[WeekIndex],104))</f>
        <v/>
      </c>
    </row>
    <row r="10">
      <c r="A10" s="17" t="inlineStr">
        <is>
          <t>7CL</t>
        </is>
      </c>
      <c r="B10" s="17">
        <f>IF(COUNTIFS(T_SelfStock_Log[Part Name],$A10,T_SelfStock_Log[WeekIndex],1)=0,"",SUMIFS(T_SelfStock_Log[Self_Qty],T_SelfStock_Log[Part Name],$A10,T_SelfStock_Log[WeekIndex],1))</f>
        <v/>
      </c>
      <c r="C10" s="17">
        <f>IF(COUNTIFS(T_SelfStock_Log[Part Name],$A10,T_SelfStock_Log[WeekIndex],2)=0,"",SUMIFS(T_SelfStock_Log[Self_Qty],T_SelfStock_Log[Part Name],$A10,T_SelfStock_Log[WeekIndex],2))</f>
        <v/>
      </c>
      <c r="D10" s="17">
        <f>IF(COUNTIFS(T_SelfStock_Log[Part Name],$A10,T_SelfStock_Log[WeekIndex],3)=0,"",SUMIFS(T_SelfStock_Log[Self_Qty],T_SelfStock_Log[Part Name],$A10,T_SelfStock_Log[WeekIndex],3))</f>
        <v/>
      </c>
      <c r="E10" s="17">
        <f>IF(COUNTIFS(T_SelfStock_Log[Part Name],$A10,T_SelfStock_Log[WeekIndex],4)=0,"",SUMIFS(T_SelfStock_Log[Self_Qty],T_SelfStock_Log[Part Name],$A10,T_SelfStock_Log[WeekIndex],4))</f>
        <v/>
      </c>
      <c r="F10" s="17">
        <f>IF(COUNTIFS(T_SelfStock_Log[Part Name],$A10,T_SelfStock_Log[WeekIndex],5)=0,"",SUMIFS(T_SelfStock_Log[Self_Qty],T_SelfStock_Log[Part Name],$A10,T_SelfStock_Log[WeekIndex],5))</f>
        <v/>
      </c>
      <c r="G10" s="17">
        <f>IF(COUNTIFS(T_SelfStock_Log[Part Name],$A10,T_SelfStock_Log[WeekIndex],6)=0,"",SUMIFS(T_SelfStock_Log[Self_Qty],T_SelfStock_Log[Part Name],$A10,T_SelfStock_Log[WeekIndex],6))</f>
        <v/>
      </c>
      <c r="H10" s="17">
        <f>IF(COUNTIFS(T_SelfStock_Log[Part Name],$A10,T_SelfStock_Log[WeekIndex],7)=0,"",SUMIFS(T_SelfStock_Log[Self_Qty],T_SelfStock_Log[Part Name],$A10,T_SelfStock_Log[WeekIndex],7))</f>
        <v/>
      </c>
      <c r="I10" s="17">
        <f>IF(COUNTIFS(T_SelfStock_Log[Part Name],$A10,T_SelfStock_Log[WeekIndex],8)=0,"",SUMIFS(T_SelfStock_Log[Self_Qty],T_SelfStock_Log[Part Name],$A10,T_SelfStock_Log[WeekIndex],8))</f>
        <v/>
      </c>
      <c r="J10" s="17">
        <f>IF(COUNTIFS(T_SelfStock_Log[Part Name],$A10,T_SelfStock_Log[WeekIndex],9)=0,"",SUMIFS(T_SelfStock_Log[Self_Qty],T_SelfStock_Log[Part Name],$A10,T_SelfStock_Log[WeekIndex],9))</f>
        <v/>
      </c>
      <c r="K10" s="17">
        <f>IF(COUNTIFS(T_SelfStock_Log[Part Name],$A10,T_SelfStock_Log[WeekIndex],10)=0,"",SUMIFS(T_SelfStock_Log[Self_Qty],T_SelfStock_Log[Part Name],$A10,T_SelfStock_Log[WeekIndex],10))</f>
        <v/>
      </c>
      <c r="L10" s="17">
        <f>IF(COUNTIFS(T_SelfStock_Log[Part Name],$A10,T_SelfStock_Log[WeekIndex],11)=0,"",SUMIFS(T_SelfStock_Log[Self_Qty],T_SelfStock_Log[Part Name],$A10,T_SelfStock_Log[WeekIndex],11))</f>
        <v/>
      </c>
      <c r="M10" s="17">
        <f>IF(COUNTIFS(T_SelfStock_Log[Part Name],$A10,T_SelfStock_Log[WeekIndex],12)=0,"",SUMIFS(T_SelfStock_Log[Self_Qty],T_SelfStock_Log[Part Name],$A10,T_SelfStock_Log[WeekIndex],12))</f>
        <v/>
      </c>
      <c r="N10" s="17">
        <f>IF(COUNTIFS(T_SelfStock_Log[Part Name],$A10,T_SelfStock_Log[WeekIndex],13)=0,"",SUMIFS(T_SelfStock_Log[Self_Qty],T_SelfStock_Log[Part Name],$A10,T_SelfStock_Log[WeekIndex],13))</f>
        <v/>
      </c>
      <c r="O10" s="17">
        <f>IF(COUNTIFS(T_SelfStock_Log[Part Name],$A10,T_SelfStock_Log[WeekIndex],14)=0,"",SUMIFS(T_SelfStock_Log[Self_Qty],T_SelfStock_Log[Part Name],$A10,T_SelfStock_Log[WeekIndex],14))</f>
        <v/>
      </c>
      <c r="P10" s="17">
        <f>IF(COUNTIFS(T_SelfStock_Log[Part Name],$A10,T_SelfStock_Log[WeekIndex],15)=0,"",SUMIFS(T_SelfStock_Log[Self_Qty],T_SelfStock_Log[Part Name],$A10,T_SelfStock_Log[WeekIndex],15))</f>
        <v/>
      </c>
      <c r="Q10" s="17">
        <f>IF(COUNTIFS(T_SelfStock_Log[Part Name],$A10,T_SelfStock_Log[WeekIndex],16)=0,"",SUMIFS(T_SelfStock_Log[Self_Qty],T_SelfStock_Log[Part Name],$A10,T_SelfStock_Log[WeekIndex],16))</f>
        <v/>
      </c>
      <c r="R10" s="17">
        <f>IF(COUNTIFS(T_SelfStock_Log[Part Name],$A10,T_SelfStock_Log[WeekIndex],17)=0,"",SUMIFS(T_SelfStock_Log[Self_Qty],T_SelfStock_Log[Part Name],$A10,T_SelfStock_Log[WeekIndex],17))</f>
        <v/>
      </c>
      <c r="S10" s="17">
        <f>IF(COUNTIFS(T_SelfStock_Log[Part Name],$A10,T_SelfStock_Log[WeekIndex],18)=0,"",SUMIFS(T_SelfStock_Log[Self_Qty],T_SelfStock_Log[Part Name],$A10,T_SelfStock_Log[WeekIndex],18))</f>
        <v/>
      </c>
      <c r="T10" s="17">
        <f>IF(COUNTIFS(T_SelfStock_Log[Part Name],$A10,T_SelfStock_Log[WeekIndex],19)=0,"",SUMIFS(T_SelfStock_Log[Self_Qty],T_SelfStock_Log[Part Name],$A10,T_SelfStock_Log[WeekIndex],19))</f>
        <v/>
      </c>
      <c r="U10" s="17">
        <f>IF(COUNTIFS(T_SelfStock_Log[Part Name],$A10,T_SelfStock_Log[WeekIndex],20)=0,"",SUMIFS(T_SelfStock_Log[Self_Qty],T_SelfStock_Log[Part Name],$A10,T_SelfStock_Log[WeekIndex],20))</f>
        <v/>
      </c>
      <c r="V10" s="17">
        <f>IF(COUNTIFS(T_SelfStock_Log[Part Name],$A10,T_SelfStock_Log[WeekIndex],21)=0,"",SUMIFS(T_SelfStock_Log[Self_Qty],T_SelfStock_Log[Part Name],$A10,T_SelfStock_Log[WeekIndex],21))</f>
        <v/>
      </c>
      <c r="W10" s="17">
        <f>IF(COUNTIFS(T_SelfStock_Log[Part Name],$A10,T_SelfStock_Log[WeekIndex],22)=0,"",SUMIFS(T_SelfStock_Log[Self_Qty],T_SelfStock_Log[Part Name],$A10,T_SelfStock_Log[WeekIndex],22))</f>
        <v/>
      </c>
      <c r="X10" s="17">
        <f>IF(COUNTIFS(T_SelfStock_Log[Part Name],$A10,T_SelfStock_Log[WeekIndex],23)=0,"",SUMIFS(T_SelfStock_Log[Self_Qty],T_SelfStock_Log[Part Name],$A10,T_SelfStock_Log[WeekIndex],23))</f>
        <v/>
      </c>
      <c r="Y10" s="17">
        <f>IF(COUNTIFS(T_SelfStock_Log[Part Name],$A10,T_SelfStock_Log[WeekIndex],24)=0,"",SUMIFS(T_SelfStock_Log[Self_Qty],T_SelfStock_Log[Part Name],$A10,T_SelfStock_Log[WeekIndex],24))</f>
        <v/>
      </c>
      <c r="Z10" s="17">
        <f>IF(COUNTIFS(T_SelfStock_Log[Part Name],$A10,T_SelfStock_Log[WeekIndex],25)=0,"",SUMIFS(T_SelfStock_Log[Self_Qty],T_SelfStock_Log[Part Name],$A10,T_SelfStock_Log[WeekIndex],25))</f>
        <v/>
      </c>
      <c r="AA10" s="17">
        <f>IF(COUNTIFS(T_SelfStock_Log[Part Name],$A10,T_SelfStock_Log[WeekIndex],26)=0,"",SUMIFS(T_SelfStock_Log[Self_Qty],T_SelfStock_Log[Part Name],$A10,T_SelfStock_Log[WeekIndex],26))</f>
        <v/>
      </c>
      <c r="AB10" s="17">
        <f>IF(COUNTIFS(T_SelfStock_Log[Part Name],$A10,T_SelfStock_Log[WeekIndex],27)=0,"",SUMIFS(T_SelfStock_Log[Self_Qty],T_SelfStock_Log[Part Name],$A10,T_SelfStock_Log[WeekIndex],27))</f>
        <v/>
      </c>
      <c r="AC10" s="17">
        <f>IF(COUNTIFS(T_SelfStock_Log[Part Name],$A10,T_SelfStock_Log[WeekIndex],28)=0,"",SUMIFS(T_SelfStock_Log[Self_Qty],T_SelfStock_Log[Part Name],$A10,T_SelfStock_Log[WeekIndex],28))</f>
        <v/>
      </c>
      <c r="AD10" s="17">
        <f>IF(COUNTIFS(T_SelfStock_Log[Part Name],$A10,T_SelfStock_Log[WeekIndex],29)=0,"",SUMIFS(T_SelfStock_Log[Self_Qty],T_SelfStock_Log[Part Name],$A10,T_SelfStock_Log[WeekIndex],29))</f>
        <v/>
      </c>
      <c r="AE10" s="17">
        <f>IF(COUNTIFS(T_SelfStock_Log[Part Name],$A10,T_SelfStock_Log[WeekIndex],30)=0,"",SUMIFS(T_SelfStock_Log[Self_Qty],T_SelfStock_Log[Part Name],$A10,T_SelfStock_Log[WeekIndex],30))</f>
        <v/>
      </c>
      <c r="AF10" s="17">
        <f>IF(COUNTIFS(T_SelfStock_Log[Part Name],$A10,T_SelfStock_Log[WeekIndex],31)=0,"",SUMIFS(T_SelfStock_Log[Self_Qty],T_SelfStock_Log[Part Name],$A10,T_SelfStock_Log[WeekIndex],31))</f>
        <v/>
      </c>
      <c r="AG10" s="17">
        <f>IF(COUNTIFS(T_SelfStock_Log[Part Name],$A10,T_SelfStock_Log[WeekIndex],32)=0,"",SUMIFS(T_SelfStock_Log[Self_Qty],T_SelfStock_Log[Part Name],$A10,T_SelfStock_Log[WeekIndex],32))</f>
        <v/>
      </c>
      <c r="AH10" s="17">
        <f>IF(COUNTIFS(T_SelfStock_Log[Part Name],$A10,T_SelfStock_Log[WeekIndex],33)=0,"",SUMIFS(T_SelfStock_Log[Self_Qty],T_SelfStock_Log[Part Name],$A10,T_SelfStock_Log[WeekIndex],33))</f>
        <v/>
      </c>
      <c r="AI10" s="17">
        <f>IF(COUNTIFS(T_SelfStock_Log[Part Name],$A10,T_SelfStock_Log[WeekIndex],34)=0,"",SUMIFS(T_SelfStock_Log[Self_Qty],T_SelfStock_Log[Part Name],$A10,T_SelfStock_Log[WeekIndex],34))</f>
        <v/>
      </c>
      <c r="AJ10" s="17">
        <f>IF(COUNTIFS(T_SelfStock_Log[Part Name],$A10,T_SelfStock_Log[WeekIndex],35)=0,"",SUMIFS(T_SelfStock_Log[Self_Qty],T_SelfStock_Log[Part Name],$A10,T_SelfStock_Log[WeekIndex],35))</f>
        <v/>
      </c>
      <c r="AK10" s="17">
        <f>IF(COUNTIFS(T_SelfStock_Log[Part Name],$A10,T_SelfStock_Log[WeekIndex],36)=0,"",SUMIFS(T_SelfStock_Log[Self_Qty],T_SelfStock_Log[Part Name],$A10,T_SelfStock_Log[WeekIndex],36))</f>
        <v/>
      </c>
      <c r="AL10" s="17">
        <f>IF(COUNTIFS(T_SelfStock_Log[Part Name],$A10,T_SelfStock_Log[WeekIndex],37)=0,"",SUMIFS(T_SelfStock_Log[Self_Qty],T_SelfStock_Log[Part Name],$A10,T_SelfStock_Log[WeekIndex],37))</f>
        <v/>
      </c>
      <c r="AM10" s="17">
        <f>IF(COUNTIFS(T_SelfStock_Log[Part Name],$A10,T_SelfStock_Log[WeekIndex],38)=0,"",SUMIFS(T_SelfStock_Log[Self_Qty],T_SelfStock_Log[Part Name],$A10,T_SelfStock_Log[WeekIndex],38))</f>
        <v/>
      </c>
      <c r="AN10" s="17">
        <f>IF(COUNTIFS(T_SelfStock_Log[Part Name],$A10,T_SelfStock_Log[WeekIndex],39)=0,"",SUMIFS(T_SelfStock_Log[Self_Qty],T_SelfStock_Log[Part Name],$A10,T_SelfStock_Log[WeekIndex],39))</f>
        <v/>
      </c>
      <c r="AO10" s="17">
        <f>IF(COUNTIFS(T_SelfStock_Log[Part Name],$A10,T_SelfStock_Log[WeekIndex],40)=0,"",SUMIFS(T_SelfStock_Log[Self_Qty],T_SelfStock_Log[Part Name],$A10,T_SelfStock_Log[WeekIndex],40))</f>
        <v/>
      </c>
      <c r="AP10" s="17">
        <f>IF(COUNTIFS(T_SelfStock_Log[Part Name],$A10,T_SelfStock_Log[WeekIndex],41)=0,"",SUMIFS(T_SelfStock_Log[Self_Qty],T_SelfStock_Log[Part Name],$A10,T_SelfStock_Log[WeekIndex],41))</f>
        <v/>
      </c>
      <c r="AQ10" s="17">
        <f>IF(COUNTIFS(T_SelfStock_Log[Part Name],$A10,T_SelfStock_Log[WeekIndex],42)=0,"",SUMIFS(T_SelfStock_Log[Self_Qty],T_SelfStock_Log[Part Name],$A10,T_SelfStock_Log[WeekIndex],42))</f>
        <v/>
      </c>
      <c r="AR10" s="17">
        <f>IF(COUNTIFS(T_SelfStock_Log[Part Name],$A10,T_SelfStock_Log[WeekIndex],43)=0,"",SUMIFS(T_SelfStock_Log[Self_Qty],T_SelfStock_Log[Part Name],$A10,T_SelfStock_Log[WeekIndex],43))</f>
        <v/>
      </c>
      <c r="AS10" s="17">
        <f>IF(COUNTIFS(T_SelfStock_Log[Part Name],$A10,T_SelfStock_Log[WeekIndex],44)=0,"",SUMIFS(T_SelfStock_Log[Self_Qty],T_SelfStock_Log[Part Name],$A10,T_SelfStock_Log[WeekIndex],44))</f>
        <v/>
      </c>
      <c r="AT10" s="17">
        <f>IF(COUNTIFS(T_SelfStock_Log[Part Name],$A10,T_SelfStock_Log[WeekIndex],45)=0,"",SUMIFS(T_SelfStock_Log[Self_Qty],T_SelfStock_Log[Part Name],$A10,T_SelfStock_Log[WeekIndex],45))</f>
        <v/>
      </c>
      <c r="AU10" s="17">
        <f>IF(COUNTIFS(T_SelfStock_Log[Part Name],$A10,T_SelfStock_Log[WeekIndex],46)=0,"",SUMIFS(T_SelfStock_Log[Self_Qty],T_SelfStock_Log[Part Name],$A10,T_SelfStock_Log[WeekIndex],46))</f>
        <v/>
      </c>
      <c r="AV10" s="17">
        <f>IF(COUNTIFS(T_SelfStock_Log[Part Name],$A10,T_SelfStock_Log[WeekIndex],47)=0,"",SUMIFS(T_SelfStock_Log[Self_Qty],T_SelfStock_Log[Part Name],$A10,T_SelfStock_Log[WeekIndex],47))</f>
        <v/>
      </c>
      <c r="AW10" s="17">
        <f>IF(COUNTIFS(T_SelfStock_Log[Part Name],$A10,T_SelfStock_Log[WeekIndex],48)=0,"",SUMIFS(T_SelfStock_Log[Self_Qty],T_SelfStock_Log[Part Name],$A10,T_SelfStock_Log[WeekIndex],48))</f>
        <v/>
      </c>
      <c r="AX10" s="17">
        <f>IF(COUNTIFS(T_SelfStock_Log[Part Name],$A10,T_SelfStock_Log[WeekIndex],49)=0,"",SUMIFS(T_SelfStock_Log[Self_Qty],T_SelfStock_Log[Part Name],$A10,T_SelfStock_Log[WeekIndex],49))</f>
        <v/>
      </c>
      <c r="AY10" s="17">
        <f>IF(COUNTIFS(T_SelfStock_Log[Part Name],$A10,T_SelfStock_Log[WeekIndex],50)=0,"",SUMIFS(T_SelfStock_Log[Self_Qty],T_SelfStock_Log[Part Name],$A10,T_SelfStock_Log[WeekIndex],50))</f>
        <v/>
      </c>
      <c r="AZ10" s="17">
        <f>IF(COUNTIFS(T_SelfStock_Log[Part Name],$A10,T_SelfStock_Log[WeekIndex],51)=0,"",SUMIFS(T_SelfStock_Log[Self_Qty],T_SelfStock_Log[Part Name],$A10,T_SelfStock_Log[WeekIndex],51))</f>
        <v/>
      </c>
      <c r="BA10" s="17">
        <f>IF(COUNTIFS(T_SelfStock_Log[Part Name],$A10,T_SelfStock_Log[WeekIndex],52)=0,"",SUMIFS(T_SelfStock_Log[Self_Qty],T_SelfStock_Log[Part Name],$A10,T_SelfStock_Log[WeekIndex],52))</f>
        <v/>
      </c>
      <c r="BB10" s="17">
        <f>IF(COUNTIFS(T_SelfStock_Log[Part Name],$A10,T_SelfStock_Log[WeekIndex],53)=0,"",SUMIFS(T_SelfStock_Log[Self_Qty],T_SelfStock_Log[Part Name],$A10,T_SelfStock_Log[WeekIndex],53))</f>
        <v/>
      </c>
      <c r="BC10" s="17">
        <f>IF(COUNTIFS(T_SelfStock_Log[Part Name],$A10,T_SelfStock_Log[WeekIndex],54)=0,"",SUMIFS(T_SelfStock_Log[Self_Qty],T_SelfStock_Log[Part Name],$A10,T_SelfStock_Log[WeekIndex],54))</f>
        <v/>
      </c>
      <c r="BD10" s="17">
        <f>IF(COUNTIFS(T_SelfStock_Log[Part Name],$A10,T_SelfStock_Log[WeekIndex],55)=0,"",SUMIFS(T_SelfStock_Log[Self_Qty],T_SelfStock_Log[Part Name],$A10,T_SelfStock_Log[WeekIndex],55))</f>
        <v/>
      </c>
      <c r="BE10" s="17">
        <f>IF(COUNTIFS(T_SelfStock_Log[Part Name],$A10,T_SelfStock_Log[WeekIndex],56)=0,"",SUMIFS(T_SelfStock_Log[Self_Qty],T_SelfStock_Log[Part Name],$A10,T_SelfStock_Log[WeekIndex],56))</f>
        <v/>
      </c>
      <c r="BF10" s="17">
        <f>IF(COUNTIFS(T_SelfStock_Log[Part Name],$A10,T_SelfStock_Log[WeekIndex],57)=0,"",SUMIFS(T_SelfStock_Log[Self_Qty],T_SelfStock_Log[Part Name],$A10,T_SelfStock_Log[WeekIndex],57))</f>
        <v/>
      </c>
      <c r="BG10" s="17">
        <f>IF(COUNTIFS(T_SelfStock_Log[Part Name],$A10,T_SelfStock_Log[WeekIndex],58)=0,"",SUMIFS(T_SelfStock_Log[Self_Qty],T_SelfStock_Log[Part Name],$A10,T_SelfStock_Log[WeekIndex],58))</f>
        <v/>
      </c>
      <c r="BH10" s="17">
        <f>IF(COUNTIFS(T_SelfStock_Log[Part Name],$A10,T_SelfStock_Log[WeekIndex],59)=0,"",SUMIFS(T_SelfStock_Log[Self_Qty],T_SelfStock_Log[Part Name],$A10,T_SelfStock_Log[WeekIndex],59))</f>
        <v/>
      </c>
      <c r="BI10" s="17">
        <f>IF(COUNTIFS(T_SelfStock_Log[Part Name],$A10,T_SelfStock_Log[WeekIndex],60)=0,"",SUMIFS(T_SelfStock_Log[Self_Qty],T_SelfStock_Log[Part Name],$A10,T_SelfStock_Log[WeekIndex],60))</f>
        <v/>
      </c>
      <c r="BJ10" s="17">
        <f>IF(COUNTIFS(T_SelfStock_Log[Part Name],$A10,T_SelfStock_Log[WeekIndex],61)=0,"",SUMIFS(T_SelfStock_Log[Self_Qty],T_SelfStock_Log[Part Name],$A10,T_SelfStock_Log[WeekIndex],61))</f>
        <v/>
      </c>
      <c r="BK10" s="17">
        <f>IF(COUNTIFS(T_SelfStock_Log[Part Name],$A10,T_SelfStock_Log[WeekIndex],62)=0,"",SUMIFS(T_SelfStock_Log[Self_Qty],T_SelfStock_Log[Part Name],$A10,T_SelfStock_Log[WeekIndex],62))</f>
        <v/>
      </c>
      <c r="BL10" s="17">
        <f>IF(COUNTIFS(T_SelfStock_Log[Part Name],$A10,T_SelfStock_Log[WeekIndex],63)=0,"",SUMIFS(T_SelfStock_Log[Self_Qty],T_SelfStock_Log[Part Name],$A10,T_SelfStock_Log[WeekIndex],63))</f>
        <v/>
      </c>
      <c r="BM10" s="17">
        <f>IF(COUNTIFS(T_SelfStock_Log[Part Name],$A10,T_SelfStock_Log[WeekIndex],64)=0,"",SUMIFS(T_SelfStock_Log[Self_Qty],T_SelfStock_Log[Part Name],$A10,T_SelfStock_Log[WeekIndex],64))</f>
        <v/>
      </c>
      <c r="BN10" s="17">
        <f>IF(COUNTIFS(T_SelfStock_Log[Part Name],$A10,T_SelfStock_Log[WeekIndex],65)=0,"",SUMIFS(T_SelfStock_Log[Self_Qty],T_SelfStock_Log[Part Name],$A10,T_SelfStock_Log[WeekIndex],65))</f>
        <v/>
      </c>
      <c r="BO10" s="17">
        <f>IF(COUNTIFS(T_SelfStock_Log[Part Name],$A10,T_SelfStock_Log[WeekIndex],66)=0,"",SUMIFS(T_SelfStock_Log[Self_Qty],T_SelfStock_Log[Part Name],$A10,T_SelfStock_Log[WeekIndex],66))</f>
        <v/>
      </c>
      <c r="BP10" s="17">
        <f>IF(COUNTIFS(T_SelfStock_Log[Part Name],$A10,T_SelfStock_Log[WeekIndex],67)=0,"",SUMIFS(T_SelfStock_Log[Self_Qty],T_SelfStock_Log[Part Name],$A10,T_SelfStock_Log[WeekIndex],67))</f>
        <v/>
      </c>
      <c r="BQ10" s="17">
        <f>IF(COUNTIFS(T_SelfStock_Log[Part Name],$A10,T_SelfStock_Log[WeekIndex],68)=0,"",SUMIFS(T_SelfStock_Log[Self_Qty],T_SelfStock_Log[Part Name],$A10,T_SelfStock_Log[WeekIndex],68))</f>
        <v/>
      </c>
      <c r="BR10" s="17">
        <f>IF(COUNTIFS(T_SelfStock_Log[Part Name],$A10,T_SelfStock_Log[WeekIndex],69)=0,"",SUMIFS(T_SelfStock_Log[Self_Qty],T_SelfStock_Log[Part Name],$A10,T_SelfStock_Log[WeekIndex],69))</f>
        <v/>
      </c>
      <c r="BS10" s="17">
        <f>IF(COUNTIFS(T_SelfStock_Log[Part Name],$A10,T_SelfStock_Log[WeekIndex],70)=0,"",SUMIFS(T_SelfStock_Log[Self_Qty],T_SelfStock_Log[Part Name],$A10,T_SelfStock_Log[WeekIndex],70))</f>
        <v/>
      </c>
      <c r="BT10" s="17">
        <f>IF(COUNTIFS(T_SelfStock_Log[Part Name],$A10,T_SelfStock_Log[WeekIndex],71)=0,"",SUMIFS(T_SelfStock_Log[Self_Qty],T_SelfStock_Log[Part Name],$A10,T_SelfStock_Log[WeekIndex],71))</f>
        <v/>
      </c>
      <c r="BU10" s="17">
        <f>IF(COUNTIFS(T_SelfStock_Log[Part Name],$A10,T_SelfStock_Log[WeekIndex],72)=0,"",SUMIFS(T_SelfStock_Log[Self_Qty],T_SelfStock_Log[Part Name],$A10,T_SelfStock_Log[WeekIndex],72))</f>
        <v/>
      </c>
      <c r="BV10" s="17">
        <f>IF(COUNTIFS(T_SelfStock_Log[Part Name],$A10,T_SelfStock_Log[WeekIndex],73)=0,"",SUMIFS(T_SelfStock_Log[Self_Qty],T_SelfStock_Log[Part Name],$A10,T_SelfStock_Log[WeekIndex],73))</f>
        <v/>
      </c>
      <c r="BW10" s="17">
        <f>IF(COUNTIFS(T_SelfStock_Log[Part Name],$A10,T_SelfStock_Log[WeekIndex],74)=0,"",SUMIFS(T_SelfStock_Log[Self_Qty],T_SelfStock_Log[Part Name],$A10,T_SelfStock_Log[WeekIndex],74))</f>
        <v/>
      </c>
      <c r="BX10" s="17">
        <f>IF(COUNTIFS(T_SelfStock_Log[Part Name],$A10,T_SelfStock_Log[WeekIndex],75)=0,"",SUMIFS(T_SelfStock_Log[Self_Qty],T_SelfStock_Log[Part Name],$A10,T_SelfStock_Log[WeekIndex],75))</f>
        <v/>
      </c>
      <c r="BY10" s="17">
        <f>IF(COUNTIFS(T_SelfStock_Log[Part Name],$A10,T_SelfStock_Log[WeekIndex],76)=0,"",SUMIFS(T_SelfStock_Log[Self_Qty],T_SelfStock_Log[Part Name],$A10,T_SelfStock_Log[WeekIndex],76))</f>
        <v/>
      </c>
      <c r="BZ10" s="17">
        <f>IF(COUNTIFS(T_SelfStock_Log[Part Name],$A10,T_SelfStock_Log[WeekIndex],77)=0,"",SUMIFS(T_SelfStock_Log[Self_Qty],T_SelfStock_Log[Part Name],$A10,T_SelfStock_Log[WeekIndex],77))</f>
        <v/>
      </c>
      <c r="CA10" s="17">
        <f>IF(COUNTIFS(T_SelfStock_Log[Part Name],$A10,T_SelfStock_Log[WeekIndex],78)=0,"",SUMIFS(T_SelfStock_Log[Self_Qty],T_SelfStock_Log[Part Name],$A10,T_SelfStock_Log[WeekIndex],78))</f>
        <v/>
      </c>
      <c r="CB10" s="17">
        <f>IF(COUNTIFS(T_SelfStock_Log[Part Name],$A10,T_SelfStock_Log[WeekIndex],79)=0,"",SUMIFS(T_SelfStock_Log[Self_Qty],T_SelfStock_Log[Part Name],$A10,T_SelfStock_Log[WeekIndex],79))</f>
        <v/>
      </c>
      <c r="CC10" s="17">
        <f>IF(COUNTIFS(T_SelfStock_Log[Part Name],$A10,T_SelfStock_Log[WeekIndex],80)=0,"",SUMIFS(T_SelfStock_Log[Self_Qty],T_SelfStock_Log[Part Name],$A10,T_SelfStock_Log[WeekIndex],80))</f>
        <v/>
      </c>
      <c r="CD10" s="17">
        <f>IF(COUNTIFS(T_SelfStock_Log[Part Name],$A10,T_SelfStock_Log[WeekIndex],81)=0,"",SUMIFS(T_SelfStock_Log[Self_Qty],T_SelfStock_Log[Part Name],$A10,T_SelfStock_Log[WeekIndex],81))</f>
        <v/>
      </c>
      <c r="CE10" s="17">
        <f>IF(COUNTIFS(T_SelfStock_Log[Part Name],$A10,T_SelfStock_Log[WeekIndex],82)=0,"",SUMIFS(T_SelfStock_Log[Self_Qty],T_SelfStock_Log[Part Name],$A10,T_SelfStock_Log[WeekIndex],82))</f>
        <v/>
      </c>
      <c r="CF10" s="17">
        <f>IF(COUNTIFS(T_SelfStock_Log[Part Name],$A10,T_SelfStock_Log[WeekIndex],83)=0,"",SUMIFS(T_SelfStock_Log[Self_Qty],T_SelfStock_Log[Part Name],$A10,T_SelfStock_Log[WeekIndex],83))</f>
        <v/>
      </c>
      <c r="CG10" s="17">
        <f>IF(COUNTIFS(T_SelfStock_Log[Part Name],$A10,T_SelfStock_Log[WeekIndex],84)=0,"",SUMIFS(T_SelfStock_Log[Self_Qty],T_SelfStock_Log[Part Name],$A10,T_SelfStock_Log[WeekIndex],84))</f>
        <v/>
      </c>
      <c r="CH10" s="17">
        <f>IF(COUNTIFS(T_SelfStock_Log[Part Name],$A10,T_SelfStock_Log[WeekIndex],85)=0,"",SUMIFS(T_SelfStock_Log[Self_Qty],T_SelfStock_Log[Part Name],$A10,T_SelfStock_Log[WeekIndex],85))</f>
        <v/>
      </c>
      <c r="CI10" s="17">
        <f>IF(COUNTIFS(T_SelfStock_Log[Part Name],$A10,T_SelfStock_Log[WeekIndex],86)=0,"",SUMIFS(T_SelfStock_Log[Self_Qty],T_SelfStock_Log[Part Name],$A10,T_SelfStock_Log[WeekIndex],86))</f>
        <v/>
      </c>
      <c r="CJ10" s="17">
        <f>IF(COUNTIFS(T_SelfStock_Log[Part Name],$A10,T_SelfStock_Log[WeekIndex],87)=0,"",SUMIFS(T_SelfStock_Log[Self_Qty],T_SelfStock_Log[Part Name],$A10,T_SelfStock_Log[WeekIndex],87))</f>
        <v/>
      </c>
      <c r="CK10" s="17">
        <f>IF(COUNTIFS(T_SelfStock_Log[Part Name],$A10,T_SelfStock_Log[WeekIndex],88)=0,"",SUMIFS(T_SelfStock_Log[Self_Qty],T_SelfStock_Log[Part Name],$A10,T_SelfStock_Log[WeekIndex],88))</f>
        <v/>
      </c>
      <c r="CL10" s="17">
        <f>IF(COUNTIFS(T_SelfStock_Log[Part Name],$A10,T_SelfStock_Log[WeekIndex],89)=0,"",SUMIFS(T_SelfStock_Log[Self_Qty],T_SelfStock_Log[Part Name],$A10,T_SelfStock_Log[WeekIndex],89))</f>
        <v/>
      </c>
      <c r="CM10" s="17">
        <f>IF(COUNTIFS(T_SelfStock_Log[Part Name],$A10,T_SelfStock_Log[WeekIndex],90)=0,"",SUMIFS(T_SelfStock_Log[Self_Qty],T_SelfStock_Log[Part Name],$A10,T_SelfStock_Log[WeekIndex],90))</f>
        <v/>
      </c>
      <c r="CN10" s="17">
        <f>IF(COUNTIFS(T_SelfStock_Log[Part Name],$A10,T_SelfStock_Log[WeekIndex],91)=0,"",SUMIFS(T_SelfStock_Log[Self_Qty],T_SelfStock_Log[Part Name],$A10,T_SelfStock_Log[WeekIndex],91))</f>
        <v/>
      </c>
      <c r="CO10" s="17">
        <f>IF(COUNTIFS(T_SelfStock_Log[Part Name],$A10,T_SelfStock_Log[WeekIndex],92)=0,"",SUMIFS(T_SelfStock_Log[Self_Qty],T_SelfStock_Log[Part Name],$A10,T_SelfStock_Log[WeekIndex],92))</f>
        <v/>
      </c>
      <c r="CP10" s="17">
        <f>IF(COUNTIFS(T_SelfStock_Log[Part Name],$A10,T_SelfStock_Log[WeekIndex],93)=0,"",SUMIFS(T_SelfStock_Log[Self_Qty],T_SelfStock_Log[Part Name],$A10,T_SelfStock_Log[WeekIndex],93))</f>
        <v/>
      </c>
      <c r="CQ10" s="17">
        <f>IF(COUNTIFS(T_SelfStock_Log[Part Name],$A10,T_SelfStock_Log[WeekIndex],94)=0,"",SUMIFS(T_SelfStock_Log[Self_Qty],T_SelfStock_Log[Part Name],$A10,T_SelfStock_Log[WeekIndex],94))</f>
        <v/>
      </c>
      <c r="CR10" s="17">
        <f>IF(COUNTIFS(T_SelfStock_Log[Part Name],$A10,T_SelfStock_Log[WeekIndex],95)=0,"",SUMIFS(T_SelfStock_Log[Self_Qty],T_SelfStock_Log[Part Name],$A10,T_SelfStock_Log[WeekIndex],95))</f>
        <v/>
      </c>
      <c r="CS10" s="17">
        <f>IF(COUNTIFS(T_SelfStock_Log[Part Name],$A10,T_SelfStock_Log[WeekIndex],96)=0,"",SUMIFS(T_SelfStock_Log[Self_Qty],T_SelfStock_Log[Part Name],$A10,T_SelfStock_Log[WeekIndex],96))</f>
        <v/>
      </c>
      <c r="CT10" s="17">
        <f>IF(COUNTIFS(T_SelfStock_Log[Part Name],$A10,T_SelfStock_Log[WeekIndex],97)=0,"",SUMIFS(T_SelfStock_Log[Self_Qty],T_SelfStock_Log[Part Name],$A10,T_SelfStock_Log[WeekIndex],97))</f>
        <v/>
      </c>
      <c r="CU10" s="17">
        <f>IF(COUNTIFS(T_SelfStock_Log[Part Name],$A10,T_SelfStock_Log[WeekIndex],98)=0,"",SUMIFS(T_SelfStock_Log[Self_Qty],T_SelfStock_Log[Part Name],$A10,T_SelfStock_Log[WeekIndex],98))</f>
        <v/>
      </c>
      <c r="CV10" s="17">
        <f>IF(COUNTIFS(T_SelfStock_Log[Part Name],$A10,T_SelfStock_Log[WeekIndex],99)=0,"",SUMIFS(T_SelfStock_Log[Self_Qty],T_SelfStock_Log[Part Name],$A10,T_SelfStock_Log[WeekIndex],99))</f>
        <v/>
      </c>
      <c r="CW10" s="17">
        <f>IF(COUNTIFS(T_SelfStock_Log[Part Name],$A10,T_SelfStock_Log[WeekIndex],100)=0,"",SUMIFS(T_SelfStock_Log[Self_Qty],T_SelfStock_Log[Part Name],$A10,T_SelfStock_Log[WeekIndex],100))</f>
        <v/>
      </c>
      <c r="CX10" s="17">
        <f>IF(COUNTIFS(T_SelfStock_Log[Part Name],$A10,T_SelfStock_Log[WeekIndex],101)=0,"",SUMIFS(T_SelfStock_Log[Self_Qty],T_SelfStock_Log[Part Name],$A10,T_SelfStock_Log[WeekIndex],101))</f>
        <v/>
      </c>
      <c r="CY10" s="17">
        <f>IF(COUNTIFS(T_SelfStock_Log[Part Name],$A10,T_SelfStock_Log[WeekIndex],102)=0,"",SUMIFS(T_SelfStock_Log[Self_Qty],T_SelfStock_Log[Part Name],$A10,T_SelfStock_Log[WeekIndex],102))</f>
        <v/>
      </c>
      <c r="CZ10" s="17">
        <f>IF(COUNTIFS(T_SelfStock_Log[Part Name],$A10,T_SelfStock_Log[WeekIndex],103)=0,"",SUMIFS(T_SelfStock_Log[Self_Qty],T_SelfStock_Log[Part Name],$A10,T_SelfStock_Log[WeekIndex],103))</f>
        <v/>
      </c>
      <c r="DA10" s="17">
        <f>IF(COUNTIFS(T_SelfStock_Log[Part Name],$A10,T_SelfStock_Log[WeekIndex],104)=0,"",SUMIFS(T_SelfStock_Log[Self_Qty],T_SelfStock_Log[Part Name],$A10,T_SelfStock_Log[WeekIndex],104))</f>
        <v/>
      </c>
    </row>
    <row r="11">
      <c r="A11" s="19" t="inlineStr">
        <is>
          <t>OJN</t>
        </is>
      </c>
      <c r="B11" s="19">
        <f>IF(COUNTIFS(T_SelfStock_Log[Part Name],$A11,T_SelfStock_Log[WeekIndex],1)=0,"",SUMIFS(T_SelfStock_Log[Self_Qty],T_SelfStock_Log[Part Name],$A11,T_SelfStock_Log[WeekIndex],1))</f>
        <v/>
      </c>
      <c r="C11" s="19">
        <f>IF(COUNTIFS(T_SelfStock_Log[Part Name],$A11,T_SelfStock_Log[WeekIndex],2)=0,"",SUMIFS(T_SelfStock_Log[Self_Qty],T_SelfStock_Log[Part Name],$A11,T_SelfStock_Log[WeekIndex],2))</f>
        <v/>
      </c>
      <c r="D11" s="19">
        <f>IF(COUNTIFS(T_SelfStock_Log[Part Name],$A11,T_SelfStock_Log[WeekIndex],3)=0,"",SUMIFS(T_SelfStock_Log[Self_Qty],T_SelfStock_Log[Part Name],$A11,T_SelfStock_Log[WeekIndex],3))</f>
        <v/>
      </c>
      <c r="E11" s="19">
        <f>IF(COUNTIFS(T_SelfStock_Log[Part Name],$A11,T_SelfStock_Log[WeekIndex],4)=0,"",SUMIFS(T_SelfStock_Log[Self_Qty],T_SelfStock_Log[Part Name],$A11,T_SelfStock_Log[WeekIndex],4))</f>
        <v/>
      </c>
      <c r="F11" s="19">
        <f>IF(COUNTIFS(T_SelfStock_Log[Part Name],$A11,T_SelfStock_Log[WeekIndex],5)=0,"",SUMIFS(T_SelfStock_Log[Self_Qty],T_SelfStock_Log[Part Name],$A11,T_SelfStock_Log[WeekIndex],5))</f>
        <v/>
      </c>
      <c r="G11" s="19">
        <f>IF(COUNTIFS(T_SelfStock_Log[Part Name],$A11,T_SelfStock_Log[WeekIndex],6)=0,"",SUMIFS(T_SelfStock_Log[Self_Qty],T_SelfStock_Log[Part Name],$A11,T_SelfStock_Log[WeekIndex],6))</f>
        <v/>
      </c>
      <c r="H11" s="19">
        <f>IF(COUNTIFS(T_SelfStock_Log[Part Name],$A11,T_SelfStock_Log[WeekIndex],7)=0,"",SUMIFS(T_SelfStock_Log[Self_Qty],T_SelfStock_Log[Part Name],$A11,T_SelfStock_Log[WeekIndex],7))</f>
        <v/>
      </c>
      <c r="I11" s="19">
        <f>IF(COUNTIFS(T_SelfStock_Log[Part Name],$A11,T_SelfStock_Log[WeekIndex],8)=0,"",SUMIFS(T_SelfStock_Log[Self_Qty],T_SelfStock_Log[Part Name],$A11,T_SelfStock_Log[WeekIndex],8))</f>
        <v/>
      </c>
      <c r="J11" s="19">
        <f>IF(COUNTIFS(T_SelfStock_Log[Part Name],$A11,T_SelfStock_Log[WeekIndex],9)=0,"",SUMIFS(T_SelfStock_Log[Self_Qty],T_SelfStock_Log[Part Name],$A11,T_SelfStock_Log[WeekIndex],9))</f>
        <v/>
      </c>
      <c r="K11" s="19">
        <f>IF(COUNTIFS(T_SelfStock_Log[Part Name],$A11,T_SelfStock_Log[WeekIndex],10)=0,"",SUMIFS(T_SelfStock_Log[Self_Qty],T_SelfStock_Log[Part Name],$A11,T_SelfStock_Log[WeekIndex],10))</f>
        <v/>
      </c>
      <c r="L11" s="19">
        <f>IF(COUNTIFS(T_SelfStock_Log[Part Name],$A11,T_SelfStock_Log[WeekIndex],11)=0,"",SUMIFS(T_SelfStock_Log[Self_Qty],T_SelfStock_Log[Part Name],$A11,T_SelfStock_Log[WeekIndex],11))</f>
        <v/>
      </c>
      <c r="M11" s="19">
        <f>IF(COUNTIFS(T_SelfStock_Log[Part Name],$A11,T_SelfStock_Log[WeekIndex],12)=0,"",SUMIFS(T_SelfStock_Log[Self_Qty],T_SelfStock_Log[Part Name],$A11,T_SelfStock_Log[WeekIndex],12))</f>
        <v/>
      </c>
      <c r="N11" s="19">
        <f>IF(COUNTIFS(T_SelfStock_Log[Part Name],$A11,T_SelfStock_Log[WeekIndex],13)=0,"",SUMIFS(T_SelfStock_Log[Self_Qty],T_SelfStock_Log[Part Name],$A11,T_SelfStock_Log[WeekIndex],13))</f>
        <v/>
      </c>
      <c r="O11" s="19">
        <f>IF(COUNTIFS(T_SelfStock_Log[Part Name],$A11,T_SelfStock_Log[WeekIndex],14)=0,"",SUMIFS(T_SelfStock_Log[Self_Qty],T_SelfStock_Log[Part Name],$A11,T_SelfStock_Log[WeekIndex],14))</f>
        <v/>
      </c>
      <c r="P11" s="19">
        <f>IF(COUNTIFS(T_SelfStock_Log[Part Name],$A11,T_SelfStock_Log[WeekIndex],15)=0,"",SUMIFS(T_SelfStock_Log[Self_Qty],T_SelfStock_Log[Part Name],$A11,T_SelfStock_Log[WeekIndex],15))</f>
        <v/>
      </c>
      <c r="Q11" s="19">
        <f>IF(COUNTIFS(T_SelfStock_Log[Part Name],$A11,T_SelfStock_Log[WeekIndex],16)=0,"",SUMIFS(T_SelfStock_Log[Self_Qty],T_SelfStock_Log[Part Name],$A11,T_SelfStock_Log[WeekIndex],16))</f>
        <v/>
      </c>
      <c r="R11" s="19">
        <f>IF(COUNTIFS(T_SelfStock_Log[Part Name],$A11,T_SelfStock_Log[WeekIndex],17)=0,"",SUMIFS(T_SelfStock_Log[Self_Qty],T_SelfStock_Log[Part Name],$A11,T_SelfStock_Log[WeekIndex],17))</f>
        <v/>
      </c>
      <c r="S11" s="19">
        <f>IF(COUNTIFS(T_SelfStock_Log[Part Name],$A11,T_SelfStock_Log[WeekIndex],18)=0,"",SUMIFS(T_SelfStock_Log[Self_Qty],T_SelfStock_Log[Part Name],$A11,T_SelfStock_Log[WeekIndex],18))</f>
        <v/>
      </c>
      <c r="T11" s="19">
        <f>IF(COUNTIFS(T_SelfStock_Log[Part Name],$A11,T_SelfStock_Log[WeekIndex],19)=0,"",SUMIFS(T_SelfStock_Log[Self_Qty],T_SelfStock_Log[Part Name],$A11,T_SelfStock_Log[WeekIndex],19))</f>
        <v/>
      </c>
      <c r="U11" s="19">
        <f>IF(COUNTIFS(T_SelfStock_Log[Part Name],$A11,T_SelfStock_Log[WeekIndex],20)=0,"",SUMIFS(T_SelfStock_Log[Self_Qty],T_SelfStock_Log[Part Name],$A11,T_SelfStock_Log[WeekIndex],20))</f>
        <v/>
      </c>
      <c r="V11" s="19">
        <f>IF(COUNTIFS(T_SelfStock_Log[Part Name],$A11,T_SelfStock_Log[WeekIndex],21)=0,"",SUMIFS(T_SelfStock_Log[Self_Qty],T_SelfStock_Log[Part Name],$A11,T_SelfStock_Log[WeekIndex],21))</f>
        <v/>
      </c>
      <c r="W11" s="19">
        <f>IF(COUNTIFS(T_SelfStock_Log[Part Name],$A11,T_SelfStock_Log[WeekIndex],22)=0,"",SUMIFS(T_SelfStock_Log[Self_Qty],T_SelfStock_Log[Part Name],$A11,T_SelfStock_Log[WeekIndex],22))</f>
        <v/>
      </c>
      <c r="X11" s="19">
        <f>IF(COUNTIFS(T_SelfStock_Log[Part Name],$A11,T_SelfStock_Log[WeekIndex],23)=0,"",SUMIFS(T_SelfStock_Log[Self_Qty],T_SelfStock_Log[Part Name],$A11,T_SelfStock_Log[WeekIndex],23))</f>
        <v/>
      </c>
      <c r="Y11" s="19">
        <f>IF(COUNTIFS(T_SelfStock_Log[Part Name],$A11,T_SelfStock_Log[WeekIndex],24)=0,"",SUMIFS(T_SelfStock_Log[Self_Qty],T_SelfStock_Log[Part Name],$A11,T_SelfStock_Log[WeekIndex],24))</f>
        <v/>
      </c>
      <c r="Z11" s="19">
        <f>IF(COUNTIFS(T_SelfStock_Log[Part Name],$A11,T_SelfStock_Log[WeekIndex],25)=0,"",SUMIFS(T_SelfStock_Log[Self_Qty],T_SelfStock_Log[Part Name],$A11,T_SelfStock_Log[WeekIndex],25))</f>
        <v/>
      </c>
      <c r="AA11" s="19">
        <f>IF(COUNTIFS(T_SelfStock_Log[Part Name],$A11,T_SelfStock_Log[WeekIndex],26)=0,"",SUMIFS(T_SelfStock_Log[Self_Qty],T_SelfStock_Log[Part Name],$A11,T_SelfStock_Log[WeekIndex],26))</f>
        <v/>
      </c>
      <c r="AB11" s="19">
        <f>IF(COUNTIFS(T_SelfStock_Log[Part Name],$A11,T_SelfStock_Log[WeekIndex],27)=0,"",SUMIFS(T_SelfStock_Log[Self_Qty],T_SelfStock_Log[Part Name],$A11,T_SelfStock_Log[WeekIndex],27))</f>
        <v/>
      </c>
      <c r="AC11" s="19">
        <f>IF(COUNTIFS(T_SelfStock_Log[Part Name],$A11,T_SelfStock_Log[WeekIndex],28)=0,"",SUMIFS(T_SelfStock_Log[Self_Qty],T_SelfStock_Log[Part Name],$A11,T_SelfStock_Log[WeekIndex],28))</f>
        <v/>
      </c>
      <c r="AD11" s="19">
        <f>IF(COUNTIFS(T_SelfStock_Log[Part Name],$A11,T_SelfStock_Log[WeekIndex],29)=0,"",SUMIFS(T_SelfStock_Log[Self_Qty],T_SelfStock_Log[Part Name],$A11,T_SelfStock_Log[WeekIndex],29))</f>
        <v/>
      </c>
      <c r="AE11" s="19">
        <f>IF(COUNTIFS(T_SelfStock_Log[Part Name],$A11,T_SelfStock_Log[WeekIndex],30)=0,"",SUMIFS(T_SelfStock_Log[Self_Qty],T_SelfStock_Log[Part Name],$A11,T_SelfStock_Log[WeekIndex],30))</f>
        <v/>
      </c>
      <c r="AF11" s="19">
        <f>IF(COUNTIFS(T_SelfStock_Log[Part Name],$A11,T_SelfStock_Log[WeekIndex],31)=0,"",SUMIFS(T_SelfStock_Log[Self_Qty],T_SelfStock_Log[Part Name],$A11,T_SelfStock_Log[WeekIndex],31))</f>
        <v/>
      </c>
      <c r="AG11" s="19">
        <f>IF(COUNTIFS(T_SelfStock_Log[Part Name],$A11,T_SelfStock_Log[WeekIndex],32)=0,"",SUMIFS(T_SelfStock_Log[Self_Qty],T_SelfStock_Log[Part Name],$A11,T_SelfStock_Log[WeekIndex],32))</f>
        <v/>
      </c>
      <c r="AH11" s="19">
        <f>IF(COUNTIFS(T_SelfStock_Log[Part Name],$A11,T_SelfStock_Log[WeekIndex],33)=0,"",SUMIFS(T_SelfStock_Log[Self_Qty],T_SelfStock_Log[Part Name],$A11,T_SelfStock_Log[WeekIndex],33))</f>
        <v/>
      </c>
      <c r="AI11" s="19">
        <f>IF(COUNTIFS(T_SelfStock_Log[Part Name],$A11,T_SelfStock_Log[WeekIndex],34)=0,"",SUMIFS(T_SelfStock_Log[Self_Qty],T_SelfStock_Log[Part Name],$A11,T_SelfStock_Log[WeekIndex],34))</f>
        <v/>
      </c>
      <c r="AJ11" s="19">
        <f>IF(COUNTIFS(T_SelfStock_Log[Part Name],$A11,T_SelfStock_Log[WeekIndex],35)=0,"",SUMIFS(T_SelfStock_Log[Self_Qty],T_SelfStock_Log[Part Name],$A11,T_SelfStock_Log[WeekIndex],35))</f>
        <v/>
      </c>
      <c r="AK11" s="19">
        <f>IF(COUNTIFS(T_SelfStock_Log[Part Name],$A11,T_SelfStock_Log[WeekIndex],36)=0,"",SUMIFS(T_SelfStock_Log[Self_Qty],T_SelfStock_Log[Part Name],$A11,T_SelfStock_Log[WeekIndex],36))</f>
        <v/>
      </c>
      <c r="AL11" s="19">
        <f>IF(COUNTIFS(T_SelfStock_Log[Part Name],$A11,T_SelfStock_Log[WeekIndex],37)=0,"",SUMIFS(T_SelfStock_Log[Self_Qty],T_SelfStock_Log[Part Name],$A11,T_SelfStock_Log[WeekIndex],37))</f>
        <v/>
      </c>
      <c r="AM11" s="19">
        <f>IF(COUNTIFS(T_SelfStock_Log[Part Name],$A11,T_SelfStock_Log[WeekIndex],38)=0,"",SUMIFS(T_SelfStock_Log[Self_Qty],T_SelfStock_Log[Part Name],$A11,T_SelfStock_Log[WeekIndex],38))</f>
        <v/>
      </c>
      <c r="AN11" s="19">
        <f>IF(COUNTIFS(T_SelfStock_Log[Part Name],$A11,T_SelfStock_Log[WeekIndex],39)=0,"",SUMIFS(T_SelfStock_Log[Self_Qty],T_SelfStock_Log[Part Name],$A11,T_SelfStock_Log[WeekIndex],39))</f>
        <v/>
      </c>
      <c r="AO11" s="19">
        <f>IF(COUNTIFS(T_SelfStock_Log[Part Name],$A11,T_SelfStock_Log[WeekIndex],40)=0,"",SUMIFS(T_SelfStock_Log[Self_Qty],T_SelfStock_Log[Part Name],$A11,T_SelfStock_Log[WeekIndex],40))</f>
        <v/>
      </c>
      <c r="AP11" s="19">
        <f>IF(COUNTIFS(T_SelfStock_Log[Part Name],$A11,T_SelfStock_Log[WeekIndex],41)=0,"",SUMIFS(T_SelfStock_Log[Self_Qty],T_SelfStock_Log[Part Name],$A11,T_SelfStock_Log[WeekIndex],41))</f>
        <v/>
      </c>
      <c r="AQ11" s="19">
        <f>IF(COUNTIFS(T_SelfStock_Log[Part Name],$A11,T_SelfStock_Log[WeekIndex],42)=0,"",SUMIFS(T_SelfStock_Log[Self_Qty],T_SelfStock_Log[Part Name],$A11,T_SelfStock_Log[WeekIndex],42))</f>
        <v/>
      </c>
      <c r="AR11" s="19">
        <f>IF(COUNTIFS(T_SelfStock_Log[Part Name],$A11,T_SelfStock_Log[WeekIndex],43)=0,"",SUMIFS(T_SelfStock_Log[Self_Qty],T_SelfStock_Log[Part Name],$A11,T_SelfStock_Log[WeekIndex],43))</f>
        <v/>
      </c>
      <c r="AS11" s="19">
        <f>IF(COUNTIFS(T_SelfStock_Log[Part Name],$A11,T_SelfStock_Log[WeekIndex],44)=0,"",SUMIFS(T_SelfStock_Log[Self_Qty],T_SelfStock_Log[Part Name],$A11,T_SelfStock_Log[WeekIndex],44))</f>
        <v/>
      </c>
      <c r="AT11" s="19">
        <f>IF(COUNTIFS(T_SelfStock_Log[Part Name],$A11,T_SelfStock_Log[WeekIndex],45)=0,"",SUMIFS(T_SelfStock_Log[Self_Qty],T_SelfStock_Log[Part Name],$A11,T_SelfStock_Log[WeekIndex],45))</f>
        <v/>
      </c>
      <c r="AU11" s="19">
        <f>IF(COUNTIFS(T_SelfStock_Log[Part Name],$A11,T_SelfStock_Log[WeekIndex],46)=0,"",SUMIFS(T_SelfStock_Log[Self_Qty],T_SelfStock_Log[Part Name],$A11,T_SelfStock_Log[WeekIndex],46))</f>
        <v/>
      </c>
      <c r="AV11" s="19">
        <f>IF(COUNTIFS(T_SelfStock_Log[Part Name],$A11,T_SelfStock_Log[WeekIndex],47)=0,"",SUMIFS(T_SelfStock_Log[Self_Qty],T_SelfStock_Log[Part Name],$A11,T_SelfStock_Log[WeekIndex],47))</f>
        <v/>
      </c>
      <c r="AW11" s="19">
        <f>IF(COUNTIFS(T_SelfStock_Log[Part Name],$A11,T_SelfStock_Log[WeekIndex],48)=0,"",SUMIFS(T_SelfStock_Log[Self_Qty],T_SelfStock_Log[Part Name],$A11,T_SelfStock_Log[WeekIndex],48))</f>
        <v/>
      </c>
      <c r="AX11" s="19">
        <f>IF(COUNTIFS(T_SelfStock_Log[Part Name],$A11,T_SelfStock_Log[WeekIndex],49)=0,"",SUMIFS(T_SelfStock_Log[Self_Qty],T_SelfStock_Log[Part Name],$A11,T_SelfStock_Log[WeekIndex],49))</f>
        <v/>
      </c>
      <c r="AY11" s="19">
        <f>IF(COUNTIFS(T_SelfStock_Log[Part Name],$A11,T_SelfStock_Log[WeekIndex],50)=0,"",SUMIFS(T_SelfStock_Log[Self_Qty],T_SelfStock_Log[Part Name],$A11,T_SelfStock_Log[WeekIndex],50))</f>
        <v/>
      </c>
      <c r="AZ11" s="19">
        <f>IF(COUNTIFS(T_SelfStock_Log[Part Name],$A11,T_SelfStock_Log[WeekIndex],51)=0,"",SUMIFS(T_SelfStock_Log[Self_Qty],T_SelfStock_Log[Part Name],$A11,T_SelfStock_Log[WeekIndex],51))</f>
        <v/>
      </c>
      <c r="BA11" s="19">
        <f>IF(COUNTIFS(T_SelfStock_Log[Part Name],$A11,T_SelfStock_Log[WeekIndex],52)=0,"",SUMIFS(T_SelfStock_Log[Self_Qty],T_SelfStock_Log[Part Name],$A11,T_SelfStock_Log[WeekIndex],52))</f>
        <v/>
      </c>
      <c r="BB11" s="19">
        <f>IF(COUNTIFS(T_SelfStock_Log[Part Name],$A11,T_SelfStock_Log[WeekIndex],53)=0,"",SUMIFS(T_SelfStock_Log[Self_Qty],T_SelfStock_Log[Part Name],$A11,T_SelfStock_Log[WeekIndex],53))</f>
        <v/>
      </c>
      <c r="BC11" s="19">
        <f>IF(COUNTIFS(T_SelfStock_Log[Part Name],$A11,T_SelfStock_Log[WeekIndex],54)=0,"",SUMIFS(T_SelfStock_Log[Self_Qty],T_SelfStock_Log[Part Name],$A11,T_SelfStock_Log[WeekIndex],54))</f>
        <v/>
      </c>
      <c r="BD11" s="19">
        <f>IF(COUNTIFS(T_SelfStock_Log[Part Name],$A11,T_SelfStock_Log[WeekIndex],55)=0,"",SUMIFS(T_SelfStock_Log[Self_Qty],T_SelfStock_Log[Part Name],$A11,T_SelfStock_Log[WeekIndex],55))</f>
        <v/>
      </c>
      <c r="BE11" s="19">
        <f>IF(COUNTIFS(T_SelfStock_Log[Part Name],$A11,T_SelfStock_Log[WeekIndex],56)=0,"",SUMIFS(T_SelfStock_Log[Self_Qty],T_SelfStock_Log[Part Name],$A11,T_SelfStock_Log[WeekIndex],56))</f>
        <v/>
      </c>
      <c r="BF11" s="19">
        <f>IF(COUNTIFS(T_SelfStock_Log[Part Name],$A11,T_SelfStock_Log[WeekIndex],57)=0,"",SUMIFS(T_SelfStock_Log[Self_Qty],T_SelfStock_Log[Part Name],$A11,T_SelfStock_Log[WeekIndex],57))</f>
        <v/>
      </c>
      <c r="BG11" s="19">
        <f>IF(COUNTIFS(T_SelfStock_Log[Part Name],$A11,T_SelfStock_Log[WeekIndex],58)=0,"",SUMIFS(T_SelfStock_Log[Self_Qty],T_SelfStock_Log[Part Name],$A11,T_SelfStock_Log[WeekIndex],58))</f>
        <v/>
      </c>
      <c r="BH11" s="19">
        <f>IF(COUNTIFS(T_SelfStock_Log[Part Name],$A11,T_SelfStock_Log[WeekIndex],59)=0,"",SUMIFS(T_SelfStock_Log[Self_Qty],T_SelfStock_Log[Part Name],$A11,T_SelfStock_Log[WeekIndex],59))</f>
        <v/>
      </c>
      <c r="BI11" s="19">
        <f>IF(COUNTIFS(T_SelfStock_Log[Part Name],$A11,T_SelfStock_Log[WeekIndex],60)=0,"",SUMIFS(T_SelfStock_Log[Self_Qty],T_SelfStock_Log[Part Name],$A11,T_SelfStock_Log[WeekIndex],60))</f>
        <v/>
      </c>
      <c r="BJ11" s="19">
        <f>IF(COUNTIFS(T_SelfStock_Log[Part Name],$A11,T_SelfStock_Log[WeekIndex],61)=0,"",SUMIFS(T_SelfStock_Log[Self_Qty],T_SelfStock_Log[Part Name],$A11,T_SelfStock_Log[WeekIndex],61))</f>
        <v/>
      </c>
      <c r="BK11" s="19">
        <f>IF(COUNTIFS(T_SelfStock_Log[Part Name],$A11,T_SelfStock_Log[WeekIndex],62)=0,"",SUMIFS(T_SelfStock_Log[Self_Qty],T_SelfStock_Log[Part Name],$A11,T_SelfStock_Log[WeekIndex],62))</f>
        <v/>
      </c>
      <c r="BL11" s="19">
        <f>IF(COUNTIFS(T_SelfStock_Log[Part Name],$A11,T_SelfStock_Log[WeekIndex],63)=0,"",SUMIFS(T_SelfStock_Log[Self_Qty],T_SelfStock_Log[Part Name],$A11,T_SelfStock_Log[WeekIndex],63))</f>
        <v/>
      </c>
      <c r="BM11" s="19">
        <f>IF(COUNTIFS(T_SelfStock_Log[Part Name],$A11,T_SelfStock_Log[WeekIndex],64)=0,"",SUMIFS(T_SelfStock_Log[Self_Qty],T_SelfStock_Log[Part Name],$A11,T_SelfStock_Log[WeekIndex],64))</f>
        <v/>
      </c>
      <c r="BN11" s="19">
        <f>IF(COUNTIFS(T_SelfStock_Log[Part Name],$A11,T_SelfStock_Log[WeekIndex],65)=0,"",SUMIFS(T_SelfStock_Log[Self_Qty],T_SelfStock_Log[Part Name],$A11,T_SelfStock_Log[WeekIndex],65))</f>
        <v/>
      </c>
      <c r="BO11" s="19">
        <f>IF(COUNTIFS(T_SelfStock_Log[Part Name],$A11,T_SelfStock_Log[WeekIndex],66)=0,"",SUMIFS(T_SelfStock_Log[Self_Qty],T_SelfStock_Log[Part Name],$A11,T_SelfStock_Log[WeekIndex],66))</f>
        <v/>
      </c>
      <c r="BP11" s="19">
        <f>IF(COUNTIFS(T_SelfStock_Log[Part Name],$A11,T_SelfStock_Log[WeekIndex],67)=0,"",SUMIFS(T_SelfStock_Log[Self_Qty],T_SelfStock_Log[Part Name],$A11,T_SelfStock_Log[WeekIndex],67))</f>
        <v/>
      </c>
      <c r="BQ11" s="19">
        <f>IF(COUNTIFS(T_SelfStock_Log[Part Name],$A11,T_SelfStock_Log[WeekIndex],68)=0,"",SUMIFS(T_SelfStock_Log[Self_Qty],T_SelfStock_Log[Part Name],$A11,T_SelfStock_Log[WeekIndex],68))</f>
        <v/>
      </c>
      <c r="BR11" s="19">
        <f>IF(COUNTIFS(T_SelfStock_Log[Part Name],$A11,T_SelfStock_Log[WeekIndex],69)=0,"",SUMIFS(T_SelfStock_Log[Self_Qty],T_SelfStock_Log[Part Name],$A11,T_SelfStock_Log[WeekIndex],69))</f>
        <v/>
      </c>
      <c r="BS11" s="19">
        <f>IF(COUNTIFS(T_SelfStock_Log[Part Name],$A11,T_SelfStock_Log[WeekIndex],70)=0,"",SUMIFS(T_SelfStock_Log[Self_Qty],T_SelfStock_Log[Part Name],$A11,T_SelfStock_Log[WeekIndex],70))</f>
        <v/>
      </c>
      <c r="BT11" s="19">
        <f>IF(COUNTIFS(T_SelfStock_Log[Part Name],$A11,T_SelfStock_Log[WeekIndex],71)=0,"",SUMIFS(T_SelfStock_Log[Self_Qty],T_SelfStock_Log[Part Name],$A11,T_SelfStock_Log[WeekIndex],71))</f>
        <v/>
      </c>
      <c r="BU11" s="19">
        <f>IF(COUNTIFS(T_SelfStock_Log[Part Name],$A11,T_SelfStock_Log[WeekIndex],72)=0,"",SUMIFS(T_SelfStock_Log[Self_Qty],T_SelfStock_Log[Part Name],$A11,T_SelfStock_Log[WeekIndex],72))</f>
        <v/>
      </c>
      <c r="BV11" s="19">
        <f>IF(COUNTIFS(T_SelfStock_Log[Part Name],$A11,T_SelfStock_Log[WeekIndex],73)=0,"",SUMIFS(T_SelfStock_Log[Self_Qty],T_SelfStock_Log[Part Name],$A11,T_SelfStock_Log[WeekIndex],73))</f>
        <v/>
      </c>
      <c r="BW11" s="19">
        <f>IF(COUNTIFS(T_SelfStock_Log[Part Name],$A11,T_SelfStock_Log[WeekIndex],74)=0,"",SUMIFS(T_SelfStock_Log[Self_Qty],T_SelfStock_Log[Part Name],$A11,T_SelfStock_Log[WeekIndex],74))</f>
        <v/>
      </c>
      <c r="BX11" s="19">
        <f>IF(COUNTIFS(T_SelfStock_Log[Part Name],$A11,T_SelfStock_Log[WeekIndex],75)=0,"",SUMIFS(T_SelfStock_Log[Self_Qty],T_SelfStock_Log[Part Name],$A11,T_SelfStock_Log[WeekIndex],75))</f>
        <v/>
      </c>
      <c r="BY11" s="19">
        <f>IF(COUNTIFS(T_SelfStock_Log[Part Name],$A11,T_SelfStock_Log[WeekIndex],76)=0,"",SUMIFS(T_SelfStock_Log[Self_Qty],T_SelfStock_Log[Part Name],$A11,T_SelfStock_Log[WeekIndex],76))</f>
        <v/>
      </c>
      <c r="BZ11" s="19">
        <f>IF(COUNTIFS(T_SelfStock_Log[Part Name],$A11,T_SelfStock_Log[WeekIndex],77)=0,"",SUMIFS(T_SelfStock_Log[Self_Qty],T_SelfStock_Log[Part Name],$A11,T_SelfStock_Log[WeekIndex],77))</f>
        <v/>
      </c>
      <c r="CA11" s="19">
        <f>IF(COUNTIFS(T_SelfStock_Log[Part Name],$A11,T_SelfStock_Log[WeekIndex],78)=0,"",SUMIFS(T_SelfStock_Log[Self_Qty],T_SelfStock_Log[Part Name],$A11,T_SelfStock_Log[WeekIndex],78))</f>
        <v/>
      </c>
      <c r="CB11" s="19">
        <f>IF(COUNTIFS(T_SelfStock_Log[Part Name],$A11,T_SelfStock_Log[WeekIndex],79)=0,"",SUMIFS(T_SelfStock_Log[Self_Qty],T_SelfStock_Log[Part Name],$A11,T_SelfStock_Log[WeekIndex],79))</f>
        <v/>
      </c>
      <c r="CC11" s="19">
        <f>IF(COUNTIFS(T_SelfStock_Log[Part Name],$A11,T_SelfStock_Log[WeekIndex],80)=0,"",SUMIFS(T_SelfStock_Log[Self_Qty],T_SelfStock_Log[Part Name],$A11,T_SelfStock_Log[WeekIndex],80))</f>
        <v/>
      </c>
      <c r="CD11" s="19">
        <f>IF(COUNTIFS(T_SelfStock_Log[Part Name],$A11,T_SelfStock_Log[WeekIndex],81)=0,"",SUMIFS(T_SelfStock_Log[Self_Qty],T_SelfStock_Log[Part Name],$A11,T_SelfStock_Log[WeekIndex],81))</f>
        <v/>
      </c>
      <c r="CE11" s="19">
        <f>IF(COUNTIFS(T_SelfStock_Log[Part Name],$A11,T_SelfStock_Log[WeekIndex],82)=0,"",SUMIFS(T_SelfStock_Log[Self_Qty],T_SelfStock_Log[Part Name],$A11,T_SelfStock_Log[WeekIndex],82))</f>
        <v/>
      </c>
      <c r="CF11" s="19">
        <f>IF(COUNTIFS(T_SelfStock_Log[Part Name],$A11,T_SelfStock_Log[WeekIndex],83)=0,"",SUMIFS(T_SelfStock_Log[Self_Qty],T_SelfStock_Log[Part Name],$A11,T_SelfStock_Log[WeekIndex],83))</f>
        <v/>
      </c>
      <c r="CG11" s="19">
        <f>IF(COUNTIFS(T_SelfStock_Log[Part Name],$A11,T_SelfStock_Log[WeekIndex],84)=0,"",SUMIFS(T_SelfStock_Log[Self_Qty],T_SelfStock_Log[Part Name],$A11,T_SelfStock_Log[WeekIndex],84))</f>
        <v/>
      </c>
      <c r="CH11" s="19">
        <f>IF(COUNTIFS(T_SelfStock_Log[Part Name],$A11,T_SelfStock_Log[WeekIndex],85)=0,"",SUMIFS(T_SelfStock_Log[Self_Qty],T_SelfStock_Log[Part Name],$A11,T_SelfStock_Log[WeekIndex],85))</f>
        <v/>
      </c>
      <c r="CI11" s="19">
        <f>IF(COUNTIFS(T_SelfStock_Log[Part Name],$A11,T_SelfStock_Log[WeekIndex],86)=0,"",SUMIFS(T_SelfStock_Log[Self_Qty],T_SelfStock_Log[Part Name],$A11,T_SelfStock_Log[WeekIndex],86))</f>
        <v/>
      </c>
      <c r="CJ11" s="19">
        <f>IF(COUNTIFS(T_SelfStock_Log[Part Name],$A11,T_SelfStock_Log[WeekIndex],87)=0,"",SUMIFS(T_SelfStock_Log[Self_Qty],T_SelfStock_Log[Part Name],$A11,T_SelfStock_Log[WeekIndex],87))</f>
        <v/>
      </c>
      <c r="CK11" s="19">
        <f>IF(COUNTIFS(T_SelfStock_Log[Part Name],$A11,T_SelfStock_Log[WeekIndex],88)=0,"",SUMIFS(T_SelfStock_Log[Self_Qty],T_SelfStock_Log[Part Name],$A11,T_SelfStock_Log[WeekIndex],88))</f>
        <v/>
      </c>
      <c r="CL11" s="19">
        <f>IF(COUNTIFS(T_SelfStock_Log[Part Name],$A11,T_SelfStock_Log[WeekIndex],89)=0,"",SUMIFS(T_SelfStock_Log[Self_Qty],T_SelfStock_Log[Part Name],$A11,T_SelfStock_Log[WeekIndex],89))</f>
        <v/>
      </c>
      <c r="CM11" s="19">
        <f>IF(COUNTIFS(T_SelfStock_Log[Part Name],$A11,T_SelfStock_Log[WeekIndex],90)=0,"",SUMIFS(T_SelfStock_Log[Self_Qty],T_SelfStock_Log[Part Name],$A11,T_SelfStock_Log[WeekIndex],90))</f>
        <v/>
      </c>
      <c r="CN11" s="19">
        <f>IF(COUNTIFS(T_SelfStock_Log[Part Name],$A11,T_SelfStock_Log[WeekIndex],91)=0,"",SUMIFS(T_SelfStock_Log[Self_Qty],T_SelfStock_Log[Part Name],$A11,T_SelfStock_Log[WeekIndex],91))</f>
        <v/>
      </c>
      <c r="CO11" s="19">
        <f>IF(COUNTIFS(T_SelfStock_Log[Part Name],$A11,T_SelfStock_Log[WeekIndex],92)=0,"",SUMIFS(T_SelfStock_Log[Self_Qty],T_SelfStock_Log[Part Name],$A11,T_SelfStock_Log[WeekIndex],92))</f>
        <v/>
      </c>
      <c r="CP11" s="19">
        <f>IF(COUNTIFS(T_SelfStock_Log[Part Name],$A11,T_SelfStock_Log[WeekIndex],93)=0,"",SUMIFS(T_SelfStock_Log[Self_Qty],T_SelfStock_Log[Part Name],$A11,T_SelfStock_Log[WeekIndex],93))</f>
        <v/>
      </c>
      <c r="CQ11" s="19">
        <f>IF(COUNTIFS(T_SelfStock_Log[Part Name],$A11,T_SelfStock_Log[WeekIndex],94)=0,"",SUMIFS(T_SelfStock_Log[Self_Qty],T_SelfStock_Log[Part Name],$A11,T_SelfStock_Log[WeekIndex],94))</f>
        <v/>
      </c>
      <c r="CR11" s="19">
        <f>IF(COUNTIFS(T_SelfStock_Log[Part Name],$A11,T_SelfStock_Log[WeekIndex],95)=0,"",SUMIFS(T_SelfStock_Log[Self_Qty],T_SelfStock_Log[Part Name],$A11,T_SelfStock_Log[WeekIndex],95))</f>
        <v/>
      </c>
      <c r="CS11" s="19">
        <f>IF(COUNTIFS(T_SelfStock_Log[Part Name],$A11,T_SelfStock_Log[WeekIndex],96)=0,"",SUMIFS(T_SelfStock_Log[Self_Qty],T_SelfStock_Log[Part Name],$A11,T_SelfStock_Log[WeekIndex],96))</f>
        <v/>
      </c>
      <c r="CT11" s="19">
        <f>IF(COUNTIFS(T_SelfStock_Log[Part Name],$A11,T_SelfStock_Log[WeekIndex],97)=0,"",SUMIFS(T_SelfStock_Log[Self_Qty],T_SelfStock_Log[Part Name],$A11,T_SelfStock_Log[WeekIndex],97))</f>
        <v/>
      </c>
      <c r="CU11" s="19">
        <f>IF(COUNTIFS(T_SelfStock_Log[Part Name],$A11,T_SelfStock_Log[WeekIndex],98)=0,"",SUMIFS(T_SelfStock_Log[Self_Qty],T_SelfStock_Log[Part Name],$A11,T_SelfStock_Log[WeekIndex],98))</f>
        <v/>
      </c>
      <c r="CV11" s="19">
        <f>IF(COUNTIFS(T_SelfStock_Log[Part Name],$A11,T_SelfStock_Log[WeekIndex],99)=0,"",SUMIFS(T_SelfStock_Log[Self_Qty],T_SelfStock_Log[Part Name],$A11,T_SelfStock_Log[WeekIndex],99))</f>
        <v/>
      </c>
      <c r="CW11" s="19">
        <f>IF(COUNTIFS(T_SelfStock_Log[Part Name],$A11,T_SelfStock_Log[WeekIndex],100)=0,"",SUMIFS(T_SelfStock_Log[Self_Qty],T_SelfStock_Log[Part Name],$A11,T_SelfStock_Log[WeekIndex],100))</f>
        <v/>
      </c>
      <c r="CX11" s="19">
        <f>IF(COUNTIFS(T_SelfStock_Log[Part Name],$A11,T_SelfStock_Log[WeekIndex],101)=0,"",SUMIFS(T_SelfStock_Log[Self_Qty],T_SelfStock_Log[Part Name],$A11,T_SelfStock_Log[WeekIndex],101))</f>
        <v/>
      </c>
      <c r="CY11" s="19">
        <f>IF(COUNTIFS(T_SelfStock_Log[Part Name],$A11,T_SelfStock_Log[WeekIndex],102)=0,"",SUMIFS(T_SelfStock_Log[Self_Qty],T_SelfStock_Log[Part Name],$A11,T_SelfStock_Log[WeekIndex],102))</f>
        <v/>
      </c>
      <c r="CZ11" s="19">
        <f>IF(COUNTIFS(T_SelfStock_Log[Part Name],$A11,T_SelfStock_Log[WeekIndex],103)=0,"",SUMIFS(T_SelfStock_Log[Self_Qty],T_SelfStock_Log[Part Name],$A11,T_SelfStock_Log[WeekIndex],103))</f>
        <v/>
      </c>
      <c r="DA11" s="19">
        <f>IF(COUNTIFS(T_SelfStock_Log[Part Name],$A11,T_SelfStock_Log[WeekIndex],104)=0,"",SUMIFS(T_SelfStock_Log[Self_Qty],T_SelfStock_Log[Part Name],$A11,T_SelfStock_Log[WeekIndex],104))</f>
        <v/>
      </c>
    </row>
    <row r="12">
      <c r="A12" s="17" t="inlineStr">
        <is>
          <t>TDJ</t>
        </is>
      </c>
      <c r="B12" s="17">
        <f>IF(COUNTIFS(T_SelfStock_Log[Part Name],$A12,T_SelfStock_Log[WeekIndex],1)=0,"",SUMIFS(T_SelfStock_Log[Self_Qty],T_SelfStock_Log[Part Name],$A12,T_SelfStock_Log[WeekIndex],1))</f>
        <v/>
      </c>
      <c r="C12" s="17">
        <f>IF(COUNTIFS(T_SelfStock_Log[Part Name],$A12,T_SelfStock_Log[WeekIndex],2)=0,"",SUMIFS(T_SelfStock_Log[Self_Qty],T_SelfStock_Log[Part Name],$A12,T_SelfStock_Log[WeekIndex],2))</f>
        <v/>
      </c>
      <c r="D12" s="17">
        <f>IF(COUNTIFS(T_SelfStock_Log[Part Name],$A12,T_SelfStock_Log[WeekIndex],3)=0,"",SUMIFS(T_SelfStock_Log[Self_Qty],T_SelfStock_Log[Part Name],$A12,T_SelfStock_Log[WeekIndex],3))</f>
        <v/>
      </c>
      <c r="E12" s="17">
        <f>IF(COUNTIFS(T_SelfStock_Log[Part Name],$A12,T_SelfStock_Log[WeekIndex],4)=0,"",SUMIFS(T_SelfStock_Log[Self_Qty],T_SelfStock_Log[Part Name],$A12,T_SelfStock_Log[WeekIndex],4))</f>
        <v/>
      </c>
      <c r="F12" s="17">
        <f>IF(COUNTIFS(T_SelfStock_Log[Part Name],$A12,T_SelfStock_Log[WeekIndex],5)=0,"",SUMIFS(T_SelfStock_Log[Self_Qty],T_SelfStock_Log[Part Name],$A12,T_SelfStock_Log[WeekIndex],5))</f>
        <v/>
      </c>
      <c r="G12" s="17">
        <f>IF(COUNTIFS(T_SelfStock_Log[Part Name],$A12,T_SelfStock_Log[WeekIndex],6)=0,"",SUMIFS(T_SelfStock_Log[Self_Qty],T_SelfStock_Log[Part Name],$A12,T_SelfStock_Log[WeekIndex],6))</f>
        <v/>
      </c>
      <c r="H12" s="17">
        <f>IF(COUNTIFS(T_SelfStock_Log[Part Name],$A12,T_SelfStock_Log[WeekIndex],7)=0,"",SUMIFS(T_SelfStock_Log[Self_Qty],T_SelfStock_Log[Part Name],$A12,T_SelfStock_Log[WeekIndex],7))</f>
        <v/>
      </c>
      <c r="I12" s="17">
        <f>IF(COUNTIFS(T_SelfStock_Log[Part Name],$A12,T_SelfStock_Log[WeekIndex],8)=0,"",SUMIFS(T_SelfStock_Log[Self_Qty],T_SelfStock_Log[Part Name],$A12,T_SelfStock_Log[WeekIndex],8))</f>
        <v/>
      </c>
      <c r="J12" s="17">
        <f>IF(COUNTIFS(T_SelfStock_Log[Part Name],$A12,T_SelfStock_Log[WeekIndex],9)=0,"",SUMIFS(T_SelfStock_Log[Self_Qty],T_SelfStock_Log[Part Name],$A12,T_SelfStock_Log[WeekIndex],9))</f>
        <v/>
      </c>
      <c r="K12" s="17">
        <f>IF(COUNTIFS(T_SelfStock_Log[Part Name],$A12,T_SelfStock_Log[WeekIndex],10)=0,"",SUMIFS(T_SelfStock_Log[Self_Qty],T_SelfStock_Log[Part Name],$A12,T_SelfStock_Log[WeekIndex],10))</f>
        <v/>
      </c>
      <c r="L12" s="17">
        <f>IF(COUNTIFS(T_SelfStock_Log[Part Name],$A12,T_SelfStock_Log[WeekIndex],11)=0,"",SUMIFS(T_SelfStock_Log[Self_Qty],T_SelfStock_Log[Part Name],$A12,T_SelfStock_Log[WeekIndex],11))</f>
        <v/>
      </c>
      <c r="M12" s="17">
        <f>IF(COUNTIFS(T_SelfStock_Log[Part Name],$A12,T_SelfStock_Log[WeekIndex],12)=0,"",SUMIFS(T_SelfStock_Log[Self_Qty],T_SelfStock_Log[Part Name],$A12,T_SelfStock_Log[WeekIndex],12))</f>
        <v/>
      </c>
      <c r="N12" s="17">
        <f>IF(COUNTIFS(T_SelfStock_Log[Part Name],$A12,T_SelfStock_Log[WeekIndex],13)=0,"",SUMIFS(T_SelfStock_Log[Self_Qty],T_SelfStock_Log[Part Name],$A12,T_SelfStock_Log[WeekIndex],13))</f>
        <v/>
      </c>
      <c r="O12" s="17">
        <f>IF(COUNTIFS(T_SelfStock_Log[Part Name],$A12,T_SelfStock_Log[WeekIndex],14)=0,"",SUMIFS(T_SelfStock_Log[Self_Qty],T_SelfStock_Log[Part Name],$A12,T_SelfStock_Log[WeekIndex],14))</f>
        <v/>
      </c>
      <c r="P12" s="17">
        <f>IF(COUNTIFS(T_SelfStock_Log[Part Name],$A12,T_SelfStock_Log[WeekIndex],15)=0,"",SUMIFS(T_SelfStock_Log[Self_Qty],T_SelfStock_Log[Part Name],$A12,T_SelfStock_Log[WeekIndex],15))</f>
        <v/>
      </c>
      <c r="Q12" s="17">
        <f>IF(COUNTIFS(T_SelfStock_Log[Part Name],$A12,T_SelfStock_Log[WeekIndex],16)=0,"",SUMIFS(T_SelfStock_Log[Self_Qty],T_SelfStock_Log[Part Name],$A12,T_SelfStock_Log[WeekIndex],16))</f>
        <v/>
      </c>
      <c r="R12" s="17">
        <f>IF(COUNTIFS(T_SelfStock_Log[Part Name],$A12,T_SelfStock_Log[WeekIndex],17)=0,"",SUMIFS(T_SelfStock_Log[Self_Qty],T_SelfStock_Log[Part Name],$A12,T_SelfStock_Log[WeekIndex],17))</f>
        <v/>
      </c>
      <c r="S12" s="17">
        <f>IF(COUNTIFS(T_SelfStock_Log[Part Name],$A12,T_SelfStock_Log[WeekIndex],18)=0,"",SUMIFS(T_SelfStock_Log[Self_Qty],T_SelfStock_Log[Part Name],$A12,T_SelfStock_Log[WeekIndex],18))</f>
        <v/>
      </c>
      <c r="T12" s="17">
        <f>IF(COUNTIFS(T_SelfStock_Log[Part Name],$A12,T_SelfStock_Log[WeekIndex],19)=0,"",SUMIFS(T_SelfStock_Log[Self_Qty],T_SelfStock_Log[Part Name],$A12,T_SelfStock_Log[WeekIndex],19))</f>
        <v/>
      </c>
      <c r="U12" s="17">
        <f>IF(COUNTIFS(T_SelfStock_Log[Part Name],$A12,T_SelfStock_Log[WeekIndex],20)=0,"",SUMIFS(T_SelfStock_Log[Self_Qty],T_SelfStock_Log[Part Name],$A12,T_SelfStock_Log[WeekIndex],20))</f>
        <v/>
      </c>
      <c r="V12" s="17">
        <f>IF(COUNTIFS(T_SelfStock_Log[Part Name],$A12,T_SelfStock_Log[WeekIndex],21)=0,"",SUMIFS(T_SelfStock_Log[Self_Qty],T_SelfStock_Log[Part Name],$A12,T_SelfStock_Log[WeekIndex],21))</f>
        <v/>
      </c>
      <c r="W12" s="17">
        <f>IF(COUNTIFS(T_SelfStock_Log[Part Name],$A12,T_SelfStock_Log[WeekIndex],22)=0,"",SUMIFS(T_SelfStock_Log[Self_Qty],T_SelfStock_Log[Part Name],$A12,T_SelfStock_Log[WeekIndex],22))</f>
        <v/>
      </c>
      <c r="X12" s="17">
        <f>IF(COUNTIFS(T_SelfStock_Log[Part Name],$A12,T_SelfStock_Log[WeekIndex],23)=0,"",SUMIFS(T_SelfStock_Log[Self_Qty],T_SelfStock_Log[Part Name],$A12,T_SelfStock_Log[WeekIndex],23))</f>
        <v/>
      </c>
      <c r="Y12" s="17">
        <f>IF(COUNTIFS(T_SelfStock_Log[Part Name],$A12,T_SelfStock_Log[WeekIndex],24)=0,"",SUMIFS(T_SelfStock_Log[Self_Qty],T_SelfStock_Log[Part Name],$A12,T_SelfStock_Log[WeekIndex],24))</f>
        <v/>
      </c>
      <c r="Z12" s="17">
        <f>IF(COUNTIFS(T_SelfStock_Log[Part Name],$A12,T_SelfStock_Log[WeekIndex],25)=0,"",SUMIFS(T_SelfStock_Log[Self_Qty],T_SelfStock_Log[Part Name],$A12,T_SelfStock_Log[WeekIndex],25))</f>
        <v/>
      </c>
      <c r="AA12" s="17">
        <f>IF(COUNTIFS(T_SelfStock_Log[Part Name],$A12,T_SelfStock_Log[WeekIndex],26)=0,"",SUMIFS(T_SelfStock_Log[Self_Qty],T_SelfStock_Log[Part Name],$A12,T_SelfStock_Log[WeekIndex],26))</f>
        <v/>
      </c>
      <c r="AB12" s="17">
        <f>IF(COUNTIFS(T_SelfStock_Log[Part Name],$A12,T_SelfStock_Log[WeekIndex],27)=0,"",SUMIFS(T_SelfStock_Log[Self_Qty],T_SelfStock_Log[Part Name],$A12,T_SelfStock_Log[WeekIndex],27))</f>
        <v/>
      </c>
      <c r="AC12" s="17">
        <f>IF(COUNTIFS(T_SelfStock_Log[Part Name],$A12,T_SelfStock_Log[WeekIndex],28)=0,"",SUMIFS(T_SelfStock_Log[Self_Qty],T_SelfStock_Log[Part Name],$A12,T_SelfStock_Log[WeekIndex],28))</f>
        <v/>
      </c>
      <c r="AD12" s="17">
        <f>IF(COUNTIFS(T_SelfStock_Log[Part Name],$A12,T_SelfStock_Log[WeekIndex],29)=0,"",SUMIFS(T_SelfStock_Log[Self_Qty],T_SelfStock_Log[Part Name],$A12,T_SelfStock_Log[WeekIndex],29))</f>
        <v/>
      </c>
      <c r="AE12" s="17">
        <f>IF(COUNTIFS(T_SelfStock_Log[Part Name],$A12,T_SelfStock_Log[WeekIndex],30)=0,"",SUMIFS(T_SelfStock_Log[Self_Qty],T_SelfStock_Log[Part Name],$A12,T_SelfStock_Log[WeekIndex],30))</f>
        <v/>
      </c>
      <c r="AF12" s="17">
        <f>IF(COUNTIFS(T_SelfStock_Log[Part Name],$A12,T_SelfStock_Log[WeekIndex],31)=0,"",SUMIFS(T_SelfStock_Log[Self_Qty],T_SelfStock_Log[Part Name],$A12,T_SelfStock_Log[WeekIndex],31))</f>
        <v/>
      </c>
      <c r="AG12" s="17">
        <f>IF(COUNTIFS(T_SelfStock_Log[Part Name],$A12,T_SelfStock_Log[WeekIndex],32)=0,"",SUMIFS(T_SelfStock_Log[Self_Qty],T_SelfStock_Log[Part Name],$A12,T_SelfStock_Log[WeekIndex],32))</f>
        <v/>
      </c>
      <c r="AH12" s="17">
        <f>IF(COUNTIFS(T_SelfStock_Log[Part Name],$A12,T_SelfStock_Log[WeekIndex],33)=0,"",SUMIFS(T_SelfStock_Log[Self_Qty],T_SelfStock_Log[Part Name],$A12,T_SelfStock_Log[WeekIndex],33))</f>
        <v/>
      </c>
      <c r="AI12" s="17">
        <f>IF(COUNTIFS(T_SelfStock_Log[Part Name],$A12,T_SelfStock_Log[WeekIndex],34)=0,"",SUMIFS(T_SelfStock_Log[Self_Qty],T_SelfStock_Log[Part Name],$A12,T_SelfStock_Log[WeekIndex],34))</f>
        <v/>
      </c>
      <c r="AJ12" s="17">
        <f>IF(COUNTIFS(T_SelfStock_Log[Part Name],$A12,T_SelfStock_Log[WeekIndex],35)=0,"",SUMIFS(T_SelfStock_Log[Self_Qty],T_SelfStock_Log[Part Name],$A12,T_SelfStock_Log[WeekIndex],35))</f>
        <v/>
      </c>
      <c r="AK12" s="17">
        <f>IF(COUNTIFS(T_SelfStock_Log[Part Name],$A12,T_SelfStock_Log[WeekIndex],36)=0,"",SUMIFS(T_SelfStock_Log[Self_Qty],T_SelfStock_Log[Part Name],$A12,T_SelfStock_Log[WeekIndex],36))</f>
        <v/>
      </c>
      <c r="AL12" s="17">
        <f>IF(COUNTIFS(T_SelfStock_Log[Part Name],$A12,T_SelfStock_Log[WeekIndex],37)=0,"",SUMIFS(T_SelfStock_Log[Self_Qty],T_SelfStock_Log[Part Name],$A12,T_SelfStock_Log[WeekIndex],37))</f>
        <v/>
      </c>
      <c r="AM12" s="17">
        <f>IF(COUNTIFS(T_SelfStock_Log[Part Name],$A12,T_SelfStock_Log[WeekIndex],38)=0,"",SUMIFS(T_SelfStock_Log[Self_Qty],T_SelfStock_Log[Part Name],$A12,T_SelfStock_Log[WeekIndex],38))</f>
        <v/>
      </c>
      <c r="AN12" s="17">
        <f>IF(COUNTIFS(T_SelfStock_Log[Part Name],$A12,T_SelfStock_Log[WeekIndex],39)=0,"",SUMIFS(T_SelfStock_Log[Self_Qty],T_SelfStock_Log[Part Name],$A12,T_SelfStock_Log[WeekIndex],39))</f>
        <v/>
      </c>
      <c r="AO12" s="17">
        <f>IF(COUNTIFS(T_SelfStock_Log[Part Name],$A12,T_SelfStock_Log[WeekIndex],40)=0,"",SUMIFS(T_SelfStock_Log[Self_Qty],T_SelfStock_Log[Part Name],$A12,T_SelfStock_Log[WeekIndex],40))</f>
        <v/>
      </c>
      <c r="AP12" s="17">
        <f>IF(COUNTIFS(T_SelfStock_Log[Part Name],$A12,T_SelfStock_Log[WeekIndex],41)=0,"",SUMIFS(T_SelfStock_Log[Self_Qty],T_SelfStock_Log[Part Name],$A12,T_SelfStock_Log[WeekIndex],41))</f>
        <v/>
      </c>
      <c r="AQ12" s="17">
        <f>IF(COUNTIFS(T_SelfStock_Log[Part Name],$A12,T_SelfStock_Log[WeekIndex],42)=0,"",SUMIFS(T_SelfStock_Log[Self_Qty],T_SelfStock_Log[Part Name],$A12,T_SelfStock_Log[WeekIndex],42))</f>
        <v/>
      </c>
      <c r="AR12" s="17">
        <f>IF(COUNTIFS(T_SelfStock_Log[Part Name],$A12,T_SelfStock_Log[WeekIndex],43)=0,"",SUMIFS(T_SelfStock_Log[Self_Qty],T_SelfStock_Log[Part Name],$A12,T_SelfStock_Log[WeekIndex],43))</f>
        <v/>
      </c>
      <c r="AS12" s="17">
        <f>IF(COUNTIFS(T_SelfStock_Log[Part Name],$A12,T_SelfStock_Log[WeekIndex],44)=0,"",SUMIFS(T_SelfStock_Log[Self_Qty],T_SelfStock_Log[Part Name],$A12,T_SelfStock_Log[WeekIndex],44))</f>
        <v/>
      </c>
      <c r="AT12" s="17">
        <f>IF(COUNTIFS(T_SelfStock_Log[Part Name],$A12,T_SelfStock_Log[WeekIndex],45)=0,"",SUMIFS(T_SelfStock_Log[Self_Qty],T_SelfStock_Log[Part Name],$A12,T_SelfStock_Log[WeekIndex],45))</f>
        <v/>
      </c>
      <c r="AU12" s="17">
        <f>IF(COUNTIFS(T_SelfStock_Log[Part Name],$A12,T_SelfStock_Log[WeekIndex],46)=0,"",SUMIFS(T_SelfStock_Log[Self_Qty],T_SelfStock_Log[Part Name],$A12,T_SelfStock_Log[WeekIndex],46))</f>
        <v/>
      </c>
      <c r="AV12" s="17">
        <f>IF(COUNTIFS(T_SelfStock_Log[Part Name],$A12,T_SelfStock_Log[WeekIndex],47)=0,"",SUMIFS(T_SelfStock_Log[Self_Qty],T_SelfStock_Log[Part Name],$A12,T_SelfStock_Log[WeekIndex],47))</f>
        <v/>
      </c>
      <c r="AW12" s="17">
        <f>IF(COUNTIFS(T_SelfStock_Log[Part Name],$A12,T_SelfStock_Log[WeekIndex],48)=0,"",SUMIFS(T_SelfStock_Log[Self_Qty],T_SelfStock_Log[Part Name],$A12,T_SelfStock_Log[WeekIndex],48))</f>
        <v/>
      </c>
      <c r="AX12" s="17">
        <f>IF(COUNTIFS(T_SelfStock_Log[Part Name],$A12,T_SelfStock_Log[WeekIndex],49)=0,"",SUMIFS(T_SelfStock_Log[Self_Qty],T_SelfStock_Log[Part Name],$A12,T_SelfStock_Log[WeekIndex],49))</f>
        <v/>
      </c>
      <c r="AY12" s="17">
        <f>IF(COUNTIFS(T_SelfStock_Log[Part Name],$A12,T_SelfStock_Log[WeekIndex],50)=0,"",SUMIFS(T_SelfStock_Log[Self_Qty],T_SelfStock_Log[Part Name],$A12,T_SelfStock_Log[WeekIndex],50))</f>
        <v/>
      </c>
      <c r="AZ12" s="17">
        <f>IF(COUNTIFS(T_SelfStock_Log[Part Name],$A12,T_SelfStock_Log[WeekIndex],51)=0,"",SUMIFS(T_SelfStock_Log[Self_Qty],T_SelfStock_Log[Part Name],$A12,T_SelfStock_Log[WeekIndex],51))</f>
        <v/>
      </c>
      <c r="BA12" s="17">
        <f>IF(COUNTIFS(T_SelfStock_Log[Part Name],$A12,T_SelfStock_Log[WeekIndex],52)=0,"",SUMIFS(T_SelfStock_Log[Self_Qty],T_SelfStock_Log[Part Name],$A12,T_SelfStock_Log[WeekIndex],52))</f>
        <v/>
      </c>
      <c r="BB12" s="17">
        <f>IF(COUNTIFS(T_SelfStock_Log[Part Name],$A12,T_SelfStock_Log[WeekIndex],53)=0,"",SUMIFS(T_SelfStock_Log[Self_Qty],T_SelfStock_Log[Part Name],$A12,T_SelfStock_Log[WeekIndex],53))</f>
        <v/>
      </c>
      <c r="BC12" s="17">
        <f>IF(COUNTIFS(T_SelfStock_Log[Part Name],$A12,T_SelfStock_Log[WeekIndex],54)=0,"",SUMIFS(T_SelfStock_Log[Self_Qty],T_SelfStock_Log[Part Name],$A12,T_SelfStock_Log[WeekIndex],54))</f>
        <v/>
      </c>
      <c r="BD12" s="17">
        <f>IF(COUNTIFS(T_SelfStock_Log[Part Name],$A12,T_SelfStock_Log[WeekIndex],55)=0,"",SUMIFS(T_SelfStock_Log[Self_Qty],T_SelfStock_Log[Part Name],$A12,T_SelfStock_Log[WeekIndex],55))</f>
        <v/>
      </c>
      <c r="BE12" s="17">
        <f>IF(COUNTIFS(T_SelfStock_Log[Part Name],$A12,T_SelfStock_Log[WeekIndex],56)=0,"",SUMIFS(T_SelfStock_Log[Self_Qty],T_SelfStock_Log[Part Name],$A12,T_SelfStock_Log[WeekIndex],56))</f>
        <v/>
      </c>
      <c r="BF12" s="17">
        <f>IF(COUNTIFS(T_SelfStock_Log[Part Name],$A12,T_SelfStock_Log[WeekIndex],57)=0,"",SUMIFS(T_SelfStock_Log[Self_Qty],T_SelfStock_Log[Part Name],$A12,T_SelfStock_Log[WeekIndex],57))</f>
        <v/>
      </c>
      <c r="BG12" s="17">
        <f>IF(COUNTIFS(T_SelfStock_Log[Part Name],$A12,T_SelfStock_Log[WeekIndex],58)=0,"",SUMIFS(T_SelfStock_Log[Self_Qty],T_SelfStock_Log[Part Name],$A12,T_SelfStock_Log[WeekIndex],58))</f>
        <v/>
      </c>
      <c r="BH12" s="17">
        <f>IF(COUNTIFS(T_SelfStock_Log[Part Name],$A12,T_SelfStock_Log[WeekIndex],59)=0,"",SUMIFS(T_SelfStock_Log[Self_Qty],T_SelfStock_Log[Part Name],$A12,T_SelfStock_Log[WeekIndex],59))</f>
        <v/>
      </c>
      <c r="BI12" s="17">
        <f>IF(COUNTIFS(T_SelfStock_Log[Part Name],$A12,T_SelfStock_Log[WeekIndex],60)=0,"",SUMIFS(T_SelfStock_Log[Self_Qty],T_SelfStock_Log[Part Name],$A12,T_SelfStock_Log[WeekIndex],60))</f>
        <v/>
      </c>
      <c r="BJ12" s="17">
        <f>IF(COUNTIFS(T_SelfStock_Log[Part Name],$A12,T_SelfStock_Log[WeekIndex],61)=0,"",SUMIFS(T_SelfStock_Log[Self_Qty],T_SelfStock_Log[Part Name],$A12,T_SelfStock_Log[WeekIndex],61))</f>
        <v/>
      </c>
      <c r="BK12" s="17">
        <f>IF(COUNTIFS(T_SelfStock_Log[Part Name],$A12,T_SelfStock_Log[WeekIndex],62)=0,"",SUMIFS(T_SelfStock_Log[Self_Qty],T_SelfStock_Log[Part Name],$A12,T_SelfStock_Log[WeekIndex],62))</f>
        <v/>
      </c>
      <c r="BL12" s="17">
        <f>IF(COUNTIFS(T_SelfStock_Log[Part Name],$A12,T_SelfStock_Log[WeekIndex],63)=0,"",SUMIFS(T_SelfStock_Log[Self_Qty],T_SelfStock_Log[Part Name],$A12,T_SelfStock_Log[WeekIndex],63))</f>
        <v/>
      </c>
      <c r="BM12" s="17">
        <f>IF(COUNTIFS(T_SelfStock_Log[Part Name],$A12,T_SelfStock_Log[WeekIndex],64)=0,"",SUMIFS(T_SelfStock_Log[Self_Qty],T_SelfStock_Log[Part Name],$A12,T_SelfStock_Log[WeekIndex],64))</f>
        <v/>
      </c>
      <c r="BN12" s="17">
        <f>IF(COUNTIFS(T_SelfStock_Log[Part Name],$A12,T_SelfStock_Log[WeekIndex],65)=0,"",SUMIFS(T_SelfStock_Log[Self_Qty],T_SelfStock_Log[Part Name],$A12,T_SelfStock_Log[WeekIndex],65))</f>
        <v/>
      </c>
      <c r="BO12" s="17">
        <f>IF(COUNTIFS(T_SelfStock_Log[Part Name],$A12,T_SelfStock_Log[WeekIndex],66)=0,"",SUMIFS(T_SelfStock_Log[Self_Qty],T_SelfStock_Log[Part Name],$A12,T_SelfStock_Log[WeekIndex],66))</f>
        <v/>
      </c>
      <c r="BP12" s="17">
        <f>IF(COUNTIFS(T_SelfStock_Log[Part Name],$A12,T_SelfStock_Log[WeekIndex],67)=0,"",SUMIFS(T_SelfStock_Log[Self_Qty],T_SelfStock_Log[Part Name],$A12,T_SelfStock_Log[WeekIndex],67))</f>
        <v/>
      </c>
      <c r="BQ12" s="17">
        <f>IF(COUNTIFS(T_SelfStock_Log[Part Name],$A12,T_SelfStock_Log[WeekIndex],68)=0,"",SUMIFS(T_SelfStock_Log[Self_Qty],T_SelfStock_Log[Part Name],$A12,T_SelfStock_Log[WeekIndex],68))</f>
        <v/>
      </c>
      <c r="BR12" s="17">
        <f>IF(COUNTIFS(T_SelfStock_Log[Part Name],$A12,T_SelfStock_Log[WeekIndex],69)=0,"",SUMIFS(T_SelfStock_Log[Self_Qty],T_SelfStock_Log[Part Name],$A12,T_SelfStock_Log[WeekIndex],69))</f>
        <v/>
      </c>
      <c r="BS12" s="17">
        <f>IF(COUNTIFS(T_SelfStock_Log[Part Name],$A12,T_SelfStock_Log[WeekIndex],70)=0,"",SUMIFS(T_SelfStock_Log[Self_Qty],T_SelfStock_Log[Part Name],$A12,T_SelfStock_Log[WeekIndex],70))</f>
        <v/>
      </c>
      <c r="BT12" s="17">
        <f>IF(COUNTIFS(T_SelfStock_Log[Part Name],$A12,T_SelfStock_Log[WeekIndex],71)=0,"",SUMIFS(T_SelfStock_Log[Self_Qty],T_SelfStock_Log[Part Name],$A12,T_SelfStock_Log[WeekIndex],71))</f>
        <v/>
      </c>
      <c r="BU12" s="17">
        <f>IF(COUNTIFS(T_SelfStock_Log[Part Name],$A12,T_SelfStock_Log[WeekIndex],72)=0,"",SUMIFS(T_SelfStock_Log[Self_Qty],T_SelfStock_Log[Part Name],$A12,T_SelfStock_Log[WeekIndex],72))</f>
        <v/>
      </c>
      <c r="BV12" s="17">
        <f>IF(COUNTIFS(T_SelfStock_Log[Part Name],$A12,T_SelfStock_Log[WeekIndex],73)=0,"",SUMIFS(T_SelfStock_Log[Self_Qty],T_SelfStock_Log[Part Name],$A12,T_SelfStock_Log[WeekIndex],73))</f>
        <v/>
      </c>
      <c r="BW12" s="17">
        <f>IF(COUNTIFS(T_SelfStock_Log[Part Name],$A12,T_SelfStock_Log[WeekIndex],74)=0,"",SUMIFS(T_SelfStock_Log[Self_Qty],T_SelfStock_Log[Part Name],$A12,T_SelfStock_Log[WeekIndex],74))</f>
        <v/>
      </c>
      <c r="BX12" s="17">
        <f>IF(COUNTIFS(T_SelfStock_Log[Part Name],$A12,T_SelfStock_Log[WeekIndex],75)=0,"",SUMIFS(T_SelfStock_Log[Self_Qty],T_SelfStock_Log[Part Name],$A12,T_SelfStock_Log[WeekIndex],75))</f>
        <v/>
      </c>
      <c r="BY12" s="17">
        <f>IF(COUNTIFS(T_SelfStock_Log[Part Name],$A12,T_SelfStock_Log[WeekIndex],76)=0,"",SUMIFS(T_SelfStock_Log[Self_Qty],T_SelfStock_Log[Part Name],$A12,T_SelfStock_Log[WeekIndex],76))</f>
        <v/>
      </c>
      <c r="BZ12" s="17">
        <f>IF(COUNTIFS(T_SelfStock_Log[Part Name],$A12,T_SelfStock_Log[WeekIndex],77)=0,"",SUMIFS(T_SelfStock_Log[Self_Qty],T_SelfStock_Log[Part Name],$A12,T_SelfStock_Log[WeekIndex],77))</f>
        <v/>
      </c>
      <c r="CA12" s="17">
        <f>IF(COUNTIFS(T_SelfStock_Log[Part Name],$A12,T_SelfStock_Log[WeekIndex],78)=0,"",SUMIFS(T_SelfStock_Log[Self_Qty],T_SelfStock_Log[Part Name],$A12,T_SelfStock_Log[WeekIndex],78))</f>
        <v/>
      </c>
      <c r="CB12" s="17">
        <f>IF(COUNTIFS(T_SelfStock_Log[Part Name],$A12,T_SelfStock_Log[WeekIndex],79)=0,"",SUMIFS(T_SelfStock_Log[Self_Qty],T_SelfStock_Log[Part Name],$A12,T_SelfStock_Log[WeekIndex],79))</f>
        <v/>
      </c>
      <c r="CC12" s="17">
        <f>IF(COUNTIFS(T_SelfStock_Log[Part Name],$A12,T_SelfStock_Log[WeekIndex],80)=0,"",SUMIFS(T_SelfStock_Log[Self_Qty],T_SelfStock_Log[Part Name],$A12,T_SelfStock_Log[WeekIndex],80))</f>
        <v/>
      </c>
      <c r="CD12" s="17">
        <f>IF(COUNTIFS(T_SelfStock_Log[Part Name],$A12,T_SelfStock_Log[WeekIndex],81)=0,"",SUMIFS(T_SelfStock_Log[Self_Qty],T_SelfStock_Log[Part Name],$A12,T_SelfStock_Log[WeekIndex],81))</f>
        <v/>
      </c>
      <c r="CE12" s="17">
        <f>IF(COUNTIFS(T_SelfStock_Log[Part Name],$A12,T_SelfStock_Log[WeekIndex],82)=0,"",SUMIFS(T_SelfStock_Log[Self_Qty],T_SelfStock_Log[Part Name],$A12,T_SelfStock_Log[WeekIndex],82))</f>
        <v/>
      </c>
      <c r="CF12" s="17">
        <f>IF(COUNTIFS(T_SelfStock_Log[Part Name],$A12,T_SelfStock_Log[WeekIndex],83)=0,"",SUMIFS(T_SelfStock_Log[Self_Qty],T_SelfStock_Log[Part Name],$A12,T_SelfStock_Log[WeekIndex],83))</f>
        <v/>
      </c>
      <c r="CG12" s="17">
        <f>IF(COUNTIFS(T_SelfStock_Log[Part Name],$A12,T_SelfStock_Log[WeekIndex],84)=0,"",SUMIFS(T_SelfStock_Log[Self_Qty],T_SelfStock_Log[Part Name],$A12,T_SelfStock_Log[WeekIndex],84))</f>
        <v/>
      </c>
      <c r="CH12" s="17">
        <f>IF(COUNTIFS(T_SelfStock_Log[Part Name],$A12,T_SelfStock_Log[WeekIndex],85)=0,"",SUMIFS(T_SelfStock_Log[Self_Qty],T_SelfStock_Log[Part Name],$A12,T_SelfStock_Log[WeekIndex],85))</f>
        <v/>
      </c>
      <c r="CI12" s="17">
        <f>IF(COUNTIFS(T_SelfStock_Log[Part Name],$A12,T_SelfStock_Log[WeekIndex],86)=0,"",SUMIFS(T_SelfStock_Log[Self_Qty],T_SelfStock_Log[Part Name],$A12,T_SelfStock_Log[WeekIndex],86))</f>
        <v/>
      </c>
      <c r="CJ12" s="17">
        <f>IF(COUNTIFS(T_SelfStock_Log[Part Name],$A12,T_SelfStock_Log[WeekIndex],87)=0,"",SUMIFS(T_SelfStock_Log[Self_Qty],T_SelfStock_Log[Part Name],$A12,T_SelfStock_Log[WeekIndex],87))</f>
        <v/>
      </c>
      <c r="CK12" s="17">
        <f>IF(COUNTIFS(T_SelfStock_Log[Part Name],$A12,T_SelfStock_Log[WeekIndex],88)=0,"",SUMIFS(T_SelfStock_Log[Self_Qty],T_SelfStock_Log[Part Name],$A12,T_SelfStock_Log[WeekIndex],88))</f>
        <v/>
      </c>
      <c r="CL12" s="17">
        <f>IF(COUNTIFS(T_SelfStock_Log[Part Name],$A12,T_SelfStock_Log[WeekIndex],89)=0,"",SUMIFS(T_SelfStock_Log[Self_Qty],T_SelfStock_Log[Part Name],$A12,T_SelfStock_Log[WeekIndex],89))</f>
        <v/>
      </c>
      <c r="CM12" s="17">
        <f>IF(COUNTIFS(T_SelfStock_Log[Part Name],$A12,T_SelfStock_Log[WeekIndex],90)=0,"",SUMIFS(T_SelfStock_Log[Self_Qty],T_SelfStock_Log[Part Name],$A12,T_SelfStock_Log[WeekIndex],90))</f>
        <v/>
      </c>
      <c r="CN12" s="17">
        <f>IF(COUNTIFS(T_SelfStock_Log[Part Name],$A12,T_SelfStock_Log[WeekIndex],91)=0,"",SUMIFS(T_SelfStock_Log[Self_Qty],T_SelfStock_Log[Part Name],$A12,T_SelfStock_Log[WeekIndex],91))</f>
        <v/>
      </c>
      <c r="CO12" s="17">
        <f>IF(COUNTIFS(T_SelfStock_Log[Part Name],$A12,T_SelfStock_Log[WeekIndex],92)=0,"",SUMIFS(T_SelfStock_Log[Self_Qty],T_SelfStock_Log[Part Name],$A12,T_SelfStock_Log[WeekIndex],92))</f>
        <v/>
      </c>
      <c r="CP12" s="17">
        <f>IF(COUNTIFS(T_SelfStock_Log[Part Name],$A12,T_SelfStock_Log[WeekIndex],93)=0,"",SUMIFS(T_SelfStock_Log[Self_Qty],T_SelfStock_Log[Part Name],$A12,T_SelfStock_Log[WeekIndex],93))</f>
        <v/>
      </c>
      <c r="CQ12" s="17">
        <f>IF(COUNTIFS(T_SelfStock_Log[Part Name],$A12,T_SelfStock_Log[WeekIndex],94)=0,"",SUMIFS(T_SelfStock_Log[Self_Qty],T_SelfStock_Log[Part Name],$A12,T_SelfStock_Log[WeekIndex],94))</f>
        <v/>
      </c>
      <c r="CR12" s="17">
        <f>IF(COUNTIFS(T_SelfStock_Log[Part Name],$A12,T_SelfStock_Log[WeekIndex],95)=0,"",SUMIFS(T_SelfStock_Log[Self_Qty],T_SelfStock_Log[Part Name],$A12,T_SelfStock_Log[WeekIndex],95))</f>
        <v/>
      </c>
      <c r="CS12" s="17">
        <f>IF(COUNTIFS(T_SelfStock_Log[Part Name],$A12,T_SelfStock_Log[WeekIndex],96)=0,"",SUMIFS(T_SelfStock_Log[Self_Qty],T_SelfStock_Log[Part Name],$A12,T_SelfStock_Log[WeekIndex],96))</f>
        <v/>
      </c>
      <c r="CT12" s="17">
        <f>IF(COUNTIFS(T_SelfStock_Log[Part Name],$A12,T_SelfStock_Log[WeekIndex],97)=0,"",SUMIFS(T_SelfStock_Log[Self_Qty],T_SelfStock_Log[Part Name],$A12,T_SelfStock_Log[WeekIndex],97))</f>
        <v/>
      </c>
      <c r="CU12" s="17">
        <f>IF(COUNTIFS(T_SelfStock_Log[Part Name],$A12,T_SelfStock_Log[WeekIndex],98)=0,"",SUMIFS(T_SelfStock_Log[Self_Qty],T_SelfStock_Log[Part Name],$A12,T_SelfStock_Log[WeekIndex],98))</f>
        <v/>
      </c>
      <c r="CV12" s="17">
        <f>IF(COUNTIFS(T_SelfStock_Log[Part Name],$A12,T_SelfStock_Log[WeekIndex],99)=0,"",SUMIFS(T_SelfStock_Log[Self_Qty],T_SelfStock_Log[Part Name],$A12,T_SelfStock_Log[WeekIndex],99))</f>
        <v/>
      </c>
      <c r="CW12" s="17">
        <f>IF(COUNTIFS(T_SelfStock_Log[Part Name],$A12,T_SelfStock_Log[WeekIndex],100)=0,"",SUMIFS(T_SelfStock_Log[Self_Qty],T_SelfStock_Log[Part Name],$A12,T_SelfStock_Log[WeekIndex],100))</f>
        <v/>
      </c>
      <c r="CX12" s="17">
        <f>IF(COUNTIFS(T_SelfStock_Log[Part Name],$A12,T_SelfStock_Log[WeekIndex],101)=0,"",SUMIFS(T_SelfStock_Log[Self_Qty],T_SelfStock_Log[Part Name],$A12,T_SelfStock_Log[WeekIndex],101))</f>
        <v/>
      </c>
      <c r="CY12" s="17">
        <f>IF(COUNTIFS(T_SelfStock_Log[Part Name],$A12,T_SelfStock_Log[WeekIndex],102)=0,"",SUMIFS(T_SelfStock_Log[Self_Qty],T_SelfStock_Log[Part Name],$A12,T_SelfStock_Log[WeekIndex],102))</f>
        <v/>
      </c>
      <c r="CZ12" s="17">
        <f>IF(COUNTIFS(T_SelfStock_Log[Part Name],$A12,T_SelfStock_Log[WeekIndex],103)=0,"",SUMIFS(T_SelfStock_Log[Self_Qty],T_SelfStock_Log[Part Name],$A12,T_SelfStock_Log[WeekIndex],103))</f>
        <v/>
      </c>
      <c r="DA12" s="17">
        <f>IF(COUNTIFS(T_SelfStock_Log[Part Name],$A12,T_SelfStock_Log[WeekIndex],104)=0,"",SUMIFS(T_SelfStock_Log[Self_Qty],T_SelfStock_Log[Part Name],$A12,T_SelfStock_Log[WeekIndex],104))</f>
        <v/>
      </c>
    </row>
    <row r="13">
      <c r="A13" s="19" t="inlineStr">
        <is>
          <t>3TP</t>
        </is>
      </c>
      <c r="B13" s="19">
        <f>IF(COUNTIFS(T_SelfStock_Log[Part Name],$A13,T_SelfStock_Log[WeekIndex],1)=0,"",SUMIFS(T_SelfStock_Log[Self_Qty],T_SelfStock_Log[Part Name],$A13,T_SelfStock_Log[WeekIndex],1))</f>
        <v/>
      </c>
      <c r="C13" s="19">
        <f>IF(COUNTIFS(T_SelfStock_Log[Part Name],$A13,T_SelfStock_Log[WeekIndex],2)=0,"",SUMIFS(T_SelfStock_Log[Self_Qty],T_SelfStock_Log[Part Name],$A13,T_SelfStock_Log[WeekIndex],2))</f>
        <v/>
      </c>
      <c r="D13" s="19">
        <f>IF(COUNTIFS(T_SelfStock_Log[Part Name],$A13,T_SelfStock_Log[WeekIndex],3)=0,"",SUMIFS(T_SelfStock_Log[Self_Qty],T_SelfStock_Log[Part Name],$A13,T_SelfStock_Log[WeekIndex],3))</f>
        <v/>
      </c>
      <c r="E13" s="19">
        <f>IF(COUNTIFS(T_SelfStock_Log[Part Name],$A13,T_SelfStock_Log[WeekIndex],4)=0,"",SUMIFS(T_SelfStock_Log[Self_Qty],T_SelfStock_Log[Part Name],$A13,T_SelfStock_Log[WeekIndex],4))</f>
        <v/>
      </c>
      <c r="F13" s="19">
        <f>IF(COUNTIFS(T_SelfStock_Log[Part Name],$A13,T_SelfStock_Log[WeekIndex],5)=0,"",SUMIFS(T_SelfStock_Log[Self_Qty],T_SelfStock_Log[Part Name],$A13,T_SelfStock_Log[WeekIndex],5))</f>
        <v/>
      </c>
      <c r="G13" s="19">
        <f>IF(COUNTIFS(T_SelfStock_Log[Part Name],$A13,T_SelfStock_Log[WeekIndex],6)=0,"",SUMIFS(T_SelfStock_Log[Self_Qty],T_SelfStock_Log[Part Name],$A13,T_SelfStock_Log[WeekIndex],6))</f>
        <v/>
      </c>
      <c r="H13" s="19">
        <f>IF(COUNTIFS(T_SelfStock_Log[Part Name],$A13,T_SelfStock_Log[WeekIndex],7)=0,"",SUMIFS(T_SelfStock_Log[Self_Qty],T_SelfStock_Log[Part Name],$A13,T_SelfStock_Log[WeekIndex],7))</f>
        <v/>
      </c>
      <c r="I13" s="19">
        <f>IF(COUNTIFS(T_SelfStock_Log[Part Name],$A13,T_SelfStock_Log[WeekIndex],8)=0,"",SUMIFS(T_SelfStock_Log[Self_Qty],T_SelfStock_Log[Part Name],$A13,T_SelfStock_Log[WeekIndex],8))</f>
        <v/>
      </c>
      <c r="J13" s="19">
        <f>IF(COUNTIFS(T_SelfStock_Log[Part Name],$A13,T_SelfStock_Log[WeekIndex],9)=0,"",SUMIFS(T_SelfStock_Log[Self_Qty],T_SelfStock_Log[Part Name],$A13,T_SelfStock_Log[WeekIndex],9))</f>
        <v/>
      </c>
      <c r="K13" s="19">
        <f>IF(COUNTIFS(T_SelfStock_Log[Part Name],$A13,T_SelfStock_Log[WeekIndex],10)=0,"",SUMIFS(T_SelfStock_Log[Self_Qty],T_SelfStock_Log[Part Name],$A13,T_SelfStock_Log[WeekIndex],10))</f>
        <v/>
      </c>
      <c r="L13" s="19">
        <f>IF(COUNTIFS(T_SelfStock_Log[Part Name],$A13,T_SelfStock_Log[WeekIndex],11)=0,"",SUMIFS(T_SelfStock_Log[Self_Qty],T_SelfStock_Log[Part Name],$A13,T_SelfStock_Log[WeekIndex],11))</f>
        <v/>
      </c>
      <c r="M13" s="19">
        <f>IF(COUNTIFS(T_SelfStock_Log[Part Name],$A13,T_SelfStock_Log[WeekIndex],12)=0,"",SUMIFS(T_SelfStock_Log[Self_Qty],T_SelfStock_Log[Part Name],$A13,T_SelfStock_Log[WeekIndex],12))</f>
        <v/>
      </c>
      <c r="N13" s="19">
        <f>IF(COUNTIFS(T_SelfStock_Log[Part Name],$A13,T_SelfStock_Log[WeekIndex],13)=0,"",SUMIFS(T_SelfStock_Log[Self_Qty],T_SelfStock_Log[Part Name],$A13,T_SelfStock_Log[WeekIndex],13))</f>
        <v/>
      </c>
      <c r="O13" s="19">
        <f>IF(COUNTIFS(T_SelfStock_Log[Part Name],$A13,T_SelfStock_Log[WeekIndex],14)=0,"",SUMIFS(T_SelfStock_Log[Self_Qty],T_SelfStock_Log[Part Name],$A13,T_SelfStock_Log[WeekIndex],14))</f>
        <v/>
      </c>
      <c r="P13" s="19">
        <f>IF(COUNTIFS(T_SelfStock_Log[Part Name],$A13,T_SelfStock_Log[WeekIndex],15)=0,"",SUMIFS(T_SelfStock_Log[Self_Qty],T_SelfStock_Log[Part Name],$A13,T_SelfStock_Log[WeekIndex],15))</f>
        <v/>
      </c>
      <c r="Q13" s="19">
        <f>IF(COUNTIFS(T_SelfStock_Log[Part Name],$A13,T_SelfStock_Log[WeekIndex],16)=0,"",SUMIFS(T_SelfStock_Log[Self_Qty],T_SelfStock_Log[Part Name],$A13,T_SelfStock_Log[WeekIndex],16))</f>
        <v/>
      </c>
      <c r="R13" s="19">
        <f>IF(COUNTIFS(T_SelfStock_Log[Part Name],$A13,T_SelfStock_Log[WeekIndex],17)=0,"",SUMIFS(T_SelfStock_Log[Self_Qty],T_SelfStock_Log[Part Name],$A13,T_SelfStock_Log[WeekIndex],17))</f>
        <v/>
      </c>
      <c r="S13" s="19">
        <f>IF(COUNTIFS(T_SelfStock_Log[Part Name],$A13,T_SelfStock_Log[WeekIndex],18)=0,"",SUMIFS(T_SelfStock_Log[Self_Qty],T_SelfStock_Log[Part Name],$A13,T_SelfStock_Log[WeekIndex],18))</f>
        <v/>
      </c>
      <c r="T13" s="19">
        <f>IF(COUNTIFS(T_SelfStock_Log[Part Name],$A13,T_SelfStock_Log[WeekIndex],19)=0,"",SUMIFS(T_SelfStock_Log[Self_Qty],T_SelfStock_Log[Part Name],$A13,T_SelfStock_Log[WeekIndex],19))</f>
        <v/>
      </c>
      <c r="U13" s="19">
        <f>IF(COUNTIFS(T_SelfStock_Log[Part Name],$A13,T_SelfStock_Log[WeekIndex],20)=0,"",SUMIFS(T_SelfStock_Log[Self_Qty],T_SelfStock_Log[Part Name],$A13,T_SelfStock_Log[WeekIndex],20))</f>
        <v/>
      </c>
      <c r="V13" s="19">
        <f>IF(COUNTIFS(T_SelfStock_Log[Part Name],$A13,T_SelfStock_Log[WeekIndex],21)=0,"",SUMIFS(T_SelfStock_Log[Self_Qty],T_SelfStock_Log[Part Name],$A13,T_SelfStock_Log[WeekIndex],21))</f>
        <v/>
      </c>
      <c r="W13" s="19">
        <f>IF(COUNTIFS(T_SelfStock_Log[Part Name],$A13,T_SelfStock_Log[WeekIndex],22)=0,"",SUMIFS(T_SelfStock_Log[Self_Qty],T_SelfStock_Log[Part Name],$A13,T_SelfStock_Log[WeekIndex],22))</f>
        <v/>
      </c>
      <c r="X13" s="19">
        <f>IF(COUNTIFS(T_SelfStock_Log[Part Name],$A13,T_SelfStock_Log[WeekIndex],23)=0,"",SUMIFS(T_SelfStock_Log[Self_Qty],T_SelfStock_Log[Part Name],$A13,T_SelfStock_Log[WeekIndex],23))</f>
        <v/>
      </c>
      <c r="Y13" s="19">
        <f>IF(COUNTIFS(T_SelfStock_Log[Part Name],$A13,T_SelfStock_Log[WeekIndex],24)=0,"",SUMIFS(T_SelfStock_Log[Self_Qty],T_SelfStock_Log[Part Name],$A13,T_SelfStock_Log[WeekIndex],24))</f>
        <v/>
      </c>
      <c r="Z13" s="19">
        <f>IF(COUNTIFS(T_SelfStock_Log[Part Name],$A13,T_SelfStock_Log[WeekIndex],25)=0,"",SUMIFS(T_SelfStock_Log[Self_Qty],T_SelfStock_Log[Part Name],$A13,T_SelfStock_Log[WeekIndex],25))</f>
        <v/>
      </c>
      <c r="AA13" s="19">
        <f>IF(COUNTIFS(T_SelfStock_Log[Part Name],$A13,T_SelfStock_Log[WeekIndex],26)=0,"",SUMIFS(T_SelfStock_Log[Self_Qty],T_SelfStock_Log[Part Name],$A13,T_SelfStock_Log[WeekIndex],26))</f>
        <v/>
      </c>
      <c r="AB13" s="19">
        <f>IF(COUNTIFS(T_SelfStock_Log[Part Name],$A13,T_SelfStock_Log[WeekIndex],27)=0,"",SUMIFS(T_SelfStock_Log[Self_Qty],T_SelfStock_Log[Part Name],$A13,T_SelfStock_Log[WeekIndex],27))</f>
        <v/>
      </c>
      <c r="AC13" s="19">
        <f>IF(COUNTIFS(T_SelfStock_Log[Part Name],$A13,T_SelfStock_Log[WeekIndex],28)=0,"",SUMIFS(T_SelfStock_Log[Self_Qty],T_SelfStock_Log[Part Name],$A13,T_SelfStock_Log[WeekIndex],28))</f>
        <v/>
      </c>
      <c r="AD13" s="19">
        <f>IF(COUNTIFS(T_SelfStock_Log[Part Name],$A13,T_SelfStock_Log[WeekIndex],29)=0,"",SUMIFS(T_SelfStock_Log[Self_Qty],T_SelfStock_Log[Part Name],$A13,T_SelfStock_Log[WeekIndex],29))</f>
        <v/>
      </c>
      <c r="AE13" s="19">
        <f>IF(COUNTIFS(T_SelfStock_Log[Part Name],$A13,T_SelfStock_Log[WeekIndex],30)=0,"",SUMIFS(T_SelfStock_Log[Self_Qty],T_SelfStock_Log[Part Name],$A13,T_SelfStock_Log[WeekIndex],30))</f>
        <v/>
      </c>
      <c r="AF13" s="19">
        <f>IF(COUNTIFS(T_SelfStock_Log[Part Name],$A13,T_SelfStock_Log[WeekIndex],31)=0,"",SUMIFS(T_SelfStock_Log[Self_Qty],T_SelfStock_Log[Part Name],$A13,T_SelfStock_Log[WeekIndex],31))</f>
        <v/>
      </c>
      <c r="AG13" s="19">
        <f>IF(COUNTIFS(T_SelfStock_Log[Part Name],$A13,T_SelfStock_Log[WeekIndex],32)=0,"",SUMIFS(T_SelfStock_Log[Self_Qty],T_SelfStock_Log[Part Name],$A13,T_SelfStock_Log[WeekIndex],32))</f>
        <v/>
      </c>
      <c r="AH13" s="19">
        <f>IF(COUNTIFS(T_SelfStock_Log[Part Name],$A13,T_SelfStock_Log[WeekIndex],33)=0,"",SUMIFS(T_SelfStock_Log[Self_Qty],T_SelfStock_Log[Part Name],$A13,T_SelfStock_Log[WeekIndex],33))</f>
        <v/>
      </c>
      <c r="AI13" s="19">
        <f>IF(COUNTIFS(T_SelfStock_Log[Part Name],$A13,T_SelfStock_Log[WeekIndex],34)=0,"",SUMIFS(T_SelfStock_Log[Self_Qty],T_SelfStock_Log[Part Name],$A13,T_SelfStock_Log[WeekIndex],34))</f>
        <v/>
      </c>
      <c r="AJ13" s="19">
        <f>IF(COUNTIFS(T_SelfStock_Log[Part Name],$A13,T_SelfStock_Log[WeekIndex],35)=0,"",SUMIFS(T_SelfStock_Log[Self_Qty],T_SelfStock_Log[Part Name],$A13,T_SelfStock_Log[WeekIndex],35))</f>
        <v/>
      </c>
      <c r="AK13" s="19">
        <f>IF(COUNTIFS(T_SelfStock_Log[Part Name],$A13,T_SelfStock_Log[WeekIndex],36)=0,"",SUMIFS(T_SelfStock_Log[Self_Qty],T_SelfStock_Log[Part Name],$A13,T_SelfStock_Log[WeekIndex],36))</f>
        <v/>
      </c>
      <c r="AL13" s="19">
        <f>IF(COUNTIFS(T_SelfStock_Log[Part Name],$A13,T_SelfStock_Log[WeekIndex],37)=0,"",SUMIFS(T_SelfStock_Log[Self_Qty],T_SelfStock_Log[Part Name],$A13,T_SelfStock_Log[WeekIndex],37))</f>
        <v/>
      </c>
      <c r="AM13" s="19">
        <f>IF(COUNTIFS(T_SelfStock_Log[Part Name],$A13,T_SelfStock_Log[WeekIndex],38)=0,"",SUMIFS(T_SelfStock_Log[Self_Qty],T_SelfStock_Log[Part Name],$A13,T_SelfStock_Log[WeekIndex],38))</f>
        <v/>
      </c>
      <c r="AN13" s="19">
        <f>IF(COUNTIFS(T_SelfStock_Log[Part Name],$A13,T_SelfStock_Log[WeekIndex],39)=0,"",SUMIFS(T_SelfStock_Log[Self_Qty],T_SelfStock_Log[Part Name],$A13,T_SelfStock_Log[WeekIndex],39))</f>
        <v/>
      </c>
      <c r="AO13" s="19">
        <f>IF(COUNTIFS(T_SelfStock_Log[Part Name],$A13,T_SelfStock_Log[WeekIndex],40)=0,"",SUMIFS(T_SelfStock_Log[Self_Qty],T_SelfStock_Log[Part Name],$A13,T_SelfStock_Log[WeekIndex],40))</f>
        <v/>
      </c>
      <c r="AP13" s="19">
        <f>IF(COUNTIFS(T_SelfStock_Log[Part Name],$A13,T_SelfStock_Log[WeekIndex],41)=0,"",SUMIFS(T_SelfStock_Log[Self_Qty],T_SelfStock_Log[Part Name],$A13,T_SelfStock_Log[WeekIndex],41))</f>
        <v/>
      </c>
      <c r="AQ13" s="19">
        <f>IF(COUNTIFS(T_SelfStock_Log[Part Name],$A13,T_SelfStock_Log[WeekIndex],42)=0,"",SUMIFS(T_SelfStock_Log[Self_Qty],T_SelfStock_Log[Part Name],$A13,T_SelfStock_Log[WeekIndex],42))</f>
        <v/>
      </c>
      <c r="AR13" s="19">
        <f>IF(COUNTIFS(T_SelfStock_Log[Part Name],$A13,T_SelfStock_Log[WeekIndex],43)=0,"",SUMIFS(T_SelfStock_Log[Self_Qty],T_SelfStock_Log[Part Name],$A13,T_SelfStock_Log[WeekIndex],43))</f>
        <v/>
      </c>
      <c r="AS13" s="19">
        <f>IF(COUNTIFS(T_SelfStock_Log[Part Name],$A13,T_SelfStock_Log[WeekIndex],44)=0,"",SUMIFS(T_SelfStock_Log[Self_Qty],T_SelfStock_Log[Part Name],$A13,T_SelfStock_Log[WeekIndex],44))</f>
        <v/>
      </c>
      <c r="AT13" s="19">
        <f>IF(COUNTIFS(T_SelfStock_Log[Part Name],$A13,T_SelfStock_Log[WeekIndex],45)=0,"",SUMIFS(T_SelfStock_Log[Self_Qty],T_SelfStock_Log[Part Name],$A13,T_SelfStock_Log[WeekIndex],45))</f>
        <v/>
      </c>
      <c r="AU13" s="19">
        <f>IF(COUNTIFS(T_SelfStock_Log[Part Name],$A13,T_SelfStock_Log[WeekIndex],46)=0,"",SUMIFS(T_SelfStock_Log[Self_Qty],T_SelfStock_Log[Part Name],$A13,T_SelfStock_Log[WeekIndex],46))</f>
        <v/>
      </c>
      <c r="AV13" s="19">
        <f>IF(COUNTIFS(T_SelfStock_Log[Part Name],$A13,T_SelfStock_Log[WeekIndex],47)=0,"",SUMIFS(T_SelfStock_Log[Self_Qty],T_SelfStock_Log[Part Name],$A13,T_SelfStock_Log[WeekIndex],47))</f>
        <v/>
      </c>
      <c r="AW13" s="19">
        <f>IF(COUNTIFS(T_SelfStock_Log[Part Name],$A13,T_SelfStock_Log[WeekIndex],48)=0,"",SUMIFS(T_SelfStock_Log[Self_Qty],T_SelfStock_Log[Part Name],$A13,T_SelfStock_Log[WeekIndex],48))</f>
        <v/>
      </c>
      <c r="AX13" s="19">
        <f>IF(COUNTIFS(T_SelfStock_Log[Part Name],$A13,T_SelfStock_Log[WeekIndex],49)=0,"",SUMIFS(T_SelfStock_Log[Self_Qty],T_SelfStock_Log[Part Name],$A13,T_SelfStock_Log[WeekIndex],49))</f>
        <v/>
      </c>
      <c r="AY13" s="19">
        <f>IF(COUNTIFS(T_SelfStock_Log[Part Name],$A13,T_SelfStock_Log[WeekIndex],50)=0,"",SUMIFS(T_SelfStock_Log[Self_Qty],T_SelfStock_Log[Part Name],$A13,T_SelfStock_Log[WeekIndex],50))</f>
        <v/>
      </c>
      <c r="AZ13" s="19">
        <f>IF(COUNTIFS(T_SelfStock_Log[Part Name],$A13,T_SelfStock_Log[WeekIndex],51)=0,"",SUMIFS(T_SelfStock_Log[Self_Qty],T_SelfStock_Log[Part Name],$A13,T_SelfStock_Log[WeekIndex],51))</f>
        <v/>
      </c>
      <c r="BA13" s="19">
        <f>IF(COUNTIFS(T_SelfStock_Log[Part Name],$A13,T_SelfStock_Log[WeekIndex],52)=0,"",SUMIFS(T_SelfStock_Log[Self_Qty],T_SelfStock_Log[Part Name],$A13,T_SelfStock_Log[WeekIndex],52))</f>
        <v/>
      </c>
      <c r="BB13" s="19">
        <f>IF(COUNTIFS(T_SelfStock_Log[Part Name],$A13,T_SelfStock_Log[WeekIndex],53)=0,"",SUMIFS(T_SelfStock_Log[Self_Qty],T_SelfStock_Log[Part Name],$A13,T_SelfStock_Log[WeekIndex],53))</f>
        <v/>
      </c>
      <c r="BC13" s="19">
        <f>IF(COUNTIFS(T_SelfStock_Log[Part Name],$A13,T_SelfStock_Log[WeekIndex],54)=0,"",SUMIFS(T_SelfStock_Log[Self_Qty],T_SelfStock_Log[Part Name],$A13,T_SelfStock_Log[WeekIndex],54))</f>
        <v/>
      </c>
      <c r="BD13" s="19">
        <f>IF(COUNTIFS(T_SelfStock_Log[Part Name],$A13,T_SelfStock_Log[WeekIndex],55)=0,"",SUMIFS(T_SelfStock_Log[Self_Qty],T_SelfStock_Log[Part Name],$A13,T_SelfStock_Log[WeekIndex],55))</f>
        <v/>
      </c>
      <c r="BE13" s="19">
        <f>IF(COUNTIFS(T_SelfStock_Log[Part Name],$A13,T_SelfStock_Log[WeekIndex],56)=0,"",SUMIFS(T_SelfStock_Log[Self_Qty],T_SelfStock_Log[Part Name],$A13,T_SelfStock_Log[WeekIndex],56))</f>
        <v/>
      </c>
      <c r="BF13" s="19">
        <f>IF(COUNTIFS(T_SelfStock_Log[Part Name],$A13,T_SelfStock_Log[WeekIndex],57)=0,"",SUMIFS(T_SelfStock_Log[Self_Qty],T_SelfStock_Log[Part Name],$A13,T_SelfStock_Log[WeekIndex],57))</f>
        <v/>
      </c>
      <c r="BG13" s="19">
        <f>IF(COUNTIFS(T_SelfStock_Log[Part Name],$A13,T_SelfStock_Log[WeekIndex],58)=0,"",SUMIFS(T_SelfStock_Log[Self_Qty],T_SelfStock_Log[Part Name],$A13,T_SelfStock_Log[WeekIndex],58))</f>
        <v/>
      </c>
      <c r="BH13" s="19">
        <f>IF(COUNTIFS(T_SelfStock_Log[Part Name],$A13,T_SelfStock_Log[WeekIndex],59)=0,"",SUMIFS(T_SelfStock_Log[Self_Qty],T_SelfStock_Log[Part Name],$A13,T_SelfStock_Log[WeekIndex],59))</f>
        <v/>
      </c>
      <c r="BI13" s="19">
        <f>IF(COUNTIFS(T_SelfStock_Log[Part Name],$A13,T_SelfStock_Log[WeekIndex],60)=0,"",SUMIFS(T_SelfStock_Log[Self_Qty],T_SelfStock_Log[Part Name],$A13,T_SelfStock_Log[WeekIndex],60))</f>
        <v/>
      </c>
      <c r="BJ13" s="19">
        <f>IF(COUNTIFS(T_SelfStock_Log[Part Name],$A13,T_SelfStock_Log[WeekIndex],61)=0,"",SUMIFS(T_SelfStock_Log[Self_Qty],T_SelfStock_Log[Part Name],$A13,T_SelfStock_Log[WeekIndex],61))</f>
        <v/>
      </c>
      <c r="BK13" s="19">
        <f>IF(COUNTIFS(T_SelfStock_Log[Part Name],$A13,T_SelfStock_Log[WeekIndex],62)=0,"",SUMIFS(T_SelfStock_Log[Self_Qty],T_SelfStock_Log[Part Name],$A13,T_SelfStock_Log[WeekIndex],62))</f>
        <v/>
      </c>
      <c r="BL13" s="19">
        <f>IF(COUNTIFS(T_SelfStock_Log[Part Name],$A13,T_SelfStock_Log[WeekIndex],63)=0,"",SUMIFS(T_SelfStock_Log[Self_Qty],T_SelfStock_Log[Part Name],$A13,T_SelfStock_Log[WeekIndex],63))</f>
        <v/>
      </c>
      <c r="BM13" s="19">
        <f>IF(COUNTIFS(T_SelfStock_Log[Part Name],$A13,T_SelfStock_Log[WeekIndex],64)=0,"",SUMIFS(T_SelfStock_Log[Self_Qty],T_SelfStock_Log[Part Name],$A13,T_SelfStock_Log[WeekIndex],64))</f>
        <v/>
      </c>
      <c r="BN13" s="19">
        <f>IF(COUNTIFS(T_SelfStock_Log[Part Name],$A13,T_SelfStock_Log[WeekIndex],65)=0,"",SUMIFS(T_SelfStock_Log[Self_Qty],T_SelfStock_Log[Part Name],$A13,T_SelfStock_Log[WeekIndex],65))</f>
        <v/>
      </c>
      <c r="BO13" s="19">
        <f>IF(COUNTIFS(T_SelfStock_Log[Part Name],$A13,T_SelfStock_Log[WeekIndex],66)=0,"",SUMIFS(T_SelfStock_Log[Self_Qty],T_SelfStock_Log[Part Name],$A13,T_SelfStock_Log[WeekIndex],66))</f>
        <v/>
      </c>
      <c r="BP13" s="19">
        <f>IF(COUNTIFS(T_SelfStock_Log[Part Name],$A13,T_SelfStock_Log[WeekIndex],67)=0,"",SUMIFS(T_SelfStock_Log[Self_Qty],T_SelfStock_Log[Part Name],$A13,T_SelfStock_Log[WeekIndex],67))</f>
        <v/>
      </c>
      <c r="BQ13" s="19">
        <f>IF(COUNTIFS(T_SelfStock_Log[Part Name],$A13,T_SelfStock_Log[WeekIndex],68)=0,"",SUMIFS(T_SelfStock_Log[Self_Qty],T_SelfStock_Log[Part Name],$A13,T_SelfStock_Log[WeekIndex],68))</f>
        <v/>
      </c>
      <c r="BR13" s="19">
        <f>IF(COUNTIFS(T_SelfStock_Log[Part Name],$A13,T_SelfStock_Log[WeekIndex],69)=0,"",SUMIFS(T_SelfStock_Log[Self_Qty],T_SelfStock_Log[Part Name],$A13,T_SelfStock_Log[WeekIndex],69))</f>
        <v/>
      </c>
      <c r="BS13" s="19">
        <f>IF(COUNTIFS(T_SelfStock_Log[Part Name],$A13,T_SelfStock_Log[WeekIndex],70)=0,"",SUMIFS(T_SelfStock_Log[Self_Qty],T_SelfStock_Log[Part Name],$A13,T_SelfStock_Log[WeekIndex],70))</f>
        <v/>
      </c>
      <c r="BT13" s="19">
        <f>IF(COUNTIFS(T_SelfStock_Log[Part Name],$A13,T_SelfStock_Log[WeekIndex],71)=0,"",SUMIFS(T_SelfStock_Log[Self_Qty],T_SelfStock_Log[Part Name],$A13,T_SelfStock_Log[WeekIndex],71))</f>
        <v/>
      </c>
      <c r="BU13" s="19">
        <f>IF(COUNTIFS(T_SelfStock_Log[Part Name],$A13,T_SelfStock_Log[WeekIndex],72)=0,"",SUMIFS(T_SelfStock_Log[Self_Qty],T_SelfStock_Log[Part Name],$A13,T_SelfStock_Log[WeekIndex],72))</f>
        <v/>
      </c>
      <c r="BV13" s="19">
        <f>IF(COUNTIFS(T_SelfStock_Log[Part Name],$A13,T_SelfStock_Log[WeekIndex],73)=0,"",SUMIFS(T_SelfStock_Log[Self_Qty],T_SelfStock_Log[Part Name],$A13,T_SelfStock_Log[WeekIndex],73))</f>
        <v/>
      </c>
      <c r="BW13" s="19">
        <f>IF(COUNTIFS(T_SelfStock_Log[Part Name],$A13,T_SelfStock_Log[WeekIndex],74)=0,"",SUMIFS(T_SelfStock_Log[Self_Qty],T_SelfStock_Log[Part Name],$A13,T_SelfStock_Log[WeekIndex],74))</f>
        <v/>
      </c>
      <c r="BX13" s="19">
        <f>IF(COUNTIFS(T_SelfStock_Log[Part Name],$A13,T_SelfStock_Log[WeekIndex],75)=0,"",SUMIFS(T_SelfStock_Log[Self_Qty],T_SelfStock_Log[Part Name],$A13,T_SelfStock_Log[WeekIndex],75))</f>
        <v/>
      </c>
      <c r="BY13" s="19">
        <f>IF(COUNTIFS(T_SelfStock_Log[Part Name],$A13,T_SelfStock_Log[WeekIndex],76)=0,"",SUMIFS(T_SelfStock_Log[Self_Qty],T_SelfStock_Log[Part Name],$A13,T_SelfStock_Log[WeekIndex],76))</f>
        <v/>
      </c>
      <c r="BZ13" s="19">
        <f>IF(COUNTIFS(T_SelfStock_Log[Part Name],$A13,T_SelfStock_Log[WeekIndex],77)=0,"",SUMIFS(T_SelfStock_Log[Self_Qty],T_SelfStock_Log[Part Name],$A13,T_SelfStock_Log[WeekIndex],77))</f>
        <v/>
      </c>
      <c r="CA13" s="19">
        <f>IF(COUNTIFS(T_SelfStock_Log[Part Name],$A13,T_SelfStock_Log[WeekIndex],78)=0,"",SUMIFS(T_SelfStock_Log[Self_Qty],T_SelfStock_Log[Part Name],$A13,T_SelfStock_Log[WeekIndex],78))</f>
        <v/>
      </c>
      <c r="CB13" s="19">
        <f>IF(COUNTIFS(T_SelfStock_Log[Part Name],$A13,T_SelfStock_Log[WeekIndex],79)=0,"",SUMIFS(T_SelfStock_Log[Self_Qty],T_SelfStock_Log[Part Name],$A13,T_SelfStock_Log[WeekIndex],79))</f>
        <v/>
      </c>
      <c r="CC13" s="19">
        <f>IF(COUNTIFS(T_SelfStock_Log[Part Name],$A13,T_SelfStock_Log[WeekIndex],80)=0,"",SUMIFS(T_SelfStock_Log[Self_Qty],T_SelfStock_Log[Part Name],$A13,T_SelfStock_Log[WeekIndex],80))</f>
        <v/>
      </c>
      <c r="CD13" s="19">
        <f>IF(COUNTIFS(T_SelfStock_Log[Part Name],$A13,T_SelfStock_Log[WeekIndex],81)=0,"",SUMIFS(T_SelfStock_Log[Self_Qty],T_SelfStock_Log[Part Name],$A13,T_SelfStock_Log[WeekIndex],81))</f>
        <v/>
      </c>
      <c r="CE13" s="19">
        <f>IF(COUNTIFS(T_SelfStock_Log[Part Name],$A13,T_SelfStock_Log[WeekIndex],82)=0,"",SUMIFS(T_SelfStock_Log[Self_Qty],T_SelfStock_Log[Part Name],$A13,T_SelfStock_Log[WeekIndex],82))</f>
        <v/>
      </c>
      <c r="CF13" s="19">
        <f>IF(COUNTIFS(T_SelfStock_Log[Part Name],$A13,T_SelfStock_Log[WeekIndex],83)=0,"",SUMIFS(T_SelfStock_Log[Self_Qty],T_SelfStock_Log[Part Name],$A13,T_SelfStock_Log[WeekIndex],83))</f>
        <v/>
      </c>
      <c r="CG13" s="19">
        <f>IF(COUNTIFS(T_SelfStock_Log[Part Name],$A13,T_SelfStock_Log[WeekIndex],84)=0,"",SUMIFS(T_SelfStock_Log[Self_Qty],T_SelfStock_Log[Part Name],$A13,T_SelfStock_Log[WeekIndex],84))</f>
        <v/>
      </c>
      <c r="CH13" s="19">
        <f>IF(COUNTIFS(T_SelfStock_Log[Part Name],$A13,T_SelfStock_Log[WeekIndex],85)=0,"",SUMIFS(T_SelfStock_Log[Self_Qty],T_SelfStock_Log[Part Name],$A13,T_SelfStock_Log[WeekIndex],85))</f>
        <v/>
      </c>
      <c r="CI13" s="19">
        <f>IF(COUNTIFS(T_SelfStock_Log[Part Name],$A13,T_SelfStock_Log[WeekIndex],86)=0,"",SUMIFS(T_SelfStock_Log[Self_Qty],T_SelfStock_Log[Part Name],$A13,T_SelfStock_Log[WeekIndex],86))</f>
        <v/>
      </c>
      <c r="CJ13" s="19">
        <f>IF(COUNTIFS(T_SelfStock_Log[Part Name],$A13,T_SelfStock_Log[WeekIndex],87)=0,"",SUMIFS(T_SelfStock_Log[Self_Qty],T_SelfStock_Log[Part Name],$A13,T_SelfStock_Log[WeekIndex],87))</f>
        <v/>
      </c>
      <c r="CK13" s="19">
        <f>IF(COUNTIFS(T_SelfStock_Log[Part Name],$A13,T_SelfStock_Log[WeekIndex],88)=0,"",SUMIFS(T_SelfStock_Log[Self_Qty],T_SelfStock_Log[Part Name],$A13,T_SelfStock_Log[WeekIndex],88))</f>
        <v/>
      </c>
      <c r="CL13" s="19">
        <f>IF(COUNTIFS(T_SelfStock_Log[Part Name],$A13,T_SelfStock_Log[WeekIndex],89)=0,"",SUMIFS(T_SelfStock_Log[Self_Qty],T_SelfStock_Log[Part Name],$A13,T_SelfStock_Log[WeekIndex],89))</f>
        <v/>
      </c>
      <c r="CM13" s="19">
        <f>IF(COUNTIFS(T_SelfStock_Log[Part Name],$A13,T_SelfStock_Log[WeekIndex],90)=0,"",SUMIFS(T_SelfStock_Log[Self_Qty],T_SelfStock_Log[Part Name],$A13,T_SelfStock_Log[WeekIndex],90))</f>
        <v/>
      </c>
      <c r="CN13" s="19">
        <f>IF(COUNTIFS(T_SelfStock_Log[Part Name],$A13,T_SelfStock_Log[WeekIndex],91)=0,"",SUMIFS(T_SelfStock_Log[Self_Qty],T_SelfStock_Log[Part Name],$A13,T_SelfStock_Log[WeekIndex],91))</f>
        <v/>
      </c>
      <c r="CO13" s="19">
        <f>IF(COUNTIFS(T_SelfStock_Log[Part Name],$A13,T_SelfStock_Log[WeekIndex],92)=0,"",SUMIFS(T_SelfStock_Log[Self_Qty],T_SelfStock_Log[Part Name],$A13,T_SelfStock_Log[WeekIndex],92))</f>
        <v/>
      </c>
      <c r="CP13" s="19">
        <f>IF(COUNTIFS(T_SelfStock_Log[Part Name],$A13,T_SelfStock_Log[WeekIndex],93)=0,"",SUMIFS(T_SelfStock_Log[Self_Qty],T_SelfStock_Log[Part Name],$A13,T_SelfStock_Log[WeekIndex],93))</f>
        <v/>
      </c>
      <c r="CQ13" s="19">
        <f>IF(COUNTIFS(T_SelfStock_Log[Part Name],$A13,T_SelfStock_Log[WeekIndex],94)=0,"",SUMIFS(T_SelfStock_Log[Self_Qty],T_SelfStock_Log[Part Name],$A13,T_SelfStock_Log[WeekIndex],94))</f>
        <v/>
      </c>
      <c r="CR13" s="19">
        <f>IF(COUNTIFS(T_SelfStock_Log[Part Name],$A13,T_SelfStock_Log[WeekIndex],95)=0,"",SUMIFS(T_SelfStock_Log[Self_Qty],T_SelfStock_Log[Part Name],$A13,T_SelfStock_Log[WeekIndex],95))</f>
        <v/>
      </c>
      <c r="CS13" s="19">
        <f>IF(COUNTIFS(T_SelfStock_Log[Part Name],$A13,T_SelfStock_Log[WeekIndex],96)=0,"",SUMIFS(T_SelfStock_Log[Self_Qty],T_SelfStock_Log[Part Name],$A13,T_SelfStock_Log[WeekIndex],96))</f>
        <v/>
      </c>
      <c r="CT13" s="19">
        <f>IF(COUNTIFS(T_SelfStock_Log[Part Name],$A13,T_SelfStock_Log[WeekIndex],97)=0,"",SUMIFS(T_SelfStock_Log[Self_Qty],T_SelfStock_Log[Part Name],$A13,T_SelfStock_Log[WeekIndex],97))</f>
        <v/>
      </c>
      <c r="CU13" s="19">
        <f>IF(COUNTIFS(T_SelfStock_Log[Part Name],$A13,T_SelfStock_Log[WeekIndex],98)=0,"",SUMIFS(T_SelfStock_Log[Self_Qty],T_SelfStock_Log[Part Name],$A13,T_SelfStock_Log[WeekIndex],98))</f>
        <v/>
      </c>
      <c r="CV13" s="19">
        <f>IF(COUNTIFS(T_SelfStock_Log[Part Name],$A13,T_SelfStock_Log[WeekIndex],99)=0,"",SUMIFS(T_SelfStock_Log[Self_Qty],T_SelfStock_Log[Part Name],$A13,T_SelfStock_Log[WeekIndex],99))</f>
        <v/>
      </c>
      <c r="CW13" s="19">
        <f>IF(COUNTIFS(T_SelfStock_Log[Part Name],$A13,T_SelfStock_Log[WeekIndex],100)=0,"",SUMIFS(T_SelfStock_Log[Self_Qty],T_SelfStock_Log[Part Name],$A13,T_SelfStock_Log[WeekIndex],100))</f>
        <v/>
      </c>
      <c r="CX13" s="19">
        <f>IF(COUNTIFS(T_SelfStock_Log[Part Name],$A13,T_SelfStock_Log[WeekIndex],101)=0,"",SUMIFS(T_SelfStock_Log[Self_Qty],T_SelfStock_Log[Part Name],$A13,T_SelfStock_Log[WeekIndex],101))</f>
        <v/>
      </c>
      <c r="CY13" s="19">
        <f>IF(COUNTIFS(T_SelfStock_Log[Part Name],$A13,T_SelfStock_Log[WeekIndex],102)=0,"",SUMIFS(T_SelfStock_Log[Self_Qty],T_SelfStock_Log[Part Name],$A13,T_SelfStock_Log[WeekIndex],102))</f>
        <v/>
      </c>
      <c r="CZ13" s="19">
        <f>IF(COUNTIFS(T_SelfStock_Log[Part Name],$A13,T_SelfStock_Log[WeekIndex],103)=0,"",SUMIFS(T_SelfStock_Log[Self_Qty],T_SelfStock_Log[Part Name],$A13,T_SelfStock_Log[WeekIndex],103))</f>
        <v/>
      </c>
      <c r="DA13" s="19">
        <f>IF(COUNTIFS(T_SelfStock_Log[Part Name],$A13,T_SelfStock_Log[WeekIndex],104)=0,"",SUMIFS(T_SelfStock_Log[Self_Qty],T_SelfStock_Log[Part Name],$A13,T_SelfStock_Log[WeekIndex],104))</f>
        <v/>
      </c>
    </row>
    <row r="14">
      <c r="A14" s="17" t="inlineStr">
        <is>
          <t>KEJ</t>
        </is>
      </c>
      <c r="B14" s="17">
        <f>IF(COUNTIFS(T_SelfStock_Log[Part Name],$A14,T_SelfStock_Log[WeekIndex],1)=0,"",SUMIFS(T_SelfStock_Log[Self_Qty],T_SelfStock_Log[Part Name],$A14,T_SelfStock_Log[WeekIndex],1))</f>
        <v/>
      </c>
      <c r="C14" s="17">
        <f>IF(COUNTIFS(T_SelfStock_Log[Part Name],$A14,T_SelfStock_Log[WeekIndex],2)=0,"",SUMIFS(T_SelfStock_Log[Self_Qty],T_SelfStock_Log[Part Name],$A14,T_SelfStock_Log[WeekIndex],2))</f>
        <v/>
      </c>
      <c r="D14" s="17">
        <f>IF(COUNTIFS(T_SelfStock_Log[Part Name],$A14,T_SelfStock_Log[WeekIndex],3)=0,"",SUMIFS(T_SelfStock_Log[Self_Qty],T_SelfStock_Log[Part Name],$A14,T_SelfStock_Log[WeekIndex],3))</f>
        <v/>
      </c>
      <c r="E14" s="17">
        <f>IF(COUNTIFS(T_SelfStock_Log[Part Name],$A14,T_SelfStock_Log[WeekIndex],4)=0,"",SUMIFS(T_SelfStock_Log[Self_Qty],T_SelfStock_Log[Part Name],$A14,T_SelfStock_Log[WeekIndex],4))</f>
        <v/>
      </c>
      <c r="F14" s="17">
        <f>IF(COUNTIFS(T_SelfStock_Log[Part Name],$A14,T_SelfStock_Log[WeekIndex],5)=0,"",SUMIFS(T_SelfStock_Log[Self_Qty],T_SelfStock_Log[Part Name],$A14,T_SelfStock_Log[WeekIndex],5))</f>
        <v/>
      </c>
      <c r="G14" s="17">
        <f>IF(COUNTIFS(T_SelfStock_Log[Part Name],$A14,T_SelfStock_Log[WeekIndex],6)=0,"",SUMIFS(T_SelfStock_Log[Self_Qty],T_SelfStock_Log[Part Name],$A14,T_SelfStock_Log[WeekIndex],6))</f>
        <v/>
      </c>
      <c r="H14" s="17">
        <f>IF(COUNTIFS(T_SelfStock_Log[Part Name],$A14,T_SelfStock_Log[WeekIndex],7)=0,"",SUMIFS(T_SelfStock_Log[Self_Qty],T_SelfStock_Log[Part Name],$A14,T_SelfStock_Log[WeekIndex],7))</f>
        <v/>
      </c>
      <c r="I14" s="17">
        <f>IF(COUNTIFS(T_SelfStock_Log[Part Name],$A14,T_SelfStock_Log[WeekIndex],8)=0,"",SUMIFS(T_SelfStock_Log[Self_Qty],T_SelfStock_Log[Part Name],$A14,T_SelfStock_Log[WeekIndex],8))</f>
        <v/>
      </c>
      <c r="J14" s="17">
        <f>IF(COUNTIFS(T_SelfStock_Log[Part Name],$A14,T_SelfStock_Log[WeekIndex],9)=0,"",SUMIFS(T_SelfStock_Log[Self_Qty],T_SelfStock_Log[Part Name],$A14,T_SelfStock_Log[WeekIndex],9))</f>
        <v/>
      </c>
      <c r="K14" s="17">
        <f>IF(COUNTIFS(T_SelfStock_Log[Part Name],$A14,T_SelfStock_Log[WeekIndex],10)=0,"",SUMIFS(T_SelfStock_Log[Self_Qty],T_SelfStock_Log[Part Name],$A14,T_SelfStock_Log[WeekIndex],10))</f>
        <v/>
      </c>
      <c r="L14" s="17">
        <f>IF(COUNTIFS(T_SelfStock_Log[Part Name],$A14,T_SelfStock_Log[WeekIndex],11)=0,"",SUMIFS(T_SelfStock_Log[Self_Qty],T_SelfStock_Log[Part Name],$A14,T_SelfStock_Log[WeekIndex],11))</f>
        <v/>
      </c>
      <c r="M14" s="17">
        <f>IF(COUNTIFS(T_SelfStock_Log[Part Name],$A14,T_SelfStock_Log[WeekIndex],12)=0,"",SUMIFS(T_SelfStock_Log[Self_Qty],T_SelfStock_Log[Part Name],$A14,T_SelfStock_Log[WeekIndex],12))</f>
        <v/>
      </c>
      <c r="N14" s="17">
        <f>IF(COUNTIFS(T_SelfStock_Log[Part Name],$A14,T_SelfStock_Log[WeekIndex],13)=0,"",SUMIFS(T_SelfStock_Log[Self_Qty],T_SelfStock_Log[Part Name],$A14,T_SelfStock_Log[WeekIndex],13))</f>
        <v/>
      </c>
      <c r="O14" s="17">
        <f>IF(COUNTIFS(T_SelfStock_Log[Part Name],$A14,T_SelfStock_Log[WeekIndex],14)=0,"",SUMIFS(T_SelfStock_Log[Self_Qty],T_SelfStock_Log[Part Name],$A14,T_SelfStock_Log[WeekIndex],14))</f>
        <v/>
      </c>
      <c r="P14" s="17">
        <f>IF(COUNTIFS(T_SelfStock_Log[Part Name],$A14,T_SelfStock_Log[WeekIndex],15)=0,"",SUMIFS(T_SelfStock_Log[Self_Qty],T_SelfStock_Log[Part Name],$A14,T_SelfStock_Log[WeekIndex],15))</f>
        <v/>
      </c>
      <c r="Q14" s="17">
        <f>IF(COUNTIFS(T_SelfStock_Log[Part Name],$A14,T_SelfStock_Log[WeekIndex],16)=0,"",SUMIFS(T_SelfStock_Log[Self_Qty],T_SelfStock_Log[Part Name],$A14,T_SelfStock_Log[WeekIndex],16))</f>
        <v/>
      </c>
      <c r="R14" s="17">
        <f>IF(COUNTIFS(T_SelfStock_Log[Part Name],$A14,T_SelfStock_Log[WeekIndex],17)=0,"",SUMIFS(T_SelfStock_Log[Self_Qty],T_SelfStock_Log[Part Name],$A14,T_SelfStock_Log[WeekIndex],17))</f>
        <v/>
      </c>
      <c r="S14" s="17">
        <f>IF(COUNTIFS(T_SelfStock_Log[Part Name],$A14,T_SelfStock_Log[WeekIndex],18)=0,"",SUMIFS(T_SelfStock_Log[Self_Qty],T_SelfStock_Log[Part Name],$A14,T_SelfStock_Log[WeekIndex],18))</f>
        <v/>
      </c>
      <c r="T14" s="17">
        <f>IF(COUNTIFS(T_SelfStock_Log[Part Name],$A14,T_SelfStock_Log[WeekIndex],19)=0,"",SUMIFS(T_SelfStock_Log[Self_Qty],T_SelfStock_Log[Part Name],$A14,T_SelfStock_Log[WeekIndex],19))</f>
        <v/>
      </c>
      <c r="U14" s="17">
        <f>IF(COUNTIFS(T_SelfStock_Log[Part Name],$A14,T_SelfStock_Log[WeekIndex],20)=0,"",SUMIFS(T_SelfStock_Log[Self_Qty],T_SelfStock_Log[Part Name],$A14,T_SelfStock_Log[WeekIndex],20))</f>
        <v/>
      </c>
      <c r="V14" s="17">
        <f>IF(COUNTIFS(T_SelfStock_Log[Part Name],$A14,T_SelfStock_Log[WeekIndex],21)=0,"",SUMIFS(T_SelfStock_Log[Self_Qty],T_SelfStock_Log[Part Name],$A14,T_SelfStock_Log[WeekIndex],21))</f>
        <v/>
      </c>
      <c r="W14" s="17">
        <f>IF(COUNTIFS(T_SelfStock_Log[Part Name],$A14,T_SelfStock_Log[WeekIndex],22)=0,"",SUMIFS(T_SelfStock_Log[Self_Qty],T_SelfStock_Log[Part Name],$A14,T_SelfStock_Log[WeekIndex],22))</f>
        <v/>
      </c>
      <c r="X14" s="17">
        <f>IF(COUNTIFS(T_SelfStock_Log[Part Name],$A14,T_SelfStock_Log[WeekIndex],23)=0,"",SUMIFS(T_SelfStock_Log[Self_Qty],T_SelfStock_Log[Part Name],$A14,T_SelfStock_Log[WeekIndex],23))</f>
        <v/>
      </c>
      <c r="Y14" s="17">
        <f>IF(COUNTIFS(T_SelfStock_Log[Part Name],$A14,T_SelfStock_Log[WeekIndex],24)=0,"",SUMIFS(T_SelfStock_Log[Self_Qty],T_SelfStock_Log[Part Name],$A14,T_SelfStock_Log[WeekIndex],24))</f>
        <v/>
      </c>
      <c r="Z14" s="17">
        <f>IF(COUNTIFS(T_SelfStock_Log[Part Name],$A14,T_SelfStock_Log[WeekIndex],25)=0,"",SUMIFS(T_SelfStock_Log[Self_Qty],T_SelfStock_Log[Part Name],$A14,T_SelfStock_Log[WeekIndex],25))</f>
        <v/>
      </c>
      <c r="AA14" s="17">
        <f>IF(COUNTIFS(T_SelfStock_Log[Part Name],$A14,T_SelfStock_Log[WeekIndex],26)=0,"",SUMIFS(T_SelfStock_Log[Self_Qty],T_SelfStock_Log[Part Name],$A14,T_SelfStock_Log[WeekIndex],26))</f>
        <v/>
      </c>
      <c r="AB14" s="17">
        <f>IF(COUNTIFS(T_SelfStock_Log[Part Name],$A14,T_SelfStock_Log[WeekIndex],27)=0,"",SUMIFS(T_SelfStock_Log[Self_Qty],T_SelfStock_Log[Part Name],$A14,T_SelfStock_Log[WeekIndex],27))</f>
        <v/>
      </c>
      <c r="AC14" s="17">
        <f>IF(COUNTIFS(T_SelfStock_Log[Part Name],$A14,T_SelfStock_Log[WeekIndex],28)=0,"",SUMIFS(T_SelfStock_Log[Self_Qty],T_SelfStock_Log[Part Name],$A14,T_SelfStock_Log[WeekIndex],28))</f>
        <v/>
      </c>
      <c r="AD14" s="17">
        <f>IF(COUNTIFS(T_SelfStock_Log[Part Name],$A14,T_SelfStock_Log[WeekIndex],29)=0,"",SUMIFS(T_SelfStock_Log[Self_Qty],T_SelfStock_Log[Part Name],$A14,T_SelfStock_Log[WeekIndex],29))</f>
        <v/>
      </c>
      <c r="AE14" s="17">
        <f>IF(COUNTIFS(T_SelfStock_Log[Part Name],$A14,T_SelfStock_Log[WeekIndex],30)=0,"",SUMIFS(T_SelfStock_Log[Self_Qty],T_SelfStock_Log[Part Name],$A14,T_SelfStock_Log[WeekIndex],30))</f>
        <v/>
      </c>
      <c r="AF14" s="17">
        <f>IF(COUNTIFS(T_SelfStock_Log[Part Name],$A14,T_SelfStock_Log[WeekIndex],31)=0,"",SUMIFS(T_SelfStock_Log[Self_Qty],T_SelfStock_Log[Part Name],$A14,T_SelfStock_Log[WeekIndex],31))</f>
        <v/>
      </c>
      <c r="AG14" s="17">
        <f>IF(COUNTIFS(T_SelfStock_Log[Part Name],$A14,T_SelfStock_Log[WeekIndex],32)=0,"",SUMIFS(T_SelfStock_Log[Self_Qty],T_SelfStock_Log[Part Name],$A14,T_SelfStock_Log[WeekIndex],32))</f>
        <v/>
      </c>
      <c r="AH14" s="17">
        <f>IF(COUNTIFS(T_SelfStock_Log[Part Name],$A14,T_SelfStock_Log[WeekIndex],33)=0,"",SUMIFS(T_SelfStock_Log[Self_Qty],T_SelfStock_Log[Part Name],$A14,T_SelfStock_Log[WeekIndex],33))</f>
        <v/>
      </c>
      <c r="AI14" s="17">
        <f>IF(COUNTIFS(T_SelfStock_Log[Part Name],$A14,T_SelfStock_Log[WeekIndex],34)=0,"",SUMIFS(T_SelfStock_Log[Self_Qty],T_SelfStock_Log[Part Name],$A14,T_SelfStock_Log[WeekIndex],34))</f>
        <v/>
      </c>
      <c r="AJ14" s="17">
        <f>IF(COUNTIFS(T_SelfStock_Log[Part Name],$A14,T_SelfStock_Log[WeekIndex],35)=0,"",SUMIFS(T_SelfStock_Log[Self_Qty],T_SelfStock_Log[Part Name],$A14,T_SelfStock_Log[WeekIndex],35))</f>
        <v/>
      </c>
      <c r="AK14" s="17">
        <f>IF(COUNTIFS(T_SelfStock_Log[Part Name],$A14,T_SelfStock_Log[WeekIndex],36)=0,"",SUMIFS(T_SelfStock_Log[Self_Qty],T_SelfStock_Log[Part Name],$A14,T_SelfStock_Log[WeekIndex],36))</f>
        <v/>
      </c>
      <c r="AL14" s="17">
        <f>IF(COUNTIFS(T_SelfStock_Log[Part Name],$A14,T_SelfStock_Log[WeekIndex],37)=0,"",SUMIFS(T_SelfStock_Log[Self_Qty],T_SelfStock_Log[Part Name],$A14,T_SelfStock_Log[WeekIndex],37))</f>
        <v/>
      </c>
      <c r="AM14" s="17">
        <f>IF(COUNTIFS(T_SelfStock_Log[Part Name],$A14,T_SelfStock_Log[WeekIndex],38)=0,"",SUMIFS(T_SelfStock_Log[Self_Qty],T_SelfStock_Log[Part Name],$A14,T_SelfStock_Log[WeekIndex],38))</f>
        <v/>
      </c>
      <c r="AN14" s="17">
        <f>IF(COUNTIFS(T_SelfStock_Log[Part Name],$A14,T_SelfStock_Log[WeekIndex],39)=0,"",SUMIFS(T_SelfStock_Log[Self_Qty],T_SelfStock_Log[Part Name],$A14,T_SelfStock_Log[WeekIndex],39))</f>
        <v/>
      </c>
      <c r="AO14" s="17">
        <f>IF(COUNTIFS(T_SelfStock_Log[Part Name],$A14,T_SelfStock_Log[WeekIndex],40)=0,"",SUMIFS(T_SelfStock_Log[Self_Qty],T_SelfStock_Log[Part Name],$A14,T_SelfStock_Log[WeekIndex],40))</f>
        <v/>
      </c>
      <c r="AP14" s="17">
        <f>IF(COUNTIFS(T_SelfStock_Log[Part Name],$A14,T_SelfStock_Log[WeekIndex],41)=0,"",SUMIFS(T_SelfStock_Log[Self_Qty],T_SelfStock_Log[Part Name],$A14,T_SelfStock_Log[WeekIndex],41))</f>
        <v/>
      </c>
      <c r="AQ14" s="17">
        <f>IF(COUNTIFS(T_SelfStock_Log[Part Name],$A14,T_SelfStock_Log[WeekIndex],42)=0,"",SUMIFS(T_SelfStock_Log[Self_Qty],T_SelfStock_Log[Part Name],$A14,T_SelfStock_Log[WeekIndex],42))</f>
        <v/>
      </c>
      <c r="AR14" s="17">
        <f>IF(COUNTIFS(T_SelfStock_Log[Part Name],$A14,T_SelfStock_Log[WeekIndex],43)=0,"",SUMIFS(T_SelfStock_Log[Self_Qty],T_SelfStock_Log[Part Name],$A14,T_SelfStock_Log[WeekIndex],43))</f>
        <v/>
      </c>
      <c r="AS14" s="17">
        <f>IF(COUNTIFS(T_SelfStock_Log[Part Name],$A14,T_SelfStock_Log[WeekIndex],44)=0,"",SUMIFS(T_SelfStock_Log[Self_Qty],T_SelfStock_Log[Part Name],$A14,T_SelfStock_Log[WeekIndex],44))</f>
        <v/>
      </c>
      <c r="AT14" s="17">
        <f>IF(COUNTIFS(T_SelfStock_Log[Part Name],$A14,T_SelfStock_Log[WeekIndex],45)=0,"",SUMIFS(T_SelfStock_Log[Self_Qty],T_SelfStock_Log[Part Name],$A14,T_SelfStock_Log[WeekIndex],45))</f>
        <v/>
      </c>
      <c r="AU14" s="17">
        <f>IF(COUNTIFS(T_SelfStock_Log[Part Name],$A14,T_SelfStock_Log[WeekIndex],46)=0,"",SUMIFS(T_SelfStock_Log[Self_Qty],T_SelfStock_Log[Part Name],$A14,T_SelfStock_Log[WeekIndex],46))</f>
        <v/>
      </c>
      <c r="AV14" s="17">
        <f>IF(COUNTIFS(T_SelfStock_Log[Part Name],$A14,T_SelfStock_Log[WeekIndex],47)=0,"",SUMIFS(T_SelfStock_Log[Self_Qty],T_SelfStock_Log[Part Name],$A14,T_SelfStock_Log[WeekIndex],47))</f>
        <v/>
      </c>
      <c r="AW14" s="17">
        <f>IF(COUNTIFS(T_SelfStock_Log[Part Name],$A14,T_SelfStock_Log[WeekIndex],48)=0,"",SUMIFS(T_SelfStock_Log[Self_Qty],T_SelfStock_Log[Part Name],$A14,T_SelfStock_Log[WeekIndex],48))</f>
        <v/>
      </c>
      <c r="AX14" s="17">
        <f>IF(COUNTIFS(T_SelfStock_Log[Part Name],$A14,T_SelfStock_Log[WeekIndex],49)=0,"",SUMIFS(T_SelfStock_Log[Self_Qty],T_SelfStock_Log[Part Name],$A14,T_SelfStock_Log[WeekIndex],49))</f>
        <v/>
      </c>
      <c r="AY14" s="17">
        <f>IF(COUNTIFS(T_SelfStock_Log[Part Name],$A14,T_SelfStock_Log[WeekIndex],50)=0,"",SUMIFS(T_SelfStock_Log[Self_Qty],T_SelfStock_Log[Part Name],$A14,T_SelfStock_Log[WeekIndex],50))</f>
        <v/>
      </c>
      <c r="AZ14" s="17">
        <f>IF(COUNTIFS(T_SelfStock_Log[Part Name],$A14,T_SelfStock_Log[WeekIndex],51)=0,"",SUMIFS(T_SelfStock_Log[Self_Qty],T_SelfStock_Log[Part Name],$A14,T_SelfStock_Log[WeekIndex],51))</f>
        <v/>
      </c>
      <c r="BA14" s="17">
        <f>IF(COUNTIFS(T_SelfStock_Log[Part Name],$A14,T_SelfStock_Log[WeekIndex],52)=0,"",SUMIFS(T_SelfStock_Log[Self_Qty],T_SelfStock_Log[Part Name],$A14,T_SelfStock_Log[WeekIndex],52))</f>
        <v/>
      </c>
      <c r="BB14" s="17">
        <f>IF(COUNTIFS(T_SelfStock_Log[Part Name],$A14,T_SelfStock_Log[WeekIndex],53)=0,"",SUMIFS(T_SelfStock_Log[Self_Qty],T_SelfStock_Log[Part Name],$A14,T_SelfStock_Log[WeekIndex],53))</f>
        <v/>
      </c>
      <c r="BC14" s="17">
        <f>IF(COUNTIFS(T_SelfStock_Log[Part Name],$A14,T_SelfStock_Log[WeekIndex],54)=0,"",SUMIFS(T_SelfStock_Log[Self_Qty],T_SelfStock_Log[Part Name],$A14,T_SelfStock_Log[WeekIndex],54))</f>
        <v/>
      </c>
      <c r="BD14" s="17">
        <f>IF(COUNTIFS(T_SelfStock_Log[Part Name],$A14,T_SelfStock_Log[WeekIndex],55)=0,"",SUMIFS(T_SelfStock_Log[Self_Qty],T_SelfStock_Log[Part Name],$A14,T_SelfStock_Log[WeekIndex],55))</f>
        <v/>
      </c>
      <c r="BE14" s="17">
        <f>IF(COUNTIFS(T_SelfStock_Log[Part Name],$A14,T_SelfStock_Log[WeekIndex],56)=0,"",SUMIFS(T_SelfStock_Log[Self_Qty],T_SelfStock_Log[Part Name],$A14,T_SelfStock_Log[WeekIndex],56))</f>
        <v/>
      </c>
      <c r="BF14" s="17">
        <f>IF(COUNTIFS(T_SelfStock_Log[Part Name],$A14,T_SelfStock_Log[WeekIndex],57)=0,"",SUMIFS(T_SelfStock_Log[Self_Qty],T_SelfStock_Log[Part Name],$A14,T_SelfStock_Log[WeekIndex],57))</f>
        <v/>
      </c>
      <c r="BG14" s="17">
        <f>IF(COUNTIFS(T_SelfStock_Log[Part Name],$A14,T_SelfStock_Log[WeekIndex],58)=0,"",SUMIFS(T_SelfStock_Log[Self_Qty],T_SelfStock_Log[Part Name],$A14,T_SelfStock_Log[WeekIndex],58))</f>
        <v/>
      </c>
      <c r="BH14" s="17">
        <f>IF(COUNTIFS(T_SelfStock_Log[Part Name],$A14,T_SelfStock_Log[WeekIndex],59)=0,"",SUMIFS(T_SelfStock_Log[Self_Qty],T_SelfStock_Log[Part Name],$A14,T_SelfStock_Log[WeekIndex],59))</f>
        <v/>
      </c>
      <c r="BI14" s="17">
        <f>IF(COUNTIFS(T_SelfStock_Log[Part Name],$A14,T_SelfStock_Log[WeekIndex],60)=0,"",SUMIFS(T_SelfStock_Log[Self_Qty],T_SelfStock_Log[Part Name],$A14,T_SelfStock_Log[WeekIndex],60))</f>
        <v/>
      </c>
      <c r="BJ14" s="17">
        <f>IF(COUNTIFS(T_SelfStock_Log[Part Name],$A14,T_SelfStock_Log[WeekIndex],61)=0,"",SUMIFS(T_SelfStock_Log[Self_Qty],T_SelfStock_Log[Part Name],$A14,T_SelfStock_Log[WeekIndex],61))</f>
        <v/>
      </c>
      <c r="BK14" s="17">
        <f>IF(COUNTIFS(T_SelfStock_Log[Part Name],$A14,T_SelfStock_Log[WeekIndex],62)=0,"",SUMIFS(T_SelfStock_Log[Self_Qty],T_SelfStock_Log[Part Name],$A14,T_SelfStock_Log[WeekIndex],62))</f>
        <v/>
      </c>
      <c r="BL14" s="17">
        <f>IF(COUNTIFS(T_SelfStock_Log[Part Name],$A14,T_SelfStock_Log[WeekIndex],63)=0,"",SUMIFS(T_SelfStock_Log[Self_Qty],T_SelfStock_Log[Part Name],$A14,T_SelfStock_Log[WeekIndex],63))</f>
        <v/>
      </c>
      <c r="BM14" s="17">
        <f>IF(COUNTIFS(T_SelfStock_Log[Part Name],$A14,T_SelfStock_Log[WeekIndex],64)=0,"",SUMIFS(T_SelfStock_Log[Self_Qty],T_SelfStock_Log[Part Name],$A14,T_SelfStock_Log[WeekIndex],64))</f>
        <v/>
      </c>
      <c r="BN14" s="17">
        <f>IF(COUNTIFS(T_SelfStock_Log[Part Name],$A14,T_SelfStock_Log[WeekIndex],65)=0,"",SUMIFS(T_SelfStock_Log[Self_Qty],T_SelfStock_Log[Part Name],$A14,T_SelfStock_Log[WeekIndex],65))</f>
        <v/>
      </c>
      <c r="BO14" s="17">
        <f>IF(COUNTIFS(T_SelfStock_Log[Part Name],$A14,T_SelfStock_Log[WeekIndex],66)=0,"",SUMIFS(T_SelfStock_Log[Self_Qty],T_SelfStock_Log[Part Name],$A14,T_SelfStock_Log[WeekIndex],66))</f>
        <v/>
      </c>
      <c r="BP14" s="17">
        <f>IF(COUNTIFS(T_SelfStock_Log[Part Name],$A14,T_SelfStock_Log[WeekIndex],67)=0,"",SUMIFS(T_SelfStock_Log[Self_Qty],T_SelfStock_Log[Part Name],$A14,T_SelfStock_Log[WeekIndex],67))</f>
        <v/>
      </c>
      <c r="BQ14" s="17">
        <f>IF(COUNTIFS(T_SelfStock_Log[Part Name],$A14,T_SelfStock_Log[WeekIndex],68)=0,"",SUMIFS(T_SelfStock_Log[Self_Qty],T_SelfStock_Log[Part Name],$A14,T_SelfStock_Log[WeekIndex],68))</f>
        <v/>
      </c>
      <c r="BR14" s="17">
        <f>IF(COUNTIFS(T_SelfStock_Log[Part Name],$A14,T_SelfStock_Log[WeekIndex],69)=0,"",SUMIFS(T_SelfStock_Log[Self_Qty],T_SelfStock_Log[Part Name],$A14,T_SelfStock_Log[WeekIndex],69))</f>
        <v/>
      </c>
      <c r="BS14" s="17">
        <f>IF(COUNTIFS(T_SelfStock_Log[Part Name],$A14,T_SelfStock_Log[WeekIndex],70)=0,"",SUMIFS(T_SelfStock_Log[Self_Qty],T_SelfStock_Log[Part Name],$A14,T_SelfStock_Log[WeekIndex],70))</f>
        <v/>
      </c>
      <c r="BT14" s="17">
        <f>IF(COUNTIFS(T_SelfStock_Log[Part Name],$A14,T_SelfStock_Log[WeekIndex],71)=0,"",SUMIFS(T_SelfStock_Log[Self_Qty],T_SelfStock_Log[Part Name],$A14,T_SelfStock_Log[WeekIndex],71))</f>
        <v/>
      </c>
      <c r="BU14" s="17">
        <f>IF(COUNTIFS(T_SelfStock_Log[Part Name],$A14,T_SelfStock_Log[WeekIndex],72)=0,"",SUMIFS(T_SelfStock_Log[Self_Qty],T_SelfStock_Log[Part Name],$A14,T_SelfStock_Log[WeekIndex],72))</f>
        <v/>
      </c>
      <c r="BV14" s="17">
        <f>IF(COUNTIFS(T_SelfStock_Log[Part Name],$A14,T_SelfStock_Log[WeekIndex],73)=0,"",SUMIFS(T_SelfStock_Log[Self_Qty],T_SelfStock_Log[Part Name],$A14,T_SelfStock_Log[WeekIndex],73))</f>
        <v/>
      </c>
      <c r="BW14" s="17">
        <f>IF(COUNTIFS(T_SelfStock_Log[Part Name],$A14,T_SelfStock_Log[WeekIndex],74)=0,"",SUMIFS(T_SelfStock_Log[Self_Qty],T_SelfStock_Log[Part Name],$A14,T_SelfStock_Log[WeekIndex],74))</f>
        <v/>
      </c>
      <c r="BX14" s="17">
        <f>IF(COUNTIFS(T_SelfStock_Log[Part Name],$A14,T_SelfStock_Log[WeekIndex],75)=0,"",SUMIFS(T_SelfStock_Log[Self_Qty],T_SelfStock_Log[Part Name],$A14,T_SelfStock_Log[WeekIndex],75))</f>
        <v/>
      </c>
      <c r="BY14" s="17">
        <f>IF(COUNTIFS(T_SelfStock_Log[Part Name],$A14,T_SelfStock_Log[WeekIndex],76)=0,"",SUMIFS(T_SelfStock_Log[Self_Qty],T_SelfStock_Log[Part Name],$A14,T_SelfStock_Log[WeekIndex],76))</f>
        <v/>
      </c>
      <c r="BZ14" s="17">
        <f>IF(COUNTIFS(T_SelfStock_Log[Part Name],$A14,T_SelfStock_Log[WeekIndex],77)=0,"",SUMIFS(T_SelfStock_Log[Self_Qty],T_SelfStock_Log[Part Name],$A14,T_SelfStock_Log[WeekIndex],77))</f>
        <v/>
      </c>
      <c r="CA14" s="17">
        <f>IF(COUNTIFS(T_SelfStock_Log[Part Name],$A14,T_SelfStock_Log[WeekIndex],78)=0,"",SUMIFS(T_SelfStock_Log[Self_Qty],T_SelfStock_Log[Part Name],$A14,T_SelfStock_Log[WeekIndex],78))</f>
        <v/>
      </c>
      <c r="CB14" s="17">
        <f>IF(COUNTIFS(T_SelfStock_Log[Part Name],$A14,T_SelfStock_Log[WeekIndex],79)=0,"",SUMIFS(T_SelfStock_Log[Self_Qty],T_SelfStock_Log[Part Name],$A14,T_SelfStock_Log[WeekIndex],79))</f>
        <v/>
      </c>
      <c r="CC14" s="17">
        <f>IF(COUNTIFS(T_SelfStock_Log[Part Name],$A14,T_SelfStock_Log[WeekIndex],80)=0,"",SUMIFS(T_SelfStock_Log[Self_Qty],T_SelfStock_Log[Part Name],$A14,T_SelfStock_Log[WeekIndex],80))</f>
        <v/>
      </c>
      <c r="CD14" s="17">
        <f>IF(COUNTIFS(T_SelfStock_Log[Part Name],$A14,T_SelfStock_Log[WeekIndex],81)=0,"",SUMIFS(T_SelfStock_Log[Self_Qty],T_SelfStock_Log[Part Name],$A14,T_SelfStock_Log[WeekIndex],81))</f>
        <v/>
      </c>
      <c r="CE14" s="17">
        <f>IF(COUNTIFS(T_SelfStock_Log[Part Name],$A14,T_SelfStock_Log[WeekIndex],82)=0,"",SUMIFS(T_SelfStock_Log[Self_Qty],T_SelfStock_Log[Part Name],$A14,T_SelfStock_Log[WeekIndex],82))</f>
        <v/>
      </c>
      <c r="CF14" s="17">
        <f>IF(COUNTIFS(T_SelfStock_Log[Part Name],$A14,T_SelfStock_Log[WeekIndex],83)=0,"",SUMIFS(T_SelfStock_Log[Self_Qty],T_SelfStock_Log[Part Name],$A14,T_SelfStock_Log[WeekIndex],83))</f>
        <v/>
      </c>
      <c r="CG14" s="17">
        <f>IF(COUNTIFS(T_SelfStock_Log[Part Name],$A14,T_SelfStock_Log[WeekIndex],84)=0,"",SUMIFS(T_SelfStock_Log[Self_Qty],T_SelfStock_Log[Part Name],$A14,T_SelfStock_Log[WeekIndex],84))</f>
        <v/>
      </c>
      <c r="CH14" s="17">
        <f>IF(COUNTIFS(T_SelfStock_Log[Part Name],$A14,T_SelfStock_Log[WeekIndex],85)=0,"",SUMIFS(T_SelfStock_Log[Self_Qty],T_SelfStock_Log[Part Name],$A14,T_SelfStock_Log[WeekIndex],85))</f>
        <v/>
      </c>
      <c r="CI14" s="17">
        <f>IF(COUNTIFS(T_SelfStock_Log[Part Name],$A14,T_SelfStock_Log[WeekIndex],86)=0,"",SUMIFS(T_SelfStock_Log[Self_Qty],T_SelfStock_Log[Part Name],$A14,T_SelfStock_Log[WeekIndex],86))</f>
        <v/>
      </c>
      <c r="CJ14" s="17">
        <f>IF(COUNTIFS(T_SelfStock_Log[Part Name],$A14,T_SelfStock_Log[WeekIndex],87)=0,"",SUMIFS(T_SelfStock_Log[Self_Qty],T_SelfStock_Log[Part Name],$A14,T_SelfStock_Log[WeekIndex],87))</f>
        <v/>
      </c>
      <c r="CK14" s="17">
        <f>IF(COUNTIFS(T_SelfStock_Log[Part Name],$A14,T_SelfStock_Log[WeekIndex],88)=0,"",SUMIFS(T_SelfStock_Log[Self_Qty],T_SelfStock_Log[Part Name],$A14,T_SelfStock_Log[WeekIndex],88))</f>
        <v/>
      </c>
      <c r="CL14" s="17">
        <f>IF(COUNTIFS(T_SelfStock_Log[Part Name],$A14,T_SelfStock_Log[WeekIndex],89)=0,"",SUMIFS(T_SelfStock_Log[Self_Qty],T_SelfStock_Log[Part Name],$A14,T_SelfStock_Log[WeekIndex],89))</f>
        <v/>
      </c>
      <c r="CM14" s="17">
        <f>IF(COUNTIFS(T_SelfStock_Log[Part Name],$A14,T_SelfStock_Log[WeekIndex],90)=0,"",SUMIFS(T_SelfStock_Log[Self_Qty],T_SelfStock_Log[Part Name],$A14,T_SelfStock_Log[WeekIndex],90))</f>
        <v/>
      </c>
      <c r="CN14" s="17">
        <f>IF(COUNTIFS(T_SelfStock_Log[Part Name],$A14,T_SelfStock_Log[WeekIndex],91)=0,"",SUMIFS(T_SelfStock_Log[Self_Qty],T_SelfStock_Log[Part Name],$A14,T_SelfStock_Log[WeekIndex],91))</f>
        <v/>
      </c>
      <c r="CO14" s="17">
        <f>IF(COUNTIFS(T_SelfStock_Log[Part Name],$A14,T_SelfStock_Log[WeekIndex],92)=0,"",SUMIFS(T_SelfStock_Log[Self_Qty],T_SelfStock_Log[Part Name],$A14,T_SelfStock_Log[WeekIndex],92))</f>
        <v/>
      </c>
      <c r="CP14" s="17">
        <f>IF(COUNTIFS(T_SelfStock_Log[Part Name],$A14,T_SelfStock_Log[WeekIndex],93)=0,"",SUMIFS(T_SelfStock_Log[Self_Qty],T_SelfStock_Log[Part Name],$A14,T_SelfStock_Log[WeekIndex],93))</f>
        <v/>
      </c>
      <c r="CQ14" s="17">
        <f>IF(COUNTIFS(T_SelfStock_Log[Part Name],$A14,T_SelfStock_Log[WeekIndex],94)=0,"",SUMIFS(T_SelfStock_Log[Self_Qty],T_SelfStock_Log[Part Name],$A14,T_SelfStock_Log[WeekIndex],94))</f>
        <v/>
      </c>
      <c r="CR14" s="17">
        <f>IF(COUNTIFS(T_SelfStock_Log[Part Name],$A14,T_SelfStock_Log[WeekIndex],95)=0,"",SUMIFS(T_SelfStock_Log[Self_Qty],T_SelfStock_Log[Part Name],$A14,T_SelfStock_Log[WeekIndex],95))</f>
        <v/>
      </c>
      <c r="CS14" s="17">
        <f>IF(COUNTIFS(T_SelfStock_Log[Part Name],$A14,T_SelfStock_Log[WeekIndex],96)=0,"",SUMIFS(T_SelfStock_Log[Self_Qty],T_SelfStock_Log[Part Name],$A14,T_SelfStock_Log[WeekIndex],96))</f>
        <v/>
      </c>
      <c r="CT14" s="17">
        <f>IF(COUNTIFS(T_SelfStock_Log[Part Name],$A14,T_SelfStock_Log[WeekIndex],97)=0,"",SUMIFS(T_SelfStock_Log[Self_Qty],T_SelfStock_Log[Part Name],$A14,T_SelfStock_Log[WeekIndex],97))</f>
        <v/>
      </c>
      <c r="CU14" s="17">
        <f>IF(COUNTIFS(T_SelfStock_Log[Part Name],$A14,T_SelfStock_Log[WeekIndex],98)=0,"",SUMIFS(T_SelfStock_Log[Self_Qty],T_SelfStock_Log[Part Name],$A14,T_SelfStock_Log[WeekIndex],98))</f>
        <v/>
      </c>
      <c r="CV14" s="17">
        <f>IF(COUNTIFS(T_SelfStock_Log[Part Name],$A14,T_SelfStock_Log[WeekIndex],99)=0,"",SUMIFS(T_SelfStock_Log[Self_Qty],T_SelfStock_Log[Part Name],$A14,T_SelfStock_Log[WeekIndex],99))</f>
        <v/>
      </c>
      <c r="CW14" s="17">
        <f>IF(COUNTIFS(T_SelfStock_Log[Part Name],$A14,T_SelfStock_Log[WeekIndex],100)=0,"",SUMIFS(T_SelfStock_Log[Self_Qty],T_SelfStock_Log[Part Name],$A14,T_SelfStock_Log[WeekIndex],100))</f>
        <v/>
      </c>
      <c r="CX14" s="17">
        <f>IF(COUNTIFS(T_SelfStock_Log[Part Name],$A14,T_SelfStock_Log[WeekIndex],101)=0,"",SUMIFS(T_SelfStock_Log[Self_Qty],T_SelfStock_Log[Part Name],$A14,T_SelfStock_Log[WeekIndex],101))</f>
        <v/>
      </c>
      <c r="CY14" s="17">
        <f>IF(COUNTIFS(T_SelfStock_Log[Part Name],$A14,T_SelfStock_Log[WeekIndex],102)=0,"",SUMIFS(T_SelfStock_Log[Self_Qty],T_SelfStock_Log[Part Name],$A14,T_SelfStock_Log[WeekIndex],102))</f>
        <v/>
      </c>
      <c r="CZ14" s="17">
        <f>IF(COUNTIFS(T_SelfStock_Log[Part Name],$A14,T_SelfStock_Log[WeekIndex],103)=0,"",SUMIFS(T_SelfStock_Log[Self_Qty],T_SelfStock_Log[Part Name],$A14,T_SelfStock_Log[WeekIndex],103))</f>
        <v/>
      </c>
      <c r="DA14" s="17">
        <f>IF(COUNTIFS(T_SelfStock_Log[Part Name],$A14,T_SelfStock_Log[WeekIndex],104)=0,"",SUMIFS(T_SelfStock_Log[Self_Qty],T_SelfStock_Log[Part Name],$A14,T_SelfStock_Log[WeekIndex],104))</f>
        <v/>
      </c>
    </row>
    <row r="15">
      <c r="A15" s="19" t="inlineStr">
        <is>
          <t>JEJ</t>
        </is>
      </c>
      <c r="B15" s="19">
        <f>IF(COUNTIFS(T_SelfStock_Log[Part Name],$A15,T_SelfStock_Log[WeekIndex],1)=0,"",SUMIFS(T_SelfStock_Log[Self_Qty],T_SelfStock_Log[Part Name],$A15,T_SelfStock_Log[WeekIndex],1))</f>
        <v/>
      </c>
      <c r="C15" s="19">
        <f>IF(COUNTIFS(T_SelfStock_Log[Part Name],$A15,T_SelfStock_Log[WeekIndex],2)=0,"",SUMIFS(T_SelfStock_Log[Self_Qty],T_SelfStock_Log[Part Name],$A15,T_SelfStock_Log[WeekIndex],2))</f>
        <v/>
      </c>
      <c r="D15" s="19">
        <f>IF(COUNTIFS(T_SelfStock_Log[Part Name],$A15,T_SelfStock_Log[WeekIndex],3)=0,"",SUMIFS(T_SelfStock_Log[Self_Qty],T_SelfStock_Log[Part Name],$A15,T_SelfStock_Log[WeekIndex],3))</f>
        <v/>
      </c>
      <c r="E15" s="19">
        <f>IF(COUNTIFS(T_SelfStock_Log[Part Name],$A15,T_SelfStock_Log[WeekIndex],4)=0,"",SUMIFS(T_SelfStock_Log[Self_Qty],T_SelfStock_Log[Part Name],$A15,T_SelfStock_Log[WeekIndex],4))</f>
        <v/>
      </c>
      <c r="F15" s="19">
        <f>IF(COUNTIFS(T_SelfStock_Log[Part Name],$A15,T_SelfStock_Log[WeekIndex],5)=0,"",SUMIFS(T_SelfStock_Log[Self_Qty],T_SelfStock_Log[Part Name],$A15,T_SelfStock_Log[WeekIndex],5))</f>
        <v/>
      </c>
      <c r="G15" s="19">
        <f>IF(COUNTIFS(T_SelfStock_Log[Part Name],$A15,T_SelfStock_Log[WeekIndex],6)=0,"",SUMIFS(T_SelfStock_Log[Self_Qty],T_SelfStock_Log[Part Name],$A15,T_SelfStock_Log[WeekIndex],6))</f>
        <v/>
      </c>
      <c r="H15" s="19">
        <f>IF(COUNTIFS(T_SelfStock_Log[Part Name],$A15,T_SelfStock_Log[WeekIndex],7)=0,"",SUMIFS(T_SelfStock_Log[Self_Qty],T_SelfStock_Log[Part Name],$A15,T_SelfStock_Log[WeekIndex],7))</f>
        <v/>
      </c>
      <c r="I15" s="19">
        <f>IF(COUNTIFS(T_SelfStock_Log[Part Name],$A15,T_SelfStock_Log[WeekIndex],8)=0,"",SUMIFS(T_SelfStock_Log[Self_Qty],T_SelfStock_Log[Part Name],$A15,T_SelfStock_Log[WeekIndex],8))</f>
        <v/>
      </c>
      <c r="J15" s="19">
        <f>IF(COUNTIFS(T_SelfStock_Log[Part Name],$A15,T_SelfStock_Log[WeekIndex],9)=0,"",SUMIFS(T_SelfStock_Log[Self_Qty],T_SelfStock_Log[Part Name],$A15,T_SelfStock_Log[WeekIndex],9))</f>
        <v/>
      </c>
      <c r="K15" s="19">
        <f>IF(COUNTIFS(T_SelfStock_Log[Part Name],$A15,T_SelfStock_Log[WeekIndex],10)=0,"",SUMIFS(T_SelfStock_Log[Self_Qty],T_SelfStock_Log[Part Name],$A15,T_SelfStock_Log[WeekIndex],10))</f>
        <v/>
      </c>
      <c r="L15" s="19">
        <f>IF(COUNTIFS(T_SelfStock_Log[Part Name],$A15,T_SelfStock_Log[WeekIndex],11)=0,"",SUMIFS(T_SelfStock_Log[Self_Qty],T_SelfStock_Log[Part Name],$A15,T_SelfStock_Log[WeekIndex],11))</f>
        <v/>
      </c>
      <c r="M15" s="19">
        <f>IF(COUNTIFS(T_SelfStock_Log[Part Name],$A15,T_SelfStock_Log[WeekIndex],12)=0,"",SUMIFS(T_SelfStock_Log[Self_Qty],T_SelfStock_Log[Part Name],$A15,T_SelfStock_Log[WeekIndex],12))</f>
        <v/>
      </c>
      <c r="N15" s="19">
        <f>IF(COUNTIFS(T_SelfStock_Log[Part Name],$A15,T_SelfStock_Log[WeekIndex],13)=0,"",SUMIFS(T_SelfStock_Log[Self_Qty],T_SelfStock_Log[Part Name],$A15,T_SelfStock_Log[WeekIndex],13))</f>
        <v/>
      </c>
      <c r="O15" s="19">
        <f>IF(COUNTIFS(T_SelfStock_Log[Part Name],$A15,T_SelfStock_Log[WeekIndex],14)=0,"",SUMIFS(T_SelfStock_Log[Self_Qty],T_SelfStock_Log[Part Name],$A15,T_SelfStock_Log[WeekIndex],14))</f>
        <v/>
      </c>
      <c r="P15" s="19">
        <f>IF(COUNTIFS(T_SelfStock_Log[Part Name],$A15,T_SelfStock_Log[WeekIndex],15)=0,"",SUMIFS(T_SelfStock_Log[Self_Qty],T_SelfStock_Log[Part Name],$A15,T_SelfStock_Log[WeekIndex],15))</f>
        <v/>
      </c>
      <c r="Q15" s="19">
        <f>IF(COUNTIFS(T_SelfStock_Log[Part Name],$A15,T_SelfStock_Log[WeekIndex],16)=0,"",SUMIFS(T_SelfStock_Log[Self_Qty],T_SelfStock_Log[Part Name],$A15,T_SelfStock_Log[WeekIndex],16))</f>
        <v/>
      </c>
      <c r="R15" s="19">
        <f>IF(COUNTIFS(T_SelfStock_Log[Part Name],$A15,T_SelfStock_Log[WeekIndex],17)=0,"",SUMIFS(T_SelfStock_Log[Self_Qty],T_SelfStock_Log[Part Name],$A15,T_SelfStock_Log[WeekIndex],17))</f>
        <v/>
      </c>
      <c r="S15" s="19">
        <f>IF(COUNTIFS(T_SelfStock_Log[Part Name],$A15,T_SelfStock_Log[WeekIndex],18)=0,"",SUMIFS(T_SelfStock_Log[Self_Qty],T_SelfStock_Log[Part Name],$A15,T_SelfStock_Log[WeekIndex],18))</f>
        <v/>
      </c>
      <c r="T15" s="19">
        <f>IF(COUNTIFS(T_SelfStock_Log[Part Name],$A15,T_SelfStock_Log[WeekIndex],19)=0,"",SUMIFS(T_SelfStock_Log[Self_Qty],T_SelfStock_Log[Part Name],$A15,T_SelfStock_Log[WeekIndex],19))</f>
        <v/>
      </c>
      <c r="U15" s="19">
        <f>IF(COUNTIFS(T_SelfStock_Log[Part Name],$A15,T_SelfStock_Log[WeekIndex],20)=0,"",SUMIFS(T_SelfStock_Log[Self_Qty],T_SelfStock_Log[Part Name],$A15,T_SelfStock_Log[WeekIndex],20))</f>
        <v/>
      </c>
      <c r="V15" s="19">
        <f>IF(COUNTIFS(T_SelfStock_Log[Part Name],$A15,T_SelfStock_Log[WeekIndex],21)=0,"",SUMIFS(T_SelfStock_Log[Self_Qty],T_SelfStock_Log[Part Name],$A15,T_SelfStock_Log[WeekIndex],21))</f>
        <v/>
      </c>
      <c r="W15" s="19">
        <f>IF(COUNTIFS(T_SelfStock_Log[Part Name],$A15,T_SelfStock_Log[WeekIndex],22)=0,"",SUMIFS(T_SelfStock_Log[Self_Qty],T_SelfStock_Log[Part Name],$A15,T_SelfStock_Log[WeekIndex],22))</f>
        <v/>
      </c>
      <c r="X15" s="19">
        <f>IF(COUNTIFS(T_SelfStock_Log[Part Name],$A15,T_SelfStock_Log[WeekIndex],23)=0,"",SUMIFS(T_SelfStock_Log[Self_Qty],T_SelfStock_Log[Part Name],$A15,T_SelfStock_Log[WeekIndex],23))</f>
        <v/>
      </c>
      <c r="Y15" s="19">
        <f>IF(COUNTIFS(T_SelfStock_Log[Part Name],$A15,T_SelfStock_Log[WeekIndex],24)=0,"",SUMIFS(T_SelfStock_Log[Self_Qty],T_SelfStock_Log[Part Name],$A15,T_SelfStock_Log[WeekIndex],24))</f>
        <v/>
      </c>
      <c r="Z15" s="19">
        <f>IF(COUNTIFS(T_SelfStock_Log[Part Name],$A15,T_SelfStock_Log[WeekIndex],25)=0,"",SUMIFS(T_SelfStock_Log[Self_Qty],T_SelfStock_Log[Part Name],$A15,T_SelfStock_Log[WeekIndex],25))</f>
        <v/>
      </c>
      <c r="AA15" s="19">
        <f>IF(COUNTIFS(T_SelfStock_Log[Part Name],$A15,T_SelfStock_Log[WeekIndex],26)=0,"",SUMIFS(T_SelfStock_Log[Self_Qty],T_SelfStock_Log[Part Name],$A15,T_SelfStock_Log[WeekIndex],26))</f>
        <v/>
      </c>
      <c r="AB15" s="19">
        <f>IF(COUNTIFS(T_SelfStock_Log[Part Name],$A15,T_SelfStock_Log[WeekIndex],27)=0,"",SUMIFS(T_SelfStock_Log[Self_Qty],T_SelfStock_Log[Part Name],$A15,T_SelfStock_Log[WeekIndex],27))</f>
        <v/>
      </c>
      <c r="AC15" s="19">
        <f>IF(COUNTIFS(T_SelfStock_Log[Part Name],$A15,T_SelfStock_Log[WeekIndex],28)=0,"",SUMIFS(T_SelfStock_Log[Self_Qty],T_SelfStock_Log[Part Name],$A15,T_SelfStock_Log[WeekIndex],28))</f>
        <v/>
      </c>
      <c r="AD15" s="19">
        <f>IF(COUNTIFS(T_SelfStock_Log[Part Name],$A15,T_SelfStock_Log[WeekIndex],29)=0,"",SUMIFS(T_SelfStock_Log[Self_Qty],T_SelfStock_Log[Part Name],$A15,T_SelfStock_Log[WeekIndex],29))</f>
        <v/>
      </c>
      <c r="AE15" s="19">
        <f>IF(COUNTIFS(T_SelfStock_Log[Part Name],$A15,T_SelfStock_Log[WeekIndex],30)=0,"",SUMIFS(T_SelfStock_Log[Self_Qty],T_SelfStock_Log[Part Name],$A15,T_SelfStock_Log[WeekIndex],30))</f>
        <v/>
      </c>
      <c r="AF15" s="19">
        <f>IF(COUNTIFS(T_SelfStock_Log[Part Name],$A15,T_SelfStock_Log[WeekIndex],31)=0,"",SUMIFS(T_SelfStock_Log[Self_Qty],T_SelfStock_Log[Part Name],$A15,T_SelfStock_Log[WeekIndex],31))</f>
        <v/>
      </c>
      <c r="AG15" s="19">
        <f>IF(COUNTIFS(T_SelfStock_Log[Part Name],$A15,T_SelfStock_Log[WeekIndex],32)=0,"",SUMIFS(T_SelfStock_Log[Self_Qty],T_SelfStock_Log[Part Name],$A15,T_SelfStock_Log[WeekIndex],32))</f>
        <v/>
      </c>
      <c r="AH15" s="19">
        <f>IF(COUNTIFS(T_SelfStock_Log[Part Name],$A15,T_SelfStock_Log[WeekIndex],33)=0,"",SUMIFS(T_SelfStock_Log[Self_Qty],T_SelfStock_Log[Part Name],$A15,T_SelfStock_Log[WeekIndex],33))</f>
        <v/>
      </c>
      <c r="AI15" s="19">
        <f>IF(COUNTIFS(T_SelfStock_Log[Part Name],$A15,T_SelfStock_Log[WeekIndex],34)=0,"",SUMIFS(T_SelfStock_Log[Self_Qty],T_SelfStock_Log[Part Name],$A15,T_SelfStock_Log[WeekIndex],34))</f>
        <v/>
      </c>
      <c r="AJ15" s="19">
        <f>IF(COUNTIFS(T_SelfStock_Log[Part Name],$A15,T_SelfStock_Log[WeekIndex],35)=0,"",SUMIFS(T_SelfStock_Log[Self_Qty],T_SelfStock_Log[Part Name],$A15,T_SelfStock_Log[WeekIndex],35))</f>
        <v/>
      </c>
      <c r="AK15" s="19">
        <f>IF(COUNTIFS(T_SelfStock_Log[Part Name],$A15,T_SelfStock_Log[WeekIndex],36)=0,"",SUMIFS(T_SelfStock_Log[Self_Qty],T_SelfStock_Log[Part Name],$A15,T_SelfStock_Log[WeekIndex],36))</f>
        <v/>
      </c>
      <c r="AL15" s="19">
        <f>IF(COUNTIFS(T_SelfStock_Log[Part Name],$A15,T_SelfStock_Log[WeekIndex],37)=0,"",SUMIFS(T_SelfStock_Log[Self_Qty],T_SelfStock_Log[Part Name],$A15,T_SelfStock_Log[WeekIndex],37))</f>
        <v/>
      </c>
      <c r="AM15" s="19">
        <f>IF(COUNTIFS(T_SelfStock_Log[Part Name],$A15,T_SelfStock_Log[WeekIndex],38)=0,"",SUMIFS(T_SelfStock_Log[Self_Qty],T_SelfStock_Log[Part Name],$A15,T_SelfStock_Log[WeekIndex],38))</f>
        <v/>
      </c>
      <c r="AN15" s="19">
        <f>IF(COUNTIFS(T_SelfStock_Log[Part Name],$A15,T_SelfStock_Log[WeekIndex],39)=0,"",SUMIFS(T_SelfStock_Log[Self_Qty],T_SelfStock_Log[Part Name],$A15,T_SelfStock_Log[WeekIndex],39))</f>
        <v/>
      </c>
      <c r="AO15" s="19">
        <f>IF(COUNTIFS(T_SelfStock_Log[Part Name],$A15,T_SelfStock_Log[WeekIndex],40)=0,"",SUMIFS(T_SelfStock_Log[Self_Qty],T_SelfStock_Log[Part Name],$A15,T_SelfStock_Log[WeekIndex],40))</f>
        <v/>
      </c>
      <c r="AP15" s="19">
        <f>IF(COUNTIFS(T_SelfStock_Log[Part Name],$A15,T_SelfStock_Log[WeekIndex],41)=0,"",SUMIFS(T_SelfStock_Log[Self_Qty],T_SelfStock_Log[Part Name],$A15,T_SelfStock_Log[WeekIndex],41))</f>
        <v/>
      </c>
      <c r="AQ15" s="19">
        <f>IF(COUNTIFS(T_SelfStock_Log[Part Name],$A15,T_SelfStock_Log[WeekIndex],42)=0,"",SUMIFS(T_SelfStock_Log[Self_Qty],T_SelfStock_Log[Part Name],$A15,T_SelfStock_Log[WeekIndex],42))</f>
        <v/>
      </c>
      <c r="AR15" s="19">
        <f>IF(COUNTIFS(T_SelfStock_Log[Part Name],$A15,T_SelfStock_Log[WeekIndex],43)=0,"",SUMIFS(T_SelfStock_Log[Self_Qty],T_SelfStock_Log[Part Name],$A15,T_SelfStock_Log[WeekIndex],43))</f>
        <v/>
      </c>
      <c r="AS15" s="19">
        <f>IF(COUNTIFS(T_SelfStock_Log[Part Name],$A15,T_SelfStock_Log[WeekIndex],44)=0,"",SUMIFS(T_SelfStock_Log[Self_Qty],T_SelfStock_Log[Part Name],$A15,T_SelfStock_Log[WeekIndex],44))</f>
        <v/>
      </c>
      <c r="AT15" s="19">
        <f>IF(COUNTIFS(T_SelfStock_Log[Part Name],$A15,T_SelfStock_Log[WeekIndex],45)=0,"",SUMIFS(T_SelfStock_Log[Self_Qty],T_SelfStock_Log[Part Name],$A15,T_SelfStock_Log[WeekIndex],45))</f>
        <v/>
      </c>
      <c r="AU15" s="19">
        <f>IF(COUNTIFS(T_SelfStock_Log[Part Name],$A15,T_SelfStock_Log[WeekIndex],46)=0,"",SUMIFS(T_SelfStock_Log[Self_Qty],T_SelfStock_Log[Part Name],$A15,T_SelfStock_Log[WeekIndex],46))</f>
        <v/>
      </c>
      <c r="AV15" s="19">
        <f>IF(COUNTIFS(T_SelfStock_Log[Part Name],$A15,T_SelfStock_Log[WeekIndex],47)=0,"",SUMIFS(T_SelfStock_Log[Self_Qty],T_SelfStock_Log[Part Name],$A15,T_SelfStock_Log[WeekIndex],47))</f>
        <v/>
      </c>
      <c r="AW15" s="19">
        <f>IF(COUNTIFS(T_SelfStock_Log[Part Name],$A15,T_SelfStock_Log[WeekIndex],48)=0,"",SUMIFS(T_SelfStock_Log[Self_Qty],T_SelfStock_Log[Part Name],$A15,T_SelfStock_Log[WeekIndex],48))</f>
        <v/>
      </c>
      <c r="AX15" s="19">
        <f>IF(COUNTIFS(T_SelfStock_Log[Part Name],$A15,T_SelfStock_Log[WeekIndex],49)=0,"",SUMIFS(T_SelfStock_Log[Self_Qty],T_SelfStock_Log[Part Name],$A15,T_SelfStock_Log[WeekIndex],49))</f>
        <v/>
      </c>
      <c r="AY15" s="19">
        <f>IF(COUNTIFS(T_SelfStock_Log[Part Name],$A15,T_SelfStock_Log[WeekIndex],50)=0,"",SUMIFS(T_SelfStock_Log[Self_Qty],T_SelfStock_Log[Part Name],$A15,T_SelfStock_Log[WeekIndex],50))</f>
        <v/>
      </c>
      <c r="AZ15" s="19">
        <f>IF(COUNTIFS(T_SelfStock_Log[Part Name],$A15,T_SelfStock_Log[WeekIndex],51)=0,"",SUMIFS(T_SelfStock_Log[Self_Qty],T_SelfStock_Log[Part Name],$A15,T_SelfStock_Log[WeekIndex],51))</f>
        <v/>
      </c>
      <c r="BA15" s="19">
        <f>IF(COUNTIFS(T_SelfStock_Log[Part Name],$A15,T_SelfStock_Log[WeekIndex],52)=0,"",SUMIFS(T_SelfStock_Log[Self_Qty],T_SelfStock_Log[Part Name],$A15,T_SelfStock_Log[WeekIndex],52))</f>
        <v/>
      </c>
      <c r="BB15" s="19">
        <f>IF(COUNTIFS(T_SelfStock_Log[Part Name],$A15,T_SelfStock_Log[WeekIndex],53)=0,"",SUMIFS(T_SelfStock_Log[Self_Qty],T_SelfStock_Log[Part Name],$A15,T_SelfStock_Log[WeekIndex],53))</f>
        <v/>
      </c>
      <c r="BC15" s="19">
        <f>IF(COUNTIFS(T_SelfStock_Log[Part Name],$A15,T_SelfStock_Log[WeekIndex],54)=0,"",SUMIFS(T_SelfStock_Log[Self_Qty],T_SelfStock_Log[Part Name],$A15,T_SelfStock_Log[WeekIndex],54))</f>
        <v/>
      </c>
      <c r="BD15" s="19">
        <f>IF(COUNTIFS(T_SelfStock_Log[Part Name],$A15,T_SelfStock_Log[WeekIndex],55)=0,"",SUMIFS(T_SelfStock_Log[Self_Qty],T_SelfStock_Log[Part Name],$A15,T_SelfStock_Log[WeekIndex],55))</f>
        <v/>
      </c>
      <c r="BE15" s="19">
        <f>IF(COUNTIFS(T_SelfStock_Log[Part Name],$A15,T_SelfStock_Log[WeekIndex],56)=0,"",SUMIFS(T_SelfStock_Log[Self_Qty],T_SelfStock_Log[Part Name],$A15,T_SelfStock_Log[WeekIndex],56))</f>
        <v/>
      </c>
      <c r="BF15" s="19">
        <f>IF(COUNTIFS(T_SelfStock_Log[Part Name],$A15,T_SelfStock_Log[WeekIndex],57)=0,"",SUMIFS(T_SelfStock_Log[Self_Qty],T_SelfStock_Log[Part Name],$A15,T_SelfStock_Log[WeekIndex],57))</f>
        <v/>
      </c>
      <c r="BG15" s="19">
        <f>IF(COUNTIFS(T_SelfStock_Log[Part Name],$A15,T_SelfStock_Log[WeekIndex],58)=0,"",SUMIFS(T_SelfStock_Log[Self_Qty],T_SelfStock_Log[Part Name],$A15,T_SelfStock_Log[WeekIndex],58))</f>
        <v/>
      </c>
      <c r="BH15" s="19">
        <f>IF(COUNTIFS(T_SelfStock_Log[Part Name],$A15,T_SelfStock_Log[WeekIndex],59)=0,"",SUMIFS(T_SelfStock_Log[Self_Qty],T_SelfStock_Log[Part Name],$A15,T_SelfStock_Log[WeekIndex],59))</f>
        <v/>
      </c>
      <c r="BI15" s="19">
        <f>IF(COUNTIFS(T_SelfStock_Log[Part Name],$A15,T_SelfStock_Log[WeekIndex],60)=0,"",SUMIFS(T_SelfStock_Log[Self_Qty],T_SelfStock_Log[Part Name],$A15,T_SelfStock_Log[WeekIndex],60))</f>
        <v/>
      </c>
      <c r="BJ15" s="19">
        <f>IF(COUNTIFS(T_SelfStock_Log[Part Name],$A15,T_SelfStock_Log[WeekIndex],61)=0,"",SUMIFS(T_SelfStock_Log[Self_Qty],T_SelfStock_Log[Part Name],$A15,T_SelfStock_Log[WeekIndex],61))</f>
        <v/>
      </c>
      <c r="BK15" s="19">
        <f>IF(COUNTIFS(T_SelfStock_Log[Part Name],$A15,T_SelfStock_Log[WeekIndex],62)=0,"",SUMIFS(T_SelfStock_Log[Self_Qty],T_SelfStock_Log[Part Name],$A15,T_SelfStock_Log[WeekIndex],62))</f>
        <v/>
      </c>
      <c r="BL15" s="19">
        <f>IF(COUNTIFS(T_SelfStock_Log[Part Name],$A15,T_SelfStock_Log[WeekIndex],63)=0,"",SUMIFS(T_SelfStock_Log[Self_Qty],T_SelfStock_Log[Part Name],$A15,T_SelfStock_Log[WeekIndex],63))</f>
        <v/>
      </c>
      <c r="BM15" s="19">
        <f>IF(COUNTIFS(T_SelfStock_Log[Part Name],$A15,T_SelfStock_Log[WeekIndex],64)=0,"",SUMIFS(T_SelfStock_Log[Self_Qty],T_SelfStock_Log[Part Name],$A15,T_SelfStock_Log[WeekIndex],64))</f>
        <v/>
      </c>
      <c r="BN15" s="19">
        <f>IF(COUNTIFS(T_SelfStock_Log[Part Name],$A15,T_SelfStock_Log[WeekIndex],65)=0,"",SUMIFS(T_SelfStock_Log[Self_Qty],T_SelfStock_Log[Part Name],$A15,T_SelfStock_Log[WeekIndex],65))</f>
        <v/>
      </c>
      <c r="BO15" s="19">
        <f>IF(COUNTIFS(T_SelfStock_Log[Part Name],$A15,T_SelfStock_Log[WeekIndex],66)=0,"",SUMIFS(T_SelfStock_Log[Self_Qty],T_SelfStock_Log[Part Name],$A15,T_SelfStock_Log[WeekIndex],66))</f>
        <v/>
      </c>
      <c r="BP15" s="19">
        <f>IF(COUNTIFS(T_SelfStock_Log[Part Name],$A15,T_SelfStock_Log[WeekIndex],67)=0,"",SUMIFS(T_SelfStock_Log[Self_Qty],T_SelfStock_Log[Part Name],$A15,T_SelfStock_Log[WeekIndex],67))</f>
        <v/>
      </c>
      <c r="BQ15" s="19">
        <f>IF(COUNTIFS(T_SelfStock_Log[Part Name],$A15,T_SelfStock_Log[WeekIndex],68)=0,"",SUMIFS(T_SelfStock_Log[Self_Qty],T_SelfStock_Log[Part Name],$A15,T_SelfStock_Log[WeekIndex],68))</f>
        <v/>
      </c>
      <c r="BR15" s="19">
        <f>IF(COUNTIFS(T_SelfStock_Log[Part Name],$A15,T_SelfStock_Log[WeekIndex],69)=0,"",SUMIFS(T_SelfStock_Log[Self_Qty],T_SelfStock_Log[Part Name],$A15,T_SelfStock_Log[WeekIndex],69))</f>
        <v/>
      </c>
      <c r="BS15" s="19">
        <f>IF(COUNTIFS(T_SelfStock_Log[Part Name],$A15,T_SelfStock_Log[WeekIndex],70)=0,"",SUMIFS(T_SelfStock_Log[Self_Qty],T_SelfStock_Log[Part Name],$A15,T_SelfStock_Log[WeekIndex],70))</f>
        <v/>
      </c>
      <c r="BT15" s="19">
        <f>IF(COUNTIFS(T_SelfStock_Log[Part Name],$A15,T_SelfStock_Log[WeekIndex],71)=0,"",SUMIFS(T_SelfStock_Log[Self_Qty],T_SelfStock_Log[Part Name],$A15,T_SelfStock_Log[WeekIndex],71))</f>
        <v/>
      </c>
      <c r="BU15" s="19">
        <f>IF(COUNTIFS(T_SelfStock_Log[Part Name],$A15,T_SelfStock_Log[WeekIndex],72)=0,"",SUMIFS(T_SelfStock_Log[Self_Qty],T_SelfStock_Log[Part Name],$A15,T_SelfStock_Log[WeekIndex],72))</f>
        <v/>
      </c>
      <c r="BV15" s="19">
        <f>IF(COUNTIFS(T_SelfStock_Log[Part Name],$A15,T_SelfStock_Log[WeekIndex],73)=0,"",SUMIFS(T_SelfStock_Log[Self_Qty],T_SelfStock_Log[Part Name],$A15,T_SelfStock_Log[WeekIndex],73))</f>
        <v/>
      </c>
      <c r="BW15" s="19">
        <f>IF(COUNTIFS(T_SelfStock_Log[Part Name],$A15,T_SelfStock_Log[WeekIndex],74)=0,"",SUMIFS(T_SelfStock_Log[Self_Qty],T_SelfStock_Log[Part Name],$A15,T_SelfStock_Log[WeekIndex],74))</f>
        <v/>
      </c>
      <c r="BX15" s="19">
        <f>IF(COUNTIFS(T_SelfStock_Log[Part Name],$A15,T_SelfStock_Log[WeekIndex],75)=0,"",SUMIFS(T_SelfStock_Log[Self_Qty],T_SelfStock_Log[Part Name],$A15,T_SelfStock_Log[WeekIndex],75))</f>
        <v/>
      </c>
      <c r="BY15" s="19">
        <f>IF(COUNTIFS(T_SelfStock_Log[Part Name],$A15,T_SelfStock_Log[WeekIndex],76)=0,"",SUMIFS(T_SelfStock_Log[Self_Qty],T_SelfStock_Log[Part Name],$A15,T_SelfStock_Log[WeekIndex],76))</f>
        <v/>
      </c>
      <c r="BZ15" s="19">
        <f>IF(COUNTIFS(T_SelfStock_Log[Part Name],$A15,T_SelfStock_Log[WeekIndex],77)=0,"",SUMIFS(T_SelfStock_Log[Self_Qty],T_SelfStock_Log[Part Name],$A15,T_SelfStock_Log[WeekIndex],77))</f>
        <v/>
      </c>
      <c r="CA15" s="19">
        <f>IF(COUNTIFS(T_SelfStock_Log[Part Name],$A15,T_SelfStock_Log[WeekIndex],78)=0,"",SUMIFS(T_SelfStock_Log[Self_Qty],T_SelfStock_Log[Part Name],$A15,T_SelfStock_Log[WeekIndex],78))</f>
        <v/>
      </c>
      <c r="CB15" s="19">
        <f>IF(COUNTIFS(T_SelfStock_Log[Part Name],$A15,T_SelfStock_Log[WeekIndex],79)=0,"",SUMIFS(T_SelfStock_Log[Self_Qty],T_SelfStock_Log[Part Name],$A15,T_SelfStock_Log[WeekIndex],79))</f>
        <v/>
      </c>
      <c r="CC15" s="19">
        <f>IF(COUNTIFS(T_SelfStock_Log[Part Name],$A15,T_SelfStock_Log[WeekIndex],80)=0,"",SUMIFS(T_SelfStock_Log[Self_Qty],T_SelfStock_Log[Part Name],$A15,T_SelfStock_Log[WeekIndex],80))</f>
        <v/>
      </c>
      <c r="CD15" s="19">
        <f>IF(COUNTIFS(T_SelfStock_Log[Part Name],$A15,T_SelfStock_Log[WeekIndex],81)=0,"",SUMIFS(T_SelfStock_Log[Self_Qty],T_SelfStock_Log[Part Name],$A15,T_SelfStock_Log[WeekIndex],81))</f>
        <v/>
      </c>
      <c r="CE15" s="19">
        <f>IF(COUNTIFS(T_SelfStock_Log[Part Name],$A15,T_SelfStock_Log[WeekIndex],82)=0,"",SUMIFS(T_SelfStock_Log[Self_Qty],T_SelfStock_Log[Part Name],$A15,T_SelfStock_Log[WeekIndex],82))</f>
        <v/>
      </c>
      <c r="CF15" s="19">
        <f>IF(COUNTIFS(T_SelfStock_Log[Part Name],$A15,T_SelfStock_Log[WeekIndex],83)=0,"",SUMIFS(T_SelfStock_Log[Self_Qty],T_SelfStock_Log[Part Name],$A15,T_SelfStock_Log[WeekIndex],83))</f>
        <v/>
      </c>
      <c r="CG15" s="19">
        <f>IF(COUNTIFS(T_SelfStock_Log[Part Name],$A15,T_SelfStock_Log[WeekIndex],84)=0,"",SUMIFS(T_SelfStock_Log[Self_Qty],T_SelfStock_Log[Part Name],$A15,T_SelfStock_Log[WeekIndex],84))</f>
        <v/>
      </c>
      <c r="CH15" s="19">
        <f>IF(COUNTIFS(T_SelfStock_Log[Part Name],$A15,T_SelfStock_Log[WeekIndex],85)=0,"",SUMIFS(T_SelfStock_Log[Self_Qty],T_SelfStock_Log[Part Name],$A15,T_SelfStock_Log[WeekIndex],85))</f>
        <v/>
      </c>
      <c r="CI15" s="19">
        <f>IF(COUNTIFS(T_SelfStock_Log[Part Name],$A15,T_SelfStock_Log[WeekIndex],86)=0,"",SUMIFS(T_SelfStock_Log[Self_Qty],T_SelfStock_Log[Part Name],$A15,T_SelfStock_Log[WeekIndex],86))</f>
        <v/>
      </c>
      <c r="CJ15" s="19">
        <f>IF(COUNTIFS(T_SelfStock_Log[Part Name],$A15,T_SelfStock_Log[WeekIndex],87)=0,"",SUMIFS(T_SelfStock_Log[Self_Qty],T_SelfStock_Log[Part Name],$A15,T_SelfStock_Log[WeekIndex],87))</f>
        <v/>
      </c>
      <c r="CK15" s="19">
        <f>IF(COUNTIFS(T_SelfStock_Log[Part Name],$A15,T_SelfStock_Log[WeekIndex],88)=0,"",SUMIFS(T_SelfStock_Log[Self_Qty],T_SelfStock_Log[Part Name],$A15,T_SelfStock_Log[WeekIndex],88))</f>
        <v/>
      </c>
      <c r="CL15" s="19">
        <f>IF(COUNTIFS(T_SelfStock_Log[Part Name],$A15,T_SelfStock_Log[WeekIndex],89)=0,"",SUMIFS(T_SelfStock_Log[Self_Qty],T_SelfStock_Log[Part Name],$A15,T_SelfStock_Log[WeekIndex],89))</f>
        <v/>
      </c>
      <c r="CM15" s="19">
        <f>IF(COUNTIFS(T_SelfStock_Log[Part Name],$A15,T_SelfStock_Log[WeekIndex],90)=0,"",SUMIFS(T_SelfStock_Log[Self_Qty],T_SelfStock_Log[Part Name],$A15,T_SelfStock_Log[WeekIndex],90))</f>
        <v/>
      </c>
      <c r="CN15" s="19">
        <f>IF(COUNTIFS(T_SelfStock_Log[Part Name],$A15,T_SelfStock_Log[WeekIndex],91)=0,"",SUMIFS(T_SelfStock_Log[Self_Qty],T_SelfStock_Log[Part Name],$A15,T_SelfStock_Log[WeekIndex],91))</f>
        <v/>
      </c>
      <c r="CO15" s="19">
        <f>IF(COUNTIFS(T_SelfStock_Log[Part Name],$A15,T_SelfStock_Log[WeekIndex],92)=0,"",SUMIFS(T_SelfStock_Log[Self_Qty],T_SelfStock_Log[Part Name],$A15,T_SelfStock_Log[WeekIndex],92))</f>
        <v/>
      </c>
      <c r="CP15" s="19">
        <f>IF(COUNTIFS(T_SelfStock_Log[Part Name],$A15,T_SelfStock_Log[WeekIndex],93)=0,"",SUMIFS(T_SelfStock_Log[Self_Qty],T_SelfStock_Log[Part Name],$A15,T_SelfStock_Log[WeekIndex],93))</f>
        <v/>
      </c>
      <c r="CQ15" s="19">
        <f>IF(COUNTIFS(T_SelfStock_Log[Part Name],$A15,T_SelfStock_Log[WeekIndex],94)=0,"",SUMIFS(T_SelfStock_Log[Self_Qty],T_SelfStock_Log[Part Name],$A15,T_SelfStock_Log[WeekIndex],94))</f>
        <v/>
      </c>
      <c r="CR15" s="19">
        <f>IF(COUNTIFS(T_SelfStock_Log[Part Name],$A15,T_SelfStock_Log[WeekIndex],95)=0,"",SUMIFS(T_SelfStock_Log[Self_Qty],T_SelfStock_Log[Part Name],$A15,T_SelfStock_Log[WeekIndex],95))</f>
        <v/>
      </c>
      <c r="CS15" s="19">
        <f>IF(COUNTIFS(T_SelfStock_Log[Part Name],$A15,T_SelfStock_Log[WeekIndex],96)=0,"",SUMIFS(T_SelfStock_Log[Self_Qty],T_SelfStock_Log[Part Name],$A15,T_SelfStock_Log[WeekIndex],96))</f>
        <v/>
      </c>
      <c r="CT15" s="19">
        <f>IF(COUNTIFS(T_SelfStock_Log[Part Name],$A15,T_SelfStock_Log[WeekIndex],97)=0,"",SUMIFS(T_SelfStock_Log[Self_Qty],T_SelfStock_Log[Part Name],$A15,T_SelfStock_Log[WeekIndex],97))</f>
        <v/>
      </c>
      <c r="CU15" s="19">
        <f>IF(COUNTIFS(T_SelfStock_Log[Part Name],$A15,T_SelfStock_Log[WeekIndex],98)=0,"",SUMIFS(T_SelfStock_Log[Self_Qty],T_SelfStock_Log[Part Name],$A15,T_SelfStock_Log[WeekIndex],98))</f>
        <v/>
      </c>
      <c r="CV15" s="19">
        <f>IF(COUNTIFS(T_SelfStock_Log[Part Name],$A15,T_SelfStock_Log[WeekIndex],99)=0,"",SUMIFS(T_SelfStock_Log[Self_Qty],T_SelfStock_Log[Part Name],$A15,T_SelfStock_Log[WeekIndex],99))</f>
        <v/>
      </c>
      <c r="CW15" s="19">
        <f>IF(COUNTIFS(T_SelfStock_Log[Part Name],$A15,T_SelfStock_Log[WeekIndex],100)=0,"",SUMIFS(T_SelfStock_Log[Self_Qty],T_SelfStock_Log[Part Name],$A15,T_SelfStock_Log[WeekIndex],100))</f>
        <v/>
      </c>
      <c r="CX15" s="19">
        <f>IF(COUNTIFS(T_SelfStock_Log[Part Name],$A15,T_SelfStock_Log[WeekIndex],101)=0,"",SUMIFS(T_SelfStock_Log[Self_Qty],T_SelfStock_Log[Part Name],$A15,T_SelfStock_Log[WeekIndex],101))</f>
        <v/>
      </c>
      <c r="CY15" s="19">
        <f>IF(COUNTIFS(T_SelfStock_Log[Part Name],$A15,T_SelfStock_Log[WeekIndex],102)=0,"",SUMIFS(T_SelfStock_Log[Self_Qty],T_SelfStock_Log[Part Name],$A15,T_SelfStock_Log[WeekIndex],102))</f>
        <v/>
      </c>
      <c r="CZ15" s="19">
        <f>IF(COUNTIFS(T_SelfStock_Log[Part Name],$A15,T_SelfStock_Log[WeekIndex],103)=0,"",SUMIFS(T_SelfStock_Log[Self_Qty],T_SelfStock_Log[Part Name],$A15,T_SelfStock_Log[WeekIndex],103))</f>
        <v/>
      </c>
      <c r="DA15" s="19">
        <f>IF(COUNTIFS(T_SelfStock_Log[Part Name],$A15,T_SelfStock_Log[WeekIndex],104)=0,"",SUMIFS(T_SelfStock_Log[Self_Qty],T_SelfStock_Log[Part Name],$A15,T_SelfStock_Log[WeekIndex],104))</f>
        <v/>
      </c>
    </row>
    <row r="16">
      <c r="A16" s="17" t="inlineStr">
        <is>
          <t>YAN</t>
        </is>
      </c>
      <c r="B16" s="17">
        <f>IF(COUNTIFS(T_SelfStock_Log[Part Name],$A16,T_SelfStock_Log[WeekIndex],1)=0,"",SUMIFS(T_SelfStock_Log[Self_Qty],T_SelfStock_Log[Part Name],$A16,T_SelfStock_Log[WeekIndex],1))</f>
        <v/>
      </c>
      <c r="C16" s="17">
        <f>IF(COUNTIFS(T_SelfStock_Log[Part Name],$A16,T_SelfStock_Log[WeekIndex],2)=0,"",SUMIFS(T_SelfStock_Log[Self_Qty],T_SelfStock_Log[Part Name],$A16,T_SelfStock_Log[WeekIndex],2))</f>
        <v/>
      </c>
      <c r="D16" s="17">
        <f>IF(COUNTIFS(T_SelfStock_Log[Part Name],$A16,T_SelfStock_Log[WeekIndex],3)=0,"",SUMIFS(T_SelfStock_Log[Self_Qty],T_SelfStock_Log[Part Name],$A16,T_SelfStock_Log[WeekIndex],3))</f>
        <v/>
      </c>
      <c r="E16" s="17">
        <f>IF(COUNTIFS(T_SelfStock_Log[Part Name],$A16,T_SelfStock_Log[WeekIndex],4)=0,"",SUMIFS(T_SelfStock_Log[Self_Qty],T_SelfStock_Log[Part Name],$A16,T_SelfStock_Log[WeekIndex],4))</f>
        <v/>
      </c>
      <c r="F16" s="17">
        <f>IF(COUNTIFS(T_SelfStock_Log[Part Name],$A16,T_SelfStock_Log[WeekIndex],5)=0,"",SUMIFS(T_SelfStock_Log[Self_Qty],T_SelfStock_Log[Part Name],$A16,T_SelfStock_Log[WeekIndex],5))</f>
        <v/>
      </c>
      <c r="G16" s="17">
        <f>IF(COUNTIFS(T_SelfStock_Log[Part Name],$A16,T_SelfStock_Log[WeekIndex],6)=0,"",SUMIFS(T_SelfStock_Log[Self_Qty],T_SelfStock_Log[Part Name],$A16,T_SelfStock_Log[WeekIndex],6))</f>
        <v/>
      </c>
      <c r="H16" s="17">
        <f>IF(COUNTIFS(T_SelfStock_Log[Part Name],$A16,T_SelfStock_Log[WeekIndex],7)=0,"",SUMIFS(T_SelfStock_Log[Self_Qty],T_SelfStock_Log[Part Name],$A16,T_SelfStock_Log[WeekIndex],7))</f>
        <v/>
      </c>
      <c r="I16" s="17">
        <f>IF(COUNTIFS(T_SelfStock_Log[Part Name],$A16,T_SelfStock_Log[WeekIndex],8)=0,"",SUMIFS(T_SelfStock_Log[Self_Qty],T_SelfStock_Log[Part Name],$A16,T_SelfStock_Log[WeekIndex],8))</f>
        <v/>
      </c>
      <c r="J16" s="17">
        <f>IF(COUNTIFS(T_SelfStock_Log[Part Name],$A16,T_SelfStock_Log[WeekIndex],9)=0,"",SUMIFS(T_SelfStock_Log[Self_Qty],T_SelfStock_Log[Part Name],$A16,T_SelfStock_Log[WeekIndex],9))</f>
        <v/>
      </c>
      <c r="K16" s="17">
        <f>IF(COUNTIFS(T_SelfStock_Log[Part Name],$A16,T_SelfStock_Log[WeekIndex],10)=0,"",SUMIFS(T_SelfStock_Log[Self_Qty],T_SelfStock_Log[Part Name],$A16,T_SelfStock_Log[WeekIndex],10))</f>
        <v/>
      </c>
      <c r="L16" s="17">
        <f>IF(COUNTIFS(T_SelfStock_Log[Part Name],$A16,T_SelfStock_Log[WeekIndex],11)=0,"",SUMIFS(T_SelfStock_Log[Self_Qty],T_SelfStock_Log[Part Name],$A16,T_SelfStock_Log[WeekIndex],11))</f>
        <v/>
      </c>
      <c r="M16" s="17">
        <f>IF(COUNTIFS(T_SelfStock_Log[Part Name],$A16,T_SelfStock_Log[WeekIndex],12)=0,"",SUMIFS(T_SelfStock_Log[Self_Qty],T_SelfStock_Log[Part Name],$A16,T_SelfStock_Log[WeekIndex],12))</f>
        <v/>
      </c>
      <c r="N16" s="17">
        <f>IF(COUNTIFS(T_SelfStock_Log[Part Name],$A16,T_SelfStock_Log[WeekIndex],13)=0,"",SUMIFS(T_SelfStock_Log[Self_Qty],T_SelfStock_Log[Part Name],$A16,T_SelfStock_Log[WeekIndex],13))</f>
        <v/>
      </c>
      <c r="O16" s="17">
        <f>IF(COUNTIFS(T_SelfStock_Log[Part Name],$A16,T_SelfStock_Log[WeekIndex],14)=0,"",SUMIFS(T_SelfStock_Log[Self_Qty],T_SelfStock_Log[Part Name],$A16,T_SelfStock_Log[WeekIndex],14))</f>
        <v/>
      </c>
      <c r="P16" s="17">
        <f>IF(COUNTIFS(T_SelfStock_Log[Part Name],$A16,T_SelfStock_Log[WeekIndex],15)=0,"",SUMIFS(T_SelfStock_Log[Self_Qty],T_SelfStock_Log[Part Name],$A16,T_SelfStock_Log[WeekIndex],15))</f>
        <v/>
      </c>
      <c r="Q16" s="17">
        <f>IF(COUNTIFS(T_SelfStock_Log[Part Name],$A16,T_SelfStock_Log[WeekIndex],16)=0,"",SUMIFS(T_SelfStock_Log[Self_Qty],T_SelfStock_Log[Part Name],$A16,T_SelfStock_Log[WeekIndex],16))</f>
        <v/>
      </c>
      <c r="R16" s="17">
        <f>IF(COUNTIFS(T_SelfStock_Log[Part Name],$A16,T_SelfStock_Log[WeekIndex],17)=0,"",SUMIFS(T_SelfStock_Log[Self_Qty],T_SelfStock_Log[Part Name],$A16,T_SelfStock_Log[WeekIndex],17))</f>
        <v/>
      </c>
      <c r="S16" s="17">
        <f>IF(COUNTIFS(T_SelfStock_Log[Part Name],$A16,T_SelfStock_Log[WeekIndex],18)=0,"",SUMIFS(T_SelfStock_Log[Self_Qty],T_SelfStock_Log[Part Name],$A16,T_SelfStock_Log[WeekIndex],18))</f>
        <v/>
      </c>
      <c r="T16" s="17">
        <f>IF(COUNTIFS(T_SelfStock_Log[Part Name],$A16,T_SelfStock_Log[WeekIndex],19)=0,"",SUMIFS(T_SelfStock_Log[Self_Qty],T_SelfStock_Log[Part Name],$A16,T_SelfStock_Log[WeekIndex],19))</f>
        <v/>
      </c>
      <c r="U16" s="17">
        <f>IF(COUNTIFS(T_SelfStock_Log[Part Name],$A16,T_SelfStock_Log[WeekIndex],20)=0,"",SUMIFS(T_SelfStock_Log[Self_Qty],T_SelfStock_Log[Part Name],$A16,T_SelfStock_Log[WeekIndex],20))</f>
        <v/>
      </c>
      <c r="V16" s="17">
        <f>IF(COUNTIFS(T_SelfStock_Log[Part Name],$A16,T_SelfStock_Log[WeekIndex],21)=0,"",SUMIFS(T_SelfStock_Log[Self_Qty],T_SelfStock_Log[Part Name],$A16,T_SelfStock_Log[WeekIndex],21))</f>
        <v/>
      </c>
      <c r="W16" s="17">
        <f>IF(COUNTIFS(T_SelfStock_Log[Part Name],$A16,T_SelfStock_Log[WeekIndex],22)=0,"",SUMIFS(T_SelfStock_Log[Self_Qty],T_SelfStock_Log[Part Name],$A16,T_SelfStock_Log[WeekIndex],22))</f>
        <v/>
      </c>
      <c r="X16" s="17">
        <f>IF(COUNTIFS(T_SelfStock_Log[Part Name],$A16,T_SelfStock_Log[WeekIndex],23)=0,"",SUMIFS(T_SelfStock_Log[Self_Qty],T_SelfStock_Log[Part Name],$A16,T_SelfStock_Log[WeekIndex],23))</f>
        <v/>
      </c>
      <c r="Y16" s="17">
        <f>IF(COUNTIFS(T_SelfStock_Log[Part Name],$A16,T_SelfStock_Log[WeekIndex],24)=0,"",SUMIFS(T_SelfStock_Log[Self_Qty],T_SelfStock_Log[Part Name],$A16,T_SelfStock_Log[WeekIndex],24))</f>
        <v/>
      </c>
      <c r="Z16" s="17">
        <f>IF(COUNTIFS(T_SelfStock_Log[Part Name],$A16,T_SelfStock_Log[WeekIndex],25)=0,"",SUMIFS(T_SelfStock_Log[Self_Qty],T_SelfStock_Log[Part Name],$A16,T_SelfStock_Log[WeekIndex],25))</f>
        <v/>
      </c>
      <c r="AA16" s="17">
        <f>IF(COUNTIFS(T_SelfStock_Log[Part Name],$A16,T_SelfStock_Log[WeekIndex],26)=0,"",SUMIFS(T_SelfStock_Log[Self_Qty],T_SelfStock_Log[Part Name],$A16,T_SelfStock_Log[WeekIndex],26))</f>
        <v/>
      </c>
      <c r="AB16" s="17">
        <f>IF(COUNTIFS(T_SelfStock_Log[Part Name],$A16,T_SelfStock_Log[WeekIndex],27)=0,"",SUMIFS(T_SelfStock_Log[Self_Qty],T_SelfStock_Log[Part Name],$A16,T_SelfStock_Log[WeekIndex],27))</f>
        <v/>
      </c>
      <c r="AC16" s="17">
        <f>IF(COUNTIFS(T_SelfStock_Log[Part Name],$A16,T_SelfStock_Log[WeekIndex],28)=0,"",SUMIFS(T_SelfStock_Log[Self_Qty],T_SelfStock_Log[Part Name],$A16,T_SelfStock_Log[WeekIndex],28))</f>
        <v/>
      </c>
      <c r="AD16" s="17">
        <f>IF(COUNTIFS(T_SelfStock_Log[Part Name],$A16,T_SelfStock_Log[WeekIndex],29)=0,"",SUMIFS(T_SelfStock_Log[Self_Qty],T_SelfStock_Log[Part Name],$A16,T_SelfStock_Log[WeekIndex],29))</f>
        <v/>
      </c>
      <c r="AE16" s="17">
        <f>IF(COUNTIFS(T_SelfStock_Log[Part Name],$A16,T_SelfStock_Log[WeekIndex],30)=0,"",SUMIFS(T_SelfStock_Log[Self_Qty],T_SelfStock_Log[Part Name],$A16,T_SelfStock_Log[WeekIndex],30))</f>
        <v/>
      </c>
      <c r="AF16" s="17">
        <f>IF(COUNTIFS(T_SelfStock_Log[Part Name],$A16,T_SelfStock_Log[WeekIndex],31)=0,"",SUMIFS(T_SelfStock_Log[Self_Qty],T_SelfStock_Log[Part Name],$A16,T_SelfStock_Log[WeekIndex],31))</f>
        <v/>
      </c>
      <c r="AG16" s="17">
        <f>IF(COUNTIFS(T_SelfStock_Log[Part Name],$A16,T_SelfStock_Log[WeekIndex],32)=0,"",SUMIFS(T_SelfStock_Log[Self_Qty],T_SelfStock_Log[Part Name],$A16,T_SelfStock_Log[WeekIndex],32))</f>
        <v/>
      </c>
      <c r="AH16" s="17">
        <f>IF(COUNTIFS(T_SelfStock_Log[Part Name],$A16,T_SelfStock_Log[WeekIndex],33)=0,"",SUMIFS(T_SelfStock_Log[Self_Qty],T_SelfStock_Log[Part Name],$A16,T_SelfStock_Log[WeekIndex],33))</f>
        <v/>
      </c>
      <c r="AI16" s="17">
        <f>IF(COUNTIFS(T_SelfStock_Log[Part Name],$A16,T_SelfStock_Log[WeekIndex],34)=0,"",SUMIFS(T_SelfStock_Log[Self_Qty],T_SelfStock_Log[Part Name],$A16,T_SelfStock_Log[WeekIndex],34))</f>
        <v/>
      </c>
      <c r="AJ16" s="17">
        <f>IF(COUNTIFS(T_SelfStock_Log[Part Name],$A16,T_SelfStock_Log[WeekIndex],35)=0,"",SUMIFS(T_SelfStock_Log[Self_Qty],T_SelfStock_Log[Part Name],$A16,T_SelfStock_Log[WeekIndex],35))</f>
        <v/>
      </c>
      <c r="AK16" s="17">
        <f>IF(COUNTIFS(T_SelfStock_Log[Part Name],$A16,T_SelfStock_Log[WeekIndex],36)=0,"",SUMIFS(T_SelfStock_Log[Self_Qty],T_SelfStock_Log[Part Name],$A16,T_SelfStock_Log[WeekIndex],36))</f>
        <v/>
      </c>
      <c r="AL16" s="17">
        <f>IF(COUNTIFS(T_SelfStock_Log[Part Name],$A16,T_SelfStock_Log[WeekIndex],37)=0,"",SUMIFS(T_SelfStock_Log[Self_Qty],T_SelfStock_Log[Part Name],$A16,T_SelfStock_Log[WeekIndex],37))</f>
        <v/>
      </c>
      <c r="AM16" s="17">
        <f>IF(COUNTIFS(T_SelfStock_Log[Part Name],$A16,T_SelfStock_Log[WeekIndex],38)=0,"",SUMIFS(T_SelfStock_Log[Self_Qty],T_SelfStock_Log[Part Name],$A16,T_SelfStock_Log[WeekIndex],38))</f>
        <v/>
      </c>
      <c r="AN16" s="17">
        <f>IF(COUNTIFS(T_SelfStock_Log[Part Name],$A16,T_SelfStock_Log[WeekIndex],39)=0,"",SUMIFS(T_SelfStock_Log[Self_Qty],T_SelfStock_Log[Part Name],$A16,T_SelfStock_Log[WeekIndex],39))</f>
        <v/>
      </c>
      <c r="AO16" s="17">
        <f>IF(COUNTIFS(T_SelfStock_Log[Part Name],$A16,T_SelfStock_Log[WeekIndex],40)=0,"",SUMIFS(T_SelfStock_Log[Self_Qty],T_SelfStock_Log[Part Name],$A16,T_SelfStock_Log[WeekIndex],40))</f>
        <v/>
      </c>
      <c r="AP16" s="17">
        <f>IF(COUNTIFS(T_SelfStock_Log[Part Name],$A16,T_SelfStock_Log[WeekIndex],41)=0,"",SUMIFS(T_SelfStock_Log[Self_Qty],T_SelfStock_Log[Part Name],$A16,T_SelfStock_Log[WeekIndex],41))</f>
        <v/>
      </c>
      <c r="AQ16" s="17">
        <f>IF(COUNTIFS(T_SelfStock_Log[Part Name],$A16,T_SelfStock_Log[WeekIndex],42)=0,"",SUMIFS(T_SelfStock_Log[Self_Qty],T_SelfStock_Log[Part Name],$A16,T_SelfStock_Log[WeekIndex],42))</f>
        <v/>
      </c>
      <c r="AR16" s="17">
        <f>IF(COUNTIFS(T_SelfStock_Log[Part Name],$A16,T_SelfStock_Log[WeekIndex],43)=0,"",SUMIFS(T_SelfStock_Log[Self_Qty],T_SelfStock_Log[Part Name],$A16,T_SelfStock_Log[WeekIndex],43))</f>
        <v/>
      </c>
      <c r="AS16" s="17">
        <f>IF(COUNTIFS(T_SelfStock_Log[Part Name],$A16,T_SelfStock_Log[WeekIndex],44)=0,"",SUMIFS(T_SelfStock_Log[Self_Qty],T_SelfStock_Log[Part Name],$A16,T_SelfStock_Log[WeekIndex],44))</f>
        <v/>
      </c>
      <c r="AT16" s="17">
        <f>IF(COUNTIFS(T_SelfStock_Log[Part Name],$A16,T_SelfStock_Log[WeekIndex],45)=0,"",SUMIFS(T_SelfStock_Log[Self_Qty],T_SelfStock_Log[Part Name],$A16,T_SelfStock_Log[WeekIndex],45))</f>
        <v/>
      </c>
      <c r="AU16" s="17">
        <f>IF(COUNTIFS(T_SelfStock_Log[Part Name],$A16,T_SelfStock_Log[WeekIndex],46)=0,"",SUMIFS(T_SelfStock_Log[Self_Qty],T_SelfStock_Log[Part Name],$A16,T_SelfStock_Log[WeekIndex],46))</f>
        <v/>
      </c>
      <c r="AV16" s="17">
        <f>IF(COUNTIFS(T_SelfStock_Log[Part Name],$A16,T_SelfStock_Log[WeekIndex],47)=0,"",SUMIFS(T_SelfStock_Log[Self_Qty],T_SelfStock_Log[Part Name],$A16,T_SelfStock_Log[WeekIndex],47))</f>
        <v/>
      </c>
      <c r="AW16" s="17">
        <f>IF(COUNTIFS(T_SelfStock_Log[Part Name],$A16,T_SelfStock_Log[WeekIndex],48)=0,"",SUMIFS(T_SelfStock_Log[Self_Qty],T_SelfStock_Log[Part Name],$A16,T_SelfStock_Log[WeekIndex],48))</f>
        <v/>
      </c>
      <c r="AX16" s="17">
        <f>IF(COUNTIFS(T_SelfStock_Log[Part Name],$A16,T_SelfStock_Log[WeekIndex],49)=0,"",SUMIFS(T_SelfStock_Log[Self_Qty],T_SelfStock_Log[Part Name],$A16,T_SelfStock_Log[WeekIndex],49))</f>
        <v/>
      </c>
      <c r="AY16" s="17">
        <f>IF(COUNTIFS(T_SelfStock_Log[Part Name],$A16,T_SelfStock_Log[WeekIndex],50)=0,"",SUMIFS(T_SelfStock_Log[Self_Qty],T_SelfStock_Log[Part Name],$A16,T_SelfStock_Log[WeekIndex],50))</f>
        <v/>
      </c>
      <c r="AZ16" s="17">
        <f>IF(COUNTIFS(T_SelfStock_Log[Part Name],$A16,T_SelfStock_Log[WeekIndex],51)=0,"",SUMIFS(T_SelfStock_Log[Self_Qty],T_SelfStock_Log[Part Name],$A16,T_SelfStock_Log[WeekIndex],51))</f>
        <v/>
      </c>
      <c r="BA16" s="17">
        <f>IF(COUNTIFS(T_SelfStock_Log[Part Name],$A16,T_SelfStock_Log[WeekIndex],52)=0,"",SUMIFS(T_SelfStock_Log[Self_Qty],T_SelfStock_Log[Part Name],$A16,T_SelfStock_Log[WeekIndex],52))</f>
        <v/>
      </c>
      <c r="BB16" s="17">
        <f>IF(COUNTIFS(T_SelfStock_Log[Part Name],$A16,T_SelfStock_Log[WeekIndex],53)=0,"",SUMIFS(T_SelfStock_Log[Self_Qty],T_SelfStock_Log[Part Name],$A16,T_SelfStock_Log[WeekIndex],53))</f>
        <v/>
      </c>
      <c r="BC16" s="17">
        <f>IF(COUNTIFS(T_SelfStock_Log[Part Name],$A16,T_SelfStock_Log[WeekIndex],54)=0,"",SUMIFS(T_SelfStock_Log[Self_Qty],T_SelfStock_Log[Part Name],$A16,T_SelfStock_Log[WeekIndex],54))</f>
        <v/>
      </c>
      <c r="BD16" s="17">
        <f>IF(COUNTIFS(T_SelfStock_Log[Part Name],$A16,T_SelfStock_Log[WeekIndex],55)=0,"",SUMIFS(T_SelfStock_Log[Self_Qty],T_SelfStock_Log[Part Name],$A16,T_SelfStock_Log[WeekIndex],55))</f>
        <v/>
      </c>
      <c r="BE16" s="17">
        <f>IF(COUNTIFS(T_SelfStock_Log[Part Name],$A16,T_SelfStock_Log[WeekIndex],56)=0,"",SUMIFS(T_SelfStock_Log[Self_Qty],T_SelfStock_Log[Part Name],$A16,T_SelfStock_Log[WeekIndex],56))</f>
        <v/>
      </c>
      <c r="BF16" s="17">
        <f>IF(COUNTIFS(T_SelfStock_Log[Part Name],$A16,T_SelfStock_Log[WeekIndex],57)=0,"",SUMIFS(T_SelfStock_Log[Self_Qty],T_SelfStock_Log[Part Name],$A16,T_SelfStock_Log[WeekIndex],57))</f>
        <v/>
      </c>
      <c r="BG16" s="17">
        <f>IF(COUNTIFS(T_SelfStock_Log[Part Name],$A16,T_SelfStock_Log[WeekIndex],58)=0,"",SUMIFS(T_SelfStock_Log[Self_Qty],T_SelfStock_Log[Part Name],$A16,T_SelfStock_Log[WeekIndex],58))</f>
        <v/>
      </c>
      <c r="BH16" s="17">
        <f>IF(COUNTIFS(T_SelfStock_Log[Part Name],$A16,T_SelfStock_Log[WeekIndex],59)=0,"",SUMIFS(T_SelfStock_Log[Self_Qty],T_SelfStock_Log[Part Name],$A16,T_SelfStock_Log[WeekIndex],59))</f>
        <v/>
      </c>
      <c r="BI16" s="17">
        <f>IF(COUNTIFS(T_SelfStock_Log[Part Name],$A16,T_SelfStock_Log[WeekIndex],60)=0,"",SUMIFS(T_SelfStock_Log[Self_Qty],T_SelfStock_Log[Part Name],$A16,T_SelfStock_Log[WeekIndex],60))</f>
        <v/>
      </c>
      <c r="BJ16" s="17">
        <f>IF(COUNTIFS(T_SelfStock_Log[Part Name],$A16,T_SelfStock_Log[WeekIndex],61)=0,"",SUMIFS(T_SelfStock_Log[Self_Qty],T_SelfStock_Log[Part Name],$A16,T_SelfStock_Log[WeekIndex],61))</f>
        <v/>
      </c>
      <c r="BK16" s="17">
        <f>IF(COUNTIFS(T_SelfStock_Log[Part Name],$A16,T_SelfStock_Log[WeekIndex],62)=0,"",SUMIFS(T_SelfStock_Log[Self_Qty],T_SelfStock_Log[Part Name],$A16,T_SelfStock_Log[WeekIndex],62))</f>
        <v/>
      </c>
      <c r="BL16" s="17">
        <f>IF(COUNTIFS(T_SelfStock_Log[Part Name],$A16,T_SelfStock_Log[WeekIndex],63)=0,"",SUMIFS(T_SelfStock_Log[Self_Qty],T_SelfStock_Log[Part Name],$A16,T_SelfStock_Log[WeekIndex],63))</f>
        <v/>
      </c>
      <c r="BM16" s="17">
        <f>IF(COUNTIFS(T_SelfStock_Log[Part Name],$A16,T_SelfStock_Log[WeekIndex],64)=0,"",SUMIFS(T_SelfStock_Log[Self_Qty],T_SelfStock_Log[Part Name],$A16,T_SelfStock_Log[WeekIndex],64))</f>
        <v/>
      </c>
      <c r="BN16" s="17">
        <f>IF(COUNTIFS(T_SelfStock_Log[Part Name],$A16,T_SelfStock_Log[WeekIndex],65)=0,"",SUMIFS(T_SelfStock_Log[Self_Qty],T_SelfStock_Log[Part Name],$A16,T_SelfStock_Log[WeekIndex],65))</f>
        <v/>
      </c>
      <c r="BO16" s="17">
        <f>IF(COUNTIFS(T_SelfStock_Log[Part Name],$A16,T_SelfStock_Log[WeekIndex],66)=0,"",SUMIFS(T_SelfStock_Log[Self_Qty],T_SelfStock_Log[Part Name],$A16,T_SelfStock_Log[WeekIndex],66))</f>
        <v/>
      </c>
      <c r="BP16" s="17">
        <f>IF(COUNTIFS(T_SelfStock_Log[Part Name],$A16,T_SelfStock_Log[WeekIndex],67)=0,"",SUMIFS(T_SelfStock_Log[Self_Qty],T_SelfStock_Log[Part Name],$A16,T_SelfStock_Log[WeekIndex],67))</f>
        <v/>
      </c>
      <c r="BQ16" s="17">
        <f>IF(COUNTIFS(T_SelfStock_Log[Part Name],$A16,T_SelfStock_Log[WeekIndex],68)=0,"",SUMIFS(T_SelfStock_Log[Self_Qty],T_SelfStock_Log[Part Name],$A16,T_SelfStock_Log[WeekIndex],68))</f>
        <v/>
      </c>
      <c r="BR16" s="17">
        <f>IF(COUNTIFS(T_SelfStock_Log[Part Name],$A16,T_SelfStock_Log[WeekIndex],69)=0,"",SUMIFS(T_SelfStock_Log[Self_Qty],T_SelfStock_Log[Part Name],$A16,T_SelfStock_Log[WeekIndex],69))</f>
        <v/>
      </c>
      <c r="BS16" s="17">
        <f>IF(COUNTIFS(T_SelfStock_Log[Part Name],$A16,T_SelfStock_Log[WeekIndex],70)=0,"",SUMIFS(T_SelfStock_Log[Self_Qty],T_SelfStock_Log[Part Name],$A16,T_SelfStock_Log[WeekIndex],70))</f>
        <v/>
      </c>
      <c r="BT16" s="17">
        <f>IF(COUNTIFS(T_SelfStock_Log[Part Name],$A16,T_SelfStock_Log[WeekIndex],71)=0,"",SUMIFS(T_SelfStock_Log[Self_Qty],T_SelfStock_Log[Part Name],$A16,T_SelfStock_Log[WeekIndex],71))</f>
        <v/>
      </c>
      <c r="BU16" s="17">
        <f>IF(COUNTIFS(T_SelfStock_Log[Part Name],$A16,T_SelfStock_Log[WeekIndex],72)=0,"",SUMIFS(T_SelfStock_Log[Self_Qty],T_SelfStock_Log[Part Name],$A16,T_SelfStock_Log[WeekIndex],72))</f>
        <v/>
      </c>
      <c r="BV16" s="17">
        <f>IF(COUNTIFS(T_SelfStock_Log[Part Name],$A16,T_SelfStock_Log[WeekIndex],73)=0,"",SUMIFS(T_SelfStock_Log[Self_Qty],T_SelfStock_Log[Part Name],$A16,T_SelfStock_Log[WeekIndex],73))</f>
        <v/>
      </c>
      <c r="BW16" s="17">
        <f>IF(COUNTIFS(T_SelfStock_Log[Part Name],$A16,T_SelfStock_Log[WeekIndex],74)=0,"",SUMIFS(T_SelfStock_Log[Self_Qty],T_SelfStock_Log[Part Name],$A16,T_SelfStock_Log[WeekIndex],74))</f>
        <v/>
      </c>
      <c r="BX16" s="17">
        <f>IF(COUNTIFS(T_SelfStock_Log[Part Name],$A16,T_SelfStock_Log[WeekIndex],75)=0,"",SUMIFS(T_SelfStock_Log[Self_Qty],T_SelfStock_Log[Part Name],$A16,T_SelfStock_Log[WeekIndex],75))</f>
        <v/>
      </c>
      <c r="BY16" s="17">
        <f>IF(COUNTIFS(T_SelfStock_Log[Part Name],$A16,T_SelfStock_Log[WeekIndex],76)=0,"",SUMIFS(T_SelfStock_Log[Self_Qty],T_SelfStock_Log[Part Name],$A16,T_SelfStock_Log[WeekIndex],76))</f>
        <v/>
      </c>
      <c r="BZ16" s="17">
        <f>IF(COUNTIFS(T_SelfStock_Log[Part Name],$A16,T_SelfStock_Log[WeekIndex],77)=0,"",SUMIFS(T_SelfStock_Log[Self_Qty],T_SelfStock_Log[Part Name],$A16,T_SelfStock_Log[WeekIndex],77))</f>
        <v/>
      </c>
      <c r="CA16" s="17">
        <f>IF(COUNTIFS(T_SelfStock_Log[Part Name],$A16,T_SelfStock_Log[WeekIndex],78)=0,"",SUMIFS(T_SelfStock_Log[Self_Qty],T_SelfStock_Log[Part Name],$A16,T_SelfStock_Log[WeekIndex],78))</f>
        <v/>
      </c>
      <c r="CB16" s="17">
        <f>IF(COUNTIFS(T_SelfStock_Log[Part Name],$A16,T_SelfStock_Log[WeekIndex],79)=0,"",SUMIFS(T_SelfStock_Log[Self_Qty],T_SelfStock_Log[Part Name],$A16,T_SelfStock_Log[WeekIndex],79))</f>
        <v/>
      </c>
      <c r="CC16" s="17">
        <f>IF(COUNTIFS(T_SelfStock_Log[Part Name],$A16,T_SelfStock_Log[WeekIndex],80)=0,"",SUMIFS(T_SelfStock_Log[Self_Qty],T_SelfStock_Log[Part Name],$A16,T_SelfStock_Log[WeekIndex],80))</f>
        <v/>
      </c>
      <c r="CD16" s="17">
        <f>IF(COUNTIFS(T_SelfStock_Log[Part Name],$A16,T_SelfStock_Log[WeekIndex],81)=0,"",SUMIFS(T_SelfStock_Log[Self_Qty],T_SelfStock_Log[Part Name],$A16,T_SelfStock_Log[WeekIndex],81))</f>
        <v/>
      </c>
      <c r="CE16" s="17">
        <f>IF(COUNTIFS(T_SelfStock_Log[Part Name],$A16,T_SelfStock_Log[WeekIndex],82)=0,"",SUMIFS(T_SelfStock_Log[Self_Qty],T_SelfStock_Log[Part Name],$A16,T_SelfStock_Log[WeekIndex],82))</f>
        <v/>
      </c>
      <c r="CF16" s="17">
        <f>IF(COUNTIFS(T_SelfStock_Log[Part Name],$A16,T_SelfStock_Log[WeekIndex],83)=0,"",SUMIFS(T_SelfStock_Log[Self_Qty],T_SelfStock_Log[Part Name],$A16,T_SelfStock_Log[WeekIndex],83))</f>
        <v/>
      </c>
      <c r="CG16" s="17">
        <f>IF(COUNTIFS(T_SelfStock_Log[Part Name],$A16,T_SelfStock_Log[WeekIndex],84)=0,"",SUMIFS(T_SelfStock_Log[Self_Qty],T_SelfStock_Log[Part Name],$A16,T_SelfStock_Log[WeekIndex],84))</f>
        <v/>
      </c>
      <c r="CH16" s="17">
        <f>IF(COUNTIFS(T_SelfStock_Log[Part Name],$A16,T_SelfStock_Log[WeekIndex],85)=0,"",SUMIFS(T_SelfStock_Log[Self_Qty],T_SelfStock_Log[Part Name],$A16,T_SelfStock_Log[WeekIndex],85))</f>
        <v/>
      </c>
      <c r="CI16" s="17">
        <f>IF(COUNTIFS(T_SelfStock_Log[Part Name],$A16,T_SelfStock_Log[WeekIndex],86)=0,"",SUMIFS(T_SelfStock_Log[Self_Qty],T_SelfStock_Log[Part Name],$A16,T_SelfStock_Log[WeekIndex],86))</f>
        <v/>
      </c>
      <c r="CJ16" s="17">
        <f>IF(COUNTIFS(T_SelfStock_Log[Part Name],$A16,T_SelfStock_Log[WeekIndex],87)=0,"",SUMIFS(T_SelfStock_Log[Self_Qty],T_SelfStock_Log[Part Name],$A16,T_SelfStock_Log[WeekIndex],87))</f>
        <v/>
      </c>
      <c r="CK16" s="17">
        <f>IF(COUNTIFS(T_SelfStock_Log[Part Name],$A16,T_SelfStock_Log[WeekIndex],88)=0,"",SUMIFS(T_SelfStock_Log[Self_Qty],T_SelfStock_Log[Part Name],$A16,T_SelfStock_Log[WeekIndex],88))</f>
        <v/>
      </c>
      <c r="CL16" s="17">
        <f>IF(COUNTIFS(T_SelfStock_Log[Part Name],$A16,T_SelfStock_Log[WeekIndex],89)=0,"",SUMIFS(T_SelfStock_Log[Self_Qty],T_SelfStock_Log[Part Name],$A16,T_SelfStock_Log[WeekIndex],89))</f>
        <v/>
      </c>
      <c r="CM16" s="17">
        <f>IF(COUNTIFS(T_SelfStock_Log[Part Name],$A16,T_SelfStock_Log[WeekIndex],90)=0,"",SUMIFS(T_SelfStock_Log[Self_Qty],T_SelfStock_Log[Part Name],$A16,T_SelfStock_Log[WeekIndex],90))</f>
        <v/>
      </c>
      <c r="CN16" s="17">
        <f>IF(COUNTIFS(T_SelfStock_Log[Part Name],$A16,T_SelfStock_Log[WeekIndex],91)=0,"",SUMIFS(T_SelfStock_Log[Self_Qty],T_SelfStock_Log[Part Name],$A16,T_SelfStock_Log[WeekIndex],91))</f>
        <v/>
      </c>
      <c r="CO16" s="17">
        <f>IF(COUNTIFS(T_SelfStock_Log[Part Name],$A16,T_SelfStock_Log[WeekIndex],92)=0,"",SUMIFS(T_SelfStock_Log[Self_Qty],T_SelfStock_Log[Part Name],$A16,T_SelfStock_Log[WeekIndex],92))</f>
        <v/>
      </c>
      <c r="CP16" s="17">
        <f>IF(COUNTIFS(T_SelfStock_Log[Part Name],$A16,T_SelfStock_Log[WeekIndex],93)=0,"",SUMIFS(T_SelfStock_Log[Self_Qty],T_SelfStock_Log[Part Name],$A16,T_SelfStock_Log[WeekIndex],93))</f>
        <v/>
      </c>
      <c r="CQ16" s="17">
        <f>IF(COUNTIFS(T_SelfStock_Log[Part Name],$A16,T_SelfStock_Log[WeekIndex],94)=0,"",SUMIFS(T_SelfStock_Log[Self_Qty],T_SelfStock_Log[Part Name],$A16,T_SelfStock_Log[WeekIndex],94))</f>
        <v/>
      </c>
      <c r="CR16" s="17">
        <f>IF(COUNTIFS(T_SelfStock_Log[Part Name],$A16,T_SelfStock_Log[WeekIndex],95)=0,"",SUMIFS(T_SelfStock_Log[Self_Qty],T_SelfStock_Log[Part Name],$A16,T_SelfStock_Log[WeekIndex],95))</f>
        <v/>
      </c>
      <c r="CS16" s="17">
        <f>IF(COUNTIFS(T_SelfStock_Log[Part Name],$A16,T_SelfStock_Log[WeekIndex],96)=0,"",SUMIFS(T_SelfStock_Log[Self_Qty],T_SelfStock_Log[Part Name],$A16,T_SelfStock_Log[WeekIndex],96))</f>
        <v/>
      </c>
      <c r="CT16" s="17">
        <f>IF(COUNTIFS(T_SelfStock_Log[Part Name],$A16,T_SelfStock_Log[WeekIndex],97)=0,"",SUMIFS(T_SelfStock_Log[Self_Qty],T_SelfStock_Log[Part Name],$A16,T_SelfStock_Log[WeekIndex],97))</f>
        <v/>
      </c>
      <c r="CU16" s="17">
        <f>IF(COUNTIFS(T_SelfStock_Log[Part Name],$A16,T_SelfStock_Log[WeekIndex],98)=0,"",SUMIFS(T_SelfStock_Log[Self_Qty],T_SelfStock_Log[Part Name],$A16,T_SelfStock_Log[WeekIndex],98))</f>
        <v/>
      </c>
      <c r="CV16" s="17">
        <f>IF(COUNTIFS(T_SelfStock_Log[Part Name],$A16,T_SelfStock_Log[WeekIndex],99)=0,"",SUMIFS(T_SelfStock_Log[Self_Qty],T_SelfStock_Log[Part Name],$A16,T_SelfStock_Log[WeekIndex],99))</f>
        <v/>
      </c>
      <c r="CW16" s="17">
        <f>IF(COUNTIFS(T_SelfStock_Log[Part Name],$A16,T_SelfStock_Log[WeekIndex],100)=0,"",SUMIFS(T_SelfStock_Log[Self_Qty],T_SelfStock_Log[Part Name],$A16,T_SelfStock_Log[WeekIndex],100))</f>
        <v/>
      </c>
      <c r="CX16" s="17">
        <f>IF(COUNTIFS(T_SelfStock_Log[Part Name],$A16,T_SelfStock_Log[WeekIndex],101)=0,"",SUMIFS(T_SelfStock_Log[Self_Qty],T_SelfStock_Log[Part Name],$A16,T_SelfStock_Log[WeekIndex],101))</f>
        <v/>
      </c>
      <c r="CY16" s="17">
        <f>IF(COUNTIFS(T_SelfStock_Log[Part Name],$A16,T_SelfStock_Log[WeekIndex],102)=0,"",SUMIFS(T_SelfStock_Log[Self_Qty],T_SelfStock_Log[Part Name],$A16,T_SelfStock_Log[WeekIndex],102))</f>
        <v/>
      </c>
      <c r="CZ16" s="17">
        <f>IF(COUNTIFS(T_SelfStock_Log[Part Name],$A16,T_SelfStock_Log[WeekIndex],103)=0,"",SUMIFS(T_SelfStock_Log[Self_Qty],T_SelfStock_Log[Part Name],$A16,T_SelfStock_Log[WeekIndex],103))</f>
        <v/>
      </c>
      <c r="DA16" s="17">
        <f>IF(COUNTIFS(T_SelfStock_Log[Part Name],$A16,T_SelfStock_Log[WeekIndex],104)=0,"",SUMIFS(T_SelfStock_Log[Self_Qty],T_SelfStock_Log[Part Name],$A16,T_SelfStock_Log[WeekIndex],104))</f>
        <v/>
      </c>
    </row>
    <row r="17">
      <c r="A17" s="19" t="inlineStr">
        <is>
          <t>ABN</t>
        </is>
      </c>
      <c r="B17" s="19">
        <f>IF(COUNTIFS(T_SelfStock_Log[Part Name],$A17,T_SelfStock_Log[WeekIndex],1)=0,"",SUMIFS(T_SelfStock_Log[Self_Qty],T_SelfStock_Log[Part Name],$A17,T_SelfStock_Log[WeekIndex],1))</f>
        <v/>
      </c>
      <c r="C17" s="19">
        <f>IF(COUNTIFS(T_SelfStock_Log[Part Name],$A17,T_SelfStock_Log[WeekIndex],2)=0,"",SUMIFS(T_SelfStock_Log[Self_Qty],T_SelfStock_Log[Part Name],$A17,T_SelfStock_Log[WeekIndex],2))</f>
        <v/>
      </c>
      <c r="D17" s="19">
        <f>IF(COUNTIFS(T_SelfStock_Log[Part Name],$A17,T_SelfStock_Log[WeekIndex],3)=0,"",SUMIFS(T_SelfStock_Log[Self_Qty],T_SelfStock_Log[Part Name],$A17,T_SelfStock_Log[WeekIndex],3))</f>
        <v/>
      </c>
      <c r="E17" s="19">
        <f>IF(COUNTIFS(T_SelfStock_Log[Part Name],$A17,T_SelfStock_Log[WeekIndex],4)=0,"",SUMIFS(T_SelfStock_Log[Self_Qty],T_SelfStock_Log[Part Name],$A17,T_SelfStock_Log[WeekIndex],4))</f>
        <v/>
      </c>
      <c r="F17" s="19">
        <f>IF(COUNTIFS(T_SelfStock_Log[Part Name],$A17,T_SelfStock_Log[WeekIndex],5)=0,"",SUMIFS(T_SelfStock_Log[Self_Qty],T_SelfStock_Log[Part Name],$A17,T_SelfStock_Log[WeekIndex],5))</f>
        <v/>
      </c>
      <c r="G17" s="19">
        <f>IF(COUNTIFS(T_SelfStock_Log[Part Name],$A17,T_SelfStock_Log[WeekIndex],6)=0,"",SUMIFS(T_SelfStock_Log[Self_Qty],T_SelfStock_Log[Part Name],$A17,T_SelfStock_Log[WeekIndex],6))</f>
        <v/>
      </c>
      <c r="H17" s="19">
        <f>IF(COUNTIFS(T_SelfStock_Log[Part Name],$A17,T_SelfStock_Log[WeekIndex],7)=0,"",SUMIFS(T_SelfStock_Log[Self_Qty],T_SelfStock_Log[Part Name],$A17,T_SelfStock_Log[WeekIndex],7))</f>
        <v/>
      </c>
      <c r="I17" s="19">
        <f>IF(COUNTIFS(T_SelfStock_Log[Part Name],$A17,T_SelfStock_Log[WeekIndex],8)=0,"",SUMIFS(T_SelfStock_Log[Self_Qty],T_SelfStock_Log[Part Name],$A17,T_SelfStock_Log[WeekIndex],8))</f>
        <v/>
      </c>
      <c r="J17" s="19">
        <f>IF(COUNTIFS(T_SelfStock_Log[Part Name],$A17,T_SelfStock_Log[WeekIndex],9)=0,"",SUMIFS(T_SelfStock_Log[Self_Qty],T_SelfStock_Log[Part Name],$A17,T_SelfStock_Log[WeekIndex],9))</f>
        <v/>
      </c>
      <c r="K17" s="19">
        <f>IF(COUNTIFS(T_SelfStock_Log[Part Name],$A17,T_SelfStock_Log[WeekIndex],10)=0,"",SUMIFS(T_SelfStock_Log[Self_Qty],T_SelfStock_Log[Part Name],$A17,T_SelfStock_Log[WeekIndex],10))</f>
        <v/>
      </c>
      <c r="L17" s="19">
        <f>IF(COUNTIFS(T_SelfStock_Log[Part Name],$A17,T_SelfStock_Log[WeekIndex],11)=0,"",SUMIFS(T_SelfStock_Log[Self_Qty],T_SelfStock_Log[Part Name],$A17,T_SelfStock_Log[WeekIndex],11))</f>
        <v/>
      </c>
      <c r="M17" s="19">
        <f>IF(COUNTIFS(T_SelfStock_Log[Part Name],$A17,T_SelfStock_Log[WeekIndex],12)=0,"",SUMIFS(T_SelfStock_Log[Self_Qty],T_SelfStock_Log[Part Name],$A17,T_SelfStock_Log[WeekIndex],12))</f>
        <v/>
      </c>
      <c r="N17" s="19">
        <f>IF(COUNTIFS(T_SelfStock_Log[Part Name],$A17,T_SelfStock_Log[WeekIndex],13)=0,"",SUMIFS(T_SelfStock_Log[Self_Qty],T_SelfStock_Log[Part Name],$A17,T_SelfStock_Log[WeekIndex],13))</f>
        <v/>
      </c>
      <c r="O17" s="19">
        <f>IF(COUNTIFS(T_SelfStock_Log[Part Name],$A17,T_SelfStock_Log[WeekIndex],14)=0,"",SUMIFS(T_SelfStock_Log[Self_Qty],T_SelfStock_Log[Part Name],$A17,T_SelfStock_Log[WeekIndex],14))</f>
        <v/>
      </c>
      <c r="P17" s="19">
        <f>IF(COUNTIFS(T_SelfStock_Log[Part Name],$A17,T_SelfStock_Log[WeekIndex],15)=0,"",SUMIFS(T_SelfStock_Log[Self_Qty],T_SelfStock_Log[Part Name],$A17,T_SelfStock_Log[WeekIndex],15))</f>
        <v/>
      </c>
      <c r="Q17" s="19">
        <f>IF(COUNTIFS(T_SelfStock_Log[Part Name],$A17,T_SelfStock_Log[WeekIndex],16)=0,"",SUMIFS(T_SelfStock_Log[Self_Qty],T_SelfStock_Log[Part Name],$A17,T_SelfStock_Log[WeekIndex],16))</f>
        <v/>
      </c>
      <c r="R17" s="19">
        <f>IF(COUNTIFS(T_SelfStock_Log[Part Name],$A17,T_SelfStock_Log[WeekIndex],17)=0,"",SUMIFS(T_SelfStock_Log[Self_Qty],T_SelfStock_Log[Part Name],$A17,T_SelfStock_Log[WeekIndex],17))</f>
        <v/>
      </c>
      <c r="S17" s="19">
        <f>IF(COUNTIFS(T_SelfStock_Log[Part Name],$A17,T_SelfStock_Log[WeekIndex],18)=0,"",SUMIFS(T_SelfStock_Log[Self_Qty],T_SelfStock_Log[Part Name],$A17,T_SelfStock_Log[WeekIndex],18))</f>
        <v/>
      </c>
      <c r="T17" s="19">
        <f>IF(COUNTIFS(T_SelfStock_Log[Part Name],$A17,T_SelfStock_Log[WeekIndex],19)=0,"",SUMIFS(T_SelfStock_Log[Self_Qty],T_SelfStock_Log[Part Name],$A17,T_SelfStock_Log[WeekIndex],19))</f>
        <v/>
      </c>
      <c r="U17" s="19">
        <f>IF(COUNTIFS(T_SelfStock_Log[Part Name],$A17,T_SelfStock_Log[WeekIndex],20)=0,"",SUMIFS(T_SelfStock_Log[Self_Qty],T_SelfStock_Log[Part Name],$A17,T_SelfStock_Log[WeekIndex],20))</f>
        <v/>
      </c>
      <c r="V17" s="19">
        <f>IF(COUNTIFS(T_SelfStock_Log[Part Name],$A17,T_SelfStock_Log[WeekIndex],21)=0,"",SUMIFS(T_SelfStock_Log[Self_Qty],T_SelfStock_Log[Part Name],$A17,T_SelfStock_Log[WeekIndex],21))</f>
        <v/>
      </c>
      <c r="W17" s="19">
        <f>IF(COUNTIFS(T_SelfStock_Log[Part Name],$A17,T_SelfStock_Log[WeekIndex],22)=0,"",SUMIFS(T_SelfStock_Log[Self_Qty],T_SelfStock_Log[Part Name],$A17,T_SelfStock_Log[WeekIndex],22))</f>
        <v/>
      </c>
      <c r="X17" s="19">
        <f>IF(COUNTIFS(T_SelfStock_Log[Part Name],$A17,T_SelfStock_Log[WeekIndex],23)=0,"",SUMIFS(T_SelfStock_Log[Self_Qty],T_SelfStock_Log[Part Name],$A17,T_SelfStock_Log[WeekIndex],23))</f>
        <v/>
      </c>
      <c r="Y17" s="19">
        <f>IF(COUNTIFS(T_SelfStock_Log[Part Name],$A17,T_SelfStock_Log[WeekIndex],24)=0,"",SUMIFS(T_SelfStock_Log[Self_Qty],T_SelfStock_Log[Part Name],$A17,T_SelfStock_Log[WeekIndex],24))</f>
        <v/>
      </c>
      <c r="Z17" s="19">
        <f>IF(COUNTIFS(T_SelfStock_Log[Part Name],$A17,T_SelfStock_Log[WeekIndex],25)=0,"",SUMIFS(T_SelfStock_Log[Self_Qty],T_SelfStock_Log[Part Name],$A17,T_SelfStock_Log[WeekIndex],25))</f>
        <v/>
      </c>
      <c r="AA17" s="19">
        <f>IF(COUNTIFS(T_SelfStock_Log[Part Name],$A17,T_SelfStock_Log[WeekIndex],26)=0,"",SUMIFS(T_SelfStock_Log[Self_Qty],T_SelfStock_Log[Part Name],$A17,T_SelfStock_Log[WeekIndex],26))</f>
        <v/>
      </c>
      <c r="AB17" s="19">
        <f>IF(COUNTIFS(T_SelfStock_Log[Part Name],$A17,T_SelfStock_Log[WeekIndex],27)=0,"",SUMIFS(T_SelfStock_Log[Self_Qty],T_SelfStock_Log[Part Name],$A17,T_SelfStock_Log[WeekIndex],27))</f>
        <v/>
      </c>
      <c r="AC17" s="19">
        <f>IF(COUNTIFS(T_SelfStock_Log[Part Name],$A17,T_SelfStock_Log[WeekIndex],28)=0,"",SUMIFS(T_SelfStock_Log[Self_Qty],T_SelfStock_Log[Part Name],$A17,T_SelfStock_Log[WeekIndex],28))</f>
        <v/>
      </c>
      <c r="AD17" s="19">
        <f>IF(COUNTIFS(T_SelfStock_Log[Part Name],$A17,T_SelfStock_Log[WeekIndex],29)=0,"",SUMIFS(T_SelfStock_Log[Self_Qty],T_SelfStock_Log[Part Name],$A17,T_SelfStock_Log[WeekIndex],29))</f>
        <v/>
      </c>
      <c r="AE17" s="19">
        <f>IF(COUNTIFS(T_SelfStock_Log[Part Name],$A17,T_SelfStock_Log[WeekIndex],30)=0,"",SUMIFS(T_SelfStock_Log[Self_Qty],T_SelfStock_Log[Part Name],$A17,T_SelfStock_Log[WeekIndex],30))</f>
        <v/>
      </c>
      <c r="AF17" s="19">
        <f>IF(COUNTIFS(T_SelfStock_Log[Part Name],$A17,T_SelfStock_Log[WeekIndex],31)=0,"",SUMIFS(T_SelfStock_Log[Self_Qty],T_SelfStock_Log[Part Name],$A17,T_SelfStock_Log[WeekIndex],31))</f>
        <v/>
      </c>
      <c r="AG17" s="19">
        <f>IF(COUNTIFS(T_SelfStock_Log[Part Name],$A17,T_SelfStock_Log[WeekIndex],32)=0,"",SUMIFS(T_SelfStock_Log[Self_Qty],T_SelfStock_Log[Part Name],$A17,T_SelfStock_Log[WeekIndex],32))</f>
        <v/>
      </c>
      <c r="AH17" s="19">
        <f>IF(COUNTIFS(T_SelfStock_Log[Part Name],$A17,T_SelfStock_Log[WeekIndex],33)=0,"",SUMIFS(T_SelfStock_Log[Self_Qty],T_SelfStock_Log[Part Name],$A17,T_SelfStock_Log[WeekIndex],33))</f>
        <v/>
      </c>
      <c r="AI17" s="19">
        <f>IF(COUNTIFS(T_SelfStock_Log[Part Name],$A17,T_SelfStock_Log[WeekIndex],34)=0,"",SUMIFS(T_SelfStock_Log[Self_Qty],T_SelfStock_Log[Part Name],$A17,T_SelfStock_Log[WeekIndex],34))</f>
        <v/>
      </c>
      <c r="AJ17" s="19">
        <f>IF(COUNTIFS(T_SelfStock_Log[Part Name],$A17,T_SelfStock_Log[WeekIndex],35)=0,"",SUMIFS(T_SelfStock_Log[Self_Qty],T_SelfStock_Log[Part Name],$A17,T_SelfStock_Log[WeekIndex],35))</f>
        <v/>
      </c>
      <c r="AK17" s="19">
        <f>IF(COUNTIFS(T_SelfStock_Log[Part Name],$A17,T_SelfStock_Log[WeekIndex],36)=0,"",SUMIFS(T_SelfStock_Log[Self_Qty],T_SelfStock_Log[Part Name],$A17,T_SelfStock_Log[WeekIndex],36))</f>
        <v/>
      </c>
      <c r="AL17" s="19">
        <f>IF(COUNTIFS(T_SelfStock_Log[Part Name],$A17,T_SelfStock_Log[WeekIndex],37)=0,"",SUMIFS(T_SelfStock_Log[Self_Qty],T_SelfStock_Log[Part Name],$A17,T_SelfStock_Log[WeekIndex],37))</f>
        <v/>
      </c>
      <c r="AM17" s="19">
        <f>IF(COUNTIFS(T_SelfStock_Log[Part Name],$A17,T_SelfStock_Log[WeekIndex],38)=0,"",SUMIFS(T_SelfStock_Log[Self_Qty],T_SelfStock_Log[Part Name],$A17,T_SelfStock_Log[WeekIndex],38))</f>
        <v/>
      </c>
      <c r="AN17" s="19">
        <f>IF(COUNTIFS(T_SelfStock_Log[Part Name],$A17,T_SelfStock_Log[WeekIndex],39)=0,"",SUMIFS(T_SelfStock_Log[Self_Qty],T_SelfStock_Log[Part Name],$A17,T_SelfStock_Log[WeekIndex],39))</f>
        <v/>
      </c>
      <c r="AO17" s="19">
        <f>IF(COUNTIFS(T_SelfStock_Log[Part Name],$A17,T_SelfStock_Log[WeekIndex],40)=0,"",SUMIFS(T_SelfStock_Log[Self_Qty],T_SelfStock_Log[Part Name],$A17,T_SelfStock_Log[WeekIndex],40))</f>
        <v/>
      </c>
      <c r="AP17" s="19">
        <f>IF(COUNTIFS(T_SelfStock_Log[Part Name],$A17,T_SelfStock_Log[WeekIndex],41)=0,"",SUMIFS(T_SelfStock_Log[Self_Qty],T_SelfStock_Log[Part Name],$A17,T_SelfStock_Log[WeekIndex],41))</f>
        <v/>
      </c>
      <c r="AQ17" s="19">
        <f>IF(COUNTIFS(T_SelfStock_Log[Part Name],$A17,T_SelfStock_Log[WeekIndex],42)=0,"",SUMIFS(T_SelfStock_Log[Self_Qty],T_SelfStock_Log[Part Name],$A17,T_SelfStock_Log[WeekIndex],42))</f>
        <v/>
      </c>
      <c r="AR17" s="19">
        <f>IF(COUNTIFS(T_SelfStock_Log[Part Name],$A17,T_SelfStock_Log[WeekIndex],43)=0,"",SUMIFS(T_SelfStock_Log[Self_Qty],T_SelfStock_Log[Part Name],$A17,T_SelfStock_Log[WeekIndex],43))</f>
        <v/>
      </c>
      <c r="AS17" s="19">
        <f>IF(COUNTIFS(T_SelfStock_Log[Part Name],$A17,T_SelfStock_Log[WeekIndex],44)=0,"",SUMIFS(T_SelfStock_Log[Self_Qty],T_SelfStock_Log[Part Name],$A17,T_SelfStock_Log[WeekIndex],44))</f>
        <v/>
      </c>
      <c r="AT17" s="19">
        <f>IF(COUNTIFS(T_SelfStock_Log[Part Name],$A17,T_SelfStock_Log[WeekIndex],45)=0,"",SUMIFS(T_SelfStock_Log[Self_Qty],T_SelfStock_Log[Part Name],$A17,T_SelfStock_Log[WeekIndex],45))</f>
        <v/>
      </c>
      <c r="AU17" s="19">
        <f>IF(COUNTIFS(T_SelfStock_Log[Part Name],$A17,T_SelfStock_Log[WeekIndex],46)=0,"",SUMIFS(T_SelfStock_Log[Self_Qty],T_SelfStock_Log[Part Name],$A17,T_SelfStock_Log[WeekIndex],46))</f>
        <v/>
      </c>
      <c r="AV17" s="19">
        <f>IF(COUNTIFS(T_SelfStock_Log[Part Name],$A17,T_SelfStock_Log[WeekIndex],47)=0,"",SUMIFS(T_SelfStock_Log[Self_Qty],T_SelfStock_Log[Part Name],$A17,T_SelfStock_Log[WeekIndex],47))</f>
        <v/>
      </c>
      <c r="AW17" s="19">
        <f>IF(COUNTIFS(T_SelfStock_Log[Part Name],$A17,T_SelfStock_Log[WeekIndex],48)=0,"",SUMIFS(T_SelfStock_Log[Self_Qty],T_SelfStock_Log[Part Name],$A17,T_SelfStock_Log[WeekIndex],48))</f>
        <v/>
      </c>
      <c r="AX17" s="19">
        <f>IF(COUNTIFS(T_SelfStock_Log[Part Name],$A17,T_SelfStock_Log[WeekIndex],49)=0,"",SUMIFS(T_SelfStock_Log[Self_Qty],T_SelfStock_Log[Part Name],$A17,T_SelfStock_Log[WeekIndex],49))</f>
        <v/>
      </c>
      <c r="AY17" s="19">
        <f>IF(COUNTIFS(T_SelfStock_Log[Part Name],$A17,T_SelfStock_Log[WeekIndex],50)=0,"",SUMIFS(T_SelfStock_Log[Self_Qty],T_SelfStock_Log[Part Name],$A17,T_SelfStock_Log[WeekIndex],50))</f>
        <v/>
      </c>
      <c r="AZ17" s="19">
        <f>IF(COUNTIFS(T_SelfStock_Log[Part Name],$A17,T_SelfStock_Log[WeekIndex],51)=0,"",SUMIFS(T_SelfStock_Log[Self_Qty],T_SelfStock_Log[Part Name],$A17,T_SelfStock_Log[WeekIndex],51))</f>
        <v/>
      </c>
      <c r="BA17" s="19">
        <f>IF(COUNTIFS(T_SelfStock_Log[Part Name],$A17,T_SelfStock_Log[WeekIndex],52)=0,"",SUMIFS(T_SelfStock_Log[Self_Qty],T_SelfStock_Log[Part Name],$A17,T_SelfStock_Log[WeekIndex],52))</f>
        <v/>
      </c>
      <c r="BB17" s="19">
        <f>IF(COUNTIFS(T_SelfStock_Log[Part Name],$A17,T_SelfStock_Log[WeekIndex],53)=0,"",SUMIFS(T_SelfStock_Log[Self_Qty],T_SelfStock_Log[Part Name],$A17,T_SelfStock_Log[WeekIndex],53))</f>
        <v/>
      </c>
      <c r="BC17" s="19">
        <f>IF(COUNTIFS(T_SelfStock_Log[Part Name],$A17,T_SelfStock_Log[WeekIndex],54)=0,"",SUMIFS(T_SelfStock_Log[Self_Qty],T_SelfStock_Log[Part Name],$A17,T_SelfStock_Log[WeekIndex],54))</f>
        <v/>
      </c>
      <c r="BD17" s="19">
        <f>IF(COUNTIFS(T_SelfStock_Log[Part Name],$A17,T_SelfStock_Log[WeekIndex],55)=0,"",SUMIFS(T_SelfStock_Log[Self_Qty],T_SelfStock_Log[Part Name],$A17,T_SelfStock_Log[WeekIndex],55))</f>
        <v/>
      </c>
      <c r="BE17" s="19">
        <f>IF(COUNTIFS(T_SelfStock_Log[Part Name],$A17,T_SelfStock_Log[WeekIndex],56)=0,"",SUMIFS(T_SelfStock_Log[Self_Qty],T_SelfStock_Log[Part Name],$A17,T_SelfStock_Log[WeekIndex],56))</f>
        <v/>
      </c>
      <c r="BF17" s="19">
        <f>IF(COUNTIFS(T_SelfStock_Log[Part Name],$A17,T_SelfStock_Log[WeekIndex],57)=0,"",SUMIFS(T_SelfStock_Log[Self_Qty],T_SelfStock_Log[Part Name],$A17,T_SelfStock_Log[WeekIndex],57))</f>
        <v/>
      </c>
      <c r="BG17" s="19">
        <f>IF(COUNTIFS(T_SelfStock_Log[Part Name],$A17,T_SelfStock_Log[WeekIndex],58)=0,"",SUMIFS(T_SelfStock_Log[Self_Qty],T_SelfStock_Log[Part Name],$A17,T_SelfStock_Log[WeekIndex],58))</f>
        <v/>
      </c>
      <c r="BH17" s="19">
        <f>IF(COUNTIFS(T_SelfStock_Log[Part Name],$A17,T_SelfStock_Log[WeekIndex],59)=0,"",SUMIFS(T_SelfStock_Log[Self_Qty],T_SelfStock_Log[Part Name],$A17,T_SelfStock_Log[WeekIndex],59))</f>
        <v/>
      </c>
      <c r="BI17" s="19">
        <f>IF(COUNTIFS(T_SelfStock_Log[Part Name],$A17,T_SelfStock_Log[WeekIndex],60)=0,"",SUMIFS(T_SelfStock_Log[Self_Qty],T_SelfStock_Log[Part Name],$A17,T_SelfStock_Log[WeekIndex],60))</f>
        <v/>
      </c>
      <c r="BJ17" s="19">
        <f>IF(COUNTIFS(T_SelfStock_Log[Part Name],$A17,T_SelfStock_Log[WeekIndex],61)=0,"",SUMIFS(T_SelfStock_Log[Self_Qty],T_SelfStock_Log[Part Name],$A17,T_SelfStock_Log[WeekIndex],61))</f>
        <v/>
      </c>
      <c r="BK17" s="19">
        <f>IF(COUNTIFS(T_SelfStock_Log[Part Name],$A17,T_SelfStock_Log[WeekIndex],62)=0,"",SUMIFS(T_SelfStock_Log[Self_Qty],T_SelfStock_Log[Part Name],$A17,T_SelfStock_Log[WeekIndex],62))</f>
        <v/>
      </c>
      <c r="BL17" s="19">
        <f>IF(COUNTIFS(T_SelfStock_Log[Part Name],$A17,T_SelfStock_Log[WeekIndex],63)=0,"",SUMIFS(T_SelfStock_Log[Self_Qty],T_SelfStock_Log[Part Name],$A17,T_SelfStock_Log[WeekIndex],63))</f>
        <v/>
      </c>
      <c r="BM17" s="19">
        <f>IF(COUNTIFS(T_SelfStock_Log[Part Name],$A17,T_SelfStock_Log[WeekIndex],64)=0,"",SUMIFS(T_SelfStock_Log[Self_Qty],T_SelfStock_Log[Part Name],$A17,T_SelfStock_Log[WeekIndex],64))</f>
        <v/>
      </c>
      <c r="BN17" s="19">
        <f>IF(COUNTIFS(T_SelfStock_Log[Part Name],$A17,T_SelfStock_Log[WeekIndex],65)=0,"",SUMIFS(T_SelfStock_Log[Self_Qty],T_SelfStock_Log[Part Name],$A17,T_SelfStock_Log[WeekIndex],65))</f>
        <v/>
      </c>
      <c r="BO17" s="19">
        <f>IF(COUNTIFS(T_SelfStock_Log[Part Name],$A17,T_SelfStock_Log[WeekIndex],66)=0,"",SUMIFS(T_SelfStock_Log[Self_Qty],T_SelfStock_Log[Part Name],$A17,T_SelfStock_Log[WeekIndex],66))</f>
        <v/>
      </c>
      <c r="BP17" s="19">
        <f>IF(COUNTIFS(T_SelfStock_Log[Part Name],$A17,T_SelfStock_Log[WeekIndex],67)=0,"",SUMIFS(T_SelfStock_Log[Self_Qty],T_SelfStock_Log[Part Name],$A17,T_SelfStock_Log[WeekIndex],67))</f>
        <v/>
      </c>
      <c r="BQ17" s="19">
        <f>IF(COUNTIFS(T_SelfStock_Log[Part Name],$A17,T_SelfStock_Log[WeekIndex],68)=0,"",SUMIFS(T_SelfStock_Log[Self_Qty],T_SelfStock_Log[Part Name],$A17,T_SelfStock_Log[WeekIndex],68))</f>
        <v/>
      </c>
      <c r="BR17" s="19">
        <f>IF(COUNTIFS(T_SelfStock_Log[Part Name],$A17,T_SelfStock_Log[WeekIndex],69)=0,"",SUMIFS(T_SelfStock_Log[Self_Qty],T_SelfStock_Log[Part Name],$A17,T_SelfStock_Log[WeekIndex],69))</f>
        <v/>
      </c>
      <c r="BS17" s="19">
        <f>IF(COUNTIFS(T_SelfStock_Log[Part Name],$A17,T_SelfStock_Log[WeekIndex],70)=0,"",SUMIFS(T_SelfStock_Log[Self_Qty],T_SelfStock_Log[Part Name],$A17,T_SelfStock_Log[WeekIndex],70))</f>
        <v/>
      </c>
      <c r="BT17" s="19">
        <f>IF(COUNTIFS(T_SelfStock_Log[Part Name],$A17,T_SelfStock_Log[WeekIndex],71)=0,"",SUMIFS(T_SelfStock_Log[Self_Qty],T_SelfStock_Log[Part Name],$A17,T_SelfStock_Log[WeekIndex],71))</f>
        <v/>
      </c>
      <c r="BU17" s="19">
        <f>IF(COUNTIFS(T_SelfStock_Log[Part Name],$A17,T_SelfStock_Log[WeekIndex],72)=0,"",SUMIFS(T_SelfStock_Log[Self_Qty],T_SelfStock_Log[Part Name],$A17,T_SelfStock_Log[WeekIndex],72))</f>
        <v/>
      </c>
      <c r="BV17" s="19">
        <f>IF(COUNTIFS(T_SelfStock_Log[Part Name],$A17,T_SelfStock_Log[WeekIndex],73)=0,"",SUMIFS(T_SelfStock_Log[Self_Qty],T_SelfStock_Log[Part Name],$A17,T_SelfStock_Log[WeekIndex],73))</f>
        <v/>
      </c>
      <c r="BW17" s="19">
        <f>IF(COUNTIFS(T_SelfStock_Log[Part Name],$A17,T_SelfStock_Log[WeekIndex],74)=0,"",SUMIFS(T_SelfStock_Log[Self_Qty],T_SelfStock_Log[Part Name],$A17,T_SelfStock_Log[WeekIndex],74))</f>
        <v/>
      </c>
      <c r="BX17" s="19">
        <f>IF(COUNTIFS(T_SelfStock_Log[Part Name],$A17,T_SelfStock_Log[WeekIndex],75)=0,"",SUMIFS(T_SelfStock_Log[Self_Qty],T_SelfStock_Log[Part Name],$A17,T_SelfStock_Log[WeekIndex],75))</f>
        <v/>
      </c>
      <c r="BY17" s="19">
        <f>IF(COUNTIFS(T_SelfStock_Log[Part Name],$A17,T_SelfStock_Log[WeekIndex],76)=0,"",SUMIFS(T_SelfStock_Log[Self_Qty],T_SelfStock_Log[Part Name],$A17,T_SelfStock_Log[WeekIndex],76))</f>
        <v/>
      </c>
      <c r="BZ17" s="19">
        <f>IF(COUNTIFS(T_SelfStock_Log[Part Name],$A17,T_SelfStock_Log[WeekIndex],77)=0,"",SUMIFS(T_SelfStock_Log[Self_Qty],T_SelfStock_Log[Part Name],$A17,T_SelfStock_Log[WeekIndex],77))</f>
        <v/>
      </c>
      <c r="CA17" s="19">
        <f>IF(COUNTIFS(T_SelfStock_Log[Part Name],$A17,T_SelfStock_Log[WeekIndex],78)=0,"",SUMIFS(T_SelfStock_Log[Self_Qty],T_SelfStock_Log[Part Name],$A17,T_SelfStock_Log[WeekIndex],78))</f>
        <v/>
      </c>
      <c r="CB17" s="19">
        <f>IF(COUNTIFS(T_SelfStock_Log[Part Name],$A17,T_SelfStock_Log[WeekIndex],79)=0,"",SUMIFS(T_SelfStock_Log[Self_Qty],T_SelfStock_Log[Part Name],$A17,T_SelfStock_Log[WeekIndex],79))</f>
        <v/>
      </c>
      <c r="CC17" s="19">
        <f>IF(COUNTIFS(T_SelfStock_Log[Part Name],$A17,T_SelfStock_Log[WeekIndex],80)=0,"",SUMIFS(T_SelfStock_Log[Self_Qty],T_SelfStock_Log[Part Name],$A17,T_SelfStock_Log[WeekIndex],80))</f>
        <v/>
      </c>
      <c r="CD17" s="19">
        <f>IF(COUNTIFS(T_SelfStock_Log[Part Name],$A17,T_SelfStock_Log[WeekIndex],81)=0,"",SUMIFS(T_SelfStock_Log[Self_Qty],T_SelfStock_Log[Part Name],$A17,T_SelfStock_Log[WeekIndex],81))</f>
        <v/>
      </c>
      <c r="CE17" s="19">
        <f>IF(COUNTIFS(T_SelfStock_Log[Part Name],$A17,T_SelfStock_Log[WeekIndex],82)=0,"",SUMIFS(T_SelfStock_Log[Self_Qty],T_SelfStock_Log[Part Name],$A17,T_SelfStock_Log[WeekIndex],82))</f>
        <v/>
      </c>
      <c r="CF17" s="19">
        <f>IF(COUNTIFS(T_SelfStock_Log[Part Name],$A17,T_SelfStock_Log[WeekIndex],83)=0,"",SUMIFS(T_SelfStock_Log[Self_Qty],T_SelfStock_Log[Part Name],$A17,T_SelfStock_Log[WeekIndex],83))</f>
        <v/>
      </c>
      <c r="CG17" s="19">
        <f>IF(COUNTIFS(T_SelfStock_Log[Part Name],$A17,T_SelfStock_Log[WeekIndex],84)=0,"",SUMIFS(T_SelfStock_Log[Self_Qty],T_SelfStock_Log[Part Name],$A17,T_SelfStock_Log[WeekIndex],84))</f>
        <v/>
      </c>
      <c r="CH17" s="19">
        <f>IF(COUNTIFS(T_SelfStock_Log[Part Name],$A17,T_SelfStock_Log[WeekIndex],85)=0,"",SUMIFS(T_SelfStock_Log[Self_Qty],T_SelfStock_Log[Part Name],$A17,T_SelfStock_Log[WeekIndex],85))</f>
        <v/>
      </c>
      <c r="CI17" s="19">
        <f>IF(COUNTIFS(T_SelfStock_Log[Part Name],$A17,T_SelfStock_Log[WeekIndex],86)=0,"",SUMIFS(T_SelfStock_Log[Self_Qty],T_SelfStock_Log[Part Name],$A17,T_SelfStock_Log[WeekIndex],86))</f>
        <v/>
      </c>
      <c r="CJ17" s="19">
        <f>IF(COUNTIFS(T_SelfStock_Log[Part Name],$A17,T_SelfStock_Log[WeekIndex],87)=0,"",SUMIFS(T_SelfStock_Log[Self_Qty],T_SelfStock_Log[Part Name],$A17,T_SelfStock_Log[WeekIndex],87))</f>
        <v/>
      </c>
      <c r="CK17" s="19">
        <f>IF(COUNTIFS(T_SelfStock_Log[Part Name],$A17,T_SelfStock_Log[WeekIndex],88)=0,"",SUMIFS(T_SelfStock_Log[Self_Qty],T_SelfStock_Log[Part Name],$A17,T_SelfStock_Log[WeekIndex],88))</f>
        <v/>
      </c>
      <c r="CL17" s="19">
        <f>IF(COUNTIFS(T_SelfStock_Log[Part Name],$A17,T_SelfStock_Log[WeekIndex],89)=0,"",SUMIFS(T_SelfStock_Log[Self_Qty],T_SelfStock_Log[Part Name],$A17,T_SelfStock_Log[WeekIndex],89))</f>
        <v/>
      </c>
      <c r="CM17" s="19">
        <f>IF(COUNTIFS(T_SelfStock_Log[Part Name],$A17,T_SelfStock_Log[WeekIndex],90)=0,"",SUMIFS(T_SelfStock_Log[Self_Qty],T_SelfStock_Log[Part Name],$A17,T_SelfStock_Log[WeekIndex],90))</f>
        <v/>
      </c>
      <c r="CN17" s="19">
        <f>IF(COUNTIFS(T_SelfStock_Log[Part Name],$A17,T_SelfStock_Log[WeekIndex],91)=0,"",SUMIFS(T_SelfStock_Log[Self_Qty],T_SelfStock_Log[Part Name],$A17,T_SelfStock_Log[WeekIndex],91))</f>
        <v/>
      </c>
      <c r="CO17" s="19">
        <f>IF(COUNTIFS(T_SelfStock_Log[Part Name],$A17,T_SelfStock_Log[WeekIndex],92)=0,"",SUMIFS(T_SelfStock_Log[Self_Qty],T_SelfStock_Log[Part Name],$A17,T_SelfStock_Log[WeekIndex],92))</f>
        <v/>
      </c>
      <c r="CP17" s="19">
        <f>IF(COUNTIFS(T_SelfStock_Log[Part Name],$A17,T_SelfStock_Log[WeekIndex],93)=0,"",SUMIFS(T_SelfStock_Log[Self_Qty],T_SelfStock_Log[Part Name],$A17,T_SelfStock_Log[WeekIndex],93))</f>
        <v/>
      </c>
      <c r="CQ17" s="19">
        <f>IF(COUNTIFS(T_SelfStock_Log[Part Name],$A17,T_SelfStock_Log[WeekIndex],94)=0,"",SUMIFS(T_SelfStock_Log[Self_Qty],T_SelfStock_Log[Part Name],$A17,T_SelfStock_Log[WeekIndex],94))</f>
        <v/>
      </c>
      <c r="CR17" s="19">
        <f>IF(COUNTIFS(T_SelfStock_Log[Part Name],$A17,T_SelfStock_Log[WeekIndex],95)=0,"",SUMIFS(T_SelfStock_Log[Self_Qty],T_SelfStock_Log[Part Name],$A17,T_SelfStock_Log[WeekIndex],95))</f>
        <v/>
      </c>
      <c r="CS17" s="19">
        <f>IF(COUNTIFS(T_SelfStock_Log[Part Name],$A17,T_SelfStock_Log[WeekIndex],96)=0,"",SUMIFS(T_SelfStock_Log[Self_Qty],T_SelfStock_Log[Part Name],$A17,T_SelfStock_Log[WeekIndex],96))</f>
        <v/>
      </c>
      <c r="CT17" s="19">
        <f>IF(COUNTIFS(T_SelfStock_Log[Part Name],$A17,T_SelfStock_Log[WeekIndex],97)=0,"",SUMIFS(T_SelfStock_Log[Self_Qty],T_SelfStock_Log[Part Name],$A17,T_SelfStock_Log[WeekIndex],97))</f>
        <v/>
      </c>
      <c r="CU17" s="19">
        <f>IF(COUNTIFS(T_SelfStock_Log[Part Name],$A17,T_SelfStock_Log[WeekIndex],98)=0,"",SUMIFS(T_SelfStock_Log[Self_Qty],T_SelfStock_Log[Part Name],$A17,T_SelfStock_Log[WeekIndex],98))</f>
        <v/>
      </c>
      <c r="CV17" s="19">
        <f>IF(COUNTIFS(T_SelfStock_Log[Part Name],$A17,T_SelfStock_Log[WeekIndex],99)=0,"",SUMIFS(T_SelfStock_Log[Self_Qty],T_SelfStock_Log[Part Name],$A17,T_SelfStock_Log[WeekIndex],99))</f>
        <v/>
      </c>
      <c r="CW17" s="19">
        <f>IF(COUNTIFS(T_SelfStock_Log[Part Name],$A17,T_SelfStock_Log[WeekIndex],100)=0,"",SUMIFS(T_SelfStock_Log[Self_Qty],T_SelfStock_Log[Part Name],$A17,T_SelfStock_Log[WeekIndex],100))</f>
        <v/>
      </c>
      <c r="CX17" s="19">
        <f>IF(COUNTIFS(T_SelfStock_Log[Part Name],$A17,T_SelfStock_Log[WeekIndex],101)=0,"",SUMIFS(T_SelfStock_Log[Self_Qty],T_SelfStock_Log[Part Name],$A17,T_SelfStock_Log[WeekIndex],101))</f>
        <v/>
      </c>
      <c r="CY17" s="19">
        <f>IF(COUNTIFS(T_SelfStock_Log[Part Name],$A17,T_SelfStock_Log[WeekIndex],102)=0,"",SUMIFS(T_SelfStock_Log[Self_Qty],T_SelfStock_Log[Part Name],$A17,T_SelfStock_Log[WeekIndex],102))</f>
        <v/>
      </c>
      <c r="CZ17" s="19">
        <f>IF(COUNTIFS(T_SelfStock_Log[Part Name],$A17,T_SelfStock_Log[WeekIndex],103)=0,"",SUMIFS(T_SelfStock_Log[Self_Qty],T_SelfStock_Log[Part Name],$A17,T_SelfStock_Log[WeekIndex],103))</f>
        <v/>
      </c>
      <c r="DA17" s="19">
        <f>IF(COUNTIFS(T_SelfStock_Log[Part Name],$A17,T_SelfStock_Log[WeekIndex],104)=0,"",SUMIFS(T_SelfStock_Log[Self_Qty],T_SelfStock_Log[Part Name],$A17,T_SelfStock_Log[WeekIndex],104))</f>
        <v/>
      </c>
    </row>
    <row r="18">
      <c r="A18" s="17" t="inlineStr">
        <is>
          <t>OLJ</t>
        </is>
      </c>
      <c r="B18" s="17">
        <f>IF(COUNTIFS(T_SelfStock_Log[Part Name],$A18,T_SelfStock_Log[WeekIndex],1)=0,"",SUMIFS(T_SelfStock_Log[Self_Qty],T_SelfStock_Log[Part Name],$A18,T_SelfStock_Log[WeekIndex],1))</f>
        <v/>
      </c>
      <c r="C18" s="17">
        <f>IF(COUNTIFS(T_SelfStock_Log[Part Name],$A18,T_SelfStock_Log[WeekIndex],2)=0,"",SUMIFS(T_SelfStock_Log[Self_Qty],T_SelfStock_Log[Part Name],$A18,T_SelfStock_Log[WeekIndex],2))</f>
        <v/>
      </c>
      <c r="D18" s="17">
        <f>IF(COUNTIFS(T_SelfStock_Log[Part Name],$A18,T_SelfStock_Log[WeekIndex],3)=0,"",SUMIFS(T_SelfStock_Log[Self_Qty],T_SelfStock_Log[Part Name],$A18,T_SelfStock_Log[WeekIndex],3))</f>
        <v/>
      </c>
      <c r="E18" s="17">
        <f>IF(COUNTIFS(T_SelfStock_Log[Part Name],$A18,T_SelfStock_Log[WeekIndex],4)=0,"",SUMIFS(T_SelfStock_Log[Self_Qty],T_SelfStock_Log[Part Name],$A18,T_SelfStock_Log[WeekIndex],4))</f>
        <v/>
      </c>
      <c r="F18" s="17">
        <f>IF(COUNTIFS(T_SelfStock_Log[Part Name],$A18,T_SelfStock_Log[WeekIndex],5)=0,"",SUMIFS(T_SelfStock_Log[Self_Qty],T_SelfStock_Log[Part Name],$A18,T_SelfStock_Log[WeekIndex],5))</f>
        <v/>
      </c>
      <c r="G18" s="17">
        <f>IF(COUNTIFS(T_SelfStock_Log[Part Name],$A18,T_SelfStock_Log[WeekIndex],6)=0,"",SUMIFS(T_SelfStock_Log[Self_Qty],T_SelfStock_Log[Part Name],$A18,T_SelfStock_Log[WeekIndex],6))</f>
        <v/>
      </c>
      <c r="H18" s="17">
        <f>IF(COUNTIFS(T_SelfStock_Log[Part Name],$A18,T_SelfStock_Log[WeekIndex],7)=0,"",SUMIFS(T_SelfStock_Log[Self_Qty],T_SelfStock_Log[Part Name],$A18,T_SelfStock_Log[WeekIndex],7))</f>
        <v/>
      </c>
      <c r="I18" s="17">
        <f>IF(COUNTIFS(T_SelfStock_Log[Part Name],$A18,T_SelfStock_Log[WeekIndex],8)=0,"",SUMIFS(T_SelfStock_Log[Self_Qty],T_SelfStock_Log[Part Name],$A18,T_SelfStock_Log[WeekIndex],8))</f>
        <v/>
      </c>
      <c r="J18" s="17">
        <f>IF(COUNTIFS(T_SelfStock_Log[Part Name],$A18,T_SelfStock_Log[WeekIndex],9)=0,"",SUMIFS(T_SelfStock_Log[Self_Qty],T_SelfStock_Log[Part Name],$A18,T_SelfStock_Log[WeekIndex],9))</f>
        <v/>
      </c>
      <c r="K18" s="17">
        <f>IF(COUNTIFS(T_SelfStock_Log[Part Name],$A18,T_SelfStock_Log[WeekIndex],10)=0,"",SUMIFS(T_SelfStock_Log[Self_Qty],T_SelfStock_Log[Part Name],$A18,T_SelfStock_Log[WeekIndex],10))</f>
        <v/>
      </c>
      <c r="L18" s="17">
        <f>IF(COUNTIFS(T_SelfStock_Log[Part Name],$A18,T_SelfStock_Log[WeekIndex],11)=0,"",SUMIFS(T_SelfStock_Log[Self_Qty],T_SelfStock_Log[Part Name],$A18,T_SelfStock_Log[WeekIndex],11))</f>
        <v/>
      </c>
      <c r="M18" s="17">
        <f>IF(COUNTIFS(T_SelfStock_Log[Part Name],$A18,T_SelfStock_Log[WeekIndex],12)=0,"",SUMIFS(T_SelfStock_Log[Self_Qty],T_SelfStock_Log[Part Name],$A18,T_SelfStock_Log[WeekIndex],12))</f>
        <v/>
      </c>
      <c r="N18" s="17">
        <f>IF(COUNTIFS(T_SelfStock_Log[Part Name],$A18,T_SelfStock_Log[WeekIndex],13)=0,"",SUMIFS(T_SelfStock_Log[Self_Qty],T_SelfStock_Log[Part Name],$A18,T_SelfStock_Log[WeekIndex],13))</f>
        <v/>
      </c>
      <c r="O18" s="17">
        <f>IF(COUNTIFS(T_SelfStock_Log[Part Name],$A18,T_SelfStock_Log[WeekIndex],14)=0,"",SUMIFS(T_SelfStock_Log[Self_Qty],T_SelfStock_Log[Part Name],$A18,T_SelfStock_Log[WeekIndex],14))</f>
        <v/>
      </c>
      <c r="P18" s="17">
        <f>IF(COUNTIFS(T_SelfStock_Log[Part Name],$A18,T_SelfStock_Log[WeekIndex],15)=0,"",SUMIFS(T_SelfStock_Log[Self_Qty],T_SelfStock_Log[Part Name],$A18,T_SelfStock_Log[WeekIndex],15))</f>
        <v/>
      </c>
      <c r="Q18" s="17">
        <f>IF(COUNTIFS(T_SelfStock_Log[Part Name],$A18,T_SelfStock_Log[WeekIndex],16)=0,"",SUMIFS(T_SelfStock_Log[Self_Qty],T_SelfStock_Log[Part Name],$A18,T_SelfStock_Log[WeekIndex],16))</f>
        <v/>
      </c>
      <c r="R18" s="17">
        <f>IF(COUNTIFS(T_SelfStock_Log[Part Name],$A18,T_SelfStock_Log[WeekIndex],17)=0,"",SUMIFS(T_SelfStock_Log[Self_Qty],T_SelfStock_Log[Part Name],$A18,T_SelfStock_Log[WeekIndex],17))</f>
        <v/>
      </c>
      <c r="S18" s="17">
        <f>IF(COUNTIFS(T_SelfStock_Log[Part Name],$A18,T_SelfStock_Log[WeekIndex],18)=0,"",SUMIFS(T_SelfStock_Log[Self_Qty],T_SelfStock_Log[Part Name],$A18,T_SelfStock_Log[WeekIndex],18))</f>
        <v/>
      </c>
      <c r="T18" s="17">
        <f>IF(COUNTIFS(T_SelfStock_Log[Part Name],$A18,T_SelfStock_Log[WeekIndex],19)=0,"",SUMIFS(T_SelfStock_Log[Self_Qty],T_SelfStock_Log[Part Name],$A18,T_SelfStock_Log[WeekIndex],19))</f>
        <v/>
      </c>
      <c r="U18" s="17">
        <f>IF(COUNTIFS(T_SelfStock_Log[Part Name],$A18,T_SelfStock_Log[WeekIndex],20)=0,"",SUMIFS(T_SelfStock_Log[Self_Qty],T_SelfStock_Log[Part Name],$A18,T_SelfStock_Log[WeekIndex],20))</f>
        <v/>
      </c>
      <c r="V18" s="17">
        <f>IF(COUNTIFS(T_SelfStock_Log[Part Name],$A18,T_SelfStock_Log[WeekIndex],21)=0,"",SUMIFS(T_SelfStock_Log[Self_Qty],T_SelfStock_Log[Part Name],$A18,T_SelfStock_Log[WeekIndex],21))</f>
        <v/>
      </c>
      <c r="W18" s="17">
        <f>IF(COUNTIFS(T_SelfStock_Log[Part Name],$A18,T_SelfStock_Log[WeekIndex],22)=0,"",SUMIFS(T_SelfStock_Log[Self_Qty],T_SelfStock_Log[Part Name],$A18,T_SelfStock_Log[WeekIndex],22))</f>
        <v/>
      </c>
      <c r="X18" s="17">
        <f>IF(COUNTIFS(T_SelfStock_Log[Part Name],$A18,T_SelfStock_Log[WeekIndex],23)=0,"",SUMIFS(T_SelfStock_Log[Self_Qty],T_SelfStock_Log[Part Name],$A18,T_SelfStock_Log[WeekIndex],23))</f>
        <v/>
      </c>
      <c r="Y18" s="17">
        <f>IF(COUNTIFS(T_SelfStock_Log[Part Name],$A18,T_SelfStock_Log[WeekIndex],24)=0,"",SUMIFS(T_SelfStock_Log[Self_Qty],T_SelfStock_Log[Part Name],$A18,T_SelfStock_Log[WeekIndex],24))</f>
        <v/>
      </c>
      <c r="Z18" s="17">
        <f>IF(COUNTIFS(T_SelfStock_Log[Part Name],$A18,T_SelfStock_Log[WeekIndex],25)=0,"",SUMIFS(T_SelfStock_Log[Self_Qty],T_SelfStock_Log[Part Name],$A18,T_SelfStock_Log[WeekIndex],25))</f>
        <v/>
      </c>
      <c r="AA18" s="17">
        <f>IF(COUNTIFS(T_SelfStock_Log[Part Name],$A18,T_SelfStock_Log[WeekIndex],26)=0,"",SUMIFS(T_SelfStock_Log[Self_Qty],T_SelfStock_Log[Part Name],$A18,T_SelfStock_Log[WeekIndex],26))</f>
        <v/>
      </c>
      <c r="AB18" s="17">
        <f>IF(COUNTIFS(T_SelfStock_Log[Part Name],$A18,T_SelfStock_Log[WeekIndex],27)=0,"",SUMIFS(T_SelfStock_Log[Self_Qty],T_SelfStock_Log[Part Name],$A18,T_SelfStock_Log[WeekIndex],27))</f>
        <v/>
      </c>
      <c r="AC18" s="17">
        <f>IF(COUNTIFS(T_SelfStock_Log[Part Name],$A18,T_SelfStock_Log[WeekIndex],28)=0,"",SUMIFS(T_SelfStock_Log[Self_Qty],T_SelfStock_Log[Part Name],$A18,T_SelfStock_Log[WeekIndex],28))</f>
        <v/>
      </c>
      <c r="AD18" s="17">
        <f>IF(COUNTIFS(T_SelfStock_Log[Part Name],$A18,T_SelfStock_Log[WeekIndex],29)=0,"",SUMIFS(T_SelfStock_Log[Self_Qty],T_SelfStock_Log[Part Name],$A18,T_SelfStock_Log[WeekIndex],29))</f>
        <v/>
      </c>
      <c r="AE18" s="17">
        <f>IF(COUNTIFS(T_SelfStock_Log[Part Name],$A18,T_SelfStock_Log[WeekIndex],30)=0,"",SUMIFS(T_SelfStock_Log[Self_Qty],T_SelfStock_Log[Part Name],$A18,T_SelfStock_Log[WeekIndex],30))</f>
        <v/>
      </c>
      <c r="AF18" s="17">
        <f>IF(COUNTIFS(T_SelfStock_Log[Part Name],$A18,T_SelfStock_Log[WeekIndex],31)=0,"",SUMIFS(T_SelfStock_Log[Self_Qty],T_SelfStock_Log[Part Name],$A18,T_SelfStock_Log[WeekIndex],31))</f>
        <v/>
      </c>
      <c r="AG18" s="17">
        <f>IF(COUNTIFS(T_SelfStock_Log[Part Name],$A18,T_SelfStock_Log[WeekIndex],32)=0,"",SUMIFS(T_SelfStock_Log[Self_Qty],T_SelfStock_Log[Part Name],$A18,T_SelfStock_Log[WeekIndex],32))</f>
        <v/>
      </c>
      <c r="AH18" s="17">
        <f>IF(COUNTIFS(T_SelfStock_Log[Part Name],$A18,T_SelfStock_Log[WeekIndex],33)=0,"",SUMIFS(T_SelfStock_Log[Self_Qty],T_SelfStock_Log[Part Name],$A18,T_SelfStock_Log[WeekIndex],33))</f>
        <v/>
      </c>
      <c r="AI18" s="17">
        <f>IF(COUNTIFS(T_SelfStock_Log[Part Name],$A18,T_SelfStock_Log[WeekIndex],34)=0,"",SUMIFS(T_SelfStock_Log[Self_Qty],T_SelfStock_Log[Part Name],$A18,T_SelfStock_Log[WeekIndex],34))</f>
        <v/>
      </c>
      <c r="AJ18" s="17">
        <f>IF(COUNTIFS(T_SelfStock_Log[Part Name],$A18,T_SelfStock_Log[WeekIndex],35)=0,"",SUMIFS(T_SelfStock_Log[Self_Qty],T_SelfStock_Log[Part Name],$A18,T_SelfStock_Log[WeekIndex],35))</f>
        <v/>
      </c>
      <c r="AK18" s="17">
        <f>IF(COUNTIFS(T_SelfStock_Log[Part Name],$A18,T_SelfStock_Log[WeekIndex],36)=0,"",SUMIFS(T_SelfStock_Log[Self_Qty],T_SelfStock_Log[Part Name],$A18,T_SelfStock_Log[WeekIndex],36))</f>
        <v/>
      </c>
      <c r="AL18" s="17">
        <f>IF(COUNTIFS(T_SelfStock_Log[Part Name],$A18,T_SelfStock_Log[WeekIndex],37)=0,"",SUMIFS(T_SelfStock_Log[Self_Qty],T_SelfStock_Log[Part Name],$A18,T_SelfStock_Log[WeekIndex],37))</f>
        <v/>
      </c>
      <c r="AM18" s="17">
        <f>IF(COUNTIFS(T_SelfStock_Log[Part Name],$A18,T_SelfStock_Log[WeekIndex],38)=0,"",SUMIFS(T_SelfStock_Log[Self_Qty],T_SelfStock_Log[Part Name],$A18,T_SelfStock_Log[WeekIndex],38))</f>
        <v/>
      </c>
      <c r="AN18" s="17">
        <f>IF(COUNTIFS(T_SelfStock_Log[Part Name],$A18,T_SelfStock_Log[WeekIndex],39)=0,"",SUMIFS(T_SelfStock_Log[Self_Qty],T_SelfStock_Log[Part Name],$A18,T_SelfStock_Log[WeekIndex],39))</f>
        <v/>
      </c>
      <c r="AO18" s="17">
        <f>IF(COUNTIFS(T_SelfStock_Log[Part Name],$A18,T_SelfStock_Log[WeekIndex],40)=0,"",SUMIFS(T_SelfStock_Log[Self_Qty],T_SelfStock_Log[Part Name],$A18,T_SelfStock_Log[WeekIndex],40))</f>
        <v/>
      </c>
      <c r="AP18" s="17">
        <f>IF(COUNTIFS(T_SelfStock_Log[Part Name],$A18,T_SelfStock_Log[WeekIndex],41)=0,"",SUMIFS(T_SelfStock_Log[Self_Qty],T_SelfStock_Log[Part Name],$A18,T_SelfStock_Log[WeekIndex],41))</f>
        <v/>
      </c>
      <c r="AQ18" s="17">
        <f>IF(COUNTIFS(T_SelfStock_Log[Part Name],$A18,T_SelfStock_Log[WeekIndex],42)=0,"",SUMIFS(T_SelfStock_Log[Self_Qty],T_SelfStock_Log[Part Name],$A18,T_SelfStock_Log[WeekIndex],42))</f>
        <v/>
      </c>
      <c r="AR18" s="17">
        <f>IF(COUNTIFS(T_SelfStock_Log[Part Name],$A18,T_SelfStock_Log[WeekIndex],43)=0,"",SUMIFS(T_SelfStock_Log[Self_Qty],T_SelfStock_Log[Part Name],$A18,T_SelfStock_Log[WeekIndex],43))</f>
        <v/>
      </c>
      <c r="AS18" s="17">
        <f>IF(COUNTIFS(T_SelfStock_Log[Part Name],$A18,T_SelfStock_Log[WeekIndex],44)=0,"",SUMIFS(T_SelfStock_Log[Self_Qty],T_SelfStock_Log[Part Name],$A18,T_SelfStock_Log[WeekIndex],44))</f>
        <v/>
      </c>
      <c r="AT18" s="17">
        <f>IF(COUNTIFS(T_SelfStock_Log[Part Name],$A18,T_SelfStock_Log[WeekIndex],45)=0,"",SUMIFS(T_SelfStock_Log[Self_Qty],T_SelfStock_Log[Part Name],$A18,T_SelfStock_Log[WeekIndex],45))</f>
        <v/>
      </c>
      <c r="AU18" s="17">
        <f>IF(COUNTIFS(T_SelfStock_Log[Part Name],$A18,T_SelfStock_Log[WeekIndex],46)=0,"",SUMIFS(T_SelfStock_Log[Self_Qty],T_SelfStock_Log[Part Name],$A18,T_SelfStock_Log[WeekIndex],46))</f>
        <v/>
      </c>
      <c r="AV18" s="17">
        <f>IF(COUNTIFS(T_SelfStock_Log[Part Name],$A18,T_SelfStock_Log[WeekIndex],47)=0,"",SUMIFS(T_SelfStock_Log[Self_Qty],T_SelfStock_Log[Part Name],$A18,T_SelfStock_Log[WeekIndex],47))</f>
        <v/>
      </c>
      <c r="AW18" s="17">
        <f>IF(COUNTIFS(T_SelfStock_Log[Part Name],$A18,T_SelfStock_Log[WeekIndex],48)=0,"",SUMIFS(T_SelfStock_Log[Self_Qty],T_SelfStock_Log[Part Name],$A18,T_SelfStock_Log[WeekIndex],48))</f>
        <v/>
      </c>
      <c r="AX18" s="17">
        <f>IF(COUNTIFS(T_SelfStock_Log[Part Name],$A18,T_SelfStock_Log[WeekIndex],49)=0,"",SUMIFS(T_SelfStock_Log[Self_Qty],T_SelfStock_Log[Part Name],$A18,T_SelfStock_Log[WeekIndex],49))</f>
        <v/>
      </c>
      <c r="AY18" s="17">
        <f>IF(COUNTIFS(T_SelfStock_Log[Part Name],$A18,T_SelfStock_Log[WeekIndex],50)=0,"",SUMIFS(T_SelfStock_Log[Self_Qty],T_SelfStock_Log[Part Name],$A18,T_SelfStock_Log[WeekIndex],50))</f>
        <v/>
      </c>
      <c r="AZ18" s="17">
        <f>IF(COUNTIFS(T_SelfStock_Log[Part Name],$A18,T_SelfStock_Log[WeekIndex],51)=0,"",SUMIFS(T_SelfStock_Log[Self_Qty],T_SelfStock_Log[Part Name],$A18,T_SelfStock_Log[WeekIndex],51))</f>
        <v/>
      </c>
      <c r="BA18" s="17">
        <f>IF(COUNTIFS(T_SelfStock_Log[Part Name],$A18,T_SelfStock_Log[WeekIndex],52)=0,"",SUMIFS(T_SelfStock_Log[Self_Qty],T_SelfStock_Log[Part Name],$A18,T_SelfStock_Log[WeekIndex],52))</f>
        <v/>
      </c>
      <c r="BB18" s="17">
        <f>IF(COUNTIFS(T_SelfStock_Log[Part Name],$A18,T_SelfStock_Log[WeekIndex],53)=0,"",SUMIFS(T_SelfStock_Log[Self_Qty],T_SelfStock_Log[Part Name],$A18,T_SelfStock_Log[WeekIndex],53))</f>
        <v/>
      </c>
      <c r="BC18" s="17">
        <f>IF(COUNTIFS(T_SelfStock_Log[Part Name],$A18,T_SelfStock_Log[WeekIndex],54)=0,"",SUMIFS(T_SelfStock_Log[Self_Qty],T_SelfStock_Log[Part Name],$A18,T_SelfStock_Log[WeekIndex],54))</f>
        <v/>
      </c>
      <c r="BD18" s="17">
        <f>IF(COUNTIFS(T_SelfStock_Log[Part Name],$A18,T_SelfStock_Log[WeekIndex],55)=0,"",SUMIFS(T_SelfStock_Log[Self_Qty],T_SelfStock_Log[Part Name],$A18,T_SelfStock_Log[WeekIndex],55))</f>
        <v/>
      </c>
      <c r="BE18" s="17">
        <f>IF(COUNTIFS(T_SelfStock_Log[Part Name],$A18,T_SelfStock_Log[WeekIndex],56)=0,"",SUMIFS(T_SelfStock_Log[Self_Qty],T_SelfStock_Log[Part Name],$A18,T_SelfStock_Log[WeekIndex],56))</f>
        <v/>
      </c>
      <c r="BF18" s="17">
        <f>IF(COUNTIFS(T_SelfStock_Log[Part Name],$A18,T_SelfStock_Log[WeekIndex],57)=0,"",SUMIFS(T_SelfStock_Log[Self_Qty],T_SelfStock_Log[Part Name],$A18,T_SelfStock_Log[WeekIndex],57))</f>
        <v/>
      </c>
      <c r="BG18" s="17">
        <f>IF(COUNTIFS(T_SelfStock_Log[Part Name],$A18,T_SelfStock_Log[WeekIndex],58)=0,"",SUMIFS(T_SelfStock_Log[Self_Qty],T_SelfStock_Log[Part Name],$A18,T_SelfStock_Log[WeekIndex],58))</f>
        <v/>
      </c>
      <c r="BH18" s="17">
        <f>IF(COUNTIFS(T_SelfStock_Log[Part Name],$A18,T_SelfStock_Log[WeekIndex],59)=0,"",SUMIFS(T_SelfStock_Log[Self_Qty],T_SelfStock_Log[Part Name],$A18,T_SelfStock_Log[WeekIndex],59))</f>
        <v/>
      </c>
      <c r="BI18" s="17">
        <f>IF(COUNTIFS(T_SelfStock_Log[Part Name],$A18,T_SelfStock_Log[WeekIndex],60)=0,"",SUMIFS(T_SelfStock_Log[Self_Qty],T_SelfStock_Log[Part Name],$A18,T_SelfStock_Log[WeekIndex],60))</f>
        <v/>
      </c>
      <c r="BJ18" s="17">
        <f>IF(COUNTIFS(T_SelfStock_Log[Part Name],$A18,T_SelfStock_Log[WeekIndex],61)=0,"",SUMIFS(T_SelfStock_Log[Self_Qty],T_SelfStock_Log[Part Name],$A18,T_SelfStock_Log[WeekIndex],61))</f>
        <v/>
      </c>
      <c r="BK18" s="17">
        <f>IF(COUNTIFS(T_SelfStock_Log[Part Name],$A18,T_SelfStock_Log[WeekIndex],62)=0,"",SUMIFS(T_SelfStock_Log[Self_Qty],T_SelfStock_Log[Part Name],$A18,T_SelfStock_Log[WeekIndex],62))</f>
        <v/>
      </c>
      <c r="BL18" s="17">
        <f>IF(COUNTIFS(T_SelfStock_Log[Part Name],$A18,T_SelfStock_Log[WeekIndex],63)=0,"",SUMIFS(T_SelfStock_Log[Self_Qty],T_SelfStock_Log[Part Name],$A18,T_SelfStock_Log[WeekIndex],63))</f>
        <v/>
      </c>
      <c r="BM18" s="17">
        <f>IF(COUNTIFS(T_SelfStock_Log[Part Name],$A18,T_SelfStock_Log[WeekIndex],64)=0,"",SUMIFS(T_SelfStock_Log[Self_Qty],T_SelfStock_Log[Part Name],$A18,T_SelfStock_Log[WeekIndex],64))</f>
        <v/>
      </c>
      <c r="BN18" s="17">
        <f>IF(COUNTIFS(T_SelfStock_Log[Part Name],$A18,T_SelfStock_Log[WeekIndex],65)=0,"",SUMIFS(T_SelfStock_Log[Self_Qty],T_SelfStock_Log[Part Name],$A18,T_SelfStock_Log[WeekIndex],65))</f>
        <v/>
      </c>
      <c r="BO18" s="17">
        <f>IF(COUNTIFS(T_SelfStock_Log[Part Name],$A18,T_SelfStock_Log[WeekIndex],66)=0,"",SUMIFS(T_SelfStock_Log[Self_Qty],T_SelfStock_Log[Part Name],$A18,T_SelfStock_Log[WeekIndex],66))</f>
        <v/>
      </c>
      <c r="BP18" s="17">
        <f>IF(COUNTIFS(T_SelfStock_Log[Part Name],$A18,T_SelfStock_Log[WeekIndex],67)=0,"",SUMIFS(T_SelfStock_Log[Self_Qty],T_SelfStock_Log[Part Name],$A18,T_SelfStock_Log[WeekIndex],67))</f>
        <v/>
      </c>
      <c r="BQ18" s="17">
        <f>IF(COUNTIFS(T_SelfStock_Log[Part Name],$A18,T_SelfStock_Log[WeekIndex],68)=0,"",SUMIFS(T_SelfStock_Log[Self_Qty],T_SelfStock_Log[Part Name],$A18,T_SelfStock_Log[WeekIndex],68))</f>
        <v/>
      </c>
      <c r="BR18" s="17">
        <f>IF(COUNTIFS(T_SelfStock_Log[Part Name],$A18,T_SelfStock_Log[WeekIndex],69)=0,"",SUMIFS(T_SelfStock_Log[Self_Qty],T_SelfStock_Log[Part Name],$A18,T_SelfStock_Log[WeekIndex],69))</f>
        <v/>
      </c>
      <c r="BS18" s="17">
        <f>IF(COUNTIFS(T_SelfStock_Log[Part Name],$A18,T_SelfStock_Log[WeekIndex],70)=0,"",SUMIFS(T_SelfStock_Log[Self_Qty],T_SelfStock_Log[Part Name],$A18,T_SelfStock_Log[WeekIndex],70))</f>
        <v/>
      </c>
      <c r="BT18" s="17">
        <f>IF(COUNTIFS(T_SelfStock_Log[Part Name],$A18,T_SelfStock_Log[WeekIndex],71)=0,"",SUMIFS(T_SelfStock_Log[Self_Qty],T_SelfStock_Log[Part Name],$A18,T_SelfStock_Log[WeekIndex],71))</f>
        <v/>
      </c>
      <c r="BU18" s="17">
        <f>IF(COUNTIFS(T_SelfStock_Log[Part Name],$A18,T_SelfStock_Log[WeekIndex],72)=0,"",SUMIFS(T_SelfStock_Log[Self_Qty],T_SelfStock_Log[Part Name],$A18,T_SelfStock_Log[WeekIndex],72))</f>
        <v/>
      </c>
      <c r="BV18" s="17">
        <f>IF(COUNTIFS(T_SelfStock_Log[Part Name],$A18,T_SelfStock_Log[WeekIndex],73)=0,"",SUMIFS(T_SelfStock_Log[Self_Qty],T_SelfStock_Log[Part Name],$A18,T_SelfStock_Log[WeekIndex],73))</f>
        <v/>
      </c>
      <c r="BW18" s="17">
        <f>IF(COUNTIFS(T_SelfStock_Log[Part Name],$A18,T_SelfStock_Log[WeekIndex],74)=0,"",SUMIFS(T_SelfStock_Log[Self_Qty],T_SelfStock_Log[Part Name],$A18,T_SelfStock_Log[WeekIndex],74))</f>
        <v/>
      </c>
      <c r="BX18" s="17">
        <f>IF(COUNTIFS(T_SelfStock_Log[Part Name],$A18,T_SelfStock_Log[WeekIndex],75)=0,"",SUMIFS(T_SelfStock_Log[Self_Qty],T_SelfStock_Log[Part Name],$A18,T_SelfStock_Log[WeekIndex],75))</f>
        <v/>
      </c>
      <c r="BY18" s="17">
        <f>IF(COUNTIFS(T_SelfStock_Log[Part Name],$A18,T_SelfStock_Log[WeekIndex],76)=0,"",SUMIFS(T_SelfStock_Log[Self_Qty],T_SelfStock_Log[Part Name],$A18,T_SelfStock_Log[WeekIndex],76))</f>
        <v/>
      </c>
      <c r="BZ18" s="17">
        <f>IF(COUNTIFS(T_SelfStock_Log[Part Name],$A18,T_SelfStock_Log[WeekIndex],77)=0,"",SUMIFS(T_SelfStock_Log[Self_Qty],T_SelfStock_Log[Part Name],$A18,T_SelfStock_Log[WeekIndex],77))</f>
        <v/>
      </c>
      <c r="CA18" s="17">
        <f>IF(COUNTIFS(T_SelfStock_Log[Part Name],$A18,T_SelfStock_Log[WeekIndex],78)=0,"",SUMIFS(T_SelfStock_Log[Self_Qty],T_SelfStock_Log[Part Name],$A18,T_SelfStock_Log[WeekIndex],78))</f>
        <v/>
      </c>
      <c r="CB18" s="17">
        <f>IF(COUNTIFS(T_SelfStock_Log[Part Name],$A18,T_SelfStock_Log[WeekIndex],79)=0,"",SUMIFS(T_SelfStock_Log[Self_Qty],T_SelfStock_Log[Part Name],$A18,T_SelfStock_Log[WeekIndex],79))</f>
        <v/>
      </c>
      <c r="CC18" s="17">
        <f>IF(COUNTIFS(T_SelfStock_Log[Part Name],$A18,T_SelfStock_Log[WeekIndex],80)=0,"",SUMIFS(T_SelfStock_Log[Self_Qty],T_SelfStock_Log[Part Name],$A18,T_SelfStock_Log[WeekIndex],80))</f>
        <v/>
      </c>
      <c r="CD18" s="17">
        <f>IF(COUNTIFS(T_SelfStock_Log[Part Name],$A18,T_SelfStock_Log[WeekIndex],81)=0,"",SUMIFS(T_SelfStock_Log[Self_Qty],T_SelfStock_Log[Part Name],$A18,T_SelfStock_Log[WeekIndex],81))</f>
        <v/>
      </c>
      <c r="CE18" s="17">
        <f>IF(COUNTIFS(T_SelfStock_Log[Part Name],$A18,T_SelfStock_Log[WeekIndex],82)=0,"",SUMIFS(T_SelfStock_Log[Self_Qty],T_SelfStock_Log[Part Name],$A18,T_SelfStock_Log[WeekIndex],82))</f>
        <v/>
      </c>
      <c r="CF18" s="17">
        <f>IF(COUNTIFS(T_SelfStock_Log[Part Name],$A18,T_SelfStock_Log[WeekIndex],83)=0,"",SUMIFS(T_SelfStock_Log[Self_Qty],T_SelfStock_Log[Part Name],$A18,T_SelfStock_Log[WeekIndex],83))</f>
        <v/>
      </c>
      <c r="CG18" s="17">
        <f>IF(COUNTIFS(T_SelfStock_Log[Part Name],$A18,T_SelfStock_Log[WeekIndex],84)=0,"",SUMIFS(T_SelfStock_Log[Self_Qty],T_SelfStock_Log[Part Name],$A18,T_SelfStock_Log[WeekIndex],84))</f>
        <v/>
      </c>
      <c r="CH18" s="17">
        <f>IF(COUNTIFS(T_SelfStock_Log[Part Name],$A18,T_SelfStock_Log[WeekIndex],85)=0,"",SUMIFS(T_SelfStock_Log[Self_Qty],T_SelfStock_Log[Part Name],$A18,T_SelfStock_Log[WeekIndex],85))</f>
        <v/>
      </c>
      <c r="CI18" s="17">
        <f>IF(COUNTIFS(T_SelfStock_Log[Part Name],$A18,T_SelfStock_Log[WeekIndex],86)=0,"",SUMIFS(T_SelfStock_Log[Self_Qty],T_SelfStock_Log[Part Name],$A18,T_SelfStock_Log[WeekIndex],86))</f>
        <v/>
      </c>
      <c r="CJ18" s="17">
        <f>IF(COUNTIFS(T_SelfStock_Log[Part Name],$A18,T_SelfStock_Log[WeekIndex],87)=0,"",SUMIFS(T_SelfStock_Log[Self_Qty],T_SelfStock_Log[Part Name],$A18,T_SelfStock_Log[WeekIndex],87))</f>
        <v/>
      </c>
      <c r="CK18" s="17">
        <f>IF(COUNTIFS(T_SelfStock_Log[Part Name],$A18,T_SelfStock_Log[WeekIndex],88)=0,"",SUMIFS(T_SelfStock_Log[Self_Qty],T_SelfStock_Log[Part Name],$A18,T_SelfStock_Log[WeekIndex],88))</f>
        <v/>
      </c>
      <c r="CL18" s="17">
        <f>IF(COUNTIFS(T_SelfStock_Log[Part Name],$A18,T_SelfStock_Log[WeekIndex],89)=0,"",SUMIFS(T_SelfStock_Log[Self_Qty],T_SelfStock_Log[Part Name],$A18,T_SelfStock_Log[WeekIndex],89))</f>
        <v/>
      </c>
      <c r="CM18" s="17">
        <f>IF(COUNTIFS(T_SelfStock_Log[Part Name],$A18,T_SelfStock_Log[WeekIndex],90)=0,"",SUMIFS(T_SelfStock_Log[Self_Qty],T_SelfStock_Log[Part Name],$A18,T_SelfStock_Log[WeekIndex],90))</f>
        <v/>
      </c>
      <c r="CN18" s="17">
        <f>IF(COUNTIFS(T_SelfStock_Log[Part Name],$A18,T_SelfStock_Log[WeekIndex],91)=0,"",SUMIFS(T_SelfStock_Log[Self_Qty],T_SelfStock_Log[Part Name],$A18,T_SelfStock_Log[WeekIndex],91))</f>
        <v/>
      </c>
      <c r="CO18" s="17">
        <f>IF(COUNTIFS(T_SelfStock_Log[Part Name],$A18,T_SelfStock_Log[WeekIndex],92)=0,"",SUMIFS(T_SelfStock_Log[Self_Qty],T_SelfStock_Log[Part Name],$A18,T_SelfStock_Log[WeekIndex],92))</f>
        <v/>
      </c>
      <c r="CP18" s="17">
        <f>IF(COUNTIFS(T_SelfStock_Log[Part Name],$A18,T_SelfStock_Log[WeekIndex],93)=0,"",SUMIFS(T_SelfStock_Log[Self_Qty],T_SelfStock_Log[Part Name],$A18,T_SelfStock_Log[WeekIndex],93))</f>
        <v/>
      </c>
      <c r="CQ18" s="17">
        <f>IF(COUNTIFS(T_SelfStock_Log[Part Name],$A18,T_SelfStock_Log[WeekIndex],94)=0,"",SUMIFS(T_SelfStock_Log[Self_Qty],T_SelfStock_Log[Part Name],$A18,T_SelfStock_Log[WeekIndex],94))</f>
        <v/>
      </c>
      <c r="CR18" s="17">
        <f>IF(COUNTIFS(T_SelfStock_Log[Part Name],$A18,T_SelfStock_Log[WeekIndex],95)=0,"",SUMIFS(T_SelfStock_Log[Self_Qty],T_SelfStock_Log[Part Name],$A18,T_SelfStock_Log[WeekIndex],95))</f>
        <v/>
      </c>
      <c r="CS18" s="17">
        <f>IF(COUNTIFS(T_SelfStock_Log[Part Name],$A18,T_SelfStock_Log[WeekIndex],96)=0,"",SUMIFS(T_SelfStock_Log[Self_Qty],T_SelfStock_Log[Part Name],$A18,T_SelfStock_Log[WeekIndex],96))</f>
        <v/>
      </c>
      <c r="CT18" s="17">
        <f>IF(COUNTIFS(T_SelfStock_Log[Part Name],$A18,T_SelfStock_Log[WeekIndex],97)=0,"",SUMIFS(T_SelfStock_Log[Self_Qty],T_SelfStock_Log[Part Name],$A18,T_SelfStock_Log[WeekIndex],97))</f>
        <v/>
      </c>
      <c r="CU18" s="17">
        <f>IF(COUNTIFS(T_SelfStock_Log[Part Name],$A18,T_SelfStock_Log[WeekIndex],98)=0,"",SUMIFS(T_SelfStock_Log[Self_Qty],T_SelfStock_Log[Part Name],$A18,T_SelfStock_Log[WeekIndex],98))</f>
        <v/>
      </c>
      <c r="CV18" s="17">
        <f>IF(COUNTIFS(T_SelfStock_Log[Part Name],$A18,T_SelfStock_Log[WeekIndex],99)=0,"",SUMIFS(T_SelfStock_Log[Self_Qty],T_SelfStock_Log[Part Name],$A18,T_SelfStock_Log[WeekIndex],99))</f>
        <v/>
      </c>
      <c r="CW18" s="17">
        <f>IF(COUNTIFS(T_SelfStock_Log[Part Name],$A18,T_SelfStock_Log[WeekIndex],100)=0,"",SUMIFS(T_SelfStock_Log[Self_Qty],T_SelfStock_Log[Part Name],$A18,T_SelfStock_Log[WeekIndex],100))</f>
        <v/>
      </c>
      <c r="CX18" s="17">
        <f>IF(COUNTIFS(T_SelfStock_Log[Part Name],$A18,T_SelfStock_Log[WeekIndex],101)=0,"",SUMIFS(T_SelfStock_Log[Self_Qty],T_SelfStock_Log[Part Name],$A18,T_SelfStock_Log[WeekIndex],101))</f>
        <v/>
      </c>
      <c r="CY18" s="17">
        <f>IF(COUNTIFS(T_SelfStock_Log[Part Name],$A18,T_SelfStock_Log[WeekIndex],102)=0,"",SUMIFS(T_SelfStock_Log[Self_Qty],T_SelfStock_Log[Part Name],$A18,T_SelfStock_Log[WeekIndex],102))</f>
        <v/>
      </c>
      <c r="CZ18" s="17">
        <f>IF(COUNTIFS(T_SelfStock_Log[Part Name],$A18,T_SelfStock_Log[WeekIndex],103)=0,"",SUMIFS(T_SelfStock_Log[Self_Qty],T_SelfStock_Log[Part Name],$A18,T_SelfStock_Log[WeekIndex],103))</f>
        <v/>
      </c>
      <c r="DA18" s="17">
        <f>IF(COUNTIFS(T_SelfStock_Log[Part Name],$A18,T_SelfStock_Log[WeekIndex],104)=0,"",SUMIFS(T_SelfStock_Log[Self_Qty],T_SelfStock_Log[Part Name],$A18,T_SelfStock_Log[WeekIndex],104))</f>
        <v/>
      </c>
    </row>
    <row r="19">
      <c r="A19" s="19" t="inlineStr">
        <is>
          <t>5SN</t>
        </is>
      </c>
      <c r="B19" s="19">
        <f>IF(COUNTIFS(T_SelfStock_Log[Part Name],$A19,T_SelfStock_Log[WeekIndex],1)=0,"",SUMIFS(T_SelfStock_Log[Self_Qty],T_SelfStock_Log[Part Name],$A19,T_SelfStock_Log[WeekIndex],1))</f>
        <v/>
      </c>
      <c r="C19" s="19">
        <f>IF(COUNTIFS(T_SelfStock_Log[Part Name],$A19,T_SelfStock_Log[WeekIndex],2)=0,"",SUMIFS(T_SelfStock_Log[Self_Qty],T_SelfStock_Log[Part Name],$A19,T_SelfStock_Log[WeekIndex],2))</f>
        <v/>
      </c>
      <c r="D19" s="19">
        <f>IF(COUNTIFS(T_SelfStock_Log[Part Name],$A19,T_SelfStock_Log[WeekIndex],3)=0,"",SUMIFS(T_SelfStock_Log[Self_Qty],T_SelfStock_Log[Part Name],$A19,T_SelfStock_Log[WeekIndex],3))</f>
        <v/>
      </c>
      <c r="E19" s="19">
        <f>IF(COUNTIFS(T_SelfStock_Log[Part Name],$A19,T_SelfStock_Log[WeekIndex],4)=0,"",SUMIFS(T_SelfStock_Log[Self_Qty],T_SelfStock_Log[Part Name],$A19,T_SelfStock_Log[WeekIndex],4))</f>
        <v/>
      </c>
      <c r="F19" s="19">
        <f>IF(COUNTIFS(T_SelfStock_Log[Part Name],$A19,T_SelfStock_Log[WeekIndex],5)=0,"",SUMIFS(T_SelfStock_Log[Self_Qty],T_SelfStock_Log[Part Name],$A19,T_SelfStock_Log[WeekIndex],5))</f>
        <v/>
      </c>
      <c r="G19" s="19">
        <f>IF(COUNTIFS(T_SelfStock_Log[Part Name],$A19,T_SelfStock_Log[WeekIndex],6)=0,"",SUMIFS(T_SelfStock_Log[Self_Qty],T_SelfStock_Log[Part Name],$A19,T_SelfStock_Log[WeekIndex],6))</f>
        <v/>
      </c>
      <c r="H19" s="19">
        <f>IF(COUNTIFS(T_SelfStock_Log[Part Name],$A19,T_SelfStock_Log[WeekIndex],7)=0,"",SUMIFS(T_SelfStock_Log[Self_Qty],T_SelfStock_Log[Part Name],$A19,T_SelfStock_Log[WeekIndex],7))</f>
        <v/>
      </c>
      <c r="I19" s="19">
        <f>IF(COUNTIFS(T_SelfStock_Log[Part Name],$A19,T_SelfStock_Log[WeekIndex],8)=0,"",SUMIFS(T_SelfStock_Log[Self_Qty],T_SelfStock_Log[Part Name],$A19,T_SelfStock_Log[WeekIndex],8))</f>
        <v/>
      </c>
      <c r="J19" s="19">
        <f>IF(COUNTIFS(T_SelfStock_Log[Part Name],$A19,T_SelfStock_Log[WeekIndex],9)=0,"",SUMIFS(T_SelfStock_Log[Self_Qty],T_SelfStock_Log[Part Name],$A19,T_SelfStock_Log[WeekIndex],9))</f>
        <v/>
      </c>
      <c r="K19" s="19">
        <f>IF(COUNTIFS(T_SelfStock_Log[Part Name],$A19,T_SelfStock_Log[WeekIndex],10)=0,"",SUMIFS(T_SelfStock_Log[Self_Qty],T_SelfStock_Log[Part Name],$A19,T_SelfStock_Log[WeekIndex],10))</f>
        <v/>
      </c>
      <c r="L19" s="19">
        <f>IF(COUNTIFS(T_SelfStock_Log[Part Name],$A19,T_SelfStock_Log[WeekIndex],11)=0,"",SUMIFS(T_SelfStock_Log[Self_Qty],T_SelfStock_Log[Part Name],$A19,T_SelfStock_Log[WeekIndex],11))</f>
        <v/>
      </c>
      <c r="M19" s="19">
        <f>IF(COUNTIFS(T_SelfStock_Log[Part Name],$A19,T_SelfStock_Log[WeekIndex],12)=0,"",SUMIFS(T_SelfStock_Log[Self_Qty],T_SelfStock_Log[Part Name],$A19,T_SelfStock_Log[WeekIndex],12))</f>
        <v/>
      </c>
      <c r="N19" s="19">
        <f>IF(COUNTIFS(T_SelfStock_Log[Part Name],$A19,T_SelfStock_Log[WeekIndex],13)=0,"",SUMIFS(T_SelfStock_Log[Self_Qty],T_SelfStock_Log[Part Name],$A19,T_SelfStock_Log[WeekIndex],13))</f>
        <v/>
      </c>
      <c r="O19" s="19">
        <f>IF(COUNTIFS(T_SelfStock_Log[Part Name],$A19,T_SelfStock_Log[WeekIndex],14)=0,"",SUMIFS(T_SelfStock_Log[Self_Qty],T_SelfStock_Log[Part Name],$A19,T_SelfStock_Log[WeekIndex],14))</f>
        <v/>
      </c>
      <c r="P19" s="19">
        <f>IF(COUNTIFS(T_SelfStock_Log[Part Name],$A19,T_SelfStock_Log[WeekIndex],15)=0,"",SUMIFS(T_SelfStock_Log[Self_Qty],T_SelfStock_Log[Part Name],$A19,T_SelfStock_Log[WeekIndex],15))</f>
        <v/>
      </c>
      <c r="Q19" s="19">
        <f>IF(COUNTIFS(T_SelfStock_Log[Part Name],$A19,T_SelfStock_Log[WeekIndex],16)=0,"",SUMIFS(T_SelfStock_Log[Self_Qty],T_SelfStock_Log[Part Name],$A19,T_SelfStock_Log[WeekIndex],16))</f>
        <v/>
      </c>
      <c r="R19" s="19">
        <f>IF(COUNTIFS(T_SelfStock_Log[Part Name],$A19,T_SelfStock_Log[WeekIndex],17)=0,"",SUMIFS(T_SelfStock_Log[Self_Qty],T_SelfStock_Log[Part Name],$A19,T_SelfStock_Log[WeekIndex],17))</f>
        <v/>
      </c>
      <c r="S19" s="19">
        <f>IF(COUNTIFS(T_SelfStock_Log[Part Name],$A19,T_SelfStock_Log[WeekIndex],18)=0,"",SUMIFS(T_SelfStock_Log[Self_Qty],T_SelfStock_Log[Part Name],$A19,T_SelfStock_Log[WeekIndex],18))</f>
        <v/>
      </c>
      <c r="T19" s="19">
        <f>IF(COUNTIFS(T_SelfStock_Log[Part Name],$A19,T_SelfStock_Log[WeekIndex],19)=0,"",SUMIFS(T_SelfStock_Log[Self_Qty],T_SelfStock_Log[Part Name],$A19,T_SelfStock_Log[WeekIndex],19))</f>
        <v/>
      </c>
      <c r="U19" s="19">
        <f>IF(COUNTIFS(T_SelfStock_Log[Part Name],$A19,T_SelfStock_Log[WeekIndex],20)=0,"",SUMIFS(T_SelfStock_Log[Self_Qty],T_SelfStock_Log[Part Name],$A19,T_SelfStock_Log[WeekIndex],20))</f>
        <v/>
      </c>
      <c r="V19" s="19">
        <f>IF(COUNTIFS(T_SelfStock_Log[Part Name],$A19,T_SelfStock_Log[WeekIndex],21)=0,"",SUMIFS(T_SelfStock_Log[Self_Qty],T_SelfStock_Log[Part Name],$A19,T_SelfStock_Log[WeekIndex],21))</f>
        <v/>
      </c>
      <c r="W19" s="19">
        <f>IF(COUNTIFS(T_SelfStock_Log[Part Name],$A19,T_SelfStock_Log[WeekIndex],22)=0,"",SUMIFS(T_SelfStock_Log[Self_Qty],T_SelfStock_Log[Part Name],$A19,T_SelfStock_Log[WeekIndex],22))</f>
        <v/>
      </c>
      <c r="X19" s="19">
        <f>IF(COUNTIFS(T_SelfStock_Log[Part Name],$A19,T_SelfStock_Log[WeekIndex],23)=0,"",SUMIFS(T_SelfStock_Log[Self_Qty],T_SelfStock_Log[Part Name],$A19,T_SelfStock_Log[WeekIndex],23))</f>
        <v/>
      </c>
      <c r="Y19" s="19">
        <f>IF(COUNTIFS(T_SelfStock_Log[Part Name],$A19,T_SelfStock_Log[WeekIndex],24)=0,"",SUMIFS(T_SelfStock_Log[Self_Qty],T_SelfStock_Log[Part Name],$A19,T_SelfStock_Log[WeekIndex],24))</f>
        <v/>
      </c>
      <c r="Z19" s="19">
        <f>IF(COUNTIFS(T_SelfStock_Log[Part Name],$A19,T_SelfStock_Log[WeekIndex],25)=0,"",SUMIFS(T_SelfStock_Log[Self_Qty],T_SelfStock_Log[Part Name],$A19,T_SelfStock_Log[WeekIndex],25))</f>
        <v/>
      </c>
      <c r="AA19" s="19">
        <f>IF(COUNTIFS(T_SelfStock_Log[Part Name],$A19,T_SelfStock_Log[WeekIndex],26)=0,"",SUMIFS(T_SelfStock_Log[Self_Qty],T_SelfStock_Log[Part Name],$A19,T_SelfStock_Log[WeekIndex],26))</f>
        <v/>
      </c>
      <c r="AB19" s="19">
        <f>IF(COUNTIFS(T_SelfStock_Log[Part Name],$A19,T_SelfStock_Log[WeekIndex],27)=0,"",SUMIFS(T_SelfStock_Log[Self_Qty],T_SelfStock_Log[Part Name],$A19,T_SelfStock_Log[WeekIndex],27))</f>
        <v/>
      </c>
      <c r="AC19" s="19">
        <f>IF(COUNTIFS(T_SelfStock_Log[Part Name],$A19,T_SelfStock_Log[WeekIndex],28)=0,"",SUMIFS(T_SelfStock_Log[Self_Qty],T_SelfStock_Log[Part Name],$A19,T_SelfStock_Log[WeekIndex],28))</f>
        <v/>
      </c>
      <c r="AD19" s="19">
        <f>IF(COUNTIFS(T_SelfStock_Log[Part Name],$A19,T_SelfStock_Log[WeekIndex],29)=0,"",SUMIFS(T_SelfStock_Log[Self_Qty],T_SelfStock_Log[Part Name],$A19,T_SelfStock_Log[WeekIndex],29))</f>
        <v/>
      </c>
      <c r="AE19" s="19">
        <f>IF(COUNTIFS(T_SelfStock_Log[Part Name],$A19,T_SelfStock_Log[WeekIndex],30)=0,"",SUMIFS(T_SelfStock_Log[Self_Qty],T_SelfStock_Log[Part Name],$A19,T_SelfStock_Log[WeekIndex],30))</f>
        <v/>
      </c>
      <c r="AF19" s="19">
        <f>IF(COUNTIFS(T_SelfStock_Log[Part Name],$A19,T_SelfStock_Log[WeekIndex],31)=0,"",SUMIFS(T_SelfStock_Log[Self_Qty],T_SelfStock_Log[Part Name],$A19,T_SelfStock_Log[WeekIndex],31))</f>
        <v/>
      </c>
      <c r="AG19" s="19">
        <f>IF(COUNTIFS(T_SelfStock_Log[Part Name],$A19,T_SelfStock_Log[WeekIndex],32)=0,"",SUMIFS(T_SelfStock_Log[Self_Qty],T_SelfStock_Log[Part Name],$A19,T_SelfStock_Log[WeekIndex],32))</f>
        <v/>
      </c>
      <c r="AH19" s="19">
        <f>IF(COUNTIFS(T_SelfStock_Log[Part Name],$A19,T_SelfStock_Log[WeekIndex],33)=0,"",SUMIFS(T_SelfStock_Log[Self_Qty],T_SelfStock_Log[Part Name],$A19,T_SelfStock_Log[WeekIndex],33))</f>
        <v/>
      </c>
      <c r="AI19" s="19">
        <f>IF(COUNTIFS(T_SelfStock_Log[Part Name],$A19,T_SelfStock_Log[WeekIndex],34)=0,"",SUMIFS(T_SelfStock_Log[Self_Qty],T_SelfStock_Log[Part Name],$A19,T_SelfStock_Log[WeekIndex],34))</f>
        <v/>
      </c>
      <c r="AJ19" s="19">
        <f>IF(COUNTIFS(T_SelfStock_Log[Part Name],$A19,T_SelfStock_Log[WeekIndex],35)=0,"",SUMIFS(T_SelfStock_Log[Self_Qty],T_SelfStock_Log[Part Name],$A19,T_SelfStock_Log[WeekIndex],35))</f>
        <v/>
      </c>
      <c r="AK19" s="19">
        <f>IF(COUNTIFS(T_SelfStock_Log[Part Name],$A19,T_SelfStock_Log[WeekIndex],36)=0,"",SUMIFS(T_SelfStock_Log[Self_Qty],T_SelfStock_Log[Part Name],$A19,T_SelfStock_Log[WeekIndex],36))</f>
        <v/>
      </c>
      <c r="AL19" s="19">
        <f>IF(COUNTIFS(T_SelfStock_Log[Part Name],$A19,T_SelfStock_Log[WeekIndex],37)=0,"",SUMIFS(T_SelfStock_Log[Self_Qty],T_SelfStock_Log[Part Name],$A19,T_SelfStock_Log[WeekIndex],37))</f>
        <v/>
      </c>
      <c r="AM19" s="19">
        <f>IF(COUNTIFS(T_SelfStock_Log[Part Name],$A19,T_SelfStock_Log[WeekIndex],38)=0,"",SUMIFS(T_SelfStock_Log[Self_Qty],T_SelfStock_Log[Part Name],$A19,T_SelfStock_Log[WeekIndex],38))</f>
        <v/>
      </c>
      <c r="AN19" s="19">
        <f>IF(COUNTIFS(T_SelfStock_Log[Part Name],$A19,T_SelfStock_Log[WeekIndex],39)=0,"",SUMIFS(T_SelfStock_Log[Self_Qty],T_SelfStock_Log[Part Name],$A19,T_SelfStock_Log[WeekIndex],39))</f>
        <v/>
      </c>
      <c r="AO19" s="19">
        <f>IF(COUNTIFS(T_SelfStock_Log[Part Name],$A19,T_SelfStock_Log[WeekIndex],40)=0,"",SUMIFS(T_SelfStock_Log[Self_Qty],T_SelfStock_Log[Part Name],$A19,T_SelfStock_Log[WeekIndex],40))</f>
        <v/>
      </c>
      <c r="AP19" s="19">
        <f>IF(COUNTIFS(T_SelfStock_Log[Part Name],$A19,T_SelfStock_Log[WeekIndex],41)=0,"",SUMIFS(T_SelfStock_Log[Self_Qty],T_SelfStock_Log[Part Name],$A19,T_SelfStock_Log[WeekIndex],41))</f>
        <v/>
      </c>
      <c r="AQ19" s="19">
        <f>IF(COUNTIFS(T_SelfStock_Log[Part Name],$A19,T_SelfStock_Log[WeekIndex],42)=0,"",SUMIFS(T_SelfStock_Log[Self_Qty],T_SelfStock_Log[Part Name],$A19,T_SelfStock_Log[WeekIndex],42))</f>
        <v/>
      </c>
      <c r="AR19" s="19">
        <f>IF(COUNTIFS(T_SelfStock_Log[Part Name],$A19,T_SelfStock_Log[WeekIndex],43)=0,"",SUMIFS(T_SelfStock_Log[Self_Qty],T_SelfStock_Log[Part Name],$A19,T_SelfStock_Log[WeekIndex],43))</f>
        <v/>
      </c>
      <c r="AS19" s="19">
        <f>IF(COUNTIFS(T_SelfStock_Log[Part Name],$A19,T_SelfStock_Log[WeekIndex],44)=0,"",SUMIFS(T_SelfStock_Log[Self_Qty],T_SelfStock_Log[Part Name],$A19,T_SelfStock_Log[WeekIndex],44))</f>
        <v/>
      </c>
      <c r="AT19" s="19">
        <f>IF(COUNTIFS(T_SelfStock_Log[Part Name],$A19,T_SelfStock_Log[WeekIndex],45)=0,"",SUMIFS(T_SelfStock_Log[Self_Qty],T_SelfStock_Log[Part Name],$A19,T_SelfStock_Log[WeekIndex],45))</f>
        <v/>
      </c>
      <c r="AU19" s="19">
        <f>IF(COUNTIFS(T_SelfStock_Log[Part Name],$A19,T_SelfStock_Log[WeekIndex],46)=0,"",SUMIFS(T_SelfStock_Log[Self_Qty],T_SelfStock_Log[Part Name],$A19,T_SelfStock_Log[WeekIndex],46))</f>
        <v/>
      </c>
      <c r="AV19" s="19">
        <f>IF(COUNTIFS(T_SelfStock_Log[Part Name],$A19,T_SelfStock_Log[WeekIndex],47)=0,"",SUMIFS(T_SelfStock_Log[Self_Qty],T_SelfStock_Log[Part Name],$A19,T_SelfStock_Log[WeekIndex],47))</f>
        <v/>
      </c>
      <c r="AW19" s="19">
        <f>IF(COUNTIFS(T_SelfStock_Log[Part Name],$A19,T_SelfStock_Log[WeekIndex],48)=0,"",SUMIFS(T_SelfStock_Log[Self_Qty],T_SelfStock_Log[Part Name],$A19,T_SelfStock_Log[WeekIndex],48))</f>
        <v/>
      </c>
      <c r="AX19" s="19">
        <f>IF(COUNTIFS(T_SelfStock_Log[Part Name],$A19,T_SelfStock_Log[WeekIndex],49)=0,"",SUMIFS(T_SelfStock_Log[Self_Qty],T_SelfStock_Log[Part Name],$A19,T_SelfStock_Log[WeekIndex],49))</f>
        <v/>
      </c>
      <c r="AY19" s="19">
        <f>IF(COUNTIFS(T_SelfStock_Log[Part Name],$A19,T_SelfStock_Log[WeekIndex],50)=0,"",SUMIFS(T_SelfStock_Log[Self_Qty],T_SelfStock_Log[Part Name],$A19,T_SelfStock_Log[WeekIndex],50))</f>
        <v/>
      </c>
      <c r="AZ19" s="19">
        <f>IF(COUNTIFS(T_SelfStock_Log[Part Name],$A19,T_SelfStock_Log[WeekIndex],51)=0,"",SUMIFS(T_SelfStock_Log[Self_Qty],T_SelfStock_Log[Part Name],$A19,T_SelfStock_Log[WeekIndex],51))</f>
        <v/>
      </c>
      <c r="BA19" s="19">
        <f>IF(COUNTIFS(T_SelfStock_Log[Part Name],$A19,T_SelfStock_Log[WeekIndex],52)=0,"",SUMIFS(T_SelfStock_Log[Self_Qty],T_SelfStock_Log[Part Name],$A19,T_SelfStock_Log[WeekIndex],52))</f>
        <v/>
      </c>
      <c r="BB19" s="19">
        <f>IF(COUNTIFS(T_SelfStock_Log[Part Name],$A19,T_SelfStock_Log[WeekIndex],53)=0,"",SUMIFS(T_SelfStock_Log[Self_Qty],T_SelfStock_Log[Part Name],$A19,T_SelfStock_Log[WeekIndex],53))</f>
        <v/>
      </c>
      <c r="BC19" s="19">
        <f>IF(COUNTIFS(T_SelfStock_Log[Part Name],$A19,T_SelfStock_Log[WeekIndex],54)=0,"",SUMIFS(T_SelfStock_Log[Self_Qty],T_SelfStock_Log[Part Name],$A19,T_SelfStock_Log[WeekIndex],54))</f>
        <v/>
      </c>
      <c r="BD19" s="19">
        <f>IF(COUNTIFS(T_SelfStock_Log[Part Name],$A19,T_SelfStock_Log[WeekIndex],55)=0,"",SUMIFS(T_SelfStock_Log[Self_Qty],T_SelfStock_Log[Part Name],$A19,T_SelfStock_Log[WeekIndex],55))</f>
        <v/>
      </c>
      <c r="BE19" s="19">
        <f>IF(COUNTIFS(T_SelfStock_Log[Part Name],$A19,T_SelfStock_Log[WeekIndex],56)=0,"",SUMIFS(T_SelfStock_Log[Self_Qty],T_SelfStock_Log[Part Name],$A19,T_SelfStock_Log[WeekIndex],56))</f>
        <v/>
      </c>
      <c r="BF19" s="19">
        <f>IF(COUNTIFS(T_SelfStock_Log[Part Name],$A19,T_SelfStock_Log[WeekIndex],57)=0,"",SUMIFS(T_SelfStock_Log[Self_Qty],T_SelfStock_Log[Part Name],$A19,T_SelfStock_Log[WeekIndex],57))</f>
        <v/>
      </c>
      <c r="BG19" s="19">
        <f>IF(COUNTIFS(T_SelfStock_Log[Part Name],$A19,T_SelfStock_Log[WeekIndex],58)=0,"",SUMIFS(T_SelfStock_Log[Self_Qty],T_SelfStock_Log[Part Name],$A19,T_SelfStock_Log[WeekIndex],58))</f>
        <v/>
      </c>
      <c r="BH19" s="19">
        <f>IF(COUNTIFS(T_SelfStock_Log[Part Name],$A19,T_SelfStock_Log[WeekIndex],59)=0,"",SUMIFS(T_SelfStock_Log[Self_Qty],T_SelfStock_Log[Part Name],$A19,T_SelfStock_Log[WeekIndex],59))</f>
        <v/>
      </c>
      <c r="BI19" s="19">
        <f>IF(COUNTIFS(T_SelfStock_Log[Part Name],$A19,T_SelfStock_Log[WeekIndex],60)=0,"",SUMIFS(T_SelfStock_Log[Self_Qty],T_SelfStock_Log[Part Name],$A19,T_SelfStock_Log[WeekIndex],60))</f>
        <v/>
      </c>
      <c r="BJ19" s="19">
        <f>IF(COUNTIFS(T_SelfStock_Log[Part Name],$A19,T_SelfStock_Log[WeekIndex],61)=0,"",SUMIFS(T_SelfStock_Log[Self_Qty],T_SelfStock_Log[Part Name],$A19,T_SelfStock_Log[WeekIndex],61))</f>
        <v/>
      </c>
      <c r="BK19" s="19">
        <f>IF(COUNTIFS(T_SelfStock_Log[Part Name],$A19,T_SelfStock_Log[WeekIndex],62)=0,"",SUMIFS(T_SelfStock_Log[Self_Qty],T_SelfStock_Log[Part Name],$A19,T_SelfStock_Log[WeekIndex],62))</f>
        <v/>
      </c>
      <c r="BL19" s="19">
        <f>IF(COUNTIFS(T_SelfStock_Log[Part Name],$A19,T_SelfStock_Log[WeekIndex],63)=0,"",SUMIFS(T_SelfStock_Log[Self_Qty],T_SelfStock_Log[Part Name],$A19,T_SelfStock_Log[WeekIndex],63))</f>
        <v/>
      </c>
      <c r="BM19" s="19">
        <f>IF(COUNTIFS(T_SelfStock_Log[Part Name],$A19,T_SelfStock_Log[WeekIndex],64)=0,"",SUMIFS(T_SelfStock_Log[Self_Qty],T_SelfStock_Log[Part Name],$A19,T_SelfStock_Log[WeekIndex],64))</f>
        <v/>
      </c>
      <c r="BN19" s="19">
        <f>IF(COUNTIFS(T_SelfStock_Log[Part Name],$A19,T_SelfStock_Log[WeekIndex],65)=0,"",SUMIFS(T_SelfStock_Log[Self_Qty],T_SelfStock_Log[Part Name],$A19,T_SelfStock_Log[WeekIndex],65))</f>
        <v/>
      </c>
      <c r="BO19" s="19">
        <f>IF(COUNTIFS(T_SelfStock_Log[Part Name],$A19,T_SelfStock_Log[WeekIndex],66)=0,"",SUMIFS(T_SelfStock_Log[Self_Qty],T_SelfStock_Log[Part Name],$A19,T_SelfStock_Log[WeekIndex],66))</f>
        <v/>
      </c>
      <c r="BP19" s="19">
        <f>IF(COUNTIFS(T_SelfStock_Log[Part Name],$A19,T_SelfStock_Log[WeekIndex],67)=0,"",SUMIFS(T_SelfStock_Log[Self_Qty],T_SelfStock_Log[Part Name],$A19,T_SelfStock_Log[WeekIndex],67))</f>
        <v/>
      </c>
      <c r="BQ19" s="19">
        <f>IF(COUNTIFS(T_SelfStock_Log[Part Name],$A19,T_SelfStock_Log[WeekIndex],68)=0,"",SUMIFS(T_SelfStock_Log[Self_Qty],T_SelfStock_Log[Part Name],$A19,T_SelfStock_Log[WeekIndex],68))</f>
        <v/>
      </c>
      <c r="BR19" s="19">
        <f>IF(COUNTIFS(T_SelfStock_Log[Part Name],$A19,T_SelfStock_Log[WeekIndex],69)=0,"",SUMIFS(T_SelfStock_Log[Self_Qty],T_SelfStock_Log[Part Name],$A19,T_SelfStock_Log[WeekIndex],69))</f>
        <v/>
      </c>
      <c r="BS19" s="19">
        <f>IF(COUNTIFS(T_SelfStock_Log[Part Name],$A19,T_SelfStock_Log[WeekIndex],70)=0,"",SUMIFS(T_SelfStock_Log[Self_Qty],T_SelfStock_Log[Part Name],$A19,T_SelfStock_Log[WeekIndex],70))</f>
        <v/>
      </c>
      <c r="BT19" s="19">
        <f>IF(COUNTIFS(T_SelfStock_Log[Part Name],$A19,T_SelfStock_Log[WeekIndex],71)=0,"",SUMIFS(T_SelfStock_Log[Self_Qty],T_SelfStock_Log[Part Name],$A19,T_SelfStock_Log[WeekIndex],71))</f>
        <v/>
      </c>
      <c r="BU19" s="19">
        <f>IF(COUNTIFS(T_SelfStock_Log[Part Name],$A19,T_SelfStock_Log[WeekIndex],72)=0,"",SUMIFS(T_SelfStock_Log[Self_Qty],T_SelfStock_Log[Part Name],$A19,T_SelfStock_Log[WeekIndex],72))</f>
        <v/>
      </c>
      <c r="BV19" s="19">
        <f>IF(COUNTIFS(T_SelfStock_Log[Part Name],$A19,T_SelfStock_Log[WeekIndex],73)=0,"",SUMIFS(T_SelfStock_Log[Self_Qty],T_SelfStock_Log[Part Name],$A19,T_SelfStock_Log[WeekIndex],73))</f>
        <v/>
      </c>
      <c r="BW19" s="19">
        <f>IF(COUNTIFS(T_SelfStock_Log[Part Name],$A19,T_SelfStock_Log[WeekIndex],74)=0,"",SUMIFS(T_SelfStock_Log[Self_Qty],T_SelfStock_Log[Part Name],$A19,T_SelfStock_Log[WeekIndex],74))</f>
        <v/>
      </c>
      <c r="BX19" s="19">
        <f>IF(COUNTIFS(T_SelfStock_Log[Part Name],$A19,T_SelfStock_Log[WeekIndex],75)=0,"",SUMIFS(T_SelfStock_Log[Self_Qty],T_SelfStock_Log[Part Name],$A19,T_SelfStock_Log[WeekIndex],75))</f>
        <v/>
      </c>
      <c r="BY19" s="19">
        <f>IF(COUNTIFS(T_SelfStock_Log[Part Name],$A19,T_SelfStock_Log[WeekIndex],76)=0,"",SUMIFS(T_SelfStock_Log[Self_Qty],T_SelfStock_Log[Part Name],$A19,T_SelfStock_Log[WeekIndex],76))</f>
        <v/>
      </c>
      <c r="BZ19" s="19">
        <f>IF(COUNTIFS(T_SelfStock_Log[Part Name],$A19,T_SelfStock_Log[WeekIndex],77)=0,"",SUMIFS(T_SelfStock_Log[Self_Qty],T_SelfStock_Log[Part Name],$A19,T_SelfStock_Log[WeekIndex],77))</f>
        <v/>
      </c>
      <c r="CA19" s="19">
        <f>IF(COUNTIFS(T_SelfStock_Log[Part Name],$A19,T_SelfStock_Log[WeekIndex],78)=0,"",SUMIFS(T_SelfStock_Log[Self_Qty],T_SelfStock_Log[Part Name],$A19,T_SelfStock_Log[WeekIndex],78))</f>
        <v/>
      </c>
      <c r="CB19" s="19">
        <f>IF(COUNTIFS(T_SelfStock_Log[Part Name],$A19,T_SelfStock_Log[WeekIndex],79)=0,"",SUMIFS(T_SelfStock_Log[Self_Qty],T_SelfStock_Log[Part Name],$A19,T_SelfStock_Log[WeekIndex],79))</f>
        <v/>
      </c>
      <c r="CC19" s="19">
        <f>IF(COUNTIFS(T_SelfStock_Log[Part Name],$A19,T_SelfStock_Log[WeekIndex],80)=0,"",SUMIFS(T_SelfStock_Log[Self_Qty],T_SelfStock_Log[Part Name],$A19,T_SelfStock_Log[WeekIndex],80))</f>
        <v/>
      </c>
      <c r="CD19" s="19">
        <f>IF(COUNTIFS(T_SelfStock_Log[Part Name],$A19,T_SelfStock_Log[WeekIndex],81)=0,"",SUMIFS(T_SelfStock_Log[Self_Qty],T_SelfStock_Log[Part Name],$A19,T_SelfStock_Log[WeekIndex],81))</f>
        <v/>
      </c>
      <c r="CE19" s="19">
        <f>IF(COUNTIFS(T_SelfStock_Log[Part Name],$A19,T_SelfStock_Log[WeekIndex],82)=0,"",SUMIFS(T_SelfStock_Log[Self_Qty],T_SelfStock_Log[Part Name],$A19,T_SelfStock_Log[WeekIndex],82))</f>
        <v/>
      </c>
      <c r="CF19" s="19">
        <f>IF(COUNTIFS(T_SelfStock_Log[Part Name],$A19,T_SelfStock_Log[WeekIndex],83)=0,"",SUMIFS(T_SelfStock_Log[Self_Qty],T_SelfStock_Log[Part Name],$A19,T_SelfStock_Log[WeekIndex],83))</f>
        <v/>
      </c>
      <c r="CG19" s="19">
        <f>IF(COUNTIFS(T_SelfStock_Log[Part Name],$A19,T_SelfStock_Log[WeekIndex],84)=0,"",SUMIFS(T_SelfStock_Log[Self_Qty],T_SelfStock_Log[Part Name],$A19,T_SelfStock_Log[WeekIndex],84))</f>
        <v/>
      </c>
      <c r="CH19" s="19">
        <f>IF(COUNTIFS(T_SelfStock_Log[Part Name],$A19,T_SelfStock_Log[WeekIndex],85)=0,"",SUMIFS(T_SelfStock_Log[Self_Qty],T_SelfStock_Log[Part Name],$A19,T_SelfStock_Log[WeekIndex],85))</f>
        <v/>
      </c>
      <c r="CI19" s="19">
        <f>IF(COUNTIFS(T_SelfStock_Log[Part Name],$A19,T_SelfStock_Log[WeekIndex],86)=0,"",SUMIFS(T_SelfStock_Log[Self_Qty],T_SelfStock_Log[Part Name],$A19,T_SelfStock_Log[WeekIndex],86))</f>
        <v/>
      </c>
      <c r="CJ19" s="19">
        <f>IF(COUNTIFS(T_SelfStock_Log[Part Name],$A19,T_SelfStock_Log[WeekIndex],87)=0,"",SUMIFS(T_SelfStock_Log[Self_Qty],T_SelfStock_Log[Part Name],$A19,T_SelfStock_Log[WeekIndex],87))</f>
        <v/>
      </c>
      <c r="CK19" s="19">
        <f>IF(COUNTIFS(T_SelfStock_Log[Part Name],$A19,T_SelfStock_Log[WeekIndex],88)=0,"",SUMIFS(T_SelfStock_Log[Self_Qty],T_SelfStock_Log[Part Name],$A19,T_SelfStock_Log[WeekIndex],88))</f>
        <v/>
      </c>
      <c r="CL19" s="19">
        <f>IF(COUNTIFS(T_SelfStock_Log[Part Name],$A19,T_SelfStock_Log[WeekIndex],89)=0,"",SUMIFS(T_SelfStock_Log[Self_Qty],T_SelfStock_Log[Part Name],$A19,T_SelfStock_Log[WeekIndex],89))</f>
        <v/>
      </c>
      <c r="CM19" s="19">
        <f>IF(COUNTIFS(T_SelfStock_Log[Part Name],$A19,T_SelfStock_Log[WeekIndex],90)=0,"",SUMIFS(T_SelfStock_Log[Self_Qty],T_SelfStock_Log[Part Name],$A19,T_SelfStock_Log[WeekIndex],90))</f>
        <v/>
      </c>
      <c r="CN19" s="19">
        <f>IF(COUNTIFS(T_SelfStock_Log[Part Name],$A19,T_SelfStock_Log[WeekIndex],91)=0,"",SUMIFS(T_SelfStock_Log[Self_Qty],T_SelfStock_Log[Part Name],$A19,T_SelfStock_Log[WeekIndex],91))</f>
        <v/>
      </c>
      <c r="CO19" s="19">
        <f>IF(COUNTIFS(T_SelfStock_Log[Part Name],$A19,T_SelfStock_Log[WeekIndex],92)=0,"",SUMIFS(T_SelfStock_Log[Self_Qty],T_SelfStock_Log[Part Name],$A19,T_SelfStock_Log[WeekIndex],92))</f>
        <v/>
      </c>
      <c r="CP19" s="19">
        <f>IF(COUNTIFS(T_SelfStock_Log[Part Name],$A19,T_SelfStock_Log[WeekIndex],93)=0,"",SUMIFS(T_SelfStock_Log[Self_Qty],T_SelfStock_Log[Part Name],$A19,T_SelfStock_Log[WeekIndex],93))</f>
        <v/>
      </c>
      <c r="CQ19" s="19">
        <f>IF(COUNTIFS(T_SelfStock_Log[Part Name],$A19,T_SelfStock_Log[WeekIndex],94)=0,"",SUMIFS(T_SelfStock_Log[Self_Qty],T_SelfStock_Log[Part Name],$A19,T_SelfStock_Log[WeekIndex],94))</f>
        <v/>
      </c>
      <c r="CR19" s="19">
        <f>IF(COUNTIFS(T_SelfStock_Log[Part Name],$A19,T_SelfStock_Log[WeekIndex],95)=0,"",SUMIFS(T_SelfStock_Log[Self_Qty],T_SelfStock_Log[Part Name],$A19,T_SelfStock_Log[WeekIndex],95))</f>
        <v/>
      </c>
      <c r="CS19" s="19">
        <f>IF(COUNTIFS(T_SelfStock_Log[Part Name],$A19,T_SelfStock_Log[WeekIndex],96)=0,"",SUMIFS(T_SelfStock_Log[Self_Qty],T_SelfStock_Log[Part Name],$A19,T_SelfStock_Log[WeekIndex],96))</f>
        <v/>
      </c>
      <c r="CT19" s="19">
        <f>IF(COUNTIFS(T_SelfStock_Log[Part Name],$A19,T_SelfStock_Log[WeekIndex],97)=0,"",SUMIFS(T_SelfStock_Log[Self_Qty],T_SelfStock_Log[Part Name],$A19,T_SelfStock_Log[WeekIndex],97))</f>
        <v/>
      </c>
      <c r="CU19" s="19">
        <f>IF(COUNTIFS(T_SelfStock_Log[Part Name],$A19,T_SelfStock_Log[WeekIndex],98)=0,"",SUMIFS(T_SelfStock_Log[Self_Qty],T_SelfStock_Log[Part Name],$A19,T_SelfStock_Log[WeekIndex],98))</f>
        <v/>
      </c>
      <c r="CV19" s="19">
        <f>IF(COUNTIFS(T_SelfStock_Log[Part Name],$A19,T_SelfStock_Log[WeekIndex],99)=0,"",SUMIFS(T_SelfStock_Log[Self_Qty],T_SelfStock_Log[Part Name],$A19,T_SelfStock_Log[WeekIndex],99))</f>
        <v/>
      </c>
      <c r="CW19" s="19">
        <f>IF(COUNTIFS(T_SelfStock_Log[Part Name],$A19,T_SelfStock_Log[WeekIndex],100)=0,"",SUMIFS(T_SelfStock_Log[Self_Qty],T_SelfStock_Log[Part Name],$A19,T_SelfStock_Log[WeekIndex],100))</f>
        <v/>
      </c>
      <c r="CX19" s="19">
        <f>IF(COUNTIFS(T_SelfStock_Log[Part Name],$A19,T_SelfStock_Log[WeekIndex],101)=0,"",SUMIFS(T_SelfStock_Log[Self_Qty],T_SelfStock_Log[Part Name],$A19,T_SelfStock_Log[WeekIndex],101))</f>
        <v/>
      </c>
      <c r="CY19" s="19">
        <f>IF(COUNTIFS(T_SelfStock_Log[Part Name],$A19,T_SelfStock_Log[WeekIndex],102)=0,"",SUMIFS(T_SelfStock_Log[Self_Qty],T_SelfStock_Log[Part Name],$A19,T_SelfStock_Log[WeekIndex],102))</f>
        <v/>
      </c>
      <c r="CZ19" s="19">
        <f>IF(COUNTIFS(T_SelfStock_Log[Part Name],$A19,T_SelfStock_Log[WeekIndex],103)=0,"",SUMIFS(T_SelfStock_Log[Self_Qty],T_SelfStock_Log[Part Name],$A19,T_SelfStock_Log[WeekIndex],103))</f>
        <v/>
      </c>
      <c r="DA19" s="19">
        <f>IF(COUNTIFS(T_SelfStock_Log[Part Name],$A19,T_SelfStock_Log[WeekIndex],104)=0,"",SUMIFS(T_SelfStock_Log[Self_Qty],T_SelfStock_Log[Part Name],$A19,T_SelfStock_Log[WeekIndex],104))</f>
        <v/>
      </c>
    </row>
    <row r="20">
      <c r="A20" s="17" t="inlineStr">
        <is>
          <t>8EN</t>
        </is>
      </c>
      <c r="B20" s="17">
        <f>IF(COUNTIFS(T_SelfStock_Log[Part Name],$A20,T_SelfStock_Log[WeekIndex],1)=0,"",SUMIFS(T_SelfStock_Log[Self_Qty],T_SelfStock_Log[Part Name],$A20,T_SelfStock_Log[WeekIndex],1))</f>
        <v/>
      </c>
      <c r="C20" s="17">
        <f>IF(COUNTIFS(T_SelfStock_Log[Part Name],$A20,T_SelfStock_Log[WeekIndex],2)=0,"",SUMIFS(T_SelfStock_Log[Self_Qty],T_SelfStock_Log[Part Name],$A20,T_SelfStock_Log[WeekIndex],2))</f>
        <v/>
      </c>
      <c r="D20" s="17">
        <f>IF(COUNTIFS(T_SelfStock_Log[Part Name],$A20,T_SelfStock_Log[WeekIndex],3)=0,"",SUMIFS(T_SelfStock_Log[Self_Qty],T_SelfStock_Log[Part Name],$A20,T_SelfStock_Log[WeekIndex],3))</f>
        <v/>
      </c>
      <c r="E20" s="17">
        <f>IF(COUNTIFS(T_SelfStock_Log[Part Name],$A20,T_SelfStock_Log[WeekIndex],4)=0,"",SUMIFS(T_SelfStock_Log[Self_Qty],T_SelfStock_Log[Part Name],$A20,T_SelfStock_Log[WeekIndex],4))</f>
        <v/>
      </c>
      <c r="F20" s="17">
        <f>IF(COUNTIFS(T_SelfStock_Log[Part Name],$A20,T_SelfStock_Log[WeekIndex],5)=0,"",SUMIFS(T_SelfStock_Log[Self_Qty],T_SelfStock_Log[Part Name],$A20,T_SelfStock_Log[WeekIndex],5))</f>
        <v/>
      </c>
      <c r="G20" s="17">
        <f>IF(COUNTIFS(T_SelfStock_Log[Part Name],$A20,T_SelfStock_Log[WeekIndex],6)=0,"",SUMIFS(T_SelfStock_Log[Self_Qty],T_SelfStock_Log[Part Name],$A20,T_SelfStock_Log[WeekIndex],6))</f>
        <v/>
      </c>
      <c r="H20" s="17">
        <f>IF(COUNTIFS(T_SelfStock_Log[Part Name],$A20,T_SelfStock_Log[WeekIndex],7)=0,"",SUMIFS(T_SelfStock_Log[Self_Qty],T_SelfStock_Log[Part Name],$A20,T_SelfStock_Log[WeekIndex],7))</f>
        <v/>
      </c>
      <c r="I20" s="17">
        <f>IF(COUNTIFS(T_SelfStock_Log[Part Name],$A20,T_SelfStock_Log[WeekIndex],8)=0,"",SUMIFS(T_SelfStock_Log[Self_Qty],T_SelfStock_Log[Part Name],$A20,T_SelfStock_Log[WeekIndex],8))</f>
        <v/>
      </c>
      <c r="J20" s="17">
        <f>IF(COUNTIFS(T_SelfStock_Log[Part Name],$A20,T_SelfStock_Log[WeekIndex],9)=0,"",SUMIFS(T_SelfStock_Log[Self_Qty],T_SelfStock_Log[Part Name],$A20,T_SelfStock_Log[WeekIndex],9))</f>
        <v/>
      </c>
      <c r="K20" s="17">
        <f>IF(COUNTIFS(T_SelfStock_Log[Part Name],$A20,T_SelfStock_Log[WeekIndex],10)=0,"",SUMIFS(T_SelfStock_Log[Self_Qty],T_SelfStock_Log[Part Name],$A20,T_SelfStock_Log[WeekIndex],10))</f>
        <v/>
      </c>
      <c r="L20" s="17">
        <f>IF(COUNTIFS(T_SelfStock_Log[Part Name],$A20,T_SelfStock_Log[WeekIndex],11)=0,"",SUMIFS(T_SelfStock_Log[Self_Qty],T_SelfStock_Log[Part Name],$A20,T_SelfStock_Log[WeekIndex],11))</f>
        <v/>
      </c>
      <c r="M20" s="17">
        <f>IF(COUNTIFS(T_SelfStock_Log[Part Name],$A20,T_SelfStock_Log[WeekIndex],12)=0,"",SUMIFS(T_SelfStock_Log[Self_Qty],T_SelfStock_Log[Part Name],$A20,T_SelfStock_Log[WeekIndex],12))</f>
        <v/>
      </c>
      <c r="N20" s="17">
        <f>IF(COUNTIFS(T_SelfStock_Log[Part Name],$A20,T_SelfStock_Log[WeekIndex],13)=0,"",SUMIFS(T_SelfStock_Log[Self_Qty],T_SelfStock_Log[Part Name],$A20,T_SelfStock_Log[WeekIndex],13))</f>
        <v/>
      </c>
      <c r="O20" s="17">
        <f>IF(COUNTIFS(T_SelfStock_Log[Part Name],$A20,T_SelfStock_Log[WeekIndex],14)=0,"",SUMIFS(T_SelfStock_Log[Self_Qty],T_SelfStock_Log[Part Name],$A20,T_SelfStock_Log[WeekIndex],14))</f>
        <v/>
      </c>
      <c r="P20" s="17">
        <f>IF(COUNTIFS(T_SelfStock_Log[Part Name],$A20,T_SelfStock_Log[WeekIndex],15)=0,"",SUMIFS(T_SelfStock_Log[Self_Qty],T_SelfStock_Log[Part Name],$A20,T_SelfStock_Log[WeekIndex],15))</f>
        <v/>
      </c>
      <c r="Q20" s="17">
        <f>IF(COUNTIFS(T_SelfStock_Log[Part Name],$A20,T_SelfStock_Log[WeekIndex],16)=0,"",SUMIFS(T_SelfStock_Log[Self_Qty],T_SelfStock_Log[Part Name],$A20,T_SelfStock_Log[WeekIndex],16))</f>
        <v/>
      </c>
      <c r="R20" s="17">
        <f>IF(COUNTIFS(T_SelfStock_Log[Part Name],$A20,T_SelfStock_Log[WeekIndex],17)=0,"",SUMIFS(T_SelfStock_Log[Self_Qty],T_SelfStock_Log[Part Name],$A20,T_SelfStock_Log[WeekIndex],17))</f>
        <v/>
      </c>
      <c r="S20" s="17">
        <f>IF(COUNTIFS(T_SelfStock_Log[Part Name],$A20,T_SelfStock_Log[WeekIndex],18)=0,"",SUMIFS(T_SelfStock_Log[Self_Qty],T_SelfStock_Log[Part Name],$A20,T_SelfStock_Log[WeekIndex],18))</f>
        <v/>
      </c>
      <c r="T20" s="17">
        <f>IF(COUNTIFS(T_SelfStock_Log[Part Name],$A20,T_SelfStock_Log[WeekIndex],19)=0,"",SUMIFS(T_SelfStock_Log[Self_Qty],T_SelfStock_Log[Part Name],$A20,T_SelfStock_Log[WeekIndex],19))</f>
        <v/>
      </c>
      <c r="U20" s="17">
        <f>IF(COUNTIFS(T_SelfStock_Log[Part Name],$A20,T_SelfStock_Log[WeekIndex],20)=0,"",SUMIFS(T_SelfStock_Log[Self_Qty],T_SelfStock_Log[Part Name],$A20,T_SelfStock_Log[WeekIndex],20))</f>
        <v/>
      </c>
      <c r="V20" s="17">
        <f>IF(COUNTIFS(T_SelfStock_Log[Part Name],$A20,T_SelfStock_Log[WeekIndex],21)=0,"",SUMIFS(T_SelfStock_Log[Self_Qty],T_SelfStock_Log[Part Name],$A20,T_SelfStock_Log[WeekIndex],21))</f>
        <v/>
      </c>
      <c r="W20" s="17">
        <f>IF(COUNTIFS(T_SelfStock_Log[Part Name],$A20,T_SelfStock_Log[WeekIndex],22)=0,"",SUMIFS(T_SelfStock_Log[Self_Qty],T_SelfStock_Log[Part Name],$A20,T_SelfStock_Log[WeekIndex],22))</f>
        <v/>
      </c>
      <c r="X20" s="17">
        <f>IF(COUNTIFS(T_SelfStock_Log[Part Name],$A20,T_SelfStock_Log[WeekIndex],23)=0,"",SUMIFS(T_SelfStock_Log[Self_Qty],T_SelfStock_Log[Part Name],$A20,T_SelfStock_Log[WeekIndex],23))</f>
        <v/>
      </c>
      <c r="Y20" s="17">
        <f>IF(COUNTIFS(T_SelfStock_Log[Part Name],$A20,T_SelfStock_Log[WeekIndex],24)=0,"",SUMIFS(T_SelfStock_Log[Self_Qty],T_SelfStock_Log[Part Name],$A20,T_SelfStock_Log[WeekIndex],24))</f>
        <v/>
      </c>
      <c r="Z20" s="17">
        <f>IF(COUNTIFS(T_SelfStock_Log[Part Name],$A20,T_SelfStock_Log[WeekIndex],25)=0,"",SUMIFS(T_SelfStock_Log[Self_Qty],T_SelfStock_Log[Part Name],$A20,T_SelfStock_Log[WeekIndex],25))</f>
        <v/>
      </c>
      <c r="AA20" s="17">
        <f>IF(COUNTIFS(T_SelfStock_Log[Part Name],$A20,T_SelfStock_Log[WeekIndex],26)=0,"",SUMIFS(T_SelfStock_Log[Self_Qty],T_SelfStock_Log[Part Name],$A20,T_SelfStock_Log[WeekIndex],26))</f>
        <v/>
      </c>
      <c r="AB20" s="17">
        <f>IF(COUNTIFS(T_SelfStock_Log[Part Name],$A20,T_SelfStock_Log[WeekIndex],27)=0,"",SUMIFS(T_SelfStock_Log[Self_Qty],T_SelfStock_Log[Part Name],$A20,T_SelfStock_Log[WeekIndex],27))</f>
        <v/>
      </c>
      <c r="AC20" s="17">
        <f>IF(COUNTIFS(T_SelfStock_Log[Part Name],$A20,T_SelfStock_Log[WeekIndex],28)=0,"",SUMIFS(T_SelfStock_Log[Self_Qty],T_SelfStock_Log[Part Name],$A20,T_SelfStock_Log[WeekIndex],28))</f>
        <v/>
      </c>
      <c r="AD20" s="17">
        <f>IF(COUNTIFS(T_SelfStock_Log[Part Name],$A20,T_SelfStock_Log[WeekIndex],29)=0,"",SUMIFS(T_SelfStock_Log[Self_Qty],T_SelfStock_Log[Part Name],$A20,T_SelfStock_Log[WeekIndex],29))</f>
        <v/>
      </c>
      <c r="AE20" s="17">
        <f>IF(COUNTIFS(T_SelfStock_Log[Part Name],$A20,T_SelfStock_Log[WeekIndex],30)=0,"",SUMIFS(T_SelfStock_Log[Self_Qty],T_SelfStock_Log[Part Name],$A20,T_SelfStock_Log[WeekIndex],30))</f>
        <v/>
      </c>
      <c r="AF20" s="17">
        <f>IF(COUNTIFS(T_SelfStock_Log[Part Name],$A20,T_SelfStock_Log[WeekIndex],31)=0,"",SUMIFS(T_SelfStock_Log[Self_Qty],T_SelfStock_Log[Part Name],$A20,T_SelfStock_Log[WeekIndex],31))</f>
        <v/>
      </c>
      <c r="AG20" s="17">
        <f>IF(COUNTIFS(T_SelfStock_Log[Part Name],$A20,T_SelfStock_Log[WeekIndex],32)=0,"",SUMIFS(T_SelfStock_Log[Self_Qty],T_SelfStock_Log[Part Name],$A20,T_SelfStock_Log[WeekIndex],32))</f>
        <v/>
      </c>
      <c r="AH20" s="17">
        <f>IF(COUNTIFS(T_SelfStock_Log[Part Name],$A20,T_SelfStock_Log[WeekIndex],33)=0,"",SUMIFS(T_SelfStock_Log[Self_Qty],T_SelfStock_Log[Part Name],$A20,T_SelfStock_Log[WeekIndex],33))</f>
        <v/>
      </c>
      <c r="AI20" s="17">
        <f>IF(COUNTIFS(T_SelfStock_Log[Part Name],$A20,T_SelfStock_Log[WeekIndex],34)=0,"",SUMIFS(T_SelfStock_Log[Self_Qty],T_SelfStock_Log[Part Name],$A20,T_SelfStock_Log[WeekIndex],34))</f>
        <v/>
      </c>
      <c r="AJ20" s="17">
        <f>IF(COUNTIFS(T_SelfStock_Log[Part Name],$A20,T_SelfStock_Log[WeekIndex],35)=0,"",SUMIFS(T_SelfStock_Log[Self_Qty],T_SelfStock_Log[Part Name],$A20,T_SelfStock_Log[WeekIndex],35))</f>
        <v/>
      </c>
      <c r="AK20" s="17">
        <f>IF(COUNTIFS(T_SelfStock_Log[Part Name],$A20,T_SelfStock_Log[WeekIndex],36)=0,"",SUMIFS(T_SelfStock_Log[Self_Qty],T_SelfStock_Log[Part Name],$A20,T_SelfStock_Log[WeekIndex],36))</f>
        <v/>
      </c>
      <c r="AL20" s="17">
        <f>IF(COUNTIFS(T_SelfStock_Log[Part Name],$A20,T_SelfStock_Log[WeekIndex],37)=0,"",SUMIFS(T_SelfStock_Log[Self_Qty],T_SelfStock_Log[Part Name],$A20,T_SelfStock_Log[WeekIndex],37))</f>
        <v/>
      </c>
      <c r="AM20" s="17">
        <f>IF(COUNTIFS(T_SelfStock_Log[Part Name],$A20,T_SelfStock_Log[WeekIndex],38)=0,"",SUMIFS(T_SelfStock_Log[Self_Qty],T_SelfStock_Log[Part Name],$A20,T_SelfStock_Log[WeekIndex],38))</f>
        <v/>
      </c>
      <c r="AN20" s="17">
        <f>IF(COUNTIFS(T_SelfStock_Log[Part Name],$A20,T_SelfStock_Log[WeekIndex],39)=0,"",SUMIFS(T_SelfStock_Log[Self_Qty],T_SelfStock_Log[Part Name],$A20,T_SelfStock_Log[WeekIndex],39))</f>
        <v/>
      </c>
      <c r="AO20" s="17">
        <f>IF(COUNTIFS(T_SelfStock_Log[Part Name],$A20,T_SelfStock_Log[WeekIndex],40)=0,"",SUMIFS(T_SelfStock_Log[Self_Qty],T_SelfStock_Log[Part Name],$A20,T_SelfStock_Log[WeekIndex],40))</f>
        <v/>
      </c>
      <c r="AP20" s="17">
        <f>IF(COUNTIFS(T_SelfStock_Log[Part Name],$A20,T_SelfStock_Log[WeekIndex],41)=0,"",SUMIFS(T_SelfStock_Log[Self_Qty],T_SelfStock_Log[Part Name],$A20,T_SelfStock_Log[WeekIndex],41))</f>
        <v/>
      </c>
      <c r="AQ20" s="17">
        <f>IF(COUNTIFS(T_SelfStock_Log[Part Name],$A20,T_SelfStock_Log[WeekIndex],42)=0,"",SUMIFS(T_SelfStock_Log[Self_Qty],T_SelfStock_Log[Part Name],$A20,T_SelfStock_Log[WeekIndex],42))</f>
        <v/>
      </c>
      <c r="AR20" s="17">
        <f>IF(COUNTIFS(T_SelfStock_Log[Part Name],$A20,T_SelfStock_Log[WeekIndex],43)=0,"",SUMIFS(T_SelfStock_Log[Self_Qty],T_SelfStock_Log[Part Name],$A20,T_SelfStock_Log[WeekIndex],43))</f>
        <v/>
      </c>
      <c r="AS20" s="17">
        <f>IF(COUNTIFS(T_SelfStock_Log[Part Name],$A20,T_SelfStock_Log[WeekIndex],44)=0,"",SUMIFS(T_SelfStock_Log[Self_Qty],T_SelfStock_Log[Part Name],$A20,T_SelfStock_Log[WeekIndex],44))</f>
        <v/>
      </c>
      <c r="AT20" s="17">
        <f>IF(COUNTIFS(T_SelfStock_Log[Part Name],$A20,T_SelfStock_Log[WeekIndex],45)=0,"",SUMIFS(T_SelfStock_Log[Self_Qty],T_SelfStock_Log[Part Name],$A20,T_SelfStock_Log[WeekIndex],45))</f>
        <v/>
      </c>
      <c r="AU20" s="17">
        <f>IF(COUNTIFS(T_SelfStock_Log[Part Name],$A20,T_SelfStock_Log[WeekIndex],46)=0,"",SUMIFS(T_SelfStock_Log[Self_Qty],T_SelfStock_Log[Part Name],$A20,T_SelfStock_Log[WeekIndex],46))</f>
        <v/>
      </c>
      <c r="AV20" s="17">
        <f>IF(COUNTIFS(T_SelfStock_Log[Part Name],$A20,T_SelfStock_Log[WeekIndex],47)=0,"",SUMIFS(T_SelfStock_Log[Self_Qty],T_SelfStock_Log[Part Name],$A20,T_SelfStock_Log[WeekIndex],47))</f>
        <v/>
      </c>
      <c r="AW20" s="17">
        <f>IF(COUNTIFS(T_SelfStock_Log[Part Name],$A20,T_SelfStock_Log[WeekIndex],48)=0,"",SUMIFS(T_SelfStock_Log[Self_Qty],T_SelfStock_Log[Part Name],$A20,T_SelfStock_Log[WeekIndex],48))</f>
        <v/>
      </c>
      <c r="AX20" s="17">
        <f>IF(COUNTIFS(T_SelfStock_Log[Part Name],$A20,T_SelfStock_Log[WeekIndex],49)=0,"",SUMIFS(T_SelfStock_Log[Self_Qty],T_SelfStock_Log[Part Name],$A20,T_SelfStock_Log[WeekIndex],49))</f>
        <v/>
      </c>
      <c r="AY20" s="17">
        <f>IF(COUNTIFS(T_SelfStock_Log[Part Name],$A20,T_SelfStock_Log[WeekIndex],50)=0,"",SUMIFS(T_SelfStock_Log[Self_Qty],T_SelfStock_Log[Part Name],$A20,T_SelfStock_Log[WeekIndex],50))</f>
        <v/>
      </c>
      <c r="AZ20" s="17">
        <f>IF(COUNTIFS(T_SelfStock_Log[Part Name],$A20,T_SelfStock_Log[WeekIndex],51)=0,"",SUMIFS(T_SelfStock_Log[Self_Qty],T_SelfStock_Log[Part Name],$A20,T_SelfStock_Log[WeekIndex],51))</f>
        <v/>
      </c>
      <c r="BA20" s="17">
        <f>IF(COUNTIFS(T_SelfStock_Log[Part Name],$A20,T_SelfStock_Log[WeekIndex],52)=0,"",SUMIFS(T_SelfStock_Log[Self_Qty],T_SelfStock_Log[Part Name],$A20,T_SelfStock_Log[WeekIndex],52))</f>
        <v/>
      </c>
      <c r="BB20" s="17">
        <f>IF(COUNTIFS(T_SelfStock_Log[Part Name],$A20,T_SelfStock_Log[WeekIndex],53)=0,"",SUMIFS(T_SelfStock_Log[Self_Qty],T_SelfStock_Log[Part Name],$A20,T_SelfStock_Log[WeekIndex],53))</f>
        <v/>
      </c>
      <c r="BC20" s="17">
        <f>IF(COUNTIFS(T_SelfStock_Log[Part Name],$A20,T_SelfStock_Log[WeekIndex],54)=0,"",SUMIFS(T_SelfStock_Log[Self_Qty],T_SelfStock_Log[Part Name],$A20,T_SelfStock_Log[WeekIndex],54))</f>
        <v/>
      </c>
      <c r="BD20" s="17">
        <f>IF(COUNTIFS(T_SelfStock_Log[Part Name],$A20,T_SelfStock_Log[WeekIndex],55)=0,"",SUMIFS(T_SelfStock_Log[Self_Qty],T_SelfStock_Log[Part Name],$A20,T_SelfStock_Log[WeekIndex],55))</f>
        <v/>
      </c>
      <c r="BE20" s="17">
        <f>IF(COUNTIFS(T_SelfStock_Log[Part Name],$A20,T_SelfStock_Log[WeekIndex],56)=0,"",SUMIFS(T_SelfStock_Log[Self_Qty],T_SelfStock_Log[Part Name],$A20,T_SelfStock_Log[WeekIndex],56))</f>
        <v/>
      </c>
      <c r="BF20" s="17">
        <f>IF(COUNTIFS(T_SelfStock_Log[Part Name],$A20,T_SelfStock_Log[WeekIndex],57)=0,"",SUMIFS(T_SelfStock_Log[Self_Qty],T_SelfStock_Log[Part Name],$A20,T_SelfStock_Log[WeekIndex],57))</f>
        <v/>
      </c>
      <c r="BG20" s="17">
        <f>IF(COUNTIFS(T_SelfStock_Log[Part Name],$A20,T_SelfStock_Log[WeekIndex],58)=0,"",SUMIFS(T_SelfStock_Log[Self_Qty],T_SelfStock_Log[Part Name],$A20,T_SelfStock_Log[WeekIndex],58))</f>
        <v/>
      </c>
      <c r="BH20" s="17">
        <f>IF(COUNTIFS(T_SelfStock_Log[Part Name],$A20,T_SelfStock_Log[WeekIndex],59)=0,"",SUMIFS(T_SelfStock_Log[Self_Qty],T_SelfStock_Log[Part Name],$A20,T_SelfStock_Log[WeekIndex],59))</f>
        <v/>
      </c>
      <c r="BI20" s="17">
        <f>IF(COUNTIFS(T_SelfStock_Log[Part Name],$A20,T_SelfStock_Log[WeekIndex],60)=0,"",SUMIFS(T_SelfStock_Log[Self_Qty],T_SelfStock_Log[Part Name],$A20,T_SelfStock_Log[WeekIndex],60))</f>
        <v/>
      </c>
      <c r="BJ20" s="17">
        <f>IF(COUNTIFS(T_SelfStock_Log[Part Name],$A20,T_SelfStock_Log[WeekIndex],61)=0,"",SUMIFS(T_SelfStock_Log[Self_Qty],T_SelfStock_Log[Part Name],$A20,T_SelfStock_Log[WeekIndex],61))</f>
        <v/>
      </c>
      <c r="BK20" s="17">
        <f>IF(COUNTIFS(T_SelfStock_Log[Part Name],$A20,T_SelfStock_Log[WeekIndex],62)=0,"",SUMIFS(T_SelfStock_Log[Self_Qty],T_SelfStock_Log[Part Name],$A20,T_SelfStock_Log[WeekIndex],62))</f>
        <v/>
      </c>
      <c r="BL20" s="17">
        <f>IF(COUNTIFS(T_SelfStock_Log[Part Name],$A20,T_SelfStock_Log[WeekIndex],63)=0,"",SUMIFS(T_SelfStock_Log[Self_Qty],T_SelfStock_Log[Part Name],$A20,T_SelfStock_Log[WeekIndex],63))</f>
        <v/>
      </c>
      <c r="BM20" s="17">
        <f>IF(COUNTIFS(T_SelfStock_Log[Part Name],$A20,T_SelfStock_Log[WeekIndex],64)=0,"",SUMIFS(T_SelfStock_Log[Self_Qty],T_SelfStock_Log[Part Name],$A20,T_SelfStock_Log[WeekIndex],64))</f>
        <v/>
      </c>
      <c r="BN20" s="17">
        <f>IF(COUNTIFS(T_SelfStock_Log[Part Name],$A20,T_SelfStock_Log[WeekIndex],65)=0,"",SUMIFS(T_SelfStock_Log[Self_Qty],T_SelfStock_Log[Part Name],$A20,T_SelfStock_Log[WeekIndex],65))</f>
        <v/>
      </c>
      <c r="BO20" s="17">
        <f>IF(COUNTIFS(T_SelfStock_Log[Part Name],$A20,T_SelfStock_Log[WeekIndex],66)=0,"",SUMIFS(T_SelfStock_Log[Self_Qty],T_SelfStock_Log[Part Name],$A20,T_SelfStock_Log[WeekIndex],66))</f>
        <v/>
      </c>
      <c r="BP20" s="17">
        <f>IF(COUNTIFS(T_SelfStock_Log[Part Name],$A20,T_SelfStock_Log[WeekIndex],67)=0,"",SUMIFS(T_SelfStock_Log[Self_Qty],T_SelfStock_Log[Part Name],$A20,T_SelfStock_Log[WeekIndex],67))</f>
        <v/>
      </c>
      <c r="BQ20" s="17">
        <f>IF(COUNTIFS(T_SelfStock_Log[Part Name],$A20,T_SelfStock_Log[WeekIndex],68)=0,"",SUMIFS(T_SelfStock_Log[Self_Qty],T_SelfStock_Log[Part Name],$A20,T_SelfStock_Log[WeekIndex],68))</f>
        <v/>
      </c>
      <c r="BR20" s="17">
        <f>IF(COUNTIFS(T_SelfStock_Log[Part Name],$A20,T_SelfStock_Log[WeekIndex],69)=0,"",SUMIFS(T_SelfStock_Log[Self_Qty],T_SelfStock_Log[Part Name],$A20,T_SelfStock_Log[WeekIndex],69))</f>
        <v/>
      </c>
      <c r="BS20" s="17">
        <f>IF(COUNTIFS(T_SelfStock_Log[Part Name],$A20,T_SelfStock_Log[WeekIndex],70)=0,"",SUMIFS(T_SelfStock_Log[Self_Qty],T_SelfStock_Log[Part Name],$A20,T_SelfStock_Log[WeekIndex],70))</f>
        <v/>
      </c>
      <c r="BT20" s="17">
        <f>IF(COUNTIFS(T_SelfStock_Log[Part Name],$A20,T_SelfStock_Log[WeekIndex],71)=0,"",SUMIFS(T_SelfStock_Log[Self_Qty],T_SelfStock_Log[Part Name],$A20,T_SelfStock_Log[WeekIndex],71))</f>
        <v/>
      </c>
      <c r="BU20" s="17">
        <f>IF(COUNTIFS(T_SelfStock_Log[Part Name],$A20,T_SelfStock_Log[WeekIndex],72)=0,"",SUMIFS(T_SelfStock_Log[Self_Qty],T_SelfStock_Log[Part Name],$A20,T_SelfStock_Log[WeekIndex],72))</f>
        <v/>
      </c>
      <c r="BV20" s="17">
        <f>IF(COUNTIFS(T_SelfStock_Log[Part Name],$A20,T_SelfStock_Log[WeekIndex],73)=0,"",SUMIFS(T_SelfStock_Log[Self_Qty],T_SelfStock_Log[Part Name],$A20,T_SelfStock_Log[WeekIndex],73))</f>
        <v/>
      </c>
      <c r="BW20" s="17">
        <f>IF(COUNTIFS(T_SelfStock_Log[Part Name],$A20,T_SelfStock_Log[WeekIndex],74)=0,"",SUMIFS(T_SelfStock_Log[Self_Qty],T_SelfStock_Log[Part Name],$A20,T_SelfStock_Log[WeekIndex],74))</f>
        <v/>
      </c>
      <c r="BX20" s="17">
        <f>IF(COUNTIFS(T_SelfStock_Log[Part Name],$A20,T_SelfStock_Log[WeekIndex],75)=0,"",SUMIFS(T_SelfStock_Log[Self_Qty],T_SelfStock_Log[Part Name],$A20,T_SelfStock_Log[WeekIndex],75))</f>
        <v/>
      </c>
      <c r="BY20" s="17">
        <f>IF(COUNTIFS(T_SelfStock_Log[Part Name],$A20,T_SelfStock_Log[WeekIndex],76)=0,"",SUMIFS(T_SelfStock_Log[Self_Qty],T_SelfStock_Log[Part Name],$A20,T_SelfStock_Log[WeekIndex],76))</f>
        <v/>
      </c>
      <c r="BZ20" s="17">
        <f>IF(COUNTIFS(T_SelfStock_Log[Part Name],$A20,T_SelfStock_Log[WeekIndex],77)=0,"",SUMIFS(T_SelfStock_Log[Self_Qty],T_SelfStock_Log[Part Name],$A20,T_SelfStock_Log[WeekIndex],77))</f>
        <v/>
      </c>
      <c r="CA20" s="17">
        <f>IF(COUNTIFS(T_SelfStock_Log[Part Name],$A20,T_SelfStock_Log[WeekIndex],78)=0,"",SUMIFS(T_SelfStock_Log[Self_Qty],T_SelfStock_Log[Part Name],$A20,T_SelfStock_Log[WeekIndex],78))</f>
        <v/>
      </c>
      <c r="CB20" s="17">
        <f>IF(COUNTIFS(T_SelfStock_Log[Part Name],$A20,T_SelfStock_Log[WeekIndex],79)=0,"",SUMIFS(T_SelfStock_Log[Self_Qty],T_SelfStock_Log[Part Name],$A20,T_SelfStock_Log[WeekIndex],79))</f>
        <v/>
      </c>
      <c r="CC20" s="17">
        <f>IF(COUNTIFS(T_SelfStock_Log[Part Name],$A20,T_SelfStock_Log[WeekIndex],80)=0,"",SUMIFS(T_SelfStock_Log[Self_Qty],T_SelfStock_Log[Part Name],$A20,T_SelfStock_Log[WeekIndex],80))</f>
        <v/>
      </c>
      <c r="CD20" s="17">
        <f>IF(COUNTIFS(T_SelfStock_Log[Part Name],$A20,T_SelfStock_Log[WeekIndex],81)=0,"",SUMIFS(T_SelfStock_Log[Self_Qty],T_SelfStock_Log[Part Name],$A20,T_SelfStock_Log[WeekIndex],81))</f>
        <v/>
      </c>
      <c r="CE20" s="17">
        <f>IF(COUNTIFS(T_SelfStock_Log[Part Name],$A20,T_SelfStock_Log[WeekIndex],82)=0,"",SUMIFS(T_SelfStock_Log[Self_Qty],T_SelfStock_Log[Part Name],$A20,T_SelfStock_Log[WeekIndex],82))</f>
        <v/>
      </c>
      <c r="CF20" s="17">
        <f>IF(COUNTIFS(T_SelfStock_Log[Part Name],$A20,T_SelfStock_Log[WeekIndex],83)=0,"",SUMIFS(T_SelfStock_Log[Self_Qty],T_SelfStock_Log[Part Name],$A20,T_SelfStock_Log[WeekIndex],83))</f>
        <v/>
      </c>
      <c r="CG20" s="17">
        <f>IF(COUNTIFS(T_SelfStock_Log[Part Name],$A20,T_SelfStock_Log[WeekIndex],84)=0,"",SUMIFS(T_SelfStock_Log[Self_Qty],T_SelfStock_Log[Part Name],$A20,T_SelfStock_Log[WeekIndex],84))</f>
        <v/>
      </c>
      <c r="CH20" s="17">
        <f>IF(COUNTIFS(T_SelfStock_Log[Part Name],$A20,T_SelfStock_Log[WeekIndex],85)=0,"",SUMIFS(T_SelfStock_Log[Self_Qty],T_SelfStock_Log[Part Name],$A20,T_SelfStock_Log[WeekIndex],85))</f>
        <v/>
      </c>
      <c r="CI20" s="17">
        <f>IF(COUNTIFS(T_SelfStock_Log[Part Name],$A20,T_SelfStock_Log[WeekIndex],86)=0,"",SUMIFS(T_SelfStock_Log[Self_Qty],T_SelfStock_Log[Part Name],$A20,T_SelfStock_Log[WeekIndex],86))</f>
        <v/>
      </c>
      <c r="CJ20" s="17">
        <f>IF(COUNTIFS(T_SelfStock_Log[Part Name],$A20,T_SelfStock_Log[WeekIndex],87)=0,"",SUMIFS(T_SelfStock_Log[Self_Qty],T_SelfStock_Log[Part Name],$A20,T_SelfStock_Log[WeekIndex],87))</f>
        <v/>
      </c>
      <c r="CK20" s="17">
        <f>IF(COUNTIFS(T_SelfStock_Log[Part Name],$A20,T_SelfStock_Log[WeekIndex],88)=0,"",SUMIFS(T_SelfStock_Log[Self_Qty],T_SelfStock_Log[Part Name],$A20,T_SelfStock_Log[WeekIndex],88))</f>
        <v/>
      </c>
      <c r="CL20" s="17">
        <f>IF(COUNTIFS(T_SelfStock_Log[Part Name],$A20,T_SelfStock_Log[WeekIndex],89)=0,"",SUMIFS(T_SelfStock_Log[Self_Qty],T_SelfStock_Log[Part Name],$A20,T_SelfStock_Log[WeekIndex],89))</f>
        <v/>
      </c>
      <c r="CM20" s="17">
        <f>IF(COUNTIFS(T_SelfStock_Log[Part Name],$A20,T_SelfStock_Log[WeekIndex],90)=0,"",SUMIFS(T_SelfStock_Log[Self_Qty],T_SelfStock_Log[Part Name],$A20,T_SelfStock_Log[WeekIndex],90))</f>
        <v/>
      </c>
      <c r="CN20" s="17">
        <f>IF(COUNTIFS(T_SelfStock_Log[Part Name],$A20,T_SelfStock_Log[WeekIndex],91)=0,"",SUMIFS(T_SelfStock_Log[Self_Qty],T_SelfStock_Log[Part Name],$A20,T_SelfStock_Log[WeekIndex],91))</f>
        <v/>
      </c>
      <c r="CO20" s="17">
        <f>IF(COUNTIFS(T_SelfStock_Log[Part Name],$A20,T_SelfStock_Log[WeekIndex],92)=0,"",SUMIFS(T_SelfStock_Log[Self_Qty],T_SelfStock_Log[Part Name],$A20,T_SelfStock_Log[WeekIndex],92))</f>
        <v/>
      </c>
      <c r="CP20" s="17">
        <f>IF(COUNTIFS(T_SelfStock_Log[Part Name],$A20,T_SelfStock_Log[WeekIndex],93)=0,"",SUMIFS(T_SelfStock_Log[Self_Qty],T_SelfStock_Log[Part Name],$A20,T_SelfStock_Log[WeekIndex],93))</f>
        <v/>
      </c>
      <c r="CQ20" s="17">
        <f>IF(COUNTIFS(T_SelfStock_Log[Part Name],$A20,T_SelfStock_Log[WeekIndex],94)=0,"",SUMIFS(T_SelfStock_Log[Self_Qty],T_SelfStock_Log[Part Name],$A20,T_SelfStock_Log[WeekIndex],94))</f>
        <v/>
      </c>
      <c r="CR20" s="17">
        <f>IF(COUNTIFS(T_SelfStock_Log[Part Name],$A20,T_SelfStock_Log[WeekIndex],95)=0,"",SUMIFS(T_SelfStock_Log[Self_Qty],T_SelfStock_Log[Part Name],$A20,T_SelfStock_Log[WeekIndex],95))</f>
        <v/>
      </c>
      <c r="CS20" s="17">
        <f>IF(COUNTIFS(T_SelfStock_Log[Part Name],$A20,T_SelfStock_Log[WeekIndex],96)=0,"",SUMIFS(T_SelfStock_Log[Self_Qty],T_SelfStock_Log[Part Name],$A20,T_SelfStock_Log[WeekIndex],96))</f>
        <v/>
      </c>
      <c r="CT20" s="17">
        <f>IF(COUNTIFS(T_SelfStock_Log[Part Name],$A20,T_SelfStock_Log[WeekIndex],97)=0,"",SUMIFS(T_SelfStock_Log[Self_Qty],T_SelfStock_Log[Part Name],$A20,T_SelfStock_Log[WeekIndex],97))</f>
        <v/>
      </c>
      <c r="CU20" s="17">
        <f>IF(COUNTIFS(T_SelfStock_Log[Part Name],$A20,T_SelfStock_Log[WeekIndex],98)=0,"",SUMIFS(T_SelfStock_Log[Self_Qty],T_SelfStock_Log[Part Name],$A20,T_SelfStock_Log[WeekIndex],98))</f>
        <v/>
      </c>
      <c r="CV20" s="17">
        <f>IF(COUNTIFS(T_SelfStock_Log[Part Name],$A20,T_SelfStock_Log[WeekIndex],99)=0,"",SUMIFS(T_SelfStock_Log[Self_Qty],T_SelfStock_Log[Part Name],$A20,T_SelfStock_Log[WeekIndex],99))</f>
        <v/>
      </c>
      <c r="CW20" s="17">
        <f>IF(COUNTIFS(T_SelfStock_Log[Part Name],$A20,T_SelfStock_Log[WeekIndex],100)=0,"",SUMIFS(T_SelfStock_Log[Self_Qty],T_SelfStock_Log[Part Name],$A20,T_SelfStock_Log[WeekIndex],100))</f>
        <v/>
      </c>
      <c r="CX20" s="17">
        <f>IF(COUNTIFS(T_SelfStock_Log[Part Name],$A20,T_SelfStock_Log[WeekIndex],101)=0,"",SUMIFS(T_SelfStock_Log[Self_Qty],T_SelfStock_Log[Part Name],$A20,T_SelfStock_Log[WeekIndex],101))</f>
        <v/>
      </c>
      <c r="CY20" s="17">
        <f>IF(COUNTIFS(T_SelfStock_Log[Part Name],$A20,T_SelfStock_Log[WeekIndex],102)=0,"",SUMIFS(T_SelfStock_Log[Self_Qty],T_SelfStock_Log[Part Name],$A20,T_SelfStock_Log[WeekIndex],102))</f>
        <v/>
      </c>
      <c r="CZ20" s="17">
        <f>IF(COUNTIFS(T_SelfStock_Log[Part Name],$A20,T_SelfStock_Log[WeekIndex],103)=0,"",SUMIFS(T_SelfStock_Log[Self_Qty],T_SelfStock_Log[Part Name],$A20,T_SelfStock_Log[WeekIndex],103))</f>
        <v/>
      </c>
      <c r="DA20" s="17">
        <f>IF(COUNTIFS(T_SelfStock_Log[Part Name],$A20,T_SelfStock_Log[WeekIndex],104)=0,"",SUMIFS(T_SelfStock_Log[Self_Qty],T_SelfStock_Log[Part Name],$A20,T_SelfStock_Log[WeekIndex],104))</f>
        <v/>
      </c>
    </row>
    <row r="21">
      <c r="A21" s="19" t="inlineStr">
        <is>
          <t>9RJ</t>
        </is>
      </c>
      <c r="B21" s="19">
        <f>IF(COUNTIFS(T_SelfStock_Log[Part Name],$A21,T_SelfStock_Log[WeekIndex],1)=0,"",SUMIFS(T_SelfStock_Log[Self_Qty],T_SelfStock_Log[Part Name],$A21,T_SelfStock_Log[WeekIndex],1))</f>
        <v/>
      </c>
      <c r="C21" s="19">
        <f>IF(COUNTIFS(T_SelfStock_Log[Part Name],$A21,T_SelfStock_Log[WeekIndex],2)=0,"",SUMIFS(T_SelfStock_Log[Self_Qty],T_SelfStock_Log[Part Name],$A21,T_SelfStock_Log[WeekIndex],2))</f>
        <v/>
      </c>
      <c r="D21" s="19">
        <f>IF(COUNTIFS(T_SelfStock_Log[Part Name],$A21,T_SelfStock_Log[WeekIndex],3)=0,"",SUMIFS(T_SelfStock_Log[Self_Qty],T_SelfStock_Log[Part Name],$A21,T_SelfStock_Log[WeekIndex],3))</f>
        <v/>
      </c>
      <c r="E21" s="19">
        <f>IF(COUNTIFS(T_SelfStock_Log[Part Name],$A21,T_SelfStock_Log[WeekIndex],4)=0,"",SUMIFS(T_SelfStock_Log[Self_Qty],T_SelfStock_Log[Part Name],$A21,T_SelfStock_Log[WeekIndex],4))</f>
        <v/>
      </c>
      <c r="F21" s="19">
        <f>IF(COUNTIFS(T_SelfStock_Log[Part Name],$A21,T_SelfStock_Log[WeekIndex],5)=0,"",SUMIFS(T_SelfStock_Log[Self_Qty],T_SelfStock_Log[Part Name],$A21,T_SelfStock_Log[WeekIndex],5))</f>
        <v/>
      </c>
      <c r="G21" s="19">
        <f>IF(COUNTIFS(T_SelfStock_Log[Part Name],$A21,T_SelfStock_Log[WeekIndex],6)=0,"",SUMIFS(T_SelfStock_Log[Self_Qty],T_SelfStock_Log[Part Name],$A21,T_SelfStock_Log[WeekIndex],6))</f>
        <v/>
      </c>
      <c r="H21" s="19">
        <f>IF(COUNTIFS(T_SelfStock_Log[Part Name],$A21,T_SelfStock_Log[WeekIndex],7)=0,"",SUMIFS(T_SelfStock_Log[Self_Qty],T_SelfStock_Log[Part Name],$A21,T_SelfStock_Log[WeekIndex],7))</f>
        <v/>
      </c>
      <c r="I21" s="19">
        <f>IF(COUNTIFS(T_SelfStock_Log[Part Name],$A21,T_SelfStock_Log[WeekIndex],8)=0,"",SUMIFS(T_SelfStock_Log[Self_Qty],T_SelfStock_Log[Part Name],$A21,T_SelfStock_Log[WeekIndex],8))</f>
        <v/>
      </c>
      <c r="J21" s="19">
        <f>IF(COUNTIFS(T_SelfStock_Log[Part Name],$A21,T_SelfStock_Log[WeekIndex],9)=0,"",SUMIFS(T_SelfStock_Log[Self_Qty],T_SelfStock_Log[Part Name],$A21,T_SelfStock_Log[WeekIndex],9))</f>
        <v/>
      </c>
      <c r="K21" s="19">
        <f>IF(COUNTIFS(T_SelfStock_Log[Part Name],$A21,T_SelfStock_Log[WeekIndex],10)=0,"",SUMIFS(T_SelfStock_Log[Self_Qty],T_SelfStock_Log[Part Name],$A21,T_SelfStock_Log[WeekIndex],10))</f>
        <v/>
      </c>
      <c r="L21" s="19">
        <f>IF(COUNTIFS(T_SelfStock_Log[Part Name],$A21,T_SelfStock_Log[WeekIndex],11)=0,"",SUMIFS(T_SelfStock_Log[Self_Qty],T_SelfStock_Log[Part Name],$A21,T_SelfStock_Log[WeekIndex],11))</f>
        <v/>
      </c>
      <c r="M21" s="19">
        <f>IF(COUNTIFS(T_SelfStock_Log[Part Name],$A21,T_SelfStock_Log[WeekIndex],12)=0,"",SUMIFS(T_SelfStock_Log[Self_Qty],T_SelfStock_Log[Part Name],$A21,T_SelfStock_Log[WeekIndex],12))</f>
        <v/>
      </c>
      <c r="N21" s="19">
        <f>IF(COUNTIFS(T_SelfStock_Log[Part Name],$A21,T_SelfStock_Log[WeekIndex],13)=0,"",SUMIFS(T_SelfStock_Log[Self_Qty],T_SelfStock_Log[Part Name],$A21,T_SelfStock_Log[WeekIndex],13))</f>
        <v/>
      </c>
      <c r="O21" s="19">
        <f>IF(COUNTIFS(T_SelfStock_Log[Part Name],$A21,T_SelfStock_Log[WeekIndex],14)=0,"",SUMIFS(T_SelfStock_Log[Self_Qty],T_SelfStock_Log[Part Name],$A21,T_SelfStock_Log[WeekIndex],14))</f>
        <v/>
      </c>
      <c r="P21" s="19">
        <f>IF(COUNTIFS(T_SelfStock_Log[Part Name],$A21,T_SelfStock_Log[WeekIndex],15)=0,"",SUMIFS(T_SelfStock_Log[Self_Qty],T_SelfStock_Log[Part Name],$A21,T_SelfStock_Log[WeekIndex],15))</f>
        <v/>
      </c>
      <c r="Q21" s="19">
        <f>IF(COUNTIFS(T_SelfStock_Log[Part Name],$A21,T_SelfStock_Log[WeekIndex],16)=0,"",SUMIFS(T_SelfStock_Log[Self_Qty],T_SelfStock_Log[Part Name],$A21,T_SelfStock_Log[WeekIndex],16))</f>
        <v/>
      </c>
      <c r="R21" s="19">
        <f>IF(COUNTIFS(T_SelfStock_Log[Part Name],$A21,T_SelfStock_Log[WeekIndex],17)=0,"",SUMIFS(T_SelfStock_Log[Self_Qty],T_SelfStock_Log[Part Name],$A21,T_SelfStock_Log[WeekIndex],17))</f>
        <v/>
      </c>
      <c r="S21" s="19">
        <f>IF(COUNTIFS(T_SelfStock_Log[Part Name],$A21,T_SelfStock_Log[WeekIndex],18)=0,"",SUMIFS(T_SelfStock_Log[Self_Qty],T_SelfStock_Log[Part Name],$A21,T_SelfStock_Log[WeekIndex],18))</f>
        <v/>
      </c>
      <c r="T21" s="19">
        <f>IF(COUNTIFS(T_SelfStock_Log[Part Name],$A21,T_SelfStock_Log[WeekIndex],19)=0,"",SUMIFS(T_SelfStock_Log[Self_Qty],T_SelfStock_Log[Part Name],$A21,T_SelfStock_Log[WeekIndex],19))</f>
        <v/>
      </c>
      <c r="U21" s="19">
        <f>IF(COUNTIFS(T_SelfStock_Log[Part Name],$A21,T_SelfStock_Log[WeekIndex],20)=0,"",SUMIFS(T_SelfStock_Log[Self_Qty],T_SelfStock_Log[Part Name],$A21,T_SelfStock_Log[WeekIndex],20))</f>
        <v/>
      </c>
      <c r="V21" s="19">
        <f>IF(COUNTIFS(T_SelfStock_Log[Part Name],$A21,T_SelfStock_Log[WeekIndex],21)=0,"",SUMIFS(T_SelfStock_Log[Self_Qty],T_SelfStock_Log[Part Name],$A21,T_SelfStock_Log[WeekIndex],21))</f>
        <v/>
      </c>
      <c r="W21" s="19">
        <f>IF(COUNTIFS(T_SelfStock_Log[Part Name],$A21,T_SelfStock_Log[WeekIndex],22)=0,"",SUMIFS(T_SelfStock_Log[Self_Qty],T_SelfStock_Log[Part Name],$A21,T_SelfStock_Log[WeekIndex],22))</f>
        <v/>
      </c>
      <c r="X21" s="19">
        <f>IF(COUNTIFS(T_SelfStock_Log[Part Name],$A21,T_SelfStock_Log[WeekIndex],23)=0,"",SUMIFS(T_SelfStock_Log[Self_Qty],T_SelfStock_Log[Part Name],$A21,T_SelfStock_Log[WeekIndex],23))</f>
        <v/>
      </c>
      <c r="Y21" s="19">
        <f>IF(COUNTIFS(T_SelfStock_Log[Part Name],$A21,T_SelfStock_Log[WeekIndex],24)=0,"",SUMIFS(T_SelfStock_Log[Self_Qty],T_SelfStock_Log[Part Name],$A21,T_SelfStock_Log[WeekIndex],24))</f>
        <v/>
      </c>
      <c r="Z21" s="19">
        <f>IF(COUNTIFS(T_SelfStock_Log[Part Name],$A21,T_SelfStock_Log[WeekIndex],25)=0,"",SUMIFS(T_SelfStock_Log[Self_Qty],T_SelfStock_Log[Part Name],$A21,T_SelfStock_Log[WeekIndex],25))</f>
        <v/>
      </c>
      <c r="AA21" s="19">
        <f>IF(COUNTIFS(T_SelfStock_Log[Part Name],$A21,T_SelfStock_Log[WeekIndex],26)=0,"",SUMIFS(T_SelfStock_Log[Self_Qty],T_SelfStock_Log[Part Name],$A21,T_SelfStock_Log[WeekIndex],26))</f>
        <v/>
      </c>
      <c r="AB21" s="19">
        <f>IF(COUNTIFS(T_SelfStock_Log[Part Name],$A21,T_SelfStock_Log[WeekIndex],27)=0,"",SUMIFS(T_SelfStock_Log[Self_Qty],T_SelfStock_Log[Part Name],$A21,T_SelfStock_Log[WeekIndex],27))</f>
        <v/>
      </c>
      <c r="AC21" s="19">
        <f>IF(COUNTIFS(T_SelfStock_Log[Part Name],$A21,T_SelfStock_Log[WeekIndex],28)=0,"",SUMIFS(T_SelfStock_Log[Self_Qty],T_SelfStock_Log[Part Name],$A21,T_SelfStock_Log[WeekIndex],28))</f>
        <v/>
      </c>
      <c r="AD21" s="19">
        <f>IF(COUNTIFS(T_SelfStock_Log[Part Name],$A21,T_SelfStock_Log[WeekIndex],29)=0,"",SUMIFS(T_SelfStock_Log[Self_Qty],T_SelfStock_Log[Part Name],$A21,T_SelfStock_Log[WeekIndex],29))</f>
        <v/>
      </c>
      <c r="AE21" s="19">
        <f>IF(COUNTIFS(T_SelfStock_Log[Part Name],$A21,T_SelfStock_Log[WeekIndex],30)=0,"",SUMIFS(T_SelfStock_Log[Self_Qty],T_SelfStock_Log[Part Name],$A21,T_SelfStock_Log[WeekIndex],30))</f>
        <v/>
      </c>
      <c r="AF21" s="19">
        <f>IF(COUNTIFS(T_SelfStock_Log[Part Name],$A21,T_SelfStock_Log[WeekIndex],31)=0,"",SUMIFS(T_SelfStock_Log[Self_Qty],T_SelfStock_Log[Part Name],$A21,T_SelfStock_Log[WeekIndex],31))</f>
        <v/>
      </c>
      <c r="AG21" s="19">
        <f>IF(COUNTIFS(T_SelfStock_Log[Part Name],$A21,T_SelfStock_Log[WeekIndex],32)=0,"",SUMIFS(T_SelfStock_Log[Self_Qty],T_SelfStock_Log[Part Name],$A21,T_SelfStock_Log[WeekIndex],32))</f>
        <v/>
      </c>
      <c r="AH21" s="19">
        <f>IF(COUNTIFS(T_SelfStock_Log[Part Name],$A21,T_SelfStock_Log[WeekIndex],33)=0,"",SUMIFS(T_SelfStock_Log[Self_Qty],T_SelfStock_Log[Part Name],$A21,T_SelfStock_Log[WeekIndex],33))</f>
        <v/>
      </c>
      <c r="AI21" s="19">
        <f>IF(COUNTIFS(T_SelfStock_Log[Part Name],$A21,T_SelfStock_Log[WeekIndex],34)=0,"",SUMIFS(T_SelfStock_Log[Self_Qty],T_SelfStock_Log[Part Name],$A21,T_SelfStock_Log[WeekIndex],34))</f>
        <v/>
      </c>
      <c r="AJ21" s="19">
        <f>IF(COUNTIFS(T_SelfStock_Log[Part Name],$A21,T_SelfStock_Log[WeekIndex],35)=0,"",SUMIFS(T_SelfStock_Log[Self_Qty],T_SelfStock_Log[Part Name],$A21,T_SelfStock_Log[WeekIndex],35))</f>
        <v/>
      </c>
      <c r="AK21" s="19">
        <f>IF(COUNTIFS(T_SelfStock_Log[Part Name],$A21,T_SelfStock_Log[WeekIndex],36)=0,"",SUMIFS(T_SelfStock_Log[Self_Qty],T_SelfStock_Log[Part Name],$A21,T_SelfStock_Log[WeekIndex],36))</f>
        <v/>
      </c>
      <c r="AL21" s="19">
        <f>IF(COUNTIFS(T_SelfStock_Log[Part Name],$A21,T_SelfStock_Log[WeekIndex],37)=0,"",SUMIFS(T_SelfStock_Log[Self_Qty],T_SelfStock_Log[Part Name],$A21,T_SelfStock_Log[WeekIndex],37))</f>
        <v/>
      </c>
      <c r="AM21" s="19">
        <f>IF(COUNTIFS(T_SelfStock_Log[Part Name],$A21,T_SelfStock_Log[WeekIndex],38)=0,"",SUMIFS(T_SelfStock_Log[Self_Qty],T_SelfStock_Log[Part Name],$A21,T_SelfStock_Log[WeekIndex],38))</f>
        <v/>
      </c>
      <c r="AN21" s="19">
        <f>IF(COUNTIFS(T_SelfStock_Log[Part Name],$A21,T_SelfStock_Log[WeekIndex],39)=0,"",SUMIFS(T_SelfStock_Log[Self_Qty],T_SelfStock_Log[Part Name],$A21,T_SelfStock_Log[WeekIndex],39))</f>
        <v/>
      </c>
      <c r="AO21" s="19">
        <f>IF(COUNTIFS(T_SelfStock_Log[Part Name],$A21,T_SelfStock_Log[WeekIndex],40)=0,"",SUMIFS(T_SelfStock_Log[Self_Qty],T_SelfStock_Log[Part Name],$A21,T_SelfStock_Log[WeekIndex],40))</f>
        <v/>
      </c>
      <c r="AP21" s="19">
        <f>IF(COUNTIFS(T_SelfStock_Log[Part Name],$A21,T_SelfStock_Log[WeekIndex],41)=0,"",SUMIFS(T_SelfStock_Log[Self_Qty],T_SelfStock_Log[Part Name],$A21,T_SelfStock_Log[WeekIndex],41))</f>
        <v/>
      </c>
      <c r="AQ21" s="19">
        <f>IF(COUNTIFS(T_SelfStock_Log[Part Name],$A21,T_SelfStock_Log[WeekIndex],42)=0,"",SUMIFS(T_SelfStock_Log[Self_Qty],T_SelfStock_Log[Part Name],$A21,T_SelfStock_Log[WeekIndex],42))</f>
        <v/>
      </c>
      <c r="AR21" s="19">
        <f>IF(COUNTIFS(T_SelfStock_Log[Part Name],$A21,T_SelfStock_Log[WeekIndex],43)=0,"",SUMIFS(T_SelfStock_Log[Self_Qty],T_SelfStock_Log[Part Name],$A21,T_SelfStock_Log[WeekIndex],43))</f>
        <v/>
      </c>
      <c r="AS21" s="19">
        <f>IF(COUNTIFS(T_SelfStock_Log[Part Name],$A21,T_SelfStock_Log[WeekIndex],44)=0,"",SUMIFS(T_SelfStock_Log[Self_Qty],T_SelfStock_Log[Part Name],$A21,T_SelfStock_Log[WeekIndex],44))</f>
        <v/>
      </c>
      <c r="AT21" s="19">
        <f>IF(COUNTIFS(T_SelfStock_Log[Part Name],$A21,T_SelfStock_Log[WeekIndex],45)=0,"",SUMIFS(T_SelfStock_Log[Self_Qty],T_SelfStock_Log[Part Name],$A21,T_SelfStock_Log[WeekIndex],45))</f>
        <v/>
      </c>
      <c r="AU21" s="19">
        <f>IF(COUNTIFS(T_SelfStock_Log[Part Name],$A21,T_SelfStock_Log[WeekIndex],46)=0,"",SUMIFS(T_SelfStock_Log[Self_Qty],T_SelfStock_Log[Part Name],$A21,T_SelfStock_Log[WeekIndex],46))</f>
        <v/>
      </c>
      <c r="AV21" s="19">
        <f>IF(COUNTIFS(T_SelfStock_Log[Part Name],$A21,T_SelfStock_Log[WeekIndex],47)=0,"",SUMIFS(T_SelfStock_Log[Self_Qty],T_SelfStock_Log[Part Name],$A21,T_SelfStock_Log[WeekIndex],47))</f>
        <v/>
      </c>
      <c r="AW21" s="19">
        <f>IF(COUNTIFS(T_SelfStock_Log[Part Name],$A21,T_SelfStock_Log[WeekIndex],48)=0,"",SUMIFS(T_SelfStock_Log[Self_Qty],T_SelfStock_Log[Part Name],$A21,T_SelfStock_Log[WeekIndex],48))</f>
        <v/>
      </c>
      <c r="AX21" s="19">
        <f>IF(COUNTIFS(T_SelfStock_Log[Part Name],$A21,T_SelfStock_Log[WeekIndex],49)=0,"",SUMIFS(T_SelfStock_Log[Self_Qty],T_SelfStock_Log[Part Name],$A21,T_SelfStock_Log[WeekIndex],49))</f>
        <v/>
      </c>
      <c r="AY21" s="19">
        <f>IF(COUNTIFS(T_SelfStock_Log[Part Name],$A21,T_SelfStock_Log[WeekIndex],50)=0,"",SUMIFS(T_SelfStock_Log[Self_Qty],T_SelfStock_Log[Part Name],$A21,T_SelfStock_Log[WeekIndex],50))</f>
        <v/>
      </c>
      <c r="AZ21" s="19">
        <f>IF(COUNTIFS(T_SelfStock_Log[Part Name],$A21,T_SelfStock_Log[WeekIndex],51)=0,"",SUMIFS(T_SelfStock_Log[Self_Qty],T_SelfStock_Log[Part Name],$A21,T_SelfStock_Log[WeekIndex],51))</f>
        <v/>
      </c>
      <c r="BA21" s="19">
        <f>IF(COUNTIFS(T_SelfStock_Log[Part Name],$A21,T_SelfStock_Log[WeekIndex],52)=0,"",SUMIFS(T_SelfStock_Log[Self_Qty],T_SelfStock_Log[Part Name],$A21,T_SelfStock_Log[WeekIndex],52))</f>
        <v/>
      </c>
      <c r="BB21" s="19">
        <f>IF(COUNTIFS(T_SelfStock_Log[Part Name],$A21,T_SelfStock_Log[WeekIndex],53)=0,"",SUMIFS(T_SelfStock_Log[Self_Qty],T_SelfStock_Log[Part Name],$A21,T_SelfStock_Log[WeekIndex],53))</f>
        <v/>
      </c>
      <c r="BC21" s="19">
        <f>IF(COUNTIFS(T_SelfStock_Log[Part Name],$A21,T_SelfStock_Log[WeekIndex],54)=0,"",SUMIFS(T_SelfStock_Log[Self_Qty],T_SelfStock_Log[Part Name],$A21,T_SelfStock_Log[WeekIndex],54))</f>
        <v/>
      </c>
      <c r="BD21" s="19">
        <f>IF(COUNTIFS(T_SelfStock_Log[Part Name],$A21,T_SelfStock_Log[WeekIndex],55)=0,"",SUMIFS(T_SelfStock_Log[Self_Qty],T_SelfStock_Log[Part Name],$A21,T_SelfStock_Log[WeekIndex],55))</f>
        <v/>
      </c>
      <c r="BE21" s="19">
        <f>IF(COUNTIFS(T_SelfStock_Log[Part Name],$A21,T_SelfStock_Log[WeekIndex],56)=0,"",SUMIFS(T_SelfStock_Log[Self_Qty],T_SelfStock_Log[Part Name],$A21,T_SelfStock_Log[WeekIndex],56))</f>
        <v/>
      </c>
      <c r="BF21" s="19">
        <f>IF(COUNTIFS(T_SelfStock_Log[Part Name],$A21,T_SelfStock_Log[WeekIndex],57)=0,"",SUMIFS(T_SelfStock_Log[Self_Qty],T_SelfStock_Log[Part Name],$A21,T_SelfStock_Log[WeekIndex],57))</f>
        <v/>
      </c>
      <c r="BG21" s="19">
        <f>IF(COUNTIFS(T_SelfStock_Log[Part Name],$A21,T_SelfStock_Log[WeekIndex],58)=0,"",SUMIFS(T_SelfStock_Log[Self_Qty],T_SelfStock_Log[Part Name],$A21,T_SelfStock_Log[WeekIndex],58))</f>
        <v/>
      </c>
      <c r="BH21" s="19">
        <f>IF(COUNTIFS(T_SelfStock_Log[Part Name],$A21,T_SelfStock_Log[WeekIndex],59)=0,"",SUMIFS(T_SelfStock_Log[Self_Qty],T_SelfStock_Log[Part Name],$A21,T_SelfStock_Log[WeekIndex],59))</f>
        <v/>
      </c>
      <c r="BI21" s="19">
        <f>IF(COUNTIFS(T_SelfStock_Log[Part Name],$A21,T_SelfStock_Log[WeekIndex],60)=0,"",SUMIFS(T_SelfStock_Log[Self_Qty],T_SelfStock_Log[Part Name],$A21,T_SelfStock_Log[WeekIndex],60))</f>
        <v/>
      </c>
      <c r="BJ21" s="19">
        <f>IF(COUNTIFS(T_SelfStock_Log[Part Name],$A21,T_SelfStock_Log[WeekIndex],61)=0,"",SUMIFS(T_SelfStock_Log[Self_Qty],T_SelfStock_Log[Part Name],$A21,T_SelfStock_Log[WeekIndex],61))</f>
        <v/>
      </c>
      <c r="BK21" s="19">
        <f>IF(COUNTIFS(T_SelfStock_Log[Part Name],$A21,T_SelfStock_Log[WeekIndex],62)=0,"",SUMIFS(T_SelfStock_Log[Self_Qty],T_SelfStock_Log[Part Name],$A21,T_SelfStock_Log[WeekIndex],62))</f>
        <v/>
      </c>
      <c r="BL21" s="19">
        <f>IF(COUNTIFS(T_SelfStock_Log[Part Name],$A21,T_SelfStock_Log[WeekIndex],63)=0,"",SUMIFS(T_SelfStock_Log[Self_Qty],T_SelfStock_Log[Part Name],$A21,T_SelfStock_Log[WeekIndex],63))</f>
        <v/>
      </c>
      <c r="BM21" s="19">
        <f>IF(COUNTIFS(T_SelfStock_Log[Part Name],$A21,T_SelfStock_Log[WeekIndex],64)=0,"",SUMIFS(T_SelfStock_Log[Self_Qty],T_SelfStock_Log[Part Name],$A21,T_SelfStock_Log[WeekIndex],64))</f>
        <v/>
      </c>
      <c r="BN21" s="19">
        <f>IF(COUNTIFS(T_SelfStock_Log[Part Name],$A21,T_SelfStock_Log[WeekIndex],65)=0,"",SUMIFS(T_SelfStock_Log[Self_Qty],T_SelfStock_Log[Part Name],$A21,T_SelfStock_Log[WeekIndex],65))</f>
        <v/>
      </c>
      <c r="BO21" s="19">
        <f>IF(COUNTIFS(T_SelfStock_Log[Part Name],$A21,T_SelfStock_Log[WeekIndex],66)=0,"",SUMIFS(T_SelfStock_Log[Self_Qty],T_SelfStock_Log[Part Name],$A21,T_SelfStock_Log[WeekIndex],66))</f>
        <v/>
      </c>
      <c r="BP21" s="19">
        <f>IF(COUNTIFS(T_SelfStock_Log[Part Name],$A21,T_SelfStock_Log[WeekIndex],67)=0,"",SUMIFS(T_SelfStock_Log[Self_Qty],T_SelfStock_Log[Part Name],$A21,T_SelfStock_Log[WeekIndex],67))</f>
        <v/>
      </c>
      <c r="BQ21" s="19">
        <f>IF(COUNTIFS(T_SelfStock_Log[Part Name],$A21,T_SelfStock_Log[WeekIndex],68)=0,"",SUMIFS(T_SelfStock_Log[Self_Qty],T_SelfStock_Log[Part Name],$A21,T_SelfStock_Log[WeekIndex],68))</f>
        <v/>
      </c>
      <c r="BR21" s="19">
        <f>IF(COUNTIFS(T_SelfStock_Log[Part Name],$A21,T_SelfStock_Log[WeekIndex],69)=0,"",SUMIFS(T_SelfStock_Log[Self_Qty],T_SelfStock_Log[Part Name],$A21,T_SelfStock_Log[WeekIndex],69))</f>
        <v/>
      </c>
      <c r="BS21" s="19">
        <f>IF(COUNTIFS(T_SelfStock_Log[Part Name],$A21,T_SelfStock_Log[WeekIndex],70)=0,"",SUMIFS(T_SelfStock_Log[Self_Qty],T_SelfStock_Log[Part Name],$A21,T_SelfStock_Log[WeekIndex],70))</f>
        <v/>
      </c>
      <c r="BT21" s="19">
        <f>IF(COUNTIFS(T_SelfStock_Log[Part Name],$A21,T_SelfStock_Log[WeekIndex],71)=0,"",SUMIFS(T_SelfStock_Log[Self_Qty],T_SelfStock_Log[Part Name],$A21,T_SelfStock_Log[WeekIndex],71))</f>
        <v/>
      </c>
      <c r="BU21" s="19">
        <f>IF(COUNTIFS(T_SelfStock_Log[Part Name],$A21,T_SelfStock_Log[WeekIndex],72)=0,"",SUMIFS(T_SelfStock_Log[Self_Qty],T_SelfStock_Log[Part Name],$A21,T_SelfStock_Log[WeekIndex],72))</f>
        <v/>
      </c>
      <c r="BV21" s="19">
        <f>IF(COUNTIFS(T_SelfStock_Log[Part Name],$A21,T_SelfStock_Log[WeekIndex],73)=0,"",SUMIFS(T_SelfStock_Log[Self_Qty],T_SelfStock_Log[Part Name],$A21,T_SelfStock_Log[WeekIndex],73))</f>
        <v/>
      </c>
      <c r="BW21" s="19">
        <f>IF(COUNTIFS(T_SelfStock_Log[Part Name],$A21,T_SelfStock_Log[WeekIndex],74)=0,"",SUMIFS(T_SelfStock_Log[Self_Qty],T_SelfStock_Log[Part Name],$A21,T_SelfStock_Log[WeekIndex],74))</f>
        <v/>
      </c>
      <c r="BX21" s="19">
        <f>IF(COUNTIFS(T_SelfStock_Log[Part Name],$A21,T_SelfStock_Log[WeekIndex],75)=0,"",SUMIFS(T_SelfStock_Log[Self_Qty],T_SelfStock_Log[Part Name],$A21,T_SelfStock_Log[WeekIndex],75))</f>
        <v/>
      </c>
      <c r="BY21" s="19">
        <f>IF(COUNTIFS(T_SelfStock_Log[Part Name],$A21,T_SelfStock_Log[WeekIndex],76)=0,"",SUMIFS(T_SelfStock_Log[Self_Qty],T_SelfStock_Log[Part Name],$A21,T_SelfStock_Log[WeekIndex],76))</f>
        <v/>
      </c>
      <c r="BZ21" s="19">
        <f>IF(COUNTIFS(T_SelfStock_Log[Part Name],$A21,T_SelfStock_Log[WeekIndex],77)=0,"",SUMIFS(T_SelfStock_Log[Self_Qty],T_SelfStock_Log[Part Name],$A21,T_SelfStock_Log[WeekIndex],77))</f>
        <v/>
      </c>
      <c r="CA21" s="19">
        <f>IF(COUNTIFS(T_SelfStock_Log[Part Name],$A21,T_SelfStock_Log[WeekIndex],78)=0,"",SUMIFS(T_SelfStock_Log[Self_Qty],T_SelfStock_Log[Part Name],$A21,T_SelfStock_Log[WeekIndex],78))</f>
        <v/>
      </c>
      <c r="CB21" s="19">
        <f>IF(COUNTIFS(T_SelfStock_Log[Part Name],$A21,T_SelfStock_Log[WeekIndex],79)=0,"",SUMIFS(T_SelfStock_Log[Self_Qty],T_SelfStock_Log[Part Name],$A21,T_SelfStock_Log[WeekIndex],79))</f>
        <v/>
      </c>
      <c r="CC21" s="19">
        <f>IF(COUNTIFS(T_SelfStock_Log[Part Name],$A21,T_SelfStock_Log[WeekIndex],80)=0,"",SUMIFS(T_SelfStock_Log[Self_Qty],T_SelfStock_Log[Part Name],$A21,T_SelfStock_Log[WeekIndex],80))</f>
        <v/>
      </c>
      <c r="CD21" s="19">
        <f>IF(COUNTIFS(T_SelfStock_Log[Part Name],$A21,T_SelfStock_Log[WeekIndex],81)=0,"",SUMIFS(T_SelfStock_Log[Self_Qty],T_SelfStock_Log[Part Name],$A21,T_SelfStock_Log[WeekIndex],81))</f>
        <v/>
      </c>
      <c r="CE21" s="19">
        <f>IF(COUNTIFS(T_SelfStock_Log[Part Name],$A21,T_SelfStock_Log[WeekIndex],82)=0,"",SUMIFS(T_SelfStock_Log[Self_Qty],T_SelfStock_Log[Part Name],$A21,T_SelfStock_Log[WeekIndex],82))</f>
        <v/>
      </c>
      <c r="CF21" s="19">
        <f>IF(COUNTIFS(T_SelfStock_Log[Part Name],$A21,T_SelfStock_Log[WeekIndex],83)=0,"",SUMIFS(T_SelfStock_Log[Self_Qty],T_SelfStock_Log[Part Name],$A21,T_SelfStock_Log[WeekIndex],83))</f>
        <v/>
      </c>
      <c r="CG21" s="19">
        <f>IF(COUNTIFS(T_SelfStock_Log[Part Name],$A21,T_SelfStock_Log[WeekIndex],84)=0,"",SUMIFS(T_SelfStock_Log[Self_Qty],T_SelfStock_Log[Part Name],$A21,T_SelfStock_Log[WeekIndex],84))</f>
        <v/>
      </c>
      <c r="CH21" s="19">
        <f>IF(COUNTIFS(T_SelfStock_Log[Part Name],$A21,T_SelfStock_Log[WeekIndex],85)=0,"",SUMIFS(T_SelfStock_Log[Self_Qty],T_SelfStock_Log[Part Name],$A21,T_SelfStock_Log[WeekIndex],85))</f>
        <v/>
      </c>
      <c r="CI21" s="19">
        <f>IF(COUNTIFS(T_SelfStock_Log[Part Name],$A21,T_SelfStock_Log[WeekIndex],86)=0,"",SUMIFS(T_SelfStock_Log[Self_Qty],T_SelfStock_Log[Part Name],$A21,T_SelfStock_Log[WeekIndex],86))</f>
        <v/>
      </c>
      <c r="CJ21" s="19">
        <f>IF(COUNTIFS(T_SelfStock_Log[Part Name],$A21,T_SelfStock_Log[WeekIndex],87)=0,"",SUMIFS(T_SelfStock_Log[Self_Qty],T_SelfStock_Log[Part Name],$A21,T_SelfStock_Log[WeekIndex],87))</f>
        <v/>
      </c>
      <c r="CK21" s="19">
        <f>IF(COUNTIFS(T_SelfStock_Log[Part Name],$A21,T_SelfStock_Log[WeekIndex],88)=0,"",SUMIFS(T_SelfStock_Log[Self_Qty],T_SelfStock_Log[Part Name],$A21,T_SelfStock_Log[WeekIndex],88))</f>
        <v/>
      </c>
      <c r="CL21" s="19">
        <f>IF(COUNTIFS(T_SelfStock_Log[Part Name],$A21,T_SelfStock_Log[WeekIndex],89)=0,"",SUMIFS(T_SelfStock_Log[Self_Qty],T_SelfStock_Log[Part Name],$A21,T_SelfStock_Log[WeekIndex],89))</f>
        <v/>
      </c>
      <c r="CM21" s="19">
        <f>IF(COUNTIFS(T_SelfStock_Log[Part Name],$A21,T_SelfStock_Log[WeekIndex],90)=0,"",SUMIFS(T_SelfStock_Log[Self_Qty],T_SelfStock_Log[Part Name],$A21,T_SelfStock_Log[WeekIndex],90))</f>
        <v/>
      </c>
      <c r="CN21" s="19">
        <f>IF(COUNTIFS(T_SelfStock_Log[Part Name],$A21,T_SelfStock_Log[WeekIndex],91)=0,"",SUMIFS(T_SelfStock_Log[Self_Qty],T_SelfStock_Log[Part Name],$A21,T_SelfStock_Log[WeekIndex],91))</f>
        <v/>
      </c>
      <c r="CO21" s="19">
        <f>IF(COUNTIFS(T_SelfStock_Log[Part Name],$A21,T_SelfStock_Log[WeekIndex],92)=0,"",SUMIFS(T_SelfStock_Log[Self_Qty],T_SelfStock_Log[Part Name],$A21,T_SelfStock_Log[WeekIndex],92))</f>
        <v/>
      </c>
      <c r="CP21" s="19">
        <f>IF(COUNTIFS(T_SelfStock_Log[Part Name],$A21,T_SelfStock_Log[WeekIndex],93)=0,"",SUMIFS(T_SelfStock_Log[Self_Qty],T_SelfStock_Log[Part Name],$A21,T_SelfStock_Log[WeekIndex],93))</f>
        <v/>
      </c>
      <c r="CQ21" s="19">
        <f>IF(COUNTIFS(T_SelfStock_Log[Part Name],$A21,T_SelfStock_Log[WeekIndex],94)=0,"",SUMIFS(T_SelfStock_Log[Self_Qty],T_SelfStock_Log[Part Name],$A21,T_SelfStock_Log[WeekIndex],94))</f>
        <v/>
      </c>
      <c r="CR21" s="19">
        <f>IF(COUNTIFS(T_SelfStock_Log[Part Name],$A21,T_SelfStock_Log[WeekIndex],95)=0,"",SUMIFS(T_SelfStock_Log[Self_Qty],T_SelfStock_Log[Part Name],$A21,T_SelfStock_Log[WeekIndex],95))</f>
        <v/>
      </c>
      <c r="CS21" s="19">
        <f>IF(COUNTIFS(T_SelfStock_Log[Part Name],$A21,T_SelfStock_Log[WeekIndex],96)=0,"",SUMIFS(T_SelfStock_Log[Self_Qty],T_SelfStock_Log[Part Name],$A21,T_SelfStock_Log[WeekIndex],96))</f>
        <v/>
      </c>
      <c r="CT21" s="19">
        <f>IF(COUNTIFS(T_SelfStock_Log[Part Name],$A21,T_SelfStock_Log[WeekIndex],97)=0,"",SUMIFS(T_SelfStock_Log[Self_Qty],T_SelfStock_Log[Part Name],$A21,T_SelfStock_Log[WeekIndex],97))</f>
        <v/>
      </c>
      <c r="CU21" s="19">
        <f>IF(COUNTIFS(T_SelfStock_Log[Part Name],$A21,T_SelfStock_Log[WeekIndex],98)=0,"",SUMIFS(T_SelfStock_Log[Self_Qty],T_SelfStock_Log[Part Name],$A21,T_SelfStock_Log[WeekIndex],98))</f>
        <v/>
      </c>
      <c r="CV21" s="19">
        <f>IF(COUNTIFS(T_SelfStock_Log[Part Name],$A21,T_SelfStock_Log[WeekIndex],99)=0,"",SUMIFS(T_SelfStock_Log[Self_Qty],T_SelfStock_Log[Part Name],$A21,T_SelfStock_Log[WeekIndex],99))</f>
        <v/>
      </c>
      <c r="CW21" s="19">
        <f>IF(COUNTIFS(T_SelfStock_Log[Part Name],$A21,T_SelfStock_Log[WeekIndex],100)=0,"",SUMIFS(T_SelfStock_Log[Self_Qty],T_SelfStock_Log[Part Name],$A21,T_SelfStock_Log[WeekIndex],100))</f>
        <v/>
      </c>
      <c r="CX21" s="19">
        <f>IF(COUNTIFS(T_SelfStock_Log[Part Name],$A21,T_SelfStock_Log[WeekIndex],101)=0,"",SUMIFS(T_SelfStock_Log[Self_Qty],T_SelfStock_Log[Part Name],$A21,T_SelfStock_Log[WeekIndex],101))</f>
        <v/>
      </c>
      <c r="CY21" s="19">
        <f>IF(COUNTIFS(T_SelfStock_Log[Part Name],$A21,T_SelfStock_Log[WeekIndex],102)=0,"",SUMIFS(T_SelfStock_Log[Self_Qty],T_SelfStock_Log[Part Name],$A21,T_SelfStock_Log[WeekIndex],102))</f>
        <v/>
      </c>
      <c r="CZ21" s="19">
        <f>IF(COUNTIFS(T_SelfStock_Log[Part Name],$A21,T_SelfStock_Log[WeekIndex],103)=0,"",SUMIFS(T_SelfStock_Log[Self_Qty],T_SelfStock_Log[Part Name],$A21,T_SelfStock_Log[WeekIndex],103))</f>
        <v/>
      </c>
      <c r="DA21" s="19">
        <f>IF(COUNTIFS(T_SelfStock_Log[Part Name],$A21,T_SelfStock_Log[WeekIndex],104)=0,"",SUMIFS(T_SelfStock_Log[Self_Qty],T_SelfStock_Log[Part Name],$A21,T_SelfStock_Log[WeekIndex],104))</f>
        <v/>
      </c>
    </row>
    <row r="22">
      <c r="A22" s="17" t="inlineStr">
        <is>
          <t>5JK</t>
        </is>
      </c>
      <c r="B22" s="17">
        <f>IF(COUNTIFS(T_SelfStock_Log[Part Name],$A22,T_SelfStock_Log[WeekIndex],1)=0,"",SUMIFS(T_SelfStock_Log[Self_Qty],T_SelfStock_Log[Part Name],$A22,T_SelfStock_Log[WeekIndex],1))</f>
        <v/>
      </c>
      <c r="C22" s="17">
        <f>IF(COUNTIFS(T_SelfStock_Log[Part Name],$A22,T_SelfStock_Log[WeekIndex],2)=0,"",SUMIFS(T_SelfStock_Log[Self_Qty],T_SelfStock_Log[Part Name],$A22,T_SelfStock_Log[WeekIndex],2))</f>
        <v/>
      </c>
      <c r="D22" s="17">
        <f>IF(COUNTIFS(T_SelfStock_Log[Part Name],$A22,T_SelfStock_Log[WeekIndex],3)=0,"",SUMIFS(T_SelfStock_Log[Self_Qty],T_SelfStock_Log[Part Name],$A22,T_SelfStock_Log[WeekIndex],3))</f>
        <v/>
      </c>
      <c r="E22" s="17">
        <f>IF(COUNTIFS(T_SelfStock_Log[Part Name],$A22,T_SelfStock_Log[WeekIndex],4)=0,"",SUMIFS(T_SelfStock_Log[Self_Qty],T_SelfStock_Log[Part Name],$A22,T_SelfStock_Log[WeekIndex],4))</f>
        <v/>
      </c>
      <c r="F22" s="17">
        <f>IF(COUNTIFS(T_SelfStock_Log[Part Name],$A22,T_SelfStock_Log[WeekIndex],5)=0,"",SUMIFS(T_SelfStock_Log[Self_Qty],T_SelfStock_Log[Part Name],$A22,T_SelfStock_Log[WeekIndex],5))</f>
        <v/>
      </c>
      <c r="G22" s="17">
        <f>IF(COUNTIFS(T_SelfStock_Log[Part Name],$A22,T_SelfStock_Log[WeekIndex],6)=0,"",SUMIFS(T_SelfStock_Log[Self_Qty],T_SelfStock_Log[Part Name],$A22,T_SelfStock_Log[WeekIndex],6))</f>
        <v/>
      </c>
      <c r="H22" s="17">
        <f>IF(COUNTIFS(T_SelfStock_Log[Part Name],$A22,T_SelfStock_Log[WeekIndex],7)=0,"",SUMIFS(T_SelfStock_Log[Self_Qty],T_SelfStock_Log[Part Name],$A22,T_SelfStock_Log[WeekIndex],7))</f>
        <v/>
      </c>
      <c r="I22" s="17">
        <f>IF(COUNTIFS(T_SelfStock_Log[Part Name],$A22,T_SelfStock_Log[WeekIndex],8)=0,"",SUMIFS(T_SelfStock_Log[Self_Qty],T_SelfStock_Log[Part Name],$A22,T_SelfStock_Log[WeekIndex],8))</f>
        <v/>
      </c>
      <c r="J22" s="17">
        <f>IF(COUNTIFS(T_SelfStock_Log[Part Name],$A22,T_SelfStock_Log[WeekIndex],9)=0,"",SUMIFS(T_SelfStock_Log[Self_Qty],T_SelfStock_Log[Part Name],$A22,T_SelfStock_Log[WeekIndex],9))</f>
        <v/>
      </c>
      <c r="K22" s="17">
        <f>IF(COUNTIFS(T_SelfStock_Log[Part Name],$A22,T_SelfStock_Log[WeekIndex],10)=0,"",SUMIFS(T_SelfStock_Log[Self_Qty],T_SelfStock_Log[Part Name],$A22,T_SelfStock_Log[WeekIndex],10))</f>
        <v/>
      </c>
      <c r="L22" s="17">
        <f>IF(COUNTIFS(T_SelfStock_Log[Part Name],$A22,T_SelfStock_Log[WeekIndex],11)=0,"",SUMIFS(T_SelfStock_Log[Self_Qty],T_SelfStock_Log[Part Name],$A22,T_SelfStock_Log[WeekIndex],11))</f>
        <v/>
      </c>
      <c r="M22" s="17">
        <f>IF(COUNTIFS(T_SelfStock_Log[Part Name],$A22,T_SelfStock_Log[WeekIndex],12)=0,"",SUMIFS(T_SelfStock_Log[Self_Qty],T_SelfStock_Log[Part Name],$A22,T_SelfStock_Log[WeekIndex],12))</f>
        <v/>
      </c>
      <c r="N22" s="17">
        <f>IF(COUNTIFS(T_SelfStock_Log[Part Name],$A22,T_SelfStock_Log[WeekIndex],13)=0,"",SUMIFS(T_SelfStock_Log[Self_Qty],T_SelfStock_Log[Part Name],$A22,T_SelfStock_Log[WeekIndex],13))</f>
        <v/>
      </c>
      <c r="O22" s="17">
        <f>IF(COUNTIFS(T_SelfStock_Log[Part Name],$A22,T_SelfStock_Log[WeekIndex],14)=0,"",SUMIFS(T_SelfStock_Log[Self_Qty],T_SelfStock_Log[Part Name],$A22,T_SelfStock_Log[WeekIndex],14))</f>
        <v/>
      </c>
      <c r="P22" s="17">
        <f>IF(COUNTIFS(T_SelfStock_Log[Part Name],$A22,T_SelfStock_Log[WeekIndex],15)=0,"",SUMIFS(T_SelfStock_Log[Self_Qty],T_SelfStock_Log[Part Name],$A22,T_SelfStock_Log[WeekIndex],15))</f>
        <v/>
      </c>
      <c r="Q22" s="17">
        <f>IF(COUNTIFS(T_SelfStock_Log[Part Name],$A22,T_SelfStock_Log[WeekIndex],16)=0,"",SUMIFS(T_SelfStock_Log[Self_Qty],T_SelfStock_Log[Part Name],$A22,T_SelfStock_Log[WeekIndex],16))</f>
        <v/>
      </c>
      <c r="R22" s="17">
        <f>IF(COUNTIFS(T_SelfStock_Log[Part Name],$A22,T_SelfStock_Log[WeekIndex],17)=0,"",SUMIFS(T_SelfStock_Log[Self_Qty],T_SelfStock_Log[Part Name],$A22,T_SelfStock_Log[WeekIndex],17))</f>
        <v/>
      </c>
      <c r="S22" s="17">
        <f>IF(COUNTIFS(T_SelfStock_Log[Part Name],$A22,T_SelfStock_Log[WeekIndex],18)=0,"",SUMIFS(T_SelfStock_Log[Self_Qty],T_SelfStock_Log[Part Name],$A22,T_SelfStock_Log[WeekIndex],18))</f>
        <v/>
      </c>
      <c r="T22" s="17">
        <f>IF(COUNTIFS(T_SelfStock_Log[Part Name],$A22,T_SelfStock_Log[WeekIndex],19)=0,"",SUMIFS(T_SelfStock_Log[Self_Qty],T_SelfStock_Log[Part Name],$A22,T_SelfStock_Log[WeekIndex],19))</f>
        <v/>
      </c>
      <c r="U22" s="17">
        <f>IF(COUNTIFS(T_SelfStock_Log[Part Name],$A22,T_SelfStock_Log[WeekIndex],20)=0,"",SUMIFS(T_SelfStock_Log[Self_Qty],T_SelfStock_Log[Part Name],$A22,T_SelfStock_Log[WeekIndex],20))</f>
        <v/>
      </c>
      <c r="V22" s="17">
        <f>IF(COUNTIFS(T_SelfStock_Log[Part Name],$A22,T_SelfStock_Log[WeekIndex],21)=0,"",SUMIFS(T_SelfStock_Log[Self_Qty],T_SelfStock_Log[Part Name],$A22,T_SelfStock_Log[WeekIndex],21))</f>
        <v/>
      </c>
      <c r="W22" s="17">
        <f>IF(COUNTIFS(T_SelfStock_Log[Part Name],$A22,T_SelfStock_Log[WeekIndex],22)=0,"",SUMIFS(T_SelfStock_Log[Self_Qty],T_SelfStock_Log[Part Name],$A22,T_SelfStock_Log[WeekIndex],22))</f>
        <v/>
      </c>
      <c r="X22" s="17">
        <f>IF(COUNTIFS(T_SelfStock_Log[Part Name],$A22,T_SelfStock_Log[WeekIndex],23)=0,"",SUMIFS(T_SelfStock_Log[Self_Qty],T_SelfStock_Log[Part Name],$A22,T_SelfStock_Log[WeekIndex],23))</f>
        <v/>
      </c>
      <c r="Y22" s="17">
        <f>IF(COUNTIFS(T_SelfStock_Log[Part Name],$A22,T_SelfStock_Log[WeekIndex],24)=0,"",SUMIFS(T_SelfStock_Log[Self_Qty],T_SelfStock_Log[Part Name],$A22,T_SelfStock_Log[WeekIndex],24))</f>
        <v/>
      </c>
      <c r="Z22" s="17">
        <f>IF(COUNTIFS(T_SelfStock_Log[Part Name],$A22,T_SelfStock_Log[WeekIndex],25)=0,"",SUMIFS(T_SelfStock_Log[Self_Qty],T_SelfStock_Log[Part Name],$A22,T_SelfStock_Log[WeekIndex],25))</f>
        <v/>
      </c>
      <c r="AA22" s="17">
        <f>IF(COUNTIFS(T_SelfStock_Log[Part Name],$A22,T_SelfStock_Log[WeekIndex],26)=0,"",SUMIFS(T_SelfStock_Log[Self_Qty],T_SelfStock_Log[Part Name],$A22,T_SelfStock_Log[WeekIndex],26))</f>
        <v/>
      </c>
      <c r="AB22" s="17">
        <f>IF(COUNTIFS(T_SelfStock_Log[Part Name],$A22,T_SelfStock_Log[WeekIndex],27)=0,"",SUMIFS(T_SelfStock_Log[Self_Qty],T_SelfStock_Log[Part Name],$A22,T_SelfStock_Log[WeekIndex],27))</f>
        <v/>
      </c>
      <c r="AC22" s="17">
        <f>IF(COUNTIFS(T_SelfStock_Log[Part Name],$A22,T_SelfStock_Log[WeekIndex],28)=0,"",SUMIFS(T_SelfStock_Log[Self_Qty],T_SelfStock_Log[Part Name],$A22,T_SelfStock_Log[WeekIndex],28))</f>
        <v/>
      </c>
      <c r="AD22" s="17">
        <f>IF(COUNTIFS(T_SelfStock_Log[Part Name],$A22,T_SelfStock_Log[WeekIndex],29)=0,"",SUMIFS(T_SelfStock_Log[Self_Qty],T_SelfStock_Log[Part Name],$A22,T_SelfStock_Log[WeekIndex],29))</f>
        <v/>
      </c>
      <c r="AE22" s="17">
        <f>IF(COUNTIFS(T_SelfStock_Log[Part Name],$A22,T_SelfStock_Log[WeekIndex],30)=0,"",SUMIFS(T_SelfStock_Log[Self_Qty],T_SelfStock_Log[Part Name],$A22,T_SelfStock_Log[WeekIndex],30))</f>
        <v/>
      </c>
      <c r="AF22" s="17">
        <f>IF(COUNTIFS(T_SelfStock_Log[Part Name],$A22,T_SelfStock_Log[WeekIndex],31)=0,"",SUMIFS(T_SelfStock_Log[Self_Qty],T_SelfStock_Log[Part Name],$A22,T_SelfStock_Log[WeekIndex],31))</f>
        <v/>
      </c>
      <c r="AG22" s="17">
        <f>IF(COUNTIFS(T_SelfStock_Log[Part Name],$A22,T_SelfStock_Log[WeekIndex],32)=0,"",SUMIFS(T_SelfStock_Log[Self_Qty],T_SelfStock_Log[Part Name],$A22,T_SelfStock_Log[WeekIndex],32))</f>
        <v/>
      </c>
      <c r="AH22" s="17">
        <f>IF(COUNTIFS(T_SelfStock_Log[Part Name],$A22,T_SelfStock_Log[WeekIndex],33)=0,"",SUMIFS(T_SelfStock_Log[Self_Qty],T_SelfStock_Log[Part Name],$A22,T_SelfStock_Log[WeekIndex],33))</f>
        <v/>
      </c>
      <c r="AI22" s="17">
        <f>IF(COUNTIFS(T_SelfStock_Log[Part Name],$A22,T_SelfStock_Log[WeekIndex],34)=0,"",SUMIFS(T_SelfStock_Log[Self_Qty],T_SelfStock_Log[Part Name],$A22,T_SelfStock_Log[WeekIndex],34))</f>
        <v/>
      </c>
      <c r="AJ22" s="17">
        <f>IF(COUNTIFS(T_SelfStock_Log[Part Name],$A22,T_SelfStock_Log[WeekIndex],35)=0,"",SUMIFS(T_SelfStock_Log[Self_Qty],T_SelfStock_Log[Part Name],$A22,T_SelfStock_Log[WeekIndex],35))</f>
        <v/>
      </c>
      <c r="AK22" s="17">
        <f>IF(COUNTIFS(T_SelfStock_Log[Part Name],$A22,T_SelfStock_Log[WeekIndex],36)=0,"",SUMIFS(T_SelfStock_Log[Self_Qty],T_SelfStock_Log[Part Name],$A22,T_SelfStock_Log[WeekIndex],36))</f>
        <v/>
      </c>
      <c r="AL22" s="17">
        <f>IF(COUNTIFS(T_SelfStock_Log[Part Name],$A22,T_SelfStock_Log[WeekIndex],37)=0,"",SUMIFS(T_SelfStock_Log[Self_Qty],T_SelfStock_Log[Part Name],$A22,T_SelfStock_Log[WeekIndex],37))</f>
        <v/>
      </c>
      <c r="AM22" s="17">
        <f>IF(COUNTIFS(T_SelfStock_Log[Part Name],$A22,T_SelfStock_Log[WeekIndex],38)=0,"",SUMIFS(T_SelfStock_Log[Self_Qty],T_SelfStock_Log[Part Name],$A22,T_SelfStock_Log[WeekIndex],38))</f>
        <v/>
      </c>
      <c r="AN22" s="17">
        <f>IF(COUNTIFS(T_SelfStock_Log[Part Name],$A22,T_SelfStock_Log[WeekIndex],39)=0,"",SUMIFS(T_SelfStock_Log[Self_Qty],T_SelfStock_Log[Part Name],$A22,T_SelfStock_Log[WeekIndex],39))</f>
        <v/>
      </c>
      <c r="AO22" s="17">
        <f>IF(COUNTIFS(T_SelfStock_Log[Part Name],$A22,T_SelfStock_Log[WeekIndex],40)=0,"",SUMIFS(T_SelfStock_Log[Self_Qty],T_SelfStock_Log[Part Name],$A22,T_SelfStock_Log[WeekIndex],40))</f>
        <v/>
      </c>
      <c r="AP22" s="17">
        <f>IF(COUNTIFS(T_SelfStock_Log[Part Name],$A22,T_SelfStock_Log[WeekIndex],41)=0,"",SUMIFS(T_SelfStock_Log[Self_Qty],T_SelfStock_Log[Part Name],$A22,T_SelfStock_Log[WeekIndex],41))</f>
        <v/>
      </c>
      <c r="AQ22" s="17">
        <f>IF(COUNTIFS(T_SelfStock_Log[Part Name],$A22,T_SelfStock_Log[WeekIndex],42)=0,"",SUMIFS(T_SelfStock_Log[Self_Qty],T_SelfStock_Log[Part Name],$A22,T_SelfStock_Log[WeekIndex],42))</f>
        <v/>
      </c>
      <c r="AR22" s="17">
        <f>IF(COUNTIFS(T_SelfStock_Log[Part Name],$A22,T_SelfStock_Log[WeekIndex],43)=0,"",SUMIFS(T_SelfStock_Log[Self_Qty],T_SelfStock_Log[Part Name],$A22,T_SelfStock_Log[WeekIndex],43))</f>
        <v/>
      </c>
      <c r="AS22" s="17">
        <f>IF(COUNTIFS(T_SelfStock_Log[Part Name],$A22,T_SelfStock_Log[WeekIndex],44)=0,"",SUMIFS(T_SelfStock_Log[Self_Qty],T_SelfStock_Log[Part Name],$A22,T_SelfStock_Log[WeekIndex],44))</f>
        <v/>
      </c>
      <c r="AT22" s="17">
        <f>IF(COUNTIFS(T_SelfStock_Log[Part Name],$A22,T_SelfStock_Log[WeekIndex],45)=0,"",SUMIFS(T_SelfStock_Log[Self_Qty],T_SelfStock_Log[Part Name],$A22,T_SelfStock_Log[WeekIndex],45))</f>
        <v/>
      </c>
      <c r="AU22" s="17">
        <f>IF(COUNTIFS(T_SelfStock_Log[Part Name],$A22,T_SelfStock_Log[WeekIndex],46)=0,"",SUMIFS(T_SelfStock_Log[Self_Qty],T_SelfStock_Log[Part Name],$A22,T_SelfStock_Log[WeekIndex],46))</f>
        <v/>
      </c>
      <c r="AV22" s="17">
        <f>IF(COUNTIFS(T_SelfStock_Log[Part Name],$A22,T_SelfStock_Log[WeekIndex],47)=0,"",SUMIFS(T_SelfStock_Log[Self_Qty],T_SelfStock_Log[Part Name],$A22,T_SelfStock_Log[WeekIndex],47))</f>
        <v/>
      </c>
      <c r="AW22" s="17">
        <f>IF(COUNTIFS(T_SelfStock_Log[Part Name],$A22,T_SelfStock_Log[WeekIndex],48)=0,"",SUMIFS(T_SelfStock_Log[Self_Qty],T_SelfStock_Log[Part Name],$A22,T_SelfStock_Log[WeekIndex],48))</f>
        <v/>
      </c>
      <c r="AX22" s="17">
        <f>IF(COUNTIFS(T_SelfStock_Log[Part Name],$A22,T_SelfStock_Log[WeekIndex],49)=0,"",SUMIFS(T_SelfStock_Log[Self_Qty],T_SelfStock_Log[Part Name],$A22,T_SelfStock_Log[WeekIndex],49))</f>
        <v/>
      </c>
      <c r="AY22" s="17">
        <f>IF(COUNTIFS(T_SelfStock_Log[Part Name],$A22,T_SelfStock_Log[WeekIndex],50)=0,"",SUMIFS(T_SelfStock_Log[Self_Qty],T_SelfStock_Log[Part Name],$A22,T_SelfStock_Log[WeekIndex],50))</f>
        <v/>
      </c>
      <c r="AZ22" s="17">
        <f>IF(COUNTIFS(T_SelfStock_Log[Part Name],$A22,T_SelfStock_Log[WeekIndex],51)=0,"",SUMIFS(T_SelfStock_Log[Self_Qty],T_SelfStock_Log[Part Name],$A22,T_SelfStock_Log[WeekIndex],51))</f>
        <v/>
      </c>
      <c r="BA22" s="17">
        <f>IF(COUNTIFS(T_SelfStock_Log[Part Name],$A22,T_SelfStock_Log[WeekIndex],52)=0,"",SUMIFS(T_SelfStock_Log[Self_Qty],T_SelfStock_Log[Part Name],$A22,T_SelfStock_Log[WeekIndex],52))</f>
        <v/>
      </c>
      <c r="BB22" s="17">
        <f>IF(COUNTIFS(T_SelfStock_Log[Part Name],$A22,T_SelfStock_Log[WeekIndex],53)=0,"",SUMIFS(T_SelfStock_Log[Self_Qty],T_SelfStock_Log[Part Name],$A22,T_SelfStock_Log[WeekIndex],53))</f>
        <v/>
      </c>
      <c r="BC22" s="17">
        <f>IF(COUNTIFS(T_SelfStock_Log[Part Name],$A22,T_SelfStock_Log[WeekIndex],54)=0,"",SUMIFS(T_SelfStock_Log[Self_Qty],T_SelfStock_Log[Part Name],$A22,T_SelfStock_Log[WeekIndex],54))</f>
        <v/>
      </c>
      <c r="BD22" s="17">
        <f>IF(COUNTIFS(T_SelfStock_Log[Part Name],$A22,T_SelfStock_Log[WeekIndex],55)=0,"",SUMIFS(T_SelfStock_Log[Self_Qty],T_SelfStock_Log[Part Name],$A22,T_SelfStock_Log[WeekIndex],55))</f>
        <v/>
      </c>
      <c r="BE22" s="17">
        <f>IF(COUNTIFS(T_SelfStock_Log[Part Name],$A22,T_SelfStock_Log[WeekIndex],56)=0,"",SUMIFS(T_SelfStock_Log[Self_Qty],T_SelfStock_Log[Part Name],$A22,T_SelfStock_Log[WeekIndex],56))</f>
        <v/>
      </c>
      <c r="BF22" s="17">
        <f>IF(COUNTIFS(T_SelfStock_Log[Part Name],$A22,T_SelfStock_Log[WeekIndex],57)=0,"",SUMIFS(T_SelfStock_Log[Self_Qty],T_SelfStock_Log[Part Name],$A22,T_SelfStock_Log[WeekIndex],57))</f>
        <v/>
      </c>
      <c r="BG22" s="17">
        <f>IF(COUNTIFS(T_SelfStock_Log[Part Name],$A22,T_SelfStock_Log[WeekIndex],58)=0,"",SUMIFS(T_SelfStock_Log[Self_Qty],T_SelfStock_Log[Part Name],$A22,T_SelfStock_Log[WeekIndex],58))</f>
        <v/>
      </c>
      <c r="BH22" s="17">
        <f>IF(COUNTIFS(T_SelfStock_Log[Part Name],$A22,T_SelfStock_Log[WeekIndex],59)=0,"",SUMIFS(T_SelfStock_Log[Self_Qty],T_SelfStock_Log[Part Name],$A22,T_SelfStock_Log[WeekIndex],59))</f>
        <v/>
      </c>
      <c r="BI22" s="17">
        <f>IF(COUNTIFS(T_SelfStock_Log[Part Name],$A22,T_SelfStock_Log[WeekIndex],60)=0,"",SUMIFS(T_SelfStock_Log[Self_Qty],T_SelfStock_Log[Part Name],$A22,T_SelfStock_Log[WeekIndex],60))</f>
        <v/>
      </c>
      <c r="BJ22" s="17">
        <f>IF(COUNTIFS(T_SelfStock_Log[Part Name],$A22,T_SelfStock_Log[WeekIndex],61)=0,"",SUMIFS(T_SelfStock_Log[Self_Qty],T_SelfStock_Log[Part Name],$A22,T_SelfStock_Log[WeekIndex],61))</f>
        <v/>
      </c>
      <c r="BK22" s="17">
        <f>IF(COUNTIFS(T_SelfStock_Log[Part Name],$A22,T_SelfStock_Log[WeekIndex],62)=0,"",SUMIFS(T_SelfStock_Log[Self_Qty],T_SelfStock_Log[Part Name],$A22,T_SelfStock_Log[WeekIndex],62))</f>
        <v/>
      </c>
      <c r="BL22" s="17">
        <f>IF(COUNTIFS(T_SelfStock_Log[Part Name],$A22,T_SelfStock_Log[WeekIndex],63)=0,"",SUMIFS(T_SelfStock_Log[Self_Qty],T_SelfStock_Log[Part Name],$A22,T_SelfStock_Log[WeekIndex],63))</f>
        <v/>
      </c>
      <c r="BM22" s="17">
        <f>IF(COUNTIFS(T_SelfStock_Log[Part Name],$A22,T_SelfStock_Log[WeekIndex],64)=0,"",SUMIFS(T_SelfStock_Log[Self_Qty],T_SelfStock_Log[Part Name],$A22,T_SelfStock_Log[WeekIndex],64))</f>
        <v/>
      </c>
      <c r="BN22" s="17">
        <f>IF(COUNTIFS(T_SelfStock_Log[Part Name],$A22,T_SelfStock_Log[WeekIndex],65)=0,"",SUMIFS(T_SelfStock_Log[Self_Qty],T_SelfStock_Log[Part Name],$A22,T_SelfStock_Log[WeekIndex],65))</f>
        <v/>
      </c>
      <c r="BO22" s="17">
        <f>IF(COUNTIFS(T_SelfStock_Log[Part Name],$A22,T_SelfStock_Log[WeekIndex],66)=0,"",SUMIFS(T_SelfStock_Log[Self_Qty],T_SelfStock_Log[Part Name],$A22,T_SelfStock_Log[WeekIndex],66))</f>
        <v/>
      </c>
      <c r="BP22" s="17">
        <f>IF(COUNTIFS(T_SelfStock_Log[Part Name],$A22,T_SelfStock_Log[WeekIndex],67)=0,"",SUMIFS(T_SelfStock_Log[Self_Qty],T_SelfStock_Log[Part Name],$A22,T_SelfStock_Log[WeekIndex],67))</f>
        <v/>
      </c>
      <c r="BQ22" s="17">
        <f>IF(COUNTIFS(T_SelfStock_Log[Part Name],$A22,T_SelfStock_Log[WeekIndex],68)=0,"",SUMIFS(T_SelfStock_Log[Self_Qty],T_SelfStock_Log[Part Name],$A22,T_SelfStock_Log[WeekIndex],68))</f>
        <v/>
      </c>
      <c r="BR22" s="17">
        <f>IF(COUNTIFS(T_SelfStock_Log[Part Name],$A22,T_SelfStock_Log[WeekIndex],69)=0,"",SUMIFS(T_SelfStock_Log[Self_Qty],T_SelfStock_Log[Part Name],$A22,T_SelfStock_Log[WeekIndex],69))</f>
        <v/>
      </c>
      <c r="BS22" s="17">
        <f>IF(COUNTIFS(T_SelfStock_Log[Part Name],$A22,T_SelfStock_Log[WeekIndex],70)=0,"",SUMIFS(T_SelfStock_Log[Self_Qty],T_SelfStock_Log[Part Name],$A22,T_SelfStock_Log[WeekIndex],70))</f>
        <v/>
      </c>
      <c r="BT22" s="17">
        <f>IF(COUNTIFS(T_SelfStock_Log[Part Name],$A22,T_SelfStock_Log[WeekIndex],71)=0,"",SUMIFS(T_SelfStock_Log[Self_Qty],T_SelfStock_Log[Part Name],$A22,T_SelfStock_Log[WeekIndex],71))</f>
        <v/>
      </c>
      <c r="BU22" s="17">
        <f>IF(COUNTIFS(T_SelfStock_Log[Part Name],$A22,T_SelfStock_Log[WeekIndex],72)=0,"",SUMIFS(T_SelfStock_Log[Self_Qty],T_SelfStock_Log[Part Name],$A22,T_SelfStock_Log[WeekIndex],72))</f>
        <v/>
      </c>
      <c r="BV22" s="17">
        <f>IF(COUNTIFS(T_SelfStock_Log[Part Name],$A22,T_SelfStock_Log[WeekIndex],73)=0,"",SUMIFS(T_SelfStock_Log[Self_Qty],T_SelfStock_Log[Part Name],$A22,T_SelfStock_Log[WeekIndex],73))</f>
        <v/>
      </c>
      <c r="BW22" s="17">
        <f>IF(COUNTIFS(T_SelfStock_Log[Part Name],$A22,T_SelfStock_Log[WeekIndex],74)=0,"",SUMIFS(T_SelfStock_Log[Self_Qty],T_SelfStock_Log[Part Name],$A22,T_SelfStock_Log[WeekIndex],74))</f>
        <v/>
      </c>
      <c r="BX22" s="17">
        <f>IF(COUNTIFS(T_SelfStock_Log[Part Name],$A22,T_SelfStock_Log[WeekIndex],75)=0,"",SUMIFS(T_SelfStock_Log[Self_Qty],T_SelfStock_Log[Part Name],$A22,T_SelfStock_Log[WeekIndex],75))</f>
        <v/>
      </c>
      <c r="BY22" s="17">
        <f>IF(COUNTIFS(T_SelfStock_Log[Part Name],$A22,T_SelfStock_Log[WeekIndex],76)=0,"",SUMIFS(T_SelfStock_Log[Self_Qty],T_SelfStock_Log[Part Name],$A22,T_SelfStock_Log[WeekIndex],76))</f>
        <v/>
      </c>
      <c r="BZ22" s="17">
        <f>IF(COUNTIFS(T_SelfStock_Log[Part Name],$A22,T_SelfStock_Log[WeekIndex],77)=0,"",SUMIFS(T_SelfStock_Log[Self_Qty],T_SelfStock_Log[Part Name],$A22,T_SelfStock_Log[WeekIndex],77))</f>
        <v/>
      </c>
      <c r="CA22" s="17">
        <f>IF(COUNTIFS(T_SelfStock_Log[Part Name],$A22,T_SelfStock_Log[WeekIndex],78)=0,"",SUMIFS(T_SelfStock_Log[Self_Qty],T_SelfStock_Log[Part Name],$A22,T_SelfStock_Log[WeekIndex],78))</f>
        <v/>
      </c>
      <c r="CB22" s="17">
        <f>IF(COUNTIFS(T_SelfStock_Log[Part Name],$A22,T_SelfStock_Log[WeekIndex],79)=0,"",SUMIFS(T_SelfStock_Log[Self_Qty],T_SelfStock_Log[Part Name],$A22,T_SelfStock_Log[WeekIndex],79))</f>
        <v/>
      </c>
      <c r="CC22" s="17">
        <f>IF(COUNTIFS(T_SelfStock_Log[Part Name],$A22,T_SelfStock_Log[WeekIndex],80)=0,"",SUMIFS(T_SelfStock_Log[Self_Qty],T_SelfStock_Log[Part Name],$A22,T_SelfStock_Log[WeekIndex],80))</f>
        <v/>
      </c>
      <c r="CD22" s="17">
        <f>IF(COUNTIFS(T_SelfStock_Log[Part Name],$A22,T_SelfStock_Log[WeekIndex],81)=0,"",SUMIFS(T_SelfStock_Log[Self_Qty],T_SelfStock_Log[Part Name],$A22,T_SelfStock_Log[WeekIndex],81))</f>
        <v/>
      </c>
      <c r="CE22" s="17">
        <f>IF(COUNTIFS(T_SelfStock_Log[Part Name],$A22,T_SelfStock_Log[WeekIndex],82)=0,"",SUMIFS(T_SelfStock_Log[Self_Qty],T_SelfStock_Log[Part Name],$A22,T_SelfStock_Log[WeekIndex],82))</f>
        <v/>
      </c>
      <c r="CF22" s="17">
        <f>IF(COUNTIFS(T_SelfStock_Log[Part Name],$A22,T_SelfStock_Log[WeekIndex],83)=0,"",SUMIFS(T_SelfStock_Log[Self_Qty],T_SelfStock_Log[Part Name],$A22,T_SelfStock_Log[WeekIndex],83))</f>
        <v/>
      </c>
      <c r="CG22" s="17">
        <f>IF(COUNTIFS(T_SelfStock_Log[Part Name],$A22,T_SelfStock_Log[WeekIndex],84)=0,"",SUMIFS(T_SelfStock_Log[Self_Qty],T_SelfStock_Log[Part Name],$A22,T_SelfStock_Log[WeekIndex],84))</f>
        <v/>
      </c>
      <c r="CH22" s="17">
        <f>IF(COUNTIFS(T_SelfStock_Log[Part Name],$A22,T_SelfStock_Log[WeekIndex],85)=0,"",SUMIFS(T_SelfStock_Log[Self_Qty],T_SelfStock_Log[Part Name],$A22,T_SelfStock_Log[WeekIndex],85))</f>
        <v/>
      </c>
      <c r="CI22" s="17">
        <f>IF(COUNTIFS(T_SelfStock_Log[Part Name],$A22,T_SelfStock_Log[WeekIndex],86)=0,"",SUMIFS(T_SelfStock_Log[Self_Qty],T_SelfStock_Log[Part Name],$A22,T_SelfStock_Log[WeekIndex],86))</f>
        <v/>
      </c>
      <c r="CJ22" s="17">
        <f>IF(COUNTIFS(T_SelfStock_Log[Part Name],$A22,T_SelfStock_Log[WeekIndex],87)=0,"",SUMIFS(T_SelfStock_Log[Self_Qty],T_SelfStock_Log[Part Name],$A22,T_SelfStock_Log[WeekIndex],87))</f>
        <v/>
      </c>
      <c r="CK22" s="17">
        <f>IF(COUNTIFS(T_SelfStock_Log[Part Name],$A22,T_SelfStock_Log[WeekIndex],88)=0,"",SUMIFS(T_SelfStock_Log[Self_Qty],T_SelfStock_Log[Part Name],$A22,T_SelfStock_Log[WeekIndex],88))</f>
        <v/>
      </c>
      <c r="CL22" s="17">
        <f>IF(COUNTIFS(T_SelfStock_Log[Part Name],$A22,T_SelfStock_Log[WeekIndex],89)=0,"",SUMIFS(T_SelfStock_Log[Self_Qty],T_SelfStock_Log[Part Name],$A22,T_SelfStock_Log[WeekIndex],89))</f>
        <v/>
      </c>
      <c r="CM22" s="17">
        <f>IF(COUNTIFS(T_SelfStock_Log[Part Name],$A22,T_SelfStock_Log[WeekIndex],90)=0,"",SUMIFS(T_SelfStock_Log[Self_Qty],T_SelfStock_Log[Part Name],$A22,T_SelfStock_Log[WeekIndex],90))</f>
        <v/>
      </c>
      <c r="CN22" s="17">
        <f>IF(COUNTIFS(T_SelfStock_Log[Part Name],$A22,T_SelfStock_Log[WeekIndex],91)=0,"",SUMIFS(T_SelfStock_Log[Self_Qty],T_SelfStock_Log[Part Name],$A22,T_SelfStock_Log[WeekIndex],91))</f>
        <v/>
      </c>
      <c r="CO22" s="17">
        <f>IF(COUNTIFS(T_SelfStock_Log[Part Name],$A22,T_SelfStock_Log[WeekIndex],92)=0,"",SUMIFS(T_SelfStock_Log[Self_Qty],T_SelfStock_Log[Part Name],$A22,T_SelfStock_Log[WeekIndex],92))</f>
        <v/>
      </c>
      <c r="CP22" s="17">
        <f>IF(COUNTIFS(T_SelfStock_Log[Part Name],$A22,T_SelfStock_Log[WeekIndex],93)=0,"",SUMIFS(T_SelfStock_Log[Self_Qty],T_SelfStock_Log[Part Name],$A22,T_SelfStock_Log[WeekIndex],93))</f>
        <v/>
      </c>
      <c r="CQ22" s="17">
        <f>IF(COUNTIFS(T_SelfStock_Log[Part Name],$A22,T_SelfStock_Log[WeekIndex],94)=0,"",SUMIFS(T_SelfStock_Log[Self_Qty],T_SelfStock_Log[Part Name],$A22,T_SelfStock_Log[WeekIndex],94))</f>
        <v/>
      </c>
      <c r="CR22" s="17">
        <f>IF(COUNTIFS(T_SelfStock_Log[Part Name],$A22,T_SelfStock_Log[WeekIndex],95)=0,"",SUMIFS(T_SelfStock_Log[Self_Qty],T_SelfStock_Log[Part Name],$A22,T_SelfStock_Log[WeekIndex],95))</f>
        <v/>
      </c>
      <c r="CS22" s="17">
        <f>IF(COUNTIFS(T_SelfStock_Log[Part Name],$A22,T_SelfStock_Log[WeekIndex],96)=0,"",SUMIFS(T_SelfStock_Log[Self_Qty],T_SelfStock_Log[Part Name],$A22,T_SelfStock_Log[WeekIndex],96))</f>
        <v/>
      </c>
      <c r="CT22" s="17">
        <f>IF(COUNTIFS(T_SelfStock_Log[Part Name],$A22,T_SelfStock_Log[WeekIndex],97)=0,"",SUMIFS(T_SelfStock_Log[Self_Qty],T_SelfStock_Log[Part Name],$A22,T_SelfStock_Log[WeekIndex],97))</f>
        <v/>
      </c>
      <c r="CU22" s="17">
        <f>IF(COUNTIFS(T_SelfStock_Log[Part Name],$A22,T_SelfStock_Log[WeekIndex],98)=0,"",SUMIFS(T_SelfStock_Log[Self_Qty],T_SelfStock_Log[Part Name],$A22,T_SelfStock_Log[WeekIndex],98))</f>
        <v/>
      </c>
      <c r="CV22" s="17">
        <f>IF(COUNTIFS(T_SelfStock_Log[Part Name],$A22,T_SelfStock_Log[WeekIndex],99)=0,"",SUMIFS(T_SelfStock_Log[Self_Qty],T_SelfStock_Log[Part Name],$A22,T_SelfStock_Log[WeekIndex],99))</f>
        <v/>
      </c>
      <c r="CW22" s="17">
        <f>IF(COUNTIFS(T_SelfStock_Log[Part Name],$A22,T_SelfStock_Log[WeekIndex],100)=0,"",SUMIFS(T_SelfStock_Log[Self_Qty],T_SelfStock_Log[Part Name],$A22,T_SelfStock_Log[WeekIndex],100))</f>
        <v/>
      </c>
      <c r="CX22" s="17">
        <f>IF(COUNTIFS(T_SelfStock_Log[Part Name],$A22,T_SelfStock_Log[WeekIndex],101)=0,"",SUMIFS(T_SelfStock_Log[Self_Qty],T_SelfStock_Log[Part Name],$A22,T_SelfStock_Log[WeekIndex],101))</f>
        <v/>
      </c>
      <c r="CY22" s="17">
        <f>IF(COUNTIFS(T_SelfStock_Log[Part Name],$A22,T_SelfStock_Log[WeekIndex],102)=0,"",SUMIFS(T_SelfStock_Log[Self_Qty],T_SelfStock_Log[Part Name],$A22,T_SelfStock_Log[WeekIndex],102))</f>
        <v/>
      </c>
      <c r="CZ22" s="17">
        <f>IF(COUNTIFS(T_SelfStock_Log[Part Name],$A22,T_SelfStock_Log[WeekIndex],103)=0,"",SUMIFS(T_SelfStock_Log[Self_Qty],T_SelfStock_Log[Part Name],$A22,T_SelfStock_Log[WeekIndex],103))</f>
        <v/>
      </c>
      <c r="DA22" s="17">
        <f>IF(COUNTIFS(T_SelfStock_Log[Part Name],$A22,T_SelfStock_Log[WeekIndex],104)=0,"",SUMIFS(T_SelfStock_Log[Self_Qty],T_SelfStock_Log[Part Name],$A22,T_SelfStock_Log[WeekIndex],104))</f>
        <v/>
      </c>
    </row>
    <row r="23">
      <c r="A23" s="19" t="inlineStr">
        <is>
          <t>26F</t>
        </is>
      </c>
      <c r="B23" s="19">
        <f>IF(COUNTIFS(T_SelfStock_Log[Part Name],$A23,T_SelfStock_Log[WeekIndex],1)=0,"",SUMIFS(T_SelfStock_Log[Self_Qty],T_SelfStock_Log[Part Name],$A23,T_SelfStock_Log[WeekIndex],1))</f>
        <v/>
      </c>
      <c r="C23" s="19">
        <f>IF(COUNTIFS(T_SelfStock_Log[Part Name],$A23,T_SelfStock_Log[WeekIndex],2)=0,"",SUMIFS(T_SelfStock_Log[Self_Qty],T_SelfStock_Log[Part Name],$A23,T_SelfStock_Log[WeekIndex],2))</f>
        <v/>
      </c>
      <c r="D23" s="19">
        <f>IF(COUNTIFS(T_SelfStock_Log[Part Name],$A23,T_SelfStock_Log[WeekIndex],3)=0,"",SUMIFS(T_SelfStock_Log[Self_Qty],T_SelfStock_Log[Part Name],$A23,T_SelfStock_Log[WeekIndex],3))</f>
        <v/>
      </c>
      <c r="E23" s="19">
        <f>IF(COUNTIFS(T_SelfStock_Log[Part Name],$A23,T_SelfStock_Log[WeekIndex],4)=0,"",SUMIFS(T_SelfStock_Log[Self_Qty],T_SelfStock_Log[Part Name],$A23,T_SelfStock_Log[WeekIndex],4))</f>
        <v/>
      </c>
      <c r="F23" s="19">
        <f>IF(COUNTIFS(T_SelfStock_Log[Part Name],$A23,T_SelfStock_Log[WeekIndex],5)=0,"",SUMIFS(T_SelfStock_Log[Self_Qty],T_SelfStock_Log[Part Name],$A23,T_SelfStock_Log[WeekIndex],5))</f>
        <v/>
      </c>
      <c r="G23" s="19">
        <f>IF(COUNTIFS(T_SelfStock_Log[Part Name],$A23,T_SelfStock_Log[WeekIndex],6)=0,"",SUMIFS(T_SelfStock_Log[Self_Qty],T_SelfStock_Log[Part Name],$A23,T_SelfStock_Log[WeekIndex],6))</f>
        <v/>
      </c>
      <c r="H23" s="19">
        <f>IF(COUNTIFS(T_SelfStock_Log[Part Name],$A23,T_SelfStock_Log[WeekIndex],7)=0,"",SUMIFS(T_SelfStock_Log[Self_Qty],T_SelfStock_Log[Part Name],$A23,T_SelfStock_Log[WeekIndex],7))</f>
        <v/>
      </c>
      <c r="I23" s="19">
        <f>IF(COUNTIFS(T_SelfStock_Log[Part Name],$A23,T_SelfStock_Log[WeekIndex],8)=0,"",SUMIFS(T_SelfStock_Log[Self_Qty],T_SelfStock_Log[Part Name],$A23,T_SelfStock_Log[WeekIndex],8))</f>
        <v/>
      </c>
      <c r="J23" s="19">
        <f>IF(COUNTIFS(T_SelfStock_Log[Part Name],$A23,T_SelfStock_Log[WeekIndex],9)=0,"",SUMIFS(T_SelfStock_Log[Self_Qty],T_SelfStock_Log[Part Name],$A23,T_SelfStock_Log[WeekIndex],9))</f>
        <v/>
      </c>
      <c r="K23" s="19">
        <f>IF(COUNTIFS(T_SelfStock_Log[Part Name],$A23,T_SelfStock_Log[WeekIndex],10)=0,"",SUMIFS(T_SelfStock_Log[Self_Qty],T_SelfStock_Log[Part Name],$A23,T_SelfStock_Log[WeekIndex],10))</f>
        <v/>
      </c>
      <c r="L23" s="19">
        <f>IF(COUNTIFS(T_SelfStock_Log[Part Name],$A23,T_SelfStock_Log[WeekIndex],11)=0,"",SUMIFS(T_SelfStock_Log[Self_Qty],T_SelfStock_Log[Part Name],$A23,T_SelfStock_Log[WeekIndex],11))</f>
        <v/>
      </c>
      <c r="M23" s="19">
        <f>IF(COUNTIFS(T_SelfStock_Log[Part Name],$A23,T_SelfStock_Log[WeekIndex],12)=0,"",SUMIFS(T_SelfStock_Log[Self_Qty],T_SelfStock_Log[Part Name],$A23,T_SelfStock_Log[WeekIndex],12))</f>
        <v/>
      </c>
      <c r="N23" s="19">
        <f>IF(COUNTIFS(T_SelfStock_Log[Part Name],$A23,T_SelfStock_Log[WeekIndex],13)=0,"",SUMIFS(T_SelfStock_Log[Self_Qty],T_SelfStock_Log[Part Name],$A23,T_SelfStock_Log[WeekIndex],13))</f>
        <v/>
      </c>
      <c r="O23" s="19">
        <f>IF(COUNTIFS(T_SelfStock_Log[Part Name],$A23,T_SelfStock_Log[WeekIndex],14)=0,"",SUMIFS(T_SelfStock_Log[Self_Qty],T_SelfStock_Log[Part Name],$A23,T_SelfStock_Log[WeekIndex],14))</f>
        <v/>
      </c>
      <c r="P23" s="19">
        <f>IF(COUNTIFS(T_SelfStock_Log[Part Name],$A23,T_SelfStock_Log[WeekIndex],15)=0,"",SUMIFS(T_SelfStock_Log[Self_Qty],T_SelfStock_Log[Part Name],$A23,T_SelfStock_Log[WeekIndex],15))</f>
        <v/>
      </c>
      <c r="Q23" s="19">
        <f>IF(COUNTIFS(T_SelfStock_Log[Part Name],$A23,T_SelfStock_Log[WeekIndex],16)=0,"",SUMIFS(T_SelfStock_Log[Self_Qty],T_SelfStock_Log[Part Name],$A23,T_SelfStock_Log[WeekIndex],16))</f>
        <v/>
      </c>
      <c r="R23" s="19">
        <f>IF(COUNTIFS(T_SelfStock_Log[Part Name],$A23,T_SelfStock_Log[WeekIndex],17)=0,"",SUMIFS(T_SelfStock_Log[Self_Qty],T_SelfStock_Log[Part Name],$A23,T_SelfStock_Log[WeekIndex],17))</f>
        <v/>
      </c>
      <c r="S23" s="19">
        <f>IF(COUNTIFS(T_SelfStock_Log[Part Name],$A23,T_SelfStock_Log[WeekIndex],18)=0,"",SUMIFS(T_SelfStock_Log[Self_Qty],T_SelfStock_Log[Part Name],$A23,T_SelfStock_Log[WeekIndex],18))</f>
        <v/>
      </c>
      <c r="T23" s="19">
        <f>IF(COUNTIFS(T_SelfStock_Log[Part Name],$A23,T_SelfStock_Log[WeekIndex],19)=0,"",SUMIFS(T_SelfStock_Log[Self_Qty],T_SelfStock_Log[Part Name],$A23,T_SelfStock_Log[WeekIndex],19))</f>
        <v/>
      </c>
      <c r="U23" s="19">
        <f>IF(COUNTIFS(T_SelfStock_Log[Part Name],$A23,T_SelfStock_Log[WeekIndex],20)=0,"",SUMIFS(T_SelfStock_Log[Self_Qty],T_SelfStock_Log[Part Name],$A23,T_SelfStock_Log[WeekIndex],20))</f>
        <v/>
      </c>
      <c r="V23" s="19">
        <f>IF(COUNTIFS(T_SelfStock_Log[Part Name],$A23,T_SelfStock_Log[WeekIndex],21)=0,"",SUMIFS(T_SelfStock_Log[Self_Qty],T_SelfStock_Log[Part Name],$A23,T_SelfStock_Log[WeekIndex],21))</f>
        <v/>
      </c>
      <c r="W23" s="19">
        <f>IF(COUNTIFS(T_SelfStock_Log[Part Name],$A23,T_SelfStock_Log[WeekIndex],22)=0,"",SUMIFS(T_SelfStock_Log[Self_Qty],T_SelfStock_Log[Part Name],$A23,T_SelfStock_Log[WeekIndex],22))</f>
        <v/>
      </c>
      <c r="X23" s="19">
        <f>IF(COUNTIFS(T_SelfStock_Log[Part Name],$A23,T_SelfStock_Log[WeekIndex],23)=0,"",SUMIFS(T_SelfStock_Log[Self_Qty],T_SelfStock_Log[Part Name],$A23,T_SelfStock_Log[WeekIndex],23))</f>
        <v/>
      </c>
      <c r="Y23" s="19">
        <f>IF(COUNTIFS(T_SelfStock_Log[Part Name],$A23,T_SelfStock_Log[WeekIndex],24)=0,"",SUMIFS(T_SelfStock_Log[Self_Qty],T_SelfStock_Log[Part Name],$A23,T_SelfStock_Log[WeekIndex],24))</f>
        <v/>
      </c>
      <c r="Z23" s="19">
        <f>IF(COUNTIFS(T_SelfStock_Log[Part Name],$A23,T_SelfStock_Log[WeekIndex],25)=0,"",SUMIFS(T_SelfStock_Log[Self_Qty],T_SelfStock_Log[Part Name],$A23,T_SelfStock_Log[WeekIndex],25))</f>
        <v/>
      </c>
      <c r="AA23" s="19">
        <f>IF(COUNTIFS(T_SelfStock_Log[Part Name],$A23,T_SelfStock_Log[WeekIndex],26)=0,"",SUMIFS(T_SelfStock_Log[Self_Qty],T_SelfStock_Log[Part Name],$A23,T_SelfStock_Log[WeekIndex],26))</f>
        <v/>
      </c>
      <c r="AB23" s="19">
        <f>IF(COUNTIFS(T_SelfStock_Log[Part Name],$A23,T_SelfStock_Log[WeekIndex],27)=0,"",SUMIFS(T_SelfStock_Log[Self_Qty],T_SelfStock_Log[Part Name],$A23,T_SelfStock_Log[WeekIndex],27))</f>
        <v/>
      </c>
      <c r="AC23" s="19">
        <f>IF(COUNTIFS(T_SelfStock_Log[Part Name],$A23,T_SelfStock_Log[WeekIndex],28)=0,"",SUMIFS(T_SelfStock_Log[Self_Qty],T_SelfStock_Log[Part Name],$A23,T_SelfStock_Log[WeekIndex],28))</f>
        <v/>
      </c>
      <c r="AD23" s="19">
        <f>IF(COUNTIFS(T_SelfStock_Log[Part Name],$A23,T_SelfStock_Log[WeekIndex],29)=0,"",SUMIFS(T_SelfStock_Log[Self_Qty],T_SelfStock_Log[Part Name],$A23,T_SelfStock_Log[WeekIndex],29))</f>
        <v/>
      </c>
      <c r="AE23" s="19">
        <f>IF(COUNTIFS(T_SelfStock_Log[Part Name],$A23,T_SelfStock_Log[WeekIndex],30)=0,"",SUMIFS(T_SelfStock_Log[Self_Qty],T_SelfStock_Log[Part Name],$A23,T_SelfStock_Log[WeekIndex],30))</f>
        <v/>
      </c>
      <c r="AF23" s="19">
        <f>IF(COUNTIFS(T_SelfStock_Log[Part Name],$A23,T_SelfStock_Log[WeekIndex],31)=0,"",SUMIFS(T_SelfStock_Log[Self_Qty],T_SelfStock_Log[Part Name],$A23,T_SelfStock_Log[WeekIndex],31))</f>
        <v/>
      </c>
      <c r="AG23" s="19">
        <f>IF(COUNTIFS(T_SelfStock_Log[Part Name],$A23,T_SelfStock_Log[WeekIndex],32)=0,"",SUMIFS(T_SelfStock_Log[Self_Qty],T_SelfStock_Log[Part Name],$A23,T_SelfStock_Log[WeekIndex],32))</f>
        <v/>
      </c>
      <c r="AH23" s="19">
        <f>IF(COUNTIFS(T_SelfStock_Log[Part Name],$A23,T_SelfStock_Log[WeekIndex],33)=0,"",SUMIFS(T_SelfStock_Log[Self_Qty],T_SelfStock_Log[Part Name],$A23,T_SelfStock_Log[WeekIndex],33))</f>
        <v/>
      </c>
      <c r="AI23" s="19">
        <f>IF(COUNTIFS(T_SelfStock_Log[Part Name],$A23,T_SelfStock_Log[WeekIndex],34)=0,"",SUMIFS(T_SelfStock_Log[Self_Qty],T_SelfStock_Log[Part Name],$A23,T_SelfStock_Log[WeekIndex],34))</f>
        <v/>
      </c>
      <c r="AJ23" s="19">
        <f>IF(COUNTIFS(T_SelfStock_Log[Part Name],$A23,T_SelfStock_Log[WeekIndex],35)=0,"",SUMIFS(T_SelfStock_Log[Self_Qty],T_SelfStock_Log[Part Name],$A23,T_SelfStock_Log[WeekIndex],35))</f>
        <v/>
      </c>
      <c r="AK23" s="19">
        <f>IF(COUNTIFS(T_SelfStock_Log[Part Name],$A23,T_SelfStock_Log[WeekIndex],36)=0,"",SUMIFS(T_SelfStock_Log[Self_Qty],T_SelfStock_Log[Part Name],$A23,T_SelfStock_Log[WeekIndex],36))</f>
        <v/>
      </c>
      <c r="AL23" s="19">
        <f>IF(COUNTIFS(T_SelfStock_Log[Part Name],$A23,T_SelfStock_Log[WeekIndex],37)=0,"",SUMIFS(T_SelfStock_Log[Self_Qty],T_SelfStock_Log[Part Name],$A23,T_SelfStock_Log[WeekIndex],37))</f>
        <v/>
      </c>
      <c r="AM23" s="19">
        <f>IF(COUNTIFS(T_SelfStock_Log[Part Name],$A23,T_SelfStock_Log[WeekIndex],38)=0,"",SUMIFS(T_SelfStock_Log[Self_Qty],T_SelfStock_Log[Part Name],$A23,T_SelfStock_Log[WeekIndex],38))</f>
        <v/>
      </c>
      <c r="AN23" s="19">
        <f>IF(COUNTIFS(T_SelfStock_Log[Part Name],$A23,T_SelfStock_Log[WeekIndex],39)=0,"",SUMIFS(T_SelfStock_Log[Self_Qty],T_SelfStock_Log[Part Name],$A23,T_SelfStock_Log[WeekIndex],39))</f>
        <v/>
      </c>
      <c r="AO23" s="19">
        <f>IF(COUNTIFS(T_SelfStock_Log[Part Name],$A23,T_SelfStock_Log[WeekIndex],40)=0,"",SUMIFS(T_SelfStock_Log[Self_Qty],T_SelfStock_Log[Part Name],$A23,T_SelfStock_Log[WeekIndex],40))</f>
        <v/>
      </c>
      <c r="AP23" s="19">
        <f>IF(COUNTIFS(T_SelfStock_Log[Part Name],$A23,T_SelfStock_Log[WeekIndex],41)=0,"",SUMIFS(T_SelfStock_Log[Self_Qty],T_SelfStock_Log[Part Name],$A23,T_SelfStock_Log[WeekIndex],41))</f>
        <v/>
      </c>
      <c r="AQ23" s="19">
        <f>IF(COUNTIFS(T_SelfStock_Log[Part Name],$A23,T_SelfStock_Log[WeekIndex],42)=0,"",SUMIFS(T_SelfStock_Log[Self_Qty],T_SelfStock_Log[Part Name],$A23,T_SelfStock_Log[WeekIndex],42))</f>
        <v/>
      </c>
      <c r="AR23" s="19">
        <f>IF(COUNTIFS(T_SelfStock_Log[Part Name],$A23,T_SelfStock_Log[WeekIndex],43)=0,"",SUMIFS(T_SelfStock_Log[Self_Qty],T_SelfStock_Log[Part Name],$A23,T_SelfStock_Log[WeekIndex],43))</f>
        <v/>
      </c>
      <c r="AS23" s="19">
        <f>IF(COUNTIFS(T_SelfStock_Log[Part Name],$A23,T_SelfStock_Log[WeekIndex],44)=0,"",SUMIFS(T_SelfStock_Log[Self_Qty],T_SelfStock_Log[Part Name],$A23,T_SelfStock_Log[WeekIndex],44))</f>
        <v/>
      </c>
      <c r="AT23" s="19">
        <f>IF(COUNTIFS(T_SelfStock_Log[Part Name],$A23,T_SelfStock_Log[WeekIndex],45)=0,"",SUMIFS(T_SelfStock_Log[Self_Qty],T_SelfStock_Log[Part Name],$A23,T_SelfStock_Log[WeekIndex],45))</f>
        <v/>
      </c>
      <c r="AU23" s="19">
        <f>IF(COUNTIFS(T_SelfStock_Log[Part Name],$A23,T_SelfStock_Log[WeekIndex],46)=0,"",SUMIFS(T_SelfStock_Log[Self_Qty],T_SelfStock_Log[Part Name],$A23,T_SelfStock_Log[WeekIndex],46))</f>
        <v/>
      </c>
      <c r="AV23" s="19">
        <f>IF(COUNTIFS(T_SelfStock_Log[Part Name],$A23,T_SelfStock_Log[WeekIndex],47)=0,"",SUMIFS(T_SelfStock_Log[Self_Qty],T_SelfStock_Log[Part Name],$A23,T_SelfStock_Log[WeekIndex],47))</f>
        <v/>
      </c>
      <c r="AW23" s="19">
        <f>IF(COUNTIFS(T_SelfStock_Log[Part Name],$A23,T_SelfStock_Log[WeekIndex],48)=0,"",SUMIFS(T_SelfStock_Log[Self_Qty],T_SelfStock_Log[Part Name],$A23,T_SelfStock_Log[WeekIndex],48))</f>
        <v/>
      </c>
      <c r="AX23" s="19">
        <f>IF(COUNTIFS(T_SelfStock_Log[Part Name],$A23,T_SelfStock_Log[WeekIndex],49)=0,"",SUMIFS(T_SelfStock_Log[Self_Qty],T_SelfStock_Log[Part Name],$A23,T_SelfStock_Log[WeekIndex],49))</f>
        <v/>
      </c>
      <c r="AY23" s="19">
        <f>IF(COUNTIFS(T_SelfStock_Log[Part Name],$A23,T_SelfStock_Log[WeekIndex],50)=0,"",SUMIFS(T_SelfStock_Log[Self_Qty],T_SelfStock_Log[Part Name],$A23,T_SelfStock_Log[WeekIndex],50))</f>
        <v/>
      </c>
      <c r="AZ23" s="19">
        <f>IF(COUNTIFS(T_SelfStock_Log[Part Name],$A23,T_SelfStock_Log[WeekIndex],51)=0,"",SUMIFS(T_SelfStock_Log[Self_Qty],T_SelfStock_Log[Part Name],$A23,T_SelfStock_Log[WeekIndex],51))</f>
        <v/>
      </c>
      <c r="BA23" s="19">
        <f>IF(COUNTIFS(T_SelfStock_Log[Part Name],$A23,T_SelfStock_Log[WeekIndex],52)=0,"",SUMIFS(T_SelfStock_Log[Self_Qty],T_SelfStock_Log[Part Name],$A23,T_SelfStock_Log[WeekIndex],52))</f>
        <v/>
      </c>
      <c r="BB23" s="19">
        <f>IF(COUNTIFS(T_SelfStock_Log[Part Name],$A23,T_SelfStock_Log[WeekIndex],53)=0,"",SUMIFS(T_SelfStock_Log[Self_Qty],T_SelfStock_Log[Part Name],$A23,T_SelfStock_Log[WeekIndex],53))</f>
        <v/>
      </c>
      <c r="BC23" s="19">
        <f>IF(COUNTIFS(T_SelfStock_Log[Part Name],$A23,T_SelfStock_Log[WeekIndex],54)=0,"",SUMIFS(T_SelfStock_Log[Self_Qty],T_SelfStock_Log[Part Name],$A23,T_SelfStock_Log[WeekIndex],54))</f>
        <v/>
      </c>
      <c r="BD23" s="19">
        <f>IF(COUNTIFS(T_SelfStock_Log[Part Name],$A23,T_SelfStock_Log[WeekIndex],55)=0,"",SUMIFS(T_SelfStock_Log[Self_Qty],T_SelfStock_Log[Part Name],$A23,T_SelfStock_Log[WeekIndex],55))</f>
        <v/>
      </c>
      <c r="BE23" s="19">
        <f>IF(COUNTIFS(T_SelfStock_Log[Part Name],$A23,T_SelfStock_Log[WeekIndex],56)=0,"",SUMIFS(T_SelfStock_Log[Self_Qty],T_SelfStock_Log[Part Name],$A23,T_SelfStock_Log[WeekIndex],56))</f>
        <v/>
      </c>
      <c r="BF23" s="19">
        <f>IF(COUNTIFS(T_SelfStock_Log[Part Name],$A23,T_SelfStock_Log[WeekIndex],57)=0,"",SUMIFS(T_SelfStock_Log[Self_Qty],T_SelfStock_Log[Part Name],$A23,T_SelfStock_Log[WeekIndex],57))</f>
        <v/>
      </c>
      <c r="BG23" s="19">
        <f>IF(COUNTIFS(T_SelfStock_Log[Part Name],$A23,T_SelfStock_Log[WeekIndex],58)=0,"",SUMIFS(T_SelfStock_Log[Self_Qty],T_SelfStock_Log[Part Name],$A23,T_SelfStock_Log[WeekIndex],58))</f>
        <v/>
      </c>
      <c r="BH23" s="19">
        <f>IF(COUNTIFS(T_SelfStock_Log[Part Name],$A23,T_SelfStock_Log[WeekIndex],59)=0,"",SUMIFS(T_SelfStock_Log[Self_Qty],T_SelfStock_Log[Part Name],$A23,T_SelfStock_Log[WeekIndex],59))</f>
        <v/>
      </c>
      <c r="BI23" s="19">
        <f>IF(COUNTIFS(T_SelfStock_Log[Part Name],$A23,T_SelfStock_Log[WeekIndex],60)=0,"",SUMIFS(T_SelfStock_Log[Self_Qty],T_SelfStock_Log[Part Name],$A23,T_SelfStock_Log[WeekIndex],60))</f>
        <v/>
      </c>
      <c r="BJ23" s="19">
        <f>IF(COUNTIFS(T_SelfStock_Log[Part Name],$A23,T_SelfStock_Log[WeekIndex],61)=0,"",SUMIFS(T_SelfStock_Log[Self_Qty],T_SelfStock_Log[Part Name],$A23,T_SelfStock_Log[WeekIndex],61))</f>
        <v/>
      </c>
      <c r="BK23" s="19">
        <f>IF(COUNTIFS(T_SelfStock_Log[Part Name],$A23,T_SelfStock_Log[WeekIndex],62)=0,"",SUMIFS(T_SelfStock_Log[Self_Qty],T_SelfStock_Log[Part Name],$A23,T_SelfStock_Log[WeekIndex],62))</f>
        <v/>
      </c>
      <c r="BL23" s="19">
        <f>IF(COUNTIFS(T_SelfStock_Log[Part Name],$A23,T_SelfStock_Log[WeekIndex],63)=0,"",SUMIFS(T_SelfStock_Log[Self_Qty],T_SelfStock_Log[Part Name],$A23,T_SelfStock_Log[WeekIndex],63))</f>
        <v/>
      </c>
      <c r="BM23" s="19">
        <f>IF(COUNTIFS(T_SelfStock_Log[Part Name],$A23,T_SelfStock_Log[WeekIndex],64)=0,"",SUMIFS(T_SelfStock_Log[Self_Qty],T_SelfStock_Log[Part Name],$A23,T_SelfStock_Log[WeekIndex],64))</f>
        <v/>
      </c>
      <c r="BN23" s="19">
        <f>IF(COUNTIFS(T_SelfStock_Log[Part Name],$A23,T_SelfStock_Log[WeekIndex],65)=0,"",SUMIFS(T_SelfStock_Log[Self_Qty],T_SelfStock_Log[Part Name],$A23,T_SelfStock_Log[WeekIndex],65))</f>
        <v/>
      </c>
      <c r="BO23" s="19">
        <f>IF(COUNTIFS(T_SelfStock_Log[Part Name],$A23,T_SelfStock_Log[WeekIndex],66)=0,"",SUMIFS(T_SelfStock_Log[Self_Qty],T_SelfStock_Log[Part Name],$A23,T_SelfStock_Log[WeekIndex],66))</f>
        <v/>
      </c>
      <c r="BP23" s="19">
        <f>IF(COUNTIFS(T_SelfStock_Log[Part Name],$A23,T_SelfStock_Log[WeekIndex],67)=0,"",SUMIFS(T_SelfStock_Log[Self_Qty],T_SelfStock_Log[Part Name],$A23,T_SelfStock_Log[WeekIndex],67))</f>
        <v/>
      </c>
      <c r="BQ23" s="19">
        <f>IF(COUNTIFS(T_SelfStock_Log[Part Name],$A23,T_SelfStock_Log[WeekIndex],68)=0,"",SUMIFS(T_SelfStock_Log[Self_Qty],T_SelfStock_Log[Part Name],$A23,T_SelfStock_Log[WeekIndex],68))</f>
        <v/>
      </c>
      <c r="BR23" s="19">
        <f>IF(COUNTIFS(T_SelfStock_Log[Part Name],$A23,T_SelfStock_Log[WeekIndex],69)=0,"",SUMIFS(T_SelfStock_Log[Self_Qty],T_SelfStock_Log[Part Name],$A23,T_SelfStock_Log[WeekIndex],69))</f>
        <v/>
      </c>
      <c r="BS23" s="19">
        <f>IF(COUNTIFS(T_SelfStock_Log[Part Name],$A23,T_SelfStock_Log[WeekIndex],70)=0,"",SUMIFS(T_SelfStock_Log[Self_Qty],T_SelfStock_Log[Part Name],$A23,T_SelfStock_Log[WeekIndex],70))</f>
        <v/>
      </c>
      <c r="BT23" s="19">
        <f>IF(COUNTIFS(T_SelfStock_Log[Part Name],$A23,T_SelfStock_Log[WeekIndex],71)=0,"",SUMIFS(T_SelfStock_Log[Self_Qty],T_SelfStock_Log[Part Name],$A23,T_SelfStock_Log[WeekIndex],71))</f>
        <v/>
      </c>
      <c r="BU23" s="19">
        <f>IF(COUNTIFS(T_SelfStock_Log[Part Name],$A23,T_SelfStock_Log[WeekIndex],72)=0,"",SUMIFS(T_SelfStock_Log[Self_Qty],T_SelfStock_Log[Part Name],$A23,T_SelfStock_Log[WeekIndex],72))</f>
        <v/>
      </c>
      <c r="BV23" s="19">
        <f>IF(COUNTIFS(T_SelfStock_Log[Part Name],$A23,T_SelfStock_Log[WeekIndex],73)=0,"",SUMIFS(T_SelfStock_Log[Self_Qty],T_SelfStock_Log[Part Name],$A23,T_SelfStock_Log[WeekIndex],73))</f>
        <v/>
      </c>
      <c r="BW23" s="19">
        <f>IF(COUNTIFS(T_SelfStock_Log[Part Name],$A23,T_SelfStock_Log[WeekIndex],74)=0,"",SUMIFS(T_SelfStock_Log[Self_Qty],T_SelfStock_Log[Part Name],$A23,T_SelfStock_Log[WeekIndex],74))</f>
        <v/>
      </c>
      <c r="BX23" s="19">
        <f>IF(COUNTIFS(T_SelfStock_Log[Part Name],$A23,T_SelfStock_Log[WeekIndex],75)=0,"",SUMIFS(T_SelfStock_Log[Self_Qty],T_SelfStock_Log[Part Name],$A23,T_SelfStock_Log[WeekIndex],75))</f>
        <v/>
      </c>
      <c r="BY23" s="19">
        <f>IF(COUNTIFS(T_SelfStock_Log[Part Name],$A23,T_SelfStock_Log[WeekIndex],76)=0,"",SUMIFS(T_SelfStock_Log[Self_Qty],T_SelfStock_Log[Part Name],$A23,T_SelfStock_Log[WeekIndex],76))</f>
        <v/>
      </c>
      <c r="BZ23" s="19">
        <f>IF(COUNTIFS(T_SelfStock_Log[Part Name],$A23,T_SelfStock_Log[WeekIndex],77)=0,"",SUMIFS(T_SelfStock_Log[Self_Qty],T_SelfStock_Log[Part Name],$A23,T_SelfStock_Log[WeekIndex],77))</f>
        <v/>
      </c>
      <c r="CA23" s="19">
        <f>IF(COUNTIFS(T_SelfStock_Log[Part Name],$A23,T_SelfStock_Log[WeekIndex],78)=0,"",SUMIFS(T_SelfStock_Log[Self_Qty],T_SelfStock_Log[Part Name],$A23,T_SelfStock_Log[WeekIndex],78))</f>
        <v/>
      </c>
      <c r="CB23" s="19">
        <f>IF(COUNTIFS(T_SelfStock_Log[Part Name],$A23,T_SelfStock_Log[WeekIndex],79)=0,"",SUMIFS(T_SelfStock_Log[Self_Qty],T_SelfStock_Log[Part Name],$A23,T_SelfStock_Log[WeekIndex],79))</f>
        <v/>
      </c>
      <c r="CC23" s="19">
        <f>IF(COUNTIFS(T_SelfStock_Log[Part Name],$A23,T_SelfStock_Log[WeekIndex],80)=0,"",SUMIFS(T_SelfStock_Log[Self_Qty],T_SelfStock_Log[Part Name],$A23,T_SelfStock_Log[WeekIndex],80))</f>
        <v/>
      </c>
      <c r="CD23" s="19">
        <f>IF(COUNTIFS(T_SelfStock_Log[Part Name],$A23,T_SelfStock_Log[WeekIndex],81)=0,"",SUMIFS(T_SelfStock_Log[Self_Qty],T_SelfStock_Log[Part Name],$A23,T_SelfStock_Log[WeekIndex],81))</f>
        <v/>
      </c>
      <c r="CE23" s="19">
        <f>IF(COUNTIFS(T_SelfStock_Log[Part Name],$A23,T_SelfStock_Log[WeekIndex],82)=0,"",SUMIFS(T_SelfStock_Log[Self_Qty],T_SelfStock_Log[Part Name],$A23,T_SelfStock_Log[WeekIndex],82))</f>
        <v/>
      </c>
      <c r="CF23" s="19">
        <f>IF(COUNTIFS(T_SelfStock_Log[Part Name],$A23,T_SelfStock_Log[WeekIndex],83)=0,"",SUMIFS(T_SelfStock_Log[Self_Qty],T_SelfStock_Log[Part Name],$A23,T_SelfStock_Log[WeekIndex],83))</f>
        <v/>
      </c>
      <c r="CG23" s="19">
        <f>IF(COUNTIFS(T_SelfStock_Log[Part Name],$A23,T_SelfStock_Log[WeekIndex],84)=0,"",SUMIFS(T_SelfStock_Log[Self_Qty],T_SelfStock_Log[Part Name],$A23,T_SelfStock_Log[WeekIndex],84))</f>
        <v/>
      </c>
      <c r="CH23" s="19">
        <f>IF(COUNTIFS(T_SelfStock_Log[Part Name],$A23,T_SelfStock_Log[WeekIndex],85)=0,"",SUMIFS(T_SelfStock_Log[Self_Qty],T_SelfStock_Log[Part Name],$A23,T_SelfStock_Log[WeekIndex],85))</f>
        <v/>
      </c>
      <c r="CI23" s="19">
        <f>IF(COUNTIFS(T_SelfStock_Log[Part Name],$A23,T_SelfStock_Log[WeekIndex],86)=0,"",SUMIFS(T_SelfStock_Log[Self_Qty],T_SelfStock_Log[Part Name],$A23,T_SelfStock_Log[WeekIndex],86))</f>
        <v/>
      </c>
      <c r="CJ23" s="19">
        <f>IF(COUNTIFS(T_SelfStock_Log[Part Name],$A23,T_SelfStock_Log[WeekIndex],87)=0,"",SUMIFS(T_SelfStock_Log[Self_Qty],T_SelfStock_Log[Part Name],$A23,T_SelfStock_Log[WeekIndex],87))</f>
        <v/>
      </c>
      <c r="CK23" s="19">
        <f>IF(COUNTIFS(T_SelfStock_Log[Part Name],$A23,T_SelfStock_Log[WeekIndex],88)=0,"",SUMIFS(T_SelfStock_Log[Self_Qty],T_SelfStock_Log[Part Name],$A23,T_SelfStock_Log[WeekIndex],88))</f>
        <v/>
      </c>
      <c r="CL23" s="19">
        <f>IF(COUNTIFS(T_SelfStock_Log[Part Name],$A23,T_SelfStock_Log[WeekIndex],89)=0,"",SUMIFS(T_SelfStock_Log[Self_Qty],T_SelfStock_Log[Part Name],$A23,T_SelfStock_Log[WeekIndex],89))</f>
        <v/>
      </c>
      <c r="CM23" s="19">
        <f>IF(COUNTIFS(T_SelfStock_Log[Part Name],$A23,T_SelfStock_Log[WeekIndex],90)=0,"",SUMIFS(T_SelfStock_Log[Self_Qty],T_SelfStock_Log[Part Name],$A23,T_SelfStock_Log[WeekIndex],90))</f>
        <v/>
      </c>
      <c r="CN23" s="19">
        <f>IF(COUNTIFS(T_SelfStock_Log[Part Name],$A23,T_SelfStock_Log[WeekIndex],91)=0,"",SUMIFS(T_SelfStock_Log[Self_Qty],T_SelfStock_Log[Part Name],$A23,T_SelfStock_Log[WeekIndex],91))</f>
        <v/>
      </c>
      <c r="CO23" s="19">
        <f>IF(COUNTIFS(T_SelfStock_Log[Part Name],$A23,T_SelfStock_Log[WeekIndex],92)=0,"",SUMIFS(T_SelfStock_Log[Self_Qty],T_SelfStock_Log[Part Name],$A23,T_SelfStock_Log[WeekIndex],92))</f>
        <v/>
      </c>
      <c r="CP23" s="19">
        <f>IF(COUNTIFS(T_SelfStock_Log[Part Name],$A23,T_SelfStock_Log[WeekIndex],93)=0,"",SUMIFS(T_SelfStock_Log[Self_Qty],T_SelfStock_Log[Part Name],$A23,T_SelfStock_Log[WeekIndex],93))</f>
        <v/>
      </c>
      <c r="CQ23" s="19">
        <f>IF(COUNTIFS(T_SelfStock_Log[Part Name],$A23,T_SelfStock_Log[WeekIndex],94)=0,"",SUMIFS(T_SelfStock_Log[Self_Qty],T_SelfStock_Log[Part Name],$A23,T_SelfStock_Log[WeekIndex],94))</f>
        <v/>
      </c>
      <c r="CR23" s="19">
        <f>IF(COUNTIFS(T_SelfStock_Log[Part Name],$A23,T_SelfStock_Log[WeekIndex],95)=0,"",SUMIFS(T_SelfStock_Log[Self_Qty],T_SelfStock_Log[Part Name],$A23,T_SelfStock_Log[WeekIndex],95))</f>
        <v/>
      </c>
      <c r="CS23" s="19">
        <f>IF(COUNTIFS(T_SelfStock_Log[Part Name],$A23,T_SelfStock_Log[WeekIndex],96)=0,"",SUMIFS(T_SelfStock_Log[Self_Qty],T_SelfStock_Log[Part Name],$A23,T_SelfStock_Log[WeekIndex],96))</f>
        <v/>
      </c>
      <c r="CT23" s="19">
        <f>IF(COUNTIFS(T_SelfStock_Log[Part Name],$A23,T_SelfStock_Log[WeekIndex],97)=0,"",SUMIFS(T_SelfStock_Log[Self_Qty],T_SelfStock_Log[Part Name],$A23,T_SelfStock_Log[WeekIndex],97))</f>
        <v/>
      </c>
      <c r="CU23" s="19">
        <f>IF(COUNTIFS(T_SelfStock_Log[Part Name],$A23,T_SelfStock_Log[WeekIndex],98)=0,"",SUMIFS(T_SelfStock_Log[Self_Qty],T_SelfStock_Log[Part Name],$A23,T_SelfStock_Log[WeekIndex],98))</f>
        <v/>
      </c>
      <c r="CV23" s="19">
        <f>IF(COUNTIFS(T_SelfStock_Log[Part Name],$A23,T_SelfStock_Log[WeekIndex],99)=0,"",SUMIFS(T_SelfStock_Log[Self_Qty],T_SelfStock_Log[Part Name],$A23,T_SelfStock_Log[WeekIndex],99))</f>
        <v/>
      </c>
      <c r="CW23" s="19">
        <f>IF(COUNTIFS(T_SelfStock_Log[Part Name],$A23,T_SelfStock_Log[WeekIndex],100)=0,"",SUMIFS(T_SelfStock_Log[Self_Qty],T_SelfStock_Log[Part Name],$A23,T_SelfStock_Log[WeekIndex],100))</f>
        <v/>
      </c>
      <c r="CX23" s="19">
        <f>IF(COUNTIFS(T_SelfStock_Log[Part Name],$A23,T_SelfStock_Log[WeekIndex],101)=0,"",SUMIFS(T_SelfStock_Log[Self_Qty],T_SelfStock_Log[Part Name],$A23,T_SelfStock_Log[WeekIndex],101))</f>
        <v/>
      </c>
      <c r="CY23" s="19">
        <f>IF(COUNTIFS(T_SelfStock_Log[Part Name],$A23,T_SelfStock_Log[WeekIndex],102)=0,"",SUMIFS(T_SelfStock_Log[Self_Qty],T_SelfStock_Log[Part Name],$A23,T_SelfStock_Log[WeekIndex],102))</f>
        <v/>
      </c>
      <c r="CZ23" s="19">
        <f>IF(COUNTIFS(T_SelfStock_Log[Part Name],$A23,T_SelfStock_Log[WeekIndex],103)=0,"",SUMIFS(T_SelfStock_Log[Self_Qty],T_SelfStock_Log[Part Name],$A23,T_SelfStock_Log[WeekIndex],103))</f>
        <v/>
      </c>
      <c r="DA23" s="19">
        <f>IF(COUNTIFS(T_SelfStock_Log[Part Name],$A23,T_SelfStock_Log[WeekIndex],104)=0,"",SUMIFS(T_SelfStock_Log[Self_Qty],T_SelfStock_Log[Part Name],$A23,T_SelfStock_Log[WeekIndex],104))</f>
        <v/>
      </c>
    </row>
    <row r="24">
      <c r="A24" s="17" t="inlineStr">
        <is>
          <t>73K</t>
        </is>
      </c>
      <c r="B24" s="17">
        <f>IF(COUNTIFS(T_SelfStock_Log[Part Name],$A24,T_SelfStock_Log[WeekIndex],1)=0,"",SUMIFS(T_SelfStock_Log[Self_Qty],T_SelfStock_Log[Part Name],$A24,T_SelfStock_Log[WeekIndex],1))</f>
        <v/>
      </c>
      <c r="C24" s="17">
        <f>IF(COUNTIFS(T_SelfStock_Log[Part Name],$A24,T_SelfStock_Log[WeekIndex],2)=0,"",SUMIFS(T_SelfStock_Log[Self_Qty],T_SelfStock_Log[Part Name],$A24,T_SelfStock_Log[WeekIndex],2))</f>
        <v/>
      </c>
      <c r="D24" s="17">
        <f>IF(COUNTIFS(T_SelfStock_Log[Part Name],$A24,T_SelfStock_Log[WeekIndex],3)=0,"",SUMIFS(T_SelfStock_Log[Self_Qty],T_SelfStock_Log[Part Name],$A24,T_SelfStock_Log[WeekIndex],3))</f>
        <v/>
      </c>
      <c r="E24" s="17">
        <f>IF(COUNTIFS(T_SelfStock_Log[Part Name],$A24,T_SelfStock_Log[WeekIndex],4)=0,"",SUMIFS(T_SelfStock_Log[Self_Qty],T_SelfStock_Log[Part Name],$A24,T_SelfStock_Log[WeekIndex],4))</f>
        <v/>
      </c>
      <c r="F24" s="17">
        <f>IF(COUNTIFS(T_SelfStock_Log[Part Name],$A24,T_SelfStock_Log[WeekIndex],5)=0,"",SUMIFS(T_SelfStock_Log[Self_Qty],T_SelfStock_Log[Part Name],$A24,T_SelfStock_Log[WeekIndex],5))</f>
        <v/>
      </c>
      <c r="G24" s="17">
        <f>IF(COUNTIFS(T_SelfStock_Log[Part Name],$A24,T_SelfStock_Log[WeekIndex],6)=0,"",SUMIFS(T_SelfStock_Log[Self_Qty],T_SelfStock_Log[Part Name],$A24,T_SelfStock_Log[WeekIndex],6))</f>
        <v/>
      </c>
      <c r="H24" s="17">
        <f>IF(COUNTIFS(T_SelfStock_Log[Part Name],$A24,T_SelfStock_Log[WeekIndex],7)=0,"",SUMIFS(T_SelfStock_Log[Self_Qty],T_SelfStock_Log[Part Name],$A24,T_SelfStock_Log[WeekIndex],7))</f>
        <v/>
      </c>
      <c r="I24" s="17">
        <f>IF(COUNTIFS(T_SelfStock_Log[Part Name],$A24,T_SelfStock_Log[WeekIndex],8)=0,"",SUMIFS(T_SelfStock_Log[Self_Qty],T_SelfStock_Log[Part Name],$A24,T_SelfStock_Log[WeekIndex],8))</f>
        <v/>
      </c>
      <c r="J24" s="17">
        <f>IF(COUNTIFS(T_SelfStock_Log[Part Name],$A24,T_SelfStock_Log[WeekIndex],9)=0,"",SUMIFS(T_SelfStock_Log[Self_Qty],T_SelfStock_Log[Part Name],$A24,T_SelfStock_Log[WeekIndex],9))</f>
        <v/>
      </c>
      <c r="K24" s="17">
        <f>IF(COUNTIFS(T_SelfStock_Log[Part Name],$A24,T_SelfStock_Log[WeekIndex],10)=0,"",SUMIFS(T_SelfStock_Log[Self_Qty],T_SelfStock_Log[Part Name],$A24,T_SelfStock_Log[WeekIndex],10))</f>
        <v/>
      </c>
      <c r="L24" s="17">
        <f>IF(COUNTIFS(T_SelfStock_Log[Part Name],$A24,T_SelfStock_Log[WeekIndex],11)=0,"",SUMIFS(T_SelfStock_Log[Self_Qty],T_SelfStock_Log[Part Name],$A24,T_SelfStock_Log[WeekIndex],11))</f>
        <v/>
      </c>
      <c r="M24" s="17">
        <f>IF(COUNTIFS(T_SelfStock_Log[Part Name],$A24,T_SelfStock_Log[WeekIndex],12)=0,"",SUMIFS(T_SelfStock_Log[Self_Qty],T_SelfStock_Log[Part Name],$A24,T_SelfStock_Log[WeekIndex],12))</f>
        <v/>
      </c>
      <c r="N24" s="17">
        <f>IF(COUNTIFS(T_SelfStock_Log[Part Name],$A24,T_SelfStock_Log[WeekIndex],13)=0,"",SUMIFS(T_SelfStock_Log[Self_Qty],T_SelfStock_Log[Part Name],$A24,T_SelfStock_Log[WeekIndex],13))</f>
        <v/>
      </c>
      <c r="O24" s="17">
        <f>IF(COUNTIFS(T_SelfStock_Log[Part Name],$A24,T_SelfStock_Log[WeekIndex],14)=0,"",SUMIFS(T_SelfStock_Log[Self_Qty],T_SelfStock_Log[Part Name],$A24,T_SelfStock_Log[WeekIndex],14))</f>
        <v/>
      </c>
      <c r="P24" s="17">
        <f>IF(COUNTIFS(T_SelfStock_Log[Part Name],$A24,T_SelfStock_Log[WeekIndex],15)=0,"",SUMIFS(T_SelfStock_Log[Self_Qty],T_SelfStock_Log[Part Name],$A24,T_SelfStock_Log[WeekIndex],15))</f>
        <v/>
      </c>
      <c r="Q24" s="17">
        <f>IF(COUNTIFS(T_SelfStock_Log[Part Name],$A24,T_SelfStock_Log[WeekIndex],16)=0,"",SUMIFS(T_SelfStock_Log[Self_Qty],T_SelfStock_Log[Part Name],$A24,T_SelfStock_Log[WeekIndex],16))</f>
        <v/>
      </c>
      <c r="R24" s="17">
        <f>IF(COUNTIFS(T_SelfStock_Log[Part Name],$A24,T_SelfStock_Log[WeekIndex],17)=0,"",SUMIFS(T_SelfStock_Log[Self_Qty],T_SelfStock_Log[Part Name],$A24,T_SelfStock_Log[WeekIndex],17))</f>
        <v/>
      </c>
      <c r="S24" s="17">
        <f>IF(COUNTIFS(T_SelfStock_Log[Part Name],$A24,T_SelfStock_Log[WeekIndex],18)=0,"",SUMIFS(T_SelfStock_Log[Self_Qty],T_SelfStock_Log[Part Name],$A24,T_SelfStock_Log[WeekIndex],18))</f>
        <v/>
      </c>
      <c r="T24" s="17">
        <f>IF(COUNTIFS(T_SelfStock_Log[Part Name],$A24,T_SelfStock_Log[WeekIndex],19)=0,"",SUMIFS(T_SelfStock_Log[Self_Qty],T_SelfStock_Log[Part Name],$A24,T_SelfStock_Log[WeekIndex],19))</f>
        <v/>
      </c>
      <c r="U24" s="17">
        <f>IF(COUNTIFS(T_SelfStock_Log[Part Name],$A24,T_SelfStock_Log[WeekIndex],20)=0,"",SUMIFS(T_SelfStock_Log[Self_Qty],T_SelfStock_Log[Part Name],$A24,T_SelfStock_Log[WeekIndex],20))</f>
        <v/>
      </c>
      <c r="V24" s="17">
        <f>IF(COUNTIFS(T_SelfStock_Log[Part Name],$A24,T_SelfStock_Log[WeekIndex],21)=0,"",SUMIFS(T_SelfStock_Log[Self_Qty],T_SelfStock_Log[Part Name],$A24,T_SelfStock_Log[WeekIndex],21))</f>
        <v/>
      </c>
      <c r="W24" s="17">
        <f>IF(COUNTIFS(T_SelfStock_Log[Part Name],$A24,T_SelfStock_Log[WeekIndex],22)=0,"",SUMIFS(T_SelfStock_Log[Self_Qty],T_SelfStock_Log[Part Name],$A24,T_SelfStock_Log[WeekIndex],22))</f>
        <v/>
      </c>
      <c r="X24" s="17">
        <f>IF(COUNTIFS(T_SelfStock_Log[Part Name],$A24,T_SelfStock_Log[WeekIndex],23)=0,"",SUMIFS(T_SelfStock_Log[Self_Qty],T_SelfStock_Log[Part Name],$A24,T_SelfStock_Log[WeekIndex],23))</f>
        <v/>
      </c>
      <c r="Y24" s="17">
        <f>IF(COUNTIFS(T_SelfStock_Log[Part Name],$A24,T_SelfStock_Log[WeekIndex],24)=0,"",SUMIFS(T_SelfStock_Log[Self_Qty],T_SelfStock_Log[Part Name],$A24,T_SelfStock_Log[WeekIndex],24))</f>
        <v/>
      </c>
      <c r="Z24" s="17">
        <f>IF(COUNTIFS(T_SelfStock_Log[Part Name],$A24,T_SelfStock_Log[WeekIndex],25)=0,"",SUMIFS(T_SelfStock_Log[Self_Qty],T_SelfStock_Log[Part Name],$A24,T_SelfStock_Log[WeekIndex],25))</f>
        <v/>
      </c>
      <c r="AA24" s="17">
        <f>IF(COUNTIFS(T_SelfStock_Log[Part Name],$A24,T_SelfStock_Log[WeekIndex],26)=0,"",SUMIFS(T_SelfStock_Log[Self_Qty],T_SelfStock_Log[Part Name],$A24,T_SelfStock_Log[WeekIndex],26))</f>
        <v/>
      </c>
      <c r="AB24" s="17">
        <f>IF(COUNTIFS(T_SelfStock_Log[Part Name],$A24,T_SelfStock_Log[WeekIndex],27)=0,"",SUMIFS(T_SelfStock_Log[Self_Qty],T_SelfStock_Log[Part Name],$A24,T_SelfStock_Log[WeekIndex],27))</f>
        <v/>
      </c>
      <c r="AC24" s="17">
        <f>IF(COUNTIFS(T_SelfStock_Log[Part Name],$A24,T_SelfStock_Log[WeekIndex],28)=0,"",SUMIFS(T_SelfStock_Log[Self_Qty],T_SelfStock_Log[Part Name],$A24,T_SelfStock_Log[WeekIndex],28))</f>
        <v/>
      </c>
      <c r="AD24" s="17">
        <f>IF(COUNTIFS(T_SelfStock_Log[Part Name],$A24,T_SelfStock_Log[WeekIndex],29)=0,"",SUMIFS(T_SelfStock_Log[Self_Qty],T_SelfStock_Log[Part Name],$A24,T_SelfStock_Log[WeekIndex],29))</f>
        <v/>
      </c>
      <c r="AE24" s="17">
        <f>IF(COUNTIFS(T_SelfStock_Log[Part Name],$A24,T_SelfStock_Log[WeekIndex],30)=0,"",SUMIFS(T_SelfStock_Log[Self_Qty],T_SelfStock_Log[Part Name],$A24,T_SelfStock_Log[WeekIndex],30))</f>
        <v/>
      </c>
      <c r="AF24" s="17">
        <f>IF(COUNTIFS(T_SelfStock_Log[Part Name],$A24,T_SelfStock_Log[WeekIndex],31)=0,"",SUMIFS(T_SelfStock_Log[Self_Qty],T_SelfStock_Log[Part Name],$A24,T_SelfStock_Log[WeekIndex],31))</f>
        <v/>
      </c>
      <c r="AG24" s="17">
        <f>IF(COUNTIFS(T_SelfStock_Log[Part Name],$A24,T_SelfStock_Log[WeekIndex],32)=0,"",SUMIFS(T_SelfStock_Log[Self_Qty],T_SelfStock_Log[Part Name],$A24,T_SelfStock_Log[WeekIndex],32))</f>
        <v/>
      </c>
      <c r="AH24" s="17">
        <f>IF(COUNTIFS(T_SelfStock_Log[Part Name],$A24,T_SelfStock_Log[WeekIndex],33)=0,"",SUMIFS(T_SelfStock_Log[Self_Qty],T_SelfStock_Log[Part Name],$A24,T_SelfStock_Log[WeekIndex],33))</f>
        <v/>
      </c>
      <c r="AI24" s="17">
        <f>IF(COUNTIFS(T_SelfStock_Log[Part Name],$A24,T_SelfStock_Log[WeekIndex],34)=0,"",SUMIFS(T_SelfStock_Log[Self_Qty],T_SelfStock_Log[Part Name],$A24,T_SelfStock_Log[WeekIndex],34))</f>
        <v/>
      </c>
      <c r="AJ24" s="17">
        <f>IF(COUNTIFS(T_SelfStock_Log[Part Name],$A24,T_SelfStock_Log[WeekIndex],35)=0,"",SUMIFS(T_SelfStock_Log[Self_Qty],T_SelfStock_Log[Part Name],$A24,T_SelfStock_Log[WeekIndex],35))</f>
        <v/>
      </c>
      <c r="AK24" s="17">
        <f>IF(COUNTIFS(T_SelfStock_Log[Part Name],$A24,T_SelfStock_Log[WeekIndex],36)=0,"",SUMIFS(T_SelfStock_Log[Self_Qty],T_SelfStock_Log[Part Name],$A24,T_SelfStock_Log[WeekIndex],36))</f>
        <v/>
      </c>
      <c r="AL24" s="17">
        <f>IF(COUNTIFS(T_SelfStock_Log[Part Name],$A24,T_SelfStock_Log[WeekIndex],37)=0,"",SUMIFS(T_SelfStock_Log[Self_Qty],T_SelfStock_Log[Part Name],$A24,T_SelfStock_Log[WeekIndex],37))</f>
        <v/>
      </c>
      <c r="AM24" s="17">
        <f>IF(COUNTIFS(T_SelfStock_Log[Part Name],$A24,T_SelfStock_Log[WeekIndex],38)=0,"",SUMIFS(T_SelfStock_Log[Self_Qty],T_SelfStock_Log[Part Name],$A24,T_SelfStock_Log[WeekIndex],38))</f>
        <v/>
      </c>
      <c r="AN24" s="17">
        <f>IF(COUNTIFS(T_SelfStock_Log[Part Name],$A24,T_SelfStock_Log[WeekIndex],39)=0,"",SUMIFS(T_SelfStock_Log[Self_Qty],T_SelfStock_Log[Part Name],$A24,T_SelfStock_Log[WeekIndex],39))</f>
        <v/>
      </c>
      <c r="AO24" s="17">
        <f>IF(COUNTIFS(T_SelfStock_Log[Part Name],$A24,T_SelfStock_Log[WeekIndex],40)=0,"",SUMIFS(T_SelfStock_Log[Self_Qty],T_SelfStock_Log[Part Name],$A24,T_SelfStock_Log[WeekIndex],40))</f>
        <v/>
      </c>
      <c r="AP24" s="17">
        <f>IF(COUNTIFS(T_SelfStock_Log[Part Name],$A24,T_SelfStock_Log[WeekIndex],41)=0,"",SUMIFS(T_SelfStock_Log[Self_Qty],T_SelfStock_Log[Part Name],$A24,T_SelfStock_Log[WeekIndex],41))</f>
        <v/>
      </c>
      <c r="AQ24" s="17">
        <f>IF(COUNTIFS(T_SelfStock_Log[Part Name],$A24,T_SelfStock_Log[WeekIndex],42)=0,"",SUMIFS(T_SelfStock_Log[Self_Qty],T_SelfStock_Log[Part Name],$A24,T_SelfStock_Log[WeekIndex],42))</f>
        <v/>
      </c>
      <c r="AR24" s="17">
        <f>IF(COUNTIFS(T_SelfStock_Log[Part Name],$A24,T_SelfStock_Log[WeekIndex],43)=0,"",SUMIFS(T_SelfStock_Log[Self_Qty],T_SelfStock_Log[Part Name],$A24,T_SelfStock_Log[WeekIndex],43))</f>
        <v/>
      </c>
      <c r="AS24" s="17">
        <f>IF(COUNTIFS(T_SelfStock_Log[Part Name],$A24,T_SelfStock_Log[WeekIndex],44)=0,"",SUMIFS(T_SelfStock_Log[Self_Qty],T_SelfStock_Log[Part Name],$A24,T_SelfStock_Log[WeekIndex],44))</f>
        <v/>
      </c>
      <c r="AT24" s="17">
        <f>IF(COUNTIFS(T_SelfStock_Log[Part Name],$A24,T_SelfStock_Log[WeekIndex],45)=0,"",SUMIFS(T_SelfStock_Log[Self_Qty],T_SelfStock_Log[Part Name],$A24,T_SelfStock_Log[WeekIndex],45))</f>
        <v/>
      </c>
      <c r="AU24" s="17">
        <f>IF(COUNTIFS(T_SelfStock_Log[Part Name],$A24,T_SelfStock_Log[WeekIndex],46)=0,"",SUMIFS(T_SelfStock_Log[Self_Qty],T_SelfStock_Log[Part Name],$A24,T_SelfStock_Log[WeekIndex],46))</f>
        <v/>
      </c>
      <c r="AV24" s="17">
        <f>IF(COUNTIFS(T_SelfStock_Log[Part Name],$A24,T_SelfStock_Log[WeekIndex],47)=0,"",SUMIFS(T_SelfStock_Log[Self_Qty],T_SelfStock_Log[Part Name],$A24,T_SelfStock_Log[WeekIndex],47))</f>
        <v/>
      </c>
      <c r="AW24" s="17">
        <f>IF(COUNTIFS(T_SelfStock_Log[Part Name],$A24,T_SelfStock_Log[WeekIndex],48)=0,"",SUMIFS(T_SelfStock_Log[Self_Qty],T_SelfStock_Log[Part Name],$A24,T_SelfStock_Log[WeekIndex],48))</f>
        <v/>
      </c>
      <c r="AX24" s="17">
        <f>IF(COUNTIFS(T_SelfStock_Log[Part Name],$A24,T_SelfStock_Log[WeekIndex],49)=0,"",SUMIFS(T_SelfStock_Log[Self_Qty],T_SelfStock_Log[Part Name],$A24,T_SelfStock_Log[WeekIndex],49))</f>
        <v/>
      </c>
      <c r="AY24" s="17">
        <f>IF(COUNTIFS(T_SelfStock_Log[Part Name],$A24,T_SelfStock_Log[WeekIndex],50)=0,"",SUMIFS(T_SelfStock_Log[Self_Qty],T_SelfStock_Log[Part Name],$A24,T_SelfStock_Log[WeekIndex],50))</f>
        <v/>
      </c>
      <c r="AZ24" s="17">
        <f>IF(COUNTIFS(T_SelfStock_Log[Part Name],$A24,T_SelfStock_Log[WeekIndex],51)=0,"",SUMIFS(T_SelfStock_Log[Self_Qty],T_SelfStock_Log[Part Name],$A24,T_SelfStock_Log[WeekIndex],51))</f>
        <v/>
      </c>
      <c r="BA24" s="17">
        <f>IF(COUNTIFS(T_SelfStock_Log[Part Name],$A24,T_SelfStock_Log[WeekIndex],52)=0,"",SUMIFS(T_SelfStock_Log[Self_Qty],T_SelfStock_Log[Part Name],$A24,T_SelfStock_Log[WeekIndex],52))</f>
        <v/>
      </c>
      <c r="BB24" s="17">
        <f>IF(COUNTIFS(T_SelfStock_Log[Part Name],$A24,T_SelfStock_Log[WeekIndex],53)=0,"",SUMIFS(T_SelfStock_Log[Self_Qty],T_SelfStock_Log[Part Name],$A24,T_SelfStock_Log[WeekIndex],53))</f>
        <v/>
      </c>
      <c r="BC24" s="17">
        <f>IF(COUNTIFS(T_SelfStock_Log[Part Name],$A24,T_SelfStock_Log[WeekIndex],54)=0,"",SUMIFS(T_SelfStock_Log[Self_Qty],T_SelfStock_Log[Part Name],$A24,T_SelfStock_Log[WeekIndex],54))</f>
        <v/>
      </c>
      <c r="BD24" s="17">
        <f>IF(COUNTIFS(T_SelfStock_Log[Part Name],$A24,T_SelfStock_Log[WeekIndex],55)=0,"",SUMIFS(T_SelfStock_Log[Self_Qty],T_SelfStock_Log[Part Name],$A24,T_SelfStock_Log[WeekIndex],55))</f>
        <v/>
      </c>
      <c r="BE24" s="17">
        <f>IF(COUNTIFS(T_SelfStock_Log[Part Name],$A24,T_SelfStock_Log[WeekIndex],56)=0,"",SUMIFS(T_SelfStock_Log[Self_Qty],T_SelfStock_Log[Part Name],$A24,T_SelfStock_Log[WeekIndex],56))</f>
        <v/>
      </c>
      <c r="BF24" s="17">
        <f>IF(COUNTIFS(T_SelfStock_Log[Part Name],$A24,T_SelfStock_Log[WeekIndex],57)=0,"",SUMIFS(T_SelfStock_Log[Self_Qty],T_SelfStock_Log[Part Name],$A24,T_SelfStock_Log[WeekIndex],57))</f>
        <v/>
      </c>
      <c r="BG24" s="17">
        <f>IF(COUNTIFS(T_SelfStock_Log[Part Name],$A24,T_SelfStock_Log[WeekIndex],58)=0,"",SUMIFS(T_SelfStock_Log[Self_Qty],T_SelfStock_Log[Part Name],$A24,T_SelfStock_Log[WeekIndex],58))</f>
        <v/>
      </c>
      <c r="BH24" s="17">
        <f>IF(COUNTIFS(T_SelfStock_Log[Part Name],$A24,T_SelfStock_Log[WeekIndex],59)=0,"",SUMIFS(T_SelfStock_Log[Self_Qty],T_SelfStock_Log[Part Name],$A24,T_SelfStock_Log[WeekIndex],59))</f>
        <v/>
      </c>
      <c r="BI24" s="17">
        <f>IF(COUNTIFS(T_SelfStock_Log[Part Name],$A24,T_SelfStock_Log[WeekIndex],60)=0,"",SUMIFS(T_SelfStock_Log[Self_Qty],T_SelfStock_Log[Part Name],$A24,T_SelfStock_Log[WeekIndex],60))</f>
        <v/>
      </c>
      <c r="BJ24" s="17">
        <f>IF(COUNTIFS(T_SelfStock_Log[Part Name],$A24,T_SelfStock_Log[WeekIndex],61)=0,"",SUMIFS(T_SelfStock_Log[Self_Qty],T_SelfStock_Log[Part Name],$A24,T_SelfStock_Log[WeekIndex],61))</f>
        <v/>
      </c>
      <c r="BK24" s="17">
        <f>IF(COUNTIFS(T_SelfStock_Log[Part Name],$A24,T_SelfStock_Log[WeekIndex],62)=0,"",SUMIFS(T_SelfStock_Log[Self_Qty],T_SelfStock_Log[Part Name],$A24,T_SelfStock_Log[WeekIndex],62))</f>
        <v/>
      </c>
      <c r="BL24" s="17">
        <f>IF(COUNTIFS(T_SelfStock_Log[Part Name],$A24,T_SelfStock_Log[WeekIndex],63)=0,"",SUMIFS(T_SelfStock_Log[Self_Qty],T_SelfStock_Log[Part Name],$A24,T_SelfStock_Log[WeekIndex],63))</f>
        <v/>
      </c>
      <c r="BM24" s="17">
        <f>IF(COUNTIFS(T_SelfStock_Log[Part Name],$A24,T_SelfStock_Log[WeekIndex],64)=0,"",SUMIFS(T_SelfStock_Log[Self_Qty],T_SelfStock_Log[Part Name],$A24,T_SelfStock_Log[WeekIndex],64))</f>
        <v/>
      </c>
      <c r="BN24" s="17">
        <f>IF(COUNTIFS(T_SelfStock_Log[Part Name],$A24,T_SelfStock_Log[WeekIndex],65)=0,"",SUMIFS(T_SelfStock_Log[Self_Qty],T_SelfStock_Log[Part Name],$A24,T_SelfStock_Log[WeekIndex],65))</f>
        <v/>
      </c>
      <c r="BO24" s="17">
        <f>IF(COUNTIFS(T_SelfStock_Log[Part Name],$A24,T_SelfStock_Log[WeekIndex],66)=0,"",SUMIFS(T_SelfStock_Log[Self_Qty],T_SelfStock_Log[Part Name],$A24,T_SelfStock_Log[WeekIndex],66))</f>
        <v/>
      </c>
      <c r="BP24" s="17">
        <f>IF(COUNTIFS(T_SelfStock_Log[Part Name],$A24,T_SelfStock_Log[WeekIndex],67)=0,"",SUMIFS(T_SelfStock_Log[Self_Qty],T_SelfStock_Log[Part Name],$A24,T_SelfStock_Log[WeekIndex],67))</f>
        <v/>
      </c>
      <c r="BQ24" s="17">
        <f>IF(COUNTIFS(T_SelfStock_Log[Part Name],$A24,T_SelfStock_Log[WeekIndex],68)=0,"",SUMIFS(T_SelfStock_Log[Self_Qty],T_SelfStock_Log[Part Name],$A24,T_SelfStock_Log[WeekIndex],68))</f>
        <v/>
      </c>
      <c r="BR24" s="17">
        <f>IF(COUNTIFS(T_SelfStock_Log[Part Name],$A24,T_SelfStock_Log[WeekIndex],69)=0,"",SUMIFS(T_SelfStock_Log[Self_Qty],T_SelfStock_Log[Part Name],$A24,T_SelfStock_Log[WeekIndex],69))</f>
        <v/>
      </c>
      <c r="BS24" s="17">
        <f>IF(COUNTIFS(T_SelfStock_Log[Part Name],$A24,T_SelfStock_Log[WeekIndex],70)=0,"",SUMIFS(T_SelfStock_Log[Self_Qty],T_SelfStock_Log[Part Name],$A24,T_SelfStock_Log[WeekIndex],70))</f>
        <v/>
      </c>
      <c r="BT24" s="17">
        <f>IF(COUNTIFS(T_SelfStock_Log[Part Name],$A24,T_SelfStock_Log[WeekIndex],71)=0,"",SUMIFS(T_SelfStock_Log[Self_Qty],T_SelfStock_Log[Part Name],$A24,T_SelfStock_Log[WeekIndex],71))</f>
        <v/>
      </c>
      <c r="BU24" s="17">
        <f>IF(COUNTIFS(T_SelfStock_Log[Part Name],$A24,T_SelfStock_Log[WeekIndex],72)=0,"",SUMIFS(T_SelfStock_Log[Self_Qty],T_SelfStock_Log[Part Name],$A24,T_SelfStock_Log[WeekIndex],72))</f>
        <v/>
      </c>
      <c r="BV24" s="17">
        <f>IF(COUNTIFS(T_SelfStock_Log[Part Name],$A24,T_SelfStock_Log[WeekIndex],73)=0,"",SUMIFS(T_SelfStock_Log[Self_Qty],T_SelfStock_Log[Part Name],$A24,T_SelfStock_Log[WeekIndex],73))</f>
        <v/>
      </c>
      <c r="BW24" s="17">
        <f>IF(COUNTIFS(T_SelfStock_Log[Part Name],$A24,T_SelfStock_Log[WeekIndex],74)=0,"",SUMIFS(T_SelfStock_Log[Self_Qty],T_SelfStock_Log[Part Name],$A24,T_SelfStock_Log[WeekIndex],74))</f>
        <v/>
      </c>
      <c r="BX24" s="17">
        <f>IF(COUNTIFS(T_SelfStock_Log[Part Name],$A24,T_SelfStock_Log[WeekIndex],75)=0,"",SUMIFS(T_SelfStock_Log[Self_Qty],T_SelfStock_Log[Part Name],$A24,T_SelfStock_Log[WeekIndex],75))</f>
        <v/>
      </c>
      <c r="BY24" s="17">
        <f>IF(COUNTIFS(T_SelfStock_Log[Part Name],$A24,T_SelfStock_Log[WeekIndex],76)=0,"",SUMIFS(T_SelfStock_Log[Self_Qty],T_SelfStock_Log[Part Name],$A24,T_SelfStock_Log[WeekIndex],76))</f>
        <v/>
      </c>
      <c r="BZ24" s="17">
        <f>IF(COUNTIFS(T_SelfStock_Log[Part Name],$A24,T_SelfStock_Log[WeekIndex],77)=0,"",SUMIFS(T_SelfStock_Log[Self_Qty],T_SelfStock_Log[Part Name],$A24,T_SelfStock_Log[WeekIndex],77))</f>
        <v/>
      </c>
      <c r="CA24" s="17">
        <f>IF(COUNTIFS(T_SelfStock_Log[Part Name],$A24,T_SelfStock_Log[WeekIndex],78)=0,"",SUMIFS(T_SelfStock_Log[Self_Qty],T_SelfStock_Log[Part Name],$A24,T_SelfStock_Log[WeekIndex],78))</f>
        <v/>
      </c>
      <c r="CB24" s="17">
        <f>IF(COUNTIFS(T_SelfStock_Log[Part Name],$A24,T_SelfStock_Log[WeekIndex],79)=0,"",SUMIFS(T_SelfStock_Log[Self_Qty],T_SelfStock_Log[Part Name],$A24,T_SelfStock_Log[WeekIndex],79))</f>
        <v/>
      </c>
      <c r="CC24" s="17">
        <f>IF(COUNTIFS(T_SelfStock_Log[Part Name],$A24,T_SelfStock_Log[WeekIndex],80)=0,"",SUMIFS(T_SelfStock_Log[Self_Qty],T_SelfStock_Log[Part Name],$A24,T_SelfStock_Log[WeekIndex],80))</f>
        <v/>
      </c>
      <c r="CD24" s="17">
        <f>IF(COUNTIFS(T_SelfStock_Log[Part Name],$A24,T_SelfStock_Log[WeekIndex],81)=0,"",SUMIFS(T_SelfStock_Log[Self_Qty],T_SelfStock_Log[Part Name],$A24,T_SelfStock_Log[WeekIndex],81))</f>
        <v/>
      </c>
      <c r="CE24" s="17">
        <f>IF(COUNTIFS(T_SelfStock_Log[Part Name],$A24,T_SelfStock_Log[WeekIndex],82)=0,"",SUMIFS(T_SelfStock_Log[Self_Qty],T_SelfStock_Log[Part Name],$A24,T_SelfStock_Log[WeekIndex],82))</f>
        <v/>
      </c>
      <c r="CF24" s="17">
        <f>IF(COUNTIFS(T_SelfStock_Log[Part Name],$A24,T_SelfStock_Log[WeekIndex],83)=0,"",SUMIFS(T_SelfStock_Log[Self_Qty],T_SelfStock_Log[Part Name],$A24,T_SelfStock_Log[WeekIndex],83))</f>
        <v/>
      </c>
      <c r="CG24" s="17">
        <f>IF(COUNTIFS(T_SelfStock_Log[Part Name],$A24,T_SelfStock_Log[WeekIndex],84)=0,"",SUMIFS(T_SelfStock_Log[Self_Qty],T_SelfStock_Log[Part Name],$A24,T_SelfStock_Log[WeekIndex],84))</f>
        <v/>
      </c>
      <c r="CH24" s="17">
        <f>IF(COUNTIFS(T_SelfStock_Log[Part Name],$A24,T_SelfStock_Log[WeekIndex],85)=0,"",SUMIFS(T_SelfStock_Log[Self_Qty],T_SelfStock_Log[Part Name],$A24,T_SelfStock_Log[WeekIndex],85))</f>
        <v/>
      </c>
      <c r="CI24" s="17">
        <f>IF(COUNTIFS(T_SelfStock_Log[Part Name],$A24,T_SelfStock_Log[WeekIndex],86)=0,"",SUMIFS(T_SelfStock_Log[Self_Qty],T_SelfStock_Log[Part Name],$A24,T_SelfStock_Log[WeekIndex],86))</f>
        <v/>
      </c>
      <c r="CJ24" s="17">
        <f>IF(COUNTIFS(T_SelfStock_Log[Part Name],$A24,T_SelfStock_Log[WeekIndex],87)=0,"",SUMIFS(T_SelfStock_Log[Self_Qty],T_SelfStock_Log[Part Name],$A24,T_SelfStock_Log[WeekIndex],87))</f>
        <v/>
      </c>
      <c r="CK24" s="17">
        <f>IF(COUNTIFS(T_SelfStock_Log[Part Name],$A24,T_SelfStock_Log[WeekIndex],88)=0,"",SUMIFS(T_SelfStock_Log[Self_Qty],T_SelfStock_Log[Part Name],$A24,T_SelfStock_Log[WeekIndex],88))</f>
        <v/>
      </c>
      <c r="CL24" s="17">
        <f>IF(COUNTIFS(T_SelfStock_Log[Part Name],$A24,T_SelfStock_Log[WeekIndex],89)=0,"",SUMIFS(T_SelfStock_Log[Self_Qty],T_SelfStock_Log[Part Name],$A24,T_SelfStock_Log[WeekIndex],89))</f>
        <v/>
      </c>
      <c r="CM24" s="17">
        <f>IF(COUNTIFS(T_SelfStock_Log[Part Name],$A24,T_SelfStock_Log[WeekIndex],90)=0,"",SUMIFS(T_SelfStock_Log[Self_Qty],T_SelfStock_Log[Part Name],$A24,T_SelfStock_Log[WeekIndex],90))</f>
        <v/>
      </c>
      <c r="CN24" s="17">
        <f>IF(COUNTIFS(T_SelfStock_Log[Part Name],$A24,T_SelfStock_Log[WeekIndex],91)=0,"",SUMIFS(T_SelfStock_Log[Self_Qty],T_SelfStock_Log[Part Name],$A24,T_SelfStock_Log[WeekIndex],91))</f>
        <v/>
      </c>
      <c r="CO24" s="17">
        <f>IF(COUNTIFS(T_SelfStock_Log[Part Name],$A24,T_SelfStock_Log[WeekIndex],92)=0,"",SUMIFS(T_SelfStock_Log[Self_Qty],T_SelfStock_Log[Part Name],$A24,T_SelfStock_Log[WeekIndex],92))</f>
        <v/>
      </c>
      <c r="CP24" s="17">
        <f>IF(COUNTIFS(T_SelfStock_Log[Part Name],$A24,T_SelfStock_Log[WeekIndex],93)=0,"",SUMIFS(T_SelfStock_Log[Self_Qty],T_SelfStock_Log[Part Name],$A24,T_SelfStock_Log[WeekIndex],93))</f>
        <v/>
      </c>
      <c r="CQ24" s="17">
        <f>IF(COUNTIFS(T_SelfStock_Log[Part Name],$A24,T_SelfStock_Log[WeekIndex],94)=0,"",SUMIFS(T_SelfStock_Log[Self_Qty],T_SelfStock_Log[Part Name],$A24,T_SelfStock_Log[WeekIndex],94))</f>
        <v/>
      </c>
      <c r="CR24" s="17">
        <f>IF(COUNTIFS(T_SelfStock_Log[Part Name],$A24,T_SelfStock_Log[WeekIndex],95)=0,"",SUMIFS(T_SelfStock_Log[Self_Qty],T_SelfStock_Log[Part Name],$A24,T_SelfStock_Log[WeekIndex],95))</f>
        <v/>
      </c>
      <c r="CS24" s="17">
        <f>IF(COUNTIFS(T_SelfStock_Log[Part Name],$A24,T_SelfStock_Log[WeekIndex],96)=0,"",SUMIFS(T_SelfStock_Log[Self_Qty],T_SelfStock_Log[Part Name],$A24,T_SelfStock_Log[WeekIndex],96))</f>
        <v/>
      </c>
      <c r="CT24" s="17">
        <f>IF(COUNTIFS(T_SelfStock_Log[Part Name],$A24,T_SelfStock_Log[WeekIndex],97)=0,"",SUMIFS(T_SelfStock_Log[Self_Qty],T_SelfStock_Log[Part Name],$A24,T_SelfStock_Log[WeekIndex],97))</f>
        <v/>
      </c>
      <c r="CU24" s="17">
        <f>IF(COUNTIFS(T_SelfStock_Log[Part Name],$A24,T_SelfStock_Log[WeekIndex],98)=0,"",SUMIFS(T_SelfStock_Log[Self_Qty],T_SelfStock_Log[Part Name],$A24,T_SelfStock_Log[WeekIndex],98))</f>
        <v/>
      </c>
      <c r="CV24" s="17">
        <f>IF(COUNTIFS(T_SelfStock_Log[Part Name],$A24,T_SelfStock_Log[WeekIndex],99)=0,"",SUMIFS(T_SelfStock_Log[Self_Qty],T_SelfStock_Log[Part Name],$A24,T_SelfStock_Log[WeekIndex],99))</f>
        <v/>
      </c>
      <c r="CW24" s="17">
        <f>IF(COUNTIFS(T_SelfStock_Log[Part Name],$A24,T_SelfStock_Log[WeekIndex],100)=0,"",SUMIFS(T_SelfStock_Log[Self_Qty],T_SelfStock_Log[Part Name],$A24,T_SelfStock_Log[WeekIndex],100))</f>
        <v/>
      </c>
      <c r="CX24" s="17">
        <f>IF(COUNTIFS(T_SelfStock_Log[Part Name],$A24,T_SelfStock_Log[WeekIndex],101)=0,"",SUMIFS(T_SelfStock_Log[Self_Qty],T_SelfStock_Log[Part Name],$A24,T_SelfStock_Log[WeekIndex],101))</f>
        <v/>
      </c>
      <c r="CY24" s="17">
        <f>IF(COUNTIFS(T_SelfStock_Log[Part Name],$A24,T_SelfStock_Log[WeekIndex],102)=0,"",SUMIFS(T_SelfStock_Log[Self_Qty],T_SelfStock_Log[Part Name],$A24,T_SelfStock_Log[WeekIndex],102))</f>
        <v/>
      </c>
      <c r="CZ24" s="17">
        <f>IF(COUNTIFS(T_SelfStock_Log[Part Name],$A24,T_SelfStock_Log[WeekIndex],103)=0,"",SUMIFS(T_SelfStock_Log[Self_Qty],T_SelfStock_Log[Part Name],$A24,T_SelfStock_Log[WeekIndex],103))</f>
        <v/>
      </c>
      <c r="DA24" s="17">
        <f>IF(COUNTIFS(T_SelfStock_Log[Part Name],$A24,T_SelfStock_Log[WeekIndex],104)=0,"",SUMIFS(T_SelfStock_Log[Self_Qty],T_SelfStock_Log[Part Name],$A24,T_SelfStock_Log[WeekIndex],104))</f>
        <v/>
      </c>
    </row>
    <row r="25">
      <c r="A25" s="19" t="inlineStr">
        <is>
          <t>1JN</t>
        </is>
      </c>
      <c r="B25" s="19">
        <f>IF(COUNTIFS(T_SelfStock_Log[Part Name],$A25,T_SelfStock_Log[WeekIndex],1)=0,"",SUMIFS(T_SelfStock_Log[Self_Qty],T_SelfStock_Log[Part Name],$A25,T_SelfStock_Log[WeekIndex],1))</f>
        <v/>
      </c>
      <c r="C25" s="19">
        <f>IF(COUNTIFS(T_SelfStock_Log[Part Name],$A25,T_SelfStock_Log[WeekIndex],2)=0,"",SUMIFS(T_SelfStock_Log[Self_Qty],T_SelfStock_Log[Part Name],$A25,T_SelfStock_Log[WeekIndex],2))</f>
        <v/>
      </c>
      <c r="D25" s="19">
        <f>IF(COUNTIFS(T_SelfStock_Log[Part Name],$A25,T_SelfStock_Log[WeekIndex],3)=0,"",SUMIFS(T_SelfStock_Log[Self_Qty],T_SelfStock_Log[Part Name],$A25,T_SelfStock_Log[WeekIndex],3))</f>
        <v/>
      </c>
      <c r="E25" s="19">
        <f>IF(COUNTIFS(T_SelfStock_Log[Part Name],$A25,T_SelfStock_Log[WeekIndex],4)=0,"",SUMIFS(T_SelfStock_Log[Self_Qty],T_SelfStock_Log[Part Name],$A25,T_SelfStock_Log[WeekIndex],4))</f>
        <v/>
      </c>
      <c r="F25" s="19">
        <f>IF(COUNTIFS(T_SelfStock_Log[Part Name],$A25,T_SelfStock_Log[WeekIndex],5)=0,"",SUMIFS(T_SelfStock_Log[Self_Qty],T_SelfStock_Log[Part Name],$A25,T_SelfStock_Log[WeekIndex],5))</f>
        <v/>
      </c>
      <c r="G25" s="19">
        <f>IF(COUNTIFS(T_SelfStock_Log[Part Name],$A25,T_SelfStock_Log[WeekIndex],6)=0,"",SUMIFS(T_SelfStock_Log[Self_Qty],T_SelfStock_Log[Part Name],$A25,T_SelfStock_Log[WeekIndex],6))</f>
        <v/>
      </c>
      <c r="H25" s="19">
        <f>IF(COUNTIFS(T_SelfStock_Log[Part Name],$A25,T_SelfStock_Log[WeekIndex],7)=0,"",SUMIFS(T_SelfStock_Log[Self_Qty],T_SelfStock_Log[Part Name],$A25,T_SelfStock_Log[WeekIndex],7))</f>
        <v/>
      </c>
      <c r="I25" s="19">
        <f>IF(COUNTIFS(T_SelfStock_Log[Part Name],$A25,T_SelfStock_Log[WeekIndex],8)=0,"",SUMIFS(T_SelfStock_Log[Self_Qty],T_SelfStock_Log[Part Name],$A25,T_SelfStock_Log[WeekIndex],8))</f>
        <v/>
      </c>
      <c r="J25" s="19">
        <f>IF(COUNTIFS(T_SelfStock_Log[Part Name],$A25,T_SelfStock_Log[WeekIndex],9)=0,"",SUMIFS(T_SelfStock_Log[Self_Qty],T_SelfStock_Log[Part Name],$A25,T_SelfStock_Log[WeekIndex],9))</f>
        <v/>
      </c>
      <c r="K25" s="19">
        <f>IF(COUNTIFS(T_SelfStock_Log[Part Name],$A25,T_SelfStock_Log[WeekIndex],10)=0,"",SUMIFS(T_SelfStock_Log[Self_Qty],T_SelfStock_Log[Part Name],$A25,T_SelfStock_Log[WeekIndex],10))</f>
        <v/>
      </c>
      <c r="L25" s="19">
        <f>IF(COUNTIFS(T_SelfStock_Log[Part Name],$A25,T_SelfStock_Log[WeekIndex],11)=0,"",SUMIFS(T_SelfStock_Log[Self_Qty],T_SelfStock_Log[Part Name],$A25,T_SelfStock_Log[WeekIndex],11))</f>
        <v/>
      </c>
      <c r="M25" s="19">
        <f>IF(COUNTIFS(T_SelfStock_Log[Part Name],$A25,T_SelfStock_Log[WeekIndex],12)=0,"",SUMIFS(T_SelfStock_Log[Self_Qty],T_SelfStock_Log[Part Name],$A25,T_SelfStock_Log[WeekIndex],12))</f>
        <v/>
      </c>
      <c r="N25" s="19">
        <f>IF(COUNTIFS(T_SelfStock_Log[Part Name],$A25,T_SelfStock_Log[WeekIndex],13)=0,"",SUMIFS(T_SelfStock_Log[Self_Qty],T_SelfStock_Log[Part Name],$A25,T_SelfStock_Log[WeekIndex],13))</f>
        <v/>
      </c>
      <c r="O25" s="19">
        <f>IF(COUNTIFS(T_SelfStock_Log[Part Name],$A25,T_SelfStock_Log[WeekIndex],14)=0,"",SUMIFS(T_SelfStock_Log[Self_Qty],T_SelfStock_Log[Part Name],$A25,T_SelfStock_Log[WeekIndex],14))</f>
        <v/>
      </c>
      <c r="P25" s="19">
        <f>IF(COUNTIFS(T_SelfStock_Log[Part Name],$A25,T_SelfStock_Log[WeekIndex],15)=0,"",SUMIFS(T_SelfStock_Log[Self_Qty],T_SelfStock_Log[Part Name],$A25,T_SelfStock_Log[WeekIndex],15))</f>
        <v/>
      </c>
      <c r="Q25" s="19">
        <f>IF(COUNTIFS(T_SelfStock_Log[Part Name],$A25,T_SelfStock_Log[WeekIndex],16)=0,"",SUMIFS(T_SelfStock_Log[Self_Qty],T_SelfStock_Log[Part Name],$A25,T_SelfStock_Log[WeekIndex],16))</f>
        <v/>
      </c>
      <c r="R25" s="19">
        <f>IF(COUNTIFS(T_SelfStock_Log[Part Name],$A25,T_SelfStock_Log[WeekIndex],17)=0,"",SUMIFS(T_SelfStock_Log[Self_Qty],T_SelfStock_Log[Part Name],$A25,T_SelfStock_Log[WeekIndex],17))</f>
        <v/>
      </c>
      <c r="S25" s="19">
        <f>IF(COUNTIFS(T_SelfStock_Log[Part Name],$A25,T_SelfStock_Log[WeekIndex],18)=0,"",SUMIFS(T_SelfStock_Log[Self_Qty],T_SelfStock_Log[Part Name],$A25,T_SelfStock_Log[WeekIndex],18))</f>
        <v/>
      </c>
      <c r="T25" s="19">
        <f>IF(COUNTIFS(T_SelfStock_Log[Part Name],$A25,T_SelfStock_Log[WeekIndex],19)=0,"",SUMIFS(T_SelfStock_Log[Self_Qty],T_SelfStock_Log[Part Name],$A25,T_SelfStock_Log[WeekIndex],19))</f>
        <v/>
      </c>
      <c r="U25" s="19">
        <f>IF(COUNTIFS(T_SelfStock_Log[Part Name],$A25,T_SelfStock_Log[WeekIndex],20)=0,"",SUMIFS(T_SelfStock_Log[Self_Qty],T_SelfStock_Log[Part Name],$A25,T_SelfStock_Log[WeekIndex],20))</f>
        <v/>
      </c>
      <c r="V25" s="19">
        <f>IF(COUNTIFS(T_SelfStock_Log[Part Name],$A25,T_SelfStock_Log[WeekIndex],21)=0,"",SUMIFS(T_SelfStock_Log[Self_Qty],T_SelfStock_Log[Part Name],$A25,T_SelfStock_Log[WeekIndex],21))</f>
        <v/>
      </c>
      <c r="W25" s="19">
        <f>IF(COUNTIFS(T_SelfStock_Log[Part Name],$A25,T_SelfStock_Log[WeekIndex],22)=0,"",SUMIFS(T_SelfStock_Log[Self_Qty],T_SelfStock_Log[Part Name],$A25,T_SelfStock_Log[WeekIndex],22))</f>
        <v/>
      </c>
      <c r="X25" s="19">
        <f>IF(COUNTIFS(T_SelfStock_Log[Part Name],$A25,T_SelfStock_Log[WeekIndex],23)=0,"",SUMIFS(T_SelfStock_Log[Self_Qty],T_SelfStock_Log[Part Name],$A25,T_SelfStock_Log[WeekIndex],23))</f>
        <v/>
      </c>
      <c r="Y25" s="19">
        <f>IF(COUNTIFS(T_SelfStock_Log[Part Name],$A25,T_SelfStock_Log[WeekIndex],24)=0,"",SUMIFS(T_SelfStock_Log[Self_Qty],T_SelfStock_Log[Part Name],$A25,T_SelfStock_Log[WeekIndex],24))</f>
        <v/>
      </c>
      <c r="Z25" s="19">
        <f>IF(COUNTIFS(T_SelfStock_Log[Part Name],$A25,T_SelfStock_Log[WeekIndex],25)=0,"",SUMIFS(T_SelfStock_Log[Self_Qty],T_SelfStock_Log[Part Name],$A25,T_SelfStock_Log[WeekIndex],25))</f>
        <v/>
      </c>
      <c r="AA25" s="19">
        <f>IF(COUNTIFS(T_SelfStock_Log[Part Name],$A25,T_SelfStock_Log[WeekIndex],26)=0,"",SUMIFS(T_SelfStock_Log[Self_Qty],T_SelfStock_Log[Part Name],$A25,T_SelfStock_Log[WeekIndex],26))</f>
        <v/>
      </c>
      <c r="AB25" s="19">
        <f>IF(COUNTIFS(T_SelfStock_Log[Part Name],$A25,T_SelfStock_Log[WeekIndex],27)=0,"",SUMIFS(T_SelfStock_Log[Self_Qty],T_SelfStock_Log[Part Name],$A25,T_SelfStock_Log[WeekIndex],27))</f>
        <v/>
      </c>
      <c r="AC25" s="19">
        <f>IF(COUNTIFS(T_SelfStock_Log[Part Name],$A25,T_SelfStock_Log[WeekIndex],28)=0,"",SUMIFS(T_SelfStock_Log[Self_Qty],T_SelfStock_Log[Part Name],$A25,T_SelfStock_Log[WeekIndex],28))</f>
        <v/>
      </c>
      <c r="AD25" s="19">
        <f>IF(COUNTIFS(T_SelfStock_Log[Part Name],$A25,T_SelfStock_Log[WeekIndex],29)=0,"",SUMIFS(T_SelfStock_Log[Self_Qty],T_SelfStock_Log[Part Name],$A25,T_SelfStock_Log[WeekIndex],29))</f>
        <v/>
      </c>
      <c r="AE25" s="19">
        <f>IF(COUNTIFS(T_SelfStock_Log[Part Name],$A25,T_SelfStock_Log[WeekIndex],30)=0,"",SUMIFS(T_SelfStock_Log[Self_Qty],T_SelfStock_Log[Part Name],$A25,T_SelfStock_Log[WeekIndex],30))</f>
        <v/>
      </c>
      <c r="AF25" s="19">
        <f>IF(COUNTIFS(T_SelfStock_Log[Part Name],$A25,T_SelfStock_Log[WeekIndex],31)=0,"",SUMIFS(T_SelfStock_Log[Self_Qty],T_SelfStock_Log[Part Name],$A25,T_SelfStock_Log[WeekIndex],31))</f>
        <v/>
      </c>
      <c r="AG25" s="19">
        <f>IF(COUNTIFS(T_SelfStock_Log[Part Name],$A25,T_SelfStock_Log[WeekIndex],32)=0,"",SUMIFS(T_SelfStock_Log[Self_Qty],T_SelfStock_Log[Part Name],$A25,T_SelfStock_Log[WeekIndex],32))</f>
        <v/>
      </c>
      <c r="AH25" s="19">
        <f>IF(COUNTIFS(T_SelfStock_Log[Part Name],$A25,T_SelfStock_Log[WeekIndex],33)=0,"",SUMIFS(T_SelfStock_Log[Self_Qty],T_SelfStock_Log[Part Name],$A25,T_SelfStock_Log[WeekIndex],33))</f>
        <v/>
      </c>
      <c r="AI25" s="19">
        <f>IF(COUNTIFS(T_SelfStock_Log[Part Name],$A25,T_SelfStock_Log[WeekIndex],34)=0,"",SUMIFS(T_SelfStock_Log[Self_Qty],T_SelfStock_Log[Part Name],$A25,T_SelfStock_Log[WeekIndex],34))</f>
        <v/>
      </c>
      <c r="AJ25" s="19">
        <f>IF(COUNTIFS(T_SelfStock_Log[Part Name],$A25,T_SelfStock_Log[WeekIndex],35)=0,"",SUMIFS(T_SelfStock_Log[Self_Qty],T_SelfStock_Log[Part Name],$A25,T_SelfStock_Log[WeekIndex],35))</f>
        <v/>
      </c>
      <c r="AK25" s="19">
        <f>IF(COUNTIFS(T_SelfStock_Log[Part Name],$A25,T_SelfStock_Log[WeekIndex],36)=0,"",SUMIFS(T_SelfStock_Log[Self_Qty],T_SelfStock_Log[Part Name],$A25,T_SelfStock_Log[WeekIndex],36))</f>
        <v/>
      </c>
      <c r="AL25" s="19">
        <f>IF(COUNTIFS(T_SelfStock_Log[Part Name],$A25,T_SelfStock_Log[WeekIndex],37)=0,"",SUMIFS(T_SelfStock_Log[Self_Qty],T_SelfStock_Log[Part Name],$A25,T_SelfStock_Log[WeekIndex],37))</f>
        <v/>
      </c>
      <c r="AM25" s="19">
        <f>IF(COUNTIFS(T_SelfStock_Log[Part Name],$A25,T_SelfStock_Log[WeekIndex],38)=0,"",SUMIFS(T_SelfStock_Log[Self_Qty],T_SelfStock_Log[Part Name],$A25,T_SelfStock_Log[WeekIndex],38))</f>
        <v/>
      </c>
      <c r="AN25" s="19">
        <f>IF(COUNTIFS(T_SelfStock_Log[Part Name],$A25,T_SelfStock_Log[WeekIndex],39)=0,"",SUMIFS(T_SelfStock_Log[Self_Qty],T_SelfStock_Log[Part Name],$A25,T_SelfStock_Log[WeekIndex],39))</f>
        <v/>
      </c>
      <c r="AO25" s="19">
        <f>IF(COUNTIFS(T_SelfStock_Log[Part Name],$A25,T_SelfStock_Log[WeekIndex],40)=0,"",SUMIFS(T_SelfStock_Log[Self_Qty],T_SelfStock_Log[Part Name],$A25,T_SelfStock_Log[WeekIndex],40))</f>
        <v/>
      </c>
      <c r="AP25" s="19">
        <f>IF(COUNTIFS(T_SelfStock_Log[Part Name],$A25,T_SelfStock_Log[WeekIndex],41)=0,"",SUMIFS(T_SelfStock_Log[Self_Qty],T_SelfStock_Log[Part Name],$A25,T_SelfStock_Log[WeekIndex],41))</f>
        <v/>
      </c>
      <c r="AQ25" s="19">
        <f>IF(COUNTIFS(T_SelfStock_Log[Part Name],$A25,T_SelfStock_Log[WeekIndex],42)=0,"",SUMIFS(T_SelfStock_Log[Self_Qty],T_SelfStock_Log[Part Name],$A25,T_SelfStock_Log[WeekIndex],42))</f>
        <v/>
      </c>
      <c r="AR25" s="19">
        <f>IF(COUNTIFS(T_SelfStock_Log[Part Name],$A25,T_SelfStock_Log[WeekIndex],43)=0,"",SUMIFS(T_SelfStock_Log[Self_Qty],T_SelfStock_Log[Part Name],$A25,T_SelfStock_Log[WeekIndex],43))</f>
        <v/>
      </c>
      <c r="AS25" s="19">
        <f>IF(COUNTIFS(T_SelfStock_Log[Part Name],$A25,T_SelfStock_Log[WeekIndex],44)=0,"",SUMIFS(T_SelfStock_Log[Self_Qty],T_SelfStock_Log[Part Name],$A25,T_SelfStock_Log[WeekIndex],44))</f>
        <v/>
      </c>
      <c r="AT25" s="19">
        <f>IF(COUNTIFS(T_SelfStock_Log[Part Name],$A25,T_SelfStock_Log[WeekIndex],45)=0,"",SUMIFS(T_SelfStock_Log[Self_Qty],T_SelfStock_Log[Part Name],$A25,T_SelfStock_Log[WeekIndex],45))</f>
        <v/>
      </c>
      <c r="AU25" s="19">
        <f>IF(COUNTIFS(T_SelfStock_Log[Part Name],$A25,T_SelfStock_Log[WeekIndex],46)=0,"",SUMIFS(T_SelfStock_Log[Self_Qty],T_SelfStock_Log[Part Name],$A25,T_SelfStock_Log[WeekIndex],46))</f>
        <v/>
      </c>
      <c r="AV25" s="19">
        <f>IF(COUNTIFS(T_SelfStock_Log[Part Name],$A25,T_SelfStock_Log[WeekIndex],47)=0,"",SUMIFS(T_SelfStock_Log[Self_Qty],T_SelfStock_Log[Part Name],$A25,T_SelfStock_Log[WeekIndex],47))</f>
        <v/>
      </c>
      <c r="AW25" s="19">
        <f>IF(COUNTIFS(T_SelfStock_Log[Part Name],$A25,T_SelfStock_Log[WeekIndex],48)=0,"",SUMIFS(T_SelfStock_Log[Self_Qty],T_SelfStock_Log[Part Name],$A25,T_SelfStock_Log[WeekIndex],48))</f>
        <v/>
      </c>
      <c r="AX25" s="19">
        <f>IF(COUNTIFS(T_SelfStock_Log[Part Name],$A25,T_SelfStock_Log[WeekIndex],49)=0,"",SUMIFS(T_SelfStock_Log[Self_Qty],T_SelfStock_Log[Part Name],$A25,T_SelfStock_Log[WeekIndex],49))</f>
        <v/>
      </c>
      <c r="AY25" s="19">
        <f>IF(COUNTIFS(T_SelfStock_Log[Part Name],$A25,T_SelfStock_Log[WeekIndex],50)=0,"",SUMIFS(T_SelfStock_Log[Self_Qty],T_SelfStock_Log[Part Name],$A25,T_SelfStock_Log[WeekIndex],50))</f>
        <v/>
      </c>
      <c r="AZ25" s="19">
        <f>IF(COUNTIFS(T_SelfStock_Log[Part Name],$A25,T_SelfStock_Log[WeekIndex],51)=0,"",SUMIFS(T_SelfStock_Log[Self_Qty],T_SelfStock_Log[Part Name],$A25,T_SelfStock_Log[WeekIndex],51))</f>
        <v/>
      </c>
      <c r="BA25" s="19">
        <f>IF(COUNTIFS(T_SelfStock_Log[Part Name],$A25,T_SelfStock_Log[WeekIndex],52)=0,"",SUMIFS(T_SelfStock_Log[Self_Qty],T_SelfStock_Log[Part Name],$A25,T_SelfStock_Log[WeekIndex],52))</f>
        <v/>
      </c>
      <c r="BB25" s="19">
        <f>IF(COUNTIFS(T_SelfStock_Log[Part Name],$A25,T_SelfStock_Log[WeekIndex],53)=0,"",SUMIFS(T_SelfStock_Log[Self_Qty],T_SelfStock_Log[Part Name],$A25,T_SelfStock_Log[WeekIndex],53))</f>
        <v/>
      </c>
      <c r="BC25" s="19">
        <f>IF(COUNTIFS(T_SelfStock_Log[Part Name],$A25,T_SelfStock_Log[WeekIndex],54)=0,"",SUMIFS(T_SelfStock_Log[Self_Qty],T_SelfStock_Log[Part Name],$A25,T_SelfStock_Log[WeekIndex],54))</f>
        <v/>
      </c>
      <c r="BD25" s="19">
        <f>IF(COUNTIFS(T_SelfStock_Log[Part Name],$A25,T_SelfStock_Log[WeekIndex],55)=0,"",SUMIFS(T_SelfStock_Log[Self_Qty],T_SelfStock_Log[Part Name],$A25,T_SelfStock_Log[WeekIndex],55))</f>
        <v/>
      </c>
      <c r="BE25" s="19">
        <f>IF(COUNTIFS(T_SelfStock_Log[Part Name],$A25,T_SelfStock_Log[WeekIndex],56)=0,"",SUMIFS(T_SelfStock_Log[Self_Qty],T_SelfStock_Log[Part Name],$A25,T_SelfStock_Log[WeekIndex],56))</f>
        <v/>
      </c>
      <c r="BF25" s="19">
        <f>IF(COUNTIFS(T_SelfStock_Log[Part Name],$A25,T_SelfStock_Log[WeekIndex],57)=0,"",SUMIFS(T_SelfStock_Log[Self_Qty],T_SelfStock_Log[Part Name],$A25,T_SelfStock_Log[WeekIndex],57))</f>
        <v/>
      </c>
      <c r="BG25" s="19">
        <f>IF(COUNTIFS(T_SelfStock_Log[Part Name],$A25,T_SelfStock_Log[WeekIndex],58)=0,"",SUMIFS(T_SelfStock_Log[Self_Qty],T_SelfStock_Log[Part Name],$A25,T_SelfStock_Log[WeekIndex],58))</f>
        <v/>
      </c>
      <c r="BH25" s="19">
        <f>IF(COUNTIFS(T_SelfStock_Log[Part Name],$A25,T_SelfStock_Log[WeekIndex],59)=0,"",SUMIFS(T_SelfStock_Log[Self_Qty],T_SelfStock_Log[Part Name],$A25,T_SelfStock_Log[WeekIndex],59))</f>
        <v/>
      </c>
      <c r="BI25" s="19">
        <f>IF(COUNTIFS(T_SelfStock_Log[Part Name],$A25,T_SelfStock_Log[WeekIndex],60)=0,"",SUMIFS(T_SelfStock_Log[Self_Qty],T_SelfStock_Log[Part Name],$A25,T_SelfStock_Log[WeekIndex],60))</f>
        <v/>
      </c>
      <c r="BJ25" s="19">
        <f>IF(COUNTIFS(T_SelfStock_Log[Part Name],$A25,T_SelfStock_Log[WeekIndex],61)=0,"",SUMIFS(T_SelfStock_Log[Self_Qty],T_SelfStock_Log[Part Name],$A25,T_SelfStock_Log[WeekIndex],61))</f>
        <v/>
      </c>
      <c r="BK25" s="19">
        <f>IF(COUNTIFS(T_SelfStock_Log[Part Name],$A25,T_SelfStock_Log[WeekIndex],62)=0,"",SUMIFS(T_SelfStock_Log[Self_Qty],T_SelfStock_Log[Part Name],$A25,T_SelfStock_Log[WeekIndex],62))</f>
        <v/>
      </c>
      <c r="BL25" s="19">
        <f>IF(COUNTIFS(T_SelfStock_Log[Part Name],$A25,T_SelfStock_Log[WeekIndex],63)=0,"",SUMIFS(T_SelfStock_Log[Self_Qty],T_SelfStock_Log[Part Name],$A25,T_SelfStock_Log[WeekIndex],63))</f>
        <v/>
      </c>
      <c r="BM25" s="19">
        <f>IF(COUNTIFS(T_SelfStock_Log[Part Name],$A25,T_SelfStock_Log[WeekIndex],64)=0,"",SUMIFS(T_SelfStock_Log[Self_Qty],T_SelfStock_Log[Part Name],$A25,T_SelfStock_Log[WeekIndex],64))</f>
        <v/>
      </c>
      <c r="BN25" s="19">
        <f>IF(COUNTIFS(T_SelfStock_Log[Part Name],$A25,T_SelfStock_Log[WeekIndex],65)=0,"",SUMIFS(T_SelfStock_Log[Self_Qty],T_SelfStock_Log[Part Name],$A25,T_SelfStock_Log[WeekIndex],65))</f>
        <v/>
      </c>
      <c r="BO25" s="19">
        <f>IF(COUNTIFS(T_SelfStock_Log[Part Name],$A25,T_SelfStock_Log[WeekIndex],66)=0,"",SUMIFS(T_SelfStock_Log[Self_Qty],T_SelfStock_Log[Part Name],$A25,T_SelfStock_Log[WeekIndex],66))</f>
        <v/>
      </c>
      <c r="BP25" s="19">
        <f>IF(COUNTIFS(T_SelfStock_Log[Part Name],$A25,T_SelfStock_Log[WeekIndex],67)=0,"",SUMIFS(T_SelfStock_Log[Self_Qty],T_SelfStock_Log[Part Name],$A25,T_SelfStock_Log[WeekIndex],67))</f>
        <v/>
      </c>
      <c r="BQ25" s="19">
        <f>IF(COUNTIFS(T_SelfStock_Log[Part Name],$A25,T_SelfStock_Log[WeekIndex],68)=0,"",SUMIFS(T_SelfStock_Log[Self_Qty],T_SelfStock_Log[Part Name],$A25,T_SelfStock_Log[WeekIndex],68))</f>
        <v/>
      </c>
      <c r="BR25" s="19">
        <f>IF(COUNTIFS(T_SelfStock_Log[Part Name],$A25,T_SelfStock_Log[WeekIndex],69)=0,"",SUMIFS(T_SelfStock_Log[Self_Qty],T_SelfStock_Log[Part Name],$A25,T_SelfStock_Log[WeekIndex],69))</f>
        <v/>
      </c>
      <c r="BS25" s="19">
        <f>IF(COUNTIFS(T_SelfStock_Log[Part Name],$A25,T_SelfStock_Log[WeekIndex],70)=0,"",SUMIFS(T_SelfStock_Log[Self_Qty],T_SelfStock_Log[Part Name],$A25,T_SelfStock_Log[WeekIndex],70))</f>
        <v/>
      </c>
      <c r="BT25" s="19">
        <f>IF(COUNTIFS(T_SelfStock_Log[Part Name],$A25,T_SelfStock_Log[WeekIndex],71)=0,"",SUMIFS(T_SelfStock_Log[Self_Qty],T_SelfStock_Log[Part Name],$A25,T_SelfStock_Log[WeekIndex],71))</f>
        <v/>
      </c>
      <c r="BU25" s="19">
        <f>IF(COUNTIFS(T_SelfStock_Log[Part Name],$A25,T_SelfStock_Log[WeekIndex],72)=0,"",SUMIFS(T_SelfStock_Log[Self_Qty],T_SelfStock_Log[Part Name],$A25,T_SelfStock_Log[WeekIndex],72))</f>
        <v/>
      </c>
      <c r="BV25" s="19">
        <f>IF(COUNTIFS(T_SelfStock_Log[Part Name],$A25,T_SelfStock_Log[WeekIndex],73)=0,"",SUMIFS(T_SelfStock_Log[Self_Qty],T_SelfStock_Log[Part Name],$A25,T_SelfStock_Log[WeekIndex],73))</f>
        <v/>
      </c>
      <c r="BW25" s="19">
        <f>IF(COUNTIFS(T_SelfStock_Log[Part Name],$A25,T_SelfStock_Log[WeekIndex],74)=0,"",SUMIFS(T_SelfStock_Log[Self_Qty],T_SelfStock_Log[Part Name],$A25,T_SelfStock_Log[WeekIndex],74))</f>
        <v/>
      </c>
      <c r="BX25" s="19">
        <f>IF(COUNTIFS(T_SelfStock_Log[Part Name],$A25,T_SelfStock_Log[WeekIndex],75)=0,"",SUMIFS(T_SelfStock_Log[Self_Qty],T_SelfStock_Log[Part Name],$A25,T_SelfStock_Log[WeekIndex],75))</f>
        <v/>
      </c>
      <c r="BY25" s="19">
        <f>IF(COUNTIFS(T_SelfStock_Log[Part Name],$A25,T_SelfStock_Log[WeekIndex],76)=0,"",SUMIFS(T_SelfStock_Log[Self_Qty],T_SelfStock_Log[Part Name],$A25,T_SelfStock_Log[WeekIndex],76))</f>
        <v/>
      </c>
      <c r="BZ25" s="19">
        <f>IF(COUNTIFS(T_SelfStock_Log[Part Name],$A25,T_SelfStock_Log[WeekIndex],77)=0,"",SUMIFS(T_SelfStock_Log[Self_Qty],T_SelfStock_Log[Part Name],$A25,T_SelfStock_Log[WeekIndex],77))</f>
        <v/>
      </c>
      <c r="CA25" s="19">
        <f>IF(COUNTIFS(T_SelfStock_Log[Part Name],$A25,T_SelfStock_Log[WeekIndex],78)=0,"",SUMIFS(T_SelfStock_Log[Self_Qty],T_SelfStock_Log[Part Name],$A25,T_SelfStock_Log[WeekIndex],78))</f>
        <v/>
      </c>
      <c r="CB25" s="19">
        <f>IF(COUNTIFS(T_SelfStock_Log[Part Name],$A25,T_SelfStock_Log[WeekIndex],79)=0,"",SUMIFS(T_SelfStock_Log[Self_Qty],T_SelfStock_Log[Part Name],$A25,T_SelfStock_Log[WeekIndex],79))</f>
        <v/>
      </c>
      <c r="CC25" s="19">
        <f>IF(COUNTIFS(T_SelfStock_Log[Part Name],$A25,T_SelfStock_Log[WeekIndex],80)=0,"",SUMIFS(T_SelfStock_Log[Self_Qty],T_SelfStock_Log[Part Name],$A25,T_SelfStock_Log[WeekIndex],80))</f>
        <v/>
      </c>
      <c r="CD25" s="19">
        <f>IF(COUNTIFS(T_SelfStock_Log[Part Name],$A25,T_SelfStock_Log[WeekIndex],81)=0,"",SUMIFS(T_SelfStock_Log[Self_Qty],T_SelfStock_Log[Part Name],$A25,T_SelfStock_Log[WeekIndex],81))</f>
        <v/>
      </c>
      <c r="CE25" s="19">
        <f>IF(COUNTIFS(T_SelfStock_Log[Part Name],$A25,T_SelfStock_Log[WeekIndex],82)=0,"",SUMIFS(T_SelfStock_Log[Self_Qty],T_SelfStock_Log[Part Name],$A25,T_SelfStock_Log[WeekIndex],82))</f>
        <v/>
      </c>
      <c r="CF25" s="19">
        <f>IF(COUNTIFS(T_SelfStock_Log[Part Name],$A25,T_SelfStock_Log[WeekIndex],83)=0,"",SUMIFS(T_SelfStock_Log[Self_Qty],T_SelfStock_Log[Part Name],$A25,T_SelfStock_Log[WeekIndex],83))</f>
        <v/>
      </c>
      <c r="CG25" s="19">
        <f>IF(COUNTIFS(T_SelfStock_Log[Part Name],$A25,T_SelfStock_Log[WeekIndex],84)=0,"",SUMIFS(T_SelfStock_Log[Self_Qty],T_SelfStock_Log[Part Name],$A25,T_SelfStock_Log[WeekIndex],84))</f>
        <v/>
      </c>
      <c r="CH25" s="19">
        <f>IF(COUNTIFS(T_SelfStock_Log[Part Name],$A25,T_SelfStock_Log[WeekIndex],85)=0,"",SUMIFS(T_SelfStock_Log[Self_Qty],T_SelfStock_Log[Part Name],$A25,T_SelfStock_Log[WeekIndex],85))</f>
        <v/>
      </c>
      <c r="CI25" s="19">
        <f>IF(COUNTIFS(T_SelfStock_Log[Part Name],$A25,T_SelfStock_Log[WeekIndex],86)=0,"",SUMIFS(T_SelfStock_Log[Self_Qty],T_SelfStock_Log[Part Name],$A25,T_SelfStock_Log[WeekIndex],86))</f>
        <v/>
      </c>
      <c r="CJ25" s="19">
        <f>IF(COUNTIFS(T_SelfStock_Log[Part Name],$A25,T_SelfStock_Log[WeekIndex],87)=0,"",SUMIFS(T_SelfStock_Log[Self_Qty],T_SelfStock_Log[Part Name],$A25,T_SelfStock_Log[WeekIndex],87))</f>
        <v/>
      </c>
      <c r="CK25" s="19">
        <f>IF(COUNTIFS(T_SelfStock_Log[Part Name],$A25,T_SelfStock_Log[WeekIndex],88)=0,"",SUMIFS(T_SelfStock_Log[Self_Qty],T_SelfStock_Log[Part Name],$A25,T_SelfStock_Log[WeekIndex],88))</f>
        <v/>
      </c>
      <c r="CL25" s="19">
        <f>IF(COUNTIFS(T_SelfStock_Log[Part Name],$A25,T_SelfStock_Log[WeekIndex],89)=0,"",SUMIFS(T_SelfStock_Log[Self_Qty],T_SelfStock_Log[Part Name],$A25,T_SelfStock_Log[WeekIndex],89))</f>
        <v/>
      </c>
      <c r="CM25" s="19">
        <f>IF(COUNTIFS(T_SelfStock_Log[Part Name],$A25,T_SelfStock_Log[WeekIndex],90)=0,"",SUMIFS(T_SelfStock_Log[Self_Qty],T_SelfStock_Log[Part Name],$A25,T_SelfStock_Log[WeekIndex],90))</f>
        <v/>
      </c>
      <c r="CN25" s="19">
        <f>IF(COUNTIFS(T_SelfStock_Log[Part Name],$A25,T_SelfStock_Log[WeekIndex],91)=0,"",SUMIFS(T_SelfStock_Log[Self_Qty],T_SelfStock_Log[Part Name],$A25,T_SelfStock_Log[WeekIndex],91))</f>
        <v/>
      </c>
      <c r="CO25" s="19">
        <f>IF(COUNTIFS(T_SelfStock_Log[Part Name],$A25,T_SelfStock_Log[WeekIndex],92)=0,"",SUMIFS(T_SelfStock_Log[Self_Qty],T_SelfStock_Log[Part Name],$A25,T_SelfStock_Log[WeekIndex],92))</f>
        <v/>
      </c>
      <c r="CP25" s="19">
        <f>IF(COUNTIFS(T_SelfStock_Log[Part Name],$A25,T_SelfStock_Log[WeekIndex],93)=0,"",SUMIFS(T_SelfStock_Log[Self_Qty],T_SelfStock_Log[Part Name],$A25,T_SelfStock_Log[WeekIndex],93))</f>
        <v/>
      </c>
      <c r="CQ25" s="19">
        <f>IF(COUNTIFS(T_SelfStock_Log[Part Name],$A25,T_SelfStock_Log[WeekIndex],94)=0,"",SUMIFS(T_SelfStock_Log[Self_Qty],T_SelfStock_Log[Part Name],$A25,T_SelfStock_Log[WeekIndex],94))</f>
        <v/>
      </c>
      <c r="CR25" s="19">
        <f>IF(COUNTIFS(T_SelfStock_Log[Part Name],$A25,T_SelfStock_Log[WeekIndex],95)=0,"",SUMIFS(T_SelfStock_Log[Self_Qty],T_SelfStock_Log[Part Name],$A25,T_SelfStock_Log[WeekIndex],95))</f>
        <v/>
      </c>
      <c r="CS25" s="19">
        <f>IF(COUNTIFS(T_SelfStock_Log[Part Name],$A25,T_SelfStock_Log[WeekIndex],96)=0,"",SUMIFS(T_SelfStock_Log[Self_Qty],T_SelfStock_Log[Part Name],$A25,T_SelfStock_Log[WeekIndex],96))</f>
        <v/>
      </c>
      <c r="CT25" s="19">
        <f>IF(COUNTIFS(T_SelfStock_Log[Part Name],$A25,T_SelfStock_Log[WeekIndex],97)=0,"",SUMIFS(T_SelfStock_Log[Self_Qty],T_SelfStock_Log[Part Name],$A25,T_SelfStock_Log[WeekIndex],97))</f>
        <v/>
      </c>
      <c r="CU25" s="19">
        <f>IF(COUNTIFS(T_SelfStock_Log[Part Name],$A25,T_SelfStock_Log[WeekIndex],98)=0,"",SUMIFS(T_SelfStock_Log[Self_Qty],T_SelfStock_Log[Part Name],$A25,T_SelfStock_Log[WeekIndex],98))</f>
        <v/>
      </c>
      <c r="CV25" s="19">
        <f>IF(COUNTIFS(T_SelfStock_Log[Part Name],$A25,T_SelfStock_Log[WeekIndex],99)=0,"",SUMIFS(T_SelfStock_Log[Self_Qty],T_SelfStock_Log[Part Name],$A25,T_SelfStock_Log[WeekIndex],99))</f>
        <v/>
      </c>
      <c r="CW25" s="19">
        <f>IF(COUNTIFS(T_SelfStock_Log[Part Name],$A25,T_SelfStock_Log[WeekIndex],100)=0,"",SUMIFS(T_SelfStock_Log[Self_Qty],T_SelfStock_Log[Part Name],$A25,T_SelfStock_Log[WeekIndex],100))</f>
        <v/>
      </c>
      <c r="CX25" s="19">
        <f>IF(COUNTIFS(T_SelfStock_Log[Part Name],$A25,T_SelfStock_Log[WeekIndex],101)=0,"",SUMIFS(T_SelfStock_Log[Self_Qty],T_SelfStock_Log[Part Name],$A25,T_SelfStock_Log[WeekIndex],101))</f>
        <v/>
      </c>
      <c r="CY25" s="19">
        <f>IF(COUNTIFS(T_SelfStock_Log[Part Name],$A25,T_SelfStock_Log[WeekIndex],102)=0,"",SUMIFS(T_SelfStock_Log[Self_Qty],T_SelfStock_Log[Part Name],$A25,T_SelfStock_Log[WeekIndex],102))</f>
        <v/>
      </c>
      <c r="CZ25" s="19">
        <f>IF(COUNTIFS(T_SelfStock_Log[Part Name],$A25,T_SelfStock_Log[WeekIndex],103)=0,"",SUMIFS(T_SelfStock_Log[Self_Qty],T_SelfStock_Log[Part Name],$A25,T_SelfStock_Log[WeekIndex],103))</f>
        <v/>
      </c>
      <c r="DA25" s="19">
        <f>IF(COUNTIFS(T_SelfStock_Log[Part Name],$A25,T_SelfStock_Log[WeekIndex],104)=0,"",SUMIFS(T_SelfStock_Log[Self_Qty],T_SelfStock_Log[Part Name],$A25,T_SelfStock_Log[WeekIndex],104))</f>
        <v/>
      </c>
    </row>
    <row r="26">
      <c r="A26" s="17" t="inlineStr">
        <is>
          <t>CHEM-1670</t>
        </is>
      </c>
      <c r="B26" s="17">
        <f>IF(COUNTIFS(T_SelfStock_Log[Part Name],$A26,T_SelfStock_Log[WeekIndex],1)=0,"",SUMIFS(T_SelfStock_Log[Self_Qty],T_SelfStock_Log[Part Name],$A26,T_SelfStock_Log[WeekIndex],1))</f>
        <v/>
      </c>
      <c r="C26" s="17">
        <f>IF(COUNTIFS(T_SelfStock_Log[Part Name],$A26,T_SelfStock_Log[WeekIndex],2)=0,"",SUMIFS(T_SelfStock_Log[Self_Qty],T_SelfStock_Log[Part Name],$A26,T_SelfStock_Log[WeekIndex],2))</f>
        <v/>
      </c>
      <c r="D26" s="17">
        <f>IF(COUNTIFS(T_SelfStock_Log[Part Name],$A26,T_SelfStock_Log[WeekIndex],3)=0,"",SUMIFS(T_SelfStock_Log[Self_Qty],T_SelfStock_Log[Part Name],$A26,T_SelfStock_Log[WeekIndex],3))</f>
        <v/>
      </c>
      <c r="E26" s="17">
        <f>IF(COUNTIFS(T_SelfStock_Log[Part Name],$A26,T_SelfStock_Log[WeekIndex],4)=0,"",SUMIFS(T_SelfStock_Log[Self_Qty],T_SelfStock_Log[Part Name],$A26,T_SelfStock_Log[WeekIndex],4))</f>
        <v/>
      </c>
      <c r="F26" s="17">
        <f>IF(COUNTIFS(T_SelfStock_Log[Part Name],$A26,T_SelfStock_Log[WeekIndex],5)=0,"",SUMIFS(T_SelfStock_Log[Self_Qty],T_SelfStock_Log[Part Name],$A26,T_SelfStock_Log[WeekIndex],5))</f>
        <v/>
      </c>
      <c r="G26" s="17">
        <f>IF(COUNTIFS(T_SelfStock_Log[Part Name],$A26,T_SelfStock_Log[WeekIndex],6)=0,"",SUMIFS(T_SelfStock_Log[Self_Qty],T_SelfStock_Log[Part Name],$A26,T_SelfStock_Log[WeekIndex],6))</f>
        <v/>
      </c>
      <c r="H26" s="17">
        <f>IF(COUNTIFS(T_SelfStock_Log[Part Name],$A26,T_SelfStock_Log[WeekIndex],7)=0,"",SUMIFS(T_SelfStock_Log[Self_Qty],T_SelfStock_Log[Part Name],$A26,T_SelfStock_Log[WeekIndex],7))</f>
        <v/>
      </c>
      <c r="I26" s="17">
        <f>IF(COUNTIFS(T_SelfStock_Log[Part Name],$A26,T_SelfStock_Log[WeekIndex],8)=0,"",SUMIFS(T_SelfStock_Log[Self_Qty],T_SelfStock_Log[Part Name],$A26,T_SelfStock_Log[WeekIndex],8))</f>
        <v/>
      </c>
      <c r="J26" s="17">
        <f>IF(COUNTIFS(T_SelfStock_Log[Part Name],$A26,T_SelfStock_Log[WeekIndex],9)=0,"",SUMIFS(T_SelfStock_Log[Self_Qty],T_SelfStock_Log[Part Name],$A26,T_SelfStock_Log[WeekIndex],9))</f>
        <v/>
      </c>
      <c r="K26" s="17">
        <f>IF(COUNTIFS(T_SelfStock_Log[Part Name],$A26,T_SelfStock_Log[WeekIndex],10)=0,"",SUMIFS(T_SelfStock_Log[Self_Qty],T_SelfStock_Log[Part Name],$A26,T_SelfStock_Log[WeekIndex],10))</f>
        <v/>
      </c>
      <c r="L26" s="17">
        <f>IF(COUNTIFS(T_SelfStock_Log[Part Name],$A26,T_SelfStock_Log[WeekIndex],11)=0,"",SUMIFS(T_SelfStock_Log[Self_Qty],T_SelfStock_Log[Part Name],$A26,T_SelfStock_Log[WeekIndex],11))</f>
        <v/>
      </c>
      <c r="M26" s="17">
        <f>IF(COUNTIFS(T_SelfStock_Log[Part Name],$A26,T_SelfStock_Log[WeekIndex],12)=0,"",SUMIFS(T_SelfStock_Log[Self_Qty],T_SelfStock_Log[Part Name],$A26,T_SelfStock_Log[WeekIndex],12))</f>
        <v/>
      </c>
      <c r="N26" s="17">
        <f>IF(COUNTIFS(T_SelfStock_Log[Part Name],$A26,T_SelfStock_Log[WeekIndex],13)=0,"",SUMIFS(T_SelfStock_Log[Self_Qty],T_SelfStock_Log[Part Name],$A26,T_SelfStock_Log[WeekIndex],13))</f>
        <v/>
      </c>
      <c r="O26" s="17">
        <f>IF(COUNTIFS(T_SelfStock_Log[Part Name],$A26,T_SelfStock_Log[WeekIndex],14)=0,"",SUMIFS(T_SelfStock_Log[Self_Qty],T_SelfStock_Log[Part Name],$A26,T_SelfStock_Log[WeekIndex],14))</f>
        <v/>
      </c>
      <c r="P26" s="17">
        <f>IF(COUNTIFS(T_SelfStock_Log[Part Name],$A26,T_SelfStock_Log[WeekIndex],15)=0,"",SUMIFS(T_SelfStock_Log[Self_Qty],T_SelfStock_Log[Part Name],$A26,T_SelfStock_Log[WeekIndex],15))</f>
        <v/>
      </c>
      <c r="Q26" s="17">
        <f>IF(COUNTIFS(T_SelfStock_Log[Part Name],$A26,T_SelfStock_Log[WeekIndex],16)=0,"",SUMIFS(T_SelfStock_Log[Self_Qty],T_SelfStock_Log[Part Name],$A26,T_SelfStock_Log[WeekIndex],16))</f>
        <v/>
      </c>
      <c r="R26" s="17">
        <f>IF(COUNTIFS(T_SelfStock_Log[Part Name],$A26,T_SelfStock_Log[WeekIndex],17)=0,"",SUMIFS(T_SelfStock_Log[Self_Qty],T_SelfStock_Log[Part Name],$A26,T_SelfStock_Log[WeekIndex],17))</f>
        <v/>
      </c>
      <c r="S26" s="17">
        <f>IF(COUNTIFS(T_SelfStock_Log[Part Name],$A26,T_SelfStock_Log[WeekIndex],18)=0,"",SUMIFS(T_SelfStock_Log[Self_Qty],T_SelfStock_Log[Part Name],$A26,T_SelfStock_Log[WeekIndex],18))</f>
        <v/>
      </c>
      <c r="T26" s="17">
        <f>IF(COUNTIFS(T_SelfStock_Log[Part Name],$A26,T_SelfStock_Log[WeekIndex],19)=0,"",SUMIFS(T_SelfStock_Log[Self_Qty],T_SelfStock_Log[Part Name],$A26,T_SelfStock_Log[WeekIndex],19))</f>
        <v/>
      </c>
      <c r="U26" s="17">
        <f>IF(COUNTIFS(T_SelfStock_Log[Part Name],$A26,T_SelfStock_Log[WeekIndex],20)=0,"",SUMIFS(T_SelfStock_Log[Self_Qty],T_SelfStock_Log[Part Name],$A26,T_SelfStock_Log[WeekIndex],20))</f>
        <v/>
      </c>
      <c r="V26" s="17">
        <f>IF(COUNTIFS(T_SelfStock_Log[Part Name],$A26,T_SelfStock_Log[WeekIndex],21)=0,"",SUMIFS(T_SelfStock_Log[Self_Qty],T_SelfStock_Log[Part Name],$A26,T_SelfStock_Log[WeekIndex],21))</f>
        <v/>
      </c>
      <c r="W26" s="17">
        <f>IF(COUNTIFS(T_SelfStock_Log[Part Name],$A26,T_SelfStock_Log[WeekIndex],22)=0,"",SUMIFS(T_SelfStock_Log[Self_Qty],T_SelfStock_Log[Part Name],$A26,T_SelfStock_Log[WeekIndex],22))</f>
        <v/>
      </c>
      <c r="X26" s="17">
        <f>IF(COUNTIFS(T_SelfStock_Log[Part Name],$A26,T_SelfStock_Log[WeekIndex],23)=0,"",SUMIFS(T_SelfStock_Log[Self_Qty],T_SelfStock_Log[Part Name],$A26,T_SelfStock_Log[WeekIndex],23))</f>
        <v/>
      </c>
      <c r="Y26" s="17">
        <f>IF(COUNTIFS(T_SelfStock_Log[Part Name],$A26,T_SelfStock_Log[WeekIndex],24)=0,"",SUMIFS(T_SelfStock_Log[Self_Qty],T_SelfStock_Log[Part Name],$A26,T_SelfStock_Log[WeekIndex],24))</f>
        <v/>
      </c>
      <c r="Z26" s="17">
        <f>IF(COUNTIFS(T_SelfStock_Log[Part Name],$A26,T_SelfStock_Log[WeekIndex],25)=0,"",SUMIFS(T_SelfStock_Log[Self_Qty],T_SelfStock_Log[Part Name],$A26,T_SelfStock_Log[WeekIndex],25))</f>
        <v/>
      </c>
      <c r="AA26" s="17">
        <f>IF(COUNTIFS(T_SelfStock_Log[Part Name],$A26,T_SelfStock_Log[WeekIndex],26)=0,"",SUMIFS(T_SelfStock_Log[Self_Qty],T_SelfStock_Log[Part Name],$A26,T_SelfStock_Log[WeekIndex],26))</f>
        <v/>
      </c>
      <c r="AB26" s="17">
        <f>IF(COUNTIFS(T_SelfStock_Log[Part Name],$A26,T_SelfStock_Log[WeekIndex],27)=0,"",SUMIFS(T_SelfStock_Log[Self_Qty],T_SelfStock_Log[Part Name],$A26,T_SelfStock_Log[WeekIndex],27))</f>
        <v/>
      </c>
      <c r="AC26" s="17">
        <f>IF(COUNTIFS(T_SelfStock_Log[Part Name],$A26,T_SelfStock_Log[WeekIndex],28)=0,"",SUMIFS(T_SelfStock_Log[Self_Qty],T_SelfStock_Log[Part Name],$A26,T_SelfStock_Log[WeekIndex],28))</f>
        <v/>
      </c>
      <c r="AD26" s="17">
        <f>IF(COUNTIFS(T_SelfStock_Log[Part Name],$A26,T_SelfStock_Log[WeekIndex],29)=0,"",SUMIFS(T_SelfStock_Log[Self_Qty],T_SelfStock_Log[Part Name],$A26,T_SelfStock_Log[WeekIndex],29))</f>
        <v/>
      </c>
      <c r="AE26" s="17">
        <f>IF(COUNTIFS(T_SelfStock_Log[Part Name],$A26,T_SelfStock_Log[WeekIndex],30)=0,"",SUMIFS(T_SelfStock_Log[Self_Qty],T_SelfStock_Log[Part Name],$A26,T_SelfStock_Log[WeekIndex],30))</f>
        <v/>
      </c>
      <c r="AF26" s="17">
        <f>IF(COUNTIFS(T_SelfStock_Log[Part Name],$A26,T_SelfStock_Log[WeekIndex],31)=0,"",SUMIFS(T_SelfStock_Log[Self_Qty],T_SelfStock_Log[Part Name],$A26,T_SelfStock_Log[WeekIndex],31))</f>
        <v/>
      </c>
      <c r="AG26" s="17">
        <f>IF(COUNTIFS(T_SelfStock_Log[Part Name],$A26,T_SelfStock_Log[WeekIndex],32)=0,"",SUMIFS(T_SelfStock_Log[Self_Qty],T_SelfStock_Log[Part Name],$A26,T_SelfStock_Log[WeekIndex],32))</f>
        <v/>
      </c>
      <c r="AH26" s="17">
        <f>IF(COUNTIFS(T_SelfStock_Log[Part Name],$A26,T_SelfStock_Log[WeekIndex],33)=0,"",SUMIFS(T_SelfStock_Log[Self_Qty],T_SelfStock_Log[Part Name],$A26,T_SelfStock_Log[WeekIndex],33))</f>
        <v/>
      </c>
      <c r="AI26" s="17">
        <f>IF(COUNTIFS(T_SelfStock_Log[Part Name],$A26,T_SelfStock_Log[WeekIndex],34)=0,"",SUMIFS(T_SelfStock_Log[Self_Qty],T_SelfStock_Log[Part Name],$A26,T_SelfStock_Log[WeekIndex],34))</f>
        <v/>
      </c>
      <c r="AJ26" s="17">
        <f>IF(COUNTIFS(T_SelfStock_Log[Part Name],$A26,T_SelfStock_Log[WeekIndex],35)=0,"",SUMIFS(T_SelfStock_Log[Self_Qty],T_SelfStock_Log[Part Name],$A26,T_SelfStock_Log[WeekIndex],35))</f>
        <v/>
      </c>
      <c r="AK26" s="17">
        <f>IF(COUNTIFS(T_SelfStock_Log[Part Name],$A26,T_SelfStock_Log[WeekIndex],36)=0,"",SUMIFS(T_SelfStock_Log[Self_Qty],T_SelfStock_Log[Part Name],$A26,T_SelfStock_Log[WeekIndex],36))</f>
        <v/>
      </c>
      <c r="AL26" s="17">
        <f>IF(COUNTIFS(T_SelfStock_Log[Part Name],$A26,T_SelfStock_Log[WeekIndex],37)=0,"",SUMIFS(T_SelfStock_Log[Self_Qty],T_SelfStock_Log[Part Name],$A26,T_SelfStock_Log[WeekIndex],37))</f>
        <v/>
      </c>
      <c r="AM26" s="17">
        <f>IF(COUNTIFS(T_SelfStock_Log[Part Name],$A26,T_SelfStock_Log[WeekIndex],38)=0,"",SUMIFS(T_SelfStock_Log[Self_Qty],T_SelfStock_Log[Part Name],$A26,T_SelfStock_Log[WeekIndex],38))</f>
        <v/>
      </c>
      <c r="AN26" s="17">
        <f>IF(COUNTIFS(T_SelfStock_Log[Part Name],$A26,T_SelfStock_Log[WeekIndex],39)=0,"",SUMIFS(T_SelfStock_Log[Self_Qty],T_SelfStock_Log[Part Name],$A26,T_SelfStock_Log[WeekIndex],39))</f>
        <v/>
      </c>
      <c r="AO26" s="17">
        <f>IF(COUNTIFS(T_SelfStock_Log[Part Name],$A26,T_SelfStock_Log[WeekIndex],40)=0,"",SUMIFS(T_SelfStock_Log[Self_Qty],T_SelfStock_Log[Part Name],$A26,T_SelfStock_Log[WeekIndex],40))</f>
        <v/>
      </c>
      <c r="AP26" s="17">
        <f>IF(COUNTIFS(T_SelfStock_Log[Part Name],$A26,T_SelfStock_Log[WeekIndex],41)=0,"",SUMIFS(T_SelfStock_Log[Self_Qty],T_SelfStock_Log[Part Name],$A26,T_SelfStock_Log[WeekIndex],41))</f>
        <v/>
      </c>
      <c r="AQ26" s="17">
        <f>IF(COUNTIFS(T_SelfStock_Log[Part Name],$A26,T_SelfStock_Log[WeekIndex],42)=0,"",SUMIFS(T_SelfStock_Log[Self_Qty],T_SelfStock_Log[Part Name],$A26,T_SelfStock_Log[WeekIndex],42))</f>
        <v/>
      </c>
      <c r="AR26" s="17">
        <f>IF(COUNTIFS(T_SelfStock_Log[Part Name],$A26,T_SelfStock_Log[WeekIndex],43)=0,"",SUMIFS(T_SelfStock_Log[Self_Qty],T_SelfStock_Log[Part Name],$A26,T_SelfStock_Log[WeekIndex],43))</f>
        <v/>
      </c>
      <c r="AS26" s="17">
        <f>IF(COUNTIFS(T_SelfStock_Log[Part Name],$A26,T_SelfStock_Log[WeekIndex],44)=0,"",SUMIFS(T_SelfStock_Log[Self_Qty],T_SelfStock_Log[Part Name],$A26,T_SelfStock_Log[WeekIndex],44))</f>
        <v/>
      </c>
      <c r="AT26" s="17">
        <f>IF(COUNTIFS(T_SelfStock_Log[Part Name],$A26,T_SelfStock_Log[WeekIndex],45)=0,"",SUMIFS(T_SelfStock_Log[Self_Qty],T_SelfStock_Log[Part Name],$A26,T_SelfStock_Log[WeekIndex],45))</f>
        <v/>
      </c>
      <c r="AU26" s="17">
        <f>IF(COUNTIFS(T_SelfStock_Log[Part Name],$A26,T_SelfStock_Log[WeekIndex],46)=0,"",SUMIFS(T_SelfStock_Log[Self_Qty],T_SelfStock_Log[Part Name],$A26,T_SelfStock_Log[WeekIndex],46))</f>
        <v/>
      </c>
      <c r="AV26" s="17">
        <f>IF(COUNTIFS(T_SelfStock_Log[Part Name],$A26,T_SelfStock_Log[WeekIndex],47)=0,"",SUMIFS(T_SelfStock_Log[Self_Qty],T_SelfStock_Log[Part Name],$A26,T_SelfStock_Log[WeekIndex],47))</f>
        <v/>
      </c>
      <c r="AW26" s="17">
        <f>IF(COUNTIFS(T_SelfStock_Log[Part Name],$A26,T_SelfStock_Log[WeekIndex],48)=0,"",SUMIFS(T_SelfStock_Log[Self_Qty],T_SelfStock_Log[Part Name],$A26,T_SelfStock_Log[WeekIndex],48))</f>
        <v/>
      </c>
      <c r="AX26" s="17">
        <f>IF(COUNTIFS(T_SelfStock_Log[Part Name],$A26,T_SelfStock_Log[WeekIndex],49)=0,"",SUMIFS(T_SelfStock_Log[Self_Qty],T_SelfStock_Log[Part Name],$A26,T_SelfStock_Log[WeekIndex],49))</f>
        <v/>
      </c>
      <c r="AY26" s="17">
        <f>IF(COUNTIFS(T_SelfStock_Log[Part Name],$A26,T_SelfStock_Log[WeekIndex],50)=0,"",SUMIFS(T_SelfStock_Log[Self_Qty],T_SelfStock_Log[Part Name],$A26,T_SelfStock_Log[WeekIndex],50))</f>
        <v/>
      </c>
      <c r="AZ26" s="17">
        <f>IF(COUNTIFS(T_SelfStock_Log[Part Name],$A26,T_SelfStock_Log[WeekIndex],51)=0,"",SUMIFS(T_SelfStock_Log[Self_Qty],T_SelfStock_Log[Part Name],$A26,T_SelfStock_Log[WeekIndex],51))</f>
        <v/>
      </c>
      <c r="BA26" s="17">
        <f>IF(COUNTIFS(T_SelfStock_Log[Part Name],$A26,T_SelfStock_Log[WeekIndex],52)=0,"",SUMIFS(T_SelfStock_Log[Self_Qty],T_SelfStock_Log[Part Name],$A26,T_SelfStock_Log[WeekIndex],52))</f>
        <v/>
      </c>
      <c r="BB26" s="17">
        <f>IF(COUNTIFS(T_SelfStock_Log[Part Name],$A26,T_SelfStock_Log[WeekIndex],53)=0,"",SUMIFS(T_SelfStock_Log[Self_Qty],T_SelfStock_Log[Part Name],$A26,T_SelfStock_Log[WeekIndex],53))</f>
        <v/>
      </c>
      <c r="BC26" s="17">
        <f>IF(COUNTIFS(T_SelfStock_Log[Part Name],$A26,T_SelfStock_Log[WeekIndex],54)=0,"",SUMIFS(T_SelfStock_Log[Self_Qty],T_SelfStock_Log[Part Name],$A26,T_SelfStock_Log[WeekIndex],54))</f>
        <v/>
      </c>
      <c r="BD26" s="17">
        <f>IF(COUNTIFS(T_SelfStock_Log[Part Name],$A26,T_SelfStock_Log[WeekIndex],55)=0,"",SUMIFS(T_SelfStock_Log[Self_Qty],T_SelfStock_Log[Part Name],$A26,T_SelfStock_Log[WeekIndex],55))</f>
        <v/>
      </c>
      <c r="BE26" s="17">
        <f>IF(COUNTIFS(T_SelfStock_Log[Part Name],$A26,T_SelfStock_Log[WeekIndex],56)=0,"",SUMIFS(T_SelfStock_Log[Self_Qty],T_SelfStock_Log[Part Name],$A26,T_SelfStock_Log[WeekIndex],56))</f>
        <v/>
      </c>
      <c r="BF26" s="17">
        <f>IF(COUNTIFS(T_SelfStock_Log[Part Name],$A26,T_SelfStock_Log[WeekIndex],57)=0,"",SUMIFS(T_SelfStock_Log[Self_Qty],T_SelfStock_Log[Part Name],$A26,T_SelfStock_Log[WeekIndex],57))</f>
        <v/>
      </c>
      <c r="BG26" s="17">
        <f>IF(COUNTIFS(T_SelfStock_Log[Part Name],$A26,T_SelfStock_Log[WeekIndex],58)=0,"",SUMIFS(T_SelfStock_Log[Self_Qty],T_SelfStock_Log[Part Name],$A26,T_SelfStock_Log[WeekIndex],58))</f>
        <v/>
      </c>
      <c r="BH26" s="17">
        <f>IF(COUNTIFS(T_SelfStock_Log[Part Name],$A26,T_SelfStock_Log[WeekIndex],59)=0,"",SUMIFS(T_SelfStock_Log[Self_Qty],T_SelfStock_Log[Part Name],$A26,T_SelfStock_Log[WeekIndex],59))</f>
        <v/>
      </c>
      <c r="BI26" s="17">
        <f>IF(COUNTIFS(T_SelfStock_Log[Part Name],$A26,T_SelfStock_Log[WeekIndex],60)=0,"",SUMIFS(T_SelfStock_Log[Self_Qty],T_SelfStock_Log[Part Name],$A26,T_SelfStock_Log[WeekIndex],60))</f>
        <v/>
      </c>
      <c r="BJ26" s="17">
        <f>IF(COUNTIFS(T_SelfStock_Log[Part Name],$A26,T_SelfStock_Log[WeekIndex],61)=0,"",SUMIFS(T_SelfStock_Log[Self_Qty],T_SelfStock_Log[Part Name],$A26,T_SelfStock_Log[WeekIndex],61))</f>
        <v/>
      </c>
      <c r="BK26" s="17">
        <f>IF(COUNTIFS(T_SelfStock_Log[Part Name],$A26,T_SelfStock_Log[WeekIndex],62)=0,"",SUMIFS(T_SelfStock_Log[Self_Qty],T_SelfStock_Log[Part Name],$A26,T_SelfStock_Log[WeekIndex],62))</f>
        <v/>
      </c>
      <c r="BL26" s="17">
        <f>IF(COUNTIFS(T_SelfStock_Log[Part Name],$A26,T_SelfStock_Log[WeekIndex],63)=0,"",SUMIFS(T_SelfStock_Log[Self_Qty],T_SelfStock_Log[Part Name],$A26,T_SelfStock_Log[WeekIndex],63))</f>
        <v/>
      </c>
      <c r="BM26" s="17">
        <f>IF(COUNTIFS(T_SelfStock_Log[Part Name],$A26,T_SelfStock_Log[WeekIndex],64)=0,"",SUMIFS(T_SelfStock_Log[Self_Qty],T_SelfStock_Log[Part Name],$A26,T_SelfStock_Log[WeekIndex],64))</f>
        <v/>
      </c>
      <c r="BN26" s="17">
        <f>IF(COUNTIFS(T_SelfStock_Log[Part Name],$A26,T_SelfStock_Log[WeekIndex],65)=0,"",SUMIFS(T_SelfStock_Log[Self_Qty],T_SelfStock_Log[Part Name],$A26,T_SelfStock_Log[WeekIndex],65))</f>
        <v/>
      </c>
      <c r="BO26" s="17">
        <f>IF(COUNTIFS(T_SelfStock_Log[Part Name],$A26,T_SelfStock_Log[WeekIndex],66)=0,"",SUMIFS(T_SelfStock_Log[Self_Qty],T_SelfStock_Log[Part Name],$A26,T_SelfStock_Log[WeekIndex],66))</f>
        <v/>
      </c>
      <c r="BP26" s="17">
        <f>IF(COUNTIFS(T_SelfStock_Log[Part Name],$A26,T_SelfStock_Log[WeekIndex],67)=0,"",SUMIFS(T_SelfStock_Log[Self_Qty],T_SelfStock_Log[Part Name],$A26,T_SelfStock_Log[WeekIndex],67))</f>
        <v/>
      </c>
      <c r="BQ26" s="17">
        <f>IF(COUNTIFS(T_SelfStock_Log[Part Name],$A26,T_SelfStock_Log[WeekIndex],68)=0,"",SUMIFS(T_SelfStock_Log[Self_Qty],T_SelfStock_Log[Part Name],$A26,T_SelfStock_Log[WeekIndex],68))</f>
        <v/>
      </c>
      <c r="BR26" s="17">
        <f>IF(COUNTIFS(T_SelfStock_Log[Part Name],$A26,T_SelfStock_Log[WeekIndex],69)=0,"",SUMIFS(T_SelfStock_Log[Self_Qty],T_SelfStock_Log[Part Name],$A26,T_SelfStock_Log[WeekIndex],69))</f>
        <v/>
      </c>
      <c r="BS26" s="17">
        <f>IF(COUNTIFS(T_SelfStock_Log[Part Name],$A26,T_SelfStock_Log[WeekIndex],70)=0,"",SUMIFS(T_SelfStock_Log[Self_Qty],T_SelfStock_Log[Part Name],$A26,T_SelfStock_Log[WeekIndex],70))</f>
        <v/>
      </c>
      <c r="BT26" s="17">
        <f>IF(COUNTIFS(T_SelfStock_Log[Part Name],$A26,T_SelfStock_Log[WeekIndex],71)=0,"",SUMIFS(T_SelfStock_Log[Self_Qty],T_SelfStock_Log[Part Name],$A26,T_SelfStock_Log[WeekIndex],71))</f>
        <v/>
      </c>
      <c r="BU26" s="17">
        <f>IF(COUNTIFS(T_SelfStock_Log[Part Name],$A26,T_SelfStock_Log[WeekIndex],72)=0,"",SUMIFS(T_SelfStock_Log[Self_Qty],T_SelfStock_Log[Part Name],$A26,T_SelfStock_Log[WeekIndex],72))</f>
        <v/>
      </c>
      <c r="BV26" s="17">
        <f>IF(COUNTIFS(T_SelfStock_Log[Part Name],$A26,T_SelfStock_Log[WeekIndex],73)=0,"",SUMIFS(T_SelfStock_Log[Self_Qty],T_SelfStock_Log[Part Name],$A26,T_SelfStock_Log[WeekIndex],73))</f>
        <v/>
      </c>
      <c r="BW26" s="17">
        <f>IF(COUNTIFS(T_SelfStock_Log[Part Name],$A26,T_SelfStock_Log[WeekIndex],74)=0,"",SUMIFS(T_SelfStock_Log[Self_Qty],T_SelfStock_Log[Part Name],$A26,T_SelfStock_Log[WeekIndex],74))</f>
        <v/>
      </c>
      <c r="BX26" s="17">
        <f>IF(COUNTIFS(T_SelfStock_Log[Part Name],$A26,T_SelfStock_Log[WeekIndex],75)=0,"",SUMIFS(T_SelfStock_Log[Self_Qty],T_SelfStock_Log[Part Name],$A26,T_SelfStock_Log[WeekIndex],75))</f>
        <v/>
      </c>
      <c r="BY26" s="17">
        <f>IF(COUNTIFS(T_SelfStock_Log[Part Name],$A26,T_SelfStock_Log[WeekIndex],76)=0,"",SUMIFS(T_SelfStock_Log[Self_Qty],T_SelfStock_Log[Part Name],$A26,T_SelfStock_Log[WeekIndex],76))</f>
        <v/>
      </c>
      <c r="BZ26" s="17">
        <f>IF(COUNTIFS(T_SelfStock_Log[Part Name],$A26,T_SelfStock_Log[WeekIndex],77)=0,"",SUMIFS(T_SelfStock_Log[Self_Qty],T_SelfStock_Log[Part Name],$A26,T_SelfStock_Log[WeekIndex],77))</f>
        <v/>
      </c>
      <c r="CA26" s="17">
        <f>IF(COUNTIFS(T_SelfStock_Log[Part Name],$A26,T_SelfStock_Log[WeekIndex],78)=0,"",SUMIFS(T_SelfStock_Log[Self_Qty],T_SelfStock_Log[Part Name],$A26,T_SelfStock_Log[WeekIndex],78))</f>
        <v/>
      </c>
      <c r="CB26" s="17">
        <f>IF(COUNTIFS(T_SelfStock_Log[Part Name],$A26,T_SelfStock_Log[WeekIndex],79)=0,"",SUMIFS(T_SelfStock_Log[Self_Qty],T_SelfStock_Log[Part Name],$A26,T_SelfStock_Log[WeekIndex],79))</f>
        <v/>
      </c>
      <c r="CC26" s="17">
        <f>IF(COUNTIFS(T_SelfStock_Log[Part Name],$A26,T_SelfStock_Log[WeekIndex],80)=0,"",SUMIFS(T_SelfStock_Log[Self_Qty],T_SelfStock_Log[Part Name],$A26,T_SelfStock_Log[WeekIndex],80))</f>
        <v/>
      </c>
      <c r="CD26" s="17">
        <f>IF(COUNTIFS(T_SelfStock_Log[Part Name],$A26,T_SelfStock_Log[WeekIndex],81)=0,"",SUMIFS(T_SelfStock_Log[Self_Qty],T_SelfStock_Log[Part Name],$A26,T_SelfStock_Log[WeekIndex],81))</f>
        <v/>
      </c>
      <c r="CE26" s="17">
        <f>IF(COUNTIFS(T_SelfStock_Log[Part Name],$A26,T_SelfStock_Log[WeekIndex],82)=0,"",SUMIFS(T_SelfStock_Log[Self_Qty],T_SelfStock_Log[Part Name],$A26,T_SelfStock_Log[WeekIndex],82))</f>
        <v/>
      </c>
      <c r="CF26" s="17">
        <f>IF(COUNTIFS(T_SelfStock_Log[Part Name],$A26,T_SelfStock_Log[WeekIndex],83)=0,"",SUMIFS(T_SelfStock_Log[Self_Qty],T_SelfStock_Log[Part Name],$A26,T_SelfStock_Log[WeekIndex],83))</f>
        <v/>
      </c>
      <c r="CG26" s="17">
        <f>IF(COUNTIFS(T_SelfStock_Log[Part Name],$A26,T_SelfStock_Log[WeekIndex],84)=0,"",SUMIFS(T_SelfStock_Log[Self_Qty],T_SelfStock_Log[Part Name],$A26,T_SelfStock_Log[WeekIndex],84))</f>
        <v/>
      </c>
      <c r="CH26" s="17">
        <f>IF(COUNTIFS(T_SelfStock_Log[Part Name],$A26,T_SelfStock_Log[WeekIndex],85)=0,"",SUMIFS(T_SelfStock_Log[Self_Qty],T_SelfStock_Log[Part Name],$A26,T_SelfStock_Log[WeekIndex],85))</f>
        <v/>
      </c>
      <c r="CI26" s="17">
        <f>IF(COUNTIFS(T_SelfStock_Log[Part Name],$A26,T_SelfStock_Log[WeekIndex],86)=0,"",SUMIFS(T_SelfStock_Log[Self_Qty],T_SelfStock_Log[Part Name],$A26,T_SelfStock_Log[WeekIndex],86))</f>
        <v/>
      </c>
      <c r="CJ26" s="17">
        <f>IF(COUNTIFS(T_SelfStock_Log[Part Name],$A26,T_SelfStock_Log[WeekIndex],87)=0,"",SUMIFS(T_SelfStock_Log[Self_Qty],T_SelfStock_Log[Part Name],$A26,T_SelfStock_Log[WeekIndex],87))</f>
        <v/>
      </c>
      <c r="CK26" s="17">
        <f>IF(COUNTIFS(T_SelfStock_Log[Part Name],$A26,T_SelfStock_Log[WeekIndex],88)=0,"",SUMIFS(T_SelfStock_Log[Self_Qty],T_SelfStock_Log[Part Name],$A26,T_SelfStock_Log[WeekIndex],88))</f>
        <v/>
      </c>
      <c r="CL26" s="17">
        <f>IF(COUNTIFS(T_SelfStock_Log[Part Name],$A26,T_SelfStock_Log[WeekIndex],89)=0,"",SUMIFS(T_SelfStock_Log[Self_Qty],T_SelfStock_Log[Part Name],$A26,T_SelfStock_Log[WeekIndex],89))</f>
        <v/>
      </c>
      <c r="CM26" s="17">
        <f>IF(COUNTIFS(T_SelfStock_Log[Part Name],$A26,T_SelfStock_Log[WeekIndex],90)=0,"",SUMIFS(T_SelfStock_Log[Self_Qty],T_SelfStock_Log[Part Name],$A26,T_SelfStock_Log[WeekIndex],90))</f>
        <v/>
      </c>
      <c r="CN26" s="17">
        <f>IF(COUNTIFS(T_SelfStock_Log[Part Name],$A26,T_SelfStock_Log[WeekIndex],91)=0,"",SUMIFS(T_SelfStock_Log[Self_Qty],T_SelfStock_Log[Part Name],$A26,T_SelfStock_Log[WeekIndex],91))</f>
        <v/>
      </c>
      <c r="CO26" s="17">
        <f>IF(COUNTIFS(T_SelfStock_Log[Part Name],$A26,T_SelfStock_Log[WeekIndex],92)=0,"",SUMIFS(T_SelfStock_Log[Self_Qty],T_SelfStock_Log[Part Name],$A26,T_SelfStock_Log[WeekIndex],92))</f>
        <v/>
      </c>
      <c r="CP26" s="17">
        <f>IF(COUNTIFS(T_SelfStock_Log[Part Name],$A26,T_SelfStock_Log[WeekIndex],93)=0,"",SUMIFS(T_SelfStock_Log[Self_Qty],T_SelfStock_Log[Part Name],$A26,T_SelfStock_Log[WeekIndex],93))</f>
        <v/>
      </c>
      <c r="CQ26" s="17">
        <f>IF(COUNTIFS(T_SelfStock_Log[Part Name],$A26,T_SelfStock_Log[WeekIndex],94)=0,"",SUMIFS(T_SelfStock_Log[Self_Qty],T_SelfStock_Log[Part Name],$A26,T_SelfStock_Log[WeekIndex],94))</f>
        <v/>
      </c>
      <c r="CR26" s="17">
        <f>IF(COUNTIFS(T_SelfStock_Log[Part Name],$A26,T_SelfStock_Log[WeekIndex],95)=0,"",SUMIFS(T_SelfStock_Log[Self_Qty],T_SelfStock_Log[Part Name],$A26,T_SelfStock_Log[WeekIndex],95))</f>
        <v/>
      </c>
      <c r="CS26" s="17">
        <f>IF(COUNTIFS(T_SelfStock_Log[Part Name],$A26,T_SelfStock_Log[WeekIndex],96)=0,"",SUMIFS(T_SelfStock_Log[Self_Qty],T_SelfStock_Log[Part Name],$A26,T_SelfStock_Log[WeekIndex],96))</f>
        <v/>
      </c>
      <c r="CT26" s="17">
        <f>IF(COUNTIFS(T_SelfStock_Log[Part Name],$A26,T_SelfStock_Log[WeekIndex],97)=0,"",SUMIFS(T_SelfStock_Log[Self_Qty],T_SelfStock_Log[Part Name],$A26,T_SelfStock_Log[WeekIndex],97))</f>
        <v/>
      </c>
      <c r="CU26" s="17">
        <f>IF(COUNTIFS(T_SelfStock_Log[Part Name],$A26,T_SelfStock_Log[WeekIndex],98)=0,"",SUMIFS(T_SelfStock_Log[Self_Qty],T_SelfStock_Log[Part Name],$A26,T_SelfStock_Log[WeekIndex],98))</f>
        <v/>
      </c>
      <c r="CV26" s="17">
        <f>IF(COUNTIFS(T_SelfStock_Log[Part Name],$A26,T_SelfStock_Log[WeekIndex],99)=0,"",SUMIFS(T_SelfStock_Log[Self_Qty],T_SelfStock_Log[Part Name],$A26,T_SelfStock_Log[WeekIndex],99))</f>
        <v/>
      </c>
      <c r="CW26" s="17">
        <f>IF(COUNTIFS(T_SelfStock_Log[Part Name],$A26,T_SelfStock_Log[WeekIndex],100)=0,"",SUMIFS(T_SelfStock_Log[Self_Qty],T_SelfStock_Log[Part Name],$A26,T_SelfStock_Log[WeekIndex],100))</f>
        <v/>
      </c>
      <c r="CX26" s="17">
        <f>IF(COUNTIFS(T_SelfStock_Log[Part Name],$A26,T_SelfStock_Log[WeekIndex],101)=0,"",SUMIFS(T_SelfStock_Log[Self_Qty],T_SelfStock_Log[Part Name],$A26,T_SelfStock_Log[WeekIndex],101))</f>
        <v/>
      </c>
      <c r="CY26" s="17">
        <f>IF(COUNTIFS(T_SelfStock_Log[Part Name],$A26,T_SelfStock_Log[WeekIndex],102)=0,"",SUMIFS(T_SelfStock_Log[Self_Qty],T_SelfStock_Log[Part Name],$A26,T_SelfStock_Log[WeekIndex],102))</f>
        <v/>
      </c>
      <c r="CZ26" s="17">
        <f>IF(COUNTIFS(T_SelfStock_Log[Part Name],$A26,T_SelfStock_Log[WeekIndex],103)=0,"",SUMIFS(T_SelfStock_Log[Self_Qty],T_SelfStock_Log[Part Name],$A26,T_SelfStock_Log[WeekIndex],103))</f>
        <v/>
      </c>
      <c r="DA26" s="17">
        <f>IF(COUNTIFS(T_SelfStock_Log[Part Name],$A26,T_SelfStock_Log[WeekIndex],104)=0,"",SUMIFS(T_SelfStock_Log[Self_Qty],T_SelfStock_Log[Part Name],$A26,T_SelfStock_Log[WeekIndex],104))</f>
        <v/>
      </c>
    </row>
    <row r="27">
      <c r="A27" s="19" t="inlineStr">
        <is>
          <t>CHEM-1110</t>
        </is>
      </c>
      <c r="B27" s="19">
        <f>IF(COUNTIFS(T_SelfStock_Log[Part Name],$A27,T_SelfStock_Log[WeekIndex],1)=0,"",SUMIFS(T_SelfStock_Log[Self_Qty],T_SelfStock_Log[Part Name],$A27,T_SelfStock_Log[WeekIndex],1))</f>
        <v/>
      </c>
      <c r="C27" s="19">
        <f>IF(COUNTIFS(T_SelfStock_Log[Part Name],$A27,T_SelfStock_Log[WeekIndex],2)=0,"",SUMIFS(T_SelfStock_Log[Self_Qty],T_SelfStock_Log[Part Name],$A27,T_SelfStock_Log[WeekIndex],2))</f>
        <v/>
      </c>
      <c r="D27" s="19">
        <f>IF(COUNTIFS(T_SelfStock_Log[Part Name],$A27,T_SelfStock_Log[WeekIndex],3)=0,"",SUMIFS(T_SelfStock_Log[Self_Qty],T_SelfStock_Log[Part Name],$A27,T_SelfStock_Log[WeekIndex],3))</f>
        <v/>
      </c>
      <c r="E27" s="19">
        <f>IF(COUNTIFS(T_SelfStock_Log[Part Name],$A27,T_SelfStock_Log[WeekIndex],4)=0,"",SUMIFS(T_SelfStock_Log[Self_Qty],T_SelfStock_Log[Part Name],$A27,T_SelfStock_Log[WeekIndex],4))</f>
        <v/>
      </c>
      <c r="F27" s="19">
        <f>IF(COUNTIFS(T_SelfStock_Log[Part Name],$A27,T_SelfStock_Log[WeekIndex],5)=0,"",SUMIFS(T_SelfStock_Log[Self_Qty],T_SelfStock_Log[Part Name],$A27,T_SelfStock_Log[WeekIndex],5))</f>
        <v/>
      </c>
      <c r="G27" s="19">
        <f>IF(COUNTIFS(T_SelfStock_Log[Part Name],$A27,T_SelfStock_Log[WeekIndex],6)=0,"",SUMIFS(T_SelfStock_Log[Self_Qty],T_SelfStock_Log[Part Name],$A27,T_SelfStock_Log[WeekIndex],6))</f>
        <v/>
      </c>
      <c r="H27" s="19">
        <f>IF(COUNTIFS(T_SelfStock_Log[Part Name],$A27,T_SelfStock_Log[WeekIndex],7)=0,"",SUMIFS(T_SelfStock_Log[Self_Qty],T_SelfStock_Log[Part Name],$A27,T_SelfStock_Log[WeekIndex],7))</f>
        <v/>
      </c>
      <c r="I27" s="19">
        <f>IF(COUNTIFS(T_SelfStock_Log[Part Name],$A27,T_SelfStock_Log[WeekIndex],8)=0,"",SUMIFS(T_SelfStock_Log[Self_Qty],T_SelfStock_Log[Part Name],$A27,T_SelfStock_Log[WeekIndex],8))</f>
        <v/>
      </c>
      <c r="J27" s="19">
        <f>IF(COUNTIFS(T_SelfStock_Log[Part Name],$A27,T_SelfStock_Log[WeekIndex],9)=0,"",SUMIFS(T_SelfStock_Log[Self_Qty],T_SelfStock_Log[Part Name],$A27,T_SelfStock_Log[WeekIndex],9))</f>
        <v/>
      </c>
      <c r="K27" s="19">
        <f>IF(COUNTIFS(T_SelfStock_Log[Part Name],$A27,T_SelfStock_Log[WeekIndex],10)=0,"",SUMIFS(T_SelfStock_Log[Self_Qty],T_SelfStock_Log[Part Name],$A27,T_SelfStock_Log[WeekIndex],10))</f>
        <v/>
      </c>
      <c r="L27" s="19">
        <f>IF(COUNTIFS(T_SelfStock_Log[Part Name],$A27,T_SelfStock_Log[WeekIndex],11)=0,"",SUMIFS(T_SelfStock_Log[Self_Qty],T_SelfStock_Log[Part Name],$A27,T_SelfStock_Log[WeekIndex],11))</f>
        <v/>
      </c>
      <c r="M27" s="19">
        <f>IF(COUNTIFS(T_SelfStock_Log[Part Name],$A27,T_SelfStock_Log[WeekIndex],12)=0,"",SUMIFS(T_SelfStock_Log[Self_Qty],T_SelfStock_Log[Part Name],$A27,T_SelfStock_Log[WeekIndex],12))</f>
        <v/>
      </c>
      <c r="N27" s="19">
        <f>IF(COUNTIFS(T_SelfStock_Log[Part Name],$A27,T_SelfStock_Log[WeekIndex],13)=0,"",SUMIFS(T_SelfStock_Log[Self_Qty],T_SelfStock_Log[Part Name],$A27,T_SelfStock_Log[WeekIndex],13))</f>
        <v/>
      </c>
      <c r="O27" s="19">
        <f>IF(COUNTIFS(T_SelfStock_Log[Part Name],$A27,T_SelfStock_Log[WeekIndex],14)=0,"",SUMIFS(T_SelfStock_Log[Self_Qty],T_SelfStock_Log[Part Name],$A27,T_SelfStock_Log[WeekIndex],14))</f>
        <v/>
      </c>
      <c r="P27" s="19">
        <f>IF(COUNTIFS(T_SelfStock_Log[Part Name],$A27,T_SelfStock_Log[WeekIndex],15)=0,"",SUMIFS(T_SelfStock_Log[Self_Qty],T_SelfStock_Log[Part Name],$A27,T_SelfStock_Log[WeekIndex],15))</f>
        <v/>
      </c>
      <c r="Q27" s="19">
        <f>IF(COUNTIFS(T_SelfStock_Log[Part Name],$A27,T_SelfStock_Log[WeekIndex],16)=0,"",SUMIFS(T_SelfStock_Log[Self_Qty],T_SelfStock_Log[Part Name],$A27,T_SelfStock_Log[WeekIndex],16))</f>
        <v/>
      </c>
      <c r="R27" s="19">
        <f>IF(COUNTIFS(T_SelfStock_Log[Part Name],$A27,T_SelfStock_Log[WeekIndex],17)=0,"",SUMIFS(T_SelfStock_Log[Self_Qty],T_SelfStock_Log[Part Name],$A27,T_SelfStock_Log[WeekIndex],17))</f>
        <v/>
      </c>
      <c r="S27" s="19">
        <f>IF(COUNTIFS(T_SelfStock_Log[Part Name],$A27,T_SelfStock_Log[WeekIndex],18)=0,"",SUMIFS(T_SelfStock_Log[Self_Qty],T_SelfStock_Log[Part Name],$A27,T_SelfStock_Log[WeekIndex],18))</f>
        <v/>
      </c>
      <c r="T27" s="19">
        <f>IF(COUNTIFS(T_SelfStock_Log[Part Name],$A27,T_SelfStock_Log[WeekIndex],19)=0,"",SUMIFS(T_SelfStock_Log[Self_Qty],T_SelfStock_Log[Part Name],$A27,T_SelfStock_Log[WeekIndex],19))</f>
        <v/>
      </c>
      <c r="U27" s="19">
        <f>IF(COUNTIFS(T_SelfStock_Log[Part Name],$A27,T_SelfStock_Log[WeekIndex],20)=0,"",SUMIFS(T_SelfStock_Log[Self_Qty],T_SelfStock_Log[Part Name],$A27,T_SelfStock_Log[WeekIndex],20))</f>
        <v/>
      </c>
      <c r="V27" s="19">
        <f>IF(COUNTIFS(T_SelfStock_Log[Part Name],$A27,T_SelfStock_Log[WeekIndex],21)=0,"",SUMIFS(T_SelfStock_Log[Self_Qty],T_SelfStock_Log[Part Name],$A27,T_SelfStock_Log[WeekIndex],21))</f>
        <v/>
      </c>
      <c r="W27" s="19">
        <f>IF(COUNTIFS(T_SelfStock_Log[Part Name],$A27,T_SelfStock_Log[WeekIndex],22)=0,"",SUMIFS(T_SelfStock_Log[Self_Qty],T_SelfStock_Log[Part Name],$A27,T_SelfStock_Log[WeekIndex],22))</f>
        <v/>
      </c>
      <c r="X27" s="19">
        <f>IF(COUNTIFS(T_SelfStock_Log[Part Name],$A27,T_SelfStock_Log[WeekIndex],23)=0,"",SUMIFS(T_SelfStock_Log[Self_Qty],T_SelfStock_Log[Part Name],$A27,T_SelfStock_Log[WeekIndex],23))</f>
        <v/>
      </c>
      <c r="Y27" s="19">
        <f>IF(COUNTIFS(T_SelfStock_Log[Part Name],$A27,T_SelfStock_Log[WeekIndex],24)=0,"",SUMIFS(T_SelfStock_Log[Self_Qty],T_SelfStock_Log[Part Name],$A27,T_SelfStock_Log[WeekIndex],24))</f>
        <v/>
      </c>
      <c r="Z27" s="19">
        <f>IF(COUNTIFS(T_SelfStock_Log[Part Name],$A27,T_SelfStock_Log[WeekIndex],25)=0,"",SUMIFS(T_SelfStock_Log[Self_Qty],T_SelfStock_Log[Part Name],$A27,T_SelfStock_Log[WeekIndex],25))</f>
        <v/>
      </c>
      <c r="AA27" s="19">
        <f>IF(COUNTIFS(T_SelfStock_Log[Part Name],$A27,T_SelfStock_Log[WeekIndex],26)=0,"",SUMIFS(T_SelfStock_Log[Self_Qty],T_SelfStock_Log[Part Name],$A27,T_SelfStock_Log[WeekIndex],26))</f>
        <v/>
      </c>
      <c r="AB27" s="19">
        <f>IF(COUNTIFS(T_SelfStock_Log[Part Name],$A27,T_SelfStock_Log[WeekIndex],27)=0,"",SUMIFS(T_SelfStock_Log[Self_Qty],T_SelfStock_Log[Part Name],$A27,T_SelfStock_Log[WeekIndex],27))</f>
        <v/>
      </c>
      <c r="AC27" s="19">
        <f>IF(COUNTIFS(T_SelfStock_Log[Part Name],$A27,T_SelfStock_Log[WeekIndex],28)=0,"",SUMIFS(T_SelfStock_Log[Self_Qty],T_SelfStock_Log[Part Name],$A27,T_SelfStock_Log[WeekIndex],28))</f>
        <v/>
      </c>
      <c r="AD27" s="19">
        <f>IF(COUNTIFS(T_SelfStock_Log[Part Name],$A27,T_SelfStock_Log[WeekIndex],29)=0,"",SUMIFS(T_SelfStock_Log[Self_Qty],T_SelfStock_Log[Part Name],$A27,T_SelfStock_Log[WeekIndex],29))</f>
        <v/>
      </c>
      <c r="AE27" s="19">
        <f>IF(COUNTIFS(T_SelfStock_Log[Part Name],$A27,T_SelfStock_Log[WeekIndex],30)=0,"",SUMIFS(T_SelfStock_Log[Self_Qty],T_SelfStock_Log[Part Name],$A27,T_SelfStock_Log[WeekIndex],30))</f>
        <v/>
      </c>
      <c r="AF27" s="19">
        <f>IF(COUNTIFS(T_SelfStock_Log[Part Name],$A27,T_SelfStock_Log[WeekIndex],31)=0,"",SUMIFS(T_SelfStock_Log[Self_Qty],T_SelfStock_Log[Part Name],$A27,T_SelfStock_Log[WeekIndex],31))</f>
        <v/>
      </c>
      <c r="AG27" s="19">
        <f>IF(COUNTIFS(T_SelfStock_Log[Part Name],$A27,T_SelfStock_Log[WeekIndex],32)=0,"",SUMIFS(T_SelfStock_Log[Self_Qty],T_SelfStock_Log[Part Name],$A27,T_SelfStock_Log[WeekIndex],32))</f>
        <v/>
      </c>
      <c r="AH27" s="19">
        <f>IF(COUNTIFS(T_SelfStock_Log[Part Name],$A27,T_SelfStock_Log[WeekIndex],33)=0,"",SUMIFS(T_SelfStock_Log[Self_Qty],T_SelfStock_Log[Part Name],$A27,T_SelfStock_Log[WeekIndex],33))</f>
        <v/>
      </c>
      <c r="AI27" s="19">
        <f>IF(COUNTIFS(T_SelfStock_Log[Part Name],$A27,T_SelfStock_Log[WeekIndex],34)=0,"",SUMIFS(T_SelfStock_Log[Self_Qty],T_SelfStock_Log[Part Name],$A27,T_SelfStock_Log[WeekIndex],34))</f>
        <v/>
      </c>
      <c r="AJ27" s="19">
        <f>IF(COUNTIFS(T_SelfStock_Log[Part Name],$A27,T_SelfStock_Log[WeekIndex],35)=0,"",SUMIFS(T_SelfStock_Log[Self_Qty],T_SelfStock_Log[Part Name],$A27,T_SelfStock_Log[WeekIndex],35))</f>
        <v/>
      </c>
      <c r="AK27" s="19">
        <f>IF(COUNTIFS(T_SelfStock_Log[Part Name],$A27,T_SelfStock_Log[WeekIndex],36)=0,"",SUMIFS(T_SelfStock_Log[Self_Qty],T_SelfStock_Log[Part Name],$A27,T_SelfStock_Log[WeekIndex],36))</f>
        <v/>
      </c>
      <c r="AL27" s="19">
        <f>IF(COUNTIFS(T_SelfStock_Log[Part Name],$A27,T_SelfStock_Log[WeekIndex],37)=0,"",SUMIFS(T_SelfStock_Log[Self_Qty],T_SelfStock_Log[Part Name],$A27,T_SelfStock_Log[WeekIndex],37))</f>
        <v/>
      </c>
      <c r="AM27" s="19">
        <f>IF(COUNTIFS(T_SelfStock_Log[Part Name],$A27,T_SelfStock_Log[WeekIndex],38)=0,"",SUMIFS(T_SelfStock_Log[Self_Qty],T_SelfStock_Log[Part Name],$A27,T_SelfStock_Log[WeekIndex],38))</f>
        <v/>
      </c>
      <c r="AN27" s="19">
        <f>IF(COUNTIFS(T_SelfStock_Log[Part Name],$A27,T_SelfStock_Log[WeekIndex],39)=0,"",SUMIFS(T_SelfStock_Log[Self_Qty],T_SelfStock_Log[Part Name],$A27,T_SelfStock_Log[WeekIndex],39))</f>
        <v/>
      </c>
      <c r="AO27" s="19">
        <f>IF(COUNTIFS(T_SelfStock_Log[Part Name],$A27,T_SelfStock_Log[WeekIndex],40)=0,"",SUMIFS(T_SelfStock_Log[Self_Qty],T_SelfStock_Log[Part Name],$A27,T_SelfStock_Log[WeekIndex],40))</f>
        <v/>
      </c>
      <c r="AP27" s="19">
        <f>IF(COUNTIFS(T_SelfStock_Log[Part Name],$A27,T_SelfStock_Log[WeekIndex],41)=0,"",SUMIFS(T_SelfStock_Log[Self_Qty],T_SelfStock_Log[Part Name],$A27,T_SelfStock_Log[WeekIndex],41))</f>
        <v/>
      </c>
      <c r="AQ27" s="19">
        <f>IF(COUNTIFS(T_SelfStock_Log[Part Name],$A27,T_SelfStock_Log[WeekIndex],42)=0,"",SUMIFS(T_SelfStock_Log[Self_Qty],T_SelfStock_Log[Part Name],$A27,T_SelfStock_Log[WeekIndex],42))</f>
        <v/>
      </c>
      <c r="AR27" s="19">
        <f>IF(COUNTIFS(T_SelfStock_Log[Part Name],$A27,T_SelfStock_Log[WeekIndex],43)=0,"",SUMIFS(T_SelfStock_Log[Self_Qty],T_SelfStock_Log[Part Name],$A27,T_SelfStock_Log[WeekIndex],43))</f>
        <v/>
      </c>
      <c r="AS27" s="19">
        <f>IF(COUNTIFS(T_SelfStock_Log[Part Name],$A27,T_SelfStock_Log[WeekIndex],44)=0,"",SUMIFS(T_SelfStock_Log[Self_Qty],T_SelfStock_Log[Part Name],$A27,T_SelfStock_Log[WeekIndex],44))</f>
        <v/>
      </c>
      <c r="AT27" s="19">
        <f>IF(COUNTIFS(T_SelfStock_Log[Part Name],$A27,T_SelfStock_Log[WeekIndex],45)=0,"",SUMIFS(T_SelfStock_Log[Self_Qty],T_SelfStock_Log[Part Name],$A27,T_SelfStock_Log[WeekIndex],45))</f>
        <v/>
      </c>
      <c r="AU27" s="19">
        <f>IF(COUNTIFS(T_SelfStock_Log[Part Name],$A27,T_SelfStock_Log[WeekIndex],46)=0,"",SUMIFS(T_SelfStock_Log[Self_Qty],T_SelfStock_Log[Part Name],$A27,T_SelfStock_Log[WeekIndex],46))</f>
        <v/>
      </c>
      <c r="AV27" s="19">
        <f>IF(COUNTIFS(T_SelfStock_Log[Part Name],$A27,T_SelfStock_Log[WeekIndex],47)=0,"",SUMIFS(T_SelfStock_Log[Self_Qty],T_SelfStock_Log[Part Name],$A27,T_SelfStock_Log[WeekIndex],47))</f>
        <v/>
      </c>
      <c r="AW27" s="19">
        <f>IF(COUNTIFS(T_SelfStock_Log[Part Name],$A27,T_SelfStock_Log[WeekIndex],48)=0,"",SUMIFS(T_SelfStock_Log[Self_Qty],T_SelfStock_Log[Part Name],$A27,T_SelfStock_Log[WeekIndex],48))</f>
        <v/>
      </c>
      <c r="AX27" s="19">
        <f>IF(COUNTIFS(T_SelfStock_Log[Part Name],$A27,T_SelfStock_Log[WeekIndex],49)=0,"",SUMIFS(T_SelfStock_Log[Self_Qty],T_SelfStock_Log[Part Name],$A27,T_SelfStock_Log[WeekIndex],49))</f>
        <v/>
      </c>
      <c r="AY27" s="19">
        <f>IF(COUNTIFS(T_SelfStock_Log[Part Name],$A27,T_SelfStock_Log[WeekIndex],50)=0,"",SUMIFS(T_SelfStock_Log[Self_Qty],T_SelfStock_Log[Part Name],$A27,T_SelfStock_Log[WeekIndex],50))</f>
        <v/>
      </c>
      <c r="AZ27" s="19">
        <f>IF(COUNTIFS(T_SelfStock_Log[Part Name],$A27,T_SelfStock_Log[WeekIndex],51)=0,"",SUMIFS(T_SelfStock_Log[Self_Qty],T_SelfStock_Log[Part Name],$A27,T_SelfStock_Log[WeekIndex],51))</f>
        <v/>
      </c>
      <c r="BA27" s="19">
        <f>IF(COUNTIFS(T_SelfStock_Log[Part Name],$A27,T_SelfStock_Log[WeekIndex],52)=0,"",SUMIFS(T_SelfStock_Log[Self_Qty],T_SelfStock_Log[Part Name],$A27,T_SelfStock_Log[WeekIndex],52))</f>
        <v/>
      </c>
      <c r="BB27" s="19">
        <f>IF(COUNTIFS(T_SelfStock_Log[Part Name],$A27,T_SelfStock_Log[WeekIndex],53)=0,"",SUMIFS(T_SelfStock_Log[Self_Qty],T_SelfStock_Log[Part Name],$A27,T_SelfStock_Log[WeekIndex],53))</f>
        <v/>
      </c>
      <c r="BC27" s="19">
        <f>IF(COUNTIFS(T_SelfStock_Log[Part Name],$A27,T_SelfStock_Log[WeekIndex],54)=0,"",SUMIFS(T_SelfStock_Log[Self_Qty],T_SelfStock_Log[Part Name],$A27,T_SelfStock_Log[WeekIndex],54))</f>
        <v/>
      </c>
      <c r="BD27" s="19">
        <f>IF(COUNTIFS(T_SelfStock_Log[Part Name],$A27,T_SelfStock_Log[WeekIndex],55)=0,"",SUMIFS(T_SelfStock_Log[Self_Qty],T_SelfStock_Log[Part Name],$A27,T_SelfStock_Log[WeekIndex],55))</f>
        <v/>
      </c>
      <c r="BE27" s="19">
        <f>IF(COUNTIFS(T_SelfStock_Log[Part Name],$A27,T_SelfStock_Log[WeekIndex],56)=0,"",SUMIFS(T_SelfStock_Log[Self_Qty],T_SelfStock_Log[Part Name],$A27,T_SelfStock_Log[WeekIndex],56))</f>
        <v/>
      </c>
      <c r="BF27" s="19">
        <f>IF(COUNTIFS(T_SelfStock_Log[Part Name],$A27,T_SelfStock_Log[WeekIndex],57)=0,"",SUMIFS(T_SelfStock_Log[Self_Qty],T_SelfStock_Log[Part Name],$A27,T_SelfStock_Log[WeekIndex],57))</f>
        <v/>
      </c>
      <c r="BG27" s="19">
        <f>IF(COUNTIFS(T_SelfStock_Log[Part Name],$A27,T_SelfStock_Log[WeekIndex],58)=0,"",SUMIFS(T_SelfStock_Log[Self_Qty],T_SelfStock_Log[Part Name],$A27,T_SelfStock_Log[WeekIndex],58))</f>
        <v/>
      </c>
      <c r="BH27" s="19">
        <f>IF(COUNTIFS(T_SelfStock_Log[Part Name],$A27,T_SelfStock_Log[WeekIndex],59)=0,"",SUMIFS(T_SelfStock_Log[Self_Qty],T_SelfStock_Log[Part Name],$A27,T_SelfStock_Log[WeekIndex],59))</f>
        <v/>
      </c>
      <c r="BI27" s="19">
        <f>IF(COUNTIFS(T_SelfStock_Log[Part Name],$A27,T_SelfStock_Log[WeekIndex],60)=0,"",SUMIFS(T_SelfStock_Log[Self_Qty],T_SelfStock_Log[Part Name],$A27,T_SelfStock_Log[WeekIndex],60))</f>
        <v/>
      </c>
      <c r="BJ27" s="19">
        <f>IF(COUNTIFS(T_SelfStock_Log[Part Name],$A27,T_SelfStock_Log[WeekIndex],61)=0,"",SUMIFS(T_SelfStock_Log[Self_Qty],T_SelfStock_Log[Part Name],$A27,T_SelfStock_Log[WeekIndex],61))</f>
        <v/>
      </c>
      <c r="BK27" s="19">
        <f>IF(COUNTIFS(T_SelfStock_Log[Part Name],$A27,T_SelfStock_Log[WeekIndex],62)=0,"",SUMIFS(T_SelfStock_Log[Self_Qty],T_SelfStock_Log[Part Name],$A27,T_SelfStock_Log[WeekIndex],62))</f>
        <v/>
      </c>
      <c r="BL27" s="19">
        <f>IF(COUNTIFS(T_SelfStock_Log[Part Name],$A27,T_SelfStock_Log[WeekIndex],63)=0,"",SUMIFS(T_SelfStock_Log[Self_Qty],T_SelfStock_Log[Part Name],$A27,T_SelfStock_Log[WeekIndex],63))</f>
        <v/>
      </c>
      <c r="BM27" s="19">
        <f>IF(COUNTIFS(T_SelfStock_Log[Part Name],$A27,T_SelfStock_Log[WeekIndex],64)=0,"",SUMIFS(T_SelfStock_Log[Self_Qty],T_SelfStock_Log[Part Name],$A27,T_SelfStock_Log[WeekIndex],64))</f>
        <v/>
      </c>
      <c r="BN27" s="19">
        <f>IF(COUNTIFS(T_SelfStock_Log[Part Name],$A27,T_SelfStock_Log[WeekIndex],65)=0,"",SUMIFS(T_SelfStock_Log[Self_Qty],T_SelfStock_Log[Part Name],$A27,T_SelfStock_Log[WeekIndex],65))</f>
        <v/>
      </c>
      <c r="BO27" s="19">
        <f>IF(COUNTIFS(T_SelfStock_Log[Part Name],$A27,T_SelfStock_Log[WeekIndex],66)=0,"",SUMIFS(T_SelfStock_Log[Self_Qty],T_SelfStock_Log[Part Name],$A27,T_SelfStock_Log[WeekIndex],66))</f>
        <v/>
      </c>
      <c r="BP27" s="19">
        <f>IF(COUNTIFS(T_SelfStock_Log[Part Name],$A27,T_SelfStock_Log[WeekIndex],67)=0,"",SUMIFS(T_SelfStock_Log[Self_Qty],T_SelfStock_Log[Part Name],$A27,T_SelfStock_Log[WeekIndex],67))</f>
        <v/>
      </c>
      <c r="BQ27" s="19">
        <f>IF(COUNTIFS(T_SelfStock_Log[Part Name],$A27,T_SelfStock_Log[WeekIndex],68)=0,"",SUMIFS(T_SelfStock_Log[Self_Qty],T_SelfStock_Log[Part Name],$A27,T_SelfStock_Log[WeekIndex],68))</f>
        <v/>
      </c>
      <c r="BR27" s="19">
        <f>IF(COUNTIFS(T_SelfStock_Log[Part Name],$A27,T_SelfStock_Log[WeekIndex],69)=0,"",SUMIFS(T_SelfStock_Log[Self_Qty],T_SelfStock_Log[Part Name],$A27,T_SelfStock_Log[WeekIndex],69))</f>
        <v/>
      </c>
      <c r="BS27" s="19">
        <f>IF(COUNTIFS(T_SelfStock_Log[Part Name],$A27,T_SelfStock_Log[WeekIndex],70)=0,"",SUMIFS(T_SelfStock_Log[Self_Qty],T_SelfStock_Log[Part Name],$A27,T_SelfStock_Log[WeekIndex],70))</f>
        <v/>
      </c>
      <c r="BT27" s="19">
        <f>IF(COUNTIFS(T_SelfStock_Log[Part Name],$A27,T_SelfStock_Log[WeekIndex],71)=0,"",SUMIFS(T_SelfStock_Log[Self_Qty],T_SelfStock_Log[Part Name],$A27,T_SelfStock_Log[WeekIndex],71))</f>
        <v/>
      </c>
      <c r="BU27" s="19">
        <f>IF(COUNTIFS(T_SelfStock_Log[Part Name],$A27,T_SelfStock_Log[WeekIndex],72)=0,"",SUMIFS(T_SelfStock_Log[Self_Qty],T_SelfStock_Log[Part Name],$A27,T_SelfStock_Log[WeekIndex],72))</f>
        <v/>
      </c>
      <c r="BV27" s="19">
        <f>IF(COUNTIFS(T_SelfStock_Log[Part Name],$A27,T_SelfStock_Log[WeekIndex],73)=0,"",SUMIFS(T_SelfStock_Log[Self_Qty],T_SelfStock_Log[Part Name],$A27,T_SelfStock_Log[WeekIndex],73))</f>
        <v/>
      </c>
      <c r="BW27" s="19">
        <f>IF(COUNTIFS(T_SelfStock_Log[Part Name],$A27,T_SelfStock_Log[WeekIndex],74)=0,"",SUMIFS(T_SelfStock_Log[Self_Qty],T_SelfStock_Log[Part Name],$A27,T_SelfStock_Log[WeekIndex],74))</f>
        <v/>
      </c>
      <c r="BX27" s="19">
        <f>IF(COUNTIFS(T_SelfStock_Log[Part Name],$A27,T_SelfStock_Log[WeekIndex],75)=0,"",SUMIFS(T_SelfStock_Log[Self_Qty],T_SelfStock_Log[Part Name],$A27,T_SelfStock_Log[WeekIndex],75))</f>
        <v/>
      </c>
      <c r="BY27" s="19">
        <f>IF(COUNTIFS(T_SelfStock_Log[Part Name],$A27,T_SelfStock_Log[WeekIndex],76)=0,"",SUMIFS(T_SelfStock_Log[Self_Qty],T_SelfStock_Log[Part Name],$A27,T_SelfStock_Log[WeekIndex],76))</f>
        <v/>
      </c>
      <c r="BZ27" s="19">
        <f>IF(COUNTIFS(T_SelfStock_Log[Part Name],$A27,T_SelfStock_Log[WeekIndex],77)=0,"",SUMIFS(T_SelfStock_Log[Self_Qty],T_SelfStock_Log[Part Name],$A27,T_SelfStock_Log[WeekIndex],77))</f>
        <v/>
      </c>
      <c r="CA27" s="19">
        <f>IF(COUNTIFS(T_SelfStock_Log[Part Name],$A27,T_SelfStock_Log[WeekIndex],78)=0,"",SUMIFS(T_SelfStock_Log[Self_Qty],T_SelfStock_Log[Part Name],$A27,T_SelfStock_Log[WeekIndex],78))</f>
        <v/>
      </c>
      <c r="CB27" s="19">
        <f>IF(COUNTIFS(T_SelfStock_Log[Part Name],$A27,T_SelfStock_Log[WeekIndex],79)=0,"",SUMIFS(T_SelfStock_Log[Self_Qty],T_SelfStock_Log[Part Name],$A27,T_SelfStock_Log[WeekIndex],79))</f>
        <v/>
      </c>
      <c r="CC27" s="19">
        <f>IF(COUNTIFS(T_SelfStock_Log[Part Name],$A27,T_SelfStock_Log[WeekIndex],80)=0,"",SUMIFS(T_SelfStock_Log[Self_Qty],T_SelfStock_Log[Part Name],$A27,T_SelfStock_Log[WeekIndex],80))</f>
        <v/>
      </c>
      <c r="CD27" s="19">
        <f>IF(COUNTIFS(T_SelfStock_Log[Part Name],$A27,T_SelfStock_Log[WeekIndex],81)=0,"",SUMIFS(T_SelfStock_Log[Self_Qty],T_SelfStock_Log[Part Name],$A27,T_SelfStock_Log[WeekIndex],81))</f>
        <v/>
      </c>
      <c r="CE27" s="19">
        <f>IF(COUNTIFS(T_SelfStock_Log[Part Name],$A27,T_SelfStock_Log[WeekIndex],82)=0,"",SUMIFS(T_SelfStock_Log[Self_Qty],T_SelfStock_Log[Part Name],$A27,T_SelfStock_Log[WeekIndex],82))</f>
        <v/>
      </c>
      <c r="CF27" s="19">
        <f>IF(COUNTIFS(T_SelfStock_Log[Part Name],$A27,T_SelfStock_Log[WeekIndex],83)=0,"",SUMIFS(T_SelfStock_Log[Self_Qty],T_SelfStock_Log[Part Name],$A27,T_SelfStock_Log[WeekIndex],83))</f>
        <v/>
      </c>
      <c r="CG27" s="19">
        <f>IF(COUNTIFS(T_SelfStock_Log[Part Name],$A27,T_SelfStock_Log[WeekIndex],84)=0,"",SUMIFS(T_SelfStock_Log[Self_Qty],T_SelfStock_Log[Part Name],$A27,T_SelfStock_Log[WeekIndex],84))</f>
        <v/>
      </c>
      <c r="CH27" s="19">
        <f>IF(COUNTIFS(T_SelfStock_Log[Part Name],$A27,T_SelfStock_Log[WeekIndex],85)=0,"",SUMIFS(T_SelfStock_Log[Self_Qty],T_SelfStock_Log[Part Name],$A27,T_SelfStock_Log[WeekIndex],85))</f>
        <v/>
      </c>
      <c r="CI27" s="19">
        <f>IF(COUNTIFS(T_SelfStock_Log[Part Name],$A27,T_SelfStock_Log[WeekIndex],86)=0,"",SUMIFS(T_SelfStock_Log[Self_Qty],T_SelfStock_Log[Part Name],$A27,T_SelfStock_Log[WeekIndex],86))</f>
        <v/>
      </c>
      <c r="CJ27" s="19">
        <f>IF(COUNTIFS(T_SelfStock_Log[Part Name],$A27,T_SelfStock_Log[WeekIndex],87)=0,"",SUMIFS(T_SelfStock_Log[Self_Qty],T_SelfStock_Log[Part Name],$A27,T_SelfStock_Log[WeekIndex],87))</f>
        <v/>
      </c>
      <c r="CK27" s="19">
        <f>IF(COUNTIFS(T_SelfStock_Log[Part Name],$A27,T_SelfStock_Log[WeekIndex],88)=0,"",SUMIFS(T_SelfStock_Log[Self_Qty],T_SelfStock_Log[Part Name],$A27,T_SelfStock_Log[WeekIndex],88))</f>
        <v/>
      </c>
      <c r="CL27" s="19">
        <f>IF(COUNTIFS(T_SelfStock_Log[Part Name],$A27,T_SelfStock_Log[WeekIndex],89)=0,"",SUMIFS(T_SelfStock_Log[Self_Qty],T_SelfStock_Log[Part Name],$A27,T_SelfStock_Log[WeekIndex],89))</f>
        <v/>
      </c>
      <c r="CM27" s="19">
        <f>IF(COUNTIFS(T_SelfStock_Log[Part Name],$A27,T_SelfStock_Log[WeekIndex],90)=0,"",SUMIFS(T_SelfStock_Log[Self_Qty],T_SelfStock_Log[Part Name],$A27,T_SelfStock_Log[WeekIndex],90))</f>
        <v/>
      </c>
      <c r="CN27" s="19">
        <f>IF(COUNTIFS(T_SelfStock_Log[Part Name],$A27,T_SelfStock_Log[WeekIndex],91)=0,"",SUMIFS(T_SelfStock_Log[Self_Qty],T_SelfStock_Log[Part Name],$A27,T_SelfStock_Log[WeekIndex],91))</f>
        <v/>
      </c>
      <c r="CO27" s="19">
        <f>IF(COUNTIFS(T_SelfStock_Log[Part Name],$A27,T_SelfStock_Log[WeekIndex],92)=0,"",SUMIFS(T_SelfStock_Log[Self_Qty],T_SelfStock_Log[Part Name],$A27,T_SelfStock_Log[WeekIndex],92))</f>
        <v/>
      </c>
      <c r="CP27" s="19">
        <f>IF(COUNTIFS(T_SelfStock_Log[Part Name],$A27,T_SelfStock_Log[WeekIndex],93)=0,"",SUMIFS(T_SelfStock_Log[Self_Qty],T_SelfStock_Log[Part Name],$A27,T_SelfStock_Log[WeekIndex],93))</f>
        <v/>
      </c>
      <c r="CQ27" s="19">
        <f>IF(COUNTIFS(T_SelfStock_Log[Part Name],$A27,T_SelfStock_Log[WeekIndex],94)=0,"",SUMIFS(T_SelfStock_Log[Self_Qty],T_SelfStock_Log[Part Name],$A27,T_SelfStock_Log[WeekIndex],94))</f>
        <v/>
      </c>
      <c r="CR27" s="19">
        <f>IF(COUNTIFS(T_SelfStock_Log[Part Name],$A27,T_SelfStock_Log[WeekIndex],95)=0,"",SUMIFS(T_SelfStock_Log[Self_Qty],T_SelfStock_Log[Part Name],$A27,T_SelfStock_Log[WeekIndex],95))</f>
        <v/>
      </c>
      <c r="CS27" s="19">
        <f>IF(COUNTIFS(T_SelfStock_Log[Part Name],$A27,T_SelfStock_Log[WeekIndex],96)=0,"",SUMIFS(T_SelfStock_Log[Self_Qty],T_SelfStock_Log[Part Name],$A27,T_SelfStock_Log[WeekIndex],96))</f>
        <v/>
      </c>
      <c r="CT27" s="19">
        <f>IF(COUNTIFS(T_SelfStock_Log[Part Name],$A27,T_SelfStock_Log[WeekIndex],97)=0,"",SUMIFS(T_SelfStock_Log[Self_Qty],T_SelfStock_Log[Part Name],$A27,T_SelfStock_Log[WeekIndex],97))</f>
        <v/>
      </c>
      <c r="CU27" s="19">
        <f>IF(COUNTIFS(T_SelfStock_Log[Part Name],$A27,T_SelfStock_Log[WeekIndex],98)=0,"",SUMIFS(T_SelfStock_Log[Self_Qty],T_SelfStock_Log[Part Name],$A27,T_SelfStock_Log[WeekIndex],98))</f>
        <v/>
      </c>
      <c r="CV27" s="19">
        <f>IF(COUNTIFS(T_SelfStock_Log[Part Name],$A27,T_SelfStock_Log[WeekIndex],99)=0,"",SUMIFS(T_SelfStock_Log[Self_Qty],T_SelfStock_Log[Part Name],$A27,T_SelfStock_Log[WeekIndex],99))</f>
        <v/>
      </c>
      <c r="CW27" s="19">
        <f>IF(COUNTIFS(T_SelfStock_Log[Part Name],$A27,T_SelfStock_Log[WeekIndex],100)=0,"",SUMIFS(T_SelfStock_Log[Self_Qty],T_SelfStock_Log[Part Name],$A27,T_SelfStock_Log[WeekIndex],100))</f>
        <v/>
      </c>
      <c r="CX27" s="19">
        <f>IF(COUNTIFS(T_SelfStock_Log[Part Name],$A27,T_SelfStock_Log[WeekIndex],101)=0,"",SUMIFS(T_SelfStock_Log[Self_Qty],T_SelfStock_Log[Part Name],$A27,T_SelfStock_Log[WeekIndex],101))</f>
        <v/>
      </c>
      <c r="CY27" s="19">
        <f>IF(COUNTIFS(T_SelfStock_Log[Part Name],$A27,T_SelfStock_Log[WeekIndex],102)=0,"",SUMIFS(T_SelfStock_Log[Self_Qty],T_SelfStock_Log[Part Name],$A27,T_SelfStock_Log[WeekIndex],102))</f>
        <v/>
      </c>
      <c r="CZ27" s="19">
        <f>IF(COUNTIFS(T_SelfStock_Log[Part Name],$A27,T_SelfStock_Log[WeekIndex],103)=0,"",SUMIFS(T_SelfStock_Log[Self_Qty],T_SelfStock_Log[Part Name],$A27,T_SelfStock_Log[WeekIndex],103))</f>
        <v/>
      </c>
      <c r="DA27" s="19">
        <f>IF(COUNTIFS(T_SelfStock_Log[Part Name],$A27,T_SelfStock_Log[WeekIndex],104)=0,"",SUMIFS(T_SelfStock_Log[Self_Qty],T_SelfStock_Log[Part Name],$A27,T_SelfStock_Log[WeekIndex],104))</f>
        <v/>
      </c>
    </row>
    <row r="28">
      <c r="A28" s="17" t="inlineStr">
        <is>
          <t>CHEM-1240</t>
        </is>
      </c>
      <c r="B28" s="17">
        <f>IF(COUNTIFS(T_SelfStock_Log[Part Name],$A28,T_SelfStock_Log[WeekIndex],1)=0,"",SUMIFS(T_SelfStock_Log[Self_Qty],T_SelfStock_Log[Part Name],$A28,T_SelfStock_Log[WeekIndex],1))</f>
        <v/>
      </c>
      <c r="C28" s="17">
        <f>IF(COUNTIFS(T_SelfStock_Log[Part Name],$A28,T_SelfStock_Log[WeekIndex],2)=0,"",SUMIFS(T_SelfStock_Log[Self_Qty],T_SelfStock_Log[Part Name],$A28,T_SelfStock_Log[WeekIndex],2))</f>
        <v/>
      </c>
      <c r="D28" s="17">
        <f>IF(COUNTIFS(T_SelfStock_Log[Part Name],$A28,T_SelfStock_Log[WeekIndex],3)=0,"",SUMIFS(T_SelfStock_Log[Self_Qty],T_SelfStock_Log[Part Name],$A28,T_SelfStock_Log[WeekIndex],3))</f>
        <v/>
      </c>
      <c r="E28" s="17">
        <f>IF(COUNTIFS(T_SelfStock_Log[Part Name],$A28,T_SelfStock_Log[WeekIndex],4)=0,"",SUMIFS(T_SelfStock_Log[Self_Qty],T_SelfStock_Log[Part Name],$A28,T_SelfStock_Log[WeekIndex],4))</f>
        <v/>
      </c>
      <c r="F28" s="17">
        <f>IF(COUNTIFS(T_SelfStock_Log[Part Name],$A28,T_SelfStock_Log[WeekIndex],5)=0,"",SUMIFS(T_SelfStock_Log[Self_Qty],T_SelfStock_Log[Part Name],$A28,T_SelfStock_Log[WeekIndex],5))</f>
        <v/>
      </c>
      <c r="G28" s="17">
        <f>IF(COUNTIFS(T_SelfStock_Log[Part Name],$A28,T_SelfStock_Log[WeekIndex],6)=0,"",SUMIFS(T_SelfStock_Log[Self_Qty],T_SelfStock_Log[Part Name],$A28,T_SelfStock_Log[WeekIndex],6))</f>
        <v/>
      </c>
      <c r="H28" s="17">
        <f>IF(COUNTIFS(T_SelfStock_Log[Part Name],$A28,T_SelfStock_Log[WeekIndex],7)=0,"",SUMIFS(T_SelfStock_Log[Self_Qty],T_SelfStock_Log[Part Name],$A28,T_SelfStock_Log[WeekIndex],7))</f>
        <v/>
      </c>
      <c r="I28" s="17">
        <f>IF(COUNTIFS(T_SelfStock_Log[Part Name],$A28,T_SelfStock_Log[WeekIndex],8)=0,"",SUMIFS(T_SelfStock_Log[Self_Qty],T_SelfStock_Log[Part Name],$A28,T_SelfStock_Log[WeekIndex],8))</f>
        <v/>
      </c>
      <c r="J28" s="17">
        <f>IF(COUNTIFS(T_SelfStock_Log[Part Name],$A28,T_SelfStock_Log[WeekIndex],9)=0,"",SUMIFS(T_SelfStock_Log[Self_Qty],T_SelfStock_Log[Part Name],$A28,T_SelfStock_Log[WeekIndex],9))</f>
        <v/>
      </c>
      <c r="K28" s="17">
        <f>IF(COUNTIFS(T_SelfStock_Log[Part Name],$A28,T_SelfStock_Log[WeekIndex],10)=0,"",SUMIFS(T_SelfStock_Log[Self_Qty],T_SelfStock_Log[Part Name],$A28,T_SelfStock_Log[WeekIndex],10))</f>
        <v/>
      </c>
      <c r="L28" s="17">
        <f>IF(COUNTIFS(T_SelfStock_Log[Part Name],$A28,T_SelfStock_Log[WeekIndex],11)=0,"",SUMIFS(T_SelfStock_Log[Self_Qty],T_SelfStock_Log[Part Name],$A28,T_SelfStock_Log[WeekIndex],11))</f>
        <v/>
      </c>
      <c r="M28" s="17">
        <f>IF(COUNTIFS(T_SelfStock_Log[Part Name],$A28,T_SelfStock_Log[WeekIndex],12)=0,"",SUMIFS(T_SelfStock_Log[Self_Qty],T_SelfStock_Log[Part Name],$A28,T_SelfStock_Log[WeekIndex],12))</f>
        <v/>
      </c>
      <c r="N28" s="17">
        <f>IF(COUNTIFS(T_SelfStock_Log[Part Name],$A28,T_SelfStock_Log[WeekIndex],13)=0,"",SUMIFS(T_SelfStock_Log[Self_Qty],T_SelfStock_Log[Part Name],$A28,T_SelfStock_Log[WeekIndex],13))</f>
        <v/>
      </c>
      <c r="O28" s="17">
        <f>IF(COUNTIFS(T_SelfStock_Log[Part Name],$A28,T_SelfStock_Log[WeekIndex],14)=0,"",SUMIFS(T_SelfStock_Log[Self_Qty],T_SelfStock_Log[Part Name],$A28,T_SelfStock_Log[WeekIndex],14))</f>
        <v/>
      </c>
      <c r="P28" s="17">
        <f>IF(COUNTIFS(T_SelfStock_Log[Part Name],$A28,T_SelfStock_Log[WeekIndex],15)=0,"",SUMIFS(T_SelfStock_Log[Self_Qty],T_SelfStock_Log[Part Name],$A28,T_SelfStock_Log[WeekIndex],15))</f>
        <v/>
      </c>
      <c r="Q28" s="17">
        <f>IF(COUNTIFS(T_SelfStock_Log[Part Name],$A28,T_SelfStock_Log[WeekIndex],16)=0,"",SUMIFS(T_SelfStock_Log[Self_Qty],T_SelfStock_Log[Part Name],$A28,T_SelfStock_Log[WeekIndex],16))</f>
        <v/>
      </c>
      <c r="R28" s="17">
        <f>IF(COUNTIFS(T_SelfStock_Log[Part Name],$A28,T_SelfStock_Log[WeekIndex],17)=0,"",SUMIFS(T_SelfStock_Log[Self_Qty],T_SelfStock_Log[Part Name],$A28,T_SelfStock_Log[WeekIndex],17))</f>
        <v/>
      </c>
      <c r="S28" s="17">
        <f>IF(COUNTIFS(T_SelfStock_Log[Part Name],$A28,T_SelfStock_Log[WeekIndex],18)=0,"",SUMIFS(T_SelfStock_Log[Self_Qty],T_SelfStock_Log[Part Name],$A28,T_SelfStock_Log[WeekIndex],18))</f>
        <v/>
      </c>
      <c r="T28" s="17">
        <f>IF(COUNTIFS(T_SelfStock_Log[Part Name],$A28,T_SelfStock_Log[WeekIndex],19)=0,"",SUMIFS(T_SelfStock_Log[Self_Qty],T_SelfStock_Log[Part Name],$A28,T_SelfStock_Log[WeekIndex],19))</f>
        <v/>
      </c>
      <c r="U28" s="17">
        <f>IF(COUNTIFS(T_SelfStock_Log[Part Name],$A28,T_SelfStock_Log[WeekIndex],20)=0,"",SUMIFS(T_SelfStock_Log[Self_Qty],T_SelfStock_Log[Part Name],$A28,T_SelfStock_Log[WeekIndex],20))</f>
        <v/>
      </c>
      <c r="V28" s="17">
        <f>IF(COUNTIFS(T_SelfStock_Log[Part Name],$A28,T_SelfStock_Log[WeekIndex],21)=0,"",SUMIFS(T_SelfStock_Log[Self_Qty],T_SelfStock_Log[Part Name],$A28,T_SelfStock_Log[WeekIndex],21))</f>
        <v/>
      </c>
      <c r="W28" s="17">
        <f>IF(COUNTIFS(T_SelfStock_Log[Part Name],$A28,T_SelfStock_Log[WeekIndex],22)=0,"",SUMIFS(T_SelfStock_Log[Self_Qty],T_SelfStock_Log[Part Name],$A28,T_SelfStock_Log[WeekIndex],22))</f>
        <v/>
      </c>
      <c r="X28" s="17">
        <f>IF(COUNTIFS(T_SelfStock_Log[Part Name],$A28,T_SelfStock_Log[WeekIndex],23)=0,"",SUMIFS(T_SelfStock_Log[Self_Qty],T_SelfStock_Log[Part Name],$A28,T_SelfStock_Log[WeekIndex],23))</f>
        <v/>
      </c>
      <c r="Y28" s="17">
        <f>IF(COUNTIFS(T_SelfStock_Log[Part Name],$A28,T_SelfStock_Log[WeekIndex],24)=0,"",SUMIFS(T_SelfStock_Log[Self_Qty],T_SelfStock_Log[Part Name],$A28,T_SelfStock_Log[WeekIndex],24))</f>
        <v/>
      </c>
      <c r="Z28" s="17">
        <f>IF(COUNTIFS(T_SelfStock_Log[Part Name],$A28,T_SelfStock_Log[WeekIndex],25)=0,"",SUMIFS(T_SelfStock_Log[Self_Qty],T_SelfStock_Log[Part Name],$A28,T_SelfStock_Log[WeekIndex],25))</f>
        <v/>
      </c>
      <c r="AA28" s="17">
        <f>IF(COUNTIFS(T_SelfStock_Log[Part Name],$A28,T_SelfStock_Log[WeekIndex],26)=0,"",SUMIFS(T_SelfStock_Log[Self_Qty],T_SelfStock_Log[Part Name],$A28,T_SelfStock_Log[WeekIndex],26))</f>
        <v/>
      </c>
      <c r="AB28" s="17">
        <f>IF(COUNTIFS(T_SelfStock_Log[Part Name],$A28,T_SelfStock_Log[WeekIndex],27)=0,"",SUMIFS(T_SelfStock_Log[Self_Qty],T_SelfStock_Log[Part Name],$A28,T_SelfStock_Log[WeekIndex],27))</f>
        <v/>
      </c>
      <c r="AC28" s="17">
        <f>IF(COUNTIFS(T_SelfStock_Log[Part Name],$A28,T_SelfStock_Log[WeekIndex],28)=0,"",SUMIFS(T_SelfStock_Log[Self_Qty],T_SelfStock_Log[Part Name],$A28,T_SelfStock_Log[WeekIndex],28))</f>
        <v/>
      </c>
      <c r="AD28" s="17">
        <f>IF(COUNTIFS(T_SelfStock_Log[Part Name],$A28,T_SelfStock_Log[WeekIndex],29)=0,"",SUMIFS(T_SelfStock_Log[Self_Qty],T_SelfStock_Log[Part Name],$A28,T_SelfStock_Log[WeekIndex],29))</f>
        <v/>
      </c>
      <c r="AE28" s="17">
        <f>IF(COUNTIFS(T_SelfStock_Log[Part Name],$A28,T_SelfStock_Log[WeekIndex],30)=0,"",SUMIFS(T_SelfStock_Log[Self_Qty],T_SelfStock_Log[Part Name],$A28,T_SelfStock_Log[WeekIndex],30))</f>
        <v/>
      </c>
      <c r="AF28" s="17">
        <f>IF(COUNTIFS(T_SelfStock_Log[Part Name],$A28,T_SelfStock_Log[WeekIndex],31)=0,"",SUMIFS(T_SelfStock_Log[Self_Qty],T_SelfStock_Log[Part Name],$A28,T_SelfStock_Log[WeekIndex],31))</f>
        <v/>
      </c>
      <c r="AG28" s="17">
        <f>IF(COUNTIFS(T_SelfStock_Log[Part Name],$A28,T_SelfStock_Log[WeekIndex],32)=0,"",SUMIFS(T_SelfStock_Log[Self_Qty],T_SelfStock_Log[Part Name],$A28,T_SelfStock_Log[WeekIndex],32))</f>
        <v/>
      </c>
      <c r="AH28" s="17">
        <f>IF(COUNTIFS(T_SelfStock_Log[Part Name],$A28,T_SelfStock_Log[WeekIndex],33)=0,"",SUMIFS(T_SelfStock_Log[Self_Qty],T_SelfStock_Log[Part Name],$A28,T_SelfStock_Log[WeekIndex],33))</f>
        <v/>
      </c>
      <c r="AI28" s="17">
        <f>IF(COUNTIFS(T_SelfStock_Log[Part Name],$A28,T_SelfStock_Log[WeekIndex],34)=0,"",SUMIFS(T_SelfStock_Log[Self_Qty],T_SelfStock_Log[Part Name],$A28,T_SelfStock_Log[WeekIndex],34))</f>
        <v/>
      </c>
      <c r="AJ28" s="17">
        <f>IF(COUNTIFS(T_SelfStock_Log[Part Name],$A28,T_SelfStock_Log[WeekIndex],35)=0,"",SUMIFS(T_SelfStock_Log[Self_Qty],T_SelfStock_Log[Part Name],$A28,T_SelfStock_Log[WeekIndex],35))</f>
        <v/>
      </c>
      <c r="AK28" s="17">
        <f>IF(COUNTIFS(T_SelfStock_Log[Part Name],$A28,T_SelfStock_Log[WeekIndex],36)=0,"",SUMIFS(T_SelfStock_Log[Self_Qty],T_SelfStock_Log[Part Name],$A28,T_SelfStock_Log[WeekIndex],36))</f>
        <v/>
      </c>
      <c r="AL28" s="17">
        <f>IF(COUNTIFS(T_SelfStock_Log[Part Name],$A28,T_SelfStock_Log[WeekIndex],37)=0,"",SUMIFS(T_SelfStock_Log[Self_Qty],T_SelfStock_Log[Part Name],$A28,T_SelfStock_Log[WeekIndex],37))</f>
        <v/>
      </c>
      <c r="AM28" s="17">
        <f>IF(COUNTIFS(T_SelfStock_Log[Part Name],$A28,T_SelfStock_Log[WeekIndex],38)=0,"",SUMIFS(T_SelfStock_Log[Self_Qty],T_SelfStock_Log[Part Name],$A28,T_SelfStock_Log[WeekIndex],38))</f>
        <v/>
      </c>
      <c r="AN28" s="17">
        <f>IF(COUNTIFS(T_SelfStock_Log[Part Name],$A28,T_SelfStock_Log[WeekIndex],39)=0,"",SUMIFS(T_SelfStock_Log[Self_Qty],T_SelfStock_Log[Part Name],$A28,T_SelfStock_Log[WeekIndex],39))</f>
        <v/>
      </c>
      <c r="AO28" s="17">
        <f>IF(COUNTIFS(T_SelfStock_Log[Part Name],$A28,T_SelfStock_Log[WeekIndex],40)=0,"",SUMIFS(T_SelfStock_Log[Self_Qty],T_SelfStock_Log[Part Name],$A28,T_SelfStock_Log[WeekIndex],40))</f>
        <v/>
      </c>
      <c r="AP28" s="17">
        <f>IF(COUNTIFS(T_SelfStock_Log[Part Name],$A28,T_SelfStock_Log[WeekIndex],41)=0,"",SUMIFS(T_SelfStock_Log[Self_Qty],T_SelfStock_Log[Part Name],$A28,T_SelfStock_Log[WeekIndex],41))</f>
        <v/>
      </c>
      <c r="AQ28" s="17">
        <f>IF(COUNTIFS(T_SelfStock_Log[Part Name],$A28,T_SelfStock_Log[WeekIndex],42)=0,"",SUMIFS(T_SelfStock_Log[Self_Qty],T_SelfStock_Log[Part Name],$A28,T_SelfStock_Log[WeekIndex],42))</f>
        <v/>
      </c>
      <c r="AR28" s="17">
        <f>IF(COUNTIFS(T_SelfStock_Log[Part Name],$A28,T_SelfStock_Log[WeekIndex],43)=0,"",SUMIFS(T_SelfStock_Log[Self_Qty],T_SelfStock_Log[Part Name],$A28,T_SelfStock_Log[WeekIndex],43))</f>
        <v/>
      </c>
      <c r="AS28" s="17">
        <f>IF(COUNTIFS(T_SelfStock_Log[Part Name],$A28,T_SelfStock_Log[WeekIndex],44)=0,"",SUMIFS(T_SelfStock_Log[Self_Qty],T_SelfStock_Log[Part Name],$A28,T_SelfStock_Log[WeekIndex],44))</f>
        <v/>
      </c>
      <c r="AT28" s="17">
        <f>IF(COUNTIFS(T_SelfStock_Log[Part Name],$A28,T_SelfStock_Log[WeekIndex],45)=0,"",SUMIFS(T_SelfStock_Log[Self_Qty],T_SelfStock_Log[Part Name],$A28,T_SelfStock_Log[WeekIndex],45))</f>
        <v/>
      </c>
      <c r="AU28" s="17">
        <f>IF(COUNTIFS(T_SelfStock_Log[Part Name],$A28,T_SelfStock_Log[WeekIndex],46)=0,"",SUMIFS(T_SelfStock_Log[Self_Qty],T_SelfStock_Log[Part Name],$A28,T_SelfStock_Log[WeekIndex],46))</f>
        <v/>
      </c>
      <c r="AV28" s="17">
        <f>IF(COUNTIFS(T_SelfStock_Log[Part Name],$A28,T_SelfStock_Log[WeekIndex],47)=0,"",SUMIFS(T_SelfStock_Log[Self_Qty],T_SelfStock_Log[Part Name],$A28,T_SelfStock_Log[WeekIndex],47))</f>
        <v/>
      </c>
      <c r="AW28" s="17">
        <f>IF(COUNTIFS(T_SelfStock_Log[Part Name],$A28,T_SelfStock_Log[WeekIndex],48)=0,"",SUMIFS(T_SelfStock_Log[Self_Qty],T_SelfStock_Log[Part Name],$A28,T_SelfStock_Log[WeekIndex],48))</f>
        <v/>
      </c>
      <c r="AX28" s="17">
        <f>IF(COUNTIFS(T_SelfStock_Log[Part Name],$A28,T_SelfStock_Log[WeekIndex],49)=0,"",SUMIFS(T_SelfStock_Log[Self_Qty],T_SelfStock_Log[Part Name],$A28,T_SelfStock_Log[WeekIndex],49))</f>
        <v/>
      </c>
      <c r="AY28" s="17">
        <f>IF(COUNTIFS(T_SelfStock_Log[Part Name],$A28,T_SelfStock_Log[WeekIndex],50)=0,"",SUMIFS(T_SelfStock_Log[Self_Qty],T_SelfStock_Log[Part Name],$A28,T_SelfStock_Log[WeekIndex],50))</f>
        <v/>
      </c>
      <c r="AZ28" s="17">
        <f>IF(COUNTIFS(T_SelfStock_Log[Part Name],$A28,T_SelfStock_Log[WeekIndex],51)=0,"",SUMIFS(T_SelfStock_Log[Self_Qty],T_SelfStock_Log[Part Name],$A28,T_SelfStock_Log[WeekIndex],51))</f>
        <v/>
      </c>
      <c r="BA28" s="17">
        <f>IF(COUNTIFS(T_SelfStock_Log[Part Name],$A28,T_SelfStock_Log[WeekIndex],52)=0,"",SUMIFS(T_SelfStock_Log[Self_Qty],T_SelfStock_Log[Part Name],$A28,T_SelfStock_Log[WeekIndex],52))</f>
        <v/>
      </c>
      <c r="BB28" s="17">
        <f>IF(COUNTIFS(T_SelfStock_Log[Part Name],$A28,T_SelfStock_Log[WeekIndex],53)=0,"",SUMIFS(T_SelfStock_Log[Self_Qty],T_SelfStock_Log[Part Name],$A28,T_SelfStock_Log[WeekIndex],53))</f>
        <v/>
      </c>
      <c r="BC28" s="17">
        <f>IF(COUNTIFS(T_SelfStock_Log[Part Name],$A28,T_SelfStock_Log[WeekIndex],54)=0,"",SUMIFS(T_SelfStock_Log[Self_Qty],T_SelfStock_Log[Part Name],$A28,T_SelfStock_Log[WeekIndex],54))</f>
        <v/>
      </c>
      <c r="BD28" s="17">
        <f>IF(COUNTIFS(T_SelfStock_Log[Part Name],$A28,T_SelfStock_Log[WeekIndex],55)=0,"",SUMIFS(T_SelfStock_Log[Self_Qty],T_SelfStock_Log[Part Name],$A28,T_SelfStock_Log[WeekIndex],55))</f>
        <v/>
      </c>
      <c r="BE28" s="17">
        <f>IF(COUNTIFS(T_SelfStock_Log[Part Name],$A28,T_SelfStock_Log[WeekIndex],56)=0,"",SUMIFS(T_SelfStock_Log[Self_Qty],T_SelfStock_Log[Part Name],$A28,T_SelfStock_Log[WeekIndex],56))</f>
        <v/>
      </c>
      <c r="BF28" s="17">
        <f>IF(COUNTIFS(T_SelfStock_Log[Part Name],$A28,T_SelfStock_Log[WeekIndex],57)=0,"",SUMIFS(T_SelfStock_Log[Self_Qty],T_SelfStock_Log[Part Name],$A28,T_SelfStock_Log[WeekIndex],57))</f>
        <v/>
      </c>
      <c r="BG28" s="17">
        <f>IF(COUNTIFS(T_SelfStock_Log[Part Name],$A28,T_SelfStock_Log[WeekIndex],58)=0,"",SUMIFS(T_SelfStock_Log[Self_Qty],T_SelfStock_Log[Part Name],$A28,T_SelfStock_Log[WeekIndex],58))</f>
        <v/>
      </c>
      <c r="BH28" s="17">
        <f>IF(COUNTIFS(T_SelfStock_Log[Part Name],$A28,T_SelfStock_Log[WeekIndex],59)=0,"",SUMIFS(T_SelfStock_Log[Self_Qty],T_SelfStock_Log[Part Name],$A28,T_SelfStock_Log[WeekIndex],59))</f>
        <v/>
      </c>
      <c r="BI28" s="17">
        <f>IF(COUNTIFS(T_SelfStock_Log[Part Name],$A28,T_SelfStock_Log[WeekIndex],60)=0,"",SUMIFS(T_SelfStock_Log[Self_Qty],T_SelfStock_Log[Part Name],$A28,T_SelfStock_Log[WeekIndex],60))</f>
        <v/>
      </c>
      <c r="BJ28" s="17">
        <f>IF(COUNTIFS(T_SelfStock_Log[Part Name],$A28,T_SelfStock_Log[WeekIndex],61)=0,"",SUMIFS(T_SelfStock_Log[Self_Qty],T_SelfStock_Log[Part Name],$A28,T_SelfStock_Log[WeekIndex],61))</f>
        <v/>
      </c>
      <c r="BK28" s="17">
        <f>IF(COUNTIFS(T_SelfStock_Log[Part Name],$A28,T_SelfStock_Log[WeekIndex],62)=0,"",SUMIFS(T_SelfStock_Log[Self_Qty],T_SelfStock_Log[Part Name],$A28,T_SelfStock_Log[WeekIndex],62))</f>
        <v/>
      </c>
      <c r="BL28" s="17">
        <f>IF(COUNTIFS(T_SelfStock_Log[Part Name],$A28,T_SelfStock_Log[WeekIndex],63)=0,"",SUMIFS(T_SelfStock_Log[Self_Qty],T_SelfStock_Log[Part Name],$A28,T_SelfStock_Log[WeekIndex],63))</f>
        <v/>
      </c>
      <c r="BM28" s="17">
        <f>IF(COUNTIFS(T_SelfStock_Log[Part Name],$A28,T_SelfStock_Log[WeekIndex],64)=0,"",SUMIFS(T_SelfStock_Log[Self_Qty],T_SelfStock_Log[Part Name],$A28,T_SelfStock_Log[WeekIndex],64))</f>
        <v/>
      </c>
      <c r="BN28" s="17">
        <f>IF(COUNTIFS(T_SelfStock_Log[Part Name],$A28,T_SelfStock_Log[WeekIndex],65)=0,"",SUMIFS(T_SelfStock_Log[Self_Qty],T_SelfStock_Log[Part Name],$A28,T_SelfStock_Log[WeekIndex],65))</f>
        <v/>
      </c>
      <c r="BO28" s="17">
        <f>IF(COUNTIFS(T_SelfStock_Log[Part Name],$A28,T_SelfStock_Log[WeekIndex],66)=0,"",SUMIFS(T_SelfStock_Log[Self_Qty],T_SelfStock_Log[Part Name],$A28,T_SelfStock_Log[WeekIndex],66))</f>
        <v/>
      </c>
      <c r="BP28" s="17">
        <f>IF(COUNTIFS(T_SelfStock_Log[Part Name],$A28,T_SelfStock_Log[WeekIndex],67)=0,"",SUMIFS(T_SelfStock_Log[Self_Qty],T_SelfStock_Log[Part Name],$A28,T_SelfStock_Log[WeekIndex],67))</f>
        <v/>
      </c>
      <c r="BQ28" s="17">
        <f>IF(COUNTIFS(T_SelfStock_Log[Part Name],$A28,T_SelfStock_Log[WeekIndex],68)=0,"",SUMIFS(T_SelfStock_Log[Self_Qty],T_SelfStock_Log[Part Name],$A28,T_SelfStock_Log[WeekIndex],68))</f>
        <v/>
      </c>
      <c r="BR28" s="17">
        <f>IF(COUNTIFS(T_SelfStock_Log[Part Name],$A28,T_SelfStock_Log[WeekIndex],69)=0,"",SUMIFS(T_SelfStock_Log[Self_Qty],T_SelfStock_Log[Part Name],$A28,T_SelfStock_Log[WeekIndex],69))</f>
        <v/>
      </c>
      <c r="BS28" s="17">
        <f>IF(COUNTIFS(T_SelfStock_Log[Part Name],$A28,T_SelfStock_Log[WeekIndex],70)=0,"",SUMIFS(T_SelfStock_Log[Self_Qty],T_SelfStock_Log[Part Name],$A28,T_SelfStock_Log[WeekIndex],70))</f>
        <v/>
      </c>
      <c r="BT28" s="17">
        <f>IF(COUNTIFS(T_SelfStock_Log[Part Name],$A28,T_SelfStock_Log[WeekIndex],71)=0,"",SUMIFS(T_SelfStock_Log[Self_Qty],T_SelfStock_Log[Part Name],$A28,T_SelfStock_Log[WeekIndex],71))</f>
        <v/>
      </c>
      <c r="BU28" s="17">
        <f>IF(COUNTIFS(T_SelfStock_Log[Part Name],$A28,T_SelfStock_Log[WeekIndex],72)=0,"",SUMIFS(T_SelfStock_Log[Self_Qty],T_SelfStock_Log[Part Name],$A28,T_SelfStock_Log[WeekIndex],72))</f>
        <v/>
      </c>
      <c r="BV28" s="17">
        <f>IF(COUNTIFS(T_SelfStock_Log[Part Name],$A28,T_SelfStock_Log[WeekIndex],73)=0,"",SUMIFS(T_SelfStock_Log[Self_Qty],T_SelfStock_Log[Part Name],$A28,T_SelfStock_Log[WeekIndex],73))</f>
        <v/>
      </c>
      <c r="BW28" s="17">
        <f>IF(COUNTIFS(T_SelfStock_Log[Part Name],$A28,T_SelfStock_Log[WeekIndex],74)=0,"",SUMIFS(T_SelfStock_Log[Self_Qty],T_SelfStock_Log[Part Name],$A28,T_SelfStock_Log[WeekIndex],74))</f>
        <v/>
      </c>
      <c r="BX28" s="17">
        <f>IF(COUNTIFS(T_SelfStock_Log[Part Name],$A28,T_SelfStock_Log[WeekIndex],75)=0,"",SUMIFS(T_SelfStock_Log[Self_Qty],T_SelfStock_Log[Part Name],$A28,T_SelfStock_Log[WeekIndex],75))</f>
        <v/>
      </c>
      <c r="BY28" s="17">
        <f>IF(COUNTIFS(T_SelfStock_Log[Part Name],$A28,T_SelfStock_Log[WeekIndex],76)=0,"",SUMIFS(T_SelfStock_Log[Self_Qty],T_SelfStock_Log[Part Name],$A28,T_SelfStock_Log[WeekIndex],76))</f>
        <v/>
      </c>
      <c r="BZ28" s="17">
        <f>IF(COUNTIFS(T_SelfStock_Log[Part Name],$A28,T_SelfStock_Log[WeekIndex],77)=0,"",SUMIFS(T_SelfStock_Log[Self_Qty],T_SelfStock_Log[Part Name],$A28,T_SelfStock_Log[WeekIndex],77))</f>
        <v/>
      </c>
      <c r="CA28" s="17">
        <f>IF(COUNTIFS(T_SelfStock_Log[Part Name],$A28,T_SelfStock_Log[WeekIndex],78)=0,"",SUMIFS(T_SelfStock_Log[Self_Qty],T_SelfStock_Log[Part Name],$A28,T_SelfStock_Log[WeekIndex],78))</f>
        <v/>
      </c>
      <c r="CB28" s="17">
        <f>IF(COUNTIFS(T_SelfStock_Log[Part Name],$A28,T_SelfStock_Log[WeekIndex],79)=0,"",SUMIFS(T_SelfStock_Log[Self_Qty],T_SelfStock_Log[Part Name],$A28,T_SelfStock_Log[WeekIndex],79))</f>
        <v/>
      </c>
      <c r="CC28" s="17">
        <f>IF(COUNTIFS(T_SelfStock_Log[Part Name],$A28,T_SelfStock_Log[WeekIndex],80)=0,"",SUMIFS(T_SelfStock_Log[Self_Qty],T_SelfStock_Log[Part Name],$A28,T_SelfStock_Log[WeekIndex],80))</f>
        <v/>
      </c>
      <c r="CD28" s="17">
        <f>IF(COUNTIFS(T_SelfStock_Log[Part Name],$A28,T_SelfStock_Log[WeekIndex],81)=0,"",SUMIFS(T_SelfStock_Log[Self_Qty],T_SelfStock_Log[Part Name],$A28,T_SelfStock_Log[WeekIndex],81))</f>
        <v/>
      </c>
      <c r="CE28" s="17">
        <f>IF(COUNTIFS(T_SelfStock_Log[Part Name],$A28,T_SelfStock_Log[WeekIndex],82)=0,"",SUMIFS(T_SelfStock_Log[Self_Qty],T_SelfStock_Log[Part Name],$A28,T_SelfStock_Log[WeekIndex],82))</f>
        <v/>
      </c>
      <c r="CF28" s="17">
        <f>IF(COUNTIFS(T_SelfStock_Log[Part Name],$A28,T_SelfStock_Log[WeekIndex],83)=0,"",SUMIFS(T_SelfStock_Log[Self_Qty],T_SelfStock_Log[Part Name],$A28,T_SelfStock_Log[WeekIndex],83))</f>
        <v/>
      </c>
      <c r="CG28" s="17">
        <f>IF(COUNTIFS(T_SelfStock_Log[Part Name],$A28,T_SelfStock_Log[WeekIndex],84)=0,"",SUMIFS(T_SelfStock_Log[Self_Qty],T_SelfStock_Log[Part Name],$A28,T_SelfStock_Log[WeekIndex],84))</f>
        <v/>
      </c>
      <c r="CH28" s="17">
        <f>IF(COUNTIFS(T_SelfStock_Log[Part Name],$A28,T_SelfStock_Log[WeekIndex],85)=0,"",SUMIFS(T_SelfStock_Log[Self_Qty],T_SelfStock_Log[Part Name],$A28,T_SelfStock_Log[WeekIndex],85))</f>
        <v/>
      </c>
      <c r="CI28" s="17">
        <f>IF(COUNTIFS(T_SelfStock_Log[Part Name],$A28,T_SelfStock_Log[WeekIndex],86)=0,"",SUMIFS(T_SelfStock_Log[Self_Qty],T_SelfStock_Log[Part Name],$A28,T_SelfStock_Log[WeekIndex],86))</f>
        <v/>
      </c>
      <c r="CJ28" s="17">
        <f>IF(COUNTIFS(T_SelfStock_Log[Part Name],$A28,T_SelfStock_Log[WeekIndex],87)=0,"",SUMIFS(T_SelfStock_Log[Self_Qty],T_SelfStock_Log[Part Name],$A28,T_SelfStock_Log[WeekIndex],87))</f>
        <v/>
      </c>
      <c r="CK28" s="17">
        <f>IF(COUNTIFS(T_SelfStock_Log[Part Name],$A28,T_SelfStock_Log[WeekIndex],88)=0,"",SUMIFS(T_SelfStock_Log[Self_Qty],T_SelfStock_Log[Part Name],$A28,T_SelfStock_Log[WeekIndex],88))</f>
        <v/>
      </c>
      <c r="CL28" s="17">
        <f>IF(COUNTIFS(T_SelfStock_Log[Part Name],$A28,T_SelfStock_Log[WeekIndex],89)=0,"",SUMIFS(T_SelfStock_Log[Self_Qty],T_SelfStock_Log[Part Name],$A28,T_SelfStock_Log[WeekIndex],89))</f>
        <v/>
      </c>
      <c r="CM28" s="17">
        <f>IF(COUNTIFS(T_SelfStock_Log[Part Name],$A28,T_SelfStock_Log[WeekIndex],90)=0,"",SUMIFS(T_SelfStock_Log[Self_Qty],T_SelfStock_Log[Part Name],$A28,T_SelfStock_Log[WeekIndex],90))</f>
        <v/>
      </c>
      <c r="CN28" s="17">
        <f>IF(COUNTIFS(T_SelfStock_Log[Part Name],$A28,T_SelfStock_Log[WeekIndex],91)=0,"",SUMIFS(T_SelfStock_Log[Self_Qty],T_SelfStock_Log[Part Name],$A28,T_SelfStock_Log[WeekIndex],91))</f>
        <v/>
      </c>
      <c r="CO28" s="17">
        <f>IF(COUNTIFS(T_SelfStock_Log[Part Name],$A28,T_SelfStock_Log[WeekIndex],92)=0,"",SUMIFS(T_SelfStock_Log[Self_Qty],T_SelfStock_Log[Part Name],$A28,T_SelfStock_Log[WeekIndex],92))</f>
        <v/>
      </c>
      <c r="CP28" s="17">
        <f>IF(COUNTIFS(T_SelfStock_Log[Part Name],$A28,T_SelfStock_Log[WeekIndex],93)=0,"",SUMIFS(T_SelfStock_Log[Self_Qty],T_SelfStock_Log[Part Name],$A28,T_SelfStock_Log[WeekIndex],93))</f>
        <v/>
      </c>
      <c r="CQ28" s="17">
        <f>IF(COUNTIFS(T_SelfStock_Log[Part Name],$A28,T_SelfStock_Log[WeekIndex],94)=0,"",SUMIFS(T_SelfStock_Log[Self_Qty],T_SelfStock_Log[Part Name],$A28,T_SelfStock_Log[WeekIndex],94))</f>
        <v/>
      </c>
      <c r="CR28" s="17">
        <f>IF(COUNTIFS(T_SelfStock_Log[Part Name],$A28,T_SelfStock_Log[WeekIndex],95)=0,"",SUMIFS(T_SelfStock_Log[Self_Qty],T_SelfStock_Log[Part Name],$A28,T_SelfStock_Log[WeekIndex],95))</f>
        <v/>
      </c>
      <c r="CS28" s="17">
        <f>IF(COUNTIFS(T_SelfStock_Log[Part Name],$A28,T_SelfStock_Log[WeekIndex],96)=0,"",SUMIFS(T_SelfStock_Log[Self_Qty],T_SelfStock_Log[Part Name],$A28,T_SelfStock_Log[WeekIndex],96))</f>
        <v/>
      </c>
      <c r="CT28" s="17">
        <f>IF(COUNTIFS(T_SelfStock_Log[Part Name],$A28,T_SelfStock_Log[WeekIndex],97)=0,"",SUMIFS(T_SelfStock_Log[Self_Qty],T_SelfStock_Log[Part Name],$A28,T_SelfStock_Log[WeekIndex],97))</f>
        <v/>
      </c>
      <c r="CU28" s="17">
        <f>IF(COUNTIFS(T_SelfStock_Log[Part Name],$A28,T_SelfStock_Log[WeekIndex],98)=0,"",SUMIFS(T_SelfStock_Log[Self_Qty],T_SelfStock_Log[Part Name],$A28,T_SelfStock_Log[WeekIndex],98))</f>
        <v/>
      </c>
      <c r="CV28" s="17">
        <f>IF(COUNTIFS(T_SelfStock_Log[Part Name],$A28,T_SelfStock_Log[WeekIndex],99)=0,"",SUMIFS(T_SelfStock_Log[Self_Qty],T_SelfStock_Log[Part Name],$A28,T_SelfStock_Log[WeekIndex],99))</f>
        <v/>
      </c>
      <c r="CW28" s="17">
        <f>IF(COUNTIFS(T_SelfStock_Log[Part Name],$A28,T_SelfStock_Log[WeekIndex],100)=0,"",SUMIFS(T_SelfStock_Log[Self_Qty],T_SelfStock_Log[Part Name],$A28,T_SelfStock_Log[WeekIndex],100))</f>
        <v/>
      </c>
      <c r="CX28" s="17">
        <f>IF(COUNTIFS(T_SelfStock_Log[Part Name],$A28,T_SelfStock_Log[WeekIndex],101)=0,"",SUMIFS(T_SelfStock_Log[Self_Qty],T_SelfStock_Log[Part Name],$A28,T_SelfStock_Log[WeekIndex],101))</f>
        <v/>
      </c>
      <c r="CY28" s="17">
        <f>IF(COUNTIFS(T_SelfStock_Log[Part Name],$A28,T_SelfStock_Log[WeekIndex],102)=0,"",SUMIFS(T_SelfStock_Log[Self_Qty],T_SelfStock_Log[Part Name],$A28,T_SelfStock_Log[WeekIndex],102))</f>
        <v/>
      </c>
      <c r="CZ28" s="17">
        <f>IF(COUNTIFS(T_SelfStock_Log[Part Name],$A28,T_SelfStock_Log[WeekIndex],103)=0,"",SUMIFS(T_SelfStock_Log[Self_Qty],T_SelfStock_Log[Part Name],$A28,T_SelfStock_Log[WeekIndex],103))</f>
        <v/>
      </c>
      <c r="DA28" s="17">
        <f>IF(COUNTIFS(T_SelfStock_Log[Part Name],$A28,T_SelfStock_Log[WeekIndex],104)=0,"",SUMIFS(T_SelfStock_Log[Self_Qty],T_SelfStock_Log[Part Name],$A28,T_SelfStock_Log[WeekIndex],104))</f>
        <v/>
      </c>
    </row>
    <row r="29">
      <c r="A29" s="19" t="inlineStr">
        <is>
          <t>CHEM-1510</t>
        </is>
      </c>
      <c r="B29" s="19">
        <f>IF(COUNTIFS(T_SelfStock_Log[Part Name],$A29,T_SelfStock_Log[WeekIndex],1)=0,"",SUMIFS(T_SelfStock_Log[Self_Qty],T_SelfStock_Log[Part Name],$A29,T_SelfStock_Log[WeekIndex],1))</f>
        <v/>
      </c>
      <c r="C29" s="19">
        <f>IF(COUNTIFS(T_SelfStock_Log[Part Name],$A29,T_SelfStock_Log[WeekIndex],2)=0,"",SUMIFS(T_SelfStock_Log[Self_Qty],T_SelfStock_Log[Part Name],$A29,T_SelfStock_Log[WeekIndex],2))</f>
        <v/>
      </c>
      <c r="D29" s="19">
        <f>IF(COUNTIFS(T_SelfStock_Log[Part Name],$A29,T_SelfStock_Log[WeekIndex],3)=0,"",SUMIFS(T_SelfStock_Log[Self_Qty],T_SelfStock_Log[Part Name],$A29,T_SelfStock_Log[WeekIndex],3))</f>
        <v/>
      </c>
      <c r="E29" s="19">
        <f>IF(COUNTIFS(T_SelfStock_Log[Part Name],$A29,T_SelfStock_Log[WeekIndex],4)=0,"",SUMIFS(T_SelfStock_Log[Self_Qty],T_SelfStock_Log[Part Name],$A29,T_SelfStock_Log[WeekIndex],4))</f>
        <v/>
      </c>
      <c r="F29" s="19">
        <f>IF(COUNTIFS(T_SelfStock_Log[Part Name],$A29,T_SelfStock_Log[WeekIndex],5)=0,"",SUMIFS(T_SelfStock_Log[Self_Qty],T_SelfStock_Log[Part Name],$A29,T_SelfStock_Log[WeekIndex],5))</f>
        <v/>
      </c>
      <c r="G29" s="19">
        <f>IF(COUNTIFS(T_SelfStock_Log[Part Name],$A29,T_SelfStock_Log[WeekIndex],6)=0,"",SUMIFS(T_SelfStock_Log[Self_Qty],T_SelfStock_Log[Part Name],$A29,T_SelfStock_Log[WeekIndex],6))</f>
        <v/>
      </c>
      <c r="H29" s="19">
        <f>IF(COUNTIFS(T_SelfStock_Log[Part Name],$A29,T_SelfStock_Log[WeekIndex],7)=0,"",SUMIFS(T_SelfStock_Log[Self_Qty],T_SelfStock_Log[Part Name],$A29,T_SelfStock_Log[WeekIndex],7))</f>
        <v/>
      </c>
      <c r="I29" s="19">
        <f>IF(COUNTIFS(T_SelfStock_Log[Part Name],$A29,T_SelfStock_Log[WeekIndex],8)=0,"",SUMIFS(T_SelfStock_Log[Self_Qty],T_SelfStock_Log[Part Name],$A29,T_SelfStock_Log[WeekIndex],8))</f>
        <v/>
      </c>
      <c r="J29" s="19">
        <f>IF(COUNTIFS(T_SelfStock_Log[Part Name],$A29,T_SelfStock_Log[WeekIndex],9)=0,"",SUMIFS(T_SelfStock_Log[Self_Qty],T_SelfStock_Log[Part Name],$A29,T_SelfStock_Log[WeekIndex],9))</f>
        <v/>
      </c>
      <c r="K29" s="19">
        <f>IF(COUNTIFS(T_SelfStock_Log[Part Name],$A29,T_SelfStock_Log[WeekIndex],10)=0,"",SUMIFS(T_SelfStock_Log[Self_Qty],T_SelfStock_Log[Part Name],$A29,T_SelfStock_Log[WeekIndex],10))</f>
        <v/>
      </c>
      <c r="L29" s="19">
        <f>IF(COUNTIFS(T_SelfStock_Log[Part Name],$A29,T_SelfStock_Log[WeekIndex],11)=0,"",SUMIFS(T_SelfStock_Log[Self_Qty],T_SelfStock_Log[Part Name],$A29,T_SelfStock_Log[WeekIndex],11))</f>
        <v/>
      </c>
      <c r="M29" s="19">
        <f>IF(COUNTIFS(T_SelfStock_Log[Part Name],$A29,T_SelfStock_Log[WeekIndex],12)=0,"",SUMIFS(T_SelfStock_Log[Self_Qty],T_SelfStock_Log[Part Name],$A29,T_SelfStock_Log[WeekIndex],12))</f>
        <v/>
      </c>
      <c r="N29" s="19">
        <f>IF(COUNTIFS(T_SelfStock_Log[Part Name],$A29,T_SelfStock_Log[WeekIndex],13)=0,"",SUMIFS(T_SelfStock_Log[Self_Qty],T_SelfStock_Log[Part Name],$A29,T_SelfStock_Log[WeekIndex],13))</f>
        <v/>
      </c>
      <c r="O29" s="19">
        <f>IF(COUNTIFS(T_SelfStock_Log[Part Name],$A29,T_SelfStock_Log[WeekIndex],14)=0,"",SUMIFS(T_SelfStock_Log[Self_Qty],T_SelfStock_Log[Part Name],$A29,T_SelfStock_Log[WeekIndex],14))</f>
        <v/>
      </c>
      <c r="P29" s="19">
        <f>IF(COUNTIFS(T_SelfStock_Log[Part Name],$A29,T_SelfStock_Log[WeekIndex],15)=0,"",SUMIFS(T_SelfStock_Log[Self_Qty],T_SelfStock_Log[Part Name],$A29,T_SelfStock_Log[WeekIndex],15))</f>
        <v/>
      </c>
      <c r="Q29" s="19">
        <f>IF(COUNTIFS(T_SelfStock_Log[Part Name],$A29,T_SelfStock_Log[WeekIndex],16)=0,"",SUMIFS(T_SelfStock_Log[Self_Qty],T_SelfStock_Log[Part Name],$A29,T_SelfStock_Log[WeekIndex],16))</f>
        <v/>
      </c>
      <c r="R29" s="19">
        <f>IF(COUNTIFS(T_SelfStock_Log[Part Name],$A29,T_SelfStock_Log[WeekIndex],17)=0,"",SUMIFS(T_SelfStock_Log[Self_Qty],T_SelfStock_Log[Part Name],$A29,T_SelfStock_Log[WeekIndex],17))</f>
        <v/>
      </c>
      <c r="S29" s="19">
        <f>IF(COUNTIFS(T_SelfStock_Log[Part Name],$A29,T_SelfStock_Log[WeekIndex],18)=0,"",SUMIFS(T_SelfStock_Log[Self_Qty],T_SelfStock_Log[Part Name],$A29,T_SelfStock_Log[WeekIndex],18))</f>
        <v/>
      </c>
      <c r="T29" s="19">
        <f>IF(COUNTIFS(T_SelfStock_Log[Part Name],$A29,T_SelfStock_Log[WeekIndex],19)=0,"",SUMIFS(T_SelfStock_Log[Self_Qty],T_SelfStock_Log[Part Name],$A29,T_SelfStock_Log[WeekIndex],19))</f>
        <v/>
      </c>
      <c r="U29" s="19">
        <f>IF(COUNTIFS(T_SelfStock_Log[Part Name],$A29,T_SelfStock_Log[WeekIndex],20)=0,"",SUMIFS(T_SelfStock_Log[Self_Qty],T_SelfStock_Log[Part Name],$A29,T_SelfStock_Log[WeekIndex],20))</f>
        <v/>
      </c>
      <c r="V29" s="19">
        <f>IF(COUNTIFS(T_SelfStock_Log[Part Name],$A29,T_SelfStock_Log[WeekIndex],21)=0,"",SUMIFS(T_SelfStock_Log[Self_Qty],T_SelfStock_Log[Part Name],$A29,T_SelfStock_Log[WeekIndex],21))</f>
        <v/>
      </c>
      <c r="W29" s="19">
        <f>IF(COUNTIFS(T_SelfStock_Log[Part Name],$A29,T_SelfStock_Log[WeekIndex],22)=0,"",SUMIFS(T_SelfStock_Log[Self_Qty],T_SelfStock_Log[Part Name],$A29,T_SelfStock_Log[WeekIndex],22))</f>
        <v/>
      </c>
      <c r="X29" s="19">
        <f>IF(COUNTIFS(T_SelfStock_Log[Part Name],$A29,T_SelfStock_Log[WeekIndex],23)=0,"",SUMIFS(T_SelfStock_Log[Self_Qty],T_SelfStock_Log[Part Name],$A29,T_SelfStock_Log[WeekIndex],23))</f>
        <v/>
      </c>
      <c r="Y29" s="19">
        <f>IF(COUNTIFS(T_SelfStock_Log[Part Name],$A29,T_SelfStock_Log[WeekIndex],24)=0,"",SUMIFS(T_SelfStock_Log[Self_Qty],T_SelfStock_Log[Part Name],$A29,T_SelfStock_Log[WeekIndex],24))</f>
        <v/>
      </c>
      <c r="Z29" s="19">
        <f>IF(COUNTIFS(T_SelfStock_Log[Part Name],$A29,T_SelfStock_Log[WeekIndex],25)=0,"",SUMIFS(T_SelfStock_Log[Self_Qty],T_SelfStock_Log[Part Name],$A29,T_SelfStock_Log[WeekIndex],25))</f>
        <v/>
      </c>
      <c r="AA29" s="19">
        <f>IF(COUNTIFS(T_SelfStock_Log[Part Name],$A29,T_SelfStock_Log[WeekIndex],26)=0,"",SUMIFS(T_SelfStock_Log[Self_Qty],T_SelfStock_Log[Part Name],$A29,T_SelfStock_Log[WeekIndex],26))</f>
        <v/>
      </c>
      <c r="AB29" s="19">
        <f>IF(COUNTIFS(T_SelfStock_Log[Part Name],$A29,T_SelfStock_Log[WeekIndex],27)=0,"",SUMIFS(T_SelfStock_Log[Self_Qty],T_SelfStock_Log[Part Name],$A29,T_SelfStock_Log[WeekIndex],27))</f>
        <v/>
      </c>
      <c r="AC29" s="19">
        <f>IF(COUNTIFS(T_SelfStock_Log[Part Name],$A29,T_SelfStock_Log[WeekIndex],28)=0,"",SUMIFS(T_SelfStock_Log[Self_Qty],T_SelfStock_Log[Part Name],$A29,T_SelfStock_Log[WeekIndex],28))</f>
        <v/>
      </c>
      <c r="AD29" s="19">
        <f>IF(COUNTIFS(T_SelfStock_Log[Part Name],$A29,T_SelfStock_Log[WeekIndex],29)=0,"",SUMIFS(T_SelfStock_Log[Self_Qty],T_SelfStock_Log[Part Name],$A29,T_SelfStock_Log[WeekIndex],29))</f>
        <v/>
      </c>
      <c r="AE29" s="19">
        <f>IF(COUNTIFS(T_SelfStock_Log[Part Name],$A29,T_SelfStock_Log[WeekIndex],30)=0,"",SUMIFS(T_SelfStock_Log[Self_Qty],T_SelfStock_Log[Part Name],$A29,T_SelfStock_Log[WeekIndex],30))</f>
        <v/>
      </c>
      <c r="AF29" s="19">
        <f>IF(COUNTIFS(T_SelfStock_Log[Part Name],$A29,T_SelfStock_Log[WeekIndex],31)=0,"",SUMIFS(T_SelfStock_Log[Self_Qty],T_SelfStock_Log[Part Name],$A29,T_SelfStock_Log[WeekIndex],31))</f>
        <v/>
      </c>
      <c r="AG29" s="19">
        <f>IF(COUNTIFS(T_SelfStock_Log[Part Name],$A29,T_SelfStock_Log[WeekIndex],32)=0,"",SUMIFS(T_SelfStock_Log[Self_Qty],T_SelfStock_Log[Part Name],$A29,T_SelfStock_Log[WeekIndex],32))</f>
        <v/>
      </c>
      <c r="AH29" s="19">
        <f>IF(COUNTIFS(T_SelfStock_Log[Part Name],$A29,T_SelfStock_Log[WeekIndex],33)=0,"",SUMIFS(T_SelfStock_Log[Self_Qty],T_SelfStock_Log[Part Name],$A29,T_SelfStock_Log[WeekIndex],33))</f>
        <v/>
      </c>
      <c r="AI29" s="19">
        <f>IF(COUNTIFS(T_SelfStock_Log[Part Name],$A29,T_SelfStock_Log[WeekIndex],34)=0,"",SUMIFS(T_SelfStock_Log[Self_Qty],T_SelfStock_Log[Part Name],$A29,T_SelfStock_Log[WeekIndex],34))</f>
        <v/>
      </c>
      <c r="AJ29" s="19">
        <f>IF(COUNTIFS(T_SelfStock_Log[Part Name],$A29,T_SelfStock_Log[WeekIndex],35)=0,"",SUMIFS(T_SelfStock_Log[Self_Qty],T_SelfStock_Log[Part Name],$A29,T_SelfStock_Log[WeekIndex],35))</f>
        <v/>
      </c>
      <c r="AK29" s="19">
        <f>IF(COUNTIFS(T_SelfStock_Log[Part Name],$A29,T_SelfStock_Log[WeekIndex],36)=0,"",SUMIFS(T_SelfStock_Log[Self_Qty],T_SelfStock_Log[Part Name],$A29,T_SelfStock_Log[WeekIndex],36))</f>
        <v/>
      </c>
      <c r="AL29" s="19">
        <f>IF(COUNTIFS(T_SelfStock_Log[Part Name],$A29,T_SelfStock_Log[WeekIndex],37)=0,"",SUMIFS(T_SelfStock_Log[Self_Qty],T_SelfStock_Log[Part Name],$A29,T_SelfStock_Log[WeekIndex],37))</f>
        <v/>
      </c>
      <c r="AM29" s="19">
        <f>IF(COUNTIFS(T_SelfStock_Log[Part Name],$A29,T_SelfStock_Log[WeekIndex],38)=0,"",SUMIFS(T_SelfStock_Log[Self_Qty],T_SelfStock_Log[Part Name],$A29,T_SelfStock_Log[WeekIndex],38))</f>
        <v/>
      </c>
      <c r="AN29" s="19">
        <f>IF(COUNTIFS(T_SelfStock_Log[Part Name],$A29,T_SelfStock_Log[WeekIndex],39)=0,"",SUMIFS(T_SelfStock_Log[Self_Qty],T_SelfStock_Log[Part Name],$A29,T_SelfStock_Log[WeekIndex],39))</f>
        <v/>
      </c>
      <c r="AO29" s="19">
        <f>IF(COUNTIFS(T_SelfStock_Log[Part Name],$A29,T_SelfStock_Log[WeekIndex],40)=0,"",SUMIFS(T_SelfStock_Log[Self_Qty],T_SelfStock_Log[Part Name],$A29,T_SelfStock_Log[WeekIndex],40))</f>
        <v/>
      </c>
      <c r="AP29" s="19">
        <f>IF(COUNTIFS(T_SelfStock_Log[Part Name],$A29,T_SelfStock_Log[WeekIndex],41)=0,"",SUMIFS(T_SelfStock_Log[Self_Qty],T_SelfStock_Log[Part Name],$A29,T_SelfStock_Log[WeekIndex],41))</f>
        <v/>
      </c>
      <c r="AQ29" s="19">
        <f>IF(COUNTIFS(T_SelfStock_Log[Part Name],$A29,T_SelfStock_Log[WeekIndex],42)=0,"",SUMIFS(T_SelfStock_Log[Self_Qty],T_SelfStock_Log[Part Name],$A29,T_SelfStock_Log[WeekIndex],42))</f>
        <v/>
      </c>
      <c r="AR29" s="19">
        <f>IF(COUNTIFS(T_SelfStock_Log[Part Name],$A29,T_SelfStock_Log[WeekIndex],43)=0,"",SUMIFS(T_SelfStock_Log[Self_Qty],T_SelfStock_Log[Part Name],$A29,T_SelfStock_Log[WeekIndex],43))</f>
        <v/>
      </c>
      <c r="AS29" s="19">
        <f>IF(COUNTIFS(T_SelfStock_Log[Part Name],$A29,T_SelfStock_Log[WeekIndex],44)=0,"",SUMIFS(T_SelfStock_Log[Self_Qty],T_SelfStock_Log[Part Name],$A29,T_SelfStock_Log[WeekIndex],44))</f>
        <v/>
      </c>
      <c r="AT29" s="19">
        <f>IF(COUNTIFS(T_SelfStock_Log[Part Name],$A29,T_SelfStock_Log[WeekIndex],45)=0,"",SUMIFS(T_SelfStock_Log[Self_Qty],T_SelfStock_Log[Part Name],$A29,T_SelfStock_Log[WeekIndex],45))</f>
        <v/>
      </c>
      <c r="AU29" s="19">
        <f>IF(COUNTIFS(T_SelfStock_Log[Part Name],$A29,T_SelfStock_Log[WeekIndex],46)=0,"",SUMIFS(T_SelfStock_Log[Self_Qty],T_SelfStock_Log[Part Name],$A29,T_SelfStock_Log[WeekIndex],46))</f>
        <v/>
      </c>
      <c r="AV29" s="19">
        <f>IF(COUNTIFS(T_SelfStock_Log[Part Name],$A29,T_SelfStock_Log[WeekIndex],47)=0,"",SUMIFS(T_SelfStock_Log[Self_Qty],T_SelfStock_Log[Part Name],$A29,T_SelfStock_Log[WeekIndex],47))</f>
        <v/>
      </c>
      <c r="AW29" s="19">
        <f>IF(COUNTIFS(T_SelfStock_Log[Part Name],$A29,T_SelfStock_Log[WeekIndex],48)=0,"",SUMIFS(T_SelfStock_Log[Self_Qty],T_SelfStock_Log[Part Name],$A29,T_SelfStock_Log[WeekIndex],48))</f>
        <v/>
      </c>
      <c r="AX29" s="19">
        <f>IF(COUNTIFS(T_SelfStock_Log[Part Name],$A29,T_SelfStock_Log[WeekIndex],49)=0,"",SUMIFS(T_SelfStock_Log[Self_Qty],T_SelfStock_Log[Part Name],$A29,T_SelfStock_Log[WeekIndex],49))</f>
        <v/>
      </c>
      <c r="AY29" s="19">
        <f>IF(COUNTIFS(T_SelfStock_Log[Part Name],$A29,T_SelfStock_Log[WeekIndex],50)=0,"",SUMIFS(T_SelfStock_Log[Self_Qty],T_SelfStock_Log[Part Name],$A29,T_SelfStock_Log[WeekIndex],50))</f>
        <v/>
      </c>
      <c r="AZ29" s="19">
        <f>IF(COUNTIFS(T_SelfStock_Log[Part Name],$A29,T_SelfStock_Log[WeekIndex],51)=0,"",SUMIFS(T_SelfStock_Log[Self_Qty],T_SelfStock_Log[Part Name],$A29,T_SelfStock_Log[WeekIndex],51))</f>
        <v/>
      </c>
      <c r="BA29" s="19">
        <f>IF(COUNTIFS(T_SelfStock_Log[Part Name],$A29,T_SelfStock_Log[WeekIndex],52)=0,"",SUMIFS(T_SelfStock_Log[Self_Qty],T_SelfStock_Log[Part Name],$A29,T_SelfStock_Log[WeekIndex],52))</f>
        <v/>
      </c>
      <c r="BB29" s="19">
        <f>IF(COUNTIFS(T_SelfStock_Log[Part Name],$A29,T_SelfStock_Log[WeekIndex],53)=0,"",SUMIFS(T_SelfStock_Log[Self_Qty],T_SelfStock_Log[Part Name],$A29,T_SelfStock_Log[WeekIndex],53))</f>
        <v/>
      </c>
      <c r="BC29" s="19">
        <f>IF(COUNTIFS(T_SelfStock_Log[Part Name],$A29,T_SelfStock_Log[WeekIndex],54)=0,"",SUMIFS(T_SelfStock_Log[Self_Qty],T_SelfStock_Log[Part Name],$A29,T_SelfStock_Log[WeekIndex],54))</f>
        <v/>
      </c>
      <c r="BD29" s="19">
        <f>IF(COUNTIFS(T_SelfStock_Log[Part Name],$A29,T_SelfStock_Log[WeekIndex],55)=0,"",SUMIFS(T_SelfStock_Log[Self_Qty],T_SelfStock_Log[Part Name],$A29,T_SelfStock_Log[WeekIndex],55))</f>
        <v/>
      </c>
      <c r="BE29" s="19">
        <f>IF(COUNTIFS(T_SelfStock_Log[Part Name],$A29,T_SelfStock_Log[WeekIndex],56)=0,"",SUMIFS(T_SelfStock_Log[Self_Qty],T_SelfStock_Log[Part Name],$A29,T_SelfStock_Log[WeekIndex],56))</f>
        <v/>
      </c>
      <c r="BF29" s="19">
        <f>IF(COUNTIFS(T_SelfStock_Log[Part Name],$A29,T_SelfStock_Log[WeekIndex],57)=0,"",SUMIFS(T_SelfStock_Log[Self_Qty],T_SelfStock_Log[Part Name],$A29,T_SelfStock_Log[WeekIndex],57))</f>
        <v/>
      </c>
      <c r="BG29" s="19">
        <f>IF(COUNTIFS(T_SelfStock_Log[Part Name],$A29,T_SelfStock_Log[WeekIndex],58)=0,"",SUMIFS(T_SelfStock_Log[Self_Qty],T_SelfStock_Log[Part Name],$A29,T_SelfStock_Log[WeekIndex],58))</f>
        <v/>
      </c>
      <c r="BH29" s="19">
        <f>IF(COUNTIFS(T_SelfStock_Log[Part Name],$A29,T_SelfStock_Log[WeekIndex],59)=0,"",SUMIFS(T_SelfStock_Log[Self_Qty],T_SelfStock_Log[Part Name],$A29,T_SelfStock_Log[WeekIndex],59))</f>
        <v/>
      </c>
      <c r="BI29" s="19">
        <f>IF(COUNTIFS(T_SelfStock_Log[Part Name],$A29,T_SelfStock_Log[WeekIndex],60)=0,"",SUMIFS(T_SelfStock_Log[Self_Qty],T_SelfStock_Log[Part Name],$A29,T_SelfStock_Log[WeekIndex],60))</f>
        <v/>
      </c>
      <c r="BJ29" s="19">
        <f>IF(COUNTIFS(T_SelfStock_Log[Part Name],$A29,T_SelfStock_Log[WeekIndex],61)=0,"",SUMIFS(T_SelfStock_Log[Self_Qty],T_SelfStock_Log[Part Name],$A29,T_SelfStock_Log[WeekIndex],61))</f>
        <v/>
      </c>
      <c r="BK29" s="19">
        <f>IF(COUNTIFS(T_SelfStock_Log[Part Name],$A29,T_SelfStock_Log[WeekIndex],62)=0,"",SUMIFS(T_SelfStock_Log[Self_Qty],T_SelfStock_Log[Part Name],$A29,T_SelfStock_Log[WeekIndex],62))</f>
        <v/>
      </c>
      <c r="BL29" s="19">
        <f>IF(COUNTIFS(T_SelfStock_Log[Part Name],$A29,T_SelfStock_Log[WeekIndex],63)=0,"",SUMIFS(T_SelfStock_Log[Self_Qty],T_SelfStock_Log[Part Name],$A29,T_SelfStock_Log[WeekIndex],63))</f>
        <v/>
      </c>
      <c r="BM29" s="19">
        <f>IF(COUNTIFS(T_SelfStock_Log[Part Name],$A29,T_SelfStock_Log[WeekIndex],64)=0,"",SUMIFS(T_SelfStock_Log[Self_Qty],T_SelfStock_Log[Part Name],$A29,T_SelfStock_Log[WeekIndex],64))</f>
        <v/>
      </c>
      <c r="BN29" s="19">
        <f>IF(COUNTIFS(T_SelfStock_Log[Part Name],$A29,T_SelfStock_Log[WeekIndex],65)=0,"",SUMIFS(T_SelfStock_Log[Self_Qty],T_SelfStock_Log[Part Name],$A29,T_SelfStock_Log[WeekIndex],65))</f>
        <v/>
      </c>
      <c r="BO29" s="19">
        <f>IF(COUNTIFS(T_SelfStock_Log[Part Name],$A29,T_SelfStock_Log[WeekIndex],66)=0,"",SUMIFS(T_SelfStock_Log[Self_Qty],T_SelfStock_Log[Part Name],$A29,T_SelfStock_Log[WeekIndex],66))</f>
        <v/>
      </c>
      <c r="BP29" s="19">
        <f>IF(COUNTIFS(T_SelfStock_Log[Part Name],$A29,T_SelfStock_Log[WeekIndex],67)=0,"",SUMIFS(T_SelfStock_Log[Self_Qty],T_SelfStock_Log[Part Name],$A29,T_SelfStock_Log[WeekIndex],67))</f>
        <v/>
      </c>
      <c r="BQ29" s="19">
        <f>IF(COUNTIFS(T_SelfStock_Log[Part Name],$A29,T_SelfStock_Log[WeekIndex],68)=0,"",SUMIFS(T_SelfStock_Log[Self_Qty],T_SelfStock_Log[Part Name],$A29,T_SelfStock_Log[WeekIndex],68))</f>
        <v/>
      </c>
      <c r="BR29" s="19">
        <f>IF(COUNTIFS(T_SelfStock_Log[Part Name],$A29,T_SelfStock_Log[WeekIndex],69)=0,"",SUMIFS(T_SelfStock_Log[Self_Qty],T_SelfStock_Log[Part Name],$A29,T_SelfStock_Log[WeekIndex],69))</f>
        <v/>
      </c>
      <c r="BS29" s="19">
        <f>IF(COUNTIFS(T_SelfStock_Log[Part Name],$A29,T_SelfStock_Log[WeekIndex],70)=0,"",SUMIFS(T_SelfStock_Log[Self_Qty],T_SelfStock_Log[Part Name],$A29,T_SelfStock_Log[WeekIndex],70))</f>
        <v/>
      </c>
      <c r="BT29" s="19">
        <f>IF(COUNTIFS(T_SelfStock_Log[Part Name],$A29,T_SelfStock_Log[WeekIndex],71)=0,"",SUMIFS(T_SelfStock_Log[Self_Qty],T_SelfStock_Log[Part Name],$A29,T_SelfStock_Log[WeekIndex],71))</f>
        <v/>
      </c>
      <c r="BU29" s="19">
        <f>IF(COUNTIFS(T_SelfStock_Log[Part Name],$A29,T_SelfStock_Log[WeekIndex],72)=0,"",SUMIFS(T_SelfStock_Log[Self_Qty],T_SelfStock_Log[Part Name],$A29,T_SelfStock_Log[WeekIndex],72))</f>
        <v/>
      </c>
      <c r="BV29" s="19">
        <f>IF(COUNTIFS(T_SelfStock_Log[Part Name],$A29,T_SelfStock_Log[WeekIndex],73)=0,"",SUMIFS(T_SelfStock_Log[Self_Qty],T_SelfStock_Log[Part Name],$A29,T_SelfStock_Log[WeekIndex],73))</f>
        <v/>
      </c>
      <c r="BW29" s="19">
        <f>IF(COUNTIFS(T_SelfStock_Log[Part Name],$A29,T_SelfStock_Log[WeekIndex],74)=0,"",SUMIFS(T_SelfStock_Log[Self_Qty],T_SelfStock_Log[Part Name],$A29,T_SelfStock_Log[WeekIndex],74))</f>
        <v/>
      </c>
      <c r="BX29" s="19">
        <f>IF(COUNTIFS(T_SelfStock_Log[Part Name],$A29,T_SelfStock_Log[WeekIndex],75)=0,"",SUMIFS(T_SelfStock_Log[Self_Qty],T_SelfStock_Log[Part Name],$A29,T_SelfStock_Log[WeekIndex],75))</f>
        <v/>
      </c>
      <c r="BY29" s="19">
        <f>IF(COUNTIFS(T_SelfStock_Log[Part Name],$A29,T_SelfStock_Log[WeekIndex],76)=0,"",SUMIFS(T_SelfStock_Log[Self_Qty],T_SelfStock_Log[Part Name],$A29,T_SelfStock_Log[WeekIndex],76))</f>
        <v/>
      </c>
      <c r="BZ29" s="19">
        <f>IF(COUNTIFS(T_SelfStock_Log[Part Name],$A29,T_SelfStock_Log[WeekIndex],77)=0,"",SUMIFS(T_SelfStock_Log[Self_Qty],T_SelfStock_Log[Part Name],$A29,T_SelfStock_Log[WeekIndex],77))</f>
        <v/>
      </c>
      <c r="CA29" s="19">
        <f>IF(COUNTIFS(T_SelfStock_Log[Part Name],$A29,T_SelfStock_Log[WeekIndex],78)=0,"",SUMIFS(T_SelfStock_Log[Self_Qty],T_SelfStock_Log[Part Name],$A29,T_SelfStock_Log[WeekIndex],78))</f>
        <v/>
      </c>
      <c r="CB29" s="19">
        <f>IF(COUNTIFS(T_SelfStock_Log[Part Name],$A29,T_SelfStock_Log[WeekIndex],79)=0,"",SUMIFS(T_SelfStock_Log[Self_Qty],T_SelfStock_Log[Part Name],$A29,T_SelfStock_Log[WeekIndex],79))</f>
        <v/>
      </c>
      <c r="CC29" s="19">
        <f>IF(COUNTIFS(T_SelfStock_Log[Part Name],$A29,T_SelfStock_Log[WeekIndex],80)=0,"",SUMIFS(T_SelfStock_Log[Self_Qty],T_SelfStock_Log[Part Name],$A29,T_SelfStock_Log[WeekIndex],80))</f>
        <v/>
      </c>
      <c r="CD29" s="19">
        <f>IF(COUNTIFS(T_SelfStock_Log[Part Name],$A29,T_SelfStock_Log[WeekIndex],81)=0,"",SUMIFS(T_SelfStock_Log[Self_Qty],T_SelfStock_Log[Part Name],$A29,T_SelfStock_Log[WeekIndex],81))</f>
        <v/>
      </c>
      <c r="CE29" s="19">
        <f>IF(COUNTIFS(T_SelfStock_Log[Part Name],$A29,T_SelfStock_Log[WeekIndex],82)=0,"",SUMIFS(T_SelfStock_Log[Self_Qty],T_SelfStock_Log[Part Name],$A29,T_SelfStock_Log[WeekIndex],82))</f>
        <v/>
      </c>
      <c r="CF29" s="19">
        <f>IF(COUNTIFS(T_SelfStock_Log[Part Name],$A29,T_SelfStock_Log[WeekIndex],83)=0,"",SUMIFS(T_SelfStock_Log[Self_Qty],T_SelfStock_Log[Part Name],$A29,T_SelfStock_Log[WeekIndex],83))</f>
        <v/>
      </c>
      <c r="CG29" s="19">
        <f>IF(COUNTIFS(T_SelfStock_Log[Part Name],$A29,T_SelfStock_Log[WeekIndex],84)=0,"",SUMIFS(T_SelfStock_Log[Self_Qty],T_SelfStock_Log[Part Name],$A29,T_SelfStock_Log[WeekIndex],84))</f>
        <v/>
      </c>
      <c r="CH29" s="19">
        <f>IF(COUNTIFS(T_SelfStock_Log[Part Name],$A29,T_SelfStock_Log[WeekIndex],85)=0,"",SUMIFS(T_SelfStock_Log[Self_Qty],T_SelfStock_Log[Part Name],$A29,T_SelfStock_Log[WeekIndex],85))</f>
        <v/>
      </c>
      <c r="CI29" s="19">
        <f>IF(COUNTIFS(T_SelfStock_Log[Part Name],$A29,T_SelfStock_Log[WeekIndex],86)=0,"",SUMIFS(T_SelfStock_Log[Self_Qty],T_SelfStock_Log[Part Name],$A29,T_SelfStock_Log[WeekIndex],86))</f>
        <v/>
      </c>
      <c r="CJ29" s="19">
        <f>IF(COUNTIFS(T_SelfStock_Log[Part Name],$A29,T_SelfStock_Log[WeekIndex],87)=0,"",SUMIFS(T_SelfStock_Log[Self_Qty],T_SelfStock_Log[Part Name],$A29,T_SelfStock_Log[WeekIndex],87))</f>
        <v/>
      </c>
      <c r="CK29" s="19">
        <f>IF(COUNTIFS(T_SelfStock_Log[Part Name],$A29,T_SelfStock_Log[WeekIndex],88)=0,"",SUMIFS(T_SelfStock_Log[Self_Qty],T_SelfStock_Log[Part Name],$A29,T_SelfStock_Log[WeekIndex],88))</f>
        <v/>
      </c>
      <c r="CL29" s="19">
        <f>IF(COUNTIFS(T_SelfStock_Log[Part Name],$A29,T_SelfStock_Log[WeekIndex],89)=0,"",SUMIFS(T_SelfStock_Log[Self_Qty],T_SelfStock_Log[Part Name],$A29,T_SelfStock_Log[WeekIndex],89))</f>
        <v/>
      </c>
      <c r="CM29" s="19">
        <f>IF(COUNTIFS(T_SelfStock_Log[Part Name],$A29,T_SelfStock_Log[WeekIndex],90)=0,"",SUMIFS(T_SelfStock_Log[Self_Qty],T_SelfStock_Log[Part Name],$A29,T_SelfStock_Log[WeekIndex],90))</f>
        <v/>
      </c>
      <c r="CN29" s="19">
        <f>IF(COUNTIFS(T_SelfStock_Log[Part Name],$A29,T_SelfStock_Log[WeekIndex],91)=0,"",SUMIFS(T_SelfStock_Log[Self_Qty],T_SelfStock_Log[Part Name],$A29,T_SelfStock_Log[WeekIndex],91))</f>
        <v/>
      </c>
      <c r="CO29" s="19">
        <f>IF(COUNTIFS(T_SelfStock_Log[Part Name],$A29,T_SelfStock_Log[WeekIndex],92)=0,"",SUMIFS(T_SelfStock_Log[Self_Qty],T_SelfStock_Log[Part Name],$A29,T_SelfStock_Log[WeekIndex],92))</f>
        <v/>
      </c>
      <c r="CP29" s="19">
        <f>IF(COUNTIFS(T_SelfStock_Log[Part Name],$A29,T_SelfStock_Log[WeekIndex],93)=0,"",SUMIFS(T_SelfStock_Log[Self_Qty],T_SelfStock_Log[Part Name],$A29,T_SelfStock_Log[WeekIndex],93))</f>
        <v/>
      </c>
      <c r="CQ29" s="19">
        <f>IF(COUNTIFS(T_SelfStock_Log[Part Name],$A29,T_SelfStock_Log[WeekIndex],94)=0,"",SUMIFS(T_SelfStock_Log[Self_Qty],T_SelfStock_Log[Part Name],$A29,T_SelfStock_Log[WeekIndex],94))</f>
        <v/>
      </c>
      <c r="CR29" s="19">
        <f>IF(COUNTIFS(T_SelfStock_Log[Part Name],$A29,T_SelfStock_Log[WeekIndex],95)=0,"",SUMIFS(T_SelfStock_Log[Self_Qty],T_SelfStock_Log[Part Name],$A29,T_SelfStock_Log[WeekIndex],95))</f>
        <v/>
      </c>
      <c r="CS29" s="19">
        <f>IF(COUNTIFS(T_SelfStock_Log[Part Name],$A29,T_SelfStock_Log[WeekIndex],96)=0,"",SUMIFS(T_SelfStock_Log[Self_Qty],T_SelfStock_Log[Part Name],$A29,T_SelfStock_Log[WeekIndex],96))</f>
        <v/>
      </c>
      <c r="CT29" s="19">
        <f>IF(COUNTIFS(T_SelfStock_Log[Part Name],$A29,T_SelfStock_Log[WeekIndex],97)=0,"",SUMIFS(T_SelfStock_Log[Self_Qty],T_SelfStock_Log[Part Name],$A29,T_SelfStock_Log[WeekIndex],97))</f>
        <v/>
      </c>
      <c r="CU29" s="19">
        <f>IF(COUNTIFS(T_SelfStock_Log[Part Name],$A29,T_SelfStock_Log[WeekIndex],98)=0,"",SUMIFS(T_SelfStock_Log[Self_Qty],T_SelfStock_Log[Part Name],$A29,T_SelfStock_Log[WeekIndex],98))</f>
        <v/>
      </c>
      <c r="CV29" s="19">
        <f>IF(COUNTIFS(T_SelfStock_Log[Part Name],$A29,T_SelfStock_Log[WeekIndex],99)=0,"",SUMIFS(T_SelfStock_Log[Self_Qty],T_SelfStock_Log[Part Name],$A29,T_SelfStock_Log[WeekIndex],99))</f>
        <v/>
      </c>
      <c r="CW29" s="19">
        <f>IF(COUNTIFS(T_SelfStock_Log[Part Name],$A29,T_SelfStock_Log[WeekIndex],100)=0,"",SUMIFS(T_SelfStock_Log[Self_Qty],T_SelfStock_Log[Part Name],$A29,T_SelfStock_Log[WeekIndex],100))</f>
        <v/>
      </c>
      <c r="CX29" s="19">
        <f>IF(COUNTIFS(T_SelfStock_Log[Part Name],$A29,T_SelfStock_Log[WeekIndex],101)=0,"",SUMIFS(T_SelfStock_Log[Self_Qty],T_SelfStock_Log[Part Name],$A29,T_SelfStock_Log[WeekIndex],101))</f>
        <v/>
      </c>
      <c r="CY29" s="19">
        <f>IF(COUNTIFS(T_SelfStock_Log[Part Name],$A29,T_SelfStock_Log[WeekIndex],102)=0,"",SUMIFS(T_SelfStock_Log[Self_Qty],T_SelfStock_Log[Part Name],$A29,T_SelfStock_Log[WeekIndex],102))</f>
        <v/>
      </c>
      <c r="CZ29" s="19">
        <f>IF(COUNTIFS(T_SelfStock_Log[Part Name],$A29,T_SelfStock_Log[WeekIndex],103)=0,"",SUMIFS(T_SelfStock_Log[Self_Qty],T_SelfStock_Log[Part Name],$A29,T_SelfStock_Log[WeekIndex],103))</f>
        <v/>
      </c>
      <c r="DA29" s="19">
        <f>IF(COUNTIFS(T_SelfStock_Log[Part Name],$A29,T_SelfStock_Log[WeekIndex],104)=0,"",SUMIFS(T_SelfStock_Log[Self_Qty],T_SelfStock_Log[Part Name],$A29,T_SelfStock_Log[WeekIndex],104))</f>
        <v/>
      </c>
    </row>
    <row r="30">
      <c r="A30" s="17" t="inlineStr">
        <is>
          <t>CHEM-1580</t>
        </is>
      </c>
      <c r="B30" s="17">
        <f>IF(COUNTIFS(T_SelfStock_Log[Part Name],$A30,T_SelfStock_Log[WeekIndex],1)=0,"",SUMIFS(T_SelfStock_Log[Self_Qty],T_SelfStock_Log[Part Name],$A30,T_SelfStock_Log[WeekIndex],1))</f>
        <v/>
      </c>
      <c r="C30" s="17">
        <f>IF(COUNTIFS(T_SelfStock_Log[Part Name],$A30,T_SelfStock_Log[WeekIndex],2)=0,"",SUMIFS(T_SelfStock_Log[Self_Qty],T_SelfStock_Log[Part Name],$A30,T_SelfStock_Log[WeekIndex],2))</f>
        <v/>
      </c>
      <c r="D30" s="17">
        <f>IF(COUNTIFS(T_SelfStock_Log[Part Name],$A30,T_SelfStock_Log[WeekIndex],3)=0,"",SUMIFS(T_SelfStock_Log[Self_Qty],T_SelfStock_Log[Part Name],$A30,T_SelfStock_Log[WeekIndex],3))</f>
        <v/>
      </c>
      <c r="E30" s="17">
        <f>IF(COUNTIFS(T_SelfStock_Log[Part Name],$A30,T_SelfStock_Log[WeekIndex],4)=0,"",SUMIFS(T_SelfStock_Log[Self_Qty],T_SelfStock_Log[Part Name],$A30,T_SelfStock_Log[WeekIndex],4))</f>
        <v/>
      </c>
      <c r="F30" s="17">
        <f>IF(COUNTIFS(T_SelfStock_Log[Part Name],$A30,T_SelfStock_Log[WeekIndex],5)=0,"",SUMIFS(T_SelfStock_Log[Self_Qty],T_SelfStock_Log[Part Name],$A30,T_SelfStock_Log[WeekIndex],5))</f>
        <v/>
      </c>
      <c r="G30" s="17">
        <f>IF(COUNTIFS(T_SelfStock_Log[Part Name],$A30,T_SelfStock_Log[WeekIndex],6)=0,"",SUMIFS(T_SelfStock_Log[Self_Qty],T_SelfStock_Log[Part Name],$A30,T_SelfStock_Log[WeekIndex],6))</f>
        <v/>
      </c>
      <c r="H30" s="17">
        <f>IF(COUNTIFS(T_SelfStock_Log[Part Name],$A30,T_SelfStock_Log[WeekIndex],7)=0,"",SUMIFS(T_SelfStock_Log[Self_Qty],T_SelfStock_Log[Part Name],$A30,T_SelfStock_Log[WeekIndex],7))</f>
        <v/>
      </c>
      <c r="I30" s="17">
        <f>IF(COUNTIFS(T_SelfStock_Log[Part Name],$A30,T_SelfStock_Log[WeekIndex],8)=0,"",SUMIFS(T_SelfStock_Log[Self_Qty],T_SelfStock_Log[Part Name],$A30,T_SelfStock_Log[WeekIndex],8))</f>
        <v/>
      </c>
      <c r="J30" s="17">
        <f>IF(COUNTIFS(T_SelfStock_Log[Part Name],$A30,T_SelfStock_Log[WeekIndex],9)=0,"",SUMIFS(T_SelfStock_Log[Self_Qty],T_SelfStock_Log[Part Name],$A30,T_SelfStock_Log[WeekIndex],9))</f>
        <v/>
      </c>
      <c r="K30" s="17">
        <f>IF(COUNTIFS(T_SelfStock_Log[Part Name],$A30,T_SelfStock_Log[WeekIndex],10)=0,"",SUMIFS(T_SelfStock_Log[Self_Qty],T_SelfStock_Log[Part Name],$A30,T_SelfStock_Log[WeekIndex],10))</f>
        <v/>
      </c>
      <c r="L30" s="17">
        <f>IF(COUNTIFS(T_SelfStock_Log[Part Name],$A30,T_SelfStock_Log[WeekIndex],11)=0,"",SUMIFS(T_SelfStock_Log[Self_Qty],T_SelfStock_Log[Part Name],$A30,T_SelfStock_Log[WeekIndex],11))</f>
        <v/>
      </c>
      <c r="M30" s="17">
        <f>IF(COUNTIFS(T_SelfStock_Log[Part Name],$A30,T_SelfStock_Log[WeekIndex],12)=0,"",SUMIFS(T_SelfStock_Log[Self_Qty],T_SelfStock_Log[Part Name],$A30,T_SelfStock_Log[WeekIndex],12))</f>
        <v/>
      </c>
      <c r="N30" s="17">
        <f>IF(COUNTIFS(T_SelfStock_Log[Part Name],$A30,T_SelfStock_Log[WeekIndex],13)=0,"",SUMIFS(T_SelfStock_Log[Self_Qty],T_SelfStock_Log[Part Name],$A30,T_SelfStock_Log[WeekIndex],13))</f>
        <v/>
      </c>
      <c r="O30" s="17">
        <f>IF(COUNTIFS(T_SelfStock_Log[Part Name],$A30,T_SelfStock_Log[WeekIndex],14)=0,"",SUMIFS(T_SelfStock_Log[Self_Qty],T_SelfStock_Log[Part Name],$A30,T_SelfStock_Log[WeekIndex],14))</f>
        <v/>
      </c>
      <c r="P30" s="17">
        <f>IF(COUNTIFS(T_SelfStock_Log[Part Name],$A30,T_SelfStock_Log[WeekIndex],15)=0,"",SUMIFS(T_SelfStock_Log[Self_Qty],T_SelfStock_Log[Part Name],$A30,T_SelfStock_Log[WeekIndex],15))</f>
        <v/>
      </c>
      <c r="Q30" s="17">
        <f>IF(COUNTIFS(T_SelfStock_Log[Part Name],$A30,T_SelfStock_Log[WeekIndex],16)=0,"",SUMIFS(T_SelfStock_Log[Self_Qty],T_SelfStock_Log[Part Name],$A30,T_SelfStock_Log[WeekIndex],16))</f>
        <v/>
      </c>
      <c r="R30" s="17">
        <f>IF(COUNTIFS(T_SelfStock_Log[Part Name],$A30,T_SelfStock_Log[WeekIndex],17)=0,"",SUMIFS(T_SelfStock_Log[Self_Qty],T_SelfStock_Log[Part Name],$A30,T_SelfStock_Log[WeekIndex],17))</f>
        <v/>
      </c>
      <c r="S30" s="17">
        <f>IF(COUNTIFS(T_SelfStock_Log[Part Name],$A30,T_SelfStock_Log[WeekIndex],18)=0,"",SUMIFS(T_SelfStock_Log[Self_Qty],T_SelfStock_Log[Part Name],$A30,T_SelfStock_Log[WeekIndex],18))</f>
        <v/>
      </c>
      <c r="T30" s="17">
        <f>IF(COUNTIFS(T_SelfStock_Log[Part Name],$A30,T_SelfStock_Log[WeekIndex],19)=0,"",SUMIFS(T_SelfStock_Log[Self_Qty],T_SelfStock_Log[Part Name],$A30,T_SelfStock_Log[WeekIndex],19))</f>
        <v/>
      </c>
      <c r="U30" s="17">
        <f>IF(COUNTIFS(T_SelfStock_Log[Part Name],$A30,T_SelfStock_Log[WeekIndex],20)=0,"",SUMIFS(T_SelfStock_Log[Self_Qty],T_SelfStock_Log[Part Name],$A30,T_SelfStock_Log[WeekIndex],20))</f>
        <v/>
      </c>
      <c r="V30" s="17">
        <f>IF(COUNTIFS(T_SelfStock_Log[Part Name],$A30,T_SelfStock_Log[WeekIndex],21)=0,"",SUMIFS(T_SelfStock_Log[Self_Qty],T_SelfStock_Log[Part Name],$A30,T_SelfStock_Log[WeekIndex],21))</f>
        <v/>
      </c>
      <c r="W30" s="17">
        <f>IF(COUNTIFS(T_SelfStock_Log[Part Name],$A30,T_SelfStock_Log[WeekIndex],22)=0,"",SUMIFS(T_SelfStock_Log[Self_Qty],T_SelfStock_Log[Part Name],$A30,T_SelfStock_Log[WeekIndex],22))</f>
        <v/>
      </c>
      <c r="X30" s="17">
        <f>IF(COUNTIFS(T_SelfStock_Log[Part Name],$A30,T_SelfStock_Log[WeekIndex],23)=0,"",SUMIFS(T_SelfStock_Log[Self_Qty],T_SelfStock_Log[Part Name],$A30,T_SelfStock_Log[WeekIndex],23))</f>
        <v/>
      </c>
      <c r="Y30" s="17">
        <f>IF(COUNTIFS(T_SelfStock_Log[Part Name],$A30,T_SelfStock_Log[WeekIndex],24)=0,"",SUMIFS(T_SelfStock_Log[Self_Qty],T_SelfStock_Log[Part Name],$A30,T_SelfStock_Log[WeekIndex],24))</f>
        <v/>
      </c>
      <c r="Z30" s="17">
        <f>IF(COUNTIFS(T_SelfStock_Log[Part Name],$A30,T_SelfStock_Log[WeekIndex],25)=0,"",SUMIFS(T_SelfStock_Log[Self_Qty],T_SelfStock_Log[Part Name],$A30,T_SelfStock_Log[WeekIndex],25))</f>
        <v/>
      </c>
      <c r="AA30" s="17">
        <f>IF(COUNTIFS(T_SelfStock_Log[Part Name],$A30,T_SelfStock_Log[WeekIndex],26)=0,"",SUMIFS(T_SelfStock_Log[Self_Qty],T_SelfStock_Log[Part Name],$A30,T_SelfStock_Log[WeekIndex],26))</f>
        <v/>
      </c>
      <c r="AB30" s="17">
        <f>IF(COUNTIFS(T_SelfStock_Log[Part Name],$A30,T_SelfStock_Log[WeekIndex],27)=0,"",SUMIFS(T_SelfStock_Log[Self_Qty],T_SelfStock_Log[Part Name],$A30,T_SelfStock_Log[WeekIndex],27))</f>
        <v/>
      </c>
      <c r="AC30" s="17">
        <f>IF(COUNTIFS(T_SelfStock_Log[Part Name],$A30,T_SelfStock_Log[WeekIndex],28)=0,"",SUMIFS(T_SelfStock_Log[Self_Qty],T_SelfStock_Log[Part Name],$A30,T_SelfStock_Log[WeekIndex],28))</f>
        <v/>
      </c>
      <c r="AD30" s="17">
        <f>IF(COUNTIFS(T_SelfStock_Log[Part Name],$A30,T_SelfStock_Log[WeekIndex],29)=0,"",SUMIFS(T_SelfStock_Log[Self_Qty],T_SelfStock_Log[Part Name],$A30,T_SelfStock_Log[WeekIndex],29))</f>
        <v/>
      </c>
      <c r="AE30" s="17">
        <f>IF(COUNTIFS(T_SelfStock_Log[Part Name],$A30,T_SelfStock_Log[WeekIndex],30)=0,"",SUMIFS(T_SelfStock_Log[Self_Qty],T_SelfStock_Log[Part Name],$A30,T_SelfStock_Log[WeekIndex],30))</f>
        <v/>
      </c>
      <c r="AF30" s="17">
        <f>IF(COUNTIFS(T_SelfStock_Log[Part Name],$A30,T_SelfStock_Log[WeekIndex],31)=0,"",SUMIFS(T_SelfStock_Log[Self_Qty],T_SelfStock_Log[Part Name],$A30,T_SelfStock_Log[WeekIndex],31))</f>
        <v/>
      </c>
      <c r="AG30" s="17">
        <f>IF(COUNTIFS(T_SelfStock_Log[Part Name],$A30,T_SelfStock_Log[WeekIndex],32)=0,"",SUMIFS(T_SelfStock_Log[Self_Qty],T_SelfStock_Log[Part Name],$A30,T_SelfStock_Log[WeekIndex],32))</f>
        <v/>
      </c>
      <c r="AH30" s="17">
        <f>IF(COUNTIFS(T_SelfStock_Log[Part Name],$A30,T_SelfStock_Log[WeekIndex],33)=0,"",SUMIFS(T_SelfStock_Log[Self_Qty],T_SelfStock_Log[Part Name],$A30,T_SelfStock_Log[WeekIndex],33))</f>
        <v/>
      </c>
      <c r="AI30" s="17">
        <f>IF(COUNTIFS(T_SelfStock_Log[Part Name],$A30,T_SelfStock_Log[WeekIndex],34)=0,"",SUMIFS(T_SelfStock_Log[Self_Qty],T_SelfStock_Log[Part Name],$A30,T_SelfStock_Log[WeekIndex],34))</f>
        <v/>
      </c>
      <c r="AJ30" s="17">
        <f>IF(COUNTIFS(T_SelfStock_Log[Part Name],$A30,T_SelfStock_Log[WeekIndex],35)=0,"",SUMIFS(T_SelfStock_Log[Self_Qty],T_SelfStock_Log[Part Name],$A30,T_SelfStock_Log[WeekIndex],35))</f>
        <v/>
      </c>
      <c r="AK30" s="17">
        <f>IF(COUNTIFS(T_SelfStock_Log[Part Name],$A30,T_SelfStock_Log[WeekIndex],36)=0,"",SUMIFS(T_SelfStock_Log[Self_Qty],T_SelfStock_Log[Part Name],$A30,T_SelfStock_Log[WeekIndex],36))</f>
        <v/>
      </c>
      <c r="AL30" s="17">
        <f>IF(COUNTIFS(T_SelfStock_Log[Part Name],$A30,T_SelfStock_Log[WeekIndex],37)=0,"",SUMIFS(T_SelfStock_Log[Self_Qty],T_SelfStock_Log[Part Name],$A30,T_SelfStock_Log[WeekIndex],37))</f>
        <v/>
      </c>
      <c r="AM30" s="17">
        <f>IF(COUNTIFS(T_SelfStock_Log[Part Name],$A30,T_SelfStock_Log[WeekIndex],38)=0,"",SUMIFS(T_SelfStock_Log[Self_Qty],T_SelfStock_Log[Part Name],$A30,T_SelfStock_Log[WeekIndex],38))</f>
        <v/>
      </c>
      <c r="AN30" s="17">
        <f>IF(COUNTIFS(T_SelfStock_Log[Part Name],$A30,T_SelfStock_Log[WeekIndex],39)=0,"",SUMIFS(T_SelfStock_Log[Self_Qty],T_SelfStock_Log[Part Name],$A30,T_SelfStock_Log[WeekIndex],39))</f>
        <v/>
      </c>
      <c r="AO30" s="17">
        <f>IF(COUNTIFS(T_SelfStock_Log[Part Name],$A30,T_SelfStock_Log[WeekIndex],40)=0,"",SUMIFS(T_SelfStock_Log[Self_Qty],T_SelfStock_Log[Part Name],$A30,T_SelfStock_Log[WeekIndex],40))</f>
        <v/>
      </c>
      <c r="AP30" s="17">
        <f>IF(COUNTIFS(T_SelfStock_Log[Part Name],$A30,T_SelfStock_Log[WeekIndex],41)=0,"",SUMIFS(T_SelfStock_Log[Self_Qty],T_SelfStock_Log[Part Name],$A30,T_SelfStock_Log[WeekIndex],41))</f>
        <v/>
      </c>
      <c r="AQ30" s="17">
        <f>IF(COUNTIFS(T_SelfStock_Log[Part Name],$A30,T_SelfStock_Log[WeekIndex],42)=0,"",SUMIFS(T_SelfStock_Log[Self_Qty],T_SelfStock_Log[Part Name],$A30,T_SelfStock_Log[WeekIndex],42))</f>
        <v/>
      </c>
      <c r="AR30" s="17">
        <f>IF(COUNTIFS(T_SelfStock_Log[Part Name],$A30,T_SelfStock_Log[WeekIndex],43)=0,"",SUMIFS(T_SelfStock_Log[Self_Qty],T_SelfStock_Log[Part Name],$A30,T_SelfStock_Log[WeekIndex],43))</f>
        <v/>
      </c>
      <c r="AS30" s="17">
        <f>IF(COUNTIFS(T_SelfStock_Log[Part Name],$A30,T_SelfStock_Log[WeekIndex],44)=0,"",SUMIFS(T_SelfStock_Log[Self_Qty],T_SelfStock_Log[Part Name],$A30,T_SelfStock_Log[WeekIndex],44))</f>
        <v/>
      </c>
      <c r="AT30" s="17">
        <f>IF(COUNTIFS(T_SelfStock_Log[Part Name],$A30,T_SelfStock_Log[WeekIndex],45)=0,"",SUMIFS(T_SelfStock_Log[Self_Qty],T_SelfStock_Log[Part Name],$A30,T_SelfStock_Log[WeekIndex],45))</f>
        <v/>
      </c>
      <c r="AU30" s="17">
        <f>IF(COUNTIFS(T_SelfStock_Log[Part Name],$A30,T_SelfStock_Log[WeekIndex],46)=0,"",SUMIFS(T_SelfStock_Log[Self_Qty],T_SelfStock_Log[Part Name],$A30,T_SelfStock_Log[WeekIndex],46))</f>
        <v/>
      </c>
      <c r="AV30" s="17">
        <f>IF(COUNTIFS(T_SelfStock_Log[Part Name],$A30,T_SelfStock_Log[WeekIndex],47)=0,"",SUMIFS(T_SelfStock_Log[Self_Qty],T_SelfStock_Log[Part Name],$A30,T_SelfStock_Log[WeekIndex],47))</f>
        <v/>
      </c>
      <c r="AW30" s="17">
        <f>IF(COUNTIFS(T_SelfStock_Log[Part Name],$A30,T_SelfStock_Log[WeekIndex],48)=0,"",SUMIFS(T_SelfStock_Log[Self_Qty],T_SelfStock_Log[Part Name],$A30,T_SelfStock_Log[WeekIndex],48))</f>
        <v/>
      </c>
      <c r="AX30" s="17">
        <f>IF(COUNTIFS(T_SelfStock_Log[Part Name],$A30,T_SelfStock_Log[WeekIndex],49)=0,"",SUMIFS(T_SelfStock_Log[Self_Qty],T_SelfStock_Log[Part Name],$A30,T_SelfStock_Log[WeekIndex],49))</f>
        <v/>
      </c>
      <c r="AY30" s="17">
        <f>IF(COUNTIFS(T_SelfStock_Log[Part Name],$A30,T_SelfStock_Log[WeekIndex],50)=0,"",SUMIFS(T_SelfStock_Log[Self_Qty],T_SelfStock_Log[Part Name],$A30,T_SelfStock_Log[WeekIndex],50))</f>
        <v/>
      </c>
      <c r="AZ30" s="17">
        <f>IF(COUNTIFS(T_SelfStock_Log[Part Name],$A30,T_SelfStock_Log[WeekIndex],51)=0,"",SUMIFS(T_SelfStock_Log[Self_Qty],T_SelfStock_Log[Part Name],$A30,T_SelfStock_Log[WeekIndex],51))</f>
        <v/>
      </c>
      <c r="BA30" s="17">
        <f>IF(COUNTIFS(T_SelfStock_Log[Part Name],$A30,T_SelfStock_Log[WeekIndex],52)=0,"",SUMIFS(T_SelfStock_Log[Self_Qty],T_SelfStock_Log[Part Name],$A30,T_SelfStock_Log[WeekIndex],52))</f>
        <v/>
      </c>
      <c r="BB30" s="17">
        <f>IF(COUNTIFS(T_SelfStock_Log[Part Name],$A30,T_SelfStock_Log[WeekIndex],53)=0,"",SUMIFS(T_SelfStock_Log[Self_Qty],T_SelfStock_Log[Part Name],$A30,T_SelfStock_Log[WeekIndex],53))</f>
        <v/>
      </c>
      <c r="BC30" s="17">
        <f>IF(COUNTIFS(T_SelfStock_Log[Part Name],$A30,T_SelfStock_Log[WeekIndex],54)=0,"",SUMIFS(T_SelfStock_Log[Self_Qty],T_SelfStock_Log[Part Name],$A30,T_SelfStock_Log[WeekIndex],54))</f>
        <v/>
      </c>
      <c r="BD30" s="17">
        <f>IF(COUNTIFS(T_SelfStock_Log[Part Name],$A30,T_SelfStock_Log[WeekIndex],55)=0,"",SUMIFS(T_SelfStock_Log[Self_Qty],T_SelfStock_Log[Part Name],$A30,T_SelfStock_Log[WeekIndex],55))</f>
        <v/>
      </c>
      <c r="BE30" s="17">
        <f>IF(COUNTIFS(T_SelfStock_Log[Part Name],$A30,T_SelfStock_Log[WeekIndex],56)=0,"",SUMIFS(T_SelfStock_Log[Self_Qty],T_SelfStock_Log[Part Name],$A30,T_SelfStock_Log[WeekIndex],56))</f>
        <v/>
      </c>
      <c r="BF30" s="17">
        <f>IF(COUNTIFS(T_SelfStock_Log[Part Name],$A30,T_SelfStock_Log[WeekIndex],57)=0,"",SUMIFS(T_SelfStock_Log[Self_Qty],T_SelfStock_Log[Part Name],$A30,T_SelfStock_Log[WeekIndex],57))</f>
        <v/>
      </c>
      <c r="BG30" s="17">
        <f>IF(COUNTIFS(T_SelfStock_Log[Part Name],$A30,T_SelfStock_Log[WeekIndex],58)=0,"",SUMIFS(T_SelfStock_Log[Self_Qty],T_SelfStock_Log[Part Name],$A30,T_SelfStock_Log[WeekIndex],58))</f>
        <v/>
      </c>
      <c r="BH30" s="17">
        <f>IF(COUNTIFS(T_SelfStock_Log[Part Name],$A30,T_SelfStock_Log[WeekIndex],59)=0,"",SUMIFS(T_SelfStock_Log[Self_Qty],T_SelfStock_Log[Part Name],$A30,T_SelfStock_Log[WeekIndex],59))</f>
        <v/>
      </c>
      <c r="BI30" s="17">
        <f>IF(COUNTIFS(T_SelfStock_Log[Part Name],$A30,T_SelfStock_Log[WeekIndex],60)=0,"",SUMIFS(T_SelfStock_Log[Self_Qty],T_SelfStock_Log[Part Name],$A30,T_SelfStock_Log[WeekIndex],60))</f>
        <v/>
      </c>
      <c r="BJ30" s="17">
        <f>IF(COUNTIFS(T_SelfStock_Log[Part Name],$A30,T_SelfStock_Log[WeekIndex],61)=0,"",SUMIFS(T_SelfStock_Log[Self_Qty],T_SelfStock_Log[Part Name],$A30,T_SelfStock_Log[WeekIndex],61))</f>
        <v/>
      </c>
      <c r="BK30" s="17">
        <f>IF(COUNTIFS(T_SelfStock_Log[Part Name],$A30,T_SelfStock_Log[WeekIndex],62)=0,"",SUMIFS(T_SelfStock_Log[Self_Qty],T_SelfStock_Log[Part Name],$A30,T_SelfStock_Log[WeekIndex],62))</f>
        <v/>
      </c>
      <c r="BL30" s="17">
        <f>IF(COUNTIFS(T_SelfStock_Log[Part Name],$A30,T_SelfStock_Log[WeekIndex],63)=0,"",SUMIFS(T_SelfStock_Log[Self_Qty],T_SelfStock_Log[Part Name],$A30,T_SelfStock_Log[WeekIndex],63))</f>
        <v/>
      </c>
      <c r="BM30" s="17">
        <f>IF(COUNTIFS(T_SelfStock_Log[Part Name],$A30,T_SelfStock_Log[WeekIndex],64)=0,"",SUMIFS(T_SelfStock_Log[Self_Qty],T_SelfStock_Log[Part Name],$A30,T_SelfStock_Log[WeekIndex],64))</f>
        <v/>
      </c>
      <c r="BN30" s="17">
        <f>IF(COUNTIFS(T_SelfStock_Log[Part Name],$A30,T_SelfStock_Log[WeekIndex],65)=0,"",SUMIFS(T_SelfStock_Log[Self_Qty],T_SelfStock_Log[Part Name],$A30,T_SelfStock_Log[WeekIndex],65))</f>
        <v/>
      </c>
      <c r="BO30" s="17">
        <f>IF(COUNTIFS(T_SelfStock_Log[Part Name],$A30,T_SelfStock_Log[WeekIndex],66)=0,"",SUMIFS(T_SelfStock_Log[Self_Qty],T_SelfStock_Log[Part Name],$A30,T_SelfStock_Log[WeekIndex],66))</f>
        <v/>
      </c>
      <c r="BP30" s="17">
        <f>IF(COUNTIFS(T_SelfStock_Log[Part Name],$A30,T_SelfStock_Log[WeekIndex],67)=0,"",SUMIFS(T_SelfStock_Log[Self_Qty],T_SelfStock_Log[Part Name],$A30,T_SelfStock_Log[WeekIndex],67))</f>
        <v/>
      </c>
      <c r="BQ30" s="17">
        <f>IF(COUNTIFS(T_SelfStock_Log[Part Name],$A30,T_SelfStock_Log[WeekIndex],68)=0,"",SUMIFS(T_SelfStock_Log[Self_Qty],T_SelfStock_Log[Part Name],$A30,T_SelfStock_Log[WeekIndex],68))</f>
        <v/>
      </c>
      <c r="BR30" s="17">
        <f>IF(COUNTIFS(T_SelfStock_Log[Part Name],$A30,T_SelfStock_Log[WeekIndex],69)=0,"",SUMIFS(T_SelfStock_Log[Self_Qty],T_SelfStock_Log[Part Name],$A30,T_SelfStock_Log[WeekIndex],69))</f>
        <v/>
      </c>
      <c r="BS30" s="17">
        <f>IF(COUNTIFS(T_SelfStock_Log[Part Name],$A30,T_SelfStock_Log[WeekIndex],70)=0,"",SUMIFS(T_SelfStock_Log[Self_Qty],T_SelfStock_Log[Part Name],$A30,T_SelfStock_Log[WeekIndex],70))</f>
        <v/>
      </c>
      <c r="BT30" s="17">
        <f>IF(COUNTIFS(T_SelfStock_Log[Part Name],$A30,T_SelfStock_Log[WeekIndex],71)=0,"",SUMIFS(T_SelfStock_Log[Self_Qty],T_SelfStock_Log[Part Name],$A30,T_SelfStock_Log[WeekIndex],71))</f>
        <v/>
      </c>
      <c r="BU30" s="17">
        <f>IF(COUNTIFS(T_SelfStock_Log[Part Name],$A30,T_SelfStock_Log[WeekIndex],72)=0,"",SUMIFS(T_SelfStock_Log[Self_Qty],T_SelfStock_Log[Part Name],$A30,T_SelfStock_Log[WeekIndex],72))</f>
        <v/>
      </c>
      <c r="BV30" s="17">
        <f>IF(COUNTIFS(T_SelfStock_Log[Part Name],$A30,T_SelfStock_Log[WeekIndex],73)=0,"",SUMIFS(T_SelfStock_Log[Self_Qty],T_SelfStock_Log[Part Name],$A30,T_SelfStock_Log[WeekIndex],73))</f>
        <v/>
      </c>
      <c r="BW30" s="17">
        <f>IF(COUNTIFS(T_SelfStock_Log[Part Name],$A30,T_SelfStock_Log[WeekIndex],74)=0,"",SUMIFS(T_SelfStock_Log[Self_Qty],T_SelfStock_Log[Part Name],$A30,T_SelfStock_Log[WeekIndex],74))</f>
        <v/>
      </c>
      <c r="BX30" s="17">
        <f>IF(COUNTIFS(T_SelfStock_Log[Part Name],$A30,T_SelfStock_Log[WeekIndex],75)=0,"",SUMIFS(T_SelfStock_Log[Self_Qty],T_SelfStock_Log[Part Name],$A30,T_SelfStock_Log[WeekIndex],75))</f>
        <v/>
      </c>
      <c r="BY30" s="17">
        <f>IF(COUNTIFS(T_SelfStock_Log[Part Name],$A30,T_SelfStock_Log[WeekIndex],76)=0,"",SUMIFS(T_SelfStock_Log[Self_Qty],T_SelfStock_Log[Part Name],$A30,T_SelfStock_Log[WeekIndex],76))</f>
        <v/>
      </c>
      <c r="BZ30" s="17">
        <f>IF(COUNTIFS(T_SelfStock_Log[Part Name],$A30,T_SelfStock_Log[WeekIndex],77)=0,"",SUMIFS(T_SelfStock_Log[Self_Qty],T_SelfStock_Log[Part Name],$A30,T_SelfStock_Log[WeekIndex],77))</f>
        <v/>
      </c>
      <c r="CA30" s="17">
        <f>IF(COUNTIFS(T_SelfStock_Log[Part Name],$A30,T_SelfStock_Log[WeekIndex],78)=0,"",SUMIFS(T_SelfStock_Log[Self_Qty],T_SelfStock_Log[Part Name],$A30,T_SelfStock_Log[WeekIndex],78))</f>
        <v/>
      </c>
      <c r="CB30" s="17">
        <f>IF(COUNTIFS(T_SelfStock_Log[Part Name],$A30,T_SelfStock_Log[WeekIndex],79)=0,"",SUMIFS(T_SelfStock_Log[Self_Qty],T_SelfStock_Log[Part Name],$A30,T_SelfStock_Log[WeekIndex],79))</f>
        <v/>
      </c>
      <c r="CC30" s="17">
        <f>IF(COUNTIFS(T_SelfStock_Log[Part Name],$A30,T_SelfStock_Log[WeekIndex],80)=0,"",SUMIFS(T_SelfStock_Log[Self_Qty],T_SelfStock_Log[Part Name],$A30,T_SelfStock_Log[WeekIndex],80))</f>
        <v/>
      </c>
      <c r="CD30" s="17">
        <f>IF(COUNTIFS(T_SelfStock_Log[Part Name],$A30,T_SelfStock_Log[WeekIndex],81)=0,"",SUMIFS(T_SelfStock_Log[Self_Qty],T_SelfStock_Log[Part Name],$A30,T_SelfStock_Log[WeekIndex],81))</f>
        <v/>
      </c>
      <c r="CE30" s="17">
        <f>IF(COUNTIFS(T_SelfStock_Log[Part Name],$A30,T_SelfStock_Log[WeekIndex],82)=0,"",SUMIFS(T_SelfStock_Log[Self_Qty],T_SelfStock_Log[Part Name],$A30,T_SelfStock_Log[WeekIndex],82))</f>
        <v/>
      </c>
      <c r="CF30" s="17">
        <f>IF(COUNTIFS(T_SelfStock_Log[Part Name],$A30,T_SelfStock_Log[WeekIndex],83)=0,"",SUMIFS(T_SelfStock_Log[Self_Qty],T_SelfStock_Log[Part Name],$A30,T_SelfStock_Log[WeekIndex],83))</f>
        <v/>
      </c>
      <c r="CG30" s="17">
        <f>IF(COUNTIFS(T_SelfStock_Log[Part Name],$A30,T_SelfStock_Log[WeekIndex],84)=0,"",SUMIFS(T_SelfStock_Log[Self_Qty],T_SelfStock_Log[Part Name],$A30,T_SelfStock_Log[WeekIndex],84))</f>
        <v/>
      </c>
      <c r="CH30" s="17">
        <f>IF(COUNTIFS(T_SelfStock_Log[Part Name],$A30,T_SelfStock_Log[WeekIndex],85)=0,"",SUMIFS(T_SelfStock_Log[Self_Qty],T_SelfStock_Log[Part Name],$A30,T_SelfStock_Log[WeekIndex],85))</f>
        <v/>
      </c>
      <c r="CI30" s="17">
        <f>IF(COUNTIFS(T_SelfStock_Log[Part Name],$A30,T_SelfStock_Log[WeekIndex],86)=0,"",SUMIFS(T_SelfStock_Log[Self_Qty],T_SelfStock_Log[Part Name],$A30,T_SelfStock_Log[WeekIndex],86))</f>
        <v/>
      </c>
      <c r="CJ30" s="17">
        <f>IF(COUNTIFS(T_SelfStock_Log[Part Name],$A30,T_SelfStock_Log[WeekIndex],87)=0,"",SUMIFS(T_SelfStock_Log[Self_Qty],T_SelfStock_Log[Part Name],$A30,T_SelfStock_Log[WeekIndex],87))</f>
        <v/>
      </c>
      <c r="CK30" s="17">
        <f>IF(COUNTIFS(T_SelfStock_Log[Part Name],$A30,T_SelfStock_Log[WeekIndex],88)=0,"",SUMIFS(T_SelfStock_Log[Self_Qty],T_SelfStock_Log[Part Name],$A30,T_SelfStock_Log[WeekIndex],88))</f>
        <v/>
      </c>
      <c r="CL30" s="17">
        <f>IF(COUNTIFS(T_SelfStock_Log[Part Name],$A30,T_SelfStock_Log[WeekIndex],89)=0,"",SUMIFS(T_SelfStock_Log[Self_Qty],T_SelfStock_Log[Part Name],$A30,T_SelfStock_Log[WeekIndex],89))</f>
        <v/>
      </c>
      <c r="CM30" s="17">
        <f>IF(COUNTIFS(T_SelfStock_Log[Part Name],$A30,T_SelfStock_Log[WeekIndex],90)=0,"",SUMIFS(T_SelfStock_Log[Self_Qty],T_SelfStock_Log[Part Name],$A30,T_SelfStock_Log[WeekIndex],90))</f>
        <v/>
      </c>
      <c r="CN30" s="17">
        <f>IF(COUNTIFS(T_SelfStock_Log[Part Name],$A30,T_SelfStock_Log[WeekIndex],91)=0,"",SUMIFS(T_SelfStock_Log[Self_Qty],T_SelfStock_Log[Part Name],$A30,T_SelfStock_Log[WeekIndex],91))</f>
        <v/>
      </c>
      <c r="CO30" s="17">
        <f>IF(COUNTIFS(T_SelfStock_Log[Part Name],$A30,T_SelfStock_Log[WeekIndex],92)=0,"",SUMIFS(T_SelfStock_Log[Self_Qty],T_SelfStock_Log[Part Name],$A30,T_SelfStock_Log[WeekIndex],92))</f>
        <v/>
      </c>
      <c r="CP30" s="17">
        <f>IF(COUNTIFS(T_SelfStock_Log[Part Name],$A30,T_SelfStock_Log[WeekIndex],93)=0,"",SUMIFS(T_SelfStock_Log[Self_Qty],T_SelfStock_Log[Part Name],$A30,T_SelfStock_Log[WeekIndex],93))</f>
        <v/>
      </c>
      <c r="CQ30" s="17">
        <f>IF(COUNTIFS(T_SelfStock_Log[Part Name],$A30,T_SelfStock_Log[WeekIndex],94)=0,"",SUMIFS(T_SelfStock_Log[Self_Qty],T_SelfStock_Log[Part Name],$A30,T_SelfStock_Log[WeekIndex],94))</f>
        <v/>
      </c>
      <c r="CR30" s="17">
        <f>IF(COUNTIFS(T_SelfStock_Log[Part Name],$A30,T_SelfStock_Log[WeekIndex],95)=0,"",SUMIFS(T_SelfStock_Log[Self_Qty],T_SelfStock_Log[Part Name],$A30,T_SelfStock_Log[WeekIndex],95))</f>
        <v/>
      </c>
      <c r="CS30" s="17">
        <f>IF(COUNTIFS(T_SelfStock_Log[Part Name],$A30,T_SelfStock_Log[WeekIndex],96)=0,"",SUMIFS(T_SelfStock_Log[Self_Qty],T_SelfStock_Log[Part Name],$A30,T_SelfStock_Log[WeekIndex],96))</f>
        <v/>
      </c>
      <c r="CT30" s="17">
        <f>IF(COUNTIFS(T_SelfStock_Log[Part Name],$A30,T_SelfStock_Log[WeekIndex],97)=0,"",SUMIFS(T_SelfStock_Log[Self_Qty],T_SelfStock_Log[Part Name],$A30,T_SelfStock_Log[WeekIndex],97))</f>
        <v/>
      </c>
      <c r="CU30" s="17">
        <f>IF(COUNTIFS(T_SelfStock_Log[Part Name],$A30,T_SelfStock_Log[WeekIndex],98)=0,"",SUMIFS(T_SelfStock_Log[Self_Qty],T_SelfStock_Log[Part Name],$A30,T_SelfStock_Log[WeekIndex],98))</f>
        <v/>
      </c>
      <c r="CV30" s="17">
        <f>IF(COUNTIFS(T_SelfStock_Log[Part Name],$A30,T_SelfStock_Log[WeekIndex],99)=0,"",SUMIFS(T_SelfStock_Log[Self_Qty],T_SelfStock_Log[Part Name],$A30,T_SelfStock_Log[WeekIndex],99))</f>
        <v/>
      </c>
      <c r="CW30" s="17">
        <f>IF(COUNTIFS(T_SelfStock_Log[Part Name],$A30,T_SelfStock_Log[WeekIndex],100)=0,"",SUMIFS(T_SelfStock_Log[Self_Qty],T_SelfStock_Log[Part Name],$A30,T_SelfStock_Log[WeekIndex],100))</f>
        <v/>
      </c>
      <c r="CX30" s="17">
        <f>IF(COUNTIFS(T_SelfStock_Log[Part Name],$A30,T_SelfStock_Log[WeekIndex],101)=0,"",SUMIFS(T_SelfStock_Log[Self_Qty],T_SelfStock_Log[Part Name],$A30,T_SelfStock_Log[WeekIndex],101))</f>
        <v/>
      </c>
      <c r="CY30" s="17">
        <f>IF(COUNTIFS(T_SelfStock_Log[Part Name],$A30,T_SelfStock_Log[WeekIndex],102)=0,"",SUMIFS(T_SelfStock_Log[Self_Qty],T_SelfStock_Log[Part Name],$A30,T_SelfStock_Log[WeekIndex],102))</f>
        <v/>
      </c>
      <c r="CZ30" s="17">
        <f>IF(COUNTIFS(T_SelfStock_Log[Part Name],$A30,T_SelfStock_Log[WeekIndex],103)=0,"",SUMIFS(T_SelfStock_Log[Self_Qty],T_SelfStock_Log[Part Name],$A30,T_SelfStock_Log[WeekIndex],103))</f>
        <v/>
      </c>
      <c r="DA30" s="17">
        <f>IF(COUNTIFS(T_SelfStock_Log[Part Name],$A30,T_SelfStock_Log[WeekIndex],104)=0,"",SUMIFS(T_SelfStock_Log[Self_Qty],T_SelfStock_Log[Part Name],$A30,T_SelfStock_Log[WeekIndex],104))</f>
        <v/>
      </c>
    </row>
    <row r="31">
      <c r="A31" s="19" t="inlineStr">
        <is>
          <t>CHEM-1250</t>
        </is>
      </c>
      <c r="B31" s="19">
        <f>IF(COUNTIFS(T_SelfStock_Log[Part Name],$A31,T_SelfStock_Log[WeekIndex],1)=0,"",SUMIFS(T_SelfStock_Log[Self_Qty],T_SelfStock_Log[Part Name],$A31,T_SelfStock_Log[WeekIndex],1))</f>
        <v/>
      </c>
      <c r="C31" s="19">
        <f>IF(COUNTIFS(T_SelfStock_Log[Part Name],$A31,T_SelfStock_Log[WeekIndex],2)=0,"",SUMIFS(T_SelfStock_Log[Self_Qty],T_SelfStock_Log[Part Name],$A31,T_SelfStock_Log[WeekIndex],2))</f>
        <v/>
      </c>
      <c r="D31" s="19">
        <f>IF(COUNTIFS(T_SelfStock_Log[Part Name],$A31,T_SelfStock_Log[WeekIndex],3)=0,"",SUMIFS(T_SelfStock_Log[Self_Qty],T_SelfStock_Log[Part Name],$A31,T_SelfStock_Log[WeekIndex],3))</f>
        <v/>
      </c>
      <c r="E31" s="19">
        <f>IF(COUNTIFS(T_SelfStock_Log[Part Name],$A31,T_SelfStock_Log[WeekIndex],4)=0,"",SUMIFS(T_SelfStock_Log[Self_Qty],T_SelfStock_Log[Part Name],$A31,T_SelfStock_Log[WeekIndex],4))</f>
        <v/>
      </c>
      <c r="F31" s="19">
        <f>IF(COUNTIFS(T_SelfStock_Log[Part Name],$A31,T_SelfStock_Log[WeekIndex],5)=0,"",SUMIFS(T_SelfStock_Log[Self_Qty],T_SelfStock_Log[Part Name],$A31,T_SelfStock_Log[WeekIndex],5))</f>
        <v/>
      </c>
      <c r="G31" s="19">
        <f>IF(COUNTIFS(T_SelfStock_Log[Part Name],$A31,T_SelfStock_Log[WeekIndex],6)=0,"",SUMIFS(T_SelfStock_Log[Self_Qty],T_SelfStock_Log[Part Name],$A31,T_SelfStock_Log[WeekIndex],6))</f>
        <v/>
      </c>
      <c r="H31" s="19">
        <f>IF(COUNTIFS(T_SelfStock_Log[Part Name],$A31,T_SelfStock_Log[WeekIndex],7)=0,"",SUMIFS(T_SelfStock_Log[Self_Qty],T_SelfStock_Log[Part Name],$A31,T_SelfStock_Log[WeekIndex],7))</f>
        <v/>
      </c>
      <c r="I31" s="19">
        <f>IF(COUNTIFS(T_SelfStock_Log[Part Name],$A31,T_SelfStock_Log[WeekIndex],8)=0,"",SUMIFS(T_SelfStock_Log[Self_Qty],T_SelfStock_Log[Part Name],$A31,T_SelfStock_Log[WeekIndex],8))</f>
        <v/>
      </c>
      <c r="J31" s="19">
        <f>IF(COUNTIFS(T_SelfStock_Log[Part Name],$A31,T_SelfStock_Log[WeekIndex],9)=0,"",SUMIFS(T_SelfStock_Log[Self_Qty],T_SelfStock_Log[Part Name],$A31,T_SelfStock_Log[WeekIndex],9))</f>
        <v/>
      </c>
      <c r="K31" s="19">
        <f>IF(COUNTIFS(T_SelfStock_Log[Part Name],$A31,T_SelfStock_Log[WeekIndex],10)=0,"",SUMIFS(T_SelfStock_Log[Self_Qty],T_SelfStock_Log[Part Name],$A31,T_SelfStock_Log[WeekIndex],10))</f>
        <v/>
      </c>
      <c r="L31" s="19">
        <f>IF(COUNTIFS(T_SelfStock_Log[Part Name],$A31,T_SelfStock_Log[WeekIndex],11)=0,"",SUMIFS(T_SelfStock_Log[Self_Qty],T_SelfStock_Log[Part Name],$A31,T_SelfStock_Log[WeekIndex],11))</f>
        <v/>
      </c>
      <c r="M31" s="19">
        <f>IF(COUNTIFS(T_SelfStock_Log[Part Name],$A31,T_SelfStock_Log[WeekIndex],12)=0,"",SUMIFS(T_SelfStock_Log[Self_Qty],T_SelfStock_Log[Part Name],$A31,T_SelfStock_Log[WeekIndex],12))</f>
        <v/>
      </c>
      <c r="N31" s="19">
        <f>IF(COUNTIFS(T_SelfStock_Log[Part Name],$A31,T_SelfStock_Log[WeekIndex],13)=0,"",SUMIFS(T_SelfStock_Log[Self_Qty],T_SelfStock_Log[Part Name],$A31,T_SelfStock_Log[WeekIndex],13))</f>
        <v/>
      </c>
      <c r="O31" s="19">
        <f>IF(COUNTIFS(T_SelfStock_Log[Part Name],$A31,T_SelfStock_Log[WeekIndex],14)=0,"",SUMIFS(T_SelfStock_Log[Self_Qty],T_SelfStock_Log[Part Name],$A31,T_SelfStock_Log[WeekIndex],14))</f>
        <v/>
      </c>
      <c r="P31" s="19">
        <f>IF(COUNTIFS(T_SelfStock_Log[Part Name],$A31,T_SelfStock_Log[WeekIndex],15)=0,"",SUMIFS(T_SelfStock_Log[Self_Qty],T_SelfStock_Log[Part Name],$A31,T_SelfStock_Log[WeekIndex],15))</f>
        <v/>
      </c>
      <c r="Q31" s="19">
        <f>IF(COUNTIFS(T_SelfStock_Log[Part Name],$A31,T_SelfStock_Log[WeekIndex],16)=0,"",SUMIFS(T_SelfStock_Log[Self_Qty],T_SelfStock_Log[Part Name],$A31,T_SelfStock_Log[WeekIndex],16))</f>
        <v/>
      </c>
      <c r="R31" s="19">
        <f>IF(COUNTIFS(T_SelfStock_Log[Part Name],$A31,T_SelfStock_Log[WeekIndex],17)=0,"",SUMIFS(T_SelfStock_Log[Self_Qty],T_SelfStock_Log[Part Name],$A31,T_SelfStock_Log[WeekIndex],17))</f>
        <v/>
      </c>
      <c r="S31" s="19">
        <f>IF(COUNTIFS(T_SelfStock_Log[Part Name],$A31,T_SelfStock_Log[WeekIndex],18)=0,"",SUMIFS(T_SelfStock_Log[Self_Qty],T_SelfStock_Log[Part Name],$A31,T_SelfStock_Log[WeekIndex],18))</f>
        <v/>
      </c>
      <c r="T31" s="19">
        <f>IF(COUNTIFS(T_SelfStock_Log[Part Name],$A31,T_SelfStock_Log[WeekIndex],19)=0,"",SUMIFS(T_SelfStock_Log[Self_Qty],T_SelfStock_Log[Part Name],$A31,T_SelfStock_Log[WeekIndex],19))</f>
        <v/>
      </c>
      <c r="U31" s="19">
        <f>IF(COUNTIFS(T_SelfStock_Log[Part Name],$A31,T_SelfStock_Log[WeekIndex],20)=0,"",SUMIFS(T_SelfStock_Log[Self_Qty],T_SelfStock_Log[Part Name],$A31,T_SelfStock_Log[WeekIndex],20))</f>
        <v/>
      </c>
      <c r="V31" s="19">
        <f>IF(COUNTIFS(T_SelfStock_Log[Part Name],$A31,T_SelfStock_Log[WeekIndex],21)=0,"",SUMIFS(T_SelfStock_Log[Self_Qty],T_SelfStock_Log[Part Name],$A31,T_SelfStock_Log[WeekIndex],21))</f>
        <v/>
      </c>
      <c r="W31" s="19">
        <f>IF(COUNTIFS(T_SelfStock_Log[Part Name],$A31,T_SelfStock_Log[WeekIndex],22)=0,"",SUMIFS(T_SelfStock_Log[Self_Qty],T_SelfStock_Log[Part Name],$A31,T_SelfStock_Log[WeekIndex],22))</f>
        <v/>
      </c>
      <c r="X31" s="19">
        <f>IF(COUNTIFS(T_SelfStock_Log[Part Name],$A31,T_SelfStock_Log[WeekIndex],23)=0,"",SUMIFS(T_SelfStock_Log[Self_Qty],T_SelfStock_Log[Part Name],$A31,T_SelfStock_Log[WeekIndex],23))</f>
        <v/>
      </c>
      <c r="Y31" s="19">
        <f>IF(COUNTIFS(T_SelfStock_Log[Part Name],$A31,T_SelfStock_Log[WeekIndex],24)=0,"",SUMIFS(T_SelfStock_Log[Self_Qty],T_SelfStock_Log[Part Name],$A31,T_SelfStock_Log[WeekIndex],24))</f>
        <v/>
      </c>
      <c r="Z31" s="19">
        <f>IF(COUNTIFS(T_SelfStock_Log[Part Name],$A31,T_SelfStock_Log[WeekIndex],25)=0,"",SUMIFS(T_SelfStock_Log[Self_Qty],T_SelfStock_Log[Part Name],$A31,T_SelfStock_Log[WeekIndex],25))</f>
        <v/>
      </c>
      <c r="AA31" s="19">
        <f>IF(COUNTIFS(T_SelfStock_Log[Part Name],$A31,T_SelfStock_Log[WeekIndex],26)=0,"",SUMIFS(T_SelfStock_Log[Self_Qty],T_SelfStock_Log[Part Name],$A31,T_SelfStock_Log[WeekIndex],26))</f>
        <v/>
      </c>
      <c r="AB31" s="19">
        <f>IF(COUNTIFS(T_SelfStock_Log[Part Name],$A31,T_SelfStock_Log[WeekIndex],27)=0,"",SUMIFS(T_SelfStock_Log[Self_Qty],T_SelfStock_Log[Part Name],$A31,T_SelfStock_Log[WeekIndex],27))</f>
        <v/>
      </c>
      <c r="AC31" s="19">
        <f>IF(COUNTIFS(T_SelfStock_Log[Part Name],$A31,T_SelfStock_Log[WeekIndex],28)=0,"",SUMIFS(T_SelfStock_Log[Self_Qty],T_SelfStock_Log[Part Name],$A31,T_SelfStock_Log[WeekIndex],28))</f>
        <v/>
      </c>
      <c r="AD31" s="19">
        <f>IF(COUNTIFS(T_SelfStock_Log[Part Name],$A31,T_SelfStock_Log[WeekIndex],29)=0,"",SUMIFS(T_SelfStock_Log[Self_Qty],T_SelfStock_Log[Part Name],$A31,T_SelfStock_Log[WeekIndex],29))</f>
        <v/>
      </c>
      <c r="AE31" s="19">
        <f>IF(COUNTIFS(T_SelfStock_Log[Part Name],$A31,T_SelfStock_Log[WeekIndex],30)=0,"",SUMIFS(T_SelfStock_Log[Self_Qty],T_SelfStock_Log[Part Name],$A31,T_SelfStock_Log[WeekIndex],30))</f>
        <v/>
      </c>
      <c r="AF31" s="19">
        <f>IF(COUNTIFS(T_SelfStock_Log[Part Name],$A31,T_SelfStock_Log[WeekIndex],31)=0,"",SUMIFS(T_SelfStock_Log[Self_Qty],T_SelfStock_Log[Part Name],$A31,T_SelfStock_Log[WeekIndex],31))</f>
        <v/>
      </c>
      <c r="AG31" s="19">
        <f>IF(COUNTIFS(T_SelfStock_Log[Part Name],$A31,T_SelfStock_Log[WeekIndex],32)=0,"",SUMIFS(T_SelfStock_Log[Self_Qty],T_SelfStock_Log[Part Name],$A31,T_SelfStock_Log[WeekIndex],32))</f>
        <v/>
      </c>
      <c r="AH31" s="19">
        <f>IF(COUNTIFS(T_SelfStock_Log[Part Name],$A31,T_SelfStock_Log[WeekIndex],33)=0,"",SUMIFS(T_SelfStock_Log[Self_Qty],T_SelfStock_Log[Part Name],$A31,T_SelfStock_Log[WeekIndex],33))</f>
        <v/>
      </c>
      <c r="AI31" s="19">
        <f>IF(COUNTIFS(T_SelfStock_Log[Part Name],$A31,T_SelfStock_Log[WeekIndex],34)=0,"",SUMIFS(T_SelfStock_Log[Self_Qty],T_SelfStock_Log[Part Name],$A31,T_SelfStock_Log[WeekIndex],34))</f>
        <v/>
      </c>
      <c r="AJ31" s="19">
        <f>IF(COUNTIFS(T_SelfStock_Log[Part Name],$A31,T_SelfStock_Log[WeekIndex],35)=0,"",SUMIFS(T_SelfStock_Log[Self_Qty],T_SelfStock_Log[Part Name],$A31,T_SelfStock_Log[WeekIndex],35))</f>
        <v/>
      </c>
      <c r="AK31" s="19">
        <f>IF(COUNTIFS(T_SelfStock_Log[Part Name],$A31,T_SelfStock_Log[WeekIndex],36)=0,"",SUMIFS(T_SelfStock_Log[Self_Qty],T_SelfStock_Log[Part Name],$A31,T_SelfStock_Log[WeekIndex],36))</f>
        <v/>
      </c>
      <c r="AL31" s="19">
        <f>IF(COUNTIFS(T_SelfStock_Log[Part Name],$A31,T_SelfStock_Log[WeekIndex],37)=0,"",SUMIFS(T_SelfStock_Log[Self_Qty],T_SelfStock_Log[Part Name],$A31,T_SelfStock_Log[WeekIndex],37))</f>
        <v/>
      </c>
      <c r="AM31" s="19">
        <f>IF(COUNTIFS(T_SelfStock_Log[Part Name],$A31,T_SelfStock_Log[WeekIndex],38)=0,"",SUMIFS(T_SelfStock_Log[Self_Qty],T_SelfStock_Log[Part Name],$A31,T_SelfStock_Log[WeekIndex],38))</f>
        <v/>
      </c>
      <c r="AN31" s="19">
        <f>IF(COUNTIFS(T_SelfStock_Log[Part Name],$A31,T_SelfStock_Log[WeekIndex],39)=0,"",SUMIFS(T_SelfStock_Log[Self_Qty],T_SelfStock_Log[Part Name],$A31,T_SelfStock_Log[WeekIndex],39))</f>
        <v/>
      </c>
      <c r="AO31" s="19">
        <f>IF(COUNTIFS(T_SelfStock_Log[Part Name],$A31,T_SelfStock_Log[WeekIndex],40)=0,"",SUMIFS(T_SelfStock_Log[Self_Qty],T_SelfStock_Log[Part Name],$A31,T_SelfStock_Log[WeekIndex],40))</f>
        <v/>
      </c>
      <c r="AP31" s="19">
        <f>IF(COUNTIFS(T_SelfStock_Log[Part Name],$A31,T_SelfStock_Log[WeekIndex],41)=0,"",SUMIFS(T_SelfStock_Log[Self_Qty],T_SelfStock_Log[Part Name],$A31,T_SelfStock_Log[WeekIndex],41))</f>
        <v/>
      </c>
      <c r="AQ31" s="19">
        <f>IF(COUNTIFS(T_SelfStock_Log[Part Name],$A31,T_SelfStock_Log[WeekIndex],42)=0,"",SUMIFS(T_SelfStock_Log[Self_Qty],T_SelfStock_Log[Part Name],$A31,T_SelfStock_Log[WeekIndex],42))</f>
        <v/>
      </c>
      <c r="AR31" s="19">
        <f>IF(COUNTIFS(T_SelfStock_Log[Part Name],$A31,T_SelfStock_Log[WeekIndex],43)=0,"",SUMIFS(T_SelfStock_Log[Self_Qty],T_SelfStock_Log[Part Name],$A31,T_SelfStock_Log[WeekIndex],43))</f>
        <v/>
      </c>
      <c r="AS31" s="19">
        <f>IF(COUNTIFS(T_SelfStock_Log[Part Name],$A31,T_SelfStock_Log[WeekIndex],44)=0,"",SUMIFS(T_SelfStock_Log[Self_Qty],T_SelfStock_Log[Part Name],$A31,T_SelfStock_Log[WeekIndex],44))</f>
        <v/>
      </c>
      <c r="AT31" s="19">
        <f>IF(COUNTIFS(T_SelfStock_Log[Part Name],$A31,T_SelfStock_Log[WeekIndex],45)=0,"",SUMIFS(T_SelfStock_Log[Self_Qty],T_SelfStock_Log[Part Name],$A31,T_SelfStock_Log[WeekIndex],45))</f>
        <v/>
      </c>
      <c r="AU31" s="19">
        <f>IF(COUNTIFS(T_SelfStock_Log[Part Name],$A31,T_SelfStock_Log[WeekIndex],46)=0,"",SUMIFS(T_SelfStock_Log[Self_Qty],T_SelfStock_Log[Part Name],$A31,T_SelfStock_Log[WeekIndex],46))</f>
        <v/>
      </c>
      <c r="AV31" s="19">
        <f>IF(COUNTIFS(T_SelfStock_Log[Part Name],$A31,T_SelfStock_Log[WeekIndex],47)=0,"",SUMIFS(T_SelfStock_Log[Self_Qty],T_SelfStock_Log[Part Name],$A31,T_SelfStock_Log[WeekIndex],47))</f>
        <v/>
      </c>
      <c r="AW31" s="19">
        <f>IF(COUNTIFS(T_SelfStock_Log[Part Name],$A31,T_SelfStock_Log[WeekIndex],48)=0,"",SUMIFS(T_SelfStock_Log[Self_Qty],T_SelfStock_Log[Part Name],$A31,T_SelfStock_Log[WeekIndex],48))</f>
        <v/>
      </c>
      <c r="AX31" s="19">
        <f>IF(COUNTIFS(T_SelfStock_Log[Part Name],$A31,T_SelfStock_Log[WeekIndex],49)=0,"",SUMIFS(T_SelfStock_Log[Self_Qty],T_SelfStock_Log[Part Name],$A31,T_SelfStock_Log[WeekIndex],49))</f>
        <v/>
      </c>
      <c r="AY31" s="19">
        <f>IF(COUNTIFS(T_SelfStock_Log[Part Name],$A31,T_SelfStock_Log[WeekIndex],50)=0,"",SUMIFS(T_SelfStock_Log[Self_Qty],T_SelfStock_Log[Part Name],$A31,T_SelfStock_Log[WeekIndex],50))</f>
        <v/>
      </c>
      <c r="AZ31" s="19">
        <f>IF(COUNTIFS(T_SelfStock_Log[Part Name],$A31,T_SelfStock_Log[WeekIndex],51)=0,"",SUMIFS(T_SelfStock_Log[Self_Qty],T_SelfStock_Log[Part Name],$A31,T_SelfStock_Log[WeekIndex],51))</f>
        <v/>
      </c>
      <c r="BA31" s="19">
        <f>IF(COUNTIFS(T_SelfStock_Log[Part Name],$A31,T_SelfStock_Log[WeekIndex],52)=0,"",SUMIFS(T_SelfStock_Log[Self_Qty],T_SelfStock_Log[Part Name],$A31,T_SelfStock_Log[WeekIndex],52))</f>
        <v/>
      </c>
      <c r="BB31" s="19">
        <f>IF(COUNTIFS(T_SelfStock_Log[Part Name],$A31,T_SelfStock_Log[WeekIndex],53)=0,"",SUMIFS(T_SelfStock_Log[Self_Qty],T_SelfStock_Log[Part Name],$A31,T_SelfStock_Log[WeekIndex],53))</f>
        <v/>
      </c>
      <c r="BC31" s="19">
        <f>IF(COUNTIFS(T_SelfStock_Log[Part Name],$A31,T_SelfStock_Log[WeekIndex],54)=0,"",SUMIFS(T_SelfStock_Log[Self_Qty],T_SelfStock_Log[Part Name],$A31,T_SelfStock_Log[WeekIndex],54))</f>
        <v/>
      </c>
      <c r="BD31" s="19">
        <f>IF(COUNTIFS(T_SelfStock_Log[Part Name],$A31,T_SelfStock_Log[WeekIndex],55)=0,"",SUMIFS(T_SelfStock_Log[Self_Qty],T_SelfStock_Log[Part Name],$A31,T_SelfStock_Log[WeekIndex],55))</f>
        <v/>
      </c>
      <c r="BE31" s="19">
        <f>IF(COUNTIFS(T_SelfStock_Log[Part Name],$A31,T_SelfStock_Log[WeekIndex],56)=0,"",SUMIFS(T_SelfStock_Log[Self_Qty],T_SelfStock_Log[Part Name],$A31,T_SelfStock_Log[WeekIndex],56))</f>
        <v/>
      </c>
      <c r="BF31" s="19">
        <f>IF(COUNTIFS(T_SelfStock_Log[Part Name],$A31,T_SelfStock_Log[WeekIndex],57)=0,"",SUMIFS(T_SelfStock_Log[Self_Qty],T_SelfStock_Log[Part Name],$A31,T_SelfStock_Log[WeekIndex],57))</f>
        <v/>
      </c>
      <c r="BG31" s="19">
        <f>IF(COUNTIFS(T_SelfStock_Log[Part Name],$A31,T_SelfStock_Log[WeekIndex],58)=0,"",SUMIFS(T_SelfStock_Log[Self_Qty],T_SelfStock_Log[Part Name],$A31,T_SelfStock_Log[WeekIndex],58))</f>
        <v/>
      </c>
      <c r="BH31" s="19">
        <f>IF(COUNTIFS(T_SelfStock_Log[Part Name],$A31,T_SelfStock_Log[WeekIndex],59)=0,"",SUMIFS(T_SelfStock_Log[Self_Qty],T_SelfStock_Log[Part Name],$A31,T_SelfStock_Log[WeekIndex],59))</f>
        <v/>
      </c>
      <c r="BI31" s="19">
        <f>IF(COUNTIFS(T_SelfStock_Log[Part Name],$A31,T_SelfStock_Log[WeekIndex],60)=0,"",SUMIFS(T_SelfStock_Log[Self_Qty],T_SelfStock_Log[Part Name],$A31,T_SelfStock_Log[WeekIndex],60))</f>
        <v/>
      </c>
      <c r="BJ31" s="19">
        <f>IF(COUNTIFS(T_SelfStock_Log[Part Name],$A31,T_SelfStock_Log[WeekIndex],61)=0,"",SUMIFS(T_SelfStock_Log[Self_Qty],T_SelfStock_Log[Part Name],$A31,T_SelfStock_Log[WeekIndex],61))</f>
        <v/>
      </c>
      <c r="BK31" s="19">
        <f>IF(COUNTIFS(T_SelfStock_Log[Part Name],$A31,T_SelfStock_Log[WeekIndex],62)=0,"",SUMIFS(T_SelfStock_Log[Self_Qty],T_SelfStock_Log[Part Name],$A31,T_SelfStock_Log[WeekIndex],62))</f>
        <v/>
      </c>
      <c r="BL31" s="19">
        <f>IF(COUNTIFS(T_SelfStock_Log[Part Name],$A31,T_SelfStock_Log[WeekIndex],63)=0,"",SUMIFS(T_SelfStock_Log[Self_Qty],T_SelfStock_Log[Part Name],$A31,T_SelfStock_Log[WeekIndex],63))</f>
        <v/>
      </c>
      <c r="BM31" s="19">
        <f>IF(COUNTIFS(T_SelfStock_Log[Part Name],$A31,T_SelfStock_Log[WeekIndex],64)=0,"",SUMIFS(T_SelfStock_Log[Self_Qty],T_SelfStock_Log[Part Name],$A31,T_SelfStock_Log[WeekIndex],64))</f>
        <v/>
      </c>
      <c r="BN31" s="19">
        <f>IF(COUNTIFS(T_SelfStock_Log[Part Name],$A31,T_SelfStock_Log[WeekIndex],65)=0,"",SUMIFS(T_SelfStock_Log[Self_Qty],T_SelfStock_Log[Part Name],$A31,T_SelfStock_Log[WeekIndex],65))</f>
        <v/>
      </c>
      <c r="BO31" s="19">
        <f>IF(COUNTIFS(T_SelfStock_Log[Part Name],$A31,T_SelfStock_Log[WeekIndex],66)=0,"",SUMIFS(T_SelfStock_Log[Self_Qty],T_SelfStock_Log[Part Name],$A31,T_SelfStock_Log[WeekIndex],66))</f>
        <v/>
      </c>
      <c r="BP31" s="19">
        <f>IF(COUNTIFS(T_SelfStock_Log[Part Name],$A31,T_SelfStock_Log[WeekIndex],67)=0,"",SUMIFS(T_SelfStock_Log[Self_Qty],T_SelfStock_Log[Part Name],$A31,T_SelfStock_Log[WeekIndex],67))</f>
        <v/>
      </c>
      <c r="BQ31" s="19">
        <f>IF(COUNTIFS(T_SelfStock_Log[Part Name],$A31,T_SelfStock_Log[WeekIndex],68)=0,"",SUMIFS(T_SelfStock_Log[Self_Qty],T_SelfStock_Log[Part Name],$A31,T_SelfStock_Log[WeekIndex],68))</f>
        <v/>
      </c>
      <c r="BR31" s="19">
        <f>IF(COUNTIFS(T_SelfStock_Log[Part Name],$A31,T_SelfStock_Log[WeekIndex],69)=0,"",SUMIFS(T_SelfStock_Log[Self_Qty],T_SelfStock_Log[Part Name],$A31,T_SelfStock_Log[WeekIndex],69))</f>
        <v/>
      </c>
      <c r="BS31" s="19">
        <f>IF(COUNTIFS(T_SelfStock_Log[Part Name],$A31,T_SelfStock_Log[WeekIndex],70)=0,"",SUMIFS(T_SelfStock_Log[Self_Qty],T_SelfStock_Log[Part Name],$A31,T_SelfStock_Log[WeekIndex],70))</f>
        <v/>
      </c>
      <c r="BT31" s="19">
        <f>IF(COUNTIFS(T_SelfStock_Log[Part Name],$A31,T_SelfStock_Log[WeekIndex],71)=0,"",SUMIFS(T_SelfStock_Log[Self_Qty],T_SelfStock_Log[Part Name],$A31,T_SelfStock_Log[WeekIndex],71))</f>
        <v/>
      </c>
      <c r="BU31" s="19">
        <f>IF(COUNTIFS(T_SelfStock_Log[Part Name],$A31,T_SelfStock_Log[WeekIndex],72)=0,"",SUMIFS(T_SelfStock_Log[Self_Qty],T_SelfStock_Log[Part Name],$A31,T_SelfStock_Log[WeekIndex],72))</f>
        <v/>
      </c>
      <c r="BV31" s="19">
        <f>IF(COUNTIFS(T_SelfStock_Log[Part Name],$A31,T_SelfStock_Log[WeekIndex],73)=0,"",SUMIFS(T_SelfStock_Log[Self_Qty],T_SelfStock_Log[Part Name],$A31,T_SelfStock_Log[WeekIndex],73))</f>
        <v/>
      </c>
      <c r="BW31" s="19">
        <f>IF(COUNTIFS(T_SelfStock_Log[Part Name],$A31,T_SelfStock_Log[WeekIndex],74)=0,"",SUMIFS(T_SelfStock_Log[Self_Qty],T_SelfStock_Log[Part Name],$A31,T_SelfStock_Log[WeekIndex],74))</f>
        <v/>
      </c>
      <c r="BX31" s="19">
        <f>IF(COUNTIFS(T_SelfStock_Log[Part Name],$A31,T_SelfStock_Log[WeekIndex],75)=0,"",SUMIFS(T_SelfStock_Log[Self_Qty],T_SelfStock_Log[Part Name],$A31,T_SelfStock_Log[WeekIndex],75))</f>
        <v/>
      </c>
      <c r="BY31" s="19">
        <f>IF(COUNTIFS(T_SelfStock_Log[Part Name],$A31,T_SelfStock_Log[WeekIndex],76)=0,"",SUMIFS(T_SelfStock_Log[Self_Qty],T_SelfStock_Log[Part Name],$A31,T_SelfStock_Log[WeekIndex],76))</f>
        <v/>
      </c>
      <c r="BZ31" s="19">
        <f>IF(COUNTIFS(T_SelfStock_Log[Part Name],$A31,T_SelfStock_Log[WeekIndex],77)=0,"",SUMIFS(T_SelfStock_Log[Self_Qty],T_SelfStock_Log[Part Name],$A31,T_SelfStock_Log[WeekIndex],77))</f>
        <v/>
      </c>
      <c r="CA31" s="19">
        <f>IF(COUNTIFS(T_SelfStock_Log[Part Name],$A31,T_SelfStock_Log[WeekIndex],78)=0,"",SUMIFS(T_SelfStock_Log[Self_Qty],T_SelfStock_Log[Part Name],$A31,T_SelfStock_Log[WeekIndex],78))</f>
        <v/>
      </c>
      <c r="CB31" s="19">
        <f>IF(COUNTIFS(T_SelfStock_Log[Part Name],$A31,T_SelfStock_Log[WeekIndex],79)=0,"",SUMIFS(T_SelfStock_Log[Self_Qty],T_SelfStock_Log[Part Name],$A31,T_SelfStock_Log[WeekIndex],79))</f>
        <v/>
      </c>
      <c r="CC31" s="19">
        <f>IF(COUNTIFS(T_SelfStock_Log[Part Name],$A31,T_SelfStock_Log[WeekIndex],80)=0,"",SUMIFS(T_SelfStock_Log[Self_Qty],T_SelfStock_Log[Part Name],$A31,T_SelfStock_Log[WeekIndex],80))</f>
        <v/>
      </c>
      <c r="CD31" s="19">
        <f>IF(COUNTIFS(T_SelfStock_Log[Part Name],$A31,T_SelfStock_Log[WeekIndex],81)=0,"",SUMIFS(T_SelfStock_Log[Self_Qty],T_SelfStock_Log[Part Name],$A31,T_SelfStock_Log[WeekIndex],81))</f>
        <v/>
      </c>
      <c r="CE31" s="19">
        <f>IF(COUNTIFS(T_SelfStock_Log[Part Name],$A31,T_SelfStock_Log[WeekIndex],82)=0,"",SUMIFS(T_SelfStock_Log[Self_Qty],T_SelfStock_Log[Part Name],$A31,T_SelfStock_Log[WeekIndex],82))</f>
        <v/>
      </c>
      <c r="CF31" s="19">
        <f>IF(COUNTIFS(T_SelfStock_Log[Part Name],$A31,T_SelfStock_Log[WeekIndex],83)=0,"",SUMIFS(T_SelfStock_Log[Self_Qty],T_SelfStock_Log[Part Name],$A31,T_SelfStock_Log[WeekIndex],83))</f>
        <v/>
      </c>
      <c r="CG31" s="19">
        <f>IF(COUNTIFS(T_SelfStock_Log[Part Name],$A31,T_SelfStock_Log[WeekIndex],84)=0,"",SUMIFS(T_SelfStock_Log[Self_Qty],T_SelfStock_Log[Part Name],$A31,T_SelfStock_Log[WeekIndex],84))</f>
        <v/>
      </c>
      <c r="CH31" s="19">
        <f>IF(COUNTIFS(T_SelfStock_Log[Part Name],$A31,T_SelfStock_Log[WeekIndex],85)=0,"",SUMIFS(T_SelfStock_Log[Self_Qty],T_SelfStock_Log[Part Name],$A31,T_SelfStock_Log[WeekIndex],85))</f>
        <v/>
      </c>
      <c r="CI31" s="19">
        <f>IF(COUNTIFS(T_SelfStock_Log[Part Name],$A31,T_SelfStock_Log[WeekIndex],86)=0,"",SUMIFS(T_SelfStock_Log[Self_Qty],T_SelfStock_Log[Part Name],$A31,T_SelfStock_Log[WeekIndex],86))</f>
        <v/>
      </c>
      <c r="CJ31" s="19">
        <f>IF(COUNTIFS(T_SelfStock_Log[Part Name],$A31,T_SelfStock_Log[WeekIndex],87)=0,"",SUMIFS(T_SelfStock_Log[Self_Qty],T_SelfStock_Log[Part Name],$A31,T_SelfStock_Log[WeekIndex],87))</f>
        <v/>
      </c>
      <c r="CK31" s="19">
        <f>IF(COUNTIFS(T_SelfStock_Log[Part Name],$A31,T_SelfStock_Log[WeekIndex],88)=0,"",SUMIFS(T_SelfStock_Log[Self_Qty],T_SelfStock_Log[Part Name],$A31,T_SelfStock_Log[WeekIndex],88))</f>
        <v/>
      </c>
      <c r="CL31" s="19">
        <f>IF(COUNTIFS(T_SelfStock_Log[Part Name],$A31,T_SelfStock_Log[WeekIndex],89)=0,"",SUMIFS(T_SelfStock_Log[Self_Qty],T_SelfStock_Log[Part Name],$A31,T_SelfStock_Log[WeekIndex],89))</f>
        <v/>
      </c>
      <c r="CM31" s="19">
        <f>IF(COUNTIFS(T_SelfStock_Log[Part Name],$A31,T_SelfStock_Log[WeekIndex],90)=0,"",SUMIFS(T_SelfStock_Log[Self_Qty],T_SelfStock_Log[Part Name],$A31,T_SelfStock_Log[WeekIndex],90))</f>
        <v/>
      </c>
      <c r="CN31" s="19">
        <f>IF(COUNTIFS(T_SelfStock_Log[Part Name],$A31,T_SelfStock_Log[WeekIndex],91)=0,"",SUMIFS(T_SelfStock_Log[Self_Qty],T_SelfStock_Log[Part Name],$A31,T_SelfStock_Log[WeekIndex],91))</f>
        <v/>
      </c>
      <c r="CO31" s="19">
        <f>IF(COUNTIFS(T_SelfStock_Log[Part Name],$A31,T_SelfStock_Log[WeekIndex],92)=0,"",SUMIFS(T_SelfStock_Log[Self_Qty],T_SelfStock_Log[Part Name],$A31,T_SelfStock_Log[WeekIndex],92))</f>
        <v/>
      </c>
      <c r="CP31" s="19">
        <f>IF(COUNTIFS(T_SelfStock_Log[Part Name],$A31,T_SelfStock_Log[WeekIndex],93)=0,"",SUMIFS(T_SelfStock_Log[Self_Qty],T_SelfStock_Log[Part Name],$A31,T_SelfStock_Log[WeekIndex],93))</f>
        <v/>
      </c>
      <c r="CQ31" s="19">
        <f>IF(COUNTIFS(T_SelfStock_Log[Part Name],$A31,T_SelfStock_Log[WeekIndex],94)=0,"",SUMIFS(T_SelfStock_Log[Self_Qty],T_SelfStock_Log[Part Name],$A31,T_SelfStock_Log[WeekIndex],94))</f>
        <v/>
      </c>
      <c r="CR31" s="19">
        <f>IF(COUNTIFS(T_SelfStock_Log[Part Name],$A31,T_SelfStock_Log[WeekIndex],95)=0,"",SUMIFS(T_SelfStock_Log[Self_Qty],T_SelfStock_Log[Part Name],$A31,T_SelfStock_Log[WeekIndex],95))</f>
        <v/>
      </c>
      <c r="CS31" s="19">
        <f>IF(COUNTIFS(T_SelfStock_Log[Part Name],$A31,T_SelfStock_Log[WeekIndex],96)=0,"",SUMIFS(T_SelfStock_Log[Self_Qty],T_SelfStock_Log[Part Name],$A31,T_SelfStock_Log[WeekIndex],96))</f>
        <v/>
      </c>
      <c r="CT31" s="19">
        <f>IF(COUNTIFS(T_SelfStock_Log[Part Name],$A31,T_SelfStock_Log[WeekIndex],97)=0,"",SUMIFS(T_SelfStock_Log[Self_Qty],T_SelfStock_Log[Part Name],$A31,T_SelfStock_Log[WeekIndex],97))</f>
        <v/>
      </c>
      <c r="CU31" s="19">
        <f>IF(COUNTIFS(T_SelfStock_Log[Part Name],$A31,T_SelfStock_Log[WeekIndex],98)=0,"",SUMIFS(T_SelfStock_Log[Self_Qty],T_SelfStock_Log[Part Name],$A31,T_SelfStock_Log[WeekIndex],98))</f>
        <v/>
      </c>
      <c r="CV31" s="19">
        <f>IF(COUNTIFS(T_SelfStock_Log[Part Name],$A31,T_SelfStock_Log[WeekIndex],99)=0,"",SUMIFS(T_SelfStock_Log[Self_Qty],T_SelfStock_Log[Part Name],$A31,T_SelfStock_Log[WeekIndex],99))</f>
        <v/>
      </c>
      <c r="CW31" s="19">
        <f>IF(COUNTIFS(T_SelfStock_Log[Part Name],$A31,T_SelfStock_Log[WeekIndex],100)=0,"",SUMIFS(T_SelfStock_Log[Self_Qty],T_SelfStock_Log[Part Name],$A31,T_SelfStock_Log[WeekIndex],100))</f>
        <v/>
      </c>
      <c r="CX31" s="19">
        <f>IF(COUNTIFS(T_SelfStock_Log[Part Name],$A31,T_SelfStock_Log[WeekIndex],101)=0,"",SUMIFS(T_SelfStock_Log[Self_Qty],T_SelfStock_Log[Part Name],$A31,T_SelfStock_Log[WeekIndex],101))</f>
        <v/>
      </c>
      <c r="CY31" s="19">
        <f>IF(COUNTIFS(T_SelfStock_Log[Part Name],$A31,T_SelfStock_Log[WeekIndex],102)=0,"",SUMIFS(T_SelfStock_Log[Self_Qty],T_SelfStock_Log[Part Name],$A31,T_SelfStock_Log[WeekIndex],102))</f>
        <v/>
      </c>
      <c r="CZ31" s="19">
        <f>IF(COUNTIFS(T_SelfStock_Log[Part Name],$A31,T_SelfStock_Log[WeekIndex],103)=0,"",SUMIFS(T_SelfStock_Log[Self_Qty],T_SelfStock_Log[Part Name],$A31,T_SelfStock_Log[WeekIndex],103))</f>
        <v/>
      </c>
      <c r="DA31" s="19">
        <f>IF(COUNTIFS(T_SelfStock_Log[Part Name],$A31,T_SelfStock_Log[WeekIndex],104)=0,"",SUMIFS(T_SelfStock_Log[Self_Qty],T_SelfStock_Log[Part Name],$A31,T_SelfStock_Log[WeekIndex],104))</f>
        <v/>
      </c>
    </row>
    <row r="32">
      <c r="A32" s="17" t="inlineStr">
        <is>
          <t>CHEM-1600</t>
        </is>
      </c>
      <c r="B32" s="17">
        <f>IF(COUNTIFS(T_SelfStock_Log[Part Name],$A32,T_SelfStock_Log[WeekIndex],1)=0,"",SUMIFS(T_SelfStock_Log[Self_Qty],T_SelfStock_Log[Part Name],$A32,T_SelfStock_Log[WeekIndex],1))</f>
        <v/>
      </c>
      <c r="C32" s="17">
        <f>IF(COUNTIFS(T_SelfStock_Log[Part Name],$A32,T_SelfStock_Log[WeekIndex],2)=0,"",SUMIFS(T_SelfStock_Log[Self_Qty],T_SelfStock_Log[Part Name],$A32,T_SelfStock_Log[WeekIndex],2))</f>
        <v/>
      </c>
      <c r="D32" s="17">
        <f>IF(COUNTIFS(T_SelfStock_Log[Part Name],$A32,T_SelfStock_Log[WeekIndex],3)=0,"",SUMIFS(T_SelfStock_Log[Self_Qty],T_SelfStock_Log[Part Name],$A32,T_SelfStock_Log[WeekIndex],3))</f>
        <v/>
      </c>
      <c r="E32" s="17">
        <f>IF(COUNTIFS(T_SelfStock_Log[Part Name],$A32,T_SelfStock_Log[WeekIndex],4)=0,"",SUMIFS(T_SelfStock_Log[Self_Qty],T_SelfStock_Log[Part Name],$A32,T_SelfStock_Log[WeekIndex],4))</f>
        <v/>
      </c>
      <c r="F32" s="17">
        <f>IF(COUNTIFS(T_SelfStock_Log[Part Name],$A32,T_SelfStock_Log[WeekIndex],5)=0,"",SUMIFS(T_SelfStock_Log[Self_Qty],T_SelfStock_Log[Part Name],$A32,T_SelfStock_Log[WeekIndex],5))</f>
        <v/>
      </c>
      <c r="G32" s="17">
        <f>IF(COUNTIFS(T_SelfStock_Log[Part Name],$A32,T_SelfStock_Log[WeekIndex],6)=0,"",SUMIFS(T_SelfStock_Log[Self_Qty],T_SelfStock_Log[Part Name],$A32,T_SelfStock_Log[WeekIndex],6))</f>
        <v/>
      </c>
      <c r="H32" s="17">
        <f>IF(COUNTIFS(T_SelfStock_Log[Part Name],$A32,T_SelfStock_Log[WeekIndex],7)=0,"",SUMIFS(T_SelfStock_Log[Self_Qty],T_SelfStock_Log[Part Name],$A32,T_SelfStock_Log[WeekIndex],7))</f>
        <v/>
      </c>
      <c r="I32" s="17">
        <f>IF(COUNTIFS(T_SelfStock_Log[Part Name],$A32,T_SelfStock_Log[WeekIndex],8)=0,"",SUMIFS(T_SelfStock_Log[Self_Qty],T_SelfStock_Log[Part Name],$A32,T_SelfStock_Log[WeekIndex],8))</f>
        <v/>
      </c>
      <c r="J32" s="17">
        <f>IF(COUNTIFS(T_SelfStock_Log[Part Name],$A32,T_SelfStock_Log[WeekIndex],9)=0,"",SUMIFS(T_SelfStock_Log[Self_Qty],T_SelfStock_Log[Part Name],$A32,T_SelfStock_Log[WeekIndex],9))</f>
        <v/>
      </c>
      <c r="K32" s="17">
        <f>IF(COUNTIFS(T_SelfStock_Log[Part Name],$A32,T_SelfStock_Log[WeekIndex],10)=0,"",SUMIFS(T_SelfStock_Log[Self_Qty],T_SelfStock_Log[Part Name],$A32,T_SelfStock_Log[WeekIndex],10))</f>
        <v/>
      </c>
      <c r="L32" s="17">
        <f>IF(COUNTIFS(T_SelfStock_Log[Part Name],$A32,T_SelfStock_Log[WeekIndex],11)=0,"",SUMIFS(T_SelfStock_Log[Self_Qty],T_SelfStock_Log[Part Name],$A32,T_SelfStock_Log[WeekIndex],11))</f>
        <v/>
      </c>
      <c r="M32" s="17">
        <f>IF(COUNTIFS(T_SelfStock_Log[Part Name],$A32,T_SelfStock_Log[WeekIndex],12)=0,"",SUMIFS(T_SelfStock_Log[Self_Qty],T_SelfStock_Log[Part Name],$A32,T_SelfStock_Log[WeekIndex],12))</f>
        <v/>
      </c>
      <c r="N32" s="17">
        <f>IF(COUNTIFS(T_SelfStock_Log[Part Name],$A32,T_SelfStock_Log[WeekIndex],13)=0,"",SUMIFS(T_SelfStock_Log[Self_Qty],T_SelfStock_Log[Part Name],$A32,T_SelfStock_Log[WeekIndex],13))</f>
        <v/>
      </c>
      <c r="O32" s="17">
        <f>IF(COUNTIFS(T_SelfStock_Log[Part Name],$A32,T_SelfStock_Log[WeekIndex],14)=0,"",SUMIFS(T_SelfStock_Log[Self_Qty],T_SelfStock_Log[Part Name],$A32,T_SelfStock_Log[WeekIndex],14))</f>
        <v/>
      </c>
      <c r="P32" s="17">
        <f>IF(COUNTIFS(T_SelfStock_Log[Part Name],$A32,T_SelfStock_Log[WeekIndex],15)=0,"",SUMIFS(T_SelfStock_Log[Self_Qty],T_SelfStock_Log[Part Name],$A32,T_SelfStock_Log[WeekIndex],15))</f>
        <v/>
      </c>
      <c r="Q32" s="17">
        <f>IF(COUNTIFS(T_SelfStock_Log[Part Name],$A32,T_SelfStock_Log[WeekIndex],16)=0,"",SUMIFS(T_SelfStock_Log[Self_Qty],T_SelfStock_Log[Part Name],$A32,T_SelfStock_Log[WeekIndex],16))</f>
        <v/>
      </c>
      <c r="R32" s="17">
        <f>IF(COUNTIFS(T_SelfStock_Log[Part Name],$A32,T_SelfStock_Log[WeekIndex],17)=0,"",SUMIFS(T_SelfStock_Log[Self_Qty],T_SelfStock_Log[Part Name],$A32,T_SelfStock_Log[WeekIndex],17))</f>
        <v/>
      </c>
      <c r="S32" s="17">
        <f>IF(COUNTIFS(T_SelfStock_Log[Part Name],$A32,T_SelfStock_Log[WeekIndex],18)=0,"",SUMIFS(T_SelfStock_Log[Self_Qty],T_SelfStock_Log[Part Name],$A32,T_SelfStock_Log[WeekIndex],18))</f>
        <v/>
      </c>
      <c r="T32" s="17">
        <f>IF(COUNTIFS(T_SelfStock_Log[Part Name],$A32,T_SelfStock_Log[WeekIndex],19)=0,"",SUMIFS(T_SelfStock_Log[Self_Qty],T_SelfStock_Log[Part Name],$A32,T_SelfStock_Log[WeekIndex],19))</f>
        <v/>
      </c>
      <c r="U32" s="17">
        <f>IF(COUNTIFS(T_SelfStock_Log[Part Name],$A32,T_SelfStock_Log[WeekIndex],20)=0,"",SUMIFS(T_SelfStock_Log[Self_Qty],T_SelfStock_Log[Part Name],$A32,T_SelfStock_Log[WeekIndex],20))</f>
        <v/>
      </c>
      <c r="V32" s="17">
        <f>IF(COUNTIFS(T_SelfStock_Log[Part Name],$A32,T_SelfStock_Log[WeekIndex],21)=0,"",SUMIFS(T_SelfStock_Log[Self_Qty],T_SelfStock_Log[Part Name],$A32,T_SelfStock_Log[WeekIndex],21))</f>
        <v/>
      </c>
      <c r="W32" s="17">
        <f>IF(COUNTIFS(T_SelfStock_Log[Part Name],$A32,T_SelfStock_Log[WeekIndex],22)=0,"",SUMIFS(T_SelfStock_Log[Self_Qty],T_SelfStock_Log[Part Name],$A32,T_SelfStock_Log[WeekIndex],22))</f>
        <v/>
      </c>
      <c r="X32" s="17">
        <f>IF(COUNTIFS(T_SelfStock_Log[Part Name],$A32,T_SelfStock_Log[WeekIndex],23)=0,"",SUMIFS(T_SelfStock_Log[Self_Qty],T_SelfStock_Log[Part Name],$A32,T_SelfStock_Log[WeekIndex],23))</f>
        <v/>
      </c>
      <c r="Y32" s="17">
        <f>IF(COUNTIFS(T_SelfStock_Log[Part Name],$A32,T_SelfStock_Log[WeekIndex],24)=0,"",SUMIFS(T_SelfStock_Log[Self_Qty],T_SelfStock_Log[Part Name],$A32,T_SelfStock_Log[WeekIndex],24))</f>
        <v/>
      </c>
      <c r="Z32" s="17">
        <f>IF(COUNTIFS(T_SelfStock_Log[Part Name],$A32,T_SelfStock_Log[WeekIndex],25)=0,"",SUMIFS(T_SelfStock_Log[Self_Qty],T_SelfStock_Log[Part Name],$A32,T_SelfStock_Log[WeekIndex],25))</f>
        <v/>
      </c>
      <c r="AA32" s="17">
        <f>IF(COUNTIFS(T_SelfStock_Log[Part Name],$A32,T_SelfStock_Log[WeekIndex],26)=0,"",SUMIFS(T_SelfStock_Log[Self_Qty],T_SelfStock_Log[Part Name],$A32,T_SelfStock_Log[WeekIndex],26))</f>
        <v/>
      </c>
      <c r="AB32" s="17">
        <f>IF(COUNTIFS(T_SelfStock_Log[Part Name],$A32,T_SelfStock_Log[WeekIndex],27)=0,"",SUMIFS(T_SelfStock_Log[Self_Qty],T_SelfStock_Log[Part Name],$A32,T_SelfStock_Log[WeekIndex],27))</f>
        <v/>
      </c>
      <c r="AC32" s="17">
        <f>IF(COUNTIFS(T_SelfStock_Log[Part Name],$A32,T_SelfStock_Log[WeekIndex],28)=0,"",SUMIFS(T_SelfStock_Log[Self_Qty],T_SelfStock_Log[Part Name],$A32,T_SelfStock_Log[WeekIndex],28))</f>
        <v/>
      </c>
      <c r="AD32" s="17">
        <f>IF(COUNTIFS(T_SelfStock_Log[Part Name],$A32,T_SelfStock_Log[WeekIndex],29)=0,"",SUMIFS(T_SelfStock_Log[Self_Qty],T_SelfStock_Log[Part Name],$A32,T_SelfStock_Log[WeekIndex],29))</f>
        <v/>
      </c>
      <c r="AE32" s="17">
        <f>IF(COUNTIFS(T_SelfStock_Log[Part Name],$A32,T_SelfStock_Log[WeekIndex],30)=0,"",SUMIFS(T_SelfStock_Log[Self_Qty],T_SelfStock_Log[Part Name],$A32,T_SelfStock_Log[WeekIndex],30))</f>
        <v/>
      </c>
      <c r="AF32" s="17">
        <f>IF(COUNTIFS(T_SelfStock_Log[Part Name],$A32,T_SelfStock_Log[WeekIndex],31)=0,"",SUMIFS(T_SelfStock_Log[Self_Qty],T_SelfStock_Log[Part Name],$A32,T_SelfStock_Log[WeekIndex],31))</f>
        <v/>
      </c>
      <c r="AG32" s="17">
        <f>IF(COUNTIFS(T_SelfStock_Log[Part Name],$A32,T_SelfStock_Log[WeekIndex],32)=0,"",SUMIFS(T_SelfStock_Log[Self_Qty],T_SelfStock_Log[Part Name],$A32,T_SelfStock_Log[WeekIndex],32))</f>
        <v/>
      </c>
      <c r="AH32" s="17">
        <f>IF(COUNTIFS(T_SelfStock_Log[Part Name],$A32,T_SelfStock_Log[WeekIndex],33)=0,"",SUMIFS(T_SelfStock_Log[Self_Qty],T_SelfStock_Log[Part Name],$A32,T_SelfStock_Log[WeekIndex],33))</f>
        <v/>
      </c>
      <c r="AI32" s="17">
        <f>IF(COUNTIFS(T_SelfStock_Log[Part Name],$A32,T_SelfStock_Log[WeekIndex],34)=0,"",SUMIFS(T_SelfStock_Log[Self_Qty],T_SelfStock_Log[Part Name],$A32,T_SelfStock_Log[WeekIndex],34))</f>
        <v/>
      </c>
      <c r="AJ32" s="17">
        <f>IF(COUNTIFS(T_SelfStock_Log[Part Name],$A32,T_SelfStock_Log[WeekIndex],35)=0,"",SUMIFS(T_SelfStock_Log[Self_Qty],T_SelfStock_Log[Part Name],$A32,T_SelfStock_Log[WeekIndex],35))</f>
        <v/>
      </c>
      <c r="AK32" s="17">
        <f>IF(COUNTIFS(T_SelfStock_Log[Part Name],$A32,T_SelfStock_Log[WeekIndex],36)=0,"",SUMIFS(T_SelfStock_Log[Self_Qty],T_SelfStock_Log[Part Name],$A32,T_SelfStock_Log[WeekIndex],36))</f>
        <v/>
      </c>
      <c r="AL32" s="17">
        <f>IF(COUNTIFS(T_SelfStock_Log[Part Name],$A32,T_SelfStock_Log[WeekIndex],37)=0,"",SUMIFS(T_SelfStock_Log[Self_Qty],T_SelfStock_Log[Part Name],$A32,T_SelfStock_Log[WeekIndex],37))</f>
        <v/>
      </c>
      <c r="AM32" s="17">
        <f>IF(COUNTIFS(T_SelfStock_Log[Part Name],$A32,T_SelfStock_Log[WeekIndex],38)=0,"",SUMIFS(T_SelfStock_Log[Self_Qty],T_SelfStock_Log[Part Name],$A32,T_SelfStock_Log[WeekIndex],38))</f>
        <v/>
      </c>
      <c r="AN32" s="17">
        <f>IF(COUNTIFS(T_SelfStock_Log[Part Name],$A32,T_SelfStock_Log[WeekIndex],39)=0,"",SUMIFS(T_SelfStock_Log[Self_Qty],T_SelfStock_Log[Part Name],$A32,T_SelfStock_Log[WeekIndex],39))</f>
        <v/>
      </c>
      <c r="AO32" s="17">
        <f>IF(COUNTIFS(T_SelfStock_Log[Part Name],$A32,T_SelfStock_Log[WeekIndex],40)=0,"",SUMIFS(T_SelfStock_Log[Self_Qty],T_SelfStock_Log[Part Name],$A32,T_SelfStock_Log[WeekIndex],40))</f>
        <v/>
      </c>
      <c r="AP32" s="17">
        <f>IF(COUNTIFS(T_SelfStock_Log[Part Name],$A32,T_SelfStock_Log[WeekIndex],41)=0,"",SUMIFS(T_SelfStock_Log[Self_Qty],T_SelfStock_Log[Part Name],$A32,T_SelfStock_Log[WeekIndex],41))</f>
        <v/>
      </c>
      <c r="AQ32" s="17">
        <f>IF(COUNTIFS(T_SelfStock_Log[Part Name],$A32,T_SelfStock_Log[WeekIndex],42)=0,"",SUMIFS(T_SelfStock_Log[Self_Qty],T_SelfStock_Log[Part Name],$A32,T_SelfStock_Log[WeekIndex],42))</f>
        <v/>
      </c>
      <c r="AR32" s="17">
        <f>IF(COUNTIFS(T_SelfStock_Log[Part Name],$A32,T_SelfStock_Log[WeekIndex],43)=0,"",SUMIFS(T_SelfStock_Log[Self_Qty],T_SelfStock_Log[Part Name],$A32,T_SelfStock_Log[WeekIndex],43))</f>
        <v/>
      </c>
      <c r="AS32" s="17">
        <f>IF(COUNTIFS(T_SelfStock_Log[Part Name],$A32,T_SelfStock_Log[WeekIndex],44)=0,"",SUMIFS(T_SelfStock_Log[Self_Qty],T_SelfStock_Log[Part Name],$A32,T_SelfStock_Log[WeekIndex],44))</f>
        <v/>
      </c>
      <c r="AT32" s="17">
        <f>IF(COUNTIFS(T_SelfStock_Log[Part Name],$A32,T_SelfStock_Log[WeekIndex],45)=0,"",SUMIFS(T_SelfStock_Log[Self_Qty],T_SelfStock_Log[Part Name],$A32,T_SelfStock_Log[WeekIndex],45))</f>
        <v/>
      </c>
      <c r="AU32" s="17">
        <f>IF(COUNTIFS(T_SelfStock_Log[Part Name],$A32,T_SelfStock_Log[WeekIndex],46)=0,"",SUMIFS(T_SelfStock_Log[Self_Qty],T_SelfStock_Log[Part Name],$A32,T_SelfStock_Log[WeekIndex],46))</f>
        <v/>
      </c>
      <c r="AV32" s="17">
        <f>IF(COUNTIFS(T_SelfStock_Log[Part Name],$A32,T_SelfStock_Log[WeekIndex],47)=0,"",SUMIFS(T_SelfStock_Log[Self_Qty],T_SelfStock_Log[Part Name],$A32,T_SelfStock_Log[WeekIndex],47))</f>
        <v/>
      </c>
      <c r="AW32" s="17">
        <f>IF(COUNTIFS(T_SelfStock_Log[Part Name],$A32,T_SelfStock_Log[WeekIndex],48)=0,"",SUMIFS(T_SelfStock_Log[Self_Qty],T_SelfStock_Log[Part Name],$A32,T_SelfStock_Log[WeekIndex],48))</f>
        <v/>
      </c>
      <c r="AX32" s="17">
        <f>IF(COUNTIFS(T_SelfStock_Log[Part Name],$A32,T_SelfStock_Log[WeekIndex],49)=0,"",SUMIFS(T_SelfStock_Log[Self_Qty],T_SelfStock_Log[Part Name],$A32,T_SelfStock_Log[WeekIndex],49))</f>
        <v/>
      </c>
      <c r="AY32" s="17">
        <f>IF(COUNTIFS(T_SelfStock_Log[Part Name],$A32,T_SelfStock_Log[WeekIndex],50)=0,"",SUMIFS(T_SelfStock_Log[Self_Qty],T_SelfStock_Log[Part Name],$A32,T_SelfStock_Log[WeekIndex],50))</f>
        <v/>
      </c>
      <c r="AZ32" s="17">
        <f>IF(COUNTIFS(T_SelfStock_Log[Part Name],$A32,T_SelfStock_Log[WeekIndex],51)=0,"",SUMIFS(T_SelfStock_Log[Self_Qty],T_SelfStock_Log[Part Name],$A32,T_SelfStock_Log[WeekIndex],51))</f>
        <v/>
      </c>
      <c r="BA32" s="17">
        <f>IF(COUNTIFS(T_SelfStock_Log[Part Name],$A32,T_SelfStock_Log[WeekIndex],52)=0,"",SUMIFS(T_SelfStock_Log[Self_Qty],T_SelfStock_Log[Part Name],$A32,T_SelfStock_Log[WeekIndex],52))</f>
        <v/>
      </c>
      <c r="BB32" s="17">
        <f>IF(COUNTIFS(T_SelfStock_Log[Part Name],$A32,T_SelfStock_Log[WeekIndex],53)=0,"",SUMIFS(T_SelfStock_Log[Self_Qty],T_SelfStock_Log[Part Name],$A32,T_SelfStock_Log[WeekIndex],53))</f>
        <v/>
      </c>
      <c r="BC32" s="17">
        <f>IF(COUNTIFS(T_SelfStock_Log[Part Name],$A32,T_SelfStock_Log[WeekIndex],54)=0,"",SUMIFS(T_SelfStock_Log[Self_Qty],T_SelfStock_Log[Part Name],$A32,T_SelfStock_Log[WeekIndex],54))</f>
        <v/>
      </c>
      <c r="BD32" s="17">
        <f>IF(COUNTIFS(T_SelfStock_Log[Part Name],$A32,T_SelfStock_Log[WeekIndex],55)=0,"",SUMIFS(T_SelfStock_Log[Self_Qty],T_SelfStock_Log[Part Name],$A32,T_SelfStock_Log[WeekIndex],55))</f>
        <v/>
      </c>
      <c r="BE32" s="17">
        <f>IF(COUNTIFS(T_SelfStock_Log[Part Name],$A32,T_SelfStock_Log[WeekIndex],56)=0,"",SUMIFS(T_SelfStock_Log[Self_Qty],T_SelfStock_Log[Part Name],$A32,T_SelfStock_Log[WeekIndex],56))</f>
        <v/>
      </c>
      <c r="BF32" s="17">
        <f>IF(COUNTIFS(T_SelfStock_Log[Part Name],$A32,T_SelfStock_Log[WeekIndex],57)=0,"",SUMIFS(T_SelfStock_Log[Self_Qty],T_SelfStock_Log[Part Name],$A32,T_SelfStock_Log[WeekIndex],57))</f>
        <v/>
      </c>
      <c r="BG32" s="17">
        <f>IF(COUNTIFS(T_SelfStock_Log[Part Name],$A32,T_SelfStock_Log[WeekIndex],58)=0,"",SUMIFS(T_SelfStock_Log[Self_Qty],T_SelfStock_Log[Part Name],$A32,T_SelfStock_Log[WeekIndex],58))</f>
        <v/>
      </c>
      <c r="BH32" s="17">
        <f>IF(COUNTIFS(T_SelfStock_Log[Part Name],$A32,T_SelfStock_Log[WeekIndex],59)=0,"",SUMIFS(T_SelfStock_Log[Self_Qty],T_SelfStock_Log[Part Name],$A32,T_SelfStock_Log[WeekIndex],59))</f>
        <v/>
      </c>
      <c r="BI32" s="17">
        <f>IF(COUNTIFS(T_SelfStock_Log[Part Name],$A32,T_SelfStock_Log[WeekIndex],60)=0,"",SUMIFS(T_SelfStock_Log[Self_Qty],T_SelfStock_Log[Part Name],$A32,T_SelfStock_Log[WeekIndex],60))</f>
        <v/>
      </c>
      <c r="BJ32" s="17">
        <f>IF(COUNTIFS(T_SelfStock_Log[Part Name],$A32,T_SelfStock_Log[WeekIndex],61)=0,"",SUMIFS(T_SelfStock_Log[Self_Qty],T_SelfStock_Log[Part Name],$A32,T_SelfStock_Log[WeekIndex],61))</f>
        <v/>
      </c>
      <c r="BK32" s="17">
        <f>IF(COUNTIFS(T_SelfStock_Log[Part Name],$A32,T_SelfStock_Log[WeekIndex],62)=0,"",SUMIFS(T_SelfStock_Log[Self_Qty],T_SelfStock_Log[Part Name],$A32,T_SelfStock_Log[WeekIndex],62))</f>
        <v/>
      </c>
      <c r="BL32" s="17">
        <f>IF(COUNTIFS(T_SelfStock_Log[Part Name],$A32,T_SelfStock_Log[WeekIndex],63)=0,"",SUMIFS(T_SelfStock_Log[Self_Qty],T_SelfStock_Log[Part Name],$A32,T_SelfStock_Log[WeekIndex],63))</f>
        <v/>
      </c>
      <c r="BM32" s="17">
        <f>IF(COUNTIFS(T_SelfStock_Log[Part Name],$A32,T_SelfStock_Log[WeekIndex],64)=0,"",SUMIFS(T_SelfStock_Log[Self_Qty],T_SelfStock_Log[Part Name],$A32,T_SelfStock_Log[WeekIndex],64))</f>
        <v/>
      </c>
      <c r="BN32" s="17">
        <f>IF(COUNTIFS(T_SelfStock_Log[Part Name],$A32,T_SelfStock_Log[WeekIndex],65)=0,"",SUMIFS(T_SelfStock_Log[Self_Qty],T_SelfStock_Log[Part Name],$A32,T_SelfStock_Log[WeekIndex],65))</f>
        <v/>
      </c>
      <c r="BO32" s="17">
        <f>IF(COUNTIFS(T_SelfStock_Log[Part Name],$A32,T_SelfStock_Log[WeekIndex],66)=0,"",SUMIFS(T_SelfStock_Log[Self_Qty],T_SelfStock_Log[Part Name],$A32,T_SelfStock_Log[WeekIndex],66))</f>
        <v/>
      </c>
      <c r="BP32" s="17">
        <f>IF(COUNTIFS(T_SelfStock_Log[Part Name],$A32,T_SelfStock_Log[WeekIndex],67)=0,"",SUMIFS(T_SelfStock_Log[Self_Qty],T_SelfStock_Log[Part Name],$A32,T_SelfStock_Log[WeekIndex],67))</f>
        <v/>
      </c>
      <c r="BQ32" s="17">
        <f>IF(COUNTIFS(T_SelfStock_Log[Part Name],$A32,T_SelfStock_Log[WeekIndex],68)=0,"",SUMIFS(T_SelfStock_Log[Self_Qty],T_SelfStock_Log[Part Name],$A32,T_SelfStock_Log[WeekIndex],68))</f>
        <v/>
      </c>
      <c r="BR32" s="17">
        <f>IF(COUNTIFS(T_SelfStock_Log[Part Name],$A32,T_SelfStock_Log[WeekIndex],69)=0,"",SUMIFS(T_SelfStock_Log[Self_Qty],T_SelfStock_Log[Part Name],$A32,T_SelfStock_Log[WeekIndex],69))</f>
        <v/>
      </c>
      <c r="BS32" s="17">
        <f>IF(COUNTIFS(T_SelfStock_Log[Part Name],$A32,T_SelfStock_Log[WeekIndex],70)=0,"",SUMIFS(T_SelfStock_Log[Self_Qty],T_SelfStock_Log[Part Name],$A32,T_SelfStock_Log[WeekIndex],70))</f>
        <v/>
      </c>
      <c r="BT32" s="17">
        <f>IF(COUNTIFS(T_SelfStock_Log[Part Name],$A32,T_SelfStock_Log[WeekIndex],71)=0,"",SUMIFS(T_SelfStock_Log[Self_Qty],T_SelfStock_Log[Part Name],$A32,T_SelfStock_Log[WeekIndex],71))</f>
        <v/>
      </c>
      <c r="BU32" s="17">
        <f>IF(COUNTIFS(T_SelfStock_Log[Part Name],$A32,T_SelfStock_Log[WeekIndex],72)=0,"",SUMIFS(T_SelfStock_Log[Self_Qty],T_SelfStock_Log[Part Name],$A32,T_SelfStock_Log[WeekIndex],72))</f>
        <v/>
      </c>
      <c r="BV32" s="17">
        <f>IF(COUNTIFS(T_SelfStock_Log[Part Name],$A32,T_SelfStock_Log[WeekIndex],73)=0,"",SUMIFS(T_SelfStock_Log[Self_Qty],T_SelfStock_Log[Part Name],$A32,T_SelfStock_Log[WeekIndex],73))</f>
        <v/>
      </c>
      <c r="BW32" s="17">
        <f>IF(COUNTIFS(T_SelfStock_Log[Part Name],$A32,T_SelfStock_Log[WeekIndex],74)=0,"",SUMIFS(T_SelfStock_Log[Self_Qty],T_SelfStock_Log[Part Name],$A32,T_SelfStock_Log[WeekIndex],74))</f>
        <v/>
      </c>
      <c r="BX32" s="17">
        <f>IF(COUNTIFS(T_SelfStock_Log[Part Name],$A32,T_SelfStock_Log[WeekIndex],75)=0,"",SUMIFS(T_SelfStock_Log[Self_Qty],T_SelfStock_Log[Part Name],$A32,T_SelfStock_Log[WeekIndex],75))</f>
        <v/>
      </c>
      <c r="BY32" s="17">
        <f>IF(COUNTIFS(T_SelfStock_Log[Part Name],$A32,T_SelfStock_Log[WeekIndex],76)=0,"",SUMIFS(T_SelfStock_Log[Self_Qty],T_SelfStock_Log[Part Name],$A32,T_SelfStock_Log[WeekIndex],76))</f>
        <v/>
      </c>
      <c r="BZ32" s="17">
        <f>IF(COUNTIFS(T_SelfStock_Log[Part Name],$A32,T_SelfStock_Log[WeekIndex],77)=0,"",SUMIFS(T_SelfStock_Log[Self_Qty],T_SelfStock_Log[Part Name],$A32,T_SelfStock_Log[WeekIndex],77))</f>
        <v/>
      </c>
      <c r="CA32" s="17">
        <f>IF(COUNTIFS(T_SelfStock_Log[Part Name],$A32,T_SelfStock_Log[WeekIndex],78)=0,"",SUMIFS(T_SelfStock_Log[Self_Qty],T_SelfStock_Log[Part Name],$A32,T_SelfStock_Log[WeekIndex],78))</f>
        <v/>
      </c>
      <c r="CB32" s="17">
        <f>IF(COUNTIFS(T_SelfStock_Log[Part Name],$A32,T_SelfStock_Log[WeekIndex],79)=0,"",SUMIFS(T_SelfStock_Log[Self_Qty],T_SelfStock_Log[Part Name],$A32,T_SelfStock_Log[WeekIndex],79))</f>
        <v/>
      </c>
      <c r="CC32" s="17">
        <f>IF(COUNTIFS(T_SelfStock_Log[Part Name],$A32,T_SelfStock_Log[WeekIndex],80)=0,"",SUMIFS(T_SelfStock_Log[Self_Qty],T_SelfStock_Log[Part Name],$A32,T_SelfStock_Log[WeekIndex],80))</f>
        <v/>
      </c>
      <c r="CD32" s="17">
        <f>IF(COUNTIFS(T_SelfStock_Log[Part Name],$A32,T_SelfStock_Log[WeekIndex],81)=0,"",SUMIFS(T_SelfStock_Log[Self_Qty],T_SelfStock_Log[Part Name],$A32,T_SelfStock_Log[WeekIndex],81))</f>
        <v/>
      </c>
      <c r="CE32" s="17">
        <f>IF(COUNTIFS(T_SelfStock_Log[Part Name],$A32,T_SelfStock_Log[WeekIndex],82)=0,"",SUMIFS(T_SelfStock_Log[Self_Qty],T_SelfStock_Log[Part Name],$A32,T_SelfStock_Log[WeekIndex],82))</f>
        <v/>
      </c>
      <c r="CF32" s="17">
        <f>IF(COUNTIFS(T_SelfStock_Log[Part Name],$A32,T_SelfStock_Log[WeekIndex],83)=0,"",SUMIFS(T_SelfStock_Log[Self_Qty],T_SelfStock_Log[Part Name],$A32,T_SelfStock_Log[WeekIndex],83))</f>
        <v/>
      </c>
      <c r="CG32" s="17">
        <f>IF(COUNTIFS(T_SelfStock_Log[Part Name],$A32,T_SelfStock_Log[WeekIndex],84)=0,"",SUMIFS(T_SelfStock_Log[Self_Qty],T_SelfStock_Log[Part Name],$A32,T_SelfStock_Log[WeekIndex],84))</f>
        <v/>
      </c>
      <c r="CH32" s="17">
        <f>IF(COUNTIFS(T_SelfStock_Log[Part Name],$A32,T_SelfStock_Log[WeekIndex],85)=0,"",SUMIFS(T_SelfStock_Log[Self_Qty],T_SelfStock_Log[Part Name],$A32,T_SelfStock_Log[WeekIndex],85))</f>
        <v/>
      </c>
      <c r="CI32" s="17">
        <f>IF(COUNTIFS(T_SelfStock_Log[Part Name],$A32,T_SelfStock_Log[WeekIndex],86)=0,"",SUMIFS(T_SelfStock_Log[Self_Qty],T_SelfStock_Log[Part Name],$A32,T_SelfStock_Log[WeekIndex],86))</f>
        <v/>
      </c>
      <c r="CJ32" s="17">
        <f>IF(COUNTIFS(T_SelfStock_Log[Part Name],$A32,T_SelfStock_Log[WeekIndex],87)=0,"",SUMIFS(T_SelfStock_Log[Self_Qty],T_SelfStock_Log[Part Name],$A32,T_SelfStock_Log[WeekIndex],87))</f>
        <v/>
      </c>
      <c r="CK32" s="17">
        <f>IF(COUNTIFS(T_SelfStock_Log[Part Name],$A32,T_SelfStock_Log[WeekIndex],88)=0,"",SUMIFS(T_SelfStock_Log[Self_Qty],T_SelfStock_Log[Part Name],$A32,T_SelfStock_Log[WeekIndex],88))</f>
        <v/>
      </c>
      <c r="CL32" s="17">
        <f>IF(COUNTIFS(T_SelfStock_Log[Part Name],$A32,T_SelfStock_Log[WeekIndex],89)=0,"",SUMIFS(T_SelfStock_Log[Self_Qty],T_SelfStock_Log[Part Name],$A32,T_SelfStock_Log[WeekIndex],89))</f>
        <v/>
      </c>
      <c r="CM32" s="17">
        <f>IF(COUNTIFS(T_SelfStock_Log[Part Name],$A32,T_SelfStock_Log[WeekIndex],90)=0,"",SUMIFS(T_SelfStock_Log[Self_Qty],T_SelfStock_Log[Part Name],$A32,T_SelfStock_Log[WeekIndex],90))</f>
        <v/>
      </c>
      <c r="CN32" s="17">
        <f>IF(COUNTIFS(T_SelfStock_Log[Part Name],$A32,T_SelfStock_Log[WeekIndex],91)=0,"",SUMIFS(T_SelfStock_Log[Self_Qty],T_SelfStock_Log[Part Name],$A32,T_SelfStock_Log[WeekIndex],91))</f>
        <v/>
      </c>
      <c r="CO32" s="17">
        <f>IF(COUNTIFS(T_SelfStock_Log[Part Name],$A32,T_SelfStock_Log[WeekIndex],92)=0,"",SUMIFS(T_SelfStock_Log[Self_Qty],T_SelfStock_Log[Part Name],$A32,T_SelfStock_Log[WeekIndex],92))</f>
        <v/>
      </c>
      <c r="CP32" s="17">
        <f>IF(COUNTIFS(T_SelfStock_Log[Part Name],$A32,T_SelfStock_Log[WeekIndex],93)=0,"",SUMIFS(T_SelfStock_Log[Self_Qty],T_SelfStock_Log[Part Name],$A32,T_SelfStock_Log[WeekIndex],93))</f>
        <v/>
      </c>
      <c r="CQ32" s="17">
        <f>IF(COUNTIFS(T_SelfStock_Log[Part Name],$A32,T_SelfStock_Log[WeekIndex],94)=0,"",SUMIFS(T_SelfStock_Log[Self_Qty],T_SelfStock_Log[Part Name],$A32,T_SelfStock_Log[WeekIndex],94))</f>
        <v/>
      </c>
      <c r="CR32" s="17">
        <f>IF(COUNTIFS(T_SelfStock_Log[Part Name],$A32,T_SelfStock_Log[WeekIndex],95)=0,"",SUMIFS(T_SelfStock_Log[Self_Qty],T_SelfStock_Log[Part Name],$A32,T_SelfStock_Log[WeekIndex],95))</f>
        <v/>
      </c>
      <c r="CS32" s="17">
        <f>IF(COUNTIFS(T_SelfStock_Log[Part Name],$A32,T_SelfStock_Log[WeekIndex],96)=0,"",SUMIFS(T_SelfStock_Log[Self_Qty],T_SelfStock_Log[Part Name],$A32,T_SelfStock_Log[WeekIndex],96))</f>
        <v/>
      </c>
      <c r="CT32" s="17">
        <f>IF(COUNTIFS(T_SelfStock_Log[Part Name],$A32,T_SelfStock_Log[WeekIndex],97)=0,"",SUMIFS(T_SelfStock_Log[Self_Qty],T_SelfStock_Log[Part Name],$A32,T_SelfStock_Log[WeekIndex],97))</f>
        <v/>
      </c>
      <c r="CU32" s="17">
        <f>IF(COUNTIFS(T_SelfStock_Log[Part Name],$A32,T_SelfStock_Log[WeekIndex],98)=0,"",SUMIFS(T_SelfStock_Log[Self_Qty],T_SelfStock_Log[Part Name],$A32,T_SelfStock_Log[WeekIndex],98))</f>
        <v/>
      </c>
      <c r="CV32" s="17">
        <f>IF(COUNTIFS(T_SelfStock_Log[Part Name],$A32,T_SelfStock_Log[WeekIndex],99)=0,"",SUMIFS(T_SelfStock_Log[Self_Qty],T_SelfStock_Log[Part Name],$A32,T_SelfStock_Log[WeekIndex],99))</f>
        <v/>
      </c>
      <c r="CW32" s="17">
        <f>IF(COUNTIFS(T_SelfStock_Log[Part Name],$A32,T_SelfStock_Log[WeekIndex],100)=0,"",SUMIFS(T_SelfStock_Log[Self_Qty],T_SelfStock_Log[Part Name],$A32,T_SelfStock_Log[WeekIndex],100))</f>
        <v/>
      </c>
      <c r="CX32" s="17">
        <f>IF(COUNTIFS(T_SelfStock_Log[Part Name],$A32,T_SelfStock_Log[WeekIndex],101)=0,"",SUMIFS(T_SelfStock_Log[Self_Qty],T_SelfStock_Log[Part Name],$A32,T_SelfStock_Log[WeekIndex],101))</f>
        <v/>
      </c>
      <c r="CY32" s="17">
        <f>IF(COUNTIFS(T_SelfStock_Log[Part Name],$A32,T_SelfStock_Log[WeekIndex],102)=0,"",SUMIFS(T_SelfStock_Log[Self_Qty],T_SelfStock_Log[Part Name],$A32,T_SelfStock_Log[WeekIndex],102))</f>
        <v/>
      </c>
      <c r="CZ32" s="17">
        <f>IF(COUNTIFS(T_SelfStock_Log[Part Name],$A32,T_SelfStock_Log[WeekIndex],103)=0,"",SUMIFS(T_SelfStock_Log[Self_Qty],T_SelfStock_Log[Part Name],$A32,T_SelfStock_Log[WeekIndex],103))</f>
        <v/>
      </c>
      <c r="DA32" s="17">
        <f>IF(COUNTIFS(T_SelfStock_Log[Part Name],$A32,T_SelfStock_Log[WeekIndex],104)=0,"",SUMIFS(T_SelfStock_Log[Self_Qty],T_SelfStock_Log[Part Name],$A32,T_SelfStock_Log[WeekIndex],104))</f>
        <v/>
      </c>
    </row>
    <row r="33">
      <c r="A33" s="19" t="inlineStr">
        <is>
          <t>CHEM-1120</t>
        </is>
      </c>
      <c r="B33" s="19">
        <f>IF(COUNTIFS(T_SelfStock_Log[Part Name],$A33,T_SelfStock_Log[WeekIndex],1)=0,"",SUMIFS(T_SelfStock_Log[Self_Qty],T_SelfStock_Log[Part Name],$A33,T_SelfStock_Log[WeekIndex],1))</f>
        <v/>
      </c>
      <c r="C33" s="19">
        <f>IF(COUNTIFS(T_SelfStock_Log[Part Name],$A33,T_SelfStock_Log[WeekIndex],2)=0,"",SUMIFS(T_SelfStock_Log[Self_Qty],T_SelfStock_Log[Part Name],$A33,T_SelfStock_Log[WeekIndex],2))</f>
        <v/>
      </c>
      <c r="D33" s="19">
        <f>IF(COUNTIFS(T_SelfStock_Log[Part Name],$A33,T_SelfStock_Log[WeekIndex],3)=0,"",SUMIFS(T_SelfStock_Log[Self_Qty],T_SelfStock_Log[Part Name],$A33,T_SelfStock_Log[WeekIndex],3))</f>
        <v/>
      </c>
      <c r="E33" s="19">
        <f>IF(COUNTIFS(T_SelfStock_Log[Part Name],$A33,T_SelfStock_Log[WeekIndex],4)=0,"",SUMIFS(T_SelfStock_Log[Self_Qty],T_SelfStock_Log[Part Name],$A33,T_SelfStock_Log[WeekIndex],4))</f>
        <v/>
      </c>
      <c r="F33" s="19">
        <f>IF(COUNTIFS(T_SelfStock_Log[Part Name],$A33,T_SelfStock_Log[WeekIndex],5)=0,"",SUMIFS(T_SelfStock_Log[Self_Qty],T_SelfStock_Log[Part Name],$A33,T_SelfStock_Log[WeekIndex],5))</f>
        <v/>
      </c>
      <c r="G33" s="19">
        <f>IF(COUNTIFS(T_SelfStock_Log[Part Name],$A33,T_SelfStock_Log[WeekIndex],6)=0,"",SUMIFS(T_SelfStock_Log[Self_Qty],T_SelfStock_Log[Part Name],$A33,T_SelfStock_Log[WeekIndex],6))</f>
        <v/>
      </c>
      <c r="H33" s="19">
        <f>IF(COUNTIFS(T_SelfStock_Log[Part Name],$A33,T_SelfStock_Log[WeekIndex],7)=0,"",SUMIFS(T_SelfStock_Log[Self_Qty],T_SelfStock_Log[Part Name],$A33,T_SelfStock_Log[WeekIndex],7))</f>
        <v/>
      </c>
      <c r="I33" s="19">
        <f>IF(COUNTIFS(T_SelfStock_Log[Part Name],$A33,T_SelfStock_Log[WeekIndex],8)=0,"",SUMIFS(T_SelfStock_Log[Self_Qty],T_SelfStock_Log[Part Name],$A33,T_SelfStock_Log[WeekIndex],8))</f>
        <v/>
      </c>
      <c r="J33" s="19">
        <f>IF(COUNTIFS(T_SelfStock_Log[Part Name],$A33,T_SelfStock_Log[WeekIndex],9)=0,"",SUMIFS(T_SelfStock_Log[Self_Qty],T_SelfStock_Log[Part Name],$A33,T_SelfStock_Log[WeekIndex],9))</f>
        <v/>
      </c>
      <c r="K33" s="19">
        <f>IF(COUNTIFS(T_SelfStock_Log[Part Name],$A33,T_SelfStock_Log[WeekIndex],10)=0,"",SUMIFS(T_SelfStock_Log[Self_Qty],T_SelfStock_Log[Part Name],$A33,T_SelfStock_Log[WeekIndex],10))</f>
        <v/>
      </c>
      <c r="L33" s="19">
        <f>IF(COUNTIFS(T_SelfStock_Log[Part Name],$A33,T_SelfStock_Log[WeekIndex],11)=0,"",SUMIFS(T_SelfStock_Log[Self_Qty],T_SelfStock_Log[Part Name],$A33,T_SelfStock_Log[WeekIndex],11))</f>
        <v/>
      </c>
      <c r="M33" s="19">
        <f>IF(COUNTIFS(T_SelfStock_Log[Part Name],$A33,T_SelfStock_Log[WeekIndex],12)=0,"",SUMIFS(T_SelfStock_Log[Self_Qty],T_SelfStock_Log[Part Name],$A33,T_SelfStock_Log[WeekIndex],12))</f>
        <v/>
      </c>
      <c r="N33" s="19">
        <f>IF(COUNTIFS(T_SelfStock_Log[Part Name],$A33,T_SelfStock_Log[WeekIndex],13)=0,"",SUMIFS(T_SelfStock_Log[Self_Qty],T_SelfStock_Log[Part Name],$A33,T_SelfStock_Log[WeekIndex],13))</f>
        <v/>
      </c>
      <c r="O33" s="19">
        <f>IF(COUNTIFS(T_SelfStock_Log[Part Name],$A33,T_SelfStock_Log[WeekIndex],14)=0,"",SUMIFS(T_SelfStock_Log[Self_Qty],T_SelfStock_Log[Part Name],$A33,T_SelfStock_Log[WeekIndex],14))</f>
        <v/>
      </c>
      <c r="P33" s="19">
        <f>IF(COUNTIFS(T_SelfStock_Log[Part Name],$A33,T_SelfStock_Log[WeekIndex],15)=0,"",SUMIFS(T_SelfStock_Log[Self_Qty],T_SelfStock_Log[Part Name],$A33,T_SelfStock_Log[WeekIndex],15))</f>
        <v/>
      </c>
      <c r="Q33" s="19">
        <f>IF(COUNTIFS(T_SelfStock_Log[Part Name],$A33,T_SelfStock_Log[WeekIndex],16)=0,"",SUMIFS(T_SelfStock_Log[Self_Qty],T_SelfStock_Log[Part Name],$A33,T_SelfStock_Log[WeekIndex],16))</f>
        <v/>
      </c>
      <c r="R33" s="19">
        <f>IF(COUNTIFS(T_SelfStock_Log[Part Name],$A33,T_SelfStock_Log[WeekIndex],17)=0,"",SUMIFS(T_SelfStock_Log[Self_Qty],T_SelfStock_Log[Part Name],$A33,T_SelfStock_Log[WeekIndex],17))</f>
        <v/>
      </c>
      <c r="S33" s="19">
        <f>IF(COUNTIFS(T_SelfStock_Log[Part Name],$A33,T_SelfStock_Log[WeekIndex],18)=0,"",SUMIFS(T_SelfStock_Log[Self_Qty],T_SelfStock_Log[Part Name],$A33,T_SelfStock_Log[WeekIndex],18))</f>
        <v/>
      </c>
      <c r="T33" s="19">
        <f>IF(COUNTIFS(T_SelfStock_Log[Part Name],$A33,T_SelfStock_Log[WeekIndex],19)=0,"",SUMIFS(T_SelfStock_Log[Self_Qty],T_SelfStock_Log[Part Name],$A33,T_SelfStock_Log[WeekIndex],19))</f>
        <v/>
      </c>
      <c r="U33" s="19">
        <f>IF(COUNTIFS(T_SelfStock_Log[Part Name],$A33,T_SelfStock_Log[WeekIndex],20)=0,"",SUMIFS(T_SelfStock_Log[Self_Qty],T_SelfStock_Log[Part Name],$A33,T_SelfStock_Log[WeekIndex],20))</f>
        <v/>
      </c>
      <c r="V33" s="19">
        <f>IF(COUNTIFS(T_SelfStock_Log[Part Name],$A33,T_SelfStock_Log[WeekIndex],21)=0,"",SUMIFS(T_SelfStock_Log[Self_Qty],T_SelfStock_Log[Part Name],$A33,T_SelfStock_Log[WeekIndex],21))</f>
        <v/>
      </c>
      <c r="W33" s="19">
        <f>IF(COUNTIFS(T_SelfStock_Log[Part Name],$A33,T_SelfStock_Log[WeekIndex],22)=0,"",SUMIFS(T_SelfStock_Log[Self_Qty],T_SelfStock_Log[Part Name],$A33,T_SelfStock_Log[WeekIndex],22))</f>
        <v/>
      </c>
      <c r="X33" s="19">
        <f>IF(COUNTIFS(T_SelfStock_Log[Part Name],$A33,T_SelfStock_Log[WeekIndex],23)=0,"",SUMIFS(T_SelfStock_Log[Self_Qty],T_SelfStock_Log[Part Name],$A33,T_SelfStock_Log[WeekIndex],23))</f>
        <v/>
      </c>
      <c r="Y33" s="19">
        <f>IF(COUNTIFS(T_SelfStock_Log[Part Name],$A33,T_SelfStock_Log[WeekIndex],24)=0,"",SUMIFS(T_SelfStock_Log[Self_Qty],T_SelfStock_Log[Part Name],$A33,T_SelfStock_Log[WeekIndex],24))</f>
        <v/>
      </c>
      <c r="Z33" s="19">
        <f>IF(COUNTIFS(T_SelfStock_Log[Part Name],$A33,T_SelfStock_Log[WeekIndex],25)=0,"",SUMIFS(T_SelfStock_Log[Self_Qty],T_SelfStock_Log[Part Name],$A33,T_SelfStock_Log[WeekIndex],25))</f>
        <v/>
      </c>
      <c r="AA33" s="19">
        <f>IF(COUNTIFS(T_SelfStock_Log[Part Name],$A33,T_SelfStock_Log[WeekIndex],26)=0,"",SUMIFS(T_SelfStock_Log[Self_Qty],T_SelfStock_Log[Part Name],$A33,T_SelfStock_Log[WeekIndex],26))</f>
        <v/>
      </c>
      <c r="AB33" s="19">
        <f>IF(COUNTIFS(T_SelfStock_Log[Part Name],$A33,T_SelfStock_Log[WeekIndex],27)=0,"",SUMIFS(T_SelfStock_Log[Self_Qty],T_SelfStock_Log[Part Name],$A33,T_SelfStock_Log[WeekIndex],27))</f>
        <v/>
      </c>
      <c r="AC33" s="19">
        <f>IF(COUNTIFS(T_SelfStock_Log[Part Name],$A33,T_SelfStock_Log[WeekIndex],28)=0,"",SUMIFS(T_SelfStock_Log[Self_Qty],T_SelfStock_Log[Part Name],$A33,T_SelfStock_Log[WeekIndex],28))</f>
        <v/>
      </c>
      <c r="AD33" s="19">
        <f>IF(COUNTIFS(T_SelfStock_Log[Part Name],$A33,T_SelfStock_Log[WeekIndex],29)=0,"",SUMIFS(T_SelfStock_Log[Self_Qty],T_SelfStock_Log[Part Name],$A33,T_SelfStock_Log[WeekIndex],29))</f>
        <v/>
      </c>
      <c r="AE33" s="19">
        <f>IF(COUNTIFS(T_SelfStock_Log[Part Name],$A33,T_SelfStock_Log[WeekIndex],30)=0,"",SUMIFS(T_SelfStock_Log[Self_Qty],T_SelfStock_Log[Part Name],$A33,T_SelfStock_Log[WeekIndex],30))</f>
        <v/>
      </c>
      <c r="AF33" s="19">
        <f>IF(COUNTIFS(T_SelfStock_Log[Part Name],$A33,T_SelfStock_Log[WeekIndex],31)=0,"",SUMIFS(T_SelfStock_Log[Self_Qty],T_SelfStock_Log[Part Name],$A33,T_SelfStock_Log[WeekIndex],31))</f>
        <v/>
      </c>
      <c r="AG33" s="19">
        <f>IF(COUNTIFS(T_SelfStock_Log[Part Name],$A33,T_SelfStock_Log[WeekIndex],32)=0,"",SUMIFS(T_SelfStock_Log[Self_Qty],T_SelfStock_Log[Part Name],$A33,T_SelfStock_Log[WeekIndex],32))</f>
        <v/>
      </c>
      <c r="AH33" s="19">
        <f>IF(COUNTIFS(T_SelfStock_Log[Part Name],$A33,T_SelfStock_Log[WeekIndex],33)=0,"",SUMIFS(T_SelfStock_Log[Self_Qty],T_SelfStock_Log[Part Name],$A33,T_SelfStock_Log[WeekIndex],33))</f>
        <v/>
      </c>
      <c r="AI33" s="19">
        <f>IF(COUNTIFS(T_SelfStock_Log[Part Name],$A33,T_SelfStock_Log[WeekIndex],34)=0,"",SUMIFS(T_SelfStock_Log[Self_Qty],T_SelfStock_Log[Part Name],$A33,T_SelfStock_Log[WeekIndex],34))</f>
        <v/>
      </c>
      <c r="AJ33" s="19">
        <f>IF(COUNTIFS(T_SelfStock_Log[Part Name],$A33,T_SelfStock_Log[WeekIndex],35)=0,"",SUMIFS(T_SelfStock_Log[Self_Qty],T_SelfStock_Log[Part Name],$A33,T_SelfStock_Log[WeekIndex],35))</f>
        <v/>
      </c>
      <c r="AK33" s="19">
        <f>IF(COUNTIFS(T_SelfStock_Log[Part Name],$A33,T_SelfStock_Log[WeekIndex],36)=0,"",SUMIFS(T_SelfStock_Log[Self_Qty],T_SelfStock_Log[Part Name],$A33,T_SelfStock_Log[WeekIndex],36))</f>
        <v/>
      </c>
      <c r="AL33" s="19">
        <f>IF(COUNTIFS(T_SelfStock_Log[Part Name],$A33,T_SelfStock_Log[WeekIndex],37)=0,"",SUMIFS(T_SelfStock_Log[Self_Qty],T_SelfStock_Log[Part Name],$A33,T_SelfStock_Log[WeekIndex],37))</f>
        <v/>
      </c>
      <c r="AM33" s="19">
        <f>IF(COUNTIFS(T_SelfStock_Log[Part Name],$A33,T_SelfStock_Log[WeekIndex],38)=0,"",SUMIFS(T_SelfStock_Log[Self_Qty],T_SelfStock_Log[Part Name],$A33,T_SelfStock_Log[WeekIndex],38))</f>
        <v/>
      </c>
      <c r="AN33" s="19">
        <f>IF(COUNTIFS(T_SelfStock_Log[Part Name],$A33,T_SelfStock_Log[WeekIndex],39)=0,"",SUMIFS(T_SelfStock_Log[Self_Qty],T_SelfStock_Log[Part Name],$A33,T_SelfStock_Log[WeekIndex],39))</f>
        <v/>
      </c>
      <c r="AO33" s="19">
        <f>IF(COUNTIFS(T_SelfStock_Log[Part Name],$A33,T_SelfStock_Log[WeekIndex],40)=0,"",SUMIFS(T_SelfStock_Log[Self_Qty],T_SelfStock_Log[Part Name],$A33,T_SelfStock_Log[WeekIndex],40))</f>
        <v/>
      </c>
      <c r="AP33" s="19">
        <f>IF(COUNTIFS(T_SelfStock_Log[Part Name],$A33,T_SelfStock_Log[WeekIndex],41)=0,"",SUMIFS(T_SelfStock_Log[Self_Qty],T_SelfStock_Log[Part Name],$A33,T_SelfStock_Log[WeekIndex],41))</f>
        <v/>
      </c>
      <c r="AQ33" s="19">
        <f>IF(COUNTIFS(T_SelfStock_Log[Part Name],$A33,T_SelfStock_Log[WeekIndex],42)=0,"",SUMIFS(T_SelfStock_Log[Self_Qty],T_SelfStock_Log[Part Name],$A33,T_SelfStock_Log[WeekIndex],42))</f>
        <v/>
      </c>
      <c r="AR33" s="19">
        <f>IF(COUNTIFS(T_SelfStock_Log[Part Name],$A33,T_SelfStock_Log[WeekIndex],43)=0,"",SUMIFS(T_SelfStock_Log[Self_Qty],T_SelfStock_Log[Part Name],$A33,T_SelfStock_Log[WeekIndex],43))</f>
        <v/>
      </c>
      <c r="AS33" s="19">
        <f>IF(COUNTIFS(T_SelfStock_Log[Part Name],$A33,T_SelfStock_Log[WeekIndex],44)=0,"",SUMIFS(T_SelfStock_Log[Self_Qty],T_SelfStock_Log[Part Name],$A33,T_SelfStock_Log[WeekIndex],44))</f>
        <v/>
      </c>
      <c r="AT33" s="19">
        <f>IF(COUNTIFS(T_SelfStock_Log[Part Name],$A33,T_SelfStock_Log[WeekIndex],45)=0,"",SUMIFS(T_SelfStock_Log[Self_Qty],T_SelfStock_Log[Part Name],$A33,T_SelfStock_Log[WeekIndex],45))</f>
        <v/>
      </c>
      <c r="AU33" s="19">
        <f>IF(COUNTIFS(T_SelfStock_Log[Part Name],$A33,T_SelfStock_Log[WeekIndex],46)=0,"",SUMIFS(T_SelfStock_Log[Self_Qty],T_SelfStock_Log[Part Name],$A33,T_SelfStock_Log[WeekIndex],46))</f>
        <v/>
      </c>
      <c r="AV33" s="19">
        <f>IF(COUNTIFS(T_SelfStock_Log[Part Name],$A33,T_SelfStock_Log[WeekIndex],47)=0,"",SUMIFS(T_SelfStock_Log[Self_Qty],T_SelfStock_Log[Part Name],$A33,T_SelfStock_Log[WeekIndex],47))</f>
        <v/>
      </c>
      <c r="AW33" s="19">
        <f>IF(COUNTIFS(T_SelfStock_Log[Part Name],$A33,T_SelfStock_Log[WeekIndex],48)=0,"",SUMIFS(T_SelfStock_Log[Self_Qty],T_SelfStock_Log[Part Name],$A33,T_SelfStock_Log[WeekIndex],48))</f>
        <v/>
      </c>
      <c r="AX33" s="19">
        <f>IF(COUNTIFS(T_SelfStock_Log[Part Name],$A33,T_SelfStock_Log[WeekIndex],49)=0,"",SUMIFS(T_SelfStock_Log[Self_Qty],T_SelfStock_Log[Part Name],$A33,T_SelfStock_Log[WeekIndex],49))</f>
        <v/>
      </c>
      <c r="AY33" s="19">
        <f>IF(COUNTIFS(T_SelfStock_Log[Part Name],$A33,T_SelfStock_Log[WeekIndex],50)=0,"",SUMIFS(T_SelfStock_Log[Self_Qty],T_SelfStock_Log[Part Name],$A33,T_SelfStock_Log[WeekIndex],50))</f>
        <v/>
      </c>
      <c r="AZ33" s="19">
        <f>IF(COUNTIFS(T_SelfStock_Log[Part Name],$A33,T_SelfStock_Log[WeekIndex],51)=0,"",SUMIFS(T_SelfStock_Log[Self_Qty],T_SelfStock_Log[Part Name],$A33,T_SelfStock_Log[WeekIndex],51))</f>
        <v/>
      </c>
      <c r="BA33" s="19">
        <f>IF(COUNTIFS(T_SelfStock_Log[Part Name],$A33,T_SelfStock_Log[WeekIndex],52)=0,"",SUMIFS(T_SelfStock_Log[Self_Qty],T_SelfStock_Log[Part Name],$A33,T_SelfStock_Log[WeekIndex],52))</f>
        <v/>
      </c>
      <c r="BB33" s="19">
        <f>IF(COUNTIFS(T_SelfStock_Log[Part Name],$A33,T_SelfStock_Log[WeekIndex],53)=0,"",SUMIFS(T_SelfStock_Log[Self_Qty],T_SelfStock_Log[Part Name],$A33,T_SelfStock_Log[WeekIndex],53))</f>
        <v/>
      </c>
      <c r="BC33" s="19">
        <f>IF(COUNTIFS(T_SelfStock_Log[Part Name],$A33,T_SelfStock_Log[WeekIndex],54)=0,"",SUMIFS(T_SelfStock_Log[Self_Qty],T_SelfStock_Log[Part Name],$A33,T_SelfStock_Log[WeekIndex],54))</f>
        <v/>
      </c>
      <c r="BD33" s="19">
        <f>IF(COUNTIFS(T_SelfStock_Log[Part Name],$A33,T_SelfStock_Log[WeekIndex],55)=0,"",SUMIFS(T_SelfStock_Log[Self_Qty],T_SelfStock_Log[Part Name],$A33,T_SelfStock_Log[WeekIndex],55))</f>
        <v/>
      </c>
      <c r="BE33" s="19">
        <f>IF(COUNTIFS(T_SelfStock_Log[Part Name],$A33,T_SelfStock_Log[WeekIndex],56)=0,"",SUMIFS(T_SelfStock_Log[Self_Qty],T_SelfStock_Log[Part Name],$A33,T_SelfStock_Log[WeekIndex],56))</f>
        <v/>
      </c>
      <c r="BF33" s="19">
        <f>IF(COUNTIFS(T_SelfStock_Log[Part Name],$A33,T_SelfStock_Log[WeekIndex],57)=0,"",SUMIFS(T_SelfStock_Log[Self_Qty],T_SelfStock_Log[Part Name],$A33,T_SelfStock_Log[WeekIndex],57))</f>
        <v/>
      </c>
      <c r="BG33" s="19">
        <f>IF(COUNTIFS(T_SelfStock_Log[Part Name],$A33,T_SelfStock_Log[WeekIndex],58)=0,"",SUMIFS(T_SelfStock_Log[Self_Qty],T_SelfStock_Log[Part Name],$A33,T_SelfStock_Log[WeekIndex],58))</f>
        <v/>
      </c>
      <c r="BH33" s="19">
        <f>IF(COUNTIFS(T_SelfStock_Log[Part Name],$A33,T_SelfStock_Log[WeekIndex],59)=0,"",SUMIFS(T_SelfStock_Log[Self_Qty],T_SelfStock_Log[Part Name],$A33,T_SelfStock_Log[WeekIndex],59))</f>
        <v/>
      </c>
      <c r="BI33" s="19">
        <f>IF(COUNTIFS(T_SelfStock_Log[Part Name],$A33,T_SelfStock_Log[WeekIndex],60)=0,"",SUMIFS(T_SelfStock_Log[Self_Qty],T_SelfStock_Log[Part Name],$A33,T_SelfStock_Log[WeekIndex],60))</f>
        <v/>
      </c>
      <c r="BJ33" s="19">
        <f>IF(COUNTIFS(T_SelfStock_Log[Part Name],$A33,T_SelfStock_Log[WeekIndex],61)=0,"",SUMIFS(T_SelfStock_Log[Self_Qty],T_SelfStock_Log[Part Name],$A33,T_SelfStock_Log[WeekIndex],61))</f>
        <v/>
      </c>
      <c r="BK33" s="19">
        <f>IF(COUNTIFS(T_SelfStock_Log[Part Name],$A33,T_SelfStock_Log[WeekIndex],62)=0,"",SUMIFS(T_SelfStock_Log[Self_Qty],T_SelfStock_Log[Part Name],$A33,T_SelfStock_Log[WeekIndex],62))</f>
        <v/>
      </c>
      <c r="BL33" s="19">
        <f>IF(COUNTIFS(T_SelfStock_Log[Part Name],$A33,T_SelfStock_Log[WeekIndex],63)=0,"",SUMIFS(T_SelfStock_Log[Self_Qty],T_SelfStock_Log[Part Name],$A33,T_SelfStock_Log[WeekIndex],63))</f>
        <v/>
      </c>
      <c r="BM33" s="19">
        <f>IF(COUNTIFS(T_SelfStock_Log[Part Name],$A33,T_SelfStock_Log[WeekIndex],64)=0,"",SUMIFS(T_SelfStock_Log[Self_Qty],T_SelfStock_Log[Part Name],$A33,T_SelfStock_Log[WeekIndex],64))</f>
        <v/>
      </c>
      <c r="BN33" s="19">
        <f>IF(COUNTIFS(T_SelfStock_Log[Part Name],$A33,T_SelfStock_Log[WeekIndex],65)=0,"",SUMIFS(T_SelfStock_Log[Self_Qty],T_SelfStock_Log[Part Name],$A33,T_SelfStock_Log[WeekIndex],65))</f>
        <v/>
      </c>
      <c r="BO33" s="19">
        <f>IF(COUNTIFS(T_SelfStock_Log[Part Name],$A33,T_SelfStock_Log[WeekIndex],66)=0,"",SUMIFS(T_SelfStock_Log[Self_Qty],T_SelfStock_Log[Part Name],$A33,T_SelfStock_Log[WeekIndex],66))</f>
        <v/>
      </c>
      <c r="BP33" s="19">
        <f>IF(COUNTIFS(T_SelfStock_Log[Part Name],$A33,T_SelfStock_Log[WeekIndex],67)=0,"",SUMIFS(T_SelfStock_Log[Self_Qty],T_SelfStock_Log[Part Name],$A33,T_SelfStock_Log[WeekIndex],67))</f>
        <v/>
      </c>
      <c r="BQ33" s="19">
        <f>IF(COUNTIFS(T_SelfStock_Log[Part Name],$A33,T_SelfStock_Log[WeekIndex],68)=0,"",SUMIFS(T_SelfStock_Log[Self_Qty],T_SelfStock_Log[Part Name],$A33,T_SelfStock_Log[WeekIndex],68))</f>
        <v/>
      </c>
      <c r="BR33" s="19">
        <f>IF(COUNTIFS(T_SelfStock_Log[Part Name],$A33,T_SelfStock_Log[WeekIndex],69)=0,"",SUMIFS(T_SelfStock_Log[Self_Qty],T_SelfStock_Log[Part Name],$A33,T_SelfStock_Log[WeekIndex],69))</f>
        <v/>
      </c>
      <c r="BS33" s="19">
        <f>IF(COUNTIFS(T_SelfStock_Log[Part Name],$A33,T_SelfStock_Log[WeekIndex],70)=0,"",SUMIFS(T_SelfStock_Log[Self_Qty],T_SelfStock_Log[Part Name],$A33,T_SelfStock_Log[WeekIndex],70))</f>
        <v/>
      </c>
      <c r="BT33" s="19">
        <f>IF(COUNTIFS(T_SelfStock_Log[Part Name],$A33,T_SelfStock_Log[WeekIndex],71)=0,"",SUMIFS(T_SelfStock_Log[Self_Qty],T_SelfStock_Log[Part Name],$A33,T_SelfStock_Log[WeekIndex],71))</f>
        <v/>
      </c>
      <c r="BU33" s="19">
        <f>IF(COUNTIFS(T_SelfStock_Log[Part Name],$A33,T_SelfStock_Log[WeekIndex],72)=0,"",SUMIFS(T_SelfStock_Log[Self_Qty],T_SelfStock_Log[Part Name],$A33,T_SelfStock_Log[WeekIndex],72))</f>
        <v/>
      </c>
      <c r="BV33" s="19">
        <f>IF(COUNTIFS(T_SelfStock_Log[Part Name],$A33,T_SelfStock_Log[WeekIndex],73)=0,"",SUMIFS(T_SelfStock_Log[Self_Qty],T_SelfStock_Log[Part Name],$A33,T_SelfStock_Log[WeekIndex],73))</f>
        <v/>
      </c>
      <c r="BW33" s="19">
        <f>IF(COUNTIFS(T_SelfStock_Log[Part Name],$A33,T_SelfStock_Log[WeekIndex],74)=0,"",SUMIFS(T_SelfStock_Log[Self_Qty],T_SelfStock_Log[Part Name],$A33,T_SelfStock_Log[WeekIndex],74))</f>
        <v/>
      </c>
      <c r="BX33" s="19">
        <f>IF(COUNTIFS(T_SelfStock_Log[Part Name],$A33,T_SelfStock_Log[WeekIndex],75)=0,"",SUMIFS(T_SelfStock_Log[Self_Qty],T_SelfStock_Log[Part Name],$A33,T_SelfStock_Log[WeekIndex],75))</f>
        <v/>
      </c>
      <c r="BY33" s="19">
        <f>IF(COUNTIFS(T_SelfStock_Log[Part Name],$A33,T_SelfStock_Log[WeekIndex],76)=0,"",SUMIFS(T_SelfStock_Log[Self_Qty],T_SelfStock_Log[Part Name],$A33,T_SelfStock_Log[WeekIndex],76))</f>
        <v/>
      </c>
      <c r="BZ33" s="19">
        <f>IF(COUNTIFS(T_SelfStock_Log[Part Name],$A33,T_SelfStock_Log[WeekIndex],77)=0,"",SUMIFS(T_SelfStock_Log[Self_Qty],T_SelfStock_Log[Part Name],$A33,T_SelfStock_Log[WeekIndex],77))</f>
        <v/>
      </c>
      <c r="CA33" s="19">
        <f>IF(COUNTIFS(T_SelfStock_Log[Part Name],$A33,T_SelfStock_Log[WeekIndex],78)=0,"",SUMIFS(T_SelfStock_Log[Self_Qty],T_SelfStock_Log[Part Name],$A33,T_SelfStock_Log[WeekIndex],78))</f>
        <v/>
      </c>
      <c r="CB33" s="19">
        <f>IF(COUNTIFS(T_SelfStock_Log[Part Name],$A33,T_SelfStock_Log[WeekIndex],79)=0,"",SUMIFS(T_SelfStock_Log[Self_Qty],T_SelfStock_Log[Part Name],$A33,T_SelfStock_Log[WeekIndex],79))</f>
        <v/>
      </c>
      <c r="CC33" s="19">
        <f>IF(COUNTIFS(T_SelfStock_Log[Part Name],$A33,T_SelfStock_Log[WeekIndex],80)=0,"",SUMIFS(T_SelfStock_Log[Self_Qty],T_SelfStock_Log[Part Name],$A33,T_SelfStock_Log[WeekIndex],80))</f>
        <v/>
      </c>
      <c r="CD33" s="19">
        <f>IF(COUNTIFS(T_SelfStock_Log[Part Name],$A33,T_SelfStock_Log[WeekIndex],81)=0,"",SUMIFS(T_SelfStock_Log[Self_Qty],T_SelfStock_Log[Part Name],$A33,T_SelfStock_Log[WeekIndex],81))</f>
        <v/>
      </c>
      <c r="CE33" s="19">
        <f>IF(COUNTIFS(T_SelfStock_Log[Part Name],$A33,T_SelfStock_Log[WeekIndex],82)=0,"",SUMIFS(T_SelfStock_Log[Self_Qty],T_SelfStock_Log[Part Name],$A33,T_SelfStock_Log[WeekIndex],82))</f>
        <v/>
      </c>
      <c r="CF33" s="19">
        <f>IF(COUNTIFS(T_SelfStock_Log[Part Name],$A33,T_SelfStock_Log[WeekIndex],83)=0,"",SUMIFS(T_SelfStock_Log[Self_Qty],T_SelfStock_Log[Part Name],$A33,T_SelfStock_Log[WeekIndex],83))</f>
        <v/>
      </c>
      <c r="CG33" s="19">
        <f>IF(COUNTIFS(T_SelfStock_Log[Part Name],$A33,T_SelfStock_Log[WeekIndex],84)=0,"",SUMIFS(T_SelfStock_Log[Self_Qty],T_SelfStock_Log[Part Name],$A33,T_SelfStock_Log[WeekIndex],84))</f>
        <v/>
      </c>
      <c r="CH33" s="19">
        <f>IF(COUNTIFS(T_SelfStock_Log[Part Name],$A33,T_SelfStock_Log[WeekIndex],85)=0,"",SUMIFS(T_SelfStock_Log[Self_Qty],T_SelfStock_Log[Part Name],$A33,T_SelfStock_Log[WeekIndex],85))</f>
        <v/>
      </c>
      <c r="CI33" s="19">
        <f>IF(COUNTIFS(T_SelfStock_Log[Part Name],$A33,T_SelfStock_Log[WeekIndex],86)=0,"",SUMIFS(T_SelfStock_Log[Self_Qty],T_SelfStock_Log[Part Name],$A33,T_SelfStock_Log[WeekIndex],86))</f>
        <v/>
      </c>
      <c r="CJ33" s="19">
        <f>IF(COUNTIFS(T_SelfStock_Log[Part Name],$A33,T_SelfStock_Log[WeekIndex],87)=0,"",SUMIFS(T_SelfStock_Log[Self_Qty],T_SelfStock_Log[Part Name],$A33,T_SelfStock_Log[WeekIndex],87))</f>
        <v/>
      </c>
      <c r="CK33" s="19">
        <f>IF(COUNTIFS(T_SelfStock_Log[Part Name],$A33,T_SelfStock_Log[WeekIndex],88)=0,"",SUMIFS(T_SelfStock_Log[Self_Qty],T_SelfStock_Log[Part Name],$A33,T_SelfStock_Log[WeekIndex],88))</f>
        <v/>
      </c>
      <c r="CL33" s="19">
        <f>IF(COUNTIFS(T_SelfStock_Log[Part Name],$A33,T_SelfStock_Log[WeekIndex],89)=0,"",SUMIFS(T_SelfStock_Log[Self_Qty],T_SelfStock_Log[Part Name],$A33,T_SelfStock_Log[WeekIndex],89))</f>
        <v/>
      </c>
      <c r="CM33" s="19">
        <f>IF(COUNTIFS(T_SelfStock_Log[Part Name],$A33,T_SelfStock_Log[WeekIndex],90)=0,"",SUMIFS(T_SelfStock_Log[Self_Qty],T_SelfStock_Log[Part Name],$A33,T_SelfStock_Log[WeekIndex],90))</f>
        <v/>
      </c>
      <c r="CN33" s="19">
        <f>IF(COUNTIFS(T_SelfStock_Log[Part Name],$A33,T_SelfStock_Log[WeekIndex],91)=0,"",SUMIFS(T_SelfStock_Log[Self_Qty],T_SelfStock_Log[Part Name],$A33,T_SelfStock_Log[WeekIndex],91))</f>
        <v/>
      </c>
      <c r="CO33" s="19">
        <f>IF(COUNTIFS(T_SelfStock_Log[Part Name],$A33,T_SelfStock_Log[WeekIndex],92)=0,"",SUMIFS(T_SelfStock_Log[Self_Qty],T_SelfStock_Log[Part Name],$A33,T_SelfStock_Log[WeekIndex],92))</f>
        <v/>
      </c>
      <c r="CP33" s="19">
        <f>IF(COUNTIFS(T_SelfStock_Log[Part Name],$A33,T_SelfStock_Log[WeekIndex],93)=0,"",SUMIFS(T_SelfStock_Log[Self_Qty],T_SelfStock_Log[Part Name],$A33,T_SelfStock_Log[WeekIndex],93))</f>
        <v/>
      </c>
      <c r="CQ33" s="19">
        <f>IF(COUNTIFS(T_SelfStock_Log[Part Name],$A33,T_SelfStock_Log[WeekIndex],94)=0,"",SUMIFS(T_SelfStock_Log[Self_Qty],T_SelfStock_Log[Part Name],$A33,T_SelfStock_Log[WeekIndex],94))</f>
        <v/>
      </c>
      <c r="CR33" s="19">
        <f>IF(COUNTIFS(T_SelfStock_Log[Part Name],$A33,T_SelfStock_Log[WeekIndex],95)=0,"",SUMIFS(T_SelfStock_Log[Self_Qty],T_SelfStock_Log[Part Name],$A33,T_SelfStock_Log[WeekIndex],95))</f>
        <v/>
      </c>
      <c r="CS33" s="19">
        <f>IF(COUNTIFS(T_SelfStock_Log[Part Name],$A33,T_SelfStock_Log[WeekIndex],96)=0,"",SUMIFS(T_SelfStock_Log[Self_Qty],T_SelfStock_Log[Part Name],$A33,T_SelfStock_Log[WeekIndex],96))</f>
        <v/>
      </c>
      <c r="CT33" s="19">
        <f>IF(COUNTIFS(T_SelfStock_Log[Part Name],$A33,T_SelfStock_Log[WeekIndex],97)=0,"",SUMIFS(T_SelfStock_Log[Self_Qty],T_SelfStock_Log[Part Name],$A33,T_SelfStock_Log[WeekIndex],97))</f>
        <v/>
      </c>
      <c r="CU33" s="19">
        <f>IF(COUNTIFS(T_SelfStock_Log[Part Name],$A33,T_SelfStock_Log[WeekIndex],98)=0,"",SUMIFS(T_SelfStock_Log[Self_Qty],T_SelfStock_Log[Part Name],$A33,T_SelfStock_Log[WeekIndex],98))</f>
        <v/>
      </c>
      <c r="CV33" s="19">
        <f>IF(COUNTIFS(T_SelfStock_Log[Part Name],$A33,T_SelfStock_Log[WeekIndex],99)=0,"",SUMIFS(T_SelfStock_Log[Self_Qty],T_SelfStock_Log[Part Name],$A33,T_SelfStock_Log[WeekIndex],99))</f>
        <v/>
      </c>
      <c r="CW33" s="19">
        <f>IF(COUNTIFS(T_SelfStock_Log[Part Name],$A33,T_SelfStock_Log[WeekIndex],100)=0,"",SUMIFS(T_SelfStock_Log[Self_Qty],T_SelfStock_Log[Part Name],$A33,T_SelfStock_Log[WeekIndex],100))</f>
        <v/>
      </c>
      <c r="CX33" s="19">
        <f>IF(COUNTIFS(T_SelfStock_Log[Part Name],$A33,T_SelfStock_Log[WeekIndex],101)=0,"",SUMIFS(T_SelfStock_Log[Self_Qty],T_SelfStock_Log[Part Name],$A33,T_SelfStock_Log[WeekIndex],101))</f>
        <v/>
      </c>
      <c r="CY33" s="19">
        <f>IF(COUNTIFS(T_SelfStock_Log[Part Name],$A33,T_SelfStock_Log[WeekIndex],102)=0,"",SUMIFS(T_SelfStock_Log[Self_Qty],T_SelfStock_Log[Part Name],$A33,T_SelfStock_Log[WeekIndex],102))</f>
        <v/>
      </c>
      <c r="CZ33" s="19">
        <f>IF(COUNTIFS(T_SelfStock_Log[Part Name],$A33,T_SelfStock_Log[WeekIndex],103)=0,"",SUMIFS(T_SelfStock_Log[Self_Qty],T_SelfStock_Log[Part Name],$A33,T_SelfStock_Log[WeekIndex],103))</f>
        <v/>
      </c>
      <c r="DA33" s="19">
        <f>IF(COUNTIFS(T_SelfStock_Log[Part Name],$A33,T_SelfStock_Log[WeekIndex],104)=0,"",SUMIFS(T_SelfStock_Log[Self_Qty],T_SelfStock_Log[Part Name],$A33,T_SelfStock_Log[WeekIndex],104))</f>
        <v/>
      </c>
    </row>
    <row r="34">
      <c r="A34" s="17" t="inlineStr">
        <is>
          <t>CHEM-1550</t>
        </is>
      </c>
      <c r="B34" s="17">
        <f>IF(COUNTIFS(T_SelfStock_Log[Part Name],$A34,T_SelfStock_Log[WeekIndex],1)=0,"",SUMIFS(T_SelfStock_Log[Self_Qty],T_SelfStock_Log[Part Name],$A34,T_SelfStock_Log[WeekIndex],1))</f>
        <v/>
      </c>
      <c r="C34" s="17">
        <f>IF(COUNTIFS(T_SelfStock_Log[Part Name],$A34,T_SelfStock_Log[WeekIndex],2)=0,"",SUMIFS(T_SelfStock_Log[Self_Qty],T_SelfStock_Log[Part Name],$A34,T_SelfStock_Log[WeekIndex],2))</f>
        <v/>
      </c>
      <c r="D34" s="17">
        <f>IF(COUNTIFS(T_SelfStock_Log[Part Name],$A34,T_SelfStock_Log[WeekIndex],3)=0,"",SUMIFS(T_SelfStock_Log[Self_Qty],T_SelfStock_Log[Part Name],$A34,T_SelfStock_Log[WeekIndex],3))</f>
        <v/>
      </c>
      <c r="E34" s="17">
        <f>IF(COUNTIFS(T_SelfStock_Log[Part Name],$A34,T_SelfStock_Log[WeekIndex],4)=0,"",SUMIFS(T_SelfStock_Log[Self_Qty],T_SelfStock_Log[Part Name],$A34,T_SelfStock_Log[WeekIndex],4))</f>
        <v/>
      </c>
      <c r="F34" s="17">
        <f>IF(COUNTIFS(T_SelfStock_Log[Part Name],$A34,T_SelfStock_Log[WeekIndex],5)=0,"",SUMIFS(T_SelfStock_Log[Self_Qty],T_SelfStock_Log[Part Name],$A34,T_SelfStock_Log[WeekIndex],5))</f>
        <v/>
      </c>
      <c r="G34" s="17">
        <f>IF(COUNTIFS(T_SelfStock_Log[Part Name],$A34,T_SelfStock_Log[WeekIndex],6)=0,"",SUMIFS(T_SelfStock_Log[Self_Qty],T_SelfStock_Log[Part Name],$A34,T_SelfStock_Log[WeekIndex],6))</f>
        <v/>
      </c>
      <c r="H34" s="17">
        <f>IF(COUNTIFS(T_SelfStock_Log[Part Name],$A34,T_SelfStock_Log[WeekIndex],7)=0,"",SUMIFS(T_SelfStock_Log[Self_Qty],T_SelfStock_Log[Part Name],$A34,T_SelfStock_Log[WeekIndex],7))</f>
        <v/>
      </c>
      <c r="I34" s="17">
        <f>IF(COUNTIFS(T_SelfStock_Log[Part Name],$A34,T_SelfStock_Log[WeekIndex],8)=0,"",SUMIFS(T_SelfStock_Log[Self_Qty],T_SelfStock_Log[Part Name],$A34,T_SelfStock_Log[WeekIndex],8))</f>
        <v/>
      </c>
      <c r="J34" s="17">
        <f>IF(COUNTIFS(T_SelfStock_Log[Part Name],$A34,T_SelfStock_Log[WeekIndex],9)=0,"",SUMIFS(T_SelfStock_Log[Self_Qty],T_SelfStock_Log[Part Name],$A34,T_SelfStock_Log[WeekIndex],9))</f>
        <v/>
      </c>
      <c r="K34" s="17">
        <f>IF(COUNTIFS(T_SelfStock_Log[Part Name],$A34,T_SelfStock_Log[WeekIndex],10)=0,"",SUMIFS(T_SelfStock_Log[Self_Qty],T_SelfStock_Log[Part Name],$A34,T_SelfStock_Log[WeekIndex],10))</f>
        <v/>
      </c>
      <c r="L34" s="17">
        <f>IF(COUNTIFS(T_SelfStock_Log[Part Name],$A34,T_SelfStock_Log[WeekIndex],11)=0,"",SUMIFS(T_SelfStock_Log[Self_Qty],T_SelfStock_Log[Part Name],$A34,T_SelfStock_Log[WeekIndex],11))</f>
        <v/>
      </c>
      <c r="M34" s="17">
        <f>IF(COUNTIFS(T_SelfStock_Log[Part Name],$A34,T_SelfStock_Log[WeekIndex],12)=0,"",SUMIFS(T_SelfStock_Log[Self_Qty],T_SelfStock_Log[Part Name],$A34,T_SelfStock_Log[WeekIndex],12))</f>
        <v/>
      </c>
      <c r="N34" s="17">
        <f>IF(COUNTIFS(T_SelfStock_Log[Part Name],$A34,T_SelfStock_Log[WeekIndex],13)=0,"",SUMIFS(T_SelfStock_Log[Self_Qty],T_SelfStock_Log[Part Name],$A34,T_SelfStock_Log[WeekIndex],13))</f>
        <v/>
      </c>
      <c r="O34" s="17">
        <f>IF(COUNTIFS(T_SelfStock_Log[Part Name],$A34,T_SelfStock_Log[WeekIndex],14)=0,"",SUMIFS(T_SelfStock_Log[Self_Qty],T_SelfStock_Log[Part Name],$A34,T_SelfStock_Log[WeekIndex],14))</f>
        <v/>
      </c>
      <c r="P34" s="17">
        <f>IF(COUNTIFS(T_SelfStock_Log[Part Name],$A34,T_SelfStock_Log[WeekIndex],15)=0,"",SUMIFS(T_SelfStock_Log[Self_Qty],T_SelfStock_Log[Part Name],$A34,T_SelfStock_Log[WeekIndex],15))</f>
        <v/>
      </c>
      <c r="Q34" s="17">
        <f>IF(COUNTIFS(T_SelfStock_Log[Part Name],$A34,T_SelfStock_Log[WeekIndex],16)=0,"",SUMIFS(T_SelfStock_Log[Self_Qty],T_SelfStock_Log[Part Name],$A34,T_SelfStock_Log[WeekIndex],16))</f>
        <v/>
      </c>
      <c r="R34" s="17">
        <f>IF(COUNTIFS(T_SelfStock_Log[Part Name],$A34,T_SelfStock_Log[WeekIndex],17)=0,"",SUMIFS(T_SelfStock_Log[Self_Qty],T_SelfStock_Log[Part Name],$A34,T_SelfStock_Log[WeekIndex],17))</f>
        <v/>
      </c>
      <c r="S34" s="17">
        <f>IF(COUNTIFS(T_SelfStock_Log[Part Name],$A34,T_SelfStock_Log[WeekIndex],18)=0,"",SUMIFS(T_SelfStock_Log[Self_Qty],T_SelfStock_Log[Part Name],$A34,T_SelfStock_Log[WeekIndex],18))</f>
        <v/>
      </c>
      <c r="T34" s="17">
        <f>IF(COUNTIFS(T_SelfStock_Log[Part Name],$A34,T_SelfStock_Log[WeekIndex],19)=0,"",SUMIFS(T_SelfStock_Log[Self_Qty],T_SelfStock_Log[Part Name],$A34,T_SelfStock_Log[WeekIndex],19))</f>
        <v/>
      </c>
      <c r="U34" s="17">
        <f>IF(COUNTIFS(T_SelfStock_Log[Part Name],$A34,T_SelfStock_Log[WeekIndex],20)=0,"",SUMIFS(T_SelfStock_Log[Self_Qty],T_SelfStock_Log[Part Name],$A34,T_SelfStock_Log[WeekIndex],20))</f>
        <v/>
      </c>
      <c r="V34" s="17">
        <f>IF(COUNTIFS(T_SelfStock_Log[Part Name],$A34,T_SelfStock_Log[WeekIndex],21)=0,"",SUMIFS(T_SelfStock_Log[Self_Qty],T_SelfStock_Log[Part Name],$A34,T_SelfStock_Log[WeekIndex],21))</f>
        <v/>
      </c>
      <c r="W34" s="17">
        <f>IF(COUNTIFS(T_SelfStock_Log[Part Name],$A34,T_SelfStock_Log[WeekIndex],22)=0,"",SUMIFS(T_SelfStock_Log[Self_Qty],T_SelfStock_Log[Part Name],$A34,T_SelfStock_Log[WeekIndex],22))</f>
        <v/>
      </c>
      <c r="X34" s="17">
        <f>IF(COUNTIFS(T_SelfStock_Log[Part Name],$A34,T_SelfStock_Log[WeekIndex],23)=0,"",SUMIFS(T_SelfStock_Log[Self_Qty],T_SelfStock_Log[Part Name],$A34,T_SelfStock_Log[WeekIndex],23))</f>
        <v/>
      </c>
      <c r="Y34" s="17">
        <f>IF(COUNTIFS(T_SelfStock_Log[Part Name],$A34,T_SelfStock_Log[WeekIndex],24)=0,"",SUMIFS(T_SelfStock_Log[Self_Qty],T_SelfStock_Log[Part Name],$A34,T_SelfStock_Log[WeekIndex],24))</f>
        <v/>
      </c>
      <c r="Z34" s="17">
        <f>IF(COUNTIFS(T_SelfStock_Log[Part Name],$A34,T_SelfStock_Log[WeekIndex],25)=0,"",SUMIFS(T_SelfStock_Log[Self_Qty],T_SelfStock_Log[Part Name],$A34,T_SelfStock_Log[WeekIndex],25))</f>
        <v/>
      </c>
      <c r="AA34" s="17">
        <f>IF(COUNTIFS(T_SelfStock_Log[Part Name],$A34,T_SelfStock_Log[WeekIndex],26)=0,"",SUMIFS(T_SelfStock_Log[Self_Qty],T_SelfStock_Log[Part Name],$A34,T_SelfStock_Log[WeekIndex],26))</f>
        <v/>
      </c>
      <c r="AB34" s="17">
        <f>IF(COUNTIFS(T_SelfStock_Log[Part Name],$A34,T_SelfStock_Log[WeekIndex],27)=0,"",SUMIFS(T_SelfStock_Log[Self_Qty],T_SelfStock_Log[Part Name],$A34,T_SelfStock_Log[WeekIndex],27))</f>
        <v/>
      </c>
      <c r="AC34" s="17">
        <f>IF(COUNTIFS(T_SelfStock_Log[Part Name],$A34,T_SelfStock_Log[WeekIndex],28)=0,"",SUMIFS(T_SelfStock_Log[Self_Qty],T_SelfStock_Log[Part Name],$A34,T_SelfStock_Log[WeekIndex],28))</f>
        <v/>
      </c>
      <c r="AD34" s="17">
        <f>IF(COUNTIFS(T_SelfStock_Log[Part Name],$A34,T_SelfStock_Log[WeekIndex],29)=0,"",SUMIFS(T_SelfStock_Log[Self_Qty],T_SelfStock_Log[Part Name],$A34,T_SelfStock_Log[WeekIndex],29))</f>
        <v/>
      </c>
      <c r="AE34" s="17">
        <f>IF(COUNTIFS(T_SelfStock_Log[Part Name],$A34,T_SelfStock_Log[WeekIndex],30)=0,"",SUMIFS(T_SelfStock_Log[Self_Qty],T_SelfStock_Log[Part Name],$A34,T_SelfStock_Log[WeekIndex],30))</f>
        <v/>
      </c>
      <c r="AF34" s="17">
        <f>IF(COUNTIFS(T_SelfStock_Log[Part Name],$A34,T_SelfStock_Log[WeekIndex],31)=0,"",SUMIFS(T_SelfStock_Log[Self_Qty],T_SelfStock_Log[Part Name],$A34,T_SelfStock_Log[WeekIndex],31))</f>
        <v/>
      </c>
      <c r="AG34" s="17">
        <f>IF(COUNTIFS(T_SelfStock_Log[Part Name],$A34,T_SelfStock_Log[WeekIndex],32)=0,"",SUMIFS(T_SelfStock_Log[Self_Qty],T_SelfStock_Log[Part Name],$A34,T_SelfStock_Log[WeekIndex],32))</f>
        <v/>
      </c>
      <c r="AH34" s="17">
        <f>IF(COUNTIFS(T_SelfStock_Log[Part Name],$A34,T_SelfStock_Log[WeekIndex],33)=0,"",SUMIFS(T_SelfStock_Log[Self_Qty],T_SelfStock_Log[Part Name],$A34,T_SelfStock_Log[WeekIndex],33))</f>
        <v/>
      </c>
      <c r="AI34" s="17">
        <f>IF(COUNTIFS(T_SelfStock_Log[Part Name],$A34,T_SelfStock_Log[WeekIndex],34)=0,"",SUMIFS(T_SelfStock_Log[Self_Qty],T_SelfStock_Log[Part Name],$A34,T_SelfStock_Log[WeekIndex],34))</f>
        <v/>
      </c>
      <c r="AJ34" s="17">
        <f>IF(COUNTIFS(T_SelfStock_Log[Part Name],$A34,T_SelfStock_Log[WeekIndex],35)=0,"",SUMIFS(T_SelfStock_Log[Self_Qty],T_SelfStock_Log[Part Name],$A34,T_SelfStock_Log[WeekIndex],35))</f>
        <v/>
      </c>
      <c r="AK34" s="17">
        <f>IF(COUNTIFS(T_SelfStock_Log[Part Name],$A34,T_SelfStock_Log[WeekIndex],36)=0,"",SUMIFS(T_SelfStock_Log[Self_Qty],T_SelfStock_Log[Part Name],$A34,T_SelfStock_Log[WeekIndex],36))</f>
        <v/>
      </c>
      <c r="AL34" s="17">
        <f>IF(COUNTIFS(T_SelfStock_Log[Part Name],$A34,T_SelfStock_Log[WeekIndex],37)=0,"",SUMIFS(T_SelfStock_Log[Self_Qty],T_SelfStock_Log[Part Name],$A34,T_SelfStock_Log[WeekIndex],37))</f>
        <v/>
      </c>
      <c r="AM34" s="17">
        <f>IF(COUNTIFS(T_SelfStock_Log[Part Name],$A34,T_SelfStock_Log[WeekIndex],38)=0,"",SUMIFS(T_SelfStock_Log[Self_Qty],T_SelfStock_Log[Part Name],$A34,T_SelfStock_Log[WeekIndex],38))</f>
        <v/>
      </c>
      <c r="AN34" s="17">
        <f>IF(COUNTIFS(T_SelfStock_Log[Part Name],$A34,T_SelfStock_Log[WeekIndex],39)=0,"",SUMIFS(T_SelfStock_Log[Self_Qty],T_SelfStock_Log[Part Name],$A34,T_SelfStock_Log[WeekIndex],39))</f>
        <v/>
      </c>
      <c r="AO34" s="17">
        <f>IF(COUNTIFS(T_SelfStock_Log[Part Name],$A34,T_SelfStock_Log[WeekIndex],40)=0,"",SUMIFS(T_SelfStock_Log[Self_Qty],T_SelfStock_Log[Part Name],$A34,T_SelfStock_Log[WeekIndex],40))</f>
        <v/>
      </c>
      <c r="AP34" s="17">
        <f>IF(COUNTIFS(T_SelfStock_Log[Part Name],$A34,T_SelfStock_Log[WeekIndex],41)=0,"",SUMIFS(T_SelfStock_Log[Self_Qty],T_SelfStock_Log[Part Name],$A34,T_SelfStock_Log[WeekIndex],41))</f>
        <v/>
      </c>
      <c r="AQ34" s="17">
        <f>IF(COUNTIFS(T_SelfStock_Log[Part Name],$A34,T_SelfStock_Log[WeekIndex],42)=0,"",SUMIFS(T_SelfStock_Log[Self_Qty],T_SelfStock_Log[Part Name],$A34,T_SelfStock_Log[WeekIndex],42))</f>
        <v/>
      </c>
      <c r="AR34" s="17">
        <f>IF(COUNTIFS(T_SelfStock_Log[Part Name],$A34,T_SelfStock_Log[WeekIndex],43)=0,"",SUMIFS(T_SelfStock_Log[Self_Qty],T_SelfStock_Log[Part Name],$A34,T_SelfStock_Log[WeekIndex],43))</f>
        <v/>
      </c>
      <c r="AS34" s="17">
        <f>IF(COUNTIFS(T_SelfStock_Log[Part Name],$A34,T_SelfStock_Log[WeekIndex],44)=0,"",SUMIFS(T_SelfStock_Log[Self_Qty],T_SelfStock_Log[Part Name],$A34,T_SelfStock_Log[WeekIndex],44))</f>
        <v/>
      </c>
      <c r="AT34" s="17">
        <f>IF(COUNTIFS(T_SelfStock_Log[Part Name],$A34,T_SelfStock_Log[WeekIndex],45)=0,"",SUMIFS(T_SelfStock_Log[Self_Qty],T_SelfStock_Log[Part Name],$A34,T_SelfStock_Log[WeekIndex],45))</f>
        <v/>
      </c>
      <c r="AU34" s="17">
        <f>IF(COUNTIFS(T_SelfStock_Log[Part Name],$A34,T_SelfStock_Log[WeekIndex],46)=0,"",SUMIFS(T_SelfStock_Log[Self_Qty],T_SelfStock_Log[Part Name],$A34,T_SelfStock_Log[WeekIndex],46))</f>
        <v/>
      </c>
      <c r="AV34" s="17">
        <f>IF(COUNTIFS(T_SelfStock_Log[Part Name],$A34,T_SelfStock_Log[WeekIndex],47)=0,"",SUMIFS(T_SelfStock_Log[Self_Qty],T_SelfStock_Log[Part Name],$A34,T_SelfStock_Log[WeekIndex],47))</f>
        <v/>
      </c>
      <c r="AW34" s="17">
        <f>IF(COUNTIFS(T_SelfStock_Log[Part Name],$A34,T_SelfStock_Log[WeekIndex],48)=0,"",SUMIFS(T_SelfStock_Log[Self_Qty],T_SelfStock_Log[Part Name],$A34,T_SelfStock_Log[WeekIndex],48))</f>
        <v/>
      </c>
      <c r="AX34" s="17">
        <f>IF(COUNTIFS(T_SelfStock_Log[Part Name],$A34,T_SelfStock_Log[WeekIndex],49)=0,"",SUMIFS(T_SelfStock_Log[Self_Qty],T_SelfStock_Log[Part Name],$A34,T_SelfStock_Log[WeekIndex],49))</f>
        <v/>
      </c>
      <c r="AY34" s="17">
        <f>IF(COUNTIFS(T_SelfStock_Log[Part Name],$A34,T_SelfStock_Log[WeekIndex],50)=0,"",SUMIFS(T_SelfStock_Log[Self_Qty],T_SelfStock_Log[Part Name],$A34,T_SelfStock_Log[WeekIndex],50))</f>
        <v/>
      </c>
      <c r="AZ34" s="17">
        <f>IF(COUNTIFS(T_SelfStock_Log[Part Name],$A34,T_SelfStock_Log[WeekIndex],51)=0,"",SUMIFS(T_SelfStock_Log[Self_Qty],T_SelfStock_Log[Part Name],$A34,T_SelfStock_Log[WeekIndex],51))</f>
        <v/>
      </c>
      <c r="BA34" s="17">
        <f>IF(COUNTIFS(T_SelfStock_Log[Part Name],$A34,T_SelfStock_Log[WeekIndex],52)=0,"",SUMIFS(T_SelfStock_Log[Self_Qty],T_SelfStock_Log[Part Name],$A34,T_SelfStock_Log[WeekIndex],52))</f>
        <v/>
      </c>
      <c r="BB34" s="17">
        <f>IF(COUNTIFS(T_SelfStock_Log[Part Name],$A34,T_SelfStock_Log[WeekIndex],53)=0,"",SUMIFS(T_SelfStock_Log[Self_Qty],T_SelfStock_Log[Part Name],$A34,T_SelfStock_Log[WeekIndex],53))</f>
        <v/>
      </c>
      <c r="BC34" s="17">
        <f>IF(COUNTIFS(T_SelfStock_Log[Part Name],$A34,T_SelfStock_Log[WeekIndex],54)=0,"",SUMIFS(T_SelfStock_Log[Self_Qty],T_SelfStock_Log[Part Name],$A34,T_SelfStock_Log[WeekIndex],54))</f>
        <v/>
      </c>
      <c r="BD34" s="17">
        <f>IF(COUNTIFS(T_SelfStock_Log[Part Name],$A34,T_SelfStock_Log[WeekIndex],55)=0,"",SUMIFS(T_SelfStock_Log[Self_Qty],T_SelfStock_Log[Part Name],$A34,T_SelfStock_Log[WeekIndex],55))</f>
        <v/>
      </c>
      <c r="BE34" s="17">
        <f>IF(COUNTIFS(T_SelfStock_Log[Part Name],$A34,T_SelfStock_Log[WeekIndex],56)=0,"",SUMIFS(T_SelfStock_Log[Self_Qty],T_SelfStock_Log[Part Name],$A34,T_SelfStock_Log[WeekIndex],56))</f>
        <v/>
      </c>
      <c r="BF34" s="17">
        <f>IF(COUNTIFS(T_SelfStock_Log[Part Name],$A34,T_SelfStock_Log[WeekIndex],57)=0,"",SUMIFS(T_SelfStock_Log[Self_Qty],T_SelfStock_Log[Part Name],$A34,T_SelfStock_Log[WeekIndex],57))</f>
        <v/>
      </c>
      <c r="BG34" s="17">
        <f>IF(COUNTIFS(T_SelfStock_Log[Part Name],$A34,T_SelfStock_Log[WeekIndex],58)=0,"",SUMIFS(T_SelfStock_Log[Self_Qty],T_SelfStock_Log[Part Name],$A34,T_SelfStock_Log[WeekIndex],58))</f>
        <v/>
      </c>
      <c r="BH34" s="17">
        <f>IF(COUNTIFS(T_SelfStock_Log[Part Name],$A34,T_SelfStock_Log[WeekIndex],59)=0,"",SUMIFS(T_SelfStock_Log[Self_Qty],T_SelfStock_Log[Part Name],$A34,T_SelfStock_Log[WeekIndex],59))</f>
        <v/>
      </c>
      <c r="BI34" s="17">
        <f>IF(COUNTIFS(T_SelfStock_Log[Part Name],$A34,T_SelfStock_Log[WeekIndex],60)=0,"",SUMIFS(T_SelfStock_Log[Self_Qty],T_SelfStock_Log[Part Name],$A34,T_SelfStock_Log[WeekIndex],60))</f>
        <v/>
      </c>
      <c r="BJ34" s="17">
        <f>IF(COUNTIFS(T_SelfStock_Log[Part Name],$A34,T_SelfStock_Log[WeekIndex],61)=0,"",SUMIFS(T_SelfStock_Log[Self_Qty],T_SelfStock_Log[Part Name],$A34,T_SelfStock_Log[WeekIndex],61))</f>
        <v/>
      </c>
      <c r="BK34" s="17">
        <f>IF(COUNTIFS(T_SelfStock_Log[Part Name],$A34,T_SelfStock_Log[WeekIndex],62)=0,"",SUMIFS(T_SelfStock_Log[Self_Qty],T_SelfStock_Log[Part Name],$A34,T_SelfStock_Log[WeekIndex],62))</f>
        <v/>
      </c>
      <c r="BL34" s="17">
        <f>IF(COUNTIFS(T_SelfStock_Log[Part Name],$A34,T_SelfStock_Log[WeekIndex],63)=0,"",SUMIFS(T_SelfStock_Log[Self_Qty],T_SelfStock_Log[Part Name],$A34,T_SelfStock_Log[WeekIndex],63))</f>
        <v/>
      </c>
      <c r="BM34" s="17">
        <f>IF(COUNTIFS(T_SelfStock_Log[Part Name],$A34,T_SelfStock_Log[WeekIndex],64)=0,"",SUMIFS(T_SelfStock_Log[Self_Qty],T_SelfStock_Log[Part Name],$A34,T_SelfStock_Log[WeekIndex],64))</f>
        <v/>
      </c>
      <c r="BN34" s="17">
        <f>IF(COUNTIFS(T_SelfStock_Log[Part Name],$A34,T_SelfStock_Log[WeekIndex],65)=0,"",SUMIFS(T_SelfStock_Log[Self_Qty],T_SelfStock_Log[Part Name],$A34,T_SelfStock_Log[WeekIndex],65))</f>
        <v/>
      </c>
      <c r="BO34" s="17">
        <f>IF(COUNTIFS(T_SelfStock_Log[Part Name],$A34,T_SelfStock_Log[WeekIndex],66)=0,"",SUMIFS(T_SelfStock_Log[Self_Qty],T_SelfStock_Log[Part Name],$A34,T_SelfStock_Log[WeekIndex],66))</f>
        <v/>
      </c>
      <c r="BP34" s="17">
        <f>IF(COUNTIFS(T_SelfStock_Log[Part Name],$A34,T_SelfStock_Log[WeekIndex],67)=0,"",SUMIFS(T_SelfStock_Log[Self_Qty],T_SelfStock_Log[Part Name],$A34,T_SelfStock_Log[WeekIndex],67))</f>
        <v/>
      </c>
      <c r="BQ34" s="17">
        <f>IF(COUNTIFS(T_SelfStock_Log[Part Name],$A34,T_SelfStock_Log[WeekIndex],68)=0,"",SUMIFS(T_SelfStock_Log[Self_Qty],T_SelfStock_Log[Part Name],$A34,T_SelfStock_Log[WeekIndex],68))</f>
        <v/>
      </c>
      <c r="BR34" s="17">
        <f>IF(COUNTIFS(T_SelfStock_Log[Part Name],$A34,T_SelfStock_Log[WeekIndex],69)=0,"",SUMIFS(T_SelfStock_Log[Self_Qty],T_SelfStock_Log[Part Name],$A34,T_SelfStock_Log[WeekIndex],69))</f>
        <v/>
      </c>
      <c r="BS34" s="17">
        <f>IF(COUNTIFS(T_SelfStock_Log[Part Name],$A34,T_SelfStock_Log[WeekIndex],70)=0,"",SUMIFS(T_SelfStock_Log[Self_Qty],T_SelfStock_Log[Part Name],$A34,T_SelfStock_Log[WeekIndex],70))</f>
        <v/>
      </c>
      <c r="BT34" s="17">
        <f>IF(COUNTIFS(T_SelfStock_Log[Part Name],$A34,T_SelfStock_Log[WeekIndex],71)=0,"",SUMIFS(T_SelfStock_Log[Self_Qty],T_SelfStock_Log[Part Name],$A34,T_SelfStock_Log[WeekIndex],71))</f>
        <v/>
      </c>
      <c r="BU34" s="17">
        <f>IF(COUNTIFS(T_SelfStock_Log[Part Name],$A34,T_SelfStock_Log[WeekIndex],72)=0,"",SUMIFS(T_SelfStock_Log[Self_Qty],T_SelfStock_Log[Part Name],$A34,T_SelfStock_Log[WeekIndex],72))</f>
        <v/>
      </c>
      <c r="BV34" s="17">
        <f>IF(COUNTIFS(T_SelfStock_Log[Part Name],$A34,T_SelfStock_Log[WeekIndex],73)=0,"",SUMIFS(T_SelfStock_Log[Self_Qty],T_SelfStock_Log[Part Name],$A34,T_SelfStock_Log[WeekIndex],73))</f>
        <v/>
      </c>
      <c r="BW34" s="17">
        <f>IF(COUNTIFS(T_SelfStock_Log[Part Name],$A34,T_SelfStock_Log[WeekIndex],74)=0,"",SUMIFS(T_SelfStock_Log[Self_Qty],T_SelfStock_Log[Part Name],$A34,T_SelfStock_Log[WeekIndex],74))</f>
        <v/>
      </c>
      <c r="BX34" s="17">
        <f>IF(COUNTIFS(T_SelfStock_Log[Part Name],$A34,T_SelfStock_Log[WeekIndex],75)=0,"",SUMIFS(T_SelfStock_Log[Self_Qty],T_SelfStock_Log[Part Name],$A34,T_SelfStock_Log[WeekIndex],75))</f>
        <v/>
      </c>
      <c r="BY34" s="17">
        <f>IF(COUNTIFS(T_SelfStock_Log[Part Name],$A34,T_SelfStock_Log[WeekIndex],76)=0,"",SUMIFS(T_SelfStock_Log[Self_Qty],T_SelfStock_Log[Part Name],$A34,T_SelfStock_Log[WeekIndex],76))</f>
        <v/>
      </c>
      <c r="BZ34" s="17">
        <f>IF(COUNTIFS(T_SelfStock_Log[Part Name],$A34,T_SelfStock_Log[WeekIndex],77)=0,"",SUMIFS(T_SelfStock_Log[Self_Qty],T_SelfStock_Log[Part Name],$A34,T_SelfStock_Log[WeekIndex],77))</f>
        <v/>
      </c>
      <c r="CA34" s="17">
        <f>IF(COUNTIFS(T_SelfStock_Log[Part Name],$A34,T_SelfStock_Log[WeekIndex],78)=0,"",SUMIFS(T_SelfStock_Log[Self_Qty],T_SelfStock_Log[Part Name],$A34,T_SelfStock_Log[WeekIndex],78))</f>
        <v/>
      </c>
      <c r="CB34" s="17">
        <f>IF(COUNTIFS(T_SelfStock_Log[Part Name],$A34,T_SelfStock_Log[WeekIndex],79)=0,"",SUMIFS(T_SelfStock_Log[Self_Qty],T_SelfStock_Log[Part Name],$A34,T_SelfStock_Log[WeekIndex],79))</f>
        <v/>
      </c>
      <c r="CC34" s="17">
        <f>IF(COUNTIFS(T_SelfStock_Log[Part Name],$A34,T_SelfStock_Log[WeekIndex],80)=0,"",SUMIFS(T_SelfStock_Log[Self_Qty],T_SelfStock_Log[Part Name],$A34,T_SelfStock_Log[WeekIndex],80))</f>
        <v/>
      </c>
      <c r="CD34" s="17">
        <f>IF(COUNTIFS(T_SelfStock_Log[Part Name],$A34,T_SelfStock_Log[WeekIndex],81)=0,"",SUMIFS(T_SelfStock_Log[Self_Qty],T_SelfStock_Log[Part Name],$A34,T_SelfStock_Log[WeekIndex],81))</f>
        <v/>
      </c>
      <c r="CE34" s="17">
        <f>IF(COUNTIFS(T_SelfStock_Log[Part Name],$A34,T_SelfStock_Log[WeekIndex],82)=0,"",SUMIFS(T_SelfStock_Log[Self_Qty],T_SelfStock_Log[Part Name],$A34,T_SelfStock_Log[WeekIndex],82))</f>
        <v/>
      </c>
      <c r="CF34" s="17">
        <f>IF(COUNTIFS(T_SelfStock_Log[Part Name],$A34,T_SelfStock_Log[WeekIndex],83)=0,"",SUMIFS(T_SelfStock_Log[Self_Qty],T_SelfStock_Log[Part Name],$A34,T_SelfStock_Log[WeekIndex],83))</f>
        <v/>
      </c>
      <c r="CG34" s="17">
        <f>IF(COUNTIFS(T_SelfStock_Log[Part Name],$A34,T_SelfStock_Log[WeekIndex],84)=0,"",SUMIFS(T_SelfStock_Log[Self_Qty],T_SelfStock_Log[Part Name],$A34,T_SelfStock_Log[WeekIndex],84))</f>
        <v/>
      </c>
      <c r="CH34" s="17">
        <f>IF(COUNTIFS(T_SelfStock_Log[Part Name],$A34,T_SelfStock_Log[WeekIndex],85)=0,"",SUMIFS(T_SelfStock_Log[Self_Qty],T_SelfStock_Log[Part Name],$A34,T_SelfStock_Log[WeekIndex],85))</f>
        <v/>
      </c>
      <c r="CI34" s="17">
        <f>IF(COUNTIFS(T_SelfStock_Log[Part Name],$A34,T_SelfStock_Log[WeekIndex],86)=0,"",SUMIFS(T_SelfStock_Log[Self_Qty],T_SelfStock_Log[Part Name],$A34,T_SelfStock_Log[WeekIndex],86))</f>
        <v/>
      </c>
      <c r="CJ34" s="17">
        <f>IF(COUNTIFS(T_SelfStock_Log[Part Name],$A34,T_SelfStock_Log[WeekIndex],87)=0,"",SUMIFS(T_SelfStock_Log[Self_Qty],T_SelfStock_Log[Part Name],$A34,T_SelfStock_Log[WeekIndex],87))</f>
        <v/>
      </c>
      <c r="CK34" s="17">
        <f>IF(COUNTIFS(T_SelfStock_Log[Part Name],$A34,T_SelfStock_Log[WeekIndex],88)=0,"",SUMIFS(T_SelfStock_Log[Self_Qty],T_SelfStock_Log[Part Name],$A34,T_SelfStock_Log[WeekIndex],88))</f>
        <v/>
      </c>
      <c r="CL34" s="17">
        <f>IF(COUNTIFS(T_SelfStock_Log[Part Name],$A34,T_SelfStock_Log[WeekIndex],89)=0,"",SUMIFS(T_SelfStock_Log[Self_Qty],T_SelfStock_Log[Part Name],$A34,T_SelfStock_Log[WeekIndex],89))</f>
        <v/>
      </c>
      <c r="CM34" s="17">
        <f>IF(COUNTIFS(T_SelfStock_Log[Part Name],$A34,T_SelfStock_Log[WeekIndex],90)=0,"",SUMIFS(T_SelfStock_Log[Self_Qty],T_SelfStock_Log[Part Name],$A34,T_SelfStock_Log[WeekIndex],90))</f>
        <v/>
      </c>
      <c r="CN34" s="17">
        <f>IF(COUNTIFS(T_SelfStock_Log[Part Name],$A34,T_SelfStock_Log[WeekIndex],91)=0,"",SUMIFS(T_SelfStock_Log[Self_Qty],T_SelfStock_Log[Part Name],$A34,T_SelfStock_Log[WeekIndex],91))</f>
        <v/>
      </c>
      <c r="CO34" s="17">
        <f>IF(COUNTIFS(T_SelfStock_Log[Part Name],$A34,T_SelfStock_Log[WeekIndex],92)=0,"",SUMIFS(T_SelfStock_Log[Self_Qty],T_SelfStock_Log[Part Name],$A34,T_SelfStock_Log[WeekIndex],92))</f>
        <v/>
      </c>
      <c r="CP34" s="17">
        <f>IF(COUNTIFS(T_SelfStock_Log[Part Name],$A34,T_SelfStock_Log[WeekIndex],93)=0,"",SUMIFS(T_SelfStock_Log[Self_Qty],T_SelfStock_Log[Part Name],$A34,T_SelfStock_Log[WeekIndex],93))</f>
        <v/>
      </c>
      <c r="CQ34" s="17">
        <f>IF(COUNTIFS(T_SelfStock_Log[Part Name],$A34,T_SelfStock_Log[WeekIndex],94)=0,"",SUMIFS(T_SelfStock_Log[Self_Qty],T_SelfStock_Log[Part Name],$A34,T_SelfStock_Log[WeekIndex],94))</f>
        <v/>
      </c>
      <c r="CR34" s="17">
        <f>IF(COUNTIFS(T_SelfStock_Log[Part Name],$A34,T_SelfStock_Log[WeekIndex],95)=0,"",SUMIFS(T_SelfStock_Log[Self_Qty],T_SelfStock_Log[Part Name],$A34,T_SelfStock_Log[WeekIndex],95))</f>
        <v/>
      </c>
      <c r="CS34" s="17">
        <f>IF(COUNTIFS(T_SelfStock_Log[Part Name],$A34,T_SelfStock_Log[WeekIndex],96)=0,"",SUMIFS(T_SelfStock_Log[Self_Qty],T_SelfStock_Log[Part Name],$A34,T_SelfStock_Log[WeekIndex],96))</f>
        <v/>
      </c>
      <c r="CT34" s="17">
        <f>IF(COUNTIFS(T_SelfStock_Log[Part Name],$A34,T_SelfStock_Log[WeekIndex],97)=0,"",SUMIFS(T_SelfStock_Log[Self_Qty],T_SelfStock_Log[Part Name],$A34,T_SelfStock_Log[WeekIndex],97))</f>
        <v/>
      </c>
      <c r="CU34" s="17">
        <f>IF(COUNTIFS(T_SelfStock_Log[Part Name],$A34,T_SelfStock_Log[WeekIndex],98)=0,"",SUMIFS(T_SelfStock_Log[Self_Qty],T_SelfStock_Log[Part Name],$A34,T_SelfStock_Log[WeekIndex],98))</f>
        <v/>
      </c>
      <c r="CV34" s="17">
        <f>IF(COUNTIFS(T_SelfStock_Log[Part Name],$A34,T_SelfStock_Log[WeekIndex],99)=0,"",SUMIFS(T_SelfStock_Log[Self_Qty],T_SelfStock_Log[Part Name],$A34,T_SelfStock_Log[WeekIndex],99))</f>
        <v/>
      </c>
      <c r="CW34" s="17">
        <f>IF(COUNTIFS(T_SelfStock_Log[Part Name],$A34,T_SelfStock_Log[WeekIndex],100)=0,"",SUMIFS(T_SelfStock_Log[Self_Qty],T_SelfStock_Log[Part Name],$A34,T_SelfStock_Log[WeekIndex],100))</f>
        <v/>
      </c>
      <c r="CX34" s="17">
        <f>IF(COUNTIFS(T_SelfStock_Log[Part Name],$A34,T_SelfStock_Log[WeekIndex],101)=0,"",SUMIFS(T_SelfStock_Log[Self_Qty],T_SelfStock_Log[Part Name],$A34,T_SelfStock_Log[WeekIndex],101))</f>
        <v/>
      </c>
      <c r="CY34" s="17">
        <f>IF(COUNTIFS(T_SelfStock_Log[Part Name],$A34,T_SelfStock_Log[WeekIndex],102)=0,"",SUMIFS(T_SelfStock_Log[Self_Qty],T_SelfStock_Log[Part Name],$A34,T_SelfStock_Log[WeekIndex],102))</f>
        <v/>
      </c>
      <c r="CZ34" s="17">
        <f>IF(COUNTIFS(T_SelfStock_Log[Part Name],$A34,T_SelfStock_Log[WeekIndex],103)=0,"",SUMIFS(T_SelfStock_Log[Self_Qty],T_SelfStock_Log[Part Name],$A34,T_SelfStock_Log[WeekIndex],103))</f>
        <v/>
      </c>
      <c r="DA34" s="17">
        <f>IF(COUNTIFS(T_SelfStock_Log[Part Name],$A34,T_SelfStock_Log[WeekIndex],104)=0,"",SUMIFS(T_SelfStock_Log[Self_Qty],T_SelfStock_Log[Part Name],$A34,T_SelfStock_Log[WeekIndex],104))</f>
        <v/>
      </c>
    </row>
    <row r="35">
      <c r="A35" s="19" t="inlineStr">
        <is>
          <t>CHEM-1440</t>
        </is>
      </c>
      <c r="B35" s="19">
        <f>IF(COUNTIFS(T_SelfStock_Log[Part Name],$A35,T_SelfStock_Log[WeekIndex],1)=0,"",SUMIFS(T_SelfStock_Log[Self_Qty],T_SelfStock_Log[Part Name],$A35,T_SelfStock_Log[WeekIndex],1))</f>
        <v/>
      </c>
      <c r="C35" s="19">
        <f>IF(COUNTIFS(T_SelfStock_Log[Part Name],$A35,T_SelfStock_Log[WeekIndex],2)=0,"",SUMIFS(T_SelfStock_Log[Self_Qty],T_SelfStock_Log[Part Name],$A35,T_SelfStock_Log[WeekIndex],2))</f>
        <v/>
      </c>
      <c r="D35" s="19">
        <f>IF(COUNTIFS(T_SelfStock_Log[Part Name],$A35,T_SelfStock_Log[WeekIndex],3)=0,"",SUMIFS(T_SelfStock_Log[Self_Qty],T_SelfStock_Log[Part Name],$A35,T_SelfStock_Log[WeekIndex],3))</f>
        <v/>
      </c>
      <c r="E35" s="19">
        <f>IF(COUNTIFS(T_SelfStock_Log[Part Name],$A35,T_SelfStock_Log[WeekIndex],4)=0,"",SUMIFS(T_SelfStock_Log[Self_Qty],T_SelfStock_Log[Part Name],$A35,T_SelfStock_Log[WeekIndex],4))</f>
        <v/>
      </c>
      <c r="F35" s="19">
        <f>IF(COUNTIFS(T_SelfStock_Log[Part Name],$A35,T_SelfStock_Log[WeekIndex],5)=0,"",SUMIFS(T_SelfStock_Log[Self_Qty],T_SelfStock_Log[Part Name],$A35,T_SelfStock_Log[WeekIndex],5))</f>
        <v/>
      </c>
      <c r="G35" s="19">
        <f>IF(COUNTIFS(T_SelfStock_Log[Part Name],$A35,T_SelfStock_Log[WeekIndex],6)=0,"",SUMIFS(T_SelfStock_Log[Self_Qty],T_SelfStock_Log[Part Name],$A35,T_SelfStock_Log[WeekIndex],6))</f>
        <v/>
      </c>
      <c r="H35" s="19">
        <f>IF(COUNTIFS(T_SelfStock_Log[Part Name],$A35,T_SelfStock_Log[WeekIndex],7)=0,"",SUMIFS(T_SelfStock_Log[Self_Qty],T_SelfStock_Log[Part Name],$A35,T_SelfStock_Log[WeekIndex],7))</f>
        <v/>
      </c>
      <c r="I35" s="19">
        <f>IF(COUNTIFS(T_SelfStock_Log[Part Name],$A35,T_SelfStock_Log[WeekIndex],8)=0,"",SUMIFS(T_SelfStock_Log[Self_Qty],T_SelfStock_Log[Part Name],$A35,T_SelfStock_Log[WeekIndex],8))</f>
        <v/>
      </c>
      <c r="J35" s="19">
        <f>IF(COUNTIFS(T_SelfStock_Log[Part Name],$A35,T_SelfStock_Log[WeekIndex],9)=0,"",SUMIFS(T_SelfStock_Log[Self_Qty],T_SelfStock_Log[Part Name],$A35,T_SelfStock_Log[WeekIndex],9))</f>
        <v/>
      </c>
      <c r="K35" s="19">
        <f>IF(COUNTIFS(T_SelfStock_Log[Part Name],$A35,T_SelfStock_Log[WeekIndex],10)=0,"",SUMIFS(T_SelfStock_Log[Self_Qty],T_SelfStock_Log[Part Name],$A35,T_SelfStock_Log[WeekIndex],10))</f>
        <v/>
      </c>
      <c r="L35" s="19">
        <f>IF(COUNTIFS(T_SelfStock_Log[Part Name],$A35,T_SelfStock_Log[WeekIndex],11)=0,"",SUMIFS(T_SelfStock_Log[Self_Qty],T_SelfStock_Log[Part Name],$A35,T_SelfStock_Log[WeekIndex],11))</f>
        <v/>
      </c>
      <c r="M35" s="19">
        <f>IF(COUNTIFS(T_SelfStock_Log[Part Name],$A35,T_SelfStock_Log[WeekIndex],12)=0,"",SUMIFS(T_SelfStock_Log[Self_Qty],T_SelfStock_Log[Part Name],$A35,T_SelfStock_Log[WeekIndex],12))</f>
        <v/>
      </c>
      <c r="N35" s="19">
        <f>IF(COUNTIFS(T_SelfStock_Log[Part Name],$A35,T_SelfStock_Log[WeekIndex],13)=0,"",SUMIFS(T_SelfStock_Log[Self_Qty],T_SelfStock_Log[Part Name],$A35,T_SelfStock_Log[WeekIndex],13))</f>
        <v/>
      </c>
      <c r="O35" s="19">
        <f>IF(COUNTIFS(T_SelfStock_Log[Part Name],$A35,T_SelfStock_Log[WeekIndex],14)=0,"",SUMIFS(T_SelfStock_Log[Self_Qty],T_SelfStock_Log[Part Name],$A35,T_SelfStock_Log[WeekIndex],14))</f>
        <v/>
      </c>
      <c r="P35" s="19">
        <f>IF(COUNTIFS(T_SelfStock_Log[Part Name],$A35,T_SelfStock_Log[WeekIndex],15)=0,"",SUMIFS(T_SelfStock_Log[Self_Qty],T_SelfStock_Log[Part Name],$A35,T_SelfStock_Log[WeekIndex],15))</f>
        <v/>
      </c>
      <c r="Q35" s="19">
        <f>IF(COUNTIFS(T_SelfStock_Log[Part Name],$A35,T_SelfStock_Log[WeekIndex],16)=0,"",SUMIFS(T_SelfStock_Log[Self_Qty],T_SelfStock_Log[Part Name],$A35,T_SelfStock_Log[WeekIndex],16))</f>
        <v/>
      </c>
      <c r="R35" s="19">
        <f>IF(COUNTIFS(T_SelfStock_Log[Part Name],$A35,T_SelfStock_Log[WeekIndex],17)=0,"",SUMIFS(T_SelfStock_Log[Self_Qty],T_SelfStock_Log[Part Name],$A35,T_SelfStock_Log[WeekIndex],17))</f>
        <v/>
      </c>
      <c r="S35" s="19">
        <f>IF(COUNTIFS(T_SelfStock_Log[Part Name],$A35,T_SelfStock_Log[WeekIndex],18)=0,"",SUMIFS(T_SelfStock_Log[Self_Qty],T_SelfStock_Log[Part Name],$A35,T_SelfStock_Log[WeekIndex],18))</f>
        <v/>
      </c>
      <c r="T35" s="19">
        <f>IF(COUNTIFS(T_SelfStock_Log[Part Name],$A35,T_SelfStock_Log[WeekIndex],19)=0,"",SUMIFS(T_SelfStock_Log[Self_Qty],T_SelfStock_Log[Part Name],$A35,T_SelfStock_Log[WeekIndex],19))</f>
        <v/>
      </c>
      <c r="U35" s="19">
        <f>IF(COUNTIFS(T_SelfStock_Log[Part Name],$A35,T_SelfStock_Log[WeekIndex],20)=0,"",SUMIFS(T_SelfStock_Log[Self_Qty],T_SelfStock_Log[Part Name],$A35,T_SelfStock_Log[WeekIndex],20))</f>
        <v/>
      </c>
      <c r="V35" s="19">
        <f>IF(COUNTIFS(T_SelfStock_Log[Part Name],$A35,T_SelfStock_Log[WeekIndex],21)=0,"",SUMIFS(T_SelfStock_Log[Self_Qty],T_SelfStock_Log[Part Name],$A35,T_SelfStock_Log[WeekIndex],21))</f>
        <v/>
      </c>
      <c r="W35" s="19">
        <f>IF(COUNTIFS(T_SelfStock_Log[Part Name],$A35,T_SelfStock_Log[WeekIndex],22)=0,"",SUMIFS(T_SelfStock_Log[Self_Qty],T_SelfStock_Log[Part Name],$A35,T_SelfStock_Log[WeekIndex],22))</f>
        <v/>
      </c>
      <c r="X35" s="19">
        <f>IF(COUNTIFS(T_SelfStock_Log[Part Name],$A35,T_SelfStock_Log[WeekIndex],23)=0,"",SUMIFS(T_SelfStock_Log[Self_Qty],T_SelfStock_Log[Part Name],$A35,T_SelfStock_Log[WeekIndex],23))</f>
        <v/>
      </c>
      <c r="Y35" s="19">
        <f>IF(COUNTIFS(T_SelfStock_Log[Part Name],$A35,T_SelfStock_Log[WeekIndex],24)=0,"",SUMIFS(T_SelfStock_Log[Self_Qty],T_SelfStock_Log[Part Name],$A35,T_SelfStock_Log[WeekIndex],24))</f>
        <v/>
      </c>
      <c r="Z35" s="19">
        <f>IF(COUNTIFS(T_SelfStock_Log[Part Name],$A35,T_SelfStock_Log[WeekIndex],25)=0,"",SUMIFS(T_SelfStock_Log[Self_Qty],T_SelfStock_Log[Part Name],$A35,T_SelfStock_Log[WeekIndex],25))</f>
        <v/>
      </c>
      <c r="AA35" s="19">
        <f>IF(COUNTIFS(T_SelfStock_Log[Part Name],$A35,T_SelfStock_Log[WeekIndex],26)=0,"",SUMIFS(T_SelfStock_Log[Self_Qty],T_SelfStock_Log[Part Name],$A35,T_SelfStock_Log[WeekIndex],26))</f>
        <v/>
      </c>
      <c r="AB35" s="19">
        <f>IF(COUNTIFS(T_SelfStock_Log[Part Name],$A35,T_SelfStock_Log[WeekIndex],27)=0,"",SUMIFS(T_SelfStock_Log[Self_Qty],T_SelfStock_Log[Part Name],$A35,T_SelfStock_Log[WeekIndex],27))</f>
        <v/>
      </c>
      <c r="AC35" s="19">
        <f>IF(COUNTIFS(T_SelfStock_Log[Part Name],$A35,T_SelfStock_Log[WeekIndex],28)=0,"",SUMIFS(T_SelfStock_Log[Self_Qty],T_SelfStock_Log[Part Name],$A35,T_SelfStock_Log[WeekIndex],28))</f>
        <v/>
      </c>
      <c r="AD35" s="19">
        <f>IF(COUNTIFS(T_SelfStock_Log[Part Name],$A35,T_SelfStock_Log[WeekIndex],29)=0,"",SUMIFS(T_SelfStock_Log[Self_Qty],T_SelfStock_Log[Part Name],$A35,T_SelfStock_Log[WeekIndex],29))</f>
        <v/>
      </c>
      <c r="AE35" s="19">
        <f>IF(COUNTIFS(T_SelfStock_Log[Part Name],$A35,T_SelfStock_Log[WeekIndex],30)=0,"",SUMIFS(T_SelfStock_Log[Self_Qty],T_SelfStock_Log[Part Name],$A35,T_SelfStock_Log[WeekIndex],30))</f>
        <v/>
      </c>
      <c r="AF35" s="19">
        <f>IF(COUNTIFS(T_SelfStock_Log[Part Name],$A35,T_SelfStock_Log[WeekIndex],31)=0,"",SUMIFS(T_SelfStock_Log[Self_Qty],T_SelfStock_Log[Part Name],$A35,T_SelfStock_Log[WeekIndex],31))</f>
        <v/>
      </c>
      <c r="AG35" s="19">
        <f>IF(COUNTIFS(T_SelfStock_Log[Part Name],$A35,T_SelfStock_Log[WeekIndex],32)=0,"",SUMIFS(T_SelfStock_Log[Self_Qty],T_SelfStock_Log[Part Name],$A35,T_SelfStock_Log[WeekIndex],32))</f>
        <v/>
      </c>
      <c r="AH35" s="19">
        <f>IF(COUNTIFS(T_SelfStock_Log[Part Name],$A35,T_SelfStock_Log[WeekIndex],33)=0,"",SUMIFS(T_SelfStock_Log[Self_Qty],T_SelfStock_Log[Part Name],$A35,T_SelfStock_Log[WeekIndex],33))</f>
        <v/>
      </c>
      <c r="AI35" s="19">
        <f>IF(COUNTIFS(T_SelfStock_Log[Part Name],$A35,T_SelfStock_Log[WeekIndex],34)=0,"",SUMIFS(T_SelfStock_Log[Self_Qty],T_SelfStock_Log[Part Name],$A35,T_SelfStock_Log[WeekIndex],34))</f>
        <v/>
      </c>
      <c r="AJ35" s="19">
        <f>IF(COUNTIFS(T_SelfStock_Log[Part Name],$A35,T_SelfStock_Log[WeekIndex],35)=0,"",SUMIFS(T_SelfStock_Log[Self_Qty],T_SelfStock_Log[Part Name],$A35,T_SelfStock_Log[WeekIndex],35))</f>
        <v/>
      </c>
      <c r="AK35" s="19">
        <f>IF(COUNTIFS(T_SelfStock_Log[Part Name],$A35,T_SelfStock_Log[WeekIndex],36)=0,"",SUMIFS(T_SelfStock_Log[Self_Qty],T_SelfStock_Log[Part Name],$A35,T_SelfStock_Log[WeekIndex],36))</f>
        <v/>
      </c>
      <c r="AL35" s="19">
        <f>IF(COUNTIFS(T_SelfStock_Log[Part Name],$A35,T_SelfStock_Log[WeekIndex],37)=0,"",SUMIFS(T_SelfStock_Log[Self_Qty],T_SelfStock_Log[Part Name],$A35,T_SelfStock_Log[WeekIndex],37))</f>
        <v/>
      </c>
      <c r="AM35" s="19">
        <f>IF(COUNTIFS(T_SelfStock_Log[Part Name],$A35,T_SelfStock_Log[WeekIndex],38)=0,"",SUMIFS(T_SelfStock_Log[Self_Qty],T_SelfStock_Log[Part Name],$A35,T_SelfStock_Log[WeekIndex],38))</f>
        <v/>
      </c>
      <c r="AN35" s="19">
        <f>IF(COUNTIFS(T_SelfStock_Log[Part Name],$A35,T_SelfStock_Log[WeekIndex],39)=0,"",SUMIFS(T_SelfStock_Log[Self_Qty],T_SelfStock_Log[Part Name],$A35,T_SelfStock_Log[WeekIndex],39))</f>
        <v/>
      </c>
      <c r="AO35" s="19">
        <f>IF(COUNTIFS(T_SelfStock_Log[Part Name],$A35,T_SelfStock_Log[WeekIndex],40)=0,"",SUMIFS(T_SelfStock_Log[Self_Qty],T_SelfStock_Log[Part Name],$A35,T_SelfStock_Log[WeekIndex],40))</f>
        <v/>
      </c>
      <c r="AP35" s="19">
        <f>IF(COUNTIFS(T_SelfStock_Log[Part Name],$A35,T_SelfStock_Log[WeekIndex],41)=0,"",SUMIFS(T_SelfStock_Log[Self_Qty],T_SelfStock_Log[Part Name],$A35,T_SelfStock_Log[WeekIndex],41))</f>
        <v/>
      </c>
      <c r="AQ35" s="19">
        <f>IF(COUNTIFS(T_SelfStock_Log[Part Name],$A35,T_SelfStock_Log[WeekIndex],42)=0,"",SUMIFS(T_SelfStock_Log[Self_Qty],T_SelfStock_Log[Part Name],$A35,T_SelfStock_Log[WeekIndex],42))</f>
        <v/>
      </c>
      <c r="AR35" s="19">
        <f>IF(COUNTIFS(T_SelfStock_Log[Part Name],$A35,T_SelfStock_Log[WeekIndex],43)=0,"",SUMIFS(T_SelfStock_Log[Self_Qty],T_SelfStock_Log[Part Name],$A35,T_SelfStock_Log[WeekIndex],43))</f>
        <v/>
      </c>
      <c r="AS35" s="19">
        <f>IF(COUNTIFS(T_SelfStock_Log[Part Name],$A35,T_SelfStock_Log[WeekIndex],44)=0,"",SUMIFS(T_SelfStock_Log[Self_Qty],T_SelfStock_Log[Part Name],$A35,T_SelfStock_Log[WeekIndex],44))</f>
        <v/>
      </c>
      <c r="AT35" s="19">
        <f>IF(COUNTIFS(T_SelfStock_Log[Part Name],$A35,T_SelfStock_Log[WeekIndex],45)=0,"",SUMIFS(T_SelfStock_Log[Self_Qty],T_SelfStock_Log[Part Name],$A35,T_SelfStock_Log[WeekIndex],45))</f>
        <v/>
      </c>
      <c r="AU35" s="19">
        <f>IF(COUNTIFS(T_SelfStock_Log[Part Name],$A35,T_SelfStock_Log[WeekIndex],46)=0,"",SUMIFS(T_SelfStock_Log[Self_Qty],T_SelfStock_Log[Part Name],$A35,T_SelfStock_Log[WeekIndex],46))</f>
        <v/>
      </c>
      <c r="AV35" s="19">
        <f>IF(COUNTIFS(T_SelfStock_Log[Part Name],$A35,T_SelfStock_Log[WeekIndex],47)=0,"",SUMIFS(T_SelfStock_Log[Self_Qty],T_SelfStock_Log[Part Name],$A35,T_SelfStock_Log[WeekIndex],47))</f>
        <v/>
      </c>
      <c r="AW35" s="19">
        <f>IF(COUNTIFS(T_SelfStock_Log[Part Name],$A35,T_SelfStock_Log[WeekIndex],48)=0,"",SUMIFS(T_SelfStock_Log[Self_Qty],T_SelfStock_Log[Part Name],$A35,T_SelfStock_Log[WeekIndex],48))</f>
        <v/>
      </c>
      <c r="AX35" s="19">
        <f>IF(COUNTIFS(T_SelfStock_Log[Part Name],$A35,T_SelfStock_Log[WeekIndex],49)=0,"",SUMIFS(T_SelfStock_Log[Self_Qty],T_SelfStock_Log[Part Name],$A35,T_SelfStock_Log[WeekIndex],49))</f>
        <v/>
      </c>
      <c r="AY35" s="19">
        <f>IF(COUNTIFS(T_SelfStock_Log[Part Name],$A35,T_SelfStock_Log[WeekIndex],50)=0,"",SUMIFS(T_SelfStock_Log[Self_Qty],T_SelfStock_Log[Part Name],$A35,T_SelfStock_Log[WeekIndex],50))</f>
        <v/>
      </c>
      <c r="AZ35" s="19">
        <f>IF(COUNTIFS(T_SelfStock_Log[Part Name],$A35,T_SelfStock_Log[WeekIndex],51)=0,"",SUMIFS(T_SelfStock_Log[Self_Qty],T_SelfStock_Log[Part Name],$A35,T_SelfStock_Log[WeekIndex],51))</f>
        <v/>
      </c>
      <c r="BA35" s="19">
        <f>IF(COUNTIFS(T_SelfStock_Log[Part Name],$A35,T_SelfStock_Log[WeekIndex],52)=0,"",SUMIFS(T_SelfStock_Log[Self_Qty],T_SelfStock_Log[Part Name],$A35,T_SelfStock_Log[WeekIndex],52))</f>
        <v/>
      </c>
      <c r="BB35" s="19">
        <f>IF(COUNTIFS(T_SelfStock_Log[Part Name],$A35,T_SelfStock_Log[WeekIndex],53)=0,"",SUMIFS(T_SelfStock_Log[Self_Qty],T_SelfStock_Log[Part Name],$A35,T_SelfStock_Log[WeekIndex],53))</f>
        <v/>
      </c>
      <c r="BC35" s="19">
        <f>IF(COUNTIFS(T_SelfStock_Log[Part Name],$A35,T_SelfStock_Log[WeekIndex],54)=0,"",SUMIFS(T_SelfStock_Log[Self_Qty],T_SelfStock_Log[Part Name],$A35,T_SelfStock_Log[WeekIndex],54))</f>
        <v/>
      </c>
      <c r="BD35" s="19">
        <f>IF(COUNTIFS(T_SelfStock_Log[Part Name],$A35,T_SelfStock_Log[WeekIndex],55)=0,"",SUMIFS(T_SelfStock_Log[Self_Qty],T_SelfStock_Log[Part Name],$A35,T_SelfStock_Log[WeekIndex],55))</f>
        <v/>
      </c>
      <c r="BE35" s="19">
        <f>IF(COUNTIFS(T_SelfStock_Log[Part Name],$A35,T_SelfStock_Log[WeekIndex],56)=0,"",SUMIFS(T_SelfStock_Log[Self_Qty],T_SelfStock_Log[Part Name],$A35,T_SelfStock_Log[WeekIndex],56))</f>
        <v/>
      </c>
      <c r="BF35" s="19">
        <f>IF(COUNTIFS(T_SelfStock_Log[Part Name],$A35,T_SelfStock_Log[WeekIndex],57)=0,"",SUMIFS(T_SelfStock_Log[Self_Qty],T_SelfStock_Log[Part Name],$A35,T_SelfStock_Log[WeekIndex],57))</f>
        <v/>
      </c>
      <c r="BG35" s="19">
        <f>IF(COUNTIFS(T_SelfStock_Log[Part Name],$A35,T_SelfStock_Log[WeekIndex],58)=0,"",SUMIFS(T_SelfStock_Log[Self_Qty],T_SelfStock_Log[Part Name],$A35,T_SelfStock_Log[WeekIndex],58))</f>
        <v/>
      </c>
      <c r="BH35" s="19">
        <f>IF(COUNTIFS(T_SelfStock_Log[Part Name],$A35,T_SelfStock_Log[WeekIndex],59)=0,"",SUMIFS(T_SelfStock_Log[Self_Qty],T_SelfStock_Log[Part Name],$A35,T_SelfStock_Log[WeekIndex],59))</f>
        <v/>
      </c>
      <c r="BI35" s="19">
        <f>IF(COUNTIFS(T_SelfStock_Log[Part Name],$A35,T_SelfStock_Log[WeekIndex],60)=0,"",SUMIFS(T_SelfStock_Log[Self_Qty],T_SelfStock_Log[Part Name],$A35,T_SelfStock_Log[WeekIndex],60))</f>
        <v/>
      </c>
      <c r="BJ35" s="19">
        <f>IF(COUNTIFS(T_SelfStock_Log[Part Name],$A35,T_SelfStock_Log[WeekIndex],61)=0,"",SUMIFS(T_SelfStock_Log[Self_Qty],T_SelfStock_Log[Part Name],$A35,T_SelfStock_Log[WeekIndex],61))</f>
        <v/>
      </c>
      <c r="BK35" s="19">
        <f>IF(COUNTIFS(T_SelfStock_Log[Part Name],$A35,T_SelfStock_Log[WeekIndex],62)=0,"",SUMIFS(T_SelfStock_Log[Self_Qty],T_SelfStock_Log[Part Name],$A35,T_SelfStock_Log[WeekIndex],62))</f>
        <v/>
      </c>
      <c r="BL35" s="19">
        <f>IF(COUNTIFS(T_SelfStock_Log[Part Name],$A35,T_SelfStock_Log[WeekIndex],63)=0,"",SUMIFS(T_SelfStock_Log[Self_Qty],T_SelfStock_Log[Part Name],$A35,T_SelfStock_Log[WeekIndex],63))</f>
        <v/>
      </c>
      <c r="BM35" s="19">
        <f>IF(COUNTIFS(T_SelfStock_Log[Part Name],$A35,T_SelfStock_Log[WeekIndex],64)=0,"",SUMIFS(T_SelfStock_Log[Self_Qty],T_SelfStock_Log[Part Name],$A35,T_SelfStock_Log[WeekIndex],64))</f>
        <v/>
      </c>
      <c r="BN35" s="19">
        <f>IF(COUNTIFS(T_SelfStock_Log[Part Name],$A35,T_SelfStock_Log[WeekIndex],65)=0,"",SUMIFS(T_SelfStock_Log[Self_Qty],T_SelfStock_Log[Part Name],$A35,T_SelfStock_Log[WeekIndex],65))</f>
        <v/>
      </c>
      <c r="BO35" s="19">
        <f>IF(COUNTIFS(T_SelfStock_Log[Part Name],$A35,T_SelfStock_Log[WeekIndex],66)=0,"",SUMIFS(T_SelfStock_Log[Self_Qty],T_SelfStock_Log[Part Name],$A35,T_SelfStock_Log[WeekIndex],66))</f>
        <v/>
      </c>
      <c r="BP35" s="19">
        <f>IF(COUNTIFS(T_SelfStock_Log[Part Name],$A35,T_SelfStock_Log[WeekIndex],67)=0,"",SUMIFS(T_SelfStock_Log[Self_Qty],T_SelfStock_Log[Part Name],$A35,T_SelfStock_Log[WeekIndex],67))</f>
        <v/>
      </c>
      <c r="BQ35" s="19">
        <f>IF(COUNTIFS(T_SelfStock_Log[Part Name],$A35,T_SelfStock_Log[WeekIndex],68)=0,"",SUMIFS(T_SelfStock_Log[Self_Qty],T_SelfStock_Log[Part Name],$A35,T_SelfStock_Log[WeekIndex],68))</f>
        <v/>
      </c>
      <c r="BR35" s="19">
        <f>IF(COUNTIFS(T_SelfStock_Log[Part Name],$A35,T_SelfStock_Log[WeekIndex],69)=0,"",SUMIFS(T_SelfStock_Log[Self_Qty],T_SelfStock_Log[Part Name],$A35,T_SelfStock_Log[WeekIndex],69))</f>
        <v/>
      </c>
      <c r="BS35" s="19">
        <f>IF(COUNTIFS(T_SelfStock_Log[Part Name],$A35,T_SelfStock_Log[WeekIndex],70)=0,"",SUMIFS(T_SelfStock_Log[Self_Qty],T_SelfStock_Log[Part Name],$A35,T_SelfStock_Log[WeekIndex],70))</f>
        <v/>
      </c>
      <c r="BT35" s="19">
        <f>IF(COUNTIFS(T_SelfStock_Log[Part Name],$A35,T_SelfStock_Log[WeekIndex],71)=0,"",SUMIFS(T_SelfStock_Log[Self_Qty],T_SelfStock_Log[Part Name],$A35,T_SelfStock_Log[WeekIndex],71))</f>
        <v/>
      </c>
      <c r="BU35" s="19">
        <f>IF(COUNTIFS(T_SelfStock_Log[Part Name],$A35,T_SelfStock_Log[WeekIndex],72)=0,"",SUMIFS(T_SelfStock_Log[Self_Qty],T_SelfStock_Log[Part Name],$A35,T_SelfStock_Log[WeekIndex],72))</f>
        <v/>
      </c>
      <c r="BV35" s="19">
        <f>IF(COUNTIFS(T_SelfStock_Log[Part Name],$A35,T_SelfStock_Log[WeekIndex],73)=0,"",SUMIFS(T_SelfStock_Log[Self_Qty],T_SelfStock_Log[Part Name],$A35,T_SelfStock_Log[WeekIndex],73))</f>
        <v/>
      </c>
      <c r="BW35" s="19">
        <f>IF(COUNTIFS(T_SelfStock_Log[Part Name],$A35,T_SelfStock_Log[WeekIndex],74)=0,"",SUMIFS(T_SelfStock_Log[Self_Qty],T_SelfStock_Log[Part Name],$A35,T_SelfStock_Log[WeekIndex],74))</f>
        <v/>
      </c>
      <c r="BX35" s="19">
        <f>IF(COUNTIFS(T_SelfStock_Log[Part Name],$A35,T_SelfStock_Log[WeekIndex],75)=0,"",SUMIFS(T_SelfStock_Log[Self_Qty],T_SelfStock_Log[Part Name],$A35,T_SelfStock_Log[WeekIndex],75))</f>
        <v/>
      </c>
      <c r="BY35" s="19">
        <f>IF(COUNTIFS(T_SelfStock_Log[Part Name],$A35,T_SelfStock_Log[WeekIndex],76)=0,"",SUMIFS(T_SelfStock_Log[Self_Qty],T_SelfStock_Log[Part Name],$A35,T_SelfStock_Log[WeekIndex],76))</f>
        <v/>
      </c>
      <c r="BZ35" s="19">
        <f>IF(COUNTIFS(T_SelfStock_Log[Part Name],$A35,T_SelfStock_Log[WeekIndex],77)=0,"",SUMIFS(T_SelfStock_Log[Self_Qty],T_SelfStock_Log[Part Name],$A35,T_SelfStock_Log[WeekIndex],77))</f>
        <v/>
      </c>
      <c r="CA35" s="19">
        <f>IF(COUNTIFS(T_SelfStock_Log[Part Name],$A35,T_SelfStock_Log[WeekIndex],78)=0,"",SUMIFS(T_SelfStock_Log[Self_Qty],T_SelfStock_Log[Part Name],$A35,T_SelfStock_Log[WeekIndex],78))</f>
        <v/>
      </c>
      <c r="CB35" s="19">
        <f>IF(COUNTIFS(T_SelfStock_Log[Part Name],$A35,T_SelfStock_Log[WeekIndex],79)=0,"",SUMIFS(T_SelfStock_Log[Self_Qty],T_SelfStock_Log[Part Name],$A35,T_SelfStock_Log[WeekIndex],79))</f>
        <v/>
      </c>
      <c r="CC35" s="19">
        <f>IF(COUNTIFS(T_SelfStock_Log[Part Name],$A35,T_SelfStock_Log[WeekIndex],80)=0,"",SUMIFS(T_SelfStock_Log[Self_Qty],T_SelfStock_Log[Part Name],$A35,T_SelfStock_Log[WeekIndex],80))</f>
        <v/>
      </c>
      <c r="CD35" s="19">
        <f>IF(COUNTIFS(T_SelfStock_Log[Part Name],$A35,T_SelfStock_Log[WeekIndex],81)=0,"",SUMIFS(T_SelfStock_Log[Self_Qty],T_SelfStock_Log[Part Name],$A35,T_SelfStock_Log[WeekIndex],81))</f>
        <v/>
      </c>
      <c r="CE35" s="19">
        <f>IF(COUNTIFS(T_SelfStock_Log[Part Name],$A35,T_SelfStock_Log[WeekIndex],82)=0,"",SUMIFS(T_SelfStock_Log[Self_Qty],T_SelfStock_Log[Part Name],$A35,T_SelfStock_Log[WeekIndex],82))</f>
        <v/>
      </c>
      <c r="CF35" s="19">
        <f>IF(COUNTIFS(T_SelfStock_Log[Part Name],$A35,T_SelfStock_Log[WeekIndex],83)=0,"",SUMIFS(T_SelfStock_Log[Self_Qty],T_SelfStock_Log[Part Name],$A35,T_SelfStock_Log[WeekIndex],83))</f>
        <v/>
      </c>
      <c r="CG35" s="19">
        <f>IF(COUNTIFS(T_SelfStock_Log[Part Name],$A35,T_SelfStock_Log[WeekIndex],84)=0,"",SUMIFS(T_SelfStock_Log[Self_Qty],T_SelfStock_Log[Part Name],$A35,T_SelfStock_Log[WeekIndex],84))</f>
        <v/>
      </c>
      <c r="CH35" s="19">
        <f>IF(COUNTIFS(T_SelfStock_Log[Part Name],$A35,T_SelfStock_Log[WeekIndex],85)=0,"",SUMIFS(T_SelfStock_Log[Self_Qty],T_SelfStock_Log[Part Name],$A35,T_SelfStock_Log[WeekIndex],85))</f>
        <v/>
      </c>
      <c r="CI35" s="19">
        <f>IF(COUNTIFS(T_SelfStock_Log[Part Name],$A35,T_SelfStock_Log[WeekIndex],86)=0,"",SUMIFS(T_SelfStock_Log[Self_Qty],T_SelfStock_Log[Part Name],$A35,T_SelfStock_Log[WeekIndex],86))</f>
        <v/>
      </c>
      <c r="CJ35" s="19">
        <f>IF(COUNTIFS(T_SelfStock_Log[Part Name],$A35,T_SelfStock_Log[WeekIndex],87)=0,"",SUMIFS(T_SelfStock_Log[Self_Qty],T_SelfStock_Log[Part Name],$A35,T_SelfStock_Log[WeekIndex],87))</f>
        <v/>
      </c>
      <c r="CK35" s="19">
        <f>IF(COUNTIFS(T_SelfStock_Log[Part Name],$A35,T_SelfStock_Log[WeekIndex],88)=0,"",SUMIFS(T_SelfStock_Log[Self_Qty],T_SelfStock_Log[Part Name],$A35,T_SelfStock_Log[WeekIndex],88))</f>
        <v/>
      </c>
      <c r="CL35" s="19">
        <f>IF(COUNTIFS(T_SelfStock_Log[Part Name],$A35,T_SelfStock_Log[WeekIndex],89)=0,"",SUMIFS(T_SelfStock_Log[Self_Qty],T_SelfStock_Log[Part Name],$A35,T_SelfStock_Log[WeekIndex],89))</f>
        <v/>
      </c>
      <c r="CM35" s="19">
        <f>IF(COUNTIFS(T_SelfStock_Log[Part Name],$A35,T_SelfStock_Log[WeekIndex],90)=0,"",SUMIFS(T_SelfStock_Log[Self_Qty],T_SelfStock_Log[Part Name],$A35,T_SelfStock_Log[WeekIndex],90))</f>
        <v/>
      </c>
      <c r="CN35" s="19">
        <f>IF(COUNTIFS(T_SelfStock_Log[Part Name],$A35,T_SelfStock_Log[WeekIndex],91)=0,"",SUMIFS(T_SelfStock_Log[Self_Qty],T_SelfStock_Log[Part Name],$A35,T_SelfStock_Log[WeekIndex],91))</f>
        <v/>
      </c>
      <c r="CO35" s="19">
        <f>IF(COUNTIFS(T_SelfStock_Log[Part Name],$A35,T_SelfStock_Log[WeekIndex],92)=0,"",SUMIFS(T_SelfStock_Log[Self_Qty],T_SelfStock_Log[Part Name],$A35,T_SelfStock_Log[WeekIndex],92))</f>
        <v/>
      </c>
      <c r="CP35" s="19">
        <f>IF(COUNTIFS(T_SelfStock_Log[Part Name],$A35,T_SelfStock_Log[WeekIndex],93)=0,"",SUMIFS(T_SelfStock_Log[Self_Qty],T_SelfStock_Log[Part Name],$A35,T_SelfStock_Log[WeekIndex],93))</f>
        <v/>
      </c>
      <c r="CQ35" s="19">
        <f>IF(COUNTIFS(T_SelfStock_Log[Part Name],$A35,T_SelfStock_Log[WeekIndex],94)=0,"",SUMIFS(T_SelfStock_Log[Self_Qty],T_SelfStock_Log[Part Name],$A35,T_SelfStock_Log[WeekIndex],94))</f>
        <v/>
      </c>
      <c r="CR35" s="19">
        <f>IF(COUNTIFS(T_SelfStock_Log[Part Name],$A35,T_SelfStock_Log[WeekIndex],95)=0,"",SUMIFS(T_SelfStock_Log[Self_Qty],T_SelfStock_Log[Part Name],$A35,T_SelfStock_Log[WeekIndex],95))</f>
        <v/>
      </c>
      <c r="CS35" s="19">
        <f>IF(COUNTIFS(T_SelfStock_Log[Part Name],$A35,T_SelfStock_Log[WeekIndex],96)=0,"",SUMIFS(T_SelfStock_Log[Self_Qty],T_SelfStock_Log[Part Name],$A35,T_SelfStock_Log[WeekIndex],96))</f>
        <v/>
      </c>
      <c r="CT35" s="19">
        <f>IF(COUNTIFS(T_SelfStock_Log[Part Name],$A35,T_SelfStock_Log[WeekIndex],97)=0,"",SUMIFS(T_SelfStock_Log[Self_Qty],T_SelfStock_Log[Part Name],$A35,T_SelfStock_Log[WeekIndex],97))</f>
        <v/>
      </c>
      <c r="CU35" s="19">
        <f>IF(COUNTIFS(T_SelfStock_Log[Part Name],$A35,T_SelfStock_Log[WeekIndex],98)=0,"",SUMIFS(T_SelfStock_Log[Self_Qty],T_SelfStock_Log[Part Name],$A35,T_SelfStock_Log[WeekIndex],98))</f>
        <v/>
      </c>
      <c r="CV35" s="19">
        <f>IF(COUNTIFS(T_SelfStock_Log[Part Name],$A35,T_SelfStock_Log[WeekIndex],99)=0,"",SUMIFS(T_SelfStock_Log[Self_Qty],T_SelfStock_Log[Part Name],$A35,T_SelfStock_Log[WeekIndex],99))</f>
        <v/>
      </c>
      <c r="CW35" s="19">
        <f>IF(COUNTIFS(T_SelfStock_Log[Part Name],$A35,T_SelfStock_Log[WeekIndex],100)=0,"",SUMIFS(T_SelfStock_Log[Self_Qty],T_SelfStock_Log[Part Name],$A35,T_SelfStock_Log[WeekIndex],100))</f>
        <v/>
      </c>
      <c r="CX35" s="19">
        <f>IF(COUNTIFS(T_SelfStock_Log[Part Name],$A35,T_SelfStock_Log[WeekIndex],101)=0,"",SUMIFS(T_SelfStock_Log[Self_Qty],T_SelfStock_Log[Part Name],$A35,T_SelfStock_Log[WeekIndex],101))</f>
        <v/>
      </c>
      <c r="CY35" s="19">
        <f>IF(COUNTIFS(T_SelfStock_Log[Part Name],$A35,T_SelfStock_Log[WeekIndex],102)=0,"",SUMIFS(T_SelfStock_Log[Self_Qty],T_SelfStock_Log[Part Name],$A35,T_SelfStock_Log[WeekIndex],102))</f>
        <v/>
      </c>
      <c r="CZ35" s="19">
        <f>IF(COUNTIFS(T_SelfStock_Log[Part Name],$A35,T_SelfStock_Log[WeekIndex],103)=0,"",SUMIFS(T_SelfStock_Log[Self_Qty],T_SelfStock_Log[Part Name],$A35,T_SelfStock_Log[WeekIndex],103))</f>
        <v/>
      </c>
      <c r="DA35" s="19">
        <f>IF(COUNTIFS(T_SelfStock_Log[Part Name],$A35,T_SelfStock_Log[WeekIndex],104)=0,"",SUMIFS(T_SelfStock_Log[Self_Qty],T_SelfStock_Log[Part Name],$A35,T_SelfStock_Log[WeekIndex],104))</f>
        <v/>
      </c>
    </row>
    <row r="36">
      <c r="A36" s="17" t="inlineStr">
        <is>
          <t>CHEM-1780</t>
        </is>
      </c>
      <c r="B36" s="17">
        <f>IF(COUNTIFS(T_SelfStock_Log[Part Name],$A36,T_SelfStock_Log[WeekIndex],1)=0,"",SUMIFS(T_SelfStock_Log[Self_Qty],T_SelfStock_Log[Part Name],$A36,T_SelfStock_Log[WeekIndex],1))</f>
        <v/>
      </c>
      <c r="C36" s="17">
        <f>IF(COUNTIFS(T_SelfStock_Log[Part Name],$A36,T_SelfStock_Log[WeekIndex],2)=0,"",SUMIFS(T_SelfStock_Log[Self_Qty],T_SelfStock_Log[Part Name],$A36,T_SelfStock_Log[WeekIndex],2))</f>
        <v/>
      </c>
      <c r="D36" s="17">
        <f>IF(COUNTIFS(T_SelfStock_Log[Part Name],$A36,T_SelfStock_Log[WeekIndex],3)=0,"",SUMIFS(T_SelfStock_Log[Self_Qty],T_SelfStock_Log[Part Name],$A36,T_SelfStock_Log[WeekIndex],3))</f>
        <v/>
      </c>
      <c r="E36" s="17">
        <f>IF(COUNTIFS(T_SelfStock_Log[Part Name],$A36,T_SelfStock_Log[WeekIndex],4)=0,"",SUMIFS(T_SelfStock_Log[Self_Qty],T_SelfStock_Log[Part Name],$A36,T_SelfStock_Log[WeekIndex],4))</f>
        <v/>
      </c>
      <c r="F36" s="17">
        <f>IF(COUNTIFS(T_SelfStock_Log[Part Name],$A36,T_SelfStock_Log[WeekIndex],5)=0,"",SUMIFS(T_SelfStock_Log[Self_Qty],T_SelfStock_Log[Part Name],$A36,T_SelfStock_Log[WeekIndex],5))</f>
        <v/>
      </c>
      <c r="G36" s="17">
        <f>IF(COUNTIFS(T_SelfStock_Log[Part Name],$A36,T_SelfStock_Log[WeekIndex],6)=0,"",SUMIFS(T_SelfStock_Log[Self_Qty],T_SelfStock_Log[Part Name],$A36,T_SelfStock_Log[WeekIndex],6))</f>
        <v/>
      </c>
      <c r="H36" s="17">
        <f>IF(COUNTIFS(T_SelfStock_Log[Part Name],$A36,T_SelfStock_Log[WeekIndex],7)=0,"",SUMIFS(T_SelfStock_Log[Self_Qty],T_SelfStock_Log[Part Name],$A36,T_SelfStock_Log[WeekIndex],7))</f>
        <v/>
      </c>
      <c r="I36" s="17">
        <f>IF(COUNTIFS(T_SelfStock_Log[Part Name],$A36,T_SelfStock_Log[WeekIndex],8)=0,"",SUMIFS(T_SelfStock_Log[Self_Qty],T_SelfStock_Log[Part Name],$A36,T_SelfStock_Log[WeekIndex],8))</f>
        <v/>
      </c>
      <c r="J36" s="17">
        <f>IF(COUNTIFS(T_SelfStock_Log[Part Name],$A36,T_SelfStock_Log[WeekIndex],9)=0,"",SUMIFS(T_SelfStock_Log[Self_Qty],T_SelfStock_Log[Part Name],$A36,T_SelfStock_Log[WeekIndex],9))</f>
        <v/>
      </c>
      <c r="K36" s="17">
        <f>IF(COUNTIFS(T_SelfStock_Log[Part Name],$A36,T_SelfStock_Log[WeekIndex],10)=0,"",SUMIFS(T_SelfStock_Log[Self_Qty],T_SelfStock_Log[Part Name],$A36,T_SelfStock_Log[WeekIndex],10))</f>
        <v/>
      </c>
      <c r="L36" s="17">
        <f>IF(COUNTIFS(T_SelfStock_Log[Part Name],$A36,T_SelfStock_Log[WeekIndex],11)=0,"",SUMIFS(T_SelfStock_Log[Self_Qty],T_SelfStock_Log[Part Name],$A36,T_SelfStock_Log[WeekIndex],11))</f>
        <v/>
      </c>
      <c r="M36" s="17">
        <f>IF(COUNTIFS(T_SelfStock_Log[Part Name],$A36,T_SelfStock_Log[WeekIndex],12)=0,"",SUMIFS(T_SelfStock_Log[Self_Qty],T_SelfStock_Log[Part Name],$A36,T_SelfStock_Log[WeekIndex],12))</f>
        <v/>
      </c>
      <c r="N36" s="17">
        <f>IF(COUNTIFS(T_SelfStock_Log[Part Name],$A36,T_SelfStock_Log[WeekIndex],13)=0,"",SUMIFS(T_SelfStock_Log[Self_Qty],T_SelfStock_Log[Part Name],$A36,T_SelfStock_Log[WeekIndex],13))</f>
        <v/>
      </c>
      <c r="O36" s="17">
        <f>IF(COUNTIFS(T_SelfStock_Log[Part Name],$A36,T_SelfStock_Log[WeekIndex],14)=0,"",SUMIFS(T_SelfStock_Log[Self_Qty],T_SelfStock_Log[Part Name],$A36,T_SelfStock_Log[WeekIndex],14))</f>
        <v/>
      </c>
      <c r="P36" s="17">
        <f>IF(COUNTIFS(T_SelfStock_Log[Part Name],$A36,T_SelfStock_Log[WeekIndex],15)=0,"",SUMIFS(T_SelfStock_Log[Self_Qty],T_SelfStock_Log[Part Name],$A36,T_SelfStock_Log[WeekIndex],15))</f>
        <v/>
      </c>
      <c r="Q36" s="17">
        <f>IF(COUNTIFS(T_SelfStock_Log[Part Name],$A36,T_SelfStock_Log[WeekIndex],16)=0,"",SUMIFS(T_SelfStock_Log[Self_Qty],T_SelfStock_Log[Part Name],$A36,T_SelfStock_Log[WeekIndex],16))</f>
        <v/>
      </c>
      <c r="R36" s="17">
        <f>IF(COUNTIFS(T_SelfStock_Log[Part Name],$A36,T_SelfStock_Log[WeekIndex],17)=0,"",SUMIFS(T_SelfStock_Log[Self_Qty],T_SelfStock_Log[Part Name],$A36,T_SelfStock_Log[WeekIndex],17))</f>
        <v/>
      </c>
      <c r="S36" s="17">
        <f>IF(COUNTIFS(T_SelfStock_Log[Part Name],$A36,T_SelfStock_Log[WeekIndex],18)=0,"",SUMIFS(T_SelfStock_Log[Self_Qty],T_SelfStock_Log[Part Name],$A36,T_SelfStock_Log[WeekIndex],18))</f>
        <v/>
      </c>
      <c r="T36" s="17">
        <f>IF(COUNTIFS(T_SelfStock_Log[Part Name],$A36,T_SelfStock_Log[WeekIndex],19)=0,"",SUMIFS(T_SelfStock_Log[Self_Qty],T_SelfStock_Log[Part Name],$A36,T_SelfStock_Log[WeekIndex],19))</f>
        <v/>
      </c>
      <c r="U36" s="17">
        <f>IF(COUNTIFS(T_SelfStock_Log[Part Name],$A36,T_SelfStock_Log[WeekIndex],20)=0,"",SUMIFS(T_SelfStock_Log[Self_Qty],T_SelfStock_Log[Part Name],$A36,T_SelfStock_Log[WeekIndex],20))</f>
        <v/>
      </c>
      <c r="V36" s="17">
        <f>IF(COUNTIFS(T_SelfStock_Log[Part Name],$A36,T_SelfStock_Log[WeekIndex],21)=0,"",SUMIFS(T_SelfStock_Log[Self_Qty],T_SelfStock_Log[Part Name],$A36,T_SelfStock_Log[WeekIndex],21))</f>
        <v/>
      </c>
      <c r="W36" s="17">
        <f>IF(COUNTIFS(T_SelfStock_Log[Part Name],$A36,T_SelfStock_Log[WeekIndex],22)=0,"",SUMIFS(T_SelfStock_Log[Self_Qty],T_SelfStock_Log[Part Name],$A36,T_SelfStock_Log[WeekIndex],22))</f>
        <v/>
      </c>
      <c r="X36" s="17">
        <f>IF(COUNTIFS(T_SelfStock_Log[Part Name],$A36,T_SelfStock_Log[WeekIndex],23)=0,"",SUMIFS(T_SelfStock_Log[Self_Qty],T_SelfStock_Log[Part Name],$A36,T_SelfStock_Log[WeekIndex],23))</f>
        <v/>
      </c>
      <c r="Y36" s="17">
        <f>IF(COUNTIFS(T_SelfStock_Log[Part Name],$A36,T_SelfStock_Log[WeekIndex],24)=0,"",SUMIFS(T_SelfStock_Log[Self_Qty],T_SelfStock_Log[Part Name],$A36,T_SelfStock_Log[WeekIndex],24))</f>
        <v/>
      </c>
      <c r="Z36" s="17">
        <f>IF(COUNTIFS(T_SelfStock_Log[Part Name],$A36,T_SelfStock_Log[WeekIndex],25)=0,"",SUMIFS(T_SelfStock_Log[Self_Qty],T_SelfStock_Log[Part Name],$A36,T_SelfStock_Log[WeekIndex],25))</f>
        <v/>
      </c>
      <c r="AA36" s="17">
        <f>IF(COUNTIFS(T_SelfStock_Log[Part Name],$A36,T_SelfStock_Log[WeekIndex],26)=0,"",SUMIFS(T_SelfStock_Log[Self_Qty],T_SelfStock_Log[Part Name],$A36,T_SelfStock_Log[WeekIndex],26))</f>
        <v/>
      </c>
      <c r="AB36" s="17">
        <f>IF(COUNTIFS(T_SelfStock_Log[Part Name],$A36,T_SelfStock_Log[WeekIndex],27)=0,"",SUMIFS(T_SelfStock_Log[Self_Qty],T_SelfStock_Log[Part Name],$A36,T_SelfStock_Log[WeekIndex],27))</f>
        <v/>
      </c>
      <c r="AC36" s="17">
        <f>IF(COUNTIFS(T_SelfStock_Log[Part Name],$A36,T_SelfStock_Log[WeekIndex],28)=0,"",SUMIFS(T_SelfStock_Log[Self_Qty],T_SelfStock_Log[Part Name],$A36,T_SelfStock_Log[WeekIndex],28))</f>
        <v/>
      </c>
      <c r="AD36" s="17">
        <f>IF(COUNTIFS(T_SelfStock_Log[Part Name],$A36,T_SelfStock_Log[WeekIndex],29)=0,"",SUMIFS(T_SelfStock_Log[Self_Qty],T_SelfStock_Log[Part Name],$A36,T_SelfStock_Log[WeekIndex],29))</f>
        <v/>
      </c>
      <c r="AE36" s="17">
        <f>IF(COUNTIFS(T_SelfStock_Log[Part Name],$A36,T_SelfStock_Log[WeekIndex],30)=0,"",SUMIFS(T_SelfStock_Log[Self_Qty],T_SelfStock_Log[Part Name],$A36,T_SelfStock_Log[WeekIndex],30))</f>
        <v/>
      </c>
      <c r="AF36" s="17">
        <f>IF(COUNTIFS(T_SelfStock_Log[Part Name],$A36,T_SelfStock_Log[WeekIndex],31)=0,"",SUMIFS(T_SelfStock_Log[Self_Qty],T_SelfStock_Log[Part Name],$A36,T_SelfStock_Log[WeekIndex],31))</f>
        <v/>
      </c>
      <c r="AG36" s="17">
        <f>IF(COUNTIFS(T_SelfStock_Log[Part Name],$A36,T_SelfStock_Log[WeekIndex],32)=0,"",SUMIFS(T_SelfStock_Log[Self_Qty],T_SelfStock_Log[Part Name],$A36,T_SelfStock_Log[WeekIndex],32))</f>
        <v/>
      </c>
      <c r="AH36" s="17">
        <f>IF(COUNTIFS(T_SelfStock_Log[Part Name],$A36,T_SelfStock_Log[WeekIndex],33)=0,"",SUMIFS(T_SelfStock_Log[Self_Qty],T_SelfStock_Log[Part Name],$A36,T_SelfStock_Log[WeekIndex],33))</f>
        <v/>
      </c>
      <c r="AI36" s="17">
        <f>IF(COUNTIFS(T_SelfStock_Log[Part Name],$A36,T_SelfStock_Log[WeekIndex],34)=0,"",SUMIFS(T_SelfStock_Log[Self_Qty],T_SelfStock_Log[Part Name],$A36,T_SelfStock_Log[WeekIndex],34))</f>
        <v/>
      </c>
      <c r="AJ36" s="17">
        <f>IF(COUNTIFS(T_SelfStock_Log[Part Name],$A36,T_SelfStock_Log[WeekIndex],35)=0,"",SUMIFS(T_SelfStock_Log[Self_Qty],T_SelfStock_Log[Part Name],$A36,T_SelfStock_Log[WeekIndex],35))</f>
        <v/>
      </c>
      <c r="AK36" s="17">
        <f>IF(COUNTIFS(T_SelfStock_Log[Part Name],$A36,T_SelfStock_Log[WeekIndex],36)=0,"",SUMIFS(T_SelfStock_Log[Self_Qty],T_SelfStock_Log[Part Name],$A36,T_SelfStock_Log[WeekIndex],36))</f>
        <v/>
      </c>
      <c r="AL36" s="17">
        <f>IF(COUNTIFS(T_SelfStock_Log[Part Name],$A36,T_SelfStock_Log[WeekIndex],37)=0,"",SUMIFS(T_SelfStock_Log[Self_Qty],T_SelfStock_Log[Part Name],$A36,T_SelfStock_Log[WeekIndex],37))</f>
        <v/>
      </c>
      <c r="AM36" s="17">
        <f>IF(COUNTIFS(T_SelfStock_Log[Part Name],$A36,T_SelfStock_Log[WeekIndex],38)=0,"",SUMIFS(T_SelfStock_Log[Self_Qty],T_SelfStock_Log[Part Name],$A36,T_SelfStock_Log[WeekIndex],38))</f>
        <v/>
      </c>
      <c r="AN36" s="17">
        <f>IF(COUNTIFS(T_SelfStock_Log[Part Name],$A36,T_SelfStock_Log[WeekIndex],39)=0,"",SUMIFS(T_SelfStock_Log[Self_Qty],T_SelfStock_Log[Part Name],$A36,T_SelfStock_Log[WeekIndex],39))</f>
        <v/>
      </c>
      <c r="AO36" s="17">
        <f>IF(COUNTIFS(T_SelfStock_Log[Part Name],$A36,T_SelfStock_Log[WeekIndex],40)=0,"",SUMIFS(T_SelfStock_Log[Self_Qty],T_SelfStock_Log[Part Name],$A36,T_SelfStock_Log[WeekIndex],40))</f>
        <v/>
      </c>
      <c r="AP36" s="17">
        <f>IF(COUNTIFS(T_SelfStock_Log[Part Name],$A36,T_SelfStock_Log[WeekIndex],41)=0,"",SUMIFS(T_SelfStock_Log[Self_Qty],T_SelfStock_Log[Part Name],$A36,T_SelfStock_Log[WeekIndex],41))</f>
        <v/>
      </c>
      <c r="AQ36" s="17">
        <f>IF(COUNTIFS(T_SelfStock_Log[Part Name],$A36,T_SelfStock_Log[WeekIndex],42)=0,"",SUMIFS(T_SelfStock_Log[Self_Qty],T_SelfStock_Log[Part Name],$A36,T_SelfStock_Log[WeekIndex],42))</f>
        <v/>
      </c>
      <c r="AR36" s="17">
        <f>IF(COUNTIFS(T_SelfStock_Log[Part Name],$A36,T_SelfStock_Log[WeekIndex],43)=0,"",SUMIFS(T_SelfStock_Log[Self_Qty],T_SelfStock_Log[Part Name],$A36,T_SelfStock_Log[WeekIndex],43))</f>
        <v/>
      </c>
      <c r="AS36" s="17">
        <f>IF(COUNTIFS(T_SelfStock_Log[Part Name],$A36,T_SelfStock_Log[WeekIndex],44)=0,"",SUMIFS(T_SelfStock_Log[Self_Qty],T_SelfStock_Log[Part Name],$A36,T_SelfStock_Log[WeekIndex],44))</f>
        <v/>
      </c>
      <c r="AT36" s="17">
        <f>IF(COUNTIFS(T_SelfStock_Log[Part Name],$A36,T_SelfStock_Log[WeekIndex],45)=0,"",SUMIFS(T_SelfStock_Log[Self_Qty],T_SelfStock_Log[Part Name],$A36,T_SelfStock_Log[WeekIndex],45))</f>
        <v/>
      </c>
      <c r="AU36" s="17">
        <f>IF(COUNTIFS(T_SelfStock_Log[Part Name],$A36,T_SelfStock_Log[WeekIndex],46)=0,"",SUMIFS(T_SelfStock_Log[Self_Qty],T_SelfStock_Log[Part Name],$A36,T_SelfStock_Log[WeekIndex],46))</f>
        <v/>
      </c>
      <c r="AV36" s="17">
        <f>IF(COUNTIFS(T_SelfStock_Log[Part Name],$A36,T_SelfStock_Log[WeekIndex],47)=0,"",SUMIFS(T_SelfStock_Log[Self_Qty],T_SelfStock_Log[Part Name],$A36,T_SelfStock_Log[WeekIndex],47))</f>
        <v/>
      </c>
      <c r="AW36" s="17">
        <f>IF(COUNTIFS(T_SelfStock_Log[Part Name],$A36,T_SelfStock_Log[WeekIndex],48)=0,"",SUMIFS(T_SelfStock_Log[Self_Qty],T_SelfStock_Log[Part Name],$A36,T_SelfStock_Log[WeekIndex],48))</f>
        <v/>
      </c>
      <c r="AX36" s="17">
        <f>IF(COUNTIFS(T_SelfStock_Log[Part Name],$A36,T_SelfStock_Log[WeekIndex],49)=0,"",SUMIFS(T_SelfStock_Log[Self_Qty],T_SelfStock_Log[Part Name],$A36,T_SelfStock_Log[WeekIndex],49))</f>
        <v/>
      </c>
      <c r="AY36" s="17">
        <f>IF(COUNTIFS(T_SelfStock_Log[Part Name],$A36,T_SelfStock_Log[WeekIndex],50)=0,"",SUMIFS(T_SelfStock_Log[Self_Qty],T_SelfStock_Log[Part Name],$A36,T_SelfStock_Log[WeekIndex],50))</f>
        <v/>
      </c>
      <c r="AZ36" s="17">
        <f>IF(COUNTIFS(T_SelfStock_Log[Part Name],$A36,T_SelfStock_Log[WeekIndex],51)=0,"",SUMIFS(T_SelfStock_Log[Self_Qty],T_SelfStock_Log[Part Name],$A36,T_SelfStock_Log[WeekIndex],51))</f>
        <v/>
      </c>
      <c r="BA36" s="17">
        <f>IF(COUNTIFS(T_SelfStock_Log[Part Name],$A36,T_SelfStock_Log[WeekIndex],52)=0,"",SUMIFS(T_SelfStock_Log[Self_Qty],T_SelfStock_Log[Part Name],$A36,T_SelfStock_Log[WeekIndex],52))</f>
        <v/>
      </c>
      <c r="BB36" s="17">
        <f>IF(COUNTIFS(T_SelfStock_Log[Part Name],$A36,T_SelfStock_Log[WeekIndex],53)=0,"",SUMIFS(T_SelfStock_Log[Self_Qty],T_SelfStock_Log[Part Name],$A36,T_SelfStock_Log[WeekIndex],53))</f>
        <v/>
      </c>
      <c r="BC36" s="17">
        <f>IF(COUNTIFS(T_SelfStock_Log[Part Name],$A36,T_SelfStock_Log[WeekIndex],54)=0,"",SUMIFS(T_SelfStock_Log[Self_Qty],T_SelfStock_Log[Part Name],$A36,T_SelfStock_Log[WeekIndex],54))</f>
        <v/>
      </c>
      <c r="BD36" s="17">
        <f>IF(COUNTIFS(T_SelfStock_Log[Part Name],$A36,T_SelfStock_Log[WeekIndex],55)=0,"",SUMIFS(T_SelfStock_Log[Self_Qty],T_SelfStock_Log[Part Name],$A36,T_SelfStock_Log[WeekIndex],55))</f>
        <v/>
      </c>
      <c r="BE36" s="17">
        <f>IF(COUNTIFS(T_SelfStock_Log[Part Name],$A36,T_SelfStock_Log[WeekIndex],56)=0,"",SUMIFS(T_SelfStock_Log[Self_Qty],T_SelfStock_Log[Part Name],$A36,T_SelfStock_Log[WeekIndex],56))</f>
        <v/>
      </c>
      <c r="BF36" s="17">
        <f>IF(COUNTIFS(T_SelfStock_Log[Part Name],$A36,T_SelfStock_Log[WeekIndex],57)=0,"",SUMIFS(T_SelfStock_Log[Self_Qty],T_SelfStock_Log[Part Name],$A36,T_SelfStock_Log[WeekIndex],57))</f>
        <v/>
      </c>
      <c r="BG36" s="17">
        <f>IF(COUNTIFS(T_SelfStock_Log[Part Name],$A36,T_SelfStock_Log[WeekIndex],58)=0,"",SUMIFS(T_SelfStock_Log[Self_Qty],T_SelfStock_Log[Part Name],$A36,T_SelfStock_Log[WeekIndex],58))</f>
        <v/>
      </c>
      <c r="BH36" s="17">
        <f>IF(COUNTIFS(T_SelfStock_Log[Part Name],$A36,T_SelfStock_Log[WeekIndex],59)=0,"",SUMIFS(T_SelfStock_Log[Self_Qty],T_SelfStock_Log[Part Name],$A36,T_SelfStock_Log[WeekIndex],59))</f>
        <v/>
      </c>
      <c r="BI36" s="17">
        <f>IF(COUNTIFS(T_SelfStock_Log[Part Name],$A36,T_SelfStock_Log[WeekIndex],60)=0,"",SUMIFS(T_SelfStock_Log[Self_Qty],T_SelfStock_Log[Part Name],$A36,T_SelfStock_Log[WeekIndex],60))</f>
        <v/>
      </c>
      <c r="BJ36" s="17">
        <f>IF(COUNTIFS(T_SelfStock_Log[Part Name],$A36,T_SelfStock_Log[WeekIndex],61)=0,"",SUMIFS(T_SelfStock_Log[Self_Qty],T_SelfStock_Log[Part Name],$A36,T_SelfStock_Log[WeekIndex],61))</f>
        <v/>
      </c>
      <c r="BK36" s="17">
        <f>IF(COUNTIFS(T_SelfStock_Log[Part Name],$A36,T_SelfStock_Log[WeekIndex],62)=0,"",SUMIFS(T_SelfStock_Log[Self_Qty],T_SelfStock_Log[Part Name],$A36,T_SelfStock_Log[WeekIndex],62))</f>
        <v/>
      </c>
      <c r="BL36" s="17">
        <f>IF(COUNTIFS(T_SelfStock_Log[Part Name],$A36,T_SelfStock_Log[WeekIndex],63)=0,"",SUMIFS(T_SelfStock_Log[Self_Qty],T_SelfStock_Log[Part Name],$A36,T_SelfStock_Log[WeekIndex],63))</f>
        <v/>
      </c>
      <c r="BM36" s="17">
        <f>IF(COUNTIFS(T_SelfStock_Log[Part Name],$A36,T_SelfStock_Log[WeekIndex],64)=0,"",SUMIFS(T_SelfStock_Log[Self_Qty],T_SelfStock_Log[Part Name],$A36,T_SelfStock_Log[WeekIndex],64))</f>
        <v/>
      </c>
      <c r="BN36" s="17">
        <f>IF(COUNTIFS(T_SelfStock_Log[Part Name],$A36,T_SelfStock_Log[WeekIndex],65)=0,"",SUMIFS(T_SelfStock_Log[Self_Qty],T_SelfStock_Log[Part Name],$A36,T_SelfStock_Log[WeekIndex],65))</f>
        <v/>
      </c>
      <c r="BO36" s="17">
        <f>IF(COUNTIFS(T_SelfStock_Log[Part Name],$A36,T_SelfStock_Log[WeekIndex],66)=0,"",SUMIFS(T_SelfStock_Log[Self_Qty],T_SelfStock_Log[Part Name],$A36,T_SelfStock_Log[WeekIndex],66))</f>
        <v/>
      </c>
      <c r="BP36" s="17">
        <f>IF(COUNTIFS(T_SelfStock_Log[Part Name],$A36,T_SelfStock_Log[WeekIndex],67)=0,"",SUMIFS(T_SelfStock_Log[Self_Qty],T_SelfStock_Log[Part Name],$A36,T_SelfStock_Log[WeekIndex],67))</f>
        <v/>
      </c>
      <c r="BQ36" s="17">
        <f>IF(COUNTIFS(T_SelfStock_Log[Part Name],$A36,T_SelfStock_Log[WeekIndex],68)=0,"",SUMIFS(T_SelfStock_Log[Self_Qty],T_SelfStock_Log[Part Name],$A36,T_SelfStock_Log[WeekIndex],68))</f>
        <v/>
      </c>
      <c r="BR36" s="17">
        <f>IF(COUNTIFS(T_SelfStock_Log[Part Name],$A36,T_SelfStock_Log[WeekIndex],69)=0,"",SUMIFS(T_SelfStock_Log[Self_Qty],T_SelfStock_Log[Part Name],$A36,T_SelfStock_Log[WeekIndex],69))</f>
        <v/>
      </c>
      <c r="BS36" s="17">
        <f>IF(COUNTIFS(T_SelfStock_Log[Part Name],$A36,T_SelfStock_Log[WeekIndex],70)=0,"",SUMIFS(T_SelfStock_Log[Self_Qty],T_SelfStock_Log[Part Name],$A36,T_SelfStock_Log[WeekIndex],70))</f>
        <v/>
      </c>
      <c r="BT36" s="17">
        <f>IF(COUNTIFS(T_SelfStock_Log[Part Name],$A36,T_SelfStock_Log[WeekIndex],71)=0,"",SUMIFS(T_SelfStock_Log[Self_Qty],T_SelfStock_Log[Part Name],$A36,T_SelfStock_Log[WeekIndex],71))</f>
        <v/>
      </c>
      <c r="BU36" s="17">
        <f>IF(COUNTIFS(T_SelfStock_Log[Part Name],$A36,T_SelfStock_Log[WeekIndex],72)=0,"",SUMIFS(T_SelfStock_Log[Self_Qty],T_SelfStock_Log[Part Name],$A36,T_SelfStock_Log[WeekIndex],72))</f>
        <v/>
      </c>
      <c r="BV36" s="17">
        <f>IF(COUNTIFS(T_SelfStock_Log[Part Name],$A36,T_SelfStock_Log[WeekIndex],73)=0,"",SUMIFS(T_SelfStock_Log[Self_Qty],T_SelfStock_Log[Part Name],$A36,T_SelfStock_Log[WeekIndex],73))</f>
        <v/>
      </c>
      <c r="BW36" s="17">
        <f>IF(COUNTIFS(T_SelfStock_Log[Part Name],$A36,T_SelfStock_Log[WeekIndex],74)=0,"",SUMIFS(T_SelfStock_Log[Self_Qty],T_SelfStock_Log[Part Name],$A36,T_SelfStock_Log[WeekIndex],74))</f>
        <v/>
      </c>
      <c r="BX36" s="17">
        <f>IF(COUNTIFS(T_SelfStock_Log[Part Name],$A36,T_SelfStock_Log[WeekIndex],75)=0,"",SUMIFS(T_SelfStock_Log[Self_Qty],T_SelfStock_Log[Part Name],$A36,T_SelfStock_Log[WeekIndex],75))</f>
        <v/>
      </c>
      <c r="BY36" s="17">
        <f>IF(COUNTIFS(T_SelfStock_Log[Part Name],$A36,T_SelfStock_Log[WeekIndex],76)=0,"",SUMIFS(T_SelfStock_Log[Self_Qty],T_SelfStock_Log[Part Name],$A36,T_SelfStock_Log[WeekIndex],76))</f>
        <v/>
      </c>
      <c r="BZ36" s="17">
        <f>IF(COUNTIFS(T_SelfStock_Log[Part Name],$A36,T_SelfStock_Log[WeekIndex],77)=0,"",SUMIFS(T_SelfStock_Log[Self_Qty],T_SelfStock_Log[Part Name],$A36,T_SelfStock_Log[WeekIndex],77))</f>
        <v/>
      </c>
      <c r="CA36" s="17">
        <f>IF(COUNTIFS(T_SelfStock_Log[Part Name],$A36,T_SelfStock_Log[WeekIndex],78)=0,"",SUMIFS(T_SelfStock_Log[Self_Qty],T_SelfStock_Log[Part Name],$A36,T_SelfStock_Log[WeekIndex],78))</f>
        <v/>
      </c>
      <c r="CB36" s="17">
        <f>IF(COUNTIFS(T_SelfStock_Log[Part Name],$A36,T_SelfStock_Log[WeekIndex],79)=0,"",SUMIFS(T_SelfStock_Log[Self_Qty],T_SelfStock_Log[Part Name],$A36,T_SelfStock_Log[WeekIndex],79))</f>
        <v/>
      </c>
      <c r="CC36" s="17">
        <f>IF(COUNTIFS(T_SelfStock_Log[Part Name],$A36,T_SelfStock_Log[WeekIndex],80)=0,"",SUMIFS(T_SelfStock_Log[Self_Qty],T_SelfStock_Log[Part Name],$A36,T_SelfStock_Log[WeekIndex],80))</f>
        <v/>
      </c>
      <c r="CD36" s="17">
        <f>IF(COUNTIFS(T_SelfStock_Log[Part Name],$A36,T_SelfStock_Log[WeekIndex],81)=0,"",SUMIFS(T_SelfStock_Log[Self_Qty],T_SelfStock_Log[Part Name],$A36,T_SelfStock_Log[WeekIndex],81))</f>
        <v/>
      </c>
      <c r="CE36" s="17">
        <f>IF(COUNTIFS(T_SelfStock_Log[Part Name],$A36,T_SelfStock_Log[WeekIndex],82)=0,"",SUMIFS(T_SelfStock_Log[Self_Qty],T_SelfStock_Log[Part Name],$A36,T_SelfStock_Log[WeekIndex],82))</f>
        <v/>
      </c>
      <c r="CF36" s="17">
        <f>IF(COUNTIFS(T_SelfStock_Log[Part Name],$A36,T_SelfStock_Log[WeekIndex],83)=0,"",SUMIFS(T_SelfStock_Log[Self_Qty],T_SelfStock_Log[Part Name],$A36,T_SelfStock_Log[WeekIndex],83))</f>
        <v/>
      </c>
      <c r="CG36" s="17">
        <f>IF(COUNTIFS(T_SelfStock_Log[Part Name],$A36,T_SelfStock_Log[WeekIndex],84)=0,"",SUMIFS(T_SelfStock_Log[Self_Qty],T_SelfStock_Log[Part Name],$A36,T_SelfStock_Log[WeekIndex],84))</f>
        <v/>
      </c>
      <c r="CH36" s="17">
        <f>IF(COUNTIFS(T_SelfStock_Log[Part Name],$A36,T_SelfStock_Log[WeekIndex],85)=0,"",SUMIFS(T_SelfStock_Log[Self_Qty],T_SelfStock_Log[Part Name],$A36,T_SelfStock_Log[WeekIndex],85))</f>
        <v/>
      </c>
      <c r="CI36" s="17">
        <f>IF(COUNTIFS(T_SelfStock_Log[Part Name],$A36,T_SelfStock_Log[WeekIndex],86)=0,"",SUMIFS(T_SelfStock_Log[Self_Qty],T_SelfStock_Log[Part Name],$A36,T_SelfStock_Log[WeekIndex],86))</f>
        <v/>
      </c>
      <c r="CJ36" s="17">
        <f>IF(COUNTIFS(T_SelfStock_Log[Part Name],$A36,T_SelfStock_Log[WeekIndex],87)=0,"",SUMIFS(T_SelfStock_Log[Self_Qty],T_SelfStock_Log[Part Name],$A36,T_SelfStock_Log[WeekIndex],87))</f>
        <v/>
      </c>
      <c r="CK36" s="17">
        <f>IF(COUNTIFS(T_SelfStock_Log[Part Name],$A36,T_SelfStock_Log[WeekIndex],88)=0,"",SUMIFS(T_SelfStock_Log[Self_Qty],T_SelfStock_Log[Part Name],$A36,T_SelfStock_Log[WeekIndex],88))</f>
        <v/>
      </c>
      <c r="CL36" s="17">
        <f>IF(COUNTIFS(T_SelfStock_Log[Part Name],$A36,T_SelfStock_Log[WeekIndex],89)=0,"",SUMIFS(T_SelfStock_Log[Self_Qty],T_SelfStock_Log[Part Name],$A36,T_SelfStock_Log[WeekIndex],89))</f>
        <v/>
      </c>
      <c r="CM36" s="17">
        <f>IF(COUNTIFS(T_SelfStock_Log[Part Name],$A36,T_SelfStock_Log[WeekIndex],90)=0,"",SUMIFS(T_SelfStock_Log[Self_Qty],T_SelfStock_Log[Part Name],$A36,T_SelfStock_Log[WeekIndex],90))</f>
        <v/>
      </c>
      <c r="CN36" s="17">
        <f>IF(COUNTIFS(T_SelfStock_Log[Part Name],$A36,T_SelfStock_Log[WeekIndex],91)=0,"",SUMIFS(T_SelfStock_Log[Self_Qty],T_SelfStock_Log[Part Name],$A36,T_SelfStock_Log[WeekIndex],91))</f>
        <v/>
      </c>
      <c r="CO36" s="17">
        <f>IF(COUNTIFS(T_SelfStock_Log[Part Name],$A36,T_SelfStock_Log[WeekIndex],92)=0,"",SUMIFS(T_SelfStock_Log[Self_Qty],T_SelfStock_Log[Part Name],$A36,T_SelfStock_Log[WeekIndex],92))</f>
        <v/>
      </c>
      <c r="CP36" s="17">
        <f>IF(COUNTIFS(T_SelfStock_Log[Part Name],$A36,T_SelfStock_Log[WeekIndex],93)=0,"",SUMIFS(T_SelfStock_Log[Self_Qty],T_SelfStock_Log[Part Name],$A36,T_SelfStock_Log[WeekIndex],93))</f>
        <v/>
      </c>
      <c r="CQ36" s="17">
        <f>IF(COUNTIFS(T_SelfStock_Log[Part Name],$A36,T_SelfStock_Log[WeekIndex],94)=0,"",SUMIFS(T_SelfStock_Log[Self_Qty],T_SelfStock_Log[Part Name],$A36,T_SelfStock_Log[WeekIndex],94))</f>
        <v/>
      </c>
      <c r="CR36" s="17">
        <f>IF(COUNTIFS(T_SelfStock_Log[Part Name],$A36,T_SelfStock_Log[WeekIndex],95)=0,"",SUMIFS(T_SelfStock_Log[Self_Qty],T_SelfStock_Log[Part Name],$A36,T_SelfStock_Log[WeekIndex],95))</f>
        <v/>
      </c>
      <c r="CS36" s="17">
        <f>IF(COUNTIFS(T_SelfStock_Log[Part Name],$A36,T_SelfStock_Log[WeekIndex],96)=0,"",SUMIFS(T_SelfStock_Log[Self_Qty],T_SelfStock_Log[Part Name],$A36,T_SelfStock_Log[WeekIndex],96))</f>
        <v/>
      </c>
      <c r="CT36" s="17">
        <f>IF(COUNTIFS(T_SelfStock_Log[Part Name],$A36,T_SelfStock_Log[WeekIndex],97)=0,"",SUMIFS(T_SelfStock_Log[Self_Qty],T_SelfStock_Log[Part Name],$A36,T_SelfStock_Log[WeekIndex],97))</f>
        <v/>
      </c>
      <c r="CU36" s="17">
        <f>IF(COUNTIFS(T_SelfStock_Log[Part Name],$A36,T_SelfStock_Log[WeekIndex],98)=0,"",SUMIFS(T_SelfStock_Log[Self_Qty],T_SelfStock_Log[Part Name],$A36,T_SelfStock_Log[WeekIndex],98))</f>
        <v/>
      </c>
      <c r="CV36" s="17">
        <f>IF(COUNTIFS(T_SelfStock_Log[Part Name],$A36,T_SelfStock_Log[WeekIndex],99)=0,"",SUMIFS(T_SelfStock_Log[Self_Qty],T_SelfStock_Log[Part Name],$A36,T_SelfStock_Log[WeekIndex],99))</f>
        <v/>
      </c>
      <c r="CW36" s="17">
        <f>IF(COUNTIFS(T_SelfStock_Log[Part Name],$A36,T_SelfStock_Log[WeekIndex],100)=0,"",SUMIFS(T_SelfStock_Log[Self_Qty],T_SelfStock_Log[Part Name],$A36,T_SelfStock_Log[WeekIndex],100))</f>
        <v/>
      </c>
      <c r="CX36" s="17">
        <f>IF(COUNTIFS(T_SelfStock_Log[Part Name],$A36,T_SelfStock_Log[WeekIndex],101)=0,"",SUMIFS(T_SelfStock_Log[Self_Qty],T_SelfStock_Log[Part Name],$A36,T_SelfStock_Log[WeekIndex],101))</f>
        <v/>
      </c>
      <c r="CY36" s="17">
        <f>IF(COUNTIFS(T_SelfStock_Log[Part Name],$A36,T_SelfStock_Log[WeekIndex],102)=0,"",SUMIFS(T_SelfStock_Log[Self_Qty],T_SelfStock_Log[Part Name],$A36,T_SelfStock_Log[WeekIndex],102))</f>
        <v/>
      </c>
      <c r="CZ36" s="17">
        <f>IF(COUNTIFS(T_SelfStock_Log[Part Name],$A36,T_SelfStock_Log[WeekIndex],103)=0,"",SUMIFS(T_SelfStock_Log[Self_Qty],T_SelfStock_Log[Part Name],$A36,T_SelfStock_Log[WeekIndex],103))</f>
        <v/>
      </c>
      <c r="DA36" s="17">
        <f>IF(COUNTIFS(T_SelfStock_Log[Part Name],$A36,T_SelfStock_Log[WeekIndex],104)=0,"",SUMIFS(T_SelfStock_Log[Self_Qty],T_SelfStock_Log[Part Name],$A36,T_SelfStock_Log[WeekIndex],104))</f>
        <v/>
      </c>
    </row>
    <row r="37">
      <c r="A37" s="19" t="inlineStr">
        <is>
          <t>CHEM-1400</t>
        </is>
      </c>
      <c r="B37" s="19">
        <f>IF(COUNTIFS(T_SelfStock_Log[Part Name],$A37,T_SelfStock_Log[WeekIndex],1)=0,"",SUMIFS(T_SelfStock_Log[Self_Qty],T_SelfStock_Log[Part Name],$A37,T_SelfStock_Log[WeekIndex],1))</f>
        <v/>
      </c>
      <c r="C37" s="19">
        <f>IF(COUNTIFS(T_SelfStock_Log[Part Name],$A37,T_SelfStock_Log[WeekIndex],2)=0,"",SUMIFS(T_SelfStock_Log[Self_Qty],T_SelfStock_Log[Part Name],$A37,T_SelfStock_Log[WeekIndex],2))</f>
        <v/>
      </c>
      <c r="D37" s="19">
        <f>IF(COUNTIFS(T_SelfStock_Log[Part Name],$A37,T_SelfStock_Log[WeekIndex],3)=0,"",SUMIFS(T_SelfStock_Log[Self_Qty],T_SelfStock_Log[Part Name],$A37,T_SelfStock_Log[WeekIndex],3))</f>
        <v/>
      </c>
      <c r="E37" s="19">
        <f>IF(COUNTIFS(T_SelfStock_Log[Part Name],$A37,T_SelfStock_Log[WeekIndex],4)=0,"",SUMIFS(T_SelfStock_Log[Self_Qty],T_SelfStock_Log[Part Name],$A37,T_SelfStock_Log[WeekIndex],4))</f>
        <v/>
      </c>
      <c r="F37" s="19">
        <f>IF(COUNTIFS(T_SelfStock_Log[Part Name],$A37,T_SelfStock_Log[WeekIndex],5)=0,"",SUMIFS(T_SelfStock_Log[Self_Qty],T_SelfStock_Log[Part Name],$A37,T_SelfStock_Log[WeekIndex],5))</f>
        <v/>
      </c>
      <c r="G37" s="19">
        <f>IF(COUNTIFS(T_SelfStock_Log[Part Name],$A37,T_SelfStock_Log[WeekIndex],6)=0,"",SUMIFS(T_SelfStock_Log[Self_Qty],T_SelfStock_Log[Part Name],$A37,T_SelfStock_Log[WeekIndex],6))</f>
        <v/>
      </c>
      <c r="H37" s="19">
        <f>IF(COUNTIFS(T_SelfStock_Log[Part Name],$A37,T_SelfStock_Log[WeekIndex],7)=0,"",SUMIFS(T_SelfStock_Log[Self_Qty],T_SelfStock_Log[Part Name],$A37,T_SelfStock_Log[WeekIndex],7))</f>
        <v/>
      </c>
      <c r="I37" s="19">
        <f>IF(COUNTIFS(T_SelfStock_Log[Part Name],$A37,T_SelfStock_Log[WeekIndex],8)=0,"",SUMIFS(T_SelfStock_Log[Self_Qty],T_SelfStock_Log[Part Name],$A37,T_SelfStock_Log[WeekIndex],8))</f>
        <v/>
      </c>
      <c r="J37" s="19">
        <f>IF(COUNTIFS(T_SelfStock_Log[Part Name],$A37,T_SelfStock_Log[WeekIndex],9)=0,"",SUMIFS(T_SelfStock_Log[Self_Qty],T_SelfStock_Log[Part Name],$A37,T_SelfStock_Log[WeekIndex],9))</f>
        <v/>
      </c>
      <c r="K37" s="19">
        <f>IF(COUNTIFS(T_SelfStock_Log[Part Name],$A37,T_SelfStock_Log[WeekIndex],10)=0,"",SUMIFS(T_SelfStock_Log[Self_Qty],T_SelfStock_Log[Part Name],$A37,T_SelfStock_Log[WeekIndex],10))</f>
        <v/>
      </c>
      <c r="L37" s="19">
        <f>IF(COUNTIFS(T_SelfStock_Log[Part Name],$A37,T_SelfStock_Log[WeekIndex],11)=0,"",SUMIFS(T_SelfStock_Log[Self_Qty],T_SelfStock_Log[Part Name],$A37,T_SelfStock_Log[WeekIndex],11))</f>
        <v/>
      </c>
      <c r="M37" s="19">
        <f>IF(COUNTIFS(T_SelfStock_Log[Part Name],$A37,T_SelfStock_Log[WeekIndex],12)=0,"",SUMIFS(T_SelfStock_Log[Self_Qty],T_SelfStock_Log[Part Name],$A37,T_SelfStock_Log[WeekIndex],12))</f>
        <v/>
      </c>
      <c r="N37" s="19">
        <f>IF(COUNTIFS(T_SelfStock_Log[Part Name],$A37,T_SelfStock_Log[WeekIndex],13)=0,"",SUMIFS(T_SelfStock_Log[Self_Qty],T_SelfStock_Log[Part Name],$A37,T_SelfStock_Log[WeekIndex],13))</f>
        <v/>
      </c>
      <c r="O37" s="19">
        <f>IF(COUNTIFS(T_SelfStock_Log[Part Name],$A37,T_SelfStock_Log[WeekIndex],14)=0,"",SUMIFS(T_SelfStock_Log[Self_Qty],T_SelfStock_Log[Part Name],$A37,T_SelfStock_Log[WeekIndex],14))</f>
        <v/>
      </c>
      <c r="P37" s="19">
        <f>IF(COUNTIFS(T_SelfStock_Log[Part Name],$A37,T_SelfStock_Log[WeekIndex],15)=0,"",SUMIFS(T_SelfStock_Log[Self_Qty],T_SelfStock_Log[Part Name],$A37,T_SelfStock_Log[WeekIndex],15))</f>
        <v/>
      </c>
      <c r="Q37" s="19">
        <f>IF(COUNTIFS(T_SelfStock_Log[Part Name],$A37,T_SelfStock_Log[WeekIndex],16)=0,"",SUMIFS(T_SelfStock_Log[Self_Qty],T_SelfStock_Log[Part Name],$A37,T_SelfStock_Log[WeekIndex],16))</f>
        <v/>
      </c>
      <c r="R37" s="19">
        <f>IF(COUNTIFS(T_SelfStock_Log[Part Name],$A37,T_SelfStock_Log[WeekIndex],17)=0,"",SUMIFS(T_SelfStock_Log[Self_Qty],T_SelfStock_Log[Part Name],$A37,T_SelfStock_Log[WeekIndex],17))</f>
        <v/>
      </c>
      <c r="S37" s="19">
        <f>IF(COUNTIFS(T_SelfStock_Log[Part Name],$A37,T_SelfStock_Log[WeekIndex],18)=0,"",SUMIFS(T_SelfStock_Log[Self_Qty],T_SelfStock_Log[Part Name],$A37,T_SelfStock_Log[WeekIndex],18))</f>
        <v/>
      </c>
      <c r="T37" s="19">
        <f>IF(COUNTIFS(T_SelfStock_Log[Part Name],$A37,T_SelfStock_Log[WeekIndex],19)=0,"",SUMIFS(T_SelfStock_Log[Self_Qty],T_SelfStock_Log[Part Name],$A37,T_SelfStock_Log[WeekIndex],19))</f>
        <v/>
      </c>
      <c r="U37" s="19">
        <f>IF(COUNTIFS(T_SelfStock_Log[Part Name],$A37,T_SelfStock_Log[WeekIndex],20)=0,"",SUMIFS(T_SelfStock_Log[Self_Qty],T_SelfStock_Log[Part Name],$A37,T_SelfStock_Log[WeekIndex],20))</f>
        <v/>
      </c>
      <c r="V37" s="19">
        <f>IF(COUNTIFS(T_SelfStock_Log[Part Name],$A37,T_SelfStock_Log[WeekIndex],21)=0,"",SUMIFS(T_SelfStock_Log[Self_Qty],T_SelfStock_Log[Part Name],$A37,T_SelfStock_Log[WeekIndex],21))</f>
        <v/>
      </c>
      <c r="W37" s="19">
        <f>IF(COUNTIFS(T_SelfStock_Log[Part Name],$A37,T_SelfStock_Log[WeekIndex],22)=0,"",SUMIFS(T_SelfStock_Log[Self_Qty],T_SelfStock_Log[Part Name],$A37,T_SelfStock_Log[WeekIndex],22))</f>
        <v/>
      </c>
      <c r="X37" s="19">
        <f>IF(COUNTIFS(T_SelfStock_Log[Part Name],$A37,T_SelfStock_Log[WeekIndex],23)=0,"",SUMIFS(T_SelfStock_Log[Self_Qty],T_SelfStock_Log[Part Name],$A37,T_SelfStock_Log[WeekIndex],23))</f>
        <v/>
      </c>
      <c r="Y37" s="19">
        <f>IF(COUNTIFS(T_SelfStock_Log[Part Name],$A37,T_SelfStock_Log[WeekIndex],24)=0,"",SUMIFS(T_SelfStock_Log[Self_Qty],T_SelfStock_Log[Part Name],$A37,T_SelfStock_Log[WeekIndex],24))</f>
        <v/>
      </c>
      <c r="Z37" s="19">
        <f>IF(COUNTIFS(T_SelfStock_Log[Part Name],$A37,T_SelfStock_Log[WeekIndex],25)=0,"",SUMIFS(T_SelfStock_Log[Self_Qty],T_SelfStock_Log[Part Name],$A37,T_SelfStock_Log[WeekIndex],25))</f>
        <v/>
      </c>
      <c r="AA37" s="19">
        <f>IF(COUNTIFS(T_SelfStock_Log[Part Name],$A37,T_SelfStock_Log[WeekIndex],26)=0,"",SUMIFS(T_SelfStock_Log[Self_Qty],T_SelfStock_Log[Part Name],$A37,T_SelfStock_Log[WeekIndex],26))</f>
        <v/>
      </c>
      <c r="AB37" s="19">
        <f>IF(COUNTIFS(T_SelfStock_Log[Part Name],$A37,T_SelfStock_Log[WeekIndex],27)=0,"",SUMIFS(T_SelfStock_Log[Self_Qty],T_SelfStock_Log[Part Name],$A37,T_SelfStock_Log[WeekIndex],27))</f>
        <v/>
      </c>
      <c r="AC37" s="19">
        <f>IF(COUNTIFS(T_SelfStock_Log[Part Name],$A37,T_SelfStock_Log[WeekIndex],28)=0,"",SUMIFS(T_SelfStock_Log[Self_Qty],T_SelfStock_Log[Part Name],$A37,T_SelfStock_Log[WeekIndex],28))</f>
        <v/>
      </c>
      <c r="AD37" s="19">
        <f>IF(COUNTIFS(T_SelfStock_Log[Part Name],$A37,T_SelfStock_Log[WeekIndex],29)=0,"",SUMIFS(T_SelfStock_Log[Self_Qty],T_SelfStock_Log[Part Name],$A37,T_SelfStock_Log[WeekIndex],29))</f>
        <v/>
      </c>
      <c r="AE37" s="19">
        <f>IF(COUNTIFS(T_SelfStock_Log[Part Name],$A37,T_SelfStock_Log[WeekIndex],30)=0,"",SUMIFS(T_SelfStock_Log[Self_Qty],T_SelfStock_Log[Part Name],$A37,T_SelfStock_Log[WeekIndex],30))</f>
        <v/>
      </c>
      <c r="AF37" s="19">
        <f>IF(COUNTIFS(T_SelfStock_Log[Part Name],$A37,T_SelfStock_Log[WeekIndex],31)=0,"",SUMIFS(T_SelfStock_Log[Self_Qty],T_SelfStock_Log[Part Name],$A37,T_SelfStock_Log[WeekIndex],31))</f>
        <v/>
      </c>
      <c r="AG37" s="19">
        <f>IF(COUNTIFS(T_SelfStock_Log[Part Name],$A37,T_SelfStock_Log[WeekIndex],32)=0,"",SUMIFS(T_SelfStock_Log[Self_Qty],T_SelfStock_Log[Part Name],$A37,T_SelfStock_Log[WeekIndex],32))</f>
        <v/>
      </c>
      <c r="AH37" s="19">
        <f>IF(COUNTIFS(T_SelfStock_Log[Part Name],$A37,T_SelfStock_Log[WeekIndex],33)=0,"",SUMIFS(T_SelfStock_Log[Self_Qty],T_SelfStock_Log[Part Name],$A37,T_SelfStock_Log[WeekIndex],33))</f>
        <v/>
      </c>
      <c r="AI37" s="19">
        <f>IF(COUNTIFS(T_SelfStock_Log[Part Name],$A37,T_SelfStock_Log[WeekIndex],34)=0,"",SUMIFS(T_SelfStock_Log[Self_Qty],T_SelfStock_Log[Part Name],$A37,T_SelfStock_Log[WeekIndex],34))</f>
        <v/>
      </c>
      <c r="AJ37" s="19">
        <f>IF(COUNTIFS(T_SelfStock_Log[Part Name],$A37,T_SelfStock_Log[WeekIndex],35)=0,"",SUMIFS(T_SelfStock_Log[Self_Qty],T_SelfStock_Log[Part Name],$A37,T_SelfStock_Log[WeekIndex],35))</f>
        <v/>
      </c>
      <c r="AK37" s="19">
        <f>IF(COUNTIFS(T_SelfStock_Log[Part Name],$A37,T_SelfStock_Log[WeekIndex],36)=0,"",SUMIFS(T_SelfStock_Log[Self_Qty],T_SelfStock_Log[Part Name],$A37,T_SelfStock_Log[WeekIndex],36))</f>
        <v/>
      </c>
      <c r="AL37" s="19">
        <f>IF(COUNTIFS(T_SelfStock_Log[Part Name],$A37,T_SelfStock_Log[WeekIndex],37)=0,"",SUMIFS(T_SelfStock_Log[Self_Qty],T_SelfStock_Log[Part Name],$A37,T_SelfStock_Log[WeekIndex],37))</f>
        <v/>
      </c>
      <c r="AM37" s="19">
        <f>IF(COUNTIFS(T_SelfStock_Log[Part Name],$A37,T_SelfStock_Log[WeekIndex],38)=0,"",SUMIFS(T_SelfStock_Log[Self_Qty],T_SelfStock_Log[Part Name],$A37,T_SelfStock_Log[WeekIndex],38))</f>
        <v/>
      </c>
      <c r="AN37" s="19">
        <f>IF(COUNTIFS(T_SelfStock_Log[Part Name],$A37,T_SelfStock_Log[WeekIndex],39)=0,"",SUMIFS(T_SelfStock_Log[Self_Qty],T_SelfStock_Log[Part Name],$A37,T_SelfStock_Log[WeekIndex],39))</f>
        <v/>
      </c>
      <c r="AO37" s="19">
        <f>IF(COUNTIFS(T_SelfStock_Log[Part Name],$A37,T_SelfStock_Log[WeekIndex],40)=0,"",SUMIFS(T_SelfStock_Log[Self_Qty],T_SelfStock_Log[Part Name],$A37,T_SelfStock_Log[WeekIndex],40))</f>
        <v/>
      </c>
      <c r="AP37" s="19">
        <f>IF(COUNTIFS(T_SelfStock_Log[Part Name],$A37,T_SelfStock_Log[WeekIndex],41)=0,"",SUMIFS(T_SelfStock_Log[Self_Qty],T_SelfStock_Log[Part Name],$A37,T_SelfStock_Log[WeekIndex],41))</f>
        <v/>
      </c>
      <c r="AQ37" s="19">
        <f>IF(COUNTIFS(T_SelfStock_Log[Part Name],$A37,T_SelfStock_Log[WeekIndex],42)=0,"",SUMIFS(T_SelfStock_Log[Self_Qty],T_SelfStock_Log[Part Name],$A37,T_SelfStock_Log[WeekIndex],42))</f>
        <v/>
      </c>
      <c r="AR37" s="19">
        <f>IF(COUNTIFS(T_SelfStock_Log[Part Name],$A37,T_SelfStock_Log[WeekIndex],43)=0,"",SUMIFS(T_SelfStock_Log[Self_Qty],T_SelfStock_Log[Part Name],$A37,T_SelfStock_Log[WeekIndex],43))</f>
        <v/>
      </c>
      <c r="AS37" s="19">
        <f>IF(COUNTIFS(T_SelfStock_Log[Part Name],$A37,T_SelfStock_Log[WeekIndex],44)=0,"",SUMIFS(T_SelfStock_Log[Self_Qty],T_SelfStock_Log[Part Name],$A37,T_SelfStock_Log[WeekIndex],44))</f>
        <v/>
      </c>
      <c r="AT37" s="19">
        <f>IF(COUNTIFS(T_SelfStock_Log[Part Name],$A37,T_SelfStock_Log[WeekIndex],45)=0,"",SUMIFS(T_SelfStock_Log[Self_Qty],T_SelfStock_Log[Part Name],$A37,T_SelfStock_Log[WeekIndex],45))</f>
        <v/>
      </c>
      <c r="AU37" s="19">
        <f>IF(COUNTIFS(T_SelfStock_Log[Part Name],$A37,T_SelfStock_Log[WeekIndex],46)=0,"",SUMIFS(T_SelfStock_Log[Self_Qty],T_SelfStock_Log[Part Name],$A37,T_SelfStock_Log[WeekIndex],46))</f>
        <v/>
      </c>
      <c r="AV37" s="19">
        <f>IF(COUNTIFS(T_SelfStock_Log[Part Name],$A37,T_SelfStock_Log[WeekIndex],47)=0,"",SUMIFS(T_SelfStock_Log[Self_Qty],T_SelfStock_Log[Part Name],$A37,T_SelfStock_Log[WeekIndex],47))</f>
        <v/>
      </c>
      <c r="AW37" s="19">
        <f>IF(COUNTIFS(T_SelfStock_Log[Part Name],$A37,T_SelfStock_Log[WeekIndex],48)=0,"",SUMIFS(T_SelfStock_Log[Self_Qty],T_SelfStock_Log[Part Name],$A37,T_SelfStock_Log[WeekIndex],48))</f>
        <v/>
      </c>
      <c r="AX37" s="19">
        <f>IF(COUNTIFS(T_SelfStock_Log[Part Name],$A37,T_SelfStock_Log[WeekIndex],49)=0,"",SUMIFS(T_SelfStock_Log[Self_Qty],T_SelfStock_Log[Part Name],$A37,T_SelfStock_Log[WeekIndex],49))</f>
        <v/>
      </c>
      <c r="AY37" s="19">
        <f>IF(COUNTIFS(T_SelfStock_Log[Part Name],$A37,T_SelfStock_Log[WeekIndex],50)=0,"",SUMIFS(T_SelfStock_Log[Self_Qty],T_SelfStock_Log[Part Name],$A37,T_SelfStock_Log[WeekIndex],50))</f>
        <v/>
      </c>
      <c r="AZ37" s="19">
        <f>IF(COUNTIFS(T_SelfStock_Log[Part Name],$A37,T_SelfStock_Log[WeekIndex],51)=0,"",SUMIFS(T_SelfStock_Log[Self_Qty],T_SelfStock_Log[Part Name],$A37,T_SelfStock_Log[WeekIndex],51))</f>
        <v/>
      </c>
      <c r="BA37" s="19">
        <f>IF(COUNTIFS(T_SelfStock_Log[Part Name],$A37,T_SelfStock_Log[WeekIndex],52)=0,"",SUMIFS(T_SelfStock_Log[Self_Qty],T_SelfStock_Log[Part Name],$A37,T_SelfStock_Log[WeekIndex],52))</f>
        <v/>
      </c>
      <c r="BB37" s="19">
        <f>IF(COUNTIFS(T_SelfStock_Log[Part Name],$A37,T_SelfStock_Log[WeekIndex],53)=0,"",SUMIFS(T_SelfStock_Log[Self_Qty],T_SelfStock_Log[Part Name],$A37,T_SelfStock_Log[WeekIndex],53))</f>
        <v/>
      </c>
      <c r="BC37" s="19">
        <f>IF(COUNTIFS(T_SelfStock_Log[Part Name],$A37,T_SelfStock_Log[WeekIndex],54)=0,"",SUMIFS(T_SelfStock_Log[Self_Qty],T_SelfStock_Log[Part Name],$A37,T_SelfStock_Log[WeekIndex],54))</f>
        <v/>
      </c>
      <c r="BD37" s="19">
        <f>IF(COUNTIFS(T_SelfStock_Log[Part Name],$A37,T_SelfStock_Log[WeekIndex],55)=0,"",SUMIFS(T_SelfStock_Log[Self_Qty],T_SelfStock_Log[Part Name],$A37,T_SelfStock_Log[WeekIndex],55))</f>
        <v/>
      </c>
      <c r="BE37" s="19">
        <f>IF(COUNTIFS(T_SelfStock_Log[Part Name],$A37,T_SelfStock_Log[WeekIndex],56)=0,"",SUMIFS(T_SelfStock_Log[Self_Qty],T_SelfStock_Log[Part Name],$A37,T_SelfStock_Log[WeekIndex],56))</f>
        <v/>
      </c>
      <c r="BF37" s="19">
        <f>IF(COUNTIFS(T_SelfStock_Log[Part Name],$A37,T_SelfStock_Log[WeekIndex],57)=0,"",SUMIFS(T_SelfStock_Log[Self_Qty],T_SelfStock_Log[Part Name],$A37,T_SelfStock_Log[WeekIndex],57))</f>
        <v/>
      </c>
      <c r="BG37" s="19">
        <f>IF(COUNTIFS(T_SelfStock_Log[Part Name],$A37,T_SelfStock_Log[WeekIndex],58)=0,"",SUMIFS(T_SelfStock_Log[Self_Qty],T_SelfStock_Log[Part Name],$A37,T_SelfStock_Log[WeekIndex],58))</f>
        <v/>
      </c>
      <c r="BH37" s="19">
        <f>IF(COUNTIFS(T_SelfStock_Log[Part Name],$A37,T_SelfStock_Log[WeekIndex],59)=0,"",SUMIFS(T_SelfStock_Log[Self_Qty],T_SelfStock_Log[Part Name],$A37,T_SelfStock_Log[WeekIndex],59))</f>
        <v/>
      </c>
      <c r="BI37" s="19">
        <f>IF(COUNTIFS(T_SelfStock_Log[Part Name],$A37,T_SelfStock_Log[WeekIndex],60)=0,"",SUMIFS(T_SelfStock_Log[Self_Qty],T_SelfStock_Log[Part Name],$A37,T_SelfStock_Log[WeekIndex],60))</f>
        <v/>
      </c>
      <c r="BJ37" s="19">
        <f>IF(COUNTIFS(T_SelfStock_Log[Part Name],$A37,T_SelfStock_Log[WeekIndex],61)=0,"",SUMIFS(T_SelfStock_Log[Self_Qty],T_SelfStock_Log[Part Name],$A37,T_SelfStock_Log[WeekIndex],61))</f>
        <v/>
      </c>
      <c r="BK37" s="19">
        <f>IF(COUNTIFS(T_SelfStock_Log[Part Name],$A37,T_SelfStock_Log[WeekIndex],62)=0,"",SUMIFS(T_SelfStock_Log[Self_Qty],T_SelfStock_Log[Part Name],$A37,T_SelfStock_Log[WeekIndex],62))</f>
        <v/>
      </c>
      <c r="BL37" s="19">
        <f>IF(COUNTIFS(T_SelfStock_Log[Part Name],$A37,T_SelfStock_Log[WeekIndex],63)=0,"",SUMIFS(T_SelfStock_Log[Self_Qty],T_SelfStock_Log[Part Name],$A37,T_SelfStock_Log[WeekIndex],63))</f>
        <v/>
      </c>
      <c r="BM37" s="19">
        <f>IF(COUNTIFS(T_SelfStock_Log[Part Name],$A37,T_SelfStock_Log[WeekIndex],64)=0,"",SUMIFS(T_SelfStock_Log[Self_Qty],T_SelfStock_Log[Part Name],$A37,T_SelfStock_Log[WeekIndex],64))</f>
        <v/>
      </c>
      <c r="BN37" s="19">
        <f>IF(COUNTIFS(T_SelfStock_Log[Part Name],$A37,T_SelfStock_Log[WeekIndex],65)=0,"",SUMIFS(T_SelfStock_Log[Self_Qty],T_SelfStock_Log[Part Name],$A37,T_SelfStock_Log[WeekIndex],65))</f>
        <v/>
      </c>
      <c r="BO37" s="19">
        <f>IF(COUNTIFS(T_SelfStock_Log[Part Name],$A37,T_SelfStock_Log[WeekIndex],66)=0,"",SUMIFS(T_SelfStock_Log[Self_Qty],T_SelfStock_Log[Part Name],$A37,T_SelfStock_Log[WeekIndex],66))</f>
        <v/>
      </c>
      <c r="BP37" s="19">
        <f>IF(COUNTIFS(T_SelfStock_Log[Part Name],$A37,T_SelfStock_Log[WeekIndex],67)=0,"",SUMIFS(T_SelfStock_Log[Self_Qty],T_SelfStock_Log[Part Name],$A37,T_SelfStock_Log[WeekIndex],67))</f>
        <v/>
      </c>
      <c r="BQ37" s="19">
        <f>IF(COUNTIFS(T_SelfStock_Log[Part Name],$A37,T_SelfStock_Log[WeekIndex],68)=0,"",SUMIFS(T_SelfStock_Log[Self_Qty],T_SelfStock_Log[Part Name],$A37,T_SelfStock_Log[WeekIndex],68))</f>
        <v/>
      </c>
      <c r="BR37" s="19">
        <f>IF(COUNTIFS(T_SelfStock_Log[Part Name],$A37,T_SelfStock_Log[WeekIndex],69)=0,"",SUMIFS(T_SelfStock_Log[Self_Qty],T_SelfStock_Log[Part Name],$A37,T_SelfStock_Log[WeekIndex],69))</f>
        <v/>
      </c>
      <c r="BS37" s="19">
        <f>IF(COUNTIFS(T_SelfStock_Log[Part Name],$A37,T_SelfStock_Log[WeekIndex],70)=0,"",SUMIFS(T_SelfStock_Log[Self_Qty],T_SelfStock_Log[Part Name],$A37,T_SelfStock_Log[WeekIndex],70))</f>
        <v/>
      </c>
      <c r="BT37" s="19">
        <f>IF(COUNTIFS(T_SelfStock_Log[Part Name],$A37,T_SelfStock_Log[WeekIndex],71)=0,"",SUMIFS(T_SelfStock_Log[Self_Qty],T_SelfStock_Log[Part Name],$A37,T_SelfStock_Log[WeekIndex],71))</f>
        <v/>
      </c>
      <c r="BU37" s="19">
        <f>IF(COUNTIFS(T_SelfStock_Log[Part Name],$A37,T_SelfStock_Log[WeekIndex],72)=0,"",SUMIFS(T_SelfStock_Log[Self_Qty],T_SelfStock_Log[Part Name],$A37,T_SelfStock_Log[WeekIndex],72))</f>
        <v/>
      </c>
      <c r="BV37" s="19">
        <f>IF(COUNTIFS(T_SelfStock_Log[Part Name],$A37,T_SelfStock_Log[WeekIndex],73)=0,"",SUMIFS(T_SelfStock_Log[Self_Qty],T_SelfStock_Log[Part Name],$A37,T_SelfStock_Log[WeekIndex],73))</f>
        <v/>
      </c>
      <c r="BW37" s="19">
        <f>IF(COUNTIFS(T_SelfStock_Log[Part Name],$A37,T_SelfStock_Log[WeekIndex],74)=0,"",SUMIFS(T_SelfStock_Log[Self_Qty],T_SelfStock_Log[Part Name],$A37,T_SelfStock_Log[WeekIndex],74))</f>
        <v/>
      </c>
      <c r="BX37" s="19">
        <f>IF(COUNTIFS(T_SelfStock_Log[Part Name],$A37,T_SelfStock_Log[WeekIndex],75)=0,"",SUMIFS(T_SelfStock_Log[Self_Qty],T_SelfStock_Log[Part Name],$A37,T_SelfStock_Log[WeekIndex],75))</f>
        <v/>
      </c>
      <c r="BY37" s="19">
        <f>IF(COUNTIFS(T_SelfStock_Log[Part Name],$A37,T_SelfStock_Log[WeekIndex],76)=0,"",SUMIFS(T_SelfStock_Log[Self_Qty],T_SelfStock_Log[Part Name],$A37,T_SelfStock_Log[WeekIndex],76))</f>
        <v/>
      </c>
      <c r="BZ37" s="19">
        <f>IF(COUNTIFS(T_SelfStock_Log[Part Name],$A37,T_SelfStock_Log[WeekIndex],77)=0,"",SUMIFS(T_SelfStock_Log[Self_Qty],T_SelfStock_Log[Part Name],$A37,T_SelfStock_Log[WeekIndex],77))</f>
        <v/>
      </c>
      <c r="CA37" s="19">
        <f>IF(COUNTIFS(T_SelfStock_Log[Part Name],$A37,T_SelfStock_Log[WeekIndex],78)=0,"",SUMIFS(T_SelfStock_Log[Self_Qty],T_SelfStock_Log[Part Name],$A37,T_SelfStock_Log[WeekIndex],78))</f>
        <v/>
      </c>
      <c r="CB37" s="19">
        <f>IF(COUNTIFS(T_SelfStock_Log[Part Name],$A37,T_SelfStock_Log[WeekIndex],79)=0,"",SUMIFS(T_SelfStock_Log[Self_Qty],T_SelfStock_Log[Part Name],$A37,T_SelfStock_Log[WeekIndex],79))</f>
        <v/>
      </c>
      <c r="CC37" s="19">
        <f>IF(COUNTIFS(T_SelfStock_Log[Part Name],$A37,T_SelfStock_Log[WeekIndex],80)=0,"",SUMIFS(T_SelfStock_Log[Self_Qty],T_SelfStock_Log[Part Name],$A37,T_SelfStock_Log[WeekIndex],80))</f>
        <v/>
      </c>
      <c r="CD37" s="19">
        <f>IF(COUNTIFS(T_SelfStock_Log[Part Name],$A37,T_SelfStock_Log[WeekIndex],81)=0,"",SUMIFS(T_SelfStock_Log[Self_Qty],T_SelfStock_Log[Part Name],$A37,T_SelfStock_Log[WeekIndex],81))</f>
        <v/>
      </c>
      <c r="CE37" s="19">
        <f>IF(COUNTIFS(T_SelfStock_Log[Part Name],$A37,T_SelfStock_Log[WeekIndex],82)=0,"",SUMIFS(T_SelfStock_Log[Self_Qty],T_SelfStock_Log[Part Name],$A37,T_SelfStock_Log[WeekIndex],82))</f>
        <v/>
      </c>
      <c r="CF37" s="19">
        <f>IF(COUNTIFS(T_SelfStock_Log[Part Name],$A37,T_SelfStock_Log[WeekIndex],83)=0,"",SUMIFS(T_SelfStock_Log[Self_Qty],T_SelfStock_Log[Part Name],$A37,T_SelfStock_Log[WeekIndex],83))</f>
        <v/>
      </c>
      <c r="CG37" s="19">
        <f>IF(COUNTIFS(T_SelfStock_Log[Part Name],$A37,T_SelfStock_Log[WeekIndex],84)=0,"",SUMIFS(T_SelfStock_Log[Self_Qty],T_SelfStock_Log[Part Name],$A37,T_SelfStock_Log[WeekIndex],84))</f>
        <v/>
      </c>
      <c r="CH37" s="19">
        <f>IF(COUNTIFS(T_SelfStock_Log[Part Name],$A37,T_SelfStock_Log[WeekIndex],85)=0,"",SUMIFS(T_SelfStock_Log[Self_Qty],T_SelfStock_Log[Part Name],$A37,T_SelfStock_Log[WeekIndex],85))</f>
        <v/>
      </c>
      <c r="CI37" s="19">
        <f>IF(COUNTIFS(T_SelfStock_Log[Part Name],$A37,T_SelfStock_Log[WeekIndex],86)=0,"",SUMIFS(T_SelfStock_Log[Self_Qty],T_SelfStock_Log[Part Name],$A37,T_SelfStock_Log[WeekIndex],86))</f>
        <v/>
      </c>
      <c r="CJ37" s="19">
        <f>IF(COUNTIFS(T_SelfStock_Log[Part Name],$A37,T_SelfStock_Log[WeekIndex],87)=0,"",SUMIFS(T_SelfStock_Log[Self_Qty],T_SelfStock_Log[Part Name],$A37,T_SelfStock_Log[WeekIndex],87))</f>
        <v/>
      </c>
      <c r="CK37" s="19">
        <f>IF(COUNTIFS(T_SelfStock_Log[Part Name],$A37,T_SelfStock_Log[WeekIndex],88)=0,"",SUMIFS(T_SelfStock_Log[Self_Qty],T_SelfStock_Log[Part Name],$A37,T_SelfStock_Log[WeekIndex],88))</f>
        <v/>
      </c>
      <c r="CL37" s="19">
        <f>IF(COUNTIFS(T_SelfStock_Log[Part Name],$A37,T_SelfStock_Log[WeekIndex],89)=0,"",SUMIFS(T_SelfStock_Log[Self_Qty],T_SelfStock_Log[Part Name],$A37,T_SelfStock_Log[WeekIndex],89))</f>
        <v/>
      </c>
      <c r="CM37" s="19">
        <f>IF(COUNTIFS(T_SelfStock_Log[Part Name],$A37,T_SelfStock_Log[WeekIndex],90)=0,"",SUMIFS(T_SelfStock_Log[Self_Qty],T_SelfStock_Log[Part Name],$A37,T_SelfStock_Log[WeekIndex],90))</f>
        <v/>
      </c>
      <c r="CN37" s="19">
        <f>IF(COUNTIFS(T_SelfStock_Log[Part Name],$A37,T_SelfStock_Log[WeekIndex],91)=0,"",SUMIFS(T_SelfStock_Log[Self_Qty],T_SelfStock_Log[Part Name],$A37,T_SelfStock_Log[WeekIndex],91))</f>
        <v/>
      </c>
      <c r="CO37" s="19">
        <f>IF(COUNTIFS(T_SelfStock_Log[Part Name],$A37,T_SelfStock_Log[WeekIndex],92)=0,"",SUMIFS(T_SelfStock_Log[Self_Qty],T_SelfStock_Log[Part Name],$A37,T_SelfStock_Log[WeekIndex],92))</f>
        <v/>
      </c>
      <c r="CP37" s="19">
        <f>IF(COUNTIFS(T_SelfStock_Log[Part Name],$A37,T_SelfStock_Log[WeekIndex],93)=0,"",SUMIFS(T_SelfStock_Log[Self_Qty],T_SelfStock_Log[Part Name],$A37,T_SelfStock_Log[WeekIndex],93))</f>
        <v/>
      </c>
      <c r="CQ37" s="19">
        <f>IF(COUNTIFS(T_SelfStock_Log[Part Name],$A37,T_SelfStock_Log[WeekIndex],94)=0,"",SUMIFS(T_SelfStock_Log[Self_Qty],T_SelfStock_Log[Part Name],$A37,T_SelfStock_Log[WeekIndex],94))</f>
        <v/>
      </c>
      <c r="CR37" s="19">
        <f>IF(COUNTIFS(T_SelfStock_Log[Part Name],$A37,T_SelfStock_Log[WeekIndex],95)=0,"",SUMIFS(T_SelfStock_Log[Self_Qty],T_SelfStock_Log[Part Name],$A37,T_SelfStock_Log[WeekIndex],95))</f>
        <v/>
      </c>
      <c r="CS37" s="19">
        <f>IF(COUNTIFS(T_SelfStock_Log[Part Name],$A37,T_SelfStock_Log[WeekIndex],96)=0,"",SUMIFS(T_SelfStock_Log[Self_Qty],T_SelfStock_Log[Part Name],$A37,T_SelfStock_Log[WeekIndex],96))</f>
        <v/>
      </c>
      <c r="CT37" s="19">
        <f>IF(COUNTIFS(T_SelfStock_Log[Part Name],$A37,T_SelfStock_Log[WeekIndex],97)=0,"",SUMIFS(T_SelfStock_Log[Self_Qty],T_SelfStock_Log[Part Name],$A37,T_SelfStock_Log[WeekIndex],97))</f>
        <v/>
      </c>
      <c r="CU37" s="19">
        <f>IF(COUNTIFS(T_SelfStock_Log[Part Name],$A37,T_SelfStock_Log[WeekIndex],98)=0,"",SUMIFS(T_SelfStock_Log[Self_Qty],T_SelfStock_Log[Part Name],$A37,T_SelfStock_Log[WeekIndex],98))</f>
        <v/>
      </c>
      <c r="CV37" s="19">
        <f>IF(COUNTIFS(T_SelfStock_Log[Part Name],$A37,T_SelfStock_Log[WeekIndex],99)=0,"",SUMIFS(T_SelfStock_Log[Self_Qty],T_SelfStock_Log[Part Name],$A37,T_SelfStock_Log[WeekIndex],99))</f>
        <v/>
      </c>
      <c r="CW37" s="19">
        <f>IF(COUNTIFS(T_SelfStock_Log[Part Name],$A37,T_SelfStock_Log[WeekIndex],100)=0,"",SUMIFS(T_SelfStock_Log[Self_Qty],T_SelfStock_Log[Part Name],$A37,T_SelfStock_Log[WeekIndex],100))</f>
        <v/>
      </c>
      <c r="CX37" s="19">
        <f>IF(COUNTIFS(T_SelfStock_Log[Part Name],$A37,T_SelfStock_Log[WeekIndex],101)=0,"",SUMIFS(T_SelfStock_Log[Self_Qty],T_SelfStock_Log[Part Name],$A37,T_SelfStock_Log[WeekIndex],101))</f>
        <v/>
      </c>
      <c r="CY37" s="19">
        <f>IF(COUNTIFS(T_SelfStock_Log[Part Name],$A37,T_SelfStock_Log[WeekIndex],102)=0,"",SUMIFS(T_SelfStock_Log[Self_Qty],T_SelfStock_Log[Part Name],$A37,T_SelfStock_Log[WeekIndex],102))</f>
        <v/>
      </c>
      <c r="CZ37" s="19">
        <f>IF(COUNTIFS(T_SelfStock_Log[Part Name],$A37,T_SelfStock_Log[WeekIndex],103)=0,"",SUMIFS(T_SelfStock_Log[Self_Qty],T_SelfStock_Log[Part Name],$A37,T_SelfStock_Log[WeekIndex],103))</f>
        <v/>
      </c>
      <c r="DA37" s="19">
        <f>IF(COUNTIFS(T_SelfStock_Log[Part Name],$A37,T_SelfStock_Log[WeekIndex],104)=0,"",SUMIFS(T_SelfStock_Log[Self_Qty],T_SelfStock_Log[Part Name],$A37,T_SelfStock_Log[WeekIndex],104))</f>
        <v/>
      </c>
    </row>
    <row r="38">
      <c r="A38" s="17" t="inlineStr">
        <is>
          <t>CHEM-1650</t>
        </is>
      </c>
      <c r="B38" s="17">
        <f>IF(COUNTIFS(T_SelfStock_Log[Part Name],$A38,T_SelfStock_Log[WeekIndex],1)=0,"",SUMIFS(T_SelfStock_Log[Self_Qty],T_SelfStock_Log[Part Name],$A38,T_SelfStock_Log[WeekIndex],1))</f>
        <v/>
      </c>
      <c r="C38" s="17">
        <f>IF(COUNTIFS(T_SelfStock_Log[Part Name],$A38,T_SelfStock_Log[WeekIndex],2)=0,"",SUMIFS(T_SelfStock_Log[Self_Qty],T_SelfStock_Log[Part Name],$A38,T_SelfStock_Log[WeekIndex],2))</f>
        <v/>
      </c>
      <c r="D38" s="17">
        <f>IF(COUNTIFS(T_SelfStock_Log[Part Name],$A38,T_SelfStock_Log[WeekIndex],3)=0,"",SUMIFS(T_SelfStock_Log[Self_Qty],T_SelfStock_Log[Part Name],$A38,T_SelfStock_Log[WeekIndex],3))</f>
        <v/>
      </c>
      <c r="E38" s="17">
        <f>IF(COUNTIFS(T_SelfStock_Log[Part Name],$A38,T_SelfStock_Log[WeekIndex],4)=0,"",SUMIFS(T_SelfStock_Log[Self_Qty],T_SelfStock_Log[Part Name],$A38,T_SelfStock_Log[WeekIndex],4))</f>
        <v/>
      </c>
      <c r="F38" s="17">
        <f>IF(COUNTIFS(T_SelfStock_Log[Part Name],$A38,T_SelfStock_Log[WeekIndex],5)=0,"",SUMIFS(T_SelfStock_Log[Self_Qty],T_SelfStock_Log[Part Name],$A38,T_SelfStock_Log[WeekIndex],5))</f>
        <v/>
      </c>
      <c r="G38" s="17">
        <f>IF(COUNTIFS(T_SelfStock_Log[Part Name],$A38,T_SelfStock_Log[WeekIndex],6)=0,"",SUMIFS(T_SelfStock_Log[Self_Qty],T_SelfStock_Log[Part Name],$A38,T_SelfStock_Log[WeekIndex],6))</f>
        <v/>
      </c>
      <c r="H38" s="17">
        <f>IF(COUNTIFS(T_SelfStock_Log[Part Name],$A38,T_SelfStock_Log[WeekIndex],7)=0,"",SUMIFS(T_SelfStock_Log[Self_Qty],T_SelfStock_Log[Part Name],$A38,T_SelfStock_Log[WeekIndex],7))</f>
        <v/>
      </c>
      <c r="I38" s="17">
        <f>IF(COUNTIFS(T_SelfStock_Log[Part Name],$A38,T_SelfStock_Log[WeekIndex],8)=0,"",SUMIFS(T_SelfStock_Log[Self_Qty],T_SelfStock_Log[Part Name],$A38,T_SelfStock_Log[WeekIndex],8))</f>
        <v/>
      </c>
      <c r="J38" s="17">
        <f>IF(COUNTIFS(T_SelfStock_Log[Part Name],$A38,T_SelfStock_Log[WeekIndex],9)=0,"",SUMIFS(T_SelfStock_Log[Self_Qty],T_SelfStock_Log[Part Name],$A38,T_SelfStock_Log[WeekIndex],9))</f>
        <v/>
      </c>
      <c r="K38" s="17">
        <f>IF(COUNTIFS(T_SelfStock_Log[Part Name],$A38,T_SelfStock_Log[WeekIndex],10)=0,"",SUMIFS(T_SelfStock_Log[Self_Qty],T_SelfStock_Log[Part Name],$A38,T_SelfStock_Log[WeekIndex],10))</f>
        <v/>
      </c>
      <c r="L38" s="17">
        <f>IF(COUNTIFS(T_SelfStock_Log[Part Name],$A38,T_SelfStock_Log[WeekIndex],11)=0,"",SUMIFS(T_SelfStock_Log[Self_Qty],T_SelfStock_Log[Part Name],$A38,T_SelfStock_Log[WeekIndex],11))</f>
        <v/>
      </c>
      <c r="M38" s="17">
        <f>IF(COUNTIFS(T_SelfStock_Log[Part Name],$A38,T_SelfStock_Log[WeekIndex],12)=0,"",SUMIFS(T_SelfStock_Log[Self_Qty],T_SelfStock_Log[Part Name],$A38,T_SelfStock_Log[WeekIndex],12))</f>
        <v/>
      </c>
      <c r="N38" s="17">
        <f>IF(COUNTIFS(T_SelfStock_Log[Part Name],$A38,T_SelfStock_Log[WeekIndex],13)=0,"",SUMIFS(T_SelfStock_Log[Self_Qty],T_SelfStock_Log[Part Name],$A38,T_SelfStock_Log[WeekIndex],13))</f>
        <v/>
      </c>
      <c r="O38" s="17">
        <f>IF(COUNTIFS(T_SelfStock_Log[Part Name],$A38,T_SelfStock_Log[WeekIndex],14)=0,"",SUMIFS(T_SelfStock_Log[Self_Qty],T_SelfStock_Log[Part Name],$A38,T_SelfStock_Log[WeekIndex],14))</f>
        <v/>
      </c>
      <c r="P38" s="17">
        <f>IF(COUNTIFS(T_SelfStock_Log[Part Name],$A38,T_SelfStock_Log[WeekIndex],15)=0,"",SUMIFS(T_SelfStock_Log[Self_Qty],T_SelfStock_Log[Part Name],$A38,T_SelfStock_Log[WeekIndex],15))</f>
        <v/>
      </c>
      <c r="Q38" s="17">
        <f>IF(COUNTIFS(T_SelfStock_Log[Part Name],$A38,T_SelfStock_Log[WeekIndex],16)=0,"",SUMIFS(T_SelfStock_Log[Self_Qty],T_SelfStock_Log[Part Name],$A38,T_SelfStock_Log[WeekIndex],16))</f>
        <v/>
      </c>
      <c r="R38" s="17">
        <f>IF(COUNTIFS(T_SelfStock_Log[Part Name],$A38,T_SelfStock_Log[WeekIndex],17)=0,"",SUMIFS(T_SelfStock_Log[Self_Qty],T_SelfStock_Log[Part Name],$A38,T_SelfStock_Log[WeekIndex],17))</f>
        <v/>
      </c>
      <c r="S38" s="17">
        <f>IF(COUNTIFS(T_SelfStock_Log[Part Name],$A38,T_SelfStock_Log[WeekIndex],18)=0,"",SUMIFS(T_SelfStock_Log[Self_Qty],T_SelfStock_Log[Part Name],$A38,T_SelfStock_Log[WeekIndex],18))</f>
        <v/>
      </c>
      <c r="T38" s="17">
        <f>IF(COUNTIFS(T_SelfStock_Log[Part Name],$A38,T_SelfStock_Log[WeekIndex],19)=0,"",SUMIFS(T_SelfStock_Log[Self_Qty],T_SelfStock_Log[Part Name],$A38,T_SelfStock_Log[WeekIndex],19))</f>
        <v/>
      </c>
      <c r="U38" s="17">
        <f>IF(COUNTIFS(T_SelfStock_Log[Part Name],$A38,T_SelfStock_Log[WeekIndex],20)=0,"",SUMIFS(T_SelfStock_Log[Self_Qty],T_SelfStock_Log[Part Name],$A38,T_SelfStock_Log[WeekIndex],20))</f>
        <v/>
      </c>
      <c r="V38" s="17">
        <f>IF(COUNTIFS(T_SelfStock_Log[Part Name],$A38,T_SelfStock_Log[WeekIndex],21)=0,"",SUMIFS(T_SelfStock_Log[Self_Qty],T_SelfStock_Log[Part Name],$A38,T_SelfStock_Log[WeekIndex],21))</f>
        <v/>
      </c>
      <c r="W38" s="17">
        <f>IF(COUNTIFS(T_SelfStock_Log[Part Name],$A38,T_SelfStock_Log[WeekIndex],22)=0,"",SUMIFS(T_SelfStock_Log[Self_Qty],T_SelfStock_Log[Part Name],$A38,T_SelfStock_Log[WeekIndex],22))</f>
        <v/>
      </c>
      <c r="X38" s="17">
        <f>IF(COUNTIFS(T_SelfStock_Log[Part Name],$A38,T_SelfStock_Log[WeekIndex],23)=0,"",SUMIFS(T_SelfStock_Log[Self_Qty],T_SelfStock_Log[Part Name],$A38,T_SelfStock_Log[WeekIndex],23))</f>
        <v/>
      </c>
      <c r="Y38" s="17">
        <f>IF(COUNTIFS(T_SelfStock_Log[Part Name],$A38,T_SelfStock_Log[WeekIndex],24)=0,"",SUMIFS(T_SelfStock_Log[Self_Qty],T_SelfStock_Log[Part Name],$A38,T_SelfStock_Log[WeekIndex],24))</f>
        <v/>
      </c>
      <c r="Z38" s="17">
        <f>IF(COUNTIFS(T_SelfStock_Log[Part Name],$A38,T_SelfStock_Log[WeekIndex],25)=0,"",SUMIFS(T_SelfStock_Log[Self_Qty],T_SelfStock_Log[Part Name],$A38,T_SelfStock_Log[WeekIndex],25))</f>
        <v/>
      </c>
      <c r="AA38" s="17">
        <f>IF(COUNTIFS(T_SelfStock_Log[Part Name],$A38,T_SelfStock_Log[WeekIndex],26)=0,"",SUMIFS(T_SelfStock_Log[Self_Qty],T_SelfStock_Log[Part Name],$A38,T_SelfStock_Log[WeekIndex],26))</f>
        <v/>
      </c>
      <c r="AB38" s="17">
        <f>IF(COUNTIFS(T_SelfStock_Log[Part Name],$A38,T_SelfStock_Log[WeekIndex],27)=0,"",SUMIFS(T_SelfStock_Log[Self_Qty],T_SelfStock_Log[Part Name],$A38,T_SelfStock_Log[WeekIndex],27))</f>
        <v/>
      </c>
      <c r="AC38" s="17">
        <f>IF(COUNTIFS(T_SelfStock_Log[Part Name],$A38,T_SelfStock_Log[WeekIndex],28)=0,"",SUMIFS(T_SelfStock_Log[Self_Qty],T_SelfStock_Log[Part Name],$A38,T_SelfStock_Log[WeekIndex],28))</f>
        <v/>
      </c>
      <c r="AD38" s="17">
        <f>IF(COUNTIFS(T_SelfStock_Log[Part Name],$A38,T_SelfStock_Log[WeekIndex],29)=0,"",SUMIFS(T_SelfStock_Log[Self_Qty],T_SelfStock_Log[Part Name],$A38,T_SelfStock_Log[WeekIndex],29))</f>
        <v/>
      </c>
      <c r="AE38" s="17">
        <f>IF(COUNTIFS(T_SelfStock_Log[Part Name],$A38,T_SelfStock_Log[WeekIndex],30)=0,"",SUMIFS(T_SelfStock_Log[Self_Qty],T_SelfStock_Log[Part Name],$A38,T_SelfStock_Log[WeekIndex],30))</f>
        <v/>
      </c>
      <c r="AF38" s="17">
        <f>IF(COUNTIFS(T_SelfStock_Log[Part Name],$A38,T_SelfStock_Log[WeekIndex],31)=0,"",SUMIFS(T_SelfStock_Log[Self_Qty],T_SelfStock_Log[Part Name],$A38,T_SelfStock_Log[WeekIndex],31))</f>
        <v/>
      </c>
      <c r="AG38" s="17">
        <f>IF(COUNTIFS(T_SelfStock_Log[Part Name],$A38,T_SelfStock_Log[WeekIndex],32)=0,"",SUMIFS(T_SelfStock_Log[Self_Qty],T_SelfStock_Log[Part Name],$A38,T_SelfStock_Log[WeekIndex],32))</f>
        <v/>
      </c>
      <c r="AH38" s="17">
        <f>IF(COUNTIFS(T_SelfStock_Log[Part Name],$A38,T_SelfStock_Log[WeekIndex],33)=0,"",SUMIFS(T_SelfStock_Log[Self_Qty],T_SelfStock_Log[Part Name],$A38,T_SelfStock_Log[WeekIndex],33))</f>
        <v/>
      </c>
      <c r="AI38" s="17">
        <f>IF(COUNTIFS(T_SelfStock_Log[Part Name],$A38,T_SelfStock_Log[WeekIndex],34)=0,"",SUMIFS(T_SelfStock_Log[Self_Qty],T_SelfStock_Log[Part Name],$A38,T_SelfStock_Log[WeekIndex],34))</f>
        <v/>
      </c>
      <c r="AJ38" s="17">
        <f>IF(COUNTIFS(T_SelfStock_Log[Part Name],$A38,T_SelfStock_Log[WeekIndex],35)=0,"",SUMIFS(T_SelfStock_Log[Self_Qty],T_SelfStock_Log[Part Name],$A38,T_SelfStock_Log[WeekIndex],35))</f>
        <v/>
      </c>
      <c r="AK38" s="17">
        <f>IF(COUNTIFS(T_SelfStock_Log[Part Name],$A38,T_SelfStock_Log[WeekIndex],36)=0,"",SUMIFS(T_SelfStock_Log[Self_Qty],T_SelfStock_Log[Part Name],$A38,T_SelfStock_Log[WeekIndex],36))</f>
        <v/>
      </c>
      <c r="AL38" s="17">
        <f>IF(COUNTIFS(T_SelfStock_Log[Part Name],$A38,T_SelfStock_Log[WeekIndex],37)=0,"",SUMIFS(T_SelfStock_Log[Self_Qty],T_SelfStock_Log[Part Name],$A38,T_SelfStock_Log[WeekIndex],37))</f>
        <v/>
      </c>
      <c r="AM38" s="17">
        <f>IF(COUNTIFS(T_SelfStock_Log[Part Name],$A38,T_SelfStock_Log[WeekIndex],38)=0,"",SUMIFS(T_SelfStock_Log[Self_Qty],T_SelfStock_Log[Part Name],$A38,T_SelfStock_Log[WeekIndex],38))</f>
        <v/>
      </c>
      <c r="AN38" s="17">
        <f>IF(COUNTIFS(T_SelfStock_Log[Part Name],$A38,T_SelfStock_Log[WeekIndex],39)=0,"",SUMIFS(T_SelfStock_Log[Self_Qty],T_SelfStock_Log[Part Name],$A38,T_SelfStock_Log[WeekIndex],39))</f>
        <v/>
      </c>
      <c r="AO38" s="17">
        <f>IF(COUNTIFS(T_SelfStock_Log[Part Name],$A38,T_SelfStock_Log[WeekIndex],40)=0,"",SUMIFS(T_SelfStock_Log[Self_Qty],T_SelfStock_Log[Part Name],$A38,T_SelfStock_Log[WeekIndex],40))</f>
        <v/>
      </c>
      <c r="AP38" s="17">
        <f>IF(COUNTIFS(T_SelfStock_Log[Part Name],$A38,T_SelfStock_Log[WeekIndex],41)=0,"",SUMIFS(T_SelfStock_Log[Self_Qty],T_SelfStock_Log[Part Name],$A38,T_SelfStock_Log[WeekIndex],41))</f>
        <v/>
      </c>
      <c r="AQ38" s="17">
        <f>IF(COUNTIFS(T_SelfStock_Log[Part Name],$A38,T_SelfStock_Log[WeekIndex],42)=0,"",SUMIFS(T_SelfStock_Log[Self_Qty],T_SelfStock_Log[Part Name],$A38,T_SelfStock_Log[WeekIndex],42))</f>
        <v/>
      </c>
      <c r="AR38" s="17">
        <f>IF(COUNTIFS(T_SelfStock_Log[Part Name],$A38,T_SelfStock_Log[WeekIndex],43)=0,"",SUMIFS(T_SelfStock_Log[Self_Qty],T_SelfStock_Log[Part Name],$A38,T_SelfStock_Log[WeekIndex],43))</f>
        <v/>
      </c>
      <c r="AS38" s="17">
        <f>IF(COUNTIFS(T_SelfStock_Log[Part Name],$A38,T_SelfStock_Log[WeekIndex],44)=0,"",SUMIFS(T_SelfStock_Log[Self_Qty],T_SelfStock_Log[Part Name],$A38,T_SelfStock_Log[WeekIndex],44))</f>
        <v/>
      </c>
      <c r="AT38" s="17">
        <f>IF(COUNTIFS(T_SelfStock_Log[Part Name],$A38,T_SelfStock_Log[WeekIndex],45)=0,"",SUMIFS(T_SelfStock_Log[Self_Qty],T_SelfStock_Log[Part Name],$A38,T_SelfStock_Log[WeekIndex],45))</f>
        <v/>
      </c>
      <c r="AU38" s="17">
        <f>IF(COUNTIFS(T_SelfStock_Log[Part Name],$A38,T_SelfStock_Log[WeekIndex],46)=0,"",SUMIFS(T_SelfStock_Log[Self_Qty],T_SelfStock_Log[Part Name],$A38,T_SelfStock_Log[WeekIndex],46))</f>
        <v/>
      </c>
      <c r="AV38" s="17">
        <f>IF(COUNTIFS(T_SelfStock_Log[Part Name],$A38,T_SelfStock_Log[WeekIndex],47)=0,"",SUMIFS(T_SelfStock_Log[Self_Qty],T_SelfStock_Log[Part Name],$A38,T_SelfStock_Log[WeekIndex],47))</f>
        <v/>
      </c>
      <c r="AW38" s="17">
        <f>IF(COUNTIFS(T_SelfStock_Log[Part Name],$A38,T_SelfStock_Log[WeekIndex],48)=0,"",SUMIFS(T_SelfStock_Log[Self_Qty],T_SelfStock_Log[Part Name],$A38,T_SelfStock_Log[WeekIndex],48))</f>
        <v/>
      </c>
      <c r="AX38" s="17">
        <f>IF(COUNTIFS(T_SelfStock_Log[Part Name],$A38,T_SelfStock_Log[WeekIndex],49)=0,"",SUMIFS(T_SelfStock_Log[Self_Qty],T_SelfStock_Log[Part Name],$A38,T_SelfStock_Log[WeekIndex],49))</f>
        <v/>
      </c>
      <c r="AY38" s="17">
        <f>IF(COUNTIFS(T_SelfStock_Log[Part Name],$A38,T_SelfStock_Log[WeekIndex],50)=0,"",SUMIFS(T_SelfStock_Log[Self_Qty],T_SelfStock_Log[Part Name],$A38,T_SelfStock_Log[WeekIndex],50))</f>
        <v/>
      </c>
      <c r="AZ38" s="17">
        <f>IF(COUNTIFS(T_SelfStock_Log[Part Name],$A38,T_SelfStock_Log[WeekIndex],51)=0,"",SUMIFS(T_SelfStock_Log[Self_Qty],T_SelfStock_Log[Part Name],$A38,T_SelfStock_Log[WeekIndex],51))</f>
        <v/>
      </c>
      <c r="BA38" s="17">
        <f>IF(COUNTIFS(T_SelfStock_Log[Part Name],$A38,T_SelfStock_Log[WeekIndex],52)=0,"",SUMIFS(T_SelfStock_Log[Self_Qty],T_SelfStock_Log[Part Name],$A38,T_SelfStock_Log[WeekIndex],52))</f>
        <v/>
      </c>
      <c r="BB38" s="17">
        <f>IF(COUNTIFS(T_SelfStock_Log[Part Name],$A38,T_SelfStock_Log[WeekIndex],53)=0,"",SUMIFS(T_SelfStock_Log[Self_Qty],T_SelfStock_Log[Part Name],$A38,T_SelfStock_Log[WeekIndex],53))</f>
        <v/>
      </c>
      <c r="BC38" s="17">
        <f>IF(COUNTIFS(T_SelfStock_Log[Part Name],$A38,T_SelfStock_Log[WeekIndex],54)=0,"",SUMIFS(T_SelfStock_Log[Self_Qty],T_SelfStock_Log[Part Name],$A38,T_SelfStock_Log[WeekIndex],54))</f>
        <v/>
      </c>
      <c r="BD38" s="17">
        <f>IF(COUNTIFS(T_SelfStock_Log[Part Name],$A38,T_SelfStock_Log[WeekIndex],55)=0,"",SUMIFS(T_SelfStock_Log[Self_Qty],T_SelfStock_Log[Part Name],$A38,T_SelfStock_Log[WeekIndex],55))</f>
        <v/>
      </c>
      <c r="BE38" s="17">
        <f>IF(COUNTIFS(T_SelfStock_Log[Part Name],$A38,T_SelfStock_Log[WeekIndex],56)=0,"",SUMIFS(T_SelfStock_Log[Self_Qty],T_SelfStock_Log[Part Name],$A38,T_SelfStock_Log[WeekIndex],56))</f>
        <v/>
      </c>
      <c r="BF38" s="17">
        <f>IF(COUNTIFS(T_SelfStock_Log[Part Name],$A38,T_SelfStock_Log[WeekIndex],57)=0,"",SUMIFS(T_SelfStock_Log[Self_Qty],T_SelfStock_Log[Part Name],$A38,T_SelfStock_Log[WeekIndex],57))</f>
        <v/>
      </c>
      <c r="BG38" s="17">
        <f>IF(COUNTIFS(T_SelfStock_Log[Part Name],$A38,T_SelfStock_Log[WeekIndex],58)=0,"",SUMIFS(T_SelfStock_Log[Self_Qty],T_SelfStock_Log[Part Name],$A38,T_SelfStock_Log[WeekIndex],58))</f>
        <v/>
      </c>
      <c r="BH38" s="17">
        <f>IF(COUNTIFS(T_SelfStock_Log[Part Name],$A38,T_SelfStock_Log[WeekIndex],59)=0,"",SUMIFS(T_SelfStock_Log[Self_Qty],T_SelfStock_Log[Part Name],$A38,T_SelfStock_Log[WeekIndex],59))</f>
        <v/>
      </c>
      <c r="BI38" s="17">
        <f>IF(COUNTIFS(T_SelfStock_Log[Part Name],$A38,T_SelfStock_Log[WeekIndex],60)=0,"",SUMIFS(T_SelfStock_Log[Self_Qty],T_SelfStock_Log[Part Name],$A38,T_SelfStock_Log[WeekIndex],60))</f>
        <v/>
      </c>
      <c r="BJ38" s="17">
        <f>IF(COUNTIFS(T_SelfStock_Log[Part Name],$A38,T_SelfStock_Log[WeekIndex],61)=0,"",SUMIFS(T_SelfStock_Log[Self_Qty],T_SelfStock_Log[Part Name],$A38,T_SelfStock_Log[WeekIndex],61))</f>
        <v/>
      </c>
      <c r="BK38" s="17">
        <f>IF(COUNTIFS(T_SelfStock_Log[Part Name],$A38,T_SelfStock_Log[WeekIndex],62)=0,"",SUMIFS(T_SelfStock_Log[Self_Qty],T_SelfStock_Log[Part Name],$A38,T_SelfStock_Log[WeekIndex],62))</f>
        <v/>
      </c>
      <c r="BL38" s="17">
        <f>IF(COUNTIFS(T_SelfStock_Log[Part Name],$A38,T_SelfStock_Log[WeekIndex],63)=0,"",SUMIFS(T_SelfStock_Log[Self_Qty],T_SelfStock_Log[Part Name],$A38,T_SelfStock_Log[WeekIndex],63))</f>
        <v/>
      </c>
      <c r="BM38" s="17">
        <f>IF(COUNTIFS(T_SelfStock_Log[Part Name],$A38,T_SelfStock_Log[WeekIndex],64)=0,"",SUMIFS(T_SelfStock_Log[Self_Qty],T_SelfStock_Log[Part Name],$A38,T_SelfStock_Log[WeekIndex],64))</f>
        <v/>
      </c>
      <c r="BN38" s="17">
        <f>IF(COUNTIFS(T_SelfStock_Log[Part Name],$A38,T_SelfStock_Log[WeekIndex],65)=0,"",SUMIFS(T_SelfStock_Log[Self_Qty],T_SelfStock_Log[Part Name],$A38,T_SelfStock_Log[WeekIndex],65))</f>
        <v/>
      </c>
      <c r="BO38" s="17">
        <f>IF(COUNTIFS(T_SelfStock_Log[Part Name],$A38,T_SelfStock_Log[WeekIndex],66)=0,"",SUMIFS(T_SelfStock_Log[Self_Qty],T_SelfStock_Log[Part Name],$A38,T_SelfStock_Log[WeekIndex],66))</f>
        <v/>
      </c>
      <c r="BP38" s="17">
        <f>IF(COUNTIFS(T_SelfStock_Log[Part Name],$A38,T_SelfStock_Log[WeekIndex],67)=0,"",SUMIFS(T_SelfStock_Log[Self_Qty],T_SelfStock_Log[Part Name],$A38,T_SelfStock_Log[WeekIndex],67))</f>
        <v/>
      </c>
      <c r="BQ38" s="17">
        <f>IF(COUNTIFS(T_SelfStock_Log[Part Name],$A38,T_SelfStock_Log[WeekIndex],68)=0,"",SUMIFS(T_SelfStock_Log[Self_Qty],T_SelfStock_Log[Part Name],$A38,T_SelfStock_Log[WeekIndex],68))</f>
        <v/>
      </c>
      <c r="BR38" s="17">
        <f>IF(COUNTIFS(T_SelfStock_Log[Part Name],$A38,T_SelfStock_Log[WeekIndex],69)=0,"",SUMIFS(T_SelfStock_Log[Self_Qty],T_SelfStock_Log[Part Name],$A38,T_SelfStock_Log[WeekIndex],69))</f>
        <v/>
      </c>
      <c r="BS38" s="17">
        <f>IF(COUNTIFS(T_SelfStock_Log[Part Name],$A38,T_SelfStock_Log[WeekIndex],70)=0,"",SUMIFS(T_SelfStock_Log[Self_Qty],T_SelfStock_Log[Part Name],$A38,T_SelfStock_Log[WeekIndex],70))</f>
        <v/>
      </c>
      <c r="BT38" s="17">
        <f>IF(COUNTIFS(T_SelfStock_Log[Part Name],$A38,T_SelfStock_Log[WeekIndex],71)=0,"",SUMIFS(T_SelfStock_Log[Self_Qty],T_SelfStock_Log[Part Name],$A38,T_SelfStock_Log[WeekIndex],71))</f>
        <v/>
      </c>
      <c r="BU38" s="17">
        <f>IF(COUNTIFS(T_SelfStock_Log[Part Name],$A38,T_SelfStock_Log[WeekIndex],72)=0,"",SUMIFS(T_SelfStock_Log[Self_Qty],T_SelfStock_Log[Part Name],$A38,T_SelfStock_Log[WeekIndex],72))</f>
        <v/>
      </c>
      <c r="BV38" s="17">
        <f>IF(COUNTIFS(T_SelfStock_Log[Part Name],$A38,T_SelfStock_Log[WeekIndex],73)=0,"",SUMIFS(T_SelfStock_Log[Self_Qty],T_SelfStock_Log[Part Name],$A38,T_SelfStock_Log[WeekIndex],73))</f>
        <v/>
      </c>
      <c r="BW38" s="17">
        <f>IF(COUNTIFS(T_SelfStock_Log[Part Name],$A38,T_SelfStock_Log[WeekIndex],74)=0,"",SUMIFS(T_SelfStock_Log[Self_Qty],T_SelfStock_Log[Part Name],$A38,T_SelfStock_Log[WeekIndex],74))</f>
        <v/>
      </c>
      <c r="BX38" s="17">
        <f>IF(COUNTIFS(T_SelfStock_Log[Part Name],$A38,T_SelfStock_Log[WeekIndex],75)=0,"",SUMIFS(T_SelfStock_Log[Self_Qty],T_SelfStock_Log[Part Name],$A38,T_SelfStock_Log[WeekIndex],75))</f>
        <v/>
      </c>
      <c r="BY38" s="17">
        <f>IF(COUNTIFS(T_SelfStock_Log[Part Name],$A38,T_SelfStock_Log[WeekIndex],76)=0,"",SUMIFS(T_SelfStock_Log[Self_Qty],T_SelfStock_Log[Part Name],$A38,T_SelfStock_Log[WeekIndex],76))</f>
        <v/>
      </c>
      <c r="BZ38" s="17">
        <f>IF(COUNTIFS(T_SelfStock_Log[Part Name],$A38,T_SelfStock_Log[WeekIndex],77)=0,"",SUMIFS(T_SelfStock_Log[Self_Qty],T_SelfStock_Log[Part Name],$A38,T_SelfStock_Log[WeekIndex],77))</f>
        <v/>
      </c>
      <c r="CA38" s="17">
        <f>IF(COUNTIFS(T_SelfStock_Log[Part Name],$A38,T_SelfStock_Log[WeekIndex],78)=0,"",SUMIFS(T_SelfStock_Log[Self_Qty],T_SelfStock_Log[Part Name],$A38,T_SelfStock_Log[WeekIndex],78))</f>
        <v/>
      </c>
      <c r="CB38" s="17">
        <f>IF(COUNTIFS(T_SelfStock_Log[Part Name],$A38,T_SelfStock_Log[WeekIndex],79)=0,"",SUMIFS(T_SelfStock_Log[Self_Qty],T_SelfStock_Log[Part Name],$A38,T_SelfStock_Log[WeekIndex],79))</f>
        <v/>
      </c>
      <c r="CC38" s="17">
        <f>IF(COUNTIFS(T_SelfStock_Log[Part Name],$A38,T_SelfStock_Log[WeekIndex],80)=0,"",SUMIFS(T_SelfStock_Log[Self_Qty],T_SelfStock_Log[Part Name],$A38,T_SelfStock_Log[WeekIndex],80))</f>
        <v/>
      </c>
      <c r="CD38" s="17">
        <f>IF(COUNTIFS(T_SelfStock_Log[Part Name],$A38,T_SelfStock_Log[WeekIndex],81)=0,"",SUMIFS(T_SelfStock_Log[Self_Qty],T_SelfStock_Log[Part Name],$A38,T_SelfStock_Log[WeekIndex],81))</f>
        <v/>
      </c>
      <c r="CE38" s="17">
        <f>IF(COUNTIFS(T_SelfStock_Log[Part Name],$A38,T_SelfStock_Log[WeekIndex],82)=0,"",SUMIFS(T_SelfStock_Log[Self_Qty],T_SelfStock_Log[Part Name],$A38,T_SelfStock_Log[WeekIndex],82))</f>
        <v/>
      </c>
      <c r="CF38" s="17">
        <f>IF(COUNTIFS(T_SelfStock_Log[Part Name],$A38,T_SelfStock_Log[WeekIndex],83)=0,"",SUMIFS(T_SelfStock_Log[Self_Qty],T_SelfStock_Log[Part Name],$A38,T_SelfStock_Log[WeekIndex],83))</f>
        <v/>
      </c>
      <c r="CG38" s="17">
        <f>IF(COUNTIFS(T_SelfStock_Log[Part Name],$A38,T_SelfStock_Log[WeekIndex],84)=0,"",SUMIFS(T_SelfStock_Log[Self_Qty],T_SelfStock_Log[Part Name],$A38,T_SelfStock_Log[WeekIndex],84))</f>
        <v/>
      </c>
      <c r="CH38" s="17">
        <f>IF(COUNTIFS(T_SelfStock_Log[Part Name],$A38,T_SelfStock_Log[WeekIndex],85)=0,"",SUMIFS(T_SelfStock_Log[Self_Qty],T_SelfStock_Log[Part Name],$A38,T_SelfStock_Log[WeekIndex],85))</f>
        <v/>
      </c>
      <c r="CI38" s="17">
        <f>IF(COUNTIFS(T_SelfStock_Log[Part Name],$A38,T_SelfStock_Log[WeekIndex],86)=0,"",SUMIFS(T_SelfStock_Log[Self_Qty],T_SelfStock_Log[Part Name],$A38,T_SelfStock_Log[WeekIndex],86))</f>
        <v/>
      </c>
      <c r="CJ38" s="17">
        <f>IF(COUNTIFS(T_SelfStock_Log[Part Name],$A38,T_SelfStock_Log[WeekIndex],87)=0,"",SUMIFS(T_SelfStock_Log[Self_Qty],T_SelfStock_Log[Part Name],$A38,T_SelfStock_Log[WeekIndex],87))</f>
        <v/>
      </c>
      <c r="CK38" s="17">
        <f>IF(COUNTIFS(T_SelfStock_Log[Part Name],$A38,T_SelfStock_Log[WeekIndex],88)=0,"",SUMIFS(T_SelfStock_Log[Self_Qty],T_SelfStock_Log[Part Name],$A38,T_SelfStock_Log[WeekIndex],88))</f>
        <v/>
      </c>
      <c r="CL38" s="17">
        <f>IF(COUNTIFS(T_SelfStock_Log[Part Name],$A38,T_SelfStock_Log[WeekIndex],89)=0,"",SUMIFS(T_SelfStock_Log[Self_Qty],T_SelfStock_Log[Part Name],$A38,T_SelfStock_Log[WeekIndex],89))</f>
        <v/>
      </c>
      <c r="CM38" s="17">
        <f>IF(COUNTIFS(T_SelfStock_Log[Part Name],$A38,T_SelfStock_Log[WeekIndex],90)=0,"",SUMIFS(T_SelfStock_Log[Self_Qty],T_SelfStock_Log[Part Name],$A38,T_SelfStock_Log[WeekIndex],90))</f>
        <v/>
      </c>
      <c r="CN38" s="17">
        <f>IF(COUNTIFS(T_SelfStock_Log[Part Name],$A38,T_SelfStock_Log[WeekIndex],91)=0,"",SUMIFS(T_SelfStock_Log[Self_Qty],T_SelfStock_Log[Part Name],$A38,T_SelfStock_Log[WeekIndex],91))</f>
        <v/>
      </c>
      <c r="CO38" s="17">
        <f>IF(COUNTIFS(T_SelfStock_Log[Part Name],$A38,T_SelfStock_Log[WeekIndex],92)=0,"",SUMIFS(T_SelfStock_Log[Self_Qty],T_SelfStock_Log[Part Name],$A38,T_SelfStock_Log[WeekIndex],92))</f>
        <v/>
      </c>
      <c r="CP38" s="17">
        <f>IF(COUNTIFS(T_SelfStock_Log[Part Name],$A38,T_SelfStock_Log[WeekIndex],93)=0,"",SUMIFS(T_SelfStock_Log[Self_Qty],T_SelfStock_Log[Part Name],$A38,T_SelfStock_Log[WeekIndex],93))</f>
        <v/>
      </c>
      <c r="CQ38" s="17">
        <f>IF(COUNTIFS(T_SelfStock_Log[Part Name],$A38,T_SelfStock_Log[WeekIndex],94)=0,"",SUMIFS(T_SelfStock_Log[Self_Qty],T_SelfStock_Log[Part Name],$A38,T_SelfStock_Log[WeekIndex],94))</f>
        <v/>
      </c>
      <c r="CR38" s="17">
        <f>IF(COUNTIFS(T_SelfStock_Log[Part Name],$A38,T_SelfStock_Log[WeekIndex],95)=0,"",SUMIFS(T_SelfStock_Log[Self_Qty],T_SelfStock_Log[Part Name],$A38,T_SelfStock_Log[WeekIndex],95))</f>
        <v/>
      </c>
      <c r="CS38" s="17">
        <f>IF(COUNTIFS(T_SelfStock_Log[Part Name],$A38,T_SelfStock_Log[WeekIndex],96)=0,"",SUMIFS(T_SelfStock_Log[Self_Qty],T_SelfStock_Log[Part Name],$A38,T_SelfStock_Log[WeekIndex],96))</f>
        <v/>
      </c>
      <c r="CT38" s="17">
        <f>IF(COUNTIFS(T_SelfStock_Log[Part Name],$A38,T_SelfStock_Log[WeekIndex],97)=0,"",SUMIFS(T_SelfStock_Log[Self_Qty],T_SelfStock_Log[Part Name],$A38,T_SelfStock_Log[WeekIndex],97))</f>
        <v/>
      </c>
      <c r="CU38" s="17">
        <f>IF(COUNTIFS(T_SelfStock_Log[Part Name],$A38,T_SelfStock_Log[WeekIndex],98)=0,"",SUMIFS(T_SelfStock_Log[Self_Qty],T_SelfStock_Log[Part Name],$A38,T_SelfStock_Log[WeekIndex],98))</f>
        <v/>
      </c>
      <c r="CV38" s="17">
        <f>IF(COUNTIFS(T_SelfStock_Log[Part Name],$A38,T_SelfStock_Log[WeekIndex],99)=0,"",SUMIFS(T_SelfStock_Log[Self_Qty],T_SelfStock_Log[Part Name],$A38,T_SelfStock_Log[WeekIndex],99))</f>
        <v/>
      </c>
      <c r="CW38" s="17">
        <f>IF(COUNTIFS(T_SelfStock_Log[Part Name],$A38,T_SelfStock_Log[WeekIndex],100)=0,"",SUMIFS(T_SelfStock_Log[Self_Qty],T_SelfStock_Log[Part Name],$A38,T_SelfStock_Log[WeekIndex],100))</f>
        <v/>
      </c>
      <c r="CX38" s="17">
        <f>IF(COUNTIFS(T_SelfStock_Log[Part Name],$A38,T_SelfStock_Log[WeekIndex],101)=0,"",SUMIFS(T_SelfStock_Log[Self_Qty],T_SelfStock_Log[Part Name],$A38,T_SelfStock_Log[WeekIndex],101))</f>
        <v/>
      </c>
      <c r="CY38" s="17">
        <f>IF(COUNTIFS(T_SelfStock_Log[Part Name],$A38,T_SelfStock_Log[WeekIndex],102)=0,"",SUMIFS(T_SelfStock_Log[Self_Qty],T_SelfStock_Log[Part Name],$A38,T_SelfStock_Log[WeekIndex],102))</f>
        <v/>
      </c>
      <c r="CZ38" s="17">
        <f>IF(COUNTIFS(T_SelfStock_Log[Part Name],$A38,T_SelfStock_Log[WeekIndex],103)=0,"",SUMIFS(T_SelfStock_Log[Self_Qty],T_SelfStock_Log[Part Name],$A38,T_SelfStock_Log[WeekIndex],103))</f>
        <v/>
      </c>
      <c r="DA38" s="17">
        <f>IF(COUNTIFS(T_SelfStock_Log[Part Name],$A38,T_SelfStock_Log[WeekIndex],104)=0,"",SUMIFS(T_SelfStock_Log[Self_Qty],T_SelfStock_Log[Part Name],$A38,T_SelfStock_Log[WeekIndex],104))</f>
        <v/>
      </c>
    </row>
    <row r="39">
      <c r="A39" s="19" t="inlineStr">
        <is>
          <t>CHEM-1660</t>
        </is>
      </c>
      <c r="B39" s="19">
        <f>IF(COUNTIFS(T_SelfStock_Log[Part Name],$A39,T_SelfStock_Log[WeekIndex],1)=0,"",SUMIFS(T_SelfStock_Log[Self_Qty],T_SelfStock_Log[Part Name],$A39,T_SelfStock_Log[WeekIndex],1))</f>
        <v/>
      </c>
      <c r="C39" s="19">
        <f>IF(COUNTIFS(T_SelfStock_Log[Part Name],$A39,T_SelfStock_Log[WeekIndex],2)=0,"",SUMIFS(T_SelfStock_Log[Self_Qty],T_SelfStock_Log[Part Name],$A39,T_SelfStock_Log[WeekIndex],2))</f>
        <v/>
      </c>
      <c r="D39" s="19">
        <f>IF(COUNTIFS(T_SelfStock_Log[Part Name],$A39,T_SelfStock_Log[WeekIndex],3)=0,"",SUMIFS(T_SelfStock_Log[Self_Qty],T_SelfStock_Log[Part Name],$A39,T_SelfStock_Log[WeekIndex],3))</f>
        <v/>
      </c>
      <c r="E39" s="19">
        <f>IF(COUNTIFS(T_SelfStock_Log[Part Name],$A39,T_SelfStock_Log[WeekIndex],4)=0,"",SUMIFS(T_SelfStock_Log[Self_Qty],T_SelfStock_Log[Part Name],$A39,T_SelfStock_Log[WeekIndex],4))</f>
        <v/>
      </c>
      <c r="F39" s="19">
        <f>IF(COUNTIFS(T_SelfStock_Log[Part Name],$A39,T_SelfStock_Log[WeekIndex],5)=0,"",SUMIFS(T_SelfStock_Log[Self_Qty],T_SelfStock_Log[Part Name],$A39,T_SelfStock_Log[WeekIndex],5))</f>
        <v/>
      </c>
      <c r="G39" s="19">
        <f>IF(COUNTIFS(T_SelfStock_Log[Part Name],$A39,T_SelfStock_Log[WeekIndex],6)=0,"",SUMIFS(T_SelfStock_Log[Self_Qty],T_SelfStock_Log[Part Name],$A39,T_SelfStock_Log[WeekIndex],6))</f>
        <v/>
      </c>
      <c r="H39" s="19">
        <f>IF(COUNTIFS(T_SelfStock_Log[Part Name],$A39,T_SelfStock_Log[WeekIndex],7)=0,"",SUMIFS(T_SelfStock_Log[Self_Qty],T_SelfStock_Log[Part Name],$A39,T_SelfStock_Log[WeekIndex],7))</f>
        <v/>
      </c>
      <c r="I39" s="19">
        <f>IF(COUNTIFS(T_SelfStock_Log[Part Name],$A39,T_SelfStock_Log[WeekIndex],8)=0,"",SUMIFS(T_SelfStock_Log[Self_Qty],T_SelfStock_Log[Part Name],$A39,T_SelfStock_Log[WeekIndex],8))</f>
        <v/>
      </c>
      <c r="J39" s="19">
        <f>IF(COUNTIFS(T_SelfStock_Log[Part Name],$A39,T_SelfStock_Log[WeekIndex],9)=0,"",SUMIFS(T_SelfStock_Log[Self_Qty],T_SelfStock_Log[Part Name],$A39,T_SelfStock_Log[WeekIndex],9))</f>
        <v/>
      </c>
      <c r="K39" s="19">
        <f>IF(COUNTIFS(T_SelfStock_Log[Part Name],$A39,T_SelfStock_Log[WeekIndex],10)=0,"",SUMIFS(T_SelfStock_Log[Self_Qty],T_SelfStock_Log[Part Name],$A39,T_SelfStock_Log[WeekIndex],10))</f>
        <v/>
      </c>
      <c r="L39" s="19">
        <f>IF(COUNTIFS(T_SelfStock_Log[Part Name],$A39,T_SelfStock_Log[WeekIndex],11)=0,"",SUMIFS(T_SelfStock_Log[Self_Qty],T_SelfStock_Log[Part Name],$A39,T_SelfStock_Log[WeekIndex],11))</f>
        <v/>
      </c>
      <c r="M39" s="19">
        <f>IF(COUNTIFS(T_SelfStock_Log[Part Name],$A39,T_SelfStock_Log[WeekIndex],12)=0,"",SUMIFS(T_SelfStock_Log[Self_Qty],T_SelfStock_Log[Part Name],$A39,T_SelfStock_Log[WeekIndex],12))</f>
        <v/>
      </c>
      <c r="N39" s="19">
        <f>IF(COUNTIFS(T_SelfStock_Log[Part Name],$A39,T_SelfStock_Log[WeekIndex],13)=0,"",SUMIFS(T_SelfStock_Log[Self_Qty],T_SelfStock_Log[Part Name],$A39,T_SelfStock_Log[WeekIndex],13))</f>
        <v/>
      </c>
      <c r="O39" s="19">
        <f>IF(COUNTIFS(T_SelfStock_Log[Part Name],$A39,T_SelfStock_Log[WeekIndex],14)=0,"",SUMIFS(T_SelfStock_Log[Self_Qty],T_SelfStock_Log[Part Name],$A39,T_SelfStock_Log[WeekIndex],14))</f>
        <v/>
      </c>
      <c r="P39" s="19">
        <f>IF(COUNTIFS(T_SelfStock_Log[Part Name],$A39,T_SelfStock_Log[WeekIndex],15)=0,"",SUMIFS(T_SelfStock_Log[Self_Qty],T_SelfStock_Log[Part Name],$A39,T_SelfStock_Log[WeekIndex],15))</f>
        <v/>
      </c>
      <c r="Q39" s="19">
        <f>IF(COUNTIFS(T_SelfStock_Log[Part Name],$A39,T_SelfStock_Log[WeekIndex],16)=0,"",SUMIFS(T_SelfStock_Log[Self_Qty],T_SelfStock_Log[Part Name],$A39,T_SelfStock_Log[WeekIndex],16))</f>
        <v/>
      </c>
      <c r="R39" s="19">
        <f>IF(COUNTIFS(T_SelfStock_Log[Part Name],$A39,T_SelfStock_Log[WeekIndex],17)=0,"",SUMIFS(T_SelfStock_Log[Self_Qty],T_SelfStock_Log[Part Name],$A39,T_SelfStock_Log[WeekIndex],17))</f>
        <v/>
      </c>
      <c r="S39" s="19">
        <f>IF(COUNTIFS(T_SelfStock_Log[Part Name],$A39,T_SelfStock_Log[WeekIndex],18)=0,"",SUMIFS(T_SelfStock_Log[Self_Qty],T_SelfStock_Log[Part Name],$A39,T_SelfStock_Log[WeekIndex],18))</f>
        <v/>
      </c>
      <c r="T39" s="19">
        <f>IF(COUNTIFS(T_SelfStock_Log[Part Name],$A39,T_SelfStock_Log[WeekIndex],19)=0,"",SUMIFS(T_SelfStock_Log[Self_Qty],T_SelfStock_Log[Part Name],$A39,T_SelfStock_Log[WeekIndex],19))</f>
        <v/>
      </c>
      <c r="U39" s="19">
        <f>IF(COUNTIFS(T_SelfStock_Log[Part Name],$A39,T_SelfStock_Log[WeekIndex],20)=0,"",SUMIFS(T_SelfStock_Log[Self_Qty],T_SelfStock_Log[Part Name],$A39,T_SelfStock_Log[WeekIndex],20))</f>
        <v/>
      </c>
      <c r="V39" s="19">
        <f>IF(COUNTIFS(T_SelfStock_Log[Part Name],$A39,T_SelfStock_Log[WeekIndex],21)=0,"",SUMIFS(T_SelfStock_Log[Self_Qty],T_SelfStock_Log[Part Name],$A39,T_SelfStock_Log[WeekIndex],21))</f>
        <v/>
      </c>
      <c r="W39" s="19">
        <f>IF(COUNTIFS(T_SelfStock_Log[Part Name],$A39,T_SelfStock_Log[WeekIndex],22)=0,"",SUMIFS(T_SelfStock_Log[Self_Qty],T_SelfStock_Log[Part Name],$A39,T_SelfStock_Log[WeekIndex],22))</f>
        <v/>
      </c>
      <c r="X39" s="19">
        <f>IF(COUNTIFS(T_SelfStock_Log[Part Name],$A39,T_SelfStock_Log[WeekIndex],23)=0,"",SUMIFS(T_SelfStock_Log[Self_Qty],T_SelfStock_Log[Part Name],$A39,T_SelfStock_Log[WeekIndex],23))</f>
        <v/>
      </c>
      <c r="Y39" s="19">
        <f>IF(COUNTIFS(T_SelfStock_Log[Part Name],$A39,T_SelfStock_Log[WeekIndex],24)=0,"",SUMIFS(T_SelfStock_Log[Self_Qty],T_SelfStock_Log[Part Name],$A39,T_SelfStock_Log[WeekIndex],24))</f>
        <v/>
      </c>
      <c r="Z39" s="19">
        <f>IF(COUNTIFS(T_SelfStock_Log[Part Name],$A39,T_SelfStock_Log[WeekIndex],25)=0,"",SUMIFS(T_SelfStock_Log[Self_Qty],T_SelfStock_Log[Part Name],$A39,T_SelfStock_Log[WeekIndex],25))</f>
        <v/>
      </c>
      <c r="AA39" s="19">
        <f>IF(COUNTIFS(T_SelfStock_Log[Part Name],$A39,T_SelfStock_Log[WeekIndex],26)=0,"",SUMIFS(T_SelfStock_Log[Self_Qty],T_SelfStock_Log[Part Name],$A39,T_SelfStock_Log[WeekIndex],26))</f>
        <v/>
      </c>
      <c r="AB39" s="19">
        <f>IF(COUNTIFS(T_SelfStock_Log[Part Name],$A39,T_SelfStock_Log[WeekIndex],27)=0,"",SUMIFS(T_SelfStock_Log[Self_Qty],T_SelfStock_Log[Part Name],$A39,T_SelfStock_Log[WeekIndex],27))</f>
        <v/>
      </c>
      <c r="AC39" s="19">
        <f>IF(COUNTIFS(T_SelfStock_Log[Part Name],$A39,T_SelfStock_Log[WeekIndex],28)=0,"",SUMIFS(T_SelfStock_Log[Self_Qty],T_SelfStock_Log[Part Name],$A39,T_SelfStock_Log[WeekIndex],28))</f>
        <v/>
      </c>
      <c r="AD39" s="19">
        <f>IF(COUNTIFS(T_SelfStock_Log[Part Name],$A39,T_SelfStock_Log[WeekIndex],29)=0,"",SUMIFS(T_SelfStock_Log[Self_Qty],T_SelfStock_Log[Part Name],$A39,T_SelfStock_Log[WeekIndex],29))</f>
        <v/>
      </c>
      <c r="AE39" s="19">
        <f>IF(COUNTIFS(T_SelfStock_Log[Part Name],$A39,T_SelfStock_Log[WeekIndex],30)=0,"",SUMIFS(T_SelfStock_Log[Self_Qty],T_SelfStock_Log[Part Name],$A39,T_SelfStock_Log[WeekIndex],30))</f>
        <v/>
      </c>
      <c r="AF39" s="19">
        <f>IF(COUNTIFS(T_SelfStock_Log[Part Name],$A39,T_SelfStock_Log[WeekIndex],31)=0,"",SUMIFS(T_SelfStock_Log[Self_Qty],T_SelfStock_Log[Part Name],$A39,T_SelfStock_Log[WeekIndex],31))</f>
        <v/>
      </c>
      <c r="AG39" s="19">
        <f>IF(COUNTIFS(T_SelfStock_Log[Part Name],$A39,T_SelfStock_Log[WeekIndex],32)=0,"",SUMIFS(T_SelfStock_Log[Self_Qty],T_SelfStock_Log[Part Name],$A39,T_SelfStock_Log[WeekIndex],32))</f>
        <v/>
      </c>
      <c r="AH39" s="19">
        <f>IF(COUNTIFS(T_SelfStock_Log[Part Name],$A39,T_SelfStock_Log[WeekIndex],33)=0,"",SUMIFS(T_SelfStock_Log[Self_Qty],T_SelfStock_Log[Part Name],$A39,T_SelfStock_Log[WeekIndex],33))</f>
        <v/>
      </c>
      <c r="AI39" s="19">
        <f>IF(COUNTIFS(T_SelfStock_Log[Part Name],$A39,T_SelfStock_Log[WeekIndex],34)=0,"",SUMIFS(T_SelfStock_Log[Self_Qty],T_SelfStock_Log[Part Name],$A39,T_SelfStock_Log[WeekIndex],34))</f>
        <v/>
      </c>
      <c r="AJ39" s="19">
        <f>IF(COUNTIFS(T_SelfStock_Log[Part Name],$A39,T_SelfStock_Log[WeekIndex],35)=0,"",SUMIFS(T_SelfStock_Log[Self_Qty],T_SelfStock_Log[Part Name],$A39,T_SelfStock_Log[WeekIndex],35))</f>
        <v/>
      </c>
      <c r="AK39" s="19">
        <f>IF(COUNTIFS(T_SelfStock_Log[Part Name],$A39,T_SelfStock_Log[WeekIndex],36)=0,"",SUMIFS(T_SelfStock_Log[Self_Qty],T_SelfStock_Log[Part Name],$A39,T_SelfStock_Log[WeekIndex],36))</f>
        <v/>
      </c>
      <c r="AL39" s="19">
        <f>IF(COUNTIFS(T_SelfStock_Log[Part Name],$A39,T_SelfStock_Log[WeekIndex],37)=0,"",SUMIFS(T_SelfStock_Log[Self_Qty],T_SelfStock_Log[Part Name],$A39,T_SelfStock_Log[WeekIndex],37))</f>
        <v/>
      </c>
      <c r="AM39" s="19">
        <f>IF(COUNTIFS(T_SelfStock_Log[Part Name],$A39,T_SelfStock_Log[WeekIndex],38)=0,"",SUMIFS(T_SelfStock_Log[Self_Qty],T_SelfStock_Log[Part Name],$A39,T_SelfStock_Log[WeekIndex],38))</f>
        <v/>
      </c>
      <c r="AN39" s="19">
        <f>IF(COUNTIFS(T_SelfStock_Log[Part Name],$A39,T_SelfStock_Log[WeekIndex],39)=0,"",SUMIFS(T_SelfStock_Log[Self_Qty],T_SelfStock_Log[Part Name],$A39,T_SelfStock_Log[WeekIndex],39))</f>
        <v/>
      </c>
      <c r="AO39" s="19">
        <f>IF(COUNTIFS(T_SelfStock_Log[Part Name],$A39,T_SelfStock_Log[WeekIndex],40)=0,"",SUMIFS(T_SelfStock_Log[Self_Qty],T_SelfStock_Log[Part Name],$A39,T_SelfStock_Log[WeekIndex],40))</f>
        <v/>
      </c>
      <c r="AP39" s="19">
        <f>IF(COUNTIFS(T_SelfStock_Log[Part Name],$A39,T_SelfStock_Log[WeekIndex],41)=0,"",SUMIFS(T_SelfStock_Log[Self_Qty],T_SelfStock_Log[Part Name],$A39,T_SelfStock_Log[WeekIndex],41))</f>
        <v/>
      </c>
      <c r="AQ39" s="19">
        <f>IF(COUNTIFS(T_SelfStock_Log[Part Name],$A39,T_SelfStock_Log[WeekIndex],42)=0,"",SUMIFS(T_SelfStock_Log[Self_Qty],T_SelfStock_Log[Part Name],$A39,T_SelfStock_Log[WeekIndex],42))</f>
        <v/>
      </c>
      <c r="AR39" s="19">
        <f>IF(COUNTIFS(T_SelfStock_Log[Part Name],$A39,T_SelfStock_Log[WeekIndex],43)=0,"",SUMIFS(T_SelfStock_Log[Self_Qty],T_SelfStock_Log[Part Name],$A39,T_SelfStock_Log[WeekIndex],43))</f>
        <v/>
      </c>
      <c r="AS39" s="19">
        <f>IF(COUNTIFS(T_SelfStock_Log[Part Name],$A39,T_SelfStock_Log[WeekIndex],44)=0,"",SUMIFS(T_SelfStock_Log[Self_Qty],T_SelfStock_Log[Part Name],$A39,T_SelfStock_Log[WeekIndex],44))</f>
        <v/>
      </c>
      <c r="AT39" s="19">
        <f>IF(COUNTIFS(T_SelfStock_Log[Part Name],$A39,T_SelfStock_Log[WeekIndex],45)=0,"",SUMIFS(T_SelfStock_Log[Self_Qty],T_SelfStock_Log[Part Name],$A39,T_SelfStock_Log[WeekIndex],45))</f>
        <v/>
      </c>
      <c r="AU39" s="19">
        <f>IF(COUNTIFS(T_SelfStock_Log[Part Name],$A39,T_SelfStock_Log[WeekIndex],46)=0,"",SUMIFS(T_SelfStock_Log[Self_Qty],T_SelfStock_Log[Part Name],$A39,T_SelfStock_Log[WeekIndex],46))</f>
        <v/>
      </c>
      <c r="AV39" s="19">
        <f>IF(COUNTIFS(T_SelfStock_Log[Part Name],$A39,T_SelfStock_Log[WeekIndex],47)=0,"",SUMIFS(T_SelfStock_Log[Self_Qty],T_SelfStock_Log[Part Name],$A39,T_SelfStock_Log[WeekIndex],47))</f>
        <v/>
      </c>
      <c r="AW39" s="19">
        <f>IF(COUNTIFS(T_SelfStock_Log[Part Name],$A39,T_SelfStock_Log[WeekIndex],48)=0,"",SUMIFS(T_SelfStock_Log[Self_Qty],T_SelfStock_Log[Part Name],$A39,T_SelfStock_Log[WeekIndex],48))</f>
        <v/>
      </c>
      <c r="AX39" s="19">
        <f>IF(COUNTIFS(T_SelfStock_Log[Part Name],$A39,T_SelfStock_Log[WeekIndex],49)=0,"",SUMIFS(T_SelfStock_Log[Self_Qty],T_SelfStock_Log[Part Name],$A39,T_SelfStock_Log[WeekIndex],49))</f>
        <v/>
      </c>
      <c r="AY39" s="19">
        <f>IF(COUNTIFS(T_SelfStock_Log[Part Name],$A39,T_SelfStock_Log[WeekIndex],50)=0,"",SUMIFS(T_SelfStock_Log[Self_Qty],T_SelfStock_Log[Part Name],$A39,T_SelfStock_Log[WeekIndex],50))</f>
        <v/>
      </c>
      <c r="AZ39" s="19">
        <f>IF(COUNTIFS(T_SelfStock_Log[Part Name],$A39,T_SelfStock_Log[WeekIndex],51)=0,"",SUMIFS(T_SelfStock_Log[Self_Qty],T_SelfStock_Log[Part Name],$A39,T_SelfStock_Log[WeekIndex],51))</f>
        <v/>
      </c>
      <c r="BA39" s="19">
        <f>IF(COUNTIFS(T_SelfStock_Log[Part Name],$A39,T_SelfStock_Log[WeekIndex],52)=0,"",SUMIFS(T_SelfStock_Log[Self_Qty],T_SelfStock_Log[Part Name],$A39,T_SelfStock_Log[WeekIndex],52))</f>
        <v/>
      </c>
      <c r="BB39" s="19">
        <f>IF(COUNTIFS(T_SelfStock_Log[Part Name],$A39,T_SelfStock_Log[WeekIndex],53)=0,"",SUMIFS(T_SelfStock_Log[Self_Qty],T_SelfStock_Log[Part Name],$A39,T_SelfStock_Log[WeekIndex],53))</f>
        <v/>
      </c>
      <c r="BC39" s="19">
        <f>IF(COUNTIFS(T_SelfStock_Log[Part Name],$A39,T_SelfStock_Log[WeekIndex],54)=0,"",SUMIFS(T_SelfStock_Log[Self_Qty],T_SelfStock_Log[Part Name],$A39,T_SelfStock_Log[WeekIndex],54))</f>
        <v/>
      </c>
      <c r="BD39" s="19">
        <f>IF(COUNTIFS(T_SelfStock_Log[Part Name],$A39,T_SelfStock_Log[WeekIndex],55)=0,"",SUMIFS(T_SelfStock_Log[Self_Qty],T_SelfStock_Log[Part Name],$A39,T_SelfStock_Log[WeekIndex],55))</f>
        <v/>
      </c>
      <c r="BE39" s="19">
        <f>IF(COUNTIFS(T_SelfStock_Log[Part Name],$A39,T_SelfStock_Log[WeekIndex],56)=0,"",SUMIFS(T_SelfStock_Log[Self_Qty],T_SelfStock_Log[Part Name],$A39,T_SelfStock_Log[WeekIndex],56))</f>
        <v/>
      </c>
      <c r="BF39" s="19">
        <f>IF(COUNTIFS(T_SelfStock_Log[Part Name],$A39,T_SelfStock_Log[WeekIndex],57)=0,"",SUMIFS(T_SelfStock_Log[Self_Qty],T_SelfStock_Log[Part Name],$A39,T_SelfStock_Log[WeekIndex],57))</f>
        <v/>
      </c>
      <c r="BG39" s="19">
        <f>IF(COUNTIFS(T_SelfStock_Log[Part Name],$A39,T_SelfStock_Log[WeekIndex],58)=0,"",SUMIFS(T_SelfStock_Log[Self_Qty],T_SelfStock_Log[Part Name],$A39,T_SelfStock_Log[WeekIndex],58))</f>
        <v/>
      </c>
      <c r="BH39" s="19">
        <f>IF(COUNTIFS(T_SelfStock_Log[Part Name],$A39,T_SelfStock_Log[WeekIndex],59)=0,"",SUMIFS(T_SelfStock_Log[Self_Qty],T_SelfStock_Log[Part Name],$A39,T_SelfStock_Log[WeekIndex],59))</f>
        <v/>
      </c>
      <c r="BI39" s="19">
        <f>IF(COUNTIFS(T_SelfStock_Log[Part Name],$A39,T_SelfStock_Log[WeekIndex],60)=0,"",SUMIFS(T_SelfStock_Log[Self_Qty],T_SelfStock_Log[Part Name],$A39,T_SelfStock_Log[WeekIndex],60))</f>
        <v/>
      </c>
      <c r="BJ39" s="19">
        <f>IF(COUNTIFS(T_SelfStock_Log[Part Name],$A39,T_SelfStock_Log[WeekIndex],61)=0,"",SUMIFS(T_SelfStock_Log[Self_Qty],T_SelfStock_Log[Part Name],$A39,T_SelfStock_Log[WeekIndex],61))</f>
        <v/>
      </c>
      <c r="BK39" s="19">
        <f>IF(COUNTIFS(T_SelfStock_Log[Part Name],$A39,T_SelfStock_Log[WeekIndex],62)=0,"",SUMIFS(T_SelfStock_Log[Self_Qty],T_SelfStock_Log[Part Name],$A39,T_SelfStock_Log[WeekIndex],62))</f>
        <v/>
      </c>
      <c r="BL39" s="19">
        <f>IF(COUNTIFS(T_SelfStock_Log[Part Name],$A39,T_SelfStock_Log[WeekIndex],63)=0,"",SUMIFS(T_SelfStock_Log[Self_Qty],T_SelfStock_Log[Part Name],$A39,T_SelfStock_Log[WeekIndex],63))</f>
        <v/>
      </c>
      <c r="BM39" s="19">
        <f>IF(COUNTIFS(T_SelfStock_Log[Part Name],$A39,T_SelfStock_Log[WeekIndex],64)=0,"",SUMIFS(T_SelfStock_Log[Self_Qty],T_SelfStock_Log[Part Name],$A39,T_SelfStock_Log[WeekIndex],64))</f>
        <v/>
      </c>
      <c r="BN39" s="19">
        <f>IF(COUNTIFS(T_SelfStock_Log[Part Name],$A39,T_SelfStock_Log[WeekIndex],65)=0,"",SUMIFS(T_SelfStock_Log[Self_Qty],T_SelfStock_Log[Part Name],$A39,T_SelfStock_Log[WeekIndex],65))</f>
        <v/>
      </c>
      <c r="BO39" s="19">
        <f>IF(COUNTIFS(T_SelfStock_Log[Part Name],$A39,T_SelfStock_Log[WeekIndex],66)=0,"",SUMIFS(T_SelfStock_Log[Self_Qty],T_SelfStock_Log[Part Name],$A39,T_SelfStock_Log[WeekIndex],66))</f>
        <v/>
      </c>
      <c r="BP39" s="19">
        <f>IF(COUNTIFS(T_SelfStock_Log[Part Name],$A39,T_SelfStock_Log[WeekIndex],67)=0,"",SUMIFS(T_SelfStock_Log[Self_Qty],T_SelfStock_Log[Part Name],$A39,T_SelfStock_Log[WeekIndex],67))</f>
        <v/>
      </c>
      <c r="BQ39" s="19">
        <f>IF(COUNTIFS(T_SelfStock_Log[Part Name],$A39,T_SelfStock_Log[WeekIndex],68)=0,"",SUMIFS(T_SelfStock_Log[Self_Qty],T_SelfStock_Log[Part Name],$A39,T_SelfStock_Log[WeekIndex],68))</f>
        <v/>
      </c>
      <c r="BR39" s="19">
        <f>IF(COUNTIFS(T_SelfStock_Log[Part Name],$A39,T_SelfStock_Log[WeekIndex],69)=0,"",SUMIFS(T_SelfStock_Log[Self_Qty],T_SelfStock_Log[Part Name],$A39,T_SelfStock_Log[WeekIndex],69))</f>
        <v/>
      </c>
      <c r="BS39" s="19">
        <f>IF(COUNTIFS(T_SelfStock_Log[Part Name],$A39,T_SelfStock_Log[WeekIndex],70)=0,"",SUMIFS(T_SelfStock_Log[Self_Qty],T_SelfStock_Log[Part Name],$A39,T_SelfStock_Log[WeekIndex],70))</f>
        <v/>
      </c>
      <c r="BT39" s="19">
        <f>IF(COUNTIFS(T_SelfStock_Log[Part Name],$A39,T_SelfStock_Log[WeekIndex],71)=0,"",SUMIFS(T_SelfStock_Log[Self_Qty],T_SelfStock_Log[Part Name],$A39,T_SelfStock_Log[WeekIndex],71))</f>
        <v/>
      </c>
      <c r="BU39" s="19">
        <f>IF(COUNTIFS(T_SelfStock_Log[Part Name],$A39,T_SelfStock_Log[WeekIndex],72)=0,"",SUMIFS(T_SelfStock_Log[Self_Qty],T_SelfStock_Log[Part Name],$A39,T_SelfStock_Log[WeekIndex],72))</f>
        <v/>
      </c>
      <c r="BV39" s="19">
        <f>IF(COUNTIFS(T_SelfStock_Log[Part Name],$A39,T_SelfStock_Log[WeekIndex],73)=0,"",SUMIFS(T_SelfStock_Log[Self_Qty],T_SelfStock_Log[Part Name],$A39,T_SelfStock_Log[WeekIndex],73))</f>
        <v/>
      </c>
      <c r="BW39" s="19">
        <f>IF(COUNTIFS(T_SelfStock_Log[Part Name],$A39,T_SelfStock_Log[WeekIndex],74)=0,"",SUMIFS(T_SelfStock_Log[Self_Qty],T_SelfStock_Log[Part Name],$A39,T_SelfStock_Log[WeekIndex],74))</f>
        <v/>
      </c>
      <c r="BX39" s="19">
        <f>IF(COUNTIFS(T_SelfStock_Log[Part Name],$A39,T_SelfStock_Log[WeekIndex],75)=0,"",SUMIFS(T_SelfStock_Log[Self_Qty],T_SelfStock_Log[Part Name],$A39,T_SelfStock_Log[WeekIndex],75))</f>
        <v/>
      </c>
      <c r="BY39" s="19">
        <f>IF(COUNTIFS(T_SelfStock_Log[Part Name],$A39,T_SelfStock_Log[WeekIndex],76)=0,"",SUMIFS(T_SelfStock_Log[Self_Qty],T_SelfStock_Log[Part Name],$A39,T_SelfStock_Log[WeekIndex],76))</f>
        <v/>
      </c>
      <c r="BZ39" s="19">
        <f>IF(COUNTIFS(T_SelfStock_Log[Part Name],$A39,T_SelfStock_Log[WeekIndex],77)=0,"",SUMIFS(T_SelfStock_Log[Self_Qty],T_SelfStock_Log[Part Name],$A39,T_SelfStock_Log[WeekIndex],77))</f>
        <v/>
      </c>
      <c r="CA39" s="19">
        <f>IF(COUNTIFS(T_SelfStock_Log[Part Name],$A39,T_SelfStock_Log[WeekIndex],78)=0,"",SUMIFS(T_SelfStock_Log[Self_Qty],T_SelfStock_Log[Part Name],$A39,T_SelfStock_Log[WeekIndex],78))</f>
        <v/>
      </c>
      <c r="CB39" s="19">
        <f>IF(COUNTIFS(T_SelfStock_Log[Part Name],$A39,T_SelfStock_Log[WeekIndex],79)=0,"",SUMIFS(T_SelfStock_Log[Self_Qty],T_SelfStock_Log[Part Name],$A39,T_SelfStock_Log[WeekIndex],79))</f>
        <v/>
      </c>
      <c r="CC39" s="19">
        <f>IF(COUNTIFS(T_SelfStock_Log[Part Name],$A39,T_SelfStock_Log[WeekIndex],80)=0,"",SUMIFS(T_SelfStock_Log[Self_Qty],T_SelfStock_Log[Part Name],$A39,T_SelfStock_Log[WeekIndex],80))</f>
        <v/>
      </c>
      <c r="CD39" s="19">
        <f>IF(COUNTIFS(T_SelfStock_Log[Part Name],$A39,T_SelfStock_Log[WeekIndex],81)=0,"",SUMIFS(T_SelfStock_Log[Self_Qty],T_SelfStock_Log[Part Name],$A39,T_SelfStock_Log[WeekIndex],81))</f>
        <v/>
      </c>
      <c r="CE39" s="19">
        <f>IF(COUNTIFS(T_SelfStock_Log[Part Name],$A39,T_SelfStock_Log[WeekIndex],82)=0,"",SUMIFS(T_SelfStock_Log[Self_Qty],T_SelfStock_Log[Part Name],$A39,T_SelfStock_Log[WeekIndex],82))</f>
        <v/>
      </c>
      <c r="CF39" s="19">
        <f>IF(COUNTIFS(T_SelfStock_Log[Part Name],$A39,T_SelfStock_Log[WeekIndex],83)=0,"",SUMIFS(T_SelfStock_Log[Self_Qty],T_SelfStock_Log[Part Name],$A39,T_SelfStock_Log[WeekIndex],83))</f>
        <v/>
      </c>
      <c r="CG39" s="19">
        <f>IF(COUNTIFS(T_SelfStock_Log[Part Name],$A39,T_SelfStock_Log[WeekIndex],84)=0,"",SUMIFS(T_SelfStock_Log[Self_Qty],T_SelfStock_Log[Part Name],$A39,T_SelfStock_Log[WeekIndex],84))</f>
        <v/>
      </c>
      <c r="CH39" s="19">
        <f>IF(COUNTIFS(T_SelfStock_Log[Part Name],$A39,T_SelfStock_Log[WeekIndex],85)=0,"",SUMIFS(T_SelfStock_Log[Self_Qty],T_SelfStock_Log[Part Name],$A39,T_SelfStock_Log[WeekIndex],85))</f>
        <v/>
      </c>
      <c r="CI39" s="19">
        <f>IF(COUNTIFS(T_SelfStock_Log[Part Name],$A39,T_SelfStock_Log[WeekIndex],86)=0,"",SUMIFS(T_SelfStock_Log[Self_Qty],T_SelfStock_Log[Part Name],$A39,T_SelfStock_Log[WeekIndex],86))</f>
        <v/>
      </c>
      <c r="CJ39" s="19">
        <f>IF(COUNTIFS(T_SelfStock_Log[Part Name],$A39,T_SelfStock_Log[WeekIndex],87)=0,"",SUMIFS(T_SelfStock_Log[Self_Qty],T_SelfStock_Log[Part Name],$A39,T_SelfStock_Log[WeekIndex],87))</f>
        <v/>
      </c>
      <c r="CK39" s="19">
        <f>IF(COUNTIFS(T_SelfStock_Log[Part Name],$A39,T_SelfStock_Log[WeekIndex],88)=0,"",SUMIFS(T_SelfStock_Log[Self_Qty],T_SelfStock_Log[Part Name],$A39,T_SelfStock_Log[WeekIndex],88))</f>
        <v/>
      </c>
      <c r="CL39" s="19">
        <f>IF(COUNTIFS(T_SelfStock_Log[Part Name],$A39,T_SelfStock_Log[WeekIndex],89)=0,"",SUMIFS(T_SelfStock_Log[Self_Qty],T_SelfStock_Log[Part Name],$A39,T_SelfStock_Log[WeekIndex],89))</f>
        <v/>
      </c>
      <c r="CM39" s="19">
        <f>IF(COUNTIFS(T_SelfStock_Log[Part Name],$A39,T_SelfStock_Log[WeekIndex],90)=0,"",SUMIFS(T_SelfStock_Log[Self_Qty],T_SelfStock_Log[Part Name],$A39,T_SelfStock_Log[WeekIndex],90))</f>
        <v/>
      </c>
      <c r="CN39" s="19">
        <f>IF(COUNTIFS(T_SelfStock_Log[Part Name],$A39,T_SelfStock_Log[WeekIndex],91)=0,"",SUMIFS(T_SelfStock_Log[Self_Qty],T_SelfStock_Log[Part Name],$A39,T_SelfStock_Log[WeekIndex],91))</f>
        <v/>
      </c>
      <c r="CO39" s="19">
        <f>IF(COUNTIFS(T_SelfStock_Log[Part Name],$A39,T_SelfStock_Log[WeekIndex],92)=0,"",SUMIFS(T_SelfStock_Log[Self_Qty],T_SelfStock_Log[Part Name],$A39,T_SelfStock_Log[WeekIndex],92))</f>
        <v/>
      </c>
      <c r="CP39" s="19">
        <f>IF(COUNTIFS(T_SelfStock_Log[Part Name],$A39,T_SelfStock_Log[WeekIndex],93)=0,"",SUMIFS(T_SelfStock_Log[Self_Qty],T_SelfStock_Log[Part Name],$A39,T_SelfStock_Log[WeekIndex],93))</f>
        <v/>
      </c>
      <c r="CQ39" s="19">
        <f>IF(COUNTIFS(T_SelfStock_Log[Part Name],$A39,T_SelfStock_Log[WeekIndex],94)=0,"",SUMIFS(T_SelfStock_Log[Self_Qty],T_SelfStock_Log[Part Name],$A39,T_SelfStock_Log[WeekIndex],94))</f>
        <v/>
      </c>
      <c r="CR39" s="19">
        <f>IF(COUNTIFS(T_SelfStock_Log[Part Name],$A39,T_SelfStock_Log[WeekIndex],95)=0,"",SUMIFS(T_SelfStock_Log[Self_Qty],T_SelfStock_Log[Part Name],$A39,T_SelfStock_Log[WeekIndex],95))</f>
        <v/>
      </c>
      <c r="CS39" s="19">
        <f>IF(COUNTIFS(T_SelfStock_Log[Part Name],$A39,T_SelfStock_Log[WeekIndex],96)=0,"",SUMIFS(T_SelfStock_Log[Self_Qty],T_SelfStock_Log[Part Name],$A39,T_SelfStock_Log[WeekIndex],96))</f>
        <v/>
      </c>
      <c r="CT39" s="19">
        <f>IF(COUNTIFS(T_SelfStock_Log[Part Name],$A39,T_SelfStock_Log[WeekIndex],97)=0,"",SUMIFS(T_SelfStock_Log[Self_Qty],T_SelfStock_Log[Part Name],$A39,T_SelfStock_Log[WeekIndex],97))</f>
        <v/>
      </c>
      <c r="CU39" s="19">
        <f>IF(COUNTIFS(T_SelfStock_Log[Part Name],$A39,T_SelfStock_Log[WeekIndex],98)=0,"",SUMIFS(T_SelfStock_Log[Self_Qty],T_SelfStock_Log[Part Name],$A39,T_SelfStock_Log[WeekIndex],98))</f>
        <v/>
      </c>
      <c r="CV39" s="19">
        <f>IF(COUNTIFS(T_SelfStock_Log[Part Name],$A39,T_SelfStock_Log[WeekIndex],99)=0,"",SUMIFS(T_SelfStock_Log[Self_Qty],T_SelfStock_Log[Part Name],$A39,T_SelfStock_Log[WeekIndex],99))</f>
        <v/>
      </c>
      <c r="CW39" s="19">
        <f>IF(COUNTIFS(T_SelfStock_Log[Part Name],$A39,T_SelfStock_Log[WeekIndex],100)=0,"",SUMIFS(T_SelfStock_Log[Self_Qty],T_SelfStock_Log[Part Name],$A39,T_SelfStock_Log[WeekIndex],100))</f>
        <v/>
      </c>
      <c r="CX39" s="19">
        <f>IF(COUNTIFS(T_SelfStock_Log[Part Name],$A39,T_SelfStock_Log[WeekIndex],101)=0,"",SUMIFS(T_SelfStock_Log[Self_Qty],T_SelfStock_Log[Part Name],$A39,T_SelfStock_Log[WeekIndex],101))</f>
        <v/>
      </c>
      <c r="CY39" s="19">
        <f>IF(COUNTIFS(T_SelfStock_Log[Part Name],$A39,T_SelfStock_Log[WeekIndex],102)=0,"",SUMIFS(T_SelfStock_Log[Self_Qty],T_SelfStock_Log[Part Name],$A39,T_SelfStock_Log[WeekIndex],102))</f>
        <v/>
      </c>
      <c r="CZ39" s="19">
        <f>IF(COUNTIFS(T_SelfStock_Log[Part Name],$A39,T_SelfStock_Log[WeekIndex],103)=0,"",SUMIFS(T_SelfStock_Log[Self_Qty],T_SelfStock_Log[Part Name],$A39,T_SelfStock_Log[WeekIndex],103))</f>
        <v/>
      </c>
      <c r="DA39" s="19">
        <f>IF(COUNTIFS(T_SelfStock_Log[Part Name],$A39,T_SelfStock_Log[WeekIndex],104)=0,"",SUMIFS(T_SelfStock_Log[Self_Qty],T_SelfStock_Log[Part Name],$A39,T_SelfStock_Log[WeekIndex],104))</f>
        <v/>
      </c>
    </row>
    <row r="40">
      <c r="A40" s="17" t="inlineStr">
        <is>
          <t>CHEM-1420</t>
        </is>
      </c>
      <c r="B40" s="17">
        <f>IF(COUNTIFS(T_SelfStock_Log[Part Name],$A40,T_SelfStock_Log[WeekIndex],1)=0,"",SUMIFS(T_SelfStock_Log[Self_Qty],T_SelfStock_Log[Part Name],$A40,T_SelfStock_Log[WeekIndex],1))</f>
        <v/>
      </c>
      <c r="C40" s="17">
        <f>IF(COUNTIFS(T_SelfStock_Log[Part Name],$A40,T_SelfStock_Log[WeekIndex],2)=0,"",SUMIFS(T_SelfStock_Log[Self_Qty],T_SelfStock_Log[Part Name],$A40,T_SelfStock_Log[WeekIndex],2))</f>
        <v/>
      </c>
      <c r="D40" s="17">
        <f>IF(COUNTIFS(T_SelfStock_Log[Part Name],$A40,T_SelfStock_Log[WeekIndex],3)=0,"",SUMIFS(T_SelfStock_Log[Self_Qty],T_SelfStock_Log[Part Name],$A40,T_SelfStock_Log[WeekIndex],3))</f>
        <v/>
      </c>
      <c r="E40" s="17">
        <f>IF(COUNTIFS(T_SelfStock_Log[Part Name],$A40,T_SelfStock_Log[WeekIndex],4)=0,"",SUMIFS(T_SelfStock_Log[Self_Qty],T_SelfStock_Log[Part Name],$A40,T_SelfStock_Log[WeekIndex],4))</f>
        <v/>
      </c>
      <c r="F40" s="17">
        <f>IF(COUNTIFS(T_SelfStock_Log[Part Name],$A40,T_SelfStock_Log[WeekIndex],5)=0,"",SUMIFS(T_SelfStock_Log[Self_Qty],T_SelfStock_Log[Part Name],$A40,T_SelfStock_Log[WeekIndex],5))</f>
        <v/>
      </c>
      <c r="G40" s="17">
        <f>IF(COUNTIFS(T_SelfStock_Log[Part Name],$A40,T_SelfStock_Log[WeekIndex],6)=0,"",SUMIFS(T_SelfStock_Log[Self_Qty],T_SelfStock_Log[Part Name],$A40,T_SelfStock_Log[WeekIndex],6))</f>
        <v/>
      </c>
      <c r="H40" s="17">
        <f>IF(COUNTIFS(T_SelfStock_Log[Part Name],$A40,T_SelfStock_Log[WeekIndex],7)=0,"",SUMIFS(T_SelfStock_Log[Self_Qty],T_SelfStock_Log[Part Name],$A40,T_SelfStock_Log[WeekIndex],7))</f>
        <v/>
      </c>
      <c r="I40" s="17">
        <f>IF(COUNTIFS(T_SelfStock_Log[Part Name],$A40,T_SelfStock_Log[WeekIndex],8)=0,"",SUMIFS(T_SelfStock_Log[Self_Qty],T_SelfStock_Log[Part Name],$A40,T_SelfStock_Log[WeekIndex],8))</f>
        <v/>
      </c>
      <c r="J40" s="17">
        <f>IF(COUNTIFS(T_SelfStock_Log[Part Name],$A40,T_SelfStock_Log[WeekIndex],9)=0,"",SUMIFS(T_SelfStock_Log[Self_Qty],T_SelfStock_Log[Part Name],$A40,T_SelfStock_Log[WeekIndex],9))</f>
        <v/>
      </c>
      <c r="K40" s="17">
        <f>IF(COUNTIFS(T_SelfStock_Log[Part Name],$A40,T_SelfStock_Log[WeekIndex],10)=0,"",SUMIFS(T_SelfStock_Log[Self_Qty],T_SelfStock_Log[Part Name],$A40,T_SelfStock_Log[WeekIndex],10))</f>
        <v/>
      </c>
      <c r="L40" s="17">
        <f>IF(COUNTIFS(T_SelfStock_Log[Part Name],$A40,T_SelfStock_Log[WeekIndex],11)=0,"",SUMIFS(T_SelfStock_Log[Self_Qty],T_SelfStock_Log[Part Name],$A40,T_SelfStock_Log[WeekIndex],11))</f>
        <v/>
      </c>
      <c r="M40" s="17">
        <f>IF(COUNTIFS(T_SelfStock_Log[Part Name],$A40,T_SelfStock_Log[WeekIndex],12)=0,"",SUMIFS(T_SelfStock_Log[Self_Qty],T_SelfStock_Log[Part Name],$A40,T_SelfStock_Log[WeekIndex],12))</f>
        <v/>
      </c>
      <c r="N40" s="17">
        <f>IF(COUNTIFS(T_SelfStock_Log[Part Name],$A40,T_SelfStock_Log[WeekIndex],13)=0,"",SUMIFS(T_SelfStock_Log[Self_Qty],T_SelfStock_Log[Part Name],$A40,T_SelfStock_Log[WeekIndex],13))</f>
        <v/>
      </c>
      <c r="O40" s="17">
        <f>IF(COUNTIFS(T_SelfStock_Log[Part Name],$A40,T_SelfStock_Log[WeekIndex],14)=0,"",SUMIFS(T_SelfStock_Log[Self_Qty],T_SelfStock_Log[Part Name],$A40,T_SelfStock_Log[WeekIndex],14))</f>
        <v/>
      </c>
      <c r="P40" s="17">
        <f>IF(COUNTIFS(T_SelfStock_Log[Part Name],$A40,T_SelfStock_Log[WeekIndex],15)=0,"",SUMIFS(T_SelfStock_Log[Self_Qty],T_SelfStock_Log[Part Name],$A40,T_SelfStock_Log[WeekIndex],15))</f>
        <v/>
      </c>
      <c r="Q40" s="17">
        <f>IF(COUNTIFS(T_SelfStock_Log[Part Name],$A40,T_SelfStock_Log[WeekIndex],16)=0,"",SUMIFS(T_SelfStock_Log[Self_Qty],T_SelfStock_Log[Part Name],$A40,T_SelfStock_Log[WeekIndex],16))</f>
        <v/>
      </c>
      <c r="R40" s="17">
        <f>IF(COUNTIFS(T_SelfStock_Log[Part Name],$A40,T_SelfStock_Log[WeekIndex],17)=0,"",SUMIFS(T_SelfStock_Log[Self_Qty],T_SelfStock_Log[Part Name],$A40,T_SelfStock_Log[WeekIndex],17))</f>
        <v/>
      </c>
      <c r="S40" s="17">
        <f>IF(COUNTIFS(T_SelfStock_Log[Part Name],$A40,T_SelfStock_Log[WeekIndex],18)=0,"",SUMIFS(T_SelfStock_Log[Self_Qty],T_SelfStock_Log[Part Name],$A40,T_SelfStock_Log[WeekIndex],18))</f>
        <v/>
      </c>
      <c r="T40" s="17">
        <f>IF(COUNTIFS(T_SelfStock_Log[Part Name],$A40,T_SelfStock_Log[WeekIndex],19)=0,"",SUMIFS(T_SelfStock_Log[Self_Qty],T_SelfStock_Log[Part Name],$A40,T_SelfStock_Log[WeekIndex],19))</f>
        <v/>
      </c>
      <c r="U40" s="17">
        <f>IF(COUNTIFS(T_SelfStock_Log[Part Name],$A40,T_SelfStock_Log[WeekIndex],20)=0,"",SUMIFS(T_SelfStock_Log[Self_Qty],T_SelfStock_Log[Part Name],$A40,T_SelfStock_Log[WeekIndex],20))</f>
        <v/>
      </c>
      <c r="V40" s="17">
        <f>IF(COUNTIFS(T_SelfStock_Log[Part Name],$A40,T_SelfStock_Log[WeekIndex],21)=0,"",SUMIFS(T_SelfStock_Log[Self_Qty],T_SelfStock_Log[Part Name],$A40,T_SelfStock_Log[WeekIndex],21))</f>
        <v/>
      </c>
      <c r="W40" s="17">
        <f>IF(COUNTIFS(T_SelfStock_Log[Part Name],$A40,T_SelfStock_Log[WeekIndex],22)=0,"",SUMIFS(T_SelfStock_Log[Self_Qty],T_SelfStock_Log[Part Name],$A40,T_SelfStock_Log[WeekIndex],22))</f>
        <v/>
      </c>
      <c r="X40" s="17">
        <f>IF(COUNTIFS(T_SelfStock_Log[Part Name],$A40,T_SelfStock_Log[WeekIndex],23)=0,"",SUMIFS(T_SelfStock_Log[Self_Qty],T_SelfStock_Log[Part Name],$A40,T_SelfStock_Log[WeekIndex],23))</f>
        <v/>
      </c>
      <c r="Y40" s="17">
        <f>IF(COUNTIFS(T_SelfStock_Log[Part Name],$A40,T_SelfStock_Log[WeekIndex],24)=0,"",SUMIFS(T_SelfStock_Log[Self_Qty],T_SelfStock_Log[Part Name],$A40,T_SelfStock_Log[WeekIndex],24))</f>
        <v/>
      </c>
      <c r="Z40" s="17">
        <f>IF(COUNTIFS(T_SelfStock_Log[Part Name],$A40,T_SelfStock_Log[WeekIndex],25)=0,"",SUMIFS(T_SelfStock_Log[Self_Qty],T_SelfStock_Log[Part Name],$A40,T_SelfStock_Log[WeekIndex],25))</f>
        <v/>
      </c>
      <c r="AA40" s="17">
        <f>IF(COUNTIFS(T_SelfStock_Log[Part Name],$A40,T_SelfStock_Log[WeekIndex],26)=0,"",SUMIFS(T_SelfStock_Log[Self_Qty],T_SelfStock_Log[Part Name],$A40,T_SelfStock_Log[WeekIndex],26))</f>
        <v/>
      </c>
      <c r="AB40" s="17">
        <f>IF(COUNTIFS(T_SelfStock_Log[Part Name],$A40,T_SelfStock_Log[WeekIndex],27)=0,"",SUMIFS(T_SelfStock_Log[Self_Qty],T_SelfStock_Log[Part Name],$A40,T_SelfStock_Log[WeekIndex],27))</f>
        <v/>
      </c>
      <c r="AC40" s="17">
        <f>IF(COUNTIFS(T_SelfStock_Log[Part Name],$A40,T_SelfStock_Log[WeekIndex],28)=0,"",SUMIFS(T_SelfStock_Log[Self_Qty],T_SelfStock_Log[Part Name],$A40,T_SelfStock_Log[WeekIndex],28))</f>
        <v/>
      </c>
      <c r="AD40" s="17">
        <f>IF(COUNTIFS(T_SelfStock_Log[Part Name],$A40,T_SelfStock_Log[WeekIndex],29)=0,"",SUMIFS(T_SelfStock_Log[Self_Qty],T_SelfStock_Log[Part Name],$A40,T_SelfStock_Log[WeekIndex],29))</f>
        <v/>
      </c>
      <c r="AE40" s="17">
        <f>IF(COUNTIFS(T_SelfStock_Log[Part Name],$A40,T_SelfStock_Log[WeekIndex],30)=0,"",SUMIFS(T_SelfStock_Log[Self_Qty],T_SelfStock_Log[Part Name],$A40,T_SelfStock_Log[WeekIndex],30))</f>
        <v/>
      </c>
      <c r="AF40" s="17">
        <f>IF(COUNTIFS(T_SelfStock_Log[Part Name],$A40,T_SelfStock_Log[WeekIndex],31)=0,"",SUMIFS(T_SelfStock_Log[Self_Qty],T_SelfStock_Log[Part Name],$A40,T_SelfStock_Log[WeekIndex],31))</f>
        <v/>
      </c>
      <c r="AG40" s="17">
        <f>IF(COUNTIFS(T_SelfStock_Log[Part Name],$A40,T_SelfStock_Log[WeekIndex],32)=0,"",SUMIFS(T_SelfStock_Log[Self_Qty],T_SelfStock_Log[Part Name],$A40,T_SelfStock_Log[WeekIndex],32))</f>
        <v/>
      </c>
      <c r="AH40" s="17">
        <f>IF(COUNTIFS(T_SelfStock_Log[Part Name],$A40,T_SelfStock_Log[WeekIndex],33)=0,"",SUMIFS(T_SelfStock_Log[Self_Qty],T_SelfStock_Log[Part Name],$A40,T_SelfStock_Log[WeekIndex],33))</f>
        <v/>
      </c>
      <c r="AI40" s="17">
        <f>IF(COUNTIFS(T_SelfStock_Log[Part Name],$A40,T_SelfStock_Log[WeekIndex],34)=0,"",SUMIFS(T_SelfStock_Log[Self_Qty],T_SelfStock_Log[Part Name],$A40,T_SelfStock_Log[WeekIndex],34))</f>
        <v/>
      </c>
      <c r="AJ40" s="17">
        <f>IF(COUNTIFS(T_SelfStock_Log[Part Name],$A40,T_SelfStock_Log[WeekIndex],35)=0,"",SUMIFS(T_SelfStock_Log[Self_Qty],T_SelfStock_Log[Part Name],$A40,T_SelfStock_Log[WeekIndex],35))</f>
        <v/>
      </c>
      <c r="AK40" s="17">
        <f>IF(COUNTIFS(T_SelfStock_Log[Part Name],$A40,T_SelfStock_Log[WeekIndex],36)=0,"",SUMIFS(T_SelfStock_Log[Self_Qty],T_SelfStock_Log[Part Name],$A40,T_SelfStock_Log[WeekIndex],36))</f>
        <v/>
      </c>
      <c r="AL40" s="17">
        <f>IF(COUNTIFS(T_SelfStock_Log[Part Name],$A40,T_SelfStock_Log[WeekIndex],37)=0,"",SUMIFS(T_SelfStock_Log[Self_Qty],T_SelfStock_Log[Part Name],$A40,T_SelfStock_Log[WeekIndex],37))</f>
        <v/>
      </c>
      <c r="AM40" s="17">
        <f>IF(COUNTIFS(T_SelfStock_Log[Part Name],$A40,T_SelfStock_Log[WeekIndex],38)=0,"",SUMIFS(T_SelfStock_Log[Self_Qty],T_SelfStock_Log[Part Name],$A40,T_SelfStock_Log[WeekIndex],38))</f>
        <v/>
      </c>
      <c r="AN40" s="17">
        <f>IF(COUNTIFS(T_SelfStock_Log[Part Name],$A40,T_SelfStock_Log[WeekIndex],39)=0,"",SUMIFS(T_SelfStock_Log[Self_Qty],T_SelfStock_Log[Part Name],$A40,T_SelfStock_Log[WeekIndex],39))</f>
        <v/>
      </c>
      <c r="AO40" s="17">
        <f>IF(COUNTIFS(T_SelfStock_Log[Part Name],$A40,T_SelfStock_Log[WeekIndex],40)=0,"",SUMIFS(T_SelfStock_Log[Self_Qty],T_SelfStock_Log[Part Name],$A40,T_SelfStock_Log[WeekIndex],40))</f>
        <v/>
      </c>
      <c r="AP40" s="17">
        <f>IF(COUNTIFS(T_SelfStock_Log[Part Name],$A40,T_SelfStock_Log[WeekIndex],41)=0,"",SUMIFS(T_SelfStock_Log[Self_Qty],T_SelfStock_Log[Part Name],$A40,T_SelfStock_Log[WeekIndex],41))</f>
        <v/>
      </c>
      <c r="AQ40" s="17">
        <f>IF(COUNTIFS(T_SelfStock_Log[Part Name],$A40,T_SelfStock_Log[WeekIndex],42)=0,"",SUMIFS(T_SelfStock_Log[Self_Qty],T_SelfStock_Log[Part Name],$A40,T_SelfStock_Log[WeekIndex],42))</f>
        <v/>
      </c>
      <c r="AR40" s="17">
        <f>IF(COUNTIFS(T_SelfStock_Log[Part Name],$A40,T_SelfStock_Log[WeekIndex],43)=0,"",SUMIFS(T_SelfStock_Log[Self_Qty],T_SelfStock_Log[Part Name],$A40,T_SelfStock_Log[WeekIndex],43))</f>
        <v/>
      </c>
      <c r="AS40" s="17">
        <f>IF(COUNTIFS(T_SelfStock_Log[Part Name],$A40,T_SelfStock_Log[WeekIndex],44)=0,"",SUMIFS(T_SelfStock_Log[Self_Qty],T_SelfStock_Log[Part Name],$A40,T_SelfStock_Log[WeekIndex],44))</f>
        <v/>
      </c>
      <c r="AT40" s="17">
        <f>IF(COUNTIFS(T_SelfStock_Log[Part Name],$A40,T_SelfStock_Log[WeekIndex],45)=0,"",SUMIFS(T_SelfStock_Log[Self_Qty],T_SelfStock_Log[Part Name],$A40,T_SelfStock_Log[WeekIndex],45))</f>
        <v/>
      </c>
      <c r="AU40" s="17">
        <f>IF(COUNTIFS(T_SelfStock_Log[Part Name],$A40,T_SelfStock_Log[WeekIndex],46)=0,"",SUMIFS(T_SelfStock_Log[Self_Qty],T_SelfStock_Log[Part Name],$A40,T_SelfStock_Log[WeekIndex],46))</f>
        <v/>
      </c>
      <c r="AV40" s="17">
        <f>IF(COUNTIFS(T_SelfStock_Log[Part Name],$A40,T_SelfStock_Log[WeekIndex],47)=0,"",SUMIFS(T_SelfStock_Log[Self_Qty],T_SelfStock_Log[Part Name],$A40,T_SelfStock_Log[WeekIndex],47))</f>
        <v/>
      </c>
      <c r="AW40" s="17">
        <f>IF(COUNTIFS(T_SelfStock_Log[Part Name],$A40,T_SelfStock_Log[WeekIndex],48)=0,"",SUMIFS(T_SelfStock_Log[Self_Qty],T_SelfStock_Log[Part Name],$A40,T_SelfStock_Log[WeekIndex],48))</f>
        <v/>
      </c>
      <c r="AX40" s="17">
        <f>IF(COUNTIFS(T_SelfStock_Log[Part Name],$A40,T_SelfStock_Log[WeekIndex],49)=0,"",SUMIFS(T_SelfStock_Log[Self_Qty],T_SelfStock_Log[Part Name],$A40,T_SelfStock_Log[WeekIndex],49))</f>
        <v/>
      </c>
      <c r="AY40" s="17">
        <f>IF(COUNTIFS(T_SelfStock_Log[Part Name],$A40,T_SelfStock_Log[WeekIndex],50)=0,"",SUMIFS(T_SelfStock_Log[Self_Qty],T_SelfStock_Log[Part Name],$A40,T_SelfStock_Log[WeekIndex],50))</f>
        <v/>
      </c>
      <c r="AZ40" s="17">
        <f>IF(COUNTIFS(T_SelfStock_Log[Part Name],$A40,T_SelfStock_Log[WeekIndex],51)=0,"",SUMIFS(T_SelfStock_Log[Self_Qty],T_SelfStock_Log[Part Name],$A40,T_SelfStock_Log[WeekIndex],51))</f>
        <v/>
      </c>
      <c r="BA40" s="17">
        <f>IF(COUNTIFS(T_SelfStock_Log[Part Name],$A40,T_SelfStock_Log[WeekIndex],52)=0,"",SUMIFS(T_SelfStock_Log[Self_Qty],T_SelfStock_Log[Part Name],$A40,T_SelfStock_Log[WeekIndex],52))</f>
        <v/>
      </c>
      <c r="BB40" s="17">
        <f>IF(COUNTIFS(T_SelfStock_Log[Part Name],$A40,T_SelfStock_Log[WeekIndex],53)=0,"",SUMIFS(T_SelfStock_Log[Self_Qty],T_SelfStock_Log[Part Name],$A40,T_SelfStock_Log[WeekIndex],53))</f>
        <v/>
      </c>
      <c r="BC40" s="17">
        <f>IF(COUNTIFS(T_SelfStock_Log[Part Name],$A40,T_SelfStock_Log[WeekIndex],54)=0,"",SUMIFS(T_SelfStock_Log[Self_Qty],T_SelfStock_Log[Part Name],$A40,T_SelfStock_Log[WeekIndex],54))</f>
        <v/>
      </c>
      <c r="BD40" s="17">
        <f>IF(COUNTIFS(T_SelfStock_Log[Part Name],$A40,T_SelfStock_Log[WeekIndex],55)=0,"",SUMIFS(T_SelfStock_Log[Self_Qty],T_SelfStock_Log[Part Name],$A40,T_SelfStock_Log[WeekIndex],55))</f>
        <v/>
      </c>
      <c r="BE40" s="17">
        <f>IF(COUNTIFS(T_SelfStock_Log[Part Name],$A40,T_SelfStock_Log[WeekIndex],56)=0,"",SUMIFS(T_SelfStock_Log[Self_Qty],T_SelfStock_Log[Part Name],$A40,T_SelfStock_Log[WeekIndex],56))</f>
        <v/>
      </c>
      <c r="BF40" s="17">
        <f>IF(COUNTIFS(T_SelfStock_Log[Part Name],$A40,T_SelfStock_Log[WeekIndex],57)=0,"",SUMIFS(T_SelfStock_Log[Self_Qty],T_SelfStock_Log[Part Name],$A40,T_SelfStock_Log[WeekIndex],57))</f>
        <v/>
      </c>
      <c r="BG40" s="17">
        <f>IF(COUNTIFS(T_SelfStock_Log[Part Name],$A40,T_SelfStock_Log[WeekIndex],58)=0,"",SUMIFS(T_SelfStock_Log[Self_Qty],T_SelfStock_Log[Part Name],$A40,T_SelfStock_Log[WeekIndex],58))</f>
        <v/>
      </c>
      <c r="BH40" s="17">
        <f>IF(COUNTIFS(T_SelfStock_Log[Part Name],$A40,T_SelfStock_Log[WeekIndex],59)=0,"",SUMIFS(T_SelfStock_Log[Self_Qty],T_SelfStock_Log[Part Name],$A40,T_SelfStock_Log[WeekIndex],59))</f>
        <v/>
      </c>
      <c r="BI40" s="17">
        <f>IF(COUNTIFS(T_SelfStock_Log[Part Name],$A40,T_SelfStock_Log[WeekIndex],60)=0,"",SUMIFS(T_SelfStock_Log[Self_Qty],T_SelfStock_Log[Part Name],$A40,T_SelfStock_Log[WeekIndex],60))</f>
        <v/>
      </c>
      <c r="BJ40" s="17">
        <f>IF(COUNTIFS(T_SelfStock_Log[Part Name],$A40,T_SelfStock_Log[WeekIndex],61)=0,"",SUMIFS(T_SelfStock_Log[Self_Qty],T_SelfStock_Log[Part Name],$A40,T_SelfStock_Log[WeekIndex],61))</f>
        <v/>
      </c>
      <c r="BK40" s="17">
        <f>IF(COUNTIFS(T_SelfStock_Log[Part Name],$A40,T_SelfStock_Log[WeekIndex],62)=0,"",SUMIFS(T_SelfStock_Log[Self_Qty],T_SelfStock_Log[Part Name],$A40,T_SelfStock_Log[WeekIndex],62))</f>
        <v/>
      </c>
      <c r="BL40" s="17">
        <f>IF(COUNTIFS(T_SelfStock_Log[Part Name],$A40,T_SelfStock_Log[WeekIndex],63)=0,"",SUMIFS(T_SelfStock_Log[Self_Qty],T_SelfStock_Log[Part Name],$A40,T_SelfStock_Log[WeekIndex],63))</f>
        <v/>
      </c>
      <c r="BM40" s="17">
        <f>IF(COUNTIFS(T_SelfStock_Log[Part Name],$A40,T_SelfStock_Log[WeekIndex],64)=0,"",SUMIFS(T_SelfStock_Log[Self_Qty],T_SelfStock_Log[Part Name],$A40,T_SelfStock_Log[WeekIndex],64))</f>
        <v/>
      </c>
      <c r="BN40" s="17">
        <f>IF(COUNTIFS(T_SelfStock_Log[Part Name],$A40,T_SelfStock_Log[WeekIndex],65)=0,"",SUMIFS(T_SelfStock_Log[Self_Qty],T_SelfStock_Log[Part Name],$A40,T_SelfStock_Log[WeekIndex],65))</f>
        <v/>
      </c>
      <c r="BO40" s="17">
        <f>IF(COUNTIFS(T_SelfStock_Log[Part Name],$A40,T_SelfStock_Log[WeekIndex],66)=0,"",SUMIFS(T_SelfStock_Log[Self_Qty],T_SelfStock_Log[Part Name],$A40,T_SelfStock_Log[WeekIndex],66))</f>
        <v/>
      </c>
      <c r="BP40" s="17">
        <f>IF(COUNTIFS(T_SelfStock_Log[Part Name],$A40,T_SelfStock_Log[WeekIndex],67)=0,"",SUMIFS(T_SelfStock_Log[Self_Qty],T_SelfStock_Log[Part Name],$A40,T_SelfStock_Log[WeekIndex],67))</f>
        <v/>
      </c>
      <c r="BQ40" s="17">
        <f>IF(COUNTIFS(T_SelfStock_Log[Part Name],$A40,T_SelfStock_Log[WeekIndex],68)=0,"",SUMIFS(T_SelfStock_Log[Self_Qty],T_SelfStock_Log[Part Name],$A40,T_SelfStock_Log[WeekIndex],68))</f>
        <v/>
      </c>
      <c r="BR40" s="17">
        <f>IF(COUNTIFS(T_SelfStock_Log[Part Name],$A40,T_SelfStock_Log[WeekIndex],69)=0,"",SUMIFS(T_SelfStock_Log[Self_Qty],T_SelfStock_Log[Part Name],$A40,T_SelfStock_Log[WeekIndex],69))</f>
        <v/>
      </c>
      <c r="BS40" s="17">
        <f>IF(COUNTIFS(T_SelfStock_Log[Part Name],$A40,T_SelfStock_Log[WeekIndex],70)=0,"",SUMIFS(T_SelfStock_Log[Self_Qty],T_SelfStock_Log[Part Name],$A40,T_SelfStock_Log[WeekIndex],70))</f>
        <v/>
      </c>
      <c r="BT40" s="17">
        <f>IF(COUNTIFS(T_SelfStock_Log[Part Name],$A40,T_SelfStock_Log[WeekIndex],71)=0,"",SUMIFS(T_SelfStock_Log[Self_Qty],T_SelfStock_Log[Part Name],$A40,T_SelfStock_Log[WeekIndex],71))</f>
        <v/>
      </c>
      <c r="BU40" s="17">
        <f>IF(COUNTIFS(T_SelfStock_Log[Part Name],$A40,T_SelfStock_Log[WeekIndex],72)=0,"",SUMIFS(T_SelfStock_Log[Self_Qty],T_SelfStock_Log[Part Name],$A40,T_SelfStock_Log[WeekIndex],72))</f>
        <v/>
      </c>
      <c r="BV40" s="17">
        <f>IF(COUNTIFS(T_SelfStock_Log[Part Name],$A40,T_SelfStock_Log[WeekIndex],73)=0,"",SUMIFS(T_SelfStock_Log[Self_Qty],T_SelfStock_Log[Part Name],$A40,T_SelfStock_Log[WeekIndex],73))</f>
        <v/>
      </c>
      <c r="BW40" s="17">
        <f>IF(COUNTIFS(T_SelfStock_Log[Part Name],$A40,T_SelfStock_Log[WeekIndex],74)=0,"",SUMIFS(T_SelfStock_Log[Self_Qty],T_SelfStock_Log[Part Name],$A40,T_SelfStock_Log[WeekIndex],74))</f>
        <v/>
      </c>
      <c r="BX40" s="17">
        <f>IF(COUNTIFS(T_SelfStock_Log[Part Name],$A40,T_SelfStock_Log[WeekIndex],75)=0,"",SUMIFS(T_SelfStock_Log[Self_Qty],T_SelfStock_Log[Part Name],$A40,T_SelfStock_Log[WeekIndex],75))</f>
        <v/>
      </c>
      <c r="BY40" s="17">
        <f>IF(COUNTIFS(T_SelfStock_Log[Part Name],$A40,T_SelfStock_Log[WeekIndex],76)=0,"",SUMIFS(T_SelfStock_Log[Self_Qty],T_SelfStock_Log[Part Name],$A40,T_SelfStock_Log[WeekIndex],76))</f>
        <v/>
      </c>
      <c r="BZ40" s="17">
        <f>IF(COUNTIFS(T_SelfStock_Log[Part Name],$A40,T_SelfStock_Log[WeekIndex],77)=0,"",SUMIFS(T_SelfStock_Log[Self_Qty],T_SelfStock_Log[Part Name],$A40,T_SelfStock_Log[WeekIndex],77))</f>
        <v/>
      </c>
      <c r="CA40" s="17">
        <f>IF(COUNTIFS(T_SelfStock_Log[Part Name],$A40,T_SelfStock_Log[WeekIndex],78)=0,"",SUMIFS(T_SelfStock_Log[Self_Qty],T_SelfStock_Log[Part Name],$A40,T_SelfStock_Log[WeekIndex],78))</f>
        <v/>
      </c>
      <c r="CB40" s="17">
        <f>IF(COUNTIFS(T_SelfStock_Log[Part Name],$A40,T_SelfStock_Log[WeekIndex],79)=0,"",SUMIFS(T_SelfStock_Log[Self_Qty],T_SelfStock_Log[Part Name],$A40,T_SelfStock_Log[WeekIndex],79))</f>
        <v/>
      </c>
      <c r="CC40" s="17">
        <f>IF(COUNTIFS(T_SelfStock_Log[Part Name],$A40,T_SelfStock_Log[WeekIndex],80)=0,"",SUMIFS(T_SelfStock_Log[Self_Qty],T_SelfStock_Log[Part Name],$A40,T_SelfStock_Log[WeekIndex],80))</f>
        <v/>
      </c>
      <c r="CD40" s="17">
        <f>IF(COUNTIFS(T_SelfStock_Log[Part Name],$A40,T_SelfStock_Log[WeekIndex],81)=0,"",SUMIFS(T_SelfStock_Log[Self_Qty],T_SelfStock_Log[Part Name],$A40,T_SelfStock_Log[WeekIndex],81))</f>
        <v/>
      </c>
      <c r="CE40" s="17">
        <f>IF(COUNTIFS(T_SelfStock_Log[Part Name],$A40,T_SelfStock_Log[WeekIndex],82)=0,"",SUMIFS(T_SelfStock_Log[Self_Qty],T_SelfStock_Log[Part Name],$A40,T_SelfStock_Log[WeekIndex],82))</f>
        <v/>
      </c>
      <c r="CF40" s="17">
        <f>IF(COUNTIFS(T_SelfStock_Log[Part Name],$A40,T_SelfStock_Log[WeekIndex],83)=0,"",SUMIFS(T_SelfStock_Log[Self_Qty],T_SelfStock_Log[Part Name],$A40,T_SelfStock_Log[WeekIndex],83))</f>
        <v/>
      </c>
      <c r="CG40" s="17">
        <f>IF(COUNTIFS(T_SelfStock_Log[Part Name],$A40,T_SelfStock_Log[WeekIndex],84)=0,"",SUMIFS(T_SelfStock_Log[Self_Qty],T_SelfStock_Log[Part Name],$A40,T_SelfStock_Log[WeekIndex],84))</f>
        <v/>
      </c>
      <c r="CH40" s="17">
        <f>IF(COUNTIFS(T_SelfStock_Log[Part Name],$A40,T_SelfStock_Log[WeekIndex],85)=0,"",SUMIFS(T_SelfStock_Log[Self_Qty],T_SelfStock_Log[Part Name],$A40,T_SelfStock_Log[WeekIndex],85))</f>
        <v/>
      </c>
      <c r="CI40" s="17">
        <f>IF(COUNTIFS(T_SelfStock_Log[Part Name],$A40,T_SelfStock_Log[WeekIndex],86)=0,"",SUMIFS(T_SelfStock_Log[Self_Qty],T_SelfStock_Log[Part Name],$A40,T_SelfStock_Log[WeekIndex],86))</f>
        <v/>
      </c>
      <c r="CJ40" s="17">
        <f>IF(COUNTIFS(T_SelfStock_Log[Part Name],$A40,T_SelfStock_Log[WeekIndex],87)=0,"",SUMIFS(T_SelfStock_Log[Self_Qty],T_SelfStock_Log[Part Name],$A40,T_SelfStock_Log[WeekIndex],87))</f>
        <v/>
      </c>
      <c r="CK40" s="17">
        <f>IF(COUNTIFS(T_SelfStock_Log[Part Name],$A40,T_SelfStock_Log[WeekIndex],88)=0,"",SUMIFS(T_SelfStock_Log[Self_Qty],T_SelfStock_Log[Part Name],$A40,T_SelfStock_Log[WeekIndex],88))</f>
        <v/>
      </c>
      <c r="CL40" s="17">
        <f>IF(COUNTIFS(T_SelfStock_Log[Part Name],$A40,T_SelfStock_Log[WeekIndex],89)=0,"",SUMIFS(T_SelfStock_Log[Self_Qty],T_SelfStock_Log[Part Name],$A40,T_SelfStock_Log[WeekIndex],89))</f>
        <v/>
      </c>
      <c r="CM40" s="17">
        <f>IF(COUNTIFS(T_SelfStock_Log[Part Name],$A40,T_SelfStock_Log[WeekIndex],90)=0,"",SUMIFS(T_SelfStock_Log[Self_Qty],T_SelfStock_Log[Part Name],$A40,T_SelfStock_Log[WeekIndex],90))</f>
        <v/>
      </c>
      <c r="CN40" s="17">
        <f>IF(COUNTIFS(T_SelfStock_Log[Part Name],$A40,T_SelfStock_Log[WeekIndex],91)=0,"",SUMIFS(T_SelfStock_Log[Self_Qty],T_SelfStock_Log[Part Name],$A40,T_SelfStock_Log[WeekIndex],91))</f>
        <v/>
      </c>
      <c r="CO40" s="17">
        <f>IF(COUNTIFS(T_SelfStock_Log[Part Name],$A40,T_SelfStock_Log[WeekIndex],92)=0,"",SUMIFS(T_SelfStock_Log[Self_Qty],T_SelfStock_Log[Part Name],$A40,T_SelfStock_Log[WeekIndex],92))</f>
        <v/>
      </c>
      <c r="CP40" s="17">
        <f>IF(COUNTIFS(T_SelfStock_Log[Part Name],$A40,T_SelfStock_Log[WeekIndex],93)=0,"",SUMIFS(T_SelfStock_Log[Self_Qty],T_SelfStock_Log[Part Name],$A40,T_SelfStock_Log[WeekIndex],93))</f>
        <v/>
      </c>
      <c r="CQ40" s="17">
        <f>IF(COUNTIFS(T_SelfStock_Log[Part Name],$A40,T_SelfStock_Log[WeekIndex],94)=0,"",SUMIFS(T_SelfStock_Log[Self_Qty],T_SelfStock_Log[Part Name],$A40,T_SelfStock_Log[WeekIndex],94))</f>
        <v/>
      </c>
      <c r="CR40" s="17">
        <f>IF(COUNTIFS(T_SelfStock_Log[Part Name],$A40,T_SelfStock_Log[WeekIndex],95)=0,"",SUMIFS(T_SelfStock_Log[Self_Qty],T_SelfStock_Log[Part Name],$A40,T_SelfStock_Log[WeekIndex],95))</f>
        <v/>
      </c>
      <c r="CS40" s="17">
        <f>IF(COUNTIFS(T_SelfStock_Log[Part Name],$A40,T_SelfStock_Log[WeekIndex],96)=0,"",SUMIFS(T_SelfStock_Log[Self_Qty],T_SelfStock_Log[Part Name],$A40,T_SelfStock_Log[WeekIndex],96))</f>
        <v/>
      </c>
      <c r="CT40" s="17">
        <f>IF(COUNTIFS(T_SelfStock_Log[Part Name],$A40,T_SelfStock_Log[WeekIndex],97)=0,"",SUMIFS(T_SelfStock_Log[Self_Qty],T_SelfStock_Log[Part Name],$A40,T_SelfStock_Log[WeekIndex],97))</f>
        <v/>
      </c>
      <c r="CU40" s="17">
        <f>IF(COUNTIFS(T_SelfStock_Log[Part Name],$A40,T_SelfStock_Log[WeekIndex],98)=0,"",SUMIFS(T_SelfStock_Log[Self_Qty],T_SelfStock_Log[Part Name],$A40,T_SelfStock_Log[WeekIndex],98))</f>
        <v/>
      </c>
      <c r="CV40" s="17">
        <f>IF(COUNTIFS(T_SelfStock_Log[Part Name],$A40,T_SelfStock_Log[WeekIndex],99)=0,"",SUMIFS(T_SelfStock_Log[Self_Qty],T_SelfStock_Log[Part Name],$A40,T_SelfStock_Log[WeekIndex],99))</f>
        <v/>
      </c>
      <c r="CW40" s="17">
        <f>IF(COUNTIFS(T_SelfStock_Log[Part Name],$A40,T_SelfStock_Log[WeekIndex],100)=0,"",SUMIFS(T_SelfStock_Log[Self_Qty],T_SelfStock_Log[Part Name],$A40,T_SelfStock_Log[WeekIndex],100))</f>
        <v/>
      </c>
      <c r="CX40" s="17">
        <f>IF(COUNTIFS(T_SelfStock_Log[Part Name],$A40,T_SelfStock_Log[WeekIndex],101)=0,"",SUMIFS(T_SelfStock_Log[Self_Qty],T_SelfStock_Log[Part Name],$A40,T_SelfStock_Log[WeekIndex],101))</f>
        <v/>
      </c>
      <c r="CY40" s="17">
        <f>IF(COUNTIFS(T_SelfStock_Log[Part Name],$A40,T_SelfStock_Log[WeekIndex],102)=0,"",SUMIFS(T_SelfStock_Log[Self_Qty],T_SelfStock_Log[Part Name],$A40,T_SelfStock_Log[WeekIndex],102))</f>
        <v/>
      </c>
      <c r="CZ40" s="17">
        <f>IF(COUNTIFS(T_SelfStock_Log[Part Name],$A40,T_SelfStock_Log[WeekIndex],103)=0,"",SUMIFS(T_SelfStock_Log[Self_Qty],T_SelfStock_Log[Part Name],$A40,T_SelfStock_Log[WeekIndex],103))</f>
        <v/>
      </c>
      <c r="DA40" s="17">
        <f>IF(COUNTIFS(T_SelfStock_Log[Part Name],$A40,T_SelfStock_Log[WeekIndex],104)=0,"",SUMIFS(T_SelfStock_Log[Self_Qty],T_SelfStock_Log[Part Name],$A40,T_SelfStock_Log[WeekIndex],104))</f>
        <v/>
      </c>
    </row>
    <row r="41">
      <c r="A41" s="19" t="inlineStr">
        <is>
          <t>CHEM-1080</t>
        </is>
      </c>
      <c r="B41" s="19">
        <f>IF(COUNTIFS(T_SelfStock_Log[Part Name],$A41,T_SelfStock_Log[WeekIndex],1)=0,"",SUMIFS(T_SelfStock_Log[Self_Qty],T_SelfStock_Log[Part Name],$A41,T_SelfStock_Log[WeekIndex],1))</f>
        <v/>
      </c>
      <c r="C41" s="19">
        <f>IF(COUNTIFS(T_SelfStock_Log[Part Name],$A41,T_SelfStock_Log[WeekIndex],2)=0,"",SUMIFS(T_SelfStock_Log[Self_Qty],T_SelfStock_Log[Part Name],$A41,T_SelfStock_Log[WeekIndex],2))</f>
        <v/>
      </c>
      <c r="D41" s="19">
        <f>IF(COUNTIFS(T_SelfStock_Log[Part Name],$A41,T_SelfStock_Log[WeekIndex],3)=0,"",SUMIFS(T_SelfStock_Log[Self_Qty],T_SelfStock_Log[Part Name],$A41,T_SelfStock_Log[WeekIndex],3))</f>
        <v/>
      </c>
      <c r="E41" s="19">
        <f>IF(COUNTIFS(T_SelfStock_Log[Part Name],$A41,T_SelfStock_Log[WeekIndex],4)=0,"",SUMIFS(T_SelfStock_Log[Self_Qty],T_SelfStock_Log[Part Name],$A41,T_SelfStock_Log[WeekIndex],4))</f>
        <v/>
      </c>
      <c r="F41" s="19">
        <f>IF(COUNTIFS(T_SelfStock_Log[Part Name],$A41,T_SelfStock_Log[WeekIndex],5)=0,"",SUMIFS(T_SelfStock_Log[Self_Qty],T_SelfStock_Log[Part Name],$A41,T_SelfStock_Log[WeekIndex],5))</f>
        <v/>
      </c>
      <c r="G41" s="19">
        <f>IF(COUNTIFS(T_SelfStock_Log[Part Name],$A41,T_SelfStock_Log[WeekIndex],6)=0,"",SUMIFS(T_SelfStock_Log[Self_Qty],T_SelfStock_Log[Part Name],$A41,T_SelfStock_Log[WeekIndex],6))</f>
        <v/>
      </c>
      <c r="H41" s="19">
        <f>IF(COUNTIFS(T_SelfStock_Log[Part Name],$A41,T_SelfStock_Log[WeekIndex],7)=0,"",SUMIFS(T_SelfStock_Log[Self_Qty],T_SelfStock_Log[Part Name],$A41,T_SelfStock_Log[WeekIndex],7))</f>
        <v/>
      </c>
      <c r="I41" s="19">
        <f>IF(COUNTIFS(T_SelfStock_Log[Part Name],$A41,T_SelfStock_Log[WeekIndex],8)=0,"",SUMIFS(T_SelfStock_Log[Self_Qty],T_SelfStock_Log[Part Name],$A41,T_SelfStock_Log[WeekIndex],8))</f>
        <v/>
      </c>
      <c r="J41" s="19">
        <f>IF(COUNTIFS(T_SelfStock_Log[Part Name],$A41,T_SelfStock_Log[WeekIndex],9)=0,"",SUMIFS(T_SelfStock_Log[Self_Qty],T_SelfStock_Log[Part Name],$A41,T_SelfStock_Log[WeekIndex],9))</f>
        <v/>
      </c>
      <c r="K41" s="19">
        <f>IF(COUNTIFS(T_SelfStock_Log[Part Name],$A41,T_SelfStock_Log[WeekIndex],10)=0,"",SUMIFS(T_SelfStock_Log[Self_Qty],T_SelfStock_Log[Part Name],$A41,T_SelfStock_Log[WeekIndex],10))</f>
        <v/>
      </c>
      <c r="L41" s="19">
        <f>IF(COUNTIFS(T_SelfStock_Log[Part Name],$A41,T_SelfStock_Log[WeekIndex],11)=0,"",SUMIFS(T_SelfStock_Log[Self_Qty],T_SelfStock_Log[Part Name],$A41,T_SelfStock_Log[WeekIndex],11))</f>
        <v/>
      </c>
      <c r="M41" s="19">
        <f>IF(COUNTIFS(T_SelfStock_Log[Part Name],$A41,T_SelfStock_Log[WeekIndex],12)=0,"",SUMIFS(T_SelfStock_Log[Self_Qty],T_SelfStock_Log[Part Name],$A41,T_SelfStock_Log[WeekIndex],12))</f>
        <v/>
      </c>
      <c r="N41" s="19">
        <f>IF(COUNTIFS(T_SelfStock_Log[Part Name],$A41,T_SelfStock_Log[WeekIndex],13)=0,"",SUMIFS(T_SelfStock_Log[Self_Qty],T_SelfStock_Log[Part Name],$A41,T_SelfStock_Log[WeekIndex],13))</f>
        <v/>
      </c>
      <c r="O41" s="19">
        <f>IF(COUNTIFS(T_SelfStock_Log[Part Name],$A41,T_SelfStock_Log[WeekIndex],14)=0,"",SUMIFS(T_SelfStock_Log[Self_Qty],T_SelfStock_Log[Part Name],$A41,T_SelfStock_Log[WeekIndex],14))</f>
        <v/>
      </c>
      <c r="P41" s="19">
        <f>IF(COUNTIFS(T_SelfStock_Log[Part Name],$A41,T_SelfStock_Log[WeekIndex],15)=0,"",SUMIFS(T_SelfStock_Log[Self_Qty],T_SelfStock_Log[Part Name],$A41,T_SelfStock_Log[WeekIndex],15))</f>
        <v/>
      </c>
      <c r="Q41" s="19">
        <f>IF(COUNTIFS(T_SelfStock_Log[Part Name],$A41,T_SelfStock_Log[WeekIndex],16)=0,"",SUMIFS(T_SelfStock_Log[Self_Qty],T_SelfStock_Log[Part Name],$A41,T_SelfStock_Log[WeekIndex],16))</f>
        <v/>
      </c>
      <c r="R41" s="19">
        <f>IF(COUNTIFS(T_SelfStock_Log[Part Name],$A41,T_SelfStock_Log[WeekIndex],17)=0,"",SUMIFS(T_SelfStock_Log[Self_Qty],T_SelfStock_Log[Part Name],$A41,T_SelfStock_Log[WeekIndex],17))</f>
        <v/>
      </c>
      <c r="S41" s="19">
        <f>IF(COUNTIFS(T_SelfStock_Log[Part Name],$A41,T_SelfStock_Log[WeekIndex],18)=0,"",SUMIFS(T_SelfStock_Log[Self_Qty],T_SelfStock_Log[Part Name],$A41,T_SelfStock_Log[WeekIndex],18))</f>
        <v/>
      </c>
      <c r="T41" s="19">
        <f>IF(COUNTIFS(T_SelfStock_Log[Part Name],$A41,T_SelfStock_Log[WeekIndex],19)=0,"",SUMIFS(T_SelfStock_Log[Self_Qty],T_SelfStock_Log[Part Name],$A41,T_SelfStock_Log[WeekIndex],19))</f>
        <v/>
      </c>
      <c r="U41" s="19">
        <f>IF(COUNTIFS(T_SelfStock_Log[Part Name],$A41,T_SelfStock_Log[WeekIndex],20)=0,"",SUMIFS(T_SelfStock_Log[Self_Qty],T_SelfStock_Log[Part Name],$A41,T_SelfStock_Log[WeekIndex],20))</f>
        <v/>
      </c>
      <c r="V41" s="19">
        <f>IF(COUNTIFS(T_SelfStock_Log[Part Name],$A41,T_SelfStock_Log[WeekIndex],21)=0,"",SUMIFS(T_SelfStock_Log[Self_Qty],T_SelfStock_Log[Part Name],$A41,T_SelfStock_Log[WeekIndex],21))</f>
        <v/>
      </c>
      <c r="W41" s="19">
        <f>IF(COUNTIFS(T_SelfStock_Log[Part Name],$A41,T_SelfStock_Log[WeekIndex],22)=0,"",SUMIFS(T_SelfStock_Log[Self_Qty],T_SelfStock_Log[Part Name],$A41,T_SelfStock_Log[WeekIndex],22))</f>
        <v/>
      </c>
      <c r="X41" s="19">
        <f>IF(COUNTIFS(T_SelfStock_Log[Part Name],$A41,T_SelfStock_Log[WeekIndex],23)=0,"",SUMIFS(T_SelfStock_Log[Self_Qty],T_SelfStock_Log[Part Name],$A41,T_SelfStock_Log[WeekIndex],23))</f>
        <v/>
      </c>
      <c r="Y41" s="19">
        <f>IF(COUNTIFS(T_SelfStock_Log[Part Name],$A41,T_SelfStock_Log[WeekIndex],24)=0,"",SUMIFS(T_SelfStock_Log[Self_Qty],T_SelfStock_Log[Part Name],$A41,T_SelfStock_Log[WeekIndex],24))</f>
        <v/>
      </c>
      <c r="Z41" s="19">
        <f>IF(COUNTIFS(T_SelfStock_Log[Part Name],$A41,T_SelfStock_Log[WeekIndex],25)=0,"",SUMIFS(T_SelfStock_Log[Self_Qty],T_SelfStock_Log[Part Name],$A41,T_SelfStock_Log[WeekIndex],25))</f>
        <v/>
      </c>
      <c r="AA41" s="19">
        <f>IF(COUNTIFS(T_SelfStock_Log[Part Name],$A41,T_SelfStock_Log[WeekIndex],26)=0,"",SUMIFS(T_SelfStock_Log[Self_Qty],T_SelfStock_Log[Part Name],$A41,T_SelfStock_Log[WeekIndex],26))</f>
        <v/>
      </c>
      <c r="AB41" s="19">
        <f>IF(COUNTIFS(T_SelfStock_Log[Part Name],$A41,T_SelfStock_Log[WeekIndex],27)=0,"",SUMIFS(T_SelfStock_Log[Self_Qty],T_SelfStock_Log[Part Name],$A41,T_SelfStock_Log[WeekIndex],27))</f>
        <v/>
      </c>
      <c r="AC41" s="19">
        <f>IF(COUNTIFS(T_SelfStock_Log[Part Name],$A41,T_SelfStock_Log[WeekIndex],28)=0,"",SUMIFS(T_SelfStock_Log[Self_Qty],T_SelfStock_Log[Part Name],$A41,T_SelfStock_Log[WeekIndex],28))</f>
        <v/>
      </c>
      <c r="AD41" s="19">
        <f>IF(COUNTIFS(T_SelfStock_Log[Part Name],$A41,T_SelfStock_Log[WeekIndex],29)=0,"",SUMIFS(T_SelfStock_Log[Self_Qty],T_SelfStock_Log[Part Name],$A41,T_SelfStock_Log[WeekIndex],29))</f>
        <v/>
      </c>
      <c r="AE41" s="19">
        <f>IF(COUNTIFS(T_SelfStock_Log[Part Name],$A41,T_SelfStock_Log[WeekIndex],30)=0,"",SUMIFS(T_SelfStock_Log[Self_Qty],T_SelfStock_Log[Part Name],$A41,T_SelfStock_Log[WeekIndex],30))</f>
        <v/>
      </c>
      <c r="AF41" s="19">
        <f>IF(COUNTIFS(T_SelfStock_Log[Part Name],$A41,T_SelfStock_Log[WeekIndex],31)=0,"",SUMIFS(T_SelfStock_Log[Self_Qty],T_SelfStock_Log[Part Name],$A41,T_SelfStock_Log[WeekIndex],31))</f>
        <v/>
      </c>
      <c r="AG41" s="19">
        <f>IF(COUNTIFS(T_SelfStock_Log[Part Name],$A41,T_SelfStock_Log[WeekIndex],32)=0,"",SUMIFS(T_SelfStock_Log[Self_Qty],T_SelfStock_Log[Part Name],$A41,T_SelfStock_Log[WeekIndex],32))</f>
        <v/>
      </c>
      <c r="AH41" s="19">
        <f>IF(COUNTIFS(T_SelfStock_Log[Part Name],$A41,T_SelfStock_Log[WeekIndex],33)=0,"",SUMIFS(T_SelfStock_Log[Self_Qty],T_SelfStock_Log[Part Name],$A41,T_SelfStock_Log[WeekIndex],33))</f>
        <v/>
      </c>
      <c r="AI41" s="19">
        <f>IF(COUNTIFS(T_SelfStock_Log[Part Name],$A41,T_SelfStock_Log[WeekIndex],34)=0,"",SUMIFS(T_SelfStock_Log[Self_Qty],T_SelfStock_Log[Part Name],$A41,T_SelfStock_Log[WeekIndex],34))</f>
        <v/>
      </c>
      <c r="AJ41" s="19">
        <f>IF(COUNTIFS(T_SelfStock_Log[Part Name],$A41,T_SelfStock_Log[WeekIndex],35)=0,"",SUMIFS(T_SelfStock_Log[Self_Qty],T_SelfStock_Log[Part Name],$A41,T_SelfStock_Log[WeekIndex],35))</f>
        <v/>
      </c>
      <c r="AK41" s="19">
        <f>IF(COUNTIFS(T_SelfStock_Log[Part Name],$A41,T_SelfStock_Log[WeekIndex],36)=0,"",SUMIFS(T_SelfStock_Log[Self_Qty],T_SelfStock_Log[Part Name],$A41,T_SelfStock_Log[WeekIndex],36))</f>
        <v/>
      </c>
      <c r="AL41" s="19">
        <f>IF(COUNTIFS(T_SelfStock_Log[Part Name],$A41,T_SelfStock_Log[WeekIndex],37)=0,"",SUMIFS(T_SelfStock_Log[Self_Qty],T_SelfStock_Log[Part Name],$A41,T_SelfStock_Log[WeekIndex],37))</f>
        <v/>
      </c>
      <c r="AM41" s="19">
        <f>IF(COUNTIFS(T_SelfStock_Log[Part Name],$A41,T_SelfStock_Log[WeekIndex],38)=0,"",SUMIFS(T_SelfStock_Log[Self_Qty],T_SelfStock_Log[Part Name],$A41,T_SelfStock_Log[WeekIndex],38))</f>
        <v/>
      </c>
      <c r="AN41" s="19">
        <f>IF(COUNTIFS(T_SelfStock_Log[Part Name],$A41,T_SelfStock_Log[WeekIndex],39)=0,"",SUMIFS(T_SelfStock_Log[Self_Qty],T_SelfStock_Log[Part Name],$A41,T_SelfStock_Log[WeekIndex],39))</f>
        <v/>
      </c>
      <c r="AO41" s="19">
        <f>IF(COUNTIFS(T_SelfStock_Log[Part Name],$A41,T_SelfStock_Log[WeekIndex],40)=0,"",SUMIFS(T_SelfStock_Log[Self_Qty],T_SelfStock_Log[Part Name],$A41,T_SelfStock_Log[WeekIndex],40))</f>
        <v/>
      </c>
      <c r="AP41" s="19">
        <f>IF(COUNTIFS(T_SelfStock_Log[Part Name],$A41,T_SelfStock_Log[WeekIndex],41)=0,"",SUMIFS(T_SelfStock_Log[Self_Qty],T_SelfStock_Log[Part Name],$A41,T_SelfStock_Log[WeekIndex],41))</f>
        <v/>
      </c>
      <c r="AQ41" s="19">
        <f>IF(COUNTIFS(T_SelfStock_Log[Part Name],$A41,T_SelfStock_Log[WeekIndex],42)=0,"",SUMIFS(T_SelfStock_Log[Self_Qty],T_SelfStock_Log[Part Name],$A41,T_SelfStock_Log[WeekIndex],42))</f>
        <v/>
      </c>
      <c r="AR41" s="19">
        <f>IF(COUNTIFS(T_SelfStock_Log[Part Name],$A41,T_SelfStock_Log[WeekIndex],43)=0,"",SUMIFS(T_SelfStock_Log[Self_Qty],T_SelfStock_Log[Part Name],$A41,T_SelfStock_Log[WeekIndex],43))</f>
        <v/>
      </c>
      <c r="AS41" s="19">
        <f>IF(COUNTIFS(T_SelfStock_Log[Part Name],$A41,T_SelfStock_Log[WeekIndex],44)=0,"",SUMIFS(T_SelfStock_Log[Self_Qty],T_SelfStock_Log[Part Name],$A41,T_SelfStock_Log[WeekIndex],44))</f>
        <v/>
      </c>
      <c r="AT41" s="19">
        <f>IF(COUNTIFS(T_SelfStock_Log[Part Name],$A41,T_SelfStock_Log[WeekIndex],45)=0,"",SUMIFS(T_SelfStock_Log[Self_Qty],T_SelfStock_Log[Part Name],$A41,T_SelfStock_Log[WeekIndex],45))</f>
        <v/>
      </c>
      <c r="AU41" s="19">
        <f>IF(COUNTIFS(T_SelfStock_Log[Part Name],$A41,T_SelfStock_Log[WeekIndex],46)=0,"",SUMIFS(T_SelfStock_Log[Self_Qty],T_SelfStock_Log[Part Name],$A41,T_SelfStock_Log[WeekIndex],46))</f>
        <v/>
      </c>
      <c r="AV41" s="19">
        <f>IF(COUNTIFS(T_SelfStock_Log[Part Name],$A41,T_SelfStock_Log[WeekIndex],47)=0,"",SUMIFS(T_SelfStock_Log[Self_Qty],T_SelfStock_Log[Part Name],$A41,T_SelfStock_Log[WeekIndex],47))</f>
        <v/>
      </c>
      <c r="AW41" s="19">
        <f>IF(COUNTIFS(T_SelfStock_Log[Part Name],$A41,T_SelfStock_Log[WeekIndex],48)=0,"",SUMIFS(T_SelfStock_Log[Self_Qty],T_SelfStock_Log[Part Name],$A41,T_SelfStock_Log[WeekIndex],48))</f>
        <v/>
      </c>
      <c r="AX41" s="19">
        <f>IF(COUNTIFS(T_SelfStock_Log[Part Name],$A41,T_SelfStock_Log[WeekIndex],49)=0,"",SUMIFS(T_SelfStock_Log[Self_Qty],T_SelfStock_Log[Part Name],$A41,T_SelfStock_Log[WeekIndex],49))</f>
        <v/>
      </c>
      <c r="AY41" s="19">
        <f>IF(COUNTIFS(T_SelfStock_Log[Part Name],$A41,T_SelfStock_Log[WeekIndex],50)=0,"",SUMIFS(T_SelfStock_Log[Self_Qty],T_SelfStock_Log[Part Name],$A41,T_SelfStock_Log[WeekIndex],50))</f>
        <v/>
      </c>
      <c r="AZ41" s="19">
        <f>IF(COUNTIFS(T_SelfStock_Log[Part Name],$A41,T_SelfStock_Log[WeekIndex],51)=0,"",SUMIFS(T_SelfStock_Log[Self_Qty],T_SelfStock_Log[Part Name],$A41,T_SelfStock_Log[WeekIndex],51))</f>
        <v/>
      </c>
      <c r="BA41" s="19">
        <f>IF(COUNTIFS(T_SelfStock_Log[Part Name],$A41,T_SelfStock_Log[WeekIndex],52)=0,"",SUMIFS(T_SelfStock_Log[Self_Qty],T_SelfStock_Log[Part Name],$A41,T_SelfStock_Log[WeekIndex],52))</f>
        <v/>
      </c>
      <c r="BB41" s="19">
        <f>IF(COUNTIFS(T_SelfStock_Log[Part Name],$A41,T_SelfStock_Log[WeekIndex],53)=0,"",SUMIFS(T_SelfStock_Log[Self_Qty],T_SelfStock_Log[Part Name],$A41,T_SelfStock_Log[WeekIndex],53))</f>
        <v/>
      </c>
      <c r="BC41" s="19">
        <f>IF(COUNTIFS(T_SelfStock_Log[Part Name],$A41,T_SelfStock_Log[WeekIndex],54)=0,"",SUMIFS(T_SelfStock_Log[Self_Qty],T_SelfStock_Log[Part Name],$A41,T_SelfStock_Log[WeekIndex],54))</f>
        <v/>
      </c>
      <c r="BD41" s="19">
        <f>IF(COUNTIFS(T_SelfStock_Log[Part Name],$A41,T_SelfStock_Log[WeekIndex],55)=0,"",SUMIFS(T_SelfStock_Log[Self_Qty],T_SelfStock_Log[Part Name],$A41,T_SelfStock_Log[WeekIndex],55))</f>
        <v/>
      </c>
      <c r="BE41" s="19">
        <f>IF(COUNTIFS(T_SelfStock_Log[Part Name],$A41,T_SelfStock_Log[WeekIndex],56)=0,"",SUMIFS(T_SelfStock_Log[Self_Qty],T_SelfStock_Log[Part Name],$A41,T_SelfStock_Log[WeekIndex],56))</f>
        <v/>
      </c>
      <c r="BF41" s="19">
        <f>IF(COUNTIFS(T_SelfStock_Log[Part Name],$A41,T_SelfStock_Log[WeekIndex],57)=0,"",SUMIFS(T_SelfStock_Log[Self_Qty],T_SelfStock_Log[Part Name],$A41,T_SelfStock_Log[WeekIndex],57))</f>
        <v/>
      </c>
      <c r="BG41" s="19">
        <f>IF(COUNTIFS(T_SelfStock_Log[Part Name],$A41,T_SelfStock_Log[WeekIndex],58)=0,"",SUMIFS(T_SelfStock_Log[Self_Qty],T_SelfStock_Log[Part Name],$A41,T_SelfStock_Log[WeekIndex],58))</f>
        <v/>
      </c>
      <c r="BH41" s="19">
        <f>IF(COUNTIFS(T_SelfStock_Log[Part Name],$A41,T_SelfStock_Log[WeekIndex],59)=0,"",SUMIFS(T_SelfStock_Log[Self_Qty],T_SelfStock_Log[Part Name],$A41,T_SelfStock_Log[WeekIndex],59))</f>
        <v/>
      </c>
      <c r="BI41" s="19">
        <f>IF(COUNTIFS(T_SelfStock_Log[Part Name],$A41,T_SelfStock_Log[WeekIndex],60)=0,"",SUMIFS(T_SelfStock_Log[Self_Qty],T_SelfStock_Log[Part Name],$A41,T_SelfStock_Log[WeekIndex],60))</f>
        <v/>
      </c>
      <c r="BJ41" s="19">
        <f>IF(COUNTIFS(T_SelfStock_Log[Part Name],$A41,T_SelfStock_Log[WeekIndex],61)=0,"",SUMIFS(T_SelfStock_Log[Self_Qty],T_SelfStock_Log[Part Name],$A41,T_SelfStock_Log[WeekIndex],61))</f>
        <v/>
      </c>
      <c r="BK41" s="19">
        <f>IF(COUNTIFS(T_SelfStock_Log[Part Name],$A41,T_SelfStock_Log[WeekIndex],62)=0,"",SUMIFS(T_SelfStock_Log[Self_Qty],T_SelfStock_Log[Part Name],$A41,T_SelfStock_Log[WeekIndex],62))</f>
        <v/>
      </c>
      <c r="BL41" s="19">
        <f>IF(COUNTIFS(T_SelfStock_Log[Part Name],$A41,T_SelfStock_Log[WeekIndex],63)=0,"",SUMIFS(T_SelfStock_Log[Self_Qty],T_SelfStock_Log[Part Name],$A41,T_SelfStock_Log[WeekIndex],63))</f>
        <v/>
      </c>
      <c r="BM41" s="19">
        <f>IF(COUNTIFS(T_SelfStock_Log[Part Name],$A41,T_SelfStock_Log[WeekIndex],64)=0,"",SUMIFS(T_SelfStock_Log[Self_Qty],T_SelfStock_Log[Part Name],$A41,T_SelfStock_Log[WeekIndex],64))</f>
        <v/>
      </c>
      <c r="BN41" s="19">
        <f>IF(COUNTIFS(T_SelfStock_Log[Part Name],$A41,T_SelfStock_Log[WeekIndex],65)=0,"",SUMIFS(T_SelfStock_Log[Self_Qty],T_SelfStock_Log[Part Name],$A41,T_SelfStock_Log[WeekIndex],65))</f>
        <v/>
      </c>
      <c r="BO41" s="19">
        <f>IF(COUNTIFS(T_SelfStock_Log[Part Name],$A41,T_SelfStock_Log[WeekIndex],66)=0,"",SUMIFS(T_SelfStock_Log[Self_Qty],T_SelfStock_Log[Part Name],$A41,T_SelfStock_Log[WeekIndex],66))</f>
        <v/>
      </c>
      <c r="BP41" s="19">
        <f>IF(COUNTIFS(T_SelfStock_Log[Part Name],$A41,T_SelfStock_Log[WeekIndex],67)=0,"",SUMIFS(T_SelfStock_Log[Self_Qty],T_SelfStock_Log[Part Name],$A41,T_SelfStock_Log[WeekIndex],67))</f>
        <v/>
      </c>
      <c r="BQ41" s="19">
        <f>IF(COUNTIFS(T_SelfStock_Log[Part Name],$A41,T_SelfStock_Log[WeekIndex],68)=0,"",SUMIFS(T_SelfStock_Log[Self_Qty],T_SelfStock_Log[Part Name],$A41,T_SelfStock_Log[WeekIndex],68))</f>
        <v/>
      </c>
      <c r="BR41" s="19">
        <f>IF(COUNTIFS(T_SelfStock_Log[Part Name],$A41,T_SelfStock_Log[WeekIndex],69)=0,"",SUMIFS(T_SelfStock_Log[Self_Qty],T_SelfStock_Log[Part Name],$A41,T_SelfStock_Log[WeekIndex],69))</f>
        <v/>
      </c>
      <c r="BS41" s="19">
        <f>IF(COUNTIFS(T_SelfStock_Log[Part Name],$A41,T_SelfStock_Log[WeekIndex],70)=0,"",SUMIFS(T_SelfStock_Log[Self_Qty],T_SelfStock_Log[Part Name],$A41,T_SelfStock_Log[WeekIndex],70))</f>
        <v/>
      </c>
      <c r="BT41" s="19">
        <f>IF(COUNTIFS(T_SelfStock_Log[Part Name],$A41,T_SelfStock_Log[WeekIndex],71)=0,"",SUMIFS(T_SelfStock_Log[Self_Qty],T_SelfStock_Log[Part Name],$A41,T_SelfStock_Log[WeekIndex],71))</f>
        <v/>
      </c>
      <c r="BU41" s="19">
        <f>IF(COUNTIFS(T_SelfStock_Log[Part Name],$A41,T_SelfStock_Log[WeekIndex],72)=0,"",SUMIFS(T_SelfStock_Log[Self_Qty],T_SelfStock_Log[Part Name],$A41,T_SelfStock_Log[WeekIndex],72))</f>
        <v/>
      </c>
      <c r="BV41" s="19">
        <f>IF(COUNTIFS(T_SelfStock_Log[Part Name],$A41,T_SelfStock_Log[WeekIndex],73)=0,"",SUMIFS(T_SelfStock_Log[Self_Qty],T_SelfStock_Log[Part Name],$A41,T_SelfStock_Log[WeekIndex],73))</f>
        <v/>
      </c>
      <c r="BW41" s="19">
        <f>IF(COUNTIFS(T_SelfStock_Log[Part Name],$A41,T_SelfStock_Log[WeekIndex],74)=0,"",SUMIFS(T_SelfStock_Log[Self_Qty],T_SelfStock_Log[Part Name],$A41,T_SelfStock_Log[WeekIndex],74))</f>
        <v/>
      </c>
      <c r="BX41" s="19">
        <f>IF(COUNTIFS(T_SelfStock_Log[Part Name],$A41,T_SelfStock_Log[WeekIndex],75)=0,"",SUMIFS(T_SelfStock_Log[Self_Qty],T_SelfStock_Log[Part Name],$A41,T_SelfStock_Log[WeekIndex],75))</f>
        <v/>
      </c>
      <c r="BY41" s="19">
        <f>IF(COUNTIFS(T_SelfStock_Log[Part Name],$A41,T_SelfStock_Log[WeekIndex],76)=0,"",SUMIFS(T_SelfStock_Log[Self_Qty],T_SelfStock_Log[Part Name],$A41,T_SelfStock_Log[WeekIndex],76))</f>
        <v/>
      </c>
      <c r="BZ41" s="19">
        <f>IF(COUNTIFS(T_SelfStock_Log[Part Name],$A41,T_SelfStock_Log[WeekIndex],77)=0,"",SUMIFS(T_SelfStock_Log[Self_Qty],T_SelfStock_Log[Part Name],$A41,T_SelfStock_Log[WeekIndex],77))</f>
        <v/>
      </c>
      <c r="CA41" s="19">
        <f>IF(COUNTIFS(T_SelfStock_Log[Part Name],$A41,T_SelfStock_Log[WeekIndex],78)=0,"",SUMIFS(T_SelfStock_Log[Self_Qty],T_SelfStock_Log[Part Name],$A41,T_SelfStock_Log[WeekIndex],78))</f>
        <v/>
      </c>
      <c r="CB41" s="19">
        <f>IF(COUNTIFS(T_SelfStock_Log[Part Name],$A41,T_SelfStock_Log[WeekIndex],79)=0,"",SUMIFS(T_SelfStock_Log[Self_Qty],T_SelfStock_Log[Part Name],$A41,T_SelfStock_Log[WeekIndex],79))</f>
        <v/>
      </c>
      <c r="CC41" s="19">
        <f>IF(COUNTIFS(T_SelfStock_Log[Part Name],$A41,T_SelfStock_Log[WeekIndex],80)=0,"",SUMIFS(T_SelfStock_Log[Self_Qty],T_SelfStock_Log[Part Name],$A41,T_SelfStock_Log[WeekIndex],80))</f>
        <v/>
      </c>
      <c r="CD41" s="19">
        <f>IF(COUNTIFS(T_SelfStock_Log[Part Name],$A41,T_SelfStock_Log[WeekIndex],81)=0,"",SUMIFS(T_SelfStock_Log[Self_Qty],T_SelfStock_Log[Part Name],$A41,T_SelfStock_Log[WeekIndex],81))</f>
        <v/>
      </c>
      <c r="CE41" s="19">
        <f>IF(COUNTIFS(T_SelfStock_Log[Part Name],$A41,T_SelfStock_Log[WeekIndex],82)=0,"",SUMIFS(T_SelfStock_Log[Self_Qty],T_SelfStock_Log[Part Name],$A41,T_SelfStock_Log[WeekIndex],82))</f>
        <v/>
      </c>
      <c r="CF41" s="19">
        <f>IF(COUNTIFS(T_SelfStock_Log[Part Name],$A41,T_SelfStock_Log[WeekIndex],83)=0,"",SUMIFS(T_SelfStock_Log[Self_Qty],T_SelfStock_Log[Part Name],$A41,T_SelfStock_Log[WeekIndex],83))</f>
        <v/>
      </c>
      <c r="CG41" s="19">
        <f>IF(COUNTIFS(T_SelfStock_Log[Part Name],$A41,T_SelfStock_Log[WeekIndex],84)=0,"",SUMIFS(T_SelfStock_Log[Self_Qty],T_SelfStock_Log[Part Name],$A41,T_SelfStock_Log[WeekIndex],84))</f>
        <v/>
      </c>
      <c r="CH41" s="19">
        <f>IF(COUNTIFS(T_SelfStock_Log[Part Name],$A41,T_SelfStock_Log[WeekIndex],85)=0,"",SUMIFS(T_SelfStock_Log[Self_Qty],T_SelfStock_Log[Part Name],$A41,T_SelfStock_Log[WeekIndex],85))</f>
        <v/>
      </c>
      <c r="CI41" s="19">
        <f>IF(COUNTIFS(T_SelfStock_Log[Part Name],$A41,T_SelfStock_Log[WeekIndex],86)=0,"",SUMIFS(T_SelfStock_Log[Self_Qty],T_SelfStock_Log[Part Name],$A41,T_SelfStock_Log[WeekIndex],86))</f>
        <v/>
      </c>
      <c r="CJ41" s="19">
        <f>IF(COUNTIFS(T_SelfStock_Log[Part Name],$A41,T_SelfStock_Log[WeekIndex],87)=0,"",SUMIFS(T_SelfStock_Log[Self_Qty],T_SelfStock_Log[Part Name],$A41,T_SelfStock_Log[WeekIndex],87))</f>
        <v/>
      </c>
      <c r="CK41" s="19">
        <f>IF(COUNTIFS(T_SelfStock_Log[Part Name],$A41,T_SelfStock_Log[WeekIndex],88)=0,"",SUMIFS(T_SelfStock_Log[Self_Qty],T_SelfStock_Log[Part Name],$A41,T_SelfStock_Log[WeekIndex],88))</f>
        <v/>
      </c>
      <c r="CL41" s="19">
        <f>IF(COUNTIFS(T_SelfStock_Log[Part Name],$A41,T_SelfStock_Log[WeekIndex],89)=0,"",SUMIFS(T_SelfStock_Log[Self_Qty],T_SelfStock_Log[Part Name],$A41,T_SelfStock_Log[WeekIndex],89))</f>
        <v/>
      </c>
      <c r="CM41" s="19">
        <f>IF(COUNTIFS(T_SelfStock_Log[Part Name],$A41,T_SelfStock_Log[WeekIndex],90)=0,"",SUMIFS(T_SelfStock_Log[Self_Qty],T_SelfStock_Log[Part Name],$A41,T_SelfStock_Log[WeekIndex],90))</f>
        <v/>
      </c>
      <c r="CN41" s="19">
        <f>IF(COUNTIFS(T_SelfStock_Log[Part Name],$A41,T_SelfStock_Log[WeekIndex],91)=0,"",SUMIFS(T_SelfStock_Log[Self_Qty],T_SelfStock_Log[Part Name],$A41,T_SelfStock_Log[WeekIndex],91))</f>
        <v/>
      </c>
      <c r="CO41" s="19">
        <f>IF(COUNTIFS(T_SelfStock_Log[Part Name],$A41,T_SelfStock_Log[WeekIndex],92)=0,"",SUMIFS(T_SelfStock_Log[Self_Qty],T_SelfStock_Log[Part Name],$A41,T_SelfStock_Log[WeekIndex],92))</f>
        <v/>
      </c>
      <c r="CP41" s="19">
        <f>IF(COUNTIFS(T_SelfStock_Log[Part Name],$A41,T_SelfStock_Log[WeekIndex],93)=0,"",SUMIFS(T_SelfStock_Log[Self_Qty],T_SelfStock_Log[Part Name],$A41,T_SelfStock_Log[WeekIndex],93))</f>
        <v/>
      </c>
      <c r="CQ41" s="19">
        <f>IF(COUNTIFS(T_SelfStock_Log[Part Name],$A41,T_SelfStock_Log[WeekIndex],94)=0,"",SUMIFS(T_SelfStock_Log[Self_Qty],T_SelfStock_Log[Part Name],$A41,T_SelfStock_Log[WeekIndex],94))</f>
        <v/>
      </c>
      <c r="CR41" s="19">
        <f>IF(COUNTIFS(T_SelfStock_Log[Part Name],$A41,T_SelfStock_Log[WeekIndex],95)=0,"",SUMIFS(T_SelfStock_Log[Self_Qty],T_SelfStock_Log[Part Name],$A41,T_SelfStock_Log[WeekIndex],95))</f>
        <v/>
      </c>
      <c r="CS41" s="19">
        <f>IF(COUNTIFS(T_SelfStock_Log[Part Name],$A41,T_SelfStock_Log[WeekIndex],96)=0,"",SUMIFS(T_SelfStock_Log[Self_Qty],T_SelfStock_Log[Part Name],$A41,T_SelfStock_Log[WeekIndex],96))</f>
        <v/>
      </c>
      <c r="CT41" s="19">
        <f>IF(COUNTIFS(T_SelfStock_Log[Part Name],$A41,T_SelfStock_Log[WeekIndex],97)=0,"",SUMIFS(T_SelfStock_Log[Self_Qty],T_SelfStock_Log[Part Name],$A41,T_SelfStock_Log[WeekIndex],97))</f>
        <v/>
      </c>
      <c r="CU41" s="19">
        <f>IF(COUNTIFS(T_SelfStock_Log[Part Name],$A41,T_SelfStock_Log[WeekIndex],98)=0,"",SUMIFS(T_SelfStock_Log[Self_Qty],T_SelfStock_Log[Part Name],$A41,T_SelfStock_Log[WeekIndex],98))</f>
        <v/>
      </c>
      <c r="CV41" s="19">
        <f>IF(COUNTIFS(T_SelfStock_Log[Part Name],$A41,T_SelfStock_Log[WeekIndex],99)=0,"",SUMIFS(T_SelfStock_Log[Self_Qty],T_SelfStock_Log[Part Name],$A41,T_SelfStock_Log[WeekIndex],99))</f>
        <v/>
      </c>
      <c r="CW41" s="19">
        <f>IF(COUNTIFS(T_SelfStock_Log[Part Name],$A41,T_SelfStock_Log[WeekIndex],100)=0,"",SUMIFS(T_SelfStock_Log[Self_Qty],T_SelfStock_Log[Part Name],$A41,T_SelfStock_Log[WeekIndex],100))</f>
        <v/>
      </c>
      <c r="CX41" s="19">
        <f>IF(COUNTIFS(T_SelfStock_Log[Part Name],$A41,T_SelfStock_Log[WeekIndex],101)=0,"",SUMIFS(T_SelfStock_Log[Self_Qty],T_SelfStock_Log[Part Name],$A41,T_SelfStock_Log[WeekIndex],101))</f>
        <v/>
      </c>
      <c r="CY41" s="19">
        <f>IF(COUNTIFS(T_SelfStock_Log[Part Name],$A41,T_SelfStock_Log[WeekIndex],102)=0,"",SUMIFS(T_SelfStock_Log[Self_Qty],T_SelfStock_Log[Part Name],$A41,T_SelfStock_Log[WeekIndex],102))</f>
        <v/>
      </c>
      <c r="CZ41" s="19">
        <f>IF(COUNTIFS(T_SelfStock_Log[Part Name],$A41,T_SelfStock_Log[WeekIndex],103)=0,"",SUMIFS(T_SelfStock_Log[Self_Qty],T_SelfStock_Log[Part Name],$A41,T_SelfStock_Log[WeekIndex],103))</f>
        <v/>
      </c>
      <c r="DA41" s="19">
        <f>IF(COUNTIFS(T_SelfStock_Log[Part Name],$A41,T_SelfStock_Log[WeekIndex],104)=0,"",SUMIFS(T_SelfStock_Log[Self_Qty],T_SelfStock_Log[Part Name],$A41,T_SelfStock_Log[WeekIndex],104))</f>
        <v/>
      </c>
    </row>
    <row r="42">
      <c r="A42" s="17" t="inlineStr">
        <is>
          <t>CHEM-1530</t>
        </is>
      </c>
      <c r="B42" s="17">
        <f>IF(COUNTIFS(T_SelfStock_Log[Part Name],$A42,T_SelfStock_Log[WeekIndex],1)=0,"",SUMIFS(T_SelfStock_Log[Self_Qty],T_SelfStock_Log[Part Name],$A42,T_SelfStock_Log[WeekIndex],1))</f>
        <v/>
      </c>
      <c r="C42" s="17">
        <f>IF(COUNTIFS(T_SelfStock_Log[Part Name],$A42,T_SelfStock_Log[WeekIndex],2)=0,"",SUMIFS(T_SelfStock_Log[Self_Qty],T_SelfStock_Log[Part Name],$A42,T_SelfStock_Log[WeekIndex],2))</f>
        <v/>
      </c>
      <c r="D42" s="17">
        <f>IF(COUNTIFS(T_SelfStock_Log[Part Name],$A42,T_SelfStock_Log[WeekIndex],3)=0,"",SUMIFS(T_SelfStock_Log[Self_Qty],T_SelfStock_Log[Part Name],$A42,T_SelfStock_Log[WeekIndex],3))</f>
        <v/>
      </c>
      <c r="E42" s="17">
        <f>IF(COUNTIFS(T_SelfStock_Log[Part Name],$A42,T_SelfStock_Log[WeekIndex],4)=0,"",SUMIFS(T_SelfStock_Log[Self_Qty],T_SelfStock_Log[Part Name],$A42,T_SelfStock_Log[WeekIndex],4))</f>
        <v/>
      </c>
      <c r="F42" s="17">
        <f>IF(COUNTIFS(T_SelfStock_Log[Part Name],$A42,T_SelfStock_Log[WeekIndex],5)=0,"",SUMIFS(T_SelfStock_Log[Self_Qty],T_SelfStock_Log[Part Name],$A42,T_SelfStock_Log[WeekIndex],5))</f>
        <v/>
      </c>
      <c r="G42" s="17">
        <f>IF(COUNTIFS(T_SelfStock_Log[Part Name],$A42,T_SelfStock_Log[WeekIndex],6)=0,"",SUMIFS(T_SelfStock_Log[Self_Qty],T_SelfStock_Log[Part Name],$A42,T_SelfStock_Log[WeekIndex],6))</f>
        <v/>
      </c>
      <c r="H42" s="17">
        <f>IF(COUNTIFS(T_SelfStock_Log[Part Name],$A42,T_SelfStock_Log[WeekIndex],7)=0,"",SUMIFS(T_SelfStock_Log[Self_Qty],T_SelfStock_Log[Part Name],$A42,T_SelfStock_Log[WeekIndex],7))</f>
        <v/>
      </c>
      <c r="I42" s="17">
        <f>IF(COUNTIFS(T_SelfStock_Log[Part Name],$A42,T_SelfStock_Log[WeekIndex],8)=0,"",SUMIFS(T_SelfStock_Log[Self_Qty],T_SelfStock_Log[Part Name],$A42,T_SelfStock_Log[WeekIndex],8))</f>
        <v/>
      </c>
      <c r="J42" s="17">
        <f>IF(COUNTIFS(T_SelfStock_Log[Part Name],$A42,T_SelfStock_Log[WeekIndex],9)=0,"",SUMIFS(T_SelfStock_Log[Self_Qty],T_SelfStock_Log[Part Name],$A42,T_SelfStock_Log[WeekIndex],9))</f>
        <v/>
      </c>
      <c r="K42" s="17">
        <f>IF(COUNTIFS(T_SelfStock_Log[Part Name],$A42,T_SelfStock_Log[WeekIndex],10)=0,"",SUMIFS(T_SelfStock_Log[Self_Qty],T_SelfStock_Log[Part Name],$A42,T_SelfStock_Log[WeekIndex],10))</f>
        <v/>
      </c>
      <c r="L42" s="17">
        <f>IF(COUNTIFS(T_SelfStock_Log[Part Name],$A42,T_SelfStock_Log[WeekIndex],11)=0,"",SUMIFS(T_SelfStock_Log[Self_Qty],T_SelfStock_Log[Part Name],$A42,T_SelfStock_Log[WeekIndex],11))</f>
        <v/>
      </c>
      <c r="M42" s="17">
        <f>IF(COUNTIFS(T_SelfStock_Log[Part Name],$A42,T_SelfStock_Log[WeekIndex],12)=0,"",SUMIFS(T_SelfStock_Log[Self_Qty],T_SelfStock_Log[Part Name],$A42,T_SelfStock_Log[WeekIndex],12))</f>
        <v/>
      </c>
      <c r="N42" s="17">
        <f>IF(COUNTIFS(T_SelfStock_Log[Part Name],$A42,T_SelfStock_Log[WeekIndex],13)=0,"",SUMIFS(T_SelfStock_Log[Self_Qty],T_SelfStock_Log[Part Name],$A42,T_SelfStock_Log[WeekIndex],13))</f>
        <v/>
      </c>
      <c r="O42" s="17">
        <f>IF(COUNTIFS(T_SelfStock_Log[Part Name],$A42,T_SelfStock_Log[WeekIndex],14)=0,"",SUMIFS(T_SelfStock_Log[Self_Qty],T_SelfStock_Log[Part Name],$A42,T_SelfStock_Log[WeekIndex],14))</f>
        <v/>
      </c>
      <c r="P42" s="17">
        <f>IF(COUNTIFS(T_SelfStock_Log[Part Name],$A42,T_SelfStock_Log[WeekIndex],15)=0,"",SUMIFS(T_SelfStock_Log[Self_Qty],T_SelfStock_Log[Part Name],$A42,T_SelfStock_Log[WeekIndex],15))</f>
        <v/>
      </c>
      <c r="Q42" s="17">
        <f>IF(COUNTIFS(T_SelfStock_Log[Part Name],$A42,T_SelfStock_Log[WeekIndex],16)=0,"",SUMIFS(T_SelfStock_Log[Self_Qty],T_SelfStock_Log[Part Name],$A42,T_SelfStock_Log[WeekIndex],16))</f>
        <v/>
      </c>
      <c r="R42" s="17">
        <f>IF(COUNTIFS(T_SelfStock_Log[Part Name],$A42,T_SelfStock_Log[WeekIndex],17)=0,"",SUMIFS(T_SelfStock_Log[Self_Qty],T_SelfStock_Log[Part Name],$A42,T_SelfStock_Log[WeekIndex],17))</f>
        <v/>
      </c>
      <c r="S42" s="17">
        <f>IF(COUNTIFS(T_SelfStock_Log[Part Name],$A42,T_SelfStock_Log[WeekIndex],18)=0,"",SUMIFS(T_SelfStock_Log[Self_Qty],T_SelfStock_Log[Part Name],$A42,T_SelfStock_Log[WeekIndex],18))</f>
        <v/>
      </c>
      <c r="T42" s="17">
        <f>IF(COUNTIFS(T_SelfStock_Log[Part Name],$A42,T_SelfStock_Log[WeekIndex],19)=0,"",SUMIFS(T_SelfStock_Log[Self_Qty],T_SelfStock_Log[Part Name],$A42,T_SelfStock_Log[WeekIndex],19))</f>
        <v/>
      </c>
      <c r="U42" s="17">
        <f>IF(COUNTIFS(T_SelfStock_Log[Part Name],$A42,T_SelfStock_Log[WeekIndex],20)=0,"",SUMIFS(T_SelfStock_Log[Self_Qty],T_SelfStock_Log[Part Name],$A42,T_SelfStock_Log[WeekIndex],20))</f>
        <v/>
      </c>
      <c r="V42" s="17">
        <f>IF(COUNTIFS(T_SelfStock_Log[Part Name],$A42,T_SelfStock_Log[WeekIndex],21)=0,"",SUMIFS(T_SelfStock_Log[Self_Qty],T_SelfStock_Log[Part Name],$A42,T_SelfStock_Log[WeekIndex],21))</f>
        <v/>
      </c>
      <c r="W42" s="17">
        <f>IF(COUNTIFS(T_SelfStock_Log[Part Name],$A42,T_SelfStock_Log[WeekIndex],22)=0,"",SUMIFS(T_SelfStock_Log[Self_Qty],T_SelfStock_Log[Part Name],$A42,T_SelfStock_Log[WeekIndex],22))</f>
        <v/>
      </c>
      <c r="X42" s="17">
        <f>IF(COUNTIFS(T_SelfStock_Log[Part Name],$A42,T_SelfStock_Log[WeekIndex],23)=0,"",SUMIFS(T_SelfStock_Log[Self_Qty],T_SelfStock_Log[Part Name],$A42,T_SelfStock_Log[WeekIndex],23))</f>
        <v/>
      </c>
      <c r="Y42" s="17">
        <f>IF(COUNTIFS(T_SelfStock_Log[Part Name],$A42,T_SelfStock_Log[WeekIndex],24)=0,"",SUMIFS(T_SelfStock_Log[Self_Qty],T_SelfStock_Log[Part Name],$A42,T_SelfStock_Log[WeekIndex],24))</f>
        <v/>
      </c>
      <c r="Z42" s="17">
        <f>IF(COUNTIFS(T_SelfStock_Log[Part Name],$A42,T_SelfStock_Log[WeekIndex],25)=0,"",SUMIFS(T_SelfStock_Log[Self_Qty],T_SelfStock_Log[Part Name],$A42,T_SelfStock_Log[WeekIndex],25))</f>
        <v/>
      </c>
      <c r="AA42" s="17">
        <f>IF(COUNTIFS(T_SelfStock_Log[Part Name],$A42,T_SelfStock_Log[WeekIndex],26)=0,"",SUMIFS(T_SelfStock_Log[Self_Qty],T_SelfStock_Log[Part Name],$A42,T_SelfStock_Log[WeekIndex],26))</f>
        <v/>
      </c>
      <c r="AB42" s="17">
        <f>IF(COUNTIFS(T_SelfStock_Log[Part Name],$A42,T_SelfStock_Log[WeekIndex],27)=0,"",SUMIFS(T_SelfStock_Log[Self_Qty],T_SelfStock_Log[Part Name],$A42,T_SelfStock_Log[WeekIndex],27))</f>
        <v/>
      </c>
      <c r="AC42" s="17">
        <f>IF(COUNTIFS(T_SelfStock_Log[Part Name],$A42,T_SelfStock_Log[WeekIndex],28)=0,"",SUMIFS(T_SelfStock_Log[Self_Qty],T_SelfStock_Log[Part Name],$A42,T_SelfStock_Log[WeekIndex],28))</f>
        <v/>
      </c>
      <c r="AD42" s="17">
        <f>IF(COUNTIFS(T_SelfStock_Log[Part Name],$A42,T_SelfStock_Log[WeekIndex],29)=0,"",SUMIFS(T_SelfStock_Log[Self_Qty],T_SelfStock_Log[Part Name],$A42,T_SelfStock_Log[WeekIndex],29))</f>
        <v/>
      </c>
      <c r="AE42" s="17">
        <f>IF(COUNTIFS(T_SelfStock_Log[Part Name],$A42,T_SelfStock_Log[WeekIndex],30)=0,"",SUMIFS(T_SelfStock_Log[Self_Qty],T_SelfStock_Log[Part Name],$A42,T_SelfStock_Log[WeekIndex],30))</f>
        <v/>
      </c>
      <c r="AF42" s="17">
        <f>IF(COUNTIFS(T_SelfStock_Log[Part Name],$A42,T_SelfStock_Log[WeekIndex],31)=0,"",SUMIFS(T_SelfStock_Log[Self_Qty],T_SelfStock_Log[Part Name],$A42,T_SelfStock_Log[WeekIndex],31))</f>
        <v/>
      </c>
      <c r="AG42" s="17">
        <f>IF(COUNTIFS(T_SelfStock_Log[Part Name],$A42,T_SelfStock_Log[WeekIndex],32)=0,"",SUMIFS(T_SelfStock_Log[Self_Qty],T_SelfStock_Log[Part Name],$A42,T_SelfStock_Log[WeekIndex],32))</f>
        <v/>
      </c>
      <c r="AH42" s="17">
        <f>IF(COUNTIFS(T_SelfStock_Log[Part Name],$A42,T_SelfStock_Log[WeekIndex],33)=0,"",SUMIFS(T_SelfStock_Log[Self_Qty],T_SelfStock_Log[Part Name],$A42,T_SelfStock_Log[WeekIndex],33))</f>
        <v/>
      </c>
      <c r="AI42" s="17">
        <f>IF(COUNTIFS(T_SelfStock_Log[Part Name],$A42,T_SelfStock_Log[WeekIndex],34)=0,"",SUMIFS(T_SelfStock_Log[Self_Qty],T_SelfStock_Log[Part Name],$A42,T_SelfStock_Log[WeekIndex],34))</f>
        <v/>
      </c>
      <c r="AJ42" s="17">
        <f>IF(COUNTIFS(T_SelfStock_Log[Part Name],$A42,T_SelfStock_Log[WeekIndex],35)=0,"",SUMIFS(T_SelfStock_Log[Self_Qty],T_SelfStock_Log[Part Name],$A42,T_SelfStock_Log[WeekIndex],35))</f>
        <v/>
      </c>
      <c r="AK42" s="17">
        <f>IF(COUNTIFS(T_SelfStock_Log[Part Name],$A42,T_SelfStock_Log[WeekIndex],36)=0,"",SUMIFS(T_SelfStock_Log[Self_Qty],T_SelfStock_Log[Part Name],$A42,T_SelfStock_Log[WeekIndex],36))</f>
        <v/>
      </c>
      <c r="AL42" s="17">
        <f>IF(COUNTIFS(T_SelfStock_Log[Part Name],$A42,T_SelfStock_Log[WeekIndex],37)=0,"",SUMIFS(T_SelfStock_Log[Self_Qty],T_SelfStock_Log[Part Name],$A42,T_SelfStock_Log[WeekIndex],37))</f>
        <v/>
      </c>
      <c r="AM42" s="17">
        <f>IF(COUNTIFS(T_SelfStock_Log[Part Name],$A42,T_SelfStock_Log[WeekIndex],38)=0,"",SUMIFS(T_SelfStock_Log[Self_Qty],T_SelfStock_Log[Part Name],$A42,T_SelfStock_Log[WeekIndex],38))</f>
        <v/>
      </c>
      <c r="AN42" s="17">
        <f>IF(COUNTIFS(T_SelfStock_Log[Part Name],$A42,T_SelfStock_Log[WeekIndex],39)=0,"",SUMIFS(T_SelfStock_Log[Self_Qty],T_SelfStock_Log[Part Name],$A42,T_SelfStock_Log[WeekIndex],39))</f>
        <v/>
      </c>
      <c r="AO42" s="17">
        <f>IF(COUNTIFS(T_SelfStock_Log[Part Name],$A42,T_SelfStock_Log[WeekIndex],40)=0,"",SUMIFS(T_SelfStock_Log[Self_Qty],T_SelfStock_Log[Part Name],$A42,T_SelfStock_Log[WeekIndex],40))</f>
        <v/>
      </c>
      <c r="AP42" s="17">
        <f>IF(COUNTIFS(T_SelfStock_Log[Part Name],$A42,T_SelfStock_Log[WeekIndex],41)=0,"",SUMIFS(T_SelfStock_Log[Self_Qty],T_SelfStock_Log[Part Name],$A42,T_SelfStock_Log[WeekIndex],41))</f>
        <v/>
      </c>
      <c r="AQ42" s="17">
        <f>IF(COUNTIFS(T_SelfStock_Log[Part Name],$A42,T_SelfStock_Log[WeekIndex],42)=0,"",SUMIFS(T_SelfStock_Log[Self_Qty],T_SelfStock_Log[Part Name],$A42,T_SelfStock_Log[WeekIndex],42))</f>
        <v/>
      </c>
      <c r="AR42" s="17">
        <f>IF(COUNTIFS(T_SelfStock_Log[Part Name],$A42,T_SelfStock_Log[WeekIndex],43)=0,"",SUMIFS(T_SelfStock_Log[Self_Qty],T_SelfStock_Log[Part Name],$A42,T_SelfStock_Log[WeekIndex],43))</f>
        <v/>
      </c>
      <c r="AS42" s="17">
        <f>IF(COUNTIFS(T_SelfStock_Log[Part Name],$A42,T_SelfStock_Log[WeekIndex],44)=0,"",SUMIFS(T_SelfStock_Log[Self_Qty],T_SelfStock_Log[Part Name],$A42,T_SelfStock_Log[WeekIndex],44))</f>
        <v/>
      </c>
      <c r="AT42" s="17">
        <f>IF(COUNTIFS(T_SelfStock_Log[Part Name],$A42,T_SelfStock_Log[WeekIndex],45)=0,"",SUMIFS(T_SelfStock_Log[Self_Qty],T_SelfStock_Log[Part Name],$A42,T_SelfStock_Log[WeekIndex],45))</f>
        <v/>
      </c>
      <c r="AU42" s="17">
        <f>IF(COUNTIFS(T_SelfStock_Log[Part Name],$A42,T_SelfStock_Log[WeekIndex],46)=0,"",SUMIFS(T_SelfStock_Log[Self_Qty],T_SelfStock_Log[Part Name],$A42,T_SelfStock_Log[WeekIndex],46))</f>
        <v/>
      </c>
      <c r="AV42" s="17">
        <f>IF(COUNTIFS(T_SelfStock_Log[Part Name],$A42,T_SelfStock_Log[WeekIndex],47)=0,"",SUMIFS(T_SelfStock_Log[Self_Qty],T_SelfStock_Log[Part Name],$A42,T_SelfStock_Log[WeekIndex],47))</f>
        <v/>
      </c>
      <c r="AW42" s="17">
        <f>IF(COUNTIFS(T_SelfStock_Log[Part Name],$A42,T_SelfStock_Log[WeekIndex],48)=0,"",SUMIFS(T_SelfStock_Log[Self_Qty],T_SelfStock_Log[Part Name],$A42,T_SelfStock_Log[WeekIndex],48))</f>
        <v/>
      </c>
      <c r="AX42" s="17">
        <f>IF(COUNTIFS(T_SelfStock_Log[Part Name],$A42,T_SelfStock_Log[WeekIndex],49)=0,"",SUMIFS(T_SelfStock_Log[Self_Qty],T_SelfStock_Log[Part Name],$A42,T_SelfStock_Log[WeekIndex],49))</f>
        <v/>
      </c>
      <c r="AY42" s="17">
        <f>IF(COUNTIFS(T_SelfStock_Log[Part Name],$A42,T_SelfStock_Log[WeekIndex],50)=0,"",SUMIFS(T_SelfStock_Log[Self_Qty],T_SelfStock_Log[Part Name],$A42,T_SelfStock_Log[WeekIndex],50))</f>
        <v/>
      </c>
      <c r="AZ42" s="17">
        <f>IF(COUNTIFS(T_SelfStock_Log[Part Name],$A42,T_SelfStock_Log[WeekIndex],51)=0,"",SUMIFS(T_SelfStock_Log[Self_Qty],T_SelfStock_Log[Part Name],$A42,T_SelfStock_Log[WeekIndex],51))</f>
        <v/>
      </c>
      <c r="BA42" s="17">
        <f>IF(COUNTIFS(T_SelfStock_Log[Part Name],$A42,T_SelfStock_Log[WeekIndex],52)=0,"",SUMIFS(T_SelfStock_Log[Self_Qty],T_SelfStock_Log[Part Name],$A42,T_SelfStock_Log[WeekIndex],52))</f>
        <v/>
      </c>
      <c r="BB42" s="17">
        <f>IF(COUNTIFS(T_SelfStock_Log[Part Name],$A42,T_SelfStock_Log[WeekIndex],53)=0,"",SUMIFS(T_SelfStock_Log[Self_Qty],T_SelfStock_Log[Part Name],$A42,T_SelfStock_Log[WeekIndex],53))</f>
        <v/>
      </c>
      <c r="BC42" s="17">
        <f>IF(COUNTIFS(T_SelfStock_Log[Part Name],$A42,T_SelfStock_Log[WeekIndex],54)=0,"",SUMIFS(T_SelfStock_Log[Self_Qty],T_SelfStock_Log[Part Name],$A42,T_SelfStock_Log[WeekIndex],54))</f>
        <v/>
      </c>
      <c r="BD42" s="17">
        <f>IF(COUNTIFS(T_SelfStock_Log[Part Name],$A42,T_SelfStock_Log[WeekIndex],55)=0,"",SUMIFS(T_SelfStock_Log[Self_Qty],T_SelfStock_Log[Part Name],$A42,T_SelfStock_Log[WeekIndex],55))</f>
        <v/>
      </c>
      <c r="BE42" s="17">
        <f>IF(COUNTIFS(T_SelfStock_Log[Part Name],$A42,T_SelfStock_Log[WeekIndex],56)=0,"",SUMIFS(T_SelfStock_Log[Self_Qty],T_SelfStock_Log[Part Name],$A42,T_SelfStock_Log[WeekIndex],56))</f>
        <v/>
      </c>
      <c r="BF42" s="17">
        <f>IF(COUNTIFS(T_SelfStock_Log[Part Name],$A42,T_SelfStock_Log[WeekIndex],57)=0,"",SUMIFS(T_SelfStock_Log[Self_Qty],T_SelfStock_Log[Part Name],$A42,T_SelfStock_Log[WeekIndex],57))</f>
        <v/>
      </c>
      <c r="BG42" s="17">
        <f>IF(COUNTIFS(T_SelfStock_Log[Part Name],$A42,T_SelfStock_Log[WeekIndex],58)=0,"",SUMIFS(T_SelfStock_Log[Self_Qty],T_SelfStock_Log[Part Name],$A42,T_SelfStock_Log[WeekIndex],58))</f>
        <v/>
      </c>
      <c r="BH42" s="17">
        <f>IF(COUNTIFS(T_SelfStock_Log[Part Name],$A42,T_SelfStock_Log[WeekIndex],59)=0,"",SUMIFS(T_SelfStock_Log[Self_Qty],T_SelfStock_Log[Part Name],$A42,T_SelfStock_Log[WeekIndex],59))</f>
        <v/>
      </c>
      <c r="BI42" s="17">
        <f>IF(COUNTIFS(T_SelfStock_Log[Part Name],$A42,T_SelfStock_Log[WeekIndex],60)=0,"",SUMIFS(T_SelfStock_Log[Self_Qty],T_SelfStock_Log[Part Name],$A42,T_SelfStock_Log[WeekIndex],60))</f>
        <v/>
      </c>
      <c r="BJ42" s="17">
        <f>IF(COUNTIFS(T_SelfStock_Log[Part Name],$A42,T_SelfStock_Log[WeekIndex],61)=0,"",SUMIFS(T_SelfStock_Log[Self_Qty],T_SelfStock_Log[Part Name],$A42,T_SelfStock_Log[WeekIndex],61))</f>
        <v/>
      </c>
      <c r="BK42" s="17">
        <f>IF(COUNTIFS(T_SelfStock_Log[Part Name],$A42,T_SelfStock_Log[WeekIndex],62)=0,"",SUMIFS(T_SelfStock_Log[Self_Qty],T_SelfStock_Log[Part Name],$A42,T_SelfStock_Log[WeekIndex],62))</f>
        <v/>
      </c>
      <c r="BL42" s="17">
        <f>IF(COUNTIFS(T_SelfStock_Log[Part Name],$A42,T_SelfStock_Log[WeekIndex],63)=0,"",SUMIFS(T_SelfStock_Log[Self_Qty],T_SelfStock_Log[Part Name],$A42,T_SelfStock_Log[WeekIndex],63))</f>
        <v/>
      </c>
      <c r="BM42" s="17">
        <f>IF(COUNTIFS(T_SelfStock_Log[Part Name],$A42,T_SelfStock_Log[WeekIndex],64)=0,"",SUMIFS(T_SelfStock_Log[Self_Qty],T_SelfStock_Log[Part Name],$A42,T_SelfStock_Log[WeekIndex],64))</f>
        <v/>
      </c>
      <c r="BN42" s="17">
        <f>IF(COUNTIFS(T_SelfStock_Log[Part Name],$A42,T_SelfStock_Log[WeekIndex],65)=0,"",SUMIFS(T_SelfStock_Log[Self_Qty],T_SelfStock_Log[Part Name],$A42,T_SelfStock_Log[WeekIndex],65))</f>
        <v/>
      </c>
      <c r="BO42" s="17">
        <f>IF(COUNTIFS(T_SelfStock_Log[Part Name],$A42,T_SelfStock_Log[WeekIndex],66)=0,"",SUMIFS(T_SelfStock_Log[Self_Qty],T_SelfStock_Log[Part Name],$A42,T_SelfStock_Log[WeekIndex],66))</f>
        <v/>
      </c>
      <c r="BP42" s="17">
        <f>IF(COUNTIFS(T_SelfStock_Log[Part Name],$A42,T_SelfStock_Log[WeekIndex],67)=0,"",SUMIFS(T_SelfStock_Log[Self_Qty],T_SelfStock_Log[Part Name],$A42,T_SelfStock_Log[WeekIndex],67))</f>
        <v/>
      </c>
      <c r="BQ42" s="17">
        <f>IF(COUNTIFS(T_SelfStock_Log[Part Name],$A42,T_SelfStock_Log[WeekIndex],68)=0,"",SUMIFS(T_SelfStock_Log[Self_Qty],T_SelfStock_Log[Part Name],$A42,T_SelfStock_Log[WeekIndex],68))</f>
        <v/>
      </c>
      <c r="BR42" s="17">
        <f>IF(COUNTIFS(T_SelfStock_Log[Part Name],$A42,T_SelfStock_Log[WeekIndex],69)=0,"",SUMIFS(T_SelfStock_Log[Self_Qty],T_SelfStock_Log[Part Name],$A42,T_SelfStock_Log[WeekIndex],69))</f>
        <v/>
      </c>
      <c r="BS42" s="17">
        <f>IF(COUNTIFS(T_SelfStock_Log[Part Name],$A42,T_SelfStock_Log[WeekIndex],70)=0,"",SUMIFS(T_SelfStock_Log[Self_Qty],T_SelfStock_Log[Part Name],$A42,T_SelfStock_Log[WeekIndex],70))</f>
        <v/>
      </c>
      <c r="BT42" s="17">
        <f>IF(COUNTIFS(T_SelfStock_Log[Part Name],$A42,T_SelfStock_Log[WeekIndex],71)=0,"",SUMIFS(T_SelfStock_Log[Self_Qty],T_SelfStock_Log[Part Name],$A42,T_SelfStock_Log[WeekIndex],71))</f>
        <v/>
      </c>
      <c r="BU42" s="17">
        <f>IF(COUNTIFS(T_SelfStock_Log[Part Name],$A42,T_SelfStock_Log[WeekIndex],72)=0,"",SUMIFS(T_SelfStock_Log[Self_Qty],T_SelfStock_Log[Part Name],$A42,T_SelfStock_Log[WeekIndex],72))</f>
        <v/>
      </c>
      <c r="BV42" s="17">
        <f>IF(COUNTIFS(T_SelfStock_Log[Part Name],$A42,T_SelfStock_Log[WeekIndex],73)=0,"",SUMIFS(T_SelfStock_Log[Self_Qty],T_SelfStock_Log[Part Name],$A42,T_SelfStock_Log[WeekIndex],73))</f>
        <v/>
      </c>
      <c r="BW42" s="17">
        <f>IF(COUNTIFS(T_SelfStock_Log[Part Name],$A42,T_SelfStock_Log[WeekIndex],74)=0,"",SUMIFS(T_SelfStock_Log[Self_Qty],T_SelfStock_Log[Part Name],$A42,T_SelfStock_Log[WeekIndex],74))</f>
        <v/>
      </c>
      <c r="BX42" s="17">
        <f>IF(COUNTIFS(T_SelfStock_Log[Part Name],$A42,T_SelfStock_Log[WeekIndex],75)=0,"",SUMIFS(T_SelfStock_Log[Self_Qty],T_SelfStock_Log[Part Name],$A42,T_SelfStock_Log[WeekIndex],75))</f>
        <v/>
      </c>
      <c r="BY42" s="17">
        <f>IF(COUNTIFS(T_SelfStock_Log[Part Name],$A42,T_SelfStock_Log[WeekIndex],76)=0,"",SUMIFS(T_SelfStock_Log[Self_Qty],T_SelfStock_Log[Part Name],$A42,T_SelfStock_Log[WeekIndex],76))</f>
        <v/>
      </c>
      <c r="BZ42" s="17">
        <f>IF(COUNTIFS(T_SelfStock_Log[Part Name],$A42,T_SelfStock_Log[WeekIndex],77)=0,"",SUMIFS(T_SelfStock_Log[Self_Qty],T_SelfStock_Log[Part Name],$A42,T_SelfStock_Log[WeekIndex],77))</f>
        <v/>
      </c>
      <c r="CA42" s="17">
        <f>IF(COUNTIFS(T_SelfStock_Log[Part Name],$A42,T_SelfStock_Log[WeekIndex],78)=0,"",SUMIFS(T_SelfStock_Log[Self_Qty],T_SelfStock_Log[Part Name],$A42,T_SelfStock_Log[WeekIndex],78))</f>
        <v/>
      </c>
      <c r="CB42" s="17">
        <f>IF(COUNTIFS(T_SelfStock_Log[Part Name],$A42,T_SelfStock_Log[WeekIndex],79)=0,"",SUMIFS(T_SelfStock_Log[Self_Qty],T_SelfStock_Log[Part Name],$A42,T_SelfStock_Log[WeekIndex],79))</f>
        <v/>
      </c>
      <c r="CC42" s="17">
        <f>IF(COUNTIFS(T_SelfStock_Log[Part Name],$A42,T_SelfStock_Log[WeekIndex],80)=0,"",SUMIFS(T_SelfStock_Log[Self_Qty],T_SelfStock_Log[Part Name],$A42,T_SelfStock_Log[WeekIndex],80))</f>
        <v/>
      </c>
      <c r="CD42" s="17">
        <f>IF(COUNTIFS(T_SelfStock_Log[Part Name],$A42,T_SelfStock_Log[WeekIndex],81)=0,"",SUMIFS(T_SelfStock_Log[Self_Qty],T_SelfStock_Log[Part Name],$A42,T_SelfStock_Log[WeekIndex],81))</f>
        <v/>
      </c>
      <c r="CE42" s="17">
        <f>IF(COUNTIFS(T_SelfStock_Log[Part Name],$A42,T_SelfStock_Log[WeekIndex],82)=0,"",SUMIFS(T_SelfStock_Log[Self_Qty],T_SelfStock_Log[Part Name],$A42,T_SelfStock_Log[WeekIndex],82))</f>
        <v/>
      </c>
      <c r="CF42" s="17">
        <f>IF(COUNTIFS(T_SelfStock_Log[Part Name],$A42,T_SelfStock_Log[WeekIndex],83)=0,"",SUMIFS(T_SelfStock_Log[Self_Qty],T_SelfStock_Log[Part Name],$A42,T_SelfStock_Log[WeekIndex],83))</f>
        <v/>
      </c>
      <c r="CG42" s="17">
        <f>IF(COUNTIFS(T_SelfStock_Log[Part Name],$A42,T_SelfStock_Log[WeekIndex],84)=0,"",SUMIFS(T_SelfStock_Log[Self_Qty],T_SelfStock_Log[Part Name],$A42,T_SelfStock_Log[WeekIndex],84))</f>
        <v/>
      </c>
      <c r="CH42" s="17">
        <f>IF(COUNTIFS(T_SelfStock_Log[Part Name],$A42,T_SelfStock_Log[WeekIndex],85)=0,"",SUMIFS(T_SelfStock_Log[Self_Qty],T_SelfStock_Log[Part Name],$A42,T_SelfStock_Log[WeekIndex],85))</f>
        <v/>
      </c>
      <c r="CI42" s="17">
        <f>IF(COUNTIFS(T_SelfStock_Log[Part Name],$A42,T_SelfStock_Log[WeekIndex],86)=0,"",SUMIFS(T_SelfStock_Log[Self_Qty],T_SelfStock_Log[Part Name],$A42,T_SelfStock_Log[WeekIndex],86))</f>
        <v/>
      </c>
      <c r="CJ42" s="17">
        <f>IF(COUNTIFS(T_SelfStock_Log[Part Name],$A42,T_SelfStock_Log[WeekIndex],87)=0,"",SUMIFS(T_SelfStock_Log[Self_Qty],T_SelfStock_Log[Part Name],$A42,T_SelfStock_Log[WeekIndex],87))</f>
        <v/>
      </c>
      <c r="CK42" s="17">
        <f>IF(COUNTIFS(T_SelfStock_Log[Part Name],$A42,T_SelfStock_Log[WeekIndex],88)=0,"",SUMIFS(T_SelfStock_Log[Self_Qty],T_SelfStock_Log[Part Name],$A42,T_SelfStock_Log[WeekIndex],88))</f>
        <v/>
      </c>
      <c r="CL42" s="17">
        <f>IF(COUNTIFS(T_SelfStock_Log[Part Name],$A42,T_SelfStock_Log[WeekIndex],89)=0,"",SUMIFS(T_SelfStock_Log[Self_Qty],T_SelfStock_Log[Part Name],$A42,T_SelfStock_Log[WeekIndex],89))</f>
        <v/>
      </c>
      <c r="CM42" s="17">
        <f>IF(COUNTIFS(T_SelfStock_Log[Part Name],$A42,T_SelfStock_Log[WeekIndex],90)=0,"",SUMIFS(T_SelfStock_Log[Self_Qty],T_SelfStock_Log[Part Name],$A42,T_SelfStock_Log[WeekIndex],90))</f>
        <v/>
      </c>
      <c r="CN42" s="17">
        <f>IF(COUNTIFS(T_SelfStock_Log[Part Name],$A42,T_SelfStock_Log[WeekIndex],91)=0,"",SUMIFS(T_SelfStock_Log[Self_Qty],T_SelfStock_Log[Part Name],$A42,T_SelfStock_Log[WeekIndex],91))</f>
        <v/>
      </c>
      <c r="CO42" s="17">
        <f>IF(COUNTIFS(T_SelfStock_Log[Part Name],$A42,T_SelfStock_Log[WeekIndex],92)=0,"",SUMIFS(T_SelfStock_Log[Self_Qty],T_SelfStock_Log[Part Name],$A42,T_SelfStock_Log[WeekIndex],92))</f>
        <v/>
      </c>
      <c r="CP42" s="17">
        <f>IF(COUNTIFS(T_SelfStock_Log[Part Name],$A42,T_SelfStock_Log[WeekIndex],93)=0,"",SUMIFS(T_SelfStock_Log[Self_Qty],T_SelfStock_Log[Part Name],$A42,T_SelfStock_Log[WeekIndex],93))</f>
        <v/>
      </c>
      <c r="CQ42" s="17">
        <f>IF(COUNTIFS(T_SelfStock_Log[Part Name],$A42,T_SelfStock_Log[WeekIndex],94)=0,"",SUMIFS(T_SelfStock_Log[Self_Qty],T_SelfStock_Log[Part Name],$A42,T_SelfStock_Log[WeekIndex],94))</f>
        <v/>
      </c>
      <c r="CR42" s="17">
        <f>IF(COUNTIFS(T_SelfStock_Log[Part Name],$A42,T_SelfStock_Log[WeekIndex],95)=0,"",SUMIFS(T_SelfStock_Log[Self_Qty],T_SelfStock_Log[Part Name],$A42,T_SelfStock_Log[WeekIndex],95))</f>
        <v/>
      </c>
      <c r="CS42" s="17">
        <f>IF(COUNTIFS(T_SelfStock_Log[Part Name],$A42,T_SelfStock_Log[WeekIndex],96)=0,"",SUMIFS(T_SelfStock_Log[Self_Qty],T_SelfStock_Log[Part Name],$A42,T_SelfStock_Log[WeekIndex],96))</f>
        <v/>
      </c>
      <c r="CT42" s="17">
        <f>IF(COUNTIFS(T_SelfStock_Log[Part Name],$A42,T_SelfStock_Log[WeekIndex],97)=0,"",SUMIFS(T_SelfStock_Log[Self_Qty],T_SelfStock_Log[Part Name],$A42,T_SelfStock_Log[WeekIndex],97))</f>
        <v/>
      </c>
      <c r="CU42" s="17">
        <f>IF(COUNTIFS(T_SelfStock_Log[Part Name],$A42,T_SelfStock_Log[WeekIndex],98)=0,"",SUMIFS(T_SelfStock_Log[Self_Qty],T_SelfStock_Log[Part Name],$A42,T_SelfStock_Log[WeekIndex],98))</f>
        <v/>
      </c>
      <c r="CV42" s="17">
        <f>IF(COUNTIFS(T_SelfStock_Log[Part Name],$A42,T_SelfStock_Log[WeekIndex],99)=0,"",SUMIFS(T_SelfStock_Log[Self_Qty],T_SelfStock_Log[Part Name],$A42,T_SelfStock_Log[WeekIndex],99))</f>
        <v/>
      </c>
      <c r="CW42" s="17">
        <f>IF(COUNTIFS(T_SelfStock_Log[Part Name],$A42,T_SelfStock_Log[WeekIndex],100)=0,"",SUMIFS(T_SelfStock_Log[Self_Qty],T_SelfStock_Log[Part Name],$A42,T_SelfStock_Log[WeekIndex],100))</f>
        <v/>
      </c>
      <c r="CX42" s="17">
        <f>IF(COUNTIFS(T_SelfStock_Log[Part Name],$A42,T_SelfStock_Log[WeekIndex],101)=0,"",SUMIFS(T_SelfStock_Log[Self_Qty],T_SelfStock_Log[Part Name],$A42,T_SelfStock_Log[WeekIndex],101))</f>
        <v/>
      </c>
      <c r="CY42" s="17">
        <f>IF(COUNTIFS(T_SelfStock_Log[Part Name],$A42,T_SelfStock_Log[WeekIndex],102)=0,"",SUMIFS(T_SelfStock_Log[Self_Qty],T_SelfStock_Log[Part Name],$A42,T_SelfStock_Log[WeekIndex],102))</f>
        <v/>
      </c>
      <c r="CZ42" s="17">
        <f>IF(COUNTIFS(T_SelfStock_Log[Part Name],$A42,T_SelfStock_Log[WeekIndex],103)=0,"",SUMIFS(T_SelfStock_Log[Self_Qty],T_SelfStock_Log[Part Name],$A42,T_SelfStock_Log[WeekIndex],103))</f>
        <v/>
      </c>
      <c r="DA42" s="17">
        <f>IF(COUNTIFS(T_SelfStock_Log[Part Name],$A42,T_SelfStock_Log[WeekIndex],104)=0,"",SUMIFS(T_SelfStock_Log[Self_Qty],T_SelfStock_Log[Part Name],$A42,T_SelfStock_Log[WeekIndex],104))</f>
        <v/>
      </c>
    </row>
    <row r="43">
      <c r="A43" s="19" t="inlineStr">
        <is>
          <t>CHEM-1480</t>
        </is>
      </c>
      <c r="B43" s="19">
        <f>IF(COUNTIFS(T_SelfStock_Log[Part Name],$A43,T_SelfStock_Log[WeekIndex],1)=0,"",SUMIFS(T_SelfStock_Log[Self_Qty],T_SelfStock_Log[Part Name],$A43,T_SelfStock_Log[WeekIndex],1))</f>
        <v/>
      </c>
      <c r="C43" s="19">
        <f>IF(COUNTIFS(T_SelfStock_Log[Part Name],$A43,T_SelfStock_Log[WeekIndex],2)=0,"",SUMIFS(T_SelfStock_Log[Self_Qty],T_SelfStock_Log[Part Name],$A43,T_SelfStock_Log[WeekIndex],2))</f>
        <v/>
      </c>
      <c r="D43" s="19">
        <f>IF(COUNTIFS(T_SelfStock_Log[Part Name],$A43,T_SelfStock_Log[WeekIndex],3)=0,"",SUMIFS(T_SelfStock_Log[Self_Qty],T_SelfStock_Log[Part Name],$A43,T_SelfStock_Log[WeekIndex],3))</f>
        <v/>
      </c>
      <c r="E43" s="19">
        <f>IF(COUNTIFS(T_SelfStock_Log[Part Name],$A43,T_SelfStock_Log[WeekIndex],4)=0,"",SUMIFS(T_SelfStock_Log[Self_Qty],T_SelfStock_Log[Part Name],$A43,T_SelfStock_Log[WeekIndex],4))</f>
        <v/>
      </c>
      <c r="F43" s="19">
        <f>IF(COUNTIFS(T_SelfStock_Log[Part Name],$A43,T_SelfStock_Log[WeekIndex],5)=0,"",SUMIFS(T_SelfStock_Log[Self_Qty],T_SelfStock_Log[Part Name],$A43,T_SelfStock_Log[WeekIndex],5))</f>
        <v/>
      </c>
      <c r="G43" s="19">
        <f>IF(COUNTIFS(T_SelfStock_Log[Part Name],$A43,T_SelfStock_Log[WeekIndex],6)=0,"",SUMIFS(T_SelfStock_Log[Self_Qty],T_SelfStock_Log[Part Name],$A43,T_SelfStock_Log[WeekIndex],6))</f>
        <v/>
      </c>
      <c r="H43" s="19">
        <f>IF(COUNTIFS(T_SelfStock_Log[Part Name],$A43,T_SelfStock_Log[WeekIndex],7)=0,"",SUMIFS(T_SelfStock_Log[Self_Qty],T_SelfStock_Log[Part Name],$A43,T_SelfStock_Log[WeekIndex],7))</f>
        <v/>
      </c>
      <c r="I43" s="19">
        <f>IF(COUNTIFS(T_SelfStock_Log[Part Name],$A43,T_SelfStock_Log[WeekIndex],8)=0,"",SUMIFS(T_SelfStock_Log[Self_Qty],T_SelfStock_Log[Part Name],$A43,T_SelfStock_Log[WeekIndex],8))</f>
        <v/>
      </c>
      <c r="J43" s="19">
        <f>IF(COUNTIFS(T_SelfStock_Log[Part Name],$A43,T_SelfStock_Log[WeekIndex],9)=0,"",SUMIFS(T_SelfStock_Log[Self_Qty],T_SelfStock_Log[Part Name],$A43,T_SelfStock_Log[WeekIndex],9))</f>
        <v/>
      </c>
      <c r="K43" s="19">
        <f>IF(COUNTIFS(T_SelfStock_Log[Part Name],$A43,T_SelfStock_Log[WeekIndex],10)=0,"",SUMIFS(T_SelfStock_Log[Self_Qty],T_SelfStock_Log[Part Name],$A43,T_SelfStock_Log[WeekIndex],10))</f>
        <v/>
      </c>
      <c r="L43" s="19">
        <f>IF(COUNTIFS(T_SelfStock_Log[Part Name],$A43,T_SelfStock_Log[WeekIndex],11)=0,"",SUMIFS(T_SelfStock_Log[Self_Qty],T_SelfStock_Log[Part Name],$A43,T_SelfStock_Log[WeekIndex],11))</f>
        <v/>
      </c>
      <c r="M43" s="19">
        <f>IF(COUNTIFS(T_SelfStock_Log[Part Name],$A43,T_SelfStock_Log[WeekIndex],12)=0,"",SUMIFS(T_SelfStock_Log[Self_Qty],T_SelfStock_Log[Part Name],$A43,T_SelfStock_Log[WeekIndex],12))</f>
        <v/>
      </c>
      <c r="N43" s="19">
        <f>IF(COUNTIFS(T_SelfStock_Log[Part Name],$A43,T_SelfStock_Log[WeekIndex],13)=0,"",SUMIFS(T_SelfStock_Log[Self_Qty],T_SelfStock_Log[Part Name],$A43,T_SelfStock_Log[WeekIndex],13))</f>
        <v/>
      </c>
      <c r="O43" s="19">
        <f>IF(COUNTIFS(T_SelfStock_Log[Part Name],$A43,T_SelfStock_Log[WeekIndex],14)=0,"",SUMIFS(T_SelfStock_Log[Self_Qty],T_SelfStock_Log[Part Name],$A43,T_SelfStock_Log[WeekIndex],14))</f>
        <v/>
      </c>
      <c r="P43" s="19">
        <f>IF(COUNTIFS(T_SelfStock_Log[Part Name],$A43,T_SelfStock_Log[WeekIndex],15)=0,"",SUMIFS(T_SelfStock_Log[Self_Qty],T_SelfStock_Log[Part Name],$A43,T_SelfStock_Log[WeekIndex],15))</f>
        <v/>
      </c>
      <c r="Q43" s="19">
        <f>IF(COUNTIFS(T_SelfStock_Log[Part Name],$A43,T_SelfStock_Log[WeekIndex],16)=0,"",SUMIFS(T_SelfStock_Log[Self_Qty],T_SelfStock_Log[Part Name],$A43,T_SelfStock_Log[WeekIndex],16))</f>
        <v/>
      </c>
      <c r="R43" s="19">
        <f>IF(COUNTIFS(T_SelfStock_Log[Part Name],$A43,T_SelfStock_Log[WeekIndex],17)=0,"",SUMIFS(T_SelfStock_Log[Self_Qty],T_SelfStock_Log[Part Name],$A43,T_SelfStock_Log[WeekIndex],17))</f>
        <v/>
      </c>
      <c r="S43" s="19">
        <f>IF(COUNTIFS(T_SelfStock_Log[Part Name],$A43,T_SelfStock_Log[WeekIndex],18)=0,"",SUMIFS(T_SelfStock_Log[Self_Qty],T_SelfStock_Log[Part Name],$A43,T_SelfStock_Log[WeekIndex],18))</f>
        <v/>
      </c>
      <c r="T43" s="19">
        <f>IF(COUNTIFS(T_SelfStock_Log[Part Name],$A43,T_SelfStock_Log[WeekIndex],19)=0,"",SUMIFS(T_SelfStock_Log[Self_Qty],T_SelfStock_Log[Part Name],$A43,T_SelfStock_Log[WeekIndex],19))</f>
        <v/>
      </c>
      <c r="U43" s="19">
        <f>IF(COUNTIFS(T_SelfStock_Log[Part Name],$A43,T_SelfStock_Log[WeekIndex],20)=0,"",SUMIFS(T_SelfStock_Log[Self_Qty],T_SelfStock_Log[Part Name],$A43,T_SelfStock_Log[WeekIndex],20))</f>
        <v/>
      </c>
      <c r="V43" s="19">
        <f>IF(COUNTIFS(T_SelfStock_Log[Part Name],$A43,T_SelfStock_Log[WeekIndex],21)=0,"",SUMIFS(T_SelfStock_Log[Self_Qty],T_SelfStock_Log[Part Name],$A43,T_SelfStock_Log[WeekIndex],21))</f>
        <v/>
      </c>
      <c r="W43" s="19">
        <f>IF(COUNTIFS(T_SelfStock_Log[Part Name],$A43,T_SelfStock_Log[WeekIndex],22)=0,"",SUMIFS(T_SelfStock_Log[Self_Qty],T_SelfStock_Log[Part Name],$A43,T_SelfStock_Log[WeekIndex],22))</f>
        <v/>
      </c>
      <c r="X43" s="19">
        <f>IF(COUNTIFS(T_SelfStock_Log[Part Name],$A43,T_SelfStock_Log[WeekIndex],23)=0,"",SUMIFS(T_SelfStock_Log[Self_Qty],T_SelfStock_Log[Part Name],$A43,T_SelfStock_Log[WeekIndex],23))</f>
        <v/>
      </c>
      <c r="Y43" s="19">
        <f>IF(COUNTIFS(T_SelfStock_Log[Part Name],$A43,T_SelfStock_Log[WeekIndex],24)=0,"",SUMIFS(T_SelfStock_Log[Self_Qty],T_SelfStock_Log[Part Name],$A43,T_SelfStock_Log[WeekIndex],24))</f>
        <v/>
      </c>
      <c r="Z43" s="19">
        <f>IF(COUNTIFS(T_SelfStock_Log[Part Name],$A43,T_SelfStock_Log[WeekIndex],25)=0,"",SUMIFS(T_SelfStock_Log[Self_Qty],T_SelfStock_Log[Part Name],$A43,T_SelfStock_Log[WeekIndex],25))</f>
        <v/>
      </c>
      <c r="AA43" s="19">
        <f>IF(COUNTIFS(T_SelfStock_Log[Part Name],$A43,T_SelfStock_Log[WeekIndex],26)=0,"",SUMIFS(T_SelfStock_Log[Self_Qty],T_SelfStock_Log[Part Name],$A43,T_SelfStock_Log[WeekIndex],26))</f>
        <v/>
      </c>
      <c r="AB43" s="19">
        <f>IF(COUNTIFS(T_SelfStock_Log[Part Name],$A43,T_SelfStock_Log[WeekIndex],27)=0,"",SUMIFS(T_SelfStock_Log[Self_Qty],T_SelfStock_Log[Part Name],$A43,T_SelfStock_Log[WeekIndex],27))</f>
        <v/>
      </c>
      <c r="AC43" s="19">
        <f>IF(COUNTIFS(T_SelfStock_Log[Part Name],$A43,T_SelfStock_Log[WeekIndex],28)=0,"",SUMIFS(T_SelfStock_Log[Self_Qty],T_SelfStock_Log[Part Name],$A43,T_SelfStock_Log[WeekIndex],28))</f>
        <v/>
      </c>
      <c r="AD43" s="19">
        <f>IF(COUNTIFS(T_SelfStock_Log[Part Name],$A43,T_SelfStock_Log[WeekIndex],29)=0,"",SUMIFS(T_SelfStock_Log[Self_Qty],T_SelfStock_Log[Part Name],$A43,T_SelfStock_Log[WeekIndex],29))</f>
        <v/>
      </c>
      <c r="AE43" s="19">
        <f>IF(COUNTIFS(T_SelfStock_Log[Part Name],$A43,T_SelfStock_Log[WeekIndex],30)=0,"",SUMIFS(T_SelfStock_Log[Self_Qty],T_SelfStock_Log[Part Name],$A43,T_SelfStock_Log[WeekIndex],30))</f>
        <v/>
      </c>
      <c r="AF43" s="19">
        <f>IF(COUNTIFS(T_SelfStock_Log[Part Name],$A43,T_SelfStock_Log[WeekIndex],31)=0,"",SUMIFS(T_SelfStock_Log[Self_Qty],T_SelfStock_Log[Part Name],$A43,T_SelfStock_Log[WeekIndex],31))</f>
        <v/>
      </c>
      <c r="AG43" s="19">
        <f>IF(COUNTIFS(T_SelfStock_Log[Part Name],$A43,T_SelfStock_Log[WeekIndex],32)=0,"",SUMIFS(T_SelfStock_Log[Self_Qty],T_SelfStock_Log[Part Name],$A43,T_SelfStock_Log[WeekIndex],32))</f>
        <v/>
      </c>
      <c r="AH43" s="19">
        <f>IF(COUNTIFS(T_SelfStock_Log[Part Name],$A43,T_SelfStock_Log[WeekIndex],33)=0,"",SUMIFS(T_SelfStock_Log[Self_Qty],T_SelfStock_Log[Part Name],$A43,T_SelfStock_Log[WeekIndex],33))</f>
        <v/>
      </c>
      <c r="AI43" s="19">
        <f>IF(COUNTIFS(T_SelfStock_Log[Part Name],$A43,T_SelfStock_Log[WeekIndex],34)=0,"",SUMIFS(T_SelfStock_Log[Self_Qty],T_SelfStock_Log[Part Name],$A43,T_SelfStock_Log[WeekIndex],34))</f>
        <v/>
      </c>
      <c r="AJ43" s="19">
        <f>IF(COUNTIFS(T_SelfStock_Log[Part Name],$A43,T_SelfStock_Log[WeekIndex],35)=0,"",SUMIFS(T_SelfStock_Log[Self_Qty],T_SelfStock_Log[Part Name],$A43,T_SelfStock_Log[WeekIndex],35))</f>
        <v/>
      </c>
      <c r="AK43" s="19">
        <f>IF(COUNTIFS(T_SelfStock_Log[Part Name],$A43,T_SelfStock_Log[WeekIndex],36)=0,"",SUMIFS(T_SelfStock_Log[Self_Qty],T_SelfStock_Log[Part Name],$A43,T_SelfStock_Log[WeekIndex],36))</f>
        <v/>
      </c>
      <c r="AL43" s="19">
        <f>IF(COUNTIFS(T_SelfStock_Log[Part Name],$A43,T_SelfStock_Log[WeekIndex],37)=0,"",SUMIFS(T_SelfStock_Log[Self_Qty],T_SelfStock_Log[Part Name],$A43,T_SelfStock_Log[WeekIndex],37))</f>
        <v/>
      </c>
      <c r="AM43" s="19">
        <f>IF(COUNTIFS(T_SelfStock_Log[Part Name],$A43,T_SelfStock_Log[WeekIndex],38)=0,"",SUMIFS(T_SelfStock_Log[Self_Qty],T_SelfStock_Log[Part Name],$A43,T_SelfStock_Log[WeekIndex],38))</f>
        <v/>
      </c>
      <c r="AN43" s="19">
        <f>IF(COUNTIFS(T_SelfStock_Log[Part Name],$A43,T_SelfStock_Log[WeekIndex],39)=0,"",SUMIFS(T_SelfStock_Log[Self_Qty],T_SelfStock_Log[Part Name],$A43,T_SelfStock_Log[WeekIndex],39))</f>
        <v/>
      </c>
      <c r="AO43" s="19">
        <f>IF(COUNTIFS(T_SelfStock_Log[Part Name],$A43,T_SelfStock_Log[WeekIndex],40)=0,"",SUMIFS(T_SelfStock_Log[Self_Qty],T_SelfStock_Log[Part Name],$A43,T_SelfStock_Log[WeekIndex],40))</f>
        <v/>
      </c>
      <c r="AP43" s="19">
        <f>IF(COUNTIFS(T_SelfStock_Log[Part Name],$A43,T_SelfStock_Log[WeekIndex],41)=0,"",SUMIFS(T_SelfStock_Log[Self_Qty],T_SelfStock_Log[Part Name],$A43,T_SelfStock_Log[WeekIndex],41))</f>
        <v/>
      </c>
      <c r="AQ43" s="19">
        <f>IF(COUNTIFS(T_SelfStock_Log[Part Name],$A43,T_SelfStock_Log[WeekIndex],42)=0,"",SUMIFS(T_SelfStock_Log[Self_Qty],T_SelfStock_Log[Part Name],$A43,T_SelfStock_Log[WeekIndex],42))</f>
        <v/>
      </c>
      <c r="AR43" s="19">
        <f>IF(COUNTIFS(T_SelfStock_Log[Part Name],$A43,T_SelfStock_Log[WeekIndex],43)=0,"",SUMIFS(T_SelfStock_Log[Self_Qty],T_SelfStock_Log[Part Name],$A43,T_SelfStock_Log[WeekIndex],43))</f>
        <v/>
      </c>
      <c r="AS43" s="19">
        <f>IF(COUNTIFS(T_SelfStock_Log[Part Name],$A43,T_SelfStock_Log[WeekIndex],44)=0,"",SUMIFS(T_SelfStock_Log[Self_Qty],T_SelfStock_Log[Part Name],$A43,T_SelfStock_Log[WeekIndex],44))</f>
        <v/>
      </c>
      <c r="AT43" s="19">
        <f>IF(COUNTIFS(T_SelfStock_Log[Part Name],$A43,T_SelfStock_Log[WeekIndex],45)=0,"",SUMIFS(T_SelfStock_Log[Self_Qty],T_SelfStock_Log[Part Name],$A43,T_SelfStock_Log[WeekIndex],45))</f>
        <v/>
      </c>
      <c r="AU43" s="19">
        <f>IF(COUNTIFS(T_SelfStock_Log[Part Name],$A43,T_SelfStock_Log[WeekIndex],46)=0,"",SUMIFS(T_SelfStock_Log[Self_Qty],T_SelfStock_Log[Part Name],$A43,T_SelfStock_Log[WeekIndex],46))</f>
        <v/>
      </c>
      <c r="AV43" s="19">
        <f>IF(COUNTIFS(T_SelfStock_Log[Part Name],$A43,T_SelfStock_Log[WeekIndex],47)=0,"",SUMIFS(T_SelfStock_Log[Self_Qty],T_SelfStock_Log[Part Name],$A43,T_SelfStock_Log[WeekIndex],47))</f>
        <v/>
      </c>
      <c r="AW43" s="19">
        <f>IF(COUNTIFS(T_SelfStock_Log[Part Name],$A43,T_SelfStock_Log[WeekIndex],48)=0,"",SUMIFS(T_SelfStock_Log[Self_Qty],T_SelfStock_Log[Part Name],$A43,T_SelfStock_Log[WeekIndex],48))</f>
        <v/>
      </c>
      <c r="AX43" s="19">
        <f>IF(COUNTIFS(T_SelfStock_Log[Part Name],$A43,T_SelfStock_Log[WeekIndex],49)=0,"",SUMIFS(T_SelfStock_Log[Self_Qty],T_SelfStock_Log[Part Name],$A43,T_SelfStock_Log[WeekIndex],49))</f>
        <v/>
      </c>
      <c r="AY43" s="19">
        <f>IF(COUNTIFS(T_SelfStock_Log[Part Name],$A43,T_SelfStock_Log[WeekIndex],50)=0,"",SUMIFS(T_SelfStock_Log[Self_Qty],T_SelfStock_Log[Part Name],$A43,T_SelfStock_Log[WeekIndex],50))</f>
        <v/>
      </c>
      <c r="AZ43" s="19">
        <f>IF(COUNTIFS(T_SelfStock_Log[Part Name],$A43,T_SelfStock_Log[WeekIndex],51)=0,"",SUMIFS(T_SelfStock_Log[Self_Qty],T_SelfStock_Log[Part Name],$A43,T_SelfStock_Log[WeekIndex],51))</f>
        <v/>
      </c>
      <c r="BA43" s="19">
        <f>IF(COUNTIFS(T_SelfStock_Log[Part Name],$A43,T_SelfStock_Log[WeekIndex],52)=0,"",SUMIFS(T_SelfStock_Log[Self_Qty],T_SelfStock_Log[Part Name],$A43,T_SelfStock_Log[WeekIndex],52))</f>
        <v/>
      </c>
      <c r="BB43" s="19">
        <f>IF(COUNTIFS(T_SelfStock_Log[Part Name],$A43,T_SelfStock_Log[WeekIndex],53)=0,"",SUMIFS(T_SelfStock_Log[Self_Qty],T_SelfStock_Log[Part Name],$A43,T_SelfStock_Log[WeekIndex],53))</f>
        <v/>
      </c>
      <c r="BC43" s="19">
        <f>IF(COUNTIFS(T_SelfStock_Log[Part Name],$A43,T_SelfStock_Log[WeekIndex],54)=0,"",SUMIFS(T_SelfStock_Log[Self_Qty],T_SelfStock_Log[Part Name],$A43,T_SelfStock_Log[WeekIndex],54))</f>
        <v/>
      </c>
      <c r="BD43" s="19">
        <f>IF(COUNTIFS(T_SelfStock_Log[Part Name],$A43,T_SelfStock_Log[WeekIndex],55)=0,"",SUMIFS(T_SelfStock_Log[Self_Qty],T_SelfStock_Log[Part Name],$A43,T_SelfStock_Log[WeekIndex],55))</f>
        <v/>
      </c>
      <c r="BE43" s="19">
        <f>IF(COUNTIFS(T_SelfStock_Log[Part Name],$A43,T_SelfStock_Log[WeekIndex],56)=0,"",SUMIFS(T_SelfStock_Log[Self_Qty],T_SelfStock_Log[Part Name],$A43,T_SelfStock_Log[WeekIndex],56))</f>
        <v/>
      </c>
      <c r="BF43" s="19">
        <f>IF(COUNTIFS(T_SelfStock_Log[Part Name],$A43,T_SelfStock_Log[WeekIndex],57)=0,"",SUMIFS(T_SelfStock_Log[Self_Qty],T_SelfStock_Log[Part Name],$A43,T_SelfStock_Log[WeekIndex],57))</f>
        <v/>
      </c>
      <c r="BG43" s="19">
        <f>IF(COUNTIFS(T_SelfStock_Log[Part Name],$A43,T_SelfStock_Log[WeekIndex],58)=0,"",SUMIFS(T_SelfStock_Log[Self_Qty],T_SelfStock_Log[Part Name],$A43,T_SelfStock_Log[WeekIndex],58))</f>
        <v/>
      </c>
      <c r="BH43" s="19">
        <f>IF(COUNTIFS(T_SelfStock_Log[Part Name],$A43,T_SelfStock_Log[WeekIndex],59)=0,"",SUMIFS(T_SelfStock_Log[Self_Qty],T_SelfStock_Log[Part Name],$A43,T_SelfStock_Log[WeekIndex],59))</f>
        <v/>
      </c>
      <c r="BI43" s="19">
        <f>IF(COUNTIFS(T_SelfStock_Log[Part Name],$A43,T_SelfStock_Log[WeekIndex],60)=0,"",SUMIFS(T_SelfStock_Log[Self_Qty],T_SelfStock_Log[Part Name],$A43,T_SelfStock_Log[WeekIndex],60))</f>
        <v/>
      </c>
      <c r="BJ43" s="19">
        <f>IF(COUNTIFS(T_SelfStock_Log[Part Name],$A43,T_SelfStock_Log[WeekIndex],61)=0,"",SUMIFS(T_SelfStock_Log[Self_Qty],T_SelfStock_Log[Part Name],$A43,T_SelfStock_Log[WeekIndex],61))</f>
        <v/>
      </c>
      <c r="BK43" s="19">
        <f>IF(COUNTIFS(T_SelfStock_Log[Part Name],$A43,T_SelfStock_Log[WeekIndex],62)=0,"",SUMIFS(T_SelfStock_Log[Self_Qty],T_SelfStock_Log[Part Name],$A43,T_SelfStock_Log[WeekIndex],62))</f>
        <v/>
      </c>
      <c r="BL43" s="19">
        <f>IF(COUNTIFS(T_SelfStock_Log[Part Name],$A43,T_SelfStock_Log[WeekIndex],63)=0,"",SUMIFS(T_SelfStock_Log[Self_Qty],T_SelfStock_Log[Part Name],$A43,T_SelfStock_Log[WeekIndex],63))</f>
        <v/>
      </c>
      <c r="BM43" s="19">
        <f>IF(COUNTIFS(T_SelfStock_Log[Part Name],$A43,T_SelfStock_Log[WeekIndex],64)=0,"",SUMIFS(T_SelfStock_Log[Self_Qty],T_SelfStock_Log[Part Name],$A43,T_SelfStock_Log[WeekIndex],64))</f>
        <v/>
      </c>
      <c r="BN43" s="19">
        <f>IF(COUNTIFS(T_SelfStock_Log[Part Name],$A43,T_SelfStock_Log[WeekIndex],65)=0,"",SUMIFS(T_SelfStock_Log[Self_Qty],T_SelfStock_Log[Part Name],$A43,T_SelfStock_Log[WeekIndex],65))</f>
        <v/>
      </c>
      <c r="BO43" s="19">
        <f>IF(COUNTIFS(T_SelfStock_Log[Part Name],$A43,T_SelfStock_Log[WeekIndex],66)=0,"",SUMIFS(T_SelfStock_Log[Self_Qty],T_SelfStock_Log[Part Name],$A43,T_SelfStock_Log[WeekIndex],66))</f>
        <v/>
      </c>
      <c r="BP43" s="19">
        <f>IF(COUNTIFS(T_SelfStock_Log[Part Name],$A43,T_SelfStock_Log[WeekIndex],67)=0,"",SUMIFS(T_SelfStock_Log[Self_Qty],T_SelfStock_Log[Part Name],$A43,T_SelfStock_Log[WeekIndex],67))</f>
        <v/>
      </c>
      <c r="BQ43" s="19">
        <f>IF(COUNTIFS(T_SelfStock_Log[Part Name],$A43,T_SelfStock_Log[WeekIndex],68)=0,"",SUMIFS(T_SelfStock_Log[Self_Qty],T_SelfStock_Log[Part Name],$A43,T_SelfStock_Log[WeekIndex],68))</f>
        <v/>
      </c>
      <c r="BR43" s="19">
        <f>IF(COUNTIFS(T_SelfStock_Log[Part Name],$A43,T_SelfStock_Log[WeekIndex],69)=0,"",SUMIFS(T_SelfStock_Log[Self_Qty],T_SelfStock_Log[Part Name],$A43,T_SelfStock_Log[WeekIndex],69))</f>
        <v/>
      </c>
      <c r="BS43" s="19">
        <f>IF(COUNTIFS(T_SelfStock_Log[Part Name],$A43,T_SelfStock_Log[WeekIndex],70)=0,"",SUMIFS(T_SelfStock_Log[Self_Qty],T_SelfStock_Log[Part Name],$A43,T_SelfStock_Log[WeekIndex],70))</f>
        <v/>
      </c>
      <c r="BT43" s="19">
        <f>IF(COUNTIFS(T_SelfStock_Log[Part Name],$A43,T_SelfStock_Log[WeekIndex],71)=0,"",SUMIFS(T_SelfStock_Log[Self_Qty],T_SelfStock_Log[Part Name],$A43,T_SelfStock_Log[WeekIndex],71))</f>
        <v/>
      </c>
      <c r="BU43" s="19">
        <f>IF(COUNTIFS(T_SelfStock_Log[Part Name],$A43,T_SelfStock_Log[WeekIndex],72)=0,"",SUMIFS(T_SelfStock_Log[Self_Qty],T_SelfStock_Log[Part Name],$A43,T_SelfStock_Log[WeekIndex],72))</f>
        <v/>
      </c>
      <c r="BV43" s="19">
        <f>IF(COUNTIFS(T_SelfStock_Log[Part Name],$A43,T_SelfStock_Log[WeekIndex],73)=0,"",SUMIFS(T_SelfStock_Log[Self_Qty],T_SelfStock_Log[Part Name],$A43,T_SelfStock_Log[WeekIndex],73))</f>
        <v/>
      </c>
      <c r="BW43" s="19">
        <f>IF(COUNTIFS(T_SelfStock_Log[Part Name],$A43,T_SelfStock_Log[WeekIndex],74)=0,"",SUMIFS(T_SelfStock_Log[Self_Qty],T_SelfStock_Log[Part Name],$A43,T_SelfStock_Log[WeekIndex],74))</f>
        <v/>
      </c>
      <c r="BX43" s="19">
        <f>IF(COUNTIFS(T_SelfStock_Log[Part Name],$A43,T_SelfStock_Log[WeekIndex],75)=0,"",SUMIFS(T_SelfStock_Log[Self_Qty],T_SelfStock_Log[Part Name],$A43,T_SelfStock_Log[WeekIndex],75))</f>
        <v/>
      </c>
      <c r="BY43" s="19">
        <f>IF(COUNTIFS(T_SelfStock_Log[Part Name],$A43,T_SelfStock_Log[WeekIndex],76)=0,"",SUMIFS(T_SelfStock_Log[Self_Qty],T_SelfStock_Log[Part Name],$A43,T_SelfStock_Log[WeekIndex],76))</f>
        <v/>
      </c>
      <c r="BZ43" s="19">
        <f>IF(COUNTIFS(T_SelfStock_Log[Part Name],$A43,T_SelfStock_Log[WeekIndex],77)=0,"",SUMIFS(T_SelfStock_Log[Self_Qty],T_SelfStock_Log[Part Name],$A43,T_SelfStock_Log[WeekIndex],77))</f>
        <v/>
      </c>
      <c r="CA43" s="19">
        <f>IF(COUNTIFS(T_SelfStock_Log[Part Name],$A43,T_SelfStock_Log[WeekIndex],78)=0,"",SUMIFS(T_SelfStock_Log[Self_Qty],T_SelfStock_Log[Part Name],$A43,T_SelfStock_Log[WeekIndex],78))</f>
        <v/>
      </c>
      <c r="CB43" s="19">
        <f>IF(COUNTIFS(T_SelfStock_Log[Part Name],$A43,T_SelfStock_Log[WeekIndex],79)=0,"",SUMIFS(T_SelfStock_Log[Self_Qty],T_SelfStock_Log[Part Name],$A43,T_SelfStock_Log[WeekIndex],79))</f>
        <v/>
      </c>
      <c r="CC43" s="19">
        <f>IF(COUNTIFS(T_SelfStock_Log[Part Name],$A43,T_SelfStock_Log[WeekIndex],80)=0,"",SUMIFS(T_SelfStock_Log[Self_Qty],T_SelfStock_Log[Part Name],$A43,T_SelfStock_Log[WeekIndex],80))</f>
        <v/>
      </c>
      <c r="CD43" s="19">
        <f>IF(COUNTIFS(T_SelfStock_Log[Part Name],$A43,T_SelfStock_Log[WeekIndex],81)=0,"",SUMIFS(T_SelfStock_Log[Self_Qty],T_SelfStock_Log[Part Name],$A43,T_SelfStock_Log[WeekIndex],81))</f>
        <v/>
      </c>
      <c r="CE43" s="19">
        <f>IF(COUNTIFS(T_SelfStock_Log[Part Name],$A43,T_SelfStock_Log[WeekIndex],82)=0,"",SUMIFS(T_SelfStock_Log[Self_Qty],T_SelfStock_Log[Part Name],$A43,T_SelfStock_Log[WeekIndex],82))</f>
        <v/>
      </c>
      <c r="CF43" s="19">
        <f>IF(COUNTIFS(T_SelfStock_Log[Part Name],$A43,T_SelfStock_Log[WeekIndex],83)=0,"",SUMIFS(T_SelfStock_Log[Self_Qty],T_SelfStock_Log[Part Name],$A43,T_SelfStock_Log[WeekIndex],83))</f>
        <v/>
      </c>
      <c r="CG43" s="19">
        <f>IF(COUNTIFS(T_SelfStock_Log[Part Name],$A43,T_SelfStock_Log[WeekIndex],84)=0,"",SUMIFS(T_SelfStock_Log[Self_Qty],T_SelfStock_Log[Part Name],$A43,T_SelfStock_Log[WeekIndex],84))</f>
        <v/>
      </c>
      <c r="CH43" s="19">
        <f>IF(COUNTIFS(T_SelfStock_Log[Part Name],$A43,T_SelfStock_Log[WeekIndex],85)=0,"",SUMIFS(T_SelfStock_Log[Self_Qty],T_SelfStock_Log[Part Name],$A43,T_SelfStock_Log[WeekIndex],85))</f>
        <v/>
      </c>
      <c r="CI43" s="19">
        <f>IF(COUNTIFS(T_SelfStock_Log[Part Name],$A43,T_SelfStock_Log[WeekIndex],86)=0,"",SUMIFS(T_SelfStock_Log[Self_Qty],T_SelfStock_Log[Part Name],$A43,T_SelfStock_Log[WeekIndex],86))</f>
        <v/>
      </c>
      <c r="CJ43" s="19">
        <f>IF(COUNTIFS(T_SelfStock_Log[Part Name],$A43,T_SelfStock_Log[WeekIndex],87)=0,"",SUMIFS(T_SelfStock_Log[Self_Qty],T_SelfStock_Log[Part Name],$A43,T_SelfStock_Log[WeekIndex],87))</f>
        <v/>
      </c>
      <c r="CK43" s="19">
        <f>IF(COUNTIFS(T_SelfStock_Log[Part Name],$A43,T_SelfStock_Log[WeekIndex],88)=0,"",SUMIFS(T_SelfStock_Log[Self_Qty],T_SelfStock_Log[Part Name],$A43,T_SelfStock_Log[WeekIndex],88))</f>
        <v/>
      </c>
      <c r="CL43" s="19">
        <f>IF(COUNTIFS(T_SelfStock_Log[Part Name],$A43,T_SelfStock_Log[WeekIndex],89)=0,"",SUMIFS(T_SelfStock_Log[Self_Qty],T_SelfStock_Log[Part Name],$A43,T_SelfStock_Log[WeekIndex],89))</f>
        <v/>
      </c>
      <c r="CM43" s="19">
        <f>IF(COUNTIFS(T_SelfStock_Log[Part Name],$A43,T_SelfStock_Log[WeekIndex],90)=0,"",SUMIFS(T_SelfStock_Log[Self_Qty],T_SelfStock_Log[Part Name],$A43,T_SelfStock_Log[WeekIndex],90))</f>
        <v/>
      </c>
      <c r="CN43" s="19">
        <f>IF(COUNTIFS(T_SelfStock_Log[Part Name],$A43,T_SelfStock_Log[WeekIndex],91)=0,"",SUMIFS(T_SelfStock_Log[Self_Qty],T_SelfStock_Log[Part Name],$A43,T_SelfStock_Log[WeekIndex],91))</f>
        <v/>
      </c>
      <c r="CO43" s="19">
        <f>IF(COUNTIFS(T_SelfStock_Log[Part Name],$A43,T_SelfStock_Log[WeekIndex],92)=0,"",SUMIFS(T_SelfStock_Log[Self_Qty],T_SelfStock_Log[Part Name],$A43,T_SelfStock_Log[WeekIndex],92))</f>
        <v/>
      </c>
      <c r="CP43" s="19">
        <f>IF(COUNTIFS(T_SelfStock_Log[Part Name],$A43,T_SelfStock_Log[WeekIndex],93)=0,"",SUMIFS(T_SelfStock_Log[Self_Qty],T_SelfStock_Log[Part Name],$A43,T_SelfStock_Log[WeekIndex],93))</f>
        <v/>
      </c>
      <c r="CQ43" s="19">
        <f>IF(COUNTIFS(T_SelfStock_Log[Part Name],$A43,T_SelfStock_Log[WeekIndex],94)=0,"",SUMIFS(T_SelfStock_Log[Self_Qty],T_SelfStock_Log[Part Name],$A43,T_SelfStock_Log[WeekIndex],94))</f>
        <v/>
      </c>
      <c r="CR43" s="19">
        <f>IF(COUNTIFS(T_SelfStock_Log[Part Name],$A43,T_SelfStock_Log[WeekIndex],95)=0,"",SUMIFS(T_SelfStock_Log[Self_Qty],T_SelfStock_Log[Part Name],$A43,T_SelfStock_Log[WeekIndex],95))</f>
        <v/>
      </c>
      <c r="CS43" s="19">
        <f>IF(COUNTIFS(T_SelfStock_Log[Part Name],$A43,T_SelfStock_Log[WeekIndex],96)=0,"",SUMIFS(T_SelfStock_Log[Self_Qty],T_SelfStock_Log[Part Name],$A43,T_SelfStock_Log[WeekIndex],96))</f>
        <v/>
      </c>
      <c r="CT43" s="19">
        <f>IF(COUNTIFS(T_SelfStock_Log[Part Name],$A43,T_SelfStock_Log[WeekIndex],97)=0,"",SUMIFS(T_SelfStock_Log[Self_Qty],T_SelfStock_Log[Part Name],$A43,T_SelfStock_Log[WeekIndex],97))</f>
        <v/>
      </c>
      <c r="CU43" s="19">
        <f>IF(COUNTIFS(T_SelfStock_Log[Part Name],$A43,T_SelfStock_Log[WeekIndex],98)=0,"",SUMIFS(T_SelfStock_Log[Self_Qty],T_SelfStock_Log[Part Name],$A43,T_SelfStock_Log[WeekIndex],98))</f>
        <v/>
      </c>
      <c r="CV43" s="19">
        <f>IF(COUNTIFS(T_SelfStock_Log[Part Name],$A43,T_SelfStock_Log[WeekIndex],99)=0,"",SUMIFS(T_SelfStock_Log[Self_Qty],T_SelfStock_Log[Part Name],$A43,T_SelfStock_Log[WeekIndex],99))</f>
        <v/>
      </c>
      <c r="CW43" s="19">
        <f>IF(COUNTIFS(T_SelfStock_Log[Part Name],$A43,T_SelfStock_Log[WeekIndex],100)=0,"",SUMIFS(T_SelfStock_Log[Self_Qty],T_SelfStock_Log[Part Name],$A43,T_SelfStock_Log[WeekIndex],100))</f>
        <v/>
      </c>
      <c r="CX43" s="19">
        <f>IF(COUNTIFS(T_SelfStock_Log[Part Name],$A43,T_SelfStock_Log[WeekIndex],101)=0,"",SUMIFS(T_SelfStock_Log[Self_Qty],T_SelfStock_Log[Part Name],$A43,T_SelfStock_Log[WeekIndex],101))</f>
        <v/>
      </c>
      <c r="CY43" s="19">
        <f>IF(COUNTIFS(T_SelfStock_Log[Part Name],$A43,T_SelfStock_Log[WeekIndex],102)=0,"",SUMIFS(T_SelfStock_Log[Self_Qty],T_SelfStock_Log[Part Name],$A43,T_SelfStock_Log[WeekIndex],102))</f>
        <v/>
      </c>
      <c r="CZ43" s="19">
        <f>IF(COUNTIFS(T_SelfStock_Log[Part Name],$A43,T_SelfStock_Log[WeekIndex],103)=0,"",SUMIFS(T_SelfStock_Log[Self_Qty],T_SelfStock_Log[Part Name],$A43,T_SelfStock_Log[WeekIndex],103))</f>
        <v/>
      </c>
      <c r="DA43" s="19">
        <f>IF(COUNTIFS(T_SelfStock_Log[Part Name],$A43,T_SelfStock_Log[WeekIndex],104)=0,"",SUMIFS(T_SelfStock_Log[Self_Qty],T_SelfStock_Log[Part Name],$A43,T_SelfStock_Log[WeekIndex],104))</f>
        <v/>
      </c>
    </row>
    <row r="44">
      <c r="A44" s="17" t="inlineStr">
        <is>
          <t>CHEM-1540</t>
        </is>
      </c>
      <c r="B44" s="17">
        <f>IF(COUNTIFS(T_SelfStock_Log[Part Name],$A44,T_SelfStock_Log[WeekIndex],1)=0,"",SUMIFS(T_SelfStock_Log[Self_Qty],T_SelfStock_Log[Part Name],$A44,T_SelfStock_Log[WeekIndex],1))</f>
        <v/>
      </c>
      <c r="C44" s="17">
        <f>IF(COUNTIFS(T_SelfStock_Log[Part Name],$A44,T_SelfStock_Log[WeekIndex],2)=0,"",SUMIFS(T_SelfStock_Log[Self_Qty],T_SelfStock_Log[Part Name],$A44,T_SelfStock_Log[WeekIndex],2))</f>
        <v/>
      </c>
      <c r="D44" s="17">
        <f>IF(COUNTIFS(T_SelfStock_Log[Part Name],$A44,T_SelfStock_Log[WeekIndex],3)=0,"",SUMIFS(T_SelfStock_Log[Self_Qty],T_SelfStock_Log[Part Name],$A44,T_SelfStock_Log[WeekIndex],3))</f>
        <v/>
      </c>
      <c r="E44" s="17">
        <f>IF(COUNTIFS(T_SelfStock_Log[Part Name],$A44,T_SelfStock_Log[WeekIndex],4)=0,"",SUMIFS(T_SelfStock_Log[Self_Qty],T_SelfStock_Log[Part Name],$A44,T_SelfStock_Log[WeekIndex],4))</f>
        <v/>
      </c>
      <c r="F44" s="17">
        <f>IF(COUNTIFS(T_SelfStock_Log[Part Name],$A44,T_SelfStock_Log[WeekIndex],5)=0,"",SUMIFS(T_SelfStock_Log[Self_Qty],T_SelfStock_Log[Part Name],$A44,T_SelfStock_Log[WeekIndex],5))</f>
        <v/>
      </c>
      <c r="G44" s="17">
        <f>IF(COUNTIFS(T_SelfStock_Log[Part Name],$A44,T_SelfStock_Log[WeekIndex],6)=0,"",SUMIFS(T_SelfStock_Log[Self_Qty],T_SelfStock_Log[Part Name],$A44,T_SelfStock_Log[WeekIndex],6))</f>
        <v/>
      </c>
      <c r="H44" s="17">
        <f>IF(COUNTIFS(T_SelfStock_Log[Part Name],$A44,T_SelfStock_Log[WeekIndex],7)=0,"",SUMIFS(T_SelfStock_Log[Self_Qty],T_SelfStock_Log[Part Name],$A44,T_SelfStock_Log[WeekIndex],7))</f>
        <v/>
      </c>
      <c r="I44" s="17">
        <f>IF(COUNTIFS(T_SelfStock_Log[Part Name],$A44,T_SelfStock_Log[WeekIndex],8)=0,"",SUMIFS(T_SelfStock_Log[Self_Qty],T_SelfStock_Log[Part Name],$A44,T_SelfStock_Log[WeekIndex],8))</f>
        <v/>
      </c>
      <c r="J44" s="17">
        <f>IF(COUNTIFS(T_SelfStock_Log[Part Name],$A44,T_SelfStock_Log[WeekIndex],9)=0,"",SUMIFS(T_SelfStock_Log[Self_Qty],T_SelfStock_Log[Part Name],$A44,T_SelfStock_Log[WeekIndex],9))</f>
        <v/>
      </c>
      <c r="K44" s="17">
        <f>IF(COUNTIFS(T_SelfStock_Log[Part Name],$A44,T_SelfStock_Log[WeekIndex],10)=0,"",SUMIFS(T_SelfStock_Log[Self_Qty],T_SelfStock_Log[Part Name],$A44,T_SelfStock_Log[WeekIndex],10))</f>
        <v/>
      </c>
      <c r="L44" s="17">
        <f>IF(COUNTIFS(T_SelfStock_Log[Part Name],$A44,T_SelfStock_Log[WeekIndex],11)=0,"",SUMIFS(T_SelfStock_Log[Self_Qty],T_SelfStock_Log[Part Name],$A44,T_SelfStock_Log[WeekIndex],11))</f>
        <v/>
      </c>
      <c r="M44" s="17">
        <f>IF(COUNTIFS(T_SelfStock_Log[Part Name],$A44,T_SelfStock_Log[WeekIndex],12)=0,"",SUMIFS(T_SelfStock_Log[Self_Qty],T_SelfStock_Log[Part Name],$A44,T_SelfStock_Log[WeekIndex],12))</f>
        <v/>
      </c>
      <c r="N44" s="17">
        <f>IF(COUNTIFS(T_SelfStock_Log[Part Name],$A44,T_SelfStock_Log[WeekIndex],13)=0,"",SUMIFS(T_SelfStock_Log[Self_Qty],T_SelfStock_Log[Part Name],$A44,T_SelfStock_Log[WeekIndex],13))</f>
        <v/>
      </c>
      <c r="O44" s="17">
        <f>IF(COUNTIFS(T_SelfStock_Log[Part Name],$A44,T_SelfStock_Log[WeekIndex],14)=0,"",SUMIFS(T_SelfStock_Log[Self_Qty],T_SelfStock_Log[Part Name],$A44,T_SelfStock_Log[WeekIndex],14))</f>
        <v/>
      </c>
      <c r="P44" s="17">
        <f>IF(COUNTIFS(T_SelfStock_Log[Part Name],$A44,T_SelfStock_Log[WeekIndex],15)=0,"",SUMIFS(T_SelfStock_Log[Self_Qty],T_SelfStock_Log[Part Name],$A44,T_SelfStock_Log[WeekIndex],15))</f>
        <v/>
      </c>
      <c r="Q44" s="17">
        <f>IF(COUNTIFS(T_SelfStock_Log[Part Name],$A44,T_SelfStock_Log[WeekIndex],16)=0,"",SUMIFS(T_SelfStock_Log[Self_Qty],T_SelfStock_Log[Part Name],$A44,T_SelfStock_Log[WeekIndex],16))</f>
        <v/>
      </c>
      <c r="R44" s="17">
        <f>IF(COUNTIFS(T_SelfStock_Log[Part Name],$A44,T_SelfStock_Log[WeekIndex],17)=0,"",SUMIFS(T_SelfStock_Log[Self_Qty],T_SelfStock_Log[Part Name],$A44,T_SelfStock_Log[WeekIndex],17))</f>
        <v/>
      </c>
      <c r="S44" s="17">
        <f>IF(COUNTIFS(T_SelfStock_Log[Part Name],$A44,T_SelfStock_Log[WeekIndex],18)=0,"",SUMIFS(T_SelfStock_Log[Self_Qty],T_SelfStock_Log[Part Name],$A44,T_SelfStock_Log[WeekIndex],18))</f>
        <v/>
      </c>
      <c r="T44" s="17">
        <f>IF(COUNTIFS(T_SelfStock_Log[Part Name],$A44,T_SelfStock_Log[WeekIndex],19)=0,"",SUMIFS(T_SelfStock_Log[Self_Qty],T_SelfStock_Log[Part Name],$A44,T_SelfStock_Log[WeekIndex],19))</f>
        <v/>
      </c>
      <c r="U44" s="17">
        <f>IF(COUNTIFS(T_SelfStock_Log[Part Name],$A44,T_SelfStock_Log[WeekIndex],20)=0,"",SUMIFS(T_SelfStock_Log[Self_Qty],T_SelfStock_Log[Part Name],$A44,T_SelfStock_Log[WeekIndex],20))</f>
        <v/>
      </c>
      <c r="V44" s="17">
        <f>IF(COUNTIFS(T_SelfStock_Log[Part Name],$A44,T_SelfStock_Log[WeekIndex],21)=0,"",SUMIFS(T_SelfStock_Log[Self_Qty],T_SelfStock_Log[Part Name],$A44,T_SelfStock_Log[WeekIndex],21))</f>
        <v/>
      </c>
      <c r="W44" s="17">
        <f>IF(COUNTIFS(T_SelfStock_Log[Part Name],$A44,T_SelfStock_Log[WeekIndex],22)=0,"",SUMIFS(T_SelfStock_Log[Self_Qty],T_SelfStock_Log[Part Name],$A44,T_SelfStock_Log[WeekIndex],22))</f>
        <v/>
      </c>
      <c r="X44" s="17">
        <f>IF(COUNTIFS(T_SelfStock_Log[Part Name],$A44,T_SelfStock_Log[WeekIndex],23)=0,"",SUMIFS(T_SelfStock_Log[Self_Qty],T_SelfStock_Log[Part Name],$A44,T_SelfStock_Log[WeekIndex],23))</f>
        <v/>
      </c>
      <c r="Y44" s="17">
        <f>IF(COUNTIFS(T_SelfStock_Log[Part Name],$A44,T_SelfStock_Log[WeekIndex],24)=0,"",SUMIFS(T_SelfStock_Log[Self_Qty],T_SelfStock_Log[Part Name],$A44,T_SelfStock_Log[WeekIndex],24))</f>
        <v/>
      </c>
      <c r="Z44" s="17">
        <f>IF(COUNTIFS(T_SelfStock_Log[Part Name],$A44,T_SelfStock_Log[WeekIndex],25)=0,"",SUMIFS(T_SelfStock_Log[Self_Qty],T_SelfStock_Log[Part Name],$A44,T_SelfStock_Log[WeekIndex],25))</f>
        <v/>
      </c>
      <c r="AA44" s="17">
        <f>IF(COUNTIFS(T_SelfStock_Log[Part Name],$A44,T_SelfStock_Log[WeekIndex],26)=0,"",SUMIFS(T_SelfStock_Log[Self_Qty],T_SelfStock_Log[Part Name],$A44,T_SelfStock_Log[WeekIndex],26))</f>
        <v/>
      </c>
      <c r="AB44" s="17">
        <f>IF(COUNTIFS(T_SelfStock_Log[Part Name],$A44,T_SelfStock_Log[WeekIndex],27)=0,"",SUMIFS(T_SelfStock_Log[Self_Qty],T_SelfStock_Log[Part Name],$A44,T_SelfStock_Log[WeekIndex],27))</f>
        <v/>
      </c>
      <c r="AC44" s="17">
        <f>IF(COUNTIFS(T_SelfStock_Log[Part Name],$A44,T_SelfStock_Log[WeekIndex],28)=0,"",SUMIFS(T_SelfStock_Log[Self_Qty],T_SelfStock_Log[Part Name],$A44,T_SelfStock_Log[WeekIndex],28))</f>
        <v/>
      </c>
      <c r="AD44" s="17">
        <f>IF(COUNTIFS(T_SelfStock_Log[Part Name],$A44,T_SelfStock_Log[WeekIndex],29)=0,"",SUMIFS(T_SelfStock_Log[Self_Qty],T_SelfStock_Log[Part Name],$A44,T_SelfStock_Log[WeekIndex],29))</f>
        <v/>
      </c>
      <c r="AE44" s="17">
        <f>IF(COUNTIFS(T_SelfStock_Log[Part Name],$A44,T_SelfStock_Log[WeekIndex],30)=0,"",SUMIFS(T_SelfStock_Log[Self_Qty],T_SelfStock_Log[Part Name],$A44,T_SelfStock_Log[WeekIndex],30))</f>
        <v/>
      </c>
      <c r="AF44" s="17">
        <f>IF(COUNTIFS(T_SelfStock_Log[Part Name],$A44,T_SelfStock_Log[WeekIndex],31)=0,"",SUMIFS(T_SelfStock_Log[Self_Qty],T_SelfStock_Log[Part Name],$A44,T_SelfStock_Log[WeekIndex],31))</f>
        <v/>
      </c>
      <c r="AG44" s="17">
        <f>IF(COUNTIFS(T_SelfStock_Log[Part Name],$A44,T_SelfStock_Log[WeekIndex],32)=0,"",SUMIFS(T_SelfStock_Log[Self_Qty],T_SelfStock_Log[Part Name],$A44,T_SelfStock_Log[WeekIndex],32))</f>
        <v/>
      </c>
      <c r="AH44" s="17">
        <f>IF(COUNTIFS(T_SelfStock_Log[Part Name],$A44,T_SelfStock_Log[WeekIndex],33)=0,"",SUMIFS(T_SelfStock_Log[Self_Qty],T_SelfStock_Log[Part Name],$A44,T_SelfStock_Log[WeekIndex],33))</f>
        <v/>
      </c>
      <c r="AI44" s="17">
        <f>IF(COUNTIFS(T_SelfStock_Log[Part Name],$A44,T_SelfStock_Log[WeekIndex],34)=0,"",SUMIFS(T_SelfStock_Log[Self_Qty],T_SelfStock_Log[Part Name],$A44,T_SelfStock_Log[WeekIndex],34))</f>
        <v/>
      </c>
      <c r="AJ44" s="17">
        <f>IF(COUNTIFS(T_SelfStock_Log[Part Name],$A44,T_SelfStock_Log[WeekIndex],35)=0,"",SUMIFS(T_SelfStock_Log[Self_Qty],T_SelfStock_Log[Part Name],$A44,T_SelfStock_Log[WeekIndex],35))</f>
        <v/>
      </c>
      <c r="AK44" s="17">
        <f>IF(COUNTIFS(T_SelfStock_Log[Part Name],$A44,T_SelfStock_Log[WeekIndex],36)=0,"",SUMIFS(T_SelfStock_Log[Self_Qty],T_SelfStock_Log[Part Name],$A44,T_SelfStock_Log[WeekIndex],36))</f>
        <v/>
      </c>
      <c r="AL44" s="17">
        <f>IF(COUNTIFS(T_SelfStock_Log[Part Name],$A44,T_SelfStock_Log[WeekIndex],37)=0,"",SUMIFS(T_SelfStock_Log[Self_Qty],T_SelfStock_Log[Part Name],$A44,T_SelfStock_Log[WeekIndex],37))</f>
        <v/>
      </c>
      <c r="AM44" s="17">
        <f>IF(COUNTIFS(T_SelfStock_Log[Part Name],$A44,T_SelfStock_Log[WeekIndex],38)=0,"",SUMIFS(T_SelfStock_Log[Self_Qty],T_SelfStock_Log[Part Name],$A44,T_SelfStock_Log[WeekIndex],38))</f>
        <v/>
      </c>
      <c r="AN44" s="17">
        <f>IF(COUNTIFS(T_SelfStock_Log[Part Name],$A44,T_SelfStock_Log[WeekIndex],39)=0,"",SUMIFS(T_SelfStock_Log[Self_Qty],T_SelfStock_Log[Part Name],$A44,T_SelfStock_Log[WeekIndex],39))</f>
        <v/>
      </c>
      <c r="AO44" s="17">
        <f>IF(COUNTIFS(T_SelfStock_Log[Part Name],$A44,T_SelfStock_Log[WeekIndex],40)=0,"",SUMIFS(T_SelfStock_Log[Self_Qty],T_SelfStock_Log[Part Name],$A44,T_SelfStock_Log[WeekIndex],40))</f>
        <v/>
      </c>
      <c r="AP44" s="17">
        <f>IF(COUNTIFS(T_SelfStock_Log[Part Name],$A44,T_SelfStock_Log[WeekIndex],41)=0,"",SUMIFS(T_SelfStock_Log[Self_Qty],T_SelfStock_Log[Part Name],$A44,T_SelfStock_Log[WeekIndex],41))</f>
        <v/>
      </c>
      <c r="AQ44" s="17">
        <f>IF(COUNTIFS(T_SelfStock_Log[Part Name],$A44,T_SelfStock_Log[WeekIndex],42)=0,"",SUMIFS(T_SelfStock_Log[Self_Qty],T_SelfStock_Log[Part Name],$A44,T_SelfStock_Log[WeekIndex],42))</f>
        <v/>
      </c>
      <c r="AR44" s="17">
        <f>IF(COUNTIFS(T_SelfStock_Log[Part Name],$A44,T_SelfStock_Log[WeekIndex],43)=0,"",SUMIFS(T_SelfStock_Log[Self_Qty],T_SelfStock_Log[Part Name],$A44,T_SelfStock_Log[WeekIndex],43))</f>
        <v/>
      </c>
      <c r="AS44" s="17">
        <f>IF(COUNTIFS(T_SelfStock_Log[Part Name],$A44,T_SelfStock_Log[WeekIndex],44)=0,"",SUMIFS(T_SelfStock_Log[Self_Qty],T_SelfStock_Log[Part Name],$A44,T_SelfStock_Log[WeekIndex],44))</f>
        <v/>
      </c>
      <c r="AT44" s="17">
        <f>IF(COUNTIFS(T_SelfStock_Log[Part Name],$A44,T_SelfStock_Log[WeekIndex],45)=0,"",SUMIFS(T_SelfStock_Log[Self_Qty],T_SelfStock_Log[Part Name],$A44,T_SelfStock_Log[WeekIndex],45))</f>
        <v/>
      </c>
      <c r="AU44" s="17">
        <f>IF(COUNTIFS(T_SelfStock_Log[Part Name],$A44,T_SelfStock_Log[WeekIndex],46)=0,"",SUMIFS(T_SelfStock_Log[Self_Qty],T_SelfStock_Log[Part Name],$A44,T_SelfStock_Log[WeekIndex],46))</f>
        <v/>
      </c>
      <c r="AV44" s="17">
        <f>IF(COUNTIFS(T_SelfStock_Log[Part Name],$A44,T_SelfStock_Log[WeekIndex],47)=0,"",SUMIFS(T_SelfStock_Log[Self_Qty],T_SelfStock_Log[Part Name],$A44,T_SelfStock_Log[WeekIndex],47))</f>
        <v/>
      </c>
      <c r="AW44" s="17">
        <f>IF(COUNTIFS(T_SelfStock_Log[Part Name],$A44,T_SelfStock_Log[WeekIndex],48)=0,"",SUMIFS(T_SelfStock_Log[Self_Qty],T_SelfStock_Log[Part Name],$A44,T_SelfStock_Log[WeekIndex],48))</f>
        <v/>
      </c>
      <c r="AX44" s="17">
        <f>IF(COUNTIFS(T_SelfStock_Log[Part Name],$A44,T_SelfStock_Log[WeekIndex],49)=0,"",SUMIFS(T_SelfStock_Log[Self_Qty],T_SelfStock_Log[Part Name],$A44,T_SelfStock_Log[WeekIndex],49))</f>
        <v/>
      </c>
      <c r="AY44" s="17">
        <f>IF(COUNTIFS(T_SelfStock_Log[Part Name],$A44,T_SelfStock_Log[WeekIndex],50)=0,"",SUMIFS(T_SelfStock_Log[Self_Qty],T_SelfStock_Log[Part Name],$A44,T_SelfStock_Log[WeekIndex],50))</f>
        <v/>
      </c>
      <c r="AZ44" s="17">
        <f>IF(COUNTIFS(T_SelfStock_Log[Part Name],$A44,T_SelfStock_Log[WeekIndex],51)=0,"",SUMIFS(T_SelfStock_Log[Self_Qty],T_SelfStock_Log[Part Name],$A44,T_SelfStock_Log[WeekIndex],51))</f>
        <v/>
      </c>
      <c r="BA44" s="17">
        <f>IF(COUNTIFS(T_SelfStock_Log[Part Name],$A44,T_SelfStock_Log[WeekIndex],52)=0,"",SUMIFS(T_SelfStock_Log[Self_Qty],T_SelfStock_Log[Part Name],$A44,T_SelfStock_Log[WeekIndex],52))</f>
        <v/>
      </c>
      <c r="BB44" s="17">
        <f>IF(COUNTIFS(T_SelfStock_Log[Part Name],$A44,T_SelfStock_Log[WeekIndex],53)=0,"",SUMIFS(T_SelfStock_Log[Self_Qty],T_SelfStock_Log[Part Name],$A44,T_SelfStock_Log[WeekIndex],53))</f>
        <v/>
      </c>
      <c r="BC44" s="17">
        <f>IF(COUNTIFS(T_SelfStock_Log[Part Name],$A44,T_SelfStock_Log[WeekIndex],54)=0,"",SUMIFS(T_SelfStock_Log[Self_Qty],T_SelfStock_Log[Part Name],$A44,T_SelfStock_Log[WeekIndex],54))</f>
        <v/>
      </c>
      <c r="BD44" s="17">
        <f>IF(COUNTIFS(T_SelfStock_Log[Part Name],$A44,T_SelfStock_Log[WeekIndex],55)=0,"",SUMIFS(T_SelfStock_Log[Self_Qty],T_SelfStock_Log[Part Name],$A44,T_SelfStock_Log[WeekIndex],55))</f>
        <v/>
      </c>
      <c r="BE44" s="17">
        <f>IF(COUNTIFS(T_SelfStock_Log[Part Name],$A44,T_SelfStock_Log[WeekIndex],56)=0,"",SUMIFS(T_SelfStock_Log[Self_Qty],T_SelfStock_Log[Part Name],$A44,T_SelfStock_Log[WeekIndex],56))</f>
        <v/>
      </c>
      <c r="BF44" s="17">
        <f>IF(COUNTIFS(T_SelfStock_Log[Part Name],$A44,T_SelfStock_Log[WeekIndex],57)=0,"",SUMIFS(T_SelfStock_Log[Self_Qty],T_SelfStock_Log[Part Name],$A44,T_SelfStock_Log[WeekIndex],57))</f>
        <v/>
      </c>
      <c r="BG44" s="17">
        <f>IF(COUNTIFS(T_SelfStock_Log[Part Name],$A44,T_SelfStock_Log[WeekIndex],58)=0,"",SUMIFS(T_SelfStock_Log[Self_Qty],T_SelfStock_Log[Part Name],$A44,T_SelfStock_Log[WeekIndex],58))</f>
        <v/>
      </c>
      <c r="BH44" s="17">
        <f>IF(COUNTIFS(T_SelfStock_Log[Part Name],$A44,T_SelfStock_Log[WeekIndex],59)=0,"",SUMIFS(T_SelfStock_Log[Self_Qty],T_SelfStock_Log[Part Name],$A44,T_SelfStock_Log[WeekIndex],59))</f>
        <v/>
      </c>
      <c r="BI44" s="17">
        <f>IF(COUNTIFS(T_SelfStock_Log[Part Name],$A44,T_SelfStock_Log[WeekIndex],60)=0,"",SUMIFS(T_SelfStock_Log[Self_Qty],T_SelfStock_Log[Part Name],$A44,T_SelfStock_Log[WeekIndex],60))</f>
        <v/>
      </c>
      <c r="BJ44" s="17">
        <f>IF(COUNTIFS(T_SelfStock_Log[Part Name],$A44,T_SelfStock_Log[WeekIndex],61)=0,"",SUMIFS(T_SelfStock_Log[Self_Qty],T_SelfStock_Log[Part Name],$A44,T_SelfStock_Log[WeekIndex],61))</f>
        <v/>
      </c>
      <c r="BK44" s="17">
        <f>IF(COUNTIFS(T_SelfStock_Log[Part Name],$A44,T_SelfStock_Log[WeekIndex],62)=0,"",SUMIFS(T_SelfStock_Log[Self_Qty],T_SelfStock_Log[Part Name],$A44,T_SelfStock_Log[WeekIndex],62))</f>
        <v/>
      </c>
      <c r="BL44" s="17">
        <f>IF(COUNTIFS(T_SelfStock_Log[Part Name],$A44,T_SelfStock_Log[WeekIndex],63)=0,"",SUMIFS(T_SelfStock_Log[Self_Qty],T_SelfStock_Log[Part Name],$A44,T_SelfStock_Log[WeekIndex],63))</f>
        <v/>
      </c>
      <c r="BM44" s="17">
        <f>IF(COUNTIFS(T_SelfStock_Log[Part Name],$A44,T_SelfStock_Log[WeekIndex],64)=0,"",SUMIFS(T_SelfStock_Log[Self_Qty],T_SelfStock_Log[Part Name],$A44,T_SelfStock_Log[WeekIndex],64))</f>
        <v/>
      </c>
      <c r="BN44" s="17">
        <f>IF(COUNTIFS(T_SelfStock_Log[Part Name],$A44,T_SelfStock_Log[WeekIndex],65)=0,"",SUMIFS(T_SelfStock_Log[Self_Qty],T_SelfStock_Log[Part Name],$A44,T_SelfStock_Log[WeekIndex],65))</f>
        <v/>
      </c>
      <c r="BO44" s="17">
        <f>IF(COUNTIFS(T_SelfStock_Log[Part Name],$A44,T_SelfStock_Log[WeekIndex],66)=0,"",SUMIFS(T_SelfStock_Log[Self_Qty],T_SelfStock_Log[Part Name],$A44,T_SelfStock_Log[WeekIndex],66))</f>
        <v/>
      </c>
      <c r="BP44" s="17">
        <f>IF(COUNTIFS(T_SelfStock_Log[Part Name],$A44,T_SelfStock_Log[WeekIndex],67)=0,"",SUMIFS(T_SelfStock_Log[Self_Qty],T_SelfStock_Log[Part Name],$A44,T_SelfStock_Log[WeekIndex],67))</f>
        <v/>
      </c>
      <c r="BQ44" s="17">
        <f>IF(COUNTIFS(T_SelfStock_Log[Part Name],$A44,T_SelfStock_Log[WeekIndex],68)=0,"",SUMIFS(T_SelfStock_Log[Self_Qty],T_SelfStock_Log[Part Name],$A44,T_SelfStock_Log[WeekIndex],68))</f>
        <v/>
      </c>
      <c r="BR44" s="17">
        <f>IF(COUNTIFS(T_SelfStock_Log[Part Name],$A44,T_SelfStock_Log[WeekIndex],69)=0,"",SUMIFS(T_SelfStock_Log[Self_Qty],T_SelfStock_Log[Part Name],$A44,T_SelfStock_Log[WeekIndex],69))</f>
        <v/>
      </c>
      <c r="BS44" s="17">
        <f>IF(COUNTIFS(T_SelfStock_Log[Part Name],$A44,T_SelfStock_Log[WeekIndex],70)=0,"",SUMIFS(T_SelfStock_Log[Self_Qty],T_SelfStock_Log[Part Name],$A44,T_SelfStock_Log[WeekIndex],70))</f>
        <v/>
      </c>
      <c r="BT44" s="17">
        <f>IF(COUNTIFS(T_SelfStock_Log[Part Name],$A44,T_SelfStock_Log[WeekIndex],71)=0,"",SUMIFS(T_SelfStock_Log[Self_Qty],T_SelfStock_Log[Part Name],$A44,T_SelfStock_Log[WeekIndex],71))</f>
        <v/>
      </c>
      <c r="BU44" s="17">
        <f>IF(COUNTIFS(T_SelfStock_Log[Part Name],$A44,T_SelfStock_Log[WeekIndex],72)=0,"",SUMIFS(T_SelfStock_Log[Self_Qty],T_SelfStock_Log[Part Name],$A44,T_SelfStock_Log[WeekIndex],72))</f>
        <v/>
      </c>
      <c r="BV44" s="17">
        <f>IF(COUNTIFS(T_SelfStock_Log[Part Name],$A44,T_SelfStock_Log[WeekIndex],73)=0,"",SUMIFS(T_SelfStock_Log[Self_Qty],T_SelfStock_Log[Part Name],$A44,T_SelfStock_Log[WeekIndex],73))</f>
        <v/>
      </c>
      <c r="BW44" s="17">
        <f>IF(COUNTIFS(T_SelfStock_Log[Part Name],$A44,T_SelfStock_Log[WeekIndex],74)=0,"",SUMIFS(T_SelfStock_Log[Self_Qty],T_SelfStock_Log[Part Name],$A44,T_SelfStock_Log[WeekIndex],74))</f>
        <v/>
      </c>
      <c r="BX44" s="17">
        <f>IF(COUNTIFS(T_SelfStock_Log[Part Name],$A44,T_SelfStock_Log[WeekIndex],75)=0,"",SUMIFS(T_SelfStock_Log[Self_Qty],T_SelfStock_Log[Part Name],$A44,T_SelfStock_Log[WeekIndex],75))</f>
        <v/>
      </c>
      <c r="BY44" s="17">
        <f>IF(COUNTIFS(T_SelfStock_Log[Part Name],$A44,T_SelfStock_Log[WeekIndex],76)=0,"",SUMIFS(T_SelfStock_Log[Self_Qty],T_SelfStock_Log[Part Name],$A44,T_SelfStock_Log[WeekIndex],76))</f>
        <v/>
      </c>
      <c r="BZ44" s="17">
        <f>IF(COUNTIFS(T_SelfStock_Log[Part Name],$A44,T_SelfStock_Log[WeekIndex],77)=0,"",SUMIFS(T_SelfStock_Log[Self_Qty],T_SelfStock_Log[Part Name],$A44,T_SelfStock_Log[WeekIndex],77))</f>
        <v/>
      </c>
      <c r="CA44" s="17">
        <f>IF(COUNTIFS(T_SelfStock_Log[Part Name],$A44,T_SelfStock_Log[WeekIndex],78)=0,"",SUMIFS(T_SelfStock_Log[Self_Qty],T_SelfStock_Log[Part Name],$A44,T_SelfStock_Log[WeekIndex],78))</f>
        <v/>
      </c>
      <c r="CB44" s="17">
        <f>IF(COUNTIFS(T_SelfStock_Log[Part Name],$A44,T_SelfStock_Log[WeekIndex],79)=0,"",SUMIFS(T_SelfStock_Log[Self_Qty],T_SelfStock_Log[Part Name],$A44,T_SelfStock_Log[WeekIndex],79))</f>
        <v/>
      </c>
      <c r="CC44" s="17">
        <f>IF(COUNTIFS(T_SelfStock_Log[Part Name],$A44,T_SelfStock_Log[WeekIndex],80)=0,"",SUMIFS(T_SelfStock_Log[Self_Qty],T_SelfStock_Log[Part Name],$A44,T_SelfStock_Log[WeekIndex],80))</f>
        <v/>
      </c>
      <c r="CD44" s="17">
        <f>IF(COUNTIFS(T_SelfStock_Log[Part Name],$A44,T_SelfStock_Log[WeekIndex],81)=0,"",SUMIFS(T_SelfStock_Log[Self_Qty],T_SelfStock_Log[Part Name],$A44,T_SelfStock_Log[WeekIndex],81))</f>
        <v/>
      </c>
      <c r="CE44" s="17">
        <f>IF(COUNTIFS(T_SelfStock_Log[Part Name],$A44,T_SelfStock_Log[WeekIndex],82)=0,"",SUMIFS(T_SelfStock_Log[Self_Qty],T_SelfStock_Log[Part Name],$A44,T_SelfStock_Log[WeekIndex],82))</f>
        <v/>
      </c>
      <c r="CF44" s="17">
        <f>IF(COUNTIFS(T_SelfStock_Log[Part Name],$A44,T_SelfStock_Log[WeekIndex],83)=0,"",SUMIFS(T_SelfStock_Log[Self_Qty],T_SelfStock_Log[Part Name],$A44,T_SelfStock_Log[WeekIndex],83))</f>
        <v/>
      </c>
      <c r="CG44" s="17">
        <f>IF(COUNTIFS(T_SelfStock_Log[Part Name],$A44,T_SelfStock_Log[WeekIndex],84)=0,"",SUMIFS(T_SelfStock_Log[Self_Qty],T_SelfStock_Log[Part Name],$A44,T_SelfStock_Log[WeekIndex],84))</f>
        <v/>
      </c>
      <c r="CH44" s="17">
        <f>IF(COUNTIFS(T_SelfStock_Log[Part Name],$A44,T_SelfStock_Log[WeekIndex],85)=0,"",SUMIFS(T_SelfStock_Log[Self_Qty],T_SelfStock_Log[Part Name],$A44,T_SelfStock_Log[WeekIndex],85))</f>
        <v/>
      </c>
      <c r="CI44" s="17">
        <f>IF(COUNTIFS(T_SelfStock_Log[Part Name],$A44,T_SelfStock_Log[WeekIndex],86)=0,"",SUMIFS(T_SelfStock_Log[Self_Qty],T_SelfStock_Log[Part Name],$A44,T_SelfStock_Log[WeekIndex],86))</f>
        <v/>
      </c>
      <c r="CJ44" s="17">
        <f>IF(COUNTIFS(T_SelfStock_Log[Part Name],$A44,T_SelfStock_Log[WeekIndex],87)=0,"",SUMIFS(T_SelfStock_Log[Self_Qty],T_SelfStock_Log[Part Name],$A44,T_SelfStock_Log[WeekIndex],87))</f>
        <v/>
      </c>
      <c r="CK44" s="17">
        <f>IF(COUNTIFS(T_SelfStock_Log[Part Name],$A44,T_SelfStock_Log[WeekIndex],88)=0,"",SUMIFS(T_SelfStock_Log[Self_Qty],T_SelfStock_Log[Part Name],$A44,T_SelfStock_Log[WeekIndex],88))</f>
        <v/>
      </c>
      <c r="CL44" s="17">
        <f>IF(COUNTIFS(T_SelfStock_Log[Part Name],$A44,T_SelfStock_Log[WeekIndex],89)=0,"",SUMIFS(T_SelfStock_Log[Self_Qty],T_SelfStock_Log[Part Name],$A44,T_SelfStock_Log[WeekIndex],89))</f>
        <v/>
      </c>
      <c r="CM44" s="17">
        <f>IF(COUNTIFS(T_SelfStock_Log[Part Name],$A44,T_SelfStock_Log[WeekIndex],90)=0,"",SUMIFS(T_SelfStock_Log[Self_Qty],T_SelfStock_Log[Part Name],$A44,T_SelfStock_Log[WeekIndex],90))</f>
        <v/>
      </c>
      <c r="CN44" s="17">
        <f>IF(COUNTIFS(T_SelfStock_Log[Part Name],$A44,T_SelfStock_Log[WeekIndex],91)=0,"",SUMIFS(T_SelfStock_Log[Self_Qty],T_SelfStock_Log[Part Name],$A44,T_SelfStock_Log[WeekIndex],91))</f>
        <v/>
      </c>
      <c r="CO44" s="17">
        <f>IF(COUNTIFS(T_SelfStock_Log[Part Name],$A44,T_SelfStock_Log[WeekIndex],92)=0,"",SUMIFS(T_SelfStock_Log[Self_Qty],T_SelfStock_Log[Part Name],$A44,T_SelfStock_Log[WeekIndex],92))</f>
        <v/>
      </c>
      <c r="CP44" s="17">
        <f>IF(COUNTIFS(T_SelfStock_Log[Part Name],$A44,T_SelfStock_Log[WeekIndex],93)=0,"",SUMIFS(T_SelfStock_Log[Self_Qty],T_SelfStock_Log[Part Name],$A44,T_SelfStock_Log[WeekIndex],93))</f>
        <v/>
      </c>
      <c r="CQ44" s="17">
        <f>IF(COUNTIFS(T_SelfStock_Log[Part Name],$A44,T_SelfStock_Log[WeekIndex],94)=0,"",SUMIFS(T_SelfStock_Log[Self_Qty],T_SelfStock_Log[Part Name],$A44,T_SelfStock_Log[WeekIndex],94))</f>
        <v/>
      </c>
      <c r="CR44" s="17">
        <f>IF(COUNTIFS(T_SelfStock_Log[Part Name],$A44,T_SelfStock_Log[WeekIndex],95)=0,"",SUMIFS(T_SelfStock_Log[Self_Qty],T_SelfStock_Log[Part Name],$A44,T_SelfStock_Log[WeekIndex],95))</f>
        <v/>
      </c>
      <c r="CS44" s="17">
        <f>IF(COUNTIFS(T_SelfStock_Log[Part Name],$A44,T_SelfStock_Log[WeekIndex],96)=0,"",SUMIFS(T_SelfStock_Log[Self_Qty],T_SelfStock_Log[Part Name],$A44,T_SelfStock_Log[WeekIndex],96))</f>
        <v/>
      </c>
      <c r="CT44" s="17">
        <f>IF(COUNTIFS(T_SelfStock_Log[Part Name],$A44,T_SelfStock_Log[WeekIndex],97)=0,"",SUMIFS(T_SelfStock_Log[Self_Qty],T_SelfStock_Log[Part Name],$A44,T_SelfStock_Log[WeekIndex],97))</f>
        <v/>
      </c>
      <c r="CU44" s="17">
        <f>IF(COUNTIFS(T_SelfStock_Log[Part Name],$A44,T_SelfStock_Log[WeekIndex],98)=0,"",SUMIFS(T_SelfStock_Log[Self_Qty],T_SelfStock_Log[Part Name],$A44,T_SelfStock_Log[WeekIndex],98))</f>
        <v/>
      </c>
      <c r="CV44" s="17">
        <f>IF(COUNTIFS(T_SelfStock_Log[Part Name],$A44,T_SelfStock_Log[WeekIndex],99)=0,"",SUMIFS(T_SelfStock_Log[Self_Qty],T_SelfStock_Log[Part Name],$A44,T_SelfStock_Log[WeekIndex],99))</f>
        <v/>
      </c>
      <c r="CW44" s="17">
        <f>IF(COUNTIFS(T_SelfStock_Log[Part Name],$A44,T_SelfStock_Log[WeekIndex],100)=0,"",SUMIFS(T_SelfStock_Log[Self_Qty],T_SelfStock_Log[Part Name],$A44,T_SelfStock_Log[WeekIndex],100))</f>
        <v/>
      </c>
      <c r="CX44" s="17">
        <f>IF(COUNTIFS(T_SelfStock_Log[Part Name],$A44,T_SelfStock_Log[WeekIndex],101)=0,"",SUMIFS(T_SelfStock_Log[Self_Qty],T_SelfStock_Log[Part Name],$A44,T_SelfStock_Log[WeekIndex],101))</f>
        <v/>
      </c>
      <c r="CY44" s="17">
        <f>IF(COUNTIFS(T_SelfStock_Log[Part Name],$A44,T_SelfStock_Log[WeekIndex],102)=0,"",SUMIFS(T_SelfStock_Log[Self_Qty],T_SelfStock_Log[Part Name],$A44,T_SelfStock_Log[WeekIndex],102))</f>
        <v/>
      </c>
      <c r="CZ44" s="17">
        <f>IF(COUNTIFS(T_SelfStock_Log[Part Name],$A44,T_SelfStock_Log[WeekIndex],103)=0,"",SUMIFS(T_SelfStock_Log[Self_Qty],T_SelfStock_Log[Part Name],$A44,T_SelfStock_Log[WeekIndex],103))</f>
        <v/>
      </c>
      <c r="DA44" s="17">
        <f>IF(COUNTIFS(T_SelfStock_Log[Part Name],$A44,T_SelfStock_Log[WeekIndex],104)=0,"",SUMIFS(T_SelfStock_Log[Self_Qty],T_SelfStock_Log[Part Name],$A44,T_SelfStock_Log[WeekIndex],104))</f>
        <v/>
      </c>
    </row>
    <row r="45">
      <c r="A45" s="19" t="inlineStr">
        <is>
          <t>CHEM-1680</t>
        </is>
      </c>
      <c r="B45" s="19">
        <f>IF(COUNTIFS(T_SelfStock_Log[Part Name],$A45,T_SelfStock_Log[WeekIndex],1)=0,"",SUMIFS(T_SelfStock_Log[Self_Qty],T_SelfStock_Log[Part Name],$A45,T_SelfStock_Log[WeekIndex],1))</f>
        <v/>
      </c>
      <c r="C45" s="19">
        <f>IF(COUNTIFS(T_SelfStock_Log[Part Name],$A45,T_SelfStock_Log[WeekIndex],2)=0,"",SUMIFS(T_SelfStock_Log[Self_Qty],T_SelfStock_Log[Part Name],$A45,T_SelfStock_Log[WeekIndex],2))</f>
        <v/>
      </c>
      <c r="D45" s="19">
        <f>IF(COUNTIFS(T_SelfStock_Log[Part Name],$A45,T_SelfStock_Log[WeekIndex],3)=0,"",SUMIFS(T_SelfStock_Log[Self_Qty],T_SelfStock_Log[Part Name],$A45,T_SelfStock_Log[WeekIndex],3))</f>
        <v/>
      </c>
      <c r="E45" s="19">
        <f>IF(COUNTIFS(T_SelfStock_Log[Part Name],$A45,T_SelfStock_Log[WeekIndex],4)=0,"",SUMIFS(T_SelfStock_Log[Self_Qty],T_SelfStock_Log[Part Name],$A45,T_SelfStock_Log[WeekIndex],4))</f>
        <v/>
      </c>
      <c r="F45" s="19">
        <f>IF(COUNTIFS(T_SelfStock_Log[Part Name],$A45,T_SelfStock_Log[WeekIndex],5)=0,"",SUMIFS(T_SelfStock_Log[Self_Qty],T_SelfStock_Log[Part Name],$A45,T_SelfStock_Log[WeekIndex],5))</f>
        <v/>
      </c>
      <c r="G45" s="19">
        <f>IF(COUNTIFS(T_SelfStock_Log[Part Name],$A45,T_SelfStock_Log[WeekIndex],6)=0,"",SUMIFS(T_SelfStock_Log[Self_Qty],T_SelfStock_Log[Part Name],$A45,T_SelfStock_Log[WeekIndex],6))</f>
        <v/>
      </c>
      <c r="H45" s="19">
        <f>IF(COUNTIFS(T_SelfStock_Log[Part Name],$A45,T_SelfStock_Log[WeekIndex],7)=0,"",SUMIFS(T_SelfStock_Log[Self_Qty],T_SelfStock_Log[Part Name],$A45,T_SelfStock_Log[WeekIndex],7))</f>
        <v/>
      </c>
      <c r="I45" s="19">
        <f>IF(COUNTIFS(T_SelfStock_Log[Part Name],$A45,T_SelfStock_Log[WeekIndex],8)=0,"",SUMIFS(T_SelfStock_Log[Self_Qty],T_SelfStock_Log[Part Name],$A45,T_SelfStock_Log[WeekIndex],8))</f>
        <v/>
      </c>
      <c r="J45" s="19">
        <f>IF(COUNTIFS(T_SelfStock_Log[Part Name],$A45,T_SelfStock_Log[WeekIndex],9)=0,"",SUMIFS(T_SelfStock_Log[Self_Qty],T_SelfStock_Log[Part Name],$A45,T_SelfStock_Log[WeekIndex],9))</f>
        <v/>
      </c>
      <c r="K45" s="19">
        <f>IF(COUNTIFS(T_SelfStock_Log[Part Name],$A45,T_SelfStock_Log[WeekIndex],10)=0,"",SUMIFS(T_SelfStock_Log[Self_Qty],T_SelfStock_Log[Part Name],$A45,T_SelfStock_Log[WeekIndex],10))</f>
        <v/>
      </c>
      <c r="L45" s="19">
        <f>IF(COUNTIFS(T_SelfStock_Log[Part Name],$A45,T_SelfStock_Log[WeekIndex],11)=0,"",SUMIFS(T_SelfStock_Log[Self_Qty],T_SelfStock_Log[Part Name],$A45,T_SelfStock_Log[WeekIndex],11))</f>
        <v/>
      </c>
      <c r="M45" s="19">
        <f>IF(COUNTIFS(T_SelfStock_Log[Part Name],$A45,T_SelfStock_Log[WeekIndex],12)=0,"",SUMIFS(T_SelfStock_Log[Self_Qty],T_SelfStock_Log[Part Name],$A45,T_SelfStock_Log[WeekIndex],12))</f>
        <v/>
      </c>
      <c r="N45" s="19">
        <f>IF(COUNTIFS(T_SelfStock_Log[Part Name],$A45,T_SelfStock_Log[WeekIndex],13)=0,"",SUMIFS(T_SelfStock_Log[Self_Qty],T_SelfStock_Log[Part Name],$A45,T_SelfStock_Log[WeekIndex],13))</f>
        <v/>
      </c>
      <c r="O45" s="19">
        <f>IF(COUNTIFS(T_SelfStock_Log[Part Name],$A45,T_SelfStock_Log[WeekIndex],14)=0,"",SUMIFS(T_SelfStock_Log[Self_Qty],T_SelfStock_Log[Part Name],$A45,T_SelfStock_Log[WeekIndex],14))</f>
        <v/>
      </c>
      <c r="P45" s="19">
        <f>IF(COUNTIFS(T_SelfStock_Log[Part Name],$A45,T_SelfStock_Log[WeekIndex],15)=0,"",SUMIFS(T_SelfStock_Log[Self_Qty],T_SelfStock_Log[Part Name],$A45,T_SelfStock_Log[WeekIndex],15))</f>
        <v/>
      </c>
      <c r="Q45" s="19">
        <f>IF(COUNTIFS(T_SelfStock_Log[Part Name],$A45,T_SelfStock_Log[WeekIndex],16)=0,"",SUMIFS(T_SelfStock_Log[Self_Qty],T_SelfStock_Log[Part Name],$A45,T_SelfStock_Log[WeekIndex],16))</f>
        <v/>
      </c>
      <c r="R45" s="19">
        <f>IF(COUNTIFS(T_SelfStock_Log[Part Name],$A45,T_SelfStock_Log[WeekIndex],17)=0,"",SUMIFS(T_SelfStock_Log[Self_Qty],T_SelfStock_Log[Part Name],$A45,T_SelfStock_Log[WeekIndex],17))</f>
        <v/>
      </c>
      <c r="S45" s="19">
        <f>IF(COUNTIFS(T_SelfStock_Log[Part Name],$A45,T_SelfStock_Log[WeekIndex],18)=0,"",SUMIFS(T_SelfStock_Log[Self_Qty],T_SelfStock_Log[Part Name],$A45,T_SelfStock_Log[WeekIndex],18))</f>
        <v/>
      </c>
      <c r="T45" s="19">
        <f>IF(COUNTIFS(T_SelfStock_Log[Part Name],$A45,T_SelfStock_Log[WeekIndex],19)=0,"",SUMIFS(T_SelfStock_Log[Self_Qty],T_SelfStock_Log[Part Name],$A45,T_SelfStock_Log[WeekIndex],19))</f>
        <v/>
      </c>
      <c r="U45" s="19">
        <f>IF(COUNTIFS(T_SelfStock_Log[Part Name],$A45,T_SelfStock_Log[WeekIndex],20)=0,"",SUMIFS(T_SelfStock_Log[Self_Qty],T_SelfStock_Log[Part Name],$A45,T_SelfStock_Log[WeekIndex],20))</f>
        <v/>
      </c>
      <c r="V45" s="19">
        <f>IF(COUNTIFS(T_SelfStock_Log[Part Name],$A45,T_SelfStock_Log[WeekIndex],21)=0,"",SUMIFS(T_SelfStock_Log[Self_Qty],T_SelfStock_Log[Part Name],$A45,T_SelfStock_Log[WeekIndex],21))</f>
        <v/>
      </c>
      <c r="W45" s="19">
        <f>IF(COUNTIFS(T_SelfStock_Log[Part Name],$A45,T_SelfStock_Log[WeekIndex],22)=0,"",SUMIFS(T_SelfStock_Log[Self_Qty],T_SelfStock_Log[Part Name],$A45,T_SelfStock_Log[WeekIndex],22))</f>
        <v/>
      </c>
      <c r="X45" s="19">
        <f>IF(COUNTIFS(T_SelfStock_Log[Part Name],$A45,T_SelfStock_Log[WeekIndex],23)=0,"",SUMIFS(T_SelfStock_Log[Self_Qty],T_SelfStock_Log[Part Name],$A45,T_SelfStock_Log[WeekIndex],23))</f>
        <v/>
      </c>
      <c r="Y45" s="19">
        <f>IF(COUNTIFS(T_SelfStock_Log[Part Name],$A45,T_SelfStock_Log[WeekIndex],24)=0,"",SUMIFS(T_SelfStock_Log[Self_Qty],T_SelfStock_Log[Part Name],$A45,T_SelfStock_Log[WeekIndex],24))</f>
        <v/>
      </c>
      <c r="Z45" s="19">
        <f>IF(COUNTIFS(T_SelfStock_Log[Part Name],$A45,T_SelfStock_Log[WeekIndex],25)=0,"",SUMIFS(T_SelfStock_Log[Self_Qty],T_SelfStock_Log[Part Name],$A45,T_SelfStock_Log[WeekIndex],25))</f>
        <v/>
      </c>
      <c r="AA45" s="19">
        <f>IF(COUNTIFS(T_SelfStock_Log[Part Name],$A45,T_SelfStock_Log[WeekIndex],26)=0,"",SUMIFS(T_SelfStock_Log[Self_Qty],T_SelfStock_Log[Part Name],$A45,T_SelfStock_Log[WeekIndex],26))</f>
        <v/>
      </c>
      <c r="AB45" s="19">
        <f>IF(COUNTIFS(T_SelfStock_Log[Part Name],$A45,T_SelfStock_Log[WeekIndex],27)=0,"",SUMIFS(T_SelfStock_Log[Self_Qty],T_SelfStock_Log[Part Name],$A45,T_SelfStock_Log[WeekIndex],27))</f>
        <v/>
      </c>
      <c r="AC45" s="19">
        <f>IF(COUNTIFS(T_SelfStock_Log[Part Name],$A45,T_SelfStock_Log[WeekIndex],28)=0,"",SUMIFS(T_SelfStock_Log[Self_Qty],T_SelfStock_Log[Part Name],$A45,T_SelfStock_Log[WeekIndex],28))</f>
        <v/>
      </c>
      <c r="AD45" s="19">
        <f>IF(COUNTIFS(T_SelfStock_Log[Part Name],$A45,T_SelfStock_Log[WeekIndex],29)=0,"",SUMIFS(T_SelfStock_Log[Self_Qty],T_SelfStock_Log[Part Name],$A45,T_SelfStock_Log[WeekIndex],29))</f>
        <v/>
      </c>
      <c r="AE45" s="19">
        <f>IF(COUNTIFS(T_SelfStock_Log[Part Name],$A45,T_SelfStock_Log[WeekIndex],30)=0,"",SUMIFS(T_SelfStock_Log[Self_Qty],T_SelfStock_Log[Part Name],$A45,T_SelfStock_Log[WeekIndex],30))</f>
        <v/>
      </c>
      <c r="AF45" s="19">
        <f>IF(COUNTIFS(T_SelfStock_Log[Part Name],$A45,T_SelfStock_Log[WeekIndex],31)=0,"",SUMIFS(T_SelfStock_Log[Self_Qty],T_SelfStock_Log[Part Name],$A45,T_SelfStock_Log[WeekIndex],31))</f>
        <v/>
      </c>
      <c r="AG45" s="19">
        <f>IF(COUNTIFS(T_SelfStock_Log[Part Name],$A45,T_SelfStock_Log[WeekIndex],32)=0,"",SUMIFS(T_SelfStock_Log[Self_Qty],T_SelfStock_Log[Part Name],$A45,T_SelfStock_Log[WeekIndex],32))</f>
        <v/>
      </c>
      <c r="AH45" s="19">
        <f>IF(COUNTIFS(T_SelfStock_Log[Part Name],$A45,T_SelfStock_Log[WeekIndex],33)=0,"",SUMIFS(T_SelfStock_Log[Self_Qty],T_SelfStock_Log[Part Name],$A45,T_SelfStock_Log[WeekIndex],33))</f>
        <v/>
      </c>
      <c r="AI45" s="19">
        <f>IF(COUNTIFS(T_SelfStock_Log[Part Name],$A45,T_SelfStock_Log[WeekIndex],34)=0,"",SUMIFS(T_SelfStock_Log[Self_Qty],T_SelfStock_Log[Part Name],$A45,T_SelfStock_Log[WeekIndex],34))</f>
        <v/>
      </c>
      <c r="AJ45" s="19">
        <f>IF(COUNTIFS(T_SelfStock_Log[Part Name],$A45,T_SelfStock_Log[WeekIndex],35)=0,"",SUMIFS(T_SelfStock_Log[Self_Qty],T_SelfStock_Log[Part Name],$A45,T_SelfStock_Log[WeekIndex],35))</f>
        <v/>
      </c>
      <c r="AK45" s="19">
        <f>IF(COUNTIFS(T_SelfStock_Log[Part Name],$A45,T_SelfStock_Log[WeekIndex],36)=0,"",SUMIFS(T_SelfStock_Log[Self_Qty],T_SelfStock_Log[Part Name],$A45,T_SelfStock_Log[WeekIndex],36))</f>
        <v/>
      </c>
      <c r="AL45" s="19">
        <f>IF(COUNTIFS(T_SelfStock_Log[Part Name],$A45,T_SelfStock_Log[WeekIndex],37)=0,"",SUMIFS(T_SelfStock_Log[Self_Qty],T_SelfStock_Log[Part Name],$A45,T_SelfStock_Log[WeekIndex],37))</f>
        <v/>
      </c>
      <c r="AM45" s="19">
        <f>IF(COUNTIFS(T_SelfStock_Log[Part Name],$A45,T_SelfStock_Log[WeekIndex],38)=0,"",SUMIFS(T_SelfStock_Log[Self_Qty],T_SelfStock_Log[Part Name],$A45,T_SelfStock_Log[WeekIndex],38))</f>
        <v/>
      </c>
      <c r="AN45" s="19">
        <f>IF(COUNTIFS(T_SelfStock_Log[Part Name],$A45,T_SelfStock_Log[WeekIndex],39)=0,"",SUMIFS(T_SelfStock_Log[Self_Qty],T_SelfStock_Log[Part Name],$A45,T_SelfStock_Log[WeekIndex],39))</f>
        <v/>
      </c>
      <c r="AO45" s="19">
        <f>IF(COUNTIFS(T_SelfStock_Log[Part Name],$A45,T_SelfStock_Log[WeekIndex],40)=0,"",SUMIFS(T_SelfStock_Log[Self_Qty],T_SelfStock_Log[Part Name],$A45,T_SelfStock_Log[WeekIndex],40))</f>
        <v/>
      </c>
      <c r="AP45" s="19">
        <f>IF(COUNTIFS(T_SelfStock_Log[Part Name],$A45,T_SelfStock_Log[WeekIndex],41)=0,"",SUMIFS(T_SelfStock_Log[Self_Qty],T_SelfStock_Log[Part Name],$A45,T_SelfStock_Log[WeekIndex],41))</f>
        <v/>
      </c>
      <c r="AQ45" s="19">
        <f>IF(COUNTIFS(T_SelfStock_Log[Part Name],$A45,T_SelfStock_Log[WeekIndex],42)=0,"",SUMIFS(T_SelfStock_Log[Self_Qty],T_SelfStock_Log[Part Name],$A45,T_SelfStock_Log[WeekIndex],42))</f>
        <v/>
      </c>
      <c r="AR45" s="19">
        <f>IF(COUNTIFS(T_SelfStock_Log[Part Name],$A45,T_SelfStock_Log[WeekIndex],43)=0,"",SUMIFS(T_SelfStock_Log[Self_Qty],T_SelfStock_Log[Part Name],$A45,T_SelfStock_Log[WeekIndex],43))</f>
        <v/>
      </c>
      <c r="AS45" s="19">
        <f>IF(COUNTIFS(T_SelfStock_Log[Part Name],$A45,T_SelfStock_Log[WeekIndex],44)=0,"",SUMIFS(T_SelfStock_Log[Self_Qty],T_SelfStock_Log[Part Name],$A45,T_SelfStock_Log[WeekIndex],44))</f>
        <v/>
      </c>
      <c r="AT45" s="19">
        <f>IF(COUNTIFS(T_SelfStock_Log[Part Name],$A45,T_SelfStock_Log[WeekIndex],45)=0,"",SUMIFS(T_SelfStock_Log[Self_Qty],T_SelfStock_Log[Part Name],$A45,T_SelfStock_Log[WeekIndex],45))</f>
        <v/>
      </c>
      <c r="AU45" s="19">
        <f>IF(COUNTIFS(T_SelfStock_Log[Part Name],$A45,T_SelfStock_Log[WeekIndex],46)=0,"",SUMIFS(T_SelfStock_Log[Self_Qty],T_SelfStock_Log[Part Name],$A45,T_SelfStock_Log[WeekIndex],46))</f>
        <v/>
      </c>
      <c r="AV45" s="19">
        <f>IF(COUNTIFS(T_SelfStock_Log[Part Name],$A45,T_SelfStock_Log[WeekIndex],47)=0,"",SUMIFS(T_SelfStock_Log[Self_Qty],T_SelfStock_Log[Part Name],$A45,T_SelfStock_Log[WeekIndex],47))</f>
        <v/>
      </c>
      <c r="AW45" s="19">
        <f>IF(COUNTIFS(T_SelfStock_Log[Part Name],$A45,T_SelfStock_Log[WeekIndex],48)=0,"",SUMIFS(T_SelfStock_Log[Self_Qty],T_SelfStock_Log[Part Name],$A45,T_SelfStock_Log[WeekIndex],48))</f>
        <v/>
      </c>
      <c r="AX45" s="19">
        <f>IF(COUNTIFS(T_SelfStock_Log[Part Name],$A45,T_SelfStock_Log[WeekIndex],49)=0,"",SUMIFS(T_SelfStock_Log[Self_Qty],T_SelfStock_Log[Part Name],$A45,T_SelfStock_Log[WeekIndex],49))</f>
        <v/>
      </c>
      <c r="AY45" s="19">
        <f>IF(COUNTIFS(T_SelfStock_Log[Part Name],$A45,T_SelfStock_Log[WeekIndex],50)=0,"",SUMIFS(T_SelfStock_Log[Self_Qty],T_SelfStock_Log[Part Name],$A45,T_SelfStock_Log[WeekIndex],50))</f>
        <v/>
      </c>
      <c r="AZ45" s="19">
        <f>IF(COUNTIFS(T_SelfStock_Log[Part Name],$A45,T_SelfStock_Log[WeekIndex],51)=0,"",SUMIFS(T_SelfStock_Log[Self_Qty],T_SelfStock_Log[Part Name],$A45,T_SelfStock_Log[WeekIndex],51))</f>
        <v/>
      </c>
      <c r="BA45" s="19">
        <f>IF(COUNTIFS(T_SelfStock_Log[Part Name],$A45,T_SelfStock_Log[WeekIndex],52)=0,"",SUMIFS(T_SelfStock_Log[Self_Qty],T_SelfStock_Log[Part Name],$A45,T_SelfStock_Log[WeekIndex],52))</f>
        <v/>
      </c>
      <c r="BB45" s="19">
        <f>IF(COUNTIFS(T_SelfStock_Log[Part Name],$A45,T_SelfStock_Log[WeekIndex],53)=0,"",SUMIFS(T_SelfStock_Log[Self_Qty],T_SelfStock_Log[Part Name],$A45,T_SelfStock_Log[WeekIndex],53))</f>
        <v/>
      </c>
      <c r="BC45" s="19">
        <f>IF(COUNTIFS(T_SelfStock_Log[Part Name],$A45,T_SelfStock_Log[WeekIndex],54)=0,"",SUMIFS(T_SelfStock_Log[Self_Qty],T_SelfStock_Log[Part Name],$A45,T_SelfStock_Log[WeekIndex],54))</f>
        <v/>
      </c>
      <c r="BD45" s="19">
        <f>IF(COUNTIFS(T_SelfStock_Log[Part Name],$A45,T_SelfStock_Log[WeekIndex],55)=0,"",SUMIFS(T_SelfStock_Log[Self_Qty],T_SelfStock_Log[Part Name],$A45,T_SelfStock_Log[WeekIndex],55))</f>
        <v/>
      </c>
      <c r="BE45" s="19">
        <f>IF(COUNTIFS(T_SelfStock_Log[Part Name],$A45,T_SelfStock_Log[WeekIndex],56)=0,"",SUMIFS(T_SelfStock_Log[Self_Qty],T_SelfStock_Log[Part Name],$A45,T_SelfStock_Log[WeekIndex],56))</f>
        <v/>
      </c>
      <c r="BF45" s="19">
        <f>IF(COUNTIFS(T_SelfStock_Log[Part Name],$A45,T_SelfStock_Log[WeekIndex],57)=0,"",SUMIFS(T_SelfStock_Log[Self_Qty],T_SelfStock_Log[Part Name],$A45,T_SelfStock_Log[WeekIndex],57))</f>
        <v/>
      </c>
      <c r="BG45" s="19">
        <f>IF(COUNTIFS(T_SelfStock_Log[Part Name],$A45,T_SelfStock_Log[WeekIndex],58)=0,"",SUMIFS(T_SelfStock_Log[Self_Qty],T_SelfStock_Log[Part Name],$A45,T_SelfStock_Log[WeekIndex],58))</f>
        <v/>
      </c>
      <c r="BH45" s="19">
        <f>IF(COUNTIFS(T_SelfStock_Log[Part Name],$A45,T_SelfStock_Log[WeekIndex],59)=0,"",SUMIFS(T_SelfStock_Log[Self_Qty],T_SelfStock_Log[Part Name],$A45,T_SelfStock_Log[WeekIndex],59))</f>
        <v/>
      </c>
      <c r="BI45" s="19">
        <f>IF(COUNTIFS(T_SelfStock_Log[Part Name],$A45,T_SelfStock_Log[WeekIndex],60)=0,"",SUMIFS(T_SelfStock_Log[Self_Qty],T_SelfStock_Log[Part Name],$A45,T_SelfStock_Log[WeekIndex],60))</f>
        <v/>
      </c>
      <c r="BJ45" s="19">
        <f>IF(COUNTIFS(T_SelfStock_Log[Part Name],$A45,T_SelfStock_Log[WeekIndex],61)=0,"",SUMIFS(T_SelfStock_Log[Self_Qty],T_SelfStock_Log[Part Name],$A45,T_SelfStock_Log[WeekIndex],61))</f>
        <v/>
      </c>
      <c r="BK45" s="19">
        <f>IF(COUNTIFS(T_SelfStock_Log[Part Name],$A45,T_SelfStock_Log[WeekIndex],62)=0,"",SUMIFS(T_SelfStock_Log[Self_Qty],T_SelfStock_Log[Part Name],$A45,T_SelfStock_Log[WeekIndex],62))</f>
        <v/>
      </c>
      <c r="BL45" s="19">
        <f>IF(COUNTIFS(T_SelfStock_Log[Part Name],$A45,T_SelfStock_Log[WeekIndex],63)=0,"",SUMIFS(T_SelfStock_Log[Self_Qty],T_SelfStock_Log[Part Name],$A45,T_SelfStock_Log[WeekIndex],63))</f>
        <v/>
      </c>
      <c r="BM45" s="19">
        <f>IF(COUNTIFS(T_SelfStock_Log[Part Name],$A45,T_SelfStock_Log[WeekIndex],64)=0,"",SUMIFS(T_SelfStock_Log[Self_Qty],T_SelfStock_Log[Part Name],$A45,T_SelfStock_Log[WeekIndex],64))</f>
        <v/>
      </c>
      <c r="BN45" s="19">
        <f>IF(COUNTIFS(T_SelfStock_Log[Part Name],$A45,T_SelfStock_Log[WeekIndex],65)=0,"",SUMIFS(T_SelfStock_Log[Self_Qty],T_SelfStock_Log[Part Name],$A45,T_SelfStock_Log[WeekIndex],65))</f>
        <v/>
      </c>
      <c r="BO45" s="19">
        <f>IF(COUNTIFS(T_SelfStock_Log[Part Name],$A45,T_SelfStock_Log[WeekIndex],66)=0,"",SUMIFS(T_SelfStock_Log[Self_Qty],T_SelfStock_Log[Part Name],$A45,T_SelfStock_Log[WeekIndex],66))</f>
        <v/>
      </c>
      <c r="BP45" s="19">
        <f>IF(COUNTIFS(T_SelfStock_Log[Part Name],$A45,T_SelfStock_Log[WeekIndex],67)=0,"",SUMIFS(T_SelfStock_Log[Self_Qty],T_SelfStock_Log[Part Name],$A45,T_SelfStock_Log[WeekIndex],67))</f>
        <v/>
      </c>
      <c r="BQ45" s="19">
        <f>IF(COUNTIFS(T_SelfStock_Log[Part Name],$A45,T_SelfStock_Log[WeekIndex],68)=0,"",SUMIFS(T_SelfStock_Log[Self_Qty],T_SelfStock_Log[Part Name],$A45,T_SelfStock_Log[WeekIndex],68))</f>
        <v/>
      </c>
      <c r="BR45" s="19">
        <f>IF(COUNTIFS(T_SelfStock_Log[Part Name],$A45,T_SelfStock_Log[WeekIndex],69)=0,"",SUMIFS(T_SelfStock_Log[Self_Qty],T_SelfStock_Log[Part Name],$A45,T_SelfStock_Log[WeekIndex],69))</f>
        <v/>
      </c>
      <c r="BS45" s="19">
        <f>IF(COUNTIFS(T_SelfStock_Log[Part Name],$A45,T_SelfStock_Log[WeekIndex],70)=0,"",SUMIFS(T_SelfStock_Log[Self_Qty],T_SelfStock_Log[Part Name],$A45,T_SelfStock_Log[WeekIndex],70))</f>
        <v/>
      </c>
      <c r="BT45" s="19">
        <f>IF(COUNTIFS(T_SelfStock_Log[Part Name],$A45,T_SelfStock_Log[WeekIndex],71)=0,"",SUMIFS(T_SelfStock_Log[Self_Qty],T_SelfStock_Log[Part Name],$A45,T_SelfStock_Log[WeekIndex],71))</f>
        <v/>
      </c>
      <c r="BU45" s="19">
        <f>IF(COUNTIFS(T_SelfStock_Log[Part Name],$A45,T_SelfStock_Log[WeekIndex],72)=0,"",SUMIFS(T_SelfStock_Log[Self_Qty],T_SelfStock_Log[Part Name],$A45,T_SelfStock_Log[WeekIndex],72))</f>
        <v/>
      </c>
      <c r="BV45" s="19">
        <f>IF(COUNTIFS(T_SelfStock_Log[Part Name],$A45,T_SelfStock_Log[WeekIndex],73)=0,"",SUMIFS(T_SelfStock_Log[Self_Qty],T_SelfStock_Log[Part Name],$A45,T_SelfStock_Log[WeekIndex],73))</f>
        <v/>
      </c>
      <c r="BW45" s="19">
        <f>IF(COUNTIFS(T_SelfStock_Log[Part Name],$A45,T_SelfStock_Log[WeekIndex],74)=0,"",SUMIFS(T_SelfStock_Log[Self_Qty],T_SelfStock_Log[Part Name],$A45,T_SelfStock_Log[WeekIndex],74))</f>
        <v/>
      </c>
      <c r="BX45" s="19">
        <f>IF(COUNTIFS(T_SelfStock_Log[Part Name],$A45,T_SelfStock_Log[WeekIndex],75)=0,"",SUMIFS(T_SelfStock_Log[Self_Qty],T_SelfStock_Log[Part Name],$A45,T_SelfStock_Log[WeekIndex],75))</f>
        <v/>
      </c>
      <c r="BY45" s="19">
        <f>IF(COUNTIFS(T_SelfStock_Log[Part Name],$A45,T_SelfStock_Log[WeekIndex],76)=0,"",SUMIFS(T_SelfStock_Log[Self_Qty],T_SelfStock_Log[Part Name],$A45,T_SelfStock_Log[WeekIndex],76))</f>
        <v/>
      </c>
      <c r="BZ45" s="19">
        <f>IF(COUNTIFS(T_SelfStock_Log[Part Name],$A45,T_SelfStock_Log[WeekIndex],77)=0,"",SUMIFS(T_SelfStock_Log[Self_Qty],T_SelfStock_Log[Part Name],$A45,T_SelfStock_Log[WeekIndex],77))</f>
        <v/>
      </c>
      <c r="CA45" s="19">
        <f>IF(COUNTIFS(T_SelfStock_Log[Part Name],$A45,T_SelfStock_Log[WeekIndex],78)=0,"",SUMIFS(T_SelfStock_Log[Self_Qty],T_SelfStock_Log[Part Name],$A45,T_SelfStock_Log[WeekIndex],78))</f>
        <v/>
      </c>
      <c r="CB45" s="19">
        <f>IF(COUNTIFS(T_SelfStock_Log[Part Name],$A45,T_SelfStock_Log[WeekIndex],79)=0,"",SUMIFS(T_SelfStock_Log[Self_Qty],T_SelfStock_Log[Part Name],$A45,T_SelfStock_Log[WeekIndex],79))</f>
        <v/>
      </c>
      <c r="CC45" s="19">
        <f>IF(COUNTIFS(T_SelfStock_Log[Part Name],$A45,T_SelfStock_Log[WeekIndex],80)=0,"",SUMIFS(T_SelfStock_Log[Self_Qty],T_SelfStock_Log[Part Name],$A45,T_SelfStock_Log[WeekIndex],80))</f>
        <v/>
      </c>
      <c r="CD45" s="19">
        <f>IF(COUNTIFS(T_SelfStock_Log[Part Name],$A45,T_SelfStock_Log[WeekIndex],81)=0,"",SUMIFS(T_SelfStock_Log[Self_Qty],T_SelfStock_Log[Part Name],$A45,T_SelfStock_Log[WeekIndex],81))</f>
        <v/>
      </c>
      <c r="CE45" s="19">
        <f>IF(COUNTIFS(T_SelfStock_Log[Part Name],$A45,T_SelfStock_Log[WeekIndex],82)=0,"",SUMIFS(T_SelfStock_Log[Self_Qty],T_SelfStock_Log[Part Name],$A45,T_SelfStock_Log[WeekIndex],82))</f>
        <v/>
      </c>
      <c r="CF45" s="19">
        <f>IF(COUNTIFS(T_SelfStock_Log[Part Name],$A45,T_SelfStock_Log[WeekIndex],83)=0,"",SUMIFS(T_SelfStock_Log[Self_Qty],T_SelfStock_Log[Part Name],$A45,T_SelfStock_Log[WeekIndex],83))</f>
        <v/>
      </c>
      <c r="CG45" s="19">
        <f>IF(COUNTIFS(T_SelfStock_Log[Part Name],$A45,T_SelfStock_Log[WeekIndex],84)=0,"",SUMIFS(T_SelfStock_Log[Self_Qty],T_SelfStock_Log[Part Name],$A45,T_SelfStock_Log[WeekIndex],84))</f>
        <v/>
      </c>
      <c r="CH45" s="19">
        <f>IF(COUNTIFS(T_SelfStock_Log[Part Name],$A45,T_SelfStock_Log[WeekIndex],85)=0,"",SUMIFS(T_SelfStock_Log[Self_Qty],T_SelfStock_Log[Part Name],$A45,T_SelfStock_Log[WeekIndex],85))</f>
        <v/>
      </c>
      <c r="CI45" s="19">
        <f>IF(COUNTIFS(T_SelfStock_Log[Part Name],$A45,T_SelfStock_Log[WeekIndex],86)=0,"",SUMIFS(T_SelfStock_Log[Self_Qty],T_SelfStock_Log[Part Name],$A45,T_SelfStock_Log[WeekIndex],86))</f>
        <v/>
      </c>
      <c r="CJ45" s="19">
        <f>IF(COUNTIFS(T_SelfStock_Log[Part Name],$A45,T_SelfStock_Log[WeekIndex],87)=0,"",SUMIFS(T_SelfStock_Log[Self_Qty],T_SelfStock_Log[Part Name],$A45,T_SelfStock_Log[WeekIndex],87))</f>
        <v/>
      </c>
      <c r="CK45" s="19">
        <f>IF(COUNTIFS(T_SelfStock_Log[Part Name],$A45,T_SelfStock_Log[WeekIndex],88)=0,"",SUMIFS(T_SelfStock_Log[Self_Qty],T_SelfStock_Log[Part Name],$A45,T_SelfStock_Log[WeekIndex],88))</f>
        <v/>
      </c>
      <c r="CL45" s="19">
        <f>IF(COUNTIFS(T_SelfStock_Log[Part Name],$A45,T_SelfStock_Log[WeekIndex],89)=0,"",SUMIFS(T_SelfStock_Log[Self_Qty],T_SelfStock_Log[Part Name],$A45,T_SelfStock_Log[WeekIndex],89))</f>
        <v/>
      </c>
      <c r="CM45" s="19">
        <f>IF(COUNTIFS(T_SelfStock_Log[Part Name],$A45,T_SelfStock_Log[WeekIndex],90)=0,"",SUMIFS(T_SelfStock_Log[Self_Qty],T_SelfStock_Log[Part Name],$A45,T_SelfStock_Log[WeekIndex],90))</f>
        <v/>
      </c>
      <c r="CN45" s="19">
        <f>IF(COUNTIFS(T_SelfStock_Log[Part Name],$A45,T_SelfStock_Log[WeekIndex],91)=0,"",SUMIFS(T_SelfStock_Log[Self_Qty],T_SelfStock_Log[Part Name],$A45,T_SelfStock_Log[WeekIndex],91))</f>
        <v/>
      </c>
      <c r="CO45" s="19">
        <f>IF(COUNTIFS(T_SelfStock_Log[Part Name],$A45,T_SelfStock_Log[WeekIndex],92)=0,"",SUMIFS(T_SelfStock_Log[Self_Qty],T_SelfStock_Log[Part Name],$A45,T_SelfStock_Log[WeekIndex],92))</f>
        <v/>
      </c>
      <c r="CP45" s="19">
        <f>IF(COUNTIFS(T_SelfStock_Log[Part Name],$A45,T_SelfStock_Log[WeekIndex],93)=0,"",SUMIFS(T_SelfStock_Log[Self_Qty],T_SelfStock_Log[Part Name],$A45,T_SelfStock_Log[WeekIndex],93))</f>
        <v/>
      </c>
      <c r="CQ45" s="19">
        <f>IF(COUNTIFS(T_SelfStock_Log[Part Name],$A45,T_SelfStock_Log[WeekIndex],94)=0,"",SUMIFS(T_SelfStock_Log[Self_Qty],T_SelfStock_Log[Part Name],$A45,T_SelfStock_Log[WeekIndex],94))</f>
        <v/>
      </c>
      <c r="CR45" s="19">
        <f>IF(COUNTIFS(T_SelfStock_Log[Part Name],$A45,T_SelfStock_Log[WeekIndex],95)=0,"",SUMIFS(T_SelfStock_Log[Self_Qty],T_SelfStock_Log[Part Name],$A45,T_SelfStock_Log[WeekIndex],95))</f>
        <v/>
      </c>
      <c r="CS45" s="19">
        <f>IF(COUNTIFS(T_SelfStock_Log[Part Name],$A45,T_SelfStock_Log[WeekIndex],96)=0,"",SUMIFS(T_SelfStock_Log[Self_Qty],T_SelfStock_Log[Part Name],$A45,T_SelfStock_Log[WeekIndex],96))</f>
        <v/>
      </c>
      <c r="CT45" s="19">
        <f>IF(COUNTIFS(T_SelfStock_Log[Part Name],$A45,T_SelfStock_Log[WeekIndex],97)=0,"",SUMIFS(T_SelfStock_Log[Self_Qty],T_SelfStock_Log[Part Name],$A45,T_SelfStock_Log[WeekIndex],97))</f>
        <v/>
      </c>
      <c r="CU45" s="19">
        <f>IF(COUNTIFS(T_SelfStock_Log[Part Name],$A45,T_SelfStock_Log[WeekIndex],98)=0,"",SUMIFS(T_SelfStock_Log[Self_Qty],T_SelfStock_Log[Part Name],$A45,T_SelfStock_Log[WeekIndex],98))</f>
        <v/>
      </c>
      <c r="CV45" s="19">
        <f>IF(COUNTIFS(T_SelfStock_Log[Part Name],$A45,T_SelfStock_Log[WeekIndex],99)=0,"",SUMIFS(T_SelfStock_Log[Self_Qty],T_SelfStock_Log[Part Name],$A45,T_SelfStock_Log[WeekIndex],99))</f>
        <v/>
      </c>
      <c r="CW45" s="19">
        <f>IF(COUNTIFS(T_SelfStock_Log[Part Name],$A45,T_SelfStock_Log[WeekIndex],100)=0,"",SUMIFS(T_SelfStock_Log[Self_Qty],T_SelfStock_Log[Part Name],$A45,T_SelfStock_Log[WeekIndex],100))</f>
        <v/>
      </c>
      <c r="CX45" s="19">
        <f>IF(COUNTIFS(T_SelfStock_Log[Part Name],$A45,T_SelfStock_Log[WeekIndex],101)=0,"",SUMIFS(T_SelfStock_Log[Self_Qty],T_SelfStock_Log[Part Name],$A45,T_SelfStock_Log[WeekIndex],101))</f>
        <v/>
      </c>
      <c r="CY45" s="19">
        <f>IF(COUNTIFS(T_SelfStock_Log[Part Name],$A45,T_SelfStock_Log[WeekIndex],102)=0,"",SUMIFS(T_SelfStock_Log[Self_Qty],T_SelfStock_Log[Part Name],$A45,T_SelfStock_Log[WeekIndex],102))</f>
        <v/>
      </c>
      <c r="CZ45" s="19">
        <f>IF(COUNTIFS(T_SelfStock_Log[Part Name],$A45,T_SelfStock_Log[WeekIndex],103)=0,"",SUMIFS(T_SelfStock_Log[Self_Qty],T_SelfStock_Log[Part Name],$A45,T_SelfStock_Log[WeekIndex],103))</f>
        <v/>
      </c>
      <c r="DA45" s="19">
        <f>IF(COUNTIFS(T_SelfStock_Log[Part Name],$A45,T_SelfStock_Log[WeekIndex],104)=0,"",SUMIFS(T_SelfStock_Log[Self_Qty],T_SelfStock_Log[Part Name],$A45,T_SelfStock_Log[WeekIndex],104))</f>
        <v/>
      </c>
    </row>
    <row r="46">
      <c r="A46" s="17" t="inlineStr">
        <is>
          <t>CHEM-1730</t>
        </is>
      </c>
      <c r="B46" s="17">
        <f>IF(COUNTIFS(T_SelfStock_Log[Part Name],$A46,T_SelfStock_Log[WeekIndex],1)=0,"",SUMIFS(T_SelfStock_Log[Self_Qty],T_SelfStock_Log[Part Name],$A46,T_SelfStock_Log[WeekIndex],1))</f>
        <v/>
      </c>
      <c r="C46" s="17">
        <f>IF(COUNTIFS(T_SelfStock_Log[Part Name],$A46,T_SelfStock_Log[WeekIndex],2)=0,"",SUMIFS(T_SelfStock_Log[Self_Qty],T_SelfStock_Log[Part Name],$A46,T_SelfStock_Log[WeekIndex],2))</f>
        <v/>
      </c>
      <c r="D46" s="17">
        <f>IF(COUNTIFS(T_SelfStock_Log[Part Name],$A46,T_SelfStock_Log[WeekIndex],3)=0,"",SUMIFS(T_SelfStock_Log[Self_Qty],T_SelfStock_Log[Part Name],$A46,T_SelfStock_Log[WeekIndex],3))</f>
        <v/>
      </c>
      <c r="E46" s="17">
        <f>IF(COUNTIFS(T_SelfStock_Log[Part Name],$A46,T_SelfStock_Log[WeekIndex],4)=0,"",SUMIFS(T_SelfStock_Log[Self_Qty],T_SelfStock_Log[Part Name],$A46,T_SelfStock_Log[WeekIndex],4))</f>
        <v/>
      </c>
      <c r="F46" s="17">
        <f>IF(COUNTIFS(T_SelfStock_Log[Part Name],$A46,T_SelfStock_Log[WeekIndex],5)=0,"",SUMIFS(T_SelfStock_Log[Self_Qty],T_SelfStock_Log[Part Name],$A46,T_SelfStock_Log[WeekIndex],5))</f>
        <v/>
      </c>
      <c r="G46" s="17">
        <f>IF(COUNTIFS(T_SelfStock_Log[Part Name],$A46,T_SelfStock_Log[WeekIndex],6)=0,"",SUMIFS(T_SelfStock_Log[Self_Qty],T_SelfStock_Log[Part Name],$A46,T_SelfStock_Log[WeekIndex],6))</f>
        <v/>
      </c>
      <c r="H46" s="17">
        <f>IF(COUNTIFS(T_SelfStock_Log[Part Name],$A46,T_SelfStock_Log[WeekIndex],7)=0,"",SUMIFS(T_SelfStock_Log[Self_Qty],T_SelfStock_Log[Part Name],$A46,T_SelfStock_Log[WeekIndex],7))</f>
        <v/>
      </c>
      <c r="I46" s="17">
        <f>IF(COUNTIFS(T_SelfStock_Log[Part Name],$A46,T_SelfStock_Log[WeekIndex],8)=0,"",SUMIFS(T_SelfStock_Log[Self_Qty],T_SelfStock_Log[Part Name],$A46,T_SelfStock_Log[WeekIndex],8))</f>
        <v/>
      </c>
      <c r="J46" s="17">
        <f>IF(COUNTIFS(T_SelfStock_Log[Part Name],$A46,T_SelfStock_Log[WeekIndex],9)=0,"",SUMIFS(T_SelfStock_Log[Self_Qty],T_SelfStock_Log[Part Name],$A46,T_SelfStock_Log[WeekIndex],9))</f>
        <v/>
      </c>
      <c r="K46" s="17">
        <f>IF(COUNTIFS(T_SelfStock_Log[Part Name],$A46,T_SelfStock_Log[WeekIndex],10)=0,"",SUMIFS(T_SelfStock_Log[Self_Qty],T_SelfStock_Log[Part Name],$A46,T_SelfStock_Log[WeekIndex],10))</f>
        <v/>
      </c>
      <c r="L46" s="17">
        <f>IF(COUNTIFS(T_SelfStock_Log[Part Name],$A46,T_SelfStock_Log[WeekIndex],11)=0,"",SUMIFS(T_SelfStock_Log[Self_Qty],T_SelfStock_Log[Part Name],$A46,T_SelfStock_Log[WeekIndex],11))</f>
        <v/>
      </c>
      <c r="M46" s="17">
        <f>IF(COUNTIFS(T_SelfStock_Log[Part Name],$A46,T_SelfStock_Log[WeekIndex],12)=0,"",SUMIFS(T_SelfStock_Log[Self_Qty],T_SelfStock_Log[Part Name],$A46,T_SelfStock_Log[WeekIndex],12))</f>
        <v/>
      </c>
      <c r="N46" s="17">
        <f>IF(COUNTIFS(T_SelfStock_Log[Part Name],$A46,T_SelfStock_Log[WeekIndex],13)=0,"",SUMIFS(T_SelfStock_Log[Self_Qty],T_SelfStock_Log[Part Name],$A46,T_SelfStock_Log[WeekIndex],13))</f>
        <v/>
      </c>
      <c r="O46" s="17">
        <f>IF(COUNTIFS(T_SelfStock_Log[Part Name],$A46,T_SelfStock_Log[WeekIndex],14)=0,"",SUMIFS(T_SelfStock_Log[Self_Qty],T_SelfStock_Log[Part Name],$A46,T_SelfStock_Log[WeekIndex],14))</f>
        <v/>
      </c>
      <c r="P46" s="17">
        <f>IF(COUNTIFS(T_SelfStock_Log[Part Name],$A46,T_SelfStock_Log[WeekIndex],15)=0,"",SUMIFS(T_SelfStock_Log[Self_Qty],T_SelfStock_Log[Part Name],$A46,T_SelfStock_Log[WeekIndex],15))</f>
        <v/>
      </c>
      <c r="Q46" s="17">
        <f>IF(COUNTIFS(T_SelfStock_Log[Part Name],$A46,T_SelfStock_Log[WeekIndex],16)=0,"",SUMIFS(T_SelfStock_Log[Self_Qty],T_SelfStock_Log[Part Name],$A46,T_SelfStock_Log[WeekIndex],16))</f>
        <v/>
      </c>
      <c r="R46" s="17">
        <f>IF(COUNTIFS(T_SelfStock_Log[Part Name],$A46,T_SelfStock_Log[WeekIndex],17)=0,"",SUMIFS(T_SelfStock_Log[Self_Qty],T_SelfStock_Log[Part Name],$A46,T_SelfStock_Log[WeekIndex],17))</f>
        <v/>
      </c>
      <c r="S46" s="17">
        <f>IF(COUNTIFS(T_SelfStock_Log[Part Name],$A46,T_SelfStock_Log[WeekIndex],18)=0,"",SUMIFS(T_SelfStock_Log[Self_Qty],T_SelfStock_Log[Part Name],$A46,T_SelfStock_Log[WeekIndex],18))</f>
        <v/>
      </c>
      <c r="T46" s="17">
        <f>IF(COUNTIFS(T_SelfStock_Log[Part Name],$A46,T_SelfStock_Log[WeekIndex],19)=0,"",SUMIFS(T_SelfStock_Log[Self_Qty],T_SelfStock_Log[Part Name],$A46,T_SelfStock_Log[WeekIndex],19))</f>
        <v/>
      </c>
      <c r="U46" s="17">
        <f>IF(COUNTIFS(T_SelfStock_Log[Part Name],$A46,T_SelfStock_Log[WeekIndex],20)=0,"",SUMIFS(T_SelfStock_Log[Self_Qty],T_SelfStock_Log[Part Name],$A46,T_SelfStock_Log[WeekIndex],20))</f>
        <v/>
      </c>
      <c r="V46" s="17">
        <f>IF(COUNTIFS(T_SelfStock_Log[Part Name],$A46,T_SelfStock_Log[WeekIndex],21)=0,"",SUMIFS(T_SelfStock_Log[Self_Qty],T_SelfStock_Log[Part Name],$A46,T_SelfStock_Log[WeekIndex],21))</f>
        <v/>
      </c>
      <c r="W46" s="17">
        <f>IF(COUNTIFS(T_SelfStock_Log[Part Name],$A46,T_SelfStock_Log[WeekIndex],22)=0,"",SUMIFS(T_SelfStock_Log[Self_Qty],T_SelfStock_Log[Part Name],$A46,T_SelfStock_Log[WeekIndex],22))</f>
        <v/>
      </c>
      <c r="X46" s="17">
        <f>IF(COUNTIFS(T_SelfStock_Log[Part Name],$A46,T_SelfStock_Log[WeekIndex],23)=0,"",SUMIFS(T_SelfStock_Log[Self_Qty],T_SelfStock_Log[Part Name],$A46,T_SelfStock_Log[WeekIndex],23))</f>
        <v/>
      </c>
      <c r="Y46" s="17">
        <f>IF(COUNTIFS(T_SelfStock_Log[Part Name],$A46,T_SelfStock_Log[WeekIndex],24)=0,"",SUMIFS(T_SelfStock_Log[Self_Qty],T_SelfStock_Log[Part Name],$A46,T_SelfStock_Log[WeekIndex],24))</f>
        <v/>
      </c>
      <c r="Z46" s="17">
        <f>IF(COUNTIFS(T_SelfStock_Log[Part Name],$A46,T_SelfStock_Log[WeekIndex],25)=0,"",SUMIFS(T_SelfStock_Log[Self_Qty],T_SelfStock_Log[Part Name],$A46,T_SelfStock_Log[WeekIndex],25))</f>
        <v/>
      </c>
      <c r="AA46" s="17">
        <f>IF(COUNTIFS(T_SelfStock_Log[Part Name],$A46,T_SelfStock_Log[WeekIndex],26)=0,"",SUMIFS(T_SelfStock_Log[Self_Qty],T_SelfStock_Log[Part Name],$A46,T_SelfStock_Log[WeekIndex],26))</f>
        <v/>
      </c>
      <c r="AB46" s="17">
        <f>IF(COUNTIFS(T_SelfStock_Log[Part Name],$A46,T_SelfStock_Log[WeekIndex],27)=0,"",SUMIFS(T_SelfStock_Log[Self_Qty],T_SelfStock_Log[Part Name],$A46,T_SelfStock_Log[WeekIndex],27))</f>
        <v/>
      </c>
      <c r="AC46" s="17">
        <f>IF(COUNTIFS(T_SelfStock_Log[Part Name],$A46,T_SelfStock_Log[WeekIndex],28)=0,"",SUMIFS(T_SelfStock_Log[Self_Qty],T_SelfStock_Log[Part Name],$A46,T_SelfStock_Log[WeekIndex],28))</f>
        <v/>
      </c>
      <c r="AD46" s="17">
        <f>IF(COUNTIFS(T_SelfStock_Log[Part Name],$A46,T_SelfStock_Log[WeekIndex],29)=0,"",SUMIFS(T_SelfStock_Log[Self_Qty],T_SelfStock_Log[Part Name],$A46,T_SelfStock_Log[WeekIndex],29))</f>
        <v/>
      </c>
      <c r="AE46" s="17">
        <f>IF(COUNTIFS(T_SelfStock_Log[Part Name],$A46,T_SelfStock_Log[WeekIndex],30)=0,"",SUMIFS(T_SelfStock_Log[Self_Qty],T_SelfStock_Log[Part Name],$A46,T_SelfStock_Log[WeekIndex],30))</f>
        <v/>
      </c>
      <c r="AF46" s="17">
        <f>IF(COUNTIFS(T_SelfStock_Log[Part Name],$A46,T_SelfStock_Log[WeekIndex],31)=0,"",SUMIFS(T_SelfStock_Log[Self_Qty],T_SelfStock_Log[Part Name],$A46,T_SelfStock_Log[WeekIndex],31))</f>
        <v/>
      </c>
      <c r="AG46" s="17">
        <f>IF(COUNTIFS(T_SelfStock_Log[Part Name],$A46,T_SelfStock_Log[WeekIndex],32)=0,"",SUMIFS(T_SelfStock_Log[Self_Qty],T_SelfStock_Log[Part Name],$A46,T_SelfStock_Log[WeekIndex],32))</f>
        <v/>
      </c>
      <c r="AH46" s="17">
        <f>IF(COUNTIFS(T_SelfStock_Log[Part Name],$A46,T_SelfStock_Log[WeekIndex],33)=0,"",SUMIFS(T_SelfStock_Log[Self_Qty],T_SelfStock_Log[Part Name],$A46,T_SelfStock_Log[WeekIndex],33))</f>
        <v/>
      </c>
      <c r="AI46" s="17">
        <f>IF(COUNTIFS(T_SelfStock_Log[Part Name],$A46,T_SelfStock_Log[WeekIndex],34)=0,"",SUMIFS(T_SelfStock_Log[Self_Qty],T_SelfStock_Log[Part Name],$A46,T_SelfStock_Log[WeekIndex],34))</f>
        <v/>
      </c>
      <c r="AJ46" s="17">
        <f>IF(COUNTIFS(T_SelfStock_Log[Part Name],$A46,T_SelfStock_Log[WeekIndex],35)=0,"",SUMIFS(T_SelfStock_Log[Self_Qty],T_SelfStock_Log[Part Name],$A46,T_SelfStock_Log[WeekIndex],35))</f>
        <v/>
      </c>
      <c r="AK46" s="17">
        <f>IF(COUNTIFS(T_SelfStock_Log[Part Name],$A46,T_SelfStock_Log[WeekIndex],36)=0,"",SUMIFS(T_SelfStock_Log[Self_Qty],T_SelfStock_Log[Part Name],$A46,T_SelfStock_Log[WeekIndex],36))</f>
        <v/>
      </c>
      <c r="AL46" s="17">
        <f>IF(COUNTIFS(T_SelfStock_Log[Part Name],$A46,T_SelfStock_Log[WeekIndex],37)=0,"",SUMIFS(T_SelfStock_Log[Self_Qty],T_SelfStock_Log[Part Name],$A46,T_SelfStock_Log[WeekIndex],37))</f>
        <v/>
      </c>
      <c r="AM46" s="17">
        <f>IF(COUNTIFS(T_SelfStock_Log[Part Name],$A46,T_SelfStock_Log[WeekIndex],38)=0,"",SUMIFS(T_SelfStock_Log[Self_Qty],T_SelfStock_Log[Part Name],$A46,T_SelfStock_Log[WeekIndex],38))</f>
        <v/>
      </c>
      <c r="AN46" s="17">
        <f>IF(COUNTIFS(T_SelfStock_Log[Part Name],$A46,T_SelfStock_Log[WeekIndex],39)=0,"",SUMIFS(T_SelfStock_Log[Self_Qty],T_SelfStock_Log[Part Name],$A46,T_SelfStock_Log[WeekIndex],39))</f>
        <v/>
      </c>
      <c r="AO46" s="17">
        <f>IF(COUNTIFS(T_SelfStock_Log[Part Name],$A46,T_SelfStock_Log[WeekIndex],40)=0,"",SUMIFS(T_SelfStock_Log[Self_Qty],T_SelfStock_Log[Part Name],$A46,T_SelfStock_Log[WeekIndex],40))</f>
        <v/>
      </c>
      <c r="AP46" s="17">
        <f>IF(COUNTIFS(T_SelfStock_Log[Part Name],$A46,T_SelfStock_Log[WeekIndex],41)=0,"",SUMIFS(T_SelfStock_Log[Self_Qty],T_SelfStock_Log[Part Name],$A46,T_SelfStock_Log[WeekIndex],41))</f>
        <v/>
      </c>
      <c r="AQ46" s="17">
        <f>IF(COUNTIFS(T_SelfStock_Log[Part Name],$A46,T_SelfStock_Log[WeekIndex],42)=0,"",SUMIFS(T_SelfStock_Log[Self_Qty],T_SelfStock_Log[Part Name],$A46,T_SelfStock_Log[WeekIndex],42))</f>
        <v/>
      </c>
      <c r="AR46" s="17">
        <f>IF(COUNTIFS(T_SelfStock_Log[Part Name],$A46,T_SelfStock_Log[WeekIndex],43)=0,"",SUMIFS(T_SelfStock_Log[Self_Qty],T_SelfStock_Log[Part Name],$A46,T_SelfStock_Log[WeekIndex],43))</f>
        <v/>
      </c>
      <c r="AS46" s="17">
        <f>IF(COUNTIFS(T_SelfStock_Log[Part Name],$A46,T_SelfStock_Log[WeekIndex],44)=0,"",SUMIFS(T_SelfStock_Log[Self_Qty],T_SelfStock_Log[Part Name],$A46,T_SelfStock_Log[WeekIndex],44))</f>
        <v/>
      </c>
      <c r="AT46" s="17">
        <f>IF(COUNTIFS(T_SelfStock_Log[Part Name],$A46,T_SelfStock_Log[WeekIndex],45)=0,"",SUMIFS(T_SelfStock_Log[Self_Qty],T_SelfStock_Log[Part Name],$A46,T_SelfStock_Log[WeekIndex],45))</f>
        <v/>
      </c>
      <c r="AU46" s="17">
        <f>IF(COUNTIFS(T_SelfStock_Log[Part Name],$A46,T_SelfStock_Log[WeekIndex],46)=0,"",SUMIFS(T_SelfStock_Log[Self_Qty],T_SelfStock_Log[Part Name],$A46,T_SelfStock_Log[WeekIndex],46))</f>
        <v/>
      </c>
      <c r="AV46" s="17">
        <f>IF(COUNTIFS(T_SelfStock_Log[Part Name],$A46,T_SelfStock_Log[WeekIndex],47)=0,"",SUMIFS(T_SelfStock_Log[Self_Qty],T_SelfStock_Log[Part Name],$A46,T_SelfStock_Log[WeekIndex],47))</f>
        <v/>
      </c>
      <c r="AW46" s="17">
        <f>IF(COUNTIFS(T_SelfStock_Log[Part Name],$A46,T_SelfStock_Log[WeekIndex],48)=0,"",SUMIFS(T_SelfStock_Log[Self_Qty],T_SelfStock_Log[Part Name],$A46,T_SelfStock_Log[WeekIndex],48))</f>
        <v/>
      </c>
      <c r="AX46" s="17">
        <f>IF(COUNTIFS(T_SelfStock_Log[Part Name],$A46,T_SelfStock_Log[WeekIndex],49)=0,"",SUMIFS(T_SelfStock_Log[Self_Qty],T_SelfStock_Log[Part Name],$A46,T_SelfStock_Log[WeekIndex],49))</f>
        <v/>
      </c>
      <c r="AY46" s="17">
        <f>IF(COUNTIFS(T_SelfStock_Log[Part Name],$A46,T_SelfStock_Log[WeekIndex],50)=0,"",SUMIFS(T_SelfStock_Log[Self_Qty],T_SelfStock_Log[Part Name],$A46,T_SelfStock_Log[WeekIndex],50))</f>
        <v/>
      </c>
      <c r="AZ46" s="17">
        <f>IF(COUNTIFS(T_SelfStock_Log[Part Name],$A46,T_SelfStock_Log[WeekIndex],51)=0,"",SUMIFS(T_SelfStock_Log[Self_Qty],T_SelfStock_Log[Part Name],$A46,T_SelfStock_Log[WeekIndex],51))</f>
        <v/>
      </c>
      <c r="BA46" s="17">
        <f>IF(COUNTIFS(T_SelfStock_Log[Part Name],$A46,T_SelfStock_Log[WeekIndex],52)=0,"",SUMIFS(T_SelfStock_Log[Self_Qty],T_SelfStock_Log[Part Name],$A46,T_SelfStock_Log[WeekIndex],52))</f>
        <v/>
      </c>
      <c r="BB46" s="17">
        <f>IF(COUNTIFS(T_SelfStock_Log[Part Name],$A46,T_SelfStock_Log[WeekIndex],53)=0,"",SUMIFS(T_SelfStock_Log[Self_Qty],T_SelfStock_Log[Part Name],$A46,T_SelfStock_Log[WeekIndex],53))</f>
        <v/>
      </c>
      <c r="BC46" s="17">
        <f>IF(COUNTIFS(T_SelfStock_Log[Part Name],$A46,T_SelfStock_Log[WeekIndex],54)=0,"",SUMIFS(T_SelfStock_Log[Self_Qty],T_SelfStock_Log[Part Name],$A46,T_SelfStock_Log[WeekIndex],54))</f>
        <v/>
      </c>
      <c r="BD46" s="17">
        <f>IF(COUNTIFS(T_SelfStock_Log[Part Name],$A46,T_SelfStock_Log[WeekIndex],55)=0,"",SUMIFS(T_SelfStock_Log[Self_Qty],T_SelfStock_Log[Part Name],$A46,T_SelfStock_Log[WeekIndex],55))</f>
        <v/>
      </c>
      <c r="BE46" s="17">
        <f>IF(COUNTIFS(T_SelfStock_Log[Part Name],$A46,T_SelfStock_Log[WeekIndex],56)=0,"",SUMIFS(T_SelfStock_Log[Self_Qty],T_SelfStock_Log[Part Name],$A46,T_SelfStock_Log[WeekIndex],56))</f>
        <v/>
      </c>
      <c r="BF46" s="17">
        <f>IF(COUNTIFS(T_SelfStock_Log[Part Name],$A46,T_SelfStock_Log[WeekIndex],57)=0,"",SUMIFS(T_SelfStock_Log[Self_Qty],T_SelfStock_Log[Part Name],$A46,T_SelfStock_Log[WeekIndex],57))</f>
        <v/>
      </c>
      <c r="BG46" s="17">
        <f>IF(COUNTIFS(T_SelfStock_Log[Part Name],$A46,T_SelfStock_Log[WeekIndex],58)=0,"",SUMIFS(T_SelfStock_Log[Self_Qty],T_SelfStock_Log[Part Name],$A46,T_SelfStock_Log[WeekIndex],58))</f>
        <v/>
      </c>
      <c r="BH46" s="17">
        <f>IF(COUNTIFS(T_SelfStock_Log[Part Name],$A46,T_SelfStock_Log[WeekIndex],59)=0,"",SUMIFS(T_SelfStock_Log[Self_Qty],T_SelfStock_Log[Part Name],$A46,T_SelfStock_Log[WeekIndex],59))</f>
        <v/>
      </c>
      <c r="BI46" s="17">
        <f>IF(COUNTIFS(T_SelfStock_Log[Part Name],$A46,T_SelfStock_Log[WeekIndex],60)=0,"",SUMIFS(T_SelfStock_Log[Self_Qty],T_SelfStock_Log[Part Name],$A46,T_SelfStock_Log[WeekIndex],60))</f>
        <v/>
      </c>
      <c r="BJ46" s="17">
        <f>IF(COUNTIFS(T_SelfStock_Log[Part Name],$A46,T_SelfStock_Log[WeekIndex],61)=0,"",SUMIFS(T_SelfStock_Log[Self_Qty],T_SelfStock_Log[Part Name],$A46,T_SelfStock_Log[WeekIndex],61))</f>
        <v/>
      </c>
      <c r="BK46" s="17">
        <f>IF(COUNTIFS(T_SelfStock_Log[Part Name],$A46,T_SelfStock_Log[WeekIndex],62)=0,"",SUMIFS(T_SelfStock_Log[Self_Qty],T_SelfStock_Log[Part Name],$A46,T_SelfStock_Log[WeekIndex],62))</f>
        <v/>
      </c>
      <c r="BL46" s="17">
        <f>IF(COUNTIFS(T_SelfStock_Log[Part Name],$A46,T_SelfStock_Log[WeekIndex],63)=0,"",SUMIFS(T_SelfStock_Log[Self_Qty],T_SelfStock_Log[Part Name],$A46,T_SelfStock_Log[WeekIndex],63))</f>
        <v/>
      </c>
      <c r="BM46" s="17">
        <f>IF(COUNTIFS(T_SelfStock_Log[Part Name],$A46,T_SelfStock_Log[WeekIndex],64)=0,"",SUMIFS(T_SelfStock_Log[Self_Qty],T_SelfStock_Log[Part Name],$A46,T_SelfStock_Log[WeekIndex],64))</f>
        <v/>
      </c>
      <c r="BN46" s="17">
        <f>IF(COUNTIFS(T_SelfStock_Log[Part Name],$A46,T_SelfStock_Log[WeekIndex],65)=0,"",SUMIFS(T_SelfStock_Log[Self_Qty],T_SelfStock_Log[Part Name],$A46,T_SelfStock_Log[WeekIndex],65))</f>
        <v/>
      </c>
      <c r="BO46" s="17">
        <f>IF(COUNTIFS(T_SelfStock_Log[Part Name],$A46,T_SelfStock_Log[WeekIndex],66)=0,"",SUMIFS(T_SelfStock_Log[Self_Qty],T_SelfStock_Log[Part Name],$A46,T_SelfStock_Log[WeekIndex],66))</f>
        <v/>
      </c>
      <c r="BP46" s="17">
        <f>IF(COUNTIFS(T_SelfStock_Log[Part Name],$A46,T_SelfStock_Log[WeekIndex],67)=0,"",SUMIFS(T_SelfStock_Log[Self_Qty],T_SelfStock_Log[Part Name],$A46,T_SelfStock_Log[WeekIndex],67))</f>
        <v/>
      </c>
      <c r="BQ46" s="17">
        <f>IF(COUNTIFS(T_SelfStock_Log[Part Name],$A46,T_SelfStock_Log[WeekIndex],68)=0,"",SUMIFS(T_SelfStock_Log[Self_Qty],T_SelfStock_Log[Part Name],$A46,T_SelfStock_Log[WeekIndex],68))</f>
        <v/>
      </c>
      <c r="BR46" s="17">
        <f>IF(COUNTIFS(T_SelfStock_Log[Part Name],$A46,T_SelfStock_Log[WeekIndex],69)=0,"",SUMIFS(T_SelfStock_Log[Self_Qty],T_SelfStock_Log[Part Name],$A46,T_SelfStock_Log[WeekIndex],69))</f>
        <v/>
      </c>
      <c r="BS46" s="17">
        <f>IF(COUNTIFS(T_SelfStock_Log[Part Name],$A46,T_SelfStock_Log[WeekIndex],70)=0,"",SUMIFS(T_SelfStock_Log[Self_Qty],T_SelfStock_Log[Part Name],$A46,T_SelfStock_Log[WeekIndex],70))</f>
        <v/>
      </c>
      <c r="BT46" s="17">
        <f>IF(COUNTIFS(T_SelfStock_Log[Part Name],$A46,T_SelfStock_Log[WeekIndex],71)=0,"",SUMIFS(T_SelfStock_Log[Self_Qty],T_SelfStock_Log[Part Name],$A46,T_SelfStock_Log[WeekIndex],71))</f>
        <v/>
      </c>
      <c r="BU46" s="17">
        <f>IF(COUNTIFS(T_SelfStock_Log[Part Name],$A46,T_SelfStock_Log[WeekIndex],72)=0,"",SUMIFS(T_SelfStock_Log[Self_Qty],T_SelfStock_Log[Part Name],$A46,T_SelfStock_Log[WeekIndex],72))</f>
        <v/>
      </c>
      <c r="BV46" s="17">
        <f>IF(COUNTIFS(T_SelfStock_Log[Part Name],$A46,T_SelfStock_Log[WeekIndex],73)=0,"",SUMIFS(T_SelfStock_Log[Self_Qty],T_SelfStock_Log[Part Name],$A46,T_SelfStock_Log[WeekIndex],73))</f>
        <v/>
      </c>
      <c r="BW46" s="17">
        <f>IF(COUNTIFS(T_SelfStock_Log[Part Name],$A46,T_SelfStock_Log[WeekIndex],74)=0,"",SUMIFS(T_SelfStock_Log[Self_Qty],T_SelfStock_Log[Part Name],$A46,T_SelfStock_Log[WeekIndex],74))</f>
        <v/>
      </c>
      <c r="BX46" s="17">
        <f>IF(COUNTIFS(T_SelfStock_Log[Part Name],$A46,T_SelfStock_Log[WeekIndex],75)=0,"",SUMIFS(T_SelfStock_Log[Self_Qty],T_SelfStock_Log[Part Name],$A46,T_SelfStock_Log[WeekIndex],75))</f>
        <v/>
      </c>
      <c r="BY46" s="17">
        <f>IF(COUNTIFS(T_SelfStock_Log[Part Name],$A46,T_SelfStock_Log[WeekIndex],76)=0,"",SUMIFS(T_SelfStock_Log[Self_Qty],T_SelfStock_Log[Part Name],$A46,T_SelfStock_Log[WeekIndex],76))</f>
        <v/>
      </c>
      <c r="BZ46" s="17">
        <f>IF(COUNTIFS(T_SelfStock_Log[Part Name],$A46,T_SelfStock_Log[WeekIndex],77)=0,"",SUMIFS(T_SelfStock_Log[Self_Qty],T_SelfStock_Log[Part Name],$A46,T_SelfStock_Log[WeekIndex],77))</f>
        <v/>
      </c>
      <c r="CA46" s="17">
        <f>IF(COUNTIFS(T_SelfStock_Log[Part Name],$A46,T_SelfStock_Log[WeekIndex],78)=0,"",SUMIFS(T_SelfStock_Log[Self_Qty],T_SelfStock_Log[Part Name],$A46,T_SelfStock_Log[WeekIndex],78))</f>
        <v/>
      </c>
      <c r="CB46" s="17">
        <f>IF(COUNTIFS(T_SelfStock_Log[Part Name],$A46,T_SelfStock_Log[WeekIndex],79)=0,"",SUMIFS(T_SelfStock_Log[Self_Qty],T_SelfStock_Log[Part Name],$A46,T_SelfStock_Log[WeekIndex],79))</f>
        <v/>
      </c>
      <c r="CC46" s="17">
        <f>IF(COUNTIFS(T_SelfStock_Log[Part Name],$A46,T_SelfStock_Log[WeekIndex],80)=0,"",SUMIFS(T_SelfStock_Log[Self_Qty],T_SelfStock_Log[Part Name],$A46,T_SelfStock_Log[WeekIndex],80))</f>
        <v/>
      </c>
      <c r="CD46" s="17">
        <f>IF(COUNTIFS(T_SelfStock_Log[Part Name],$A46,T_SelfStock_Log[WeekIndex],81)=0,"",SUMIFS(T_SelfStock_Log[Self_Qty],T_SelfStock_Log[Part Name],$A46,T_SelfStock_Log[WeekIndex],81))</f>
        <v/>
      </c>
      <c r="CE46" s="17">
        <f>IF(COUNTIFS(T_SelfStock_Log[Part Name],$A46,T_SelfStock_Log[WeekIndex],82)=0,"",SUMIFS(T_SelfStock_Log[Self_Qty],T_SelfStock_Log[Part Name],$A46,T_SelfStock_Log[WeekIndex],82))</f>
        <v/>
      </c>
      <c r="CF46" s="17">
        <f>IF(COUNTIFS(T_SelfStock_Log[Part Name],$A46,T_SelfStock_Log[WeekIndex],83)=0,"",SUMIFS(T_SelfStock_Log[Self_Qty],T_SelfStock_Log[Part Name],$A46,T_SelfStock_Log[WeekIndex],83))</f>
        <v/>
      </c>
      <c r="CG46" s="17">
        <f>IF(COUNTIFS(T_SelfStock_Log[Part Name],$A46,T_SelfStock_Log[WeekIndex],84)=0,"",SUMIFS(T_SelfStock_Log[Self_Qty],T_SelfStock_Log[Part Name],$A46,T_SelfStock_Log[WeekIndex],84))</f>
        <v/>
      </c>
      <c r="CH46" s="17">
        <f>IF(COUNTIFS(T_SelfStock_Log[Part Name],$A46,T_SelfStock_Log[WeekIndex],85)=0,"",SUMIFS(T_SelfStock_Log[Self_Qty],T_SelfStock_Log[Part Name],$A46,T_SelfStock_Log[WeekIndex],85))</f>
        <v/>
      </c>
      <c r="CI46" s="17">
        <f>IF(COUNTIFS(T_SelfStock_Log[Part Name],$A46,T_SelfStock_Log[WeekIndex],86)=0,"",SUMIFS(T_SelfStock_Log[Self_Qty],T_SelfStock_Log[Part Name],$A46,T_SelfStock_Log[WeekIndex],86))</f>
        <v/>
      </c>
      <c r="CJ46" s="17">
        <f>IF(COUNTIFS(T_SelfStock_Log[Part Name],$A46,T_SelfStock_Log[WeekIndex],87)=0,"",SUMIFS(T_SelfStock_Log[Self_Qty],T_SelfStock_Log[Part Name],$A46,T_SelfStock_Log[WeekIndex],87))</f>
        <v/>
      </c>
      <c r="CK46" s="17">
        <f>IF(COUNTIFS(T_SelfStock_Log[Part Name],$A46,T_SelfStock_Log[WeekIndex],88)=0,"",SUMIFS(T_SelfStock_Log[Self_Qty],T_SelfStock_Log[Part Name],$A46,T_SelfStock_Log[WeekIndex],88))</f>
        <v/>
      </c>
      <c r="CL46" s="17">
        <f>IF(COUNTIFS(T_SelfStock_Log[Part Name],$A46,T_SelfStock_Log[WeekIndex],89)=0,"",SUMIFS(T_SelfStock_Log[Self_Qty],T_SelfStock_Log[Part Name],$A46,T_SelfStock_Log[WeekIndex],89))</f>
        <v/>
      </c>
      <c r="CM46" s="17">
        <f>IF(COUNTIFS(T_SelfStock_Log[Part Name],$A46,T_SelfStock_Log[WeekIndex],90)=0,"",SUMIFS(T_SelfStock_Log[Self_Qty],T_SelfStock_Log[Part Name],$A46,T_SelfStock_Log[WeekIndex],90))</f>
        <v/>
      </c>
      <c r="CN46" s="17">
        <f>IF(COUNTIFS(T_SelfStock_Log[Part Name],$A46,T_SelfStock_Log[WeekIndex],91)=0,"",SUMIFS(T_SelfStock_Log[Self_Qty],T_SelfStock_Log[Part Name],$A46,T_SelfStock_Log[WeekIndex],91))</f>
        <v/>
      </c>
      <c r="CO46" s="17">
        <f>IF(COUNTIFS(T_SelfStock_Log[Part Name],$A46,T_SelfStock_Log[WeekIndex],92)=0,"",SUMIFS(T_SelfStock_Log[Self_Qty],T_SelfStock_Log[Part Name],$A46,T_SelfStock_Log[WeekIndex],92))</f>
        <v/>
      </c>
      <c r="CP46" s="17">
        <f>IF(COUNTIFS(T_SelfStock_Log[Part Name],$A46,T_SelfStock_Log[WeekIndex],93)=0,"",SUMIFS(T_SelfStock_Log[Self_Qty],T_SelfStock_Log[Part Name],$A46,T_SelfStock_Log[WeekIndex],93))</f>
        <v/>
      </c>
      <c r="CQ46" s="17">
        <f>IF(COUNTIFS(T_SelfStock_Log[Part Name],$A46,T_SelfStock_Log[WeekIndex],94)=0,"",SUMIFS(T_SelfStock_Log[Self_Qty],T_SelfStock_Log[Part Name],$A46,T_SelfStock_Log[WeekIndex],94))</f>
        <v/>
      </c>
      <c r="CR46" s="17">
        <f>IF(COUNTIFS(T_SelfStock_Log[Part Name],$A46,T_SelfStock_Log[WeekIndex],95)=0,"",SUMIFS(T_SelfStock_Log[Self_Qty],T_SelfStock_Log[Part Name],$A46,T_SelfStock_Log[WeekIndex],95))</f>
        <v/>
      </c>
      <c r="CS46" s="17">
        <f>IF(COUNTIFS(T_SelfStock_Log[Part Name],$A46,T_SelfStock_Log[WeekIndex],96)=0,"",SUMIFS(T_SelfStock_Log[Self_Qty],T_SelfStock_Log[Part Name],$A46,T_SelfStock_Log[WeekIndex],96))</f>
        <v/>
      </c>
      <c r="CT46" s="17">
        <f>IF(COUNTIFS(T_SelfStock_Log[Part Name],$A46,T_SelfStock_Log[WeekIndex],97)=0,"",SUMIFS(T_SelfStock_Log[Self_Qty],T_SelfStock_Log[Part Name],$A46,T_SelfStock_Log[WeekIndex],97))</f>
        <v/>
      </c>
      <c r="CU46" s="17">
        <f>IF(COUNTIFS(T_SelfStock_Log[Part Name],$A46,T_SelfStock_Log[WeekIndex],98)=0,"",SUMIFS(T_SelfStock_Log[Self_Qty],T_SelfStock_Log[Part Name],$A46,T_SelfStock_Log[WeekIndex],98))</f>
        <v/>
      </c>
      <c r="CV46" s="17">
        <f>IF(COUNTIFS(T_SelfStock_Log[Part Name],$A46,T_SelfStock_Log[WeekIndex],99)=0,"",SUMIFS(T_SelfStock_Log[Self_Qty],T_SelfStock_Log[Part Name],$A46,T_SelfStock_Log[WeekIndex],99))</f>
        <v/>
      </c>
      <c r="CW46" s="17">
        <f>IF(COUNTIFS(T_SelfStock_Log[Part Name],$A46,T_SelfStock_Log[WeekIndex],100)=0,"",SUMIFS(T_SelfStock_Log[Self_Qty],T_SelfStock_Log[Part Name],$A46,T_SelfStock_Log[WeekIndex],100))</f>
        <v/>
      </c>
      <c r="CX46" s="17">
        <f>IF(COUNTIFS(T_SelfStock_Log[Part Name],$A46,T_SelfStock_Log[WeekIndex],101)=0,"",SUMIFS(T_SelfStock_Log[Self_Qty],T_SelfStock_Log[Part Name],$A46,T_SelfStock_Log[WeekIndex],101))</f>
        <v/>
      </c>
      <c r="CY46" s="17">
        <f>IF(COUNTIFS(T_SelfStock_Log[Part Name],$A46,T_SelfStock_Log[WeekIndex],102)=0,"",SUMIFS(T_SelfStock_Log[Self_Qty],T_SelfStock_Log[Part Name],$A46,T_SelfStock_Log[WeekIndex],102))</f>
        <v/>
      </c>
      <c r="CZ46" s="17">
        <f>IF(COUNTIFS(T_SelfStock_Log[Part Name],$A46,T_SelfStock_Log[WeekIndex],103)=0,"",SUMIFS(T_SelfStock_Log[Self_Qty],T_SelfStock_Log[Part Name],$A46,T_SelfStock_Log[WeekIndex],103))</f>
        <v/>
      </c>
      <c r="DA46" s="17">
        <f>IF(COUNTIFS(T_SelfStock_Log[Part Name],$A46,T_SelfStock_Log[WeekIndex],104)=0,"",SUMIFS(T_SelfStock_Log[Self_Qty],T_SelfStock_Log[Part Name],$A46,T_SelfStock_Log[WeekIndex],104))</f>
        <v/>
      </c>
    </row>
    <row r="47">
      <c r="A47" s="19" t="inlineStr">
        <is>
          <t>CHEM-1280</t>
        </is>
      </c>
      <c r="B47" s="19">
        <f>IF(COUNTIFS(T_SelfStock_Log[Part Name],$A47,T_SelfStock_Log[WeekIndex],1)=0,"",SUMIFS(T_SelfStock_Log[Self_Qty],T_SelfStock_Log[Part Name],$A47,T_SelfStock_Log[WeekIndex],1))</f>
        <v/>
      </c>
      <c r="C47" s="19">
        <f>IF(COUNTIFS(T_SelfStock_Log[Part Name],$A47,T_SelfStock_Log[WeekIndex],2)=0,"",SUMIFS(T_SelfStock_Log[Self_Qty],T_SelfStock_Log[Part Name],$A47,T_SelfStock_Log[WeekIndex],2))</f>
        <v/>
      </c>
      <c r="D47" s="19">
        <f>IF(COUNTIFS(T_SelfStock_Log[Part Name],$A47,T_SelfStock_Log[WeekIndex],3)=0,"",SUMIFS(T_SelfStock_Log[Self_Qty],T_SelfStock_Log[Part Name],$A47,T_SelfStock_Log[WeekIndex],3))</f>
        <v/>
      </c>
      <c r="E47" s="19">
        <f>IF(COUNTIFS(T_SelfStock_Log[Part Name],$A47,T_SelfStock_Log[WeekIndex],4)=0,"",SUMIFS(T_SelfStock_Log[Self_Qty],T_SelfStock_Log[Part Name],$A47,T_SelfStock_Log[WeekIndex],4))</f>
        <v/>
      </c>
      <c r="F47" s="19">
        <f>IF(COUNTIFS(T_SelfStock_Log[Part Name],$A47,T_SelfStock_Log[WeekIndex],5)=0,"",SUMIFS(T_SelfStock_Log[Self_Qty],T_SelfStock_Log[Part Name],$A47,T_SelfStock_Log[WeekIndex],5))</f>
        <v/>
      </c>
      <c r="G47" s="19">
        <f>IF(COUNTIFS(T_SelfStock_Log[Part Name],$A47,T_SelfStock_Log[WeekIndex],6)=0,"",SUMIFS(T_SelfStock_Log[Self_Qty],T_SelfStock_Log[Part Name],$A47,T_SelfStock_Log[WeekIndex],6))</f>
        <v/>
      </c>
      <c r="H47" s="19">
        <f>IF(COUNTIFS(T_SelfStock_Log[Part Name],$A47,T_SelfStock_Log[WeekIndex],7)=0,"",SUMIFS(T_SelfStock_Log[Self_Qty],T_SelfStock_Log[Part Name],$A47,T_SelfStock_Log[WeekIndex],7))</f>
        <v/>
      </c>
      <c r="I47" s="19">
        <f>IF(COUNTIFS(T_SelfStock_Log[Part Name],$A47,T_SelfStock_Log[WeekIndex],8)=0,"",SUMIFS(T_SelfStock_Log[Self_Qty],T_SelfStock_Log[Part Name],$A47,T_SelfStock_Log[WeekIndex],8))</f>
        <v/>
      </c>
      <c r="J47" s="19">
        <f>IF(COUNTIFS(T_SelfStock_Log[Part Name],$A47,T_SelfStock_Log[WeekIndex],9)=0,"",SUMIFS(T_SelfStock_Log[Self_Qty],T_SelfStock_Log[Part Name],$A47,T_SelfStock_Log[WeekIndex],9))</f>
        <v/>
      </c>
      <c r="K47" s="19">
        <f>IF(COUNTIFS(T_SelfStock_Log[Part Name],$A47,T_SelfStock_Log[WeekIndex],10)=0,"",SUMIFS(T_SelfStock_Log[Self_Qty],T_SelfStock_Log[Part Name],$A47,T_SelfStock_Log[WeekIndex],10))</f>
        <v/>
      </c>
      <c r="L47" s="19">
        <f>IF(COUNTIFS(T_SelfStock_Log[Part Name],$A47,T_SelfStock_Log[WeekIndex],11)=0,"",SUMIFS(T_SelfStock_Log[Self_Qty],T_SelfStock_Log[Part Name],$A47,T_SelfStock_Log[WeekIndex],11))</f>
        <v/>
      </c>
      <c r="M47" s="19">
        <f>IF(COUNTIFS(T_SelfStock_Log[Part Name],$A47,T_SelfStock_Log[WeekIndex],12)=0,"",SUMIFS(T_SelfStock_Log[Self_Qty],T_SelfStock_Log[Part Name],$A47,T_SelfStock_Log[WeekIndex],12))</f>
        <v/>
      </c>
      <c r="N47" s="19">
        <f>IF(COUNTIFS(T_SelfStock_Log[Part Name],$A47,T_SelfStock_Log[WeekIndex],13)=0,"",SUMIFS(T_SelfStock_Log[Self_Qty],T_SelfStock_Log[Part Name],$A47,T_SelfStock_Log[WeekIndex],13))</f>
        <v/>
      </c>
      <c r="O47" s="19">
        <f>IF(COUNTIFS(T_SelfStock_Log[Part Name],$A47,T_SelfStock_Log[WeekIndex],14)=0,"",SUMIFS(T_SelfStock_Log[Self_Qty],T_SelfStock_Log[Part Name],$A47,T_SelfStock_Log[WeekIndex],14))</f>
        <v/>
      </c>
      <c r="P47" s="19">
        <f>IF(COUNTIFS(T_SelfStock_Log[Part Name],$A47,T_SelfStock_Log[WeekIndex],15)=0,"",SUMIFS(T_SelfStock_Log[Self_Qty],T_SelfStock_Log[Part Name],$A47,T_SelfStock_Log[WeekIndex],15))</f>
        <v/>
      </c>
      <c r="Q47" s="19">
        <f>IF(COUNTIFS(T_SelfStock_Log[Part Name],$A47,T_SelfStock_Log[WeekIndex],16)=0,"",SUMIFS(T_SelfStock_Log[Self_Qty],T_SelfStock_Log[Part Name],$A47,T_SelfStock_Log[WeekIndex],16))</f>
        <v/>
      </c>
      <c r="R47" s="19">
        <f>IF(COUNTIFS(T_SelfStock_Log[Part Name],$A47,T_SelfStock_Log[WeekIndex],17)=0,"",SUMIFS(T_SelfStock_Log[Self_Qty],T_SelfStock_Log[Part Name],$A47,T_SelfStock_Log[WeekIndex],17))</f>
        <v/>
      </c>
      <c r="S47" s="19">
        <f>IF(COUNTIFS(T_SelfStock_Log[Part Name],$A47,T_SelfStock_Log[WeekIndex],18)=0,"",SUMIFS(T_SelfStock_Log[Self_Qty],T_SelfStock_Log[Part Name],$A47,T_SelfStock_Log[WeekIndex],18))</f>
        <v/>
      </c>
      <c r="T47" s="19">
        <f>IF(COUNTIFS(T_SelfStock_Log[Part Name],$A47,T_SelfStock_Log[WeekIndex],19)=0,"",SUMIFS(T_SelfStock_Log[Self_Qty],T_SelfStock_Log[Part Name],$A47,T_SelfStock_Log[WeekIndex],19))</f>
        <v/>
      </c>
      <c r="U47" s="19">
        <f>IF(COUNTIFS(T_SelfStock_Log[Part Name],$A47,T_SelfStock_Log[WeekIndex],20)=0,"",SUMIFS(T_SelfStock_Log[Self_Qty],T_SelfStock_Log[Part Name],$A47,T_SelfStock_Log[WeekIndex],20))</f>
        <v/>
      </c>
      <c r="V47" s="19">
        <f>IF(COUNTIFS(T_SelfStock_Log[Part Name],$A47,T_SelfStock_Log[WeekIndex],21)=0,"",SUMIFS(T_SelfStock_Log[Self_Qty],T_SelfStock_Log[Part Name],$A47,T_SelfStock_Log[WeekIndex],21))</f>
        <v/>
      </c>
      <c r="W47" s="19">
        <f>IF(COUNTIFS(T_SelfStock_Log[Part Name],$A47,T_SelfStock_Log[WeekIndex],22)=0,"",SUMIFS(T_SelfStock_Log[Self_Qty],T_SelfStock_Log[Part Name],$A47,T_SelfStock_Log[WeekIndex],22))</f>
        <v/>
      </c>
      <c r="X47" s="19">
        <f>IF(COUNTIFS(T_SelfStock_Log[Part Name],$A47,T_SelfStock_Log[WeekIndex],23)=0,"",SUMIFS(T_SelfStock_Log[Self_Qty],T_SelfStock_Log[Part Name],$A47,T_SelfStock_Log[WeekIndex],23))</f>
        <v/>
      </c>
      <c r="Y47" s="19">
        <f>IF(COUNTIFS(T_SelfStock_Log[Part Name],$A47,T_SelfStock_Log[WeekIndex],24)=0,"",SUMIFS(T_SelfStock_Log[Self_Qty],T_SelfStock_Log[Part Name],$A47,T_SelfStock_Log[WeekIndex],24))</f>
        <v/>
      </c>
      <c r="Z47" s="19">
        <f>IF(COUNTIFS(T_SelfStock_Log[Part Name],$A47,T_SelfStock_Log[WeekIndex],25)=0,"",SUMIFS(T_SelfStock_Log[Self_Qty],T_SelfStock_Log[Part Name],$A47,T_SelfStock_Log[WeekIndex],25))</f>
        <v/>
      </c>
      <c r="AA47" s="19">
        <f>IF(COUNTIFS(T_SelfStock_Log[Part Name],$A47,T_SelfStock_Log[WeekIndex],26)=0,"",SUMIFS(T_SelfStock_Log[Self_Qty],T_SelfStock_Log[Part Name],$A47,T_SelfStock_Log[WeekIndex],26))</f>
        <v/>
      </c>
      <c r="AB47" s="19">
        <f>IF(COUNTIFS(T_SelfStock_Log[Part Name],$A47,T_SelfStock_Log[WeekIndex],27)=0,"",SUMIFS(T_SelfStock_Log[Self_Qty],T_SelfStock_Log[Part Name],$A47,T_SelfStock_Log[WeekIndex],27))</f>
        <v/>
      </c>
      <c r="AC47" s="19">
        <f>IF(COUNTIFS(T_SelfStock_Log[Part Name],$A47,T_SelfStock_Log[WeekIndex],28)=0,"",SUMIFS(T_SelfStock_Log[Self_Qty],T_SelfStock_Log[Part Name],$A47,T_SelfStock_Log[WeekIndex],28))</f>
        <v/>
      </c>
      <c r="AD47" s="19">
        <f>IF(COUNTIFS(T_SelfStock_Log[Part Name],$A47,T_SelfStock_Log[WeekIndex],29)=0,"",SUMIFS(T_SelfStock_Log[Self_Qty],T_SelfStock_Log[Part Name],$A47,T_SelfStock_Log[WeekIndex],29))</f>
        <v/>
      </c>
      <c r="AE47" s="19">
        <f>IF(COUNTIFS(T_SelfStock_Log[Part Name],$A47,T_SelfStock_Log[WeekIndex],30)=0,"",SUMIFS(T_SelfStock_Log[Self_Qty],T_SelfStock_Log[Part Name],$A47,T_SelfStock_Log[WeekIndex],30))</f>
        <v/>
      </c>
      <c r="AF47" s="19">
        <f>IF(COUNTIFS(T_SelfStock_Log[Part Name],$A47,T_SelfStock_Log[WeekIndex],31)=0,"",SUMIFS(T_SelfStock_Log[Self_Qty],T_SelfStock_Log[Part Name],$A47,T_SelfStock_Log[WeekIndex],31))</f>
        <v/>
      </c>
      <c r="AG47" s="19">
        <f>IF(COUNTIFS(T_SelfStock_Log[Part Name],$A47,T_SelfStock_Log[WeekIndex],32)=0,"",SUMIFS(T_SelfStock_Log[Self_Qty],T_SelfStock_Log[Part Name],$A47,T_SelfStock_Log[WeekIndex],32))</f>
        <v/>
      </c>
      <c r="AH47" s="19">
        <f>IF(COUNTIFS(T_SelfStock_Log[Part Name],$A47,T_SelfStock_Log[WeekIndex],33)=0,"",SUMIFS(T_SelfStock_Log[Self_Qty],T_SelfStock_Log[Part Name],$A47,T_SelfStock_Log[WeekIndex],33))</f>
        <v/>
      </c>
      <c r="AI47" s="19">
        <f>IF(COUNTIFS(T_SelfStock_Log[Part Name],$A47,T_SelfStock_Log[WeekIndex],34)=0,"",SUMIFS(T_SelfStock_Log[Self_Qty],T_SelfStock_Log[Part Name],$A47,T_SelfStock_Log[WeekIndex],34))</f>
        <v/>
      </c>
      <c r="AJ47" s="19">
        <f>IF(COUNTIFS(T_SelfStock_Log[Part Name],$A47,T_SelfStock_Log[WeekIndex],35)=0,"",SUMIFS(T_SelfStock_Log[Self_Qty],T_SelfStock_Log[Part Name],$A47,T_SelfStock_Log[WeekIndex],35))</f>
        <v/>
      </c>
      <c r="AK47" s="19">
        <f>IF(COUNTIFS(T_SelfStock_Log[Part Name],$A47,T_SelfStock_Log[WeekIndex],36)=0,"",SUMIFS(T_SelfStock_Log[Self_Qty],T_SelfStock_Log[Part Name],$A47,T_SelfStock_Log[WeekIndex],36))</f>
        <v/>
      </c>
      <c r="AL47" s="19">
        <f>IF(COUNTIFS(T_SelfStock_Log[Part Name],$A47,T_SelfStock_Log[WeekIndex],37)=0,"",SUMIFS(T_SelfStock_Log[Self_Qty],T_SelfStock_Log[Part Name],$A47,T_SelfStock_Log[WeekIndex],37))</f>
        <v/>
      </c>
      <c r="AM47" s="19">
        <f>IF(COUNTIFS(T_SelfStock_Log[Part Name],$A47,T_SelfStock_Log[WeekIndex],38)=0,"",SUMIFS(T_SelfStock_Log[Self_Qty],T_SelfStock_Log[Part Name],$A47,T_SelfStock_Log[WeekIndex],38))</f>
        <v/>
      </c>
      <c r="AN47" s="19">
        <f>IF(COUNTIFS(T_SelfStock_Log[Part Name],$A47,T_SelfStock_Log[WeekIndex],39)=0,"",SUMIFS(T_SelfStock_Log[Self_Qty],T_SelfStock_Log[Part Name],$A47,T_SelfStock_Log[WeekIndex],39))</f>
        <v/>
      </c>
      <c r="AO47" s="19">
        <f>IF(COUNTIFS(T_SelfStock_Log[Part Name],$A47,T_SelfStock_Log[WeekIndex],40)=0,"",SUMIFS(T_SelfStock_Log[Self_Qty],T_SelfStock_Log[Part Name],$A47,T_SelfStock_Log[WeekIndex],40))</f>
        <v/>
      </c>
      <c r="AP47" s="19">
        <f>IF(COUNTIFS(T_SelfStock_Log[Part Name],$A47,T_SelfStock_Log[WeekIndex],41)=0,"",SUMIFS(T_SelfStock_Log[Self_Qty],T_SelfStock_Log[Part Name],$A47,T_SelfStock_Log[WeekIndex],41))</f>
        <v/>
      </c>
      <c r="AQ47" s="19">
        <f>IF(COUNTIFS(T_SelfStock_Log[Part Name],$A47,T_SelfStock_Log[WeekIndex],42)=0,"",SUMIFS(T_SelfStock_Log[Self_Qty],T_SelfStock_Log[Part Name],$A47,T_SelfStock_Log[WeekIndex],42))</f>
        <v/>
      </c>
      <c r="AR47" s="19">
        <f>IF(COUNTIFS(T_SelfStock_Log[Part Name],$A47,T_SelfStock_Log[WeekIndex],43)=0,"",SUMIFS(T_SelfStock_Log[Self_Qty],T_SelfStock_Log[Part Name],$A47,T_SelfStock_Log[WeekIndex],43))</f>
        <v/>
      </c>
      <c r="AS47" s="19">
        <f>IF(COUNTIFS(T_SelfStock_Log[Part Name],$A47,T_SelfStock_Log[WeekIndex],44)=0,"",SUMIFS(T_SelfStock_Log[Self_Qty],T_SelfStock_Log[Part Name],$A47,T_SelfStock_Log[WeekIndex],44))</f>
        <v/>
      </c>
      <c r="AT47" s="19">
        <f>IF(COUNTIFS(T_SelfStock_Log[Part Name],$A47,T_SelfStock_Log[WeekIndex],45)=0,"",SUMIFS(T_SelfStock_Log[Self_Qty],T_SelfStock_Log[Part Name],$A47,T_SelfStock_Log[WeekIndex],45))</f>
        <v/>
      </c>
      <c r="AU47" s="19">
        <f>IF(COUNTIFS(T_SelfStock_Log[Part Name],$A47,T_SelfStock_Log[WeekIndex],46)=0,"",SUMIFS(T_SelfStock_Log[Self_Qty],T_SelfStock_Log[Part Name],$A47,T_SelfStock_Log[WeekIndex],46))</f>
        <v/>
      </c>
      <c r="AV47" s="19">
        <f>IF(COUNTIFS(T_SelfStock_Log[Part Name],$A47,T_SelfStock_Log[WeekIndex],47)=0,"",SUMIFS(T_SelfStock_Log[Self_Qty],T_SelfStock_Log[Part Name],$A47,T_SelfStock_Log[WeekIndex],47))</f>
        <v/>
      </c>
      <c r="AW47" s="19">
        <f>IF(COUNTIFS(T_SelfStock_Log[Part Name],$A47,T_SelfStock_Log[WeekIndex],48)=0,"",SUMIFS(T_SelfStock_Log[Self_Qty],T_SelfStock_Log[Part Name],$A47,T_SelfStock_Log[WeekIndex],48))</f>
        <v/>
      </c>
      <c r="AX47" s="19">
        <f>IF(COUNTIFS(T_SelfStock_Log[Part Name],$A47,T_SelfStock_Log[WeekIndex],49)=0,"",SUMIFS(T_SelfStock_Log[Self_Qty],T_SelfStock_Log[Part Name],$A47,T_SelfStock_Log[WeekIndex],49))</f>
        <v/>
      </c>
      <c r="AY47" s="19">
        <f>IF(COUNTIFS(T_SelfStock_Log[Part Name],$A47,T_SelfStock_Log[WeekIndex],50)=0,"",SUMIFS(T_SelfStock_Log[Self_Qty],T_SelfStock_Log[Part Name],$A47,T_SelfStock_Log[WeekIndex],50))</f>
        <v/>
      </c>
      <c r="AZ47" s="19">
        <f>IF(COUNTIFS(T_SelfStock_Log[Part Name],$A47,T_SelfStock_Log[WeekIndex],51)=0,"",SUMIFS(T_SelfStock_Log[Self_Qty],T_SelfStock_Log[Part Name],$A47,T_SelfStock_Log[WeekIndex],51))</f>
        <v/>
      </c>
      <c r="BA47" s="19">
        <f>IF(COUNTIFS(T_SelfStock_Log[Part Name],$A47,T_SelfStock_Log[WeekIndex],52)=0,"",SUMIFS(T_SelfStock_Log[Self_Qty],T_SelfStock_Log[Part Name],$A47,T_SelfStock_Log[WeekIndex],52))</f>
        <v/>
      </c>
      <c r="BB47" s="19">
        <f>IF(COUNTIFS(T_SelfStock_Log[Part Name],$A47,T_SelfStock_Log[WeekIndex],53)=0,"",SUMIFS(T_SelfStock_Log[Self_Qty],T_SelfStock_Log[Part Name],$A47,T_SelfStock_Log[WeekIndex],53))</f>
        <v/>
      </c>
      <c r="BC47" s="19">
        <f>IF(COUNTIFS(T_SelfStock_Log[Part Name],$A47,T_SelfStock_Log[WeekIndex],54)=0,"",SUMIFS(T_SelfStock_Log[Self_Qty],T_SelfStock_Log[Part Name],$A47,T_SelfStock_Log[WeekIndex],54))</f>
        <v/>
      </c>
      <c r="BD47" s="19">
        <f>IF(COUNTIFS(T_SelfStock_Log[Part Name],$A47,T_SelfStock_Log[WeekIndex],55)=0,"",SUMIFS(T_SelfStock_Log[Self_Qty],T_SelfStock_Log[Part Name],$A47,T_SelfStock_Log[WeekIndex],55))</f>
        <v/>
      </c>
      <c r="BE47" s="19">
        <f>IF(COUNTIFS(T_SelfStock_Log[Part Name],$A47,T_SelfStock_Log[WeekIndex],56)=0,"",SUMIFS(T_SelfStock_Log[Self_Qty],T_SelfStock_Log[Part Name],$A47,T_SelfStock_Log[WeekIndex],56))</f>
        <v/>
      </c>
      <c r="BF47" s="19">
        <f>IF(COUNTIFS(T_SelfStock_Log[Part Name],$A47,T_SelfStock_Log[WeekIndex],57)=0,"",SUMIFS(T_SelfStock_Log[Self_Qty],T_SelfStock_Log[Part Name],$A47,T_SelfStock_Log[WeekIndex],57))</f>
        <v/>
      </c>
      <c r="BG47" s="19">
        <f>IF(COUNTIFS(T_SelfStock_Log[Part Name],$A47,T_SelfStock_Log[WeekIndex],58)=0,"",SUMIFS(T_SelfStock_Log[Self_Qty],T_SelfStock_Log[Part Name],$A47,T_SelfStock_Log[WeekIndex],58))</f>
        <v/>
      </c>
      <c r="BH47" s="19">
        <f>IF(COUNTIFS(T_SelfStock_Log[Part Name],$A47,T_SelfStock_Log[WeekIndex],59)=0,"",SUMIFS(T_SelfStock_Log[Self_Qty],T_SelfStock_Log[Part Name],$A47,T_SelfStock_Log[WeekIndex],59))</f>
        <v/>
      </c>
      <c r="BI47" s="19">
        <f>IF(COUNTIFS(T_SelfStock_Log[Part Name],$A47,T_SelfStock_Log[WeekIndex],60)=0,"",SUMIFS(T_SelfStock_Log[Self_Qty],T_SelfStock_Log[Part Name],$A47,T_SelfStock_Log[WeekIndex],60))</f>
        <v/>
      </c>
      <c r="BJ47" s="19">
        <f>IF(COUNTIFS(T_SelfStock_Log[Part Name],$A47,T_SelfStock_Log[WeekIndex],61)=0,"",SUMIFS(T_SelfStock_Log[Self_Qty],T_SelfStock_Log[Part Name],$A47,T_SelfStock_Log[WeekIndex],61))</f>
        <v/>
      </c>
      <c r="BK47" s="19">
        <f>IF(COUNTIFS(T_SelfStock_Log[Part Name],$A47,T_SelfStock_Log[WeekIndex],62)=0,"",SUMIFS(T_SelfStock_Log[Self_Qty],T_SelfStock_Log[Part Name],$A47,T_SelfStock_Log[WeekIndex],62))</f>
        <v/>
      </c>
      <c r="BL47" s="19">
        <f>IF(COUNTIFS(T_SelfStock_Log[Part Name],$A47,T_SelfStock_Log[WeekIndex],63)=0,"",SUMIFS(T_SelfStock_Log[Self_Qty],T_SelfStock_Log[Part Name],$A47,T_SelfStock_Log[WeekIndex],63))</f>
        <v/>
      </c>
      <c r="BM47" s="19">
        <f>IF(COUNTIFS(T_SelfStock_Log[Part Name],$A47,T_SelfStock_Log[WeekIndex],64)=0,"",SUMIFS(T_SelfStock_Log[Self_Qty],T_SelfStock_Log[Part Name],$A47,T_SelfStock_Log[WeekIndex],64))</f>
        <v/>
      </c>
      <c r="BN47" s="19">
        <f>IF(COUNTIFS(T_SelfStock_Log[Part Name],$A47,T_SelfStock_Log[WeekIndex],65)=0,"",SUMIFS(T_SelfStock_Log[Self_Qty],T_SelfStock_Log[Part Name],$A47,T_SelfStock_Log[WeekIndex],65))</f>
        <v/>
      </c>
      <c r="BO47" s="19">
        <f>IF(COUNTIFS(T_SelfStock_Log[Part Name],$A47,T_SelfStock_Log[WeekIndex],66)=0,"",SUMIFS(T_SelfStock_Log[Self_Qty],T_SelfStock_Log[Part Name],$A47,T_SelfStock_Log[WeekIndex],66))</f>
        <v/>
      </c>
      <c r="BP47" s="19">
        <f>IF(COUNTIFS(T_SelfStock_Log[Part Name],$A47,T_SelfStock_Log[WeekIndex],67)=0,"",SUMIFS(T_SelfStock_Log[Self_Qty],T_SelfStock_Log[Part Name],$A47,T_SelfStock_Log[WeekIndex],67))</f>
        <v/>
      </c>
      <c r="BQ47" s="19">
        <f>IF(COUNTIFS(T_SelfStock_Log[Part Name],$A47,T_SelfStock_Log[WeekIndex],68)=0,"",SUMIFS(T_SelfStock_Log[Self_Qty],T_SelfStock_Log[Part Name],$A47,T_SelfStock_Log[WeekIndex],68))</f>
        <v/>
      </c>
      <c r="BR47" s="19">
        <f>IF(COUNTIFS(T_SelfStock_Log[Part Name],$A47,T_SelfStock_Log[WeekIndex],69)=0,"",SUMIFS(T_SelfStock_Log[Self_Qty],T_SelfStock_Log[Part Name],$A47,T_SelfStock_Log[WeekIndex],69))</f>
        <v/>
      </c>
      <c r="BS47" s="19">
        <f>IF(COUNTIFS(T_SelfStock_Log[Part Name],$A47,T_SelfStock_Log[WeekIndex],70)=0,"",SUMIFS(T_SelfStock_Log[Self_Qty],T_SelfStock_Log[Part Name],$A47,T_SelfStock_Log[WeekIndex],70))</f>
        <v/>
      </c>
      <c r="BT47" s="19">
        <f>IF(COUNTIFS(T_SelfStock_Log[Part Name],$A47,T_SelfStock_Log[WeekIndex],71)=0,"",SUMIFS(T_SelfStock_Log[Self_Qty],T_SelfStock_Log[Part Name],$A47,T_SelfStock_Log[WeekIndex],71))</f>
        <v/>
      </c>
      <c r="BU47" s="19">
        <f>IF(COUNTIFS(T_SelfStock_Log[Part Name],$A47,T_SelfStock_Log[WeekIndex],72)=0,"",SUMIFS(T_SelfStock_Log[Self_Qty],T_SelfStock_Log[Part Name],$A47,T_SelfStock_Log[WeekIndex],72))</f>
        <v/>
      </c>
      <c r="BV47" s="19">
        <f>IF(COUNTIFS(T_SelfStock_Log[Part Name],$A47,T_SelfStock_Log[WeekIndex],73)=0,"",SUMIFS(T_SelfStock_Log[Self_Qty],T_SelfStock_Log[Part Name],$A47,T_SelfStock_Log[WeekIndex],73))</f>
        <v/>
      </c>
      <c r="BW47" s="19">
        <f>IF(COUNTIFS(T_SelfStock_Log[Part Name],$A47,T_SelfStock_Log[WeekIndex],74)=0,"",SUMIFS(T_SelfStock_Log[Self_Qty],T_SelfStock_Log[Part Name],$A47,T_SelfStock_Log[WeekIndex],74))</f>
        <v/>
      </c>
      <c r="BX47" s="19">
        <f>IF(COUNTIFS(T_SelfStock_Log[Part Name],$A47,T_SelfStock_Log[WeekIndex],75)=0,"",SUMIFS(T_SelfStock_Log[Self_Qty],T_SelfStock_Log[Part Name],$A47,T_SelfStock_Log[WeekIndex],75))</f>
        <v/>
      </c>
      <c r="BY47" s="19">
        <f>IF(COUNTIFS(T_SelfStock_Log[Part Name],$A47,T_SelfStock_Log[WeekIndex],76)=0,"",SUMIFS(T_SelfStock_Log[Self_Qty],T_SelfStock_Log[Part Name],$A47,T_SelfStock_Log[WeekIndex],76))</f>
        <v/>
      </c>
      <c r="BZ47" s="19">
        <f>IF(COUNTIFS(T_SelfStock_Log[Part Name],$A47,T_SelfStock_Log[WeekIndex],77)=0,"",SUMIFS(T_SelfStock_Log[Self_Qty],T_SelfStock_Log[Part Name],$A47,T_SelfStock_Log[WeekIndex],77))</f>
        <v/>
      </c>
      <c r="CA47" s="19">
        <f>IF(COUNTIFS(T_SelfStock_Log[Part Name],$A47,T_SelfStock_Log[WeekIndex],78)=0,"",SUMIFS(T_SelfStock_Log[Self_Qty],T_SelfStock_Log[Part Name],$A47,T_SelfStock_Log[WeekIndex],78))</f>
        <v/>
      </c>
      <c r="CB47" s="19">
        <f>IF(COUNTIFS(T_SelfStock_Log[Part Name],$A47,T_SelfStock_Log[WeekIndex],79)=0,"",SUMIFS(T_SelfStock_Log[Self_Qty],T_SelfStock_Log[Part Name],$A47,T_SelfStock_Log[WeekIndex],79))</f>
        <v/>
      </c>
      <c r="CC47" s="19">
        <f>IF(COUNTIFS(T_SelfStock_Log[Part Name],$A47,T_SelfStock_Log[WeekIndex],80)=0,"",SUMIFS(T_SelfStock_Log[Self_Qty],T_SelfStock_Log[Part Name],$A47,T_SelfStock_Log[WeekIndex],80))</f>
        <v/>
      </c>
      <c r="CD47" s="19">
        <f>IF(COUNTIFS(T_SelfStock_Log[Part Name],$A47,T_SelfStock_Log[WeekIndex],81)=0,"",SUMIFS(T_SelfStock_Log[Self_Qty],T_SelfStock_Log[Part Name],$A47,T_SelfStock_Log[WeekIndex],81))</f>
        <v/>
      </c>
      <c r="CE47" s="19">
        <f>IF(COUNTIFS(T_SelfStock_Log[Part Name],$A47,T_SelfStock_Log[WeekIndex],82)=0,"",SUMIFS(T_SelfStock_Log[Self_Qty],T_SelfStock_Log[Part Name],$A47,T_SelfStock_Log[WeekIndex],82))</f>
        <v/>
      </c>
      <c r="CF47" s="19">
        <f>IF(COUNTIFS(T_SelfStock_Log[Part Name],$A47,T_SelfStock_Log[WeekIndex],83)=0,"",SUMIFS(T_SelfStock_Log[Self_Qty],T_SelfStock_Log[Part Name],$A47,T_SelfStock_Log[WeekIndex],83))</f>
        <v/>
      </c>
      <c r="CG47" s="19">
        <f>IF(COUNTIFS(T_SelfStock_Log[Part Name],$A47,T_SelfStock_Log[WeekIndex],84)=0,"",SUMIFS(T_SelfStock_Log[Self_Qty],T_SelfStock_Log[Part Name],$A47,T_SelfStock_Log[WeekIndex],84))</f>
        <v/>
      </c>
      <c r="CH47" s="19">
        <f>IF(COUNTIFS(T_SelfStock_Log[Part Name],$A47,T_SelfStock_Log[WeekIndex],85)=0,"",SUMIFS(T_SelfStock_Log[Self_Qty],T_SelfStock_Log[Part Name],$A47,T_SelfStock_Log[WeekIndex],85))</f>
        <v/>
      </c>
      <c r="CI47" s="19">
        <f>IF(COUNTIFS(T_SelfStock_Log[Part Name],$A47,T_SelfStock_Log[WeekIndex],86)=0,"",SUMIFS(T_SelfStock_Log[Self_Qty],T_SelfStock_Log[Part Name],$A47,T_SelfStock_Log[WeekIndex],86))</f>
        <v/>
      </c>
      <c r="CJ47" s="19">
        <f>IF(COUNTIFS(T_SelfStock_Log[Part Name],$A47,T_SelfStock_Log[WeekIndex],87)=0,"",SUMIFS(T_SelfStock_Log[Self_Qty],T_SelfStock_Log[Part Name],$A47,T_SelfStock_Log[WeekIndex],87))</f>
        <v/>
      </c>
      <c r="CK47" s="19">
        <f>IF(COUNTIFS(T_SelfStock_Log[Part Name],$A47,T_SelfStock_Log[WeekIndex],88)=0,"",SUMIFS(T_SelfStock_Log[Self_Qty],T_SelfStock_Log[Part Name],$A47,T_SelfStock_Log[WeekIndex],88))</f>
        <v/>
      </c>
      <c r="CL47" s="19">
        <f>IF(COUNTIFS(T_SelfStock_Log[Part Name],$A47,T_SelfStock_Log[WeekIndex],89)=0,"",SUMIFS(T_SelfStock_Log[Self_Qty],T_SelfStock_Log[Part Name],$A47,T_SelfStock_Log[WeekIndex],89))</f>
        <v/>
      </c>
      <c r="CM47" s="19">
        <f>IF(COUNTIFS(T_SelfStock_Log[Part Name],$A47,T_SelfStock_Log[WeekIndex],90)=0,"",SUMIFS(T_SelfStock_Log[Self_Qty],T_SelfStock_Log[Part Name],$A47,T_SelfStock_Log[WeekIndex],90))</f>
        <v/>
      </c>
      <c r="CN47" s="19">
        <f>IF(COUNTIFS(T_SelfStock_Log[Part Name],$A47,T_SelfStock_Log[WeekIndex],91)=0,"",SUMIFS(T_SelfStock_Log[Self_Qty],T_SelfStock_Log[Part Name],$A47,T_SelfStock_Log[WeekIndex],91))</f>
        <v/>
      </c>
      <c r="CO47" s="19">
        <f>IF(COUNTIFS(T_SelfStock_Log[Part Name],$A47,T_SelfStock_Log[WeekIndex],92)=0,"",SUMIFS(T_SelfStock_Log[Self_Qty],T_SelfStock_Log[Part Name],$A47,T_SelfStock_Log[WeekIndex],92))</f>
        <v/>
      </c>
      <c r="CP47" s="19">
        <f>IF(COUNTIFS(T_SelfStock_Log[Part Name],$A47,T_SelfStock_Log[WeekIndex],93)=0,"",SUMIFS(T_SelfStock_Log[Self_Qty],T_SelfStock_Log[Part Name],$A47,T_SelfStock_Log[WeekIndex],93))</f>
        <v/>
      </c>
      <c r="CQ47" s="19">
        <f>IF(COUNTIFS(T_SelfStock_Log[Part Name],$A47,T_SelfStock_Log[WeekIndex],94)=0,"",SUMIFS(T_SelfStock_Log[Self_Qty],T_SelfStock_Log[Part Name],$A47,T_SelfStock_Log[WeekIndex],94))</f>
        <v/>
      </c>
      <c r="CR47" s="19">
        <f>IF(COUNTIFS(T_SelfStock_Log[Part Name],$A47,T_SelfStock_Log[WeekIndex],95)=0,"",SUMIFS(T_SelfStock_Log[Self_Qty],T_SelfStock_Log[Part Name],$A47,T_SelfStock_Log[WeekIndex],95))</f>
        <v/>
      </c>
      <c r="CS47" s="19">
        <f>IF(COUNTIFS(T_SelfStock_Log[Part Name],$A47,T_SelfStock_Log[WeekIndex],96)=0,"",SUMIFS(T_SelfStock_Log[Self_Qty],T_SelfStock_Log[Part Name],$A47,T_SelfStock_Log[WeekIndex],96))</f>
        <v/>
      </c>
      <c r="CT47" s="19">
        <f>IF(COUNTIFS(T_SelfStock_Log[Part Name],$A47,T_SelfStock_Log[WeekIndex],97)=0,"",SUMIFS(T_SelfStock_Log[Self_Qty],T_SelfStock_Log[Part Name],$A47,T_SelfStock_Log[WeekIndex],97))</f>
        <v/>
      </c>
      <c r="CU47" s="19">
        <f>IF(COUNTIFS(T_SelfStock_Log[Part Name],$A47,T_SelfStock_Log[WeekIndex],98)=0,"",SUMIFS(T_SelfStock_Log[Self_Qty],T_SelfStock_Log[Part Name],$A47,T_SelfStock_Log[WeekIndex],98))</f>
        <v/>
      </c>
      <c r="CV47" s="19">
        <f>IF(COUNTIFS(T_SelfStock_Log[Part Name],$A47,T_SelfStock_Log[WeekIndex],99)=0,"",SUMIFS(T_SelfStock_Log[Self_Qty],T_SelfStock_Log[Part Name],$A47,T_SelfStock_Log[WeekIndex],99))</f>
        <v/>
      </c>
      <c r="CW47" s="19">
        <f>IF(COUNTIFS(T_SelfStock_Log[Part Name],$A47,T_SelfStock_Log[WeekIndex],100)=0,"",SUMIFS(T_SelfStock_Log[Self_Qty],T_SelfStock_Log[Part Name],$A47,T_SelfStock_Log[WeekIndex],100))</f>
        <v/>
      </c>
      <c r="CX47" s="19">
        <f>IF(COUNTIFS(T_SelfStock_Log[Part Name],$A47,T_SelfStock_Log[WeekIndex],101)=0,"",SUMIFS(T_SelfStock_Log[Self_Qty],T_SelfStock_Log[Part Name],$A47,T_SelfStock_Log[WeekIndex],101))</f>
        <v/>
      </c>
      <c r="CY47" s="19">
        <f>IF(COUNTIFS(T_SelfStock_Log[Part Name],$A47,T_SelfStock_Log[WeekIndex],102)=0,"",SUMIFS(T_SelfStock_Log[Self_Qty],T_SelfStock_Log[Part Name],$A47,T_SelfStock_Log[WeekIndex],102))</f>
        <v/>
      </c>
      <c r="CZ47" s="19">
        <f>IF(COUNTIFS(T_SelfStock_Log[Part Name],$A47,T_SelfStock_Log[WeekIndex],103)=0,"",SUMIFS(T_SelfStock_Log[Self_Qty],T_SelfStock_Log[Part Name],$A47,T_SelfStock_Log[WeekIndex],103))</f>
        <v/>
      </c>
      <c r="DA47" s="19">
        <f>IF(COUNTIFS(T_SelfStock_Log[Part Name],$A47,T_SelfStock_Log[WeekIndex],104)=0,"",SUMIFS(T_SelfStock_Log[Self_Qty],T_SelfStock_Log[Part Name],$A47,T_SelfStock_Log[WeekIndex],104))</f>
        <v/>
      </c>
    </row>
    <row r="48">
      <c r="A48" s="17" t="inlineStr">
        <is>
          <t>CHEM-1570</t>
        </is>
      </c>
      <c r="B48" s="17">
        <f>IF(COUNTIFS(T_SelfStock_Log[Part Name],$A48,T_SelfStock_Log[WeekIndex],1)=0,"",SUMIFS(T_SelfStock_Log[Self_Qty],T_SelfStock_Log[Part Name],$A48,T_SelfStock_Log[WeekIndex],1))</f>
        <v/>
      </c>
      <c r="C48" s="17">
        <f>IF(COUNTIFS(T_SelfStock_Log[Part Name],$A48,T_SelfStock_Log[WeekIndex],2)=0,"",SUMIFS(T_SelfStock_Log[Self_Qty],T_SelfStock_Log[Part Name],$A48,T_SelfStock_Log[WeekIndex],2))</f>
        <v/>
      </c>
      <c r="D48" s="17">
        <f>IF(COUNTIFS(T_SelfStock_Log[Part Name],$A48,T_SelfStock_Log[WeekIndex],3)=0,"",SUMIFS(T_SelfStock_Log[Self_Qty],T_SelfStock_Log[Part Name],$A48,T_SelfStock_Log[WeekIndex],3))</f>
        <v/>
      </c>
      <c r="E48" s="17">
        <f>IF(COUNTIFS(T_SelfStock_Log[Part Name],$A48,T_SelfStock_Log[WeekIndex],4)=0,"",SUMIFS(T_SelfStock_Log[Self_Qty],T_SelfStock_Log[Part Name],$A48,T_SelfStock_Log[WeekIndex],4))</f>
        <v/>
      </c>
      <c r="F48" s="17">
        <f>IF(COUNTIFS(T_SelfStock_Log[Part Name],$A48,T_SelfStock_Log[WeekIndex],5)=0,"",SUMIFS(T_SelfStock_Log[Self_Qty],T_SelfStock_Log[Part Name],$A48,T_SelfStock_Log[WeekIndex],5))</f>
        <v/>
      </c>
      <c r="G48" s="17">
        <f>IF(COUNTIFS(T_SelfStock_Log[Part Name],$A48,T_SelfStock_Log[WeekIndex],6)=0,"",SUMIFS(T_SelfStock_Log[Self_Qty],T_SelfStock_Log[Part Name],$A48,T_SelfStock_Log[WeekIndex],6))</f>
        <v/>
      </c>
      <c r="H48" s="17">
        <f>IF(COUNTIFS(T_SelfStock_Log[Part Name],$A48,T_SelfStock_Log[WeekIndex],7)=0,"",SUMIFS(T_SelfStock_Log[Self_Qty],T_SelfStock_Log[Part Name],$A48,T_SelfStock_Log[WeekIndex],7))</f>
        <v/>
      </c>
      <c r="I48" s="17">
        <f>IF(COUNTIFS(T_SelfStock_Log[Part Name],$A48,T_SelfStock_Log[WeekIndex],8)=0,"",SUMIFS(T_SelfStock_Log[Self_Qty],T_SelfStock_Log[Part Name],$A48,T_SelfStock_Log[WeekIndex],8))</f>
        <v/>
      </c>
      <c r="J48" s="17">
        <f>IF(COUNTIFS(T_SelfStock_Log[Part Name],$A48,T_SelfStock_Log[WeekIndex],9)=0,"",SUMIFS(T_SelfStock_Log[Self_Qty],T_SelfStock_Log[Part Name],$A48,T_SelfStock_Log[WeekIndex],9))</f>
        <v/>
      </c>
      <c r="K48" s="17">
        <f>IF(COUNTIFS(T_SelfStock_Log[Part Name],$A48,T_SelfStock_Log[WeekIndex],10)=0,"",SUMIFS(T_SelfStock_Log[Self_Qty],T_SelfStock_Log[Part Name],$A48,T_SelfStock_Log[WeekIndex],10))</f>
        <v/>
      </c>
      <c r="L48" s="17">
        <f>IF(COUNTIFS(T_SelfStock_Log[Part Name],$A48,T_SelfStock_Log[WeekIndex],11)=0,"",SUMIFS(T_SelfStock_Log[Self_Qty],T_SelfStock_Log[Part Name],$A48,T_SelfStock_Log[WeekIndex],11))</f>
        <v/>
      </c>
      <c r="M48" s="17">
        <f>IF(COUNTIFS(T_SelfStock_Log[Part Name],$A48,T_SelfStock_Log[WeekIndex],12)=0,"",SUMIFS(T_SelfStock_Log[Self_Qty],T_SelfStock_Log[Part Name],$A48,T_SelfStock_Log[WeekIndex],12))</f>
        <v/>
      </c>
      <c r="N48" s="17">
        <f>IF(COUNTIFS(T_SelfStock_Log[Part Name],$A48,T_SelfStock_Log[WeekIndex],13)=0,"",SUMIFS(T_SelfStock_Log[Self_Qty],T_SelfStock_Log[Part Name],$A48,T_SelfStock_Log[WeekIndex],13))</f>
        <v/>
      </c>
      <c r="O48" s="17">
        <f>IF(COUNTIFS(T_SelfStock_Log[Part Name],$A48,T_SelfStock_Log[WeekIndex],14)=0,"",SUMIFS(T_SelfStock_Log[Self_Qty],T_SelfStock_Log[Part Name],$A48,T_SelfStock_Log[WeekIndex],14))</f>
        <v/>
      </c>
      <c r="P48" s="17">
        <f>IF(COUNTIFS(T_SelfStock_Log[Part Name],$A48,T_SelfStock_Log[WeekIndex],15)=0,"",SUMIFS(T_SelfStock_Log[Self_Qty],T_SelfStock_Log[Part Name],$A48,T_SelfStock_Log[WeekIndex],15))</f>
        <v/>
      </c>
      <c r="Q48" s="17">
        <f>IF(COUNTIFS(T_SelfStock_Log[Part Name],$A48,T_SelfStock_Log[WeekIndex],16)=0,"",SUMIFS(T_SelfStock_Log[Self_Qty],T_SelfStock_Log[Part Name],$A48,T_SelfStock_Log[WeekIndex],16))</f>
        <v/>
      </c>
      <c r="R48" s="17">
        <f>IF(COUNTIFS(T_SelfStock_Log[Part Name],$A48,T_SelfStock_Log[WeekIndex],17)=0,"",SUMIFS(T_SelfStock_Log[Self_Qty],T_SelfStock_Log[Part Name],$A48,T_SelfStock_Log[WeekIndex],17))</f>
        <v/>
      </c>
      <c r="S48" s="17">
        <f>IF(COUNTIFS(T_SelfStock_Log[Part Name],$A48,T_SelfStock_Log[WeekIndex],18)=0,"",SUMIFS(T_SelfStock_Log[Self_Qty],T_SelfStock_Log[Part Name],$A48,T_SelfStock_Log[WeekIndex],18))</f>
        <v/>
      </c>
      <c r="T48" s="17">
        <f>IF(COUNTIFS(T_SelfStock_Log[Part Name],$A48,T_SelfStock_Log[WeekIndex],19)=0,"",SUMIFS(T_SelfStock_Log[Self_Qty],T_SelfStock_Log[Part Name],$A48,T_SelfStock_Log[WeekIndex],19))</f>
        <v/>
      </c>
      <c r="U48" s="17">
        <f>IF(COUNTIFS(T_SelfStock_Log[Part Name],$A48,T_SelfStock_Log[WeekIndex],20)=0,"",SUMIFS(T_SelfStock_Log[Self_Qty],T_SelfStock_Log[Part Name],$A48,T_SelfStock_Log[WeekIndex],20))</f>
        <v/>
      </c>
      <c r="V48" s="17">
        <f>IF(COUNTIFS(T_SelfStock_Log[Part Name],$A48,T_SelfStock_Log[WeekIndex],21)=0,"",SUMIFS(T_SelfStock_Log[Self_Qty],T_SelfStock_Log[Part Name],$A48,T_SelfStock_Log[WeekIndex],21))</f>
        <v/>
      </c>
      <c r="W48" s="17">
        <f>IF(COUNTIFS(T_SelfStock_Log[Part Name],$A48,T_SelfStock_Log[WeekIndex],22)=0,"",SUMIFS(T_SelfStock_Log[Self_Qty],T_SelfStock_Log[Part Name],$A48,T_SelfStock_Log[WeekIndex],22))</f>
        <v/>
      </c>
      <c r="X48" s="17">
        <f>IF(COUNTIFS(T_SelfStock_Log[Part Name],$A48,T_SelfStock_Log[WeekIndex],23)=0,"",SUMIFS(T_SelfStock_Log[Self_Qty],T_SelfStock_Log[Part Name],$A48,T_SelfStock_Log[WeekIndex],23))</f>
        <v/>
      </c>
      <c r="Y48" s="17">
        <f>IF(COUNTIFS(T_SelfStock_Log[Part Name],$A48,T_SelfStock_Log[WeekIndex],24)=0,"",SUMIFS(T_SelfStock_Log[Self_Qty],T_SelfStock_Log[Part Name],$A48,T_SelfStock_Log[WeekIndex],24))</f>
        <v/>
      </c>
      <c r="Z48" s="17">
        <f>IF(COUNTIFS(T_SelfStock_Log[Part Name],$A48,T_SelfStock_Log[WeekIndex],25)=0,"",SUMIFS(T_SelfStock_Log[Self_Qty],T_SelfStock_Log[Part Name],$A48,T_SelfStock_Log[WeekIndex],25))</f>
        <v/>
      </c>
      <c r="AA48" s="17">
        <f>IF(COUNTIFS(T_SelfStock_Log[Part Name],$A48,T_SelfStock_Log[WeekIndex],26)=0,"",SUMIFS(T_SelfStock_Log[Self_Qty],T_SelfStock_Log[Part Name],$A48,T_SelfStock_Log[WeekIndex],26))</f>
        <v/>
      </c>
      <c r="AB48" s="17">
        <f>IF(COUNTIFS(T_SelfStock_Log[Part Name],$A48,T_SelfStock_Log[WeekIndex],27)=0,"",SUMIFS(T_SelfStock_Log[Self_Qty],T_SelfStock_Log[Part Name],$A48,T_SelfStock_Log[WeekIndex],27))</f>
        <v/>
      </c>
      <c r="AC48" s="17">
        <f>IF(COUNTIFS(T_SelfStock_Log[Part Name],$A48,T_SelfStock_Log[WeekIndex],28)=0,"",SUMIFS(T_SelfStock_Log[Self_Qty],T_SelfStock_Log[Part Name],$A48,T_SelfStock_Log[WeekIndex],28))</f>
        <v/>
      </c>
      <c r="AD48" s="17">
        <f>IF(COUNTIFS(T_SelfStock_Log[Part Name],$A48,T_SelfStock_Log[WeekIndex],29)=0,"",SUMIFS(T_SelfStock_Log[Self_Qty],T_SelfStock_Log[Part Name],$A48,T_SelfStock_Log[WeekIndex],29))</f>
        <v/>
      </c>
      <c r="AE48" s="17">
        <f>IF(COUNTIFS(T_SelfStock_Log[Part Name],$A48,T_SelfStock_Log[WeekIndex],30)=0,"",SUMIFS(T_SelfStock_Log[Self_Qty],T_SelfStock_Log[Part Name],$A48,T_SelfStock_Log[WeekIndex],30))</f>
        <v/>
      </c>
      <c r="AF48" s="17">
        <f>IF(COUNTIFS(T_SelfStock_Log[Part Name],$A48,T_SelfStock_Log[WeekIndex],31)=0,"",SUMIFS(T_SelfStock_Log[Self_Qty],T_SelfStock_Log[Part Name],$A48,T_SelfStock_Log[WeekIndex],31))</f>
        <v/>
      </c>
      <c r="AG48" s="17">
        <f>IF(COUNTIFS(T_SelfStock_Log[Part Name],$A48,T_SelfStock_Log[WeekIndex],32)=0,"",SUMIFS(T_SelfStock_Log[Self_Qty],T_SelfStock_Log[Part Name],$A48,T_SelfStock_Log[WeekIndex],32))</f>
        <v/>
      </c>
      <c r="AH48" s="17">
        <f>IF(COUNTIFS(T_SelfStock_Log[Part Name],$A48,T_SelfStock_Log[WeekIndex],33)=0,"",SUMIFS(T_SelfStock_Log[Self_Qty],T_SelfStock_Log[Part Name],$A48,T_SelfStock_Log[WeekIndex],33))</f>
        <v/>
      </c>
      <c r="AI48" s="17">
        <f>IF(COUNTIFS(T_SelfStock_Log[Part Name],$A48,T_SelfStock_Log[WeekIndex],34)=0,"",SUMIFS(T_SelfStock_Log[Self_Qty],T_SelfStock_Log[Part Name],$A48,T_SelfStock_Log[WeekIndex],34))</f>
        <v/>
      </c>
      <c r="AJ48" s="17">
        <f>IF(COUNTIFS(T_SelfStock_Log[Part Name],$A48,T_SelfStock_Log[WeekIndex],35)=0,"",SUMIFS(T_SelfStock_Log[Self_Qty],T_SelfStock_Log[Part Name],$A48,T_SelfStock_Log[WeekIndex],35))</f>
        <v/>
      </c>
      <c r="AK48" s="17">
        <f>IF(COUNTIFS(T_SelfStock_Log[Part Name],$A48,T_SelfStock_Log[WeekIndex],36)=0,"",SUMIFS(T_SelfStock_Log[Self_Qty],T_SelfStock_Log[Part Name],$A48,T_SelfStock_Log[WeekIndex],36))</f>
        <v/>
      </c>
      <c r="AL48" s="17">
        <f>IF(COUNTIFS(T_SelfStock_Log[Part Name],$A48,T_SelfStock_Log[WeekIndex],37)=0,"",SUMIFS(T_SelfStock_Log[Self_Qty],T_SelfStock_Log[Part Name],$A48,T_SelfStock_Log[WeekIndex],37))</f>
        <v/>
      </c>
      <c r="AM48" s="17">
        <f>IF(COUNTIFS(T_SelfStock_Log[Part Name],$A48,T_SelfStock_Log[WeekIndex],38)=0,"",SUMIFS(T_SelfStock_Log[Self_Qty],T_SelfStock_Log[Part Name],$A48,T_SelfStock_Log[WeekIndex],38))</f>
        <v/>
      </c>
      <c r="AN48" s="17">
        <f>IF(COUNTIFS(T_SelfStock_Log[Part Name],$A48,T_SelfStock_Log[WeekIndex],39)=0,"",SUMIFS(T_SelfStock_Log[Self_Qty],T_SelfStock_Log[Part Name],$A48,T_SelfStock_Log[WeekIndex],39))</f>
        <v/>
      </c>
      <c r="AO48" s="17">
        <f>IF(COUNTIFS(T_SelfStock_Log[Part Name],$A48,T_SelfStock_Log[WeekIndex],40)=0,"",SUMIFS(T_SelfStock_Log[Self_Qty],T_SelfStock_Log[Part Name],$A48,T_SelfStock_Log[WeekIndex],40))</f>
        <v/>
      </c>
      <c r="AP48" s="17">
        <f>IF(COUNTIFS(T_SelfStock_Log[Part Name],$A48,T_SelfStock_Log[WeekIndex],41)=0,"",SUMIFS(T_SelfStock_Log[Self_Qty],T_SelfStock_Log[Part Name],$A48,T_SelfStock_Log[WeekIndex],41))</f>
        <v/>
      </c>
      <c r="AQ48" s="17">
        <f>IF(COUNTIFS(T_SelfStock_Log[Part Name],$A48,T_SelfStock_Log[WeekIndex],42)=0,"",SUMIFS(T_SelfStock_Log[Self_Qty],T_SelfStock_Log[Part Name],$A48,T_SelfStock_Log[WeekIndex],42))</f>
        <v/>
      </c>
      <c r="AR48" s="17">
        <f>IF(COUNTIFS(T_SelfStock_Log[Part Name],$A48,T_SelfStock_Log[WeekIndex],43)=0,"",SUMIFS(T_SelfStock_Log[Self_Qty],T_SelfStock_Log[Part Name],$A48,T_SelfStock_Log[WeekIndex],43))</f>
        <v/>
      </c>
      <c r="AS48" s="17">
        <f>IF(COUNTIFS(T_SelfStock_Log[Part Name],$A48,T_SelfStock_Log[WeekIndex],44)=0,"",SUMIFS(T_SelfStock_Log[Self_Qty],T_SelfStock_Log[Part Name],$A48,T_SelfStock_Log[WeekIndex],44))</f>
        <v/>
      </c>
      <c r="AT48" s="17">
        <f>IF(COUNTIFS(T_SelfStock_Log[Part Name],$A48,T_SelfStock_Log[WeekIndex],45)=0,"",SUMIFS(T_SelfStock_Log[Self_Qty],T_SelfStock_Log[Part Name],$A48,T_SelfStock_Log[WeekIndex],45))</f>
        <v/>
      </c>
      <c r="AU48" s="17">
        <f>IF(COUNTIFS(T_SelfStock_Log[Part Name],$A48,T_SelfStock_Log[WeekIndex],46)=0,"",SUMIFS(T_SelfStock_Log[Self_Qty],T_SelfStock_Log[Part Name],$A48,T_SelfStock_Log[WeekIndex],46))</f>
        <v/>
      </c>
      <c r="AV48" s="17">
        <f>IF(COUNTIFS(T_SelfStock_Log[Part Name],$A48,T_SelfStock_Log[WeekIndex],47)=0,"",SUMIFS(T_SelfStock_Log[Self_Qty],T_SelfStock_Log[Part Name],$A48,T_SelfStock_Log[WeekIndex],47))</f>
        <v/>
      </c>
      <c r="AW48" s="17">
        <f>IF(COUNTIFS(T_SelfStock_Log[Part Name],$A48,T_SelfStock_Log[WeekIndex],48)=0,"",SUMIFS(T_SelfStock_Log[Self_Qty],T_SelfStock_Log[Part Name],$A48,T_SelfStock_Log[WeekIndex],48))</f>
        <v/>
      </c>
      <c r="AX48" s="17">
        <f>IF(COUNTIFS(T_SelfStock_Log[Part Name],$A48,T_SelfStock_Log[WeekIndex],49)=0,"",SUMIFS(T_SelfStock_Log[Self_Qty],T_SelfStock_Log[Part Name],$A48,T_SelfStock_Log[WeekIndex],49))</f>
        <v/>
      </c>
      <c r="AY48" s="17">
        <f>IF(COUNTIFS(T_SelfStock_Log[Part Name],$A48,T_SelfStock_Log[WeekIndex],50)=0,"",SUMIFS(T_SelfStock_Log[Self_Qty],T_SelfStock_Log[Part Name],$A48,T_SelfStock_Log[WeekIndex],50))</f>
        <v/>
      </c>
      <c r="AZ48" s="17">
        <f>IF(COUNTIFS(T_SelfStock_Log[Part Name],$A48,T_SelfStock_Log[WeekIndex],51)=0,"",SUMIFS(T_SelfStock_Log[Self_Qty],T_SelfStock_Log[Part Name],$A48,T_SelfStock_Log[WeekIndex],51))</f>
        <v/>
      </c>
      <c r="BA48" s="17">
        <f>IF(COUNTIFS(T_SelfStock_Log[Part Name],$A48,T_SelfStock_Log[WeekIndex],52)=0,"",SUMIFS(T_SelfStock_Log[Self_Qty],T_SelfStock_Log[Part Name],$A48,T_SelfStock_Log[WeekIndex],52))</f>
        <v/>
      </c>
      <c r="BB48" s="17">
        <f>IF(COUNTIFS(T_SelfStock_Log[Part Name],$A48,T_SelfStock_Log[WeekIndex],53)=0,"",SUMIFS(T_SelfStock_Log[Self_Qty],T_SelfStock_Log[Part Name],$A48,T_SelfStock_Log[WeekIndex],53))</f>
        <v/>
      </c>
      <c r="BC48" s="17">
        <f>IF(COUNTIFS(T_SelfStock_Log[Part Name],$A48,T_SelfStock_Log[WeekIndex],54)=0,"",SUMIFS(T_SelfStock_Log[Self_Qty],T_SelfStock_Log[Part Name],$A48,T_SelfStock_Log[WeekIndex],54))</f>
        <v/>
      </c>
      <c r="BD48" s="17">
        <f>IF(COUNTIFS(T_SelfStock_Log[Part Name],$A48,T_SelfStock_Log[WeekIndex],55)=0,"",SUMIFS(T_SelfStock_Log[Self_Qty],T_SelfStock_Log[Part Name],$A48,T_SelfStock_Log[WeekIndex],55))</f>
        <v/>
      </c>
      <c r="BE48" s="17">
        <f>IF(COUNTIFS(T_SelfStock_Log[Part Name],$A48,T_SelfStock_Log[WeekIndex],56)=0,"",SUMIFS(T_SelfStock_Log[Self_Qty],T_SelfStock_Log[Part Name],$A48,T_SelfStock_Log[WeekIndex],56))</f>
        <v/>
      </c>
      <c r="BF48" s="17">
        <f>IF(COUNTIFS(T_SelfStock_Log[Part Name],$A48,T_SelfStock_Log[WeekIndex],57)=0,"",SUMIFS(T_SelfStock_Log[Self_Qty],T_SelfStock_Log[Part Name],$A48,T_SelfStock_Log[WeekIndex],57))</f>
        <v/>
      </c>
      <c r="BG48" s="17">
        <f>IF(COUNTIFS(T_SelfStock_Log[Part Name],$A48,T_SelfStock_Log[WeekIndex],58)=0,"",SUMIFS(T_SelfStock_Log[Self_Qty],T_SelfStock_Log[Part Name],$A48,T_SelfStock_Log[WeekIndex],58))</f>
        <v/>
      </c>
      <c r="BH48" s="17">
        <f>IF(COUNTIFS(T_SelfStock_Log[Part Name],$A48,T_SelfStock_Log[WeekIndex],59)=0,"",SUMIFS(T_SelfStock_Log[Self_Qty],T_SelfStock_Log[Part Name],$A48,T_SelfStock_Log[WeekIndex],59))</f>
        <v/>
      </c>
      <c r="BI48" s="17">
        <f>IF(COUNTIFS(T_SelfStock_Log[Part Name],$A48,T_SelfStock_Log[WeekIndex],60)=0,"",SUMIFS(T_SelfStock_Log[Self_Qty],T_SelfStock_Log[Part Name],$A48,T_SelfStock_Log[WeekIndex],60))</f>
        <v/>
      </c>
      <c r="BJ48" s="17">
        <f>IF(COUNTIFS(T_SelfStock_Log[Part Name],$A48,T_SelfStock_Log[WeekIndex],61)=0,"",SUMIFS(T_SelfStock_Log[Self_Qty],T_SelfStock_Log[Part Name],$A48,T_SelfStock_Log[WeekIndex],61))</f>
        <v/>
      </c>
      <c r="BK48" s="17">
        <f>IF(COUNTIFS(T_SelfStock_Log[Part Name],$A48,T_SelfStock_Log[WeekIndex],62)=0,"",SUMIFS(T_SelfStock_Log[Self_Qty],T_SelfStock_Log[Part Name],$A48,T_SelfStock_Log[WeekIndex],62))</f>
        <v/>
      </c>
      <c r="BL48" s="17">
        <f>IF(COUNTIFS(T_SelfStock_Log[Part Name],$A48,T_SelfStock_Log[WeekIndex],63)=0,"",SUMIFS(T_SelfStock_Log[Self_Qty],T_SelfStock_Log[Part Name],$A48,T_SelfStock_Log[WeekIndex],63))</f>
        <v/>
      </c>
      <c r="BM48" s="17">
        <f>IF(COUNTIFS(T_SelfStock_Log[Part Name],$A48,T_SelfStock_Log[WeekIndex],64)=0,"",SUMIFS(T_SelfStock_Log[Self_Qty],T_SelfStock_Log[Part Name],$A48,T_SelfStock_Log[WeekIndex],64))</f>
        <v/>
      </c>
      <c r="BN48" s="17">
        <f>IF(COUNTIFS(T_SelfStock_Log[Part Name],$A48,T_SelfStock_Log[WeekIndex],65)=0,"",SUMIFS(T_SelfStock_Log[Self_Qty],T_SelfStock_Log[Part Name],$A48,T_SelfStock_Log[WeekIndex],65))</f>
        <v/>
      </c>
      <c r="BO48" s="17">
        <f>IF(COUNTIFS(T_SelfStock_Log[Part Name],$A48,T_SelfStock_Log[WeekIndex],66)=0,"",SUMIFS(T_SelfStock_Log[Self_Qty],T_SelfStock_Log[Part Name],$A48,T_SelfStock_Log[WeekIndex],66))</f>
        <v/>
      </c>
      <c r="BP48" s="17">
        <f>IF(COUNTIFS(T_SelfStock_Log[Part Name],$A48,T_SelfStock_Log[WeekIndex],67)=0,"",SUMIFS(T_SelfStock_Log[Self_Qty],T_SelfStock_Log[Part Name],$A48,T_SelfStock_Log[WeekIndex],67))</f>
        <v/>
      </c>
      <c r="BQ48" s="17">
        <f>IF(COUNTIFS(T_SelfStock_Log[Part Name],$A48,T_SelfStock_Log[WeekIndex],68)=0,"",SUMIFS(T_SelfStock_Log[Self_Qty],T_SelfStock_Log[Part Name],$A48,T_SelfStock_Log[WeekIndex],68))</f>
        <v/>
      </c>
      <c r="BR48" s="17">
        <f>IF(COUNTIFS(T_SelfStock_Log[Part Name],$A48,T_SelfStock_Log[WeekIndex],69)=0,"",SUMIFS(T_SelfStock_Log[Self_Qty],T_SelfStock_Log[Part Name],$A48,T_SelfStock_Log[WeekIndex],69))</f>
        <v/>
      </c>
      <c r="BS48" s="17">
        <f>IF(COUNTIFS(T_SelfStock_Log[Part Name],$A48,T_SelfStock_Log[WeekIndex],70)=0,"",SUMIFS(T_SelfStock_Log[Self_Qty],T_SelfStock_Log[Part Name],$A48,T_SelfStock_Log[WeekIndex],70))</f>
        <v/>
      </c>
      <c r="BT48" s="17">
        <f>IF(COUNTIFS(T_SelfStock_Log[Part Name],$A48,T_SelfStock_Log[WeekIndex],71)=0,"",SUMIFS(T_SelfStock_Log[Self_Qty],T_SelfStock_Log[Part Name],$A48,T_SelfStock_Log[WeekIndex],71))</f>
        <v/>
      </c>
      <c r="BU48" s="17">
        <f>IF(COUNTIFS(T_SelfStock_Log[Part Name],$A48,T_SelfStock_Log[WeekIndex],72)=0,"",SUMIFS(T_SelfStock_Log[Self_Qty],T_SelfStock_Log[Part Name],$A48,T_SelfStock_Log[WeekIndex],72))</f>
        <v/>
      </c>
      <c r="BV48" s="17">
        <f>IF(COUNTIFS(T_SelfStock_Log[Part Name],$A48,T_SelfStock_Log[WeekIndex],73)=0,"",SUMIFS(T_SelfStock_Log[Self_Qty],T_SelfStock_Log[Part Name],$A48,T_SelfStock_Log[WeekIndex],73))</f>
        <v/>
      </c>
      <c r="BW48" s="17">
        <f>IF(COUNTIFS(T_SelfStock_Log[Part Name],$A48,T_SelfStock_Log[WeekIndex],74)=0,"",SUMIFS(T_SelfStock_Log[Self_Qty],T_SelfStock_Log[Part Name],$A48,T_SelfStock_Log[WeekIndex],74))</f>
        <v/>
      </c>
      <c r="BX48" s="17">
        <f>IF(COUNTIFS(T_SelfStock_Log[Part Name],$A48,T_SelfStock_Log[WeekIndex],75)=0,"",SUMIFS(T_SelfStock_Log[Self_Qty],T_SelfStock_Log[Part Name],$A48,T_SelfStock_Log[WeekIndex],75))</f>
        <v/>
      </c>
      <c r="BY48" s="17">
        <f>IF(COUNTIFS(T_SelfStock_Log[Part Name],$A48,T_SelfStock_Log[WeekIndex],76)=0,"",SUMIFS(T_SelfStock_Log[Self_Qty],T_SelfStock_Log[Part Name],$A48,T_SelfStock_Log[WeekIndex],76))</f>
        <v/>
      </c>
      <c r="BZ48" s="17">
        <f>IF(COUNTIFS(T_SelfStock_Log[Part Name],$A48,T_SelfStock_Log[WeekIndex],77)=0,"",SUMIFS(T_SelfStock_Log[Self_Qty],T_SelfStock_Log[Part Name],$A48,T_SelfStock_Log[WeekIndex],77))</f>
        <v/>
      </c>
      <c r="CA48" s="17">
        <f>IF(COUNTIFS(T_SelfStock_Log[Part Name],$A48,T_SelfStock_Log[WeekIndex],78)=0,"",SUMIFS(T_SelfStock_Log[Self_Qty],T_SelfStock_Log[Part Name],$A48,T_SelfStock_Log[WeekIndex],78))</f>
        <v/>
      </c>
      <c r="CB48" s="17">
        <f>IF(COUNTIFS(T_SelfStock_Log[Part Name],$A48,T_SelfStock_Log[WeekIndex],79)=0,"",SUMIFS(T_SelfStock_Log[Self_Qty],T_SelfStock_Log[Part Name],$A48,T_SelfStock_Log[WeekIndex],79))</f>
        <v/>
      </c>
      <c r="CC48" s="17">
        <f>IF(COUNTIFS(T_SelfStock_Log[Part Name],$A48,T_SelfStock_Log[WeekIndex],80)=0,"",SUMIFS(T_SelfStock_Log[Self_Qty],T_SelfStock_Log[Part Name],$A48,T_SelfStock_Log[WeekIndex],80))</f>
        <v/>
      </c>
      <c r="CD48" s="17">
        <f>IF(COUNTIFS(T_SelfStock_Log[Part Name],$A48,T_SelfStock_Log[WeekIndex],81)=0,"",SUMIFS(T_SelfStock_Log[Self_Qty],T_SelfStock_Log[Part Name],$A48,T_SelfStock_Log[WeekIndex],81))</f>
        <v/>
      </c>
      <c r="CE48" s="17">
        <f>IF(COUNTIFS(T_SelfStock_Log[Part Name],$A48,T_SelfStock_Log[WeekIndex],82)=0,"",SUMIFS(T_SelfStock_Log[Self_Qty],T_SelfStock_Log[Part Name],$A48,T_SelfStock_Log[WeekIndex],82))</f>
        <v/>
      </c>
      <c r="CF48" s="17">
        <f>IF(COUNTIFS(T_SelfStock_Log[Part Name],$A48,T_SelfStock_Log[WeekIndex],83)=0,"",SUMIFS(T_SelfStock_Log[Self_Qty],T_SelfStock_Log[Part Name],$A48,T_SelfStock_Log[WeekIndex],83))</f>
        <v/>
      </c>
      <c r="CG48" s="17">
        <f>IF(COUNTIFS(T_SelfStock_Log[Part Name],$A48,T_SelfStock_Log[WeekIndex],84)=0,"",SUMIFS(T_SelfStock_Log[Self_Qty],T_SelfStock_Log[Part Name],$A48,T_SelfStock_Log[WeekIndex],84))</f>
        <v/>
      </c>
      <c r="CH48" s="17">
        <f>IF(COUNTIFS(T_SelfStock_Log[Part Name],$A48,T_SelfStock_Log[WeekIndex],85)=0,"",SUMIFS(T_SelfStock_Log[Self_Qty],T_SelfStock_Log[Part Name],$A48,T_SelfStock_Log[WeekIndex],85))</f>
        <v/>
      </c>
      <c r="CI48" s="17">
        <f>IF(COUNTIFS(T_SelfStock_Log[Part Name],$A48,T_SelfStock_Log[WeekIndex],86)=0,"",SUMIFS(T_SelfStock_Log[Self_Qty],T_SelfStock_Log[Part Name],$A48,T_SelfStock_Log[WeekIndex],86))</f>
        <v/>
      </c>
      <c r="CJ48" s="17">
        <f>IF(COUNTIFS(T_SelfStock_Log[Part Name],$A48,T_SelfStock_Log[WeekIndex],87)=0,"",SUMIFS(T_SelfStock_Log[Self_Qty],T_SelfStock_Log[Part Name],$A48,T_SelfStock_Log[WeekIndex],87))</f>
        <v/>
      </c>
      <c r="CK48" s="17">
        <f>IF(COUNTIFS(T_SelfStock_Log[Part Name],$A48,T_SelfStock_Log[WeekIndex],88)=0,"",SUMIFS(T_SelfStock_Log[Self_Qty],T_SelfStock_Log[Part Name],$A48,T_SelfStock_Log[WeekIndex],88))</f>
        <v/>
      </c>
      <c r="CL48" s="17">
        <f>IF(COUNTIFS(T_SelfStock_Log[Part Name],$A48,T_SelfStock_Log[WeekIndex],89)=0,"",SUMIFS(T_SelfStock_Log[Self_Qty],T_SelfStock_Log[Part Name],$A48,T_SelfStock_Log[WeekIndex],89))</f>
        <v/>
      </c>
      <c r="CM48" s="17">
        <f>IF(COUNTIFS(T_SelfStock_Log[Part Name],$A48,T_SelfStock_Log[WeekIndex],90)=0,"",SUMIFS(T_SelfStock_Log[Self_Qty],T_SelfStock_Log[Part Name],$A48,T_SelfStock_Log[WeekIndex],90))</f>
        <v/>
      </c>
      <c r="CN48" s="17">
        <f>IF(COUNTIFS(T_SelfStock_Log[Part Name],$A48,T_SelfStock_Log[WeekIndex],91)=0,"",SUMIFS(T_SelfStock_Log[Self_Qty],T_SelfStock_Log[Part Name],$A48,T_SelfStock_Log[WeekIndex],91))</f>
        <v/>
      </c>
      <c r="CO48" s="17">
        <f>IF(COUNTIFS(T_SelfStock_Log[Part Name],$A48,T_SelfStock_Log[WeekIndex],92)=0,"",SUMIFS(T_SelfStock_Log[Self_Qty],T_SelfStock_Log[Part Name],$A48,T_SelfStock_Log[WeekIndex],92))</f>
        <v/>
      </c>
      <c r="CP48" s="17">
        <f>IF(COUNTIFS(T_SelfStock_Log[Part Name],$A48,T_SelfStock_Log[WeekIndex],93)=0,"",SUMIFS(T_SelfStock_Log[Self_Qty],T_SelfStock_Log[Part Name],$A48,T_SelfStock_Log[WeekIndex],93))</f>
        <v/>
      </c>
      <c r="CQ48" s="17">
        <f>IF(COUNTIFS(T_SelfStock_Log[Part Name],$A48,T_SelfStock_Log[WeekIndex],94)=0,"",SUMIFS(T_SelfStock_Log[Self_Qty],T_SelfStock_Log[Part Name],$A48,T_SelfStock_Log[WeekIndex],94))</f>
        <v/>
      </c>
      <c r="CR48" s="17">
        <f>IF(COUNTIFS(T_SelfStock_Log[Part Name],$A48,T_SelfStock_Log[WeekIndex],95)=0,"",SUMIFS(T_SelfStock_Log[Self_Qty],T_SelfStock_Log[Part Name],$A48,T_SelfStock_Log[WeekIndex],95))</f>
        <v/>
      </c>
      <c r="CS48" s="17">
        <f>IF(COUNTIFS(T_SelfStock_Log[Part Name],$A48,T_SelfStock_Log[WeekIndex],96)=0,"",SUMIFS(T_SelfStock_Log[Self_Qty],T_SelfStock_Log[Part Name],$A48,T_SelfStock_Log[WeekIndex],96))</f>
        <v/>
      </c>
      <c r="CT48" s="17">
        <f>IF(COUNTIFS(T_SelfStock_Log[Part Name],$A48,T_SelfStock_Log[WeekIndex],97)=0,"",SUMIFS(T_SelfStock_Log[Self_Qty],T_SelfStock_Log[Part Name],$A48,T_SelfStock_Log[WeekIndex],97))</f>
        <v/>
      </c>
      <c r="CU48" s="17">
        <f>IF(COUNTIFS(T_SelfStock_Log[Part Name],$A48,T_SelfStock_Log[WeekIndex],98)=0,"",SUMIFS(T_SelfStock_Log[Self_Qty],T_SelfStock_Log[Part Name],$A48,T_SelfStock_Log[WeekIndex],98))</f>
        <v/>
      </c>
      <c r="CV48" s="17">
        <f>IF(COUNTIFS(T_SelfStock_Log[Part Name],$A48,T_SelfStock_Log[WeekIndex],99)=0,"",SUMIFS(T_SelfStock_Log[Self_Qty],T_SelfStock_Log[Part Name],$A48,T_SelfStock_Log[WeekIndex],99))</f>
        <v/>
      </c>
      <c r="CW48" s="17">
        <f>IF(COUNTIFS(T_SelfStock_Log[Part Name],$A48,T_SelfStock_Log[WeekIndex],100)=0,"",SUMIFS(T_SelfStock_Log[Self_Qty],T_SelfStock_Log[Part Name],$A48,T_SelfStock_Log[WeekIndex],100))</f>
        <v/>
      </c>
      <c r="CX48" s="17">
        <f>IF(COUNTIFS(T_SelfStock_Log[Part Name],$A48,T_SelfStock_Log[WeekIndex],101)=0,"",SUMIFS(T_SelfStock_Log[Self_Qty],T_SelfStock_Log[Part Name],$A48,T_SelfStock_Log[WeekIndex],101))</f>
        <v/>
      </c>
      <c r="CY48" s="17">
        <f>IF(COUNTIFS(T_SelfStock_Log[Part Name],$A48,T_SelfStock_Log[WeekIndex],102)=0,"",SUMIFS(T_SelfStock_Log[Self_Qty],T_SelfStock_Log[Part Name],$A48,T_SelfStock_Log[WeekIndex],102))</f>
        <v/>
      </c>
      <c r="CZ48" s="17">
        <f>IF(COUNTIFS(T_SelfStock_Log[Part Name],$A48,T_SelfStock_Log[WeekIndex],103)=0,"",SUMIFS(T_SelfStock_Log[Self_Qty],T_SelfStock_Log[Part Name],$A48,T_SelfStock_Log[WeekIndex],103))</f>
        <v/>
      </c>
      <c r="DA48" s="17">
        <f>IF(COUNTIFS(T_SelfStock_Log[Part Name],$A48,T_SelfStock_Log[WeekIndex],104)=0,"",SUMIFS(T_SelfStock_Log[Self_Qty],T_SelfStock_Log[Part Name],$A48,T_SelfStock_Log[WeekIndex],104))</f>
        <v/>
      </c>
    </row>
    <row r="49">
      <c r="A49" s="19" t="inlineStr">
        <is>
          <t>CHEM-1450</t>
        </is>
      </c>
      <c r="B49" s="19">
        <f>IF(COUNTIFS(T_SelfStock_Log[Part Name],$A49,T_SelfStock_Log[WeekIndex],1)=0,"",SUMIFS(T_SelfStock_Log[Self_Qty],T_SelfStock_Log[Part Name],$A49,T_SelfStock_Log[WeekIndex],1))</f>
        <v/>
      </c>
      <c r="C49" s="19">
        <f>IF(COUNTIFS(T_SelfStock_Log[Part Name],$A49,T_SelfStock_Log[WeekIndex],2)=0,"",SUMIFS(T_SelfStock_Log[Self_Qty],T_SelfStock_Log[Part Name],$A49,T_SelfStock_Log[WeekIndex],2))</f>
        <v/>
      </c>
      <c r="D49" s="19">
        <f>IF(COUNTIFS(T_SelfStock_Log[Part Name],$A49,T_SelfStock_Log[WeekIndex],3)=0,"",SUMIFS(T_SelfStock_Log[Self_Qty],T_SelfStock_Log[Part Name],$A49,T_SelfStock_Log[WeekIndex],3))</f>
        <v/>
      </c>
      <c r="E49" s="19">
        <f>IF(COUNTIFS(T_SelfStock_Log[Part Name],$A49,T_SelfStock_Log[WeekIndex],4)=0,"",SUMIFS(T_SelfStock_Log[Self_Qty],T_SelfStock_Log[Part Name],$A49,T_SelfStock_Log[WeekIndex],4))</f>
        <v/>
      </c>
      <c r="F49" s="19">
        <f>IF(COUNTIFS(T_SelfStock_Log[Part Name],$A49,T_SelfStock_Log[WeekIndex],5)=0,"",SUMIFS(T_SelfStock_Log[Self_Qty],T_SelfStock_Log[Part Name],$A49,T_SelfStock_Log[WeekIndex],5))</f>
        <v/>
      </c>
      <c r="G49" s="19">
        <f>IF(COUNTIFS(T_SelfStock_Log[Part Name],$A49,T_SelfStock_Log[WeekIndex],6)=0,"",SUMIFS(T_SelfStock_Log[Self_Qty],T_SelfStock_Log[Part Name],$A49,T_SelfStock_Log[WeekIndex],6))</f>
        <v/>
      </c>
      <c r="H49" s="19">
        <f>IF(COUNTIFS(T_SelfStock_Log[Part Name],$A49,T_SelfStock_Log[WeekIndex],7)=0,"",SUMIFS(T_SelfStock_Log[Self_Qty],T_SelfStock_Log[Part Name],$A49,T_SelfStock_Log[WeekIndex],7))</f>
        <v/>
      </c>
      <c r="I49" s="19">
        <f>IF(COUNTIFS(T_SelfStock_Log[Part Name],$A49,T_SelfStock_Log[WeekIndex],8)=0,"",SUMIFS(T_SelfStock_Log[Self_Qty],T_SelfStock_Log[Part Name],$A49,T_SelfStock_Log[WeekIndex],8))</f>
        <v/>
      </c>
      <c r="J49" s="19">
        <f>IF(COUNTIFS(T_SelfStock_Log[Part Name],$A49,T_SelfStock_Log[WeekIndex],9)=0,"",SUMIFS(T_SelfStock_Log[Self_Qty],T_SelfStock_Log[Part Name],$A49,T_SelfStock_Log[WeekIndex],9))</f>
        <v/>
      </c>
      <c r="K49" s="19">
        <f>IF(COUNTIFS(T_SelfStock_Log[Part Name],$A49,T_SelfStock_Log[WeekIndex],10)=0,"",SUMIFS(T_SelfStock_Log[Self_Qty],T_SelfStock_Log[Part Name],$A49,T_SelfStock_Log[WeekIndex],10))</f>
        <v/>
      </c>
      <c r="L49" s="19">
        <f>IF(COUNTIFS(T_SelfStock_Log[Part Name],$A49,T_SelfStock_Log[WeekIndex],11)=0,"",SUMIFS(T_SelfStock_Log[Self_Qty],T_SelfStock_Log[Part Name],$A49,T_SelfStock_Log[WeekIndex],11))</f>
        <v/>
      </c>
      <c r="M49" s="19">
        <f>IF(COUNTIFS(T_SelfStock_Log[Part Name],$A49,T_SelfStock_Log[WeekIndex],12)=0,"",SUMIFS(T_SelfStock_Log[Self_Qty],T_SelfStock_Log[Part Name],$A49,T_SelfStock_Log[WeekIndex],12))</f>
        <v/>
      </c>
      <c r="N49" s="19">
        <f>IF(COUNTIFS(T_SelfStock_Log[Part Name],$A49,T_SelfStock_Log[WeekIndex],13)=0,"",SUMIFS(T_SelfStock_Log[Self_Qty],T_SelfStock_Log[Part Name],$A49,T_SelfStock_Log[WeekIndex],13))</f>
        <v/>
      </c>
      <c r="O49" s="19">
        <f>IF(COUNTIFS(T_SelfStock_Log[Part Name],$A49,T_SelfStock_Log[WeekIndex],14)=0,"",SUMIFS(T_SelfStock_Log[Self_Qty],T_SelfStock_Log[Part Name],$A49,T_SelfStock_Log[WeekIndex],14))</f>
        <v/>
      </c>
      <c r="P49" s="19">
        <f>IF(COUNTIFS(T_SelfStock_Log[Part Name],$A49,T_SelfStock_Log[WeekIndex],15)=0,"",SUMIFS(T_SelfStock_Log[Self_Qty],T_SelfStock_Log[Part Name],$A49,T_SelfStock_Log[WeekIndex],15))</f>
        <v/>
      </c>
      <c r="Q49" s="19">
        <f>IF(COUNTIFS(T_SelfStock_Log[Part Name],$A49,T_SelfStock_Log[WeekIndex],16)=0,"",SUMIFS(T_SelfStock_Log[Self_Qty],T_SelfStock_Log[Part Name],$A49,T_SelfStock_Log[WeekIndex],16))</f>
        <v/>
      </c>
      <c r="R49" s="19">
        <f>IF(COUNTIFS(T_SelfStock_Log[Part Name],$A49,T_SelfStock_Log[WeekIndex],17)=0,"",SUMIFS(T_SelfStock_Log[Self_Qty],T_SelfStock_Log[Part Name],$A49,T_SelfStock_Log[WeekIndex],17))</f>
        <v/>
      </c>
      <c r="S49" s="19">
        <f>IF(COUNTIFS(T_SelfStock_Log[Part Name],$A49,T_SelfStock_Log[WeekIndex],18)=0,"",SUMIFS(T_SelfStock_Log[Self_Qty],T_SelfStock_Log[Part Name],$A49,T_SelfStock_Log[WeekIndex],18))</f>
        <v/>
      </c>
      <c r="T49" s="19">
        <f>IF(COUNTIFS(T_SelfStock_Log[Part Name],$A49,T_SelfStock_Log[WeekIndex],19)=0,"",SUMIFS(T_SelfStock_Log[Self_Qty],T_SelfStock_Log[Part Name],$A49,T_SelfStock_Log[WeekIndex],19))</f>
        <v/>
      </c>
      <c r="U49" s="19">
        <f>IF(COUNTIFS(T_SelfStock_Log[Part Name],$A49,T_SelfStock_Log[WeekIndex],20)=0,"",SUMIFS(T_SelfStock_Log[Self_Qty],T_SelfStock_Log[Part Name],$A49,T_SelfStock_Log[WeekIndex],20))</f>
        <v/>
      </c>
      <c r="V49" s="19">
        <f>IF(COUNTIFS(T_SelfStock_Log[Part Name],$A49,T_SelfStock_Log[WeekIndex],21)=0,"",SUMIFS(T_SelfStock_Log[Self_Qty],T_SelfStock_Log[Part Name],$A49,T_SelfStock_Log[WeekIndex],21))</f>
        <v/>
      </c>
      <c r="W49" s="19">
        <f>IF(COUNTIFS(T_SelfStock_Log[Part Name],$A49,T_SelfStock_Log[WeekIndex],22)=0,"",SUMIFS(T_SelfStock_Log[Self_Qty],T_SelfStock_Log[Part Name],$A49,T_SelfStock_Log[WeekIndex],22))</f>
        <v/>
      </c>
      <c r="X49" s="19">
        <f>IF(COUNTIFS(T_SelfStock_Log[Part Name],$A49,T_SelfStock_Log[WeekIndex],23)=0,"",SUMIFS(T_SelfStock_Log[Self_Qty],T_SelfStock_Log[Part Name],$A49,T_SelfStock_Log[WeekIndex],23))</f>
        <v/>
      </c>
      <c r="Y49" s="19">
        <f>IF(COUNTIFS(T_SelfStock_Log[Part Name],$A49,T_SelfStock_Log[WeekIndex],24)=0,"",SUMIFS(T_SelfStock_Log[Self_Qty],T_SelfStock_Log[Part Name],$A49,T_SelfStock_Log[WeekIndex],24))</f>
        <v/>
      </c>
      <c r="Z49" s="19">
        <f>IF(COUNTIFS(T_SelfStock_Log[Part Name],$A49,T_SelfStock_Log[WeekIndex],25)=0,"",SUMIFS(T_SelfStock_Log[Self_Qty],T_SelfStock_Log[Part Name],$A49,T_SelfStock_Log[WeekIndex],25))</f>
        <v/>
      </c>
      <c r="AA49" s="19">
        <f>IF(COUNTIFS(T_SelfStock_Log[Part Name],$A49,T_SelfStock_Log[WeekIndex],26)=0,"",SUMIFS(T_SelfStock_Log[Self_Qty],T_SelfStock_Log[Part Name],$A49,T_SelfStock_Log[WeekIndex],26))</f>
        <v/>
      </c>
      <c r="AB49" s="19">
        <f>IF(COUNTIFS(T_SelfStock_Log[Part Name],$A49,T_SelfStock_Log[WeekIndex],27)=0,"",SUMIFS(T_SelfStock_Log[Self_Qty],T_SelfStock_Log[Part Name],$A49,T_SelfStock_Log[WeekIndex],27))</f>
        <v/>
      </c>
      <c r="AC49" s="19">
        <f>IF(COUNTIFS(T_SelfStock_Log[Part Name],$A49,T_SelfStock_Log[WeekIndex],28)=0,"",SUMIFS(T_SelfStock_Log[Self_Qty],T_SelfStock_Log[Part Name],$A49,T_SelfStock_Log[WeekIndex],28))</f>
        <v/>
      </c>
      <c r="AD49" s="19">
        <f>IF(COUNTIFS(T_SelfStock_Log[Part Name],$A49,T_SelfStock_Log[WeekIndex],29)=0,"",SUMIFS(T_SelfStock_Log[Self_Qty],T_SelfStock_Log[Part Name],$A49,T_SelfStock_Log[WeekIndex],29))</f>
        <v/>
      </c>
      <c r="AE49" s="19">
        <f>IF(COUNTIFS(T_SelfStock_Log[Part Name],$A49,T_SelfStock_Log[WeekIndex],30)=0,"",SUMIFS(T_SelfStock_Log[Self_Qty],T_SelfStock_Log[Part Name],$A49,T_SelfStock_Log[WeekIndex],30))</f>
        <v/>
      </c>
      <c r="AF49" s="19">
        <f>IF(COUNTIFS(T_SelfStock_Log[Part Name],$A49,T_SelfStock_Log[WeekIndex],31)=0,"",SUMIFS(T_SelfStock_Log[Self_Qty],T_SelfStock_Log[Part Name],$A49,T_SelfStock_Log[WeekIndex],31))</f>
        <v/>
      </c>
      <c r="AG49" s="19">
        <f>IF(COUNTIFS(T_SelfStock_Log[Part Name],$A49,T_SelfStock_Log[WeekIndex],32)=0,"",SUMIFS(T_SelfStock_Log[Self_Qty],T_SelfStock_Log[Part Name],$A49,T_SelfStock_Log[WeekIndex],32))</f>
        <v/>
      </c>
      <c r="AH49" s="19">
        <f>IF(COUNTIFS(T_SelfStock_Log[Part Name],$A49,T_SelfStock_Log[WeekIndex],33)=0,"",SUMIFS(T_SelfStock_Log[Self_Qty],T_SelfStock_Log[Part Name],$A49,T_SelfStock_Log[WeekIndex],33))</f>
        <v/>
      </c>
      <c r="AI49" s="19">
        <f>IF(COUNTIFS(T_SelfStock_Log[Part Name],$A49,T_SelfStock_Log[WeekIndex],34)=0,"",SUMIFS(T_SelfStock_Log[Self_Qty],T_SelfStock_Log[Part Name],$A49,T_SelfStock_Log[WeekIndex],34))</f>
        <v/>
      </c>
      <c r="AJ49" s="19">
        <f>IF(COUNTIFS(T_SelfStock_Log[Part Name],$A49,T_SelfStock_Log[WeekIndex],35)=0,"",SUMIFS(T_SelfStock_Log[Self_Qty],T_SelfStock_Log[Part Name],$A49,T_SelfStock_Log[WeekIndex],35))</f>
        <v/>
      </c>
      <c r="AK49" s="19">
        <f>IF(COUNTIFS(T_SelfStock_Log[Part Name],$A49,T_SelfStock_Log[WeekIndex],36)=0,"",SUMIFS(T_SelfStock_Log[Self_Qty],T_SelfStock_Log[Part Name],$A49,T_SelfStock_Log[WeekIndex],36))</f>
        <v/>
      </c>
      <c r="AL49" s="19">
        <f>IF(COUNTIFS(T_SelfStock_Log[Part Name],$A49,T_SelfStock_Log[WeekIndex],37)=0,"",SUMIFS(T_SelfStock_Log[Self_Qty],T_SelfStock_Log[Part Name],$A49,T_SelfStock_Log[WeekIndex],37))</f>
        <v/>
      </c>
      <c r="AM49" s="19">
        <f>IF(COUNTIFS(T_SelfStock_Log[Part Name],$A49,T_SelfStock_Log[WeekIndex],38)=0,"",SUMIFS(T_SelfStock_Log[Self_Qty],T_SelfStock_Log[Part Name],$A49,T_SelfStock_Log[WeekIndex],38))</f>
        <v/>
      </c>
      <c r="AN49" s="19">
        <f>IF(COUNTIFS(T_SelfStock_Log[Part Name],$A49,T_SelfStock_Log[WeekIndex],39)=0,"",SUMIFS(T_SelfStock_Log[Self_Qty],T_SelfStock_Log[Part Name],$A49,T_SelfStock_Log[WeekIndex],39))</f>
        <v/>
      </c>
      <c r="AO49" s="19">
        <f>IF(COUNTIFS(T_SelfStock_Log[Part Name],$A49,T_SelfStock_Log[WeekIndex],40)=0,"",SUMIFS(T_SelfStock_Log[Self_Qty],T_SelfStock_Log[Part Name],$A49,T_SelfStock_Log[WeekIndex],40))</f>
        <v/>
      </c>
      <c r="AP49" s="19">
        <f>IF(COUNTIFS(T_SelfStock_Log[Part Name],$A49,T_SelfStock_Log[WeekIndex],41)=0,"",SUMIFS(T_SelfStock_Log[Self_Qty],T_SelfStock_Log[Part Name],$A49,T_SelfStock_Log[WeekIndex],41))</f>
        <v/>
      </c>
      <c r="AQ49" s="19">
        <f>IF(COUNTIFS(T_SelfStock_Log[Part Name],$A49,T_SelfStock_Log[WeekIndex],42)=0,"",SUMIFS(T_SelfStock_Log[Self_Qty],T_SelfStock_Log[Part Name],$A49,T_SelfStock_Log[WeekIndex],42))</f>
        <v/>
      </c>
      <c r="AR49" s="19">
        <f>IF(COUNTIFS(T_SelfStock_Log[Part Name],$A49,T_SelfStock_Log[WeekIndex],43)=0,"",SUMIFS(T_SelfStock_Log[Self_Qty],T_SelfStock_Log[Part Name],$A49,T_SelfStock_Log[WeekIndex],43))</f>
        <v/>
      </c>
      <c r="AS49" s="19">
        <f>IF(COUNTIFS(T_SelfStock_Log[Part Name],$A49,T_SelfStock_Log[WeekIndex],44)=0,"",SUMIFS(T_SelfStock_Log[Self_Qty],T_SelfStock_Log[Part Name],$A49,T_SelfStock_Log[WeekIndex],44))</f>
        <v/>
      </c>
      <c r="AT49" s="19">
        <f>IF(COUNTIFS(T_SelfStock_Log[Part Name],$A49,T_SelfStock_Log[WeekIndex],45)=0,"",SUMIFS(T_SelfStock_Log[Self_Qty],T_SelfStock_Log[Part Name],$A49,T_SelfStock_Log[WeekIndex],45))</f>
        <v/>
      </c>
      <c r="AU49" s="19">
        <f>IF(COUNTIFS(T_SelfStock_Log[Part Name],$A49,T_SelfStock_Log[WeekIndex],46)=0,"",SUMIFS(T_SelfStock_Log[Self_Qty],T_SelfStock_Log[Part Name],$A49,T_SelfStock_Log[WeekIndex],46))</f>
        <v/>
      </c>
      <c r="AV49" s="19">
        <f>IF(COUNTIFS(T_SelfStock_Log[Part Name],$A49,T_SelfStock_Log[WeekIndex],47)=0,"",SUMIFS(T_SelfStock_Log[Self_Qty],T_SelfStock_Log[Part Name],$A49,T_SelfStock_Log[WeekIndex],47))</f>
        <v/>
      </c>
      <c r="AW49" s="19">
        <f>IF(COUNTIFS(T_SelfStock_Log[Part Name],$A49,T_SelfStock_Log[WeekIndex],48)=0,"",SUMIFS(T_SelfStock_Log[Self_Qty],T_SelfStock_Log[Part Name],$A49,T_SelfStock_Log[WeekIndex],48))</f>
        <v/>
      </c>
      <c r="AX49" s="19">
        <f>IF(COUNTIFS(T_SelfStock_Log[Part Name],$A49,T_SelfStock_Log[WeekIndex],49)=0,"",SUMIFS(T_SelfStock_Log[Self_Qty],T_SelfStock_Log[Part Name],$A49,T_SelfStock_Log[WeekIndex],49))</f>
        <v/>
      </c>
      <c r="AY49" s="19">
        <f>IF(COUNTIFS(T_SelfStock_Log[Part Name],$A49,T_SelfStock_Log[WeekIndex],50)=0,"",SUMIFS(T_SelfStock_Log[Self_Qty],T_SelfStock_Log[Part Name],$A49,T_SelfStock_Log[WeekIndex],50))</f>
        <v/>
      </c>
      <c r="AZ49" s="19">
        <f>IF(COUNTIFS(T_SelfStock_Log[Part Name],$A49,T_SelfStock_Log[WeekIndex],51)=0,"",SUMIFS(T_SelfStock_Log[Self_Qty],T_SelfStock_Log[Part Name],$A49,T_SelfStock_Log[WeekIndex],51))</f>
        <v/>
      </c>
      <c r="BA49" s="19">
        <f>IF(COUNTIFS(T_SelfStock_Log[Part Name],$A49,T_SelfStock_Log[WeekIndex],52)=0,"",SUMIFS(T_SelfStock_Log[Self_Qty],T_SelfStock_Log[Part Name],$A49,T_SelfStock_Log[WeekIndex],52))</f>
        <v/>
      </c>
      <c r="BB49" s="19">
        <f>IF(COUNTIFS(T_SelfStock_Log[Part Name],$A49,T_SelfStock_Log[WeekIndex],53)=0,"",SUMIFS(T_SelfStock_Log[Self_Qty],T_SelfStock_Log[Part Name],$A49,T_SelfStock_Log[WeekIndex],53))</f>
        <v/>
      </c>
      <c r="BC49" s="19">
        <f>IF(COUNTIFS(T_SelfStock_Log[Part Name],$A49,T_SelfStock_Log[WeekIndex],54)=0,"",SUMIFS(T_SelfStock_Log[Self_Qty],T_SelfStock_Log[Part Name],$A49,T_SelfStock_Log[WeekIndex],54))</f>
        <v/>
      </c>
      <c r="BD49" s="19">
        <f>IF(COUNTIFS(T_SelfStock_Log[Part Name],$A49,T_SelfStock_Log[WeekIndex],55)=0,"",SUMIFS(T_SelfStock_Log[Self_Qty],T_SelfStock_Log[Part Name],$A49,T_SelfStock_Log[WeekIndex],55))</f>
        <v/>
      </c>
      <c r="BE49" s="19">
        <f>IF(COUNTIFS(T_SelfStock_Log[Part Name],$A49,T_SelfStock_Log[WeekIndex],56)=0,"",SUMIFS(T_SelfStock_Log[Self_Qty],T_SelfStock_Log[Part Name],$A49,T_SelfStock_Log[WeekIndex],56))</f>
        <v/>
      </c>
      <c r="BF49" s="19">
        <f>IF(COUNTIFS(T_SelfStock_Log[Part Name],$A49,T_SelfStock_Log[WeekIndex],57)=0,"",SUMIFS(T_SelfStock_Log[Self_Qty],T_SelfStock_Log[Part Name],$A49,T_SelfStock_Log[WeekIndex],57))</f>
        <v/>
      </c>
      <c r="BG49" s="19">
        <f>IF(COUNTIFS(T_SelfStock_Log[Part Name],$A49,T_SelfStock_Log[WeekIndex],58)=0,"",SUMIFS(T_SelfStock_Log[Self_Qty],T_SelfStock_Log[Part Name],$A49,T_SelfStock_Log[WeekIndex],58))</f>
        <v/>
      </c>
      <c r="BH49" s="19">
        <f>IF(COUNTIFS(T_SelfStock_Log[Part Name],$A49,T_SelfStock_Log[WeekIndex],59)=0,"",SUMIFS(T_SelfStock_Log[Self_Qty],T_SelfStock_Log[Part Name],$A49,T_SelfStock_Log[WeekIndex],59))</f>
        <v/>
      </c>
      <c r="BI49" s="19">
        <f>IF(COUNTIFS(T_SelfStock_Log[Part Name],$A49,T_SelfStock_Log[WeekIndex],60)=0,"",SUMIFS(T_SelfStock_Log[Self_Qty],T_SelfStock_Log[Part Name],$A49,T_SelfStock_Log[WeekIndex],60))</f>
        <v/>
      </c>
      <c r="BJ49" s="19">
        <f>IF(COUNTIFS(T_SelfStock_Log[Part Name],$A49,T_SelfStock_Log[WeekIndex],61)=0,"",SUMIFS(T_SelfStock_Log[Self_Qty],T_SelfStock_Log[Part Name],$A49,T_SelfStock_Log[WeekIndex],61))</f>
        <v/>
      </c>
      <c r="BK49" s="19">
        <f>IF(COUNTIFS(T_SelfStock_Log[Part Name],$A49,T_SelfStock_Log[WeekIndex],62)=0,"",SUMIFS(T_SelfStock_Log[Self_Qty],T_SelfStock_Log[Part Name],$A49,T_SelfStock_Log[WeekIndex],62))</f>
        <v/>
      </c>
      <c r="BL49" s="19">
        <f>IF(COUNTIFS(T_SelfStock_Log[Part Name],$A49,T_SelfStock_Log[WeekIndex],63)=0,"",SUMIFS(T_SelfStock_Log[Self_Qty],T_SelfStock_Log[Part Name],$A49,T_SelfStock_Log[WeekIndex],63))</f>
        <v/>
      </c>
      <c r="BM49" s="19">
        <f>IF(COUNTIFS(T_SelfStock_Log[Part Name],$A49,T_SelfStock_Log[WeekIndex],64)=0,"",SUMIFS(T_SelfStock_Log[Self_Qty],T_SelfStock_Log[Part Name],$A49,T_SelfStock_Log[WeekIndex],64))</f>
        <v/>
      </c>
      <c r="BN49" s="19">
        <f>IF(COUNTIFS(T_SelfStock_Log[Part Name],$A49,T_SelfStock_Log[WeekIndex],65)=0,"",SUMIFS(T_SelfStock_Log[Self_Qty],T_SelfStock_Log[Part Name],$A49,T_SelfStock_Log[WeekIndex],65))</f>
        <v/>
      </c>
      <c r="BO49" s="19">
        <f>IF(COUNTIFS(T_SelfStock_Log[Part Name],$A49,T_SelfStock_Log[WeekIndex],66)=0,"",SUMIFS(T_SelfStock_Log[Self_Qty],T_SelfStock_Log[Part Name],$A49,T_SelfStock_Log[WeekIndex],66))</f>
        <v/>
      </c>
      <c r="BP49" s="19">
        <f>IF(COUNTIFS(T_SelfStock_Log[Part Name],$A49,T_SelfStock_Log[WeekIndex],67)=0,"",SUMIFS(T_SelfStock_Log[Self_Qty],T_SelfStock_Log[Part Name],$A49,T_SelfStock_Log[WeekIndex],67))</f>
        <v/>
      </c>
      <c r="BQ49" s="19">
        <f>IF(COUNTIFS(T_SelfStock_Log[Part Name],$A49,T_SelfStock_Log[WeekIndex],68)=0,"",SUMIFS(T_SelfStock_Log[Self_Qty],T_SelfStock_Log[Part Name],$A49,T_SelfStock_Log[WeekIndex],68))</f>
        <v/>
      </c>
      <c r="BR49" s="19">
        <f>IF(COUNTIFS(T_SelfStock_Log[Part Name],$A49,T_SelfStock_Log[WeekIndex],69)=0,"",SUMIFS(T_SelfStock_Log[Self_Qty],T_SelfStock_Log[Part Name],$A49,T_SelfStock_Log[WeekIndex],69))</f>
        <v/>
      </c>
      <c r="BS49" s="19">
        <f>IF(COUNTIFS(T_SelfStock_Log[Part Name],$A49,T_SelfStock_Log[WeekIndex],70)=0,"",SUMIFS(T_SelfStock_Log[Self_Qty],T_SelfStock_Log[Part Name],$A49,T_SelfStock_Log[WeekIndex],70))</f>
        <v/>
      </c>
      <c r="BT49" s="19">
        <f>IF(COUNTIFS(T_SelfStock_Log[Part Name],$A49,T_SelfStock_Log[WeekIndex],71)=0,"",SUMIFS(T_SelfStock_Log[Self_Qty],T_SelfStock_Log[Part Name],$A49,T_SelfStock_Log[WeekIndex],71))</f>
        <v/>
      </c>
      <c r="BU49" s="19">
        <f>IF(COUNTIFS(T_SelfStock_Log[Part Name],$A49,T_SelfStock_Log[WeekIndex],72)=0,"",SUMIFS(T_SelfStock_Log[Self_Qty],T_SelfStock_Log[Part Name],$A49,T_SelfStock_Log[WeekIndex],72))</f>
        <v/>
      </c>
      <c r="BV49" s="19">
        <f>IF(COUNTIFS(T_SelfStock_Log[Part Name],$A49,T_SelfStock_Log[WeekIndex],73)=0,"",SUMIFS(T_SelfStock_Log[Self_Qty],T_SelfStock_Log[Part Name],$A49,T_SelfStock_Log[WeekIndex],73))</f>
        <v/>
      </c>
      <c r="BW49" s="19">
        <f>IF(COUNTIFS(T_SelfStock_Log[Part Name],$A49,T_SelfStock_Log[WeekIndex],74)=0,"",SUMIFS(T_SelfStock_Log[Self_Qty],T_SelfStock_Log[Part Name],$A49,T_SelfStock_Log[WeekIndex],74))</f>
        <v/>
      </c>
      <c r="BX49" s="19">
        <f>IF(COUNTIFS(T_SelfStock_Log[Part Name],$A49,T_SelfStock_Log[WeekIndex],75)=0,"",SUMIFS(T_SelfStock_Log[Self_Qty],T_SelfStock_Log[Part Name],$A49,T_SelfStock_Log[WeekIndex],75))</f>
        <v/>
      </c>
      <c r="BY49" s="19">
        <f>IF(COUNTIFS(T_SelfStock_Log[Part Name],$A49,T_SelfStock_Log[WeekIndex],76)=0,"",SUMIFS(T_SelfStock_Log[Self_Qty],T_SelfStock_Log[Part Name],$A49,T_SelfStock_Log[WeekIndex],76))</f>
        <v/>
      </c>
      <c r="BZ49" s="19">
        <f>IF(COUNTIFS(T_SelfStock_Log[Part Name],$A49,T_SelfStock_Log[WeekIndex],77)=0,"",SUMIFS(T_SelfStock_Log[Self_Qty],T_SelfStock_Log[Part Name],$A49,T_SelfStock_Log[WeekIndex],77))</f>
        <v/>
      </c>
      <c r="CA49" s="19">
        <f>IF(COUNTIFS(T_SelfStock_Log[Part Name],$A49,T_SelfStock_Log[WeekIndex],78)=0,"",SUMIFS(T_SelfStock_Log[Self_Qty],T_SelfStock_Log[Part Name],$A49,T_SelfStock_Log[WeekIndex],78))</f>
        <v/>
      </c>
      <c r="CB49" s="19">
        <f>IF(COUNTIFS(T_SelfStock_Log[Part Name],$A49,T_SelfStock_Log[WeekIndex],79)=0,"",SUMIFS(T_SelfStock_Log[Self_Qty],T_SelfStock_Log[Part Name],$A49,T_SelfStock_Log[WeekIndex],79))</f>
        <v/>
      </c>
      <c r="CC49" s="19">
        <f>IF(COUNTIFS(T_SelfStock_Log[Part Name],$A49,T_SelfStock_Log[WeekIndex],80)=0,"",SUMIFS(T_SelfStock_Log[Self_Qty],T_SelfStock_Log[Part Name],$A49,T_SelfStock_Log[WeekIndex],80))</f>
        <v/>
      </c>
      <c r="CD49" s="19">
        <f>IF(COUNTIFS(T_SelfStock_Log[Part Name],$A49,T_SelfStock_Log[WeekIndex],81)=0,"",SUMIFS(T_SelfStock_Log[Self_Qty],T_SelfStock_Log[Part Name],$A49,T_SelfStock_Log[WeekIndex],81))</f>
        <v/>
      </c>
      <c r="CE49" s="19">
        <f>IF(COUNTIFS(T_SelfStock_Log[Part Name],$A49,T_SelfStock_Log[WeekIndex],82)=0,"",SUMIFS(T_SelfStock_Log[Self_Qty],T_SelfStock_Log[Part Name],$A49,T_SelfStock_Log[WeekIndex],82))</f>
        <v/>
      </c>
      <c r="CF49" s="19">
        <f>IF(COUNTIFS(T_SelfStock_Log[Part Name],$A49,T_SelfStock_Log[WeekIndex],83)=0,"",SUMIFS(T_SelfStock_Log[Self_Qty],T_SelfStock_Log[Part Name],$A49,T_SelfStock_Log[WeekIndex],83))</f>
        <v/>
      </c>
      <c r="CG49" s="19">
        <f>IF(COUNTIFS(T_SelfStock_Log[Part Name],$A49,T_SelfStock_Log[WeekIndex],84)=0,"",SUMIFS(T_SelfStock_Log[Self_Qty],T_SelfStock_Log[Part Name],$A49,T_SelfStock_Log[WeekIndex],84))</f>
        <v/>
      </c>
      <c r="CH49" s="19">
        <f>IF(COUNTIFS(T_SelfStock_Log[Part Name],$A49,T_SelfStock_Log[WeekIndex],85)=0,"",SUMIFS(T_SelfStock_Log[Self_Qty],T_SelfStock_Log[Part Name],$A49,T_SelfStock_Log[WeekIndex],85))</f>
        <v/>
      </c>
      <c r="CI49" s="19">
        <f>IF(COUNTIFS(T_SelfStock_Log[Part Name],$A49,T_SelfStock_Log[WeekIndex],86)=0,"",SUMIFS(T_SelfStock_Log[Self_Qty],T_SelfStock_Log[Part Name],$A49,T_SelfStock_Log[WeekIndex],86))</f>
        <v/>
      </c>
      <c r="CJ49" s="19">
        <f>IF(COUNTIFS(T_SelfStock_Log[Part Name],$A49,T_SelfStock_Log[WeekIndex],87)=0,"",SUMIFS(T_SelfStock_Log[Self_Qty],T_SelfStock_Log[Part Name],$A49,T_SelfStock_Log[WeekIndex],87))</f>
        <v/>
      </c>
      <c r="CK49" s="19">
        <f>IF(COUNTIFS(T_SelfStock_Log[Part Name],$A49,T_SelfStock_Log[WeekIndex],88)=0,"",SUMIFS(T_SelfStock_Log[Self_Qty],T_SelfStock_Log[Part Name],$A49,T_SelfStock_Log[WeekIndex],88))</f>
        <v/>
      </c>
      <c r="CL49" s="19">
        <f>IF(COUNTIFS(T_SelfStock_Log[Part Name],$A49,T_SelfStock_Log[WeekIndex],89)=0,"",SUMIFS(T_SelfStock_Log[Self_Qty],T_SelfStock_Log[Part Name],$A49,T_SelfStock_Log[WeekIndex],89))</f>
        <v/>
      </c>
      <c r="CM49" s="19">
        <f>IF(COUNTIFS(T_SelfStock_Log[Part Name],$A49,T_SelfStock_Log[WeekIndex],90)=0,"",SUMIFS(T_SelfStock_Log[Self_Qty],T_SelfStock_Log[Part Name],$A49,T_SelfStock_Log[WeekIndex],90))</f>
        <v/>
      </c>
      <c r="CN49" s="19">
        <f>IF(COUNTIFS(T_SelfStock_Log[Part Name],$A49,T_SelfStock_Log[WeekIndex],91)=0,"",SUMIFS(T_SelfStock_Log[Self_Qty],T_SelfStock_Log[Part Name],$A49,T_SelfStock_Log[WeekIndex],91))</f>
        <v/>
      </c>
      <c r="CO49" s="19">
        <f>IF(COUNTIFS(T_SelfStock_Log[Part Name],$A49,T_SelfStock_Log[WeekIndex],92)=0,"",SUMIFS(T_SelfStock_Log[Self_Qty],T_SelfStock_Log[Part Name],$A49,T_SelfStock_Log[WeekIndex],92))</f>
        <v/>
      </c>
      <c r="CP49" s="19">
        <f>IF(COUNTIFS(T_SelfStock_Log[Part Name],$A49,T_SelfStock_Log[WeekIndex],93)=0,"",SUMIFS(T_SelfStock_Log[Self_Qty],T_SelfStock_Log[Part Name],$A49,T_SelfStock_Log[WeekIndex],93))</f>
        <v/>
      </c>
      <c r="CQ49" s="19">
        <f>IF(COUNTIFS(T_SelfStock_Log[Part Name],$A49,T_SelfStock_Log[WeekIndex],94)=0,"",SUMIFS(T_SelfStock_Log[Self_Qty],T_SelfStock_Log[Part Name],$A49,T_SelfStock_Log[WeekIndex],94))</f>
        <v/>
      </c>
      <c r="CR49" s="19">
        <f>IF(COUNTIFS(T_SelfStock_Log[Part Name],$A49,T_SelfStock_Log[WeekIndex],95)=0,"",SUMIFS(T_SelfStock_Log[Self_Qty],T_SelfStock_Log[Part Name],$A49,T_SelfStock_Log[WeekIndex],95))</f>
        <v/>
      </c>
      <c r="CS49" s="19">
        <f>IF(COUNTIFS(T_SelfStock_Log[Part Name],$A49,T_SelfStock_Log[WeekIndex],96)=0,"",SUMIFS(T_SelfStock_Log[Self_Qty],T_SelfStock_Log[Part Name],$A49,T_SelfStock_Log[WeekIndex],96))</f>
        <v/>
      </c>
      <c r="CT49" s="19">
        <f>IF(COUNTIFS(T_SelfStock_Log[Part Name],$A49,T_SelfStock_Log[WeekIndex],97)=0,"",SUMIFS(T_SelfStock_Log[Self_Qty],T_SelfStock_Log[Part Name],$A49,T_SelfStock_Log[WeekIndex],97))</f>
        <v/>
      </c>
      <c r="CU49" s="19">
        <f>IF(COUNTIFS(T_SelfStock_Log[Part Name],$A49,T_SelfStock_Log[WeekIndex],98)=0,"",SUMIFS(T_SelfStock_Log[Self_Qty],T_SelfStock_Log[Part Name],$A49,T_SelfStock_Log[WeekIndex],98))</f>
        <v/>
      </c>
      <c r="CV49" s="19">
        <f>IF(COUNTIFS(T_SelfStock_Log[Part Name],$A49,T_SelfStock_Log[WeekIndex],99)=0,"",SUMIFS(T_SelfStock_Log[Self_Qty],T_SelfStock_Log[Part Name],$A49,T_SelfStock_Log[WeekIndex],99))</f>
        <v/>
      </c>
      <c r="CW49" s="19">
        <f>IF(COUNTIFS(T_SelfStock_Log[Part Name],$A49,T_SelfStock_Log[WeekIndex],100)=0,"",SUMIFS(T_SelfStock_Log[Self_Qty],T_SelfStock_Log[Part Name],$A49,T_SelfStock_Log[WeekIndex],100))</f>
        <v/>
      </c>
      <c r="CX49" s="19">
        <f>IF(COUNTIFS(T_SelfStock_Log[Part Name],$A49,T_SelfStock_Log[WeekIndex],101)=0,"",SUMIFS(T_SelfStock_Log[Self_Qty],T_SelfStock_Log[Part Name],$A49,T_SelfStock_Log[WeekIndex],101))</f>
        <v/>
      </c>
      <c r="CY49" s="19">
        <f>IF(COUNTIFS(T_SelfStock_Log[Part Name],$A49,T_SelfStock_Log[WeekIndex],102)=0,"",SUMIFS(T_SelfStock_Log[Self_Qty],T_SelfStock_Log[Part Name],$A49,T_SelfStock_Log[WeekIndex],102))</f>
        <v/>
      </c>
      <c r="CZ49" s="19">
        <f>IF(COUNTIFS(T_SelfStock_Log[Part Name],$A49,T_SelfStock_Log[WeekIndex],103)=0,"",SUMIFS(T_SelfStock_Log[Self_Qty],T_SelfStock_Log[Part Name],$A49,T_SelfStock_Log[WeekIndex],103))</f>
        <v/>
      </c>
      <c r="DA49" s="19">
        <f>IF(COUNTIFS(T_SelfStock_Log[Part Name],$A49,T_SelfStock_Log[WeekIndex],104)=0,"",SUMIFS(T_SelfStock_Log[Self_Qty],T_SelfStock_Log[Part Name],$A49,T_SelfStock_Log[WeekIndex],104))</f>
        <v/>
      </c>
    </row>
    <row r="50">
      <c r="A50" s="17" t="inlineStr">
        <is>
          <t>CHEM-1770</t>
        </is>
      </c>
      <c r="B50" s="17">
        <f>IF(COUNTIFS(T_SelfStock_Log[Part Name],$A50,T_SelfStock_Log[WeekIndex],1)=0,"",SUMIFS(T_SelfStock_Log[Self_Qty],T_SelfStock_Log[Part Name],$A50,T_SelfStock_Log[WeekIndex],1))</f>
        <v/>
      </c>
      <c r="C50" s="17">
        <f>IF(COUNTIFS(T_SelfStock_Log[Part Name],$A50,T_SelfStock_Log[WeekIndex],2)=0,"",SUMIFS(T_SelfStock_Log[Self_Qty],T_SelfStock_Log[Part Name],$A50,T_SelfStock_Log[WeekIndex],2))</f>
        <v/>
      </c>
      <c r="D50" s="17">
        <f>IF(COUNTIFS(T_SelfStock_Log[Part Name],$A50,T_SelfStock_Log[WeekIndex],3)=0,"",SUMIFS(T_SelfStock_Log[Self_Qty],T_SelfStock_Log[Part Name],$A50,T_SelfStock_Log[WeekIndex],3))</f>
        <v/>
      </c>
      <c r="E50" s="17">
        <f>IF(COUNTIFS(T_SelfStock_Log[Part Name],$A50,T_SelfStock_Log[WeekIndex],4)=0,"",SUMIFS(T_SelfStock_Log[Self_Qty],T_SelfStock_Log[Part Name],$A50,T_SelfStock_Log[WeekIndex],4))</f>
        <v/>
      </c>
      <c r="F50" s="17">
        <f>IF(COUNTIFS(T_SelfStock_Log[Part Name],$A50,T_SelfStock_Log[WeekIndex],5)=0,"",SUMIFS(T_SelfStock_Log[Self_Qty],T_SelfStock_Log[Part Name],$A50,T_SelfStock_Log[WeekIndex],5))</f>
        <v/>
      </c>
      <c r="G50" s="17">
        <f>IF(COUNTIFS(T_SelfStock_Log[Part Name],$A50,T_SelfStock_Log[WeekIndex],6)=0,"",SUMIFS(T_SelfStock_Log[Self_Qty],T_SelfStock_Log[Part Name],$A50,T_SelfStock_Log[WeekIndex],6))</f>
        <v/>
      </c>
      <c r="H50" s="17">
        <f>IF(COUNTIFS(T_SelfStock_Log[Part Name],$A50,T_SelfStock_Log[WeekIndex],7)=0,"",SUMIFS(T_SelfStock_Log[Self_Qty],T_SelfStock_Log[Part Name],$A50,T_SelfStock_Log[WeekIndex],7))</f>
        <v/>
      </c>
      <c r="I50" s="17">
        <f>IF(COUNTIFS(T_SelfStock_Log[Part Name],$A50,T_SelfStock_Log[WeekIndex],8)=0,"",SUMIFS(T_SelfStock_Log[Self_Qty],T_SelfStock_Log[Part Name],$A50,T_SelfStock_Log[WeekIndex],8))</f>
        <v/>
      </c>
      <c r="J50" s="17">
        <f>IF(COUNTIFS(T_SelfStock_Log[Part Name],$A50,T_SelfStock_Log[WeekIndex],9)=0,"",SUMIFS(T_SelfStock_Log[Self_Qty],T_SelfStock_Log[Part Name],$A50,T_SelfStock_Log[WeekIndex],9))</f>
        <v/>
      </c>
      <c r="K50" s="17">
        <f>IF(COUNTIFS(T_SelfStock_Log[Part Name],$A50,T_SelfStock_Log[WeekIndex],10)=0,"",SUMIFS(T_SelfStock_Log[Self_Qty],T_SelfStock_Log[Part Name],$A50,T_SelfStock_Log[WeekIndex],10))</f>
        <v/>
      </c>
      <c r="L50" s="17">
        <f>IF(COUNTIFS(T_SelfStock_Log[Part Name],$A50,T_SelfStock_Log[WeekIndex],11)=0,"",SUMIFS(T_SelfStock_Log[Self_Qty],T_SelfStock_Log[Part Name],$A50,T_SelfStock_Log[WeekIndex],11))</f>
        <v/>
      </c>
      <c r="M50" s="17">
        <f>IF(COUNTIFS(T_SelfStock_Log[Part Name],$A50,T_SelfStock_Log[WeekIndex],12)=0,"",SUMIFS(T_SelfStock_Log[Self_Qty],T_SelfStock_Log[Part Name],$A50,T_SelfStock_Log[WeekIndex],12))</f>
        <v/>
      </c>
      <c r="N50" s="17">
        <f>IF(COUNTIFS(T_SelfStock_Log[Part Name],$A50,T_SelfStock_Log[WeekIndex],13)=0,"",SUMIFS(T_SelfStock_Log[Self_Qty],T_SelfStock_Log[Part Name],$A50,T_SelfStock_Log[WeekIndex],13))</f>
        <v/>
      </c>
      <c r="O50" s="17">
        <f>IF(COUNTIFS(T_SelfStock_Log[Part Name],$A50,T_SelfStock_Log[WeekIndex],14)=0,"",SUMIFS(T_SelfStock_Log[Self_Qty],T_SelfStock_Log[Part Name],$A50,T_SelfStock_Log[WeekIndex],14))</f>
        <v/>
      </c>
      <c r="P50" s="17">
        <f>IF(COUNTIFS(T_SelfStock_Log[Part Name],$A50,T_SelfStock_Log[WeekIndex],15)=0,"",SUMIFS(T_SelfStock_Log[Self_Qty],T_SelfStock_Log[Part Name],$A50,T_SelfStock_Log[WeekIndex],15))</f>
        <v/>
      </c>
      <c r="Q50" s="17">
        <f>IF(COUNTIFS(T_SelfStock_Log[Part Name],$A50,T_SelfStock_Log[WeekIndex],16)=0,"",SUMIFS(T_SelfStock_Log[Self_Qty],T_SelfStock_Log[Part Name],$A50,T_SelfStock_Log[WeekIndex],16))</f>
        <v/>
      </c>
      <c r="R50" s="17">
        <f>IF(COUNTIFS(T_SelfStock_Log[Part Name],$A50,T_SelfStock_Log[WeekIndex],17)=0,"",SUMIFS(T_SelfStock_Log[Self_Qty],T_SelfStock_Log[Part Name],$A50,T_SelfStock_Log[WeekIndex],17))</f>
        <v/>
      </c>
      <c r="S50" s="17">
        <f>IF(COUNTIFS(T_SelfStock_Log[Part Name],$A50,T_SelfStock_Log[WeekIndex],18)=0,"",SUMIFS(T_SelfStock_Log[Self_Qty],T_SelfStock_Log[Part Name],$A50,T_SelfStock_Log[WeekIndex],18))</f>
        <v/>
      </c>
      <c r="T50" s="17">
        <f>IF(COUNTIFS(T_SelfStock_Log[Part Name],$A50,T_SelfStock_Log[WeekIndex],19)=0,"",SUMIFS(T_SelfStock_Log[Self_Qty],T_SelfStock_Log[Part Name],$A50,T_SelfStock_Log[WeekIndex],19))</f>
        <v/>
      </c>
      <c r="U50" s="17">
        <f>IF(COUNTIFS(T_SelfStock_Log[Part Name],$A50,T_SelfStock_Log[WeekIndex],20)=0,"",SUMIFS(T_SelfStock_Log[Self_Qty],T_SelfStock_Log[Part Name],$A50,T_SelfStock_Log[WeekIndex],20))</f>
        <v/>
      </c>
      <c r="V50" s="17">
        <f>IF(COUNTIFS(T_SelfStock_Log[Part Name],$A50,T_SelfStock_Log[WeekIndex],21)=0,"",SUMIFS(T_SelfStock_Log[Self_Qty],T_SelfStock_Log[Part Name],$A50,T_SelfStock_Log[WeekIndex],21))</f>
        <v/>
      </c>
      <c r="W50" s="17">
        <f>IF(COUNTIFS(T_SelfStock_Log[Part Name],$A50,T_SelfStock_Log[WeekIndex],22)=0,"",SUMIFS(T_SelfStock_Log[Self_Qty],T_SelfStock_Log[Part Name],$A50,T_SelfStock_Log[WeekIndex],22))</f>
        <v/>
      </c>
      <c r="X50" s="17">
        <f>IF(COUNTIFS(T_SelfStock_Log[Part Name],$A50,T_SelfStock_Log[WeekIndex],23)=0,"",SUMIFS(T_SelfStock_Log[Self_Qty],T_SelfStock_Log[Part Name],$A50,T_SelfStock_Log[WeekIndex],23))</f>
        <v/>
      </c>
      <c r="Y50" s="17">
        <f>IF(COUNTIFS(T_SelfStock_Log[Part Name],$A50,T_SelfStock_Log[WeekIndex],24)=0,"",SUMIFS(T_SelfStock_Log[Self_Qty],T_SelfStock_Log[Part Name],$A50,T_SelfStock_Log[WeekIndex],24))</f>
        <v/>
      </c>
      <c r="Z50" s="17">
        <f>IF(COUNTIFS(T_SelfStock_Log[Part Name],$A50,T_SelfStock_Log[WeekIndex],25)=0,"",SUMIFS(T_SelfStock_Log[Self_Qty],T_SelfStock_Log[Part Name],$A50,T_SelfStock_Log[WeekIndex],25))</f>
        <v/>
      </c>
      <c r="AA50" s="17">
        <f>IF(COUNTIFS(T_SelfStock_Log[Part Name],$A50,T_SelfStock_Log[WeekIndex],26)=0,"",SUMIFS(T_SelfStock_Log[Self_Qty],T_SelfStock_Log[Part Name],$A50,T_SelfStock_Log[WeekIndex],26))</f>
        <v/>
      </c>
      <c r="AB50" s="17">
        <f>IF(COUNTIFS(T_SelfStock_Log[Part Name],$A50,T_SelfStock_Log[WeekIndex],27)=0,"",SUMIFS(T_SelfStock_Log[Self_Qty],T_SelfStock_Log[Part Name],$A50,T_SelfStock_Log[WeekIndex],27))</f>
        <v/>
      </c>
      <c r="AC50" s="17">
        <f>IF(COUNTIFS(T_SelfStock_Log[Part Name],$A50,T_SelfStock_Log[WeekIndex],28)=0,"",SUMIFS(T_SelfStock_Log[Self_Qty],T_SelfStock_Log[Part Name],$A50,T_SelfStock_Log[WeekIndex],28))</f>
        <v/>
      </c>
      <c r="AD50" s="17">
        <f>IF(COUNTIFS(T_SelfStock_Log[Part Name],$A50,T_SelfStock_Log[WeekIndex],29)=0,"",SUMIFS(T_SelfStock_Log[Self_Qty],T_SelfStock_Log[Part Name],$A50,T_SelfStock_Log[WeekIndex],29))</f>
        <v/>
      </c>
      <c r="AE50" s="17">
        <f>IF(COUNTIFS(T_SelfStock_Log[Part Name],$A50,T_SelfStock_Log[WeekIndex],30)=0,"",SUMIFS(T_SelfStock_Log[Self_Qty],T_SelfStock_Log[Part Name],$A50,T_SelfStock_Log[WeekIndex],30))</f>
        <v/>
      </c>
      <c r="AF50" s="17">
        <f>IF(COUNTIFS(T_SelfStock_Log[Part Name],$A50,T_SelfStock_Log[WeekIndex],31)=0,"",SUMIFS(T_SelfStock_Log[Self_Qty],T_SelfStock_Log[Part Name],$A50,T_SelfStock_Log[WeekIndex],31))</f>
        <v/>
      </c>
      <c r="AG50" s="17">
        <f>IF(COUNTIFS(T_SelfStock_Log[Part Name],$A50,T_SelfStock_Log[WeekIndex],32)=0,"",SUMIFS(T_SelfStock_Log[Self_Qty],T_SelfStock_Log[Part Name],$A50,T_SelfStock_Log[WeekIndex],32))</f>
        <v/>
      </c>
      <c r="AH50" s="17">
        <f>IF(COUNTIFS(T_SelfStock_Log[Part Name],$A50,T_SelfStock_Log[WeekIndex],33)=0,"",SUMIFS(T_SelfStock_Log[Self_Qty],T_SelfStock_Log[Part Name],$A50,T_SelfStock_Log[WeekIndex],33))</f>
        <v/>
      </c>
      <c r="AI50" s="17">
        <f>IF(COUNTIFS(T_SelfStock_Log[Part Name],$A50,T_SelfStock_Log[WeekIndex],34)=0,"",SUMIFS(T_SelfStock_Log[Self_Qty],T_SelfStock_Log[Part Name],$A50,T_SelfStock_Log[WeekIndex],34))</f>
        <v/>
      </c>
      <c r="AJ50" s="17">
        <f>IF(COUNTIFS(T_SelfStock_Log[Part Name],$A50,T_SelfStock_Log[WeekIndex],35)=0,"",SUMIFS(T_SelfStock_Log[Self_Qty],T_SelfStock_Log[Part Name],$A50,T_SelfStock_Log[WeekIndex],35))</f>
        <v/>
      </c>
      <c r="AK50" s="17">
        <f>IF(COUNTIFS(T_SelfStock_Log[Part Name],$A50,T_SelfStock_Log[WeekIndex],36)=0,"",SUMIFS(T_SelfStock_Log[Self_Qty],T_SelfStock_Log[Part Name],$A50,T_SelfStock_Log[WeekIndex],36))</f>
        <v/>
      </c>
      <c r="AL50" s="17">
        <f>IF(COUNTIFS(T_SelfStock_Log[Part Name],$A50,T_SelfStock_Log[WeekIndex],37)=0,"",SUMIFS(T_SelfStock_Log[Self_Qty],T_SelfStock_Log[Part Name],$A50,T_SelfStock_Log[WeekIndex],37))</f>
        <v/>
      </c>
      <c r="AM50" s="17">
        <f>IF(COUNTIFS(T_SelfStock_Log[Part Name],$A50,T_SelfStock_Log[WeekIndex],38)=0,"",SUMIFS(T_SelfStock_Log[Self_Qty],T_SelfStock_Log[Part Name],$A50,T_SelfStock_Log[WeekIndex],38))</f>
        <v/>
      </c>
      <c r="AN50" s="17">
        <f>IF(COUNTIFS(T_SelfStock_Log[Part Name],$A50,T_SelfStock_Log[WeekIndex],39)=0,"",SUMIFS(T_SelfStock_Log[Self_Qty],T_SelfStock_Log[Part Name],$A50,T_SelfStock_Log[WeekIndex],39))</f>
        <v/>
      </c>
      <c r="AO50" s="17">
        <f>IF(COUNTIFS(T_SelfStock_Log[Part Name],$A50,T_SelfStock_Log[WeekIndex],40)=0,"",SUMIFS(T_SelfStock_Log[Self_Qty],T_SelfStock_Log[Part Name],$A50,T_SelfStock_Log[WeekIndex],40))</f>
        <v/>
      </c>
      <c r="AP50" s="17">
        <f>IF(COUNTIFS(T_SelfStock_Log[Part Name],$A50,T_SelfStock_Log[WeekIndex],41)=0,"",SUMIFS(T_SelfStock_Log[Self_Qty],T_SelfStock_Log[Part Name],$A50,T_SelfStock_Log[WeekIndex],41))</f>
        <v/>
      </c>
      <c r="AQ50" s="17">
        <f>IF(COUNTIFS(T_SelfStock_Log[Part Name],$A50,T_SelfStock_Log[WeekIndex],42)=0,"",SUMIFS(T_SelfStock_Log[Self_Qty],T_SelfStock_Log[Part Name],$A50,T_SelfStock_Log[WeekIndex],42))</f>
        <v/>
      </c>
      <c r="AR50" s="17">
        <f>IF(COUNTIFS(T_SelfStock_Log[Part Name],$A50,T_SelfStock_Log[WeekIndex],43)=0,"",SUMIFS(T_SelfStock_Log[Self_Qty],T_SelfStock_Log[Part Name],$A50,T_SelfStock_Log[WeekIndex],43))</f>
        <v/>
      </c>
      <c r="AS50" s="17">
        <f>IF(COUNTIFS(T_SelfStock_Log[Part Name],$A50,T_SelfStock_Log[WeekIndex],44)=0,"",SUMIFS(T_SelfStock_Log[Self_Qty],T_SelfStock_Log[Part Name],$A50,T_SelfStock_Log[WeekIndex],44))</f>
        <v/>
      </c>
      <c r="AT50" s="17">
        <f>IF(COUNTIFS(T_SelfStock_Log[Part Name],$A50,T_SelfStock_Log[WeekIndex],45)=0,"",SUMIFS(T_SelfStock_Log[Self_Qty],T_SelfStock_Log[Part Name],$A50,T_SelfStock_Log[WeekIndex],45))</f>
        <v/>
      </c>
      <c r="AU50" s="17">
        <f>IF(COUNTIFS(T_SelfStock_Log[Part Name],$A50,T_SelfStock_Log[WeekIndex],46)=0,"",SUMIFS(T_SelfStock_Log[Self_Qty],T_SelfStock_Log[Part Name],$A50,T_SelfStock_Log[WeekIndex],46))</f>
        <v/>
      </c>
      <c r="AV50" s="17">
        <f>IF(COUNTIFS(T_SelfStock_Log[Part Name],$A50,T_SelfStock_Log[WeekIndex],47)=0,"",SUMIFS(T_SelfStock_Log[Self_Qty],T_SelfStock_Log[Part Name],$A50,T_SelfStock_Log[WeekIndex],47))</f>
        <v/>
      </c>
      <c r="AW50" s="17">
        <f>IF(COUNTIFS(T_SelfStock_Log[Part Name],$A50,T_SelfStock_Log[WeekIndex],48)=0,"",SUMIFS(T_SelfStock_Log[Self_Qty],T_SelfStock_Log[Part Name],$A50,T_SelfStock_Log[WeekIndex],48))</f>
        <v/>
      </c>
      <c r="AX50" s="17">
        <f>IF(COUNTIFS(T_SelfStock_Log[Part Name],$A50,T_SelfStock_Log[WeekIndex],49)=0,"",SUMIFS(T_SelfStock_Log[Self_Qty],T_SelfStock_Log[Part Name],$A50,T_SelfStock_Log[WeekIndex],49))</f>
        <v/>
      </c>
      <c r="AY50" s="17">
        <f>IF(COUNTIFS(T_SelfStock_Log[Part Name],$A50,T_SelfStock_Log[WeekIndex],50)=0,"",SUMIFS(T_SelfStock_Log[Self_Qty],T_SelfStock_Log[Part Name],$A50,T_SelfStock_Log[WeekIndex],50))</f>
        <v/>
      </c>
      <c r="AZ50" s="17">
        <f>IF(COUNTIFS(T_SelfStock_Log[Part Name],$A50,T_SelfStock_Log[WeekIndex],51)=0,"",SUMIFS(T_SelfStock_Log[Self_Qty],T_SelfStock_Log[Part Name],$A50,T_SelfStock_Log[WeekIndex],51))</f>
        <v/>
      </c>
      <c r="BA50" s="17">
        <f>IF(COUNTIFS(T_SelfStock_Log[Part Name],$A50,T_SelfStock_Log[WeekIndex],52)=0,"",SUMIFS(T_SelfStock_Log[Self_Qty],T_SelfStock_Log[Part Name],$A50,T_SelfStock_Log[WeekIndex],52))</f>
        <v/>
      </c>
      <c r="BB50" s="17">
        <f>IF(COUNTIFS(T_SelfStock_Log[Part Name],$A50,T_SelfStock_Log[WeekIndex],53)=0,"",SUMIFS(T_SelfStock_Log[Self_Qty],T_SelfStock_Log[Part Name],$A50,T_SelfStock_Log[WeekIndex],53))</f>
        <v/>
      </c>
      <c r="BC50" s="17">
        <f>IF(COUNTIFS(T_SelfStock_Log[Part Name],$A50,T_SelfStock_Log[WeekIndex],54)=0,"",SUMIFS(T_SelfStock_Log[Self_Qty],T_SelfStock_Log[Part Name],$A50,T_SelfStock_Log[WeekIndex],54))</f>
        <v/>
      </c>
      <c r="BD50" s="17">
        <f>IF(COUNTIFS(T_SelfStock_Log[Part Name],$A50,T_SelfStock_Log[WeekIndex],55)=0,"",SUMIFS(T_SelfStock_Log[Self_Qty],T_SelfStock_Log[Part Name],$A50,T_SelfStock_Log[WeekIndex],55))</f>
        <v/>
      </c>
      <c r="BE50" s="17">
        <f>IF(COUNTIFS(T_SelfStock_Log[Part Name],$A50,T_SelfStock_Log[WeekIndex],56)=0,"",SUMIFS(T_SelfStock_Log[Self_Qty],T_SelfStock_Log[Part Name],$A50,T_SelfStock_Log[WeekIndex],56))</f>
        <v/>
      </c>
      <c r="BF50" s="17">
        <f>IF(COUNTIFS(T_SelfStock_Log[Part Name],$A50,T_SelfStock_Log[WeekIndex],57)=0,"",SUMIFS(T_SelfStock_Log[Self_Qty],T_SelfStock_Log[Part Name],$A50,T_SelfStock_Log[WeekIndex],57))</f>
        <v/>
      </c>
      <c r="BG50" s="17">
        <f>IF(COUNTIFS(T_SelfStock_Log[Part Name],$A50,T_SelfStock_Log[WeekIndex],58)=0,"",SUMIFS(T_SelfStock_Log[Self_Qty],T_SelfStock_Log[Part Name],$A50,T_SelfStock_Log[WeekIndex],58))</f>
        <v/>
      </c>
      <c r="BH50" s="17">
        <f>IF(COUNTIFS(T_SelfStock_Log[Part Name],$A50,T_SelfStock_Log[WeekIndex],59)=0,"",SUMIFS(T_SelfStock_Log[Self_Qty],T_SelfStock_Log[Part Name],$A50,T_SelfStock_Log[WeekIndex],59))</f>
        <v/>
      </c>
      <c r="BI50" s="17">
        <f>IF(COUNTIFS(T_SelfStock_Log[Part Name],$A50,T_SelfStock_Log[WeekIndex],60)=0,"",SUMIFS(T_SelfStock_Log[Self_Qty],T_SelfStock_Log[Part Name],$A50,T_SelfStock_Log[WeekIndex],60))</f>
        <v/>
      </c>
      <c r="BJ50" s="17">
        <f>IF(COUNTIFS(T_SelfStock_Log[Part Name],$A50,T_SelfStock_Log[WeekIndex],61)=0,"",SUMIFS(T_SelfStock_Log[Self_Qty],T_SelfStock_Log[Part Name],$A50,T_SelfStock_Log[WeekIndex],61))</f>
        <v/>
      </c>
      <c r="BK50" s="17">
        <f>IF(COUNTIFS(T_SelfStock_Log[Part Name],$A50,T_SelfStock_Log[WeekIndex],62)=0,"",SUMIFS(T_SelfStock_Log[Self_Qty],T_SelfStock_Log[Part Name],$A50,T_SelfStock_Log[WeekIndex],62))</f>
        <v/>
      </c>
      <c r="BL50" s="17">
        <f>IF(COUNTIFS(T_SelfStock_Log[Part Name],$A50,T_SelfStock_Log[WeekIndex],63)=0,"",SUMIFS(T_SelfStock_Log[Self_Qty],T_SelfStock_Log[Part Name],$A50,T_SelfStock_Log[WeekIndex],63))</f>
        <v/>
      </c>
      <c r="BM50" s="17">
        <f>IF(COUNTIFS(T_SelfStock_Log[Part Name],$A50,T_SelfStock_Log[WeekIndex],64)=0,"",SUMIFS(T_SelfStock_Log[Self_Qty],T_SelfStock_Log[Part Name],$A50,T_SelfStock_Log[WeekIndex],64))</f>
        <v/>
      </c>
      <c r="BN50" s="17">
        <f>IF(COUNTIFS(T_SelfStock_Log[Part Name],$A50,T_SelfStock_Log[WeekIndex],65)=0,"",SUMIFS(T_SelfStock_Log[Self_Qty],T_SelfStock_Log[Part Name],$A50,T_SelfStock_Log[WeekIndex],65))</f>
        <v/>
      </c>
      <c r="BO50" s="17">
        <f>IF(COUNTIFS(T_SelfStock_Log[Part Name],$A50,T_SelfStock_Log[WeekIndex],66)=0,"",SUMIFS(T_SelfStock_Log[Self_Qty],T_SelfStock_Log[Part Name],$A50,T_SelfStock_Log[WeekIndex],66))</f>
        <v/>
      </c>
      <c r="BP50" s="17">
        <f>IF(COUNTIFS(T_SelfStock_Log[Part Name],$A50,T_SelfStock_Log[WeekIndex],67)=0,"",SUMIFS(T_SelfStock_Log[Self_Qty],T_SelfStock_Log[Part Name],$A50,T_SelfStock_Log[WeekIndex],67))</f>
        <v/>
      </c>
      <c r="BQ50" s="17">
        <f>IF(COUNTIFS(T_SelfStock_Log[Part Name],$A50,T_SelfStock_Log[WeekIndex],68)=0,"",SUMIFS(T_SelfStock_Log[Self_Qty],T_SelfStock_Log[Part Name],$A50,T_SelfStock_Log[WeekIndex],68))</f>
        <v/>
      </c>
      <c r="BR50" s="17">
        <f>IF(COUNTIFS(T_SelfStock_Log[Part Name],$A50,T_SelfStock_Log[WeekIndex],69)=0,"",SUMIFS(T_SelfStock_Log[Self_Qty],T_SelfStock_Log[Part Name],$A50,T_SelfStock_Log[WeekIndex],69))</f>
        <v/>
      </c>
      <c r="BS50" s="17">
        <f>IF(COUNTIFS(T_SelfStock_Log[Part Name],$A50,T_SelfStock_Log[WeekIndex],70)=0,"",SUMIFS(T_SelfStock_Log[Self_Qty],T_SelfStock_Log[Part Name],$A50,T_SelfStock_Log[WeekIndex],70))</f>
        <v/>
      </c>
      <c r="BT50" s="17">
        <f>IF(COUNTIFS(T_SelfStock_Log[Part Name],$A50,T_SelfStock_Log[WeekIndex],71)=0,"",SUMIFS(T_SelfStock_Log[Self_Qty],T_SelfStock_Log[Part Name],$A50,T_SelfStock_Log[WeekIndex],71))</f>
        <v/>
      </c>
      <c r="BU50" s="17">
        <f>IF(COUNTIFS(T_SelfStock_Log[Part Name],$A50,T_SelfStock_Log[WeekIndex],72)=0,"",SUMIFS(T_SelfStock_Log[Self_Qty],T_SelfStock_Log[Part Name],$A50,T_SelfStock_Log[WeekIndex],72))</f>
        <v/>
      </c>
      <c r="BV50" s="17">
        <f>IF(COUNTIFS(T_SelfStock_Log[Part Name],$A50,T_SelfStock_Log[WeekIndex],73)=0,"",SUMIFS(T_SelfStock_Log[Self_Qty],T_SelfStock_Log[Part Name],$A50,T_SelfStock_Log[WeekIndex],73))</f>
        <v/>
      </c>
      <c r="BW50" s="17">
        <f>IF(COUNTIFS(T_SelfStock_Log[Part Name],$A50,T_SelfStock_Log[WeekIndex],74)=0,"",SUMIFS(T_SelfStock_Log[Self_Qty],T_SelfStock_Log[Part Name],$A50,T_SelfStock_Log[WeekIndex],74))</f>
        <v/>
      </c>
      <c r="BX50" s="17">
        <f>IF(COUNTIFS(T_SelfStock_Log[Part Name],$A50,T_SelfStock_Log[WeekIndex],75)=0,"",SUMIFS(T_SelfStock_Log[Self_Qty],T_SelfStock_Log[Part Name],$A50,T_SelfStock_Log[WeekIndex],75))</f>
        <v/>
      </c>
      <c r="BY50" s="17">
        <f>IF(COUNTIFS(T_SelfStock_Log[Part Name],$A50,T_SelfStock_Log[WeekIndex],76)=0,"",SUMIFS(T_SelfStock_Log[Self_Qty],T_SelfStock_Log[Part Name],$A50,T_SelfStock_Log[WeekIndex],76))</f>
        <v/>
      </c>
      <c r="BZ50" s="17">
        <f>IF(COUNTIFS(T_SelfStock_Log[Part Name],$A50,T_SelfStock_Log[WeekIndex],77)=0,"",SUMIFS(T_SelfStock_Log[Self_Qty],T_SelfStock_Log[Part Name],$A50,T_SelfStock_Log[WeekIndex],77))</f>
        <v/>
      </c>
      <c r="CA50" s="17">
        <f>IF(COUNTIFS(T_SelfStock_Log[Part Name],$A50,T_SelfStock_Log[WeekIndex],78)=0,"",SUMIFS(T_SelfStock_Log[Self_Qty],T_SelfStock_Log[Part Name],$A50,T_SelfStock_Log[WeekIndex],78))</f>
        <v/>
      </c>
      <c r="CB50" s="17">
        <f>IF(COUNTIFS(T_SelfStock_Log[Part Name],$A50,T_SelfStock_Log[WeekIndex],79)=0,"",SUMIFS(T_SelfStock_Log[Self_Qty],T_SelfStock_Log[Part Name],$A50,T_SelfStock_Log[WeekIndex],79))</f>
        <v/>
      </c>
      <c r="CC50" s="17">
        <f>IF(COUNTIFS(T_SelfStock_Log[Part Name],$A50,T_SelfStock_Log[WeekIndex],80)=0,"",SUMIFS(T_SelfStock_Log[Self_Qty],T_SelfStock_Log[Part Name],$A50,T_SelfStock_Log[WeekIndex],80))</f>
        <v/>
      </c>
      <c r="CD50" s="17">
        <f>IF(COUNTIFS(T_SelfStock_Log[Part Name],$A50,T_SelfStock_Log[WeekIndex],81)=0,"",SUMIFS(T_SelfStock_Log[Self_Qty],T_SelfStock_Log[Part Name],$A50,T_SelfStock_Log[WeekIndex],81))</f>
        <v/>
      </c>
      <c r="CE50" s="17">
        <f>IF(COUNTIFS(T_SelfStock_Log[Part Name],$A50,T_SelfStock_Log[WeekIndex],82)=0,"",SUMIFS(T_SelfStock_Log[Self_Qty],T_SelfStock_Log[Part Name],$A50,T_SelfStock_Log[WeekIndex],82))</f>
        <v/>
      </c>
      <c r="CF50" s="17">
        <f>IF(COUNTIFS(T_SelfStock_Log[Part Name],$A50,T_SelfStock_Log[WeekIndex],83)=0,"",SUMIFS(T_SelfStock_Log[Self_Qty],T_SelfStock_Log[Part Name],$A50,T_SelfStock_Log[WeekIndex],83))</f>
        <v/>
      </c>
      <c r="CG50" s="17">
        <f>IF(COUNTIFS(T_SelfStock_Log[Part Name],$A50,T_SelfStock_Log[WeekIndex],84)=0,"",SUMIFS(T_SelfStock_Log[Self_Qty],T_SelfStock_Log[Part Name],$A50,T_SelfStock_Log[WeekIndex],84))</f>
        <v/>
      </c>
      <c r="CH50" s="17">
        <f>IF(COUNTIFS(T_SelfStock_Log[Part Name],$A50,T_SelfStock_Log[WeekIndex],85)=0,"",SUMIFS(T_SelfStock_Log[Self_Qty],T_SelfStock_Log[Part Name],$A50,T_SelfStock_Log[WeekIndex],85))</f>
        <v/>
      </c>
      <c r="CI50" s="17">
        <f>IF(COUNTIFS(T_SelfStock_Log[Part Name],$A50,T_SelfStock_Log[WeekIndex],86)=0,"",SUMIFS(T_SelfStock_Log[Self_Qty],T_SelfStock_Log[Part Name],$A50,T_SelfStock_Log[WeekIndex],86))</f>
        <v/>
      </c>
      <c r="CJ50" s="17">
        <f>IF(COUNTIFS(T_SelfStock_Log[Part Name],$A50,T_SelfStock_Log[WeekIndex],87)=0,"",SUMIFS(T_SelfStock_Log[Self_Qty],T_SelfStock_Log[Part Name],$A50,T_SelfStock_Log[WeekIndex],87))</f>
        <v/>
      </c>
      <c r="CK50" s="17">
        <f>IF(COUNTIFS(T_SelfStock_Log[Part Name],$A50,T_SelfStock_Log[WeekIndex],88)=0,"",SUMIFS(T_SelfStock_Log[Self_Qty],T_SelfStock_Log[Part Name],$A50,T_SelfStock_Log[WeekIndex],88))</f>
        <v/>
      </c>
      <c r="CL50" s="17">
        <f>IF(COUNTIFS(T_SelfStock_Log[Part Name],$A50,T_SelfStock_Log[WeekIndex],89)=0,"",SUMIFS(T_SelfStock_Log[Self_Qty],T_SelfStock_Log[Part Name],$A50,T_SelfStock_Log[WeekIndex],89))</f>
        <v/>
      </c>
      <c r="CM50" s="17">
        <f>IF(COUNTIFS(T_SelfStock_Log[Part Name],$A50,T_SelfStock_Log[WeekIndex],90)=0,"",SUMIFS(T_SelfStock_Log[Self_Qty],T_SelfStock_Log[Part Name],$A50,T_SelfStock_Log[WeekIndex],90))</f>
        <v/>
      </c>
      <c r="CN50" s="17">
        <f>IF(COUNTIFS(T_SelfStock_Log[Part Name],$A50,T_SelfStock_Log[WeekIndex],91)=0,"",SUMIFS(T_SelfStock_Log[Self_Qty],T_SelfStock_Log[Part Name],$A50,T_SelfStock_Log[WeekIndex],91))</f>
        <v/>
      </c>
      <c r="CO50" s="17">
        <f>IF(COUNTIFS(T_SelfStock_Log[Part Name],$A50,T_SelfStock_Log[WeekIndex],92)=0,"",SUMIFS(T_SelfStock_Log[Self_Qty],T_SelfStock_Log[Part Name],$A50,T_SelfStock_Log[WeekIndex],92))</f>
        <v/>
      </c>
      <c r="CP50" s="17">
        <f>IF(COUNTIFS(T_SelfStock_Log[Part Name],$A50,T_SelfStock_Log[WeekIndex],93)=0,"",SUMIFS(T_SelfStock_Log[Self_Qty],T_SelfStock_Log[Part Name],$A50,T_SelfStock_Log[WeekIndex],93))</f>
        <v/>
      </c>
      <c r="CQ50" s="17">
        <f>IF(COUNTIFS(T_SelfStock_Log[Part Name],$A50,T_SelfStock_Log[WeekIndex],94)=0,"",SUMIFS(T_SelfStock_Log[Self_Qty],T_SelfStock_Log[Part Name],$A50,T_SelfStock_Log[WeekIndex],94))</f>
        <v/>
      </c>
      <c r="CR50" s="17">
        <f>IF(COUNTIFS(T_SelfStock_Log[Part Name],$A50,T_SelfStock_Log[WeekIndex],95)=0,"",SUMIFS(T_SelfStock_Log[Self_Qty],T_SelfStock_Log[Part Name],$A50,T_SelfStock_Log[WeekIndex],95))</f>
        <v/>
      </c>
      <c r="CS50" s="17">
        <f>IF(COUNTIFS(T_SelfStock_Log[Part Name],$A50,T_SelfStock_Log[WeekIndex],96)=0,"",SUMIFS(T_SelfStock_Log[Self_Qty],T_SelfStock_Log[Part Name],$A50,T_SelfStock_Log[WeekIndex],96))</f>
        <v/>
      </c>
      <c r="CT50" s="17">
        <f>IF(COUNTIFS(T_SelfStock_Log[Part Name],$A50,T_SelfStock_Log[WeekIndex],97)=0,"",SUMIFS(T_SelfStock_Log[Self_Qty],T_SelfStock_Log[Part Name],$A50,T_SelfStock_Log[WeekIndex],97))</f>
        <v/>
      </c>
      <c r="CU50" s="17">
        <f>IF(COUNTIFS(T_SelfStock_Log[Part Name],$A50,T_SelfStock_Log[WeekIndex],98)=0,"",SUMIFS(T_SelfStock_Log[Self_Qty],T_SelfStock_Log[Part Name],$A50,T_SelfStock_Log[WeekIndex],98))</f>
        <v/>
      </c>
      <c r="CV50" s="17">
        <f>IF(COUNTIFS(T_SelfStock_Log[Part Name],$A50,T_SelfStock_Log[WeekIndex],99)=0,"",SUMIFS(T_SelfStock_Log[Self_Qty],T_SelfStock_Log[Part Name],$A50,T_SelfStock_Log[WeekIndex],99))</f>
        <v/>
      </c>
      <c r="CW50" s="17">
        <f>IF(COUNTIFS(T_SelfStock_Log[Part Name],$A50,T_SelfStock_Log[WeekIndex],100)=0,"",SUMIFS(T_SelfStock_Log[Self_Qty],T_SelfStock_Log[Part Name],$A50,T_SelfStock_Log[WeekIndex],100))</f>
        <v/>
      </c>
      <c r="CX50" s="17">
        <f>IF(COUNTIFS(T_SelfStock_Log[Part Name],$A50,T_SelfStock_Log[WeekIndex],101)=0,"",SUMIFS(T_SelfStock_Log[Self_Qty],T_SelfStock_Log[Part Name],$A50,T_SelfStock_Log[WeekIndex],101))</f>
        <v/>
      </c>
      <c r="CY50" s="17">
        <f>IF(COUNTIFS(T_SelfStock_Log[Part Name],$A50,T_SelfStock_Log[WeekIndex],102)=0,"",SUMIFS(T_SelfStock_Log[Self_Qty],T_SelfStock_Log[Part Name],$A50,T_SelfStock_Log[WeekIndex],102))</f>
        <v/>
      </c>
      <c r="CZ50" s="17">
        <f>IF(COUNTIFS(T_SelfStock_Log[Part Name],$A50,T_SelfStock_Log[WeekIndex],103)=0,"",SUMIFS(T_SelfStock_Log[Self_Qty],T_SelfStock_Log[Part Name],$A50,T_SelfStock_Log[WeekIndex],103))</f>
        <v/>
      </c>
      <c r="DA50" s="17">
        <f>IF(COUNTIFS(T_SelfStock_Log[Part Name],$A50,T_SelfStock_Log[WeekIndex],104)=0,"",SUMIFS(T_SelfStock_Log[Self_Qty],T_SelfStock_Log[Part Name],$A50,T_SelfStock_Log[WeekIndex],104))</f>
        <v/>
      </c>
    </row>
    <row r="51">
      <c r="A51" s="19" t="inlineStr">
        <is>
          <t>CHEM-1430</t>
        </is>
      </c>
      <c r="B51" s="19">
        <f>IF(COUNTIFS(T_SelfStock_Log[Part Name],$A51,T_SelfStock_Log[WeekIndex],1)=0,"",SUMIFS(T_SelfStock_Log[Self_Qty],T_SelfStock_Log[Part Name],$A51,T_SelfStock_Log[WeekIndex],1))</f>
        <v/>
      </c>
      <c r="C51" s="19">
        <f>IF(COUNTIFS(T_SelfStock_Log[Part Name],$A51,T_SelfStock_Log[WeekIndex],2)=0,"",SUMIFS(T_SelfStock_Log[Self_Qty],T_SelfStock_Log[Part Name],$A51,T_SelfStock_Log[WeekIndex],2))</f>
        <v/>
      </c>
      <c r="D51" s="19">
        <f>IF(COUNTIFS(T_SelfStock_Log[Part Name],$A51,T_SelfStock_Log[WeekIndex],3)=0,"",SUMIFS(T_SelfStock_Log[Self_Qty],T_SelfStock_Log[Part Name],$A51,T_SelfStock_Log[WeekIndex],3))</f>
        <v/>
      </c>
      <c r="E51" s="19">
        <f>IF(COUNTIFS(T_SelfStock_Log[Part Name],$A51,T_SelfStock_Log[WeekIndex],4)=0,"",SUMIFS(T_SelfStock_Log[Self_Qty],T_SelfStock_Log[Part Name],$A51,T_SelfStock_Log[WeekIndex],4))</f>
        <v/>
      </c>
      <c r="F51" s="19">
        <f>IF(COUNTIFS(T_SelfStock_Log[Part Name],$A51,T_SelfStock_Log[WeekIndex],5)=0,"",SUMIFS(T_SelfStock_Log[Self_Qty],T_SelfStock_Log[Part Name],$A51,T_SelfStock_Log[WeekIndex],5))</f>
        <v/>
      </c>
      <c r="G51" s="19">
        <f>IF(COUNTIFS(T_SelfStock_Log[Part Name],$A51,T_SelfStock_Log[WeekIndex],6)=0,"",SUMIFS(T_SelfStock_Log[Self_Qty],T_SelfStock_Log[Part Name],$A51,T_SelfStock_Log[WeekIndex],6))</f>
        <v/>
      </c>
      <c r="H51" s="19">
        <f>IF(COUNTIFS(T_SelfStock_Log[Part Name],$A51,T_SelfStock_Log[WeekIndex],7)=0,"",SUMIFS(T_SelfStock_Log[Self_Qty],T_SelfStock_Log[Part Name],$A51,T_SelfStock_Log[WeekIndex],7))</f>
        <v/>
      </c>
      <c r="I51" s="19">
        <f>IF(COUNTIFS(T_SelfStock_Log[Part Name],$A51,T_SelfStock_Log[WeekIndex],8)=0,"",SUMIFS(T_SelfStock_Log[Self_Qty],T_SelfStock_Log[Part Name],$A51,T_SelfStock_Log[WeekIndex],8))</f>
        <v/>
      </c>
      <c r="J51" s="19">
        <f>IF(COUNTIFS(T_SelfStock_Log[Part Name],$A51,T_SelfStock_Log[WeekIndex],9)=0,"",SUMIFS(T_SelfStock_Log[Self_Qty],T_SelfStock_Log[Part Name],$A51,T_SelfStock_Log[WeekIndex],9))</f>
        <v/>
      </c>
      <c r="K51" s="19">
        <f>IF(COUNTIFS(T_SelfStock_Log[Part Name],$A51,T_SelfStock_Log[WeekIndex],10)=0,"",SUMIFS(T_SelfStock_Log[Self_Qty],T_SelfStock_Log[Part Name],$A51,T_SelfStock_Log[WeekIndex],10))</f>
        <v/>
      </c>
      <c r="L51" s="19">
        <f>IF(COUNTIFS(T_SelfStock_Log[Part Name],$A51,T_SelfStock_Log[WeekIndex],11)=0,"",SUMIFS(T_SelfStock_Log[Self_Qty],T_SelfStock_Log[Part Name],$A51,T_SelfStock_Log[WeekIndex],11))</f>
        <v/>
      </c>
      <c r="M51" s="19">
        <f>IF(COUNTIFS(T_SelfStock_Log[Part Name],$A51,T_SelfStock_Log[WeekIndex],12)=0,"",SUMIFS(T_SelfStock_Log[Self_Qty],T_SelfStock_Log[Part Name],$A51,T_SelfStock_Log[WeekIndex],12))</f>
        <v/>
      </c>
      <c r="N51" s="19">
        <f>IF(COUNTIFS(T_SelfStock_Log[Part Name],$A51,T_SelfStock_Log[WeekIndex],13)=0,"",SUMIFS(T_SelfStock_Log[Self_Qty],T_SelfStock_Log[Part Name],$A51,T_SelfStock_Log[WeekIndex],13))</f>
        <v/>
      </c>
      <c r="O51" s="19">
        <f>IF(COUNTIFS(T_SelfStock_Log[Part Name],$A51,T_SelfStock_Log[WeekIndex],14)=0,"",SUMIFS(T_SelfStock_Log[Self_Qty],T_SelfStock_Log[Part Name],$A51,T_SelfStock_Log[WeekIndex],14))</f>
        <v/>
      </c>
      <c r="P51" s="19">
        <f>IF(COUNTIFS(T_SelfStock_Log[Part Name],$A51,T_SelfStock_Log[WeekIndex],15)=0,"",SUMIFS(T_SelfStock_Log[Self_Qty],T_SelfStock_Log[Part Name],$A51,T_SelfStock_Log[WeekIndex],15))</f>
        <v/>
      </c>
      <c r="Q51" s="19">
        <f>IF(COUNTIFS(T_SelfStock_Log[Part Name],$A51,T_SelfStock_Log[WeekIndex],16)=0,"",SUMIFS(T_SelfStock_Log[Self_Qty],T_SelfStock_Log[Part Name],$A51,T_SelfStock_Log[WeekIndex],16))</f>
        <v/>
      </c>
      <c r="R51" s="19">
        <f>IF(COUNTIFS(T_SelfStock_Log[Part Name],$A51,T_SelfStock_Log[WeekIndex],17)=0,"",SUMIFS(T_SelfStock_Log[Self_Qty],T_SelfStock_Log[Part Name],$A51,T_SelfStock_Log[WeekIndex],17))</f>
        <v/>
      </c>
      <c r="S51" s="19">
        <f>IF(COUNTIFS(T_SelfStock_Log[Part Name],$A51,T_SelfStock_Log[WeekIndex],18)=0,"",SUMIFS(T_SelfStock_Log[Self_Qty],T_SelfStock_Log[Part Name],$A51,T_SelfStock_Log[WeekIndex],18))</f>
        <v/>
      </c>
      <c r="T51" s="19">
        <f>IF(COUNTIFS(T_SelfStock_Log[Part Name],$A51,T_SelfStock_Log[WeekIndex],19)=0,"",SUMIFS(T_SelfStock_Log[Self_Qty],T_SelfStock_Log[Part Name],$A51,T_SelfStock_Log[WeekIndex],19))</f>
        <v/>
      </c>
      <c r="U51" s="19">
        <f>IF(COUNTIFS(T_SelfStock_Log[Part Name],$A51,T_SelfStock_Log[WeekIndex],20)=0,"",SUMIFS(T_SelfStock_Log[Self_Qty],T_SelfStock_Log[Part Name],$A51,T_SelfStock_Log[WeekIndex],20))</f>
        <v/>
      </c>
      <c r="V51" s="19">
        <f>IF(COUNTIFS(T_SelfStock_Log[Part Name],$A51,T_SelfStock_Log[WeekIndex],21)=0,"",SUMIFS(T_SelfStock_Log[Self_Qty],T_SelfStock_Log[Part Name],$A51,T_SelfStock_Log[WeekIndex],21))</f>
        <v/>
      </c>
      <c r="W51" s="19">
        <f>IF(COUNTIFS(T_SelfStock_Log[Part Name],$A51,T_SelfStock_Log[WeekIndex],22)=0,"",SUMIFS(T_SelfStock_Log[Self_Qty],T_SelfStock_Log[Part Name],$A51,T_SelfStock_Log[WeekIndex],22))</f>
        <v/>
      </c>
      <c r="X51" s="19">
        <f>IF(COUNTIFS(T_SelfStock_Log[Part Name],$A51,T_SelfStock_Log[WeekIndex],23)=0,"",SUMIFS(T_SelfStock_Log[Self_Qty],T_SelfStock_Log[Part Name],$A51,T_SelfStock_Log[WeekIndex],23))</f>
        <v/>
      </c>
      <c r="Y51" s="19">
        <f>IF(COUNTIFS(T_SelfStock_Log[Part Name],$A51,T_SelfStock_Log[WeekIndex],24)=0,"",SUMIFS(T_SelfStock_Log[Self_Qty],T_SelfStock_Log[Part Name],$A51,T_SelfStock_Log[WeekIndex],24))</f>
        <v/>
      </c>
      <c r="Z51" s="19">
        <f>IF(COUNTIFS(T_SelfStock_Log[Part Name],$A51,T_SelfStock_Log[WeekIndex],25)=0,"",SUMIFS(T_SelfStock_Log[Self_Qty],T_SelfStock_Log[Part Name],$A51,T_SelfStock_Log[WeekIndex],25))</f>
        <v/>
      </c>
      <c r="AA51" s="19">
        <f>IF(COUNTIFS(T_SelfStock_Log[Part Name],$A51,T_SelfStock_Log[WeekIndex],26)=0,"",SUMIFS(T_SelfStock_Log[Self_Qty],T_SelfStock_Log[Part Name],$A51,T_SelfStock_Log[WeekIndex],26))</f>
        <v/>
      </c>
      <c r="AB51" s="19">
        <f>IF(COUNTIFS(T_SelfStock_Log[Part Name],$A51,T_SelfStock_Log[WeekIndex],27)=0,"",SUMIFS(T_SelfStock_Log[Self_Qty],T_SelfStock_Log[Part Name],$A51,T_SelfStock_Log[WeekIndex],27))</f>
        <v/>
      </c>
      <c r="AC51" s="19">
        <f>IF(COUNTIFS(T_SelfStock_Log[Part Name],$A51,T_SelfStock_Log[WeekIndex],28)=0,"",SUMIFS(T_SelfStock_Log[Self_Qty],T_SelfStock_Log[Part Name],$A51,T_SelfStock_Log[WeekIndex],28))</f>
        <v/>
      </c>
      <c r="AD51" s="19">
        <f>IF(COUNTIFS(T_SelfStock_Log[Part Name],$A51,T_SelfStock_Log[WeekIndex],29)=0,"",SUMIFS(T_SelfStock_Log[Self_Qty],T_SelfStock_Log[Part Name],$A51,T_SelfStock_Log[WeekIndex],29))</f>
        <v/>
      </c>
      <c r="AE51" s="19">
        <f>IF(COUNTIFS(T_SelfStock_Log[Part Name],$A51,T_SelfStock_Log[WeekIndex],30)=0,"",SUMIFS(T_SelfStock_Log[Self_Qty],T_SelfStock_Log[Part Name],$A51,T_SelfStock_Log[WeekIndex],30))</f>
        <v/>
      </c>
      <c r="AF51" s="19">
        <f>IF(COUNTIFS(T_SelfStock_Log[Part Name],$A51,T_SelfStock_Log[WeekIndex],31)=0,"",SUMIFS(T_SelfStock_Log[Self_Qty],T_SelfStock_Log[Part Name],$A51,T_SelfStock_Log[WeekIndex],31))</f>
        <v/>
      </c>
      <c r="AG51" s="19">
        <f>IF(COUNTIFS(T_SelfStock_Log[Part Name],$A51,T_SelfStock_Log[WeekIndex],32)=0,"",SUMIFS(T_SelfStock_Log[Self_Qty],T_SelfStock_Log[Part Name],$A51,T_SelfStock_Log[WeekIndex],32))</f>
        <v/>
      </c>
      <c r="AH51" s="19">
        <f>IF(COUNTIFS(T_SelfStock_Log[Part Name],$A51,T_SelfStock_Log[WeekIndex],33)=0,"",SUMIFS(T_SelfStock_Log[Self_Qty],T_SelfStock_Log[Part Name],$A51,T_SelfStock_Log[WeekIndex],33))</f>
        <v/>
      </c>
      <c r="AI51" s="19">
        <f>IF(COUNTIFS(T_SelfStock_Log[Part Name],$A51,T_SelfStock_Log[WeekIndex],34)=0,"",SUMIFS(T_SelfStock_Log[Self_Qty],T_SelfStock_Log[Part Name],$A51,T_SelfStock_Log[WeekIndex],34))</f>
        <v/>
      </c>
      <c r="AJ51" s="19">
        <f>IF(COUNTIFS(T_SelfStock_Log[Part Name],$A51,T_SelfStock_Log[WeekIndex],35)=0,"",SUMIFS(T_SelfStock_Log[Self_Qty],T_SelfStock_Log[Part Name],$A51,T_SelfStock_Log[WeekIndex],35))</f>
        <v/>
      </c>
      <c r="AK51" s="19">
        <f>IF(COUNTIFS(T_SelfStock_Log[Part Name],$A51,T_SelfStock_Log[WeekIndex],36)=0,"",SUMIFS(T_SelfStock_Log[Self_Qty],T_SelfStock_Log[Part Name],$A51,T_SelfStock_Log[WeekIndex],36))</f>
        <v/>
      </c>
      <c r="AL51" s="19">
        <f>IF(COUNTIFS(T_SelfStock_Log[Part Name],$A51,T_SelfStock_Log[WeekIndex],37)=0,"",SUMIFS(T_SelfStock_Log[Self_Qty],T_SelfStock_Log[Part Name],$A51,T_SelfStock_Log[WeekIndex],37))</f>
        <v/>
      </c>
      <c r="AM51" s="19">
        <f>IF(COUNTIFS(T_SelfStock_Log[Part Name],$A51,T_SelfStock_Log[WeekIndex],38)=0,"",SUMIFS(T_SelfStock_Log[Self_Qty],T_SelfStock_Log[Part Name],$A51,T_SelfStock_Log[WeekIndex],38))</f>
        <v/>
      </c>
      <c r="AN51" s="19">
        <f>IF(COUNTIFS(T_SelfStock_Log[Part Name],$A51,T_SelfStock_Log[WeekIndex],39)=0,"",SUMIFS(T_SelfStock_Log[Self_Qty],T_SelfStock_Log[Part Name],$A51,T_SelfStock_Log[WeekIndex],39))</f>
        <v/>
      </c>
      <c r="AO51" s="19">
        <f>IF(COUNTIFS(T_SelfStock_Log[Part Name],$A51,T_SelfStock_Log[WeekIndex],40)=0,"",SUMIFS(T_SelfStock_Log[Self_Qty],T_SelfStock_Log[Part Name],$A51,T_SelfStock_Log[WeekIndex],40))</f>
        <v/>
      </c>
      <c r="AP51" s="19">
        <f>IF(COUNTIFS(T_SelfStock_Log[Part Name],$A51,T_SelfStock_Log[WeekIndex],41)=0,"",SUMIFS(T_SelfStock_Log[Self_Qty],T_SelfStock_Log[Part Name],$A51,T_SelfStock_Log[WeekIndex],41))</f>
        <v/>
      </c>
      <c r="AQ51" s="19">
        <f>IF(COUNTIFS(T_SelfStock_Log[Part Name],$A51,T_SelfStock_Log[WeekIndex],42)=0,"",SUMIFS(T_SelfStock_Log[Self_Qty],T_SelfStock_Log[Part Name],$A51,T_SelfStock_Log[WeekIndex],42))</f>
        <v/>
      </c>
      <c r="AR51" s="19">
        <f>IF(COUNTIFS(T_SelfStock_Log[Part Name],$A51,T_SelfStock_Log[WeekIndex],43)=0,"",SUMIFS(T_SelfStock_Log[Self_Qty],T_SelfStock_Log[Part Name],$A51,T_SelfStock_Log[WeekIndex],43))</f>
        <v/>
      </c>
      <c r="AS51" s="19">
        <f>IF(COUNTIFS(T_SelfStock_Log[Part Name],$A51,T_SelfStock_Log[WeekIndex],44)=0,"",SUMIFS(T_SelfStock_Log[Self_Qty],T_SelfStock_Log[Part Name],$A51,T_SelfStock_Log[WeekIndex],44))</f>
        <v/>
      </c>
      <c r="AT51" s="19">
        <f>IF(COUNTIFS(T_SelfStock_Log[Part Name],$A51,T_SelfStock_Log[WeekIndex],45)=0,"",SUMIFS(T_SelfStock_Log[Self_Qty],T_SelfStock_Log[Part Name],$A51,T_SelfStock_Log[WeekIndex],45))</f>
        <v/>
      </c>
      <c r="AU51" s="19">
        <f>IF(COUNTIFS(T_SelfStock_Log[Part Name],$A51,T_SelfStock_Log[WeekIndex],46)=0,"",SUMIFS(T_SelfStock_Log[Self_Qty],T_SelfStock_Log[Part Name],$A51,T_SelfStock_Log[WeekIndex],46))</f>
        <v/>
      </c>
      <c r="AV51" s="19">
        <f>IF(COUNTIFS(T_SelfStock_Log[Part Name],$A51,T_SelfStock_Log[WeekIndex],47)=0,"",SUMIFS(T_SelfStock_Log[Self_Qty],T_SelfStock_Log[Part Name],$A51,T_SelfStock_Log[WeekIndex],47))</f>
        <v/>
      </c>
      <c r="AW51" s="19">
        <f>IF(COUNTIFS(T_SelfStock_Log[Part Name],$A51,T_SelfStock_Log[WeekIndex],48)=0,"",SUMIFS(T_SelfStock_Log[Self_Qty],T_SelfStock_Log[Part Name],$A51,T_SelfStock_Log[WeekIndex],48))</f>
        <v/>
      </c>
      <c r="AX51" s="19">
        <f>IF(COUNTIFS(T_SelfStock_Log[Part Name],$A51,T_SelfStock_Log[WeekIndex],49)=0,"",SUMIFS(T_SelfStock_Log[Self_Qty],T_SelfStock_Log[Part Name],$A51,T_SelfStock_Log[WeekIndex],49))</f>
        <v/>
      </c>
      <c r="AY51" s="19">
        <f>IF(COUNTIFS(T_SelfStock_Log[Part Name],$A51,T_SelfStock_Log[WeekIndex],50)=0,"",SUMIFS(T_SelfStock_Log[Self_Qty],T_SelfStock_Log[Part Name],$A51,T_SelfStock_Log[WeekIndex],50))</f>
        <v/>
      </c>
      <c r="AZ51" s="19">
        <f>IF(COUNTIFS(T_SelfStock_Log[Part Name],$A51,T_SelfStock_Log[WeekIndex],51)=0,"",SUMIFS(T_SelfStock_Log[Self_Qty],T_SelfStock_Log[Part Name],$A51,T_SelfStock_Log[WeekIndex],51))</f>
        <v/>
      </c>
      <c r="BA51" s="19">
        <f>IF(COUNTIFS(T_SelfStock_Log[Part Name],$A51,T_SelfStock_Log[WeekIndex],52)=0,"",SUMIFS(T_SelfStock_Log[Self_Qty],T_SelfStock_Log[Part Name],$A51,T_SelfStock_Log[WeekIndex],52))</f>
        <v/>
      </c>
      <c r="BB51" s="19">
        <f>IF(COUNTIFS(T_SelfStock_Log[Part Name],$A51,T_SelfStock_Log[WeekIndex],53)=0,"",SUMIFS(T_SelfStock_Log[Self_Qty],T_SelfStock_Log[Part Name],$A51,T_SelfStock_Log[WeekIndex],53))</f>
        <v/>
      </c>
      <c r="BC51" s="19">
        <f>IF(COUNTIFS(T_SelfStock_Log[Part Name],$A51,T_SelfStock_Log[WeekIndex],54)=0,"",SUMIFS(T_SelfStock_Log[Self_Qty],T_SelfStock_Log[Part Name],$A51,T_SelfStock_Log[WeekIndex],54))</f>
        <v/>
      </c>
      <c r="BD51" s="19">
        <f>IF(COUNTIFS(T_SelfStock_Log[Part Name],$A51,T_SelfStock_Log[WeekIndex],55)=0,"",SUMIFS(T_SelfStock_Log[Self_Qty],T_SelfStock_Log[Part Name],$A51,T_SelfStock_Log[WeekIndex],55))</f>
        <v/>
      </c>
      <c r="BE51" s="19">
        <f>IF(COUNTIFS(T_SelfStock_Log[Part Name],$A51,T_SelfStock_Log[WeekIndex],56)=0,"",SUMIFS(T_SelfStock_Log[Self_Qty],T_SelfStock_Log[Part Name],$A51,T_SelfStock_Log[WeekIndex],56))</f>
        <v/>
      </c>
      <c r="BF51" s="19">
        <f>IF(COUNTIFS(T_SelfStock_Log[Part Name],$A51,T_SelfStock_Log[WeekIndex],57)=0,"",SUMIFS(T_SelfStock_Log[Self_Qty],T_SelfStock_Log[Part Name],$A51,T_SelfStock_Log[WeekIndex],57))</f>
        <v/>
      </c>
      <c r="BG51" s="19">
        <f>IF(COUNTIFS(T_SelfStock_Log[Part Name],$A51,T_SelfStock_Log[WeekIndex],58)=0,"",SUMIFS(T_SelfStock_Log[Self_Qty],T_SelfStock_Log[Part Name],$A51,T_SelfStock_Log[WeekIndex],58))</f>
        <v/>
      </c>
      <c r="BH51" s="19">
        <f>IF(COUNTIFS(T_SelfStock_Log[Part Name],$A51,T_SelfStock_Log[WeekIndex],59)=0,"",SUMIFS(T_SelfStock_Log[Self_Qty],T_SelfStock_Log[Part Name],$A51,T_SelfStock_Log[WeekIndex],59))</f>
        <v/>
      </c>
      <c r="BI51" s="19">
        <f>IF(COUNTIFS(T_SelfStock_Log[Part Name],$A51,T_SelfStock_Log[WeekIndex],60)=0,"",SUMIFS(T_SelfStock_Log[Self_Qty],T_SelfStock_Log[Part Name],$A51,T_SelfStock_Log[WeekIndex],60))</f>
        <v/>
      </c>
      <c r="BJ51" s="19">
        <f>IF(COUNTIFS(T_SelfStock_Log[Part Name],$A51,T_SelfStock_Log[WeekIndex],61)=0,"",SUMIFS(T_SelfStock_Log[Self_Qty],T_SelfStock_Log[Part Name],$A51,T_SelfStock_Log[WeekIndex],61))</f>
        <v/>
      </c>
      <c r="BK51" s="19">
        <f>IF(COUNTIFS(T_SelfStock_Log[Part Name],$A51,T_SelfStock_Log[WeekIndex],62)=0,"",SUMIFS(T_SelfStock_Log[Self_Qty],T_SelfStock_Log[Part Name],$A51,T_SelfStock_Log[WeekIndex],62))</f>
        <v/>
      </c>
      <c r="BL51" s="19">
        <f>IF(COUNTIFS(T_SelfStock_Log[Part Name],$A51,T_SelfStock_Log[WeekIndex],63)=0,"",SUMIFS(T_SelfStock_Log[Self_Qty],T_SelfStock_Log[Part Name],$A51,T_SelfStock_Log[WeekIndex],63))</f>
        <v/>
      </c>
      <c r="BM51" s="19">
        <f>IF(COUNTIFS(T_SelfStock_Log[Part Name],$A51,T_SelfStock_Log[WeekIndex],64)=0,"",SUMIFS(T_SelfStock_Log[Self_Qty],T_SelfStock_Log[Part Name],$A51,T_SelfStock_Log[WeekIndex],64))</f>
        <v/>
      </c>
      <c r="BN51" s="19">
        <f>IF(COUNTIFS(T_SelfStock_Log[Part Name],$A51,T_SelfStock_Log[WeekIndex],65)=0,"",SUMIFS(T_SelfStock_Log[Self_Qty],T_SelfStock_Log[Part Name],$A51,T_SelfStock_Log[WeekIndex],65))</f>
        <v/>
      </c>
      <c r="BO51" s="19">
        <f>IF(COUNTIFS(T_SelfStock_Log[Part Name],$A51,T_SelfStock_Log[WeekIndex],66)=0,"",SUMIFS(T_SelfStock_Log[Self_Qty],T_SelfStock_Log[Part Name],$A51,T_SelfStock_Log[WeekIndex],66))</f>
        <v/>
      </c>
      <c r="BP51" s="19">
        <f>IF(COUNTIFS(T_SelfStock_Log[Part Name],$A51,T_SelfStock_Log[WeekIndex],67)=0,"",SUMIFS(T_SelfStock_Log[Self_Qty],T_SelfStock_Log[Part Name],$A51,T_SelfStock_Log[WeekIndex],67))</f>
        <v/>
      </c>
      <c r="BQ51" s="19">
        <f>IF(COUNTIFS(T_SelfStock_Log[Part Name],$A51,T_SelfStock_Log[WeekIndex],68)=0,"",SUMIFS(T_SelfStock_Log[Self_Qty],T_SelfStock_Log[Part Name],$A51,T_SelfStock_Log[WeekIndex],68))</f>
        <v/>
      </c>
      <c r="BR51" s="19">
        <f>IF(COUNTIFS(T_SelfStock_Log[Part Name],$A51,T_SelfStock_Log[WeekIndex],69)=0,"",SUMIFS(T_SelfStock_Log[Self_Qty],T_SelfStock_Log[Part Name],$A51,T_SelfStock_Log[WeekIndex],69))</f>
        <v/>
      </c>
      <c r="BS51" s="19">
        <f>IF(COUNTIFS(T_SelfStock_Log[Part Name],$A51,T_SelfStock_Log[WeekIndex],70)=0,"",SUMIFS(T_SelfStock_Log[Self_Qty],T_SelfStock_Log[Part Name],$A51,T_SelfStock_Log[WeekIndex],70))</f>
        <v/>
      </c>
      <c r="BT51" s="19">
        <f>IF(COUNTIFS(T_SelfStock_Log[Part Name],$A51,T_SelfStock_Log[WeekIndex],71)=0,"",SUMIFS(T_SelfStock_Log[Self_Qty],T_SelfStock_Log[Part Name],$A51,T_SelfStock_Log[WeekIndex],71))</f>
        <v/>
      </c>
      <c r="BU51" s="19">
        <f>IF(COUNTIFS(T_SelfStock_Log[Part Name],$A51,T_SelfStock_Log[WeekIndex],72)=0,"",SUMIFS(T_SelfStock_Log[Self_Qty],T_SelfStock_Log[Part Name],$A51,T_SelfStock_Log[WeekIndex],72))</f>
        <v/>
      </c>
      <c r="BV51" s="19">
        <f>IF(COUNTIFS(T_SelfStock_Log[Part Name],$A51,T_SelfStock_Log[WeekIndex],73)=0,"",SUMIFS(T_SelfStock_Log[Self_Qty],T_SelfStock_Log[Part Name],$A51,T_SelfStock_Log[WeekIndex],73))</f>
        <v/>
      </c>
      <c r="BW51" s="19">
        <f>IF(COUNTIFS(T_SelfStock_Log[Part Name],$A51,T_SelfStock_Log[WeekIndex],74)=0,"",SUMIFS(T_SelfStock_Log[Self_Qty],T_SelfStock_Log[Part Name],$A51,T_SelfStock_Log[WeekIndex],74))</f>
        <v/>
      </c>
      <c r="BX51" s="19">
        <f>IF(COUNTIFS(T_SelfStock_Log[Part Name],$A51,T_SelfStock_Log[WeekIndex],75)=0,"",SUMIFS(T_SelfStock_Log[Self_Qty],T_SelfStock_Log[Part Name],$A51,T_SelfStock_Log[WeekIndex],75))</f>
        <v/>
      </c>
      <c r="BY51" s="19">
        <f>IF(COUNTIFS(T_SelfStock_Log[Part Name],$A51,T_SelfStock_Log[WeekIndex],76)=0,"",SUMIFS(T_SelfStock_Log[Self_Qty],T_SelfStock_Log[Part Name],$A51,T_SelfStock_Log[WeekIndex],76))</f>
        <v/>
      </c>
      <c r="BZ51" s="19">
        <f>IF(COUNTIFS(T_SelfStock_Log[Part Name],$A51,T_SelfStock_Log[WeekIndex],77)=0,"",SUMIFS(T_SelfStock_Log[Self_Qty],T_SelfStock_Log[Part Name],$A51,T_SelfStock_Log[WeekIndex],77))</f>
        <v/>
      </c>
      <c r="CA51" s="19">
        <f>IF(COUNTIFS(T_SelfStock_Log[Part Name],$A51,T_SelfStock_Log[WeekIndex],78)=0,"",SUMIFS(T_SelfStock_Log[Self_Qty],T_SelfStock_Log[Part Name],$A51,T_SelfStock_Log[WeekIndex],78))</f>
        <v/>
      </c>
      <c r="CB51" s="19">
        <f>IF(COUNTIFS(T_SelfStock_Log[Part Name],$A51,T_SelfStock_Log[WeekIndex],79)=0,"",SUMIFS(T_SelfStock_Log[Self_Qty],T_SelfStock_Log[Part Name],$A51,T_SelfStock_Log[WeekIndex],79))</f>
        <v/>
      </c>
      <c r="CC51" s="19">
        <f>IF(COUNTIFS(T_SelfStock_Log[Part Name],$A51,T_SelfStock_Log[WeekIndex],80)=0,"",SUMIFS(T_SelfStock_Log[Self_Qty],T_SelfStock_Log[Part Name],$A51,T_SelfStock_Log[WeekIndex],80))</f>
        <v/>
      </c>
      <c r="CD51" s="19">
        <f>IF(COUNTIFS(T_SelfStock_Log[Part Name],$A51,T_SelfStock_Log[WeekIndex],81)=0,"",SUMIFS(T_SelfStock_Log[Self_Qty],T_SelfStock_Log[Part Name],$A51,T_SelfStock_Log[WeekIndex],81))</f>
        <v/>
      </c>
      <c r="CE51" s="19">
        <f>IF(COUNTIFS(T_SelfStock_Log[Part Name],$A51,T_SelfStock_Log[WeekIndex],82)=0,"",SUMIFS(T_SelfStock_Log[Self_Qty],T_SelfStock_Log[Part Name],$A51,T_SelfStock_Log[WeekIndex],82))</f>
        <v/>
      </c>
      <c r="CF51" s="19">
        <f>IF(COUNTIFS(T_SelfStock_Log[Part Name],$A51,T_SelfStock_Log[WeekIndex],83)=0,"",SUMIFS(T_SelfStock_Log[Self_Qty],T_SelfStock_Log[Part Name],$A51,T_SelfStock_Log[WeekIndex],83))</f>
        <v/>
      </c>
      <c r="CG51" s="19">
        <f>IF(COUNTIFS(T_SelfStock_Log[Part Name],$A51,T_SelfStock_Log[WeekIndex],84)=0,"",SUMIFS(T_SelfStock_Log[Self_Qty],T_SelfStock_Log[Part Name],$A51,T_SelfStock_Log[WeekIndex],84))</f>
        <v/>
      </c>
      <c r="CH51" s="19">
        <f>IF(COUNTIFS(T_SelfStock_Log[Part Name],$A51,T_SelfStock_Log[WeekIndex],85)=0,"",SUMIFS(T_SelfStock_Log[Self_Qty],T_SelfStock_Log[Part Name],$A51,T_SelfStock_Log[WeekIndex],85))</f>
        <v/>
      </c>
      <c r="CI51" s="19">
        <f>IF(COUNTIFS(T_SelfStock_Log[Part Name],$A51,T_SelfStock_Log[WeekIndex],86)=0,"",SUMIFS(T_SelfStock_Log[Self_Qty],T_SelfStock_Log[Part Name],$A51,T_SelfStock_Log[WeekIndex],86))</f>
        <v/>
      </c>
      <c r="CJ51" s="19">
        <f>IF(COUNTIFS(T_SelfStock_Log[Part Name],$A51,T_SelfStock_Log[WeekIndex],87)=0,"",SUMIFS(T_SelfStock_Log[Self_Qty],T_SelfStock_Log[Part Name],$A51,T_SelfStock_Log[WeekIndex],87))</f>
        <v/>
      </c>
      <c r="CK51" s="19">
        <f>IF(COUNTIFS(T_SelfStock_Log[Part Name],$A51,T_SelfStock_Log[WeekIndex],88)=0,"",SUMIFS(T_SelfStock_Log[Self_Qty],T_SelfStock_Log[Part Name],$A51,T_SelfStock_Log[WeekIndex],88))</f>
        <v/>
      </c>
      <c r="CL51" s="19">
        <f>IF(COUNTIFS(T_SelfStock_Log[Part Name],$A51,T_SelfStock_Log[WeekIndex],89)=0,"",SUMIFS(T_SelfStock_Log[Self_Qty],T_SelfStock_Log[Part Name],$A51,T_SelfStock_Log[WeekIndex],89))</f>
        <v/>
      </c>
      <c r="CM51" s="19">
        <f>IF(COUNTIFS(T_SelfStock_Log[Part Name],$A51,T_SelfStock_Log[WeekIndex],90)=0,"",SUMIFS(T_SelfStock_Log[Self_Qty],T_SelfStock_Log[Part Name],$A51,T_SelfStock_Log[WeekIndex],90))</f>
        <v/>
      </c>
      <c r="CN51" s="19">
        <f>IF(COUNTIFS(T_SelfStock_Log[Part Name],$A51,T_SelfStock_Log[WeekIndex],91)=0,"",SUMIFS(T_SelfStock_Log[Self_Qty],T_SelfStock_Log[Part Name],$A51,T_SelfStock_Log[WeekIndex],91))</f>
        <v/>
      </c>
      <c r="CO51" s="19">
        <f>IF(COUNTIFS(T_SelfStock_Log[Part Name],$A51,T_SelfStock_Log[WeekIndex],92)=0,"",SUMIFS(T_SelfStock_Log[Self_Qty],T_SelfStock_Log[Part Name],$A51,T_SelfStock_Log[WeekIndex],92))</f>
        <v/>
      </c>
      <c r="CP51" s="19">
        <f>IF(COUNTIFS(T_SelfStock_Log[Part Name],$A51,T_SelfStock_Log[WeekIndex],93)=0,"",SUMIFS(T_SelfStock_Log[Self_Qty],T_SelfStock_Log[Part Name],$A51,T_SelfStock_Log[WeekIndex],93))</f>
        <v/>
      </c>
      <c r="CQ51" s="19">
        <f>IF(COUNTIFS(T_SelfStock_Log[Part Name],$A51,T_SelfStock_Log[WeekIndex],94)=0,"",SUMIFS(T_SelfStock_Log[Self_Qty],T_SelfStock_Log[Part Name],$A51,T_SelfStock_Log[WeekIndex],94))</f>
        <v/>
      </c>
      <c r="CR51" s="19">
        <f>IF(COUNTIFS(T_SelfStock_Log[Part Name],$A51,T_SelfStock_Log[WeekIndex],95)=0,"",SUMIFS(T_SelfStock_Log[Self_Qty],T_SelfStock_Log[Part Name],$A51,T_SelfStock_Log[WeekIndex],95))</f>
        <v/>
      </c>
      <c r="CS51" s="19">
        <f>IF(COUNTIFS(T_SelfStock_Log[Part Name],$A51,T_SelfStock_Log[WeekIndex],96)=0,"",SUMIFS(T_SelfStock_Log[Self_Qty],T_SelfStock_Log[Part Name],$A51,T_SelfStock_Log[WeekIndex],96))</f>
        <v/>
      </c>
      <c r="CT51" s="19">
        <f>IF(COUNTIFS(T_SelfStock_Log[Part Name],$A51,T_SelfStock_Log[WeekIndex],97)=0,"",SUMIFS(T_SelfStock_Log[Self_Qty],T_SelfStock_Log[Part Name],$A51,T_SelfStock_Log[WeekIndex],97))</f>
        <v/>
      </c>
      <c r="CU51" s="19">
        <f>IF(COUNTIFS(T_SelfStock_Log[Part Name],$A51,T_SelfStock_Log[WeekIndex],98)=0,"",SUMIFS(T_SelfStock_Log[Self_Qty],T_SelfStock_Log[Part Name],$A51,T_SelfStock_Log[WeekIndex],98))</f>
        <v/>
      </c>
      <c r="CV51" s="19">
        <f>IF(COUNTIFS(T_SelfStock_Log[Part Name],$A51,T_SelfStock_Log[WeekIndex],99)=0,"",SUMIFS(T_SelfStock_Log[Self_Qty],T_SelfStock_Log[Part Name],$A51,T_SelfStock_Log[WeekIndex],99))</f>
        <v/>
      </c>
      <c r="CW51" s="19">
        <f>IF(COUNTIFS(T_SelfStock_Log[Part Name],$A51,T_SelfStock_Log[WeekIndex],100)=0,"",SUMIFS(T_SelfStock_Log[Self_Qty],T_SelfStock_Log[Part Name],$A51,T_SelfStock_Log[WeekIndex],100))</f>
        <v/>
      </c>
      <c r="CX51" s="19">
        <f>IF(COUNTIFS(T_SelfStock_Log[Part Name],$A51,T_SelfStock_Log[WeekIndex],101)=0,"",SUMIFS(T_SelfStock_Log[Self_Qty],T_SelfStock_Log[Part Name],$A51,T_SelfStock_Log[WeekIndex],101))</f>
        <v/>
      </c>
      <c r="CY51" s="19">
        <f>IF(COUNTIFS(T_SelfStock_Log[Part Name],$A51,T_SelfStock_Log[WeekIndex],102)=0,"",SUMIFS(T_SelfStock_Log[Self_Qty],T_SelfStock_Log[Part Name],$A51,T_SelfStock_Log[WeekIndex],102))</f>
        <v/>
      </c>
      <c r="CZ51" s="19">
        <f>IF(COUNTIFS(T_SelfStock_Log[Part Name],$A51,T_SelfStock_Log[WeekIndex],103)=0,"",SUMIFS(T_SelfStock_Log[Self_Qty],T_SelfStock_Log[Part Name],$A51,T_SelfStock_Log[WeekIndex],103))</f>
        <v/>
      </c>
      <c r="DA51" s="19">
        <f>IF(COUNTIFS(T_SelfStock_Log[Part Name],$A51,T_SelfStock_Log[WeekIndex],104)=0,"",SUMIFS(T_SelfStock_Log[Self_Qty],T_SelfStock_Log[Part Name],$A51,T_SelfStock_Log[WeekIndex],104))</f>
        <v/>
      </c>
    </row>
    <row r="52">
      <c r="A52" s="17" t="inlineStr">
        <is>
          <t>CHEM-1470</t>
        </is>
      </c>
      <c r="B52" s="17">
        <f>IF(COUNTIFS(T_SelfStock_Log[Part Name],$A52,T_SelfStock_Log[WeekIndex],1)=0,"",SUMIFS(T_SelfStock_Log[Self_Qty],T_SelfStock_Log[Part Name],$A52,T_SelfStock_Log[WeekIndex],1))</f>
        <v/>
      </c>
      <c r="C52" s="17">
        <f>IF(COUNTIFS(T_SelfStock_Log[Part Name],$A52,T_SelfStock_Log[WeekIndex],2)=0,"",SUMIFS(T_SelfStock_Log[Self_Qty],T_SelfStock_Log[Part Name],$A52,T_SelfStock_Log[WeekIndex],2))</f>
        <v/>
      </c>
      <c r="D52" s="17">
        <f>IF(COUNTIFS(T_SelfStock_Log[Part Name],$A52,T_SelfStock_Log[WeekIndex],3)=0,"",SUMIFS(T_SelfStock_Log[Self_Qty],T_SelfStock_Log[Part Name],$A52,T_SelfStock_Log[WeekIndex],3))</f>
        <v/>
      </c>
      <c r="E52" s="17">
        <f>IF(COUNTIFS(T_SelfStock_Log[Part Name],$A52,T_SelfStock_Log[WeekIndex],4)=0,"",SUMIFS(T_SelfStock_Log[Self_Qty],T_SelfStock_Log[Part Name],$A52,T_SelfStock_Log[WeekIndex],4))</f>
        <v/>
      </c>
      <c r="F52" s="17">
        <f>IF(COUNTIFS(T_SelfStock_Log[Part Name],$A52,T_SelfStock_Log[WeekIndex],5)=0,"",SUMIFS(T_SelfStock_Log[Self_Qty],T_SelfStock_Log[Part Name],$A52,T_SelfStock_Log[WeekIndex],5))</f>
        <v/>
      </c>
      <c r="G52" s="17">
        <f>IF(COUNTIFS(T_SelfStock_Log[Part Name],$A52,T_SelfStock_Log[WeekIndex],6)=0,"",SUMIFS(T_SelfStock_Log[Self_Qty],T_SelfStock_Log[Part Name],$A52,T_SelfStock_Log[WeekIndex],6))</f>
        <v/>
      </c>
      <c r="H52" s="17">
        <f>IF(COUNTIFS(T_SelfStock_Log[Part Name],$A52,T_SelfStock_Log[WeekIndex],7)=0,"",SUMIFS(T_SelfStock_Log[Self_Qty],T_SelfStock_Log[Part Name],$A52,T_SelfStock_Log[WeekIndex],7))</f>
        <v/>
      </c>
      <c r="I52" s="17">
        <f>IF(COUNTIFS(T_SelfStock_Log[Part Name],$A52,T_SelfStock_Log[WeekIndex],8)=0,"",SUMIFS(T_SelfStock_Log[Self_Qty],T_SelfStock_Log[Part Name],$A52,T_SelfStock_Log[WeekIndex],8))</f>
        <v/>
      </c>
      <c r="J52" s="17">
        <f>IF(COUNTIFS(T_SelfStock_Log[Part Name],$A52,T_SelfStock_Log[WeekIndex],9)=0,"",SUMIFS(T_SelfStock_Log[Self_Qty],T_SelfStock_Log[Part Name],$A52,T_SelfStock_Log[WeekIndex],9))</f>
        <v/>
      </c>
      <c r="K52" s="17">
        <f>IF(COUNTIFS(T_SelfStock_Log[Part Name],$A52,T_SelfStock_Log[WeekIndex],10)=0,"",SUMIFS(T_SelfStock_Log[Self_Qty],T_SelfStock_Log[Part Name],$A52,T_SelfStock_Log[WeekIndex],10))</f>
        <v/>
      </c>
      <c r="L52" s="17">
        <f>IF(COUNTIFS(T_SelfStock_Log[Part Name],$A52,T_SelfStock_Log[WeekIndex],11)=0,"",SUMIFS(T_SelfStock_Log[Self_Qty],T_SelfStock_Log[Part Name],$A52,T_SelfStock_Log[WeekIndex],11))</f>
        <v/>
      </c>
      <c r="M52" s="17">
        <f>IF(COUNTIFS(T_SelfStock_Log[Part Name],$A52,T_SelfStock_Log[WeekIndex],12)=0,"",SUMIFS(T_SelfStock_Log[Self_Qty],T_SelfStock_Log[Part Name],$A52,T_SelfStock_Log[WeekIndex],12))</f>
        <v/>
      </c>
      <c r="N52" s="17">
        <f>IF(COUNTIFS(T_SelfStock_Log[Part Name],$A52,T_SelfStock_Log[WeekIndex],13)=0,"",SUMIFS(T_SelfStock_Log[Self_Qty],T_SelfStock_Log[Part Name],$A52,T_SelfStock_Log[WeekIndex],13))</f>
        <v/>
      </c>
      <c r="O52" s="17">
        <f>IF(COUNTIFS(T_SelfStock_Log[Part Name],$A52,T_SelfStock_Log[WeekIndex],14)=0,"",SUMIFS(T_SelfStock_Log[Self_Qty],T_SelfStock_Log[Part Name],$A52,T_SelfStock_Log[WeekIndex],14))</f>
        <v/>
      </c>
      <c r="P52" s="17">
        <f>IF(COUNTIFS(T_SelfStock_Log[Part Name],$A52,T_SelfStock_Log[WeekIndex],15)=0,"",SUMIFS(T_SelfStock_Log[Self_Qty],T_SelfStock_Log[Part Name],$A52,T_SelfStock_Log[WeekIndex],15))</f>
        <v/>
      </c>
      <c r="Q52" s="17">
        <f>IF(COUNTIFS(T_SelfStock_Log[Part Name],$A52,T_SelfStock_Log[WeekIndex],16)=0,"",SUMIFS(T_SelfStock_Log[Self_Qty],T_SelfStock_Log[Part Name],$A52,T_SelfStock_Log[WeekIndex],16))</f>
        <v/>
      </c>
      <c r="R52" s="17">
        <f>IF(COUNTIFS(T_SelfStock_Log[Part Name],$A52,T_SelfStock_Log[WeekIndex],17)=0,"",SUMIFS(T_SelfStock_Log[Self_Qty],T_SelfStock_Log[Part Name],$A52,T_SelfStock_Log[WeekIndex],17))</f>
        <v/>
      </c>
      <c r="S52" s="17">
        <f>IF(COUNTIFS(T_SelfStock_Log[Part Name],$A52,T_SelfStock_Log[WeekIndex],18)=0,"",SUMIFS(T_SelfStock_Log[Self_Qty],T_SelfStock_Log[Part Name],$A52,T_SelfStock_Log[WeekIndex],18))</f>
        <v/>
      </c>
      <c r="T52" s="17">
        <f>IF(COUNTIFS(T_SelfStock_Log[Part Name],$A52,T_SelfStock_Log[WeekIndex],19)=0,"",SUMIFS(T_SelfStock_Log[Self_Qty],T_SelfStock_Log[Part Name],$A52,T_SelfStock_Log[WeekIndex],19))</f>
        <v/>
      </c>
      <c r="U52" s="17">
        <f>IF(COUNTIFS(T_SelfStock_Log[Part Name],$A52,T_SelfStock_Log[WeekIndex],20)=0,"",SUMIFS(T_SelfStock_Log[Self_Qty],T_SelfStock_Log[Part Name],$A52,T_SelfStock_Log[WeekIndex],20))</f>
        <v/>
      </c>
      <c r="V52" s="17">
        <f>IF(COUNTIFS(T_SelfStock_Log[Part Name],$A52,T_SelfStock_Log[WeekIndex],21)=0,"",SUMIFS(T_SelfStock_Log[Self_Qty],T_SelfStock_Log[Part Name],$A52,T_SelfStock_Log[WeekIndex],21))</f>
        <v/>
      </c>
      <c r="W52" s="17">
        <f>IF(COUNTIFS(T_SelfStock_Log[Part Name],$A52,T_SelfStock_Log[WeekIndex],22)=0,"",SUMIFS(T_SelfStock_Log[Self_Qty],T_SelfStock_Log[Part Name],$A52,T_SelfStock_Log[WeekIndex],22))</f>
        <v/>
      </c>
      <c r="X52" s="17">
        <f>IF(COUNTIFS(T_SelfStock_Log[Part Name],$A52,T_SelfStock_Log[WeekIndex],23)=0,"",SUMIFS(T_SelfStock_Log[Self_Qty],T_SelfStock_Log[Part Name],$A52,T_SelfStock_Log[WeekIndex],23))</f>
        <v/>
      </c>
      <c r="Y52" s="17">
        <f>IF(COUNTIFS(T_SelfStock_Log[Part Name],$A52,T_SelfStock_Log[WeekIndex],24)=0,"",SUMIFS(T_SelfStock_Log[Self_Qty],T_SelfStock_Log[Part Name],$A52,T_SelfStock_Log[WeekIndex],24))</f>
        <v/>
      </c>
      <c r="Z52" s="17">
        <f>IF(COUNTIFS(T_SelfStock_Log[Part Name],$A52,T_SelfStock_Log[WeekIndex],25)=0,"",SUMIFS(T_SelfStock_Log[Self_Qty],T_SelfStock_Log[Part Name],$A52,T_SelfStock_Log[WeekIndex],25))</f>
        <v/>
      </c>
      <c r="AA52" s="17">
        <f>IF(COUNTIFS(T_SelfStock_Log[Part Name],$A52,T_SelfStock_Log[WeekIndex],26)=0,"",SUMIFS(T_SelfStock_Log[Self_Qty],T_SelfStock_Log[Part Name],$A52,T_SelfStock_Log[WeekIndex],26))</f>
        <v/>
      </c>
      <c r="AB52" s="17">
        <f>IF(COUNTIFS(T_SelfStock_Log[Part Name],$A52,T_SelfStock_Log[WeekIndex],27)=0,"",SUMIFS(T_SelfStock_Log[Self_Qty],T_SelfStock_Log[Part Name],$A52,T_SelfStock_Log[WeekIndex],27))</f>
        <v/>
      </c>
      <c r="AC52" s="17">
        <f>IF(COUNTIFS(T_SelfStock_Log[Part Name],$A52,T_SelfStock_Log[WeekIndex],28)=0,"",SUMIFS(T_SelfStock_Log[Self_Qty],T_SelfStock_Log[Part Name],$A52,T_SelfStock_Log[WeekIndex],28))</f>
        <v/>
      </c>
      <c r="AD52" s="17">
        <f>IF(COUNTIFS(T_SelfStock_Log[Part Name],$A52,T_SelfStock_Log[WeekIndex],29)=0,"",SUMIFS(T_SelfStock_Log[Self_Qty],T_SelfStock_Log[Part Name],$A52,T_SelfStock_Log[WeekIndex],29))</f>
        <v/>
      </c>
      <c r="AE52" s="17">
        <f>IF(COUNTIFS(T_SelfStock_Log[Part Name],$A52,T_SelfStock_Log[WeekIndex],30)=0,"",SUMIFS(T_SelfStock_Log[Self_Qty],T_SelfStock_Log[Part Name],$A52,T_SelfStock_Log[WeekIndex],30))</f>
        <v/>
      </c>
      <c r="AF52" s="17">
        <f>IF(COUNTIFS(T_SelfStock_Log[Part Name],$A52,T_SelfStock_Log[WeekIndex],31)=0,"",SUMIFS(T_SelfStock_Log[Self_Qty],T_SelfStock_Log[Part Name],$A52,T_SelfStock_Log[WeekIndex],31))</f>
        <v/>
      </c>
      <c r="AG52" s="17">
        <f>IF(COUNTIFS(T_SelfStock_Log[Part Name],$A52,T_SelfStock_Log[WeekIndex],32)=0,"",SUMIFS(T_SelfStock_Log[Self_Qty],T_SelfStock_Log[Part Name],$A52,T_SelfStock_Log[WeekIndex],32))</f>
        <v/>
      </c>
      <c r="AH52" s="17">
        <f>IF(COUNTIFS(T_SelfStock_Log[Part Name],$A52,T_SelfStock_Log[WeekIndex],33)=0,"",SUMIFS(T_SelfStock_Log[Self_Qty],T_SelfStock_Log[Part Name],$A52,T_SelfStock_Log[WeekIndex],33))</f>
        <v/>
      </c>
      <c r="AI52" s="17">
        <f>IF(COUNTIFS(T_SelfStock_Log[Part Name],$A52,T_SelfStock_Log[WeekIndex],34)=0,"",SUMIFS(T_SelfStock_Log[Self_Qty],T_SelfStock_Log[Part Name],$A52,T_SelfStock_Log[WeekIndex],34))</f>
        <v/>
      </c>
      <c r="AJ52" s="17">
        <f>IF(COUNTIFS(T_SelfStock_Log[Part Name],$A52,T_SelfStock_Log[WeekIndex],35)=0,"",SUMIFS(T_SelfStock_Log[Self_Qty],T_SelfStock_Log[Part Name],$A52,T_SelfStock_Log[WeekIndex],35))</f>
        <v/>
      </c>
      <c r="AK52" s="17">
        <f>IF(COUNTIFS(T_SelfStock_Log[Part Name],$A52,T_SelfStock_Log[WeekIndex],36)=0,"",SUMIFS(T_SelfStock_Log[Self_Qty],T_SelfStock_Log[Part Name],$A52,T_SelfStock_Log[WeekIndex],36))</f>
        <v/>
      </c>
      <c r="AL52" s="17">
        <f>IF(COUNTIFS(T_SelfStock_Log[Part Name],$A52,T_SelfStock_Log[WeekIndex],37)=0,"",SUMIFS(T_SelfStock_Log[Self_Qty],T_SelfStock_Log[Part Name],$A52,T_SelfStock_Log[WeekIndex],37))</f>
        <v/>
      </c>
      <c r="AM52" s="17">
        <f>IF(COUNTIFS(T_SelfStock_Log[Part Name],$A52,T_SelfStock_Log[WeekIndex],38)=0,"",SUMIFS(T_SelfStock_Log[Self_Qty],T_SelfStock_Log[Part Name],$A52,T_SelfStock_Log[WeekIndex],38))</f>
        <v/>
      </c>
      <c r="AN52" s="17">
        <f>IF(COUNTIFS(T_SelfStock_Log[Part Name],$A52,T_SelfStock_Log[WeekIndex],39)=0,"",SUMIFS(T_SelfStock_Log[Self_Qty],T_SelfStock_Log[Part Name],$A52,T_SelfStock_Log[WeekIndex],39))</f>
        <v/>
      </c>
      <c r="AO52" s="17">
        <f>IF(COUNTIFS(T_SelfStock_Log[Part Name],$A52,T_SelfStock_Log[WeekIndex],40)=0,"",SUMIFS(T_SelfStock_Log[Self_Qty],T_SelfStock_Log[Part Name],$A52,T_SelfStock_Log[WeekIndex],40))</f>
        <v/>
      </c>
      <c r="AP52" s="17">
        <f>IF(COUNTIFS(T_SelfStock_Log[Part Name],$A52,T_SelfStock_Log[WeekIndex],41)=0,"",SUMIFS(T_SelfStock_Log[Self_Qty],T_SelfStock_Log[Part Name],$A52,T_SelfStock_Log[WeekIndex],41))</f>
        <v/>
      </c>
      <c r="AQ52" s="17">
        <f>IF(COUNTIFS(T_SelfStock_Log[Part Name],$A52,T_SelfStock_Log[WeekIndex],42)=0,"",SUMIFS(T_SelfStock_Log[Self_Qty],T_SelfStock_Log[Part Name],$A52,T_SelfStock_Log[WeekIndex],42))</f>
        <v/>
      </c>
      <c r="AR52" s="17">
        <f>IF(COUNTIFS(T_SelfStock_Log[Part Name],$A52,T_SelfStock_Log[WeekIndex],43)=0,"",SUMIFS(T_SelfStock_Log[Self_Qty],T_SelfStock_Log[Part Name],$A52,T_SelfStock_Log[WeekIndex],43))</f>
        <v/>
      </c>
      <c r="AS52" s="17">
        <f>IF(COUNTIFS(T_SelfStock_Log[Part Name],$A52,T_SelfStock_Log[WeekIndex],44)=0,"",SUMIFS(T_SelfStock_Log[Self_Qty],T_SelfStock_Log[Part Name],$A52,T_SelfStock_Log[WeekIndex],44))</f>
        <v/>
      </c>
      <c r="AT52" s="17">
        <f>IF(COUNTIFS(T_SelfStock_Log[Part Name],$A52,T_SelfStock_Log[WeekIndex],45)=0,"",SUMIFS(T_SelfStock_Log[Self_Qty],T_SelfStock_Log[Part Name],$A52,T_SelfStock_Log[WeekIndex],45))</f>
        <v/>
      </c>
      <c r="AU52" s="17">
        <f>IF(COUNTIFS(T_SelfStock_Log[Part Name],$A52,T_SelfStock_Log[WeekIndex],46)=0,"",SUMIFS(T_SelfStock_Log[Self_Qty],T_SelfStock_Log[Part Name],$A52,T_SelfStock_Log[WeekIndex],46))</f>
        <v/>
      </c>
      <c r="AV52" s="17">
        <f>IF(COUNTIFS(T_SelfStock_Log[Part Name],$A52,T_SelfStock_Log[WeekIndex],47)=0,"",SUMIFS(T_SelfStock_Log[Self_Qty],T_SelfStock_Log[Part Name],$A52,T_SelfStock_Log[WeekIndex],47))</f>
        <v/>
      </c>
      <c r="AW52" s="17">
        <f>IF(COUNTIFS(T_SelfStock_Log[Part Name],$A52,T_SelfStock_Log[WeekIndex],48)=0,"",SUMIFS(T_SelfStock_Log[Self_Qty],T_SelfStock_Log[Part Name],$A52,T_SelfStock_Log[WeekIndex],48))</f>
        <v/>
      </c>
      <c r="AX52" s="17">
        <f>IF(COUNTIFS(T_SelfStock_Log[Part Name],$A52,T_SelfStock_Log[WeekIndex],49)=0,"",SUMIFS(T_SelfStock_Log[Self_Qty],T_SelfStock_Log[Part Name],$A52,T_SelfStock_Log[WeekIndex],49))</f>
        <v/>
      </c>
      <c r="AY52" s="17">
        <f>IF(COUNTIFS(T_SelfStock_Log[Part Name],$A52,T_SelfStock_Log[WeekIndex],50)=0,"",SUMIFS(T_SelfStock_Log[Self_Qty],T_SelfStock_Log[Part Name],$A52,T_SelfStock_Log[WeekIndex],50))</f>
        <v/>
      </c>
      <c r="AZ52" s="17">
        <f>IF(COUNTIFS(T_SelfStock_Log[Part Name],$A52,T_SelfStock_Log[WeekIndex],51)=0,"",SUMIFS(T_SelfStock_Log[Self_Qty],T_SelfStock_Log[Part Name],$A52,T_SelfStock_Log[WeekIndex],51))</f>
        <v/>
      </c>
      <c r="BA52" s="17">
        <f>IF(COUNTIFS(T_SelfStock_Log[Part Name],$A52,T_SelfStock_Log[WeekIndex],52)=0,"",SUMIFS(T_SelfStock_Log[Self_Qty],T_SelfStock_Log[Part Name],$A52,T_SelfStock_Log[WeekIndex],52))</f>
        <v/>
      </c>
      <c r="BB52" s="17">
        <f>IF(COUNTIFS(T_SelfStock_Log[Part Name],$A52,T_SelfStock_Log[WeekIndex],53)=0,"",SUMIFS(T_SelfStock_Log[Self_Qty],T_SelfStock_Log[Part Name],$A52,T_SelfStock_Log[WeekIndex],53))</f>
        <v/>
      </c>
      <c r="BC52" s="17">
        <f>IF(COUNTIFS(T_SelfStock_Log[Part Name],$A52,T_SelfStock_Log[WeekIndex],54)=0,"",SUMIFS(T_SelfStock_Log[Self_Qty],T_SelfStock_Log[Part Name],$A52,T_SelfStock_Log[WeekIndex],54))</f>
        <v/>
      </c>
      <c r="BD52" s="17">
        <f>IF(COUNTIFS(T_SelfStock_Log[Part Name],$A52,T_SelfStock_Log[WeekIndex],55)=0,"",SUMIFS(T_SelfStock_Log[Self_Qty],T_SelfStock_Log[Part Name],$A52,T_SelfStock_Log[WeekIndex],55))</f>
        <v/>
      </c>
      <c r="BE52" s="17">
        <f>IF(COUNTIFS(T_SelfStock_Log[Part Name],$A52,T_SelfStock_Log[WeekIndex],56)=0,"",SUMIFS(T_SelfStock_Log[Self_Qty],T_SelfStock_Log[Part Name],$A52,T_SelfStock_Log[WeekIndex],56))</f>
        <v/>
      </c>
      <c r="BF52" s="17">
        <f>IF(COUNTIFS(T_SelfStock_Log[Part Name],$A52,T_SelfStock_Log[WeekIndex],57)=0,"",SUMIFS(T_SelfStock_Log[Self_Qty],T_SelfStock_Log[Part Name],$A52,T_SelfStock_Log[WeekIndex],57))</f>
        <v/>
      </c>
      <c r="BG52" s="17">
        <f>IF(COUNTIFS(T_SelfStock_Log[Part Name],$A52,T_SelfStock_Log[WeekIndex],58)=0,"",SUMIFS(T_SelfStock_Log[Self_Qty],T_SelfStock_Log[Part Name],$A52,T_SelfStock_Log[WeekIndex],58))</f>
        <v/>
      </c>
      <c r="BH52" s="17">
        <f>IF(COUNTIFS(T_SelfStock_Log[Part Name],$A52,T_SelfStock_Log[WeekIndex],59)=0,"",SUMIFS(T_SelfStock_Log[Self_Qty],T_SelfStock_Log[Part Name],$A52,T_SelfStock_Log[WeekIndex],59))</f>
        <v/>
      </c>
      <c r="BI52" s="17">
        <f>IF(COUNTIFS(T_SelfStock_Log[Part Name],$A52,T_SelfStock_Log[WeekIndex],60)=0,"",SUMIFS(T_SelfStock_Log[Self_Qty],T_SelfStock_Log[Part Name],$A52,T_SelfStock_Log[WeekIndex],60))</f>
        <v/>
      </c>
      <c r="BJ52" s="17">
        <f>IF(COUNTIFS(T_SelfStock_Log[Part Name],$A52,T_SelfStock_Log[WeekIndex],61)=0,"",SUMIFS(T_SelfStock_Log[Self_Qty],T_SelfStock_Log[Part Name],$A52,T_SelfStock_Log[WeekIndex],61))</f>
        <v/>
      </c>
      <c r="BK52" s="17">
        <f>IF(COUNTIFS(T_SelfStock_Log[Part Name],$A52,T_SelfStock_Log[WeekIndex],62)=0,"",SUMIFS(T_SelfStock_Log[Self_Qty],T_SelfStock_Log[Part Name],$A52,T_SelfStock_Log[WeekIndex],62))</f>
        <v/>
      </c>
      <c r="BL52" s="17">
        <f>IF(COUNTIFS(T_SelfStock_Log[Part Name],$A52,T_SelfStock_Log[WeekIndex],63)=0,"",SUMIFS(T_SelfStock_Log[Self_Qty],T_SelfStock_Log[Part Name],$A52,T_SelfStock_Log[WeekIndex],63))</f>
        <v/>
      </c>
      <c r="BM52" s="17">
        <f>IF(COUNTIFS(T_SelfStock_Log[Part Name],$A52,T_SelfStock_Log[WeekIndex],64)=0,"",SUMIFS(T_SelfStock_Log[Self_Qty],T_SelfStock_Log[Part Name],$A52,T_SelfStock_Log[WeekIndex],64))</f>
        <v/>
      </c>
      <c r="BN52" s="17">
        <f>IF(COUNTIFS(T_SelfStock_Log[Part Name],$A52,T_SelfStock_Log[WeekIndex],65)=0,"",SUMIFS(T_SelfStock_Log[Self_Qty],T_SelfStock_Log[Part Name],$A52,T_SelfStock_Log[WeekIndex],65))</f>
        <v/>
      </c>
      <c r="BO52" s="17">
        <f>IF(COUNTIFS(T_SelfStock_Log[Part Name],$A52,T_SelfStock_Log[WeekIndex],66)=0,"",SUMIFS(T_SelfStock_Log[Self_Qty],T_SelfStock_Log[Part Name],$A52,T_SelfStock_Log[WeekIndex],66))</f>
        <v/>
      </c>
      <c r="BP52" s="17">
        <f>IF(COUNTIFS(T_SelfStock_Log[Part Name],$A52,T_SelfStock_Log[WeekIndex],67)=0,"",SUMIFS(T_SelfStock_Log[Self_Qty],T_SelfStock_Log[Part Name],$A52,T_SelfStock_Log[WeekIndex],67))</f>
        <v/>
      </c>
      <c r="BQ52" s="17">
        <f>IF(COUNTIFS(T_SelfStock_Log[Part Name],$A52,T_SelfStock_Log[WeekIndex],68)=0,"",SUMIFS(T_SelfStock_Log[Self_Qty],T_SelfStock_Log[Part Name],$A52,T_SelfStock_Log[WeekIndex],68))</f>
        <v/>
      </c>
      <c r="BR52" s="17">
        <f>IF(COUNTIFS(T_SelfStock_Log[Part Name],$A52,T_SelfStock_Log[WeekIndex],69)=0,"",SUMIFS(T_SelfStock_Log[Self_Qty],T_SelfStock_Log[Part Name],$A52,T_SelfStock_Log[WeekIndex],69))</f>
        <v/>
      </c>
      <c r="BS52" s="17">
        <f>IF(COUNTIFS(T_SelfStock_Log[Part Name],$A52,T_SelfStock_Log[WeekIndex],70)=0,"",SUMIFS(T_SelfStock_Log[Self_Qty],T_SelfStock_Log[Part Name],$A52,T_SelfStock_Log[WeekIndex],70))</f>
        <v/>
      </c>
      <c r="BT52" s="17">
        <f>IF(COUNTIFS(T_SelfStock_Log[Part Name],$A52,T_SelfStock_Log[WeekIndex],71)=0,"",SUMIFS(T_SelfStock_Log[Self_Qty],T_SelfStock_Log[Part Name],$A52,T_SelfStock_Log[WeekIndex],71))</f>
        <v/>
      </c>
      <c r="BU52" s="17">
        <f>IF(COUNTIFS(T_SelfStock_Log[Part Name],$A52,T_SelfStock_Log[WeekIndex],72)=0,"",SUMIFS(T_SelfStock_Log[Self_Qty],T_SelfStock_Log[Part Name],$A52,T_SelfStock_Log[WeekIndex],72))</f>
        <v/>
      </c>
      <c r="BV52" s="17">
        <f>IF(COUNTIFS(T_SelfStock_Log[Part Name],$A52,T_SelfStock_Log[WeekIndex],73)=0,"",SUMIFS(T_SelfStock_Log[Self_Qty],T_SelfStock_Log[Part Name],$A52,T_SelfStock_Log[WeekIndex],73))</f>
        <v/>
      </c>
      <c r="BW52" s="17">
        <f>IF(COUNTIFS(T_SelfStock_Log[Part Name],$A52,T_SelfStock_Log[WeekIndex],74)=0,"",SUMIFS(T_SelfStock_Log[Self_Qty],T_SelfStock_Log[Part Name],$A52,T_SelfStock_Log[WeekIndex],74))</f>
        <v/>
      </c>
      <c r="BX52" s="17">
        <f>IF(COUNTIFS(T_SelfStock_Log[Part Name],$A52,T_SelfStock_Log[WeekIndex],75)=0,"",SUMIFS(T_SelfStock_Log[Self_Qty],T_SelfStock_Log[Part Name],$A52,T_SelfStock_Log[WeekIndex],75))</f>
        <v/>
      </c>
      <c r="BY52" s="17">
        <f>IF(COUNTIFS(T_SelfStock_Log[Part Name],$A52,T_SelfStock_Log[WeekIndex],76)=0,"",SUMIFS(T_SelfStock_Log[Self_Qty],T_SelfStock_Log[Part Name],$A52,T_SelfStock_Log[WeekIndex],76))</f>
        <v/>
      </c>
      <c r="BZ52" s="17">
        <f>IF(COUNTIFS(T_SelfStock_Log[Part Name],$A52,T_SelfStock_Log[WeekIndex],77)=0,"",SUMIFS(T_SelfStock_Log[Self_Qty],T_SelfStock_Log[Part Name],$A52,T_SelfStock_Log[WeekIndex],77))</f>
        <v/>
      </c>
      <c r="CA52" s="17">
        <f>IF(COUNTIFS(T_SelfStock_Log[Part Name],$A52,T_SelfStock_Log[WeekIndex],78)=0,"",SUMIFS(T_SelfStock_Log[Self_Qty],T_SelfStock_Log[Part Name],$A52,T_SelfStock_Log[WeekIndex],78))</f>
        <v/>
      </c>
      <c r="CB52" s="17">
        <f>IF(COUNTIFS(T_SelfStock_Log[Part Name],$A52,T_SelfStock_Log[WeekIndex],79)=0,"",SUMIFS(T_SelfStock_Log[Self_Qty],T_SelfStock_Log[Part Name],$A52,T_SelfStock_Log[WeekIndex],79))</f>
        <v/>
      </c>
      <c r="CC52" s="17">
        <f>IF(COUNTIFS(T_SelfStock_Log[Part Name],$A52,T_SelfStock_Log[WeekIndex],80)=0,"",SUMIFS(T_SelfStock_Log[Self_Qty],T_SelfStock_Log[Part Name],$A52,T_SelfStock_Log[WeekIndex],80))</f>
        <v/>
      </c>
      <c r="CD52" s="17">
        <f>IF(COUNTIFS(T_SelfStock_Log[Part Name],$A52,T_SelfStock_Log[WeekIndex],81)=0,"",SUMIFS(T_SelfStock_Log[Self_Qty],T_SelfStock_Log[Part Name],$A52,T_SelfStock_Log[WeekIndex],81))</f>
        <v/>
      </c>
      <c r="CE52" s="17">
        <f>IF(COUNTIFS(T_SelfStock_Log[Part Name],$A52,T_SelfStock_Log[WeekIndex],82)=0,"",SUMIFS(T_SelfStock_Log[Self_Qty],T_SelfStock_Log[Part Name],$A52,T_SelfStock_Log[WeekIndex],82))</f>
        <v/>
      </c>
      <c r="CF52" s="17">
        <f>IF(COUNTIFS(T_SelfStock_Log[Part Name],$A52,T_SelfStock_Log[WeekIndex],83)=0,"",SUMIFS(T_SelfStock_Log[Self_Qty],T_SelfStock_Log[Part Name],$A52,T_SelfStock_Log[WeekIndex],83))</f>
        <v/>
      </c>
      <c r="CG52" s="17">
        <f>IF(COUNTIFS(T_SelfStock_Log[Part Name],$A52,T_SelfStock_Log[WeekIndex],84)=0,"",SUMIFS(T_SelfStock_Log[Self_Qty],T_SelfStock_Log[Part Name],$A52,T_SelfStock_Log[WeekIndex],84))</f>
        <v/>
      </c>
      <c r="CH52" s="17">
        <f>IF(COUNTIFS(T_SelfStock_Log[Part Name],$A52,T_SelfStock_Log[WeekIndex],85)=0,"",SUMIFS(T_SelfStock_Log[Self_Qty],T_SelfStock_Log[Part Name],$A52,T_SelfStock_Log[WeekIndex],85))</f>
        <v/>
      </c>
      <c r="CI52" s="17">
        <f>IF(COUNTIFS(T_SelfStock_Log[Part Name],$A52,T_SelfStock_Log[WeekIndex],86)=0,"",SUMIFS(T_SelfStock_Log[Self_Qty],T_SelfStock_Log[Part Name],$A52,T_SelfStock_Log[WeekIndex],86))</f>
        <v/>
      </c>
      <c r="CJ52" s="17">
        <f>IF(COUNTIFS(T_SelfStock_Log[Part Name],$A52,T_SelfStock_Log[WeekIndex],87)=0,"",SUMIFS(T_SelfStock_Log[Self_Qty],T_SelfStock_Log[Part Name],$A52,T_SelfStock_Log[WeekIndex],87))</f>
        <v/>
      </c>
      <c r="CK52" s="17">
        <f>IF(COUNTIFS(T_SelfStock_Log[Part Name],$A52,T_SelfStock_Log[WeekIndex],88)=0,"",SUMIFS(T_SelfStock_Log[Self_Qty],T_SelfStock_Log[Part Name],$A52,T_SelfStock_Log[WeekIndex],88))</f>
        <v/>
      </c>
      <c r="CL52" s="17">
        <f>IF(COUNTIFS(T_SelfStock_Log[Part Name],$A52,T_SelfStock_Log[WeekIndex],89)=0,"",SUMIFS(T_SelfStock_Log[Self_Qty],T_SelfStock_Log[Part Name],$A52,T_SelfStock_Log[WeekIndex],89))</f>
        <v/>
      </c>
      <c r="CM52" s="17">
        <f>IF(COUNTIFS(T_SelfStock_Log[Part Name],$A52,T_SelfStock_Log[WeekIndex],90)=0,"",SUMIFS(T_SelfStock_Log[Self_Qty],T_SelfStock_Log[Part Name],$A52,T_SelfStock_Log[WeekIndex],90))</f>
        <v/>
      </c>
      <c r="CN52" s="17">
        <f>IF(COUNTIFS(T_SelfStock_Log[Part Name],$A52,T_SelfStock_Log[WeekIndex],91)=0,"",SUMIFS(T_SelfStock_Log[Self_Qty],T_SelfStock_Log[Part Name],$A52,T_SelfStock_Log[WeekIndex],91))</f>
        <v/>
      </c>
      <c r="CO52" s="17">
        <f>IF(COUNTIFS(T_SelfStock_Log[Part Name],$A52,T_SelfStock_Log[WeekIndex],92)=0,"",SUMIFS(T_SelfStock_Log[Self_Qty],T_SelfStock_Log[Part Name],$A52,T_SelfStock_Log[WeekIndex],92))</f>
        <v/>
      </c>
      <c r="CP52" s="17">
        <f>IF(COUNTIFS(T_SelfStock_Log[Part Name],$A52,T_SelfStock_Log[WeekIndex],93)=0,"",SUMIFS(T_SelfStock_Log[Self_Qty],T_SelfStock_Log[Part Name],$A52,T_SelfStock_Log[WeekIndex],93))</f>
        <v/>
      </c>
      <c r="CQ52" s="17">
        <f>IF(COUNTIFS(T_SelfStock_Log[Part Name],$A52,T_SelfStock_Log[WeekIndex],94)=0,"",SUMIFS(T_SelfStock_Log[Self_Qty],T_SelfStock_Log[Part Name],$A52,T_SelfStock_Log[WeekIndex],94))</f>
        <v/>
      </c>
      <c r="CR52" s="17">
        <f>IF(COUNTIFS(T_SelfStock_Log[Part Name],$A52,T_SelfStock_Log[WeekIndex],95)=0,"",SUMIFS(T_SelfStock_Log[Self_Qty],T_SelfStock_Log[Part Name],$A52,T_SelfStock_Log[WeekIndex],95))</f>
        <v/>
      </c>
      <c r="CS52" s="17">
        <f>IF(COUNTIFS(T_SelfStock_Log[Part Name],$A52,T_SelfStock_Log[WeekIndex],96)=0,"",SUMIFS(T_SelfStock_Log[Self_Qty],T_SelfStock_Log[Part Name],$A52,T_SelfStock_Log[WeekIndex],96))</f>
        <v/>
      </c>
      <c r="CT52" s="17">
        <f>IF(COUNTIFS(T_SelfStock_Log[Part Name],$A52,T_SelfStock_Log[WeekIndex],97)=0,"",SUMIFS(T_SelfStock_Log[Self_Qty],T_SelfStock_Log[Part Name],$A52,T_SelfStock_Log[WeekIndex],97))</f>
        <v/>
      </c>
      <c r="CU52" s="17">
        <f>IF(COUNTIFS(T_SelfStock_Log[Part Name],$A52,T_SelfStock_Log[WeekIndex],98)=0,"",SUMIFS(T_SelfStock_Log[Self_Qty],T_SelfStock_Log[Part Name],$A52,T_SelfStock_Log[WeekIndex],98))</f>
        <v/>
      </c>
      <c r="CV52" s="17">
        <f>IF(COUNTIFS(T_SelfStock_Log[Part Name],$A52,T_SelfStock_Log[WeekIndex],99)=0,"",SUMIFS(T_SelfStock_Log[Self_Qty],T_SelfStock_Log[Part Name],$A52,T_SelfStock_Log[WeekIndex],99))</f>
        <v/>
      </c>
      <c r="CW52" s="17">
        <f>IF(COUNTIFS(T_SelfStock_Log[Part Name],$A52,T_SelfStock_Log[WeekIndex],100)=0,"",SUMIFS(T_SelfStock_Log[Self_Qty],T_SelfStock_Log[Part Name],$A52,T_SelfStock_Log[WeekIndex],100))</f>
        <v/>
      </c>
      <c r="CX52" s="17">
        <f>IF(COUNTIFS(T_SelfStock_Log[Part Name],$A52,T_SelfStock_Log[WeekIndex],101)=0,"",SUMIFS(T_SelfStock_Log[Self_Qty],T_SelfStock_Log[Part Name],$A52,T_SelfStock_Log[WeekIndex],101))</f>
        <v/>
      </c>
      <c r="CY52" s="17">
        <f>IF(COUNTIFS(T_SelfStock_Log[Part Name],$A52,T_SelfStock_Log[WeekIndex],102)=0,"",SUMIFS(T_SelfStock_Log[Self_Qty],T_SelfStock_Log[Part Name],$A52,T_SelfStock_Log[WeekIndex],102))</f>
        <v/>
      </c>
      <c r="CZ52" s="17">
        <f>IF(COUNTIFS(T_SelfStock_Log[Part Name],$A52,T_SelfStock_Log[WeekIndex],103)=0,"",SUMIFS(T_SelfStock_Log[Self_Qty],T_SelfStock_Log[Part Name],$A52,T_SelfStock_Log[WeekIndex],103))</f>
        <v/>
      </c>
      <c r="DA52" s="17">
        <f>IF(COUNTIFS(T_SelfStock_Log[Part Name],$A52,T_SelfStock_Log[WeekIndex],104)=0,"",SUMIFS(T_SelfStock_Log[Self_Qty],T_SelfStock_Log[Part Name],$A52,T_SelfStock_Log[WeekIndex],104))</f>
        <v/>
      </c>
    </row>
    <row r="53">
      <c r="A53" s="19" t="inlineStr">
        <is>
          <t>CHEM-1010</t>
        </is>
      </c>
      <c r="B53" s="19">
        <f>IF(COUNTIFS(T_SelfStock_Log[Part Name],$A53,T_SelfStock_Log[WeekIndex],1)=0,"",SUMIFS(T_SelfStock_Log[Self_Qty],T_SelfStock_Log[Part Name],$A53,T_SelfStock_Log[WeekIndex],1))</f>
        <v/>
      </c>
      <c r="C53" s="19">
        <f>IF(COUNTIFS(T_SelfStock_Log[Part Name],$A53,T_SelfStock_Log[WeekIndex],2)=0,"",SUMIFS(T_SelfStock_Log[Self_Qty],T_SelfStock_Log[Part Name],$A53,T_SelfStock_Log[WeekIndex],2))</f>
        <v/>
      </c>
      <c r="D53" s="19">
        <f>IF(COUNTIFS(T_SelfStock_Log[Part Name],$A53,T_SelfStock_Log[WeekIndex],3)=0,"",SUMIFS(T_SelfStock_Log[Self_Qty],T_SelfStock_Log[Part Name],$A53,T_SelfStock_Log[WeekIndex],3))</f>
        <v/>
      </c>
      <c r="E53" s="19">
        <f>IF(COUNTIFS(T_SelfStock_Log[Part Name],$A53,T_SelfStock_Log[WeekIndex],4)=0,"",SUMIFS(T_SelfStock_Log[Self_Qty],T_SelfStock_Log[Part Name],$A53,T_SelfStock_Log[WeekIndex],4))</f>
        <v/>
      </c>
      <c r="F53" s="19">
        <f>IF(COUNTIFS(T_SelfStock_Log[Part Name],$A53,T_SelfStock_Log[WeekIndex],5)=0,"",SUMIFS(T_SelfStock_Log[Self_Qty],T_SelfStock_Log[Part Name],$A53,T_SelfStock_Log[WeekIndex],5))</f>
        <v/>
      </c>
      <c r="G53" s="19">
        <f>IF(COUNTIFS(T_SelfStock_Log[Part Name],$A53,T_SelfStock_Log[WeekIndex],6)=0,"",SUMIFS(T_SelfStock_Log[Self_Qty],T_SelfStock_Log[Part Name],$A53,T_SelfStock_Log[WeekIndex],6))</f>
        <v/>
      </c>
      <c r="H53" s="19">
        <f>IF(COUNTIFS(T_SelfStock_Log[Part Name],$A53,T_SelfStock_Log[WeekIndex],7)=0,"",SUMIFS(T_SelfStock_Log[Self_Qty],T_SelfStock_Log[Part Name],$A53,T_SelfStock_Log[WeekIndex],7))</f>
        <v/>
      </c>
      <c r="I53" s="19">
        <f>IF(COUNTIFS(T_SelfStock_Log[Part Name],$A53,T_SelfStock_Log[WeekIndex],8)=0,"",SUMIFS(T_SelfStock_Log[Self_Qty],T_SelfStock_Log[Part Name],$A53,T_SelfStock_Log[WeekIndex],8))</f>
        <v/>
      </c>
      <c r="J53" s="19">
        <f>IF(COUNTIFS(T_SelfStock_Log[Part Name],$A53,T_SelfStock_Log[WeekIndex],9)=0,"",SUMIFS(T_SelfStock_Log[Self_Qty],T_SelfStock_Log[Part Name],$A53,T_SelfStock_Log[WeekIndex],9))</f>
        <v/>
      </c>
      <c r="K53" s="19">
        <f>IF(COUNTIFS(T_SelfStock_Log[Part Name],$A53,T_SelfStock_Log[WeekIndex],10)=0,"",SUMIFS(T_SelfStock_Log[Self_Qty],T_SelfStock_Log[Part Name],$A53,T_SelfStock_Log[WeekIndex],10))</f>
        <v/>
      </c>
      <c r="L53" s="19">
        <f>IF(COUNTIFS(T_SelfStock_Log[Part Name],$A53,T_SelfStock_Log[WeekIndex],11)=0,"",SUMIFS(T_SelfStock_Log[Self_Qty],T_SelfStock_Log[Part Name],$A53,T_SelfStock_Log[WeekIndex],11))</f>
        <v/>
      </c>
      <c r="M53" s="19">
        <f>IF(COUNTIFS(T_SelfStock_Log[Part Name],$A53,T_SelfStock_Log[WeekIndex],12)=0,"",SUMIFS(T_SelfStock_Log[Self_Qty],T_SelfStock_Log[Part Name],$A53,T_SelfStock_Log[WeekIndex],12))</f>
        <v/>
      </c>
      <c r="N53" s="19">
        <f>IF(COUNTIFS(T_SelfStock_Log[Part Name],$A53,T_SelfStock_Log[WeekIndex],13)=0,"",SUMIFS(T_SelfStock_Log[Self_Qty],T_SelfStock_Log[Part Name],$A53,T_SelfStock_Log[WeekIndex],13))</f>
        <v/>
      </c>
      <c r="O53" s="19">
        <f>IF(COUNTIFS(T_SelfStock_Log[Part Name],$A53,T_SelfStock_Log[WeekIndex],14)=0,"",SUMIFS(T_SelfStock_Log[Self_Qty],T_SelfStock_Log[Part Name],$A53,T_SelfStock_Log[WeekIndex],14))</f>
        <v/>
      </c>
      <c r="P53" s="19">
        <f>IF(COUNTIFS(T_SelfStock_Log[Part Name],$A53,T_SelfStock_Log[WeekIndex],15)=0,"",SUMIFS(T_SelfStock_Log[Self_Qty],T_SelfStock_Log[Part Name],$A53,T_SelfStock_Log[WeekIndex],15))</f>
        <v/>
      </c>
      <c r="Q53" s="19">
        <f>IF(COUNTIFS(T_SelfStock_Log[Part Name],$A53,T_SelfStock_Log[WeekIndex],16)=0,"",SUMIFS(T_SelfStock_Log[Self_Qty],T_SelfStock_Log[Part Name],$A53,T_SelfStock_Log[WeekIndex],16))</f>
        <v/>
      </c>
      <c r="R53" s="19">
        <f>IF(COUNTIFS(T_SelfStock_Log[Part Name],$A53,T_SelfStock_Log[WeekIndex],17)=0,"",SUMIFS(T_SelfStock_Log[Self_Qty],T_SelfStock_Log[Part Name],$A53,T_SelfStock_Log[WeekIndex],17))</f>
        <v/>
      </c>
      <c r="S53" s="19">
        <f>IF(COUNTIFS(T_SelfStock_Log[Part Name],$A53,T_SelfStock_Log[WeekIndex],18)=0,"",SUMIFS(T_SelfStock_Log[Self_Qty],T_SelfStock_Log[Part Name],$A53,T_SelfStock_Log[WeekIndex],18))</f>
        <v/>
      </c>
      <c r="T53" s="19">
        <f>IF(COUNTIFS(T_SelfStock_Log[Part Name],$A53,T_SelfStock_Log[WeekIndex],19)=0,"",SUMIFS(T_SelfStock_Log[Self_Qty],T_SelfStock_Log[Part Name],$A53,T_SelfStock_Log[WeekIndex],19))</f>
        <v/>
      </c>
      <c r="U53" s="19">
        <f>IF(COUNTIFS(T_SelfStock_Log[Part Name],$A53,T_SelfStock_Log[WeekIndex],20)=0,"",SUMIFS(T_SelfStock_Log[Self_Qty],T_SelfStock_Log[Part Name],$A53,T_SelfStock_Log[WeekIndex],20))</f>
        <v/>
      </c>
      <c r="V53" s="19">
        <f>IF(COUNTIFS(T_SelfStock_Log[Part Name],$A53,T_SelfStock_Log[WeekIndex],21)=0,"",SUMIFS(T_SelfStock_Log[Self_Qty],T_SelfStock_Log[Part Name],$A53,T_SelfStock_Log[WeekIndex],21))</f>
        <v/>
      </c>
      <c r="W53" s="19">
        <f>IF(COUNTIFS(T_SelfStock_Log[Part Name],$A53,T_SelfStock_Log[WeekIndex],22)=0,"",SUMIFS(T_SelfStock_Log[Self_Qty],T_SelfStock_Log[Part Name],$A53,T_SelfStock_Log[WeekIndex],22))</f>
        <v/>
      </c>
      <c r="X53" s="19">
        <f>IF(COUNTIFS(T_SelfStock_Log[Part Name],$A53,T_SelfStock_Log[WeekIndex],23)=0,"",SUMIFS(T_SelfStock_Log[Self_Qty],T_SelfStock_Log[Part Name],$A53,T_SelfStock_Log[WeekIndex],23))</f>
        <v/>
      </c>
      <c r="Y53" s="19">
        <f>IF(COUNTIFS(T_SelfStock_Log[Part Name],$A53,T_SelfStock_Log[WeekIndex],24)=0,"",SUMIFS(T_SelfStock_Log[Self_Qty],T_SelfStock_Log[Part Name],$A53,T_SelfStock_Log[WeekIndex],24))</f>
        <v/>
      </c>
      <c r="Z53" s="19">
        <f>IF(COUNTIFS(T_SelfStock_Log[Part Name],$A53,T_SelfStock_Log[WeekIndex],25)=0,"",SUMIFS(T_SelfStock_Log[Self_Qty],T_SelfStock_Log[Part Name],$A53,T_SelfStock_Log[WeekIndex],25))</f>
        <v/>
      </c>
      <c r="AA53" s="19">
        <f>IF(COUNTIFS(T_SelfStock_Log[Part Name],$A53,T_SelfStock_Log[WeekIndex],26)=0,"",SUMIFS(T_SelfStock_Log[Self_Qty],T_SelfStock_Log[Part Name],$A53,T_SelfStock_Log[WeekIndex],26))</f>
        <v/>
      </c>
      <c r="AB53" s="19">
        <f>IF(COUNTIFS(T_SelfStock_Log[Part Name],$A53,T_SelfStock_Log[WeekIndex],27)=0,"",SUMIFS(T_SelfStock_Log[Self_Qty],T_SelfStock_Log[Part Name],$A53,T_SelfStock_Log[WeekIndex],27))</f>
        <v/>
      </c>
      <c r="AC53" s="19">
        <f>IF(COUNTIFS(T_SelfStock_Log[Part Name],$A53,T_SelfStock_Log[WeekIndex],28)=0,"",SUMIFS(T_SelfStock_Log[Self_Qty],T_SelfStock_Log[Part Name],$A53,T_SelfStock_Log[WeekIndex],28))</f>
        <v/>
      </c>
      <c r="AD53" s="19">
        <f>IF(COUNTIFS(T_SelfStock_Log[Part Name],$A53,T_SelfStock_Log[WeekIndex],29)=0,"",SUMIFS(T_SelfStock_Log[Self_Qty],T_SelfStock_Log[Part Name],$A53,T_SelfStock_Log[WeekIndex],29))</f>
        <v/>
      </c>
      <c r="AE53" s="19">
        <f>IF(COUNTIFS(T_SelfStock_Log[Part Name],$A53,T_SelfStock_Log[WeekIndex],30)=0,"",SUMIFS(T_SelfStock_Log[Self_Qty],T_SelfStock_Log[Part Name],$A53,T_SelfStock_Log[WeekIndex],30))</f>
        <v/>
      </c>
      <c r="AF53" s="19">
        <f>IF(COUNTIFS(T_SelfStock_Log[Part Name],$A53,T_SelfStock_Log[WeekIndex],31)=0,"",SUMIFS(T_SelfStock_Log[Self_Qty],T_SelfStock_Log[Part Name],$A53,T_SelfStock_Log[WeekIndex],31))</f>
        <v/>
      </c>
      <c r="AG53" s="19">
        <f>IF(COUNTIFS(T_SelfStock_Log[Part Name],$A53,T_SelfStock_Log[WeekIndex],32)=0,"",SUMIFS(T_SelfStock_Log[Self_Qty],T_SelfStock_Log[Part Name],$A53,T_SelfStock_Log[WeekIndex],32))</f>
        <v/>
      </c>
      <c r="AH53" s="19">
        <f>IF(COUNTIFS(T_SelfStock_Log[Part Name],$A53,T_SelfStock_Log[WeekIndex],33)=0,"",SUMIFS(T_SelfStock_Log[Self_Qty],T_SelfStock_Log[Part Name],$A53,T_SelfStock_Log[WeekIndex],33))</f>
        <v/>
      </c>
      <c r="AI53" s="19">
        <f>IF(COUNTIFS(T_SelfStock_Log[Part Name],$A53,T_SelfStock_Log[WeekIndex],34)=0,"",SUMIFS(T_SelfStock_Log[Self_Qty],T_SelfStock_Log[Part Name],$A53,T_SelfStock_Log[WeekIndex],34))</f>
        <v/>
      </c>
      <c r="AJ53" s="19">
        <f>IF(COUNTIFS(T_SelfStock_Log[Part Name],$A53,T_SelfStock_Log[WeekIndex],35)=0,"",SUMIFS(T_SelfStock_Log[Self_Qty],T_SelfStock_Log[Part Name],$A53,T_SelfStock_Log[WeekIndex],35))</f>
        <v/>
      </c>
      <c r="AK53" s="19">
        <f>IF(COUNTIFS(T_SelfStock_Log[Part Name],$A53,T_SelfStock_Log[WeekIndex],36)=0,"",SUMIFS(T_SelfStock_Log[Self_Qty],T_SelfStock_Log[Part Name],$A53,T_SelfStock_Log[WeekIndex],36))</f>
        <v/>
      </c>
      <c r="AL53" s="19">
        <f>IF(COUNTIFS(T_SelfStock_Log[Part Name],$A53,T_SelfStock_Log[WeekIndex],37)=0,"",SUMIFS(T_SelfStock_Log[Self_Qty],T_SelfStock_Log[Part Name],$A53,T_SelfStock_Log[WeekIndex],37))</f>
        <v/>
      </c>
      <c r="AM53" s="19">
        <f>IF(COUNTIFS(T_SelfStock_Log[Part Name],$A53,T_SelfStock_Log[WeekIndex],38)=0,"",SUMIFS(T_SelfStock_Log[Self_Qty],T_SelfStock_Log[Part Name],$A53,T_SelfStock_Log[WeekIndex],38))</f>
        <v/>
      </c>
      <c r="AN53" s="19">
        <f>IF(COUNTIFS(T_SelfStock_Log[Part Name],$A53,T_SelfStock_Log[WeekIndex],39)=0,"",SUMIFS(T_SelfStock_Log[Self_Qty],T_SelfStock_Log[Part Name],$A53,T_SelfStock_Log[WeekIndex],39))</f>
        <v/>
      </c>
      <c r="AO53" s="19">
        <f>IF(COUNTIFS(T_SelfStock_Log[Part Name],$A53,T_SelfStock_Log[WeekIndex],40)=0,"",SUMIFS(T_SelfStock_Log[Self_Qty],T_SelfStock_Log[Part Name],$A53,T_SelfStock_Log[WeekIndex],40))</f>
        <v/>
      </c>
      <c r="AP53" s="19">
        <f>IF(COUNTIFS(T_SelfStock_Log[Part Name],$A53,T_SelfStock_Log[WeekIndex],41)=0,"",SUMIFS(T_SelfStock_Log[Self_Qty],T_SelfStock_Log[Part Name],$A53,T_SelfStock_Log[WeekIndex],41))</f>
        <v/>
      </c>
      <c r="AQ53" s="19">
        <f>IF(COUNTIFS(T_SelfStock_Log[Part Name],$A53,T_SelfStock_Log[WeekIndex],42)=0,"",SUMIFS(T_SelfStock_Log[Self_Qty],T_SelfStock_Log[Part Name],$A53,T_SelfStock_Log[WeekIndex],42))</f>
        <v/>
      </c>
      <c r="AR53" s="19">
        <f>IF(COUNTIFS(T_SelfStock_Log[Part Name],$A53,T_SelfStock_Log[WeekIndex],43)=0,"",SUMIFS(T_SelfStock_Log[Self_Qty],T_SelfStock_Log[Part Name],$A53,T_SelfStock_Log[WeekIndex],43))</f>
        <v/>
      </c>
      <c r="AS53" s="19">
        <f>IF(COUNTIFS(T_SelfStock_Log[Part Name],$A53,T_SelfStock_Log[WeekIndex],44)=0,"",SUMIFS(T_SelfStock_Log[Self_Qty],T_SelfStock_Log[Part Name],$A53,T_SelfStock_Log[WeekIndex],44))</f>
        <v/>
      </c>
      <c r="AT53" s="19">
        <f>IF(COUNTIFS(T_SelfStock_Log[Part Name],$A53,T_SelfStock_Log[WeekIndex],45)=0,"",SUMIFS(T_SelfStock_Log[Self_Qty],T_SelfStock_Log[Part Name],$A53,T_SelfStock_Log[WeekIndex],45))</f>
        <v/>
      </c>
      <c r="AU53" s="19">
        <f>IF(COUNTIFS(T_SelfStock_Log[Part Name],$A53,T_SelfStock_Log[WeekIndex],46)=0,"",SUMIFS(T_SelfStock_Log[Self_Qty],T_SelfStock_Log[Part Name],$A53,T_SelfStock_Log[WeekIndex],46))</f>
        <v/>
      </c>
      <c r="AV53" s="19">
        <f>IF(COUNTIFS(T_SelfStock_Log[Part Name],$A53,T_SelfStock_Log[WeekIndex],47)=0,"",SUMIFS(T_SelfStock_Log[Self_Qty],T_SelfStock_Log[Part Name],$A53,T_SelfStock_Log[WeekIndex],47))</f>
        <v/>
      </c>
      <c r="AW53" s="19">
        <f>IF(COUNTIFS(T_SelfStock_Log[Part Name],$A53,T_SelfStock_Log[WeekIndex],48)=0,"",SUMIFS(T_SelfStock_Log[Self_Qty],T_SelfStock_Log[Part Name],$A53,T_SelfStock_Log[WeekIndex],48))</f>
        <v/>
      </c>
      <c r="AX53" s="19">
        <f>IF(COUNTIFS(T_SelfStock_Log[Part Name],$A53,T_SelfStock_Log[WeekIndex],49)=0,"",SUMIFS(T_SelfStock_Log[Self_Qty],T_SelfStock_Log[Part Name],$A53,T_SelfStock_Log[WeekIndex],49))</f>
        <v/>
      </c>
      <c r="AY53" s="19">
        <f>IF(COUNTIFS(T_SelfStock_Log[Part Name],$A53,T_SelfStock_Log[WeekIndex],50)=0,"",SUMIFS(T_SelfStock_Log[Self_Qty],T_SelfStock_Log[Part Name],$A53,T_SelfStock_Log[WeekIndex],50))</f>
        <v/>
      </c>
      <c r="AZ53" s="19">
        <f>IF(COUNTIFS(T_SelfStock_Log[Part Name],$A53,T_SelfStock_Log[WeekIndex],51)=0,"",SUMIFS(T_SelfStock_Log[Self_Qty],T_SelfStock_Log[Part Name],$A53,T_SelfStock_Log[WeekIndex],51))</f>
        <v/>
      </c>
      <c r="BA53" s="19">
        <f>IF(COUNTIFS(T_SelfStock_Log[Part Name],$A53,T_SelfStock_Log[WeekIndex],52)=0,"",SUMIFS(T_SelfStock_Log[Self_Qty],T_SelfStock_Log[Part Name],$A53,T_SelfStock_Log[WeekIndex],52))</f>
        <v/>
      </c>
      <c r="BB53" s="19">
        <f>IF(COUNTIFS(T_SelfStock_Log[Part Name],$A53,T_SelfStock_Log[WeekIndex],53)=0,"",SUMIFS(T_SelfStock_Log[Self_Qty],T_SelfStock_Log[Part Name],$A53,T_SelfStock_Log[WeekIndex],53))</f>
        <v/>
      </c>
      <c r="BC53" s="19">
        <f>IF(COUNTIFS(T_SelfStock_Log[Part Name],$A53,T_SelfStock_Log[WeekIndex],54)=0,"",SUMIFS(T_SelfStock_Log[Self_Qty],T_SelfStock_Log[Part Name],$A53,T_SelfStock_Log[WeekIndex],54))</f>
        <v/>
      </c>
      <c r="BD53" s="19">
        <f>IF(COUNTIFS(T_SelfStock_Log[Part Name],$A53,T_SelfStock_Log[WeekIndex],55)=0,"",SUMIFS(T_SelfStock_Log[Self_Qty],T_SelfStock_Log[Part Name],$A53,T_SelfStock_Log[WeekIndex],55))</f>
        <v/>
      </c>
      <c r="BE53" s="19">
        <f>IF(COUNTIFS(T_SelfStock_Log[Part Name],$A53,T_SelfStock_Log[WeekIndex],56)=0,"",SUMIFS(T_SelfStock_Log[Self_Qty],T_SelfStock_Log[Part Name],$A53,T_SelfStock_Log[WeekIndex],56))</f>
        <v/>
      </c>
      <c r="BF53" s="19">
        <f>IF(COUNTIFS(T_SelfStock_Log[Part Name],$A53,T_SelfStock_Log[WeekIndex],57)=0,"",SUMIFS(T_SelfStock_Log[Self_Qty],T_SelfStock_Log[Part Name],$A53,T_SelfStock_Log[WeekIndex],57))</f>
        <v/>
      </c>
      <c r="BG53" s="19">
        <f>IF(COUNTIFS(T_SelfStock_Log[Part Name],$A53,T_SelfStock_Log[WeekIndex],58)=0,"",SUMIFS(T_SelfStock_Log[Self_Qty],T_SelfStock_Log[Part Name],$A53,T_SelfStock_Log[WeekIndex],58))</f>
        <v/>
      </c>
      <c r="BH53" s="19">
        <f>IF(COUNTIFS(T_SelfStock_Log[Part Name],$A53,T_SelfStock_Log[WeekIndex],59)=0,"",SUMIFS(T_SelfStock_Log[Self_Qty],T_SelfStock_Log[Part Name],$A53,T_SelfStock_Log[WeekIndex],59))</f>
        <v/>
      </c>
      <c r="BI53" s="19">
        <f>IF(COUNTIFS(T_SelfStock_Log[Part Name],$A53,T_SelfStock_Log[WeekIndex],60)=0,"",SUMIFS(T_SelfStock_Log[Self_Qty],T_SelfStock_Log[Part Name],$A53,T_SelfStock_Log[WeekIndex],60))</f>
        <v/>
      </c>
      <c r="BJ53" s="19">
        <f>IF(COUNTIFS(T_SelfStock_Log[Part Name],$A53,T_SelfStock_Log[WeekIndex],61)=0,"",SUMIFS(T_SelfStock_Log[Self_Qty],T_SelfStock_Log[Part Name],$A53,T_SelfStock_Log[WeekIndex],61))</f>
        <v/>
      </c>
      <c r="BK53" s="19">
        <f>IF(COUNTIFS(T_SelfStock_Log[Part Name],$A53,T_SelfStock_Log[WeekIndex],62)=0,"",SUMIFS(T_SelfStock_Log[Self_Qty],T_SelfStock_Log[Part Name],$A53,T_SelfStock_Log[WeekIndex],62))</f>
        <v/>
      </c>
      <c r="BL53" s="19">
        <f>IF(COUNTIFS(T_SelfStock_Log[Part Name],$A53,T_SelfStock_Log[WeekIndex],63)=0,"",SUMIFS(T_SelfStock_Log[Self_Qty],T_SelfStock_Log[Part Name],$A53,T_SelfStock_Log[WeekIndex],63))</f>
        <v/>
      </c>
      <c r="BM53" s="19">
        <f>IF(COUNTIFS(T_SelfStock_Log[Part Name],$A53,T_SelfStock_Log[WeekIndex],64)=0,"",SUMIFS(T_SelfStock_Log[Self_Qty],T_SelfStock_Log[Part Name],$A53,T_SelfStock_Log[WeekIndex],64))</f>
        <v/>
      </c>
      <c r="BN53" s="19">
        <f>IF(COUNTIFS(T_SelfStock_Log[Part Name],$A53,T_SelfStock_Log[WeekIndex],65)=0,"",SUMIFS(T_SelfStock_Log[Self_Qty],T_SelfStock_Log[Part Name],$A53,T_SelfStock_Log[WeekIndex],65))</f>
        <v/>
      </c>
      <c r="BO53" s="19">
        <f>IF(COUNTIFS(T_SelfStock_Log[Part Name],$A53,T_SelfStock_Log[WeekIndex],66)=0,"",SUMIFS(T_SelfStock_Log[Self_Qty],T_SelfStock_Log[Part Name],$A53,T_SelfStock_Log[WeekIndex],66))</f>
        <v/>
      </c>
      <c r="BP53" s="19">
        <f>IF(COUNTIFS(T_SelfStock_Log[Part Name],$A53,T_SelfStock_Log[WeekIndex],67)=0,"",SUMIFS(T_SelfStock_Log[Self_Qty],T_SelfStock_Log[Part Name],$A53,T_SelfStock_Log[WeekIndex],67))</f>
        <v/>
      </c>
      <c r="BQ53" s="19">
        <f>IF(COUNTIFS(T_SelfStock_Log[Part Name],$A53,T_SelfStock_Log[WeekIndex],68)=0,"",SUMIFS(T_SelfStock_Log[Self_Qty],T_SelfStock_Log[Part Name],$A53,T_SelfStock_Log[WeekIndex],68))</f>
        <v/>
      </c>
      <c r="BR53" s="19">
        <f>IF(COUNTIFS(T_SelfStock_Log[Part Name],$A53,T_SelfStock_Log[WeekIndex],69)=0,"",SUMIFS(T_SelfStock_Log[Self_Qty],T_SelfStock_Log[Part Name],$A53,T_SelfStock_Log[WeekIndex],69))</f>
        <v/>
      </c>
      <c r="BS53" s="19">
        <f>IF(COUNTIFS(T_SelfStock_Log[Part Name],$A53,T_SelfStock_Log[WeekIndex],70)=0,"",SUMIFS(T_SelfStock_Log[Self_Qty],T_SelfStock_Log[Part Name],$A53,T_SelfStock_Log[WeekIndex],70))</f>
        <v/>
      </c>
      <c r="BT53" s="19">
        <f>IF(COUNTIFS(T_SelfStock_Log[Part Name],$A53,T_SelfStock_Log[WeekIndex],71)=0,"",SUMIFS(T_SelfStock_Log[Self_Qty],T_SelfStock_Log[Part Name],$A53,T_SelfStock_Log[WeekIndex],71))</f>
        <v/>
      </c>
      <c r="BU53" s="19">
        <f>IF(COUNTIFS(T_SelfStock_Log[Part Name],$A53,T_SelfStock_Log[WeekIndex],72)=0,"",SUMIFS(T_SelfStock_Log[Self_Qty],T_SelfStock_Log[Part Name],$A53,T_SelfStock_Log[WeekIndex],72))</f>
        <v/>
      </c>
      <c r="BV53" s="19">
        <f>IF(COUNTIFS(T_SelfStock_Log[Part Name],$A53,T_SelfStock_Log[WeekIndex],73)=0,"",SUMIFS(T_SelfStock_Log[Self_Qty],T_SelfStock_Log[Part Name],$A53,T_SelfStock_Log[WeekIndex],73))</f>
        <v/>
      </c>
      <c r="BW53" s="19">
        <f>IF(COUNTIFS(T_SelfStock_Log[Part Name],$A53,T_SelfStock_Log[WeekIndex],74)=0,"",SUMIFS(T_SelfStock_Log[Self_Qty],T_SelfStock_Log[Part Name],$A53,T_SelfStock_Log[WeekIndex],74))</f>
        <v/>
      </c>
      <c r="BX53" s="19">
        <f>IF(COUNTIFS(T_SelfStock_Log[Part Name],$A53,T_SelfStock_Log[WeekIndex],75)=0,"",SUMIFS(T_SelfStock_Log[Self_Qty],T_SelfStock_Log[Part Name],$A53,T_SelfStock_Log[WeekIndex],75))</f>
        <v/>
      </c>
      <c r="BY53" s="19">
        <f>IF(COUNTIFS(T_SelfStock_Log[Part Name],$A53,T_SelfStock_Log[WeekIndex],76)=0,"",SUMIFS(T_SelfStock_Log[Self_Qty],T_SelfStock_Log[Part Name],$A53,T_SelfStock_Log[WeekIndex],76))</f>
        <v/>
      </c>
      <c r="BZ53" s="19">
        <f>IF(COUNTIFS(T_SelfStock_Log[Part Name],$A53,T_SelfStock_Log[WeekIndex],77)=0,"",SUMIFS(T_SelfStock_Log[Self_Qty],T_SelfStock_Log[Part Name],$A53,T_SelfStock_Log[WeekIndex],77))</f>
        <v/>
      </c>
      <c r="CA53" s="19">
        <f>IF(COUNTIFS(T_SelfStock_Log[Part Name],$A53,T_SelfStock_Log[WeekIndex],78)=0,"",SUMIFS(T_SelfStock_Log[Self_Qty],T_SelfStock_Log[Part Name],$A53,T_SelfStock_Log[WeekIndex],78))</f>
        <v/>
      </c>
      <c r="CB53" s="19">
        <f>IF(COUNTIFS(T_SelfStock_Log[Part Name],$A53,T_SelfStock_Log[WeekIndex],79)=0,"",SUMIFS(T_SelfStock_Log[Self_Qty],T_SelfStock_Log[Part Name],$A53,T_SelfStock_Log[WeekIndex],79))</f>
        <v/>
      </c>
      <c r="CC53" s="19">
        <f>IF(COUNTIFS(T_SelfStock_Log[Part Name],$A53,T_SelfStock_Log[WeekIndex],80)=0,"",SUMIFS(T_SelfStock_Log[Self_Qty],T_SelfStock_Log[Part Name],$A53,T_SelfStock_Log[WeekIndex],80))</f>
        <v/>
      </c>
      <c r="CD53" s="19">
        <f>IF(COUNTIFS(T_SelfStock_Log[Part Name],$A53,T_SelfStock_Log[WeekIndex],81)=0,"",SUMIFS(T_SelfStock_Log[Self_Qty],T_SelfStock_Log[Part Name],$A53,T_SelfStock_Log[WeekIndex],81))</f>
        <v/>
      </c>
      <c r="CE53" s="19">
        <f>IF(COUNTIFS(T_SelfStock_Log[Part Name],$A53,T_SelfStock_Log[WeekIndex],82)=0,"",SUMIFS(T_SelfStock_Log[Self_Qty],T_SelfStock_Log[Part Name],$A53,T_SelfStock_Log[WeekIndex],82))</f>
        <v/>
      </c>
      <c r="CF53" s="19">
        <f>IF(COUNTIFS(T_SelfStock_Log[Part Name],$A53,T_SelfStock_Log[WeekIndex],83)=0,"",SUMIFS(T_SelfStock_Log[Self_Qty],T_SelfStock_Log[Part Name],$A53,T_SelfStock_Log[WeekIndex],83))</f>
        <v/>
      </c>
      <c r="CG53" s="19">
        <f>IF(COUNTIFS(T_SelfStock_Log[Part Name],$A53,T_SelfStock_Log[WeekIndex],84)=0,"",SUMIFS(T_SelfStock_Log[Self_Qty],T_SelfStock_Log[Part Name],$A53,T_SelfStock_Log[WeekIndex],84))</f>
        <v/>
      </c>
      <c r="CH53" s="19">
        <f>IF(COUNTIFS(T_SelfStock_Log[Part Name],$A53,T_SelfStock_Log[WeekIndex],85)=0,"",SUMIFS(T_SelfStock_Log[Self_Qty],T_SelfStock_Log[Part Name],$A53,T_SelfStock_Log[WeekIndex],85))</f>
        <v/>
      </c>
      <c r="CI53" s="19">
        <f>IF(COUNTIFS(T_SelfStock_Log[Part Name],$A53,T_SelfStock_Log[WeekIndex],86)=0,"",SUMIFS(T_SelfStock_Log[Self_Qty],T_SelfStock_Log[Part Name],$A53,T_SelfStock_Log[WeekIndex],86))</f>
        <v/>
      </c>
      <c r="CJ53" s="19">
        <f>IF(COUNTIFS(T_SelfStock_Log[Part Name],$A53,T_SelfStock_Log[WeekIndex],87)=0,"",SUMIFS(T_SelfStock_Log[Self_Qty],T_SelfStock_Log[Part Name],$A53,T_SelfStock_Log[WeekIndex],87))</f>
        <v/>
      </c>
      <c r="CK53" s="19">
        <f>IF(COUNTIFS(T_SelfStock_Log[Part Name],$A53,T_SelfStock_Log[WeekIndex],88)=0,"",SUMIFS(T_SelfStock_Log[Self_Qty],T_SelfStock_Log[Part Name],$A53,T_SelfStock_Log[WeekIndex],88))</f>
        <v/>
      </c>
      <c r="CL53" s="19">
        <f>IF(COUNTIFS(T_SelfStock_Log[Part Name],$A53,T_SelfStock_Log[WeekIndex],89)=0,"",SUMIFS(T_SelfStock_Log[Self_Qty],T_SelfStock_Log[Part Name],$A53,T_SelfStock_Log[WeekIndex],89))</f>
        <v/>
      </c>
      <c r="CM53" s="19">
        <f>IF(COUNTIFS(T_SelfStock_Log[Part Name],$A53,T_SelfStock_Log[WeekIndex],90)=0,"",SUMIFS(T_SelfStock_Log[Self_Qty],T_SelfStock_Log[Part Name],$A53,T_SelfStock_Log[WeekIndex],90))</f>
        <v/>
      </c>
      <c r="CN53" s="19">
        <f>IF(COUNTIFS(T_SelfStock_Log[Part Name],$A53,T_SelfStock_Log[WeekIndex],91)=0,"",SUMIFS(T_SelfStock_Log[Self_Qty],T_SelfStock_Log[Part Name],$A53,T_SelfStock_Log[WeekIndex],91))</f>
        <v/>
      </c>
      <c r="CO53" s="19">
        <f>IF(COUNTIFS(T_SelfStock_Log[Part Name],$A53,T_SelfStock_Log[WeekIndex],92)=0,"",SUMIFS(T_SelfStock_Log[Self_Qty],T_SelfStock_Log[Part Name],$A53,T_SelfStock_Log[WeekIndex],92))</f>
        <v/>
      </c>
      <c r="CP53" s="19">
        <f>IF(COUNTIFS(T_SelfStock_Log[Part Name],$A53,T_SelfStock_Log[WeekIndex],93)=0,"",SUMIFS(T_SelfStock_Log[Self_Qty],T_SelfStock_Log[Part Name],$A53,T_SelfStock_Log[WeekIndex],93))</f>
        <v/>
      </c>
      <c r="CQ53" s="19">
        <f>IF(COUNTIFS(T_SelfStock_Log[Part Name],$A53,T_SelfStock_Log[WeekIndex],94)=0,"",SUMIFS(T_SelfStock_Log[Self_Qty],T_SelfStock_Log[Part Name],$A53,T_SelfStock_Log[WeekIndex],94))</f>
        <v/>
      </c>
      <c r="CR53" s="19">
        <f>IF(COUNTIFS(T_SelfStock_Log[Part Name],$A53,T_SelfStock_Log[WeekIndex],95)=0,"",SUMIFS(T_SelfStock_Log[Self_Qty],T_SelfStock_Log[Part Name],$A53,T_SelfStock_Log[WeekIndex],95))</f>
        <v/>
      </c>
      <c r="CS53" s="19">
        <f>IF(COUNTIFS(T_SelfStock_Log[Part Name],$A53,T_SelfStock_Log[WeekIndex],96)=0,"",SUMIFS(T_SelfStock_Log[Self_Qty],T_SelfStock_Log[Part Name],$A53,T_SelfStock_Log[WeekIndex],96))</f>
        <v/>
      </c>
      <c r="CT53" s="19">
        <f>IF(COUNTIFS(T_SelfStock_Log[Part Name],$A53,T_SelfStock_Log[WeekIndex],97)=0,"",SUMIFS(T_SelfStock_Log[Self_Qty],T_SelfStock_Log[Part Name],$A53,T_SelfStock_Log[WeekIndex],97))</f>
        <v/>
      </c>
      <c r="CU53" s="19">
        <f>IF(COUNTIFS(T_SelfStock_Log[Part Name],$A53,T_SelfStock_Log[WeekIndex],98)=0,"",SUMIFS(T_SelfStock_Log[Self_Qty],T_SelfStock_Log[Part Name],$A53,T_SelfStock_Log[WeekIndex],98))</f>
        <v/>
      </c>
      <c r="CV53" s="19">
        <f>IF(COUNTIFS(T_SelfStock_Log[Part Name],$A53,T_SelfStock_Log[WeekIndex],99)=0,"",SUMIFS(T_SelfStock_Log[Self_Qty],T_SelfStock_Log[Part Name],$A53,T_SelfStock_Log[WeekIndex],99))</f>
        <v/>
      </c>
      <c r="CW53" s="19">
        <f>IF(COUNTIFS(T_SelfStock_Log[Part Name],$A53,T_SelfStock_Log[WeekIndex],100)=0,"",SUMIFS(T_SelfStock_Log[Self_Qty],T_SelfStock_Log[Part Name],$A53,T_SelfStock_Log[WeekIndex],100))</f>
        <v/>
      </c>
      <c r="CX53" s="19">
        <f>IF(COUNTIFS(T_SelfStock_Log[Part Name],$A53,T_SelfStock_Log[WeekIndex],101)=0,"",SUMIFS(T_SelfStock_Log[Self_Qty],T_SelfStock_Log[Part Name],$A53,T_SelfStock_Log[WeekIndex],101))</f>
        <v/>
      </c>
      <c r="CY53" s="19">
        <f>IF(COUNTIFS(T_SelfStock_Log[Part Name],$A53,T_SelfStock_Log[WeekIndex],102)=0,"",SUMIFS(T_SelfStock_Log[Self_Qty],T_SelfStock_Log[Part Name],$A53,T_SelfStock_Log[WeekIndex],102))</f>
        <v/>
      </c>
      <c r="CZ53" s="19">
        <f>IF(COUNTIFS(T_SelfStock_Log[Part Name],$A53,T_SelfStock_Log[WeekIndex],103)=0,"",SUMIFS(T_SelfStock_Log[Self_Qty],T_SelfStock_Log[Part Name],$A53,T_SelfStock_Log[WeekIndex],103))</f>
        <v/>
      </c>
      <c r="DA53" s="19">
        <f>IF(COUNTIFS(T_SelfStock_Log[Part Name],$A53,T_SelfStock_Log[WeekIndex],104)=0,"",SUMIFS(T_SelfStock_Log[Self_Qty],T_SelfStock_Log[Part Name],$A53,T_SelfStock_Log[WeekIndex],104))</f>
        <v/>
      </c>
    </row>
    <row r="54">
      <c r="A54" s="17" t="inlineStr">
        <is>
          <t>CHEM-1760</t>
        </is>
      </c>
      <c r="B54" s="17">
        <f>IF(COUNTIFS(T_SelfStock_Log[Part Name],$A54,T_SelfStock_Log[WeekIndex],1)=0,"",SUMIFS(T_SelfStock_Log[Self_Qty],T_SelfStock_Log[Part Name],$A54,T_SelfStock_Log[WeekIndex],1))</f>
        <v/>
      </c>
      <c r="C54" s="17">
        <f>IF(COUNTIFS(T_SelfStock_Log[Part Name],$A54,T_SelfStock_Log[WeekIndex],2)=0,"",SUMIFS(T_SelfStock_Log[Self_Qty],T_SelfStock_Log[Part Name],$A54,T_SelfStock_Log[WeekIndex],2))</f>
        <v/>
      </c>
      <c r="D54" s="17">
        <f>IF(COUNTIFS(T_SelfStock_Log[Part Name],$A54,T_SelfStock_Log[WeekIndex],3)=0,"",SUMIFS(T_SelfStock_Log[Self_Qty],T_SelfStock_Log[Part Name],$A54,T_SelfStock_Log[WeekIndex],3))</f>
        <v/>
      </c>
      <c r="E54" s="17">
        <f>IF(COUNTIFS(T_SelfStock_Log[Part Name],$A54,T_SelfStock_Log[WeekIndex],4)=0,"",SUMIFS(T_SelfStock_Log[Self_Qty],T_SelfStock_Log[Part Name],$A54,T_SelfStock_Log[WeekIndex],4))</f>
        <v/>
      </c>
      <c r="F54" s="17">
        <f>IF(COUNTIFS(T_SelfStock_Log[Part Name],$A54,T_SelfStock_Log[WeekIndex],5)=0,"",SUMIFS(T_SelfStock_Log[Self_Qty],T_SelfStock_Log[Part Name],$A54,T_SelfStock_Log[WeekIndex],5))</f>
        <v/>
      </c>
      <c r="G54" s="17">
        <f>IF(COUNTIFS(T_SelfStock_Log[Part Name],$A54,T_SelfStock_Log[WeekIndex],6)=0,"",SUMIFS(T_SelfStock_Log[Self_Qty],T_SelfStock_Log[Part Name],$A54,T_SelfStock_Log[WeekIndex],6))</f>
        <v/>
      </c>
      <c r="H54" s="17">
        <f>IF(COUNTIFS(T_SelfStock_Log[Part Name],$A54,T_SelfStock_Log[WeekIndex],7)=0,"",SUMIFS(T_SelfStock_Log[Self_Qty],T_SelfStock_Log[Part Name],$A54,T_SelfStock_Log[WeekIndex],7))</f>
        <v/>
      </c>
      <c r="I54" s="17">
        <f>IF(COUNTIFS(T_SelfStock_Log[Part Name],$A54,T_SelfStock_Log[WeekIndex],8)=0,"",SUMIFS(T_SelfStock_Log[Self_Qty],T_SelfStock_Log[Part Name],$A54,T_SelfStock_Log[WeekIndex],8))</f>
        <v/>
      </c>
      <c r="J54" s="17">
        <f>IF(COUNTIFS(T_SelfStock_Log[Part Name],$A54,T_SelfStock_Log[WeekIndex],9)=0,"",SUMIFS(T_SelfStock_Log[Self_Qty],T_SelfStock_Log[Part Name],$A54,T_SelfStock_Log[WeekIndex],9))</f>
        <v/>
      </c>
      <c r="K54" s="17">
        <f>IF(COUNTIFS(T_SelfStock_Log[Part Name],$A54,T_SelfStock_Log[WeekIndex],10)=0,"",SUMIFS(T_SelfStock_Log[Self_Qty],T_SelfStock_Log[Part Name],$A54,T_SelfStock_Log[WeekIndex],10))</f>
        <v/>
      </c>
      <c r="L54" s="17">
        <f>IF(COUNTIFS(T_SelfStock_Log[Part Name],$A54,T_SelfStock_Log[WeekIndex],11)=0,"",SUMIFS(T_SelfStock_Log[Self_Qty],T_SelfStock_Log[Part Name],$A54,T_SelfStock_Log[WeekIndex],11))</f>
        <v/>
      </c>
      <c r="M54" s="17">
        <f>IF(COUNTIFS(T_SelfStock_Log[Part Name],$A54,T_SelfStock_Log[WeekIndex],12)=0,"",SUMIFS(T_SelfStock_Log[Self_Qty],T_SelfStock_Log[Part Name],$A54,T_SelfStock_Log[WeekIndex],12))</f>
        <v/>
      </c>
      <c r="N54" s="17">
        <f>IF(COUNTIFS(T_SelfStock_Log[Part Name],$A54,T_SelfStock_Log[WeekIndex],13)=0,"",SUMIFS(T_SelfStock_Log[Self_Qty],T_SelfStock_Log[Part Name],$A54,T_SelfStock_Log[WeekIndex],13))</f>
        <v/>
      </c>
      <c r="O54" s="17">
        <f>IF(COUNTIFS(T_SelfStock_Log[Part Name],$A54,T_SelfStock_Log[WeekIndex],14)=0,"",SUMIFS(T_SelfStock_Log[Self_Qty],T_SelfStock_Log[Part Name],$A54,T_SelfStock_Log[WeekIndex],14))</f>
        <v/>
      </c>
      <c r="P54" s="17">
        <f>IF(COUNTIFS(T_SelfStock_Log[Part Name],$A54,T_SelfStock_Log[WeekIndex],15)=0,"",SUMIFS(T_SelfStock_Log[Self_Qty],T_SelfStock_Log[Part Name],$A54,T_SelfStock_Log[WeekIndex],15))</f>
        <v/>
      </c>
      <c r="Q54" s="17">
        <f>IF(COUNTIFS(T_SelfStock_Log[Part Name],$A54,T_SelfStock_Log[WeekIndex],16)=0,"",SUMIFS(T_SelfStock_Log[Self_Qty],T_SelfStock_Log[Part Name],$A54,T_SelfStock_Log[WeekIndex],16))</f>
        <v/>
      </c>
      <c r="R54" s="17">
        <f>IF(COUNTIFS(T_SelfStock_Log[Part Name],$A54,T_SelfStock_Log[WeekIndex],17)=0,"",SUMIFS(T_SelfStock_Log[Self_Qty],T_SelfStock_Log[Part Name],$A54,T_SelfStock_Log[WeekIndex],17))</f>
        <v/>
      </c>
      <c r="S54" s="17">
        <f>IF(COUNTIFS(T_SelfStock_Log[Part Name],$A54,T_SelfStock_Log[WeekIndex],18)=0,"",SUMIFS(T_SelfStock_Log[Self_Qty],T_SelfStock_Log[Part Name],$A54,T_SelfStock_Log[WeekIndex],18))</f>
        <v/>
      </c>
      <c r="T54" s="17">
        <f>IF(COUNTIFS(T_SelfStock_Log[Part Name],$A54,T_SelfStock_Log[WeekIndex],19)=0,"",SUMIFS(T_SelfStock_Log[Self_Qty],T_SelfStock_Log[Part Name],$A54,T_SelfStock_Log[WeekIndex],19))</f>
        <v/>
      </c>
      <c r="U54" s="17">
        <f>IF(COUNTIFS(T_SelfStock_Log[Part Name],$A54,T_SelfStock_Log[WeekIndex],20)=0,"",SUMIFS(T_SelfStock_Log[Self_Qty],T_SelfStock_Log[Part Name],$A54,T_SelfStock_Log[WeekIndex],20))</f>
        <v/>
      </c>
      <c r="V54" s="17">
        <f>IF(COUNTIFS(T_SelfStock_Log[Part Name],$A54,T_SelfStock_Log[WeekIndex],21)=0,"",SUMIFS(T_SelfStock_Log[Self_Qty],T_SelfStock_Log[Part Name],$A54,T_SelfStock_Log[WeekIndex],21))</f>
        <v/>
      </c>
      <c r="W54" s="17">
        <f>IF(COUNTIFS(T_SelfStock_Log[Part Name],$A54,T_SelfStock_Log[WeekIndex],22)=0,"",SUMIFS(T_SelfStock_Log[Self_Qty],T_SelfStock_Log[Part Name],$A54,T_SelfStock_Log[WeekIndex],22))</f>
        <v/>
      </c>
      <c r="X54" s="17">
        <f>IF(COUNTIFS(T_SelfStock_Log[Part Name],$A54,T_SelfStock_Log[WeekIndex],23)=0,"",SUMIFS(T_SelfStock_Log[Self_Qty],T_SelfStock_Log[Part Name],$A54,T_SelfStock_Log[WeekIndex],23))</f>
        <v/>
      </c>
      <c r="Y54" s="17">
        <f>IF(COUNTIFS(T_SelfStock_Log[Part Name],$A54,T_SelfStock_Log[WeekIndex],24)=0,"",SUMIFS(T_SelfStock_Log[Self_Qty],T_SelfStock_Log[Part Name],$A54,T_SelfStock_Log[WeekIndex],24))</f>
        <v/>
      </c>
      <c r="Z54" s="17">
        <f>IF(COUNTIFS(T_SelfStock_Log[Part Name],$A54,T_SelfStock_Log[WeekIndex],25)=0,"",SUMIFS(T_SelfStock_Log[Self_Qty],T_SelfStock_Log[Part Name],$A54,T_SelfStock_Log[WeekIndex],25))</f>
        <v/>
      </c>
      <c r="AA54" s="17">
        <f>IF(COUNTIFS(T_SelfStock_Log[Part Name],$A54,T_SelfStock_Log[WeekIndex],26)=0,"",SUMIFS(T_SelfStock_Log[Self_Qty],T_SelfStock_Log[Part Name],$A54,T_SelfStock_Log[WeekIndex],26))</f>
        <v/>
      </c>
      <c r="AB54" s="17">
        <f>IF(COUNTIFS(T_SelfStock_Log[Part Name],$A54,T_SelfStock_Log[WeekIndex],27)=0,"",SUMIFS(T_SelfStock_Log[Self_Qty],T_SelfStock_Log[Part Name],$A54,T_SelfStock_Log[WeekIndex],27))</f>
        <v/>
      </c>
      <c r="AC54" s="17">
        <f>IF(COUNTIFS(T_SelfStock_Log[Part Name],$A54,T_SelfStock_Log[WeekIndex],28)=0,"",SUMIFS(T_SelfStock_Log[Self_Qty],T_SelfStock_Log[Part Name],$A54,T_SelfStock_Log[WeekIndex],28))</f>
        <v/>
      </c>
      <c r="AD54" s="17">
        <f>IF(COUNTIFS(T_SelfStock_Log[Part Name],$A54,T_SelfStock_Log[WeekIndex],29)=0,"",SUMIFS(T_SelfStock_Log[Self_Qty],T_SelfStock_Log[Part Name],$A54,T_SelfStock_Log[WeekIndex],29))</f>
        <v/>
      </c>
      <c r="AE54" s="17">
        <f>IF(COUNTIFS(T_SelfStock_Log[Part Name],$A54,T_SelfStock_Log[WeekIndex],30)=0,"",SUMIFS(T_SelfStock_Log[Self_Qty],T_SelfStock_Log[Part Name],$A54,T_SelfStock_Log[WeekIndex],30))</f>
        <v/>
      </c>
      <c r="AF54" s="17">
        <f>IF(COUNTIFS(T_SelfStock_Log[Part Name],$A54,T_SelfStock_Log[WeekIndex],31)=0,"",SUMIFS(T_SelfStock_Log[Self_Qty],T_SelfStock_Log[Part Name],$A54,T_SelfStock_Log[WeekIndex],31))</f>
        <v/>
      </c>
      <c r="AG54" s="17">
        <f>IF(COUNTIFS(T_SelfStock_Log[Part Name],$A54,T_SelfStock_Log[WeekIndex],32)=0,"",SUMIFS(T_SelfStock_Log[Self_Qty],T_SelfStock_Log[Part Name],$A54,T_SelfStock_Log[WeekIndex],32))</f>
        <v/>
      </c>
      <c r="AH54" s="17">
        <f>IF(COUNTIFS(T_SelfStock_Log[Part Name],$A54,T_SelfStock_Log[WeekIndex],33)=0,"",SUMIFS(T_SelfStock_Log[Self_Qty],T_SelfStock_Log[Part Name],$A54,T_SelfStock_Log[WeekIndex],33))</f>
        <v/>
      </c>
      <c r="AI54" s="17">
        <f>IF(COUNTIFS(T_SelfStock_Log[Part Name],$A54,T_SelfStock_Log[WeekIndex],34)=0,"",SUMIFS(T_SelfStock_Log[Self_Qty],T_SelfStock_Log[Part Name],$A54,T_SelfStock_Log[WeekIndex],34))</f>
        <v/>
      </c>
      <c r="AJ54" s="17">
        <f>IF(COUNTIFS(T_SelfStock_Log[Part Name],$A54,T_SelfStock_Log[WeekIndex],35)=0,"",SUMIFS(T_SelfStock_Log[Self_Qty],T_SelfStock_Log[Part Name],$A54,T_SelfStock_Log[WeekIndex],35))</f>
        <v/>
      </c>
      <c r="AK54" s="17">
        <f>IF(COUNTIFS(T_SelfStock_Log[Part Name],$A54,T_SelfStock_Log[WeekIndex],36)=0,"",SUMIFS(T_SelfStock_Log[Self_Qty],T_SelfStock_Log[Part Name],$A54,T_SelfStock_Log[WeekIndex],36))</f>
        <v/>
      </c>
      <c r="AL54" s="17">
        <f>IF(COUNTIFS(T_SelfStock_Log[Part Name],$A54,T_SelfStock_Log[WeekIndex],37)=0,"",SUMIFS(T_SelfStock_Log[Self_Qty],T_SelfStock_Log[Part Name],$A54,T_SelfStock_Log[WeekIndex],37))</f>
        <v/>
      </c>
      <c r="AM54" s="17">
        <f>IF(COUNTIFS(T_SelfStock_Log[Part Name],$A54,T_SelfStock_Log[WeekIndex],38)=0,"",SUMIFS(T_SelfStock_Log[Self_Qty],T_SelfStock_Log[Part Name],$A54,T_SelfStock_Log[WeekIndex],38))</f>
        <v/>
      </c>
      <c r="AN54" s="17">
        <f>IF(COUNTIFS(T_SelfStock_Log[Part Name],$A54,T_SelfStock_Log[WeekIndex],39)=0,"",SUMIFS(T_SelfStock_Log[Self_Qty],T_SelfStock_Log[Part Name],$A54,T_SelfStock_Log[WeekIndex],39))</f>
        <v/>
      </c>
      <c r="AO54" s="17">
        <f>IF(COUNTIFS(T_SelfStock_Log[Part Name],$A54,T_SelfStock_Log[WeekIndex],40)=0,"",SUMIFS(T_SelfStock_Log[Self_Qty],T_SelfStock_Log[Part Name],$A54,T_SelfStock_Log[WeekIndex],40))</f>
        <v/>
      </c>
      <c r="AP54" s="17">
        <f>IF(COUNTIFS(T_SelfStock_Log[Part Name],$A54,T_SelfStock_Log[WeekIndex],41)=0,"",SUMIFS(T_SelfStock_Log[Self_Qty],T_SelfStock_Log[Part Name],$A54,T_SelfStock_Log[WeekIndex],41))</f>
        <v/>
      </c>
      <c r="AQ54" s="17">
        <f>IF(COUNTIFS(T_SelfStock_Log[Part Name],$A54,T_SelfStock_Log[WeekIndex],42)=0,"",SUMIFS(T_SelfStock_Log[Self_Qty],T_SelfStock_Log[Part Name],$A54,T_SelfStock_Log[WeekIndex],42))</f>
        <v/>
      </c>
      <c r="AR54" s="17">
        <f>IF(COUNTIFS(T_SelfStock_Log[Part Name],$A54,T_SelfStock_Log[WeekIndex],43)=0,"",SUMIFS(T_SelfStock_Log[Self_Qty],T_SelfStock_Log[Part Name],$A54,T_SelfStock_Log[WeekIndex],43))</f>
        <v/>
      </c>
      <c r="AS54" s="17">
        <f>IF(COUNTIFS(T_SelfStock_Log[Part Name],$A54,T_SelfStock_Log[WeekIndex],44)=0,"",SUMIFS(T_SelfStock_Log[Self_Qty],T_SelfStock_Log[Part Name],$A54,T_SelfStock_Log[WeekIndex],44))</f>
        <v/>
      </c>
      <c r="AT54" s="17">
        <f>IF(COUNTIFS(T_SelfStock_Log[Part Name],$A54,T_SelfStock_Log[WeekIndex],45)=0,"",SUMIFS(T_SelfStock_Log[Self_Qty],T_SelfStock_Log[Part Name],$A54,T_SelfStock_Log[WeekIndex],45))</f>
        <v/>
      </c>
      <c r="AU54" s="17">
        <f>IF(COUNTIFS(T_SelfStock_Log[Part Name],$A54,T_SelfStock_Log[WeekIndex],46)=0,"",SUMIFS(T_SelfStock_Log[Self_Qty],T_SelfStock_Log[Part Name],$A54,T_SelfStock_Log[WeekIndex],46))</f>
        <v/>
      </c>
      <c r="AV54" s="17">
        <f>IF(COUNTIFS(T_SelfStock_Log[Part Name],$A54,T_SelfStock_Log[WeekIndex],47)=0,"",SUMIFS(T_SelfStock_Log[Self_Qty],T_SelfStock_Log[Part Name],$A54,T_SelfStock_Log[WeekIndex],47))</f>
        <v/>
      </c>
      <c r="AW54" s="17">
        <f>IF(COUNTIFS(T_SelfStock_Log[Part Name],$A54,T_SelfStock_Log[WeekIndex],48)=0,"",SUMIFS(T_SelfStock_Log[Self_Qty],T_SelfStock_Log[Part Name],$A54,T_SelfStock_Log[WeekIndex],48))</f>
        <v/>
      </c>
      <c r="AX54" s="17">
        <f>IF(COUNTIFS(T_SelfStock_Log[Part Name],$A54,T_SelfStock_Log[WeekIndex],49)=0,"",SUMIFS(T_SelfStock_Log[Self_Qty],T_SelfStock_Log[Part Name],$A54,T_SelfStock_Log[WeekIndex],49))</f>
        <v/>
      </c>
      <c r="AY54" s="17">
        <f>IF(COUNTIFS(T_SelfStock_Log[Part Name],$A54,T_SelfStock_Log[WeekIndex],50)=0,"",SUMIFS(T_SelfStock_Log[Self_Qty],T_SelfStock_Log[Part Name],$A54,T_SelfStock_Log[WeekIndex],50))</f>
        <v/>
      </c>
      <c r="AZ54" s="17">
        <f>IF(COUNTIFS(T_SelfStock_Log[Part Name],$A54,T_SelfStock_Log[WeekIndex],51)=0,"",SUMIFS(T_SelfStock_Log[Self_Qty],T_SelfStock_Log[Part Name],$A54,T_SelfStock_Log[WeekIndex],51))</f>
        <v/>
      </c>
      <c r="BA54" s="17">
        <f>IF(COUNTIFS(T_SelfStock_Log[Part Name],$A54,T_SelfStock_Log[WeekIndex],52)=0,"",SUMIFS(T_SelfStock_Log[Self_Qty],T_SelfStock_Log[Part Name],$A54,T_SelfStock_Log[WeekIndex],52))</f>
        <v/>
      </c>
      <c r="BB54" s="17">
        <f>IF(COUNTIFS(T_SelfStock_Log[Part Name],$A54,T_SelfStock_Log[WeekIndex],53)=0,"",SUMIFS(T_SelfStock_Log[Self_Qty],T_SelfStock_Log[Part Name],$A54,T_SelfStock_Log[WeekIndex],53))</f>
        <v/>
      </c>
      <c r="BC54" s="17">
        <f>IF(COUNTIFS(T_SelfStock_Log[Part Name],$A54,T_SelfStock_Log[WeekIndex],54)=0,"",SUMIFS(T_SelfStock_Log[Self_Qty],T_SelfStock_Log[Part Name],$A54,T_SelfStock_Log[WeekIndex],54))</f>
        <v/>
      </c>
      <c r="BD54" s="17">
        <f>IF(COUNTIFS(T_SelfStock_Log[Part Name],$A54,T_SelfStock_Log[WeekIndex],55)=0,"",SUMIFS(T_SelfStock_Log[Self_Qty],T_SelfStock_Log[Part Name],$A54,T_SelfStock_Log[WeekIndex],55))</f>
        <v/>
      </c>
      <c r="BE54" s="17">
        <f>IF(COUNTIFS(T_SelfStock_Log[Part Name],$A54,T_SelfStock_Log[WeekIndex],56)=0,"",SUMIFS(T_SelfStock_Log[Self_Qty],T_SelfStock_Log[Part Name],$A54,T_SelfStock_Log[WeekIndex],56))</f>
        <v/>
      </c>
      <c r="BF54" s="17">
        <f>IF(COUNTIFS(T_SelfStock_Log[Part Name],$A54,T_SelfStock_Log[WeekIndex],57)=0,"",SUMIFS(T_SelfStock_Log[Self_Qty],T_SelfStock_Log[Part Name],$A54,T_SelfStock_Log[WeekIndex],57))</f>
        <v/>
      </c>
      <c r="BG54" s="17">
        <f>IF(COUNTIFS(T_SelfStock_Log[Part Name],$A54,T_SelfStock_Log[WeekIndex],58)=0,"",SUMIFS(T_SelfStock_Log[Self_Qty],T_SelfStock_Log[Part Name],$A54,T_SelfStock_Log[WeekIndex],58))</f>
        <v/>
      </c>
      <c r="BH54" s="17">
        <f>IF(COUNTIFS(T_SelfStock_Log[Part Name],$A54,T_SelfStock_Log[WeekIndex],59)=0,"",SUMIFS(T_SelfStock_Log[Self_Qty],T_SelfStock_Log[Part Name],$A54,T_SelfStock_Log[WeekIndex],59))</f>
        <v/>
      </c>
      <c r="BI54" s="17">
        <f>IF(COUNTIFS(T_SelfStock_Log[Part Name],$A54,T_SelfStock_Log[WeekIndex],60)=0,"",SUMIFS(T_SelfStock_Log[Self_Qty],T_SelfStock_Log[Part Name],$A54,T_SelfStock_Log[WeekIndex],60))</f>
        <v/>
      </c>
      <c r="BJ54" s="17">
        <f>IF(COUNTIFS(T_SelfStock_Log[Part Name],$A54,T_SelfStock_Log[WeekIndex],61)=0,"",SUMIFS(T_SelfStock_Log[Self_Qty],T_SelfStock_Log[Part Name],$A54,T_SelfStock_Log[WeekIndex],61))</f>
        <v/>
      </c>
      <c r="BK54" s="17">
        <f>IF(COUNTIFS(T_SelfStock_Log[Part Name],$A54,T_SelfStock_Log[WeekIndex],62)=0,"",SUMIFS(T_SelfStock_Log[Self_Qty],T_SelfStock_Log[Part Name],$A54,T_SelfStock_Log[WeekIndex],62))</f>
        <v/>
      </c>
      <c r="BL54" s="17">
        <f>IF(COUNTIFS(T_SelfStock_Log[Part Name],$A54,T_SelfStock_Log[WeekIndex],63)=0,"",SUMIFS(T_SelfStock_Log[Self_Qty],T_SelfStock_Log[Part Name],$A54,T_SelfStock_Log[WeekIndex],63))</f>
        <v/>
      </c>
      <c r="BM54" s="17">
        <f>IF(COUNTIFS(T_SelfStock_Log[Part Name],$A54,T_SelfStock_Log[WeekIndex],64)=0,"",SUMIFS(T_SelfStock_Log[Self_Qty],T_SelfStock_Log[Part Name],$A54,T_SelfStock_Log[WeekIndex],64))</f>
        <v/>
      </c>
      <c r="BN54" s="17">
        <f>IF(COUNTIFS(T_SelfStock_Log[Part Name],$A54,T_SelfStock_Log[WeekIndex],65)=0,"",SUMIFS(T_SelfStock_Log[Self_Qty],T_SelfStock_Log[Part Name],$A54,T_SelfStock_Log[WeekIndex],65))</f>
        <v/>
      </c>
      <c r="BO54" s="17">
        <f>IF(COUNTIFS(T_SelfStock_Log[Part Name],$A54,T_SelfStock_Log[WeekIndex],66)=0,"",SUMIFS(T_SelfStock_Log[Self_Qty],T_SelfStock_Log[Part Name],$A54,T_SelfStock_Log[WeekIndex],66))</f>
        <v/>
      </c>
      <c r="BP54" s="17">
        <f>IF(COUNTIFS(T_SelfStock_Log[Part Name],$A54,T_SelfStock_Log[WeekIndex],67)=0,"",SUMIFS(T_SelfStock_Log[Self_Qty],T_SelfStock_Log[Part Name],$A54,T_SelfStock_Log[WeekIndex],67))</f>
        <v/>
      </c>
      <c r="BQ54" s="17">
        <f>IF(COUNTIFS(T_SelfStock_Log[Part Name],$A54,T_SelfStock_Log[WeekIndex],68)=0,"",SUMIFS(T_SelfStock_Log[Self_Qty],T_SelfStock_Log[Part Name],$A54,T_SelfStock_Log[WeekIndex],68))</f>
        <v/>
      </c>
      <c r="BR54" s="17">
        <f>IF(COUNTIFS(T_SelfStock_Log[Part Name],$A54,T_SelfStock_Log[WeekIndex],69)=0,"",SUMIFS(T_SelfStock_Log[Self_Qty],T_SelfStock_Log[Part Name],$A54,T_SelfStock_Log[WeekIndex],69))</f>
        <v/>
      </c>
      <c r="BS54" s="17">
        <f>IF(COUNTIFS(T_SelfStock_Log[Part Name],$A54,T_SelfStock_Log[WeekIndex],70)=0,"",SUMIFS(T_SelfStock_Log[Self_Qty],T_SelfStock_Log[Part Name],$A54,T_SelfStock_Log[WeekIndex],70))</f>
        <v/>
      </c>
      <c r="BT54" s="17">
        <f>IF(COUNTIFS(T_SelfStock_Log[Part Name],$A54,T_SelfStock_Log[WeekIndex],71)=0,"",SUMIFS(T_SelfStock_Log[Self_Qty],T_SelfStock_Log[Part Name],$A54,T_SelfStock_Log[WeekIndex],71))</f>
        <v/>
      </c>
      <c r="BU54" s="17">
        <f>IF(COUNTIFS(T_SelfStock_Log[Part Name],$A54,T_SelfStock_Log[WeekIndex],72)=0,"",SUMIFS(T_SelfStock_Log[Self_Qty],T_SelfStock_Log[Part Name],$A54,T_SelfStock_Log[WeekIndex],72))</f>
        <v/>
      </c>
      <c r="BV54" s="17">
        <f>IF(COUNTIFS(T_SelfStock_Log[Part Name],$A54,T_SelfStock_Log[WeekIndex],73)=0,"",SUMIFS(T_SelfStock_Log[Self_Qty],T_SelfStock_Log[Part Name],$A54,T_SelfStock_Log[WeekIndex],73))</f>
        <v/>
      </c>
      <c r="BW54" s="17">
        <f>IF(COUNTIFS(T_SelfStock_Log[Part Name],$A54,T_SelfStock_Log[WeekIndex],74)=0,"",SUMIFS(T_SelfStock_Log[Self_Qty],T_SelfStock_Log[Part Name],$A54,T_SelfStock_Log[WeekIndex],74))</f>
        <v/>
      </c>
      <c r="BX54" s="17">
        <f>IF(COUNTIFS(T_SelfStock_Log[Part Name],$A54,T_SelfStock_Log[WeekIndex],75)=0,"",SUMIFS(T_SelfStock_Log[Self_Qty],T_SelfStock_Log[Part Name],$A54,T_SelfStock_Log[WeekIndex],75))</f>
        <v/>
      </c>
      <c r="BY54" s="17">
        <f>IF(COUNTIFS(T_SelfStock_Log[Part Name],$A54,T_SelfStock_Log[WeekIndex],76)=0,"",SUMIFS(T_SelfStock_Log[Self_Qty],T_SelfStock_Log[Part Name],$A54,T_SelfStock_Log[WeekIndex],76))</f>
        <v/>
      </c>
      <c r="BZ54" s="17">
        <f>IF(COUNTIFS(T_SelfStock_Log[Part Name],$A54,T_SelfStock_Log[WeekIndex],77)=0,"",SUMIFS(T_SelfStock_Log[Self_Qty],T_SelfStock_Log[Part Name],$A54,T_SelfStock_Log[WeekIndex],77))</f>
        <v/>
      </c>
      <c r="CA54" s="17">
        <f>IF(COUNTIFS(T_SelfStock_Log[Part Name],$A54,T_SelfStock_Log[WeekIndex],78)=0,"",SUMIFS(T_SelfStock_Log[Self_Qty],T_SelfStock_Log[Part Name],$A54,T_SelfStock_Log[WeekIndex],78))</f>
        <v/>
      </c>
      <c r="CB54" s="17">
        <f>IF(COUNTIFS(T_SelfStock_Log[Part Name],$A54,T_SelfStock_Log[WeekIndex],79)=0,"",SUMIFS(T_SelfStock_Log[Self_Qty],T_SelfStock_Log[Part Name],$A54,T_SelfStock_Log[WeekIndex],79))</f>
        <v/>
      </c>
      <c r="CC54" s="17">
        <f>IF(COUNTIFS(T_SelfStock_Log[Part Name],$A54,T_SelfStock_Log[WeekIndex],80)=0,"",SUMIFS(T_SelfStock_Log[Self_Qty],T_SelfStock_Log[Part Name],$A54,T_SelfStock_Log[WeekIndex],80))</f>
        <v/>
      </c>
      <c r="CD54" s="17">
        <f>IF(COUNTIFS(T_SelfStock_Log[Part Name],$A54,T_SelfStock_Log[WeekIndex],81)=0,"",SUMIFS(T_SelfStock_Log[Self_Qty],T_SelfStock_Log[Part Name],$A54,T_SelfStock_Log[WeekIndex],81))</f>
        <v/>
      </c>
      <c r="CE54" s="17">
        <f>IF(COUNTIFS(T_SelfStock_Log[Part Name],$A54,T_SelfStock_Log[WeekIndex],82)=0,"",SUMIFS(T_SelfStock_Log[Self_Qty],T_SelfStock_Log[Part Name],$A54,T_SelfStock_Log[WeekIndex],82))</f>
        <v/>
      </c>
      <c r="CF54" s="17">
        <f>IF(COUNTIFS(T_SelfStock_Log[Part Name],$A54,T_SelfStock_Log[WeekIndex],83)=0,"",SUMIFS(T_SelfStock_Log[Self_Qty],T_SelfStock_Log[Part Name],$A54,T_SelfStock_Log[WeekIndex],83))</f>
        <v/>
      </c>
      <c r="CG54" s="17">
        <f>IF(COUNTIFS(T_SelfStock_Log[Part Name],$A54,T_SelfStock_Log[WeekIndex],84)=0,"",SUMIFS(T_SelfStock_Log[Self_Qty],T_SelfStock_Log[Part Name],$A54,T_SelfStock_Log[WeekIndex],84))</f>
        <v/>
      </c>
      <c r="CH54" s="17">
        <f>IF(COUNTIFS(T_SelfStock_Log[Part Name],$A54,T_SelfStock_Log[WeekIndex],85)=0,"",SUMIFS(T_SelfStock_Log[Self_Qty],T_SelfStock_Log[Part Name],$A54,T_SelfStock_Log[WeekIndex],85))</f>
        <v/>
      </c>
      <c r="CI54" s="17">
        <f>IF(COUNTIFS(T_SelfStock_Log[Part Name],$A54,T_SelfStock_Log[WeekIndex],86)=0,"",SUMIFS(T_SelfStock_Log[Self_Qty],T_SelfStock_Log[Part Name],$A54,T_SelfStock_Log[WeekIndex],86))</f>
        <v/>
      </c>
      <c r="CJ54" s="17">
        <f>IF(COUNTIFS(T_SelfStock_Log[Part Name],$A54,T_SelfStock_Log[WeekIndex],87)=0,"",SUMIFS(T_SelfStock_Log[Self_Qty],T_SelfStock_Log[Part Name],$A54,T_SelfStock_Log[WeekIndex],87))</f>
        <v/>
      </c>
      <c r="CK54" s="17">
        <f>IF(COUNTIFS(T_SelfStock_Log[Part Name],$A54,T_SelfStock_Log[WeekIndex],88)=0,"",SUMIFS(T_SelfStock_Log[Self_Qty],T_SelfStock_Log[Part Name],$A54,T_SelfStock_Log[WeekIndex],88))</f>
        <v/>
      </c>
      <c r="CL54" s="17">
        <f>IF(COUNTIFS(T_SelfStock_Log[Part Name],$A54,T_SelfStock_Log[WeekIndex],89)=0,"",SUMIFS(T_SelfStock_Log[Self_Qty],T_SelfStock_Log[Part Name],$A54,T_SelfStock_Log[WeekIndex],89))</f>
        <v/>
      </c>
      <c r="CM54" s="17">
        <f>IF(COUNTIFS(T_SelfStock_Log[Part Name],$A54,T_SelfStock_Log[WeekIndex],90)=0,"",SUMIFS(T_SelfStock_Log[Self_Qty],T_SelfStock_Log[Part Name],$A54,T_SelfStock_Log[WeekIndex],90))</f>
        <v/>
      </c>
      <c r="CN54" s="17">
        <f>IF(COUNTIFS(T_SelfStock_Log[Part Name],$A54,T_SelfStock_Log[WeekIndex],91)=0,"",SUMIFS(T_SelfStock_Log[Self_Qty],T_SelfStock_Log[Part Name],$A54,T_SelfStock_Log[WeekIndex],91))</f>
        <v/>
      </c>
      <c r="CO54" s="17">
        <f>IF(COUNTIFS(T_SelfStock_Log[Part Name],$A54,T_SelfStock_Log[WeekIndex],92)=0,"",SUMIFS(T_SelfStock_Log[Self_Qty],T_SelfStock_Log[Part Name],$A54,T_SelfStock_Log[WeekIndex],92))</f>
        <v/>
      </c>
      <c r="CP54" s="17">
        <f>IF(COUNTIFS(T_SelfStock_Log[Part Name],$A54,T_SelfStock_Log[WeekIndex],93)=0,"",SUMIFS(T_SelfStock_Log[Self_Qty],T_SelfStock_Log[Part Name],$A54,T_SelfStock_Log[WeekIndex],93))</f>
        <v/>
      </c>
      <c r="CQ54" s="17">
        <f>IF(COUNTIFS(T_SelfStock_Log[Part Name],$A54,T_SelfStock_Log[WeekIndex],94)=0,"",SUMIFS(T_SelfStock_Log[Self_Qty],T_SelfStock_Log[Part Name],$A54,T_SelfStock_Log[WeekIndex],94))</f>
        <v/>
      </c>
      <c r="CR54" s="17">
        <f>IF(COUNTIFS(T_SelfStock_Log[Part Name],$A54,T_SelfStock_Log[WeekIndex],95)=0,"",SUMIFS(T_SelfStock_Log[Self_Qty],T_SelfStock_Log[Part Name],$A54,T_SelfStock_Log[WeekIndex],95))</f>
        <v/>
      </c>
      <c r="CS54" s="17">
        <f>IF(COUNTIFS(T_SelfStock_Log[Part Name],$A54,T_SelfStock_Log[WeekIndex],96)=0,"",SUMIFS(T_SelfStock_Log[Self_Qty],T_SelfStock_Log[Part Name],$A54,T_SelfStock_Log[WeekIndex],96))</f>
        <v/>
      </c>
      <c r="CT54" s="17">
        <f>IF(COUNTIFS(T_SelfStock_Log[Part Name],$A54,T_SelfStock_Log[WeekIndex],97)=0,"",SUMIFS(T_SelfStock_Log[Self_Qty],T_SelfStock_Log[Part Name],$A54,T_SelfStock_Log[WeekIndex],97))</f>
        <v/>
      </c>
      <c r="CU54" s="17">
        <f>IF(COUNTIFS(T_SelfStock_Log[Part Name],$A54,T_SelfStock_Log[WeekIndex],98)=0,"",SUMIFS(T_SelfStock_Log[Self_Qty],T_SelfStock_Log[Part Name],$A54,T_SelfStock_Log[WeekIndex],98))</f>
        <v/>
      </c>
      <c r="CV54" s="17">
        <f>IF(COUNTIFS(T_SelfStock_Log[Part Name],$A54,T_SelfStock_Log[WeekIndex],99)=0,"",SUMIFS(T_SelfStock_Log[Self_Qty],T_SelfStock_Log[Part Name],$A54,T_SelfStock_Log[WeekIndex],99))</f>
        <v/>
      </c>
      <c r="CW54" s="17">
        <f>IF(COUNTIFS(T_SelfStock_Log[Part Name],$A54,T_SelfStock_Log[WeekIndex],100)=0,"",SUMIFS(T_SelfStock_Log[Self_Qty],T_SelfStock_Log[Part Name],$A54,T_SelfStock_Log[WeekIndex],100))</f>
        <v/>
      </c>
      <c r="CX54" s="17">
        <f>IF(COUNTIFS(T_SelfStock_Log[Part Name],$A54,T_SelfStock_Log[WeekIndex],101)=0,"",SUMIFS(T_SelfStock_Log[Self_Qty],T_SelfStock_Log[Part Name],$A54,T_SelfStock_Log[WeekIndex],101))</f>
        <v/>
      </c>
      <c r="CY54" s="17">
        <f>IF(COUNTIFS(T_SelfStock_Log[Part Name],$A54,T_SelfStock_Log[WeekIndex],102)=0,"",SUMIFS(T_SelfStock_Log[Self_Qty],T_SelfStock_Log[Part Name],$A54,T_SelfStock_Log[WeekIndex],102))</f>
        <v/>
      </c>
      <c r="CZ54" s="17">
        <f>IF(COUNTIFS(T_SelfStock_Log[Part Name],$A54,T_SelfStock_Log[WeekIndex],103)=0,"",SUMIFS(T_SelfStock_Log[Self_Qty],T_SelfStock_Log[Part Name],$A54,T_SelfStock_Log[WeekIndex],103))</f>
        <v/>
      </c>
      <c r="DA54" s="17">
        <f>IF(COUNTIFS(T_SelfStock_Log[Part Name],$A54,T_SelfStock_Log[WeekIndex],104)=0,"",SUMIFS(T_SelfStock_Log[Self_Qty],T_SelfStock_Log[Part Name],$A54,T_SelfStock_Log[WeekIndex],104))</f>
        <v/>
      </c>
    </row>
    <row r="55">
      <c r="A55" s="19" t="inlineStr">
        <is>
          <t>CHEM-1700</t>
        </is>
      </c>
      <c r="B55" s="19">
        <f>IF(COUNTIFS(T_SelfStock_Log[Part Name],$A55,T_SelfStock_Log[WeekIndex],1)=0,"",SUMIFS(T_SelfStock_Log[Self_Qty],T_SelfStock_Log[Part Name],$A55,T_SelfStock_Log[WeekIndex],1))</f>
        <v/>
      </c>
      <c r="C55" s="19">
        <f>IF(COUNTIFS(T_SelfStock_Log[Part Name],$A55,T_SelfStock_Log[WeekIndex],2)=0,"",SUMIFS(T_SelfStock_Log[Self_Qty],T_SelfStock_Log[Part Name],$A55,T_SelfStock_Log[WeekIndex],2))</f>
        <v/>
      </c>
      <c r="D55" s="19">
        <f>IF(COUNTIFS(T_SelfStock_Log[Part Name],$A55,T_SelfStock_Log[WeekIndex],3)=0,"",SUMIFS(T_SelfStock_Log[Self_Qty],T_SelfStock_Log[Part Name],$A55,T_SelfStock_Log[WeekIndex],3))</f>
        <v/>
      </c>
      <c r="E55" s="19">
        <f>IF(COUNTIFS(T_SelfStock_Log[Part Name],$A55,T_SelfStock_Log[WeekIndex],4)=0,"",SUMIFS(T_SelfStock_Log[Self_Qty],T_SelfStock_Log[Part Name],$A55,T_SelfStock_Log[WeekIndex],4))</f>
        <v/>
      </c>
      <c r="F55" s="19">
        <f>IF(COUNTIFS(T_SelfStock_Log[Part Name],$A55,T_SelfStock_Log[WeekIndex],5)=0,"",SUMIFS(T_SelfStock_Log[Self_Qty],T_SelfStock_Log[Part Name],$A55,T_SelfStock_Log[WeekIndex],5))</f>
        <v/>
      </c>
      <c r="G55" s="19">
        <f>IF(COUNTIFS(T_SelfStock_Log[Part Name],$A55,T_SelfStock_Log[WeekIndex],6)=0,"",SUMIFS(T_SelfStock_Log[Self_Qty],T_SelfStock_Log[Part Name],$A55,T_SelfStock_Log[WeekIndex],6))</f>
        <v/>
      </c>
      <c r="H55" s="19">
        <f>IF(COUNTIFS(T_SelfStock_Log[Part Name],$A55,T_SelfStock_Log[WeekIndex],7)=0,"",SUMIFS(T_SelfStock_Log[Self_Qty],T_SelfStock_Log[Part Name],$A55,T_SelfStock_Log[WeekIndex],7))</f>
        <v/>
      </c>
      <c r="I55" s="19">
        <f>IF(COUNTIFS(T_SelfStock_Log[Part Name],$A55,T_SelfStock_Log[WeekIndex],8)=0,"",SUMIFS(T_SelfStock_Log[Self_Qty],T_SelfStock_Log[Part Name],$A55,T_SelfStock_Log[WeekIndex],8))</f>
        <v/>
      </c>
      <c r="J55" s="19">
        <f>IF(COUNTIFS(T_SelfStock_Log[Part Name],$A55,T_SelfStock_Log[WeekIndex],9)=0,"",SUMIFS(T_SelfStock_Log[Self_Qty],T_SelfStock_Log[Part Name],$A55,T_SelfStock_Log[WeekIndex],9))</f>
        <v/>
      </c>
      <c r="K55" s="19">
        <f>IF(COUNTIFS(T_SelfStock_Log[Part Name],$A55,T_SelfStock_Log[WeekIndex],10)=0,"",SUMIFS(T_SelfStock_Log[Self_Qty],T_SelfStock_Log[Part Name],$A55,T_SelfStock_Log[WeekIndex],10))</f>
        <v/>
      </c>
      <c r="L55" s="19">
        <f>IF(COUNTIFS(T_SelfStock_Log[Part Name],$A55,T_SelfStock_Log[WeekIndex],11)=0,"",SUMIFS(T_SelfStock_Log[Self_Qty],T_SelfStock_Log[Part Name],$A55,T_SelfStock_Log[WeekIndex],11))</f>
        <v/>
      </c>
      <c r="M55" s="19">
        <f>IF(COUNTIFS(T_SelfStock_Log[Part Name],$A55,T_SelfStock_Log[WeekIndex],12)=0,"",SUMIFS(T_SelfStock_Log[Self_Qty],T_SelfStock_Log[Part Name],$A55,T_SelfStock_Log[WeekIndex],12))</f>
        <v/>
      </c>
      <c r="N55" s="19">
        <f>IF(COUNTIFS(T_SelfStock_Log[Part Name],$A55,T_SelfStock_Log[WeekIndex],13)=0,"",SUMIFS(T_SelfStock_Log[Self_Qty],T_SelfStock_Log[Part Name],$A55,T_SelfStock_Log[WeekIndex],13))</f>
        <v/>
      </c>
      <c r="O55" s="19">
        <f>IF(COUNTIFS(T_SelfStock_Log[Part Name],$A55,T_SelfStock_Log[WeekIndex],14)=0,"",SUMIFS(T_SelfStock_Log[Self_Qty],T_SelfStock_Log[Part Name],$A55,T_SelfStock_Log[WeekIndex],14))</f>
        <v/>
      </c>
      <c r="P55" s="19">
        <f>IF(COUNTIFS(T_SelfStock_Log[Part Name],$A55,T_SelfStock_Log[WeekIndex],15)=0,"",SUMIFS(T_SelfStock_Log[Self_Qty],T_SelfStock_Log[Part Name],$A55,T_SelfStock_Log[WeekIndex],15))</f>
        <v/>
      </c>
      <c r="Q55" s="19">
        <f>IF(COUNTIFS(T_SelfStock_Log[Part Name],$A55,T_SelfStock_Log[WeekIndex],16)=0,"",SUMIFS(T_SelfStock_Log[Self_Qty],T_SelfStock_Log[Part Name],$A55,T_SelfStock_Log[WeekIndex],16))</f>
        <v/>
      </c>
      <c r="R55" s="19">
        <f>IF(COUNTIFS(T_SelfStock_Log[Part Name],$A55,T_SelfStock_Log[WeekIndex],17)=0,"",SUMIFS(T_SelfStock_Log[Self_Qty],T_SelfStock_Log[Part Name],$A55,T_SelfStock_Log[WeekIndex],17))</f>
        <v/>
      </c>
      <c r="S55" s="19">
        <f>IF(COUNTIFS(T_SelfStock_Log[Part Name],$A55,T_SelfStock_Log[WeekIndex],18)=0,"",SUMIFS(T_SelfStock_Log[Self_Qty],T_SelfStock_Log[Part Name],$A55,T_SelfStock_Log[WeekIndex],18))</f>
        <v/>
      </c>
      <c r="T55" s="19">
        <f>IF(COUNTIFS(T_SelfStock_Log[Part Name],$A55,T_SelfStock_Log[WeekIndex],19)=0,"",SUMIFS(T_SelfStock_Log[Self_Qty],T_SelfStock_Log[Part Name],$A55,T_SelfStock_Log[WeekIndex],19))</f>
        <v/>
      </c>
      <c r="U55" s="19">
        <f>IF(COUNTIFS(T_SelfStock_Log[Part Name],$A55,T_SelfStock_Log[WeekIndex],20)=0,"",SUMIFS(T_SelfStock_Log[Self_Qty],T_SelfStock_Log[Part Name],$A55,T_SelfStock_Log[WeekIndex],20))</f>
        <v/>
      </c>
      <c r="V55" s="19">
        <f>IF(COUNTIFS(T_SelfStock_Log[Part Name],$A55,T_SelfStock_Log[WeekIndex],21)=0,"",SUMIFS(T_SelfStock_Log[Self_Qty],T_SelfStock_Log[Part Name],$A55,T_SelfStock_Log[WeekIndex],21))</f>
        <v/>
      </c>
      <c r="W55" s="19">
        <f>IF(COUNTIFS(T_SelfStock_Log[Part Name],$A55,T_SelfStock_Log[WeekIndex],22)=0,"",SUMIFS(T_SelfStock_Log[Self_Qty],T_SelfStock_Log[Part Name],$A55,T_SelfStock_Log[WeekIndex],22))</f>
        <v/>
      </c>
      <c r="X55" s="19">
        <f>IF(COUNTIFS(T_SelfStock_Log[Part Name],$A55,T_SelfStock_Log[WeekIndex],23)=0,"",SUMIFS(T_SelfStock_Log[Self_Qty],T_SelfStock_Log[Part Name],$A55,T_SelfStock_Log[WeekIndex],23))</f>
        <v/>
      </c>
      <c r="Y55" s="19">
        <f>IF(COUNTIFS(T_SelfStock_Log[Part Name],$A55,T_SelfStock_Log[WeekIndex],24)=0,"",SUMIFS(T_SelfStock_Log[Self_Qty],T_SelfStock_Log[Part Name],$A55,T_SelfStock_Log[WeekIndex],24))</f>
        <v/>
      </c>
      <c r="Z55" s="19">
        <f>IF(COUNTIFS(T_SelfStock_Log[Part Name],$A55,T_SelfStock_Log[WeekIndex],25)=0,"",SUMIFS(T_SelfStock_Log[Self_Qty],T_SelfStock_Log[Part Name],$A55,T_SelfStock_Log[WeekIndex],25))</f>
        <v/>
      </c>
      <c r="AA55" s="19">
        <f>IF(COUNTIFS(T_SelfStock_Log[Part Name],$A55,T_SelfStock_Log[WeekIndex],26)=0,"",SUMIFS(T_SelfStock_Log[Self_Qty],T_SelfStock_Log[Part Name],$A55,T_SelfStock_Log[WeekIndex],26))</f>
        <v/>
      </c>
      <c r="AB55" s="19">
        <f>IF(COUNTIFS(T_SelfStock_Log[Part Name],$A55,T_SelfStock_Log[WeekIndex],27)=0,"",SUMIFS(T_SelfStock_Log[Self_Qty],T_SelfStock_Log[Part Name],$A55,T_SelfStock_Log[WeekIndex],27))</f>
        <v/>
      </c>
      <c r="AC55" s="19">
        <f>IF(COUNTIFS(T_SelfStock_Log[Part Name],$A55,T_SelfStock_Log[WeekIndex],28)=0,"",SUMIFS(T_SelfStock_Log[Self_Qty],T_SelfStock_Log[Part Name],$A55,T_SelfStock_Log[WeekIndex],28))</f>
        <v/>
      </c>
      <c r="AD55" s="19">
        <f>IF(COUNTIFS(T_SelfStock_Log[Part Name],$A55,T_SelfStock_Log[WeekIndex],29)=0,"",SUMIFS(T_SelfStock_Log[Self_Qty],T_SelfStock_Log[Part Name],$A55,T_SelfStock_Log[WeekIndex],29))</f>
        <v/>
      </c>
      <c r="AE55" s="19">
        <f>IF(COUNTIFS(T_SelfStock_Log[Part Name],$A55,T_SelfStock_Log[WeekIndex],30)=0,"",SUMIFS(T_SelfStock_Log[Self_Qty],T_SelfStock_Log[Part Name],$A55,T_SelfStock_Log[WeekIndex],30))</f>
        <v/>
      </c>
      <c r="AF55" s="19">
        <f>IF(COUNTIFS(T_SelfStock_Log[Part Name],$A55,T_SelfStock_Log[WeekIndex],31)=0,"",SUMIFS(T_SelfStock_Log[Self_Qty],T_SelfStock_Log[Part Name],$A55,T_SelfStock_Log[WeekIndex],31))</f>
        <v/>
      </c>
      <c r="AG55" s="19">
        <f>IF(COUNTIFS(T_SelfStock_Log[Part Name],$A55,T_SelfStock_Log[WeekIndex],32)=0,"",SUMIFS(T_SelfStock_Log[Self_Qty],T_SelfStock_Log[Part Name],$A55,T_SelfStock_Log[WeekIndex],32))</f>
        <v/>
      </c>
      <c r="AH55" s="19">
        <f>IF(COUNTIFS(T_SelfStock_Log[Part Name],$A55,T_SelfStock_Log[WeekIndex],33)=0,"",SUMIFS(T_SelfStock_Log[Self_Qty],T_SelfStock_Log[Part Name],$A55,T_SelfStock_Log[WeekIndex],33))</f>
        <v/>
      </c>
      <c r="AI55" s="19">
        <f>IF(COUNTIFS(T_SelfStock_Log[Part Name],$A55,T_SelfStock_Log[WeekIndex],34)=0,"",SUMIFS(T_SelfStock_Log[Self_Qty],T_SelfStock_Log[Part Name],$A55,T_SelfStock_Log[WeekIndex],34))</f>
        <v/>
      </c>
      <c r="AJ55" s="19">
        <f>IF(COUNTIFS(T_SelfStock_Log[Part Name],$A55,T_SelfStock_Log[WeekIndex],35)=0,"",SUMIFS(T_SelfStock_Log[Self_Qty],T_SelfStock_Log[Part Name],$A55,T_SelfStock_Log[WeekIndex],35))</f>
        <v/>
      </c>
      <c r="AK55" s="19">
        <f>IF(COUNTIFS(T_SelfStock_Log[Part Name],$A55,T_SelfStock_Log[WeekIndex],36)=0,"",SUMIFS(T_SelfStock_Log[Self_Qty],T_SelfStock_Log[Part Name],$A55,T_SelfStock_Log[WeekIndex],36))</f>
        <v/>
      </c>
      <c r="AL55" s="19">
        <f>IF(COUNTIFS(T_SelfStock_Log[Part Name],$A55,T_SelfStock_Log[WeekIndex],37)=0,"",SUMIFS(T_SelfStock_Log[Self_Qty],T_SelfStock_Log[Part Name],$A55,T_SelfStock_Log[WeekIndex],37))</f>
        <v/>
      </c>
      <c r="AM55" s="19">
        <f>IF(COUNTIFS(T_SelfStock_Log[Part Name],$A55,T_SelfStock_Log[WeekIndex],38)=0,"",SUMIFS(T_SelfStock_Log[Self_Qty],T_SelfStock_Log[Part Name],$A55,T_SelfStock_Log[WeekIndex],38))</f>
        <v/>
      </c>
      <c r="AN55" s="19">
        <f>IF(COUNTIFS(T_SelfStock_Log[Part Name],$A55,T_SelfStock_Log[WeekIndex],39)=0,"",SUMIFS(T_SelfStock_Log[Self_Qty],T_SelfStock_Log[Part Name],$A55,T_SelfStock_Log[WeekIndex],39))</f>
        <v/>
      </c>
      <c r="AO55" s="19">
        <f>IF(COUNTIFS(T_SelfStock_Log[Part Name],$A55,T_SelfStock_Log[WeekIndex],40)=0,"",SUMIFS(T_SelfStock_Log[Self_Qty],T_SelfStock_Log[Part Name],$A55,T_SelfStock_Log[WeekIndex],40))</f>
        <v/>
      </c>
      <c r="AP55" s="19">
        <f>IF(COUNTIFS(T_SelfStock_Log[Part Name],$A55,T_SelfStock_Log[WeekIndex],41)=0,"",SUMIFS(T_SelfStock_Log[Self_Qty],T_SelfStock_Log[Part Name],$A55,T_SelfStock_Log[WeekIndex],41))</f>
        <v/>
      </c>
      <c r="AQ55" s="19">
        <f>IF(COUNTIFS(T_SelfStock_Log[Part Name],$A55,T_SelfStock_Log[WeekIndex],42)=0,"",SUMIFS(T_SelfStock_Log[Self_Qty],T_SelfStock_Log[Part Name],$A55,T_SelfStock_Log[WeekIndex],42))</f>
        <v/>
      </c>
      <c r="AR55" s="19">
        <f>IF(COUNTIFS(T_SelfStock_Log[Part Name],$A55,T_SelfStock_Log[WeekIndex],43)=0,"",SUMIFS(T_SelfStock_Log[Self_Qty],T_SelfStock_Log[Part Name],$A55,T_SelfStock_Log[WeekIndex],43))</f>
        <v/>
      </c>
      <c r="AS55" s="19">
        <f>IF(COUNTIFS(T_SelfStock_Log[Part Name],$A55,T_SelfStock_Log[WeekIndex],44)=0,"",SUMIFS(T_SelfStock_Log[Self_Qty],T_SelfStock_Log[Part Name],$A55,T_SelfStock_Log[WeekIndex],44))</f>
        <v/>
      </c>
      <c r="AT55" s="19">
        <f>IF(COUNTIFS(T_SelfStock_Log[Part Name],$A55,T_SelfStock_Log[WeekIndex],45)=0,"",SUMIFS(T_SelfStock_Log[Self_Qty],T_SelfStock_Log[Part Name],$A55,T_SelfStock_Log[WeekIndex],45))</f>
        <v/>
      </c>
      <c r="AU55" s="19">
        <f>IF(COUNTIFS(T_SelfStock_Log[Part Name],$A55,T_SelfStock_Log[WeekIndex],46)=0,"",SUMIFS(T_SelfStock_Log[Self_Qty],T_SelfStock_Log[Part Name],$A55,T_SelfStock_Log[WeekIndex],46))</f>
        <v/>
      </c>
      <c r="AV55" s="19">
        <f>IF(COUNTIFS(T_SelfStock_Log[Part Name],$A55,T_SelfStock_Log[WeekIndex],47)=0,"",SUMIFS(T_SelfStock_Log[Self_Qty],T_SelfStock_Log[Part Name],$A55,T_SelfStock_Log[WeekIndex],47))</f>
        <v/>
      </c>
      <c r="AW55" s="19">
        <f>IF(COUNTIFS(T_SelfStock_Log[Part Name],$A55,T_SelfStock_Log[WeekIndex],48)=0,"",SUMIFS(T_SelfStock_Log[Self_Qty],T_SelfStock_Log[Part Name],$A55,T_SelfStock_Log[WeekIndex],48))</f>
        <v/>
      </c>
      <c r="AX55" s="19">
        <f>IF(COUNTIFS(T_SelfStock_Log[Part Name],$A55,T_SelfStock_Log[WeekIndex],49)=0,"",SUMIFS(T_SelfStock_Log[Self_Qty],T_SelfStock_Log[Part Name],$A55,T_SelfStock_Log[WeekIndex],49))</f>
        <v/>
      </c>
      <c r="AY55" s="19">
        <f>IF(COUNTIFS(T_SelfStock_Log[Part Name],$A55,T_SelfStock_Log[WeekIndex],50)=0,"",SUMIFS(T_SelfStock_Log[Self_Qty],T_SelfStock_Log[Part Name],$A55,T_SelfStock_Log[WeekIndex],50))</f>
        <v/>
      </c>
      <c r="AZ55" s="19">
        <f>IF(COUNTIFS(T_SelfStock_Log[Part Name],$A55,T_SelfStock_Log[WeekIndex],51)=0,"",SUMIFS(T_SelfStock_Log[Self_Qty],T_SelfStock_Log[Part Name],$A55,T_SelfStock_Log[WeekIndex],51))</f>
        <v/>
      </c>
      <c r="BA55" s="19">
        <f>IF(COUNTIFS(T_SelfStock_Log[Part Name],$A55,T_SelfStock_Log[WeekIndex],52)=0,"",SUMIFS(T_SelfStock_Log[Self_Qty],T_SelfStock_Log[Part Name],$A55,T_SelfStock_Log[WeekIndex],52))</f>
        <v/>
      </c>
      <c r="BB55" s="19">
        <f>IF(COUNTIFS(T_SelfStock_Log[Part Name],$A55,T_SelfStock_Log[WeekIndex],53)=0,"",SUMIFS(T_SelfStock_Log[Self_Qty],T_SelfStock_Log[Part Name],$A55,T_SelfStock_Log[WeekIndex],53))</f>
        <v/>
      </c>
      <c r="BC55" s="19">
        <f>IF(COUNTIFS(T_SelfStock_Log[Part Name],$A55,T_SelfStock_Log[WeekIndex],54)=0,"",SUMIFS(T_SelfStock_Log[Self_Qty],T_SelfStock_Log[Part Name],$A55,T_SelfStock_Log[WeekIndex],54))</f>
        <v/>
      </c>
      <c r="BD55" s="19">
        <f>IF(COUNTIFS(T_SelfStock_Log[Part Name],$A55,T_SelfStock_Log[WeekIndex],55)=0,"",SUMIFS(T_SelfStock_Log[Self_Qty],T_SelfStock_Log[Part Name],$A55,T_SelfStock_Log[WeekIndex],55))</f>
        <v/>
      </c>
      <c r="BE55" s="19">
        <f>IF(COUNTIFS(T_SelfStock_Log[Part Name],$A55,T_SelfStock_Log[WeekIndex],56)=0,"",SUMIFS(T_SelfStock_Log[Self_Qty],T_SelfStock_Log[Part Name],$A55,T_SelfStock_Log[WeekIndex],56))</f>
        <v/>
      </c>
      <c r="BF55" s="19">
        <f>IF(COUNTIFS(T_SelfStock_Log[Part Name],$A55,T_SelfStock_Log[WeekIndex],57)=0,"",SUMIFS(T_SelfStock_Log[Self_Qty],T_SelfStock_Log[Part Name],$A55,T_SelfStock_Log[WeekIndex],57))</f>
        <v/>
      </c>
      <c r="BG55" s="19">
        <f>IF(COUNTIFS(T_SelfStock_Log[Part Name],$A55,T_SelfStock_Log[WeekIndex],58)=0,"",SUMIFS(T_SelfStock_Log[Self_Qty],T_SelfStock_Log[Part Name],$A55,T_SelfStock_Log[WeekIndex],58))</f>
        <v/>
      </c>
      <c r="BH55" s="19">
        <f>IF(COUNTIFS(T_SelfStock_Log[Part Name],$A55,T_SelfStock_Log[WeekIndex],59)=0,"",SUMIFS(T_SelfStock_Log[Self_Qty],T_SelfStock_Log[Part Name],$A55,T_SelfStock_Log[WeekIndex],59))</f>
        <v/>
      </c>
      <c r="BI55" s="19">
        <f>IF(COUNTIFS(T_SelfStock_Log[Part Name],$A55,T_SelfStock_Log[WeekIndex],60)=0,"",SUMIFS(T_SelfStock_Log[Self_Qty],T_SelfStock_Log[Part Name],$A55,T_SelfStock_Log[WeekIndex],60))</f>
        <v/>
      </c>
      <c r="BJ55" s="19">
        <f>IF(COUNTIFS(T_SelfStock_Log[Part Name],$A55,T_SelfStock_Log[WeekIndex],61)=0,"",SUMIFS(T_SelfStock_Log[Self_Qty],T_SelfStock_Log[Part Name],$A55,T_SelfStock_Log[WeekIndex],61))</f>
        <v/>
      </c>
      <c r="BK55" s="19">
        <f>IF(COUNTIFS(T_SelfStock_Log[Part Name],$A55,T_SelfStock_Log[WeekIndex],62)=0,"",SUMIFS(T_SelfStock_Log[Self_Qty],T_SelfStock_Log[Part Name],$A55,T_SelfStock_Log[WeekIndex],62))</f>
        <v/>
      </c>
      <c r="BL55" s="19">
        <f>IF(COUNTIFS(T_SelfStock_Log[Part Name],$A55,T_SelfStock_Log[WeekIndex],63)=0,"",SUMIFS(T_SelfStock_Log[Self_Qty],T_SelfStock_Log[Part Name],$A55,T_SelfStock_Log[WeekIndex],63))</f>
        <v/>
      </c>
      <c r="BM55" s="19">
        <f>IF(COUNTIFS(T_SelfStock_Log[Part Name],$A55,T_SelfStock_Log[WeekIndex],64)=0,"",SUMIFS(T_SelfStock_Log[Self_Qty],T_SelfStock_Log[Part Name],$A55,T_SelfStock_Log[WeekIndex],64))</f>
        <v/>
      </c>
      <c r="BN55" s="19">
        <f>IF(COUNTIFS(T_SelfStock_Log[Part Name],$A55,T_SelfStock_Log[WeekIndex],65)=0,"",SUMIFS(T_SelfStock_Log[Self_Qty],T_SelfStock_Log[Part Name],$A55,T_SelfStock_Log[WeekIndex],65))</f>
        <v/>
      </c>
      <c r="BO55" s="19">
        <f>IF(COUNTIFS(T_SelfStock_Log[Part Name],$A55,T_SelfStock_Log[WeekIndex],66)=0,"",SUMIFS(T_SelfStock_Log[Self_Qty],T_SelfStock_Log[Part Name],$A55,T_SelfStock_Log[WeekIndex],66))</f>
        <v/>
      </c>
      <c r="BP55" s="19">
        <f>IF(COUNTIFS(T_SelfStock_Log[Part Name],$A55,T_SelfStock_Log[WeekIndex],67)=0,"",SUMIFS(T_SelfStock_Log[Self_Qty],T_SelfStock_Log[Part Name],$A55,T_SelfStock_Log[WeekIndex],67))</f>
        <v/>
      </c>
      <c r="BQ55" s="19">
        <f>IF(COUNTIFS(T_SelfStock_Log[Part Name],$A55,T_SelfStock_Log[WeekIndex],68)=0,"",SUMIFS(T_SelfStock_Log[Self_Qty],T_SelfStock_Log[Part Name],$A55,T_SelfStock_Log[WeekIndex],68))</f>
        <v/>
      </c>
      <c r="BR55" s="19">
        <f>IF(COUNTIFS(T_SelfStock_Log[Part Name],$A55,T_SelfStock_Log[WeekIndex],69)=0,"",SUMIFS(T_SelfStock_Log[Self_Qty],T_SelfStock_Log[Part Name],$A55,T_SelfStock_Log[WeekIndex],69))</f>
        <v/>
      </c>
      <c r="BS55" s="19">
        <f>IF(COUNTIFS(T_SelfStock_Log[Part Name],$A55,T_SelfStock_Log[WeekIndex],70)=0,"",SUMIFS(T_SelfStock_Log[Self_Qty],T_SelfStock_Log[Part Name],$A55,T_SelfStock_Log[WeekIndex],70))</f>
        <v/>
      </c>
      <c r="BT55" s="19">
        <f>IF(COUNTIFS(T_SelfStock_Log[Part Name],$A55,T_SelfStock_Log[WeekIndex],71)=0,"",SUMIFS(T_SelfStock_Log[Self_Qty],T_SelfStock_Log[Part Name],$A55,T_SelfStock_Log[WeekIndex],71))</f>
        <v/>
      </c>
      <c r="BU55" s="19">
        <f>IF(COUNTIFS(T_SelfStock_Log[Part Name],$A55,T_SelfStock_Log[WeekIndex],72)=0,"",SUMIFS(T_SelfStock_Log[Self_Qty],T_SelfStock_Log[Part Name],$A55,T_SelfStock_Log[WeekIndex],72))</f>
        <v/>
      </c>
      <c r="BV55" s="19">
        <f>IF(COUNTIFS(T_SelfStock_Log[Part Name],$A55,T_SelfStock_Log[WeekIndex],73)=0,"",SUMIFS(T_SelfStock_Log[Self_Qty],T_SelfStock_Log[Part Name],$A55,T_SelfStock_Log[WeekIndex],73))</f>
        <v/>
      </c>
      <c r="BW55" s="19">
        <f>IF(COUNTIFS(T_SelfStock_Log[Part Name],$A55,T_SelfStock_Log[WeekIndex],74)=0,"",SUMIFS(T_SelfStock_Log[Self_Qty],T_SelfStock_Log[Part Name],$A55,T_SelfStock_Log[WeekIndex],74))</f>
        <v/>
      </c>
      <c r="BX55" s="19">
        <f>IF(COUNTIFS(T_SelfStock_Log[Part Name],$A55,T_SelfStock_Log[WeekIndex],75)=0,"",SUMIFS(T_SelfStock_Log[Self_Qty],T_SelfStock_Log[Part Name],$A55,T_SelfStock_Log[WeekIndex],75))</f>
        <v/>
      </c>
      <c r="BY55" s="19">
        <f>IF(COUNTIFS(T_SelfStock_Log[Part Name],$A55,T_SelfStock_Log[WeekIndex],76)=0,"",SUMIFS(T_SelfStock_Log[Self_Qty],T_SelfStock_Log[Part Name],$A55,T_SelfStock_Log[WeekIndex],76))</f>
        <v/>
      </c>
      <c r="BZ55" s="19">
        <f>IF(COUNTIFS(T_SelfStock_Log[Part Name],$A55,T_SelfStock_Log[WeekIndex],77)=0,"",SUMIFS(T_SelfStock_Log[Self_Qty],T_SelfStock_Log[Part Name],$A55,T_SelfStock_Log[WeekIndex],77))</f>
        <v/>
      </c>
      <c r="CA55" s="19">
        <f>IF(COUNTIFS(T_SelfStock_Log[Part Name],$A55,T_SelfStock_Log[WeekIndex],78)=0,"",SUMIFS(T_SelfStock_Log[Self_Qty],T_SelfStock_Log[Part Name],$A55,T_SelfStock_Log[WeekIndex],78))</f>
        <v/>
      </c>
      <c r="CB55" s="19">
        <f>IF(COUNTIFS(T_SelfStock_Log[Part Name],$A55,T_SelfStock_Log[WeekIndex],79)=0,"",SUMIFS(T_SelfStock_Log[Self_Qty],T_SelfStock_Log[Part Name],$A55,T_SelfStock_Log[WeekIndex],79))</f>
        <v/>
      </c>
      <c r="CC55" s="19">
        <f>IF(COUNTIFS(T_SelfStock_Log[Part Name],$A55,T_SelfStock_Log[WeekIndex],80)=0,"",SUMIFS(T_SelfStock_Log[Self_Qty],T_SelfStock_Log[Part Name],$A55,T_SelfStock_Log[WeekIndex],80))</f>
        <v/>
      </c>
      <c r="CD55" s="19">
        <f>IF(COUNTIFS(T_SelfStock_Log[Part Name],$A55,T_SelfStock_Log[WeekIndex],81)=0,"",SUMIFS(T_SelfStock_Log[Self_Qty],T_SelfStock_Log[Part Name],$A55,T_SelfStock_Log[WeekIndex],81))</f>
        <v/>
      </c>
      <c r="CE55" s="19">
        <f>IF(COUNTIFS(T_SelfStock_Log[Part Name],$A55,T_SelfStock_Log[WeekIndex],82)=0,"",SUMIFS(T_SelfStock_Log[Self_Qty],T_SelfStock_Log[Part Name],$A55,T_SelfStock_Log[WeekIndex],82))</f>
        <v/>
      </c>
      <c r="CF55" s="19">
        <f>IF(COUNTIFS(T_SelfStock_Log[Part Name],$A55,T_SelfStock_Log[WeekIndex],83)=0,"",SUMIFS(T_SelfStock_Log[Self_Qty],T_SelfStock_Log[Part Name],$A55,T_SelfStock_Log[WeekIndex],83))</f>
        <v/>
      </c>
      <c r="CG55" s="19">
        <f>IF(COUNTIFS(T_SelfStock_Log[Part Name],$A55,T_SelfStock_Log[WeekIndex],84)=0,"",SUMIFS(T_SelfStock_Log[Self_Qty],T_SelfStock_Log[Part Name],$A55,T_SelfStock_Log[WeekIndex],84))</f>
        <v/>
      </c>
      <c r="CH55" s="19">
        <f>IF(COUNTIFS(T_SelfStock_Log[Part Name],$A55,T_SelfStock_Log[WeekIndex],85)=0,"",SUMIFS(T_SelfStock_Log[Self_Qty],T_SelfStock_Log[Part Name],$A55,T_SelfStock_Log[WeekIndex],85))</f>
        <v/>
      </c>
      <c r="CI55" s="19">
        <f>IF(COUNTIFS(T_SelfStock_Log[Part Name],$A55,T_SelfStock_Log[WeekIndex],86)=0,"",SUMIFS(T_SelfStock_Log[Self_Qty],T_SelfStock_Log[Part Name],$A55,T_SelfStock_Log[WeekIndex],86))</f>
        <v/>
      </c>
      <c r="CJ55" s="19">
        <f>IF(COUNTIFS(T_SelfStock_Log[Part Name],$A55,T_SelfStock_Log[WeekIndex],87)=0,"",SUMIFS(T_SelfStock_Log[Self_Qty],T_SelfStock_Log[Part Name],$A55,T_SelfStock_Log[WeekIndex],87))</f>
        <v/>
      </c>
      <c r="CK55" s="19">
        <f>IF(COUNTIFS(T_SelfStock_Log[Part Name],$A55,T_SelfStock_Log[WeekIndex],88)=0,"",SUMIFS(T_SelfStock_Log[Self_Qty],T_SelfStock_Log[Part Name],$A55,T_SelfStock_Log[WeekIndex],88))</f>
        <v/>
      </c>
      <c r="CL55" s="19">
        <f>IF(COUNTIFS(T_SelfStock_Log[Part Name],$A55,T_SelfStock_Log[WeekIndex],89)=0,"",SUMIFS(T_SelfStock_Log[Self_Qty],T_SelfStock_Log[Part Name],$A55,T_SelfStock_Log[WeekIndex],89))</f>
        <v/>
      </c>
      <c r="CM55" s="19">
        <f>IF(COUNTIFS(T_SelfStock_Log[Part Name],$A55,T_SelfStock_Log[WeekIndex],90)=0,"",SUMIFS(T_SelfStock_Log[Self_Qty],T_SelfStock_Log[Part Name],$A55,T_SelfStock_Log[WeekIndex],90))</f>
        <v/>
      </c>
      <c r="CN55" s="19">
        <f>IF(COUNTIFS(T_SelfStock_Log[Part Name],$A55,T_SelfStock_Log[WeekIndex],91)=0,"",SUMIFS(T_SelfStock_Log[Self_Qty],T_SelfStock_Log[Part Name],$A55,T_SelfStock_Log[WeekIndex],91))</f>
        <v/>
      </c>
      <c r="CO55" s="19">
        <f>IF(COUNTIFS(T_SelfStock_Log[Part Name],$A55,T_SelfStock_Log[WeekIndex],92)=0,"",SUMIFS(T_SelfStock_Log[Self_Qty],T_SelfStock_Log[Part Name],$A55,T_SelfStock_Log[WeekIndex],92))</f>
        <v/>
      </c>
      <c r="CP55" s="19">
        <f>IF(COUNTIFS(T_SelfStock_Log[Part Name],$A55,T_SelfStock_Log[WeekIndex],93)=0,"",SUMIFS(T_SelfStock_Log[Self_Qty],T_SelfStock_Log[Part Name],$A55,T_SelfStock_Log[WeekIndex],93))</f>
        <v/>
      </c>
      <c r="CQ55" s="19">
        <f>IF(COUNTIFS(T_SelfStock_Log[Part Name],$A55,T_SelfStock_Log[WeekIndex],94)=0,"",SUMIFS(T_SelfStock_Log[Self_Qty],T_SelfStock_Log[Part Name],$A55,T_SelfStock_Log[WeekIndex],94))</f>
        <v/>
      </c>
      <c r="CR55" s="19">
        <f>IF(COUNTIFS(T_SelfStock_Log[Part Name],$A55,T_SelfStock_Log[WeekIndex],95)=0,"",SUMIFS(T_SelfStock_Log[Self_Qty],T_SelfStock_Log[Part Name],$A55,T_SelfStock_Log[WeekIndex],95))</f>
        <v/>
      </c>
      <c r="CS55" s="19">
        <f>IF(COUNTIFS(T_SelfStock_Log[Part Name],$A55,T_SelfStock_Log[WeekIndex],96)=0,"",SUMIFS(T_SelfStock_Log[Self_Qty],T_SelfStock_Log[Part Name],$A55,T_SelfStock_Log[WeekIndex],96))</f>
        <v/>
      </c>
      <c r="CT55" s="19">
        <f>IF(COUNTIFS(T_SelfStock_Log[Part Name],$A55,T_SelfStock_Log[WeekIndex],97)=0,"",SUMIFS(T_SelfStock_Log[Self_Qty],T_SelfStock_Log[Part Name],$A55,T_SelfStock_Log[WeekIndex],97))</f>
        <v/>
      </c>
      <c r="CU55" s="19">
        <f>IF(COUNTIFS(T_SelfStock_Log[Part Name],$A55,T_SelfStock_Log[WeekIndex],98)=0,"",SUMIFS(T_SelfStock_Log[Self_Qty],T_SelfStock_Log[Part Name],$A55,T_SelfStock_Log[WeekIndex],98))</f>
        <v/>
      </c>
      <c r="CV55" s="19">
        <f>IF(COUNTIFS(T_SelfStock_Log[Part Name],$A55,T_SelfStock_Log[WeekIndex],99)=0,"",SUMIFS(T_SelfStock_Log[Self_Qty],T_SelfStock_Log[Part Name],$A55,T_SelfStock_Log[WeekIndex],99))</f>
        <v/>
      </c>
      <c r="CW55" s="19">
        <f>IF(COUNTIFS(T_SelfStock_Log[Part Name],$A55,T_SelfStock_Log[WeekIndex],100)=0,"",SUMIFS(T_SelfStock_Log[Self_Qty],T_SelfStock_Log[Part Name],$A55,T_SelfStock_Log[WeekIndex],100))</f>
        <v/>
      </c>
      <c r="CX55" s="19">
        <f>IF(COUNTIFS(T_SelfStock_Log[Part Name],$A55,T_SelfStock_Log[WeekIndex],101)=0,"",SUMIFS(T_SelfStock_Log[Self_Qty],T_SelfStock_Log[Part Name],$A55,T_SelfStock_Log[WeekIndex],101))</f>
        <v/>
      </c>
      <c r="CY55" s="19">
        <f>IF(COUNTIFS(T_SelfStock_Log[Part Name],$A55,T_SelfStock_Log[WeekIndex],102)=0,"",SUMIFS(T_SelfStock_Log[Self_Qty],T_SelfStock_Log[Part Name],$A55,T_SelfStock_Log[WeekIndex],102))</f>
        <v/>
      </c>
      <c r="CZ55" s="19">
        <f>IF(COUNTIFS(T_SelfStock_Log[Part Name],$A55,T_SelfStock_Log[WeekIndex],103)=0,"",SUMIFS(T_SelfStock_Log[Self_Qty],T_SelfStock_Log[Part Name],$A55,T_SelfStock_Log[WeekIndex],103))</f>
        <v/>
      </c>
      <c r="DA55" s="19">
        <f>IF(COUNTIFS(T_SelfStock_Log[Part Name],$A55,T_SelfStock_Log[WeekIndex],104)=0,"",SUMIFS(T_SelfStock_Log[Self_Qty],T_SelfStock_Log[Part Name],$A55,T_SelfStock_Log[WeekIndex],104))</f>
        <v/>
      </c>
    </row>
    <row r="56">
      <c r="A56" s="17" t="inlineStr">
        <is>
          <t>CHEM-1850</t>
        </is>
      </c>
      <c r="B56" s="17">
        <f>IF(COUNTIFS(T_SelfStock_Log[Part Name],$A56,T_SelfStock_Log[WeekIndex],1)=0,"",SUMIFS(T_SelfStock_Log[Self_Qty],T_SelfStock_Log[Part Name],$A56,T_SelfStock_Log[WeekIndex],1))</f>
        <v/>
      </c>
      <c r="C56" s="17">
        <f>IF(COUNTIFS(T_SelfStock_Log[Part Name],$A56,T_SelfStock_Log[WeekIndex],2)=0,"",SUMIFS(T_SelfStock_Log[Self_Qty],T_SelfStock_Log[Part Name],$A56,T_SelfStock_Log[WeekIndex],2))</f>
        <v/>
      </c>
      <c r="D56" s="17">
        <f>IF(COUNTIFS(T_SelfStock_Log[Part Name],$A56,T_SelfStock_Log[WeekIndex],3)=0,"",SUMIFS(T_SelfStock_Log[Self_Qty],T_SelfStock_Log[Part Name],$A56,T_SelfStock_Log[WeekIndex],3))</f>
        <v/>
      </c>
      <c r="E56" s="17">
        <f>IF(COUNTIFS(T_SelfStock_Log[Part Name],$A56,T_SelfStock_Log[WeekIndex],4)=0,"",SUMIFS(T_SelfStock_Log[Self_Qty],T_SelfStock_Log[Part Name],$A56,T_SelfStock_Log[WeekIndex],4))</f>
        <v/>
      </c>
      <c r="F56" s="17">
        <f>IF(COUNTIFS(T_SelfStock_Log[Part Name],$A56,T_SelfStock_Log[WeekIndex],5)=0,"",SUMIFS(T_SelfStock_Log[Self_Qty],T_SelfStock_Log[Part Name],$A56,T_SelfStock_Log[WeekIndex],5))</f>
        <v/>
      </c>
      <c r="G56" s="17">
        <f>IF(COUNTIFS(T_SelfStock_Log[Part Name],$A56,T_SelfStock_Log[WeekIndex],6)=0,"",SUMIFS(T_SelfStock_Log[Self_Qty],T_SelfStock_Log[Part Name],$A56,T_SelfStock_Log[WeekIndex],6))</f>
        <v/>
      </c>
      <c r="H56" s="17">
        <f>IF(COUNTIFS(T_SelfStock_Log[Part Name],$A56,T_SelfStock_Log[WeekIndex],7)=0,"",SUMIFS(T_SelfStock_Log[Self_Qty],T_SelfStock_Log[Part Name],$A56,T_SelfStock_Log[WeekIndex],7))</f>
        <v/>
      </c>
      <c r="I56" s="17">
        <f>IF(COUNTIFS(T_SelfStock_Log[Part Name],$A56,T_SelfStock_Log[WeekIndex],8)=0,"",SUMIFS(T_SelfStock_Log[Self_Qty],T_SelfStock_Log[Part Name],$A56,T_SelfStock_Log[WeekIndex],8))</f>
        <v/>
      </c>
      <c r="J56" s="17">
        <f>IF(COUNTIFS(T_SelfStock_Log[Part Name],$A56,T_SelfStock_Log[WeekIndex],9)=0,"",SUMIFS(T_SelfStock_Log[Self_Qty],T_SelfStock_Log[Part Name],$A56,T_SelfStock_Log[WeekIndex],9))</f>
        <v/>
      </c>
      <c r="K56" s="17">
        <f>IF(COUNTIFS(T_SelfStock_Log[Part Name],$A56,T_SelfStock_Log[WeekIndex],10)=0,"",SUMIFS(T_SelfStock_Log[Self_Qty],T_SelfStock_Log[Part Name],$A56,T_SelfStock_Log[WeekIndex],10))</f>
        <v/>
      </c>
      <c r="L56" s="17">
        <f>IF(COUNTIFS(T_SelfStock_Log[Part Name],$A56,T_SelfStock_Log[WeekIndex],11)=0,"",SUMIFS(T_SelfStock_Log[Self_Qty],T_SelfStock_Log[Part Name],$A56,T_SelfStock_Log[WeekIndex],11))</f>
        <v/>
      </c>
      <c r="M56" s="17">
        <f>IF(COUNTIFS(T_SelfStock_Log[Part Name],$A56,T_SelfStock_Log[WeekIndex],12)=0,"",SUMIFS(T_SelfStock_Log[Self_Qty],T_SelfStock_Log[Part Name],$A56,T_SelfStock_Log[WeekIndex],12))</f>
        <v/>
      </c>
      <c r="N56" s="17">
        <f>IF(COUNTIFS(T_SelfStock_Log[Part Name],$A56,T_SelfStock_Log[WeekIndex],13)=0,"",SUMIFS(T_SelfStock_Log[Self_Qty],T_SelfStock_Log[Part Name],$A56,T_SelfStock_Log[WeekIndex],13))</f>
        <v/>
      </c>
      <c r="O56" s="17">
        <f>IF(COUNTIFS(T_SelfStock_Log[Part Name],$A56,T_SelfStock_Log[WeekIndex],14)=0,"",SUMIFS(T_SelfStock_Log[Self_Qty],T_SelfStock_Log[Part Name],$A56,T_SelfStock_Log[WeekIndex],14))</f>
        <v/>
      </c>
      <c r="P56" s="17">
        <f>IF(COUNTIFS(T_SelfStock_Log[Part Name],$A56,T_SelfStock_Log[WeekIndex],15)=0,"",SUMIFS(T_SelfStock_Log[Self_Qty],T_SelfStock_Log[Part Name],$A56,T_SelfStock_Log[WeekIndex],15))</f>
        <v/>
      </c>
      <c r="Q56" s="17">
        <f>IF(COUNTIFS(T_SelfStock_Log[Part Name],$A56,T_SelfStock_Log[WeekIndex],16)=0,"",SUMIFS(T_SelfStock_Log[Self_Qty],T_SelfStock_Log[Part Name],$A56,T_SelfStock_Log[WeekIndex],16))</f>
        <v/>
      </c>
      <c r="R56" s="17">
        <f>IF(COUNTIFS(T_SelfStock_Log[Part Name],$A56,T_SelfStock_Log[WeekIndex],17)=0,"",SUMIFS(T_SelfStock_Log[Self_Qty],T_SelfStock_Log[Part Name],$A56,T_SelfStock_Log[WeekIndex],17))</f>
        <v/>
      </c>
      <c r="S56" s="17">
        <f>IF(COUNTIFS(T_SelfStock_Log[Part Name],$A56,T_SelfStock_Log[WeekIndex],18)=0,"",SUMIFS(T_SelfStock_Log[Self_Qty],T_SelfStock_Log[Part Name],$A56,T_SelfStock_Log[WeekIndex],18))</f>
        <v/>
      </c>
      <c r="T56" s="17">
        <f>IF(COUNTIFS(T_SelfStock_Log[Part Name],$A56,T_SelfStock_Log[WeekIndex],19)=0,"",SUMIFS(T_SelfStock_Log[Self_Qty],T_SelfStock_Log[Part Name],$A56,T_SelfStock_Log[WeekIndex],19))</f>
        <v/>
      </c>
      <c r="U56" s="17">
        <f>IF(COUNTIFS(T_SelfStock_Log[Part Name],$A56,T_SelfStock_Log[WeekIndex],20)=0,"",SUMIFS(T_SelfStock_Log[Self_Qty],T_SelfStock_Log[Part Name],$A56,T_SelfStock_Log[WeekIndex],20))</f>
        <v/>
      </c>
      <c r="V56" s="17">
        <f>IF(COUNTIFS(T_SelfStock_Log[Part Name],$A56,T_SelfStock_Log[WeekIndex],21)=0,"",SUMIFS(T_SelfStock_Log[Self_Qty],T_SelfStock_Log[Part Name],$A56,T_SelfStock_Log[WeekIndex],21))</f>
        <v/>
      </c>
      <c r="W56" s="17">
        <f>IF(COUNTIFS(T_SelfStock_Log[Part Name],$A56,T_SelfStock_Log[WeekIndex],22)=0,"",SUMIFS(T_SelfStock_Log[Self_Qty],T_SelfStock_Log[Part Name],$A56,T_SelfStock_Log[WeekIndex],22))</f>
        <v/>
      </c>
      <c r="X56" s="17">
        <f>IF(COUNTIFS(T_SelfStock_Log[Part Name],$A56,T_SelfStock_Log[WeekIndex],23)=0,"",SUMIFS(T_SelfStock_Log[Self_Qty],T_SelfStock_Log[Part Name],$A56,T_SelfStock_Log[WeekIndex],23))</f>
        <v/>
      </c>
      <c r="Y56" s="17">
        <f>IF(COUNTIFS(T_SelfStock_Log[Part Name],$A56,T_SelfStock_Log[WeekIndex],24)=0,"",SUMIFS(T_SelfStock_Log[Self_Qty],T_SelfStock_Log[Part Name],$A56,T_SelfStock_Log[WeekIndex],24))</f>
        <v/>
      </c>
      <c r="Z56" s="17">
        <f>IF(COUNTIFS(T_SelfStock_Log[Part Name],$A56,T_SelfStock_Log[WeekIndex],25)=0,"",SUMIFS(T_SelfStock_Log[Self_Qty],T_SelfStock_Log[Part Name],$A56,T_SelfStock_Log[WeekIndex],25))</f>
        <v/>
      </c>
      <c r="AA56" s="17">
        <f>IF(COUNTIFS(T_SelfStock_Log[Part Name],$A56,T_SelfStock_Log[WeekIndex],26)=0,"",SUMIFS(T_SelfStock_Log[Self_Qty],T_SelfStock_Log[Part Name],$A56,T_SelfStock_Log[WeekIndex],26))</f>
        <v/>
      </c>
      <c r="AB56" s="17">
        <f>IF(COUNTIFS(T_SelfStock_Log[Part Name],$A56,T_SelfStock_Log[WeekIndex],27)=0,"",SUMIFS(T_SelfStock_Log[Self_Qty],T_SelfStock_Log[Part Name],$A56,T_SelfStock_Log[WeekIndex],27))</f>
        <v/>
      </c>
      <c r="AC56" s="17">
        <f>IF(COUNTIFS(T_SelfStock_Log[Part Name],$A56,T_SelfStock_Log[WeekIndex],28)=0,"",SUMIFS(T_SelfStock_Log[Self_Qty],T_SelfStock_Log[Part Name],$A56,T_SelfStock_Log[WeekIndex],28))</f>
        <v/>
      </c>
      <c r="AD56" s="17">
        <f>IF(COUNTIFS(T_SelfStock_Log[Part Name],$A56,T_SelfStock_Log[WeekIndex],29)=0,"",SUMIFS(T_SelfStock_Log[Self_Qty],T_SelfStock_Log[Part Name],$A56,T_SelfStock_Log[WeekIndex],29))</f>
        <v/>
      </c>
      <c r="AE56" s="17">
        <f>IF(COUNTIFS(T_SelfStock_Log[Part Name],$A56,T_SelfStock_Log[WeekIndex],30)=0,"",SUMIFS(T_SelfStock_Log[Self_Qty],T_SelfStock_Log[Part Name],$A56,T_SelfStock_Log[WeekIndex],30))</f>
        <v/>
      </c>
      <c r="AF56" s="17">
        <f>IF(COUNTIFS(T_SelfStock_Log[Part Name],$A56,T_SelfStock_Log[WeekIndex],31)=0,"",SUMIFS(T_SelfStock_Log[Self_Qty],T_SelfStock_Log[Part Name],$A56,T_SelfStock_Log[WeekIndex],31))</f>
        <v/>
      </c>
      <c r="AG56" s="17">
        <f>IF(COUNTIFS(T_SelfStock_Log[Part Name],$A56,T_SelfStock_Log[WeekIndex],32)=0,"",SUMIFS(T_SelfStock_Log[Self_Qty],T_SelfStock_Log[Part Name],$A56,T_SelfStock_Log[WeekIndex],32))</f>
        <v/>
      </c>
      <c r="AH56" s="17">
        <f>IF(COUNTIFS(T_SelfStock_Log[Part Name],$A56,T_SelfStock_Log[WeekIndex],33)=0,"",SUMIFS(T_SelfStock_Log[Self_Qty],T_SelfStock_Log[Part Name],$A56,T_SelfStock_Log[WeekIndex],33))</f>
        <v/>
      </c>
      <c r="AI56" s="17">
        <f>IF(COUNTIFS(T_SelfStock_Log[Part Name],$A56,T_SelfStock_Log[WeekIndex],34)=0,"",SUMIFS(T_SelfStock_Log[Self_Qty],T_SelfStock_Log[Part Name],$A56,T_SelfStock_Log[WeekIndex],34))</f>
        <v/>
      </c>
      <c r="AJ56" s="17">
        <f>IF(COUNTIFS(T_SelfStock_Log[Part Name],$A56,T_SelfStock_Log[WeekIndex],35)=0,"",SUMIFS(T_SelfStock_Log[Self_Qty],T_SelfStock_Log[Part Name],$A56,T_SelfStock_Log[WeekIndex],35))</f>
        <v/>
      </c>
      <c r="AK56" s="17">
        <f>IF(COUNTIFS(T_SelfStock_Log[Part Name],$A56,T_SelfStock_Log[WeekIndex],36)=0,"",SUMIFS(T_SelfStock_Log[Self_Qty],T_SelfStock_Log[Part Name],$A56,T_SelfStock_Log[WeekIndex],36))</f>
        <v/>
      </c>
      <c r="AL56" s="17">
        <f>IF(COUNTIFS(T_SelfStock_Log[Part Name],$A56,T_SelfStock_Log[WeekIndex],37)=0,"",SUMIFS(T_SelfStock_Log[Self_Qty],T_SelfStock_Log[Part Name],$A56,T_SelfStock_Log[WeekIndex],37))</f>
        <v/>
      </c>
      <c r="AM56" s="17">
        <f>IF(COUNTIFS(T_SelfStock_Log[Part Name],$A56,T_SelfStock_Log[WeekIndex],38)=0,"",SUMIFS(T_SelfStock_Log[Self_Qty],T_SelfStock_Log[Part Name],$A56,T_SelfStock_Log[WeekIndex],38))</f>
        <v/>
      </c>
      <c r="AN56" s="17">
        <f>IF(COUNTIFS(T_SelfStock_Log[Part Name],$A56,T_SelfStock_Log[WeekIndex],39)=0,"",SUMIFS(T_SelfStock_Log[Self_Qty],T_SelfStock_Log[Part Name],$A56,T_SelfStock_Log[WeekIndex],39))</f>
        <v/>
      </c>
      <c r="AO56" s="17">
        <f>IF(COUNTIFS(T_SelfStock_Log[Part Name],$A56,T_SelfStock_Log[WeekIndex],40)=0,"",SUMIFS(T_SelfStock_Log[Self_Qty],T_SelfStock_Log[Part Name],$A56,T_SelfStock_Log[WeekIndex],40))</f>
        <v/>
      </c>
      <c r="AP56" s="17">
        <f>IF(COUNTIFS(T_SelfStock_Log[Part Name],$A56,T_SelfStock_Log[WeekIndex],41)=0,"",SUMIFS(T_SelfStock_Log[Self_Qty],T_SelfStock_Log[Part Name],$A56,T_SelfStock_Log[WeekIndex],41))</f>
        <v/>
      </c>
      <c r="AQ56" s="17">
        <f>IF(COUNTIFS(T_SelfStock_Log[Part Name],$A56,T_SelfStock_Log[WeekIndex],42)=0,"",SUMIFS(T_SelfStock_Log[Self_Qty],T_SelfStock_Log[Part Name],$A56,T_SelfStock_Log[WeekIndex],42))</f>
        <v/>
      </c>
      <c r="AR56" s="17">
        <f>IF(COUNTIFS(T_SelfStock_Log[Part Name],$A56,T_SelfStock_Log[WeekIndex],43)=0,"",SUMIFS(T_SelfStock_Log[Self_Qty],T_SelfStock_Log[Part Name],$A56,T_SelfStock_Log[WeekIndex],43))</f>
        <v/>
      </c>
      <c r="AS56" s="17">
        <f>IF(COUNTIFS(T_SelfStock_Log[Part Name],$A56,T_SelfStock_Log[WeekIndex],44)=0,"",SUMIFS(T_SelfStock_Log[Self_Qty],T_SelfStock_Log[Part Name],$A56,T_SelfStock_Log[WeekIndex],44))</f>
        <v/>
      </c>
      <c r="AT56" s="17">
        <f>IF(COUNTIFS(T_SelfStock_Log[Part Name],$A56,T_SelfStock_Log[WeekIndex],45)=0,"",SUMIFS(T_SelfStock_Log[Self_Qty],T_SelfStock_Log[Part Name],$A56,T_SelfStock_Log[WeekIndex],45))</f>
        <v/>
      </c>
      <c r="AU56" s="17">
        <f>IF(COUNTIFS(T_SelfStock_Log[Part Name],$A56,T_SelfStock_Log[WeekIndex],46)=0,"",SUMIFS(T_SelfStock_Log[Self_Qty],T_SelfStock_Log[Part Name],$A56,T_SelfStock_Log[WeekIndex],46))</f>
        <v/>
      </c>
      <c r="AV56" s="17">
        <f>IF(COUNTIFS(T_SelfStock_Log[Part Name],$A56,T_SelfStock_Log[WeekIndex],47)=0,"",SUMIFS(T_SelfStock_Log[Self_Qty],T_SelfStock_Log[Part Name],$A56,T_SelfStock_Log[WeekIndex],47))</f>
        <v/>
      </c>
      <c r="AW56" s="17">
        <f>IF(COUNTIFS(T_SelfStock_Log[Part Name],$A56,T_SelfStock_Log[WeekIndex],48)=0,"",SUMIFS(T_SelfStock_Log[Self_Qty],T_SelfStock_Log[Part Name],$A56,T_SelfStock_Log[WeekIndex],48))</f>
        <v/>
      </c>
      <c r="AX56" s="17">
        <f>IF(COUNTIFS(T_SelfStock_Log[Part Name],$A56,T_SelfStock_Log[WeekIndex],49)=0,"",SUMIFS(T_SelfStock_Log[Self_Qty],T_SelfStock_Log[Part Name],$A56,T_SelfStock_Log[WeekIndex],49))</f>
        <v/>
      </c>
      <c r="AY56" s="17">
        <f>IF(COUNTIFS(T_SelfStock_Log[Part Name],$A56,T_SelfStock_Log[WeekIndex],50)=0,"",SUMIFS(T_SelfStock_Log[Self_Qty],T_SelfStock_Log[Part Name],$A56,T_SelfStock_Log[WeekIndex],50))</f>
        <v/>
      </c>
      <c r="AZ56" s="17">
        <f>IF(COUNTIFS(T_SelfStock_Log[Part Name],$A56,T_SelfStock_Log[WeekIndex],51)=0,"",SUMIFS(T_SelfStock_Log[Self_Qty],T_SelfStock_Log[Part Name],$A56,T_SelfStock_Log[WeekIndex],51))</f>
        <v/>
      </c>
      <c r="BA56" s="17">
        <f>IF(COUNTIFS(T_SelfStock_Log[Part Name],$A56,T_SelfStock_Log[WeekIndex],52)=0,"",SUMIFS(T_SelfStock_Log[Self_Qty],T_SelfStock_Log[Part Name],$A56,T_SelfStock_Log[WeekIndex],52))</f>
        <v/>
      </c>
      <c r="BB56" s="17">
        <f>IF(COUNTIFS(T_SelfStock_Log[Part Name],$A56,T_SelfStock_Log[WeekIndex],53)=0,"",SUMIFS(T_SelfStock_Log[Self_Qty],T_SelfStock_Log[Part Name],$A56,T_SelfStock_Log[WeekIndex],53))</f>
        <v/>
      </c>
      <c r="BC56" s="17">
        <f>IF(COUNTIFS(T_SelfStock_Log[Part Name],$A56,T_SelfStock_Log[WeekIndex],54)=0,"",SUMIFS(T_SelfStock_Log[Self_Qty],T_SelfStock_Log[Part Name],$A56,T_SelfStock_Log[WeekIndex],54))</f>
        <v/>
      </c>
      <c r="BD56" s="17">
        <f>IF(COUNTIFS(T_SelfStock_Log[Part Name],$A56,T_SelfStock_Log[WeekIndex],55)=0,"",SUMIFS(T_SelfStock_Log[Self_Qty],T_SelfStock_Log[Part Name],$A56,T_SelfStock_Log[WeekIndex],55))</f>
        <v/>
      </c>
      <c r="BE56" s="17">
        <f>IF(COUNTIFS(T_SelfStock_Log[Part Name],$A56,T_SelfStock_Log[WeekIndex],56)=0,"",SUMIFS(T_SelfStock_Log[Self_Qty],T_SelfStock_Log[Part Name],$A56,T_SelfStock_Log[WeekIndex],56))</f>
        <v/>
      </c>
      <c r="BF56" s="17">
        <f>IF(COUNTIFS(T_SelfStock_Log[Part Name],$A56,T_SelfStock_Log[WeekIndex],57)=0,"",SUMIFS(T_SelfStock_Log[Self_Qty],T_SelfStock_Log[Part Name],$A56,T_SelfStock_Log[WeekIndex],57))</f>
        <v/>
      </c>
      <c r="BG56" s="17">
        <f>IF(COUNTIFS(T_SelfStock_Log[Part Name],$A56,T_SelfStock_Log[WeekIndex],58)=0,"",SUMIFS(T_SelfStock_Log[Self_Qty],T_SelfStock_Log[Part Name],$A56,T_SelfStock_Log[WeekIndex],58))</f>
        <v/>
      </c>
      <c r="BH56" s="17">
        <f>IF(COUNTIFS(T_SelfStock_Log[Part Name],$A56,T_SelfStock_Log[WeekIndex],59)=0,"",SUMIFS(T_SelfStock_Log[Self_Qty],T_SelfStock_Log[Part Name],$A56,T_SelfStock_Log[WeekIndex],59))</f>
        <v/>
      </c>
      <c r="BI56" s="17">
        <f>IF(COUNTIFS(T_SelfStock_Log[Part Name],$A56,T_SelfStock_Log[WeekIndex],60)=0,"",SUMIFS(T_SelfStock_Log[Self_Qty],T_SelfStock_Log[Part Name],$A56,T_SelfStock_Log[WeekIndex],60))</f>
        <v/>
      </c>
      <c r="BJ56" s="17">
        <f>IF(COUNTIFS(T_SelfStock_Log[Part Name],$A56,T_SelfStock_Log[WeekIndex],61)=0,"",SUMIFS(T_SelfStock_Log[Self_Qty],T_SelfStock_Log[Part Name],$A56,T_SelfStock_Log[WeekIndex],61))</f>
        <v/>
      </c>
      <c r="BK56" s="17">
        <f>IF(COUNTIFS(T_SelfStock_Log[Part Name],$A56,T_SelfStock_Log[WeekIndex],62)=0,"",SUMIFS(T_SelfStock_Log[Self_Qty],T_SelfStock_Log[Part Name],$A56,T_SelfStock_Log[WeekIndex],62))</f>
        <v/>
      </c>
      <c r="BL56" s="17">
        <f>IF(COUNTIFS(T_SelfStock_Log[Part Name],$A56,T_SelfStock_Log[WeekIndex],63)=0,"",SUMIFS(T_SelfStock_Log[Self_Qty],T_SelfStock_Log[Part Name],$A56,T_SelfStock_Log[WeekIndex],63))</f>
        <v/>
      </c>
      <c r="BM56" s="17">
        <f>IF(COUNTIFS(T_SelfStock_Log[Part Name],$A56,T_SelfStock_Log[WeekIndex],64)=0,"",SUMIFS(T_SelfStock_Log[Self_Qty],T_SelfStock_Log[Part Name],$A56,T_SelfStock_Log[WeekIndex],64))</f>
        <v/>
      </c>
      <c r="BN56" s="17">
        <f>IF(COUNTIFS(T_SelfStock_Log[Part Name],$A56,T_SelfStock_Log[WeekIndex],65)=0,"",SUMIFS(T_SelfStock_Log[Self_Qty],T_SelfStock_Log[Part Name],$A56,T_SelfStock_Log[WeekIndex],65))</f>
        <v/>
      </c>
      <c r="BO56" s="17">
        <f>IF(COUNTIFS(T_SelfStock_Log[Part Name],$A56,T_SelfStock_Log[WeekIndex],66)=0,"",SUMIFS(T_SelfStock_Log[Self_Qty],T_SelfStock_Log[Part Name],$A56,T_SelfStock_Log[WeekIndex],66))</f>
        <v/>
      </c>
      <c r="BP56" s="17">
        <f>IF(COUNTIFS(T_SelfStock_Log[Part Name],$A56,T_SelfStock_Log[WeekIndex],67)=0,"",SUMIFS(T_SelfStock_Log[Self_Qty],T_SelfStock_Log[Part Name],$A56,T_SelfStock_Log[WeekIndex],67))</f>
        <v/>
      </c>
      <c r="BQ56" s="17">
        <f>IF(COUNTIFS(T_SelfStock_Log[Part Name],$A56,T_SelfStock_Log[WeekIndex],68)=0,"",SUMIFS(T_SelfStock_Log[Self_Qty],T_SelfStock_Log[Part Name],$A56,T_SelfStock_Log[WeekIndex],68))</f>
        <v/>
      </c>
      <c r="BR56" s="17">
        <f>IF(COUNTIFS(T_SelfStock_Log[Part Name],$A56,T_SelfStock_Log[WeekIndex],69)=0,"",SUMIFS(T_SelfStock_Log[Self_Qty],T_SelfStock_Log[Part Name],$A56,T_SelfStock_Log[WeekIndex],69))</f>
        <v/>
      </c>
      <c r="BS56" s="17">
        <f>IF(COUNTIFS(T_SelfStock_Log[Part Name],$A56,T_SelfStock_Log[WeekIndex],70)=0,"",SUMIFS(T_SelfStock_Log[Self_Qty],T_SelfStock_Log[Part Name],$A56,T_SelfStock_Log[WeekIndex],70))</f>
        <v/>
      </c>
      <c r="BT56" s="17">
        <f>IF(COUNTIFS(T_SelfStock_Log[Part Name],$A56,T_SelfStock_Log[WeekIndex],71)=0,"",SUMIFS(T_SelfStock_Log[Self_Qty],T_SelfStock_Log[Part Name],$A56,T_SelfStock_Log[WeekIndex],71))</f>
        <v/>
      </c>
      <c r="BU56" s="17">
        <f>IF(COUNTIFS(T_SelfStock_Log[Part Name],$A56,T_SelfStock_Log[WeekIndex],72)=0,"",SUMIFS(T_SelfStock_Log[Self_Qty],T_SelfStock_Log[Part Name],$A56,T_SelfStock_Log[WeekIndex],72))</f>
        <v/>
      </c>
      <c r="BV56" s="17">
        <f>IF(COUNTIFS(T_SelfStock_Log[Part Name],$A56,T_SelfStock_Log[WeekIndex],73)=0,"",SUMIFS(T_SelfStock_Log[Self_Qty],T_SelfStock_Log[Part Name],$A56,T_SelfStock_Log[WeekIndex],73))</f>
        <v/>
      </c>
      <c r="BW56" s="17">
        <f>IF(COUNTIFS(T_SelfStock_Log[Part Name],$A56,T_SelfStock_Log[WeekIndex],74)=0,"",SUMIFS(T_SelfStock_Log[Self_Qty],T_SelfStock_Log[Part Name],$A56,T_SelfStock_Log[WeekIndex],74))</f>
        <v/>
      </c>
      <c r="BX56" s="17">
        <f>IF(COUNTIFS(T_SelfStock_Log[Part Name],$A56,T_SelfStock_Log[WeekIndex],75)=0,"",SUMIFS(T_SelfStock_Log[Self_Qty],T_SelfStock_Log[Part Name],$A56,T_SelfStock_Log[WeekIndex],75))</f>
        <v/>
      </c>
      <c r="BY56" s="17">
        <f>IF(COUNTIFS(T_SelfStock_Log[Part Name],$A56,T_SelfStock_Log[WeekIndex],76)=0,"",SUMIFS(T_SelfStock_Log[Self_Qty],T_SelfStock_Log[Part Name],$A56,T_SelfStock_Log[WeekIndex],76))</f>
        <v/>
      </c>
      <c r="BZ56" s="17">
        <f>IF(COUNTIFS(T_SelfStock_Log[Part Name],$A56,T_SelfStock_Log[WeekIndex],77)=0,"",SUMIFS(T_SelfStock_Log[Self_Qty],T_SelfStock_Log[Part Name],$A56,T_SelfStock_Log[WeekIndex],77))</f>
        <v/>
      </c>
      <c r="CA56" s="17">
        <f>IF(COUNTIFS(T_SelfStock_Log[Part Name],$A56,T_SelfStock_Log[WeekIndex],78)=0,"",SUMIFS(T_SelfStock_Log[Self_Qty],T_SelfStock_Log[Part Name],$A56,T_SelfStock_Log[WeekIndex],78))</f>
        <v/>
      </c>
      <c r="CB56" s="17">
        <f>IF(COUNTIFS(T_SelfStock_Log[Part Name],$A56,T_SelfStock_Log[WeekIndex],79)=0,"",SUMIFS(T_SelfStock_Log[Self_Qty],T_SelfStock_Log[Part Name],$A56,T_SelfStock_Log[WeekIndex],79))</f>
        <v/>
      </c>
      <c r="CC56" s="17">
        <f>IF(COUNTIFS(T_SelfStock_Log[Part Name],$A56,T_SelfStock_Log[WeekIndex],80)=0,"",SUMIFS(T_SelfStock_Log[Self_Qty],T_SelfStock_Log[Part Name],$A56,T_SelfStock_Log[WeekIndex],80))</f>
        <v/>
      </c>
      <c r="CD56" s="17">
        <f>IF(COUNTIFS(T_SelfStock_Log[Part Name],$A56,T_SelfStock_Log[WeekIndex],81)=0,"",SUMIFS(T_SelfStock_Log[Self_Qty],T_SelfStock_Log[Part Name],$A56,T_SelfStock_Log[WeekIndex],81))</f>
        <v/>
      </c>
      <c r="CE56" s="17">
        <f>IF(COUNTIFS(T_SelfStock_Log[Part Name],$A56,T_SelfStock_Log[WeekIndex],82)=0,"",SUMIFS(T_SelfStock_Log[Self_Qty],T_SelfStock_Log[Part Name],$A56,T_SelfStock_Log[WeekIndex],82))</f>
        <v/>
      </c>
      <c r="CF56" s="17">
        <f>IF(COUNTIFS(T_SelfStock_Log[Part Name],$A56,T_SelfStock_Log[WeekIndex],83)=0,"",SUMIFS(T_SelfStock_Log[Self_Qty],T_SelfStock_Log[Part Name],$A56,T_SelfStock_Log[WeekIndex],83))</f>
        <v/>
      </c>
      <c r="CG56" s="17">
        <f>IF(COUNTIFS(T_SelfStock_Log[Part Name],$A56,T_SelfStock_Log[WeekIndex],84)=0,"",SUMIFS(T_SelfStock_Log[Self_Qty],T_SelfStock_Log[Part Name],$A56,T_SelfStock_Log[WeekIndex],84))</f>
        <v/>
      </c>
      <c r="CH56" s="17">
        <f>IF(COUNTIFS(T_SelfStock_Log[Part Name],$A56,T_SelfStock_Log[WeekIndex],85)=0,"",SUMIFS(T_SelfStock_Log[Self_Qty],T_SelfStock_Log[Part Name],$A56,T_SelfStock_Log[WeekIndex],85))</f>
        <v/>
      </c>
      <c r="CI56" s="17">
        <f>IF(COUNTIFS(T_SelfStock_Log[Part Name],$A56,T_SelfStock_Log[WeekIndex],86)=0,"",SUMIFS(T_SelfStock_Log[Self_Qty],T_SelfStock_Log[Part Name],$A56,T_SelfStock_Log[WeekIndex],86))</f>
        <v/>
      </c>
      <c r="CJ56" s="17">
        <f>IF(COUNTIFS(T_SelfStock_Log[Part Name],$A56,T_SelfStock_Log[WeekIndex],87)=0,"",SUMIFS(T_SelfStock_Log[Self_Qty],T_SelfStock_Log[Part Name],$A56,T_SelfStock_Log[WeekIndex],87))</f>
        <v/>
      </c>
      <c r="CK56" s="17">
        <f>IF(COUNTIFS(T_SelfStock_Log[Part Name],$A56,T_SelfStock_Log[WeekIndex],88)=0,"",SUMIFS(T_SelfStock_Log[Self_Qty],T_SelfStock_Log[Part Name],$A56,T_SelfStock_Log[WeekIndex],88))</f>
        <v/>
      </c>
      <c r="CL56" s="17">
        <f>IF(COUNTIFS(T_SelfStock_Log[Part Name],$A56,T_SelfStock_Log[WeekIndex],89)=0,"",SUMIFS(T_SelfStock_Log[Self_Qty],T_SelfStock_Log[Part Name],$A56,T_SelfStock_Log[WeekIndex],89))</f>
        <v/>
      </c>
      <c r="CM56" s="17">
        <f>IF(COUNTIFS(T_SelfStock_Log[Part Name],$A56,T_SelfStock_Log[WeekIndex],90)=0,"",SUMIFS(T_SelfStock_Log[Self_Qty],T_SelfStock_Log[Part Name],$A56,T_SelfStock_Log[WeekIndex],90))</f>
        <v/>
      </c>
      <c r="CN56" s="17">
        <f>IF(COUNTIFS(T_SelfStock_Log[Part Name],$A56,T_SelfStock_Log[WeekIndex],91)=0,"",SUMIFS(T_SelfStock_Log[Self_Qty],T_SelfStock_Log[Part Name],$A56,T_SelfStock_Log[WeekIndex],91))</f>
        <v/>
      </c>
      <c r="CO56" s="17">
        <f>IF(COUNTIFS(T_SelfStock_Log[Part Name],$A56,T_SelfStock_Log[WeekIndex],92)=0,"",SUMIFS(T_SelfStock_Log[Self_Qty],T_SelfStock_Log[Part Name],$A56,T_SelfStock_Log[WeekIndex],92))</f>
        <v/>
      </c>
      <c r="CP56" s="17">
        <f>IF(COUNTIFS(T_SelfStock_Log[Part Name],$A56,T_SelfStock_Log[WeekIndex],93)=0,"",SUMIFS(T_SelfStock_Log[Self_Qty],T_SelfStock_Log[Part Name],$A56,T_SelfStock_Log[WeekIndex],93))</f>
        <v/>
      </c>
      <c r="CQ56" s="17">
        <f>IF(COUNTIFS(T_SelfStock_Log[Part Name],$A56,T_SelfStock_Log[WeekIndex],94)=0,"",SUMIFS(T_SelfStock_Log[Self_Qty],T_SelfStock_Log[Part Name],$A56,T_SelfStock_Log[WeekIndex],94))</f>
        <v/>
      </c>
      <c r="CR56" s="17">
        <f>IF(COUNTIFS(T_SelfStock_Log[Part Name],$A56,T_SelfStock_Log[WeekIndex],95)=0,"",SUMIFS(T_SelfStock_Log[Self_Qty],T_SelfStock_Log[Part Name],$A56,T_SelfStock_Log[WeekIndex],95))</f>
        <v/>
      </c>
      <c r="CS56" s="17">
        <f>IF(COUNTIFS(T_SelfStock_Log[Part Name],$A56,T_SelfStock_Log[WeekIndex],96)=0,"",SUMIFS(T_SelfStock_Log[Self_Qty],T_SelfStock_Log[Part Name],$A56,T_SelfStock_Log[WeekIndex],96))</f>
        <v/>
      </c>
      <c r="CT56" s="17">
        <f>IF(COUNTIFS(T_SelfStock_Log[Part Name],$A56,T_SelfStock_Log[WeekIndex],97)=0,"",SUMIFS(T_SelfStock_Log[Self_Qty],T_SelfStock_Log[Part Name],$A56,T_SelfStock_Log[WeekIndex],97))</f>
        <v/>
      </c>
      <c r="CU56" s="17">
        <f>IF(COUNTIFS(T_SelfStock_Log[Part Name],$A56,T_SelfStock_Log[WeekIndex],98)=0,"",SUMIFS(T_SelfStock_Log[Self_Qty],T_SelfStock_Log[Part Name],$A56,T_SelfStock_Log[WeekIndex],98))</f>
        <v/>
      </c>
      <c r="CV56" s="17">
        <f>IF(COUNTIFS(T_SelfStock_Log[Part Name],$A56,T_SelfStock_Log[WeekIndex],99)=0,"",SUMIFS(T_SelfStock_Log[Self_Qty],T_SelfStock_Log[Part Name],$A56,T_SelfStock_Log[WeekIndex],99))</f>
        <v/>
      </c>
      <c r="CW56" s="17">
        <f>IF(COUNTIFS(T_SelfStock_Log[Part Name],$A56,T_SelfStock_Log[WeekIndex],100)=0,"",SUMIFS(T_SelfStock_Log[Self_Qty],T_SelfStock_Log[Part Name],$A56,T_SelfStock_Log[WeekIndex],100))</f>
        <v/>
      </c>
      <c r="CX56" s="17">
        <f>IF(COUNTIFS(T_SelfStock_Log[Part Name],$A56,T_SelfStock_Log[WeekIndex],101)=0,"",SUMIFS(T_SelfStock_Log[Self_Qty],T_SelfStock_Log[Part Name],$A56,T_SelfStock_Log[WeekIndex],101))</f>
        <v/>
      </c>
      <c r="CY56" s="17">
        <f>IF(COUNTIFS(T_SelfStock_Log[Part Name],$A56,T_SelfStock_Log[WeekIndex],102)=0,"",SUMIFS(T_SelfStock_Log[Self_Qty],T_SelfStock_Log[Part Name],$A56,T_SelfStock_Log[WeekIndex],102))</f>
        <v/>
      </c>
      <c r="CZ56" s="17">
        <f>IF(COUNTIFS(T_SelfStock_Log[Part Name],$A56,T_SelfStock_Log[WeekIndex],103)=0,"",SUMIFS(T_SelfStock_Log[Self_Qty],T_SelfStock_Log[Part Name],$A56,T_SelfStock_Log[WeekIndex],103))</f>
        <v/>
      </c>
      <c r="DA56" s="17">
        <f>IF(COUNTIFS(T_SelfStock_Log[Part Name],$A56,T_SelfStock_Log[WeekIndex],104)=0,"",SUMIFS(T_SelfStock_Log[Self_Qty],T_SelfStock_Log[Part Name],$A56,T_SelfStock_Log[WeekIndex],104))</f>
        <v/>
      </c>
    </row>
    <row r="57">
      <c r="A57" s="19" t="inlineStr">
        <is>
          <t>18456-50041</t>
        </is>
      </c>
      <c r="B57" s="19">
        <f>IF(COUNTIFS(T_SelfStock_Log[Part Name],$A57,T_SelfStock_Log[WeekIndex],1)=0,"",SUMIFS(T_SelfStock_Log[Self_Qty],T_SelfStock_Log[Part Name],$A57,T_SelfStock_Log[WeekIndex],1))</f>
        <v/>
      </c>
      <c r="C57" s="19">
        <f>IF(COUNTIFS(T_SelfStock_Log[Part Name],$A57,T_SelfStock_Log[WeekIndex],2)=0,"",SUMIFS(T_SelfStock_Log[Self_Qty],T_SelfStock_Log[Part Name],$A57,T_SelfStock_Log[WeekIndex],2))</f>
        <v/>
      </c>
      <c r="D57" s="19">
        <f>IF(COUNTIFS(T_SelfStock_Log[Part Name],$A57,T_SelfStock_Log[WeekIndex],3)=0,"",SUMIFS(T_SelfStock_Log[Self_Qty],T_SelfStock_Log[Part Name],$A57,T_SelfStock_Log[WeekIndex],3))</f>
        <v/>
      </c>
      <c r="E57" s="19">
        <f>IF(COUNTIFS(T_SelfStock_Log[Part Name],$A57,T_SelfStock_Log[WeekIndex],4)=0,"",SUMIFS(T_SelfStock_Log[Self_Qty],T_SelfStock_Log[Part Name],$A57,T_SelfStock_Log[WeekIndex],4))</f>
        <v/>
      </c>
      <c r="F57" s="19">
        <f>IF(COUNTIFS(T_SelfStock_Log[Part Name],$A57,T_SelfStock_Log[WeekIndex],5)=0,"",SUMIFS(T_SelfStock_Log[Self_Qty],T_SelfStock_Log[Part Name],$A57,T_SelfStock_Log[WeekIndex],5))</f>
        <v/>
      </c>
      <c r="G57" s="19">
        <f>IF(COUNTIFS(T_SelfStock_Log[Part Name],$A57,T_SelfStock_Log[WeekIndex],6)=0,"",SUMIFS(T_SelfStock_Log[Self_Qty],T_SelfStock_Log[Part Name],$A57,T_SelfStock_Log[WeekIndex],6))</f>
        <v/>
      </c>
      <c r="H57" s="19">
        <f>IF(COUNTIFS(T_SelfStock_Log[Part Name],$A57,T_SelfStock_Log[WeekIndex],7)=0,"",SUMIFS(T_SelfStock_Log[Self_Qty],T_SelfStock_Log[Part Name],$A57,T_SelfStock_Log[WeekIndex],7))</f>
        <v/>
      </c>
      <c r="I57" s="19">
        <f>IF(COUNTIFS(T_SelfStock_Log[Part Name],$A57,T_SelfStock_Log[WeekIndex],8)=0,"",SUMIFS(T_SelfStock_Log[Self_Qty],T_SelfStock_Log[Part Name],$A57,T_SelfStock_Log[WeekIndex],8))</f>
        <v/>
      </c>
      <c r="J57" s="19">
        <f>IF(COUNTIFS(T_SelfStock_Log[Part Name],$A57,T_SelfStock_Log[WeekIndex],9)=0,"",SUMIFS(T_SelfStock_Log[Self_Qty],T_SelfStock_Log[Part Name],$A57,T_SelfStock_Log[WeekIndex],9))</f>
        <v/>
      </c>
      <c r="K57" s="19">
        <f>IF(COUNTIFS(T_SelfStock_Log[Part Name],$A57,T_SelfStock_Log[WeekIndex],10)=0,"",SUMIFS(T_SelfStock_Log[Self_Qty],T_SelfStock_Log[Part Name],$A57,T_SelfStock_Log[WeekIndex],10))</f>
        <v/>
      </c>
      <c r="L57" s="19">
        <f>IF(COUNTIFS(T_SelfStock_Log[Part Name],$A57,T_SelfStock_Log[WeekIndex],11)=0,"",SUMIFS(T_SelfStock_Log[Self_Qty],T_SelfStock_Log[Part Name],$A57,T_SelfStock_Log[WeekIndex],11))</f>
        <v/>
      </c>
      <c r="M57" s="19">
        <f>IF(COUNTIFS(T_SelfStock_Log[Part Name],$A57,T_SelfStock_Log[WeekIndex],12)=0,"",SUMIFS(T_SelfStock_Log[Self_Qty],T_SelfStock_Log[Part Name],$A57,T_SelfStock_Log[WeekIndex],12))</f>
        <v/>
      </c>
      <c r="N57" s="19">
        <f>IF(COUNTIFS(T_SelfStock_Log[Part Name],$A57,T_SelfStock_Log[WeekIndex],13)=0,"",SUMIFS(T_SelfStock_Log[Self_Qty],T_SelfStock_Log[Part Name],$A57,T_SelfStock_Log[WeekIndex],13))</f>
        <v/>
      </c>
      <c r="O57" s="19">
        <f>IF(COUNTIFS(T_SelfStock_Log[Part Name],$A57,T_SelfStock_Log[WeekIndex],14)=0,"",SUMIFS(T_SelfStock_Log[Self_Qty],T_SelfStock_Log[Part Name],$A57,T_SelfStock_Log[WeekIndex],14))</f>
        <v/>
      </c>
      <c r="P57" s="19">
        <f>IF(COUNTIFS(T_SelfStock_Log[Part Name],$A57,T_SelfStock_Log[WeekIndex],15)=0,"",SUMIFS(T_SelfStock_Log[Self_Qty],T_SelfStock_Log[Part Name],$A57,T_SelfStock_Log[WeekIndex],15))</f>
        <v/>
      </c>
      <c r="Q57" s="19">
        <f>IF(COUNTIFS(T_SelfStock_Log[Part Name],$A57,T_SelfStock_Log[WeekIndex],16)=0,"",SUMIFS(T_SelfStock_Log[Self_Qty],T_SelfStock_Log[Part Name],$A57,T_SelfStock_Log[WeekIndex],16))</f>
        <v/>
      </c>
      <c r="R57" s="19">
        <f>IF(COUNTIFS(T_SelfStock_Log[Part Name],$A57,T_SelfStock_Log[WeekIndex],17)=0,"",SUMIFS(T_SelfStock_Log[Self_Qty],T_SelfStock_Log[Part Name],$A57,T_SelfStock_Log[WeekIndex],17))</f>
        <v/>
      </c>
      <c r="S57" s="19">
        <f>IF(COUNTIFS(T_SelfStock_Log[Part Name],$A57,T_SelfStock_Log[WeekIndex],18)=0,"",SUMIFS(T_SelfStock_Log[Self_Qty],T_SelfStock_Log[Part Name],$A57,T_SelfStock_Log[WeekIndex],18))</f>
        <v/>
      </c>
      <c r="T57" s="19">
        <f>IF(COUNTIFS(T_SelfStock_Log[Part Name],$A57,T_SelfStock_Log[WeekIndex],19)=0,"",SUMIFS(T_SelfStock_Log[Self_Qty],T_SelfStock_Log[Part Name],$A57,T_SelfStock_Log[WeekIndex],19))</f>
        <v/>
      </c>
      <c r="U57" s="19">
        <f>IF(COUNTIFS(T_SelfStock_Log[Part Name],$A57,T_SelfStock_Log[WeekIndex],20)=0,"",SUMIFS(T_SelfStock_Log[Self_Qty],T_SelfStock_Log[Part Name],$A57,T_SelfStock_Log[WeekIndex],20))</f>
        <v/>
      </c>
      <c r="V57" s="19">
        <f>IF(COUNTIFS(T_SelfStock_Log[Part Name],$A57,T_SelfStock_Log[WeekIndex],21)=0,"",SUMIFS(T_SelfStock_Log[Self_Qty],T_SelfStock_Log[Part Name],$A57,T_SelfStock_Log[WeekIndex],21))</f>
        <v/>
      </c>
      <c r="W57" s="19">
        <f>IF(COUNTIFS(T_SelfStock_Log[Part Name],$A57,T_SelfStock_Log[WeekIndex],22)=0,"",SUMIFS(T_SelfStock_Log[Self_Qty],T_SelfStock_Log[Part Name],$A57,T_SelfStock_Log[WeekIndex],22))</f>
        <v/>
      </c>
      <c r="X57" s="19">
        <f>IF(COUNTIFS(T_SelfStock_Log[Part Name],$A57,T_SelfStock_Log[WeekIndex],23)=0,"",SUMIFS(T_SelfStock_Log[Self_Qty],T_SelfStock_Log[Part Name],$A57,T_SelfStock_Log[WeekIndex],23))</f>
        <v/>
      </c>
      <c r="Y57" s="19">
        <f>IF(COUNTIFS(T_SelfStock_Log[Part Name],$A57,T_SelfStock_Log[WeekIndex],24)=0,"",SUMIFS(T_SelfStock_Log[Self_Qty],T_SelfStock_Log[Part Name],$A57,T_SelfStock_Log[WeekIndex],24))</f>
        <v/>
      </c>
      <c r="Z57" s="19">
        <f>IF(COUNTIFS(T_SelfStock_Log[Part Name],$A57,T_SelfStock_Log[WeekIndex],25)=0,"",SUMIFS(T_SelfStock_Log[Self_Qty],T_SelfStock_Log[Part Name],$A57,T_SelfStock_Log[WeekIndex],25))</f>
        <v/>
      </c>
      <c r="AA57" s="19">
        <f>IF(COUNTIFS(T_SelfStock_Log[Part Name],$A57,T_SelfStock_Log[WeekIndex],26)=0,"",SUMIFS(T_SelfStock_Log[Self_Qty],T_SelfStock_Log[Part Name],$A57,T_SelfStock_Log[WeekIndex],26))</f>
        <v/>
      </c>
      <c r="AB57" s="19">
        <f>IF(COUNTIFS(T_SelfStock_Log[Part Name],$A57,T_SelfStock_Log[WeekIndex],27)=0,"",SUMIFS(T_SelfStock_Log[Self_Qty],T_SelfStock_Log[Part Name],$A57,T_SelfStock_Log[WeekIndex],27))</f>
        <v/>
      </c>
      <c r="AC57" s="19">
        <f>IF(COUNTIFS(T_SelfStock_Log[Part Name],$A57,T_SelfStock_Log[WeekIndex],28)=0,"",SUMIFS(T_SelfStock_Log[Self_Qty],T_SelfStock_Log[Part Name],$A57,T_SelfStock_Log[WeekIndex],28))</f>
        <v/>
      </c>
      <c r="AD57" s="19">
        <f>IF(COUNTIFS(T_SelfStock_Log[Part Name],$A57,T_SelfStock_Log[WeekIndex],29)=0,"",SUMIFS(T_SelfStock_Log[Self_Qty],T_SelfStock_Log[Part Name],$A57,T_SelfStock_Log[WeekIndex],29))</f>
        <v/>
      </c>
      <c r="AE57" s="19">
        <f>IF(COUNTIFS(T_SelfStock_Log[Part Name],$A57,T_SelfStock_Log[WeekIndex],30)=0,"",SUMIFS(T_SelfStock_Log[Self_Qty],T_SelfStock_Log[Part Name],$A57,T_SelfStock_Log[WeekIndex],30))</f>
        <v/>
      </c>
      <c r="AF57" s="19">
        <f>IF(COUNTIFS(T_SelfStock_Log[Part Name],$A57,T_SelfStock_Log[WeekIndex],31)=0,"",SUMIFS(T_SelfStock_Log[Self_Qty],T_SelfStock_Log[Part Name],$A57,T_SelfStock_Log[WeekIndex],31))</f>
        <v/>
      </c>
      <c r="AG57" s="19">
        <f>IF(COUNTIFS(T_SelfStock_Log[Part Name],$A57,T_SelfStock_Log[WeekIndex],32)=0,"",SUMIFS(T_SelfStock_Log[Self_Qty],T_SelfStock_Log[Part Name],$A57,T_SelfStock_Log[WeekIndex],32))</f>
        <v/>
      </c>
      <c r="AH57" s="19">
        <f>IF(COUNTIFS(T_SelfStock_Log[Part Name],$A57,T_SelfStock_Log[WeekIndex],33)=0,"",SUMIFS(T_SelfStock_Log[Self_Qty],T_SelfStock_Log[Part Name],$A57,T_SelfStock_Log[WeekIndex],33))</f>
        <v/>
      </c>
      <c r="AI57" s="19">
        <f>IF(COUNTIFS(T_SelfStock_Log[Part Name],$A57,T_SelfStock_Log[WeekIndex],34)=0,"",SUMIFS(T_SelfStock_Log[Self_Qty],T_SelfStock_Log[Part Name],$A57,T_SelfStock_Log[WeekIndex],34))</f>
        <v/>
      </c>
      <c r="AJ57" s="19">
        <f>IF(COUNTIFS(T_SelfStock_Log[Part Name],$A57,T_SelfStock_Log[WeekIndex],35)=0,"",SUMIFS(T_SelfStock_Log[Self_Qty],T_SelfStock_Log[Part Name],$A57,T_SelfStock_Log[WeekIndex],35))</f>
        <v/>
      </c>
      <c r="AK57" s="19">
        <f>IF(COUNTIFS(T_SelfStock_Log[Part Name],$A57,T_SelfStock_Log[WeekIndex],36)=0,"",SUMIFS(T_SelfStock_Log[Self_Qty],T_SelfStock_Log[Part Name],$A57,T_SelfStock_Log[WeekIndex],36))</f>
        <v/>
      </c>
      <c r="AL57" s="19">
        <f>IF(COUNTIFS(T_SelfStock_Log[Part Name],$A57,T_SelfStock_Log[WeekIndex],37)=0,"",SUMIFS(T_SelfStock_Log[Self_Qty],T_SelfStock_Log[Part Name],$A57,T_SelfStock_Log[WeekIndex],37))</f>
        <v/>
      </c>
      <c r="AM57" s="19">
        <f>IF(COUNTIFS(T_SelfStock_Log[Part Name],$A57,T_SelfStock_Log[WeekIndex],38)=0,"",SUMIFS(T_SelfStock_Log[Self_Qty],T_SelfStock_Log[Part Name],$A57,T_SelfStock_Log[WeekIndex],38))</f>
        <v/>
      </c>
      <c r="AN57" s="19">
        <f>IF(COUNTIFS(T_SelfStock_Log[Part Name],$A57,T_SelfStock_Log[WeekIndex],39)=0,"",SUMIFS(T_SelfStock_Log[Self_Qty],T_SelfStock_Log[Part Name],$A57,T_SelfStock_Log[WeekIndex],39))</f>
        <v/>
      </c>
      <c r="AO57" s="19">
        <f>IF(COUNTIFS(T_SelfStock_Log[Part Name],$A57,T_SelfStock_Log[WeekIndex],40)=0,"",SUMIFS(T_SelfStock_Log[Self_Qty],T_SelfStock_Log[Part Name],$A57,T_SelfStock_Log[WeekIndex],40))</f>
        <v/>
      </c>
      <c r="AP57" s="19">
        <f>IF(COUNTIFS(T_SelfStock_Log[Part Name],$A57,T_SelfStock_Log[WeekIndex],41)=0,"",SUMIFS(T_SelfStock_Log[Self_Qty],T_SelfStock_Log[Part Name],$A57,T_SelfStock_Log[WeekIndex],41))</f>
        <v/>
      </c>
      <c r="AQ57" s="19">
        <f>IF(COUNTIFS(T_SelfStock_Log[Part Name],$A57,T_SelfStock_Log[WeekIndex],42)=0,"",SUMIFS(T_SelfStock_Log[Self_Qty],T_SelfStock_Log[Part Name],$A57,T_SelfStock_Log[WeekIndex],42))</f>
        <v/>
      </c>
      <c r="AR57" s="19">
        <f>IF(COUNTIFS(T_SelfStock_Log[Part Name],$A57,T_SelfStock_Log[WeekIndex],43)=0,"",SUMIFS(T_SelfStock_Log[Self_Qty],T_SelfStock_Log[Part Name],$A57,T_SelfStock_Log[WeekIndex],43))</f>
        <v/>
      </c>
      <c r="AS57" s="19">
        <f>IF(COUNTIFS(T_SelfStock_Log[Part Name],$A57,T_SelfStock_Log[WeekIndex],44)=0,"",SUMIFS(T_SelfStock_Log[Self_Qty],T_SelfStock_Log[Part Name],$A57,T_SelfStock_Log[WeekIndex],44))</f>
        <v/>
      </c>
      <c r="AT57" s="19">
        <f>IF(COUNTIFS(T_SelfStock_Log[Part Name],$A57,T_SelfStock_Log[WeekIndex],45)=0,"",SUMIFS(T_SelfStock_Log[Self_Qty],T_SelfStock_Log[Part Name],$A57,T_SelfStock_Log[WeekIndex],45))</f>
        <v/>
      </c>
      <c r="AU57" s="19">
        <f>IF(COUNTIFS(T_SelfStock_Log[Part Name],$A57,T_SelfStock_Log[WeekIndex],46)=0,"",SUMIFS(T_SelfStock_Log[Self_Qty],T_SelfStock_Log[Part Name],$A57,T_SelfStock_Log[WeekIndex],46))</f>
        <v/>
      </c>
      <c r="AV57" s="19">
        <f>IF(COUNTIFS(T_SelfStock_Log[Part Name],$A57,T_SelfStock_Log[WeekIndex],47)=0,"",SUMIFS(T_SelfStock_Log[Self_Qty],T_SelfStock_Log[Part Name],$A57,T_SelfStock_Log[WeekIndex],47))</f>
        <v/>
      </c>
      <c r="AW57" s="19">
        <f>IF(COUNTIFS(T_SelfStock_Log[Part Name],$A57,T_SelfStock_Log[WeekIndex],48)=0,"",SUMIFS(T_SelfStock_Log[Self_Qty],T_SelfStock_Log[Part Name],$A57,T_SelfStock_Log[WeekIndex],48))</f>
        <v/>
      </c>
      <c r="AX57" s="19">
        <f>IF(COUNTIFS(T_SelfStock_Log[Part Name],$A57,T_SelfStock_Log[WeekIndex],49)=0,"",SUMIFS(T_SelfStock_Log[Self_Qty],T_SelfStock_Log[Part Name],$A57,T_SelfStock_Log[WeekIndex],49))</f>
        <v/>
      </c>
      <c r="AY57" s="19">
        <f>IF(COUNTIFS(T_SelfStock_Log[Part Name],$A57,T_SelfStock_Log[WeekIndex],50)=0,"",SUMIFS(T_SelfStock_Log[Self_Qty],T_SelfStock_Log[Part Name],$A57,T_SelfStock_Log[WeekIndex],50))</f>
        <v/>
      </c>
      <c r="AZ57" s="19">
        <f>IF(COUNTIFS(T_SelfStock_Log[Part Name],$A57,T_SelfStock_Log[WeekIndex],51)=0,"",SUMIFS(T_SelfStock_Log[Self_Qty],T_SelfStock_Log[Part Name],$A57,T_SelfStock_Log[WeekIndex],51))</f>
        <v/>
      </c>
      <c r="BA57" s="19">
        <f>IF(COUNTIFS(T_SelfStock_Log[Part Name],$A57,T_SelfStock_Log[WeekIndex],52)=0,"",SUMIFS(T_SelfStock_Log[Self_Qty],T_SelfStock_Log[Part Name],$A57,T_SelfStock_Log[WeekIndex],52))</f>
        <v/>
      </c>
      <c r="BB57" s="19">
        <f>IF(COUNTIFS(T_SelfStock_Log[Part Name],$A57,T_SelfStock_Log[WeekIndex],53)=0,"",SUMIFS(T_SelfStock_Log[Self_Qty],T_SelfStock_Log[Part Name],$A57,T_SelfStock_Log[WeekIndex],53))</f>
        <v/>
      </c>
      <c r="BC57" s="19">
        <f>IF(COUNTIFS(T_SelfStock_Log[Part Name],$A57,T_SelfStock_Log[WeekIndex],54)=0,"",SUMIFS(T_SelfStock_Log[Self_Qty],T_SelfStock_Log[Part Name],$A57,T_SelfStock_Log[WeekIndex],54))</f>
        <v/>
      </c>
      <c r="BD57" s="19">
        <f>IF(COUNTIFS(T_SelfStock_Log[Part Name],$A57,T_SelfStock_Log[WeekIndex],55)=0,"",SUMIFS(T_SelfStock_Log[Self_Qty],T_SelfStock_Log[Part Name],$A57,T_SelfStock_Log[WeekIndex],55))</f>
        <v/>
      </c>
      <c r="BE57" s="19">
        <f>IF(COUNTIFS(T_SelfStock_Log[Part Name],$A57,T_SelfStock_Log[WeekIndex],56)=0,"",SUMIFS(T_SelfStock_Log[Self_Qty],T_SelfStock_Log[Part Name],$A57,T_SelfStock_Log[WeekIndex],56))</f>
        <v/>
      </c>
      <c r="BF57" s="19">
        <f>IF(COUNTIFS(T_SelfStock_Log[Part Name],$A57,T_SelfStock_Log[WeekIndex],57)=0,"",SUMIFS(T_SelfStock_Log[Self_Qty],T_SelfStock_Log[Part Name],$A57,T_SelfStock_Log[WeekIndex],57))</f>
        <v/>
      </c>
      <c r="BG57" s="19">
        <f>IF(COUNTIFS(T_SelfStock_Log[Part Name],$A57,T_SelfStock_Log[WeekIndex],58)=0,"",SUMIFS(T_SelfStock_Log[Self_Qty],T_SelfStock_Log[Part Name],$A57,T_SelfStock_Log[WeekIndex],58))</f>
        <v/>
      </c>
      <c r="BH57" s="19">
        <f>IF(COUNTIFS(T_SelfStock_Log[Part Name],$A57,T_SelfStock_Log[WeekIndex],59)=0,"",SUMIFS(T_SelfStock_Log[Self_Qty],T_SelfStock_Log[Part Name],$A57,T_SelfStock_Log[WeekIndex],59))</f>
        <v/>
      </c>
      <c r="BI57" s="19">
        <f>IF(COUNTIFS(T_SelfStock_Log[Part Name],$A57,T_SelfStock_Log[WeekIndex],60)=0,"",SUMIFS(T_SelfStock_Log[Self_Qty],T_SelfStock_Log[Part Name],$A57,T_SelfStock_Log[WeekIndex],60))</f>
        <v/>
      </c>
      <c r="BJ57" s="19">
        <f>IF(COUNTIFS(T_SelfStock_Log[Part Name],$A57,T_SelfStock_Log[WeekIndex],61)=0,"",SUMIFS(T_SelfStock_Log[Self_Qty],T_SelfStock_Log[Part Name],$A57,T_SelfStock_Log[WeekIndex],61))</f>
        <v/>
      </c>
      <c r="BK57" s="19">
        <f>IF(COUNTIFS(T_SelfStock_Log[Part Name],$A57,T_SelfStock_Log[WeekIndex],62)=0,"",SUMIFS(T_SelfStock_Log[Self_Qty],T_SelfStock_Log[Part Name],$A57,T_SelfStock_Log[WeekIndex],62))</f>
        <v/>
      </c>
      <c r="BL57" s="19">
        <f>IF(COUNTIFS(T_SelfStock_Log[Part Name],$A57,T_SelfStock_Log[WeekIndex],63)=0,"",SUMIFS(T_SelfStock_Log[Self_Qty],T_SelfStock_Log[Part Name],$A57,T_SelfStock_Log[WeekIndex],63))</f>
        <v/>
      </c>
      <c r="BM57" s="19">
        <f>IF(COUNTIFS(T_SelfStock_Log[Part Name],$A57,T_SelfStock_Log[WeekIndex],64)=0,"",SUMIFS(T_SelfStock_Log[Self_Qty],T_SelfStock_Log[Part Name],$A57,T_SelfStock_Log[WeekIndex],64))</f>
        <v/>
      </c>
      <c r="BN57" s="19">
        <f>IF(COUNTIFS(T_SelfStock_Log[Part Name],$A57,T_SelfStock_Log[WeekIndex],65)=0,"",SUMIFS(T_SelfStock_Log[Self_Qty],T_SelfStock_Log[Part Name],$A57,T_SelfStock_Log[WeekIndex],65))</f>
        <v/>
      </c>
      <c r="BO57" s="19">
        <f>IF(COUNTIFS(T_SelfStock_Log[Part Name],$A57,T_SelfStock_Log[WeekIndex],66)=0,"",SUMIFS(T_SelfStock_Log[Self_Qty],T_SelfStock_Log[Part Name],$A57,T_SelfStock_Log[WeekIndex],66))</f>
        <v/>
      </c>
      <c r="BP57" s="19">
        <f>IF(COUNTIFS(T_SelfStock_Log[Part Name],$A57,T_SelfStock_Log[WeekIndex],67)=0,"",SUMIFS(T_SelfStock_Log[Self_Qty],T_SelfStock_Log[Part Name],$A57,T_SelfStock_Log[WeekIndex],67))</f>
        <v/>
      </c>
      <c r="BQ57" s="19">
        <f>IF(COUNTIFS(T_SelfStock_Log[Part Name],$A57,T_SelfStock_Log[WeekIndex],68)=0,"",SUMIFS(T_SelfStock_Log[Self_Qty],T_SelfStock_Log[Part Name],$A57,T_SelfStock_Log[WeekIndex],68))</f>
        <v/>
      </c>
      <c r="BR57" s="19">
        <f>IF(COUNTIFS(T_SelfStock_Log[Part Name],$A57,T_SelfStock_Log[WeekIndex],69)=0,"",SUMIFS(T_SelfStock_Log[Self_Qty],T_SelfStock_Log[Part Name],$A57,T_SelfStock_Log[WeekIndex],69))</f>
        <v/>
      </c>
      <c r="BS57" s="19">
        <f>IF(COUNTIFS(T_SelfStock_Log[Part Name],$A57,T_SelfStock_Log[WeekIndex],70)=0,"",SUMIFS(T_SelfStock_Log[Self_Qty],T_SelfStock_Log[Part Name],$A57,T_SelfStock_Log[WeekIndex],70))</f>
        <v/>
      </c>
      <c r="BT57" s="19">
        <f>IF(COUNTIFS(T_SelfStock_Log[Part Name],$A57,T_SelfStock_Log[WeekIndex],71)=0,"",SUMIFS(T_SelfStock_Log[Self_Qty],T_SelfStock_Log[Part Name],$A57,T_SelfStock_Log[WeekIndex],71))</f>
        <v/>
      </c>
      <c r="BU57" s="19">
        <f>IF(COUNTIFS(T_SelfStock_Log[Part Name],$A57,T_SelfStock_Log[WeekIndex],72)=0,"",SUMIFS(T_SelfStock_Log[Self_Qty],T_SelfStock_Log[Part Name],$A57,T_SelfStock_Log[WeekIndex],72))</f>
        <v/>
      </c>
      <c r="BV57" s="19">
        <f>IF(COUNTIFS(T_SelfStock_Log[Part Name],$A57,T_SelfStock_Log[WeekIndex],73)=0,"",SUMIFS(T_SelfStock_Log[Self_Qty],T_SelfStock_Log[Part Name],$A57,T_SelfStock_Log[WeekIndex],73))</f>
        <v/>
      </c>
      <c r="BW57" s="19">
        <f>IF(COUNTIFS(T_SelfStock_Log[Part Name],$A57,T_SelfStock_Log[WeekIndex],74)=0,"",SUMIFS(T_SelfStock_Log[Self_Qty],T_SelfStock_Log[Part Name],$A57,T_SelfStock_Log[WeekIndex],74))</f>
        <v/>
      </c>
      <c r="BX57" s="19">
        <f>IF(COUNTIFS(T_SelfStock_Log[Part Name],$A57,T_SelfStock_Log[WeekIndex],75)=0,"",SUMIFS(T_SelfStock_Log[Self_Qty],T_SelfStock_Log[Part Name],$A57,T_SelfStock_Log[WeekIndex],75))</f>
        <v/>
      </c>
      <c r="BY57" s="19">
        <f>IF(COUNTIFS(T_SelfStock_Log[Part Name],$A57,T_SelfStock_Log[WeekIndex],76)=0,"",SUMIFS(T_SelfStock_Log[Self_Qty],T_SelfStock_Log[Part Name],$A57,T_SelfStock_Log[WeekIndex],76))</f>
        <v/>
      </c>
      <c r="BZ57" s="19">
        <f>IF(COUNTIFS(T_SelfStock_Log[Part Name],$A57,T_SelfStock_Log[WeekIndex],77)=0,"",SUMIFS(T_SelfStock_Log[Self_Qty],T_SelfStock_Log[Part Name],$A57,T_SelfStock_Log[WeekIndex],77))</f>
        <v/>
      </c>
      <c r="CA57" s="19">
        <f>IF(COUNTIFS(T_SelfStock_Log[Part Name],$A57,T_SelfStock_Log[WeekIndex],78)=0,"",SUMIFS(T_SelfStock_Log[Self_Qty],T_SelfStock_Log[Part Name],$A57,T_SelfStock_Log[WeekIndex],78))</f>
        <v/>
      </c>
      <c r="CB57" s="19">
        <f>IF(COUNTIFS(T_SelfStock_Log[Part Name],$A57,T_SelfStock_Log[WeekIndex],79)=0,"",SUMIFS(T_SelfStock_Log[Self_Qty],T_SelfStock_Log[Part Name],$A57,T_SelfStock_Log[WeekIndex],79))</f>
        <v/>
      </c>
      <c r="CC57" s="19">
        <f>IF(COUNTIFS(T_SelfStock_Log[Part Name],$A57,T_SelfStock_Log[WeekIndex],80)=0,"",SUMIFS(T_SelfStock_Log[Self_Qty],T_SelfStock_Log[Part Name],$A57,T_SelfStock_Log[WeekIndex],80))</f>
        <v/>
      </c>
      <c r="CD57" s="19">
        <f>IF(COUNTIFS(T_SelfStock_Log[Part Name],$A57,T_SelfStock_Log[WeekIndex],81)=0,"",SUMIFS(T_SelfStock_Log[Self_Qty],T_SelfStock_Log[Part Name],$A57,T_SelfStock_Log[WeekIndex],81))</f>
        <v/>
      </c>
      <c r="CE57" s="19">
        <f>IF(COUNTIFS(T_SelfStock_Log[Part Name],$A57,T_SelfStock_Log[WeekIndex],82)=0,"",SUMIFS(T_SelfStock_Log[Self_Qty],T_SelfStock_Log[Part Name],$A57,T_SelfStock_Log[WeekIndex],82))</f>
        <v/>
      </c>
      <c r="CF57" s="19">
        <f>IF(COUNTIFS(T_SelfStock_Log[Part Name],$A57,T_SelfStock_Log[WeekIndex],83)=0,"",SUMIFS(T_SelfStock_Log[Self_Qty],T_SelfStock_Log[Part Name],$A57,T_SelfStock_Log[WeekIndex],83))</f>
        <v/>
      </c>
      <c r="CG57" s="19">
        <f>IF(COUNTIFS(T_SelfStock_Log[Part Name],$A57,T_SelfStock_Log[WeekIndex],84)=0,"",SUMIFS(T_SelfStock_Log[Self_Qty],T_SelfStock_Log[Part Name],$A57,T_SelfStock_Log[WeekIndex],84))</f>
        <v/>
      </c>
      <c r="CH57" s="19">
        <f>IF(COUNTIFS(T_SelfStock_Log[Part Name],$A57,T_SelfStock_Log[WeekIndex],85)=0,"",SUMIFS(T_SelfStock_Log[Self_Qty],T_SelfStock_Log[Part Name],$A57,T_SelfStock_Log[WeekIndex],85))</f>
        <v/>
      </c>
      <c r="CI57" s="19">
        <f>IF(COUNTIFS(T_SelfStock_Log[Part Name],$A57,T_SelfStock_Log[WeekIndex],86)=0,"",SUMIFS(T_SelfStock_Log[Self_Qty],T_SelfStock_Log[Part Name],$A57,T_SelfStock_Log[WeekIndex],86))</f>
        <v/>
      </c>
      <c r="CJ57" s="19">
        <f>IF(COUNTIFS(T_SelfStock_Log[Part Name],$A57,T_SelfStock_Log[WeekIndex],87)=0,"",SUMIFS(T_SelfStock_Log[Self_Qty],T_SelfStock_Log[Part Name],$A57,T_SelfStock_Log[WeekIndex],87))</f>
        <v/>
      </c>
      <c r="CK57" s="19">
        <f>IF(COUNTIFS(T_SelfStock_Log[Part Name],$A57,T_SelfStock_Log[WeekIndex],88)=0,"",SUMIFS(T_SelfStock_Log[Self_Qty],T_SelfStock_Log[Part Name],$A57,T_SelfStock_Log[WeekIndex],88))</f>
        <v/>
      </c>
      <c r="CL57" s="19">
        <f>IF(COUNTIFS(T_SelfStock_Log[Part Name],$A57,T_SelfStock_Log[WeekIndex],89)=0,"",SUMIFS(T_SelfStock_Log[Self_Qty],T_SelfStock_Log[Part Name],$A57,T_SelfStock_Log[WeekIndex],89))</f>
        <v/>
      </c>
      <c r="CM57" s="19">
        <f>IF(COUNTIFS(T_SelfStock_Log[Part Name],$A57,T_SelfStock_Log[WeekIndex],90)=0,"",SUMIFS(T_SelfStock_Log[Self_Qty],T_SelfStock_Log[Part Name],$A57,T_SelfStock_Log[WeekIndex],90))</f>
        <v/>
      </c>
      <c r="CN57" s="19">
        <f>IF(COUNTIFS(T_SelfStock_Log[Part Name],$A57,T_SelfStock_Log[WeekIndex],91)=0,"",SUMIFS(T_SelfStock_Log[Self_Qty],T_SelfStock_Log[Part Name],$A57,T_SelfStock_Log[WeekIndex],91))</f>
        <v/>
      </c>
      <c r="CO57" s="19">
        <f>IF(COUNTIFS(T_SelfStock_Log[Part Name],$A57,T_SelfStock_Log[WeekIndex],92)=0,"",SUMIFS(T_SelfStock_Log[Self_Qty],T_SelfStock_Log[Part Name],$A57,T_SelfStock_Log[WeekIndex],92))</f>
        <v/>
      </c>
      <c r="CP57" s="19">
        <f>IF(COUNTIFS(T_SelfStock_Log[Part Name],$A57,T_SelfStock_Log[WeekIndex],93)=0,"",SUMIFS(T_SelfStock_Log[Self_Qty],T_SelfStock_Log[Part Name],$A57,T_SelfStock_Log[WeekIndex],93))</f>
        <v/>
      </c>
      <c r="CQ57" s="19">
        <f>IF(COUNTIFS(T_SelfStock_Log[Part Name],$A57,T_SelfStock_Log[WeekIndex],94)=0,"",SUMIFS(T_SelfStock_Log[Self_Qty],T_SelfStock_Log[Part Name],$A57,T_SelfStock_Log[WeekIndex],94))</f>
        <v/>
      </c>
      <c r="CR57" s="19">
        <f>IF(COUNTIFS(T_SelfStock_Log[Part Name],$A57,T_SelfStock_Log[WeekIndex],95)=0,"",SUMIFS(T_SelfStock_Log[Self_Qty],T_SelfStock_Log[Part Name],$A57,T_SelfStock_Log[WeekIndex],95))</f>
        <v/>
      </c>
      <c r="CS57" s="19">
        <f>IF(COUNTIFS(T_SelfStock_Log[Part Name],$A57,T_SelfStock_Log[WeekIndex],96)=0,"",SUMIFS(T_SelfStock_Log[Self_Qty],T_SelfStock_Log[Part Name],$A57,T_SelfStock_Log[WeekIndex],96))</f>
        <v/>
      </c>
      <c r="CT57" s="19">
        <f>IF(COUNTIFS(T_SelfStock_Log[Part Name],$A57,T_SelfStock_Log[WeekIndex],97)=0,"",SUMIFS(T_SelfStock_Log[Self_Qty],T_SelfStock_Log[Part Name],$A57,T_SelfStock_Log[WeekIndex],97))</f>
        <v/>
      </c>
      <c r="CU57" s="19">
        <f>IF(COUNTIFS(T_SelfStock_Log[Part Name],$A57,T_SelfStock_Log[WeekIndex],98)=0,"",SUMIFS(T_SelfStock_Log[Self_Qty],T_SelfStock_Log[Part Name],$A57,T_SelfStock_Log[WeekIndex],98))</f>
        <v/>
      </c>
      <c r="CV57" s="19">
        <f>IF(COUNTIFS(T_SelfStock_Log[Part Name],$A57,T_SelfStock_Log[WeekIndex],99)=0,"",SUMIFS(T_SelfStock_Log[Self_Qty],T_SelfStock_Log[Part Name],$A57,T_SelfStock_Log[WeekIndex],99))</f>
        <v/>
      </c>
      <c r="CW57" s="19">
        <f>IF(COUNTIFS(T_SelfStock_Log[Part Name],$A57,T_SelfStock_Log[WeekIndex],100)=0,"",SUMIFS(T_SelfStock_Log[Self_Qty],T_SelfStock_Log[Part Name],$A57,T_SelfStock_Log[WeekIndex],100))</f>
        <v/>
      </c>
      <c r="CX57" s="19">
        <f>IF(COUNTIFS(T_SelfStock_Log[Part Name],$A57,T_SelfStock_Log[WeekIndex],101)=0,"",SUMIFS(T_SelfStock_Log[Self_Qty],T_SelfStock_Log[Part Name],$A57,T_SelfStock_Log[WeekIndex],101))</f>
        <v/>
      </c>
      <c r="CY57" s="19">
        <f>IF(COUNTIFS(T_SelfStock_Log[Part Name],$A57,T_SelfStock_Log[WeekIndex],102)=0,"",SUMIFS(T_SelfStock_Log[Self_Qty],T_SelfStock_Log[Part Name],$A57,T_SelfStock_Log[WeekIndex],102))</f>
        <v/>
      </c>
      <c r="CZ57" s="19">
        <f>IF(COUNTIFS(T_SelfStock_Log[Part Name],$A57,T_SelfStock_Log[WeekIndex],103)=0,"",SUMIFS(T_SelfStock_Log[Self_Qty],T_SelfStock_Log[Part Name],$A57,T_SelfStock_Log[WeekIndex],103))</f>
        <v/>
      </c>
      <c r="DA57" s="19">
        <f>IF(COUNTIFS(T_SelfStock_Log[Part Name],$A57,T_SelfStock_Log[WeekIndex],104)=0,"",SUMIFS(T_SelfStock_Log[Self_Qty],T_SelfStock_Log[Part Name],$A57,T_SelfStock_Log[WeekIndex],104))</f>
        <v/>
      </c>
    </row>
    <row r="58">
      <c r="A58" s="17" t="inlineStr">
        <is>
          <t>18456-50061</t>
        </is>
      </c>
      <c r="B58" s="17">
        <f>IF(COUNTIFS(T_SelfStock_Log[Part Name],$A58,T_SelfStock_Log[WeekIndex],1)=0,"",SUMIFS(T_SelfStock_Log[Self_Qty],T_SelfStock_Log[Part Name],$A58,T_SelfStock_Log[WeekIndex],1))</f>
        <v/>
      </c>
      <c r="C58" s="17">
        <f>IF(COUNTIFS(T_SelfStock_Log[Part Name],$A58,T_SelfStock_Log[WeekIndex],2)=0,"",SUMIFS(T_SelfStock_Log[Self_Qty],T_SelfStock_Log[Part Name],$A58,T_SelfStock_Log[WeekIndex],2))</f>
        <v/>
      </c>
      <c r="D58" s="17">
        <f>IF(COUNTIFS(T_SelfStock_Log[Part Name],$A58,T_SelfStock_Log[WeekIndex],3)=0,"",SUMIFS(T_SelfStock_Log[Self_Qty],T_SelfStock_Log[Part Name],$A58,T_SelfStock_Log[WeekIndex],3))</f>
        <v/>
      </c>
      <c r="E58" s="17">
        <f>IF(COUNTIFS(T_SelfStock_Log[Part Name],$A58,T_SelfStock_Log[WeekIndex],4)=0,"",SUMIFS(T_SelfStock_Log[Self_Qty],T_SelfStock_Log[Part Name],$A58,T_SelfStock_Log[WeekIndex],4))</f>
        <v/>
      </c>
      <c r="F58" s="17">
        <f>IF(COUNTIFS(T_SelfStock_Log[Part Name],$A58,T_SelfStock_Log[WeekIndex],5)=0,"",SUMIFS(T_SelfStock_Log[Self_Qty],T_SelfStock_Log[Part Name],$A58,T_SelfStock_Log[WeekIndex],5))</f>
        <v/>
      </c>
      <c r="G58" s="17">
        <f>IF(COUNTIFS(T_SelfStock_Log[Part Name],$A58,T_SelfStock_Log[WeekIndex],6)=0,"",SUMIFS(T_SelfStock_Log[Self_Qty],T_SelfStock_Log[Part Name],$A58,T_SelfStock_Log[WeekIndex],6))</f>
        <v/>
      </c>
      <c r="H58" s="17">
        <f>IF(COUNTIFS(T_SelfStock_Log[Part Name],$A58,T_SelfStock_Log[WeekIndex],7)=0,"",SUMIFS(T_SelfStock_Log[Self_Qty],T_SelfStock_Log[Part Name],$A58,T_SelfStock_Log[WeekIndex],7))</f>
        <v/>
      </c>
      <c r="I58" s="17">
        <f>IF(COUNTIFS(T_SelfStock_Log[Part Name],$A58,T_SelfStock_Log[WeekIndex],8)=0,"",SUMIFS(T_SelfStock_Log[Self_Qty],T_SelfStock_Log[Part Name],$A58,T_SelfStock_Log[WeekIndex],8))</f>
        <v/>
      </c>
      <c r="J58" s="17">
        <f>IF(COUNTIFS(T_SelfStock_Log[Part Name],$A58,T_SelfStock_Log[WeekIndex],9)=0,"",SUMIFS(T_SelfStock_Log[Self_Qty],T_SelfStock_Log[Part Name],$A58,T_SelfStock_Log[WeekIndex],9))</f>
        <v/>
      </c>
      <c r="K58" s="17">
        <f>IF(COUNTIFS(T_SelfStock_Log[Part Name],$A58,T_SelfStock_Log[WeekIndex],10)=0,"",SUMIFS(T_SelfStock_Log[Self_Qty],T_SelfStock_Log[Part Name],$A58,T_SelfStock_Log[WeekIndex],10))</f>
        <v/>
      </c>
      <c r="L58" s="17">
        <f>IF(COUNTIFS(T_SelfStock_Log[Part Name],$A58,T_SelfStock_Log[WeekIndex],11)=0,"",SUMIFS(T_SelfStock_Log[Self_Qty],T_SelfStock_Log[Part Name],$A58,T_SelfStock_Log[WeekIndex],11))</f>
        <v/>
      </c>
      <c r="M58" s="17">
        <f>IF(COUNTIFS(T_SelfStock_Log[Part Name],$A58,T_SelfStock_Log[WeekIndex],12)=0,"",SUMIFS(T_SelfStock_Log[Self_Qty],T_SelfStock_Log[Part Name],$A58,T_SelfStock_Log[WeekIndex],12))</f>
        <v/>
      </c>
      <c r="N58" s="17">
        <f>IF(COUNTIFS(T_SelfStock_Log[Part Name],$A58,T_SelfStock_Log[WeekIndex],13)=0,"",SUMIFS(T_SelfStock_Log[Self_Qty],T_SelfStock_Log[Part Name],$A58,T_SelfStock_Log[WeekIndex],13))</f>
        <v/>
      </c>
      <c r="O58" s="17">
        <f>IF(COUNTIFS(T_SelfStock_Log[Part Name],$A58,T_SelfStock_Log[WeekIndex],14)=0,"",SUMIFS(T_SelfStock_Log[Self_Qty],T_SelfStock_Log[Part Name],$A58,T_SelfStock_Log[WeekIndex],14))</f>
        <v/>
      </c>
      <c r="P58" s="17">
        <f>IF(COUNTIFS(T_SelfStock_Log[Part Name],$A58,T_SelfStock_Log[WeekIndex],15)=0,"",SUMIFS(T_SelfStock_Log[Self_Qty],T_SelfStock_Log[Part Name],$A58,T_SelfStock_Log[WeekIndex],15))</f>
        <v/>
      </c>
      <c r="Q58" s="17">
        <f>IF(COUNTIFS(T_SelfStock_Log[Part Name],$A58,T_SelfStock_Log[WeekIndex],16)=0,"",SUMIFS(T_SelfStock_Log[Self_Qty],T_SelfStock_Log[Part Name],$A58,T_SelfStock_Log[WeekIndex],16))</f>
        <v/>
      </c>
      <c r="R58" s="17">
        <f>IF(COUNTIFS(T_SelfStock_Log[Part Name],$A58,T_SelfStock_Log[WeekIndex],17)=0,"",SUMIFS(T_SelfStock_Log[Self_Qty],T_SelfStock_Log[Part Name],$A58,T_SelfStock_Log[WeekIndex],17))</f>
        <v/>
      </c>
      <c r="S58" s="17">
        <f>IF(COUNTIFS(T_SelfStock_Log[Part Name],$A58,T_SelfStock_Log[WeekIndex],18)=0,"",SUMIFS(T_SelfStock_Log[Self_Qty],T_SelfStock_Log[Part Name],$A58,T_SelfStock_Log[WeekIndex],18))</f>
        <v/>
      </c>
      <c r="T58" s="17">
        <f>IF(COUNTIFS(T_SelfStock_Log[Part Name],$A58,T_SelfStock_Log[WeekIndex],19)=0,"",SUMIFS(T_SelfStock_Log[Self_Qty],T_SelfStock_Log[Part Name],$A58,T_SelfStock_Log[WeekIndex],19))</f>
        <v/>
      </c>
      <c r="U58" s="17">
        <f>IF(COUNTIFS(T_SelfStock_Log[Part Name],$A58,T_SelfStock_Log[WeekIndex],20)=0,"",SUMIFS(T_SelfStock_Log[Self_Qty],T_SelfStock_Log[Part Name],$A58,T_SelfStock_Log[WeekIndex],20))</f>
        <v/>
      </c>
      <c r="V58" s="17">
        <f>IF(COUNTIFS(T_SelfStock_Log[Part Name],$A58,T_SelfStock_Log[WeekIndex],21)=0,"",SUMIFS(T_SelfStock_Log[Self_Qty],T_SelfStock_Log[Part Name],$A58,T_SelfStock_Log[WeekIndex],21))</f>
        <v/>
      </c>
      <c r="W58" s="17">
        <f>IF(COUNTIFS(T_SelfStock_Log[Part Name],$A58,T_SelfStock_Log[WeekIndex],22)=0,"",SUMIFS(T_SelfStock_Log[Self_Qty],T_SelfStock_Log[Part Name],$A58,T_SelfStock_Log[WeekIndex],22))</f>
        <v/>
      </c>
      <c r="X58" s="17">
        <f>IF(COUNTIFS(T_SelfStock_Log[Part Name],$A58,T_SelfStock_Log[WeekIndex],23)=0,"",SUMIFS(T_SelfStock_Log[Self_Qty],T_SelfStock_Log[Part Name],$A58,T_SelfStock_Log[WeekIndex],23))</f>
        <v/>
      </c>
      <c r="Y58" s="17">
        <f>IF(COUNTIFS(T_SelfStock_Log[Part Name],$A58,T_SelfStock_Log[WeekIndex],24)=0,"",SUMIFS(T_SelfStock_Log[Self_Qty],T_SelfStock_Log[Part Name],$A58,T_SelfStock_Log[WeekIndex],24))</f>
        <v/>
      </c>
      <c r="Z58" s="17">
        <f>IF(COUNTIFS(T_SelfStock_Log[Part Name],$A58,T_SelfStock_Log[WeekIndex],25)=0,"",SUMIFS(T_SelfStock_Log[Self_Qty],T_SelfStock_Log[Part Name],$A58,T_SelfStock_Log[WeekIndex],25))</f>
        <v/>
      </c>
      <c r="AA58" s="17">
        <f>IF(COUNTIFS(T_SelfStock_Log[Part Name],$A58,T_SelfStock_Log[WeekIndex],26)=0,"",SUMIFS(T_SelfStock_Log[Self_Qty],T_SelfStock_Log[Part Name],$A58,T_SelfStock_Log[WeekIndex],26))</f>
        <v/>
      </c>
      <c r="AB58" s="17">
        <f>IF(COUNTIFS(T_SelfStock_Log[Part Name],$A58,T_SelfStock_Log[WeekIndex],27)=0,"",SUMIFS(T_SelfStock_Log[Self_Qty],T_SelfStock_Log[Part Name],$A58,T_SelfStock_Log[WeekIndex],27))</f>
        <v/>
      </c>
      <c r="AC58" s="17">
        <f>IF(COUNTIFS(T_SelfStock_Log[Part Name],$A58,T_SelfStock_Log[WeekIndex],28)=0,"",SUMIFS(T_SelfStock_Log[Self_Qty],T_SelfStock_Log[Part Name],$A58,T_SelfStock_Log[WeekIndex],28))</f>
        <v/>
      </c>
      <c r="AD58" s="17">
        <f>IF(COUNTIFS(T_SelfStock_Log[Part Name],$A58,T_SelfStock_Log[WeekIndex],29)=0,"",SUMIFS(T_SelfStock_Log[Self_Qty],T_SelfStock_Log[Part Name],$A58,T_SelfStock_Log[WeekIndex],29))</f>
        <v/>
      </c>
      <c r="AE58" s="17">
        <f>IF(COUNTIFS(T_SelfStock_Log[Part Name],$A58,T_SelfStock_Log[WeekIndex],30)=0,"",SUMIFS(T_SelfStock_Log[Self_Qty],T_SelfStock_Log[Part Name],$A58,T_SelfStock_Log[WeekIndex],30))</f>
        <v/>
      </c>
      <c r="AF58" s="17">
        <f>IF(COUNTIFS(T_SelfStock_Log[Part Name],$A58,T_SelfStock_Log[WeekIndex],31)=0,"",SUMIFS(T_SelfStock_Log[Self_Qty],T_SelfStock_Log[Part Name],$A58,T_SelfStock_Log[WeekIndex],31))</f>
        <v/>
      </c>
      <c r="AG58" s="17">
        <f>IF(COUNTIFS(T_SelfStock_Log[Part Name],$A58,T_SelfStock_Log[WeekIndex],32)=0,"",SUMIFS(T_SelfStock_Log[Self_Qty],T_SelfStock_Log[Part Name],$A58,T_SelfStock_Log[WeekIndex],32))</f>
        <v/>
      </c>
      <c r="AH58" s="17">
        <f>IF(COUNTIFS(T_SelfStock_Log[Part Name],$A58,T_SelfStock_Log[WeekIndex],33)=0,"",SUMIFS(T_SelfStock_Log[Self_Qty],T_SelfStock_Log[Part Name],$A58,T_SelfStock_Log[WeekIndex],33))</f>
        <v/>
      </c>
      <c r="AI58" s="17">
        <f>IF(COUNTIFS(T_SelfStock_Log[Part Name],$A58,T_SelfStock_Log[WeekIndex],34)=0,"",SUMIFS(T_SelfStock_Log[Self_Qty],T_SelfStock_Log[Part Name],$A58,T_SelfStock_Log[WeekIndex],34))</f>
        <v/>
      </c>
      <c r="AJ58" s="17">
        <f>IF(COUNTIFS(T_SelfStock_Log[Part Name],$A58,T_SelfStock_Log[WeekIndex],35)=0,"",SUMIFS(T_SelfStock_Log[Self_Qty],T_SelfStock_Log[Part Name],$A58,T_SelfStock_Log[WeekIndex],35))</f>
        <v/>
      </c>
      <c r="AK58" s="17">
        <f>IF(COUNTIFS(T_SelfStock_Log[Part Name],$A58,T_SelfStock_Log[WeekIndex],36)=0,"",SUMIFS(T_SelfStock_Log[Self_Qty],T_SelfStock_Log[Part Name],$A58,T_SelfStock_Log[WeekIndex],36))</f>
        <v/>
      </c>
      <c r="AL58" s="17">
        <f>IF(COUNTIFS(T_SelfStock_Log[Part Name],$A58,T_SelfStock_Log[WeekIndex],37)=0,"",SUMIFS(T_SelfStock_Log[Self_Qty],T_SelfStock_Log[Part Name],$A58,T_SelfStock_Log[WeekIndex],37))</f>
        <v/>
      </c>
      <c r="AM58" s="17">
        <f>IF(COUNTIFS(T_SelfStock_Log[Part Name],$A58,T_SelfStock_Log[WeekIndex],38)=0,"",SUMIFS(T_SelfStock_Log[Self_Qty],T_SelfStock_Log[Part Name],$A58,T_SelfStock_Log[WeekIndex],38))</f>
        <v/>
      </c>
      <c r="AN58" s="17">
        <f>IF(COUNTIFS(T_SelfStock_Log[Part Name],$A58,T_SelfStock_Log[WeekIndex],39)=0,"",SUMIFS(T_SelfStock_Log[Self_Qty],T_SelfStock_Log[Part Name],$A58,T_SelfStock_Log[WeekIndex],39))</f>
        <v/>
      </c>
      <c r="AO58" s="17">
        <f>IF(COUNTIFS(T_SelfStock_Log[Part Name],$A58,T_SelfStock_Log[WeekIndex],40)=0,"",SUMIFS(T_SelfStock_Log[Self_Qty],T_SelfStock_Log[Part Name],$A58,T_SelfStock_Log[WeekIndex],40))</f>
        <v/>
      </c>
      <c r="AP58" s="17">
        <f>IF(COUNTIFS(T_SelfStock_Log[Part Name],$A58,T_SelfStock_Log[WeekIndex],41)=0,"",SUMIFS(T_SelfStock_Log[Self_Qty],T_SelfStock_Log[Part Name],$A58,T_SelfStock_Log[WeekIndex],41))</f>
        <v/>
      </c>
      <c r="AQ58" s="17">
        <f>IF(COUNTIFS(T_SelfStock_Log[Part Name],$A58,T_SelfStock_Log[WeekIndex],42)=0,"",SUMIFS(T_SelfStock_Log[Self_Qty],T_SelfStock_Log[Part Name],$A58,T_SelfStock_Log[WeekIndex],42))</f>
        <v/>
      </c>
      <c r="AR58" s="17">
        <f>IF(COUNTIFS(T_SelfStock_Log[Part Name],$A58,T_SelfStock_Log[WeekIndex],43)=0,"",SUMIFS(T_SelfStock_Log[Self_Qty],T_SelfStock_Log[Part Name],$A58,T_SelfStock_Log[WeekIndex],43))</f>
        <v/>
      </c>
      <c r="AS58" s="17">
        <f>IF(COUNTIFS(T_SelfStock_Log[Part Name],$A58,T_SelfStock_Log[WeekIndex],44)=0,"",SUMIFS(T_SelfStock_Log[Self_Qty],T_SelfStock_Log[Part Name],$A58,T_SelfStock_Log[WeekIndex],44))</f>
        <v/>
      </c>
      <c r="AT58" s="17">
        <f>IF(COUNTIFS(T_SelfStock_Log[Part Name],$A58,T_SelfStock_Log[WeekIndex],45)=0,"",SUMIFS(T_SelfStock_Log[Self_Qty],T_SelfStock_Log[Part Name],$A58,T_SelfStock_Log[WeekIndex],45))</f>
        <v/>
      </c>
      <c r="AU58" s="17">
        <f>IF(COUNTIFS(T_SelfStock_Log[Part Name],$A58,T_SelfStock_Log[WeekIndex],46)=0,"",SUMIFS(T_SelfStock_Log[Self_Qty],T_SelfStock_Log[Part Name],$A58,T_SelfStock_Log[WeekIndex],46))</f>
        <v/>
      </c>
      <c r="AV58" s="17">
        <f>IF(COUNTIFS(T_SelfStock_Log[Part Name],$A58,T_SelfStock_Log[WeekIndex],47)=0,"",SUMIFS(T_SelfStock_Log[Self_Qty],T_SelfStock_Log[Part Name],$A58,T_SelfStock_Log[WeekIndex],47))</f>
        <v/>
      </c>
      <c r="AW58" s="17">
        <f>IF(COUNTIFS(T_SelfStock_Log[Part Name],$A58,T_SelfStock_Log[WeekIndex],48)=0,"",SUMIFS(T_SelfStock_Log[Self_Qty],T_SelfStock_Log[Part Name],$A58,T_SelfStock_Log[WeekIndex],48))</f>
        <v/>
      </c>
      <c r="AX58" s="17">
        <f>IF(COUNTIFS(T_SelfStock_Log[Part Name],$A58,T_SelfStock_Log[WeekIndex],49)=0,"",SUMIFS(T_SelfStock_Log[Self_Qty],T_SelfStock_Log[Part Name],$A58,T_SelfStock_Log[WeekIndex],49))</f>
        <v/>
      </c>
      <c r="AY58" s="17">
        <f>IF(COUNTIFS(T_SelfStock_Log[Part Name],$A58,T_SelfStock_Log[WeekIndex],50)=0,"",SUMIFS(T_SelfStock_Log[Self_Qty],T_SelfStock_Log[Part Name],$A58,T_SelfStock_Log[WeekIndex],50))</f>
        <v/>
      </c>
      <c r="AZ58" s="17">
        <f>IF(COUNTIFS(T_SelfStock_Log[Part Name],$A58,T_SelfStock_Log[WeekIndex],51)=0,"",SUMIFS(T_SelfStock_Log[Self_Qty],T_SelfStock_Log[Part Name],$A58,T_SelfStock_Log[WeekIndex],51))</f>
        <v/>
      </c>
      <c r="BA58" s="17">
        <f>IF(COUNTIFS(T_SelfStock_Log[Part Name],$A58,T_SelfStock_Log[WeekIndex],52)=0,"",SUMIFS(T_SelfStock_Log[Self_Qty],T_SelfStock_Log[Part Name],$A58,T_SelfStock_Log[WeekIndex],52))</f>
        <v/>
      </c>
      <c r="BB58" s="17">
        <f>IF(COUNTIFS(T_SelfStock_Log[Part Name],$A58,T_SelfStock_Log[WeekIndex],53)=0,"",SUMIFS(T_SelfStock_Log[Self_Qty],T_SelfStock_Log[Part Name],$A58,T_SelfStock_Log[WeekIndex],53))</f>
        <v/>
      </c>
      <c r="BC58" s="17">
        <f>IF(COUNTIFS(T_SelfStock_Log[Part Name],$A58,T_SelfStock_Log[WeekIndex],54)=0,"",SUMIFS(T_SelfStock_Log[Self_Qty],T_SelfStock_Log[Part Name],$A58,T_SelfStock_Log[WeekIndex],54))</f>
        <v/>
      </c>
      <c r="BD58" s="17">
        <f>IF(COUNTIFS(T_SelfStock_Log[Part Name],$A58,T_SelfStock_Log[WeekIndex],55)=0,"",SUMIFS(T_SelfStock_Log[Self_Qty],T_SelfStock_Log[Part Name],$A58,T_SelfStock_Log[WeekIndex],55))</f>
        <v/>
      </c>
      <c r="BE58" s="17">
        <f>IF(COUNTIFS(T_SelfStock_Log[Part Name],$A58,T_SelfStock_Log[WeekIndex],56)=0,"",SUMIFS(T_SelfStock_Log[Self_Qty],T_SelfStock_Log[Part Name],$A58,T_SelfStock_Log[WeekIndex],56))</f>
        <v/>
      </c>
      <c r="BF58" s="17">
        <f>IF(COUNTIFS(T_SelfStock_Log[Part Name],$A58,T_SelfStock_Log[WeekIndex],57)=0,"",SUMIFS(T_SelfStock_Log[Self_Qty],T_SelfStock_Log[Part Name],$A58,T_SelfStock_Log[WeekIndex],57))</f>
        <v/>
      </c>
      <c r="BG58" s="17">
        <f>IF(COUNTIFS(T_SelfStock_Log[Part Name],$A58,T_SelfStock_Log[WeekIndex],58)=0,"",SUMIFS(T_SelfStock_Log[Self_Qty],T_SelfStock_Log[Part Name],$A58,T_SelfStock_Log[WeekIndex],58))</f>
        <v/>
      </c>
      <c r="BH58" s="17">
        <f>IF(COUNTIFS(T_SelfStock_Log[Part Name],$A58,T_SelfStock_Log[WeekIndex],59)=0,"",SUMIFS(T_SelfStock_Log[Self_Qty],T_SelfStock_Log[Part Name],$A58,T_SelfStock_Log[WeekIndex],59))</f>
        <v/>
      </c>
      <c r="BI58" s="17">
        <f>IF(COUNTIFS(T_SelfStock_Log[Part Name],$A58,T_SelfStock_Log[WeekIndex],60)=0,"",SUMIFS(T_SelfStock_Log[Self_Qty],T_SelfStock_Log[Part Name],$A58,T_SelfStock_Log[WeekIndex],60))</f>
        <v/>
      </c>
      <c r="BJ58" s="17">
        <f>IF(COUNTIFS(T_SelfStock_Log[Part Name],$A58,T_SelfStock_Log[WeekIndex],61)=0,"",SUMIFS(T_SelfStock_Log[Self_Qty],T_SelfStock_Log[Part Name],$A58,T_SelfStock_Log[WeekIndex],61))</f>
        <v/>
      </c>
      <c r="BK58" s="17">
        <f>IF(COUNTIFS(T_SelfStock_Log[Part Name],$A58,T_SelfStock_Log[WeekIndex],62)=0,"",SUMIFS(T_SelfStock_Log[Self_Qty],T_SelfStock_Log[Part Name],$A58,T_SelfStock_Log[WeekIndex],62))</f>
        <v/>
      </c>
      <c r="BL58" s="17">
        <f>IF(COUNTIFS(T_SelfStock_Log[Part Name],$A58,T_SelfStock_Log[WeekIndex],63)=0,"",SUMIFS(T_SelfStock_Log[Self_Qty],T_SelfStock_Log[Part Name],$A58,T_SelfStock_Log[WeekIndex],63))</f>
        <v/>
      </c>
      <c r="BM58" s="17">
        <f>IF(COUNTIFS(T_SelfStock_Log[Part Name],$A58,T_SelfStock_Log[WeekIndex],64)=0,"",SUMIFS(T_SelfStock_Log[Self_Qty],T_SelfStock_Log[Part Name],$A58,T_SelfStock_Log[WeekIndex],64))</f>
        <v/>
      </c>
      <c r="BN58" s="17">
        <f>IF(COUNTIFS(T_SelfStock_Log[Part Name],$A58,T_SelfStock_Log[WeekIndex],65)=0,"",SUMIFS(T_SelfStock_Log[Self_Qty],T_SelfStock_Log[Part Name],$A58,T_SelfStock_Log[WeekIndex],65))</f>
        <v/>
      </c>
      <c r="BO58" s="17">
        <f>IF(COUNTIFS(T_SelfStock_Log[Part Name],$A58,T_SelfStock_Log[WeekIndex],66)=0,"",SUMIFS(T_SelfStock_Log[Self_Qty],T_SelfStock_Log[Part Name],$A58,T_SelfStock_Log[WeekIndex],66))</f>
        <v/>
      </c>
      <c r="BP58" s="17">
        <f>IF(COUNTIFS(T_SelfStock_Log[Part Name],$A58,T_SelfStock_Log[WeekIndex],67)=0,"",SUMIFS(T_SelfStock_Log[Self_Qty],T_SelfStock_Log[Part Name],$A58,T_SelfStock_Log[WeekIndex],67))</f>
        <v/>
      </c>
      <c r="BQ58" s="17">
        <f>IF(COUNTIFS(T_SelfStock_Log[Part Name],$A58,T_SelfStock_Log[WeekIndex],68)=0,"",SUMIFS(T_SelfStock_Log[Self_Qty],T_SelfStock_Log[Part Name],$A58,T_SelfStock_Log[WeekIndex],68))</f>
        <v/>
      </c>
      <c r="BR58" s="17">
        <f>IF(COUNTIFS(T_SelfStock_Log[Part Name],$A58,T_SelfStock_Log[WeekIndex],69)=0,"",SUMIFS(T_SelfStock_Log[Self_Qty],T_SelfStock_Log[Part Name],$A58,T_SelfStock_Log[WeekIndex],69))</f>
        <v/>
      </c>
      <c r="BS58" s="17">
        <f>IF(COUNTIFS(T_SelfStock_Log[Part Name],$A58,T_SelfStock_Log[WeekIndex],70)=0,"",SUMIFS(T_SelfStock_Log[Self_Qty],T_SelfStock_Log[Part Name],$A58,T_SelfStock_Log[WeekIndex],70))</f>
        <v/>
      </c>
      <c r="BT58" s="17">
        <f>IF(COUNTIFS(T_SelfStock_Log[Part Name],$A58,T_SelfStock_Log[WeekIndex],71)=0,"",SUMIFS(T_SelfStock_Log[Self_Qty],T_SelfStock_Log[Part Name],$A58,T_SelfStock_Log[WeekIndex],71))</f>
        <v/>
      </c>
      <c r="BU58" s="17">
        <f>IF(COUNTIFS(T_SelfStock_Log[Part Name],$A58,T_SelfStock_Log[WeekIndex],72)=0,"",SUMIFS(T_SelfStock_Log[Self_Qty],T_SelfStock_Log[Part Name],$A58,T_SelfStock_Log[WeekIndex],72))</f>
        <v/>
      </c>
      <c r="BV58" s="17">
        <f>IF(COUNTIFS(T_SelfStock_Log[Part Name],$A58,T_SelfStock_Log[WeekIndex],73)=0,"",SUMIFS(T_SelfStock_Log[Self_Qty],T_SelfStock_Log[Part Name],$A58,T_SelfStock_Log[WeekIndex],73))</f>
        <v/>
      </c>
      <c r="BW58" s="17">
        <f>IF(COUNTIFS(T_SelfStock_Log[Part Name],$A58,T_SelfStock_Log[WeekIndex],74)=0,"",SUMIFS(T_SelfStock_Log[Self_Qty],T_SelfStock_Log[Part Name],$A58,T_SelfStock_Log[WeekIndex],74))</f>
        <v/>
      </c>
      <c r="BX58" s="17">
        <f>IF(COUNTIFS(T_SelfStock_Log[Part Name],$A58,T_SelfStock_Log[WeekIndex],75)=0,"",SUMIFS(T_SelfStock_Log[Self_Qty],T_SelfStock_Log[Part Name],$A58,T_SelfStock_Log[WeekIndex],75))</f>
        <v/>
      </c>
      <c r="BY58" s="17">
        <f>IF(COUNTIFS(T_SelfStock_Log[Part Name],$A58,T_SelfStock_Log[WeekIndex],76)=0,"",SUMIFS(T_SelfStock_Log[Self_Qty],T_SelfStock_Log[Part Name],$A58,T_SelfStock_Log[WeekIndex],76))</f>
        <v/>
      </c>
      <c r="BZ58" s="17">
        <f>IF(COUNTIFS(T_SelfStock_Log[Part Name],$A58,T_SelfStock_Log[WeekIndex],77)=0,"",SUMIFS(T_SelfStock_Log[Self_Qty],T_SelfStock_Log[Part Name],$A58,T_SelfStock_Log[WeekIndex],77))</f>
        <v/>
      </c>
      <c r="CA58" s="17">
        <f>IF(COUNTIFS(T_SelfStock_Log[Part Name],$A58,T_SelfStock_Log[WeekIndex],78)=0,"",SUMIFS(T_SelfStock_Log[Self_Qty],T_SelfStock_Log[Part Name],$A58,T_SelfStock_Log[WeekIndex],78))</f>
        <v/>
      </c>
      <c r="CB58" s="17">
        <f>IF(COUNTIFS(T_SelfStock_Log[Part Name],$A58,T_SelfStock_Log[WeekIndex],79)=0,"",SUMIFS(T_SelfStock_Log[Self_Qty],T_SelfStock_Log[Part Name],$A58,T_SelfStock_Log[WeekIndex],79))</f>
        <v/>
      </c>
      <c r="CC58" s="17">
        <f>IF(COUNTIFS(T_SelfStock_Log[Part Name],$A58,T_SelfStock_Log[WeekIndex],80)=0,"",SUMIFS(T_SelfStock_Log[Self_Qty],T_SelfStock_Log[Part Name],$A58,T_SelfStock_Log[WeekIndex],80))</f>
        <v/>
      </c>
      <c r="CD58" s="17">
        <f>IF(COUNTIFS(T_SelfStock_Log[Part Name],$A58,T_SelfStock_Log[WeekIndex],81)=0,"",SUMIFS(T_SelfStock_Log[Self_Qty],T_SelfStock_Log[Part Name],$A58,T_SelfStock_Log[WeekIndex],81))</f>
        <v/>
      </c>
      <c r="CE58" s="17">
        <f>IF(COUNTIFS(T_SelfStock_Log[Part Name],$A58,T_SelfStock_Log[WeekIndex],82)=0,"",SUMIFS(T_SelfStock_Log[Self_Qty],T_SelfStock_Log[Part Name],$A58,T_SelfStock_Log[WeekIndex],82))</f>
        <v/>
      </c>
      <c r="CF58" s="17">
        <f>IF(COUNTIFS(T_SelfStock_Log[Part Name],$A58,T_SelfStock_Log[WeekIndex],83)=0,"",SUMIFS(T_SelfStock_Log[Self_Qty],T_SelfStock_Log[Part Name],$A58,T_SelfStock_Log[WeekIndex],83))</f>
        <v/>
      </c>
      <c r="CG58" s="17">
        <f>IF(COUNTIFS(T_SelfStock_Log[Part Name],$A58,T_SelfStock_Log[WeekIndex],84)=0,"",SUMIFS(T_SelfStock_Log[Self_Qty],T_SelfStock_Log[Part Name],$A58,T_SelfStock_Log[WeekIndex],84))</f>
        <v/>
      </c>
      <c r="CH58" s="17">
        <f>IF(COUNTIFS(T_SelfStock_Log[Part Name],$A58,T_SelfStock_Log[WeekIndex],85)=0,"",SUMIFS(T_SelfStock_Log[Self_Qty],T_SelfStock_Log[Part Name],$A58,T_SelfStock_Log[WeekIndex],85))</f>
        <v/>
      </c>
      <c r="CI58" s="17">
        <f>IF(COUNTIFS(T_SelfStock_Log[Part Name],$A58,T_SelfStock_Log[WeekIndex],86)=0,"",SUMIFS(T_SelfStock_Log[Self_Qty],T_SelfStock_Log[Part Name],$A58,T_SelfStock_Log[WeekIndex],86))</f>
        <v/>
      </c>
      <c r="CJ58" s="17">
        <f>IF(COUNTIFS(T_SelfStock_Log[Part Name],$A58,T_SelfStock_Log[WeekIndex],87)=0,"",SUMIFS(T_SelfStock_Log[Self_Qty],T_SelfStock_Log[Part Name],$A58,T_SelfStock_Log[WeekIndex],87))</f>
        <v/>
      </c>
      <c r="CK58" s="17">
        <f>IF(COUNTIFS(T_SelfStock_Log[Part Name],$A58,T_SelfStock_Log[WeekIndex],88)=0,"",SUMIFS(T_SelfStock_Log[Self_Qty],T_SelfStock_Log[Part Name],$A58,T_SelfStock_Log[WeekIndex],88))</f>
        <v/>
      </c>
      <c r="CL58" s="17">
        <f>IF(COUNTIFS(T_SelfStock_Log[Part Name],$A58,T_SelfStock_Log[WeekIndex],89)=0,"",SUMIFS(T_SelfStock_Log[Self_Qty],T_SelfStock_Log[Part Name],$A58,T_SelfStock_Log[WeekIndex],89))</f>
        <v/>
      </c>
      <c r="CM58" s="17">
        <f>IF(COUNTIFS(T_SelfStock_Log[Part Name],$A58,T_SelfStock_Log[WeekIndex],90)=0,"",SUMIFS(T_SelfStock_Log[Self_Qty],T_SelfStock_Log[Part Name],$A58,T_SelfStock_Log[WeekIndex],90))</f>
        <v/>
      </c>
      <c r="CN58" s="17">
        <f>IF(COUNTIFS(T_SelfStock_Log[Part Name],$A58,T_SelfStock_Log[WeekIndex],91)=0,"",SUMIFS(T_SelfStock_Log[Self_Qty],T_SelfStock_Log[Part Name],$A58,T_SelfStock_Log[WeekIndex],91))</f>
        <v/>
      </c>
      <c r="CO58" s="17">
        <f>IF(COUNTIFS(T_SelfStock_Log[Part Name],$A58,T_SelfStock_Log[WeekIndex],92)=0,"",SUMIFS(T_SelfStock_Log[Self_Qty],T_SelfStock_Log[Part Name],$A58,T_SelfStock_Log[WeekIndex],92))</f>
        <v/>
      </c>
      <c r="CP58" s="17">
        <f>IF(COUNTIFS(T_SelfStock_Log[Part Name],$A58,T_SelfStock_Log[WeekIndex],93)=0,"",SUMIFS(T_SelfStock_Log[Self_Qty],T_SelfStock_Log[Part Name],$A58,T_SelfStock_Log[WeekIndex],93))</f>
        <v/>
      </c>
      <c r="CQ58" s="17">
        <f>IF(COUNTIFS(T_SelfStock_Log[Part Name],$A58,T_SelfStock_Log[WeekIndex],94)=0,"",SUMIFS(T_SelfStock_Log[Self_Qty],T_SelfStock_Log[Part Name],$A58,T_SelfStock_Log[WeekIndex],94))</f>
        <v/>
      </c>
      <c r="CR58" s="17">
        <f>IF(COUNTIFS(T_SelfStock_Log[Part Name],$A58,T_SelfStock_Log[WeekIndex],95)=0,"",SUMIFS(T_SelfStock_Log[Self_Qty],T_SelfStock_Log[Part Name],$A58,T_SelfStock_Log[WeekIndex],95))</f>
        <v/>
      </c>
      <c r="CS58" s="17">
        <f>IF(COUNTIFS(T_SelfStock_Log[Part Name],$A58,T_SelfStock_Log[WeekIndex],96)=0,"",SUMIFS(T_SelfStock_Log[Self_Qty],T_SelfStock_Log[Part Name],$A58,T_SelfStock_Log[WeekIndex],96))</f>
        <v/>
      </c>
      <c r="CT58" s="17">
        <f>IF(COUNTIFS(T_SelfStock_Log[Part Name],$A58,T_SelfStock_Log[WeekIndex],97)=0,"",SUMIFS(T_SelfStock_Log[Self_Qty],T_SelfStock_Log[Part Name],$A58,T_SelfStock_Log[WeekIndex],97))</f>
        <v/>
      </c>
      <c r="CU58" s="17">
        <f>IF(COUNTIFS(T_SelfStock_Log[Part Name],$A58,T_SelfStock_Log[WeekIndex],98)=0,"",SUMIFS(T_SelfStock_Log[Self_Qty],T_SelfStock_Log[Part Name],$A58,T_SelfStock_Log[WeekIndex],98))</f>
        <v/>
      </c>
      <c r="CV58" s="17">
        <f>IF(COUNTIFS(T_SelfStock_Log[Part Name],$A58,T_SelfStock_Log[WeekIndex],99)=0,"",SUMIFS(T_SelfStock_Log[Self_Qty],T_SelfStock_Log[Part Name],$A58,T_SelfStock_Log[WeekIndex],99))</f>
        <v/>
      </c>
      <c r="CW58" s="17">
        <f>IF(COUNTIFS(T_SelfStock_Log[Part Name],$A58,T_SelfStock_Log[WeekIndex],100)=0,"",SUMIFS(T_SelfStock_Log[Self_Qty],T_SelfStock_Log[Part Name],$A58,T_SelfStock_Log[WeekIndex],100))</f>
        <v/>
      </c>
      <c r="CX58" s="17">
        <f>IF(COUNTIFS(T_SelfStock_Log[Part Name],$A58,T_SelfStock_Log[WeekIndex],101)=0,"",SUMIFS(T_SelfStock_Log[Self_Qty],T_SelfStock_Log[Part Name],$A58,T_SelfStock_Log[WeekIndex],101))</f>
        <v/>
      </c>
      <c r="CY58" s="17">
        <f>IF(COUNTIFS(T_SelfStock_Log[Part Name],$A58,T_SelfStock_Log[WeekIndex],102)=0,"",SUMIFS(T_SelfStock_Log[Self_Qty],T_SelfStock_Log[Part Name],$A58,T_SelfStock_Log[WeekIndex],102))</f>
        <v/>
      </c>
      <c r="CZ58" s="17">
        <f>IF(COUNTIFS(T_SelfStock_Log[Part Name],$A58,T_SelfStock_Log[WeekIndex],103)=0,"",SUMIFS(T_SelfStock_Log[Self_Qty],T_SelfStock_Log[Part Name],$A58,T_SelfStock_Log[WeekIndex],103))</f>
        <v/>
      </c>
      <c r="DA58" s="17">
        <f>IF(COUNTIFS(T_SelfStock_Log[Part Name],$A58,T_SelfStock_Log[WeekIndex],104)=0,"",SUMIFS(T_SelfStock_Log[Self_Qty],T_SelfStock_Log[Part Name],$A58,T_SelfStock_Log[WeekIndex],104))</f>
        <v/>
      </c>
    </row>
    <row r="59">
      <c r="A59" s="19" t="inlineStr">
        <is>
          <t>Original Towel</t>
        </is>
      </c>
      <c r="B59" s="19">
        <f>IF(COUNTIFS(T_SelfStock_Log[Part Name],$A59,T_SelfStock_Log[WeekIndex],1)=0,"",SUMIFS(T_SelfStock_Log[Self_Qty],T_SelfStock_Log[Part Name],$A59,T_SelfStock_Log[WeekIndex],1))</f>
        <v/>
      </c>
      <c r="C59" s="19">
        <f>IF(COUNTIFS(T_SelfStock_Log[Part Name],$A59,T_SelfStock_Log[WeekIndex],2)=0,"",SUMIFS(T_SelfStock_Log[Self_Qty],T_SelfStock_Log[Part Name],$A59,T_SelfStock_Log[WeekIndex],2))</f>
        <v/>
      </c>
      <c r="D59" s="19">
        <f>IF(COUNTIFS(T_SelfStock_Log[Part Name],$A59,T_SelfStock_Log[WeekIndex],3)=0,"",SUMIFS(T_SelfStock_Log[Self_Qty],T_SelfStock_Log[Part Name],$A59,T_SelfStock_Log[WeekIndex],3))</f>
        <v/>
      </c>
      <c r="E59" s="19">
        <f>IF(COUNTIFS(T_SelfStock_Log[Part Name],$A59,T_SelfStock_Log[WeekIndex],4)=0,"",SUMIFS(T_SelfStock_Log[Self_Qty],T_SelfStock_Log[Part Name],$A59,T_SelfStock_Log[WeekIndex],4))</f>
        <v/>
      </c>
      <c r="F59" s="19">
        <f>IF(COUNTIFS(T_SelfStock_Log[Part Name],$A59,T_SelfStock_Log[WeekIndex],5)=0,"",SUMIFS(T_SelfStock_Log[Self_Qty],T_SelfStock_Log[Part Name],$A59,T_SelfStock_Log[WeekIndex],5))</f>
        <v/>
      </c>
      <c r="G59" s="19">
        <f>IF(COUNTIFS(T_SelfStock_Log[Part Name],$A59,T_SelfStock_Log[WeekIndex],6)=0,"",SUMIFS(T_SelfStock_Log[Self_Qty],T_SelfStock_Log[Part Name],$A59,T_SelfStock_Log[WeekIndex],6))</f>
        <v/>
      </c>
      <c r="H59" s="19">
        <f>IF(COUNTIFS(T_SelfStock_Log[Part Name],$A59,T_SelfStock_Log[WeekIndex],7)=0,"",SUMIFS(T_SelfStock_Log[Self_Qty],T_SelfStock_Log[Part Name],$A59,T_SelfStock_Log[WeekIndex],7))</f>
        <v/>
      </c>
      <c r="I59" s="19">
        <f>IF(COUNTIFS(T_SelfStock_Log[Part Name],$A59,T_SelfStock_Log[WeekIndex],8)=0,"",SUMIFS(T_SelfStock_Log[Self_Qty],T_SelfStock_Log[Part Name],$A59,T_SelfStock_Log[WeekIndex],8))</f>
        <v/>
      </c>
      <c r="J59" s="19">
        <f>IF(COUNTIFS(T_SelfStock_Log[Part Name],$A59,T_SelfStock_Log[WeekIndex],9)=0,"",SUMIFS(T_SelfStock_Log[Self_Qty],T_SelfStock_Log[Part Name],$A59,T_SelfStock_Log[WeekIndex],9))</f>
        <v/>
      </c>
      <c r="K59" s="19">
        <f>IF(COUNTIFS(T_SelfStock_Log[Part Name],$A59,T_SelfStock_Log[WeekIndex],10)=0,"",SUMIFS(T_SelfStock_Log[Self_Qty],T_SelfStock_Log[Part Name],$A59,T_SelfStock_Log[WeekIndex],10))</f>
        <v/>
      </c>
      <c r="L59" s="19">
        <f>IF(COUNTIFS(T_SelfStock_Log[Part Name],$A59,T_SelfStock_Log[WeekIndex],11)=0,"",SUMIFS(T_SelfStock_Log[Self_Qty],T_SelfStock_Log[Part Name],$A59,T_SelfStock_Log[WeekIndex],11))</f>
        <v/>
      </c>
      <c r="M59" s="19">
        <f>IF(COUNTIFS(T_SelfStock_Log[Part Name],$A59,T_SelfStock_Log[WeekIndex],12)=0,"",SUMIFS(T_SelfStock_Log[Self_Qty],T_SelfStock_Log[Part Name],$A59,T_SelfStock_Log[WeekIndex],12))</f>
        <v/>
      </c>
      <c r="N59" s="19">
        <f>IF(COUNTIFS(T_SelfStock_Log[Part Name],$A59,T_SelfStock_Log[WeekIndex],13)=0,"",SUMIFS(T_SelfStock_Log[Self_Qty],T_SelfStock_Log[Part Name],$A59,T_SelfStock_Log[WeekIndex],13))</f>
        <v/>
      </c>
      <c r="O59" s="19">
        <f>IF(COUNTIFS(T_SelfStock_Log[Part Name],$A59,T_SelfStock_Log[WeekIndex],14)=0,"",SUMIFS(T_SelfStock_Log[Self_Qty],T_SelfStock_Log[Part Name],$A59,T_SelfStock_Log[WeekIndex],14))</f>
        <v/>
      </c>
      <c r="P59" s="19">
        <f>IF(COUNTIFS(T_SelfStock_Log[Part Name],$A59,T_SelfStock_Log[WeekIndex],15)=0,"",SUMIFS(T_SelfStock_Log[Self_Qty],T_SelfStock_Log[Part Name],$A59,T_SelfStock_Log[WeekIndex],15))</f>
        <v/>
      </c>
      <c r="Q59" s="19">
        <f>IF(COUNTIFS(T_SelfStock_Log[Part Name],$A59,T_SelfStock_Log[WeekIndex],16)=0,"",SUMIFS(T_SelfStock_Log[Self_Qty],T_SelfStock_Log[Part Name],$A59,T_SelfStock_Log[WeekIndex],16))</f>
        <v/>
      </c>
      <c r="R59" s="19">
        <f>IF(COUNTIFS(T_SelfStock_Log[Part Name],$A59,T_SelfStock_Log[WeekIndex],17)=0,"",SUMIFS(T_SelfStock_Log[Self_Qty],T_SelfStock_Log[Part Name],$A59,T_SelfStock_Log[WeekIndex],17))</f>
        <v/>
      </c>
      <c r="S59" s="19">
        <f>IF(COUNTIFS(T_SelfStock_Log[Part Name],$A59,T_SelfStock_Log[WeekIndex],18)=0,"",SUMIFS(T_SelfStock_Log[Self_Qty],T_SelfStock_Log[Part Name],$A59,T_SelfStock_Log[WeekIndex],18))</f>
        <v/>
      </c>
      <c r="T59" s="19">
        <f>IF(COUNTIFS(T_SelfStock_Log[Part Name],$A59,T_SelfStock_Log[WeekIndex],19)=0,"",SUMIFS(T_SelfStock_Log[Self_Qty],T_SelfStock_Log[Part Name],$A59,T_SelfStock_Log[WeekIndex],19))</f>
        <v/>
      </c>
      <c r="U59" s="19">
        <f>IF(COUNTIFS(T_SelfStock_Log[Part Name],$A59,T_SelfStock_Log[WeekIndex],20)=0,"",SUMIFS(T_SelfStock_Log[Self_Qty],T_SelfStock_Log[Part Name],$A59,T_SelfStock_Log[WeekIndex],20))</f>
        <v/>
      </c>
      <c r="V59" s="19">
        <f>IF(COUNTIFS(T_SelfStock_Log[Part Name],$A59,T_SelfStock_Log[WeekIndex],21)=0,"",SUMIFS(T_SelfStock_Log[Self_Qty],T_SelfStock_Log[Part Name],$A59,T_SelfStock_Log[WeekIndex],21))</f>
        <v/>
      </c>
      <c r="W59" s="19">
        <f>IF(COUNTIFS(T_SelfStock_Log[Part Name],$A59,T_SelfStock_Log[WeekIndex],22)=0,"",SUMIFS(T_SelfStock_Log[Self_Qty],T_SelfStock_Log[Part Name],$A59,T_SelfStock_Log[WeekIndex],22))</f>
        <v/>
      </c>
      <c r="X59" s="19">
        <f>IF(COUNTIFS(T_SelfStock_Log[Part Name],$A59,T_SelfStock_Log[WeekIndex],23)=0,"",SUMIFS(T_SelfStock_Log[Self_Qty],T_SelfStock_Log[Part Name],$A59,T_SelfStock_Log[WeekIndex],23))</f>
        <v/>
      </c>
      <c r="Y59" s="19">
        <f>IF(COUNTIFS(T_SelfStock_Log[Part Name],$A59,T_SelfStock_Log[WeekIndex],24)=0,"",SUMIFS(T_SelfStock_Log[Self_Qty],T_SelfStock_Log[Part Name],$A59,T_SelfStock_Log[WeekIndex],24))</f>
        <v/>
      </c>
      <c r="Z59" s="19">
        <f>IF(COUNTIFS(T_SelfStock_Log[Part Name],$A59,T_SelfStock_Log[WeekIndex],25)=0,"",SUMIFS(T_SelfStock_Log[Self_Qty],T_SelfStock_Log[Part Name],$A59,T_SelfStock_Log[WeekIndex],25))</f>
        <v/>
      </c>
      <c r="AA59" s="19">
        <f>IF(COUNTIFS(T_SelfStock_Log[Part Name],$A59,T_SelfStock_Log[WeekIndex],26)=0,"",SUMIFS(T_SelfStock_Log[Self_Qty],T_SelfStock_Log[Part Name],$A59,T_SelfStock_Log[WeekIndex],26))</f>
        <v/>
      </c>
      <c r="AB59" s="19">
        <f>IF(COUNTIFS(T_SelfStock_Log[Part Name],$A59,T_SelfStock_Log[WeekIndex],27)=0,"",SUMIFS(T_SelfStock_Log[Self_Qty],T_SelfStock_Log[Part Name],$A59,T_SelfStock_Log[WeekIndex],27))</f>
        <v/>
      </c>
      <c r="AC59" s="19">
        <f>IF(COUNTIFS(T_SelfStock_Log[Part Name],$A59,T_SelfStock_Log[WeekIndex],28)=0,"",SUMIFS(T_SelfStock_Log[Self_Qty],T_SelfStock_Log[Part Name],$A59,T_SelfStock_Log[WeekIndex],28))</f>
        <v/>
      </c>
      <c r="AD59" s="19">
        <f>IF(COUNTIFS(T_SelfStock_Log[Part Name],$A59,T_SelfStock_Log[WeekIndex],29)=0,"",SUMIFS(T_SelfStock_Log[Self_Qty],T_SelfStock_Log[Part Name],$A59,T_SelfStock_Log[WeekIndex],29))</f>
        <v/>
      </c>
      <c r="AE59" s="19">
        <f>IF(COUNTIFS(T_SelfStock_Log[Part Name],$A59,T_SelfStock_Log[WeekIndex],30)=0,"",SUMIFS(T_SelfStock_Log[Self_Qty],T_SelfStock_Log[Part Name],$A59,T_SelfStock_Log[WeekIndex],30))</f>
        <v/>
      </c>
      <c r="AF59" s="19">
        <f>IF(COUNTIFS(T_SelfStock_Log[Part Name],$A59,T_SelfStock_Log[WeekIndex],31)=0,"",SUMIFS(T_SelfStock_Log[Self_Qty],T_SelfStock_Log[Part Name],$A59,T_SelfStock_Log[WeekIndex],31))</f>
        <v/>
      </c>
      <c r="AG59" s="19">
        <f>IF(COUNTIFS(T_SelfStock_Log[Part Name],$A59,T_SelfStock_Log[WeekIndex],32)=0,"",SUMIFS(T_SelfStock_Log[Self_Qty],T_SelfStock_Log[Part Name],$A59,T_SelfStock_Log[WeekIndex],32))</f>
        <v/>
      </c>
      <c r="AH59" s="19">
        <f>IF(COUNTIFS(T_SelfStock_Log[Part Name],$A59,T_SelfStock_Log[WeekIndex],33)=0,"",SUMIFS(T_SelfStock_Log[Self_Qty],T_SelfStock_Log[Part Name],$A59,T_SelfStock_Log[WeekIndex],33))</f>
        <v/>
      </c>
      <c r="AI59" s="19">
        <f>IF(COUNTIFS(T_SelfStock_Log[Part Name],$A59,T_SelfStock_Log[WeekIndex],34)=0,"",SUMIFS(T_SelfStock_Log[Self_Qty],T_SelfStock_Log[Part Name],$A59,T_SelfStock_Log[WeekIndex],34))</f>
        <v/>
      </c>
      <c r="AJ59" s="19">
        <f>IF(COUNTIFS(T_SelfStock_Log[Part Name],$A59,T_SelfStock_Log[WeekIndex],35)=0,"",SUMIFS(T_SelfStock_Log[Self_Qty],T_SelfStock_Log[Part Name],$A59,T_SelfStock_Log[WeekIndex],35))</f>
        <v/>
      </c>
      <c r="AK59" s="19">
        <f>IF(COUNTIFS(T_SelfStock_Log[Part Name],$A59,T_SelfStock_Log[WeekIndex],36)=0,"",SUMIFS(T_SelfStock_Log[Self_Qty],T_SelfStock_Log[Part Name],$A59,T_SelfStock_Log[WeekIndex],36))</f>
        <v/>
      </c>
      <c r="AL59" s="19">
        <f>IF(COUNTIFS(T_SelfStock_Log[Part Name],$A59,T_SelfStock_Log[WeekIndex],37)=0,"",SUMIFS(T_SelfStock_Log[Self_Qty],T_SelfStock_Log[Part Name],$A59,T_SelfStock_Log[WeekIndex],37))</f>
        <v/>
      </c>
      <c r="AM59" s="19">
        <f>IF(COUNTIFS(T_SelfStock_Log[Part Name],$A59,T_SelfStock_Log[WeekIndex],38)=0,"",SUMIFS(T_SelfStock_Log[Self_Qty],T_SelfStock_Log[Part Name],$A59,T_SelfStock_Log[WeekIndex],38))</f>
        <v/>
      </c>
      <c r="AN59" s="19">
        <f>IF(COUNTIFS(T_SelfStock_Log[Part Name],$A59,T_SelfStock_Log[WeekIndex],39)=0,"",SUMIFS(T_SelfStock_Log[Self_Qty],T_SelfStock_Log[Part Name],$A59,T_SelfStock_Log[WeekIndex],39))</f>
        <v/>
      </c>
      <c r="AO59" s="19">
        <f>IF(COUNTIFS(T_SelfStock_Log[Part Name],$A59,T_SelfStock_Log[WeekIndex],40)=0,"",SUMIFS(T_SelfStock_Log[Self_Qty],T_SelfStock_Log[Part Name],$A59,T_SelfStock_Log[WeekIndex],40))</f>
        <v/>
      </c>
      <c r="AP59" s="19">
        <f>IF(COUNTIFS(T_SelfStock_Log[Part Name],$A59,T_SelfStock_Log[WeekIndex],41)=0,"",SUMIFS(T_SelfStock_Log[Self_Qty],T_SelfStock_Log[Part Name],$A59,T_SelfStock_Log[WeekIndex],41))</f>
        <v/>
      </c>
      <c r="AQ59" s="19">
        <f>IF(COUNTIFS(T_SelfStock_Log[Part Name],$A59,T_SelfStock_Log[WeekIndex],42)=0,"",SUMIFS(T_SelfStock_Log[Self_Qty],T_SelfStock_Log[Part Name],$A59,T_SelfStock_Log[WeekIndex],42))</f>
        <v/>
      </c>
      <c r="AR59" s="19">
        <f>IF(COUNTIFS(T_SelfStock_Log[Part Name],$A59,T_SelfStock_Log[WeekIndex],43)=0,"",SUMIFS(T_SelfStock_Log[Self_Qty],T_SelfStock_Log[Part Name],$A59,T_SelfStock_Log[WeekIndex],43))</f>
        <v/>
      </c>
      <c r="AS59" s="19">
        <f>IF(COUNTIFS(T_SelfStock_Log[Part Name],$A59,T_SelfStock_Log[WeekIndex],44)=0,"",SUMIFS(T_SelfStock_Log[Self_Qty],T_SelfStock_Log[Part Name],$A59,T_SelfStock_Log[WeekIndex],44))</f>
        <v/>
      </c>
      <c r="AT59" s="19">
        <f>IF(COUNTIFS(T_SelfStock_Log[Part Name],$A59,T_SelfStock_Log[WeekIndex],45)=0,"",SUMIFS(T_SelfStock_Log[Self_Qty],T_SelfStock_Log[Part Name],$A59,T_SelfStock_Log[WeekIndex],45))</f>
        <v/>
      </c>
      <c r="AU59" s="19">
        <f>IF(COUNTIFS(T_SelfStock_Log[Part Name],$A59,T_SelfStock_Log[WeekIndex],46)=0,"",SUMIFS(T_SelfStock_Log[Self_Qty],T_SelfStock_Log[Part Name],$A59,T_SelfStock_Log[WeekIndex],46))</f>
        <v/>
      </c>
      <c r="AV59" s="19">
        <f>IF(COUNTIFS(T_SelfStock_Log[Part Name],$A59,T_SelfStock_Log[WeekIndex],47)=0,"",SUMIFS(T_SelfStock_Log[Self_Qty],T_SelfStock_Log[Part Name],$A59,T_SelfStock_Log[WeekIndex],47))</f>
        <v/>
      </c>
      <c r="AW59" s="19">
        <f>IF(COUNTIFS(T_SelfStock_Log[Part Name],$A59,T_SelfStock_Log[WeekIndex],48)=0,"",SUMIFS(T_SelfStock_Log[Self_Qty],T_SelfStock_Log[Part Name],$A59,T_SelfStock_Log[WeekIndex],48))</f>
        <v/>
      </c>
      <c r="AX59" s="19">
        <f>IF(COUNTIFS(T_SelfStock_Log[Part Name],$A59,T_SelfStock_Log[WeekIndex],49)=0,"",SUMIFS(T_SelfStock_Log[Self_Qty],T_SelfStock_Log[Part Name],$A59,T_SelfStock_Log[WeekIndex],49))</f>
        <v/>
      </c>
      <c r="AY59" s="19">
        <f>IF(COUNTIFS(T_SelfStock_Log[Part Name],$A59,T_SelfStock_Log[WeekIndex],50)=0,"",SUMIFS(T_SelfStock_Log[Self_Qty],T_SelfStock_Log[Part Name],$A59,T_SelfStock_Log[WeekIndex],50))</f>
        <v/>
      </c>
      <c r="AZ59" s="19">
        <f>IF(COUNTIFS(T_SelfStock_Log[Part Name],$A59,T_SelfStock_Log[WeekIndex],51)=0,"",SUMIFS(T_SelfStock_Log[Self_Qty],T_SelfStock_Log[Part Name],$A59,T_SelfStock_Log[WeekIndex],51))</f>
        <v/>
      </c>
      <c r="BA59" s="19">
        <f>IF(COUNTIFS(T_SelfStock_Log[Part Name],$A59,T_SelfStock_Log[WeekIndex],52)=0,"",SUMIFS(T_SelfStock_Log[Self_Qty],T_SelfStock_Log[Part Name],$A59,T_SelfStock_Log[WeekIndex],52))</f>
        <v/>
      </c>
      <c r="BB59" s="19">
        <f>IF(COUNTIFS(T_SelfStock_Log[Part Name],$A59,T_SelfStock_Log[WeekIndex],53)=0,"",SUMIFS(T_SelfStock_Log[Self_Qty],T_SelfStock_Log[Part Name],$A59,T_SelfStock_Log[WeekIndex],53))</f>
        <v/>
      </c>
      <c r="BC59" s="19">
        <f>IF(COUNTIFS(T_SelfStock_Log[Part Name],$A59,T_SelfStock_Log[WeekIndex],54)=0,"",SUMIFS(T_SelfStock_Log[Self_Qty],T_SelfStock_Log[Part Name],$A59,T_SelfStock_Log[WeekIndex],54))</f>
        <v/>
      </c>
      <c r="BD59" s="19">
        <f>IF(COUNTIFS(T_SelfStock_Log[Part Name],$A59,T_SelfStock_Log[WeekIndex],55)=0,"",SUMIFS(T_SelfStock_Log[Self_Qty],T_SelfStock_Log[Part Name],$A59,T_SelfStock_Log[WeekIndex],55))</f>
        <v/>
      </c>
      <c r="BE59" s="19">
        <f>IF(COUNTIFS(T_SelfStock_Log[Part Name],$A59,T_SelfStock_Log[WeekIndex],56)=0,"",SUMIFS(T_SelfStock_Log[Self_Qty],T_SelfStock_Log[Part Name],$A59,T_SelfStock_Log[WeekIndex],56))</f>
        <v/>
      </c>
      <c r="BF59" s="19">
        <f>IF(COUNTIFS(T_SelfStock_Log[Part Name],$A59,T_SelfStock_Log[WeekIndex],57)=0,"",SUMIFS(T_SelfStock_Log[Self_Qty],T_SelfStock_Log[Part Name],$A59,T_SelfStock_Log[WeekIndex],57))</f>
        <v/>
      </c>
      <c r="BG59" s="19">
        <f>IF(COUNTIFS(T_SelfStock_Log[Part Name],$A59,T_SelfStock_Log[WeekIndex],58)=0,"",SUMIFS(T_SelfStock_Log[Self_Qty],T_SelfStock_Log[Part Name],$A59,T_SelfStock_Log[WeekIndex],58))</f>
        <v/>
      </c>
      <c r="BH59" s="19">
        <f>IF(COUNTIFS(T_SelfStock_Log[Part Name],$A59,T_SelfStock_Log[WeekIndex],59)=0,"",SUMIFS(T_SelfStock_Log[Self_Qty],T_SelfStock_Log[Part Name],$A59,T_SelfStock_Log[WeekIndex],59))</f>
        <v/>
      </c>
      <c r="BI59" s="19">
        <f>IF(COUNTIFS(T_SelfStock_Log[Part Name],$A59,T_SelfStock_Log[WeekIndex],60)=0,"",SUMIFS(T_SelfStock_Log[Self_Qty],T_SelfStock_Log[Part Name],$A59,T_SelfStock_Log[WeekIndex],60))</f>
        <v/>
      </c>
      <c r="BJ59" s="19">
        <f>IF(COUNTIFS(T_SelfStock_Log[Part Name],$A59,T_SelfStock_Log[WeekIndex],61)=0,"",SUMIFS(T_SelfStock_Log[Self_Qty],T_SelfStock_Log[Part Name],$A59,T_SelfStock_Log[WeekIndex],61))</f>
        <v/>
      </c>
      <c r="BK59" s="19">
        <f>IF(COUNTIFS(T_SelfStock_Log[Part Name],$A59,T_SelfStock_Log[WeekIndex],62)=0,"",SUMIFS(T_SelfStock_Log[Self_Qty],T_SelfStock_Log[Part Name],$A59,T_SelfStock_Log[WeekIndex],62))</f>
        <v/>
      </c>
      <c r="BL59" s="19">
        <f>IF(COUNTIFS(T_SelfStock_Log[Part Name],$A59,T_SelfStock_Log[WeekIndex],63)=0,"",SUMIFS(T_SelfStock_Log[Self_Qty],T_SelfStock_Log[Part Name],$A59,T_SelfStock_Log[WeekIndex],63))</f>
        <v/>
      </c>
      <c r="BM59" s="19">
        <f>IF(COUNTIFS(T_SelfStock_Log[Part Name],$A59,T_SelfStock_Log[WeekIndex],64)=0,"",SUMIFS(T_SelfStock_Log[Self_Qty],T_SelfStock_Log[Part Name],$A59,T_SelfStock_Log[WeekIndex],64))</f>
        <v/>
      </c>
      <c r="BN59" s="19">
        <f>IF(COUNTIFS(T_SelfStock_Log[Part Name],$A59,T_SelfStock_Log[WeekIndex],65)=0,"",SUMIFS(T_SelfStock_Log[Self_Qty],T_SelfStock_Log[Part Name],$A59,T_SelfStock_Log[WeekIndex],65))</f>
        <v/>
      </c>
      <c r="BO59" s="19">
        <f>IF(COUNTIFS(T_SelfStock_Log[Part Name],$A59,T_SelfStock_Log[WeekIndex],66)=0,"",SUMIFS(T_SelfStock_Log[Self_Qty],T_SelfStock_Log[Part Name],$A59,T_SelfStock_Log[WeekIndex],66))</f>
        <v/>
      </c>
      <c r="BP59" s="19">
        <f>IF(COUNTIFS(T_SelfStock_Log[Part Name],$A59,T_SelfStock_Log[WeekIndex],67)=0,"",SUMIFS(T_SelfStock_Log[Self_Qty],T_SelfStock_Log[Part Name],$A59,T_SelfStock_Log[WeekIndex],67))</f>
        <v/>
      </c>
      <c r="BQ59" s="19">
        <f>IF(COUNTIFS(T_SelfStock_Log[Part Name],$A59,T_SelfStock_Log[WeekIndex],68)=0,"",SUMIFS(T_SelfStock_Log[Self_Qty],T_SelfStock_Log[Part Name],$A59,T_SelfStock_Log[WeekIndex],68))</f>
        <v/>
      </c>
      <c r="BR59" s="19">
        <f>IF(COUNTIFS(T_SelfStock_Log[Part Name],$A59,T_SelfStock_Log[WeekIndex],69)=0,"",SUMIFS(T_SelfStock_Log[Self_Qty],T_SelfStock_Log[Part Name],$A59,T_SelfStock_Log[WeekIndex],69))</f>
        <v/>
      </c>
      <c r="BS59" s="19">
        <f>IF(COUNTIFS(T_SelfStock_Log[Part Name],$A59,T_SelfStock_Log[WeekIndex],70)=0,"",SUMIFS(T_SelfStock_Log[Self_Qty],T_SelfStock_Log[Part Name],$A59,T_SelfStock_Log[WeekIndex],70))</f>
        <v/>
      </c>
      <c r="BT59" s="19">
        <f>IF(COUNTIFS(T_SelfStock_Log[Part Name],$A59,T_SelfStock_Log[WeekIndex],71)=0,"",SUMIFS(T_SelfStock_Log[Self_Qty],T_SelfStock_Log[Part Name],$A59,T_SelfStock_Log[WeekIndex],71))</f>
        <v/>
      </c>
      <c r="BU59" s="19">
        <f>IF(COUNTIFS(T_SelfStock_Log[Part Name],$A59,T_SelfStock_Log[WeekIndex],72)=0,"",SUMIFS(T_SelfStock_Log[Self_Qty],T_SelfStock_Log[Part Name],$A59,T_SelfStock_Log[WeekIndex],72))</f>
        <v/>
      </c>
      <c r="BV59" s="19">
        <f>IF(COUNTIFS(T_SelfStock_Log[Part Name],$A59,T_SelfStock_Log[WeekIndex],73)=0,"",SUMIFS(T_SelfStock_Log[Self_Qty],T_SelfStock_Log[Part Name],$A59,T_SelfStock_Log[WeekIndex],73))</f>
        <v/>
      </c>
      <c r="BW59" s="19">
        <f>IF(COUNTIFS(T_SelfStock_Log[Part Name],$A59,T_SelfStock_Log[WeekIndex],74)=0,"",SUMIFS(T_SelfStock_Log[Self_Qty],T_SelfStock_Log[Part Name],$A59,T_SelfStock_Log[WeekIndex],74))</f>
        <v/>
      </c>
      <c r="BX59" s="19">
        <f>IF(COUNTIFS(T_SelfStock_Log[Part Name],$A59,T_SelfStock_Log[WeekIndex],75)=0,"",SUMIFS(T_SelfStock_Log[Self_Qty],T_SelfStock_Log[Part Name],$A59,T_SelfStock_Log[WeekIndex],75))</f>
        <v/>
      </c>
      <c r="BY59" s="19">
        <f>IF(COUNTIFS(T_SelfStock_Log[Part Name],$A59,T_SelfStock_Log[WeekIndex],76)=0,"",SUMIFS(T_SelfStock_Log[Self_Qty],T_SelfStock_Log[Part Name],$A59,T_SelfStock_Log[WeekIndex],76))</f>
        <v/>
      </c>
      <c r="BZ59" s="19">
        <f>IF(COUNTIFS(T_SelfStock_Log[Part Name],$A59,T_SelfStock_Log[WeekIndex],77)=0,"",SUMIFS(T_SelfStock_Log[Self_Qty],T_SelfStock_Log[Part Name],$A59,T_SelfStock_Log[WeekIndex],77))</f>
        <v/>
      </c>
      <c r="CA59" s="19">
        <f>IF(COUNTIFS(T_SelfStock_Log[Part Name],$A59,T_SelfStock_Log[WeekIndex],78)=0,"",SUMIFS(T_SelfStock_Log[Self_Qty],T_SelfStock_Log[Part Name],$A59,T_SelfStock_Log[WeekIndex],78))</f>
        <v/>
      </c>
      <c r="CB59" s="19">
        <f>IF(COUNTIFS(T_SelfStock_Log[Part Name],$A59,T_SelfStock_Log[WeekIndex],79)=0,"",SUMIFS(T_SelfStock_Log[Self_Qty],T_SelfStock_Log[Part Name],$A59,T_SelfStock_Log[WeekIndex],79))</f>
        <v/>
      </c>
      <c r="CC59" s="19">
        <f>IF(COUNTIFS(T_SelfStock_Log[Part Name],$A59,T_SelfStock_Log[WeekIndex],80)=0,"",SUMIFS(T_SelfStock_Log[Self_Qty],T_SelfStock_Log[Part Name],$A59,T_SelfStock_Log[WeekIndex],80))</f>
        <v/>
      </c>
      <c r="CD59" s="19">
        <f>IF(COUNTIFS(T_SelfStock_Log[Part Name],$A59,T_SelfStock_Log[WeekIndex],81)=0,"",SUMIFS(T_SelfStock_Log[Self_Qty],T_SelfStock_Log[Part Name],$A59,T_SelfStock_Log[WeekIndex],81))</f>
        <v/>
      </c>
      <c r="CE59" s="19">
        <f>IF(COUNTIFS(T_SelfStock_Log[Part Name],$A59,T_SelfStock_Log[WeekIndex],82)=0,"",SUMIFS(T_SelfStock_Log[Self_Qty],T_SelfStock_Log[Part Name],$A59,T_SelfStock_Log[WeekIndex],82))</f>
        <v/>
      </c>
      <c r="CF59" s="19">
        <f>IF(COUNTIFS(T_SelfStock_Log[Part Name],$A59,T_SelfStock_Log[WeekIndex],83)=0,"",SUMIFS(T_SelfStock_Log[Self_Qty],T_SelfStock_Log[Part Name],$A59,T_SelfStock_Log[WeekIndex],83))</f>
        <v/>
      </c>
      <c r="CG59" s="19">
        <f>IF(COUNTIFS(T_SelfStock_Log[Part Name],$A59,T_SelfStock_Log[WeekIndex],84)=0,"",SUMIFS(T_SelfStock_Log[Self_Qty],T_SelfStock_Log[Part Name],$A59,T_SelfStock_Log[WeekIndex],84))</f>
        <v/>
      </c>
      <c r="CH59" s="19">
        <f>IF(COUNTIFS(T_SelfStock_Log[Part Name],$A59,T_SelfStock_Log[WeekIndex],85)=0,"",SUMIFS(T_SelfStock_Log[Self_Qty],T_SelfStock_Log[Part Name],$A59,T_SelfStock_Log[WeekIndex],85))</f>
        <v/>
      </c>
      <c r="CI59" s="19">
        <f>IF(COUNTIFS(T_SelfStock_Log[Part Name],$A59,T_SelfStock_Log[WeekIndex],86)=0,"",SUMIFS(T_SelfStock_Log[Self_Qty],T_SelfStock_Log[Part Name],$A59,T_SelfStock_Log[WeekIndex],86))</f>
        <v/>
      </c>
      <c r="CJ59" s="19">
        <f>IF(COUNTIFS(T_SelfStock_Log[Part Name],$A59,T_SelfStock_Log[WeekIndex],87)=0,"",SUMIFS(T_SelfStock_Log[Self_Qty],T_SelfStock_Log[Part Name],$A59,T_SelfStock_Log[WeekIndex],87))</f>
        <v/>
      </c>
      <c r="CK59" s="19">
        <f>IF(COUNTIFS(T_SelfStock_Log[Part Name],$A59,T_SelfStock_Log[WeekIndex],88)=0,"",SUMIFS(T_SelfStock_Log[Self_Qty],T_SelfStock_Log[Part Name],$A59,T_SelfStock_Log[WeekIndex],88))</f>
        <v/>
      </c>
      <c r="CL59" s="19">
        <f>IF(COUNTIFS(T_SelfStock_Log[Part Name],$A59,T_SelfStock_Log[WeekIndex],89)=0,"",SUMIFS(T_SelfStock_Log[Self_Qty],T_SelfStock_Log[Part Name],$A59,T_SelfStock_Log[WeekIndex],89))</f>
        <v/>
      </c>
      <c r="CM59" s="19">
        <f>IF(COUNTIFS(T_SelfStock_Log[Part Name],$A59,T_SelfStock_Log[WeekIndex],90)=0,"",SUMIFS(T_SelfStock_Log[Self_Qty],T_SelfStock_Log[Part Name],$A59,T_SelfStock_Log[WeekIndex],90))</f>
        <v/>
      </c>
      <c r="CN59" s="19">
        <f>IF(COUNTIFS(T_SelfStock_Log[Part Name],$A59,T_SelfStock_Log[WeekIndex],91)=0,"",SUMIFS(T_SelfStock_Log[Self_Qty],T_SelfStock_Log[Part Name],$A59,T_SelfStock_Log[WeekIndex],91))</f>
        <v/>
      </c>
      <c r="CO59" s="19">
        <f>IF(COUNTIFS(T_SelfStock_Log[Part Name],$A59,T_SelfStock_Log[WeekIndex],92)=0,"",SUMIFS(T_SelfStock_Log[Self_Qty],T_SelfStock_Log[Part Name],$A59,T_SelfStock_Log[WeekIndex],92))</f>
        <v/>
      </c>
      <c r="CP59" s="19">
        <f>IF(COUNTIFS(T_SelfStock_Log[Part Name],$A59,T_SelfStock_Log[WeekIndex],93)=0,"",SUMIFS(T_SelfStock_Log[Self_Qty],T_SelfStock_Log[Part Name],$A59,T_SelfStock_Log[WeekIndex],93))</f>
        <v/>
      </c>
      <c r="CQ59" s="19">
        <f>IF(COUNTIFS(T_SelfStock_Log[Part Name],$A59,T_SelfStock_Log[WeekIndex],94)=0,"",SUMIFS(T_SelfStock_Log[Self_Qty],T_SelfStock_Log[Part Name],$A59,T_SelfStock_Log[WeekIndex],94))</f>
        <v/>
      </c>
      <c r="CR59" s="19">
        <f>IF(COUNTIFS(T_SelfStock_Log[Part Name],$A59,T_SelfStock_Log[WeekIndex],95)=0,"",SUMIFS(T_SelfStock_Log[Self_Qty],T_SelfStock_Log[Part Name],$A59,T_SelfStock_Log[WeekIndex],95))</f>
        <v/>
      </c>
      <c r="CS59" s="19">
        <f>IF(COUNTIFS(T_SelfStock_Log[Part Name],$A59,T_SelfStock_Log[WeekIndex],96)=0,"",SUMIFS(T_SelfStock_Log[Self_Qty],T_SelfStock_Log[Part Name],$A59,T_SelfStock_Log[WeekIndex],96))</f>
        <v/>
      </c>
      <c r="CT59" s="19">
        <f>IF(COUNTIFS(T_SelfStock_Log[Part Name],$A59,T_SelfStock_Log[WeekIndex],97)=0,"",SUMIFS(T_SelfStock_Log[Self_Qty],T_SelfStock_Log[Part Name],$A59,T_SelfStock_Log[WeekIndex],97))</f>
        <v/>
      </c>
      <c r="CU59" s="19">
        <f>IF(COUNTIFS(T_SelfStock_Log[Part Name],$A59,T_SelfStock_Log[WeekIndex],98)=0,"",SUMIFS(T_SelfStock_Log[Self_Qty],T_SelfStock_Log[Part Name],$A59,T_SelfStock_Log[WeekIndex],98))</f>
        <v/>
      </c>
      <c r="CV59" s="19">
        <f>IF(COUNTIFS(T_SelfStock_Log[Part Name],$A59,T_SelfStock_Log[WeekIndex],99)=0,"",SUMIFS(T_SelfStock_Log[Self_Qty],T_SelfStock_Log[Part Name],$A59,T_SelfStock_Log[WeekIndex],99))</f>
        <v/>
      </c>
      <c r="CW59" s="19">
        <f>IF(COUNTIFS(T_SelfStock_Log[Part Name],$A59,T_SelfStock_Log[WeekIndex],100)=0,"",SUMIFS(T_SelfStock_Log[Self_Qty],T_SelfStock_Log[Part Name],$A59,T_SelfStock_Log[WeekIndex],100))</f>
        <v/>
      </c>
      <c r="CX59" s="19">
        <f>IF(COUNTIFS(T_SelfStock_Log[Part Name],$A59,T_SelfStock_Log[WeekIndex],101)=0,"",SUMIFS(T_SelfStock_Log[Self_Qty],T_SelfStock_Log[Part Name],$A59,T_SelfStock_Log[WeekIndex],101))</f>
        <v/>
      </c>
      <c r="CY59" s="19">
        <f>IF(COUNTIFS(T_SelfStock_Log[Part Name],$A59,T_SelfStock_Log[WeekIndex],102)=0,"",SUMIFS(T_SelfStock_Log[Self_Qty],T_SelfStock_Log[Part Name],$A59,T_SelfStock_Log[WeekIndex],102))</f>
        <v/>
      </c>
      <c r="CZ59" s="19">
        <f>IF(COUNTIFS(T_SelfStock_Log[Part Name],$A59,T_SelfStock_Log[WeekIndex],103)=0,"",SUMIFS(T_SelfStock_Log[Self_Qty],T_SelfStock_Log[Part Name],$A59,T_SelfStock_Log[WeekIndex],103))</f>
        <v/>
      </c>
      <c r="DA59" s="19">
        <f>IF(COUNTIFS(T_SelfStock_Log[Part Name],$A59,T_SelfStock_Log[WeekIndex],104)=0,"",SUMIFS(T_SelfStock_Log[Self_Qty],T_SelfStock_Log[Part Name],$A59,T_SelfStock_Log[WeekIndex],104))</f>
        <v/>
      </c>
    </row>
    <row r="60">
      <c r="A60" s="17" t="inlineStr">
        <is>
          <t>PP Film</t>
        </is>
      </c>
      <c r="B60" s="17">
        <f>IF(COUNTIFS(T_SelfStock_Log[Part Name],$A60,T_SelfStock_Log[WeekIndex],1)=0,"",SUMIFS(T_SelfStock_Log[Self_Qty],T_SelfStock_Log[Part Name],$A60,T_SelfStock_Log[WeekIndex],1))</f>
        <v/>
      </c>
      <c r="C60" s="17">
        <f>IF(COUNTIFS(T_SelfStock_Log[Part Name],$A60,T_SelfStock_Log[WeekIndex],2)=0,"",SUMIFS(T_SelfStock_Log[Self_Qty],T_SelfStock_Log[Part Name],$A60,T_SelfStock_Log[WeekIndex],2))</f>
        <v/>
      </c>
      <c r="D60" s="17">
        <f>IF(COUNTIFS(T_SelfStock_Log[Part Name],$A60,T_SelfStock_Log[WeekIndex],3)=0,"",SUMIFS(T_SelfStock_Log[Self_Qty],T_SelfStock_Log[Part Name],$A60,T_SelfStock_Log[WeekIndex],3))</f>
        <v/>
      </c>
      <c r="E60" s="17">
        <f>IF(COUNTIFS(T_SelfStock_Log[Part Name],$A60,T_SelfStock_Log[WeekIndex],4)=0,"",SUMIFS(T_SelfStock_Log[Self_Qty],T_SelfStock_Log[Part Name],$A60,T_SelfStock_Log[WeekIndex],4))</f>
        <v/>
      </c>
      <c r="F60" s="17">
        <f>IF(COUNTIFS(T_SelfStock_Log[Part Name],$A60,T_SelfStock_Log[WeekIndex],5)=0,"",SUMIFS(T_SelfStock_Log[Self_Qty],T_SelfStock_Log[Part Name],$A60,T_SelfStock_Log[WeekIndex],5))</f>
        <v/>
      </c>
      <c r="G60" s="17">
        <f>IF(COUNTIFS(T_SelfStock_Log[Part Name],$A60,T_SelfStock_Log[WeekIndex],6)=0,"",SUMIFS(T_SelfStock_Log[Self_Qty],T_SelfStock_Log[Part Name],$A60,T_SelfStock_Log[WeekIndex],6))</f>
        <v/>
      </c>
      <c r="H60" s="17">
        <f>IF(COUNTIFS(T_SelfStock_Log[Part Name],$A60,T_SelfStock_Log[WeekIndex],7)=0,"",SUMIFS(T_SelfStock_Log[Self_Qty],T_SelfStock_Log[Part Name],$A60,T_SelfStock_Log[WeekIndex],7))</f>
        <v/>
      </c>
      <c r="I60" s="17">
        <f>IF(COUNTIFS(T_SelfStock_Log[Part Name],$A60,T_SelfStock_Log[WeekIndex],8)=0,"",SUMIFS(T_SelfStock_Log[Self_Qty],T_SelfStock_Log[Part Name],$A60,T_SelfStock_Log[WeekIndex],8))</f>
        <v/>
      </c>
      <c r="J60" s="17">
        <f>IF(COUNTIFS(T_SelfStock_Log[Part Name],$A60,T_SelfStock_Log[WeekIndex],9)=0,"",SUMIFS(T_SelfStock_Log[Self_Qty],T_SelfStock_Log[Part Name],$A60,T_SelfStock_Log[WeekIndex],9))</f>
        <v/>
      </c>
      <c r="K60" s="17">
        <f>IF(COUNTIFS(T_SelfStock_Log[Part Name],$A60,T_SelfStock_Log[WeekIndex],10)=0,"",SUMIFS(T_SelfStock_Log[Self_Qty],T_SelfStock_Log[Part Name],$A60,T_SelfStock_Log[WeekIndex],10))</f>
        <v/>
      </c>
      <c r="L60" s="17">
        <f>IF(COUNTIFS(T_SelfStock_Log[Part Name],$A60,T_SelfStock_Log[WeekIndex],11)=0,"",SUMIFS(T_SelfStock_Log[Self_Qty],T_SelfStock_Log[Part Name],$A60,T_SelfStock_Log[WeekIndex],11))</f>
        <v/>
      </c>
      <c r="M60" s="17">
        <f>IF(COUNTIFS(T_SelfStock_Log[Part Name],$A60,T_SelfStock_Log[WeekIndex],12)=0,"",SUMIFS(T_SelfStock_Log[Self_Qty],T_SelfStock_Log[Part Name],$A60,T_SelfStock_Log[WeekIndex],12))</f>
        <v/>
      </c>
      <c r="N60" s="17">
        <f>IF(COUNTIFS(T_SelfStock_Log[Part Name],$A60,T_SelfStock_Log[WeekIndex],13)=0,"",SUMIFS(T_SelfStock_Log[Self_Qty],T_SelfStock_Log[Part Name],$A60,T_SelfStock_Log[WeekIndex],13))</f>
        <v/>
      </c>
      <c r="O60" s="17">
        <f>IF(COUNTIFS(T_SelfStock_Log[Part Name],$A60,T_SelfStock_Log[WeekIndex],14)=0,"",SUMIFS(T_SelfStock_Log[Self_Qty],T_SelfStock_Log[Part Name],$A60,T_SelfStock_Log[WeekIndex],14))</f>
        <v/>
      </c>
      <c r="P60" s="17">
        <f>IF(COUNTIFS(T_SelfStock_Log[Part Name],$A60,T_SelfStock_Log[WeekIndex],15)=0,"",SUMIFS(T_SelfStock_Log[Self_Qty],T_SelfStock_Log[Part Name],$A60,T_SelfStock_Log[WeekIndex],15))</f>
        <v/>
      </c>
      <c r="Q60" s="17">
        <f>IF(COUNTIFS(T_SelfStock_Log[Part Name],$A60,T_SelfStock_Log[WeekIndex],16)=0,"",SUMIFS(T_SelfStock_Log[Self_Qty],T_SelfStock_Log[Part Name],$A60,T_SelfStock_Log[WeekIndex],16))</f>
        <v/>
      </c>
      <c r="R60" s="17">
        <f>IF(COUNTIFS(T_SelfStock_Log[Part Name],$A60,T_SelfStock_Log[WeekIndex],17)=0,"",SUMIFS(T_SelfStock_Log[Self_Qty],T_SelfStock_Log[Part Name],$A60,T_SelfStock_Log[WeekIndex],17))</f>
        <v/>
      </c>
      <c r="S60" s="17">
        <f>IF(COUNTIFS(T_SelfStock_Log[Part Name],$A60,T_SelfStock_Log[WeekIndex],18)=0,"",SUMIFS(T_SelfStock_Log[Self_Qty],T_SelfStock_Log[Part Name],$A60,T_SelfStock_Log[WeekIndex],18))</f>
        <v/>
      </c>
      <c r="T60" s="17">
        <f>IF(COUNTIFS(T_SelfStock_Log[Part Name],$A60,T_SelfStock_Log[WeekIndex],19)=0,"",SUMIFS(T_SelfStock_Log[Self_Qty],T_SelfStock_Log[Part Name],$A60,T_SelfStock_Log[WeekIndex],19))</f>
        <v/>
      </c>
      <c r="U60" s="17">
        <f>IF(COUNTIFS(T_SelfStock_Log[Part Name],$A60,T_SelfStock_Log[WeekIndex],20)=0,"",SUMIFS(T_SelfStock_Log[Self_Qty],T_SelfStock_Log[Part Name],$A60,T_SelfStock_Log[WeekIndex],20))</f>
        <v/>
      </c>
      <c r="V60" s="17">
        <f>IF(COUNTIFS(T_SelfStock_Log[Part Name],$A60,T_SelfStock_Log[WeekIndex],21)=0,"",SUMIFS(T_SelfStock_Log[Self_Qty],T_SelfStock_Log[Part Name],$A60,T_SelfStock_Log[WeekIndex],21))</f>
        <v/>
      </c>
      <c r="W60" s="17">
        <f>IF(COUNTIFS(T_SelfStock_Log[Part Name],$A60,T_SelfStock_Log[WeekIndex],22)=0,"",SUMIFS(T_SelfStock_Log[Self_Qty],T_SelfStock_Log[Part Name],$A60,T_SelfStock_Log[WeekIndex],22))</f>
        <v/>
      </c>
      <c r="X60" s="17">
        <f>IF(COUNTIFS(T_SelfStock_Log[Part Name],$A60,T_SelfStock_Log[WeekIndex],23)=0,"",SUMIFS(T_SelfStock_Log[Self_Qty],T_SelfStock_Log[Part Name],$A60,T_SelfStock_Log[WeekIndex],23))</f>
        <v/>
      </c>
      <c r="Y60" s="17">
        <f>IF(COUNTIFS(T_SelfStock_Log[Part Name],$A60,T_SelfStock_Log[WeekIndex],24)=0,"",SUMIFS(T_SelfStock_Log[Self_Qty],T_SelfStock_Log[Part Name],$A60,T_SelfStock_Log[WeekIndex],24))</f>
        <v/>
      </c>
      <c r="Z60" s="17">
        <f>IF(COUNTIFS(T_SelfStock_Log[Part Name],$A60,T_SelfStock_Log[WeekIndex],25)=0,"",SUMIFS(T_SelfStock_Log[Self_Qty],T_SelfStock_Log[Part Name],$A60,T_SelfStock_Log[WeekIndex],25))</f>
        <v/>
      </c>
      <c r="AA60" s="17">
        <f>IF(COUNTIFS(T_SelfStock_Log[Part Name],$A60,T_SelfStock_Log[WeekIndex],26)=0,"",SUMIFS(T_SelfStock_Log[Self_Qty],T_SelfStock_Log[Part Name],$A60,T_SelfStock_Log[WeekIndex],26))</f>
        <v/>
      </c>
      <c r="AB60" s="17">
        <f>IF(COUNTIFS(T_SelfStock_Log[Part Name],$A60,T_SelfStock_Log[WeekIndex],27)=0,"",SUMIFS(T_SelfStock_Log[Self_Qty],T_SelfStock_Log[Part Name],$A60,T_SelfStock_Log[WeekIndex],27))</f>
        <v/>
      </c>
      <c r="AC60" s="17">
        <f>IF(COUNTIFS(T_SelfStock_Log[Part Name],$A60,T_SelfStock_Log[WeekIndex],28)=0,"",SUMIFS(T_SelfStock_Log[Self_Qty],T_SelfStock_Log[Part Name],$A60,T_SelfStock_Log[WeekIndex],28))</f>
        <v/>
      </c>
      <c r="AD60" s="17">
        <f>IF(COUNTIFS(T_SelfStock_Log[Part Name],$A60,T_SelfStock_Log[WeekIndex],29)=0,"",SUMIFS(T_SelfStock_Log[Self_Qty],T_SelfStock_Log[Part Name],$A60,T_SelfStock_Log[WeekIndex],29))</f>
        <v/>
      </c>
      <c r="AE60" s="17">
        <f>IF(COUNTIFS(T_SelfStock_Log[Part Name],$A60,T_SelfStock_Log[WeekIndex],30)=0,"",SUMIFS(T_SelfStock_Log[Self_Qty],T_SelfStock_Log[Part Name],$A60,T_SelfStock_Log[WeekIndex],30))</f>
        <v/>
      </c>
      <c r="AF60" s="17">
        <f>IF(COUNTIFS(T_SelfStock_Log[Part Name],$A60,T_SelfStock_Log[WeekIndex],31)=0,"",SUMIFS(T_SelfStock_Log[Self_Qty],T_SelfStock_Log[Part Name],$A60,T_SelfStock_Log[WeekIndex],31))</f>
        <v/>
      </c>
      <c r="AG60" s="17">
        <f>IF(COUNTIFS(T_SelfStock_Log[Part Name],$A60,T_SelfStock_Log[WeekIndex],32)=0,"",SUMIFS(T_SelfStock_Log[Self_Qty],T_SelfStock_Log[Part Name],$A60,T_SelfStock_Log[WeekIndex],32))</f>
        <v/>
      </c>
      <c r="AH60" s="17">
        <f>IF(COUNTIFS(T_SelfStock_Log[Part Name],$A60,T_SelfStock_Log[WeekIndex],33)=0,"",SUMIFS(T_SelfStock_Log[Self_Qty],T_SelfStock_Log[Part Name],$A60,T_SelfStock_Log[WeekIndex],33))</f>
        <v/>
      </c>
      <c r="AI60" s="17">
        <f>IF(COUNTIFS(T_SelfStock_Log[Part Name],$A60,T_SelfStock_Log[WeekIndex],34)=0,"",SUMIFS(T_SelfStock_Log[Self_Qty],T_SelfStock_Log[Part Name],$A60,T_SelfStock_Log[WeekIndex],34))</f>
        <v/>
      </c>
      <c r="AJ60" s="17">
        <f>IF(COUNTIFS(T_SelfStock_Log[Part Name],$A60,T_SelfStock_Log[WeekIndex],35)=0,"",SUMIFS(T_SelfStock_Log[Self_Qty],T_SelfStock_Log[Part Name],$A60,T_SelfStock_Log[WeekIndex],35))</f>
        <v/>
      </c>
      <c r="AK60" s="17">
        <f>IF(COUNTIFS(T_SelfStock_Log[Part Name],$A60,T_SelfStock_Log[WeekIndex],36)=0,"",SUMIFS(T_SelfStock_Log[Self_Qty],T_SelfStock_Log[Part Name],$A60,T_SelfStock_Log[WeekIndex],36))</f>
        <v/>
      </c>
      <c r="AL60" s="17">
        <f>IF(COUNTIFS(T_SelfStock_Log[Part Name],$A60,T_SelfStock_Log[WeekIndex],37)=0,"",SUMIFS(T_SelfStock_Log[Self_Qty],T_SelfStock_Log[Part Name],$A60,T_SelfStock_Log[WeekIndex],37))</f>
        <v/>
      </c>
      <c r="AM60" s="17">
        <f>IF(COUNTIFS(T_SelfStock_Log[Part Name],$A60,T_SelfStock_Log[WeekIndex],38)=0,"",SUMIFS(T_SelfStock_Log[Self_Qty],T_SelfStock_Log[Part Name],$A60,T_SelfStock_Log[WeekIndex],38))</f>
        <v/>
      </c>
      <c r="AN60" s="17">
        <f>IF(COUNTIFS(T_SelfStock_Log[Part Name],$A60,T_SelfStock_Log[WeekIndex],39)=0,"",SUMIFS(T_SelfStock_Log[Self_Qty],T_SelfStock_Log[Part Name],$A60,T_SelfStock_Log[WeekIndex],39))</f>
        <v/>
      </c>
      <c r="AO60" s="17">
        <f>IF(COUNTIFS(T_SelfStock_Log[Part Name],$A60,T_SelfStock_Log[WeekIndex],40)=0,"",SUMIFS(T_SelfStock_Log[Self_Qty],T_SelfStock_Log[Part Name],$A60,T_SelfStock_Log[WeekIndex],40))</f>
        <v/>
      </c>
      <c r="AP60" s="17">
        <f>IF(COUNTIFS(T_SelfStock_Log[Part Name],$A60,T_SelfStock_Log[WeekIndex],41)=0,"",SUMIFS(T_SelfStock_Log[Self_Qty],T_SelfStock_Log[Part Name],$A60,T_SelfStock_Log[WeekIndex],41))</f>
        <v/>
      </c>
      <c r="AQ60" s="17">
        <f>IF(COUNTIFS(T_SelfStock_Log[Part Name],$A60,T_SelfStock_Log[WeekIndex],42)=0,"",SUMIFS(T_SelfStock_Log[Self_Qty],T_SelfStock_Log[Part Name],$A60,T_SelfStock_Log[WeekIndex],42))</f>
        <v/>
      </c>
      <c r="AR60" s="17">
        <f>IF(COUNTIFS(T_SelfStock_Log[Part Name],$A60,T_SelfStock_Log[WeekIndex],43)=0,"",SUMIFS(T_SelfStock_Log[Self_Qty],T_SelfStock_Log[Part Name],$A60,T_SelfStock_Log[WeekIndex],43))</f>
        <v/>
      </c>
      <c r="AS60" s="17">
        <f>IF(COUNTIFS(T_SelfStock_Log[Part Name],$A60,T_SelfStock_Log[WeekIndex],44)=0,"",SUMIFS(T_SelfStock_Log[Self_Qty],T_SelfStock_Log[Part Name],$A60,T_SelfStock_Log[WeekIndex],44))</f>
        <v/>
      </c>
      <c r="AT60" s="17">
        <f>IF(COUNTIFS(T_SelfStock_Log[Part Name],$A60,T_SelfStock_Log[WeekIndex],45)=0,"",SUMIFS(T_SelfStock_Log[Self_Qty],T_SelfStock_Log[Part Name],$A60,T_SelfStock_Log[WeekIndex],45))</f>
        <v/>
      </c>
      <c r="AU60" s="17">
        <f>IF(COUNTIFS(T_SelfStock_Log[Part Name],$A60,T_SelfStock_Log[WeekIndex],46)=0,"",SUMIFS(T_SelfStock_Log[Self_Qty],T_SelfStock_Log[Part Name],$A60,T_SelfStock_Log[WeekIndex],46))</f>
        <v/>
      </c>
      <c r="AV60" s="17">
        <f>IF(COUNTIFS(T_SelfStock_Log[Part Name],$A60,T_SelfStock_Log[WeekIndex],47)=0,"",SUMIFS(T_SelfStock_Log[Self_Qty],T_SelfStock_Log[Part Name],$A60,T_SelfStock_Log[WeekIndex],47))</f>
        <v/>
      </c>
      <c r="AW60" s="17">
        <f>IF(COUNTIFS(T_SelfStock_Log[Part Name],$A60,T_SelfStock_Log[WeekIndex],48)=0,"",SUMIFS(T_SelfStock_Log[Self_Qty],T_SelfStock_Log[Part Name],$A60,T_SelfStock_Log[WeekIndex],48))</f>
        <v/>
      </c>
      <c r="AX60" s="17">
        <f>IF(COUNTIFS(T_SelfStock_Log[Part Name],$A60,T_SelfStock_Log[WeekIndex],49)=0,"",SUMIFS(T_SelfStock_Log[Self_Qty],T_SelfStock_Log[Part Name],$A60,T_SelfStock_Log[WeekIndex],49))</f>
        <v/>
      </c>
      <c r="AY60" s="17">
        <f>IF(COUNTIFS(T_SelfStock_Log[Part Name],$A60,T_SelfStock_Log[WeekIndex],50)=0,"",SUMIFS(T_SelfStock_Log[Self_Qty],T_SelfStock_Log[Part Name],$A60,T_SelfStock_Log[WeekIndex],50))</f>
        <v/>
      </c>
      <c r="AZ60" s="17">
        <f>IF(COUNTIFS(T_SelfStock_Log[Part Name],$A60,T_SelfStock_Log[WeekIndex],51)=0,"",SUMIFS(T_SelfStock_Log[Self_Qty],T_SelfStock_Log[Part Name],$A60,T_SelfStock_Log[WeekIndex],51))</f>
        <v/>
      </c>
      <c r="BA60" s="17">
        <f>IF(COUNTIFS(T_SelfStock_Log[Part Name],$A60,T_SelfStock_Log[WeekIndex],52)=0,"",SUMIFS(T_SelfStock_Log[Self_Qty],T_SelfStock_Log[Part Name],$A60,T_SelfStock_Log[WeekIndex],52))</f>
        <v/>
      </c>
      <c r="BB60" s="17">
        <f>IF(COUNTIFS(T_SelfStock_Log[Part Name],$A60,T_SelfStock_Log[WeekIndex],53)=0,"",SUMIFS(T_SelfStock_Log[Self_Qty],T_SelfStock_Log[Part Name],$A60,T_SelfStock_Log[WeekIndex],53))</f>
        <v/>
      </c>
      <c r="BC60" s="17">
        <f>IF(COUNTIFS(T_SelfStock_Log[Part Name],$A60,T_SelfStock_Log[WeekIndex],54)=0,"",SUMIFS(T_SelfStock_Log[Self_Qty],T_SelfStock_Log[Part Name],$A60,T_SelfStock_Log[WeekIndex],54))</f>
        <v/>
      </c>
      <c r="BD60" s="17">
        <f>IF(COUNTIFS(T_SelfStock_Log[Part Name],$A60,T_SelfStock_Log[WeekIndex],55)=0,"",SUMIFS(T_SelfStock_Log[Self_Qty],T_SelfStock_Log[Part Name],$A60,T_SelfStock_Log[WeekIndex],55))</f>
        <v/>
      </c>
      <c r="BE60" s="17">
        <f>IF(COUNTIFS(T_SelfStock_Log[Part Name],$A60,T_SelfStock_Log[WeekIndex],56)=0,"",SUMIFS(T_SelfStock_Log[Self_Qty],T_SelfStock_Log[Part Name],$A60,T_SelfStock_Log[WeekIndex],56))</f>
        <v/>
      </c>
      <c r="BF60" s="17">
        <f>IF(COUNTIFS(T_SelfStock_Log[Part Name],$A60,T_SelfStock_Log[WeekIndex],57)=0,"",SUMIFS(T_SelfStock_Log[Self_Qty],T_SelfStock_Log[Part Name],$A60,T_SelfStock_Log[WeekIndex],57))</f>
        <v/>
      </c>
      <c r="BG60" s="17">
        <f>IF(COUNTIFS(T_SelfStock_Log[Part Name],$A60,T_SelfStock_Log[WeekIndex],58)=0,"",SUMIFS(T_SelfStock_Log[Self_Qty],T_SelfStock_Log[Part Name],$A60,T_SelfStock_Log[WeekIndex],58))</f>
        <v/>
      </c>
      <c r="BH60" s="17">
        <f>IF(COUNTIFS(T_SelfStock_Log[Part Name],$A60,T_SelfStock_Log[WeekIndex],59)=0,"",SUMIFS(T_SelfStock_Log[Self_Qty],T_SelfStock_Log[Part Name],$A60,T_SelfStock_Log[WeekIndex],59))</f>
        <v/>
      </c>
      <c r="BI60" s="17">
        <f>IF(COUNTIFS(T_SelfStock_Log[Part Name],$A60,T_SelfStock_Log[WeekIndex],60)=0,"",SUMIFS(T_SelfStock_Log[Self_Qty],T_SelfStock_Log[Part Name],$A60,T_SelfStock_Log[WeekIndex],60))</f>
        <v/>
      </c>
      <c r="BJ60" s="17">
        <f>IF(COUNTIFS(T_SelfStock_Log[Part Name],$A60,T_SelfStock_Log[WeekIndex],61)=0,"",SUMIFS(T_SelfStock_Log[Self_Qty],T_SelfStock_Log[Part Name],$A60,T_SelfStock_Log[WeekIndex],61))</f>
        <v/>
      </c>
      <c r="BK60" s="17">
        <f>IF(COUNTIFS(T_SelfStock_Log[Part Name],$A60,T_SelfStock_Log[WeekIndex],62)=0,"",SUMIFS(T_SelfStock_Log[Self_Qty],T_SelfStock_Log[Part Name],$A60,T_SelfStock_Log[WeekIndex],62))</f>
        <v/>
      </c>
      <c r="BL60" s="17">
        <f>IF(COUNTIFS(T_SelfStock_Log[Part Name],$A60,T_SelfStock_Log[WeekIndex],63)=0,"",SUMIFS(T_SelfStock_Log[Self_Qty],T_SelfStock_Log[Part Name],$A60,T_SelfStock_Log[WeekIndex],63))</f>
        <v/>
      </c>
      <c r="BM60" s="17">
        <f>IF(COUNTIFS(T_SelfStock_Log[Part Name],$A60,T_SelfStock_Log[WeekIndex],64)=0,"",SUMIFS(T_SelfStock_Log[Self_Qty],T_SelfStock_Log[Part Name],$A60,T_SelfStock_Log[WeekIndex],64))</f>
        <v/>
      </c>
      <c r="BN60" s="17">
        <f>IF(COUNTIFS(T_SelfStock_Log[Part Name],$A60,T_SelfStock_Log[WeekIndex],65)=0,"",SUMIFS(T_SelfStock_Log[Self_Qty],T_SelfStock_Log[Part Name],$A60,T_SelfStock_Log[WeekIndex],65))</f>
        <v/>
      </c>
      <c r="BO60" s="17">
        <f>IF(COUNTIFS(T_SelfStock_Log[Part Name],$A60,T_SelfStock_Log[WeekIndex],66)=0,"",SUMIFS(T_SelfStock_Log[Self_Qty],T_SelfStock_Log[Part Name],$A60,T_SelfStock_Log[WeekIndex],66))</f>
        <v/>
      </c>
      <c r="BP60" s="17">
        <f>IF(COUNTIFS(T_SelfStock_Log[Part Name],$A60,T_SelfStock_Log[WeekIndex],67)=0,"",SUMIFS(T_SelfStock_Log[Self_Qty],T_SelfStock_Log[Part Name],$A60,T_SelfStock_Log[WeekIndex],67))</f>
        <v/>
      </c>
      <c r="BQ60" s="17">
        <f>IF(COUNTIFS(T_SelfStock_Log[Part Name],$A60,T_SelfStock_Log[WeekIndex],68)=0,"",SUMIFS(T_SelfStock_Log[Self_Qty],T_SelfStock_Log[Part Name],$A60,T_SelfStock_Log[WeekIndex],68))</f>
        <v/>
      </c>
      <c r="BR60" s="17">
        <f>IF(COUNTIFS(T_SelfStock_Log[Part Name],$A60,T_SelfStock_Log[WeekIndex],69)=0,"",SUMIFS(T_SelfStock_Log[Self_Qty],T_SelfStock_Log[Part Name],$A60,T_SelfStock_Log[WeekIndex],69))</f>
        <v/>
      </c>
      <c r="BS60" s="17">
        <f>IF(COUNTIFS(T_SelfStock_Log[Part Name],$A60,T_SelfStock_Log[WeekIndex],70)=0,"",SUMIFS(T_SelfStock_Log[Self_Qty],T_SelfStock_Log[Part Name],$A60,T_SelfStock_Log[WeekIndex],70))</f>
        <v/>
      </c>
      <c r="BT60" s="17">
        <f>IF(COUNTIFS(T_SelfStock_Log[Part Name],$A60,T_SelfStock_Log[WeekIndex],71)=0,"",SUMIFS(T_SelfStock_Log[Self_Qty],T_SelfStock_Log[Part Name],$A60,T_SelfStock_Log[WeekIndex],71))</f>
        <v/>
      </c>
      <c r="BU60" s="17">
        <f>IF(COUNTIFS(T_SelfStock_Log[Part Name],$A60,T_SelfStock_Log[WeekIndex],72)=0,"",SUMIFS(T_SelfStock_Log[Self_Qty],T_SelfStock_Log[Part Name],$A60,T_SelfStock_Log[WeekIndex],72))</f>
        <v/>
      </c>
      <c r="BV60" s="17">
        <f>IF(COUNTIFS(T_SelfStock_Log[Part Name],$A60,T_SelfStock_Log[WeekIndex],73)=0,"",SUMIFS(T_SelfStock_Log[Self_Qty],T_SelfStock_Log[Part Name],$A60,T_SelfStock_Log[WeekIndex],73))</f>
        <v/>
      </c>
      <c r="BW60" s="17">
        <f>IF(COUNTIFS(T_SelfStock_Log[Part Name],$A60,T_SelfStock_Log[WeekIndex],74)=0,"",SUMIFS(T_SelfStock_Log[Self_Qty],T_SelfStock_Log[Part Name],$A60,T_SelfStock_Log[WeekIndex],74))</f>
        <v/>
      </c>
      <c r="BX60" s="17">
        <f>IF(COUNTIFS(T_SelfStock_Log[Part Name],$A60,T_SelfStock_Log[WeekIndex],75)=0,"",SUMIFS(T_SelfStock_Log[Self_Qty],T_SelfStock_Log[Part Name],$A60,T_SelfStock_Log[WeekIndex],75))</f>
        <v/>
      </c>
      <c r="BY60" s="17">
        <f>IF(COUNTIFS(T_SelfStock_Log[Part Name],$A60,T_SelfStock_Log[WeekIndex],76)=0,"",SUMIFS(T_SelfStock_Log[Self_Qty],T_SelfStock_Log[Part Name],$A60,T_SelfStock_Log[WeekIndex],76))</f>
        <v/>
      </c>
      <c r="BZ60" s="17">
        <f>IF(COUNTIFS(T_SelfStock_Log[Part Name],$A60,T_SelfStock_Log[WeekIndex],77)=0,"",SUMIFS(T_SelfStock_Log[Self_Qty],T_SelfStock_Log[Part Name],$A60,T_SelfStock_Log[WeekIndex],77))</f>
        <v/>
      </c>
      <c r="CA60" s="17">
        <f>IF(COUNTIFS(T_SelfStock_Log[Part Name],$A60,T_SelfStock_Log[WeekIndex],78)=0,"",SUMIFS(T_SelfStock_Log[Self_Qty],T_SelfStock_Log[Part Name],$A60,T_SelfStock_Log[WeekIndex],78))</f>
        <v/>
      </c>
      <c r="CB60" s="17">
        <f>IF(COUNTIFS(T_SelfStock_Log[Part Name],$A60,T_SelfStock_Log[WeekIndex],79)=0,"",SUMIFS(T_SelfStock_Log[Self_Qty],T_SelfStock_Log[Part Name],$A60,T_SelfStock_Log[WeekIndex],79))</f>
        <v/>
      </c>
      <c r="CC60" s="17">
        <f>IF(COUNTIFS(T_SelfStock_Log[Part Name],$A60,T_SelfStock_Log[WeekIndex],80)=0,"",SUMIFS(T_SelfStock_Log[Self_Qty],T_SelfStock_Log[Part Name],$A60,T_SelfStock_Log[WeekIndex],80))</f>
        <v/>
      </c>
      <c r="CD60" s="17">
        <f>IF(COUNTIFS(T_SelfStock_Log[Part Name],$A60,T_SelfStock_Log[WeekIndex],81)=0,"",SUMIFS(T_SelfStock_Log[Self_Qty],T_SelfStock_Log[Part Name],$A60,T_SelfStock_Log[WeekIndex],81))</f>
        <v/>
      </c>
      <c r="CE60" s="17">
        <f>IF(COUNTIFS(T_SelfStock_Log[Part Name],$A60,T_SelfStock_Log[WeekIndex],82)=0,"",SUMIFS(T_SelfStock_Log[Self_Qty],T_SelfStock_Log[Part Name],$A60,T_SelfStock_Log[WeekIndex],82))</f>
        <v/>
      </c>
      <c r="CF60" s="17">
        <f>IF(COUNTIFS(T_SelfStock_Log[Part Name],$A60,T_SelfStock_Log[WeekIndex],83)=0,"",SUMIFS(T_SelfStock_Log[Self_Qty],T_SelfStock_Log[Part Name],$A60,T_SelfStock_Log[WeekIndex],83))</f>
        <v/>
      </c>
      <c r="CG60" s="17">
        <f>IF(COUNTIFS(T_SelfStock_Log[Part Name],$A60,T_SelfStock_Log[WeekIndex],84)=0,"",SUMIFS(T_SelfStock_Log[Self_Qty],T_SelfStock_Log[Part Name],$A60,T_SelfStock_Log[WeekIndex],84))</f>
        <v/>
      </c>
      <c r="CH60" s="17">
        <f>IF(COUNTIFS(T_SelfStock_Log[Part Name],$A60,T_SelfStock_Log[WeekIndex],85)=0,"",SUMIFS(T_SelfStock_Log[Self_Qty],T_SelfStock_Log[Part Name],$A60,T_SelfStock_Log[WeekIndex],85))</f>
        <v/>
      </c>
      <c r="CI60" s="17">
        <f>IF(COUNTIFS(T_SelfStock_Log[Part Name],$A60,T_SelfStock_Log[WeekIndex],86)=0,"",SUMIFS(T_SelfStock_Log[Self_Qty],T_SelfStock_Log[Part Name],$A60,T_SelfStock_Log[WeekIndex],86))</f>
        <v/>
      </c>
      <c r="CJ60" s="17">
        <f>IF(COUNTIFS(T_SelfStock_Log[Part Name],$A60,T_SelfStock_Log[WeekIndex],87)=0,"",SUMIFS(T_SelfStock_Log[Self_Qty],T_SelfStock_Log[Part Name],$A60,T_SelfStock_Log[WeekIndex],87))</f>
        <v/>
      </c>
      <c r="CK60" s="17">
        <f>IF(COUNTIFS(T_SelfStock_Log[Part Name],$A60,T_SelfStock_Log[WeekIndex],88)=0,"",SUMIFS(T_SelfStock_Log[Self_Qty],T_SelfStock_Log[Part Name],$A60,T_SelfStock_Log[WeekIndex],88))</f>
        <v/>
      </c>
      <c r="CL60" s="17">
        <f>IF(COUNTIFS(T_SelfStock_Log[Part Name],$A60,T_SelfStock_Log[WeekIndex],89)=0,"",SUMIFS(T_SelfStock_Log[Self_Qty],T_SelfStock_Log[Part Name],$A60,T_SelfStock_Log[WeekIndex],89))</f>
        <v/>
      </c>
      <c r="CM60" s="17">
        <f>IF(COUNTIFS(T_SelfStock_Log[Part Name],$A60,T_SelfStock_Log[WeekIndex],90)=0,"",SUMIFS(T_SelfStock_Log[Self_Qty],T_SelfStock_Log[Part Name],$A60,T_SelfStock_Log[WeekIndex],90))</f>
        <v/>
      </c>
      <c r="CN60" s="17">
        <f>IF(COUNTIFS(T_SelfStock_Log[Part Name],$A60,T_SelfStock_Log[WeekIndex],91)=0,"",SUMIFS(T_SelfStock_Log[Self_Qty],T_SelfStock_Log[Part Name],$A60,T_SelfStock_Log[WeekIndex],91))</f>
        <v/>
      </c>
      <c r="CO60" s="17">
        <f>IF(COUNTIFS(T_SelfStock_Log[Part Name],$A60,T_SelfStock_Log[WeekIndex],92)=0,"",SUMIFS(T_SelfStock_Log[Self_Qty],T_SelfStock_Log[Part Name],$A60,T_SelfStock_Log[WeekIndex],92))</f>
        <v/>
      </c>
      <c r="CP60" s="17">
        <f>IF(COUNTIFS(T_SelfStock_Log[Part Name],$A60,T_SelfStock_Log[WeekIndex],93)=0,"",SUMIFS(T_SelfStock_Log[Self_Qty],T_SelfStock_Log[Part Name],$A60,T_SelfStock_Log[WeekIndex],93))</f>
        <v/>
      </c>
      <c r="CQ60" s="17">
        <f>IF(COUNTIFS(T_SelfStock_Log[Part Name],$A60,T_SelfStock_Log[WeekIndex],94)=0,"",SUMIFS(T_SelfStock_Log[Self_Qty],T_SelfStock_Log[Part Name],$A60,T_SelfStock_Log[WeekIndex],94))</f>
        <v/>
      </c>
      <c r="CR60" s="17">
        <f>IF(COUNTIFS(T_SelfStock_Log[Part Name],$A60,T_SelfStock_Log[WeekIndex],95)=0,"",SUMIFS(T_SelfStock_Log[Self_Qty],T_SelfStock_Log[Part Name],$A60,T_SelfStock_Log[WeekIndex],95))</f>
        <v/>
      </c>
      <c r="CS60" s="17">
        <f>IF(COUNTIFS(T_SelfStock_Log[Part Name],$A60,T_SelfStock_Log[WeekIndex],96)=0,"",SUMIFS(T_SelfStock_Log[Self_Qty],T_SelfStock_Log[Part Name],$A60,T_SelfStock_Log[WeekIndex],96))</f>
        <v/>
      </c>
      <c r="CT60" s="17">
        <f>IF(COUNTIFS(T_SelfStock_Log[Part Name],$A60,T_SelfStock_Log[WeekIndex],97)=0,"",SUMIFS(T_SelfStock_Log[Self_Qty],T_SelfStock_Log[Part Name],$A60,T_SelfStock_Log[WeekIndex],97))</f>
        <v/>
      </c>
      <c r="CU60" s="17">
        <f>IF(COUNTIFS(T_SelfStock_Log[Part Name],$A60,T_SelfStock_Log[WeekIndex],98)=0,"",SUMIFS(T_SelfStock_Log[Self_Qty],T_SelfStock_Log[Part Name],$A60,T_SelfStock_Log[WeekIndex],98))</f>
        <v/>
      </c>
      <c r="CV60" s="17">
        <f>IF(COUNTIFS(T_SelfStock_Log[Part Name],$A60,T_SelfStock_Log[WeekIndex],99)=0,"",SUMIFS(T_SelfStock_Log[Self_Qty],T_SelfStock_Log[Part Name],$A60,T_SelfStock_Log[WeekIndex],99))</f>
        <v/>
      </c>
      <c r="CW60" s="17">
        <f>IF(COUNTIFS(T_SelfStock_Log[Part Name],$A60,T_SelfStock_Log[WeekIndex],100)=0,"",SUMIFS(T_SelfStock_Log[Self_Qty],T_SelfStock_Log[Part Name],$A60,T_SelfStock_Log[WeekIndex],100))</f>
        <v/>
      </c>
      <c r="CX60" s="17">
        <f>IF(COUNTIFS(T_SelfStock_Log[Part Name],$A60,T_SelfStock_Log[WeekIndex],101)=0,"",SUMIFS(T_SelfStock_Log[Self_Qty],T_SelfStock_Log[Part Name],$A60,T_SelfStock_Log[WeekIndex],101))</f>
        <v/>
      </c>
      <c r="CY60" s="17">
        <f>IF(COUNTIFS(T_SelfStock_Log[Part Name],$A60,T_SelfStock_Log[WeekIndex],102)=0,"",SUMIFS(T_SelfStock_Log[Self_Qty],T_SelfStock_Log[Part Name],$A60,T_SelfStock_Log[WeekIndex],102))</f>
        <v/>
      </c>
      <c r="CZ60" s="17">
        <f>IF(COUNTIFS(T_SelfStock_Log[Part Name],$A60,T_SelfStock_Log[WeekIndex],103)=0,"",SUMIFS(T_SelfStock_Log[Self_Qty],T_SelfStock_Log[Part Name],$A60,T_SelfStock_Log[WeekIndex],103))</f>
        <v/>
      </c>
      <c r="DA60" s="17">
        <f>IF(COUNTIFS(T_SelfStock_Log[Part Name],$A60,T_SelfStock_Log[WeekIndex],104)=0,"",SUMIFS(T_SelfStock_Log[Self_Qty],T_SelfStock_Log[Part Name],$A60,T_SelfStock_Log[WeekIndex],104))</f>
        <v/>
      </c>
    </row>
    <row r="61">
      <c r="A61" s="19" t="inlineStr">
        <is>
          <t>Ester Film</t>
        </is>
      </c>
      <c r="B61" s="19">
        <f>IF(COUNTIFS(T_SelfStock_Log[Part Name],$A61,T_SelfStock_Log[WeekIndex],1)=0,"",SUMIFS(T_SelfStock_Log[Self_Qty],T_SelfStock_Log[Part Name],$A61,T_SelfStock_Log[WeekIndex],1))</f>
        <v/>
      </c>
      <c r="C61" s="19">
        <f>IF(COUNTIFS(T_SelfStock_Log[Part Name],$A61,T_SelfStock_Log[WeekIndex],2)=0,"",SUMIFS(T_SelfStock_Log[Self_Qty],T_SelfStock_Log[Part Name],$A61,T_SelfStock_Log[WeekIndex],2))</f>
        <v/>
      </c>
      <c r="D61" s="19">
        <f>IF(COUNTIFS(T_SelfStock_Log[Part Name],$A61,T_SelfStock_Log[WeekIndex],3)=0,"",SUMIFS(T_SelfStock_Log[Self_Qty],T_SelfStock_Log[Part Name],$A61,T_SelfStock_Log[WeekIndex],3))</f>
        <v/>
      </c>
      <c r="E61" s="19">
        <f>IF(COUNTIFS(T_SelfStock_Log[Part Name],$A61,T_SelfStock_Log[WeekIndex],4)=0,"",SUMIFS(T_SelfStock_Log[Self_Qty],T_SelfStock_Log[Part Name],$A61,T_SelfStock_Log[WeekIndex],4))</f>
        <v/>
      </c>
      <c r="F61" s="19">
        <f>IF(COUNTIFS(T_SelfStock_Log[Part Name],$A61,T_SelfStock_Log[WeekIndex],5)=0,"",SUMIFS(T_SelfStock_Log[Self_Qty],T_SelfStock_Log[Part Name],$A61,T_SelfStock_Log[WeekIndex],5))</f>
        <v/>
      </c>
      <c r="G61" s="19">
        <f>IF(COUNTIFS(T_SelfStock_Log[Part Name],$A61,T_SelfStock_Log[WeekIndex],6)=0,"",SUMIFS(T_SelfStock_Log[Self_Qty],T_SelfStock_Log[Part Name],$A61,T_SelfStock_Log[WeekIndex],6))</f>
        <v/>
      </c>
      <c r="H61" s="19">
        <f>IF(COUNTIFS(T_SelfStock_Log[Part Name],$A61,T_SelfStock_Log[WeekIndex],7)=0,"",SUMIFS(T_SelfStock_Log[Self_Qty],T_SelfStock_Log[Part Name],$A61,T_SelfStock_Log[WeekIndex],7))</f>
        <v/>
      </c>
      <c r="I61" s="19">
        <f>IF(COUNTIFS(T_SelfStock_Log[Part Name],$A61,T_SelfStock_Log[WeekIndex],8)=0,"",SUMIFS(T_SelfStock_Log[Self_Qty],T_SelfStock_Log[Part Name],$A61,T_SelfStock_Log[WeekIndex],8))</f>
        <v/>
      </c>
      <c r="J61" s="19">
        <f>IF(COUNTIFS(T_SelfStock_Log[Part Name],$A61,T_SelfStock_Log[WeekIndex],9)=0,"",SUMIFS(T_SelfStock_Log[Self_Qty],T_SelfStock_Log[Part Name],$A61,T_SelfStock_Log[WeekIndex],9))</f>
        <v/>
      </c>
      <c r="K61" s="19">
        <f>IF(COUNTIFS(T_SelfStock_Log[Part Name],$A61,T_SelfStock_Log[WeekIndex],10)=0,"",SUMIFS(T_SelfStock_Log[Self_Qty],T_SelfStock_Log[Part Name],$A61,T_SelfStock_Log[WeekIndex],10))</f>
        <v/>
      </c>
      <c r="L61" s="19">
        <f>IF(COUNTIFS(T_SelfStock_Log[Part Name],$A61,T_SelfStock_Log[WeekIndex],11)=0,"",SUMIFS(T_SelfStock_Log[Self_Qty],T_SelfStock_Log[Part Name],$A61,T_SelfStock_Log[WeekIndex],11))</f>
        <v/>
      </c>
      <c r="M61" s="19">
        <f>IF(COUNTIFS(T_SelfStock_Log[Part Name],$A61,T_SelfStock_Log[WeekIndex],12)=0,"",SUMIFS(T_SelfStock_Log[Self_Qty],T_SelfStock_Log[Part Name],$A61,T_SelfStock_Log[WeekIndex],12))</f>
        <v/>
      </c>
      <c r="N61" s="19">
        <f>IF(COUNTIFS(T_SelfStock_Log[Part Name],$A61,T_SelfStock_Log[WeekIndex],13)=0,"",SUMIFS(T_SelfStock_Log[Self_Qty],T_SelfStock_Log[Part Name],$A61,T_SelfStock_Log[WeekIndex],13))</f>
        <v/>
      </c>
      <c r="O61" s="19">
        <f>IF(COUNTIFS(T_SelfStock_Log[Part Name],$A61,T_SelfStock_Log[WeekIndex],14)=0,"",SUMIFS(T_SelfStock_Log[Self_Qty],T_SelfStock_Log[Part Name],$A61,T_SelfStock_Log[WeekIndex],14))</f>
        <v/>
      </c>
      <c r="P61" s="19">
        <f>IF(COUNTIFS(T_SelfStock_Log[Part Name],$A61,T_SelfStock_Log[WeekIndex],15)=0,"",SUMIFS(T_SelfStock_Log[Self_Qty],T_SelfStock_Log[Part Name],$A61,T_SelfStock_Log[WeekIndex],15))</f>
        <v/>
      </c>
      <c r="Q61" s="19">
        <f>IF(COUNTIFS(T_SelfStock_Log[Part Name],$A61,T_SelfStock_Log[WeekIndex],16)=0,"",SUMIFS(T_SelfStock_Log[Self_Qty],T_SelfStock_Log[Part Name],$A61,T_SelfStock_Log[WeekIndex],16))</f>
        <v/>
      </c>
      <c r="R61" s="19">
        <f>IF(COUNTIFS(T_SelfStock_Log[Part Name],$A61,T_SelfStock_Log[WeekIndex],17)=0,"",SUMIFS(T_SelfStock_Log[Self_Qty],T_SelfStock_Log[Part Name],$A61,T_SelfStock_Log[WeekIndex],17))</f>
        <v/>
      </c>
      <c r="S61" s="19">
        <f>IF(COUNTIFS(T_SelfStock_Log[Part Name],$A61,T_SelfStock_Log[WeekIndex],18)=0,"",SUMIFS(T_SelfStock_Log[Self_Qty],T_SelfStock_Log[Part Name],$A61,T_SelfStock_Log[WeekIndex],18))</f>
        <v/>
      </c>
      <c r="T61" s="19">
        <f>IF(COUNTIFS(T_SelfStock_Log[Part Name],$A61,T_SelfStock_Log[WeekIndex],19)=0,"",SUMIFS(T_SelfStock_Log[Self_Qty],T_SelfStock_Log[Part Name],$A61,T_SelfStock_Log[WeekIndex],19))</f>
        <v/>
      </c>
      <c r="U61" s="19">
        <f>IF(COUNTIFS(T_SelfStock_Log[Part Name],$A61,T_SelfStock_Log[WeekIndex],20)=0,"",SUMIFS(T_SelfStock_Log[Self_Qty],T_SelfStock_Log[Part Name],$A61,T_SelfStock_Log[WeekIndex],20))</f>
        <v/>
      </c>
      <c r="V61" s="19">
        <f>IF(COUNTIFS(T_SelfStock_Log[Part Name],$A61,T_SelfStock_Log[WeekIndex],21)=0,"",SUMIFS(T_SelfStock_Log[Self_Qty],T_SelfStock_Log[Part Name],$A61,T_SelfStock_Log[WeekIndex],21))</f>
        <v/>
      </c>
      <c r="W61" s="19">
        <f>IF(COUNTIFS(T_SelfStock_Log[Part Name],$A61,T_SelfStock_Log[WeekIndex],22)=0,"",SUMIFS(T_SelfStock_Log[Self_Qty],T_SelfStock_Log[Part Name],$A61,T_SelfStock_Log[WeekIndex],22))</f>
        <v/>
      </c>
      <c r="X61" s="19">
        <f>IF(COUNTIFS(T_SelfStock_Log[Part Name],$A61,T_SelfStock_Log[WeekIndex],23)=0,"",SUMIFS(T_SelfStock_Log[Self_Qty],T_SelfStock_Log[Part Name],$A61,T_SelfStock_Log[WeekIndex],23))</f>
        <v/>
      </c>
      <c r="Y61" s="19">
        <f>IF(COUNTIFS(T_SelfStock_Log[Part Name],$A61,T_SelfStock_Log[WeekIndex],24)=0,"",SUMIFS(T_SelfStock_Log[Self_Qty],T_SelfStock_Log[Part Name],$A61,T_SelfStock_Log[WeekIndex],24))</f>
        <v/>
      </c>
      <c r="Z61" s="19">
        <f>IF(COUNTIFS(T_SelfStock_Log[Part Name],$A61,T_SelfStock_Log[WeekIndex],25)=0,"",SUMIFS(T_SelfStock_Log[Self_Qty],T_SelfStock_Log[Part Name],$A61,T_SelfStock_Log[WeekIndex],25))</f>
        <v/>
      </c>
      <c r="AA61" s="19">
        <f>IF(COUNTIFS(T_SelfStock_Log[Part Name],$A61,T_SelfStock_Log[WeekIndex],26)=0,"",SUMIFS(T_SelfStock_Log[Self_Qty],T_SelfStock_Log[Part Name],$A61,T_SelfStock_Log[WeekIndex],26))</f>
        <v/>
      </c>
      <c r="AB61" s="19">
        <f>IF(COUNTIFS(T_SelfStock_Log[Part Name],$A61,T_SelfStock_Log[WeekIndex],27)=0,"",SUMIFS(T_SelfStock_Log[Self_Qty],T_SelfStock_Log[Part Name],$A61,T_SelfStock_Log[WeekIndex],27))</f>
        <v/>
      </c>
      <c r="AC61" s="19">
        <f>IF(COUNTIFS(T_SelfStock_Log[Part Name],$A61,T_SelfStock_Log[WeekIndex],28)=0,"",SUMIFS(T_SelfStock_Log[Self_Qty],T_SelfStock_Log[Part Name],$A61,T_SelfStock_Log[WeekIndex],28))</f>
        <v/>
      </c>
      <c r="AD61" s="19">
        <f>IF(COUNTIFS(T_SelfStock_Log[Part Name],$A61,T_SelfStock_Log[WeekIndex],29)=0,"",SUMIFS(T_SelfStock_Log[Self_Qty],T_SelfStock_Log[Part Name],$A61,T_SelfStock_Log[WeekIndex],29))</f>
        <v/>
      </c>
      <c r="AE61" s="19">
        <f>IF(COUNTIFS(T_SelfStock_Log[Part Name],$A61,T_SelfStock_Log[WeekIndex],30)=0,"",SUMIFS(T_SelfStock_Log[Self_Qty],T_SelfStock_Log[Part Name],$A61,T_SelfStock_Log[WeekIndex],30))</f>
        <v/>
      </c>
      <c r="AF61" s="19">
        <f>IF(COUNTIFS(T_SelfStock_Log[Part Name],$A61,T_SelfStock_Log[WeekIndex],31)=0,"",SUMIFS(T_SelfStock_Log[Self_Qty],T_SelfStock_Log[Part Name],$A61,T_SelfStock_Log[WeekIndex],31))</f>
        <v/>
      </c>
      <c r="AG61" s="19">
        <f>IF(COUNTIFS(T_SelfStock_Log[Part Name],$A61,T_SelfStock_Log[WeekIndex],32)=0,"",SUMIFS(T_SelfStock_Log[Self_Qty],T_SelfStock_Log[Part Name],$A61,T_SelfStock_Log[WeekIndex],32))</f>
        <v/>
      </c>
      <c r="AH61" s="19">
        <f>IF(COUNTIFS(T_SelfStock_Log[Part Name],$A61,T_SelfStock_Log[WeekIndex],33)=0,"",SUMIFS(T_SelfStock_Log[Self_Qty],T_SelfStock_Log[Part Name],$A61,T_SelfStock_Log[WeekIndex],33))</f>
        <v/>
      </c>
      <c r="AI61" s="19">
        <f>IF(COUNTIFS(T_SelfStock_Log[Part Name],$A61,T_SelfStock_Log[WeekIndex],34)=0,"",SUMIFS(T_SelfStock_Log[Self_Qty],T_SelfStock_Log[Part Name],$A61,T_SelfStock_Log[WeekIndex],34))</f>
        <v/>
      </c>
      <c r="AJ61" s="19">
        <f>IF(COUNTIFS(T_SelfStock_Log[Part Name],$A61,T_SelfStock_Log[WeekIndex],35)=0,"",SUMIFS(T_SelfStock_Log[Self_Qty],T_SelfStock_Log[Part Name],$A61,T_SelfStock_Log[WeekIndex],35))</f>
        <v/>
      </c>
      <c r="AK61" s="19">
        <f>IF(COUNTIFS(T_SelfStock_Log[Part Name],$A61,T_SelfStock_Log[WeekIndex],36)=0,"",SUMIFS(T_SelfStock_Log[Self_Qty],T_SelfStock_Log[Part Name],$A61,T_SelfStock_Log[WeekIndex],36))</f>
        <v/>
      </c>
      <c r="AL61" s="19">
        <f>IF(COUNTIFS(T_SelfStock_Log[Part Name],$A61,T_SelfStock_Log[WeekIndex],37)=0,"",SUMIFS(T_SelfStock_Log[Self_Qty],T_SelfStock_Log[Part Name],$A61,T_SelfStock_Log[WeekIndex],37))</f>
        <v/>
      </c>
      <c r="AM61" s="19">
        <f>IF(COUNTIFS(T_SelfStock_Log[Part Name],$A61,T_SelfStock_Log[WeekIndex],38)=0,"",SUMIFS(T_SelfStock_Log[Self_Qty],T_SelfStock_Log[Part Name],$A61,T_SelfStock_Log[WeekIndex],38))</f>
        <v/>
      </c>
      <c r="AN61" s="19">
        <f>IF(COUNTIFS(T_SelfStock_Log[Part Name],$A61,T_SelfStock_Log[WeekIndex],39)=0,"",SUMIFS(T_SelfStock_Log[Self_Qty],T_SelfStock_Log[Part Name],$A61,T_SelfStock_Log[WeekIndex],39))</f>
        <v/>
      </c>
      <c r="AO61" s="19">
        <f>IF(COUNTIFS(T_SelfStock_Log[Part Name],$A61,T_SelfStock_Log[WeekIndex],40)=0,"",SUMIFS(T_SelfStock_Log[Self_Qty],T_SelfStock_Log[Part Name],$A61,T_SelfStock_Log[WeekIndex],40))</f>
        <v/>
      </c>
      <c r="AP61" s="19">
        <f>IF(COUNTIFS(T_SelfStock_Log[Part Name],$A61,T_SelfStock_Log[WeekIndex],41)=0,"",SUMIFS(T_SelfStock_Log[Self_Qty],T_SelfStock_Log[Part Name],$A61,T_SelfStock_Log[WeekIndex],41))</f>
        <v/>
      </c>
      <c r="AQ61" s="19">
        <f>IF(COUNTIFS(T_SelfStock_Log[Part Name],$A61,T_SelfStock_Log[WeekIndex],42)=0,"",SUMIFS(T_SelfStock_Log[Self_Qty],T_SelfStock_Log[Part Name],$A61,T_SelfStock_Log[WeekIndex],42))</f>
        <v/>
      </c>
      <c r="AR61" s="19">
        <f>IF(COUNTIFS(T_SelfStock_Log[Part Name],$A61,T_SelfStock_Log[WeekIndex],43)=0,"",SUMIFS(T_SelfStock_Log[Self_Qty],T_SelfStock_Log[Part Name],$A61,T_SelfStock_Log[WeekIndex],43))</f>
        <v/>
      </c>
      <c r="AS61" s="19">
        <f>IF(COUNTIFS(T_SelfStock_Log[Part Name],$A61,T_SelfStock_Log[WeekIndex],44)=0,"",SUMIFS(T_SelfStock_Log[Self_Qty],T_SelfStock_Log[Part Name],$A61,T_SelfStock_Log[WeekIndex],44))</f>
        <v/>
      </c>
      <c r="AT61" s="19">
        <f>IF(COUNTIFS(T_SelfStock_Log[Part Name],$A61,T_SelfStock_Log[WeekIndex],45)=0,"",SUMIFS(T_SelfStock_Log[Self_Qty],T_SelfStock_Log[Part Name],$A61,T_SelfStock_Log[WeekIndex],45))</f>
        <v/>
      </c>
      <c r="AU61" s="19">
        <f>IF(COUNTIFS(T_SelfStock_Log[Part Name],$A61,T_SelfStock_Log[WeekIndex],46)=0,"",SUMIFS(T_SelfStock_Log[Self_Qty],T_SelfStock_Log[Part Name],$A61,T_SelfStock_Log[WeekIndex],46))</f>
        <v/>
      </c>
      <c r="AV61" s="19">
        <f>IF(COUNTIFS(T_SelfStock_Log[Part Name],$A61,T_SelfStock_Log[WeekIndex],47)=0,"",SUMIFS(T_SelfStock_Log[Self_Qty],T_SelfStock_Log[Part Name],$A61,T_SelfStock_Log[WeekIndex],47))</f>
        <v/>
      </c>
      <c r="AW61" s="19">
        <f>IF(COUNTIFS(T_SelfStock_Log[Part Name],$A61,T_SelfStock_Log[WeekIndex],48)=0,"",SUMIFS(T_SelfStock_Log[Self_Qty],T_SelfStock_Log[Part Name],$A61,T_SelfStock_Log[WeekIndex],48))</f>
        <v/>
      </c>
      <c r="AX61" s="19">
        <f>IF(COUNTIFS(T_SelfStock_Log[Part Name],$A61,T_SelfStock_Log[WeekIndex],49)=0,"",SUMIFS(T_SelfStock_Log[Self_Qty],T_SelfStock_Log[Part Name],$A61,T_SelfStock_Log[WeekIndex],49))</f>
        <v/>
      </c>
      <c r="AY61" s="19">
        <f>IF(COUNTIFS(T_SelfStock_Log[Part Name],$A61,T_SelfStock_Log[WeekIndex],50)=0,"",SUMIFS(T_SelfStock_Log[Self_Qty],T_SelfStock_Log[Part Name],$A61,T_SelfStock_Log[WeekIndex],50))</f>
        <v/>
      </c>
      <c r="AZ61" s="19">
        <f>IF(COUNTIFS(T_SelfStock_Log[Part Name],$A61,T_SelfStock_Log[WeekIndex],51)=0,"",SUMIFS(T_SelfStock_Log[Self_Qty],T_SelfStock_Log[Part Name],$A61,T_SelfStock_Log[WeekIndex],51))</f>
        <v/>
      </c>
      <c r="BA61" s="19">
        <f>IF(COUNTIFS(T_SelfStock_Log[Part Name],$A61,T_SelfStock_Log[WeekIndex],52)=0,"",SUMIFS(T_SelfStock_Log[Self_Qty],T_SelfStock_Log[Part Name],$A61,T_SelfStock_Log[WeekIndex],52))</f>
        <v/>
      </c>
      <c r="BB61" s="19">
        <f>IF(COUNTIFS(T_SelfStock_Log[Part Name],$A61,T_SelfStock_Log[WeekIndex],53)=0,"",SUMIFS(T_SelfStock_Log[Self_Qty],T_SelfStock_Log[Part Name],$A61,T_SelfStock_Log[WeekIndex],53))</f>
        <v/>
      </c>
      <c r="BC61" s="19">
        <f>IF(COUNTIFS(T_SelfStock_Log[Part Name],$A61,T_SelfStock_Log[WeekIndex],54)=0,"",SUMIFS(T_SelfStock_Log[Self_Qty],T_SelfStock_Log[Part Name],$A61,T_SelfStock_Log[WeekIndex],54))</f>
        <v/>
      </c>
      <c r="BD61" s="19">
        <f>IF(COUNTIFS(T_SelfStock_Log[Part Name],$A61,T_SelfStock_Log[WeekIndex],55)=0,"",SUMIFS(T_SelfStock_Log[Self_Qty],T_SelfStock_Log[Part Name],$A61,T_SelfStock_Log[WeekIndex],55))</f>
        <v/>
      </c>
      <c r="BE61" s="19">
        <f>IF(COUNTIFS(T_SelfStock_Log[Part Name],$A61,T_SelfStock_Log[WeekIndex],56)=0,"",SUMIFS(T_SelfStock_Log[Self_Qty],T_SelfStock_Log[Part Name],$A61,T_SelfStock_Log[WeekIndex],56))</f>
        <v/>
      </c>
      <c r="BF61" s="19">
        <f>IF(COUNTIFS(T_SelfStock_Log[Part Name],$A61,T_SelfStock_Log[WeekIndex],57)=0,"",SUMIFS(T_SelfStock_Log[Self_Qty],T_SelfStock_Log[Part Name],$A61,T_SelfStock_Log[WeekIndex],57))</f>
        <v/>
      </c>
      <c r="BG61" s="19">
        <f>IF(COUNTIFS(T_SelfStock_Log[Part Name],$A61,T_SelfStock_Log[WeekIndex],58)=0,"",SUMIFS(T_SelfStock_Log[Self_Qty],T_SelfStock_Log[Part Name],$A61,T_SelfStock_Log[WeekIndex],58))</f>
        <v/>
      </c>
      <c r="BH61" s="19">
        <f>IF(COUNTIFS(T_SelfStock_Log[Part Name],$A61,T_SelfStock_Log[WeekIndex],59)=0,"",SUMIFS(T_SelfStock_Log[Self_Qty],T_SelfStock_Log[Part Name],$A61,T_SelfStock_Log[WeekIndex],59))</f>
        <v/>
      </c>
      <c r="BI61" s="19">
        <f>IF(COUNTIFS(T_SelfStock_Log[Part Name],$A61,T_SelfStock_Log[WeekIndex],60)=0,"",SUMIFS(T_SelfStock_Log[Self_Qty],T_SelfStock_Log[Part Name],$A61,T_SelfStock_Log[WeekIndex],60))</f>
        <v/>
      </c>
      <c r="BJ61" s="19">
        <f>IF(COUNTIFS(T_SelfStock_Log[Part Name],$A61,T_SelfStock_Log[WeekIndex],61)=0,"",SUMIFS(T_SelfStock_Log[Self_Qty],T_SelfStock_Log[Part Name],$A61,T_SelfStock_Log[WeekIndex],61))</f>
        <v/>
      </c>
      <c r="BK61" s="19">
        <f>IF(COUNTIFS(T_SelfStock_Log[Part Name],$A61,T_SelfStock_Log[WeekIndex],62)=0,"",SUMIFS(T_SelfStock_Log[Self_Qty],T_SelfStock_Log[Part Name],$A61,T_SelfStock_Log[WeekIndex],62))</f>
        <v/>
      </c>
      <c r="BL61" s="19">
        <f>IF(COUNTIFS(T_SelfStock_Log[Part Name],$A61,T_SelfStock_Log[WeekIndex],63)=0,"",SUMIFS(T_SelfStock_Log[Self_Qty],T_SelfStock_Log[Part Name],$A61,T_SelfStock_Log[WeekIndex],63))</f>
        <v/>
      </c>
      <c r="BM61" s="19">
        <f>IF(COUNTIFS(T_SelfStock_Log[Part Name],$A61,T_SelfStock_Log[WeekIndex],64)=0,"",SUMIFS(T_SelfStock_Log[Self_Qty],T_SelfStock_Log[Part Name],$A61,T_SelfStock_Log[WeekIndex],64))</f>
        <v/>
      </c>
      <c r="BN61" s="19">
        <f>IF(COUNTIFS(T_SelfStock_Log[Part Name],$A61,T_SelfStock_Log[WeekIndex],65)=0,"",SUMIFS(T_SelfStock_Log[Self_Qty],T_SelfStock_Log[Part Name],$A61,T_SelfStock_Log[WeekIndex],65))</f>
        <v/>
      </c>
      <c r="BO61" s="19">
        <f>IF(COUNTIFS(T_SelfStock_Log[Part Name],$A61,T_SelfStock_Log[WeekIndex],66)=0,"",SUMIFS(T_SelfStock_Log[Self_Qty],T_SelfStock_Log[Part Name],$A61,T_SelfStock_Log[WeekIndex],66))</f>
        <v/>
      </c>
      <c r="BP61" s="19">
        <f>IF(COUNTIFS(T_SelfStock_Log[Part Name],$A61,T_SelfStock_Log[WeekIndex],67)=0,"",SUMIFS(T_SelfStock_Log[Self_Qty],T_SelfStock_Log[Part Name],$A61,T_SelfStock_Log[WeekIndex],67))</f>
        <v/>
      </c>
      <c r="BQ61" s="19">
        <f>IF(COUNTIFS(T_SelfStock_Log[Part Name],$A61,T_SelfStock_Log[WeekIndex],68)=0,"",SUMIFS(T_SelfStock_Log[Self_Qty],T_SelfStock_Log[Part Name],$A61,T_SelfStock_Log[WeekIndex],68))</f>
        <v/>
      </c>
      <c r="BR61" s="19">
        <f>IF(COUNTIFS(T_SelfStock_Log[Part Name],$A61,T_SelfStock_Log[WeekIndex],69)=0,"",SUMIFS(T_SelfStock_Log[Self_Qty],T_SelfStock_Log[Part Name],$A61,T_SelfStock_Log[WeekIndex],69))</f>
        <v/>
      </c>
      <c r="BS61" s="19">
        <f>IF(COUNTIFS(T_SelfStock_Log[Part Name],$A61,T_SelfStock_Log[WeekIndex],70)=0,"",SUMIFS(T_SelfStock_Log[Self_Qty],T_SelfStock_Log[Part Name],$A61,T_SelfStock_Log[WeekIndex],70))</f>
        <v/>
      </c>
      <c r="BT61" s="19">
        <f>IF(COUNTIFS(T_SelfStock_Log[Part Name],$A61,T_SelfStock_Log[WeekIndex],71)=0,"",SUMIFS(T_SelfStock_Log[Self_Qty],T_SelfStock_Log[Part Name],$A61,T_SelfStock_Log[WeekIndex],71))</f>
        <v/>
      </c>
      <c r="BU61" s="19">
        <f>IF(COUNTIFS(T_SelfStock_Log[Part Name],$A61,T_SelfStock_Log[WeekIndex],72)=0,"",SUMIFS(T_SelfStock_Log[Self_Qty],T_SelfStock_Log[Part Name],$A61,T_SelfStock_Log[WeekIndex],72))</f>
        <v/>
      </c>
      <c r="BV61" s="19">
        <f>IF(COUNTIFS(T_SelfStock_Log[Part Name],$A61,T_SelfStock_Log[WeekIndex],73)=0,"",SUMIFS(T_SelfStock_Log[Self_Qty],T_SelfStock_Log[Part Name],$A61,T_SelfStock_Log[WeekIndex],73))</f>
        <v/>
      </c>
      <c r="BW61" s="19">
        <f>IF(COUNTIFS(T_SelfStock_Log[Part Name],$A61,T_SelfStock_Log[WeekIndex],74)=0,"",SUMIFS(T_SelfStock_Log[Self_Qty],T_SelfStock_Log[Part Name],$A61,T_SelfStock_Log[WeekIndex],74))</f>
        <v/>
      </c>
      <c r="BX61" s="19">
        <f>IF(COUNTIFS(T_SelfStock_Log[Part Name],$A61,T_SelfStock_Log[WeekIndex],75)=0,"",SUMIFS(T_SelfStock_Log[Self_Qty],T_SelfStock_Log[Part Name],$A61,T_SelfStock_Log[WeekIndex],75))</f>
        <v/>
      </c>
      <c r="BY61" s="19">
        <f>IF(COUNTIFS(T_SelfStock_Log[Part Name],$A61,T_SelfStock_Log[WeekIndex],76)=0,"",SUMIFS(T_SelfStock_Log[Self_Qty],T_SelfStock_Log[Part Name],$A61,T_SelfStock_Log[WeekIndex],76))</f>
        <v/>
      </c>
      <c r="BZ61" s="19">
        <f>IF(COUNTIFS(T_SelfStock_Log[Part Name],$A61,T_SelfStock_Log[WeekIndex],77)=0,"",SUMIFS(T_SelfStock_Log[Self_Qty],T_SelfStock_Log[Part Name],$A61,T_SelfStock_Log[WeekIndex],77))</f>
        <v/>
      </c>
      <c r="CA61" s="19">
        <f>IF(COUNTIFS(T_SelfStock_Log[Part Name],$A61,T_SelfStock_Log[WeekIndex],78)=0,"",SUMIFS(T_SelfStock_Log[Self_Qty],T_SelfStock_Log[Part Name],$A61,T_SelfStock_Log[WeekIndex],78))</f>
        <v/>
      </c>
      <c r="CB61" s="19">
        <f>IF(COUNTIFS(T_SelfStock_Log[Part Name],$A61,T_SelfStock_Log[WeekIndex],79)=0,"",SUMIFS(T_SelfStock_Log[Self_Qty],T_SelfStock_Log[Part Name],$A61,T_SelfStock_Log[WeekIndex],79))</f>
        <v/>
      </c>
      <c r="CC61" s="19">
        <f>IF(COUNTIFS(T_SelfStock_Log[Part Name],$A61,T_SelfStock_Log[WeekIndex],80)=0,"",SUMIFS(T_SelfStock_Log[Self_Qty],T_SelfStock_Log[Part Name],$A61,T_SelfStock_Log[WeekIndex],80))</f>
        <v/>
      </c>
      <c r="CD61" s="19">
        <f>IF(COUNTIFS(T_SelfStock_Log[Part Name],$A61,T_SelfStock_Log[WeekIndex],81)=0,"",SUMIFS(T_SelfStock_Log[Self_Qty],T_SelfStock_Log[Part Name],$A61,T_SelfStock_Log[WeekIndex],81))</f>
        <v/>
      </c>
      <c r="CE61" s="19">
        <f>IF(COUNTIFS(T_SelfStock_Log[Part Name],$A61,T_SelfStock_Log[WeekIndex],82)=0,"",SUMIFS(T_SelfStock_Log[Self_Qty],T_SelfStock_Log[Part Name],$A61,T_SelfStock_Log[WeekIndex],82))</f>
        <v/>
      </c>
      <c r="CF61" s="19">
        <f>IF(COUNTIFS(T_SelfStock_Log[Part Name],$A61,T_SelfStock_Log[WeekIndex],83)=0,"",SUMIFS(T_SelfStock_Log[Self_Qty],T_SelfStock_Log[Part Name],$A61,T_SelfStock_Log[WeekIndex],83))</f>
        <v/>
      </c>
      <c r="CG61" s="19">
        <f>IF(COUNTIFS(T_SelfStock_Log[Part Name],$A61,T_SelfStock_Log[WeekIndex],84)=0,"",SUMIFS(T_SelfStock_Log[Self_Qty],T_SelfStock_Log[Part Name],$A61,T_SelfStock_Log[WeekIndex],84))</f>
        <v/>
      </c>
      <c r="CH61" s="19">
        <f>IF(COUNTIFS(T_SelfStock_Log[Part Name],$A61,T_SelfStock_Log[WeekIndex],85)=0,"",SUMIFS(T_SelfStock_Log[Self_Qty],T_SelfStock_Log[Part Name],$A61,T_SelfStock_Log[WeekIndex],85))</f>
        <v/>
      </c>
      <c r="CI61" s="19">
        <f>IF(COUNTIFS(T_SelfStock_Log[Part Name],$A61,T_SelfStock_Log[WeekIndex],86)=0,"",SUMIFS(T_SelfStock_Log[Self_Qty],T_SelfStock_Log[Part Name],$A61,T_SelfStock_Log[WeekIndex],86))</f>
        <v/>
      </c>
      <c r="CJ61" s="19">
        <f>IF(COUNTIFS(T_SelfStock_Log[Part Name],$A61,T_SelfStock_Log[WeekIndex],87)=0,"",SUMIFS(T_SelfStock_Log[Self_Qty],T_SelfStock_Log[Part Name],$A61,T_SelfStock_Log[WeekIndex],87))</f>
        <v/>
      </c>
      <c r="CK61" s="19">
        <f>IF(COUNTIFS(T_SelfStock_Log[Part Name],$A61,T_SelfStock_Log[WeekIndex],88)=0,"",SUMIFS(T_SelfStock_Log[Self_Qty],T_SelfStock_Log[Part Name],$A61,T_SelfStock_Log[WeekIndex],88))</f>
        <v/>
      </c>
      <c r="CL61" s="19">
        <f>IF(COUNTIFS(T_SelfStock_Log[Part Name],$A61,T_SelfStock_Log[WeekIndex],89)=0,"",SUMIFS(T_SelfStock_Log[Self_Qty],T_SelfStock_Log[Part Name],$A61,T_SelfStock_Log[WeekIndex],89))</f>
        <v/>
      </c>
      <c r="CM61" s="19">
        <f>IF(COUNTIFS(T_SelfStock_Log[Part Name],$A61,T_SelfStock_Log[WeekIndex],90)=0,"",SUMIFS(T_SelfStock_Log[Self_Qty],T_SelfStock_Log[Part Name],$A61,T_SelfStock_Log[WeekIndex],90))</f>
        <v/>
      </c>
      <c r="CN61" s="19">
        <f>IF(COUNTIFS(T_SelfStock_Log[Part Name],$A61,T_SelfStock_Log[WeekIndex],91)=0,"",SUMIFS(T_SelfStock_Log[Self_Qty],T_SelfStock_Log[Part Name],$A61,T_SelfStock_Log[WeekIndex],91))</f>
        <v/>
      </c>
      <c r="CO61" s="19">
        <f>IF(COUNTIFS(T_SelfStock_Log[Part Name],$A61,T_SelfStock_Log[WeekIndex],92)=0,"",SUMIFS(T_SelfStock_Log[Self_Qty],T_SelfStock_Log[Part Name],$A61,T_SelfStock_Log[WeekIndex],92))</f>
        <v/>
      </c>
      <c r="CP61" s="19">
        <f>IF(COUNTIFS(T_SelfStock_Log[Part Name],$A61,T_SelfStock_Log[WeekIndex],93)=0,"",SUMIFS(T_SelfStock_Log[Self_Qty],T_SelfStock_Log[Part Name],$A61,T_SelfStock_Log[WeekIndex],93))</f>
        <v/>
      </c>
      <c r="CQ61" s="19">
        <f>IF(COUNTIFS(T_SelfStock_Log[Part Name],$A61,T_SelfStock_Log[WeekIndex],94)=0,"",SUMIFS(T_SelfStock_Log[Self_Qty],T_SelfStock_Log[Part Name],$A61,T_SelfStock_Log[WeekIndex],94))</f>
        <v/>
      </c>
      <c r="CR61" s="19">
        <f>IF(COUNTIFS(T_SelfStock_Log[Part Name],$A61,T_SelfStock_Log[WeekIndex],95)=0,"",SUMIFS(T_SelfStock_Log[Self_Qty],T_SelfStock_Log[Part Name],$A61,T_SelfStock_Log[WeekIndex],95))</f>
        <v/>
      </c>
      <c r="CS61" s="19">
        <f>IF(COUNTIFS(T_SelfStock_Log[Part Name],$A61,T_SelfStock_Log[WeekIndex],96)=0,"",SUMIFS(T_SelfStock_Log[Self_Qty],T_SelfStock_Log[Part Name],$A61,T_SelfStock_Log[WeekIndex],96))</f>
        <v/>
      </c>
      <c r="CT61" s="19">
        <f>IF(COUNTIFS(T_SelfStock_Log[Part Name],$A61,T_SelfStock_Log[WeekIndex],97)=0,"",SUMIFS(T_SelfStock_Log[Self_Qty],T_SelfStock_Log[Part Name],$A61,T_SelfStock_Log[WeekIndex],97))</f>
        <v/>
      </c>
      <c r="CU61" s="19">
        <f>IF(COUNTIFS(T_SelfStock_Log[Part Name],$A61,T_SelfStock_Log[WeekIndex],98)=0,"",SUMIFS(T_SelfStock_Log[Self_Qty],T_SelfStock_Log[Part Name],$A61,T_SelfStock_Log[WeekIndex],98))</f>
        <v/>
      </c>
      <c r="CV61" s="19">
        <f>IF(COUNTIFS(T_SelfStock_Log[Part Name],$A61,T_SelfStock_Log[WeekIndex],99)=0,"",SUMIFS(T_SelfStock_Log[Self_Qty],T_SelfStock_Log[Part Name],$A61,T_SelfStock_Log[WeekIndex],99))</f>
        <v/>
      </c>
      <c r="CW61" s="19">
        <f>IF(COUNTIFS(T_SelfStock_Log[Part Name],$A61,T_SelfStock_Log[WeekIndex],100)=0,"",SUMIFS(T_SelfStock_Log[Self_Qty],T_SelfStock_Log[Part Name],$A61,T_SelfStock_Log[WeekIndex],100))</f>
        <v/>
      </c>
      <c r="CX61" s="19">
        <f>IF(COUNTIFS(T_SelfStock_Log[Part Name],$A61,T_SelfStock_Log[WeekIndex],101)=0,"",SUMIFS(T_SelfStock_Log[Self_Qty],T_SelfStock_Log[Part Name],$A61,T_SelfStock_Log[WeekIndex],101))</f>
        <v/>
      </c>
      <c r="CY61" s="19">
        <f>IF(COUNTIFS(T_SelfStock_Log[Part Name],$A61,T_SelfStock_Log[WeekIndex],102)=0,"",SUMIFS(T_SelfStock_Log[Self_Qty],T_SelfStock_Log[Part Name],$A61,T_SelfStock_Log[WeekIndex],102))</f>
        <v/>
      </c>
      <c r="CZ61" s="19">
        <f>IF(COUNTIFS(T_SelfStock_Log[Part Name],$A61,T_SelfStock_Log[WeekIndex],103)=0,"",SUMIFS(T_SelfStock_Log[Self_Qty],T_SelfStock_Log[Part Name],$A61,T_SelfStock_Log[WeekIndex],103))</f>
        <v/>
      </c>
      <c r="DA61" s="19">
        <f>IF(COUNTIFS(T_SelfStock_Log[Part Name],$A61,T_SelfStock_Log[WeekIndex],104)=0,"",SUMIFS(T_SelfStock_Log[Self_Qty],T_SelfStock_Log[Part Name],$A61,T_SelfStock_Log[WeekIndex],104))</f>
        <v/>
      </c>
    </row>
    <row r="62">
      <c r="A62" s="17" t="inlineStr">
        <is>
          <t>CHEM-1870</t>
        </is>
      </c>
      <c r="B62" s="17">
        <f>IF(COUNTIFS(T_SelfStock_Log[Part Name],$A62,T_SelfStock_Log[WeekIndex],1)=0,"",SUMIFS(T_SelfStock_Log[Self_Qty],T_SelfStock_Log[Part Name],$A62,T_SelfStock_Log[WeekIndex],1))</f>
        <v/>
      </c>
      <c r="C62" s="17">
        <f>IF(COUNTIFS(T_SelfStock_Log[Part Name],$A62,T_SelfStock_Log[WeekIndex],2)=0,"",SUMIFS(T_SelfStock_Log[Self_Qty],T_SelfStock_Log[Part Name],$A62,T_SelfStock_Log[WeekIndex],2))</f>
        <v/>
      </c>
      <c r="D62" s="17">
        <f>IF(COUNTIFS(T_SelfStock_Log[Part Name],$A62,T_SelfStock_Log[WeekIndex],3)=0,"",SUMIFS(T_SelfStock_Log[Self_Qty],T_SelfStock_Log[Part Name],$A62,T_SelfStock_Log[WeekIndex],3))</f>
        <v/>
      </c>
      <c r="E62" s="17">
        <f>IF(COUNTIFS(T_SelfStock_Log[Part Name],$A62,T_SelfStock_Log[WeekIndex],4)=0,"",SUMIFS(T_SelfStock_Log[Self_Qty],T_SelfStock_Log[Part Name],$A62,T_SelfStock_Log[WeekIndex],4))</f>
        <v/>
      </c>
      <c r="F62" s="17">
        <f>IF(COUNTIFS(T_SelfStock_Log[Part Name],$A62,T_SelfStock_Log[WeekIndex],5)=0,"",SUMIFS(T_SelfStock_Log[Self_Qty],T_SelfStock_Log[Part Name],$A62,T_SelfStock_Log[WeekIndex],5))</f>
        <v/>
      </c>
      <c r="G62" s="17">
        <f>IF(COUNTIFS(T_SelfStock_Log[Part Name],$A62,T_SelfStock_Log[WeekIndex],6)=0,"",SUMIFS(T_SelfStock_Log[Self_Qty],T_SelfStock_Log[Part Name],$A62,T_SelfStock_Log[WeekIndex],6))</f>
        <v/>
      </c>
      <c r="H62" s="17">
        <f>IF(COUNTIFS(T_SelfStock_Log[Part Name],$A62,T_SelfStock_Log[WeekIndex],7)=0,"",SUMIFS(T_SelfStock_Log[Self_Qty],T_SelfStock_Log[Part Name],$A62,T_SelfStock_Log[WeekIndex],7))</f>
        <v/>
      </c>
      <c r="I62" s="17">
        <f>IF(COUNTIFS(T_SelfStock_Log[Part Name],$A62,T_SelfStock_Log[WeekIndex],8)=0,"",SUMIFS(T_SelfStock_Log[Self_Qty],T_SelfStock_Log[Part Name],$A62,T_SelfStock_Log[WeekIndex],8))</f>
        <v/>
      </c>
      <c r="J62" s="17">
        <f>IF(COUNTIFS(T_SelfStock_Log[Part Name],$A62,T_SelfStock_Log[WeekIndex],9)=0,"",SUMIFS(T_SelfStock_Log[Self_Qty],T_SelfStock_Log[Part Name],$A62,T_SelfStock_Log[WeekIndex],9))</f>
        <v/>
      </c>
      <c r="K62" s="17">
        <f>IF(COUNTIFS(T_SelfStock_Log[Part Name],$A62,T_SelfStock_Log[WeekIndex],10)=0,"",SUMIFS(T_SelfStock_Log[Self_Qty],T_SelfStock_Log[Part Name],$A62,T_SelfStock_Log[WeekIndex],10))</f>
        <v/>
      </c>
      <c r="L62" s="17">
        <f>IF(COUNTIFS(T_SelfStock_Log[Part Name],$A62,T_SelfStock_Log[WeekIndex],11)=0,"",SUMIFS(T_SelfStock_Log[Self_Qty],T_SelfStock_Log[Part Name],$A62,T_SelfStock_Log[WeekIndex],11))</f>
        <v/>
      </c>
      <c r="M62" s="17">
        <f>IF(COUNTIFS(T_SelfStock_Log[Part Name],$A62,T_SelfStock_Log[WeekIndex],12)=0,"",SUMIFS(T_SelfStock_Log[Self_Qty],T_SelfStock_Log[Part Name],$A62,T_SelfStock_Log[WeekIndex],12))</f>
        <v/>
      </c>
      <c r="N62" s="17">
        <f>IF(COUNTIFS(T_SelfStock_Log[Part Name],$A62,T_SelfStock_Log[WeekIndex],13)=0,"",SUMIFS(T_SelfStock_Log[Self_Qty],T_SelfStock_Log[Part Name],$A62,T_SelfStock_Log[WeekIndex],13))</f>
        <v/>
      </c>
      <c r="O62" s="17">
        <f>IF(COUNTIFS(T_SelfStock_Log[Part Name],$A62,T_SelfStock_Log[WeekIndex],14)=0,"",SUMIFS(T_SelfStock_Log[Self_Qty],T_SelfStock_Log[Part Name],$A62,T_SelfStock_Log[WeekIndex],14))</f>
        <v/>
      </c>
      <c r="P62" s="17">
        <f>IF(COUNTIFS(T_SelfStock_Log[Part Name],$A62,T_SelfStock_Log[WeekIndex],15)=0,"",SUMIFS(T_SelfStock_Log[Self_Qty],T_SelfStock_Log[Part Name],$A62,T_SelfStock_Log[WeekIndex],15))</f>
        <v/>
      </c>
      <c r="Q62" s="17">
        <f>IF(COUNTIFS(T_SelfStock_Log[Part Name],$A62,T_SelfStock_Log[WeekIndex],16)=0,"",SUMIFS(T_SelfStock_Log[Self_Qty],T_SelfStock_Log[Part Name],$A62,T_SelfStock_Log[WeekIndex],16))</f>
        <v/>
      </c>
      <c r="R62" s="17">
        <f>IF(COUNTIFS(T_SelfStock_Log[Part Name],$A62,T_SelfStock_Log[WeekIndex],17)=0,"",SUMIFS(T_SelfStock_Log[Self_Qty],T_SelfStock_Log[Part Name],$A62,T_SelfStock_Log[WeekIndex],17))</f>
        <v/>
      </c>
      <c r="S62" s="17">
        <f>IF(COUNTIFS(T_SelfStock_Log[Part Name],$A62,T_SelfStock_Log[WeekIndex],18)=0,"",SUMIFS(T_SelfStock_Log[Self_Qty],T_SelfStock_Log[Part Name],$A62,T_SelfStock_Log[WeekIndex],18))</f>
        <v/>
      </c>
      <c r="T62" s="17">
        <f>IF(COUNTIFS(T_SelfStock_Log[Part Name],$A62,T_SelfStock_Log[WeekIndex],19)=0,"",SUMIFS(T_SelfStock_Log[Self_Qty],T_SelfStock_Log[Part Name],$A62,T_SelfStock_Log[WeekIndex],19))</f>
        <v/>
      </c>
      <c r="U62" s="17">
        <f>IF(COUNTIFS(T_SelfStock_Log[Part Name],$A62,T_SelfStock_Log[WeekIndex],20)=0,"",SUMIFS(T_SelfStock_Log[Self_Qty],T_SelfStock_Log[Part Name],$A62,T_SelfStock_Log[WeekIndex],20))</f>
        <v/>
      </c>
      <c r="V62" s="17">
        <f>IF(COUNTIFS(T_SelfStock_Log[Part Name],$A62,T_SelfStock_Log[WeekIndex],21)=0,"",SUMIFS(T_SelfStock_Log[Self_Qty],T_SelfStock_Log[Part Name],$A62,T_SelfStock_Log[WeekIndex],21))</f>
        <v/>
      </c>
      <c r="W62" s="17">
        <f>IF(COUNTIFS(T_SelfStock_Log[Part Name],$A62,T_SelfStock_Log[WeekIndex],22)=0,"",SUMIFS(T_SelfStock_Log[Self_Qty],T_SelfStock_Log[Part Name],$A62,T_SelfStock_Log[WeekIndex],22))</f>
        <v/>
      </c>
      <c r="X62" s="17">
        <f>IF(COUNTIFS(T_SelfStock_Log[Part Name],$A62,T_SelfStock_Log[WeekIndex],23)=0,"",SUMIFS(T_SelfStock_Log[Self_Qty],T_SelfStock_Log[Part Name],$A62,T_SelfStock_Log[WeekIndex],23))</f>
        <v/>
      </c>
      <c r="Y62" s="17">
        <f>IF(COUNTIFS(T_SelfStock_Log[Part Name],$A62,T_SelfStock_Log[WeekIndex],24)=0,"",SUMIFS(T_SelfStock_Log[Self_Qty],T_SelfStock_Log[Part Name],$A62,T_SelfStock_Log[WeekIndex],24))</f>
        <v/>
      </c>
      <c r="Z62" s="17">
        <f>IF(COUNTIFS(T_SelfStock_Log[Part Name],$A62,T_SelfStock_Log[WeekIndex],25)=0,"",SUMIFS(T_SelfStock_Log[Self_Qty],T_SelfStock_Log[Part Name],$A62,T_SelfStock_Log[WeekIndex],25))</f>
        <v/>
      </c>
      <c r="AA62" s="17">
        <f>IF(COUNTIFS(T_SelfStock_Log[Part Name],$A62,T_SelfStock_Log[WeekIndex],26)=0,"",SUMIFS(T_SelfStock_Log[Self_Qty],T_SelfStock_Log[Part Name],$A62,T_SelfStock_Log[WeekIndex],26))</f>
        <v/>
      </c>
      <c r="AB62" s="17">
        <f>IF(COUNTIFS(T_SelfStock_Log[Part Name],$A62,T_SelfStock_Log[WeekIndex],27)=0,"",SUMIFS(T_SelfStock_Log[Self_Qty],T_SelfStock_Log[Part Name],$A62,T_SelfStock_Log[WeekIndex],27))</f>
        <v/>
      </c>
      <c r="AC62" s="17">
        <f>IF(COUNTIFS(T_SelfStock_Log[Part Name],$A62,T_SelfStock_Log[WeekIndex],28)=0,"",SUMIFS(T_SelfStock_Log[Self_Qty],T_SelfStock_Log[Part Name],$A62,T_SelfStock_Log[WeekIndex],28))</f>
        <v/>
      </c>
      <c r="AD62" s="17">
        <f>IF(COUNTIFS(T_SelfStock_Log[Part Name],$A62,T_SelfStock_Log[WeekIndex],29)=0,"",SUMIFS(T_SelfStock_Log[Self_Qty],T_SelfStock_Log[Part Name],$A62,T_SelfStock_Log[WeekIndex],29))</f>
        <v/>
      </c>
      <c r="AE62" s="17">
        <f>IF(COUNTIFS(T_SelfStock_Log[Part Name],$A62,T_SelfStock_Log[WeekIndex],30)=0,"",SUMIFS(T_SelfStock_Log[Self_Qty],T_SelfStock_Log[Part Name],$A62,T_SelfStock_Log[WeekIndex],30))</f>
        <v/>
      </c>
      <c r="AF62" s="17">
        <f>IF(COUNTIFS(T_SelfStock_Log[Part Name],$A62,T_SelfStock_Log[WeekIndex],31)=0,"",SUMIFS(T_SelfStock_Log[Self_Qty],T_SelfStock_Log[Part Name],$A62,T_SelfStock_Log[WeekIndex],31))</f>
        <v/>
      </c>
      <c r="AG62" s="17">
        <f>IF(COUNTIFS(T_SelfStock_Log[Part Name],$A62,T_SelfStock_Log[WeekIndex],32)=0,"",SUMIFS(T_SelfStock_Log[Self_Qty],T_SelfStock_Log[Part Name],$A62,T_SelfStock_Log[WeekIndex],32))</f>
        <v/>
      </c>
      <c r="AH62" s="17">
        <f>IF(COUNTIFS(T_SelfStock_Log[Part Name],$A62,T_SelfStock_Log[WeekIndex],33)=0,"",SUMIFS(T_SelfStock_Log[Self_Qty],T_SelfStock_Log[Part Name],$A62,T_SelfStock_Log[WeekIndex],33))</f>
        <v/>
      </c>
      <c r="AI62" s="17">
        <f>IF(COUNTIFS(T_SelfStock_Log[Part Name],$A62,T_SelfStock_Log[WeekIndex],34)=0,"",SUMIFS(T_SelfStock_Log[Self_Qty],T_SelfStock_Log[Part Name],$A62,T_SelfStock_Log[WeekIndex],34))</f>
        <v/>
      </c>
      <c r="AJ62" s="17">
        <f>IF(COUNTIFS(T_SelfStock_Log[Part Name],$A62,T_SelfStock_Log[WeekIndex],35)=0,"",SUMIFS(T_SelfStock_Log[Self_Qty],T_SelfStock_Log[Part Name],$A62,T_SelfStock_Log[WeekIndex],35))</f>
        <v/>
      </c>
      <c r="AK62" s="17">
        <f>IF(COUNTIFS(T_SelfStock_Log[Part Name],$A62,T_SelfStock_Log[WeekIndex],36)=0,"",SUMIFS(T_SelfStock_Log[Self_Qty],T_SelfStock_Log[Part Name],$A62,T_SelfStock_Log[WeekIndex],36))</f>
        <v/>
      </c>
      <c r="AL62" s="17">
        <f>IF(COUNTIFS(T_SelfStock_Log[Part Name],$A62,T_SelfStock_Log[WeekIndex],37)=0,"",SUMIFS(T_SelfStock_Log[Self_Qty],T_SelfStock_Log[Part Name],$A62,T_SelfStock_Log[WeekIndex],37))</f>
        <v/>
      </c>
      <c r="AM62" s="17">
        <f>IF(COUNTIFS(T_SelfStock_Log[Part Name],$A62,T_SelfStock_Log[WeekIndex],38)=0,"",SUMIFS(T_SelfStock_Log[Self_Qty],T_SelfStock_Log[Part Name],$A62,T_SelfStock_Log[WeekIndex],38))</f>
        <v/>
      </c>
      <c r="AN62" s="17">
        <f>IF(COUNTIFS(T_SelfStock_Log[Part Name],$A62,T_SelfStock_Log[WeekIndex],39)=0,"",SUMIFS(T_SelfStock_Log[Self_Qty],T_SelfStock_Log[Part Name],$A62,T_SelfStock_Log[WeekIndex],39))</f>
        <v/>
      </c>
      <c r="AO62" s="17">
        <f>IF(COUNTIFS(T_SelfStock_Log[Part Name],$A62,T_SelfStock_Log[WeekIndex],40)=0,"",SUMIFS(T_SelfStock_Log[Self_Qty],T_SelfStock_Log[Part Name],$A62,T_SelfStock_Log[WeekIndex],40))</f>
        <v/>
      </c>
      <c r="AP62" s="17">
        <f>IF(COUNTIFS(T_SelfStock_Log[Part Name],$A62,T_SelfStock_Log[WeekIndex],41)=0,"",SUMIFS(T_SelfStock_Log[Self_Qty],T_SelfStock_Log[Part Name],$A62,T_SelfStock_Log[WeekIndex],41))</f>
        <v/>
      </c>
      <c r="AQ62" s="17">
        <f>IF(COUNTIFS(T_SelfStock_Log[Part Name],$A62,T_SelfStock_Log[WeekIndex],42)=0,"",SUMIFS(T_SelfStock_Log[Self_Qty],T_SelfStock_Log[Part Name],$A62,T_SelfStock_Log[WeekIndex],42))</f>
        <v/>
      </c>
      <c r="AR62" s="17">
        <f>IF(COUNTIFS(T_SelfStock_Log[Part Name],$A62,T_SelfStock_Log[WeekIndex],43)=0,"",SUMIFS(T_SelfStock_Log[Self_Qty],T_SelfStock_Log[Part Name],$A62,T_SelfStock_Log[WeekIndex],43))</f>
        <v/>
      </c>
      <c r="AS62" s="17">
        <f>IF(COUNTIFS(T_SelfStock_Log[Part Name],$A62,T_SelfStock_Log[WeekIndex],44)=0,"",SUMIFS(T_SelfStock_Log[Self_Qty],T_SelfStock_Log[Part Name],$A62,T_SelfStock_Log[WeekIndex],44))</f>
        <v/>
      </c>
      <c r="AT62" s="17">
        <f>IF(COUNTIFS(T_SelfStock_Log[Part Name],$A62,T_SelfStock_Log[WeekIndex],45)=0,"",SUMIFS(T_SelfStock_Log[Self_Qty],T_SelfStock_Log[Part Name],$A62,T_SelfStock_Log[WeekIndex],45))</f>
        <v/>
      </c>
      <c r="AU62" s="17">
        <f>IF(COUNTIFS(T_SelfStock_Log[Part Name],$A62,T_SelfStock_Log[WeekIndex],46)=0,"",SUMIFS(T_SelfStock_Log[Self_Qty],T_SelfStock_Log[Part Name],$A62,T_SelfStock_Log[WeekIndex],46))</f>
        <v/>
      </c>
      <c r="AV62" s="17">
        <f>IF(COUNTIFS(T_SelfStock_Log[Part Name],$A62,T_SelfStock_Log[WeekIndex],47)=0,"",SUMIFS(T_SelfStock_Log[Self_Qty],T_SelfStock_Log[Part Name],$A62,T_SelfStock_Log[WeekIndex],47))</f>
        <v/>
      </c>
      <c r="AW62" s="17">
        <f>IF(COUNTIFS(T_SelfStock_Log[Part Name],$A62,T_SelfStock_Log[WeekIndex],48)=0,"",SUMIFS(T_SelfStock_Log[Self_Qty],T_SelfStock_Log[Part Name],$A62,T_SelfStock_Log[WeekIndex],48))</f>
        <v/>
      </c>
      <c r="AX62" s="17">
        <f>IF(COUNTIFS(T_SelfStock_Log[Part Name],$A62,T_SelfStock_Log[WeekIndex],49)=0,"",SUMIFS(T_SelfStock_Log[Self_Qty],T_SelfStock_Log[Part Name],$A62,T_SelfStock_Log[WeekIndex],49))</f>
        <v/>
      </c>
      <c r="AY62" s="17">
        <f>IF(COUNTIFS(T_SelfStock_Log[Part Name],$A62,T_SelfStock_Log[WeekIndex],50)=0,"",SUMIFS(T_SelfStock_Log[Self_Qty],T_SelfStock_Log[Part Name],$A62,T_SelfStock_Log[WeekIndex],50))</f>
        <v/>
      </c>
      <c r="AZ62" s="17">
        <f>IF(COUNTIFS(T_SelfStock_Log[Part Name],$A62,T_SelfStock_Log[WeekIndex],51)=0,"",SUMIFS(T_SelfStock_Log[Self_Qty],T_SelfStock_Log[Part Name],$A62,T_SelfStock_Log[WeekIndex],51))</f>
        <v/>
      </c>
      <c r="BA62" s="17">
        <f>IF(COUNTIFS(T_SelfStock_Log[Part Name],$A62,T_SelfStock_Log[WeekIndex],52)=0,"",SUMIFS(T_SelfStock_Log[Self_Qty],T_SelfStock_Log[Part Name],$A62,T_SelfStock_Log[WeekIndex],52))</f>
        <v/>
      </c>
      <c r="BB62" s="17">
        <f>IF(COUNTIFS(T_SelfStock_Log[Part Name],$A62,T_SelfStock_Log[WeekIndex],53)=0,"",SUMIFS(T_SelfStock_Log[Self_Qty],T_SelfStock_Log[Part Name],$A62,T_SelfStock_Log[WeekIndex],53))</f>
        <v/>
      </c>
      <c r="BC62" s="17">
        <f>IF(COUNTIFS(T_SelfStock_Log[Part Name],$A62,T_SelfStock_Log[WeekIndex],54)=0,"",SUMIFS(T_SelfStock_Log[Self_Qty],T_SelfStock_Log[Part Name],$A62,T_SelfStock_Log[WeekIndex],54))</f>
        <v/>
      </c>
      <c r="BD62" s="17">
        <f>IF(COUNTIFS(T_SelfStock_Log[Part Name],$A62,T_SelfStock_Log[WeekIndex],55)=0,"",SUMIFS(T_SelfStock_Log[Self_Qty],T_SelfStock_Log[Part Name],$A62,T_SelfStock_Log[WeekIndex],55))</f>
        <v/>
      </c>
      <c r="BE62" s="17">
        <f>IF(COUNTIFS(T_SelfStock_Log[Part Name],$A62,T_SelfStock_Log[WeekIndex],56)=0,"",SUMIFS(T_SelfStock_Log[Self_Qty],T_SelfStock_Log[Part Name],$A62,T_SelfStock_Log[WeekIndex],56))</f>
        <v/>
      </c>
      <c r="BF62" s="17">
        <f>IF(COUNTIFS(T_SelfStock_Log[Part Name],$A62,T_SelfStock_Log[WeekIndex],57)=0,"",SUMIFS(T_SelfStock_Log[Self_Qty],T_SelfStock_Log[Part Name],$A62,T_SelfStock_Log[WeekIndex],57))</f>
        <v/>
      </c>
      <c r="BG62" s="17">
        <f>IF(COUNTIFS(T_SelfStock_Log[Part Name],$A62,T_SelfStock_Log[WeekIndex],58)=0,"",SUMIFS(T_SelfStock_Log[Self_Qty],T_SelfStock_Log[Part Name],$A62,T_SelfStock_Log[WeekIndex],58))</f>
        <v/>
      </c>
      <c r="BH62" s="17">
        <f>IF(COUNTIFS(T_SelfStock_Log[Part Name],$A62,T_SelfStock_Log[WeekIndex],59)=0,"",SUMIFS(T_SelfStock_Log[Self_Qty],T_SelfStock_Log[Part Name],$A62,T_SelfStock_Log[WeekIndex],59))</f>
        <v/>
      </c>
      <c r="BI62" s="17">
        <f>IF(COUNTIFS(T_SelfStock_Log[Part Name],$A62,T_SelfStock_Log[WeekIndex],60)=0,"",SUMIFS(T_SelfStock_Log[Self_Qty],T_SelfStock_Log[Part Name],$A62,T_SelfStock_Log[WeekIndex],60))</f>
        <v/>
      </c>
      <c r="BJ62" s="17">
        <f>IF(COUNTIFS(T_SelfStock_Log[Part Name],$A62,T_SelfStock_Log[WeekIndex],61)=0,"",SUMIFS(T_SelfStock_Log[Self_Qty],T_SelfStock_Log[Part Name],$A62,T_SelfStock_Log[WeekIndex],61))</f>
        <v/>
      </c>
      <c r="BK62" s="17">
        <f>IF(COUNTIFS(T_SelfStock_Log[Part Name],$A62,T_SelfStock_Log[WeekIndex],62)=0,"",SUMIFS(T_SelfStock_Log[Self_Qty],T_SelfStock_Log[Part Name],$A62,T_SelfStock_Log[WeekIndex],62))</f>
        <v/>
      </c>
      <c r="BL62" s="17">
        <f>IF(COUNTIFS(T_SelfStock_Log[Part Name],$A62,T_SelfStock_Log[WeekIndex],63)=0,"",SUMIFS(T_SelfStock_Log[Self_Qty],T_SelfStock_Log[Part Name],$A62,T_SelfStock_Log[WeekIndex],63))</f>
        <v/>
      </c>
      <c r="BM62" s="17">
        <f>IF(COUNTIFS(T_SelfStock_Log[Part Name],$A62,T_SelfStock_Log[WeekIndex],64)=0,"",SUMIFS(T_SelfStock_Log[Self_Qty],T_SelfStock_Log[Part Name],$A62,T_SelfStock_Log[WeekIndex],64))</f>
        <v/>
      </c>
      <c r="BN62" s="17">
        <f>IF(COUNTIFS(T_SelfStock_Log[Part Name],$A62,T_SelfStock_Log[WeekIndex],65)=0,"",SUMIFS(T_SelfStock_Log[Self_Qty],T_SelfStock_Log[Part Name],$A62,T_SelfStock_Log[WeekIndex],65))</f>
        <v/>
      </c>
      <c r="BO62" s="17">
        <f>IF(COUNTIFS(T_SelfStock_Log[Part Name],$A62,T_SelfStock_Log[WeekIndex],66)=0,"",SUMIFS(T_SelfStock_Log[Self_Qty],T_SelfStock_Log[Part Name],$A62,T_SelfStock_Log[WeekIndex],66))</f>
        <v/>
      </c>
      <c r="BP62" s="17">
        <f>IF(COUNTIFS(T_SelfStock_Log[Part Name],$A62,T_SelfStock_Log[WeekIndex],67)=0,"",SUMIFS(T_SelfStock_Log[Self_Qty],T_SelfStock_Log[Part Name],$A62,T_SelfStock_Log[WeekIndex],67))</f>
        <v/>
      </c>
      <c r="BQ62" s="17">
        <f>IF(COUNTIFS(T_SelfStock_Log[Part Name],$A62,T_SelfStock_Log[WeekIndex],68)=0,"",SUMIFS(T_SelfStock_Log[Self_Qty],T_SelfStock_Log[Part Name],$A62,T_SelfStock_Log[WeekIndex],68))</f>
        <v/>
      </c>
      <c r="BR62" s="17">
        <f>IF(COUNTIFS(T_SelfStock_Log[Part Name],$A62,T_SelfStock_Log[WeekIndex],69)=0,"",SUMIFS(T_SelfStock_Log[Self_Qty],T_SelfStock_Log[Part Name],$A62,T_SelfStock_Log[WeekIndex],69))</f>
        <v/>
      </c>
      <c r="BS62" s="17">
        <f>IF(COUNTIFS(T_SelfStock_Log[Part Name],$A62,T_SelfStock_Log[WeekIndex],70)=0,"",SUMIFS(T_SelfStock_Log[Self_Qty],T_SelfStock_Log[Part Name],$A62,T_SelfStock_Log[WeekIndex],70))</f>
        <v/>
      </c>
      <c r="BT62" s="17">
        <f>IF(COUNTIFS(T_SelfStock_Log[Part Name],$A62,T_SelfStock_Log[WeekIndex],71)=0,"",SUMIFS(T_SelfStock_Log[Self_Qty],T_SelfStock_Log[Part Name],$A62,T_SelfStock_Log[WeekIndex],71))</f>
        <v/>
      </c>
      <c r="BU62" s="17">
        <f>IF(COUNTIFS(T_SelfStock_Log[Part Name],$A62,T_SelfStock_Log[WeekIndex],72)=0,"",SUMIFS(T_SelfStock_Log[Self_Qty],T_SelfStock_Log[Part Name],$A62,T_SelfStock_Log[WeekIndex],72))</f>
        <v/>
      </c>
      <c r="BV62" s="17">
        <f>IF(COUNTIFS(T_SelfStock_Log[Part Name],$A62,T_SelfStock_Log[WeekIndex],73)=0,"",SUMIFS(T_SelfStock_Log[Self_Qty],T_SelfStock_Log[Part Name],$A62,T_SelfStock_Log[WeekIndex],73))</f>
        <v/>
      </c>
      <c r="BW62" s="17">
        <f>IF(COUNTIFS(T_SelfStock_Log[Part Name],$A62,T_SelfStock_Log[WeekIndex],74)=0,"",SUMIFS(T_SelfStock_Log[Self_Qty],T_SelfStock_Log[Part Name],$A62,T_SelfStock_Log[WeekIndex],74))</f>
        <v/>
      </c>
      <c r="BX62" s="17">
        <f>IF(COUNTIFS(T_SelfStock_Log[Part Name],$A62,T_SelfStock_Log[WeekIndex],75)=0,"",SUMIFS(T_SelfStock_Log[Self_Qty],T_SelfStock_Log[Part Name],$A62,T_SelfStock_Log[WeekIndex],75))</f>
        <v/>
      </c>
      <c r="BY62" s="17">
        <f>IF(COUNTIFS(T_SelfStock_Log[Part Name],$A62,T_SelfStock_Log[WeekIndex],76)=0,"",SUMIFS(T_SelfStock_Log[Self_Qty],T_SelfStock_Log[Part Name],$A62,T_SelfStock_Log[WeekIndex],76))</f>
        <v/>
      </c>
      <c r="BZ62" s="17">
        <f>IF(COUNTIFS(T_SelfStock_Log[Part Name],$A62,T_SelfStock_Log[WeekIndex],77)=0,"",SUMIFS(T_SelfStock_Log[Self_Qty],T_SelfStock_Log[Part Name],$A62,T_SelfStock_Log[WeekIndex],77))</f>
        <v/>
      </c>
      <c r="CA62" s="17">
        <f>IF(COUNTIFS(T_SelfStock_Log[Part Name],$A62,T_SelfStock_Log[WeekIndex],78)=0,"",SUMIFS(T_SelfStock_Log[Self_Qty],T_SelfStock_Log[Part Name],$A62,T_SelfStock_Log[WeekIndex],78))</f>
        <v/>
      </c>
      <c r="CB62" s="17">
        <f>IF(COUNTIFS(T_SelfStock_Log[Part Name],$A62,T_SelfStock_Log[WeekIndex],79)=0,"",SUMIFS(T_SelfStock_Log[Self_Qty],T_SelfStock_Log[Part Name],$A62,T_SelfStock_Log[WeekIndex],79))</f>
        <v/>
      </c>
      <c r="CC62" s="17">
        <f>IF(COUNTIFS(T_SelfStock_Log[Part Name],$A62,T_SelfStock_Log[WeekIndex],80)=0,"",SUMIFS(T_SelfStock_Log[Self_Qty],T_SelfStock_Log[Part Name],$A62,T_SelfStock_Log[WeekIndex],80))</f>
        <v/>
      </c>
      <c r="CD62" s="17">
        <f>IF(COUNTIFS(T_SelfStock_Log[Part Name],$A62,T_SelfStock_Log[WeekIndex],81)=0,"",SUMIFS(T_SelfStock_Log[Self_Qty],T_SelfStock_Log[Part Name],$A62,T_SelfStock_Log[WeekIndex],81))</f>
        <v/>
      </c>
      <c r="CE62" s="17">
        <f>IF(COUNTIFS(T_SelfStock_Log[Part Name],$A62,T_SelfStock_Log[WeekIndex],82)=0,"",SUMIFS(T_SelfStock_Log[Self_Qty],T_SelfStock_Log[Part Name],$A62,T_SelfStock_Log[WeekIndex],82))</f>
        <v/>
      </c>
      <c r="CF62" s="17">
        <f>IF(COUNTIFS(T_SelfStock_Log[Part Name],$A62,T_SelfStock_Log[WeekIndex],83)=0,"",SUMIFS(T_SelfStock_Log[Self_Qty],T_SelfStock_Log[Part Name],$A62,T_SelfStock_Log[WeekIndex],83))</f>
        <v/>
      </c>
      <c r="CG62" s="17">
        <f>IF(COUNTIFS(T_SelfStock_Log[Part Name],$A62,T_SelfStock_Log[WeekIndex],84)=0,"",SUMIFS(T_SelfStock_Log[Self_Qty],T_SelfStock_Log[Part Name],$A62,T_SelfStock_Log[WeekIndex],84))</f>
        <v/>
      </c>
      <c r="CH62" s="17">
        <f>IF(COUNTIFS(T_SelfStock_Log[Part Name],$A62,T_SelfStock_Log[WeekIndex],85)=0,"",SUMIFS(T_SelfStock_Log[Self_Qty],T_SelfStock_Log[Part Name],$A62,T_SelfStock_Log[WeekIndex],85))</f>
        <v/>
      </c>
      <c r="CI62" s="17">
        <f>IF(COUNTIFS(T_SelfStock_Log[Part Name],$A62,T_SelfStock_Log[WeekIndex],86)=0,"",SUMIFS(T_SelfStock_Log[Self_Qty],T_SelfStock_Log[Part Name],$A62,T_SelfStock_Log[WeekIndex],86))</f>
        <v/>
      </c>
      <c r="CJ62" s="17">
        <f>IF(COUNTIFS(T_SelfStock_Log[Part Name],$A62,T_SelfStock_Log[WeekIndex],87)=0,"",SUMIFS(T_SelfStock_Log[Self_Qty],T_SelfStock_Log[Part Name],$A62,T_SelfStock_Log[WeekIndex],87))</f>
        <v/>
      </c>
      <c r="CK62" s="17">
        <f>IF(COUNTIFS(T_SelfStock_Log[Part Name],$A62,T_SelfStock_Log[WeekIndex],88)=0,"",SUMIFS(T_SelfStock_Log[Self_Qty],T_SelfStock_Log[Part Name],$A62,T_SelfStock_Log[WeekIndex],88))</f>
        <v/>
      </c>
      <c r="CL62" s="17">
        <f>IF(COUNTIFS(T_SelfStock_Log[Part Name],$A62,T_SelfStock_Log[WeekIndex],89)=0,"",SUMIFS(T_SelfStock_Log[Self_Qty],T_SelfStock_Log[Part Name],$A62,T_SelfStock_Log[WeekIndex],89))</f>
        <v/>
      </c>
      <c r="CM62" s="17">
        <f>IF(COUNTIFS(T_SelfStock_Log[Part Name],$A62,T_SelfStock_Log[WeekIndex],90)=0,"",SUMIFS(T_SelfStock_Log[Self_Qty],T_SelfStock_Log[Part Name],$A62,T_SelfStock_Log[WeekIndex],90))</f>
        <v/>
      </c>
      <c r="CN62" s="17">
        <f>IF(COUNTIFS(T_SelfStock_Log[Part Name],$A62,T_SelfStock_Log[WeekIndex],91)=0,"",SUMIFS(T_SelfStock_Log[Self_Qty],T_SelfStock_Log[Part Name],$A62,T_SelfStock_Log[WeekIndex],91))</f>
        <v/>
      </c>
      <c r="CO62" s="17">
        <f>IF(COUNTIFS(T_SelfStock_Log[Part Name],$A62,T_SelfStock_Log[WeekIndex],92)=0,"",SUMIFS(T_SelfStock_Log[Self_Qty],T_SelfStock_Log[Part Name],$A62,T_SelfStock_Log[WeekIndex],92))</f>
        <v/>
      </c>
      <c r="CP62" s="17">
        <f>IF(COUNTIFS(T_SelfStock_Log[Part Name],$A62,T_SelfStock_Log[WeekIndex],93)=0,"",SUMIFS(T_SelfStock_Log[Self_Qty],T_SelfStock_Log[Part Name],$A62,T_SelfStock_Log[WeekIndex],93))</f>
        <v/>
      </c>
      <c r="CQ62" s="17">
        <f>IF(COUNTIFS(T_SelfStock_Log[Part Name],$A62,T_SelfStock_Log[WeekIndex],94)=0,"",SUMIFS(T_SelfStock_Log[Self_Qty],T_SelfStock_Log[Part Name],$A62,T_SelfStock_Log[WeekIndex],94))</f>
        <v/>
      </c>
      <c r="CR62" s="17">
        <f>IF(COUNTIFS(T_SelfStock_Log[Part Name],$A62,T_SelfStock_Log[WeekIndex],95)=0,"",SUMIFS(T_SelfStock_Log[Self_Qty],T_SelfStock_Log[Part Name],$A62,T_SelfStock_Log[WeekIndex],95))</f>
        <v/>
      </c>
      <c r="CS62" s="17">
        <f>IF(COUNTIFS(T_SelfStock_Log[Part Name],$A62,T_SelfStock_Log[WeekIndex],96)=0,"",SUMIFS(T_SelfStock_Log[Self_Qty],T_SelfStock_Log[Part Name],$A62,T_SelfStock_Log[WeekIndex],96))</f>
        <v/>
      </c>
      <c r="CT62" s="17">
        <f>IF(COUNTIFS(T_SelfStock_Log[Part Name],$A62,T_SelfStock_Log[WeekIndex],97)=0,"",SUMIFS(T_SelfStock_Log[Self_Qty],T_SelfStock_Log[Part Name],$A62,T_SelfStock_Log[WeekIndex],97))</f>
        <v/>
      </c>
      <c r="CU62" s="17">
        <f>IF(COUNTIFS(T_SelfStock_Log[Part Name],$A62,T_SelfStock_Log[WeekIndex],98)=0,"",SUMIFS(T_SelfStock_Log[Self_Qty],T_SelfStock_Log[Part Name],$A62,T_SelfStock_Log[WeekIndex],98))</f>
        <v/>
      </c>
      <c r="CV62" s="17">
        <f>IF(COUNTIFS(T_SelfStock_Log[Part Name],$A62,T_SelfStock_Log[WeekIndex],99)=0,"",SUMIFS(T_SelfStock_Log[Self_Qty],T_SelfStock_Log[Part Name],$A62,T_SelfStock_Log[WeekIndex],99))</f>
        <v/>
      </c>
      <c r="CW62" s="17">
        <f>IF(COUNTIFS(T_SelfStock_Log[Part Name],$A62,T_SelfStock_Log[WeekIndex],100)=0,"",SUMIFS(T_SelfStock_Log[Self_Qty],T_SelfStock_Log[Part Name],$A62,T_SelfStock_Log[WeekIndex],100))</f>
        <v/>
      </c>
      <c r="CX62" s="17">
        <f>IF(COUNTIFS(T_SelfStock_Log[Part Name],$A62,T_SelfStock_Log[WeekIndex],101)=0,"",SUMIFS(T_SelfStock_Log[Self_Qty],T_SelfStock_Log[Part Name],$A62,T_SelfStock_Log[WeekIndex],101))</f>
        <v/>
      </c>
      <c r="CY62" s="17">
        <f>IF(COUNTIFS(T_SelfStock_Log[Part Name],$A62,T_SelfStock_Log[WeekIndex],102)=0,"",SUMIFS(T_SelfStock_Log[Self_Qty],T_SelfStock_Log[Part Name],$A62,T_SelfStock_Log[WeekIndex],102))</f>
        <v/>
      </c>
      <c r="CZ62" s="17">
        <f>IF(COUNTIFS(T_SelfStock_Log[Part Name],$A62,T_SelfStock_Log[WeekIndex],103)=0,"",SUMIFS(T_SelfStock_Log[Self_Qty],T_SelfStock_Log[Part Name],$A62,T_SelfStock_Log[WeekIndex],103))</f>
        <v/>
      </c>
      <c r="DA62" s="17">
        <f>IF(COUNTIFS(T_SelfStock_Log[Part Name],$A62,T_SelfStock_Log[WeekIndex],104)=0,"",SUMIFS(T_SelfStock_Log[Self_Qty],T_SelfStock_Log[Part Name],$A62,T_SelfStock_Log[WeekIndex],104))</f>
        <v/>
      </c>
    </row>
    <row r="63">
      <c r="A63" s="19" t="inlineStr">
        <is>
          <t>CHEM-1560</t>
        </is>
      </c>
      <c r="B63" s="19">
        <f>IF(COUNTIFS(T_SelfStock_Log[Part Name],$A63,T_SelfStock_Log[WeekIndex],1)=0,"",SUMIFS(T_SelfStock_Log[Self_Qty],T_SelfStock_Log[Part Name],$A63,T_SelfStock_Log[WeekIndex],1))</f>
        <v/>
      </c>
      <c r="C63" s="19">
        <f>IF(COUNTIFS(T_SelfStock_Log[Part Name],$A63,T_SelfStock_Log[WeekIndex],2)=0,"",SUMIFS(T_SelfStock_Log[Self_Qty],T_SelfStock_Log[Part Name],$A63,T_SelfStock_Log[WeekIndex],2))</f>
        <v/>
      </c>
      <c r="D63" s="19">
        <f>IF(COUNTIFS(T_SelfStock_Log[Part Name],$A63,T_SelfStock_Log[WeekIndex],3)=0,"",SUMIFS(T_SelfStock_Log[Self_Qty],T_SelfStock_Log[Part Name],$A63,T_SelfStock_Log[WeekIndex],3))</f>
        <v/>
      </c>
      <c r="E63" s="19">
        <f>IF(COUNTIFS(T_SelfStock_Log[Part Name],$A63,T_SelfStock_Log[WeekIndex],4)=0,"",SUMIFS(T_SelfStock_Log[Self_Qty],T_SelfStock_Log[Part Name],$A63,T_SelfStock_Log[WeekIndex],4))</f>
        <v/>
      </c>
      <c r="F63" s="19">
        <f>IF(COUNTIFS(T_SelfStock_Log[Part Name],$A63,T_SelfStock_Log[WeekIndex],5)=0,"",SUMIFS(T_SelfStock_Log[Self_Qty],T_SelfStock_Log[Part Name],$A63,T_SelfStock_Log[WeekIndex],5))</f>
        <v/>
      </c>
      <c r="G63" s="19">
        <f>IF(COUNTIFS(T_SelfStock_Log[Part Name],$A63,T_SelfStock_Log[WeekIndex],6)=0,"",SUMIFS(T_SelfStock_Log[Self_Qty],T_SelfStock_Log[Part Name],$A63,T_SelfStock_Log[WeekIndex],6))</f>
        <v/>
      </c>
      <c r="H63" s="19">
        <f>IF(COUNTIFS(T_SelfStock_Log[Part Name],$A63,T_SelfStock_Log[WeekIndex],7)=0,"",SUMIFS(T_SelfStock_Log[Self_Qty],T_SelfStock_Log[Part Name],$A63,T_SelfStock_Log[WeekIndex],7))</f>
        <v/>
      </c>
      <c r="I63" s="19">
        <f>IF(COUNTIFS(T_SelfStock_Log[Part Name],$A63,T_SelfStock_Log[WeekIndex],8)=0,"",SUMIFS(T_SelfStock_Log[Self_Qty],T_SelfStock_Log[Part Name],$A63,T_SelfStock_Log[WeekIndex],8))</f>
        <v/>
      </c>
      <c r="J63" s="19">
        <f>IF(COUNTIFS(T_SelfStock_Log[Part Name],$A63,T_SelfStock_Log[WeekIndex],9)=0,"",SUMIFS(T_SelfStock_Log[Self_Qty],T_SelfStock_Log[Part Name],$A63,T_SelfStock_Log[WeekIndex],9))</f>
        <v/>
      </c>
      <c r="K63" s="19">
        <f>IF(COUNTIFS(T_SelfStock_Log[Part Name],$A63,T_SelfStock_Log[WeekIndex],10)=0,"",SUMIFS(T_SelfStock_Log[Self_Qty],T_SelfStock_Log[Part Name],$A63,T_SelfStock_Log[WeekIndex],10))</f>
        <v/>
      </c>
      <c r="L63" s="19">
        <f>IF(COUNTIFS(T_SelfStock_Log[Part Name],$A63,T_SelfStock_Log[WeekIndex],11)=0,"",SUMIFS(T_SelfStock_Log[Self_Qty],T_SelfStock_Log[Part Name],$A63,T_SelfStock_Log[WeekIndex],11))</f>
        <v/>
      </c>
      <c r="M63" s="19">
        <f>IF(COUNTIFS(T_SelfStock_Log[Part Name],$A63,T_SelfStock_Log[WeekIndex],12)=0,"",SUMIFS(T_SelfStock_Log[Self_Qty],T_SelfStock_Log[Part Name],$A63,T_SelfStock_Log[WeekIndex],12))</f>
        <v/>
      </c>
      <c r="N63" s="19">
        <f>IF(COUNTIFS(T_SelfStock_Log[Part Name],$A63,T_SelfStock_Log[WeekIndex],13)=0,"",SUMIFS(T_SelfStock_Log[Self_Qty],T_SelfStock_Log[Part Name],$A63,T_SelfStock_Log[WeekIndex],13))</f>
        <v/>
      </c>
      <c r="O63" s="19">
        <f>IF(COUNTIFS(T_SelfStock_Log[Part Name],$A63,T_SelfStock_Log[WeekIndex],14)=0,"",SUMIFS(T_SelfStock_Log[Self_Qty],T_SelfStock_Log[Part Name],$A63,T_SelfStock_Log[WeekIndex],14))</f>
        <v/>
      </c>
      <c r="P63" s="19">
        <f>IF(COUNTIFS(T_SelfStock_Log[Part Name],$A63,T_SelfStock_Log[WeekIndex],15)=0,"",SUMIFS(T_SelfStock_Log[Self_Qty],T_SelfStock_Log[Part Name],$A63,T_SelfStock_Log[WeekIndex],15))</f>
        <v/>
      </c>
      <c r="Q63" s="19">
        <f>IF(COUNTIFS(T_SelfStock_Log[Part Name],$A63,T_SelfStock_Log[WeekIndex],16)=0,"",SUMIFS(T_SelfStock_Log[Self_Qty],T_SelfStock_Log[Part Name],$A63,T_SelfStock_Log[WeekIndex],16))</f>
        <v/>
      </c>
      <c r="R63" s="19">
        <f>IF(COUNTIFS(T_SelfStock_Log[Part Name],$A63,T_SelfStock_Log[WeekIndex],17)=0,"",SUMIFS(T_SelfStock_Log[Self_Qty],T_SelfStock_Log[Part Name],$A63,T_SelfStock_Log[WeekIndex],17))</f>
        <v/>
      </c>
      <c r="S63" s="19">
        <f>IF(COUNTIFS(T_SelfStock_Log[Part Name],$A63,T_SelfStock_Log[WeekIndex],18)=0,"",SUMIFS(T_SelfStock_Log[Self_Qty],T_SelfStock_Log[Part Name],$A63,T_SelfStock_Log[WeekIndex],18))</f>
        <v/>
      </c>
      <c r="T63" s="19">
        <f>IF(COUNTIFS(T_SelfStock_Log[Part Name],$A63,T_SelfStock_Log[WeekIndex],19)=0,"",SUMIFS(T_SelfStock_Log[Self_Qty],T_SelfStock_Log[Part Name],$A63,T_SelfStock_Log[WeekIndex],19))</f>
        <v/>
      </c>
      <c r="U63" s="19">
        <f>IF(COUNTIFS(T_SelfStock_Log[Part Name],$A63,T_SelfStock_Log[WeekIndex],20)=0,"",SUMIFS(T_SelfStock_Log[Self_Qty],T_SelfStock_Log[Part Name],$A63,T_SelfStock_Log[WeekIndex],20))</f>
        <v/>
      </c>
      <c r="V63" s="19">
        <f>IF(COUNTIFS(T_SelfStock_Log[Part Name],$A63,T_SelfStock_Log[WeekIndex],21)=0,"",SUMIFS(T_SelfStock_Log[Self_Qty],T_SelfStock_Log[Part Name],$A63,T_SelfStock_Log[WeekIndex],21))</f>
        <v/>
      </c>
      <c r="W63" s="19">
        <f>IF(COUNTIFS(T_SelfStock_Log[Part Name],$A63,T_SelfStock_Log[WeekIndex],22)=0,"",SUMIFS(T_SelfStock_Log[Self_Qty],T_SelfStock_Log[Part Name],$A63,T_SelfStock_Log[WeekIndex],22))</f>
        <v/>
      </c>
      <c r="X63" s="19">
        <f>IF(COUNTIFS(T_SelfStock_Log[Part Name],$A63,T_SelfStock_Log[WeekIndex],23)=0,"",SUMIFS(T_SelfStock_Log[Self_Qty],T_SelfStock_Log[Part Name],$A63,T_SelfStock_Log[WeekIndex],23))</f>
        <v/>
      </c>
      <c r="Y63" s="19">
        <f>IF(COUNTIFS(T_SelfStock_Log[Part Name],$A63,T_SelfStock_Log[WeekIndex],24)=0,"",SUMIFS(T_SelfStock_Log[Self_Qty],T_SelfStock_Log[Part Name],$A63,T_SelfStock_Log[WeekIndex],24))</f>
        <v/>
      </c>
      <c r="Z63" s="19">
        <f>IF(COUNTIFS(T_SelfStock_Log[Part Name],$A63,T_SelfStock_Log[WeekIndex],25)=0,"",SUMIFS(T_SelfStock_Log[Self_Qty],T_SelfStock_Log[Part Name],$A63,T_SelfStock_Log[WeekIndex],25))</f>
        <v/>
      </c>
      <c r="AA63" s="19">
        <f>IF(COUNTIFS(T_SelfStock_Log[Part Name],$A63,T_SelfStock_Log[WeekIndex],26)=0,"",SUMIFS(T_SelfStock_Log[Self_Qty],T_SelfStock_Log[Part Name],$A63,T_SelfStock_Log[WeekIndex],26))</f>
        <v/>
      </c>
      <c r="AB63" s="19">
        <f>IF(COUNTIFS(T_SelfStock_Log[Part Name],$A63,T_SelfStock_Log[WeekIndex],27)=0,"",SUMIFS(T_SelfStock_Log[Self_Qty],T_SelfStock_Log[Part Name],$A63,T_SelfStock_Log[WeekIndex],27))</f>
        <v/>
      </c>
      <c r="AC63" s="19">
        <f>IF(COUNTIFS(T_SelfStock_Log[Part Name],$A63,T_SelfStock_Log[WeekIndex],28)=0,"",SUMIFS(T_SelfStock_Log[Self_Qty],T_SelfStock_Log[Part Name],$A63,T_SelfStock_Log[WeekIndex],28))</f>
        <v/>
      </c>
      <c r="AD63" s="19">
        <f>IF(COUNTIFS(T_SelfStock_Log[Part Name],$A63,T_SelfStock_Log[WeekIndex],29)=0,"",SUMIFS(T_SelfStock_Log[Self_Qty],T_SelfStock_Log[Part Name],$A63,T_SelfStock_Log[WeekIndex],29))</f>
        <v/>
      </c>
      <c r="AE63" s="19">
        <f>IF(COUNTIFS(T_SelfStock_Log[Part Name],$A63,T_SelfStock_Log[WeekIndex],30)=0,"",SUMIFS(T_SelfStock_Log[Self_Qty],T_SelfStock_Log[Part Name],$A63,T_SelfStock_Log[WeekIndex],30))</f>
        <v/>
      </c>
      <c r="AF63" s="19">
        <f>IF(COUNTIFS(T_SelfStock_Log[Part Name],$A63,T_SelfStock_Log[WeekIndex],31)=0,"",SUMIFS(T_SelfStock_Log[Self_Qty],T_SelfStock_Log[Part Name],$A63,T_SelfStock_Log[WeekIndex],31))</f>
        <v/>
      </c>
      <c r="AG63" s="19">
        <f>IF(COUNTIFS(T_SelfStock_Log[Part Name],$A63,T_SelfStock_Log[WeekIndex],32)=0,"",SUMIFS(T_SelfStock_Log[Self_Qty],T_SelfStock_Log[Part Name],$A63,T_SelfStock_Log[WeekIndex],32))</f>
        <v/>
      </c>
      <c r="AH63" s="19">
        <f>IF(COUNTIFS(T_SelfStock_Log[Part Name],$A63,T_SelfStock_Log[WeekIndex],33)=0,"",SUMIFS(T_SelfStock_Log[Self_Qty],T_SelfStock_Log[Part Name],$A63,T_SelfStock_Log[WeekIndex],33))</f>
        <v/>
      </c>
      <c r="AI63" s="19">
        <f>IF(COUNTIFS(T_SelfStock_Log[Part Name],$A63,T_SelfStock_Log[WeekIndex],34)=0,"",SUMIFS(T_SelfStock_Log[Self_Qty],T_SelfStock_Log[Part Name],$A63,T_SelfStock_Log[WeekIndex],34))</f>
        <v/>
      </c>
      <c r="AJ63" s="19">
        <f>IF(COUNTIFS(T_SelfStock_Log[Part Name],$A63,T_SelfStock_Log[WeekIndex],35)=0,"",SUMIFS(T_SelfStock_Log[Self_Qty],T_SelfStock_Log[Part Name],$A63,T_SelfStock_Log[WeekIndex],35))</f>
        <v/>
      </c>
      <c r="AK63" s="19">
        <f>IF(COUNTIFS(T_SelfStock_Log[Part Name],$A63,T_SelfStock_Log[WeekIndex],36)=0,"",SUMIFS(T_SelfStock_Log[Self_Qty],T_SelfStock_Log[Part Name],$A63,T_SelfStock_Log[WeekIndex],36))</f>
        <v/>
      </c>
      <c r="AL63" s="19">
        <f>IF(COUNTIFS(T_SelfStock_Log[Part Name],$A63,T_SelfStock_Log[WeekIndex],37)=0,"",SUMIFS(T_SelfStock_Log[Self_Qty],T_SelfStock_Log[Part Name],$A63,T_SelfStock_Log[WeekIndex],37))</f>
        <v/>
      </c>
      <c r="AM63" s="19">
        <f>IF(COUNTIFS(T_SelfStock_Log[Part Name],$A63,T_SelfStock_Log[WeekIndex],38)=0,"",SUMIFS(T_SelfStock_Log[Self_Qty],T_SelfStock_Log[Part Name],$A63,T_SelfStock_Log[WeekIndex],38))</f>
        <v/>
      </c>
      <c r="AN63" s="19">
        <f>IF(COUNTIFS(T_SelfStock_Log[Part Name],$A63,T_SelfStock_Log[WeekIndex],39)=0,"",SUMIFS(T_SelfStock_Log[Self_Qty],T_SelfStock_Log[Part Name],$A63,T_SelfStock_Log[WeekIndex],39))</f>
        <v/>
      </c>
      <c r="AO63" s="19">
        <f>IF(COUNTIFS(T_SelfStock_Log[Part Name],$A63,T_SelfStock_Log[WeekIndex],40)=0,"",SUMIFS(T_SelfStock_Log[Self_Qty],T_SelfStock_Log[Part Name],$A63,T_SelfStock_Log[WeekIndex],40))</f>
        <v/>
      </c>
      <c r="AP63" s="19">
        <f>IF(COUNTIFS(T_SelfStock_Log[Part Name],$A63,T_SelfStock_Log[WeekIndex],41)=0,"",SUMIFS(T_SelfStock_Log[Self_Qty],T_SelfStock_Log[Part Name],$A63,T_SelfStock_Log[WeekIndex],41))</f>
        <v/>
      </c>
      <c r="AQ63" s="19">
        <f>IF(COUNTIFS(T_SelfStock_Log[Part Name],$A63,T_SelfStock_Log[WeekIndex],42)=0,"",SUMIFS(T_SelfStock_Log[Self_Qty],T_SelfStock_Log[Part Name],$A63,T_SelfStock_Log[WeekIndex],42))</f>
        <v/>
      </c>
      <c r="AR63" s="19">
        <f>IF(COUNTIFS(T_SelfStock_Log[Part Name],$A63,T_SelfStock_Log[WeekIndex],43)=0,"",SUMIFS(T_SelfStock_Log[Self_Qty],T_SelfStock_Log[Part Name],$A63,T_SelfStock_Log[WeekIndex],43))</f>
        <v/>
      </c>
      <c r="AS63" s="19">
        <f>IF(COUNTIFS(T_SelfStock_Log[Part Name],$A63,T_SelfStock_Log[WeekIndex],44)=0,"",SUMIFS(T_SelfStock_Log[Self_Qty],T_SelfStock_Log[Part Name],$A63,T_SelfStock_Log[WeekIndex],44))</f>
        <v/>
      </c>
      <c r="AT63" s="19">
        <f>IF(COUNTIFS(T_SelfStock_Log[Part Name],$A63,T_SelfStock_Log[WeekIndex],45)=0,"",SUMIFS(T_SelfStock_Log[Self_Qty],T_SelfStock_Log[Part Name],$A63,T_SelfStock_Log[WeekIndex],45))</f>
        <v/>
      </c>
      <c r="AU63" s="19">
        <f>IF(COUNTIFS(T_SelfStock_Log[Part Name],$A63,T_SelfStock_Log[WeekIndex],46)=0,"",SUMIFS(T_SelfStock_Log[Self_Qty],T_SelfStock_Log[Part Name],$A63,T_SelfStock_Log[WeekIndex],46))</f>
        <v/>
      </c>
      <c r="AV63" s="19">
        <f>IF(COUNTIFS(T_SelfStock_Log[Part Name],$A63,T_SelfStock_Log[WeekIndex],47)=0,"",SUMIFS(T_SelfStock_Log[Self_Qty],T_SelfStock_Log[Part Name],$A63,T_SelfStock_Log[WeekIndex],47))</f>
        <v/>
      </c>
      <c r="AW63" s="19">
        <f>IF(COUNTIFS(T_SelfStock_Log[Part Name],$A63,T_SelfStock_Log[WeekIndex],48)=0,"",SUMIFS(T_SelfStock_Log[Self_Qty],T_SelfStock_Log[Part Name],$A63,T_SelfStock_Log[WeekIndex],48))</f>
        <v/>
      </c>
      <c r="AX63" s="19">
        <f>IF(COUNTIFS(T_SelfStock_Log[Part Name],$A63,T_SelfStock_Log[WeekIndex],49)=0,"",SUMIFS(T_SelfStock_Log[Self_Qty],T_SelfStock_Log[Part Name],$A63,T_SelfStock_Log[WeekIndex],49))</f>
        <v/>
      </c>
      <c r="AY63" s="19">
        <f>IF(COUNTIFS(T_SelfStock_Log[Part Name],$A63,T_SelfStock_Log[WeekIndex],50)=0,"",SUMIFS(T_SelfStock_Log[Self_Qty],T_SelfStock_Log[Part Name],$A63,T_SelfStock_Log[WeekIndex],50))</f>
        <v/>
      </c>
      <c r="AZ63" s="19">
        <f>IF(COUNTIFS(T_SelfStock_Log[Part Name],$A63,T_SelfStock_Log[WeekIndex],51)=0,"",SUMIFS(T_SelfStock_Log[Self_Qty],T_SelfStock_Log[Part Name],$A63,T_SelfStock_Log[WeekIndex],51))</f>
        <v/>
      </c>
      <c r="BA63" s="19">
        <f>IF(COUNTIFS(T_SelfStock_Log[Part Name],$A63,T_SelfStock_Log[WeekIndex],52)=0,"",SUMIFS(T_SelfStock_Log[Self_Qty],T_SelfStock_Log[Part Name],$A63,T_SelfStock_Log[WeekIndex],52))</f>
        <v/>
      </c>
      <c r="BB63" s="19">
        <f>IF(COUNTIFS(T_SelfStock_Log[Part Name],$A63,T_SelfStock_Log[WeekIndex],53)=0,"",SUMIFS(T_SelfStock_Log[Self_Qty],T_SelfStock_Log[Part Name],$A63,T_SelfStock_Log[WeekIndex],53))</f>
        <v/>
      </c>
      <c r="BC63" s="19">
        <f>IF(COUNTIFS(T_SelfStock_Log[Part Name],$A63,T_SelfStock_Log[WeekIndex],54)=0,"",SUMIFS(T_SelfStock_Log[Self_Qty],T_SelfStock_Log[Part Name],$A63,T_SelfStock_Log[WeekIndex],54))</f>
        <v/>
      </c>
      <c r="BD63" s="19">
        <f>IF(COUNTIFS(T_SelfStock_Log[Part Name],$A63,T_SelfStock_Log[WeekIndex],55)=0,"",SUMIFS(T_SelfStock_Log[Self_Qty],T_SelfStock_Log[Part Name],$A63,T_SelfStock_Log[WeekIndex],55))</f>
        <v/>
      </c>
      <c r="BE63" s="19">
        <f>IF(COUNTIFS(T_SelfStock_Log[Part Name],$A63,T_SelfStock_Log[WeekIndex],56)=0,"",SUMIFS(T_SelfStock_Log[Self_Qty],T_SelfStock_Log[Part Name],$A63,T_SelfStock_Log[WeekIndex],56))</f>
        <v/>
      </c>
      <c r="BF63" s="19">
        <f>IF(COUNTIFS(T_SelfStock_Log[Part Name],$A63,T_SelfStock_Log[WeekIndex],57)=0,"",SUMIFS(T_SelfStock_Log[Self_Qty],T_SelfStock_Log[Part Name],$A63,T_SelfStock_Log[WeekIndex],57))</f>
        <v/>
      </c>
      <c r="BG63" s="19">
        <f>IF(COUNTIFS(T_SelfStock_Log[Part Name],$A63,T_SelfStock_Log[WeekIndex],58)=0,"",SUMIFS(T_SelfStock_Log[Self_Qty],T_SelfStock_Log[Part Name],$A63,T_SelfStock_Log[WeekIndex],58))</f>
        <v/>
      </c>
      <c r="BH63" s="19">
        <f>IF(COUNTIFS(T_SelfStock_Log[Part Name],$A63,T_SelfStock_Log[WeekIndex],59)=0,"",SUMIFS(T_SelfStock_Log[Self_Qty],T_SelfStock_Log[Part Name],$A63,T_SelfStock_Log[WeekIndex],59))</f>
        <v/>
      </c>
      <c r="BI63" s="19">
        <f>IF(COUNTIFS(T_SelfStock_Log[Part Name],$A63,T_SelfStock_Log[WeekIndex],60)=0,"",SUMIFS(T_SelfStock_Log[Self_Qty],T_SelfStock_Log[Part Name],$A63,T_SelfStock_Log[WeekIndex],60))</f>
        <v/>
      </c>
      <c r="BJ63" s="19">
        <f>IF(COUNTIFS(T_SelfStock_Log[Part Name],$A63,T_SelfStock_Log[WeekIndex],61)=0,"",SUMIFS(T_SelfStock_Log[Self_Qty],T_SelfStock_Log[Part Name],$A63,T_SelfStock_Log[WeekIndex],61))</f>
        <v/>
      </c>
      <c r="BK63" s="19">
        <f>IF(COUNTIFS(T_SelfStock_Log[Part Name],$A63,T_SelfStock_Log[WeekIndex],62)=0,"",SUMIFS(T_SelfStock_Log[Self_Qty],T_SelfStock_Log[Part Name],$A63,T_SelfStock_Log[WeekIndex],62))</f>
        <v/>
      </c>
      <c r="BL63" s="19">
        <f>IF(COUNTIFS(T_SelfStock_Log[Part Name],$A63,T_SelfStock_Log[WeekIndex],63)=0,"",SUMIFS(T_SelfStock_Log[Self_Qty],T_SelfStock_Log[Part Name],$A63,T_SelfStock_Log[WeekIndex],63))</f>
        <v/>
      </c>
      <c r="BM63" s="19">
        <f>IF(COUNTIFS(T_SelfStock_Log[Part Name],$A63,T_SelfStock_Log[WeekIndex],64)=0,"",SUMIFS(T_SelfStock_Log[Self_Qty],T_SelfStock_Log[Part Name],$A63,T_SelfStock_Log[WeekIndex],64))</f>
        <v/>
      </c>
      <c r="BN63" s="19">
        <f>IF(COUNTIFS(T_SelfStock_Log[Part Name],$A63,T_SelfStock_Log[WeekIndex],65)=0,"",SUMIFS(T_SelfStock_Log[Self_Qty],T_SelfStock_Log[Part Name],$A63,T_SelfStock_Log[WeekIndex],65))</f>
        <v/>
      </c>
      <c r="BO63" s="19">
        <f>IF(COUNTIFS(T_SelfStock_Log[Part Name],$A63,T_SelfStock_Log[WeekIndex],66)=0,"",SUMIFS(T_SelfStock_Log[Self_Qty],T_SelfStock_Log[Part Name],$A63,T_SelfStock_Log[WeekIndex],66))</f>
        <v/>
      </c>
      <c r="BP63" s="19">
        <f>IF(COUNTIFS(T_SelfStock_Log[Part Name],$A63,T_SelfStock_Log[WeekIndex],67)=0,"",SUMIFS(T_SelfStock_Log[Self_Qty],T_SelfStock_Log[Part Name],$A63,T_SelfStock_Log[WeekIndex],67))</f>
        <v/>
      </c>
      <c r="BQ63" s="19">
        <f>IF(COUNTIFS(T_SelfStock_Log[Part Name],$A63,T_SelfStock_Log[WeekIndex],68)=0,"",SUMIFS(T_SelfStock_Log[Self_Qty],T_SelfStock_Log[Part Name],$A63,T_SelfStock_Log[WeekIndex],68))</f>
        <v/>
      </c>
      <c r="BR63" s="19">
        <f>IF(COUNTIFS(T_SelfStock_Log[Part Name],$A63,T_SelfStock_Log[WeekIndex],69)=0,"",SUMIFS(T_SelfStock_Log[Self_Qty],T_SelfStock_Log[Part Name],$A63,T_SelfStock_Log[WeekIndex],69))</f>
        <v/>
      </c>
      <c r="BS63" s="19">
        <f>IF(COUNTIFS(T_SelfStock_Log[Part Name],$A63,T_SelfStock_Log[WeekIndex],70)=0,"",SUMIFS(T_SelfStock_Log[Self_Qty],T_SelfStock_Log[Part Name],$A63,T_SelfStock_Log[WeekIndex],70))</f>
        <v/>
      </c>
      <c r="BT63" s="19">
        <f>IF(COUNTIFS(T_SelfStock_Log[Part Name],$A63,T_SelfStock_Log[WeekIndex],71)=0,"",SUMIFS(T_SelfStock_Log[Self_Qty],T_SelfStock_Log[Part Name],$A63,T_SelfStock_Log[WeekIndex],71))</f>
        <v/>
      </c>
      <c r="BU63" s="19">
        <f>IF(COUNTIFS(T_SelfStock_Log[Part Name],$A63,T_SelfStock_Log[WeekIndex],72)=0,"",SUMIFS(T_SelfStock_Log[Self_Qty],T_SelfStock_Log[Part Name],$A63,T_SelfStock_Log[WeekIndex],72))</f>
        <v/>
      </c>
      <c r="BV63" s="19">
        <f>IF(COUNTIFS(T_SelfStock_Log[Part Name],$A63,T_SelfStock_Log[WeekIndex],73)=0,"",SUMIFS(T_SelfStock_Log[Self_Qty],T_SelfStock_Log[Part Name],$A63,T_SelfStock_Log[WeekIndex],73))</f>
        <v/>
      </c>
      <c r="BW63" s="19">
        <f>IF(COUNTIFS(T_SelfStock_Log[Part Name],$A63,T_SelfStock_Log[WeekIndex],74)=0,"",SUMIFS(T_SelfStock_Log[Self_Qty],T_SelfStock_Log[Part Name],$A63,T_SelfStock_Log[WeekIndex],74))</f>
        <v/>
      </c>
      <c r="BX63" s="19">
        <f>IF(COUNTIFS(T_SelfStock_Log[Part Name],$A63,T_SelfStock_Log[WeekIndex],75)=0,"",SUMIFS(T_SelfStock_Log[Self_Qty],T_SelfStock_Log[Part Name],$A63,T_SelfStock_Log[WeekIndex],75))</f>
        <v/>
      </c>
      <c r="BY63" s="19">
        <f>IF(COUNTIFS(T_SelfStock_Log[Part Name],$A63,T_SelfStock_Log[WeekIndex],76)=0,"",SUMIFS(T_SelfStock_Log[Self_Qty],T_SelfStock_Log[Part Name],$A63,T_SelfStock_Log[WeekIndex],76))</f>
        <v/>
      </c>
      <c r="BZ63" s="19">
        <f>IF(COUNTIFS(T_SelfStock_Log[Part Name],$A63,T_SelfStock_Log[WeekIndex],77)=0,"",SUMIFS(T_SelfStock_Log[Self_Qty],T_SelfStock_Log[Part Name],$A63,T_SelfStock_Log[WeekIndex],77))</f>
        <v/>
      </c>
      <c r="CA63" s="19">
        <f>IF(COUNTIFS(T_SelfStock_Log[Part Name],$A63,T_SelfStock_Log[WeekIndex],78)=0,"",SUMIFS(T_SelfStock_Log[Self_Qty],T_SelfStock_Log[Part Name],$A63,T_SelfStock_Log[WeekIndex],78))</f>
        <v/>
      </c>
      <c r="CB63" s="19">
        <f>IF(COUNTIFS(T_SelfStock_Log[Part Name],$A63,T_SelfStock_Log[WeekIndex],79)=0,"",SUMIFS(T_SelfStock_Log[Self_Qty],T_SelfStock_Log[Part Name],$A63,T_SelfStock_Log[WeekIndex],79))</f>
        <v/>
      </c>
      <c r="CC63" s="19">
        <f>IF(COUNTIFS(T_SelfStock_Log[Part Name],$A63,T_SelfStock_Log[WeekIndex],80)=0,"",SUMIFS(T_SelfStock_Log[Self_Qty],T_SelfStock_Log[Part Name],$A63,T_SelfStock_Log[WeekIndex],80))</f>
        <v/>
      </c>
      <c r="CD63" s="19">
        <f>IF(COUNTIFS(T_SelfStock_Log[Part Name],$A63,T_SelfStock_Log[WeekIndex],81)=0,"",SUMIFS(T_SelfStock_Log[Self_Qty],T_SelfStock_Log[Part Name],$A63,T_SelfStock_Log[WeekIndex],81))</f>
        <v/>
      </c>
      <c r="CE63" s="19">
        <f>IF(COUNTIFS(T_SelfStock_Log[Part Name],$A63,T_SelfStock_Log[WeekIndex],82)=0,"",SUMIFS(T_SelfStock_Log[Self_Qty],T_SelfStock_Log[Part Name],$A63,T_SelfStock_Log[WeekIndex],82))</f>
        <v/>
      </c>
      <c r="CF63" s="19">
        <f>IF(COUNTIFS(T_SelfStock_Log[Part Name],$A63,T_SelfStock_Log[WeekIndex],83)=0,"",SUMIFS(T_SelfStock_Log[Self_Qty],T_SelfStock_Log[Part Name],$A63,T_SelfStock_Log[WeekIndex],83))</f>
        <v/>
      </c>
      <c r="CG63" s="19">
        <f>IF(COUNTIFS(T_SelfStock_Log[Part Name],$A63,T_SelfStock_Log[WeekIndex],84)=0,"",SUMIFS(T_SelfStock_Log[Self_Qty],T_SelfStock_Log[Part Name],$A63,T_SelfStock_Log[WeekIndex],84))</f>
        <v/>
      </c>
      <c r="CH63" s="19">
        <f>IF(COUNTIFS(T_SelfStock_Log[Part Name],$A63,T_SelfStock_Log[WeekIndex],85)=0,"",SUMIFS(T_SelfStock_Log[Self_Qty],T_SelfStock_Log[Part Name],$A63,T_SelfStock_Log[WeekIndex],85))</f>
        <v/>
      </c>
      <c r="CI63" s="19">
        <f>IF(COUNTIFS(T_SelfStock_Log[Part Name],$A63,T_SelfStock_Log[WeekIndex],86)=0,"",SUMIFS(T_SelfStock_Log[Self_Qty],T_SelfStock_Log[Part Name],$A63,T_SelfStock_Log[WeekIndex],86))</f>
        <v/>
      </c>
      <c r="CJ63" s="19">
        <f>IF(COUNTIFS(T_SelfStock_Log[Part Name],$A63,T_SelfStock_Log[WeekIndex],87)=0,"",SUMIFS(T_SelfStock_Log[Self_Qty],T_SelfStock_Log[Part Name],$A63,T_SelfStock_Log[WeekIndex],87))</f>
        <v/>
      </c>
      <c r="CK63" s="19">
        <f>IF(COUNTIFS(T_SelfStock_Log[Part Name],$A63,T_SelfStock_Log[WeekIndex],88)=0,"",SUMIFS(T_SelfStock_Log[Self_Qty],T_SelfStock_Log[Part Name],$A63,T_SelfStock_Log[WeekIndex],88))</f>
        <v/>
      </c>
      <c r="CL63" s="19">
        <f>IF(COUNTIFS(T_SelfStock_Log[Part Name],$A63,T_SelfStock_Log[WeekIndex],89)=0,"",SUMIFS(T_SelfStock_Log[Self_Qty],T_SelfStock_Log[Part Name],$A63,T_SelfStock_Log[WeekIndex],89))</f>
        <v/>
      </c>
      <c r="CM63" s="19">
        <f>IF(COUNTIFS(T_SelfStock_Log[Part Name],$A63,T_SelfStock_Log[WeekIndex],90)=0,"",SUMIFS(T_SelfStock_Log[Self_Qty],T_SelfStock_Log[Part Name],$A63,T_SelfStock_Log[WeekIndex],90))</f>
        <v/>
      </c>
      <c r="CN63" s="19">
        <f>IF(COUNTIFS(T_SelfStock_Log[Part Name],$A63,T_SelfStock_Log[WeekIndex],91)=0,"",SUMIFS(T_SelfStock_Log[Self_Qty],T_SelfStock_Log[Part Name],$A63,T_SelfStock_Log[WeekIndex],91))</f>
        <v/>
      </c>
      <c r="CO63" s="19">
        <f>IF(COUNTIFS(T_SelfStock_Log[Part Name],$A63,T_SelfStock_Log[WeekIndex],92)=0,"",SUMIFS(T_SelfStock_Log[Self_Qty],T_SelfStock_Log[Part Name],$A63,T_SelfStock_Log[WeekIndex],92))</f>
        <v/>
      </c>
      <c r="CP63" s="19">
        <f>IF(COUNTIFS(T_SelfStock_Log[Part Name],$A63,T_SelfStock_Log[WeekIndex],93)=0,"",SUMIFS(T_SelfStock_Log[Self_Qty],T_SelfStock_Log[Part Name],$A63,T_SelfStock_Log[WeekIndex],93))</f>
        <v/>
      </c>
      <c r="CQ63" s="19">
        <f>IF(COUNTIFS(T_SelfStock_Log[Part Name],$A63,T_SelfStock_Log[WeekIndex],94)=0,"",SUMIFS(T_SelfStock_Log[Self_Qty],T_SelfStock_Log[Part Name],$A63,T_SelfStock_Log[WeekIndex],94))</f>
        <v/>
      </c>
      <c r="CR63" s="19">
        <f>IF(COUNTIFS(T_SelfStock_Log[Part Name],$A63,T_SelfStock_Log[WeekIndex],95)=0,"",SUMIFS(T_SelfStock_Log[Self_Qty],T_SelfStock_Log[Part Name],$A63,T_SelfStock_Log[WeekIndex],95))</f>
        <v/>
      </c>
      <c r="CS63" s="19">
        <f>IF(COUNTIFS(T_SelfStock_Log[Part Name],$A63,T_SelfStock_Log[WeekIndex],96)=0,"",SUMIFS(T_SelfStock_Log[Self_Qty],T_SelfStock_Log[Part Name],$A63,T_SelfStock_Log[WeekIndex],96))</f>
        <v/>
      </c>
      <c r="CT63" s="19">
        <f>IF(COUNTIFS(T_SelfStock_Log[Part Name],$A63,T_SelfStock_Log[WeekIndex],97)=0,"",SUMIFS(T_SelfStock_Log[Self_Qty],T_SelfStock_Log[Part Name],$A63,T_SelfStock_Log[WeekIndex],97))</f>
        <v/>
      </c>
      <c r="CU63" s="19">
        <f>IF(COUNTIFS(T_SelfStock_Log[Part Name],$A63,T_SelfStock_Log[WeekIndex],98)=0,"",SUMIFS(T_SelfStock_Log[Self_Qty],T_SelfStock_Log[Part Name],$A63,T_SelfStock_Log[WeekIndex],98))</f>
        <v/>
      </c>
      <c r="CV63" s="19">
        <f>IF(COUNTIFS(T_SelfStock_Log[Part Name],$A63,T_SelfStock_Log[WeekIndex],99)=0,"",SUMIFS(T_SelfStock_Log[Self_Qty],T_SelfStock_Log[Part Name],$A63,T_SelfStock_Log[WeekIndex],99))</f>
        <v/>
      </c>
      <c r="CW63" s="19">
        <f>IF(COUNTIFS(T_SelfStock_Log[Part Name],$A63,T_SelfStock_Log[WeekIndex],100)=0,"",SUMIFS(T_SelfStock_Log[Self_Qty],T_SelfStock_Log[Part Name],$A63,T_SelfStock_Log[WeekIndex],100))</f>
        <v/>
      </c>
      <c r="CX63" s="19">
        <f>IF(COUNTIFS(T_SelfStock_Log[Part Name],$A63,T_SelfStock_Log[WeekIndex],101)=0,"",SUMIFS(T_SelfStock_Log[Self_Qty],T_SelfStock_Log[Part Name],$A63,T_SelfStock_Log[WeekIndex],101))</f>
        <v/>
      </c>
      <c r="CY63" s="19">
        <f>IF(COUNTIFS(T_SelfStock_Log[Part Name],$A63,T_SelfStock_Log[WeekIndex],102)=0,"",SUMIFS(T_SelfStock_Log[Self_Qty],T_SelfStock_Log[Part Name],$A63,T_SelfStock_Log[WeekIndex],102))</f>
        <v/>
      </c>
      <c r="CZ63" s="19">
        <f>IF(COUNTIFS(T_SelfStock_Log[Part Name],$A63,T_SelfStock_Log[WeekIndex],103)=0,"",SUMIFS(T_SelfStock_Log[Self_Qty],T_SelfStock_Log[Part Name],$A63,T_SelfStock_Log[WeekIndex],103))</f>
        <v/>
      </c>
      <c r="DA63" s="19">
        <f>IF(COUNTIFS(T_SelfStock_Log[Part Name],$A63,T_SelfStock_Log[WeekIndex],104)=0,"",SUMIFS(T_SelfStock_Log[Self_Qty],T_SelfStock_Log[Part Name],$A63,T_SelfStock_Log[WeekIndex],104))</f>
        <v/>
      </c>
    </row>
    <row r="64">
      <c r="A64" s="17" t="inlineStr">
        <is>
          <t>CHEM-1690</t>
        </is>
      </c>
      <c r="B64" s="17">
        <f>IF(COUNTIFS(T_SelfStock_Log[Part Name],$A64,T_SelfStock_Log[WeekIndex],1)=0,"",SUMIFS(T_SelfStock_Log[Self_Qty],T_SelfStock_Log[Part Name],$A64,T_SelfStock_Log[WeekIndex],1))</f>
        <v/>
      </c>
      <c r="C64" s="17">
        <f>IF(COUNTIFS(T_SelfStock_Log[Part Name],$A64,T_SelfStock_Log[WeekIndex],2)=0,"",SUMIFS(T_SelfStock_Log[Self_Qty],T_SelfStock_Log[Part Name],$A64,T_SelfStock_Log[WeekIndex],2))</f>
        <v/>
      </c>
      <c r="D64" s="17">
        <f>IF(COUNTIFS(T_SelfStock_Log[Part Name],$A64,T_SelfStock_Log[WeekIndex],3)=0,"",SUMIFS(T_SelfStock_Log[Self_Qty],T_SelfStock_Log[Part Name],$A64,T_SelfStock_Log[WeekIndex],3))</f>
        <v/>
      </c>
      <c r="E64" s="17">
        <f>IF(COUNTIFS(T_SelfStock_Log[Part Name],$A64,T_SelfStock_Log[WeekIndex],4)=0,"",SUMIFS(T_SelfStock_Log[Self_Qty],T_SelfStock_Log[Part Name],$A64,T_SelfStock_Log[WeekIndex],4))</f>
        <v/>
      </c>
      <c r="F64" s="17">
        <f>IF(COUNTIFS(T_SelfStock_Log[Part Name],$A64,T_SelfStock_Log[WeekIndex],5)=0,"",SUMIFS(T_SelfStock_Log[Self_Qty],T_SelfStock_Log[Part Name],$A64,T_SelfStock_Log[WeekIndex],5))</f>
        <v/>
      </c>
      <c r="G64" s="17">
        <f>IF(COUNTIFS(T_SelfStock_Log[Part Name],$A64,T_SelfStock_Log[WeekIndex],6)=0,"",SUMIFS(T_SelfStock_Log[Self_Qty],T_SelfStock_Log[Part Name],$A64,T_SelfStock_Log[WeekIndex],6))</f>
        <v/>
      </c>
      <c r="H64" s="17">
        <f>IF(COUNTIFS(T_SelfStock_Log[Part Name],$A64,T_SelfStock_Log[WeekIndex],7)=0,"",SUMIFS(T_SelfStock_Log[Self_Qty],T_SelfStock_Log[Part Name],$A64,T_SelfStock_Log[WeekIndex],7))</f>
        <v/>
      </c>
      <c r="I64" s="17">
        <f>IF(COUNTIFS(T_SelfStock_Log[Part Name],$A64,T_SelfStock_Log[WeekIndex],8)=0,"",SUMIFS(T_SelfStock_Log[Self_Qty],T_SelfStock_Log[Part Name],$A64,T_SelfStock_Log[WeekIndex],8))</f>
        <v/>
      </c>
      <c r="J64" s="17">
        <f>IF(COUNTIFS(T_SelfStock_Log[Part Name],$A64,T_SelfStock_Log[WeekIndex],9)=0,"",SUMIFS(T_SelfStock_Log[Self_Qty],T_SelfStock_Log[Part Name],$A64,T_SelfStock_Log[WeekIndex],9))</f>
        <v/>
      </c>
      <c r="K64" s="17">
        <f>IF(COUNTIFS(T_SelfStock_Log[Part Name],$A64,T_SelfStock_Log[WeekIndex],10)=0,"",SUMIFS(T_SelfStock_Log[Self_Qty],T_SelfStock_Log[Part Name],$A64,T_SelfStock_Log[WeekIndex],10))</f>
        <v/>
      </c>
      <c r="L64" s="17">
        <f>IF(COUNTIFS(T_SelfStock_Log[Part Name],$A64,T_SelfStock_Log[WeekIndex],11)=0,"",SUMIFS(T_SelfStock_Log[Self_Qty],T_SelfStock_Log[Part Name],$A64,T_SelfStock_Log[WeekIndex],11))</f>
        <v/>
      </c>
      <c r="M64" s="17">
        <f>IF(COUNTIFS(T_SelfStock_Log[Part Name],$A64,T_SelfStock_Log[WeekIndex],12)=0,"",SUMIFS(T_SelfStock_Log[Self_Qty],T_SelfStock_Log[Part Name],$A64,T_SelfStock_Log[WeekIndex],12))</f>
        <v/>
      </c>
      <c r="N64" s="17">
        <f>IF(COUNTIFS(T_SelfStock_Log[Part Name],$A64,T_SelfStock_Log[WeekIndex],13)=0,"",SUMIFS(T_SelfStock_Log[Self_Qty],T_SelfStock_Log[Part Name],$A64,T_SelfStock_Log[WeekIndex],13))</f>
        <v/>
      </c>
      <c r="O64" s="17">
        <f>IF(COUNTIFS(T_SelfStock_Log[Part Name],$A64,T_SelfStock_Log[WeekIndex],14)=0,"",SUMIFS(T_SelfStock_Log[Self_Qty],T_SelfStock_Log[Part Name],$A64,T_SelfStock_Log[WeekIndex],14))</f>
        <v/>
      </c>
      <c r="P64" s="17">
        <f>IF(COUNTIFS(T_SelfStock_Log[Part Name],$A64,T_SelfStock_Log[WeekIndex],15)=0,"",SUMIFS(T_SelfStock_Log[Self_Qty],T_SelfStock_Log[Part Name],$A64,T_SelfStock_Log[WeekIndex],15))</f>
        <v/>
      </c>
      <c r="Q64" s="17">
        <f>IF(COUNTIFS(T_SelfStock_Log[Part Name],$A64,T_SelfStock_Log[WeekIndex],16)=0,"",SUMIFS(T_SelfStock_Log[Self_Qty],T_SelfStock_Log[Part Name],$A64,T_SelfStock_Log[WeekIndex],16))</f>
        <v/>
      </c>
      <c r="R64" s="17">
        <f>IF(COUNTIFS(T_SelfStock_Log[Part Name],$A64,T_SelfStock_Log[WeekIndex],17)=0,"",SUMIFS(T_SelfStock_Log[Self_Qty],T_SelfStock_Log[Part Name],$A64,T_SelfStock_Log[WeekIndex],17))</f>
        <v/>
      </c>
      <c r="S64" s="17">
        <f>IF(COUNTIFS(T_SelfStock_Log[Part Name],$A64,T_SelfStock_Log[WeekIndex],18)=0,"",SUMIFS(T_SelfStock_Log[Self_Qty],T_SelfStock_Log[Part Name],$A64,T_SelfStock_Log[WeekIndex],18))</f>
        <v/>
      </c>
      <c r="T64" s="17">
        <f>IF(COUNTIFS(T_SelfStock_Log[Part Name],$A64,T_SelfStock_Log[WeekIndex],19)=0,"",SUMIFS(T_SelfStock_Log[Self_Qty],T_SelfStock_Log[Part Name],$A64,T_SelfStock_Log[WeekIndex],19))</f>
        <v/>
      </c>
      <c r="U64" s="17">
        <f>IF(COUNTIFS(T_SelfStock_Log[Part Name],$A64,T_SelfStock_Log[WeekIndex],20)=0,"",SUMIFS(T_SelfStock_Log[Self_Qty],T_SelfStock_Log[Part Name],$A64,T_SelfStock_Log[WeekIndex],20))</f>
        <v/>
      </c>
      <c r="V64" s="17">
        <f>IF(COUNTIFS(T_SelfStock_Log[Part Name],$A64,T_SelfStock_Log[WeekIndex],21)=0,"",SUMIFS(T_SelfStock_Log[Self_Qty],T_SelfStock_Log[Part Name],$A64,T_SelfStock_Log[WeekIndex],21))</f>
        <v/>
      </c>
      <c r="W64" s="17">
        <f>IF(COUNTIFS(T_SelfStock_Log[Part Name],$A64,T_SelfStock_Log[WeekIndex],22)=0,"",SUMIFS(T_SelfStock_Log[Self_Qty],T_SelfStock_Log[Part Name],$A64,T_SelfStock_Log[WeekIndex],22))</f>
        <v/>
      </c>
      <c r="X64" s="17">
        <f>IF(COUNTIFS(T_SelfStock_Log[Part Name],$A64,T_SelfStock_Log[WeekIndex],23)=0,"",SUMIFS(T_SelfStock_Log[Self_Qty],T_SelfStock_Log[Part Name],$A64,T_SelfStock_Log[WeekIndex],23))</f>
        <v/>
      </c>
      <c r="Y64" s="17">
        <f>IF(COUNTIFS(T_SelfStock_Log[Part Name],$A64,T_SelfStock_Log[WeekIndex],24)=0,"",SUMIFS(T_SelfStock_Log[Self_Qty],T_SelfStock_Log[Part Name],$A64,T_SelfStock_Log[WeekIndex],24))</f>
        <v/>
      </c>
      <c r="Z64" s="17">
        <f>IF(COUNTIFS(T_SelfStock_Log[Part Name],$A64,T_SelfStock_Log[WeekIndex],25)=0,"",SUMIFS(T_SelfStock_Log[Self_Qty],T_SelfStock_Log[Part Name],$A64,T_SelfStock_Log[WeekIndex],25))</f>
        <v/>
      </c>
      <c r="AA64" s="17">
        <f>IF(COUNTIFS(T_SelfStock_Log[Part Name],$A64,T_SelfStock_Log[WeekIndex],26)=0,"",SUMIFS(T_SelfStock_Log[Self_Qty],T_SelfStock_Log[Part Name],$A64,T_SelfStock_Log[WeekIndex],26))</f>
        <v/>
      </c>
      <c r="AB64" s="17">
        <f>IF(COUNTIFS(T_SelfStock_Log[Part Name],$A64,T_SelfStock_Log[WeekIndex],27)=0,"",SUMIFS(T_SelfStock_Log[Self_Qty],T_SelfStock_Log[Part Name],$A64,T_SelfStock_Log[WeekIndex],27))</f>
        <v/>
      </c>
      <c r="AC64" s="17">
        <f>IF(COUNTIFS(T_SelfStock_Log[Part Name],$A64,T_SelfStock_Log[WeekIndex],28)=0,"",SUMIFS(T_SelfStock_Log[Self_Qty],T_SelfStock_Log[Part Name],$A64,T_SelfStock_Log[WeekIndex],28))</f>
        <v/>
      </c>
      <c r="AD64" s="17">
        <f>IF(COUNTIFS(T_SelfStock_Log[Part Name],$A64,T_SelfStock_Log[WeekIndex],29)=0,"",SUMIFS(T_SelfStock_Log[Self_Qty],T_SelfStock_Log[Part Name],$A64,T_SelfStock_Log[WeekIndex],29))</f>
        <v/>
      </c>
      <c r="AE64" s="17">
        <f>IF(COUNTIFS(T_SelfStock_Log[Part Name],$A64,T_SelfStock_Log[WeekIndex],30)=0,"",SUMIFS(T_SelfStock_Log[Self_Qty],T_SelfStock_Log[Part Name],$A64,T_SelfStock_Log[WeekIndex],30))</f>
        <v/>
      </c>
      <c r="AF64" s="17">
        <f>IF(COUNTIFS(T_SelfStock_Log[Part Name],$A64,T_SelfStock_Log[WeekIndex],31)=0,"",SUMIFS(T_SelfStock_Log[Self_Qty],T_SelfStock_Log[Part Name],$A64,T_SelfStock_Log[WeekIndex],31))</f>
        <v/>
      </c>
      <c r="AG64" s="17">
        <f>IF(COUNTIFS(T_SelfStock_Log[Part Name],$A64,T_SelfStock_Log[WeekIndex],32)=0,"",SUMIFS(T_SelfStock_Log[Self_Qty],T_SelfStock_Log[Part Name],$A64,T_SelfStock_Log[WeekIndex],32))</f>
        <v/>
      </c>
      <c r="AH64" s="17">
        <f>IF(COUNTIFS(T_SelfStock_Log[Part Name],$A64,T_SelfStock_Log[WeekIndex],33)=0,"",SUMIFS(T_SelfStock_Log[Self_Qty],T_SelfStock_Log[Part Name],$A64,T_SelfStock_Log[WeekIndex],33))</f>
        <v/>
      </c>
      <c r="AI64" s="17">
        <f>IF(COUNTIFS(T_SelfStock_Log[Part Name],$A64,T_SelfStock_Log[WeekIndex],34)=0,"",SUMIFS(T_SelfStock_Log[Self_Qty],T_SelfStock_Log[Part Name],$A64,T_SelfStock_Log[WeekIndex],34))</f>
        <v/>
      </c>
      <c r="AJ64" s="17">
        <f>IF(COUNTIFS(T_SelfStock_Log[Part Name],$A64,T_SelfStock_Log[WeekIndex],35)=0,"",SUMIFS(T_SelfStock_Log[Self_Qty],T_SelfStock_Log[Part Name],$A64,T_SelfStock_Log[WeekIndex],35))</f>
        <v/>
      </c>
      <c r="AK64" s="17">
        <f>IF(COUNTIFS(T_SelfStock_Log[Part Name],$A64,T_SelfStock_Log[WeekIndex],36)=0,"",SUMIFS(T_SelfStock_Log[Self_Qty],T_SelfStock_Log[Part Name],$A64,T_SelfStock_Log[WeekIndex],36))</f>
        <v/>
      </c>
      <c r="AL64" s="17">
        <f>IF(COUNTIFS(T_SelfStock_Log[Part Name],$A64,T_SelfStock_Log[WeekIndex],37)=0,"",SUMIFS(T_SelfStock_Log[Self_Qty],T_SelfStock_Log[Part Name],$A64,T_SelfStock_Log[WeekIndex],37))</f>
        <v/>
      </c>
      <c r="AM64" s="17">
        <f>IF(COUNTIFS(T_SelfStock_Log[Part Name],$A64,T_SelfStock_Log[WeekIndex],38)=0,"",SUMIFS(T_SelfStock_Log[Self_Qty],T_SelfStock_Log[Part Name],$A64,T_SelfStock_Log[WeekIndex],38))</f>
        <v/>
      </c>
      <c r="AN64" s="17">
        <f>IF(COUNTIFS(T_SelfStock_Log[Part Name],$A64,T_SelfStock_Log[WeekIndex],39)=0,"",SUMIFS(T_SelfStock_Log[Self_Qty],T_SelfStock_Log[Part Name],$A64,T_SelfStock_Log[WeekIndex],39))</f>
        <v/>
      </c>
      <c r="AO64" s="17">
        <f>IF(COUNTIFS(T_SelfStock_Log[Part Name],$A64,T_SelfStock_Log[WeekIndex],40)=0,"",SUMIFS(T_SelfStock_Log[Self_Qty],T_SelfStock_Log[Part Name],$A64,T_SelfStock_Log[WeekIndex],40))</f>
        <v/>
      </c>
      <c r="AP64" s="17">
        <f>IF(COUNTIFS(T_SelfStock_Log[Part Name],$A64,T_SelfStock_Log[WeekIndex],41)=0,"",SUMIFS(T_SelfStock_Log[Self_Qty],T_SelfStock_Log[Part Name],$A64,T_SelfStock_Log[WeekIndex],41))</f>
        <v/>
      </c>
      <c r="AQ64" s="17">
        <f>IF(COUNTIFS(T_SelfStock_Log[Part Name],$A64,T_SelfStock_Log[WeekIndex],42)=0,"",SUMIFS(T_SelfStock_Log[Self_Qty],T_SelfStock_Log[Part Name],$A64,T_SelfStock_Log[WeekIndex],42))</f>
        <v/>
      </c>
      <c r="AR64" s="17">
        <f>IF(COUNTIFS(T_SelfStock_Log[Part Name],$A64,T_SelfStock_Log[WeekIndex],43)=0,"",SUMIFS(T_SelfStock_Log[Self_Qty],T_SelfStock_Log[Part Name],$A64,T_SelfStock_Log[WeekIndex],43))</f>
        <v/>
      </c>
      <c r="AS64" s="17">
        <f>IF(COUNTIFS(T_SelfStock_Log[Part Name],$A64,T_SelfStock_Log[WeekIndex],44)=0,"",SUMIFS(T_SelfStock_Log[Self_Qty],T_SelfStock_Log[Part Name],$A64,T_SelfStock_Log[WeekIndex],44))</f>
        <v/>
      </c>
      <c r="AT64" s="17">
        <f>IF(COUNTIFS(T_SelfStock_Log[Part Name],$A64,T_SelfStock_Log[WeekIndex],45)=0,"",SUMIFS(T_SelfStock_Log[Self_Qty],T_SelfStock_Log[Part Name],$A64,T_SelfStock_Log[WeekIndex],45))</f>
        <v/>
      </c>
      <c r="AU64" s="17">
        <f>IF(COUNTIFS(T_SelfStock_Log[Part Name],$A64,T_SelfStock_Log[WeekIndex],46)=0,"",SUMIFS(T_SelfStock_Log[Self_Qty],T_SelfStock_Log[Part Name],$A64,T_SelfStock_Log[WeekIndex],46))</f>
        <v/>
      </c>
      <c r="AV64" s="17">
        <f>IF(COUNTIFS(T_SelfStock_Log[Part Name],$A64,T_SelfStock_Log[WeekIndex],47)=0,"",SUMIFS(T_SelfStock_Log[Self_Qty],T_SelfStock_Log[Part Name],$A64,T_SelfStock_Log[WeekIndex],47))</f>
        <v/>
      </c>
      <c r="AW64" s="17">
        <f>IF(COUNTIFS(T_SelfStock_Log[Part Name],$A64,T_SelfStock_Log[WeekIndex],48)=0,"",SUMIFS(T_SelfStock_Log[Self_Qty],T_SelfStock_Log[Part Name],$A64,T_SelfStock_Log[WeekIndex],48))</f>
        <v/>
      </c>
      <c r="AX64" s="17">
        <f>IF(COUNTIFS(T_SelfStock_Log[Part Name],$A64,T_SelfStock_Log[WeekIndex],49)=0,"",SUMIFS(T_SelfStock_Log[Self_Qty],T_SelfStock_Log[Part Name],$A64,T_SelfStock_Log[WeekIndex],49))</f>
        <v/>
      </c>
      <c r="AY64" s="17">
        <f>IF(COUNTIFS(T_SelfStock_Log[Part Name],$A64,T_SelfStock_Log[WeekIndex],50)=0,"",SUMIFS(T_SelfStock_Log[Self_Qty],T_SelfStock_Log[Part Name],$A64,T_SelfStock_Log[WeekIndex],50))</f>
        <v/>
      </c>
      <c r="AZ64" s="17">
        <f>IF(COUNTIFS(T_SelfStock_Log[Part Name],$A64,T_SelfStock_Log[WeekIndex],51)=0,"",SUMIFS(T_SelfStock_Log[Self_Qty],T_SelfStock_Log[Part Name],$A64,T_SelfStock_Log[WeekIndex],51))</f>
        <v/>
      </c>
      <c r="BA64" s="17">
        <f>IF(COUNTIFS(T_SelfStock_Log[Part Name],$A64,T_SelfStock_Log[WeekIndex],52)=0,"",SUMIFS(T_SelfStock_Log[Self_Qty],T_SelfStock_Log[Part Name],$A64,T_SelfStock_Log[WeekIndex],52))</f>
        <v/>
      </c>
      <c r="BB64" s="17">
        <f>IF(COUNTIFS(T_SelfStock_Log[Part Name],$A64,T_SelfStock_Log[WeekIndex],53)=0,"",SUMIFS(T_SelfStock_Log[Self_Qty],T_SelfStock_Log[Part Name],$A64,T_SelfStock_Log[WeekIndex],53))</f>
        <v/>
      </c>
      <c r="BC64" s="17">
        <f>IF(COUNTIFS(T_SelfStock_Log[Part Name],$A64,T_SelfStock_Log[WeekIndex],54)=0,"",SUMIFS(T_SelfStock_Log[Self_Qty],T_SelfStock_Log[Part Name],$A64,T_SelfStock_Log[WeekIndex],54))</f>
        <v/>
      </c>
      <c r="BD64" s="17">
        <f>IF(COUNTIFS(T_SelfStock_Log[Part Name],$A64,T_SelfStock_Log[WeekIndex],55)=0,"",SUMIFS(T_SelfStock_Log[Self_Qty],T_SelfStock_Log[Part Name],$A64,T_SelfStock_Log[WeekIndex],55))</f>
        <v/>
      </c>
      <c r="BE64" s="17">
        <f>IF(COUNTIFS(T_SelfStock_Log[Part Name],$A64,T_SelfStock_Log[WeekIndex],56)=0,"",SUMIFS(T_SelfStock_Log[Self_Qty],T_SelfStock_Log[Part Name],$A64,T_SelfStock_Log[WeekIndex],56))</f>
        <v/>
      </c>
      <c r="BF64" s="17">
        <f>IF(COUNTIFS(T_SelfStock_Log[Part Name],$A64,T_SelfStock_Log[WeekIndex],57)=0,"",SUMIFS(T_SelfStock_Log[Self_Qty],T_SelfStock_Log[Part Name],$A64,T_SelfStock_Log[WeekIndex],57))</f>
        <v/>
      </c>
      <c r="BG64" s="17">
        <f>IF(COUNTIFS(T_SelfStock_Log[Part Name],$A64,T_SelfStock_Log[WeekIndex],58)=0,"",SUMIFS(T_SelfStock_Log[Self_Qty],T_SelfStock_Log[Part Name],$A64,T_SelfStock_Log[WeekIndex],58))</f>
        <v/>
      </c>
      <c r="BH64" s="17">
        <f>IF(COUNTIFS(T_SelfStock_Log[Part Name],$A64,T_SelfStock_Log[WeekIndex],59)=0,"",SUMIFS(T_SelfStock_Log[Self_Qty],T_SelfStock_Log[Part Name],$A64,T_SelfStock_Log[WeekIndex],59))</f>
        <v/>
      </c>
      <c r="BI64" s="17">
        <f>IF(COUNTIFS(T_SelfStock_Log[Part Name],$A64,T_SelfStock_Log[WeekIndex],60)=0,"",SUMIFS(T_SelfStock_Log[Self_Qty],T_SelfStock_Log[Part Name],$A64,T_SelfStock_Log[WeekIndex],60))</f>
        <v/>
      </c>
      <c r="BJ64" s="17">
        <f>IF(COUNTIFS(T_SelfStock_Log[Part Name],$A64,T_SelfStock_Log[WeekIndex],61)=0,"",SUMIFS(T_SelfStock_Log[Self_Qty],T_SelfStock_Log[Part Name],$A64,T_SelfStock_Log[WeekIndex],61))</f>
        <v/>
      </c>
      <c r="BK64" s="17">
        <f>IF(COUNTIFS(T_SelfStock_Log[Part Name],$A64,T_SelfStock_Log[WeekIndex],62)=0,"",SUMIFS(T_SelfStock_Log[Self_Qty],T_SelfStock_Log[Part Name],$A64,T_SelfStock_Log[WeekIndex],62))</f>
        <v/>
      </c>
      <c r="BL64" s="17">
        <f>IF(COUNTIFS(T_SelfStock_Log[Part Name],$A64,T_SelfStock_Log[WeekIndex],63)=0,"",SUMIFS(T_SelfStock_Log[Self_Qty],T_SelfStock_Log[Part Name],$A64,T_SelfStock_Log[WeekIndex],63))</f>
        <v/>
      </c>
      <c r="BM64" s="17">
        <f>IF(COUNTIFS(T_SelfStock_Log[Part Name],$A64,T_SelfStock_Log[WeekIndex],64)=0,"",SUMIFS(T_SelfStock_Log[Self_Qty],T_SelfStock_Log[Part Name],$A64,T_SelfStock_Log[WeekIndex],64))</f>
        <v/>
      </c>
      <c r="BN64" s="17">
        <f>IF(COUNTIFS(T_SelfStock_Log[Part Name],$A64,T_SelfStock_Log[WeekIndex],65)=0,"",SUMIFS(T_SelfStock_Log[Self_Qty],T_SelfStock_Log[Part Name],$A64,T_SelfStock_Log[WeekIndex],65))</f>
        <v/>
      </c>
      <c r="BO64" s="17">
        <f>IF(COUNTIFS(T_SelfStock_Log[Part Name],$A64,T_SelfStock_Log[WeekIndex],66)=0,"",SUMIFS(T_SelfStock_Log[Self_Qty],T_SelfStock_Log[Part Name],$A64,T_SelfStock_Log[WeekIndex],66))</f>
        <v/>
      </c>
      <c r="BP64" s="17">
        <f>IF(COUNTIFS(T_SelfStock_Log[Part Name],$A64,T_SelfStock_Log[WeekIndex],67)=0,"",SUMIFS(T_SelfStock_Log[Self_Qty],T_SelfStock_Log[Part Name],$A64,T_SelfStock_Log[WeekIndex],67))</f>
        <v/>
      </c>
      <c r="BQ64" s="17">
        <f>IF(COUNTIFS(T_SelfStock_Log[Part Name],$A64,T_SelfStock_Log[WeekIndex],68)=0,"",SUMIFS(T_SelfStock_Log[Self_Qty],T_SelfStock_Log[Part Name],$A64,T_SelfStock_Log[WeekIndex],68))</f>
        <v/>
      </c>
      <c r="BR64" s="17">
        <f>IF(COUNTIFS(T_SelfStock_Log[Part Name],$A64,T_SelfStock_Log[WeekIndex],69)=0,"",SUMIFS(T_SelfStock_Log[Self_Qty],T_SelfStock_Log[Part Name],$A64,T_SelfStock_Log[WeekIndex],69))</f>
        <v/>
      </c>
      <c r="BS64" s="17">
        <f>IF(COUNTIFS(T_SelfStock_Log[Part Name],$A64,T_SelfStock_Log[WeekIndex],70)=0,"",SUMIFS(T_SelfStock_Log[Self_Qty],T_SelfStock_Log[Part Name],$A64,T_SelfStock_Log[WeekIndex],70))</f>
        <v/>
      </c>
      <c r="BT64" s="17">
        <f>IF(COUNTIFS(T_SelfStock_Log[Part Name],$A64,T_SelfStock_Log[WeekIndex],71)=0,"",SUMIFS(T_SelfStock_Log[Self_Qty],T_SelfStock_Log[Part Name],$A64,T_SelfStock_Log[WeekIndex],71))</f>
        <v/>
      </c>
      <c r="BU64" s="17">
        <f>IF(COUNTIFS(T_SelfStock_Log[Part Name],$A64,T_SelfStock_Log[WeekIndex],72)=0,"",SUMIFS(T_SelfStock_Log[Self_Qty],T_SelfStock_Log[Part Name],$A64,T_SelfStock_Log[WeekIndex],72))</f>
        <v/>
      </c>
      <c r="BV64" s="17">
        <f>IF(COUNTIFS(T_SelfStock_Log[Part Name],$A64,T_SelfStock_Log[WeekIndex],73)=0,"",SUMIFS(T_SelfStock_Log[Self_Qty],T_SelfStock_Log[Part Name],$A64,T_SelfStock_Log[WeekIndex],73))</f>
        <v/>
      </c>
      <c r="BW64" s="17">
        <f>IF(COUNTIFS(T_SelfStock_Log[Part Name],$A64,T_SelfStock_Log[WeekIndex],74)=0,"",SUMIFS(T_SelfStock_Log[Self_Qty],T_SelfStock_Log[Part Name],$A64,T_SelfStock_Log[WeekIndex],74))</f>
        <v/>
      </c>
      <c r="BX64" s="17">
        <f>IF(COUNTIFS(T_SelfStock_Log[Part Name],$A64,T_SelfStock_Log[WeekIndex],75)=0,"",SUMIFS(T_SelfStock_Log[Self_Qty],T_SelfStock_Log[Part Name],$A64,T_SelfStock_Log[WeekIndex],75))</f>
        <v/>
      </c>
      <c r="BY64" s="17">
        <f>IF(COUNTIFS(T_SelfStock_Log[Part Name],$A64,T_SelfStock_Log[WeekIndex],76)=0,"",SUMIFS(T_SelfStock_Log[Self_Qty],T_SelfStock_Log[Part Name],$A64,T_SelfStock_Log[WeekIndex],76))</f>
        <v/>
      </c>
      <c r="BZ64" s="17">
        <f>IF(COUNTIFS(T_SelfStock_Log[Part Name],$A64,T_SelfStock_Log[WeekIndex],77)=0,"",SUMIFS(T_SelfStock_Log[Self_Qty],T_SelfStock_Log[Part Name],$A64,T_SelfStock_Log[WeekIndex],77))</f>
        <v/>
      </c>
      <c r="CA64" s="17">
        <f>IF(COUNTIFS(T_SelfStock_Log[Part Name],$A64,T_SelfStock_Log[WeekIndex],78)=0,"",SUMIFS(T_SelfStock_Log[Self_Qty],T_SelfStock_Log[Part Name],$A64,T_SelfStock_Log[WeekIndex],78))</f>
        <v/>
      </c>
      <c r="CB64" s="17">
        <f>IF(COUNTIFS(T_SelfStock_Log[Part Name],$A64,T_SelfStock_Log[WeekIndex],79)=0,"",SUMIFS(T_SelfStock_Log[Self_Qty],T_SelfStock_Log[Part Name],$A64,T_SelfStock_Log[WeekIndex],79))</f>
        <v/>
      </c>
      <c r="CC64" s="17">
        <f>IF(COUNTIFS(T_SelfStock_Log[Part Name],$A64,T_SelfStock_Log[WeekIndex],80)=0,"",SUMIFS(T_SelfStock_Log[Self_Qty],T_SelfStock_Log[Part Name],$A64,T_SelfStock_Log[WeekIndex],80))</f>
        <v/>
      </c>
      <c r="CD64" s="17">
        <f>IF(COUNTIFS(T_SelfStock_Log[Part Name],$A64,T_SelfStock_Log[WeekIndex],81)=0,"",SUMIFS(T_SelfStock_Log[Self_Qty],T_SelfStock_Log[Part Name],$A64,T_SelfStock_Log[WeekIndex],81))</f>
        <v/>
      </c>
      <c r="CE64" s="17">
        <f>IF(COUNTIFS(T_SelfStock_Log[Part Name],$A64,T_SelfStock_Log[WeekIndex],82)=0,"",SUMIFS(T_SelfStock_Log[Self_Qty],T_SelfStock_Log[Part Name],$A64,T_SelfStock_Log[WeekIndex],82))</f>
        <v/>
      </c>
      <c r="CF64" s="17">
        <f>IF(COUNTIFS(T_SelfStock_Log[Part Name],$A64,T_SelfStock_Log[WeekIndex],83)=0,"",SUMIFS(T_SelfStock_Log[Self_Qty],T_SelfStock_Log[Part Name],$A64,T_SelfStock_Log[WeekIndex],83))</f>
        <v/>
      </c>
      <c r="CG64" s="17">
        <f>IF(COUNTIFS(T_SelfStock_Log[Part Name],$A64,T_SelfStock_Log[WeekIndex],84)=0,"",SUMIFS(T_SelfStock_Log[Self_Qty],T_SelfStock_Log[Part Name],$A64,T_SelfStock_Log[WeekIndex],84))</f>
        <v/>
      </c>
      <c r="CH64" s="17">
        <f>IF(COUNTIFS(T_SelfStock_Log[Part Name],$A64,T_SelfStock_Log[WeekIndex],85)=0,"",SUMIFS(T_SelfStock_Log[Self_Qty],T_SelfStock_Log[Part Name],$A64,T_SelfStock_Log[WeekIndex],85))</f>
        <v/>
      </c>
      <c r="CI64" s="17">
        <f>IF(COUNTIFS(T_SelfStock_Log[Part Name],$A64,T_SelfStock_Log[WeekIndex],86)=0,"",SUMIFS(T_SelfStock_Log[Self_Qty],T_SelfStock_Log[Part Name],$A64,T_SelfStock_Log[WeekIndex],86))</f>
        <v/>
      </c>
      <c r="CJ64" s="17">
        <f>IF(COUNTIFS(T_SelfStock_Log[Part Name],$A64,T_SelfStock_Log[WeekIndex],87)=0,"",SUMIFS(T_SelfStock_Log[Self_Qty],T_SelfStock_Log[Part Name],$A64,T_SelfStock_Log[WeekIndex],87))</f>
        <v/>
      </c>
      <c r="CK64" s="17">
        <f>IF(COUNTIFS(T_SelfStock_Log[Part Name],$A64,T_SelfStock_Log[WeekIndex],88)=0,"",SUMIFS(T_SelfStock_Log[Self_Qty],T_SelfStock_Log[Part Name],$A64,T_SelfStock_Log[WeekIndex],88))</f>
        <v/>
      </c>
      <c r="CL64" s="17">
        <f>IF(COUNTIFS(T_SelfStock_Log[Part Name],$A64,T_SelfStock_Log[WeekIndex],89)=0,"",SUMIFS(T_SelfStock_Log[Self_Qty],T_SelfStock_Log[Part Name],$A64,T_SelfStock_Log[WeekIndex],89))</f>
        <v/>
      </c>
      <c r="CM64" s="17">
        <f>IF(COUNTIFS(T_SelfStock_Log[Part Name],$A64,T_SelfStock_Log[WeekIndex],90)=0,"",SUMIFS(T_SelfStock_Log[Self_Qty],T_SelfStock_Log[Part Name],$A64,T_SelfStock_Log[WeekIndex],90))</f>
        <v/>
      </c>
      <c r="CN64" s="17">
        <f>IF(COUNTIFS(T_SelfStock_Log[Part Name],$A64,T_SelfStock_Log[WeekIndex],91)=0,"",SUMIFS(T_SelfStock_Log[Self_Qty],T_SelfStock_Log[Part Name],$A64,T_SelfStock_Log[WeekIndex],91))</f>
        <v/>
      </c>
      <c r="CO64" s="17">
        <f>IF(COUNTIFS(T_SelfStock_Log[Part Name],$A64,T_SelfStock_Log[WeekIndex],92)=0,"",SUMIFS(T_SelfStock_Log[Self_Qty],T_SelfStock_Log[Part Name],$A64,T_SelfStock_Log[WeekIndex],92))</f>
        <v/>
      </c>
      <c r="CP64" s="17">
        <f>IF(COUNTIFS(T_SelfStock_Log[Part Name],$A64,T_SelfStock_Log[WeekIndex],93)=0,"",SUMIFS(T_SelfStock_Log[Self_Qty],T_SelfStock_Log[Part Name],$A64,T_SelfStock_Log[WeekIndex],93))</f>
        <v/>
      </c>
      <c r="CQ64" s="17">
        <f>IF(COUNTIFS(T_SelfStock_Log[Part Name],$A64,T_SelfStock_Log[WeekIndex],94)=0,"",SUMIFS(T_SelfStock_Log[Self_Qty],T_SelfStock_Log[Part Name],$A64,T_SelfStock_Log[WeekIndex],94))</f>
        <v/>
      </c>
      <c r="CR64" s="17">
        <f>IF(COUNTIFS(T_SelfStock_Log[Part Name],$A64,T_SelfStock_Log[WeekIndex],95)=0,"",SUMIFS(T_SelfStock_Log[Self_Qty],T_SelfStock_Log[Part Name],$A64,T_SelfStock_Log[WeekIndex],95))</f>
        <v/>
      </c>
      <c r="CS64" s="17">
        <f>IF(COUNTIFS(T_SelfStock_Log[Part Name],$A64,T_SelfStock_Log[WeekIndex],96)=0,"",SUMIFS(T_SelfStock_Log[Self_Qty],T_SelfStock_Log[Part Name],$A64,T_SelfStock_Log[WeekIndex],96))</f>
        <v/>
      </c>
      <c r="CT64" s="17">
        <f>IF(COUNTIFS(T_SelfStock_Log[Part Name],$A64,T_SelfStock_Log[WeekIndex],97)=0,"",SUMIFS(T_SelfStock_Log[Self_Qty],T_SelfStock_Log[Part Name],$A64,T_SelfStock_Log[WeekIndex],97))</f>
        <v/>
      </c>
      <c r="CU64" s="17">
        <f>IF(COUNTIFS(T_SelfStock_Log[Part Name],$A64,T_SelfStock_Log[WeekIndex],98)=0,"",SUMIFS(T_SelfStock_Log[Self_Qty],T_SelfStock_Log[Part Name],$A64,T_SelfStock_Log[WeekIndex],98))</f>
        <v/>
      </c>
      <c r="CV64" s="17">
        <f>IF(COUNTIFS(T_SelfStock_Log[Part Name],$A64,T_SelfStock_Log[WeekIndex],99)=0,"",SUMIFS(T_SelfStock_Log[Self_Qty],T_SelfStock_Log[Part Name],$A64,T_SelfStock_Log[WeekIndex],99))</f>
        <v/>
      </c>
      <c r="CW64" s="17">
        <f>IF(COUNTIFS(T_SelfStock_Log[Part Name],$A64,T_SelfStock_Log[WeekIndex],100)=0,"",SUMIFS(T_SelfStock_Log[Self_Qty],T_SelfStock_Log[Part Name],$A64,T_SelfStock_Log[WeekIndex],100))</f>
        <v/>
      </c>
      <c r="CX64" s="17">
        <f>IF(COUNTIFS(T_SelfStock_Log[Part Name],$A64,T_SelfStock_Log[WeekIndex],101)=0,"",SUMIFS(T_SelfStock_Log[Self_Qty],T_SelfStock_Log[Part Name],$A64,T_SelfStock_Log[WeekIndex],101))</f>
        <v/>
      </c>
      <c r="CY64" s="17">
        <f>IF(COUNTIFS(T_SelfStock_Log[Part Name],$A64,T_SelfStock_Log[WeekIndex],102)=0,"",SUMIFS(T_SelfStock_Log[Self_Qty],T_SelfStock_Log[Part Name],$A64,T_SelfStock_Log[WeekIndex],102))</f>
        <v/>
      </c>
      <c r="CZ64" s="17">
        <f>IF(COUNTIFS(T_SelfStock_Log[Part Name],$A64,T_SelfStock_Log[WeekIndex],103)=0,"",SUMIFS(T_SelfStock_Log[Self_Qty],T_SelfStock_Log[Part Name],$A64,T_SelfStock_Log[WeekIndex],103))</f>
        <v/>
      </c>
      <c r="DA64" s="17">
        <f>IF(COUNTIFS(T_SelfStock_Log[Part Name],$A64,T_SelfStock_Log[WeekIndex],104)=0,"",SUMIFS(T_SelfStock_Log[Self_Qty],T_SelfStock_Log[Part Name],$A64,T_SelfStock_Log[WeekIndex],104))</f>
        <v/>
      </c>
    </row>
    <row r="65">
      <c r="A65" s="19" t="inlineStr">
        <is>
          <t>CHEM-1720</t>
        </is>
      </c>
      <c r="B65" s="19">
        <f>IF(COUNTIFS(T_SelfStock_Log[Part Name],$A65,T_SelfStock_Log[WeekIndex],1)=0,"",SUMIFS(T_SelfStock_Log[Self_Qty],T_SelfStock_Log[Part Name],$A65,T_SelfStock_Log[WeekIndex],1))</f>
        <v/>
      </c>
      <c r="C65" s="19">
        <f>IF(COUNTIFS(T_SelfStock_Log[Part Name],$A65,T_SelfStock_Log[WeekIndex],2)=0,"",SUMIFS(T_SelfStock_Log[Self_Qty],T_SelfStock_Log[Part Name],$A65,T_SelfStock_Log[WeekIndex],2))</f>
        <v/>
      </c>
      <c r="D65" s="19">
        <f>IF(COUNTIFS(T_SelfStock_Log[Part Name],$A65,T_SelfStock_Log[WeekIndex],3)=0,"",SUMIFS(T_SelfStock_Log[Self_Qty],T_SelfStock_Log[Part Name],$A65,T_SelfStock_Log[WeekIndex],3))</f>
        <v/>
      </c>
      <c r="E65" s="19">
        <f>IF(COUNTIFS(T_SelfStock_Log[Part Name],$A65,T_SelfStock_Log[WeekIndex],4)=0,"",SUMIFS(T_SelfStock_Log[Self_Qty],T_SelfStock_Log[Part Name],$A65,T_SelfStock_Log[WeekIndex],4))</f>
        <v/>
      </c>
      <c r="F65" s="19">
        <f>IF(COUNTIFS(T_SelfStock_Log[Part Name],$A65,T_SelfStock_Log[WeekIndex],5)=0,"",SUMIFS(T_SelfStock_Log[Self_Qty],T_SelfStock_Log[Part Name],$A65,T_SelfStock_Log[WeekIndex],5))</f>
        <v/>
      </c>
      <c r="G65" s="19">
        <f>IF(COUNTIFS(T_SelfStock_Log[Part Name],$A65,T_SelfStock_Log[WeekIndex],6)=0,"",SUMIFS(T_SelfStock_Log[Self_Qty],T_SelfStock_Log[Part Name],$A65,T_SelfStock_Log[WeekIndex],6))</f>
        <v/>
      </c>
      <c r="H65" s="19">
        <f>IF(COUNTIFS(T_SelfStock_Log[Part Name],$A65,T_SelfStock_Log[WeekIndex],7)=0,"",SUMIFS(T_SelfStock_Log[Self_Qty],T_SelfStock_Log[Part Name],$A65,T_SelfStock_Log[WeekIndex],7))</f>
        <v/>
      </c>
      <c r="I65" s="19">
        <f>IF(COUNTIFS(T_SelfStock_Log[Part Name],$A65,T_SelfStock_Log[WeekIndex],8)=0,"",SUMIFS(T_SelfStock_Log[Self_Qty],T_SelfStock_Log[Part Name],$A65,T_SelfStock_Log[WeekIndex],8))</f>
        <v/>
      </c>
      <c r="J65" s="19">
        <f>IF(COUNTIFS(T_SelfStock_Log[Part Name],$A65,T_SelfStock_Log[WeekIndex],9)=0,"",SUMIFS(T_SelfStock_Log[Self_Qty],T_SelfStock_Log[Part Name],$A65,T_SelfStock_Log[WeekIndex],9))</f>
        <v/>
      </c>
      <c r="K65" s="19">
        <f>IF(COUNTIFS(T_SelfStock_Log[Part Name],$A65,T_SelfStock_Log[WeekIndex],10)=0,"",SUMIFS(T_SelfStock_Log[Self_Qty],T_SelfStock_Log[Part Name],$A65,T_SelfStock_Log[WeekIndex],10))</f>
        <v/>
      </c>
      <c r="L65" s="19">
        <f>IF(COUNTIFS(T_SelfStock_Log[Part Name],$A65,T_SelfStock_Log[WeekIndex],11)=0,"",SUMIFS(T_SelfStock_Log[Self_Qty],T_SelfStock_Log[Part Name],$A65,T_SelfStock_Log[WeekIndex],11))</f>
        <v/>
      </c>
      <c r="M65" s="19">
        <f>IF(COUNTIFS(T_SelfStock_Log[Part Name],$A65,T_SelfStock_Log[WeekIndex],12)=0,"",SUMIFS(T_SelfStock_Log[Self_Qty],T_SelfStock_Log[Part Name],$A65,T_SelfStock_Log[WeekIndex],12))</f>
        <v/>
      </c>
      <c r="N65" s="19">
        <f>IF(COUNTIFS(T_SelfStock_Log[Part Name],$A65,T_SelfStock_Log[WeekIndex],13)=0,"",SUMIFS(T_SelfStock_Log[Self_Qty],T_SelfStock_Log[Part Name],$A65,T_SelfStock_Log[WeekIndex],13))</f>
        <v/>
      </c>
      <c r="O65" s="19">
        <f>IF(COUNTIFS(T_SelfStock_Log[Part Name],$A65,T_SelfStock_Log[WeekIndex],14)=0,"",SUMIFS(T_SelfStock_Log[Self_Qty],T_SelfStock_Log[Part Name],$A65,T_SelfStock_Log[WeekIndex],14))</f>
        <v/>
      </c>
      <c r="P65" s="19">
        <f>IF(COUNTIFS(T_SelfStock_Log[Part Name],$A65,T_SelfStock_Log[WeekIndex],15)=0,"",SUMIFS(T_SelfStock_Log[Self_Qty],T_SelfStock_Log[Part Name],$A65,T_SelfStock_Log[WeekIndex],15))</f>
        <v/>
      </c>
      <c r="Q65" s="19">
        <f>IF(COUNTIFS(T_SelfStock_Log[Part Name],$A65,T_SelfStock_Log[WeekIndex],16)=0,"",SUMIFS(T_SelfStock_Log[Self_Qty],T_SelfStock_Log[Part Name],$A65,T_SelfStock_Log[WeekIndex],16))</f>
        <v/>
      </c>
      <c r="R65" s="19">
        <f>IF(COUNTIFS(T_SelfStock_Log[Part Name],$A65,T_SelfStock_Log[WeekIndex],17)=0,"",SUMIFS(T_SelfStock_Log[Self_Qty],T_SelfStock_Log[Part Name],$A65,T_SelfStock_Log[WeekIndex],17))</f>
        <v/>
      </c>
      <c r="S65" s="19">
        <f>IF(COUNTIFS(T_SelfStock_Log[Part Name],$A65,T_SelfStock_Log[WeekIndex],18)=0,"",SUMIFS(T_SelfStock_Log[Self_Qty],T_SelfStock_Log[Part Name],$A65,T_SelfStock_Log[WeekIndex],18))</f>
        <v/>
      </c>
      <c r="T65" s="19">
        <f>IF(COUNTIFS(T_SelfStock_Log[Part Name],$A65,T_SelfStock_Log[WeekIndex],19)=0,"",SUMIFS(T_SelfStock_Log[Self_Qty],T_SelfStock_Log[Part Name],$A65,T_SelfStock_Log[WeekIndex],19))</f>
        <v/>
      </c>
      <c r="U65" s="19">
        <f>IF(COUNTIFS(T_SelfStock_Log[Part Name],$A65,T_SelfStock_Log[WeekIndex],20)=0,"",SUMIFS(T_SelfStock_Log[Self_Qty],T_SelfStock_Log[Part Name],$A65,T_SelfStock_Log[WeekIndex],20))</f>
        <v/>
      </c>
      <c r="V65" s="19">
        <f>IF(COUNTIFS(T_SelfStock_Log[Part Name],$A65,T_SelfStock_Log[WeekIndex],21)=0,"",SUMIFS(T_SelfStock_Log[Self_Qty],T_SelfStock_Log[Part Name],$A65,T_SelfStock_Log[WeekIndex],21))</f>
        <v/>
      </c>
      <c r="W65" s="19">
        <f>IF(COUNTIFS(T_SelfStock_Log[Part Name],$A65,T_SelfStock_Log[WeekIndex],22)=0,"",SUMIFS(T_SelfStock_Log[Self_Qty],T_SelfStock_Log[Part Name],$A65,T_SelfStock_Log[WeekIndex],22))</f>
        <v/>
      </c>
      <c r="X65" s="19">
        <f>IF(COUNTIFS(T_SelfStock_Log[Part Name],$A65,T_SelfStock_Log[WeekIndex],23)=0,"",SUMIFS(T_SelfStock_Log[Self_Qty],T_SelfStock_Log[Part Name],$A65,T_SelfStock_Log[WeekIndex],23))</f>
        <v/>
      </c>
      <c r="Y65" s="19">
        <f>IF(COUNTIFS(T_SelfStock_Log[Part Name],$A65,T_SelfStock_Log[WeekIndex],24)=0,"",SUMIFS(T_SelfStock_Log[Self_Qty],T_SelfStock_Log[Part Name],$A65,T_SelfStock_Log[WeekIndex],24))</f>
        <v/>
      </c>
      <c r="Z65" s="19">
        <f>IF(COUNTIFS(T_SelfStock_Log[Part Name],$A65,T_SelfStock_Log[WeekIndex],25)=0,"",SUMIFS(T_SelfStock_Log[Self_Qty],T_SelfStock_Log[Part Name],$A65,T_SelfStock_Log[WeekIndex],25))</f>
        <v/>
      </c>
      <c r="AA65" s="19">
        <f>IF(COUNTIFS(T_SelfStock_Log[Part Name],$A65,T_SelfStock_Log[WeekIndex],26)=0,"",SUMIFS(T_SelfStock_Log[Self_Qty],T_SelfStock_Log[Part Name],$A65,T_SelfStock_Log[WeekIndex],26))</f>
        <v/>
      </c>
      <c r="AB65" s="19">
        <f>IF(COUNTIFS(T_SelfStock_Log[Part Name],$A65,T_SelfStock_Log[WeekIndex],27)=0,"",SUMIFS(T_SelfStock_Log[Self_Qty],T_SelfStock_Log[Part Name],$A65,T_SelfStock_Log[WeekIndex],27))</f>
        <v/>
      </c>
      <c r="AC65" s="19">
        <f>IF(COUNTIFS(T_SelfStock_Log[Part Name],$A65,T_SelfStock_Log[WeekIndex],28)=0,"",SUMIFS(T_SelfStock_Log[Self_Qty],T_SelfStock_Log[Part Name],$A65,T_SelfStock_Log[WeekIndex],28))</f>
        <v/>
      </c>
      <c r="AD65" s="19">
        <f>IF(COUNTIFS(T_SelfStock_Log[Part Name],$A65,T_SelfStock_Log[WeekIndex],29)=0,"",SUMIFS(T_SelfStock_Log[Self_Qty],T_SelfStock_Log[Part Name],$A65,T_SelfStock_Log[WeekIndex],29))</f>
        <v/>
      </c>
      <c r="AE65" s="19">
        <f>IF(COUNTIFS(T_SelfStock_Log[Part Name],$A65,T_SelfStock_Log[WeekIndex],30)=0,"",SUMIFS(T_SelfStock_Log[Self_Qty],T_SelfStock_Log[Part Name],$A65,T_SelfStock_Log[WeekIndex],30))</f>
        <v/>
      </c>
      <c r="AF65" s="19">
        <f>IF(COUNTIFS(T_SelfStock_Log[Part Name],$A65,T_SelfStock_Log[WeekIndex],31)=0,"",SUMIFS(T_SelfStock_Log[Self_Qty],T_SelfStock_Log[Part Name],$A65,T_SelfStock_Log[WeekIndex],31))</f>
        <v/>
      </c>
      <c r="AG65" s="19">
        <f>IF(COUNTIFS(T_SelfStock_Log[Part Name],$A65,T_SelfStock_Log[WeekIndex],32)=0,"",SUMIFS(T_SelfStock_Log[Self_Qty],T_SelfStock_Log[Part Name],$A65,T_SelfStock_Log[WeekIndex],32))</f>
        <v/>
      </c>
      <c r="AH65" s="19">
        <f>IF(COUNTIFS(T_SelfStock_Log[Part Name],$A65,T_SelfStock_Log[WeekIndex],33)=0,"",SUMIFS(T_SelfStock_Log[Self_Qty],T_SelfStock_Log[Part Name],$A65,T_SelfStock_Log[WeekIndex],33))</f>
        <v/>
      </c>
      <c r="AI65" s="19">
        <f>IF(COUNTIFS(T_SelfStock_Log[Part Name],$A65,T_SelfStock_Log[WeekIndex],34)=0,"",SUMIFS(T_SelfStock_Log[Self_Qty],T_SelfStock_Log[Part Name],$A65,T_SelfStock_Log[WeekIndex],34))</f>
        <v/>
      </c>
      <c r="AJ65" s="19">
        <f>IF(COUNTIFS(T_SelfStock_Log[Part Name],$A65,T_SelfStock_Log[WeekIndex],35)=0,"",SUMIFS(T_SelfStock_Log[Self_Qty],T_SelfStock_Log[Part Name],$A65,T_SelfStock_Log[WeekIndex],35))</f>
        <v/>
      </c>
      <c r="AK65" s="19">
        <f>IF(COUNTIFS(T_SelfStock_Log[Part Name],$A65,T_SelfStock_Log[WeekIndex],36)=0,"",SUMIFS(T_SelfStock_Log[Self_Qty],T_SelfStock_Log[Part Name],$A65,T_SelfStock_Log[WeekIndex],36))</f>
        <v/>
      </c>
      <c r="AL65" s="19">
        <f>IF(COUNTIFS(T_SelfStock_Log[Part Name],$A65,T_SelfStock_Log[WeekIndex],37)=0,"",SUMIFS(T_SelfStock_Log[Self_Qty],T_SelfStock_Log[Part Name],$A65,T_SelfStock_Log[WeekIndex],37))</f>
        <v/>
      </c>
      <c r="AM65" s="19">
        <f>IF(COUNTIFS(T_SelfStock_Log[Part Name],$A65,T_SelfStock_Log[WeekIndex],38)=0,"",SUMIFS(T_SelfStock_Log[Self_Qty],T_SelfStock_Log[Part Name],$A65,T_SelfStock_Log[WeekIndex],38))</f>
        <v/>
      </c>
      <c r="AN65" s="19">
        <f>IF(COUNTIFS(T_SelfStock_Log[Part Name],$A65,T_SelfStock_Log[WeekIndex],39)=0,"",SUMIFS(T_SelfStock_Log[Self_Qty],T_SelfStock_Log[Part Name],$A65,T_SelfStock_Log[WeekIndex],39))</f>
        <v/>
      </c>
      <c r="AO65" s="19">
        <f>IF(COUNTIFS(T_SelfStock_Log[Part Name],$A65,T_SelfStock_Log[WeekIndex],40)=0,"",SUMIFS(T_SelfStock_Log[Self_Qty],T_SelfStock_Log[Part Name],$A65,T_SelfStock_Log[WeekIndex],40))</f>
        <v/>
      </c>
      <c r="AP65" s="19">
        <f>IF(COUNTIFS(T_SelfStock_Log[Part Name],$A65,T_SelfStock_Log[WeekIndex],41)=0,"",SUMIFS(T_SelfStock_Log[Self_Qty],T_SelfStock_Log[Part Name],$A65,T_SelfStock_Log[WeekIndex],41))</f>
        <v/>
      </c>
      <c r="AQ65" s="19">
        <f>IF(COUNTIFS(T_SelfStock_Log[Part Name],$A65,T_SelfStock_Log[WeekIndex],42)=0,"",SUMIFS(T_SelfStock_Log[Self_Qty],T_SelfStock_Log[Part Name],$A65,T_SelfStock_Log[WeekIndex],42))</f>
        <v/>
      </c>
      <c r="AR65" s="19">
        <f>IF(COUNTIFS(T_SelfStock_Log[Part Name],$A65,T_SelfStock_Log[WeekIndex],43)=0,"",SUMIFS(T_SelfStock_Log[Self_Qty],T_SelfStock_Log[Part Name],$A65,T_SelfStock_Log[WeekIndex],43))</f>
        <v/>
      </c>
      <c r="AS65" s="19">
        <f>IF(COUNTIFS(T_SelfStock_Log[Part Name],$A65,T_SelfStock_Log[WeekIndex],44)=0,"",SUMIFS(T_SelfStock_Log[Self_Qty],T_SelfStock_Log[Part Name],$A65,T_SelfStock_Log[WeekIndex],44))</f>
        <v/>
      </c>
      <c r="AT65" s="19">
        <f>IF(COUNTIFS(T_SelfStock_Log[Part Name],$A65,T_SelfStock_Log[WeekIndex],45)=0,"",SUMIFS(T_SelfStock_Log[Self_Qty],T_SelfStock_Log[Part Name],$A65,T_SelfStock_Log[WeekIndex],45))</f>
        <v/>
      </c>
      <c r="AU65" s="19">
        <f>IF(COUNTIFS(T_SelfStock_Log[Part Name],$A65,T_SelfStock_Log[WeekIndex],46)=0,"",SUMIFS(T_SelfStock_Log[Self_Qty],T_SelfStock_Log[Part Name],$A65,T_SelfStock_Log[WeekIndex],46))</f>
        <v/>
      </c>
      <c r="AV65" s="19">
        <f>IF(COUNTIFS(T_SelfStock_Log[Part Name],$A65,T_SelfStock_Log[WeekIndex],47)=0,"",SUMIFS(T_SelfStock_Log[Self_Qty],T_SelfStock_Log[Part Name],$A65,T_SelfStock_Log[WeekIndex],47))</f>
        <v/>
      </c>
      <c r="AW65" s="19">
        <f>IF(COUNTIFS(T_SelfStock_Log[Part Name],$A65,T_SelfStock_Log[WeekIndex],48)=0,"",SUMIFS(T_SelfStock_Log[Self_Qty],T_SelfStock_Log[Part Name],$A65,T_SelfStock_Log[WeekIndex],48))</f>
        <v/>
      </c>
      <c r="AX65" s="19">
        <f>IF(COUNTIFS(T_SelfStock_Log[Part Name],$A65,T_SelfStock_Log[WeekIndex],49)=0,"",SUMIFS(T_SelfStock_Log[Self_Qty],T_SelfStock_Log[Part Name],$A65,T_SelfStock_Log[WeekIndex],49))</f>
        <v/>
      </c>
      <c r="AY65" s="19">
        <f>IF(COUNTIFS(T_SelfStock_Log[Part Name],$A65,T_SelfStock_Log[WeekIndex],50)=0,"",SUMIFS(T_SelfStock_Log[Self_Qty],T_SelfStock_Log[Part Name],$A65,T_SelfStock_Log[WeekIndex],50))</f>
        <v/>
      </c>
      <c r="AZ65" s="19">
        <f>IF(COUNTIFS(T_SelfStock_Log[Part Name],$A65,T_SelfStock_Log[WeekIndex],51)=0,"",SUMIFS(T_SelfStock_Log[Self_Qty],T_SelfStock_Log[Part Name],$A65,T_SelfStock_Log[WeekIndex],51))</f>
        <v/>
      </c>
      <c r="BA65" s="19">
        <f>IF(COUNTIFS(T_SelfStock_Log[Part Name],$A65,T_SelfStock_Log[WeekIndex],52)=0,"",SUMIFS(T_SelfStock_Log[Self_Qty],T_SelfStock_Log[Part Name],$A65,T_SelfStock_Log[WeekIndex],52))</f>
        <v/>
      </c>
      <c r="BB65" s="19">
        <f>IF(COUNTIFS(T_SelfStock_Log[Part Name],$A65,T_SelfStock_Log[WeekIndex],53)=0,"",SUMIFS(T_SelfStock_Log[Self_Qty],T_SelfStock_Log[Part Name],$A65,T_SelfStock_Log[WeekIndex],53))</f>
        <v/>
      </c>
      <c r="BC65" s="19">
        <f>IF(COUNTIFS(T_SelfStock_Log[Part Name],$A65,T_SelfStock_Log[WeekIndex],54)=0,"",SUMIFS(T_SelfStock_Log[Self_Qty],T_SelfStock_Log[Part Name],$A65,T_SelfStock_Log[WeekIndex],54))</f>
        <v/>
      </c>
      <c r="BD65" s="19">
        <f>IF(COUNTIFS(T_SelfStock_Log[Part Name],$A65,T_SelfStock_Log[WeekIndex],55)=0,"",SUMIFS(T_SelfStock_Log[Self_Qty],T_SelfStock_Log[Part Name],$A65,T_SelfStock_Log[WeekIndex],55))</f>
        <v/>
      </c>
      <c r="BE65" s="19">
        <f>IF(COUNTIFS(T_SelfStock_Log[Part Name],$A65,T_SelfStock_Log[WeekIndex],56)=0,"",SUMIFS(T_SelfStock_Log[Self_Qty],T_SelfStock_Log[Part Name],$A65,T_SelfStock_Log[WeekIndex],56))</f>
        <v/>
      </c>
      <c r="BF65" s="19">
        <f>IF(COUNTIFS(T_SelfStock_Log[Part Name],$A65,T_SelfStock_Log[WeekIndex],57)=0,"",SUMIFS(T_SelfStock_Log[Self_Qty],T_SelfStock_Log[Part Name],$A65,T_SelfStock_Log[WeekIndex],57))</f>
        <v/>
      </c>
      <c r="BG65" s="19">
        <f>IF(COUNTIFS(T_SelfStock_Log[Part Name],$A65,T_SelfStock_Log[WeekIndex],58)=0,"",SUMIFS(T_SelfStock_Log[Self_Qty],T_SelfStock_Log[Part Name],$A65,T_SelfStock_Log[WeekIndex],58))</f>
        <v/>
      </c>
      <c r="BH65" s="19">
        <f>IF(COUNTIFS(T_SelfStock_Log[Part Name],$A65,T_SelfStock_Log[WeekIndex],59)=0,"",SUMIFS(T_SelfStock_Log[Self_Qty],T_SelfStock_Log[Part Name],$A65,T_SelfStock_Log[WeekIndex],59))</f>
        <v/>
      </c>
      <c r="BI65" s="19">
        <f>IF(COUNTIFS(T_SelfStock_Log[Part Name],$A65,T_SelfStock_Log[WeekIndex],60)=0,"",SUMIFS(T_SelfStock_Log[Self_Qty],T_SelfStock_Log[Part Name],$A65,T_SelfStock_Log[WeekIndex],60))</f>
        <v/>
      </c>
      <c r="BJ65" s="19">
        <f>IF(COUNTIFS(T_SelfStock_Log[Part Name],$A65,T_SelfStock_Log[WeekIndex],61)=0,"",SUMIFS(T_SelfStock_Log[Self_Qty],T_SelfStock_Log[Part Name],$A65,T_SelfStock_Log[WeekIndex],61))</f>
        <v/>
      </c>
      <c r="BK65" s="19">
        <f>IF(COUNTIFS(T_SelfStock_Log[Part Name],$A65,T_SelfStock_Log[WeekIndex],62)=0,"",SUMIFS(T_SelfStock_Log[Self_Qty],T_SelfStock_Log[Part Name],$A65,T_SelfStock_Log[WeekIndex],62))</f>
        <v/>
      </c>
      <c r="BL65" s="19">
        <f>IF(COUNTIFS(T_SelfStock_Log[Part Name],$A65,T_SelfStock_Log[WeekIndex],63)=0,"",SUMIFS(T_SelfStock_Log[Self_Qty],T_SelfStock_Log[Part Name],$A65,T_SelfStock_Log[WeekIndex],63))</f>
        <v/>
      </c>
      <c r="BM65" s="19">
        <f>IF(COUNTIFS(T_SelfStock_Log[Part Name],$A65,T_SelfStock_Log[WeekIndex],64)=0,"",SUMIFS(T_SelfStock_Log[Self_Qty],T_SelfStock_Log[Part Name],$A65,T_SelfStock_Log[WeekIndex],64))</f>
        <v/>
      </c>
      <c r="BN65" s="19">
        <f>IF(COUNTIFS(T_SelfStock_Log[Part Name],$A65,T_SelfStock_Log[WeekIndex],65)=0,"",SUMIFS(T_SelfStock_Log[Self_Qty],T_SelfStock_Log[Part Name],$A65,T_SelfStock_Log[WeekIndex],65))</f>
        <v/>
      </c>
      <c r="BO65" s="19">
        <f>IF(COUNTIFS(T_SelfStock_Log[Part Name],$A65,T_SelfStock_Log[WeekIndex],66)=0,"",SUMIFS(T_SelfStock_Log[Self_Qty],T_SelfStock_Log[Part Name],$A65,T_SelfStock_Log[WeekIndex],66))</f>
        <v/>
      </c>
      <c r="BP65" s="19">
        <f>IF(COUNTIFS(T_SelfStock_Log[Part Name],$A65,T_SelfStock_Log[WeekIndex],67)=0,"",SUMIFS(T_SelfStock_Log[Self_Qty],T_SelfStock_Log[Part Name],$A65,T_SelfStock_Log[WeekIndex],67))</f>
        <v/>
      </c>
      <c r="BQ65" s="19">
        <f>IF(COUNTIFS(T_SelfStock_Log[Part Name],$A65,T_SelfStock_Log[WeekIndex],68)=0,"",SUMIFS(T_SelfStock_Log[Self_Qty],T_SelfStock_Log[Part Name],$A65,T_SelfStock_Log[WeekIndex],68))</f>
        <v/>
      </c>
      <c r="BR65" s="19">
        <f>IF(COUNTIFS(T_SelfStock_Log[Part Name],$A65,T_SelfStock_Log[WeekIndex],69)=0,"",SUMIFS(T_SelfStock_Log[Self_Qty],T_SelfStock_Log[Part Name],$A65,T_SelfStock_Log[WeekIndex],69))</f>
        <v/>
      </c>
      <c r="BS65" s="19">
        <f>IF(COUNTIFS(T_SelfStock_Log[Part Name],$A65,T_SelfStock_Log[WeekIndex],70)=0,"",SUMIFS(T_SelfStock_Log[Self_Qty],T_SelfStock_Log[Part Name],$A65,T_SelfStock_Log[WeekIndex],70))</f>
        <v/>
      </c>
      <c r="BT65" s="19">
        <f>IF(COUNTIFS(T_SelfStock_Log[Part Name],$A65,T_SelfStock_Log[WeekIndex],71)=0,"",SUMIFS(T_SelfStock_Log[Self_Qty],T_SelfStock_Log[Part Name],$A65,T_SelfStock_Log[WeekIndex],71))</f>
        <v/>
      </c>
      <c r="BU65" s="19">
        <f>IF(COUNTIFS(T_SelfStock_Log[Part Name],$A65,T_SelfStock_Log[WeekIndex],72)=0,"",SUMIFS(T_SelfStock_Log[Self_Qty],T_SelfStock_Log[Part Name],$A65,T_SelfStock_Log[WeekIndex],72))</f>
        <v/>
      </c>
      <c r="BV65" s="19">
        <f>IF(COUNTIFS(T_SelfStock_Log[Part Name],$A65,T_SelfStock_Log[WeekIndex],73)=0,"",SUMIFS(T_SelfStock_Log[Self_Qty],T_SelfStock_Log[Part Name],$A65,T_SelfStock_Log[WeekIndex],73))</f>
        <v/>
      </c>
      <c r="BW65" s="19">
        <f>IF(COUNTIFS(T_SelfStock_Log[Part Name],$A65,T_SelfStock_Log[WeekIndex],74)=0,"",SUMIFS(T_SelfStock_Log[Self_Qty],T_SelfStock_Log[Part Name],$A65,T_SelfStock_Log[WeekIndex],74))</f>
        <v/>
      </c>
      <c r="BX65" s="19">
        <f>IF(COUNTIFS(T_SelfStock_Log[Part Name],$A65,T_SelfStock_Log[WeekIndex],75)=0,"",SUMIFS(T_SelfStock_Log[Self_Qty],T_SelfStock_Log[Part Name],$A65,T_SelfStock_Log[WeekIndex],75))</f>
        <v/>
      </c>
      <c r="BY65" s="19">
        <f>IF(COUNTIFS(T_SelfStock_Log[Part Name],$A65,T_SelfStock_Log[WeekIndex],76)=0,"",SUMIFS(T_SelfStock_Log[Self_Qty],T_SelfStock_Log[Part Name],$A65,T_SelfStock_Log[WeekIndex],76))</f>
        <v/>
      </c>
      <c r="BZ65" s="19">
        <f>IF(COUNTIFS(T_SelfStock_Log[Part Name],$A65,T_SelfStock_Log[WeekIndex],77)=0,"",SUMIFS(T_SelfStock_Log[Self_Qty],T_SelfStock_Log[Part Name],$A65,T_SelfStock_Log[WeekIndex],77))</f>
        <v/>
      </c>
      <c r="CA65" s="19">
        <f>IF(COUNTIFS(T_SelfStock_Log[Part Name],$A65,T_SelfStock_Log[WeekIndex],78)=0,"",SUMIFS(T_SelfStock_Log[Self_Qty],T_SelfStock_Log[Part Name],$A65,T_SelfStock_Log[WeekIndex],78))</f>
        <v/>
      </c>
      <c r="CB65" s="19">
        <f>IF(COUNTIFS(T_SelfStock_Log[Part Name],$A65,T_SelfStock_Log[WeekIndex],79)=0,"",SUMIFS(T_SelfStock_Log[Self_Qty],T_SelfStock_Log[Part Name],$A65,T_SelfStock_Log[WeekIndex],79))</f>
        <v/>
      </c>
      <c r="CC65" s="19">
        <f>IF(COUNTIFS(T_SelfStock_Log[Part Name],$A65,T_SelfStock_Log[WeekIndex],80)=0,"",SUMIFS(T_SelfStock_Log[Self_Qty],T_SelfStock_Log[Part Name],$A65,T_SelfStock_Log[WeekIndex],80))</f>
        <v/>
      </c>
      <c r="CD65" s="19">
        <f>IF(COUNTIFS(T_SelfStock_Log[Part Name],$A65,T_SelfStock_Log[WeekIndex],81)=0,"",SUMIFS(T_SelfStock_Log[Self_Qty],T_SelfStock_Log[Part Name],$A65,T_SelfStock_Log[WeekIndex],81))</f>
        <v/>
      </c>
      <c r="CE65" s="19">
        <f>IF(COUNTIFS(T_SelfStock_Log[Part Name],$A65,T_SelfStock_Log[WeekIndex],82)=0,"",SUMIFS(T_SelfStock_Log[Self_Qty],T_SelfStock_Log[Part Name],$A65,T_SelfStock_Log[WeekIndex],82))</f>
        <v/>
      </c>
      <c r="CF65" s="19">
        <f>IF(COUNTIFS(T_SelfStock_Log[Part Name],$A65,T_SelfStock_Log[WeekIndex],83)=0,"",SUMIFS(T_SelfStock_Log[Self_Qty],T_SelfStock_Log[Part Name],$A65,T_SelfStock_Log[WeekIndex],83))</f>
        <v/>
      </c>
      <c r="CG65" s="19">
        <f>IF(COUNTIFS(T_SelfStock_Log[Part Name],$A65,T_SelfStock_Log[WeekIndex],84)=0,"",SUMIFS(T_SelfStock_Log[Self_Qty],T_SelfStock_Log[Part Name],$A65,T_SelfStock_Log[WeekIndex],84))</f>
        <v/>
      </c>
      <c r="CH65" s="19">
        <f>IF(COUNTIFS(T_SelfStock_Log[Part Name],$A65,T_SelfStock_Log[WeekIndex],85)=0,"",SUMIFS(T_SelfStock_Log[Self_Qty],T_SelfStock_Log[Part Name],$A65,T_SelfStock_Log[WeekIndex],85))</f>
        <v/>
      </c>
      <c r="CI65" s="19">
        <f>IF(COUNTIFS(T_SelfStock_Log[Part Name],$A65,T_SelfStock_Log[WeekIndex],86)=0,"",SUMIFS(T_SelfStock_Log[Self_Qty],T_SelfStock_Log[Part Name],$A65,T_SelfStock_Log[WeekIndex],86))</f>
        <v/>
      </c>
      <c r="CJ65" s="19">
        <f>IF(COUNTIFS(T_SelfStock_Log[Part Name],$A65,T_SelfStock_Log[WeekIndex],87)=0,"",SUMIFS(T_SelfStock_Log[Self_Qty],T_SelfStock_Log[Part Name],$A65,T_SelfStock_Log[WeekIndex],87))</f>
        <v/>
      </c>
      <c r="CK65" s="19">
        <f>IF(COUNTIFS(T_SelfStock_Log[Part Name],$A65,T_SelfStock_Log[WeekIndex],88)=0,"",SUMIFS(T_SelfStock_Log[Self_Qty],T_SelfStock_Log[Part Name],$A65,T_SelfStock_Log[WeekIndex],88))</f>
        <v/>
      </c>
      <c r="CL65" s="19">
        <f>IF(COUNTIFS(T_SelfStock_Log[Part Name],$A65,T_SelfStock_Log[WeekIndex],89)=0,"",SUMIFS(T_SelfStock_Log[Self_Qty],T_SelfStock_Log[Part Name],$A65,T_SelfStock_Log[WeekIndex],89))</f>
        <v/>
      </c>
      <c r="CM65" s="19">
        <f>IF(COUNTIFS(T_SelfStock_Log[Part Name],$A65,T_SelfStock_Log[WeekIndex],90)=0,"",SUMIFS(T_SelfStock_Log[Self_Qty],T_SelfStock_Log[Part Name],$A65,T_SelfStock_Log[WeekIndex],90))</f>
        <v/>
      </c>
      <c r="CN65" s="19">
        <f>IF(COUNTIFS(T_SelfStock_Log[Part Name],$A65,T_SelfStock_Log[WeekIndex],91)=0,"",SUMIFS(T_SelfStock_Log[Self_Qty],T_SelfStock_Log[Part Name],$A65,T_SelfStock_Log[WeekIndex],91))</f>
        <v/>
      </c>
      <c r="CO65" s="19">
        <f>IF(COUNTIFS(T_SelfStock_Log[Part Name],$A65,T_SelfStock_Log[WeekIndex],92)=0,"",SUMIFS(T_SelfStock_Log[Self_Qty],T_SelfStock_Log[Part Name],$A65,T_SelfStock_Log[WeekIndex],92))</f>
        <v/>
      </c>
      <c r="CP65" s="19">
        <f>IF(COUNTIFS(T_SelfStock_Log[Part Name],$A65,T_SelfStock_Log[WeekIndex],93)=0,"",SUMIFS(T_SelfStock_Log[Self_Qty],T_SelfStock_Log[Part Name],$A65,T_SelfStock_Log[WeekIndex],93))</f>
        <v/>
      </c>
      <c r="CQ65" s="19">
        <f>IF(COUNTIFS(T_SelfStock_Log[Part Name],$A65,T_SelfStock_Log[WeekIndex],94)=0,"",SUMIFS(T_SelfStock_Log[Self_Qty],T_SelfStock_Log[Part Name],$A65,T_SelfStock_Log[WeekIndex],94))</f>
        <v/>
      </c>
      <c r="CR65" s="19">
        <f>IF(COUNTIFS(T_SelfStock_Log[Part Name],$A65,T_SelfStock_Log[WeekIndex],95)=0,"",SUMIFS(T_SelfStock_Log[Self_Qty],T_SelfStock_Log[Part Name],$A65,T_SelfStock_Log[WeekIndex],95))</f>
        <v/>
      </c>
      <c r="CS65" s="19">
        <f>IF(COUNTIFS(T_SelfStock_Log[Part Name],$A65,T_SelfStock_Log[WeekIndex],96)=0,"",SUMIFS(T_SelfStock_Log[Self_Qty],T_SelfStock_Log[Part Name],$A65,T_SelfStock_Log[WeekIndex],96))</f>
        <v/>
      </c>
      <c r="CT65" s="19">
        <f>IF(COUNTIFS(T_SelfStock_Log[Part Name],$A65,T_SelfStock_Log[WeekIndex],97)=0,"",SUMIFS(T_SelfStock_Log[Self_Qty],T_SelfStock_Log[Part Name],$A65,T_SelfStock_Log[WeekIndex],97))</f>
        <v/>
      </c>
      <c r="CU65" s="19">
        <f>IF(COUNTIFS(T_SelfStock_Log[Part Name],$A65,T_SelfStock_Log[WeekIndex],98)=0,"",SUMIFS(T_SelfStock_Log[Self_Qty],T_SelfStock_Log[Part Name],$A65,T_SelfStock_Log[WeekIndex],98))</f>
        <v/>
      </c>
      <c r="CV65" s="19">
        <f>IF(COUNTIFS(T_SelfStock_Log[Part Name],$A65,T_SelfStock_Log[WeekIndex],99)=0,"",SUMIFS(T_SelfStock_Log[Self_Qty],T_SelfStock_Log[Part Name],$A65,T_SelfStock_Log[WeekIndex],99))</f>
        <v/>
      </c>
      <c r="CW65" s="19">
        <f>IF(COUNTIFS(T_SelfStock_Log[Part Name],$A65,T_SelfStock_Log[WeekIndex],100)=0,"",SUMIFS(T_SelfStock_Log[Self_Qty],T_SelfStock_Log[Part Name],$A65,T_SelfStock_Log[WeekIndex],100))</f>
        <v/>
      </c>
      <c r="CX65" s="19">
        <f>IF(COUNTIFS(T_SelfStock_Log[Part Name],$A65,T_SelfStock_Log[WeekIndex],101)=0,"",SUMIFS(T_SelfStock_Log[Self_Qty],T_SelfStock_Log[Part Name],$A65,T_SelfStock_Log[WeekIndex],101))</f>
        <v/>
      </c>
      <c r="CY65" s="19">
        <f>IF(COUNTIFS(T_SelfStock_Log[Part Name],$A65,T_SelfStock_Log[WeekIndex],102)=0,"",SUMIFS(T_SelfStock_Log[Self_Qty],T_SelfStock_Log[Part Name],$A65,T_SelfStock_Log[WeekIndex],102))</f>
        <v/>
      </c>
      <c r="CZ65" s="19">
        <f>IF(COUNTIFS(T_SelfStock_Log[Part Name],$A65,T_SelfStock_Log[WeekIndex],103)=0,"",SUMIFS(T_SelfStock_Log[Self_Qty],T_SelfStock_Log[Part Name],$A65,T_SelfStock_Log[WeekIndex],103))</f>
        <v/>
      </c>
      <c r="DA65" s="19">
        <f>IF(COUNTIFS(T_SelfStock_Log[Part Name],$A65,T_SelfStock_Log[WeekIndex],104)=0,"",SUMIFS(T_SelfStock_Log[Self_Qty],T_SelfStock_Log[Part Name],$A65,T_SelfStock_Log[WeekIndex],104))</f>
        <v/>
      </c>
    </row>
  </sheetData>
  <conditionalFormatting sqref="B5:DA65">
    <cfRule type="expression" priority="1" dxfId="3">
      <formula>(COLUMN()-COLUMN($B$1)+1)=$F$1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A6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</cols>
  <sheetData>
    <row r="1">
      <c r="A1" s="5" t="inlineStr">
        <is>
          <t>選択週を入力（例: W23。現在年の週Noで検索します）</t>
        </is>
      </c>
      <c r="C1" s="10" t="inlineStr"/>
      <c r="D1" s="11">
        <f>IF($C$1="","週Noを入力してください（例: W23）",IF($F$1="","該当週が見つかりません（今年の週Noか確認してください）",INDEX(Cal_Weeks!$E$4:$E$107,$F$1)&amp;" が該当週です（VBA導入時は自動でスクロールします）"))</f>
        <v/>
      </c>
      <c r="E1" s="12" t="inlineStr">
        <is>
          <t>→WeekIndex</t>
        </is>
      </c>
      <c r="F1" s="12">
        <f>IFERROR(IF(SUMPRODUCT((Cal_Weeks!$C$4:$C$107=Cal_Weeks!$B$1)*(Cal_Weeks!$D$4:$D$107=VALUE(SUBSTITUTE(UPPER(TRIM($C$1)),"W",""))))=0,"",SUMPRODUCT((Cal_Weeks!$C$4:$C$107=Cal_Weeks!$B$1)*(Cal_Weeks!$D$4:$D$107=VALUE(SUBSTITUTE(UPPER(TRIM($C$1)),"W","")))*(Cal_Weeks!$A$4:$A$107))),"")</f>
        <v/>
      </c>
    </row>
    <row r="2">
      <c r="A2" s="13" t="n"/>
      <c r="B2" s="13">
        <f>'Cal_Weeks'!G4</f>
        <v/>
      </c>
      <c r="C2" s="13">
        <f>IF(TEXT('Cal_Weeks'!B5,"mmm-yy")&lt;&gt;TEXT('Cal_Weeks'!B4,"mmm-yy"),'Cal_Weeks'!G5,"")</f>
        <v/>
      </c>
      <c r="D2" s="13">
        <f>IF(TEXT('Cal_Weeks'!B6,"mmm-yy")&lt;&gt;TEXT('Cal_Weeks'!B5,"mmm-yy"),'Cal_Weeks'!G6,"")</f>
        <v/>
      </c>
      <c r="E2" s="13">
        <f>IF(TEXT('Cal_Weeks'!B7,"mmm-yy")&lt;&gt;TEXT('Cal_Weeks'!B6,"mmm-yy"),'Cal_Weeks'!G7,"")</f>
        <v/>
      </c>
      <c r="F2" s="13">
        <f>IF(TEXT('Cal_Weeks'!B8,"mmm-yy")&lt;&gt;TEXT('Cal_Weeks'!B7,"mmm-yy"),'Cal_Weeks'!G8,"")</f>
        <v/>
      </c>
      <c r="G2" s="13">
        <f>IF(TEXT('Cal_Weeks'!B9,"mmm-yy")&lt;&gt;TEXT('Cal_Weeks'!B8,"mmm-yy"),'Cal_Weeks'!G9,"")</f>
        <v/>
      </c>
      <c r="H2" s="13">
        <f>IF(TEXT('Cal_Weeks'!B10,"mmm-yy")&lt;&gt;TEXT('Cal_Weeks'!B9,"mmm-yy"),'Cal_Weeks'!G10,"")</f>
        <v/>
      </c>
      <c r="I2" s="13">
        <f>IF(TEXT('Cal_Weeks'!B11,"mmm-yy")&lt;&gt;TEXT('Cal_Weeks'!B10,"mmm-yy"),'Cal_Weeks'!G11,"")</f>
        <v/>
      </c>
      <c r="J2" s="13">
        <f>IF(TEXT('Cal_Weeks'!B12,"mmm-yy")&lt;&gt;TEXT('Cal_Weeks'!B11,"mmm-yy"),'Cal_Weeks'!G12,"")</f>
        <v/>
      </c>
      <c r="K2" s="13">
        <f>IF(TEXT('Cal_Weeks'!B13,"mmm-yy")&lt;&gt;TEXT('Cal_Weeks'!B12,"mmm-yy"),'Cal_Weeks'!G13,"")</f>
        <v/>
      </c>
      <c r="L2" s="13">
        <f>IF(TEXT('Cal_Weeks'!B14,"mmm-yy")&lt;&gt;TEXT('Cal_Weeks'!B13,"mmm-yy"),'Cal_Weeks'!G14,"")</f>
        <v/>
      </c>
      <c r="M2" s="13">
        <f>IF(TEXT('Cal_Weeks'!B15,"mmm-yy")&lt;&gt;TEXT('Cal_Weeks'!B14,"mmm-yy"),'Cal_Weeks'!G15,"")</f>
        <v/>
      </c>
      <c r="N2" s="13">
        <f>IF(TEXT('Cal_Weeks'!B16,"mmm-yy")&lt;&gt;TEXT('Cal_Weeks'!B15,"mmm-yy"),'Cal_Weeks'!G16,"")</f>
        <v/>
      </c>
      <c r="O2" s="13">
        <f>IF(TEXT('Cal_Weeks'!B17,"mmm-yy")&lt;&gt;TEXT('Cal_Weeks'!B16,"mmm-yy"),'Cal_Weeks'!G17,"")</f>
        <v/>
      </c>
      <c r="P2" s="13">
        <f>IF(TEXT('Cal_Weeks'!B18,"mmm-yy")&lt;&gt;TEXT('Cal_Weeks'!B17,"mmm-yy"),'Cal_Weeks'!G18,"")</f>
        <v/>
      </c>
      <c r="Q2" s="13">
        <f>IF(TEXT('Cal_Weeks'!B19,"mmm-yy")&lt;&gt;TEXT('Cal_Weeks'!B18,"mmm-yy"),'Cal_Weeks'!G19,"")</f>
        <v/>
      </c>
      <c r="R2" s="13">
        <f>IF(TEXT('Cal_Weeks'!B20,"mmm-yy")&lt;&gt;TEXT('Cal_Weeks'!B19,"mmm-yy"),'Cal_Weeks'!G20,"")</f>
        <v/>
      </c>
      <c r="S2" s="13">
        <f>IF(TEXT('Cal_Weeks'!B21,"mmm-yy")&lt;&gt;TEXT('Cal_Weeks'!B20,"mmm-yy"),'Cal_Weeks'!G21,"")</f>
        <v/>
      </c>
      <c r="T2" s="13">
        <f>IF(TEXT('Cal_Weeks'!B22,"mmm-yy")&lt;&gt;TEXT('Cal_Weeks'!B21,"mmm-yy"),'Cal_Weeks'!G22,"")</f>
        <v/>
      </c>
      <c r="U2" s="13">
        <f>IF(TEXT('Cal_Weeks'!B23,"mmm-yy")&lt;&gt;TEXT('Cal_Weeks'!B22,"mmm-yy"),'Cal_Weeks'!G23,"")</f>
        <v/>
      </c>
      <c r="V2" s="13">
        <f>IF(TEXT('Cal_Weeks'!B24,"mmm-yy")&lt;&gt;TEXT('Cal_Weeks'!B23,"mmm-yy"),'Cal_Weeks'!G24,"")</f>
        <v/>
      </c>
      <c r="W2" s="13">
        <f>IF(TEXT('Cal_Weeks'!B25,"mmm-yy")&lt;&gt;TEXT('Cal_Weeks'!B24,"mmm-yy"),'Cal_Weeks'!G25,"")</f>
        <v/>
      </c>
      <c r="X2" s="13">
        <f>IF(TEXT('Cal_Weeks'!B26,"mmm-yy")&lt;&gt;TEXT('Cal_Weeks'!B25,"mmm-yy"),'Cal_Weeks'!G26,"")</f>
        <v/>
      </c>
      <c r="Y2" s="13">
        <f>IF(TEXT('Cal_Weeks'!B27,"mmm-yy")&lt;&gt;TEXT('Cal_Weeks'!B26,"mmm-yy"),'Cal_Weeks'!G27,"")</f>
        <v/>
      </c>
      <c r="Z2" s="13">
        <f>IF(TEXT('Cal_Weeks'!B28,"mmm-yy")&lt;&gt;TEXT('Cal_Weeks'!B27,"mmm-yy"),'Cal_Weeks'!G28,"")</f>
        <v/>
      </c>
      <c r="AA2" s="13">
        <f>IF(TEXT('Cal_Weeks'!B29,"mmm-yy")&lt;&gt;TEXT('Cal_Weeks'!B28,"mmm-yy"),'Cal_Weeks'!G29,"")</f>
        <v/>
      </c>
      <c r="AB2" s="13">
        <f>IF(TEXT('Cal_Weeks'!B30,"mmm-yy")&lt;&gt;TEXT('Cal_Weeks'!B29,"mmm-yy"),'Cal_Weeks'!G30,"")</f>
        <v/>
      </c>
      <c r="AC2" s="13">
        <f>IF(TEXT('Cal_Weeks'!B31,"mmm-yy")&lt;&gt;TEXT('Cal_Weeks'!B30,"mmm-yy"),'Cal_Weeks'!G31,"")</f>
        <v/>
      </c>
      <c r="AD2" s="13">
        <f>IF(TEXT('Cal_Weeks'!B32,"mmm-yy")&lt;&gt;TEXT('Cal_Weeks'!B31,"mmm-yy"),'Cal_Weeks'!G32,"")</f>
        <v/>
      </c>
      <c r="AE2" s="13">
        <f>IF(TEXT('Cal_Weeks'!B33,"mmm-yy")&lt;&gt;TEXT('Cal_Weeks'!B32,"mmm-yy"),'Cal_Weeks'!G33,"")</f>
        <v/>
      </c>
      <c r="AF2" s="13">
        <f>IF(TEXT('Cal_Weeks'!B34,"mmm-yy")&lt;&gt;TEXT('Cal_Weeks'!B33,"mmm-yy"),'Cal_Weeks'!G34,"")</f>
        <v/>
      </c>
      <c r="AG2" s="13">
        <f>IF(TEXT('Cal_Weeks'!B35,"mmm-yy")&lt;&gt;TEXT('Cal_Weeks'!B34,"mmm-yy"),'Cal_Weeks'!G35,"")</f>
        <v/>
      </c>
      <c r="AH2" s="13">
        <f>IF(TEXT('Cal_Weeks'!B36,"mmm-yy")&lt;&gt;TEXT('Cal_Weeks'!B35,"mmm-yy"),'Cal_Weeks'!G36,"")</f>
        <v/>
      </c>
      <c r="AI2" s="13">
        <f>IF(TEXT('Cal_Weeks'!B37,"mmm-yy")&lt;&gt;TEXT('Cal_Weeks'!B36,"mmm-yy"),'Cal_Weeks'!G37,"")</f>
        <v/>
      </c>
      <c r="AJ2" s="13">
        <f>IF(TEXT('Cal_Weeks'!B38,"mmm-yy")&lt;&gt;TEXT('Cal_Weeks'!B37,"mmm-yy"),'Cal_Weeks'!G38,"")</f>
        <v/>
      </c>
      <c r="AK2" s="13">
        <f>IF(TEXT('Cal_Weeks'!B39,"mmm-yy")&lt;&gt;TEXT('Cal_Weeks'!B38,"mmm-yy"),'Cal_Weeks'!G39,"")</f>
        <v/>
      </c>
      <c r="AL2" s="13">
        <f>IF(TEXT('Cal_Weeks'!B40,"mmm-yy")&lt;&gt;TEXT('Cal_Weeks'!B39,"mmm-yy"),'Cal_Weeks'!G40,"")</f>
        <v/>
      </c>
      <c r="AM2" s="13">
        <f>IF(TEXT('Cal_Weeks'!B41,"mmm-yy")&lt;&gt;TEXT('Cal_Weeks'!B40,"mmm-yy"),'Cal_Weeks'!G41,"")</f>
        <v/>
      </c>
      <c r="AN2" s="13">
        <f>IF(TEXT('Cal_Weeks'!B42,"mmm-yy")&lt;&gt;TEXT('Cal_Weeks'!B41,"mmm-yy"),'Cal_Weeks'!G42,"")</f>
        <v/>
      </c>
      <c r="AO2" s="13">
        <f>IF(TEXT('Cal_Weeks'!B43,"mmm-yy")&lt;&gt;TEXT('Cal_Weeks'!B42,"mmm-yy"),'Cal_Weeks'!G43,"")</f>
        <v/>
      </c>
      <c r="AP2" s="13">
        <f>IF(TEXT('Cal_Weeks'!B44,"mmm-yy")&lt;&gt;TEXT('Cal_Weeks'!B43,"mmm-yy"),'Cal_Weeks'!G44,"")</f>
        <v/>
      </c>
      <c r="AQ2" s="13">
        <f>IF(TEXT('Cal_Weeks'!B45,"mmm-yy")&lt;&gt;TEXT('Cal_Weeks'!B44,"mmm-yy"),'Cal_Weeks'!G45,"")</f>
        <v/>
      </c>
      <c r="AR2" s="13">
        <f>IF(TEXT('Cal_Weeks'!B46,"mmm-yy")&lt;&gt;TEXT('Cal_Weeks'!B45,"mmm-yy"),'Cal_Weeks'!G46,"")</f>
        <v/>
      </c>
      <c r="AS2" s="13">
        <f>IF(TEXT('Cal_Weeks'!B47,"mmm-yy")&lt;&gt;TEXT('Cal_Weeks'!B46,"mmm-yy"),'Cal_Weeks'!G47,"")</f>
        <v/>
      </c>
      <c r="AT2" s="13">
        <f>IF(TEXT('Cal_Weeks'!B48,"mmm-yy")&lt;&gt;TEXT('Cal_Weeks'!B47,"mmm-yy"),'Cal_Weeks'!G48,"")</f>
        <v/>
      </c>
      <c r="AU2" s="13">
        <f>IF(TEXT('Cal_Weeks'!B49,"mmm-yy")&lt;&gt;TEXT('Cal_Weeks'!B48,"mmm-yy"),'Cal_Weeks'!G49,"")</f>
        <v/>
      </c>
      <c r="AV2" s="13">
        <f>IF(TEXT('Cal_Weeks'!B50,"mmm-yy")&lt;&gt;TEXT('Cal_Weeks'!B49,"mmm-yy"),'Cal_Weeks'!G50,"")</f>
        <v/>
      </c>
      <c r="AW2" s="13">
        <f>IF(TEXT('Cal_Weeks'!B51,"mmm-yy")&lt;&gt;TEXT('Cal_Weeks'!B50,"mmm-yy"),'Cal_Weeks'!G51,"")</f>
        <v/>
      </c>
      <c r="AX2" s="13">
        <f>IF(TEXT('Cal_Weeks'!B52,"mmm-yy")&lt;&gt;TEXT('Cal_Weeks'!B51,"mmm-yy"),'Cal_Weeks'!G52,"")</f>
        <v/>
      </c>
      <c r="AY2" s="13">
        <f>IF(TEXT('Cal_Weeks'!B53,"mmm-yy")&lt;&gt;TEXT('Cal_Weeks'!B52,"mmm-yy"),'Cal_Weeks'!G53,"")</f>
        <v/>
      </c>
      <c r="AZ2" s="13">
        <f>IF(TEXT('Cal_Weeks'!B54,"mmm-yy")&lt;&gt;TEXT('Cal_Weeks'!B53,"mmm-yy"),'Cal_Weeks'!G54,"")</f>
        <v/>
      </c>
      <c r="BA2" s="13">
        <f>IF(TEXT('Cal_Weeks'!B55,"mmm-yy")&lt;&gt;TEXT('Cal_Weeks'!B54,"mmm-yy"),'Cal_Weeks'!G55,"")</f>
        <v/>
      </c>
      <c r="BB2" s="13">
        <f>IF(TEXT('Cal_Weeks'!B56,"mmm-yy")&lt;&gt;TEXT('Cal_Weeks'!B55,"mmm-yy"),'Cal_Weeks'!G56,"")</f>
        <v/>
      </c>
      <c r="BC2" s="13">
        <f>IF(TEXT('Cal_Weeks'!B57,"mmm-yy")&lt;&gt;TEXT('Cal_Weeks'!B56,"mmm-yy"),'Cal_Weeks'!G57,"")</f>
        <v/>
      </c>
      <c r="BD2" s="13">
        <f>IF(TEXT('Cal_Weeks'!B58,"mmm-yy")&lt;&gt;TEXT('Cal_Weeks'!B57,"mmm-yy"),'Cal_Weeks'!G58,"")</f>
        <v/>
      </c>
      <c r="BE2" s="13">
        <f>IF(TEXT('Cal_Weeks'!B59,"mmm-yy")&lt;&gt;TEXT('Cal_Weeks'!B58,"mmm-yy"),'Cal_Weeks'!G59,"")</f>
        <v/>
      </c>
      <c r="BF2" s="13">
        <f>IF(TEXT('Cal_Weeks'!B60,"mmm-yy")&lt;&gt;TEXT('Cal_Weeks'!B59,"mmm-yy"),'Cal_Weeks'!G60,"")</f>
        <v/>
      </c>
      <c r="BG2" s="13">
        <f>IF(TEXT('Cal_Weeks'!B61,"mmm-yy")&lt;&gt;TEXT('Cal_Weeks'!B60,"mmm-yy"),'Cal_Weeks'!G61,"")</f>
        <v/>
      </c>
      <c r="BH2" s="13">
        <f>IF(TEXT('Cal_Weeks'!B62,"mmm-yy")&lt;&gt;TEXT('Cal_Weeks'!B61,"mmm-yy"),'Cal_Weeks'!G62,"")</f>
        <v/>
      </c>
      <c r="BI2" s="13">
        <f>IF(TEXT('Cal_Weeks'!B63,"mmm-yy")&lt;&gt;TEXT('Cal_Weeks'!B62,"mmm-yy"),'Cal_Weeks'!G63,"")</f>
        <v/>
      </c>
      <c r="BJ2" s="13">
        <f>IF(TEXT('Cal_Weeks'!B64,"mmm-yy")&lt;&gt;TEXT('Cal_Weeks'!B63,"mmm-yy"),'Cal_Weeks'!G64,"")</f>
        <v/>
      </c>
      <c r="BK2" s="13">
        <f>IF(TEXT('Cal_Weeks'!B65,"mmm-yy")&lt;&gt;TEXT('Cal_Weeks'!B64,"mmm-yy"),'Cal_Weeks'!G65,"")</f>
        <v/>
      </c>
      <c r="BL2" s="13">
        <f>IF(TEXT('Cal_Weeks'!B66,"mmm-yy")&lt;&gt;TEXT('Cal_Weeks'!B65,"mmm-yy"),'Cal_Weeks'!G66,"")</f>
        <v/>
      </c>
      <c r="BM2" s="13">
        <f>IF(TEXT('Cal_Weeks'!B67,"mmm-yy")&lt;&gt;TEXT('Cal_Weeks'!B66,"mmm-yy"),'Cal_Weeks'!G67,"")</f>
        <v/>
      </c>
      <c r="BN2" s="13">
        <f>IF(TEXT('Cal_Weeks'!B68,"mmm-yy")&lt;&gt;TEXT('Cal_Weeks'!B67,"mmm-yy"),'Cal_Weeks'!G68,"")</f>
        <v/>
      </c>
      <c r="BO2" s="13">
        <f>IF(TEXT('Cal_Weeks'!B69,"mmm-yy")&lt;&gt;TEXT('Cal_Weeks'!B68,"mmm-yy"),'Cal_Weeks'!G69,"")</f>
        <v/>
      </c>
      <c r="BP2" s="13">
        <f>IF(TEXT('Cal_Weeks'!B70,"mmm-yy")&lt;&gt;TEXT('Cal_Weeks'!B69,"mmm-yy"),'Cal_Weeks'!G70,"")</f>
        <v/>
      </c>
      <c r="BQ2" s="13">
        <f>IF(TEXT('Cal_Weeks'!B71,"mmm-yy")&lt;&gt;TEXT('Cal_Weeks'!B70,"mmm-yy"),'Cal_Weeks'!G71,"")</f>
        <v/>
      </c>
      <c r="BR2" s="13">
        <f>IF(TEXT('Cal_Weeks'!B72,"mmm-yy")&lt;&gt;TEXT('Cal_Weeks'!B71,"mmm-yy"),'Cal_Weeks'!G72,"")</f>
        <v/>
      </c>
      <c r="BS2" s="13">
        <f>IF(TEXT('Cal_Weeks'!B73,"mmm-yy")&lt;&gt;TEXT('Cal_Weeks'!B72,"mmm-yy"),'Cal_Weeks'!G73,"")</f>
        <v/>
      </c>
      <c r="BT2" s="13">
        <f>IF(TEXT('Cal_Weeks'!B74,"mmm-yy")&lt;&gt;TEXT('Cal_Weeks'!B73,"mmm-yy"),'Cal_Weeks'!G74,"")</f>
        <v/>
      </c>
      <c r="BU2" s="13">
        <f>IF(TEXT('Cal_Weeks'!B75,"mmm-yy")&lt;&gt;TEXT('Cal_Weeks'!B74,"mmm-yy"),'Cal_Weeks'!G75,"")</f>
        <v/>
      </c>
      <c r="BV2" s="13">
        <f>IF(TEXT('Cal_Weeks'!B76,"mmm-yy")&lt;&gt;TEXT('Cal_Weeks'!B75,"mmm-yy"),'Cal_Weeks'!G76,"")</f>
        <v/>
      </c>
      <c r="BW2" s="13">
        <f>IF(TEXT('Cal_Weeks'!B77,"mmm-yy")&lt;&gt;TEXT('Cal_Weeks'!B76,"mmm-yy"),'Cal_Weeks'!G77,"")</f>
        <v/>
      </c>
      <c r="BX2" s="13">
        <f>IF(TEXT('Cal_Weeks'!B78,"mmm-yy")&lt;&gt;TEXT('Cal_Weeks'!B77,"mmm-yy"),'Cal_Weeks'!G78,"")</f>
        <v/>
      </c>
      <c r="BY2" s="13">
        <f>IF(TEXT('Cal_Weeks'!B79,"mmm-yy")&lt;&gt;TEXT('Cal_Weeks'!B78,"mmm-yy"),'Cal_Weeks'!G79,"")</f>
        <v/>
      </c>
      <c r="BZ2" s="13">
        <f>IF(TEXT('Cal_Weeks'!B80,"mmm-yy")&lt;&gt;TEXT('Cal_Weeks'!B79,"mmm-yy"),'Cal_Weeks'!G80,"")</f>
        <v/>
      </c>
      <c r="CA2" s="13">
        <f>IF(TEXT('Cal_Weeks'!B81,"mmm-yy")&lt;&gt;TEXT('Cal_Weeks'!B80,"mmm-yy"),'Cal_Weeks'!G81,"")</f>
        <v/>
      </c>
      <c r="CB2" s="13">
        <f>IF(TEXT('Cal_Weeks'!B82,"mmm-yy")&lt;&gt;TEXT('Cal_Weeks'!B81,"mmm-yy"),'Cal_Weeks'!G82,"")</f>
        <v/>
      </c>
      <c r="CC2" s="13">
        <f>IF(TEXT('Cal_Weeks'!B83,"mmm-yy")&lt;&gt;TEXT('Cal_Weeks'!B82,"mmm-yy"),'Cal_Weeks'!G83,"")</f>
        <v/>
      </c>
      <c r="CD2" s="13">
        <f>IF(TEXT('Cal_Weeks'!B84,"mmm-yy")&lt;&gt;TEXT('Cal_Weeks'!B83,"mmm-yy"),'Cal_Weeks'!G84,"")</f>
        <v/>
      </c>
      <c r="CE2" s="13">
        <f>IF(TEXT('Cal_Weeks'!B85,"mmm-yy")&lt;&gt;TEXT('Cal_Weeks'!B84,"mmm-yy"),'Cal_Weeks'!G85,"")</f>
        <v/>
      </c>
      <c r="CF2" s="13">
        <f>IF(TEXT('Cal_Weeks'!B86,"mmm-yy")&lt;&gt;TEXT('Cal_Weeks'!B85,"mmm-yy"),'Cal_Weeks'!G86,"")</f>
        <v/>
      </c>
      <c r="CG2" s="13">
        <f>IF(TEXT('Cal_Weeks'!B87,"mmm-yy")&lt;&gt;TEXT('Cal_Weeks'!B86,"mmm-yy"),'Cal_Weeks'!G87,"")</f>
        <v/>
      </c>
      <c r="CH2" s="13">
        <f>IF(TEXT('Cal_Weeks'!B88,"mmm-yy")&lt;&gt;TEXT('Cal_Weeks'!B87,"mmm-yy"),'Cal_Weeks'!G88,"")</f>
        <v/>
      </c>
      <c r="CI2" s="13">
        <f>IF(TEXT('Cal_Weeks'!B89,"mmm-yy")&lt;&gt;TEXT('Cal_Weeks'!B88,"mmm-yy"),'Cal_Weeks'!G89,"")</f>
        <v/>
      </c>
      <c r="CJ2" s="13">
        <f>IF(TEXT('Cal_Weeks'!B90,"mmm-yy")&lt;&gt;TEXT('Cal_Weeks'!B89,"mmm-yy"),'Cal_Weeks'!G90,"")</f>
        <v/>
      </c>
      <c r="CK2" s="13">
        <f>IF(TEXT('Cal_Weeks'!B91,"mmm-yy")&lt;&gt;TEXT('Cal_Weeks'!B90,"mmm-yy"),'Cal_Weeks'!G91,"")</f>
        <v/>
      </c>
      <c r="CL2" s="13">
        <f>IF(TEXT('Cal_Weeks'!B92,"mmm-yy")&lt;&gt;TEXT('Cal_Weeks'!B91,"mmm-yy"),'Cal_Weeks'!G92,"")</f>
        <v/>
      </c>
      <c r="CM2" s="13">
        <f>IF(TEXT('Cal_Weeks'!B93,"mmm-yy")&lt;&gt;TEXT('Cal_Weeks'!B92,"mmm-yy"),'Cal_Weeks'!G93,"")</f>
        <v/>
      </c>
      <c r="CN2" s="13">
        <f>IF(TEXT('Cal_Weeks'!B94,"mmm-yy")&lt;&gt;TEXT('Cal_Weeks'!B93,"mmm-yy"),'Cal_Weeks'!G94,"")</f>
        <v/>
      </c>
      <c r="CO2" s="13">
        <f>IF(TEXT('Cal_Weeks'!B95,"mmm-yy")&lt;&gt;TEXT('Cal_Weeks'!B94,"mmm-yy"),'Cal_Weeks'!G95,"")</f>
        <v/>
      </c>
      <c r="CP2" s="13">
        <f>IF(TEXT('Cal_Weeks'!B96,"mmm-yy")&lt;&gt;TEXT('Cal_Weeks'!B95,"mmm-yy"),'Cal_Weeks'!G96,"")</f>
        <v/>
      </c>
      <c r="CQ2" s="13">
        <f>IF(TEXT('Cal_Weeks'!B97,"mmm-yy")&lt;&gt;TEXT('Cal_Weeks'!B96,"mmm-yy"),'Cal_Weeks'!G97,"")</f>
        <v/>
      </c>
      <c r="CR2" s="13">
        <f>IF(TEXT('Cal_Weeks'!B98,"mmm-yy")&lt;&gt;TEXT('Cal_Weeks'!B97,"mmm-yy"),'Cal_Weeks'!G98,"")</f>
        <v/>
      </c>
      <c r="CS2" s="13">
        <f>IF(TEXT('Cal_Weeks'!B99,"mmm-yy")&lt;&gt;TEXT('Cal_Weeks'!B98,"mmm-yy"),'Cal_Weeks'!G99,"")</f>
        <v/>
      </c>
      <c r="CT2" s="13">
        <f>IF(TEXT('Cal_Weeks'!B100,"mmm-yy")&lt;&gt;TEXT('Cal_Weeks'!B99,"mmm-yy"),'Cal_Weeks'!G100,"")</f>
        <v/>
      </c>
      <c r="CU2" s="13">
        <f>IF(TEXT('Cal_Weeks'!B101,"mmm-yy")&lt;&gt;TEXT('Cal_Weeks'!B100,"mmm-yy"),'Cal_Weeks'!G101,"")</f>
        <v/>
      </c>
      <c r="CV2" s="13">
        <f>IF(TEXT('Cal_Weeks'!B102,"mmm-yy")&lt;&gt;TEXT('Cal_Weeks'!B101,"mmm-yy"),'Cal_Weeks'!G102,"")</f>
        <v/>
      </c>
      <c r="CW2" s="13">
        <f>IF(TEXT('Cal_Weeks'!B103,"mmm-yy")&lt;&gt;TEXT('Cal_Weeks'!B102,"mmm-yy"),'Cal_Weeks'!G103,"")</f>
        <v/>
      </c>
      <c r="CX2" s="13">
        <f>IF(TEXT('Cal_Weeks'!B104,"mmm-yy")&lt;&gt;TEXT('Cal_Weeks'!B103,"mmm-yy"),'Cal_Weeks'!G104,"")</f>
        <v/>
      </c>
      <c r="CY2" s="13">
        <f>IF(TEXT('Cal_Weeks'!B105,"mmm-yy")&lt;&gt;TEXT('Cal_Weeks'!B104,"mmm-yy"),'Cal_Weeks'!G105,"")</f>
        <v/>
      </c>
      <c r="CZ2" s="13">
        <f>IF(TEXT('Cal_Weeks'!B106,"mmm-yy")&lt;&gt;TEXT('Cal_Weeks'!B105,"mmm-yy"),'Cal_Weeks'!G106,"")</f>
        <v/>
      </c>
      <c r="DA2" s="13">
        <f>IF(TEXT('Cal_Weeks'!B107,"mmm-yy")&lt;&gt;TEXT('Cal_Weeks'!B106,"mmm-yy"),'Cal_Weeks'!G107,"")</f>
        <v/>
      </c>
    </row>
    <row r="3">
      <c r="A3" s="14" t="n"/>
      <c r="B3" s="15">
        <f>'Cal_Weeks'!B4</f>
        <v/>
      </c>
      <c r="C3" s="15">
        <f>'Cal_Weeks'!B5</f>
        <v/>
      </c>
      <c r="D3" s="15">
        <f>'Cal_Weeks'!B6</f>
        <v/>
      </c>
      <c r="E3" s="15">
        <f>'Cal_Weeks'!B7</f>
        <v/>
      </c>
      <c r="F3" s="15">
        <f>'Cal_Weeks'!B8</f>
        <v/>
      </c>
      <c r="G3" s="15">
        <f>'Cal_Weeks'!B9</f>
        <v/>
      </c>
      <c r="H3" s="15">
        <f>'Cal_Weeks'!B10</f>
        <v/>
      </c>
      <c r="I3" s="15">
        <f>'Cal_Weeks'!B11</f>
        <v/>
      </c>
      <c r="J3" s="15">
        <f>'Cal_Weeks'!B12</f>
        <v/>
      </c>
      <c r="K3" s="15">
        <f>'Cal_Weeks'!B13</f>
        <v/>
      </c>
      <c r="L3" s="15">
        <f>'Cal_Weeks'!B14</f>
        <v/>
      </c>
      <c r="M3" s="15">
        <f>'Cal_Weeks'!B15</f>
        <v/>
      </c>
      <c r="N3" s="15">
        <f>'Cal_Weeks'!B16</f>
        <v/>
      </c>
      <c r="O3" s="15">
        <f>'Cal_Weeks'!B17</f>
        <v/>
      </c>
      <c r="P3" s="15">
        <f>'Cal_Weeks'!B18</f>
        <v/>
      </c>
      <c r="Q3" s="15">
        <f>'Cal_Weeks'!B19</f>
        <v/>
      </c>
      <c r="R3" s="15">
        <f>'Cal_Weeks'!B20</f>
        <v/>
      </c>
      <c r="S3" s="15">
        <f>'Cal_Weeks'!B21</f>
        <v/>
      </c>
      <c r="T3" s="15">
        <f>'Cal_Weeks'!B22</f>
        <v/>
      </c>
      <c r="U3" s="15">
        <f>'Cal_Weeks'!B23</f>
        <v/>
      </c>
      <c r="V3" s="15">
        <f>'Cal_Weeks'!B24</f>
        <v/>
      </c>
      <c r="W3" s="15">
        <f>'Cal_Weeks'!B25</f>
        <v/>
      </c>
      <c r="X3" s="15">
        <f>'Cal_Weeks'!B26</f>
        <v/>
      </c>
      <c r="Y3" s="15">
        <f>'Cal_Weeks'!B27</f>
        <v/>
      </c>
      <c r="Z3" s="15">
        <f>'Cal_Weeks'!B28</f>
        <v/>
      </c>
      <c r="AA3" s="15">
        <f>'Cal_Weeks'!B29</f>
        <v/>
      </c>
      <c r="AB3" s="15">
        <f>'Cal_Weeks'!B30</f>
        <v/>
      </c>
      <c r="AC3" s="15">
        <f>'Cal_Weeks'!B31</f>
        <v/>
      </c>
      <c r="AD3" s="15">
        <f>'Cal_Weeks'!B32</f>
        <v/>
      </c>
      <c r="AE3" s="15">
        <f>'Cal_Weeks'!B33</f>
        <v/>
      </c>
      <c r="AF3" s="15">
        <f>'Cal_Weeks'!B34</f>
        <v/>
      </c>
      <c r="AG3" s="15">
        <f>'Cal_Weeks'!B35</f>
        <v/>
      </c>
      <c r="AH3" s="15">
        <f>'Cal_Weeks'!B36</f>
        <v/>
      </c>
      <c r="AI3" s="15">
        <f>'Cal_Weeks'!B37</f>
        <v/>
      </c>
      <c r="AJ3" s="15">
        <f>'Cal_Weeks'!B38</f>
        <v/>
      </c>
      <c r="AK3" s="15">
        <f>'Cal_Weeks'!B39</f>
        <v/>
      </c>
      <c r="AL3" s="15">
        <f>'Cal_Weeks'!B40</f>
        <v/>
      </c>
      <c r="AM3" s="15">
        <f>'Cal_Weeks'!B41</f>
        <v/>
      </c>
      <c r="AN3" s="15">
        <f>'Cal_Weeks'!B42</f>
        <v/>
      </c>
      <c r="AO3" s="15">
        <f>'Cal_Weeks'!B43</f>
        <v/>
      </c>
      <c r="AP3" s="15">
        <f>'Cal_Weeks'!B44</f>
        <v/>
      </c>
      <c r="AQ3" s="15">
        <f>'Cal_Weeks'!B45</f>
        <v/>
      </c>
      <c r="AR3" s="15">
        <f>'Cal_Weeks'!B46</f>
        <v/>
      </c>
      <c r="AS3" s="15">
        <f>'Cal_Weeks'!B47</f>
        <v/>
      </c>
      <c r="AT3" s="15">
        <f>'Cal_Weeks'!B48</f>
        <v/>
      </c>
      <c r="AU3" s="15">
        <f>'Cal_Weeks'!B49</f>
        <v/>
      </c>
      <c r="AV3" s="15">
        <f>'Cal_Weeks'!B50</f>
        <v/>
      </c>
      <c r="AW3" s="15">
        <f>'Cal_Weeks'!B51</f>
        <v/>
      </c>
      <c r="AX3" s="15">
        <f>'Cal_Weeks'!B52</f>
        <v/>
      </c>
      <c r="AY3" s="15">
        <f>'Cal_Weeks'!B53</f>
        <v/>
      </c>
      <c r="AZ3" s="15">
        <f>'Cal_Weeks'!B54</f>
        <v/>
      </c>
      <c r="BA3" s="15">
        <f>'Cal_Weeks'!B55</f>
        <v/>
      </c>
      <c r="BB3" s="15">
        <f>'Cal_Weeks'!B56</f>
        <v/>
      </c>
      <c r="BC3" s="15">
        <f>'Cal_Weeks'!B57</f>
        <v/>
      </c>
      <c r="BD3" s="15">
        <f>'Cal_Weeks'!B58</f>
        <v/>
      </c>
      <c r="BE3" s="15">
        <f>'Cal_Weeks'!B59</f>
        <v/>
      </c>
      <c r="BF3" s="15">
        <f>'Cal_Weeks'!B60</f>
        <v/>
      </c>
      <c r="BG3" s="15">
        <f>'Cal_Weeks'!B61</f>
        <v/>
      </c>
      <c r="BH3" s="15">
        <f>'Cal_Weeks'!B62</f>
        <v/>
      </c>
      <c r="BI3" s="15">
        <f>'Cal_Weeks'!B63</f>
        <v/>
      </c>
      <c r="BJ3" s="15">
        <f>'Cal_Weeks'!B64</f>
        <v/>
      </c>
      <c r="BK3" s="15">
        <f>'Cal_Weeks'!B65</f>
        <v/>
      </c>
      <c r="BL3" s="15">
        <f>'Cal_Weeks'!B66</f>
        <v/>
      </c>
      <c r="BM3" s="15">
        <f>'Cal_Weeks'!B67</f>
        <v/>
      </c>
      <c r="BN3" s="15">
        <f>'Cal_Weeks'!B68</f>
        <v/>
      </c>
      <c r="BO3" s="15">
        <f>'Cal_Weeks'!B69</f>
        <v/>
      </c>
      <c r="BP3" s="15">
        <f>'Cal_Weeks'!B70</f>
        <v/>
      </c>
      <c r="BQ3" s="15">
        <f>'Cal_Weeks'!B71</f>
        <v/>
      </c>
      <c r="BR3" s="15">
        <f>'Cal_Weeks'!B72</f>
        <v/>
      </c>
      <c r="BS3" s="15">
        <f>'Cal_Weeks'!B73</f>
        <v/>
      </c>
      <c r="BT3" s="15">
        <f>'Cal_Weeks'!B74</f>
        <v/>
      </c>
      <c r="BU3" s="15">
        <f>'Cal_Weeks'!B75</f>
        <v/>
      </c>
      <c r="BV3" s="15">
        <f>'Cal_Weeks'!B76</f>
        <v/>
      </c>
      <c r="BW3" s="15">
        <f>'Cal_Weeks'!B77</f>
        <v/>
      </c>
      <c r="BX3" s="15">
        <f>'Cal_Weeks'!B78</f>
        <v/>
      </c>
      <c r="BY3" s="15">
        <f>'Cal_Weeks'!B79</f>
        <v/>
      </c>
      <c r="BZ3" s="15">
        <f>'Cal_Weeks'!B80</f>
        <v/>
      </c>
      <c r="CA3" s="15">
        <f>'Cal_Weeks'!B81</f>
        <v/>
      </c>
      <c r="CB3" s="15">
        <f>'Cal_Weeks'!B82</f>
        <v/>
      </c>
      <c r="CC3" s="15">
        <f>'Cal_Weeks'!B83</f>
        <v/>
      </c>
      <c r="CD3" s="15">
        <f>'Cal_Weeks'!B84</f>
        <v/>
      </c>
      <c r="CE3" s="15">
        <f>'Cal_Weeks'!B85</f>
        <v/>
      </c>
      <c r="CF3" s="15">
        <f>'Cal_Weeks'!B86</f>
        <v/>
      </c>
      <c r="CG3" s="15">
        <f>'Cal_Weeks'!B87</f>
        <v/>
      </c>
      <c r="CH3" s="15">
        <f>'Cal_Weeks'!B88</f>
        <v/>
      </c>
      <c r="CI3" s="15">
        <f>'Cal_Weeks'!B89</f>
        <v/>
      </c>
      <c r="CJ3" s="15">
        <f>'Cal_Weeks'!B90</f>
        <v/>
      </c>
      <c r="CK3" s="15">
        <f>'Cal_Weeks'!B91</f>
        <v/>
      </c>
      <c r="CL3" s="15">
        <f>'Cal_Weeks'!B92</f>
        <v/>
      </c>
      <c r="CM3" s="15">
        <f>'Cal_Weeks'!B93</f>
        <v/>
      </c>
      <c r="CN3" s="15">
        <f>'Cal_Weeks'!B94</f>
        <v/>
      </c>
      <c r="CO3" s="15">
        <f>'Cal_Weeks'!B95</f>
        <v/>
      </c>
      <c r="CP3" s="15">
        <f>'Cal_Weeks'!B96</f>
        <v/>
      </c>
      <c r="CQ3" s="15">
        <f>'Cal_Weeks'!B97</f>
        <v/>
      </c>
      <c r="CR3" s="15">
        <f>'Cal_Weeks'!B98</f>
        <v/>
      </c>
      <c r="CS3" s="15">
        <f>'Cal_Weeks'!B99</f>
        <v/>
      </c>
      <c r="CT3" s="15">
        <f>'Cal_Weeks'!B100</f>
        <v/>
      </c>
      <c r="CU3" s="15">
        <f>'Cal_Weeks'!B101</f>
        <v/>
      </c>
      <c r="CV3" s="15">
        <f>'Cal_Weeks'!B102</f>
        <v/>
      </c>
      <c r="CW3" s="15">
        <f>'Cal_Weeks'!B103</f>
        <v/>
      </c>
      <c r="CX3" s="15">
        <f>'Cal_Weeks'!B104</f>
        <v/>
      </c>
      <c r="CY3" s="15">
        <f>'Cal_Weeks'!B105</f>
        <v/>
      </c>
      <c r="CZ3" s="15">
        <f>'Cal_Weeks'!B106</f>
        <v/>
      </c>
      <c r="DA3" s="15">
        <f>'Cal_Weeks'!B107</f>
        <v/>
      </c>
    </row>
    <row r="4">
      <c r="A4" s="14" t="n"/>
      <c r="B4" s="14">
        <f>'Cal_Weeks'!D4</f>
        <v/>
      </c>
      <c r="C4" s="14">
        <f>'Cal_Weeks'!D5</f>
        <v/>
      </c>
      <c r="D4" s="14">
        <f>'Cal_Weeks'!D6</f>
        <v/>
      </c>
      <c r="E4" s="14">
        <f>'Cal_Weeks'!D7</f>
        <v/>
      </c>
      <c r="F4" s="14">
        <f>'Cal_Weeks'!D8</f>
        <v/>
      </c>
      <c r="G4" s="14">
        <f>'Cal_Weeks'!D9</f>
        <v/>
      </c>
      <c r="H4" s="14">
        <f>'Cal_Weeks'!D10</f>
        <v/>
      </c>
      <c r="I4" s="14">
        <f>'Cal_Weeks'!D11</f>
        <v/>
      </c>
      <c r="J4" s="14">
        <f>'Cal_Weeks'!D12</f>
        <v/>
      </c>
      <c r="K4" s="14">
        <f>'Cal_Weeks'!D13</f>
        <v/>
      </c>
      <c r="L4" s="14">
        <f>'Cal_Weeks'!D14</f>
        <v/>
      </c>
      <c r="M4" s="14">
        <f>'Cal_Weeks'!D15</f>
        <v/>
      </c>
      <c r="N4" s="14">
        <f>'Cal_Weeks'!D16</f>
        <v/>
      </c>
      <c r="O4" s="14">
        <f>'Cal_Weeks'!D17</f>
        <v/>
      </c>
      <c r="P4" s="14">
        <f>'Cal_Weeks'!D18</f>
        <v/>
      </c>
      <c r="Q4" s="14">
        <f>'Cal_Weeks'!D19</f>
        <v/>
      </c>
      <c r="R4" s="14">
        <f>'Cal_Weeks'!D20</f>
        <v/>
      </c>
      <c r="S4" s="14">
        <f>'Cal_Weeks'!D21</f>
        <v/>
      </c>
      <c r="T4" s="14">
        <f>'Cal_Weeks'!D22</f>
        <v/>
      </c>
      <c r="U4" s="14">
        <f>'Cal_Weeks'!D23</f>
        <v/>
      </c>
      <c r="V4" s="14">
        <f>'Cal_Weeks'!D24</f>
        <v/>
      </c>
      <c r="W4" s="14">
        <f>'Cal_Weeks'!D25</f>
        <v/>
      </c>
      <c r="X4" s="14">
        <f>'Cal_Weeks'!D26</f>
        <v/>
      </c>
      <c r="Y4" s="14">
        <f>'Cal_Weeks'!D27</f>
        <v/>
      </c>
      <c r="Z4" s="14">
        <f>'Cal_Weeks'!D28</f>
        <v/>
      </c>
      <c r="AA4" s="14">
        <f>'Cal_Weeks'!D29</f>
        <v/>
      </c>
      <c r="AB4" s="14">
        <f>'Cal_Weeks'!D30</f>
        <v/>
      </c>
      <c r="AC4" s="14">
        <f>'Cal_Weeks'!D31</f>
        <v/>
      </c>
      <c r="AD4" s="14">
        <f>'Cal_Weeks'!D32</f>
        <v/>
      </c>
      <c r="AE4" s="14">
        <f>'Cal_Weeks'!D33</f>
        <v/>
      </c>
      <c r="AF4" s="14">
        <f>'Cal_Weeks'!D34</f>
        <v/>
      </c>
      <c r="AG4" s="14">
        <f>'Cal_Weeks'!D35</f>
        <v/>
      </c>
      <c r="AH4" s="14">
        <f>'Cal_Weeks'!D36</f>
        <v/>
      </c>
      <c r="AI4" s="14">
        <f>'Cal_Weeks'!D37</f>
        <v/>
      </c>
      <c r="AJ4" s="14">
        <f>'Cal_Weeks'!D38</f>
        <v/>
      </c>
      <c r="AK4" s="14">
        <f>'Cal_Weeks'!D39</f>
        <v/>
      </c>
      <c r="AL4" s="14">
        <f>'Cal_Weeks'!D40</f>
        <v/>
      </c>
      <c r="AM4" s="14">
        <f>'Cal_Weeks'!D41</f>
        <v/>
      </c>
      <c r="AN4" s="14">
        <f>'Cal_Weeks'!D42</f>
        <v/>
      </c>
      <c r="AO4" s="14">
        <f>'Cal_Weeks'!D43</f>
        <v/>
      </c>
      <c r="AP4" s="14">
        <f>'Cal_Weeks'!D44</f>
        <v/>
      </c>
      <c r="AQ4" s="14">
        <f>'Cal_Weeks'!D45</f>
        <v/>
      </c>
      <c r="AR4" s="14">
        <f>'Cal_Weeks'!D46</f>
        <v/>
      </c>
      <c r="AS4" s="14">
        <f>'Cal_Weeks'!D47</f>
        <v/>
      </c>
      <c r="AT4" s="14">
        <f>'Cal_Weeks'!D48</f>
        <v/>
      </c>
      <c r="AU4" s="14">
        <f>'Cal_Weeks'!D49</f>
        <v/>
      </c>
      <c r="AV4" s="14">
        <f>'Cal_Weeks'!D50</f>
        <v/>
      </c>
      <c r="AW4" s="14">
        <f>'Cal_Weeks'!D51</f>
        <v/>
      </c>
      <c r="AX4" s="14">
        <f>'Cal_Weeks'!D52</f>
        <v/>
      </c>
      <c r="AY4" s="14">
        <f>'Cal_Weeks'!D53</f>
        <v/>
      </c>
      <c r="AZ4" s="14">
        <f>'Cal_Weeks'!D54</f>
        <v/>
      </c>
      <c r="BA4" s="14">
        <f>'Cal_Weeks'!D55</f>
        <v/>
      </c>
      <c r="BB4" s="14">
        <f>'Cal_Weeks'!D56</f>
        <v/>
      </c>
      <c r="BC4" s="14">
        <f>'Cal_Weeks'!D57</f>
        <v/>
      </c>
      <c r="BD4" s="14">
        <f>'Cal_Weeks'!D58</f>
        <v/>
      </c>
      <c r="BE4" s="14">
        <f>'Cal_Weeks'!D59</f>
        <v/>
      </c>
      <c r="BF4" s="14">
        <f>'Cal_Weeks'!D60</f>
        <v/>
      </c>
      <c r="BG4" s="14">
        <f>'Cal_Weeks'!D61</f>
        <v/>
      </c>
      <c r="BH4" s="14">
        <f>'Cal_Weeks'!D62</f>
        <v/>
      </c>
      <c r="BI4" s="14">
        <f>'Cal_Weeks'!D63</f>
        <v/>
      </c>
      <c r="BJ4" s="14">
        <f>'Cal_Weeks'!D64</f>
        <v/>
      </c>
      <c r="BK4" s="14">
        <f>'Cal_Weeks'!D65</f>
        <v/>
      </c>
      <c r="BL4" s="14">
        <f>'Cal_Weeks'!D66</f>
        <v/>
      </c>
      <c r="BM4" s="14">
        <f>'Cal_Weeks'!D67</f>
        <v/>
      </c>
      <c r="BN4" s="14">
        <f>'Cal_Weeks'!D68</f>
        <v/>
      </c>
      <c r="BO4" s="14">
        <f>'Cal_Weeks'!D69</f>
        <v/>
      </c>
      <c r="BP4" s="14">
        <f>'Cal_Weeks'!D70</f>
        <v/>
      </c>
      <c r="BQ4" s="14">
        <f>'Cal_Weeks'!D71</f>
        <v/>
      </c>
      <c r="BR4" s="14">
        <f>'Cal_Weeks'!D72</f>
        <v/>
      </c>
      <c r="BS4" s="14">
        <f>'Cal_Weeks'!D73</f>
        <v/>
      </c>
      <c r="BT4" s="14">
        <f>'Cal_Weeks'!D74</f>
        <v/>
      </c>
      <c r="BU4" s="14">
        <f>'Cal_Weeks'!D75</f>
        <v/>
      </c>
      <c r="BV4" s="14">
        <f>'Cal_Weeks'!D76</f>
        <v/>
      </c>
      <c r="BW4" s="14">
        <f>'Cal_Weeks'!D77</f>
        <v/>
      </c>
      <c r="BX4" s="14">
        <f>'Cal_Weeks'!D78</f>
        <v/>
      </c>
      <c r="BY4" s="14">
        <f>'Cal_Weeks'!D79</f>
        <v/>
      </c>
      <c r="BZ4" s="14">
        <f>'Cal_Weeks'!D80</f>
        <v/>
      </c>
      <c r="CA4" s="14">
        <f>'Cal_Weeks'!D81</f>
        <v/>
      </c>
      <c r="CB4" s="14">
        <f>'Cal_Weeks'!D82</f>
        <v/>
      </c>
      <c r="CC4" s="14">
        <f>'Cal_Weeks'!D83</f>
        <v/>
      </c>
      <c r="CD4" s="14">
        <f>'Cal_Weeks'!D84</f>
        <v/>
      </c>
      <c r="CE4" s="14">
        <f>'Cal_Weeks'!D85</f>
        <v/>
      </c>
      <c r="CF4" s="14">
        <f>'Cal_Weeks'!D86</f>
        <v/>
      </c>
      <c r="CG4" s="14">
        <f>'Cal_Weeks'!D87</f>
        <v/>
      </c>
      <c r="CH4" s="14">
        <f>'Cal_Weeks'!D88</f>
        <v/>
      </c>
      <c r="CI4" s="14">
        <f>'Cal_Weeks'!D89</f>
        <v/>
      </c>
      <c r="CJ4" s="14">
        <f>'Cal_Weeks'!D90</f>
        <v/>
      </c>
      <c r="CK4" s="14">
        <f>'Cal_Weeks'!D91</f>
        <v/>
      </c>
      <c r="CL4" s="14">
        <f>'Cal_Weeks'!D92</f>
        <v/>
      </c>
      <c r="CM4" s="14">
        <f>'Cal_Weeks'!D93</f>
        <v/>
      </c>
      <c r="CN4" s="14">
        <f>'Cal_Weeks'!D94</f>
        <v/>
      </c>
      <c r="CO4" s="14">
        <f>'Cal_Weeks'!D95</f>
        <v/>
      </c>
      <c r="CP4" s="14">
        <f>'Cal_Weeks'!D96</f>
        <v/>
      </c>
      <c r="CQ4" s="14">
        <f>'Cal_Weeks'!D97</f>
        <v/>
      </c>
      <c r="CR4" s="14">
        <f>'Cal_Weeks'!D98</f>
        <v/>
      </c>
      <c r="CS4" s="14">
        <f>'Cal_Weeks'!D99</f>
        <v/>
      </c>
      <c r="CT4" s="14">
        <f>'Cal_Weeks'!D100</f>
        <v/>
      </c>
      <c r="CU4" s="14">
        <f>'Cal_Weeks'!D101</f>
        <v/>
      </c>
      <c r="CV4" s="14">
        <f>'Cal_Weeks'!D102</f>
        <v/>
      </c>
      <c r="CW4" s="14">
        <f>'Cal_Weeks'!D103</f>
        <v/>
      </c>
      <c r="CX4" s="14">
        <f>'Cal_Weeks'!D104</f>
        <v/>
      </c>
      <c r="CY4" s="14">
        <f>'Cal_Weeks'!D105</f>
        <v/>
      </c>
      <c r="CZ4" s="14">
        <f>'Cal_Weeks'!D106</f>
        <v/>
      </c>
      <c r="DA4" s="14">
        <f>'Cal_Weeks'!D107</f>
        <v/>
      </c>
    </row>
    <row r="5">
      <c r="A5" s="16" t="inlineStr">
        <is>
          <t>Part Name</t>
        </is>
      </c>
      <c r="B5" s="16" t="inlineStr">
        <is>
          <t>2026-W01</t>
        </is>
      </c>
      <c r="C5" s="16" t="inlineStr">
        <is>
          <t>2026-W02</t>
        </is>
      </c>
      <c r="D5" s="16" t="inlineStr">
        <is>
          <t>2026-W03</t>
        </is>
      </c>
      <c r="E5" s="16" t="inlineStr">
        <is>
          <t>2026-W04</t>
        </is>
      </c>
      <c r="F5" s="16" t="inlineStr">
        <is>
          <t>2026-W05</t>
        </is>
      </c>
      <c r="G5" s="16" t="inlineStr">
        <is>
          <t>2026-W06</t>
        </is>
      </c>
      <c r="H5" s="16" t="inlineStr">
        <is>
          <t>2026-W07</t>
        </is>
      </c>
      <c r="I5" s="16" t="inlineStr">
        <is>
          <t>2026-W08</t>
        </is>
      </c>
      <c r="J5" s="16" t="inlineStr">
        <is>
          <t>2026-W09</t>
        </is>
      </c>
      <c r="K5" s="16" t="inlineStr">
        <is>
          <t>2026-W10</t>
        </is>
      </c>
      <c r="L5" s="16" t="inlineStr">
        <is>
          <t>2026-W11</t>
        </is>
      </c>
      <c r="M5" s="16" t="inlineStr">
        <is>
          <t>2026-W12</t>
        </is>
      </c>
      <c r="N5" s="16" t="inlineStr">
        <is>
          <t>2026-W13</t>
        </is>
      </c>
      <c r="O5" s="16" t="inlineStr">
        <is>
          <t>2026-W14</t>
        </is>
      </c>
      <c r="P5" s="16" t="inlineStr">
        <is>
          <t>2026-W15</t>
        </is>
      </c>
      <c r="Q5" s="16" t="inlineStr">
        <is>
          <t>2026-W16</t>
        </is>
      </c>
      <c r="R5" s="16" t="inlineStr">
        <is>
          <t>2026-W17</t>
        </is>
      </c>
      <c r="S5" s="16" t="inlineStr">
        <is>
          <t>2026-W18</t>
        </is>
      </c>
      <c r="T5" s="16" t="inlineStr">
        <is>
          <t>2026-W19</t>
        </is>
      </c>
      <c r="U5" s="16" t="inlineStr">
        <is>
          <t>2026-W20</t>
        </is>
      </c>
      <c r="V5" s="16" t="inlineStr">
        <is>
          <t>2026-W21</t>
        </is>
      </c>
      <c r="W5" s="16" t="inlineStr">
        <is>
          <t>2026-W22</t>
        </is>
      </c>
      <c r="X5" s="16" t="inlineStr">
        <is>
          <t>2026-W23</t>
        </is>
      </c>
      <c r="Y5" s="16" t="inlineStr">
        <is>
          <t>2026-W24</t>
        </is>
      </c>
      <c r="Z5" s="16" t="inlineStr">
        <is>
          <t>2026-W25</t>
        </is>
      </c>
      <c r="AA5" s="16" t="inlineStr">
        <is>
          <t>2026-W26</t>
        </is>
      </c>
      <c r="AB5" s="16" t="inlineStr">
        <is>
          <t>2026-W27</t>
        </is>
      </c>
      <c r="AC5" s="16" t="inlineStr">
        <is>
          <t>2026-W28</t>
        </is>
      </c>
      <c r="AD5" s="16" t="inlineStr">
        <is>
          <t>2026-W29</t>
        </is>
      </c>
      <c r="AE5" s="16" t="inlineStr">
        <is>
          <t>2026-W30</t>
        </is>
      </c>
      <c r="AF5" s="16" t="inlineStr">
        <is>
          <t>2026-W31</t>
        </is>
      </c>
      <c r="AG5" s="16" t="inlineStr">
        <is>
          <t>2026-W32</t>
        </is>
      </c>
      <c r="AH5" s="16" t="inlineStr">
        <is>
          <t>2026-W33</t>
        </is>
      </c>
      <c r="AI5" s="16" t="inlineStr">
        <is>
          <t>2026-W34</t>
        </is>
      </c>
      <c r="AJ5" s="16" t="inlineStr">
        <is>
          <t>2026-W35</t>
        </is>
      </c>
      <c r="AK5" s="16" t="inlineStr">
        <is>
          <t>2026-W36</t>
        </is>
      </c>
      <c r="AL5" s="16" t="inlineStr">
        <is>
          <t>2026-W37</t>
        </is>
      </c>
      <c r="AM5" s="16" t="inlineStr">
        <is>
          <t>2026-W38</t>
        </is>
      </c>
      <c r="AN5" s="16" t="inlineStr">
        <is>
          <t>2026-W39</t>
        </is>
      </c>
      <c r="AO5" s="16" t="inlineStr">
        <is>
          <t>2026-W40</t>
        </is>
      </c>
      <c r="AP5" s="16" t="inlineStr">
        <is>
          <t>2026-W41</t>
        </is>
      </c>
      <c r="AQ5" s="16" t="inlineStr">
        <is>
          <t>2026-W42</t>
        </is>
      </c>
      <c r="AR5" s="16" t="inlineStr">
        <is>
          <t>2026-W43</t>
        </is>
      </c>
      <c r="AS5" s="16" t="inlineStr">
        <is>
          <t>2026-W44</t>
        </is>
      </c>
      <c r="AT5" s="16" t="inlineStr">
        <is>
          <t>2026-W45</t>
        </is>
      </c>
      <c r="AU5" s="16" t="inlineStr">
        <is>
          <t>2026-W46</t>
        </is>
      </c>
      <c r="AV5" s="16" t="inlineStr">
        <is>
          <t>2026-W47</t>
        </is>
      </c>
      <c r="AW5" s="16" t="inlineStr">
        <is>
          <t>2026-W48</t>
        </is>
      </c>
      <c r="AX5" s="16" t="inlineStr">
        <is>
          <t>2026-W49</t>
        </is>
      </c>
      <c r="AY5" s="16" t="inlineStr">
        <is>
          <t>2026-W50</t>
        </is>
      </c>
      <c r="AZ5" s="16" t="inlineStr">
        <is>
          <t>2026-W51</t>
        </is>
      </c>
      <c r="BA5" s="16" t="inlineStr">
        <is>
          <t>2026-W52</t>
        </is>
      </c>
      <c r="BB5" s="16" t="inlineStr">
        <is>
          <t>2027-W01</t>
        </is>
      </c>
      <c r="BC5" s="16" t="inlineStr">
        <is>
          <t>2027-W02</t>
        </is>
      </c>
      <c r="BD5" s="16" t="inlineStr">
        <is>
          <t>2027-W03</t>
        </is>
      </c>
      <c r="BE5" s="16" t="inlineStr">
        <is>
          <t>2027-W04</t>
        </is>
      </c>
      <c r="BF5" s="16" t="inlineStr">
        <is>
          <t>2027-W05</t>
        </is>
      </c>
      <c r="BG5" s="16" t="inlineStr">
        <is>
          <t>2027-W06</t>
        </is>
      </c>
      <c r="BH5" s="16" t="inlineStr">
        <is>
          <t>2027-W07</t>
        </is>
      </c>
      <c r="BI5" s="16" t="inlineStr">
        <is>
          <t>2027-W08</t>
        </is>
      </c>
      <c r="BJ5" s="16" t="inlineStr">
        <is>
          <t>2027-W09</t>
        </is>
      </c>
      <c r="BK5" s="16" t="inlineStr">
        <is>
          <t>2027-W10</t>
        </is>
      </c>
      <c r="BL5" s="16" t="inlineStr">
        <is>
          <t>2027-W11</t>
        </is>
      </c>
      <c r="BM5" s="16" t="inlineStr">
        <is>
          <t>2027-W12</t>
        </is>
      </c>
      <c r="BN5" s="16" t="inlineStr">
        <is>
          <t>2027-W13</t>
        </is>
      </c>
      <c r="BO5" s="16" t="inlineStr">
        <is>
          <t>2027-W14</t>
        </is>
      </c>
      <c r="BP5" s="16" t="inlineStr">
        <is>
          <t>2027-W15</t>
        </is>
      </c>
      <c r="BQ5" s="16" t="inlineStr">
        <is>
          <t>2027-W16</t>
        </is>
      </c>
      <c r="BR5" s="16" t="inlineStr">
        <is>
          <t>2027-W17</t>
        </is>
      </c>
      <c r="BS5" s="16" t="inlineStr">
        <is>
          <t>2027-W18</t>
        </is>
      </c>
      <c r="BT5" s="16" t="inlineStr">
        <is>
          <t>2027-W19</t>
        </is>
      </c>
      <c r="BU5" s="16" t="inlineStr">
        <is>
          <t>2027-W20</t>
        </is>
      </c>
      <c r="BV5" s="16" t="inlineStr">
        <is>
          <t>2027-W21</t>
        </is>
      </c>
      <c r="BW5" s="16" t="inlineStr">
        <is>
          <t>2027-W22</t>
        </is>
      </c>
      <c r="BX5" s="16" t="inlineStr">
        <is>
          <t>2027-W23</t>
        </is>
      </c>
      <c r="BY5" s="16" t="inlineStr">
        <is>
          <t>2027-W24</t>
        </is>
      </c>
      <c r="BZ5" s="16" t="inlineStr">
        <is>
          <t>2027-W25</t>
        </is>
      </c>
      <c r="CA5" s="16" t="inlineStr">
        <is>
          <t>2027-W26</t>
        </is>
      </c>
      <c r="CB5" s="16" t="inlineStr">
        <is>
          <t>2027-W27</t>
        </is>
      </c>
      <c r="CC5" s="16" t="inlineStr">
        <is>
          <t>2027-W28</t>
        </is>
      </c>
      <c r="CD5" s="16" t="inlineStr">
        <is>
          <t>2027-W29</t>
        </is>
      </c>
      <c r="CE5" s="16" t="inlineStr">
        <is>
          <t>2027-W30</t>
        </is>
      </c>
      <c r="CF5" s="16" t="inlineStr">
        <is>
          <t>2027-W31</t>
        </is>
      </c>
      <c r="CG5" s="16" t="inlineStr">
        <is>
          <t>2027-W32</t>
        </is>
      </c>
      <c r="CH5" s="16" t="inlineStr">
        <is>
          <t>2027-W33</t>
        </is>
      </c>
      <c r="CI5" s="16" t="inlineStr">
        <is>
          <t>2027-W34</t>
        </is>
      </c>
      <c r="CJ5" s="16" t="inlineStr">
        <is>
          <t>2027-W35</t>
        </is>
      </c>
      <c r="CK5" s="16" t="inlineStr">
        <is>
          <t>2027-W36</t>
        </is>
      </c>
      <c r="CL5" s="16" t="inlineStr">
        <is>
          <t>2027-W37</t>
        </is>
      </c>
      <c r="CM5" s="16" t="inlineStr">
        <is>
          <t>2027-W38</t>
        </is>
      </c>
      <c r="CN5" s="16" t="inlineStr">
        <is>
          <t>2027-W39</t>
        </is>
      </c>
      <c r="CO5" s="16" t="inlineStr">
        <is>
          <t>2027-W40</t>
        </is>
      </c>
      <c r="CP5" s="16" t="inlineStr">
        <is>
          <t>2027-W41</t>
        </is>
      </c>
      <c r="CQ5" s="16" t="inlineStr">
        <is>
          <t>2027-W42</t>
        </is>
      </c>
      <c r="CR5" s="16" t="inlineStr">
        <is>
          <t>2027-W43</t>
        </is>
      </c>
      <c r="CS5" s="16" t="inlineStr">
        <is>
          <t>2027-W44</t>
        </is>
      </c>
      <c r="CT5" s="16" t="inlineStr">
        <is>
          <t>2027-W45</t>
        </is>
      </c>
      <c r="CU5" s="16" t="inlineStr">
        <is>
          <t>2027-W46</t>
        </is>
      </c>
      <c r="CV5" s="16" t="inlineStr">
        <is>
          <t>2027-W47</t>
        </is>
      </c>
      <c r="CW5" s="16" t="inlineStr">
        <is>
          <t>2027-W48</t>
        </is>
      </c>
      <c r="CX5" s="16" t="inlineStr">
        <is>
          <t>2027-W49</t>
        </is>
      </c>
      <c r="CY5" s="16" t="inlineStr">
        <is>
          <t>2027-W50</t>
        </is>
      </c>
      <c r="CZ5" s="16" t="inlineStr">
        <is>
          <t>2027-W51</t>
        </is>
      </c>
      <c r="DA5" s="16" t="inlineStr">
        <is>
          <t>2027-W52</t>
        </is>
      </c>
    </row>
    <row r="6">
      <c r="A6" s="17" t="inlineStr">
        <is>
          <t>7EP</t>
        </is>
      </c>
      <c r="B6" s="17">
        <f>IF(COUNTIFS(T_TTAFStock_Log[Part Name],$A6,T_TTAFStock_Log[WeekIndex],1)=0,"",SUMIFS(T_TTAFStock_Log[TTAF_Qty],T_TTAFStock_Log[Part Name],$A6,T_TTAFStock_Log[WeekIndex],1))</f>
        <v/>
      </c>
      <c r="C6" s="17">
        <f>IF(COUNTIFS(T_TTAFStock_Log[Part Name],$A6,T_TTAFStock_Log[WeekIndex],2)=0,"",SUMIFS(T_TTAFStock_Log[TTAF_Qty],T_TTAFStock_Log[Part Name],$A6,T_TTAFStock_Log[WeekIndex],2))</f>
        <v/>
      </c>
      <c r="D6" s="17">
        <f>IF(COUNTIFS(T_TTAFStock_Log[Part Name],$A6,T_TTAFStock_Log[WeekIndex],3)=0,"",SUMIFS(T_TTAFStock_Log[TTAF_Qty],T_TTAFStock_Log[Part Name],$A6,T_TTAFStock_Log[WeekIndex],3))</f>
        <v/>
      </c>
      <c r="E6" s="17">
        <f>IF(COUNTIFS(T_TTAFStock_Log[Part Name],$A6,T_TTAFStock_Log[WeekIndex],4)=0,"",SUMIFS(T_TTAFStock_Log[TTAF_Qty],T_TTAFStock_Log[Part Name],$A6,T_TTAFStock_Log[WeekIndex],4))</f>
        <v/>
      </c>
      <c r="F6" s="17">
        <f>IF(COUNTIFS(T_TTAFStock_Log[Part Name],$A6,T_TTAFStock_Log[WeekIndex],5)=0,"",SUMIFS(T_TTAFStock_Log[TTAF_Qty],T_TTAFStock_Log[Part Name],$A6,T_TTAFStock_Log[WeekIndex],5))</f>
        <v/>
      </c>
      <c r="G6" s="17">
        <f>IF(COUNTIFS(T_TTAFStock_Log[Part Name],$A6,T_TTAFStock_Log[WeekIndex],6)=0,"",SUMIFS(T_TTAFStock_Log[TTAF_Qty],T_TTAFStock_Log[Part Name],$A6,T_TTAFStock_Log[WeekIndex],6))</f>
        <v/>
      </c>
      <c r="H6" s="17">
        <f>IF(COUNTIFS(T_TTAFStock_Log[Part Name],$A6,T_TTAFStock_Log[WeekIndex],7)=0,"",SUMIFS(T_TTAFStock_Log[TTAF_Qty],T_TTAFStock_Log[Part Name],$A6,T_TTAFStock_Log[WeekIndex],7))</f>
        <v/>
      </c>
      <c r="I6" s="17">
        <f>IF(COUNTIFS(T_TTAFStock_Log[Part Name],$A6,T_TTAFStock_Log[WeekIndex],8)=0,"",SUMIFS(T_TTAFStock_Log[TTAF_Qty],T_TTAFStock_Log[Part Name],$A6,T_TTAFStock_Log[WeekIndex],8))</f>
        <v/>
      </c>
      <c r="J6" s="17">
        <f>IF(COUNTIFS(T_TTAFStock_Log[Part Name],$A6,T_TTAFStock_Log[WeekIndex],9)=0,"",SUMIFS(T_TTAFStock_Log[TTAF_Qty],T_TTAFStock_Log[Part Name],$A6,T_TTAFStock_Log[WeekIndex],9))</f>
        <v/>
      </c>
      <c r="K6" s="17">
        <f>IF(COUNTIFS(T_TTAFStock_Log[Part Name],$A6,T_TTAFStock_Log[WeekIndex],10)=0,"",SUMIFS(T_TTAFStock_Log[TTAF_Qty],T_TTAFStock_Log[Part Name],$A6,T_TTAFStock_Log[WeekIndex],10))</f>
        <v/>
      </c>
      <c r="L6" s="17">
        <f>IF(COUNTIFS(T_TTAFStock_Log[Part Name],$A6,T_TTAFStock_Log[WeekIndex],11)=0,"",SUMIFS(T_TTAFStock_Log[TTAF_Qty],T_TTAFStock_Log[Part Name],$A6,T_TTAFStock_Log[WeekIndex],11))</f>
        <v/>
      </c>
      <c r="M6" s="17">
        <f>IF(COUNTIFS(T_TTAFStock_Log[Part Name],$A6,T_TTAFStock_Log[WeekIndex],12)=0,"",SUMIFS(T_TTAFStock_Log[TTAF_Qty],T_TTAFStock_Log[Part Name],$A6,T_TTAFStock_Log[WeekIndex],12))</f>
        <v/>
      </c>
      <c r="N6" s="17">
        <f>IF(COUNTIFS(T_TTAFStock_Log[Part Name],$A6,T_TTAFStock_Log[WeekIndex],13)=0,"",SUMIFS(T_TTAFStock_Log[TTAF_Qty],T_TTAFStock_Log[Part Name],$A6,T_TTAFStock_Log[WeekIndex],13))</f>
        <v/>
      </c>
      <c r="O6" s="17">
        <f>IF(COUNTIFS(T_TTAFStock_Log[Part Name],$A6,T_TTAFStock_Log[WeekIndex],14)=0,"",SUMIFS(T_TTAFStock_Log[TTAF_Qty],T_TTAFStock_Log[Part Name],$A6,T_TTAFStock_Log[WeekIndex],14))</f>
        <v/>
      </c>
      <c r="P6" s="17">
        <f>IF(COUNTIFS(T_TTAFStock_Log[Part Name],$A6,T_TTAFStock_Log[WeekIndex],15)=0,"",SUMIFS(T_TTAFStock_Log[TTAF_Qty],T_TTAFStock_Log[Part Name],$A6,T_TTAFStock_Log[WeekIndex],15))</f>
        <v/>
      </c>
      <c r="Q6" s="17">
        <f>IF(COUNTIFS(T_TTAFStock_Log[Part Name],$A6,T_TTAFStock_Log[WeekIndex],16)=0,"",SUMIFS(T_TTAFStock_Log[TTAF_Qty],T_TTAFStock_Log[Part Name],$A6,T_TTAFStock_Log[WeekIndex],16))</f>
        <v/>
      </c>
      <c r="R6" s="17">
        <f>IF(COUNTIFS(T_TTAFStock_Log[Part Name],$A6,T_TTAFStock_Log[WeekIndex],17)=0,"",SUMIFS(T_TTAFStock_Log[TTAF_Qty],T_TTAFStock_Log[Part Name],$A6,T_TTAFStock_Log[WeekIndex],17))</f>
        <v/>
      </c>
      <c r="S6" s="17">
        <f>IF(COUNTIFS(T_TTAFStock_Log[Part Name],$A6,T_TTAFStock_Log[WeekIndex],18)=0,"",SUMIFS(T_TTAFStock_Log[TTAF_Qty],T_TTAFStock_Log[Part Name],$A6,T_TTAFStock_Log[WeekIndex],18))</f>
        <v/>
      </c>
      <c r="T6" s="17">
        <f>IF(COUNTIFS(T_TTAFStock_Log[Part Name],$A6,T_TTAFStock_Log[WeekIndex],19)=0,"",SUMIFS(T_TTAFStock_Log[TTAF_Qty],T_TTAFStock_Log[Part Name],$A6,T_TTAFStock_Log[WeekIndex],19))</f>
        <v/>
      </c>
      <c r="U6" s="17">
        <f>IF(COUNTIFS(T_TTAFStock_Log[Part Name],$A6,T_TTAFStock_Log[WeekIndex],20)=0,"",SUMIFS(T_TTAFStock_Log[TTAF_Qty],T_TTAFStock_Log[Part Name],$A6,T_TTAFStock_Log[WeekIndex],20))</f>
        <v/>
      </c>
      <c r="V6" s="17">
        <f>IF(COUNTIFS(T_TTAFStock_Log[Part Name],$A6,T_TTAFStock_Log[WeekIndex],21)=0,"",SUMIFS(T_TTAFStock_Log[TTAF_Qty],T_TTAFStock_Log[Part Name],$A6,T_TTAFStock_Log[WeekIndex],21))</f>
        <v/>
      </c>
      <c r="W6" s="17">
        <f>IF(COUNTIFS(T_TTAFStock_Log[Part Name],$A6,T_TTAFStock_Log[WeekIndex],22)=0,"",SUMIFS(T_TTAFStock_Log[TTAF_Qty],T_TTAFStock_Log[Part Name],$A6,T_TTAFStock_Log[WeekIndex],22))</f>
        <v/>
      </c>
      <c r="X6" s="17">
        <f>IF(COUNTIFS(T_TTAFStock_Log[Part Name],$A6,T_TTAFStock_Log[WeekIndex],23)=0,"",SUMIFS(T_TTAFStock_Log[TTAF_Qty],T_TTAFStock_Log[Part Name],$A6,T_TTAFStock_Log[WeekIndex],23))</f>
        <v/>
      </c>
      <c r="Y6" s="17">
        <f>IF(COUNTIFS(T_TTAFStock_Log[Part Name],$A6,T_TTAFStock_Log[WeekIndex],24)=0,"",SUMIFS(T_TTAFStock_Log[TTAF_Qty],T_TTAFStock_Log[Part Name],$A6,T_TTAFStock_Log[WeekIndex],24))</f>
        <v/>
      </c>
      <c r="Z6" s="17">
        <f>IF(COUNTIFS(T_TTAFStock_Log[Part Name],$A6,T_TTAFStock_Log[WeekIndex],25)=0,"",SUMIFS(T_TTAFStock_Log[TTAF_Qty],T_TTAFStock_Log[Part Name],$A6,T_TTAFStock_Log[WeekIndex],25))</f>
        <v/>
      </c>
      <c r="AA6" s="17">
        <f>IF(COUNTIFS(T_TTAFStock_Log[Part Name],$A6,T_TTAFStock_Log[WeekIndex],26)=0,"",SUMIFS(T_TTAFStock_Log[TTAF_Qty],T_TTAFStock_Log[Part Name],$A6,T_TTAFStock_Log[WeekIndex],26))</f>
        <v/>
      </c>
      <c r="AB6" s="17">
        <f>IF(COUNTIFS(T_TTAFStock_Log[Part Name],$A6,T_TTAFStock_Log[WeekIndex],27)=0,"",SUMIFS(T_TTAFStock_Log[TTAF_Qty],T_TTAFStock_Log[Part Name],$A6,T_TTAFStock_Log[WeekIndex],27))</f>
        <v/>
      </c>
      <c r="AC6" s="17">
        <f>IF(COUNTIFS(T_TTAFStock_Log[Part Name],$A6,T_TTAFStock_Log[WeekIndex],28)=0,"",SUMIFS(T_TTAFStock_Log[TTAF_Qty],T_TTAFStock_Log[Part Name],$A6,T_TTAFStock_Log[WeekIndex],28))</f>
        <v/>
      </c>
      <c r="AD6" s="17">
        <f>IF(COUNTIFS(T_TTAFStock_Log[Part Name],$A6,T_TTAFStock_Log[WeekIndex],29)=0,"",SUMIFS(T_TTAFStock_Log[TTAF_Qty],T_TTAFStock_Log[Part Name],$A6,T_TTAFStock_Log[WeekIndex],29))</f>
        <v/>
      </c>
      <c r="AE6" s="17">
        <f>IF(COUNTIFS(T_TTAFStock_Log[Part Name],$A6,T_TTAFStock_Log[WeekIndex],30)=0,"",SUMIFS(T_TTAFStock_Log[TTAF_Qty],T_TTAFStock_Log[Part Name],$A6,T_TTAFStock_Log[WeekIndex],30))</f>
        <v/>
      </c>
      <c r="AF6" s="17">
        <f>IF(COUNTIFS(T_TTAFStock_Log[Part Name],$A6,T_TTAFStock_Log[WeekIndex],31)=0,"",SUMIFS(T_TTAFStock_Log[TTAF_Qty],T_TTAFStock_Log[Part Name],$A6,T_TTAFStock_Log[WeekIndex],31))</f>
        <v/>
      </c>
      <c r="AG6" s="17">
        <f>IF(COUNTIFS(T_TTAFStock_Log[Part Name],$A6,T_TTAFStock_Log[WeekIndex],32)=0,"",SUMIFS(T_TTAFStock_Log[TTAF_Qty],T_TTAFStock_Log[Part Name],$A6,T_TTAFStock_Log[WeekIndex],32))</f>
        <v/>
      </c>
      <c r="AH6" s="17">
        <f>IF(COUNTIFS(T_TTAFStock_Log[Part Name],$A6,T_TTAFStock_Log[WeekIndex],33)=0,"",SUMIFS(T_TTAFStock_Log[TTAF_Qty],T_TTAFStock_Log[Part Name],$A6,T_TTAFStock_Log[WeekIndex],33))</f>
        <v/>
      </c>
      <c r="AI6" s="17">
        <f>IF(COUNTIFS(T_TTAFStock_Log[Part Name],$A6,T_TTAFStock_Log[WeekIndex],34)=0,"",SUMIFS(T_TTAFStock_Log[TTAF_Qty],T_TTAFStock_Log[Part Name],$A6,T_TTAFStock_Log[WeekIndex],34))</f>
        <v/>
      </c>
      <c r="AJ6" s="17">
        <f>IF(COUNTIFS(T_TTAFStock_Log[Part Name],$A6,T_TTAFStock_Log[WeekIndex],35)=0,"",SUMIFS(T_TTAFStock_Log[TTAF_Qty],T_TTAFStock_Log[Part Name],$A6,T_TTAFStock_Log[WeekIndex],35))</f>
        <v/>
      </c>
      <c r="AK6" s="17">
        <f>IF(COUNTIFS(T_TTAFStock_Log[Part Name],$A6,T_TTAFStock_Log[WeekIndex],36)=0,"",SUMIFS(T_TTAFStock_Log[TTAF_Qty],T_TTAFStock_Log[Part Name],$A6,T_TTAFStock_Log[WeekIndex],36))</f>
        <v/>
      </c>
      <c r="AL6" s="17">
        <f>IF(COUNTIFS(T_TTAFStock_Log[Part Name],$A6,T_TTAFStock_Log[WeekIndex],37)=0,"",SUMIFS(T_TTAFStock_Log[TTAF_Qty],T_TTAFStock_Log[Part Name],$A6,T_TTAFStock_Log[WeekIndex],37))</f>
        <v/>
      </c>
      <c r="AM6" s="17">
        <f>IF(COUNTIFS(T_TTAFStock_Log[Part Name],$A6,T_TTAFStock_Log[WeekIndex],38)=0,"",SUMIFS(T_TTAFStock_Log[TTAF_Qty],T_TTAFStock_Log[Part Name],$A6,T_TTAFStock_Log[WeekIndex],38))</f>
        <v/>
      </c>
      <c r="AN6" s="17">
        <f>IF(COUNTIFS(T_TTAFStock_Log[Part Name],$A6,T_TTAFStock_Log[WeekIndex],39)=0,"",SUMIFS(T_TTAFStock_Log[TTAF_Qty],T_TTAFStock_Log[Part Name],$A6,T_TTAFStock_Log[WeekIndex],39))</f>
        <v/>
      </c>
      <c r="AO6" s="17">
        <f>IF(COUNTIFS(T_TTAFStock_Log[Part Name],$A6,T_TTAFStock_Log[WeekIndex],40)=0,"",SUMIFS(T_TTAFStock_Log[TTAF_Qty],T_TTAFStock_Log[Part Name],$A6,T_TTAFStock_Log[WeekIndex],40))</f>
        <v/>
      </c>
      <c r="AP6" s="17">
        <f>IF(COUNTIFS(T_TTAFStock_Log[Part Name],$A6,T_TTAFStock_Log[WeekIndex],41)=0,"",SUMIFS(T_TTAFStock_Log[TTAF_Qty],T_TTAFStock_Log[Part Name],$A6,T_TTAFStock_Log[WeekIndex],41))</f>
        <v/>
      </c>
      <c r="AQ6" s="17">
        <f>IF(COUNTIFS(T_TTAFStock_Log[Part Name],$A6,T_TTAFStock_Log[WeekIndex],42)=0,"",SUMIFS(T_TTAFStock_Log[TTAF_Qty],T_TTAFStock_Log[Part Name],$A6,T_TTAFStock_Log[WeekIndex],42))</f>
        <v/>
      </c>
      <c r="AR6" s="17">
        <f>IF(COUNTIFS(T_TTAFStock_Log[Part Name],$A6,T_TTAFStock_Log[WeekIndex],43)=0,"",SUMIFS(T_TTAFStock_Log[TTAF_Qty],T_TTAFStock_Log[Part Name],$A6,T_TTAFStock_Log[WeekIndex],43))</f>
        <v/>
      </c>
      <c r="AS6" s="17">
        <f>IF(COUNTIFS(T_TTAFStock_Log[Part Name],$A6,T_TTAFStock_Log[WeekIndex],44)=0,"",SUMIFS(T_TTAFStock_Log[TTAF_Qty],T_TTAFStock_Log[Part Name],$A6,T_TTAFStock_Log[WeekIndex],44))</f>
        <v/>
      </c>
      <c r="AT6" s="17">
        <f>IF(COUNTIFS(T_TTAFStock_Log[Part Name],$A6,T_TTAFStock_Log[WeekIndex],45)=0,"",SUMIFS(T_TTAFStock_Log[TTAF_Qty],T_TTAFStock_Log[Part Name],$A6,T_TTAFStock_Log[WeekIndex],45))</f>
        <v/>
      </c>
      <c r="AU6" s="17">
        <f>IF(COUNTIFS(T_TTAFStock_Log[Part Name],$A6,T_TTAFStock_Log[WeekIndex],46)=0,"",SUMIFS(T_TTAFStock_Log[TTAF_Qty],T_TTAFStock_Log[Part Name],$A6,T_TTAFStock_Log[WeekIndex],46))</f>
        <v/>
      </c>
      <c r="AV6" s="17">
        <f>IF(COUNTIFS(T_TTAFStock_Log[Part Name],$A6,T_TTAFStock_Log[WeekIndex],47)=0,"",SUMIFS(T_TTAFStock_Log[TTAF_Qty],T_TTAFStock_Log[Part Name],$A6,T_TTAFStock_Log[WeekIndex],47))</f>
        <v/>
      </c>
      <c r="AW6" s="17">
        <f>IF(COUNTIFS(T_TTAFStock_Log[Part Name],$A6,T_TTAFStock_Log[WeekIndex],48)=0,"",SUMIFS(T_TTAFStock_Log[TTAF_Qty],T_TTAFStock_Log[Part Name],$A6,T_TTAFStock_Log[WeekIndex],48))</f>
        <v/>
      </c>
      <c r="AX6" s="17">
        <f>IF(COUNTIFS(T_TTAFStock_Log[Part Name],$A6,T_TTAFStock_Log[WeekIndex],49)=0,"",SUMIFS(T_TTAFStock_Log[TTAF_Qty],T_TTAFStock_Log[Part Name],$A6,T_TTAFStock_Log[WeekIndex],49))</f>
        <v/>
      </c>
      <c r="AY6" s="17">
        <f>IF(COUNTIFS(T_TTAFStock_Log[Part Name],$A6,T_TTAFStock_Log[WeekIndex],50)=0,"",SUMIFS(T_TTAFStock_Log[TTAF_Qty],T_TTAFStock_Log[Part Name],$A6,T_TTAFStock_Log[WeekIndex],50))</f>
        <v/>
      </c>
      <c r="AZ6" s="17">
        <f>IF(COUNTIFS(T_TTAFStock_Log[Part Name],$A6,T_TTAFStock_Log[WeekIndex],51)=0,"",SUMIFS(T_TTAFStock_Log[TTAF_Qty],T_TTAFStock_Log[Part Name],$A6,T_TTAFStock_Log[WeekIndex],51))</f>
        <v/>
      </c>
      <c r="BA6" s="17">
        <f>IF(COUNTIFS(T_TTAFStock_Log[Part Name],$A6,T_TTAFStock_Log[WeekIndex],52)=0,"",SUMIFS(T_TTAFStock_Log[TTAF_Qty],T_TTAFStock_Log[Part Name],$A6,T_TTAFStock_Log[WeekIndex],52))</f>
        <v/>
      </c>
      <c r="BB6" s="17">
        <f>IF(COUNTIFS(T_TTAFStock_Log[Part Name],$A6,T_TTAFStock_Log[WeekIndex],53)=0,"",SUMIFS(T_TTAFStock_Log[TTAF_Qty],T_TTAFStock_Log[Part Name],$A6,T_TTAFStock_Log[WeekIndex],53))</f>
        <v/>
      </c>
      <c r="BC6" s="17">
        <f>IF(COUNTIFS(T_TTAFStock_Log[Part Name],$A6,T_TTAFStock_Log[WeekIndex],54)=0,"",SUMIFS(T_TTAFStock_Log[TTAF_Qty],T_TTAFStock_Log[Part Name],$A6,T_TTAFStock_Log[WeekIndex],54))</f>
        <v/>
      </c>
      <c r="BD6" s="17">
        <f>IF(COUNTIFS(T_TTAFStock_Log[Part Name],$A6,T_TTAFStock_Log[WeekIndex],55)=0,"",SUMIFS(T_TTAFStock_Log[TTAF_Qty],T_TTAFStock_Log[Part Name],$A6,T_TTAFStock_Log[WeekIndex],55))</f>
        <v/>
      </c>
      <c r="BE6" s="17">
        <f>IF(COUNTIFS(T_TTAFStock_Log[Part Name],$A6,T_TTAFStock_Log[WeekIndex],56)=0,"",SUMIFS(T_TTAFStock_Log[TTAF_Qty],T_TTAFStock_Log[Part Name],$A6,T_TTAFStock_Log[WeekIndex],56))</f>
        <v/>
      </c>
      <c r="BF6" s="17">
        <f>IF(COUNTIFS(T_TTAFStock_Log[Part Name],$A6,T_TTAFStock_Log[WeekIndex],57)=0,"",SUMIFS(T_TTAFStock_Log[TTAF_Qty],T_TTAFStock_Log[Part Name],$A6,T_TTAFStock_Log[WeekIndex],57))</f>
        <v/>
      </c>
      <c r="BG6" s="17">
        <f>IF(COUNTIFS(T_TTAFStock_Log[Part Name],$A6,T_TTAFStock_Log[WeekIndex],58)=0,"",SUMIFS(T_TTAFStock_Log[TTAF_Qty],T_TTAFStock_Log[Part Name],$A6,T_TTAFStock_Log[WeekIndex],58))</f>
        <v/>
      </c>
      <c r="BH6" s="17">
        <f>IF(COUNTIFS(T_TTAFStock_Log[Part Name],$A6,T_TTAFStock_Log[WeekIndex],59)=0,"",SUMIFS(T_TTAFStock_Log[TTAF_Qty],T_TTAFStock_Log[Part Name],$A6,T_TTAFStock_Log[WeekIndex],59))</f>
        <v/>
      </c>
      <c r="BI6" s="17">
        <f>IF(COUNTIFS(T_TTAFStock_Log[Part Name],$A6,T_TTAFStock_Log[WeekIndex],60)=0,"",SUMIFS(T_TTAFStock_Log[TTAF_Qty],T_TTAFStock_Log[Part Name],$A6,T_TTAFStock_Log[WeekIndex],60))</f>
        <v/>
      </c>
      <c r="BJ6" s="17">
        <f>IF(COUNTIFS(T_TTAFStock_Log[Part Name],$A6,T_TTAFStock_Log[WeekIndex],61)=0,"",SUMIFS(T_TTAFStock_Log[TTAF_Qty],T_TTAFStock_Log[Part Name],$A6,T_TTAFStock_Log[WeekIndex],61))</f>
        <v/>
      </c>
      <c r="BK6" s="17">
        <f>IF(COUNTIFS(T_TTAFStock_Log[Part Name],$A6,T_TTAFStock_Log[WeekIndex],62)=0,"",SUMIFS(T_TTAFStock_Log[TTAF_Qty],T_TTAFStock_Log[Part Name],$A6,T_TTAFStock_Log[WeekIndex],62))</f>
        <v/>
      </c>
      <c r="BL6" s="17">
        <f>IF(COUNTIFS(T_TTAFStock_Log[Part Name],$A6,T_TTAFStock_Log[WeekIndex],63)=0,"",SUMIFS(T_TTAFStock_Log[TTAF_Qty],T_TTAFStock_Log[Part Name],$A6,T_TTAFStock_Log[WeekIndex],63))</f>
        <v/>
      </c>
      <c r="BM6" s="17">
        <f>IF(COUNTIFS(T_TTAFStock_Log[Part Name],$A6,T_TTAFStock_Log[WeekIndex],64)=0,"",SUMIFS(T_TTAFStock_Log[TTAF_Qty],T_TTAFStock_Log[Part Name],$A6,T_TTAFStock_Log[WeekIndex],64))</f>
        <v/>
      </c>
      <c r="BN6" s="17">
        <f>IF(COUNTIFS(T_TTAFStock_Log[Part Name],$A6,T_TTAFStock_Log[WeekIndex],65)=0,"",SUMIFS(T_TTAFStock_Log[TTAF_Qty],T_TTAFStock_Log[Part Name],$A6,T_TTAFStock_Log[WeekIndex],65))</f>
        <v/>
      </c>
      <c r="BO6" s="17">
        <f>IF(COUNTIFS(T_TTAFStock_Log[Part Name],$A6,T_TTAFStock_Log[WeekIndex],66)=0,"",SUMIFS(T_TTAFStock_Log[TTAF_Qty],T_TTAFStock_Log[Part Name],$A6,T_TTAFStock_Log[WeekIndex],66))</f>
        <v/>
      </c>
      <c r="BP6" s="17">
        <f>IF(COUNTIFS(T_TTAFStock_Log[Part Name],$A6,T_TTAFStock_Log[WeekIndex],67)=0,"",SUMIFS(T_TTAFStock_Log[TTAF_Qty],T_TTAFStock_Log[Part Name],$A6,T_TTAFStock_Log[WeekIndex],67))</f>
        <v/>
      </c>
      <c r="BQ6" s="17">
        <f>IF(COUNTIFS(T_TTAFStock_Log[Part Name],$A6,T_TTAFStock_Log[WeekIndex],68)=0,"",SUMIFS(T_TTAFStock_Log[TTAF_Qty],T_TTAFStock_Log[Part Name],$A6,T_TTAFStock_Log[WeekIndex],68))</f>
        <v/>
      </c>
      <c r="BR6" s="17">
        <f>IF(COUNTIFS(T_TTAFStock_Log[Part Name],$A6,T_TTAFStock_Log[WeekIndex],69)=0,"",SUMIFS(T_TTAFStock_Log[TTAF_Qty],T_TTAFStock_Log[Part Name],$A6,T_TTAFStock_Log[WeekIndex],69))</f>
        <v/>
      </c>
      <c r="BS6" s="17">
        <f>IF(COUNTIFS(T_TTAFStock_Log[Part Name],$A6,T_TTAFStock_Log[WeekIndex],70)=0,"",SUMIFS(T_TTAFStock_Log[TTAF_Qty],T_TTAFStock_Log[Part Name],$A6,T_TTAFStock_Log[WeekIndex],70))</f>
        <v/>
      </c>
      <c r="BT6" s="17">
        <f>IF(COUNTIFS(T_TTAFStock_Log[Part Name],$A6,T_TTAFStock_Log[WeekIndex],71)=0,"",SUMIFS(T_TTAFStock_Log[TTAF_Qty],T_TTAFStock_Log[Part Name],$A6,T_TTAFStock_Log[WeekIndex],71))</f>
        <v/>
      </c>
      <c r="BU6" s="17">
        <f>IF(COUNTIFS(T_TTAFStock_Log[Part Name],$A6,T_TTAFStock_Log[WeekIndex],72)=0,"",SUMIFS(T_TTAFStock_Log[TTAF_Qty],T_TTAFStock_Log[Part Name],$A6,T_TTAFStock_Log[WeekIndex],72))</f>
        <v/>
      </c>
      <c r="BV6" s="17">
        <f>IF(COUNTIFS(T_TTAFStock_Log[Part Name],$A6,T_TTAFStock_Log[WeekIndex],73)=0,"",SUMIFS(T_TTAFStock_Log[TTAF_Qty],T_TTAFStock_Log[Part Name],$A6,T_TTAFStock_Log[WeekIndex],73))</f>
        <v/>
      </c>
      <c r="BW6" s="17">
        <f>IF(COUNTIFS(T_TTAFStock_Log[Part Name],$A6,T_TTAFStock_Log[WeekIndex],74)=0,"",SUMIFS(T_TTAFStock_Log[TTAF_Qty],T_TTAFStock_Log[Part Name],$A6,T_TTAFStock_Log[WeekIndex],74))</f>
        <v/>
      </c>
      <c r="BX6" s="17">
        <f>IF(COUNTIFS(T_TTAFStock_Log[Part Name],$A6,T_TTAFStock_Log[WeekIndex],75)=0,"",SUMIFS(T_TTAFStock_Log[TTAF_Qty],T_TTAFStock_Log[Part Name],$A6,T_TTAFStock_Log[WeekIndex],75))</f>
        <v/>
      </c>
      <c r="BY6" s="17">
        <f>IF(COUNTIFS(T_TTAFStock_Log[Part Name],$A6,T_TTAFStock_Log[WeekIndex],76)=0,"",SUMIFS(T_TTAFStock_Log[TTAF_Qty],T_TTAFStock_Log[Part Name],$A6,T_TTAFStock_Log[WeekIndex],76))</f>
        <v/>
      </c>
      <c r="BZ6" s="17">
        <f>IF(COUNTIFS(T_TTAFStock_Log[Part Name],$A6,T_TTAFStock_Log[WeekIndex],77)=0,"",SUMIFS(T_TTAFStock_Log[TTAF_Qty],T_TTAFStock_Log[Part Name],$A6,T_TTAFStock_Log[WeekIndex],77))</f>
        <v/>
      </c>
      <c r="CA6" s="17">
        <f>IF(COUNTIFS(T_TTAFStock_Log[Part Name],$A6,T_TTAFStock_Log[WeekIndex],78)=0,"",SUMIFS(T_TTAFStock_Log[TTAF_Qty],T_TTAFStock_Log[Part Name],$A6,T_TTAFStock_Log[WeekIndex],78))</f>
        <v/>
      </c>
      <c r="CB6" s="17">
        <f>IF(COUNTIFS(T_TTAFStock_Log[Part Name],$A6,T_TTAFStock_Log[WeekIndex],79)=0,"",SUMIFS(T_TTAFStock_Log[TTAF_Qty],T_TTAFStock_Log[Part Name],$A6,T_TTAFStock_Log[WeekIndex],79))</f>
        <v/>
      </c>
      <c r="CC6" s="17">
        <f>IF(COUNTIFS(T_TTAFStock_Log[Part Name],$A6,T_TTAFStock_Log[WeekIndex],80)=0,"",SUMIFS(T_TTAFStock_Log[TTAF_Qty],T_TTAFStock_Log[Part Name],$A6,T_TTAFStock_Log[WeekIndex],80))</f>
        <v/>
      </c>
      <c r="CD6" s="17">
        <f>IF(COUNTIFS(T_TTAFStock_Log[Part Name],$A6,T_TTAFStock_Log[WeekIndex],81)=0,"",SUMIFS(T_TTAFStock_Log[TTAF_Qty],T_TTAFStock_Log[Part Name],$A6,T_TTAFStock_Log[WeekIndex],81))</f>
        <v/>
      </c>
      <c r="CE6" s="17">
        <f>IF(COUNTIFS(T_TTAFStock_Log[Part Name],$A6,T_TTAFStock_Log[WeekIndex],82)=0,"",SUMIFS(T_TTAFStock_Log[TTAF_Qty],T_TTAFStock_Log[Part Name],$A6,T_TTAFStock_Log[WeekIndex],82))</f>
        <v/>
      </c>
      <c r="CF6" s="17">
        <f>IF(COUNTIFS(T_TTAFStock_Log[Part Name],$A6,T_TTAFStock_Log[WeekIndex],83)=0,"",SUMIFS(T_TTAFStock_Log[TTAF_Qty],T_TTAFStock_Log[Part Name],$A6,T_TTAFStock_Log[WeekIndex],83))</f>
        <v/>
      </c>
      <c r="CG6" s="17">
        <f>IF(COUNTIFS(T_TTAFStock_Log[Part Name],$A6,T_TTAFStock_Log[WeekIndex],84)=0,"",SUMIFS(T_TTAFStock_Log[TTAF_Qty],T_TTAFStock_Log[Part Name],$A6,T_TTAFStock_Log[WeekIndex],84))</f>
        <v/>
      </c>
      <c r="CH6" s="17">
        <f>IF(COUNTIFS(T_TTAFStock_Log[Part Name],$A6,T_TTAFStock_Log[WeekIndex],85)=0,"",SUMIFS(T_TTAFStock_Log[TTAF_Qty],T_TTAFStock_Log[Part Name],$A6,T_TTAFStock_Log[WeekIndex],85))</f>
        <v/>
      </c>
      <c r="CI6" s="17">
        <f>IF(COUNTIFS(T_TTAFStock_Log[Part Name],$A6,T_TTAFStock_Log[WeekIndex],86)=0,"",SUMIFS(T_TTAFStock_Log[TTAF_Qty],T_TTAFStock_Log[Part Name],$A6,T_TTAFStock_Log[WeekIndex],86))</f>
        <v/>
      </c>
      <c r="CJ6" s="17">
        <f>IF(COUNTIFS(T_TTAFStock_Log[Part Name],$A6,T_TTAFStock_Log[WeekIndex],87)=0,"",SUMIFS(T_TTAFStock_Log[TTAF_Qty],T_TTAFStock_Log[Part Name],$A6,T_TTAFStock_Log[WeekIndex],87))</f>
        <v/>
      </c>
      <c r="CK6" s="17">
        <f>IF(COUNTIFS(T_TTAFStock_Log[Part Name],$A6,T_TTAFStock_Log[WeekIndex],88)=0,"",SUMIFS(T_TTAFStock_Log[TTAF_Qty],T_TTAFStock_Log[Part Name],$A6,T_TTAFStock_Log[WeekIndex],88))</f>
        <v/>
      </c>
      <c r="CL6" s="17">
        <f>IF(COUNTIFS(T_TTAFStock_Log[Part Name],$A6,T_TTAFStock_Log[WeekIndex],89)=0,"",SUMIFS(T_TTAFStock_Log[TTAF_Qty],T_TTAFStock_Log[Part Name],$A6,T_TTAFStock_Log[WeekIndex],89))</f>
        <v/>
      </c>
      <c r="CM6" s="17">
        <f>IF(COUNTIFS(T_TTAFStock_Log[Part Name],$A6,T_TTAFStock_Log[WeekIndex],90)=0,"",SUMIFS(T_TTAFStock_Log[TTAF_Qty],T_TTAFStock_Log[Part Name],$A6,T_TTAFStock_Log[WeekIndex],90))</f>
        <v/>
      </c>
      <c r="CN6" s="17">
        <f>IF(COUNTIFS(T_TTAFStock_Log[Part Name],$A6,T_TTAFStock_Log[WeekIndex],91)=0,"",SUMIFS(T_TTAFStock_Log[TTAF_Qty],T_TTAFStock_Log[Part Name],$A6,T_TTAFStock_Log[WeekIndex],91))</f>
        <v/>
      </c>
      <c r="CO6" s="17">
        <f>IF(COUNTIFS(T_TTAFStock_Log[Part Name],$A6,T_TTAFStock_Log[WeekIndex],92)=0,"",SUMIFS(T_TTAFStock_Log[TTAF_Qty],T_TTAFStock_Log[Part Name],$A6,T_TTAFStock_Log[WeekIndex],92))</f>
        <v/>
      </c>
      <c r="CP6" s="17">
        <f>IF(COUNTIFS(T_TTAFStock_Log[Part Name],$A6,T_TTAFStock_Log[WeekIndex],93)=0,"",SUMIFS(T_TTAFStock_Log[TTAF_Qty],T_TTAFStock_Log[Part Name],$A6,T_TTAFStock_Log[WeekIndex],93))</f>
        <v/>
      </c>
      <c r="CQ6" s="17">
        <f>IF(COUNTIFS(T_TTAFStock_Log[Part Name],$A6,T_TTAFStock_Log[WeekIndex],94)=0,"",SUMIFS(T_TTAFStock_Log[TTAF_Qty],T_TTAFStock_Log[Part Name],$A6,T_TTAFStock_Log[WeekIndex],94))</f>
        <v/>
      </c>
      <c r="CR6" s="17">
        <f>IF(COUNTIFS(T_TTAFStock_Log[Part Name],$A6,T_TTAFStock_Log[WeekIndex],95)=0,"",SUMIFS(T_TTAFStock_Log[TTAF_Qty],T_TTAFStock_Log[Part Name],$A6,T_TTAFStock_Log[WeekIndex],95))</f>
        <v/>
      </c>
      <c r="CS6" s="17">
        <f>IF(COUNTIFS(T_TTAFStock_Log[Part Name],$A6,T_TTAFStock_Log[WeekIndex],96)=0,"",SUMIFS(T_TTAFStock_Log[TTAF_Qty],T_TTAFStock_Log[Part Name],$A6,T_TTAFStock_Log[WeekIndex],96))</f>
        <v/>
      </c>
      <c r="CT6" s="17">
        <f>IF(COUNTIFS(T_TTAFStock_Log[Part Name],$A6,T_TTAFStock_Log[WeekIndex],97)=0,"",SUMIFS(T_TTAFStock_Log[TTAF_Qty],T_TTAFStock_Log[Part Name],$A6,T_TTAFStock_Log[WeekIndex],97))</f>
        <v/>
      </c>
      <c r="CU6" s="17">
        <f>IF(COUNTIFS(T_TTAFStock_Log[Part Name],$A6,T_TTAFStock_Log[WeekIndex],98)=0,"",SUMIFS(T_TTAFStock_Log[TTAF_Qty],T_TTAFStock_Log[Part Name],$A6,T_TTAFStock_Log[WeekIndex],98))</f>
        <v/>
      </c>
      <c r="CV6" s="17">
        <f>IF(COUNTIFS(T_TTAFStock_Log[Part Name],$A6,T_TTAFStock_Log[WeekIndex],99)=0,"",SUMIFS(T_TTAFStock_Log[TTAF_Qty],T_TTAFStock_Log[Part Name],$A6,T_TTAFStock_Log[WeekIndex],99))</f>
        <v/>
      </c>
      <c r="CW6" s="17">
        <f>IF(COUNTIFS(T_TTAFStock_Log[Part Name],$A6,T_TTAFStock_Log[WeekIndex],100)=0,"",SUMIFS(T_TTAFStock_Log[TTAF_Qty],T_TTAFStock_Log[Part Name],$A6,T_TTAFStock_Log[WeekIndex],100))</f>
        <v/>
      </c>
      <c r="CX6" s="17">
        <f>IF(COUNTIFS(T_TTAFStock_Log[Part Name],$A6,T_TTAFStock_Log[WeekIndex],101)=0,"",SUMIFS(T_TTAFStock_Log[TTAF_Qty],T_TTAFStock_Log[Part Name],$A6,T_TTAFStock_Log[WeekIndex],101))</f>
        <v/>
      </c>
      <c r="CY6" s="17">
        <f>IF(COUNTIFS(T_TTAFStock_Log[Part Name],$A6,T_TTAFStock_Log[WeekIndex],102)=0,"",SUMIFS(T_TTAFStock_Log[TTAF_Qty],T_TTAFStock_Log[Part Name],$A6,T_TTAFStock_Log[WeekIndex],102))</f>
        <v/>
      </c>
      <c r="CZ6" s="17">
        <f>IF(COUNTIFS(T_TTAFStock_Log[Part Name],$A6,T_TTAFStock_Log[WeekIndex],103)=0,"",SUMIFS(T_TTAFStock_Log[TTAF_Qty],T_TTAFStock_Log[Part Name],$A6,T_TTAFStock_Log[WeekIndex],103))</f>
        <v/>
      </c>
      <c r="DA6" s="17">
        <f>IF(COUNTIFS(T_TTAFStock_Log[Part Name],$A6,T_TTAFStock_Log[WeekIndex],104)=0,"",SUMIFS(T_TTAFStock_Log[TTAF_Qty],T_TTAFStock_Log[Part Name],$A6,T_TTAFStock_Log[WeekIndex],104))</f>
        <v/>
      </c>
    </row>
    <row r="7">
      <c r="A7" s="19" t="inlineStr">
        <is>
          <t>1EK</t>
        </is>
      </c>
      <c r="B7" s="19">
        <f>IF(COUNTIFS(T_TTAFStock_Log[Part Name],$A7,T_TTAFStock_Log[WeekIndex],1)=0,"",SUMIFS(T_TTAFStock_Log[TTAF_Qty],T_TTAFStock_Log[Part Name],$A7,T_TTAFStock_Log[WeekIndex],1))</f>
        <v/>
      </c>
      <c r="C7" s="19">
        <f>IF(COUNTIFS(T_TTAFStock_Log[Part Name],$A7,T_TTAFStock_Log[WeekIndex],2)=0,"",SUMIFS(T_TTAFStock_Log[TTAF_Qty],T_TTAFStock_Log[Part Name],$A7,T_TTAFStock_Log[WeekIndex],2))</f>
        <v/>
      </c>
      <c r="D7" s="19">
        <f>IF(COUNTIFS(T_TTAFStock_Log[Part Name],$A7,T_TTAFStock_Log[WeekIndex],3)=0,"",SUMIFS(T_TTAFStock_Log[TTAF_Qty],T_TTAFStock_Log[Part Name],$A7,T_TTAFStock_Log[WeekIndex],3))</f>
        <v/>
      </c>
      <c r="E7" s="19">
        <f>IF(COUNTIFS(T_TTAFStock_Log[Part Name],$A7,T_TTAFStock_Log[WeekIndex],4)=0,"",SUMIFS(T_TTAFStock_Log[TTAF_Qty],T_TTAFStock_Log[Part Name],$A7,T_TTAFStock_Log[WeekIndex],4))</f>
        <v/>
      </c>
      <c r="F7" s="19">
        <f>IF(COUNTIFS(T_TTAFStock_Log[Part Name],$A7,T_TTAFStock_Log[WeekIndex],5)=0,"",SUMIFS(T_TTAFStock_Log[TTAF_Qty],T_TTAFStock_Log[Part Name],$A7,T_TTAFStock_Log[WeekIndex],5))</f>
        <v/>
      </c>
      <c r="G7" s="19">
        <f>IF(COUNTIFS(T_TTAFStock_Log[Part Name],$A7,T_TTAFStock_Log[WeekIndex],6)=0,"",SUMIFS(T_TTAFStock_Log[TTAF_Qty],T_TTAFStock_Log[Part Name],$A7,T_TTAFStock_Log[WeekIndex],6))</f>
        <v/>
      </c>
      <c r="H7" s="19">
        <f>IF(COUNTIFS(T_TTAFStock_Log[Part Name],$A7,T_TTAFStock_Log[WeekIndex],7)=0,"",SUMIFS(T_TTAFStock_Log[TTAF_Qty],T_TTAFStock_Log[Part Name],$A7,T_TTAFStock_Log[WeekIndex],7))</f>
        <v/>
      </c>
      <c r="I7" s="19">
        <f>IF(COUNTIFS(T_TTAFStock_Log[Part Name],$A7,T_TTAFStock_Log[WeekIndex],8)=0,"",SUMIFS(T_TTAFStock_Log[TTAF_Qty],T_TTAFStock_Log[Part Name],$A7,T_TTAFStock_Log[WeekIndex],8))</f>
        <v/>
      </c>
      <c r="J7" s="19">
        <f>IF(COUNTIFS(T_TTAFStock_Log[Part Name],$A7,T_TTAFStock_Log[WeekIndex],9)=0,"",SUMIFS(T_TTAFStock_Log[TTAF_Qty],T_TTAFStock_Log[Part Name],$A7,T_TTAFStock_Log[WeekIndex],9))</f>
        <v/>
      </c>
      <c r="K7" s="19">
        <f>IF(COUNTIFS(T_TTAFStock_Log[Part Name],$A7,T_TTAFStock_Log[WeekIndex],10)=0,"",SUMIFS(T_TTAFStock_Log[TTAF_Qty],T_TTAFStock_Log[Part Name],$A7,T_TTAFStock_Log[WeekIndex],10))</f>
        <v/>
      </c>
      <c r="L7" s="19">
        <f>IF(COUNTIFS(T_TTAFStock_Log[Part Name],$A7,T_TTAFStock_Log[WeekIndex],11)=0,"",SUMIFS(T_TTAFStock_Log[TTAF_Qty],T_TTAFStock_Log[Part Name],$A7,T_TTAFStock_Log[WeekIndex],11))</f>
        <v/>
      </c>
      <c r="M7" s="19">
        <f>IF(COUNTIFS(T_TTAFStock_Log[Part Name],$A7,T_TTAFStock_Log[WeekIndex],12)=0,"",SUMIFS(T_TTAFStock_Log[TTAF_Qty],T_TTAFStock_Log[Part Name],$A7,T_TTAFStock_Log[WeekIndex],12))</f>
        <v/>
      </c>
      <c r="N7" s="19">
        <f>IF(COUNTIFS(T_TTAFStock_Log[Part Name],$A7,T_TTAFStock_Log[WeekIndex],13)=0,"",SUMIFS(T_TTAFStock_Log[TTAF_Qty],T_TTAFStock_Log[Part Name],$A7,T_TTAFStock_Log[WeekIndex],13))</f>
        <v/>
      </c>
      <c r="O7" s="19">
        <f>IF(COUNTIFS(T_TTAFStock_Log[Part Name],$A7,T_TTAFStock_Log[WeekIndex],14)=0,"",SUMIFS(T_TTAFStock_Log[TTAF_Qty],T_TTAFStock_Log[Part Name],$A7,T_TTAFStock_Log[WeekIndex],14))</f>
        <v/>
      </c>
      <c r="P7" s="19">
        <f>IF(COUNTIFS(T_TTAFStock_Log[Part Name],$A7,T_TTAFStock_Log[WeekIndex],15)=0,"",SUMIFS(T_TTAFStock_Log[TTAF_Qty],T_TTAFStock_Log[Part Name],$A7,T_TTAFStock_Log[WeekIndex],15))</f>
        <v/>
      </c>
      <c r="Q7" s="19">
        <f>IF(COUNTIFS(T_TTAFStock_Log[Part Name],$A7,T_TTAFStock_Log[WeekIndex],16)=0,"",SUMIFS(T_TTAFStock_Log[TTAF_Qty],T_TTAFStock_Log[Part Name],$A7,T_TTAFStock_Log[WeekIndex],16))</f>
        <v/>
      </c>
      <c r="R7" s="19">
        <f>IF(COUNTIFS(T_TTAFStock_Log[Part Name],$A7,T_TTAFStock_Log[WeekIndex],17)=0,"",SUMIFS(T_TTAFStock_Log[TTAF_Qty],T_TTAFStock_Log[Part Name],$A7,T_TTAFStock_Log[WeekIndex],17))</f>
        <v/>
      </c>
      <c r="S7" s="19">
        <f>IF(COUNTIFS(T_TTAFStock_Log[Part Name],$A7,T_TTAFStock_Log[WeekIndex],18)=0,"",SUMIFS(T_TTAFStock_Log[TTAF_Qty],T_TTAFStock_Log[Part Name],$A7,T_TTAFStock_Log[WeekIndex],18))</f>
        <v/>
      </c>
      <c r="T7" s="19">
        <f>IF(COUNTIFS(T_TTAFStock_Log[Part Name],$A7,T_TTAFStock_Log[WeekIndex],19)=0,"",SUMIFS(T_TTAFStock_Log[TTAF_Qty],T_TTAFStock_Log[Part Name],$A7,T_TTAFStock_Log[WeekIndex],19))</f>
        <v/>
      </c>
      <c r="U7" s="19">
        <f>IF(COUNTIFS(T_TTAFStock_Log[Part Name],$A7,T_TTAFStock_Log[WeekIndex],20)=0,"",SUMIFS(T_TTAFStock_Log[TTAF_Qty],T_TTAFStock_Log[Part Name],$A7,T_TTAFStock_Log[WeekIndex],20))</f>
        <v/>
      </c>
      <c r="V7" s="19">
        <f>IF(COUNTIFS(T_TTAFStock_Log[Part Name],$A7,T_TTAFStock_Log[WeekIndex],21)=0,"",SUMIFS(T_TTAFStock_Log[TTAF_Qty],T_TTAFStock_Log[Part Name],$A7,T_TTAFStock_Log[WeekIndex],21))</f>
        <v/>
      </c>
      <c r="W7" s="19">
        <f>IF(COUNTIFS(T_TTAFStock_Log[Part Name],$A7,T_TTAFStock_Log[WeekIndex],22)=0,"",SUMIFS(T_TTAFStock_Log[TTAF_Qty],T_TTAFStock_Log[Part Name],$A7,T_TTAFStock_Log[WeekIndex],22))</f>
        <v/>
      </c>
      <c r="X7" s="19">
        <f>IF(COUNTIFS(T_TTAFStock_Log[Part Name],$A7,T_TTAFStock_Log[WeekIndex],23)=0,"",SUMIFS(T_TTAFStock_Log[TTAF_Qty],T_TTAFStock_Log[Part Name],$A7,T_TTAFStock_Log[WeekIndex],23))</f>
        <v/>
      </c>
      <c r="Y7" s="19">
        <f>IF(COUNTIFS(T_TTAFStock_Log[Part Name],$A7,T_TTAFStock_Log[WeekIndex],24)=0,"",SUMIFS(T_TTAFStock_Log[TTAF_Qty],T_TTAFStock_Log[Part Name],$A7,T_TTAFStock_Log[WeekIndex],24))</f>
        <v/>
      </c>
      <c r="Z7" s="19">
        <f>IF(COUNTIFS(T_TTAFStock_Log[Part Name],$A7,T_TTAFStock_Log[WeekIndex],25)=0,"",SUMIFS(T_TTAFStock_Log[TTAF_Qty],T_TTAFStock_Log[Part Name],$A7,T_TTAFStock_Log[WeekIndex],25))</f>
        <v/>
      </c>
      <c r="AA7" s="19">
        <f>IF(COUNTIFS(T_TTAFStock_Log[Part Name],$A7,T_TTAFStock_Log[WeekIndex],26)=0,"",SUMIFS(T_TTAFStock_Log[TTAF_Qty],T_TTAFStock_Log[Part Name],$A7,T_TTAFStock_Log[WeekIndex],26))</f>
        <v/>
      </c>
      <c r="AB7" s="19">
        <f>IF(COUNTIFS(T_TTAFStock_Log[Part Name],$A7,T_TTAFStock_Log[WeekIndex],27)=0,"",SUMIFS(T_TTAFStock_Log[TTAF_Qty],T_TTAFStock_Log[Part Name],$A7,T_TTAFStock_Log[WeekIndex],27))</f>
        <v/>
      </c>
      <c r="AC7" s="19">
        <f>IF(COUNTIFS(T_TTAFStock_Log[Part Name],$A7,T_TTAFStock_Log[WeekIndex],28)=0,"",SUMIFS(T_TTAFStock_Log[TTAF_Qty],T_TTAFStock_Log[Part Name],$A7,T_TTAFStock_Log[WeekIndex],28))</f>
        <v/>
      </c>
      <c r="AD7" s="19">
        <f>IF(COUNTIFS(T_TTAFStock_Log[Part Name],$A7,T_TTAFStock_Log[WeekIndex],29)=0,"",SUMIFS(T_TTAFStock_Log[TTAF_Qty],T_TTAFStock_Log[Part Name],$A7,T_TTAFStock_Log[WeekIndex],29))</f>
        <v/>
      </c>
      <c r="AE7" s="19">
        <f>IF(COUNTIFS(T_TTAFStock_Log[Part Name],$A7,T_TTAFStock_Log[WeekIndex],30)=0,"",SUMIFS(T_TTAFStock_Log[TTAF_Qty],T_TTAFStock_Log[Part Name],$A7,T_TTAFStock_Log[WeekIndex],30))</f>
        <v/>
      </c>
      <c r="AF7" s="19">
        <f>IF(COUNTIFS(T_TTAFStock_Log[Part Name],$A7,T_TTAFStock_Log[WeekIndex],31)=0,"",SUMIFS(T_TTAFStock_Log[TTAF_Qty],T_TTAFStock_Log[Part Name],$A7,T_TTAFStock_Log[WeekIndex],31))</f>
        <v/>
      </c>
      <c r="AG7" s="19">
        <f>IF(COUNTIFS(T_TTAFStock_Log[Part Name],$A7,T_TTAFStock_Log[WeekIndex],32)=0,"",SUMIFS(T_TTAFStock_Log[TTAF_Qty],T_TTAFStock_Log[Part Name],$A7,T_TTAFStock_Log[WeekIndex],32))</f>
        <v/>
      </c>
      <c r="AH7" s="19">
        <f>IF(COUNTIFS(T_TTAFStock_Log[Part Name],$A7,T_TTAFStock_Log[WeekIndex],33)=0,"",SUMIFS(T_TTAFStock_Log[TTAF_Qty],T_TTAFStock_Log[Part Name],$A7,T_TTAFStock_Log[WeekIndex],33))</f>
        <v/>
      </c>
      <c r="AI7" s="19">
        <f>IF(COUNTIFS(T_TTAFStock_Log[Part Name],$A7,T_TTAFStock_Log[WeekIndex],34)=0,"",SUMIFS(T_TTAFStock_Log[TTAF_Qty],T_TTAFStock_Log[Part Name],$A7,T_TTAFStock_Log[WeekIndex],34))</f>
        <v/>
      </c>
      <c r="AJ7" s="19">
        <f>IF(COUNTIFS(T_TTAFStock_Log[Part Name],$A7,T_TTAFStock_Log[WeekIndex],35)=0,"",SUMIFS(T_TTAFStock_Log[TTAF_Qty],T_TTAFStock_Log[Part Name],$A7,T_TTAFStock_Log[WeekIndex],35))</f>
        <v/>
      </c>
      <c r="AK7" s="19">
        <f>IF(COUNTIFS(T_TTAFStock_Log[Part Name],$A7,T_TTAFStock_Log[WeekIndex],36)=0,"",SUMIFS(T_TTAFStock_Log[TTAF_Qty],T_TTAFStock_Log[Part Name],$A7,T_TTAFStock_Log[WeekIndex],36))</f>
        <v/>
      </c>
      <c r="AL7" s="19">
        <f>IF(COUNTIFS(T_TTAFStock_Log[Part Name],$A7,T_TTAFStock_Log[WeekIndex],37)=0,"",SUMIFS(T_TTAFStock_Log[TTAF_Qty],T_TTAFStock_Log[Part Name],$A7,T_TTAFStock_Log[WeekIndex],37))</f>
        <v/>
      </c>
      <c r="AM7" s="19">
        <f>IF(COUNTIFS(T_TTAFStock_Log[Part Name],$A7,T_TTAFStock_Log[WeekIndex],38)=0,"",SUMIFS(T_TTAFStock_Log[TTAF_Qty],T_TTAFStock_Log[Part Name],$A7,T_TTAFStock_Log[WeekIndex],38))</f>
        <v/>
      </c>
      <c r="AN7" s="19">
        <f>IF(COUNTIFS(T_TTAFStock_Log[Part Name],$A7,T_TTAFStock_Log[WeekIndex],39)=0,"",SUMIFS(T_TTAFStock_Log[TTAF_Qty],T_TTAFStock_Log[Part Name],$A7,T_TTAFStock_Log[WeekIndex],39))</f>
        <v/>
      </c>
      <c r="AO7" s="19">
        <f>IF(COUNTIFS(T_TTAFStock_Log[Part Name],$A7,T_TTAFStock_Log[WeekIndex],40)=0,"",SUMIFS(T_TTAFStock_Log[TTAF_Qty],T_TTAFStock_Log[Part Name],$A7,T_TTAFStock_Log[WeekIndex],40))</f>
        <v/>
      </c>
      <c r="AP7" s="19">
        <f>IF(COUNTIFS(T_TTAFStock_Log[Part Name],$A7,T_TTAFStock_Log[WeekIndex],41)=0,"",SUMIFS(T_TTAFStock_Log[TTAF_Qty],T_TTAFStock_Log[Part Name],$A7,T_TTAFStock_Log[WeekIndex],41))</f>
        <v/>
      </c>
      <c r="AQ7" s="19">
        <f>IF(COUNTIFS(T_TTAFStock_Log[Part Name],$A7,T_TTAFStock_Log[WeekIndex],42)=0,"",SUMIFS(T_TTAFStock_Log[TTAF_Qty],T_TTAFStock_Log[Part Name],$A7,T_TTAFStock_Log[WeekIndex],42))</f>
        <v/>
      </c>
      <c r="AR7" s="19">
        <f>IF(COUNTIFS(T_TTAFStock_Log[Part Name],$A7,T_TTAFStock_Log[WeekIndex],43)=0,"",SUMIFS(T_TTAFStock_Log[TTAF_Qty],T_TTAFStock_Log[Part Name],$A7,T_TTAFStock_Log[WeekIndex],43))</f>
        <v/>
      </c>
      <c r="AS7" s="19">
        <f>IF(COUNTIFS(T_TTAFStock_Log[Part Name],$A7,T_TTAFStock_Log[WeekIndex],44)=0,"",SUMIFS(T_TTAFStock_Log[TTAF_Qty],T_TTAFStock_Log[Part Name],$A7,T_TTAFStock_Log[WeekIndex],44))</f>
        <v/>
      </c>
      <c r="AT7" s="19">
        <f>IF(COUNTIFS(T_TTAFStock_Log[Part Name],$A7,T_TTAFStock_Log[WeekIndex],45)=0,"",SUMIFS(T_TTAFStock_Log[TTAF_Qty],T_TTAFStock_Log[Part Name],$A7,T_TTAFStock_Log[WeekIndex],45))</f>
        <v/>
      </c>
      <c r="AU7" s="19">
        <f>IF(COUNTIFS(T_TTAFStock_Log[Part Name],$A7,T_TTAFStock_Log[WeekIndex],46)=0,"",SUMIFS(T_TTAFStock_Log[TTAF_Qty],T_TTAFStock_Log[Part Name],$A7,T_TTAFStock_Log[WeekIndex],46))</f>
        <v/>
      </c>
      <c r="AV7" s="19">
        <f>IF(COUNTIFS(T_TTAFStock_Log[Part Name],$A7,T_TTAFStock_Log[WeekIndex],47)=0,"",SUMIFS(T_TTAFStock_Log[TTAF_Qty],T_TTAFStock_Log[Part Name],$A7,T_TTAFStock_Log[WeekIndex],47))</f>
        <v/>
      </c>
      <c r="AW7" s="19">
        <f>IF(COUNTIFS(T_TTAFStock_Log[Part Name],$A7,T_TTAFStock_Log[WeekIndex],48)=0,"",SUMIFS(T_TTAFStock_Log[TTAF_Qty],T_TTAFStock_Log[Part Name],$A7,T_TTAFStock_Log[WeekIndex],48))</f>
        <v/>
      </c>
      <c r="AX7" s="19">
        <f>IF(COUNTIFS(T_TTAFStock_Log[Part Name],$A7,T_TTAFStock_Log[WeekIndex],49)=0,"",SUMIFS(T_TTAFStock_Log[TTAF_Qty],T_TTAFStock_Log[Part Name],$A7,T_TTAFStock_Log[WeekIndex],49))</f>
        <v/>
      </c>
      <c r="AY7" s="19">
        <f>IF(COUNTIFS(T_TTAFStock_Log[Part Name],$A7,T_TTAFStock_Log[WeekIndex],50)=0,"",SUMIFS(T_TTAFStock_Log[TTAF_Qty],T_TTAFStock_Log[Part Name],$A7,T_TTAFStock_Log[WeekIndex],50))</f>
        <v/>
      </c>
      <c r="AZ7" s="19">
        <f>IF(COUNTIFS(T_TTAFStock_Log[Part Name],$A7,T_TTAFStock_Log[WeekIndex],51)=0,"",SUMIFS(T_TTAFStock_Log[TTAF_Qty],T_TTAFStock_Log[Part Name],$A7,T_TTAFStock_Log[WeekIndex],51))</f>
        <v/>
      </c>
      <c r="BA7" s="19">
        <f>IF(COUNTIFS(T_TTAFStock_Log[Part Name],$A7,T_TTAFStock_Log[WeekIndex],52)=0,"",SUMIFS(T_TTAFStock_Log[TTAF_Qty],T_TTAFStock_Log[Part Name],$A7,T_TTAFStock_Log[WeekIndex],52))</f>
        <v/>
      </c>
      <c r="BB7" s="19">
        <f>IF(COUNTIFS(T_TTAFStock_Log[Part Name],$A7,T_TTAFStock_Log[WeekIndex],53)=0,"",SUMIFS(T_TTAFStock_Log[TTAF_Qty],T_TTAFStock_Log[Part Name],$A7,T_TTAFStock_Log[WeekIndex],53))</f>
        <v/>
      </c>
      <c r="BC7" s="19">
        <f>IF(COUNTIFS(T_TTAFStock_Log[Part Name],$A7,T_TTAFStock_Log[WeekIndex],54)=0,"",SUMIFS(T_TTAFStock_Log[TTAF_Qty],T_TTAFStock_Log[Part Name],$A7,T_TTAFStock_Log[WeekIndex],54))</f>
        <v/>
      </c>
      <c r="BD7" s="19">
        <f>IF(COUNTIFS(T_TTAFStock_Log[Part Name],$A7,T_TTAFStock_Log[WeekIndex],55)=0,"",SUMIFS(T_TTAFStock_Log[TTAF_Qty],T_TTAFStock_Log[Part Name],$A7,T_TTAFStock_Log[WeekIndex],55))</f>
        <v/>
      </c>
      <c r="BE7" s="19">
        <f>IF(COUNTIFS(T_TTAFStock_Log[Part Name],$A7,T_TTAFStock_Log[WeekIndex],56)=0,"",SUMIFS(T_TTAFStock_Log[TTAF_Qty],T_TTAFStock_Log[Part Name],$A7,T_TTAFStock_Log[WeekIndex],56))</f>
        <v/>
      </c>
      <c r="BF7" s="19">
        <f>IF(COUNTIFS(T_TTAFStock_Log[Part Name],$A7,T_TTAFStock_Log[WeekIndex],57)=0,"",SUMIFS(T_TTAFStock_Log[TTAF_Qty],T_TTAFStock_Log[Part Name],$A7,T_TTAFStock_Log[WeekIndex],57))</f>
        <v/>
      </c>
      <c r="BG7" s="19">
        <f>IF(COUNTIFS(T_TTAFStock_Log[Part Name],$A7,T_TTAFStock_Log[WeekIndex],58)=0,"",SUMIFS(T_TTAFStock_Log[TTAF_Qty],T_TTAFStock_Log[Part Name],$A7,T_TTAFStock_Log[WeekIndex],58))</f>
        <v/>
      </c>
      <c r="BH7" s="19">
        <f>IF(COUNTIFS(T_TTAFStock_Log[Part Name],$A7,T_TTAFStock_Log[WeekIndex],59)=0,"",SUMIFS(T_TTAFStock_Log[TTAF_Qty],T_TTAFStock_Log[Part Name],$A7,T_TTAFStock_Log[WeekIndex],59))</f>
        <v/>
      </c>
      <c r="BI7" s="19">
        <f>IF(COUNTIFS(T_TTAFStock_Log[Part Name],$A7,T_TTAFStock_Log[WeekIndex],60)=0,"",SUMIFS(T_TTAFStock_Log[TTAF_Qty],T_TTAFStock_Log[Part Name],$A7,T_TTAFStock_Log[WeekIndex],60))</f>
        <v/>
      </c>
      <c r="BJ7" s="19">
        <f>IF(COUNTIFS(T_TTAFStock_Log[Part Name],$A7,T_TTAFStock_Log[WeekIndex],61)=0,"",SUMIFS(T_TTAFStock_Log[TTAF_Qty],T_TTAFStock_Log[Part Name],$A7,T_TTAFStock_Log[WeekIndex],61))</f>
        <v/>
      </c>
      <c r="BK7" s="19">
        <f>IF(COUNTIFS(T_TTAFStock_Log[Part Name],$A7,T_TTAFStock_Log[WeekIndex],62)=0,"",SUMIFS(T_TTAFStock_Log[TTAF_Qty],T_TTAFStock_Log[Part Name],$A7,T_TTAFStock_Log[WeekIndex],62))</f>
        <v/>
      </c>
      <c r="BL7" s="19">
        <f>IF(COUNTIFS(T_TTAFStock_Log[Part Name],$A7,T_TTAFStock_Log[WeekIndex],63)=0,"",SUMIFS(T_TTAFStock_Log[TTAF_Qty],T_TTAFStock_Log[Part Name],$A7,T_TTAFStock_Log[WeekIndex],63))</f>
        <v/>
      </c>
      <c r="BM7" s="19">
        <f>IF(COUNTIFS(T_TTAFStock_Log[Part Name],$A7,T_TTAFStock_Log[WeekIndex],64)=0,"",SUMIFS(T_TTAFStock_Log[TTAF_Qty],T_TTAFStock_Log[Part Name],$A7,T_TTAFStock_Log[WeekIndex],64))</f>
        <v/>
      </c>
      <c r="BN7" s="19">
        <f>IF(COUNTIFS(T_TTAFStock_Log[Part Name],$A7,T_TTAFStock_Log[WeekIndex],65)=0,"",SUMIFS(T_TTAFStock_Log[TTAF_Qty],T_TTAFStock_Log[Part Name],$A7,T_TTAFStock_Log[WeekIndex],65))</f>
        <v/>
      </c>
      <c r="BO7" s="19">
        <f>IF(COUNTIFS(T_TTAFStock_Log[Part Name],$A7,T_TTAFStock_Log[WeekIndex],66)=0,"",SUMIFS(T_TTAFStock_Log[TTAF_Qty],T_TTAFStock_Log[Part Name],$A7,T_TTAFStock_Log[WeekIndex],66))</f>
        <v/>
      </c>
      <c r="BP7" s="19">
        <f>IF(COUNTIFS(T_TTAFStock_Log[Part Name],$A7,T_TTAFStock_Log[WeekIndex],67)=0,"",SUMIFS(T_TTAFStock_Log[TTAF_Qty],T_TTAFStock_Log[Part Name],$A7,T_TTAFStock_Log[WeekIndex],67))</f>
        <v/>
      </c>
      <c r="BQ7" s="19">
        <f>IF(COUNTIFS(T_TTAFStock_Log[Part Name],$A7,T_TTAFStock_Log[WeekIndex],68)=0,"",SUMIFS(T_TTAFStock_Log[TTAF_Qty],T_TTAFStock_Log[Part Name],$A7,T_TTAFStock_Log[WeekIndex],68))</f>
        <v/>
      </c>
      <c r="BR7" s="19">
        <f>IF(COUNTIFS(T_TTAFStock_Log[Part Name],$A7,T_TTAFStock_Log[WeekIndex],69)=0,"",SUMIFS(T_TTAFStock_Log[TTAF_Qty],T_TTAFStock_Log[Part Name],$A7,T_TTAFStock_Log[WeekIndex],69))</f>
        <v/>
      </c>
      <c r="BS7" s="19">
        <f>IF(COUNTIFS(T_TTAFStock_Log[Part Name],$A7,T_TTAFStock_Log[WeekIndex],70)=0,"",SUMIFS(T_TTAFStock_Log[TTAF_Qty],T_TTAFStock_Log[Part Name],$A7,T_TTAFStock_Log[WeekIndex],70))</f>
        <v/>
      </c>
      <c r="BT7" s="19">
        <f>IF(COUNTIFS(T_TTAFStock_Log[Part Name],$A7,T_TTAFStock_Log[WeekIndex],71)=0,"",SUMIFS(T_TTAFStock_Log[TTAF_Qty],T_TTAFStock_Log[Part Name],$A7,T_TTAFStock_Log[WeekIndex],71))</f>
        <v/>
      </c>
      <c r="BU7" s="19">
        <f>IF(COUNTIFS(T_TTAFStock_Log[Part Name],$A7,T_TTAFStock_Log[WeekIndex],72)=0,"",SUMIFS(T_TTAFStock_Log[TTAF_Qty],T_TTAFStock_Log[Part Name],$A7,T_TTAFStock_Log[WeekIndex],72))</f>
        <v/>
      </c>
      <c r="BV7" s="19">
        <f>IF(COUNTIFS(T_TTAFStock_Log[Part Name],$A7,T_TTAFStock_Log[WeekIndex],73)=0,"",SUMIFS(T_TTAFStock_Log[TTAF_Qty],T_TTAFStock_Log[Part Name],$A7,T_TTAFStock_Log[WeekIndex],73))</f>
        <v/>
      </c>
      <c r="BW7" s="19">
        <f>IF(COUNTIFS(T_TTAFStock_Log[Part Name],$A7,T_TTAFStock_Log[WeekIndex],74)=0,"",SUMIFS(T_TTAFStock_Log[TTAF_Qty],T_TTAFStock_Log[Part Name],$A7,T_TTAFStock_Log[WeekIndex],74))</f>
        <v/>
      </c>
      <c r="BX7" s="19">
        <f>IF(COUNTIFS(T_TTAFStock_Log[Part Name],$A7,T_TTAFStock_Log[WeekIndex],75)=0,"",SUMIFS(T_TTAFStock_Log[TTAF_Qty],T_TTAFStock_Log[Part Name],$A7,T_TTAFStock_Log[WeekIndex],75))</f>
        <v/>
      </c>
      <c r="BY7" s="19">
        <f>IF(COUNTIFS(T_TTAFStock_Log[Part Name],$A7,T_TTAFStock_Log[WeekIndex],76)=0,"",SUMIFS(T_TTAFStock_Log[TTAF_Qty],T_TTAFStock_Log[Part Name],$A7,T_TTAFStock_Log[WeekIndex],76))</f>
        <v/>
      </c>
      <c r="BZ7" s="19">
        <f>IF(COUNTIFS(T_TTAFStock_Log[Part Name],$A7,T_TTAFStock_Log[WeekIndex],77)=0,"",SUMIFS(T_TTAFStock_Log[TTAF_Qty],T_TTAFStock_Log[Part Name],$A7,T_TTAFStock_Log[WeekIndex],77))</f>
        <v/>
      </c>
      <c r="CA7" s="19">
        <f>IF(COUNTIFS(T_TTAFStock_Log[Part Name],$A7,T_TTAFStock_Log[WeekIndex],78)=0,"",SUMIFS(T_TTAFStock_Log[TTAF_Qty],T_TTAFStock_Log[Part Name],$A7,T_TTAFStock_Log[WeekIndex],78))</f>
        <v/>
      </c>
      <c r="CB7" s="19">
        <f>IF(COUNTIFS(T_TTAFStock_Log[Part Name],$A7,T_TTAFStock_Log[WeekIndex],79)=0,"",SUMIFS(T_TTAFStock_Log[TTAF_Qty],T_TTAFStock_Log[Part Name],$A7,T_TTAFStock_Log[WeekIndex],79))</f>
        <v/>
      </c>
      <c r="CC7" s="19">
        <f>IF(COUNTIFS(T_TTAFStock_Log[Part Name],$A7,T_TTAFStock_Log[WeekIndex],80)=0,"",SUMIFS(T_TTAFStock_Log[TTAF_Qty],T_TTAFStock_Log[Part Name],$A7,T_TTAFStock_Log[WeekIndex],80))</f>
        <v/>
      </c>
      <c r="CD7" s="19">
        <f>IF(COUNTIFS(T_TTAFStock_Log[Part Name],$A7,T_TTAFStock_Log[WeekIndex],81)=0,"",SUMIFS(T_TTAFStock_Log[TTAF_Qty],T_TTAFStock_Log[Part Name],$A7,T_TTAFStock_Log[WeekIndex],81))</f>
        <v/>
      </c>
      <c r="CE7" s="19">
        <f>IF(COUNTIFS(T_TTAFStock_Log[Part Name],$A7,T_TTAFStock_Log[WeekIndex],82)=0,"",SUMIFS(T_TTAFStock_Log[TTAF_Qty],T_TTAFStock_Log[Part Name],$A7,T_TTAFStock_Log[WeekIndex],82))</f>
        <v/>
      </c>
      <c r="CF7" s="19">
        <f>IF(COUNTIFS(T_TTAFStock_Log[Part Name],$A7,T_TTAFStock_Log[WeekIndex],83)=0,"",SUMIFS(T_TTAFStock_Log[TTAF_Qty],T_TTAFStock_Log[Part Name],$A7,T_TTAFStock_Log[WeekIndex],83))</f>
        <v/>
      </c>
      <c r="CG7" s="19">
        <f>IF(COUNTIFS(T_TTAFStock_Log[Part Name],$A7,T_TTAFStock_Log[WeekIndex],84)=0,"",SUMIFS(T_TTAFStock_Log[TTAF_Qty],T_TTAFStock_Log[Part Name],$A7,T_TTAFStock_Log[WeekIndex],84))</f>
        <v/>
      </c>
      <c r="CH7" s="19">
        <f>IF(COUNTIFS(T_TTAFStock_Log[Part Name],$A7,T_TTAFStock_Log[WeekIndex],85)=0,"",SUMIFS(T_TTAFStock_Log[TTAF_Qty],T_TTAFStock_Log[Part Name],$A7,T_TTAFStock_Log[WeekIndex],85))</f>
        <v/>
      </c>
      <c r="CI7" s="19">
        <f>IF(COUNTIFS(T_TTAFStock_Log[Part Name],$A7,T_TTAFStock_Log[WeekIndex],86)=0,"",SUMIFS(T_TTAFStock_Log[TTAF_Qty],T_TTAFStock_Log[Part Name],$A7,T_TTAFStock_Log[WeekIndex],86))</f>
        <v/>
      </c>
      <c r="CJ7" s="19">
        <f>IF(COUNTIFS(T_TTAFStock_Log[Part Name],$A7,T_TTAFStock_Log[WeekIndex],87)=0,"",SUMIFS(T_TTAFStock_Log[TTAF_Qty],T_TTAFStock_Log[Part Name],$A7,T_TTAFStock_Log[WeekIndex],87))</f>
        <v/>
      </c>
      <c r="CK7" s="19">
        <f>IF(COUNTIFS(T_TTAFStock_Log[Part Name],$A7,T_TTAFStock_Log[WeekIndex],88)=0,"",SUMIFS(T_TTAFStock_Log[TTAF_Qty],T_TTAFStock_Log[Part Name],$A7,T_TTAFStock_Log[WeekIndex],88))</f>
        <v/>
      </c>
      <c r="CL7" s="19">
        <f>IF(COUNTIFS(T_TTAFStock_Log[Part Name],$A7,T_TTAFStock_Log[WeekIndex],89)=0,"",SUMIFS(T_TTAFStock_Log[TTAF_Qty],T_TTAFStock_Log[Part Name],$A7,T_TTAFStock_Log[WeekIndex],89))</f>
        <v/>
      </c>
      <c r="CM7" s="19">
        <f>IF(COUNTIFS(T_TTAFStock_Log[Part Name],$A7,T_TTAFStock_Log[WeekIndex],90)=0,"",SUMIFS(T_TTAFStock_Log[TTAF_Qty],T_TTAFStock_Log[Part Name],$A7,T_TTAFStock_Log[WeekIndex],90))</f>
        <v/>
      </c>
      <c r="CN7" s="19">
        <f>IF(COUNTIFS(T_TTAFStock_Log[Part Name],$A7,T_TTAFStock_Log[WeekIndex],91)=0,"",SUMIFS(T_TTAFStock_Log[TTAF_Qty],T_TTAFStock_Log[Part Name],$A7,T_TTAFStock_Log[WeekIndex],91))</f>
        <v/>
      </c>
      <c r="CO7" s="19">
        <f>IF(COUNTIFS(T_TTAFStock_Log[Part Name],$A7,T_TTAFStock_Log[WeekIndex],92)=0,"",SUMIFS(T_TTAFStock_Log[TTAF_Qty],T_TTAFStock_Log[Part Name],$A7,T_TTAFStock_Log[WeekIndex],92))</f>
        <v/>
      </c>
      <c r="CP7" s="19">
        <f>IF(COUNTIFS(T_TTAFStock_Log[Part Name],$A7,T_TTAFStock_Log[WeekIndex],93)=0,"",SUMIFS(T_TTAFStock_Log[TTAF_Qty],T_TTAFStock_Log[Part Name],$A7,T_TTAFStock_Log[WeekIndex],93))</f>
        <v/>
      </c>
      <c r="CQ7" s="19">
        <f>IF(COUNTIFS(T_TTAFStock_Log[Part Name],$A7,T_TTAFStock_Log[WeekIndex],94)=0,"",SUMIFS(T_TTAFStock_Log[TTAF_Qty],T_TTAFStock_Log[Part Name],$A7,T_TTAFStock_Log[WeekIndex],94))</f>
        <v/>
      </c>
      <c r="CR7" s="19">
        <f>IF(COUNTIFS(T_TTAFStock_Log[Part Name],$A7,T_TTAFStock_Log[WeekIndex],95)=0,"",SUMIFS(T_TTAFStock_Log[TTAF_Qty],T_TTAFStock_Log[Part Name],$A7,T_TTAFStock_Log[WeekIndex],95))</f>
        <v/>
      </c>
      <c r="CS7" s="19">
        <f>IF(COUNTIFS(T_TTAFStock_Log[Part Name],$A7,T_TTAFStock_Log[WeekIndex],96)=0,"",SUMIFS(T_TTAFStock_Log[TTAF_Qty],T_TTAFStock_Log[Part Name],$A7,T_TTAFStock_Log[WeekIndex],96))</f>
        <v/>
      </c>
      <c r="CT7" s="19">
        <f>IF(COUNTIFS(T_TTAFStock_Log[Part Name],$A7,T_TTAFStock_Log[WeekIndex],97)=0,"",SUMIFS(T_TTAFStock_Log[TTAF_Qty],T_TTAFStock_Log[Part Name],$A7,T_TTAFStock_Log[WeekIndex],97))</f>
        <v/>
      </c>
      <c r="CU7" s="19">
        <f>IF(COUNTIFS(T_TTAFStock_Log[Part Name],$A7,T_TTAFStock_Log[WeekIndex],98)=0,"",SUMIFS(T_TTAFStock_Log[TTAF_Qty],T_TTAFStock_Log[Part Name],$A7,T_TTAFStock_Log[WeekIndex],98))</f>
        <v/>
      </c>
      <c r="CV7" s="19">
        <f>IF(COUNTIFS(T_TTAFStock_Log[Part Name],$A7,T_TTAFStock_Log[WeekIndex],99)=0,"",SUMIFS(T_TTAFStock_Log[TTAF_Qty],T_TTAFStock_Log[Part Name],$A7,T_TTAFStock_Log[WeekIndex],99))</f>
        <v/>
      </c>
      <c r="CW7" s="19">
        <f>IF(COUNTIFS(T_TTAFStock_Log[Part Name],$A7,T_TTAFStock_Log[WeekIndex],100)=0,"",SUMIFS(T_TTAFStock_Log[TTAF_Qty],T_TTAFStock_Log[Part Name],$A7,T_TTAFStock_Log[WeekIndex],100))</f>
        <v/>
      </c>
      <c r="CX7" s="19">
        <f>IF(COUNTIFS(T_TTAFStock_Log[Part Name],$A7,T_TTAFStock_Log[WeekIndex],101)=0,"",SUMIFS(T_TTAFStock_Log[TTAF_Qty],T_TTAFStock_Log[Part Name],$A7,T_TTAFStock_Log[WeekIndex],101))</f>
        <v/>
      </c>
      <c r="CY7" s="19">
        <f>IF(COUNTIFS(T_TTAFStock_Log[Part Name],$A7,T_TTAFStock_Log[WeekIndex],102)=0,"",SUMIFS(T_TTAFStock_Log[TTAF_Qty],T_TTAFStock_Log[Part Name],$A7,T_TTAFStock_Log[WeekIndex],102))</f>
        <v/>
      </c>
      <c r="CZ7" s="19">
        <f>IF(COUNTIFS(T_TTAFStock_Log[Part Name],$A7,T_TTAFStock_Log[WeekIndex],103)=0,"",SUMIFS(T_TTAFStock_Log[TTAF_Qty],T_TTAFStock_Log[Part Name],$A7,T_TTAFStock_Log[WeekIndex],103))</f>
        <v/>
      </c>
      <c r="DA7" s="19">
        <f>IF(COUNTIFS(T_TTAFStock_Log[Part Name],$A7,T_TTAFStock_Log[WeekIndex],104)=0,"",SUMIFS(T_TTAFStock_Log[TTAF_Qty],T_TTAFStock_Log[Part Name],$A7,T_TTAFStock_Log[WeekIndex],104))</f>
        <v/>
      </c>
    </row>
    <row r="8">
      <c r="A8" s="17" t="inlineStr">
        <is>
          <t>4HL</t>
        </is>
      </c>
      <c r="B8" s="17">
        <f>IF(COUNTIFS(T_TTAFStock_Log[Part Name],$A8,T_TTAFStock_Log[WeekIndex],1)=0,"",SUMIFS(T_TTAFStock_Log[TTAF_Qty],T_TTAFStock_Log[Part Name],$A8,T_TTAFStock_Log[WeekIndex],1))</f>
        <v/>
      </c>
      <c r="C8" s="17">
        <f>IF(COUNTIFS(T_TTAFStock_Log[Part Name],$A8,T_TTAFStock_Log[WeekIndex],2)=0,"",SUMIFS(T_TTAFStock_Log[TTAF_Qty],T_TTAFStock_Log[Part Name],$A8,T_TTAFStock_Log[WeekIndex],2))</f>
        <v/>
      </c>
      <c r="D8" s="17">
        <f>IF(COUNTIFS(T_TTAFStock_Log[Part Name],$A8,T_TTAFStock_Log[WeekIndex],3)=0,"",SUMIFS(T_TTAFStock_Log[TTAF_Qty],T_TTAFStock_Log[Part Name],$A8,T_TTAFStock_Log[WeekIndex],3))</f>
        <v/>
      </c>
      <c r="E8" s="17">
        <f>IF(COUNTIFS(T_TTAFStock_Log[Part Name],$A8,T_TTAFStock_Log[WeekIndex],4)=0,"",SUMIFS(T_TTAFStock_Log[TTAF_Qty],T_TTAFStock_Log[Part Name],$A8,T_TTAFStock_Log[WeekIndex],4))</f>
        <v/>
      </c>
      <c r="F8" s="17">
        <f>IF(COUNTIFS(T_TTAFStock_Log[Part Name],$A8,T_TTAFStock_Log[WeekIndex],5)=0,"",SUMIFS(T_TTAFStock_Log[TTAF_Qty],T_TTAFStock_Log[Part Name],$A8,T_TTAFStock_Log[WeekIndex],5))</f>
        <v/>
      </c>
      <c r="G8" s="17">
        <f>IF(COUNTIFS(T_TTAFStock_Log[Part Name],$A8,T_TTAFStock_Log[WeekIndex],6)=0,"",SUMIFS(T_TTAFStock_Log[TTAF_Qty],T_TTAFStock_Log[Part Name],$A8,T_TTAFStock_Log[WeekIndex],6))</f>
        <v/>
      </c>
      <c r="H8" s="17">
        <f>IF(COUNTIFS(T_TTAFStock_Log[Part Name],$A8,T_TTAFStock_Log[WeekIndex],7)=0,"",SUMIFS(T_TTAFStock_Log[TTAF_Qty],T_TTAFStock_Log[Part Name],$A8,T_TTAFStock_Log[WeekIndex],7))</f>
        <v/>
      </c>
      <c r="I8" s="17">
        <f>IF(COUNTIFS(T_TTAFStock_Log[Part Name],$A8,T_TTAFStock_Log[WeekIndex],8)=0,"",SUMIFS(T_TTAFStock_Log[TTAF_Qty],T_TTAFStock_Log[Part Name],$A8,T_TTAFStock_Log[WeekIndex],8))</f>
        <v/>
      </c>
      <c r="J8" s="17">
        <f>IF(COUNTIFS(T_TTAFStock_Log[Part Name],$A8,T_TTAFStock_Log[WeekIndex],9)=0,"",SUMIFS(T_TTAFStock_Log[TTAF_Qty],T_TTAFStock_Log[Part Name],$A8,T_TTAFStock_Log[WeekIndex],9))</f>
        <v/>
      </c>
      <c r="K8" s="17">
        <f>IF(COUNTIFS(T_TTAFStock_Log[Part Name],$A8,T_TTAFStock_Log[WeekIndex],10)=0,"",SUMIFS(T_TTAFStock_Log[TTAF_Qty],T_TTAFStock_Log[Part Name],$A8,T_TTAFStock_Log[WeekIndex],10))</f>
        <v/>
      </c>
      <c r="L8" s="17">
        <f>IF(COUNTIFS(T_TTAFStock_Log[Part Name],$A8,T_TTAFStock_Log[WeekIndex],11)=0,"",SUMIFS(T_TTAFStock_Log[TTAF_Qty],T_TTAFStock_Log[Part Name],$A8,T_TTAFStock_Log[WeekIndex],11))</f>
        <v/>
      </c>
      <c r="M8" s="17">
        <f>IF(COUNTIFS(T_TTAFStock_Log[Part Name],$A8,T_TTAFStock_Log[WeekIndex],12)=0,"",SUMIFS(T_TTAFStock_Log[TTAF_Qty],T_TTAFStock_Log[Part Name],$A8,T_TTAFStock_Log[WeekIndex],12))</f>
        <v/>
      </c>
      <c r="N8" s="17">
        <f>IF(COUNTIFS(T_TTAFStock_Log[Part Name],$A8,T_TTAFStock_Log[WeekIndex],13)=0,"",SUMIFS(T_TTAFStock_Log[TTAF_Qty],T_TTAFStock_Log[Part Name],$A8,T_TTAFStock_Log[WeekIndex],13))</f>
        <v/>
      </c>
      <c r="O8" s="17">
        <f>IF(COUNTIFS(T_TTAFStock_Log[Part Name],$A8,T_TTAFStock_Log[WeekIndex],14)=0,"",SUMIFS(T_TTAFStock_Log[TTAF_Qty],T_TTAFStock_Log[Part Name],$A8,T_TTAFStock_Log[WeekIndex],14))</f>
        <v/>
      </c>
      <c r="P8" s="17">
        <f>IF(COUNTIFS(T_TTAFStock_Log[Part Name],$A8,T_TTAFStock_Log[WeekIndex],15)=0,"",SUMIFS(T_TTAFStock_Log[TTAF_Qty],T_TTAFStock_Log[Part Name],$A8,T_TTAFStock_Log[WeekIndex],15))</f>
        <v/>
      </c>
      <c r="Q8" s="17">
        <f>IF(COUNTIFS(T_TTAFStock_Log[Part Name],$A8,T_TTAFStock_Log[WeekIndex],16)=0,"",SUMIFS(T_TTAFStock_Log[TTAF_Qty],T_TTAFStock_Log[Part Name],$A8,T_TTAFStock_Log[WeekIndex],16))</f>
        <v/>
      </c>
      <c r="R8" s="17">
        <f>IF(COUNTIFS(T_TTAFStock_Log[Part Name],$A8,T_TTAFStock_Log[WeekIndex],17)=0,"",SUMIFS(T_TTAFStock_Log[TTAF_Qty],T_TTAFStock_Log[Part Name],$A8,T_TTAFStock_Log[WeekIndex],17))</f>
        <v/>
      </c>
      <c r="S8" s="17">
        <f>IF(COUNTIFS(T_TTAFStock_Log[Part Name],$A8,T_TTAFStock_Log[WeekIndex],18)=0,"",SUMIFS(T_TTAFStock_Log[TTAF_Qty],T_TTAFStock_Log[Part Name],$A8,T_TTAFStock_Log[WeekIndex],18))</f>
        <v/>
      </c>
      <c r="T8" s="17">
        <f>IF(COUNTIFS(T_TTAFStock_Log[Part Name],$A8,T_TTAFStock_Log[WeekIndex],19)=0,"",SUMIFS(T_TTAFStock_Log[TTAF_Qty],T_TTAFStock_Log[Part Name],$A8,T_TTAFStock_Log[WeekIndex],19))</f>
        <v/>
      </c>
      <c r="U8" s="17">
        <f>IF(COUNTIFS(T_TTAFStock_Log[Part Name],$A8,T_TTAFStock_Log[WeekIndex],20)=0,"",SUMIFS(T_TTAFStock_Log[TTAF_Qty],T_TTAFStock_Log[Part Name],$A8,T_TTAFStock_Log[WeekIndex],20))</f>
        <v/>
      </c>
      <c r="V8" s="17">
        <f>IF(COUNTIFS(T_TTAFStock_Log[Part Name],$A8,T_TTAFStock_Log[WeekIndex],21)=0,"",SUMIFS(T_TTAFStock_Log[TTAF_Qty],T_TTAFStock_Log[Part Name],$A8,T_TTAFStock_Log[WeekIndex],21))</f>
        <v/>
      </c>
      <c r="W8" s="17">
        <f>IF(COUNTIFS(T_TTAFStock_Log[Part Name],$A8,T_TTAFStock_Log[WeekIndex],22)=0,"",SUMIFS(T_TTAFStock_Log[TTAF_Qty],T_TTAFStock_Log[Part Name],$A8,T_TTAFStock_Log[WeekIndex],22))</f>
        <v/>
      </c>
      <c r="X8" s="17">
        <f>IF(COUNTIFS(T_TTAFStock_Log[Part Name],$A8,T_TTAFStock_Log[WeekIndex],23)=0,"",SUMIFS(T_TTAFStock_Log[TTAF_Qty],T_TTAFStock_Log[Part Name],$A8,T_TTAFStock_Log[WeekIndex],23))</f>
        <v/>
      </c>
      <c r="Y8" s="17">
        <f>IF(COUNTIFS(T_TTAFStock_Log[Part Name],$A8,T_TTAFStock_Log[WeekIndex],24)=0,"",SUMIFS(T_TTAFStock_Log[TTAF_Qty],T_TTAFStock_Log[Part Name],$A8,T_TTAFStock_Log[WeekIndex],24))</f>
        <v/>
      </c>
      <c r="Z8" s="17">
        <f>IF(COUNTIFS(T_TTAFStock_Log[Part Name],$A8,T_TTAFStock_Log[WeekIndex],25)=0,"",SUMIFS(T_TTAFStock_Log[TTAF_Qty],T_TTAFStock_Log[Part Name],$A8,T_TTAFStock_Log[WeekIndex],25))</f>
        <v/>
      </c>
      <c r="AA8" s="17">
        <f>IF(COUNTIFS(T_TTAFStock_Log[Part Name],$A8,T_TTAFStock_Log[WeekIndex],26)=0,"",SUMIFS(T_TTAFStock_Log[TTAF_Qty],T_TTAFStock_Log[Part Name],$A8,T_TTAFStock_Log[WeekIndex],26))</f>
        <v/>
      </c>
      <c r="AB8" s="17">
        <f>IF(COUNTIFS(T_TTAFStock_Log[Part Name],$A8,T_TTAFStock_Log[WeekIndex],27)=0,"",SUMIFS(T_TTAFStock_Log[TTAF_Qty],T_TTAFStock_Log[Part Name],$A8,T_TTAFStock_Log[WeekIndex],27))</f>
        <v/>
      </c>
      <c r="AC8" s="17">
        <f>IF(COUNTIFS(T_TTAFStock_Log[Part Name],$A8,T_TTAFStock_Log[WeekIndex],28)=0,"",SUMIFS(T_TTAFStock_Log[TTAF_Qty],T_TTAFStock_Log[Part Name],$A8,T_TTAFStock_Log[WeekIndex],28))</f>
        <v/>
      </c>
      <c r="AD8" s="17">
        <f>IF(COUNTIFS(T_TTAFStock_Log[Part Name],$A8,T_TTAFStock_Log[WeekIndex],29)=0,"",SUMIFS(T_TTAFStock_Log[TTAF_Qty],T_TTAFStock_Log[Part Name],$A8,T_TTAFStock_Log[WeekIndex],29))</f>
        <v/>
      </c>
      <c r="AE8" s="17">
        <f>IF(COUNTIFS(T_TTAFStock_Log[Part Name],$A8,T_TTAFStock_Log[WeekIndex],30)=0,"",SUMIFS(T_TTAFStock_Log[TTAF_Qty],T_TTAFStock_Log[Part Name],$A8,T_TTAFStock_Log[WeekIndex],30))</f>
        <v/>
      </c>
      <c r="AF8" s="17">
        <f>IF(COUNTIFS(T_TTAFStock_Log[Part Name],$A8,T_TTAFStock_Log[WeekIndex],31)=0,"",SUMIFS(T_TTAFStock_Log[TTAF_Qty],T_TTAFStock_Log[Part Name],$A8,T_TTAFStock_Log[WeekIndex],31))</f>
        <v/>
      </c>
      <c r="AG8" s="17">
        <f>IF(COUNTIFS(T_TTAFStock_Log[Part Name],$A8,T_TTAFStock_Log[WeekIndex],32)=0,"",SUMIFS(T_TTAFStock_Log[TTAF_Qty],T_TTAFStock_Log[Part Name],$A8,T_TTAFStock_Log[WeekIndex],32))</f>
        <v/>
      </c>
      <c r="AH8" s="17">
        <f>IF(COUNTIFS(T_TTAFStock_Log[Part Name],$A8,T_TTAFStock_Log[WeekIndex],33)=0,"",SUMIFS(T_TTAFStock_Log[TTAF_Qty],T_TTAFStock_Log[Part Name],$A8,T_TTAFStock_Log[WeekIndex],33))</f>
        <v/>
      </c>
      <c r="AI8" s="17">
        <f>IF(COUNTIFS(T_TTAFStock_Log[Part Name],$A8,T_TTAFStock_Log[WeekIndex],34)=0,"",SUMIFS(T_TTAFStock_Log[TTAF_Qty],T_TTAFStock_Log[Part Name],$A8,T_TTAFStock_Log[WeekIndex],34))</f>
        <v/>
      </c>
      <c r="AJ8" s="17">
        <f>IF(COUNTIFS(T_TTAFStock_Log[Part Name],$A8,T_TTAFStock_Log[WeekIndex],35)=0,"",SUMIFS(T_TTAFStock_Log[TTAF_Qty],T_TTAFStock_Log[Part Name],$A8,T_TTAFStock_Log[WeekIndex],35))</f>
        <v/>
      </c>
      <c r="AK8" s="17">
        <f>IF(COUNTIFS(T_TTAFStock_Log[Part Name],$A8,T_TTAFStock_Log[WeekIndex],36)=0,"",SUMIFS(T_TTAFStock_Log[TTAF_Qty],T_TTAFStock_Log[Part Name],$A8,T_TTAFStock_Log[WeekIndex],36))</f>
        <v/>
      </c>
      <c r="AL8" s="17">
        <f>IF(COUNTIFS(T_TTAFStock_Log[Part Name],$A8,T_TTAFStock_Log[WeekIndex],37)=0,"",SUMIFS(T_TTAFStock_Log[TTAF_Qty],T_TTAFStock_Log[Part Name],$A8,T_TTAFStock_Log[WeekIndex],37))</f>
        <v/>
      </c>
      <c r="AM8" s="17">
        <f>IF(COUNTIFS(T_TTAFStock_Log[Part Name],$A8,T_TTAFStock_Log[WeekIndex],38)=0,"",SUMIFS(T_TTAFStock_Log[TTAF_Qty],T_TTAFStock_Log[Part Name],$A8,T_TTAFStock_Log[WeekIndex],38))</f>
        <v/>
      </c>
      <c r="AN8" s="17">
        <f>IF(COUNTIFS(T_TTAFStock_Log[Part Name],$A8,T_TTAFStock_Log[WeekIndex],39)=0,"",SUMIFS(T_TTAFStock_Log[TTAF_Qty],T_TTAFStock_Log[Part Name],$A8,T_TTAFStock_Log[WeekIndex],39))</f>
        <v/>
      </c>
      <c r="AO8" s="17">
        <f>IF(COUNTIFS(T_TTAFStock_Log[Part Name],$A8,T_TTAFStock_Log[WeekIndex],40)=0,"",SUMIFS(T_TTAFStock_Log[TTAF_Qty],T_TTAFStock_Log[Part Name],$A8,T_TTAFStock_Log[WeekIndex],40))</f>
        <v/>
      </c>
      <c r="AP8" s="17">
        <f>IF(COUNTIFS(T_TTAFStock_Log[Part Name],$A8,T_TTAFStock_Log[WeekIndex],41)=0,"",SUMIFS(T_TTAFStock_Log[TTAF_Qty],T_TTAFStock_Log[Part Name],$A8,T_TTAFStock_Log[WeekIndex],41))</f>
        <v/>
      </c>
      <c r="AQ8" s="17">
        <f>IF(COUNTIFS(T_TTAFStock_Log[Part Name],$A8,T_TTAFStock_Log[WeekIndex],42)=0,"",SUMIFS(T_TTAFStock_Log[TTAF_Qty],T_TTAFStock_Log[Part Name],$A8,T_TTAFStock_Log[WeekIndex],42))</f>
        <v/>
      </c>
      <c r="AR8" s="17">
        <f>IF(COUNTIFS(T_TTAFStock_Log[Part Name],$A8,T_TTAFStock_Log[WeekIndex],43)=0,"",SUMIFS(T_TTAFStock_Log[TTAF_Qty],T_TTAFStock_Log[Part Name],$A8,T_TTAFStock_Log[WeekIndex],43))</f>
        <v/>
      </c>
      <c r="AS8" s="17">
        <f>IF(COUNTIFS(T_TTAFStock_Log[Part Name],$A8,T_TTAFStock_Log[WeekIndex],44)=0,"",SUMIFS(T_TTAFStock_Log[TTAF_Qty],T_TTAFStock_Log[Part Name],$A8,T_TTAFStock_Log[WeekIndex],44))</f>
        <v/>
      </c>
      <c r="AT8" s="17">
        <f>IF(COUNTIFS(T_TTAFStock_Log[Part Name],$A8,T_TTAFStock_Log[WeekIndex],45)=0,"",SUMIFS(T_TTAFStock_Log[TTAF_Qty],T_TTAFStock_Log[Part Name],$A8,T_TTAFStock_Log[WeekIndex],45))</f>
        <v/>
      </c>
      <c r="AU8" s="17">
        <f>IF(COUNTIFS(T_TTAFStock_Log[Part Name],$A8,T_TTAFStock_Log[WeekIndex],46)=0,"",SUMIFS(T_TTAFStock_Log[TTAF_Qty],T_TTAFStock_Log[Part Name],$A8,T_TTAFStock_Log[WeekIndex],46))</f>
        <v/>
      </c>
      <c r="AV8" s="17">
        <f>IF(COUNTIFS(T_TTAFStock_Log[Part Name],$A8,T_TTAFStock_Log[WeekIndex],47)=0,"",SUMIFS(T_TTAFStock_Log[TTAF_Qty],T_TTAFStock_Log[Part Name],$A8,T_TTAFStock_Log[WeekIndex],47))</f>
        <v/>
      </c>
      <c r="AW8" s="17">
        <f>IF(COUNTIFS(T_TTAFStock_Log[Part Name],$A8,T_TTAFStock_Log[WeekIndex],48)=0,"",SUMIFS(T_TTAFStock_Log[TTAF_Qty],T_TTAFStock_Log[Part Name],$A8,T_TTAFStock_Log[WeekIndex],48))</f>
        <v/>
      </c>
      <c r="AX8" s="17">
        <f>IF(COUNTIFS(T_TTAFStock_Log[Part Name],$A8,T_TTAFStock_Log[WeekIndex],49)=0,"",SUMIFS(T_TTAFStock_Log[TTAF_Qty],T_TTAFStock_Log[Part Name],$A8,T_TTAFStock_Log[WeekIndex],49))</f>
        <v/>
      </c>
      <c r="AY8" s="17">
        <f>IF(COUNTIFS(T_TTAFStock_Log[Part Name],$A8,T_TTAFStock_Log[WeekIndex],50)=0,"",SUMIFS(T_TTAFStock_Log[TTAF_Qty],T_TTAFStock_Log[Part Name],$A8,T_TTAFStock_Log[WeekIndex],50))</f>
        <v/>
      </c>
      <c r="AZ8" s="17">
        <f>IF(COUNTIFS(T_TTAFStock_Log[Part Name],$A8,T_TTAFStock_Log[WeekIndex],51)=0,"",SUMIFS(T_TTAFStock_Log[TTAF_Qty],T_TTAFStock_Log[Part Name],$A8,T_TTAFStock_Log[WeekIndex],51))</f>
        <v/>
      </c>
      <c r="BA8" s="17">
        <f>IF(COUNTIFS(T_TTAFStock_Log[Part Name],$A8,T_TTAFStock_Log[WeekIndex],52)=0,"",SUMIFS(T_TTAFStock_Log[TTAF_Qty],T_TTAFStock_Log[Part Name],$A8,T_TTAFStock_Log[WeekIndex],52))</f>
        <v/>
      </c>
      <c r="BB8" s="17">
        <f>IF(COUNTIFS(T_TTAFStock_Log[Part Name],$A8,T_TTAFStock_Log[WeekIndex],53)=0,"",SUMIFS(T_TTAFStock_Log[TTAF_Qty],T_TTAFStock_Log[Part Name],$A8,T_TTAFStock_Log[WeekIndex],53))</f>
        <v/>
      </c>
      <c r="BC8" s="17">
        <f>IF(COUNTIFS(T_TTAFStock_Log[Part Name],$A8,T_TTAFStock_Log[WeekIndex],54)=0,"",SUMIFS(T_TTAFStock_Log[TTAF_Qty],T_TTAFStock_Log[Part Name],$A8,T_TTAFStock_Log[WeekIndex],54))</f>
        <v/>
      </c>
      <c r="BD8" s="17">
        <f>IF(COUNTIFS(T_TTAFStock_Log[Part Name],$A8,T_TTAFStock_Log[WeekIndex],55)=0,"",SUMIFS(T_TTAFStock_Log[TTAF_Qty],T_TTAFStock_Log[Part Name],$A8,T_TTAFStock_Log[WeekIndex],55))</f>
        <v/>
      </c>
      <c r="BE8" s="17">
        <f>IF(COUNTIFS(T_TTAFStock_Log[Part Name],$A8,T_TTAFStock_Log[WeekIndex],56)=0,"",SUMIFS(T_TTAFStock_Log[TTAF_Qty],T_TTAFStock_Log[Part Name],$A8,T_TTAFStock_Log[WeekIndex],56))</f>
        <v/>
      </c>
      <c r="BF8" s="17">
        <f>IF(COUNTIFS(T_TTAFStock_Log[Part Name],$A8,T_TTAFStock_Log[WeekIndex],57)=0,"",SUMIFS(T_TTAFStock_Log[TTAF_Qty],T_TTAFStock_Log[Part Name],$A8,T_TTAFStock_Log[WeekIndex],57))</f>
        <v/>
      </c>
      <c r="BG8" s="17">
        <f>IF(COUNTIFS(T_TTAFStock_Log[Part Name],$A8,T_TTAFStock_Log[WeekIndex],58)=0,"",SUMIFS(T_TTAFStock_Log[TTAF_Qty],T_TTAFStock_Log[Part Name],$A8,T_TTAFStock_Log[WeekIndex],58))</f>
        <v/>
      </c>
      <c r="BH8" s="17">
        <f>IF(COUNTIFS(T_TTAFStock_Log[Part Name],$A8,T_TTAFStock_Log[WeekIndex],59)=0,"",SUMIFS(T_TTAFStock_Log[TTAF_Qty],T_TTAFStock_Log[Part Name],$A8,T_TTAFStock_Log[WeekIndex],59))</f>
        <v/>
      </c>
      <c r="BI8" s="17">
        <f>IF(COUNTIFS(T_TTAFStock_Log[Part Name],$A8,T_TTAFStock_Log[WeekIndex],60)=0,"",SUMIFS(T_TTAFStock_Log[TTAF_Qty],T_TTAFStock_Log[Part Name],$A8,T_TTAFStock_Log[WeekIndex],60))</f>
        <v/>
      </c>
      <c r="BJ8" s="17">
        <f>IF(COUNTIFS(T_TTAFStock_Log[Part Name],$A8,T_TTAFStock_Log[WeekIndex],61)=0,"",SUMIFS(T_TTAFStock_Log[TTAF_Qty],T_TTAFStock_Log[Part Name],$A8,T_TTAFStock_Log[WeekIndex],61))</f>
        <v/>
      </c>
      <c r="BK8" s="17">
        <f>IF(COUNTIFS(T_TTAFStock_Log[Part Name],$A8,T_TTAFStock_Log[WeekIndex],62)=0,"",SUMIFS(T_TTAFStock_Log[TTAF_Qty],T_TTAFStock_Log[Part Name],$A8,T_TTAFStock_Log[WeekIndex],62))</f>
        <v/>
      </c>
      <c r="BL8" s="17">
        <f>IF(COUNTIFS(T_TTAFStock_Log[Part Name],$A8,T_TTAFStock_Log[WeekIndex],63)=0,"",SUMIFS(T_TTAFStock_Log[TTAF_Qty],T_TTAFStock_Log[Part Name],$A8,T_TTAFStock_Log[WeekIndex],63))</f>
        <v/>
      </c>
      <c r="BM8" s="17">
        <f>IF(COUNTIFS(T_TTAFStock_Log[Part Name],$A8,T_TTAFStock_Log[WeekIndex],64)=0,"",SUMIFS(T_TTAFStock_Log[TTAF_Qty],T_TTAFStock_Log[Part Name],$A8,T_TTAFStock_Log[WeekIndex],64))</f>
        <v/>
      </c>
      <c r="BN8" s="17">
        <f>IF(COUNTIFS(T_TTAFStock_Log[Part Name],$A8,T_TTAFStock_Log[WeekIndex],65)=0,"",SUMIFS(T_TTAFStock_Log[TTAF_Qty],T_TTAFStock_Log[Part Name],$A8,T_TTAFStock_Log[WeekIndex],65))</f>
        <v/>
      </c>
      <c r="BO8" s="17">
        <f>IF(COUNTIFS(T_TTAFStock_Log[Part Name],$A8,T_TTAFStock_Log[WeekIndex],66)=0,"",SUMIFS(T_TTAFStock_Log[TTAF_Qty],T_TTAFStock_Log[Part Name],$A8,T_TTAFStock_Log[WeekIndex],66))</f>
        <v/>
      </c>
      <c r="BP8" s="17">
        <f>IF(COUNTIFS(T_TTAFStock_Log[Part Name],$A8,T_TTAFStock_Log[WeekIndex],67)=0,"",SUMIFS(T_TTAFStock_Log[TTAF_Qty],T_TTAFStock_Log[Part Name],$A8,T_TTAFStock_Log[WeekIndex],67))</f>
        <v/>
      </c>
      <c r="BQ8" s="17">
        <f>IF(COUNTIFS(T_TTAFStock_Log[Part Name],$A8,T_TTAFStock_Log[WeekIndex],68)=0,"",SUMIFS(T_TTAFStock_Log[TTAF_Qty],T_TTAFStock_Log[Part Name],$A8,T_TTAFStock_Log[WeekIndex],68))</f>
        <v/>
      </c>
      <c r="BR8" s="17">
        <f>IF(COUNTIFS(T_TTAFStock_Log[Part Name],$A8,T_TTAFStock_Log[WeekIndex],69)=0,"",SUMIFS(T_TTAFStock_Log[TTAF_Qty],T_TTAFStock_Log[Part Name],$A8,T_TTAFStock_Log[WeekIndex],69))</f>
        <v/>
      </c>
      <c r="BS8" s="17">
        <f>IF(COUNTIFS(T_TTAFStock_Log[Part Name],$A8,T_TTAFStock_Log[WeekIndex],70)=0,"",SUMIFS(T_TTAFStock_Log[TTAF_Qty],T_TTAFStock_Log[Part Name],$A8,T_TTAFStock_Log[WeekIndex],70))</f>
        <v/>
      </c>
      <c r="BT8" s="17">
        <f>IF(COUNTIFS(T_TTAFStock_Log[Part Name],$A8,T_TTAFStock_Log[WeekIndex],71)=0,"",SUMIFS(T_TTAFStock_Log[TTAF_Qty],T_TTAFStock_Log[Part Name],$A8,T_TTAFStock_Log[WeekIndex],71))</f>
        <v/>
      </c>
      <c r="BU8" s="17">
        <f>IF(COUNTIFS(T_TTAFStock_Log[Part Name],$A8,T_TTAFStock_Log[WeekIndex],72)=0,"",SUMIFS(T_TTAFStock_Log[TTAF_Qty],T_TTAFStock_Log[Part Name],$A8,T_TTAFStock_Log[WeekIndex],72))</f>
        <v/>
      </c>
      <c r="BV8" s="17">
        <f>IF(COUNTIFS(T_TTAFStock_Log[Part Name],$A8,T_TTAFStock_Log[WeekIndex],73)=0,"",SUMIFS(T_TTAFStock_Log[TTAF_Qty],T_TTAFStock_Log[Part Name],$A8,T_TTAFStock_Log[WeekIndex],73))</f>
        <v/>
      </c>
      <c r="BW8" s="17">
        <f>IF(COUNTIFS(T_TTAFStock_Log[Part Name],$A8,T_TTAFStock_Log[WeekIndex],74)=0,"",SUMIFS(T_TTAFStock_Log[TTAF_Qty],T_TTAFStock_Log[Part Name],$A8,T_TTAFStock_Log[WeekIndex],74))</f>
        <v/>
      </c>
      <c r="BX8" s="17">
        <f>IF(COUNTIFS(T_TTAFStock_Log[Part Name],$A8,T_TTAFStock_Log[WeekIndex],75)=0,"",SUMIFS(T_TTAFStock_Log[TTAF_Qty],T_TTAFStock_Log[Part Name],$A8,T_TTAFStock_Log[WeekIndex],75))</f>
        <v/>
      </c>
      <c r="BY8" s="17">
        <f>IF(COUNTIFS(T_TTAFStock_Log[Part Name],$A8,T_TTAFStock_Log[WeekIndex],76)=0,"",SUMIFS(T_TTAFStock_Log[TTAF_Qty],T_TTAFStock_Log[Part Name],$A8,T_TTAFStock_Log[WeekIndex],76))</f>
        <v/>
      </c>
      <c r="BZ8" s="17">
        <f>IF(COUNTIFS(T_TTAFStock_Log[Part Name],$A8,T_TTAFStock_Log[WeekIndex],77)=0,"",SUMIFS(T_TTAFStock_Log[TTAF_Qty],T_TTAFStock_Log[Part Name],$A8,T_TTAFStock_Log[WeekIndex],77))</f>
        <v/>
      </c>
      <c r="CA8" s="17">
        <f>IF(COUNTIFS(T_TTAFStock_Log[Part Name],$A8,T_TTAFStock_Log[WeekIndex],78)=0,"",SUMIFS(T_TTAFStock_Log[TTAF_Qty],T_TTAFStock_Log[Part Name],$A8,T_TTAFStock_Log[WeekIndex],78))</f>
        <v/>
      </c>
      <c r="CB8" s="17">
        <f>IF(COUNTIFS(T_TTAFStock_Log[Part Name],$A8,T_TTAFStock_Log[WeekIndex],79)=0,"",SUMIFS(T_TTAFStock_Log[TTAF_Qty],T_TTAFStock_Log[Part Name],$A8,T_TTAFStock_Log[WeekIndex],79))</f>
        <v/>
      </c>
      <c r="CC8" s="17">
        <f>IF(COUNTIFS(T_TTAFStock_Log[Part Name],$A8,T_TTAFStock_Log[WeekIndex],80)=0,"",SUMIFS(T_TTAFStock_Log[TTAF_Qty],T_TTAFStock_Log[Part Name],$A8,T_TTAFStock_Log[WeekIndex],80))</f>
        <v/>
      </c>
      <c r="CD8" s="17">
        <f>IF(COUNTIFS(T_TTAFStock_Log[Part Name],$A8,T_TTAFStock_Log[WeekIndex],81)=0,"",SUMIFS(T_TTAFStock_Log[TTAF_Qty],T_TTAFStock_Log[Part Name],$A8,T_TTAFStock_Log[WeekIndex],81))</f>
        <v/>
      </c>
      <c r="CE8" s="17">
        <f>IF(COUNTIFS(T_TTAFStock_Log[Part Name],$A8,T_TTAFStock_Log[WeekIndex],82)=0,"",SUMIFS(T_TTAFStock_Log[TTAF_Qty],T_TTAFStock_Log[Part Name],$A8,T_TTAFStock_Log[WeekIndex],82))</f>
        <v/>
      </c>
      <c r="CF8" s="17">
        <f>IF(COUNTIFS(T_TTAFStock_Log[Part Name],$A8,T_TTAFStock_Log[WeekIndex],83)=0,"",SUMIFS(T_TTAFStock_Log[TTAF_Qty],T_TTAFStock_Log[Part Name],$A8,T_TTAFStock_Log[WeekIndex],83))</f>
        <v/>
      </c>
      <c r="CG8" s="17">
        <f>IF(COUNTIFS(T_TTAFStock_Log[Part Name],$A8,T_TTAFStock_Log[WeekIndex],84)=0,"",SUMIFS(T_TTAFStock_Log[TTAF_Qty],T_TTAFStock_Log[Part Name],$A8,T_TTAFStock_Log[WeekIndex],84))</f>
        <v/>
      </c>
      <c r="CH8" s="17">
        <f>IF(COUNTIFS(T_TTAFStock_Log[Part Name],$A8,T_TTAFStock_Log[WeekIndex],85)=0,"",SUMIFS(T_TTAFStock_Log[TTAF_Qty],T_TTAFStock_Log[Part Name],$A8,T_TTAFStock_Log[WeekIndex],85))</f>
        <v/>
      </c>
      <c r="CI8" s="17">
        <f>IF(COUNTIFS(T_TTAFStock_Log[Part Name],$A8,T_TTAFStock_Log[WeekIndex],86)=0,"",SUMIFS(T_TTAFStock_Log[TTAF_Qty],T_TTAFStock_Log[Part Name],$A8,T_TTAFStock_Log[WeekIndex],86))</f>
        <v/>
      </c>
      <c r="CJ8" s="17">
        <f>IF(COUNTIFS(T_TTAFStock_Log[Part Name],$A8,T_TTAFStock_Log[WeekIndex],87)=0,"",SUMIFS(T_TTAFStock_Log[TTAF_Qty],T_TTAFStock_Log[Part Name],$A8,T_TTAFStock_Log[WeekIndex],87))</f>
        <v/>
      </c>
      <c r="CK8" s="17">
        <f>IF(COUNTIFS(T_TTAFStock_Log[Part Name],$A8,T_TTAFStock_Log[WeekIndex],88)=0,"",SUMIFS(T_TTAFStock_Log[TTAF_Qty],T_TTAFStock_Log[Part Name],$A8,T_TTAFStock_Log[WeekIndex],88))</f>
        <v/>
      </c>
      <c r="CL8" s="17">
        <f>IF(COUNTIFS(T_TTAFStock_Log[Part Name],$A8,T_TTAFStock_Log[WeekIndex],89)=0,"",SUMIFS(T_TTAFStock_Log[TTAF_Qty],T_TTAFStock_Log[Part Name],$A8,T_TTAFStock_Log[WeekIndex],89))</f>
        <v/>
      </c>
      <c r="CM8" s="17">
        <f>IF(COUNTIFS(T_TTAFStock_Log[Part Name],$A8,T_TTAFStock_Log[WeekIndex],90)=0,"",SUMIFS(T_TTAFStock_Log[TTAF_Qty],T_TTAFStock_Log[Part Name],$A8,T_TTAFStock_Log[WeekIndex],90))</f>
        <v/>
      </c>
      <c r="CN8" s="17">
        <f>IF(COUNTIFS(T_TTAFStock_Log[Part Name],$A8,T_TTAFStock_Log[WeekIndex],91)=0,"",SUMIFS(T_TTAFStock_Log[TTAF_Qty],T_TTAFStock_Log[Part Name],$A8,T_TTAFStock_Log[WeekIndex],91))</f>
        <v/>
      </c>
      <c r="CO8" s="17">
        <f>IF(COUNTIFS(T_TTAFStock_Log[Part Name],$A8,T_TTAFStock_Log[WeekIndex],92)=0,"",SUMIFS(T_TTAFStock_Log[TTAF_Qty],T_TTAFStock_Log[Part Name],$A8,T_TTAFStock_Log[WeekIndex],92))</f>
        <v/>
      </c>
      <c r="CP8" s="17">
        <f>IF(COUNTIFS(T_TTAFStock_Log[Part Name],$A8,T_TTAFStock_Log[WeekIndex],93)=0,"",SUMIFS(T_TTAFStock_Log[TTAF_Qty],T_TTAFStock_Log[Part Name],$A8,T_TTAFStock_Log[WeekIndex],93))</f>
        <v/>
      </c>
      <c r="CQ8" s="17">
        <f>IF(COUNTIFS(T_TTAFStock_Log[Part Name],$A8,T_TTAFStock_Log[WeekIndex],94)=0,"",SUMIFS(T_TTAFStock_Log[TTAF_Qty],T_TTAFStock_Log[Part Name],$A8,T_TTAFStock_Log[WeekIndex],94))</f>
        <v/>
      </c>
      <c r="CR8" s="17">
        <f>IF(COUNTIFS(T_TTAFStock_Log[Part Name],$A8,T_TTAFStock_Log[WeekIndex],95)=0,"",SUMIFS(T_TTAFStock_Log[TTAF_Qty],T_TTAFStock_Log[Part Name],$A8,T_TTAFStock_Log[WeekIndex],95))</f>
        <v/>
      </c>
      <c r="CS8" s="17">
        <f>IF(COUNTIFS(T_TTAFStock_Log[Part Name],$A8,T_TTAFStock_Log[WeekIndex],96)=0,"",SUMIFS(T_TTAFStock_Log[TTAF_Qty],T_TTAFStock_Log[Part Name],$A8,T_TTAFStock_Log[WeekIndex],96))</f>
        <v/>
      </c>
      <c r="CT8" s="17">
        <f>IF(COUNTIFS(T_TTAFStock_Log[Part Name],$A8,T_TTAFStock_Log[WeekIndex],97)=0,"",SUMIFS(T_TTAFStock_Log[TTAF_Qty],T_TTAFStock_Log[Part Name],$A8,T_TTAFStock_Log[WeekIndex],97))</f>
        <v/>
      </c>
      <c r="CU8" s="17">
        <f>IF(COUNTIFS(T_TTAFStock_Log[Part Name],$A8,T_TTAFStock_Log[WeekIndex],98)=0,"",SUMIFS(T_TTAFStock_Log[TTAF_Qty],T_TTAFStock_Log[Part Name],$A8,T_TTAFStock_Log[WeekIndex],98))</f>
        <v/>
      </c>
      <c r="CV8" s="17">
        <f>IF(COUNTIFS(T_TTAFStock_Log[Part Name],$A8,T_TTAFStock_Log[WeekIndex],99)=0,"",SUMIFS(T_TTAFStock_Log[TTAF_Qty],T_TTAFStock_Log[Part Name],$A8,T_TTAFStock_Log[WeekIndex],99))</f>
        <v/>
      </c>
      <c r="CW8" s="17">
        <f>IF(COUNTIFS(T_TTAFStock_Log[Part Name],$A8,T_TTAFStock_Log[WeekIndex],100)=0,"",SUMIFS(T_TTAFStock_Log[TTAF_Qty],T_TTAFStock_Log[Part Name],$A8,T_TTAFStock_Log[WeekIndex],100))</f>
        <v/>
      </c>
      <c r="CX8" s="17">
        <f>IF(COUNTIFS(T_TTAFStock_Log[Part Name],$A8,T_TTAFStock_Log[WeekIndex],101)=0,"",SUMIFS(T_TTAFStock_Log[TTAF_Qty],T_TTAFStock_Log[Part Name],$A8,T_TTAFStock_Log[WeekIndex],101))</f>
        <v/>
      </c>
      <c r="CY8" s="17">
        <f>IF(COUNTIFS(T_TTAFStock_Log[Part Name],$A8,T_TTAFStock_Log[WeekIndex],102)=0,"",SUMIFS(T_TTAFStock_Log[TTAF_Qty],T_TTAFStock_Log[Part Name],$A8,T_TTAFStock_Log[WeekIndex],102))</f>
        <v/>
      </c>
      <c r="CZ8" s="17">
        <f>IF(COUNTIFS(T_TTAFStock_Log[Part Name],$A8,T_TTAFStock_Log[WeekIndex],103)=0,"",SUMIFS(T_TTAFStock_Log[TTAF_Qty],T_TTAFStock_Log[Part Name],$A8,T_TTAFStock_Log[WeekIndex],103))</f>
        <v/>
      </c>
      <c r="DA8" s="17">
        <f>IF(COUNTIFS(T_TTAFStock_Log[Part Name],$A8,T_TTAFStock_Log[WeekIndex],104)=0,"",SUMIFS(T_TTAFStock_Log[TTAF_Qty],T_TTAFStock_Log[Part Name],$A8,T_TTAFStock_Log[WeekIndex],104))</f>
        <v/>
      </c>
    </row>
    <row r="9">
      <c r="A9" s="19" t="inlineStr">
        <is>
          <t>9RN</t>
        </is>
      </c>
      <c r="B9" s="19">
        <f>IF(COUNTIFS(T_TTAFStock_Log[Part Name],$A9,T_TTAFStock_Log[WeekIndex],1)=0,"",SUMIFS(T_TTAFStock_Log[TTAF_Qty],T_TTAFStock_Log[Part Name],$A9,T_TTAFStock_Log[WeekIndex],1))</f>
        <v/>
      </c>
      <c r="C9" s="19">
        <f>IF(COUNTIFS(T_TTAFStock_Log[Part Name],$A9,T_TTAFStock_Log[WeekIndex],2)=0,"",SUMIFS(T_TTAFStock_Log[TTAF_Qty],T_TTAFStock_Log[Part Name],$A9,T_TTAFStock_Log[WeekIndex],2))</f>
        <v/>
      </c>
      <c r="D9" s="19">
        <f>IF(COUNTIFS(T_TTAFStock_Log[Part Name],$A9,T_TTAFStock_Log[WeekIndex],3)=0,"",SUMIFS(T_TTAFStock_Log[TTAF_Qty],T_TTAFStock_Log[Part Name],$A9,T_TTAFStock_Log[WeekIndex],3))</f>
        <v/>
      </c>
      <c r="E9" s="19">
        <f>IF(COUNTIFS(T_TTAFStock_Log[Part Name],$A9,T_TTAFStock_Log[WeekIndex],4)=0,"",SUMIFS(T_TTAFStock_Log[TTAF_Qty],T_TTAFStock_Log[Part Name],$A9,T_TTAFStock_Log[WeekIndex],4))</f>
        <v/>
      </c>
      <c r="F9" s="19">
        <f>IF(COUNTIFS(T_TTAFStock_Log[Part Name],$A9,T_TTAFStock_Log[WeekIndex],5)=0,"",SUMIFS(T_TTAFStock_Log[TTAF_Qty],T_TTAFStock_Log[Part Name],$A9,T_TTAFStock_Log[WeekIndex],5))</f>
        <v/>
      </c>
      <c r="G9" s="19">
        <f>IF(COUNTIFS(T_TTAFStock_Log[Part Name],$A9,T_TTAFStock_Log[WeekIndex],6)=0,"",SUMIFS(T_TTAFStock_Log[TTAF_Qty],T_TTAFStock_Log[Part Name],$A9,T_TTAFStock_Log[WeekIndex],6))</f>
        <v/>
      </c>
      <c r="H9" s="19">
        <f>IF(COUNTIFS(T_TTAFStock_Log[Part Name],$A9,T_TTAFStock_Log[WeekIndex],7)=0,"",SUMIFS(T_TTAFStock_Log[TTAF_Qty],T_TTAFStock_Log[Part Name],$A9,T_TTAFStock_Log[WeekIndex],7))</f>
        <v/>
      </c>
      <c r="I9" s="19">
        <f>IF(COUNTIFS(T_TTAFStock_Log[Part Name],$A9,T_TTAFStock_Log[WeekIndex],8)=0,"",SUMIFS(T_TTAFStock_Log[TTAF_Qty],T_TTAFStock_Log[Part Name],$A9,T_TTAFStock_Log[WeekIndex],8))</f>
        <v/>
      </c>
      <c r="J9" s="19">
        <f>IF(COUNTIFS(T_TTAFStock_Log[Part Name],$A9,T_TTAFStock_Log[WeekIndex],9)=0,"",SUMIFS(T_TTAFStock_Log[TTAF_Qty],T_TTAFStock_Log[Part Name],$A9,T_TTAFStock_Log[WeekIndex],9))</f>
        <v/>
      </c>
      <c r="K9" s="19">
        <f>IF(COUNTIFS(T_TTAFStock_Log[Part Name],$A9,T_TTAFStock_Log[WeekIndex],10)=0,"",SUMIFS(T_TTAFStock_Log[TTAF_Qty],T_TTAFStock_Log[Part Name],$A9,T_TTAFStock_Log[WeekIndex],10))</f>
        <v/>
      </c>
      <c r="L9" s="19">
        <f>IF(COUNTIFS(T_TTAFStock_Log[Part Name],$A9,T_TTAFStock_Log[WeekIndex],11)=0,"",SUMIFS(T_TTAFStock_Log[TTAF_Qty],T_TTAFStock_Log[Part Name],$A9,T_TTAFStock_Log[WeekIndex],11))</f>
        <v/>
      </c>
      <c r="M9" s="19">
        <f>IF(COUNTIFS(T_TTAFStock_Log[Part Name],$A9,T_TTAFStock_Log[WeekIndex],12)=0,"",SUMIFS(T_TTAFStock_Log[TTAF_Qty],T_TTAFStock_Log[Part Name],$A9,T_TTAFStock_Log[WeekIndex],12))</f>
        <v/>
      </c>
      <c r="N9" s="19">
        <f>IF(COUNTIFS(T_TTAFStock_Log[Part Name],$A9,T_TTAFStock_Log[WeekIndex],13)=0,"",SUMIFS(T_TTAFStock_Log[TTAF_Qty],T_TTAFStock_Log[Part Name],$A9,T_TTAFStock_Log[WeekIndex],13))</f>
        <v/>
      </c>
      <c r="O9" s="19">
        <f>IF(COUNTIFS(T_TTAFStock_Log[Part Name],$A9,T_TTAFStock_Log[WeekIndex],14)=0,"",SUMIFS(T_TTAFStock_Log[TTAF_Qty],T_TTAFStock_Log[Part Name],$A9,T_TTAFStock_Log[WeekIndex],14))</f>
        <v/>
      </c>
      <c r="P9" s="19">
        <f>IF(COUNTIFS(T_TTAFStock_Log[Part Name],$A9,T_TTAFStock_Log[WeekIndex],15)=0,"",SUMIFS(T_TTAFStock_Log[TTAF_Qty],T_TTAFStock_Log[Part Name],$A9,T_TTAFStock_Log[WeekIndex],15))</f>
        <v/>
      </c>
      <c r="Q9" s="19">
        <f>IF(COUNTIFS(T_TTAFStock_Log[Part Name],$A9,T_TTAFStock_Log[WeekIndex],16)=0,"",SUMIFS(T_TTAFStock_Log[TTAF_Qty],T_TTAFStock_Log[Part Name],$A9,T_TTAFStock_Log[WeekIndex],16))</f>
        <v/>
      </c>
      <c r="R9" s="19">
        <f>IF(COUNTIFS(T_TTAFStock_Log[Part Name],$A9,T_TTAFStock_Log[WeekIndex],17)=0,"",SUMIFS(T_TTAFStock_Log[TTAF_Qty],T_TTAFStock_Log[Part Name],$A9,T_TTAFStock_Log[WeekIndex],17))</f>
        <v/>
      </c>
      <c r="S9" s="19">
        <f>IF(COUNTIFS(T_TTAFStock_Log[Part Name],$A9,T_TTAFStock_Log[WeekIndex],18)=0,"",SUMIFS(T_TTAFStock_Log[TTAF_Qty],T_TTAFStock_Log[Part Name],$A9,T_TTAFStock_Log[WeekIndex],18))</f>
        <v/>
      </c>
      <c r="T9" s="19">
        <f>IF(COUNTIFS(T_TTAFStock_Log[Part Name],$A9,T_TTAFStock_Log[WeekIndex],19)=0,"",SUMIFS(T_TTAFStock_Log[TTAF_Qty],T_TTAFStock_Log[Part Name],$A9,T_TTAFStock_Log[WeekIndex],19))</f>
        <v/>
      </c>
      <c r="U9" s="19">
        <f>IF(COUNTIFS(T_TTAFStock_Log[Part Name],$A9,T_TTAFStock_Log[WeekIndex],20)=0,"",SUMIFS(T_TTAFStock_Log[TTAF_Qty],T_TTAFStock_Log[Part Name],$A9,T_TTAFStock_Log[WeekIndex],20))</f>
        <v/>
      </c>
      <c r="V9" s="19">
        <f>IF(COUNTIFS(T_TTAFStock_Log[Part Name],$A9,T_TTAFStock_Log[WeekIndex],21)=0,"",SUMIFS(T_TTAFStock_Log[TTAF_Qty],T_TTAFStock_Log[Part Name],$A9,T_TTAFStock_Log[WeekIndex],21))</f>
        <v/>
      </c>
      <c r="W9" s="19">
        <f>IF(COUNTIFS(T_TTAFStock_Log[Part Name],$A9,T_TTAFStock_Log[WeekIndex],22)=0,"",SUMIFS(T_TTAFStock_Log[TTAF_Qty],T_TTAFStock_Log[Part Name],$A9,T_TTAFStock_Log[WeekIndex],22))</f>
        <v/>
      </c>
      <c r="X9" s="19">
        <f>IF(COUNTIFS(T_TTAFStock_Log[Part Name],$A9,T_TTAFStock_Log[WeekIndex],23)=0,"",SUMIFS(T_TTAFStock_Log[TTAF_Qty],T_TTAFStock_Log[Part Name],$A9,T_TTAFStock_Log[WeekIndex],23))</f>
        <v/>
      </c>
      <c r="Y9" s="19">
        <f>IF(COUNTIFS(T_TTAFStock_Log[Part Name],$A9,T_TTAFStock_Log[WeekIndex],24)=0,"",SUMIFS(T_TTAFStock_Log[TTAF_Qty],T_TTAFStock_Log[Part Name],$A9,T_TTAFStock_Log[WeekIndex],24))</f>
        <v/>
      </c>
      <c r="Z9" s="19">
        <f>IF(COUNTIFS(T_TTAFStock_Log[Part Name],$A9,T_TTAFStock_Log[WeekIndex],25)=0,"",SUMIFS(T_TTAFStock_Log[TTAF_Qty],T_TTAFStock_Log[Part Name],$A9,T_TTAFStock_Log[WeekIndex],25))</f>
        <v/>
      </c>
      <c r="AA9" s="19">
        <f>IF(COUNTIFS(T_TTAFStock_Log[Part Name],$A9,T_TTAFStock_Log[WeekIndex],26)=0,"",SUMIFS(T_TTAFStock_Log[TTAF_Qty],T_TTAFStock_Log[Part Name],$A9,T_TTAFStock_Log[WeekIndex],26))</f>
        <v/>
      </c>
      <c r="AB9" s="19">
        <f>IF(COUNTIFS(T_TTAFStock_Log[Part Name],$A9,T_TTAFStock_Log[WeekIndex],27)=0,"",SUMIFS(T_TTAFStock_Log[TTAF_Qty],T_TTAFStock_Log[Part Name],$A9,T_TTAFStock_Log[WeekIndex],27))</f>
        <v/>
      </c>
      <c r="AC9" s="19">
        <f>IF(COUNTIFS(T_TTAFStock_Log[Part Name],$A9,T_TTAFStock_Log[WeekIndex],28)=0,"",SUMIFS(T_TTAFStock_Log[TTAF_Qty],T_TTAFStock_Log[Part Name],$A9,T_TTAFStock_Log[WeekIndex],28))</f>
        <v/>
      </c>
      <c r="AD9" s="19">
        <f>IF(COUNTIFS(T_TTAFStock_Log[Part Name],$A9,T_TTAFStock_Log[WeekIndex],29)=0,"",SUMIFS(T_TTAFStock_Log[TTAF_Qty],T_TTAFStock_Log[Part Name],$A9,T_TTAFStock_Log[WeekIndex],29))</f>
        <v/>
      </c>
      <c r="AE9" s="19">
        <f>IF(COUNTIFS(T_TTAFStock_Log[Part Name],$A9,T_TTAFStock_Log[WeekIndex],30)=0,"",SUMIFS(T_TTAFStock_Log[TTAF_Qty],T_TTAFStock_Log[Part Name],$A9,T_TTAFStock_Log[WeekIndex],30))</f>
        <v/>
      </c>
      <c r="AF9" s="19">
        <f>IF(COUNTIFS(T_TTAFStock_Log[Part Name],$A9,T_TTAFStock_Log[WeekIndex],31)=0,"",SUMIFS(T_TTAFStock_Log[TTAF_Qty],T_TTAFStock_Log[Part Name],$A9,T_TTAFStock_Log[WeekIndex],31))</f>
        <v/>
      </c>
      <c r="AG9" s="19">
        <f>IF(COUNTIFS(T_TTAFStock_Log[Part Name],$A9,T_TTAFStock_Log[WeekIndex],32)=0,"",SUMIFS(T_TTAFStock_Log[TTAF_Qty],T_TTAFStock_Log[Part Name],$A9,T_TTAFStock_Log[WeekIndex],32))</f>
        <v/>
      </c>
      <c r="AH9" s="19">
        <f>IF(COUNTIFS(T_TTAFStock_Log[Part Name],$A9,T_TTAFStock_Log[WeekIndex],33)=0,"",SUMIFS(T_TTAFStock_Log[TTAF_Qty],T_TTAFStock_Log[Part Name],$A9,T_TTAFStock_Log[WeekIndex],33))</f>
        <v/>
      </c>
      <c r="AI9" s="19">
        <f>IF(COUNTIFS(T_TTAFStock_Log[Part Name],$A9,T_TTAFStock_Log[WeekIndex],34)=0,"",SUMIFS(T_TTAFStock_Log[TTAF_Qty],T_TTAFStock_Log[Part Name],$A9,T_TTAFStock_Log[WeekIndex],34))</f>
        <v/>
      </c>
      <c r="AJ9" s="19">
        <f>IF(COUNTIFS(T_TTAFStock_Log[Part Name],$A9,T_TTAFStock_Log[WeekIndex],35)=0,"",SUMIFS(T_TTAFStock_Log[TTAF_Qty],T_TTAFStock_Log[Part Name],$A9,T_TTAFStock_Log[WeekIndex],35))</f>
        <v/>
      </c>
      <c r="AK9" s="19">
        <f>IF(COUNTIFS(T_TTAFStock_Log[Part Name],$A9,T_TTAFStock_Log[WeekIndex],36)=0,"",SUMIFS(T_TTAFStock_Log[TTAF_Qty],T_TTAFStock_Log[Part Name],$A9,T_TTAFStock_Log[WeekIndex],36))</f>
        <v/>
      </c>
      <c r="AL9" s="19">
        <f>IF(COUNTIFS(T_TTAFStock_Log[Part Name],$A9,T_TTAFStock_Log[WeekIndex],37)=0,"",SUMIFS(T_TTAFStock_Log[TTAF_Qty],T_TTAFStock_Log[Part Name],$A9,T_TTAFStock_Log[WeekIndex],37))</f>
        <v/>
      </c>
      <c r="AM9" s="19">
        <f>IF(COUNTIFS(T_TTAFStock_Log[Part Name],$A9,T_TTAFStock_Log[WeekIndex],38)=0,"",SUMIFS(T_TTAFStock_Log[TTAF_Qty],T_TTAFStock_Log[Part Name],$A9,T_TTAFStock_Log[WeekIndex],38))</f>
        <v/>
      </c>
      <c r="AN9" s="19">
        <f>IF(COUNTIFS(T_TTAFStock_Log[Part Name],$A9,T_TTAFStock_Log[WeekIndex],39)=0,"",SUMIFS(T_TTAFStock_Log[TTAF_Qty],T_TTAFStock_Log[Part Name],$A9,T_TTAFStock_Log[WeekIndex],39))</f>
        <v/>
      </c>
      <c r="AO9" s="19">
        <f>IF(COUNTIFS(T_TTAFStock_Log[Part Name],$A9,T_TTAFStock_Log[WeekIndex],40)=0,"",SUMIFS(T_TTAFStock_Log[TTAF_Qty],T_TTAFStock_Log[Part Name],$A9,T_TTAFStock_Log[WeekIndex],40))</f>
        <v/>
      </c>
      <c r="AP9" s="19">
        <f>IF(COUNTIFS(T_TTAFStock_Log[Part Name],$A9,T_TTAFStock_Log[WeekIndex],41)=0,"",SUMIFS(T_TTAFStock_Log[TTAF_Qty],T_TTAFStock_Log[Part Name],$A9,T_TTAFStock_Log[WeekIndex],41))</f>
        <v/>
      </c>
      <c r="AQ9" s="19">
        <f>IF(COUNTIFS(T_TTAFStock_Log[Part Name],$A9,T_TTAFStock_Log[WeekIndex],42)=0,"",SUMIFS(T_TTAFStock_Log[TTAF_Qty],T_TTAFStock_Log[Part Name],$A9,T_TTAFStock_Log[WeekIndex],42))</f>
        <v/>
      </c>
      <c r="AR9" s="19">
        <f>IF(COUNTIFS(T_TTAFStock_Log[Part Name],$A9,T_TTAFStock_Log[WeekIndex],43)=0,"",SUMIFS(T_TTAFStock_Log[TTAF_Qty],T_TTAFStock_Log[Part Name],$A9,T_TTAFStock_Log[WeekIndex],43))</f>
        <v/>
      </c>
      <c r="AS9" s="19">
        <f>IF(COUNTIFS(T_TTAFStock_Log[Part Name],$A9,T_TTAFStock_Log[WeekIndex],44)=0,"",SUMIFS(T_TTAFStock_Log[TTAF_Qty],T_TTAFStock_Log[Part Name],$A9,T_TTAFStock_Log[WeekIndex],44))</f>
        <v/>
      </c>
      <c r="AT9" s="19">
        <f>IF(COUNTIFS(T_TTAFStock_Log[Part Name],$A9,T_TTAFStock_Log[WeekIndex],45)=0,"",SUMIFS(T_TTAFStock_Log[TTAF_Qty],T_TTAFStock_Log[Part Name],$A9,T_TTAFStock_Log[WeekIndex],45))</f>
        <v/>
      </c>
      <c r="AU9" s="19">
        <f>IF(COUNTIFS(T_TTAFStock_Log[Part Name],$A9,T_TTAFStock_Log[WeekIndex],46)=0,"",SUMIFS(T_TTAFStock_Log[TTAF_Qty],T_TTAFStock_Log[Part Name],$A9,T_TTAFStock_Log[WeekIndex],46))</f>
        <v/>
      </c>
      <c r="AV9" s="19">
        <f>IF(COUNTIFS(T_TTAFStock_Log[Part Name],$A9,T_TTAFStock_Log[WeekIndex],47)=0,"",SUMIFS(T_TTAFStock_Log[TTAF_Qty],T_TTAFStock_Log[Part Name],$A9,T_TTAFStock_Log[WeekIndex],47))</f>
        <v/>
      </c>
      <c r="AW9" s="19">
        <f>IF(COUNTIFS(T_TTAFStock_Log[Part Name],$A9,T_TTAFStock_Log[WeekIndex],48)=0,"",SUMIFS(T_TTAFStock_Log[TTAF_Qty],T_TTAFStock_Log[Part Name],$A9,T_TTAFStock_Log[WeekIndex],48))</f>
        <v/>
      </c>
      <c r="AX9" s="19">
        <f>IF(COUNTIFS(T_TTAFStock_Log[Part Name],$A9,T_TTAFStock_Log[WeekIndex],49)=0,"",SUMIFS(T_TTAFStock_Log[TTAF_Qty],T_TTAFStock_Log[Part Name],$A9,T_TTAFStock_Log[WeekIndex],49))</f>
        <v/>
      </c>
      <c r="AY9" s="19">
        <f>IF(COUNTIFS(T_TTAFStock_Log[Part Name],$A9,T_TTAFStock_Log[WeekIndex],50)=0,"",SUMIFS(T_TTAFStock_Log[TTAF_Qty],T_TTAFStock_Log[Part Name],$A9,T_TTAFStock_Log[WeekIndex],50))</f>
        <v/>
      </c>
      <c r="AZ9" s="19">
        <f>IF(COUNTIFS(T_TTAFStock_Log[Part Name],$A9,T_TTAFStock_Log[WeekIndex],51)=0,"",SUMIFS(T_TTAFStock_Log[TTAF_Qty],T_TTAFStock_Log[Part Name],$A9,T_TTAFStock_Log[WeekIndex],51))</f>
        <v/>
      </c>
      <c r="BA9" s="19">
        <f>IF(COUNTIFS(T_TTAFStock_Log[Part Name],$A9,T_TTAFStock_Log[WeekIndex],52)=0,"",SUMIFS(T_TTAFStock_Log[TTAF_Qty],T_TTAFStock_Log[Part Name],$A9,T_TTAFStock_Log[WeekIndex],52))</f>
        <v/>
      </c>
      <c r="BB9" s="19">
        <f>IF(COUNTIFS(T_TTAFStock_Log[Part Name],$A9,T_TTAFStock_Log[WeekIndex],53)=0,"",SUMIFS(T_TTAFStock_Log[TTAF_Qty],T_TTAFStock_Log[Part Name],$A9,T_TTAFStock_Log[WeekIndex],53))</f>
        <v/>
      </c>
      <c r="BC9" s="19">
        <f>IF(COUNTIFS(T_TTAFStock_Log[Part Name],$A9,T_TTAFStock_Log[WeekIndex],54)=0,"",SUMIFS(T_TTAFStock_Log[TTAF_Qty],T_TTAFStock_Log[Part Name],$A9,T_TTAFStock_Log[WeekIndex],54))</f>
        <v/>
      </c>
      <c r="BD9" s="19">
        <f>IF(COUNTIFS(T_TTAFStock_Log[Part Name],$A9,T_TTAFStock_Log[WeekIndex],55)=0,"",SUMIFS(T_TTAFStock_Log[TTAF_Qty],T_TTAFStock_Log[Part Name],$A9,T_TTAFStock_Log[WeekIndex],55))</f>
        <v/>
      </c>
      <c r="BE9" s="19">
        <f>IF(COUNTIFS(T_TTAFStock_Log[Part Name],$A9,T_TTAFStock_Log[WeekIndex],56)=0,"",SUMIFS(T_TTAFStock_Log[TTAF_Qty],T_TTAFStock_Log[Part Name],$A9,T_TTAFStock_Log[WeekIndex],56))</f>
        <v/>
      </c>
      <c r="BF9" s="19">
        <f>IF(COUNTIFS(T_TTAFStock_Log[Part Name],$A9,T_TTAFStock_Log[WeekIndex],57)=0,"",SUMIFS(T_TTAFStock_Log[TTAF_Qty],T_TTAFStock_Log[Part Name],$A9,T_TTAFStock_Log[WeekIndex],57))</f>
        <v/>
      </c>
      <c r="BG9" s="19">
        <f>IF(COUNTIFS(T_TTAFStock_Log[Part Name],$A9,T_TTAFStock_Log[WeekIndex],58)=0,"",SUMIFS(T_TTAFStock_Log[TTAF_Qty],T_TTAFStock_Log[Part Name],$A9,T_TTAFStock_Log[WeekIndex],58))</f>
        <v/>
      </c>
      <c r="BH9" s="19">
        <f>IF(COUNTIFS(T_TTAFStock_Log[Part Name],$A9,T_TTAFStock_Log[WeekIndex],59)=0,"",SUMIFS(T_TTAFStock_Log[TTAF_Qty],T_TTAFStock_Log[Part Name],$A9,T_TTAFStock_Log[WeekIndex],59))</f>
        <v/>
      </c>
      <c r="BI9" s="19">
        <f>IF(COUNTIFS(T_TTAFStock_Log[Part Name],$A9,T_TTAFStock_Log[WeekIndex],60)=0,"",SUMIFS(T_TTAFStock_Log[TTAF_Qty],T_TTAFStock_Log[Part Name],$A9,T_TTAFStock_Log[WeekIndex],60))</f>
        <v/>
      </c>
      <c r="BJ9" s="19">
        <f>IF(COUNTIFS(T_TTAFStock_Log[Part Name],$A9,T_TTAFStock_Log[WeekIndex],61)=0,"",SUMIFS(T_TTAFStock_Log[TTAF_Qty],T_TTAFStock_Log[Part Name],$A9,T_TTAFStock_Log[WeekIndex],61))</f>
        <v/>
      </c>
      <c r="BK9" s="19">
        <f>IF(COUNTIFS(T_TTAFStock_Log[Part Name],$A9,T_TTAFStock_Log[WeekIndex],62)=0,"",SUMIFS(T_TTAFStock_Log[TTAF_Qty],T_TTAFStock_Log[Part Name],$A9,T_TTAFStock_Log[WeekIndex],62))</f>
        <v/>
      </c>
      <c r="BL9" s="19">
        <f>IF(COUNTIFS(T_TTAFStock_Log[Part Name],$A9,T_TTAFStock_Log[WeekIndex],63)=0,"",SUMIFS(T_TTAFStock_Log[TTAF_Qty],T_TTAFStock_Log[Part Name],$A9,T_TTAFStock_Log[WeekIndex],63))</f>
        <v/>
      </c>
      <c r="BM9" s="19">
        <f>IF(COUNTIFS(T_TTAFStock_Log[Part Name],$A9,T_TTAFStock_Log[WeekIndex],64)=0,"",SUMIFS(T_TTAFStock_Log[TTAF_Qty],T_TTAFStock_Log[Part Name],$A9,T_TTAFStock_Log[WeekIndex],64))</f>
        <v/>
      </c>
      <c r="BN9" s="19">
        <f>IF(COUNTIFS(T_TTAFStock_Log[Part Name],$A9,T_TTAFStock_Log[WeekIndex],65)=0,"",SUMIFS(T_TTAFStock_Log[TTAF_Qty],T_TTAFStock_Log[Part Name],$A9,T_TTAFStock_Log[WeekIndex],65))</f>
        <v/>
      </c>
      <c r="BO9" s="19">
        <f>IF(COUNTIFS(T_TTAFStock_Log[Part Name],$A9,T_TTAFStock_Log[WeekIndex],66)=0,"",SUMIFS(T_TTAFStock_Log[TTAF_Qty],T_TTAFStock_Log[Part Name],$A9,T_TTAFStock_Log[WeekIndex],66))</f>
        <v/>
      </c>
      <c r="BP9" s="19">
        <f>IF(COUNTIFS(T_TTAFStock_Log[Part Name],$A9,T_TTAFStock_Log[WeekIndex],67)=0,"",SUMIFS(T_TTAFStock_Log[TTAF_Qty],T_TTAFStock_Log[Part Name],$A9,T_TTAFStock_Log[WeekIndex],67))</f>
        <v/>
      </c>
      <c r="BQ9" s="19">
        <f>IF(COUNTIFS(T_TTAFStock_Log[Part Name],$A9,T_TTAFStock_Log[WeekIndex],68)=0,"",SUMIFS(T_TTAFStock_Log[TTAF_Qty],T_TTAFStock_Log[Part Name],$A9,T_TTAFStock_Log[WeekIndex],68))</f>
        <v/>
      </c>
      <c r="BR9" s="19">
        <f>IF(COUNTIFS(T_TTAFStock_Log[Part Name],$A9,T_TTAFStock_Log[WeekIndex],69)=0,"",SUMIFS(T_TTAFStock_Log[TTAF_Qty],T_TTAFStock_Log[Part Name],$A9,T_TTAFStock_Log[WeekIndex],69))</f>
        <v/>
      </c>
      <c r="BS9" s="19">
        <f>IF(COUNTIFS(T_TTAFStock_Log[Part Name],$A9,T_TTAFStock_Log[WeekIndex],70)=0,"",SUMIFS(T_TTAFStock_Log[TTAF_Qty],T_TTAFStock_Log[Part Name],$A9,T_TTAFStock_Log[WeekIndex],70))</f>
        <v/>
      </c>
      <c r="BT9" s="19">
        <f>IF(COUNTIFS(T_TTAFStock_Log[Part Name],$A9,T_TTAFStock_Log[WeekIndex],71)=0,"",SUMIFS(T_TTAFStock_Log[TTAF_Qty],T_TTAFStock_Log[Part Name],$A9,T_TTAFStock_Log[WeekIndex],71))</f>
        <v/>
      </c>
      <c r="BU9" s="19">
        <f>IF(COUNTIFS(T_TTAFStock_Log[Part Name],$A9,T_TTAFStock_Log[WeekIndex],72)=0,"",SUMIFS(T_TTAFStock_Log[TTAF_Qty],T_TTAFStock_Log[Part Name],$A9,T_TTAFStock_Log[WeekIndex],72))</f>
        <v/>
      </c>
      <c r="BV9" s="19">
        <f>IF(COUNTIFS(T_TTAFStock_Log[Part Name],$A9,T_TTAFStock_Log[WeekIndex],73)=0,"",SUMIFS(T_TTAFStock_Log[TTAF_Qty],T_TTAFStock_Log[Part Name],$A9,T_TTAFStock_Log[WeekIndex],73))</f>
        <v/>
      </c>
      <c r="BW9" s="19">
        <f>IF(COUNTIFS(T_TTAFStock_Log[Part Name],$A9,T_TTAFStock_Log[WeekIndex],74)=0,"",SUMIFS(T_TTAFStock_Log[TTAF_Qty],T_TTAFStock_Log[Part Name],$A9,T_TTAFStock_Log[WeekIndex],74))</f>
        <v/>
      </c>
      <c r="BX9" s="19">
        <f>IF(COUNTIFS(T_TTAFStock_Log[Part Name],$A9,T_TTAFStock_Log[WeekIndex],75)=0,"",SUMIFS(T_TTAFStock_Log[TTAF_Qty],T_TTAFStock_Log[Part Name],$A9,T_TTAFStock_Log[WeekIndex],75))</f>
        <v/>
      </c>
      <c r="BY9" s="19">
        <f>IF(COUNTIFS(T_TTAFStock_Log[Part Name],$A9,T_TTAFStock_Log[WeekIndex],76)=0,"",SUMIFS(T_TTAFStock_Log[TTAF_Qty],T_TTAFStock_Log[Part Name],$A9,T_TTAFStock_Log[WeekIndex],76))</f>
        <v/>
      </c>
      <c r="BZ9" s="19">
        <f>IF(COUNTIFS(T_TTAFStock_Log[Part Name],$A9,T_TTAFStock_Log[WeekIndex],77)=0,"",SUMIFS(T_TTAFStock_Log[TTAF_Qty],T_TTAFStock_Log[Part Name],$A9,T_TTAFStock_Log[WeekIndex],77))</f>
        <v/>
      </c>
      <c r="CA9" s="19">
        <f>IF(COUNTIFS(T_TTAFStock_Log[Part Name],$A9,T_TTAFStock_Log[WeekIndex],78)=0,"",SUMIFS(T_TTAFStock_Log[TTAF_Qty],T_TTAFStock_Log[Part Name],$A9,T_TTAFStock_Log[WeekIndex],78))</f>
        <v/>
      </c>
      <c r="CB9" s="19">
        <f>IF(COUNTIFS(T_TTAFStock_Log[Part Name],$A9,T_TTAFStock_Log[WeekIndex],79)=0,"",SUMIFS(T_TTAFStock_Log[TTAF_Qty],T_TTAFStock_Log[Part Name],$A9,T_TTAFStock_Log[WeekIndex],79))</f>
        <v/>
      </c>
      <c r="CC9" s="19">
        <f>IF(COUNTIFS(T_TTAFStock_Log[Part Name],$A9,T_TTAFStock_Log[WeekIndex],80)=0,"",SUMIFS(T_TTAFStock_Log[TTAF_Qty],T_TTAFStock_Log[Part Name],$A9,T_TTAFStock_Log[WeekIndex],80))</f>
        <v/>
      </c>
      <c r="CD9" s="19">
        <f>IF(COUNTIFS(T_TTAFStock_Log[Part Name],$A9,T_TTAFStock_Log[WeekIndex],81)=0,"",SUMIFS(T_TTAFStock_Log[TTAF_Qty],T_TTAFStock_Log[Part Name],$A9,T_TTAFStock_Log[WeekIndex],81))</f>
        <v/>
      </c>
      <c r="CE9" s="19">
        <f>IF(COUNTIFS(T_TTAFStock_Log[Part Name],$A9,T_TTAFStock_Log[WeekIndex],82)=0,"",SUMIFS(T_TTAFStock_Log[TTAF_Qty],T_TTAFStock_Log[Part Name],$A9,T_TTAFStock_Log[WeekIndex],82))</f>
        <v/>
      </c>
      <c r="CF9" s="19">
        <f>IF(COUNTIFS(T_TTAFStock_Log[Part Name],$A9,T_TTAFStock_Log[WeekIndex],83)=0,"",SUMIFS(T_TTAFStock_Log[TTAF_Qty],T_TTAFStock_Log[Part Name],$A9,T_TTAFStock_Log[WeekIndex],83))</f>
        <v/>
      </c>
      <c r="CG9" s="19">
        <f>IF(COUNTIFS(T_TTAFStock_Log[Part Name],$A9,T_TTAFStock_Log[WeekIndex],84)=0,"",SUMIFS(T_TTAFStock_Log[TTAF_Qty],T_TTAFStock_Log[Part Name],$A9,T_TTAFStock_Log[WeekIndex],84))</f>
        <v/>
      </c>
      <c r="CH9" s="19">
        <f>IF(COUNTIFS(T_TTAFStock_Log[Part Name],$A9,T_TTAFStock_Log[WeekIndex],85)=0,"",SUMIFS(T_TTAFStock_Log[TTAF_Qty],T_TTAFStock_Log[Part Name],$A9,T_TTAFStock_Log[WeekIndex],85))</f>
        <v/>
      </c>
      <c r="CI9" s="19">
        <f>IF(COUNTIFS(T_TTAFStock_Log[Part Name],$A9,T_TTAFStock_Log[WeekIndex],86)=0,"",SUMIFS(T_TTAFStock_Log[TTAF_Qty],T_TTAFStock_Log[Part Name],$A9,T_TTAFStock_Log[WeekIndex],86))</f>
        <v/>
      </c>
      <c r="CJ9" s="19">
        <f>IF(COUNTIFS(T_TTAFStock_Log[Part Name],$A9,T_TTAFStock_Log[WeekIndex],87)=0,"",SUMIFS(T_TTAFStock_Log[TTAF_Qty],T_TTAFStock_Log[Part Name],$A9,T_TTAFStock_Log[WeekIndex],87))</f>
        <v/>
      </c>
      <c r="CK9" s="19">
        <f>IF(COUNTIFS(T_TTAFStock_Log[Part Name],$A9,T_TTAFStock_Log[WeekIndex],88)=0,"",SUMIFS(T_TTAFStock_Log[TTAF_Qty],T_TTAFStock_Log[Part Name],$A9,T_TTAFStock_Log[WeekIndex],88))</f>
        <v/>
      </c>
      <c r="CL9" s="19">
        <f>IF(COUNTIFS(T_TTAFStock_Log[Part Name],$A9,T_TTAFStock_Log[WeekIndex],89)=0,"",SUMIFS(T_TTAFStock_Log[TTAF_Qty],T_TTAFStock_Log[Part Name],$A9,T_TTAFStock_Log[WeekIndex],89))</f>
        <v/>
      </c>
      <c r="CM9" s="19">
        <f>IF(COUNTIFS(T_TTAFStock_Log[Part Name],$A9,T_TTAFStock_Log[WeekIndex],90)=0,"",SUMIFS(T_TTAFStock_Log[TTAF_Qty],T_TTAFStock_Log[Part Name],$A9,T_TTAFStock_Log[WeekIndex],90))</f>
        <v/>
      </c>
      <c r="CN9" s="19">
        <f>IF(COUNTIFS(T_TTAFStock_Log[Part Name],$A9,T_TTAFStock_Log[WeekIndex],91)=0,"",SUMIFS(T_TTAFStock_Log[TTAF_Qty],T_TTAFStock_Log[Part Name],$A9,T_TTAFStock_Log[WeekIndex],91))</f>
        <v/>
      </c>
      <c r="CO9" s="19">
        <f>IF(COUNTIFS(T_TTAFStock_Log[Part Name],$A9,T_TTAFStock_Log[WeekIndex],92)=0,"",SUMIFS(T_TTAFStock_Log[TTAF_Qty],T_TTAFStock_Log[Part Name],$A9,T_TTAFStock_Log[WeekIndex],92))</f>
        <v/>
      </c>
      <c r="CP9" s="19">
        <f>IF(COUNTIFS(T_TTAFStock_Log[Part Name],$A9,T_TTAFStock_Log[WeekIndex],93)=0,"",SUMIFS(T_TTAFStock_Log[TTAF_Qty],T_TTAFStock_Log[Part Name],$A9,T_TTAFStock_Log[WeekIndex],93))</f>
        <v/>
      </c>
      <c r="CQ9" s="19">
        <f>IF(COUNTIFS(T_TTAFStock_Log[Part Name],$A9,T_TTAFStock_Log[WeekIndex],94)=0,"",SUMIFS(T_TTAFStock_Log[TTAF_Qty],T_TTAFStock_Log[Part Name],$A9,T_TTAFStock_Log[WeekIndex],94))</f>
        <v/>
      </c>
      <c r="CR9" s="19">
        <f>IF(COUNTIFS(T_TTAFStock_Log[Part Name],$A9,T_TTAFStock_Log[WeekIndex],95)=0,"",SUMIFS(T_TTAFStock_Log[TTAF_Qty],T_TTAFStock_Log[Part Name],$A9,T_TTAFStock_Log[WeekIndex],95))</f>
        <v/>
      </c>
      <c r="CS9" s="19">
        <f>IF(COUNTIFS(T_TTAFStock_Log[Part Name],$A9,T_TTAFStock_Log[WeekIndex],96)=0,"",SUMIFS(T_TTAFStock_Log[TTAF_Qty],T_TTAFStock_Log[Part Name],$A9,T_TTAFStock_Log[WeekIndex],96))</f>
        <v/>
      </c>
      <c r="CT9" s="19">
        <f>IF(COUNTIFS(T_TTAFStock_Log[Part Name],$A9,T_TTAFStock_Log[WeekIndex],97)=0,"",SUMIFS(T_TTAFStock_Log[TTAF_Qty],T_TTAFStock_Log[Part Name],$A9,T_TTAFStock_Log[WeekIndex],97))</f>
        <v/>
      </c>
      <c r="CU9" s="19">
        <f>IF(COUNTIFS(T_TTAFStock_Log[Part Name],$A9,T_TTAFStock_Log[WeekIndex],98)=0,"",SUMIFS(T_TTAFStock_Log[TTAF_Qty],T_TTAFStock_Log[Part Name],$A9,T_TTAFStock_Log[WeekIndex],98))</f>
        <v/>
      </c>
      <c r="CV9" s="19">
        <f>IF(COUNTIFS(T_TTAFStock_Log[Part Name],$A9,T_TTAFStock_Log[WeekIndex],99)=0,"",SUMIFS(T_TTAFStock_Log[TTAF_Qty],T_TTAFStock_Log[Part Name],$A9,T_TTAFStock_Log[WeekIndex],99))</f>
        <v/>
      </c>
      <c r="CW9" s="19">
        <f>IF(COUNTIFS(T_TTAFStock_Log[Part Name],$A9,T_TTAFStock_Log[WeekIndex],100)=0,"",SUMIFS(T_TTAFStock_Log[TTAF_Qty],T_TTAFStock_Log[Part Name],$A9,T_TTAFStock_Log[WeekIndex],100))</f>
        <v/>
      </c>
      <c r="CX9" s="19">
        <f>IF(COUNTIFS(T_TTAFStock_Log[Part Name],$A9,T_TTAFStock_Log[WeekIndex],101)=0,"",SUMIFS(T_TTAFStock_Log[TTAF_Qty],T_TTAFStock_Log[Part Name],$A9,T_TTAFStock_Log[WeekIndex],101))</f>
        <v/>
      </c>
      <c r="CY9" s="19">
        <f>IF(COUNTIFS(T_TTAFStock_Log[Part Name],$A9,T_TTAFStock_Log[WeekIndex],102)=0,"",SUMIFS(T_TTAFStock_Log[TTAF_Qty],T_TTAFStock_Log[Part Name],$A9,T_TTAFStock_Log[WeekIndex],102))</f>
        <v/>
      </c>
      <c r="CZ9" s="19">
        <f>IF(COUNTIFS(T_TTAFStock_Log[Part Name],$A9,T_TTAFStock_Log[WeekIndex],103)=0,"",SUMIFS(T_TTAFStock_Log[TTAF_Qty],T_TTAFStock_Log[Part Name],$A9,T_TTAFStock_Log[WeekIndex],103))</f>
        <v/>
      </c>
      <c r="DA9" s="19">
        <f>IF(COUNTIFS(T_TTAFStock_Log[Part Name],$A9,T_TTAFStock_Log[WeekIndex],104)=0,"",SUMIFS(T_TTAFStock_Log[TTAF_Qty],T_TTAFStock_Log[Part Name],$A9,T_TTAFStock_Log[WeekIndex],104))</f>
        <v/>
      </c>
    </row>
    <row r="10">
      <c r="A10" s="17" t="inlineStr">
        <is>
          <t>7CL</t>
        </is>
      </c>
      <c r="B10" s="17">
        <f>IF(COUNTIFS(T_TTAFStock_Log[Part Name],$A10,T_TTAFStock_Log[WeekIndex],1)=0,"",SUMIFS(T_TTAFStock_Log[TTAF_Qty],T_TTAFStock_Log[Part Name],$A10,T_TTAFStock_Log[WeekIndex],1))</f>
        <v/>
      </c>
      <c r="C10" s="17">
        <f>IF(COUNTIFS(T_TTAFStock_Log[Part Name],$A10,T_TTAFStock_Log[WeekIndex],2)=0,"",SUMIFS(T_TTAFStock_Log[TTAF_Qty],T_TTAFStock_Log[Part Name],$A10,T_TTAFStock_Log[WeekIndex],2))</f>
        <v/>
      </c>
      <c r="D10" s="17">
        <f>IF(COUNTIFS(T_TTAFStock_Log[Part Name],$A10,T_TTAFStock_Log[WeekIndex],3)=0,"",SUMIFS(T_TTAFStock_Log[TTAF_Qty],T_TTAFStock_Log[Part Name],$A10,T_TTAFStock_Log[WeekIndex],3))</f>
        <v/>
      </c>
      <c r="E10" s="17">
        <f>IF(COUNTIFS(T_TTAFStock_Log[Part Name],$A10,T_TTAFStock_Log[WeekIndex],4)=0,"",SUMIFS(T_TTAFStock_Log[TTAF_Qty],T_TTAFStock_Log[Part Name],$A10,T_TTAFStock_Log[WeekIndex],4))</f>
        <v/>
      </c>
      <c r="F10" s="17">
        <f>IF(COUNTIFS(T_TTAFStock_Log[Part Name],$A10,T_TTAFStock_Log[WeekIndex],5)=0,"",SUMIFS(T_TTAFStock_Log[TTAF_Qty],T_TTAFStock_Log[Part Name],$A10,T_TTAFStock_Log[WeekIndex],5))</f>
        <v/>
      </c>
      <c r="G10" s="17">
        <f>IF(COUNTIFS(T_TTAFStock_Log[Part Name],$A10,T_TTAFStock_Log[WeekIndex],6)=0,"",SUMIFS(T_TTAFStock_Log[TTAF_Qty],T_TTAFStock_Log[Part Name],$A10,T_TTAFStock_Log[WeekIndex],6))</f>
        <v/>
      </c>
      <c r="H10" s="17">
        <f>IF(COUNTIFS(T_TTAFStock_Log[Part Name],$A10,T_TTAFStock_Log[WeekIndex],7)=0,"",SUMIFS(T_TTAFStock_Log[TTAF_Qty],T_TTAFStock_Log[Part Name],$A10,T_TTAFStock_Log[WeekIndex],7))</f>
        <v/>
      </c>
      <c r="I10" s="17">
        <f>IF(COUNTIFS(T_TTAFStock_Log[Part Name],$A10,T_TTAFStock_Log[WeekIndex],8)=0,"",SUMIFS(T_TTAFStock_Log[TTAF_Qty],T_TTAFStock_Log[Part Name],$A10,T_TTAFStock_Log[WeekIndex],8))</f>
        <v/>
      </c>
      <c r="J10" s="17">
        <f>IF(COUNTIFS(T_TTAFStock_Log[Part Name],$A10,T_TTAFStock_Log[WeekIndex],9)=0,"",SUMIFS(T_TTAFStock_Log[TTAF_Qty],T_TTAFStock_Log[Part Name],$A10,T_TTAFStock_Log[WeekIndex],9))</f>
        <v/>
      </c>
      <c r="K10" s="17">
        <f>IF(COUNTIFS(T_TTAFStock_Log[Part Name],$A10,T_TTAFStock_Log[WeekIndex],10)=0,"",SUMIFS(T_TTAFStock_Log[TTAF_Qty],T_TTAFStock_Log[Part Name],$A10,T_TTAFStock_Log[WeekIndex],10))</f>
        <v/>
      </c>
      <c r="L10" s="17">
        <f>IF(COUNTIFS(T_TTAFStock_Log[Part Name],$A10,T_TTAFStock_Log[WeekIndex],11)=0,"",SUMIFS(T_TTAFStock_Log[TTAF_Qty],T_TTAFStock_Log[Part Name],$A10,T_TTAFStock_Log[WeekIndex],11))</f>
        <v/>
      </c>
      <c r="M10" s="17">
        <f>IF(COUNTIFS(T_TTAFStock_Log[Part Name],$A10,T_TTAFStock_Log[WeekIndex],12)=0,"",SUMIFS(T_TTAFStock_Log[TTAF_Qty],T_TTAFStock_Log[Part Name],$A10,T_TTAFStock_Log[WeekIndex],12))</f>
        <v/>
      </c>
      <c r="N10" s="17">
        <f>IF(COUNTIFS(T_TTAFStock_Log[Part Name],$A10,T_TTAFStock_Log[WeekIndex],13)=0,"",SUMIFS(T_TTAFStock_Log[TTAF_Qty],T_TTAFStock_Log[Part Name],$A10,T_TTAFStock_Log[WeekIndex],13))</f>
        <v/>
      </c>
      <c r="O10" s="17">
        <f>IF(COUNTIFS(T_TTAFStock_Log[Part Name],$A10,T_TTAFStock_Log[WeekIndex],14)=0,"",SUMIFS(T_TTAFStock_Log[TTAF_Qty],T_TTAFStock_Log[Part Name],$A10,T_TTAFStock_Log[WeekIndex],14))</f>
        <v/>
      </c>
      <c r="P10" s="17">
        <f>IF(COUNTIFS(T_TTAFStock_Log[Part Name],$A10,T_TTAFStock_Log[WeekIndex],15)=0,"",SUMIFS(T_TTAFStock_Log[TTAF_Qty],T_TTAFStock_Log[Part Name],$A10,T_TTAFStock_Log[WeekIndex],15))</f>
        <v/>
      </c>
      <c r="Q10" s="17">
        <f>IF(COUNTIFS(T_TTAFStock_Log[Part Name],$A10,T_TTAFStock_Log[WeekIndex],16)=0,"",SUMIFS(T_TTAFStock_Log[TTAF_Qty],T_TTAFStock_Log[Part Name],$A10,T_TTAFStock_Log[WeekIndex],16))</f>
        <v/>
      </c>
      <c r="R10" s="17">
        <f>IF(COUNTIFS(T_TTAFStock_Log[Part Name],$A10,T_TTAFStock_Log[WeekIndex],17)=0,"",SUMIFS(T_TTAFStock_Log[TTAF_Qty],T_TTAFStock_Log[Part Name],$A10,T_TTAFStock_Log[WeekIndex],17))</f>
        <v/>
      </c>
      <c r="S10" s="17">
        <f>IF(COUNTIFS(T_TTAFStock_Log[Part Name],$A10,T_TTAFStock_Log[WeekIndex],18)=0,"",SUMIFS(T_TTAFStock_Log[TTAF_Qty],T_TTAFStock_Log[Part Name],$A10,T_TTAFStock_Log[WeekIndex],18))</f>
        <v/>
      </c>
      <c r="T10" s="17">
        <f>IF(COUNTIFS(T_TTAFStock_Log[Part Name],$A10,T_TTAFStock_Log[WeekIndex],19)=0,"",SUMIFS(T_TTAFStock_Log[TTAF_Qty],T_TTAFStock_Log[Part Name],$A10,T_TTAFStock_Log[WeekIndex],19))</f>
        <v/>
      </c>
      <c r="U10" s="17">
        <f>IF(COUNTIFS(T_TTAFStock_Log[Part Name],$A10,T_TTAFStock_Log[WeekIndex],20)=0,"",SUMIFS(T_TTAFStock_Log[TTAF_Qty],T_TTAFStock_Log[Part Name],$A10,T_TTAFStock_Log[WeekIndex],20))</f>
        <v/>
      </c>
      <c r="V10" s="17">
        <f>IF(COUNTIFS(T_TTAFStock_Log[Part Name],$A10,T_TTAFStock_Log[WeekIndex],21)=0,"",SUMIFS(T_TTAFStock_Log[TTAF_Qty],T_TTAFStock_Log[Part Name],$A10,T_TTAFStock_Log[WeekIndex],21))</f>
        <v/>
      </c>
      <c r="W10" s="17">
        <f>IF(COUNTIFS(T_TTAFStock_Log[Part Name],$A10,T_TTAFStock_Log[WeekIndex],22)=0,"",SUMIFS(T_TTAFStock_Log[TTAF_Qty],T_TTAFStock_Log[Part Name],$A10,T_TTAFStock_Log[WeekIndex],22))</f>
        <v/>
      </c>
      <c r="X10" s="17">
        <f>IF(COUNTIFS(T_TTAFStock_Log[Part Name],$A10,T_TTAFStock_Log[WeekIndex],23)=0,"",SUMIFS(T_TTAFStock_Log[TTAF_Qty],T_TTAFStock_Log[Part Name],$A10,T_TTAFStock_Log[WeekIndex],23))</f>
        <v/>
      </c>
      <c r="Y10" s="17">
        <f>IF(COUNTIFS(T_TTAFStock_Log[Part Name],$A10,T_TTAFStock_Log[WeekIndex],24)=0,"",SUMIFS(T_TTAFStock_Log[TTAF_Qty],T_TTAFStock_Log[Part Name],$A10,T_TTAFStock_Log[WeekIndex],24))</f>
        <v/>
      </c>
      <c r="Z10" s="17">
        <f>IF(COUNTIFS(T_TTAFStock_Log[Part Name],$A10,T_TTAFStock_Log[WeekIndex],25)=0,"",SUMIFS(T_TTAFStock_Log[TTAF_Qty],T_TTAFStock_Log[Part Name],$A10,T_TTAFStock_Log[WeekIndex],25))</f>
        <v/>
      </c>
      <c r="AA10" s="17">
        <f>IF(COUNTIFS(T_TTAFStock_Log[Part Name],$A10,T_TTAFStock_Log[WeekIndex],26)=0,"",SUMIFS(T_TTAFStock_Log[TTAF_Qty],T_TTAFStock_Log[Part Name],$A10,T_TTAFStock_Log[WeekIndex],26))</f>
        <v/>
      </c>
      <c r="AB10" s="17">
        <f>IF(COUNTIFS(T_TTAFStock_Log[Part Name],$A10,T_TTAFStock_Log[WeekIndex],27)=0,"",SUMIFS(T_TTAFStock_Log[TTAF_Qty],T_TTAFStock_Log[Part Name],$A10,T_TTAFStock_Log[WeekIndex],27))</f>
        <v/>
      </c>
      <c r="AC10" s="17">
        <f>IF(COUNTIFS(T_TTAFStock_Log[Part Name],$A10,T_TTAFStock_Log[WeekIndex],28)=0,"",SUMIFS(T_TTAFStock_Log[TTAF_Qty],T_TTAFStock_Log[Part Name],$A10,T_TTAFStock_Log[WeekIndex],28))</f>
        <v/>
      </c>
      <c r="AD10" s="17">
        <f>IF(COUNTIFS(T_TTAFStock_Log[Part Name],$A10,T_TTAFStock_Log[WeekIndex],29)=0,"",SUMIFS(T_TTAFStock_Log[TTAF_Qty],T_TTAFStock_Log[Part Name],$A10,T_TTAFStock_Log[WeekIndex],29))</f>
        <v/>
      </c>
      <c r="AE10" s="17">
        <f>IF(COUNTIFS(T_TTAFStock_Log[Part Name],$A10,T_TTAFStock_Log[WeekIndex],30)=0,"",SUMIFS(T_TTAFStock_Log[TTAF_Qty],T_TTAFStock_Log[Part Name],$A10,T_TTAFStock_Log[WeekIndex],30))</f>
        <v/>
      </c>
      <c r="AF10" s="17">
        <f>IF(COUNTIFS(T_TTAFStock_Log[Part Name],$A10,T_TTAFStock_Log[WeekIndex],31)=0,"",SUMIFS(T_TTAFStock_Log[TTAF_Qty],T_TTAFStock_Log[Part Name],$A10,T_TTAFStock_Log[WeekIndex],31))</f>
        <v/>
      </c>
      <c r="AG10" s="17">
        <f>IF(COUNTIFS(T_TTAFStock_Log[Part Name],$A10,T_TTAFStock_Log[WeekIndex],32)=0,"",SUMIFS(T_TTAFStock_Log[TTAF_Qty],T_TTAFStock_Log[Part Name],$A10,T_TTAFStock_Log[WeekIndex],32))</f>
        <v/>
      </c>
      <c r="AH10" s="17">
        <f>IF(COUNTIFS(T_TTAFStock_Log[Part Name],$A10,T_TTAFStock_Log[WeekIndex],33)=0,"",SUMIFS(T_TTAFStock_Log[TTAF_Qty],T_TTAFStock_Log[Part Name],$A10,T_TTAFStock_Log[WeekIndex],33))</f>
        <v/>
      </c>
      <c r="AI10" s="17">
        <f>IF(COUNTIFS(T_TTAFStock_Log[Part Name],$A10,T_TTAFStock_Log[WeekIndex],34)=0,"",SUMIFS(T_TTAFStock_Log[TTAF_Qty],T_TTAFStock_Log[Part Name],$A10,T_TTAFStock_Log[WeekIndex],34))</f>
        <v/>
      </c>
      <c r="AJ10" s="17">
        <f>IF(COUNTIFS(T_TTAFStock_Log[Part Name],$A10,T_TTAFStock_Log[WeekIndex],35)=0,"",SUMIFS(T_TTAFStock_Log[TTAF_Qty],T_TTAFStock_Log[Part Name],$A10,T_TTAFStock_Log[WeekIndex],35))</f>
        <v/>
      </c>
      <c r="AK10" s="17">
        <f>IF(COUNTIFS(T_TTAFStock_Log[Part Name],$A10,T_TTAFStock_Log[WeekIndex],36)=0,"",SUMIFS(T_TTAFStock_Log[TTAF_Qty],T_TTAFStock_Log[Part Name],$A10,T_TTAFStock_Log[WeekIndex],36))</f>
        <v/>
      </c>
      <c r="AL10" s="17">
        <f>IF(COUNTIFS(T_TTAFStock_Log[Part Name],$A10,T_TTAFStock_Log[WeekIndex],37)=0,"",SUMIFS(T_TTAFStock_Log[TTAF_Qty],T_TTAFStock_Log[Part Name],$A10,T_TTAFStock_Log[WeekIndex],37))</f>
        <v/>
      </c>
      <c r="AM10" s="17">
        <f>IF(COUNTIFS(T_TTAFStock_Log[Part Name],$A10,T_TTAFStock_Log[WeekIndex],38)=0,"",SUMIFS(T_TTAFStock_Log[TTAF_Qty],T_TTAFStock_Log[Part Name],$A10,T_TTAFStock_Log[WeekIndex],38))</f>
        <v/>
      </c>
      <c r="AN10" s="17">
        <f>IF(COUNTIFS(T_TTAFStock_Log[Part Name],$A10,T_TTAFStock_Log[WeekIndex],39)=0,"",SUMIFS(T_TTAFStock_Log[TTAF_Qty],T_TTAFStock_Log[Part Name],$A10,T_TTAFStock_Log[WeekIndex],39))</f>
        <v/>
      </c>
      <c r="AO10" s="17">
        <f>IF(COUNTIFS(T_TTAFStock_Log[Part Name],$A10,T_TTAFStock_Log[WeekIndex],40)=0,"",SUMIFS(T_TTAFStock_Log[TTAF_Qty],T_TTAFStock_Log[Part Name],$A10,T_TTAFStock_Log[WeekIndex],40))</f>
        <v/>
      </c>
      <c r="AP10" s="17">
        <f>IF(COUNTIFS(T_TTAFStock_Log[Part Name],$A10,T_TTAFStock_Log[WeekIndex],41)=0,"",SUMIFS(T_TTAFStock_Log[TTAF_Qty],T_TTAFStock_Log[Part Name],$A10,T_TTAFStock_Log[WeekIndex],41))</f>
        <v/>
      </c>
      <c r="AQ10" s="17">
        <f>IF(COUNTIFS(T_TTAFStock_Log[Part Name],$A10,T_TTAFStock_Log[WeekIndex],42)=0,"",SUMIFS(T_TTAFStock_Log[TTAF_Qty],T_TTAFStock_Log[Part Name],$A10,T_TTAFStock_Log[WeekIndex],42))</f>
        <v/>
      </c>
      <c r="AR10" s="17">
        <f>IF(COUNTIFS(T_TTAFStock_Log[Part Name],$A10,T_TTAFStock_Log[WeekIndex],43)=0,"",SUMIFS(T_TTAFStock_Log[TTAF_Qty],T_TTAFStock_Log[Part Name],$A10,T_TTAFStock_Log[WeekIndex],43))</f>
        <v/>
      </c>
      <c r="AS10" s="17">
        <f>IF(COUNTIFS(T_TTAFStock_Log[Part Name],$A10,T_TTAFStock_Log[WeekIndex],44)=0,"",SUMIFS(T_TTAFStock_Log[TTAF_Qty],T_TTAFStock_Log[Part Name],$A10,T_TTAFStock_Log[WeekIndex],44))</f>
        <v/>
      </c>
      <c r="AT10" s="17">
        <f>IF(COUNTIFS(T_TTAFStock_Log[Part Name],$A10,T_TTAFStock_Log[WeekIndex],45)=0,"",SUMIFS(T_TTAFStock_Log[TTAF_Qty],T_TTAFStock_Log[Part Name],$A10,T_TTAFStock_Log[WeekIndex],45))</f>
        <v/>
      </c>
      <c r="AU10" s="17">
        <f>IF(COUNTIFS(T_TTAFStock_Log[Part Name],$A10,T_TTAFStock_Log[WeekIndex],46)=0,"",SUMIFS(T_TTAFStock_Log[TTAF_Qty],T_TTAFStock_Log[Part Name],$A10,T_TTAFStock_Log[WeekIndex],46))</f>
        <v/>
      </c>
      <c r="AV10" s="17">
        <f>IF(COUNTIFS(T_TTAFStock_Log[Part Name],$A10,T_TTAFStock_Log[WeekIndex],47)=0,"",SUMIFS(T_TTAFStock_Log[TTAF_Qty],T_TTAFStock_Log[Part Name],$A10,T_TTAFStock_Log[WeekIndex],47))</f>
        <v/>
      </c>
      <c r="AW10" s="17">
        <f>IF(COUNTIFS(T_TTAFStock_Log[Part Name],$A10,T_TTAFStock_Log[WeekIndex],48)=0,"",SUMIFS(T_TTAFStock_Log[TTAF_Qty],T_TTAFStock_Log[Part Name],$A10,T_TTAFStock_Log[WeekIndex],48))</f>
        <v/>
      </c>
      <c r="AX10" s="17">
        <f>IF(COUNTIFS(T_TTAFStock_Log[Part Name],$A10,T_TTAFStock_Log[WeekIndex],49)=0,"",SUMIFS(T_TTAFStock_Log[TTAF_Qty],T_TTAFStock_Log[Part Name],$A10,T_TTAFStock_Log[WeekIndex],49))</f>
        <v/>
      </c>
      <c r="AY10" s="17">
        <f>IF(COUNTIFS(T_TTAFStock_Log[Part Name],$A10,T_TTAFStock_Log[WeekIndex],50)=0,"",SUMIFS(T_TTAFStock_Log[TTAF_Qty],T_TTAFStock_Log[Part Name],$A10,T_TTAFStock_Log[WeekIndex],50))</f>
        <v/>
      </c>
      <c r="AZ10" s="17">
        <f>IF(COUNTIFS(T_TTAFStock_Log[Part Name],$A10,T_TTAFStock_Log[WeekIndex],51)=0,"",SUMIFS(T_TTAFStock_Log[TTAF_Qty],T_TTAFStock_Log[Part Name],$A10,T_TTAFStock_Log[WeekIndex],51))</f>
        <v/>
      </c>
      <c r="BA10" s="17">
        <f>IF(COUNTIFS(T_TTAFStock_Log[Part Name],$A10,T_TTAFStock_Log[WeekIndex],52)=0,"",SUMIFS(T_TTAFStock_Log[TTAF_Qty],T_TTAFStock_Log[Part Name],$A10,T_TTAFStock_Log[WeekIndex],52))</f>
        <v/>
      </c>
      <c r="BB10" s="17">
        <f>IF(COUNTIFS(T_TTAFStock_Log[Part Name],$A10,T_TTAFStock_Log[WeekIndex],53)=0,"",SUMIFS(T_TTAFStock_Log[TTAF_Qty],T_TTAFStock_Log[Part Name],$A10,T_TTAFStock_Log[WeekIndex],53))</f>
        <v/>
      </c>
      <c r="BC10" s="17">
        <f>IF(COUNTIFS(T_TTAFStock_Log[Part Name],$A10,T_TTAFStock_Log[WeekIndex],54)=0,"",SUMIFS(T_TTAFStock_Log[TTAF_Qty],T_TTAFStock_Log[Part Name],$A10,T_TTAFStock_Log[WeekIndex],54))</f>
        <v/>
      </c>
      <c r="BD10" s="17">
        <f>IF(COUNTIFS(T_TTAFStock_Log[Part Name],$A10,T_TTAFStock_Log[WeekIndex],55)=0,"",SUMIFS(T_TTAFStock_Log[TTAF_Qty],T_TTAFStock_Log[Part Name],$A10,T_TTAFStock_Log[WeekIndex],55))</f>
        <v/>
      </c>
      <c r="BE10" s="17">
        <f>IF(COUNTIFS(T_TTAFStock_Log[Part Name],$A10,T_TTAFStock_Log[WeekIndex],56)=0,"",SUMIFS(T_TTAFStock_Log[TTAF_Qty],T_TTAFStock_Log[Part Name],$A10,T_TTAFStock_Log[WeekIndex],56))</f>
        <v/>
      </c>
      <c r="BF10" s="17">
        <f>IF(COUNTIFS(T_TTAFStock_Log[Part Name],$A10,T_TTAFStock_Log[WeekIndex],57)=0,"",SUMIFS(T_TTAFStock_Log[TTAF_Qty],T_TTAFStock_Log[Part Name],$A10,T_TTAFStock_Log[WeekIndex],57))</f>
        <v/>
      </c>
      <c r="BG10" s="17">
        <f>IF(COUNTIFS(T_TTAFStock_Log[Part Name],$A10,T_TTAFStock_Log[WeekIndex],58)=0,"",SUMIFS(T_TTAFStock_Log[TTAF_Qty],T_TTAFStock_Log[Part Name],$A10,T_TTAFStock_Log[WeekIndex],58))</f>
        <v/>
      </c>
      <c r="BH10" s="17">
        <f>IF(COUNTIFS(T_TTAFStock_Log[Part Name],$A10,T_TTAFStock_Log[WeekIndex],59)=0,"",SUMIFS(T_TTAFStock_Log[TTAF_Qty],T_TTAFStock_Log[Part Name],$A10,T_TTAFStock_Log[WeekIndex],59))</f>
        <v/>
      </c>
      <c r="BI10" s="17">
        <f>IF(COUNTIFS(T_TTAFStock_Log[Part Name],$A10,T_TTAFStock_Log[WeekIndex],60)=0,"",SUMIFS(T_TTAFStock_Log[TTAF_Qty],T_TTAFStock_Log[Part Name],$A10,T_TTAFStock_Log[WeekIndex],60))</f>
        <v/>
      </c>
      <c r="BJ10" s="17">
        <f>IF(COUNTIFS(T_TTAFStock_Log[Part Name],$A10,T_TTAFStock_Log[WeekIndex],61)=0,"",SUMIFS(T_TTAFStock_Log[TTAF_Qty],T_TTAFStock_Log[Part Name],$A10,T_TTAFStock_Log[WeekIndex],61))</f>
        <v/>
      </c>
      <c r="BK10" s="17">
        <f>IF(COUNTIFS(T_TTAFStock_Log[Part Name],$A10,T_TTAFStock_Log[WeekIndex],62)=0,"",SUMIFS(T_TTAFStock_Log[TTAF_Qty],T_TTAFStock_Log[Part Name],$A10,T_TTAFStock_Log[WeekIndex],62))</f>
        <v/>
      </c>
      <c r="BL10" s="17">
        <f>IF(COUNTIFS(T_TTAFStock_Log[Part Name],$A10,T_TTAFStock_Log[WeekIndex],63)=0,"",SUMIFS(T_TTAFStock_Log[TTAF_Qty],T_TTAFStock_Log[Part Name],$A10,T_TTAFStock_Log[WeekIndex],63))</f>
        <v/>
      </c>
      <c r="BM10" s="17">
        <f>IF(COUNTIFS(T_TTAFStock_Log[Part Name],$A10,T_TTAFStock_Log[WeekIndex],64)=0,"",SUMIFS(T_TTAFStock_Log[TTAF_Qty],T_TTAFStock_Log[Part Name],$A10,T_TTAFStock_Log[WeekIndex],64))</f>
        <v/>
      </c>
      <c r="BN10" s="17">
        <f>IF(COUNTIFS(T_TTAFStock_Log[Part Name],$A10,T_TTAFStock_Log[WeekIndex],65)=0,"",SUMIFS(T_TTAFStock_Log[TTAF_Qty],T_TTAFStock_Log[Part Name],$A10,T_TTAFStock_Log[WeekIndex],65))</f>
        <v/>
      </c>
      <c r="BO10" s="17">
        <f>IF(COUNTIFS(T_TTAFStock_Log[Part Name],$A10,T_TTAFStock_Log[WeekIndex],66)=0,"",SUMIFS(T_TTAFStock_Log[TTAF_Qty],T_TTAFStock_Log[Part Name],$A10,T_TTAFStock_Log[WeekIndex],66))</f>
        <v/>
      </c>
      <c r="BP10" s="17">
        <f>IF(COUNTIFS(T_TTAFStock_Log[Part Name],$A10,T_TTAFStock_Log[WeekIndex],67)=0,"",SUMIFS(T_TTAFStock_Log[TTAF_Qty],T_TTAFStock_Log[Part Name],$A10,T_TTAFStock_Log[WeekIndex],67))</f>
        <v/>
      </c>
      <c r="BQ10" s="17">
        <f>IF(COUNTIFS(T_TTAFStock_Log[Part Name],$A10,T_TTAFStock_Log[WeekIndex],68)=0,"",SUMIFS(T_TTAFStock_Log[TTAF_Qty],T_TTAFStock_Log[Part Name],$A10,T_TTAFStock_Log[WeekIndex],68))</f>
        <v/>
      </c>
      <c r="BR10" s="17">
        <f>IF(COUNTIFS(T_TTAFStock_Log[Part Name],$A10,T_TTAFStock_Log[WeekIndex],69)=0,"",SUMIFS(T_TTAFStock_Log[TTAF_Qty],T_TTAFStock_Log[Part Name],$A10,T_TTAFStock_Log[WeekIndex],69))</f>
        <v/>
      </c>
      <c r="BS10" s="17">
        <f>IF(COUNTIFS(T_TTAFStock_Log[Part Name],$A10,T_TTAFStock_Log[WeekIndex],70)=0,"",SUMIFS(T_TTAFStock_Log[TTAF_Qty],T_TTAFStock_Log[Part Name],$A10,T_TTAFStock_Log[WeekIndex],70))</f>
        <v/>
      </c>
      <c r="BT10" s="17">
        <f>IF(COUNTIFS(T_TTAFStock_Log[Part Name],$A10,T_TTAFStock_Log[WeekIndex],71)=0,"",SUMIFS(T_TTAFStock_Log[TTAF_Qty],T_TTAFStock_Log[Part Name],$A10,T_TTAFStock_Log[WeekIndex],71))</f>
        <v/>
      </c>
      <c r="BU10" s="17">
        <f>IF(COUNTIFS(T_TTAFStock_Log[Part Name],$A10,T_TTAFStock_Log[WeekIndex],72)=0,"",SUMIFS(T_TTAFStock_Log[TTAF_Qty],T_TTAFStock_Log[Part Name],$A10,T_TTAFStock_Log[WeekIndex],72))</f>
        <v/>
      </c>
      <c r="BV10" s="17">
        <f>IF(COUNTIFS(T_TTAFStock_Log[Part Name],$A10,T_TTAFStock_Log[WeekIndex],73)=0,"",SUMIFS(T_TTAFStock_Log[TTAF_Qty],T_TTAFStock_Log[Part Name],$A10,T_TTAFStock_Log[WeekIndex],73))</f>
        <v/>
      </c>
      <c r="BW10" s="17">
        <f>IF(COUNTIFS(T_TTAFStock_Log[Part Name],$A10,T_TTAFStock_Log[WeekIndex],74)=0,"",SUMIFS(T_TTAFStock_Log[TTAF_Qty],T_TTAFStock_Log[Part Name],$A10,T_TTAFStock_Log[WeekIndex],74))</f>
        <v/>
      </c>
      <c r="BX10" s="17">
        <f>IF(COUNTIFS(T_TTAFStock_Log[Part Name],$A10,T_TTAFStock_Log[WeekIndex],75)=0,"",SUMIFS(T_TTAFStock_Log[TTAF_Qty],T_TTAFStock_Log[Part Name],$A10,T_TTAFStock_Log[WeekIndex],75))</f>
        <v/>
      </c>
      <c r="BY10" s="17">
        <f>IF(COUNTIFS(T_TTAFStock_Log[Part Name],$A10,T_TTAFStock_Log[WeekIndex],76)=0,"",SUMIFS(T_TTAFStock_Log[TTAF_Qty],T_TTAFStock_Log[Part Name],$A10,T_TTAFStock_Log[WeekIndex],76))</f>
        <v/>
      </c>
      <c r="BZ10" s="17">
        <f>IF(COUNTIFS(T_TTAFStock_Log[Part Name],$A10,T_TTAFStock_Log[WeekIndex],77)=0,"",SUMIFS(T_TTAFStock_Log[TTAF_Qty],T_TTAFStock_Log[Part Name],$A10,T_TTAFStock_Log[WeekIndex],77))</f>
        <v/>
      </c>
      <c r="CA10" s="17">
        <f>IF(COUNTIFS(T_TTAFStock_Log[Part Name],$A10,T_TTAFStock_Log[WeekIndex],78)=0,"",SUMIFS(T_TTAFStock_Log[TTAF_Qty],T_TTAFStock_Log[Part Name],$A10,T_TTAFStock_Log[WeekIndex],78))</f>
        <v/>
      </c>
      <c r="CB10" s="17">
        <f>IF(COUNTIFS(T_TTAFStock_Log[Part Name],$A10,T_TTAFStock_Log[WeekIndex],79)=0,"",SUMIFS(T_TTAFStock_Log[TTAF_Qty],T_TTAFStock_Log[Part Name],$A10,T_TTAFStock_Log[WeekIndex],79))</f>
        <v/>
      </c>
      <c r="CC10" s="17">
        <f>IF(COUNTIFS(T_TTAFStock_Log[Part Name],$A10,T_TTAFStock_Log[WeekIndex],80)=0,"",SUMIFS(T_TTAFStock_Log[TTAF_Qty],T_TTAFStock_Log[Part Name],$A10,T_TTAFStock_Log[WeekIndex],80))</f>
        <v/>
      </c>
      <c r="CD10" s="17">
        <f>IF(COUNTIFS(T_TTAFStock_Log[Part Name],$A10,T_TTAFStock_Log[WeekIndex],81)=0,"",SUMIFS(T_TTAFStock_Log[TTAF_Qty],T_TTAFStock_Log[Part Name],$A10,T_TTAFStock_Log[WeekIndex],81))</f>
        <v/>
      </c>
      <c r="CE10" s="17">
        <f>IF(COUNTIFS(T_TTAFStock_Log[Part Name],$A10,T_TTAFStock_Log[WeekIndex],82)=0,"",SUMIFS(T_TTAFStock_Log[TTAF_Qty],T_TTAFStock_Log[Part Name],$A10,T_TTAFStock_Log[WeekIndex],82))</f>
        <v/>
      </c>
      <c r="CF10" s="17">
        <f>IF(COUNTIFS(T_TTAFStock_Log[Part Name],$A10,T_TTAFStock_Log[WeekIndex],83)=0,"",SUMIFS(T_TTAFStock_Log[TTAF_Qty],T_TTAFStock_Log[Part Name],$A10,T_TTAFStock_Log[WeekIndex],83))</f>
        <v/>
      </c>
      <c r="CG10" s="17">
        <f>IF(COUNTIFS(T_TTAFStock_Log[Part Name],$A10,T_TTAFStock_Log[WeekIndex],84)=0,"",SUMIFS(T_TTAFStock_Log[TTAF_Qty],T_TTAFStock_Log[Part Name],$A10,T_TTAFStock_Log[WeekIndex],84))</f>
        <v/>
      </c>
      <c r="CH10" s="17">
        <f>IF(COUNTIFS(T_TTAFStock_Log[Part Name],$A10,T_TTAFStock_Log[WeekIndex],85)=0,"",SUMIFS(T_TTAFStock_Log[TTAF_Qty],T_TTAFStock_Log[Part Name],$A10,T_TTAFStock_Log[WeekIndex],85))</f>
        <v/>
      </c>
      <c r="CI10" s="17">
        <f>IF(COUNTIFS(T_TTAFStock_Log[Part Name],$A10,T_TTAFStock_Log[WeekIndex],86)=0,"",SUMIFS(T_TTAFStock_Log[TTAF_Qty],T_TTAFStock_Log[Part Name],$A10,T_TTAFStock_Log[WeekIndex],86))</f>
        <v/>
      </c>
      <c r="CJ10" s="17">
        <f>IF(COUNTIFS(T_TTAFStock_Log[Part Name],$A10,T_TTAFStock_Log[WeekIndex],87)=0,"",SUMIFS(T_TTAFStock_Log[TTAF_Qty],T_TTAFStock_Log[Part Name],$A10,T_TTAFStock_Log[WeekIndex],87))</f>
        <v/>
      </c>
      <c r="CK10" s="17">
        <f>IF(COUNTIFS(T_TTAFStock_Log[Part Name],$A10,T_TTAFStock_Log[WeekIndex],88)=0,"",SUMIFS(T_TTAFStock_Log[TTAF_Qty],T_TTAFStock_Log[Part Name],$A10,T_TTAFStock_Log[WeekIndex],88))</f>
        <v/>
      </c>
      <c r="CL10" s="17">
        <f>IF(COUNTIFS(T_TTAFStock_Log[Part Name],$A10,T_TTAFStock_Log[WeekIndex],89)=0,"",SUMIFS(T_TTAFStock_Log[TTAF_Qty],T_TTAFStock_Log[Part Name],$A10,T_TTAFStock_Log[WeekIndex],89))</f>
        <v/>
      </c>
      <c r="CM10" s="17">
        <f>IF(COUNTIFS(T_TTAFStock_Log[Part Name],$A10,T_TTAFStock_Log[WeekIndex],90)=0,"",SUMIFS(T_TTAFStock_Log[TTAF_Qty],T_TTAFStock_Log[Part Name],$A10,T_TTAFStock_Log[WeekIndex],90))</f>
        <v/>
      </c>
      <c r="CN10" s="17">
        <f>IF(COUNTIFS(T_TTAFStock_Log[Part Name],$A10,T_TTAFStock_Log[WeekIndex],91)=0,"",SUMIFS(T_TTAFStock_Log[TTAF_Qty],T_TTAFStock_Log[Part Name],$A10,T_TTAFStock_Log[WeekIndex],91))</f>
        <v/>
      </c>
      <c r="CO10" s="17">
        <f>IF(COUNTIFS(T_TTAFStock_Log[Part Name],$A10,T_TTAFStock_Log[WeekIndex],92)=0,"",SUMIFS(T_TTAFStock_Log[TTAF_Qty],T_TTAFStock_Log[Part Name],$A10,T_TTAFStock_Log[WeekIndex],92))</f>
        <v/>
      </c>
      <c r="CP10" s="17">
        <f>IF(COUNTIFS(T_TTAFStock_Log[Part Name],$A10,T_TTAFStock_Log[WeekIndex],93)=0,"",SUMIFS(T_TTAFStock_Log[TTAF_Qty],T_TTAFStock_Log[Part Name],$A10,T_TTAFStock_Log[WeekIndex],93))</f>
        <v/>
      </c>
      <c r="CQ10" s="17">
        <f>IF(COUNTIFS(T_TTAFStock_Log[Part Name],$A10,T_TTAFStock_Log[WeekIndex],94)=0,"",SUMIFS(T_TTAFStock_Log[TTAF_Qty],T_TTAFStock_Log[Part Name],$A10,T_TTAFStock_Log[WeekIndex],94))</f>
        <v/>
      </c>
      <c r="CR10" s="17">
        <f>IF(COUNTIFS(T_TTAFStock_Log[Part Name],$A10,T_TTAFStock_Log[WeekIndex],95)=0,"",SUMIFS(T_TTAFStock_Log[TTAF_Qty],T_TTAFStock_Log[Part Name],$A10,T_TTAFStock_Log[WeekIndex],95))</f>
        <v/>
      </c>
      <c r="CS10" s="17">
        <f>IF(COUNTIFS(T_TTAFStock_Log[Part Name],$A10,T_TTAFStock_Log[WeekIndex],96)=0,"",SUMIFS(T_TTAFStock_Log[TTAF_Qty],T_TTAFStock_Log[Part Name],$A10,T_TTAFStock_Log[WeekIndex],96))</f>
        <v/>
      </c>
      <c r="CT10" s="17">
        <f>IF(COUNTIFS(T_TTAFStock_Log[Part Name],$A10,T_TTAFStock_Log[WeekIndex],97)=0,"",SUMIFS(T_TTAFStock_Log[TTAF_Qty],T_TTAFStock_Log[Part Name],$A10,T_TTAFStock_Log[WeekIndex],97))</f>
        <v/>
      </c>
      <c r="CU10" s="17">
        <f>IF(COUNTIFS(T_TTAFStock_Log[Part Name],$A10,T_TTAFStock_Log[WeekIndex],98)=0,"",SUMIFS(T_TTAFStock_Log[TTAF_Qty],T_TTAFStock_Log[Part Name],$A10,T_TTAFStock_Log[WeekIndex],98))</f>
        <v/>
      </c>
      <c r="CV10" s="17">
        <f>IF(COUNTIFS(T_TTAFStock_Log[Part Name],$A10,T_TTAFStock_Log[WeekIndex],99)=0,"",SUMIFS(T_TTAFStock_Log[TTAF_Qty],T_TTAFStock_Log[Part Name],$A10,T_TTAFStock_Log[WeekIndex],99))</f>
        <v/>
      </c>
      <c r="CW10" s="17">
        <f>IF(COUNTIFS(T_TTAFStock_Log[Part Name],$A10,T_TTAFStock_Log[WeekIndex],100)=0,"",SUMIFS(T_TTAFStock_Log[TTAF_Qty],T_TTAFStock_Log[Part Name],$A10,T_TTAFStock_Log[WeekIndex],100))</f>
        <v/>
      </c>
      <c r="CX10" s="17">
        <f>IF(COUNTIFS(T_TTAFStock_Log[Part Name],$A10,T_TTAFStock_Log[WeekIndex],101)=0,"",SUMIFS(T_TTAFStock_Log[TTAF_Qty],T_TTAFStock_Log[Part Name],$A10,T_TTAFStock_Log[WeekIndex],101))</f>
        <v/>
      </c>
      <c r="CY10" s="17">
        <f>IF(COUNTIFS(T_TTAFStock_Log[Part Name],$A10,T_TTAFStock_Log[WeekIndex],102)=0,"",SUMIFS(T_TTAFStock_Log[TTAF_Qty],T_TTAFStock_Log[Part Name],$A10,T_TTAFStock_Log[WeekIndex],102))</f>
        <v/>
      </c>
      <c r="CZ10" s="17">
        <f>IF(COUNTIFS(T_TTAFStock_Log[Part Name],$A10,T_TTAFStock_Log[WeekIndex],103)=0,"",SUMIFS(T_TTAFStock_Log[TTAF_Qty],T_TTAFStock_Log[Part Name],$A10,T_TTAFStock_Log[WeekIndex],103))</f>
        <v/>
      </c>
      <c r="DA10" s="17">
        <f>IF(COUNTIFS(T_TTAFStock_Log[Part Name],$A10,T_TTAFStock_Log[WeekIndex],104)=0,"",SUMIFS(T_TTAFStock_Log[TTAF_Qty],T_TTAFStock_Log[Part Name],$A10,T_TTAFStock_Log[WeekIndex],104))</f>
        <v/>
      </c>
    </row>
    <row r="11">
      <c r="A11" s="19" t="inlineStr">
        <is>
          <t>OJN</t>
        </is>
      </c>
      <c r="B11" s="19">
        <f>IF(COUNTIFS(T_TTAFStock_Log[Part Name],$A11,T_TTAFStock_Log[WeekIndex],1)=0,"",SUMIFS(T_TTAFStock_Log[TTAF_Qty],T_TTAFStock_Log[Part Name],$A11,T_TTAFStock_Log[WeekIndex],1))</f>
        <v/>
      </c>
      <c r="C11" s="19">
        <f>IF(COUNTIFS(T_TTAFStock_Log[Part Name],$A11,T_TTAFStock_Log[WeekIndex],2)=0,"",SUMIFS(T_TTAFStock_Log[TTAF_Qty],T_TTAFStock_Log[Part Name],$A11,T_TTAFStock_Log[WeekIndex],2))</f>
        <v/>
      </c>
      <c r="D11" s="19">
        <f>IF(COUNTIFS(T_TTAFStock_Log[Part Name],$A11,T_TTAFStock_Log[WeekIndex],3)=0,"",SUMIFS(T_TTAFStock_Log[TTAF_Qty],T_TTAFStock_Log[Part Name],$A11,T_TTAFStock_Log[WeekIndex],3))</f>
        <v/>
      </c>
      <c r="E11" s="19">
        <f>IF(COUNTIFS(T_TTAFStock_Log[Part Name],$A11,T_TTAFStock_Log[WeekIndex],4)=0,"",SUMIFS(T_TTAFStock_Log[TTAF_Qty],T_TTAFStock_Log[Part Name],$A11,T_TTAFStock_Log[WeekIndex],4))</f>
        <v/>
      </c>
      <c r="F11" s="19">
        <f>IF(COUNTIFS(T_TTAFStock_Log[Part Name],$A11,T_TTAFStock_Log[WeekIndex],5)=0,"",SUMIFS(T_TTAFStock_Log[TTAF_Qty],T_TTAFStock_Log[Part Name],$A11,T_TTAFStock_Log[WeekIndex],5))</f>
        <v/>
      </c>
      <c r="G11" s="19">
        <f>IF(COUNTIFS(T_TTAFStock_Log[Part Name],$A11,T_TTAFStock_Log[WeekIndex],6)=0,"",SUMIFS(T_TTAFStock_Log[TTAF_Qty],T_TTAFStock_Log[Part Name],$A11,T_TTAFStock_Log[WeekIndex],6))</f>
        <v/>
      </c>
      <c r="H11" s="19">
        <f>IF(COUNTIFS(T_TTAFStock_Log[Part Name],$A11,T_TTAFStock_Log[WeekIndex],7)=0,"",SUMIFS(T_TTAFStock_Log[TTAF_Qty],T_TTAFStock_Log[Part Name],$A11,T_TTAFStock_Log[WeekIndex],7))</f>
        <v/>
      </c>
      <c r="I11" s="19">
        <f>IF(COUNTIFS(T_TTAFStock_Log[Part Name],$A11,T_TTAFStock_Log[WeekIndex],8)=0,"",SUMIFS(T_TTAFStock_Log[TTAF_Qty],T_TTAFStock_Log[Part Name],$A11,T_TTAFStock_Log[WeekIndex],8))</f>
        <v/>
      </c>
      <c r="J11" s="19">
        <f>IF(COUNTIFS(T_TTAFStock_Log[Part Name],$A11,T_TTAFStock_Log[WeekIndex],9)=0,"",SUMIFS(T_TTAFStock_Log[TTAF_Qty],T_TTAFStock_Log[Part Name],$A11,T_TTAFStock_Log[WeekIndex],9))</f>
        <v/>
      </c>
      <c r="K11" s="19">
        <f>IF(COUNTIFS(T_TTAFStock_Log[Part Name],$A11,T_TTAFStock_Log[WeekIndex],10)=0,"",SUMIFS(T_TTAFStock_Log[TTAF_Qty],T_TTAFStock_Log[Part Name],$A11,T_TTAFStock_Log[WeekIndex],10))</f>
        <v/>
      </c>
      <c r="L11" s="19">
        <f>IF(COUNTIFS(T_TTAFStock_Log[Part Name],$A11,T_TTAFStock_Log[WeekIndex],11)=0,"",SUMIFS(T_TTAFStock_Log[TTAF_Qty],T_TTAFStock_Log[Part Name],$A11,T_TTAFStock_Log[WeekIndex],11))</f>
        <v/>
      </c>
      <c r="M11" s="19">
        <f>IF(COUNTIFS(T_TTAFStock_Log[Part Name],$A11,T_TTAFStock_Log[WeekIndex],12)=0,"",SUMIFS(T_TTAFStock_Log[TTAF_Qty],T_TTAFStock_Log[Part Name],$A11,T_TTAFStock_Log[WeekIndex],12))</f>
        <v/>
      </c>
      <c r="N11" s="19">
        <f>IF(COUNTIFS(T_TTAFStock_Log[Part Name],$A11,T_TTAFStock_Log[WeekIndex],13)=0,"",SUMIFS(T_TTAFStock_Log[TTAF_Qty],T_TTAFStock_Log[Part Name],$A11,T_TTAFStock_Log[WeekIndex],13))</f>
        <v/>
      </c>
      <c r="O11" s="19">
        <f>IF(COUNTIFS(T_TTAFStock_Log[Part Name],$A11,T_TTAFStock_Log[WeekIndex],14)=0,"",SUMIFS(T_TTAFStock_Log[TTAF_Qty],T_TTAFStock_Log[Part Name],$A11,T_TTAFStock_Log[WeekIndex],14))</f>
        <v/>
      </c>
      <c r="P11" s="19">
        <f>IF(COUNTIFS(T_TTAFStock_Log[Part Name],$A11,T_TTAFStock_Log[WeekIndex],15)=0,"",SUMIFS(T_TTAFStock_Log[TTAF_Qty],T_TTAFStock_Log[Part Name],$A11,T_TTAFStock_Log[WeekIndex],15))</f>
        <v/>
      </c>
      <c r="Q11" s="19">
        <f>IF(COUNTIFS(T_TTAFStock_Log[Part Name],$A11,T_TTAFStock_Log[WeekIndex],16)=0,"",SUMIFS(T_TTAFStock_Log[TTAF_Qty],T_TTAFStock_Log[Part Name],$A11,T_TTAFStock_Log[WeekIndex],16))</f>
        <v/>
      </c>
      <c r="R11" s="19">
        <f>IF(COUNTIFS(T_TTAFStock_Log[Part Name],$A11,T_TTAFStock_Log[WeekIndex],17)=0,"",SUMIFS(T_TTAFStock_Log[TTAF_Qty],T_TTAFStock_Log[Part Name],$A11,T_TTAFStock_Log[WeekIndex],17))</f>
        <v/>
      </c>
      <c r="S11" s="19">
        <f>IF(COUNTIFS(T_TTAFStock_Log[Part Name],$A11,T_TTAFStock_Log[WeekIndex],18)=0,"",SUMIFS(T_TTAFStock_Log[TTAF_Qty],T_TTAFStock_Log[Part Name],$A11,T_TTAFStock_Log[WeekIndex],18))</f>
        <v/>
      </c>
      <c r="T11" s="19">
        <f>IF(COUNTIFS(T_TTAFStock_Log[Part Name],$A11,T_TTAFStock_Log[WeekIndex],19)=0,"",SUMIFS(T_TTAFStock_Log[TTAF_Qty],T_TTAFStock_Log[Part Name],$A11,T_TTAFStock_Log[WeekIndex],19))</f>
        <v/>
      </c>
      <c r="U11" s="19">
        <f>IF(COUNTIFS(T_TTAFStock_Log[Part Name],$A11,T_TTAFStock_Log[WeekIndex],20)=0,"",SUMIFS(T_TTAFStock_Log[TTAF_Qty],T_TTAFStock_Log[Part Name],$A11,T_TTAFStock_Log[WeekIndex],20))</f>
        <v/>
      </c>
      <c r="V11" s="19">
        <f>IF(COUNTIFS(T_TTAFStock_Log[Part Name],$A11,T_TTAFStock_Log[WeekIndex],21)=0,"",SUMIFS(T_TTAFStock_Log[TTAF_Qty],T_TTAFStock_Log[Part Name],$A11,T_TTAFStock_Log[WeekIndex],21))</f>
        <v/>
      </c>
      <c r="W11" s="19">
        <f>IF(COUNTIFS(T_TTAFStock_Log[Part Name],$A11,T_TTAFStock_Log[WeekIndex],22)=0,"",SUMIFS(T_TTAFStock_Log[TTAF_Qty],T_TTAFStock_Log[Part Name],$A11,T_TTAFStock_Log[WeekIndex],22))</f>
        <v/>
      </c>
      <c r="X11" s="19">
        <f>IF(COUNTIFS(T_TTAFStock_Log[Part Name],$A11,T_TTAFStock_Log[WeekIndex],23)=0,"",SUMIFS(T_TTAFStock_Log[TTAF_Qty],T_TTAFStock_Log[Part Name],$A11,T_TTAFStock_Log[WeekIndex],23))</f>
        <v/>
      </c>
      <c r="Y11" s="19">
        <f>IF(COUNTIFS(T_TTAFStock_Log[Part Name],$A11,T_TTAFStock_Log[WeekIndex],24)=0,"",SUMIFS(T_TTAFStock_Log[TTAF_Qty],T_TTAFStock_Log[Part Name],$A11,T_TTAFStock_Log[WeekIndex],24))</f>
        <v/>
      </c>
      <c r="Z11" s="19">
        <f>IF(COUNTIFS(T_TTAFStock_Log[Part Name],$A11,T_TTAFStock_Log[WeekIndex],25)=0,"",SUMIFS(T_TTAFStock_Log[TTAF_Qty],T_TTAFStock_Log[Part Name],$A11,T_TTAFStock_Log[WeekIndex],25))</f>
        <v/>
      </c>
      <c r="AA11" s="19">
        <f>IF(COUNTIFS(T_TTAFStock_Log[Part Name],$A11,T_TTAFStock_Log[WeekIndex],26)=0,"",SUMIFS(T_TTAFStock_Log[TTAF_Qty],T_TTAFStock_Log[Part Name],$A11,T_TTAFStock_Log[WeekIndex],26))</f>
        <v/>
      </c>
      <c r="AB11" s="19">
        <f>IF(COUNTIFS(T_TTAFStock_Log[Part Name],$A11,T_TTAFStock_Log[WeekIndex],27)=0,"",SUMIFS(T_TTAFStock_Log[TTAF_Qty],T_TTAFStock_Log[Part Name],$A11,T_TTAFStock_Log[WeekIndex],27))</f>
        <v/>
      </c>
      <c r="AC11" s="19">
        <f>IF(COUNTIFS(T_TTAFStock_Log[Part Name],$A11,T_TTAFStock_Log[WeekIndex],28)=0,"",SUMIFS(T_TTAFStock_Log[TTAF_Qty],T_TTAFStock_Log[Part Name],$A11,T_TTAFStock_Log[WeekIndex],28))</f>
        <v/>
      </c>
      <c r="AD11" s="19">
        <f>IF(COUNTIFS(T_TTAFStock_Log[Part Name],$A11,T_TTAFStock_Log[WeekIndex],29)=0,"",SUMIFS(T_TTAFStock_Log[TTAF_Qty],T_TTAFStock_Log[Part Name],$A11,T_TTAFStock_Log[WeekIndex],29))</f>
        <v/>
      </c>
      <c r="AE11" s="19">
        <f>IF(COUNTIFS(T_TTAFStock_Log[Part Name],$A11,T_TTAFStock_Log[WeekIndex],30)=0,"",SUMIFS(T_TTAFStock_Log[TTAF_Qty],T_TTAFStock_Log[Part Name],$A11,T_TTAFStock_Log[WeekIndex],30))</f>
        <v/>
      </c>
      <c r="AF11" s="19">
        <f>IF(COUNTIFS(T_TTAFStock_Log[Part Name],$A11,T_TTAFStock_Log[WeekIndex],31)=0,"",SUMIFS(T_TTAFStock_Log[TTAF_Qty],T_TTAFStock_Log[Part Name],$A11,T_TTAFStock_Log[WeekIndex],31))</f>
        <v/>
      </c>
      <c r="AG11" s="19">
        <f>IF(COUNTIFS(T_TTAFStock_Log[Part Name],$A11,T_TTAFStock_Log[WeekIndex],32)=0,"",SUMIFS(T_TTAFStock_Log[TTAF_Qty],T_TTAFStock_Log[Part Name],$A11,T_TTAFStock_Log[WeekIndex],32))</f>
        <v/>
      </c>
      <c r="AH11" s="19">
        <f>IF(COUNTIFS(T_TTAFStock_Log[Part Name],$A11,T_TTAFStock_Log[WeekIndex],33)=0,"",SUMIFS(T_TTAFStock_Log[TTAF_Qty],T_TTAFStock_Log[Part Name],$A11,T_TTAFStock_Log[WeekIndex],33))</f>
        <v/>
      </c>
      <c r="AI11" s="19">
        <f>IF(COUNTIFS(T_TTAFStock_Log[Part Name],$A11,T_TTAFStock_Log[WeekIndex],34)=0,"",SUMIFS(T_TTAFStock_Log[TTAF_Qty],T_TTAFStock_Log[Part Name],$A11,T_TTAFStock_Log[WeekIndex],34))</f>
        <v/>
      </c>
      <c r="AJ11" s="19">
        <f>IF(COUNTIFS(T_TTAFStock_Log[Part Name],$A11,T_TTAFStock_Log[WeekIndex],35)=0,"",SUMIFS(T_TTAFStock_Log[TTAF_Qty],T_TTAFStock_Log[Part Name],$A11,T_TTAFStock_Log[WeekIndex],35))</f>
        <v/>
      </c>
      <c r="AK11" s="19">
        <f>IF(COUNTIFS(T_TTAFStock_Log[Part Name],$A11,T_TTAFStock_Log[WeekIndex],36)=0,"",SUMIFS(T_TTAFStock_Log[TTAF_Qty],T_TTAFStock_Log[Part Name],$A11,T_TTAFStock_Log[WeekIndex],36))</f>
        <v/>
      </c>
      <c r="AL11" s="19">
        <f>IF(COUNTIFS(T_TTAFStock_Log[Part Name],$A11,T_TTAFStock_Log[WeekIndex],37)=0,"",SUMIFS(T_TTAFStock_Log[TTAF_Qty],T_TTAFStock_Log[Part Name],$A11,T_TTAFStock_Log[WeekIndex],37))</f>
        <v/>
      </c>
      <c r="AM11" s="19">
        <f>IF(COUNTIFS(T_TTAFStock_Log[Part Name],$A11,T_TTAFStock_Log[WeekIndex],38)=0,"",SUMIFS(T_TTAFStock_Log[TTAF_Qty],T_TTAFStock_Log[Part Name],$A11,T_TTAFStock_Log[WeekIndex],38))</f>
        <v/>
      </c>
      <c r="AN11" s="19">
        <f>IF(COUNTIFS(T_TTAFStock_Log[Part Name],$A11,T_TTAFStock_Log[WeekIndex],39)=0,"",SUMIFS(T_TTAFStock_Log[TTAF_Qty],T_TTAFStock_Log[Part Name],$A11,T_TTAFStock_Log[WeekIndex],39))</f>
        <v/>
      </c>
      <c r="AO11" s="19">
        <f>IF(COUNTIFS(T_TTAFStock_Log[Part Name],$A11,T_TTAFStock_Log[WeekIndex],40)=0,"",SUMIFS(T_TTAFStock_Log[TTAF_Qty],T_TTAFStock_Log[Part Name],$A11,T_TTAFStock_Log[WeekIndex],40))</f>
        <v/>
      </c>
      <c r="AP11" s="19">
        <f>IF(COUNTIFS(T_TTAFStock_Log[Part Name],$A11,T_TTAFStock_Log[WeekIndex],41)=0,"",SUMIFS(T_TTAFStock_Log[TTAF_Qty],T_TTAFStock_Log[Part Name],$A11,T_TTAFStock_Log[WeekIndex],41))</f>
        <v/>
      </c>
      <c r="AQ11" s="19">
        <f>IF(COUNTIFS(T_TTAFStock_Log[Part Name],$A11,T_TTAFStock_Log[WeekIndex],42)=0,"",SUMIFS(T_TTAFStock_Log[TTAF_Qty],T_TTAFStock_Log[Part Name],$A11,T_TTAFStock_Log[WeekIndex],42))</f>
        <v/>
      </c>
      <c r="AR11" s="19">
        <f>IF(COUNTIFS(T_TTAFStock_Log[Part Name],$A11,T_TTAFStock_Log[WeekIndex],43)=0,"",SUMIFS(T_TTAFStock_Log[TTAF_Qty],T_TTAFStock_Log[Part Name],$A11,T_TTAFStock_Log[WeekIndex],43))</f>
        <v/>
      </c>
      <c r="AS11" s="19">
        <f>IF(COUNTIFS(T_TTAFStock_Log[Part Name],$A11,T_TTAFStock_Log[WeekIndex],44)=0,"",SUMIFS(T_TTAFStock_Log[TTAF_Qty],T_TTAFStock_Log[Part Name],$A11,T_TTAFStock_Log[WeekIndex],44))</f>
        <v/>
      </c>
      <c r="AT11" s="19">
        <f>IF(COUNTIFS(T_TTAFStock_Log[Part Name],$A11,T_TTAFStock_Log[WeekIndex],45)=0,"",SUMIFS(T_TTAFStock_Log[TTAF_Qty],T_TTAFStock_Log[Part Name],$A11,T_TTAFStock_Log[WeekIndex],45))</f>
        <v/>
      </c>
      <c r="AU11" s="19">
        <f>IF(COUNTIFS(T_TTAFStock_Log[Part Name],$A11,T_TTAFStock_Log[WeekIndex],46)=0,"",SUMIFS(T_TTAFStock_Log[TTAF_Qty],T_TTAFStock_Log[Part Name],$A11,T_TTAFStock_Log[WeekIndex],46))</f>
        <v/>
      </c>
      <c r="AV11" s="19">
        <f>IF(COUNTIFS(T_TTAFStock_Log[Part Name],$A11,T_TTAFStock_Log[WeekIndex],47)=0,"",SUMIFS(T_TTAFStock_Log[TTAF_Qty],T_TTAFStock_Log[Part Name],$A11,T_TTAFStock_Log[WeekIndex],47))</f>
        <v/>
      </c>
      <c r="AW11" s="19">
        <f>IF(COUNTIFS(T_TTAFStock_Log[Part Name],$A11,T_TTAFStock_Log[WeekIndex],48)=0,"",SUMIFS(T_TTAFStock_Log[TTAF_Qty],T_TTAFStock_Log[Part Name],$A11,T_TTAFStock_Log[WeekIndex],48))</f>
        <v/>
      </c>
      <c r="AX11" s="19">
        <f>IF(COUNTIFS(T_TTAFStock_Log[Part Name],$A11,T_TTAFStock_Log[WeekIndex],49)=0,"",SUMIFS(T_TTAFStock_Log[TTAF_Qty],T_TTAFStock_Log[Part Name],$A11,T_TTAFStock_Log[WeekIndex],49))</f>
        <v/>
      </c>
      <c r="AY11" s="19">
        <f>IF(COUNTIFS(T_TTAFStock_Log[Part Name],$A11,T_TTAFStock_Log[WeekIndex],50)=0,"",SUMIFS(T_TTAFStock_Log[TTAF_Qty],T_TTAFStock_Log[Part Name],$A11,T_TTAFStock_Log[WeekIndex],50))</f>
        <v/>
      </c>
      <c r="AZ11" s="19">
        <f>IF(COUNTIFS(T_TTAFStock_Log[Part Name],$A11,T_TTAFStock_Log[WeekIndex],51)=0,"",SUMIFS(T_TTAFStock_Log[TTAF_Qty],T_TTAFStock_Log[Part Name],$A11,T_TTAFStock_Log[WeekIndex],51))</f>
        <v/>
      </c>
      <c r="BA11" s="19">
        <f>IF(COUNTIFS(T_TTAFStock_Log[Part Name],$A11,T_TTAFStock_Log[WeekIndex],52)=0,"",SUMIFS(T_TTAFStock_Log[TTAF_Qty],T_TTAFStock_Log[Part Name],$A11,T_TTAFStock_Log[WeekIndex],52))</f>
        <v/>
      </c>
      <c r="BB11" s="19">
        <f>IF(COUNTIFS(T_TTAFStock_Log[Part Name],$A11,T_TTAFStock_Log[WeekIndex],53)=0,"",SUMIFS(T_TTAFStock_Log[TTAF_Qty],T_TTAFStock_Log[Part Name],$A11,T_TTAFStock_Log[WeekIndex],53))</f>
        <v/>
      </c>
      <c r="BC11" s="19">
        <f>IF(COUNTIFS(T_TTAFStock_Log[Part Name],$A11,T_TTAFStock_Log[WeekIndex],54)=0,"",SUMIFS(T_TTAFStock_Log[TTAF_Qty],T_TTAFStock_Log[Part Name],$A11,T_TTAFStock_Log[WeekIndex],54))</f>
        <v/>
      </c>
      <c r="BD11" s="19">
        <f>IF(COUNTIFS(T_TTAFStock_Log[Part Name],$A11,T_TTAFStock_Log[WeekIndex],55)=0,"",SUMIFS(T_TTAFStock_Log[TTAF_Qty],T_TTAFStock_Log[Part Name],$A11,T_TTAFStock_Log[WeekIndex],55))</f>
        <v/>
      </c>
      <c r="BE11" s="19">
        <f>IF(COUNTIFS(T_TTAFStock_Log[Part Name],$A11,T_TTAFStock_Log[WeekIndex],56)=0,"",SUMIFS(T_TTAFStock_Log[TTAF_Qty],T_TTAFStock_Log[Part Name],$A11,T_TTAFStock_Log[WeekIndex],56))</f>
        <v/>
      </c>
      <c r="BF11" s="19">
        <f>IF(COUNTIFS(T_TTAFStock_Log[Part Name],$A11,T_TTAFStock_Log[WeekIndex],57)=0,"",SUMIFS(T_TTAFStock_Log[TTAF_Qty],T_TTAFStock_Log[Part Name],$A11,T_TTAFStock_Log[WeekIndex],57))</f>
        <v/>
      </c>
      <c r="BG11" s="19">
        <f>IF(COUNTIFS(T_TTAFStock_Log[Part Name],$A11,T_TTAFStock_Log[WeekIndex],58)=0,"",SUMIFS(T_TTAFStock_Log[TTAF_Qty],T_TTAFStock_Log[Part Name],$A11,T_TTAFStock_Log[WeekIndex],58))</f>
        <v/>
      </c>
      <c r="BH11" s="19">
        <f>IF(COUNTIFS(T_TTAFStock_Log[Part Name],$A11,T_TTAFStock_Log[WeekIndex],59)=0,"",SUMIFS(T_TTAFStock_Log[TTAF_Qty],T_TTAFStock_Log[Part Name],$A11,T_TTAFStock_Log[WeekIndex],59))</f>
        <v/>
      </c>
      <c r="BI11" s="19">
        <f>IF(COUNTIFS(T_TTAFStock_Log[Part Name],$A11,T_TTAFStock_Log[WeekIndex],60)=0,"",SUMIFS(T_TTAFStock_Log[TTAF_Qty],T_TTAFStock_Log[Part Name],$A11,T_TTAFStock_Log[WeekIndex],60))</f>
        <v/>
      </c>
      <c r="BJ11" s="19">
        <f>IF(COUNTIFS(T_TTAFStock_Log[Part Name],$A11,T_TTAFStock_Log[WeekIndex],61)=0,"",SUMIFS(T_TTAFStock_Log[TTAF_Qty],T_TTAFStock_Log[Part Name],$A11,T_TTAFStock_Log[WeekIndex],61))</f>
        <v/>
      </c>
      <c r="BK11" s="19">
        <f>IF(COUNTIFS(T_TTAFStock_Log[Part Name],$A11,T_TTAFStock_Log[WeekIndex],62)=0,"",SUMIFS(T_TTAFStock_Log[TTAF_Qty],T_TTAFStock_Log[Part Name],$A11,T_TTAFStock_Log[WeekIndex],62))</f>
        <v/>
      </c>
      <c r="BL11" s="19">
        <f>IF(COUNTIFS(T_TTAFStock_Log[Part Name],$A11,T_TTAFStock_Log[WeekIndex],63)=0,"",SUMIFS(T_TTAFStock_Log[TTAF_Qty],T_TTAFStock_Log[Part Name],$A11,T_TTAFStock_Log[WeekIndex],63))</f>
        <v/>
      </c>
      <c r="BM11" s="19">
        <f>IF(COUNTIFS(T_TTAFStock_Log[Part Name],$A11,T_TTAFStock_Log[WeekIndex],64)=0,"",SUMIFS(T_TTAFStock_Log[TTAF_Qty],T_TTAFStock_Log[Part Name],$A11,T_TTAFStock_Log[WeekIndex],64))</f>
        <v/>
      </c>
      <c r="BN11" s="19">
        <f>IF(COUNTIFS(T_TTAFStock_Log[Part Name],$A11,T_TTAFStock_Log[WeekIndex],65)=0,"",SUMIFS(T_TTAFStock_Log[TTAF_Qty],T_TTAFStock_Log[Part Name],$A11,T_TTAFStock_Log[WeekIndex],65))</f>
        <v/>
      </c>
      <c r="BO11" s="19">
        <f>IF(COUNTIFS(T_TTAFStock_Log[Part Name],$A11,T_TTAFStock_Log[WeekIndex],66)=0,"",SUMIFS(T_TTAFStock_Log[TTAF_Qty],T_TTAFStock_Log[Part Name],$A11,T_TTAFStock_Log[WeekIndex],66))</f>
        <v/>
      </c>
      <c r="BP11" s="19">
        <f>IF(COUNTIFS(T_TTAFStock_Log[Part Name],$A11,T_TTAFStock_Log[WeekIndex],67)=0,"",SUMIFS(T_TTAFStock_Log[TTAF_Qty],T_TTAFStock_Log[Part Name],$A11,T_TTAFStock_Log[WeekIndex],67))</f>
        <v/>
      </c>
      <c r="BQ11" s="19">
        <f>IF(COUNTIFS(T_TTAFStock_Log[Part Name],$A11,T_TTAFStock_Log[WeekIndex],68)=0,"",SUMIFS(T_TTAFStock_Log[TTAF_Qty],T_TTAFStock_Log[Part Name],$A11,T_TTAFStock_Log[WeekIndex],68))</f>
        <v/>
      </c>
      <c r="BR11" s="19">
        <f>IF(COUNTIFS(T_TTAFStock_Log[Part Name],$A11,T_TTAFStock_Log[WeekIndex],69)=0,"",SUMIFS(T_TTAFStock_Log[TTAF_Qty],T_TTAFStock_Log[Part Name],$A11,T_TTAFStock_Log[WeekIndex],69))</f>
        <v/>
      </c>
      <c r="BS11" s="19">
        <f>IF(COUNTIFS(T_TTAFStock_Log[Part Name],$A11,T_TTAFStock_Log[WeekIndex],70)=0,"",SUMIFS(T_TTAFStock_Log[TTAF_Qty],T_TTAFStock_Log[Part Name],$A11,T_TTAFStock_Log[WeekIndex],70))</f>
        <v/>
      </c>
      <c r="BT11" s="19">
        <f>IF(COUNTIFS(T_TTAFStock_Log[Part Name],$A11,T_TTAFStock_Log[WeekIndex],71)=0,"",SUMIFS(T_TTAFStock_Log[TTAF_Qty],T_TTAFStock_Log[Part Name],$A11,T_TTAFStock_Log[WeekIndex],71))</f>
        <v/>
      </c>
      <c r="BU11" s="19">
        <f>IF(COUNTIFS(T_TTAFStock_Log[Part Name],$A11,T_TTAFStock_Log[WeekIndex],72)=0,"",SUMIFS(T_TTAFStock_Log[TTAF_Qty],T_TTAFStock_Log[Part Name],$A11,T_TTAFStock_Log[WeekIndex],72))</f>
        <v/>
      </c>
      <c r="BV11" s="19">
        <f>IF(COUNTIFS(T_TTAFStock_Log[Part Name],$A11,T_TTAFStock_Log[WeekIndex],73)=0,"",SUMIFS(T_TTAFStock_Log[TTAF_Qty],T_TTAFStock_Log[Part Name],$A11,T_TTAFStock_Log[WeekIndex],73))</f>
        <v/>
      </c>
      <c r="BW11" s="19">
        <f>IF(COUNTIFS(T_TTAFStock_Log[Part Name],$A11,T_TTAFStock_Log[WeekIndex],74)=0,"",SUMIFS(T_TTAFStock_Log[TTAF_Qty],T_TTAFStock_Log[Part Name],$A11,T_TTAFStock_Log[WeekIndex],74))</f>
        <v/>
      </c>
      <c r="BX11" s="19">
        <f>IF(COUNTIFS(T_TTAFStock_Log[Part Name],$A11,T_TTAFStock_Log[WeekIndex],75)=0,"",SUMIFS(T_TTAFStock_Log[TTAF_Qty],T_TTAFStock_Log[Part Name],$A11,T_TTAFStock_Log[WeekIndex],75))</f>
        <v/>
      </c>
      <c r="BY11" s="19">
        <f>IF(COUNTIFS(T_TTAFStock_Log[Part Name],$A11,T_TTAFStock_Log[WeekIndex],76)=0,"",SUMIFS(T_TTAFStock_Log[TTAF_Qty],T_TTAFStock_Log[Part Name],$A11,T_TTAFStock_Log[WeekIndex],76))</f>
        <v/>
      </c>
      <c r="BZ11" s="19">
        <f>IF(COUNTIFS(T_TTAFStock_Log[Part Name],$A11,T_TTAFStock_Log[WeekIndex],77)=0,"",SUMIFS(T_TTAFStock_Log[TTAF_Qty],T_TTAFStock_Log[Part Name],$A11,T_TTAFStock_Log[WeekIndex],77))</f>
        <v/>
      </c>
      <c r="CA11" s="19">
        <f>IF(COUNTIFS(T_TTAFStock_Log[Part Name],$A11,T_TTAFStock_Log[WeekIndex],78)=0,"",SUMIFS(T_TTAFStock_Log[TTAF_Qty],T_TTAFStock_Log[Part Name],$A11,T_TTAFStock_Log[WeekIndex],78))</f>
        <v/>
      </c>
      <c r="CB11" s="19">
        <f>IF(COUNTIFS(T_TTAFStock_Log[Part Name],$A11,T_TTAFStock_Log[WeekIndex],79)=0,"",SUMIFS(T_TTAFStock_Log[TTAF_Qty],T_TTAFStock_Log[Part Name],$A11,T_TTAFStock_Log[WeekIndex],79))</f>
        <v/>
      </c>
      <c r="CC11" s="19">
        <f>IF(COUNTIFS(T_TTAFStock_Log[Part Name],$A11,T_TTAFStock_Log[WeekIndex],80)=0,"",SUMIFS(T_TTAFStock_Log[TTAF_Qty],T_TTAFStock_Log[Part Name],$A11,T_TTAFStock_Log[WeekIndex],80))</f>
        <v/>
      </c>
      <c r="CD11" s="19">
        <f>IF(COUNTIFS(T_TTAFStock_Log[Part Name],$A11,T_TTAFStock_Log[WeekIndex],81)=0,"",SUMIFS(T_TTAFStock_Log[TTAF_Qty],T_TTAFStock_Log[Part Name],$A11,T_TTAFStock_Log[WeekIndex],81))</f>
        <v/>
      </c>
      <c r="CE11" s="19">
        <f>IF(COUNTIFS(T_TTAFStock_Log[Part Name],$A11,T_TTAFStock_Log[WeekIndex],82)=0,"",SUMIFS(T_TTAFStock_Log[TTAF_Qty],T_TTAFStock_Log[Part Name],$A11,T_TTAFStock_Log[WeekIndex],82))</f>
        <v/>
      </c>
      <c r="CF11" s="19">
        <f>IF(COUNTIFS(T_TTAFStock_Log[Part Name],$A11,T_TTAFStock_Log[WeekIndex],83)=0,"",SUMIFS(T_TTAFStock_Log[TTAF_Qty],T_TTAFStock_Log[Part Name],$A11,T_TTAFStock_Log[WeekIndex],83))</f>
        <v/>
      </c>
      <c r="CG11" s="19">
        <f>IF(COUNTIFS(T_TTAFStock_Log[Part Name],$A11,T_TTAFStock_Log[WeekIndex],84)=0,"",SUMIFS(T_TTAFStock_Log[TTAF_Qty],T_TTAFStock_Log[Part Name],$A11,T_TTAFStock_Log[WeekIndex],84))</f>
        <v/>
      </c>
      <c r="CH11" s="19">
        <f>IF(COUNTIFS(T_TTAFStock_Log[Part Name],$A11,T_TTAFStock_Log[WeekIndex],85)=0,"",SUMIFS(T_TTAFStock_Log[TTAF_Qty],T_TTAFStock_Log[Part Name],$A11,T_TTAFStock_Log[WeekIndex],85))</f>
        <v/>
      </c>
      <c r="CI11" s="19">
        <f>IF(COUNTIFS(T_TTAFStock_Log[Part Name],$A11,T_TTAFStock_Log[WeekIndex],86)=0,"",SUMIFS(T_TTAFStock_Log[TTAF_Qty],T_TTAFStock_Log[Part Name],$A11,T_TTAFStock_Log[WeekIndex],86))</f>
        <v/>
      </c>
      <c r="CJ11" s="19">
        <f>IF(COUNTIFS(T_TTAFStock_Log[Part Name],$A11,T_TTAFStock_Log[WeekIndex],87)=0,"",SUMIFS(T_TTAFStock_Log[TTAF_Qty],T_TTAFStock_Log[Part Name],$A11,T_TTAFStock_Log[WeekIndex],87))</f>
        <v/>
      </c>
      <c r="CK11" s="19">
        <f>IF(COUNTIFS(T_TTAFStock_Log[Part Name],$A11,T_TTAFStock_Log[WeekIndex],88)=0,"",SUMIFS(T_TTAFStock_Log[TTAF_Qty],T_TTAFStock_Log[Part Name],$A11,T_TTAFStock_Log[WeekIndex],88))</f>
        <v/>
      </c>
      <c r="CL11" s="19">
        <f>IF(COUNTIFS(T_TTAFStock_Log[Part Name],$A11,T_TTAFStock_Log[WeekIndex],89)=0,"",SUMIFS(T_TTAFStock_Log[TTAF_Qty],T_TTAFStock_Log[Part Name],$A11,T_TTAFStock_Log[WeekIndex],89))</f>
        <v/>
      </c>
      <c r="CM11" s="19">
        <f>IF(COUNTIFS(T_TTAFStock_Log[Part Name],$A11,T_TTAFStock_Log[WeekIndex],90)=0,"",SUMIFS(T_TTAFStock_Log[TTAF_Qty],T_TTAFStock_Log[Part Name],$A11,T_TTAFStock_Log[WeekIndex],90))</f>
        <v/>
      </c>
      <c r="CN11" s="19">
        <f>IF(COUNTIFS(T_TTAFStock_Log[Part Name],$A11,T_TTAFStock_Log[WeekIndex],91)=0,"",SUMIFS(T_TTAFStock_Log[TTAF_Qty],T_TTAFStock_Log[Part Name],$A11,T_TTAFStock_Log[WeekIndex],91))</f>
        <v/>
      </c>
      <c r="CO11" s="19">
        <f>IF(COUNTIFS(T_TTAFStock_Log[Part Name],$A11,T_TTAFStock_Log[WeekIndex],92)=0,"",SUMIFS(T_TTAFStock_Log[TTAF_Qty],T_TTAFStock_Log[Part Name],$A11,T_TTAFStock_Log[WeekIndex],92))</f>
        <v/>
      </c>
      <c r="CP11" s="19">
        <f>IF(COUNTIFS(T_TTAFStock_Log[Part Name],$A11,T_TTAFStock_Log[WeekIndex],93)=0,"",SUMIFS(T_TTAFStock_Log[TTAF_Qty],T_TTAFStock_Log[Part Name],$A11,T_TTAFStock_Log[WeekIndex],93))</f>
        <v/>
      </c>
      <c r="CQ11" s="19">
        <f>IF(COUNTIFS(T_TTAFStock_Log[Part Name],$A11,T_TTAFStock_Log[WeekIndex],94)=0,"",SUMIFS(T_TTAFStock_Log[TTAF_Qty],T_TTAFStock_Log[Part Name],$A11,T_TTAFStock_Log[WeekIndex],94))</f>
        <v/>
      </c>
      <c r="CR11" s="19">
        <f>IF(COUNTIFS(T_TTAFStock_Log[Part Name],$A11,T_TTAFStock_Log[WeekIndex],95)=0,"",SUMIFS(T_TTAFStock_Log[TTAF_Qty],T_TTAFStock_Log[Part Name],$A11,T_TTAFStock_Log[WeekIndex],95))</f>
        <v/>
      </c>
      <c r="CS11" s="19">
        <f>IF(COUNTIFS(T_TTAFStock_Log[Part Name],$A11,T_TTAFStock_Log[WeekIndex],96)=0,"",SUMIFS(T_TTAFStock_Log[TTAF_Qty],T_TTAFStock_Log[Part Name],$A11,T_TTAFStock_Log[WeekIndex],96))</f>
        <v/>
      </c>
      <c r="CT11" s="19">
        <f>IF(COUNTIFS(T_TTAFStock_Log[Part Name],$A11,T_TTAFStock_Log[WeekIndex],97)=0,"",SUMIFS(T_TTAFStock_Log[TTAF_Qty],T_TTAFStock_Log[Part Name],$A11,T_TTAFStock_Log[WeekIndex],97))</f>
        <v/>
      </c>
      <c r="CU11" s="19">
        <f>IF(COUNTIFS(T_TTAFStock_Log[Part Name],$A11,T_TTAFStock_Log[WeekIndex],98)=0,"",SUMIFS(T_TTAFStock_Log[TTAF_Qty],T_TTAFStock_Log[Part Name],$A11,T_TTAFStock_Log[WeekIndex],98))</f>
        <v/>
      </c>
      <c r="CV11" s="19">
        <f>IF(COUNTIFS(T_TTAFStock_Log[Part Name],$A11,T_TTAFStock_Log[WeekIndex],99)=0,"",SUMIFS(T_TTAFStock_Log[TTAF_Qty],T_TTAFStock_Log[Part Name],$A11,T_TTAFStock_Log[WeekIndex],99))</f>
        <v/>
      </c>
      <c r="CW11" s="19">
        <f>IF(COUNTIFS(T_TTAFStock_Log[Part Name],$A11,T_TTAFStock_Log[WeekIndex],100)=0,"",SUMIFS(T_TTAFStock_Log[TTAF_Qty],T_TTAFStock_Log[Part Name],$A11,T_TTAFStock_Log[WeekIndex],100))</f>
        <v/>
      </c>
      <c r="CX11" s="19">
        <f>IF(COUNTIFS(T_TTAFStock_Log[Part Name],$A11,T_TTAFStock_Log[WeekIndex],101)=0,"",SUMIFS(T_TTAFStock_Log[TTAF_Qty],T_TTAFStock_Log[Part Name],$A11,T_TTAFStock_Log[WeekIndex],101))</f>
        <v/>
      </c>
      <c r="CY11" s="19">
        <f>IF(COUNTIFS(T_TTAFStock_Log[Part Name],$A11,T_TTAFStock_Log[WeekIndex],102)=0,"",SUMIFS(T_TTAFStock_Log[TTAF_Qty],T_TTAFStock_Log[Part Name],$A11,T_TTAFStock_Log[WeekIndex],102))</f>
        <v/>
      </c>
      <c r="CZ11" s="19">
        <f>IF(COUNTIFS(T_TTAFStock_Log[Part Name],$A11,T_TTAFStock_Log[WeekIndex],103)=0,"",SUMIFS(T_TTAFStock_Log[TTAF_Qty],T_TTAFStock_Log[Part Name],$A11,T_TTAFStock_Log[WeekIndex],103))</f>
        <v/>
      </c>
      <c r="DA11" s="19">
        <f>IF(COUNTIFS(T_TTAFStock_Log[Part Name],$A11,T_TTAFStock_Log[WeekIndex],104)=0,"",SUMIFS(T_TTAFStock_Log[TTAF_Qty],T_TTAFStock_Log[Part Name],$A11,T_TTAFStock_Log[WeekIndex],104))</f>
        <v/>
      </c>
    </row>
    <row r="12">
      <c r="A12" s="17" t="inlineStr">
        <is>
          <t>TDJ</t>
        </is>
      </c>
      <c r="B12" s="17">
        <f>IF(COUNTIFS(T_TTAFStock_Log[Part Name],$A12,T_TTAFStock_Log[WeekIndex],1)=0,"",SUMIFS(T_TTAFStock_Log[TTAF_Qty],T_TTAFStock_Log[Part Name],$A12,T_TTAFStock_Log[WeekIndex],1))</f>
        <v/>
      </c>
      <c r="C12" s="17">
        <f>IF(COUNTIFS(T_TTAFStock_Log[Part Name],$A12,T_TTAFStock_Log[WeekIndex],2)=0,"",SUMIFS(T_TTAFStock_Log[TTAF_Qty],T_TTAFStock_Log[Part Name],$A12,T_TTAFStock_Log[WeekIndex],2))</f>
        <v/>
      </c>
      <c r="D12" s="17">
        <f>IF(COUNTIFS(T_TTAFStock_Log[Part Name],$A12,T_TTAFStock_Log[WeekIndex],3)=0,"",SUMIFS(T_TTAFStock_Log[TTAF_Qty],T_TTAFStock_Log[Part Name],$A12,T_TTAFStock_Log[WeekIndex],3))</f>
        <v/>
      </c>
      <c r="E12" s="17">
        <f>IF(COUNTIFS(T_TTAFStock_Log[Part Name],$A12,T_TTAFStock_Log[WeekIndex],4)=0,"",SUMIFS(T_TTAFStock_Log[TTAF_Qty],T_TTAFStock_Log[Part Name],$A12,T_TTAFStock_Log[WeekIndex],4))</f>
        <v/>
      </c>
      <c r="F12" s="17">
        <f>IF(COUNTIFS(T_TTAFStock_Log[Part Name],$A12,T_TTAFStock_Log[WeekIndex],5)=0,"",SUMIFS(T_TTAFStock_Log[TTAF_Qty],T_TTAFStock_Log[Part Name],$A12,T_TTAFStock_Log[WeekIndex],5))</f>
        <v/>
      </c>
      <c r="G12" s="17">
        <f>IF(COUNTIFS(T_TTAFStock_Log[Part Name],$A12,T_TTAFStock_Log[WeekIndex],6)=0,"",SUMIFS(T_TTAFStock_Log[TTAF_Qty],T_TTAFStock_Log[Part Name],$A12,T_TTAFStock_Log[WeekIndex],6))</f>
        <v/>
      </c>
      <c r="H12" s="17">
        <f>IF(COUNTIFS(T_TTAFStock_Log[Part Name],$A12,T_TTAFStock_Log[WeekIndex],7)=0,"",SUMIFS(T_TTAFStock_Log[TTAF_Qty],T_TTAFStock_Log[Part Name],$A12,T_TTAFStock_Log[WeekIndex],7))</f>
        <v/>
      </c>
      <c r="I12" s="17">
        <f>IF(COUNTIFS(T_TTAFStock_Log[Part Name],$A12,T_TTAFStock_Log[WeekIndex],8)=0,"",SUMIFS(T_TTAFStock_Log[TTAF_Qty],T_TTAFStock_Log[Part Name],$A12,T_TTAFStock_Log[WeekIndex],8))</f>
        <v/>
      </c>
      <c r="J12" s="17">
        <f>IF(COUNTIFS(T_TTAFStock_Log[Part Name],$A12,T_TTAFStock_Log[WeekIndex],9)=0,"",SUMIFS(T_TTAFStock_Log[TTAF_Qty],T_TTAFStock_Log[Part Name],$A12,T_TTAFStock_Log[WeekIndex],9))</f>
        <v/>
      </c>
      <c r="K12" s="17">
        <f>IF(COUNTIFS(T_TTAFStock_Log[Part Name],$A12,T_TTAFStock_Log[WeekIndex],10)=0,"",SUMIFS(T_TTAFStock_Log[TTAF_Qty],T_TTAFStock_Log[Part Name],$A12,T_TTAFStock_Log[WeekIndex],10))</f>
        <v/>
      </c>
      <c r="L12" s="17">
        <f>IF(COUNTIFS(T_TTAFStock_Log[Part Name],$A12,T_TTAFStock_Log[WeekIndex],11)=0,"",SUMIFS(T_TTAFStock_Log[TTAF_Qty],T_TTAFStock_Log[Part Name],$A12,T_TTAFStock_Log[WeekIndex],11))</f>
        <v/>
      </c>
      <c r="M12" s="17">
        <f>IF(COUNTIFS(T_TTAFStock_Log[Part Name],$A12,T_TTAFStock_Log[WeekIndex],12)=0,"",SUMIFS(T_TTAFStock_Log[TTAF_Qty],T_TTAFStock_Log[Part Name],$A12,T_TTAFStock_Log[WeekIndex],12))</f>
        <v/>
      </c>
      <c r="N12" s="17">
        <f>IF(COUNTIFS(T_TTAFStock_Log[Part Name],$A12,T_TTAFStock_Log[WeekIndex],13)=0,"",SUMIFS(T_TTAFStock_Log[TTAF_Qty],T_TTAFStock_Log[Part Name],$A12,T_TTAFStock_Log[WeekIndex],13))</f>
        <v/>
      </c>
      <c r="O12" s="17">
        <f>IF(COUNTIFS(T_TTAFStock_Log[Part Name],$A12,T_TTAFStock_Log[WeekIndex],14)=0,"",SUMIFS(T_TTAFStock_Log[TTAF_Qty],T_TTAFStock_Log[Part Name],$A12,T_TTAFStock_Log[WeekIndex],14))</f>
        <v/>
      </c>
      <c r="P12" s="17">
        <f>IF(COUNTIFS(T_TTAFStock_Log[Part Name],$A12,T_TTAFStock_Log[WeekIndex],15)=0,"",SUMIFS(T_TTAFStock_Log[TTAF_Qty],T_TTAFStock_Log[Part Name],$A12,T_TTAFStock_Log[WeekIndex],15))</f>
        <v/>
      </c>
      <c r="Q12" s="17">
        <f>IF(COUNTIFS(T_TTAFStock_Log[Part Name],$A12,T_TTAFStock_Log[WeekIndex],16)=0,"",SUMIFS(T_TTAFStock_Log[TTAF_Qty],T_TTAFStock_Log[Part Name],$A12,T_TTAFStock_Log[WeekIndex],16))</f>
        <v/>
      </c>
      <c r="R12" s="17">
        <f>IF(COUNTIFS(T_TTAFStock_Log[Part Name],$A12,T_TTAFStock_Log[WeekIndex],17)=0,"",SUMIFS(T_TTAFStock_Log[TTAF_Qty],T_TTAFStock_Log[Part Name],$A12,T_TTAFStock_Log[WeekIndex],17))</f>
        <v/>
      </c>
      <c r="S12" s="17">
        <f>IF(COUNTIFS(T_TTAFStock_Log[Part Name],$A12,T_TTAFStock_Log[WeekIndex],18)=0,"",SUMIFS(T_TTAFStock_Log[TTAF_Qty],T_TTAFStock_Log[Part Name],$A12,T_TTAFStock_Log[WeekIndex],18))</f>
        <v/>
      </c>
      <c r="T12" s="17">
        <f>IF(COUNTIFS(T_TTAFStock_Log[Part Name],$A12,T_TTAFStock_Log[WeekIndex],19)=0,"",SUMIFS(T_TTAFStock_Log[TTAF_Qty],T_TTAFStock_Log[Part Name],$A12,T_TTAFStock_Log[WeekIndex],19))</f>
        <v/>
      </c>
      <c r="U12" s="17">
        <f>IF(COUNTIFS(T_TTAFStock_Log[Part Name],$A12,T_TTAFStock_Log[WeekIndex],20)=0,"",SUMIFS(T_TTAFStock_Log[TTAF_Qty],T_TTAFStock_Log[Part Name],$A12,T_TTAFStock_Log[WeekIndex],20))</f>
        <v/>
      </c>
      <c r="V12" s="17">
        <f>IF(COUNTIFS(T_TTAFStock_Log[Part Name],$A12,T_TTAFStock_Log[WeekIndex],21)=0,"",SUMIFS(T_TTAFStock_Log[TTAF_Qty],T_TTAFStock_Log[Part Name],$A12,T_TTAFStock_Log[WeekIndex],21))</f>
        <v/>
      </c>
      <c r="W12" s="17">
        <f>IF(COUNTIFS(T_TTAFStock_Log[Part Name],$A12,T_TTAFStock_Log[WeekIndex],22)=0,"",SUMIFS(T_TTAFStock_Log[TTAF_Qty],T_TTAFStock_Log[Part Name],$A12,T_TTAFStock_Log[WeekIndex],22))</f>
        <v/>
      </c>
      <c r="X12" s="17">
        <f>IF(COUNTIFS(T_TTAFStock_Log[Part Name],$A12,T_TTAFStock_Log[WeekIndex],23)=0,"",SUMIFS(T_TTAFStock_Log[TTAF_Qty],T_TTAFStock_Log[Part Name],$A12,T_TTAFStock_Log[WeekIndex],23))</f>
        <v/>
      </c>
      <c r="Y12" s="17">
        <f>IF(COUNTIFS(T_TTAFStock_Log[Part Name],$A12,T_TTAFStock_Log[WeekIndex],24)=0,"",SUMIFS(T_TTAFStock_Log[TTAF_Qty],T_TTAFStock_Log[Part Name],$A12,T_TTAFStock_Log[WeekIndex],24))</f>
        <v/>
      </c>
      <c r="Z12" s="17">
        <f>IF(COUNTIFS(T_TTAFStock_Log[Part Name],$A12,T_TTAFStock_Log[WeekIndex],25)=0,"",SUMIFS(T_TTAFStock_Log[TTAF_Qty],T_TTAFStock_Log[Part Name],$A12,T_TTAFStock_Log[WeekIndex],25))</f>
        <v/>
      </c>
      <c r="AA12" s="17">
        <f>IF(COUNTIFS(T_TTAFStock_Log[Part Name],$A12,T_TTAFStock_Log[WeekIndex],26)=0,"",SUMIFS(T_TTAFStock_Log[TTAF_Qty],T_TTAFStock_Log[Part Name],$A12,T_TTAFStock_Log[WeekIndex],26))</f>
        <v/>
      </c>
      <c r="AB12" s="17">
        <f>IF(COUNTIFS(T_TTAFStock_Log[Part Name],$A12,T_TTAFStock_Log[WeekIndex],27)=0,"",SUMIFS(T_TTAFStock_Log[TTAF_Qty],T_TTAFStock_Log[Part Name],$A12,T_TTAFStock_Log[WeekIndex],27))</f>
        <v/>
      </c>
      <c r="AC12" s="17">
        <f>IF(COUNTIFS(T_TTAFStock_Log[Part Name],$A12,T_TTAFStock_Log[WeekIndex],28)=0,"",SUMIFS(T_TTAFStock_Log[TTAF_Qty],T_TTAFStock_Log[Part Name],$A12,T_TTAFStock_Log[WeekIndex],28))</f>
        <v/>
      </c>
      <c r="AD12" s="17">
        <f>IF(COUNTIFS(T_TTAFStock_Log[Part Name],$A12,T_TTAFStock_Log[WeekIndex],29)=0,"",SUMIFS(T_TTAFStock_Log[TTAF_Qty],T_TTAFStock_Log[Part Name],$A12,T_TTAFStock_Log[WeekIndex],29))</f>
        <v/>
      </c>
      <c r="AE12" s="17">
        <f>IF(COUNTIFS(T_TTAFStock_Log[Part Name],$A12,T_TTAFStock_Log[WeekIndex],30)=0,"",SUMIFS(T_TTAFStock_Log[TTAF_Qty],T_TTAFStock_Log[Part Name],$A12,T_TTAFStock_Log[WeekIndex],30))</f>
        <v/>
      </c>
      <c r="AF12" s="17">
        <f>IF(COUNTIFS(T_TTAFStock_Log[Part Name],$A12,T_TTAFStock_Log[WeekIndex],31)=0,"",SUMIFS(T_TTAFStock_Log[TTAF_Qty],T_TTAFStock_Log[Part Name],$A12,T_TTAFStock_Log[WeekIndex],31))</f>
        <v/>
      </c>
      <c r="AG12" s="17">
        <f>IF(COUNTIFS(T_TTAFStock_Log[Part Name],$A12,T_TTAFStock_Log[WeekIndex],32)=0,"",SUMIFS(T_TTAFStock_Log[TTAF_Qty],T_TTAFStock_Log[Part Name],$A12,T_TTAFStock_Log[WeekIndex],32))</f>
        <v/>
      </c>
      <c r="AH12" s="17">
        <f>IF(COUNTIFS(T_TTAFStock_Log[Part Name],$A12,T_TTAFStock_Log[WeekIndex],33)=0,"",SUMIFS(T_TTAFStock_Log[TTAF_Qty],T_TTAFStock_Log[Part Name],$A12,T_TTAFStock_Log[WeekIndex],33))</f>
        <v/>
      </c>
      <c r="AI12" s="17">
        <f>IF(COUNTIFS(T_TTAFStock_Log[Part Name],$A12,T_TTAFStock_Log[WeekIndex],34)=0,"",SUMIFS(T_TTAFStock_Log[TTAF_Qty],T_TTAFStock_Log[Part Name],$A12,T_TTAFStock_Log[WeekIndex],34))</f>
        <v/>
      </c>
      <c r="AJ12" s="17">
        <f>IF(COUNTIFS(T_TTAFStock_Log[Part Name],$A12,T_TTAFStock_Log[WeekIndex],35)=0,"",SUMIFS(T_TTAFStock_Log[TTAF_Qty],T_TTAFStock_Log[Part Name],$A12,T_TTAFStock_Log[WeekIndex],35))</f>
        <v/>
      </c>
      <c r="AK12" s="17">
        <f>IF(COUNTIFS(T_TTAFStock_Log[Part Name],$A12,T_TTAFStock_Log[WeekIndex],36)=0,"",SUMIFS(T_TTAFStock_Log[TTAF_Qty],T_TTAFStock_Log[Part Name],$A12,T_TTAFStock_Log[WeekIndex],36))</f>
        <v/>
      </c>
      <c r="AL12" s="17">
        <f>IF(COUNTIFS(T_TTAFStock_Log[Part Name],$A12,T_TTAFStock_Log[WeekIndex],37)=0,"",SUMIFS(T_TTAFStock_Log[TTAF_Qty],T_TTAFStock_Log[Part Name],$A12,T_TTAFStock_Log[WeekIndex],37))</f>
        <v/>
      </c>
      <c r="AM12" s="17">
        <f>IF(COUNTIFS(T_TTAFStock_Log[Part Name],$A12,T_TTAFStock_Log[WeekIndex],38)=0,"",SUMIFS(T_TTAFStock_Log[TTAF_Qty],T_TTAFStock_Log[Part Name],$A12,T_TTAFStock_Log[WeekIndex],38))</f>
        <v/>
      </c>
      <c r="AN12" s="17">
        <f>IF(COUNTIFS(T_TTAFStock_Log[Part Name],$A12,T_TTAFStock_Log[WeekIndex],39)=0,"",SUMIFS(T_TTAFStock_Log[TTAF_Qty],T_TTAFStock_Log[Part Name],$A12,T_TTAFStock_Log[WeekIndex],39))</f>
        <v/>
      </c>
      <c r="AO12" s="17">
        <f>IF(COUNTIFS(T_TTAFStock_Log[Part Name],$A12,T_TTAFStock_Log[WeekIndex],40)=0,"",SUMIFS(T_TTAFStock_Log[TTAF_Qty],T_TTAFStock_Log[Part Name],$A12,T_TTAFStock_Log[WeekIndex],40))</f>
        <v/>
      </c>
      <c r="AP12" s="17">
        <f>IF(COUNTIFS(T_TTAFStock_Log[Part Name],$A12,T_TTAFStock_Log[WeekIndex],41)=0,"",SUMIFS(T_TTAFStock_Log[TTAF_Qty],T_TTAFStock_Log[Part Name],$A12,T_TTAFStock_Log[WeekIndex],41))</f>
        <v/>
      </c>
      <c r="AQ12" s="17">
        <f>IF(COUNTIFS(T_TTAFStock_Log[Part Name],$A12,T_TTAFStock_Log[WeekIndex],42)=0,"",SUMIFS(T_TTAFStock_Log[TTAF_Qty],T_TTAFStock_Log[Part Name],$A12,T_TTAFStock_Log[WeekIndex],42))</f>
        <v/>
      </c>
      <c r="AR12" s="17">
        <f>IF(COUNTIFS(T_TTAFStock_Log[Part Name],$A12,T_TTAFStock_Log[WeekIndex],43)=0,"",SUMIFS(T_TTAFStock_Log[TTAF_Qty],T_TTAFStock_Log[Part Name],$A12,T_TTAFStock_Log[WeekIndex],43))</f>
        <v/>
      </c>
      <c r="AS12" s="17">
        <f>IF(COUNTIFS(T_TTAFStock_Log[Part Name],$A12,T_TTAFStock_Log[WeekIndex],44)=0,"",SUMIFS(T_TTAFStock_Log[TTAF_Qty],T_TTAFStock_Log[Part Name],$A12,T_TTAFStock_Log[WeekIndex],44))</f>
        <v/>
      </c>
      <c r="AT12" s="17">
        <f>IF(COUNTIFS(T_TTAFStock_Log[Part Name],$A12,T_TTAFStock_Log[WeekIndex],45)=0,"",SUMIFS(T_TTAFStock_Log[TTAF_Qty],T_TTAFStock_Log[Part Name],$A12,T_TTAFStock_Log[WeekIndex],45))</f>
        <v/>
      </c>
      <c r="AU12" s="17">
        <f>IF(COUNTIFS(T_TTAFStock_Log[Part Name],$A12,T_TTAFStock_Log[WeekIndex],46)=0,"",SUMIFS(T_TTAFStock_Log[TTAF_Qty],T_TTAFStock_Log[Part Name],$A12,T_TTAFStock_Log[WeekIndex],46))</f>
        <v/>
      </c>
      <c r="AV12" s="17">
        <f>IF(COUNTIFS(T_TTAFStock_Log[Part Name],$A12,T_TTAFStock_Log[WeekIndex],47)=0,"",SUMIFS(T_TTAFStock_Log[TTAF_Qty],T_TTAFStock_Log[Part Name],$A12,T_TTAFStock_Log[WeekIndex],47))</f>
        <v/>
      </c>
      <c r="AW12" s="17">
        <f>IF(COUNTIFS(T_TTAFStock_Log[Part Name],$A12,T_TTAFStock_Log[WeekIndex],48)=0,"",SUMIFS(T_TTAFStock_Log[TTAF_Qty],T_TTAFStock_Log[Part Name],$A12,T_TTAFStock_Log[WeekIndex],48))</f>
        <v/>
      </c>
      <c r="AX12" s="17">
        <f>IF(COUNTIFS(T_TTAFStock_Log[Part Name],$A12,T_TTAFStock_Log[WeekIndex],49)=0,"",SUMIFS(T_TTAFStock_Log[TTAF_Qty],T_TTAFStock_Log[Part Name],$A12,T_TTAFStock_Log[WeekIndex],49))</f>
        <v/>
      </c>
      <c r="AY12" s="17">
        <f>IF(COUNTIFS(T_TTAFStock_Log[Part Name],$A12,T_TTAFStock_Log[WeekIndex],50)=0,"",SUMIFS(T_TTAFStock_Log[TTAF_Qty],T_TTAFStock_Log[Part Name],$A12,T_TTAFStock_Log[WeekIndex],50))</f>
        <v/>
      </c>
      <c r="AZ12" s="17">
        <f>IF(COUNTIFS(T_TTAFStock_Log[Part Name],$A12,T_TTAFStock_Log[WeekIndex],51)=0,"",SUMIFS(T_TTAFStock_Log[TTAF_Qty],T_TTAFStock_Log[Part Name],$A12,T_TTAFStock_Log[WeekIndex],51))</f>
        <v/>
      </c>
      <c r="BA12" s="17">
        <f>IF(COUNTIFS(T_TTAFStock_Log[Part Name],$A12,T_TTAFStock_Log[WeekIndex],52)=0,"",SUMIFS(T_TTAFStock_Log[TTAF_Qty],T_TTAFStock_Log[Part Name],$A12,T_TTAFStock_Log[WeekIndex],52))</f>
        <v/>
      </c>
      <c r="BB12" s="17">
        <f>IF(COUNTIFS(T_TTAFStock_Log[Part Name],$A12,T_TTAFStock_Log[WeekIndex],53)=0,"",SUMIFS(T_TTAFStock_Log[TTAF_Qty],T_TTAFStock_Log[Part Name],$A12,T_TTAFStock_Log[WeekIndex],53))</f>
        <v/>
      </c>
      <c r="BC12" s="17">
        <f>IF(COUNTIFS(T_TTAFStock_Log[Part Name],$A12,T_TTAFStock_Log[WeekIndex],54)=0,"",SUMIFS(T_TTAFStock_Log[TTAF_Qty],T_TTAFStock_Log[Part Name],$A12,T_TTAFStock_Log[WeekIndex],54))</f>
        <v/>
      </c>
      <c r="BD12" s="17">
        <f>IF(COUNTIFS(T_TTAFStock_Log[Part Name],$A12,T_TTAFStock_Log[WeekIndex],55)=0,"",SUMIFS(T_TTAFStock_Log[TTAF_Qty],T_TTAFStock_Log[Part Name],$A12,T_TTAFStock_Log[WeekIndex],55))</f>
        <v/>
      </c>
      <c r="BE12" s="17">
        <f>IF(COUNTIFS(T_TTAFStock_Log[Part Name],$A12,T_TTAFStock_Log[WeekIndex],56)=0,"",SUMIFS(T_TTAFStock_Log[TTAF_Qty],T_TTAFStock_Log[Part Name],$A12,T_TTAFStock_Log[WeekIndex],56))</f>
        <v/>
      </c>
      <c r="BF12" s="17">
        <f>IF(COUNTIFS(T_TTAFStock_Log[Part Name],$A12,T_TTAFStock_Log[WeekIndex],57)=0,"",SUMIFS(T_TTAFStock_Log[TTAF_Qty],T_TTAFStock_Log[Part Name],$A12,T_TTAFStock_Log[WeekIndex],57))</f>
        <v/>
      </c>
      <c r="BG12" s="17">
        <f>IF(COUNTIFS(T_TTAFStock_Log[Part Name],$A12,T_TTAFStock_Log[WeekIndex],58)=0,"",SUMIFS(T_TTAFStock_Log[TTAF_Qty],T_TTAFStock_Log[Part Name],$A12,T_TTAFStock_Log[WeekIndex],58))</f>
        <v/>
      </c>
      <c r="BH12" s="17">
        <f>IF(COUNTIFS(T_TTAFStock_Log[Part Name],$A12,T_TTAFStock_Log[WeekIndex],59)=0,"",SUMIFS(T_TTAFStock_Log[TTAF_Qty],T_TTAFStock_Log[Part Name],$A12,T_TTAFStock_Log[WeekIndex],59))</f>
        <v/>
      </c>
      <c r="BI12" s="17">
        <f>IF(COUNTIFS(T_TTAFStock_Log[Part Name],$A12,T_TTAFStock_Log[WeekIndex],60)=0,"",SUMIFS(T_TTAFStock_Log[TTAF_Qty],T_TTAFStock_Log[Part Name],$A12,T_TTAFStock_Log[WeekIndex],60))</f>
        <v/>
      </c>
      <c r="BJ12" s="17">
        <f>IF(COUNTIFS(T_TTAFStock_Log[Part Name],$A12,T_TTAFStock_Log[WeekIndex],61)=0,"",SUMIFS(T_TTAFStock_Log[TTAF_Qty],T_TTAFStock_Log[Part Name],$A12,T_TTAFStock_Log[WeekIndex],61))</f>
        <v/>
      </c>
      <c r="BK12" s="17">
        <f>IF(COUNTIFS(T_TTAFStock_Log[Part Name],$A12,T_TTAFStock_Log[WeekIndex],62)=0,"",SUMIFS(T_TTAFStock_Log[TTAF_Qty],T_TTAFStock_Log[Part Name],$A12,T_TTAFStock_Log[WeekIndex],62))</f>
        <v/>
      </c>
      <c r="BL12" s="17">
        <f>IF(COUNTIFS(T_TTAFStock_Log[Part Name],$A12,T_TTAFStock_Log[WeekIndex],63)=0,"",SUMIFS(T_TTAFStock_Log[TTAF_Qty],T_TTAFStock_Log[Part Name],$A12,T_TTAFStock_Log[WeekIndex],63))</f>
        <v/>
      </c>
      <c r="BM12" s="17">
        <f>IF(COUNTIFS(T_TTAFStock_Log[Part Name],$A12,T_TTAFStock_Log[WeekIndex],64)=0,"",SUMIFS(T_TTAFStock_Log[TTAF_Qty],T_TTAFStock_Log[Part Name],$A12,T_TTAFStock_Log[WeekIndex],64))</f>
        <v/>
      </c>
      <c r="BN12" s="17">
        <f>IF(COUNTIFS(T_TTAFStock_Log[Part Name],$A12,T_TTAFStock_Log[WeekIndex],65)=0,"",SUMIFS(T_TTAFStock_Log[TTAF_Qty],T_TTAFStock_Log[Part Name],$A12,T_TTAFStock_Log[WeekIndex],65))</f>
        <v/>
      </c>
      <c r="BO12" s="17">
        <f>IF(COUNTIFS(T_TTAFStock_Log[Part Name],$A12,T_TTAFStock_Log[WeekIndex],66)=0,"",SUMIFS(T_TTAFStock_Log[TTAF_Qty],T_TTAFStock_Log[Part Name],$A12,T_TTAFStock_Log[WeekIndex],66))</f>
        <v/>
      </c>
      <c r="BP12" s="17">
        <f>IF(COUNTIFS(T_TTAFStock_Log[Part Name],$A12,T_TTAFStock_Log[WeekIndex],67)=0,"",SUMIFS(T_TTAFStock_Log[TTAF_Qty],T_TTAFStock_Log[Part Name],$A12,T_TTAFStock_Log[WeekIndex],67))</f>
        <v/>
      </c>
      <c r="BQ12" s="17">
        <f>IF(COUNTIFS(T_TTAFStock_Log[Part Name],$A12,T_TTAFStock_Log[WeekIndex],68)=0,"",SUMIFS(T_TTAFStock_Log[TTAF_Qty],T_TTAFStock_Log[Part Name],$A12,T_TTAFStock_Log[WeekIndex],68))</f>
        <v/>
      </c>
      <c r="BR12" s="17">
        <f>IF(COUNTIFS(T_TTAFStock_Log[Part Name],$A12,T_TTAFStock_Log[WeekIndex],69)=0,"",SUMIFS(T_TTAFStock_Log[TTAF_Qty],T_TTAFStock_Log[Part Name],$A12,T_TTAFStock_Log[WeekIndex],69))</f>
        <v/>
      </c>
      <c r="BS12" s="17">
        <f>IF(COUNTIFS(T_TTAFStock_Log[Part Name],$A12,T_TTAFStock_Log[WeekIndex],70)=0,"",SUMIFS(T_TTAFStock_Log[TTAF_Qty],T_TTAFStock_Log[Part Name],$A12,T_TTAFStock_Log[WeekIndex],70))</f>
        <v/>
      </c>
      <c r="BT12" s="17">
        <f>IF(COUNTIFS(T_TTAFStock_Log[Part Name],$A12,T_TTAFStock_Log[WeekIndex],71)=0,"",SUMIFS(T_TTAFStock_Log[TTAF_Qty],T_TTAFStock_Log[Part Name],$A12,T_TTAFStock_Log[WeekIndex],71))</f>
        <v/>
      </c>
      <c r="BU12" s="17">
        <f>IF(COUNTIFS(T_TTAFStock_Log[Part Name],$A12,T_TTAFStock_Log[WeekIndex],72)=0,"",SUMIFS(T_TTAFStock_Log[TTAF_Qty],T_TTAFStock_Log[Part Name],$A12,T_TTAFStock_Log[WeekIndex],72))</f>
        <v/>
      </c>
      <c r="BV12" s="17">
        <f>IF(COUNTIFS(T_TTAFStock_Log[Part Name],$A12,T_TTAFStock_Log[WeekIndex],73)=0,"",SUMIFS(T_TTAFStock_Log[TTAF_Qty],T_TTAFStock_Log[Part Name],$A12,T_TTAFStock_Log[WeekIndex],73))</f>
        <v/>
      </c>
      <c r="BW12" s="17">
        <f>IF(COUNTIFS(T_TTAFStock_Log[Part Name],$A12,T_TTAFStock_Log[WeekIndex],74)=0,"",SUMIFS(T_TTAFStock_Log[TTAF_Qty],T_TTAFStock_Log[Part Name],$A12,T_TTAFStock_Log[WeekIndex],74))</f>
        <v/>
      </c>
      <c r="BX12" s="17">
        <f>IF(COUNTIFS(T_TTAFStock_Log[Part Name],$A12,T_TTAFStock_Log[WeekIndex],75)=0,"",SUMIFS(T_TTAFStock_Log[TTAF_Qty],T_TTAFStock_Log[Part Name],$A12,T_TTAFStock_Log[WeekIndex],75))</f>
        <v/>
      </c>
      <c r="BY12" s="17">
        <f>IF(COUNTIFS(T_TTAFStock_Log[Part Name],$A12,T_TTAFStock_Log[WeekIndex],76)=0,"",SUMIFS(T_TTAFStock_Log[TTAF_Qty],T_TTAFStock_Log[Part Name],$A12,T_TTAFStock_Log[WeekIndex],76))</f>
        <v/>
      </c>
      <c r="BZ12" s="17">
        <f>IF(COUNTIFS(T_TTAFStock_Log[Part Name],$A12,T_TTAFStock_Log[WeekIndex],77)=0,"",SUMIFS(T_TTAFStock_Log[TTAF_Qty],T_TTAFStock_Log[Part Name],$A12,T_TTAFStock_Log[WeekIndex],77))</f>
        <v/>
      </c>
      <c r="CA12" s="17">
        <f>IF(COUNTIFS(T_TTAFStock_Log[Part Name],$A12,T_TTAFStock_Log[WeekIndex],78)=0,"",SUMIFS(T_TTAFStock_Log[TTAF_Qty],T_TTAFStock_Log[Part Name],$A12,T_TTAFStock_Log[WeekIndex],78))</f>
        <v/>
      </c>
      <c r="CB12" s="17">
        <f>IF(COUNTIFS(T_TTAFStock_Log[Part Name],$A12,T_TTAFStock_Log[WeekIndex],79)=0,"",SUMIFS(T_TTAFStock_Log[TTAF_Qty],T_TTAFStock_Log[Part Name],$A12,T_TTAFStock_Log[WeekIndex],79))</f>
        <v/>
      </c>
      <c r="CC12" s="17">
        <f>IF(COUNTIFS(T_TTAFStock_Log[Part Name],$A12,T_TTAFStock_Log[WeekIndex],80)=0,"",SUMIFS(T_TTAFStock_Log[TTAF_Qty],T_TTAFStock_Log[Part Name],$A12,T_TTAFStock_Log[WeekIndex],80))</f>
        <v/>
      </c>
      <c r="CD12" s="17">
        <f>IF(COUNTIFS(T_TTAFStock_Log[Part Name],$A12,T_TTAFStock_Log[WeekIndex],81)=0,"",SUMIFS(T_TTAFStock_Log[TTAF_Qty],T_TTAFStock_Log[Part Name],$A12,T_TTAFStock_Log[WeekIndex],81))</f>
        <v/>
      </c>
      <c r="CE12" s="17">
        <f>IF(COUNTIFS(T_TTAFStock_Log[Part Name],$A12,T_TTAFStock_Log[WeekIndex],82)=0,"",SUMIFS(T_TTAFStock_Log[TTAF_Qty],T_TTAFStock_Log[Part Name],$A12,T_TTAFStock_Log[WeekIndex],82))</f>
        <v/>
      </c>
      <c r="CF12" s="17">
        <f>IF(COUNTIFS(T_TTAFStock_Log[Part Name],$A12,T_TTAFStock_Log[WeekIndex],83)=0,"",SUMIFS(T_TTAFStock_Log[TTAF_Qty],T_TTAFStock_Log[Part Name],$A12,T_TTAFStock_Log[WeekIndex],83))</f>
        <v/>
      </c>
      <c r="CG12" s="17">
        <f>IF(COUNTIFS(T_TTAFStock_Log[Part Name],$A12,T_TTAFStock_Log[WeekIndex],84)=0,"",SUMIFS(T_TTAFStock_Log[TTAF_Qty],T_TTAFStock_Log[Part Name],$A12,T_TTAFStock_Log[WeekIndex],84))</f>
        <v/>
      </c>
      <c r="CH12" s="17">
        <f>IF(COUNTIFS(T_TTAFStock_Log[Part Name],$A12,T_TTAFStock_Log[WeekIndex],85)=0,"",SUMIFS(T_TTAFStock_Log[TTAF_Qty],T_TTAFStock_Log[Part Name],$A12,T_TTAFStock_Log[WeekIndex],85))</f>
        <v/>
      </c>
      <c r="CI12" s="17">
        <f>IF(COUNTIFS(T_TTAFStock_Log[Part Name],$A12,T_TTAFStock_Log[WeekIndex],86)=0,"",SUMIFS(T_TTAFStock_Log[TTAF_Qty],T_TTAFStock_Log[Part Name],$A12,T_TTAFStock_Log[WeekIndex],86))</f>
        <v/>
      </c>
      <c r="CJ12" s="17">
        <f>IF(COUNTIFS(T_TTAFStock_Log[Part Name],$A12,T_TTAFStock_Log[WeekIndex],87)=0,"",SUMIFS(T_TTAFStock_Log[TTAF_Qty],T_TTAFStock_Log[Part Name],$A12,T_TTAFStock_Log[WeekIndex],87))</f>
        <v/>
      </c>
      <c r="CK12" s="17">
        <f>IF(COUNTIFS(T_TTAFStock_Log[Part Name],$A12,T_TTAFStock_Log[WeekIndex],88)=0,"",SUMIFS(T_TTAFStock_Log[TTAF_Qty],T_TTAFStock_Log[Part Name],$A12,T_TTAFStock_Log[WeekIndex],88))</f>
        <v/>
      </c>
      <c r="CL12" s="17">
        <f>IF(COUNTIFS(T_TTAFStock_Log[Part Name],$A12,T_TTAFStock_Log[WeekIndex],89)=0,"",SUMIFS(T_TTAFStock_Log[TTAF_Qty],T_TTAFStock_Log[Part Name],$A12,T_TTAFStock_Log[WeekIndex],89))</f>
        <v/>
      </c>
      <c r="CM12" s="17">
        <f>IF(COUNTIFS(T_TTAFStock_Log[Part Name],$A12,T_TTAFStock_Log[WeekIndex],90)=0,"",SUMIFS(T_TTAFStock_Log[TTAF_Qty],T_TTAFStock_Log[Part Name],$A12,T_TTAFStock_Log[WeekIndex],90))</f>
        <v/>
      </c>
      <c r="CN12" s="17">
        <f>IF(COUNTIFS(T_TTAFStock_Log[Part Name],$A12,T_TTAFStock_Log[WeekIndex],91)=0,"",SUMIFS(T_TTAFStock_Log[TTAF_Qty],T_TTAFStock_Log[Part Name],$A12,T_TTAFStock_Log[WeekIndex],91))</f>
        <v/>
      </c>
      <c r="CO12" s="17">
        <f>IF(COUNTIFS(T_TTAFStock_Log[Part Name],$A12,T_TTAFStock_Log[WeekIndex],92)=0,"",SUMIFS(T_TTAFStock_Log[TTAF_Qty],T_TTAFStock_Log[Part Name],$A12,T_TTAFStock_Log[WeekIndex],92))</f>
        <v/>
      </c>
      <c r="CP12" s="17">
        <f>IF(COUNTIFS(T_TTAFStock_Log[Part Name],$A12,T_TTAFStock_Log[WeekIndex],93)=0,"",SUMIFS(T_TTAFStock_Log[TTAF_Qty],T_TTAFStock_Log[Part Name],$A12,T_TTAFStock_Log[WeekIndex],93))</f>
        <v/>
      </c>
      <c r="CQ12" s="17">
        <f>IF(COUNTIFS(T_TTAFStock_Log[Part Name],$A12,T_TTAFStock_Log[WeekIndex],94)=0,"",SUMIFS(T_TTAFStock_Log[TTAF_Qty],T_TTAFStock_Log[Part Name],$A12,T_TTAFStock_Log[WeekIndex],94))</f>
        <v/>
      </c>
      <c r="CR12" s="17">
        <f>IF(COUNTIFS(T_TTAFStock_Log[Part Name],$A12,T_TTAFStock_Log[WeekIndex],95)=0,"",SUMIFS(T_TTAFStock_Log[TTAF_Qty],T_TTAFStock_Log[Part Name],$A12,T_TTAFStock_Log[WeekIndex],95))</f>
        <v/>
      </c>
      <c r="CS12" s="17">
        <f>IF(COUNTIFS(T_TTAFStock_Log[Part Name],$A12,T_TTAFStock_Log[WeekIndex],96)=0,"",SUMIFS(T_TTAFStock_Log[TTAF_Qty],T_TTAFStock_Log[Part Name],$A12,T_TTAFStock_Log[WeekIndex],96))</f>
        <v/>
      </c>
      <c r="CT12" s="17">
        <f>IF(COUNTIFS(T_TTAFStock_Log[Part Name],$A12,T_TTAFStock_Log[WeekIndex],97)=0,"",SUMIFS(T_TTAFStock_Log[TTAF_Qty],T_TTAFStock_Log[Part Name],$A12,T_TTAFStock_Log[WeekIndex],97))</f>
        <v/>
      </c>
      <c r="CU12" s="17">
        <f>IF(COUNTIFS(T_TTAFStock_Log[Part Name],$A12,T_TTAFStock_Log[WeekIndex],98)=0,"",SUMIFS(T_TTAFStock_Log[TTAF_Qty],T_TTAFStock_Log[Part Name],$A12,T_TTAFStock_Log[WeekIndex],98))</f>
        <v/>
      </c>
      <c r="CV12" s="17">
        <f>IF(COUNTIFS(T_TTAFStock_Log[Part Name],$A12,T_TTAFStock_Log[WeekIndex],99)=0,"",SUMIFS(T_TTAFStock_Log[TTAF_Qty],T_TTAFStock_Log[Part Name],$A12,T_TTAFStock_Log[WeekIndex],99))</f>
        <v/>
      </c>
      <c r="CW12" s="17">
        <f>IF(COUNTIFS(T_TTAFStock_Log[Part Name],$A12,T_TTAFStock_Log[WeekIndex],100)=0,"",SUMIFS(T_TTAFStock_Log[TTAF_Qty],T_TTAFStock_Log[Part Name],$A12,T_TTAFStock_Log[WeekIndex],100))</f>
        <v/>
      </c>
      <c r="CX12" s="17">
        <f>IF(COUNTIFS(T_TTAFStock_Log[Part Name],$A12,T_TTAFStock_Log[WeekIndex],101)=0,"",SUMIFS(T_TTAFStock_Log[TTAF_Qty],T_TTAFStock_Log[Part Name],$A12,T_TTAFStock_Log[WeekIndex],101))</f>
        <v/>
      </c>
      <c r="CY12" s="17">
        <f>IF(COUNTIFS(T_TTAFStock_Log[Part Name],$A12,T_TTAFStock_Log[WeekIndex],102)=0,"",SUMIFS(T_TTAFStock_Log[TTAF_Qty],T_TTAFStock_Log[Part Name],$A12,T_TTAFStock_Log[WeekIndex],102))</f>
        <v/>
      </c>
      <c r="CZ12" s="17">
        <f>IF(COUNTIFS(T_TTAFStock_Log[Part Name],$A12,T_TTAFStock_Log[WeekIndex],103)=0,"",SUMIFS(T_TTAFStock_Log[TTAF_Qty],T_TTAFStock_Log[Part Name],$A12,T_TTAFStock_Log[WeekIndex],103))</f>
        <v/>
      </c>
      <c r="DA12" s="17">
        <f>IF(COUNTIFS(T_TTAFStock_Log[Part Name],$A12,T_TTAFStock_Log[WeekIndex],104)=0,"",SUMIFS(T_TTAFStock_Log[TTAF_Qty],T_TTAFStock_Log[Part Name],$A12,T_TTAFStock_Log[WeekIndex],104))</f>
        <v/>
      </c>
    </row>
    <row r="13">
      <c r="A13" s="19" t="inlineStr">
        <is>
          <t>3TP</t>
        </is>
      </c>
      <c r="B13" s="19">
        <f>IF(COUNTIFS(T_TTAFStock_Log[Part Name],$A13,T_TTAFStock_Log[WeekIndex],1)=0,"",SUMIFS(T_TTAFStock_Log[TTAF_Qty],T_TTAFStock_Log[Part Name],$A13,T_TTAFStock_Log[WeekIndex],1))</f>
        <v/>
      </c>
      <c r="C13" s="19">
        <f>IF(COUNTIFS(T_TTAFStock_Log[Part Name],$A13,T_TTAFStock_Log[WeekIndex],2)=0,"",SUMIFS(T_TTAFStock_Log[TTAF_Qty],T_TTAFStock_Log[Part Name],$A13,T_TTAFStock_Log[WeekIndex],2))</f>
        <v/>
      </c>
      <c r="D13" s="19">
        <f>IF(COUNTIFS(T_TTAFStock_Log[Part Name],$A13,T_TTAFStock_Log[WeekIndex],3)=0,"",SUMIFS(T_TTAFStock_Log[TTAF_Qty],T_TTAFStock_Log[Part Name],$A13,T_TTAFStock_Log[WeekIndex],3))</f>
        <v/>
      </c>
      <c r="E13" s="19">
        <f>IF(COUNTIFS(T_TTAFStock_Log[Part Name],$A13,T_TTAFStock_Log[WeekIndex],4)=0,"",SUMIFS(T_TTAFStock_Log[TTAF_Qty],T_TTAFStock_Log[Part Name],$A13,T_TTAFStock_Log[WeekIndex],4))</f>
        <v/>
      </c>
      <c r="F13" s="19">
        <f>IF(COUNTIFS(T_TTAFStock_Log[Part Name],$A13,T_TTAFStock_Log[WeekIndex],5)=0,"",SUMIFS(T_TTAFStock_Log[TTAF_Qty],T_TTAFStock_Log[Part Name],$A13,T_TTAFStock_Log[WeekIndex],5))</f>
        <v/>
      </c>
      <c r="G13" s="19">
        <f>IF(COUNTIFS(T_TTAFStock_Log[Part Name],$A13,T_TTAFStock_Log[WeekIndex],6)=0,"",SUMIFS(T_TTAFStock_Log[TTAF_Qty],T_TTAFStock_Log[Part Name],$A13,T_TTAFStock_Log[WeekIndex],6))</f>
        <v/>
      </c>
      <c r="H13" s="19">
        <f>IF(COUNTIFS(T_TTAFStock_Log[Part Name],$A13,T_TTAFStock_Log[WeekIndex],7)=0,"",SUMIFS(T_TTAFStock_Log[TTAF_Qty],T_TTAFStock_Log[Part Name],$A13,T_TTAFStock_Log[WeekIndex],7))</f>
        <v/>
      </c>
      <c r="I13" s="19">
        <f>IF(COUNTIFS(T_TTAFStock_Log[Part Name],$A13,T_TTAFStock_Log[WeekIndex],8)=0,"",SUMIFS(T_TTAFStock_Log[TTAF_Qty],T_TTAFStock_Log[Part Name],$A13,T_TTAFStock_Log[WeekIndex],8))</f>
        <v/>
      </c>
      <c r="J13" s="19">
        <f>IF(COUNTIFS(T_TTAFStock_Log[Part Name],$A13,T_TTAFStock_Log[WeekIndex],9)=0,"",SUMIFS(T_TTAFStock_Log[TTAF_Qty],T_TTAFStock_Log[Part Name],$A13,T_TTAFStock_Log[WeekIndex],9))</f>
        <v/>
      </c>
      <c r="K13" s="19">
        <f>IF(COUNTIFS(T_TTAFStock_Log[Part Name],$A13,T_TTAFStock_Log[WeekIndex],10)=0,"",SUMIFS(T_TTAFStock_Log[TTAF_Qty],T_TTAFStock_Log[Part Name],$A13,T_TTAFStock_Log[WeekIndex],10))</f>
        <v/>
      </c>
      <c r="L13" s="19">
        <f>IF(COUNTIFS(T_TTAFStock_Log[Part Name],$A13,T_TTAFStock_Log[WeekIndex],11)=0,"",SUMIFS(T_TTAFStock_Log[TTAF_Qty],T_TTAFStock_Log[Part Name],$A13,T_TTAFStock_Log[WeekIndex],11))</f>
        <v/>
      </c>
      <c r="M13" s="19">
        <f>IF(COUNTIFS(T_TTAFStock_Log[Part Name],$A13,T_TTAFStock_Log[WeekIndex],12)=0,"",SUMIFS(T_TTAFStock_Log[TTAF_Qty],T_TTAFStock_Log[Part Name],$A13,T_TTAFStock_Log[WeekIndex],12))</f>
        <v/>
      </c>
      <c r="N13" s="19">
        <f>IF(COUNTIFS(T_TTAFStock_Log[Part Name],$A13,T_TTAFStock_Log[WeekIndex],13)=0,"",SUMIFS(T_TTAFStock_Log[TTAF_Qty],T_TTAFStock_Log[Part Name],$A13,T_TTAFStock_Log[WeekIndex],13))</f>
        <v/>
      </c>
      <c r="O13" s="19">
        <f>IF(COUNTIFS(T_TTAFStock_Log[Part Name],$A13,T_TTAFStock_Log[WeekIndex],14)=0,"",SUMIFS(T_TTAFStock_Log[TTAF_Qty],T_TTAFStock_Log[Part Name],$A13,T_TTAFStock_Log[WeekIndex],14))</f>
        <v/>
      </c>
      <c r="P13" s="19">
        <f>IF(COUNTIFS(T_TTAFStock_Log[Part Name],$A13,T_TTAFStock_Log[WeekIndex],15)=0,"",SUMIFS(T_TTAFStock_Log[TTAF_Qty],T_TTAFStock_Log[Part Name],$A13,T_TTAFStock_Log[WeekIndex],15))</f>
        <v/>
      </c>
      <c r="Q13" s="19">
        <f>IF(COUNTIFS(T_TTAFStock_Log[Part Name],$A13,T_TTAFStock_Log[WeekIndex],16)=0,"",SUMIFS(T_TTAFStock_Log[TTAF_Qty],T_TTAFStock_Log[Part Name],$A13,T_TTAFStock_Log[WeekIndex],16))</f>
        <v/>
      </c>
      <c r="R13" s="19">
        <f>IF(COUNTIFS(T_TTAFStock_Log[Part Name],$A13,T_TTAFStock_Log[WeekIndex],17)=0,"",SUMIFS(T_TTAFStock_Log[TTAF_Qty],T_TTAFStock_Log[Part Name],$A13,T_TTAFStock_Log[WeekIndex],17))</f>
        <v/>
      </c>
      <c r="S13" s="19">
        <f>IF(COUNTIFS(T_TTAFStock_Log[Part Name],$A13,T_TTAFStock_Log[WeekIndex],18)=0,"",SUMIFS(T_TTAFStock_Log[TTAF_Qty],T_TTAFStock_Log[Part Name],$A13,T_TTAFStock_Log[WeekIndex],18))</f>
        <v/>
      </c>
      <c r="T13" s="19">
        <f>IF(COUNTIFS(T_TTAFStock_Log[Part Name],$A13,T_TTAFStock_Log[WeekIndex],19)=0,"",SUMIFS(T_TTAFStock_Log[TTAF_Qty],T_TTAFStock_Log[Part Name],$A13,T_TTAFStock_Log[WeekIndex],19))</f>
        <v/>
      </c>
      <c r="U13" s="19">
        <f>IF(COUNTIFS(T_TTAFStock_Log[Part Name],$A13,T_TTAFStock_Log[WeekIndex],20)=0,"",SUMIFS(T_TTAFStock_Log[TTAF_Qty],T_TTAFStock_Log[Part Name],$A13,T_TTAFStock_Log[WeekIndex],20))</f>
        <v/>
      </c>
      <c r="V13" s="19">
        <f>IF(COUNTIFS(T_TTAFStock_Log[Part Name],$A13,T_TTAFStock_Log[WeekIndex],21)=0,"",SUMIFS(T_TTAFStock_Log[TTAF_Qty],T_TTAFStock_Log[Part Name],$A13,T_TTAFStock_Log[WeekIndex],21))</f>
        <v/>
      </c>
      <c r="W13" s="19">
        <f>IF(COUNTIFS(T_TTAFStock_Log[Part Name],$A13,T_TTAFStock_Log[WeekIndex],22)=0,"",SUMIFS(T_TTAFStock_Log[TTAF_Qty],T_TTAFStock_Log[Part Name],$A13,T_TTAFStock_Log[WeekIndex],22))</f>
        <v/>
      </c>
      <c r="X13" s="19">
        <f>IF(COUNTIFS(T_TTAFStock_Log[Part Name],$A13,T_TTAFStock_Log[WeekIndex],23)=0,"",SUMIFS(T_TTAFStock_Log[TTAF_Qty],T_TTAFStock_Log[Part Name],$A13,T_TTAFStock_Log[WeekIndex],23))</f>
        <v/>
      </c>
      <c r="Y13" s="19">
        <f>IF(COUNTIFS(T_TTAFStock_Log[Part Name],$A13,T_TTAFStock_Log[WeekIndex],24)=0,"",SUMIFS(T_TTAFStock_Log[TTAF_Qty],T_TTAFStock_Log[Part Name],$A13,T_TTAFStock_Log[WeekIndex],24))</f>
        <v/>
      </c>
      <c r="Z13" s="19">
        <f>IF(COUNTIFS(T_TTAFStock_Log[Part Name],$A13,T_TTAFStock_Log[WeekIndex],25)=0,"",SUMIFS(T_TTAFStock_Log[TTAF_Qty],T_TTAFStock_Log[Part Name],$A13,T_TTAFStock_Log[WeekIndex],25))</f>
        <v/>
      </c>
      <c r="AA13" s="19">
        <f>IF(COUNTIFS(T_TTAFStock_Log[Part Name],$A13,T_TTAFStock_Log[WeekIndex],26)=0,"",SUMIFS(T_TTAFStock_Log[TTAF_Qty],T_TTAFStock_Log[Part Name],$A13,T_TTAFStock_Log[WeekIndex],26))</f>
        <v/>
      </c>
      <c r="AB13" s="19">
        <f>IF(COUNTIFS(T_TTAFStock_Log[Part Name],$A13,T_TTAFStock_Log[WeekIndex],27)=0,"",SUMIFS(T_TTAFStock_Log[TTAF_Qty],T_TTAFStock_Log[Part Name],$A13,T_TTAFStock_Log[WeekIndex],27))</f>
        <v/>
      </c>
      <c r="AC13" s="19">
        <f>IF(COUNTIFS(T_TTAFStock_Log[Part Name],$A13,T_TTAFStock_Log[WeekIndex],28)=0,"",SUMIFS(T_TTAFStock_Log[TTAF_Qty],T_TTAFStock_Log[Part Name],$A13,T_TTAFStock_Log[WeekIndex],28))</f>
        <v/>
      </c>
      <c r="AD13" s="19">
        <f>IF(COUNTIFS(T_TTAFStock_Log[Part Name],$A13,T_TTAFStock_Log[WeekIndex],29)=0,"",SUMIFS(T_TTAFStock_Log[TTAF_Qty],T_TTAFStock_Log[Part Name],$A13,T_TTAFStock_Log[WeekIndex],29))</f>
        <v/>
      </c>
      <c r="AE13" s="19">
        <f>IF(COUNTIFS(T_TTAFStock_Log[Part Name],$A13,T_TTAFStock_Log[WeekIndex],30)=0,"",SUMIFS(T_TTAFStock_Log[TTAF_Qty],T_TTAFStock_Log[Part Name],$A13,T_TTAFStock_Log[WeekIndex],30))</f>
        <v/>
      </c>
      <c r="AF13" s="19">
        <f>IF(COUNTIFS(T_TTAFStock_Log[Part Name],$A13,T_TTAFStock_Log[WeekIndex],31)=0,"",SUMIFS(T_TTAFStock_Log[TTAF_Qty],T_TTAFStock_Log[Part Name],$A13,T_TTAFStock_Log[WeekIndex],31))</f>
        <v/>
      </c>
      <c r="AG13" s="19">
        <f>IF(COUNTIFS(T_TTAFStock_Log[Part Name],$A13,T_TTAFStock_Log[WeekIndex],32)=0,"",SUMIFS(T_TTAFStock_Log[TTAF_Qty],T_TTAFStock_Log[Part Name],$A13,T_TTAFStock_Log[WeekIndex],32))</f>
        <v/>
      </c>
      <c r="AH13" s="19">
        <f>IF(COUNTIFS(T_TTAFStock_Log[Part Name],$A13,T_TTAFStock_Log[WeekIndex],33)=0,"",SUMIFS(T_TTAFStock_Log[TTAF_Qty],T_TTAFStock_Log[Part Name],$A13,T_TTAFStock_Log[WeekIndex],33))</f>
        <v/>
      </c>
      <c r="AI13" s="19">
        <f>IF(COUNTIFS(T_TTAFStock_Log[Part Name],$A13,T_TTAFStock_Log[WeekIndex],34)=0,"",SUMIFS(T_TTAFStock_Log[TTAF_Qty],T_TTAFStock_Log[Part Name],$A13,T_TTAFStock_Log[WeekIndex],34))</f>
        <v/>
      </c>
      <c r="AJ13" s="19">
        <f>IF(COUNTIFS(T_TTAFStock_Log[Part Name],$A13,T_TTAFStock_Log[WeekIndex],35)=0,"",SUMIFS(T_TTAFStock_Log[TTAF_Qty],T_TTAFStock_Log[Part Name],$A13,T_TTAFStock_Log[WeekIndex],35))</f>
        <v/>
      </c>
      <c r="AK13" s="19">
        <f>IF(COUNTIFS(T_TTAFStock_Log[Part Name],$A13,T_TTAFStock_Log[WeekIndex],36)=0,"",SUMIFS(T_TTAFStock_Log[TTAF_Qty],T_TTAFStock_Log[Part Name],$A13,T_TTAFStock_Log[WeekIndex],36))</f>
        <v/>
      </c>
      <c r="AL13" s="19">
        <f>IF(COUNTIFS(T_TTAFStock_Log[Part Name],$A13,T_TTAFStock_Log[WeekIndex],37)=0,"",SUMIFS(T_TTAFStock_Log[TTAF_Qty],T_TTAFStock_Log[Part Name],$A13,T_TTAFStock_Log[WeekIndex],37))</f>
        <v/>
      </c>
      <c r="AM13" s="19">
        <f>IF(COUNTIFS(T_TTAFStock_Log[Part Name],$A13,T_TTAFStock_Log[WeekIndex],38)=0,"",SUMIFS(T_TTAFStock_Log[TTAF_Qty],T_TTAFStock_Log[Part Name],$A13,T_TTAFStock_Log[WeekIndex],38))</f>
        <v/>
      </c>
      <c r="AN13" s="19">
        <f>IF(COUNTIFS(T_TTAFStock_Log[Part Name],$A13,T_TTAFStock_Log[WeekIndex],39)=0,"",SUMIFS(T_TTAFStock_Log[TTAF_Qty],T_TTAFStock_Log[Part Name],$A13,T_TTAFStock_Log[WeekIndex],39))</f>
        <v/>
      </c>
      <c r="AO13" s="19">
        <f>IF(COUNTIFS(T_TTAFStock_Log[Part Name],$A13,T_TTAFStock_Log[WeekIndex],40)=0,"",SUMIFS(T_TTAFStock_Log[TTAF_Qty],T_TTAFStock_Log[Part Name],$A13,T_TTAFStock_Log[WeekIndex],40))</f>
        <v/>
      </c>
      <c r="AP13" s="19">
        <f>IF(COUNTIFS(T_TTAFStock_Log[Part Name],$A13,T_TTAFStock_Log[WeekIndex],41)=0,"",SUMIFS(T_TTAFStock_Log[TTAF_Qty],T_TTAFStock_Log[Part Name],$A13,T_TTAFStock_Log[WeekIndex],41))</f>
        <v/>
      </c>
      <c r="AQ13" s="19">
        <f>IF(COUNTIFS(T_TTAFStock_Log[Part Name],$A13,T_TTAFStock_Log[WeekIndex],42)=0,"",SUMIFS(T_TTAFStock_Log[TTAF_Qty],T_TTAFStock_Log[Part Name],$A13,T_TTAFStock_Log[WeekIndex],42))</f>
        <v/>
      </c>
      <c r="AR13" s="19">
        <f>IF(COUNTIFS(T_TTAFStock_Log[Part Name],$A13,T_TTAFStock_Log[WeekIndex],43)=0,"",SUMIFS(T_TTAFStock_Log[TTAF_Qty],T_TTAFStock_Log[Part Name],$A13,T_TTAFStock_Log[WeekIndex],43))</f>
        <v/>
      </c>
      <c r="AS13" s="19">
        <f>IF(COUNTIFS(T_TTAFStock_Log[Part Name],$A13,T_TTAFStock_Log[WeekIndex],44)=0,"",SUMIFS(T_TTAFStock_Log[TTAF_Qty],T_TTAFStock_Log[Part Name],$A13,T_TTAFStock_Log[WeekIndex],44))</f>
        <v/>
      </c>
      <c r="AT13" s="19">
        <f>IF(COUNTIFS(T_TTAFStock_Log[Part Name],$A13,T_TTAFStock_Log[WeekIndex],45)=0,"",SUMIFS(T_TTAFStock_Log[TTAF_Qty],T_TTAFStock_Log[Part Name],$A13,T_TTAFStock_Log[WeekIndex],45))</f>
        <v/>
      </c>
      <c r="AU13" s="19">
        <f>IF(COUNTIFS(T_TTAFStock_Log[Part Name],$A13,T_TTAFStock_Log[WeekIndex],46)=0,"",SUMIFS(T_TTAFStock_Log[TTAF_Qty],T_TTAFStock_Log[Part Name],$A13,T_TTAFStock_Log[WeekIndex],46))</f>
        <v/>
      </c>
      <c r="AV13" s="19">
        <f>IF(COUNTIFS(T_TTAFStock_Log[Part Name],$A13,T_TTAFStock_Log[WeekIndex],47)=0,"",SUMIFS(T_TTAFStock_Log[TTAF_Qty],T_TTAFStock_Log[Part Name],$A13,T_TTAFStock_Log[WeekIndex],47))</f>
        <v/>
      </c>
      <c r="AW13" s="19">
        <f>IF(COUNTIFS(T_TTAFStock_Log[Part Name],$A13,T_TTAFStock_Log[WeekIndex],48)=0,"",SUMIFS(T_TTAFStock_Log[TTAF_Qty],T_TTAFStock_Log[Part Name],$A13,T_TTAFStock_Log[WeekIndex],48))</f>
        <v/>
      </c>
      <c r="AX13" s="19">
        <f>IF(COUNTIFS(T_TTAFStock_Log[Part Name],$A13,T_TTAFStock_Log[WeekIndex],49)=0,"",SUMIFS(T_TTAFStock_Log[TTAF_Qty],T_TTAFStock_Log[Part Name],$A13,T_TTAFStock_Log[WeekIndex],49))</f>
        <v/>
      </c>
      <c r="AY13" s="19">
        <f>IF(COUNTIFS(T_TTAFStock_Log[Part Name],$A13,T_TTAFStock_Log[WeekIndex],50)=0,"",SUMIFS(T_TTAFStock_Log[TTAF_Qty],T_TTAFStock_Log[Part Name],$A13,T_TTAFStock_Log[WeekIndex],50))</f>
        <v/>
      </c>
      <c r="AZ13" s="19">
        <f>IF(COUNTIFS(T_TTAFStock_Log[Part Name],$A13,T_TTAFStock_Log[WeekIndex],51)=0,"",SUMIFS(T_TTAFStock_Log[TTAF_Qty],T_TTAFStock_Log[Part Name],$A13,T_TTAFStock_Log[WeekIndex],51))</f>
        <v/>
      </c>
      <c r="BA13" s="19">
        <f>IF(COUNTIFS(T_TTAFStock_Log[Part Name],$A13,T_TTAFStock_Log[WeekIndex],52)=0,"",SUMIFS(T_TTAFStock_Log[TTAF_Qty],T_TTAFStock_Log[Part Name],$A13,T_TTAFStock_Log[WeekIndex],52))</f>
        <v/>
      </c>
      <c r="BB13" s="19">
        <f>IF(COUNTIFS(T_TTAFStock_Log[Part Name],$A13,T_TTAFStock_Log[WeekIndex],53)=0,"",SUMIFS(T_TTAFStock_Log[TTAF_Qty],T_TTAFStock_Log[Part Name],$A13,T_TTAFStock_Log[WeekIndex],53))</f>
        <v/>
      </c>
      <c r="BC13" s="19">
        <f>IF(COUNTIFS(T_TTAFStock_Log[Part Name],$A13,T_TTAFStock_Log[WeekIndex],54)=0,"",SUMIFS(T_TTAFStock_Log[TTAF_Qty],T_TTAFStock_Log[Part Name],$A13,T_TTAFStock_Log[WeekIndex],54))</f>
        <v/>
      </c>
      <c r="BD13" s="19">
        <f>IF(COUNTIFS(T_TTAFStock_Log[Part Name],$A13,T_TTAFStock_Log[WeekIndex],55)=0,"",SUMIFS(T_TTAFStock_Log[TTAF_Qty],T_TTAFStock_Log[Part Name],$A13,T_TTAFStock_Log[WeekIndex],55))</f>
        <v/>
      </c>
      <c r="BE13" s="19">
        <f>IF(COUNTIFS(T_TTAFStock_Log[Part Name],$A13,T_TTAFStock_Log[WeekIndex],56)=0,"",SUMIFS(T_TTAFStock_Log[TTAF_Qty],T_TTAFStock_Log[Part Name],$A13,T_TTAFStock_Log[WeekIndex],56))</f>
        <v/>
      </c>
      <c r="BF13" s="19">
        <f>IF(COUNTIFS(T_TTAFStock_Log[Part Name],$A13,T_TTAFStock_Log[WeekIndex],57)=0,"",SUMIFS(T_TTAFStock_Log[TTAF_Qty],T_TTAFStock_Log[Part Name],$A13,T_TTAFStock_Log[WeekIndex],57))</f>
        <v/>
      </c>
      <c r="BG13" s="19">
        <f>IF(COUNTIFS(T_TTAFStock_Log[Part Name],$A13,T_TTAFStock_Log[WeekIndex],58)=0,"",SUMIFS(T_TTAFStock_Log[TTAF_Qty],T_TTAFStock_Log[Part Name],$A13,T_TTAFStock_Log[WeekIndex],58))</f>
        <v/>
      </c>
      <c r="BH13" s="19">
        <f>IF(COUNTIFS(T_TTAFStock_Log[Part Name],$A13,T_TTAFStock_Log[WeekIndex],59)=0,"",SUMIFS(T_TTAFStock_Log[TTAF_Qty],T_TTAFStock_Log[Part Name],$A13,T_TTAFStock_Log[WeekIndex],59))</f>
        <v/>
      </c>
      <c r="BI13" s="19">
        <f>IF(COUNTIFS(T_TTAFStock_Log[Part Name],$A13,T_TTAFStock_Log[WeekIndex],60)=0,"",SUMIFS(T_TTAFStock_Log[TTAF_Qty],T_TTAFStock_Log[Part Name],$A13,T_TTAFStock_Log[WeekIndex],60))</f>
        <v/>
      </c>
      <c r="BJ13" s="19">
        <f>IF(COUNTIFS(T_TTAFStock_Log[Part Name],$A13,T_TTAFStock_Log[WeekIndex],61)=0,"",SUMIFS(T_TTAFStock_Log[TTAF_Qty],T_TTAFStock_Log[Part Name],$A13,T_TTAFStock_Log[WeekIndex],61))</f>
        <v/>
      </c>
      <c r="BK13" s="19">
        <f>IF(COUNTIFS(T_TTAFStock_Log[Part Name],$A13,T_TTAFStock_Log[WeekIndex],62)=0,"",SUMIFS(T_TTAFStock_Log[TTAF_Qty],T_TTAFStock_Log[Part Name],$A13,T_TTAFStock_Log[WeekIndex],62))</f>
        <v/>
      </c>
      <c r="BL13" s="19">
        <f>IF(COUNTIFS(T_TTAFStock_Log[Part Name],$A13,T_TTAFStock_Log[WeekIndex],63)=0,"",SUMIFS(T_TTAFStock_Log[TTAF_Qty],T_TTAFStock_Log[Part Name],$A13,T_TTAFStock_Log[WeekIndex],63))</f>
        <v/>
      </c>
      <c r="BM13" s="19">
        <f>IF(COUNTIFS(T_TTAFStock_Log[Part Name],$A13,T_TTAFStock_Log[WeekIndex],64)=0,"",SUMIFS(T_TTAFStock_Log[TTAF_Qty],T_TTAFStock_Log[Part Name],$A13,T_TTAFStock_Log[WeekIndex],64))</f>
        <v/>
      </c>
      <c r="BN13" s="19">
        <f>IF(COUNTIFS(T_TTAFStock_Log[Part Name],$A13,T_TTAFStock_Log[WeekIndex],65)=0,"",SUMIFS(T_TTAFStock_Log[TTAF_Qty],T_TTAFStock_Log[Part Name],$A13,T_TTAFStock_Log[WeekIndex],65))</f>
        <v/>
      </c>
      <c r="BO13" s="19">
        <f>IF(COUNTIFS(T_TTAFStock_Log[Part Name],$A13,T_TTAFStock_Log[WeekIndex],66)=0,"",SUMIFS(T_TTAFStock_Log[TTAF_Qty],T_TTAFStock_Log[Part Name],$A13,T_TTAFStock_Log[WeekIndex],66))</f>
        <v/>
      </c>
      <c r="BP13" s="19">
        <f>IF(COUNTIFS(T_TTAFStock_Log[Part Name],$A13,T_TTAFStock_Log[WeekIndex],67)=0,"",SUMIFS(T_TTAFStock_Log[TTAF_Qty],T_TTAFStock_Log[Part Name],$A13,T_TTAFStock_Log[WeekIndex],67))</f>
        <v/>
      </c>
      <c r="BQ13" s="19">
        <f>IF(COUNTIFS(T_TTAFStock_Log[Part Name],$A13,T_TTAFStock_Log[WeekIndex],68)=0,"",SUMIFS(T_TTAFStock_Log[TTAF_Qty],T_TTAFStock_Log[Part Name],$A13,T_TTAFStock_Log[WeekIndex],68))</f>
        <v/>
      </c>
      <c r="BR13" s="19">
        <f>IF(COUNTIFS(T_TTAFStock_Log[Part Name],$A13,T_TTAFStock_Log[WeekIndex],69)=0,"",SUMIFS(T_TTAFStock_Log[TTAF_Qty],T_TTAFStock_Log[Part Name],$A13,T_TTAFStock_Log[WeekIndex],69))</f>
        <v/>
      </c>
      <c r="BS13" s="19">
        <f>IF(COUNTIFS(T_TTAFStock_Log[Part Name],$A13,T_TTAFStock_Log[WeekIndex],70)=0,"",SUMIFS(T_TTAFStock_Log[TTAF_Qty],T_TTAFStock_Log[Part Name],$A13,T_TTAFStock_Log[WeekIndex],70))</f>
        <v/>
      </c>
      <c r="BT13" s="19">
        <f>IF(COUNTIFS(T_TTAFStock_Log[Part Name],$A13,T_TTAFStock_Log[WeekIndex],71)=0,"",SUMIFS(T_TTAFStock_Log[TTAF_Qty],T_TTAFStock_Log[Part Name],$A13,T_TTAFStock_Log[WeekIndex],71))</f>
        <v/>
      </c>
      <c r="BU13" s="19">
        <f>IF(COUNTIFS(T_TTAFStock_Log[Part Name],$A13,T_TTAFStock_Log[WeekIndex],72)=0,"",SUMIFS(T_TTAFStock_Log[TTAF_Qty],T_TTAFStock_Log[Part Name],$A13,T_TTAFStock_Log[WeekIndex],72))</f>
        <v/>
      </c>
      <c r="BV13" s="19">
        <f>IF(COUNTIFS(T_TTAFStock_Log[Part Name],$A13,T_TTAFStock_Log[WeekIndex],73)=0,"",SUMIFS(T_TTAFStock_Log[TTAF_Qty],T_TTAFStock_Log[Part Name],$A13,T_TTAFStock_Log[WeekIndex],73))</f>
        <v/>
      </c>
      <c r="BW13" s="19">
        <f>IF(COUNTIFS(T_TTAFStock_Log[Part Name],$A13,T_TTAFStock_Log[WeekIndex],74)=0,"",SUMIFS(T_TTAFStock_Log[TTAF_Qty],T_TTAFStock_Log[Part Name],$A13,T_TTAFStock_Log[WeekIndex],74))</f>
        <v/>
      </c>
      <c r="BX13" s="19">
        <f>IF(COUNTIFS(T_TTAFStock_Log[Part Name],$A13,T_TTAFStock_Log[WeekIndex],75)=0,"",SUMIFS(T_TTAFStock_Log[TTAF_Qty],T_TTAFStock_Log[Part Name],$A13,T_TTAFStock_Log[WeekIndex],75))</f>
        <v/>
      </c>
      <c r="BY13" s="19">
        <f>IF(COUNTIFS(T_TTAFStock_Log[Part Name],$A13,T_TTAFStock_Log[WeekIndex],76)=0,"",SUMIFS(T_TTAFStock_Log[TTAF_Qty],T_TTAFStock_Log[Part Name],$A13,T_TTAFStock_Log[WeekIndex],76))</f>
        <v/>
      </c>
      <c r="BZ13" s="19">
        <f>IF(COUNTIFS(T_TTAFStock_Log[Part Name],$A13,T_TTAFStock_Log[WeekIndex],77)=0,"",SUMIFS(T_TTAFStock_Log[TTAF_Qty],T_TTAFStock_Log[Part Name],$A13,T_TTAFStock_Log[WeekIndex],77))</f>
        <v/>
      </c>
      <c r="CA13" s="19">
        <f>IF(COUNTIFS(T_TTAFStock_Log[Part Name],$A13,T_TTAFStock_Log[WeekIndex],78)=0,"",SUMIFS(T_TTAFStock_Log[TTAF_Qty],T_TTAFStock_Log[Part Name],$A13,T_TTAFStock_Log[WeekIndex],78))</f>
        <v/>
      </c>
      <c r="CB13" s="19">
        <f>IF(COUNTIFS(T_TTAFStock_Log[Part Name],$A13,T_TTAFStock_Log[WeekIndex],79)=0,"",SUMIFS(T_TTAFStock_Log[TTAF_Qty],T_TTAFStock_Log[Part Name],$A13,T_TTAFStock_Log[WeekIndex],79))</f>
        <v/>
      </c>
      <c r="CC13" s="19">
        <f>IF(COUNTIFS(T_TTAFStock_Log[Part Name],$A13,T_TTAFStock_Log[WeekIndex],80)=0,"",SUMIFS(T_TTAFStock_Log[TTAF_Qty],T_TTAFStock_Log[Part Name],$A13,T_TTAFStock_Log[WeekIndex],80))</f>
        <v/>
      </c>
      <c r="CD13" s="19">
        <f>IF(COUNTIFS(T_TTAFStock_Log[Part Name],$A13,T_TTAFStock_Log[WeekIndex],81)=0,"",SUMIFS(T_TTAFStock_Log[TTAF_Qty],T_TTAFStock_Log[Part Name],$A13,T_TTAFStock_Log[WeekIndex],81))</f>
        <v/>
      </c>
      <c r="CE13" s="19">
        <f>IF(COUNTIFS(T_TTAFStock_Log[Part Name],$A13,T_TTAFStock_Log[WeekIndex],82)=0,"",SUMIFS(T_TTAFStock_Log[TTAF_Qty],T_TTAFStock_Log[Part Name],$A13,T_TTAFStock_Log[WeekIndex],82))</f>
        <v/>
      </c>
      <c r="CF13" s="19">
        <f>IF(COUNTIFS(T_TTAFStock_Log[Part Name],$A13,T_TTAFStock_Log[WeekIndex],83)=0,"",SUMIFS(T_TTAFStock_Log[TTAF_Qty],T_TTAFStock_Log[Part Name],$A13,T_TTAFStock_Log[WeekIndex],83))</f>
        <v/>
      </c>
      <c r="CG13" s="19">
        <f>IF(COUNTIFS(T_TTAFStock_Log[Part Name],$A13,T_TTAFStock_Log[WeekIndex],84)=0,"",SUMIFS(T_TTAFStock_Log[TTAF_Qty],T_TTAFStock_Log[Part Name],$A13,T_TTAFStock_Log[WeekIndex],84))</f>
        <v/>
      </c>
      <c r="CH13" s="19">
        <f>IF(COUNTIFS(T_TTAFStock_Log[Part Name],$A13,T_TTAFStock_Log[WeekIndex],85)=0,"",SUMIFS(T_TTAFStock_Log[TTAF_Qty],T_TTAFStock_Log[Part Name],$A13,T_TTAFStock_Log[WeekIndex],85))</f>
        <v/>
      </c>
      <c r="CI13" s="19">
        <f>IF(COUNTIFS(T_TTAFStock_Log[Part Name],$A13,T_TTAFStock_Log[WeekIndex],86)=0,"",SUMIFS(T_TTAFStock_Log[TTAF_Qty],T_TTAFStock_Log[Part Name],$A13,T_TTAFStock_Log[WeekIndex],86))</f>
        <v/>
      </c>
      <c r="CJ13" s="19">
        <f>IF(COUNTIFS(T_TTAFStock_Log[Part Name],$A13,T_TTAFStock_Log[WeekIndex],87)=0,"",SUMIFS(T_TTAFStock_Log[TTAF_Qty],T_TTAFStock_Log[Part Name],$A13,T_TTAFStock_Log[WeekIndex],87))</f>
        <v/>
      </c>
      <c r="CK13" s="19">
        <f>IF(COUNTIFS(T_TTAFStock_Log[Part Name],$A13,T_TTAFStock_Log[WeekIndex],88)=0,"",SUMIFS(T_TTAFStock_Log[TTAF_Qty],T_TTAFStock_Log[Part Name],$A13,T_TTAFStock_Log[WeekIndex],88))</f>
        <v/>
      </c>
      <c r="CL13" s="19">
        <f>IF(COUNTIFS(T_TTAFStock_Log[Part Name],$A13,T_TTAFStock_Log[WeekIndex],89)=0,"",SUMIFS(T_TTAFStock_Log[TTAF_Qty],T_TTAFStock_Log[Part Name],$A13,T_TTAFStock_Log[WeekIndex],89))</f>
        <v/>
      </c>
      <c r="CM13" s="19">
        <f>IF(COUNTIFS(T_TTAFStock_Log[Part Name],$A13,T_TTAFStock_Log[WeekIndex],90)=0,"",SUMIFS(T_TTAFStock_Log[TTAF_Qty],T_TTAFStock_Log[Part Name],$A13,T_TTAFStock_Log[WeekIndex],90))</f>
        <v/>
      </c>
      <c r="CN13" s="19">
        <f>IF(COUNTIFS(T_TTAFStock_Log[Part Name],$A13,T_TTAFStock_Log[WeekIndex],91)=0,"",SUMIFS(T_TTAFStock_Log[TTAF_Qty],T_TTAFStock_Log[Part Name],$A13,T_TTAFStock_Log[WeekIndex],91))</f>
        <v/>
      </c>
      <c r="CO13" s="19">
        <f>IF(COUNTIFS(T_TTAFStock_Log[Part Name],$A13,T_TTAFStock_Log[WeekIndex],92)=0,"",SUMIFS(T_TTAFStock_Log[TTAF_Qty],T_TTAFStock_Log[Part Name],$A13,T_TTAFStock_Log[WeekIndex],92))</f>
        <v/>
      </c>
      <c r="CP13" s="19">
        <f>IF(COUNTIFS(T_TTAFStock_Log[Part Name],$A13,T_TTAFStock_Log[WeekIndex],93)=0,"",SUMIFS(T_TTAFStock_Log[TTAF_Qty],T_TTAFStock_Log[Part Name],$A13,T_TTAFStock_Log[WeekIndex],93))</f>
        <v/>
      </c>
      <c r="CQ13" s="19">
        <f>IF(COUNTIFS(T_TTAFStock_Log[Part Name],$A13,T_TTAFStock_Log[WeekIndex],94)=0,"",SUMIFS(T_TTAFStock_Log[TTAF_Qty],T_TTAFStock_Log[Part Name],$A13,T_TTAFStock_Log[WeekIndex],94))</f>
        <v/>
      </c>
      <c r="CR13" s="19">
        <f>IF(COUNTIFS(T_TTAFStock_Log[Part Name],$A13,T_TTAFStock_Log[WeekIndex],95)=0,"",SUMIFS(T_TTAFStock_Log[TTAF_Qty],T_TTAFStock_Log[Part Name],$A13,T_TTAFStock_Log[WeekIndex],95))</f>
        <v/>
      </c>
      <c r="CS13" s="19">
        <f>IF(COUNTIFS(T_TTAFStock_Log[Part Name],$A13,T_TTAFStock_Log[WeekIndex],96)=0,"",SUMIFS(T_TTAFStock_Log[TTAF_Qty],T_TTAFStock_Log[Part Name],$A13,T_TTAFStock_Log[WeekIndex],96))</f>
        <v/>
      </c>
      <c r="CT13" s="19">
        <f>IF(COUNTIFS(T_TTAFStock_Log[Part Name],$A13,T_TTAFStock_Log[WeekIndex],97)=0,"",SUMIFS(T_TTAFStock_Log[TTAF_Qty],T_TTAFStock_Log[Part Name],$A13,T_TTAFStock_Log[WeekIndex],97))</f>
        <v/>
      </c>
      <c r="CU13" s="19">
        <f>IF(COUNTIFS(T_TTAFStock_Log[Part Name],$A13,T_TTAFStock_Log[WeekIndex],98)=0,"",SUMIFS(T_TTAFStock_Log[TTAF_Qty],T_TTAFStock_Log[Part Name],$A13,T_TTAFStock_Log[WeekIndex],98))</f>
        <v/>
      </c>
      <c r="CV13" s="19">
        <f>IF(COUNTIFS(T_TTAFStock_Log[Part Name],$A13,T_TTAFStock_Log[WeekIndex],99)=0,"",SUMIFS(T_TTAFStock_Log[TTAF_Qty],T_TTAFStock_Log[Part Name],$A13,T_TTAFStock_Log[WeekIndex],99))</f>
        <v/>
      </c>
      <c r="CW13" s="19">
        <f>IF(COUNTIFS(T_TTAFStock_Log[Part Name],$A13,T_TTAFStock_Log[WeekIndex],100)=0,"",SUMIFS(T_TTAFStock_Log[TTAF_Qty],T_TTAFStock_Log[Part Name],$A13,T_TTAFStock_Log[WeekIndex],100))</f>
        <v/>
      </c>
      <c r="CX13" s="19">
        <f>IF(COUNTIFS(T_TTAFStock_Log[Part Name],$A13,T_TTAFStock_Log[WeekIndex],101)=0,"",SUMIFS(T_TTAFStock_Log[TTAF_Qty],T_TTAFStock_Log[Part Name],$A13,T_TTAFStock_Log[WeekIndex],101))</f>
        <v/>
      </c>
      <c r="CY13" s="19">
        <f>IF(COUNTIFS(T_TTAFStock_Log[Part Name],$A13,T_TTAFStock_Log[WeekIndex],102)=0,"",SUMIFS(T_TTAFStock_Log[TTAF_Qty],T_TTAFStock_Log[Part Name],$A13,T_TTAFStock_Log[WeekIndex],102))</f>
        <v/>
      </c>
      <c r="CZ13" s="19">
        <f>IF(COUNTIFS(T_TTAFStock_Log[Part Name],$A13,T_TTAFStock_Log[WeekIndex],103)=0,"",SUMIFS(T_TTAFStock_Log[TTAF_Qty],T_TTAFStock_Log[Part Name],$A13,T_TTAFStock_Log[WeekIndex],103))</f>
        <v/>
      </c>
      <c r="DA13" s="19">
        <f>IF(COUNTIFS(T_TTAFStock_Log[Part Name],$A13,T_TTAFStock_Log[WeekIndex],104)=0,"",SUMIFS(T_TTAFStock_Log[TTAF_Qty],T_TTAFStock_Log[Part Name],$A13,T_TTAFStock_Log[WeekIndex],104))</f>
        <v/>
      </c>
    </row>
    <row r="14">
      <c r="A14" s="17" t="inlineStr">
        <is>
          <t>KEJ</t>
        </is>
      </c>
      <c r="B14" s="17">
        <f>IF(COUNTIFS(T_TTAFStock_Log[Part Name],$A14,T_TTAFStock_Log[WeekIndex],1)=0,"",SUMIFS(T_TTAFStock_Log[TTAF_Qty],T_TTAFStock_Log[Part Name],$A14,T_TTAFStock_Log[WeekIndex],1))</f>
        <v/>
      </c>
      <c r="C14" s="17">
        <f>IF(COUNTIFS(T_TTAFStock_Log[Part Name],$A14,T_TTAFStock_Log[WeekIndex],2)=0,"",SUMIFS(T_TTAFStock_Log[TTAF_Qty],T_TTAFStock_Log[Part Name],$A14,T_TTAFStock_Log[WeekIndex],2))</f>
        <v/>
      </c>
      <c r="D14" s="17">
        <f>IF(COUNTIFS(T_TTAFStock_Log[Part Name],$A14,T_TTAFStock_Log[WeekIndex],3)=0,"",SUMIFS(T_TTAFStock_Log[TTAF_Qty],T_TTAFStock_Log[Part Name],$A14,T_TTAFStock_Log[WeekIndex],3))</f>
        <v/>
      </c>
      <c r="E14" s="17">
        <f>IF(COUNTIFS(T_TTAFStock_Log[Part Name],$A14,T_TTAFStock_Log[WeekIndex],4)=0,"",SUMIFS(T_TTAFStock_Log[TTAF_Qty],T_TTAFStock_Log[Part Name],$A14,T_TTAFStock_Log[WeekIndex],4))</f>
        <v/>
      </c>
      <c r="F14" s="17">
        <f>IF(COUNTIFS(T_TTAFStock_Log[Part Name],$A14,T_TTAFStock_Log[WeekIndex],5)=0,"",SUMIFS(T_TTAFStock_Log[TTAF_Qty],T_TTAFStock_Log[Part Name],$A14,T_TTAFStock_Log[WeekIndex],5))</f>
        <v/>
      </c>
      <c r="G14" s="17">
        <f>IF(COUNTIFS(T_TTAFStock_Log[Part Name],$A14,T_TTAFStock_Log[WeekIndex],6)=0,"",SUMIFS(T_TTAFStock_Log[TTAF_Qty],T_TTAFStock_Log[Part Name],$A14,T_TTAFStock_Log[WeekIndex],6))</f>
        <v/>
      </c>
      <c r="H14" s="17">
        <f>IF(COUNTIFS(T_TTAFStock_Log[Part Name],$A14,T_TTAFStock_Log[WeekIndex],7)=0,"",SUMIFS(T_TTAFStock_Log[TTAF_Qty],T_TTAFStock_Log[Part Name],$A14,T_TTAFStock_Log[WeekIndex],7))</f>
        <v/>
      </c>
      <c r="I14" s="17">
        <f>IF(COUNTIFS(T_TTAFStock_Log[Part Name],$A14,T_TTAFStock_Log[WeekIndex],8)=0,"",SUMIFS(T_TTAFStock_Log[TTAF_Qty],T_TTAFStock_Log[Part Name],$A14,T_TTAFStock_Log[WeekIndex],8))</f>
        <v/>
      </c>
      <c r="J14" s="17">
        <f>IF(COUNTIFS(T_TTAFStock_Log[Part Name],$A14,T_TTAFStock_Log[WeekIndex],9)=0,"",SUMIFS(T_TTAFStock_Log[TTAF_Qty],T_TTAFStock_Log[Part Name],$A14,T_TTAFStock_Log[WeekIndex],9))</f>
        <v/>
      </c>
      <c r="K14" s="17">
        <f>IF(COUNTIFS(T_TTAFStock_Log[Part Name],$A14,T_TTAFStock_Log[WeekIndex],10)=0,"",SUMIFS(T_TTAFStock_Log[TTAF_Qty],T_TTAFStock_Log[Part Name],$A14,T_TTAFStock_Log[WeekIndex],10))</f>
        <v/>
      </c>
      <c r="L14" s="17">
        <f>IF(COUNTIFS(T_TTAFStock_Log[Part Name],$A14,T_TTAFStock_Log[WeekIndex],11)=0,"",SUMIFS(T_TTAFStock_Log[TTAF_Qty],T_TTAFStock_Log[Part Name],$A14,T_TTAFStock_Log[WeekIndex],11))</f>
        <v/>
      </c>
      <c r="M14" s="17">
        <f>IF(COUNTIFS(T_TTAFStock_Log[Part Name],$A14,T_TTAFStock_Log[WeekIndex],12)=0,"",SUMIFS(T_TTAFStock_Log[TTAF_Qty],T_TTAFStock_Log[Part Name],$A14,T_TTAFStock_Log[WeekIndex],12))</f>
        <v/>
      </c>
      <c r="N14" s="17">
        <f>IF(COUNTIFS(T_TTAFStock_Log[Part Name],$A14,T_TTAFStock_Log[WeekIndex],13)=0,"",SUMIFS(T_TTAFStock_Log[TTAF_Qty],T_TTAFStock_Log[Part Name],$A14,T_TTAFStock_Log[WeekIndex],13))</f>
        <v/>
      </c>
      <c r="O14" s="17">
        <f>IF(COUNTIFS(T_TTAFStock_Log[Part Name],$A14,T_TTAFStock_Log[WeekIndex],14)=0,"",SUMIFS(T_TTAFStock_Log[TTAF_Qty],T_TTAFStock_Log[Part Name],$A14,T_TTAFStock_Log[WeekIndex],14))</f>
        <v/>
      </c>
      <c r="P14" s="17">
        <f>IF(COUNTIFS(T_TTAFStock_Log[Part Name],$A14,T_TTAFStock_Log[WeekIndex],15)=0,"",SUMIFS(T_TTAFStock_Log[TTAF_Qty],T_TTAFStock_Log[Part Name],$A14,T_TTAFStock_Log[WeekIndex],15))</f>
        <v/>
      </c>
      <c r="Q14" s="17">
        <f>IF(COUNTIFS(T_TTAFStock_Log[Part Name],$A14,T_TTAFStock_Log[WeekIndex],16)=0,"",SUMIFS(T_TTAFStock_Log[TTAF_Qty],T_TTAFStock_Log[Part Name],$A14,T_TTAFStock_Log[WeekIndex],16))</f>
        <v/>
      </c>
      <c r="R14" s="17">
        <f>IF(COUNTIFS(T_TTAFStock_Log[Part Name],$A14,T_TTAFStock_Log[WeekIndex],17)=0,"",SUMIFS(T_TTAFStock_Log[TTAF_Qty],T_TTAFStock_Log[Part Name],$A14,T_TTAFStock_Log[WeekIndex],17))</f>
        <v/>
      </c>
      <c r="S14" s="17">
        <f>IF(COUNTIFS(T_TTAFStock_Log[Part Name],$A14,T_TTAFStock_Log[WeekIndex],18)=0,"",SUMIFS(T_TTAFStock_Log[TTAF_Qty],T_TTAFStock_Log[Part Name],$A14,T_TTAFStock_Log[WeekIndex],18))</f>
        <v/>
      </c>
      <c r="T14" s="17">
        <f>IF(COUNTIFS(T_TTAFStock_Log[Part Name],$A14,T_TTAFStock_Log[WeekIndex],19)=0,"",SUMIFS(T_TTAFStock_Log[TTAF_Qty],T_TTAFStock_Log[Part Name],$A14,T_TTAFStock_Log[WeekIndex],19))</f>
        <v/>
      </c>
      <c r="U14" s="17">
        <f>IF(COUNTIFS(T_TTAFStock_Log[Part Name],$A14,T_TTAFStock_Log[WeekIndex],20)=0,"",SUMIFS(T_TTAFStock_Log[TTAF_Qty],T_TTAFStock_Log[Part Name],$A14,T_TTAFStock_Log[WeekIndex],20))</f>
        <v/>
      </c>
      <c r="V14" s="17">
        <f>IF(COUNTIFS(T_TTAFStock_Log[Part Name],$A14,T_TTAFStock_Log[WeekIndex],21)=0,"",SUMIFS(T_TTAFStock_Log[TTAF_Qty],T_TTAFStock_Log[Part Name],$A14,T_TTAFStock_Log[WeekIndex],21))</f>
        <v/>
      </c>
      <c r="W14" s="17">
        <f>IF(COUNTIFS(T_TTAFStock_Log[Part Name],$A14,T_TTAFStock_Log[WeekIndex],22)=0,"",SUMIFS(T_TTAFStock_Log[TTAF_Qty],T_TTAFStock_Log[Part Name],$A14,T_TTAFStock_Log[WeekIndex],22))</f>
        <v/>
      </c>
      <c r="X14" s="17">
        <f>IF(COUNTIFS(T_TTAFStock_Log[Part Name],$A14,T_TTAFStock_Log[WeekIndex],23)=0,"",SUMIFS(T_TTAFStock_Log[TTAF_Qty],T_TTAFStock_Log[Part Name],$A14,T_TTAFStock_Log[WeekIndex],23))</f>
        <v/>
      </c>
      <c r="Y14" s="17">
        <f>IF(COUNTIFS(T_TTAFStock_Log[Part Name],$A14,T_TTAFStock_Log[WeekIndex],24)=0,"",SUMIFS(T_TTAFStock_Log[TTAF_Qty],T_TTAFStock_Log[Part Name],$A14,T_TTAFStock_Log[WeekIndex],24))</f>
        <v/>
      </c>
      <c r="Z14" s="17">
        <f>IF(COUNTIFS(T_TTAFStock_Log[Part Name],$A14,T_TTAFStock_Log[WeekIndex],25)=0,"",SUMIFS(T_TTAFStock_Log[TTAF_Qty],T_TTAFStock_Log[Part Name],$A14,T_TTAFStock_Log[WeekIndex],25))</f>
        <v/>
      </c>
      <c r="AA14" s="17">
        <f>IF(COUNTIFS(T_TTAFStock_Log[Part Name],$A14,T_TTAFStock_Log[WeekIndex],26)=0,"",SUMIFS(T_TTAFStock_Log[TTAF_Qty],T_TTAFStock_Log[Part Name],$A14,T_TTAFStock_Log[WeekIndex],26))</f>
        <v/>
      </c>
      <c r="AB14" s="17">
        <f>IF(COUNTIFS(T_TTAFStock_Log[Part Name],$A14,T_TTAFStock_Log[WeekIndex],27)=0,"",SUMIFS(T_TTAFStock_Log[TTAF_Qty],T_TTAFStock_Log[Part Name],$A14,T_TTAFStock_Log[WeekIndex],27))</f>
        <v/>
      </c>
      <c r="AC14" s="17">
        <f>IF(COUNTIFS(T_TTAFStock_Log[Part Name],$A14,T_TTAFStock_Log[WeekIndex],28)=0,"",SUMIFS(T_TTAFStock_Log[TTAF_Qty],T_TTAFStock_Log[Part Name],$A14,T_TTAFStock_Log[WeekIndex],28))</f>
        <v/>
      </c>
      <c r="AD14" s="17">
        <f>IF(COUNTIFS(T_TTAFStock_Log[Part Name],$A14,T_TTAFStock_Log[WeekIndex],29)=0,"",SUMIFS(T_TTAFStock_Log[TTAF_Qty],T_TTAFStock_Log[Part Name],$A14,T_TTAFStock_Log[WeekIndex],29))</f>
        <v/>
      </c>
      <c r="AE14" s="17">
        <f>IF(COUNTIFS(T_TTAFStock_Log[Part Name],$A14,T_TTAFStock_Log[WeekIndex],30)=0,"",SUMIFS(T_TTAFStock_Log[TTAF_Qty],T_TTAFStock_Log[Part Name],$A14,T_TTAFStock_Log[WeekIndex],30))</f>
        <v/>
      </c>
      <c r="AF14" s="17">
        <f>IF(COUNTIFS(T_TTAFStock_Log[Part Name],$A14,T_TTAFStock_Log[WeekIndex],31)=0,"",SUMIFS(T_TTAFStock_Log[TTAF_Qty],T_TTAFStock_Log[Part Name],$A14,T_TTAFStock_Log[WeekIndex],31))</f>
        <v/>
      </c>
      <c r="AG14" s="17">
        <f>IF(COUNTIFS(T_TTAFStock_Log[Part Name],$A14,T_TTAFStock_Log[WeekIndex],32)=0,"",SUMIFS(T_TTAFStock_Log[TTAF_Qty],T_TTAFStock_Log[Part Name],$A14,T_TTAFStock_Log[WeekIndex],32))</f>
        <v/>
      </c>
      <c r="AH14" s="17">
        <f>IF(COUNTIFS(T_TTAFStock_Log[Part Name],$A14,T_TTAFStock_Log[WeekIndex],33)=0,"",SUMIFS(T_TTAFStock_Log[TTAF_Qty],T_TTAFStock_Log[Part Name],$A14,T_TTAFStock_Log[WeekIndex],33))</f>
        <v/>
      </c>
      <c r="AI14" s="17">
        <f>IF(COUNTIFS(T_TTAFStock_Log[Part Name],$A14,T_TTAFStock_Log[WeekIndex],34)=0,"",SUMIFS(T_TTAFStock_Log[TTAF_Qty],T_TTAFStock_Log[Part Name],$A14,T_TTAFStock_Log[WeekIndex],34))</f>
        <v/>
      </c>
      <c r="AJ14" s="17">
        <f>IF(COUNTIFS(T_TTAFStock_Log[Part Name],$A14,T_TTAFStock_Log[WeekIndex],35)=0,"",SUMIFS(T_TTAFStock_Log[TTAF_Qty],T_TTAFStock_Log[Part Name],$A14,T_TTAFStock_Log[WeekIndex],35))</f>
        <v/>
      </c>
      <c r="AK14" s="17">
        <f>IF(COUNTIFS(T_TTAFStock_Log[Part Name],$A14,T_TTAFStock_Log[WeekIndex],36)=0,"",SUMIFS(T_TTAFStock_Log[TTAF_Qty],T_TTAFStock_Log[Part Name],$A14,T_TTAFStock_Log[WeekIndex],36))</f>
        <v/>
      </c>
      <c r="AL14" s="17">
        <f>IF(COUNTIFS(T_TTAFStock_Log[Part Name],$A14,T_TTAFStock_Log[WeekIndex],37)=0,"",SUMIFS(T_TTAFStock_Log[TTAF_Qty],T_TTAFStock_Log[Part Name],$A14,T_TTAFStock_Log[WeekIndex],37))</f>
        <v/>
      </c>
      <c r="AM14" s="17">
        <f>IF(COUNTIFS(T_TTAFStock_Log[Part Name],$A14,T_TTAFStock_Log[WeekIndex],38)=0,"",SUMIFS(T_TTAFStock_Log[TTAF_Qty],T_TTAFStock_Log[Part Name],$A14,T_TTAFStock_Log[WeekIndex],38))</f>
        <v/>
      </c>
      <c r="AN14" s="17">
        <f>IF(COUNTIFS(T_TTAFStock_Log[Part Name],$A14,T_TTAFStock_Log[WeekIndex],39)=0,"",SUMIFS(T_TTAFStock_Log[TTAF_Qty],T_TTAFStock_Log[Part Name],$A14,T_TTAFStock_Log[WeekIndex],39))</f>
        <v/>
      </c>
      <c r="AO14" s="17">
        <f>IF(COUNTIFS(T_TTAFStock_Log[Part Name],$A14,T_TTAFStock_Log[WeekIndex],40)=0,"",SUMIFS(T_TTAFStock_Log[TTAF_Qty],T_TTAFStock_Log[Part Name],$A14,T_TTAFStock_Log[WeekIndex],40))</f>
        <v/>
      </c>
      <c r="AP14" s="17">
        <f>IF(COUNTIFS(T_TTAFStock_Log[Part Name],$A14,T_TTAFStock_Log[WeekIndex],41)=0,"",SUMIFS(T_TTAFStock_Log[TTAF_Qty],T_TTAFStock_Log[Part Name],$A14,T_TTAFStock_Log[WeekIndex],41))</f>
        <v/>
      </c>
      <c r="AQ14" s="17">
        <f>IF(COUNTIFS(T_TTAFStock_Log[Part Name],$A14,T_TTAFStock_Log[WeekIndex],42)=0,"",SUMIFS(T_TTAFStock_Log[TTAF_Qty],T_TTAFStock_Log[Part Name],$A14,T_TTAFStock_Log[WeekIndex],42))</f>
        <v/>
      </c>
      <c r="AR14" s="17">
        <f>IF(COUNTIFS(T_TTAFStock_Log[Part Name],$A14,T_TTAFStock_Log[WeekIndex],43)=0,"",SUMIFS(T_TTAFStock_Log[TTAF_Qty],T_TTAFStock_Log[Part Name],$A14,T_TTAFStock_Log[WeekIndex],43))</f>
        <v/>
      </c>
      <c r="AS14" s="17">
        <f>IF(COUNTIFS(T_TTAFStock_Log[Part Name],$A14,T_TTAFStock_Log[WeekIndex],44)=0,"",SUMIFS(T_TTAFStock_Log[TTAF_Qty],T_TTAFStock_Log[Part Name],$A14,T_TTAFStock_Log[WeekIndex],44))</f>
        <v/>
      </c>
      <c r="AT14" s="17">
        <f>IF(COUNTIFS(T_TTAFStock_Log[Part Name],$A14,T_TTAFStock_Log[WeekIndex],45)=0,"",SUMIFS(T_TTAFStock_Log[TTAF_Qty],T_TTAFStock_Log[Part Name],$A14,T_TTAFStock_Log[WeekIndex],45))</f>
        <v/>
      </c>
      <c r="AU14" s="17">
        <f>IF(COUNTIFS(T_TTAFStock_Log[Part Name],$A14,T_TTAFStock_Log[WeekIndex],46)=0,"",SUMIFS(T_TTAFStock_Log[TTAF_Qty],T_TTAFStock_Log[Part Name],$A14,T_TTAFStock_Log[WeekIndex],46))</f>
        <v/>
      </c>
      <c r="AV14" s="17">
        <f>IF(COUNTIFS(T_TTAFStock_Log[Part Name],$A14,T_TTAFStock_Log[WeekIndex],47)=0,"",SUMIFS(T_TTAFStock_Log[TTAF_Qty],T_TTAFStock_Log[Part Name],$A14,T_TTAFStock_Log[WeekIndex],47))</f>
        <v/>
      </c>
      <c r="AW14" s="17">
        <f>IF(COUNTIFS(T_TTAFStock_Log[Part Name],$A14,T_TTAFStock_Log[WeekIndex],48)=0,"",SUMIFS(T_TTAFStock_Log[TTAF_Qty],T_TTAFStock_Log[Part Name],$A14,T_TTAFStock_Log[WeekIndex],48))</f>
        <v/>
      </c>
      <c r="AX14" s="17">
        <f>IF(COUNTIFS(T_TTAFStock_Log[Part Name],$A14,T_TTAFStock_Log[WeekIndex],49)=0,"",SUMIFS(T_TTAFStock_Log[TTAF_Qty],T_TTAFStock_Log[Part Name],$A14,T_TTAFStock_Log[WeekIndex],49))</f>
        <v/>
      </c>
      <c r="AY14" s="17">
        <f>IF(COUNTIFS(T_TTAFStock_Log[Part Name],$A14,T_TTAFStock_Log[WeekIndex],50)=0,"",SUMIFS(T_TTAFStock_Log[TTAF_Qty],T_TTAFStock_Log[Part Name],$A14,T_TTAFStock_Log[WeekIndex],50))</f>
        <v/>
      </c>
      <c r="AZ14" s="17">
        <f>IF(COUNTIFS(T_TTAFStock_Log[Part Name],$A14,T_TTAFStock_Log[WeekIndex],51)=0,"",SUMIFS(T_TTAFStock_Log[TTAF_Qty],T_TTAFStock_Log[Part Name],$A14,T_TTAFStock_Log[WeekIndex],51))</f>
        <v/>
      </c>
      <c r="BA14" s="17">
        <f>IF(COUNTIFS(T_TTAFStock_Log[Part Name],$A14,T_TTAFStock_Log[WeekIndex],52)=0,"",SUMIFS(T_TTAFStock_Log[TTAF_Qty],T_TTAFStock_Log[Part Name],$A14,T_TTAFStock_Log[WeekIndex],52))</f>
        <v/>
      </c>
      <c r="BB14" s="17">
        <f>IF(COUNTIFS(T_TTAFStock_Log[Part Name],$A14,T_TTAFStock_Log[WeekIndex],53)=0,"",SUMIFS(T_TTAFStock_Log[TTAF_Qty],T_TTAFStock_Log[Part Name],$A14,T_TTAFStock_Log[WeekIndex],53))</f>
        <v/>
      </c>
      <c r="BC14" s="17">
        <f>IF(COUNTIFS(T_TTAFStock_Log[Part Name],$A14,T_TTAFStock_Log[WeekIndex],54)=0,"",SUMIFS(T_TTAFStock_Log[TTAF_Qty],T_TTAFStock_Log[Part Name],$A14,T_TTAFStock_Log[WeekIndex],54))</f>
        <v/>
      </c>
      <c r="BD14" s="17">
        <f>IF(COUNTIFS(T_TTAFStock_Log[Part Name],$A14,T_TTAFStock_Log[WeekIndex],55)=0,"",SUMIFS(T_TTAFStock_Log[TTAF_Qty],T_TTAFStock_Log[Part Name],$A14,T_TTAFStock_Log[WeekIndex],55))</f>
        <v/>
      </c>
      <c r="BE14" s="17">
        <f>IF(COUNTIFS(T_TTAFStock_Log[Part Name],$A14,T_TTAFStock_Log[WeekIndex],56)=0,"",SUMIFS(T_TTAFStock_Log[TTAF_Qty],T_TTAFStock_Log[Part Name],$A14,T_TTAFStock_Log[WeekIndex],56))</f>
        <v/>
      </c>
      <c r="BF14" s="17">
        <f>IF(COUNTIFS(T_TTAFStock_Log[Part Name],$A14,T_TTAFStock_Log[WeekIndex],57)=0,"",SUMIFS(T_TTAFStock_Log[TTAF_Qty],T_TTAFStock_Log[Part Name],$A14,T_TTAFStock_Log[WeekIndex],57))</f>
        <v/>
      </c>
      <c r="BG14" s="17">
        <f>IF(COUNTIFS(T_TTAFStock_Log[Part Name],$A14,T_TTAFStock_Log[WeekIndex],58)=0,"",SUMIFS(T_TTAFStock_Log[TTAF_Qty],T_TTAFStock_Log[Part Name],$A14,T_TTAFStock_Log[WeekIndex],58))</f>
        <v/>
      </c>
      <c r="BH14" s="17">
        <f>IF(COUNTIFS(T_TTAFStock_Log[Part Name],$A14,T_TTAFStock_Log[WeekIndex],59)=0,"",SUMIFS(T_TTAFStock_Log[TTAF_Qty],T_TTAFStock_Log[Part Name],$A14,T_TTAFStock_Log[WeekIndex],59))</f>
        <v/>
      </c>
      <c r="BI14" s="17">
        <f>IF(COUNTIFS(T_TTAFStock_Log[Part Name],$A14,T_TTAFStock_Log[WeekIndex],60)=0,"",SUMIFS(T_TTAFStock_Log[TTAF_Qty],T_TTAFStock_Log[Part Name],$A14,T_TTAFStock_Log[WeekIndex],60))</f>
        <v/>
      </c>
      <c r="BJ14" s="17">
        <f>IF(COUNTIFS(T_TTAFStock_Log[Part Name],$A14,T_TTAFStock_Log[WeekIndex],61)=0,"",SUMIFS(T_TTAFStock_Log[TTAF_Qty],T_TTAFStock_Log[Part Name],$A14,T_TTAFStock_Log[WeekIndex],61))</f>
        <v/>
      </c>
      <c r="BK14" s="17">
        <f>IF(COUNTIFS(T_TTAFStock_Log[Part Name],$A14,T_TTAFStock_Log[WeekIndex],62)=0,"",SUMIFS(T_TTAFStock_Log[TTAF_Qty],T_TTAFStock_Log[Part Name],$A14,T_TTAFStock_Log[WeekIndex],62))</f>
        <v/>
      </c>
      <c r="BL14" s="17">
        <f>IF(COUNTIFS(T_TTAFStock_Log[Part Name],$A14,T_TTAFStock_Log[WeekIndex],63)=0,"",SUMIFS(T_TTAFStock_Log[TTAF_Qty],T_TTAFStock_Log[Part Name],$A14,T_TTAFStock_Log[WeekIndex],63))</f>
        <v/>
      </c>
      <c r="BM14" s="17">
        <f>IF(COUNTIFS(T_TTAFStock_Log[Part Name],$A14,T_TTAFStock_Log[WeekIndex],64)=0,"",SUMIFS(T_TTAFStock_Log[TTAF_Qty],T_TTAFStock_Log[Part Name],$A14,T_TTAFStock_Log[WeekIndex],64))</f>
        <v/>
      </c>
      <c r="BN14" s="17">
        <f>IF(COUNTIFS(T_TTAFStock_Log[Part Name],$A14,T_TTAFStock_Log[WeekIndex],65)=0,"",SUMIFS(T_TTAFStock_Log[TTAF_Qty],T_TTAFStock_Log[Part Name],$A14,T_TTAFStock_Log[WeekIndex],65))</f>
        <v/>
      </c>
      <c r="BO14" s="17">
        <f>IF(COUNTIFS(T_TTAFStock_Log[Part Name],$A14,T_TTAFStock_Log[WeekIndex],66)=0,"",SUMIFS(T_TTAFStock_Log[TTAF_Qty],T_TTAFStock_Log[Part Name],$A14,T_TTAFStock_Log[WeekIndex],66))</f>
        <v/>
      </c>
      <c r="BP14" s="17">
        <f>IF(COUNTIFS(T_TTAFStock_Log[Part Name],$A14,T_TTAFStock_Log[WeekIndex],67)=0,"",SUMIFS(T_TTAFStock_Log[TTAF_Qty],T_TTAFStock_Log[Part Name],$A14,T_TTAFStock_Log[WeekIndex],67))</f>
        <v/>
      </c>
      <c r="BQ14" s="17">
        <f>IF(COUNTIFS(T_TTAFStock_Log[Part Name],$A14,T_TTAFStock_Log[WeekIndex],68)=0,"",SUMIFS(T_TTAFStock_Log[TTAF_Qty],T_TTAFStock_Log[Part Name],$A14,T_TTAFStock_Log[WeekIndex],68))</f>
        <v/>
      </c>
      <c r="BR14" s="17">
        <f>IF(COUNTIFS(T_TTAFStock_Log[Part Name],$A14,T_TTAFStock_Log[WeekIndex],69)=0,"",SUMIFS(T_TTAFStock_Log[TTAF_Qty],T_TTAFStock_Log[Part Name],$A14,T_TTAFStock_Log[WeekIndex],69))</f>
        <v/>
      </c>
      <c r="BS14" s="17">
        <f>IF(COUNTIFS(T_TTAFStock_Log[Part Name],$A14,T_TTAFStock_Log[WeekIndex],70)=0,"",SUMIFS(T_TTAFStock_Log[TTAF_Qty],T_TTAFStock_Log[Part Name],$A14,T_TTAFStock_Log[WeekIndex],70))</f>
        <v/>
      </c>
      <c r="BT14" s="17">
        <f>IF(COUNTIFS(T_TTAFStock_Log[Part Name],$A14,T_TTAFStock_Log[WeekIndex],71)=0,"",SUMIFS(T_TTAFStock_Log[TTAF_Qty],T_TTAFStock_Log[Part Name],$A14,T_TTAFStock_Log[WeekIndex],71))</f>
        <v/>
      </c>
      <c r="BU14" s="17">
        <f>IF(COUNTIFS(T_TTAFStock_Log[Part Name],$A14,T_TTAFStock_Log[WeekIndex],72)=0,"",SUMIFS(T_TTAFStock_Log[TTAF_Qty],T_TTAFStock_Log[Part Name],$A14,T_TTAFStock_Log[WeekIndex],72))</f>
        <v/>
      </c>
      <c r="BV14" s="17">
        <f>IF(COUNTIFS(T_TTAFStock_Log[Part Name],$A14,T_TTAFStock_Log[WeekIndex],73)=0,"",SUMIFS(T_TTAFStock_Log[TTAF_Qty],T_TTAFStock_Log[Part Name],$A14,T_TTAFStock_Log[WeekIndex],73))</f>
        <v/>
      </c>
      <c r="BW14" s="17">
        <f>IF(COUNTIFS(T_TTAFStock_Log[Part Name],$A14,T_TTAFStock_Log[WeekIndex],74)=0,"",SUMIFS(T_TTAFStock_Log[TTAF_Qty],T_TTAFStock_Log[Part Name],$A14,T_TTAFStock_Log[WeekIndex],74))</f>
        <v/>
      </c>
      <c r="BX14" s="17">
        <f>IF(COUNTIFS(T_TTAFStock_Log[Part Name],$A14,T_TTAFStock_Log[WeekIndex],75)=0,"",SUMIFS(T_TTAFStock_Log[TTAF_Qty],T_TTAFStock_Log[Part Name],$A14,T_TTAFStock_Log[WeekIndex],75))</f>
        <v/>
      </c>
      <c r="BY14" s="17">
        <f>IF(COUNTIFS(T_TTAFStock_Log[Part Name],$A14,T_TTAFStock_Log[WeekIndex],76)=0,"",SUMIFS(T_TTAFStock_Log[TTAF_Qty],T_TTAFStock_Log[Part Name],$A14,T_TTAFStock_Log[WeekIndex],76))</f>
        <v/>
      </c>
      <c r="BZ14" s="17">
        <f>IF(COUNTIFS(T_TTAFStock_Log[Part Name],$A14,T_TTAFStock_Log[WeekIndex],77)=0,"",SUMIFS(T_TTAFStock_Log[TTAF_Qty],T_TTAFStock_Log[Part Name],$A14,T_TTAFStock_Log[WeekIndex],77))</f>
        <v/>
      </c>
      <c r="CA14" s="17">
        <f>IF(COUNTIFS(T_TTAFStock_Log[Part Name],$A14,T_TTAFStock_Log[WeekIndex],78)=0,"",SUMIFS(T_TTAFStock_Log[TTAF_Qty],T_TTAFStock_Log[Part Name],$A14,T_TTAFStock_Log[WeekIndex],78))</f>
        <v/>
      </c>
      <c r="CB14" s="17">
        <f>IF(COUNTIFS(T_TTAFStock_Log[Part Name],$A14,T_TTAFStock_Log[WeekIndex],79)=0,"",SUMIFS(T_TTAFStock_Log[TTAF_Qty],T_TTAFStock_Log[Part Name],$A14,T_TTAFStock_Log[WeekIndex],79))</f>
        <v/>
      </c>
      <c r="CC14" s="17">
        <f>IF(COUNTIFS(T_TTAFStock_Log[Part Name],$A14,T_TTAFStock_Log[WeekIndex],80)=0,"",SUMIFS(T_TTAFStock_Log[TTAF_Qty],T_TTAFStock_Log[Part Name],$A14,T_TTAFStock_Log[WeekIndex],80))</f>
        <v/>
      </c>
      <c r="CD14" s="17">
        <f>IF(COUNTIFS(T_TTAFStock_Log[Part Name],$A14,T_TTAFStock_Log[WeekIndex],81)=0,"",SUMIFS(T_TTAFStock_Log[TTAF_Qty],T_TTAFStock_Log[Part Name],$A14,T_TTAFStock_Log[WeekIndex],81))</f>
        <v/>
      </c>
      <c r="CE14" s="17">
        <f>IF(COUNTIFS(T_TTAFStock_Log[Part Name],$A14,T_TTAFStock_Log[WeekIndex],82)=0,"",SUMIFS(T_TTAFStock_Log[TTAF_Qty],T_TTAFStock_Log[Part Name],$A14,T_TTAFStock_Log[WeekIndex],82))</f>
        <v/>
      </c>
      <c r="CF14" s="17">
        <f>IF(COUNTIFS(T_TTAFStock_Log[Part Name],$A14,T_TTAFStock_Log[WeekIndex],83)=0,"",SUMIFS(T_TTAFStock_Log[TTAF_Qty],T_TTAFStock_Log[Part Name],$A14,T_TTAFStock_Log[WeekIndex],83))</f>
        <v/>
      </c>
      <c r="CG14" s="17">
        <f>IF(COUNTIFS(T_TTAFStock_Log[Part Name],$A14,T_TTAFStock_Log[WeekIndex],84)=0,"",SUMIFS(T_TTAFStock_Log[TTAF_Qty],T_TTAFStock_Log[Part Name],$A14,T_TTAFStock_Log[WeekIndex],84))</f>
        <v/>
      </c>
      <c r="CH14" s="17">
        <f>IF(COUNTIFS(T_TTAFStock_Log[Part Name],$A14,T_TTAFStock_Log[WeekIndex],85)=0,"",SUMIFS(T_TTAFStock_Log[TTAF_Qty],T_TTAFStock_Log[Part Name],$A14,T_TTAFStock_Log[WeekIndex],85))</f>
        <v/>
      </c>
      <c r="CI14" s="17">
        <f>IF(COUNTIFS(T_TTAFStock_Log[Part Name],$A14,T_TTAFStock_Log[WeekIndex],86)=0,"",SUMIFS(T_TTAFStock_Log[TTAF_Qty],T_TTAFStock_Log[Part Name],$A14,T_TTAFStock_Log[WeekIndex],86))</f>
        <v/>
      </c>
      <c r="CJ14" s="17">
        <f>IF(COUNTIFS(T_TTAFStock_Log[Part Name],$A14,T_TTAFStock_Log[WeekIndex],87)=0,"",SUMIFS(T_TTAFStock_Log[TTAF_Qty],T_TTAFStock_Log[Part Name],$A14,T_TTAFStock_Log[WeekIndex],87))</f>
        <v/>
      </c>
      <c r="CK14" s="17">
        <f>IF(COUNTIFS(T_TTAFStock_Log[Part Name],$A14,T_TTAFStock_Log[WeekIndex],88)=0,"",SUMIFS(T_TTAFStock_Log[TTAF_Qty],T_TTAFStock_Log[Part Name],$A14,T_TTAFStock_Log[WeekIndex],88))</f>
        <v/>
      </c>
      <c r="CL14" s="17">
        <f>IF(COUNTIFS(T_TTAFStock_Log[Part Name],$A14,T_TTAFStock_Log[WeekIndex],89)=0,"",SUMIFS(T_TTAFStock_Log[TTAF_Qty],T_TTAFStock_Log[Part Name],$A14,T_TTAFStock_Log[WeekIndex],89))</f>
        <v/>
      </c>
      <c r="CM14" s="17">
        <f>IF(COUNTIFS(T_TTAFStock_Log[Part Name],$A14,T_TTAFStock_Log[WeekIndex],90)=0,"",SUMIFS(T_TTAFStock_Log[TTAF_Qty],T_TTAFStock_Log[Part Name],$A14,T_TTAFStock_Log[WeekIndex],90))</f>
        <v/>
      </c>
      <c r="CN14" s="17">
        <f>IF(COUNTIFS(T_TTAFStock_Log[Part Name],$A14,T_TTAFStock_Log[WeekIndex],91)=0,"",SUMIFS(T_TTAFStock_Log[TTAF_Qty],T_TTAFStock_Log[Part Name],$A14,T_TTAFStock_Log[WeekIndex],91))</f>
        <v/>
      </c>
      <c r="CO14" s="17">
        <f>IF(COUNTIFS(T_TTAFStock_Log[Part Name],$A14,T_TTAFStock_Log[WeekIndex],92)=0,"",SUMIFS(T_TTAFStock_Log[TTAF_Qty],T_TTAFStock_Log[Part Name],$A14,T_TTAFStock_Log[WeekIndex],92))</f>
        <v/>
      </c>
      <c r="CP14" s="17">
        <f>IF(COUNTIFS(T_TTAFStock_Log[Part Name],$A14,T_TTAFStock_Log[WeekIndex],93)=0,"",SUMIFS(T_TTAFStock_Log[TTAF_Qty],T_TTAFStock_Log[Part Name],$A14,T_TTAFStock_Log[WeekIndex],93))</f>
        <v/>
      </c>
      <c r="CQ14" s="17">
        <f>IF(COUNTIFS(T_TTAFStock_Log[Part Name],$A14,T_TTAFStock_Log[WeekIndex],94)=0,"",SUMIFS(T_TTAFStock_Log[TTAF_Qty],T_TTAFStock_Log[Part Name],$A14,T_TTAFStock_Log[WeekIndex],94))</f>
        <v/>
      </c>
      <c r="CR14" s="17">
        <f>IF(COUNTIFS(T_TTAFStock_Log[Part Name],$A14,T_TTAFStock_Log[WeekIndex],95)=0,"",SUMIFS(T_TTAFStock_Log[TTAF_Qty],T_TTAFStock_Log[Part Name],$A14,T_TTAFStock_Log[WeekIndex],95))</f>
        <v/>
      </c>
      <c r="CS14" s="17">
        <f>IF(COUNTIFS(T_TTAFStock_Log[Part Name],$A14,T_TTAFStock_Log[WeekIndex],96)=0,"",SUMIFS(T_TTAFStock_Log[TTAF_Qty],T_TTAFStock_Log[Part Name],$A14,T_TTAFStock_Log[WeekIndex],96))</f>
        <v/>
      </c>
      <c r="CT14" s="17">
        <f>IF(COUNTIFS(T_TTAFStock_Log[Part Name],$A14,T_TTAFStock_Log[WeekIndex],97)=0,"",SUMIFS(T_TTAFStock_Log[TTAF_Qty],T_TTAFStock_Log[Part Name],$A14,T_TTAFStock_Log[WeekIndex],97))</f>
        <v/>
      </c>
      <c r="CU14" s="17">
        <f>IF(COUNTIFS(T_TTAFStock_Log[Part Name],$A14,T_TTAFStock_Log[WeekIndex],98)=0,"",SUMIFS(T_TTAFStock_Log[TTAF_Qty],T_TTAFStock_Log[Part Name],$A14,T_TTAFStock_Log[WeekIndex],98))</f>
        <v/>
      </c>
      <c r="CV14" s="17">
        <f>IF(COUNTIFS(T_TTAFStock_Log[Part Name],$A14,T_TTAFStock_Log[WeekIndex],99)=0,"",SUMIFS(T_TTAFStock_Log[TTAF_Qty],T_TTAFStock_Log[Part Name],$A14,T_TTAFStock_Log[WeekIndex],99))</f>
        <v/>
      </c>
      <c r="CW14" s="17">
        <f>IF(COUNTIFS(T_TTAFStock_Log[Part Name],$A14,T_TTAFStock_Log[WeekIndex],100)=0,"",SUMIFS(T_TTAFStock_Log[TTAF_Qty],T_TTAFStock_Log[Part Name],$A14,T_TTAFStock_Log[WeekIndex],100))</f>
        <v/>
      </c>
      <c r="CX14" s="17">
        <f>IF(COUNTIFS(T_TTAFStock_Log[Part Name],$A14,T_TTAFStock_Log[WeekIndex],101)=0,"",SUMIFS(T_TTAFStock_Log[TTAF_Qty],T_TTAFStock_Log[Part Name],$A14,T_TTAFStock_Log[WeekIndex],101))</f>
        <v/>
      </c>
      <c r="CY14" s="17">
        <f>IF(COUNTIFS(T_TTAFStock_Log[Part Name],$A14,T_TTAFStock_Log[WeekIndex],102)=0,"",SUMIFS(T_TTAFStock_Log[TTAF_Qty],T_TTAFStock_Log[Part Name],$A14,T_TTAFStock_Log[WeekIndex],102))</f>
        <v/>
      </c>
      <c r="CZ14" s="17">
        <f>IF(COUNTIFS(T_TTAFStock_Log[Part Name],$A14,T_TTAFStock_Log[WeekIndex],103)=0,"",SUMIFS(T_TTAFStock_Log[TTAF_Qty],T_TTAFStock_Log[Part Name],$A14,T_TTAFStock_Log[WeekIndex],103))</f>
        <v/>
      </c>
      <c r="DA14" s="17">
        <f>IF(COUNTIFS(T_TTAFStock_Log[Part Name],$A14,T_TTAFStock_Log[WeekIndex],104)=0,"",SUMIFS(T_TTAFStock_Log[TTAF_Qty],T_TTAFStock_Log[Part Name],$A14,T_TTAFStock_Log[WeekIndex],104))</f>
        <v/>
      </c>
    </row>
    <row r="15">
      <c r="A15" s="19" t="inlineStr">
        <is>
          <t>JEJ</t>
        </is>
      </c>
      <c r="B15" s="19">
        <f>IF(COUNTIFS(T_TTAFStock_Log[Part Name],$A15,T_TTAFStock_Log[WeekIndex],1)=0,"",SUMIFS(T_TTAFStock_Log[TTAF_Qty],T_TTAFStock_Log[Part Name],$A15,T_TTAFStock_Log[WeekIndex],1))</f>
        <v/>
      </c>
      <c r="C15" s="19">
        <f>IF(COUNTIFS(T_TTAFStock_Log[Part Name],$A15,T_TTAFStock_Log[WeekIndex],2)=0,"",SUMIFS(T_TTAFStock_Log[TTAF_Qty],T_TTAFStock_Log[Part Name],$A15,T_TTAFStock_Log[WeekIndex],2))</f>
        <v/>
      </c>
      <c r="D15" s="19">
        <f>IF(COUNTIFS(T_TTAFStock_Log[Part Name],$A15,T_TTAFStock_Log[WeekIndex],3)=0,"",SUMIFS(T_TTAFStock_Log[TTAF_Qty],T_TTAFStock_Log[Part Name],$A15,T_TTAFStock_Log[WeekIndex],3))</f>
        <v/>
      </c>
      <c r="E15" s="19">
        <f>IF(COUNTIFS(T_TTAFStock_Log[Part Name],$A15,T_TTAFStock_Log[WeekIndex],4)=0,"",SUMIFS(T_TTAFStock_Log[TTAF_Qty],T_TTAFStock_Log[Part Name],$A15,T_TTAFStock_Log[WeekIndex],4))</f>
        <v/>
      </c>
      <c r="F15" s="19">
        <f>IF(COUNTIFS(T_TTAFStock_Log[Part Name],$A15,T_TTAFStock_Log[WeekIndex],5)=0,"",SUMIFS(T_TTAFStock_Log[TTAF_Qty],T_TTAFStock_Log[Part Name],$A15,T_TTAFStock_Log[WeekIndex],5))</f>
        <v/>
      </c>
      <c r="G15" s="19">
        <f>IF(COUNTIFS(T_TTAFStock_Log[Part Name],$A15,T_TTAFStock_Log[WeekIndex],6)=0,"",SUMIFS(T_TTAFStock_Log[TTAF_Qty],T_TTAFStock_Log[Part Name],$A15,T_TTAFStock_Log[WeekIndex],6))</f>
        <v/>
      </c>
      <c r="H15" s="19">
        <f>IF(COUNTIFS(T_TTAFStock_Log[Part Name],$A15,T_TTAFStock_Log[WeekIndex],7)=0,"",SUMIFS(T_TTAFStock_Log[TTAF_Qty],T_TTAFStock_Log[Part Name],$A15,T_TTAFStock_Log[WeekIndex],7))</f>
        <v/>
      </c>
      <c r="I15" s="19">
        <f>IF(COUNTIFS(T_TTAFStock_Log[Part Name],$A15,T_TTAFStock_Log[WeekIndex],8)=0,"",SUMIFS(T_TTAFStock_Log[TTAF_Qty],T_TTAFStock_Log[Part Name],$A15,T_TTAFStock_Log[WeekIndex],8))</f>
        <v/>
      </c>
      <c r="J15" s="19">
        <f>IF(COUNTIFS(T_TTAFStock_Log[Part Name],$A15,T_TTAFStock_Log[WeekIndex],9)=0,"",SUMIFS(T_TTAFStock_Log[TTAF_Qty],T_TTAFStock_Log[Part Name],$A15,T_TTAFStock_Log[WeekIndex],9))</f>
        <v/>
      </c>
      <c r="K15" s="19">
        <f>IF(COUNTIFS(T_TTAFStock_Log[Part Name],$A15,T_TTAFStock_Log[WeekIndex],10)=0,"",SUMIFS(T_TTAFStock_Log[TTAF_Qty],T_TTAFStock_Log[Part Name],$A15,T_TTAFStock_Log[WeekIndex],10))</f>
        <v/>
      </c>
      <c r="L15" s="19">
        <f>IF(COUNTIFS(T_TTAFStock_Log[Part Name],$A15,T_TTAFStock_Log[WeekIndex],11)=0,"",SUMIFS(T_TTAFStock_Log[TTAF_Qty],T_TTAFStock_Log[Part Name],$A15,T_TTAFStock_Log[WeekIndex],11))</f>
        <v/>
      </c>
      <c r="M15" s="19">
        <f>IF(COUNTIFS(T_TTAFStock_Log[Part Name],$A15,T_TTAFStock_Log[WeekIndex],12)=0,"",SUMIFS(T_TTAFStock_Log[TTAF_Qty],T_TTAFStock_Log[Part Name],$A15,T_TTAFStock_Log[WeekIndex],12))</f>
        <v/>
      </c>
      <c r="N15" s="19">
        <f>IF(COUNTIFS(T_TTAFStock_Log[Part Name],$A15,T_TTAFStock_Log[WeekIndex],13)=0,"",SUMIFS(T_TTAFStock_Log[TTAF_Qty],T_TTAFStock_Log[Part Name],$A15,T_TTAFStock_Log[WeekIndex],13))</f>
        <v/>
      </c>
      <c r="O15" s="19">
        <f>IF(COUNTIFS(T_TTAFStock_Log[Part Name],$A15,T_TTAFStock_Log[WeekIndex],14)=0,"",SUMIFS(T_TTAFStock_Log[TTAF_Qty],T_TTAFStock_Log[Part Name],$A15,T_TTAFStock_Log[WeekIndex],14))</f>
        <v/>
      </c>
      <c r="P15" s="19">
        <f>IF(COUNTIFS(T_TTAFStock_Log[Part Name],$A15,T_TTAFStock_Log[WeekIndex],15)=0,"",SUMIFS(T_TTAFStock_Log[TTAF_Qty],T_TTAFStock_Log[Part Name],$A15,T_TTAFStock_Log[WeekIndex],15))</f>
        <v/>
      </c>
      <c r="Q15" s="19">
        <f>IF(COUNTIFS(T_TTAFStock_Log[Part Name],$A15,T_TTAFStock_Log[WeekIndex],16)=0,"",SUMIFS(T_TTAFStock_Log[TTAF_Qty],T_TTAFStock_Log[Part Name],$A15,T_TTAFStock_Log[WeekIndex],16))</f>
        <v/>
      </c>
      <c r="R15" s="19">
        <f>IF(COUNTIFS(T_TTAFStock_Log[Part Name],$A15,T_TTAFStock_Log[WeekIndex],17)=0,"",SUMIFS(T_TTAFStock_Log[TTAF_Qty],T_TTAFStock_Log[Part Name],$A15,T_TTAFStock_Log[WeekIndex],17))</f>
        <v/>
      </c>
      <c r="S15" s="19">
        <f>IF(COUNTIFS(T_TTAFStock_Log[Part Name],$A15,T_TTAFStock_Log[WeekIndex],18)=0,"",SUMIFS(T_TTAFStock_Log[TTAF_Qty],T_TTAFStock_Log[Part Name],$A15,T_TTAFStock_Log[WeekIndex],18))</f>
        <v/>
      </c>
      <c r="T15" s="19">
        <f>IF(COUNTIFS(T_TTAFStock_Log[Part Name],$A15,T_TTAFStock_Log[WeekIndex],19)=0,"",SUMIFS(T_TTAFStock_Log[TTAF_Qty],T_TTAFStock_Log[Part Name],$A15,T_TTAFStock_Log[WeekIndex],19))</f>
        <v/>
      </c>
      <c r="U15" s="19">
        <f>IF(COUNTIFS(T_TTAFStock_Log[Part Name],$A15,T_TTAFStock_Log[WeekIndex],20)=0,"",SUMIFS(T_TTAFStock_Log[TTAF_Qty],T_TTAFStock_Log[Part Name],$A15,T_TTAFStock_Log[WeekIndex],20))</f>
        <v/>
      </c>
      <c r="V15" s="19">
        <f>IF(COUNTIFS(T_TTAFStock_Log[Part Name],$A15,T_TTAFStock_Log[WeekIndex],21)=0,"",SUMIFS(T_TTAFStock_Log[TTAF_Qty],T_TTAFStock_Log[Part Name],$A15,T_TTAFStock_Log[WeekIndex],21))</f>
        <v/>
      </c>
      <c r="W15" s="19">
        <f>IF(COUNTIFS(T_TTAFStock_Log[Part Name],$A15,T_TTAFStock_Log[WeekIndex],22)=0,"",SUMIFS(T_TTAFStock_Log[TTAF_Qty],T_TTAFStock_Log[Part Name],$A15,T_TTAFStock_Log[WeekIndex],22))</f>
        <v/>
      </c>
      <c r="X15" s="19">
        <f>IF(COUNTIFS(T_TTAFStock_Log[Part Name],$A15,T_TTAFStock_Log[WeekIndex],23)=0,"",SUMIFS(T_TTAFStock_Log[TTAF_Qty],T_TTAFStock_Log[Part Name],$A15,T_TTAFStock_Log[WeekIndex],23))</f>
        <v/>
      </c>
      <c r="Y15" s="19">
        <f>IF(COUNTIFS(T_TTAFStock_Log[Part Name],$A15,T_TTAFStock_Log[WeekIndex],24)=0,"",SUMIFS(T_TTAFStock_Log[TTAF_Qty],T_TTAFStock_Log[Part Name],$A15,T_TTAFStock_Log[WeekIndex],24))</f>
        <v/>
      </c>
      <c r="Z15" s="19">
        <f>IF(COUNTIFS(T_TTAFStock_Log[Part Name],$A15,T_TTAFStock_Log[WeekIndex],25)=0,"",SUMIFS(T_TTAFStock_Log[TTAF_Qty],T_TTAFStock_Log[Part Name],$A15,T_TTAFStock_Log[WeekIndex],25))</f>
        <v/>
      </c>
      <c r="AA15" s="19">
        <f>IF(COUNTIFS(T_TTAFStock_Log[Part Name],$A15,T_TTAFStock_Log[WeekIndex],26)=0,"",SUMIFS(T_TTAFStock_Log[TTAF_Qty],T_TTAFStock_Log[Part Name],$A15,T_TTAFStock_Log[WeekIndex],26))</f>
        <v/>
      </c>
      <c r="AB15" s="19">
        <f>IF(COUNTIFS(T_TTAFStock_Log[Part Name],$A15,T_TTAFStock_Log[WeekIndex],27)=0,"",SUMIFS(T_TTAFStock_Log[TTAF_Qty],T_TTAFStock_Log[Part Name],$A15,T_TTAFStock_Log[WeekIndex],27))</f>
        <v/>
      </c>
      <c r="AC15" s="19">
        <f>IF(COUNTIFS(T_TTAFStock_Log[Part Name],$A15,T_TTAFStock_Log[WeekIndex],28)=0,"",SUMIFS(T_TTAFStock_Log[TTAF_Qty],T_TTAFStock_Log[Part Name],$A15,T_TTAFStock_Log[WeekIndex],28))</f>
        <v/>
      </c>
      <c r="AD15" s="19">
        <f>IF(COUNTIFS(T_TTAFStock_Log[Part Name],$A15,T_TTAFStock_Log[WeekIndex],29)=0,"",SUMIFS(T_TTAFStock_Log[TTAF_Qty],T_TTAFStock_Log[Part Name],$A15,T_TTAFStock_Log[WeekIndex],29))</f>
        <v/>
      </c>
      <c r="AE15" s="19">
        <f>IF(COUNTIFS(T_TTAFStock_Log[Part Name],$A15,T_TTAFStock_Log[WeekIndex],30)=0,"",SUMIFS(T_TTAFStock_Log[TTAF_Qty],T_TTAFStock_Log[Part Name],$A15,T_TTAFStock_Log[WeekIndex],30))</f>
        <v/>
      </c>
      <c r="AF15" s="19">
        <f>IF(COUNTIFS(T_TTAFStock_Log[Part Name],$A15,T_TTAFStock_Log[WeekIndex],31)=0,"",SUMIFS(T_TTAFStock_Log[TTAF_Qty],T_TTAFStock_Log[Part Name],$A15,T_TTAFStock_Log[WeekIndex],31))</f>
        <v/>
      </c>
      <c r="AG15" s="19">
        <f>IF(COUNTIFS(T_TTAFStock_Log[Part Name],$A15,T_TTAFStock_Log[WeekIndex],32)=0,"",SUMIFS(T_TTAFStock_Log[TTAF_Qty],T_TTAFStock_Log[Part Name],$A15,T_TTAFStock_Log[WeekIndex],32))</f>
        <v/>
      </c>
      <c r="AH15" s="19">
        <f>IF(COUNTIFS(T_TTAFStock_Log[Part Name],$A15,T_TTAFStock_Log[WeekIndex],33)=0,"",SUMIFS(T_TTAFStock_Log[TTAF_Qty],T_TTAFStock_Log[Part Name],$A15,T_TTAFStock_Log[WeekIndex],33))</f>
        <v/>
      </c>
      <c r="AI15" s="19">
        <f>IF(COUNTIFS(T_TTAFStock_Log[Part Name],$A15,T_TTAFStock_Log[WeekIndex],34)=0,"",SUMIFS(T_TTAFStock_Log[TTAF_Qty],T_TTAFStock_Log[Part Name],$A15,T_TTAFStock_Log[WeekIndex],34))</f>
        <v/>
      </c>
      <c r="AJ15" s="19">
        <f>IF(COUNTIFS(T_TTAFStock_Log[Part Name],$A15,T_TTAFStock_Log[WeekIndex],35)=0,"",SUMIFS(T_TTAFStock_Log[TTAF_Qty],T_TTAFStock_Log[Part Name],$A15,T_TTAFStock_Log[WeekIndex],35))</f>
        <v/>
      </c>
      <c r="AK15" s="19">
        <f>IF(COUNTIFS(T_TTAFStock_Log[Part Name],$A15,T_TTAFStock_Log[WeekIndex],36)=0,"",SUMIFS(T_TTAFStock_Log[TTAF_Qty],T_TTAFStock_Log[Part Name],$A15,T_TTAFStock_Log[WeekIndex],36))</f>
        <v/>
      </c>
      <c r="AL15" s="19">
        <f>IF(COUNTIFS(T_TTAFStock_Log[Part Name],$A15,T_TTAFStock_Log[WeekIndex],37)=0,"",SUMIFS(T_TTAFStock_Log[TTAF_Qty],T_TTAFStock_Log[Part Name],$A15,T_TTAFStock_Log[WeekIndex],37))</f>
        <v/>
      </c>
      <c r="AM15" s="19">
        <f>IF(COUNTIFS(T_TTAFStock_Log[Part Name],$A15,T_TTAFStock_Log[WeekIndex],38)=0,"",SUMIFS(T_TTAFStock_Log[TTAF_Qty],T_TTAFStock_Log[Part Name],$A15,T_TTAFStock_Log[WeekIndex],38))</f>
        <v/>
      </c>
      <c r="AN15" s="19">
        <f>IF(COUNTIFS(T_TTAFStock_Log[Part Name],$A15,T_TTAFStock_Log[WeekIndex],39)=0,"",SUMIFS(T_TTAFStock_Log[TTAF_Qty],T_TTAFStock_Log[Part Name],$A15,T_TTAFStock_Log[WeekIndex],39))</f>
        <v/>
      </c>
      <c r="AO15" s="19">
        <f>IF(COUNTIFS(T_TTAFStock_Log[Part Name],$A15,T_TTAFStock_Log[WeekIndex],40)=0,"",SUMIFS(T_TTAFStock_Log[TTAF_Qty],T_TTAFStock_Log[Part Name],$A15,T_TTAFStock_Log[WeekIndex],40))</f>
        <v/>
      </c>
      <c r="AP15" s="19">
        <f>IF(COUNTIFS(T_TTAFStock_Log[Part Name],$A15,T_TTAFStock_Log[WeekIndex],41)=0,"",SUMIFS(T_TTAFStock_Log[TTAF_Qty],T_TTAFStock_Log[Part Name],$A15,T_TTAFStock_Log[WeekIndex],41))</f>
        <v/>
      </c>
      <c r="AQ15" s="19">
        <f>IF(COUNTIFS(T_TTAFStock_Log[Part Name],$A15,T_TTAFStock_Log[WeekIndex],42)=0,"",SUMIFS(T_TTAFStock_Log[TTAF_Qty],T_TTAFStock_Log[Part Name],$A15,T_TTAFStock_Log[WeekIndex],42))</f>
        <v/>
      </c>
      <c r="AR15" s="19">
        <f>IF(COUNTIFS(T_TTAFStock_Log[Part Name],$A15,T_TTAFStock_Log[WeekIndex],43)=0,"",SUMIFS(T_TTAFStock_Log[TTAF_Qty],T_TTAFStock_Log[Part Name],$A15,T_TTAFStock_Log[WeekIndex],43))</f>
        <v/>
      </c>
      <c r="AS15" s="19">
        <f>IF(COUNTIFS(T_TTAFStock_Log[Part Name],$A15,T_TTAFStock_Log[WeekIndex],44)=0,"",SUMIFS(T_TTAFStock_Log[TTAF_Qty],T_TTAFStock_Log[Part Name],$A15,T_TTAFStock_Log[WeekIndex],44))</f>
        <v/>
      </c>
      <c r="AT15" s="19">
        <f>IF(COUNTIFS(T_TTAFStock_Log[Part Name],$A15,T_TTAFStock_Log[WeekIndex],45)=0,"",SUMIFS(T_TTAFStock_Log[TTAF_Qty],T_TTAFStock_Log[Part Name],$A15,T_TTAFStock_Log[WeekIndex],45))</f>
        <v/>
      </c>
      <c r="AU15" s="19">
        <f>IF(COUNTIFS(T_TTAFStock_Log[Part Name],$A15,T_TTAFStock_Log[WeekIndex],46)=0,"",SUMIFS(T_TTAFStock_Log[TTAF_Qty],T_TTAFStock_Log[Part Name],$A15,T_TTAFStock_Log[WeekIndex],46))</f>
        <v/>
      </c>
      <c r="AV15" s="19">
        <f>IF(COUNTIFS(T_TTAFStock_Log[Part Name],$A15,T_TTAFStock_Log[WeekIndex],47)=0,"",SUMIFS(T_TTAFStock_Log[TTAF_Qty],T_TTAFStock_Log[Part Name],$A15,T_TTAFStock_Log[WeekIndex],47))</f>
        <v/>
      </c>
      <c r="AW15" s="19">
        <f>IF(COUNTIFS(T_TTAFStock_Log[Part Name],$A15,T_TTAFStock_Log[WeekIndex],48)=0,"",SUMIFS(T_TTAFStock_Log[TTAF_Qty],T_TTAFStock_Log[Part Name],$A15,T_TTAFStock_Log[WeekIndex],48))</f>
        <v/>
      </c>
      <c r="AX15" s="19">
        <f>IF(COUNTIFS(T_TTAFStock_Log[Part Name],$A15,T_TTAFStock_Log[WeekIndex],49)=0,"",SUMIFS(T_TTAFStock_Log[TTAF_Qty],T_TTAFStock_Log[Part Name],$A15,T_TTAFStock_Log[WeekIndex],49))</f>
        <v/>
      </c>
      <c r="AY15" s="19">
        <f>IF(COUNTIFS(T_TTAFStock_Log[Part Name],$A15,T_TTAFStock_Log[WeekIndex],50)=0,"",SUMIFS(T_TTAFStock_Log[TTAF_Qty],T_TTAFStock_Log[Part Name],$A15,T_TTAFStock_Log[WeekIndex],50))</f>
        <v/>
      </c>
      <c r="AZ15" s="19">
        <f>IF(COUNTIFS(T_TTAFStock_Log[Part Name],$A15,T_TTAFStock_Log[WeekIndex],51)=0,"",SUMIFS(T_TTAFStock_Log[TTAF_Qty],T_TTAFStock_Log[Part Name],$A15,T_TTAFStock_Log[WeekIndex],51))</f>
        <v/>
      </c>
      <c r="BA15" s="19">
        <f>IF(COUNTIFS(T_TTAFStock_Log[Part Name],$A15,T_TTAFStock_Log[WeekIndex],52)=0,"",SUMIFS(T_TTAFStock_Log[TTAF_Qty],T_TTAFStock_Log[Part Name],$A15,T_TTAFStock_Log[WeekIndex],52))</f>
        <v/>
      </c>
      <c r="BB15" s="19">
        <f>IF(COUNTIFS(T_TTAFStock_Log[Part Name],$A15,T_TTAFStock_Log[WeekIndex],53)=0,"",SUMIFS(T_TTAFStock_Log[TTAF_Qty],T_TTAFStock_Log[Part Name],$A15,T_TTAFStock_Log[WeekIndex],53))</f>
        <v/>
      </c>
      <c r="BC15" s="19">
        <f>IF(COUNTIFS(T_TTAFStock_Log[Part Name],$A15,T_TTAFStock_Log[WeekIndex],54)=0,"",SUMIFS(T_TTAFStock_Log[TTAF_Qty],T_TTAFStock_Log[Part Name],$A15,T_TTAFStock_Log[WeekIndex],54))</f>
        <v/>
      </c>
      <c r="BD15" s="19">
        <f>IF(COUNTIFS(T_TTAFStock_Log[Part Name],$A15,T_TTAFStock_Log[WeekIndex],55)=0,"",SUMIFS(T_TTAFStock_Log[TTAF_Qty],T_TTAFStock_Log[Part Name],$A15,T_TTAFStock_Log[WeekIndex],55))</f>
        <v/>
      </c>
      <c r="BE15" s="19">
        <f>IF(COUNTIFS(T_TTAFStock_Log[Part Name],$A15,T_TTAFStock_Log[WeekIndex],56)=0,"",SUMIFS(T_TTAFStock_Log[TTAF_Qty],T_TTAFStock_Log[Part Name],$A15,T_TTAFStock_Log[WeekIndex],56))</f>
        <v/>
      </c>
      <c r="BF15" s="19">
        <f>IF(COUNTIFS(T_TTAFStock_Log[Part Name],$A15,T_TTAFStock_Log[WeekIndex],57)=0,"",SUMIFS(T_TTAFStock_Log[TTAF_Qty],T_TTAFStock_Log[Part Name],$A15,T_TTAFStock_Log[WeekIndex],57))</f>
        <v/>
      </c>
      <c r="BG15" s="19">
        <f>IF(COUNTIFS(T_TTAFStock_Log[Part Name],$A15,T_TTAFStock_Log[WeekIndex],58)=0,"",SUMIFS(T_TTAFStock_Log[TTAF_Qty],T_TTAFStock_Log[Part Name],$A15,T_TTAFStock_Log[WeekIndex],58))</f>
        <v/>
      </c>
      <c r="BH15" s="19">
        <f>IF(COUNTIFS(T_TTAFStock_Log[Part Name],$A15,T_TTAFStock_Log[WeekIndex],59)=0,"",SUMIFS(T_TTAFStock_Log[TTAF_Qty],T_TTAFStock_Log[Part Name],$A15,T_TTAFStock_Log[WeekIndex],59))</f>
        <v/>
      </c>
      <c r="BI15" s="19">
        <f>IF(COUNTIFS(T_TTAFStock_Log[Part Name],$A15,T_TTAFStock_Log[WeekIndex],60)=0,"",SUMIFS(T_TTAFStock_Log[TTAF_Qty],T_TTAFStock_Log[Part Name],$A15,T_TTAFStock_Log[WeekIndex],60))</f>
        <v/>
      </c>
      <c r="BJ15" s="19">
        <f>IF(COUNTIFS(T_TTAFStock_Log[Part Name],$A15,T_TTAFStock_Log[WeekIndex],61)=0,"",SUMIFS(T_TTAFStock_Log[TTAF_Qty],T_TTAFStock_Log[Part Name],$A15,T_TTAFStock_Log[WeekIndex],61))</f>
        <v/>
      </c>
      <c r="BK15" s="19">
        <f>IF(COUNTIFS(T_TTAFStock_Log[Part Name],$A15,T_TTAFStock_Log[WeekIndex],62)=0,"",SUMIFS(T_TTAFStock_Log[TTAF_Qty],T_TTAFStock_Log[Part Name],$A15,T_TTAFStock_Log[WeekIndex],62))</f>
        <v/>
      </c>
      <c r="BL15" s="19">
        <f>IF(COUNTIFS(T_TTAFStock_Log[Part Name],$A15,T_TTAFStock_Log[WeekIndex],63)=0,"",SUMIFS(T_TTAFStock_Log[TTAF_Qty],T_TTAFStock_Log[Part Name],$A15,T_TTAFStock_Log[WeekIndex],63))</f>
        <v/>
      </c>
      <c r="BM15" s="19">
        <f>IF(COUNTIFS(T_TTAFStock_Log[Part Name],$A15,T_TTAFStock_Log[WeekIndex],64)=0,"",SUMIFS(T_TTAFStock_Log[TTAF_Qty],T_TTAFStock_Log[Part Name],$A15,T_TTAFStock_Log[WeekIndex],64))</f>
        <v/>
      </c>
      <c r="BN15" s="19">
        <f>IF(COUNTIFS(T_TTAFStock_Log[Part Name],$A15,T_TTAFStock_Log[WeekIndex],65)=0,"",SUMIFS(T_TTAFStock_Log[TTAF_Qty],T_TTAFStock_Log[Part Name],$A15,T_TTAFStock_Log[WeekIndex],65))</f>
        <v/>
      </c>
      <c r="BO15" s="19">
        <f>IF(COUNTIFS(T_TTAFStock_Log[Part Name],$A15,T_TTAFStock_Log[WeekIndex],66)=0,"",SUMIFS(T_TTAFStock_Log[TTAF_Qty],T_TTAFStock_Log[Part Name],$A15,T_TTAFStock_Log[WeekIndex],66))</f>
        <v/>
      </c>
      <c r="BP15" s="19">
        <f>IF(COUNTIFS(T_TTAFStock_Log[Part Name],$A15,T_TTAFStock_Log[WeekIndex],67)=0,"",SUMIFS(T_TTAFStock_Log[TTAF_Qty],T_TTAFStock_Log[Part Name],$A15,T_TTAFStock_Log[WeekIndex],67))</f>
        <v/>
      </c>
      <c r="BQ15" s="19">
        <f>IF(COUNTIFS(T_TTAFStock_Log[Part Name],$A15,T_TTAFStock_Log[WeekIndex],68)=0,"",SUMIFS(T_TTAFStock_Log[TTAF_Qty],T_TTAFStock_Log[Part Name],$A15,T_TTAFStock_Log[WeekIndex],68))</f>
        <v/>
      </c>
      <c r="BR15" s="19">
        <f>IF(COUNTIFS(T_TTAFStock_Log[Part Name],$A15,T_TTAFStock_Log[WeekIndex],69)=0,"",SUMIFS(T_TTAFStock_Log[TTAF_Qty],T_TTAFStock_Log[Part Name],$A15,T_TTAFStock_Log[WeekIndex],69))</f>
        <v/>
      </c>
      <c r="BS15" s="19">
        <f>IF(COUNTIFS(T_TTAFStock_Log[Part Name],$A15,T_TTAFStock_Log[WeekIndex],70)=0,"",SUMIFS(T_TTAFStock_Log[TTAF_Qty],T_TTAFStock_Log[Part Name],$A15,T_TTAFStock_Log[WeekIndex],70))</f>
        <v/>
      </c>
      <c r="BT15" s="19">
        <f>IF(COUNTIFS(T_TTAFStock_Log[Part Name],$A15,T_TTAFStock_Log[WeekIndex],71)=0,"",SUMIFS(T_TTAFStock_Log[TTAF_Qty],T_TTAFStock_Log[Part Name],$A15,T_TTAFStock_Log[WeekIndex],71))</f>
        <v/>
      </c>
      <c r="BU15" s="19">
        <f>IF(COUNTIFS(T_TTAFStock_Log[Part Name],$A15,T_TTAFStock_Log[WeekIndex],72)=0,"",SUMIFS(T_TTAFStock_Log[TTAF_Qty],T_TTAFStock_Log[Part Name],$A15,T_TTAFStock_Log[WeekIndex],72))</f>
        <v/>
      </c>
      <c r="BV15" s="19">
        <f>IF(COUNTIFS(T_TTAFStock_Log[Part Name],$A15,T_TTAFStock_Log[WeekIndex],73)=0,"",SUMIFS(T_TTAFStock_Log[TTAF_Qty],T_TTAFStock_Log[Part Name],$A15,T_TTAFStock_Log[WeekIndex],73))</f>
        <v/>
      </c>
      <c r="BW15" s="19">
        <f>IF(COUNTIFS(T_TTAFStock_Log[Part Name],$A15,T_TTAFStock_Log[WeekIndex],74)=0,"",SUMIFS(T_TTAFStock_Log[TTAF_Qty],T_TTAFStock_Log[Part Name],$A15,T_TTAFStock_Log[WeekIndex],74))</f>
        <v/>
      </c>
      <c r="BX15" s="19">
        <f>IF(COUNTIFS(T_TTAFStock_Log[Part Name],$A15,T_TTAFStock_Log[WeekIndex],75)=0,"",SUMIFS(T_TTAFStock_Log[TTAF_Qty],T_TTAFStock_Log[Part Name],$A15,T_TTAFStock_Log[WeekIndex],75))</f>
        <v/>
      </c>
      <c r="BY15" s="19">
        <f>IF(COUNTIFS(T_TTAFStock_Log[Part Name],$A15,T_TTAFStock_Log[WeekIndex],76)=0,"",SUMIFS(T_TTAFStock_Log[TTAF_Qty],T_TTAFStock_Log[Part Name],$A15,T_TTAFStock_Log[WeekIndex],76))</f>
        <v/>
      </c>
      <c r="BZ15" s="19">
        <f>IF(COUNTIFS(T_TTAFStock_Log[Part Name],$A15,T_TTAFStock_Log[WeekIndex],77)=0,"",SUMIFS(T_TTAFStock_Log[TTAF_Qty],T_TTAFStock_Log[Part Name],$A15,T_TTAFStock_Log[WeekIndex],77))</f>
        <v/>
      </c>
      <c r="CA15" s="19">
        <f>IF(COUNTIFS(T_TTAFStock_Log[Part Name],$A15,T_TTAFStock_Log[WeekIndex],78)=0,"",SUMIFS(T_TTAFStock_Log[TTAF_Qty],T_TTAFStock_Log[Part Name],$A15,T_TTAFStock_Log[WeekIndex],78))</f>
        <v/>
      </c>
      <c r="CB15" s="19">
        <f>IF(COUNTIFS(T_TTAFStock_Log[Part Name],$A15,T_TTAFStock_Log[WeekIndex],79)=0,"",SUMIFS(T_TTAFStock_Log[TTAF_Qty],T_TTAFStock_Log[Part Name],$A15,T_TTAFStock_Log[WeekIndex],79))</f>
        <v/>
      </c>
      <c r="CC15" s="19">
        <f>IF(COUNTIFS(T_TTAFStock_Log[Part Name],$A15,T_TTAFStock_Log[WeekIndex],80)=0,"",SUMIFS(T_TTAFStock_Log[TTAF_Qty],T_TTAFStock_Log[Part Name],$A15,T_TTAFStock_Log[WeekIndex],80))</f>
        <v/>
      </c>
      <c r="CD15" s="19">
        <f>IF(COUNTIFS(T_TTAFStock_Log[Part Name],$A15,T_TTAFStock_Log[WeekIndex],81)=0,"",SUMIFS(T_TTAFStock_Log[TTAF_Qty],T_TTAFStock_Log[Part Name],$A15,T_TTAFStock_Log[WeekIndex],81))</f>
        <v/>
      </c>
      <c r="CE15" s="19">
        <f>IF(COUNTIFS(T_TTAFStock_Log[Part Name],$A15,T_TTAFStock_Log[WeekIndex],82)=0,"",SUMIFS(T_TTAFStock_Log[TTAF_Qty],T_TTAFStock_Log[Part Name],$A15,T_TTAFStock_Log[WeekIndex],82))</f>
        <v/>
      </c>
      <c r="CF15" s="19">
        <f>IF(COUNTIFS(T_TTAFStock_Log[Part Name],$A15,T_TTAFStock_Log[WeekIndex],83)=0,"",SUMIFS(T_TTAFStock_Log[TTAF_Qty],T_TTAFStock_Log[Part Name],$A15,T_TTAFStock_Log[WeekIndex],83))</f>
        <v/>
      </c>
      <c r="CG15" s="19">
        <f>IF(COUNTIFS(T_TTAFStock_Log[Part Name],$A15,T_TTAFStock_Log[WeekIndex],84)=0,"",SUMIFS(T_TTAFStock_Log[TTAF_Qty],T_TTAFStock_Log[Part Name],$A15,T_TTAFStock_Log[WeekIndex],84))</f>
        <v/>
      </c>
      <c r="CH15" s="19">
        <f>IF(COUNTIFS(T_TTAFStock_Log[Part Name],$A15,T_TTAFStock_Log[WeekIndex],85)=0,"",SUMIFS(T_TTAFStock_Log[TTAF_Qty],T_TTAFStock_Log[Part Name],$A15,T_TTAFStock_Log[WeekIndex],85))</f>
        <v/>
      </c>
      <c r="CI15" s="19">
        <f>IF(COUNTIFS(T_TTAFStock_Log[Part Name],$A15,T_TTAFStock_Log[WeekIndex],86)=0,"",SUMIFS(T_TTAFStock_Log[TTAF_Qty],T_TTAFStock_Log[Part Name],$A15,T_TTAFStock_Log[WeekIndex],86))</f>
        <v/>
      </c>
      <c r="CJ15" s="19">
        <f>IF(COUNTIFS(T_TTAFStock_Log[Part Name],$A15,T_TTAFStock_Log[WeekIndex],87)=0,"",SUMIFS(T_TTAFStock_Log[TTAF_Qty],T_TTAFStock_Log[Part Name],$A15,T_TTAFStock_Log[WeekIndex],87))</f>
        <v/>
      </c>
      <c r="CK15" s="19">
        <f>IF(COUNTIFS(T_TTAFStock_Log[Part Name],$A15,T_TTAFStock_Log[WeekIndex],88)=0,"",SUMIFS(T_TTAFStock_Log[TTAF_Qty],T_TTAFStock_Log[Part Name],$A15,T_TTAFStock_Log[WeekIndex],88))</f>
        <v/>
      </c>
      <c r="CL15" s="19">
        <f>IF(COUNTIFS(T_TTAFStock_Log[Part Name],$A15,T_TTAFStock_Log[WeekIndex],89)=0,"",SUMIFS(T_TTAFStock_Log[TTAF_Qty],T_TTAFStock_Log[Part Name],$A15,T_TTAFStock_Log[WeekIndex],89))</f>
        <v/>
      </c>
      <c r="CM15" s="19">
        <f>IF(COUNTIFS(T_TTAFStock_Log[Part Name],$A15,T_TTAFStock_Log[WeekIndex],90)=0,"",SUMIFS(T_TTAFStock_Log[TTAF_Qty],T_TTAFStock_Log[Part Name],$A15,T_TTAFStock_Log[WeekIndex],90))</f>
        <v/>
      </c>
      <c r="CN15" s="19">
        <f>IF(COUNTIFS(T_TTAFStock_Log[Part Name],$A15,T_TTAFStock_Log[WeekIndex],91)=0,"",SUMIFS(T_TTAFStock_Log[TTAF_Qty],T_TTAFStock_Log[Part Name],$A15,T_TTAFStock_Log[WeekIndex],91))</f>
        <v/>
      </c>
      <c r="CO15" s="19">
        <f>IF(COUNTIFS(T_TTAFStock_Log[Part Name],$A15,T_TTAFStock_Log[WeekIndex],92)=0,"",SUMIFS(T_TTAFStock_Log[TTAF_Qty],T_TTAFStock_Log[Part Name],$A15,T_TTAFStock_Log[WeekIndex],92))</f>
        <v/>
      </c>
      <c r="CP15" s="19">
        <f>IF(COUNTIFS(T_TTAFStock_Log[Part Name],$A15,T_TTAFStock_Log[WeekIndex],93)=0,"",SUMIFS(T_TTAFStock_Log[TTAF_Qty],T_TTAFStock_Log[Part Name],$A15,T_TTAFStock_Log[WeekIndex],93))</f>
        <v/>
      </c>
      <c r="CQ15" s="19">
        <f>IF(COUNTIFS(T_TTAFStock_Log[Part Name],$A15,T_TTAFStock_Log[WeekIndex],94)=0,"",SUMIFS(T_TTAFStock_Log[TTAF_Qty],T_TTAFStock_Log[Part Name],$A15,T_TTAFStock_Log[WeekIndex],94))</f>
        <v/>
      </c>
      <c r="CR15" s="19">
        <f>IF(COUNTIFS(T_TTAFStock_Log[Part Name],$A15,T_TTAFStock_Log[WeekIndex],95)=0,"",SUMIFS(T_TTAFStock_Log[TTAF_Qty],T_TTAFStock_Log[Part Name],$A15,T_TTAFStock_Log[WeekIndex],95))</f>
        <v/>
      </c>
      <c r="CS15" s="19">
        <f>IF(COUNTIFS(T_TTAFStock_Log[Part Name],$A15,T_TTAFStock_Log[WeekIndex],96)=0,"",SUMIFS(T_TTAFStock_Log[TTAF_Qty],T_TTAFStock_Log[Part Name],$A15,T_TTAFStock_Log[WeekIndex],96))</f>
        <v/>
      </c>
      <c r="CT15" s="19">
        <f>IF(COUNTIFS(T_TTAFStock_Log[Part Name],$A15,T_TTAFStock_Log[WeekIndex],97)=0,"",SUMIFS(T_TTAFStock_Log[TTAF_Qty],T_TTAFStock_Log[Part Name],$A15,T_TTAFStock_Log[WeekIndex],97))</f>
        <v/>
      </c>
      <c r="CU15" s="19">
        <f>IF(COUNTIFS(T_TTAFStock_Log[Part Name],$A15,T_TTAFStock_Log[WeekIndex],98)=0,"",SUMIFS(T_TTAFStock_Log[TTAF_Qty],T_TTAFStock_Log[Part Name],$A15,T_TTAFStock_Log[WeekIndex],98))</f>
        <v/>
      </c>
      <c r="CV15" s="19">
        <f>IF(COUNTIFS(T_TTAFStock_Log[Part Name],$A15,T_TTAFStock_Log[WeekIndex],99)=0,"",SUMIFS(T_TTAFStock_Log[TTAF_Qty],T_TTAFStock_Log[Part Name],$A15,T_TTAFStock_Log[WeekIndex],99))</f>
        <v/>
      </c>
      <c r="CW15" s="19">
        <f>IF(COUNTIFS(T_TTAFStock_Log[Part Name],$A15,T_TTAFStock_Log[WeekIndex],100)=0,"",SUMIFS(T_TTAFStock_Log[TTAF_Qty],T_TTAFStock_Log[Part Name],$A15,T_TTAFStock_Log[WeekIndex],100))</f>
        <v/>
      </c>
      <c r="CX15" s="19">
        <f>IF(COUNTIFS(T_TTAFStock_Log[Part Name],$A15,T_TTAFStock_Log[WeekIndex],101)=0,"",SUMIFS(T_TTAFStock_Log[TTAF_Qty],T_TTAFStock_Log[Part Name],$A15,T_TTAFStock_Log[WeekIndex],101))</f>
        <v/>
      </c>
      <c r="CY15" s="19">
        <f>IF(COUNTIFS(T_TTAFStock_Log[Part Name],$A15,T_TTAFStock_Log[WeekIndex],102)=0,"",SUMIFS(T_TTAFStock_Log[TTAF_Qty],T_TTAFStock_Log[Part Name],$A15,T_TTAFStock_Log[WeekIndex],102))</f>
        <v/>
      </c>
      <c r="CZ15" s="19">
        <f>IF(COUNTIFS(T_TTAFStock_Log[Part Name],$A15,T_TTAFStock_Log[WeekIndex],103)=0,"",SUMIFS(T_TTAFStock_Log[TTAF_Qty],T_TTAFStock_Log[Part Name],$A15,T_TTAFStock_Log[WeekIndex],103))</f>
        <v/>
      </c>
      <c r="DA15" s="19">
        <f>IF(COUNTIFS(T_TTAFStock_Log[Part Name],$A15,T_TTAFStock_Log[WeekIndex],104)=0,"",SUMIFS(T_TTAFStock_Log[TTAF_Qty],T_TTAFStock_Log[Part Name],$A15,T_TTAFStock_Log[WeekIndex],104))</f>
        <v/>
      </c>
    </row>
    <row r="16">
      <c r="A16" s="17" t="inlineStr">
        <is>
          <t>YAN</t>
        </is>
      </c>
      <c r="B16" s="17">
        <f>IF(COUNTIFS(T_TTAFStock_Log[Part Name],$A16,T_TTAFStock_Log[WeekIndex],1)=0,"",SUMIFS(T_TTAFStock_Log[TTAF_Qty],T_TTAFStock_Log[Part Name],$A16,T_TTAFStock_Log[WeekIndex],1))</f>
        <v/>
      </c>
      <c r="C16" s="17">
        <f>IF(COUNTIFS(T_TTAFStock_Log[Part Name],$A16,T_TTAFStock_Log[WeekIndex],2)=0,"",SUMIFS(T_TTAFStock_Log[TTAF_Qty],T_TTAFStock_Log[Part Name],$A16,T_TTAFStock_Log[WeekIndex],2))</f>
        <v/>
      </c>
      <c r="D16" s="17">
        <f>IF(COUNTIFS(T_TTAFStock_Log[Part Name],$A16,T_TTAFStock_Log[WeekIndex],3)=0,"",SUMIFS(T_TTAFStock_Log[TTAF_Qty],T_TTAFStock_Log[Part Name],$A16,T_TTAFStock_Log[WeekIndex],3))</f>
        <v/>
      </c>
      <c r="E16" s="17">
        <f>IF(COUNTIFS(T_TTAFStock_Log[Part Name],$A16,T_TTAFStock_Log[WeekIndex],4)=0,"",SUMIFS(T_TTAFStock_Log[TTAF_Qty],T_TTAFStock_Log[Part Name],$A16,T_TTAFStock_Log[WeekIndex],4))</f>
        <v/>
      </c>
      <c r="F16" s="17">
        <f>IF(COUNTIFS(T_TTAFStock_Log[Part Name],$A16,T_TTAFStock_Log[WeekIndex],5)=0,"",SUMIFS(T_TTAFStock_Log[TTAF_Qty],T_TTAFStock_Log[Part Name],$A16,T_TTAFStock_Log[WeekIndex],5))</f>
        <v/>
      </c>
      <c r="G16" s="17">
        <f>IF(COUNTIFS(T_TTAFStock_Log[Part Name],$A16,T_TTAFStock_Log[WeekIndex],6)=0,"",SUMIFS(T_TTAFStock_Log[TTAF_Qty],T_TTAFStock_Log[Part Name],$A16,T_TTAFStock_Log[WeekIndex],6))</f>
        <v/>
      </c>
      <c r="H16" s="17">
        <f>IF(COUNTIFS(T_TTAFStock_Log[Part Name],$A16,T_TTAFStock_Log[WeekIndex],7)=0,"",SUMIFS(T_TTAFStock_Log[TTAF_Qty],T_TTAFStock_Log[Part Name],$A16,T_TTAFStock_Log[WeekIndex],7))</f>
        <v/>
      </c>
      <c r="I16" s="17">
        <f>IF(COUNTIFS(T_TTAFStock_Log[Part Name],$A16,T_TTAFStock_Log[WeekIndex],8)=0,"",SUMIFS(T_TTAFStock_Log[TTAF_Qty],T_TTAFStock_Log[Part Name],$A16,T_TTAFStock_Log[WeekIndex],8))</f>
        <v/>
      </c>
      <c r="J16" s="17">
        <f>IF(COUNTIFS(T_TTAFStock_Log[Part Name],$A16,T_TTAFStock_Log[WeekIndex],9)=0,"",SUMIFS(T_TTAFStock_Log[TTAF_Qty],T_TTAFStock_Log[Part Name],$A16,T_TTAFStock_Log[WeekIndex],9))</f>
        <v/>
      </c>
      <c r="K16" s="17">
        <f>IF(COUNTIFS(T_TTAFStock_Log[Part Name],$A16,T_TTAFStock_Log[WeekIndex],10)=0,"",SUMIFS(T_TTAFStock_Log[TTAF_Qty],T_TTAFStock_Log[Part Name],$A16,T_TTAFStock_Log[WeekIndex],10))</f>
        <v/>
      </c>
      <c r="L16" s="17">
        <f>IF(COUNTIFS(T_TTAFStock_Log[Part Name],$A16,T_TTAFStock_Log[WeekIndex],11)=0,"",SUMIFS(T_TTAFStock_Log[TTAF_Qty],T_TTAFStock_Log[Part Name],$A16,T_TTAFStock_Log[WeekIndex],11))</f>
        <v/>
      </c>
      <c r="M16" s="17">
        <f>IF(COUNTIFS(T_TTAFStock_Log[Part Name],$A16,T_TTAFStock_Log[WeekIndex],12)=0,"",SUMIFS(T_TTAFStock_Log[TTAF_Qty],T_TTAFStock_Log[Part Name],$A16,T_TTAFStock_Log[WeekIndex],12))</f>
        <v/>
      </c>
      <c r="N16" s="17">
        <f>IF(COUNTIFS(T_TTAFStock_Log[Part Name],$A16,T_TTAFStock_Log[WeekIndex],13)=0,"",SUMIFS(T_TTAFStock_Log[TTAF_Qty],T_TTAFStock_Log[Part Name],$A16,T_TTAFStock_Log[WeekIndex],13))</f>
        <v/>
      </c>
      <c r="O16" s="17">
        <f>IF(COUNTIFS(T_TTAFStock_Log[Part Name],$A16,T_TTAFStock_Log[WeekIndex],14)=0,"",SUMIFS(T_TTAFStock_Log[TTAF_Qty],T_TTAFStock_Log[Part Name],$A16,T_TTAFStock_Log[WeekIndex],14))</f>
        <v/>
      </c>
      <c r="P16" s="17">
        <f>IF(COUNTIFS(T_TTAFStock_Log[Part Name],$A16,T_TTAFStock_Log[WeekIndex],15)=0,"",SUMIFS(T_TTAFStock_Log[TTAF_Qty],T_TTAFStock_Log[Part Name],$A16,T_TTAFStock_Log[WeekIndex],15))</f>
        <v/>
      </c>
      <c r="Q16" s="17">
        <f>IF(COUNTIFS(T_TTAFStock_Log[Part Name],$A16,T_TTAFStock_Log[WeekIndex],16)=0,"",SUMIFS(T_TTAFStock_Log[TTAF_Qty],T_TTAFStock_Log[Part Name],$A16,T_TTAFStock_Log[WeekIndex],16))</f>
        <v/>
      </c>
      <c r="R16" s="17">
        <f>IF(COUNTIFS(T_TTAFStock_Log[Part Name],$A16,T_TTAFStock_Log[WeekIndex],17)=0,"",SUMIFS(T_TTAFStock_Log[TTAF_Qty],T_TTAFStock_Log[Part Name],$A16,T_TTAFStock_Log[WeekIndex],17))</f>
        <v/>
      </c>
      <c r="S16" s="17">
        <f>IF(COUNTIFS(T_TTAFStock_Log[Part Name],$A16,T_TTAFStock_Log[WeekIndex],18)=0,"",SUMIFS(T_TTAFStock_Log[TTAF_Qty],T_TTAFStock_Log[Part Name],$A16,T_TTAFStock_Log[WeekIndex],18))</f>
        <v/>
      </c>
      <c r="T16" s="17">
        <f>IF(COUNTIFS(T_TTAFStock_Log[Part Name],$A16,T_TTAFStock_Log[WeekIndex],19)=0,"",SUMIFS(T_TTAFStock_Log[TTAF_Qty],T_TTAFStock_Log[Part Name],$A16,T_TTAFStock_Log[WeekIndex],19))</f>
        <v/>
      </c>
      <c r="U16" s="17">
        <f>IF(COUNTIFS(T_TTAFStock_Log[Part Name],$A16,T_TTAFStock_Log[WeekIndex],20)=0,"",SUMIFS(T_TTAFStock_Log[TTAF_Qty],T_TTAFStock_Log[Part Name],$A16,T_TTAFStock_Log[WeekIndex],20))</f>
        <v/>
      </c>
      <c r="V16" s="17">
        <f>IF(COUNTIFS(T_TTAFStock_Log[Part Name],$A16,T_TTAFStock_Log[WeekIndex],21)=0,"",SUMIFS(T_TTAFStock_Log[TTAF_Qty],T_TTAFStock_Log[Part Name],$A16,T_TTAFStock_Log[WeekIndex],21))</f>
        <v/>
      </c>
      <c r="W16" s="17">
        <f>IF(COUNTIFS(T_TTAFStock_Log[Part Name],$A16,T_TTAFStock_Log[WeekIndex],22)=0,"",SUMIFS(T_TTAFStock_Log[TTAF_Qty],T_TTAFStock_Log[Part Name],$A16,T_TTAFStock_Log[WeekIndex],22))</f>
        <v/>
      </c>
      <c r="X16" s="17">
        <f>IF(COUNTIFS(T_TTAFStock_Log[Part Name],$A16,T_TTAFStock_Log[WeekIndex],23)=0,"",SUMIFS(T_TTAFStock_Log[TTAF_Qty],T_TTAFStock_Log[Part Name],$A16,T_TTAFStock_Log[WeekIndex],23))</f>
        <v/>
      </c>
      <c r="Y16" s="17">
        <f>IF(COUNTIFS(T_TTAFStock_Log[Part Name],$A16,T_TTAFStock_Log[WeekIndex],24)=0,"",SUMIFS(T_TTAFStock_Log[TTAF_Qty],T_TTAFStock_Log[Part Name],$A16,T_TTAFStock_Log[WeekIndex],24))</f>
        <v/>
      </c>
      <c r="Z16" s="17">
        <f>IF(COUNTIFS(T_TTAFStock_Log[Part Name],$A16,T_TTAFStock_Log[WeekIndex],25)=0,"",SUMIFS(T_TTAFStock_Log[TTAF_Qty],T_TTAFStock_Log[Part Name],$A16,T_TTAFStock_Log[WeekIndex],25))</f>
        <v/>
      </c>
      <c r="AA16" s="17">
        <f>IF(COUNTIFS(T_TTAFStock_Log[Part Name],$A16,T_TTAFStock_Log[WeekIndex],26)=0,"",SUMIFS(T_TTAFStock_Log[TTAF_Qty],T_TTAFStock_Log[Part Name],$A16,T_TTAFStock_Log[WeekIndex],26))</f>
        <v/>
      </c>
      <c r="AB16" s="17">
        <f>IF(COUNTIFS(T_TTAFStock_Log[Part Name],$A16,T_TTAFStock_Log[WeekIndex],27)=0,"",SUMIFS(T_TTAFStock_Log[TTAF_Qty],T_TTAFStock_Log[Part Name],$A16,T_TTAFStock_Log[WeekIndex],27))</f>
        <v/>
      </c>
      <c r="AC16" s="17">
        <f>IF(COUNTIFS(T_TTAFStock_Log[Part Name],$A16,T_TTAFStock_Log[WeekIndex],28)=0,"",SUMIFS(T_TTAFStock_Log[TTAF_Qty],T_TTAFStock_Log[Part Name],$A16,T_TTAFStock_Log[WeekIndex],28))</f>
        <v/>
      </c>
      <c r="AD16" s="17">
        <f>IF(COUNTIFS(T_TTAFStock_Log[Part Name],$A16,T_TTAFStock_Log[WeekIndex],29)=0,"",SUMIFS(T_TTAFStock_Log[TTAF_Qty],T_TTAFStock_Log[Part Name],$A16,T_TTAFStock_Log[WeekIndex],29))</f>
        <v/>
      </c>
      <c r="AE16" s="17">
        <f>IF(COUNTIFS(T_TTAFStock_Log[Part Name],$A16,T_TTAFStock_Log[WeekIndex],30)=0,"",SUMIFS(T_TTAFStock_Log[TTAF_Qty],T_TTAFStock_Log[Part Name],$A16,T_TTAFStock_Log[WeekIndex],30))</f>
        <v/>
      </c>
      <c r="AF16" s="17">
        <f>IF(COUNTIFS(T_TTAFStock_Log[Part Name],$A16,T_TTAFStock_Log[WeekIndex],31)=0,"",SUMIFS(T_TTAFStock_Log[TTAF_Qty],T_TTAFStock_Log[Part Name],$A16,T_TTAFStock_Log[WeekIndex],31))</f>
        <v/>
      </c>
      <c r="AG16" s="17">
        <f>IF(COUNTIFS(T_TTAFStock_Log[Part Name],$A16,T_TTAFStock_Log[WeekIndex],32)=0,"",SUMIFS(T_TTAFStock_Log[TTAF_Qty],T_TTAFStock_Log[Part Name],$A16,T_TTAFStock_Log[WeekIndex],32))</f>
        <v/>
      </c>
      <c r="AH16" s="17">
        <f>IF(COUNTIFS(T_TTAFStock_Log[Part Name],$A16,T_TTAFStock_Log[WeekIndex],33)=0,"",SUMIFS(T_TTAFStock_Log[TTAF_Qty],T_TTAFStock_Log[Part Name],$A16,T_TTAFStock_Log[WeekIndex],33))</f>
        <v/>
      </c>
      <c r="AI16" s="17">
        <f>IF(COUNTIFS(T_TTAFStock_Log[Part Name],$A16,T_TTAFStock_Log[WeekIndex],34)=0,"",SUMIFS(T_TTAFStock_Log[TTAF_Qty],T_TTAFStock_Log[Part Name],$A16,T_TTAFStock_Log[WeekIndex],34))</f>
        <v/>
      </c>
      <c r="AJ16" s="17">
        <f>IF(COUNTIFS(T_TTAFStock_Log[Part Name],$A16,T_TTAFStock_Log[WeekIndex],35)=0,"",SUMIFS(T_TTAFStock_Log[TTAF_Qty],T_TTAFStock_Log[Part Name],$A16,T_TTAFStock_Log[WeekIndex],35))</f>
        <v/>
      </c>
      <c r="AK16" s="17">
        <f>IF(COUNTIFS(T_TTAFStock_Log[Part Name],$A16,T_TTAFStock_Log[WeekIndex],36)=0,"",SUMIFS(T_TTAFStock_Log[TTAF_Qty],T_TTAFStock_Log[Part Name],$A16,T_TTAFStock_Log[WeekIndex],36))</f>
        <v/>
      </c>
      <c r="AL16" s="17">
        <f>IF(COUNTIFS(T_TTAFStock_Log[Part Name],$A16,T_TTAFStock_Log[WeekIndex],37)=0,"",SUMIFS(T_TTAFStock_Log[TTAF_Qty],T_TTAFStock_Log[Part Name],$A16,T_TTAFStock_Log[WeekIndex],37))</f>
        <v/>
      </c>
      <c r="AM16" s="17">
        <f>IF(COUNTIFS(T_TTAFStock_Log[Part Name],$A16,T_TTAFStock_Log[WeekIndex],38)=0,"",SUMIFS(T_TTAFStock_Log[TTAF_Qty],T_TTAFStock_Log[Part Name],$A16,T_TTAFStock_Log[WeekIndex],38))</f>
        <v/>
      </c>
      <c r="AN16" s="17">
        <f>IF(COUNTIFS(T_TTAFStock_Log[Part Name],$A16,T_TTAFStock_Log[WeekIndex],39)=0,"",SUMIFS(T_TTAFStock_Log[TTAF_Qty],T_TTAFStock_Log[Part Name],$A16,T_TTAFStock_Log[WeekIndex],39))</f>
        <v/>
      </c>
      <c r="AO16" s="17">
        <f>IF(COUNTIFS(T_TTAFStock_Log[Part Name],$A16,T_TTAFStock_Log[WeekIndex],40)=0,"",SUMIFS(T_TTAFStock_Log[TTAF_Qty],T_TTAFStock_Log[Part Name],$A16,T_TTAFStock_Log[WeekIndex],40))</f>
        <v/>
      </c>
      <c r="AP16" s="17">
        <f>IF(COUNTIFS(T_TTAFStock_Log[Part Name],$A16,T_TTAFStock_Log[WeekIndex],41)=0,"",SUMIFS(T_TTAFStock_Log[TTAF_Qty],T_TTAFStock_Log[Part Name],$A16,T_TTAFStock_Log[WeekIndex],41))</f>
        <v/>
      </c>
      <c r="AQ16" s="17">
        <f>IF(COUNTIFS(T_TTAFStock_Log[Part Name],$A16,T_TTAFStock_Log[WeekIndex],42)=0,"",SUMIFS(T_TTAFStock_Log[TTAF_Qty],T_TTAFStock_Log[Part Name],$A16,T_TTAFStock_Log[WeekIndex],42))</f>
        <v/>
      </c>
      <c r="AR16" s="17">
        <f>IF(COUNTIFS(T_TTAFStock_Log[Part Name],$A16,T_TTAFStock_Log[WeekIndex],43)=0,"",SUMIFS(T_TTAFStock_Log[TTAF_Qty],T_TTAFStock_Log[Part Name],$A16,T_TTAFStock_Log[WeekIndex],43))</f>
        <v/>
      </c>
      <c r="AS16" s="17">
        <f>IF(COUNTIFS(T_TTAFStock_Log[Part Name],$A16,T_TTAFStock_Log[WeekIndex],44)=0,"",SUMIFS(T_TTAFStock_Log[TTAF_Qty],T_TTAFStock_Log[Part Name],$A16,T_TTAFStock_Log[WeekIndex],44))</f>
        <v/>
      </c>
      <c r="AT16" s="17">
        <f>IF(COUNTIFS(T_TTAFStock_Log[Part Name],$A16,T_TTAFStock_Log[WeekIndex],45)=0,"",SUMIFS(T_TTAFStock_Log[TTAF_Qty],T_TTAFStock_Log[Part Name],$A16,T_TTAFStock_Log[WeekIndex],45))</f>
        <v/>
      </c>
      <c r="AU16" s="17">
        <f>IF(COUNTIFS(T_TTAFStock_Log[Part Name],$A16,T_TTAFStock_Log[WeekIndex],46)=0,"",SUMIFS(T_TTAFStock_Log[TTAF_Qty],T_TTAFStock_Log[Part Name],$A16,T_TTAFStock_Log[WeekIndex],46))</f>
        <v/>
      </c>
      <c r="AV16" s="17">
        <f>IF(COUNTIFS(T_TTAFStock_Log[Part Name],$A16,T_TTAFStock_Log[WeekIndex],47)=0,"",SUMIFS(T_TTAFStock_Log[TTAF_Qty],T_TTAFStock_Log[Part Name],$A16,T_TTAFStock_Log[WeekIndex],47))</f>
        <v/>
      </c>
      <c r="AW16" s="17">
        <f>IF(COUNTIFS(T_TTAFStock_Log[Part Name],$A16,T_TTAFStock_Log[WeekIndex],48)=0,"",SUMIFS(T_TTAFStock_Log[TTAF_Qty],T_TTAFStock_Log[Part Name],$A16,T_TTAFStock_Log[WeekIndex],48))</f>
        <v/>
      </c>
      <c r="AX16" s="17">
        <f>IF(COUNTIFS(T_TTAFStock_Log[Part Name],$A16,T_TTAFStock_Log[WeekIndex],49)=0,"",SUMIFS(T_TTAFStock_Log[TTAF_Qty],T_TTAFStock_Log[Part Name],$A16,T_TTAFStock_Log[WeekIndex],49))</f>
        <v/>
      </c>
      <c r="AY16" s="17">
        <f>IF(COUNTIFS(T_TTAFStock_Log[Part Name],$A16,T_TTAFStock_Log[WeekIndex],50)=0,"",SUMIFS(T_TTAFStock_Log[TTAF_Qty],T_TTAFStock_Log[Part Name],$A16,T_TTAFStock_Log[WeekIndex],50))</f>
        <v/>
      </c>
      <c r="AZ16" s="17">
        <f>IF(COUNTIFS(T_TTAFStock_Log[Part Name],$A16,T_TTAFStock_Log[WeekIndex],51)=0,"",SUMIFS(T_TTAFStock_Log[TTAF_Qty],T_TTAFStock_Log[Part Name],$A16,T_TTAFStock_Log[WeekIndex],51))</f>
        <v/>
      </c>
      <c r="BA16" s="17">
        <f>IF(COUNTIFS(T_TTAFStock_Log[Part Name],$A16,T_TTAFStock_Log[WeekIndex],52)=0,"",SUMIFS(T_TTAFStock_Log[TTAF_Qty],T_TTAFStock_Log[Part Name],$A16,T_TTAFStock_Log[WeekIndex],52))</f>
        <v/>
      </c>
      <c r="BB16" s="17">
        <f>IF(COUNTIFS(T_TTAFStock_Log[Part Name],$A16,T_TTAFStock_Log[WeekIndex],53)=0,"",SUMIFS(T_TTAFStock_Log[TTAF_Qty],T_TTAFStock_Log[Part Name],$A16,T_TTAFStock_Log[WeekIndex],53))</f>
        <v/>
      </c>
      <c r="BC16" s="17">
        <f>IF(COUNTIFS(T_TTAFStock_Log[Part Name],$A16,T_TTAFStock_Log[WeekIndex],54)=0,"",SUMIFS(T_TTAFStock_Log[TTAF_Qty],T_TTAFStock_Log[Part Name],$A16,T_TTAFStock_Log[WeekIndex],54))</f>
        <v/>
      </c>
      <c r="BD16" s="17">
        <f>IF(COUNTIFS(T_TTAFStock_Log[Part Name],$A16,T_TTAFStock_Log[WeekIndex],55)=0,"",SUMIFS(T_TTAFStock_Log[TTAF_Qty],T_TTAFStock_Log[Part Name],$A16,T_TTAFStock_Log[WeekIndex],55))</f>
        <v/>
      </c>
      <c r="BE16" s="17">
        <f>IF(COUNTIFS(T_TTAFStock_Log[Part Name],$A16,T_TTAFStock_Log[WeekIndex],56)=0,"",SUMIFS(T_TTAFStock_Log[TTAF_Qty],T_TTAFStock_Log[Part Name],$A16,T_TTAFStock_Log[WeekIndex],56))</f>
        <v/>
      </c>
      <c r="BF16" s="17">
        <f>IF(COUNTIFS(T_TTAFStock_Log[Part Name],$A16,T_TTAFStock_Log[WeekIndex],57)=0,"",SUMIFS(T_TTAFStock_Log[TTAF_Qty],T_TTAFStock_Log[Part Name],$A16,T_TTAFStock_Log[WeekIndex],57))</f>
        <v/>
      </c>
      <c r="BG16" s="17">
        <f>IF(COUNTIFS(T_TTAFStock_Log[Part Name],$A16,T_TTAFStock_Log[WeekIndex],58)=0,"",SUMIFS(T_TTAFStock_Log[TTAF_Qty],T_TTAFStock_Log[Part Name],$A16,T_TTAFStock_Log[WeekIndex],58))</f>
        <v/>
      </c>
      <c r="BH16" s="17">
        <f>IF(COUNTIFS(T_TTAFStock_Log[Part Name],$A16,T_TTAFStock_Log[WeekIndex],59)=0,"",SUMIFS(T_TTAFStock_Log[TTAF_Qty],T_TTAFStock_Log[Part Name],$A16,T_TTAFStock_Log[WeekIndex],59))</f>
        <v/>
      </c>
      <c r="BI16" s="17">
        <f>IF(COUNTIFS(T_TTAFStock_Log[Part Name],$A16,T_TTAFStock_Log[WeekIndex],60)=0,"",SUMIFS(T_TTAFStock_Log[TTAF_Qty],T_TTAFStock_Log[Part Name],$A16,T_TTAFStock_Log[WeekIndex],60))</f>
        <v/>
      </c>
      <c r="BJ16" s="17">
        <f>IF(COUNTIFS(T_TTAFStock_Log[Part Name],$A16,T_TTAFStock_Log[WeekIndex],61)=0,"",SUMIFS(T_TTAFStock_Log[TTAF_Qty],T_TTAFStock_Log[Part Name],$A16,T_TTAFStock_Log[WeekIndex],61))</f>
        <v/>
      </c>
      <c r="BK16" s="17">
        <f>IF(COUNTIFS(T_TTAFStock_Log[Part Name],$A16,T_TTAFStock_Log[WeekIndex],62)=0,"",SUMIFS(T_TTAFStock_Log[TTAF_Qty],T_TTAFStock_Log[Part Name],$A16,T_TTAFStock_Log[WeekIndex],62))</f>
        <v/>
      </c>
      <c r="BL16" s="17">
        <f>IF(COUNTIFS(T_TTAFStock_Log[Part Name],$A16,T_TTAFStock_Log[WeekIndex],63)=0,"",SUMIFS(T_TTAFStock_Log[TTAF_Qty],T_TTAFStock_Log[Part Name],$A16,T_TTAFStock_Log[WeekIndex],63))</f>
        <v/>
      </c>
      <c r="BM16" s="17">
        <f>IF(COUNTIFS(T_TTAFStock_Log[Part Name],$A16,T_TTAFStock_Log[WeekIndex],64)=0,"",SUMIFS(T_TTAFStock_Log[TTAF_Qty],T_TTAFStock_Log[Part Name],$A16,T_TTAFStock_Log[WeekIndex],64))</f>
        <v/>
      </c>
      <c r="BN16" s="17">
        <f>IF(COUNTIFS(T_TTAFStock_Log[Part Name],$A16,T_TTAFStock_Log[WeekIndex],65)=0,"",SUMIFS(T_TTAFStock_Log[TTAF_Qty],T_TTAFStock_Log[Part Name],$A16,T_TTAFStock_Log[WeekIndex],65))</f>
        <v/>
      </c>
      <c r="BO16" s="17">
        <f>IF(COUNTIFS(T_TTAFStock_Log[Part Name],$A16,T_TTAFStock_Log[WeekIndex],66)=0,"",SUMIFS(T_TTAFStock_Log[TTAF_Qty],T_TTAFStock_Log[Part Name],$A16,T_TTAFStock_Log[WeekIndex],66))</f>
        <v/>
      </c>
      <c r="BP16" s="17">
        <f>IF(COUNTIFS(T_TTAFStock_Log[Part Name],$A16,T_TTAFStock_Log[WeekIndex],67)=0,"",SUMIFS(T_TTAFStock_Log[TTAF_Qty],T_TTAFStock_Log[Part Name],$A16,T_TTAFStock_Log[WeekIndex],67))</f>
        <v/>
      </c>
      <c r="BQ16" s="17">
        <f>IF(COUNTIFS(T_TTAFStock_Log[Part Name],$A16,T_TTAFStock_Log[WeekIndex],68)=0,"",SUMIFS(T_TTAFStock_Log[TTAF_Qty],T_TTAFStock_Log[Part Name],$A16,T_TTAFStock_Log[WeekIndex],68))</f>
        <v/>
      </c>
      <c r="BR16" s="17">
        <f>IF(COUNTIFS(T_TTAFStock_Log[Part Name],$A16,T_TTAFStock_Log[WeekIndex],69)=0,"",SUMIFS(T_TTAFStock_Log[TTAF_Qty],T_TTAFStock_Log[Part Name],$A16,T_TTAFStock_Log[WeekIndex],69))</f>
        <v/>
      </c>
      <c r="BS16" s="17">
        <f>IF(COUNTIFS(T_TTAFStock_Log[Part Name],$A16,T_TTAFStock_Log[WeekIndex],70)=0,"",SUMIFS(T_TTAFStock_Log[TTAF_Qty],T_TTAFStock_Log[Part Name],$A16,T_TTAFStock_Log[WeekIndex],70))</f>
        <v/>
      </c>
      <c r="BT16" s="17">
        <f>IF(COUNTIFS(T_TTAFStock_Log[Part Name],$A16,T_TTAFStock_Log[WeekIndex],71)=0,"",SUMIFS(T_TTAFStock_Log[TTAF_Qty],T_TTAFStock_Log[Part Name],$A16,T_TTAFStock_Log[WeekIndex],71))</f>
        <v/>
      </c>
      <c r="BU16" s="17">
        <f>IF(COUNTIFS(T_TTAFStock_Log[Part Name],$A16,T_TTAFStock_Log[WeekIndex],72)=0,"",SUMIFS(T_TTAFStock_Log[TTAF_Qty],T_TTAFStock_Log[Part Name],$A16,T_TTAFStock_Log[WeekIndex],72))</f>
        <v/>
      </c>
      <c r="BV16" s="17">
        <f>IF(COUNTIFS(T_TTAFStock_Log[Part Name],$A16,T_TTAFStock_Log[WeekIndex],73)=0,"",SUMIFS(T_TTAFStock_Log[TTAF_Qty],T_TTAFStock_Log[Part Name],$A16,T_TTAFStock_Log[WeekIndex],73))</f>
        <v/>
      </c>
      <c r="BW16" s="17">
        <f>IF(COUNTIFS(T_TTAFStock_Log[Part Name],$A16,T_TTAFStock_Log[WeekIndex],74)=0,"",SUMIFS(T_TTAFStock_Log[TTAF_Qty],T_TTAFStock_Log[Part Name],$A16,T_TTAFStock_Log[WeekIndex],74))</f>
        <v/>
      </c>
      <c r="BX16" s="17">
        <f>IF(COUNTIFS(T_TTAFStock_Log[Part Name],$A16,T_TTAFStock_Log[WeekIndex],75)=0,"",SUMIFS(T_TTAFStock_Log[TTAF_Qty],T_TTAFStock_Log[Part Name],$A16,T_TTAFStock_Log[WeekIndex],75))</f>
        <v/>
      </c>
      <c r="BY16" s="17">
        <f>IF(COUNTIFS(T_TTAFStock_Log[Part Name],$A16,T_TTAFStock_Log[WeekIndex],76)=0,"",SUMIFS(T_TTAFStock_Log[TTAF_Qty],T_TTAFStock_Log[Part Name],$A16,T_TTAFStock_Log[WeekIndex],76))</f>
        <v/>
      </c>
      <c r="BZ16" s="17">
        <f>IF(COUNTIFS(T_TTAFStock_Log[Part Name],$A16,T_TTAFStock_Log[WeekIndex],77)=0,"",SUMIFS(T_TTAFStock_Log[TTAF_Qty],T_TTAFStock_Log[Part Name],$A16,T_TTAFStock_Log[WeekIndex],77))</f>
        <v/>
      </c>
      <c r="CA16" s="17">
        <f>IF(COUNTIFS(T_TTAFStock_Log[Part Name],$A16,T_TTAFStock_Log[WeekIndex],78)=0,"",SUMIFS(T_TTAFStock_Log[TTAF_Qty],T_TTAFStock_Log[Part Name],$A16,T_TTAFStock_Log[WeekIndex],78))</f>
        <v/>
      </c>
      <c r="CB16" s="17">
        <f>IF(COUNTIFS(T_TTAFStock_Log[Part Name],$A16,T_TTAFStock_Log[WeekIndex],79)=0,"",SUMIFS(T_TTAFStock_Log[TTAF_Qty],T_TTAFStock_Log[Part Name],$A16,T_TTAFStock_Log[WeekIndex],79))</f>
        <v/>
      </c>
      <c r="CC16" s="17">
        <f>IF(COUNTIFS(T_TTAFStock_Log[Part Name],$A16,T_TTAFStock_Log[WeekIndex],80)=0,"",SUMIFS(T_TTAFStock_Log[TTAF_Qty],T_TTAFStock_Log[Part Name],$A16,T_TTAFStock_Log[WeekIndex],80))</f>
        <v/>
      </c>
      <c r="CD16" s="17">
        <f>IF(COUNTIFS(T_TTAFStock_Log[Part Name],$A16,T_TTAFStock_Log[WeekIndex],81)=0,"",SUMIFS(T_TTAFStock_Log[TTAF_Qty],T_TTAFStock_Log[Part Name],$A16,T_TTAFStock_Log[WeekIndex],81))</f>
        <v/>
      </c>
      <c r="CE16" s="17">
        <f>IF(COUNTIFS(T_TTAFStock_Log[Part Name],$A16,T_TTAFStock_Log[WeekIndex],82)=0,"",SUMIFS(T_TTAFStock_Log[TTAF_Qty],T_TTAFStock_Log[Part Name],$A16,T_TTAFStock_Log[WeekIndex],82))</f>
        <v/>
      </c>
      <c r="CF16" s="17">
        <f>IF(COUNTIFS(T_TTAFStock_Log[Part Name],$A16,T_TTAFStock_Log[WeekIndex],83)=0,"",SUMIFS(T_TTAFStock_Log[TTAF_Qty],T_TTAFStock_Log[Part Name],$A16,T_TTAFStock_Log[WeekIndex],83))</f>
        <v/>
      </c>
      <c r="CG16" s="17">
        <f>IF(COUNTIFS(T_TTAFStock_Log[Part Name],$A16,T_TTAFStock_Log[WeekIndex],84)=0,"",SUMIFS(T_TTAFStock_Log[TTAF_Qty],T_TTAFStock_Log[Part Name],$A16,T_TTAFStock_Log[WeekIndex],84))</f>
        <v/>
      </c>
      <c r="CH16" s="17">
        <f>IF(COUNTIFS(T_TTAFStock_Log[Part Name],$A16,T_TTAFStock_Log[WeekIndex],85)=0,"",SUMIFS(T_TTAFStock_Log[TTAF_Qty],T_TTAFStock_Log[Part Name],$A16,T_TTAFStock_Log[WeekIndex],85))</f>
        <v/>
      </c>
      <c r="CI16" s="17">
        <f>IF(COUNTIFS(T_TTAFStock_Log[Part Name],$A16,T_TTAFStock_Log[WeekIndex],86)=0,"",SUMIFS(T_TTAFStock_Log[TTAF_Qty],T_TTAFStock_Log[Part Name],$A16,T_TTAFStock_Log[WeekIndex],86))</f>
        <v/>
      </c>
      <c r="CJ16" s="17">
        <f>IF(COUNTIFS(T_TTAFStock_Log[Part Name],$A16,T_TTAFStock_Log[WeekIndex],87)=0,"",SUMIFS(T_TTAFStock_Log[TTAF_Qty],T_TTAFStock_Log[Part Name],$A16,T_TTAFStock_Log[WeekIndex],87))</f>
        <v/>
      </c>
      <c r="CK16" s="17">
        <f>IF(COUNTIFS(T_TTAFStock_Log[Part Name],$A16,T_TTAFStock_Log[WeekIndex],88)=0,"",SUMIFS(T_TTAFStock_Log[TTAF_Qty],T_TTAFStock_Log[Part Name],$A16,T_TTAFStock_Log[WeekIndex],88))</f>
        <v/>
      </c>
      <c r="CL16" s="17">
        <f>IF(COUNTIFS(T_TTAFStock_Log[Part Name],$A16,T_TTAFStock_Log[WeekIndex],89)=0,"",SUMIFS(T_TTAFStock_Log[TTAF_Qty],T_TTAFStock_Log[Part Name],$A16,T_TTAFStock_Log[WeekIndex],89))</f>
        <v/>
      </c>
      <c r="CM16" s="17">
        <f>IF(COUNTIFS(T_TTAFStock_Log[Part Name],$A16,T_TTAFStock_Log[WeekIndex],90)=0,"",SUMIFS(T_TTAFStock_Log[TTAF_Qty],T_TTAFStock_Log[Part Name],$A16,T_TTAFStock_Log[WeekIndex],90))</f>
        <v/>
      </c>
      <c r="CN16" s="17">
        <f>IF(COUNTIFS(T_TTAFStock_Log[Part Name],$A16,T_TTAFStock_Log[WeekIndex],91)=0,"",SUMIFS(T_TTAFStock_Log[TTAF_Qty],T_TTAFStock_Log[Part Name],$A16,T_TTAFStock_Log[WeekIndex],91))</f>
        <v/>
      </c>
      <c r="CO16" s="17">
        <f>IF(COUNTIFS(T_TTAFStock_Log[Part Name],$A16,T_TTAFStock_Log[WeekIndex],92)=0,"",SUMIFS(T_TTAFStock_Log[TTAF_Qty],T_TTAFStock_Log[Part Name],$A16,T_TTAFStock_Log[WeekIndex],92))</f>
        <v/>
      </c>
      <c r="CP16" s="17">
        <f>IF(COUNTIFS(T_TTAFStock_Log[Part Name],$A16,T_TTAFStock_Log[WeekIndex],93)=0,"",SUMIFS(T_TTAFStock_Log[TTAF_Qty],T_TTAFStock_Log[Part Name],$A16,T_TTAFStock_Log[WeekIndex],93))</f>
        <v/>
      </c>
      <c r="CQ16" s="17">
        <f>IF(COUNTIFS(T_TTAFStock_Log[Part Name],$A16,T_TTAFStock_Log[WeekIndex],94)=0,"",SUMIFS(T_TTAFStock_Log[TTAF_Qty],T_TTAFStock_Log[Part Name],$A16,T_TTAFStock_Log[WeekIndex],94))</f>
        <v/>
      </c>
      <c r="CR16" s="17">
        <f>IF(COUNTIFS(T_TTAFStock_Log[Part Name],$A16,T_TTAFStock_Log[WeekIndex],95)=0,"",SUMIFS(T_TTAFStock_Log[TTAF_Qty],T_TTAFStock_Log[Part Name],$A16,T_TTAFStock_Log[WeekIndex],95))</f>
        <v/>
      </c>
      <c r="CS16" s="17">
        <f>IF(COUNTIFS(T_TTAFStock_Log[Part Name],$A16,T_TTAFStock_Log[WeekIndex],96)=0,"",SUMIFS(T_TTAFStock_Log[TTAF_Qty],T_TTAFStock_Log[Part Name],$A16,T_TTAFStock_Log[WeekIndex],96))</f>
        <v/>
      </c>
      <c r="CT16" s="17">
        <f>IF(COUNTIFS(T_TTAFStock_Log[Part Name],$A16,T_TTAFStock_Log[WeekIndex],97)=0,"",SUMIFS(T_TTAFStock_Log[TTAF_Qty],T_TTAFStock_Log[Part Name],$A16,T_TTAFStock_Log[WeekIndex],97))</f>
        <v/>
      </c>
      <c r="CU16" s="17">
        <f>IF(COUNTIFS(T_TTAFStock_Log[Part Name],$A16,T_TTAFStock_Log[WeekIndex],98)=0,"",SUMIFS(T_TTAFStock_Log[TTAF_Qty],T_TTAFStock_Log[Part Name],$A16,T_TTAFStock_Log[WeekIndex],98))</f>
        <v/>
      </c>
      <c r="CV16" s="17">
        <f>IF(COUNTIFS(T_TTAFStock_Log[Part Name],$A16,T_TTAFStock_Log[WeekIndex],99)=0,"",SUMIFS(T_TTAFStock_Log[TTAF_Qty],T_TTAFStock_Log[Part Name],$A16,T_TTAFStock_Log[WeekIndex],99))</f>
        <v/>
      </c>
      <c r="CW16" s="17">
        <f>IF(COUNTIFS(T_TTAFStock_Log[Part Name],$A16,T_TTAFStock_Log[WeekIndex],100)=0,"",SUMIFS(T_TTAFStock_Log[TTAF_Qty],T_TTAFStock_Log[Part Name],$A16,T_TTAFStock_Log[WeekIndex],100))</f>
        <v/>
      </c>
      <c r="CX16" s="17">
        <f>IF(COUNTIFS(T_TTAFStock_Log[Part Name],$A16,T_TTAFStock_Log[WeekIndex],101)=0,"",SUMIFS(T_TTAFStock_Log[TTAF_Qty],T_TTAFStock_Log[Part Name],$A16,T_TTAFStock_Log[WeekIndex],101))</f>
        <v/>
      </c>
      <c r="CY16" s="17">
        <f>IF(COUNTIFS(T_TTAFStock_Log[Part Name],$A16,T_TTAFStock_Log[WeekIndex],102)=0,"",SUMIFS(T_TTAFStock_Log[TTAF_Qty],T_TTAFStock_Log[Part Name],$A16,T_TTAFStock_Log[WeekIndex],102))</f>
        <v/>
      </c>
      <c r="CZ16" s="17">
        <f>IF(COUNTIFS(T_TTAFStock_Log[Part Name],$A16,T_TTAFStock_Log[WeekIndex],103)=0,"",SUMIFS(T_TTAFStock_Log[TTAF_Qty],T_TTAFStock_Log[Part Name],$A16,T_TTAFStock_Log[WeekIndex],103))</f>
        <v/>
      </c>
      <c r="DA16" s="17">
        <f>IF(COUNTIFS(T_TTAFStock_Log[Part Name],$A16,T_TTAFStock_Log[WeekIndex],104)=0,"",SUMIFS(T_TTAFStock_Log[TTAF_Qty],T_TTAFStock_Log[Part Name],$A16,T_TTAFStock_Log[WeekIndex],104))</f>
        <v/>
      </c>
    </row>
    <row r="17">
      <c r="A17" s="19" t="inlineStr">
        <is>
          <t>ABN</t>
        </is>
      </c>
      <c r="B17" s="19">
        <f>IF(COUNTIFS(T_TTAFStock_Log[Part Name],$A17,T_TTAFStock_Log[WeekIndex],1)=0,"",SUMIFS(T_TTAFStock_Log[TTAF_Qty],T_TTAFStock_Log[Part Name],$A17,T_TTAFStock_Log[WeekIndex],1))</f>
        <v/>
      </c>
      <c r="C17" s="19">
        <f>IF(COUNTIFS(T_TTAFStock_Log[Part Name],$A17,T_TTAFStock_Log[WeekIndex],2)=0,"",SUMIFS(T_TTAFStock_Log[TTAF_Qty],T_TTAFStock_Log[Part Name],$A17,T_TTAFStock_Log[WeekIndex],2))</f>
        <v/>
      </c>
      <c r="D17" s="19">
        <f>IF(COUNTIFS(T_TTAFStock_Log[Part Name],$A17,T_TTAFStock_Log[WeekIndex],3)=0,"",SUMIFS(T_TTAFStock_Log[TTAF_Qty],T_TTAFStock_Log[Part Name],$A17,T_TTAFStock_Log[WeekIndex],3))</f>
        <v/>
      </c>
      <c r="E17" s="19">
        <f>IF(COUNTIFS(T_TTAFStock_Log[Part Name],$A17,T_TTAFStock_Log[WeekIndex],4)=0,"",SUMIFS(T_TTAFStock_Log[TTAF_Qty],T_TTAFStock_Log[Part Name],$A17,T_TTAFStock_Log[WeekIndex],4))</f>
        <v/>
      </c>
      <c r="F17" s="19">
        <f>IF(COUNTIFS(T_TTAFStock_Log[Part Name],$A17,T_TTAFStock_Log[WeekIndex],5)=0,"",SUMIFS(T_TTAFStock_Log[TTAF_Qty],T_TTAFStock_Log[Part Name],$A17,T_TTAFStock_Log[WeekIndex],5))</f>
        <v/>
      </c>
      <c r="G17" s="19">
        <f>IF(COUNTIFS(T_TTAFStock_Log[Part Name],$A17,T_TTAFStock_Log[WeekIndex],6)=0,"",SUMIFS(T_TTAFStock_Log[TTAF_Qty],T_TTAFStock_Log[Part Name],$A17,T_TTAFStock_Log[WeekIndex],6))</f>
        <v/>
      </c>
      <c r="H17" s="19">
        <f>IF(COUNTIFS(T_TTAFStock_Log[Part Name],$A17,T_TTAFStock_Log[WeekIndex],7)=0,"",SUMIFS(T_TTAFStock_Log[TTAF_Qty],T_TTAFStock_Log[Part Name],$A17,T_TTAFStock_Log[WeekIndex],7))</f>
        <v/>
      </c>
      <c r="I17" s="19">
        <f>IF(COUNTIFS(T_TTAFStock_Log[Part Name],$A17,T_TTAFStock_Log[WeekIndex],8)=0,"",SUMIFS(T_TTAFStock_Log[TTAF_Qty],T_TTAFStock_Log[Part Name],$A17,T_TTAFStock_Log[WeekIndex],8))</f>
        <v/>
      </c>
      <c r="J17" s="19">
        <f>IF(COUNTIFS(T_TTAFStock_Log[Part Name],$A17,T_TTAFStock_Log[WeekIndex],9)=0,"",SUMIFS(T_TTAFStock_Log[TTAF_Qty],T_TTAFStock_Log[Part Name],$A17,T_TTAFStock_Log[WeekIndex],9))</f>
        <v/>
      </c>
      <c r="K17" s="19">
        <f>IF(COUNTIFS(T_TTAFStock_Log[Part Name],$A17,T_TTAFStock_Log[WeekIndex],10)=0,"",SUMIFS(T_TTAFStock_Log[TTAF_Qty],T_TTAFStock_Log[Part Name],$A17,T_TTAFStock_Log[WeekIndex],10))</f>
        <v/>
      </c>
      <c r="L17" s="19">
        <f>IF(COUNTIFS(T_TTAFStock_Log[Part Name],$A17,T_TTAFStock_Log[WeekIndex],11)=0,"",SUMIFS(T_TTAFStock_Log[TTAF_Qty],T_TTAFStock_Log[Part Name],$A17,T_TTAFStock_Log[WeekIndex],11))</f>
        <v/>
      </c>
      <c r="M17" s="19">
        <f>IF(COUNTIFS(T_TTAFStock_Log[Part Name],$A17,T_TTAFStock_Log[WeekIndex],12)=0,"",SUMIFS(T_TTAFStock_Log[TTAF_Qty],T_TTAFStock_Log[Part Name],$A17,T_TTAFStock_Log[WeekIndex],12))</f>
        <v/>
      </c>
      <c r="N17" s="19">
        <f>IF(COUNTIFS(T_TTAFStock_Log[Part Name],$A17,T_TTAFStock_Log[WeekIndex],13)=0,"",SUMIFS(T_TTAFStock_Log[TTAF_Qty],T_TTAFStock_Log[Part Name],$A17,T_TTAFStock_Log[WeekIndex],13))</f>
        <v/>
      </c>
      <c r="O17" s="19">
        <f>IF(COUNTIFS(T_TTAFStock_Log[Part Name],$A17,T_TTAFStock_Log[WeekIndex],14)=0,"",SUMIFS(T_TTAFStock_Log[TTAF_Qty],T_TTAFStock_Log[Part Name],$A17,T_TTAFStock_Log[WeekIndex],14))</f>
        <v/>
      </c>
      <c r="P17" s="19">
        <f>IF(COUNTIFS(T_TTAFStock_Log[Part Name],$A17,T_TTAFStock_Log[WeekIndex],15)=0,"",SUMIFS(T_TTAFStock_Log[TTAF_Qty],T_TTAFStock_Log[Part Name],$A17,T_TTAFStock_Log[WeekIndex],15))</f>
        <v/>
      </c>
      <c r="Q17" s="19">
        <f>IF(COUNTIFS(T_TTAFStock_Log[Part Name],$A17,T_TTAFStock_Log[WeekIndex],16)=0,"",SUMIFS(T_TTAFStock_Log[TTAF_Qty],T_TTAFStock_Log[Part Name],$A17,T_TTAFStock_Log[WeekIndex],16))</f>
        <v/>
      </c>
      <c r="R17" s="19">
        <f>IF(COUNTIFS(T_TTAFStock_Log[Part Name],$A17,T_TTAFStock_Log[WeekIndex],17)=0,"",SUMIFS(T_TTAFStock_Log[TTAF_Qty],T_TTAFStock_Log[Part Name],$A17,T_TTAFStock_Log[WeekIndex],17))</f>
        <v/>
      </c>
      <c r="S17" s="19">
        <f>IF(COUNTIFS(T_TTAFStock_Log[Part Name],$A17,T_TTAFStock_Log[WeekIndex],18)=0,"",SUMIFS(T_TTAFStock_Log[TTAF_Qty],T_TTAFStock_Log[Part Name],$A17,T_TTAFStock_Log[WeekIndex],18))</f>
        <v/>
      </c>
      <c r="T17" s="19">
        <f>IF(COUNTIFS(T_TTAFStock_Log[Part Name],$A17,T_TTAFStock_Log[WeekIndex],19)=0,"",SUMIFS(T_TTAFStock_Log[TTAF_Qty],T_TTAFStock_Log[Part Name],$A17,T_TTAFStock_Log[WeekIndex],19))</f>
        <v/>
      </c>
      <c r="U17" s="19">
        <f>IF(COUNTIFS(T_TTAFStock_Log[Part Name],$A17,T_TTAFStock_Log[WeekIndex],20)=0,"",SUMIFS(T_TTAFStock_Log[TTAF_Qty],T_TTAFStock_Log[Part Name],$A17,T_TTAFStock_Log[WeekIndex],20))</f>
        <v/>
      </c>
      <c r="V17" s="19">
        <f>IF(COUNTIFS(T_TTAFStock_Log[Part Name],$A17,T_TTAFStock_Log[WeekIndex],21)=0,"",SUMIFS(T_TTAFStock_Log[TTAF_Qty],T_TTAFStock_Log[Part Name],$A17,T_TTAFStock_Log[WeekIndex],21))</f>
        <v/>
      </c>
      <c r="W17" s="19">
        <f>IF(COUNTIFS(T_TTAFStock_Log[Part Name],$A17,T_TTAFStock_Log[WeekIndex],22)=0,"",SUMIFS(T_TTAFStock_Log[TTAF_Qty],T_TTAFStock_Log[Part Name],$A17,T_TTAFStock_Log[WeekIndex],22))</f>
        <v/>
      </c>
      <c r="X17" s="19">
        <f>IF(COUNTIFS(T_TTAFStock_Log[Part Name],$A17,T_TTAFStock_Log[WeekIndex],23)=0,"",SUMIFS(T_TTAFStock_Log[TTAF_Qty],T_TTAFStock_Log[Part Name],$A17,T_TTAFStock_Log[WeekIndex],23))</f>
        <v/>
      </c>
      <c r="Y17" s="19">
        <f>IF(COUNTIFS(T_TTAFStock_Log[Part Name],$A17,T_TTAFStock_Log[WeekIndex],24)=0,"",SUMIFS(T_TTAFStock_Log[TTAF_Qty],T_TTAFStock_Log[Part Name],$A17,T_TTAFStock_Log[WeekIndex],24))</f>
        <v/>
      </c>
      <c r="Z17" s="19">
        <f>IF(COUNTIFS(T_TTAFStock_Log[Part Name],$A17,T_TTAFStock_Log[WeekIndex],25)=0,"",SUMIFS(T_TTAFStock_Log[TTAF_Qty],T_TTAFStock_Log[Part Name],$A17,T_TTAFStock_Log[WeekIndex],25))</f>
        <v/>
      </c>
      <c r="AA17" s="19">
        <f>IF(COUNTIFS(T_TTAFStock_Log[Part Name],$A17,T_TTAFStock_Log[WeekIndex],26)=0,"",SUMIFS(T_TTAFStock_Log[TTAF_Qty],T_TTAFStock_Log[Part Name],$A17,T_TTAFStock_Log[WeekIndex],26))</f>
        <v/>
      </c>
      <c r="AB17" s="19">
        <f>IF(COUNTIFS(T_TTAFStock_Log[Part Name],$A17,T_TTAFStock_Log[WeekIndex],27)=0,"",SUMIFS(T_TTAFStock_Log[TTAF_Qty],T_TTAFStock_Log[Part Name],$A17,T_TTAFStock_Log[WeekIndex],27))</f>
        <v/>
      </c>
      <c r="AC17" s="19">
        <f>IF(COUNTIFS(T_TTAFStock_Log[Part Name],$A17,T_TTAFStock_Log[WeekIndex],28)=0,"",SUMIFS(T_TTAFStock_Log[TTAF_Qty],T_TTAFStock_Log[Part Name],$A17,T_TTAFStock_Log[WeekIndex],28))</f>
        <v/>
      </c>
      <c r="AD17" s="19">
        <f>IF(COUNTIFS(T_TTAFStock_Log[Part Name],$A17,T_TTAFStock_Log[WeekIndex],29)=0,"",SUMIFS(T_TTAFStock_Log[TTAF_Qty],T_TTAFStock_Log[Part Name],$A17,T_TTAFStock_Log[WeekIndex],29))</f>
        <v/>
      </c>
      <c r="AE17" s="19">
        <f>IF(COUNTIFS(T_TTAFStock_Log[Part Name],$A17,T_TTAFStock_Log[WeekIndex],30)=0,"",SUMIFS(T_TTAFStock_Log[TTAF_Qty],T_TTAFStock_Log[Part Name],$A17,T_TTAFStock_Log[WeekIndex],30))</f>
        <v/>
      </c>
      <c r="AF17" s="19">
        <f>IF(COUNTIFS(T_TTAFStock_Log[Part Name],$A17,T_TTAFStock_Log[WeekIndex],31)=0,"",SUMIFS(T_TTAFStock_Log[TTAF_Qty],T_TTAFStock_Log[Part Name],$A17,T_TTAFStock_Log[WeekIndex],31))</f>
        <v/>
      </c>
      <c r="AG17" s="19">
        <f>IF(COUNTIFS(T_TTAFStock_Log[Part Name],$A17,T_TTAFStock_Log[WeekIndex],32)=0,"",SUMIFS(T_TTAFStock_Log[TTAF_Qty],T_TTAFStock_Log[Part Name],$A17,T_TTAFStock_Log[WeekIndex],32))</f>
        <v/>
      </c>
      <c r="AH17" s="19">
        <f>IF(COUNTIFS(T_TTAFStock_Log[Part Name],$A17,T_TTAFStock_Log[WeekIndex],33)=0,"",SUMIFS(T_TTAFStock_Log[TTAF_Qty],T_TTAFStock_Log[Part Name],$A17,T_TTAFStock_Log[WeekIndex],33))</f>
        <v/>
      </c>
      <c r="AI17" s="19">
        <f>IF(COUNTIFS(T_TTAFStock_Log[Part Name],$A17,T_TTAFStock_Log[WeekIndex],34)=0,"",SUMIFS(T_TTAFStock_Log[TTAF_Qty],T_TTAFStock_Log[Part Name],$A17,T_TTAFStock_Log[WeekIndex],34))</f>
        <v/>
      </c>
      <c r="AJ17" s="19">
        <f>IF(COUNTIFS(T_TTAFStock_Log[Part Name],$A17,T_TTAFStock_Log[WeekIndex],35)=0,"",SUMIFS(T_TTAFStock_Log[TTAF_Qty],T_TTAFStock_Log[Part Name],$A17,T_TTAFStock_Log[WeekIndex],35))</f>
        <v/>
      </c>
      <c r="AK17" s="19">
        <f>IF(COUNTIFS(T_TTAFStock_Log[Part Name],$A17,T_TTAFStock_Log[WeekIndex],36)=0,"",SUMIFS(T_TTAFStock_Log[TTAF_Qty],T_TTAFStock_Log[Part Name],$A17,T_TTAFStock_Log[WeekIndex],36))</f>
        <v/>
      </c>
      <c r="AL17" s="19">
        <f>IF(COUNTIFS(T_TTAFStock_Log[Part Name],$A17,T_TTAFStock_Log[WeekIndex],37)=0,"",SUMIFS(T_TTAFStock_Log[TTAF_Qty],T_TTAFStock_Log[Part Name],$A17,T_TTAFStock_Log[WeekIndex],37))</f>
        <v/>
      </c>
      <c r="AM17" s="19">
        <f>IF(COUNTIFS(T_TTAFStock_Log[Part Name],$A17,T_TTAFStock_Log[WeekIndex],38)=0,"",SUMIFS(T_TTAFStock_Log[TTAF_Qty],T_TTAFStock_Log[Part Name],$A17,T_TTAFStock_Log[WeekIndex],38))</f>
        <v/>
      </c>
      <c r="AN17" s="19">
        <f>IF(COUNTIFS(T_TTAFStock_Log[Part Name],$A17,T_TTAFStock_Log[WeekIndex],39)=0,"",SUMIFS(T_TTAFStock_Log[TTAF_Qty],T_TTAFStock_Log[Part Name],$A17,T_TTAFStock_Log[WeekIndex],39))</f>
        <v/>
      </c>
      <c r="AO17" s="19">
        <f>IF(COUNTIFS(T_TTAFStock_Log[Part Name],$A17,T_TTAFStock_Log[WeekIndex],40)=0,"",SUMIFS(T_TTAFStock_Log[TTAF_Qty],T_TTAFStock_Log[Part Name],$A17,T_TTAFStock_Log[WeekIndex],40))</f>
        <v/>
      </c>
      <c r="AP17" s="19">
        <f>IF(COUNTIFS(T_TTAFStock_Log[Part Name],$A17,T_TTAFStock_Log[WeekIndex],41)=0,"",SUMIFS(T_TTAFStock_Log[TTAF_Qty],T_TTAFStock_Log[Part Name],$A17,T_TTAFStock_Log[WeekIndex],41))</f>
        <v/>
      </c>
      <c r="AQ17" s="19">
        <f>IF(COUNTIFS(T_TTAFStock_Log[Part Name],$A17,T_TTAFStock_Log[WeekIndex],42)=0,"",SUMIFS(T_TTAFStock_Log[TTAF_Qty],T_TTAFStock_Log[Part Name],$A17,T_TTAFStock_Log[WeekIndex],42))</f>
        <v/>
      </c>
      <c r="AR17" s="19">
        <f>IF(COUNTIFS(T_TTAFStock_Log[Part Name],$A17,T_TTAFStock_Log[WeekIndex],43)=0,"",SUMIFS(T_TTAFStock_Log[TTAF_Qty],T_TTAFStock_Log[Part Name],$A17,T_TTAFStock_Log[WeekIndex],43))</f>
        <v/>
      </c>
      <c r="AS17" s="19">
        <f>IF(COUNTIFS(T_TTAFStock_Log[Part Name],$A17,T_TTAFStock_Log[WeekIndex],44)=0,"",SUMIFS(T_TTAFStock_Log[TTAF_Qty],T_TTAFStock_Log[Part Name],$A17,T_TTAFStock_Log[WeekIndex],44))</f>
        <v/>
      </c>
      <c r="AT17" s="19">
        <f>IF(COUNTIFS(T_TTAFStock_Log[Part Name],$A17,T_TTAFStock_Log[WeekIndex],45)=0,"",SUMIFS(T_TTAFStock_Log[TTAF_Qty],T_TTAFStock_Log[Part Name],$A17,T_TTAFStock_Log[WeekIndex],45))</f>
        <v/>
      </c>
      <c r="AU17" s="19">
        <f>IF(COUNTIFS(T_TTAFStock_Log[Part Name],$A17,T_TTAFStock_Log[WeekIndex],46)=0,"",SUMIFS(T_TTAFStock_Log[TTAF_Qty],T_TTAFStock_Log[Part Name],$A17,T_TTAFStock_Log[WeekIndex],46))</f>
        <v/>
      </c>
      <c r="AV17" s="19">
        <f>IF(COUNTIFS(T_TTAFStock_Log[Part Name],$A17,T_TTAFStock_Log[WeekIndex],47)=0,"",SUMIFS(T_TTAFStock_Log[TTAF_Qty],T_TTAFStock_Log[Part Name],$A17,T_TTAFStock_Log[WeekIndex],47))</f>
        <v/>
      </c>
      <c r="AW17" s="19">
        <f>IF(COUNTIFS(T_TTAFStock_Log[Part Name],$A17,T_TTAFStock_Log[WeekIndex],48)=0,"",SUMIFS(T_TTAFStock_Log[TTAF_Qty],T_TTAFStock_Log[Part Name],$A17,T_TTAFStock_Log[WeekIndex],48))</f>
        <v/>
      </c>
      <c r="AX17" s="19">
        <f>IF(COUNTIFS(T_TTAFStock_Log[Part Name],$A17,T_TTAFStock_Log[WeekIndex],49)=0,"",SUMIFS(T_TTAFStock_Log[TTAF_Qty],T_TTAFStock_Log[Part Name],$A17,T_TTAFStock_Log[WeekIndex],49))</f>
        <v/>
      </c>
      <c r="AY17" s="19">
        <f>IF(COUNTIFS(T_TTAFStock_Log[Part Name],$A17,T_TTAFStock_Log[WeekIndex],50)=0,"",SUMIFS(T_TTAFStock_Log[TTAF_Qty],T_TTAFStock_Log[Part Name],$A17,T_TTAFStock_Log[WeekIndex],50))</f>
        <v/>
      </c>
      <c r="AZ17" s="19">
        <f>IF(COUNTIFS(T_TTAFStock_Log[Part Name],$A17,T_TTAFStock_Log[WeekIndex],51)=0,"",SUMIFS(T_TTAFStock_Log[TTAF_Qty],T_TTAFStock_Log[Part Name],$A17,T_TTAFStock_Log[WeekIndex],51))</f>
        <v/>
      </c>
      <c r="BA17" s="19">
        <f>IF(COUNTIFS(T_TTAFStock_Log[Part Name],$A17,T_TTAFStock_Log[WeekIndex],52)=0,"",SUMIFS(T_TTAFStock_Log[TTAF_Qty],T_TTAFStock_Log[Part Name],$A17,T_TTAFStock_Log[WeekIndex],52))</f>
        <v/>
      </c>
      <c r="BB17" s="19">
        <f>IF(COUNTIFS(T_TTAFStock_Log[Part Name],$A17,T_TTAFStock_Log[WeekIndex],53)=0,"",SUMIFS(T_TTAFStock_Log[TTAF_Qty],T_TTAFStock_Log[Part Name],$A17,T_TTAFStock_Log[WeekIndex],53))</f>
        <v/>
      </c>
      <c r="BC17" s="19">
        <f>IF(COUNTIFS(T_TTAFStock_Log[Part Name],$A17,T_TTAFStock_Log[WeekIndex],54)=0,"",SUMIFS(T_TTAFStock_Log[TTAF_Qty],T_TTAFStock_Log[Part Name],$A17,T_TTAFStock_Log[WeekIndex],54))</f>
        <v/>
      </c>
      <c r="BD17" s="19">
        <f>IF(COUNTIFS(T_TTAFStock_Log[Part Name],$A17,T_TTAFStock_Log[WeekIndex],55)=0,"",SUMIFS(T_TTAFStock_Log[TTAF_Qty],T_TTAFStock_Log[Part Name],$A17,T_TTAFStock_Log[WeekIndex],55))</f>
        <v/>
      </c>
      <c r="BE17" s="19">
        <f>IF(COUNTIFS(T_TTAFStock_Log[Part Name],$A17,T_TTAFStock_Log[WeekIndex],56)=0,"",SUMIFS(T_TTAFStock_Log[TTAF_Qty],T_TTAFStock_Log[Part Name],$A17,T_TTAFStock_Log[WeekIndex],56))</f>
        <v/>
      </c>
      <c r="BF17" s="19">
        <f>IF(COUNTIFS(T_TTAFStock_Log[Part Name],$A17,T_TTAFStock_Log[WeekIndex],57)=0,"",SUMIFS(T_TTAFStock_Log[TTAF_Qty],T_TTAFStock_Log[Part Name],$A17,T_TTAFStock_Log[WeekIndex],57))</f>
        <v/>
      </c>
      <c r="BG17" s="19">
        <f>IF(COUNTIFS(T_TTAFStock_Log[Part Name],$A17,T_TTAFStock_Log[WeekIndex],58)=0,"",SUMIFS(T_TTAFStock_Log[TTAF_Qty],T_TTAFStock_Log[Part Name],$A17,T_TTAFStock_Log[WeekIndex],58))</f>
        <v/>
      </c>
      <c r="BH17" s="19">
        <f>IF(COUNTIFS(T_TTAFStock_Log[Part Name],$A17,T_TTAFStock_Log[WeekIndex],59)=0,"",SUMIFS(T_TTAFStock_Log[TTAF_Qty],T_TTAFStock_Log[Part Name],$A17,T_TTAFStock_Log[WeekIndex],59))</f>
        <v/>
      </c>
      <c r="BI17" s="19">
        <f>IF(COUNTIFS(T_TTAFStock_Log[Part Name],$A17,T_TTAFStock_Log[WeekIndex],60)=0,"",SUMIFS(T_TTAFStock_Log[TTAF_Qty],T_TTAFStock_Log[Part Name],$A17,T_TTAFStock_Log[WeekIndex],60))</f>
        <v/>
      </c>
      <c r="BJ17" s="19">
        <f>IF(COUNTIFS(T_TTAFStock_Log[Part Name],$A17,T_TTAFStock_Log[WeekIndex],61)=0,"",SUMIFS(T_TTAFStock_Log[TTAF_Qty],T_TTAFStock_Log[Part Name],$A17,T_TTAFStock_Log[WeekIndex],61))</f>
        <v/>
      </c>
      <c r="BK17" s="19">
        <f>IF(COUNTIFS(T_TTAFStock_Log[Part Name],$A17,T_TTAFStock_Log[WeekIndex],62)=0,"",SUMIFS(T_TTAFStock_Log[TTAF_Qty],T_TTAFStock_Log[Part Name],$A17,T_TTAFStock_Log[WeekIndex],62))</f>
        <v/>
      </c>
      <c r="BL17" s="19">
        <f>IF(COUNTIFS(T_TTAFStock_Log[Part Name],$A17,T_TTAFStock_Log[WeekIndex],63)=0,"",SUMIFS(T_TTAFStock_Log[TTAF_Qty],T_TTAFStock_Log[Part Name],$A17,T_TTAFStock_Log[WeekIndex],63))</f>
        <v/>
      </c>
      <c r="BM17" s="19">
        <f>IF(COUNTIFS(T_TTAFStock_Log[Part Name],$A17,T_TTAFStock_Log[WeekIndex],64)=0,"",SUMIFS(T_TTAFStock_Log[TTAF_Qty],T_TTAFStock_Log[Part Name],$A17,T_TTAFStock_Log[WeekIndex],64))</f>
        <v/>
      </c>
      <c r="BN17" s="19">
        <f>IF(COUNTIFS(T_TTAFStock_Log[Part Name],$A17,T_TTAFStock_Log[WeekIndex],65)=0,"",SUMIFS(T_TTAFStock_Log[TTAF_Qty],T_TTAFStock_Log[Part Name],$A17,T_TTAFStock_Log[WeekIndex],65))</f>
        <v/>
      </c>
      <c r="BO17" s="19">
        <f>IF(COUNTIFS(T_TTAFStock_Log[Part Name],$A17,T_TTAFStock_Log[WeekIndex],66)=0,"",SUMIFS(T_TTAFStock_Log[TTAF_Qty],T_TTAFStock_Log[Part Name],$A17,T_TTAFStock_Log[WeekIndex],66))</f>
        <v/>
      </c>
      <c r="BP17" s="19">
        <f>IF(COUNTIFS(T_TTAFStock_Log[Part Name],$A17,T_TTAFStock_Log[WeekIndex],67)=0,"",SUMIFS(T_TTAFStock_Log[TTAF_Qty],T_TTAFStock_Log[Part Name],$A17,T_TTAFStock_Log[WeekIndex],67))</f>
        <v/>
      </c>
      <c r="BQ17" s="19">
        <f>IF(COUNTIFS(T_TTAFStock_Log[Part Name],$A17,T_TTAFStock_Log[WeekIndex],68)=0,"",SUMIFS(T_TTAFStock_Log[TTAF_Qty],T_TTAFStock_Log[Part Name],$A17,T_TTAFStock_Log[WeekIndex],68))</f>
        <v/>
      </c>
      <c r="BR17" s="19">
        <f>IF(COUNTIFS(T_TTAFStock_Log[Part Name],$A17,T_TTAFStock_Log[WeekIndex],69)=0,"",SUMIFS(T_TTAFStock_Log[TTAF_Qty],T_TTAFStock_Log[Part Name],$A17,T_TTAFStock_Log[WeekIndex],69))</f>
        <v/>
      </c>
      <c r="BS17" s="19">
        <f>IF(COUNTIFS(T_TTAFStock_Log[Part Name],$A17,T_TTAFStock_Log[WeekIndex],70)=0,"",SUMIFS(T_TTAFStock_Log[TTAF_Qty],T_TTAFStock_Log[Part Name],$A17,T_TTAFStock_Log[WeekIndex],70))</f>
        <v/>
      </c>
      <c r="BT17" s="19">
        <f>IF(COUNTIFS(T_TTAFStock_Log[Part Name],$A17,T_TTAFStock_Log[WeekIndex],71)=0,"",SUMIFS(T_TTAFStock_Log[TTAF_Qty],T_TTAFStock_Log[Part Name],$A17,T_TTAFStock_Log[WeekIndex],71))</f>
        <v/>
      </c>
      <c r="BU17" s="19">
        <f>IF(COUNTIFS(T_TTAFStock_Log[Part Name],$A17,T_TTAFStock_Log[WeekIndex],72)=0,"",SUMIFS(T_TTAFStock_Log[TTAF_Qty],T_TTAFStock_Log[Part Name],$A17,T_TTAFStock_Log[WeekIndex],72))</f>
        <v/>
      </c>
      <c r="BV17" s="19">
        <f>IF(COUNTIFS(T_TTAFStock_Log[Part Name],$A17,T_TTAFStock_Log[WeekIndex],73)=0,"",SUMIFS(T_TTAFStock_Log[TTAF_Qty],T_TTAFStock_Log[Part Name],$A17,T_TTAFStock_Log[WeekIndex],73))</f>
        <v/>
      </c>
      <c r="BW17" s="19">
        <f>IF(COUNTIFS(T_TTAFStock_Log[Part Name],$A17,T_TTAFStock_Log[WeekIndex],74)=0,"",SUMIFS(T_TTAFStock_Log[TTAF_Qty],T_TTAFStock_Log[Part Name],$A17,T_TTAFStock_Log[WeekIndex],74))</f>
        <v/>
      </c>
      <c r="BX17" s="19">
        <f>IF(COUNTIFS(T_TTAFStock_Log[Part Name],$A17,T_TTAFStock_Log[WeekIndex],75)=0,"",SUMIFS(T_TTAFStock_Log[TTAF_Qty],T_TTAFStock_Log[Part Name],$A17,T_TTAFStock_Log[WeekIndex],75))</f>
        <v/>
      </c>
      <c r="BY17" s="19">
        <f>IF(COUNTIFS(T_TTAFStock_Log[Part Name],$A17,T_TTAFStock_Log[WeekIndex],76)=0,"",SUMIFS(T_TTAFStock_Log[TTAF_Qty],T_TTAFStock_Log[Part Name],$A17,T_TTAFStock_Log[WeekIndex],76))</f>
        <v/>
      </c>
      <c r="BZ17" s="19">
        <f>IF(COUNTIFS(T_TTAFStock_Log[Part Name],$A17,T_TTAFStock_Log[WeekIndex],77)=0,"",SUMIFS(T_TTAFStock_Log[TTAF_Qty],T_TTAFStock_Log[Part Name],$A17,T_TTAFStock_Log[WeekIndex],77))</f>
        <v/>
      </c>
      <c r="CA17" s="19">
        <f>IF(COUNTIFS(T_TTAFStock_Log[Part Name],$A17,T_TTAFStock_Log[WeekIndex],78)=0,"",SUMIFS(T_TTAFStock_Log[TTAF_Qty],T_TTAFStock_Log[Part Name],$A17,T_TTAFStock_Log[WeekIndex],78))</f>
        <v/>
      </c>
      <c r="CB17" s="19">
        <f>IF(COUNTIFS(T_TTAFStock_Log[Part Name],$A17,T_TTAFStock_Log[WeekIndex],79)=0,"",SUMIFS(T_TTAFStock_Log[TTAF_Qty],T_TTAFStock_Log[Part Name],$A17,T_TTAFStock_Log[WeekIndex],79))</f>
        <v/>
      </c>
      <c r="CC17" s="19">
        <f>IF(COUNTIFS(T_TTAFStock_Log[Part Name],$A17,T_TTAFStock_Log[WeekIndex],80)=0,"",SUMIFS(T_TTAFStock_Log[TTAF_Qty],T_TTAFStock_Log[Part Name],$A17,T_TTAFStock_Log[WeekIndex],80))</f>
        <v/>
      </c>
      <c r="CD17" s="19">
        <f>IF(COUNTIFS(T_TTAFStock_Log[Part Name],$A17,T_TTAFStock_Log[WeekIndex],81)=0,"",SUMIFS(T_TTAFStock_Log[TTAF_Qty],T_TTAFStock_Log[Part Name],$A17,T_TTAFStock_Log[WeekIndex],81))</f>
        <v/>
      </c>
      <c r="CE17" s="19">
        <f>IF(COUNTIFS(T_TTAFStock_Log[Part Name],$A17,T_TTAFStock_Log[WeekIndex],82)=0,"",SUMIFS(T_TTAFStock_Log[TTAF_Qty],T_TTAFStock_Log[Part Name],$A17,T_TTAFStock_Log[WeekIndex],82))</f>
        <v/>
      </c>
      <c r="CF17" s="19">
        <f>IF(COUNTIFS(T_TTAFStock_Log[Part Name],$A17,T_TTAFStock_Log[WeekIndex],83)=0,"",SUMIFS(T_TTAFStock_Log[TTAF_Qty],T_TTAFStock_Log[Part Name],$A17,T_TTAFStock_Log[WeekIndex],83))</f>
        <v/>
      </c>
      <c r="CG17" s="19">
        <f>IF(COUNTIFS(T_TTAFStock_Log[Part Name],$A17,T_TTAFStock_Log[WeekIndex],84)=0,"",SUMIFS(T_TTAFStock_Log[TTAF_Qty],T_TTAFStock_Log[Part Name],$A17,T_TTAFStock_Log[WeekIndex],84))</f>
        <v/>
      </c>
      <c r="CH17" s="19">
        <f>IF(COUNTIFS(T_TTAFStock_Log[Part Name],$A17,T_TTAFStock_Log[WeekIndex],85)=0,"",SUMIFS(T_TTAFStock_Log[TTAF_Qty],T_TTAFStock_Log[Part Name],$A17,T_TTAFStock_Log[WeekIndex],85))</f>
        <v/>
      </c>
      <c r="CI17" s="19">
        <f>IF(COUNTIFS(T_TTAFStock_Log[Part Name],$A17,T_TTAFStock_Log[WeekIndex],86)=0,"",SUMIFS(T_TTAFStock_Log[TTAF_Qty],T_TTAFStock_Log[Part Name],$A17,T_TTAFStock_Log[WeekIndex],86))</f>
        <v/>
      </c>
      <c r="CJ17" s="19">
        <f>IF(COUNTIFS(T_TTAFStock_Log[Part Name],$A17,T_TTAFStock_Log[WeekIndex],87)=0,"",SUMIFS(T_TTAFStock_Log[TTAF_Qty],T_TTAFStock_Log[Part Name],$A17,T_TTAFStock_Log[WeekIndex],87))</f>
        <v/>
      </c>
      <c r="CK17" s="19">
        <f>IF(COUNTIFS(T_TTAFStock_Log[Part Name],$A17,T_TTAFStock_Log[WeekIndex],88)=0,"",SUMIFS(T_TTAFStock_Log[TTAF_Qty],T_TTAFStock_Log[Part Name],$A17,T_TTAFStock_Log[WeekIndex],88))</f>
        <v/>
      </c>
      <c r="CL17" s="19">
        <f>IF(COUNTIFS(T_TTAFStock_Log[Part Name],$A17,T_TTAFStock_Log[WeekIndex],89)=0,"",SUMIFS(T_TTAFStock_Log[TTAF_Qty],T_TTAFStock_Log[Part Name],$A17,T_TTAFStock_Log[WeekIndex],89))</f>
        <v/>
      </c>
      <c r="CM17" s="19">
        <f>IF(COUNTIFS(T_TTAFStock_Log[Part Name],$A17,T_TTAFStock_Log[WeekIndex],90)=0,"",SUMIFS(T_TTAFStock_Log[TTAF_Qty],T_TTAFStock_Log[Part Name],$A17,T_TTAFStock_Log[WeekIndex],90))</f>
        <v/>
      </c>
      <c r="CN17" s="19">
        <f>IF(COUNTIFS(T_TTAFStock_Log[Part Name],$A17,T_TTAFStock_Log[WeekIndex],91)=0,"",SUMIFS(T_TTAFStock_Log[TTAF_Qty],T_TTAFStock_Log[Part Name],$A17,T_TTAFStock_Log[WeekIndex],91))</f>
        <v/>
      </c>
      <c r="CO17" s="19">
        <f>IF(COUNTIFS(T_TTAFStock_Log[Part Name],$A17,T_TTAFStock_Log[WeekIndex],92)=0,"",SUMIFS(T_TTAFStock_Log[TTAF_Qty],T_TTAFStock_Log[Part Name],$A17,T_TTAFStock_Log[WeekIndex],92))</f>
        <v/>
      </c>
      <c r="CP17" s="19">
        <f>IF(COUNTIFS(T_TTAFStock_Log[Part Name],$A17,T_TTAFStock_Log[WeekIndex],93)=0,"",SUMIFS(T_TTAFStock_Log[TTAF_Qty],T_TTAFStock_Log[Part Name],$A17,T_TTAFStock_Log[WeekIndex],93))</f>
        <v/>
      </c>
      <c r="CQ17" s="19">
        <f>IF(COUNTIFS(T_TTAFStock_Log[Part Name],$A17,T_TTAFStock_Log[WeekIndex],94)=0,"",SUMIFS(T_TTAFStock_Log[TTAF_Qty],T_TTAFStock_Log[Part Name],$A17,T_TTAFStock_Log[WeekIndex],94))</f>
        <v/>
      </c>
      <c r="CR17" s="19">
        <f>IF(COUNTIFS(T_TTAFStock_Log[Part Name],$A17,T_TTAFStock_Log[WeekIndex],95)=0,"",SUMIFS(T_TTAFStock_Log[TTAF_Qty],T_TTAFStock_Log[Part Name],$A17,T_TTAFStock_Log[WeekIndex],95))</f>
        <v/>
      </c>
      <c r="CS17" s="19">
        <f>IF(COUNTIFS(T_TTAFStock_Log[Part Name],$A17,T_TTAFStock_Log[WeekIndex],96)=0,"",SUMIFS(T_TTAFStock_Log[TTAF_Qty],T_TTAFStock_Log[Part Name],$A17,T_TTAFStock_Log[WeekIndex],96))</f>
        <v/>
      </c>
      <c r="CT17" s="19">
        <f>IF(COUNTIFS(T_TTAFStock_Log[Part Name],$A17,T_TTAFStock_Log[WeekIndex],97)=0,"",SUMIFS(T_TTAFStock_Log[TTAF_Qty],T_TTAFStock_Log[Part Name],$A17,T_TTAFStock_Log[WeekIndex],97))</f>
        <v/>
      </c>
      <c r="CU17" s="19">
        <f>IF(COUNTIFS(T_TTAFStock_Log[Part Name],$A17,T_TTAFStock_Log[WeekIndex],98)=0,"",SUMIFS(T_TTAFStock_Log[TTAF_Qty],T_TTAFStock_Log[Part Name],$A17,T_TTAFStock_Log[WeekIndex],98))</f>
        <v/>
      </c>
      <c r="CV17" s="19">
        <f>IF(COUNTIFS(T_TTAFStock_Log[Part Name],$A17,T_TTAFStock_Log[WeekIndex],99)=0,"",SUMIFS(T_TTAFStock_Log[TTAF_Qty],T_TTAFStock_Log[Part Name],$A17,T_TTAFStock_Log[WeekIndex],99))</f>
        <v/>
      </c>
      <c r="CW17" s="19">
        <f>IF(COUNTIFS(T_TTAFStock_Log[Part Name],$A17,T_TTAFStock_Log[WeekIndex],100)=0,"",SUMIFS(T_TTAFStock_Log[TTAF_Qty],T_TTAFStock_Log[Part Name],$A17,T_TTAFStock_Log[WeekIndex],100))</f>
        <v/>
      </c>
      <c r="CX17" s="19">
        <f>IF(COUNTIFS(T_TTAFStock_Log[Part Name],$A17,T_TTAFStock_Log[WeekIndex],101)=0,"",SUMIFS(T_TTAFStock_Log[TTAF_Qty],T_TTAFStock_Log[Part Name],$A17,T_TTAFStock_Log[WeekIndex],101))</f>
        <v/>
      </c>
      <c r="CY17" s="19">
        <f>IF(COUNTIFS(T_TTAFStock_Log[Part Name],$A17,T_TTAFStock_Log[WeekIndex],102)=0,"",SUMIFS(T_TTAFStock_Log[TTAF_Qty],T_TTAFStock_Log[Part Name],$A17,T_TTAFStock_Log[WeekIndex],102))</f>
        <v/>
      </c>
      <c r="CZ17" s="19">
        <f>IF(COUNTIFS(T_TTAFStock_Log[Part Name],$A17,T_TTAFStock_Log[WeekIndex],103)=0,"",SUMIFS(T_TTAFStock_Log[TTAF_Qty],T_TTAFStock_Log[Part Name],$A17,T_TTAFStock_Log[WeekIndex],103))</f>
        <v/>
      </c>
      <c r="DA17" s="19">
        <f>IF(COUNTIFS(T_TTAFStock_Log[Part Name],$A17,T_TTAFStock_Log[WeekIndex],104)=0,"",SUMIFS(T_TTAFStock_Log[TTAF_Qty],T_TTAFStock_Log[Part Name],$A17,T_TTAFStock_Log[WeekIndex],104))</f>
        <v/>
      </c>
    </row>
    <row r="18">
      <c r="A18" s="17" t="inlineStr">
        <is>
          <t>OLJ</t>
        </is>
      </c>
      <c r="B18" s="17">
        <f>IF(COUNTIFS(T_TTAFStock_Log[Part Name],$A18,T_TTAFStock_Log[WeekIndex],1)=0,"",SUMIFS(T_TTAFStock_Log[TTAF_Qty],T_TTAFStock_Log[Part Name],$A18,T_TTAFStock_Log[WeekIndex],1))</f>
        <v/>
      </c>
      <c r="C18" s="17">
        <f>IF(COUNTIFS(T_TTAFStock_Log[Part Name],$A18,T_TTAFStock_Log[WeekIndex],2)=0,"",SUMIFS(T_TTAFStock_Log[TTAF_Qty],T_TTAFStock_Log[Part Name],$A18,T_TTAFStock_Log[WeekIndex],2))</f>
        <v/>
      </c>
      <c r="D18" s="17">
        <f>IF(COUNTIFS(T_TTAFStock_Log[Part Name],$A18,T_TTAFStock_Log[WeekIndex],3)=0,"",SUMIFS(T_TTAFStock_Log[TTAF_Qty],T_TTAFStock_Log[Part Name],$A18,T_TTAFStock_Log[WeekIndex],3))</f>
        <v/>
      </c>
      <c r="E18" s="17">
        <f>IF(COUNTIFS(T_TTAFStock_Log[Part Name],$A18,T_TTAFStock_Log[WeekIndex],4)=0,"",SUMIFS(T_TTAFStock_Log[TTAF_Qty],T_TTAFStock_Log[Part Name],$A18,T_TTAFStock_Log[WeekIndex],4))</f>
        <v/>
      </c>
      <c r="F18" s="17">
        <f>IF(COUNTIFS(T_TTAFStock_Log[Part Name],$A18,T_TTAFStock_Log[WeekIndex],5)=0,"",SUMIFS(T_TTAFStock_Log[TTAF_Qty],T_TTAFStock_Log[Part Name],$A18,T_TTAFStock_Log[WeekIndex],5))</f>
        <v/>
      </c>
      <c r="G18" s="17">
        <f>IF(COUNTIFS(T_TTAFStock_Log[Part Name],$A18,T_TTAFStock_Log[WeekIndex],6)=0,"",SUMIFS(T_TTAFStock_Log[TTAF_Qty],T_TTAFStock_Log[Part Name],$A18,T_TTAFStock_Log[WeekIndex],6))</f>
        <v/>
      </c>
      <c r="H18" s="17">
        <f>IF(COUNTIFS(T_TTAFStock_Log[Part Name],$A18,T_TTAFStock_Log[WeekIndex],7)=0,"",SUMIFS(T_TTAFStock_Log[TTAF_Qty],T_TTAFStock_Log[Part Name],$A18,T_TTAFStock_Log[WeekIndex],7))</f>
        <v/>
      </c>
      <c r="I18" s="17">
        <f>IF(COUNTIFS(T_TTAFStock_Log[Part Name],$A18,T_TTAFStock_Log[WeekIndex],8)=0,"",SUMIFS(T_TTAFStock_Log[TTAF_Qty],T_TTAFStock_Log[Part Name],$A18,T_TTAFStock_Log[WeekIndex],8))</f>
        <v/>
      </c>
      <c r="J18" s="17">
        <f>IF(COUNTIFS(T_TTAFStock_Log[Part Name],$A18,T_TTAFStock_Log[WeekIndex],9)=0,"",SUMIFS(T_TTAFStock_Log[TTAF_Qty],T_TTAFStock_Log[Part Name],$A18,T_TTAFStock_Log[WeekIndex],9))</f>
        <v/>
      </c>
      <c r="K18" s="17">
        <f>IF(COUNTIFS(T_TTAFStock_Log[Part Name],$A18,T_TTAFStock_Log[WeekIndex],10)=0,"",SUMIFS(T_TTAFStock_Log[TTAF_Qty],T_TTAFStock_Log[Part Name],$A18,T_TTAFStock_Log[WeekIndex],10))</f>
        <v/>
      </c>
      <c r="L18" s="17">
        <f>IF(COUNTIFS(T_TTAFStock_Log[Part Name],$A18,T_TTAFStock_Log[WeekIndex],11)=0,"",SUMIFS(T_TTAFStock_Log[TTAF_Qty],T_TTAFStock_Log[Part Name],$A18,T_TTAFStock_Log[WeekIndex],11))</f>
        <v/>
      </c>
      <c r="M18" s="17">
        <f>IF(COUNTIFS(T_TTAFStock_Log[Part Name],$A18,T_TTAFStock_Log[WeekIndex],12)=0,"",SUMIFS(T_TTAFStock_Log[TTAF_Qty],T_TTAFStock_Log[Part Name],$A18,T_TTAFStock_Log[WeekIndex],12))</f>
        <v/>
      </c>
      <c r="N18" s="17">
        <f>IF(COUNTIFS(T_TTAFStock_Log[Part Name],$A18,T_TTAFStock_Log[WeekIndex],13)=0,"",SUMIFS(T_TTAFStock_Log[TTAF_Qty],T_TTAFStock_Log[Part Name],$A18,T_TTAFStock_Log[WeekIndex],13))</f>
        <v/>
      </c>
      <c r="O18" s="17">
        <f>IF(COUNTIFS(T_TTAFStock_Log[Part Name],$A18,T_TTAFStock_Log[WeekIndex],14)=0,"",SUMIFS(T_TTAFStock_Log[TTAF_Qty],T_TTAFStock_Log[Part Name],$A18,T_TTAFStock_Log[WeekIndex],14))</f>
        <v/>
      </c>
      <c r="P18" s="17">
        <f>IF(COUNTIFS(T_TTAFStock_Log[Part Name],$A18,T_TTAFStock_Log[WeekIndex],15)=0,"",SUMIFS(T_TTAFStock_Log[TTAF_Qty],T_TTAFStock_Log[Part Name],$A18,T_TTAFStock_Log[WeekIndex],15))</f>
        <v/>
      </c>
      <c r="Q18" s="17">
        <f>IF(COUNTIFS(T_TTAFStock_Log[Part Name],$A18,T_TTAFStock_Log[WeekIndex],16)=0,"",SUMIFS(T_TTAFStock_Log[TTAF_Qty],T_TTAFStock_Log[Part Name],$A18,T_TTAFStock_Log[WeekIndex],16))</f>
        <v/>
      </c>
      <c r="R18" s="17">
        <f>IF(COUNTIFS(T_TTAFStock_Log[Part Name],$A18,T_TTAFStock_Log[WeekIndex],17)=0,"",SUMIFS(T_TTAFStock_Log[TTAF_Qty],T_TTAFStock_Log[Part Name],$A18,T_TTAFStock_Log[WeekIndex],17))</f>
        <v/>
      </c>
      <c r="S18" s="17">
        <f>IF(COUNTIFS(T_TTAFStock_Log[Part Name],$A18,T_TTAFStock_Log[WeekIndex],18)=0,"",SUMIFS(T_TTAFStock_Log[TTAF_Qty],T_TTAFStock_Log[Part Name],$A18,T_TTAFStock_Log[WeekIndex],18))</f>
        <v/>
      </c>
      <c r="T18" s="17">
        <f>IF(COUNTIFS(T_TTAFStock_Log[Part Name],$A18,T_TTAFStock_Log[WeekIndex],19)=0,"",SUMIFS(T_TTAFStock_Log[TTAF_Qty],T_TTAFStock_Log[Part Name],$A18,T_TTAFStock_Log[WeekIndex],19))</f>
        <v/>
      </c>
      <c r="U18" s="17">
        <f>IF(COUNTIFS(T_TTAFStock_Log[Part Name],$A18,T_TTAFStock_Log[WeekIndex],20)=0,"",SUMIFS(T_TTAFStock_Log[TTAF_Qty],T_TTAFStock_Log[Part Name],$A18,T_TTAFStock_Log[WeekIndex],20))</f>
        <v/>
      </c>
      <c r="V18" s="17">
        <f>IF(COUNTIFS(T_TTAFStock_Log[Part Name],$A18,T_TTAFStock_Log[WeekIndex],21)=0,"",SUMIFS(T_TTAFStock_Log[TTAF_Qty],T_TTAFStock_Log[Part Name],$A18,T_TTAFStock_Log[WeekIndex],21))</f>
        <v/>
      </c>
      <c r="W18" s="17">
        <f>IF(COUNTIFS(T_TTAFStock_Log[Part Name],$A18,T_TTAFStock_Log[WeekIndex],22)=0,"",SUMIFS(T_TTAFStock_Log[TTAF_Qty],T_TTAFStock_Log[Part Name],$A18,T_TTAFStock_Log[WeekIndex],22))</f>
        <v/>
      </c>
      <c r="X18" s="17">
        <f>IF(COUNTIFS(T_TTAFStock_Log[Part Name],$A18,T_TTAFStock_Log[WeekIndex],23)=0,"",SUMIFS(T_TTAFStock_Log[TTAF_Qty],T_TTAFStock_Log[Part Name],$A18,T_TTAFStock_Log[WeekIndex],23))</f>
        <v/>
      </c>
      <c r="Y18" s="17">
        <f>IF(COUNTIFS(T_TTAFStock_Log[Part Name],$A18,T_TTAFStock_Log[WeekIndex],24)=0,"",SUMIFS(T_TTAFStock_Log[TTAF_Qty],T_TTAFStock_Log[Part Name],$A18,T_TTAFStock_Log[WeekIndex],24))</f>
        <v/>
      </c>
      <c r="Z18" s="17">
        <f>IF(COUNTIFS(T_TTAFStock_Log[Part Name],$A18,T_TTAFStock_Log[WeekIndex],25)=0,"",SUMIFS(T_TTAFStock_Log[TTAF_Qty],T_TTAFStock_Log[Part Name],$A18,T_TTAFStock_Log[WeekIndex],25))</f>
        <v/>
      </c>
      <c r="AA18" s="17">
        <f>IF(COUNTIFS(T_TTAFStock_Log[Part Name],$A18,T_TTAFStock_Log[WeekIndex],26)=0,"",SUMIFS(T_TTAFStock_Log[TTAF_Qty],T_TTAFStock_Log[Part Name],$A18,T_TTAFStock_Log[WeekIndex],26))</f>
        <v/>
      </c>
      <c r="AB18" s="17">
        <f>IF(COUNTIFS(T_TTAFStock_Log[Part Name],$A18,T_TTAFStock_Log[WeekIndex],27)=0,"",SUMIFS(T_TTAFStock_Log[TTAF_Qty],T_TTAFStock_Log[Part Name],$A18,T_TTAFStock_Log[WeekIndex],27))</f>
        <v/>
      </c>
      <c r="AC18" s="17">
        <f>IF(COUNTIFS(T_TTAFStock_Log[Part Name],$A18,T_TTAFStock_Log[WeekIndex],28)=0,"",SUMIFS(T_TTAFStock_Log[TTAF_Qty],T_TTAFStock_Log[Part Name],$A18,T_TTAFStock_Log[WeekIndex],28))</f>
        <v/>
      </c>
      <c r="AD18" s="17">
        <f>IF(COUNTIFS(T_TTAFStock_Log[Part Name],$A18,T_TTAFStock_Log[WeekIndex],29)=0,"",SUMIFS(T_TTAFStock_Log[TTAF_Qty],T_TTAFStock_Log[Part Name],$A18,T_TTAFStock_Log[WeekIndex],29))</f>
        <v/>
      </c>
      <c r="AE18" s="17">
        <f>IF(COUNTIFS(T_TTAFStock_Log[Part Name],$A18,T_TTAFStock_Log[WeekIndex],30)=0,"",SUMIFS(T_TTAFStock_Log[TTAF_Qty],T_TTAFStock_Log[Part Name],$A18,T_TTAFStock_Log[WeekIndex],30))</f>
        <v/>
      </c>
      <c r="AF18" s="17">
        <f>IF(COUNTIFS(T_TTAFStock_Log[Part Name],$A18,T_TTAFStock_Log[WeekIndex],31)=0,"",SUMIFS(T_TTAFStock_Log[TTAF_Qty],T_TTAFStock_Log[Part Name],$A18,T_TTAFStock_Log[WeekIndex],31))</f>
        <v/>
      </c>
      <c r="AG18" s="17">
        <f>IF(COUNTIFS(T_TTAFStock_Log[Part Name],$A18,T_TTAFStock_Log[WeekIndex],32)=0,"",SUMIFS(T_TTAFStock_Log[TTAF_Qty],T_TTAFStock_Log[Part Name],$A18,T_TTAFStock_Log[WeekIndex],32))</f>
        <v/>
      </c>
      <c r="AH18" s="17">
        <f>IF(COUNTIFS(T_TTAFStock_Log[Part Name],$A18,T_TTAFStock_Log[WeekIndex],33)=0,"",SUMIFS(T_TTAFStock_Log[TTAF_Qty],T_TTAFStock_Log[Part Name],$A18,T_TTAFStock_Log[WeekIndex],33))</f>
        <v/>
      </c>
      <c r="AI18" s="17">
        <f>IF(COUNTIFS(T_TTAFStock_Log[Part Name],$A18,T_TTAFStock_Log[WeekIndex],34)=0,"",SUMIFS(T_TTAFStock_Log[TTAF_Qty],T_TTAFStock_Log[Part Name],$A18,T_TTAFStock_Log[WeekIndex],34))</f>
        <v/>
      </c>
      <c r="AJ18" s="17">
        <f>IF(COUNTIFS(T_TTAFStock_Log[Part Name],$A18,T_TTAFStock_Log[WeekIndex],35)=0,"",SUMIFS(T_TTAFStock_Log[TTAF_Qty],T_TTAFStock_Log[Part Name],$A18,T_TTAFStock_Log[WeekIndex],35))</f>
        <v/>
      </c>
      <c r="AK18" s="17">
        <f>IF(COUNTIFS(T_TTAFStock_Log[Part Name],$A18,T_TTAFStock_Log[WeekIndex],36)=0,"",SUMIFS(T_TTAFStock_Log[TTAF_Qty],T_TTAFStock_Log[Part Name],$A18,T_TTAFStock_Log[WeekIndex],36))</f>
        <v/>
      </c>
      <c r="AL18" s="17">
        <f>IF(COUNTIFS(T_TTAFStock_Log[Part Name],$A18,T_TTAFStock_Log[WeekIndex],37)=0,"",SUMIFS(T_TTAFStock_Log[TTAF_Qty],T_TTAFStock_Log[Part Name],$A18,T_TTAFStock_Log[WeekIndex],37))</f>
        <v/>
      </c>
      <c r="AM18" s="17">
        <f>IF(COUNTIFS(T_TTAFStock_Log[Part Name],$A18,T_TTAFStock_Log[WeekIndex],38)=0,"",SUMIFS(T_TTAFStock_Log[TTAF_Qty],T_TTAFStock_Log[Part Name],$A18,T_TTAFStock_Log[WeekIndex],38))</f>
        <v/>
      </c>
      <c r="AN18" s="17">
        <f>IF(COUNTIFS(T_TTAFStock_Log[Part Name],$A18,T_TTAFStock_Log[WeekIndex],39)=0,"",SUMIFS(T_TTAFStock_Log[TTAF_Qty],T_TTAFStock_Log[Part Name],$A18,T_TTAFStock_Log[WeekIndex],39))</f>
        <v/>
      </c>
      <c r="AO18" s="17">
        <f>IF(COUNTIFS(T_TTAFStock_Log[Part Name],$A18,T_TTAFStock_Log[WeekIndex],40)=0,"",SUMIFS(T_TTAFStock_Log[TTAF_Qty],T_TTAFStock_Log[Part Name],$A18,T_TTAFStock_Log[WeekIndex],40))</f>
        <v/>
      </c>
      <c r="AP18" s="17">
        <f>IF(COUNTIFS(T_TTAFStock_Log[Part Name],$A18,T_TTAFStock_Log[WeekIndex],41)=0,"",SUMIFS(T_TTAFStock_Log[TTAF_Qty],T_TTAFStock_Log[Part Name],$A18,T_TTAFStock_Log[WeekIndex],41))</f>
        <v/>
      </c>
      <c r="AQ18" s="17">
        <f>IF(COUNTIFS(T_TTAFStock_Log[Part Name],$A18,T_TTAFStock_Log[WeekIndex],42)=0,"",SUMIFS(T_TTAFStock_Log[TTAF_Qty],T_TTAFStock_Log[Part Name],$A18,T_TTAFStock_Log[WeekIndex],42))</f>
        <v/>
      </c>
      <c r="AR18" s="17">
        <f>IF(COUNTIFS(T_TTAFStock_Log[Part Name],$A18,T_TTAFStock_Log[WeekIndex],43)=0,"",SUMIFS(T_TTAFStock_Log[TTAF_Qty],T_TTAFStock_Log[Part Name],$A18,T_TTAFStock_Log[WeekIndex],43))</f>
        <v/>
      </c>
      <c r="AS18" s="17">
        <f>IF(COUNTIFS(T_TTAFStock_Log[Part Name],$A18,T_TTAFStock_Log[WeekIndex],44)=0,"",SUMIFS(T_TTAFStock_Log[TTAF_Qty],T_TTAFStock_Log[Part Name],$A18,T_TTAFStock_Log[WeekIndex],44))</f>
        <v/>
      </c>
      <c r="AT18" s="17">
        <f>IF(COUNTIFS(T_TTAFStock_Log[Part Name],$A18,T_TTAFStock_Log[WeekIndex],45)=0,"",SUMIFS(T_TTAFStock_Log[TTAF_Qty],T_TTAFStock_Log[Part Name],$A18,T_TTAFStock_Log[WeekIndex],45))</f>
        <v/>
      </c>
      <c r="AU18" s="17">
        <f>IF(COUNTIFS(T_TTAFStock_Log[Part Name],$A18,T_TTAFStock_Log[WeekIndex],46)=0,"",SUMIFS(T_TTAFStock_Log[TTAF_Qty],T_TTAFStock_Log[Part Name],$A18,T_TTAFStock_Log[WeekIndex],46))</f>
        <v/>
      </c>
      <c r="AV18" s="17">
        <f>IF(COUNTIFS(T_TTAFStock_Log[Part Name],$A18,T_TTAFStock_Log[WeekIndex],47)=0,"",SUMIFS(T_TTAFStock_Log[TTAF_Qty],T_TTAFStock_Log[Part Name],$A18,T_TTAFStock_Log[WeekIndex],47))</f>
        <v/>
      </c>
      <c r="AW18" s="17">
        <f>IF(COUNTIFS(T_TTAFStock_Log[Part Name],$A18,T_TTAFStock_Log[WeekIndex],48)=0,"",SUMIFS(T_TTAFStock_Log[TTAF_Qty],T_TTAFStock_Log[Part Name],$A18,T_TTAFStock_Log[WeekIndex],48))</f>
        <v/>
      </c>
      <c r="AX18" s="17">
        <f>IF(COUNTIFS(T_TTAFStock_Log[Part Name],$A18,T_TTAFStock_Log[WeekIndex],49)=0,"",SUMIFS(T_TTAFStock_Log[TTAF_Qty],T_TTAFStock_Log[Part Name],$A18,T_TTAFStock_Log[WeekIndex],49))</f>
        <v/>
      </c>
      <c r="AY18" s="17">
        <f>IF(COUNTIFS(T_TTAFStock_Log[Part Name],$A18,T_TTAFStock_Log[WeekIndex],50)=0,"",SUMIFS(T_TTAFStock_Log[TTAF_Qty],T_TTAFStock_Log[Part Name],$A18,T_TTAFStock_Log[WeekIndex],50))</f>
        <v/>
      </c>
      <c r="AZ18" s="17">
        <f>IF(COUNTIFS(T_TTAFStock_Log[Part Name],$A18,T_TTAFStock_Log[WeekIndex],51)=0,"",SUMIFS(T_TTAFStock_Log[TTAF_Qty],T_TTAFStock_Log[Part Name],$A18,T_TTAFStock_Log[WeekIndex],51))</f>
        <v/>
      </c>
      <c r="BA18" s="17">
        <f>IF(COUNTIFS(T_TTAFStock_Log[Part Name],$A18,T_TTAFStock_Log[WeekIndex],52)=0,"",SUMIFS(T_TTAFStock_Log[TTAF_Qty],T_TTAFStock_Log[Part Name],$A18,T_TTAFStock_Log[WeekIndex],52))</f>
        <v/>
      </c>
      <c r="BB18" s="17">
        <f>IF(COUNTIFS(T_TTAFStock_Log[Part Name],$A18,T_TTAFStock_Log[WeekIndex],53)=0,"",SUMIFS(T_TTAFStock_Log[TTAF_Qty],T_TTAFStock_Log[Part Name],$A18,T_TTAFStock_Log[WeekIndex],53))</f>
        <v/>
      </c>
      <c r="BC18" s="17">
        <f>IF(COUNTIFS(T_TTAFStock_Log[Part Name],$A18,T_TTAFStock_Log[WeekIndex],54)=0,"",SUMIFS(T_TTAFStock_Log[TTAF_Qty],T_TTAFStock_Log[Part Name],$A18,T_TTAFStock_Log[WeekIndex],54))</f>
        <v/>
      </c>
      <c r="BD18" s="17">
        <f>IF(COUNTIFS(T_TTAFStock_Log[Part Name],$A18,T_TTAFStock_Log[WeekIndex],55)=0,"",SUMIFS(T_TTAFStock_Log[TTAF_Qty],T_TTAFStock_Log[Part Name],$A18,T_TTAFStock_Log[WeekIndex],55))</f>
        <v/>
      </c>
      <c r="BE18" s="17">
        <f>IF(COUNTIFS(T_TTAFStock_Log[Part Name],$A18,T_TTAFStock_Log[WeekIndex],56)=0,"",SUMIFS(T_TTAFStock_Log[TTAF_Qty],T_TTAFStock_Log[Part Name],$A18,T_TTAFStock_Log[WeekIndex],56))</f>
        <v/>
      </c>
      <c r="BF18" s="17">
        <f>IF(COUNTIFS(T_TTAFStock_Log[Part Name],$A18,T_TTAFStock_Log[WeekIndex],57)=0,"",SUMIFS(T_TTAFStock_Log[TTAF_Qty],T_TTAFStock_Log[Part Name],$A18,T_TTAFStock_Log[WeekIndex],57))</f>
        <v/>
      </c>
      <c r="BG18" s="17">
        <f>IF(COUNTIFS(T_TTAFStock_Log[Part Name],$A18,T_TTAFStock_Log[WeekIndex],58)=0,"",SUMIFS(T_TTAFStock_Log[TTAF_Qty],T_TTAFStock_Log[Part Name],$A18,T_TTAFStock_Log[WeekIndex],58))</f>
        <v/>
      </c>
      <c r="BH18" s="17">
        <f>IF(COUNTIFS(T_TTAFStock_Log[Part Name],$A18,T_TTAFStock_Log[WeekIndex],59)=0,"",SUMIFS(T_TTAFStock_Log[TTAF_Qty],T_TTAFStock_Log[Part Name],$A18,T_TTAFStock_Log[WeekIndex],59))</f>
        <v/>
      </c>
      <c r="BI18" s="17">
        <f>IF(COUNTIFS(T_TTAFStock_Log[Part Name],$A18,T_TTAFStock_Log[WeekIndex],60)=0,"",SUMIFS(T_TTAFStock_Log[TTAF_Qty],T_TTAFStock_Log[Part Name],$A18,T_TTAFStock_Log[WeekIndex],60))</f>
        <v/>
      </c>
      <c r="BJ18" s="17">
        <f>IF(COUNTIFS(T_TTAFStock_Log[Part Name],$A18,T_TTAFStock_Log[WeekIndex],61)=0,"",SUMIFS(T_TTAFStock_Log[TTAF_Qty],T_TTAFStock_Log[Part Name],$A18,T_TTAFStock_Log[WeekIndex],61))</f>
        <v/>
      </c>
      <c r="BK18" s="17">
        <f>IF(COUNTIFS(T_TTAFStock_Log[Part Name],$A18,T_TTAFStock_Log[WeekIndex],62)=0,"",SUMIFS(T_TTAFStock_Log[TTAF_Qty],T_TTAFStock_Log[Part Name],$A18,T_TTAFStock_Log[WeekIndex],62))</f>
        <v/>
      </c>
      <c r="BL18" s="17">
        <f>IF(COUNTIFS(T_TTAFStock_Log[Part Name],$A18,T_TTAFStock_Log[WeekIndex],63)=0,"",SUMIFS(T_TTAFStock_Log[TTAF_Qty],T_TTAFStock_Log[Part Name],$A18,T_TTAFStock_Log[WeekIndex],63))</f>
        <v/>
      </c>
      <c r="BM18" s="17">
        <f>IF(COUNTIFS(T_TTAFStock_Log[Part Name],$A18,T_TTAFStock_Log[WeekIndex],64)=0,"",SUMIFS(T_TTAFStock_Log[TTAF_Qty],T_TTAFStock_Log[Part Name],$A18,T_TTAFStock_Log[WeekIndex],64))</f>
        <v/>
      </c>
      <c r="BN18" s="17">
        <f>IF(COUNTIFS(T_TTAFStock_Log[Part Name],$A18,T_TTAFStock_Log[WeekIndex],65)=0,"",SUMIFS(T_TTAFStock_Log[TTAF_Qty],T_TTAFStock_Log[Part Name],$A18,T_TTAFStock_Log[WeekIndex],65))</f>
        <v/>
      </c>
      <c r="BO18" s="17">
        <f>IF(COUNTIFS(T_TTAFStock_Log[Part Name],$A18,T_TTAFStock_Log[WeekIndex],66)=0,"",SUMIFS(T_TTAFStock_Log[TTAF_Qty],T_TTAFStock_Log[Part Name],$A18,T_TTAFStock_Log[WeekIndex],66))</f>
        <v/>
      </c>
      <c r="BP18" s="17">
        <f>IF(COUNTIFS(T_TTAFStock_Log[Part Name],$A18,T_TTAFStock_Log[WeekIndex],67)=0,"",SUMIFS(T_TTAFStock_Log[TTAF_Qty],T_TTAFStock_Log[Part Name],$A18,T_TTAFStock_Log[WeekIndex],67))</f>
        <v/>
      </c>
      <c r="BQ18" s="17">
        <f>IF(COUNTIFS(T_TTAFStock_Log[Part Name],$A18,T_TTAFStock_Log[WeekIndex],68)=0,"",SUMIFS(T_TTAFStock_Log[TTAF_Qty],T_TTAFStock_Log[Part Name],$A18,T_TTAFStock_Log[WeekIndex],68))</f>
        <v/>
      </c>
      <c r="BR18" s="17">
        <f>IF(COUNTIFS(T_TTAFStock_Log[Part Name],$A18,T_TTAFStock_Log[WeekIndex],69)=0,"",SUMIFS(T_TTAFStock_Log[TTAF_Qty],T_TTAFStock_Log[Part Name],$A18,T_TTAFStock_Log[WeekIndex],69))</f>
        <v/>
      </c>
      <c r="BS18" s="17">
        <f>IF(COUNTIFS(T_TTAFStock_Log[Part Name],$A18,T_TTAFStock_Log[WeekIndex],70)=0,"",SUMIFS(T_TTAFStock_Log[TTAF_Qty],T_TTAFStock_Log[Part Name],$A18,T_TTAFStock_Log[WeekIndex],70))</f>
        <v/>
      </c>
      <c r="BT18" s="17">
        <f>IF(COUNTIFS(T_TTAFStock_Log[Part Name],$A18,T_TTAFStock_Log[WeekIndex],71)=0,"",SUMIFS(T_TTAFStock_Log[TTAF_Qty],T_TTAFStock_Log[Part Name],$A18,T_TTAFStock_Log[WeekIndex],71))</f>
        <v/>
      </c>
      <c r="BU18" s="17">
        <f>IF(COUNTIFS(T_TTAFStock_Log[Part Name],$A18,T_TTAFStock_Log[WeekIndex],72)=0,"",SUMIFS(T_TTAFStock_Log[TTAF_Qty],T_TTAFStock_Log[Part Name],$A18,T_TTAFStock_Log[WeekIndex],72))</f>
        <v/>
      </c>
      <c r="BV18" s="17">
        <f>IF(COUNTIFS(T_TTAFStock_Log[Part Name],$A18,T_TTAFStock_Log[WeekIndex],73)=0,"",SUMIFS(T_TTAFStock_Log[TTAF_Qty],T_TTAFStock_Log[Part Name],$A18,T_TTAFStock_Log[WeekIndex],73))</f>
        <v/>
      </c>
      <c r="BW18" s="17">
        <f>IF(COUNTIFS(T_TTAFStock_Log[Part Name],$A18,T_TTAFStock_Log[WeekIndex],74)=0,"",SUMIFS(T_TTAFStock_Log[TTAF_Qty],T_TTAFStock_Log[Part Name],$A18,T_TTAFStock_Log[WeekIndex],74))</f>
        <v/>
      </c>
      <c r="BX18" s="17">
        <f>IF(COUNTIFS(T_TTAFStock_Log[Part Name],$A18,T_TTAFStock_Log[WeekIndex],75)=0,"",SUMIFS(T_TTAFStock_Log[TTAF_Qty],T_TTAFStock_Log[Part Name],$A18,T_TTAFStock_Log[WeekIndex],75))</f>
        <v/>
      </c>
      <c r="BY18" s="17">
        <f>IF(COUNTIFS(T_TTAFStock_Log[Part Name],$A18,T_TTAFStock_Log[WeekIndex],76)=0,"",SUMIFS(T_TTAFStock_Log[TTAF_Qty],T_TTAFStock_Log[Part Name],$A18,T_TTAFStock_Log[WeekIndex],76))</f>
        <v/>
      </c>
      <c r="BZ18" s="17">
        <f>IF(COUNTIFS(T_TTAFStock_Log[Part Name],$A18,T_TTAFStock_Log[WeekIndex],77)=0,"",SUMIFS(T_TTAFStock_Log[TTAF_Qty],T_TTAFStock_Log[Part Name],$A18,T_TTAFStock_Log[WeekIndex],77))</f>
        <v/>
      </c>
      <c r="CA18" s="17">
        <f>IF(COUNTIFS(T_TTAFStock_Log[Part Name],$A18,T_TTAFStock_Log[WeekIndex],78)=0,"",SUMIFS(T_TTAFStock_Log[TTAF_Qty],T_TTAFStock_Log[Part Name],$A18,T_TTAFStock_Log[WeekIndex],78))</f>
        <v/>
      </c>
      <c r="CB18" s="17">
        <f>IF(COUNTIFS(T_TTAFStock_Log[Part Name],$A18,T_TTAFStock_Log[WeekIndex],79)=0,"",SUMIFS(T_TTAFStock_Log[TTAF_Qty],T_TTAFStock_Log[Part Name],$A18,T_TTAFStock_Log[WeekIndex],79))</f>
        <v/>
      </c>
      <c r="CC18" s="17">
        <f>IF(COUNTIFS(T_TTAFStock_Log[Part Name],$A18,T_TTAFStock_Log[WeekIndex],80)=0,"",SUMIFS(T_TTAFStock_Log[TTAF_Qty],T_TTAFStock_Log[Part Name],$A18,T_TTAFStock_Log[WeekIndex],80))</f>
        <v/>
      </c>
      <c r="CD18" s="17">
        <f>IF(COUNTIFS(T_TTAFStock_Log[Part Name],$A18,T_TTAFStock_Log[WeekIndex],81)=0,"",SUMIFS(T_TTAFStock_Log[TTAF_Qty],T_TTAFStock_Log[Part Name],$A18,T_TTAFStock_Log[WeekIndex],81))</f>
        <v/>
      </c>
      <c r="CE18" s="17">
        <f>IF(COUNTIFS(T_TTAFStock_Log[Part Name],$A18,T_TTAFStock_Log[WeekIndex],82)=0,"",SUMIFS(T_TTAFStock_Log[TTAF_Qty],T_TTAFStock_Log[Part Name],$A18,T_TTAFStock_Log[WeekIndex],82))</f>
        <v/>
      </c>
      <c r="CF18" s="17">
        <f>IF(COUNTIFS(T_TTAFStock_Log[Part Name],$A18,T_TTAFStock_Log[WeekIndex],83)=0,"",SUMIFS(T_TTAFStock_Log[TTAF_Qty],T_TTAFStock_Log[Part Name],$A18,T_TTAFStock_Log[WeekIndex],83))</f>
        <v/>
      </c>
      <c r="CG18" s="17">
        <f>IF(COUNTIFS(T_TTAFStock_Log[Part Name],$A18,T_TTAFStock_Log[WeekIndex],84)=0,"",SUMIFS(T_TTAFStock_Log[TTAF_Qty],T_TTAFStock_Log[Part Name],$A18,T_TTAFStock_Log[WeekIndex],84))</f>
        <v/>
      </c>
      <c r="CH18" s="17">
        <f>IF(COUNTIFS(T_TTAFStock_Log[Part Name],$A18,T_TTAFStock_Log[WeekIndex],85)=0,"",SUMIFS(T_TTAFStock_Log[TTAF_Qty],T_TTAFStock_Log[Part Name],$A18,T_TTAFStock_Log[WeekIndex],85))</f>
        <v/>
      </c>
      <c r="CI18" s="17">
        <f>IF(COUNTIFS(T_TTAFStock_Log[Part Name],$A18,T_TTAFStock_Log[WeekIndex],86)=0,"",SUMIFS(T_TTAFStock_Log[TTAF_Qty],T_TTAFStock_Log[Part Name],$A18,T_TTAFStock_Log[WeekIndex],86))</f>
        <v/>
      </c>
      <c r="CJ18" s="17">
        <f>IF(COUNTIFS(T_TTAFStock_Log[Part Name],$A18,T_TTAFStock_Log[WeekIndex],87)=0,"",SUMIFS(T_TTAFStock_Log[TTAF_Qty],T_TTAFStock_Log[Part Name],$A18,T_TTAFStock_Log[WeekIndex],87))</f>
        <v/>
      </c>
      <c r="CK18" s="17">
        <f>IF(COUNTIFS(T_TTAFStock_Log[Part Name],$A18,T_TTAFStock_Log[WeekIndex],88)=0,"",SUMIFS(T_TTAFStock_Log[TTAF_Qty],T_TTAFStock_Log[Part Name],$A18,T_TTAFStock_Log[WeekIndex],88))</f>
        <v/>
      </c>
      <c r="CL18" s="17">
        <f>IF(COUNTIFS(T_TTAFStock_Log[Part Name],$A18,T_TTAFStock_Log[WeekIndex],89)=0,"",SUMIFS(T_TTAFStock_Log[TTAF_Qty],T_TTAFStock_Log[Part Name],$A18,T_TTAFStock_Log[WeekIndex],89))</f>
        <v/>
      </c>
      <c r="CM18" s="17">
        <f>IF(COUNTIFS(T_TTAFStock_Log[Part Name],$A18,T_TTAFStock_Log[WeekIndex],90)=0,"",SUMIFS(T_TTAFStock_Log[TTAF_Qty],T_TTAFStock_Log[Part Name],$A18,T_TTAFStock_Log[WeekIndex],90))</f>
        <v/>
      </c>
      <c r="CN18" s="17">
        <f>IF(COUNTIFS(T_TTAFStock_Log[Part Name],$A18,T_TTAFStock_Log[WeekIndex],91)=0,"",SUMIFS(T_TTAFStock_Log[TTAF_Qty],T_TTAFStock_Log[Part Name],$A18,T_TTAFStock_Log[WeekIndex],91))</f>
        <v/>
      </c>
      <c r="CO18" s="17">
        <f>IF(COUNTIFS(T_TTAFStock_Log[Part Name],$A18,T_TTAFStock_Log[WeekIndex],92)=0,"",SUMIFS(T_TTAFStock_Log[TTAF_Qty],T_TTAFStock_Log[Part Name],$A18,T_TTAFStock_Log[WeekIndex],92))</f>
        <v/>
      </c>
      <c r="CP18" s="17">
        <f>IF(COUNTIFS(T_TTAFStock_Log[Part Name],$A18,T_TTAFStock_Log[WeekIndex],93)=0,"",SUMIFS(T_TTAFStock_Log[TTAF_Qty],T_TTAFStock_Log[Part Name],$A18,T_TTAFStock_Log[WeekIndex],93))</f>
        <v/>
      </c>
      <c r="CQ18" s="17">
        <f>IF(COUNTIFS(T_TTAFStock_Log[Part Name],$A18,T_TTAFStock_Log[WeekIndex],94)=0,"",SUMIFS(T_TTAFStock_Log[TTAF_Qty],T_TTAFStock_Log[Part Name],$A18,T_TTAFStock_Log[WeekIndex],94))</f>
        <v/>
      </c>
      <c r="CR18" s="17">
        <f>IF(COUNTIFS(T_TTAFStock_Log[Part Name],$A18,T_TTAFStock_Log[WeekIndex],95)=0,"",SUMIFS(T_TTAFStock_Log[TTAF_Qty],T_TTAFStock_Log[Part Name],$A18,T_TTAFStock_Log[WeekIndex],95))</f>
        <v/>
      </c>
      <c r="CS18" s="17">
        <f>IF(COUNTIFS(T_TTAFStock_Log[Part Name],$A18,T_TTAFStock_Log[WeekIndex],96)=0,"",SUMIFS(T_TTAFStock_Log[TTAF_Qty],T_TTAFStock_Log[Part Name],$A18,T_TTAFStock_Log[WeekIndex],96))</f>
        <v/>
      </c>
      <c r="CT18" s="17">
        <f>IF(COUNTIFS(T_TTAFStock_Log[Part Name],$A18,T_TTAFStock_Log[WeekIndex],97)=0,"",SUMIFS(T_TTAFStock_Log[TTAF_Qty],T_TTAFStock_Log[Part Name],$A18,T_TTAFStock_Log[WeekIndex],97))</f>
        <v/>
      </c>
      <c r="CU18" s="17">
        <f>IF(COUNTIFS(T_TTAFStock_Log[Part Name],$A18,T_TTAFStock_Log[WeekIndex],98)=0,"",SUMIFS(T_TTAFStock_Log[TTAF_Qty],T_TTAFStock_Log[Part Name],$A18,T_TTAFStock_Log[WeekIndex],98))</f>
        <v/>
      </c>
      <c r="CV18" s="17">
        <f>IF(COUNTIFS(T_TTAFStock_Log[Part Name],$A18,T_TTAFStock_Log[WeekIndex],99)=0,"",SUMIFS(T_TTAFStock_Log[TTAF_Qty],T_TTAFStock_Log[Part Name],$A18,T_TTAFStock_Log[WeekIndex],99))</f>
        <v/>
      </c>
      <c r="CW18" s="17">
        <f>IF(COUNTIFS(T_TTAFStock_Log[Part Name],$A18,T_TTAFStock_Log[WeekIndex],100)=0,"",SUMIFS(T_TTAFStock_Log[TTAF_Qty],T_TTAFStock_Log[Part Name],$A18,T_TTAFStock_Log[WeekIndex],100))</f>
        <v/>
      </c>
      <c r="CX18" s="17">
        <f>IF(COUNTIFS(T_TTAFStock_Log[Part Name],$A18,T_TTAFStock_Log[WeekIndex],101)=0,"",SUMIFS(T_TTAFStock_Log[TTAF_Qty],T_TTAFStock_Log[Part Name],$A18,T_TTAFStock_Log[WeekIndex],101))</f>
        <v/>
      </c>
      <c r="CY18" s="17">
        <f>IF(COUNTIFS(T_TTAFStock_Log[Part Name],$A18,T_TTAFStock_Log[WeekIndex],102)=0,"",SUMIFS(T_TTAFStock_Log[TTAF_Qty],T_TTAFStock_Log[Part Name],$A18,T_TTAFStock_Log[WeekIndex],102))</f>
        <v/>
      </c>
      <c r="CZ18" s="17">
        <f>IF(COUNTIFS(T_TTAFStock_Log[Part Name],$A18,T_TTAFStock_Log[WeekIndex],103)=0,"",SUMIFS(T_TTAFStock_Log[TTAF_Qty],T_TTAFStock_Log[Part Name],$A18,T_TTAFStock_Log[WeekIndex],103))</f>
        <v/>
      </c>
      <c r="DA18" s="17">
        <f>IF(COUNTIFS(T_TTAFStock_Log[Part Name],$A18,T_TTAFStock_Log[WeekIndex],104)=0,"",SUMIFS(T_TTAFStock_Log[TTAF_Qty],T_TTAFStock_Log[Part Name],$A18,T_TTAFStock_Log[WeekIndex],104))</f>
        <v/>
      </c>
    </row>
    <row r="19">
      <c r="A19" s="19" t="inlineStr">
        <is>
          <t>5SN</t>
        </is>
      </c>
      <c r="B19" s="19">
        <f>IF(COUNTIFS(T_TTAFStock_Log[Part Name],$A19,T_TTAFStock_Log[WeekIndex],1)=0,"",SUMIFS(T_TTAFStock_Log[TTAF_Qty],T_TTAFStock_Log[Part Name],$A19,T_TTAFStock_Log[WeekIndex],1))</f>
        <v/>
      </c>
      <c r="C19" s="19">
        <f>IF(COUNTIFS(T_TTAFStock_Log[Part Name],$A19,T_TTAFStock_Log[WeekIndex],2)=0,"",SUMIFS(T_TTAFStock_Log[TTAF_Qty],T_TTAFStock_Log[Part Name],$A19,T_TTAFStock_Log[WeekIndex],2))</f>
        <v/>
      </c>
      <c r="D19" s="19">
        <f>IF(COUNTIFS(T_TTAFStock_Log[Part Name],$A19,T_TTAFStock_Log[WeekIndex],3)=0,"",SUMIFS(T_TTAFStock_Log[TTAF_Qty],T_TTAFStock_Log[Part Name],$A19,T_TTAFStock_Log[WeekIndex],3))</f>
        <v/>
      </c>
      <c r="E19" s="19">
        <f>IF(COUNTIFS(T_TTAFStock_Log[Part Name],$A19,T_TTAFStock_Log[WeekIndex],4)=0,"",SUMIFS(T_TTAFStock_Log[TTAF_Qty],T_TTAFStock_Log[Part Name],$A19,T_TTAFStock_Log[WeekIndex],4))</f>
        <v/>
      </c>
      <c r="F19" s="19">
        <f>IF(COUNTIFS(T_TTAFStock_Log[Part Name],$A19,T_TTAFStock_Log[WeekIndex],5)=0,"",SUMIFS(T_TTAFStock_Log[TTAF_Qty],T_TTAFStock_Log[Part Name],$A19,T_TTAFStock_Log[WeekIndex],5))</f>
        <v/>
      </c>
      <c r="G19" s="19">
        <f>IF(COUNTIFS(T_TTAFStock_Log[Part Name],$A19,T_TTAFStock_Log[WeekIndex],6)=0,"",SUMIFS(T_TTAFStock_Log[TTAF_Qty],T_TTAFStock_Log[Part Name],$A19,T_TTAFStock_Log[WeekIndex],6))</f>
        <v/>
      </c>
      <c r="H19" s="19">
        <f>IF(COUNTIFS(T_TTAFStock_Log[Part Name],$A19,T_TTAFStock_Log[WeekIndex],7)=0,"",SUMIFS(T_TTAFStock_Log[TTAF_Qty],T_TTAFStock_Log[Part Name],$A19,T_TTAFStock_Log[WeekIndex],7))</f>
        <v/>
      </c>
      <c r="I19" s="19">
        <f>IF(COUNTIFS(T_TTAFStock_Log[Part Name],$A19,T_TTAFStock_Log[WeekIndex],8)=0,"",SUMIFS(T_TTAFStock_Log[TTAF_Qty],T_TTAFStock_Log[Part Name],$A19,T_TTAFStock_Log[WeekIndex],8))</f>
        <v/>
      </c>
      <c r="J19" s="19">
        <f>IF(COUNTIFS(T_TTAFStock_Log[Part Name],$A19,T_TTAFStock_Log[WeekIndex],9)=0,"",SUMIFS(T_TTAFStock_Log[TTAF_Qty],T_TTAFStock_Log[Part Name],$A19,T_TTAFStock_Log[WeekIndex],9))</f>
        <v/>
      </c>
      <c r="K19" s="19">
        <f>IF(COUNTIFS(T_TTAFStock_Log[Part Name],$A19,T_TTAFStock_Log[WeekIndex],10)=0,"",SUMIFS(T_TTAFStock_Log[TTAF_Qty],T_TTAFStock_Log[Part Name],$A19,T_TTAFStock_Log[WeekIndex],10))</f>
        <v/>
      </c>
      <c r="L19" s="19">
        <f>IF(COUNTIFS(T_TTAFStock_Log[Part Name],$A19,T_TTAFStock_Log[WeekIndex],11)=0,"",SUMIFS(T_TTAFStock_Log[TTAF_Qty],T_TTAFStock_Log[Part Name],$A19,T_TTAFStock_Log[WeekIndex],11))</f>
        <v/>
      </c>
      <c r="M19" s="19">
        <f>IF(COUNTIFS(T_TTAFStock_Log[Part Name],$A19,T_TTAFStock_Log[WeekIndex],12)=0,"",SUMIFS(T_TTAFStock_Log[TTAF_Qty],T_TTAFStock_Log[Part Name],$A19,T_TTAFStock_Log[WeekIndex],12))</f>
        <v/>
      </c>
      <c r="N19" s="19">
        <f>IF(COUNTIFS(T_TTAFStock_Log[Part Name],$A19,T_TTAFStock_Log[WeekIndex],13)=0,"",SUMIFS(T_TTAFStock_Log[TTAF_Qty],T_TTAFStock_Log[Part Name],$A19,T_TTAFStock_Log[WeekIndex],13))</f>
        <v/>
      </c>
      <c r="O19" s="19">
        <f>IF(COUNTIFS(T_TTAFStock_Log[Part Name],$A19,T_TTAFStock_Log[WeekIndex],14)=0,"",SUMIFS(T_TTAFStock_Log[TTAF_Qty],T_TTAFStock_Log[Part Name],$A19,T_TTAFStock_Log[WeekIndex],14))</f>
        <v/>
      </c>
      <c r="P19" s="19">
        <f>IF(COUNTIFS(T_TTAFStock_Log[Part Name],$A19,T_TTAFStock_Log[WeekIndex],15)=0,"",SUMIFS(T_TTAFStock_Log[TTAF_Qty],T_TTAFStock_Log[Part Name],$A19,T_TTAFStock_Log[WeekIndex],15))</f>
        <v/>
      </c>
      <c r="Q19" s="19">
        <f>IF(COUNTIFS(T_TTAFStock_Log[Part Name],$A19,T_TTAFStock_Log[WeekIndex],16)=0,"",SUMIFS(T_TTAFStock_Log[TTAF_Qty],T_TTAFStock_Log[Part Name],$A19,T_TTAFStock_Log[WeekIndex],16))</f>
        <v/>
      </c>
      <c r="R19" s="19">
        <f>IF(COUNTIFS(T_TTAFStock_Log[Part Name],$A19,T_TTAFStock_Log[WeekIndex],17)=0,"",SUMIFS(T_TTAFStock_Log[TTAF_Qty],T_TTAFStock_Log[Part Name],$A19,T_TTAFStock_Log[WeekIndex],17))</f>
        <v/>
      </c>
      <c r="S19" s="19">
        <f>IF(COUNTIFS(T_TTAFStock_Log[Part Name],$A19,T_TTAFStock_Log[WeekIndex],18)=0,"",SUMIFS(T_TTAFStock_Log[TTAF_Qty],T_TTAFStock_Log[Part Name],$A19,T_TTAFStock_Log[WeekIndex],18))</f>
        <v/>
      </c>
      <c r="T19" s="19">
        <f>IF(COUNTIFS(T_TTAFStock_Log[Part Name],$A19,T_TTAFStock_Log[WeekIndex],19)=0,"",SUMIFS(T_TTAFStock_Log[TTAF_Qty],T_TTAFStock_Log[Part Name],$A19,T_TTAFStock_Log[WeekIndex],19))</f>
        <v/>
      </c>
      <c r="U19" s="19">
        <f>IF(COUNTIFS(T_TTAFStock_Log[Part Name],$A19,T_TTAFStock_Log[WeekIndex],20)=0,"",SUMIFS(T_TTAFStock_Log[TTAF_Qty],T_TTAFStock_Log[Part Name],$A19,T_TTAFStock_Log[WeekIndex],20))</f>
        <v/>
      </c>
      <c r="V19" s="19">
        <f>IF(COUNTIFS(T_TTAFStock_Log[Part Name],$A19,T_TTAFStock_Log[WeekIndex],21)=0,"",SUMIFS(T_TTAFStock_Log[TTAF_Qty],T_TTAFStock_Log[Part Name],$A19,T_TTAFStock_Log[WeekIndex],21))</f>
        <v/>
      </c>
      <c r="W19" s="19">
        <f>IF(COUNTIFS(T_TTAFStock_Log[Part Name],$A19,T_TTAFStock_Log[WeekIndex],22)=0,"",SUMIFS(T_TTAFStock_Log[TTAF_Qty],T_TTAFStock_Log[Part Name],$A19,T_TTAFStock_Log[WeekIndex],22))</f>
        <v/>
      </c>
      <c r="X19" s="19">
        <f>IF(COUNTIFS(T_TTAFStock_Log[Part Name],$A19,T_TTAFStock_Log[WeekIndex],23)=0,"",SUMIFS(T_TTAFStock_Log[TTAF_Qty],T_TTAFStock_Log[Part Name],$A19,T_TTAFStock_Log[WeekIndex],23))</f>
        <v/>
      </c>
      <c r="Y19" s="19">
        <f>IF(COUNTIFS(T_TTAFStock_Log[Part Name],$A19,T_TTAFStock_Log[WeekIndex],24)=0,"",SUMIFS(T_TTAFStock_Log[TTAF_Qty],T_TTAFStock_Log[Part Name],$A19,T_TTAFStock_Log[WeekIndex],24))</f>
        <v/>
      </c>
      <c r="Z19" s="19">
        <f>IF(COUNTIFS(T_TTAFStock_Log[Part Name],$A19,T_TTAFStock_Log[WeekIndex],25)=0,"",SUMIFS(T_TTAFStock_Log[TTAF_Qty],T_TTAFStock_Log[Part Name],$A19,T_TTAFStock_Log[WeekIndex],25))</f>
        <v/>
      </c>
      <c r="AA19" s="19">
        <f>IF(COUNTIFS(T_TTAFStock_Log[Part Name],$A19,T_TTAFStock_Log[WeekIndex],26)=0,"",SUMIFS(T_TTAFStock_Log[TTAF_Qty],T_TTAFStock_Log[Part Name],$A19,T_TTAFStock_Log[WeekIndex],26))</f>
        <v/>
      </c>
      <c r="AB19" s="19">
        <f>IF(COUNTIFS(T_TTAFStock_Log[Part Name],$A19,T_TTAFStock_Log[WeekIndex],27)=0,"",SUMIFS(T_TTAFStock_Log[TTAF_Qty],T_TTAFStock_Log[Part Name],$A19,T_TTAFStock_Log[WeekIndex],27))</f>
        <v/>
      </c>
      <c r="AC19" s="19">
        <f>IF(COUNTIFS(T_TTAFStock_Log[Part Name],$A19,T_TTAFStock_Log[WeekIndex],28)=0,"",SUMIFS(T_TTAFStock_Log[TTAF_Qty],T_TTAFStock_Log[Part Name],$A19,T_TTAFStock_Log[WeekIndex],28))</f>
        <v/>
      </c>
      <c r="AD19" s="19">
        <f>IF(COUNTIFS(T_TTAFStock_Log[Part Name],$A19,T_TTAFStock_Log[WeekIndex],29)=0,"",SUMIFS(T_TTAFStock_Log[TTAF_Qty],T_TTAFStock_Log[Part Name],$A19,T_TTAFStock_Log[WeekIndex],29))</f>
        <v/>
      </c>
      <c r="AE19" s="19">
        <f>IF(COUNTIFS(T_TTAFStock_Log[Part Name],$A19,T_TTAFStock_Log[WeekIndex],30)=0,"",SUMIFS(T_TTAFStock_Log[TTAF_Qty],T_TTAFStock_Log[Part Name],$A19,T_TTAFStock_Log[WeekIndex],30))</f>
        <v/>
      </c>
      <c r="AF19" s="19">
        <f>IF(COUNTIFS(T_TTAFStock_Log[Part Name],$A19,T_TTAFStock_Log[WeekIndex],31)=0,"",SUMIFS(T_TTAFStock_Log[TTAF_Qty],T_TTAFStock_Log[Part Name],$A19,T_TTAFStock_Log[WeekIndex],31))</f>
        <v/>
      </c>
      <c r="AG19" s="19">
        <f>IF(COUNTIFS(T_TTAFStock_Log[Part Name],$A19,T_TTAFStock_Log[WeekIndex],32)=0,"",SUMIFS(T_TTAFStock_Log[TTAF_Qty],T_TTAFStock_Log[Part Name],$A19,T_TTAFStock_Log[WeekIndex],32))</f>
        <v/>
      </c>
      <c r="AH19" s="19">
        <f>IF(COUNTIFS(T_TTAFStock_Log[Part Name],$A19,T_TTAFStock_Log[WeekIndex],33)=0,"",SUMIFS(T_TTAFStock_Log[TTAF_Qty],T_TTAFStock_Log[Part Name],$A19,T_TTAFStock_Log[WeekIndex],33))</f>
        <v/>
      </c>
      <c r="AI19" s="19">
        <f>IF(COUNTIFS(T_TTAFStock_Log[Part Name],$A19,T_TTAFStock_Log[WeekIndex],34)=0,"",SUMIFS(T_TTAFStock_Log[TTAF_Qty],T_TTAFStock_Log[Part Name],$A19,T_TTAFStock_Log[WeekIndex],34))</f>
        <v/>
      </c>
      <c r="AJ19" s="19">
        <f>IF(COUNTIFS(T_TTAFStock_Log[Part Name],$A19,T_TTAFStock_Log[WeekIndex],35)=0,"",SUMIFS(T_TTAFStock_Log[TTAF_Qty],T_TTAFStock_Log[Part Name],$A19,T_TTAFStock_Log[WeekIndex],35))</f>
        <v/>
      </c>
      <c r="AK19" s="19">
        <f>IF(COUNTIFS(T_TTAFStock_Log[Part Name],$A19,T_TTAFStock_Log[WeekIndex],36)=0,"",SUMIFS(T_TTAFStock_Log[TTAF_Qty],T_TTAFStock_Log[Part Name],$A19,T_TTAFStock_Log[WeekIndex],36))</f>
        <v/>
      </c>
      <c r="AL19" s="19">
        <f>IF(COUNTIFS(T_TTAFStock_Log[Part Name],$A19,T_TTAFStock_Log[WeekIndex],37)=0,"",SUMIFS(T_TTAFStock_Log[TTAF_Qty],T_TTAFStock_Log[Part Name],$A19,T_TTAFStock_Log[WeekIndex],37))</f>
        <v/>
      </c>
      <c r="AM19" s="19">
        <f>IF(COUNTIFS(T_TTAFStock_Log[Part Name],$A19,T_TTAFStock_Log[WeekIndex],38)=0,"",SUMIFS(T_TTAFStock_Log[TTAF_Qty],T_TTAFStock_Log[Part Name],$A19,T_TTAFStock_Log[WeekIndex],38))</f>
        <v/>
      </c>
      <c r="AN19" s="19">
        <f>IF(COUNTIFS(T_TTAFStock_Log[Part Name],$A19,T_TTAFStock_Log[WeekIndex],39)=0,"",SUMIFS(T_TTAFStock_Log[TTAF_Qty],T_TTAFStock_Log[Part Name],$A19,T_TTAFStock_Log[WeekIndex],39))</f>
        <v/>
      </c>
      <c r="AO19" s="19">
        <f>IF(COUNTIFS(T_TTAFStock_Log[Part Name],$A19,T_TTAFStock_Log[WeekIndex],40)=0,"",SUMIFS(T_TTAFStock_Log[TTAF_Qty],T_TTAFStock_Log[Part Name],$A19,T_TTAFStock_Log[WeekIndex],40))</f>
        <v/>
      </c>
      <c r="AP19" s="19">
        <f>IF(COUNTIFS(T_TTAFStock_Log[Part Name],$A19,T_TTAFStock_Log[WeekIndex],41)=0,"",SUMIFS(T_TTAFStock_Log[TTAF_Qty],T_TTAFStock_Log[Part Name],$A19,T_TTAFStock_Log[WeekIndex],41))</f>
        <v/>
      </c>
      <c r="AQ19" s="19">
        <f>IF(COUNTIFS(T_TTAFStock_Log[Part Name],$A19,T_TTAFStock_Log[WeekIndex],42)=0,"",SUMIFS(T_TTAFStock_Log[TTAF_Qty],T_TTAFStock_Log[Part Name],$A19,T_TTAFStock_Log[WeekIndex],42))</f>
        <v/>
      </c>
      <c r="AR19" s="19">
        <f>IF(COUNTIFS(T_TTAFStock_Log[Part Name],$A19,T_TTAFStock_Log[WeekIndex],43)=0,"",SUMIFS(T_TTAFStock_Log[TTAF_Qty],T_TTAFStock_Log[Part Name],$A19,T_TTAFStock_Log[WeekIndex],43))</f>
        <v/>
      </c>
      <c r="AS19" s="19">
        <f>IF(COUNTIFS(T_TTAFStock_Log[Part Name],$A19,T_TTAFStock_Log[WeekIndex],44)=0,"",SUMIFS(T_TTAFStock_Log[TTAF_Qty],T_TTAFStock_Log[Part Name],$A19,T_TTAFStock_Log[WeekIndex],44))</f>
        <v/>
      </c>
      <c r="AT19" s="19">
        <f>IF(COUNTIFS(T_TTAFStock_Log[Part Name],$A19,T_TTAFStock_Log[WeekIndex],45)=0,"",SUMIFS(T_TTAFStock_Log[TTAF_Qty],T_TTAFStock_Log[Part Name],$A19,T_TTAFStock_Log[WeekIndex],45))</f>
        <v/>
      </c>
      <c r="AU19" s="19">
        <f>IF(COUNTIFS(T_TTAFStock_Log[Part Name],$A19,T_TTAFStock_Log[WeekIndex],46)=0,"",SUMIFS(T_TTAFStock_Log[TTAF_Qty],T_TTAFStock_Log[Part Name],$A19,T_TTAFStock_Log[WeekIndex],46))</f>
        <v/>
      </c>
      <c r="AV19" s="19">
        <f>IF(COUNTIFS(T_TTAFStock_Log[Part Name],$A19,T_TTAFStock_Log[WeekIndex],47)=0,"",SUMIFS(T_TTAFStock_Log[TTAF_Qty],T_TTAFStock_Log[Part Name],$A19,T_TTAFStock_Log[WeekIndex],47))</f>
        <v/>
      </c>
      <c r="AW19" s="19">
        <f>IF(COUNTIFS(T_TTAFStock_Log[Part Name],$A19,T_TTAFStock_Log[WeekIndex],48)=0,"",SUMIFS(T_TTAFStock_Log[TTAF_Qty],T_TTAFStock_Log[Part Name],$A19,T_TTAFStock_Log[WeekIndex],48))</f>
        <v/>
      </c>
      <c r="AX19" s="19">
        <f>IF(COUNTIFS(T_TTAFStock_Log[Part Name],$A19,T_TTAFStock_Log[WeekIndex],49)=0,"",SUMIFS(T_TTAFStock_Log[TTAF_Qty],T_TTAFStock_Log[Part Name],$A19,T_TTAFStock_Log[WeekIndex],49))</f>
        <v/>
      </c>
      <c r="AY19" s="19">
        <f>IF(COUNTIFS(T_TTAFStock_Log[Part Name],$A19,T_TTAFStock_Log[WeekIndex],50)=0,"",SUMIFS(T_TTAFStock_Log[TTAF_Qty],T_TTAFStock_Log[Part Name],$A19,T_TTAFStock_Log[WeekIndex],50))</f>
        <v/>
      </c>
      <c r="AZ19" s="19">
        <f>IF(COUNTIFS(T_TTAFStock_Log[Part Name],$A19,T_TTAFStock_Log[WeekIndex],51)=0,"",SUMIFS(T_TTAFStock_Log[TTAF_Qty],T_TTAFStock_Log[Part Name],$A19,T_TTAFStock_Log[WeekIndex],51))</f>
        <v/>
      </c>
      <c r="BA19" s="19">
        <f>IF(COUNTIFS(T_TTAFStock_Log[Part Name],$A19,T_TTAFStock_Log[WeekIndex],52)=0,"",SUMIFS(T_TTAFStock_Log[TTAF_Qty],T_TTAFStock_Log[Part Name],$A19,T_TTAFStock_Log[WeekIndex],52))</f>
        <v/>
      </c>
      <c r="BB19" s="19">
        <f>IF(COUNTIFS(T_TTAFStock_Log[Part Name],$A19,T_TTAFStock_Log[WeekIndex],53)=0,"",SUMIFS(T_TTAFStock_Log[TTAF_Qty],T_TTAFStock_Log[Part Name],$A19,T_TTAFStock_Log[WeekIndex],53))</f>
        <v/>
      </c>
      <c r="BC19" s="19">
        <f>IF(COUNTIFS(T_TTAFStock_Log[Part Name],$A19,T_TTAFStock_Log[WeekIndex],54)=0,"",SUMIFS(T_TTAFStock_Log[TTAF_Qty],T_TTAFStock_Log[Part Name],$A19,T_TTAFStock_Log[WeekIndex],54))</f>
        <v/>
      </c>
      <c r="BD19" s="19">
        <f>IF(COUNTIFS(T_TTAFStock_Log[Part Name],$A19,T_TTAFStock_Log[WeekIndex],55)=0,"",SUMIFS(T_TTAFStock_Log[TTAF_Qty],T_TTAFStock_Log[Part Name],$A19,T_TTAFStock_Log[WeekIndex],55))</f>
        <v/>
      </c>
      <c r="BE19" s="19">
        <f>IF(COUNTIFS(T_TTAFStock_Log[Part Name],$A19,T_TTAFStock_Log[WeekIndex],56)=0,"",SUMIFS(T_TTAFStock_Log[TTAF_Qty],T_TTAFStock_Log[Part Name],$A19,T_TTAFStock_Log[WeekIndex],56))</f>
        <v/>
      </c>
      <c r="BF19" s="19">
        <f>IF(COUNTIFS(T_TTAFStock_Log[Part Name],$A19,T_TTAFStock_Log[WeekIndex],57)=0,"",SUMIFS(T_TTAFStock_Log[TTAF_Qty],T_TTAFStock_Log[Part Name],$A19,T_TTAFStock_Log[WeekIndex],57))</f>
        <v/>
      </c>
      <c r="BG19" s="19">
        <f>IF(COUNTIFS(T_TTAFStock_Log[Part Name],$A19,T_TTAFStock_Log[WeekIndex],58)=0,"",SUMIFS(T_TTAFStock_Log[TTAF_Qty],T_TTAFStock_Log[Part Name],$A19,T_TTAFStock_Log[WeekIndex],58))</f>
        <v/>
      </c>
      <c r="BH19" s="19">
        <f>IF(COUNTIFS(T_TTAFStock_Log[Part Name],$A19,T_TTAFStock_Log[WeekIndex],59)=0,"",SUMIFS(T_TTAFStock_Log[TTAF_Qty],T_TTAFStock_Log[Part Name],$A19,T_TTAFStock_Log[WeekIndex],59))</f>
        <v/>
      </c>
      <c r="BI19" s="19">
        <f>IF(COUNTIFS(T_TTAFStock_Log[Part Name],$A19,T_TTAFStock_Log[WeekIndex],60)=0,"",SUMIFS(T_TTAFStock_Log[TTAF_Qty],T_TTAFStock_Log[Part Name],$A19,T_TTAFStock_Log[WeekIndex],60))</f>
        <v/>
      </c>
      <c r="BJ19" s="19">
        <f>IF(COUNTIFS(T_TTAFStock_Log[Part Name],$A19,T_TTAFStock_Log[WeekIndex],61)=0,"",SUMIFS(T_TTAFStock_Log[TTAF_Qty],T_TTAFStock_Log[Part Name],$A19,T_TTAFStock_Log[WeekIndex],61))</f>
        <v/>
      </c>
      <c r="BK19" s="19">
        <f>IF(COUNTIFS(T_TTAFStock_Log[Part Name],$A19,T_TTAFStock_Log[WeekIndex],62)=0,"",SUMIFS(T_TTAFStock_Log[TTAF_Qty],T_TTAFStock_Log[Part Name],$A19,T_TTAFStock_Log[WeekIndex],62))</f>
        <v/>
      </c>
      <c r="BL19" s="19">
        <f>IF(COUNTIFS(T_TTAFStock_Log[Part Name],$A19,T_TTAFStock_Log[WeekIndex],63)=0,"",SUMIFS(T_TTAFStock_Log[TTAF_Qty],T_TTAFStock_Log[Part Name],$A19,T_TTAFStock_Log[WeekIndex],63))</f>
        <v/>
      </c>
      <c r="BM19" s="19">
        <f>IF(COUNTIFS(T_TTAFStock_Log[Part Name],$A19,T_TTAFStock_Log[WeekIndex],64)=0,"",SUMIFS(T_TTAFStock_Log[TTAF_Qty],T_TTAFStock_Log[Part Name],$A19,T_TTAFStock_Log[WeekIndex],64))</f>
        <v/>
      </c>
      <c r="BN19" s="19">
        <f>IF(COUNTIFS(T_TTAFStock_Log[Part Name],$A19,T_TTAFStock_Log[WeekIndex],65)=0,"",SUMIFS(T_TTAFStock_Log[TTAF_Qty],T_TTAFStock_Log[Part Name],$A19,T_TTAFStock_Log[WeekIndex],65))</f>
        <v/>
      </c>
      <c r="BO19" s="19">
        <f>IF(COUNTIFS(T_TTAFStock_Log[Part Name],$A19,T_TTAFStock_Log[WeekIndex],66)=0,"",SUMIFS(T_TTAFStock_Log[TTAF_Qty],T_TTAFStock_Log[Part Name],$A19,T_TTAFStock_Log[WeekIndex],66))</f>
        <v/>
      </c>
      <c r="BP19" s="19">
        <f>IF(COUNTIFS(T_TTAFStock_Log[Part Name],$A19,T_TTAFStock_Log[WeekIndex],67)=0,"",SUMIFS(T_TTAFStock_Log[TTAF_Qty],T_TTAFStock_Log[Part Name],$A19,T_TTAFStock_Log[WeekIndex],67))</f>
        <v/>
      </c>
      <c r="BQ19" s="19">
        <f>IF(COUNTIFS(T_TTAFStock_Log[Part Name],$A19,T_TTAFStock_Log[WeekIndex],68)=0,"",SUMIFS(T_TTAFStock_Log[TTAF_Qty],T_TTAFStock_Log[Part Name],$A19,T_TTAFStock_Log[WeekIndex],68))</f>
        <v/>
      </c>
      <c r="BR19" s="19">
        <f>IF(COUNTIFS(T_TTAFStock_Log[Part Name],$A19,T_TTAFStock_Log[WeekIndex],69)=0,"",SUMIFS(T_TTAFStock_Log[TTAF_Qty],T_TTAFStock_Log[Part Name],$A19,T_TTAFStock_Log[WeekIndex],69))</f>
        <v/>
      </c>
      <c r="BS19" s="19">
        <f>IF(COUNTIFS(T_TTAFStock_Log[Part Name],$A19,T_TTAFStock_Log[WeekIndex],70)=0,"",SUMIFS(T_TTAFStock_Log[TTAF_Qty],T_TTAFStock_Log[Part Name],$A19,T_TTAFStock_Log[WeekIndex],70))</f>
        <v/>
      </c>
      <c r="BT19" s="19">
        <f>IF(COUNTIFS(T_TTAFStock_Log[Part Name],$A19,T_TTAFStock_Log[WeekIndex],71)=0,"",SUMIFS(T_TTAFStock_Log[TTAF_Qty],T_TTAFStock_Log[Part Name],$A19,T_TTAFStock_Log[WeekIndex],71))</f>
        <v/>
      </c>
      <c r="BU19" s="19">
        <f>IF(COUNTIFS(T_TTAFStock_Log[Part Name],$A19,T_TTAFStock_Log[WeekIndex],72)=0,"",SUMIFS(T_TTAFStock_Log[TTAF_Qty],T_TTAFStock_Log[Part Name],$A19,T_TTAFStock_Log[WeekIndex],72))</f>
        <v/>
      </c>
      <c r="BV19" s="19">
        <f>IF(COUNTIFS(T_TTAFStock_Log[Part Name],$A19,T_TTAFStock_Log[WeekIndex],73)=0,"",SUMIFS(T_TTAFStock_Log[TTAF_Qty],T_TTAFStock_Log[Part Name],$A19,T_TTAFStock_Log[WeekIndex],73))</f>
        <v/>
      </c>
      <c r="BW19" s="19">
        <f>IF(COUNTIFS(T_TTAFStock_Log[Part Name],$A19,T_TTAFStock_Log[WeekIndex],74)=0,"",SUMIFS(T_TTAFStock_Log[TTAF_Qty],T_TTAFStock_Log[Part Name],$A19,T_TTAFStock_Log[WeekIndex],74))</f>
        <v/>
      </c>
      <c r="BX19" s="19">
        <f>IF(COUNTIFS(T_TTAFStock_Log[Part Name],$A19,T_TTAFStock_Log[WeekIndex],75)=0,"",SUMIFS(T_TTAFStock_Log[TTAF_Qty],T_TTAFStock_Log[Part Name],$A19,T_TTAFStock_Log[WeekIndex],75))</f>
        <v/>
      </c>
      <c r="BY19" s="19">
        <f>IF(COUNTIFS(T_TTAFStock_Log[Part Name],$A19,T_TTAFStock_Log[WeekIndex],76)=0,"",SUMIFS(T_TTAFStock_Log[TTAF_Qty],T_TTAFStock_Log[Part Name],$A19,T_TTAFStock_Log[WeekIndex],76))</f>
        <v/>
      </c>
      <c r="BZ19" s="19">
        <f>IF(COUNTIFS(T_TTAFStock_Log[Part Name],$A19,T_TTAFStock_Log[WeekIndex],77)=0,"",SUMIFS(T_TTAFStock_Log[TTAF_Qty],T_TTAFStock_Log[Part Name],$A19,T_TTAFStock_Log[WeekIndex],77))</f>
        <v/>
      </c>
      <c r="CA19" s="19">
        <f>IF(COUNTIFS(T_TTAFStock_Log[Part Name],$A19,T_TTAFStock_Log[WeekIndex],78)=0,"",SUMIFS(T_TTAFStock_Log[TTAF_Qty],T_TTAFStock_Log[Part Name],$A19,T_TTAFStock_Log[WeekIndex],78))</f>
        <v/>
      </c>
      <c r="CB19" s="19">
        <f>IF(COUNTIFS(T_TTAFStock_Log[Part Name],$A19,T_TTAFStock_Log[WeekIndex],79)=0,"",SUMIFS(T_TTAFStock_Log[TTAF_Qty],T_TTAFStock_Log[Part Name],$A19,T_TTAFStock_Log[WeekIndex],79))</f>
        <v/>
      </c>
      <c r="CC19" s="19">
        <f>IF(COUNTIFS(T_TTAFStock_Log[Part Name],$A19,T_TTAFStock_Log[WeekIndex],80)=0,"",SUMIFS(T_TTAFStock_Log[TTAF_Qty],T_TTAFStock_Log[Part Name],$A19,T_TTAFStock_Log[WeekIndex],80))</f>
        <v/>
      </c>
      <c r="CD19" s="19">
        <f>IF(COUNTIFS(T_TTAFStock_Log[Part Name],$A19,T_TTAFStock_Log[WeekIndex],81)=0,"",SUMIFS(T_TTAFStock_Log[TTAF_Qty],T_TTAFStock_Log[Part Name],$A19,T_TTAFStock_Log[WeekIndex],81))</f>
        <v/>
      </c>
      <c r="CE19" s="19">
        <f>IF(COUNTIFS(T_TTAFStock_Log[Part Name],$A19,T_TTAFStock_Log[WeekIndex],82)=0,"",SUMIFS(T_TTAFStock_Log[TTAF_Qty],T_TTAFStock_Log[Part Name],$A19,T_TTAFStock_Log[WeekIndex],82))</f>
        <v/>
      </c>
      <c r="CF19" s="19">
        <f>IF(COUNTIFS(T_TTAFStock_Log[Part Name],$A19,T_TTAFStock_Log[WeekIndex],83)=0,"",SUMIFS(T_TTAFStock_Log[TTAF_Qty],T_TTAFStock_Log[Part Name],$A19,T_TTAFStock_Log[WeekIndex],83))</f>
        <v/>
      </c>
      <c r="CG19" s="19">
        <f>IF(COUNTIFS(T_TTAFStock_Log[Part Name],$A19,T_TTAFStock_Log[WeekIndex],84)=0,"",SUMIFS(T_TTAFStock_Log[TTAF_Qty],T_TTAFStock_Log[Part Name],$A19,T_TTAFStock_Log[WeekIndex],84))</f>
        <v/>
      </c>
      <c r="CH19" s="19">
        <f>IF(COUNTIFS(T_TTAFStock_Log[Part Name],$A19,T_TTAFStock_Log[WeekIndex],85)=0,"",SUMIFS(T_TTAFStock_Log[TTAF_Qty],T_TTAFStock_Log[Part Name],$A19,T_TTAFStock_Log[WeekIndex],85))</f>
        <v/>
      </c>
      <c r="CI19" s="19">
        <f>IF(COUNTIFS(T_TTAFStock_Log[Part Name],$A19,T_TTAFStock_Log[WeekIndex],86)=0,"",SUMIFS(T_TTAFStock_Log[TTAF_Qty],T_TTAFStock_Log[Part Name],$A19,T_TTAFStock_Log[WeekIndex],86))</f>
        <v/>
      </c>
      <c r="CJ19" s="19">
        <f>IF(COUNTIFS(T_TTAFStock_Log[Part Name],$A19,T_TTAFStock_Log[WeekIndex],87)=0,"",SUMIFS(T_TTAFStock_Log[TTAF_Qty],T_TTAFStock_Log[Part Name],$A19,T_TTAFStock_Log[WeekIndex],87))</f>
        <v/>
      </c>
      <c r="CK19" s="19">
        <f>IF(COUNTIFS(T_TTAFStock_Log[Part Name],$A19,T_TTAFStock_Log[WeekIndex],88)=0,"",SUMIFS(T_TTAFStock_Log[TTAF_Qty],T_TTAFStock_Log[Part Name],$A19,T_TTAFStock_Log[WeekIndex],88))</f>
        <v/>
      </c>
      <c r="CL19" s="19">
        <f>IF(COUNTIFS(T_TTAFStock_Log[Part Name],$A19,T_TTAFStock_Log[WeekIndex],89)=0,"",SUMIFS(T_TTAFStock_Log[TTAF_Qty],T_TTAFStock_Log[Part Name],$A19,T_TTAFStock_Log[WeekIndex],89))</f>
        <v/>
      </c>
      <c r="CM19" s="19">
        <f>IF(COUNTIFS(T_TTAFStock_Log[Part Name],$A19,T_TTAFStock_Log[WeekIndex],90)=0,"",SUMIFS(T_TTAFStock_Log[TTAF_Qty],T_TTAFStock_Log[Part Name],$A19,T_TTAFStock_Log[WeekIndex],90))</f>
        <v/>
      </c>
      <c r="CN19" s="19">
        <f>IF(COUNTIFS(T_TTAFStock_Log[Part Name],$A19,T_TTAFStock_Log[WeekIndex],91)=0,"",SUMIFS(T_TTAFStock_Log[TTAF_Qty],T_TTAFStock_Log[Part Name],$A19,T_TTAFStock_Log[WeekIndex],91))</f>
        <v/>
      </c>
      <c r="CO19" s="19">
        <f>IF(COUNTIFS(T_TTAFStock_Log[Part Name],$A19,T_TTAFStock_Log[WeekIndex],92)=0,"",SUMIFS(T_TTAFStock_Log[TTAF_Qty],T_TTAFStock_Log[Part Name],$A19,T_TTAFStock_Log[WeekIndex],92))</f>
        <v/>
      </c>
      <c r="CP19" s="19">
        <f>IF(COUNTIFS(T_TTAFStock_Log[Part Name],$A19,T_TTAFStock_Log[WeekIndex],93)=0,"",SUMIFS(T_TTAFStock_Log[TTAF_Qty],T_TTAFStock_Log[Part Name],$A19,T_TTAFStock_Log[WeekIndex],93))</f>
        <v/>
      </c>
      <c r="CQ19" s="19">
        <f>IF(COUNTIFS(T_TTAFStock_Log[Part Name],$A19,T_TTAFStock_Log[WeekIndex],94)=0,"",SUMIFS(T_TTAFStock_Log[TTAF_Qty],T_TTAFStock_Log[Part Name],$A19,T_TTAFStock_Log[WeekIndex],94))</f>
        <v/>
      </c>
      <c r="CR19" s="19">
        <f>IF(COUNTIFS(T_TTAFStock_Log[Part Name],$A19,T_TTAFStock_Log[WeekIndex],95)=0,"",SUMIFS(T_TTAFStock_Log[TTAF_Qty],T_TTAFStock_Log[Part Name],$A19,T_TTAFStock_Log[WeekIndex],95))</f>
        <v/>
      </c>
      <c r="CS19" s="19">
        <f>IF(COUNTIFS(T_TTAFStock_Log[Part Name],$A19,T_TTAFStock_Log[WeekIndex],96)=0,"",SUMIFS(T_TTAFStock_Log[TTAF_Qty],T_TTAFStock_Log[Part Name],$A19,T_TTAFStock_Log[WeekIndex],96))</f>
        <v/>
      </c>
      <c r="CT19" s="19">
        <f>IF(COUNTIFS(T_TTAFStock_Log[Part Name],$A19,T_TTAFStock_Log[WeekIndex],97)=0,"",SUMIFS(T_TTAFStock_Log[TTAF_Qty],T_TTAFStock_Log[Part Name],$A19,T_TTAFStock_Log[WeekIndex],97))</f>
        <v/>
      </c>
      <c r="CU19" s="19">
        <f>IF(COUNTIFS(T_TTAFStock_Log[Part Name],$A19,T_TTAFStock_Log[WeekIndex],98)=0,"",SUMIFS(T_TTAFStock_Log[TTAF_Qty],T_TTAFStock_Log[Part Name],$A19,T_TTAFStock_Log[WeekIndex],98))</f>
        <v/>
      </c>
      <c r="CV19" s="19">
        <f>IF(COUNTIFS(T_TTAFStock_Log[Part Name],$A19,T_TTAFStock_Log[WeekIndex],99)=0,"",SUMIFS(T_TTAFStock_Log[TTAF_Qty],T_TTAFStock_Log[Part Name],$A19,T_TTAFStock_Log[WeekIndex],99))</f>
        <v/>
      </c>
      <c r="CW19" s="19">
        <f>IF(COUNTIFS(T_TTAFStock_Log[Part Name],$A19,T_TTAFStock_Log[WeekIndex],100)=0,"",SUMIFS(T_TTAFStock_Log[TTAF_Qty],T_TTAFStock_Log[Part Name],$A19,T_TTAFStock_Log[WeekIndex],100))</f>
        <v/>
      </c>
      <c r="CX19" s="19">
        <f>IF(COUNTIFS(T_TTAFStock_Log[Part Name],$A19,T_TTAFStock_Log[WeekIndex],101)=0,"",SUMIFS(T_TTAFStock_Log[TTAF_Qty],T_TTAFStock_Log[Part Name],$A19,T_TTAFStock_Log[WeekIndex],101))</f>
        <v/>
      </c>
      <c r="CY19" s="19">
        <f>IF(COUNTIFS(T_TTAFStock_Log[Part Name],$A19,T_TTAFStock_Log[WeekIndex],102)=0,"",SUMIFS(T_TTAFStock_Log[TTAF_Qty],T_TTAFStock_Log[Part Name],$A19,T_TTAFStock_Log[WeekIndex],102))</f>
        <v/>
      </c>
      <c r="CZ19" s="19">
        <f>IF(COUNTIFS(T_TTAFStock_Log[Part Name],$A19,T_TTAFStock_Log[WeekIndex],103)=0,"",SUMIFS(T_TTAFStock_Log[TTAF_Qty],T_TTAFStock_Log[Part Name],$A19,T_TTAFStock_Log[WeekIndex],103))</f>
        <v/>
      </c>
      <c r="DA19" s="19">
        <f>IF(COUNTIFS(T_TTAFStock_Log[Part Name],$A19,T_TTAFStock_Log[WeekIndex],104)=0,"",SUMIFS(T_TTAFStock_Log[TTAF_Qty],T_TTAFStock_Log[Part Name],$A19,T_TTAFStock_Log[WeekIndex],104))</f>
        <v/>
      </c>
    </row>
    <row r="20">
      <c r="A20" s="17" t="inlineStr">
        <is>
          <t>8EN</t>
        </is>
      </c>
      <c r="B20" s="17">
        <f>IF(COUNTIFS(T_TTAFStock_Log[Part Name],$A20,T_TTAFStock_Log[WeekIndex],1)=0,"",SUMIFS(T_TTAFStock_Log[TTAF_Qty],T_TTAFStock_Log[Part Name],$A20,T_TTAFStock_Log[WeekIndex],1))</f>
        <v/>
      </c>
      <c r="C20" s="17">
        <f>IF(COUNTIFS(T_TTAFStock_Log[Part Name],$A20,T_TTAFStock_Log[WeekIndex],2)=0,"",SUMIFS(T_TTAFStock_Log[TTAF_Qty],T_TTAFStock_Log[Part Name],$A20,T_TTAFStock_Log[WeekIndex],2))</f>
        <v/>
      </c>
      <c r="D20" s="17">
        <f>IF(COUNTIFS(T_TTAFStock_Log[Part Name],$A20,T_TTAFStock_Log[WeekIndex],3)=0,"",SUMIFS(T_TTAFStock_Log[TTAF_Qty],T_TTAFStock_Log[Part Name],$A20,T_TTAFStock_Log[WeekIndex],3))</f>
        <v/>
      </c>
      <c r="E20" s="17">
        <f>IF(COUNTIFS(T_TTAFStock_Log[Part Name],$A20,T_TTAFStock_Log[WeekIndex],4)=0,"",SUMIFS(T_TTAFStock_Log[TTAF_Qty],T_TTAFStock_Log[Part Name],$A20,T_TTAFStock_Log[WeekIndex],4))</f>
        <v/>
      </c>
      <c r="F20" s="17">
        <f>IF(COUNTIFS(T_TTAFStock_Log[Part Name],$A20,T_TTAFStock_Log[WeekIndex],5)=0,"",SUMIFS(T_TTAFStock_Log[TTAF_Qty],T_TTAFStock_Log[Part Name],$A20,T_TTAFStock_Log[WeekIndex],5))</f>
        <v/>
      </c>
      <c r="G20" s="17">
        <f>IF(COUNTIFS(T_TTAFStock_Log[Part Name],$A20,T_TTAFStock_Log[WeekIndex],6)=0,"",SUMIFS(T_TTAFStock_Log[TTAF_Qty],T_TTAFStock_Log[Part Name],$A20,T_TTAFStock_Log[WeekIndex],6))</f>
        <v/>
      </c>
      <c r="H20" s="17">
        <f>IF(COUNTIFS(T_TTAFStock_Log[Part Name],$A20,T_TTAFStock_Log[WeekIndex],7)=0,"",SUMIFS(T_TTAFStock_Log[TTAF_Qty],T_TTAFStock_Log[Part Name],$A20,T_TTAFStock_Log[WeekIndex],7))</f>
        <v/>
      </c>
      <c r="I20" s="17">
        <f>IF(COUNTIFS(T_TTAFStock_Log[Part Name],$A20,T_TTAFStock_Log[WeekIndex],8)=0,"",SUMIFS(T_TTAFStock_Log[TTAF_Qty],T_TTAFStock_Log[Part Name],$A20,T_TTAFStock_Log[WeekIndex],8))</f>
        <v/>
      </c>
      <c r="J20" s="17">
        <f>IF(COUNTIFS(T_TTAFStock_Log[Part Name],$A20,T_TTAFStock_Log[WeekIndex],9)=0,"",SUMIFS(T_TTAFStock_Log[TTAF_Qty],T_TTAFStock_Log[Part Name],$A20,T_TTAFStock_Log[WeekIndex],9))</f>
        <v/>
      </c>
      <c r="K20" s="17">
        <f>IF(COUNTIFS(T_TTAFStock_Log[Part Name],$A20,T_TTAFStock_Log[WeekIndex],10)=0,"",SUMIFS(T_TTAFStock_Log[TTAF_Qty],T_TTAFStock_Log[Part Name],$A20,T_TTAFStock_Log[WeekIndex],10))</f>
        <v/>
      </c>
      <c r="L20" s="17">
        <f>IF(COUNTIFS(T_TTAFStock_Log[Part Name],$A20,T_TTAFStock_Log[WeekIndex],11)=0,"",SUMIFS(T_TTAFStock_Log[TTAF_Qty],T_TTAFStock_Log[Part Name],$A20,T_TTAFStock_Log[WeekIndex],11))</f>
        <v/>
      </c>
      <c r="M20" s="17">
        <f>IF(COUNTIFS(T_TTAFStock_Log[Part Name],$A20,T_TTAFStock_Log[WeekIndex],12)=0,"",SUMIFS(T_TTAFStock_Log[TTAF_Qty],T_TTAFStock_Log[Part Name],$A20,T_TTAFStock_Log[WeekIndex],12))</f>
        <v/>
      </c>
      <c r="N20" s="17">
        <f>IF(COUNTIFS(T_TTAFStock_Log[Part Name],$A20,T_TTAFStock_Log[WeekIndex],13)=0,"",SUMIFS(T_TTAFStock_Log[TTAF_Qty],T_TTAFStock_Log[Part Name],$A20,T_TTAFStock_Log[WeekIndex],13))</f>
        <v/>
      </c>
      <c r="O20" s="17">
        <f>IF(COUNTIFS(T_TTAFStock_Log[Part Name],$A20,T_TTAFStock_Log[WeekIndex],14)=0,"",SUMIFS(T_TTAFStock_Log[TTAF_Qty],T_TTAFStock_Log[Part Name],$A20,T_TTAFStock_Log[WeekIndex],14))</f>
        <v/>
      </c>
      <c r="P20" s="17">
        <f>IF(COUNTIFS(T_TTAFStock_Log[Part Name],$A20,T_TTAFStock_Log[WeekIndex],15)=0,"",SUMIFS(T_TTAFStock_Log[TTAF_Qty],T_TTAFStock_Log[Part Name],$A20,T_TTAFStock_Log[WeekIndex],15))</f>
        <v/>
      </c>
      <c r="Q20" s="17">
        <f>IF(COUNTIFS(T_TTAFStock_Log[Part Name],$A20,T_TTAFStock_Log[WeekIndex],16)=0,"",SUMIFS(T_TTAFStock_Log[TTAF_Qty],T_TTAFStock_Log[Part Name],$A20,T_TTAFStock_Log[WeekIndex],16))</f>
        <v/>
      </c>
      <c r="R20" s="17">
        <f>IF(COUNTIFS(T_TTAFStock_Log[Part Name],$A20,T_TTAFStock_Log[WeekIndex],17)=0,"",SUMIFS(T_TTAFStock_Log[TTAF_Qty],T_TTAFStock_Log[Part Name],$A20,T_TTAFStock_Log[WeekIndex],17))</f>
        <v/>
      </c>
      <c r="S20" s="17">
        <f>IF(COUNTIFS(T_TTAFStock_Log[Part Name],$A20,T_TTAFStock_Log[WeekIndex],18)=0,"",SUMIFS(T_TTAFStock_Log[TTAF_Qty],T_TTAFStock_Log[Part Name],$A20,T_TTAFStock_Log[WeekIndex],18))</f>
        <v/>
      </c>
      <c r="T20" s="17">
        <f>IF(COUNTIFS(T_TTAFStock_Log[Part Name],$A20,T_TTAFStock_Log[WeekIndex],19)=0,"",SUMIFS(T_TTAFStock_Log[TTAF_Qty],T_TTAFStock_Log[Part Name],$A20,T_TTAFStock_Log[WeekIndex],19))</f>
        <v/>
      </c>
      <c r="U20" s="17">
        <f>IF(COUNTIFS(T_TTAFStock_Log[Part Name],$A20,T_TTAFStock_Log[WeekIndex],20)=0,"",SUMIFS(T_TTAFStock_Log[TTAF_Qty],T_TTAFStock_Log[Part Name],$A20,T_TTAFStock_Log[WeekIndex],20))</f>
        <v/>
      </c>
      <c r="V20" s="17">
        <f>IF(COUNTIFS(T_TTAFStock_Log[Part Name],$A20,T_TTAFStock_Log[WeekIndex],21)=0,"",SUMIFS(T_TTAFStock_Log[TTAF_Qty],T_TTAFStock_Log[Part Name],$A20,T_TTAFStock_Log[WeekIndex],21))</f>
        <v/>
      </c>
      <c r="W20" s="17">
        <f>IF(COUNTIFS(T_TTAFStock_Log[Part Name],$A20,T_TTAFStock_Log[WeekIndex],22)=0,"",SUMIFS(T_TTAFStock_Log[TTAF_Qty],T_TTAFStock_Log[Part Name],$A20,T_TTAFStock_Log[WeekIndex],22))</f>
        <v/>
      </c>
      <c r="X20" s="17">
        <f>IF(COUNTIFS(T_TTAFStock_Log[Part Name],$A20,T_TTAFStock_Log[WeekIndex],23)=0,"",SUMIFS(T_TTAFStock_Log[TTAF_Qty],T_TTAFStock_Log[Part Name],$A20,T_TTAFStock_Log[WeekIndex],23))</f>
        <v/>
      </c>
      <c r="Y20" s="17">
        <f>IF(COUNTIFS(T_TTAFStock_Log[Part Name],$A20,T_TTAFStock_Log[WeekIndex],24)=0,"",SUMIFS(T_TTAFStock_Log[TTAF_Qty],T_TTAFStock_Log[Part Name],$A20,T_TTAFStock_Log[WeekIndex],24))</f>
        <v/>
      </c>
      <c r="Z20" s="17">
        <f>IF(COUNTIFS(T_TTAFStock_Log[Part Name],$A20,T_TTAFStock_Log[WeekIndex],25)=0,"",SUMIFS(T_TTAFStock_Log[TTAF_Qty],T_TTAFStock_Log[Part Name],$A20,T_TTAFStock_Log[WeekIndex],25))</f>
        <v/>
      </c>
      <c r="AA20" s="17">
        <f>IF(COUNTIFS(T_TTAFStock_Log[Part Name],$A20,T_TTAFStock_Log[WeekIndex],26)=0,"",SUMIFS(T_TTAFStock_Log[TTAF_Qty],T_TTAFStock_Log[Part Name],$A20,T_TTAFStock_Log[WeekIndex],26))</f>
        <v/>
      </c>
      <c r="AB20" s="17">
        <f>IF(COUNTIFS(T_TTAFStock_Log[Part Name],$A20,T_TTAFStock_Log[WeekIndex],27)=0,"",SUMIFS(T_TTAFStock_Log[TTAF_Qty],T_TTAFStock_Log[Part Name],$A20,T_TTAFStock_Log[WeekIndex],27))</f>
        <v/>
      </c>
      <c r="AC20" s="17">
        <f>IF(COUNTIFS(T_TTAFStock_Log[Part Name],$A20,T_TTAFStock_Log[WeekIndex],28)=0,"",SUMIFS(T_TTAFStock_Log[TTAF_Qty],T_TTAFStock_Log[Part Name],$A20,T_TTAFStock_Log[WeekIndex],28))</f>
        <v/>
      </c>
      <c r="AD20" s="17">
        <f>IF(COUNTIFS(T_TTAFStock_Log[Part Name],$A20,T_TTAFStock_Log[WeekIndex],29)=0,"",SUMIFS(T_TTAFStock_Log[TTAF_Qty],T_TTAFStock_Log[Part Name],$A20,T_TTAFStock_Log[WeekIndex],29))</f>
        <v/>
      </c>
      <c r="AE20" s="17">
        <f>IF(COUNTIFS(T_TTAFStock_Log[Part Name],$A20,T_TTAFStock_Log[WeekIndex],30)=0,"",SUMIFS(T_TTAFStock_Log[TTAF_Qty],T_TTAFStock_Log[Part Name],$A20,T_TTAFStock_Log[WeekIndex],30))</f>
        <v/>
      </c>
      <c r="AF20" s="17">
        <f>IF(COUNTIFS(T_TTAFStock_Log[Part Name],$A20,T_TTAFStock_Log[WeekIndex],31)=0,"",SUMIFS(T_TTAFStock_Log[TTAF_Qty],T_TTAFStock_Log[Part Name],$A20,T_TTAFStock_Log[WeekIndex],31))</f>
        <v/>
      </c>
      <c r="AG20" s="17">
        <f>IF(COUNTIFS(T_TTAFStock_Log[Part Name],$A20,T_TTAFStock_Log[WeekIndex],32)=0,"",SUMIFS(T_TTAFStock_Log[TTAF_Qty],T_TTAFStock_Log[Part Name],$A20,T_TTAFStock_Log[WeekIndex],32))</f>
        <v/>
      </c>
      <c r="AH20" s="17">
        <f>IF(COUNTIFS(T_TTAFStock_Log[Part Name],$A20,T_TTAFStock_Log[WeekIndex],33)=0,"",SUMIFS(T_TTAFStock_Log[TTAF_Qty],T_TTAFStock_Log[Part Name],$A20,T_TTAFStock_Log[WeekIndex],33))</f>
        <v/>
      </c>
      <c r="AI20" s="17">
        <f>IF(COUNTIFS(T_TTAFStock_Log[Part Name],$A20,T_TTAFStock_Log[WeekIndex],34)=0,"",SUMIFS(T_TTAFStock_Log[TTAF_Qty],T_TTAFStock_Log[Part Name],$A20,T_TTAFStock_Log[WeekIndex],34))</f>
        <v/>
      </c>
      <c r="AJ20" s="17">
        <f>IF(COUNTIFS(T_TTAFStock_Log[Part Name],$A20,T_TTAFStock_Log[WeekIndex],35)=0,"",SUMIFS(T_TTAFStock_Log[TTAF_Qty],T_TTAFStock_Log[Part Name],$A20,T_TTAFStock_Log[WeekIndex],35))</f>
        <v/>
      </c>
      <c r="AK20" s="17">
        <f>IF(COUNTIFS(T_TTAFStock_Log[Part Name],$A20,T_TTAFStock_Log[WeekIndex],36)=0,"",SUMIFS(T_TTAFStock_Log[TTAF_Qty],T_TTAFStock_Log[Part Name],$A20,T_TTAFStock_Log[WeekIndex],36))</f>
        <v/>
      </c>
      <c r="AL20" s="17">
        <f>IF(COUNTIFS(T_TTAFStock_Log[Part Name],$A20,T_TTAFStock_Log[WeekIndex],37)=0,"",SUMIFS(T_TTAFStock_Log[TTAF_Qty],T_TTAFStock_Log[Part Name],$A20,T_TTAFStock_Log[WeekIndex],37))</f>
        <v/>
      </c>
      <c r="AM20" s="17">
        <f>IF(COUNTIFS(T_TTAFStock_Log[Part Name],$A20,T_TTAFStock_Log[WeekIndex],38)=0,"",SUMIFS(T_TTAFStock_Log[TTAF_Qty],T_TTAFStock_Log[Part Name],$A20,T_TTAFStock_Log[WeekIndex],38))</f>
        <v/>
      </c>
      <c r="AN20" s="17">
        <f>IF(COUNTIFS(T_TTAFStock_Log[Part Name],$A20,T_TTAFStock_Log[WeekIndex],39)=0,"",SUMIFS(T_TTAFStock_Log[TTAF_Qty],T_TTAFStock_Log[Part Name],$A20,T_TTAFStock_Log[WeekIndex],39))</f>
        <v/>
      </c>
      <c r="AO20" s="17">
        <f>IF(COUNTIFS(T_TTAFStock_Log[Part Name],$A20,T_TTAFStock_Log[WeekIndex],40)=0,"",SUMIFS(T_TTAFStock_Log[TTAF_Qty],T_TTAFStock_Log[Part Name],$A20,T_TTAFStock_Log[WeekIndex],40))</f>
        <v/>
      </c>
      <c r="AP20" s="17">
        <f>IF(COUNTIFS(T_TTAFStock_Log[Part Name],$A20,T_TTAFStock_Log[WeekIndex],41)=0,"",SUMIFS(T_TTAFStock_Log[TTAF_Qty],T_TTAFStock_Log[Part Name],$A20,T_TTAFStock_Log[WeekIndex],41))</f>
        <v/>
      </c>
      <c r="AQ20" s="17">
        <f>IF(COUNTIFS(T_TTAFStock_Log[Part Name],$A20,T_TTAFStock_Log[WeekIndex],42)=0,"",SUMIFS(T_TTAFStock_Log[TTAF_Qty],T_TTAFStock_Log[Part Name],$A20,T_TTAFStock_Log[WeekIndex],42))</f>
        <v/>
      </c>
      <c r="AR20" s="17">
        <f>IF(COUNTIFS(T_TTAFStock_Log[Part Name],$A20,T_TTAFStock_Log[WeekIndex],43)=0,"",SUMIFS(T_TTAFStock_Log[TTAF_Qty],T_TTAFStock_Log[Part Name],$A20,T_TTAFStock_Log[WeekIndex],43))</f>
        <v/>
      </c>
      <c r="AS20" s="17">
        <f>IF(COUNTIFS(T_TTAFStock_Log[Part Name],$A20,T_TTAFStock_Log[WeekIndex],44)=0,"",SUMIFS(T_TTAFStock_Log[TTAF_Qty],T_TTAFStock_Log[Part Name],$A20,T_TTAFStock_Log[WeekIndex],44))</f>
        <v/>
      </c>
      <c r="AT20" s="17">
        <f>IF(COUNTIFS(T_TTAFStock_Log[Part Name],$A20,T_TTAFStock_Log[WeekIndex],45)=0,"",SUMIFS(T_TTAFStock_Log[TTAF_Qty],T_TTAFStock_Log[Part Name],$A20,T_TTAFStock_Log[WeekIndex],45))</f>
        <v/>
      </c>
      <c r="AU20" s="17">
        <f>IF(COUNTIFS(T_TTAFStock_Log[Part Name],$A20,T_TTAFStock_Log[WeekIndex],46)=0,"",SUMIFS(T_TTAFStock_Log[TTAF_Qty],T_TTAFStock_Log[Part Name],$A20,T_TTAFStock_Log[WeekIndex],46))</f>
        <v/>
      </c>
      <c r="AV20" s="17">
        <f>IF(COUNTIFS(T_TTAFStock_Log[Part Name],$A20,T_TTAFStock_Log[WeekIndex],47)=0,"",SUMIFS(T_TTAFStock_Log[TTAF_Qty],T_TTAFStock_Log[Part Name],$A20,T_TTAFStock_Log[WeekIndex],47))</f>
        <v/>
      </c>
      <c r="AW20" s="17">
        <f>IF(COUNTIFS(T_TTAFStock_Log[Part Name],$A20,T_TTAFStock_Log[WeekIndex],48)=0,"",SUMIFS(T_TTAFStock_Log[TTAF_Qty],T_TTAFStock_Log[Part Name],$A20,T_TTAFStock_Log[WeekIndex],48))</f>
        <v/>
      </c>
      <c r="AX20" s="17">
        <f>IF(COUNTIFS(T_TTAFStock_Log[Part Name],$A20,T_TTAFStock_Log[WeekIndex],49)=0,"",SUMIFS(T_TTAFStock_Log[TTAF_Qty],T_TTAFStock_Log[Part Name],$A20,T_TTAFStock_Log[WeekIndex],49))</f>
        <v/>
      </c>
      <c r="AY20" s="17">
        <f>IF(COUNTIFS(T_TTAFStock_Log[Part Name],$A20,T_TTAFStock_Log[WeekIndex],50)=0,"",SUMIFS(T_TTAFStock_Log[TTAF_Qty],T_TTAFStock_Log[Part Name],$A20,T_TTAFStock_Log[WeekIndex],50))</f>
        <v/>
      </c>
      <c r="AZ20" s="17">
        <f>IF(COUNTIFS(T_TTAFStock_Log[Part Name],$A20,T_TTAFStock_Log[WeekIndex],51)=0,"",SUMIFS(T_TTAFStock_Log[TTAF_Qty],T_TTAFStock_Log[Part Name],$A20,T_TTAFStock_Log[WeekIndex],51))</f>
        <v/>
      </c>
      <c r="BA20" s="17">
        <f>IF(COUNTIFS(T_TTAFStock_Log[Part Name],$A20,T_TTAFStock_Log[WeekIndex],52)=0,"",SUMIFS(T_TTAFStock_Log[TTAF_Qty],T_TTAFStock_Log[Part Name],$A20,T_TTAFStock_Log[WeekIndex],52))</f>
        <v/>
      </c>
      <c r="BB20" s="17">
        <f>IF(COUNTIFS(T_TTAFStock_Log[Part Name],$A20,T_TTAFStock_Log[WeekIndex],53)=0,"",SUMIFS(T_TTAFStock_Log[TTAF_Qty],T_TTAFStock_Log[Part Name],$A20,T_TTAFStock_Log[WeekIndex],53))</f>
        <v/>
      </c>
      <c r="BC20" s="17">
        <f>IF(COUNTIFS(T_TTAFStock_Log[Part Name],$A20,T_TTAFStock_Log[WeekIndex],54)=0,"",SUMIFS(T_TTAFStock_Log[TTAF_Qty],T_TTAFStock_Log[Part Name],$A20,T_TTAFStock_Log[WeekIndex],54))</f>
        <v/>
      </c>
      <c r="BD20" s="17">
        <f>IF(COUNTIFS(T_TTAFStock_Log[Part Name],$A20,T_TTAFStock_Log[WeekIndex],55)=0,"",SUMIFS(T_TTAFStock_Log[TTAF_Qty],T_TTAFStock_Log[Part Name],$A20,T_TTAFStock_Log[WeekIndex],55))</f>
        <v/>
      </c>
      <c r="BE20" s="17">
        <f>IF(COUNTIFS(T_TTAFStock_Log[Part Name],$A20,T_TTAFStock_Log[WeekIndex],56)=0,"",SUMIFS(T_TTAFStock_Log[TTAF_Qty],T_TTAFStock_Log[Part Name],$A20,T_TTAFStock_Log[WeekIndex],56))</f>
        <v/>
      </c>
      <c r="BF20" s="17">
        <f>IF(COUNTIFS(T_TTAFStock_Log[Part Name],$A20,T_TTAFStock_Log[WeekIndex],57)=0,"",SUMIFS(T_TTAFStock_Log[TTAF_Qty],T_TTAFStock_Log[Part Name],$A20,T_TTAFStock_Log[WeekIndex],57))</f>
        <v/>
      </c>
      <c r="BG20" s="17">
        <f>IF(COUNTIFS(T_TTAFStock_Log[Part Name],$A20,T_TTAFStock_Log[WeekIndex],58)=0,"",SUMIFS(T_TTAFStock_Log[TTAF_Qty],T_TTAFStock_Log[Part Name],$A20,T_TTAFStock_Log[WeekIndex],58))</f>
        <v/>
      </c>
      <c r="BH20" s="17">
        <f>IF(COUNTIFS(T_TTAFStock_Log[Part Name],$A20,T_TTAFStock_Log[WeekIndex],59)=0,"",SUMIFS(T_TTAFStock_Log[TTAF_Qty],T_TTAFStock_Log[Part Name],$A20,T_TTAFStock_Log[WeekIndex],59))</f>
        <v/>
      </c>
      <c r="BI20" s="17">
        <f>IF(COUNTIFS(T_TTAFStock_Log[Part Name],$A20,T_TTAFStock_Log[WeekIndex],60)=0,"",SUMIFS(T_TTAFStock_Log[TTAF_Qty],T_TTAFStock_Log[Part Name],$A20,T_TTAFStock_Log[WeekIndex],60))</f>
        <v/>
      </c>
      <c r="BJ20" s="17">
        <f>IF(COUNTIFS(T_TTAFStock_Log[Part Name],$A20,T_TTAFStock_Log[WeekIndex],61)=0,"",SUMIFS(T_TTAFStock_Log[TTAF_Qty],T_TTAFStock_Log[Part Name],$A20,T_TTAFStock_Log[WeekIndex],61))</f>
        <v/>
      </c>
      <c r="BK20" s="17">
        <f>IF(COUNTIFS(T_TTAFStock_Log[Part Name],$A20,T_TTAFStock_Log[WeekIndex],62)=0,"",SUMIFS(T_TTAFStock_Log[TTAF_Qty],T_TTAFStock_Log[Part Name],$A20,T_TTAFStock_Log[WeekIndex],62))</f>
        <v/>
      </c>
      <c r="BL20" s="17">
        <f>IF(COUNTIFS(T_TTAFStock_Log[Part Name],$A20,T_TTAFStock_Log[WeekIndex],63)=0,"",SUMIFS(T_TTAFStock_Log[TTAF_Qty],T_TTAFStock_Log[Part Name],$A20,T_TTAFStock_Log[WeekIndex],63))</f>
        <v/>
      </c>
      <c r="BM20" s="17">
        <f>IF(COUNTIFS(T_TTAFStock_Log[Part Name],$A20,T_TTAFStock_Log[WeekIndex],64)=0,"",SUMIFS(T_TTAFStock_Log[TTAF_Qty],T_TTAFStock_Log[Part Name],$A20,T_TTAFStock_Log[WeekIndex],64))</f>
        <v/>
      </c>
      <c r="BN20" s="17">
        <f>IF(COUNTIFS(T_TTAFStock_Log[Part Name],$A20,T_TTAFStock_Log[WeekIndex],65)=0,"",SUMIFS(T_TTAFStock_Log[TTAF_Qty],T_TTAFStock_Log[Part Name],$A20,T_TTAFStock_Log[WeekIndex],65))</f>
        <v/>
      </c>
      <c r="BO20" s="17">
        <f>IF(COUNTIFS(T_TTAFStock_Log[Part Name],$A20,T_TTAFStock_Log[WeekIndex],66)=0,"",SUMIFS(T_TTAFStock_Log[TTAF_Qty],T_TTAFStock_Log[Part Name],$A20,T_TTAFStock_Log[WeekIndex],66))</f>
        <v/>
      </c>
      <c r="BP20" s="17">
        <f>IF(COUNTIFS(T_TTAFStock_Log[Part Name],$A20,T_TTAFStock_Log[WeekIndex],67)=0,"",SUMIFS(T_TTAFStock_Log[TTAF_Qty],T_TTAFStock_Log[Part Name],$A20,T_TTAFStock_Log[WeekIndex],67))</f>
        <v/>
      </c>
      <c r="BQ20" s="17">
        <f>IF(COUNTIFS(T_TTAFStock_Log[Part Name],$A20,T_TTAFStock_Log[WeekIndex],68)=0,"",SUMIFS(T_TTAFStock_Log[TTAF_Qty],T_TTAFStock_Log[Part Name],$A20,T_TTAFStock_Log[WeekIndex],68))</f>
        <v/>
      </c>
      <c r="BR20" s="17">
        <f>IF(COUNTIFS(T_TTAFStock_Log[Part Name],$A20,T_TTAFStock_Log[WeekIndex],69)=0,"",SUMIFS(T_TTAFStock_Log[TTAF_Qty],T_TTAFStock_Log[Part Name],$A20,T_TTAFStock_Log[WeekIndex],69))</f>
        <v/>
      </c>
      <c r="BS20" s="17">
        <f>IF(COUNTIFS(T_TTAFStock_Log[Part Name],$A20,T_TTAFStock_Log[WeekIndex],70)=0,"",SUMIFS(T_TTAFStock_Log[TTAF_Qty],T_TTAFStock_Log[Part Name],$A20,T_TTAFStock_Log[WeekIndex],70))</f>
        <v/>
      </c>
      <c r="BT20" s="17">
        <f>IF(COUNTIFS(T_TTAFStock_Log[Part Name],$A20,T_TTAFStock_Log[WeekIndex],71)=0,"",SUMIFS(T_TTAFStock_Log[TTAF_Qty],T_TTAFStock_Log[Part Name],$A20,T_TTAFStock_Log[WeekIndex],71))</f>
        <v/>
      </c>
      <c r="BU20" s="17">
        <f>IF(COUNTIFS(T_TTAFStock_Log[Part Name],$A20,T_TTAFStock_Log[WeekIndex],72)=0,"",SUMIFS(T_TTAFStock_Log[TTAF_Qty],T_TTAFStock_Log[Part Name],$A20,T_TTAFStock_Log[WeekIndex],72))</f>
        <v/>
      </c>
      <c r="BV20" s="17">
        <f>IF(COUNTIFS(T_TTAFStock_Log[Part Name],$A20,T_TTAFStock_Log[WeekIndex],73)=0,"",SUMIFS(T_TTAFStock_Log[TTAF_Qty],T_TTAFStock_Log[Part Name],$A20,T_TTAFStock_Log[WeekIndex],73))</f>
        <v/>
      </c>
      <c r="BW20" s="17">
        <f>IF(COUNTIFS(T_TTAFStock_Log[Part Name],$A20,T_TTAFStock_Log[WeekIndex],74)=0,"",SUMIFS(T_TTAFStock_Log[TTAF_Qty],T_TTAFStock_Log[Part Name],$A20,T_TTAFStock_Log[WeekIndex],74))</f>
        <v/>
      </c>
      <c r="BX20" s="17">
        <f>IF(COUNTIFS(T_TTAFStock_Log[Part Name],$A20,T_TTAFStock_Log[WeekIndex],75)=0,"",SUMIFS(T_TTAFStock_Log[TTAF_Qty],T_TTAFStock_Log[Part Name],$A20,T_TTAFStock_Log[WeekIndex],75))</f>
        <v/>
      </c>
      <c r="BY20" s="17">
        <f>IF(COUNTIFS(T_TTAFStock_Log[Part Name],$A20,T_TTAFStock_Log[WeekIndex],76)=0,"",SUMIFS(T_TTAFStock_Log[TTAF_Qty],T_TTAFStock_Log[Part Name],$A20,T_TTAFStock_Log[WeekIndex],76))</f>
        <v/>
      </c>
      <c r="BZ20" s="17">
        <f>IF(COUNTIFS(T_TTAFStock_Log[Part Name],$A20,T_TTAFStock_Log[WeekIndex],77)=0,"",SUMIFS(T_TTAFStock_Log[TTAF_Qty],T_TTAFStock_Log[Part Name],$A20,T_TTAFStock_Log[WeekIndex],77))</f>
        <v/>
      </c>
      <c r="CA20" s="17">
        <f>IF(COUNTIFS(T_TTAFStock_Log[Part Name],$A20,T_TTAFStock_Log[WeekIndex],78)=0,"",SUMIFS(T_TTAFStock_Log[TTAF_Qty],T_TTAFStock_Log[Part Name],$A20,T_TTAFStock_Log[WeekIndex],78))</f>
        <v/>
      </c>
      <c r="CB20" s="17">
        <f>IF(COUNTIFS(T_TTAFStock_Log[Part Name],$A20,T_TTAFStock_Log[WeekIndex],79)=0,"",SUMIFS(T_TTAFStock_Log[TTAF_Qty],T_TTAFStock_Log[Part Name],$A20,T_TTAFStock_Log[WeekIndex],79))</f>
        <v/>
      </c>
      <c r="CC20" s="17">
        <f>IF(COUNTIFS(T_TTAFStock_Log[Part Name],$A20,T_TTAFStock_Log[WeekIndex],80)=0,"",SUMIFS(T_TTAFStock_Log[TTAF_Qty],T_TTAFStock_Log[Part Name],$A20,T_TTAFStock_Log[WeekIndex],80))</f>
        <v/>
      </c>
      <c r="CD20" s="17">
        <f>IF(COUNTIFS(T_TTAFStock_Log[Part Name],$A20,T_TTAFStock_Log[WeekIndex],81)=0,"",SUMIFS(T_TTAFStock_Log[TTAF_Qty],T_TTAFStock_Log[Part Name],$A20,T_TTAFStock_Log[WeekIndex],81))</f>
        <v/>
      </c>
      <c r="CE20" s="17">
        <f>IF(COUNTIFS(T_TTAFStock_Log[Part Name],$A20,T_TTAFStock_Log[WeekIndex],82)=0,"",SUMIFS(T_TTAFStock_Log[TTAF_Qty],T_TTAFStock_Log[Part Name],$A20,T_TTAFStock_Log[WeekIndex],82))</f>
        <v/>
      </c>
      <c r="CF20" s="17">
        <f>IF(COUNTIFS(T_TTAFStock_Log[Part Name],$A20,T_TTAFStock_Log[WeekIndex],83)=0,"",SUMIFS(T_TTAFStock_Log[TTAF_Qty],T_TTAFStock_Log[Part Name],$A20,T_TTAFStock_Log[WeekIndex],83))</f>
        <v/>
      </c>
      <c r="CG20" s="17">
        <f>IF(COUNTIFS(T_TTAFStock_Log[Part Name],$A20,T_TTAFStock_Log[WeekIndex],84)=0,"",SUMIFS(T_TTAFStock_Log[TTAF_Qty],T_TTAFStock_Log[Part Name],$A20,T_TTAFStock_Log[WeekIndex],84))</f>
        <v/>
      </c>
      <c r="CH20" s="17">
        <f>IF(COUNTIFS(T_TTAFStock_Log[Part Name],$A20,T_TTAFStock_Log[WeekIndex],85)=0,"",SUMIFS(T_TTAFStock_Log[TTAF_Qty],T_TTAFStock_Log[Part Name],$A20,T_TTAFStock_Log[WeekIndex],85))</f>
        <v/>
      </c>
      <c r="CI20" s="17">
        <f>IF(COUNTIFS(T_TTAFStock_Log[Part Name],$A20,T_TTAFStock_Log[WeekIndex],86)=0,"",SUMIFS(T_TTAFStock_Log[TTAF_Qty],T_TTAFStock_Log[Part Name],$A20,T_TTAFStock_Log[WeekIndex],86))</f>
        <v/>
      </c>
      <c r="CJ20" s="17">
        <f>IF(COUNTIFS(T_TTAFStock_Log[Part Name],$A20,T_TTAFStock_Log[WeekIndex],87)=0,"",SUMIFS(T_TTAFStock_Log[TTAF_Qty],T_TTAFStock_Log[Part Name],$A20,T_TTAFStock_Log[WeekIndex],87))</f>
        <v/>
      </c>
      <c r="CK20" s="17">
        <f>IF(COUNTIFS(T_TTAFStock_Log[Part Name],$A20,T_TTAFStock_Log[WeekIndex],88)=0,"",SUMIFS(T_TTAFStock_Log[TTAF_Qty],T_TTAFStock_Log[Part Name],$A20,T_TTAFStock_Log[WeekIndex],88))</f>
        <v/>
      </c>
      <c r="CL20" s="17">
        <f>IF(COUNTIFS(T_TTAFStock_Log[Part Name],$A20,T_TTAFStock_Log[WeekIndex],89)=0,"",SUMIFS(T_TTAFStock_Log[TTAF_Qty],T_TTAFStock_Log[Part Name],$A20,T_TTAFStock_Log[WeekIndex],89))</f>
        <v/>
      </c>
      <c r="CM20" s="17">
        <f>IF(COUNTIFS(T_TTAFStock_Log[Part Name],$A20,T_TTAFStock_Log[WeekIndex],90)=0,"",SUMIFS(T_TTAFStock_Log[TTAF_Qty],T_TTAFStock_Log[Part Name],$A20,T_TTAFStock_Log[WeekIndex],90))</f>
        <v/>
      </c>
      <c r="CN20" s="17">
        <f>IF(COUNTIFS(T_TTAFStock_Log[Part Name],$A20,T_TTAFStock_Log[WeekIndex],91)=0,"",SUMIFS(T_TTAFStock_Log[TTAF_Qty],T_TTAFStock_Log[Part Name],$A20,T_TTAFStock_Log[WeekIndex],91))</f>
        <v/>
      </c>
      <c r="CO20" s="17">
        <f>IF(COUNTIFS(T_TTAFStock_Log[Part Name],$A20,T_TTAFStock_Log[WeekIndex],92)=0,"",SUMIFS(T_TTAFStock_Log[TTAF_Qty],T_TTAFStock_Log[Part Name],$A20,T_TTAFStock_Log[WeekIndex],92))</f>
        <v/>
      </c>
      <c r="CP20" s="17">
        <f>IF(COUNTIFS(T_TTAFStock_Log[Part Name],$A20,T_TTAFStock_Log[WeekIndex],93)=0,"",SUMIFS(T_TTAFStock_Log[TTAF_Qty],T_TTAFStock_Log[Part Name],$A20,T_TTAFStock_Log[WeekIndex],93))</f>
        <v/>
      </c>
      <c r="CQ20" s="17">
        <f>IF(COUNTIFS(T_TTAFStock_Log[Part Name],$A20,T_TTAFStock_Log[WeekIndex],94)=0,"",SUMIFS(T_TTAFStock_Log[TTAF_Qty],T_TTAFStock_Log[Part Name],$A20,T_TTAFStock_Log[WeekIndex],94))</f>
        <v/>
      </c>
      <c r="CR20" s="17">
        <f>IF(COUNTIFS(T_TTAFStock_Log[Part Name],$A20,T_TTAFStock_Log[WeekIndex],95)=0,"",SUMIFS(T_TTAFStock_Log[TTAF_Qty],T_TTAFStock_Log[Part Name],$A20,T_TTAFStock_Log[WeekIndex],95))</f>
        <v/>
      </c>
      <c r="CS20" s="17">
        <f>IF(COUNTIFS(T_TTAFStock_Log[Part Name],$A20,T_TTAFStock_Log[WeekIndex],96)=0,"",SUMIFS(T_TTAFStock_Log[TTAF_Qty],T_TTAFStock_Log[Part Name],$A20,T_TTAFStock_Log[WeekIndex],96))</f>
        <v/>
      </c>
      <c r="CT20" s="17">
        <f>IF(COUNTIFS(T_TTAFStock_Log[Part Name],$A20,T_TTAFStock_Log[WeekIndex],97)=0,"",SUMIFS(T_TTAFStock_Log[TTAF_Qty],T_TTAFStock_Log[Part Name],$A20,T_TTAFStock_Log[WeekIndex],97))</f>
        <v/>
      </c>
      <c r="CU20" s="17">
        <f>IF(COUNTIFS(T_TTAFStock_Log[Part Name],$A20,T_TTAFStock_Log[WeekIndex],98)=0,"",SUMIFS(T_TTAFStock_Log[TTAF_Qty],T_TTAFStock_Log[Part Name],$A20,T_TTAFStock_Log[WeekIndex],98))</f>
        <v/>
      </c>
      <c r="CV20" s="17">
        <f>IF(COUNTIFS(T_TTAFStock_Log[Part Name],$A20,T_TTAFStock_Log[WeekIndex],99)=0,"",SUMIFS(T_TTAFStock_Log[TTAF_Qty],T_TTAFStock_Log[Part Name],$A20,T_TTAFStock_Log[WeekIndex],99))</f>
        <v/>
      </c>
      <c r="CW20" s="17">
        <f>IF(COUNTIFS(T_TTAFStock_Log[Part Name],$A20,T_TTAFStock_Log[WeekIndex],100)=0,"",SUMIFS(T_TTAFStock_Log[TTAF_Qty],T_TTAFStock_Log[Part Name],$A20,T_TTAFStock_Log[WeekIndex],100))</f>
        <v/>
      </c>
      <c r="CX20" s="17">
        <f>IF(COUNTIFS(T_TTAFStock_Log[Part Name],$A20,T_TTAFStock_Log[WeekIndex],101)=0,"",SUMIFS(T_TTAFStock_Log[TTAF_Qty],T_TTAFStock_Log[Part Name],$A20,T_TTAFStock_Log[WeekIndex],101))</f>
        <v/>
      </c>
      <c r="CY20" s="17">
        <f>IF(COUNTIFS(T_TTAFStock_Log[Part Name],$A20,T_TTAFStock_Log[WeekIndex],102)=0,"",SUMIFS(T_TTAFStock_Log[TTAF_Qty],T_TTAFStock_Log[Part Name],$A20,T_TTAFStock_Log[WeekIndex],102))</f>
        <v/>
      </c>
      <c r="CZ20" s="17">
        <f>IF(COUNTIFS(T_TTAFStock_Log[Part Name],$A20,T_TTAFStock_Log[WeekIndex],103)=0,"",SUMIFS(T_TTAFStock_Log[TTAF_Qty],T_TTAFStock_Log[Part Name],$A20,T_TTAFStock_Log[WeekIndex],103))</f>
        <v/>
      </c>
      <c r="DA20" s="17">
        <f>IF(COUNTIFS(T_TTAFStock_Log[Part Name],$A20,T_TTAFStock_Log[WeekIndex],104)=0,"",SUMIFS(T_TTAFStock_Log[TTAF_Qty],T_TTAFStock_Log[Part Name],$A20,T_TTAFStock_Log[WeekIndex],104))</f>
        <v/>
      </c>
    </row>
    <row r="21">
      <c r="A21" s="19" t="inlineStr">
        <is>
          <t>9RJ</t>
        </is>
      </c>
      <c r="B21" s="19">
        <f>IF(COUNTIFS(T_TTAFStock_Log[Part Name],$A21,T_TTAFStock_Log[WeekIndex],1)=0,"",SUMIFS(T_TTAFStock_Log[TTAF_Qty],T_TTAFStock_Log[Part Name],$A21,T_TTAFStock_Log[WeekIndex],1))</f>
        <v/>
      </c>
      <c r="C21" s="19">
        <f>IF(COUNTIFS(T_TTAFStock_Log[Part Name],$A21,T_TTAFStock_Log[WeekIndex],2)=0,"",SUMIFS(T_TTAFStock_Log[TTAF_Qty],T_TTAFStock_Log[Part Name],$A21,T_TTAFStock_Log[WeekIndex],2))</f>
        <v/>
      </c>
      <c r="D21" s="19">
        <f>IF(COUNTIFS(T_TTAFStock_Log[Part Name],$A21,T_TTAFStock_Log[WeekIndex],3)=0,"",SUMIFS(T_TTAFStock_Log[TTAF_Qty],T_TTAFStock_Log[Part Name],$A21,T_TTAFStock_Log[WeekIndex],3))</f>
        <v/>
      </c>
      <c r="E21" s="19">
        <f>IF(COUNTIFS(T_TTAFStock_Log[Part Name],$A21,T_TTAFStock_Log[WeekIndex],4)=0,"",SUMIFS(T_TTAFStock_Log[TTAF_Qty],T_TTAFStock_Log[Part Name],$A21,T_TTAFStock_Log[WeekIndex],4))</f>
        <v/>
      </c>
      <c r="F21" s="19">
        <f>IF(COUNTIFS(T_TTAFStock_Log[Part Name],$A21,T_TTAFStock_Log[WeekIndex],5)=0,"",SUMIFS(T_TTAFStock_Log[TTAF_Qty],T_TTAFStock_Log[Part Name],$A21,T_TTAFStock_Log[WeekIndex],5))</f>
        <v/>
      </c>
      <c r="G21" s="19">
        <f>IF(COUNTIFS(T_TTAFStock_Log[Part Name],$A21,T_TTAFStock_Log[WeekIndex],6)=0,"",SUMIFS(T_TTAFStock_Log[TTAF_Qty],T_TTAFStock_Log[Part Name],$A21,T_TTAFStock_Log[WeekIndex],6))</f>
        <v/>
      </c>
      <c r="H21" s="19">
        <f>IF(COUNTIFS(T_TTAFStock_Log[Part Name],$A21,T_TTAFStock_Log[WeekIndex],7)=0,"",SUMIFS(T_TTAFStock_Log[TTAF_Qty],T_TTAFStock_Log[Part Name],$A21,T_TTAFStock_Log[WeekIndex],7))</f>
        <v/>
      </c>
      <c r="I21" s="19">
        <f>IF(COUNTIFS(T_TTAFStock_Log[Part Name],$A21,T_TTAFStock_Log[WeekIndex],8)=0,"",SUMIFS(T_TTAFStock_Log[TTAF_Qty],T_TTAFStock_Log[Part Name],$A21,T_TTAFStock_Log[WeekIndex],8))</f>
        <v/>
      </c>
      <c r="J21" s="19">
        <f>IF(COUNTIFS(T_TTAFStock_Log[Part Name],$A21,T_TTAFStock_Log[WeekIndex],9)=0,"",SUMIFS(T_TTAFStock_Log[TTAF_Qty],T_TTAFStock_Log[Part Name],$A21,T_TTAFStock_Log[WeekIndex],9))</f>
        <v/>
      </c>
      <c r="K21" s="19">
        <f>IF(COUNTIFS(T_TTAFStock_Log[Part Name],$A21,T_TTAFStock_Log[WeekIndex],10)=0,"",SUMIFS(T_TTAFStock_Log[TTAF_Qty],T_TTAFStock_Log[Part Name],$A21,T_TTAFStock_Log[WeekIndex],10))</f>
        <v/>
      </c>
      <c r="L21" s="19">
        <f>IF(COUNTIFS(T_TTAFStock_Log[Part Name],$A21,T_TTAFStock_Log[WeekIndex],11)=0,"",SUMIFS(T_TTAFStock_Log[TTAF_Qty],T_TTAFStock_Log[Part Name],$A21,T_TTAFStock_Log[WeekIndex],11))</f>
        <v/>
      </c>
      <c r="M21" s="19">
        <f>IF(COUNTIFS(T_TTAFStock_Log[Part Name],$A21,T_TTAFStock_Log[WeekIndex],12)=0,"",SUMIFS(T_TTAFStock_Log[TTAF_Qty],T_TTAFStock_Log[Part Name],$A21,T_TTAFStock_Log[WeekIndex],12))</f>
        <v/>
      </c>
      <c r="N21" s="19">
        <f>IF(COUNTIFS(T_TTAFStock_Log[Part Name],$A21,T_TTAFStock_Log[WeekIndex],13)=0,"",SUMIFS(T_TTAFStock_Log[TTAF_Qty],T_TTAFStock_Log[Part Name],$A21,T_TTAFStock_Log[WeekIndex],13))</f>
        <v/>
      </c>
      <c r="O21" s="19">
        <f>IF(COUNTIFS(T_TTAFStock_Log[Part Name],$A21,T_TTAFStock_Log[WeekIndex],14)=0,"",SUMIFS(T_TTAFStock_Log[TTAF_Qty],T_TTAFStock_Log[Part Name],$A21,T_TTAFStock_Log[WeekIndex],14))</f>
        <v/>
      </c>
      <c r="P21" s="19">
        <f>IF(COUNTIFS(T_TTAFStock_Log[Part Name],$A21,T_TTAFStock_Log[WeekIndex],15)=0,"",SUMIFS(T_TTAFStock_Log[TTAF_Qty],T_TTAFStock_Log[Part Name],$A21,T_TTAFStock_Log[WeekIndex],15))</f>
        <v/>
      </c>
      <c r="Q21" s="19">
        <f>IF(COUNTIFS(T_TTAFStock_Log[Part Name],$A21,T_TTAFStock_Log[WeekIndex],16)=0,"",SUMIFS(T_TTAFStock_Log[TTAF_Qty],T_TTAFStock_Log[Part Name],$A21,T_TTAFStock_Log[WeekIndex],16))</f>
        <v/>
      </c>
      <c r="R21" s="19">
        <f>IF(COUNTIFS(T_TTAFStock_Log[Part Name],$A21,T_TTAFStock_Log[WeekIndex],17)=0,"",SUMIFS(T_TTAFStock_Log[TTAF_Qty],T_TTAFStock_Log[Part Name],$A21,T_TTAFStock_Log[WeekIndex],17))</f>
        <v/>
      </c>
      <c r="S21" s="19">
        <f>IF(COUNTIFS(T_TTAFStock_Log[Part Name],$A21,T_TTAFStock_Log[WeekIndex],18)=0,"",SUMIFS(T_TTAFStock_Log[TTAF_Qty],T_TTAFStock_Log[Part Name],$A21,T_TTAFStock_Log[WeekIndex],18))</f>
        <v/>
      </c>
      <c r="T21" s="19">
        <f>IF(COUNTIFS(T_TTAFStock_Log[Part Name],$A21,T_TTAFStock_Log[WeekIndex],19)=0,"",SUMIFS(T_TTAFStock_Log[TTAF_Qty],T_TTAFStock_Log[Part Name],$A21,T_TTAFStock_Log[WeekIndex],19))</f>
        <v/>
      </c>
      <c r="U21" s="19">
        <f>IF(COUNTIFS(T_TTAFStock_Log[Part Name],$A21,T_TTAFStock_Log[WeekIndex],20)=0,"",SUMIFS(T_TTAFStock_Log[TTAF_Qty],T_TTAFStock_Log[Part Name],$A21,T_TTAFStock_Log[WeekIndex],20))</f>
        <v/>
      </c>
      <c r="V21" s="19">
        <f>IF(COUNTIFS(T_TTAFStock_Log[Part Name],$A21,T_TTAFStock_Log[WeekIndex],21)=0,"",SUMIFS(T_TTAFStock_Log[TTAF_Qty],T_TTAFStock_Log[Part Name],$A21,T_TTAFStock_Log[WeekIndex],21))</f>
        <v/>
      </c>
      <c r="W21" s="19">
        <f>IF(COUNTIFS(T_TTAFStock_Log[Part Name],$A21,T_TTAFStock_Log[WeekIndex],22)=0,"",SUMIFS(T_TTAFStock_Log[TTAF_Qty],T_TTAFStock_Log[Part Name],$A21,T_TTAFStock_Log[WeekIndex],22))</f>
        <v/>
      </c>
      <c r="X21" s="19">
        <f>IF(COUNTIFS(T_TTAFStock_Log[Part Name],$A21,T_TTAFStock_Log[WeekIndex],23)=0,"",SUMIFS(T_TTAFStock_Log[TTAF_Qty],T_TTAFStock_Log[Part Name],$A21,T_TTAFStock_Log[WeekIndex],23))</f>
        <v/>
      </c>
      <c r="Y21" s="19">
        <f>IF(COUNTIFS(T_TTAFStock_Log[Part Name],$A21,T_TTAFStock_Log[WeekIndex],24)=0,"",SUMIFS(T_TTAFStock_Log[TTAF_Qty],T_TTAFStock_Log[Part Name],$A21,T_TTAFStock_Log[WeekIndex],24))</f>
        <v/>
      </c>
      <c r="Z21" s="19">
        <f>IF(COUNTIFS(T_TTAFStock_Log[Part Name],$A21,T_TTAFStock_Log[WeekIndex],25)=0,"",SUMIFS(T_TTAFStock_Log[TTAF_Qty],T_TTAFStock_Log[Part Name],$A21,T_TTAFStock_Log[WeekIndex],25))</f>
        <v/>
      </c>
      <c r="AA21" s="19">
        <f>IF(COUNTIFS(T_TTAFStock_Log[Part Name],$A21,T_TTAFStock_Log[WeekIndex],26)=0,"",SUMIFS(T_TTAFStock_Log[TTAF_Qty],T_TTAFStock_Log[Part Name],$A21,T_TTAFStock_Log[WeekIndex],26))</f>
        <v/>
      </c>
      <c r="AB21" s="19">
        <f>IF(COUNTIFS(T_TTAFStock_Log[Part Name],$A21,T_TTAFStock_Log[WeekIndex],27)=0,"",SUMIFS(T_TTAFStock_Log[TTAF_Qty],T_TTAFStock_Log[Part Name],$A21,T_TTAFStock_Log[WeekIndex],27))</f>
        <v/>
      </c>
      <c r="AC21" s="19">
        <f>IF(COUNTIFS(T_TTAFStock_Log[Part Name],$A21,T_TTAFStock_Log[WeekIndex],28)=0,"",SUMIFS(T_TTAFStock_Log[TTAF_Qty],T_TTAFStock_Log[Part Name],$A21,T_TTAFStock_Log[WeekIndex],28))</f>
        <v/>
      </c>
      <c r="AD21" s="19">
        <f>IF(COUNTIFS(T_TTAFStock_Log[Part Name],$A21,T_TTAFStock_Log[WeekIndex],29)=0,"",SUMIFS(T_TTAFStock_Log[TTAF_Qty],T_TTAFStock_Log[Part Name],$A21,T_TTAFStock_Log[WeekIndex],29))</f>
        <v/>
      </c>
      <c r="AE21" s="19">
        <f>IF(COUNTIFS(T_TTAFStock_Log[Part Name],$A21,T_TTAFStock_Log[WeekIndex],30)=0,"",SUMIFS(T_TTAFStock_Log[TTAF_Qty],T_TTAFStock_Log[Part Name],$A21,T_TTAFStock_Log[WeekIndex],30))</f>
        <v/>
      </c>
      <c r="AF21" s="19">
        <f>IF(COUNTIFS(T_TTAFStock_Log[Part Name],$A21,T_TTAFStock_Log[WeekIndex],31)=0,"",SUMIFS(T_TTAFStock_Log[TTAF_Qty],T_TTAFStock_Log[Part Name],$A21,T_TTAFStock_Log[WeekIndex],31))</f>
        <v/>
      </c>
      <c r="AG21" s="19">
        <f>IF(COUNTIFS(T_TTAFStock_Log[Part Name],$A21,T_TTAFStock_Log[WeekIndex],32)=0,"",SUMIFS(T_TTAFStock_Log[TTAF_Qty],T_TTAFStock_Log[Part Name],$A21,T_TTAFStock_Log[WeekIndex],32))</f>
        <v/>
      </c>
      <c r="AH21" s="19">
        <f>IF(COUNTIFS(T_TTAFStock_Log[Part Name],$A21,T_TTAFStock_Log[WeekIndex],33)=0,"",SUMIFS(T_TTAFStock_Log[TTAF_Qty],T_TTAFStock_Log[Part Name],$A21,T_TTAFStock_Log[WeekIndex],33))</f>
        <v/>
      </c>
      <c r="AI21" s="19">
        <f>IF(COUNTIFS(T_TTAFStock_Log[Part Name],$A21,T_TTAFStock_Log[WeekIndex],34)=0,"",SUMIFS(T_TTAFStock_Log[TTAF_Qty],T_TTAFStock_Log[Part Name],$A21,T_TTAFStock_Log[WeekIndex],34))</f>
        <v/>
      </c>
      <c r="AJ21" s="19">
        <f>IF(COUNTIFS(T_TTAFStock_Log[Part Name],$A21,T_TTAFStock_Log[WeekIndex],35)=0,"",SUMIFS(T_TTAFStock_Log[TTAF_Qty],T_TTAFStock_Log[Part Name],$A21,T_TTAFStock_Log[WeekIndex],35))</f>
        <v/>
      </c>
      <c r="AK21" s="19">
        <f>IF(COUNTIFS(T_TTAFStock_Log[Part Name],$A21,T_TTAFStock_Log[WeekIndex],36)=0,"",SUMIFS(T_TTAFStock_Log[TTAF_Qty],T_TTAFStock_Log[Part Name],$A21,T_TTAFStock_Log[WeekIndex],36))</f>
        <v/>
      </c>
      <c r="AL21" s="19">
        <f>IF(COUNTIFS(T_TTAFStock_Log[Part Name],$A21,T_TTAFStock_Log[WeekIndex],37)=0,"",SUMIFS(T_TTAFStock_Log[TTAF_Qty],T_TTAFStock_Log[Part Name],$A21,T_TTAFStock_Log[WeekIndex],37))</f>
        <v/>
      </c>
      <c r="AM21" s="19">
        <f>IF(COUNTIFS(T_TTAFStock_Log[Part Name],$A21,T_TTAFStock_Log[WeekIndex],38)=0,"",SUMIFS(T_TTAFStock_Log[TTAF_Qty],T_TTAFStock_Log[Part Name],$A21,T_TTAFStock_Log[WeekIndex],38))</f>
        <v/>
      </c>
      <c r="AN21" s="19">
        <f>IF(COUNTIFS(T_TTAFStock_Log[Part Name],$A21,T_TTAFStock_Log[WeekIndex],39)=0,"",SUMIFS(T_TTAFStock_Log[TTAF_Qty],T_TTAFStock_Log[Part Name],$A21,T_TTAFStock_Log[WeekIndex],39))</f>
        <v/>
      </c>
      <c r="AO21" s="19">
        <f>IF(COUNTIFS(T_TTAFStock_Log[Part Name],$A21,T_TTAFStock_Log[WeekIndex],40)=0,"",SUMIFS(T_TTAFStock_Log[TTAF_Qty],T_TTAFStock_Log[Part Name],$A21,T_TTAFStock_Log[WeekIndex],40))</f>
        <v/>
      </c>
      <c r="AP21" s="19">
        <f>IF(COUNTIFS(T_TTAFStock_Log[Part Name],$A21,T_TTAFStock_Log[WeekIndex],41)=0,"",SUMIFS(T_TTAFStock_Log[TTAF_Qty],T_TTAFStock_Log[Part Name],$A21,T_TTAFStock_Log[WeekIndex],41))</f>
        <v/>
      </c>
      <c r="AQ21" s="19">
        <f>IF(COUNTIFS(T_TTAFStock_Log[Part Name],$A21,T_TTAFStock_Log[WeekIndex],42)=0,"",SUMIFS(T_TTAFStock_Log[TTAF_Qty],T_TTAFStock_Log[Part Name],$A21,T_TTAFStock_Log[WeekIndex],42))</f>
        <v/>
      </c>
      <c r="AR21" s="19">
        <f>IF(COUNTIFS(T_TTAFStock_Log[Part Name],$A21,T_TTAFStock_Log[WeekIndex],43)=0,"",SUMIFS(T_TTAFStock_Log[TTAF_Qty],T_TTAFStock_Log[Part Name],$A21,T_TTAFStock_Log[WeekIndex],43))</f>
        <v/>
      </c>
      <c r="AS21" s="19">
        <f>IF(COUNTIFS(T_TTAFStock_Log[Part Name],$A21,T_TTAFStock_Log[WeekIndex],44)=0,"",SUMIFS(T_TTAFStock_Log[TTAF_Qty],T_TTAFStock_Log[Part Name],$A21,T_TTAFStock_Log[WeekIndex],44))</f>
        <v/>
      </c>
      <c r="AT21" s="19">
        <f>IF(COUNTIFS(T_TTAFStock_Log[Part Name],$A21,T_TTAFStock_Log[WeekIndex],45)=0,"",SUMIFS(T_TTAFStock_Log[TTAF_Qty],T_TTAFStock_Log[Part Name],$A21,T_TTAFStock_Log[WeekIndex],45))</f>
        <v/>
      </c>
      <c r="AU21" s="19">
        <f>IF(COUNTIFS(T_TTAFStock_Log[Part Name],$A21,T_TTAFStock_Log[WeekIndex],46)=0,"",SUMIFS(T_TTAFStock_Log[TTAF_Qty],T_TTAFStock_Log[Part Name],$A21,T_TTAFStock_Log[WeekIndex],46))</f>
        <v/>
      </c>
      <c r="AV21" s="19">
        <f>IF(COUNTIFS(T_TTAFStock_Log[Part Name],$A21,T_TTAFStock_Log[WeekIndex],47)=0,"",SUMIFS(T_TTAFStock_Log[TTAF_Qty],T_TTAFStock_Log[Part Name],$A21,T_TTAFStock_Log[WeekIndex],47))</f>
        <v/>
      </c>
      <c r="AW21" s="19">
        <f>IF(COUNTIFS(T_TTAFStock_Log[Part Name],$A21,T_TTAFStock_Log[WeekIndex],48)=0,"",SUMIFS(T_TTAFStock_Log[TTAF_Qty],T_TTAFStock_Log[Part Name],$A21,T_TTAFStock_Log[WeekIndex],48))</f>
        <v/>
      </c>
      <c r="AX21" s="19">
        <f>IF(COUNTIFS(T_TTAFStock_Log[Part Name],$A21,T_TTAFStock_Log[WeekIndex],49)=0,"",SUMIFS(T_TTAFStock_Log[TTAF_Qty],T_TTAFStock_Log[Part Name],$A21,T_TTAFStock_Log[WeekIndex],49))</f>
        <v/>
      </c>
      <c r="AY21" s="19">
        <f>IF(COUNTIFS(T_TTAFStock_Log[Part Name],$A21,T_TTAFStock_Log[WeekIndex],50)=0,"",SUMIFS(T_TTAFStock_Log[TTAF_Qty],T_TTAFStock_Log[Part Name],$A21,T_TTAFStock_Log[WeekIndex],50))</f>
        <v/>
      </c>
      <c r="AZ21" s="19">
        <f>IF(COUNTIFS(T_TTAFStock_Log[Part Name],$A21,T_TTAFStock_Log[WeekIndex],51)=0,"",SUMIFS(T_TTAFStock_Log[TTAF_Qty],T_TTAFStock_Log[Part Name],$A21,T_TTAFStock_Log[WeekIndex],51))</f>
        <v/>
      </c>
      <c r="BA21" s="19">
        <f>IF(COUNTIFS(T_TTAFStock_Log[Part Name],$A21,T_TTAFStock_Log[WeekIndex],52)=0,"",SUMIFS(T_TTAFStock_Log[TTAF_Qty],T_TTAFStock_Log[Part Name],$A21,T_TTAFStock_Log[WeekIndex],52))</f>
        <v/>
      </c>
      <c r="BB21" s="19">
        <f>IF(COUNTIFS(T_TTAFStock_Log[Part Name],$A21,T_TTAFStock_Log[WeekIndex],53)=0,"",SUMIFS(T_TTAFStock_Log[TTAF_Qty],T_TTAFStock_Log[Part Name],$A21,T_TTAFStock_Log[WeekIndex],53))</f>
        <v/>
      </c>
      <c r="BC21" s="19">
        <f>IF(COUNTIFS(T_TTAFStock_Log[Part Name],$A21,T_TTAFStock_Log[WeekIndex],54)=0,"",SUMIFS(T_TTAFStock_Log[TTAF_Qty],T_TTAFStock_Log[Part Name],$A21,T_TTAFStock_Log[WeekIndex],54))</f>
        <v/>
      </c>
      <c r="BD21" s="19">
        <f>IF(COUNTIFS(T_TTAFStock_Log[Part Name],$A21,T_TTAFStock_Log[WeekIndex],55)=0,"",SUMIFS(T_TTAFStock_Log[TTAF_Qty],T_TTAFStock_Log[Part Name],$A21,T_TTAFStock_Log[WeekIndex],55))</f>
        <v/>
      </c>
      <c r="BE21" s="19">
        <f>IF(COUNTIFS(T_TTAFStock_Log[Part Name],$A21,T_TTAFStock_Log[WeekIndex],56)=0,"",SUMIFS(T_TTAFStock_Log[TTAF_Qty],T_TTAFStock_Log[Part Name],$A21,T_TTAFStock_Log[WeekIndex],56))</f>
        <v/>
      </c>
      <c r="BF21" s="19">
        <f>IF(COUNTIFS(T_TTAFStock_Log[Part Name],$A21,T_TTAFStock_Log[WeekIndex],57)=0,"",SUMIFS(T_TTAFStock_Log[TTAF_Qty],T_TTAFStock_Log[Part Name],$A21,T_TTAFStock_Log[WeekIndex],57))</f>
        <v/>
      </c>
      <c r="BG21" s="19">
        <f>IF(COUNTIFS(T_TTAFStock_Log[Part Name],$A21,T_TTAFStock_Log[WeekIndex],58)=0,"",SUMIFS(T_TTAFStock_Log[TTAF_Qty],T_TTAFStock_Log[Part Name],$A21,T_TTAFStock_Log[WeekIndex],58))</f>
        <v/>
      </c>
      <c r="BH21" s="19">
        <f>IF(COUNTIFS(T_TTAFStock_Log[Part Name],$A21,T_TTAFStock_Log[WeekIndex],59)=0,"",SUMIFS(T_TTAFStock_Log[TTAF_Qty],T_TTAFStock_Log[Part Name],$A21,T_TTAFStock_Log[WeekIndex],59))</f>
        <v/>
      </c>
      <c r="BI21" s="19">
        <f>IF(COUNTIFS(T_TTAFStock_Log[Part Name],$A21,T_TTAFStock_Log[WeekIndex],60)=0,"",SUMIFS(T_TTAFStock_Log[TTAF_Qty],T_TTAFStock_Log[Part Name],$A21,T_TTAFStock_Log[WeekIndex],60))</f>
        <v/>
      </c>
      <c r="BJ21" s="19">
        <f>IF(COUNTIFS(T_TTAFStock_Log[Part Name],$A21,T_TTAFStock_Log[WeekIndex],61)=0,"",SUMIFS(T_TTAFStock_Log[TTAF_Qty],T_TTAFStock_Log[Part Name],$A21,T_TTAFStock_Log[WeekIndex],61))</f>
        <v/>
      </c>
      <c r="BK21" s="19">
        <f>IF(COUNTIFS(T_TTAFStock_Log[Part Name],$A21,T_TTAFStock_Log[WeekIndex],62)=0,"",SUMIFS(T_TTAFStock_Log[TTAF_Qty],T_TTAFStock_Log[Part Name],$A21,T_TTAFStock_Log[WeekIndex],62))</f>
        <v/>
      </c>
      <c r="BL21" s="19">
        <f>IF(COUNTIFS(T_TTAFStock_Log[Part Name],$A21,T_TTAFStock_Log[WeekIndex],63)=0,"",SUMIFS(T_TTAFStock_Log[TTAF_Qty],T_TTAFStock_Log[Part Name],$A21,T_TTAFStock_Log[WeekIndex],63))</f>
        <v/>
      </c>
      <c r="BM21" s="19">
        <f>IF(COUNTIFS(T_TTAFStock_Log[Part Name],$A21,T_TTAFStock_Log[WeekIndex],64)=0,"",SUMIFS(T_TTAFStock_Log[TTAF_Qty],T_TTAFStock_Log[Part Name],$A21,T_TTAFStock_Log[WeekIndex],64))</f>
        <v/>
      </c>
      <c r="BN21" s="19">
        <f>IF(COUNTIFS(T_TTAFStock_Log[Part Name],$A21,T_TTAFStock_Log[WeekIndex],65)=0,"",SUMIFS(T_TTAFStock_Log[TTAF_Qty],T_TTAFStock_Log[Part Name],$A21,T_TTAFStock_Log[WeekIndex],65))</f>
        <v/>
      </c>
      <c r="BO21" s="19">
        <f>IF(COUNTIFS(T_TTAFStock_Log[Part Name],$A21,T_TTAFStock_Log[WeekIndex],66)=0,"",SUMIFS(T_TTAFStock_Log[TTAF_Qty],T_TTAFStock_Log[Part Name],$A21,T_TTAFStock_Log[WeekIndex],66))</f>
        <v/>
      </c>
      <c r="BP21" s="19">
        <f>IF(COUNTIFS(T_TTAFStock_Log[Part Name],$A21,T_TTAFStock_Log[WeekIndex],67)=0,"",SUMIFS(T_TTAFStock_Log[TTAF_Qty],T_TTAFStock_Log[Part Name],$A21,T_TTAFStock_Log[WeekIndex],67))</f>
        <v/>
      </c>
      <c r="BQ21" s="19">
        <f>IF(COUNTIFS(T_TTAFStock_Log[Part Name],$A21,T_TTAFStock_Log[WeekIndex],68)=0,"",SUMIFS(T_TTAFStock_Log[TTAF_Qty],T_TTAFStock_Log[Part Name],$A21,T_TTAFStock_Log[WeekIndex],68))</f>
        <v/>
      </c>
      <c r="BR21" s="19">
        <f>IF(COUNTIFS(T_TTAFStock_Log[Part Name],$A21,T_TTAFStock_Log[WeekIndex],69)=0,"",SUMIFS(T_TTAFStock_Log[TTAF_Qty],T_TTAFStock_Log[Part Name],$A21,T_TTAFStock_Log[WeekIndex],69))</f>
        <v/>
      </c>
      <c r="BS21" s="19">
        <f>IF(COUNTIFS(T_TTAFStock_Log[Part Name],$A21,T_TTAFStock_Log[WeekIndex],70)=0,"",SUMIFS(T_TTAFStock_Log[TTAF_Qty],T_TTAFStock_Log[Part Name],$A21,T_TTAFStock_Log[WeekIndex],70))</f>
        <v/>
      </c>
      <c r="BT21" s="19">
        <f>IF(COUNTIFS(T_TTAFStock_Log[Part Name],$A21,T_TTAFStock_Log[WeekIndex],71)=0,"",SUMIFS(T_TTAFStock_Log[TTAF_Qty],T_TTAFStock_Log[Part Name],$A21,T_TTAFStock_Log[WeekIndex],71))</f>
        <v/>
      </c>
      <c r="BU21" s="19">
        <f>IF(COUNTIFS(T_TTAFStock_Log[Part Name],$A21,T_TTAFStock_Log[WeekIndex],72)=0,"",SUMIFS(T_TTAFStock_Log[TTAF_Qty],T_TTAFStock_Log[Part Name],$A21,T_TTAFStock_Log[WeekIndex],72))</f>
        <v/>
      </c>
      <c r="BV21" s="19">
        <f>IF(COUNTIFS(T_TTAFStock_Log[Part Name],$A21,T_TTAFStock_Log[WeekIndex],73)=0,"",SUMIFS(T_TTAFStock_Log[TTAF_Qty],T_TTAFStock_Log[Part Name],$A21,T_TTAFStock_Log[WeekIndex],73))</f>
        <v/>
      </c>
      <c r="BW21" s="19">
        <f>IF(COUNTIFS(T_TTAFStock_Log[Part Name],$A21,T_TTAFStock_Log[WeekIndex],74)=0,"",SUMIFS(T_TTAFStock_Log[TTAF_Qty],T_TTAFStock_Log[Part Name],$A21,T_TTAFStock_Log[WeekIndex],74))</f>
        <v/>
      </c>
      <c r="BX21" s="19">
        <f>IF(COUNTIFS(T_TTAFStock_Log[Part Name],$A21,T_TTAFStock_Log[WeekIndex],75)=0,"",SUMIFS(T_TTAFStock_Log[TTAF_Qty],T_TTAFStock_Log[Part Name],$A21,T_TTAFStock_Log[WeekIndex],75))</f>
        <v/>
      </c>
      <c r="BY21" s="19">
        <f>IF(COUNTIFS(T_TTAFStock_Log[Part Name],$A21,T_TTAFStock_Log[WeekIndex],76)=0,"",SUMIFS(T_TTAFStock_Log[TTAF_Qty],T_TTAFStock_Log[Part Name],$A21,T_TTAFStock_Log[WeekIndex],76))</f>
        <v/>
      </c>
      <c r="BZ21" s="19">
        <f>IF(COUNTIFS(T_TTAFStock_Log[Part Name],$A21,T_TTAFStock_Log[WeekIndex],77)=0,"",SUMIFS(T_TTAFStock_Log[TTAF_Qty],T_TTAFStock_Log[Part Name],$A21,T_TTAFStock_Log[WeekIndex],77))</f>
        <v/>
      </c>
      <c r="CA21" s="19">
        <f>IF(COUNTIFS(T_TTAFStock_Log[Part Name],$A21,T_TTAFStock_Log[WeekIndex],78)=0,"",SUMIFS(T_TTAFStock_Log[TTAF_Qty],T_TTAFStock_Log[Part Name],$A21,T_TTAFStock_Log[WeekIndex],78))</f>
        <v/>
      </c>
      <c r="CB21" s="19">
        <f>IF(COUNTIFS(T_TTAFStock_Log[Part Name],$A21,T_TTAFStock_Log[WeekIndex],79)=0,"",SUMIFS(T_TTAFStock_Log[TTAF_Qty],T_TTAFStock_Log[Part Name],$A21,T_TTAFStock_Log[WeekIndex],79))</f>
        <v/>
      </c>
      <c r="CC21" s="19">
        <f>IF(COUNTIFS(T_TTAFStock_Log[Part Name],$A21,T_TTAFStock_Log[WeekIndex],80)=0,"",SUMIFS(T_TTAFStock_Log[TTAF_Qty],T_TTAFStock_Log[Part Name],$A21,T_TTAFStock_Log[WeekIndex],80))</f>
        <v/>
      </c>
      <c r="CD21" s="19">
        <f>IF(COUNTIFS(T_TTAFStock_Log[Part Name],$A21,T_TTAFStock_Log[WeekIndex],81)=0,"",SUMIFS(T_TTAFStock_Log[TTAF_Qty],T_TTAFStock_Log[Part Name],$A21,T_TTAFStock_Log[WeekIndex],81))</f>
        <v/>
      </c>
      <c r="CE21" s="19">
        <f>IF(COUNTIFS(T_TTAFStock_Log[Part Name],$A21,T_TTAFStock_Log[WeekIndex],82)=0,"",SUMIFS(T_TTAFStock_Log[TTAF_Qty],T_TTAFStock_Log[Part Name],$A21,T_TTAFStock_Log[WeekIndex],82))</f>
        <v/>
      </c>
      <c r="CF21" s="19">
        <f>IF(COUNTIFS(T_TTAFStock_Log[Part Name],$A21,T_TTAFStock_Log[WeekIndex],83)=0,"",SUMIFS(T_TTAFStock_Log[TTAF_Qty],T_TTAFStock_Log[Part Name],$A21,T_TTAFStock_Log[WeekIndex],83))</f>
        <v/>
      </c>
      <c r="CG21" s="19">
        <f>IF(COUNTIFS(T_TTAFStock_Log[Part Name],$A21,T_TTAFStock_Log[WeekIndex],84)=0,"",SUMIFS(T_TTAFStock_Log[TTAF_Qty],T_TTAFStock_Log[Part Name],$A21,T_TTAFStock_Log[WeekIndex],84))</f>
        <v/>
      </c>
      <c r="CH21" s="19">
        <f>IF(COUNTIFS(T_TTAFStock_Log[Part Name],$A21,T_TTAFStock_Log[WeekIndex],85)=0,"",SUMIFS(T_TTAFStock_Log[TTAF_Qty],T_TTAFStock_Log[Part Name],$A21,T_TTAFStock_Log[WeekIndex],85))</f>
        <v/>
      </c>
      <c r="CI21" s="19">
        <f>IF(COUNTIFS(T_TTAFStock_Log[Part Name],$A21,T_TTAFStock_Log[WeekIndex],86)=0,"",SUMIFS(T_TTAFStock_Log[TTAF_Qty],T_TTAFStock_Log[Part Name],$A21,T_TTAFStock_Log[WeekIndex],86))</f>
        <v/>
      </c>
      <c r="CJ21" s="19">
        <f>IF(COUNTIFS(T_TTAFStock_Log[Part Name],$A21,T_TTAFStock_Log[WeekIndex],87)=0,"",SUMIFS(T_TTAFStock_Log[TTAF_Qty],T_TTAFStock_Log[Part Name],$A21,T_TTAFStock_Log[WeekIndex],87))</f>
        <v/>
      </c>
      <c r="CK21" s="19">
        <f>IF(COUNTIFS(T_TTAFStock_Log[Part Name],$A21,T_TTAFStock_Log[WeekIndex],88)=0,"",SUMIFS(T_TTAFStock_Log[TTAF_Qty],T_TTAFStock_Log[Part Name],$A21,T_TTAFStock_Log[WeekIndex],88))</f>
        <v/>
      </c>
      <c r="CL21" s="19">
        <f>IF(COUNTIFS(T_TTAFStock_Log[Part Name],$A21,T_TTAFStock_Log[WeekIndex],89)=0,"",SUMIFS(T_TTAFStock_Log[TTAF_Qty],T_TTAFStock_Log[Part Name],$A21,T_TTAFStock_Log[WeekIndex],89))</f>
        <v/>
      </c>
      <c r="CM21" s="19">
        <f>IF(COUNTIFS(T_TTAFStock_Log[Part Name],$A21,T_TTAFStock_Log[WeekIndex],90)=0,"",SUMIFS(T_TTAFStock_Log[TTAF_Qty],T_TTAFStock_Log[Part Name],$A21,T_TTAFStock_Log[WeekIndex],90))</f>
        <v/>
      </c>
      <c r="CN21" s="19">
        <f>IF(COUNTIFS(T_TTAFStock_Log[Part Name],$A21,T_TTAFStock_Log[WeekIndex],91)=0,"",SUMIFS(T_TTAFStock_Log[TTAF_Qty],T_TTAFStock_Log[Part Name],$A21,T_TTAFStock_Log[WeekIndex],91))</f>
        <v/>
      </c>
      <c r="CO21" s="19">
        <f>IF(COUNTIFS(T_TTAFStock_Log[Part Name],$A21,T_TTAFStock_Log[WeekIndex],92)=0,"",SUMIFS(T_TTAFStock_Log[TTAF_Qty],T_TTAFStock_Log[Part Name],$A21,T_TTAFStock_Log[WeekIndex],92))</f>
        <v/>
      </c>
      <c r="CP21" s="19">
        <f>IF(COUNTIFS(T_TTAFStock_Log[Part Name],$A21,T_TTAFStock_Log[WeekIndex],93)=0,"",SUMIFS(T_TTAFStock_Log[TTAF_Qty],T_TTAFStock_Log[Part Name],$A21,T_TTAFStock_Log[WeekIndex],93))</f>
        <v/>
      </c>
      <c r="CQ21" s="19">
        <f>IF(COUNTIFS(T_TTAFStock_Log[Part Name],$A21,T_TTAFStock_Log[WeekIndex],94)=0,"",SUMIFS(T_TTAFStock_Log[TTAF_Qty],T_TTAFStock_Log[Part Name],$A21,T_TTAFStock_Log[WeekIndex],94))</f>
        <v/>
      </c>
      <c r="CR21" s="19">
        <f>IF(COUNTIFS(T_TTAFStock_Log[Part Name],$A21,T_TTAFStock_Log[WeekIndex],95)=0,"",SUMIFS(T_TTAFStock_Log[TTAF_Qty],T_TTAFStock_Log[Part Name],$A21,T_TTAFStock_Log[WeekIndex],95))</f>
        <v/>
      </c>
      <c r="CS21" s="19">
        <f>IF(COUNTIFS(T_TTAFStock_Log[Part Name],$A21,T_TTAFStock_Log[WeekIndex],96)=0,"",SUMIFS(T_TTAFStock_Log[TTAF_Qty],T_TTAFStock_Log[Part Name],$A21,T_TTAFStock_Log[WeekIndex],96))</f>
        <v/>
      </c>
      <c r="CT21" s="19">
        <f>IF(COUNTIFS(T_TTAFStock_Log[Part Name],$A21,T_TTAFStock_Log[WeekIndex],97)=0,"",SUMIFS(T_TTAFStock_Log[TTAF_Qty],T_TTAFStock_Log[Part Name],$A21,T_TTAFStock_Log[WeekIndex],97))</f>
        <v/>
      </c>
      <c r="CU21" s="19">
        <f>IF(COUNTIFS(T_TTAFStock_Log[Part Name],$A21,T_TTAFStock_Log[WeekIndex],98)=0,"",SUMIFS(T_TTAFStock_Log[TTAF_Qty],T_TTAFStock_Log[Part Name],$A21,T_TTAFStock_Log[WeekIndex],98))</f>
        <v/>
      </c>
      <c r="CV21" s="19">
        <f>IF(COUNTIFS(T_TTAFStock_Log[Part Name],$A21,T_TTAFStock_Log[WeekIndex],99)=0,"",SUMIFS(T_TTAFStock_Log[TTAF_Qty],T_TTAFStock_Log[Part Name],$A21,T_TTAFStock_Log[WeekIndex],99))</f>
        <v/>
      </c>
      <c r="CW21" s="19">
        <f>IF(COUNTIFS(T_TTAFStock_Log[Part Name],$A21,T_TTAFStock_Log[WeekIndex],100)=0,"",SUMIFS(T_TTAFStock_Log[TTAF_Qty],T_TTAFStock_Log[Part Name],$A21,T_TTAFStock_Log[WeekIndex],100))</f>
        <v/>
      </c>
      <c r="CX21" s="19">
        <f>IF(COUNTIFS(T_TTAFStock_Log[Part Name],$A21,T_TTAFStock_Log[WeekIndex],101)=0,"",SUMIFS(T_TTAFStock_Log[TTAF_Qty],T_TTAFStock_Log[Part Name],$A21,T_TTAFStock_Log[WeekIndex],101))</f>
        <v/>
      </c>
      <c r="CY21" s="19">
        <f>IF(COUNTIFS(T_TTAFStock_Log[Part Name],$A21,T_TTAFStock_Log[WeekIndex],102)=0,"",SUMIFS(T_TTAFStock_Log[TTAF_Qty],T_TTAFStock_Log[Part Name],$A21,T_TTAFStock_Log[WeekIndex],102))</f>
        <v/>
      </c>
      <c r="CZ21" s="19">
        <f>IF(COUNTIFS(T_TTAFStock_Log[Part Name],$A21,T_TTAFStock_Log[WeekIndex],103)=0,"",SUMIFS(T_TTAFStock_Log[TTAF_Qty],T_TTAFStock_Log[Part Name],$A21,T_TTAFStock_Log[WeekIndex],103))</f>
        <v/>
      </c>
      <c r="DA21" s="19">
        <f>IF(COUNTIFS(T_TTAFStock_Log[Part Name],$A21,T_TTAFStock_Log[WeekIndex],104)=0,"",SUMIFS(T_TTAFStock_Log[TTAF_Qty],T_TTAFStock_Log[Part Name],$A21,T_TTAFStock_Log[WeekIndex],104))</f>
        <v/>
      </c>
    </row>
    <row r="22">
      <c r="A22" s="17" t="inlineStr">
        <is>
          <t>5JK</t>
        </is>
      </c>
      <c r="B22" s="17">
        <f>IF(COUNTIFS(T_TTAFStock_Log[Part Name],$A22,T_TTAFStock_Log[WeekIndex],1)=0,"",SUMIFS(T_TTAFStock_Log[TTAF_Qty],T_TTAFStock_Log[Part Name],$A22,T_TTAFStock_Log[WeekIndex],1))</f>
        <v/>
      </c>
      <c r="C22" s="17">
        <f>IF(COUNTIFS(T_TTAFStock_Log[Part Name],$A22,T_TTAFStock_Log[WeekIndex],2)=0,"",SUMIFS(T_TTAFStock_Log[TTAF_Qty],T_TTAFStock_Log[Part Name],$A22,T_TTAFStock_Log[WeekIndex],2))</f>
        <v/>
      </c>
      <c r="D22" s="17">
        <f>IF(COUNTIFS(T_TTAFStock_Log[Part Name],$A22,T_TTAFStock_Log[WeekIndex],3)=0,"",SUMIFS(T_TTAFStock_Log[TTAF_Qty],T_TTAFStock_Log[Part Name],$A22,T_TTAFStock_Log[WeekIndex],3))</f>
        <v/>
      </c>
      <c r="E22" s="17">
        <f>IF(COUNTIFS(T_TTAFStock_Log[Part Name],$A22,T_TTAFStock_Log[WeekIndex],4)=0,"",SUMIFS(T_TTAFStock_Log[TTAF_Qty],T_TTAFStock_Log[Part Name],$A22,T_TTAFStock_Log[WeekIndex],4))</f>
        <v/>
      </c>
      <c r="F22" s="17">
        <f>IF(COUNTIFS(T_TTAFStock_Log[Part Name],$A22,T_TTAFStock_Log[WeekIndex],5)=0,"",SUMIFS(T_TTAFStock_Log[TTAF_Qty],T_TTAFStock_Log[Part Name],$A22,T_TTAFStock_Log[WeekIndex],5))</f>
        <v/>
      </c>
      <c r="G22" s="17">
        <f>IF(COUNTIFS(T_TTAFStock_Log[Part Name],$A22,T_TTAFStock_Log[WeekIndex],6)=0,"",SUMIFS(T_TTAFStock_Log[TTAF_Qty],T_TTAFStock_Log[Part Name],$A22,T_TTAFStock_Log[WeekIndex],6))</f>
        <v/>
      </c>
      <c r="H22" s="17">
        <f>IF(COUNTIFS(T_TTAFStock_Log[Part Name],$A22,T_TTAFStock_Log[WeekIndex],7)=0,"",SUMIFS(T_TTAFStock_Log[TTAF_Qty],T_TTAFStock_Log[Part Name],$A22,T_TTAFStock_Log[WeekIndex],7))</f>
        <v/>
      </c>
      <c r="I22" s="17">
        <f>IF(COUNTIFS(T_TTAFStock_Log[Part Name],$A22,T_TTAFStock_Log[WeekIndex],8)=0,"",SUMIFS(T_TTAFStock_Log[TTAF_Qty],T_TTAFStock_Log[Part Name],$A22,T_TTAFStock_Log[WeekIndex],8))</f>
        <v/>
      </c>
      <c r="J22" s="17">
        <f>IF(COUNTIFS(T_TTAFStock_Log[Part Name],$A22,T_TTAFStock_Log[WeekIndex],9)=0,"",SUMIFS(T_TTAFStock_Log[TTAF_Qty],T_TTAFStock_Log[Part Name],$A22,T_TTAFStock_Log[WeekIndex],9))</f>
        <v/>
      </c>
      <c r="K22" s="17">
        <f>IF(COUNTIFS(T_TTAFStock_Log[Part Name],$A22,T_TTAFStock_Log[WeekIndex],10)=0,"",SUMIFS(T_TTAFStock_Log[TTAF_Qty],T_TTAFStock_Log[Part Name],$A22,T_TTAFStock_Log[WeekIndex],10))</f>
        <v/>
      </c>
      <c r="L22" s="17">
        <f>IF(COUNTIFS(T_TTAFStock_Log[Part Name],$A22,T_TTAFStock_Log[WeekIndex],11)=0,"",SUMIFS(T_TTAFStock_Log[TTAF_Qty],T_TTAFStock_Log[Part Name],$A22,T_TTAFStock_Log[WeekIndex],11))</f>
        <v/>
      </c>
      <c r="M22" s="17">
        <f>IF(COUNTIFS(T_TTAFStock_Log[Part Name],$A22,T_TTAFStock_Log[WeekIndex],12)=0,"",SUMIFS(T_TTAFStock_Log[TTAF_Qty],T_TTAFStock_Log[Part Name],$A22,T_TTAFStock_Log[WeekIndex],12))</f>
        <v/>
      </c>
      <c r="N22" s="17">
        <f>IF(COUNTIFS(T_TTAFStock_Log[Part Name],$A22,T_TTAFStock_Log[WeekIndex],13)=0,"",SUMIFS(T_TTAFStock_Log[TTAF_Qty],T_TTAFStock_Log[Part Name],$A22,T_TTAFStock_Log[WeekIndex],13))</f>
        <v/>
      </c>
      <c r="O22" s="17">
        <f>IF(COUNTIFS(T_TTAFStock_Log[Part Name],$A22,T_TTAFStock_Log[WeekIndex],14)=0,"",SUMIFS(T_TTAFStock_Log[TTAF_Qty],T_TTAFStock_Log[Part Name],$A22,T_TTAFStock_Log[WeekIndex],14))</f>
        <v/>
      </c>
      <c r="P22" s="17">
        <f>IF(COUNTIFS(T_TTAFStock_Log[Part Name],$A22,T_TTAFStock_Log[WeekIndex],15)=0,"",SUMIFS(T_TTAFStock_Log[TTAF_Qty],T_TTAFStock_Log[Part Name],$A22,T_TTAFStock_Log[WeekIndex],15))</f>
        <v/>
      </c>
      <c r="Q22" s="17">
        <f>IF(COUNTIFS(T_TTAFStock_Log[Part Name],$A22,T_TTAFStock_Log[WeekIndex],16)=0,"",SUMIFS(T_TTAFStock_Log[TTAF_Qty],T_TTAFStock_Log[Part Name],$A22,T_TTAFStock_Log[WeekIndex],16))</f>
        <v/>
      </c>
      <c r="R22" s="17">
        <f>IF(COUNTIFS(T_TTAFStock_Log[Part Name],$A22,T_TTAFStock_Log[WeekIndex],17)=0,"",SUMIFS(T_TTAFStock_Log[TTAF_Qty],T_TTAFStock_Log[Part Name],$A22,T_TTAFStock_Log[WeekIndex],17))</f>
        <v/>
      </c>
      <c r="S22" s="17">
        <f>IF(COUNTIFS(T_TTAFStock_Log[Part Name],$A22,T_TTAFStock_Log[WeekIndex],18)=0,"",SUMIFS(T_TTAFStock_Log[TTAF_Qty],T_TTAFStock_Log[Part Name],$A22,T_TTAFStock_Log[WeekIndex],18))</f>
        <v/>
      </c>
      <c r="T22" s="17">
        <f>IF(COUNTIFS(T_TTAFStock_Log[Part Name],$A22,T_TTAFStock_Log[WeekIndex],19)=0,"",SUMIFS(T_TTAFStock_Log[TTAF_Qty],T_TTAFStock_Log[Part Name],$A22,T_TTAFStock_Log[WeekIndex],19))</f>
        <v/>
      </c>
      <c r="U22" s="17">
        <f>IF(COUNTIFS(T_TTAFStock_Log[Part Name],$A22,T_TTAFStock_Log[WeekIndex],20)=0,"",SUMIFS(T_TTAFStock_Log[TTAF_Qty],T_TTAFStock_Log[Part Name],$A22,T_TTAFStock_Log[WeekIndex],20))</f>
        <v/>
      </c>
      <c r="V22" s="17">
        <f>IF(COUNTIFS(T_TTAFStock_Log[Part Name],$A22,T_TTAFStock_Log[WeekIndex],21)=0,"",SUMIFS(T_TTAFStock_Log[TTAF_Qty],T_TTAFStock_Log[Part Name],$A22,T_TTAFStock_Log[WeekIndex],21))</f>
        <v/>
      </c>
      <c r="W22" s="17">
        <f>IF(COUNTIFS(T_TTAFStock_Log[Part Name],$A22,T_TTAFStock_Log[WeekIndex],22)=0,"",SUMIFS(T_TTAFStock_Log[TTAF_Qty],T_TTAFStock_Log[Part Name],$A22,T_TTAFStock_Log[WeekIndex],22))</f>
        <v/>
      </c>
      <c r="X22" s="17">
        <f>IF(COUNTIFS(T_TTAFStock_Log[Part Name],$A22,T_TTAFStock_Log[WeekIndex],23)=0,"",SUMIFS(T_TTAFStock_Log[TTAF_Qty],T_TTAFStock_Log[Part Name],$A22,T_TTAFStock_Log[WeekIndex],23))</f>
        <v/>
      </c>
      <c r="Y22" s="17">
        <f>IF(COUNTIFS(T_TTAFStock_Log[Part Name],$A22,T_TTAFStock_Log[WeekIndex],24)=0,"",SUMIFS(T_TTAFStock_Log[TTAF_Qty],T_TTAFStock_Log[Part Name],$A22,T_TTAFStock_Log[WeekIndex],24))</f>
        <v/>
      </c>
      <c r="Z22" s="17">
        <f>IF(COUNTIFS(T_TTAFStock_Log[Part Name],$A22,T_TTAFStock_Log[WeekIndex],25)=0,"",SUMIFS(T_TTAFStock_Log[TTAF_Qty],T_TTAFStock_Log[Part Name],$A22,T_TTAFStock_Log[WeekIndex],25))</f>
        <v/>
      </c>
      <c r="AA22" s="17">
        <f>IF(COUNTIFS(T_TTAFStock_Log[Part Name],$A22,T_TTAFStock_Log[WeekIndex],26)=0,"",SUMIFS(T_TTAFStock_Log[TTAF_Qty],T_TTAFStock_Log[Part Name],$A22,T_TTAFStock_Log[WeekIndex],26))</f>
        <v/>
      </c>
      <c r="AB22" s="17">
        <f>IF(COUNTIFS(T_TTAFStock_Log[Part Name],$A22,T_TTAFStock_Log[WeekIndex],27)=0,"",SUMIFS(T_TTAFStock_Log[TTAF_Qty],T_TTAFStock_Log[Part Name],$A22,T_TTAFStock_Log[WeekIndex],27))</f>
        <v/>
      </c>
      <c r="AC22" s="17">
        <f>IF(COUNTIFS(T_TTAFStock_Log[Part Name],$A22,T_TTAFStock_Log[WeekIndex],28)=0,"",SUMIFS(T_TTAFStock_Log[TTAF_Qty],T_TTAFStock_Log[Part Name],$A22,T_TTAFStock_Log[WeekIndex],28))</f>
        <v/>
      </c>
      <c r="AD22" s="17">
        <f>IF(COUNTIFS(T_TTAFStock_Log[Part Name],$A22,T_TTAFStock_Log[WeekIndex],29)=0,"",SUMIFS(T_TTAFStock_Log[TTAF_Qty],T_TTAFStock_Log[Part Name],$A22,T_TTAFStock_Log[WeekIndex],29))</f>
        <v/>
      </c>
      <c r="AE22" s="17">
        <f>IF(COUNTIFS(T_TTAFStock_Log[Part Name],$A22,T_TTAFStock_Log[WeekIndex],30)=0,"",SUMIFS(T_TTAFStock_Log[TTAF_Qty],T_TTAFStock_Log[Part Name],$A22,T_TTAFStock_Log[WeekIndex],30))</f>
        <v/>
      </c>
      <c r="AF22" s="17">
        <f>IF(COUNTIFS(T_TTAFStock_Log[Part Name],$A22,T_TTAFStock_Log[WeekIndex],31)=0,"",SUMIFS(T_TTAFStock_Log[TTAF_Qty],T_TTAFStock_Log[Part Name],$A22,T_TTAFStock_Log[WeekIndex],31))</f>
        <v/>
      </c>
      <c r="AG22" s="17">
        <f>IF(COUNTIFS(T_TTAFStock_Log[Part Name],$A22,T_TTAFStock_Log[WeekIndex],32)=0,"",SUMIFS(T_TTAFStock_Log[TTAF_Qty],T_TTAFStock_Log[Part Name],$A22,T_TTAFStock_Log[WeekIndex],32))</f>
        <v/>
      </c>
      <c r="AH22" s="17">
        <f>IF(COUNTIFS(T_TTAFStock_Log[Part Name],$A22,T_TTAFStock_Log[WeekIndex],33)=0,"",SUMIFS(T_TTAFStock_Log[TTAF_Qty],T_TTAFStock_Log[Part Name],$A22,T_TTAFStock_Log[WeekIndex],33))</f>
        <v/>
      </c>
      <c r="AI22" s="17">
        <f>IF(COUNTIFS(T_TTAFStock_Log[Part Name],$A22,T_TTAFStock_Log[WeekIndex],34)=0,"",SUMIFS(T_TTAFStock_Log[TTAF_Qty],T_TTAFStock_Log[Part Name],$A22,T_TTAFStock_Log[WeekIndex],34))</f>
        <v/>
      </c>
      <c r="AJ22" s="17">
        <f>IF(COUNTIFS(T_TTAFStock_Log[Part Name],$A22,T_TTAFStock_Log[WeekIndex],35)=0,"",SUMIFS(T_TTAFStock_Log[TTAF_Qty],T_TTAFStock_Log[Part Name],$A22,T_TTAFStock_Log[WeekIndex],35))</f>
        <v/>
      </c>
      <c r="AK22" s="17">
        <f>IF(COUNTIFS(T_TTAFStock_Log[Part Name],$A22,T_TTAFStock_Log[WeekIndex],36)=0,"",SUMIFS(T_TTAFStock_Log[TTAF_Qty],T_TTAFStock_Log[Part Name],$A22,T_TTAFStock_Log[WeekIndex],36))</f>
        <v/>
      </c>
      <c r="AL22" s="17">
        <f>IF(COUNTIFS(T_TTAFStock_Log[Part Name],$A22,T_TTAFStock_Log[WeekIndex],37)=0,"",SUMIFS(T_TTAFStock_Log[TTAF_Qty],T_TTAFStock_Log[Part Name],$A22,T_TTAFStock_Log[WeekIndex],37))</f>
        <v/>
      </c>
      <c r="AM22" s="17">
        <f>IF(COUNTIFS(T_TTAFStock_Log[Part Name],$A22,T_TTAFStock_Log[WeekIndex],38)=0,"",SUMIFS(T_TTAFStock_Log[TTAF_Qty],T_TTAFStock_Log[Part Name],$A22,T_TTAFStock_Log[WeekIndex],38))</f>
        <v/>
      </c>
      <c r="AN22" s="17">
        <f>IF(COUNTIFS(T_TTAFStock_Log[Part Name],$A22,T_TTAFStock_Log[WeekIndex],39)=0,"",SUMIFS(T_TTAFStock_Log[TTAF_Qty],T_TTAFStock_Log[Part Name],$A22,T_TTAFStock_Log[WeekIndex],39))</f>
        <v/>
      </c>
      <c r="AO22" s="17">
        <f>IF(COUNTIFS(T_TTAFStock_Log[Part Name],$A22,T_TTAFStock_Log[WeekIndex],40)=0,"",SUMIFS(T_TTAFStock_Log[TTAF_Qty],T_TTAFStock_Log[Part Name],$A22,T_TTAFStock_Log[WeekIndex],40))</f>
        <v/>
      </c>
      <c r="AP22" s="17">
        <f>IF(COUNTIFS(T_TTAFStock_Log[Part Name],$A22,T_TTAFStock_Log[WeekIndex],41)=0,"",SUMIFS(T_TTAFStock_Log[TTAF_Qty],T_TTAFStock_Log[Part Name],$A22,T_TTAFStock_Log[WeekIndex],41))</f>
        <v/>
      </c>
      <c r="AQ22" s="17">
        <f>IF(COUNTIFS(T_TTAFStock_Log[Part Name],$A22,T_TTAFStock_Log[WeekIndex],42)=0,"",SUMIFS(T_TTAFStock_Log[TTAF_Qty],T_TTAFStock_Log[Part Name],$A22,T_TTAFStock_Log[WeekIndex],42))</f>
        <v/>
      </c>
      <c r="AR22" s="17">
        <f>IF(COUNTIFS(T_TTAFStock_Log[Part Name],$A22,T_TTAFStock_Log[WeekIndex],43)=0,"",SUMIFS(T_TTAFStock_Log[TTAF_Qty],T_TTAFStock_Log[Part Name],$A22,T_TTAFStock_Log[WeekIndex],43))</f>
        <v/>
      </c>
      <c r="AS22" s="17">
        <f>IF(COUNTIFS(T_TTAFStock_Log[Part Name],$A22,T_TTAFStock_Log[WeekIndex],44)=0,"",SUMIFS(T_TTAFStock_Log[TTAF_Qty],T_TTAFStock_Log[Part Name],$A22,T_TTAFStock_Log[WeekIndex],44))</f>
        <v/>
      </c>
      <c r="AT22" s="17">
        <f>IF(COUNTIFS(T_TTAFStock_Log[Part Name],$A22,T_TTAFStock_Log[WeekIndex],45)=0,"",SUMIFS(T_TTAFStock_Log[TTAF_Qty],T_TTAFStock_Log[Part Name],$A22,T_TTAFStock_Log[WeekIndex],45))</f>
        <v/>
      </c>
      <c r="AU22" s="17">
        <f>IF(COUNTIFS(T_TTAFStock_Log[Part Name],$A22,T_TTAFStock_Log[WeekIndex],46)=0,"",SUMIFS(T_TTAFStock_Log[TTAF_Qty],T_TTAFStock_Log[Part Name],$A22,T_TTAFStock_Log[WeekIndex],46))</f>
        <v/>
      </c>
      <c r="AV22" s="17">
        <f>IF(COUNTIFS(T_TTAFStock_Log[Part Name],$A22,T_TTAFStock_Log[WeekIndex],47)=0,"",SUMIFS(T_TTAFStock_Log[TTAF_Qty],T_TTAFStock_Log[Part Name],$A22,T_TTAFStock_Log[WeekIndex],47))</f>
        <v/>
      </c>
      <c r="AW22" s="17">
        <f>IF(COUNTIFS(T_TTAFStock_Log[Part Name],$A22,T_TTAFStock_Log[WeekIndex],48)=0,"",SUMIFS(T_TTAFStock_Log[TTAF_Qty],T_TTAFStock_Log[Part Name],$A22,T_TTAFStock_Log[WeekIndex],48))</f>
        <v/>
      </c>
      <c r="AX22" s="17">
        <f>IF(COUNTIFS(T_TTAFStock_Log[Part Name],$A22,T_TTAFStock_Log[WeekIndex],49)=0,"",SUMIFS(T_TTAFStock_Log[TTAF_Qty],T_TTAFStock_Log[Part Name],$A22,T_TTAFStock_Log[WeekIndex],49))</f>
        <v/>
      </c>
      <c r="AY22" s="17">
        <f>IF(COUNTIFS(T_TTAFStock_Log[Part Name],$A22,T_TTAFStock_Log[WeekIndex],50)=0,"",SUMIFS(T_TTAFStock_Log[TTAF_Qty],T_TTAFStock_Log[Part Name],$A22,T_TTAFStock_Log[WeekIndex],50))</f>
        <v/>
      </c>
      <c r="AZ22" s="17">
        <f>IF(COUNTIFS(T_TTAFStock_Log[Part Name],$A22,T_TTAFStock_Log[WeekIndex],51)=0,"",SUMIFS(T_TTAFStock_Log[TTAF_Qty],T_TTAFStock_Log[Part Name],$A22,T_TTAFStock_Log[WeekIndex],51))</f>
        <v/>
      </c>
      <c r="BA22" s="17">
        <f>IF(COUNTIFS(T_TTAFStock_Log[Part Name],$A22,T_TTAFStock_Log[WeekIndex],52)=0,"",SUMIFS(T_TTAFStock_Log[TTAF_Qty],T_TTAFStock_Log[Part Name],$A22,T_TTAFStock_Log[WeekIndex],52))</f>
        <v/>
      </c>
      <c r="BB22" s="17">
        <f>IF(COUNTIFS(T_TTAFStock_Log[Part Name],$A22,T_TTAFStock_Log[WeekIndex],53)=0,"",SUMIFS(T_TTAFStock_Log[TTAF_Qty],T_TTAFStock_Log[Part Name],$A22,T_TTAFStock_Log[WeekIndex],53))</f>
        <v/>
      </c>
      <c r="BC22" s="17">
        <f>IF(COUNTIFS(T_TTAFStock_Log[Part Name],$A22,T_TTAFStock_Log[WeekIndex],54)=0,"",SUMIFS(T_TTAFStock_Log[TTAF_Qty],T_TTAFStock_Log[Part Name],$A22,T_TTAFStock_Log[WeekIndex],54))</f>
        <v/>
      </c>
      <c r="BD22" s="17">
        <f>IF(COUNTIFS(T_TTAFStock_Log[Part Name],$A22,T_TTAFStock_Log[WeekIndex],55)=0,"",SUMIFS(T_TTAFStock_Log[TTAF_Qty],T_TTAFStock_Log[Part Name],$A22,T_TTAFStock_Log[WeekIndex],55))</f>
        <v/>
      </c>
      <c r="BE22" s="17">
        <f>IF(COUNTIFS(T_TTAFStock_Log[Part Name],$A22,T_TTAFStock_Log[WeekIndex],56)=0,"",SUMIFS(T_TTAFStock_Log[TTAF_Qty],T_TTAFStock_Log[Part Name],$A22,T_TTAFStock_Log[WeekIndex],56))</f>
        <v/>
      </c>
      <c r="BF22" s="17">
        <f>IF(COUNTIFS(T_TTAFStock_Log[Part Name],$A22,T_TTAFStock_Log[WeekIndex],57)=0,"",SUMIFS(T_TTAFStock_Log[TTAF_Qty],T_TTAFStock_Log[Part Name],$A22,T_TTAFStock_Log[WeekIndex],57))</f>
        <v/>
      </c>
      <c r="BG22" s="17">
        <f>IF(COUNTIFS(T_TTAFStock_Log[Part Name],$A22,T_TTAFStock_Log[WeekIndex],58)=0,"",SUMIFS(T_TTAFStock_Log[TTAF_Qty],T_TTAFStock_Log[Part Name],$A22,T_TTAFStock_Log[WeekIndex],58))</f>
        <v/>
      </c>
      <c r="BH22" s="17">
        <f>IF(COUNTIFS(T_TTAFStock_Log[Part Name],$A22,T_TTAFStock_Log[WeekIndex],59)=0,"",SUMIFS(T_TTAFStock_Log[TTAF_Qty],T_TTAFStock_Log[Part Name],$A22,T_TTAFStock_Log[WeekIndex],59))</f>
        <v/>
      </c>
      <c r="BI22" s="17">
        <f>IF(COUNTIFS(T_TTAFStock_Log[Part Name],$A22,T_TTAFStock_Log[WeekIndex],60)=0,"",SUMIFS(T_TTAFStock_Log[TTAF_Qty],T_TTAFStock_Log[Part Name],$A22,T_TTAFStock_Log[WeekIndex],60))</f>
        <v/>
      </c>
      <c r="BJ22" s="17">
        <f>IF(COUNTIFS(T_TTAFStock_Log[Part Name],$A22,T_TTAFStock_Log[WeekIndex],61)=0,"",SUMIFS(T_TTAFStock_Log[TTAF_Qty],T_TTAFStock_Log[Part Name],$A22,T_TTAFStock_Log[WeekIndex],61))</f>
        <v/>
      </c>
      <c r="BK22" s="17">
        <f>IF(COUNTIFS(T_TTAFStock_Log[Part Name],$A22,T_TTAFStock_Log[WeekIndex],62)=0,"",SUMIFS(T_TTAFStock_Log[TTAF_Qty],T_TTAFStock_Log[Part Name],$A22,T_TTAFStock_Log[WeekIndex],62))</f>
        <v/>
      </c>
      <c r="BL22" s="17">
        <f>IF(COUNTIFS(T_TTAFStock_Log[Part Name],$A22,T_TTAFStock_Log[WeekIndex],63)=0,"",SUMIFS(T_TTAFStock_Log[TTAF_Qty],T_TTAFStock_Log[Part Name],$A22,T_TTAFStock_Log[WeekIndex],63))</f>
        <v/>
      </c>
      <c r="BM22" s="17">
        <f>IF(COUNTIFS(T_TTAFStock_Log[Part Name],$A22,T_TTAFStock_Log[WeekIndex],64)=0,"",SUMIFS(T_TTAFStock_Log[TTAF_Qty],T_TTAFStock_Log[Part Name],$A22,T_TTAFStock_Log[WeekIndex],64))</f>
        <v/>
      </c>
      <c r="BN22" s="17">
        <f>IF(COUNTIFS(T_TTAFStock_Log[Part Name],$A22,T_TTAFStock_Log[WeekIndex],65)=0,"",SUMIFS(T_TTAFStock_Log[TTAF_Qty],T_TTAFStock_Log[Part Name],$A22,T_TTAFStock_Log[WeekIndex],65))</f>
        <v/>
      </c>
      <c r="BO22" s="17">
        <f>IF(COUNTIFS(T_TTAFStock_Log[Part Name],$A22,T_TTAFStock_Log[WeekIndex],66)=0,"",SUMIFS(T_TTAFStock_Log[TTAF_Qty],T_TTAFStock_Log[Part Name],$A22,T_TTAFStock_Log[WeekIndex],66))</f>
        <v/>
      </c>
      <c r="BP22" s="17">
        <f>IF(COUNTIFS(T_TTAFStock_Log[Part Name],$A22,T_TTAFStock_Log[WeekIndex],67)=0,"",SUMIFS(T_TTAFStock_Log[TTAF_Qty],T_TTAFStock_Log[Part Name],$A22,T_TTAFStock_Log[WeekIndex],67))</f>
        <v/>
      </c>
      <c r="BQ22" s="17">
        <f>IF(COUNTIFS(T_TTAFStock_Log[Part Name],$A22,T_TTAFStock_Log[WeekIndex],68)=0,"",SUMIFS(T_TTAFStock_Log[TTAF_Qty],T_TTAFStock_Log[Part Name],$A22,T_TTAFStock_Log[WeekIndex],68))</f>
        <v/>
      </c>
      <c r="BR22" s="17">
        <f>IF(COUNTIFS(T_TTAFStock_Log[Part Name],$A22,T_TTAFStock_Log[WeekIndex],69)=0,"",SUMIFS(T_TTAFStock_Log[TTAF_Qty],T_TTAFStock_Log[Part Name],$A22,T_TTAFStock_Log[WeekIndex],69))</f>
        <v/>
      </c>
      <c r="BS22" s="17">
        <f>IF(COUNTIFS(T_TTAFStock_Log[Part Name],$A22,T_TTAFStock_Log[WeekIndex],70)=0,"",SUMIFS(T_TTAFStock_Log[TTAF_Qty],T_TTAFStock_Log[Part Name],$A22,T_TTAFStock_Log[WeekIndex],70))</f>
        <v/>
      </c>
      <c r="BT22" s="17">
        <f>IF(COUNTIFS(T_TTAFStock_Log[Part Name],$A22,T_TTAFStock_Log[WeekIndex],71)=0,"",SUMIFS(T_TTAFStock_Log[TTAF_Qty],T_TTAFStock_Log[Part Name],$A22,T_TTAFStock_Log[WeekIndex],71))</f>
        <v/>
      </c>
      <c r="BU22" s="17">
        <f>IF(COUNTIFS(T_TTAFStock_Log[Part Name],$A22,T_TTAFStock_Log[WeekIndex],72)=0,"",SUMIFS(T_TTAFStock_Log[TTAF_Qty],T_TTAFStock_Log[Part Name],$A22,T_TTAFStock_Log[WeekIndex],72))</f>
        <v/>
      </c>
      <c r="BV22" s="17">
        <f>IF(COUNTIFS(T_TTAFStock_Log[Part Name],$A22,T_TTAFStock_Log[WeekIndex],73)=0,"",SUMIFS(T_TTAFStock_Log[TTAF_Qty],T_TTAFStock_Log[Part Name],$A22,T_TTAFStock_Log[WeekIndex],73))</f>
        <v/>
      </c>
      <c r="BW22" s="17">
        <f>IF(COUNTIFS(T_TTAFStock_Log[Part Name],$A22,T_TTAFStock_Log[WeekIndex],74)=0,"",SUMIFS(T_TTAFStock_Log[TTAF_Qty],T_TTAFStock_Log[Part Name],$A22,T_TTAFStock_Log[WeekIndex],74))</f>
        <v/>
      </c>
      <c r="BX22" s="17">
        <f>IF(COUNTIFS(T_TTAFStock_Log[Part Name],$A22,T_TTAFStock_Log[WeekIndex],75)=0,"",SUMIFS(T_TTAFStock_Log[TTAF_Qty],T_TTAFStock_Log[Part Name],$A22,T_TTAFStock_Log[WeekIndex],75))</f>
        <v/>
      </c>
      <c r="BY22" s="17">
        <f>IF(COUNTIFS(T_TTAFStock_Log[Part Name],$A22,T_TTAFStock_Log[WeekIndex],76)=0,"",SUMIFS(T_TTAFStock_Log[TTAF_Qty],T_TTAFStock_Log[Part Name],$A22,T_TTAFStock_Log[WeekIndex],76))</f>
        <v/>
      </c>
      <c r="BZ22" s="17">
        <f>IF(COUNTIFS(T_TTAFStock_Log[Part Name],$A22,T_TTAFStock_Log[WeekIndex],77)=0,"",SUMIFS(T_TTAFStock_Log[TTAF_Qty],T_TTAFStock_Log[Part Name],$A22,T_TTAFStock_Log[WeekIndex],77))</f>
        <v/>
      </c>
      <c r="CA22" s="17">
        <f>IF(COUNTIFS(T_TTAFStock_Log[Part Name],$A22,T_TTAFStock_Log[WeekIndex],78)=0,"",SUMIFS(T_TTAFStock_Log[TTAF_Qty],T_TTAFStock_Log[Part Name],$A22,T_TTAFStock_Log[WeekIndex],78))</f>
        <v/>
      </c>
      <c r="CB22" s="17">
        <f>IF(COUNTIFS(T_TTAFStock_Log[Part Name],$A22,T_TTAFStock_Log[WeekIndex],79)=0,"",SUMIFS(T_TTAFStock_Log[TTAF_Qty],T_TTAFStock_Log[Part Name],$A22,T_TTAFStock_Log[WeekIndex],79))</f>
        <v/>
      </c>
      <c r="CC22" s="17">
        <f>IF(COUNTIFS(T_TTAFStock_Log[Part Name],$A22,T_TTAFStock_Log[WeekIndex],80)=0,"",SUMIFS(T_TTAFStock_Log[TTAF_Qty],T_TTAFStock_Log[Part Name],$A22,T_TTAFStock_Log[WeekIndex],80))</f>
        <v/>
      </c>
      <c r="CD22" s="17">
        <f>IF(COUNTIFS(T_TTAFStock_Log[Part Name],$A22,T_TTAFStock_Log[WeekIndex],81)=0,"",SUMIFS(T_TTAFStock_Log[TTAF_Qty],T_TTAFStock_Log[Part Name],$A22,T_TTAFStock_Log[WeekIndex],81))</f>
        <v/>
      </c>
      <c r="CE22" s="17">
        <f>IF(COUNTIFS(T_TTAFStock_Log[Part Name],$A22,T_TTAFStock_Log[WeekIndex],82)=0,"",SUMIFS(T_TTAFStock_Log[TTAF_Qty],T_TTAFStock_Log[Part Name],$A22,T_TTAFStock_Log[WeekIndex],82))</f>
        <v/>
      </c>
      <c r="CF22" s="17">
        <f>IF(COUNTIFS(T_TTAFStock_Log[Part Name],$A22,T_TTAFStock_Log[WeekIndex],83)=0,"",SUMIFS(T_TTAFStock_Log[TTAF_Qty],T_TTAFStock_Log[Part Name],$A22,T_TTAFStock_Log[WeekIndex],83))</f>
        <v/>
      </c>
      <c r="CG22" s="17">
        <f>IF(COUNTIFS(T_TTAFStock_Log[Part Name],$A22,T_TTAFStock_Log[WeekIndex],84)=0,"",SUMIFS(T_TTAFStock_Log[TTAF_Qty],T_TTAFStock_Log[Part Name],$A22,T_TTAFStock_Log[WeekIndex],84))</f>
        <v/>
      </c>
      <c r="CH22" s="17">
        <f>IF(COUNTIFS(T_TTAFStock_Log[Part Name],$A22,T_TTAFStock_Log[WeekIndex],85)=0,"",SUMIFS(T_TTAFStock_Log[TTAF_Qty],T_TTAFStock_Log[Part Name],$A22,T_TTAFStock_Log[WeekIndex],85))</f>
        <v/>
      </c>
      <c r="CI22" s="17">
        <f>IF(COUNTIFS(T_TTAFStock_Log[Part Name],$A22,T_TTAFStock_Log[WeekIndex],86)=0,"",SUMIFS(T_TTAFStock_Log[TTAF_Qty],T_TTAFStock_Log[Part Name],$A22,T_TTAFStock_Log[WeekIndex],86))</f>
        <v/>
      </c>
      <c r="CJ22" s="17">
        <f>IF(COUNTIFS(T_TTAFStock_Log[Part Name],$A22,T_TTAFStock_Log[WeekIndex],87)=0,"",SUMIFS(T_TTAFStock_Log[TTAF_Qty],T_TTAFStock_Log[Part Name],$A22,T_TTAFStock_Log[WeekIndex],87))</f>
        <v/>
      </c>
      <c r="CK22" s="17">
        <f>IF(COUNTIFS(T_TTAFStock_Log[Part Name],$A22,T_TTAFStock_Log[WeekIndex],88)=0,"",SUMIFS(T_TTAFStock_Log[TTAF_Qty],T_TTAFStock_Log[Part Name],$A22,T_TTAFStock_Log[WeekIndex],88))</f>
        <v/>
      </c>
      <c r="CL22" s="17">
        <f>IF(COUNTIFS(T_TTAFStock_Log[Part Name],$A22,T_TTAFStock_Log[WeekIndex],89)=0,"",SUMIFS(T_TTAFStock_Log[TTAF_Qty],T_TTAFStock_Log[Part Name],$A22,T_TTAFStock_Log[WeekIndex],89))</f>
        <v/>
      </c>
      <c r="CM22" s="17">
        <f>IF(COUNTIFS(T_TTAFStock_Log[Part Name],$A22,T_TTAFStock_Log[WeekIndex],90)=0,"",SUMIFS(T_TTAFStock_Log[TTAF_Qty],T_TTAFStock_Log[Part Name],$A22,T_TTAFStock_Log[WeekIndex],90))</f>
        <v/>
      </c>
      <c r="CN22" s="17">
        <f>IF(COUNTIFS(T_TTAFStock_Log[Part Name],$A22,T_TTAFStock_Log[WeekIndex],91)=0,"",SUMIFS(T_TTAFStock_Log[TTAF_Qty],T_TTAFStock_Log[Part Name],$A22,T_TTAFStock_Log[WeekIndex],91))</f>
        <v/>
      </c>
      <c r="CO22" s="17">
        <f>IF(COUNTIFS(T_TTAFStock_Log[Part Name],$A22,T_TTAFStock_Log[WeekIndex],92)=0,"",SUMIFS(T_TTAFStock_Log[TTAF_Qty],T_TTAFStock_Log[Part Name],$A22,T_TTAFStock_Log[WeekIndex],92))</f>
        <v/>
      </c>
      <c r="CP22" s="17">
        <f>IF(COUNTIFS(T_TTAFStock_Log[Part Name],$A22,T_TTAFStock_Log[WeekIndex],93)=0,"",SUMIFS(T_TTAFStock_Log[TTAF_Qty],T_TTAFStock_Log[Part Name],$A22,T_TTAFStock_Log[WeekIndex],93))</f>
        <v/>
      </c>
      <c r="CQ22" s="17">
        <f>IF(COUNTIFS(T_TTAFStock_Log[Part Name],$A22,T_TTAFStock_Log[WeekIndex],94)=0,"",SUMIFS(T_TTAFStock_Log[TTAF_Qty],T_TTAFStock_Log[Part Name],$A22,T_TTAFStock_Log[WeekIndex],94))</f>
        <v/>
      </c>
      <c r="CR22" s="17">
        <f>IF(COUNTIFS(T_TTAFStock_Log[Part Name],$A22,T_TTAFStock_Log[WeekIndex],95)=0,"",SUMIFS(T_TTAFStock_Log[TTAF_Qty],T_TTAFStock_Log[Part Name],$A22,T_TTAFStock_Log[WeekIndex],95))</f>
        <v/>
      </c>
      <c r="CS22" s="17">
        <f>IF(COUNTIFS(T_TTAFStock_Log[Part Name],$A22,T_TTAFStock_Log[WeekIndex],96)=0,"",SUMIFS(T_TTAFStock_Log[TTAF_Qty],T_TTAFStock_Log[Part Name],$A22,T_TTAFStock_Log[WeekIndex],96))</f>
        <v/>
      </c>
      <c r="CT22" s="17">
        <f>IF(COUNTIFS(T_TTAFStock_Log[Part Name],$A22,T_TTAFStock_Log[WeekIndex],97)=0,"",SUMIFS(T_TTAFStock_Log[TTAF_Qty],T_TTAFStock_Log[Part Name],$A22,T_TTAFStock_Log[WeekIndex],97))</f>
        <v/>
      </c>
      <c r="CU22" s="17">
        <f>IF(COUNTIFS(T_TTAFStock_Log[Part Name],$A22,T_TTAFStock_Log[WeekIndex],98)=0,"",SUMIFS(T_TTAFStock_Log[TTAF_Qty],T_TTAFStock_Log[Part Name],$A22,T_TTAFStock_Log[WeekIndex],98))</f>
        <v/>
      </c>
      <c r="CV22" s="17">
        <f>IF(COUNTIFS(T_TTAFStock_Log[Part Name],$A22,T_TTAFStock_Log[WeekIndex],99)=0,"",SUMIFS(T_TTAFStock_Log[TTAF_Qty],T_TTAFStock_Log[Part Name],$A22,T_TTAFStock_Log[WeekIndex],99))</f>
        <v/>
      </c>
      <c r="CW22" s="17">
        <f>IF(COUNTIFS(T_TTAFStock_Log[Part Name],$A22,T_TTAFStock_Log[WeekIndex],100)=0,"",SUMIFS(T_TTAFStock_Log[TTAF_Qty],T_TTAFStock_Log[Part Name],$A22,T_TTAFStock_Log[WeekIndex],100))</f>
        <v/>
      </c>
      <c r="CX22" s="17">
        <f>IF(COUNTIFS(T_TTAFStock_Log[Part Name],$A22,T_TTAFStock_Log[WeekIndex],101)=0,"",SUMIFS(T_TTAFStock_Log[TTAF_Qty],T_TTAFStock_Log[Part Name],$A22,T_TTAFStock_Log[WeekIndex],101))</f>
        <v/>
      </c>
      <c r="CY22" s="17">
        <f>IF(COUNTIFS(T_TTAFStock_Log[Part Name],$A22,T_TTAFStock_Log[WeekIndex],102)=0,"",SUMIFS(T_TTAFStock_Log[TTAF_Qty],T_TTAFStock_Log[Part Name],$A22,T_TTAFStock_Log[WeekIndex],102))</f>
        <v/>
      </c>
      <c r="CZ22" s="17">
        <f>IF(COUNTIFS(T_TTAFStock_Log[Part Name],$A22,T_TTAFStock_Log[WeekIndex],103)=0,"",SUMIFS(T_TTAFStock_Log[TTAF_Qty],T_TTAFStock_Log[Part Name],$A22,T_TTAFStock_Log[WeekIndex],103))</f>
        <v/>
      </c>
      <c r="DA22" s="17">
        <f>IF(COUNTIFS(T_TTAFStock_Log[Part Name],$A22,T_TTAFStock_Log[WeekIndex],104)=0,"",SUMIFS(T_TTAFStock_Log[TTAF_Qty],T_TTAFStock_Log[Part Name],$A22,T_TTAFStock_Log[WeekIndex],104))</f>
        <v/>
      </c>
    </row>
    <row r="23">
      <c r="A23" s="19" t="inlineStr">
        <is>
          <t>26F</t>
        </is>
      </c>
      <c r="B23" s="19">
        <f>IF(COUNTIFS(T_TTAFStock_Log[Part Name],$A23,T_TTAFStock_Log[WeekIndex],1)=0,"",SUMIFS(T_TTAFStock_Log[TTAF_Qty],T_TTAFStock_Log[Part Name],$A23,T_TTAFStock_Log[WeekIndex],1))</f>
        <v/>
      </c>
      <c r="C23" s="19">
        <f>IF(COUNTIFS(T_TTAFStock_Log[Part Name],$A23,T_TTAFStock_Log[WeekIndex],2)=0,"",SUMIFS(T_TTAFStock_Log[TTAF_Qty],T_TTAFStock_Log[Part Name],$A23,T_TTAFStock_Log[WeekIndex],2))</f>
        <v/>
      </c>
      <c r="D23" s="19">
        <f>IF(COUNTIFS(T_TTAFStock_Log[Part Name],$A23,T_TTAFStock_Log[WeekIndex],3)=0,"",SUMIFS(T_TTAFStock_Log[TTAF_Qty],T_TTAFStock_Log[Part Name],$A23,T_TTAFStock_Log[WeekIndex],3))</f>
        <v/>
      </c>
      <c r="E23" s="19">
        <f>IF(COUNTIFS(T_TTAFStock_Log[Part Name],$A23,T_TTAFStock_Log[WeekIndex],4)=0,"",SUMIFS(T_TTAFStock_Log[TTAF_Qty],T_TTAFStock_Log[Part Name],$A23,T_TTAFStock_Log[WeekIndex],4))</f>
        <v/>
      </c>
      <c r="F23" s="19">
        <f>IF(COUNTIFS(T_TTAFStock_Log[Part Name],$A23,T_TTAFStock_Log[WeekIndex],5)=0,"",SUMIFS(T_TTAFStock_Log[TTAF_Qty],T_TTAFStock_Log[Part Name],$A23,T_TTAFStock_Log[WeekIndex],5))</f>
        <v/>
      </c>
      <c r="G23" s="19">
        <f>IF(COUNTIFS(T_TTAFStock_Log[Part Name],$A23,T_TTAFStock_Log[WeekIndex],6)=0,"",SUMIFS(T_TTAFStock_Log[TTAF_Qty],T_TTAFStock_Log[Part Name],$A23,T_TTAFStock_Log[WeekIndex],6))</f>
        <v/>
      </c>
      <c r="H23" s="19">
        <f>IF(COUNTIFS(T_TTAFStock_Log[Part Name],$A23,T_TTAFStock_Log[WeekIndex],7)=0,"",SUMIFS(T_TTAFStock_Log[TTAF_Qty],T_TTAFStock_Log[Part Name],$A23,T_TTAFStock_Log[WeekIndex],7))</f>
        <v/>
      </c>
      <c r="I23" s="19">
        <f>IF(COUNTIFS(T_TTAFStock_Log[Part Name],$A23,T_TTAFStock_Log[WeekIndex],8)=0,"",SUMIFS(T_TTAFStock_Log[TTAF_Qty],T_TTAFStock_Log[Part Name],$A23,T_TTAFStock_Log[WeekIndex],8))</f>
        <v/>
      </c>
      <c r="J23" s="19">
        <f>IF(COUNTIFS(T_TTAFStock_Log[Part Name],$A23,T_TTAFStock_Log[WeekIndex],9)=0,"",SUMIFS(T_TTAFStock_Log[TTAF_Qty],T_TTAFStock_Log[Part Name],$A23,T_TTAFStock_Log[WeekIndex],9))</f>
        <v/>
      </c>
      <c r="K23" s="19">
        <f>IF(COUNTIFS(T_TTAFStock_Log[Part Name],$A23,T_TTAFStock_Log[WeekIndex],10)=0,"",SUMIFS(T_TTAFStock_Log[TTAF_Qty],T_TTAFStock_Log[Part Name],$A23,T_TTAFStock_Log[WeekIndex],10))</f>
        <v/>
      </c>
      <c r="L23" s="19">
        <f>IF(COUNTIFS(T_TTAFStock_Log[Part Name],$A23,T_TTAFStock_Log[WeekIndex],11)=0,"",SUMIFS(T_TTAFStock_Log[TTAF_Qty],T_TTAFStock_Log[Part Name],$A23,T_TTAFStock_Log[WeekIndex],11))</f>
        <v/>
      </c>
      <c r="M23" s="19">
        <f>IF(COUNTIFS(T_TTAFStock_Log[Part Name],$A23,T_TTAFStock_Log[WeekIndex],12)=0,"",SUMIFS(T_TTAFStock_Log[TTAF_Qty],T_TTAFStock_Log[Part Name],$A23,T_TTAFStock_Log[WeekIndex],12))</f>
        <v/>
      </c>
      <c r="N23" s="19">
        <f>IF(COUNTIFS(T_TTAFStock_Log[Part Name],$A23,T_TTAFStock_Log[WeekIndex],13)=0,"",SUMIFS(T_TTAFStock_Log[TTAF_Qty],T_TTAFStock_Log[Part Name],$A23,T_TTAFStock_Log[WeekIndex],13))</f>
        <v/>
      </c>
      <c r="O23" s="19">
        <f>IF(COUNTIFS(T_TTAFStock_Log[Part Name],$A23,T_TTAFStock_Log[WeekIndex],14)=0,"",SUMIFS(T_TTAFStock_Log[TTAF_Qty],T_TTAFStock_Log[Part Name],$A23,T_TTAFStock_Log[WeekIndex],14))</f>
        <v/>
      </c>
      <c r="P23" s="19">
        <f>IF(COUNTIFS(T_TTAFStock_Log[Part Name],$A23,T_TTAFStock_Log[WeekIndex],15)=0,"",SUMIFS(T_TTAFStock_Log[TTAF_Qty],T_TTAFStock_Log[Part Name],$A23,T_TTAFStock_Log[WeekIndex],15))</f>
        <v/>
      </c>
      <c r="Q23" s="19">
        <f>IF(COUNTIFS(T_TTAFStock_Log[Part Name],$A23,T_TTAFStock_Log[WeekIndex],16)=0,"",SUMIFS(T_TTAFStock_Log[TTAF_Qty],T_TTAFStock_Log[Part Name],$A23,T_TTAFStock_Log[WeekIndex],16))</f>
        <v/>
      </c>
      <c r="R23" s="19">
        <f>IF(COUNTIFS(T_TTAFStock_Log[Part Name],$A23,T_TTAFStock_Log[WeekIndex],17)=0,"",SUMIFS(T_TTAFStock_Log[TTAF_Qty],T_TTAFStock_Log[Part Name],$A23,T_TTAFStock_Log[WeekIndex],17))</f>
        <v/>
      </c>
      <c r="S23" s="19">
        <f>IF(COUNTIFS(T_TTAFStock_Log[Part Name],$A23,T_TTAFStock_Log[WeekIndex],18)=0,"",SUMIFS(T_TTAFStock_Log[TTAF_Qty],T_TTAFStock_Log[Part Name],$A23,T_TTAFStock_Log[WeekIndex],18))</f>
        <v/>
      </c>
      <c r="T23" s="19">
        <f>IF(COUNTIFS(T_TTAFStock_Log[Part Name],$A23,T_TTAFStock_Log[WeekIndex],19)=0,"",SUMIFS(T_TTAFStock_Log[TTAF_Qty],T_TTAFStock_Log[Part Name],$A23,T_TTAFStock_Log[WeekIndex],19))</f>
        <v/>
      </c>
      <c r="U23" s="19">
        <f>IF(COUNTIFS(T_TTAFStock_Log[Part Name],$A23,T_TTAFStock_Log[WeekIndex],20)=0,"",SUMIFS(T_TTAFStock_Log[TTAF_Qty],T_TTAFStock_Log[Part Name],$A23,T_TTAFStock_Log[WeekIndex],20))</f>
        <v/>
      </c>
      <c r="V23" s="19">
        <f>IF(COUNTIFS(T_TTAFStock_Log[Part Name],$A23,T_TTAFStock_Log[WeekIndex],21)=0,"",SUMIFS(T_TTAFStock_Log[TTAF_Qty],T_TTAFStock_Log[Part Name],$A23,T_TTAFStock_Log[WeekIndex],21))</f>
        <v/>
      </c>
      <c r="W23" s="19">
        <f>IF(COUNTIFS(T_TTAFStock_Log[Part Name],$A23,T_TTAFStock_Log[WeekIndex],22)=0,"",SUMIFS(T_TTAFStock_Log[TTAF_Qty],T_TTAFStock_Log[Part Name],$A23,T_TTAFStock_Log[WeekIndex],22))</f>
        <v/>
      </c>
      <c r="X23" s="19">
        <f>IF(COUNTIFS(T_TTAFStock_Log[Part Name],$A23,T_TTAFStock_Log[WeekIndex],23)=0,"",SUMIFS(T_TTAFStock_Log[TTAF_Qty],T_TTAFStock_Log[Part Name],$A23,T_TTAFStock_Log[WeekIndex],23))</f>
        <v/>
      </c>
      <c r="Y23" s="19">
        <f>IF(COUNTIFS(T_TTAFStock_Log[Part Name],$A23,T_TTAFStock_Log[WeekIndex],24)=0,"",SUMIFS(T_TTAFStock_Log[TTAF_Qty],T_TTAFStock_Log[Part Name],$A23,T_TTAFStock_Log[WeekIndex],24))</f>
        <v/>
      </c>
      <c r="Z23" s="19">
        <f>IF(COUNTIFS(T_TTAFStock_Log[Part Name],$A23,T_TTAFStock_Log[WeekIndex],25)=0,"",SUMIFS(T_TTAFStock_Log[TTAF_Qty],T_TTAFStock_Log[Part Name],$A23,T_TTAFStock_Log[WeekIndex],25))</f>
        <v/>
      </c>
      <c r="AA23" s="19">
        <f>IF(COUNTIFS(T_TTAFStock_Log[Part Name],$A23,T_TTAFStock_Log[WeekIndex],26)=0,"",SUMIFS(T_TTAFStock_Log[TTAF_Qty],T_TTAFStock_Log[Part Name],$A23,T_TTAFStock_Log[WeekIndex],26))</f>
        <v/>
      </c>
      <c r="AB23" s="19">
        <f>IF(COUNTIFS(T_TTAFStock_Log[Part Name],$A23,T_TTAFStock_Log[WeekIndex],27)=0,"",SUMIFS(T_TTAFStock_Log[TTAF_Qty],T_TTAFStock_Log[Part Name],$A23,T_TTAFStock_Log[WeekIndex],27))</f>
        <v/>
      </c>
      <c r="AC23" s="19">
        <f>IF(COUNTIFS(T_TTAFStock_Log[Part Name],$A23,T_TTAFStock_Log[WeekIndex],28)=0,"",SUMIFS(T_TTAFStock_Log[TTAF_Qty],T_TTAFStock_Log[Part Name],$A23,T_TTAFStock_Log[WeekIndex],28))</f>
        <v/>
      </c>
      <c r="AD23" s="19">
        <f>IF(COUNTIFS(T_TTAFStock_Log[Part Name],$A23,T_TTAFStock_Log[WeekIndex],29)=0,"",SUMIFS(T_TTAFStock_Log[TTAF_Qty],T_TTAFStock_Log[Part Name],$A23,T_TTAFStock_Log[WeekIndex],29))</f>
        <v/>
      </c>
      <c r="AE23" s="19">
        <f>IF(COUNTIFS(T_TTAFStock_Log[Part Name],$A23,T_TTAFStock_Log[WeekIndex],30)=0,"",SUMIFS(T_TTAFStock_Log[TTAF_Qty],T_TTAFStock_Log[Part Name],$A23,T_TTAFStock_Log[WeekIndex],30))</f>
        <v/>
      </c>
      <c r="AF23" s="19">
        <f>IF(COUNTIFS(T_TTAFStock_Log[Part Name],$A23,T_TTAFStock_Log[WeekIndex],31)=0,"",SUMIFS(T_TTAFStock_Log[TTAF_Qty],T_TTAFStock_Log[Part Name],$A23,T_TTAFStock_Log[WeekIndex],31))</f>
        <v/>
      </c>
      <c r="AG23" s="19">
        <f>IF(COUNTIFS(T_TTAFStock_Log[Part Name],$A23,T_TTAFStock_Log[WeekIndex],32)=0,"",SUMIFS(T_TTAFStock_Log[TTAF_Qty],T_TTAFStock_Log[Part Name],$A23,T_TTAFStock_Log[WeekIndex],32))</f>
        <v/>
      </c>
      <c r="AH23" s="19">
        <f>IF(COUNTIFS(T_TTAFStock_Log[Part Name],$A23,T_TTAFStock_Log[WeekIndex],33)=0,"",SUMIFS(T_TTAFStock_Log[TTAF_Qty],T_TTAFStock_Log[Part Name],$A23,T_TTAFStock_Log[WeekIndex],33))</f>
        <v/>
      </c>
      <c r="AI23" s="19">
        <f>IF(COUNTIFS(T_TTAFStock_Log[Part Name],$A23,T_TTAFStock_Log[WeekIndex],34)=0,"",SUMIFS(T_TTAFStock_Log[TTAF_Qty],T_TTAFStock_Log[Part Name],$A23,T_TTAFStock_Log[WeekIndex],34))</f>
        <v/>
      </c>
      <c r="AJ23" s="19">
        <f>IF(COUNTIFS(T_TTAFStock_Log[Part Name],$A23,T_TTAFStock_Log[WeekIndex],35)=0,"",SUMIFS(T_TTAFStock_Log[TTAF_Qty],T_TTAFStock_Log[Part Name],$A23,T_TTAFStock_Log[WeekIndex],35))</f>
        <v/>
      </c>
      <c r="AK23" s="19">
        <f>IF(COUNTIFS(T_TTAFStock_Log[Part Name],$A23,T_TTAFStock_Log[WeekIndex],36)=0,"",SUMIFS(T_TTAFStock_Log[TTAF_Qty],T_TTAFStock_Log[Part Name],$A23,T_TTAFStock_Log[WeekIndex],36))</f>
        <v/>
      </c>
      <c r="AL23" s="19">
        <f>IF(COUNTIFS(T_TTAFStock_Log[Part Name],$A23,T_TTAFStock_Log[WeekIndex],37)=0,"",SUMIFS(T_TTAFStock_Log[TTAF_Qty],T_TTAFStock_Log[Part Name],$A23,T_TTAFStock_Log[WeekIndex],37))</f>
        <v/>
      </c>
      <c r="AM23" s="19">
        <f>IF(COUNTIFS(T_TTAFStock_Log[Part Name],$A23,T_TTAFStock_Log[WeekIndex],38)=0,"",SUMIFS(T_TTAFStock_Log[TTAF_Qty],T_TTAFStock_Log[Part Name],$A23,T_TTAFStock_Log[WeekIndex],38))</f>
        <v/>
      </c>
      <c r="AN23" s="19">
        <f>IF(COUNTIFS(T_TTAFStock_Log[Part Name],$A23,T_TTAFStock_Log[WeekIndex],39)=0,"",SUMIFS(T_TTAFStock_Log[TTAF_Qty],T_TTAFStock_Log[Part Name],$A23,T_TTAFStock_Log[WeekIndex],39))</f>
        <v/>
      </c>
      <c r="AO23" s="19">
        <f>IF(COUNTIFS(T_TTAFStock_Log[Part Name],$A23,T_TTAFStock_Log[WeekIndex],40)=0,"",SUMIFS(T_TTAFStock_Log[TTAF_Qty],T_TTAFStock_Log[Part Name],$A23,T_TTAFStock_Log[WeekIndex],40))</f>
        <v/>
      </c>
      <c r="AP23" s="19">
        <f>IF(COUNTIFS(T_TTAFStock_Log[Part Name],$A23,T_TTAFStock_Log[WeekIndex],41)=0,"",SUMIFS(T_TTAFStock_Log[TTAF_Qty],T_TTAFStock_Log[Part Name],$A23,T_TTAFStock_Log[WeekIndex],41))</f>
        <v/>
      </c>
      <c r="AQ23" s="19">
        <f>IF(COUNTIFS(T_TTAFStock_Log[Part Name],$A23,T_TTAFStock_Log[WeekIndex],42)=0,"",SUMIFS(T_TTAFStock_Log[TTAF_Qty],T_TTAFStock_Log[Part Name],$A23,T_TTAFStock_Log[WeekIndex],42))</f>
        <v/>
      </c>
      <c r="AR23" s="19">
        <f>IF(COUNTIFS(T_TTAFStock_Log[Part Name],$A23,T_TTAFStock_Log[WeekIndex],43)=0,"",SUMIFS(T_TTAFStock_Log[TTAF_Qty],T_TTAFStock_Log[Part Name],$A23,T_TTAFStock_Log[WeekIndex],43))</f>
        <v/>
      </c>
      <c r="AS23" s="19">
        <f>IF(COUNTIFS(T_TTAFStock_Log[Part Name],$A23,T_TTAFStock_Log[WeekIndex],44)=0,"",SUMIFS(T_TTAFStock_Log[TTAF_Qty],T_TTAFStock_Log[Part Name],$A23,T_TTAFStock_Log[WeekIndex],44))</f>
        <v/>
      </c>
      <c r="AT23" s="19">
        <f>IF(COUNTIFS(T_TTAFStock_Log[Part Name],$A23,T_TTAFStock_Log[WeekIndex],45)=0,"",SUMIFS(T_TTAFStock_Log[TTAF_Qty],T_TTAFStock_Log[Part Name],$A23,T_TTAFStock_Log[WeekIndex],45))</f>
        <v/>
      </c>
      <c r="AU23" s="19">
        <f>IF(COUNTIFS(T_TTAFStock_Log[Part Name],$A23,T_TTAFStock_Log[WeekIndex],46)=0,"",SUMIFS(T_TTAFStock_Log[TTAF_Qty],T_TTAFStock_Log[Part Name],$A23,T_TTAFStock_Log[WeekIndex],46))</f>
        <v/>
      </c>
      <c r="AV23" s="19">
        <f>IF(COUNTIFS(T_TTAFStock_Log[Part Name],$A23,T_TTAFStock_Log[WeekIndex],47)=0,"",SUMIFS(T_TTAFStock_Log[TTAF_Qty],T_TTAFStock_Log[Part Name],$A23,T_TTAFStock_Log[WeekIndex],47))</f>
        <v/>
      </c>
      <c r="AW23" s="19">
        <f>IF(COUNTIFS(T_TTAFStock_Log[Part Name],$A23,T_TTAFStock_Log[WeekIndex],48)=0,"",SUMIFS(T_TTAFStock_Log[TTAF_Qty],T_TTAFStock_Log[Part Name],$A23,T_TTAFStock_Log[WeekIndex],48))</f>
        <v/>
      </c>
      <c r="AX23" s="19">
        <f>IF(COUNTIFS(T_TTAFStock_Log[Part Name],$A23,T_TTAFStock_Log[WeekIndex],49)=0,"",SUMIFS(T_TTAFStock_Log[TTAF_Qty],T_TTAFStock_Log[Part Name],$A23,T_TTAFStock_Log[WeekIndex],49))</f>
        <v/>
      </c>
      <c r="AY23" s="19">
        <f>IF(COUNTIFS(T_TTAFStock_Log[Part Name],$A23,T_TTAFStock_Log[WeekIndex],50)=0,"",SUMIFS(T_TTAFStock_Log[TTAF_Qty],T_TTAFStock_Log[Part Name],$A23,T_TTAFStock_Log[WeekIndex],50))</f>
        <v/>
      </c>
      <c r="AZ23" s="19">
        <f>IF(COUNTIFS(T_TTAFStock_Log[Part Name],$A23,T_TTAFStock_Log[WeekIndex],51)=0,"",SUMIFS(T_TTAFStock_Log[TTAF_Qty],T_TTAFStock_Log[Part Name],$A23,T_TTAFStock_Log[WeekIndex],51))</f>
        <v/>
      </c>
      <c r="BA23" s="19">
        <f>IF(COUNTIFS(T_TTAFStock_Log[Part Name],$A23,T_TTAFStock_Log[WeekIndex],52)=0,"",SUMIFS(T_TTAFStock_Log[TTAF_Qty],T_TTAFStock_Log[Part Name],$A23,T_TTAFStock_Log[WeekIndex],52))</f>
        <v/>
      </c>
      <c r="BB23" s="19">
        <f>IF(COUNTIFS(T_TTAFStock_Log[Part Name],$A23,T_TTAFStock_Log[WeekIndex],53)=0,"",SUMIFS(T_TTAFStock_Log[TTAF_Qty],T_TTAFStock_Log[Part Name],$A23,T_TTAFStock_Log[WeekIndex],53))</f>
        <v/>
      </c>
      <c r="BC23" s="19">
        <f>IF(COUNTIFS(T_TTAFStock_Log[Part Name],$A23,T_TTAFStock_Log[WeekIndex],54)=0,"",SUMIFS(T_TTAFStock_Log[TTAF_Qty],T_TTAFStock_Log[Part Name],$A23,T_TTAFStock_Log[WeekIndex],54))</f>
        <v/>
      </c>
      <c r="BD23" s="19">
        <f>IF(COUNTIFS(T_TTAFStock_Log[Part Name],$A23,T_TTAFStock_Log[WeekIndex],55)=0,"",SUMIFS(T_TTAFStock_Log[TTAF_Qty],T_TTAFStock_Log[Part Name],$A23,T_TTAFStock_Log[WeekIndex],55))</f>
        <v/>
      </c>
      <c r="BE23" s="19">
        <f>IF(COUNTIFS(T_TTAFStock_Log[Part Name],$A23,T_TTAFStock_Log[WeekIndex],56)=0,"",SUMIFS(T_TTAFStock_Log[TTAF_Qty],T_TTAFStock_Log[Part Name],$A23,T_TTAFStock_Log[WeekIndex],56))</f>
        <v/>
      </c>
      <c r="BF23" s="19">
        <f>IF(COUNTIFS(T_TTAFStock_Log[Part Name],$A23,T_TTAFStock_Log[WeekIndex],57)=0,"",SUMIFS(T_TTAFStock_Log[TTAF_Qty],T_TTAFStock_Log[Part Name],$A23,T_TTAFStock_Log[WeekIndex],57))</f>
        <v/>
      </c>
      <c r="BG23" s="19">
        <f>IF(COUNTIFS(T_TTAFStock_Log[Part Name],$A23,T_TTAFStock_Log[WeekIndex],58)=0,"",SUMIFS(T_TTAFStock_Log[TTAF_Qty],T_TTAFStock_Log[Part Name],$A23,T_TTAFStock_Log[WeekIndex],58))</f>
        <v/>
      </c>
      <c r="BH23" s="19">
        <f>IF(COUNTIFS(T_TTAFStock_Log[Part Name],$A23,T_TTAFStock_Log[WeekIndex],59)=0,"",SUMIFS(T_TTAFStock_Log[TTAF_Qty],T_TTAFStock_Log[Part Name],$A23,T_TTAFStock_Log[WeekIndex],59))</f>
        <v/>
      </c>
      <c r="BI23" s="19">
        <f>IF(COUNTIFS(T_TTAFStock_Log[Part Name],$A23,T_TTAFStock_Log[WeekIndex],60)=0,"",SUMIFS(T_TTAFStock_Log[TTAF_Qty],T_TTAFStock_Log[Part Name],$A23,T_TTAFStock_Log[WeekIndex],60))</f>
        <v/>
      </c>
      <c r="BJ23" s="19">
        <f>IF(COUNTIFS(T_TTAFStock_Log[Part Name],$A23,T_TTAFStock_Log[WeekIndex],61)=0,"",SUMIFS(T_TTAFStock_Log[TTAF_Qty],T_TTAFStock_Log[Part Name],$A23,T_TTAFStock_Log[WeekIndex],61))</f>
        <v/>
      </c>
      <c r="BK23" s="19">
        <f>IF(COUNTIFS(T_TTAFStock_Log[Part Name],$A23,T_TTAFStock_Log[WeekIndex],62)=0,"",SUMIFS(T_TTAFStock_Log[TTAF_Qty],T_TTAFStock_Log[Part Name],$A23,T_TTAFStock_Log[WeekIndex],62))</f>
        <v/>
      </c>
      <c r="BL23" s="19">
        <f>IF(COUNTIFS(T_TTAFStock_Log[Part Name],$A23,T_TTAFStock_Log[WeekIndex],63)=0,"",SUMIFS(T_TTAFStock_Log[TTAF_Qty],T_TTAFStock_Log[Part Name],$A23,T_TTAFStock_Log[WeekIndex],63))</f>
        <v/>
      </c>
      <c r="BM23" s="19">
        <f>IF(COUNTIFS(T_TTAFStock_Log[Part Name],$A23,T_TTAFStock_Log[WeekIndex],64)=0,"",SUMIFS(T_TTAFStock_Log[TTAF_Qty],T_TTAFStock_Log[Part Name],$A23,T_TTAFStock_Log[WeekIndex],64))</f>
        <v/>
      </c>
      <c r="BN23" s="19">
        <f>IF(COUNTIFS(T_TTAFStock_Log[Part Name],$A23,T_TTAFStock_Log[WeekIndex],65)=0,"",SUMIFS(T_TTAFStock_Log[TTAF_Qty],T_TTAFStock_Log[Part Name],$A23,T_TTAFStock_Log[WeekIndex],65))</f>
        <v/>
      </c>
      <c r="BO23" s="19">
        <f>IF(COUNTIFS(T_TTAFStock_Log[Part Name],$A23,T_TTAFStock_Log[WeekIndex],66)=0,"",SUMIFS(T_TTAFStock_Log[TTAF_Qty],T_TTAFStock_Log[Part Name],$A23,T_TTAFStock_Log[WeekIndex],66))</f>
        <v/>
      </c>
      <c r="BP23" s="19">
        <f>IF(COUNTIFS(T_TTAFStock_Log[Part Name],$A23,T_TTAFStock_Log[WeekIndex],67)=0,"",SUMIFS(T_TTAFStock_Log[TTAF_Qty],T_TTAFStock_Log[Part Name],$A23,T_TTAFStock_Log[WeekIndex],67))</f>
        <v/>
      </c>
      <c r="BQ23" s="19">
        <f>IF(COUNTIFS(T_TTAFStock_Log[Part Name],$A23,T_TTAFStock_Log[WeekIndex],68)=0,"",SUMIFS(T_TTAFStock_Log[TTAF_Qty],T_TTAFStock_Log[Part Name],$A23,T_TTAFStock_Log[WeekIndex],68))</f>
        <v/>
      </c>
      <c r="BR23" s="19">
        <f>IF(COUNTIFS(T_TTAFStock_Log[Part Name],$A23,T_TTAFStock_Log[WeekIndex],69)=0,"",SUMIFS(T_TTAFStock_Log[TTAF_Qty],T_TTAFStock_Log[Part Name],$A23,T_TTAFStock_Log[WeekIndex],69))</f>
        <v/>
      </c>
      <c r="BS23" s="19">
        <f>IF(COUNTIFS(T_TTAFStock_Log[Part Name],$A23,T_TTAFStock_Log[WeekIndex],70)=0,"",SUMIFS(T_TTAFStock_Log[TTAF_Qty],T_TTAFStock_Log[Part Name],$A23,T_TTAFStock_Log[WeekIndex],70))</f>
        <v/>
      </c>
      <c r="BT23" s="19">
        <f>IF(COUNTIFS(T_TTAFStock_Log[Part Name],$A23,T_TTAFStock_Log[WeekIndex],71)=0,"",SUMIFS(T_TTAFStock_Log[TTAF_Qty],T_TTAFStock_Log[Part Name],$A23,T_TTAFStock_Log[WeekIndex],71))</f>
        <v/>
      </c>
      <c r="BU23" s="19">
        <f>IF(COUNTIFS(T_TTAFStock_Log[Part Name],$A23,T_TTAFStock_Log[WeekIndex],72)=0,"",SUMIFS(T_TTAFStock_Log[TTAF_Qty],T_TTAFStock_Log[Part Name],$A23,T_TTAFStock_Log[WeekIndex],72))</f>
        <v/>
      </c>
      <c r="BV23" s="19">
        <f>IF(COUNTIFS(T_TTAFStock_Log[Part Name],$A23,T_TTAFStock_Log[WeekIndex],73)=0,"",SUMIFS(T_TTAFStock_Log[TTAF_Qty],T_TTAFStock_Log[Part Name],$A23,T_TTAFStock_Log[WeekIndex],73))</f>
        <v/>
      </c>
      <c r="BW23" s="19">
        <f>IF(COUNTIFS(T_TTAFStock_Log[Part Name],$A23,T_TTAFStock_Log[WeekIndex],74)=0,"",SUMIFS(T_TTAFStock_Log[TTAF_Qty],T_TTAFStock_Log[Part Name],$A23,T_TTAFStock_Log[WeekIndex],74))</f>
        <v/>
      </c>
      <c r="BX23" s="19">
        <f>IF(COUNTIFS(T_TTAFStock_Log[Part Name],$A23,T_TTAFStock_Log[WeekIndex],75)=0,"",SUMIFS(T_TTAFStock_Log[TTAF_Qty],T_TTAFStock_Log[Part Name],$A23,T_TTAFStock_Log[WeekIndex],75))</f>
        <v/>
      </c>
      <c r="BY23" s="19">
        <f>IF(COUNTIFS(T_TTAFStock_Log[Part Name],$A23,T_TTAFStock_Log[WeekIndex],76)=0,"",SUMIFS(T_TTAFStock_Log[TTAF_Qty],T_TTAFStock_Log[Part Name],$A23,T_TTAFStock_Log[WeekIndex],76))</f>
        <v/>
      </c>
      <c r="BZ23" s="19">
        <f>IF(COUNTIFS(T_TTAFStock_Log[Part Name],$A23,T_TTAFStock_Log[WeekIndex],77)=0,"",SUMIFS(T_TTAFStock_Log[TTAF_Qty],T_TTAFStock_Log[Part Name],$A23,T_TTAFStock_Log[WeekIndex],77))</f>
        <v/>
      </c>
      <c r="CA23" s="19">
        <f>IF(COUNTIFS(T_TTAFStock_Log[Part Name],$A23,T_TTAFStock_Log[WeekIndex],78)=0,"",SUMIFS(T_TTAFStock_Log[TTAF_Qty],T_TTAFStock_Log[Part Name],$A23,T_TTAFStock_Log[WeekIndex],78))</f>
        <v/>
      </c>
      <c r="CB23" s="19">
        <f>IF(COUNTIFS(T_TTAFStock_Log[Part Name],$A23,T_TTAFStock_Log[WeekIndex],79)=0,"",SUMIFS(T_TTAFStock_Log[TTAF_Qty],T_TTAFStock_Log[Part Name],$A23,T_TTAFStock_Log[WeekIndex],79))</f>
        <v/>
      </c>
      <c r="CC23" s="19">
        <f>IF(COUNTIFS(T_TTAFStock_Log[Part Name],$A23,T_TTAFStock_Log[WeekIndex],80)=0,"",SUMIFS(T_TTAFStock_Log[TTAF_Qty],T_TTAFStock_Log[Part Name],$A23,T_TTAFStock_Log[WeekIndex],80))</f>
        <v/>
      </c>
      <c r="CD23" s="19">
        <f>IF(COUNTIFS(T_TTAFStock_Log[Part Name],$A23,T_TTAFStock_Log[WeekIndex],81)=0,"",SUMIFS(T_TTAFStock_Log[TTAF_Qty],T_TTAFStock_Log[Part Name],$A23,T_TTAFStock_Log[WeekIndex],81))</f>
        <v/>
      </c>
      <c r="CE23" s="19">
        <f>IF(COUNTIFS(T_TTAFStock_Log[Part Name],$A23,T_TTAFStock_Log[WeekIndex],82)=0,"",SUMIFS(T_TTAFStock_Log[TTAF_Qty],T_TTAFStock_Log[Part Name],$A23,T_TTAFStock_Log[WeekIndex],82))</f>
        <v/>
      </c>
      <c r="CF23" s="19">
        <f>IF(COUNTIFS(T_TTAFStock_Log[Part Name],$A23,T_TTAFStock_Log[WeekIndex],83)=0,"",SUMIFS(T_TTAFStock_Log[TTAF_Qty],T_TTAFStock_Log[Part Name],$A23,T_TTAFStock_Log[WeekIndex],83))</f>
        <v/>
      </c>
      <c r="CG23" s="19">
        <f>IF(COUNTIFS(T_TTAFStock_Log[Part Name],$A23,T_TTAFStock_Log[WeekIndex],84)=0,"",SUMIFS(T_TTAFStock_Log[TTAF_Qty],T_TTAFStock_Log[Part Name],$A23,T_TTAFStock_Log[WeekIndex],84))</f>
        <v/>
      </c>
      <c r="CH23" s="19">
        <f>IF(COUNTIFS(T_TTAFStock_Log[Part Name],$A23,T_TTAFStock_Log[WeekIndex],85)=0,"",SUMIFS(T_TTAFStock_Log[TTAF_Qty],T_TTAFStock_Log[Part Name],$A23,T_TTAFStock_Log[WeekIndex],85))</f>
        <v/>
      </c>
      <c r="CI23" s="19">
        <f>IF(COUNTIFS(T_TTAFStock_Log[Part Name],$A23,T_TTAFStock_Log[WeekIndex],86)=0,"",SUMIFS(T_TTAFStock_Log[TTAF_Qty],T_TTAFStock_Log[Part Name],$A23,T_TTAFStock_Log[WeekIndex],86))</f>
        <v/>
      </c>
      <c r="CJ23" s="19">
        <f>IF(COUNTIFS(T_TTAFStock_Log[Part Name],$A23,T_TTAFStock_Log[WeekIndex],87)=0,"",SUMIFS(T_TTAFStock_Log[TTAF_Qty],T_TTAFStock_Log[Part Name],$A23,T_TTAFStock_Log[WeekIndex],87))</f>
        <v/>
      </c>
      <c r="CK23" s="19">
        <f>IF(COUNTIFS(T_TTAFStock_Log[Part Name],$A23,T_TTAFStock_Log[WeekIndex],88)=0,"",SUMIFS(T_TTAFStock_Log[TTAF_Qty],T_TTAFStock_Log[Part Name],$A23,T_TTAFStock_Log[WeekIndex],88))</f>
        <v/>
      </c>
      <c r="CL23" s="19">
        <f>IF(COUNTIFS(T_TTAFStock_Log[Part Name],$A23,T_TTAFStock_Log[WeekIndex],89)=0,"",SUMIFS(T_TTAFStock_Log[TTAF_Qty],T_TTAFStock_Log[Part Name],$A23,T_TTAFStock_Log[WeekIndex],89))</f>
        <v/>
      </c>
      <c r="CM23" s="19">
        <f>IF(COUNTIFS(T_TTAFStock_Log[Part Name],$A23,T_TTAFStock_Log[WeekIndex],90)=0,"",SUMIFS(T_TTAFStock_Log[TTAF_Qty],T_TTAFStock_Log[Part Name],$A23,T_TTAFStock_Log[WeekIndex],90))</f>
        <v/>
      </c>
      <c r="CN23" s="19">
        <f>IF(COUNTIFS(T_TTAFStock_Log[Part Name],$A23,T_TTAFStock_Log[WeekIndex],91)=0,"",SUMIFS(T_TTAFStock_Log[TTAF_Qty],T_TTAFStock_Log[Part Name],$A23,T_TTAFStock_Log[WeekIndex],91))</f>
        <v/>
      </c>
      <c r="CO23" s="19">
        <f>IF(COUNTIFS(T_TTAFStock_Log[Part Name],$A23,T_TTAFStock_Log[WeekIndex],92)=0,"",SUMIFS(T_TTAFStock_Log[TTAF_Qty],T_TTAFStock_Log[Part Name],$A23,T_TTAFStock_Log[WeekIndex],92))</f>
        <v/>
      </c>
      <c r="CP23" s="19">
        <f>IF(COUNTIFS(T_TTAFStock_Log[Part Name],$A23,T_TTAFStock_Log[WeekIndex],93)=0,"",SUMIFS(T_TTAFStock_Log[TTAF_Qty],T_TTAFStock_Log[Part Name],$A23,T_TTAFStock_Log[WeekIndex],93))</f>
        <v/>
      </c>
      <c r="CQ23" s="19">
        <f>IF(COUNTIFS(T_TTAFStock_Log[Part Name],$A23,T_TTAFStock_Log[WeekIndex],94)=0,"",SUMIFS(T_TTAFStock_Log[TTAF_Qty],T_TTAFStock_Log[Part Name],$A23,T_TTAFStock_Log[WeekIndex],94))</f>
        <v/>
      </c>
      <c r="CR23" s="19">
        <f>IF(COUNTIFS(T_TTAFStock_Log[Part Name],$A23,T_TTAFStock_Log[WeekIndex],95)=0,"",SUMIFS(T_TTAFStock_Log[TTAF_Qty],T_TTAFStock_Log[Part Name],$A23,T_TTAFStock_Log[WeekIndex],95))</f>
        <v/>
      </c>
      <c r="CS23" s="19">
        <f>IF(COUNTIFS(T_TTAFStock_Log[Part Name],$A23,T_TTAFStock_Log[WeekIndex],96)=0,"",SUMIFS(T_TTAFStock_Log[TTAF_Qty],T_TTAFStock_Log[Part Name],$A23,T_TTAFStock_Log[WeekIndex],96))</f>
        <v/>
      </c>
      <c r="CT23" s="19">
        <f>IF(COUNTIFS(T_TTAFStock_Log[Part Name],$A23,T_TTAFStock_Log[WeekIndex],97)=0,"",SUMIFS(T_TTAFStock_Log[TTAF_Qty],T_TTAFStock_Log[Part Name],$A23,T_TTAFStock_Log[WeekIndex],97))</f>
        <v/>
      </c>
      <c r="CU23" s="19">
        <f>IF(COUNTIFS(T_TTAFStock_Log[Part Name],$A23,T_TTAFStock_Log[WeekIndex],98)=0,"",SUMIFS(T_TTAFStock_Log[TTAF_Qty],T_TTAFStock_Log[Part Name],$A23,T_TTAFStock_Log[WeekIndex],98))</f>
        <v/>
      </c>
      <c r="CV23" s="19">
        <f>IF(COUNTIFS(T_TTAFStock_Log[Part Name],$A23,T_TTAFStock_Log[WeekIndex],99)=0,"",SUMIFS(T_TTAFStock_Log[TTAF_Qty],T_TTAFStock_Log[Part Name],$A23,T_TTAFStock_Log[WeekIndex],99))</f>
        <v/>
      </c>
      <c r="CW23" s="19">
        <f>IF(COUNTIFS(T_TTAFStock_Log[Part Name],$A23,T_TTAFStock_Log[WeekIndex],100)=0,"",SUMIFS(T_TTAFStock_Log[TTAF_Qty],T_TTAFStock_Log[Part Name],$A23,T_TTAFStock_Log[WeekIndex],100))</f>
        <v/>
      </c>
      <c r="CX23" s="19">
        <f>IF(COUNTIFS(T_TTAFStock_Log[Part Name],$A23,T_TTAFStock_Log[WeekIndex],101)=0,"",SUMIFS(T_TTAFStock_Log[TTAF_Qty],T_TTAFStock_Log[Part Name],$A23,T_TTAFStock_Log[WeekIndex],101))</f>
        <v/>
      </c>
      <c r="CY23" s="19">
        <f>IF(COUNTIFS(T_TTAFStock_Log[Part Name],$A23,T_TTAFStock_Log[WeekIndex],102)=0,"",SUMIFS(T_TTAFStock_Log[TTAF_Qty],T_TTAFStock_Log[Part Name],$A23,T_TTAFStock_Log[WeekIndex],102))</f>
        <v/>
      </c>
      <c r="CZ23" s="19">
        <f>IF(COUNTIFS(T_TTAFStock_Log[Part Name],$A23,T_TTAFStock_Log[WeekIndex],103)=0,"",SUMIFS(T_TTAFStock_Log[TTAF_Qty],T_TTAFStock_Log[Part Name],$A23,T_TTAFStock_Log[WeekIndex],103))</f>
        <v/>
      </c>
      <c r="DA23" s="19">
        <f>IF(COUNTIFS(T_TTAFStock_Log[Part Name],$A23,T_TTAFStock_Log[WeekIndex],104)=0,"",SUMIFS(T_TTAFStock_Log[TTAF_Qty],T_TTAFStock_Log[Part Name],$A23,T_TTAFStock_Log[WeekIndex],104))</f>
        <v/>
      </c>
    </row>
    <row r="24">
      <c r="A24" s="17" t="inlineStr">
        <is>
          <t>73K</t>
        </is>
      </c>
      <c r="B24" s="17">
        <f>IF(COUNTIFS(T_TTAFStock_Log[Part Name],$A24,T_TTAFStock_Log[WeekIndex],1)=0,"",SUMIFS(T_TTAFStock_Log[TTAF_Qty],T_TTAFStock_Log[Part Name],$A24,T_TTAFStock_Log[WeekIndex],1))</f>
        <v/>
      </c>
      <c r="C24" s="17">
        <f>IF(COUNTIFS(T_TTAFStock_Log[Part Name],$A24,T_TTAFStock_Log[WeekIndex],2)=0,"",SUMIFS(T_TTAFStock_Log[TTAF_Qty],T_TTAFStock_Log[Part Name],$A24,T_TTAFStock_Log[WeekIndex],2))</f>
        <v/>
      </c>
      <c r="D24" s="17">
        <f>IF(COUNTIFS(T_TTAFStock_Log[Part Name],$A24,T_TTAFStock_Log[WeekIndex],3)=0,"",SUMIFS(T_TTAFStock_Log[TTAF_Qty],T_TTAFStock_Log[Part Name],$A24,T_TTAFStock_Log[WeekIndex],3))</f>
        <v/>
      </c>
      <c r="E24" s="17">
        <f>IF(COUNTIFS(T_TTAFStock_Log[Part Name],$A24,T_TTAFStock_Log[WeekIndex],4)=0,"",SUMIFS(T_TTAFStock_Log[TTAF_Qty],T_TTAFStock_Log[Part Name],$A24,T_TTAFStock_Log[WeekIndex],4))</f>
        <v/>
      </c>
      <c r="F24" s="17">
        <f>IF(COUNTIFS(T_TTAFStock_Log[Part Name],$A24,T_TTAFStock_Log[WeekIndex],5)=0,"",SUMIFS(T_TTAFStock_Log[TTAF_Qty],T_TTAFStock_Log[Part Name],$A24,T_TTAFStock_Log[WeekIndex],5))</f>
        <v/>
      </c>
      <c r="G24" s="17">
        <f>IF(COUNTIFS(T_TTAFStock_Log[Part Name],$A24,T_TTAFStock_Log[WeekIndex],6)=0,"",SUMIFS(T_TTAFStock_Log[TTAF_Qty],T_TTAFStock_Log[Part Name],$A24,T_TTAFStock_Log[WeekIndex],6))</f>
        <v/>
      </c>
      <c r="H24" s="17">
        <f>IF(COUNTIFS(T_TTAFStock_Log[Part Name],$A24,T_TTAFStock_Log[WeekIndex],7)=0,"",SUMIFS(T_TTAFStock_Log[TTAF_Qty],T_TTAFStock_Log[Part Name],$A24,T_TTAFStock_Log[WeekIndex],7))</f>
        <v/>
      </c>
      <c r="I24" s="17">
        <f>IF(COUNTIFS(T_TTAFStock_Log[Part Name],$A24,T_TTAFStock_Log[WeekIndex],8)=0,"",SUMIFS(T_TTAFStock_Log[TTAF_Qty],T_TTAFStock_Log[Part Name],$A24,T_TTAFStock_Log[WeekIndex],8))</f>
        <v/>
      </c>
      <c r="J24" s="17">
        <f>IF(COUNTIFS(T_TTAFStock_Log[Part Name],$A24,T_TTAFStock_Log[WeekIndex],9)=0,"",SUMIFS(T_TTAFStock_Log[TTAF_Qty],T_TTAFStock_Log[Part Name],$A24,T_TTAFStock_Log[WeekIndex],9))</f>
        <v/>
      </c>
      <c r="K24" s="17">
        <f>IF(COUNTIFS(T_TTAFStock_Log[Part Name],$A24,T_TTAFStock_Log[WeekIndex],10)=0,"",SUMIFS(T_TTAFStock_Log[TTAF_Qty],T_TTAFStock_Log[Part Name],$A24,T_TTAFStock_Log[WeekIndex],10))</f>
        <v/>
      </c>
      <c r="L24" s="17">
        <f>IF(COUNTIFS(T_TTAFStock_Log[Part Name],$A24,T_TTAFStock_Log[WeekIndex],11)=0,"",SUMIFS(T_TTAFStock_Log[TTAF_Qty],T_TTAFStock_Log[Part Name],$A24,T_TTAFStock_Log[WeekIndex],11))</f>
        <v/>
      </c>
      <c r="M24" s="17">
        <f>IF(COUNTIFS(T_TTAFStock_Log[Part Name],$A24,T_TTAFStock_Log[WeekIndex],12)=0,"",SUMIFS(T_TTAFStock_Log[TTAF_Qty],T_TTAFStock_Log[Part Name],$A24,T_TTAFStock_Log[WeekIndex],12))</f>
        <v/>
      </c>
      <c r="N24" s="17">
        <f>IF(COUNTIFS(T_TTAFStock_Log[Part Name],$A24,T_TTAFStock_Log[WeekIndex],13)=0,"",SUMIFS(T_TTAFStock_Log[TTAF_Qty],T_TTAFStock_Log[Part Name],$A24,T_TTAFStock_Log[WeekIndex],13))</f>
        <v/>
      </c>
      <c r="O24" s="17">
        <f>IF(COUNTIFS(T_TTAFStock_Log[Part Name],$A24,T_TTAFStock_Log[WeekIndex],14)=0,"",SUMIFS(T_TTAFStock_Log[TTAF_Qty],T_TTAFStock_Log[Part Name],$A24,T_TTAFStock_Log[WeekIndex],14))</f>
        <v/>
      </c>
      <c r="P24" s="17">
        <f>IF(COUNTIFS(T_TTAFStock_Log[Part Name],$A24,T_TTAFStock_Log[WeekIndex],15)=0,"",SUMIFS(T_TTAFStock_Log[TTAF_Qty],T_TTAFStock_Log[Part Name],$A24,T_TTAFStock_Log[WeekIndex],15))</f>
        <v/>
      </c>
      <c r="Q24" s="17">
        <f>IF(COUNTIFS(T_TTAFStock_Log[Part Name],$A24,T_TTAFStock_Log[WeekIndex],16)=0,"",SUMIFS(T_TTAFStock_Log[TTAF_Qty],T_TTAFStock_Log[Part Name],$A24,T_TTAFStock_Log[WeekIndex],16))</f>
        <v/>
      </c>
      <c r="R24" s="17">
        <f>IF(COUNTIFS(T_TTAFStock_Log[Part Name],$A24,T_TTAFStock_Log[WeekIndex],17)=0,"",SUMIFS(T_TTAFStock_Log[TTAF_Qty],T_TTAFStock_Log[Part Name],$A24,T_TTAFStock_Log[WeekIndex],17))</f>
        <v/>
      </c>
      <c r="S24" s="17">
        <f>IF(COUNTIFS(T_TTAFStock_Log[Part Name],$A24,T_TTAFStock_Log[WeekIndex],18)=0,"",SUMIFS(T_TTAFStock_Log[TTAF_Qty],T_TTAFStock_Log[Part Name],$A24,T_TTAFStock_Log[WeekIndex],18))</f>
        <v/>
      </c>
      <c r="T24" s="17">
        <f>IF(COUNTIFS(T_TTAFStock_Log[Part Name],$A24,T_TTAFStock_Log[WeekIndex],19)=0,"",SUMIFS(T_TTAFStock_Log[TTAF_Qty],T_TTAFStock_Log[Part Name],$A24,T_TTAFStock_Log[WeekIndex],19))</f>
        <v/>
      </c>
      <c r="U24" s="17">
        <f>IF(COUNTIFS(T_TTAFStock_Log[Part Name],$A24,T_TTAFStock_Log[WeekIndex],20)=0,"",SUMIFS(T_TTAFStock_Log[TTAF_Qty],T_TTAFStock_Log[Part Name],$A24,T_TTAFStock_Log[WeekIndex],20))</f>
        <v/>
      </c>
      <c r="V24" s="17">
        <f>IF(COUNTIFS(T_TTAFStock_Log[Part Name],$A24,T_TTAFStock_Log[WeekIndex],21)=0,"",SUMIFS(T_TTAFStock_Log[TTAF_Qty],T_TTAFStock_Log[Part Name],$A24,T_TTAFStock_Log[WeekIndex],21))</f>
        <v/>
      </c>
      <c r="W24" s="17">
        <f>IF(COUNTIFS(T_TTAFStock_Log[Part Name],$A24,T_TTAFStock_Log[WeekIndex],22)=0,"",SUMIFS(T_TTAFStock_Log[TTAF_Qty],T_TTAFStock_Log[Part Name],$A24,T_TTAFStock_Log[WeekIndex],22))</f>
        <v/>
      </c>
      <c r="X24" s="17">
        <f>IF(COUNTIFS(T_TTAFStock_Log[Part Name],$A24,T_TTAFStock_Log[WeekIndex],23)=0,"",SUMIFS(T_TTAFStock_Log[TTAF_Qty],T_TTAFStock_Log[Part Name],$A24,T_TTAFStock_Log[WeekIndex],23))</f>
        <v/>
      </c>
      <c r="Y24" s="17">
        <f>IF(COUNTIFS(T_TTAFStock_Log[Part Name],$A24,T_TTAFStock_Log[WeekIndex],24)=0,"",SUMIFS(T_TTAFStock_Log[TTAF_Qty],T_TTAFStock_Log[Part Name],$A24,T_TTAFStock_Log[WeekIndex],24))</f>
        <v/>
      </c>
      <c r="Z24" s="17">
        <f>IF(COUNTIFS(T_TTAFStock_Log[Part Name],$A24,T_TTAFStock_Log[WeekIndex],25)=0,"",SUMIFS(T_TTAFStock_Log[TTAF_Qty],T_TTAFStock_Log[Part Name],$A24,T_TTAFStock_Log[WeekIndex],25))</f>
        <v/>
      </c>
      <c r="AA24" s="17">
        <f>IF(COUNTIFS(T_TTAFStock_Log[Part Name],$A24,T_TTAFStock_Log[WeekIndex],26)=0,"",SUMIFS(T_TTAFStock_Log[TTAF_Qty],T_TTAFStock_Log[Part Name],$A24,T_TTAFStock_Log[WeekIndex],26))</f>
        <v/>
      </c>
      <c r="AB24" s="17">
        <f>IF(COUNTIFS(T_TTAFStock_Log[Part Name],$A24,T_TTAFStock_Log[WeekIndex],27)=0,"",SUMIFS(T_TTAFStock_Log[TTAF_Qty],T_TTAFStock_Log[Part Name],$A24,T_TTAFStock_Log[WeekIndex],27))</f>
        <v/>
      </c>
      <c r="AC24" s="17">
        <f>IF(COUNTIFS(T_TTAFStock_Log[Part Name],$A24,T_TTAFStock_Log[WeekIndex],28)=0,"",SUMIFS(T_TTAFStock_Log[TTAF_Qty],T_TTAFStock_Log[Part Name],$A24,T_TTAFStock_Log[WeekIndex],28))</f>
        <v/>
      </c>
      <c r="AD24" s="17">
        <f>IF(COUNTIFS(T_TTAFStock_Log[Part Name],$A24,T_TTAFStock_Log[WeekIndex],29)=0,"",SUMIFS(T_TTAFStock_Log[TTAF_Qty],T_TTAFStock_Log[Part Name],$A24,T_TTAFStock_Log[WeekIndex],29))</f>
        <v/>
      </c>
      <c r="AE24" s="17">
        <f>IF(COUNTIFS(T_TTAFStock_Log[Part Name],$A24,T_TTAFStock_Log[WeekIndex],30)=0,"",SUMIFS(T_TTAFStock_Log[TTAF_Qty],T_TTAFStock_Log[Part Name],$A24,T_TTAFStock_Log[WeekIndex],30))</f>
        <v/>
      </c>
      <c r="AF24" s="17">
        <f>IF(COUNTIFS(T_TTAFStock_Log[Part Name],$A24,T_TTAFStock_Log[WeekIndex],31)=0,"",SUMIFS(T_TTAFStock_Log[TTAF_Qty],T_TTAFStock_Log[Part Name],$A24,T_TTAFStock_Log[WeekIndex],31))</f>
        <v/>
      </c>
      <c r="AG24" s="17">
        <f>IF(COUNTIFS(T_TTAFStock_Log[Part Name],$A24,T_TTAFStock_Log[WeekIndex],32)=0,"",SUMIFS(T_TTAFStock_Log[TTAF_Qty],T_TTAFStock_Log[Part Name],$A24,T_TTAFStock_Log[WeekIndex],32))</f>
        <v/>
      </c>
      <c r="AH24" s="17">
        <f>IF(COUNTIFS(T_TTAFStock_Log[Part Name],$A24,T_TTAFStock_Log[WeekIndex],33)=0,"",SUMIFS(T_TTAFStock_Log[TTAF_Qty],T_TTAFStock_Log[Part Name],$A24,T_TTAFStock_Log[WeekIndex],33))</f>
        <v/>
      </c>
      <c r="AI24" s="17">
        <f>IF(COUNTIFS(T_TTAFStock_Log[Part Name],$A24,T_TTAFStock_Log[WeekIndex],34)=0,"",SUMIFS(T_TTAFStock_Log[TTAF_Qty],T_TTAFStock_Log[Part Name],$A24,T_TTAFStock_Log[WeekIndex],34))</f>
        <v/>
      </c>
      <c r="AJ24" s="17">
        <f>IF(COUNTIFS(T_TTAFStock_Log[Part Name],$A24,T_TTAFStock_Log[WeekIndex],35)=0,"",SUMIFS(T_TTAFStock_Log[TTAF_Qty],T_TTAFStock_Log[Part Name],$A24,T_TTAFStock_Log[WeekIndex],35))</f>
        <v/>
      </c>
      <c r="AK24" s="17">
        <f>IF(COUNTIFS(T_TTAFStock_Log[Part Name],$A24,T_TTAFStock_Log[WeekIndex],36)=0,"",SUMIFS(T_TTAFStock_Log[TTAF_Qty],T_TTAFStock_Log[Part Name],$A24,T_TTAFStock_Log[WeekIndex],36))</f>
        <v/>
      </c>
      <c r="AL24" s="17">
        <f>IF(COUNTIFS(T_TTAFStock_Log[Part Name],$A24,T_TTAFStock_Log[WeekIndex],37)=0,"",SUMIFS(T_TTAFStock_Log[TTAF_Qty],T_TTAFStock_Log[Part Name],$A24,T_TTAFStock_Log[WeekIndex],37))</f>
        <v/>
      </c>
      <c r="AM24" s="17">
        <f>IF(COUNTIFS(T_TTAFStock_Log[Part Name],$A24,T_TTAFStock_Log[WeekIndex],38)=0,"",SUMIFS(T_TTAFStock_Log[TTAF_Qty],T_TTAFStock_Log[Part Name],$A24,T_TTAFStock_Log[WeekIndex],38))</f>
        <v/>
      </c>
      <c r="AN24" s="17">
        <f>IF(COUNTIFS(T_TTAFStock_Log[Part Name],$A24,T_TTAFStock_Log[WeekIndex],39)=0,"",SUMIFS(T_TTAFStock_Log[TTAF_Qty],T_TTAFStock_Log[Part Name],$A24,T_TTAFStock_Log[WeekIndex],39))</f>
        <v/>
      </c>
      <c r="AO24" s="17">
        <f>IF(COUNTIFS(T_TTAFStock_Log[Part Name],$A24,T_TTAFStock_Log[WeekIndex],40)=0,"",SUMIFS(T_TTAFStock_Log[TTAF_Qty],T_TTAFStock_Log[Part Name],$A24,T_TTAFStock_Log[WeekIndex],40))</f>
        <v/>
      </c>
      <c r="AP24" s="17">
        <f>IF(COUNTIFS(T_TTAFStock_Log[Part Name],$A24,T_TTAFStock_Log[WeekIndex],41)=0,"",SUMIFS(T_TTAFStock_Log[TTAF_Qty],T_TTAFStock_Log[Part Name],$A24,T_TTAFStock_Log[WeekIndex],41))</f>
        <v/>
      </c>
      <c r="AQ24" s="17">
        <f>IF(COUNTIFS(T_TTAFStock_Log[Part Name],$A24,T_TTAFStock_Log[WeekIndex],42)=0,"",SUMIFS(T_TTAFStock_Log[TTAF_Qty],T_TTAFStock_Log[Part Name],$A24,T_TTAFStock_Log[WeekIndex],42))</f>
        <v/>
      </c>
      <c r="AR24" s="17">
        <f>IF(COUNTIFS(T_TTAFStock_Log[Part Name],$A24,T_TTAFStock_Log[WeekIndex],43)=0,"",SUMIFS(T_TTAFStock_Log[TTAF_Qty],T_TTAFStock_Log[Part Name],$A24,T_TTAFStock_Log[WeekIndex],43))</f>
        <v/>
      </c>
      <c r="AS24" s="17">
        <f>IF(COUNTIFS(T_TTAFStock_Log[Part Name],$A24,T_TTAFStock_Log[WeekIndex],44)=0,"",SUMIFS(T_TTAFStock_Log[TTAF_Qty],T_TTAFStock_Log[Part Name],$A24,T_TTAFStock_Log[WeekIndex],44))</f>
        <v/>
      </c>
      <c r="AT24" s="17">
        <f>IF(COUNTIFS(T_TTAFStock_Log[Part Name],$A24,T_TTAFStock_Log[WeekIndex],45)=0,"",SUMIFS(T_TTAFStock_Log[TTAF_Qty],T_TTAFStock_Log[Part Name],$A24,T_TTAFStock_Log[WeekIndex],45))</f>
        <v/>
      </c>
      <c r="AU24" s="17">
        <f>IF(COUNTIFS(T_TTAFStock_Log[Part Name],$A24,T_TTAFStock_Log[WeekIndex],46)=0,"",SUMIFS(T_TTAFStock_Log[TTAF_Qty],T_TTAFStock_Log[Part Name],$A24,T_TTAFStock_Log[WeekIndex],46))</f>
        <v/>
      </c>
      <c r="AV24" s="17">
        <f>IF(COUNTIFS(T_TTAFStock_Log[Part Name],$A24,T_TTAFStock_Log[WeekIndex],47)=0,"",SUMIFS(T_TTAFStock_Log[TTAF_Qty],T_TTAFStock_Log[Part Name],$A24,T_TTAFStock_Log[WeekIndex],47))</f>
        <v/>
      </c>
      <c r="AW24" s="17">
        <f>IF(COUNTIFS(T_TTAFStock_Log[Part Name],$A24,T_TTAFStock_Log[WeekIndex],48)=0,"",SUMIFS(T_TTAFStock_Log[TTAF_Qty],T_TTAFStock_Log[Part Name],$A24,T_TTAFStock_Log[WeekIndex],48))</f>
        <v/>
      </c>
      <c r="AX24" s="17">
        <f>IF(COUNTIFS(T_TTAFStock_Log[Part Name],$A24,T_TTAFStock_Log[WeekIndex],49)=0,"",SUMIFS(T_TTAFStock_Log[TTAF_Qty],T_TTAFStock_Log[Part Name],$A24,T_TTAFStock_Log[WeekIndex],49))</f>
        <v/>
      </c>
      <c r="AY24" s="17">
        <f>IF(COUNTIFS(T_TTAFStock_Log[Part Name],$A24,T_TTAFStock_Log[WeekIndex],50)=0,"",SUMIFS(T_TTAFStock_Log[TTAF_Qty],T_TTAFStock_Log[Part Name],$A24,T_TTAFStock_Log[WeekIndex],50))</f>
        <v/>
      </c>
      <c r="AZ24" s="17">
        <f>IF(COUNTIFS(T_TTAFStock_Log[Part Name],$A24,T_TTAFStock_Log[WeekIndex],51)=0,"",SUMIFS(T_TTAFStock_Log[TTAF_Qty],T_TTAFStock_Log[Part Name],$A24,T_TTAFStock_Log[WeekIndex],51))</f>
        <v/>
      </c>
      <c r="BA24" s="17">
        <f>IF(COUNTIFS(T_TTAFStock_Log[Part Name],$A24,T_TTAFStock_Log[WeekIndex],52)=0,"",SUMIFS(T_TTAFStock_Log[TTAF_Qty],T_TTAFStock_Log[Part Name],$A24,T_TTAFStock_Log[WeekIndex],52))</f>
        <v/>
      </c>
      <c r="BB24" s="17">
        <f>IF(COUNTIFS(T_TTAFStock_Log[Part Name],$A24,T_TTAFStock_Log[WeekIndex],53)=0,"",SUMIFS(T_TTAFStock_Log[TTAF_Qty],T_TTAFStock_Log[Part Name],$A24,T_TTAFStock_Log[WeekIndex],53))</f>
        <v/>
      </c>
      <c r="BC24" s="17">
        <f>IF(COUNTIFS(T_TTAFStock_Log[Part Name],$A24,T_TTAFStock_Log[WeekIndex],54)=0,"",SUMIFS(T_TTAFStock_Log[TTAF_Qty],T_TTAFStock_Log[Part Name],$A24,T_TTAFStock_Log[WeekIndex],54))</f>
        <v/>
      </c>
      <c r="BD24" s="17">
        <f>IF(COUNTIFS(T_TTAFStock_Log[Part Name],$A24,T_TTAFStock_Log[WeekIndex],55)=0,"",SUMIFS(T_TTAFStock_Log[TTAF_Qty],T_TTAFStock_Log[Part Name],$A24,T_TTAFStock_Log[WeekIndex],55))</f>
        <v/>
      </c>
      <c r="BE24" s="17">
        <f>IF(COUNTIFS(T_TTAFStock_Log[Part Name],$A24,T_TTAFStock_Log[WeekIndex],56)=0,"",SUMIFS(T_TTAFStock_Log[TTAF_Qty],T_TTAFStock_Log[Part Name],$A24,T_TTAFStock_Log[WeekIndex],56))</f>
        <v/>
      </c>
      <c r="BF24" s="17">
        <f>IF(COUNTIFS(T_TTAFStock_Log[Part Name],$A24,T_TTAFStock_Log[WeekIndex],57)=0,"",SUMIFS(T_TTAFStock_Log[TTAF_Qty],T_TTAFStock_Log[Part Name],$A24,T_TTAFStock_Log[WeekIndex],57))</f>
        <v/>
      </c>
      <c r="BG24" s="17">
        <f>IF(COUNTIFS(T_TTAFStock_Log[Part Name],$A24,T_TTAFStock_Log[WeekIndex],58)=0,"",SUMIFS(T_TTAFStock_Log[TTAF_Qty],T_TTAFStock_Log[Part Name],$A24,T_TTAFStock_Log[WeekIndex],58))</f>
        <v/>
      </c>
      <c r="BH24" s="17">
        <f>IF(COUNTIFS(T_TTAFStock_Log[Part Name],$A24,T_TTAFStock_Log[WeekIndex],59)=0,"",SUMIFS(T_TTAFStock_Log[TTAF_Qty],T_TTAFStock_Log[Part Name],$A24,T_TTAFStock_Log[WeekIndex],59))</f>
        <v/>
      </c>
      <c r="BI24" s="17">
        <f>IF(COUNTIFS(T_TTAFStock_Log[Part Name],$A24,T_TTAFStock_Log[WeekIndex],60)=0,"",SUMIFS(T_TTAFStock_Log[TTAF_Qty],T_TTAFStock_Log[Part Name],$A24,T_TTAFStock_Log[WeekIndex],60))</f>
        <v/>
      </c>
      <c r="BJ24" s="17">
        <f>IF(COUNTIFS(T_TTAFStock_Log[Part Name],$A24,T_TTAFStock_Log[WeekIndex],61)=0,"",SUMIFS(T_TTAFStock_Log[TTAF_Qty],T_TTAFStock_Log[Part Name],$A24,T_TTAFStock_Log[WeekIndex],61))</f>
        <v/>
      </c>
      <c r="BK24" s="17">
        <f>IF(COUNTIFS(T_TTAFStock_Log[Part Name],$A24,T_TTAFStock_Log[WeekIndex],62)=0,"",SUMIFS(T_TTAFStock_Log[TTAF_Qty],T_TTAFStock_Log[Part Name],$A24,T_TTAFStock_Log[WeekIndex],62))</f>
        <v/>
      </c>
      <c r="BL24" s="17">
        <f>IF(COUNTIFS(T_TTAFStock_Log[Part Name],$A24,T_TTAFStock_Log[WeekIndex],63)=0,"",SUMIFS(T_TTAFStock_Log[TTAF_Qty],T_TTAFStock_Log[Part Name],$A24,T_TTAFStock_Log[WeekIndex],63))</f>
        <v/>
      </c>
      <c r="BM24" s="17">
        <f>IF(COUNTIFS(T_TTAFStock_Log[Part Name],$A24,T_TTAFStock_Log[WeekIndex],64)=0,"",SUMIFS(T_TTAFStock_Log[TTAF_Qty],T_TTAFStock_Log[Part Name],$A24,T_TTAFStock_Log[WeekIndex],64))</f>
        <v/>
      </c>
      <c r="BN24" s="17">
        <f>IF(COUNTIFS(T_TTAFStock_Log[Part Name],$A24,T_TTAFStock_Log[WeekIndex],65)=0,"",SUMIFS(T_TTAFStock_Log[TTAF_Qty],T_TTAFStock_Log[Part Name],$A24,T_TTAFStock_Log[WeekIndex],65))</f>
        <v/>
      </c>
      <c r="BO24" s="17">
        <f>IF(COUNTIFS(T_TTAFStock_Log[Part Name],$A24,T_TTAFStock_Log[WeekIndex],66)=0,"",SUMIFS(T_TTAFStock_Log[TTAF_Qty],T_TTAFStock_Log[Part Name],$A24,T_TTAFStock_Log[WeekIndex],66))</f>
        <v/>
      </c>
      <c r="BP24" s="17">
        <f>IF(COUNTIFS(T_TTAFStock_Log[Part Name],$A24,T_TTAFStock_Log[WeekIndex],67)=0,"",SUMIFS(T_TTAFStock_Log[TTAF_Qty],T_TTAFStock_Log[Part Name],$A24,T_TTAFStock_Log[WeekIndex],67))</f>
        <v/>
      </c>
      <c r="BQ24" s="17">
        <f>IF(COUNTIFS(T_TTAFStock_Log[Part Name],$A24,T_TTAFStock_Log[WeekIndex],68)=0,"",SUMIFS(T_TTAFStock_Log[TTAF_Qty],T_TTAFStock_Log[Part Name],$A24,T_TTAFStock_Log[WeekIndex],68))</f>
        <v/>
      </c>
      <c r="BR24" s="17">
        <f>IF(COUNTIFS(T_TTAFStock_Log[Part Name],$A24,T_TTAFStock_Log[WeekIndex],69)=0,"",SUMIFS(T_TTAFStock_Log[TTAF_Qty],T_TTAFStock_Log[Part Name],$A24,T_TTAFStock_Log[WeekIndex],69))</f>
        <v/>
      </c>
      <c r="BS24" s="17">
        <f>IF(COUNTIFS(T_TTAFStock_Log[Part Name],$A24,T_TTAFStock_Log[WeekIndex],70)=0,"",SUMIFS(T_TTAFStock_Log[TTAF_Qty],T_TTAFStock_Log[Part Name],$A24,T_TTAFStock_Log[WeekIndex],70))</f>
        <v/>
      </c>
      <c r="BT24" s="17">
        <f>IF(COUNTIFS(T_TTAFStock_Log[Part Name],$A24,T_TTAFStock_Log[WeekIndex],71)=0,"",SUMIFS(T_TTAFStock_Log[TTAF_Qty],T_TTAFStock_Log[Part Name],$A24,T_TTAFStock_Log[WeekIndex],71))</f>
        <v/>
      </c>
      <c r="BU24" s="17">
        <f>IF(COUNTIFS(T_TTAFStock_Log[Part Name],$A24,T_TTAFStock_Log[WeekIndex],72)=0,"",SUMIFS(T_TTAFStock_Log[TTAF_Qty],T_TTAFStock_Log[Part Name],$A24,T_TTAFStock_Log[WeekIndex],72))</f>
        <v/>
      </c>
      <c r="BV24" s="17">
        <f>IF(COUNTIFS(T_TTAFStock_Log[Part Name],$A24,T_TTAFStock_Log[WeekIndex],73)=0,"",SUMIFS(T_TTAFStock_Log[TTAF_Qty],T_TTAFStock_Log[Part Name],$A24,T_TTAFStock_Log[WeekIndex],73))</f>
        <v/>
      </c>
      <c r="BW24" s="17">
        <f>IF(COUNTIFS(T_TTAFStock_Log[Part Name],$A24,T_TTAFStock_Log[WeekIndex],74)=0,"",SUMIFS(T_TTAFStock_Log[TTAF_Qty],T_TTAFStock_Log[Part Name],$A24,T_TTAFStock_Log[WeekIndex],74))</f>
        <v/>
      </c>
      <c r="BX24" s="17">
        <f>IF(COUNTIFS(T_TTAFStock_Log[Part Name],$A24,T_TTAFStock_Log[WeekIndex],75)=0,"",SUMIFS(T_TTAFStock_Log[TTAF_Qty],T_TTAFStock_Log[Part Name],$A24,T_TTAFStock_Log[WeekIndex],75))</f>
        <v/>
      </c>
      <c r="BY24" s="17">
        <f>IF(COUNTIFS(T_TTAFStock_Log[Part Name],$A24,T_TTAFStock_Log[WeekIndex],76)=0,"",SUMIFS(T_TTAFStock_Log[TTAF_Qty],T_TTAFStock_Log[Part Name],$A24,T_TTAFStock_Log[WeekIndex],76))</f>
        <v/>
      </c>
      <c r="BZ24" s="17">
        <f>IF(COUNTIFS(T_TTAFStock_Log[Part Name],$A24,T_TTAFStock_Log[WeekIndex],77)=0,"",SUMIFS(T_TTAFStock_Log[TTAF_Qty],T_TTAFStock_Log[Part Name],$A24,T_TTAFStock_Log[WeekIndex],77))</f>
        <v/>
      </c>
      <c r="CA24" s="17">
        <f>IF(COUNTIFS(T_TTAFStock_Log[Part Name],$A24,T_TTAFStock_Log[WeekIndex],78)=0,"",SUMIFS(T_TTAFStock_Log[TTAF_Qty],T_TTAFStock_Log[Part Name],$A24,T_TTAFStock_Log[WeekIndex],78))</f>
        <v/>
      </c>
      <c r="CB24" s="17">
        <f>IF(COUNTIFS(T_TTAFStock_Log[Part Name],$A24,T_TTAFStock_Log[WeekIndex],79)=0,"",SUMIFS(T_TTAFStock_Log[TTAF_Qty],T_TTAFStock_Log[Part Name],$A24,T_TTAFStock_Log[WeekIndex],79))</f>
        <v/>
      </c>
      <c r="CC24" s="17">
        <f>IF(COUNTIFS(T_TTAFStock_Log[Part Name],$A24,T_TTAFStock_Log[WeekIndex],80)=0,"",SUMIFS(T_TTAFStock_Log[TTAF_Qty],T_TTAFStock_Log[Part Name],$A24,T_TTAFStock_Log[WeekIndex],80))</f>
        <v/>
      </c>
      <c r="CD24" s="17">
        <f>IF(COUNTIFS(T_TTAFStock_Log[Part Name],$A24,T_TTAFStock_Log[WeekIndex],81)=0,"",SUMIFS(T_TTAFStock_Log[TTAF_Qty],T_TTAFStock_Log[Part Name],$A24,T_TTAFStock_Log[WeekIndex],81))</f>
        <v/>
      </c>
      <c r="CE24" s="17">
        <f>IF(COUNTIFS(T_TTAFStock_Log[Part Name],$A24,T_TTAFStock_Log[WeekIndex],82)=0,"",SUMIFS(T_TTAFStock_Log[TTAF_Qty],T_TTAFStock_Log[Part Name],$A24,T_TTAFStock_Log[WeekIndex],82))</f>
        <v/>
      </c>
      <c r="CF24" s="17">
        <f>IF(COUNTIFS(T_TTAFStock_Log[Part Name],$A24,T_TTAFStock_Log[WeekIndex],83)=0,"",SUMIFS(T_TTAFStock_Log[TTAF_Qty],T_TTAFStock_Log[Part Name],$A24,T_TTAFStock_Log[WeekIndex],83))</f>
        <v/>
      </c>
      <c r="CG24" s="17">
        <f>IF(COUNTIFS(T_TTAFStock_Log[Part Name],$A24,T_TTAFStock_Log[WeekIndex],84)=0,"",SUMIFS(T_TTAFStock_Log[TTAF_Qty],T_TTAFStock_Log[Part Name],$A24,T_TTAFStock_Log[WeekIndex],84))</f>
        <v/>
      </c>
      <c r="CH24" s="17">
        <f>IF(COUNTIFS(T_TTAFStock_Log[Part Name],$A24,T_TTAFStock_Log[WeekIndex],85)=0,"",SUMIFS(T_TTAFStock_Log[TTAF_Qty],T_TTAFStock_Log[Part Name],$A24,T_TTAFStock_Log[WeekIndex],85))</f>
        <v/>
      </c>
      <c r="CI24" s="17">
        <f>IF(COUNTIFS(T_TTAFStock_Log[Part Name],$A24,T_TTAFStock_Log[WeekIndex],86)=0,"",SUMIFS(T_TTAFStock_Log[TTAF_Qty],T_TTAFStock_Log[Part Name],$A24,T_TTAFStock_Log[WeekIndex],86))</f>
        <v/>
      </c>
      <c r="CJ24" s="17">
        <f>IF(COUNTIFS(T_TTAFStock_Log[Part Name],$A24,T_TTAFStock_Log[WeekIndex],87)=0,"",SUMIFS(T_TTAFStock_Log[TTAF_Qty],T_TTAFStock_Log[Part Name],$A24,T_TTAFStock_Log[WeekIndex],87))</f>
        <v/>
      </c>
      <c r="CK24" s="17">
        <f>IF(COUNTIFS(T_TTAFStock_Log[Part Name],$A24,T_TTAFStock_Log[WeekIndex],88)=0,"",SUMIFS(T_TTAFStock_Log[TTAF_Qty],T_TTAFStock_Log[Part Name],$A24,T_TTAFStock_Log[WeekIndex],88))</f>
        <v/>
      </c>
      <c r="CL24" s="17">
        <f>IF(COUNTIFS(T_TTAFStock_Log[Part Name],$A24,T_TTAFStock_Log[WeekIndex],89)=0,"",SUMIFS(T_TTAFStock_Log[TTAF_Qty],T_TTAFStock_Log[Part Name],$A24,T_TTAFStock_Log[WeekIndex],89))</f>
        <v/>
      </c>
      <c r="CM24" s="17">
        <f>IF(COUNTIFS(T_TTAFStock_Log[Part Name],$A24,T_TTAFStock_Log[WeekIndex],90)=0,"",SUMIFS(T_TTAFStock_Log[TTAF_Qty],T_TTAFStock_Log[Part Name],$A24,T_TTAFStock_Log[WeekIndex],90))</f>
        <v/>
      </c>
      <c r="CN24" s="17">
        <f>IF(COUNTIFS(T_TTAFStock_Log[Part Name],$A24,T_TTAFStock_Log[WeekIndex],91)=0,"",SUMIFS(T_TTAFStock_Log[TTAF_Qty],T_TTAFStock_Log[Part Name],$A24,T_TTAFStock_Log[WeekIndex],91))</f>
        <v/>
      </c>
      <c r="CO24" s="17">
        <f>IF(COUNTIFS(T_TTAFStock_Log[Part Name],$A24,T_TTAFStock_Log[WeekIndex],92)=0,"",SUMIFS(T_TTAFStock_Log[TTAF_Qty],T_TTAFStock_Log[Part Name],$A24,T_TTAFStock_Log[WeekIndex],92))</f>
        <v/>
      </c>
      <c r="CP24" s="17">
        <f>IF(COUNTIFS(T_TTAFStock_Log[Part Name],$A24,T_TTAFStock_Log[WeekIndex],93)=0,"",SUMIFS(T_TTAFStock_Log[TTAF_Qty],T_TTAFStock_Log[Part Name],$A24,T_TTAFStock_Log[WeekIndex],93))</f>
        <v/>
      </c>
      <c r="CQ24" s="17">
        <f>IF(COUNTIFS(T_TTAFStock_Log[Part Name],$A24,T_TTAFStock_Log[WeekIndex],94)=0,"",SUMIFS(T_TTAFStock_Log[TTAF_Qty],T_TTAFStock_Log[Part Name],$A24,T_TTAFStock_Log[WeekIndex],94))</f>
        <v/>
      </c>
      <c r="CR24" s="17">
        <f>IF(COUNTIFS(T_TTAFStock_Log[Part Name],$A24,T_TTAFStock_Log[WeekIndex],95)=0,"",SUMIFS(T_TTAFStock_Log[TTAF_Qty],T_TTAFStock_Log[Part Name],$A24,T_TTAFStock_Log[WeekIndex],95))</f>
        <v/>
      </c>
      <c r="CS24" s="17">
        <f>IF(COUNTIFS(T_TTAFStock_Log[Part Name],$A24,T_TTAFStock_Log[WeekIndex],96)=0,"",SUMIFS(T_TTAFStock_Log[TTAF_Qty],T_TTAFStock_Log[Part Name],$A24,T_TTAFStock_Log[WeekIndex],96))</f>
        <v/>
      </c>
      <c r="CT24" s="17">
        <f>IF(COUNTIFS(T_TTAFStock_Log[Part Name],$A24,T_TTAFStock_Log[WeekIndex],97)=0,"",SUMIFS(T_TTAFStock_Log[TTAF_Qty],T_TTAFStock_Log[Part Name],$A24,T_TTAFStock_Log[WeekIndex],97))</f>
        <v/>
      </c>
      <c r="CU24" s="17">
        <f>IF(COUNTIFS(T_TTAFStock_Log[Part Name],$A24,T_TTAFStock_Log[WeekIndex],98)=0,"",SUMIFS(T_TTAFStock_Log[TTAF_Qty],T_TTAFStock_Log[Part Name],$A24,T_TTAFStock_Log[WeekIndex],98))</f>
        <v/>
      </c>
      <c r="CV24" s="17">
        <f>IF(COUNTIFS(T_TTAFStock_Log[Part Name],$A24,T_TTAFStock_Log[WeekIndex],99)=0,"",SUMIFS(T_TTAFStock_Log[TTAF_Qty],T_TTAFStock_Log[Part Name],$A24,T_TTAFStock_Log[WeekIndex],99))</f>
        <v/>
      </c>
      <c r="CW24" s="17">
        <f>IF(COUNTIFS(T_TTAFStock_Log[Part Name],$A24,T_TTAFStock_Log[WeekIndex],100)=0,"",SUMIFS(T_TTAFStock_Log[TTAF_Qty],T_TTAFStock_Log[Part Name],$A24,T_TTAFStock_Log[WeekIndex],100))</f>
        <v/>
      </c>
      <c r="CX24" s="17">
        <f>IF(COUNTIFS(T_TTAFStock_Log[Part Name],$A24,T_TTAFStock_Log[WeekIndex],101)=0,"",SUMIFS(T_TTAFStock_Log[TTAF_Qty],T_TTAFStock_Log[Part Name],$A24,T_TTAFStock_Log[WeekIndex],101))</f>
        <v/>
      </c>
      <c r="CY24" s="17">
        <f>IF(COUNTIFS(T_TTAFStock_Log[Part Name],$A24,T_TTAFStock_Log[WeekIndex],102)=0,"",SUMIFS(T_TTAFStock_Log[TTAF_Qty],T_TTAFStock_Log[Part Name],$A24,T_TTAFStock_Log[WeekIndex],102))</f>
        <v/>
      </c>
      <c r="CZ24" s="17">
        <f>IF(COUNTIFS(T_TTAFStock_Log[Part Name],$A24,T_TTAFStock_Log[WeekIndex],103)=0,"",SUMIFS(T_TTAFStock_Log[TTAF_Qty],T_TTAFStock_Log[Part Name],$A24,T_TTAFStock_Log[WeekIndex],103))</f>
        <v/>
      </c>
      <c r="DA24" s="17">
        <f>IF(COUNTIFS(T_TTAFStock_Log[Part Name],$A24,T_TTAFStock_Log[WeekIndex],104)=0,"",SUMIFS(T_TTAFStock_Log[TTAF_Qty],T_TTAFStock_Log[Part Name],$A24,T_TTAFStock_Log[WeekIndex],104))</f>
        <v/>
      </c>
    </row>
    <row r="25">
      <c r="A25" s="19" t="inlineStr">
        <is>
          <t>1JN</t>
        </is>
      </c>
      <c r="B25" s="19">
        <f>IF(COUNTIFS(T_TTAFStock_Log[Part Name],$A25,T_TTAFStock_Log[WeekIndex],1)=0,"",SUMIFS(T_TTAFStock_Log[TTAF_Qty],T_TTAFStock_Log[Part Name],$A25,T_TTAFStock_Log[WeekIndex],1))</f>
        <v/>
      </c>
      <c r="C25" s="19">
        <f>IF(COUNTIFS(T_TTAFStock_Log[Part Name],$A25,T_TTAFStock_Log[WeekIndex],2)=0,"",SUMIFS(T_TTAFStock_Log[TTAF_Qty],T_TTAFStock_Log[Part Name],$A25,T_TTAFStock_Log[WeekIndex],2))</f>
        <v/>
      </c>
      <c r="D25" s="19">
        <f>IF(COUNTIFS(T_TTAFStock_Log[Part Name],$A25,T_TTAFStock_Log[WeekIndex],3)=0,"",SUMIFS(T_TTAFStock_Log[TTAF_Qty],T_TTAFStock_Log[Part Name],$A25,T_TTAFStock_Log[WeekIndex],3))</f>
        <v/>
      </c>
      <c r="E25" s="19">
        <f>IF(COUNTIFS(T_TTAFStock_Log[Part Name],$A25,T_TTAFStock_Log[WeekIndex],4)=0,"",SUMIFS(T_TTAFStock_Log[TTAF_Qty],T_TTAFStock_Log[Part Name],$A25,T_TTAFStock_Log[WeekIndex],4))</f>
        <v/>
      </c>
      <c r="F25" s="19">
        <f>IF(COUNTIFS(T_TTAFStock_Log[Part Name],$A25,T_TTAFStock_Log[WeekIndex],5)=0,"",SUMIFS(T_TTAFStock_Log[TTAF_Qty],T_TTAFStock_Log[Part Name],$A25,T_TTAFStock_Log[WeekIndex],5))</f>
        <v/>
      </c>
      <c r="G25" s="19">
        <f>IF(COUNTIFS(T_TTAFStock_Log[Part Name],$A25,T_TTAFStock_Log[WeekIndex],6)=0,"",SUMIFS(T_TTAFStock_Log[TTAF_Qty],T_TTAFStock_Log[Part Name],$A25,T_TTAFStock_Log[WeekIndex],6))</f>
        <v/>
      </c>
      <c r="H25" s="19">
        <f>IF(COUNTIFS(T_TTAFStock_Log[Part Name],$A25,T_TTAFStock_Log[WeekIndex],7)=0,"",SUMIFS(T_TTAFStock_Log[TTAF_Qty],T_TTAFStock_Log[Part Name],$A25,T_TTAFStock_Log[WeekIndex],7))</f>
        <v/>
      </c>
      <c r="I25" s="19">
        <f>IF(COUNTIFS(T_TTAFStock_Log[Part Name],$A25,T_TTAFStock_Log[WeekIndex],8)=0,"",SUMIFS(T_TTAFStock_Log[TTAF_Qty],T_TTAFStock_Log[Part Name],$A25,T_TTAFStock_Log[WeekIndex],8))</f>
        <v/>
      </c>
      <c r="J25" s="19">
        <f>IF(COUNTIFS(T_TTAFStock_Log[Part Name],$A25,T_TTAFStock_Log[WeekIndex],9)=0,"",SUMIFS(T_TTAFStock_Log[TTAF_Qty],T_TTAFStock_Log[Part Name],$A25,T_TTAFStock_Log[WeekIndex],9))</f>
        <v/>
      </c>
      <c r="K25" s="19">
        <f>IF(COUNTIFS(T_TTAFStock_Log[Part Name],$A25,T_TTAFStock_Log[WeekIndex],10)=0,"",SUMIFS(T_TTAFStock_Log[TTAF_Qty],T_TTAFStock_Log[Part Name],$A25,T_TTAFStock_Log[WeekIndex],10))</f>
        <v/>
      </c>
      <c r="L25" s="19">
        <f>IF(COUNTIFS(T_TTAFStock_Log[Part Name],$A25,T_TTAFStock_Log[WeekIndex],11)=0,"",SUMIFS(T_TTAFStock_Log[TTAF_Qty],T_TTAFStock_Log[Part Name],$A25,T_TTAFStock_Log[WeekIndex],11))</f>
        <v/>
      </c>
      <c r="M25" s="19">
        <f>IF(COUNTIFS(T_TTAFStock_Log[Part Name],$A25,T_TTAFStock_Log[WeekIndex],12)=0,"",SUMIFS(T_TTAFStock_Log[TTAF_Qty],T_TTAFStock_Log[Part Name],$A25,T_TTAFStock_Log[WeekIndex],12))</f>
        <v/>
      </c>
      <c r="N25" s="19">
        <f>IF(COUNTIFS(T_TTAFStock_Log[Part Name],$A25,T_TTAFStock_Log[WeekIndex],13)=0,"",SUMIFS(T_TTAFStock_Log[TTAF_Qty],T_TTAFStock_Log[Part Name],$A25,T_TTAFStock_Log[WeekIndex],13))</f>
        <v/>
      </c>
      <c r="O25" s="19">
        <f>IF(COUNTIFS(T_TTAFStock_Log[Part Name],$A25,T_TTAFStock_Log[WeekIndex],14)=0,"",SUMIFS(T_TTAFStock_Log[TTAF_Qty],T_TTAFStock_Log[Part Name],$A25,T_TTAFStock_Log[WeekIndex],14))</f>
        <v/>
      </c>
      <c r="P25" s="19">
        <f>IF(COUNTIFS(T_TTAFStock_Log[Part Name],$A25,T_TTAFStock_Log[WeekIndex],15)=0,"",SUMIFS(T_TTAFStock_Log[TTAF_Qty],T_TTAFStock_Log[Part Name],$A25,T_TTAFStock_Log[WeekIndex],15))</f>
        <v/>
      </c>
      <c r="Q25" s="19">
        <f>IF(COUNTIFS(T_TTAFStock_Log[Part Name],$A25,T_TTAFStock_Log[WeekIndex],16)=0,"",SUMIFS(T_TTAFStock_Log[TTAF_Qty],T_TTAFStock_Log[Part Name],$A25,T_TTAFStock_Log[WeekIndex],16))</f>
        <v/>
      </c>
      <c r="R25" s="19">
        <f>IF(COUNTIFS(T_TTAFStock_Log[Part Name],$A25,T_TTAFStock_Log[WeekIndex],17)=0,"",SUMIFS(T_TTAFStock_Log[TTAF_Qty],T_TTAFStock_Log[Part Name],$A25,T_TTAFStock_Log[WeekIndex],17))</f>
        <v/>
      </c>
      <c r="S25" s="19">
        <f>IF(COUNTIFS(T_TTAFStock_Log[Part Name],$A25,T_TTAFStock_Log[WeekIndex],18)=0,"",SUMIFS(T_TTAFStock_Log[TTAF_Qty],T_TTAFStock_Log[Part Name],$A25,T_TTAFStock_Log[WeekIndex],18))</f>
        <v/>
      </c>
      <c r="T25" s="19">
        <f>IF(COUNTIFS(T_TTAFStock_Log[Part Name],$A25,T_TTAFStock_Log[WeekIndex],19)=0,"",SUMIFS(T_TTAFStock_Log[TTAF_Qty],T_TTAFStock_Log[Part Name],$A25,T_TTAFStock_Log[WeekIndex],19))</f>
        <v/>
      </c>
      <c r="U25" s="19">
        <f>IF(COUNTIFS(T_TTAFStock_Log[Part Name],$A25,T_TTAFStock_Log[WeekIndex],20)=0,"",SUMIFS(T_TTAFStock_Log[TTAF_Qty],T_TTAFStock_Log[Part Name],$A25,T_TTAFStock_Log[WeekIndex],20))</f>
        <v/>
      </c>
      <c r="V25" s="19">
        <f>IF(COUNTIFS(T_TTAFStock_Log[Part Name],$A25,T_TTAFStock_Log[WeekIndex],21)=0,"",SUMIFS(T_TTAFStock_Log[TTAF_Qty],T_TTAFStock_Log[Part Name],$A25,T_TTAFStock_Log[WeekIndex],21))</f>
        <v/>
      </c>
      <c r="W25" s="19">
        <f>IF(COUNTIFS(T_TTAFStock_Log[Part Name],$A25,T_TTAFStock_Log[WeekIndex],22)=0,"",SUMIFS(T_TTAFStock_Log[TTAF_Qty],T_TTAFStock_Log[Part Name],$A25,T_TTAFStock_Log[WeekIndex],22))</f>
        <v/>
      </c>
      <c r="X25" s="19">
        <f>IF(COUNTIFS(T_TTAFStock_Log[Part Name],$A25,T_TTAFStock_Log[WeekIndex],23)=0,"",SUMIFS(T_TTAFStock_Log[TTAF_Qty],T_TTAFStock_Log[Part Name],$A25,T_TTAFStock_Log[WeekIndex],23))</f>
        <v/>
      </c>
      <c r="Y25" s="19">
        <f>IF(COUNTIFS(T_TTAFStock_Log[Part Name],$A25,T_TTAFStock_Log[WeekIndex],24)=0,"",SUMIFS(T_TTAFStock_Log[TTAF_Qty],T_TTAFStock_Log[Part Name],$A25,T_TTAFStock_Log[WeekIndex],24))</f>
        <v/>
      </c>
      <c r="Z25" s="19">
        <f>IF(COUNTIFS(T_TTAFStock_Log[Part Name],$A25,T_TTAFStock_Log[WeekIndex],25)=0,"",SUMIFS(T_TTAFStock_Log[TTAF_Qty],T_TTAFStock_Log[Part Name],$A25,T_TTAFStock_Log[WeekIndex],25))</f>
        <v/>
      </c>
      <c r="AA25" s="19">
        <f>IF(COUNTIFS(T_TTAFStock_Log[Part Name],$A25,T_TTAFStock_Log[WeekIndex],26)=0,"",SUMIFS(T_TTAFStock_Log[TTAF_Qty],T_TTAFStock_Log[Part Name],$A25,T_TTAFStock_Log[WeekIndex],26))</f>
        <v/>
      </c>
      <c r="AB25" s="19">
        <f>IF(COUNTIFS(T_TTAFStock_Log[Part Name],$A25,T_TTAFStock_Log[WeekIndex],27)=0,"",SUMIFS(T_TTAFStock_Log[TTAF_Qty],T_TTAFStock_Log[Part Name],$A25,T_TTAFStock_Log[WeekIndex],27))</f>
        <v/>
      </c>
      <c r="AC25" s="19">
        <f>IF(COUNTIFS(T_TTAFStock_Log[Part Name],$A25,T_TTAFStock_Log[WeekIndex],28)=0,"",SUMIFS(T_TTAFStock_Log[TTAF_Qty],T_TTAFStock_Log[Part Name],$A25,T_TTAFStock_Log[WeekIndex],28))</f>
        <v/>
      </c>
      <c r="AD25" s="19">
        <f>IF(COUNTIFS(T_TTAFStock_Log[Part Name],$A25,T_TTAFStock_Log[WeekIndex],29)=0,"",SUMIFS(T_TTAFStock_Log[TTAF_Qty],T_TTAFStock_Log[Part Name],$A25,T_TTAFStock_Log[WeekIndex],29))</f>
        <v/>
      </c>
      <c r="AE25" s="19">
        <f>IF(COUNTIFS(T_TTAFStock_Log[Part Name],$A25,T_TTAFStock_Log[WeekIndex],30)=0,"",SUMIFS(T_TTAFStock_Log[TTAF_Qty],T_TTAFStock_Log[Part Name],$A25,T_TTAFStock_Log[WeekIndex],30))</f>
        <v/>
      </c>
      <c r="AF25" s="19">
        <f>IF(COUNTIFS(T_TTAFStock_Log[Part Name],$A25,T_TTAFStock_Log[WeekIndex],31)=0,"",SUMIFS(T_TTAFStock_Log[TTAF_Qty],T_TTAFStock_Log[Part Name],$A25,T_TTAFStock_Log[WeekIndex],31))</f>
        <v/>
      </c>
      <c r="AG25" s="19">
        <f>IF(COUNTIFS(T_TTAFStock_Log[Part Name],$A25,T_TTAFStock_Log[WeekIndex],32)=0,"",SUMIFS(T_TTAFStock_Log[TTAF_Qty],T_TTAFStock_Log[Part Name],$A25,T_TTAFStock_Log[WeekIndex],32))</f>
        <v/>
      </c>
      <c r="AH25" s="19">
        <f>IF(COUNTIFS(T_TTAFStock_Log[Part Name],$A25,T_TTAFStock_Log[WeekIndex],33)=0,"",SUMIFS(T_TTAFStock_Log[TTAF_Qty],T_TTAFStock_Log[Part Name],$A25,T_TTAFStock_Log[WeekIndex],33))</f>
        <v/>
      </c>
      <c r="AI25" s="19">
        <f>IF(COUNTIFS(T_TTAFStock_Log[Part Name],$A25,T_TTAFStock_Log[WeekIndex],34)=0,"",SUMIFS(T_TTAFStock_Log[TTAF_Qty],T_TTAFStock_Log[Part Name],$A25,T_TTAFStock_Log[WeekIndex],34))</f>
        <v/>
      </c>
      <c r="AJ25" s="19">
        <f>IF(COUNTIFS(T_TTAFStock_Log[Part Name],$A25,T_TTAFStock_Log[WeekIndex],35)=0,"",SUMIFS(T_TTAFStock_Log[TTAF_Qty],T_TTAFStock_Log[Part Name],$A25,T_TTAFStock_Log[WeekIndex],35))</f>
        <v/>
      </c>
      <c r="AK25" s="19">
        <f>IF(COUNTIFS(T_TTAFStock_Log[Part Name],$A25,T_TTAFStock_Log[WeekIndex],36)=0,"",SUMIFS(T_TTAFStock_Log[TTAF_Qty],T_TTAFStock_Log[Part Name],$A25,T_TTAFStock_Log[WeekIndex],36))</f>
        <v/>
      </c>
      <c r="AL25" s="19">
        <f>IF(COUNTIFS(T_TTAFStock_Log[Part Name],$A25,T_TTAFStock_Log[WeekIndex],37)=0,"",SUMIFS(T_TTAFStock_Log[TTAF_Qty],T_TTAFStock_Log[Part Name],$A25,T_TTAFStock_Log[WeekIndex],37))</f>
        <v/>
      </c>
      <c r="AM25" s="19">
        <f>IF(COUNTIFS(T_TTAFStock_Log[Part Name],$A25,T_TTAFStock_Log[WeekIndex],38)=0,"",SUMIFS(T_TTAFStock_Log[TTAF_Qty],T_TTAFStock_Log[Part Name],$A25,T_TTAFStock_Log[WeekIndex],38))</f>
        <v/>
      </c>
      <c r="AN25" s="19">
        <f>IF(COUNTIFS(T_TTAFStock_Log[Part Name],$A25,T_TTAFStock_Log[WeekIndex],39)=0,"",SUMIFS(T_TTAFStock_Log[TTAF_Qty],T_TTAFStock_Log[Part Name],$A25,T_TTAFStock_Log[WeekIndex],39))</f>
        <v/>
      </c>
      <c r="AO25" s="19">
        <f>IF(COUNTIFS(T_TTAFStock_Log[Part Name],$A25,T_TTAFStock_Log[WeekIndex],40)=0,"",SUMIFS(T_TTAFStock_Log[TTAF_Qty],T_TTAFStock_Log[Part Name],$A25,T_TTAFStock_Log[WeekIndex],40))</f>
        <v/>
      </c>
      <c r="AP25" s="19">
        <f>IF(COUNTIFS(T_TTAFStock_Log[Part Name],$A25,T_TTAFStock_Log[WeekIndex],41)=0,"",SUMIFS(T_TTAFStock_Log[TTAF_Qty],T_TTAFStock_Log[Part Name],$A25,T_TTAFStock_Log[WeekIndex],41))</f>
        <v/>
      </c>
      <c r="AQ25" s="19">
        <f>IF(COUNTIFS(T_TTAFStock_Log[Part Name],$A25,T_TTAFStock_Log[WeekIndex],42)=0,"",SUMIFS(T_TTAFStock_Log[TTAF_Qty],T_TTAFStock_Log[Part Name],$A25,T_TTAFStock_Log[WeekIndex],42))</f>
        <v/>
      </c>
      <c r="AR25" s="19">
        <f>IF(COUNTIFS(T_TTAFStock_Log[Part Name],$A25,T_TTAFStock_Log[WeekIndex],43)=0,"",SUMIFS(T_TTAFStock_Log[TTAF_Qty],T_TTAFStock_Log[Part Name],$A25,T_TTAFStock_Log[WeekIndex],43))</f>
        <v/>
      </c>
      <c r="AS25" s="19">
        <f>IF(COUNTIFS(T_TTAFStock_Log[Part Name],$A25,T_TTAFStock_Log[WeekIndex],44)=0,"",SUMIFS(T_TTAFStock_Log[TTAF_Qty],T_TTAFStock_Log[Part Name],$A25,T_TTAFStock_Log[WeekIndex],44))</f>
        <v/>
      </c>
      <c r="AT25" s="19">
        <f>IF(COUNTIFS(T_TTAFStock_Log[Part Name],$A25,T_TTAFStock_Log[WeekIndex],45)=0,"",SUMIFS(T_TTAFStock_Log[TTAF_Qty],T_TTAFStock_Log[Part Name],$A25,T_TTAFStock_Log[WeekIndex],45))</f>
        <v/>
      </c>
      <c r="AU25" s="19">
        <f>IF(COUNTIFS(T_TTAFStock_Log[Part Name],$A25,T_TTAFStock_Log[WeekIndex],46)=0,"",SUMIFS(T_TTAFStock_Log[TTAF_Qty],T_TTAFStock_Log[Part Name],$A25,T_TTAFStock_Log[WeekIndex],46))</f>
        <v/>
      </c>
      <c r="AV25" s="19">
        <f>IF(COUNTIFS(T_TTAFStock_Log[Part Name],$A25,T_TTAFStock_Log[WeekIndex],47)=0,"",SUMIFS(T_TTAFStock_Log[TTAF_Qty],T_TTAFStock_Log[Part Name],$A25,T_TTAFStock_Log[WeekIndex],47))</f>
        <v/>
      </c>
      <c r="AW25" s="19">
        <f>IF(COUNTIFS(T_TTAFStock_Log[Part Name],$A25,T_TTAFStock_Log[WeekIndex],48)=0,"",SUMIFS(T_TTAFStock_Log[TTAF_Qty],T_TTAFStock_Log[Part Name],$A25,T_TTAFStock_Log[WeekIndex],48))</f>
        <v/>
      </c>
      <c r="AX25" s="19">
        <f>IF(COUNTIFS(T_TTAFStock_Log[Part Name],$A25,T_TTAFStock_Log[WeekIndex],49)=0,"",SUMIFS(T_TTAFStock_Log[TTAF_Qty],T_TTAFStock_Log[Part Name],$A25,T_TTAFStock_Log[WeekIndex],49))</f>
        <v/>
      </c>
      <c r="AY25" s="19">
        <f>IF(COUNTIFS(T_TTAFStock_Log[Part Name],$A25,T_TTAFStock_Log[WeekIndex],50)=0,"",SUMIFS(T_TTAFStock_Log[TTAF_Qty],T_TTAFStock_Log[Part Name],$A25,T_TTAFStock_Log[WeekIndex],50))</f>
        <v/>
      </c>
      <c r="AZ25" s="19">
        <f>IF(COUNTIFS(T_TTAFStock_Log[Part Name],$A25,T_TTAFStock_Log[WeekIndex],51)=0,"",SUMIFS(T_TTAFStock_Log[TTAF_Qty],T_TTAFStock_Log[Part Name],$A25,T_TTAFStock_Log[WeekIndex],51))</f>
        <v/>
      </c>
      <c r="BA25" s="19">
        <f>IF(COUNTIFS(T_TTAFStock_Log[Part Name],$A25,T_TTAFStock_Log[WeekIndex],52)=0,"",SUMIFS(T_TTAFStock_Log[TTAF_Qty],T_TTAFStock_Log[Part Name],$A25,T_TTAFStock_Log[WeekIndex],52))</f>
        <v/>
      </c>
      <c r="BB25" s="19">
        <f>IF(COUNTIFS(T_TTAFStock_Log[Part Name],$A25,T_TTAFStock_Log[WeekIndex],53)=0,"",SUMIFS(T_TTAFStock_Log[TTAF_Qty],T_TTAFStock_Log[Part Name],$A25,T_TTAFStock_Log[WeekIndex],53))</f>
        <v/>
      </c>
      <c r="BC25" s="19">
        <f>IF(COUNTIFS(T_TTAFStock_Log[Part Name],$A25,T_TTAFStock_Log[WeekIndex],54)=0,"",SUMIFS(T_TTAFStock_Log[TTAF_Qty],T_TTAFStock_Log[Part Name],$A25,T_TTAFStock_Log[WeekIndex],54))</f>
        <v/>
      </c>
      <c r="BD25" s="19">
        <f>IF(COUNTIFS(T_TTAFStock_Log[Part Name],$A25,T_TTAFStock_Log[WeekIndex],55)=0,"",SUMIFS(T_TTAFStock_Log[TTAF_Qty],T_TTAFStock_Log[Part Name],$A25,T_TTAFStock_Log[WeekIndex],55))</f>
        <v/>
      </c>
      <c r="BE25" s="19">
        <f>IF(COUNTIFS(T_TTAFStock_Log[Part Name],$A25,T_TTAFStock_Log[WeekIndex],56)=0,"",SUMIFS(T_TTAFStock_Log[TTAF_Qty],T_TTAFStock_Log[Part Name],$A25,T_TTAFStock_Log[WeekIndex],56))</f>
        <v/>
      </c>
      <c r="BF25" s="19">
        <f>IF(COUNTIFS(T_TTAFStock_Log[Part Name],$A25,T_TTAFStock_Log[WeekIndex],57)=0,"",SUMIFS(T_TTAFStock_Log[TTAF_Qty],T_TTAFStock_Log[Part Name],$A25,T_TTAFStock_Log[WeekIndex],57))</f>
        <v/>
      </c>
      <c r="BG25" s="19">
        <f>IF(COUNTIFS(T_TTAFStock_Log[Part Name],$A25,T_TTAFStock_Log[WeekIndex],58)=0,"",SUMIFS(T_TTAFStock_Log[TTAF_Qty],T_TTAFStock_Log[Part Name],$A25,T_TTAFStock_Log[WeekIndex],58))</f>
        <v/>
      </c>
      <c r="BH25" s="19">
        <f>IF(COUNTIFS(T_TTAFStock_Log[Part Name],$A25,T_TTAFStock_Log[WeekIndex],59)=0,"",SUMIFS(T_TTAFStock_Log[TTAF_Qty],T_TTAFStock_Log[Part Name],$A25,T_TTAFStock_Log[WeekIndex],59))</f>
        <v/>
      </c>
      <c r="BI25" s="19">
        <f>IF(COUNTIFS(T_TTAFStock_Log[Part Name],$A25,T_TTAFStock_Log[WeekIndex],60)=0,"",SUMIFS(T_TTAFStock_Log[TTAF_Qty],T_TTAFStock_Log[Part Name],$A25,T_TTAFStock_Log[WeekIndex],60))</f>
        <v/>
      </c>
      <c r="BJ25" s="19">
        <f>IF(COUNTIFS(T_TTAFStock_Log[Part Name],$A25,T_TTAFStock_Log[WeekIndex],61)=0,"",SUMIFS(T_TTAFStock_Log[TTAF_Qty],T_TTAFStock_Log[Part Name],$A25,T_TTAFStock_Log[WeekIndex],61))</f>
        <v/>
      </c>
      <c r="BK25" s="19">
        <f>IF(COUNTIFS(T_TTAFStock_Log[Part Name],$A25,T_TTAFStock_Log[WeekIndex],62)=0,"",SUMIFS(T_TTAFStock_Log[TTAF_Qty],T_TTAFStock_Log[Part Name],$A25,T_TTAFStock_Log[WeekIndex],62))</f>
        <v/>
      </c>
      <c r="BL25" s="19">
        <f>IF(COUNTIFS(T_TTAFStock_Log[Part Name],$A25,T_TTAFStock_Log[WeekIndex],63)=0,"",SUMIFS(T_TTAFStock_Log[TTAF_Qty],T_TTAFStock_Log[Part Name],$A25,T_TTAFStock_Log[WeekIndex],63))</f>
        <v/>
      </c>
      <c r="BM25" s="19">
        <f>IF(COUNTIFS(T_TTAFStock_Log[Part Name],$A25,T_TTAFStock_Log[WeekIndex],64)=0,"",SUMIFS(T_TTAFStock_Log[TTAF_Qty],T_TTAFStock_Log[Part Name],$A25,T_TTAFStock_Log[WeekIndex],64))</f>
        <v/>
      </c>
      <c r="BN25" s="19">
        <f>IF(COUNTIFS(T_TTAFStock_Log[Part Name],$A25,T_TTAFStock_Log[WeekIndex],65)=0,"",SUMIFS(T_TTAFStock_Log[TTAF_Qty],T_TTAFStock_Log[Part Name],$A25,T_TTAFStock_Log[WeekIndex],65))</f>
        <v/>
      </c>
      <c r="BO25" s="19">
        <f>IF(COUNTIFS(T_TTAFStock_Log[Part Name],$A25,T_TTAFStock_Log[WeekIndex],66)=0,"",SUMIFS(T_TTAFStock_Log[TTAF_Qty],T_TTAFStock_Log[Part Name],$A25,T_TTAFStock_Log[WeekIndex],66))</f>
        <v/>
      </c>
      <c r="BP25" s="19">
        <f>IF(COUNTIFS(T_TTAFStock_Log[Part Name],$A25,T_TTAFStock_Log[WeekIndex],67)=0,"",SUMIFS(T_TTAFStock_Log[TTAF_Qty],T_TTAFStock_Log[Part Name],$A25,T_TTAFStock_Log[WeekIndex],67))</f>
        <v/>
      </c>
      <c r="BQ25" s="19">
        <f>IF(COUNTIFS(T_TTAFStock_Log[Part Name],$A25,T_TTAFStock_Log[WeekIndex],68)=0,"",SUMIFS(T_TTAFStock_Log[TTAF_Qty],T_TTAFStock_Log[Part Name],$A25,T_TTAFStock_Log[WeekIndex],68))</f>
        <v/>
      </c>
      <c r="BR25" s="19">
        <f>IF(COUNTIFS(T_TTAFStock_Log[Part Name],$A25,T_TTAFStock_Log[WeekIndex],69)=0,"",SUMIFS(T_TTAFStock_Log[TTAF_Qty],T_TTAFStock_Log[Part Name],$A25,T_TTAFStock_Log[WeekIndex],69))</f>
        <v/>
      </c>
      <c r="BS25" s="19">
        <f>IF(COUNTIFS(T_TTAFStock_Log[Part Name],$A25,T_TTAFStock_Log[WeekIndex],70)=0,"",SUMIFS(T_TTAFStock_Log[TTAF_Qty],T_TTAFStock_Log[Part Name],$A25,T_TTAFStock_Log[WeekIndex],70))</f>
        <v/>
      </c>
      <c r="BT25" s="19">
        <f>IF(COUNTIFS(T_TTAFStock_Log[Part Name],$A25,T_TTAFStock_Log[WeekIndex],71)=0,"",SUMIFS(T_TTAFStock_Log[TTAF_Qty],T_TTAFStock_Log[Part Name],$A25,T_TTAFStock_Log[WeekIndex],71))</f>
        <v/>
      </c>
      <c r="BU25" s="19">
        <f>IF(COUNTIFS(T_TTAFStock_Log[Part Name],$A25,T_TTAFStock_Log[WeekIndex],72)=0,"",SUMIFS(T_TTAFStock_Log[TTAF_Qty],T_TTAFStock_Log[Part Name],$A25,T_TTAFStock_Log[WeekIndex],72))</f>
        <v/>
      </c>
      <c r="BV25" s="19">
        <f>IF(COUNTIFS(T_TTAFStock_Log[Part Name],$A25,T_TTAFStock_Log[WeekIndex],73)=0,"",SUMIFS(T_TTAFStock_Log[TTAF_Qty],T_TTAFStock_Log[Part Name],$A25,T_TTAFStock_Log[WeekIndex],73))</f>
        <v/>
      </c>
      <c r="BW25" s="19">
        <f>IF(COUNTIFS(T_TTAFStock_Log[Part Name],$A25,T_TTAFStock_Log[WeekIndex],74)=0,"",SUMIFS(T_TTAFStock_Log[TTAF_Qty],T_TTAFStock_Log[Part Name],$A25,T_TTAFStock_Log[WeekIndex],74))</f>
        <v/>
      </c>
      <c r="BX25" s="19">
        <f>IF(COUNTIFS(T_TTAFStock_Log[Part Name],$A25,T_TTAFStock_Log[WeekIndex],75)=0,"",SUMIFS(T_TTAFStock_Log[TTAF_Qty],T_TTAFStock_Log[Part Name],$A25,T_TTAFStock_Log[WeekIndex],75))</f>
        <v/>
      </c>
      <c r="BY25" s="19">
        <f>IF(COUNTIFS(T_TTAFStock_Log[Part Name],$A25,T_TTAFStock_Log[WeekIndex],76)=0,"",SUMIFS(T_TTAFStock_Log[TTAF_Qty],T_TTAFStock_Log[Part Name],$A25,T_TTAFStock_Log[WeekIndex],76))</f>
        <v/>
      </c>
      <c r="BZ25" s="19">
        <f>IF(COUNTIFS(T_TTAFStock_Log[Part Name],$A25,T_TTAFStock_Log[WeekIndex],77)=0,"",SUMIFS(T_TTAFStock_Log[TTAF_Qty],T_TTAFStock_Log[Part Name],$A25,T_TTAFStock_Log[WeekIndex],77))</f>
        <v/>
      </c>
      <c r="CA25" s="19">
        <f>IF(COUNTIFS(T_TTAFStock_Log[Part Name],$A25,T_TTAFStock_Log[WeekIndex],78)=0,"",SUMIFS(T_TTAFStock_Log[TTAF_Qty],T_TTAFStock_Log[Part Name],$A25,T_TTAFStock_Log[WeekIndex],78))</f>
        <v/>
      </c>
      <c r="CB25" s="19">
        <f>IF(COUNTIFS(T_TTAFStock_Log[Part Name],$A25,T_TTAFStock_Log[WeekIndex],79)=0,"",SUMIFS(T_TTAFStock_Log[TTAF_Qty],T_TTAFStock_Log[Part Name],$A25,T_TTAFStock_Log[WeekIndex],79))</f>
        <v/>
      </c>
      <c r="CC25" s="19">
        <f>IF(COUNTIFS(T_TTAFStock_Log[Part Name],$A25,T_TTAFStock_Log[WeekIndex],80)=0,"",SUMIFS(T_TTAFStock_Log[TTAF_Qty],T_TTAFStock_Log[Part Name],$A25,T_TTAFStock_Log[WeekIndex],80))</f>
        <v/>
      </c>
      <c r="CD25" s="19">
        <f>IF(COUNTIFS(T_TTAFStock_Log[Part Name],$A25,T_TTAFStock_Log[WeekIndex],81)=0,"",SUMIFS(T_TTAFStock_Log[TTAF_Qty],T_TTAFStock_Log[Part Name],$A25,T_TTAFStock_Log[WeekIndex],81))</f>
        <v/>
      </c>
      <c r="CE25" s="19">
        <f>IF(COUNTIFS(T_TTAFStock_Log[Part Name],$A25,T_TTAFStock_Log[WeekIndex],82)=0,"",SUMIFS(T_TTAFStock_Log[TTAF_Qty],T_TTAFStock_Log[Part Name],$A25,T_TTAFStock_Log[WeekIndex],82))</f>
        <v/>
      </c>
      <c r="CF25" s="19">
        <f>IF(COUNTIFS(T_TTAFStock_Log[Part Name],$A25,T_TTAFStock_Log[WeekIndex],83)=0,"",SUMIFS(T_TTAFStock_Log[TTAF_Qty],T_TTAFStock_Log[Part Name],$A25,T_TTAFStock_Log[WeekIndex],83))</f>
        <v/>
      </c>
      <c r="CG25" s="19">
        <f>IF(COUNTIFS(T_TTAFStock_Log[Part Name],$A25,T_TTAFStock_Log[WeekIndex],84)=0,"",SUMIFS(T_TTAFStock_Log[TTAF_Qty],T_TTAFStock_Log[Part Name],$A25,T_TTAFStock_Log[WeekIndex],84))</f>
        <v/>
      </c>
      <c r="CH25" s="19">
        <f>IF(COUNTIFS(T_TTAFStock_Log[Part Name],$A25,T_TTAFStock_Log[WeekIndex],85)=0,"",SUMIFS(T_TTAFStock_Log[TTAF_Qty],T_TTAFStock_Log[Part Name],$A25,T_TTAFStock_Log[WeekIndex],85))</f>
        <v/>
      </c>
      <c r="CI25" s="19">
        <f>IF(COUNTIFS(T_TTAFStock_Log[Part Name],$A25,T_TTAFStock_Log[WeekIndex],86)=0,"",SUMIFS(T_TTAFStock_Log[TTAF_Qty],T_TTAFStock_Log[Part Name],$A25,T_TTAFStock_Log[WeekIndex],86))</f>
        <v/>
      </c>
      <c r="CJ25" s="19">
        <f>IF(COUNTIFS(T_TTAFStock_Log[Part Name],$A25,T_TTAFStock_Log[WeekIndex],87)=0,"",SUMIFS(T_TTAFStock_Log[TTAF_Qty],T_TTAFStock_Log[Part Name],$A25,T_TTAFStock_Log[WeekIndex],87))</f>
        <v/>
      </c>
      <c r="CK25" s="19">
        <f>IF(COUNTIFS(T_TTAFStock_Log[Part Name],$A25,T_TTAFStock_Log[WeekIndex],88)=0,"",SUMIFS(T_TTAFStock_Log[TTAF_Qty],T_TTAFStock_Log[Part Name],$A25,T_TTAFStock_Log[WeekIndex],88))</f>
        <v/>
      </c>
      <c r="CL25" s="19">
        <f>IF(COUNTIFS(T_TTAFStock_Log[Part Name],$A25,T_TTAFStock_Log[WeekIndex],89)=0,"",SUMIFS(T_TTAFStock_Log[TTAF_Qty],T_TTAFStock_Log[Part Name],$A25,T_TTAFStock_Log[WeekIndex],89))</f>
        <v/>
      </c>
      <c r="CM25" s="19">
        <f>IF(COUNTIFS(T_TTAFStock_Log[Part Name],$A25,T_TTAFStock_Log[WeekIndex],90)=0,"",SUMIFS(T_TTAFStock_Log[TTAF_Qty],T_TTAFStock_Log[Part Name],$A25,T_TTAFStock_Log[WeekIndex],90))</f>
        <v/>
      </c>
      <c r="CN25" s="19">
        <f>IF(COUNTIFS(T_TTAFStock_Log[Part Name],$A25,T_TTAFStock_Log[WeekIndex],91)=0,"",SUMIFS(T_TTAFStock_Log[TTAF_Qty],T_TTAFStock_Log[Part Name],$A25,T_TTAFStock_Log[WeekIndex],91))</f>
        <v/>
      </c>
      <c r="CO25" s="19">
        <f>IF(COUNTIFS(T_TTAFStock_Log[Part Name],$A25,T_TTAFStock_Log[WeekIndex],92)=0,"",SUMIFS(T_TTAFStock_Log[TTAF_Qty],T_TTAFStock_Log[Part Name],$A25,T_TTAFStock_Log[WeekIndex],92))</f>
        <v/>
      </c>
      <c r="CP25" s="19">
        <f>IF(COUNTIFS(T_TTAFStock_Log[Part Name],$A25,T_TTAFStock_Log[WeekIndex],93)=0,"",SUMIFS(T_TTAFStock_Log[TTAF_Qty],T_TTAFStock_Log[Part Name],$A25,T_TTAFStock_Log[WeekIndex],93))</f>
        <v/>
      </c>
      <c r="CQ25" s="19">
        <f>IF(COUNTIFS(T_TTAFStock_Log[Part Name],$A25,T_TTAFStock_Log[WeekIndex],94)=0,"",SUMIFS(T_TTAFStock_Log[TTAF_Qty],T_TTAFStock_Log[Part Name],$A25,T_TTAFStock_Log[WeekIndex],94))</f>
        <v/>
      </c>
      <c r="CR25" s="19">
        <f>IF(COUNTIFS(T_TTAFStock_Log[Part Name],$A25,T_TTAFStock_Log[WeekIndex],95)=0,"",SUMIFS(T_TTAFStock_Log[TTAF_Qty],T_TTAFStock_Log[Part Name],$A25,T_TTAFStock_Log[WeekIndex],95))</f>
        <v/>
      </c>
      <c r="CS25" s="19">
        <f>IF(COUNTIFS(T_TTAFStock_Log[Part Name],$A25,T_TTAFStock_Log[WeekIndex],96)=0,"",SUMIFS(T_TTAFStock_Log[TTAF_Qty],T_TTAFStock_Log[Part Name],$A25,T_TTAFStock_Log[WeekIndex],96))</f>
        <v/>
      </c>
      <c r="CT25" s="19">
        <f>IF(COUNTIFS(T_TTAFStock_Log[Part Name],$A25,T_TTAFStock_Log[WeekIndex],97)=0,"",SUMIFS(T_TTAFStock_Log[TTAF_Qty],T_TTAFStock_Log[Part Name],$A25,T_TTAFStock_Log[WeekIndex],97))</f>
        <v/>
      </c>
      <c r="CU25" s="19">
        <f>IF(COUNTIFS(T_TTAFStock_Log[Part Name],$A25,T_TTAFStock_Log[WeekIndex],98)=0,"",SUMIFS(T_TTAFStock_Log[TTAF_Qty],T_TTAFStock_Log[Part Name],$A25,T_TTAFStock_Log[WeekIndex],98))</f>
        <v/>
      </c>
      <c r="CV25" s="19">
        <f>IF(COUNTIFS(T_TTAFStock_Log[Part Name],$A25,T_TTAFStock_Log[WeekIndex],99)=0,"",SUMIFS(T_TTAFStock_Log[TTAF_Qty],T_TTAFStock_Log[Part Name],$A25,T_TTAFStock_Log[WeekIndex],99))</f>
        <v/>
      </c>
      <c r="CW25" s="19">
        <f>IF(COUNTIFS(T_TTAFStock_Log[Part Name],$A25,T_TTAFStock_Log[WeekIndex],100)=0,"",SUMIFS(T_TTAFStock_Log[TTAF_Qty],T_TTAFStock_Log[Part Name],$A25,T_TTAFStock_Log[WeekIndex],100))</f>
        <v/>
      </c>
      <c r="CX25" s="19">
        <f>IF(COUNTIFS(T_TTAFStock_Log[Part Name],$A25,T_TTAFStock_Log[WeekIndex],101)=0,"",SUMIFS(T_TTAFStock_Log[TTAF_Qty],T_TTAFStock_Log[Part Name],$A25,T_TTAFStock_Log[WeekIndex],101))</f>
        <v/>
      </c>
      <c r="CY25" s="19">
        <f>IF(COUNTIFS(T_TTAFStock_Log[Part Name],$A25,T_TTAFStock_Log[WeekIndex],102)=0,"",SUMIFS(T_TTAFStock_Log[TTAF_Qty],T_TTAFStock_Log[Part Name],$A25,T_TTAFStock_Log[WeekIndex],102))</f>
        <v/>
      </c>
      <c r="CZ25" s="19">
        <f>IF(COUNTIFS(T_TTAFStock_Log[Part Name],$A25,T_TTAFStock_Log[WeekIndex],103)=0,"",SUMIFS(T_TTAFStock_Log[TTAF_Qty],T_TTAFStock_Log[Part Name],$A25,T_TTAFStock_Log[WeekIndex],103))</f>
        <v/>
      </c>
      <c r="DA25" s="19">
        <f>IF(COUNTIFS(T_TTAFStock_Log[Part Name],$A25,T_TTAFStock_Log[WeekIndex],104)=0,"",SUMIFS(T_TTAFStock_Log[TTAF_Qty],T_TTAFStock_Log[Part Name],$A25,T_TTAFStock_Log[WeekIndex],104))</f>
        <v/>
      </c>
    </row>
    <row r="26">
      <c r="A26" s="17" t="inlineStr">
        <is>
          <t>CHEM-1670</t>
        </is>
      </c>
      <c r="B26" s="17">
        <f>IF(COUNTIFS(T_TTAFStock_Log[Part Name],$A26,T_TTAFStock_Log[WeekIndex],1)=0,"",SUMIFS(T_TTAFStock_Log[TTAF_Qty],T_TTAFStock_Log[Part Name],$A26,T_TTAFStock_Log[WeekIndex],1))</f>
        <v/>
      </c>
      <c r="C26" s="17">
        <f>IF(COUNTIFS(T_TTAFStock_Log[Part Name],$A26,T_TTAFStock_Log[WeekIndex],2)=0,"",SUMIFS(T_TTAFStock_Log[TTAF_Qty],T_TTAFStock_Log[Part Name],$A26,T_TTAFStock_Log[WeekIndex],2))</f>
        <v/>
      </c>
      <c r="D26" s="17">
        <f>IF(COUNTIFS(T_TTAFStock_Log[Part Name],$A26,T_TTAFStock_Log[WeekIndex],3)=0,"",SUMIFS(T_TTAFStock_Log[TTAF_Qty],T_TTAFStock_Log[Part Name],$A26,T_TTAFStock_Log[WeekIndex],3))</f>
        <v/>
      </c>
      <c r="E26" s="17">
        <f>IF(COUNTIFS(T_TTAFStock_Log[Part Name],$A26,T_TTAFStock_Log[WeekIndex],4)=0,"",SUMIFS(T_TTAFStock_Log[TTAF_Qty],T_TTAFStock_Log[Part Name],$A26,T_TTAFStock_Log[WeekIndex],4))</f>
        <v/>
      </c>
      <c r="F26" s="17">
        <f>IF(COUNTIFS(T_TTAFStock_Log[Part Name],$A26,T_TTAFStock_Log[WeekIndex],5)=0,"",SUMIFS(T_TTAFStock_Log[TTAF_Qty],T_TTAFStock_Log[Part Name],$A26,T_TTAFStock_Log[WeekIndex],5))</f>
        <v/>
      </c>
      <c r="G26" s="17">
        <f>IF(COUNTIFS(T_TTAFStock_Log[Part Name],$A26,T_TTAFStock_Log[WeekIndex],6)=0,"",SUMIFS(T_TTAFStock_Log[TTAF_Qty],T_TTAFStock_Log[Part Name],$A26,T_TTAFStock_Log[WeekIndex],6))</f>
        <v/>
      </c>
      <c r="H26" s="17">
        <f>IF(COUNTIFS(T_TTAFStock_Log[Part Name],$A26,T_TTAFStock_Log[WeekIndex],7)=0,"",SUMIFS(T_TTAFStock_Log[TTAF_Qty],T_TTAFStock_Log[Part Name],$A26,T_TTAFStock_Log[WeekIndex],7))</f>
        <v/>
      </c>
      <c r="I26" s="17">
        <f>IF(COUNTIFS(T_TTAFStock_Log[Part Name],$A26,T_TTAFStock_Log[WeekIndex],8)=0,"",SUMIFS(T_TTAFStock_Log[TTAF_Qty],T_TTAFStock_Log[Part Name],$A26,T_TTAFStock_Log[WeekIndex],8))</f>
        <v/>
      </c>
      <c r="J26" s="17">
        <f>IF(COUNTIFS(T_TTAFStock_Log[Part Name],$A26,T_TTAFStock_Log[WeekIndex],9)=0,"",SUMIFS(T_TTAFStock_Log[TTAF_Qty],T_TTAFStock_Log[Part Name],$A26,T_TTAFStock_Log[WeekIndex],9))</f>
        <v/>
      </c>
      <c r="K26" s="17">
        <f>IF(COUNTIFS(T_TTAFStock_Log[Part Name],$A26,T_TTAFStock_Log[WeekIndex],10)=0,"",SUMIFS(T_TTAFStock_Log[TTAF_Qty],T_TTAFStock_Log[Part Name],$A26,T_TTAFStock_Log[WeekIndex],10))</f>
        <v/>
      </c>
      <c r="L26" s="17">
        <f>IF(COUNTIFS(T_TTAFStock_Log[Part Name],$A26,T_TTAFStock_Log[WeekIndex],11)=0,"",SUMIFS(T_TTAFStock_Log[TTAF_Qty],T_TTAFStock_Log[Part Name],$A26,T_TTAFStock_Log[WeekIndex],11))</f>
        <v/>
      </c>
      <c r="M26" s="17">
        <f>IF(COUNTIFS(T_TTAFStock_Log[Part Name],$A26,T_TTAFStock_Log[WeekIndex],12)=0,"",SUMIFS(T_TTAFStock_Log[TTAF_Qty],T_TTAFStock_Log[Part Name],$A26,T_TTAFStock_Log[WeekIndex],12))</f>
        <v/>
      </c>
      <c r="N26" s="17">
        <f>IF(COUNTIFS(T_TTAFStock_Log[Part Name],$A26,T_TTAFStock_Log[WeekIndex],13)=0,"",SUMIFS(T_TTAFStock_Log[TTAF_Qty],T_TTAFStock_Log[Part Name],$A26,T_TTAFStock_Log[WeekIndex],13))</f>
        <v/>
      </c>
      <c r="O26" s="17">
        <f>IF(COUNTIFS(T_TTAFStock_Log[Part Name],$A26,T_TTAFStock_Log[WeekIndex],14)=0,"",SUMIFS(T_TTAFStock_Log[TTAF_Qty],T_TTAFStock_Log[Part Name],$A26,T_TTAFStock_Log[WeekIndex],14))</f>
        <v/>
      </c>
      <c r="P26" s="17">
        <f>IF(COUNTIFS(T_TTAFStock_Log[Part Name],$A26,T_TTAFStock_Log[WeekIndex],15)=0,"",SUMIFS(T_TTAFStock_Log[TTAF_Qty],T_TTAFStock_Log[Part Name],$A26,T_TTAFStock_Log[WeekIndex],15))</f>
        <v/>
      </c>
      <c r="Q26" s="17">
        <f>IF(COUNTIFS(T_TTAFStock_Log[Part Name],$A26,T_TTAFStock_Log[WeekIndex],16)=0,"",SUMIFS(T_TTAFStock_Log[TTAF_Qty],T_TTAFStock_Log[Part Name],$A26,T_TTAFStock_Log[WeekIndex],16))</f>
        <v/>
      </c>
      <c r="R26" s="17">
        <f>IF(COUNTIFS(T_TTAFStock_Log[Part Name],$A26,T_TTAFStock_Log[WeekIndex],17)=0,"",SUMIFS(T_TTAFStock_Log[TTAF_Qty],T_TTAFStock_Log[Part Name],$A26,T_TTAFStock_Log[WeekIndex],17))</f>
        <v/>
      </c>
      <c r="S26" s="17">
        <f>IF(COUNTIFS(T_TTAFStock_Log[Part Name],$A26,T_TTAFStock_Log[WeekIndex],18)=0,"",SUMIFS(T_TTAFStock_Log[TTAF_Qty],T_TTAFStock_Log[Part Name],$A26,T_TTAFStock_Log[WeekIndex],18))</f>
        <v/>
      </c>
      <c r="T26" s="17">
        <f>IF(COUNTIFS(T_TTAFStock_Log[Part Name],$A26,T_TTAFStock_Log[WeekIndex],19)=0,"",SUMIFS(T_TTAFStock_Log[TTAF_Qty],T_TTAFStock_Log[Part Name],$A26,T_TTAFStock_Log[WeekIndex],19))</f>
        <v/>
      </c>
      <c r="U26" s="17">
        <f>IF(COUNTIFS(T_TTAFStock_Log[Part Name],$A26,T_TTAFStock_Log[WeekIndex],20)=0,"",SUMIFS(T_TTAFStock_Log[TTAF_Qty],T_TTAFStock_Log[Part Name],$A26,T_TTAFStock_Log[WeekIndex],20))</f>
        <v/>
      </c>
      <c r="V26" s="17">
        <f>IF(COUNTIFS(T_TTAFStock_Log[Part Name],$A26,T_TTAFStock_Log[WeekIndex],21)=0,"",SUMIFS(T_TTAFStock_Log[TTAF_Qty],T_TTAFStock_Log[Part Name],$A26,T_TTAFStock_Log[WeekIndex],21))</f>
        <v/>
      </c>
      <c r="W26" s="17">
        <f>IF(COUNTIFS(T_TTAFStock_Log[Part Name],$A26,T_TTAFStock_Log[WeekIndex],22)=0,"",SUMIFS(T_TTAFStock_Log[TTAF_Qty],T_TTAFStock_Log[Part Name],$A26,T_TTAFStock_Log[WeekIndex],22))</f>
        <v/>
      </c>
      <c r="X26" s="17">
        <f>IF(COUNTIFS(T_TTAFStock_Log[Part Name],$A26,T_TTAFStock_Log[WeekIndex],23)=0,"",SUMIFS(T_TTAFStock_Log[TTAF_Qty],T_TTAFStock_Log[Part Name],$A26,T_TTAFStock_Log[WeekIndex],23))</f>
        <v/>
      </c>
      <c r="Y26" s="17">
        <f>IF(COUNTIFS(T_TTAFStock_Log[Part Name],$A26,T_TTAFStock_Log[WeekIndex],24)=0,"",SUMIFS(T_TTAFStock_Log[TTAF_Qty],T_TTAFStock_Log[Part Name],$A26,T_TTAFStock_Log[WeekIndex],24))</f>
        <v/>
      </c>
      <c r="Z26" s="17">
        <f>IF(COUNTIFS(T_TTAFStock_Log[Part Name],$A26,T_TTAFStock_Log[WeekIndex],25)=0,"",SUMIFS(T_TTAFStock_Log[TTAF_Qty],T_TTAFStock_Log[Part Name],$A26,T_TTAFStock_Log[WeekIndex],25))</f>
        <v/>
      </c>
      <c r="AA26" s="17">
        <f>IF(COUNTIFS(T_TTAFStock_Log[Part Name],$A26,T_TTAFStock_Log[WeekIndex],26)=0,"",SUMIFS(T_TTAFStock_Log[TTAF_Qty],T_TTAFStock_Log[Part Name],$A26,T_TTAFStock_Log[WeekIndex],26))</f>
        <v/>
      </c>
      <c r="AB26" s="17">
        <f>IF(COUNTIFS(T_TTAFStock_Log[Part Name],$A26,T_TTAFStock_Log[WeekIndex],27)=0,"",SUMIFS(T_TTAFStock_Log[TTAF_Qty],T_TTAFStock_Log[Part Name],$A26,T_TTAFStock_Log[WeekIndex],27))</f>
        <v/>
      </c>
      <c r="AC26" s="17">
        <f>IF(COUNTIFS(T_TTAFStock_Log[Part Name],$A26,T_TTAFStock_Log[WeekIndex],28)=0,"",SUMIFS(T_TTAFStock_Log[TTAF_Qty],T_TTAFStock_Log[Part Name],$A26,T_TTAFStock_Log[WeekIndex],28))</f>
        <v/>
      </c>
      <c r="AD26" s="17">
        <f>IF(COUNTIFS(T_TTAFStock_Log[Part Name],$A26,T_TTAFStock_Log[WeekIndex],29)=0,"",SUMIFS(T_TTAFStock_Log[TTAF_Qty],T_TTAFStock_Log[Part Name],$A26,T_TTAFStock_Log[WeekIndex],29))</f>
        <v/>
      </c>
      <c r="AE26" s="17">
        <f>IF(COUNTIFS(T_TTAFStock_Log[Part Name],$A26,T_TTAFStock_Log[WeekIndex],30)=0,"",SUMIFS(T_TTAFStock_Log[TTAF_Qty],T_TTAFStock_Log[Part Name],$A26,T_TTAFStock_Log[WeekIndex],30))</f>
        <v/>
      </c>
      <c r="AF26" s="17">
        <f>IF(COUNTIFS(T_TTAFStock_Log[Part Name],$A26,T_TTAFStock_Log[WeekIndex],31)=0,"",SUMIFS(T_TTAFStock_Log[TTAF_Qty],T_TTAFStock_Log[Part Name],$A26,T_TTAFStock_Log[WeekIndex],31))</f>
        <v/>
      </c>
      <c r="AG26" s="17">
        <f>IF(COUNTIFS(T_TTAFStock_Log[Part Name],$A26,T_TTAFStock_Log[WeekIndex],32)=0,"",SUMIFS(T_TTAFStock_Log[TTAF_Qty],T_TTAFStock_Log[Part Name],$A26,T_TTAFStock_Log[WeekIndex],32))</f>
        <v/>
      </c>
      <c r="AH26" s="17">
        <f>IF(COUNTIFS(T_TTAFStock_Log[Part Name],$A26,T_TTAFStock_Log[WeekIndex],33)=0,"",SUMIFS(T_TTAFStock_Log[TTAF_Qty],T_TTAFStock_Log[Part Name],$A26,T_TTAFStock_Log[WeekIndex],33))</f>
        <v/>
      </c>
      <c r="AI26" s="17">
        <f>IF(COUNTIFS(T_TTAFStock_Log[Part Name],$A26,T_TTAFStock_Log[WeekIndex],34)=0,"",SUMIFS(T_TTAFStock_Log[TTAF_Qty],T_TTAFStock_Log[Part Name],$A26,T_TTAFStock_Log[WeekIndex],34))</f>
        <v/>
      </c>
      <c r="AJ26" s="17">
        <f>IF(COUNTIFS(T_TTAFStock_Log[Part Name],$A26,T_TTAFStock_Log[WeekIndex],35)=0,"",SUMIFS(T_TTAFStock_Log[TTAF_Qty],T_TTAFStock_Log[Part Name],$A26,T_TTAFStock_Log[WeekIndex],35))</f>
        <v/>
      </c>
      <c r="AK26" s="17">
        <f>IF(COUNTIFS(T_TTAFStock_Log[Part Name],$A26,T_TTAFStock_Log[WeekIndex],36)=0,"",SUMIFS(T_TTAFStock_Log[TTAF_Qty],T_TTAFStock_Log[Part Name],$A26,T_TTAFStock_Log[WeekIndex],36))</f>
        <v/>
      </c>
      <c r="AL26" s="17">
        <f>IF(COUNTIFS(T_TTAFStock_Log[Part Name],$A26,T_TTAFStock_Log[WeekIndex],37)=0,"",SUMIFS(T_TTAFStock_Log[TTAF_Qty],T_TTAFStock_Log[Part Name],$A26,T_TTAFStock_Log[WeekIndex],37))</f>
        <v/>
      </c>
      <c r="AM26" s="17">
        <f>IF(COUNTIFS(T_TTAFStock_Log[Part Name],$A26,T_TTAFStock_Log[WeekIndex],38)=0,"",SUMIFS(T_TTAFStock_Log[TTAF_Qty],T_TTAFStock_Log[Part Name],$A26,T_TTAFStock_Log[WeekIndex],38))</f>
        <v/>
      </c>
      <c r="AN26" s="17">
        <f>IF(COUNTIFS(T_TTAFStock_Log[Part Name],$A26,T_TTAFStock_Log[WeekIndex],39)=0,"",SUMIFS(T_TTAFStock_Log[TTAF_Qty],T_TTAFStock_Log[Part Name],$A26,T_TTAFStock_Log[WeekIndex],39))</f>
        <v/>
      </c>
      <c r="AO26" s="17">
        <f>IF(COUNTIFS(T_TTAFStock_Log[Part Name],$A26,T_TTAFStock_Log[WeekIndex],40)=0,"",SUMIFS(T_TTAFStock_Log[TTAF_Qty],T_TTAFStock_Log[Part Name],$A26,T_TTAFStock_Log[WeekIndex],40))</f>
        <v/>
      </c>
      <c r="AP26" s="17">
        <f>IF(COUNTIFS(T_TTAFStock_Log[Part Name],$A26,T_TTAFStock_Log[WeekIndex],41)=0,"",SUMIFS(T_TTAFStock_Log[TTAF_Qty],T_TTAFStock_Log[Part Name],$A26,T_TTAFStock_Log[WeekIndex],41))</f>
        <v/>
      </c>
      <c r="AQ26" s="17">
        <f>IF(COUNTIFS(T_TTAFStock_Log[Part Name],$A26,T_TTAFStock_Log[WeekIndex],42)=0,"",SUMIFS(T_TTAFStock_Log[TTAF_Qty],T_TTAFStock_Log[Part Name],$A26,T_TTAFStock_Log[WeekIndex],42))</f>
        <v/>
      </c>
      <c r="AR26" s="17">
        <f>IF(COUNTIFS(T_TTAFStock_Log[Part Name],$A26,T_TTAFStock_Log[WeekIndex],43)=0,"",SUMIFS(T_TTAFStock_Log[TTAF_Qty],T_TTAFStock_Log[Part Name],$A26,T_TTAFStock_Log[WeekIndex],43))</f>
        <v/>
      </c>
      <c r="AS26" s="17">
        <f>IF(COUNTIFS(T_TTAFStock_Log[Part Name],$A26,T_TTAFStock_Log[WeekIndex],44)=0,"",SUMIFS(T_TTAFStock_Log[TTAF_Qty],T_TTAFStock_Log[Part Name],$A26,T_TTAFStock_Log[WeekIndex],44))</f>
        <v/>
      </c>
      <c r="AT26" s="17">
        <f>IF(COUNTIFS(T_TTAFStock_Log[Part Name],$A26,T_TTAFStock_Log[WeekIndex],45)=0,"",SUMIFS(T_TTAFStock_Log[TTAF_Qty],T_TTAFStock_Log[Part Name],$A26,T_TTAFStock_Log[WeekIndex],45))</f>
        <v/>
      </c>
      <c r="AU26" s="17">
        <f>IF(COUNTIFS(T_TTAFStock_Log[Part Name],$A26,T_TTAFStock_Log[WeekIndex],46)=0,"",SUMIFS(T_TTAFStock_Log[TTAF_Qty],T_TTAFStock_Log[Part Name],$A26,T_TTAFStock_Log[WeekIndex],46))</f>
        <v/>
      </c>
      <c r="AV26" s="17">
        <f>IF(COUNTIFS(T_TTAFStock_Log[Part Name],$A26,T_TTAFStock_Log[WeekIndex],47)=0,"",SUMIFS(T_TTAFStock_Log[TTAF_Qty],T_TTAFStock_Log[Part Name],$A26,T_TTAFStock_Log[WeekIndex],47))</f>
        <v/>
      </c>
      <c r="AW26" s="17">
        <f>IF(COUNTIFS(T_TTAFStock_Log[Part Name],$A26,T_TTAFStock_Log[WeekIndex],48)=0,"",SUMIFS(T_TTAFStock_Log[TTAF_Qty],T_TTAFStock_Log[Part Name],$A26,T_TTAFStock_Log[WeekIndex],48))</f>
        <v/>
      </c>
      <c r="AX26" s="17">
        <f>IF(COUNTIFS(T_TTAFStock_Log[Part Name],$A26,T_TTAFStock_Log[WeekIndex],49)=0,"",SUMIFS(T_TTAFStock_Log[TTAF_Qty],T_TTAFStock_Log[Part Name],$A26,T_TTAFStock_Log[WeekIndex],49))</f>
        <v/>
      </c>
      <c r="AY26" s="17">
        <f>IF(COUNTIFS(T_TTAFStock_Log[Part Name],$A26,T_TTAFStock_Log[WeekIndex],50)=0,"",SUMIFS(T_TTAFStock_Log[TTAF_Qty],T_TTAFStock_Log[Part Name],$A26,T_TTAFStock_Log[WeekIndex],50))</f>
        <v/>
      </c>
      <c r="AZ26" s="17">
        <f>IF(COUNTIFS(T_TTAFStock_Log[Part Name],$A26,T_TTAFStock_Log[WeekIndex],51)=0,"",SUMIFS(T_TTAFStock_Log[TTAF_Qty],T_TTAFStock_Log[Part Name],$A26,T_TTAFStock_Log[WeekIndex],51))</f>
        <v/>
      </c>
      <c r="BA26" s="17">
        <f>IF(COUNTIFS(T_TTAFStock_Log[Part Name],$A26,T_TTAFStock_Log[WeekIndex],52)=0,"",SUMIFS(T_TTAFStock_Log[TTAF_Qty],T_TTAFStock_Log[Part Name],$A26,T_TTAFStock_Log[WeekIndex],52))</f>
        <v/>
      </c>
      <c r="BB26" s="17">
        <f>IF(COUNTIFS(T_TTAFStock_Log[Part Name],$A26,T_TTAFStock_Log[WeekIndex],53)=0,"",SUMIFS(T_TTAFStock_Log[TTAF_Qty],T_TTAFStock_Log[Part Name],$A26,T_TTAFStock_Log[WeekIndex],53))</f>
        <v/>
      </c>
      <c r="BC26" s="17">
        <f>IF(COUNTIFS(T_TTAFStock_Log[Part Name],$A26,T_TTAFStock_Log[WeekIndex],54)=0,"",SUMIFS(T_TTAFStock_Log[TTAF_Qty],T_TTAFStock_Log[Part Name],$A26,T_TTAFStock_Log[WeekIndex],54))</f>
        <v/>
      </c>
      <c r="BD26" s="17">
        <f>IF(COUNTIFS(T_TTAFStock_Log[Part Name],$A26,T_TTAFStock_Log[WeekIndex],55)=0,"",SUMIFS(T_TTAFStock_Log[TTAF_Qty],T_TTAFStock_Log[Part Name],$A26,T_TTAFStock_Log[WeekIndex],55))</f>
        <v/>
      </c>
      <c r="BE26" s="17">
        <f>IF(COUNTIFS(T_TTAFStock_Log[Part Name],$A26,T_TTAFStock_Log[WeekIndex],56)=0,"",SUMIFS(T_TTAFStock_Log[TTAF_Qty],T_TTAFStock_Log[Part Name],$A26,T_TTAFStock_Log[WeekIndex],56))</f>
        <v/>
      </c>
      <c r="BF26" s="17">
        <f>IF(COUNTIFS(T_TTAFStock_Log[Part Name],$A26,T_TTAFStock_Log[WeekIndex],57)=0,"",SUMIFS(T_TTAFStock_Log[TTAF_Qty],T_TTAFStock_Log[Part Name],$A26,T_TTAFStock_Log[WeekIndex],57))</f>
        <v/>
      </c>
      <c r="BG26" s="17">
        <f>IF(COUNTIFS(T_TTAFStock_Log[Part Name],$A26,T_TTAFStock_Log[WeekIndex],58)=0,"",SUMIFS(T_TTAFStock_Log[TTAF_Qty],T_TTAFStock_Log[Part Name],$A26,T_TTAFStock_Log[WeekIndex],58))</f>
        <v/>
      </c>
      <c r="BH26" s="17">
        <f>IF(COUNTIFS(T_TTAFStock_Log[Part Name],$A26,T_TTAFStock_Log[WeekIndex],59)=0,"",SUMIFS(T_TTAFStock_Log[TTAF_Qty],T_TTAFStock_Log[Part Name],$A26,T_TTAFStock_Log[WeekIndex],59))</f>
        <v/>
      </c>
      <c r="BI26" s="17">
        <f>IF(COUNTIFS(T_TTAFStock_Log[Part Name],$A26,T_TTAFStock_Log[WeekIndex],60)=0,"",SUMIFS(T_TTAFStock_Log[TTAF_Qty],T_TTAFStock_Log[Part Name],$A26,T_TTAFStock_Log[WeekIndex],60))</f>
        <v/>
      </c>
      <c r="BJ26" s="17">
        <f>IF(COUNTIFS(T_TTAFStock_Log[Part Name],$A26,T_TTAFStock_Log[WeekIndex],61)=0,"",SUMIFS(T_TTAFStock_Log[TTAF_Qty],T_TTAFStock_Log[Part Name],$A26,T_TTAFStock_Log[WeekIndex],61))</f>
        <v/>
      </c>
      <c r="BK26" s="17">
        <f>IF(COUNTIFS(T_TTAFStock_Log[Part Name],$A26,T_TTAFStock_Log[WeekIndex],62)=0,"",SUMIFS(T_TTAFStock_Log[TTAF_Qty],T_TTAFStock_Log[Part Name],$A26,T_TTAFStock_Log[WeekIndex],62))</f>
        <v/>
      </c>
      <c r="BL26" s="17">
        <f>IF(COUNTIFS(T_TTAFStock_Log[Part Name],$A26,T_TTAFStock_Log[WeekIndex],63)=0,"",SUMIFS(T_TTAFStock_Log[TTAF_Qty],T_TTAFStock_Log[Part Name],$A26,T_TTAFStock_Log[WeekIndex],63))</f>
        <v/>
      </c>
      <c r="BM26" s="17">
        <f>IF(COUNTIFS(T_TTAFStock_Log[Part Name],$A26,T_TTAFStock_Log[WeekIndex],64)=0,"",SUMIFS(T_TTAFStock_Log[TTAF_Qty],T_TTAFStock_Log[Part Name],$A26,T_TTAFStock_Log[WeekIndex],64))</f>
        <v/>
      </c>
      <c r="BN26" s="17">
        <f>IF(COUNTIFS(T_TTAFStock_Log[Part Name],$A26,T_TTAFStock_Log[WeekIndex],65)=0,"",SUMIFS(T_TTAFStock_Log[TTAF_Qty],T_TTAFStock_Log[Part Name],$A26,T_TTAFStock_Log[WeekIndex],65))</f>
        <v/>
      </c>
      <c r="BO26" s="17">
        <f>IF(COUNTIFS(T_TTAFStock_Log[Part Name],$A26,T_TTAFStock_Log[WeekIndex],66)=0,"",SUMIFS(T_TTAFStock_Log[TTAF_Qty],T_TTAFStock_Log[Part Name],$A26,T_TTAFStock_Log[WeekIndex],66))</f>
        <v/>
      </c>
      <c r="BP26" s="17">
        <f>IF(COUNTIFS(T_TTAFStock_Log[Part Name],$A26,T_TTAFStock_Log[WeekIndex],67)=0,"",SUMIFS(T_TTAFStock_Log[TTAF_Qty],T_TTAFStock_Log[Part Name],$A26,T_TTAFStock_Log[WeekIndex],67))</f>
        <v/>
      </c>
      <c r="BQ26" s="17">
        <f>IF(COUNTIFS(T_TTAFStock_Log[Part Name],$A26,T_TTAFStock_Log[WeekIndex],68)=0,"",SUMIFS(T_TTAFStock_Log[TTAF_Qty],T_TTAFStock_Log[Part Name],$A26,T_TTAFStock_Log[WeekIndex],68))</f>
        <v/>
      </c>
      <c r="BR26" s="17">
        <f>IF(COUNTIFS(T_TTAFStock_Log[Part Name],$A26,T_TTAFStock_Log[WeekIndex],69)=0,"",SUMIFS(T_TTAFStock_Log[TTAF_Qty],T_TTAFStock_Log[Part Name],$A26,T_TTAFStock_Log[WeekIndex],69))</f>
        <v/>
      </c>
      <c r="BS26" s="17">
        <f>IF(COUNTIFS(T_TTAFStock_Log[Part Name],$A26,T_TTAFStock_Log[WeekIndex],70)=0,"",SUMIFS(T_TTAFStock_Log[TTAF_Qty],T_TTAFStock_Log[Part Name],$A26,T_TTAFStock_Log[WeekIndex],70))</f>
        <v/>
      </c>
      <c r="BT26" s="17">
        <f>IF(COUNTIFS(T_TTAFStock_Log[Part Name],$A26,T_TTAFStock_Log[WeekIndex],71)=0,"",SUMIFS(T_TTAFStock_Log[TTAF_Qty],T_TTAFStock_Log[Part Name],$A26,T_TTAFStock_Log[WeekIndex],71))</f>
        <v/>
      </c>
      <c r="BU26" s="17">
        <f>IF(COUNTIFS(T_TTAFStock_Log[Part Name],$A26,T_TTAFStock_Log[WeekIndex],72)=0,"",SUMIFS(T_TTAFStock_Log[TTAF_Qty],T_TTAFStock_Log[Part Name],$A26,T_TTAFStock_Log[WeekIndex],72))</f>
        <v/>
      </c>
      <c r="BV26" s="17">
        <f>IF(COUNTIFS(T_TTAFStock_Log[Part Name],$A26,T_TTAFStock_Log[WeekIndex],73)=0,"",SUMIFS(T_TTAFStock_Log[TTAF_Qty],T_TTAFStock_Log[Part Name],$A26,T_TTAFStock_Log[WeekIndex],73))</f>
        <v/>
      </c>
      <c r="BW26" s="17">
        <f>IF(COUNTIFS(T_TTAFStock_Log[Part Name],$A26,T_TTAFStock_Log[WeekIndex],74)=0,"",SUMIFS(T_TTAFStock_Log[TTAF_Qty],T_TTAFStock_Log[Part Name],$A26,T_TTAFStock_Log[WeekIndex],74))</f>
        <v/>
      </c>
      <c r="BX26" s="17">
        <f>IF(COUNTIFS(T_TTAFStock_Log[Part Name],$A26,T_TTAFStock_Log[WeekIndex],75)=0,"",SUMIFS(T_TTAFStock_Log[TTAF_Qty],T_TTAFStock_Log[Part Name],$A26,T_TTAFStock_Log[WeekIndex],75))</f>
        <v/>
      </c>
      <c r="BY26" s="17">
        <f>IF(COUNTIFS(T_TTAFStock_Log[Part Name],$A26,T_TTAFStock_Log[WeekIndex],76)=0,"",SUMIFS(T_TTAFStock_Log[TTAF_Qty],T_TTAFStock_Log[Part Name],$A26,T_TTAFStock_Log[WeekIndex],76))</f>
        <v/>
      </c>
      <c r="BZ26" s="17">
        <f>IF(COUNTIFS(T_TTAFStock_Log[Part Name],$A26,T_TTAFStock_Log[WeekIndex],77)=0,"",SUMIFS(T_TTAFStock_Log[TTAF_Qty],T_TTAFStock_Log[Part Name],$A26,T_TTAFStock_Log[WeekIndex],77))</f>
        <v/>
      </c>
      <c r="CA26" s="17">
        <f>IF(COUNTIFS(T_TTAFStock_Log[Part Name],$A26,T_TTAFStock_Log[WeekIndex],78)=0,"",SUMIFS(T_TTAFStock_Log[TTAF_Qty],T_TTAFStock_Log[Part Name],$A26,T_TTAFStock_Log[WeekIndex],78))</f>
        <v/>
      </c>
      <c r="CB26" s="17">
        <f>IF(COUNTIFS(T_TTAFStock_Log[Part Name],$A26,T_TTAFStock_Log[WeekIndex],79)=0,"",SUMIFS(T_TTAFStock_Log[TTAF_Qty],T_TTAFStock_Log[Part Name],$A26,T_TTAFStock_Log[WeekIndex],79))</f>
        <v/>
      </c>
      <c r="CC26" s="17">
        <f>IF(COUNTIFS(T_TTAFStock_Log[Part Name],$A26,T_TTAFStock_Log[WeekIndex],80)=0,"",SUMIFS(T_TTAFStock_Log[TTAF_Qty],T_TTAFStock_Log[Part Name],$A26,T_TTAFStock_Log[WeekIndex],80))</f>
        <v/>
      </c>
      <c r="CD26" s="17">
        <f>IF(COUNTIFS(T_TTAFStock_Log[Part Name],$A26,T_TTAFStock_Log[WeekIndex],81)=0,"",SUMIFS(T_TTAFStock_Log[TTAF_Qty],T_TTAFStock_Log[Part Name],$A26,T_TTAFStock_Log[WeekIndex],81))</f>
        <v/>
      </c>
      <c r="CE26" s="17">
        <f>IF(COUNTIFS(T_TTAFStock_Log[Part Name],$A26,T_TTAFStock_Log[WeekIndex],82)=0,"",SUMIFS(T_TTAFStock_Log[TTAF_Qty],T_TTAFStock_Log[Part Name],$A26,T_TTAFStock_Log[WeekIndex],82))</f>
        <v/>
      </c>
      <c r="CF26" s="17">
        <f>IF(COUNTIFS(T_TTAFStock_Log[Part Name],$A26,T_TTAFStock_Log[WeekIndex],83)=0,"",SUMIFS(T_TTAFStock_Log[TTAF_Qty],T_TTAFStock_Log[Part Name],$A26,T_TTAFStock_Log[WeekIndex],83))</f>
        <v/>
      </c>
      <c r="CG26" s="17">
        <f>IF(COUNTIFS(T_TTAFStock_Log[Part Name],$A26,T_TTAFStock_Log[WeekIndex],84)=0,"",SUMIFS(T_TTAFStock_Log[TTAF_Qty],T_TTAFStock_Log[Part Name],$A26,T_TTAFStock_Log[WeekIndex],84))</f>
        <v/>
      </c>
      <c r="CH26" s="17">
        <f>IF(COUNTIFS(T_TTAFStock_Log[Part Name],$A26,T_TTAFStock_Log[WeekIndex],85)=0,"",SUMIFS(T_TTAFStock_Log[TTAF_Qty],T_TTAFStock_Log[Part Name],$A26,T_TTAFStock_Log[WeekIndex],85))</f>
        <v/>
      </c>
      <c r="CI26" s="17">
        <f>IF(COUNTIFS(T_TTAFStock_Log[Part Name],$A26,T_TTAFStock_Log[WeekIndex],86)=0,"",SUMIFS(T_TTAFStock_Log[TTAF_Qty],T_TTAFStock_Log[Part Name],$A26,T_TTAFStock_Log[WeekIndex],86))</f>
        <v/>
      </c>
      <c r="CJ26" s="17">
        <f>IF(COUNTIFS(T_TTAFStock_Log[Part Name],$A26,T_TTAFStock_Log[WeekIndex],87)=0,"",SUMIFS(T_TTAFStock_Log[TTAF_Qty],T_TTAFStock_Log[Part Name],$A26,T_TTAFStock_Log[WeekIndex],87))</f>
        <v/>
      </c>
      <c r="CK26" s="17">
        <f>IF(COUNTIFS(T_TTAFStock_Log[Part Name],$A26,T_TTAFStock_Log[WeekIndex],88)=0,"",SUMIFS(T_TTAFStock_Log[TTAF_Qty],T_TTAFStock_Log[Part Name],$A26,T_TTAFStock_Log[WeekIndex],88))</f>
        <v/>
      </c>
      <c r="CL26" s="17">
        <f>IF(COUNTIFS(T_TTAFStock_Log[Part Name],$A26,T_TTAFStock_Log[WeekIndex],89)=0,"",SUMIFS(T_TTAFStock_Log[TTAF_Qty],T_TTAFStock_Log[Part Name],$A26,T_TTAFStock_Log[WeekIndex],89))</f>
        <v/>
      </c>
      <c r="CM26" s="17">
        <f>IF(COUNTIFS(T_TTAFStock_Log[Part Name],$A26,T_TTAFStock_Log[WeekIndex],90)=0,"",SUMIFS(T_TTAFStock_Log[TTAF_Qty],T_TTAFStock_Log[Part Name],$A26,T_TTAFStock_Log[WeekIndex],90))</f>
        <v/>
      </c>
      <c r="CN26" s="17">
        <f>IF(COUNTIFS(T_TTAFStock_Log[Part Name],$A26,T_TTAFStock_Log[WeekIndex],91)=0,"",SUMIFS(T_TTAFStock_Log[TTAF_Qty],T_TTAFStock_Log[Part Name],$A26,T_TTAFStock_Log[WeekIndex],91))</f>
        <v/>
      </c>
      <c r="CO26" s="17">
        <f>IF(COUNTIFS(T_TTAFStock_Log[Part Name],$A26,T_TTAFStock_Log[WeekIndex],92)=0,"",SUMIFS(T_TTAFStock_Log[TTAF_Qty],T_TTAFStock_Log[Part Name],$A26,T_TTAFStock_Log[WeekIndex],92))</f>
        <v/>
      </c>
      <c r="CP26" s="17">
        <f>IF(COUNTIFS(T_TTAFStock_Log[Part Name],$A26,T_TTAFStock_Log[WeekIndex],93)=0,"",SUMIFS(T_TTAFStock_Log[TTAF_Qty],T_TTAFStock_Log[Part Name],$A26,T_TTAFStock_Log[WeekIndex],93))</f>
        <v/>
      </c>
      <c r="CQ26" s="17">
        <f>IF(COUNTIFS(T_TTAFStock_Log[Part Name],$A26,T_TTAFStock_Log[WeekIndex],94)=0,"",SUMIFS(T_TTAFStock_Log[TTAF_Qty],T_TTAFStock_Log[Part Name],$A26,T_TTAFStock_Log[WeekIndex],94))</f>
        <v/>
      </c>
      <c r="CR26" s="17">
        <f>IF(COUNTIFS(T_TTAFStock_Log[Part Name],$A26,T_TTAFStock_Log[WeekIndex],95)=0,"",SUMIFS(T_TTAFStock_Log[TTAF_Qty],T_TTAFStock_Log[Part Name],$A26,T_TTAFStock_Log[WeekIndex],95))</f>
        <v/>
      </c>
      <c r="CS26" s="17">
        <f>IF(COUNTIFS(T_TTAFStock_Log[Part Name],$A26,T_TTAFStock_Log[WeekIndex],96)=0,"",SUMIFS(T_TTAFStock_Log[TTAF_Qty],T_TTAFStock_Log[Part Name],$A26,T_TTAFStock_Log[WeekIndex],96))</f>
        <v/>
      </c>
      <c r="CT26" s="17">
        <f>IF(COUNTIFS(T_TTAFStock_Log[Part Name],$A26,T_TTAFStock_Log[WeekIndex],97)=0,"",SUMIFS(T_TTAFStock_Log[TTAF_Qty],T_TTAFStock_Log[Part Name],$A26,T_TTAFStock_Log[WeekIndex],97))</f>
        <v/>
      </c>
      <c r="CU26" s="17">
        <f>IF(COUNTIFS(T_TTAFStock_Log[Part Name],$A26,T_TTAFStock_Log[WeekIndex],98)=0,"",SUMIFS(T_TTAFStock_Log[TTAF_Qty],T_TTAFStock_Log[Part Name],$A26,T_TTAFStock_Log[WeekIndex],98))</f>
        <v/>
      </c>
      <c r="CV26" s="17">
        <f>IF(COUNTIFS(T_TTAFStock_Log[Part Name],$A26,T_TTAFStock_Log[WeekIndex],99)=0,"",SUMIFS(T_TTAFStock_Log[TTAF_Qty],T_TTAFStock_Log[Part Name],$A26,T_TTAFStock_Log[WeekIndex],99))</f>
        <v/>
      </c>
      <c r="CW26" s="17">
        <f>IF(COUNTIFS(T_TTAFStock_Log[Part Name],$A26,T_TTAFStock_Log[WeekIndex],100)=0,"",SUMIFS(T_TTAFStock_Log[TTAF_Qty],T_TTAFStock_Log[Part Name],$A26,T_TTAFStock_Log[WeekIndex],100))</f>
        <v/>
      </c>
      <c r="CX26" s="17">
        <f>IF(COUNTIFS(T_TTAFStock_Log[Part Name],$A26,T_TTAFStock_Log[WeekIndex],101)=0,"",SUMIFS(T_TTAFStock_Log[TTAF_Qty],T_TTAFStock_Log[Part Name],$A26,T_TTAFStock_Log[WeekIndex],101))</f>
        <v/>
      </c>
      <c r="CY26" s="17">
        <f>IF(COUNTIFS(T_TTAFStock_Log[Part Name],$A26,T_TTAFStock_Log[WeekIndex],102)=0,"",SUMIFS(T_TTAFStock_Log[TTAF_Qty],T_TTAFStock_Log[Part Name],$A26,T_TTAFStock_Log[WeekIndex],102))</f>
        <v/>
      </c>
      <c r="CZ26" s="17">
        <f>IF(COUNTIFS(T_TTAFStock_Log[Part Name],$A26,T_TTAFStock_Log[WeekIndex],103)=0,"",SUMIFS(T_TTAFStock_Log[TTAF_Qty],T_TTAFStock_Log[Part Name],$A26,T_TTAFStock_Log[WeekIndex],103))</f>
        <v/>
      </c>
      <c r="DA26" s="17">
        <f>IF(COUNTIFS(T_TTAFStock_Log[Part Name],$A26,T_TTAFStock_Log[WeekIndex],104)=0,"",SUMIFS(T_TTAFStock_Log[TTAF_Qty],T_TTAFStock_Log[Part Name],$A26,T_TTAFStock_Log[WeekIndex],104))</f>
        <v/>
      </c>
    </row>
    <row r="27">
      <c r="A27" s="19" t="inlineStr">
        <is>
          <t>CHEM-1110</t>
        </is>
      </c>
      <c r="B27" s="19">
        <f>IF(COUNTIFS(T_TTAFStock_Log[Part Name],$A27,T_TTAFStock_Log[WeekIndex],1)=0,"",SUMIFS(T_TTAFStock_Log[TTAF_Qty],T_TTAFStock_Log[Part Name],$A27,T_TTAFStock_Log[WeekIndex],1))</f>
        <v/>
      </c>
      <c r="C27" s="19">
        <f>IF(COUNTIFS(T_TTAFStock_Log[Part Name],$A27,T_TTAFStock_Log[WeekIndex],2)=0,"",SUMIFS(T_TTAFStock_Log[TTAF_Qty],T_TTAFStock_Log[Part Name],$A27,T_TTAFStock_Log[WeekIndex],2))</f>
        <v/>
      </c>
      <c r="D27" s="19">
        <f>IF(COUNTIFS(T_TTAFStock_Log[Part Name],$A27,T_TTAFStock_Log[WeekIndex],3)=0,"",SUMIFS(T_TTAFStock_Log[TTAF_Qty],T_TTAFStock_Log[Part Name],$A27,T_TTAFStock_Log[WeekIndex],3))</f>
        <v/>
      </c>
      <c r="E27" s="19">
        <f>IF(COUNTIFS(T_TTAFStock_Log[Part Name],$A27,T_TTAFStock_Log[WeekIndex],4)=0,"",SUMIFS(T_TTAFStock_Log[TTAF_Qty],T_TTAFStock_Log[Part Name],$A27,T_TTAFStock_Log[WeekIndex],4))</f>
        <v/>
      </c>
      <c r="F27" s="19">
        <f>IF(COUNTIFS(T_TTAFStock_Log[Part Name],$A27,T_TTAFStock_Log[WeekIndex],5)=0,"",SUMIFS(T_TTAFStock_Log[TTAF_Qty],T_TTAFStock_Log[Part Name],$A27,T_TTAFStock_Log[WeekIndex],5))</f>
        <v/>
      </c>
      <c r="G27" s="19">
        <f>IF(COUNTIFS(T_TTAFStock_Log[Part Name],$A27,T_TTAFStock_Log[WeekIndex],6)=0,"",SUMIFS(T_TTAFStock_Log[TTAF_Qty],T_TTAFStock_Log[Part Name],$A27,T_TTAFStock_Log[WeekIndex],6))</f>
        <v/>
      </c>
      <c r="H27" s="19">
        <f>IF(COUNTIFS(T_TTAFStock_Log[Part Name],$A27,T_TTAFStock_Log[WeekIndex],7)=0,"",SUMIFS(T_TTAFStock_Log[TTAF_Qty],T_TTAFStock_Log[Part Name],$A27,T_TTAFStock_Log[WeekIndex],7))</f>
        <v/>
      </c>
      <c r="I27" s="19">
        <f>IF(COUNTIFS(T_TTAFStock_Log[Part Name],$A27,T_TTAFStock_Log[WeekIndex],8)=0,"",SUMIFS(T_TTAFStock_Log[TTAF_Qty],T_TTAFStock_Log[Part Name],$A27,T_TTAFStock_Log[WeekIndex],8))</f>
        <v/>
      </c>
      <c r="J27" s="19">
        <f>IF(COUNTIFS(T_TTAFStock_Log[Part Name],$A27,T_TTAFStock_Log[WeekIndex],9)=0,"",SUMIFS(T_TTAFStock_Log[TTAF_Qty],T_TTAFStock_Log[Part Name],$A27,T_TTAFStock_Log[WeekIndex],9))</f>
        <v/>
      </c>
      <c r="K27" s="19">
        <f>IF(COUNTIFS(T_TTAFStock_Log[Part Name],$A27,T_TTAFStock_Log[WeekIndex],10)=0,"",SUMIFS(T_TTAFStock_Log[TTAF_Qty],T_TTAFStock_Log[Part Name],$A27,T_TTAFStock_Log[WeekIndex],10))</f>
        <v/>
      </c>
      <c r="L27" s="19">
        <f>IF(COUNTIFS(T_TTAFStock_Log[Part Name],$A27,T_TTAFStock_Log[WeekIndex],11)=0,"",SUMIFS(T_TTAFStock_Log[TTAF_Qty],T_TTAFStock_Log[Part Name],$A27,T_TTAFStock_Log[WeekIndex],11))</f>
        <v/>
      </c>
      <c r="M27" s="19">
        <f>IF(COUNTIFS(T_TTAFStock_Log[Part Name],$A27,T_TTAFStock_Log[WeekIndex],12)=0,"",SUMIFS(T_TTAFStock_Log[TTAF_Qty],T_TTAFStock_Log[Part Name],$A27,T_TTAFStock_Log[WeekIndex],12))</f>
        <v/>
      </c>
      <c r="N27" s="19">
        <f>IF(COUNTIFS(T_TTAFStock_Log[Part Name],$A27,T_TTAFStock_Log[WeekIndex],13)=0,"",SUMIFS(T_TTAFStock_Log[TTAF_Qty],T_TTAFStock_Log[Part Name],$A27,T_TTAFStock_Log[WeekIndex],13))</f>
        <v/>
      </c>
      <c r="O27" s="19">
        <f>IF(COUNTIFS(T_TTAFStock_Log[Part Name],$A27,T_TTAFStock_Log[WeekIndex],14)=0,"",SUMIFS(T_TTAFStock_Log[TTAF_Qty],T_TTAFStock_Log[Part Name],$A27,T_TTAFStock_Log[WeekIndex],14))</f>
        <v/>
      </c>
      <c r="P27" s="19">
        <f>IF(COUNTIFS(T_TTAFStock_Log[Part Name],$A27,T_TTAFStock_Log[WeekIndex],15)=0,"",SUMIFS(T_TTAFStock_Log[TTAF_Qty],T_TTAFStock_Log[Part Name],$A27,T_TTAFStock_Log[WeekIndex],15))</f>
        <v/>
      </c>
      <c r="Q27" s="19">
        <f>IF(COUNTIFS(T_TTAFStock_Log[Part Name],$A27,T_TTAFStock_Log[WeekIndex],16)=0,"",SUMIFS(T_TTAFStock_Log[TTAF_Qty],T_TTAFStock_Log[Part Name],$A27,T_TTAFStock_Log[WeekIndex],16))</f>
        <v/>
      </c>
      <c r="R27" s="19">
        <f>IF(COUNTIFS(T_TTAFStock_Log[Part Name],$A27,T_TTAFStock_Log[WeekIndex],17)=0,"",SUMIFS(T_TTAFStock_Log[TTAF_Qty],T_TTAFStock_Log[Part Name],$A27,T_TTAFStock_Log[WeekIndex],17))</f>
        <v/>
      </c>
      <c r="S27" s="19">
        <f>IF(COUNTIFS(T_TTAFStock_Log[Part Name],$A27,T_TTAFStock_Log[WeekIndex],18)=0,"",SUMIFS(T_TTAFStock_Log[TTAF_Qty],T_TTAFStock_Log[Part Name],$A27,T_TTAFStock_Log[WeekIndex],18))</f>
        <v/>
      </c>
      <c r="T27" s="19">
        <f>IF(COUNTIFS(T_TTAFStock_Log[Part Name],$A27,T_TTAFStock_Log[WeekIndex],19)=0,"",SUMIFS(T_TTAFStock_Log[TTAF_Qty],T_TTAFStock_Log[Part Name],$A27,T_TTAFStock_Log[WeekIndex],19))</f>
        <v/>
      </c>
      <c r="U27" s="19">
        <f>IF(COUNTIFS(T_TTAFStock_Log[Part Name],$A27,T_TTAFStock_Log[WeekIndex],20)=0,"",SUMIFS(T_TTAFStock_Log[TTAF_Qty],T_TTAFStock_Log[Part Name],$A27,T_TTAFStock_Log[WeekIndex],20))</f>
        <v/>
      </c>
      <c r="V27" s="19">
        <f>IF(COUNTIFS(T_TTAFStock_Log[Part Name],$A27,T_TTAFStock_Log[WeekIndex],21)=0,"",SUMIFS(T_TTAFStock_Log[TTAF_Qty],T_TTAFStock_Log[Part Name],$A27,T_TTAFStock_Log[WeekIndex],21))</f>
        <v/>
      </c>
      <c r="W27" s="19">
        <f>IF(COUNTIFS(T_TTAFStock_Log[Part Name],$A27,T_TTAFStock_Log[WeekIndex],22)=0,"",SUMIFS(T_TTAFStock_Log[TTAF_Qty],T_TTAFStock_Log[Part Name],$A27,T_TTAFStock_Log[WeekIndex],22))</f>
        <v/>
      </c>
      <c r="X27" s="19">
        <f>IF(COUNTIFS(T_TTAFStock_Log[Part Name],$A27,T_TTAFStock_Log[WeekIndex],23)=0,"",SUMIFS(T_TTAFStock_Log[TTAF_Qty],T_TTAFStock_Log[Part Name],$A27,T_TTAFStock_Log[WeekIndex],23))</f>
        <v/>
      </c>
      <c r="Y27" s="19">
        <f>IF(COUNTIFS(T_TTAFStock_Log[Part Name],$A27,T_TTAFStock_Log[WeekIndex],24)=0,"",SUMIFS(T_TTAFStock_Log[TTAF_Qty],T_TTAFStock_Log[Part Name],$A27,T_TTAFStock_Log[WeekIndex],24))</f>
        <v/>
      </c>
      <c r="Z27" s="19">
        <f>IF(COUNTIFS(T_TTAFStock_Log[Part Name],$A27,T_TTAFStock_Log[WeekIndex],25)=0,"",SUMIFS(T_TTAFStock_Log[TTAF_Qty],T_TTAFStock_Log[Part Name],$A27,T_TTAFStock_Log[WeekIndex],25))</f>
        <v/>
      </c>
      <c r="AA27" s="19">
        <f>IF(COUNTIFS(T_TTAFStock_Log[Part Name],$A27,T_TTAFStock_Log[WeekIndex],26)=0,"",SUMIFS(T_TTAFStock_Log[TTAF_Qty],T_TTAFStock_Log[Part Name],$A27,T_TTAFStock_Log[WeekIndex],26))</f>
        <v/>
      </c>
      <c r="AB27" s="19">
        <f>IF(COUNTIFS(T_TTAFStock_Log[Part Name],$A27,T_TTAFStock_Log[WeekIndex],27)=0,"",SUMIFS(T_TTAFStock_Log[TTAF_Qty],T_TTAFStock_Log[Part Name],$A27,T_TTAFStock_Log[WeekIndex],27))</f>
        <v/>
      </c>
      <c r="AC27" s="19">
        <f>IF(COUNTIFS(T_TTAFStock_Log[Part Name],$A27,T_TTAFStock_Log[WeekIndex],28)=0,"",SUMIFS(T_TTAFStock_Log[TTAF_Qty],T_TTAFStock_Log[Part Name],$A27,T_TTAFStock_Log[WeekIndex],28))</f>
        <v/>
      </c>
      <c r="AD27" s="19">
        <f>IF(COUNTIFS(T_TTAFStock_Log[Part Name],$A27,T_TTAFStock_Log[WeekIndex],29)=0,"",SUMIFS(T_TTAFStock_Log[TTAF_Qty],T_TTAFStock_Log[Part Name],$A27,T_TTAFStock_Log[WeekIndex],29))</f>
        <v/>
      </c>
      <c r="AE27" s="19">
        <f>IF(COUNTIFS(T_TTAFStock_Log[Part Name],$A27,T_TTAFStock_Log[WeekIndex],30)=0,"",SUMIFS(T_TTAFStock_Log[TTAF_Qty],T_TTAFStock_Log[Part Name],$A27,T_TTAFStock_Log[WeekIndex],30))</f>
        <v/>
      </c>
      <c r="AF27" s="19">
        <f>IF(COUNTIFS(T_TTAFStock_Log[Part Name],$A27,T_TTAFStock_Log[WeekIndex],31)=0,"",SUMIFS(T_TTAFStock_Log[TTAF_Qty],T_TTAFStock_Log[Part Name],$A27,T_TTAFStock_Log[WeekIndex],31))</f>
        <v/>
      </c>
      <c r="AG27" s="19">
        <f>IF(COUNTIFS(T_TTAFStock_Log[Part Name],$A27,T_TTAFStock_Log[WeekIndex],32)=0,"",SUMIFS(T_TTAFStock_Log[TTAF_Qty],T_TTAFStock_Log[Part Name],$A27,T_TTAFStock_Log[WeekIndex],32))</f>
        <v/>
      </c>
      <c r="AH27" s="19">
        <f>IF(COUNTIFS(T_TTAFStock_Log[Part Name],$A27,T_TTAFStock_Log[WeekIndex],33)=0,"",SUMIFS(T_TTAFStock_Log[TTAF_Qty],T_TTAFStock_Log[Part Name],$A27,T_TTAFStock_Log[WeekIndex],33))</f>
        <v/>
      </c>
      <c r="AI27" s="19">
        <f>IF(COUNTIFS(T_TTAFStock_Log[Part Name],$A27,T_TTAFStock_Log[WeekIndex],34)=0,"",SUMIFS(T_TTAFStock_Log[TTAF_Qty],T_TTAFStock_Log[Part Name],$A27,T_TTAFStock_Log[WeekIndex],34))</f>
        <v/>
      </c>
      <c r="AJ27" s="19">
        <f>IF(COUNTIFS(T_TTAFStock_Log[Part Name],$A27,T_TTAFStock_Log[WeekIndex],35)=0,"",SUMIFS(T_TTAFStock_Log[TTAF_Qty],T_TTAFStock_Log[Part Name],$A27,T_TTAFStock_Log[WeekIndex],35))</f>
        <v/>
      </c>
      <c r="AK27" s="19">
        <f>IF(COUNTIFS(T_TTAFStock_Log[Part Name],$A27,T_TTAFStock_Log[WeekIndex],36)=0,"",SUMIFS(T_TTAFStock_Log[TTAF_Qty],T_TTAFStock_Log[Part Name],$A27,T_TTAFStock_Log[WeekIndex],36))</f>
        <v/>
      </c>
      <c r="AL27" s="19">
        <f>IF(COUNTIFS(T_TTAFStock_Log[Part Name],$A27,T_TTAFStock_Log[WeekIndex],37)=0,"",SUMIFS(T_TTAFStock_Log[TTAF_Qty],T_TTAFStock_Log[Part Name],$A27,T_TTAFStock_Log[WeekIndex],37))</f>
        <v/>
      </c>
      <c r="AM27" s="19">
        <f>IF(COUNTIFS(T_TTAFStock_Log[Part Name],$A27,T_TTAFStock_Log[WeekIndex],38)=0,"",SUMIFS(T_TTAFStock_Log[TTAF_Qty],T_TTAFStock_Log[Part Name],$A27,T_TTAFStock_Log[WeekIndex],38))</f>
        <v/>
      </c>
      <c r="AN27" s="19">
        <f>IF(COUNTIFS(T_TTAFStock_Log[Part Name],$A27,T_TTAFStock_Log[WeekIndex],39)=0,"",SUMIFS(T_TTAFStock_Log[TTAF_Qty],T_TTAFStock_Log[Part Name],$A27,T_TTAFStock_Log[WeekIndex],39))</f>
        <v/>
      </c>
      <c r="AO27" s="19">
        <f>IF(COUNTIFS(T_TTAFStock_Log[Part Name],$A27,T_TTAFStock_Log[WeekIndex],40)=0,"",SUMIFS(T_TTAFStock_Log[TTAF_Qty],T_TTAFStock_Log[Part Name],$A27,T_TTAFStock_Log[WeekIndex],40))</f>
        <v/>
      </c>
      <c r="AP27" s="19">
        <f>IF(COUNTIFS(T_TTAFStock_Log[Part Name],$A27,T_TTAFStock_Log[WeekIndex],41)=0,"",SUMIFS(T_TTAFStock_Log[TTAF_Qty],T_TTAFStock_Log[Part Name],$A27,T_TTAFStock_Log[WeekIndex],41))</f>
        <v/>
      </c>
      <c r="AQ27" s="19">
        <f>IF(COUNTIFS(T_TTAFStock_Log[Part Name],$A27,T_TTAFStock_Log[WeekIndex],42)=0,"",SUMIFS(T_TTAFStock_Log[TTAF_Qty],T_TTAFStock_Log[Part Name],$A27,T_TTAFStock_Log[WeekIndex],42))</f>
        <v/>
      </c>
      <c r="AR27" s="19">
        <f>IF(COUNTIFS(T_TTAFStock_Log[Part Name],$A27,T_TTAFStock_Log[WeekIndex],43)=0,"",SUMIFS(T_TTAFStock_Log[TTAF_Qty],T_TTAFStock_Log[Part Name],$A27,T_TTAFStock_Log[WeekIndex],43))</f>
        <v/>
      </c>
      <c r="AS27" s="19">
        <f>IF(COUNTIFS(T_TTAFStock_Log[Part Name],$A27,T_TTAFStock_Log[WeekIndex],44)=0,"",SUMIFS(T_TTAFStock_Log[TTAF_Qty],T_TTAFStock_Log[Part Name],$A27,T_TTAFStock_Log[WeekIndex],44))</f>
        <v/>
      </c>
      <c r="AT27" s="19">
        <f>IF(COUNTIFS(T_TTAFStock_Log[Part Name],$A27,T_TTAFStock_Log[WeekIndex],45)=0,"",SUMIFS(T_TTAFStock_Log[TTAF_Qty],T_TTAFStock_Log[Part Name],$A27,T_TTAFStock_Log[WeekIndex],45))</f>
        <v/>
      </c>
      <c r="AU27" s="19">
        <f>IF(COUNTIFS(T_TTAFStock_Log[Part Name],$A27,T_TTAFStock_Log[WeekIndex],46)=0,"",SUMIFS(T_TTAFStock_Log[TTAF_Qty],T_TTAFStock_Log[Part Name],$A27,T_TTAFStock_Log[WeekIndex],46))</f>
        <v/>
      </c>
      <c r="AV27" s="19">
        <f>IF(COUNTIFS(T_TTAFStock_Log[Part Name],$A27,T_TTAFStock_Log[WeekIndex],47)=0,"",SUMIFS(T_TTAFStock_Log[TTAF_Qty],T_TTAFStock_Log[Part Name],$A27,T_TTAFStock_Log[WeekIndex],47))</f>
        <v/>
      </c>
      <c r="AW27" s="19">
        <f>IF(COUNTIFS(T_TTAFStock_Log[Part Name],$A27,T_TTAFStock_Log[WeekIndex],48)=0,"",SUMIFS(T_TTAFStock_Log[TTAF_Qty],T_TTAFStock_Log[Part Name],$A27,T_TTAFStock_Log[WeekIndex],48))</f>
        <v/>
      </c>
      <c r="AX27" s="19">
        <f>IF(COUNTIFS(T_TTAFStock_Log[Part Name],$A27,T_TTAFStock_Log[WeekIndex],49)=0,"",SUMIFS(T_TTAFStock_Log[TTAF_Qty],T_TTAFStock_Log[Part Name],$A27,T_TTAFStock_Log[WeekIndex],49))</f>
        <v/>
      </c>
      <c r="AY27" s="19">
        <f>IF(COUNTIFS(T_TTAFStock_Log[Part Name],$A27,T_TTAFStock_Log[WeekIndex],50)=0,"",SUMIFS(T_TTAFStock_Log[TTAF_Qty],T_TTAFStock_Log[Part Name],$A27,T_TTAFStock_Log[WeekIndex],50))</f>
        <v/>
      </c>
      <c r="AZ27" s="19">
        <f>IF(COUNTIFS(T_TTAFStock_Log[Part Name],$A27,T_TTAFStock_Log[WeekIndex],51)=0,"",SUMIFS(T_TTAFStock_Log[TTAF_Qty],T_TTAFStock_Log[Part Name],$A27,T_TTAFStock_Log[WeekIndex],51))</f>
        <v/>
      </c>
      <c r="BA27" s="19">
        <f>IF(COUNTIFS(T_TTAFStock_Log[Part Name],$A27,T_TTAFStock_Log[WeekIndex],52)=0,"",SUMIFS(T_TTAFStock_Log[TTAF_Qty],T_TTAFStock_Log[Part Name],$A27,T_TTAFStock_Log[WeekIndex],52))</f>
        <v/>
      </c>
      <c r="BB27" s="19">
        <f>IF(COUNTIFS(T_TTAFStock_Log[Part Name],$A27,T_TTAFStock_Log[WeekIndex],53)=0,"",SUMIFS(T_TTAFStock_Log[TTAF_Qty],T_TTAFStock_Log[Part Name],$A27,T_TTAFStock_Log[WeekIndex],53))</f>
        <v/>
      </c>
      <c r="BC27" s="19">
        <f>IF(COUNTIFS(T_TTAFStock_Log[Part Name],$A27,T_TTAFStock_Log[WeekIndex],54)=0,"",SUMIFS(T_TTAFStock_Log[TTAF_Qty],T_TTAFStock_Log[Part Name],$A27,T_TTAFStock_Log[WeekIndex],54))</f>
        <v/>
      </c>
      <c r="BD27" s="19">
        <f>IF(COUNTIFS(T_TTAFStock_Log[Part Name],$A27,T_TTAFStock_Log[WeekIndex],55)=0,"",SUMIFS(T_TTAFStock_Log[TTAF_Qty],T_TTAFStock_Log[Part Name],$A27,T_TTAFStock_Log[WeekIndex],55))</f>
        <v/>
      </c>
      <c r="BE27" s="19">
        <f>IF(COUNTIFS(T_TTAFStock_Log[Part Name],$A27,T_TTAFStock_Log[WeekIndex],56)=0,"",SUMIFS(T_TTAFStock_Log[TTAF_Qty],T_TTAFStock_Log[Part Name],$A27,T_TTAFStock_Log[WeekIndex],56))</f>
        <v/>
      </c>
      <c r="BF27" s="19">
        <f>IF(COUNTIFS(T_TTAFStock_Log[Part Name],$A27,T_TTAFStock_Log[WeekIndex],57)=0,"",SUMIFS(T_TTAFStock_Log[TTAF_Qty],T_TTAFStock_Log[Part Name],$A27,T_TTAFStock_Log[WeekIndex],57))</f>
        <v/>
      </c>
      <c r="BG27" s="19">
        <f>IF(COUNTIFS(T_TTAFStock_Log[Part Name],$A27,T_TTAFStock_Log[WeekIndex],58)=0,"",SUMIFS(T_TTAFStock_Log[TTAF_Qty],T_TTAFStock_Log[Part Name],$A27,T_TTAFStock_Log[WeekIndex],58))</f>
        <v/>
      </c>
      <c r="BH27" s="19">
        <f>IF(COUNTIFS(T_TTAFStock_Log[Part Name],$A27,T_TTAFStock_Log[WeekIndex],59)=0,"",SUMIFS(T_TTAFStock_Log[TTAF_Qty],T_TTAFStock_Log[Part Name],$A27,T_TTAFStock_Log[WeekIndex],59))</f>
        <v/>
      </c>
      <c r="BI27" s="19">
        <f>IF(COUNTIFS(T_TTAFStock_Log[Part Name],$A27,T_TTAFStock_Log[WeekIndex],60)=0,"",SUMIFS(T_TTAFStock_Log[TTAF_Qty],T_TTAFStock_Log[Part Name],$A27,T_TTAFStock_Log[WeekIndex],60))</f>
        <v/>
      </c>
      <c r="BJ27" s="19">
        <f>IF(COUNTIFS(T_TTAFStock_Log[Part Name],$A27,T_TTAFStock_Log[WeekIndex],61)=0,"",SUMIFS(T_TTAFStock_Log[TTAF_Qty],T_TTAFStock_Log[Part Name],$A27,T_TTAFStock_Log[WeekIndex],61))</f>
        <v/>
      </c>
      <c r="BK27" s="19">
        <f>IF(COUNTIFS(T_TTAFStock_Log[Part Name],$A27,T_TTAFStock_Log[WeekIndex],62)=0,"",SUMIFS(T_TTAFStock_Log[TTAF_Qty],T_TTAFStock_Log[Part Name],$A27,T_TTAFStock_Log[WeekIndex],62))</f>
        <v/>
      </c>
      <c r="BL27" s="19">
        <f>IF(COUNTIFS(T_TTAFStock_Log[Part Name],$A27,T_TTAFStock_Log[WeekIndex],63)=0,"",SUMIFS(T_TTAFStock_Log[TTAF_Qty],T_TTAFStock_Log[Part Name],$A27,T_TTAFStock_Log[WeekIndex],63))</f>
        <v/>
      </c>
      <c r="BM27" s="19">
        <f>IF(COUNTIFS(T_TTAFStock_Log[Part Name],$A27,T_TTAFStock_Log[WeekIndex],64)=0,"",SUMIFS(T_TTAFStock_Log[TTAF_Qty],T_TTAFStock_Log[Part Name],$A27,T_TTAFStock_Log[WeekIndex],64))</f>
        <v/>
      </c>
      <c r="BN27" s="19">
        <f>IF(COUNTIFS(T_TTAFStock_Log[Part Name],$A27,T_TTAFStock_Log[WeekIndex],65)=0,"",SUMIFS(T_TTAFStock_Log[TTAF_Qty],T_TTAFStock_Log[Part Name],$A27,T_TTAFStock_Log[WeekIndex],65))</f>
        <v/>
      </c>
      <c r="BO27" s="19">
        <f>IF(COUNTIFS(T_TTAFStock_Log[Part Name],$A27,T_TTAFStock_Log[WeekIndex],66)=0,"",SUMIFS(T_TTAFStock_Log[TTAF_Qty],T_TTAFStock_Log[Part Name],$A27,T_TTAFStock_Log[WeekIndex],66))</f>
        <v/>
      </c>
      <c r="BP27" s="19">
        <f>IF(COUNTIFS(T_TTAFStock_Log[Part Name],$A27,T_TTAFStock_Log[WeekIndex],67)=0,"",SUMIFS(T_TTAFStock_Log[TTAF_Qty],T_TTAFStock_Log[Part Name],$A27,T_TTAFStock_Log[WeekIndex],67))</f>
        <v/>
      </c>
      <c r="BQ27" s="19">
        <f>IF(COUNTIFS(T_TTAFStock_Log[Part Name],$A27,T_TTAFStock_Log[WeekIndex],68)=0,"",SUMIFS(T_TTAFStock_Log[TTAF_Qty],T_TTAFStock_Log[Part Name],$A27,T_TTAFStock_Log[WeekIndex],68))</f>
        <v/>
      </c>
      <c r="BR27" s="19">
        <f>IF(COUNTIFS(T_TTAFStock_Log[Part Name],$A27,T_TTAFStock_Log[WeekIndex],69)=0,"",SUMIFS(T_TTAFStock_Log[TTAF_Qty],T_TTAFStock_Log[Part Name],$A27,T_TTAFStock_Log[WeekIndex],69))</f>
        <v/>
      </c>
      <c r="BS27" s="19">
        <f>IF(COUNTIFS(T_TTAFStock_Log[Part Name],$A27,T_TTAFStock_Log[WeekIndex],70)=0,"",SUMIFS(T_TTAFStock_Log[TTAF_Qty],T_TTAFStock_Log[Part Name],$A27,T_TTAFStock_Log[WeekIndex],70))</f>
        <v/>
      </c>
      <c r="BT27" s="19">
        <f>IF(COUNTIFS(T_TTAFStock_Log[Part Name],$A27,T_TTAFStock_Log[WeekIndex],71)=0,"",SUMIFS(T_TTAFStock_Log[TTAF_Qty],T_TTAFStock_Log[Part Name],$A27,T_TTAFStock_Log[WeekIndex],71))</f>
        <v/>
      </c>
      <c r="BU27" s="19">
        <f>IF(COUNTIFS(T_TTAFStock_Log[Part Name],$A27,T_TTAFStock_Log[WeekIndex],72)=0,"",SUMIFS(T_TTAFStock_Log[TTAF_Qty],T_TTAFStock_Log[Part Name],$A27,T_TTAFStock_Log[WeekIndex],72))</f>
        <v/>
      </c>
      <c r="BV27" s="19">
        <f>IF(COUNTIFS(T_TTAFStock_Log[Part Name],$A27,T_TTAFStock_Log[WeekIndex],73)=0,"",SUMIFS(T_TTAFStock_Log[TTAF_Qty],T_TTAFStock_Log[Part Name],$A27,T_TTAFStock_Log[WeekIndex],73))</f>
        <v/>
      </c>
      <c r="BW27" s="19">
        <f>IF(COUNTIFS(T_TTAFStock_Log[Part Name],$A27,T_TTAFStock_Log[WeekIndex],74)=0,"",SUMIFS(T_TTAFStock_Log[TTAF_Qty],T_TTAFStock_Log[Part Name],$A27,T_TTAFStock_Log[WeekIndex],74))</f>
        <v/>
      </c>
      <c r="BX27" s="19">
        <f>IF(COUNTIFS(T_TTAFStock_Log[Part Name],$A27,T_TTAFStock_Log[WeekIndex],75)=0,"",SUMIFS(T_TTAFStock_Log[TTAF_Qty],T_TTAFStock_Log[Part Name],$A27,T_TTAFStock_Log[WeekIndex],75))</f>
        <v/>
      </c>
      <c r="BY27" s="19">
        <f>IF(COUNTIFS(T_TTAFStock_Log[Part Name],$A27,T_TTAFStock_Log[WeekIndex],76)=0,"",SUMIFS(T_TTAFStock_Log[TTAF_Qty],T_TTAFStock_Log[Part Name],$A27,T_TTAFStock_Log[WeekIndex],76))</f>
        <v/>
      </c>
      <c r="BZ27" s="19">
        <f>IF(COUNTIFS(T_TTAFStock_Log[Part Name],$A27,T_TTAFStock_Log[WeekIndex],77)=0,"",SUMIFS(T_TTAFStock_Log[TTAF_Qty],T_TTAFStock_Log[Part Name],$A27,T_TTAFStock_Log[WeekIndex],77))</f>
        <v/>
      </c>
      <c r="CA27" s="19">
        <f>IF(COUNTIFS(T_TTAFStock_Log[Part Name],$A27,T_TTAFStock_Log[WeekIndex],78)=0,"",SUMIFS(T_TTAFStock_Log[TTAF_Qty],T_TTAFStock_Log[Part Name],$A27,T_TTAFStock_Log[WeekIndex],78))</f>
        <v/>
      </c>
      <c r="CB27" s="19">
        <f>IF(COUNTIFS(T_TTAFStock_Log[Part Name],$A27,T_TTAFStock_Log[WeekIndex],79)=0,"",SUMIFS(T_TTAFStock_Log[TTAF_Qty],T_TTAFStock_Log[Part Name],$A27,T_TTAFStock_Log[WeekIndex],79))</f>
        <v/>
      </c>
      <c r="CC27" s="19">
        <f>IF(COUNTIFS(T_TTAFStock_Log[Part Name],$A27,T_TTAFStock_Log[WeekIndex],80)=0,"",SUMIFS(T_TTAFStock_Log[TTAF_Qty],T_TTAFStock_Log[Part Name],$A27,T_TTAFStock_Log[WeekIndex],80))</f>
        <v/>
      </c>
      <c r="CD27" s="19">
        <f>IF(COUNTIFS(T_TTAFStock_Log[Part Name],$A27,T_TTAFStock_Log[WeekIndex],81)=0,"",SUMIFS(T_TTAFStock_Log[TTAF_Qty],T_TTAFStock_Log[Part Name],$A27,T_TTAFStock_Log[WeekIndex],81))</f>
        <v/>
      </c>
      <c r="CE27" s="19">
        <f>IF(COUNTIFS(T_TTAFStock_Log[Part Name],$A27,T_TTAFStock_Log[WeekIndex],82)=0,"",SUMIFS(T_TTAFStock_Log[TTAF_Qty],T_TTAFStock_Log[Part Name],$A27,T_TTAFStock_Log[WeekIndex],82))</f>
        <v/>
      </c>
      <c r="CF27" s="19">
        <f>IF(COUNTIFS(T_TTAFStock_Log[Part Name],$A27,T_TTAFStock_Log[WeekIndex],83)=0,"",SUMIFS(T_TTAFStock_Log[TTAF_Qty],T_TTAFStock_Log[Part Name],$A27,T_TTAFStock_Log[WeekIndex],83))</f>
        <v/>
      </c>
      <c r="CG27" s="19">
        <f>IF(COUNTIFS(T_TTAFStock_Log[Part Name],$A27,T_TTAFStock_Log[WeekIndex],84)=0,"",SUMIFS(T_TTAFStock_Log[TTAF_Qty],T_TTAFStock_Log[Part Name],$A27,T_TTAFStock_Log[WeekIndex],84))</f>
        <v/>
      </c>
      <c r="CH27" s="19">
        <f>IF(COUNTIFS(T_TTAFStock_Log[Part Name],$A27,T_TTAFStock_Log[WeekIndex],85)=0,"",SUMIFS(T_TTAFStock_Log[TTAF_Qty],T_TTAFStock_Log[Part Name],$A27,T_TTAFStock_Log[WeekIndex],85))</f>
        <v/>
      </c>
      <c r="CI27" s="19">
        <f>IF(COUNTIFS(T_TTAFStock_Log[Part Name],$A27,T_TTAFStock_Log[WeekIndex],86)=0,"",SUMIFS(T_TTAFStock_Log[TTAF_Qty],T_TTAFStock_Log[Part Name],$A27,T_TTAFStock_Log[WeekIndex],86))</f>
        <v/>
      </c>
      <c r="CJ27" s="19">
        <f>IF(COUNTIFS(T_TTAFStock_Log[Part Name],$A27,T_TTAFStock_Log[WeekIndex],87)=0,"",SUMIFS(T_TTAFStock_Log[TTAF_Qty],T_TTAFStock_Log[Part Name],$A27,T_TTAFStock_Log[WeekIndex],87))</f>
        <v/>
      </c>
      <c r="CK27" s="19">
        <f>IF(COUNTIFS(T_TTAFStock_Log[Part Name],$A27,T_TTAFStock_Log[WeekIndex],88)=0,"",SUMIFS(T_TTAFStock_Log[TTAF_Qty],T_TTAFStock_Log[Part Name],$A27,T_TTAFStock_Log[WeekIndex],88))</f>
        <v/>
      </c>
      <c r="CL27" s="19">
        <f>IF(COUNTIFS(T_TTAFStock_Log[Part Name],$A27,T_TTAFStock_Log[WeekIndex],89)=0,"",SUMIFS(T_TTAFStock_Log[TTAF_Qty],T_TTAFStock_Log[Part Name],$A27,T_TTAFStock_Log[WeekIndex],89))</f>
        <v/>
      </c>
      <c r="CM27" s="19">
        <f>IF(COUNTIFS(T_TTAFStock_Log[Part Name],$A27,T_TTAFStock_Log[WeekIndex],90)=0,"",SUMIFS(T_TTAFStock_Log[TTAF_Qty],T_TTAFStock_Log[Part Name],$A27,T_TTAFStock_Log[WeekIndex],90))</f>
        <v/>
      </c>
      <c r="CN27" s="19">
        <f>IF(COUNTIFS(T_TTAFStock_Log[Part Name],$A27,T_TTAFStock_Log[WeekIndex],91)=0,"",SUMIFS(T_TTAFStock_Log[TTAF_Qty],T_TTAFStock_Log[Part Name],$A27,T_TTAFStock_Log[WeekIndex],91))</f>
        <v/>
      </c>
      <c r="CO27" s="19">
        <f>IF(COUNTIFS(T_TTAFStock_Log[Part Name],$A27,T_TTAFStock_Log[WeekIndex],92)=0,"",SUMIFS(T_TTAFStock_Log[TTAF_Qty],T_TTAFStock_Log[Part Name],$A27,T_TTAFStock_Log[WeekIndex],92))</f>
        <v/>
      </c>
      <c r="CP27" s="19">
        <f>IF(COUNTIFS(T_TTAFStock_Log[Part Name],$A27,T_TTAFStock_Log[WeekIndex],93)=0,"",SUMIFS(T_TTAFStock_Log[TTAF_Qty],T_TTAFStock_Log[Part Name],$A27,T_TTAFStock_Log[WeekIndex],93))</f>
        <v/>
      </c>
      <c r="CQ27" s="19">
        <f>IF(COUNTIFS(T_TTAFStock_Log[Part Name],$A27,T_TTAFStock_Log[WeekIndex],94)=0,"",SUMIFS(T_TTAFStock_Log[TTAF_Qty],T_TTAFStock_Log[Part Name],$A27,T_TTAFStock_Log[WeekIndex],94))</f>
        <v/>
      </c>
      <c r="CR27" s="19">
        <f>IF(COUNTIFS(T_TTAFStock_Log[Part Name],$A27,T_TTAFStock_Log[WeekIndex],95)=0,"",SUMIFS(T_TTAFStock_Log[TTAF_Qty],T_TTAFStock_Log[Part Name],$A27,T_TTAFStock_Log[WeekIndex],95))</f>
        <v/>
      </c>
      <c r="CS27" s="19">
        <f>IF(COUNTIFS(T_TTAFStock_Log[Part Name],$A27,T_TTAFStock_Log[WeekIndex],96)=0,"",SUMIFS(T_TTAFStock_Log[TTAF_Qty],T_TTAFStock_Log[Part Name],$A27,T_TTAFStock_Log[WeekIndex],96))</f>
        <v/>
      </c>
      <c r="CT27" s="19">
        <f>IF(COUNTIFS(T_TTAFStock_Log[Part Name],$A27,T_TTAFStock_Log[WeekIndex],97)=0,"",SUMIFS(T_TTAFStock_Log[TTAF_Qty],T_TTAFStock_Log[Part Name],$A27,T_TTAFStock_Log[WeekIndex],97))</f>
        <v/>
      </c>
      <c r="CU27" s="19">
        <f>IF(COUNTIFS(T_TTAFStock_Log[Part Name],$A27,T_TTAFStock_Log[WeekIndex],98)=0,"",SUMIFS(T_TTAFStock_Log[TTAF_Qty],T_TTAFStock_Log[Part Name],$A27,T_TTAFStock_Log[WeekIndex],98))</f>
        <v/>
      </c>
      <c r="CV27" s="19">
        <f>IF(COUNTIFS(T_TTAFStock_Log[Part Name],$A27,T_TTAFStock_Log[WeekIndex],99)=0,"",SUMIFS(T_TTAFStock_Log[TTAF_Qty],T_TTAFStock_Log[Part Name],$A27,T_TTAFStock_Log[WeekIndex],99))</f>
        <v/>
      </c>
      <c r="CW27" s="19">
        <f>IF(COUNTIFS(T_TTAFStock_Log[Part Name],$A27,T_TTAFStock_Log[WeekIndex],100)=0,"",SUMIFS(T_TTAFStock_Log[TTAF_Qty],T_TTAFStock_Log[Part Name],$A27,T_TTAFStock_Log[WeekIndex],100))</f>
        <v/>
      </c>
      <c r="CX27" s="19">
        <f>IF(COUNTIFS(T_TTAFStock_Log[Part Name],$A27,T_TTAFStock_Log[WeekIndex],101)=0,"",SUMIFS(T_TTAFStock_Log[TTAF_Qty],T_TTAFStock_Log[Part Name],$A27,T_TTAFStock_Log[WeekIndex],101))</f>
        <v/>
      </c>
      <c r="CY27" s="19">
        <f>IF(COUNTIFS(T_TTAFStock_Log[Part Name],$A27,T_TTAFStock_Log[WeekIndex],102)=0,"",SUMIFS(T_TTAFStock_Log[TTAF_Qty],T_TTAFStock_Log[Part Name],$A27,T_TTAFStock_Log[WeekIndex],102))</f>
        <v/>
      </c>
      <c r="CZ27" s="19">
        <f>IF(COUNTIFS(T_TTAFStock_Log[Part Name],$A27,T_TTAFStock_Log[WeekIndex],103)=0,"",SUMIFS(T_TTAFStock_Log[TTAF_Qty],T_TTAFStock_Log[Part Name],$A27,T_TTAFStock_Log[WeekIndex],103))</f>
        <v/>
      </c>
      <c r="DA27" s="19">
        <f>IF(COUNTIFS(T_TTAFStock_Log[Part Name],$A27,T_TTAFStock_Log[WeekIndex],104)=0,"",SUMIFS(T_TTAFStock_Log[TTAF_Qty],T_TTAFStock_Log[Part Name],$A27,T_TTAFStock_Log[WeekIndex],104))</f>
        <v/>
      </c>
    </row>
    <row r="28">
      <c r="A28" s="17" t="inlineStr">
        <is>
          <t>CHEM-1240</t>
        </is>
      </c>
      <c r="B28" s="17">
        <f>IF(COUNTIFS(T_TTAFStock_Log[Part Name],$A28,T_TTAFStock_Log[WeekIndex],1)=0,"",SUMIFS(T_TTAFStock_Log[TTAF_Qty],T_TTAFStock_Log[Part Name],$A28,T_TTAFStock_Log[WeekIndex],1))</f>
        <v/>
      </c>
      <c r="C28" s="17">
        <f>IF(COUNTIFS(T_TTAFStock_Log[Part Name],$A28,T_TTAFStock_Log[WeekIndex],2)=0,"",SUMIFS(T_TTAFStock_Log[TTAF_Qty],T_TTAFStock_Log[Part Name],$A28,T_TTAFStock_Log[WeekIndex],2))</f>
        <v/>
      </c>
      <c r="D28" s="17">
        <f>IF(COUNTIFS(T_TTAFStock_Log[Part Name],$A28,T_TTAFStock_Log[WeekIndex],3)=0,"",SUMIFS(T_TTAFStock_Log[TTAF_Qty],T_TTAFStock_Log[Part Name],$A28,T_TTAFStock_Log[WeekIndex],3))</f>
        <v/>
      </c>
      <c r="E28" s="17">
        <f>IF(COUNTIFS(T_TTAFStock_Log[Part Name],$A28,T_TTAFStock_Log[WeekIndex],4)=0,"",SUMIFS(T_TTAFStock_Log[TTAF_Qty],T_TTAFStock_Log[Part Name],$A28,T_TTAFStock_Log[WeekIndex],4))</f>
        <v/>
      </c>
      <c r="F28" s="17">
        <f>IF(COUNTIFS(T_TTAFStock_Log[Part Name],$A28,T_TTAFStock_Log[WeekIndex],5)=0,"",SUMIFS(T_TTAFStock_Log[TTAF_Qty],T_TTAFStock_Log[Part Name],$A28,T_TTAFStock_Log[WeekIndex],5))</f>
        <v/>
      </c>
      <c r="G28" s="17">
        <f>IF(COUNTIFS(T_TTAFStock_Log[Part Name],$A28,T_TTAFStock_Log[WeekIndex],6)=0,"",SUMIFS(T_TTAFStock_Log[TTAF_Qty],T_TTAFStock_Log[Part Name],$A28,T_TTAFStock_Log[WeekIndex],6))</f>
        <v/>
      </c>
      <c r="H28" s="17">
        <f>IF(COUNTIFS(T_TTAFStock_Log[Part Name],$A28,T_TTAFStock_Log[WeekIndex],7)=0,"",SUMIFS(T_TTAFStock_Log[TTAF_Qty],T_TTAFStock_Log[Part Name],$A28,T_TTAFStock_Log[WeekIndex],7))</f>
        <v/>
      </c>
      <c r="I28" s="17">
        <f>IF(COUNTIFS(T_TTAFStock_Log[Part Name],$A28,T_TTAFStock_Log[WeekIndex],8)=0,"",SUMIFS(T_TTAFStock_Log[TTAF_Qty],T_TTAFStock_Log[Part Name],$A28,T_TTAFStock_Log[WeekIndex],8))</f>
        <v/>
      </c>
      <c r="J28" s="17">
        <f>IF(COUNTIFS(T_TTAFStock_Log[Part Name],$A28,T_TTAFStock_Log[WeekIndex],9)=0,"",SUMIFS(T_TTAFStock_Log[TTAF_Qty],T_TTAFStock_Log[Part Name],$A28,T_TTAFStock_Log[WeekIndex],9))</f>
        <v/>
      </c>
      <c r="K28" s="17">
        <f>IF(COUNTIFS(T_TTAFStock_Log[Part Name],$A28,T_TTAFStock_Log[WeekIndex],10)=0,"",SUMIFS(T_TTAFStock_Log[TTAF_Qty],T_TTAFStock_Log[Part Name],$A28,T_TTAFStock_Log[WeekIndex],10))</f>
        <v/>
      </c>
      <c r="L28" s="17">
        <f>IF(COUNTIFS(T_TTAFStock_Log[Part Name],$A28,T_TTAFStock_Log[WeekIndex],11)=0,"",SUMIFS(T_TTAFStock_Log[TTAF_Qty],T_TTAFStock_Log[Part Name],$A28,T_TTAFStock_Log[WeekIndex],11))</f>
        <v/>
      </c>
      <c r="M28" s="17">
        <f>IF(COUNTIFS(T_TTAFStock_Log[Part Name],$A28,T_TTAFStock_Log[WeekIndex],12)=0,"",SUMIFS(T_TTAFStock_Log[TTAF_Qty],T_TTAFStock_Log[Part Name],$A28,T_TTAFStock_Log[WeekIndex],12))</f>
        <v/>
      </c>
      <c r="N28" s="17">
        <f>IF(COUNTIFS(T_TTAFStock_Log[Part Name],$A28,T_TTAFStock_Log[WeekIndex],13)=0,"",SUMIFS(T_TTAFStock_Log[TTAF_Qty],T_TTAFStock_Log[Part Name],$A28,T_TTAFStock_Log[WeekIndex],13))</f>
        <v/>
      </c>
      <c r="O28" s="17">
        <f>IF(COUNTIFS(T_TTAFStock_Log[Part Name],$A28,T_TTAFStock_Log[WeekIndex],14)=0,"",SUMIFS(T_TTAFStock_Log[TTAF_Qty],T_TTAFStock_Log[Part Name],$A28,T_TTAFStock_Log[WeekIndex],14))</f>
        <v/>
      </c>
      <c r="P28" s="17">
        <f>IF(COUNTIFS(T_TTAFStock_Log[Part Name],$A28,T_TTAFStock_Log[WeekIndex],15)=0,"",SUMIFS(T_TTAFStock_Log[TTAF_Qty],T_TTAFStock_Log[Part Name],$A28,T_TTAFStock_Log[WeekIndex],15))</f>
        <v/>
      </c>
      <c r="Q28" s="17">
        <f>IF(COUNTIFS(T_TTAFStock_Log[Part Name],$A28,T_TTAFStock_Log[WeekIndex],16)=0,"",SUMIFS(T_TTAFStock_Log[TTAF_Qty],T_TTAFStock_Log[Part Name],$A28,T_TTAFStock_Log[WeekIndex],16))</f>
        <v/>
      </c>
      <c r="R28" s="17">
        <f>IF(COUNTIFS(T_TTAFStock_Log[Part Name],$A28,T_TTAFStock_Log[WeekIndex],17)=0,"",SUMIFS(T_TTAFStock_Log[TTAF_Qty],T_TTAFStock_Log[Part Name],$A28,T_TTAFStock_Log[WeekIndex],17))</f>
        <v/>
      </c>
      <c r="S28" s="17">
        <f>IF(COUNTIFS(T_TTAFStock_Log[Part Name],$A28,T_TTAFStock_Log[WeekIndex],18)=0,"",SUMIFS(T_TTAFStock_Log[TTAF_Qty],T_TTAFStock_Log[Part Name],$A28,T_TTAFStock_Log[WeekIndex],18))</f>
        <v/>
      </c>
      <c r="T28" s="17">
        <f>IF(COUNTIFS(T_TTAFStock_Log[Part Name],$A28,T_TTAFStock_Log[WeekIndex],19)=0,"",SUMIFS(T_TTAFStock_Log[TTAF_Qty],T_TTAFStock_Log[Part Name],$A28,T_TTAFStock_Log[WeekIndex],19))</f>
        <v/>
      </c>
      <c r="U28" s="17">
        <f>IF(COUNTIFS(T_TTAFStock_Log[Part Name],$A28,T_TTAFStock_Log[WeekIndex],20)=0,"",SUMIFS(T_TTAFStock_Log[TTAF_Qty],T_TTAFStock_Log[Part Name],$A28,T_TTAFStock_Log[WeekIndex],20))</f>
        <v/>
      </c>
      <c r="V28" s="17">
        <f>IF(COUNTIFS(T_TTAFStock_Log[Part Name],$A28,T_TTAFStock_Log[WeekIndex],21)=0,"",SUMIFS(T_TTAFStock_Log[TTAF_Qty],T_TTAFStock_Log[Part Name],$A28,T_TTAFStock_Log[WeekIndex],21))</f>
        <v/>
      </c>
      <c r="W28" s="17">
        <f>IF(COUNTIFS(T_TTAFStock_Log[Part Name],$A28,T_TTAFStock_Log[WeekIndex],22)=0,"",SUMIFS(T_TTAFStock_Log[TTAF_Qty],T_TTAFStock_Log[Part Name],$A28,T_TTAFStock_Log[WeekIndex],22))</f>
        <v/>
      </c>
      <c r="X28" s="17">
        <f>IF(COUNTIFS(T_TTAFStock_Log[Part Name],$A28,T_TTAFStock_Log[WeekIndex],23)=0,"",SUMIFS(T_TTAFStock_Log[TTAF_Qty],T_TTAFStock_Log[Part Name],$A28,T_TTAFStock_Log[WeekIndex],23))</f>
        <v/>
      </c>
      <c r="Y28" s="17">
        <f>IF(COUNTIFS(T_TTAFStock_Log[Part Name],$A28,T_TTAFStock_Log[WeekIndex],24)=0,"",SUMIFS(T_TTAFStock_Log[TTAF_Qty],T_TTAFStock_Log[Part Name],$A28,T_TTAFStock_Log[WeekIndex],24))</f>
        <v/>
      </c>
      <c r="Z28" s="17">
        <f>IF(COUNTIFS(T_TTAFStock_Log[Part Name],$A28,T_TTAFStock_Log[WeekIndex],25)=0,"",SUMIFS(T_TTAFStock_Log[TTAF_Qty],T_TTAFStock_Log[Part Name],$A28,T_TTAFStock_Log[WeekIndex],25))</f>
        <v/>
      </c>
      <c r="AA28" s="17">
        <f>IF(COUNTIFS(T_TTAFStock_Log[Part Name],$A28,T_TTAFStock_Log[WeekIndex],26)=0,"",SUMIFS(T_TTAFStock_Log[TTAF_Qty],T_TTAFStock_Log[Part Name],$A28,T_TTAFStock_Log[WeekIndex],26))</f>
        <v/>
      </c>
      <c r="AB28" s="17">
        <f>IF(COUNTIFS(T_TTAFStock_Log[Part Name],$A28,T_TTAFStock_Log[WeekIndex],27)=0,"",SUMIFS(T_TTAFStock_Log[TTAF_Qty],T_TTAFStock_Log[Part Name],$A28,T_TTAFStock_Log[WeekIndex],27))</f>
        <v/>
      </c>
      <c r="AC28" s="17">
        <f>IF(COUNTIFS(T_TTAFStock_Log[Part Name],$A28,T_TTAFStock_Log[WeekIndex],28)=0,"",SUMIFS(T_TTAFStock_Log[TTAF_Qty],T_TTAFStock_Log[Part Name],$A28,T_TTAFStock_Log[WeekIndex],28))</f>
        <v/>
      </c>
      <c r="AD28" s="17">
        <f>IF(COUNTIFS(T_TTAFStock_Log[Part Name],$A28,T_TTAFStock_Log[WeekIndex],29)=0,"",SUMIFS(T_TTAFStock_Log[TTAF_Qty],T_TTAFStock_Log[Part Name],$A28,T_TTAFStock_Log[WeekIndex],29))</f>
        <v/>
      </c>
      <c r="AE28" s="17">
        <f>IF(COUNTIFS(T_TTAFStock_Log[Part Name],$A28,T_TTAFStock_Log[WeekIndex],30)=0,"",SUMIFS(T_TTAFStock_Log[TTAF_Qty],T_TTAFStock_Log[Part Name],$A28,T_TTAFStock_Log[WeekIndex],30))</f>
        <v/>
      </c>
      <c r="AF28" s="17">
        <f>IF(COUNTIFS(T_TTAFStock_Log[Part Name],$A28,T_TTAFStock_Log[WeekIndex],31)=0,"",SUMIFS(T_TTAFStock_Log[TTAF_Qty],T_TTAFStock_Log[Part Name],$A28,T_TTAFStock_Log[WeekIndex],31))</f>
        <v/>
      </c>
      <c r="AG28" s="17">
        <f>IF(COUNTIFS(T_TTAFStock_Log[Part Name],$A28,T_TTAFStock_Log[WeekIndex],32)=0,"",SUMIFS(T_TTAFStock_Log[TTAF_Qty],T_TTAFStock_Log[Part Name],$A28,T_TTAFStock_Log[WeekIndex],32))</f>
        <v/>
      </c>
      <c r="AH28" s="17">
        <f>IF(COUNTIFS(T_TTAFStock_Log[Part Name],$A28,T_TTAFStock_Log[WeekIndex],33)=0,"",SUMIFS(T_TTAFStock_Log[TTAF_Qty],T_TTAFStock_Log[Part Name],$A28,T_TTAFStock_Log[WeekIndex],33))</f>
        <v/>
      </c>
      <c r="AI28" s="17">
        <f>IF(COUNTIFS(T_TTAFStock_Log[Part Name],$A28,T_TTAFStock_Log[WeekIndex],34)=0,"",SUMIFS(T_TTAFStock_Log[TTAF_Qty],T_TTAFStock_Log[Part Name],$A28,T_TTAFStock_Log[WeekIndex],34))</f>
        <v/>
      </c>
      <c r="AJ28" s="17">
        <f>IF(COUNTIFS(T_TTAFStock_Log[Part Name],$A28,T_TTAFStock_Log[WeekIndex],35)=0,"",SUMIFS(T_TTAFStock_Log[TTAF_Qty],T_TTAFStock_Log[Part Name],$A28,T_TTAFStock_Log[WeekIndex],35))</f>
        <v/>
      </c>
      <c r="AK28" s="17">
        <f>IF(COUNTIFS(T_TTAFStock_Log[Part Name],$A28,T_TTAFStock_Log[WeekIndex],36)=0,"",SUMIFS(T_TTAFStock_Log[TTAF_Qty],T_TTAFStock_Log[Part Name],$A28,T_TTAFStock_Log[WeekIndex],36))</f>
        <v/>
      </c>
      <c r="AL28" s="17">
        <f>IF(COUNTIFS(T_TTAFStock_Log[Part Name],$A28,T_TTAFStock_Log[WeekIndex],37)=0,"",SUMIFS(T_TTAFStock_Log[TTAF_Qty],T_TTAFStock_Log[Part Name],$A28,T_TTAFStock_Log[WeekIndex],37))</f>
        <v/>
      </c>
      <c r="AM28" s="17">
        <f>IF(COUNTIFS(T_TTAFStock_Log[Part Name],$A28,T_TTAFStock_Log[WeekIndex],38)=0,"",SUMIFS(T_TTAFStock_Log[TTAF_Qty],T_TTAFStock_Log[Part Name],$A28,T_TTAFStock_Log[WeekIndex],38))</f>
        <v/>
      </c>
      <c r="AN28" s="17">
        <f>IF(COUNTIFS(T_TTAFStock_Log[Part Name],$A28,T_TTAFStock_Log[WeekIndex],39)=0,"",SUMIFS(T_TTAFStock_Log[TTAF_Qty],T_TTAFStock_Log[Part Name],$A28,T_TTAFStock_Log[WeekIndex],39))</f>
        <v/>
      </c>
      <c r="AO28" s="17">
        <f>IF(COUNTIFS(T_TTAFStock_Log[Part Name],$A28,T_TTAFStock_Log[WeekIndex],40)=0,"",SUMIFS(T_TTAFStock_Log[TTAF_Qty],T_TTAFStock_Log[Part Name],$A28,T_TTAFStock_Log[WeekIndex],40))</f>
        <v/>
      </c>
      <c r="AP28" s="17">
        <f>IF(COUNTIFS(T_TTAFStock_Log[Part Name],$A28,T_TTAFStock_Log[WeekIndex],41)=0,"",SUMIFS(T_TTAFStock_Log[TTAF_Qty],T_TTAFStock_Log[Part Name],$A28,T_TTAFStock_Log[WeekIndex],41))</f>
        <v/>
      </c>
      <c r="AQ28" s="17">
        <f>IF(COUNTIFS(T_TTAFStock_Log[Part Name],$A28,T_TTAFStock_Log[WeekIndex],42)=0,"",SUMIFS(T_TTAFStock_Log[TTAF_Qty],T_TTAFStock_Log[Part Name],$A28,T_TTAFStock_Log[WeekIndex],42))</f>
        <v/>
      </c>
      <c r="AR28" s="17">
        <f>IF(COUNTIFS(T_TTAFStock_Log[Part Name],$A28,T_TTAFStock_Log[WeekIndex],43)=0,"",SUMIFS(T_TTAFStock_Log[TTAF_Qty],T_TTAFStock_Log[Part Name],$A28,T_TTAFStock_Log[WeekIndex],43))</f>
        <v/>
      </c>
      <c r="AS28" s="17">
        <f>IF(COUNTIFS(T_TTAFStock_Log[Part Name],$A28,T_TTAFStock_Log[WeekIndex],44)=0,"",SUMIFS(T_TTAFStock_Log[TTAF_Qty],T_TTAFStock_Log[Part Name],$A28,T_TTAFStock_Log[WeekIndex],44))</f>
        <v/>
      </c>
      <c r="AT28" s="17">
        <f>IF(COUNTIFS(T_TTAFStock_Log[Part Name],$A28,T_TTAFStock_Log[WeekIndex],45)=0,"",SUMIFS(T_TTAFStock_Log[TTAF_Qty],T_TTAFStock_Log[Part Name],$A28,T_TTAFStock_Log[WeekIndex],45))</f>
        <v/>
      </c>
      <c r="AU28" s="17">
        <f>IF(COUNTIFS(T_TTAFStock_Log[Part Name],$A28,T_TTAFStock_Log[WeekIndex],46)=0,"",SUMIFS(T_TTAFStock_Log[TTAF_Qty],T_TTAFStock_Log[Part Name],$A28,T_TTAFStock_Log[WeekIndex],46))</f>
        <v/>
      </c>
      <c r="AV28" s="17">
        <f>IF(COUNTIFS(T_TTAFStock_Log[Part Name],$A28,T_TTAFStock_Log[WeekIndex],47)=0,"",SUMIFS(T_TTAFStock_Log[TTAF_Qty],T_TTAFStock_Log[Part Name],$A28,T_TTAFStock_Log[WeekIndex],47))</f>
        <v/>
      </c>
      <c r="AW28" s="17">
        <f>IF(COUNTIFS(T_TTAFStock_Log[Part Name],$A28,T_TTAFStock_Log[WeekIndex],48)=0,"",SUMIFS(T_TTAFStock_Log[TTAF_Qty],T_TTAFStock_Log[Part Name],$A28,T_TTAFStock_Log[WeekIndex],48))</f>
        <v/>
      </c>
      <c r="AX28" s="17">
        <f>IF(COUNTIFS(T_TTAFStock_Log[Part Name],$A28,T_TTAFStock_Log[WeekIndex],49)=0,"",SUMIFS(T_TTAFStock_Log[TTAF_Qty],T_TTAFStock_Log[Part Name],$A28,T_TTAFStock_Log[WeekIndex],49))</f>
        <v/>
      </c>
      <c r="AY28" s="17">
        <f>IF(COUNTIFS(T_TTAFStock_Log[Part Name],$A28,T_TTAFStock_Log[WeekIndex],50)=0,"",SUMIFS(T_TTAFStock_Log[TTAF_Qty],T_TTAFStock_Log[Part Name],$A28,T_TTAFStock_Log[WeekIndex],50))</f>
        <v/>
      </c>
      <c r="AZ28" s="17">
        <f>IF(COUNTIFS(T_TTAFStock_Log[Part Name],$A28,T_TTAFStock_Log[WeekIndex],51)=0,"",SUMIFS(T_TTAFStock_Log[TTAF_Qty],T_TTAFStock_Log[Part Name],$A28,T_TTAFStock_Log[WeekIndex],51))</f>
        <v/>
      </c>
      <c r="BA28" s="17">
        <f>IF(COUNTIFS(T_TTAFStock_Log[Part Name],$A28,T_TTAFStock_Log[WeekIndex],52)=0,"",SUMIFS(T_TTAFStock_Log[TTAF_Qty],T_TTAFStock_Log[Part Name],$A28,T_TTAFStock_Log[WeekIndex],52))</f>
        <v/>
      </c>
      <c r="BB28" s="17">
        <f>IF(COUNTIFS(T_TTAFStock_Log[Part Name],$A28,T_TTAFStock_Log[WeekIndex],53)=0,"",SUMIFS(T_TTAFStock_Log[TTAF_Qty],T_TTAFStock_Log[Part Name],$A28,T_TTAFStock_Log[WeekIndex],53))</f>
        <v/>
      </c>
      <c r="BC28" s="17">
        <f>IF(COUNTIFS(T_TTAFStock_Log[Part Name],$A28,T_TTAFStock_Log[WeekIndex],54)=0,"",SUMIFS(T_TTAFStock_Log[TTAF_Qty],T_TTAFStock_Log[Part Name],$A28,T_TTAFStock_Log[WeekIndex],54))</f>
        <v/>
      </c>
      <c r="BD28" s="17">
        <f>IF(COUNTIFS(T_TTAFStock_Log[Part Name],$A28,T_TTAFStock_Log[WeekIndex],55)=0,"",SUMIFS(T_TTAFStock_Log[TTAF_Qty],T_TTAFStock_Log[Part Name],$A28,T_TTAFStock_Log[WeekIndex],55))</f>
        <v/>
      </c>
      <c r="BE28" s="17">
        <f>IF(COUNTIFS(T_TTAFStock_Log[Part Name],$A28,T_TTAFStock_Log[WeekIndex],56)=0,"",SUMIFS(T_TTAFStock_Log[TTAF_Qty],T_TTAFStock_Log[Part Name],$A28,T_TTAFStock_Log[WeekIndex],56))</f>
        <v/>
      </c>
      <c r="BF28" s="17">
        <f>IF(COUNTIFS(T_TTAFStock_Log[Part Name],$A28,T_TTAFStock_Log[WeekIndex],57)=0,"",SUMIFS(T_TTAFStock_Log[TTAF_Qty],T_TTAFStock_Log[Part Name],$A28,T_TTAFStock_Log[WeekIndex],57))</f>
        <v/>
      </c>
      <c r="BG28" s="17">
        <f>IF(COUNTIFS(T_TTAFStock_Log[Part Name],$A28,T_TTAFStock_Log[WeekIndex],58)=0,"",SUMIFS(T_TTAFStock_Log[TTAF_Qty],T_TTAFStock_Log[Part Name],$A28,T_TTAFStock_Log[WeekIndex],58))</f>
        <v/>
      </c>
      <c r="BH28" s="17">
        <f>IF(COUNTIFS(T_TTAFStock_Log[Part Name],$A28,T_TTAFStock_Log[WeekIndex],59)=0,"",SUMIFS(T_TTAFStock_Log[TTAF_Qty],T_TTAFStock_Log[Part Name],$A28,T_TTAFStock_Log[WeekIndex],59))</f>
        <v/>
      </c>
      <c r="BI28" s="17">
        <f>IF(COUNTIFS(T_TTAFStock_Log[Part Name],$A28,T_TTAFStock_Log[WeekIndex],60)=0,"",SUMIFS(T_TTAFStock_Log[TTAF_Qty],T_TTAFStock_Log[Part Name],$A28,T_TTAFStock_Log[WeekIndex],60))</f>
        <v/>
      </c>
      <c r="BJ28" s="17">
        <f>IF(COUNTIFS(T_TTAFStock_Log[Part Name],$A28,T_TTAFStock_Log[WeekIndex],61)=0,"",SUMIFS(T_TTAFStock_Log[TTAF_Qty],T_TTAFStock_Log[Part Name],$A28,T_TTAFStock_Log[WeekIndex],61))</f>
        <v/>
      </c>
      <c r="BK28" s="17">
        <f>IF(COUNTIFS(T_TTAFStock_Log[Part Name],$A28,T_TTAFStock_Log[WeekIndex],62)=0,"",SUMIFS(T_TTAFStock_Log[TTAF_Qty],T_TTAFStock_Log[Part Name],$A28,T_TTAFStock_Log[WeekIndex],62))</f>
        <v/>
      </c>
      <c r="BL28" s="17">
        <f>IF(COUNTIFS(T_TTAFStock_Log[Part Name],$A28,T_TTAFStock_Log[WeekIndex],63)=0,"",SUMIFS(T_TTAFStock_Log[TTAF_Qty],T_TTAFStock_Log[Part Name],$A28,T_TTAFStock_Log[WeekIndex],63))</f>
        <v/>
      </c>
      <c r="BM28" s="17">
        <f>IF(COUNTIFS(T_TTAFStock_Log[Part Name],$A28,T_TTAFStock_Log[WeekIndex],64)=0,"",SUMIFS(T_TTAFStock_Log[TTAF_Qty],T_TTAFStock_Log[Part Name],$A28,T_TTAFStock_Log[WeekIndex],64))</f>
        <v/>
      </c>
      <c r="BN28" s="17">
        <f>IF(COUNTIFS(T_TTAFStock_Log[Part Name],$A28,T_TTAFStock_Log[WeekIndex],65)=0,"",SUMIFS(T_TTAFStock_Log[TTAF_Qty],T_TTAFStock_Log[Part Name],$A28,T_TTAFStock_Log[WeekIndex],65))</f>
        <v/>
      </c>
      <c r="BO28" s="17">
        <f>IF(COUNTIFS(T_TTAFStock_Log[Part Name],$A28,T_TTAFStock_Log[WeekIndex],66)=0,"",SUMIFS(T_TTAFStock_Log[TTAF_Qty],T_TTAFStock_Log[Part Name],$A28,T_TTAFStock_Log[WeekIndex],66))</f>
        <v/>
      </c>
      <c r="BP28" s="17">
        <f>IF(COUNTIFS(T_TTAFStock_Log[Part Name],$A28,T_TTAFStock_Log[WeekIndex],67)=0,"",SUMIFS(T_TTAFStock_Log[TTAF_Qty],T_TTAFStock_Log[Part Name],$A28,T_TTAFStock_Log[WeekIndex],67))</f>
        <v/>
      </c>
      <c r="BQ28" s="17">
        <f>IF(COUNTIFS(T_TTAFStock_Log[Part Name],$A28,T_TTAFStock_Log[WeekIndex],68)=0,"",SUMIFS(T_TTAFStock_Log[TTAF_Qty],T_TTAFStock_Log[Part Name],$A28,T_TTAFStock_Log[WeekIndex],68))</f>
        <v/>
      </c>
      <c r="BR28" s="17">
        <f>IF(COUNTIFS(T_TTAFStock_Log[Part Name],$A28,T_TTAFStock_Log[WeekIndex],69)=0,"",SUMIFS(T_TTAFStock_Log[TTAF_Qty],T_TTAFStock_Log[Part Name],$A28,T_TTAFStock_Log[WeekIndex],69))</f>
        <v/>
      </c>
      <c r="BS28" s="17">
        <f>IF(COUNTIFS(T_TTAFStock_Log[Part Name],$A28,T_TTAFStock_Log[WeekIndex],70)=0,"",SUMIFS(T_TTAFStock_Log[TTAF_Qty],T_TTAFStock_Log[Part Name],$A28,T_TTAFStock_Log[WeekIndex],70))</f>
        <v/>
      </c>
      <c r="BT28" s="17">
        <f>IF(COUNTIFS(T_TTAFStock_Log[Part Name],$A28,T_TTAFStock_Log[WeekIndex],71)=0,"",SUMIFS(T_TTAFStock_Log[TTAF_Qty],T_TTAFStock_Log[Part Name],$A28,T_TTAFStock_Log[WeekIndex],71))</f>
        <v/>
      </c>
      <c r="BU28" s="17">
        <f>IF(COUNTIFS(T_TTAFStock_Log[Part Name],$A28,T_TTAFStock_Log[WeekIndex],72)=0,"",SUMIFS(T_TTAFStock_Log[TTAF_Qty],T_TTAFStock_Log[Part Name],$A28,T_TTAFStock_Log[WeekIndex],72))</f>
        <v/>
      </c>
      <c r="BV28" s="17">
        <f>IF(COUNTIFS(T_TTAFStock_Log[Part Name],$A28,T_TTAFStock_Log[WeekIndex],73)=0,"",SUMIFS(T_TTAFStock_Log[TTAF_Qty],T_TTAFStock_Log[Part Name],$A28,T_TTAFStock_Log[WeekIndex],73))</f>
        <v/>
      </c>
      <c r="BW28" s="17">
        <f>IF(COUNTIFS(T_TTAFStock_Log[Part Name],$A28,T_TTAFStock_Log[WeekIndex],74)=0,"",SUMIFS(T_TTAFStock_Log[TTAF_Qty],T_TTAFStock_Log[Part Name],$A28,T_TTAFStock_Log[WeekIndex],74))</f>
        <v/>
      </c>
      <c r="BX28" s="17">
        <f>IF(COUNTIFS(T_TTAFStock_Log[Part Name],$A28,T_TTAFStock_Log[WeekIndex],75)=0,"",SUMIFS(T_TTAFStock_Log[TTAF_Qty],T_TTAFStock_Log[Part Name],$A28,T_TTAFStock_Log[WeekIndex],75))</f>
        <v/>
      </c>
      <c r="BY28" s="17">
        <f>IF(COUNTIFS(T_TTAFStock_Log[Part Name],$A28,T_TTAFStock_Log[WeekIndex],76)=0,"",SUMIFS(T_TTAFStock_Log[TTAF_Qty],T_TTAFStock_Log[Part Name],$A28,T_TTAFStock_Log[WeekIndex],76))</f>
        <v/>
      </c>
      <c r="BZ28" s="17">
        <f>IF(COUNTIFS(T_TTAFStock_Log[Part Name],$A28,T_TTAFStock_Log[WeekIndex],77)=0,"",SUMIFS(T_TTAFStock_Log[TTAF_Qty],T_TTAFStock_Log[Part Name],$A28,T_TTAFStock_Log[WeekIndex],77))</f>
        <v/>
      </c>
      <c r="CA28" s="17">
        <f>IF(COUNTIFS(T_TTAFStock_Log[Part Name],$A28,T_TTAFStock_Log[WeekIndex],78)=0,"",SUMIFS(T_TTAFStock_Log[TTAF_Qty],T_TTAFStock_Log[Part Name],$A28,T_TTAFStock_Log[WeekIndex],78))</f>
        <v/>
      </c>
      <c r="CB28" s="17">
        <f>IF(COUNTIFS(T_TTAFStock_Log[Part Name],$A28,T_TTAFStock_Log[WeekIndex],79)=0,"",SUMIFS(T_TTAFStock_Log[TTAF_Qty],T_TTAFStock_Log[Part Name],$A28,T_TTAFStock_Log[WeekIndex],79))</f>
        <v/>
      </c>
      <c r="CC28" s="17">
        <f>IF(COUNTIFS(T_TTAFStock_Log[Part Name],$A28,T_TTAFStock_Log[WeekIndex],80)=0,"",SUMIFS(T_TTAFStock_Log[TTAF_Qty],T_TTAFStock_Log[Part Name],$A28,T_TTAFStock_Log[WeekIndex],80))</f>
        <v/>
      </c>
      <c r="CD28" s="17">
        <f>IF(COUNTIFS(T_TTAFStock_Log[Part Name],$A28,T_TTAFStock_Log[WeekIndex],81)=0,"",SUMIFS(T_TTAFStock_Log[TTAF_Qty],T_TTAFStock_Log[Part Name],$A28,T_TTAFStock_Log[WeekIndex],81))</f>
        <v/>
      </c>
      <c r="CE28" s="17">
        <f>IF(COUNTIFS(T_TTAFStock_Log[Part Name],$A28,T_TTAFStock_Log[WeekIndex],82)=0,"",SUMIFS(T_TTAFStock_Log[TTAF_Qty],T_TTAFStock_Log[Part Name],$A28,T_TTAFStock_Log[WeekIndex],82))</f>
        <v/>
      </c>
      <c r="CF28" s="17">
        <f>IF(COUNTIFS(T_TTAFStock_Log[Part Name],$A28,T_TTAFStock_Log[WeekIndex],83)=0,"",SUMIFS(T_TTAFStock_Log[TTAF_Qty],T_TTAFStock_Log[Part Name],$A28,T_TTAFStock_Log[WeekIndex],83))</f>
        <v/>
      </c>
      <c r="CG28" s="17">
        <f>IF(COUNTIFS(T_TTAFStock_Log[Part Name],$A28,T_TTAFStock_Log[WeekIndex],84)=0,"",SUMIFS(T_TTAFStock_Log[TTAF_Qty],T_TTAFStock_Log[Part Name],$A28,T_TTAFStock_Log[WeekIndex],84))</f>
        <v/>
      </c>
      <c r="CH28" s="17">
        <f>IF(COUNTIFS(T_TTAFStock_Log[Part Name],$A28,T_TTAFStock_Log[WeekIndex],85)=0,"",SUMIFS(T_TTAFStock_Log[TTAF_Qty],T_TTAFStock_Log[Part Name],$A28,T_TTAFStock_Log[WeekIndex],85))</f>
        <v/>
      </c>
      <c r="CI28" s="17">
        <f>IF(COUNTIFS(T_TTAFStock_Log[Part Name],$A28,T_TTAFStock_Log[WeekIndex],86)=0,"",SUMIFS(T_TTAFStock_Log[TTAF_Qty],T_TTAFStock_Log[Part Name],$A28,T_TTAFStock_Log[WeekIndex],86))</f>
        <v/>
      </c>
      <c r="CJ28" s="17">
        <f>IF(COUNTIFS(T_TTAFStock_Log[Part Name],$A28,T_TTAFStock_Log[WeekIndex],87)=0,"",SUMIFS(T_TTAFStock_Log[TTAF_Qty],T_TTAFStock_Log[Part Name],$A28,T_TTAFStock_Log[WeekIndex],87))</f>
        <v/>
      </c>
      <c r="CK28" s="17">
        <f>IF(COUNTIFS(T_TTAFStock_Log[Part Name],$A28,T_TTAFStock_Log[WeekIndex],88)=0,"",SUMIFS(T_TTAFStock_Log[TTAF_Qty],T_TTAFStock_Log[Part Name],$A28,T_TTAFStock_Log[WeekIndex],88))</f>
        <v/>
      </c>
      <c r="CL28" s="17">
        <f>IF(COUNTIFS(T_TTAFStock_Log[Part Name],$A28,T_TTAFStock_Log[WeekIndex],89)=0,"",SUMIFS(T_TTAFStock_Log[TTAF_Qty],T_TTAFStock_Log[Part Name],$A28,T_TTAFStock_Log[WeekIndex],89))</f>
        <v/>
      </c>
      <c r="CM28" s="17">
        <f>IF(COUNTIFS(T_TTAFStock_Log[Part Name],$A28,T_TTAFStock_Log[WeekIndex],90)=0,"",SUMIFS(T_TTAFStock_Log[TTAF_Qty],T_TTAFStock_Log[Part Name],$A28,T_TTAFStock_Log[WeekIndex],90))</f>
        <v/>
      </c>
      <c r="CN28" s="17">
        <f>IF(COUNTIFS(T_TTAFStock_Log[Part Name],$A28,T_TTAFStock_Log[WeekIndex],91)=0,"",SUMIFS(T_TTAFStock_Log[TTAF_Qty],T_TTAFStock_Log[Part Name],$A28,T_TTAFStock_Log[WeekIndex],91))</f>
        <v/>
      </c>
      <c r="CO28" s="17">
        <f>IF(COUNTIFS(T_TTAFStock_Log[Part Name],$A28,T_TTAFStock_Log[WeekIndex],92)=0,"",SUMIFS(T_TTAFStock_Log[TTAF_Qty],T_TTAFStock_Log[Part Name],$A28,T_TTAFStock_Log[WeekIndex],92))</f>
        <v/>
      </c>
      <c r="CP28" s="17">
        <f>IF(COUNTIFS(T_TTAFStock_Log[Part Name],$A28,T_TTAFStock_Log[WeekIndex],93)=0,"",SUMIFS(T_TTAFStock_Log[TTAF_Qty],T_TTAFStock_Log[Part Name],$A28,T_TTAFStock_Log[WeekIndex],93))</f>
        <v/>
      </c>
      <c r="CQ28" s="17">
        <f>IF(COUNTIFS(T_TTAFStock_Log[Part Name],$A28,T_TTAFStock_Log[WeekIndex],94)=0,"",SUMIFS(T_TTAFStock_Log[TTAF_Qty],T_TTAFStock_Log[Part Name],$A28,T_TTAFStock_Log[WeekIndex],94))</f>
        <v/>
      </c>
      <c r="CR28" s="17">
        <f>IF(COUNTIFS(T_TTAFStock_Log[Part Name],$A28,T_TTAFStock_Log[WeekIndex],95)=0,"",SUMIFS(T_TTAFStock_Log[TTAF_Qty],T_TTAFStock_Log[Part Name],$A28,T_TTAFStock_Log[WeekIndex],95))</f>
        <v/>
      </c>
      <c r="CS28" s="17">
        <f>IF(COUNTIFS(T_TTAFStock_Log[Part Name],$A28,T_TTAFStock_Log[WeekIndex],96)=0,"",SUMIFS(T_TTAFStock_Log[TTAF_Qty],T_TTAFStock_Log[Part Name],$A28,T_TTAFStock_Log[WeekIndex],96))</f>
        <v/>
      </c>
      <c r="CT28" s="17">
        <f>IF(COUNTIFS(T_TTAFStock_Log[Part Name],$A28,T_TTAFStock_Log[WeekIndex],97)=0,"",SUMIFS(T_TTAFStock_Log[TTAF_Qty],T_TTAFStock_Log[Part Name],$A28,T_TTAFStock_Log[WeekIndex],97))</f>
        <v/>
      </c>
      <c r="CU28" s="17">
        <f>IF(COUNTIFS(T_TTAFStock_Log[Part Name],$A28,T_TTAFStock_Log[WeekIndex],98)=0,"",SUMIFS(T_TTAFStock_Log[TTAF_Qty],T_TTAFStock_Log[Part Name],$A28,T_TTAFStock_Log[WeekIndex],98))</f>
        <v/>
      </c>
      <c r="CV28" s="17">
        <f>IF(COUNTIFS(T_TTAFStock_Log[Part Name],$A28,T_TTAFStock_Log[WeekIndex],99)=0,"",SUMIFS(T_TTAFStock_Log[TTAF_Qty],T_TTAFStock_Log[Part Name],$A28,T_TTAFStock_Log[WeekIndex],99))</f>
        <v/>
      </c>
      <c r="CW28" s="17">
        <f>IF(COUNTIFS(T_TTAFStock_Log[Part Name],$A28,T_TTAFStock_Log[WeekIndex],100)=0,"",SUMIFS(T_TTAFStock_Log[TTAF_Qty],T_TTAFStock_Log[Part Name],$A28,T_TTAFStock_Log[WeekIndex],100))</f>
        <v/>
      </c>
      <c r="CX28" s="17">
        <f>IF(COUNTIFS(T_TTAFStock_Log[Part Name],$A28,T_TTAFStock_Log[WeekIndex],101)=0,"",SUMIFS(T_TTAFStock_Log[TTAF_Qty],T_TTAFStock_Log[Part Name],$A28,T_TTAFStock_Log[WeekIndex],101))</f>
        <v/>
      </c>
      <c r="CY28" s="17">
        <f>IF(COUNTIFS(T_TTAFStock_Log[Part Name],$A28,T_TTAFStock_Log[WeekIndex],102)=0,"",SUMIFS(T_TTAFStock_Log[TTAF_Qty],T_TTAFStock_Log[Part Name],$A28,T_TTAFStock_Log[WeekIndex],102))</f>
        <v/>
      </c>
      <c r="CZ28" s="17">
        <f>IF(COUNTIFS(T_TTAFStock_Log[Part Name],$A28,T_TTAFStock_Log[WeekIndex],103)=0,"",SUMIFS(T_TTAFStock_Log[TTAF_Qty],T_TTAFStock_Log[Part Name],$A28,T_TTAFStock_Log[WeekIndex],103))</f>
        <v/>
      </c>
      <c r="DA28" s="17">
        <f>IF(COUNTIFS(T_TTAFStock_Log[Part Name],$A28,T_TTAFStock_Log[WeekIndex],104)=0,"",SUMIFS(T_TTAFStock_Log[TTAF_Qty],T_TTAFStock_Log[Part Name],$A28,T_TTAFStock_Log[WeekIndex],104))</f>
        <v/>
      </c>
    </row>
    <row r="29">
      <c r="A29" s="19" t="inlineStr">
        <is>
          <t>CHEM-1510</t>
        </is>
      </c>
      <c r="B29" s="19">
        <f>IF(COUNTIFS(T_TTAFStock_Log[Part Name],$A29,T_TTAFStock_Log[WeekIndex],1)=0,"",SUMIFS(T_TTAFStock_Log[TTAF_Qty],T_TTAFStock_Log[Part Name],$A29,T_TTAFStock_Log[WeekIndex],1))</f>
        <v/>
      </c>
      <c r="C29" s="19">
        <f>IF(COUNTIFS(T_TTAFStock_Log[Part Name],$A29,T_TTAFStock_Log[WeekIndex],2)=0,"",SUMIFS(T_TTAFStock_Log[TTAF_Qty],T_TTAFStock_Log[Part Name],$A29,T_TTAFStock_Log[WeekIndex],2))</f>
        <v/>
      </c>
      <c r="D29" s="19">
        <f>IF(COUNTIFS(T_TTAFStock_Log[Part Name],$A29,T_TTAFStock_Log[WeekIndex],3)=0,"",SUMIFS(T_TTAFStock_Log[TTAF_Qty],T_TTAFStock_Log[Part Name],$A29,T_TTAFStock_Log[WeekIndex],3))</f>
        <v/>
      </c>
      <c r="E29" s="19">
        <f>IF(COUNTIFS(T_TTAFStock_Log[Part Name],$A29,T_TTAFStock_Log[WeekIndex],4)=0,"",SUMIFS(T_TTAFStock_Log[TTAF_Qty],T_TTAFStock_Log[Part Name],$A29,T_TTAFStock_Log[WeekIndex],4))</f>
        <v/>
      </c>
      <c r="F29" s="19">
        <f>IF(COUNTIFS(T_TTAFStock_Log[Part Name],$A29,T_TTAFStock_Log[WeekIndex],5)=0,"",SUMIFS(T_TTAFStock_Log[TTAF_Qty],T_TTAFStock_Log[Part Name],$A29,T_TTAFStock_Log[WeekIndex],5))</f>
        <v/>
      </c>
      <c r="G29" s="19">
        <f>IF(COUNTIFS(T_TTAFStock_Log[Part Name],$A29,T_TTAFStock_Log[WeekIndex],6)=0,"",SUMIFS(T_TTAFStock_Log[TTAF_Qty],T_TTAFStock_Log[Part Name],$A29,T_TTAFStock_Log[WeekIndex],6))</f>
        <v/>
      </c>
      <c r="H29" s="19">
        <f>IF(COUNTIFS(T_TTAFStock_Log[Part Name],$A29,T_TTAFStock_Log[WeekIndex],7)=0,"",SUMIFS(T_TTAFStock_Log[TTAF_Qty],T_TTAFStock_Log[Part Name],$A29,T_TTAFStock_Log[WeekIndex],7))</f>
        <v/>
      </c>
      <c r="I29" s="19">
        <f>IF(COUNTIFS(T_TTAFStock_Log[Part Name],$A29,T_TTAFStock_Log[WeekIndex],8)=0,"",SUMIFS(T_TTAFStock_Log[TTAF_Qty],T_TTAFStock_Log[Part Name],$A29,T_TTAFStock_Log[WeekIndex],8))</f>
        <v/>
      </c>
      <c r="J29" s="19">
        <f>IF(COUNTIFS(T_TTAFStock_Log[Part Name],$A29,T_TTAFStock_Log[WeekIndex],9)=0,"",SUMIFS(T_TTAFStock_Log[TTAF_Qty],T_TTAFStock_Log[Part Name],$A29,T_TTAFStock_Log[WeekIndex],9))</f>
        <v/>
      </c>
      <c r="K29" s="19">
        <f>IF(COUNTIFS(T_TTAFStock_Log[Part Name],$A29,T_TTAFStock_Log[WeekIndex],10)=0,"",SUMIFS(T_TTAFStock_Log[TTAF_Qty],T_TTAFStock_Log[Part Name],$A29,T_TTAFStock_Log[WeekIndex],10))</f>
        <v/>
      </c>
      <c r="L29" s="19">
        <f>IF(COUNTIFS(T_TTAFStock_Log[Part Name],$A29,T_TTAFStock_Log[WeekIndex],11)=0,"",SUMIFS(T_TTAFStock_Log[TTAF_Qty],T_TTAFStock_Log[Part Name],$A29,T_TTAFStock_Log[WeekIndex],11))</f>
        <v/>
      </c>
      <c r="M29" s="19">
        <f>IF(COUNTIFS(T_TTAFStock_Log[Part Name],$A29,T_TTAFStock_Log[WeekIndex],12)=0,"",SUMIFS(T_TTAFStock_Log[TTAF_Qty],T_TTAFStock_Log[Part Name],$A29,T_TTAFStock_Log[WeekIndex],12))</f>
        <v/>
      </c>
      <c r="N29" s="19">
        <f>IF(COUNTIFS(T_TTAFStock_Log[Part Name],$A29,T_TTAFStock_Log[WeekIndex],13)=0,"",SUMIFS(T_TTAFStock_Log[TTAF_Qty],T_TTAFStock_Log[Part Name],$A29,T_TTAFStock_Log[WeekIndex],13))</f>
        <v/>
      </c>
      <c r="O29" s="19">
        <f>IF(COUNTIFS(T_TTAFStock_Log[Part Name],$A29,T_TTAFStock_Log[WeekIndex],14)=0,"",SUMIFS(T_TTAFStock_Log[TTAF_Qty],T_TTAFStock_Log[Part Name],$A29,T_TTAFStock_Log[WeekIndex],14))</f>
        <v/>
      </c>
      <c r="P29" s="19">
        <f>IF(COUNTIFS(T_TTAFStock_Log[Part Name],$A29,T_TTAFStock_Log[WeekIndex],15)=0,"",SUMIFS(T_TTAFStock_Log[TTAF_Qty],T_TTAFStock_Log[Part Name],$A29,T_TTAFStock_Log[WeekIndex],15))</f>
        <v/>
      </c>
      <c r="Q29" s="19">
        <f>IF(COUNTIFS(T_TTAFStock_Log[Part Name],$A29,T_TTAFStock_Log[WeekIndex],16)=0,"",SUMIFS(T_TTAFStock_Log[TTAF_Qty],T_TTAFStock_Log[Part Name],$A29,T_TTAFStock_Log[WeekIndex],16))</f>
        <v/>
      </c>
      <c r="R29" s="19">
        <f>IF(COUNTIFS(T_TTAFStock_Log[Part Name],$A29,T_TTAFStock_Log[WeekIndex],17)=0,"",SUMIFS(T_TTAFStock_Log[TTAF_Qty],T_TTAFStock_Log[Part Name],$A29,T_TTAFStock_Log[WeekIndex],17))</f>
        <v/>
      </c>
      <c r="S29" s="19">
        <f>IF(COUNTIFS(T_TTAFStock_Log[Part Name],$A29,T_TTAFStock_Log[WeekIndex],18)=0,"",SUMIFS(T_TTAFStock_Log[TTAF_Qty],T_TTAFStock_Log[Part Name],$A29,T_TTAFStock_Log[WeekIndex],18))</f>
        <v/>
      </c>
      <c r="T29" s="19">
        <f>IF(COUNTIFS(T_TTAFStock_Log[Part Name],$A29,T_TTAFStock_Log[WeekIndex],19)=0,"",SUMIFS(T_TTAFStock_Log[TTAF_Qty],T_TTAFStock_Log[Part Name],$A29,T_TTAFStock_Log[WeekIndex],19))</f>
        <v/>
      </c>
      <c r="U29" s="19">
        <f>IF(COUNTIFS(T_TTAFStock_Log[Part Name],$A29,T_TTAFStock_Log[WeekIndex],20)=0,"",SUMIFS(T_TTAFStock_Log[TTAF_Qty],T_TTAFStock_Log[Part Name],$A29,T_TTAFStock_Log[WeekIndex],20))</f>
        <v/>
      </c>
      <c r="V29" s="19">
        <f>IF(COUNTIFS(T_TTAFStock_Log[Part Name],$A29,T_TTAFStock_Log[WeekIndex],21)=0,"",SUMIFS(T_TTAFStock_Log[TTAF_Qty],T_TTAFStock_Log[Part Name],$A29,T_TTAFStock_Log[WeekIndex],21))</f>
        <v/>
      </c>
      <c r="W29" s="19">
        <f>IF(COUNTIFS(T_TTAFStock_Log[Part Name],$A29,T_TTAFStock_Log[WeekIndex],22)=0,"",SUMIFS(T_TTAFStock_Log[TTAF_Qty],T_TTAFStock_Log[Part Name],$A29,T_TTAFStock_Log[WeekIndex],22))</f>
        <v/>
      </c>
      <c r="X29" s="19">
        <f>IF(COUNTIFS(T_TTAFStock_Log[Part Name],$A29,T_TTAFStock_Log[WeekIndex],23)=0,"",SUMIFS(T_TTAFStock_Log[TTAF_Qty],T_TTAFStock_Log[Part Name],$A29,T_TTAFStock_Log[WeekIndex],23))</f>
        <v/>
      </c>
      <c r="Y29" s="19">
        <f>IF(COUNTIFS(T_TTAFStock_Log[Part Name],$A29,T_TTAFStock_Log[WeekIndex],24)=0,"",SUMIFS(T_TTAFStock_Log[TTAF_Qty],T_TTAFStock_Log[Part Name],$A29,T_TTAFStock_Log[WeekIndex],24))</f>
        <v/>
      </c>
      <c r="Z29" s="19">
        <f>IF(COUNTIFS(T_TTAFStock_Log[Part Name],$A29,T_TTAFStock_Log[WeekIndex],25)=0,"",SUMIFS(T_TTAFStock_Log[TTAF_Qty],T_TTAFStock_Log[Part Name],$A29,T_TTAFStock_Log[WeekIndex],25))</f>
        <v/>
      </c>
      <c r="AA29" s="19">
        <f>IF(COUNTIFS(T_TTAFStock_Log[Part Name],$A29,T_TTAFStock_Log[WeekIndex],26)=0,"",SUMIFS(T_TTAFStock_Log[TTAF_Qty],T_TTAFStock_Log[Part Name],$A29,T_TTAFStock_Log[WeekIndex],26))</f>
        <v/>
      </c>
      <c r="AB29" s="19">
        <f>IF(COUNTIFS(T_TTAFStock_Log[Part Name],$A29,T_TTAFStock_Log[WeekIndex],27)=0,"",SUMIFS(T_TTAFStock_Log[TTAF_Qty],T_TTAFStock_Log[Part Name],$A29,T_TTAFStock_Log[WeekIndex],27))</f>
        <v/>
      </c>
      <c r="AC29" s="19">
        <f>IF(COUNTIFS(T_TTAFStock_Log[Part Name],$A29,T_TTAFStock_Log[WeekIndex],28)=0,"",SUMIFS(T_TTAFStock_Log[TTAF_Qty],T_TTAFStock_Log[Part Name],$A29,T_TTAFStock_Log[WeekIndex],28))</f>
        <v/>
      </c>
      <c r="AD29" s="19">
        <f>IF(COUNTIFS(T_TTAFStock_Log[Part Name],$A29,T_TTAFStock_Log[WeekIndex],29)=0,"",SUMIFS(T_TTAFStock_Log[TTAF_Qty],T_TTAFStock_Log[Part Name],$A29,T_TTAFStock_Log[WeekIndex],29))</f>
        <v/>
      </c>
      <c r="AE29" s="19">
        <f>IF(COUNTIFS(T_TTAFStock_Log[Part Name],$A29,T_TTAFStock_Log[WeekIndex],30)=0,"",SUMIFS(T_TTAFStock_Log[TTAF_Qty],T_TTAFStock_Log[Part Name],$A29,T_TTAFStock_Log[WeekIndex],30))</f>
        <v/>
      </c>
      <c r="AF29" s="19">
        <f>IF(COUNTIFS(T_TTAFStock_Log[Part Name],$A29,T_TTAFStock_Log[WeekIndex],31)=0,"",SUMIFS(T_TTAFStock_Log[TTAF_Qty],T_TTAFStock_Log[Part Name],$A29,T_TTAFStock_Log[WeekIndex],31))</f>
        <v/>
      </c>
      <c r="AG29" s="19">
        <f>IF(COUNTIFS(T_TTAFStock_Log[Part Name],$A29,T_TTAFStock_Log[WeekIndex],32)=0,"",SUMIFS(T_TTAFStock_Log[TTAF_Qty],T_TTAFStock_Log[Part Name],$A29,T_TTAFStock_Log[WeekIndex],32))</f>
        <v/>
      </c>
      <c r="AH29" s="19">
        <f>IF(COUNTIFS(T_TTAFStock_Log[Part Name],$A29,T_TTAFStock_Log[WeekIndex],33)=0,"",SUMIFS(T_TTAFStock_Log[TTAF_Qty],T_TTAFStock_Log[Part Name],$A29,T_TTAFStock_Log[WeekIndex],33))</f>
        <v/>
      </c>
      <c r="AI29" s="19">
        <f>IF(COUNTIFS(T_TTAFStock_Log[Part Name],$A29,T_TTAFStock_Log[WeekIndex],34)=0,"",SUMIFS(T_TTAFStock_Log[TTAF_Qty],T_TTAFStock_Log[Part Name],$A29,T_TTAFStock_Log[WeekIndex],34))</f>
        <v/>
      </c>
      <c r="AJ29" s="19">
        <f>IF(COUNTIFS(T_TTAFStock_Log[Part Name],$A29,T_TTAFStock_Log[WeekIndex],35)=0,"",SUMIFS(T_TTAFStock_Log[TTAF_Qty],T_TTAFStock_Log[Part Name],$A29,T_TTAFStock_Log[WeekIndex],35))</f>
        <v/>
      </c>
      <c r="AK29" s="19">
        <f>IF(COUNTIFS(T_TTAFStock_Log[Part Name],$A29,T_TTAFStock_Log[WeekIndex],36)=0,"",SUMIFS(T_TTAFStock_Log[TTAF_Qty],T_TTAFStock_Log[Part Name],$A29,T_TTAFStock_Log[WeekIndex],36))</f>
        <v/>
      </c>
      <c r="AL29" s="19">
        <f>IF(COUNTIFS(T_TTAFStock_Log[Part Name],$A29,T_TTAFStock_Log[WeekIndex],37)=0,"",SUMIFS(T_TTAFStock_Log[TTAF_Qty],T_TTAFStock_Log[Part Name],$A29,T_TTAFStock_Log[WeekIndex],37))</f>
        <v/>
      </c>
      <c r="AM29" s="19">
        <f>IF(COUNTIFS(T_TTAFStock_Log[Part Name],$A29,T_TTAFStock_Log[WeekIndex],38)=0,"",SUMIFS(T_TTAFStock_Log[TTAF_Qty],T_TTAFStock_Log[Part Name],$A29,T_TTAFStock_Log[WeekIndex],38))</f>
        <v/>
      </c>
      <c r="AN29" s="19">
        <f>IF(COUNTIFS(T_TTAFStock_Log[Part Name],$A29,T_TTAFStock_Log[WeekIndex],39)=0,"",SUMIFS(T_TTAFStock_Log[TTAF_Qty],T_TTAFStock_Log[Part Name],$A29,T_TTAFStock_Log[WeekIndex],39))</f>
        <v/>
      </c>
      <c r="AO29" s="19">
        <f>IF(COUNTIFS(T_TTAFStock_Log[Part Name],$A29,T_TTAFStock_Log[WeekIndex],40)=0,"",SUMIFS(T_TTAFStock_Log[TTAF_Qty],T_TTAFStock_Log[Part Name],$A29,T_TTAFStock_Log[WeekIndex],40))</f>
        <v/>
      </c>
      <c r="AP29" s="19">
        <f>IF(COUNTIFS(T_TTAFStock_Log[Part Name],$A29,T_TTAFStock_Log[WeekIndex],41)=0,"",SUMIFS(T_TTAFStock_Log[TTAF_Qty],T_TTAFStock_Log[Part Name],$A29,T_TTAFStock_Log[WeekIndex],41))</f>
        <v/>
      </c>
      <c r="AQ29" s="19">
        <f>IF(COUNTIFS(T_TTAFStock_Log[Part Name],$A29,T_TTAFStock_Log[WeekIndex],42)=0,"",SUMIFS(T_TTAFStock_Log[TTAF_Qty],T_TTAFStock_Log[Part Name],$A29,T_TTAFStock_Log[WeekIndex],42))</f>
        <v/>
      </c>
      <c r="AR29" s="19">
        <f>IF(COUNTIFS(T_TTAFStock_Log[Part Name],$A29,T_TTAFStock_Log[WeekIndex],43)=0,"",SUMIFS(T_TTAFStock_Log[TTAF_Qty],T_TTAFStock_Log[Part Name],$A29,T_TTAFStock_Log[WeekIndex],43))</f>
        <v/>
      </c>
      <c r="AS29" s="19">
        <f>IF(COUNTIFS(T_TTAFStock_Log[Part Name],$A29,T_TTAFStock_Log[WeekIndex],44)=0,"",SUMIFS(T_TTAFStock_Log[TTAF_Qty],T_TTAFStock_Log[Part Name],$A29,T_TTAFStock_Log[WeekIndex],44))</f>
        <v/>
      </c>
      <c r="AT29" s="19">
        <f>IF(COUNTIFS(T_TTAFStock_Log[Part Name],$A29,T_TTAFStock_Log[WeekIndex],45)=0,"",SUMIFS(T_TTAFStock_Log[TTAF_Qty],T_TTAFStock_Log[Part Name],$A29,T_TTAFStock_Log[WeekIndex],45))</f>
        <v/>
      </c>
      <c r="AU29" s="19">
        <f>IF(COUNTIFS(T_TTAFStock_Log[Part Name],$A29,T_TTAFStock_Log[WeekIndex],46)=0,"",SUMIFS(T_TTAFStock_Log[TTAF_Qty],T_TTAFStock_Log[Part Name],$A29,T_TTAFStock_Log[WeekIndex],46))</f>
        <v/>
      </c>
      <c r="AV29" s="19">
        <f>IF(COUNTIFS(T_TTAFStock_Log[Part Name],$A29,T_TTAFStock_Log[WeekIndex],47)=0,"",SUMIFS(T_TTAFStock_Log[TTAF_Qty],T_TTAFStock_Log[Part Name],$A29,T_TTAFStock_Log[WeekIndex],47))</f>
        <v/>
      </c>
      <c r="AW29" s="19">
        <f>IF(COUNTIFS(T_TTAFStock_Log[Part Name],$A29,T_TTAFStock_Log[WeekIndex],48)=0,"",SUMIFS(T_TTAFStock_Log[TTAF_Qty],T_TTAFStock_Log[Part Name],$A29,T_TTAFStock_Log[WeekIndex],48))</f>
        <v/>
      </c>
      <c r="AX29" s="19">
        <f>IF(COUNTIFS(T_TTAFStock_Log[Part Name],$A29,T_TTAFStock_Log[WeekIndex],49)=0,"",SUMIFS(T_TTAFStock_Log[TTAF_Qty],T_TTAFStock_Log[Part Name],$A29,T_TTAFStock_Log[WeekIndex],49))</f>
        <v/>
      </c>
      <c r="AY29" s="19">
        <f>IF(COUNTIFS(T_TTAFStock_Log[Part Name],$A29,T_TTAFStock_Log[WeekIndex],50)=0,"",SUMIFS(T_TTAFStock_Log[TTAF_Qty],T_TTAFStock_Log[Part Name],$A29,T_TTAFStock_Log[WeekIndex],50))</f>
        <v/>
      </c>
      <c r="AZ29" s="19">
        <f>IF(COUNTIFS(T_TTAFStock_Log[Part Name],$A29,T_TTAFStock_Log[WeekIndex],51)=0,"",SUMIFS(T_TTAFStock_Log[TTAF_Qty],T_TTAFStock_Log[Part Name],$A29,T_TTAFStock_Log[WeekIndex],51))</f>
        <v/>
      </c>
      <c r="BA29" s="19">
        <f>IF(COUNTIFS(T_TTAFStock_Log[Part Name],$A29,T_TTAFStock_Log[WeekIndex],52)=0,"",SUMIFS(T_TTAFStock_Log[TTAF_Qty],T_TTAFStock_Log[Part Name],$A29,T_TTAFStock_Log[WeekIndex],52))</f>
        <v/>
      </c>
      <c r="BB29" s="19">
        <f>IF(COUNTIFS(T_TTAFStock_Log[Part Name],$A29,T_TTAFStock_Log[WeekIndex],53)=0,"",SUMIFS(T_TTAFStock_Log[TTAF_Qty],T_TTAFStock_Log[Part Name],$A29,T_TTAFStock_Log[WeekIndex],53))</f>
        <v/>
      </c>
      <c r="BC29" s="19">
        <f>IF(COUNTIFS(T_TTAFStock_Log[Part Name],$A29,T_TTAFStock_Log[WeekIndex],54)=0,"",SUMIFS(T_TTAFStock_Log[TTAF_Qty],T_TTAFStock_Log[Part Name],$A29,T_TTAFStock_Log[WeekIndex],54))</f>
        <v/>
      </c>
      <c r="BD29" s="19">
        <f>IF(COUNTIFS(T_TTAFStock_Log[Part Name],$A29,T_TTAFStock_Log[WeekIndex],55)=0,"",SUMIFS(T_TTAFStock_Log[TTAF_Qty],T_TTAFStock_Log[Part Name],$A29,T_TTAFStock_Log[WeekIndex],55))</f>
        <v/>
      </c>
      <c r="BE29" s="19">
        <f>IF(COUNTIFS(T_TTAFStock_Log[Part Name],$A29,T_TTAFStock_Log[WeekIndex],56)=0,"",SUMIFS(T_TTAFStock_Log[TTAF_Qty],T_TTAFStock_Log[Part Name],$A29,T_TTAFStock_Log[WeekIndex],56))</f>
        <v/>
      </c>
      <c r="BF29" s="19">
        <f>IF(COUNTIFS(T_TTAFStock_Log[Part Name],$A29,T_TTAFStock_Log[WeekIndex],57)=0,"",SUMIFS(T_TTAFStock_Log[TTAF_Qty],T_TTAFStock_Log[Part Name],$A29,T_TTAFStock_Log[WeekIndex],57))</f>
        <v/>
      </c>
      <c r="BG29" s="19">
        <f>IF(COUNTIFS(T_TTAFStock_Log[Part Name],$A29,T_TTAFStock_Log[WeekIndex],58)=0,"",SUMIFS(T_TTAFStock_Log[TTAF_Qty],T_TTAFStock_Log[Part Name],$A29,T_TTAFStock_Log[WeekIndex],58))</f>
        <v/>
      </c>
      <c r="BH29" s="19">
        <f>IF(COUNTIFS(T_TTAFStock_Log[Part Name],$A29,T_TTAFStock_Log[WeekIndex],59)=0,"",SUMIFS(T_TTAFStock_Log[TTAF_Qty],T_TTAFStock_Log[Part Name],$A29,T_TTAFStock_Log[WeekIndex],59))</f>
        <v/>
      </c>
      <c r="BI29" s="19">
        <f>IF(COUNTIFS(T_TTAFStock_Log[Part Name],$A29,T_TTAFStock_Log[WeekIndex],60)=0,"",SUMIFS(T_TTAFStock_Log[TTAF_Qty],T_TTAFStock_Log[Part Name],$A29,T_TTAFStock_Log[WeekIndex],60))</f>
        <v/>
      </c>
      <c r="BJ29" s="19">
        <f>IF(COUNTIFS(T_TTAFStock_Log[Part Name],$A29,T_TTAFStock_Log[WeekIndex],61)=0,"",SUMIFS(T_TTAFStock_Log[TTAF_Qty],T_TTAFStock_Log[Part Name],$A29,T_TTAFStock_Log[WeekIndex],61))</f>
        <v/>
      </c>
      <c r="BK29" s="19">
        <f>IF(COUNTIFS(T_TTAFStock_Log[Part Name],$A29,T_TTAFStock_Log[WeekIndex],62)=0,"",SUMIFS(T_TTAFStock_Log[TTAF_Qty],T_TTAFStock_Log[Part Name],$A29,T_TTAFStock_Log[WeekIndex],62))</f>
        <v/>
      </c>
      <c r="BL29" s="19">
        <f>IF(COUNTIFS(T_TTAFStock_Log[Part Name],$A29,T_TTAFStock_Log[WeekIndex],63)=0,"",SUMIFS(T_TTAFStock_Log[TTAF_Qty],T_TTAFStock_Log[Part Name],$A29,T_TTAFStock_Log[WeekIndex],63))</f>
        <v/>
      </c>
      <c r="BM29" s="19">
        <f>IF(COUNTIFS(T_TTAFStock_Log[Part Name],$A29,T_TTAFStock_Log[WeekIndex],64)=0,"",SUMIFS(T_TTAFStock_Log[TTAF_Qty],T_TTAFStock_Log[Part Name],$A29,T_TTAFStock_Log[WeekIndex],64))</f>
        <v/>
      </c>
      <c r="BN29" s="19">
        <f>IF(COUNTIFS(T_TTAFStock_Log[Part Name],$A29,T_TTAFStock_Log[WeekIndex],65)=0,"",SUMIFS(T_TTAFStock_Log[TTAF_Qty],T_TTAFStock_Log[Part Name],$A29,T_TTAFStock_Log[WeekIndex],65))</f>
        <v/>
      </c>
      <c r="BO29" s="19">
        <f>IF(COUNTIFS(T_TTAFStock_Log[Part Name],$A29,T_TTAFStock_Log[WeekIndex],66)=0,"",SUMIFS(T_TTAFStock_Log[TTAF_Qty],T_TTAFStock_Log[Part Name],$A29,T_TTAFStock_Log[WeekIndex],66))</f>
        <v/>
      </c>
      <c r="BP29" s="19">
        <f>IF(COUNTIFS(T_TTAFStock_Log[Part Name],$A29,T_TTAFStock_Log[WeekIndex],67)=0,"",SUMIFS(T_TTAFStock_Log[TTAF_Qty],T_TTAFStock_Log[Part Name],$A29,T_TTAFStock_Log[WeekIndex],67))</f>
        <v/>
      </c>
      <c r="BQ29" s="19">
        <f>IF(COUNTIFS(T_TTAFStock_Log[Part Name],$A29,T_TTAFStock_Log[WeekIndex],68)=0,"",SUMIFS(T_TTAFStock_Log[TTAF_Qty],T_TTAFStock_Log[Part Name],$A29,T_TTAFStock_Log[WeekIndex],68))</f>
        <v/>
      </c>
      <c r="BR29" s="19">
        <f>IF(COUNTIFS(T_TTAFStock_Log[Part Name],$A29,T_TTAFStock_Log[WeekIndex],69)=0,"",SUMIFS(T_TTAFStock_Log[TTAF_Qty],T_TTAFStock_Log[Part Name],$A29,T_TTAFStock_Log[WeekIndex],69))</f>
        <v/>
      </c>
      <c r="BS29" s="19">
        <f>IF(COUNTIFS(T_TTAFStock_Log[Part Name],$A29,T_TTAFStock_Log[WeekIndex],70)=0,"",SUMIFS(T_TTAFStock_Log[TTAF_Qty],T_TTAFStock_Log[Part Name],$A29,T_TTAFStock_Log[WeekIndex],70))</f>
        <v/>
      </c>
      <c r="BT29" s="19">
        <f>IF(COUNTIFS(T_TTAFStock_Log[Part Name],$A29,T_TTAFStock_Log[WeekIndex],71)=0,"",SUMIFS(T_TTAFStock_Log[TTAF_Qty],T_TTAFStock_Log[Part Name],$A29,T_TTAFStock_Log[WeekIndex],71))</f>
        <v/>
      </c>
      <c r="BU29" s="19">
        <f>IF(COUNTIFS(T_TTAFStock_Log[Part Name],$A29,T_TTAFStock_Log[WeekIndex],72)=0,"",SUMIFS(T_TTAFStock_Log[TTAF_Qty],T_TTAFStock_Log[Part Name],$A29,T_TTAFStock_Log[WeekIndex],72))</f>
        <v/>
      </c>
      <c r="BV29" s="19">
        <f>IF(COUNTIFS(T_TTAFStock_Log[Part Name],$A29,T_TTAFStock_Log[WeekIndex],73)=0,"",SUMIFS(T_TTAFStock_Log[TTAF_Qty],T_TTAFStock_Log[Part Name],$A29,T_TTAFStock_Log[WeekIndex],73))</f>
        <v/>
      </c>
      <c r="BW29" s="19">
        <f>IF(COUNTIFS(T_TTAFStock_Log[Part Name],$A29,T_TTAFStock_Log[WeekIndex],74)=0,"",SUMIFS(T_TTAFStock_Log[TTAF_Qty],T_TTAFStock_Log[Part Name],$A29,T_TTAFStock_Log[WeekIndex],74))</f>
        <v/>
      </c>
      <c r="BX29" s="19">
        <f>IF(COUNTIFS(T_TTAFStock_Log[Part Name],$A29,T_TTAFStock_Log[WeekIndex],75)=0,"",SUMIFS(T_TTAFStock_Log[TTAF_Qty],T_TTAFStock_Log[Part Name],$A29,T_TTAFStock_Log[WeekIndex],75))</f>
        <v/>
      </c>
      <c r="BY29" s="19">
        <f>IF(COUNTIFS(T_TTAFStock_Log[Part Name],$A29,T_TTAFStock_Log[WeekIndex],76)=0,"",SUMIFS(T_TTAFStock_Log[TTAF_Qty],T_TTAFStock_Log[Part Name],$A29,T_TTAFStock_Log[WeekIndex],76))</f>
        <v/>
      </c>
      <c r="BZ29" s="19">
        <f>IF(COUNTIFS(T_TTAFStock_Log[Part Name],$A29,T_TTAFStock_Log[WeekIndex],77)=0,"",SUMIFS(T_TTAFStock_Log[TTAF_Qty],T_TTAFStock_Log[Part Name],$A29,T_TTAFStock_Log[WeekIndex],77))</f>
        <v/>
      </c>
      <c r="CA29" s="19">
        <f>IF(COUNTIFS(T_TTAFStock_Log[Part Name],$A29,T_TTAFStock_Log[WeekIndex],78)=0,"",SUMIFS(T_TTAFStock_Log[TTAF_Qty],T_TTAFStock_Log[Part Name],$A29,T_TTAFStock_Log[WeekIndex],78))</f>
        <v/>
      </c>
      <c r="CB29" s="19">
        <f>IF(COUNTIFS(T_TTAFStock_Log[Part Name],$A29,T_TTAFStock_Log[WeekIndex],79)=0,"",SUMIFS(T_TTAFStock_Log[TTAF_Qty],T_TTAFStock_Log[Part Name],$A29,T_TTAFStock_Log[WeekIndex],79))</f>
        <v/>
      </c>
      <c r="CC29" s="19">
        <f>IF(COUNTIFS(T_TTAFStock_Log[Part Name],$A29,T_TTAFStock_Log[WeekIndex],80)=0,"",SUMIFS(T_TTAFStock_Log[TTAF_Qty],T_TTAFStock_Log[Part Name],$A29,T_TTAFStock_Log[WeekIndex],80))</f>
        <v/>
      </c>
      <c r="CD29" s="19">
        <f>IF(COUNTIFS(T_TTAFStock_Log[Part Name],$A29,T_TTAFStock_Log[WeekIndex],81)=0,"",SUMIFS(T_TTAFStock_Log[TTAF_Qty],T_TTAFStock_Log[Part Name],$A29,T_TTAFStock_Log[WeekIndex],81))</f>
        <v/>
      </c>
      <c r="CE29" s="19">
        <f>IF(COUNTIFS(T_TTAFStock_Log[Part Name],$A29,T_TTAFStock_Log[WeekIndex],82)=0,"",SUMIFS(T_TTAFStock_Log[TTAF_Qty],T_TTAFStock_Log[Part Name],$A29,T_TTAFStock_Log[WeekIndex],82))</f>
        <v/>
      </c>
      <c r="CF29" s="19">
        <f>IF(COUNTIFS(T_TTAFStock_Log[Part Name],$A29,T_TTAFStock_Log[WeekIndex],83)=0,"",SUMIFS(T_TTAFStock_Log[TTAF_Qty],T_TTAFStock_Log[Part Name],$A29,T_TTAFStock_Log[WeekIndex],83))</f>
        <v/>
      </c>
      <c r="CG29" s="19">
        <f>IF(COUNTIFS(T_TTAFStock_Log[Part Name],$A29,T_TTAFStock_Log[WeekIndex],84)=0,"",SUMIFS(T_TTAFStock_Log[TTAF_Qty],T_TTAFStock_Log[Part Name],$A29,T_TTAFStock_Log[WeekIndex],84))</f>
        <v/>
      </c>
      <c r="CH29" s="19">
        <f>IF(COUNTIFS(T_TTAFStock_Log[Part Name],$A29,T_TTAFStock_Log[WeekIndex],85)=0,"",SUMIFS(T_TTAFStock_Log[TTAF_Qty],T_TTAFStock_Log[Part Name],$A29,T_TTAFStock_Log[WeekIndex],85))</f>
        <v/>
      </c>
      <c r="CI29" s="19">
        <f>IF(COUNTIFS(T_TTAFStock_Log[Part Name],$A29,T_TTAFStock_Log[WeekIndex],86)=0,"",SUMIFS(T_TTAFStock_Log[TTAF_Qty],T_TTAFStock_Log[Part Name],$A29,T_TTAFStock_Log[WeekIndex],86))</f>
        <v/>
      </c>
      <c r="CJ29" s="19">
        <f>IF(COUNTIFS(T_TTAFStock_Log[Part Name],$A29,T_TTAFStock_Log[WeekIndex],87)=0,"",SUMIFS(T_TTAFStock_Log[TTAF_Qty],T_TTAFStock_Log[Part Name],$A29,T_TTAFStock_Log[WeekIndex],87))</f>
        <v/>
      </c>
      <c r="CK29" s="19">
        <f>IF(COUNTIFS(T_TTAFStock_Log[Part Name],$A29,T_TTAFStock_Log[WeekIndex],88)=0,"",SUMIFS(T_TTAFStock_Log[TTAF_Qty],T_TTAFStock_Log[Part Name],$A29,T_TTAFStock_Log[WeekIndex],88))</f>
        <v/>
      </c>
      <c r="CL29" s="19">
        <f>IF(COUNTIFS(T_TTAFStock_Log[Part Name],$A29,T_TTAFStock_Log[WeekIndex],89)=0,"",SUMIFS(T_TTAFStock_Log[TTAF_Qty],T_TTAFStock_Log[Part Name],$A29,T_TTAFStock_Log[WeekIndex],89))</f>
        <v/>
      </c>
      <c r="CM29" s="19">
        <f>IF(COUNTIFS(T_TTAFStock_Log[Part Name],$A29,T_TTAFStock_Log[WeekIndex],90)=0,"",SUMIFS(T_TTAFStock_Log[TTAF_Qty],T_TTAFStock_Log[Part Name],$A29,T_TTAFStock_Log[WeekIndex],90))</f>
        <v/>
      </c>
      <c r="CN29" s="19">
        <f>IF(COUNTIFS(T_TTAFStock_Log[Part Name],$A29,T_TTAFStock_Log[WeekIndex],91)=0,"",SUMIFS(T_TTAFStock_Log[TTAF_Qty],T_TTAFStock_Log[Part Name],$A29,T_TTAFStock_Log[WeekIndex],91))</f>
        <v/>
      </c>
      <c r="CO29" s="19">
        <f>IF(COUNTIFS(T_TTAFStock_Log[Part Name],$A29,T_TTAFStock_Log[WeekIndex],92)=0,"",SUMIFS(T_TTAFStock_Log[TTAF_Qty],T_TTAFStock_Log[Part Name],$A29,T_TTAFStock_Log[WeekIndex],92))</f>
        <v/>
      </c>
      <c r="CP29" s="19">
        <f>IF(COUNTIFS(T_TTAFStock_Log[Part Name],$A29,T_TTAFStock_Log[WeekIndex],93)=0,"",SUMIFS(T_TTAFStock_Log[TTAF_Qty],T_TTAFStock_Log[Part Name],$A29,T_TTAFStock_Log[WeekIndex],93))</f>
        <v/>
      </c>
      <c r="CQ29" s="19">
        <f>IF(COUNTIFS(T_TTAFStock_Log[Part Name],$A29,T_TTAFStock_Log[WeekIndex],94)=0,"",SUMIFS(T_TTAFStock_Log[TTAF_Qty],T_TTAFStock_Log[Part Name],$A29,T_TTAFStock_Log[WeekIndex],94))</f>
        <v/>
      </c>
      <c r="CR29" s="19">
        <f>IF(COUNTIFS(T_TTAFStock_Log[Part Name],$A29,T_TTAFStock_Log[WeekIndex],95)=0,"",SUMIFS(T_TTAFStock_Log[TTAF_Qty],T_TTAFStock_Log[Part Name],$A29,T_TTAFStock_Log[WeekIndex],95))</f>
        <v/>
      </c>
      <c r="CS29" s="19">
        <f>IF(COUNTIFS(T_TTAFStock_Log[Part Name],$A29,T_TTAFStock_Log[WeekIndex],96)=0,"",SUMIFS(T_TTAFStock_Log[TTAF_Qty],T_TTAFStock_Log[Part Name],$A29,T_TTAFStock_Log[WeekIndex],96))</f>
        <v/>
      </c>
      <c r="CT29" s="19">
        <f>IF(COUNTIFS(T_TTAFStock_Log[Part Name],$A29,T_TTAFStock_Log[WeekIndex],97)=0,"",SUMIFS(T_TTAFStock_Log[TTAF_Qty],T_TTAFStock_Log[Part Name],$A29,T_TTAFStock_Log[WeekIndex],97))</f>
        <v/>
      </c>
      <c r="CU29" s="19">
        <f>IF(COUNTIFS(T_TTAFStock_Log[Part Name],$A29,T_TTAFStock_Log[WeekIndex],98)=0,"",SUMIFS(T_TTAFStock_Log[TTAF_Qty],T_TTAFStock_Log[Part Name],$A29,T_TTAFStock_Log[WeekIndex],98))</f>
        <v/>
      </c>
      <c r="CV29" s="19">
        <f>IF(COUNTIFS(T_TTAFStock_Log[Part Name],$A29,T_TTAFStock_Log[WeekIndex],99)=0,"",SUMIFS(T_TTAFStock_Log[TTAF_Qty],T_TTAFStock_Log[Part Name],$A29,T_TTAFStock_Log[WeekIndex],99))</f>
        <v/>
      </c>
      <c r="CW29" s="19">
        <f>IF(COUNTIFS(T_TTAFStock_Log[Part Name],$A29,T_TTAFStock_Log[WeekIndex],100)=0,"",SUMIFS(T_TTAFStock_Log[TTAF_Qty],T_TTAFStock_Log[Part Name],$A29,T_TTAFStock_Log[WeekIndex],100))</f>
        <v/>
      </c>
      <c r="CX29" s="19">
        <f>IF(COUNTIFS(T_TTAFStock_Log[Part Name],$A29,T_TTAFStock_Log[WeekIndex],101)=0,"",SUMIFS(T_TTAFStock_Log[TTAF_Qty],T_TTAFStock_Log[Part Name],$A29,T_TTAFStock_Log[WeekIndex],101))</f>
        <v/>
      </c>
      <c r="CY29" s="19">
        <f>IF(COUNTIFS(T_TTAFStock_Log[Part Name],$A29,T_TTAFStock_Log[WeekIndex],102)=0,"",SUMIFS(T_TTAFStock_Log[TTAF_Qty],T_TTAFStock_Log[Part Name],$A29,T_TTAFStock_Log[WeekIndex],102))</f>
        <v/>
      </c>
      <c r="CZ29" s="19">
        <f>IF(COUNTIFS(T_TTAFStock_Log[Part Name],$A29,T_TTAFStock_Log[WeekIndex],103)=0,"",SUMIFS(T_TTAFStock_Log[TTAF_Qty],T_TTAFStock_Log[Part Name],$A29,T_TTAFStock_Log[WeekIndex],103))</f>
        <v/>
      </c>
      <c r="DA29" s="19">
        <f>IF(COUNTIFS(T_TTAFStock_Log[Part Name],$A29,T_TTAFStock_Log[WeekIndex],104)=0,"",SUMIFS(T_TTAFStock_Log[TTAF_Qty],T_TTAFStock_Log[Part Name],$A29,T_TTAFStock_Log[WeekIndex],104))</f>
        <v/>
      </c>
    </row>
    <row r="30">
      <c r="A30" s="17" t="inlineStr">
        <is>
          <t>CHEM-1580</t>
        </is>
      </c>
      <c r="B30" s="17">
        <f>IF(COUNTIFS(T_TTAFStock_Log[Part Name],$A30,T_TTAFStock_Log[WeekIndex],1)=0,"",SUMIFS(T_TTAFStock_Log[TTAF_Qty],T_TTAFStock_Log[Part Name],$A30,T_TTAFStock_Log[WeekIndex],1))</f>
        <v/>
      </c>
      <c r="C30" s="17">
        <f>IF(COUNTIFS(T_TTAFStock_Log[Part Name],$A30,T_TTAFStock_Log[WeekIndex],2)=0,"",SUMIFS(T_TTAFStock_Log[TTAF_Qty],T_TTAFStock_Log[Part Name],$A30,T_TTAFStock_Log[WeekIndex],2))</f>
        <v/>
      </c>
      <c r="D30" s="17">
        <f>IF(COUNTIFS(T_TTAFStock_Log[Part Name],$A30,T_TTAFStock_Log[WeekIndex],3)=0,"",SUMIFS(T_TTAFStock_Log[TTAF_Qty],T_TTAFStock_Log[Part Name],$A30,T_TTAFStock_Log[WeekIndex],3))</f>
        <v/>
      </c>
      <c r="E30" s="17">
        <f>IF(COUNTIFS(T_TTAFStock_Log[Part Name],$A30,T_TTAFStock_Log[WeekIndex],4)=0,"",SUMIFS(T_TTAFStock_Log[TTAF_Qty],T_TTAFStock_Log[Part Name],$A30,T_TTAFStock_Log[WeekIndex],4))</f>
        <v/>
      </c>
      <c r="F30" s="17">
        <f>IF(COUNTIFS(T_TTAFStock_Log[Part Name],$A30,T_TTAFStock_Log[WeekIndex],5)=0,"",SUMIFS(T_TTAFStock_Log[TTAF_Qty],T_TTAFStock_Log[Part Name],$A30,T_TTAFStock_Log[WeekIndex],5))</f>
        <v/>
      </c>
      <c r="G30" s="17">
        <f>IF(COUNTIFS(T_TTAFStock_Log[Part Name],$A30,T_TTAFStock_Log[WeekIndex],6)=0,"",SUMIFS(T_TTAFStock_Log[TTAF_Qty],T_TTAFStock_Log[Part Name],$A30,T_TTAFStock_Log[WeekIndex],6))</f>
        <v/>
      </c>
      <c r="H30" s="17">
        <f>IF(COUNTIFS(T_TTAFStock_Log[Part Name],$A30,T_TTAFStock_Log[WeekIndex],7)=0,"",SUMIFS(T_TTAFStock_Log[TTAF_Qty],T_TTAFStock_Log[Part Name],$A30,T_TTAFStock_Log[WeekIndex],7))</f>
        <v/>
      </c>
      <c r="I30" s="17">
        <f>IF(COUNTIFS(T_TTAFStock_Log[Part Name],$A30,T_TTAFStock_Log[WeekIndex],8)=0,"",SUMIFS(T_TTAFStock_Log[TTAF_Qty],T_TTAFStock_Log[Part Name],$A30,T_TTAFStock_Log[WeekIndex],8))</f>
        <v/>
      </c>
      <c r="J30" s="17">
        <f>IF(COUNTIFS(T_TTAFStock_Log[Part Name],$A30,T_TTAFStock_Log[WeekIndex],9)=0,"",SUMIFS(T_TTAFStock_Log[TTAF_Qty],T_TTAFStock_Log[Part Name],$A30,T_TTAFStock_Log[WeekIndex],9))</f>
        <v/>
      </c>
      <c r="K30" s="17">
        <f>IF(COUNTIFS(T_TTAFStock_Log[Part Name],$A30,T_TTAFStock_Log[WeekIndex],10)=0,"",SUMIFS(T_TTAFStock_Log[TTAF_Qty],T_TTAFStock_Log[Part Name],$A30,T_TTAFStock_Log[WeekIndex],10))</f>
        <v/>
      </c>
      <c r="L30" s="17">
        <f>IF(COUNTIFS(T_TTAFStock_Log[Part Name],$A30,T_TTAFStock_Log[WeekIndex],11)=0,"",SUMIFS(T_TTAFStock_Log[TTAF_Qty],T_TTAFStock_Log[Part Name],$A30,T_TTAFStock_Log[WeekIndex],11))</f>
        <v/>
      </c>
      <c r="M30" s="17">
        <f>IF(COUNTIFS(T_TTAFStock_Log[Part Name],$A30,T_TTAFStock_Log[WeekIndex],12)=0,"",SUMIFS(T_TTAFStock_Log[TTAF_Qty],T_TTAFStock_Log[Part Name],$A30,T_TTAFStock_Log[WeekIndex],12))</f>
        <v/>
      </c>
      <c r="N30" s="17">
        <f>IF(COUNTIFS(T_TTAFStock_Log[Part Name],$A30,T_TTAFStock_Log[WeekIndex],13)=0,"",SUMIFS(T_TTAFStock_Log[TTAF_Qty],T_TTAFStock_Log[Part Name],$A30,T_TTAFStock_Log[WeekIndex],13))</f>
        <v/>
      </c>
      <c r="O30" s="17">
        <f>IF(COUNTIFS(T_TTAFStock_Log[Part Name],$A30,T_TTAFStock_Log[WeekIndex],14)=0,"",SUMIFS(T_TTAFStock_Log[TTAF_Qty],T_TTAFStock_Log[Part Name],$A30,T_TTAFStock_Log[WeekIndex],14))</f>
        <v/>
      </c>
      <c r="P30" s="17">
        <f>IF(COUNTIFS(T_TTAFStock_Log[Part Name],$A30,T_TTAFStock_Log[WeekIndex],15)=0,"",SUMIFS(T_TTAFStock_Log[TTAF_Qty],T_TTAFStock_Log[Part Name],$A30,T_TTAFStock_Log[WeekIndex],15))</f>
        <v/>
      </c>
      <c r="Q30" s="17">
        <f>IF(COUNTIFS(T_TTAFStock_Log[Part Name],$A30,T_TTAFStock_Log[WeekIndex],16)=0,"",SUMIFS(T_TTAFStock_Log[TTAF_Qty],T_TTAFStock_Log[Part Name],$A30,T_TTAFStock_Log[WeekIndex],16))</f>
        <v/>
      </c>
      <c r="R30" s="17">
        <f>IF(COUNTIFS(T_TTAFStock_Log[Part Name],$A30,T_TTAFStock_Log[WeekIndex],17)=0,"",SUMIFS(T_TTAFStock_Log[TTAF_Qty],T_TTAFStock_Log[Part Name],$A30,T_TTAFStock_Log[WeekIndex],17))</f>
        <v/>
      </c>
      <c r="S30" s="17">
        <f>IF(COUNTIFS(T_TTAFStock_Log[Part Name],$A30,T_TTAFStock_Log[WeekIndex],18)=0,"",SUMIFS(T_TTAFStock_Log[TTAF_Qty],T_TTAFStock_Log[Part Name],$A30,T_TTAFStock_Log[WeekIndex],18))</f>
        <v/>
      </c>
      <c r="T30" s="17">
        <f>IF(COUNTIFS(T_TTAFStock_Log[Part Name],$A30,T_TTAFStock_Log[WeekIndex],19)=0,"",SUMIFS(T_TTAFStock_Log[TTAF_Qty],T_TTAFStock_Log[Part Name],$A30,T_TTAFStock_Log[WeekIndex],19))</f>
        <v/>
      </c>
      <c r="U30" s="17">
        <f>IF(COUNTIFS(T_TTAFStock_Log[Part Name],$A30,T_TTAFStock_Log[WeekIndex],20)=0,"",SUMIFS(T_TTAFStock_Log[TTAF_Qty],T_TTAFStock_Log[Part Name],$A30,T_TTAFStock_Log[WeekIndex],20))</f>
        <v/>
      </c>
      <c r="V30" s="17">
        <f>IF(COUNTIFS(T_TTAFStock_Log[Part Name],$A30,T_TTAFStock_Log[WeekIndex],21)=0,"",SUMIFS(T_TTAFStock_Log[TTAF_Qty],T_TTAFStock_Log[Part Name],$A30,T_TTAFStock_Log[WeekIndex],21))</f>
        <v/>
      </c>
      <c r="W30" s="17">
        <f>IF(COUNTIFS(T_TTAFStock_Log[Part Name],$A30,T_TTAFStock_Log[WeekIndex],22)=0,"",SUMIFS(T_TTAFStock_Log[TTAF_Qty],T_TTAFStock_Log[Part Name],$A30,T_TTAFStock_Log[WeekIndex],22))</f>
        <v/>
      </c>
      <c r="X30" s="17">
        <f>IF(COUNTIFS(T_TTAFStock_Log[Part Name],$A30,T_TTAFStock_Log[WeekIndex],23)=0,"",SUMIFS(T_TTAFStock_Log[TTAF_Qty],T_TTAFStock_Log[Part Name],$A30,T_TTAFStock_Log[WeekIndex],23))</f>
        <v/>
      </c>
      <c r="Y30" s="17">
        <f>IF(COUNTIFS(T_TTAFStock_Log[Part Name],$A30,T_TTAFStock_Log[WeekIndex],24)=0,"",SUMIFS(T_TTAFStock_Log[TTAF_Qty],T_TTAFStock_Log[Part Name],$A30,T_TTAFStock_Log[WeekIndex],24))</f>
        <v/>
      </c>
      <c r="Z30" s="17">
        <f>IF(COUNTIFS(T_TTAFStock_Log[Part Name],$A30,T_TTAFStock_Log[WeekIndex],25)=0,"",SUMIFS(T_TTAFStock_Log[TTAF_Qty],T_TTAFStock_Log[Part Name],$A30,T_TTAFStock_Log[WeekIndex],25))</f>
        <v/>
      </c>
      <c r="AA30" s="17">
        <f>IF(COUNTIFS(T_TTAFStock_Log[Part Name],$A30,T_TTAFStock_Log[WeekIndex],26)=0,"",SUMIFS(T_TTAFStock_Log[TTAF_Qty],T_TTAFStock_Log[Part Name],$A30,T_TTAFStock_Log[WeekIndex],26))</f>
        <v/>
      </c>
      <c r="AB30" s="17">
        <f>IF(COUNTIFS(T_TTAFStock_Log[Part Name],$A30,T_TTAFStock_Log[WeekIndex],27)=0,"",SUMIFS(T_TTAFStock_Log[TTAF_Qty],T_TTAFStock_Log[Part Name],$A30,T_TTAFStock_Log[WeekIndex],27))</f>
        <v/>
      </c>
      <c r="AC30" s="17">
        <f>IF(COUNTIFS(T_TTAFStock_Log[Part Name],$A30,T_TTAFStock_Log[WeekIndex],28)=0,"",SUMIFS(T_TTAFStock_Log[TTAF_Qty],T_TTAFStock_Log[Part Name],$A30,T_TTAFStock_Log[WeekIndex],28))</f>
        <v/>
      </c>
      <c r="AD30" s="17">
        <f>IF(COUNTIFS(T_TTAFStock_Log[Part Name],$A30,T_TTAFStock_Log[WeekIndex],29)=0,"",SUMIFS(T_TTAFStock_Log[TTAF_Qty],T_TTAFStock_Log[Part Name],$A30,T_TTAFStock_Log[WeekIndex],29))</f>
        <v/>
      </c>
      <c r="AE30" s="17">
        <f>IF(COUNTIFS(T_TTAFStock_Log[Part Name],$A30,T_TTAFStock_Log[WeekIndex],30)=0,"",SUMIFS(T_TTAFStock_Log[TTAF_Qty],T_TTAFStock_Log[Part Name],$A30,T_TTAFStock_Log[WeekIndex],30))</f>
        <v/>
      </c>
      <c r="AF30" s="17">
        <f>IF(COUNTIFS(T_TTAFStock_Log[Part Name],$A30,T_TTAFStock_Log[WeekIndex],31)=0,"",SUMIFS(T_TTAFStock_Log[TTAF_Qty],T_TTAFStock_Log[Part Name],$A30,T_TTAFStock_Log[WeekIndex],31))</f>
        <v/>
      </c>
      <c r="AG30" s="17">
        <f>IF(COUNTIFS(T_TTAFStock_Log[Part Name],$A30,T_TTAFStock_Log[WeekIndex],32)=0,"",SUMIFS(T_TTAFStock_Log[TTAF_Qty],T_TTAFStock_Log[Part Name],$A30,T_TTAFStock_Log[WeekIndex],32))</f>
        <v/>
      </c>
      <c r="AH30" s="17">
        <f>IF(COUNTIFS(T_TTAFStock_Log[Part Name],$A30,T_TTAFStock_Log[WeekIndex],33)=0,"",SUMIFS(T_TTAFStock_Log[TTAF_Qty],T_TTAFStock_Log[Part Name],$A30,T_TTAFStock_Log[WeekIndex],33))</f>
        <v/>
      </c>
      <c r="AI30" s="17">
        <f>IF(COUNTIFS(T_TTAFStock_Log[Part Name],$A30,T_TTAFStock_Log[WeekIndex],34)=0,"",SUMIFS(T_TTAFStock_Log[TTAF_Qty],T_TTAFStock_Log[Part Name],$A30,T_TTAFStock_Log[WeekIndex],34))</f>
        <v/>
      </c>
      <c r="AJ30" s="17">
        <f>IF(COUNTIFS(T_TTAFStock_Log[Part Name],$A30,T_TTAFStock_Log[WeekIndex],35)=0,"",SUMIFS(T_TTAFStock_Log[TTAF_Qty],T_TTAFStock_Log[Part Name],$A30,T_TTAFStock_Log[WeekIndex],35))</f>
        <v/>
      </c>
      <c r="AK30" s="17">
        <f>IF(COUNTIFS(T_TTAFStock_Log[Part Name],$A30,T_TTAFStock_Log[WeekIndex],36)=0,"",SUMIFS(T_TTAFStock_Log[TTAF_Qty],T_TTAFStock_Log[Part Name],$A30,T_TTAFStock_Log[WeekIndex],36))</f>
        <v/>
      </c>
      <c r="AL30" s="17">
        <f>IF(COUNTIFS(T_TTAFStock_Log[Part Name],$A30,T_TTAFStock_Log[WeekIndex],37)=0,"",SUMIFS(T_TTAFStock_Log[TTAF_Qty],T_TTAFStock_Log[Part Name],$A30,T_TTAFStock_Log[WeekIndex],37))</f>
        <v/>
      </c>
      <c r="AM30" s="17">
        <f>IF(COUNTIFS(T_TTAFStock_Log[Part Name],$A30,T_TTAFStock_Log[WeekIndex],38)=0,"",SUMIFS(T_TTAFStock_Log[TTAF_Qty],T_TTAFStock_Log[Part Name],$A30,T_TTAFStock_Log[WeekIndex],38))</f>
        <v/>
      </c>
      <c r="AN30" s="17">
        <f>IF(COUNTIFS(T_TTAFStock_Log[Part Name],$A30,T_TTAFStock_Log[WeekIndex],39)=0,"",SUMIFS(T_TTAFStock_Log[TTAF_Qty],T_TTAFStock_Log[Part Name],$A30,T_TTAFStock_Log[WeekIndex],39))</f>
        <v/>
      </c>
      <c r="AO30" s="17">
        <f>IF(COUNTIFS(T_TTAFStock_Log[Part Name],$A30,T_TTAFStock_Log[WeekIndex],40)=0,"",SUMIFS(T_TTAFStock_Log[TTAF_Qty],T_TTAFStock_Log[Part Name],$A30,T_TTAFStock_Log[WeekIndex],40))</f>
        <v/>
      </c>
      <c r="AP30" s="17">
        <f>IF(COUNTIFS(T_TTAFStock_Log[Part Name],$A30,T_TTAFStock_Log[WeekIndex],41)=0,"",SUMIFS(T_TTAFStock_Log[TTAF_Qty],T_TTAFStock_Log[Part Name],$A30,T_TTAFStock_Log[WeekIndex],41))</f>
        <v/>
      </c>
      <c r="AQ30" s="17">
        <f>IF(COUNTIFS(T_TTAFStock_Log[Part Name],$A30,T_TTAFStock_Log[WeekIndex],42)=0,"",SUMIFS(T_TTAFStock_Log[TTAF_Qty],T_TTAFStock_Log[Part Name],$A30,T_TTAFStock_Log[WeekIndex],42))</f>
        <v/>
      </c>
      <c r="AR30" s="17">
        <f>IF(COUNTIFS(T_TTAFStock_Log[Part Name],$A30,T_TTAFStock_Log[WeekIndex],43)=0,"",SUMIFS(T_TTAFStock_Log[TTAF_Qty],T_TTAFStock_Log[Part Name],$A30,T_TTAFStock_Log[WeekIndex],43))</f>
        <v/>
      </c>
      <c r="AS30" s="17">
        <f>IF(COUNTIFS(T_TTAFStock_Log[Part Name],$A30,T_TTAFStock_Log[WeekIndex],44)=0,"",SUMIFS(T_TTAFStock_Log[TTAF_Qty],T_TTAFStock_Log[Part Name],$A30,T_TTAFStock_Log[WeekIndex],44))</f>
        <v/>
      </c>
      <c r="AT30" s="17">
        <f>IF(COUNTIFS(T_TTAFStock_Log[Part Name],$A30,T_TTAFStock_Log[WeekIndex],45)=0,"",SUMIFS(T_TTAFStock_Log[TTAF_Qty],T_TTAFStock_Log[Part Name],$A30,T_TTAFStock_Log[WeekIndex],45))</f>
        <v/>
      </c>
      <c r="AU30" s="17">
        <f>IF(COUNTIFS(T_TTAFStock_Log[Part Name],$A30,T_TTAFStock_Log[WeekIndex],46)=0,"",SUMIFS(T_TTAFStock_Log[TTAF_Qty],T_TTAFStock_Log[Part Name],$A30,T_TTAFStock_Log[WeekIndex],46))</f>
        <v/>
      </c>
      <c r="AV30" s="17">
        <f>IF(COUNTIFS(T_TTAFStock_Log[Part Name],$A30,T_TTAFStock_Log[WeekIndex],47)=0,"",SUMIFS(T_TTAFStock_Log[TTAF_Qty],T_TTAFStock_Log[Part Name],$A30,T_TTAFStock_Log[WeekIndex],47))</f>
        <v/>
      </c>
      <c r="AW30" s="17">
        <f>IF(COUNTIFS(T_TTAFStock_Log[Part Name],$A30,T_TTAFStock_Log[WeekIndex],48)=0,"",SUMIFS(T_TTAFStock_Log[TTAF_Qty],T_TTAFStock_Log[Part Name],$A30,T_TTAFStock_Log[WeekIndex],48))</f>
        <v/>
      </c>
      <c r="AX30" s="17">
        <f>IF(COUNTIFS(T_TTAFStock_Log[Part Name],$A30,T_TTAFStock_Log[WeekIndex],49)=0,"",SUMIFS(T_TTAFStock_Log[TTAF_Qty],T_TTAFStock_Log[Part Name],$A30,T_TTAFStock_Log[WeekIndex],49))</f>
        <v/>
      </c>
      <c r="AY30" s="17">
        <f>IF(COUNTIFS(T_TTAFStock_Log[Part Name],$A30,T_TTAFStock_Log[WeekIndex],50)=0,"",SUMIFS(T_TTAFStock_Log[TTAF_Qty],T_TTAFStock_Log[Part Name],$A30,T_TTAFStock_Log[WeekIndex],50))</f>
        <v/>
      </c>
      <c r="AZ30" s="17">
        <f>IF(COUNTIFS(T_TTAFStock_Log[Part Name],$A30,T_TTAFStock_Log[WeekIndex],51)=0,"",SUMIFS(T_TTAFStock_Log[TTAF_Qty],T_TTAFStock_Log[Part Name],$A30,T_TTAFStock_Log[WeekIndex],51))</f>
        <v/>
      </c>
      <c r="BA30" s="17">
        <f>IF(COUNTIFS(T_TTAFStock_Log[Part Name],$A30,T_TTAFStock_Log[WeekIndex],52)=0,"",SUMIFS(T_TTAFStock_Log[TTAF_Qty],T_TTAFStock_Log[Part Name],$A30,T_TTAFStock_Log[WeekIndex],52))</f>
        <v/>
      </c>
      <c r="BB30" s="17">
        <f>IF(COUNTIFS(T_TTAFStock_Log[Part Name],$A30,T_TTAFStock_Log[WeekIndex],53)=0,"",SUMIFS(T_TTAFStock_Log[TTAF_Qty],T_TTAFStock_Log[Part Name],$A30,T_TTAFStock_Log[WeekIndex],53))</f>
        <v/>
      </c>
      <c r="BC30" s="17">
        <f>IF(COUNTIFS(T_TTAFStock_Log[Part Name],$A30,T_TTAFStock_Log[WeekIndex],54)=0,"",SUMIFS(T_TTAFStock_Log[TTAF_Qty],T_TTAFStock_Log[Part Name],$A30,T_TTAFStock_Log[WeekIndex],54))</f>
        <v/>
      </c>
      <c r="BD30" s="17">
        <f>IF(COUNTIFS(T_TTAFStock_Log[Part Name],$A30,T_TTAFStock_Log[WeekIndex],55)=0,"",SUMIFS(T_TTAFStock_Log[TTAF_Qty],T_TTAFStock_Log[Part Name],$A30,T_TTAFStock_Log[WeekIndex],55))</f>
        <v/>
      </c>
      <c r="BE30" s="17">
        <f>IF(COUNTIFS(T_TTAFStock_Log[Part Name],$A30,T_TTAFStock_Log[WeekIndex],56)=0,"",SUMIFS(T_TTAFStock_Log[TTAF_Qty],T_TTAFStock_Log[Part Name],$A30,T_TTAFStock_Log[WeekIndex],56))</f>
        <v/>
      </c>
      <c r="BF30" s="17">
        <f>IF(COUNTIFS(T_TTAFStock_Log[Part Name],$A30,T_TTAFStock_Log[WeekIndex],57)=0,"",SUMIFS(T_TTAFStock_Log[TTAF_Qty],T_TTAFStock_Log[Part Name],$A30,T_TTAFStock_Log[WeekIndex],57))</f>
        <v/>
      </c>
      <c r="BG30" s="17">
        <f>IF(COUNTIFS(T_TTAFStock_Log[Part Name],$A30,T_TTAFStock_Log[WeekIndex],58)=0,"",SUMIFS(T_TTAFStock_Log[TTAF_Qty],T_TTAFStock_Log[Part Name],$A30,T_TTAFStock_Log[WeekIndex],58))</f>
        <v/>
      </c>
      <c r="BH30" s="17">
        <f>IF(COUNTIFS(T_TTAFStock_Log[Part Name],$A30,T_TTAFStock_Log[WeekIndex],59)=0,"",SUMIFS(T_TTAFStock_Log[TTAF_Qty],T_TTAFStock_Log[Part Name],$A30,T_TTAFStock_Log[WeekIndex],59))</f>
        <v/>
      </c>
      <c r="BI30" s="17">
        <f>IF(COUNTIFS(T_TTAFStock_Log[Part Name],$A30,T_TTAFStock_Log[WeekIndex],60)=0,"",SUMIFS(T_TTAFStock_Log[TTAF_Qty],T_TTAFStock_Log[Part Name],$A30,T_TTAFStock_Log[WeekIndex],60))</f>
        <v/>
      </c>
      <c r="BJ30" s="17">
        <f>IF(COUNTIFS(T_TTAFStock_Log[Part Name],$A30,T_TTAFStock_Log[WeekIndex],61)=0,"",SUMIFS(T_TTAFStock_Log[TTAF_Qty],T_TTAFStock_Log[Part Name],$A30,T_TTAFStock_Log[WeekIndex],61))</f>
        <v/>
      </c>
      <c r="BK30" s="17">
        <f>IF(COUNTIFS(T_TTAFStock_Log[Part Name],$A30,T_TTAFStock_Log[WeekIndex],62)=0,"",SUMIFS(T_TTAFStock_Log[TTAF_Qty],T_TTAFStock_Log[Part Name],$A30,T_TTAFStock_Log[WeekIndex],62))</f>
        <v/>
      </c>
      <c r="BL30" s="17">
        <f>IF(COUNTIFS(T_TTAFStock_Log[Part Name],$A30,T_TTAFStock_Log[WeekIndex],63)=0,"",SUMIFS(T_TTAFStock_Log[TTAF_Qty],T_TTAFStock_Log[Part Name],$A30,T_TTAFStock_Log[WeekIndex],63))</f>
        <v/>
      </c>
      <c r="BM30" s="17">
        <f>IF(COUNTIFS(T_TTAFStock_Log[Part Name],$A30,T_TTAFStock_Log[WeekIndex],64)=0,"",SUMIFS(T_TTAFStock_Log[TTAF_Qty],T_TTAFStock_Log[Part Name],$A30,T_TTAFStock_Log[WeekIndex],64))</f>
        <v/>
      </c>
      <c r="BN30" s="17">
        <f>IF(COUNTIFS(T_TTAFStock_Log[Part Name],$A30,T_TTAFStock_Log[WeekIndex],65)=0,"",SUMIFS(T_TTAFStock_Log[TTAF_Qty],T_TTAFStock_Log[Part Name],$A30,T_TTAFStock_Log[WeekIndex],65))</f>
        <v/>
      </c>
      <c r="BO30" s="17">
        <f>IF(COUNTIFS(T_TTAFStock_Log[Part Name],$A30,T_TTAFStock_Log[WeekIndex],66)=0,"",SUMIFS(T_TTAFStock_Log[TTAF_Qty],T_TTAFStock_Log[Part Name],$A30,T_TTAFStock_Log[WeekIndex],66))</f>
        <v/>
      </c>
      <c r="BP30" s="17">
        <f>IF(COUNTIFS(T_TTAFStock_Log[Part Name],$A30,T_TTAFStock_Log[WeekIndex],67)=0,"",SUMIFS(T_TTAFStock_Log[TTAF_Qty],T_TTAFStock_Log[Part Name],$A30,T_TTAFStock_Log[WeekIndex],67))</f>
        <v/>
      </c>
      <c r="BQ30" s="17">
        <f>IF(COUNTIFS(T_TTAFStock_Log[Part Name],$A30,T_TTAFStock_Log[WeekIndex],68)=0,"",SUMIFS(T_TTAFStock_Log[TTAF_Qty],T_TTAFStock_Log[Part Name],$A30,T_TTAFStock_Log[WeekIndex],68))</f>
        <v/>
      </c>
      <c r="BR30" s="17">
        <f>IF(COUNTIFS(T_TTAFStock_Log[Part Name],$A30,T_TTAFStock_Log[WeekIndex],69)=0,"",SUMIFS(T_TTAFStock_Log[TTAF_Qty],T_TTAFStock_Log[Part Name],$A30,T_TTAFStock_Log[WeekIndex],69))</f>
        <v/>
      </c>
      <c r="BS30" s="17">
        <f>IF(COUNTIFS(T_TTAFStock_Log[Part Name],$A30,T_TTAFStock_Log[WeekIndex],70)=0,"",SUMIFS(T_TTAFStock_Log[TTAF_Qty],T_TTAFStock_Log[Part Name],$A30,T_TTAFStock_Log[WeekIndex],70))</f>
        <v/>
      </c>
      <c r="BT30" s="17">
        <f>IF(COUNTIFS(T_TTAFStock_Log[Part Name],$A30,T_TTAFStock_Log[WeekIndex],71)=0,"",SUMIFS(T_TTAFStock_Log[TTAF_Qty],T_TTAFStock_Log[Part Name],$A30,T_TTAFStock_Log[WeekIndex],71))</f>
        <v/>
      </c>
      <c r="BU30" s="17">
        <f>IF(COUNTIFS(T_TTAFStock_Log[Part Name],$A30,T_TTAFStock_Log[WeekIndex],72)=0,"",SUMIFS(T_TTAFStock_Log[TTAF_Qty],T_TTAFStock_Log[Part Name],$A30,T_TTAFStock_Log[WeekIndex],72))</f>
        <v/>
      </c>
      <c r="BV30" s="17">
        <f>IF(COUNTIFS(T_TTAFStock_Log[Part Name],$A30,T_TTAFStock_Log[WeekIndex],73)=0,"",SUMIFS(T_TTAFStock_Log[TTAF_Qty],T_TTAFStock_Log[Part Name],$A30,T_TTAFStock_Log[WeekIndex],73))</f>
        <v/>
      </c>
      <c r="BW30" s="17">
        <f>IF(COUNTIFS(T_TTAFStock_Log[Part Name],$A30,T_TTAFStock_Log[WeekIndex],74)=0,"",SUMIFS(T_TTAFStock_Log[TTAF_Qty],T_TTAFStock_Log[Part Name],$A30,T_TTAFStock_Log[WeekIndex],74))</f>
        <v/>
      </c>
      <c r="BX30" s="17">
        <f>IF(COUNTIFS(T_TTAFStock_Log[Part Name],$A30,T_TTAFStock_Log[WeekIndex],75)=0,"",SUMIFS(T_TTAFStock_Log[TTAF_Qty],T_TTAFStock_Log[Part Name],$A30,T_TTAFStock_Log[WeekIndex],75))</f>
        <v/>
      </c>
      <c r="BY30" s="17">
        <f>IF(COUNTIFS(T_TTAFStock_Log[Part Name],$A30,T_TTAFStock_Log[WeekIndex],76)=0,"",SUMIFS(T_TTAFStock_Log[TTAF_Qty],T_TTAFStock_Log[Part Name],$A30,T_TTAFStock_Log[WeekIndex],76))</f>
        <v/>
      </c>
      <c r="BZ30" s="17">
        <f>IF(COUNTIFS(T_TTAFStock_Log[Part Name],$A30,T_TTAFStock_Log[WeekIndex],77)=0,"",SUMIFS(T_TTAFStock_Log[TTAF_Qty],T_TTAFStock_Log[Part Name],$A30,T_TTAFStock_Log[WeekIndex],77))</f>
        <v/>
      </c>
      <c r="CA30" s="17">
        <f>IF(COUNTIFS(T_TTAFStock_Log[Part Name],$A30,T_TTAFStock_Log[WeekIndex],78)=0,"",SUMIFS(T_TTAFStock_Log[TTAF_Qty],T_TTAFStock_Log[Part Name],$A30,T_TTAFStock_Log[WeekIndex],78))</f>
        <v/>
      </c>
      <c r="CB30" s="17">
        <f>IF(COUNTIFS(T_TTAFStock_Log[Part Name],$A30,T_TTAFStock_Log[WeekIndex],79)=0,"",SUMIFS(T_TTAFStock_Log[TTAF_Qty],T_TTAFStock_Log[Part Name],$A30,T_TTAFStock_Log[WeekIndex],79))</f>
        <v/>
      </c>
      <c r="CC30" s="17">
        <f>IF(COUNTIFS(T_TTAFStock_Log[Part Name],$A30,T_TTAFStock_Log[WeekIndex],80)=0,"",SUMIFS(T_TTAFStock_Log[TTAF_Qty],T_TTAFStock_Log[Part Name],$A30,T_TTAFStock_Log[WeekIndex],80))</f>
        <v/>
      </c>
      <c r="CD30" s="17">
        <f>IF(COUNTIFS(T_TTAFStock_Log[Part Name],$A30,T_TTAFStock_Log[WeekIndex],81)=0,"",SUMIFS(T_TTAFStock_Log[TTAF_Qty],T_TTAFStock_Log[Part Name],$A30,T_TTAFStock_Log[WeekIndex],81))</f>
        <v/>
      </c>
      <c r="CE30" s="17">
        <f>IF(COUNTIFS(T_TTAFStock_Log[Part Name],$A30,T_TTAFStock_Log[WeekIndex],82)=0,"",SUMIFS(T_TTAFStock_Log[TTAF_Qty],T_TTAFStock_Log[Part Name],$A30,T_TTAFStock_Log[WeekIndex],82))</f>
        <v/>
      </c>
      <c r="CF30" s="17">
        <f>IF(COUNTIFS(T_TTAFStock_Log[Part Name],$A30,T_TTAFStock_Log[WeekIndex],83)=0,"",SUMIFS(T_TTAFStock_Log[TTAF_Qty],T_TTAFStock_Log[Part Name],$A30,T_TTAFStock_Log[WeekIndex],83))</f>
        <v/>
      </c>
      <c r="CG30" s="17">
        <f>IF(COUNTIFS(T_TTAFStock_Log[Part Name],$A30,T_TTAFStock_Log[WeekIndex],84)=0,"",SUMIFS(T_TTAFStock_Log[TTAF_Qty],T_TTAFStock_Log[Part Name],$A30,T_TTAFStock_Log[WeekIndex],84))</f>
        <v/>
      </c>
      <c r="CH30" s="17">
        <f>IF(COUNTIFS(T_TTAFStock_Log[Part Name],$A30,T_TTAFStock_Log[WeekIndex],85)=0,"",SUMIFS(T_TTAFStock_Log[TTAF_Qty],T_TTAFStock_Log[Part Name],$A30,T_TTAFStock_Log[WeekIndex],85))</f>
        <v/>
      </c>
      <c r="CI30" s="17">
        <f>IF(COUNTIFS(T_TTAFStock_Log[Part Name],$A30,T_TTAFStock_Log[WeekIndex],86)=0,"",SUMIFS(T_TTAFStock_Log[TTAF_Qty],T_TTAFStock_Log[Part Name],$A30,T_TTAFStock_Log[WeekIndex],86))</f>
        <v/>
      </c>
      <c r="CJ30" s="17">
        <f>IF(COUNTIFS(T_TTAFStock_Log[Part Name],$A30,T_TTAFStock_Log[WeekIndex],87)=0,"",SUMIFS(T_TTAFStock_Log[TTAF_Qty],T_TTAFStock_Log[Part Name],$A30,T_TTAFStock_Log[WeekIndex],87))</f>
        <v/>
      </c>
      <c r="CK30" s="17">
        <f>IF(COUNTIFS(T_TTAFStock_Log[Part Name],$A30,T_TTAFStock_Log[WeekIndex],88)=0,"",SUMIFS(T_TTAFStock_Log[TTAF_Qty],T_TTAFStock_Log[Part Name],$A30,T_TTAFStock_Log[WeekIndex],88))</f>
        <v/>
      </c>
      <c r="CL30" s="17">
        <f>IF(COUNTIFS(T_TTAFStock_Log[Part Name],$A30,T_TTAFStock_Log[WeekIndex],89)=0,"",SUMIFS(T_TTAFStock_Log[TTAF_Qty],T_TTAFStock_Log[Part Name],$A30,T_TTAFStock_Log[WeekIndex],89))</f>
        <v/>
      </c>
      <c r="CM30" s="17">
        <f>IF(COUNTIFS(T_TTAFStock_Log[Part Name],$A30,T_TTAFStock_Log[WeekIndex],90)=0,"",SUMIFS(T_TTAFStock_Log[TTAF_Qty],T_TTAFStock_Log[Part Name],$A30,T_TTAFStock_Log[WeekIndex],90))</f>
        <v/>
      </c>
      <c r="CN30" s="17">
        <f>IF(COUNTIFS(T_TTAFStock_Log[Part Name],$A30,T_TTAFStock_Log[WeekIndex],91)=0,"",SUMIFS(T_TTAFStock_Log[TTAF_Qty],T_TTAFStock_Log[Part Name],$A30,T_TTAFStock_Log[WeekIndex],91))</f>
        <v/>
      </c>
      <c r="CO30" s="17">
        <f>IF(COUNTIFS(T_TTAFStock_Log[Part Name],$A30,T_TTAFStock_Log[WeekIndex],92)=0,"",SUMIFS(T_TTAFStock_Log[TTAF_Qty],T_TTAFStock_Log[Part Name],$A30,T_TTAFStock_Log[WeekIndex],92))</f>
        <v/>
      </c>
      <c r="CP30" s="17">
        <f>IF(COUNTIFS(T_TTAFStock_Log[Part Name],$A30,T_TTAFStock_Log[WeekIndex],93)=0,"",SUMIFS(T_TTAFStock_Log[TTAF_Qty],T_TTAFStock_Log[Part Name],$A30,T_TTAFStock_Log[WeekIndex],93))</f>
        <v/>
      </c>
      <c r="CQ30" s="17">
        <f>IF(COUNTIFS(T_TTAFStock_Log[Part Name],$A30,T_TTAFStock_Log[WeekIndex],94)=0,"",SUMIFS(T_TTAFStock_Log[TTAF_Qty],T_TTAFStock_Log[Part Name],$A30,T_TTAFStock_Log[WeekIndex],94))</f>
        <v/>
      </c>
      <c r="CR30" s="17">
        <f>IF(COUNTIFS(T_TTAFStock_Log[Part Name],$A30,T_TTAFStock_Log[WeekIndex],95)=0,"",SUMIFS(T_TTAFStock_Log[TTAF_Qty],T_TTAFStock_Log[Part Name],$A30,T_TTAFStock_Log[WeekIndex],95))</f>
        <v/>
      </c>
      <c r="CS30" s="17">
        <f>IF(COUNTIFS(T_TTAFStock_Log[Part Name],$A30,T_TTAFStock_Log[WeekIndex],96)=0,"",SUMIFS(T_TTAFStock_Log[TTAF_Qty],T_TTAFStock_Log[Part Name],$A30,T_TTAFStock_Log[WeekIndex],96))</f>
        <v/>
      </c>
      <c r="CT30" s="17">
        <f>IF(COUNTIFS(T_TTAFStock_Log[Part Name],$A30,T_TTAFStock_Log[WeekIndex],97)=0,"",SUMIFS(T_TTAFStock_Log[TTAF_Qty],T_TTAFStock_Log[Part Name],$A30,T_TTAFStock_Log[WeekIndex],97))</f>
        <v/>
      </c>
      <c r="CU30" s="17">
        <f>IF(COUNTIFS(T_TTAFStock_Log[Part Name],$A30,T_TTAFStock_Log[WeekIndex],98)=0,"",SUMIFS(T_TTAFStock_Log[TTAF_Qty],T_TTAFStock_Log[Part Name],$A30,T_TTAFStock_Log[WeekIndex],98))</f>
        <v/>
      </c>
      <c r="CV30" s="17">
        <f>IF(COUNTIFS(T_TTAFStock_Log[Part Name],$A30,T_TTAFStock_Log[WeekIndex],99)=0,"",SUMIFS(T_TTAFStock_Log[TTAF_Qty],T_TTAFStock_Log[Part Name],$A30,T_TTAFStock_Log[WeekIndex],99))</f>
        <v/>
      </c>
      <c r="CW30" s="17">
        <f>IF(COUNTIFS(T_TTAFStock_Log[Part Name],$A30,T_TTAFStock_Log[WeekIndex],100)=0,"",SUMIFS(T_TTAFStock_Log[TTAF_Qty],T_TTAFStock_Log[Part Name],$A30,T_TTAFStock_Log[WeekIndex],100))</f>
        <v/>
      </c>
      <c r="CX30" s="17">
        <f>IF(COUNTIFS(T_TTAFStock_Log[Part Name],$A30,T_TTAFStock_Log[WeekIndex],101)=0,"",SUMIFS(T_TTAFStock_Log[TTAF_Qty],T_TTAFStock_Log[Part Name],$A30,T_TTAFStock_Log[WeekIndex],101))</f>
        <v/>
      </c>
      <c r="CY30" s="17">
        <f>IF(COUNTIFS(T_TTAFStock_Log[Part Name],$A30,T_TTAFStock_Log[WeekIndex],102)=0,"",SUMIFS(T_TTAFStock_Log[TTAF_Qty],T_TTAFStock_Log[Part Name],$A30,T_TTAFStock_Log[WeekIndex],102))</f>
        <v/>
      </c>
      <c r="CZ30" s="17">
        <f>IF(COUNTIFS(T_TTAFStock_Log[Part Name],$A30,T_TTAFStock_Log[WeekIndex],103)=0,"",SUMIFS(T_TTAFStock_Log[TTAF_Qty],T_TTAFStock_Log[Part Name],$A30,T_TTAFStock_Log[WeekIndex],103))</f>
        <v/>
      </c>
      <c r="DA30" s="17">
        <f>IF(COUNTIFS(T_TTAFStock_Log[Part Name],$A30,T_TTAFStock_Log[WeekIndex],104)=0,"",SUMIFS(T_TTAFStock_Log[TTAF_Qty],T_TTAFStock_Log[Part Name],$A30,T_TTAFStock_Log[WeekIndex],104))</f>
        <v/>
      </c>
    </row>
    <row r="31">
      <c r="A31" s="19" t="inlineStr">
        <is>
          <t>CHEM-1250</t>
        </is>
      </c>
      <c r="B31" s="19">
        <f>IF(COUNTIFS(T_TTAFStock_Log[Part Name],$A31,T_TTAFStock_Log[WeekIndex],1)=0,"",SUMIFS(T_TTAFStock_Log[TTAF_Qty],T_TTAFStock_Log[Part Name],$A31,T_TTAFStock_Log[WeekIndex],1))</f>
        <v/>
      </c>
      <c r="C31" s="19">
        <f>IF(COUNTIFS(T_TTAFStock_Log[Part Name],$A31,T_TTAFStock_Log[WeekIndex],2)=0,"",SUMIFS(T_TTAFStock_Log[TTAF_Qty],T_TTAFStock_Log[Part Name],$A31,T_TTAFStock_Log[WeekIndex],2))</f>
        <v/>
      </c>
      <c r="D31" s="19">
        <f>IF(COUNTIFS(T_TTAFStock_Log[Part Name],$A31,T_TTAFStock_Log[WeekIndex],3)=0,"",SUMIFS(T_TTAFStock_Log[TTAF_Qty],T_TTAFStock_Log[Part Name],$A31,T_TTAFStock_Log[WeekIndex],3))</f>
        <v/>
      </c>
      <c r="E31" s="19">
        <f>IF(COUNTIFS(T_TTAFStock_Log[Part Name],$A31,T_TTAFStock_Log[WeekIndex],4)=0,"",SUMIFS(T_TTAFStock_Log[TTAF_Qty],T_TTAFStock_Log[Part Name],$A31,T_TTAFStock_Log[WeekIndex],4))</f>
        <v/>
      </c>
      <c r="F31" s="19">
        <f>IF(COUNTIFS(T_TTAFStock_Log[Part Name],$A31,T_TTAFStock_Log[WeekIndex],5)=0,"",SUMIFS(T_TTAFStock_Log[TTAF_Qty],T_TTAFStock_Log[Part Name],$A31,T_TTAFStock_Log[WeekIndex],5))</f>
        <v/>
      </c>
      <c r="G31" s="19">
        <f>IF(COUNTIFS(T_TTAFStock_Log[Part Name],$A31,T_TTAFStock_Log[WeekIndex],6)=0,"",SUMIFS(T_TTAFStock_Log[TTAF_Qty],T_TTAFStock_Log[Part Name],$A31,T_TTAFStock_Log[WeekIndex],6))</f>
        <v/>
      </c>
      <c r="H31" s="19">
        <f>IF(COUNTIFS(T_TTAFStock_Log[Part Name],$A31,T_TTAFStock_Log[WeekIndex],7)=0,"",SUMIFS(T_TTAFStock_Log[TTAF_Qty],T_TTAFStock_Log[Part Name],$A31,T_TTAFStock_Log[WeekIndex],7))</f>
        <v/>
      </c>
      <c r="I31" s="19">
        <f>IF(COUNTIFS(T_TTAFStock_Log[Part Name],$A31,T_TTAFStock_Log[WeekIndex],8)=0,"",SUMIFS(T_TTAFStock_Log[TTAF_Qty],T_TTAFStock_Log[Part Name],$A31,T_TTAFStock_Log[WeekIndex],8))</f>
        <v/>
      </c>
      <c r="J31" s="19">
        <f>IF(COUNTIFS(T_TTAFStock_Log[Part Name],$A31,T_TTAFStock_Log[WeekIndex],9)=0,"",SUMIFS(T_TTAFStock_Log[TTAF_Qty],T_TTAFStock_Log[Part Name],$A31,T_TTAFStock_Log[WeekIndex],9))</f>
        <v/>
      </c>
      <c r="K31" s="19">
        <f>IF(COUNTIFS(T_TTAFStock_Log[Part Name],$A31,T_TTAFStock_Log[WeekIndex],10)=0,"",SUMIFS(T_TTAFStock_Log[TTAF_Qty],T_TTAFStock_Log[Part Name],$A31,T_TTAFStock_Log[WeekIndex],10))</f>
        <v/>
      </c>
      <c r="L31" s="19">
        <f>IF(COUNTIFS(T_TTAFStock_Log[Part Name],$A31,T_TTAFStock_Log[WeekIndex],11)=0,"",SUMIFS(T_TTAFStock_Log[TTAF_Qty],T_TTAFStock_Log[Part Name],$A31,T_TTAFStock_Log[WeekIndex],11))</f>
        <v/>
      </c>
      <c r="M31" s="19">
        <f>IF(COUNTIFS(T_TTAFStock_Log[Part Name],$A31,T_TTAFStock_Log[WeekIndex],12)=0,"",SUMIFS(T_TTAFStock_Log[TTAF_Qty],T_TTAFStock_Log[Part Name],$A31,T_TTAFStock_Log[WeekIndex],12))</f>
        <v/>
      </c>
      <c r="N31" s="19">
        <f>IF(COUNTIFS(T_TTAFStock_Log[Part Name],$A31,T_TTAFStock_Log[WeekIndex],13)=0,"",SUMIFS(T_TTAFStock_Log[TTAF_Qty],T_TTAFStock_Log[Part Name],$A31,T_TTAFStock_Log[WeekIndex],13))</f>
        <v/>
      </c>
      <c r="O31" s="19">
        <f>IF(COUNTIFS(T_TTAFStock_Log[Part Name],$A31,T_TTAFStock_Log[WeekIndex],14)=0,"",SUMIFS(T_TTAFStock_Log[TTAF_Qty],T_TTAFStock_Log[Part Name],$A31,T_TTAFStock_Log[WeekIndex],14))</f>
        <v/>
      </c>
      <c r="P31" s="19">
        <f>IF(COUNTIFS(T_TTAFStock_Log[Part Name],$A31,T_TTAFStock_Log[WeekIndex],15)=0,"",SUMIFS(T_TTAFStock_Log[TTAF_Qty],T_TTAFStock_Log[Part Name],$A31,T_TTAFStock_Log[WeekIndex],15))</f>
        <v/>
      </c>
      <c r="Q31" s="19">
        <f>IF(COUNTIFS(T_TTAFStock_Log[Part Name],$A31,T_TTAFStock_Log[WeekIndex],16)=0,"",SUMIFS(T_TTAFStock_Log[TTAF_Qty],T_TTAFStock_Log[Part Name],$A31,T_TTAFStock_Log[WeekIndex],16))</f>
        <v/>
      </c>
      <c r="R31" s="19">
        <f>IF(COUNTIFS(T_TTAFStock_Log[Part Name],$A31,T_TTAFStock_Log[WeekIndex],17)=0,"",SUMIFS(T_TTAFStock_Log[TTAF_Qty],T_TTAFStock_Log[Part Name],$A31,T_TTAFStock_Log[WeekIndex],17))</f>
        <v/>
      </c>
      <c r="S31" s="19">
        <f>IF(COUNTIFS(T_TTAFStock_Log[Part Name],$A31,T_TTAFStock_Log[WeekIndex],18)=0,"",SUMIFS(T_TTAFStock_Log[TTAF_Qty],T_TTAFStock_Log[Part Name],$A31,T_TTAFStock_Log[WeekIndex],18))</f>
        <v/>
      </c>
      <c r="T31" s="19">
        <f>IF(COUNTIFS(T_TTAFStock_Log[Part Name],$A31,T_TTAFStock_Log[WeekIndex],19)=0,"",SUMIFS(T_TTAFStock_Log[TTAF_Qty],T_TTAFStock_Log[Part Name],$A31,T_TTAFStock_Log[WeekIndex],19))</f>
        <v/>
      </c>
      <c r="U31" s="19">
        <f>IF(COUNTIFS(T_TTAFStock_Log[Part Name],$A31,T_TTAFStock_Log[WeekIndex],20)=0,"",SUMIFS(T_TTAFStock_Log[TTAF_Qty],T_TTAFStock_Log[Part Name],$A31,T_TTAFStock_Log[WeekIndex],20))</f>
        <v/>
      </c>
      <c r="V31" s="19">
        <f>IF(COUNTIFS(T_TTAFStock_Log[Part Name],$A31,T_TTAFStock_Log[WeekIndex],21)=0,"",SUMIFS(T_TTAFStock_Log[TTAF_Qty],T_TTAFStock_Log[Part Name],$A31,T_TTAFStock_Log[WeekIndex],21))</f>
        <v/>
      </c>
      <c r="W31" s="19">
        <f>IF(COUNTIFS(T_TTAFStock_Log[Part Name],$A31,T_TTAFStock_Log[WeekIndex],22)=0,"",SUMIFS(T_TTAFStock_Log[TTAF_Qty],T_TTAFStock_Log[Part Name],$A31,T_TTAFStock_Log[WeekIndex],22))</f>
        <v/>
      </c>
      <c r="X31" s="19">
        <f>IF(COUNTIFS(T_TTAFStock_Log[Part Name],$A31,T_TTAFStock_Log[WeekIndex],23)=0,"",SUMIFS(T_TTAFStock_Log[TTAF_Qty],T_TTAFStock_Log[Part Name],$A31,T_TTAFStock_Log[WeekIndex],23))</f>
        <v/>
      </c>
      <c r="Y31" s="19">
        <f>IF(COUNTIFS(T_TTAFStock_Log[Part Name],$A31,T_TTAFStock_Log[WeekIndex],24)=0,"",SUMIFS(T_TTAFStock_Log[TTAF_Qty],T_TTAFStock_Log[Part Name],$A31,T_TTAFStock_Log[WeekIndex],24))</f>
        <v/>
      </c>
      <c r="Z31" s="19">
        <f>IF(COUNTIFS(T_TTAFStock_Log[Part Name],$A31,T_TTAFStock_Log[WeekIndex],25)=0,"",SUMIFS(T_TTAFStock_Log[TTAF_Qty],T_TTAFStock_Log[Part Name],$A31,T_TTAFStock_Log[WeekIndex],25))</f>
        <v/>
      </c>
      <c r="AA31" s="19">
        <f>IF(COUNTIFS(T_TTAFStock_Log[Part Name],$A31,T_TTAFStock_Log[WeekIndex],26)=0,"",SUMIFS(T_TTAFStock_Log[TTAF_Qty],T_TTAFStock_Log[Part Name],$A31,T_TTAFStock_Log[WeekIndex],26))</f>
        <v/>
      </c>
      <c r="AB31" s="19">
        <f>IF(COUNTIFS(T_TTAFStock_Log[Part Name],$A31,T_TTAFStock_Log[WeekIndex],27)=0,"",SUMIFS(T_TTAFStock_Log[TTAF_Qty],T_TTAFStock_Log[Part Name],$A31,T_TTAFStock_Log[WeekIndex],27))</f>
        <v/>
      </c>
      <c r="AC31" s="19">
        <f>IF(COUNTIFS(T_TTAFStock_Log[Part Name],$A31,T_TTAFStock_Log[WeekIndex],28)=0,"",SUMIFS(T_TTAFStock_Log[TTAF_Qty],T_TTAFStock_Log[Part Name],$A31,T_TTAFStock_Log[WeekIndex],28))</f>
        <v/>
      </c>
      <c r="AD31" s="19">
        <f>IF(COUNTIFS(T_TTAFStock_Log[Part Name],$A31,T_TTAFStock_Log[WeekIndex],29)=0,"",SUMIFS(T_TTAFStock_Log[TTAF_Qty],T_TTAFStock_Log[Part Name],$A31,T_TTAFStock_Log[WeekIndex],29))</f>
        <v/>
      </c>
      <c r="AE31" s="19">
        <f>IF(COUNTIFS(T_TTAFStock_Log[Part Name],$A31,T_TTAFStock_Log[WeekIndex],30)=0,"",SUMIFS(T_TTAFStock_Log[TTAF_Qty],T_TTAFStock_Log[Part Name],$A31,T_TTAFStock_Log[WeekIndex],30))</f>
        <v/>
      </c>
      <c r="AF31" s="19">
        <f>IF(COUNTIFS(T_TTAFStock_Log[Part Name],$A31,T_TTAFStock_Log[WeekIndex],31)=0,"",SUMIFS(T_TTAFStock_Log[TTAF_Qty],T_TTAFStock_Log[Part Name],$A31,T_TTAFStock_Log[WeekIndex],31))</f>
        <v/>
      </c>
      <c r="AG31" s="19">
        <f>IF(COUNTIFS(T_TTAFStock_Log[Part Name],$A31,T_TTAFStock_Log[WeekIndex],32)=0,"",SUMIFS(T_TTAFStock_Log[TTAF_Qty],T_TTAFStock_Log[Part Name],$A31,T_TTAFStock_Log[WeekIndex],32))</f>
        <v/>
      </c>
      <c r="AH31" s="19">
        <f>IF(COUNTIFS(T_TTAFStock_Log[Part Name],$A31,T_TTAFStock_Log[WeekIndex],33)=0,"",SUMIFS(T_TTAFStock_Log[TTAF_Qty],T_TTAFStock_Log[Part Name],$A31,T_TTAFStock_Log[WeekIndex],33))</f>
        <v/>
      </c>
      <c r="AI31" s="19">
        <f>IF(COUNTIFS(T_TTAFStock_Log[Part Name],$A31,T_TTAFStock_Log[WeekIndex],34)=0,"",SUMIFS(T_TTAFStock_Log[TTAF_Qty],T_TTAFStock_Log[Part Name],$A31,T_TTAFStock_Log[WeekIndex],34))</f>
        <v/>
      </c>
      <c r="AJ31" s="19">
        <f>IF(COUNTIFS(T_TTAFStock_Log[Part Name],$A31,T_TTAFStock_Log[WeekIndex],35)=0,"",SUMIFS(T_TTAFStock_Log[TTAF_Qty],T_TTAFStock_Log[Part Name],$A31,T_TTAFStock_Log[WeekIndex],35))</f>
        <v/>
      </c>
      <c r="AK31" s="19">
        <f>IF(COUNTIFS(T_TTAFStock_Log[Part Name],$A31,T_TTAFStock_Log[WeekIndex],36)=0,"",SUMIFS(T_TTAFStock_Log[TTAF_Qty],T_TTAFStock_Log[Part Name],$A31,T_TTAFStock_Log[WeekIndex],36))</f>
        <v/>
      </c>
      <c r="AL31" s="19">
        <f>IF(COUNTIFS(T_TTAFStock_Log[Part Name],$A31,T_TTAFStock_Log[WeekIndex],37)=0,"",SUMIFS(T_TTAFStock_Log[TTAF_Qty],T_TTAFStock_Log[Part Name],$A31,T_TTAFStock_Log[WeekIndex],37))</f>
        <v/>
      </c>
      <c r="AM31" s="19">
        <f>IF(COUNTIFS(T_TTAFStock_Log[Part Name],$A31,T_TTAFStock_Log[WeekIndex],38)=0,"",SUMIFS(T_TTAFStock_Log[TTAF_Qty],T_TTAFStock_Log[Part Name],$A31,T_TTAFStock_Log[WeekIndex],38))</f>
        <v/>
      </c>
      <c r="AN31" s="19">
        <f>IF(COUNTIFS(T_TTAFStock_Log[Part Name],$A31,T_TTAFStock_Log[WeekIndex],39)=0,"",SUMIFS(T_TTAFStock_Log[TTAF_Qty],T_TTAFStock_Log[Part Name],$A31,T_TTAFStock_Log[WeekIndex],39))</f>
        <v/>
      </c>
      <c r="AO31" s="19">
        <f>IF(COUNTIFS(T_TTAFStock_Log[Part Name],$A31,T_TTAFStock_Log[WeekIndex],40)=0,"",SUMIFS(T_TTAFStock_Log[TTAF_Qty],T_TTAFStock_Log[Part Name],$A31,T_TTAFStock_Log[WeekIndex],40))</f>
        <v/>
      </c>
      <c r="AP31" s="19">
        <f>IF(COUNTIFS(T_TTAFStock_Log[Part Name],$A31,T_TTAFStock_Log[WeekIndex],41)=0,"",SUMIFS(T_TTAFStock_Log[TTAF_Qty],T_TTAFStock_Log[Part Name],$A31,T_TTAFStock_Log[WeekIndex],41))</f>
        <v/>
      </c>
      <c r="AQ31" s="19">
        <f>IF(COUNTIFS(T_TTAFStock_Log[Part Name],$A31,T_TTAFStock_Log[WeekIndex],42)=0,"",SUMIFS(T_TTAFStock_Log[TTAF_Qty],T_TTAFStock_Log[Part Name],$A31,T_TTAFStock_Log[WeekIndex],42))</f>
        <v/>
      </c>
      <c r="AR31" s="19">
        <f>IF(COUNTIFS(T_TTAFStock_Log[Part Name],$A31,T_TTAFStock_Log[WeekIndex],43)=0,"",SUMIFS(T_TTAFStock_Log[TTAF_Qty],T_TTAFStock_Log[Part Name],$A31,T_TTAFStock_Log[WeekIndex],43))</f>
        <v/>
      </c>
      <c r="AS31" s="19">
        <f>IF(COUNTIFS(T_TTAFStock_Log[Part Name],$A31,T_TTAFStock_Log[WeekIndex],44)=0,"",SUMIFS(T_TTAFStock_Log[TTAF_Qty],T_TTAFStock_Log[Part Name],$A31,T_TTAFStock_Log[WeekIndex],44))</f>
        <v/>
      </c>
      <c r="AT31" s="19">
        <f>IF(COUNTIFS(T_TTAFStock_Log[Part Name],$A31,T_TTAFStock_Log[WeekIndex],45)=0,"",SUMIFS(T_TTAFStock_Log[TTAF_Qty],T_TTAFStock_Log[Part Name],$A31,T_TTAFStock_Log[WeekIndex],45))</f>
        <v/>
      </c>
      <c r="AU31" s="19">
        <f>IF(COUNTIFS(T_TTAFStock_Log[Part Name],$A31,T_TTAFStock_Log[WeekIndex],46)=0,"",SUMIFS(T_TTAFStock_Log[TTAF_Qty],T_TTAFStock_Log[Part Name],$A31,T_TTAFStock_Log[WeekIndex],46))</f>
        <v/>
      </c>
      <c r="AV31" s="19">
        <f>IF(COUNTIFS(T_TTAFStock_Log[Part Name],$A31,T_TTAFStock_Log[WeekIndex],47)=0,"",SUMIFS(T_TTAFStock_Log[TTAF_Qty],T_TTAFStock_Log[Part Name],$A31,T_TTAFStock_Log[WeekIndex],47))</f>
        <v/>
      </c>
      <c r="AW31" s="19">
        <f>IF(COUNTIFS(T_TTAFStock_Log[Part Name],$A31,T_TTAFStock_Log[WeekIndex],48)=0,"",SUMIFS(T_TTAFStock_Log[TTAF_Qty],T_TTAFStock_Log[Part Name],$A31,T_TTAFStock_Log[WeekIndex],48))</f>
        <v/>
      </c>
      <c r="AX31" s="19">
        <f>IF(COUNTIFS(T_TTAFStock_Log[Part Name],$A31,T_TTAFStock_Log[WeekIndex],49)=0,"",SUMIFS(T_TTAFStock_Log[TTAF_Qty],T_TTAFStock_Log[Part Name],$A31,T_TTAFStock_Log[WeekIndex],49))</f>
        <v/>
      </c>
      <c r="AY31" s="19">
        <f>IF(COUNTIFS(T_TTAFStock_Log[Part Name],$A31,T_TTAFStock_Log[WeekIndex],50)=0,"",SUMIFS(T_TTAFStock_Log[TTAF_Qty],T_TTAFStock_Log[Part Name],$A31,T_TTAFStock_Log[WeekIndex],50))</f>
        <v/>
      </c>
      <c r="AZ31" s="19">
        <f>IF(COUNTIFS(T_TTAFStock_Log[Part Name],$A31,T_TTAFStock_Log[WeekIndex],51)=0,"",SUMIFS(T_TTAFStock_Log[TTAF_Qty],T_TTAFStock_Log[Part Name],$A31,T_TTAFStock_Log[WeekIndex],51))</f>
        <v/>
      </c>
      <c r="BA31" s="19">
        <f>IF(COUNTIFS(T_TTAFStock_Log[Part Name],$A31,T_TTAFStock_Log[WeekIndex],52)=0,"",SUMIFS(T_TTAFStock_Log[TTAF_Qty],T_TTAFStock_Log[Part Name],$A31,T_TTAFStock_Log[WeekIndex],52))</f>
        <v/>
      </c>
      <c r="BB31" s="19">
        <f>IF(COUNTIFS(T_TTAFStock_Log[Part Name],$A31,T_TTAFStock_Log[WeekIndex],53)=0,"",SUMIFS(T_TTAFStock_Log[TTAF_Qty],T_TTAFStock_Log[Part Name],$A31,T_TTAFStock_Log[WeekIndex],53))</f>
        <v/>
      </c>
      <c r="BC31" s="19">
        <f>IF(COUNTIFS(T_TTAFStock_Log[Part Name],$A31,T_TTAFStock_Log[WeekIndex],54)=0,"",SUMIFS(T_TTAFStock_Log[TTAF_Qty],T_TTAFStock_Log[Part Name],$A31,T_TTAFStock_Log[WeekIndex],54))</f>
        <v/>
      </c>
      <c r="BD31" s="19">
        <f>IF(COUNTIFS(T_TTAFStock_Log[Part Name],$A31,T_TTAFStock_Log[WeekIndex],55)=0,"",SUMIFS(T_TTAFStock_Log[TTAF_Qty],T_TTAFStock_Log[Part Name],$A31,T_TTAFStock_Log[WeekIndex],55))</f>
        <v/>
      </c>
      <c r="BE31" s="19">
        <f>IF(COUNTIFS(T_TTAFStock_Log[Part Name],$A31,T_TTAFStock_Log[WeekIndex],56)=0,"",SUMIFS(T_TTAFStock_Log[TTAF_Qty],T_TTAFStock_Log[Part Name],$A31,T_TTAFStock_Log[WeekIndex],56))</f>
        <v/>
      </c>
      <c r="BF31" s="19">
        <f>IF(COUNTIFS(T_TTAFStock_Log[Part Name],$A31,T_TTAFStock_Log[WeekIndex],57)=0,"",SUMIFS(T_TTAFStock_Log[TTAF_Qty],T_TTAFStock_Log[Part Name],$A31,T_TTAFStock_Log[WeekIndex],57))</f>
        <v/>
      </c>
      <c r="BG31" s="19">
        <f>IF(COUNTIFS(T_TTAFStock_Log[Part Name],$A31,T_TTAFStock_Log[WeekIndex],58)=0,"",SUMIFS(T_TTAFStock_Log[TTAF_Qty],T_TTAFStock_Log[Part Name],$A31,T_TTAFStock_Log[WeekIndex],58))</f>
        <v/>
      </c>
      <c r="BH31" s="19">
        <f>IF(COUNTIFS(T_TTAFStock_Log[Part Name],$A31,T_TTAFStock_Log[WeekIndex],59)=0,"",SUMIFS(T_TTAFStock_Log[TTAF_Qty],T_TTAFStock_Log[Part Name],$A31,T_TTAFStock_Log[WeekIndex],59))</f>
        <v/>
      </c>
      <c r="BI31" s="19">
        <f>IF(COUNTIFS(T_TTAFStock_Log[Part Name],$A31,T_TTAFStock_Log[WeekIndex],60)=0,"",SUMIFS(T_TTAFStock_Log[TTAF_Qty],T_TTAFStock_Log[Part Name],$A31,T_TTAFStock_Log[WeekIndex],60))</f>
        <v/>
      </c>
      <c r="BJ31" s="19">
        <f>IF(COUNTIFS(T_TTAFStock_Log[Part Name],$A31,T_TTAFStock_Log[WeekIndex],61)=0,"",SUMIFS(T_TTAFStock_Log[TTAF_Qty],T_TTAFStock_Log[Part Name],$A31,T_TTAFStock_Log[WeekIndex],61))</f>
        <v/>
      </c>
      <c r="BK31" s="19">
        <f>IF(COUNTIFS(T_TTAFStock_Log[Part Name],$A31,T_TTAFStock_Log[WeekIndex],62)=0,"",SUMIFS(T_TTAFStock_Log[TTAF_Qty],T_TTAFStock_Log[Part Name],$A31,T_TTAFStock_Log[WeekIndex],62))</f>
        <v/>
      </c>
      <c r="BL31" s="19">
        <f>IF(COUNTIFS(T_TTAFStock_Log[Part Name],$A31,T_TTAFStock_Log[WeekIndex],63)=0,"",SUMIFS(T_TTAFStock_Log[TTAF_Qty],T_TTAFStock_Log[Part Name],$A31,T_TTAFStock_Log[WeekIndex],63))</f>
        <v/>
      </c>
      <c r="BM31" s="19">
        <f>IF(COUNTIFS(T_TTAFStock_Log[Part Name],$A31,T_TTAFStock_Log[WeekIndex],64)=0,"",SUMIFS(T_TTAFStock_Log[TTAF_Qty],T_TTAFStock_Log[Part Name],$A31,T_TTAFStock_Log[WeekIndex],64))</f>
        <v/>
      </c>
      <c r="BN31" s="19">
        <f>IF(COUNTIFS(T_TTAFStock_Log[Part Name],$A31,T_TTAFStock_Log[WeekIndex],65)=0,"",SUMIFS(T_TTAFStock_Log[TTAF_Qty],T_TTAFStock_Log[Part Name],$A31,T_TTAFStock_Log[WeekIndex],65))</f>
        <v/>
      </c>
      <c r="BO31" s="19">
        <f>IF(COUNTIFS(T_TTAFStock_Log[Part Name],$A31,T_TTAFStock_Log[WeekIndex],66)=0,"",SUMIFS(T_TTAFStock_Log[TTAF_Qty],T_TTAFStock_Log[Part Name],$A31,T_TTAFStock_Log[WeekIndex],66))</f>
        <v/>
      </c>
      <c r="BP31" s="19">
        <f>IF(COUNTIFS(T_TTAFStock_Log[Part Name],$A31,T_TTAFStock_Log[WeekIndex],67)=0,"",SUMIFS(T_TTAFStock_Log[TTAF_Qty],T_TTAFStock_Log[Part Name],$A31,T_TTAFStock_Log[WeekIndex],67))</f>
        <v/>
      </c>
      <c r="BQ31" s="19">
        <f>IF(COUNTIFS(T_TTAFStock_Log[Part Name],$A31,T_TTAFStock_Log[WeekIndex],68)=0,"",SUMIFS(T_TTAFStock_Log[TTAF_Qty],T_TTAFStock_Log[Part Name],$A31,T_TTAFStock_Log[WeekIndex],68))</f>
        <v/>
      </c>
      <c r="BR31" s="19">
        <f>IF(COUNTIFS(T_TTAFStock_Log[Part Name],$A31,T_TTAFStock_Log[WeekIndex],69)=0,"",SUMIFS(T_TTAFStock_Log[TTAF_Qty],T_TTAFStock_Log[Part Name],$A31,T_TTAFStock_Log[WeekIndex],69))</f>
        <v/>
      </c>
      <c r="BS31" s="19">
        <f>IF(COUNTIFS(T_TTAFStock_Log[Part Name],$A31,T_TTAFStock_Log[WeekIndex],70)=0,"",SUMIFS(T_TTAFStock_Log[TTAF_Qty],T_TTAFStock_Log[Part Name],$A31,T_TTAFStock_Log[WeekIndex],70))</f>
        <v/>
      </c>
      <c r="BT31" s="19">
        <f>IF(COUNTIFS(T_TTAFStock_Log[Part Name],$A31,T_TTAFStock_Log[WeekIndex],71)=0,"",SUMIFS(T_TTAFStock_Log[TTAF_Qty],T_TTAFStock_Log[Part Name],$A31,T_TTAFStock_Log[WeekIndex],71))</f>
        <v/>
      </c>
      <c r="BU31" s="19">
        <f>IF(COUNTIFS(T_TTAFStock_Log[Part Name],$A31,T_TTAFStock_Log[WeekIndex],72)=0,"",SUMIFS(T_TTAFStock_Log[TTAF_Qty],T_TTAFStock_Log[Part Name],$A31,T_TTAFStock_Log[WeekIndex],72))</f>
        <v/>
      </c>
      <c r="BV31" s="19">
        <f>IF(COUNTIFS(T_TTAFStock_Log[Part Name],$A31,T_TTAFStock_Log[WeekIndex],73)=0,"",SUMIFS(T_TTAFStock_Log[TTAF_Qty],T_TTAFStock_Log[Part Name],$A31,T_TTAFStock_Log[WeekIndex],73))</f>
        <v/>
      </c>
      <c r="BW31" s="19">
        <f>IF(COUNTIFS(T_TTAFStock_Log[Part Name],$A31,T_TTAFStock_Log[WeekIndex],74)=0,"",SUMIFS(T_TTAFStock_Log[TTAF_Qty],T_TTAFStock_Log[Part Name],$A31,T_TTAFStock_Log[WeekIndex],74))</f>
        <v/>
      </c>
      <c r="BX31" s="19">
        <f>IF(COUNTIFS(T_TTAFStock_Log[Part Name],$A31,T_TTAFStock_Log[WeekIndex],75)=0,"",SUMIFS(T_TTAFStock_Log[TTAF_Qty],T_TTAFStock_Log[Part Name],$A31,T_TTAFStock_Log[WeekIndex],75))</f>
        <v/>
      </c>
      <c r="BY31" s="19">
        <f>IF(COUNTIFS(T_TTAFStock_Log[Part Name],$A31,T_TTAFStock_Log[WeekIndex],76)=0,"",SUMIFS(T_TTAFStock_Log[TTAF_Qty],T_TTAFStock_Log[Part Name],$A31,T_TTAFStock_Log[WeekIndex],76))</f>
        <v/>
      </c>
      <c r="BZ31" s="19">
        <f>IF(COUNTIFS(T_TTAFStock_Log[Part Name],$A31,T_TTAFStock_Log[WeekIndex],77)=0,"",SUMIFS(T_TTAFStock_Log[TTAF_Qty],T_TTAFStock_Log[Part Name],$A31,T_TTAFStock_Log[WeekIndex],77))</f>
        <v/>
      </c>
      <c r="CA31" s="19">
        <f>IF(COUNTIFS(T_TTAFStock_Log[Part Name],$A31,T_TTAFStock_Log[WeekIndex],78)=0,"",SUMIFS(T_TTAFStock_Log[TTAF_Qty],T_TTAFStock_Log[Part Name],$A31,T_TTAFStock_Log[WeekIndex],78))</f>
        <v/>
      </c>
      <c r="CB31" s="19">
        <f>IF(COUNTIFS(T_TTAFStock_Log[Part Name],$A31,T_TTAFStock_Log[WeekIndex],79)=0,"",SUMIFS(T_TTAFStock_Log[TTAF_Qty],T_TTAFStock_Log[Part Name],$A31,T_TTAFStock_Log[WeekIndex],79))</f>
        <v/>
      </c>
      <c r="CC31" s="19">
        <f>IF(COUNTIFS(T_TTAFStock_Log[Part Name],$A31,T_TTAFStock_Log[WeekIndex],80)=0,"",SUMIFS(T_TTAFStock_Log[TTAF_Qty],T_TTAFStock_Log[Part Name],$A31,T_TTAFStock_Log[WeekIndex],80))</f>
        <v/>
      </c>
      <c r="CD31" s="19">
        <f>IF(COUNTIFS(T_TTAFStock_Log[Part Name],$A31,T_TTAFStock_Log[WeekIndex],81)=0,"",SUMIFS(T_TTAFStock_Log[TTAF_Qty],T_TTAFStock_Log[Part Name],$A31,T_TTAFStock_Log[WeekIndex],81))</f>
        <v/>
      </c>
      <c r="CE31" s="19">
        <f>IF(COUNTIFS(T_TTAFStock_Log[Part Name],$A31,T_TTAFStock_Log[WeekIndex],82)=0,"",SUMIFS(T_TTAFStock_Log[TTAF_Qty],T_TTAFStock_Log[Part Name],$A31,T_TTAFStock_Log[WeekIndex],82))</f>
        <v/>
      </c>
      <c r="CF31" s="19">
        <f>IF(COUNTIFS(T_TTAFStock_Log[Part Name],$A31,T_TTAFStock_Log[WeekIndex],83)=0,"",SUMIFS(T_TTAFStock_Log[TTAF_Qty],T_TTAFStock_Log[Part Name],$A31,T_TTAFStock_Log[WeekIndex],83))</f>
        <v/>
      </c>
      <c r="CG31" s="19">
        <f>IF(COUNTIFS(T_TTAFStock_Log[Part Name],$A31,T_TTAFStock_Log[WeekIndex],84)=0,"",SUMIFS(T_TTAFStock_Log[TTAF_Qty],T_TTAFStock_Log[Part Name],$A31,T_TTAFStock_Log[WeekIndex],84))</f>
        <v/>
      </c>
      <c r="CH31" s="19">
        <f>IF(COUNTIFS(T_TTAFStock_Log[Part Name],$A31,T_TTAFStock_Log[WeekIndex],85)=0,"",SUMIFS(T_TTAFStock_Log[TTAF_Qty],T_TTAFStock_Log[Part Name],$A31,T_TTAFStock_Log[WeekIndex],85))</f>
        <v/>
      </c>
      <c r="CI31" s="19">
        <f>IF(COUNTIFS(T_TTAFStock_Log[Part Name],$A31,T_TTAFStock_Log[WeekIndex],86)=0,"",SUMIFS(T_TTAFStock_Log[TTAF_Qty],T_TTAFStock_Log[Part Name],$A31,T_TTAFStock_Log[WeekIndex],86))</f>
        <v/>
      </c>
      <c r="CJ31" s="19">
        <f>IF(COUNTIFS(T_TTAFStock_Log[Part Name],$A31,T_TTAFStock_Log[WeekIndex],87)=0,"",SUMIFS(T_TTAFStock_Log[TTAF_Qty],T_TTAFStock_Log[Part Name],$A31,T_TTAFStock_Log[WeekIndex],87))</f>
        <v/>
      </c>
      <c r="CK31" s="19">
        <f>IF(COUNTIFS(T_TTAFStock_Log[Part Name],$A31,T_TTAFStock_Log[WeekIndex],88)=0,"",SUMIFS(T_TTAFStock_Log[TTAF_Qty],T_TTAFStock_Log[Part Name],$A31,T_TTAFStock_Log[WeekIndex],88))</f>
        <v/>
      </c>
      <c r="CL31" s="19">
        <f>IF(COUNTIFS(T_TTAFStock_Log[Part Name],$A31,T_TTAFStock_Log[WeekIndex],89)=0,"",SUMIFS(T_TTAFStock_Log[TTAF_Qty],T_TTAFStock_Log[Part Name],$A31,T_TTAFStock_Log[WeekIndex],89))</f>
        <v/>
      </c>
      <c r="CM31" s="19">
        <f>IF(COUNTIFS(T_TTAFStock_Log[Part Name],$A31,T_TTAFStock_Log[WeekIndex],90)=0,"",SUMIFS(T_TTAFStock_Log[TTAF_Qty],T_TTAFStock_Log[Part Name],$A31,T_TTAFStock_Log[WeekIndex],90))</f>
        <v/>
      </c>
      <c r="CN31" s="19">
        <f>IF(COUNTIFS(T_TTAFStock_Log[Part Name],$A31,T_TTAFStock_Log[WeekIndex],91)=0,"",SUMIFS(T_TTAFStock_Log[TTAF_Qty],T_TTAFStock_Log[Part Name],$A31,T_TTAFStock_Log[WeekIndex],91))</f>
        <v/>
      </c>
      <c r="CO31" s="19">
        <f>IF(COUNTIFS(T_TTAFStock_Log[Part Name],$A31,T_TTAFStock_Log[WeekIndex],92)=0,"",SUMIFS(T_TTAFStock_Log[TTAF_Qty],T_TTAFStock_Log[Part Name],$A31,T_TTAFStock_Log[WeekIndex],92))</f>
        <v/>
      </c>
      <c r="CP31" s="19">
        <f>IF(COUNTIFS(T_TTAFStock_Log[Part Name],$A31,T_TTAFStock_Log[WeekIndex],93)=0,"",SUMIFS(T_TTAFStock_Log[TTAF_Qty],T_TTAFStock_Log[Part Name],$A31,T_TTAFStock_Log[WeekIndex],93))</f>
        <v/>
      </c>
      <c r="CQ31" s="19">
        <f>IF(COUNTIFS(T_TTAFStock_Log[Part Name],$A31,T_TTAFStock_Log[WeekIndex],94)=0,"",SUMIFS(T_TTAFStock_Log[TTAF_Qty],T_TTAFStock_Log[Part Name],$A31,T_TTAFStock_Log[WeekIndex],94))</f>
        <v/>
      </c>
      <c r="CR31" s="19">
        <f>IF(COUNTIFS(T_TTAFStock_Log[Part Name],$A31,T_TTAFStock_Log[WeekIndex],95)=0,"",SUMIFS(T_TTAFStock_Log[TTAF_Qty],T_TTAFStock_Log[Part Name],$A31,T_TTAFStock_Log[WeekIndex],95))</f>
        <v/>
      </c>
      <c r="CS31" s="19">
        <f>IF(COUNTIFS(T_TTAFStock_Log[Part Name],$A31,T_TTAFStock_Log[WeekIndex],96)=0,"",SUMIFS(T_TTAFStock_Log[TTAF_Qty],T_TTAFStock_Log[Part Name],$A31,T_TTAFStock_Log[WeekIndex],96))</f>
        <v/>
      </c>
      <c r="CT31" s="19">
        <f>IF(COUNTIFS(T_TTAFStock_Log[Part Name],$A31,T_TTAFStock_Log[WeekIndex],97)=0,"",SUMIFS(T_TTAFStock_Log[TTAF_Qty],T_TTAFStock_Log[Part Name],$A31,T_TTAFStock_Log[WeekIndex],97))</f>
        <v/>
      </c>
      <c r="CU31" s="19">
        <f>IF(COUNTIFS(T_TTAFStock_Log[Part Name],$A31,T_TTAFStock_Log[WeekIndex],98)=0,"",SUMIFS(T_TTAFStock_Log[TTAF_Qty],T_TTAFStock_Log[Part Name],$A31,T_TTAFStock_Log[WeekIndex],98))</f>
        <v/>
      </c>
      <c r="CV31" s="19">
        <f>IF(COUNTIFS(T_TTAFStock_Log[Part Name],$A31,T_TTAFStock_Log[WeekIndex],99)=0,"",SUMIFS(T_TTAFStock_Log[TTAF_Qty],T_TTAFStock_Log[Part Name],$A31,T_TTAFStock_Log[WeekIndex],99))</f>
        <v/>
      </c>
      <c r="CW31" s="19">
        <f>IF(COUNTIFS(T_TTAFStock_Log[Part Name],$A31,T_TTAFStock_Log[WeekIndex],100)=0,"",SUMIFS(T_TTAFStock_Log[TTAF_Qty],T_TTAFStock_Log[Part Name],$A31,T_TTAFStock_Log[WeekIndex],100))</f>
        <v/>
      </c>
      <c r="CX31" s="19">
        <f>IF(COUNTIFS(T_TTAFStock_Log[Part Name],$A31,T_TTAFStock_Log[WeekIndex],101)=0,"",SUMIFS(T_TTAFStock_Log[TTAF_Qty],T_TTAFStock_Log[Part Name],$A31,T_TTAFStock_Log[WeekIndex],101))</f>
        <v/>
      </c>
      <c r="CY31" s="19">
        <f>IF(COUNTIFS(T_TTAFStock_Log[Part Name],$A31,T_TTAFStock_Log[WeekIndex],102)=0,"",SUMIFS(T_TTAFStock_Log[TTAF_Qty],T_TTAFStock_Log[Part Name],$A31,T_TTAFStock_Log[WeekIndex],102))</f>
        <v/>
      </c>
      <c r="CZ31" s="19">
        <f>IF(COUNTIFS(T_TTAFStock_Log[Part Name],$A31,T_TTAFStock_Log[WeekIndex],103)=0,"",SUMIFS(T_TTAFStock_Log[TTAF_Qty],T_TTAFStock_Log[Part Name],$A31,T_TTAFStock_Log[WeekIndex],103))</f>
        <v/>
      </c>
      <c r="DA31" s="19">
        <f>IF(COUNTIFS(T_TTAFStock_Log[Part Name],$A31,T_TTAFStock_Log[WeekIndex],104)=0,"",SUMIFS(T_TTAFStock_Log[TTAF_Qty],T_TTAFStock_Log[Part Name],$A31,T_TTAFStock_Log[WeekIndex],104))</f>
        <v/>
      </c>
    </row>
    <row r="32">
      <c r="A32" s="17" t="inlineStr">
        <is>
          <t>CHEM-1600</t>
        </is>
      </c>
      <c r="B32" s="17">
        <f>IF(COUNTIFS(T_TTAFStock_Log[Part Name],$A32,T_TTAFStock_Log[WeekIndex],1)=0,"",SUMIFS(T_TTAFStock_Log[TTAF_Qty],T_TTAFStock_Log[Part Name],$A32,T_TTAFStock_Log[WeekIndex],1))</f>
        <v/>
      </c>
      <c r="C32" s="17">
        <f>IF(COUNTIFS(T_TTAFStock_Log[Part Name],$A32,T_TTAFStock_Log[WeekIndex],2)=0,"",SUMIFS(T_TTAFStock_Log[TTAF_Qty],T_TTAFStock_Log[Part Name],$A32,T_TTAFStock_Log[WeekIndex],2))</f>
        <v/>
      </c>
      <c r="D32" s="17">
        <f>IF(COUNTIFS(T_TTAFStock_Log[Part Name],$A32,T_TTAFStock_Log[WeekIndex],3)=0,"",SUMIFS(T_TTAFStock_Log[TTAF_Qty],T_TTAFStock_Log[Part Name],$A32,T_TTAFStock_Log[WeekIndex],3))</f>
        <v/>
      </c>
      <c r="E32" s="17">
        <f>IF(COUNTIFS(T_TTAFStock_Log[Part Name],$A32,T_TTAFStock_Log[WeekIndex],4)=0,"",SUMIFS(T_TTAFStock_Log[TTAF_Qty],T_TTAFStock_Log[Part Name],$A32,T_TTAFStock_Log[WeekIndex],4))</f>
        <v/>
      </c>
      <c r="F32" s="17">
        <f>IF(COUNTIFS(T_TTAFStock_Log[Part Name],$A32,T_TTAFStock_Log[WeekIndex],5)=0,"",SUMIFS(T_TTAFStock_Log[TTAF_Qty],T_TTAFStock_Log[Part Name],$A32,T_TTAFStock_Log[WeekIndex],5))</f>
        <v/>
      </c>
      <c r="G32" s="17">
        <f>IF(COUNTIFS(T_TTAFStock_Log[Part Name],$A32,T_TTAFStock_Log[WeekIndex],6)=0,"",SUMIFS(T_TTAFStock_Log[TTAF_Qty],T_TTAFStock_Log[Part Name],$A32,T_TTAFStock_Log[WeekIndex],6))</f>
        <v/>
      </c>
      <c r="H32" s="17">
        <f>IF(COUNTIFS(T_TTAFStock_Log[Part Name],$A32,T_TTAFStock_Log[WeekIndex],7)=0,"",SUMIFS(T_TTAFStock_Log[TTAF_Qty],T_TTAFStock_Log[Part Name],$A32,T_TTAFStock_Log[WeekIndex],7))</f>
        <v/>
      </c>
      <c r="I32" s="17">
        <f>IF(COUNTIFS(T_TTAFStock_Log[Part Name],$A32,T_TTAFStock_Log[WeekIndex],8)=0,"",SUMIFS(T_TTAFStock_Log[TTAF_Qty],T_TTAFStock_Log[Part Name],$A32,T_TTAFStock_Log[WeekIndex],8))</f>
        <v/>
      </c>
      <c r="J32" s="17">
        <f>IF(COUNTIFS(T_TTAFStock_Log[Part Name],$A32,T_TTAFStock_Log[WeekIndex],9)=0,"",SUMIFS(T_TTAFStock_Log[TTAF_Qty],T_TTAFStock_Log[Part Name],$A32,T_TTAFStock_Log[WeekIndex],9))</f>
        <v/>
      </c>
      <c r="K32" s="17">
        <f>IF(COUNTIFS(T_TTAFStock_Log[Part Name],$A32,T_TTAFStock_Log[WeekIndex],10)=0,"",SUMIFS(T_TTAFStock_Log[TTAF_Qty],T_TTAFStock_Log[Part Name],$A32,T_TTAFStock_Log[WeekIndex],10))</f>
        <v/>
      </c>
      <c r="L32" s="17">
        <f>IF(COUNTIFS(T_TTAFStock_Log[Part Name],$A32,T_TTAFStock_Log[WeekIndex],11)=0,"",SUMIFS(T_TTAFStock_Log[TTAF_Qty],T_TTAFStock_Log[Part Name],$A32,T_TTAFStock_Log[WeekIndex],11))</f>
        <v/>
      </c>
      <c r="M32" s="17">
        <f>IF(COUNTIFS(T_TTAFStock_Log[Part Name],$A32,T_TTAFStock_Log[WeekIndex],12)=0,"",SUMIFS(T_TTAFStock_Log[TTAF_Qty],T_TTAFStock_Log[Part Name],$A32,T_TTAFStock_Log[WeekIndex],12))</f>
        <v/>
      </c>
      <c r="N32" s="17">
        <f>IF(COUNTIFS(T_TTAFStock_Log[Part Name],$A32,T_TTAFStock_Log[WeekIndex],13)=0,"",SUMIFS(T_TTAFStock_Log[TTAF_Qty],T_TTAFStock_Log[Part Name],$A32,T_TTAFStock_Log[WeekIndex],13))</f>
        <v/>
      </c>
      <c r="O32" s="17">
        <f>IF(COUNTIFS(T_TTAFStock_Log[Part Name],$A32,T_TTAFStock_Log[WeekIndex],14)=0,"",SUMIFS(T_TTAFStock_Log[TTAF_Qty],T_TTAFStock_Log[Part Name],$A32,T_TTAFStock_Log[WeekIndex],14))</f>
        <v/>
      </c>
      <c r="P32" s="17">
        <f>IF(COUNTIFS(T_TTAFStock_Log[Part Name],$A32,T_TTAFStock_Log[WeekIndex],15)=0,"",SUMIFS(T_TTAFStock_Log[TTAF_Qty],T_TTAFStock_Log[Part Name],$A32,T_TTAFStock_Log[WeekIndex],15))</f>
        <v/>
      </c>
      <c r="Q32" s="17">
        <f>IF(COUNTIFS(T_TTAFStock_Log[Part Name],$A32,T_TTAFStock_Log[WeekIndex],16)=0,"",SUMIFS(T_TTAFStock_Log[TTAF_Qty],T_TTAFStock_Log[Part Name],$A32,T_TTAFStock_Log[WeekIndex],16))</f>
        <v/>
      </c>
      <c r="R32" s="17">
        <f>IF(COUNTIFS(T_TTAFStock_Log[Part Name],$A32,T_TTAFStock_Log[WeekIndex],17)=0,"",SUMIFS(T_TTAFStock_Log[TTAF_Qty],T_TTAFStock_Log[Part Name],$A32,T_TTAFStock_Log[WeekIndex],17))</f>
        <v/>
      </c>
      <c r="S32" s="17">
        <f>IF(COUNTIFS(T_TTAFStock_Log[Part Name],$A32,T_TTAFStock_Log[WeekIndex],18)=0,"",SUMIFS(T_TTAFStock_Log[TTAF_Qty],T_TTAFStock_Log[Part Name],$A32,T_TTAFStock_Log[WeekIndex],18))</f>
        <v/>
      </c>
      <c r="T32" s="17">
        <f>IF(COUNTIFS(T_TTAFStock_Log[Part Name],$A32,T_TTAFStock_Log[WeekIndex],19)=0,"",SUMIFS(T_TTAFStock_Log[TTAF_Qty],T_TTAFStock_Log[Part Name],$A32,T_TTAFStock_Log[WeekIndex],19))</f>
        <v/>
      </c>
      <c r="U32" s="17">
        <f>IF(COUNTIFS(T_TTAFStock_Log[Part Name],$A32,T_TTAFStock_Log[WeekIndex],20)=0,"",SUMIFS(T_TTAFStock_Log[TTAF_Qty],T_TTAFStock_Log[Part Name],$A32,T_TTAFStock_Log[WeekIndex],20))</f>
        <v/>
      </c>
      <c r="V32" s="17">
        <f>IF(COUNTIFS(T_TTAFStock_Log[Part Name],$A32,T_TTAFStock_Log[WeekIndex],21)=0,"",SUMIFS(T_TTAFStock_Log[TTAF_Qty],T_TTAFStock_Log[Part Name],$A32,T_TTAFStock_Log[WeekIndex],21))</f>
        <v/>
      </c>
      <c r="W32" s="17">
        <f>IF(COUNTIFS(T_TTAFStock_Log[Part Name],$A32,T_TTAFStock_Log[WeekIndex],22)=0,"",SUMIFS(T_TTAFStock_Log[TTAF_Qty],T_TTAFStock_Log[Part Name],$A32,T_TTAFStock_Log[WeekIndex],22))</f>
        <v/>
      </c>
      <c r="X32" s="17">
        <f>IF(COUNTIFS(T_TTAFStock_Log[Part Name],$A32,T_TTAFStock_Log[WeekIndex],23)=0,"",SUMIFS(T_TTAFStock_Log[TTAF_Qty],T_TTAFStock_Log[Part Name],$A32,T_TTAFStock_Log[WeekIndex],23))</f>
        <v/>
      </c>
      <c r="Y32" s="17">
        <f>IF(COUNTIFS(T_TTAFStock_Log[Part Name],$A32,T_TTAFStock_Log[WeekIndex],24)=0,"",SUMIFS(T_TTAFStock_Log[TTAF_Qty],T_TTAFStock_Log[Part Name],$A32,T_TTAFStock_Log[WeekIndex],24))</f>
        <v/>
      </c>
      <c r="Z32" s="17">
        <f>IF(COUNTIFS(T_TTAFStock_Log[Part Name],$A32,T_TTAFStock_Log[WeekIndex],25)=0,"",SUMIFS(T_TTAFStock_Log[TTAF_Qty],T_TTAFStock_Log[Part Name],$A32,T_TTAFStock_Log[WeekIndex],25))</f>
        <v/>
      </c>
      <c r="AA32" s="17">
        <f>IF(COUNTIFS(T_TTAFStock_Log[Part Name],$A32,T_TTAFStock_Log[WeekIndex],26)=0,"",SUMIFS(T_TTAFStock_Log[TTAF_Qty],T_TTAFStock_Log[Part Name],$A32,T_TTAFStock_Log[WeekIndex],26))</f>
        <v/>
      </c>
      <c r="AB32" s="17">
        <f>IF(COUNTIFS(T_TTAFStock_Log[Part Name],$A32,T_TTAFStock_Log[WeekIndex],27)=0,"",SUMIFS(T_TTAFStock_Log[TTAF_Qty],T_TTAFStock_Log[Part Name],$A32,T_TTAFStock_Log[WeekIndex],27))</f>
        <v/>
      </c>
      <c r="AC32" s="17">
        <f>IF(COUNTIFS(T_TTAFStock_Log[Part Name],$A32,T_TTAFStock_Log[WeekIndex],28)=0,"",SUMIFS(T_TTAFStock_Log[TTAF_Qty],T_TTAFStock_Log[Part Name],$A32,T_TTAFStock_Log[WeekIndex],28))</f>
        <v/>
      </c>
      <c r="AD32" s="17">
        <f>IF(COUNTIFS(T_TTAFStock_Log[Part Name],$A32,T_TTAFStock_Log[WeekIndex],29)=0,"",SUMIFS(T_TTAFStock_Log[TTAF_Qty],T_TTAFStock_Log[Part Name],$A32,T_TTAFStock_Log[WeekIndex],29))</f>
        <v/>
      </c>
      <c r="AE32" s="17">
        <f>IF(COUNTIFS(T_TTAFStock_Log[Part Name],$A32,T_TTAFStock_Log[WeekIndex],30)=0,"",SUMIFS(T_TTAFStock_Log[TTAF_Qty],T_TTAFStock_Log[Part Name],$A32,T_TTAFStock_Log[WeekIndex],30))</f>
        <v/>
      </c>
      <c r="AF32" s="17">
        <f>IF(COUNTIFS(T_TTAFStock_Log[Part Name],$A32,T_TTAFStock_Log[WeekIndex],31)=0,"",SUMIFS(T_TTAFStock_Log[TTAF_Qty],T_TTAFStock_Log[Part Name],$A32,T_TTAFStock_Log[WeekIndex],31))</f>
        <v/>
      </c>
      <c r="AG32" s="17">
        <f>IF(COUNTIFS(T_TTAFStock_Log[Part Name],$A32,T_TTAFStock_Log[WeekIndex],32)=0,"",SUMIFS(T_TTAFStock_Log[TTAF_Qty],T_TTAFStock_Log[Part Name],$A32,T_TTAFStock_Log[WeekIndex],32))</f>
        <v/>
      </c>
      <c r="AH32" s="17">
        <f>IF(COUNTIFS(T_TTAFStock_Log[Part Name],$A32,T_TTAFStock_Log[WeekIndex],33)=0,"",SUMIFS(T_TTAFStock_Log[TTAF_Qty],T_TTAFStock_Log[Part Name],$A32,T_TTAFStock_Log[WeekIndex],33))</f>
        <v/>
      </c>
      <c r="AI32" s="17">
        <f>IF(COUNTIFS(T_TTAFStock_Log[Part Name],$A32,T_TTAFStock_Log[WeekIndex],34)=0,"",SUMIFS(T_TTAFStock_Log[TTAF_Qty],T_TTAFStock_Log[Part Name],$A32,T_TTAFStock_Log[WeekIndex],34))</f>
        <v/>
      </c>
      <c r="AJ32" s="17">
        <f>IF(COUNTIFS(T_TTAFStock_Log[Part Name],$A32,T_TTAFStock_Log[WeekIndex],35)=0,"",SUMIFS(T_TTAFStock_Log[TTAF_Qty],T_TTAFStock_Log[Part Name],$A32,T_TTAFStock_Log[WeekIndex],35))</f>
        <v/>
      </c>
      <c r="AK32" s="17">
        <f>IF(COUNTIFS(T_TTAFStock_Log[Part Name],$A32,T_TTAFStock_Log[WeekIndex],36)=0,"",SUMIFS(T_TTAFStock_Log[TTAF_Qty],T_TTAFStock_Log[Part Name],$A32,T_TTAFStock_Log[WeekIndex],36))</f>
        <v/>
      </c>
      <c r="AL32" s="17">
        <f>IF(COUNTIFS(T_TTAFStock_Log[Part Name],$A32,T_TTAFStock_Log[WeekIndex],37)=0,"",SUMIFS(T_TTAFStock_Log[TTAF_Qty],T_TTAFStock_Log[Part Name],$A32,T_TTAFStock_Log[WeekIndex],37))</f>
        <v/>
      </c>
      <c r="AM32" s="17">
        <f>IF(COUNTIFS(T_TTAFStock_Log[Part Name],$A32,T_TTAFStock_Log[WeekIndex],38)=0,"",SUMIFS(T_TTAFStock_Log[TTAF_Qty],T_TTAFStock_Log[Part Name],$A32,T_TTAFStock_Log[WeekIndex],38))</f>
        <v/>
      </c>
      <c r="AN32" s="17">
        <f>IF(COUNTIFS(T_TTAFStock_Log[Part Name],$A32,T_TTAFStock_Log[WeekIndex],39)=0,"",SUMIFS(T_TTAFStock_Log[TTAF_Qty],T_TTAFStock_Log[Part Name],$A32,T_TTAFStock_Log[WeekIndex],39))</f>
        <v/>
      </c>
      <c r="AO32" s="17">
        <f>IF(COUNTIFS(T_TTAFStock_Log[Part Name],$A32,T_TTAFStock_Log[WeekIndex],40)=0,"",SUMIFS(T_TTAFStock_Log[TTAF_Qty],T_TTAFStock_Log[Part Name],$A32,T_TTAFStock_Log[WeekIndex],40))</f>
        <v/>
      </c>
      <c r="AP32" s="17">
        <f>IF(COUNTIFS(T_TTAFStock_Log[Part Name],$A32,T_TTAFStock_Log[WeekIndex],41)=0,"",SUMIFS(T_TTAFStock_Log[TTAF_Qty],T_TTAFStock_Log[Part Name],$A32,T_TTAFStock_Log[WeekIndex],41))</f>
        <v/>
      </c>
      <c r="AQ32" s="17">
        <f>IF(COUNTIFS(T_TTAFStock_Log[Part Name],$A32,T_TTAFStock_Log[WeekIndex],42)=0,"",SUMIFS(T_TTAFStock_Log[TTAF_Qty],T_TTAFStock_Log[Part Name],$A32,T_TTAFStock_Log[WeekIndex],42))</f>
        <v/>
      </c>
      <c r="AR32" s="17">
        <f>IF(COUNTIFS(T_TTAFStock_Log[Part Name],$A32,T_TTAFStock_Log[WeekIndex],43)=0,"",SUMIFS(T_TTAFStock_Log[TTAF_Qty],T_TTAFStock_Log[Part Name],$A32,T_TTAFStock_Log[WeekIndex],43))</f>
        <v/>
      </c>
      <c r="AS32" s="17">
        <f>IF(COUNTIFS(T_TTAFStock_Log[Part Name],$A32,T_TTAFStock_Log[WeekIndex],44)=0,"",SUMIFS(T_TTAFStock_Log[TTAF_Qty],T_TTAFStock_Log[Part Name],$A32,T_TTAFStock_Log[WeekIndex],44))</f>
        <v/>
      </c>
      <c r="AT32" s="17">
        <f>IF(COUNTIFS(T_TTAFStock_Log[Part Name],$A32,T_TTAFStock_Log[WeekIndex],45)=0,"",SUMIFS(T_TTAFStock_Log[TTAF_Qty],T_TTAFStock_Log[Part Name],$A32,T_TTAFStock_Log[WeekIndex],45))</f>
        <v/>
      </c>
      <c r="AU32" s="17">
        <f>IF(COUNTIFS(T_TTAFStock_Log[Part Name],$A32,T_TTAFStock_Log[WeekIndex],46)=0,"",SUMIFS(T_TTAFStock_Log[TTAF_Qty],T_TTAFStock_Log[Part Name],$A32,T_TTAFStock_Log[WeekIndex],46))</f>
        <v/>
      </c>
      <c r="AV32" s="17">
        <f>IF(COUNTIFS(T_TTAFStock_Log[Part Name],$A32,T_TTAFStock_Log[WeekIndex],47)=0,"",SUMIFS(T_TTAFStock_Log[TTAF_Qty],T_TTAFStock_Log[Part Name],$A32,T_TTAFStock_Log[WeekIndex],47))</f>
        <v/>
      </c>
      <c r="AW32" s="17">
        <f>IF(COUNTIFS(T_TTAFStock_Log[Part Name],$A32,T_TTAFStock_Log[WeekIndex],48)=0,"",SUMIFS(T_TTAFStock_Log[TTAF_Qty],T_TTAFStock_Log[Part Name],$A32,T_TTAFStock_Log[WeekIndex],48))</f>
        <v/>
      </c>
      <c r="AX32" s="17">
        <f>IF(COUNTIFS(T_TTAFStock_Log[Part Name],$A32,T_TTAFStock_Log[WeekIndex],49)=0,"",SUMIFS(T_TTAFStock_Log[TTAF_Qty],T_TTAFStock_Log[Part Name],$A32,T_TTAFStock_Log[WeekIndex],49))</f>
        <v/>
      </c>
      <c r="AY32" s="17">
        <f>IF(COUNTIFS(T_TTAFStock_Log[Part Name],$A32,T_TTAFStock_Log[WeekIndex],50)=0,"",SUMIFS(T_TTAFStock_Log[TTAF_Qty],T_TTAFStock_Log[Part Name],$A32,T_TTAFStock_Log[WeekIndex],50))</f>
        <v/>
      </c>
      <c r="AZ32" s="17">
        <f>IF(COUNTIFS(T_TTAFStock_Log[Part Name],$A32,T_TTAFStock_Log[WeekIndex],51)=0,"",SUMIFS(T_TTAFStock_Log[TTAF_Qty],T_TTAFStock_Log[Part Name],$A32,T_TTAFStock_Log[WeekIndex],51))</f>
        <v/>
      </c>
      <c r="BA32" s="17">
        <f>IF(COUNTIFS(T_TTAFStock_Log[Part Name],$A32,T_TTAFStock_Log[WeekIndex],52)=0,"",SUMIFS(T_TTAFStock_Log[TTAF_Qty],T_TTAFStock_Log[Part Name],$A32,T_TTAFStock_Log[WeekIndex],52))</f>
        <v/>
      </c>
      <c r="BB32" s="17">
        <f>IF(COUNTIFS(T_TTAFStock_Log[Part Name],$A32,T_TTAFStock_Log[WeekIndex],53)=0,"",SUMIFS(T_TTAFStock_Log[TTAF_Qty],T_TTAFStock_Log[Part Name],$A32,T_TTAFStock_Log[WeekIndex],53))</f>
        <v/>
      </c>
      <c r="BC32" s="17">
        <f>IF(COUNTIFS(T_TTAFStock_Log[Part Name],$A32,T_TTAFStock_Log[WeekIndex],54)=0,"",SUMIFS(T_TTAFStock_Log[TTAF_Qty],T_TTAFStock_Log[Part Name],$A32,T_TTAFStock_Log[WeekIndex],54))</f>
        <v/>
      </c>
      <c r="BD32" s="17">
        <f>IF(COUNTIFS(T_TTAFStock_Log[Part Name],$A32,T_TTAFStock_Log[WeekIndex],55)=0,"",SUMIFS(T_TTAFStock_Log[TTAF_Qty],T_TTAFStock_Log[Part Name],$A32,T_TTAFStock_Log[WeekIndex],55))</f>
        <v/>
      </c>
      <c r="BE32" s="17">
        <f>IF(COUNTIFS(T_TTAFStock_Log[Part Name],$A32,T_TTAFStock_Log[WeekIndex],56)=0,"",SUMIFS(T_TTAFStock_Log[TTAF_Qty],T_TTAFStock_Log[Part Name],$A32,T_TTAFStock_Log[WeekIndex],56))</f>
        <v/>
      </c>
      <c r="BF32" s="17">
        <f>IF(COUNTIFS(T_TTAFStock_Log[Part Name],$A32,T_TTAFStock_Log[WeekIndex],57)=0,"",SUMIFS(T_TTAFStock_Log[TTAF_Qty],T_TTAFStock_Log[Part Name],$A32,T_TTAFStock_Log[WeekIndex],57))</f>
        <v/>
      </c>
      <c r="BG32" s="17">
        <f>IF(COUNTIFS(T_TTAFStock_Log[Part Name],$A32,T_TTAFStock_Log[WeekIndex],58)=0,"",SUMIFS(T_TTAFStock_Log[TTAF_Qty],T_TTAFStock_Log[Part Name],$A32,T_TTAFStock_Log[WeekIndex],58))</f>
        <v/>
      </c>
      <c r="BH32" s="17">
        <f>IF(COUNTIFS(T_TTAFStock_Log[Part Name],$A32,T_TTAFStock_Log[WeekIndex],59)=0,"",SUMIFS(T_TTAFStock_Log[TTAF_Qty],T_TTAFStock_Log[Part Name],$A32,T_TTAFStock_Log[WeekIndex],59))</f>
        <v/>
      </c>
      <c r="BI32" s="17">
        <f>IF(COUNTIFS(T_TTAFStock_Log[Part Name],$A32,T_TTAFStock_Log[WeekIndex],60)=0,"",SUMIFS(T_TTAFStock_Log[TTAF_Qty],T_TTAFStock_Log[Part Name],$A32,T_TTAFStock_Log[WeekIndex],60))</f>
        <v/>
      </c>
      <c r="BJ32" s="17">
        <f>IF(COUNTIFS(T_TTAFStock_Log[Part Name],$A32,T_TTAFStock_Log[WeekIndex],61)=0,"",SUMIFS(T_TTAFStock_Log[TTAF_Qty],T_TTAFStock_Log[Part Name],$A32,T_TTAFStock_Log[WeekIndex],61))</f>
        <v/>
      </c>
      <c r="BK32" s="17">
        <f>IF(COUNTIFS(T_TTAFStock_Log[Part Name],$A32,T_TTAFStock_Log[WeekIndex],62)=0,"",SUMIFS(T_TTAFStock_Log[TTAF_Qty],T_TTAFStock_Log[Part Name],$A32,T_TTAFStock_Log[WeekIndex],62))</f>
        <v/>
      </c>
      <c r="BL32" s="17">
        <f>IF(COUNTIFS(T_TTAFStock_Log[Part Name],$A32,T_TTAFStock_Log[WeekIndex],63)=0,"",SUMIFS(T_TTAFStock_Log[TTAF_Qty],T_TTAFStock_Log[Part Name],$A32,T_TTAFStock_Log[WeekIndex],63))</f>
        <v/>
      </c>
      <c r="BM32" s="17">
        <f>IF(COUNTIFS(T_TTAFStock_Log[Part Name],$A32,T_TTAFStock_Log[WeekIndex],64)=0,"",SUMIFS(T_TTAFStock_Log[TTAF_Qty],T_TTAFStock_Log[Part Name],$A32,T_TTAFStock_Log[WeekIndex],64))</f>
        <v/>
      </c>
      <c r="BN32" s="17">
        <f>IF(COUNTIFS(T_TTAFStock_Log[Part Name],$A32,T_TTAFStock_Log[WeekIndex],65)=0,"",SUMIFS(T_TTAFStock_Log[TTAF_Qty],T_TTAFStock_Log[Part Name],$A32,T_TTAFStock_Log[WeekIndex],65))</f>
        <v/>
      </c>
      <c r="BO32" s="17">
        <f>IF(COUNTIFS(T_TTAFStock_Log[Part Name],$A32,T_TTAFStock_Log[WeekIndex],66)=0,"",SUMIFS(T_TTAFStock_Log[TTAF_Qty],T_TTAFStock_Log[Part Name],$A32,T_TTAFStock_Log[WeekIndex],66))</f>
        <v/>
      </c>
      <c r="BP32" s="17">
        <f>IF(COUNTIFS(T_TTAFStock_Log[Part Name],$A32,T_TTAFStock_Log[WeekIndex],67)=0,"",SUMIFS(T_TTAFStock_Log[TTAF_Qty],T_TTAFStock_Log[Part Name],$A32,T_TTAFStock_Log[WeekIndex],67))</f>
        <v/>
      </c>
      <c r="BQ32" s="17">
        <f>IF(COUNTIFS(T_TTAFStock_Log[Part Name],$A32,T_TTAFStock_Log[WeekIndex],68)=0,"",SUMIFS(T_TTAFStock_Log[TTAF_Qty],T_TTAFStock_Log[Part Name],$A32,T_TTAFStock_Log[WeekIndex],68))</f>
        <v/>
      </c>
      <c r="BR32" s="17">
        <f>IF(COUNTIFS(T_TTAFStock_Log[Part Name],$A32,T_TTAFStock_Log[WeekIndex],69)=0,"",SUMIFS(T_TTAFStock_Log[TTAF_Qty],T_TTAFStock_Log[Part Name],$A32,T_TTAFStock_Log[WeekIndex],69))</f>
        <v/>
      </c>
      <c r="BS32" s="17">
        <f>IF(COUNTIFS(T_TTAFStock_Log[Part Name],$A32,T_TTAFStock_Log[WeekIndex],70)=0,"",SUMIFS(T_TTAFStock_Log[TTAF_Qty],T_TTAFStock_Log[Part Name],$A32,T_TTAFStock_Log[WeekIndex],70))</f>
        <v/>
      </c>
      <c r="BT32" s="17">
        <f>IF(COUNTIFS(T_TTAFStock_Log[Part Name],$A32,T_TTAFStock_Log[WeekIndex],71)=0,"",SUMIFS(T_TTAFStock_Log[TTAF_Qty],T_TTAFStock_Log[Part Name],$A32,T_TTAFStock_Log[WeekIndex],71))</f>
        <v/>
      </c>
      <c r="BU32" s="17">
        <f>IF(COUNTIFS(T_TTAFStock_Log[Part Name],$A32,T_TTAFStock_Log[WeekIndex],72)=0,"",SUMIFS(T_TTAFStock_Log[TTAF_Qty],T_TTAFStock_Log[Part Name],$A32,T_TTAFStock_Log[WeekIndex],72))</f>
        <v/>
      </c>
      <c r="BV32" s="17">
        <f>IF(COUNTIFS(T_TTAFStock_Log[Part Name],$A32,T_TTAFStock_Log[WeekIndex],73)=0,"",SUMIFS(T_TTAFStock_Log[TTAF_Qty],T_TTAFStock_Log[Part Name],$A32,T_TTAFStock_Log[WeekIndex],73))</f>
        <v/>
      </c>
      <c r="BW32" s="17">
        <f>IF(COUNTIFS(T_TTAFStock_Log[Part Name],$A32,T_TTAFStock_Log[WeekIndex],74)=0,"",SUMIFS(T_TTAFStock_Log[TTAF_Qty],T_TTAFStock_Log[Part Name],$A32,T_TTAFStock_Log[WeekIndex],74))</f>
        <v/>
      </c>
      <c r="BX32" s="17">
        <f>IF(COUNTIFS(T_TTAFStock_Log[Part Name],$A32,T_TTAFStock_Log[WeekIndex],75)=0,"",SUMIFS(T_TTAFStock_Log[TTAF_Qty],T_TTAFStock_Log[Part Name],$A32,T_TTAFStock_Log[WeekIndex],75))</f>
        <v/>
      </c>
      <c r="BY32" s="17">
        <f>IF(COUNTIFS(T_TTAFStock_Log[Part Name],$A32,T_TTAFStock_Log[WeekIndex],76)=0,"",SUMIFS(T_TTAFStock_Log[TTAF_Qty],T_TTAFStock_Log[Part Name],$A32,T_TTAFStock_Log[WeekIndex],76))</f>
        <v/>
      </c>
      <c r="BZ32" s="17">
        <f>IF(COUNTIFS(T_TTAFStock_Log[Part Name],$A32,T_TTAFStock_Log[WeekIndex],77)=0,"",SUMIFS(T_TTAFStock_Log[TTAF_Qty],T_TTAFStock_Log[Part Name],$A32,T_TTAFStock_Log[WeekIndex],77))</f>
        <v/>
      </c>
      <c r="CA32" s="17">
        <f>IF(COUNTIFS(T_TTAFStock_Log[Part Name],$A32,T_TTAFStock_Log[WeekIndex],78)=0,"",SUMIFS(T_TTAFStock_Log[TTAF_Qty],T_TTAFStock_Log[Part Name],$A32,T_TTAFStock_Log[WeekIndex],78))</f>
        <v/>
      </c>
      <c r="CB32" s="17">
        <f>IF(COUNTIFS(T_TTAFStock_Log[Part Name],$A32,T_TTAFStock_Log[WeekIndex],79)=0,"",SUMIFS(T_TTAFStock_Log[TTAF_Qty],T_TTAFStock_Log[Part Name],$A32,T_TTAFStock_Log[WeekIndex],79))</f>
        <v/>
      </c>
      <c r="CC32" s="17">
        <f>IF(COUNTIFS(T_TTAFStock_Log[Part Name],$A32,T_TTAFStock_Log[WeekIndex],80)=0,"",SUMIFS(T_TTAFStock_Log[TTAF_Qty],T_TTAFStock_Log[Part Name],$A32,T_TTAFStock_Log[WeekIndex],80))</f>
        <v/>
      </c>
      <c r="CD32" s="17">
        <f>IF(COUNTIFS(T_TTAFStock_Log[Part Name],$A32,T_TTAFStock_Log[WeekIndex],81)=0,"",SUMIFS(T_TTAFStock_Log[TTAF_Qty],T_TTAFStock_Log[Part Name],$A32,T_TTAFStock_Log[WeekIndex],81))</f>
        <v/>
      </c>
      <c r="CE32" s="17">
        <f>IF(COUNTIFS(T_TTAFStock_Log[Part Name],$A32,T_TTAFStock_Log[WeekIndex],82)=0,"",SUMIFS(T_TTAFStock_Log[TTAF_Qty],T_TTAFStock_Log[Part Name],$A32,T_TTAFStock_Log[WeekIndex],82))</f>
        <v/>
      </c>
      <c r="CF32" s="17">
        <f>IF(COUNTIFS(T_TTAFStock_Log[Part Name],$A32,T_TTAFStock_Log[WeekIndex],83)=0,"",SUMIFS(T_TTAFStock_Log[TTAF_Qty],T_TTAFStock_Log[Part Name],$A32,T_TTAFStock_Log[WeekIndex],83))</f>
        <v/>
      </c>
      <c r="CG32" s="17">
        <f>IF(COUNTIFS(T_TTAFStock_Log[Part Name],$A32,T_TTAFStock_Log[WeekIndex],84)=0,"",SUMIFS(T_TTAFStock_Log[TTAF_Qty],T_TTAFStock_Log[Part Name],$A32,T_TTAFStock_Log[WeekIndex],84))</f>
        <v/>
      </c>
      <c r="CH32" s="17">
        <f>IF(COUNTIFS(T_TTAFStock_Log[Part Name],$A32,T_TTAFStock_Log[WeekIndex],85)=0,"",SUMIFS(T_TTAFStock_Log[TTAF_Qty],T_TTAFStock_Log[Part Name],$A32,T_TTAFStock_Log[WeekIndex],85))</f>
        <v/>
      </c>
      <c r="CI32" s="17">
        <f>IF(COUNTIFS(T_TTAFStock_Log[Part Name],$A32,T_TTAFStock_Log[WeekIndex],86)=0,"",SUMIFS(T_TTAFStock_Log[TTAF_Qty],T_TTAFStock_Log[Part Name],$A32,T_TTAFStock_Log[WeekIndex],86))</f>
        <v/>
      </c>
      <c r="CJ32" s="17">
        <f>IF(COUNTIFS(T_TTAFStock_Log[Part Name],$A32,T_TTAFStock_Log[WeekIndex],87)=0,"",SUMIFS(T_TTAFStock_Log[TTAF_Qty],T_TTAFStock_Log[Part Name],$A32,T_TTAFStock_Log[WeekIndex],87))</f>
        <v/>
      </c>
      <c r="CK32" s="17">
        <f>IF(COUNTIFS(T_TTAFStock_Log[Part Name],$A32,T_TTAFStock_Log[WeekIndex],88)=0,"",SUMIFS(T_TTAFStock_Log[TTAF_Qty],T_TTAFStock_Log[Part Name],$A32,T_TTAFStock_Log[WeekIndex],88))</f>
        <v/>
      </c>
      <c r="CL32" s="17">
        <f>IF(COUNTIFS(T_TTAFStock_Log[Part Name],$A32,T_TTAFStock_Log[WeekIndex],89)=0,"",SUMIFS(T_TTAFStock_Log[TTAF_Qty],T_TTAFStock_Log[Part Name],$A32,T_TTAFStock_Log[WeekIndex],89))</f>
        <v/>
      </c>
      <c r="CM32" s="17">
        <f>IF(COUNTIFS(T_TTAFStock_Log[Part Name],$A32,T_TTAFStock_Log[WeekIndex],90)=0,"",SUMIFS(T_TTAFStock_Log[TTAF_Qty],T_TTAFStock_Log[Part Name],$A32,T_TTAFStock_Log[WeekIndex],90))</f>
        <v/>
      </c>
      <c r="CN32" s="17">
        <f>IF(COUNTIFS(T_TTAFStock_Log[Part Name],$A32,T_TTAFStock_Log[WeekIndex],91)=0,"",SUMIFS(T_TTAFStock_Log[TTAF_Qty],T_TTAFStock_Log[Part Name],$A32,T_TTAFStock_Log[WeekIndex],91))</f>
        <v/>
      </c>
      <c r="CO32" s="17">
        <f>IF(COUNTIFS(T_TTAFStock_Log[Part Name],$A32,T_TTAFStock_Log[WeekIndex],92)=0,"",SUMIFS(T_TTAFStock_Log[TTAF_Qty],T_TTAFStock_Log[Part Name],$A32,T_TTAFStock_Log[WeekIndex],92))</f>
        <v/>
      </c>
      <c r="CP32" s="17">
        <f>IF(COUNTIFS(T_TTAFStock_Log[Part Name],$A32,T_TTAFStock_Log[WeekIndex],93)=0,"",SUMIFS(T_TTAFStock_Log[TTAF_Qty],T_TTAFStock_Log[Part Name],$A32,T_TTAFStock_Log[WeekIndex],93))</f>
        <v/>
      </c>
      <c r="CQ32" s="17">
        <f>IF(COUNTIFS(T_TTAFStock_Log[Part Name],$A32,T_TTAFStock_Log[WeekIndex],94)=0,"",SUMIFS(T_TTAFStock_Log[TTAF_Qty],T_TTAFStock_Log[Part Name],$A32,T_TTAFStock_Log[WeekIndex],94))</f>
        <v/>
      </c>
      <c r="CR32" s="17">
        <f>IF(COUNTIFS(T_TTAFStock_Log[Part Name],$A32,T_TTAFStock_Log[WeekIndex],95)=0,"",SUMIFS(T_TTAFStock_Log[TTAF_Qty],T_TTAFStock_Log[Part Name],$A32,T_TTAFStock_Log[WeekIndex],95))</f>
        <v/>
      </c>
      <c r="CS32" s="17">
        <f>IF(COUNTIFS(T_TTAFStock_Log[Part Name],$A32,T_TTAFStock_Log[WeekIndex],96)=0,"",SUMIFS(T_TTAFStock_Log[TTAF_Qty],T_TTAFStock_Log[Part Name],$A32,T_TTAFStock_Log[WeekIndex],96))</f>
        <v/>
      </c>
      <c r="CT32" s="17">
        <f>IF(COUNTIFS(T_TTAFStock_Log[Part Name],$A32,T_TTAFStock_Log[WeekIndex],97)=0,"",SUMIFS(T_TTAFStock_Log[TTAF_Qty],T_TTAFStock_Log[Part Name],$A32,T_TTAFStock_Log[WeekIndex],97))</f>
        <v/>
      </c>
      <c r="CU32" s="17">
        <f>IF(COUNTIFS(T_TTAFStock_Log[Part Name],$A32,T_TTAFStock_Log[WeekIndex],98)=0,"",SUMIFS(T_TTAFStock_Log[TTAF_Qty],T_TTAFStock_Log[Part Name],$A32,T_TTAFStock_Log[WeekIndex],98))</f>
        <v/>
      </c>
      <c r="CV32" s="17">
        <f>IF(COUNTIFS(T_TTAFStock_Log[Part Name],$A32,T_TTAFStock_Log[WeekIndex],99)=0,"",SUMIFS(T_TTAFStock_Log[TTAF_Qty],T_TTAFStock_Log[Part Name],$A32,T_TTAFStock_Log[WeekIndex],99))</f>
        <v/>
      </c>
      <c r="CW32" s="17">
        <f>IF(COUNTIFS(T_TTAFStock_Log[Part Name],$A32,T_TTAFStock_Log[WeekIndex],100)=0,"",SUMIFS(T_TTAFStock_Log[TTAF_Qty],T_TTAFStock_Log[Part Name],$A32,T_TTAFStock_Log[WeekIndex],100))</f>
        <v/>
      </c>
      <c r="CX32" s="17">
        <f>IF(COUNTIFS(T_TTAFStock_Log[Part Name],$A32,T_TTAFStock_Log[WeekIndex],101)=0,"",SUMIFS(T_TTAFStock_Log[TTAF_Qty],T_TTAFStock_Log[Part Name],$A32,T_TTAFStock_Log[WeekIndex],101))</f>
        <v/>
      </c>
      <c r="CY32" s="17">
        <f>IF(COUNTIFS(T_TTAFStock_Log[Part Name],$A32,T_TTAFStock_Log[WeekIndex],102)=0,"",SUMIFS(T_TTAFStock_Log[TTAF_Qty],T_TTAFStock_Log[Part Name],$A32,T_TTAFStock_Log[WeekIndex],102))</f>
        <v/>
      </c>
      <c r="CZ32" s="17">
        <f>IF(COUNTIFS(T_TTAFStock_Log[Part Name],$A32,T_TTAFStock_Log[WeekIndex],103)=0,"",SUMIFS(T_TTAFStock_Log[TTAF_Qty],T_TTAFStock_Log[Part Name],$A32,T_TTAFStock_Log[WeekIndex],103))</f>
        <v/>
      </c>
      <c r="DA32" s="17">
        <f>IF(COUNTIFS(T_TTAFStock_Log[Part Name],$A32,T_TTAFStock_Log[WeekIndex],104)=0,"",SUMIFS(T_TTAFStock_Log[TTAF_Qty],T_TTAFStock_Log[Part Name],$A32,T_TTAFStock_Log[WeekIndex],104))</f>
        <v/>
      </c>
    </row>
    <row r="33">
      <c r="A33" s="19" t="inlineStr">
        <is>
          <t>CHEM-1120</t>
        </is>
      </c>
      <c r="B33" s="19">
        <f>IF(COUNTIFS(T_TTAFStock_Log[Part Name],$A33,T_TTAFStock_Log[WeekIndex],1)=0,"",SUMIFS(T_TTAFStock_Log[TTAF_Qty],T_TTAFStock_Log[Part Name],$A33,T_TTAFStock_Log[WeekIndex],1))</f>
        <v/>
      </c>
      <c r="C33" s="19">
        <f>IF(COUNTIFS(T_TTAFStock_Log[Part Name],$A33,T_TTAFStock_Log[WeekIndex],2)=0,"",SUMIFS(T_TTAFStock_Log[TTAF_Qty],T_TTAFStock_Log[Part Name],$A33,T_TTAFStock_Log[WeekIndex],2))</f>
        <v/>
      </c>
      <c r="D33" s="19">
        <f>IF(COUNTIFS(T_TTAFStock_Log[Part Name],$A33,T_TTAFStock_Log[WeekIndex],3)=0,"",SUMIFS(T_TTAFStock_Log[TTAF_Qty],T_TTAFStock_Log[Part Name],$A33,T_TTAFStock_Log[WeekIndex],3))</f>
        <v/>
      </c>
      <c r="E33" s="19">
        <f>IF(COUNTIFS(T_TTAFStock_Log[Part Name],$A33,T_TTAFStock_Log[WeekIndex],4)=0,"",SUMIFS(T_TTAFStock_Log[TTAF_Qty],T_TTAFStock_Log[Part Name],$A33,T_TTAFStock_Log[WeekIndex],4))</f>
        <v/>
      </c>
      <c r="F33" s="19">
        <f>IF(COUNTIFS(T_TTAFStock_Log[Part Name],$A33,T_TTAFStock_Log[WeekIndex],5)=0,"",SUMIFS(T_TTAFStock_Log[TTAF_Qty],T_TTAFStock_Log[Part Name],$A33,T_TTAFStock_Log[WeekIndex],5))</f>
        <v/>
      </c>
      <c r="G33" s="19">
        <f>IF(COUNTIFS(T_TTAFStock_Log[Part Name],$A33,T_TTAFStock_Log[WeekIndex],6)=0,"",SUMIFS(T_TTAFStock_Log[TTAF_Qty],T_TTAFStock_Log[Part Name],$A33,T_TTAFStock_Log[WeekIndex],6))</f>
        <v/>
      </c>
      <c r="H33" s="19">
        <f>IF(COUNTIFS(T_TTAFStock_Log[Part Name],$A33,T_TTAFStock_Log[WeekIndex],7)=0,"",SUMIFS(T_TTAFStock_Log[TTAF_Qty],T_TTAFStock_Log[Part Name],$A33,T_TTAFStock_Log[WeekIndex],7))</f>
        <v/>
      </c>
      <c r="I33" s="19">
        <f>IF(COUNTIFS(T_TTAFStock_Log[Part Name],$A33,T_TTAFStock_Log[WeekIndex],8)=0,"",SUMIFS(T_TTAFStock_Log[TTAF_Qty],T_TTAFStock_Log[Part Name],$A33,T_TTAFStock_Log[WeekIndex],8))</f>
        <v/>
      </c>
      <c r="J33" s="19">
        <f>IF(COUNTIFS(T_TTAFStock_Log[Part Name],$A33,T_TTAFStock_Log[WeekIndex],9)=0,"",SUMIFS(T_TTAFStock_Log[TTAF_Qty],T_TTAFStock_Log[Part Name],$A33,T_TTAFStock_Log[WeekIndex],9))</f>
        <v/>
      </c>
      <c r="K33" s="19">
        <f>IF(COUNTIFS(T_TTAFStock_Log[Part Name],$A33,T_TTAFStock_Log[WeekIndex],10)=0,"",SUMIFS(T_TTAFStock_Log[TTAF_Qty],T_TTAFStock_Log[Part Name],$A33,T_TTAFStock_Log[WeekIndex],10))</f>
        <v/>
      </c>
      <c r="L33" s="19">
        <f>IF(COUNTIFS(T_TTAFStock_Log[Part Name],$A33,T_TTAFStock_Log[WeekIndex],11)=0,"",SUMIFS(T_TTAFStock_Log[TTAF_Qty],T_TTAFStock_Log[Part Name],$A33,T_TTAFStock_Log[WeekIndex],11))</f>
        <v/>
      </c>
      <c r="M33" s="19">
        <f>IF(COUNTIFS(T_TTAFStock_Log[Part Name],$A33,T_TTAFStock_Log[WeekIndex],12)=0,"",SUMIFS(T_TTAFStock_Log[TTAF_Qty],T_TTAFStock_Log[Part Name],$A33,T_TTAFStock_Log[WeekIndex],12))</f>
        <v/>
      </c>
      <c r="N33" s="19">
        <f>IF(COUNTIFS(T_TTAFStock_Log[Part Name],$A33,T_TTAFStock_Log[WeekIndex],13)=0,"",SUMIFS(T_TTAFStock_Log[TTAF_Qty],T_TTAFStock_Log[Part Name],$A33,T_TTAFStock_Log[WeekIndex],13))</f>
        <v/>
      </c>
      <c r="O33" s="19">
        <f>IF(COUNTIFS(T_TTAFStock_Log[Part Name],$A33,T_TTAFStock_Log[WeekIndex],14)=0,"",SUMIFS(T_TTAFStock_Log[TTAF_Qty],T_TTAFStock_Log[Part Name],$A33,T_TTAFStock_Log[WeekIndex],14))</f>
        <v/>
      </c>
      <c r="P33" s="19">
        <f>IF(COUNTIFS(T_TTAFStock_Log[Part Name],$A33,T_TTAFStock_Log[WeekIndex],15)=0,"",SUMIFS(T_TTAFStock_Log[TTAF_Qty],T_TTAFStock_Log[Part Name],$A33,T_TTAFStock_Log[WeekIndex],15))</f>
        <v/>
      </c>
      <c r="Q33" s="19">
        <f>IF(COUNTIFS(T_TTAFStock_Log[Part Name],$A33,T_TTAFStock_Log[WeekIndex],16)=0,"",SUMIFS(T_TTAFStock_Log[TTAF_Qty],T_TTAFStock_Log[Part Name],$A33,T_TTAFStock_Log[WeekIndex],16))</f>
        <v/>
      </c>
      <c r="R33" s="19">
        <f>IF(COUNTIFS(T_TTAFStock_Log[Part Name],$A33,T_TTAFStock_Log[WeekIndex],17)=0,"",SUMIFS(T_TTAFStock_Log[TTAF_Qty],T_TTAFStock_Log[Part Name],$A33,T_TTAFStock_Log[WeekIndex],17))</f>
        <v/>
      </c>
      <c r="S33" s="19">
        <f>IF(COUNTIFS(T_TTAFStock_Log[Part Name],$A33,T_TTAFStock_Log[WeekIndex],18)=0,"",SUMIFS(T_TTAFStock_Log[TTAF_Qty],T_TTAFStock_Log[Part Name],$A33,T_TTAFStock_Log[WeekIndex],18))</f>
        <v/>
      </c>
      <c r="T33" s="19">
        <f>IF(COUNTIFS(T_TTAFStock_Log[Part Name],$A33,T_TTAFStock_Log[WeekIndex],19)=0,"",SUMIFS(T_TTAFStock_Log[TTAF_Qty],T_TTAFStock_Log[Part Name],$A33,T_TTAFStock_Log[WeekIndex],19))</f>
        <v/>
      </c>
      <c r="U33" s="19">
        <f>IF(COUNTIFS(T_TTAFStock_Log[Part Name],$A33,T_TTAFStock_Log[WeekIndex],20)=0,"",SUMIFS(T_TTAFStock_Log[TTAF_Qty],T_TTAFStock_Log[Part Name],$A33,T_TTAFStock_Log[WeekIndex],20))</f>
        <v/>
      </c>
      <c r="V33" s="19">
        <f>IF(COUNTIFS(T_TTAFStock_Log[Part Name],$A33,T_TTAFStock_Log[WeekIndex],21)=0,"",SUMIFS(T_TTAFStock_Log[TTAF_Qty],T_TTAFStock_Log[Part Name],$A33,T_TTAFStock_Log[WeekIndex],21))</f>
        <v/>
      </c>
      <c r="W33" s="19">
        <f>IF(COUNTIFS(T_TTAFStock_Log[Part Name],$A33,T_TTAFStock_Log[WeekIndex],22)=0,"",SUMIFS(T_TTAFStock_Log[TTAF_Qty],T_TTAFStock_Log[Part Name],$A33,T_TTAFStock_Log[WeekIndex],22))</f>
        <v/>
      </c>
      <c r="X33" s="19">
        <f>IF(COUNTIFS(T_TTAFStock_Log[Part Name],$A33,T_TTAFStock_Log[WeekIndex],23)=0,"",SUMIFS(T_TTAFStock_Log[TTAF_Qty],T_TTAFStock_Log[Part Name],$A33,T_TTAFStock_Log[WeekIndex],23))</f>
        <v/>
      </c>
      <c r="Y33" s="19">
        <f>IF(COUNTIFS(T_TTAFStock_Log[Part Name],$A33,T_TTAFStock_Log[WeekIndex],24)=0,"",SUMIFS(T_TTAFStock_Log[TTAF_Qty],T_TTAFStock_Log[Part Name],$A33,T_TTAFStock_Log[WeekIndex],24))</f>
        <v/>
      </c>
      <c r="Z33" s="19">
        <f>IF(COUNTIFS(T_TTAFStock_Log[Part Name],$A33,T_TTAFStock_Log[WeekIndex],25)=0,"",SUMIFS(T_TTAFStock_Log[TTAF_Qty],T_TTAFStock_Log[Part Name],$A33,T_TTAFStock_Log[WeekIndex],25))</f>
        <v/>
      </c>
      <c r="AA33" s="19">
        <f>IF(COUNTIFS(T_TTAFStock_Log[Part Name],$A33,T_TTAFStock_Log[WeekIndex],26)=0,"",SUMIFS(T_TTAFStock_Log[TTAF_Qty],T_TTAFStock_Log[Part Name],$A33,T_TTAFStock_Log[WeekIndex],26))</f>
        <v/>
      </c>
      <c r="AB33" s="19">
        <f>IF(COUNTIFS(T_TTAFStock_Log[Part Name],$A33,T_TTAFStock_Log[WeekIndex],27)=0,"",SUMIFS(T_TTAFStock_Log[TTAF_Qty],T_TTAFStock_Log[Part Name],$A33,T_TTAFStock_Log[WeekIndex],27))</f>
        <v/>
      </c>
      <c r="AC33" s="19">
        <f>IF(COUNTIFS(T_TTAFStock_Log[Part Name],$A33,T_TTAFStock_Log[WeekIndex],28)=0,"",SUMIFS(T_TTAFStock_Log[TTAF_Qty],T_TTAFStock_Log[Part Name],$A33,T_TTAFStock_Log[WeekIndex],28))</f>
        <v/>
      </c>
      <c r="AD33" s="19">
        <f>IF(COUNTIFS(T_TTAFStock_Log[Part Name],$A33,T_TTAFStock_Log[WeekIndex],29)=0,"",SUMIFS(T_TTAFStock_Log[TTAF_Qty],T_TTAFStock_Log[Part Name],$A33,T_TTAFStock_Log[WeekIndex],29))</f>
        <v/>
      </c>
      <c r="AE33" s="19">
        <f>IF(COUNTIFS(T_TTAFStock_Log[Part Name],$A33,T_TTAFStock_Log[WeekIndex],30)=0,"",SUMIFS(T_TTAFStock_Log[TTAF_Qty],T_TTAFStock_Log[Part Name],$A33,T_TTAFStock_Log[WeekIndex],30))</f>
        <v/>
      </c>
      <c r="AF33" s="19">
        <f>IF(COUNTIFS(T_TTAFStock_Log[Part Name],$A33,T_TTAFStock_Log[WeekIndex],31)=0,"",SUMIFS(T_TTAFStock_Log[TTAF_Qty],T_TTAFStock_Log[Part Name],$A33,T_TTAFStock_Log[WeekIndex],31))</f>
        <v/>
      </c>
      <c r="AG33" s="19">
        <f>IF(COUNTIFS(T_TTAFStock_Log[Part Name],$A33,T_TTAFStock_Log[WeekIndex],32)=0,"",SUMIFS(T_TTAFStock_Log[TTAF_Qty],T_TTAFStock_Log[Part Name],$A33,T_TTAFStock_Log[WeekIndex],32))</f>
        <v/>
      </c>
      <c r="AH33" s="19">
        <f>IF(COUNTIFS(T_TTAFStock_Log[Part Name],$A33,T_TTAFStock_Log[WeekIndex],33)=0,"",SUMIFS(T_TTAFStock_Log[TTAF_Qty],T_TTAFStock_Log[Part Name],$A33,T_TTAFStock_Log[WeekIndex],33))</f>
        <v/>
      </c>
      <c r="AI33" s="19">
        <f>IF(COUNTIFS(T_TTAFStock_Log[Part Name],$A33,T_TTAFStock_Log[WeekIndex],34)=0,"",SUMIFS(T_TTAFStock_Log[TTAF_Qty],T_TTAFStock_Log[Part Name],$A33,T_TTAFStock_Log[WeekIndex],34))</f>
        <v/>
      </c>
      <c r="AJ33" s="19">
        <f>IF(COUNTIFS(T_TTAFStock_Log[Part Name],$A33,T_TTAFStock_Log[WeekIndex],35)=0,"",SUMIFS(T_TTAFStock_Log[TTAF_Qty],T_TTAFStock_Log[Part Name],$A33,T_TTAFStock_Log[WeekIndex],35))</f>
        <v/>
      </c>
      <c r="AK33" s="19">
        <f>IF(COUNTIFS(T_TTAFStock_Log[Part Name],$A33,T_TTAFStock_Log[WeekIndex],36)=0,"",SUMIFS(T_TTAFStock_Log[TTAF_Qty],T_TTAFStock_Log[Part Name],$A33,T_TTAFStock_Log[WeekIndex],36))</f>
        <v/>
      </c>
      <c r="AL33" s="19">
        <f>IF(COUNTIFS(T_TTAFStock_Log[Part Name],$A33,T_TTAFStock_Log[WeekIndex],37)=0,"",SUMIFS(T_TTAFStock_Log[TTAF_Qty],T_TTAFStock_Log[Part Name],$A33,T_TTAFStock_Log[WeekIndex],37))</f>
        <v/>
      </c>
      <c r="AM33" s="19">
        <f>IF(COUNTIFS(T_TTAFStock_Log[Part Name],$A33,T_TTAFStock_Log[WeekIndex],38)=0,"",SUMIFS(T_TTAFStock_Log[TTAF_Qty],T_TTAFStock_Log[Part Name],$A33,T_TTAFStock_Log[WeekIndex],38))</f>
        <v/>
      </c>
      <c r="AN33" s="19">
        <f>IF(COUNTIFS(T_TTAFStock_Log[Part Name],$A33,T_TTAFStock_Log[WeekIndex],39)=0,"",SUMIFS(T_TTAFStock_Log[TTAF_Qty],T_TTAFStock_Log[Part Name],$A33,T_TTAFStock_Log[WeekIndex],39))</f>
        <v/>
      </c>
      <c r="AO33" s="19">
        <f>IF(COUNTIFS(T_TTAFStock_Log[Part Name],$A33,T_TTAFStock_Log[WeekIndex],40)=0,"",SUMIFS(T_TTAFStock_Log[TTAF_Qty],T_TTAFStock_Log[Part Name],$A33,T_TTAFStock_Log[WeekIndex],40))</f>
        <v/>
      </c>
      <c r="AP33" s="19">
        <f>IF(COUNTIFS(T_TTAFStock_Log[Part Name],$A33,T_TTAFStock_Log[WeekIndex],41)=0,"",SUMIFS(T_TTAFStock_Log[TTAF_Qty],T_TTAFStock_Log[Part Name],$A33,T_TTAFStock_Log[WeekIndex],41))</f>
        <v/>
      </c>
      <c r="AQ33" s="19">
        <f>IF(COUNTIFS(T_TTAFStock_Log[Part Name],$A33,T_TTAFStock_Log[WeekIndex],42)=0,"",SUMIFS(T_TTAFStock_Log[TTAF_Qty],T_TTAFStock_Log[Part Name],$A33,T_TTAFStock_Log[WeekIndex],42))</f>
        <v/>
      </c>
      <c r="AR33" s="19">
        <f>IF(COUNTIFS(T_TTAFStock_Log[Part Name],$A33,T_TTAFStock_Log[WeekIndex],43)=0,"",SUMIFS(T_TTAFStock_Log[TTAF_Qty],T_TTAFStock_Log[Part Name],$A33,T_TTAFStock_Log[WeekIndex],43))</f>
        <v/>
      </c>
      <c r="AS33" s="19">
        <f>IF(COUNTIFS(T_TTAFStock_Log[Part Name],$A33,T_TTAFStock_Log[WeekIndex],44)=0,"",SUMIFS(T_TTAFStock_Log[TTAF_Qty],T_TTAFStock_Log[Part Name],$A33,T_TTAFStock_Log[WeekIndex],44))</f>
        <v/>
      </c>
      <c r="AT33" s="19">
        <f>IF(COUNTIFS(T_TTAFStock_Log[Part Name],$A33,T_TTAFStock_Log[WeekIndex],45)=0,"",SUMIFS(T_TTAFStock_Log[TTAF_Qty],T_TTAFStock_Log[Part Name],$A33,T_TTAFStock_Log[WeekIndex],45))</f>
        <v/>
      </c>
      <c r="AU33" s="19">
        <f>IF(COUNTIFS(T_TTAFStock_Log[Part Name],$A33,T_TTAFStock_Log[WeekIndex],46)=0,"",SUMIFS(T_TTAFStock_Log[TTAF_Qty],T_TTAFStock_Log[Part Name],$A33,T_TTAFStock_Log[WeekIndex],46))</f>
        <v/>
      </c>
      <c r="AV33" s="19">
        <f>IF(COUNTIFS(T_TTAFStock_Log[Part Name],$A33,T_TTAFStock_Log[WeekIndex],47)=0,"",SUMIFS(T_TTAFStock_Log[TTAF_Qty],T_TTAFStock_Log[Part Name],$A33,T_TTAFStock_Log[WeekIndex],47))</f>
        <v/>
      </c>
      <c r="AW33" s="19">
        <f>IF(COUNTIFS(T_TTAFStock_Log[Part Name],$A33,T_TTAFStock_Log[WeekIndex],48)=0,"",SUMIFS(T_TTAFStock_Log[TTAF_Qty],T_TTAFStock_Log[Part Name],$A33,T_TTAFStock_Log[WeekIndex],48))</f>
        <v/>
      </c>
      <c r="AX33" s="19">
        <f>IF(COUNTIFS(T_TTAFStock_Log[Part Name],$A33,T_TTAFStock_Log[WeekIndex],49)=0,"",SUMIFS(T_TTAFStock_Log[TTAF_Qty],T_TTAFStock_Log[Part Name],$A33,T_TTAFStock_Log[WeekIndex],49))</f>
        <v/>
      </c>
      <c r="AY33" s="19">
        <f>IF(COUNTIFS(T_TTAFStock_Log[Part Name],$A33,T_TTAFStock_Log[WeekIndex],50)=0,"",SUMIFS(T_TTAFStock_Log[TTAF_Qty],T_TTAFStock_Log[Part Name],$A33,T_TTAFStock_Log[WeekIndex],50))</f>
        <v/>
      </c>
      <c r="AZ33" s="19">
        <f>IF(COUNTIFS(T_TTAFStock_Log[Part Name],$A33,T_TTAFStock_Log[WeekIndex],51)=0,"",SUMIFS(T_TTAFStock_Log[TTAF_Qty],T_TTAFStock_Log[Part Name],$A33,T_TTAFStock_Log[WeekIndex],51))</f>
        <v/>
      </c>
      <c r="BA33" s="19">
        <f>IF(COUNTIFS(T_TTAFStock_Log[Part Name],$A33,T_TTAFStock_Log[WeekIndex],52)=0,"",SUMIFS(T_TTAFStock_Log[TTAF_Qty],T_TTAFStock_Log[Part Name],$A33,T_TTAFStock_Log[WeekIndex],52))</f>
        <v/>
      </c>
      <c r="BB33" s="19">
        <f>IF(COUNTIFS(T_TTAFStock_Log[Part Name],$A33,T_TTAFStock_Log[WeekIndex],53)=0,"",SUMIFS(T_TTAFStock_Log[TTAF_Qty],T_TTAFStock_Log[Part Name],$A33,T_TTAFStock_Log[WeekIndex],53))</f>
        <v/>
      </c>
      <c r="BC33" s="19">
        <f>IF(COUNTIFS(T_TTAFStock_Log[Part Name],$A33,T_TTAFStock_Log[WeekIndex],54)=0,"",SUMIFS(T_TTAFStock_Log[TTAF_Qty],T_TTAFStock_Log[Part Name],$A33,T_TTAFStock_Log[WeekIndex],54))</f>
        <v/>
      </c>
      <c r="BD33" s="19">
        <f>IF(COUNTIFS(T_TTAFStock_Log[Part Name],$A33,T_TTAFStock_Log[WeekIndex],55)=0,"",SUMIFS(T_TTAFStock_Log[TTAF_Qty],T_TTAFStock_Log[Part Name],$A33,T_TTAFStock_Log[WeekIndex],55))</f>
        <v/>
      </c>
      <c r="BE33" s="19">
        <f>IF(COUNTIFS(T_TTAFStock_Log[Part Name],$A33,T_TTAFStock_Log[WeekIndex],56)=0,"",SUMIFS(T_TTAFStock_Log[TTAF_Qty],T_TTAFStock_Log[Part Name],$A33,T_TTAFStock_Log[WeekIndex],56))</f>
        <v/>
      </c>
      <c r="BF33" s="19">
        <f>IF(COUNTIFS(T_TTAFStock_Log[Part Name],$A33,T_TTAFStock_Log[WeekIndex],57)=0,"",SUMIFS(T_TTAFStock_Log[TTAF_Qty],T_TTAFStock_Log[Part Name],$A33,T_TTAFStock_Log[WeekIndex],57))</f>
        <v/>
      </c>
      <c r="BG33" s="19">
        <f>IF(COUNTIFS(T_TTAFStock_Log[Part Name],$A33,T_TTAFStock_Log[WeekIndex],58)=0,"",SUMIFS(T_TTAFStock_Log[TTAF_Qty],T_TTAFStock_Log[Part Name],$A33,T_TTAFStock_Log[WeekIndex],58))</f>
        <v/>
      </c>
      <c r="BH33" s="19">
        <f>IF(COUNTIFS(T_TTAFStock_Log[Part Name],$A33,T_TTAFStock_Log[WeekIndex],59)=0,"",SUMIFS(T_TTAFStock_Log[TTAF_Qty],T_TTAFStock_Log[Part Name],$A33,T_TTAFStock_Log[WeekIndex],59))</f>
        <v/>
      </c>
      <c r="BI33" s="19">
        <f>IF(COUNTIFS(T_TTAFStock_Log[Part Name],$A33,T_TTAFStock_Log[WeekIndex],60)=0,"",SUMIFS(T_TTAFStock_Log[TTAF_Qty],T_TTAFStock_Log[Part Name],$A33,T_TTAFStock_Log[WeekIndex],60))</f>
        <v/>
      </c>
      <c r="BJ33" s="19">
        <f>IF(COUNTIFS(T_TTAFStock_Log[Part Name],$A33,T_TTAFStock_Log[WeekIndex],61)=0,"",SUMIFS(T_TTAFStock_Log[TTAF_Qty],T_TTAFStock_Log[Part Name],$A33,T_TTAFStock_Log[WeekIndex],61))</f>
        <v/>
      </c>
      <c r="BK33" s="19">
        <f>IF(COUNTIFS(T_TTAFStock_Log[Part Name],$A33,T_TTAFStock_Log[WeekIndex],62)=0,"",SUMIFS(T_TTAFStock_Log[TTAF_Qty],T_TTAFStock_Log[Part Name],$A33,T_TTAFStock_Log[WeekIndex],62))</f>
        <v/>
      </c>
      <c r="BL33" s="19">
        <f>IF(COUNTIFS(T_TTAFStock_Log[Part Name],$A33,T_TTAFStock_Log[WeekIndex],63)=0,"",SUMIFS(T_TTAFStock_Log[TTAF_Qty],T_TTAFStock_Log[Part Name],$A33,T_TTAFStock_Log[WeekIndex],63))</f>
        <v/>
      </c>
      <c r="BM33" s="19">
        <f>IF(COUNTIFS(T_TTAFStock_Log[Part Name],$A33,T_TTAFStock_Log[WeekIndex],64)=0,"",SUMIFS(T_TTAFStock_Log[TTAF_Qty],T_TTAFStock_Log[Part Name],$A33,T_TTAFStock_Log[WeekIndex],64))</f>
        <v/>
      </c>
      <c r="BN33" s="19">
        <f>IF(COUNTIFS(T_TTAFStock_Log[Part Name],$A33,T_TTAFStock_Log[WeekIndex],65)=0,"",SUMIFS(T_TTAFStock_Log[TTAF_Qty],T_TTAFStock_Log[Part Name],$A33,T_TTAFStock_Log[WeekIndex],65))</f>
        <v/>
      </c>
      <c r="BO33" s="19">
        <f>IF(COUNTIFS(T_TTAFStock_Log[Part Name],$A33,T_TTAFStock_Log[WeekIndex],66)=0,"",SUMIFS(T_TTAFStock_Log[TTAF_Qty],T_TTAFStock_Log[Part Name],$A33,T_TTAFStock_Log[WeekIndex],66))</f>
        <v/>
      </c>
      <c r="BP33" s="19">
        <f>IF(COUNTIFS(T_TTAFStock_Log[Part Name],$A33,T_TTAFStock_Log[WeekIndex],67)=0,"",SUMIFS(T_TTAFStock_Log[TTAF_Qty],T_TTAFStock_Log[Part Name],$A33,T_TTAFStock_Log[WeekIndex],67))</f>
        <v/>
      </c>
      <c r="BQ33" s="19">
        <f>IF(COUNTIFS(T_TTAFStock_Log[Part Name],$A33,T_TTAFStock_Log[WeekIndex],68)=0,"",SUMIFS(T_TTAFStock_Log[TTAF_Qty],T_TTAFStock_Log[Part Name],$A33,T_TTAFStock_Log[WeekIndex],68))</f>
        <v/>
      </c>
      <c r="BR33" s="19">
        <f>IF(COUNTIFS(T_TTAFStock_Log[Part Name],$A33,T_TTAFStock_Log[WeekIndex],69)=0,"",SUMIFS(T_TTAFStock_Log[TTAF_Qty],T_TTAFStock_Log[Part Name],$A33,T_TTAFStock_Log[WeekIndex],69))</f>
        <v/>
      </c>
      <c r="BS33" s="19">
        <f>IF(COUNTIFS(T_TTAFStock_Log[Part Name],$A33,T_TTAFStock_Log[WeekIndex],70)=0,"",SUMIFS(T_TTAFStock_Log[TTAF_Qty],T_TTAFStock_Log[Part Name],$A33,T_TTAFStock_Log[WeekIndex],70))</f>
        <v/>
      </c>
      <c r="BT33" s="19">
        <f>IF(COUNTIFS(T_TTAFStock_Log[Part Name],$A33,T_TTAFStock_Log[WeekIndex],71)=0,"",SUMIFS(T_TTAFStock_Log[TTAF_Qty],T_TTAFStock_Log[Part Name],$A33,T_TTAFStock_Log[WeekIndex],71))</f>
        <v/>
      </c>
      <c r="BU33" s="19">
        <f>IF(COUNTIFS(T_TTAFStock_Log[Part Name],$A33,T_TTAFStock_Log[WeekIndex],72)=0,"",SUMIFS(T_TTAFStock_Log[TTAF_Qty],T_TTAFStock_Log[Part Name],$A33,T_TTAFStock_Log[WeekIndex],72))</f>
        <v/>
      </c>
      <c r="BV33" s="19">
        <f>IF(COUNTIFS(T_TTAFStock_Log[Part Name],$A33,T_TTAFStock_Log[WeekIndex],73)=0,"",SUMIFS(T_TTAFStock_Log[TTAF_Qty],T_TTAFStock_Log[Part Name],$A33,T_TTAFStock_Log[WeekIndex],73))</f>
        <v/>
      </c>
      <c r="BW33" s="19">
        <f>IF(COUNTIFS(T_TTAFStock_Log[Part Name],$A33,T_TTAFStock_Log[WeekIndex],74)=0,"",SUMIFS(T_TTAFStock_Log[TTAF_Qty],T_TTAFStock_Log[Part Name],$A33,T_TTAFStock_Log[WeekIndex],74))</f>
        <v/>
      </c>
      <c r="BX33" s="19">
        <f>IF(COUNTIFS(T_TTAFStock_Log[Part Name],$A33,T_TTAFStock_Log[WeekIndex],75)=0,"",SUMIFS(T_TTAFStock_Log[TTAF_Qty],T_TTAFStock_Log[Part Name],$A33,T_TTAFStock_Log[WeekIndex],75))</f>
        <v/>
      </c>
      <c r="BY33" s="19">
        <f>IF(COUNTIFS(T_TTAFStock_Log[Part Name],$A33,T_TTAFStock_Log[WeekIndex],76)=0,"",SUMIFS(T_TTAFStock_Log[TTAF_Qty],T_TTAFStock_Log[Part Name],$A33,T_TTAFStock_Log[WeekIndex],76))</f>
        <v/>
      </c>
      <c r="BZ33" s="19">
        <f>IF(COUNTIFS(T_TTAFStock_Log[Part Name],$A33,T_TTAFStock_Log[WeekIndex],77)=0,"",SUMIFS(T_TTAFStock_Log[TTAF_Qty],T_TTAFStock_Log[Part Name],$A33,T_TTAFStock_Log[WeekIndex],77))</f>
        <v/>
      </c>
      <c r="CA33" s="19">
        <f>IF(COUNTIFS(T_TTAFStock_Log[Part Name],$A33,T_TTAFStock_Log[WeekIndex],78)=0,"",SUMIFS(T_TTAFStock_Log[TTAF_Qty],T_TTAFStock_Log[Part Name],$A33,T_TTAFStock_Log[WeekIndex],78))</f>
        <v/>
      </c>
      <c r="CB33" s="19">
        <f>IF(COUNTIFS(T_TTAFStock_Log[Part Name],$A33,T_TTAFStock_Log[WeekIndex],79)=0,"",SUMIFS(T_TTAFStock_Log[TTAF_Qty],T_TTAFStock_Log[Part Name],$A33,T_TTAFStock_Log[WeekIndex],79))</f>
        <v/>
      </c>
      <c r="CC33" s="19">
        <f>IF(COUNTIFS(T_TTAFStock_Log[Part Name],$A33,T_TTAFStock_Log[WeekIndex],80)=0,"",SUMIFS(T_TTAFStock_Log[TTAF_Qty],T_TTAFStock_Log[Part Name],$A33,T_TTAFStock_Log[WeekIndex],80))</f>
        <v/>
      </c>
      <c r="CD33" s="19">
        <f>IF(COUNTIFS(T_TTAFStock_Log[Part Name],$A33,T_TTAFStock_Log[WeekIndex],81)=0,"",SUMIFS(T_TTAFStock_Log[TTAF_Qty],T_TTAFStock_Log[Part Name],$A33,T_TTAFStock_Log[WeekIndex],81))</f>
        <v/>
      </c>
      <c r="CE33" s="19">
        <f>IF(COUNTIFS(T_TTAFStock_Log[Part Name],$A33,T_TTAFStock_Log[WeekIndex],82)=0,"",SUMIFS(T_TTAFStock_Log[TTAF_Qty],T_TTAFStock_Log[Part Name],$A33,T_TTAFStock_Log[WeekIndex],82))</f>
        <v/>
      </c>
      <c r="CF33" s="19">
        <f>IF(COUNTIFS(T_TTAFStock_Log[Part Name],$A33,T_TTAFStock_Log[WeekIndex],83)=0,"",SUMIFS(T_TTAFStock_Log[TTAF_Qty],T_TTAFStock_Log[Part Name],$A33,T_TTAFStock_Log[WeekIndex],83))</f>
        <v/>
      </c>
      <c r="CG33" s="19">
        <f>IF(COUNTIFS(T_TTAFStock_Log[Part Name],$A33,T_TTAFStock_Log[WeekIndex],84)=0,"",SUMIFS(T_TTAFStock_Log[TTAF_Qty],T_TTAFStock_Log[Part Name],$A33,T_TTAFStock_Log[WeekIndex],84))</f>
        <v/>
      </c>
      <c r="CH33" s="19">
        <f>IF(COUNTIFS(T_TTAFStock_Log[Part Name],$A33,T_TTAFStock_Log[WeekIndex],85)=0,"",SUMIFS(T_TTAFStock_Log[TTAF_Qty],T_TTAFStock_Log[Part Name],$A33,T_TTAFStock_Log[WeekIndex],85))</f>
        <v/>
      </c>
      <c r="CI33" s="19">
        <f>IF(COUNTIFS(T_TTAFStock_Log[Part Name],$A33,T_TTAFStock_Log[WeekIndex],86)=0,"",SUMIFS(T_TTAFStock_Log[TTAF_Qty],T_TTAFStock_Log[Part Name],$A33,T_TTAFStock_Log[WeekIndex],86))</f>
        <v/>
      </c>
      <c r="CJ33" s="19">
        <f>IF(COUNTIFS(T_TTAFStock_Log[Part Name],$A33,T_TTAFStock_Log[WeekIndex],87)=0,"",SUMIFS(T_TTAFStock_Log[TTAF_Qty],T_TTAFStock_Log[Part Name],$A33,T_TTAFStock_Log[WeekIndex],87))</f>
        <v/>
      </c>
      <c r="CK33" s="19">
        <f>IF(COUNTIFS(T_TTAFStock_Log[Part Name],$A33,T_TTAFStock_Log[WeekIndex],88)=0,"",SUMIFS(T_TTAFStock_Log[TTAF_Qty],T_TTAFStock_Log[Part Name],$A33,T_TTAFStock_Log[WeekIndex],88))</f>
        <v/>
      </c>
      <c r="CL33" s="19">
        <f>IF(COUNTIFS(T_TTAFStock_Log[Part Name],$A33,T_TTAFStock_Log[WeekIndex],89)=0,"",SUMIFS(T_TTAFStock_Log[TTAF_Qty],T_TTAFStock_Log[Part Name],$A33,T_TTAFStock_Log[WeekIndex],89))</f>
        <v/>
      </c>
      <c r="CM33" s="19">
        <f>IF(COUNTIFS(T_TTAFStock_Log[Part Name],$A33,T_TTAFStock_Log[WeekIndex],90)=0,"",SUMIFS(T_TTAFStock_Log[TTAF_Qty],T_TTAFStock_Log[Part Name],$A33,T_TTAFStock_Log[WeekIndex],90))</f>
        <v/>
      </c>
      <c r="CN33" s="19">
        <f>IF(COUNTIFS(T_TTAFStock_Log[Part Name],$A33,T_TTAFStock_Log[WeekIndex],91)=0,"",SUMIFS(T_TTAFStock_Log[TTAF_Qty],T_TTAFStock_Log[Part Name],$A33,T_TTAFStock_Log[WeekIndex],91))</f>
        <v/>
      </c>
      <c r="CO33" s="19">
        <f>IF(COUNTIFS(T_TTAFStock_Log[Part Name],$A33,T_TTAFStock_Log[WeekIndex],92)=0,"",SUMIFS(T_TTAFStock_Log[TTAF_Qty],T_TTAFStock_Log[Part Name],$A33,T_TTAFStock_Log[WeekIndex],92))</f>
        <v/>
      </c>
      <c r="CP33" s="19">
        <f>IF(COUNTIFS(T_TTAFStock_Log[Part Name],$A33,T_TTAFStock_Log[WeekIndex],93)=0,"",SUMIFS(T_TTAFStock_Log[TTAF_Qty],T_TTAFStock_Log[Part Name],$A33,T_TTAFStock_Log[WeekIndex],93))</f>
        <v/>
      </c>
      <c r="CQ33" s="19">
        <f>IF(COUNTIFS(T_TTAFStock_Log[Part Name],$A33,T_TTAFStock_Log[WeekIndex],94)=0,"",SUMIFS(T_TTAFStock_Log[TTAF_Qty],T_TTAFStock_Log[Part Name],$A33,T_TTAFStock_Log[WeekIndex],94))</f>
        <v/>
      </c>
      <c r="CR33" s="19">
        <f>IF(COUNTIFS(T_TTAFStock_Log[Part Name],$A33,T_TTAFStock_Log[WeekIndex],95)=0,"",SUMIFS(T_TTAFStock_Log[TTAF_Qty],T_TTAFStock_Log[Part Name],$A33,T_TTAFStock_Log[WeekIndex],95))</f>
        <v/>
      </c>
      <c r="CS33" s="19">
        <f>IF(COUNTIFS(T_TTAFStock_Log[Part Name],$A33,T_TTAFStock_Log[WeekIndex],96)=0,"",SUMIFS(T_TTAFStock_Log[TTAF_Qty],T_TTAFStock_Log[Part Name],$A33,T_TTAFStock_Log[WeekIndex],96))</f>
        <v/>
      </c>
      <c r="CT33" s="19">
        <f>IF(COUNTIFS(T_TTAFStock_Log[Part Name],$A33,T_TTAFStock_Log[WeekIndex],97)=0,"",SUMIFS(T_TTAFStock_Log[TTAF_Qty],T_TTAFStock_Log[Part Name],$A33,T_TTAFStock_Log[WeekIndex],97))</f>
        <v/>
      </c>
      <c r="CU33" s="19">
        <f>IF(COUNTIFS(T_TTAFStock_Log[Part Name],$A33,T_TTAFStock_Log[WeekIndex],98)=0,"",SUMIFS(T_TTAFStock_Log[TTAF_Qty],T_TTAFStock_Log[Part Name],$A33,T_TTAFStock_Log[WeekIndex],98))</f>
        <v/>
      </c>
      <c r="CV33" s="19">
        <f>IF(COUNTIFS(T_TTAFStock_Log[Part Name],$A33,T_TTAFStock_Log[WeekIndex],99)=0,"",SUMIFS(T_TTAFStock_Log[TTAF_Qty],T_TTAFStock_Log[Part Name],$A33,T_TTAFStock_Log[WeekIndex],99))</f>
        <v/>
      </c>
      <c r="CW33" s="19">
        <f>IF(COUNTIFS(T_TTAFStock_Log[Part Name],$A33,T_TTAFStock_Log[WeekIndex],100)=0,"",SUMIFS(T_TTAFStock_Log[TTAF_Qty],T_TTAFStock_Log[Part Name],$A33,T_TTAFStock_Log[WeekIndex],100))</f>
        <v/>
      </c>
      <c r="CX33" s="19">
        <f>IF(COUNTIFS(T_TTAFStock_Log[Part Name],$A33,T_TTAFStock_Log[WeekIndex],101)=0,"",SUMIFS(T_TTAFStock_Log[TTAF_Qty],T_TTAFStock_Log[Part Name],$A33,T_TTAFStock_Log[WeekIndex],101))</f>
        <v/>
      </c>
      <c r="CY33" s="19">
        <f>IF(COUNTIFS(T_TTAFStock_Log[Part Name],$A33,T_TTAFStock_Log[WeekIndex],102)=0,"",SUMIFS(T_TTAFStock_Log[TTAF_Qty],T_TTAFStock_Log[Part Name],$A33,T_TTAFStock_Log[WeekIndex],102))</f>
        <v/>
      </c>
      <c r="CZ33" s="19">
        <f>IF(COUNTIFS(T_TTAFStock_Log[Part Name],$A33,T_TTAFStock_Log[WeekIndex],103)=0,"",SUMIFS(T_TTAFStock_Log[TTAF_Qty],T_TTAFStock_Log[Part Name],$A33,T_TTAFStock_Log[WeekIndex],103))</f>
        <v/>
      </c>
      <c r="DA33" s="19">
        <f>IF(COUNTIFS(T_TTAFStock_Log[Part Name],$A33,T_TTAFStock_Log[WeekIndex],104)=0,"",SUMIFS(T_TTAFStock_Log[TTAF_Qty],T_TTAFStock_Log[Part Name],$A33,T_TTAFStock_Log[WeekIndex],104))</f>
        <v/>
      </c>
    </row>
    <row r="34">
      <c r="A34" s="17" t="inlineStr">
        <is>
          <t>CHEM-1550</t>
        </is>
      </c>
      <c r="B34" s="17">
        <f>IF(COUNTIFS(T_TTAFStock_Log[Part Name],$A34,T_TTAFStock_Log[WeekIndex],1)=0,"",SUMIFS(T_TTAFStock_Log[TTAF_Qty],T_TTAFStock_Log[Part Name],$A34,T_TTAFStock_Log[WeekIndex],1))</f>
        <v/>
      </c>
      <c r="C34" s="17">
        <f>IF(COUNTIFS(T_TTAFStock_Log[Part Name],$A34,T_TTAFStock_Log[WeekIndex],2)=0,"",SUMIFS(T_TTAFStock_Log[TTAF_Qty],T_TTAFStock_Log[Part Name],$A34,T_TTAFStock_Log[WeekIndex],2))</f>
        <v/>
      </c>
      <c r="D34" s="17">
        <f>IF(COUNTIFS(T_TTAFStock_Log[Part Name],$A34,T_TTAFStock_Log[WeekIndex],3)=0,"",SUMIFS(T_TTAFStock_Log[TTAF_Qty],T_TTAFStock_Log[Part Name],$A34,T_TTAFStock_Log[WeekIndex],3))</f>
        <v/>
      </c>
      <c r="E34" s="17">
        <f>IF(COUNTIFS(T_TTAFStock_Log[Part Name],$A34,T_TTAFStock_Log[WeekIndex],4)=0,"",SUMIFS(T_TTAFStock_Log[TTAF_Qty],T_TTAFStock_Log[Part Name],$A34,T_TTAFStock_Log[WeekIndex],4))</f>
        <v/>
      </c>
      <c r="F34" s="17">
        <f>IF(COUNTIFS(T_TTAFStock_Log[Part Name],$A34,T_TTAFStock_Log[WeekIndex],5)=0,"",SUMIFS(T_TTAFStock_Log[TTAF_Qty],T_TTAFStock_Log[Part Name],$A34,T_TTAFStock_Log[WeekIndex],5))</f>
        <v/>
      </c>
      <c r="G34" s="17">
        <f>IF(COUNTIFS(T_TTAFStock_Log[Part Name],$A34,T_TTAFStock_Log[WeekIndex],6)=0,"",SUMIFS(T_TTAFStock_Log[TTAF_Qty],T_TTAFStock_Log[Part Name],$A34,T_TTAFStock_Log[WeekIndex],6))</f>
        <v/>
      </c>
      <c r="H34" s="17">
        <f>IF(COUNTIFS(T_TTAFStock_Log[Part Name],$A34,T_TTAFStock_Log[WeekIndex],7)=0,"",SUMIFS(T_TTAFStock_Log[TTAF_Qty],T_TTAFStock_Log[Part Name],$A34,T_TTAFStock_Log[WeekIndex],7))</f>
        <v/>
      </c>
      <c r="I34" s="17">
        <f>IF(COUNTIFS(T_TTAFStock_Log[Part Name],$A34,T_TTAFStock_Log[WeekIndex],8)=0,"",SUMIFS(T_TTAFStock_Log[TTAF_Qty],T_TTAFStock_Log[Part Name],$A34,T_TTAFStock_Log[WeekIndex],8))</f>
        <v/>
      </c>
      <c r="J34" s="17">
        <f>IF(COUNTIFS(T_TTAFStock_Log[Part Name],$A34,T_TTAFStock_Log[WeekIndex],9)=0,"",SUMIFS(T_TTAFStock_Log[TTAF_Qty],T_TTAFStock_Log[Part Name],$A34,T_TTAFStock_Log[WeekIndex],9))</f>
        <v/>
      </c>
      <c r="K34" s="17">
        <f>IF(COUNTIFS(T_TTAFStock_Log[Part Name],$A34,T_TTAFStock_Log[WeekIndex],10)=0,"",SUMIFS(T_TTAFStock_Log[TTAF_Qty],T_TTAFStock_Log[Part Name],$A34,T_TTAFStock_Log[WeekIndex],10))</f>
        <v/>
      </c>
      <c r="L34" s="17">
        <f>IF(COUNTIFS(T_TTAFStock_Log[Part Name],$A34,T_TTAFStock_Log[WeekIndex],11)=0,"",SUMIFS(T_TTAFStock_Log[TTAF_Qty],T_TTAFStock_Log[Part Name],$A34,T_TTAFStock_Log[WeekIndex],11))</f>
        <v/>
      </c>
      <c r="M34" s="17">
        <f>IF(COUNTIFS(T_TTAFStock_Log[Part Name],$A34,T_TTAFStock_Log[WeekIndex],12)=0,"",SUMIFS(T_TTAFStock_Log[TTAF_Qty],T_TTAFStock_Log[Part Name],$A34,T_TTAFStock_Log[WeekIndex],12))</f>
        <v/>
      </c>
      <c r="N34" s="17">
        <f>IF(COUNTIFS(T_TTAFStock_Log[Part Name],$A34,T_TTAFStock_Log[WeekIndex],13)=0,"",SUMIFS(T_TTAFStock_Log[TTAF_Qty],T_TTAFStock_Log[Part Name],$A34,T_TTAFStock_Log[WeekIndex],13))</f>
        <v/>
      </c>
      <c r="O34" s="17">
        <f>IF(COUNTIFS(T_TTAFStock_Log[Part Name],$A34,T_TTAFStock_Log[WeekIndex],14)=0,"",SUMIFS(T_TTAFStock_Log[TTAF_Qty],T_TTAFStock_Log[Part Name],$A34,T_TTAFStock_Log[WeekIndex],14))</f>
        <v/>
      </c>
      <c r="P34" s="17">
        <f>IF(COUNTIFS(T_TTAFStock_Log[Part Name],$A34,T_TTAFStock_Log[WeekIndex],15)=0,"",SUMIFS(T_TTAFStock_Log[TTAF_Qty],T_TTAFStock_Log[Part Name],$A34,T_TTAFStock_Log[WeekIndex],15))</f>
        <v/>
      </c>
      <c r="Q34" s="17">
        <f>IF(COUNTIFS(T_TTAFStock_Log[Part Name],$A34,T_TTAFStock_Log[WeekIndex],16)=0,"",SUMIFS(T_TTAFStock_Log[TTAF_Qty],T_TTAFStock_Log[Part Name],$A34,T_TTAFStock_Log[WeekIndex],16))</f>
        <v/>
      </c>
      <c r="R34" s="17">
        <f>IF(COUNTIFS(T_TTAFStock_Log[Part Name],$A34,T_TTAFStock_Log[WeekIndex],17)=0,"",SUMIFS(T_TTAFStock_Log[TTAF_Qty],T_TTAFStock_Log[Part Name],$A34,T_TTAFStock_Log[WeekIndex],17))</f>
        <v/>
      </c>
      <c r="S34" s="17">
        <f>IF(COUNTIFS(T_TTAFStock_Log[Part Name],$A34,T_TTAFStock_Log[WeekIndex],18)=0,"",SUMIFS(T_TTAFStock_Log[TTAF_Qty],T_TTAFStock_Log[Part Name],$A34,T_TTAFStock_Log[WeekIndex],18))</f>
        <v/>
      </c>
      <c r="T34" s="17">
        <f>IF(COUNTIFS(T_TTAFStock_Log[Part Name],$A34,T_TTAFStock_Log[WeekIndex],19)=0,"",SUMIFS(T_TTAFStock_Log[TTAF_Qty],T_TTAFStock_Log[Part Name],$A34,T_TTAFStock_Log[WeekIndex],19))</f>
        <v/>
      </c>
      <c r="U34" s="17">
        <f>IF(COUNTIFS(T_TTAFStock_Log[Part Name],$A34,T_TTAFStock_Log[WeekIndex],20)=0,"",SUMIFS(T_TTAFStock_Log[TTAF_Qty],T_TTAFStock_Log[Part Name],$A34,T_TTAFStock_Log[WeekIndex],20))</f>
        <v/>
      </c>
      <c r="V34" s="17">
        <f>IF(COUNTIFS(T_TTAFStock_Log[Part Name],$A34,T_TTAFStock_Log[WeekIndex],21)=0,"",SUMIFS(T_TTAFStock_Log[TTAF_Qty],T_TTAFStock_Log[Part Name],$A34,T_TTAFStock_Log[WeekIndex],21))</f>
        <v/>
      </c>
      <c r="W34" s="17">
        <f>IF(COUNTIFS(T_TTAFStock_Log[Part Name],$A34,T_TTAFStock_Log[WeekIndex],22)=0,"",SUMIFS(T_TTAFStock_Log[TTAF_Qty],T_TTAFStock_Log[Part Name],$A34,T_TTAFStock_Log[WeekIndex],22))</f>
        <v/>
      </c>
      <c r="X34" s="17">
        <f>IF(COUNTIFS(T_TTAFStock_Log[Part Name],$A34,T_TTAFStock_Log[WeekIndex],23)=0,"",SUMIFS(T_TTAFStock_Log[TTAF_Qty],T_TTAFStock_Log[Part Name],$A34,T_TTAFStock_Log[WeekIndex],23))</f>
        <v/>
      </c>
      <c r="Y34" s="17">
        <f>IF(COUNTIFS(T_TTAFStock_Log[Part Name],$A34,T_TTAFStock_Log[WeekIndex],24)=0,"",SUMIFS(T_TTAFStock_Log[TTAF_Qty],T_TTAFStock_Log[Part Name],$A34,T_TTAFStock_Log[WeekIndex],24))</f>
        <v/>
      </c>
      <c r="Z34" s="17">
        <f>IF(COUNTIFS(T_TTAFStock_Log[Part Name],$A34,T_TTAFStock_Log[WeekIndex],25)=0,"",SUMIFS(T_TTAFStock_Log[TTAF_Qty],T_TTAFStock_Log[Part Name],$A34,T_TTAFStock_Log[WeekIndex],25))</f>
        <v/>
      </c>
      <c r="AA34" s="17">
        <f>IF(COUNTIFS(T_TTAFStock_Log[Part Name],$A34,T_TTAFStock_Log[WeekIndex],26)=0,"",SUMIFS(T_TTAFStock_Log[TTAF_Qty],T_TTAFStock_Log[Part Name],$A34,T_TTAFStock_Log[WeekIndex],26))</f>
        <v/>
      </c>
      <c r="AB34" s="17">
        <f>IF(COUNTIFS(T_TTAFStock_Log[Part Name],$A34,T_TTAFStock_Log[WeekIndex],27)=0,"",SUMIFS(T_TTAFStock_Log[TTAF_Qty],T_TTAFStock_Log[Part Name],$A34,T_TTAFStock_Log[WeekIndex],27))</f>
        <v/>
      </c>
      <c r="AC34" s="17">
        <f>IF(COUNTIFS(T_TTAFStock_Log[Part Name],$A34,T_TTAFStock_Log[WeekIndex],28)=0,"",SUMIFS(T_TTAFStock_Log[TTAF_Qty],T_TTAFStock_Log[Part Name],$A34,T_TTAFStock_Log[WeekIndex],28))</f>
        <v/>
      </c>
      <c r="AD34" s="17">
        <f>IF(COUNTIFS(T_TTAFStock_Log[Part Name],$A34,T_TTAFStock_Log[WeekIndex],29)=0,"",SUMIFS(T_TTAFStock_Log[TTAF_Qty],T_TTAFStock_Log[Part Name],$A34,T_TTAFStock_Log[WeekIndex],29))</f>
        <v/>
      </c>
      <c r="AE34" s="17">
        <f>IF(COUNTIFS(T_TTAFStock_Log[Part Name],$A34,T_TTAFStock_Log[WeekIndex],30)=0,"",SUMIFS(T_TTAFStock_Log[TTAF_Qty],T_TTAFStock_Log[Part Name],$A34,T_TTAFStock_Log[WeekIndex],30))</f>
        <v/>
      </c>
      <c r="AF34" s="17">
        <f>IF(COUNTIFS(T_TTAFStock_Log[Part Name],$A34,T_TTAFStock_Log[WeekIndex],31)=0,"",SUMIFS(T_TTAFStock_Log[TTAF_Qty],T_TTAFStock_Log[Part Name],$A34,T_TTAFStock_Log[WeekIndex],31))</f>
        <v/>
      </c>
      <c r="AG34" s="17">
        <f>IF(COUNTIFS(T_TTAFStock_Log[Part Name],$A34,T_TTAFStock_Log[WeekIndex],32)=0,"",SUMIFS(T_TTAFStock_Log[TTAF_Qty],T_TTAFStock_Log[Part Name],$A34,T_TTAFStock_Log[WeekIndex],32))</f>
        <v/>
      </c>
      <c r="AH34" s="17">
        <f>IF(COUNTIFS(T_TTAFStock_Log[Part Name],$A34,T_TTAFStock_Log[WeekIndex],33)=0,"",SUMIFS(T_TTAFStock_Log[TTAF_Qty],T_TTAFStock_Log[Part Name],$A34,T_TTAFStock_Log[WeekIndex],33))</f>
        <v/>
      </c>
      <c r="AI34" s="17">
        <f>IF(COUNTIFS(T_TTAFStock_Log[Part Name],$A34,T_TTAFStock_Log[WeekIndex],34)=0,"",SUMIFS(T_TTAFStock_Log[TTAF_Qty],T_TTAFStock_Log[Part Name],$A34,T_TTAFStock_Log[WeekIndex],34))</f>
        <v/>
      </c>
      <c r="AJ34" s="17">
        <f>IF(COUNTIFS(T_TTAFStock_Log[Part Name],$A34,T_TTAFStock_Log[WeekIndex],35)=0,"",SUMIFS(T_TTAFStock_Log[TTAF_Qty],T_TTAFStock_Log[Part Name],$A34,T_TTAFStock_Log[WeekIndex],35))</f>
        <v/>
      </c>
      <c r="AK34" s="17">
        <f>IF(COUNTIFS(T_TTAFStock_Log[Part Name],$A34,T_TTAFStock_Log[WeekIndex],36)=0,"",SUMIFS(T_TTAFStock_Log[TTAF_Qty],T_TTAFStock_Log[Part Name],$A34,T_TTAFStock_Log[WeekIndex],36))</f>
        <v/>
      </c>
      <c r="AL34" s="17">
        <f>IF(COUNTIFS(T_TTAFStock_Log[Part Name],$A34,T_TTAFStock_Log[WeekIndex],37)=0,"",SUMIFS(T_TTAFStock_Log[TTAF_Qty],T_TTAFStock_Log[Part Name],$A34,T_TTAFStock_Log[WeekIndex],37))</f>
        <v/>
      </c>
      <c r="AM34" s="17">
        <f>IF(COUNTIFS(T_TTAFStock_Log[Part Name],$A34,T_TTAFStock_Log[WeekIndex],38)=0,"",SUMIFS(T_TTAFStock_Log[TTAF_Qty],T_TTAFStock_Log[Part Name],$A34,T_TTAFStock_Log[WeekIndex],38))</f>
        <v/>
      </c>
      <c r="AN34" s="17">
        <f>IF(COUNTIFS(T_TTAFStock_Log[Part Name],$A34,T_TTAFStock_Log[WeekIndex],39)=0,"",SUMIFS(T_TTAFStock_Log[TTAF_Qty],T_TTAFStock_Log[Part Name],$A34,T_TTAFStock_Log[WeekIndex],39))</f>
        <v/>
      </c>
      <c r="AO34" s="17">
        <f>IF(COUNTIFS(T_TTAFStock_Log[Part Name],$A34,T_TTAFStock_Log[WeekIndex],40)=0,"",SUMIFS(T_TTAFStock_Log[TTAF_Qty],T_TTAFStock_Log[Part Name],$A34,T_TTAFStock_Log[WeekIndex],40))</f>
        <v/>
      </c>
      <c r="AP34" s="17">
        <f>IF(COUNTIFS(T_TTAFStock_Log[Part Name],$A34,T_TTAFStock_Log[WeekIndex],41)=0,"",SUMIFS(T_TTAFStock_Log[TTAF_Qty],T_TTAFStock_Log[Part Name],$A34,T_TTAFStock_Log[WeekIndex],41))</f>
        <v/>
      </c>
      <c r="AQ34" s="17">
        <f>IF(COUNTIFS(T_TTAFStock_Log[Part Name],$A34,T_TTAFStock_Log[WeekIndex],42)=0,"",SUMIFS(T_TTAFStock_Log[TTAF_Qty],T_TTAFStock_Log[Part Name],$A34,T_TTAFStock_Log[WeekIndex],42))</f>
        <v/>
      </c>
      <c r="AR34" s="17">
        <f>IF(COUNTIFS(T_TTAFStock_Log[Part Name],$A34,T_TTAFStock_Log[WeekIndex],43)=0,"",SUMIFS(T_TTAFStock_Log[TTAF_Qty],T_TTAFStock_Log[Part Name],$A34,T_TTAFStock_Log[WeekIndex],43))</f>
        <v/>
      </c>
      <c r="AS34" s="17">
        <f>IF(COUNTIFS(T_TTAFStock_Log[Part Name],$A34,T_TTAFStock_Log[WeekIndex],44)=0,"",SUMIFS(T_TTAFStock_Log[TTAF_Qty],T_TTAFStock_Log[Part Name],$A34,T_TTAFStock_Log[WeekIndex],44))</f>
        <v/>
      </c>
      <c r="AT34" s="17">
        <f>IF(COUNTIFS(T_TTAFStock_Log[Part Name],$A34,T_TTAFStock_Log[WeekIndex],45)=0,"",SUMIFS(T_TTAFStock_Log[TTAF_Qty],T_TTAFStock_Log[Part Name],$A34,T_TTAFStock_Log[WeekIndex],45))</f>
        <v/>
      </c>
      <c r="AU34" s="17">
        <f>IF(COUNTIFS(T_TTAFStock_Log[Part Name],$A34,T_TTAFStock_Log[WeekIndex],46)=0,"",SUMIFS(T_TTAFStock_Log[TTAF_Qty],T_TTAFStock_Log[Part Name],$A34,T_TTAFStock_Log[WeekIndex],46))</f>
        <v/>
      </c>
      <c r="AV34" s="17">
        <f>IF(COUNTIFS(T_TTAFStock_Log[Part Name],$A34,T_TTAFStock_Log[WeekIndex],47)=0,"",SUMIFS(T_TTAFStock_Log[TTAF_Qty],T_TTAFStock_Log[Part Name],$A34,T_TTAFStock_Log[WeekIndex],47))</f>
        <v/>
      </c>
      <c r="AW34" s="17">
        <f>IF(COUNTIFS(T_TTAFStock_Log[Part Name],$A34,T_TTAFStock_Log[WeekIndex],48)=0,"",SUMIFS(T_TTAFStock_Log[TTAF_Qty],T_TTAFStock_Log[Part Name],$A34,T_TTAFStock_Log[WeekIndex],48))</f>
        <v/>
      </c>
      <c r="AX34" s="17">
        <f>IF(COUNTIFS(T_TTAFStock_Log[Part Name],$A34,T_TTAFStock_Log[WeekIndex],49)=0,"",SUMIFS(T_TTAFStock_Log[TTAF_Qty],T_TTAFStock_Log[Part Name],$A34,T_TTAFStock_Log[WeekIndex],49))</f>
        <v/>
      </c>
      <c r="AY34" s="17">
        <f>IF(COUNTIFS(T_TTAFStock_Log[Part Name],$A34,T_TTAFStock_Log[WeekIndex],50)=0,"",SUMIFS(T_TTAFStock_Log[TTAF_Qty],T_TTAFStock_Log[Part Name],$A34,T_TTAFStock_Log[WeekIndex],50))</f>
        <v/>
      </c>
      <c r="AZ34" s="17">
        <f>IF(COUNTIFS(T_TTAFStock_Log[Part Name],$A34,T_TTAFStock_Log[WeekIndex],51)=0,"",SUMIFS(T_TTAFStock_Log[TTAF_Qty],T_TTAFStock_Log[Part Name],$A34,T_TTAFStock_Log[WeekIndex],51))</f>
        <v/>
      </c>
      <c r="BA34" s="17">
        <f>IF(COUNTIFS(T_TTAFStock_Log[Part Name],$A34,T_TTAFStock_Log[WeekIndex],52)=0,"",SUMIFS(T_TTAFStock_Log[TTAF_Qty],T_TTAFStock_Log[Part Name],$A34,T_TTAFStock_Log[WeekIndex],52))</f>
        <v/>
      </c>
      <c r="BB34" s="17">
        <f>IF(COUNTIFS(T_TTAFStock_Log[Part Name],$A34,T_TTAFStock_Log[WeekIndex],53)=0,"",SUMIFS(T_TTAFStock_Log[TTAF_Qty],T_TTAFStock_Log[Part Name],$A34,T_TTAFStock_Log[WeekIndex],53))</f>
        <v/>
      </c>
      <c r="BC34" s="17">
        <f>IF(COUNTIFS(T_TTAFStock_Log[Part Name],$A34,T_TTAFStock_Log[WeekIndex],54)=0,"",SUMIFS(T_TTAFStock_Log[TTAF_Qty],T_TTAFStock_Log[Part Name],$A34,T_TTAFStock_Log[WeekIndex],54))</f>
        <v/>
      </c>
      <c r="BD34" s="17">
        <f>IF(COUNTIFS(T_TTAFStock_Log[Part Name],$A34,T_TTAFStock_Log[WeekIndex],55)=0,"",SUMIFS(T_TTAFStock_Log[TTAF_Qty],T_TTAFStock_Log[Part Name],$A34,T_TTAFStock_Log[WeekIndex],55))</f>
        <v/>
      </c>
      <c r="BE34" s="17">
        <f>IF(COUNTIFS(T_TTAFStock_Log[Part Name],$A34,T_TTAFStock_Log[WeekIndex],56)=0,"",SUMIFS(T_TTAFStock_Log[TTAF_Qty],T_TTAFStock_Log[Part Name],$A34,T_TTAFStock_Log[WeekIndex],56))</f>
        <v/>
      </c>
      <c r="BF34" s="17">
        <f>IF(COUNTIFS(T_TTAFStock_Log[Part Name],$A34,T_TTAFStock_Log[WeekIndex],57)=0,"",SUMIFS(T_TTAFStock_Log[TTAF_Qty],T_TTAFStock_Log[Part Name],$A34,T_TTAFStock_Log[WeekIndex],57))</f>
        <v/>
      </c>
      <c r="BG34" s="17">
        <f>IF(COUNTIFS(T_TTAFStock_Log[Part Name],$A34,T_TTAFStock_Log[WeekIndex],58)=0,"",SUMIFS(T_TTAFStock_Log[TTAF_Qty],T_TTAFStock_Log[Part Name],$A34,T_TTAFStock_Log[WeekIndex],58))</f>
        <v/>
      </c>
      <c r="BH34" s="17">
        <f>IF(COUNTIFS(T_TTAFStock_Log[Part Name],$A34,T_TTAFStock_Log[WeekIndex],59)=0,"",SUMIFS(T_TTAFStock_Log[TTAF_Qty],T_TTAFStock_Log[Part Name],$A34,T_TTAFStock_Log[WeekIndex],59))</f>
        <v/>
      </c>
      <c r="BI34" s="17">
        <f>IF(COUNTIFS(T_TTAFStock_Log[Part Name],$A34,T_TTAFStock_Log[WeekIndex],60)=0,"",SUMIFS(T_TTAFStock_Log[TTAF_Qty],T_TTAFStock_Log[Part Name],$A34,T_TTAFStock_Log[WeekIndex],60))</f>
        <v/>
      </c>
      <c r="BJ34" s="17">
        <f>IF(COUNTIFS(T_TTAFStock_Log[Part Name],$A34,T_TTAFStock_Log[WeekIndex],61)=0,"",SUMIFS(T_TTAFStock_Log[TTAF_Qty],T_TTAFStock_Log[Part Name],$A34,T_TTAFStock_Log[WeekIndex],61))</f>
        <v/>
      </c>
      <c r="BK34" s="17">
        <f>IF(COUNTIFS(T_TTAFStock_Log[Part Name],$A34,T_TTAFStock_Log[WeekIndex],62)=0,"",SUMIFS(T_TTAFStock_Log[TTAF_Qty],T_TTAFStock_Log[Part Name],$A34,T_TTAFStock_Log[WeekIndex],62))</f>
        <v/>
      </c>
      <c r="BL34" s="17">
        <f>IF(COUNTIFS(T_TTAFStock_Log[Part Name],$A34,T_TTAFStock_Log[WeekIndex],63)=0,"",SUMIFS(T_TTAFStock_Log[TTAF_Qty],T_TTAFStock_Log[Part Name],$A34,T_TTAFStock_Log[WeekIndex],63))</f>
        <v/>
      </c>
      <c r="BM34" s="17">
        <f>IF(COUNTIFS(T_TTAFStock_Log[Part Name],$A34,T_TTAFStock_Log[WeekIndex],64)=0,"",SUMIFS(T_TTAFStock_Log[TTAF_Qty],T_TTAFStock_Log[Part Name],$A34,T_TTAFStock_Log[WeekIndex],64))</f>
        <v/>
      </c>
      <c r="BN34" s="17">
        <f>IF(COUNTIFS(T_TTAFStock_Log[Part Name],$A34,T_TTAFStock_Log[WeekIndex],65)=0,"",SUMIFS(T_TTAFStock_Log[TTAF_Qty],T_TTAFStock_Log[Part Name],$A34,T_TTAFStock_Log[WeekIndex],65))</f>
        <v/>
      </c>
      <c r="BO34" s="17">
        <f>IF(COUNTIFS(T_TTAFStock_Log[Part Name],$A34,T_TTAFStock_Log[WeekIndex],66)=0,"",SUMIFS(T_TTAFStock_Log[TTAF_Qty],T_TTAFStock_Log[Part Name],$A34,T_TTAFStock_Log[WeekIndex],66))</f>
        <v/>
      </c>
      <c r="BP34" s="17">
        <f>IF(COUNTIFS(T_TTAFStock_Log[Part Name],$A34,T_TTAFStock_Log[WeekIndex],67)=0,"",SUMIFS(T_TTAFStock_Log[TTAF_Qty],T_TTAFStock_Log[Part Name],$A34,T_TTAFStock_Log[WeekIndex],67))</f>
        <v/>
      </c>
      <c r="BQ34" s="17">
        <f>IF(COUNTIFS(T_TTAFStock_Log[Part Name],$A34,T_TTAFStock_Log[WeekIndex],68)=0,"",SUMIFS(T_TTAFStock_Log[TTAF_Qty],T_TTAFStock_Log[Part Name],$A34,T_TTAFStock_Log[WeekIndex],68))</f>
        <v/>
      </c>
      <c r="BR34" s="17">
        <f>IF(COUNTIFS(T_TTAFStock_Log[Part Name],$A34,T_TTAFStock_Log[WeekIndex],69)=0,"",SUMIFS(T_TTAFStock_Log[TTAF_Qty],T_TTAFStock_Log[Part Name],$A34,T_TTAFStock_Log[WeekIndex],69))</f>
        <v/>
      </c>
      <c r="BS34" s="17">
        <f>IF(COUNTIFS(T_TTAFStock_Log[Part Name],$A34,T_TTAFStock_Log[WeekIndex],70)=0,"",SUMIFS(T_TTAFStock_Log[TTAF_Qty],T_TTAFStock_Log[Part Name],$A34,T_TTAFStock_Log[WeekIndex],70))</f>
        <v/>
      </c>
      <c r="BT34" s="17">
        <f>IF(COUNTIFS(T_TTAFStock_Log[Part Name],$A34,T_TTAFStock_Log[WeekIndex],71)=0,"",SUMIFS(T_TTAFStock_Log[TTAF_Qty],T_TTAFStock_Log[Part Name],$A34,T_TTAFStock_Log[WeekIndex],71))</f>
        <v/>
      </c>
      <c r="BU34" s="17">
        <f>IF(COUNTIFS(T_TTAFStock_Log[Part Name],$A34,T_TTAFStock_Log[WeekIndex],72)=0,"",SUMIFS(T_TTAFStock_Log[TTAF_Qty],T_TTAFStock_Log[Part Name],$A34,T_TTAFStock_Log[WeekIndex],72))</f>
        <v/>
      </c>
      <c r="BV34" s="17">
        <f>IF(COUNTIFS(T_TTAFStock_Log[Part Name],$A34,T_TTAFStock_Log[WeekIndex],73)=0,"",SUMIFS(T_TTAFStock_Log[TTAF_Qty],T_TTAFStock_Log[Part Name],$A34,T_TTAFStock_Log[WeekIndex],73))</f>
        <v/>
      </c>
      <c r="BW34" s="17">
        <f>IF(COUNTIFS(T_TTAFStock_Log[Part Name],$A34,T_TTAFStock_Log[WeekIndex],74)=0,"",SUMIFS(T_TTAFStock_Log[TTAF_Qty],T_TTAFStock_Log[Part Name],$A34,T_TTAFStock_Log[WeekIndex],74))</f>
        <v/>
      </c>
      <c r="BX34" s="17">
        <f>IF(COUNTIFS(T_TTAFStock_Log[Part Name],$A34,T_TTAFStock_Log[WeekIndex],75)=0,"",SUMIFS(T_TTAFStock_Log[TTAF_Qty],T_TTAFStock_Log[Part Name],$A34,T_TTAFStock_Log[WeekIndex],75))</f>
        <v/>
      </c>
      <c r="BY34" s="17">
        <f>IF(COUNTIFS(T_TTAFStock_Log[Part Name],$A34,T_TTAFStock_Log[WeekIndex],76)=0,"",SUMIFS(T_TTAFStock_Log[TTAF_Qty],T_TTAFStock_Log[Part Name],$A34,T_TTAFStock_Log[WeekIndex],76))</f>
        <v/>
      </c>
      <c r="BZ34" s="17">
        <f>IF(COUNTIFS(T_TTAFStock_Log[Part Name],$A34,T_TTAFStock_Log[WeekIndex],77)=0,"",SUMIFS(T_TTAFStock_Log[TTAF_Qty],T_TTAFStock_Log[Part Name],$A34,T_TTAFStock_Log[WeekIndex],77))</f>
        <v/>
      </c>
      <c r="CA34" s="17">
        <f>IF(COUNTIFS(T_TTAFStock_Log[Part Name],$A34,T_TTAFStock_Log[WeekIndex],78)=0,"",SUMIFS(T_TTAFStock_Log[TTAF_Qty],T_TTAFStock_Log[Part Name],$A34,T_TTAFStock_Log[WeekIndex],78))</f>
        <v/>
      </c>
      <c r="CB34" s="17">
        <f>IF(COUNTIFS(T_TTAFStock_Log[Part Name],$A34,T_TTAFStock_Log[WeekIndex],79)=0,"",SUMIFS(T_TTAFStock_Log[TTAF_Qty],T_TTAFStock_Log[Part Name],$A34,T_TTAFStock_Log[WeekIndex],79))</f>
        <v/>
      </c>
      <c r="CC34" s="17">
        <f>IF(COUNTIFS(T_TTAFStock_Log[Part Name],$A34,T_TTAFStock_Log[WeekIndex],80)=0,"",SUMIFS(T_TTAFStock_Log[TTAF_Qty],T_TTAFStock_Log[Part Name],$A34,T_TTAFStock_Log[WeekIndex],80))</f>
        <v/>
      </c>
      <c r="CD34" s="17">
        <f>IF(COUNTIFS(T_TTAFStock_Log[Part Name],$A34,T_TTAFStock_Log[WeekIndex],81)=0,"",SUMIFS(T_TTAFStock_Log[TTAF_Qty],T_TTAFStock_Log[Part Name],$A34,T_TTAFStock_Log[WeekIndex],81))</f>
        <v/>
      </c>
      <c r="CE34" s="17">
        <f>IF(COUNTIFS(T_TTAFStock_Log[Part Name],$A34,T_TTAFStock_Log[WeekIndex],82)=0,"",SUMIFS(T_TTAFStock_Log[TTAF_Qty],T_TTAFStock_Log[Part Name],$A34,T_TTAFStock_Log[WeekIndex],82))</f>
        <v/>
      </c>
      <c r="CF34" s="17">
        <f>IF(COUNTIFS(T_TTAFStock_Log[Part Name],$A34,T_TTAFStock_Log[WeekIndex],83)=0,"",SUMIFS(T_TTAFStock_Log[TTAF_Qty],T_TTAFStock_Log[Part Name],$A34,T_TTAFStock_Log[WeekIndex],83))</f>
        <v/>
      </c>
      <c r="CG34" s="17">
        <f>IF(COUNTIFS(T_TTAFStock_Log[Part Name],$A34,T_TTAFStock_Log[WeekIndex],84)=0,"",SUMIFS(T_TTAFStock_Log[TTAF_Qty],T_TTAFStock_Log[Part Name],$A34,T_TTAFStock_Log[WeekIndex],84))</f>
        <v/>
      </c>
      <c r="CH34" s="17">
        <f>IF(COUNTIFS(T_TTAFStock_Log[Part Name],$A34,T_TTAFStock_Log[WeekIndex],85)=0,"",SUMIFS(T_TTAFStock_Log[TTAF_Qty],T_TTAFStock_Log[Part Name],$A34,T_TTAFStock_Log[WeekIndex],85))</f>
        <v/>
      </c>
      <c r="CI34" s="17">
        <f>IF(COUNTIFS(T_TTAFStock_Log[Part Name],$A34,T_TTAFStock_Log[WeekIndex],86)=0,"",SUMIFS(T_TTAFStock_Log[TTAF_Qty],T_TTAFStock_Log[Part Name],$A34,T_TTAFStock_Log[WeekIndex],86))</f>
        <v/>
      </c>
      <c r="CJ34" s="17">
        <f>IF(COUNTIFS(T_TTAFStock_Log[Part Name],$A34,T_TTAFStock_Log[WeekIndex],87)=0,"",SUMIFS(T_TTAFStock_Log[TTAF_Qty],T_TTAFStock_Log[Part Name],$A34,T_TTAFStock_Log[WeekIndex],87))</f>
        <v/>
      </c>
      <c r="CK34" s="17">
        <f>IF(COUNTIFS(T_TTAFStock_Log[Part Name],$A34,T_TTAFStock_Log[WeekIndex],88)=0,"",SUMIFS(T_TTAFStock_Log[TTAF_Qty],T_TTAFStock_Log[Part Name],$A34,T_TTAFStock_Log[WeekIndex],88))</f>
        <v/>
      </c>
      <c r="CL34" s="17">
        <f>IF(COUNTIFS(T_TTAFStock_Log[Part Name],$A34,T_TTAFStock_Log[WeekIndex],89)=0,"",SUMIFS(T_TTAFStock_Log[TTAF_Qty],T_TTAFStock_Log[Part Name],$A34,T_TTAFStock_Log[WeekIndex],89))</f>
        <v/>
      </c>
      <c r="CM34" s="17">
        <f>IF(COUNTIFS(T_TTAFStock_Log[Part Name],$A34,T_TTAFStock_Log[WeekIndex],90)=0,"",SUMIFS(T_TTAFStock_Log[TTAF_Qty],T_TTAFStock_Log[Part Name],$A34,T_TTAFStock_Log[WeekIndex],90))</f>
        <v/>
      </c>
      <c r="CN34" s="17">
        <f>IF(COUNTIFS(T_TTAFStock_Log[Part Name],$A34,T_TTAFStock_Log[WeekIndex],91)=0,"",SUMIFS(T_TTAFStock_Log[TTAF_Qty],T_TTAFStock_Log[Part Name],$A34,T_TTAFStock_Log[WeekIndex],91))</f>
        <v/>
      </c>
      <c r="CO34" s="17">
        <f>IF(COUNTIFS(T_TTAFStock_Log[Part Name],$A34,T_TTAFStock_Log[WeekIndex],92)=0,"",SUMIFS(T_TTAFStock_Log[TTAF_Qty],T_TTAFStock_Log[Part Name],$A34,T_TTAFStock_Log[WeekIndex],92))</f>
        <v/>
      </c>
      <c r="CP34" s="17">
        <f>IF(COUNTIFS(T_TTAFStock_Log[Part Name],$A34,T_TTAFStock_Log[WeekIndex],93)=0,"",SUMIFS(T_TTAFStock_Log[TTAF_Qty],T_TTAFStock_Log[Part Name],$A34,T_TTAFStock_Log[WeekIndex],93))</f>
        <v/>
      </c>
      <c r="CQ34" s="17">
        <f>IF(COUNTIFS(T_TTAFStock_Log[Part Name],$A34,T_TTAFStock_Log[WeekIndex],94)=0,"",SUMIFS(T_TTAFStock_Log[TTAF_Qty],T_TTAFStock_Log[Part Name],$A34,T_TTAFStock_Log[WeekIndex],94))</f>
        <v/>
      </c>
      <c r="CR34" s="17">
        <f>IF(COUNTIFS(T_TTAFStock_Log[Part Name],$A34,T_TTAFStock_Log[WeekIndex],95)=0,"",SUMIFS(T_TTAFStock_Log[TTAF_Qty],T_TTAFStock_Log[Part Name],$A34,T_TTAFStock_Log[WeekIndex],95))</f>
        <v/>
      </c>
      <c r="CS34" s="17">
        <f>IF(COUNTIFS(T_TTAFStock_Log[Part Name],$A34,T_TTAFStock_Log[WeekIndex],96)=0,"",SUMIFS(T_TTAFStock_Log[TTAF_Qty],T_TTAFStock_Log[Part Name],$A34,T_TTAFStock_Log[WeekIndex],96))</f>
        <v/>
      </c>
      <c r="CT34" s="17">
        <f>IF(COUNTIFS(T_TTAFStock_Log[Part Name],$A34,T_TTAFStock_Log[WeekIndex],97)=0,"",SUMIFS(T_TTAFStock_Log[TTAF_Qty],T_TTAFStock_Log[Part Name],$A34,T_TTAFStock_Log[WeekIndex],97))</f>
        <v/>
      </c>
      <c r="CU34" s="17">
        <f>IF(COUNTIFS(T_TTAFStock_Log[Part Name],$A34,T_TTAFStock_Log[WeekIndex],98)=0,"",SUMIFS(T_TTAFStock_Log[TTAF_Qty],T_TTAFStock_Log[Part Name],$A34,T_TTAFStock_Log[WeekIndex],98))</f>
        <v/>
      </c>
      <c r="CV34" s="17">
        <f>IF(COUNTIFS(T_TTAFStock_Log[Part Name],$A34,T_TTAFStock_Log[WeekIndex],99)=0,"",SUMIFS(T_TTAFStock_Log[TTAF_Qty],T_TTAFStock_Log[Part Name],$A34,T_TTAFStock_Log[WeekIndex],99))</f>
        <v/>
      </c>
      <c r="CW34" s="17">
        <f>IF(COUNTIFS(T_TTAFStock_Log[Part Name],$A34,T_TTAFStock_Log[WeekIndex],100)=0,"",SUMIFS(T_TTAFStock_Log[TTAF_Qty],T_TTAFStock_Log[Part Name],$A34,T_TTAFStock_Log[WeekIndex],100))</f>
        <v/>
      </c>
      <c r="CX34" s="17">
        <f>IF(COUNTIFS(T_TTAFStock_Log[Part Name],$A34,T_TTAFStock_Log[WeekIndex],101)=0,"",SUMIFS(T_TTAFStock_Log[TTAF_Qty],T_TTAFStock_Log[Part Name],$A34,T_TTAFStock_Log[WeekIndex],101))</f>
        <v/>
      </c>
      <c r="CY34" s="17">
        <f>IF(COUNTIFS(T_TTAFStock_Log[Part Name],$A34,T_TTAFStock_Log[WeekIndex],102)=0,"",SUMIFS(T_TTAFStock_Log[TTAF_Qty],T_TTAFStock_Log[Part Name],$A34,T_TTAFStock_Log[WeekIndex],102))</f>
        <v/>
      </c>
      <c r="CZ34" s="17">
        <f>IF(COUNTIFS(T_TTAFStock_Log[Part Name],$A34,T_TTAFStock_Log[WeekIndex],103)=0,"",SUMIFS(T_TTAFStock_Log[TTAF_Qty],T_TTAFStock_Log[Part Name],$A34,T_TTAFStock_Log[WeekIndex],103))</f>
        <v/>
      </c>
      <c r="DA34" s="17">
        <f>IF(COUNTIFS(T_TTAFStock_Log[Part Name],$A34,T_TTAFStock_Log[WeekIndex],104)=0,"",SUMIFS(T_TTAFStock_Log[TTAF_Qty],T_TTAFStock_Log[Part Name],$A34,T_TTAFStock_Log[WeekIndex],104))</f>
        <v/>
      </c>
    </row>
    <row r="35">
      <c r="A35" s="19" t="inlineStr">
        <is>
          <t>CHEM-1440</t>
        </is>
      </c>
      <c r="B35" s="19">
        <f>IF(COUNTIFS(T_TTAFStock_Log[Part Name],$A35,T_TTAFStock_Log[WeekIndex],1)=0,"",SUMIFS(T_TTAFStock_Log[TTAF_Qty],T_TTAFStock_Log[Part Name],$A35,T_TTAFStock_Log[WeekIndex],1))</f>
        <v/>
      </c>
      <c r="C35" s="19">
        <f>IF(COUNTIFS(T_TTAFStock_Log[Part Name],$A35,T_TTAFStock_Log[WeekIndex],2)=0,"",SUMIFS(T_TTAFStock_Log[TTAF_Qty],T_TTAFStock_Log[Part Name],$A35,T_TTAFStock_Log[WeekIndex],2))</f>
        <v/>
      </c>
      <c r="D35" s="19">
        <f>IF(COUNTIFS(T_TTAFStock_Log[Part Name],$A35,T_TTAFStock_Log[WeekIndex],3)=0,"",SUMIFS(T_TTAFStock_Log[TTAF_Qty],T_TTAFStock_Log[Part Name],$A35,T_TTAFStock_Log[WeekIndex],3))</f>
        <v/>
      </c>
      <c r="E35" s="19">
        <f>IF(COUNTIFS(T_TTAFStock_Log[Part Name],$A35,T_TTAFStock_Log[WeekIndex],4)=0,"",SUMIFS(T_TTAFStock_Log[TTAF_Qty],T_TTAFStock_Log[Part Name],$A35,T_TTAFStock_Log[WeekIndex],4))</f>
        <v/>
      </c>
      <c r="F35" s="19">
        <f>IF(COUNTIFS(T_TTAFStock_Log[Part Name],$A35,T_TTAFStock_Log[WeekIndex],5)=0,"",SUMIFS(T_TTAFStock_Log[TTAF_Qty],T_TTAFStock_Log[Part Name],$A35,T_TTAFStock_Log[WeekIndex],5))</f>
        <v/>
      </c>
      <c r="G35" s="19">
        <f>IF(COUNTIFS(T_TTAFStock_Log[Part Name],$A35,T_TTAFStock_Log[WeekIndex],6)=0,"",SUMIFS(T_TTAFStock_Log[TTAF_Qty],T_TTAFStock_Log[Part Name],$A35,T_TTAFStock_Log[WeekIndex],6))</f>
        <v/>
      </c>
      <c r="H35" s="19">
        <f>IF(COUNTIFS(T_TTAFStock_Log[Part Name],$A35,T_TTAFStock_Log[WeekIndex],7)=0,"",SUMIFS(T_TTAFStock_Log[TTAF_Qty],T_TTAFStock_Log[Part Name],$A35,T_TTAFStock_Log[WeekIndex],7))</f>
        <v/>
      </c>
      <c r="I35" s="19">
        <f>IF(COUNTIFS(T_TTAFStock_Log[Part Name],$A35,T_TTAFStock_Log[WeekIndex],8)=0,"",SUMIFS(T_TTAFStock_Log[TTAF_Qty],T_TTAFStock_Log[Part Name],$A35,T_TTAFStock_Log[WeekIndex],8))</f>
        <v/>
      </c>
      <c r="J35" s="19">
        <f>IF(COUNTIFS(T_TTAFStock_Log[Part Name],$A35,T_TTAFStock_Log[WeekIndex],9)=0,"",SUMIFS(T_TTAFStock_Log[TTAF_Qty],T_TTAFStock_Log[Part Name],$A35,T_TTAFStock_Log[WeekIndex],9))</f>
        <v/>
      </c>
      <c r="K35" s="19">
        <f>IF(COUNTIFS(T_TTAFStock_Log[Part Name],$A35,T_TTAFStock_Log[WeekIndex],10)=0,"",SUMIFS(T_TTAFStock_Log[TTAF_Qty],T_TTAFStock_Log[Part Name],$A35,T_TTAFStock_Log[WeekIndex],10))</f>
        <v/>
      </c>
      <c r="L35" s="19">
        <f>IF(COUNTIFS(T_TTAFStock_Log[Part Name],$A35,T_TTAFStock_Log[WeekIndex],11)=0,"",SUMIFS(T_TTAFStock_Log[TTAF_Qty],T_TTAFStock_Log[Part Name],$A35,T_TTAFStock_Log[WeekIndex],11))</f>
        <v/>
      </c>
      <c r="M35" s="19">
        <f>IF(COUNTIFS(T_TTAFStock_Log[Part Name],$A35,T_TTAFStock_Log[WeekIndex],12)=0,"",SUMIFS(T_TTAFStock_Log[TTAF_Qty],T_TTAFStock_Log[Part Name],$A35,T_TTAFStock_Log[WeekIndex],12))</f>
        <v/>
      </c>
      <c r="N35" s="19">
        <f>IF(COUNTIFS(T_TTAFStock_Log[Part Name],$A35,T_TTAFStock_Log[WeekIndex],13)=0,"",SUMIFS(T_TTAFStock_Log[TTAF_Qty],T_TTAFStock_Log[Part Name],$A35,T_TTAFStock_Log[WeekIndex],13))</f>
        <v/>
      </c>
      <c r="O35" s="19">
        <f>IF(COUNTIFS(T_TTAFStock_Log[Part Name],$A35,T_TTAFStock_Log[WeekIndex],14)=0,"",SUMIFS(T_TTAFStock_Log[TTAF_Qty],T_TTAFStock_Log[Part Name],$A35,T_TTAFStock_Log[WeekIndex],14))</f>
        <v/>
      </c>
      <c r="P35" s="19">
        <f>IF(COUNTIFS(T_TTAFStock_Log[Part Name],$A35,T_TTAFStock_Log[WeekIndex],15)=0,"",SUMIFS(T_TTAFStock_Log[TTAF_Qty],T_TTAFStock_Log[Part Name],$A35,T_TTAFStock_Log[WeekIndex],15))</f>
        <v/>
      </c>
      <c r="Q35" s="19">
        <f>IF(COUNTIFS(T_TTAFStock_Log[Part Name],$A35,T_TTAFStock_Log[WeekIndex],16)=0,"",SUMIFS(T_TTAFStock_Log[TTAF_Qty],T_TTAFStock_Log[Part Name],$A35,T_TTAFStock_Log[WeekIndex],16))</f>
        <v/>
      </c>
      <c r="R35" s="19">
        <f>IF(COUNTIFS(T_TTAFStock_Log[Part Name],$A35,T_TTAFStock_Log[WeekIndex],17)=0,"",SUMIFS(T_TTAFStock_Log[TTAF_Qty],T_TTAFStock_Log[Part Name],$A35,T_TTAFStock_Log[WeekIndex],17))</f>
        <v/>
      </c>
      <c r="S35" s="19">
        <f>IF(COUNTIFS(T_TTAFStock_Log[Part Name],$A35,T_TTAFStock_Log[WeekIndex],18)=0,"",SUMIFS(T_TTAFStock_Log[TTAF_Qty],T_TTAFStock_Log[Part Name],$A35,T_TTAFStock_Log[WeekIndex],18))</f>
        <v/>
      </c>
      <c r="T35" s="19">
        <f>IF(COUNTIFS(T_TTAFStock_Log[Part Name],$A35,T_TTAFStock_Log[WeekIndex],19)=0,"",SUMIFS(T_TTAFStock_Log[TTAF_Qty],T_TTAFStock_Log[Part Name],$A35,T_TTAFStock_Log[WeekIndex],19))</f>
        <v/>
      </c>
      <c r="U35" s="19">
        <f>IF(COUNTIFS(T_TTAFStock_Log[Part Name],$A35,T_TTAFStock_Log[WeekIndex],20)=0,"",SUMIFS(T_TTAFStock_Log[TTAF_Qty],T_TTAFStock_Log[Part Name],$A35,T_TTAFStock_Log[WeekIndex],20))</f>
        <v/>
      </c>
      <c r="V35" s="19">
        <f>IF(COUNTIFS(T_TTAFStock_Log[Part Name],$A35,T_TTAFStock_Log[WeekIndex],21)=0,"",SUMIFS(T_TTAFStock_Log[TTAF_Qty],T_TTAFStock_Log[Part Name],$A35,T_TTAFStock_Log[WeekIndex],21))</f>
        <v/>
      </c>
      <c r="W35" s="19">
        <f>IF(COUNTIFS(T_TTAFStock_Log[Part Name],$A35,T_TTAFStock_Log[WeekIndex],22)=0,"",SUMIFS(T_TTAFStock_Log[TTAF_Qty],T_TTAFStock_Log[Part Name],$A35,T_TTAFStock_Log[WeekIndex],22))</f>
        <v/>
      </c>
      <c r="X35" s="19">
        <f>IF(COUNTIFS(T_TTAFStock_Log[Part Name],$A35,T_TTAFStock_Log[WeekIndex],23)=0,"",SUMIFS(T_TTAFStock_Log[TTAF_Qty],T_TTAFStock_Log[Part Name],$A35,T_TTAFStock_Log[WeekIndex],23))</f>
        <v/>
      </c>
      <c r="Y35" s="19">
        <f>IF(COUNTIFS(T_TTAFStock_Log[Part Name],$A35,T_TTAFStock_Log[WeekIndex],24)=0,"",SUMIFS(T_TTAFStock_Log[TTAF_Qty],T_TTAFStock_Log[Part Name],$A35,T_TTAFStock_Log[WeekIndex],24))</f>
        <v/>
      </c>
      <c r="Z35" s="19">
        <f>IF(COUNTIFS(T_TTAFStock_Log[Part Name],$A35,T_TTAFStock_Log[WeekIndex],25)=0,"",SUMIFS(T_TTAFStock_Log[TTAF_Qty],T_TTAFStock_Log[Part Name],$A35,T_TTAFStock_Log[WeekIndex],25))</f>
        <v/>
      </c>
      <c r="AA35" s="19">
        <f>IF(COUNTIFS(T_TTAFStock_Log[Part Name],$A35,T_TTAFStock_Log[WeekIndex],26)=0,"",SUMIFS(T_TTAFStock_Log[TTAF_Qty],T_TTAFStock_Log[Part Name],$A35,T_TTAFStock_Log[WeekIndex],26))</f>
        <v/>
      </c>
      <c r="AB35" s="19">
        <f>IF(COUNTIFS(T_TTAFStock_Log[Part Name],$A35,T_TTAFStock_Log[WeekIndex],27)=0,"",SUMIFS(T_TTAFStock_Log[TTAF_Qty],T_TTAFStock_Log[Part Name],$A35,T_TTAFStock_Log[WeekIndex],27))</f>
        <v/>
      </c>
      <c r="AC35" s="19">
        <f>IF(COUNTIFS(T_TTAFStock_Log[Part Name],$A35,T_TTAFStock_Log[WeekIndex],28)=0,"",SUMIFS(T_TTAFStock_Log[TTAF_Qty],T_TTAFStock_Log[Part Name],$A35,T_TTAFStock_Log[WeekIndex],28))</f>
        <v/>
      </c>
      <c r="AD35" s="19">
        <f>IF(COUNTIFS(T_TTAFStock_Log[Part Name],$A35,T_TTAFStock_Log[WeekIndex],29)=0,"",SUMIFS(T_TTAFStock_Log[TTAF_Qty],T_TTAFStock_Log[Part Name],$A35,T_TTAFStock_Log[WeekIndex],29))</f>
        <v/>
      </c>
      <c r="AE35" s="19">
        <f>IF(COUNTIFS(T_TTAFStock_Log[Part Name],$A35,T_TTAFStock_Log[WeekIndex],30)=0,"",SUMIFS(T_TTAFStock_Log[TTAF_Qty],T_TTAFStock_Log[Part Name],$A35,T_TTAFStock_Log[WeekIndex],30))</f>
        <v/>
      </c>
      <c r="AF35" s="19">
        <f>IF(COUNTIFS(T_TTAFStock_Log[Part Name],$A35,T_TTAFStock_Log[WeekIndex],31)=0,"",SUMIFS(T_TTAFStock_Log[TTAF_Qty],T_TTAFStock_Log[Part Name],$A35,T_TTAFStock_Log[WeekIndex],31))</f>
        <v/>
      </c>
      <c r="AG35" s="19">
        <f>IF(COUNTIFS(T_TTAFStock_Log[Part Name],$A35,T_TTAFStock_Log[WeekIndex],32)=0,"",SUMIFS(T_TTAFStock_Log[TTAF_Qty],T_TTAFStock_Log[Part Name],$A35,T_TTAFStock_Log[WeekIndex],32))</f>
        <v/>
      </c>
      <c r="AH35" s="19">
        <f>IF(COUNTIFS(T_TTAFStock_Log[Part Name],$A35,T_TTAFStock_Log[WeekIndex],33)=0,"",SUMIFS(T_TTAFStock_Log[TTAF_Qty],T_TTAFStock_Log[Part Name],$A35,T_TTAFStock_Log[WeekIndex],33))</f>
        <v/>
      </c>
      <c r="AI35" s="19">
        <f>IF(COUNTIFS(T_TTAFStock_Log[Part Name],$A35,T_TTAFStock_Log[WeekIndex],34)=0,"",SUMIFS(T_TTAFStock_Log[TTAF_Qty],T_TTAFStock_Log[Part Name],$A35,T_TTAFStock_Log[WeekIndex],34))</f>
        <v/>
      </c>
      <c r="AJ35" s="19">
        <f>IF(COUNTIFS(T_TTAFStock_Log[Part Name],$A35,T_TTAFStock_Log[WeekIndex],35)=0,"",SUMIFS(T_TTAFStock_Log[TTAF_Qty],T_TTAFStock_Log[Part Name],$A35,T_TTAFStock_Log[WeekIndex],35))</f>
        <v/>
      </c>
      <c r="AK35" s="19">
        <f>IF(COUNTIFS(T_TTAFStock_Log[Part Name],$A35,T_TTAFStock_Log[WeekIndex],36)=0,"",SUMIFS(T_TTAFStock_Log[TTAF_Qty],T_TTAFStock_Log[Part Name],$A35,T_TTAFStock_Log[WeekIndex],36))</f>
        <v/>
      </c>
      <c r="AL35" s="19">
        <f>IF(COUNTIFS(T_TTAFStock_Log[Part Name],$A35,T_TTAFStock_Log[WeekIndex],37)=0,"",SUMIFS(T_TTAFStock_Log[TTAF_Qty],T_TTAFStock_Log[Part Name],$A35,T_TTAFStock_Log[WeekIndex],37))</f>
        <v/>
      </c>
      <c r="AM35" s="19">
        <f>IF(COUNTIFS(T_TTAFStock_Log[Part Name],$A35,T_TTAFStock_Log[WeekIndex],38)=0,"",SUMIFS(T_TTAFStock_Log[TTAF_Qty],T_TTAFStock_Log[Part Name],$A35,T_TTAFStock_Log[WeekIndex],38))</f>
        <v/>
      </c>
      <c r="AN35" s="19">
        <f>IF(COUNTIFS(T_TTAFStock_Log[Part Name],$A35,T_TTAFStock_Log[WeekIndex],39)=0,"",SUMIFS(T_TTAFStock_Log[TTAF_Qty],T_TTAFStock_Log[Part Name],$A35,T_TTAFStock_Log[WeekIndex],39))</f>
        <v/>
      </c>
      <c r="AO35" s="19">
        <f>IF(COUNTIFS(T_TTAFStock_Log[Part Name],$A35,T_TTAFStock_Log[WeekIndex],40)=0,"",SUMIFS(T_TTAFStock_Log[TTAF_Qty],T_TTAFStock_Log[Part Name],$A35,T_TTAFStock_Log[WeekIndex],40))</f>
        <v/>
      </c>
      <c r="AP35" s="19">
        <f>IF(COUNTIFS(T_TTAFStock_Log[Part Name],$A35,T_TTAFStock_Log[WeekIndex],41)=0,"",SUMIFS(T_TTAFStock_Log[TTAF_Qty],T_TTAFStock_Log[Part Name],$A35,T_TTAFStock_Log[WeekIndex],41))</f>
        <v/>
      </c>
      <c r="AQ35" s="19">
        <f>IF(COUNTIFS(T_TTAFStock_Log[Part Name],$A35,T_TTAFStock_Log[WeekIndex],42)=0,"",SUMIFS(T_TTAFStock_Log[TTAF_Qty],T_TTAFStock_Log[Part Name],$A35,T_TTAFStock_Log[WeekIndex],42))</f>
        <v/>
      </c>
      <c r="AR35" s="19">
        <f>IF(COUNTIFS(T_TTAFStock_Log[Part Name],$A35,T_TTAFStock_Log[WeekIndex],43)=0,"",SUMIFS(T_TTAFStock_Log[TTAF_Qty],T_TTAFStock_Log[Part Name],$A35,T_TTAFStock_Log[WeekIndex],43))</f>
        <v/>
      </c>
      <c r="AS35" s="19">
        <f>IF(COUNTIFS(T_TTAFStock_Log[Part Name],$A35,T_TTAFStock_Log[WeekIndex],44)=0,"",SUMIFS(T_TTAFStock_Log[TTAF_Qty],T_TTAFStock_Log[Part Name],$A35,T_TTAFStock_Log[WeekIndex],44))</f>
        <v/>
      </c>
      <c r="AT35" s="19">
        <f>IF(COUNTIFS(T_TTAFStock_Log[Part Name],$A35,T_TTAFStock_Log[WeekIndex],45)=0,"",SUMIFS(T_TTAFStock_Log[TTAF_Qty],T_TTAFStock_Log[Part Name],$A35,T_TTAFStock_Log[WeekIndex],45))</f>
        <v/>
      </c>
      <c r="AU35" s="19">
        <f>IF(COUNTIFS(T_TTAFStock_Log[Part Name],$A35,T_TTAFStock_Log[WeekIndex],46)=0,"",SUMIFS(T_TTAFStock_Log[TTAF_Qty],T_TTAFStock_Log[Part Name],$A35,T_TTAFStock_Log[WeekIndex],46))</f>
        <v/>
      </c>
      <c r="AV35" s="19">
        <f>IF(COUNTIFS(T_TTAFStock_Log[Part Name],$A35,T_TTAFStock_Log[WeekIndex],47)=0,"",SUMIFS(T_TTAFStock_Log[TTAF_Qty],T_TTAFStock_Log[Part Name],$A35,T_TTAFStock_Log[WeekIndex],47))</f>
        <v/>
      </c>
      <c r="AW35" s="19">
        <f>IF(COUNTIFS(T_TTAFStock_Log[Part Name],$A35,T_TTAFStock_Log[WeekIndex],48)=0,"",SUMIFS(T_TTAFStock_Log[TTAF_Qty],T_TTAFStock_Log[Part Name],$A35,T_TTAFStock_Log[WeekIndex],48))</f>
        <v/>
      </c>
      <c r="AX35" s="19">
        <f>IF(COUNTIFS(T_TTAFStock_Log[Part Name],$A35,T_TTAFStock_Log[WeekIndex],49)=0,"",SUMIFS(T_TTAFStock_Log[TTAF_Qty],T_TTAFStock_Log[Part Name],$A35,T_TTAFStock_Log[WeekIndex],49))</f>
        <v/>
      </c>
      <c r="AY35" s="19">
        <f>IF(COUNTIFS(T_TTAFStock_Log[Part Name],$A35,T_TTAFStock_Log[WeekIndex],50)=0,"",SUMIFS(T_TTAFStock_Log[TTAF_Qty],T_TTAFStock_Log[Part Name],$A35,T_TTAFStock_Log[WeekIndex],50))</f>
        <v/>
      </c>
      <c r="AZ35" s="19">
        <f>IF(COUNTIFS(T_TTAFStock_Log[Part Name],$A35,T_TTAFStock_Log[WeekIndex],51)=0,"",SUMIFS(T_TTAFStock_Log[TTAF_Qty],T_TTAFStock_Log[Part Name],$A35,T_TTAFStock_Log[WeekIndex],51))</f>
        <v/>
      </c>
      <c r="BA35" s="19">
        <f>IF(COUNTIFS(T_TTAFStock_Log[Part Name],$A35,T_TTAFStock_Log[WeekIndex],52)=0,"",SUMIFS(T_TTAFStock_Log[TTAF_Qty],T_TTAFStock_Log[Part Name],$A35,T_TTAFStock_Log[WeekIndex],52))</f>
        <v/>
      </c>
      <c r="BB35" s="19">
        <f>IF(COUNTIFS(T_TTAFStock_Log[Part Name],$A35,T_TTAFStock_Log[WeekIndex],53)=0,"",SUMIFS(T_TTAFStock_Log[TTAF_Qty],T_TTAFStock_Log[Part Name],$A35,T_TTAFStock_Log[WeekIndex],53))</f>
        <v/>
      </c>
      <c r="BC35" s="19">
        <f>IF(COUNTIFS(T_TTAFStock_Log[Part Name],$A35,T_TTAFStock_Log[WeekIndex],54)=0,"",SUMIFS(T_TTAFStock_Log[TTAF_Qty],T_TTAFStock_Log[Part Name],$A35,T_TTAFStock_Log[WeekIndex],54))</f>
        <v/>
      </c>
      <c r="BD35" s="19">
        <f>IF(COUNTIFS(T_TTAFStock_Log[Part Name],$A35,T_TTAFStock_Log[WeekIndex],55)=0,"",SUMIFS(T_TTAFStock_Log[TTAF_Qty],T_TTAFStock_Log[Part Name],$A35,T_TTAFStock_Log[WeekIndex],55))</f>
        <v/>
      </c>
      <c r="BE35" s="19">
        <f>IF(COUNTIFS(T_TTAFStock_Log[Part Name],$A35,T_TTAFStock_Log[WeekIndex],56)=0,"",SUMIFS(T_TTAFStock_Log[TTAF_Qty],T_TTAFStock_Log[Part Name],$A35,T_TTAFStock_Log[WeekIndex],56))</f>
        <v/>
      </c>
      <c r="BF35" s="19">
        <f>IF(COUNTIFS(T_TTAFStock_Log[Part Name],$A35,T_TTAFStock_Log[WeekIndex],57)=0,"",SUMIFS(T_TTAFStock_Log[TTAF_Qty],T_TTAFStock_Log[Part Name],$A35,T_TTAFStock_Log[WeekIndex],57))</f>
        <v/>
      </c>
      <c r="BG35" s="19">
        <f>IF(COUNTIFS(T_TTAFStock_Log[Part Name],$A35,T_TTAFStock_Log[WeekIndex],58)=0,"",SUMIFS(T_TTAFStock_Log[TTAF_Qty],T_TTAFStock_Log[Part Name],$A35,T_TTAFStock_Log[WeekIndex],58))</f>
        <v/>
      </c>
      <c r="BH35" s="19">
        <f>IF(COUNTIFS(T_TTAFStock_Log[Part Name],$A35,T_TTAFStock_Log[WeekIndex],59)=0,"",SUMIFS(T_TTAFStock_Log[TTAF_Qty],T_TTAFStock_Log[Part Name],$A35,T_TTAFStock_Log[WeekIndex],59))</f>
        <v/>
      </c>
      <c r="BI35" s="19">
        <f>IF(COUNTIFS(T_TTAFStock_Log[Part Name],$A35,T_TTAFStock_Log[WeekIndex],60)=0,"",SUMIFS(T_TTAFStock_Log[TTAF_Qty],T_TTAFStock_Log[Part Name],$A35,T_TTAFStock_Log[WeekIndex],60))</f>
        <v/>
      </c>
      <c r="BJ35" s="19">
        <f>IF(COUNTIFS(T_TTAFStock_Log[Part Name],$A35,T_TTAFStock_Log[WeekIndex],61)=0,"",SUMIFS(T_TTAFStock_Log[TTAF_Qty],T_TTAFStock_Log[Part Name],$A35,T_TTAFStock_Log[WeekIndex],61))</f>
        <v/>
      </c>
      <c r="BK35" s="19">
        <f>IF(COUNTIFS(T_TTAFStock_Log[Part Name],$A35,T_TTAFStock_Log[WeekIndex],62)=0,"",SUMIFS(T_TTAFStock_Log[TTAF_Qty],T_TTAFStock_Log[Part Name],$A35,T_TTAFStock_Log[WeekIndex],62))</f>
        <v/>
      </c>
      <c r="BL35" s="19">
        <f>IF(COUNTIFS(T_TTAFStock_Log[Part Name],$A35,T_TTAFStock_Log[WeekIndex],63)=0,"",SUMIFS(T_TTAFStock_Log[TTAF_Qty],T_TTAFStock_Log[Part Name],$A35,T_TTAFStock_Log[WeekIndex],63))</f>
        <v/>
      </c>
      <c r="BM35" s="19">
        <f>IF(COUNTIFS(T_TTAFStock_Log[Part Name],$A35,T_TTAFStock_Log[WeekIndex],64)=0,"",SUMIFS(T_TTAFStock_Log[TTAF_Qty],T_TTAFStock_Log[Part Name],$A35,T_TTAFStock_Log[WeekIndex],64))</f>
        <v/>
      </c>
      <c r="BN35" s="19">
        <f>IF(COUNTIFS(T_TTAFStock_Log[Part Name],$A35,T_TTAFStock_Log[WeekIndex],65)=0,"",SUMIFS(T_TTAFStock_Log[TTAF_Qty],T_TTAFStock_Log[Part Name],$A35,T_TTAFStock_Log[WeekIndex],65))</f>
        <v/>
      </c>
      <c r="BO35" s="19">
        <f>IF(COUNTIFS(T_TTAFStock_Log[Part Name],$A35,T_TTAFStock_Log[WeekIndex],66)=0,"",SUMIFS(T_TTAFStock_Log[TTAF_Qty],T_TTAFStock_Log[Part Name],$A35,T_TTAFStock_Log[WeekIndex],66))</f>
        <v/>
      </c>
      <c r="BP35" s="19">
        <f>IF(COUNTIFS(T_TTAFStock_Log[Part Name],$A35,T_TTAFStock_Log[WeekIndex],67)=0,"",SUMIFS(T_TTAFStock_Log[TTAF_Qty],T_TTAFStock_Log[Part Name],$A35,T_TTAFStock_Log[WeekIndex],67))</f>
        <v/>
      </c>
      <c r="BQ35" s="19">
        <f>IF(COUNTIFS(T_TTAFStock_Log[Part Name],$A35,T_TTAFStock_Log[WeekIndex],68)=0,"",SUMIFS(T_TTAFStock_Log[TTAF_Qty],T_TTAFStock_Log[Part Name],$A35,T_TTAFStock_Log[WeekIndex],68))</f>
        <v/>
      </c>
      <c r="BR35" s="19">
        <f>IF(COUNTIFS(T_TTAFStock_Log[Part Name],$A35,T_TTAFStock_Log[WeekIndex],69)=0,"",SUMIFS(T_TTAFStock_Log[TTAF_Qty],T_TTAFStock_Log[Part Name],$A35,T_TTAFStock_Log[WeekIndex],69))</f>
        <v/>
      </c>
      <c r="BS35" s="19">
        <f>IF(COUNTIFS(T_TTAFStock_Log[Part Name],$A35,T_TTAFStock_Log[WeekIndex],70)=0,"",SUMIFS(T_TTAFStock_Log[TTAF_Qty],T_TTAFStock_Log[Part Name],$A35,T_TTAFStock_Log[WeekIndex],70))</f>
        <v/>
      </c>
      <c r="BT35" s="19">
        <f>IF(COUNTIFS(T_TTAFStock_Log[Part Name],$A35,T_TTAFStock_Log[WeekIndex],71)=0,"",SUMIFS(T_TTAFStock_Log[TTAF_Qty],T_TTAFStock_Log[Part Name],$A35,T_TTAFStock_Log[WeekIndex],71))</f>
        <v/>
      </c>
      <c r="BU35" s="19">
        <f>IF(COUNTIFS(T_TTAFStock_Log[Part Name],$A35,T_TTAFStock_Log[WeekIndex],72)=0,"",SUMIFS(T_TTAFStock_Log[TTAF_Qty],T_TTAFStock_Log[Part Name],$A35,T_TTAFStock_Log[WeekIndex],72))</f>
        <v/>
      </c>
      <c r="BV35" s="19">
        <f>IF(COUNTIFS(T_TTAFStock_Log[Part Name],$A35,T_TTAFStock_Log[WeekIndex],73)=0,"",SUMIFS(T_TTAFStock_Log[TTAF_Qty],T_TTAFStock_Log[Part Name],$A35,T_TTAFStock_Log[WeekIndex],73))</f>
        <v/>
      </c>
      <c r="BW35" s="19">
        <f>IF(COUNTIFS(T_TTAFStock_Log[Part Name],$A35,T_TTAFStock_Log[WeekIndex],74)=0,"",SUMIFS(T_TTAFStock_Log[TTAF_Qty],T_TTAFStock_Log[Part Name],$A35,T_TTAFStock_Log[WeekIndex],74))</f>
        <v/>
      </c>
      <c r="BX35" s="19">
        <f>IF(COUNTIFS(T_TTAFStock_Log[Part Name],$A35,T_TTAFStock_Log[WeekIndex],75)=0,"",SUMIFS(T_TTAFStock_Log[TTAF_Qty],T_TTAFStock_Log[Part Name],$A35,T_TTAFStock_Log[WeekIndex],75))</f>
        <v/>
      </c>
      <c r="BY35" s="19">
        <f>IF(COUNTIFS(T_TTAFStock_Log[Part Name],$A35,T_TTAFStock_Log[WeekIndex],76)=0,"",SUMIFS(T_TTAFStock_Log[TTAF_Qty],T_TTAFStock_Log[Part Name],$A35,T_TTAFStock_Log[WeekIndex],76))</f>
        <v/>
      </c>
      <c r="BZ35" s="19">
        <f>IF(COUNTIFS(T_TTAFStock_Log[Part Name],$A35,T_TTAFStock_Log[WeekIndex],77)=0,"",SUMIFS(T_TTAFStock_Log[TTAF_Qty],T_TTAFStock_Log[Part Name],$A35,T_TTAFStock_Log[WeekIndex],77))</f>
        <v/>
      </c>
      <c r="CA35" s="19">
        <f>IF(COUNTIFS(T_TTAFStock_Log[Part Name],$A35,T_TTAFStock_Log[WeekIndex],78)=0,"",SUMIFS(T_TTAFStock_Log[TTAF_Qty],T_TTAFStock_Log[Part Name],$A35,T_TTAFStock_Log[WeekIndex],78))</f>
        <v/>
      </c>
      <c r="CB35" s="19">
        <f>IF(COUNTIFS(T_TTAFStock_Log[Part Name],$A35,T_TTAFStock_Log[WeekIndex],79)=0,"",SUMIFS(T_TTAFStock_Log[TTAF_Qty],T_TTAFStock_Log[Part Name],$A35,T_TTAFStock_Log[WeekIndex],79))</f>
        <v/>
      </c>
      <c r="CC35" s="19">
        <f>IF(COUNTIFS(T_TTAFStock_Log[Part Name],$A35,T_TTAFStock_Log[WeekIndex],80)=0,"",SUMIFS(T_TTAFStock_Log[TTAF_Qty],T_TTAFStock_Log[Part Name],$A35,T_TTAFStock_Log[WeekIndex],80))</f>
        <v/>
      </c>
      <c r="CD35" s="19">
        <f>IF(COUNTIFS(T_TTAFStock_Log[Part Name],$A35,T_TTAFStock_Log[WeekIndex],81)=0,"",SUMIFS(T_TTAFStock_Log[TTAF_Qty],T_TTAFStock_Log[Part Name],$A35,T_TTAFStock_Log[WeekIndex],81))</f>
        <v/>
      </c>
      <c r="CE35" s="19">
        <f>IF(COUNTIFS(T_TTAFStock_Log[Part Name],$A35,T_TTAFStock_Log[WeekIndex],82)=0,"",SUMIFS(T_TTAFStock_Log[TTAF_Qty],T_TTAFStock_Log[Part Name],$A35,T_TTAFStock_Log[WeekIndex],82))</f>
        <v/>
      </c>
      <c r="CF35" s="19">
        <f>IF(COUNTIFS(T_TTAFStock_Log[Part Name],$A35,T_TTAFStock_Log[WeekIndex],83)=0,"",SUMIFS(T_TTAFStock_Log[TTAF_Qty],T_TTAFStock_Log[Part Name],$A35,T_TTAFStock_Log[WeekIndex],83))</f>
        <v/>
      </c>
      <c r="CG35" s="19">
        <f>IF(COUNTIFS(T_TTAFStock_Log[Part Name],$A35,T_TTAFStock_Log[WeekIndex],84)=0,"",SUMIFS(T_TTAFStock_Log[TTAF_Qty],T_TTAFStock_Log[Part Name],$A35,T_TTAFStock_Log[WeekIndex],84))</f>
        <v/>
      </c>
      <c r="CH35" s="19">
        <f>IF(COUNTIFS(T_TTAFStock_Log[Part Name],$A35,T_TTAFStock_Log[WeekIndex],85)=0,"",SUMIFS(T_TTAFStock_Log[TTAF_Qty],T_TTAFStock_Log[Part Name],$A35,T_TTAFStock_Log[WeekIndex],85))</f>
        <v/>
      </c>
      <c r="CI35" s="19">
        <f>IF(COUNTIFS(T_TTAFStock_Log[Part Name],$A35,T_TTAFStock_Log[WeekIndex],86)=0,"",SUMIFS(T_TTAFStock_Log[TTAF_Qty],T_TTAFStock_Log[Part Name],$A35,T_TTAFStock_Log[WeekIndex],86))</f>
        <v/>
      </c>
      <c r="CJ35" s="19">
        <f>IF(COUNTIFS(T_TTAFStock_Log[Part Name],$A35,T_TTAFStock_Log[WeekIndex],87)=0,"",SUMIFS(T_TTAFStock_Log[TTAF_Qty],T_TTAFStock_Log[Part Name],$A35,T_TTAFStock_Log[WeekIndex],87))</f>
        <v/>
      </c>
      <c r="CK35" s="19">
        <f>IF(COUNTIFS(T_TTAFStock_Log[Part Name],$A35,T_TTAFStock_Log[WeekIndex],88)=0,"",SUMIFS(T_TTAFStock_Log[TTAF_Qty],T_TTAFStock_Log[Part Name],$A35,T_TTAFStock_Log[WeekIndex],88))</f>
        <v/>
      </c>
      <c r="CL35" s="19">
        <f>IF(COUNTIFS(T_TTAFStock_Log[Part Name],$A35,T_TTAFStock_Log[WeekIndex],89)=0,"",SUMIFS(T_TTAFStock_Log[TTAF_Qty],T_TTAFStock_Log[Part Name],$A35,T_TTAFStock_Log[WeekIndex],89))</f>
        <v/>
      </c>
      <c r="CM35" s="19">
        <f>IF(COUNTIFS(T_TTAFStock_Log[Part Name],$A35,T_TTAFStock_Log[WeekIndex],90)=0,"",SUMIFS(T_TTAFStock_Log[TTAF_Qty],T_TTAFStock_Log[Part Name],$A35,T_TTAFStock_Log[WeekIndex],90))</f>
        <v/>
      </c>
      <c r="CN35" s="19">
        <f>IF(COUNTIFS(T_TTAFStock_Log[Part Name],$A35,T_TTAFStock_Log[WeekIndex],91)=0,"",SUMIFS(T_TTAFStock_Log[TTAF_Qty],T_TTAFStock_Log[Part Name],$A35,T_TTAFStock_Log[WeekIndex],91))</f>
        <v/>
      </c>
      <c r="CO35" s="19">
        <f>IF(COUNTIFS(T_TTAFStock_Log[Part Name],$A35,T_TTAFStock_Log[WeekIndex],92)=0,"",SUMIFS(T_TTAFStock_Log[TTAF_Qty],T_TTAFStock_Log[Part Name],$A35,T_TTAFStock_Log[WeekIndex],92))</f>
        <v/>
      </c>
      <c r="CP35" s="19">
        <f>IF(COUNTIFS(T_TTAFStock_Log[Part Name],$A35,T_TTAFStock_Log[WeekIndex],93)=0,"",SUMIFS(T_TTAFStock_Log[TTAF_Qty],T_TTAFStock_Log[Part Name],$A35,T_TTAFStock_Log[WeekIndex],93))</f>
        <v/>
      </c>
      <c r="CQ35" s="19">
        <f>IF(COUNTIFS(T_TTAFStock_Log[Part Name],$A35,T_TTAFStock_Log[WeekIndex],94)=0,"",SUMIFS(T_TTAFStock_Log[TTAF_Qty],T_TTAFStock_Log[Part Name],$A35,T_TTAFStock_Log[WeekIndex],94))</f>
        <v/>
      </c>
      <c r="CR35" s="19">
        <f>IF(COUNTIFS(T_TTAFStock_Log[Part Name],$A35,T_TTAFStock_Log[WeekIndex],95)=0,"",SUMIFS(T_TTAFStock_Log[TTAF_Qty],T_TTAFStock_Log[Part Name],$A35,T_TTAFStock_Log[WeekIndex],95))</f>
        <v/>
      </c>
      <c r="CS35" s="19">
        <f>IF(COUNTIFS(T_TTAFStock_Log[Part Name],$A35,T_TTAFStock_Log[WeekIndex],96)=0,"",SUMIFS(T_TTAFStock_Log[TTAF_Qty],T_TTAFStock_Log[Part Name],$A35,T_TTAFStock_Log[WeekIndex],96))</f>
        <v/>
      </c>
      <c r="CT35" s="19">
        <f>IF(COUNTIFS(T_TTAFStock_Log[Part Name],$A35,T_TTAFStock_Log[WeekIndex],97)=0,"",SUMIFS(T_TTAFStock_Log[TTAF_Qty],T_TTAFStock_Log[Part Name],$A35,T_TTAFStock_Log[WeekIndex],97))</f>
        <v/>
      </c>
      <c r="CU35" s="19">
        <f>IF(COUNTIFS(T_TTAFStock_Log[Part Name],$A35,T_TTAFStock_Log[WeekIndex],98)=0,"",SUMIFS(T_TTAFStock_Log[TTAF_Qty],T_TTAFStock_Log[Part Name],$A35,T_TTAFStock_Log[WeekIndex],98))</f>
        <v/>
      </c>
      <c r="CV35" s="19">
        <f>IF(COUNTIFS(T_TTAFStock_Log[Part Name],$A35,T_TTAFStock_Log[WeekIndex],99)=0,"",SUMIFS(T_TTAFStock_Log[TTAF_Qty],T_TTAFStock_Log[Part Name],$A35,T_TTAFStock_Log[WeekIndex],99))</f>
        <v/>
      </c>
      <c r="CW35" s="19">
        <f>IF(COUNTIFS(T_TTAFStock_Log[Part Name],$A35,T_TTAFStock_Log[WeekIndex],100)=0,"",SUMIFS(T_TTAFStock_Log[TTAF_Qty],T_TTAFStock_Log[Part Name],$A35,T_TTAFStock_Log[WeekIndex],100))</f>
        <v/>
      </c>
      <c r="CX35" s="19">
        <f>IF(COUNTIFS(T_TTAFStock_Log[Part Name],$A35,T_TTAFStock_Log[WeekIndex],101)=0,"",SUMIFS(T_TTAFStock_Log[TTAF_Qty],T_TTAFStock_Log[Part Name],$A35,T_TTAFStock_Log[WeekIndex],101))</f>
        <v/>
      </c>
      <c r="CY35" s="19">
        <f>IF(COUNTIFS(T_TTAFStock_Log[Part Name],$A35,T_TTAFStock_Log[WeekIndex],102)=0,"",SUMIFS(T_TTAFStock_Log[TTAF_Qty],T_TTAFStock_Log[Part Name],$A35,T_TTAFStock_Log[WeekIndex],102))</f>
        <v/>
      </c>
      <c r="CZ35" s="19">
        <f>IF(COUNTIFS(T_TTAFStock_Log[Part Name],$A35,T_TTAFStock_Log[WeekIndex],103)=0,"",SUMIFS(T_TTAFStock_Log[TTAF_Qty],T_TTAFStock_Log[Part Name],$A35,T_TTAFStock_Log[WeekIndex],103))</f>
        <v/>
      </c>
      <c r="DA35" s="19">
        <f>IF(COUNTIFS(T_TTAFStock_Log[Part Name],$A35,T_TTAFStock_Log[WeekIndex],104)=0,"",SUMIFS(T_TTAFStock_Log[TTAF_Qty],T_TTAFStock_Log[Part Name],$A35,T_TTAFStock_Log[WeekIndex],104))</f>
        <v/>
      </c>
    </row>
    <row r="36">
      <c r="A36" s="17" t="inlineStr">
        <is>
          <t>CHEM-1780</t>
        </is>
      </c>
      <c r="B36" s="17">
        <f>IF(COUNTIFS(T_TTAFStock_Log[Part Name],$A36,T_TTAFStock_Log[WeekIndex],1)=0,"",SUMIFS(T_TTAFStock_Log[TTAF_Qty],T_TTAFStock_Log[Part Name],$A36,T_TTAFStock_Log[WeekIndex],1))</f>
        <v/>
      </c>
      <c r="C36" s="17">
        <f>IF(COUNTIFS(T_TTAFStock_Log[Part Name],$A36,T_TTAFStock_Log[WeekIndex],2)=0,"",SUMIFS(T_TTAFStock_Log[TTAF_Qty],T_TTAFStock_Log[Part Name],$A36,T_TTAFStock_Log[WeekIndex],2))</f>
        <v/>
      </c>
      <c r="D36" s="17">
        <f>IF(COUNTIFS(T_TTAFStock_Log[Part Name],$A36,T_TTAFStock_Log[WeekIndex],3)=0,"",SUMIFS(T_TTAFStock_Log[TTAF_Qty],T_TTAFStock_Log[Part Name],$A36,T_TTAFStock_Log[WeekIndex],3))</f>
        <v/>
      </c>
      <c r="E36" s="17">
        <f>IF(COUNTIFS(T_TTAFStock_Log[Part Name],$A36,T_TTAFStock_Log[WeekIndex],4)=0,"",SUMIFS(T_TTAFStock_Log[TTAF_Qty],T_TTAFStock_Log[Part Name],$A36,T_TTAFStock_Log[WeekIndex],4))</f>
        <v/>
      </c>
      <c r="F36" s="17">
        <f>IF(COUNTIFS(T_TTAFStock_Log[Part Name],$A36,T_TTAFStock_Log[WeekIndex],5)=0,"",SUMIFS(T_TTAFStock_Log[TTAF_Qty],T_TTAFStock_Log[Part Name],$A36,T_TTAFStock_Log[WeekIndex],5))</f>
        <v/>
      </c>
      <c r="G36" s="17">
        <f>IF(COUNTIFS(T_TTAFStock_Log[Part Name],$A36,T_TTAFStock_Log[WeekIndex],6)=0,"",SUMIFS(T_TTAFStock_Log[TTAF_Qty],T_TTAFStock_Log[Part Name],$A36,T_TTAFStock_Log[WeekIndex],6))</f>
        <v/>
      </c>
      <c r="H36" s="17">
        <f>IF(COUNTIFS(T_TTAFStock_Log[Part Name],$A36,T_TTAFStock_Log[WeekIndex],7)=0,"",SUMIFS(T_TTAFStock_Log[TTAF_Qty],T_TTAFStock_Log[Part Name],$A36,T_TTAFStock_Log[WeekIndex],7))</f>
        <v/>
      </c>
      <c r="I36" s="17">
        <f>IF(COUNTIFS(T_TTAFStock_Log[Part Name],$A36,T_TTAFStock_Log[WeekIndex],8)=0,"",SUMIFS(T_TTAFStock_Log[TTAF_Qty],T_TTAFStock_Log[Part Name],$A36,T_TTAFStock_Log[WeekIndex],8))</f>
        <v/>
      </c>
      <c r="J36" s="17">
        <f>IF(COUNTIFS(T_TTAFStock_Log[Part Name],$A36,T_TTAFStock_Log[WeekIndex],9)=0,"",SUMIFS(T_TTAFStock_Log[TTAF_Qty],T_TTAFStock_Log[Part Name],$A36,T_TTAFStock_Log[WeekIndex],9))</f>
        <v/>
      </c>
      <c r="K36" s="17">
        <f>IF(COUNTIFS(T_TTAFStock_Log[Part Name],$A36,T_TTAFStock_Log[WeekIndex],10)=0,"",SUMIFS(T_TTAFStock_Log[TTAF_Qty],T_TTAFStock_Log[Part Name],$A36,T_TTAFStock_Log[WeekIndex],10))</f>
        <v/>
      </c>
      <c r="L36" s="17">
        <f>IF(COUNTIFS(T_TTAFStock_Log[Part Name],$A36,T_TTAFStock_Log[WeekIndex],11)=0,"",SUMIFS(T_TTAFStock_Log[TTAF_Qty],T_TTAFStock_Log[Part Name],$A36,T_TTAFStock_Log[WeekIndex],11))</f>
        <v/>
      </c>
      <c r="M36" s="17">
        <f>IF(COUNTIFS(T_TTAFStock_Log[Part Name],$A36,T_TTAFStock_Log[WeekIndex],12)=0,"",SUMIFS(T_TTAFStock_Log[TTAF_Qty],T_TTAFStock_Log[Part Name],$A36,T_TTAFStock_Log[WeekIndex],12))</f>
        <v/>
      </c>
      <c r="N36" s="17">
        <f>IF(COUNTIFS(T_TTAFStock_Log[Part Name],$A36,T_TTAFStock_Log[WeekIndex],13)=0,"",SUMIFS(T_TTAFStock_Log[TTAF_Qty],T_TTAFStock_Log[Part Name],$A36,T_TTAFStock_Log[WeekIndex],13))</f>
        <v/>
      </c>
      <c r="O36" s="17">
        <f>IF(COUNTIFS(T_TTAFStock_Log[Part Name],$A36,T_TTAFStock_Log[WeekIndex],14)=0,"",SUMIFS(T_TTAFStock_Log[TTAF_Qty],T_TTAFStock_Log[Part Name],$A36,T_TTAFStock_Log[WeekIndex],14))</f>
        <v/>
      </c>
      <c r="P36" s="17">
        <f>IF(COUNTIFS(T_TTAFStock_Log[Part Name],$A36,T_TTAFStock_Log[WeekIndex],15)=0,"",SUMIFS(T_TTAFStock_Log[TTAF_Qty],T_TTAFStock_Log[Part Name],$A36,T_TTAFStock_Log[WeekIndex],15))</f>
        <v/>
      </c>
      <c r="Q36" s="17">
        <f>IF(COUNTIFS(T_TTAFStock_Log[Part Name],$A36,T_TTAFStock_Log[WeekIndex],16)=0,"",SUMIFS(T_TTAFStock_Log[TTAF_Qty],T_TTAFStock_Log[Part Name],$A36,T_TTAFStock_Log[WeekIndex],16))</f>
        <v/>
      </c>
      <c r="R36" s="17">
        <f>IF(COUNTIFS(T_TTAFStock_Log[Part Name],$A36,T_TTAFStock_Log[WeekIndex],17)=0,"",SUMIFS(T_TTAFStock_Log[TTAF_Qty],T_TTAFStock_Log[Part Name],$A36,T_TTAFStock_Log[WeekIndex],17))</f>
        <v/>
      </c>
      <c r="S36" s="17">
        <f>IF(COUNTIFS(T_TTAFStock_Log[Part Name],$A36,T_TTAFStock_Log[WeekIndex],18)=0,"",SUMIFS(T_TTAFStock_Log[TTAF_Qty],T_TTAFStock_Log[Part Name],$A36,T_TTAFStock_Log[WeekIndex],18))</f>
        <v/>
      </c>
      <c r="T36" s="17">
        <f>IF(COUNTIFS(T_TTAFStock_Log[Part Name],$A36,T_TTAFStock_Log[WeekIndex],19)=0,"",SUMIFS(T_TTAFStock_Log[TTAF_Qty],T_TTAFStock_Log[Part Name],$A36,T_TTAFStock_Log[WeekIndex],19))</f>
        <v/>
      </c>
      <c r="U36" s="17">
        <f>IF(COUNTIFS(T_TTAFStock_Log[Part Name],$A36,T_TTAFStock_Log[WeekIndex],20)=0,"",SUMIFS(T_TTAFStock_Log[TTAF_Qty],T_TTAFStock_Log[Part Name],$A36,T_TTAFStock_Log[WeekIndex],20))</f>
        <v/>
      </c>
      <c r="V36" s="17">
        <f>IF(COUNTIFS(T_TTAFStock_Log[Part Name],$A36,T_TTAFStock_Log[WeekIndex],21)=0,"",SUMIFS(T_TTAFStock_Log[TTAF_Qty],T_TTAFStock_Log[Part Name],$A36,T_TTAFStock_Log[WeekIndex],21))</f>
        <v/>
      </c>
      <c r="W36" s="17">
        <f>IF(COUNTIFS(T_TTAFStock_Log[Part Name],$A36,T_TTAFStock_Log[WeekIndex],22)=0,"",SUMIFS(T_TTAFStock_Log[TTAF_Qty],T_TTAFStock_Log[Part Name],$A36,T_TTAFStock_Log[WeekIndex],22))</f>
        <v/>
      </c>
      <c r="X36" s="17">
        <f>IF(COUNTIFS(T_TTAFStock_Log[Part Name],$A36,T_TTAFStock_Log[WeekIndex],23)=0,"",SUMIFS(T_TTAFStock_Log[TTAF_Qty],T_TTAFStock_Log[Part Name],$A36,T_TTAFStock_Log[WeekIndex],23))</f>
        <v/>
      </c>
      <c r="Y36" s="17">
        <f>IF(COUNTIFS(T_TTAFStock_Log[Part Name],$A36,T_TTAFStock_Log[WeekIndex],24)=0,"",SUMIFS(T_TTAFStock_Log[TTAF_Qty],T_TTAFStock_Log[Part Name],$A36,T_TTAFStock_Log[WeekIndex],24))</f>
        <v/>
      </c>
      <c r="Z36" s="17">
        <f>IF(COUNTIFS(T_TTAFStock_Log[Part Name],$A36,T_TTAFStock_Log[WeekIndex],25)=0,"",SUMIFS(T_TTAFStock_Log[TTAF_Qty],T_TTAFStock_Log[Part Name],$A36,T_TTAFStock_Log[WeekIndex],25))</f>
        <v/>
      </c>
      <c r="AA36" s="17">
        <f>IF(COUNTIFS(T_TTAFStock_Log[Part Name],$A36,T_TTAFStock_Log[WeekIndex],26)=0,"",SUMIFS(T_TTAFStock_Log[TTAF_Qty],T_TTAFStock_Log[Part Name],$A36,T_TTAFStock_Log[WeekIndex],26))</f>
        <v/>
      </c>
      <c r="AB36" s="17">
        <f>IF(COUNTIFS(T_TTAFStock_Log[Part Name],$A36,T_TTAFStock_Log[WeekIndex],27)=0,"",SUMIFS(T_TTAFStock_Log[TTAF_Qty],T_TTAFStock_Log[Part Name],$A36,T_TTAFStock_Log[WeekIndex],27))</f>
        <v/>
      </c>
      <c r="AC36" s="17">
        <f>IF(COUNTIFS(T_TTAFStock_Log[Part Name],$A36,T_TTAFStock_Log[WeekIndex],28)=0,"",SUMIFS(T_TTAFStock_Log[TTAF_Qty],T_TTAFStock_Log[Part Name],$A36,T_TTAFStock_Log[WeekIndex],28))</f>
        <v/>
      </c>
      <c r="AD36" s="17">
        <f>IF(COUNTIFS(T_TTAFStock_Log[Part Name],$A36,T_TTAFStock_Log[WeekIndex],29)=0,"",SUMIFS(T_TTAFStock_Log[TTAF_Qty],T_TTAFStock_Log[Part Name],$A36,T_TTAFStock_Log[WeekIndex],29))</f>
        <v/>
      </c>
      <c r="AE36" s="17">
        <f>IF(COUNTIFS(T_TTAFStock_Log[Part Name],$A36,T_TTAFStock_Log[WeekIndex],30)=0,"",SUMIFS(T_TTAFStock_Log[TTAF_Qty],T_TTAFStock_Log[Part Name],$A36,T_TTAFStock_Log[WeekIndex],30))</f>
        <v/>
      </c>
      <c r="AF36" s="17">
        <f>IF(COUNTIFS(T_TTAFStock_Log[Part Name],$A36,T_TTAFStock_Log[WeekIndex],31)=0,"",SUMIFS(T_TTAFStock_Log[TTAF_Qty],T_TTAFStock_Log[Part Name],$A36,T_TTAFStock_Log[WeekIndex],31))</f>
        <v/>
      </c>
      <c r="AG36" s="17">
        <f>IF(COUNTIFS(T_TTAFStock_Log[Part Name],$A36,T_TTAFStock_Log[WeekIndex],32)=0,"",SUMIFS(T_TTAFStock_Log[TTAF_Qty],T_TTAFStock_Log[Part Name],$A36,T_TTAFStock_Log[WeekIndex],32))</f>
        <v/>
      </c>
      <c r="AH36" s="17">
        <f>IF(COUNTIFS(T_TTAFStock_Log[Part Name],$A36,T_TTAFStock_Log[WeekIndex],33)=0,"",SUMIFS(T_TTAFStock_Log[TTAF_Qty],T_TTAFStock_Log[Part Name],$A36,T_TTAFStock_Log[WeekIndex],33))</f>
        <v/>
      </c>
      <c r="AI36" s="17">
        <f>IF(COUNTIFS(T_TTAFStock_Log[Part Name],$A36,T_TTAFStock_Log[WeekIndex],34)=0,"",SUMIFS(T_TTAFStock_Log[TTAF_Qty],T_TTAFStock_Log[Part Name],$A36,T_TTAFStock_Log[WeekIndex],34))</f>
        <v/>
      </c>
      <c r="AJ36" s="17">
        <f>IF(COUNTIFS(T_TTAFStock_Log[Part Name],$A36,T_TTAFStock_Log[WeekIndex],35)=0,"",SUMIFS(T_TTAFStock_Log[TTAF_Qty],T_TTAFStock_Log[Part Name],$A36,T_TTAFStock_Log[WeekIndex],35))</f>
        <v/>
      </c>
      <c r="AK36" s="17">
        <f>IF(COUNTIFS(T_TTAFStock_Log[Part Name],$A36,T_TTAFStock_Log[WeekIndex],36)=0,"",SUMIFS(T_TTAFStock_Log[TTAF_Qty],T_TTAFStock_Log[Part Name],$A36,T_TTAFStock_Log[WeekIndex],36))</f>
        <v/>
      </c>
      <c r="AL36" s="17">
        <f>IF(COUNTIFS(T_TTAFStock_Log[Part Name],$A36,T_TTAFStock_Log[WeekIndex],37)=0,"",SUMIFS(T_TTAFStock_Log[TTAF_Qty],T_TTAFStock_Log[Part Name],$A36,T_TTAFStock_Log[WeekIndex],37))</f>
        <v/>
      </c>
      <c r="AM36" s="17">
        <f>IF(COUNTIFS(T_TTAFStock_Log[Part Name],$A36,T_TTAFStock_Log[WeekIndex],38)=0,"",SUMIFS(T_TTAFStock_Log[TTAF_Qty],T_TTAFStock_Log[Part Name],$A36,T_TTAFStock_Log[WeekIndex],38))</f>
        <v/>
      </c>
      <c r="AN36" s="17">
        <f>IF(COUNTIFS(T_TTAFStock_Log[Part Name],$A36,T_TTAFStock_Log[WeekIndex],39)=0,"",SUMIFS(T_TTAFStock_Log[TTAF_Qty],T_TTAFStock_Log[Part Name],$A36,T_TTAFStock_Log[WeekIndex],39))</f>
        <v/>
      </c>
      <c r="AO36" s="17">
        <f>IF(COUNTIFS(T_TTAFStock_Log[Part Name],$A36,T_TTAFStock_Log[WeekIndex],40)=0,"",SUMIFS(T_TTAFStock_Log[TTAF_Qty],T_TTAFStock_Log[Part Name],$A36,T_TTAFStock_Log[WeekIndex],40))</f>
        <v/>
      </c>
      <c r="AP36" s="17">
        <f>IF(COUNTIFS(T_TTAFStock_Log[Part Name],$A36,T_TTAFStock_Log[WeekIndex],41)=0,"",SUMIFS(T_TTAFStock_Log[TTAF_Qty],T_TTAFStock_Log[Part Name],$A36,T_TTAFStock_Log[WeekIndex],41))</f>
        <v/>
      </c>
      <c r="AQ36" s="17">
        <f>IF(COUNTIFS(T_TTAFStock_Log[Part Name],$A36,T_TTAFStock_Log[WeekIndex],42)=0,"",SUMIFS(T_TTAFStock_Log[TTAF_Qty],T_TTAFStock_Log[Part Name],$A36,T_TTAFStock_Log[WeekIndex],42))</f>
        <v/>
      </c>
      <c r="AR36" s="17">
        <f>IF(COUNTIFS(T_TTAFStock_Log[Part Name],$A36,T_TTAFStock_Log[WeekIndex],43)=0,"",SUMIFS(T_TTAFStock_Log[TTAF_Qty],T_TTAFStock_Log[Part Name],$A36,T_TTAFStock_Log[WeekIndex],43))</f>
        <v/>
      </c>
      <c r="AS36" s="17">
        <f>IF(COUNTIFS(T_TTAFStock_Log[Part Name],$A36,T_TTAFStock_Log[WeekIndex],44)=0,"",SUMIFS(T_TTAFStock_Log[TTAF_Qty],T_TTAFStock_Log[Part Name],$A36,T_TTAFStock_Log[WeekIndex],44))</f>
        <v/>
      </c>
      <c r="AT36" s="17">
        <f>IF(COUNTIFS(T_TTAFStock_Log[Part Name],$A36,T_TTAFStock_Log[WeekIndex],45)=0,"",SUMIFS(T_TTAFStock_Log[TTAF_Qty],T_TTAFStock_Log[Part Name],$A36,T_TTAFStock_Log[WeekIndex],45))</f>
        <v/>
      </c>
      <c r="AU36" s="17">
        <f>IF(COUNTIFS(T_TTAFStock_Log[Part Name],$A36,T_TTAFStock_Log[WeekIndex],46)=0,"",SUMIFS(T_TTAFStock_Log[TTAF_Qty],T_TTAFStock_Log[Part Name],$A36,T_TTAFStock_Log[WeekIndex],46))</f>
        <v/>
      </c>
      <c r="AV36" s="17">
        <f>IF(COUNTIFS(T_TTAFStock_Log[Part Name],$A36,T_TTAFStock_Log[WeekIndex],47)=0,"",SUMIFS(T_TTAFStock_Log[TTAF_Qty],T_TTAFStock_Log[Part Name],$A36,T_TTAFStock_Log[WeekIndex],47))</f>
        <v/>
      </c>
      <c r="AW36" s="17">
        <f>IF(COUNTIFS(T_TTAFStock_Log[Part Name],$A36,T_TTAFStock_Log[WeekIndex],48)=0,"",SUMIFS(T_TTAFStock_Log[TTAF_Qty],T_TTAFStock_Log[Part Name],$A36,T_TTAFStock_Log[WeekIndex],48))</f>
        <v/>
      </c>
      <c r="AX36" s="17">
        <f>IF(COUNTIFS(T_TTAFStock_Log[Part Name],$A36,T_TTAFStock_Log[WeekIndex],49)=0,"",SUMIFS(T_TTAFStock_Log[TTAF_Qty],T_TTAFStock_Log[Part Name],$A36,T_TTAFStock_Log[WeekIndex],49))</f>
        <v/>
      </c>
      <c r="AY36" s="17">
        <f>IF(COUNTIFS(T_TTAFStock_Log[Part Name],$A36,T_TTAFStock_Log[WeekIndex],50)=0,"",SUMIFS(T_TTAFStock_Log[TTAF_Qty],T_TTAFStock_Log[Part Name],$A36,T_TTAFStock_Log[WeekIndex],50))</f>
        <v/>
      </c>
      <c r="AZ36" s="17">
        <f>IF(COUNTIFS(T_TTAFStock_Log[Part Name],$A36,T_TTAFStock_Log[WeekIndex],51)=0,"",SUMIFS(T_TTAFStock_Log[TTAF_Qty],T_TTAFStock_Log[Part Name],$A36,T_TTAFStock_Log[WeekIndex],51))</f>
        <v/>
      </c>
      <c r="BA36" s="17">
        <f>IF(COUNTIFS(T_TTAFStock_Log[Part Name],$A36,T_TTAFStock_Log[WeekIndex],52)=0,"",SUMIFS(T_TTAFStock_Log[TTAF_Qty],T_TTAFStock_Log[Part Name],$A36,T_TTAFStock_Log[WeekIndex],52))</f>
        <v/>
      </c>
      <c r="BB36" s="17">
        <f>IF(COUNTIFS(T_TTAFStock_Log[Part Name],$A36,T_TTAFStock_Log[WeekIndex],53)=0,"",SUMIFS(T_TTAFStock_Log[TTAF_Qty],T_TTAFStock_Log[Part Name],$A36,T_TTAFStock_Log[WeekIndex],53))</f>
        <v/>
      </c>
      <c r="BC36" s="17">
        <f>IF(COUNTIFS(T_TTAFStock_Log[Part Name],$A36,T_TTAFStock_Log[WeekIndex],54)=0,"",SUMIFS(T_TTAFStock_Log[TTAF_Qty],T_TTAFStock_Log[Part Name],$A36,T_TTAFStock_Log[WeekIndex],54))</f>
        <v/>
      </c>
      <c r="BD36" s="17">
        <f>IF(COUNTIFS(T_TTAFStock_Log[Part Name],$A36,T_TTAFStock_Log[WeekIndex],55)=0,"",SUMIFS(T_TTAFStock_Log[TTAF_Qty],T_TTAFStock_Log[Part Name],$A36,T_TTAFStock_Log[WeekIndex],55))</f>
        <v/>
      </c>
      <c r="BE36" s="17">
        <f>IF(COUNTIFS(T_TTAFStock_Log[Part Name],$A36,T_TTAFStock_Log[WeekIndex],56)=0,"",SUMIFS(T_TTAFStock_Log[TTAF_Qty],T_TTAFStock_Log[Part Name],$A36,T_TTAFStock_Log[WeekIndex],56))</f>
        <v/>
      </c>
      <c r="BF36" s="17">
        <f>IF(COUNTIFS(T_TTAFStock_Log[Part Name],$A36,T_TTAFStock_Log[WeekIndex],57)=0,"",SUMIFS(T_TTAFStock_Log[TTAF_Qty],T_TTAFStock_Log[Part Name],$A36,T_TTAFStock_Log[WeekIndex],57))</f>
        <v/>
      </c>
      <c r="BG36" s="17">
        <f>IF(COUNTIFS(T_TTAFStock_Log[Part Name],$A36,T_TTAFStock_Log[WeekIndex],58)=0,"",SUMIFS(T_TTAFStock_Log[TTAF_Qty],T_TTAFStock_Log[Part Name],$A36,T_TTAFStock_Log[WeekIndex],58))</f>
        <v/>
      </c>
      <c r="BH36" s="17">
        <f>IF(COUNTIFS(T_TTAFStock_Log[Part Name],$A36,T_TTAFStock_Log[WeekIndex],59)=0,"",SUMIFS(T_TTAFStock_Log[TTAF_Qty],T_TTAFStock_Log[Part Name],$A36,T_TTAFStock_Log[WeekIndex],59))</f>
        <v/>
      </c>
      <c r="BI36" s="17">
        <f>IF(COUNTIFS(T_TTAFStock_Log[Part Name],$A36,T_TTAFStock_Log[WeekIndex],60)=0,"",SUMIFS(T_TTAFStock_Log[TTAF_Qty],T_TTAFStock_Log[Part Name],$A36,T_TTAFStock_Log[WeekIndex],60))</f>
        <v/>
      </c>
      <c r="BJ36" s="17">
        <f>IF(COUNTIFS(T_TTAFStock_Log[Part Name],$A36,T_TTAFStock_Log[WeekIndex],61)=0,"",SUMIFS(T_TTAFStock_Log[TTAF_Qty],T_TTAFStock_Log[Part Name],$A36,T_TTAFStock_Log[WeekIndex],61))</f>
        <v/>
      </c>
      <c r="BK36" s="17">
        <f>IF(COUNTIFS(T_TTAFStock_Log[Part Name],$A36,T_TTAFStock_Log[WeekIndex],62)=0,"",SUMIFS(T_TTAFStock_Log[TTAF_Qty],T_TTAFStock_Log[Part Name],$A36,T_TTAFStock_Log[WeekIndex],62))</f>
        <v/>
      </c>
      <c r="BL36" s="17">
        <f>IF(COUNTIFS(T_TTAFStock_Log[Part Name],$A36,T_TTAFStock_Log[WeekIndex],63)=0,"",SUMIFS(T_TTAFStock_Log[TTAF_Qty],T_TTAFStock_Log[Part Name],$A36,T_TTAFStock_Log[WeekIndex],63))</f>
        <v/>
      </c>
      <c r="BM36" s="17">
        <f>IF(COUNTIFS(T_TTAFStock_Log[Part Name],$A36,T_TTAFStock_Log[WeekIndex],64)=0,"",SUMIFS(T_TTAFStock_Log[TTAF_Qty],T_TTAFStock_Log[Part Name],$A36,T_TTAFStock_Log[WeekIndex],64))</f>
        <v/>
      </c>
      <c r="BN36" s="17">
        <f>IF(COUNTIFS(T_TTAFStock_Log[Part Name],$A36,T_TTAFStock_Log[WeekIndex],65)=0,"",SUMIFS(T_TTAFStock_Log[TTAF_Qty],T_TTAFStock_Log[Part Name],$A36,T_TTAFStock_Log[WeekIndex],65))</f>
        <v/>
      </c>
      <c r="BO36" s="17">
        <f>IF(COUNTIFS(T_TTAFStock_Log[Part Name],$A36,T_TTAFStock_Log[WeekIndex],66)=0,"",SUMIFS(T_TTAFStock_Log[TTAF_Qty],T_TTAFStock_Log[Part Name],$A36,T_TTAFStock_Log[WeekIndex],66))</f>
        <v/>
      </c>
      <c r="BP36" s="17">
        <f>IF(COUNTIFS(T_TTAFStock_Log[Part Name],$A36,T_TTAFStock_Log[WeekIndex],67)=0,"",SUMIFS(T_TTAFStock_Log[TTAF_Qty],T_TTAFStock_Log[Part Name],$A36,T_TTAFStock_Log[WeekIndex],67))</f>
        <v/>
      </c>
      <c r="BQ36" s="17">
        <f>IF(COUNTIFS(T_TTAFStock_Log[Part Name],$A36,T_TTAFStock_Log[WeekIndex],68)=0,"",SUMIFS(T_TTAFStock_Log[TTAF_Qty],T_TTAFStock_Log[Part Name],$A36,T_TTAFStock_Log[WeekIndex],68))</f>
        <v/>
      </c>
      <c r="BR36" s="17">
        <f>IF(COUNTIFS(T_TTAFStock_Log[Part Name],$A36,T_TTAFStock_Log[WeekIndex],69)=0,"",SUMIFS(T_TTAFStock_Log[TTAF_Qty],T_TTAFStock_Log[Part Name],$A36,T_TTAFStock_Log[WeekIndex],69))</f>
        <v/>
      </c>
      <c r="BS36" s="17">
        <f>IF(COUNTIFS(T_TTAFStock_Log[Part Name],$A36,T_TTAFStock_Log[WeekIndex],70)=0,"",SUMIFS(T_TTAFStock_Log[TTAF_Qty],T_TTAFStock_Log[Part Name],$A36,T_TTAFStock_Log[WeekIndex],70))</f>
        <v/>
      </c>
      <c r="BT36" s="17">
        <f>IF(COUNTIFS(T_TTAFStock_Log[Part Name],$A36,T_TTAFStock_Log[WeekIndex],71)=0,"",SUMIFS(T_TTAFStock_Log[TTAF_Qty],T_TTAFStock_Log[Part Name],$A36,T_TTAFStock_Log[WeekIndex],71))</f>
        <v/>
      </c>
      <c r="BU36" s="17">
        <f>IF(COUNTIFS(T_TTAFStock_Log[Part Name],$A36,T_TTAFStock_Log[WeekIndex],72)=0,"",SUMIFS(T_TTAFStock_Log[TTAF_Qty],T_TTAFStock_Log[Part Name],$A36,T_TTAFStock_Log[WeekIndex],72))</f>
        <v/>
      </c>
      <c r="BV36" s="17">
        <f>IF(COUNTIFS(T_TTAFStock_Log[Part Name],$A36,T_TTAFStock_Log[WeekIndex],73)=0,"",SUMIFS(T_TTAFStock_Log[TTAF_Qty],T_TTAFStock_Log[Part Name],$A36,T_TTAFStock_Log[WeekIndex],73))</f>
        <v/>
      </c>
      <c r="BW36" s="17">
        <f>IF(COUNTIFS(T_TTAFStock_Log[Part Name],$A36,T_TTAFStock_Log[WeekIndex],74)=0,"",SUMIFS(T_TTAFStock_Log[TTAF_Qty],T_TTAFStock_Log[Part Name],$A36,T_TTAFStock_Log[WeekIndex],74))</f>
        <v/>
      </c>
      <c r="BX36" s="17">
        <f>IF(COUNTIFS(T_TTAFStock_Log[Part Name],$A36,T_TTAFStock_Log[WeekIndex],75)=0,"",SUMIFS(T_TTAFStock_Log[TTAF_Qty],T_TTAFStock_Log[Part Name],$A36,T_TTAFStock_Log[WeekIndex],75))</f>
        <v/>
      </c>
      <c r="BY36" s="17">
        <f>IF(COUNTIFS(T_TTAFStock_Log[Part Name],$A36,T_TTAFStock_Log[WeekIndex],76)=0,"",SUMIFS(T_TTAFStock_Log[TTAF_Qty],T_TTAFStock_Log[Part Name],$A36,T_TTAFStock_Log[WeekIndex],76))</f>
        <v/>
      </c>
      <c r="BZ36" s="17">
        <f>IF(COUNTIFS(T_TTAFStock_Log[Part Name],$A36,T_TTAFStock_Log[WeekIndex],77)=0,"",SUMIFS(T_TTAFStock_Log[TTAF_Qty],T_TTAFStock_Log[Part Name],$A36,T_TTAFStock_Log[WeekIndex],77))</f>
        <v/>
      </c>
      <c r="CA36" s="17">
        <f>IF(COUNTIFS(T_TTAFStock_Log[Part Name],$A36,T_TTAFStock_Log[WeekIndex],78)=0,"",SUMIFS(T_TTAFStock_Log[TTAF_Qty],T_TTAFStock_Log[Part Name],$A36,T_TTAFStock_Log[WeekIndex],78))</f>
        <v/>
      </c>
      <c r="CB36" s="17">
        <f>IF(COUNTIFS(T_TTAFStock_Log[Part Name],$A36,T_TTAFStock_Log[WeekIndex],79)=0,"",SUMIFS(T_TTAFStock_Log[TTAF_Qty],T_TTAFStock_Log[Part Name],$A36,T_TTAFStock_Log[WeekIndex],79))</f>
        <v/>
      </c>
      <c r="CC36" s="17">
        <f>IF(COUNTIFS(T_TTAFStock_Log[Part Name],$A36,T_TTAFStock_Log[WeekIndex],80)=0,"",SUMIFS(T_TTAFStock_Log[TTAF_Qty],T_TTAFStock_Log[Part Name],$A36,T_TTAFStock_Log[WeekIndex],80))</f>
        <v/>
      </c>
      <c r="CD36" s="17">
        <f>IF(COUNTIFS(T_TTAFStock_Log[Part Name],$A36,T_TTAFStock_Log[WeekIndex],81)=0,"",SUMIFS(T_TTAFStock_Log[TTAF_Qty],T_TTAFStock_Log[Part Name],$A36,T_TTAFStock_Log[WeekIndex],81))</f>
        <v/>
      </c>
      <c r="CE36" s="17">
        <f>IF(COUNTIFS(T_TTAFStock_Log[Part Name],$A36,T_TTAFStock_Log[WeekIndex],82)=0,"",SUMIFS(T_TTAFStock_Log[TTAF_Qty],T_TTAFStock_Log[Part Name],$A36,T_TTAFStock_Log[WeekIndex],82))</f>
        <v/>
      </c>
      <c r="CF36" s="17">
        <f>IF(COUNTIFS(T_TTAFStock_Log[Part Name],$A36,T_TTAFStock_Log[WeekIndex],83)=0,"",SUMIFS(T_TTAFStock_Log[TTAF_Qty],T_TTAFStock_Log[Part Name],$A36,T_TTAFStock_Log[WeekIndex],83))</f>
        <v/>
      </c>
      <c r="CG36" s="17">
        <f>IF(COUNTIFS(T_TTAFStock_Log[Part Name],$A36,T_TTAFStock_Log[WeekIndex],84)=0,"",SUMIFS(T_TTAFStock_Log[TTAF_Qty],T_TTAFStock_Log[Part Name],$A36,T_TTAFStock_Log[WeekIndex],84))</f>
        <v/>
      </c>
      <c r="CH36" s="17">
        <f>IF(COUNTIFS(T_TTAFStock_Log[Part Name],$A36,T_TTAFStock_Log[WeekIndex],85)=0,"",SUMIFS(T_TTAFStock_Log[TTAF_Qty],T_TTAFStock_Log[Part Name],$A36,T_TTAFStock_Log[WeekIndex],85))</f>
        <v/>
      </c>
      <c r="CI36" s="17">
        <f>IF(COUNTIFS(T_TTAFStock_Log[Part Name],$A36,T_TTAFStock_Log[WeekIndex],86)=0,"",SUMIFS(T_TTAFStock_Log[TTAF_Qty],T_TTAFStock_Log[Part Name],$A36,T_TTAFStock_Log[WeekIndex],86))</f>
        <v/>
      </c>
      <c r="CJ36" s="17">
        <f>IF(COUNTIFS(T_TTAFStock_Log[Part Name],$A36,T_TTAFStock_Log[WeekIndex],87)=0,"",SUMIFS(T_TTAFStock_Log[TTAF_Qty],T_TTAFStock_Log[Part Name],$A36,T_TTAFStock_Log[WeekIndex],87))</f>
        <v/>
      </c>
      <c r="CK36" s="17">
        <f>IF(COUNTIFS(T_TTAFStock_Log[Part Name],$A36,T_TTAFStock_Log[WeekIndex],88)=0,"",SUMIFS(T_TTAFStock_Log[TTAF_Qty],T_TTAFStock_Log[Part Name],$A36,T_TTAFStock_Log[WeekIndex],88))</f>
        <v/>
      </c>
      <c r="CL36" s="17">
        <f>IF(COUNTIFS(T_TTAFStock_Log[Part Name],$A36,T_TTAFStock_Log[WeekIndex],89)=0,"",SUMIFS(T_TTAFStock_Log[TTAF_Qty],T_TTAFStock_Log[Part Name],$A36,T_TTAFStock_Log[WeekIndex],89))</f>
        <v/>
      </c>
      <c r="CM36" s="17">
        <f>IF(COUNTIFS(T_TTAFStock_Log[Part Name],$A36,T_TTAFStock_Log[WeekIndex],90)=0,"",SUMIFS(T_TTAFStock_Log[TTAF_Qty],T_TTAFStock_Log[Part Name],$A36,T_TTAFStock_Log[WeekIndex],90))</f>
        <v/>
      </c>
      <c r="CN36" s="17">
        <f>IF(COUNTIFS(T_TTAFStock_Log[Part Name],$A36,T_TTAFStock_Log[WeekIndex],91)=0,"",SUMIFS(T_TTAFStock_Log[TTAF_Qty],T_TTAFStock_Log[Part Name],$A36,T_TTAFStock_Log[WeekIndex],91))</f>
        <v/>
      </c>
      <c r="CO36" s="17">
        <f>IF(COUNTIFS(T_TTAFStock_Log[Part Name],$A36,T_TTAFStock_Log[WeekIndex],92)=0,"",SUMIFS(T_TTAFStock_Log[TTAF_Qty],T_TTAFStock_Log[Part Name],$A36,T_TTAFStock_Log[WeekIndex],92))</f>
        <v/>
      </c>
      <c r="CP36" s="17">
        <f>IF(COUNTIFS(T_TTAFStock_Log[Part Name],$A36,T_TTAFStock_Log[WeekIndex],93)=0,"",SUMIFS(T_TTAFStock_Log[TTAF_Qty],T_TTAFStock_Log[Part Name],$A36,T_TTAFStock_Log[WeekIndex],93))</f>
        <v/>
      </c>
      <c r="CQ36" s="17">
        <f>IF(COUNTIFS(T_TTAFStock_Log[Part Name],$A36,T_TTAFStock_Log[WeekIndex],94)=0,"",SUMIFS(T_TTAFStock_Log[TTAF_Qty],T_TTAFStock_Log[Part Name],$A36,T_TTAFStock_Log[WeekIndex],94))</f>
        <v/>
      </c>
      <c r="CR36" s="17">
        <f>IF(COUNTIFS(T_TTAFStock_Log[Part Name],$A36,T_TTAFStock_Log[WeekIndex],95)=0,"",SUMIFS(T_TTAFStock_Log[TTAF_Qty],T_TTAFStock_Log[Part Name],$A36,T_TTAFStock_Log[WeekIndex],95))</f>
        <v/>
      </c>
      <c r="CS36" s="17">
        <f>IF(COUNTIFS(T_TTAFStock_Log[Part Name],$A36,T_TTAFStock_Log[WeekIndex],96)=0,"",SUMIFS(T_TTAFStock_Log[TTAF_Qty],T_TTAFStock_Log[Part Name],$A36,T_TTAFStock_Log[WeekIndex],96))</f>
        <v/>
      </c>
      <c r="CT36" s="17">
        <f>IF(COUNTIFS(T_TTAFStock_Log[Part Name],$A36,T_TTAFStock_Log[WeekIndex],97)=0,"",SUMIFS(T_TTAFStock_Log[TTAF_Qty],T_TTAFStock_Log[Part Name],$A36,T_TTAFStock_Log[WeekIndex],97))</f>
        <v/>
      </c>
      <c r="CU36" s="17">
        <f>IF(COUNTIFS(T_TTAFStock_Log[Part Name],$A36,T_TTAFStock_Log[WeekIndex],98)=0,"",SUMIFS(T_TTAFStock_Log[TTAF_Qty],T_TTAFStock_Log[Part Name],$A36,T_TTAFStock_Log[WeekIndex],98))</f>
        <v/>
      </c>
      <c r="CV36" s="17">
        <f>IF(COUNTIFS(T_TTAFStock_Log[Part Name],$A36,T_TTAFStock_Log[WeekIndex],99)=0,"",SUMIFS(T_TTAFStock_Log[TTAF_Qty],T_TTAFStock_Log[Part Name],$A36,T_TTAFStock_Log[WeekIndex],99))</f>
        <v/>
      </c>
      <c r="CW36" s="17">
        <f>IF(COUNTIFS(T_TTAFStock_Log[Part Name],$A36,T_TTAFStock_Log[WeekIndex],100)=0,"",SUMIFS(T_TTAFStock_Log[TTAF_Qty],T_TTAFStock_Log[Part Name],$A36,T_TTAFStock_Log[WeekIndex],100))</f>
        <v/>
      </c>
      <c r="CX36" s="17">
        <f>IF(COUNTIFS(T_TTAFStock_Log[Part Name],$A36,T_TTAFStock_Log[WeekIndex],101)=0,"",SUMIFS(T_TTAFStock_Log[TTAF_Qty],T_TTAFStock_Log[Part Name],$A36,T_TTAFStock_Log[WeekIndex],101))</f>
        <v/>
      </c>
      <c r="CY36" s="17">
        <f>IF(COUNTIFS(T_TTAFStock_Log[Part Name],$A36,T_TTAFStock_Log[WeekIndex],102)=0,"",SUMIFS(T_TTAFStock_Log[TTAF_Qty],T_TTAFStock_Log[Part Name],$A36,T_TTAFStock_Log[WeekIndex],102))</f>
        <v/>
      </c>
      <c r="CZ36" s="17">
        <f>IF(COUNTIFS(T_TTAFStock_Log[Part Name],$A36,T_TTAFStock_Log[WeekIndex],103)=0,"",SUMIFS(T_TTAFStock_Log[TTAF_Qty],T_TTAFStock_Log[Part Name],$A36,T_TTAFStock_Log[WeekIndex],103))</f>
        <v/>
      </c>
      <c r="DA36" s="17">
        <f>IF(COUNTIFS(T_TTAFStock_Log[Part Name],$A36,T_TTAFStock_Log[WeekIndex],104)=0,"",SUMIFS(T_TTAFStock_Log[TTAF_Qty],T_TTAFStock_Log[Part Name],$A36,T_TTAFStock_Log[WeekIndex],104))</f>
        <v/>
      </c>
    </row>
    <row r="37">
      <c r="A37" s="19" t="inlineStr">
        <is>
          <t>CHEM-1400</t>
        </is>
      </c>
      <c r="B37" s="19">
        <f>IF(COUNTIFS(T_TTAFStock_Log[Part Name],$A37,T_TTAFStock_Log[WeekIndex],1)=0,"",SUMIFS(T_TTAFStock_Log[TTAF_Qty],T_TTAFStock_Log[Part Name],$A37,T_TTAFStock_Log[WeekIndex],1))</f>
        <v/>
      </c>
      <c r="C37" s="19">
        <f>IF(COUNTIFS(T_TTAFStock_Log[Part Name],$A37,T_TTAFStock_Log[WeekIndex],2)=0,"",SUMIFS(T_TTAFStock_Log[TTAF_Qty],T_TTAFStock_Log[Part Name],$A37,T_TTAFStock_Log[WeekIndex],2))</f>
        <v/>
      </c>
      <c r="D37" s="19">
        <f>IF(COUNTIFS(T_TTAFStock_Log[Part Name],$A37,T_TTAFStock_Log[WeekIndex],3)=0,"",SUMIFS(T_TTAFStock_Log[TTAF_Qty],T_TTAFStock_Log[Part Name],$A37,T_TTAFStock_Log[WeekIndex],3))</f>
        <v/>
      </c>
      <c r="E37" s="19">
        <f>IF(COUNTIFS(T_TTAFStock_Log[Part Name],$A37,T_TTAFStock_Log[WeekIndex],4)=0,"",SUMIFS(T_TTAFStock_Log[TTAF_Qty],T_TTAFStock_Log[Part Name],$A37,T_TTAFStock_Log[WeekIndex],4))</f>
        <v/>
      </c>
      <c r="F37" s="19">
        <f>IF(COUNTIFS(T_TTAFStock_Log[Part Name],$A37,T_TTAFStock_Log[WeekIndex],5)=0,"",SUMIFS(T_TTAFStock_Log[TTAF_Qty],T_TTAFStock_Log[Part Name],$A37,T_TTAFStock_Log[WeekIndex],5))</f>
        <v/>
      </c>
      <c r="G37" s="19">
        <f>IF(COUNTIFS(T_TTAFStock_Log[Part Name],$A37,T_TTAFStock_Log[WeekIndex],6)=0,"",SUMIFS(T_TTAFStock_Log[TTAF_Qty],T_TTAFStock_Log[Part Name],$A37,T_TTAFStock_Log[WeekIndex],6))</f>
        <v/>
      </c>
      <c r="H37" s="19">
        <f>IF(COUNTIFS(T_TTAFStock_Log[Part Name],$A37,T_TTAFStock_Log[WeekIndex],7)=0,"",SUMIFS(T_TTAFStock_Log[TTAF_Qty],T_TTAFStock_Log[Part Name],$A37,T_TTAFStock_Log[WeekIndex],7))</f>
        <v/>
      </c>
      <c r="I37" s="19">
        <f>IF(COUNTIFS(T_TTAFStock_Log[Part Name],$A37,T_TTAFStock_Log[WeekIndex],8)=0,"",SUMIFS(T_TTAFStock_Log[TTAF_Qty],T_TTAFStock_Log[Part Name],$A37,T_TTAFStock_Log[WeekIndex],8))</f>
        <v/>
      </c>
      <c r="J37" s="19">
        <f>IF(COUNTIFS(T_TTAFStock_Log[Part Name],$A37,T_TTAFStock_Log[WeekIndex],9)=0,"",SUMIFS(T_TTAFStock_Log[TTAF_Qty],T_TTAFStock_Log[Part Name],$A37,T_TTAFStock_Log[WeekIndex],9))</f>
        <v/>
      </c>
      <c r="K37" s="19">
        <f>IF(COUNTIFS(T_TTAFStock_Log[Part Name],$A37,T_TTAFStock_Log[WeekIndex],10)=0,"",SUMIFS(T_TTAFStock_Log[TTAF_Qty],T_TTAFStock_Log[Part Name],$A37,T_TTAFStock_Log[WeekIndex],10))</f>
        <v/>
      </c>
      <c r="L37" s="19">
        <f>IF(COUNTIFS(T_TTAFStock_Log[Part Name],$A37,T_TTAFStock_Log[WeekIndex],11)=0,"",SUMIFS(T_TTAFStock_Log[TTAF_Qty],T_TTAFStock_Log[Part Name],$A37,T_TTAFStock_Log[WeekIndex],11))</f>
        <v/>
      </c>
      <c r="M37" s="19">
        <f>IF(COUNTIFS(T_TTAFStock_Log[Part Name],$A37,T_TTAFStock_Log[WeekIndex],12)=0,"",SUMIFS(T_TTAFStock_Log[TTAF_Qty],T_TTAFStock_Log[Part Name],$A37,T_TTAFStock_Log[WeekIndex],12))</f>
        <v/>
      </c>
      <c r="N37" s="19">
        <f>IF(COUNTIFS(T_TTAFStock_Log[Part Name],$A37,T_TTAFStock_Log[WeekIndex],13)=0,"",SUMIFS(T_TTAFStock_Log[TTAF_Qty],T_TTAFStock_Log[Part Name],$A37,T_TTAFStock_Log[WeekIndex],13))</f>
        <v/>
      </c>
      <c r="O37" s="19">
        <f>IF(COUNTIFS(T_TTAFStock_Log[Part Name],$A37,T_TTAFStock_Log[WeekIndex],14)=0,"",SUMIFS(T_TTAFStock_Log[TTAF_Qty],T_TTAFStock_Log[Part Name],$A37,T_TTAFStock_Log[WeekIndex],14))</f>
        <v/>
      </c>
      <c r="P37" s="19">
        <f>IF(COUNTIFS(T_TTAFStock_Log[Part Name],$A37,T_TTAFStock_Log[WeekIndex],15)=0,"",SUMIFS(T_TTAFStock_Log[TTAF_Qty],T_TTAFStock_Log[Part Name],$A37,T_TTAFStock_Log[WeekIndex],15))</f>
        <v/>
      </c>
      <c r="Q37" s="19">
        <f>IF(COUNTIFS(T_TTAFStock_Log[Part Name],$A37,T_TTAFStock_Log[WeekIndex],16)=0,"",SUMIFS(T_TTAFStock_Log[TTAF_Qty],T_TTAFStock_Log[Part Name],$A37,T_TTAFStock_Log[WeekIndex],16))</f>
        <v/>
      </c>
      <c r="R37" s="19">
        <f>IF(COUNTIFS(T_TTAFStock_Log[Part Name],$A37,T_TTAFStock_Log[WeekIndex],17)=0,"",SUMIFS(T_TTAFStock_Log[TTAF_Qty],T_TTAFStock_Log[Part Name],$A37,T_TTAFStock_Log[WeekIndex],17))</f>
        <v/>
      </c>
      <c r="S37" s="19">
        <f>IF(COUNTIFS(T_TTAFStock_Log[Part Name],$A37,T_TTAFStock_Log[WeekIndex],18)=0,"",SUMIFS(T_TTAFStock_Log[TTAF_Qty],T_TTAFStock_Log[Part Name],$A37,T_TTAFStock_Log[WeekIndex],18))</f>
        <v/>
      </c>
      <c r="T37" s="19">
        <f>IF(COUNTIFS(T_TTAFStock_Log[Part Name],$A37,T_TTAFStock_Log[WeekIndex],19)=0,"",SUMIFS(T_TTAFStock_Log[TTAF_Qty],T_TTAFStock_Log[Part Name],$A37,T_TTAFStock_Log[WeekIndex],19))</f>
        <v/>
      </c>
      <c r="U37" s="19">
        <f>IF(COUNTIFS(T_TTAFStock_Log[Part Name],$A37,T_TTAFStock_Log[WeekIndex],20)=0,"",SUMIFS(T_TTAFStock_Log[TTAF_Qty],T_TTAFStock_Log[Part Name],$A37,T_TTAFStock_Log[WeekIndex],20))</f>
        <v/>
      </c>
      <c r="V37" s="19">
        <f>IF(COUNTIFS(T_TTAFStock_Log[Part Name],$A37,T_TTAFStock_Log[WeekIndex],21)=0,"",SUMIFS(T_TTAFStock_Log[TTAF_Qty],T_TTAFStock_Log[Part Name],$A37,T_TTAFStock_Log[WeekIndex],21))</f>
        <v/>
      </c>
      <c r="W37" s="19">
        <f>IF(COUNTIFS(T_TTAFStock_Log[Part Name],$A37,T_TTAFStock_Log[WeekIndex],22)=0,"",SUMIFS(T_TTAFStock_Log[TTAF_Qty],T_TTAFStock_Log[Part Name],$A37,T_TTAFStock_Log[WeekIndex],22))</f>
        <v/>
      </c>
      <c r="X37" s="19">
        <f>IF(COUNTIFS(T_TTAFStock_Log[Part Name],$A37,T_TTAFStock_Log[WeekIndex],23)=0,"",SUMIFS(T_TTAFStock_Log[TTAF_Qty],T_TTAFStock_Log[Part Name],$A37,T_TTAFStock_Log[WeekIndex],23))</f>
        <v/>
      </c>
      <c r="Y37" s="19">
        <f>IF(COUNTIFS(T_TTAFStock_Log[Part Name],$A37,T_TTAFStock_Log[WeekIndex],24)=0,"",SUMIFS(T_TTAFStock_Log[TTAF_Qty],T_TTAFStock_Log[Part Name],$A37,T_TTAFStock_Log[WeekIndex],24))</f>
        <v/>
      </c>
      <c r="Z37" s="19">
        <f>IF(COUNTIFS(T_TTAFStock_Log[Part Name],$A37,T_TTAFStock_Log[WeekIndex],25)=0,"",SUMIFS(T_TTAFStock_Log[TTAF_Qty],T_TTAFStock_Log[Part Name],$A37,T_TTAFStock_Log[WeekIndex],25))</f>
        <v/>
      </c>
      <c r="AA37" s="19">
        <f>IF(COUNTIFS(T_TTAFStock_Log[Part Name],$A37,T_TTAFStock_Log[WeekIndex],26)=0,"",SUMIFS(T_TTAFStock_Log[TTAF_Qty],T_TTAFStock_Log[Part Name],$A37,T_TTAFStock_Log[WeekIndex],26))</f>
        <v/>
      </c>
      <c r="AB37" s="19">
        <f>IF(COUNTIFS(T_TTAFStock_Log[Part Name],$A37,T_TTAFStock_Log[WeekIndex],27)=0,"",SUMIFS(T_TTAFStock_Log[TTAF_Qty],T_TTAFStock_Log[Part Name],$A37,T_TTAFStock_Log[WeekIndex],27))</f>
        <v/>
      </c>
      <c r="AC37" s="19">
        <f>IF(COUNTIFS(T_TTAFStock_Log[Part Name],$A37,T_TTAFStock_Log[WeekIndex],28)=0,"",SUMIFS(T_TTAFStock_Log[TTAF_Qty],T_TTAFStock_Log[Part Name],$A37,T_TTAFStock_Log[WeekIndex],28))</f>
        <v/>
      </c>
      <c r="AD37" s="19">
        <f>IF(COUNTIFS(T_TTAFStock_Log[Part Name],$A37,T_TTAFStock_Log[WeekIndex],29)=0,"",SUMIFS(T_TTAFStock_Log[TTAF_Qty],T_TTAFStock_Log[Part Name],$A37,T_TTAFStock_Log[WeekIndex],29))</f>
        <v/>
      </c>
      <c r="AE37" s="19">
        <f>IF(COUNTIFS(T_TTAFStock_Log[Part Name],$A37,T_TTAFStock_Log[WeekIndex],30)=0,"",SUMIFS(T_TTAFStock_Log[TTAF_Qty],T_TTAFStock_Log[Part Name],$A37,T_TTAFStock_Log[WeekIndex],30))</f>
        <v/>
      </c>
      <c r="AF37" s="19">
        <f>IF(COUNTIFS(T_TTAFStock_Log[Part Name],$A37,T_TTAFStock_Log[WeekIndex],31)=0,"",SUMIFS(T_TTAFStock_Log[TTAF_Qty],T_TTAFStock_Log[Part Name],$A37,T_TTAFStock_Log[WeekIndex],31))</f>
        <v/>
      </c>
      <c r="AG37" s="19">
        <f>IF(COUNTIFS(T_TTAFStock_Log[Part Name],$A37,T_TTAFStock_Log[WeekIndex],32)=0,"",SUMIFS(T_TTAFStock_Log[TTAF_Qty],T_TTAFStock_Log[Part Name],$A37,T_TTAFStock_Log[WeekIndex],32))</f>
        <v/>
      </c>
      <c r="AH37" s="19">
        <f>IF(COUNTIFS(T_TTAFStock_Log[Part Name],$A37,T_TTAFStock_Log[WeekIndex],33)=0,"",SUMIFS(T_TTAFStock_Log[TTAF_Qty],T_TTAFStock_Log[Part Name],$A37,T_TTAFStock_Log[WeekIndex],33))</f>
        <v/>
      </c>
      <c r="AI37" s="19">
        <f>IF(COUNTIFS(T_TTAFStock_Log[Part Name],$A37,T_TTAFStock_Log[WeekIndex],34)=0,"",SUMIFS(T_TTAFStock_Log[TTAF_Qty],T_TTAFStock_Log[Part Name],$A37,T_TTAFStock_Log[WeekIndex],34))</f>
        <v/>
      </c>
      <c r="AJ37" s="19">
        <f>IF(COUNTIFS(T_TTAFStock_Log[Part Name],$A37,T_TTAFStock_Log[WeekIndex],35)=0,"",SUMIFS(T_TTAFStock_Log[TTAF_Qty],T_TTAFStock_Log[Part Name],$A37,T_TTAFStock_Log[WeekIndex],35))</f>
        <v/>
      </c>
      <c r="AK37" s="19">
        <f>IF(COUNTIFS(T_TTAFStock_Log[Part Name],$A37,T_TTAFStock_Log[WeekIndex],36)=0,"",SUMIFS(T_TTAFStock_Log[TTAF_Qty],T_TTAFStock_Log[Part Name],$A37,T_TTAFStock_Log[WeekIndex],36))</f>
        <v/>
      </c>
      <c r="AL37" s="19">
        <f>IF(COUNTIFS(T_TTAFStock_Log[Part Name],$A37,T_TTAFStock_Log[WeekIndex],37)=0,"",SUMIFS(T_TTAFStock_Log[TTAF_Qty],T_TTAFStock_Log[Part Name],$A37,T_TTAFStock_Log[WeekIndex],37))</f>
        <v/>
      </c>
      <c r="AM37" s="19">
        <f>IF(COUNTIFS(T_TTAFStock_Log[Part Name],$A37,T_TTAFStock_Log[WeekIndex],38)=0,"",SUMIFS(T_TTAFStock_Log[TTAF_Qty],T_TTAFStock_Log[Part Name],$A37,T_TTAFStock_Log[WeekIndex],38))</f>
        <v/>
      </c>
      <c r="AN37" s="19">
        <f>IF(COUNTIFS(T_TTAFStock_Log[Part Name],$A37,T_TTAFStock_Log[WeekIndex],39)=0,"",SUMIFS(T_TTAFStock_Log[TTAF_Qty],T_TTAFStock_Log[Part Name],$A37,T_TTAFStock_Log[WeekIndex],39))</f>
        <v/>
      </c>
      <c r="AO37" s="19">
        <f>IF(COUNTIFS(T_TTAFStock_Log[Part Name],$A37,T_TTAFStock_Log[WeekIndex],40)=0,"",SUMIFS(T_TTAFStock_Log[TTAF_Qty],T_TTAFStock_Log[Part Name],$A37,T_TTAFStock_Log[WeekIndex],40))</f>
        <v/>
      </c>
      <c r="AP37" s="19">
        <f>IF(COUNTIFS(T_TTAFStock_Log[Part Name],$A37,T_TTAFStock_Log[WeekIndex],41)=0,"",SUMIFS(T_TTAFStock_Log[TTAF_Qty],T_TTAFStock_Log[Part Name],$A37,T_TTAFStock_Log[WeekIndex],41))</f>
        <v/>
      </c>
      <c r="AQ37" s="19">
        <f>IF(COUNTIFS(T_TTAFStock_Log[Part Name],$A37,T_TTAFStock_Log[WeekIndex],42)=0,"",SUMIFS(T_TTAFStock_Log[TTAF_Qty],T_TTAFStock_Log[Part Name],$A37,T_TTAFStock_Log[WeekIndex],42))</f>
        <v/>
      </c>
      <c r="AR37" s="19">
        <f>IF(COUNTIFS(T_TTAFStock_Log[Part Name],$A37,T_TTAFStock_Log[WeekIndex],43)=0,"",SUMIFS(T_TTAFStock_Log[TTAF_Qty],T_TTAFStock_Log[Part Name],$A37,T_TTAFStock_Log[WeekIndex],43))</f>
        <v/>
      </c>
      <c r="AS37" s="19">
        <f>IF(COUNTIFS(T_TTAFStock_Log[Part Name],$A37,T_TTAFStock_Log[WeekIndex],44)=0,"",SUMIFS(T_TTAFStock_Log[TTAF_Qty],T_TTAFStock_Log[Part Name],$A37,T_TTAFStock_Log[WeekIndex],44))</f>
        <v/>
      </c>
      <c r="AT37" s="19">
        <f>IF(COUNTIFS(T_TTAFStock_Log[Part Name],$A37,T_TTAFStock_Log[WeekIndex],45)=0,"",SUMIFS(T_TTAFStock_Log[TTAF_Qty],T_TTAFStock_Log[Part Name],$A37,T_TTAFStock_Log[WeekIndex],45))</f>
        <v/>
      </c>
      <c r="AU37" s="19">
        <f>IF(COUNTIFS(T_TTAFStock_Log[Part Name],$A37,T_TTAFStock_Log[WeekIndex],46)=0,"",SUMIFS(T_TTAFStock_Log[TTAF_Qty],T_TTAFStock_Log[Part Name],$A37,T_TTAFStock_Log[WeekIndex],46))</f>
        <v/>
      </c>
      <c r="AV37" s="19">
        <f>IF(COUNTIFS(T_TTAFStock_Log[Part Name],$A37,T_TTAFStock_Log[WeekIndex],47)=0,"",SUMIFS(T_TTAFStock_Log[TTAF_Qty],T_TTAFStock_Log[Part Name],$A37,T_TTAFStock_Log[WeekIndex],47))</f>
        <v/>
      </c>
      <c r="AW37" s="19">
        <f>IF(COUNTIFS(T_TTAFStock_Log[Part Name],$A37,T_TTAFStock_Log[WeekIndex],48)=0,"",SUMIFS(T_TTAFStock_Log[TTAF_Qty],T_TTAFStock_Log[Part Name],$A37,T_TTAFStock_Log[WeekIndex],48))</f>
        <v/>
      </c>
      <c r="AX37" s="19">
        <f>IF(COUNTIFS(T_TTAFStock_Log[Part Name],$A37,T_TTAFStock_Log[WeekIndex],49)=0,"",SUMIFS(T_TTAFStock_Log[TTAF_Qty],T_TTAFStock_Log[Part Name],$A37,T_TTAFStock_Log[WeekIndex],49))</f>
        <v/>
      </c>
      <c r="AY37" s="19">
        <f>IF(COUNTIFS(T_TTAFStock_Log[Part Name],$A37,T_TTAFStock_Log[WeekIndex],50)=0,"",SUMIFS(T_TTAFStock_Log[TTAF_Qty],T_TTAFStock_Log[Part Name],$A37,T_TTAFStock_Log[WeekIndex],50))</f>
        <v/>
      </c>
      <c r="AZ37" s="19">
        <f>IF(COUNTIFS(T_TTAFStock_Log[Part Name],$A37,T_TTAFStock_Log[WeekIndex],51)=0,"",SUMIFS(T_TTAFStock_Log[TTAF_Qty],T_TTAFStock_Log[Part Name],$A37,T_TTAFStock_Log[WeekIndex],51))</f>
        <v/>
      </c>
      <c r="BA37" s="19">
        <f>IF(COUNTIFS(T_TTAFStock_Log[Part Name],$A37,T_TTAFStock_Log[WeekIndex],52)=0,"",SUMIFS(T_TTAFStock_Log[TTAF_Qty],T_TTAFStock_Log[Part Name],$A37,T_TTAFStock_Log[WeekIndex],52))</f>
        <v/>
      </c>
      <c r="BB37" s="19">
        <f>IF(COUNTIFS(T_TTAFStock_Log[Part Name],$A37,T_TTAFStock_Log[WeekIndex],53)=0,"",SUMIFS(T_TTAFStock_Log[TTAF_Qty],T_TTAFStock_Log[Part Name],$A37,T_TTAFStock_Log[WeekIndex],53))</f>
        <v/>
      </c>
      <c r="BC37" s="19">
        <f>IF(COUNTIFS(T_TTAFStock_Log[Part Name],$A37,T_TTAFStock_Log[WeekIndex],54)=0,"",SUMIFS(T_TTAFStock_Log[TTAF_Qty],T_TTAFStock_Log[Part Name],$A37,T_TTAFStock_Log[WeekIndex],54))</f>
        <v/>
      </c>
      <c r="BD37" s="19">
        <f>IF(COUNTIFS(T_TTAFStock_Log[Part Name],$A37,T_TTAFStock_Log[WeekIndex],55)=0,"",SUMIFS(T_TTAFStock_Log[TTAF_Qty],T_TTAFStock_Log[Part Name],$A37,T_TTAFStock_Log[WeekIndex],55))</f>
        <v/>
      </c>
      <c r="BE37" s="19">
        <f>IF(COUNTIFS(T_TTAFStock_Log[Part Name],$A37,T_TTAFStock_Log[WeekIndex],56)=0,"",SUMIFS(T_TTAFStock_Log[TTAF_Qty],T_TTAFStock_Log[Part Name],$A37,T_TTAFStock_Log[WeekIndex],56))</f>
        <v/>
      </c>
      <c r="BF37" s="19">
        <f>IF(COUNTIFS(T_TTAFStock_Log[Part Name],$A37,T_TTAFStock_Log[WeekIndex],57)=0,"",SUMIFS(T_TTAFStock_Log[TTAF_Qty],T_TTAFStock_Log[Part Name],$A37,T_TTAFStock_Log[WeekIndex],57))</f>
        <v/>
      </c>
      <c r="BG37" s="19">
        <f>IF(COUNTIFS(T_TTAFStock_Log[Part Name],$A37,T_TTAFStock_Log[WeekIndex],58)=0,"",SUMIFS(T_TTAFStock_Log[TTAF_Qty],T_TTAFStock_Log[Part Name],$A37,T_TTAFStock_Log[WeekIndex],58))</f>
        <v/>
      </c>
      <c r="BH37" s="19">
        <f>IF(COUNTIFS(T_TTAFStock_Log[Part Name],$A37,T_TTAFStock_Log[WeekIndex],59)=0,"",SUMIFS(T_TTAFStock_Log[TTAF_Qty],T_TTAFStock_Log[Part Name],$A37,T_TTAFStock_Log[WeekIndex],59))</f>
        <v/>
      </c>
      <c r="BI37" s="19">
        <f>IF(COUNTIFS(T_TTAFStock_Log[Part Name],$A37,T_TTAFStock_Log[WeekIndex],60)=0,"",SUMIFS(T_TTAFStock_Log[TTAF_Qty],T_TTAFStock_Log[Part Name],$A37,T_TTAFStock_Log[WeekIndex],60))</f>
        <v/>
      </c>
      <c r="BJ37" s="19">
        <f>IF(COUNTIFS(T_TTAFStock_Log[Part Name],$A37,T_TTAFStock_Log[WeekIndex],61)=0,"",SUMIFS(T_TTAFStock_Log[TTAF_Qty],T_TTAFStock_Log[Part Name],$A37,T_TTAFStock_Log[WeekIndex],61))</f>
        <v/>
      </c>
      <c r="BK37" s="19">
        <f>IF(COUNTIFS(T_TTAFStock_Log[Part Name],$A37,T_TTAFStock_Log[WeekIndex],62)=0,"",SUMIFS(T_TTAFStock_Log[TTAF_Qty],T_TTAFStock_Log[Part Name],$A37,T_TTAFStock_Log[WeekIndex],62))</f>
        <v/>
      </c>
      <c r="BL37" s="19">
        <f>IF(COUNTIFS(T_TTAFStock_Log[Part Name],$A37,T_TTAFStock_Log[WeekIndex],63)=0,"",SUMIFS(T_TTAFStock_Log[TTAF_Qty],T_TTAFStock_Log[Part Name],$A37,T_TTAFStock_Log[WeekIndex],63))</f>
        <v/>
      </c>
      <c r="BM37" s="19">
        <f>IF(COUNTIFS(T_TTAFStock_Log[Part Name],$A37,T_TTAFStock_Log[WeekIndex],64)=0,"",SUMIFS(T_TTAFStock_Log[TTAF_Qty],T_TTAFStock_Log[Part Name],$A37,T_TTAFStock_Log[WeekIndex],64))</f>
        <v/>
      </c>
      <c r="BN37" s="19">
        <f>IF(COUNTIFS(T_TTAFStock_Log[Part Name],$A37,T_TTAFStock_Log[WeekIndex],65)=0,"",SUMIFS(T_TTAFStock_Log[TTAF_Qty],T_TTAFStock_Log[Part Name],$A37,T_TTAFStock_Log[WeekIndex],65))</f>
        <v/>
      </c>
      <c r="BO37" s="19">
        <f>IF(COUNTIFS(T_TTAFStock_Log[Part Name],$A37,T_TTAFStock_Log[WeekIndex],66)=0,"",SUMIFS(T_TTAFStock_Log[TTAF_Qty],T_TTAFStock_Log[Part Name],$A37,T_TTAFStock_Log[WeekIndex],66))</f>
        <v/>
      </c>
      <c r="BP37" s="19">
        <f>IF(COUNTIFS(T_TTAFStock_Log[Part Name],$A37,T_TTAFStock_Log[WeekIndex],67)=0,"",SUMIFS(T_TTAFStock_Log[TTAF_Qty],T_TTAFStock_Log[Part Name],$A37,T_TTAFStock_Log[WeekIndex],67))</f>
        <v/>
      </c>
      <c r="BQ37" s="19">
        <f>IF(COUNTIFS(T_TTAFStock_Log[Part Name],$A37,T_TTAFStock_Log[WeekIndex],68)=0,"",SUMIFS(T_TTAFStock_Log[TTAF_Qty],T_TTAFStock_Log[Part Name],$A37,T_TTAFStock_Log[WeekIndex],68))</f>
        <v/>
      </c>
      <c r="BR37" s="19">
        <f>IF(COUNTIFS(T_TTAFStock_Log[Part Name],$A37,T_TTAFStock_Log[WeekIndex],69)=0,"",SUMIFS(T_TTAFStock_Log[TTAF_Qty],T_TTAFStock_Log[Part Name],$A37,T_TTAFStock_Log[WeekIndex],69))</f>
        <v/>
      </c>
      <c r="BS37" s="19">
        <f>IF(COUNTIFS(T_TTAFStock_Log[Part Name],$A37,T_TTAFStock_Log[WeekIndex],70)=0,"",SUMIFS(T_TTAFStock_Log[TTAF_Qty],T_TTAFStock_Log[Part Name],$A37,T_TTAFStock_Log[WeekIndex],70))</f>
        <v/>
      </c>
      <c r="BT37" s="19">
        <f>IF(COUNTIFS(T_TTAFStock_Log[Part Name],$A37,T_TTAFStock_Log[WeekIndex],71)=0,"",SUMIFS(T_TTAFStock_Log[TTAF_Qty],T_TTAFStock_Log[Part Name],$A37,T_TTAFStock_Log[WeekIndex],71))</f>
        <v/>
      </c>
      <c r="BU37" s="19">
        <f>IF(COUNTIFS(T_TTAFStock_Log[Part Name],$A37,T_TTAFStock_Log[WeekIndex],72)=0,"",SUMIFS(T_TTAFStock_Log[TTAF_Qty],T_TTAFStock_Log[Part Name],$A37,T_TTAFStock_Log[WeekIndex],72))</f>
        <v/>
      </c>
      <c r="BV37" s="19">
        <f>IF(COUNTIFS(T_TTAFStock_Log[Part Name],$A37,T_TTAFStock_Log[WeekIndex],73)=0,"",SUMIFS(T_TTAFStock_Log[TTAF_Qty],T_TTAFStock_Log[Part Name],$A37,T_TTAFStock_Log[WeekIndex],73))</f>
        <v/>
      </c>
      <c r="BW37" s="19">
        <f>IF(COUNTIFS(T_TTAFStock_Log[Part Name],$A37,T_TTAFStock_Log[WeekIndex],74)=0,"",SUMIFS(T_TTAFStock_Log[TTAF_Qty],T_TTAFStock_Log[Part Name],$A37,T_TTAFStock_Log[WeekIndex],74))</f>
        <v/>
      </c>
      <c r="BX37" s="19">
        <f>IF(COUNTIFS(T_TTAFStock_Log[Part Name],$A37,T_TTAFStock_Log[WeekIndex],75)=0,"",SUMIFS(T_TTAFStock_Log[TTAF_Qty],T_TTAFStock_Log[Part Name],$A37,T_TTAFStock_Log[WeekIndex],75))</f>
        <v/>
      </c>
      <c r="BY37" s="19">
        <f>IF(COUNTIFS(T_TTAFStock_Log[Part Name],$A37,T_TTAFStock_Log[WeekIndex],76)=0,"",SUMIFS(T_TTAFStock_Log[TTAF_Qty],T_TTAFStock_Log[Part Name],$A37,T_TTAFStock_Log[WeekIndex],76))</f>
        <v/>
      </c>
      <c r="BZ37" s="19">
        <f>IF(COUNTIFS(T_TTAFStock_Log[Part Name],$A37,T_TTAFStock_Log[WeekIndex],77)=0,"",SUMIFS(T_TTAFStock_Log[TTAF_Qty],T_TTAFStock_Log[Part Name],$A37,T_TTAFStock_Log[WeekIndex],77))</f>
        <v/>
      </c>
      <c r="CA37" s="19">
        <f>IF(COUNTIFS(T_TTAFStock_Log[Part Name],$A37,T_TTAFStock_Log[WeekIndex],78)=0,"",SUMIFS(T_TTAFStock_Log[TTAF_Qty],T_TTAFStock_Log[Part Name],$A37,T_TTAFStock_Log[WeekIndex],78))</f>
        <v/>
      </c>
      <c r="CB37" s="19">
        <f>IF(COUNTIFS(T_TTAFStock_Log[Part Name],$A37,T_TTAFStock_Log[WeekIndex],79)=0,"",SUMIFS(T_TTAFStock_Log[TTAF_Qty],T_TTAFStock_Log[Part Name],$A37,T_TTAFStock_Log[WeekIndex],79))</f>
        <v/>
      </c>
      <c r="CC37" s="19">
        <f>IF(COUNTIFS(T_TTAFStock_Log[Part Name],$A37,T_TTAFStock_Log[WeekIndex],80)=0,"",SUMIFS(T_TTAFStock_Log[TTAF_Qty],T_TTAFStock_Log[Part Name],$A37,T_TTAFStock_Log[WeekIndex],80))</f>
        <v/>
      </c>
      <c r="CD37" s="19">
        <f>IF(COUNTIFS(T_TTAFStock_Log[Part Name],$A37,T_TTAFStock_Log[WeekIndex],81)=0,"",SUMIFS(T_TTAFStock_Log[TTAF_Qty],T_TTAFStock_Log[Part Name],$A37,T_TTAFStock_Log[WeekIndex],81))</f>
        <v/>
      </c>
      <c r="CE37" s="19">
        <f>IF(COUNTIFS(T_TTAFStock_Log[Part Name],$A37,T_TTAFStock_Log[WeekIndex],82)=0,"",SUMIFS(T_TTAFStock_Log[TTAF_Qty],T_TTAFStock_Log[Part Name],$A37,T_TTAFStock_Log[WeekIndex],82))</f>
        <v/>
      </c>
      <c r="CF37" s="19">
        <f>IF(COUNTIFS(T_TTAFStock_Log[Part Name],$A37,T_TTAFStock_Log[WeekIndex],83)=0,"",SUMIFS(T_TTAFStock_Log[TTAF_Qty],T_TTAFStock_Log[Part Name],$A37,T_TTAFStock_Log[WeekIndex],83))</f>
        <v/>
      </c>
      <c r="CG37" s="19">
        <f>IF(COUNTIFS(T_TTAFStock_Log[Part Name],$A37,T_TTAFStock_Log[WeekIndex],84)=0,"",SUMIFS(T_TTAFStock_Log[TTAF_Qty],T_TTAFStock_Log[Part Name],$A37,T_TTAFStock_Log[WeekIndex],84))</f>
        <v/>
      </c>
      <c r="CH37" s="19">
        <f>IF(COUNTIFS(T_TTAFStock_Log[Part Name],$A37,T_TTAFStock_Log[WeekIndex],85)=0,"",SUMIFS(T_TTAFStock_Log[TTAF_Qty],T_TTAFStock_Log[Part Name],$A37,T_TTAFStock_Log[WeekIndex],85))</f>
        <v/>
      </c>
      <c r="CI37" s="19">
        <f>IF(COUNTIFS(T_TTAFStock_Log[Part Name],$A37,T_TTAFStock_Log[WeekIndex],86)=0,"",SUMIFS(T_TTAFStock_Log[TTAF_Qty],T_TTAFStock_Log[Part Name],$A37,T_TTAFStock_Log[WeekIndex],86))</f>
        <v/>
      </c>
      <c r="CJ37" s="19">
        <f>IF(COUNTIFS(T_TTAFStock_Log[Part Name],$A37,T_TTAFStock_Log[WeekIndex],87)=0,"",SUMIFS(T_TTAFStock_Log[TTAF_Qty],T_TTAFStock_Log[Part Name],$A37,T_TTAFStock_Log[WeekIndex],87))</f>
        <v/>
      </c>
      <c r="CK37" s="19">
        <f>IF(COUNTIFS(T_TTAFStock_Log[Part Name],$A37,T_TTAFStock_Log[WeekIndex],88)=0,"",SUMIFS(T_TTAFStock_Log[TTAF_Qty],T_TTAFStock_Log[Part Name],$A37,T_TTAFStock_Log[WeekIndex],88))</f>
        <v/>
      </c>
      <c r="CL37" s="19">
        <f>IF(COUNTIFS(T_TTAFStock_Log[Part Name],$A37,T_TTAFStock_Log[WeekIndex],89)=0,"",SUMIFS(T_TTAFStock_Log[TTAF_Qty],T_TTAFStock_Log[Part Name],$A37,T_TTAFStock_Log[WeekIndex],89))</f>
        <v/>
      </c>
      <c r="CM37" s="19">
        <f>IF(COUNTIFS(T_TTAFStock_Log[Part Name],$A37,T_TTAFStock_Log[WeekIndex],90)=0,"",SUMIFS(T_TTAFStock_Log[TTAF_Qty],T_TTAFStock_Log[Part Name],$A37,T_TTAFStock_Log[WeekIndex],90))</f>
        <v/>
      </c>
      <c r="CN37" s="19">
        <f>IF(COUNTIFS(T_TTAFStock_Log[Part Name],$A37,T_TTAFStock_Log[WeekIndex],91)=0,"",SUMIFS(T_TTAFStock_Log[TTAF_Qty],T_TTAFStock_Log[Part Name],$A37,T_TTAFStock_Log[WeekIndex],91))</f>
        <v/>
      </c>
      <c r="CO37" s="19">
        <f>IF(COUNTIFS(T_TTAFStock_Log[Part Name],$A37,T_TTAFStock_Log[WeekIndex],92)=0,"",SUMIFS(T_TTAFStock_Log[TTAF_Qty],T_TTAFStock_Log[Part Name],$A37,T_TTAFStock_Log[WeekIndex],92))</f>
        <v/>
      </c>
      <c r="CP37" s="19">
        <f>IF(COUNTIFS(T_TTAFStock_Log[Part Name],$A37,T_TTAFStock_Log[WeekIndex],93)=0,"",SUMIFS(T_TTAFStock_Log[TTAF_Qty],T_TTAFStock_Log[Part Name],$A37,T_TTAFStock_Log[WeekIndex],93))</f>
        <v/>
      </c>
      <c r="CQ37" s="19">
        <f>IF(COUNTIFS(T_TTAFStock_Log[Part Name],$A37,T_TTAFStock_Log[WeekIndex],94)=0,"",SUMIFS(T_TTAFStock_Log[TTAF_Qty],T_TTAFStock_Log[Part Name],$A37,T_TTAFStock_Log[WeekIndex],94))</f>
        <v/>
      </c>
      <c r="CR37" s="19">
        <f>IF(COUNTIFS(T_TTAFStock_Log[Part Name],$A37,T_TTAFStock_Log[WeekIndex],95)=0,"",SUMIFS(T_TTAFStock_Log[TTAF_Qty],T_TTAFStock_Log[Part Name],$A37,T_TTAFStock_Log[WeekIndex],95))</f>
        <v/>
      </c>
      <c r="CS37" s="19">
        <f>IF(COUNTIFS(T_TTAFStock_Log[Part Name],$A37,T_TTAFStock_Log[WeekIndex],96)=0,"",SUMIFS(T_TTAFStock_Log[TTAF_Qty],T_TTAFStock_Log[Part Name],$A37,T_TTAFStock_Log[WeekIndex],96))</f>
        <v/>
      </c>
      <c r="CT37" s="19">
        <f>IF(COUNTIFS(T_TTAFStock_Log[Part Name],$A37,T_TTAFStock_Log[WeekIndex],97)=0,"",SUMIFS(T_TTAFStock_Log[TTAF_Qty],T_TTAFStock_Log[Part Name],$A37,T_TTAFStock_Log[WeekIndex],97))</f>
        <v/>
      </c>
      <c r="CU37" s="19">
        <f>IF(COUNTIFS(T_TTAFStock_Log[Part Name],$A37,T_TTAFStock_Log[WeekIndex],98)=0,"",SUMIFS(T_TTAFStock_Log[TTAF_Qty],T_TTAFStock_Log[Part Name],$A37,T_TTAFStock_Log[WeekIndex],98))</f>
        <v/>
      </c>
      <c r="CV37" s="19">
        <f>IF(COUNTIFS(T_TTAFStock_Log[Part Name],$A37,T_TTAFStock_Log[WeekIndex],99)=0,"",SUMIFS(T_TTAFStock_Log[TTAF_Qty],T_TTAFStock_Log[Part Name],$A37,T_TTAFStock_Log[WeekIndex],99))</f>
        <v/>
      </c>
      <c r="CW37" s="19">
        <f>IF(COUNTIFS(T_TTAFStock_Log[Part Name],$A37,T_TTAFStock_Log[WeekIndex],100)=0,"",SUMIFS(T_TTAFStock_Log[TTAF_Qty],T_TTAFStock_Log[Part Name],$A37,T_TTAFStock_Log[WeekIndex],100))</f>
        <v/>
      </c>
      <c r="CX37" s="19">
        <f>IF(COUNTIFS(T_TTAFStock_Log[Part Name],$A37,T_TTAFStock_Log[WeekIndex],101)=0,"",SUMIFS(T_TTAFStock_Log[TTAF_Qty],T_TTAFStock_Log[Part Name],$A37,T_TTAFStock_Log[WeekIndex],101))</f>
        <v/>
      </c>
      <c r="CY37" s="19">
        <f>IF(COUNTIFS(T_TTAFStock_Log[Part Name],$A37,T_TTAFStock_Log[WeekIndex],102)=0,"",SUMIFS(T_TTAFStock_Log[TTAF_Qty],T_TTAFStock_Log[Part Name],$A37,T_TTAFStock_Log[WeekIndex],102))</f>
        <v/>
      </c>
      <c r="CZ37" s="19">
        <f>IF(COUNTIFS(T_TTAFStock_Log[Part Name],$A37,T_TTAFStock_Log[WeekIndex],103)=0,"",SUMIFS(T_TTAFStock_Log[TTAF_Qty],T_TTAFStock_Log[Part Name],$A37,T_TTAFStock_Log[WeekIndex],103))</f>
        <v/>
      </c>
      <c r="DA37" s="19">
        <f>IF(COUNTIFS(T_TTAFStock_Log[Part Name],$A37,T_TTAFStock_Log[WeekIndex],104)=0,"",SUMIFS(T_TTAFStock_Log[TTAF_Qty],T_TTAFStock_Log[Part Name],$A37,T_TTAFStock_Log[WeekIndex],104))</f>
        <v/>
      </c>
    </row>
    <row r="38">
      <c r="A38" s="17" t="inlineStr">
        <is>
          <t>CHEM-1650</t>
        </is>
      </c>
      <c r="B38" s="17">
        <f>IF(COUNTIFS(T_TTAFStock_Log[Part Name],$A38,T_TTAFStock_Log[WeekIndex],1)=0,"",SUMIFS(T_TTAFStock_Log[TTAF_Qty],T_TTAFStock_Log[Part Name],$A38,T_TTAFStock_Log[WeekIndex],1))</f>
        <v/>
      </c>
      <c r="C38" s="17">
        <f>IF(COUNTIFS(T_TTAFStock_Log[Part Name],$A38,T_TTAFStock_Log[WeekIndex],2)=0,"",SUMIFS(T_TTAFStock_Log[TTAF_Qty],T_TTAFStock_Log[Part Name],$A38,T_TTAFStock_Log[WeekIndex],2))</f>
        <v/>
      </c>
      <c r="D38" s="17">
        <f>IF(COUNTIFS(T_TTAFStock_Log[Part Name],$A38,T_TTAFStock_Log[WeekIndex],3)=0,"",SUMIFS(T_TTAFStock_Log[TTAF_Qty],T_TTAFStock_Log[Part Name],$A38,T_TTAFStock_Log[WeekIndex],3))</f>
        <v/>
      </c>
      <c r="E38" s="17">
        <f>IF(COUNTIFS(T_TTAFStock_Log[Part Name],$A38,T_TTAFStock_Log[WeekIndex],4)=0,"",SUMIFS(T_TTAFStock_Log[TTAF_Qty],T_TTAFStock_Log[Part Name],$A38,T_TTAFStock_Log[WeekIndex],4))</f>
        <v/>
      </c>
      <c r="F38" s="17">
        <f>IF(COUNTIFS(T_TTAFStock_Log[Part Name],$A38,T_TTAFStock_Log[WeekIndex],5)=0,"",SUMIFS(T_TTAFStock_Log[TTAF_Qty],T_TTAFStock_Log[Part Name],$A38,T_TTAFStock_Log[WeekIndex],5))</f>
        <v/>
      </c>
      <c r="G38" s="17">
        <f>IF(COUNTIFS(T_TTAFStock_Log[Part Name],$A38,T_TTAFStock_Log[WeekIndex],6)=0,"",SUMIFS(T_TTAFStock_Log[TTAF_Qty],T_TTAFStock_Log[Part Name],$A38,T_TTAFStock_Log[WeekIndex],6))</f>
        <v/>
      </c>
      <c r="H38" s="17">
        <f>IF(COUNTIFS(T_TTAFStock_Log[Part Name],$A38,T_TTAFStock_Log[WeekIndex],7)=0,"",SUMIFS(T_TTAFStock_Log[TTAF_Qty],T_TTAFStock_Log[Part Name],$A38,T_TTAFStock_Log[WeekIndex],7))</f>
        <v/>
      </c>
      <c r="I38" s="17">
        <f>IF(COUNTIFS(T_TTAFStock_Log[Part Name],$A38,T_TTAFStock_Log[WeekIndex],8)=0,"",SUMIFS(T_TTAFStock_Log[TTAF_Qty],T_TTAFStock_Log[Part Name],$A38,T_TTAFStock_Log[WeekIndex],8))</f>
        <v/>
      </c>
      <c r="J38" s="17">
        <f>IF(COUNTIFS(T_TTAFStock_Log[Part Name],$A38,T_TTAFStock_Log[WeekIndex],9)=0,"",SUMIFS(T_TTAFStock_Log[TTAF_Qty],T_TTAFStock_Log[Part Name],$A38,T_TTAFStock_Log[WeekIndex],9))</f>
        <v/>
      </c>
      <c r="K38" s="17">
        <f>IF(COUNTIFS(T_TTAFStock_Log[Part Name],$A38,T_TTAFStock_Log[WeekIndex],10)=0,"",SUMIFS(T_TTAFStock_Log[TTAF_Qty],T_TTAFStock_Log[Part Name],$A38,T_TTAFStock_Log[WeekIndex],10))</f>
        <v/>
      </c>
      <c r="L38" s="17">
        <f>IF(COUNTIFS(T_TTAFStock_Log[Part Name],$A38,T_TTAFStock_Log[WeekIndex],11)=0,"",SUMIFS(T_TTAFStock_Log[TTAF_Qty],T_TTAFStock_Log[Part Name],$A38,T_TTAFStock_Log[WeekIndex],11))</f>
        <v/>
      </c>
      <c r="M38" s="17">
        <f>IF(COUNTIFS(T_TTAFStock_Log[Part Name],$A38,T_TTAFStock_Log[WeekIndex],12)=0,"",SUMIFS(T_TTAFStock_Log[TTAF_Qty],T_TTAFStock_Log[Part Name],$A38,T_TTAFStock_Log[WeekIndex],12))</f>
        <v/>
      </c>
      <c r="N38" s="17">
        <f>IF(COUNTIFS(T_TTAFStock_Log[Part Name],$A38,T_TTAFStock_Log[WeekIndex],13)=0,"",SUMIFS(T_TTAFStock_Log[TTAF_Qty],T_TTAFStock_Log[Part Name],$A38,T_TTAFStock_Log[WeekIndex],13))</f>
        <v/>
      </c>
      <c r="O38" s="17">
        <f>IF(COUNTIFS(T_TTAFStock_Log[Part Name],$A38,T_TTAFStock_Log[WeekIndex],14)=0,"",SUMIFS(T_TTAFStock_Log[TTAF_Qty],T_TTAFStock_Log[Part Name],$A38,T_TTAFStock_Log[WeekIndex],14))</f>
        <v/>
      </c>
      <c r="P38" s="17">
        <f>IF(COUNTIFS(T_TTAFStock_Log[Part Name],$A38,T_TTAFStock_Log[WeekIndex],15)=0,"",SUMIFS(T_TTAFStock_Log[TTAF_Qty],T_TTAFStock_Log[Part Name],$A38,T_TTAFStock_Log[WeekIndex],15))</f>
        <v/>
      </c>
      <c r="Q38" s="17">
        <f>IF(COUNTIFS(T_TTAFStock_Log[Part Name],$A38,T_TTAFStock_Log[WeekIndex],16)=0,"",SUMIFS(T_TTAFStock_Log[TTAF_Qty],T_TTAFStock_Log[Part Name],$A38,T_TTAFStock_Log[WeekIndex],16))</f>
        <v/>
      </c>
      <c r="R38" s="17">
        <f>IF(COUNTIFS(T_TTAFStock_Log[Part Name],$A38,T_TTAFStock_Log[WeekIndex],17)=0,"",SUMIFS(T_TTAFStock_Log[TTAF_Qty],T_TTAFStock_Log[Part Name],$A38,T_TTAFStock_Log[WeekIndex],17))</f>
        <v/>
      </c>
      <c r="S38" s="17">
        <f>IF(COUNTIFS(T_TTAFStock_Log[Part Name],$A38,T_TTAFStock_Log[WeekIndex],18)=0,"",SUMIFS(T_TTAFStock_Log[TTAF_Qty],T_TTAFStock_Log[Part Name],$A38,T_TTAFStock_Log[WeekIndex],18))</f>
        <v/>
      </c>
      <c r="T38" s="17">
        <f>IF(COUNTIFS(T_TTAFStock_Log[Part Name],$A38,T_TTAFStock_Log[WeekIndex],19)=0,"",SUMIFS(T_TTAFStock_Log[TTAF_Qty],T_TTAFStock_Log[Part Name],$A38,T_TTAFStock_Log[WeekIndex],19))</f>
        <v/>
      </c>
      <c r="U38" s="17">
        <f>IF(COUNTIFS(T_TTAFStock_Log[Part Name],$A38,T_TTAFStock_Log[WeekIndex],20)=0,"",SUMIFS(T_TTAFStock_Log[TTAF_Qty],T_TTAFStock_Log[Part Name],$A38,T_TTAFStock_Log[WeekIndex],20))</f>
        <v/>
      </c>
      <c r="V38" s="17">
        <f>IF(COUNTIFS(T_TTAFStock_Log[Part Name],$A38,T_TTAFStock_Log[WeekIndex],21)=0,"",SUMIFS(T_TTAFStock_Log[TTAF_Qty],T_TTAFStock_Log[Part Name],$A38,T_TTAFStock_Log[WeekIndex],21))</f>
        <v/>
      </c>
      <c r="W38" s="17">
        <f>IF(COUNTIFS(T_TTAFStock_Log[Part Name],$A38,T_TTAFStock_Log[WeekIndex],22)=0,"",SUMIFS(T_TTAFStock_Log[TTAF_Qty],T_TTAFStock_Log[Part Name],$A38,T_TTAFStock_Log[WeekIndex],22))</f>
        <v/>
      </c>
      <c r="X38" s="17">
        <f>IF(COUNTIFS(T_TTAFStock_Log[Part Name],$A38,T_TTAFStock_Log[WeekIndex],23)=0,"",SUMIFS(T_TTAFStock_Log[TTAF_Qty],T_TTAFStock_Log[Part Name],$A38,T_TTAFStock_Log[WeekIndex],23))</f>
        <v/>
      </c>
      <c r="Y38" s="17">
        <f>IF(COUNTIFS(T_TTAFStock_Log[Part Name],$A38,T_TTAFStock_Log[WeekIndex],24)=0,"",SUMIFS(T_TTAFStock_Log[TTAF_Qty],T_TTAFStock_Log[Part Name],$A38,T_TTAFStock_Log[WeekIndex],24))</f>
        <v/>
      </c>
      <c r="Z38" s="17">
        <f>IF(COUNTIFS(T_TTAFStock_Log[Part Name],$A38,T_TTAFStock_Log[WeekIndex],25)=0,"",SUMIFS(T_TTAFStock_Log[TTAF_Qty],T_TTAFStock_Log[Part Name],$A38,T_TTAFStock_Log[WeekIndex],25))</f>
        <v/>
      </c>
      <c r="AA38" s="17">
        <f>IF(COUNTIFS(T_TTAFStock_Log[Part Name],$A38,T_TTAFStock_Log[WeekIndex],26)=0,"",SUMIFS(T_TTAFStock_Log[TTAF_Qty],T_TTAFStock_Log[Part Name],$A38,T_TTAFStock_Log[WeekIndex],26))</f>
        <v/>
      </c>
      <c r="AB38" s="17">
        <f>IF(COUNTIFS(T_TTAFStock_Log[Part Name],$A38,T_TTAFStock_Log[WeekIndex],27)=0,"",SUMIFS(T_TTAFStock_Log[TTAF_Qty],T_TTAFStock_Log[Part Name],$A38,T_TTAFStock_Log[WeekIndex],27))</f>
        <v/>
      </c>
      <c r="AC38" s="17">
        <f>IF(COUNTIFS(T_TTAFStock_Log[Part Name],$A38,T_TTAFStock_Log[WeekIndex],28)=0,"",SUMIFS(T_TTAFStock_Log[TTAF_Qty],T_TTAFStock_Log[Part Name],$A38,T_TTAFStock_Log[WeekIndex],28))</f>
        <v/>
      </c>
      <c r="AD38" s="17">
        <f>IF(COUNTIFS(T_TTAFStock_Log[Part Name],$A38,T_TTAFStock_Log[WeekIndex],29)=0,"",SUMIFS(T_TTAFStock_Log[TTAF_Qty],T_TTAFStock_Log[Part Name],$A38,T_TTAFStock_Log[WeekIndex],29))</f>
        <v/>
      </c>
      <c r="AE38" s="17">
        <f>IF(COUNTIFS(T_TTAFStock_Log[Part Name],$A38,T_TTAFStock_Log[WeekIndex],30)=0,"",SUMIFS(T_TTAFStock_Log[TTAF_Qty],T_TTAFStock_Log[Part Name],$A38,T_TTAFStock_Log[WeekIndex],30))</f>
        <v/>
      </c>
      <c r="AF38" s="17">
        <f>IF(COUNTIFS(T_TTAFStock_Log[Part Name],$A38,T_TTAFStock_Log[WeekIndex],31)=0,"",SUMIFS(T_TTAFStock_Log[TTAF_Qty],T_TTAFStock_Log[Part Name],$A38,T_TTAFStock_Log[WeekIndex],31))</f>
        <v/>
      </c>
      <c r="AG38" s="17">
        <f>IF(COUNTIFS(T_TTAFStock_Log[Part Name],$A38,T_TTAFStock_Log[WeekIndex],32)=0,"",SUMIFS(T_TTAFStock_Log[TTAF_Qty],T_TTAFStock_Log[Part Name],$A38,T_TTAFStock_Log[WeekIndex],32))</f>
        <v/>
      </c>
      <c r="AH38" s="17">
        <f>IF(COUNTIFS(T_TTAFStock_Log[Part Name],$A38,T_TTAFStock_Log[WeekIndex],33)=0,"",SUMIFS(T_TTAFStock_Log[TTAF_Qty],T_TTAFStock_Log[Part Name],$A38,T_TTAFStock_Log[WeekIndex],33))</f>
        <v/>
      </c>
      <c r="AI38" s="17">
        <f>IF(COUNTIFS(T_TTAFStock_Log[Part Name],$A38,T_TTAFStock_Log[WeekIndex],34)=0,"",SUMIFS(T_TTAFStock_Log[TTAF_Qty],T_TTAFStock_Log[Part Name],$A38,T_TTAFStock_Log[WeekIndex],34))</f>
        <v/>
      </c>
      <c r="AJ38" s="17">
        <f>IF(COUNTIFS(T_TTAFStock_Log[Part Name],$A38,T_TTAFStock_Log[WeekIndex],35)=0,"",SUMIFS(T_TTAFStock_Log[TTAF_Qty],T_TTAFStock_Log[Part Name],$A38,T_TTAFStock_Log[WeekIndex],35))</f>
        <v/>
      </c>
      <c r="AK38" s="17">
        <f>IF(COUNTIFS(T_TTAFStock_Log[Part Name],$A38,T_TTAFStock_Log[WeekIndex],36)=0,"",SUMIFS(T_TTAFStock_Log[TTAF_Qty],T_TTAFStock_Log[Part Name],$A38,T_TTAFStock_Log[WeekIndex],36))</f>
        <v/>
      </c>
      <c r="AL38" s="17">
        <f>IF(COUNTIFS(T_TTAFStock_Log[Part Name],$A38,T_TTAFStock_Log[WeekIndex],37)=0,"",SUMIFS(T_TTAFStock_Log[TTAF_Qty],T_TTAFStock_Log[Part Name],$A38,T_TTAFStock_Log[WeekIndex],37))</f>
        <v/>
      </c>
      <c r="AM38" s="17">
        <f>IF(COUNTIFS(T_TTAFStock_Log[Part Name],$A38,T_TTAFStock_Log[WeekIndex],38)=0,"",SUMIFS(T_TTAFStock_Log[TTAF_Qty],T_TTAFStock_Log[Part Name],$A38,T_TTAFStock_Log[WeekIndex],38))</f>
        <v/>
      </c>
      <c r="AN38" s="17">
        <f>IF(COUNTIFS(T_TTAFStock_Log[Part Name],$A38,T_TTAFStock_Log[WeekIndex],39)=0,"",SUMIFS(T_TTAFStock_Log[TTAF_Qty],T_TTAFStock_Log[Part Name],$A38,T_TTAFStock_Log[WeekIndex],39))</f>
        <v/>
      </c>
      <c r="AO38" s="17">
        <f>IF(COUNTIFS(T_TTAFStock_Log[Part Name],$A38,T_TTAFStock_Log[WeekIndex],40)=0,"",SUMIFS(T_TTAFStock_Log[TTAF_Qty],T_TTAFStock_Log[Part Name],$A38,T_TTAFStock_Log[WeekIndex],40))</f>
        <v/>
      </c>
      <c r="AP38" s="17">
        <f>IF(COUNTIFS(T_TTAFStock_Log[Part Name],$A38,T_TTAFStock_Log[WeekIndex],41)=0,"",SUMIFS(T_TTAFStock_Log[TTAF_Qty],T_TTAFStock_Log[Part Name],$A38,T_TTAFStock_Log[WeekIndex],41))</f>
        <v/>
      </c>
      <c r="AQ38" s="17">
        <f>IF(COUNTIFS(T_TTAFStock_Log[Part Name],$A38,T_TTAFStock_Log[WeekIndex],42)=0,"",SUMIFS(T_TTAFStock_Log[TTAF_Qty],T_TTAFStock_Log[Part Name],$A38,T_TTAFStock_Log[WeekIndex],42))</f>
        <v/>
      </c>
      <c r="AR38" s="17">
        <f>IF(COUNTIFS(T_TTAFStock_Log[Part Name],$A38,T_TTAFStock_Log[WeekIndex],43)=0,"",SUMIFS(T_TTAFStock_Log[TTAF_Qty],T_TTAFStock_Log[Part Name],$A38,T_TTAFStock_Log[WeekIndex],43))</f>
        <v/>
      </c>
      <c r="AS38" s="17">
        <f>IF(COUNTIFS(T_TTAFStock_Log[Part Name],$A38,T_TTAFStock_Log[WeekIndex],44)=0,"",SUMIFS(T_TTAFStock_Log[TTAF_Qty],T_TTAFStock_Log[Part Name],$A38,T_TTAFStock_Log[WeekIndex],44))</f>
        <v/>
      </c>
      <c r="AT38" s="17">
        <f>IF(COUNTIFS(T_TTAFStock_Log[Part Name],$A38,T_TTAFStock_Log[WeekIndex],45)=0,"",SUMIFS(T_TTAFStock_Log[TTAF_Qty],T_TTAFStock_Log[Part Name],$A38,T_TTAFStock_Log[WeekIndex],45))</f>
        <v/>
      </c>
      <c r="AU38" s="17">
        <f>IF(COUNTIFS(T_TTAFStock_Log[Part Name],$A38,T_TTAFStock_Log[WeekIndex],46)=0,"",SUMIFS(T_TTAFStock_Log[TTAF_Qty],T_TTAFStock_Log[Part Name],$A38,T_TTAFStock_Log[WeekIndex],46))</f>
        <v/>
      </c>
      <c r="AV38" s="17">
        <f>IF(COUNTIFS(T_TTAFStock_Log[Part Name],$A38,T_TTAFStock_Log[WeekIndex],47)=0,"",SUMIFS(T_TTAFStock_Log[TTAF_Qty],T_TTAFStock_Log[Part Name],$A38,T_TTAFStock_Log[WeekIndex],47))</f>
        <v/>
      </c>
      <c r="AW38" s="17">
        <f>IF(COUNTIFS(T_TTAFStock_Log[Part Name],$A38,T_TTAFStock_Log[WeekIndex],48)=0,"",SUMIFS(T_TTAFStock_Log[TTAF_Qty],T_TTAFStock_Log[Part Name],$A38,T_TTAFStock_Log[WeekIndex],48))</f>
        <v/>
      </c>
      <c r="AX38" s="17">
        <f>IF(COUNTIFS(T_TTAFStock_Log[Part Name],$A38,T_TTAFStock_Log[WeekIndex],49)=0,"",SUMIFS(T_TTAFStock_Log[TTAF_Qty],T_TTAFStock_Log[Part Name],$A38,T_TTAFStock_Log[WeekIndex],49))</f>
        <v/>
      </c>
      <c r="AY38" s="17">
        <f>IF(COUNTIFS(T_TTAFStock_Log[Part Name],$A38,T_TTAFStock_Log[WeekIndex],50)=0,"",SUMIFS(T_TTAFStock_Log[TTAF_Qty],T_TTAFStock_Log[Part Name],$A38,T_TTAFStock_Log[WeekIndex],50))</f>
        <v/>
      </c>
      <c r="AZ38" s="17">
        <f>IF(COUNTIFS(T_TTAFStock_Log[Part Name],$A38,T_TTAFStock_Log[WeekIndex],51)=0,"",SUMIFS(T_TTAFStock_Log[TTAF_Qty],T_TTAFStock_Log[Part Name],$A38,T_TTAFStock_Log[WeekIndex],51))</f>
        <v/>
      </c>
      <c r="BA38" s="17">
        <f>IF(COUNTIFS(T_TTAFStock_Log[Part Name],$A38,T_TTAFStock_Log[WeekIndex],52)=0,"",SUMIFS(T_TTAFStock_Log[TTAF_Qty],T_TTAFStock_Log[Part Name],$A38,T_TTAFStock_Log[WeekIndex],52))</f>
        <v/>
      </c>
      <c r="BB38" s="17">
        <f>IF(COUNTIFS(T_TTAFStock_Log[Part Name],$A38,T_TTAFStock_Log[WeekIndex],53)=0,"",SUMIFS(T_TTAFStock_Log[TTAF_Qty],T_TTAFStock_Log[Part Name],$A38,T_TTAFStock_Log[WeekIndex],53))</f>
        <v/>
      </c>
      <c r="BC38" s="17">
        <f>IF(COUNTIFS(T_TTAFStock_Log[Part Name],$A38,T_TTAFStock_Log[WeekIndex],54)=0,"",SUMIFS(T_TTAFStock_Log[TTAF_Qty],T_TTAFStock_Log[Part Name],$A38,T_TTAFStock_Log[WeekIndex],54))</f>
        <v/>
      </c>
      <c r="BD38" s="17">
        <f>IF(COUNTIFS(T_TTAFStock_Log[Part Name],$A38,T_TTAFStock_Log[WeekIndex],55)=0,"",SUMIFS(T_TTAFStock_Log[TTAF_Qty],T_TTAFStock_Log[Part Name],$A38,T_TTAFStock_Log[WeekIndex],55))</f>
        <v/>
      </c>
      <c r="BE38" s="17">
        <f>IF(COUNTIFS(T_TTAFStock_Log[Part Name],$A38,T_TTAFStock_Log[WeekIndex],56)=0,"",SUMIFS(T_TTAFStock_Log[TTAF_Qty],T_TTAFStock_Log[Part Name],$A38,T_TTAFStock_Log[WeekIndex],56))</f>
        <v/>
      </c>
      <c r="BF38" s="17">
        <f>IF(COUNTIFS(T_TTAFStock_Log[Part Name],$A38,T_TTAFStock_Log[WeekIndex],57)=0,"",SUMIFS(T_TTAFStock_Log[TTAF_Qty],T_TTAFStock_Log[Part Name],$A38,T_TTAFStock_Log[WeekIndex],57))</f>
        <v/>
      </c>
      <c r="BG38" s="17">
        <f>IF(COUNTIFS(T_TTAFStock_Log[Part Name],$A38,T_TTAFStock_Log[WeekIndex],58)=0,"",SUMIFS(T_TTAFStock_Log[TTAF_Qty],T_TTAFStock_Log[Part Name],$A38,T_TTAFStock_Log[WeekIndex],58))</f>
        <v/>
      </c>
      <c r="BH38" s="17">
        <f>IF(COUNTIFS(T_TTAFStock_Log[Part Name],$A38,T_TTAFStock_Log[WeekIndex],59)=0,"",SUMIFS(T_TTAFStock_Log[TTAF_Qty],T_TTAFStock_Log[Part Name],$A38,T_TTAFStock_Log[WeekIndex],59))</f>
        <v/>
      </c>
      <c r="BI38" s="17">
        <f>IF(COUNTIFS(T_TTAFStock_Log[Part Name],$A38,T_TTAFStock_Log[WeekIndex],60)=0,"",SUMIFS(T_TTAFStock_Log[TTAF_Qty],T_TTAFStock_Log[Part Name],$A38,T_TTAFStock_Log[WeekIndex],60))</f>
        <v/>
      </c>
      <c r="BJ38" s="17">
        <f>IF(COUNTIFS(T_TTAFStock_Log[Part Name],$A38,T_TTAFStock_Log[WeekIndex],61)=0,"",SUMIFS(T_TTAFStock_Log[TTAF_Qty],T_TTAFStock_Log[Part Name],$A38,T_TTAFStock_Log[WeekIndex],61))</f>
        <v/>
      </c>
      <c r="BK38" s="17">
        <f>IF(COUNTIFS(T_TTAFStock_Log[Part Name],$A38,T_TTAFStock_Log[WeekIndex],62)=0,"",SUMIFS(T_TTAFStock_Log[TTAF_Qty],T_TTAFStock_Log[Part Name],$A38,T_TTAFStock_Log[WeekIndex],62))</f>
        <v/>
      </c>
      <c r="BL38" s="17">
        <f>IF(COUNTIFS(T_TTAFStock_Log[Part Name],$A38,T_TTAFStock_Log[WeekIndex],63)=0,"",SUMIFS(T_TTAFStock_Log[TTAF_Qty],T_TTAFStock_Log[Part Name],$A38,T_TTAFStock_Log[WeekIndex],63))</f>
        <v/>
      </c>
      <c r="BM38" s="17">
        <f>IF(COUNTIFS(T_TTAFStock_Log[Part Name],$A38,T_TTAFStock_Log[WeekIndex],64)=0,"",SUMIFS(T_TTAFStock_Log[TTAF_Qty],T_TTAFStock_Log[Part Name],$A38,T_TTAFStock_Log[WeekIndex],64))</f>
        <v/>
      </c>
      <c r="BN38" s="17">
        <f>IF(COUNTIFS(T_TTAFStock_Log[Part Name],$A38,T_TTAFStock_Log[WeekIndex],65)=0,"",SUMIFS(T_TTAFStock_Log[TTAF_Qty],T_TTAFStock_Log[Part Name],$A38,T_TTAFStock_Log[WeekIndex],65))</f>
        <v/>
      </c>
      <c r="BO38" s="17">
        <f>IF(COUNTIFS(T_TTAFStock_Log[Part Name],$A38,T_TTAFStock_Log[WeekIndex],66)=0,"",SUMIFS(T_TTAFStock_Log[TTAF_Qty],T_TTAFStock_Log[Part Name],$A38,T_TTAFStock_Log[WeekIndex],66))</f>
        <v/>
      </c>
      <c r="BP38" s="17">
        <f>IF(COUNTIFS(T_TTAFStock_Log[Part Name],$A38,T_TTAFStock_Log[WeekIndex],67)=0,"",SUMIFS(T_TTAFStock_Log[TTAF_Qty],T_TTAFStock_Log[Part Name],$A38,T_TTAFStock_Log[WeekIndex],67))</f>
        <v/>
      </c>
      <c r="BQ38" s="17">
        <f>IF(COUNTIFS(T_TTAFStock_Log[Part Name],$A38,T_TTAFStock_Log[WeekIndex],68)=0,"",SUMIFS(T_TTAFStock_Log[TTAF_Qty],T_TTAFStock_Log[Part Name],$A38,T_TTAFStock_Log[WeekIndex],68))</f>
        <v/>
      </c>
      <c r="BR38" s="17">
        <f>IF(COUNTIFS(T_TTAFStock_Log[Part Name],$A38,T_TTAFStock_Log[WeekIndex],69)=0,"",SUMIFS(T_TTAFStock_Log[TTAF_Qty],T_TTAFStock_Log[Part Name],$A38,T_TTAFStock_Log[WeekIndex],69))</f>
        <v/>
      </c>
      <c r="BS38" s="17">
        <f>IF(COUNTIFS(T_TTAFStock_Log[Part Name],$A38,T_TTAFStock_Log[WeekIndex],70)=0,"",SUMIFS(T_TTAFStock_Log[TTAF_Qty],T_TTAFStock_Log[Part Name],$A38,T_TTAFStock_Log[WeekIndex],70))</f>
        <v/>
      </c>
      <c r="BT38" s="17">
        <f>IF(COUNTIFS(T_TTAFStock_Log[Part Name],$A38,T_TTAFStock_Log[WeekIndex],71)=0,"",SUMIFS(T_TTAFStock_Log[TTAF_Qty],T_TTAFStock_Log[Part Name],$A38,T_TTAFStock_Log[WeekIndex],71))</f>
        <v/>
      </c>
      <c r="BU38" s="17">
        <f>IF(COUNTIFS(T_TTAFStock_Log[Part Name],$A38,T_TTAFStock_Log[WeekIndex],72)=0,"",SUMIFS(T_TTAFStock_Log[TTAF_Qty],T_TTAFStock_Log[Part Name],$A38,T_TTAFStock_Log[WeekIndex],72))</f>
        <v/>
      </c>
      <c r="BV38" s="17">
        <f>IF(COUNTIFS(T_TTAFStock_Log[Part Name],$A38,T_TTAFStock_Log[WeekIndex],73)=0,"",SUMIFS(T_TTAFStock_Log[TTAF_Qty],T_TTAFStock_Log[Part Name],$A38,T_TTAFStock_Log[WeekIndex],73))</f>
        <v/>
      </c>
      <c r="BW38" s="17">
        <f>IF(COUNTIFS(T_TTAFStock_Log[Part Name],$A38,T_TTAFStock_Log[WeekIndex],74)=0,"",SUMIFS(T_TTAFStock_Log[TTAF_Qty],T_TTAFStock_Log[Part Name],$A38,T_TTAFStock_Log[WeekIndex],74))</f>
        <v/>
      </c>
      <c r="BX38" s="17">
        <f>IF(COUNTIFS(T_TTAFStock_Log[Part Name],$A38,T_TTAFStock_Log[WeekIndex],75)=0,"",SUMIFS(T_TTAFStock_Log[TTAF_Qty],T_TTAFStock_Log[Part Name],$A38,T_TTAFStock_Log[WeekIndex],75))</f>
        <v/>
      </c>
      <c r="BY38" s="17">
        <f>IF(COUNTIFS(T_TTAFStock_Log[Part Name],$A38,T_TTAFStock_Log[WeekIndex],76)=0,"",SUMIFS(T_TTAFStock_Log[TTAF_Qty],T_TTAFStock_Log[Part Name],$A38,T_TTAFStock_Log[WeekIndex],76))</f>
        <v/>
      </c>
      <c r="BZ38" s="17">
        <f>IF(COUNTIFS(T_TTAFStock_Log[Part Name],$A38,T_TTAFStock_Log[WeekIndex],77)=0,"",SUMIFS(T_TTAFStock_Log[TTAF_Qty],T_TTAFStock_Log[Part Name],$A38,T_TTAFStock_Log[WeekIndex],77))</f>
        <v/>
      </c>
      <c r="CA38" s="17">
        <f>IF(COUNTIFS(T_TTAFStock_Log[Part Name],$A38,T_TTAFStock_Log[WeekIndex],78)=0,"",SUMIFS(T_TTAFStock_Log[TTAF_Qty],T_TTAFStock_Log[Part Name],$A38,T_TTAFStock_Log[WeekIndex],78))</f>
        <v/>
      </c>
      <c r="CB38" s="17">
        <f>IF(COUNTIFS(T_TTAFStock_Log[Part Name],$A38,T_TTAFStock_Log[WeekIndex],79)=0,"",SUMIFS(T_TTAFStock_Log[TTAF_Qty],T_TTAFStock_Log[Part Name],$A38,T_TTAFStock_Log[WeekIndex],79))</f>
        <v/>
      </c>
      <c r="CC38" s="17">
        <f>IF(COUNTIFS(T_TTAFStock_Log[Part Name],$A38,T_TTAFStock_Log[WeekIndex],80)=0,"",SUMIFS(T_TTAFStock_Log[TTAF_Qty],T_TTAFStock_Log[Part Name],$A38,T_TTAFStock_Log[WeekIndex],80))</f>
        <v/>
      </c>
      <c r="CD38" s="17">
        <f>IF(COUNTIFS(T_TTAFStock_Log[Part Name],$A38,T_TTAFStock_Log[WeekIndex],81)=0,"",SUMIFS(T_TTAFStock_Log[TTAF_Qty],T_TTAFStock_Log[Part Name],$A38,T_TTAFStock_Log[WeekIndex],81))</f>
        <v/>
      </c>
      <c r="CE38" s="17">
        <f>IF(COUNTIFS(T_TTAFStock_Log[Part Name],$A38,T_TTAFStock_Log[WeekIndex],82)=0,"",SUMIFS(T_TTAFStock_Log[TTAF_Qty],T_TTAFStock_Log[Part Name],$A38,T_TTAFStock_Log[WeekIndex],82))</f>
        <v/>
      </c>
      <c r="CF38" s="17">
        <f>IF(COUNTIFS(T_TTAFStock_Log[Part Name],$A38,T_TTAFStock_Log[WeekIndex],83)=0,"",SUMIFS(T_TTAFStock_Log[TTAF_Qty],T_TTAFStock_Log[Part Name],$A38,T_TTAFStock_Log[WeekIndex],83))</f>
        <v/>
      </c>
      <c r="CG38" s="17">
        <f>IF(COUNTIFS(T_TTAFStock_Log[Part Name],$A38,T_TTAFStock_Log[WeekIndex],84)=0,"",SUMIFS(T_TTAFStock_Log[TTAF_Qty],T_TTAFStock_Log[Part Name],$A38,T_TTAFStock_Log[WeekIndex],84))</f>
        <v/>
      </c>
      <c r="CH38" s="17">
        <f>IF(COUNTIFS(T_TTAFStock_Log[Part Name],$A38,T_TTAFStock_Log[WeekIndex],85)=0,"",SUMIFS(T_TTAFStock_Log[TTAF_Qty],T_TTAFStock_Log[Part Name],$A38,T_TTAFStock_Log[WeekIndex],85))</f>
        <v/>
      </c>
      <c r="CI38" s="17">
        <f>IF(COUNTIFS(T_TTAFStock_Log[Part Name],$A38,T_TTAFStock_Log[WeekIndex],86)=0,"",SUMIFS(T_TTAFStock_Log[TTAF_Qty],T_TTAFStock_Log[Part Name],$A38,T_TTAFStock_Log[WeekIndex],86))</f>
        <v/>
      </c>
      <c r="CJ38" s="17">
        <f>IF(COUNTIFS(T_TTAFStock_Log[Part Name],$A38,T_TTAFStock_Log[WeekIndex],87)=0,"",SUMIFS(T_TTAFStock_Log[TTAF_Qty],T_TTAFStock_Log[Part Name],$A38,T_TTAFStock_Log[WeekIndex],87))</f>
        <v/>
      </c>
      <c r="CK38" s="17">
        <f>IF(COUNTIFS(T_TTAFStock_Log[Part Name],$A38,T_TTAFStock_Log[WeekIndex],88)=0,"",SUMIFS(T_TTAFStock_Log[TTAF_Qty],T_TTAFStock_Log[Part Name],$A38,T_TTAFStock_Log[WeekIndex],88))</f>
        <v/>
      </c>
      <c r="CL38" s="17">
        <f>IF(COUNTIFS(T_TTAFStock_Log[Part Name],$A38,T_TTAFStock_Log[WeekIndex],89)=0,"",SUMIFS(T_TTAFStock_Log[TTAF_Qty],T_TTAFStock_Log[Part Name],$A38,T_TTAFStock_Log[WeekIndex],89))</f>
        <v/>
      </c>
      <c r="CM38" s="17">
        <f>IF(COUNTIFS(T_TTAFStock_Log[Part Name],$A38,T_TTAFStock_Log[WeekIndex],90)=0,"",SUMIFS(T_TTAFStock_Log[TTAF_Qty],T_TTAFStock_Log[Part Name],$A38,T_TTAFStock_Log[WeekIndex],90))</f>
        <v/>
      </c>
      <c r="CN38" s="17">
        <f>IF(COUNTIFS(T_TTAFStock_Log[Part Name],$A38,T_TTAFStock_Log[WeekIndex],91)=0,"",SUMIFS(T_TTAFStock_Log[TTAF_Qty],T_TTAFStock_Log[Part Name],$A38,T_TTAFStock_Log[WeekIndex],91))</f>
        <v/>
      </c>
      <c r="CO38" s="17">
        <f>IF(COUNTIFS(T_TTAFStock_Log[Part Name],$A38,T_TTAFStock_Log[WeekIndex],92)=0,"",SUMIFS(T_TTAFStock_Log[TTAF_Qty],T_TTAFStock_Log[Part Name],$A38,T_TTAFStock_Log[WeekIndex],92))</f>
        <v/>
      </c>
      <c r="CP38" s="17">
        <f>IF(COUNTIFS(T_TTAFStock_Log[Part Name],$A38,T_TTAFStock_Log[WeekIndex],93)=0,"",SUMIFS(T_TTAFStock_Log[TTAF_Qty],T_TTAFStock_Log[Part Name],$A38,T_TTAFStock_Log[WeekIndex],93))</f>
        <v/>
      </c>
      <c r="CQ38" s="17">
        <f>IF(COUNTIFS(T_TTAFStock_Log[Part Name],$A38,T_TTAFStock_Log[WeekIndex],94)=0,"",SUMIFS(T_TTAFStock_Log[TTAF_Qty],T_TTAFStock_Log[Part Name],$A38,T_TTAFStock_Log[WeekIndex],94))</f>
        <v/>
      </c>
      <c r="CR38" s="17">
        <f>IF(COUNTIFS(T_TTAFStock_Log[Part Name],$A38,T_TTAFStock_Log[WeekIndex],95)=0,"",SUMIFS(T_TTAFStock_Log[TTAF_Qty],T_TTAFStock_Log[Part Name],$A38,T_TTAFStock_Log[WeekIndex],95))</f>
        <v/>
      </c>
      <c r="CS38" s="17">
        <f>IF(COUNTIFS(T_TTAFStock_Log[Part Name],$A38,T_TTAFStock_Log[WeekIndex],96)=0,"",SUMIFS(T_TTAFStock_Log[TTAF_Qty],T_TTAFStock_Log[Part Name],$A38,T_TTAFStock_Log[WeekIndex],96))</f>
        <v/>
      </c>
      <c r="CT38" s="17">
        <f>IF(COUNTIFS(T_TTAFStock_Log[Part Name],$A38,T_TTAFStock_Log[WeekIndex],97)=0,"",SUMIFS(T_TTAFStock_Log[TTAF_Qty],T_TTAFStock_Log[Part Name],$A38,T_TTAFStock_Log[WeekIndex],97))</f>
        <v/>
      </c>
      <c r="CU38" s="17">
        <f>IF(COUNTIFS(T_TTAFStock_Log[Part Name],$A38,T_TTAFStock_Log[WeekIndex],98)=0,"",SUMIFS(T_TTAFStock_Log[TTAF_Qty],T_TTAFStock_Log[Part Name],$A38,T_TTAFStock_Log[WeekIndex],98))</f>
        <v/>
      </c>
      <c r="CV38" s="17">
        <f>IF(COUNTIFS(T_TTAFStock_Log[Part Name],$A38,T_TTAFStock_Log[WeekIndex],99)=0,"",SUMIFS(T_TTAFStock_Log[TTAF_Qty],T_TTAFStock_Log[Part Name],$A38,T_TTAFStock_Log[WeekIndex],99))</f>
        <v/>
      </c>
      <c r="CW38" s="17">
        <f>IF(COUNTIFS(T_TTAFStock_Log[Part Name],$A38,T_TTAFStock_Log[WeekIndex],100)=0,"",SUMIFS(T_TTAFStock_Log[TTAF_Qty],T_TTAFStock_Log[Part Name],$A38,T_TTAFStock_Log[WeekIndex],100))</f>
        <v/>
      </c>
      <c r="CX38" s="17">
        <f>IF(COUNTIFS(T_TTAFStock_Log[Part Name],$A38,T_TTAFStock_Log[WeekIndex],101)=0,"",SUMIFS(T_TTAFStock_Log[TTAF_Qty],T_TTAFStock_Log[Part Name],$A38,T_TTAFStock_Log[WeekIndex],101))</f>
        <v/>
      </c>
      <c r="CY38" s="17">
        <f>IF(COUNTIFS(T_TTAFStock_Log[Part Name],$A38,T_TTAFStock_Log[WeekIndex],102)=0,"",SUMIFS(T_TTAFStock_Log[TTAF_Qty],T_TTAFStock_Log[Part Name],$A38,T_TTAFStock_Log[WeekIndex],102))</f>
        <v/>
      </c>
      <c r="CZ38" s="17">
        <f>IF(COUNTIFS(T_TTAFStock_Log[Part Name],$A38,T_TTAFStock_Log[WeekIndex],103)=0,"",SUMIFS(T_TTAFStock_Log[TTAF_Qty],T_TTAFStock_Log[Part Name],$A38,T_TTAFStock_Log[WeekIndex],103))</f>
        <v/>
      </c>
      <c r="DA38" s="17">
        <f>IF(COUNTIFS(T_TTAFStock_Log[Part Name],$A38,T_TTAFStock_Log[WeekIndex],104)=0,"",SUMIFS(T_TTAFStock_Log[TTAF_Qty],T_TTAFStock_Log[Part Name],$A38,T_TTAFStock_Log[WeekIndex],104))</f>
        <v/>
      </c>
    </row>
    <row r="39">
      <c r="A39" s="19" t="inlineStr">
        <is>
          <t>CHEM-1660</t>
        </is>
      </c>
      <c r="B39" s="19">
        <f>IF(COUNTIFS(T_TTAFStock_Log[Part Name],$A39,T_TTAFStock_Log[WeekIndex],1)=0,"",SUMIFS(T_TTAFStock_Log[TTAF_Qty],T_TTAFStock_Log[Part Name],$A39,T_TTAFStock_Log[WeekIndex],1))</f>
        <v/>
      </c>
      <c r="C39" s="19">
        <f>IF(COUNTIFS(T_TTAFStock_Log[Part Name],$A39,T_TTAFStock_Log[WeekIndex],2)=0,"",SUMIFS(T_TTAFStock_Log[TTAF_Qty],T_TTAFStock_Log[Part Name],$A39,T_TTAFStock_Log[WeekIndex],2))</f>
        <v/>
      </c>
      <c r="D39" s="19">
        <f>IF(COUNTIFS(T_TTAFStock_Log[Part Name],$A39,T_TTAFStock_Log[WeekIndex],3)=0,"",SUMIFS(T_TTAFStock_Log[TTAF_Qty],T_TTAFStock_Log[Part Name],$A39,T_TTAFStock_Log[WeekIndex],3))</f>
        <v/>
      </c>
      <c r="E39" s="19">
        <f>IF(COUNTIFS(T_TTAFStock_Log[Part Name],$A39,T_TTAFStock_Log[WeekIndex],4)=0,"",SUMIFS(T_TTAFStock_Log[TTAF_Qty],T_TTAFStock_Log[Part Name],$A39,T_TTAFStock_Log[WeekIndex],4))</f>
        <v/>
      </c>
      <c r="F39" s="19">
        <f>IF(COUNTIFS(T_TTAFStock_Log[Part Name],$A39,T_TTAFStock_Log[WeekIndex],5)=0,"",SUMIFS(T_TTAFStock_Log[TTAF_Qty],T_TTAFStock_Log[Part Name],$A39,T_TTAFStock_Log[WeekIndex],5))</f>
        <v/>
      </c>
      <c r="G39" s="19">
        <f>IF(COUNTIFS(T_TTAFStock_Log[Part Name],$A39,T_TTAFStock_Log[WeekIndex],6)=0,"",SUMIFS(T_TTAFStock_Log[TTAF_Qty],T_TTAFStock_Log[Part Name],$A39,T_TTAFStock_Log[WeekIndex],6))</f>
        <v/>
      </c>
      <c r="H39" s="19">
        <f>IF(COUNTIFS(T_TTAFStock_Log[Part Name],$A39,T_TTAFStock_Log[WeekIndex],7)=0,"",SUMIFS(T_TTAFStock_Log[TTAF_Qty],T_TTAFStock_Log[Part Name],$A39,T_TTAFStock_Log[WeekIndex],7))</f>
        <v/>
      </c>
      <c r="I39" s="19">
        <f>IF(COUNTIFS(T_TTAFStock_Log[Part Name],$A39,T_TTAFStock_Log[WeekIndex],8)=0,"",SUMIFS(T_TTAFStock_Log[TTAF_Qty],T_TTAFStock_Log[Part Name],$A39,T_TTAFStock_Log[WeekIndex],8))</f>
        <v/>
      </c>
      <c r="J39" s="19">
        <f>IF(COUNTIFS(T_TTAFStock_Log[Part Name],$A39,T_TTAFStock_Log[WeekIndex],9)=0,"",SUMIFS(T_TTAFStock_Log[TTAF_Qty],T_TTAFStock_Log[Part Name],$A39,T_TTAFStock_Log[WeekIndex],9))</f>
        <v/>
      </c>
      <c r="K39" s="19">
        <f>IF(COUNTIFS(T_TTAFStock_Log[Part Name],$A39,T_TTAFStock_Log[WeekIndex],10)=0,"",SUMIFS(T_TTAFStock_Log[TTAF_Qty],T_TTAFStock_Log[Part Name],$A39,T_TTAFStock_Log[WeekIndex],10))</f>
        <v/>
      </c>
      <c r="L39" s="19">
        <f>IF(COUNTIFS(T_TTAFStock_Log[Part Name],$A39,T_TTAFStock_Log[WeekIndex],11)=0,"",SUMIFS(T_TTAFStock_Log[TTAF_Qty],T_TTAFStock_Log[Part Name],$A39,T_TTAFStock_Log[WeekIndex],11))</f>
        <v/>
      </c>
      <c r="M39" s="19">
        <f>IF(COUNTIFS(T_TTAFStock_Log[Part Name],$A39,T_TTAFStock_Log[WeekIndex],12)=0,"",SUMIFS(T_TTAFStock_Log[TTAF_Qty],T_TTAFStock_Log[Part Name],$A39,T_TTAFStock_Log[WeekIndex],12))</f>
        <v/>
      </c>
      <c r="N39" s="19">
        <f>IF(COUNTIFS(T_TTAFStock_Log[Part Name],$A39,T_TTAFStock_Log[WeekIndex],13)=0,"",SUMIFS(T_TTAFStock_Log[TTAF_Qty],T_TTAFStock_Log[Part Name],$A39,T_TTAFStock_Log[WeekIndex],13))</f>
        <v/>
      </c>
      <c r="O39" s="19">
        <f>IF(COUNTIFS(T_TTAFStock_Log[Part Name],$A39,T_TTAFStock_Log[WeekIndex],14)=0,"",SUMIFS(T_TTAFStock_Log[TTAF_Qty],T_TTAFStock_Log[Part Name],$A39,T_TTAFStock_Log[WeekIndex],14))</f>
        <v/>
      </c>
      <c r="P39" s="19">
        <f>IF(COUNTIFS(T_TTAFStock_Log[Part Name],$A39,T_TTAFStock_Log[WeekIndex],15)=0,"",SUMIFS(T_TTAFStock_Log[TTAF_Qty],T_TTAFStock_Log[Part Name],$A39,T_TTAFStock_Log[WeekIndex],15))</f>
        <v/>
      </c>
      <c r="Q39" s="19">
        <f>IF(COUNTIFS(T_TTAFStock_Log[Part Name],$A39,T_TTAFStock_Log[WeekIndex],16)=0,"",SUMIFS(T_TTAFStock_Log[TTAF_Qty],T_TTAFStock_Log[Part Name],$A39,T_TTAFStock_Log[WeekIndex],16))</f>
        <v/>
      </c>
      <c r="R39" s="19">
        <f>IF(COUNTIFS(T_TTAFStock_Log[Part Name],$A39,T_TTAFStock_Log[WeekIndex],17)=0,"",SUMIFS(T_TTAFStock_Log[TTAF_Qty],T_TTAFStock_Log[Part Name],$A39,T_TTAFStock_Log[WeekIndex],17))</f>
        <v/>
      </c>
      <c r="S39" s="19">
        <f>IF(COUNTIFS(T_TTAFStock_Log[Part Name],$A39,T_TTAFStock_Log[WeekIndex],18)=0,"",SUMIFS(T_TTAFStock_Log[TTAF_Qty],T_TTAFStock_Log[Part Name],$A39,T_TTAFStock_Log[WeekIndex],18))</f>
        <v/>
      </c>
      <c r="T39" s="19">
        <f>IF(COUNTIFS(T_TTAFStock_Log[Part Name],$A39,T_TTAFStock_Log[WeekIndex],19)=0,"",SUMIFS(T_TTAFStock_Log[TTAF_Qty],T_TTAFStock_Log[Part Name],$A39,T_TTAFStock_Log[WeekIndex],19))</f>
        <v/>
      </c>
      <c r="U39" s="19">
        <f>IF(COUNTIFS(T_TTAFStock_Log[Part Name],$A39,T_TTAFStock_Log[WeekIndex],20)=0,"",SUMIFS(T_TTAFStock_Log[TTAF_Qty],T_TTAFStock_Log[Part Name],$A39,T_TTAFStock_Log[WeekIndex],20))</f>
        <v/>
      </c>
      <c r="V39" s="19">
        <f>IF(COUNTIFS(T_TTAFStock_Log[Part Name],$A39,T_TTAFStock_Log[WeekIndex],21)=0,"",SUMIFS(T_TTAFStock_Log[TTAF_Qty],T_TTAFStock_Log[Part Name],$A39,T_TTAFStock_Log[WeekIndex],21))</f>
        <v/>
      </c>
      <c r="W39" s="19">
        <f>IF(COUNTIFS(T_TTAFStock_Log[Part Name],$A39,T_TTAFStock_Log[WeekIndex],22)=0,"",SUMIFS(T_TTAFStock_Log[TTAF_Qty],T_TTAFStock_Log[Part Name],$A39,T_TTAFStock_Log[WeekIndex],22))</f>
        <v/>
      </c>
      <c r="X39" s="19">
        <f>IF(COUNTIFS(T_TTAFStock_Log[Part Name],$A39,T_TTAFStock_Log[WeekIndex],23)=0,"",SUMIFS(T_TTAFStock_Log[TTAF_Qty],T_TTAFStock_Log[Part Name],$A39,T_TTAFStock_Log[WeekIndex],23))</f>
        <v/>
      </c>
      <c r="Y39" s="19">
        <f>IF(COUNTIFS(T_TTAFStock_Log[Part Name],$A39,T_TTAFStock_Log[WeekIndex],24)=0,"",SUMIFS(T_TTAFStock_Log[TTAF_Qty],T_TTAFStock_Log[Part Name],$A39,T_TTAFStock_Log[WeekIndex],24))</f>
        <v/>
      </c>
      <c r="Z39" s="19">
        <f>IF(COUNTIFS(T_TTAFStock_Log[Part Name],$A39,T_TTAFStock_Log[WeekIndex],25)=0,"",SUMIFS(T_TTAFStock_Log[TTAF_Qty],T_TTAFStock_Log[Part Name],$A39,T_TTAFStock_Log[WeekIndex],25))</f>
        <v/>
      </c>
      <c r="AA39" s="19">
        <f>IF(COUNTIFS(T_TTAFStock_Log[Part Name],$A39,T_TTAFStock_Log[WeekIndex],26)=0,"",SUMIFS(T_TTAFStock_Log[TTAF_Qty],T_TTAFStock_Log[Part Name],$A39,T_TTAFStock_Log[WeekIndex],26))</f>
        <v/>
      </c>
      <c r="AB39" s="19">
        <f>IF(COUNTIFS(T_TTAFStock_Log[Part Name],$A39,T_TTAFStock_Log[WeekIndex],27)=0,"",SUMIFS(T_TTAFStock_Log[TTAF_Qty],T_TTAFStock_Log[Part Name],$A39,T_TTAFStock_Log[WeekIndex],27))</f>
        <v/>
      </c>
      <c r="AC39" s="19">
        <f>IF(COUNTIFS(T_TTAFStock_Log[Part Name],$A39,T_TTAFStock_Log[WeekIndex],28)=0,"",SUMIFS(T_TTAFStock_Log[TTAF_Qty],T_TTAFStock_Log[Part Name],$A39,T_TTAFStock_Log[WeekIndex],28))</f>
        <v/>
      </c>
      <c r="AD39" s="19">
        <f>IF(COUNTIFS(T_TTAFStock_Log[Part Name],$A39,T_TTAFStock_Log[WeekIndex],29)=0,"",SUMIFS(T_TTAFStock_Log[TTAF_Qty],T_TTAFStock_Log[Part Name],$A39,T_TTAFStock_Log[WeekIndex],29))</f>
        <v/>
      </c>
      <c r="AE39" s="19">
        <f>IF(COUNTIFS(T_TTAFStock_Log[Part Name],$A39,T_TTAFStock_Log[WeekIndex],30)=0,"",SUMIFS(T_TTAFStock_Log[TTAF_Qty],T_TTAFStock_Log[Part Name],$A39,T_TTAFStock_Log[WeekIndex],30))</f>
        <v/>
      </c>
      <c r="AF39" s="19">
        <f>IF(COUNTIFS(T_TTAFStock_Log[Part Name],$A39,T_TTAFStock_Log[WeekIndex],31)=0,"",SUMIFS(T_TTAFStock_Log[TTAF_Qty],T_TTAFStock_Log[Part Name],$A39,T_TTAFStock_Log[WeekIndex],31))</f>
        <v/>
      </c>
      <c r="AG39" s="19">
        <f>IF(COUNTIFS(T_TTAFStock_Log[Part Name],$A39,T_TTAFStock_Log[WeekIndex],32)=0,"",SUMIFS(T_TTAFStock_Log[TTAF_Qty],T_TTAFStock_Log[Part Name],$A39,T_TTAFStock_Log[WeekIndex],32))</f>
        <v/>
      </c>
      <c r="AH39" s="19">
        <f>IF(COUNTIFS(T_TTAFStock_Log[Part Name],$A39,T_TTAFStock_Log[WeekIndex],33)=0,"",SUMIFS(T_TTAFStock_Log[TTAF_Qty],T_TTAFStock_Log[Part Name],$A39,T_TTAFStock_Log[WeekIndex],33))</f>
        <v/>
      </c>
      <c r="AI39" s="19">
        <f>IF(COUNTIFS(T_TTAFStock_Log[Part Name],$A39,T_TTAFStock_Log[WeekIndex],34)=0,"",SUMIFS(T_TTAFStock_Log[TTAF_Qty],T_TTAFStock_Log[Part Name],$A39,T_TTAFStock_Log[WeekIndex],34))</f>
        <v/>
      </c>
      <c r="AJ39" s="19">
        <f>IF(COUNTIFS(T_TTAFStock_Log[Part Name],$A39,T_TTAFStock_Log[WeekIndex],35)=0,"",SUMIFS(T_TTAFStock_Log[TTAF_Qty],T_TTAFStock_Log[Part Name],$A39,T_TTAFStock_Log[WeekIndex],35))</f>
        <v/>
      </c>
      <c r="AK39" s="19">
        <f>IF(COUNTIFS(T_TTAFStock_Log[Part Name],$A39,T_TTAFStock_Log[WeekIndex],36)=0,"",SUMIFS(T_TTAFStock_Log[TTAF_Qty],T_TTAFStock_Log[Part Name],$A39,T_TTAFStock_Log[WeekIndex],36))</f>
        <v/>
      </c>
      <c r="AL39" s="19">
        <f>IF(COUNTIFS(T_TTAFStock_Log[Part Name],$A39,T_TTAFStock_Log[WeekIndex],37)=0,"",SUMIFS(T_TTAFStock_Log[TTAF_Qty],T_TTAFStock_Log[Part Name],$A39,T_TTAFStock_Log[WeekIndex],37))</f>
        <v/>
      </c>
      <c r="AM39" s="19">
        <f>IF(COUNTIFS(T_TTAFStock_Log[Part Name],$A39,T_TTAFStock_Log[WeekIndex],38)=0,"",SUMIFS(T_TTAFStock_Log[TTAF_Qty],T_TTAFStock_Log[Part Name],$A39,T_TTAFStock_Log[WeekIndex],38))</f>
        <v/>
      </c>
      <c r="AN39" s="19">
        <f>IF(COUNTIFS(T_TTAFStock_Log[Part Name],$A39,T_TTAFStock_Log[WeekIndex],39)=0,"",SUMIFS(T_TTAFStock_Log[TTAF_Qty],T_TTAFStock_Log[Part Name],$A39,T_TTAFStock_Log[WeekIndex],39))</f>
        <v/>
      </c>
      <c r="AO39" s="19">
        <f>IF(COUNTIFS(T_TTAFStock_Log[Part Name],$A39,T_TTAFStock_Log[WeekIndex],40)=0,"",SUMIFS(T_TTAFStock_Log[TTAF_Qty],T_TTAFStock_Log[Part Name],$A39,T_TTAFStock_Log[WeekIndex],40))</f>
        <v/>
      </c>
      <c r="AP39" s="19">
        <f>IF(COUNTIFS(T_TTAFStock_Log[Part Name],$A39,T_TTAFStock_Log[WeekIndex],41)=0,"",SUMIFS(T_TTAFStock_Log[TTAF_Qty],T_TTAFStock_Log[Part Name],$A39,T_TTAFStock_Log[WeekIndex],41))</f>
        <v/>
      </c>
      <c r="AQ39" s="19">
        <f>IF(COUNTIFS(T_TTAFStock_Log[Part Name],$A39,T_TTAFStock_Log[WeekIndex],42)=0,"",SUMIFS(T_TTAFStock_Log[TTAF_Qty],T_TTAFStock_Log[Part Name],$A39,T_TTAFStock_Log[WeekIndex],42))</f>
        <v/>
      </c>
      <c r="AR39" s="19">
        <f>IF(COUNTIFS(T_TTAFStock_Log[Part Name],$A39,T_TTAFStock_Log[WeekIndex],43)=0,"",SUMIFS(T_TTAFStock_Log[TTAF_Qty],T_TTAFStock_Log[Part Name],$A39,T_TTAFStock_Log[WeekIndex],43))</f>
        <v/>
      </c>
      <c r="AS39" s="19">
        <f>IF(COUNTIFS(T_TTAFStock_Log[Part Name],$A39,T_TTAFStock_Log[WeekIndex],44)=0,"",SUMIFS(T_TTAFStock_Log[TTAF_Qty],T_TTAFStock_Log[Part Name],$A39,T_TTAFStock_Log[WeekIndex],44))</f>
        <v/>
      </c>
      <c r="AT39" s="19">
        <f>IF(COUNTIFS(T_TTAFStock_Log[Part Name],$A39,T_TTAFStock_Log[WeekIndex],45)=0,"",SUMIFS(T_TTAFStock_Log[TTAF_Qty],T_TTAFStock_Log[Part Name],$A39,T_TTAFStock_Log[WeekIndex],45))</f>
        <v/>
      </c>
      <c r="AU39" s="19">
        <f>IF(COUNTIFS(T_TTAFStock_Log[Part Name],$A39,T_TTAFStock_Log[WeekIndex],46)=0,"",SUMIFS(T_TTAFStock_Log[TTAF_Qty],T_TTAFStock_Log[Part Name],$A39,T_TTAFStock_Log[WeekIndex],46))</f>
        <v/>
      </c>
      <c r="AV39" s="19">
        <f>IF(COUNTIFS(T_TTAFStock_Log[Part Name],$A39,T_TTAFStock_Log[WeekIndex],47)=0,"",SUMIFS(T_TTAFStock_Log[TTAF_Qty],T_TTAFStock_Log[Part Name],$A39,T_TTAFStock_Log[WeekIndex],47))</f>
        <v/>
      </c>
      <c r="AW39" s="19">
        <f>IF(COUNTIFS(T_TTAFStock_Log[Part Name],$A39,T_TTAFStock_Log[WeekIndex],48)=0,"",SUMIFS(T_TTAFStock_Log[TTAF_Qty],T_TTAFStock_Log[Part Name],$A39,T_TTAFStock_Log[WeekIndex],48))</f>
        <v/>
      </c>
      <c r="AX39" s="19">
        <f>IF(COUNTIFS(T_TTAFStock_Log[Part Name],$A39,T_TTAFStock_Log[WeekIndex],49)=0,"",SUMIFS(T_TTAFStock_Log[TTAF_Qty],T_TTAFStock_Log[Part Name],$A39,T_TTAFStock_Log[WeekIndex],49))</f>
        <v/>
      </c>
      <c r="AY39" s="19">
        <f>IF(COUNTIFS(T_TTAFStock_Log[Part Name],$A39,T_TTAFStock_Log[WeekIndex],50)=0,"",SUMIFS(T_TTAFStock_Log[TTAF_Qty],T_TTAFStock_Log[Part Name],$A39,T_TTAFStock_Log[WeekIndex],50))</f>
        <v/>
      </c>
      <c r="AZ39" s="19">
        <f>IF(COUNTIFS(T_TTAFStock_Log[Part Name],$A39,T_TTAFStock_Log[WeekIndex],51)=0,"",SUMIFS(T_TTAFStock_Log[TTAF_Qty],T_TTAFStock_Log[Part Name],$A39,T_TTAFStock_Log[WeekIndex],51))</f>
        <v/>
      </c>
      <c r="BA39" s="19">
        <f>IF(COUNTIFS(T_TTAFStock_Log[Part Name],$A39,T_TTAFStock_Log[WeekIndex],52)=0,"",SUMIFS(T_TTAFStock_Log[TTAF_Qty],T_TTAFStock_Log[Part Name],$A39,T_TTAFStock_Log[WeekIndex],52))</f>
        <v/>
      </c>
      <c r="BB39" s="19">
        <f>IF(COUNTIFS(T_TTAFStock_Log[Part Name],$A39,T_TTAFStock_Log[WeekIndex],53)=0,"",SUMIFS(T_TTAFStock_Log[TTAF_Qty],T_TTAFStock_Log[Part Name],$A39,T_TTAFStock_Log[WeekIndex],53))</f>
        <v/>
      </c>
      <c r="BC39" s="19">
        <f>IF(COUNTIFS(T_TTAFStock_Log[Part Name],$A39,T_TTAFStock_Log[WeekIndex],54)=0,"",SUMIFS(T_TTAFStock_Log[TTAF_Qty],T_TTAFStock_Log[Part Name],$A39,T_TTAFStock_Log[WeekIndex],54))</f>
        <v/>
      </c>
      <c r="BD39" s="19">
        <f>IF(COUNTIFS(T_TTAFStock_Log[Part Name],$A39,T_TTAFStock_Log[WeekIndex],55)=0,"",SUMIFS(T_TTAFStock_Log[TTAF_Qty],T_TTAFStock_Log[Part Name],$A39,T_TTAFStock_Log[WeekIndex],55))</f>
        <v/>
      </c>
      <c r="BE39" s="19">
        <f>IF(COUNTIFS(T_TTAFStock_Log[Part Name],$A39,T_TTAFStock_Log[WeekIndex],56)=0,"",SUMIFS(T_TTAFStock_Log[TTAF_Qty],T_TTAFStock_Log[Part Name],$A39,T_TTAFStock_Log[WeekIndex],56))</f>
        <v/>
      </c>
      <c r="BF39" s="19">
        <f>IF(COUNTIFS(T_TTAFStock_Log[Part Name],$A39,T_TTAFStock_Log[WeekIndex],57)=0,"",SUMIFS(T_TTAFStock_Log[TTAF_Qty],T_TTAFStock_Log[Part Name],$A39,T_TTAFStock_Log[WeekIndex],57))</f>
        <v/>
      </c>
      <c r="BG39" s="19">
        <f>IF(COUNTIFS(T_TTAFStock_Log[Part Name],$A39,T_TTAFStock_Log[WeekIndex],58)=0,"",SUMIFS(T_TTAFStock_Log[TTAF_Qty],T_TTAFStock_Log[Part Name],$A39,T_TTAFStock_Log[WeekIndex],58))</f>
        <v/>
      </c>
      <c r="BH39" s="19">
        <f>IF(COUNTIFS(T_TTAFStock_Log[Part Name],$A39,T_TTAFStock_Log[WeekIndex],59)=0,"",SUMIFS(T_TTAFStock_Log[TTAF_Qty],T_TTAFStock_Log[Part Name],$A39,T_TTAFStock_Log[WeekIndex],59))</f>
        <v/>
      </c>
      <c r="BI39" s="19">
        <f>IF(COUNTIFS(T_TTAFStock_Log[Part Name],$A39,T_TTAFStock_Log[WeekIndex],60)=0,"",SUMIFS(T_TTAFStock_Log[TTAF_Qty],T_TTAFStock_Log[Part Name],$A39,T_TTAFStock_Log[WeekIndex],60))</f>
        <v/>
      </c>
      <c r="BJ39" s="19">
        <f>IF(COUNTIFS(T_TTAFStock_Log[Part Name],$A39,T_TTAFStock_Log[WeekIndex],61)=0,"",SUMIFS(T_TTAFStock_Log[TTAF_Qty],T_TTAFStock_Log[Part Name],$A39,T_TTAFStock_Log[WeekIndex],61))</f>
        <v/>
      </c>
      <c r="BK39" s="19">
        <f>IF(COUNTIFS(T_TTAFStock_Log[Part Name],$A39,T_TTAFStock_Log[WeekIndex],62)=0,"",SUMIFS(T_TTAFStock_Log[TTAF_Qty],T_TTAFStock_Log[Part Name],$A39,T_TTAFStock_Log[WeekIndex],62))</f>
        <v/>
      </c>
      <c r="BL39" s="19">
        <f>IF(COUNTIFS(T_TTAFStock_Log[Part Name],$A39,T_TTAFStock_Log[WeekIndex],63)=0,"",SUMIFS(T_TTAFStock_Log[TTAF_Qty],T_TTAFStock_Log[Part Name],$A39,T_TTAFStock_Log[WeekIndex],63))</f>
        <v/>
      </c>
      <c r="BM39" s="19">
        <f>IF(COUNTIFS(T_TTAFStock_Log[Part Name],$A39,T_TTAFStock_Log[WeekIndex],64)=0,"",SUMIFS(T_TTAFStock_Log[TTAF_Qty],T_TTAFStock_Log[Part Name],$A39,T_TTAFStock_Log[WeekIndex],64))</f>
        <v/>
      </c>
      <c r="BN39" s="19">
        <f>IF(COUNTIFS(T_TTAFStock_Log[Part Name],$A39,T_TTAFStock_Log[WeekIndex],65)=0,"",SUMIFS(T_TTAFStock_Log[TTAF_Qty],T_TTAFStock_Log[Part Name],$A39,T_TTAFStock_Log[WeekIndex],65))</f>
        <v/>
      </c>
      <c r="BO39" s="19">
        <f>IF(COUNTIFS(T_TTAFStock_Log[Part Name],$A39,T_TTAFStock_Log[WeekIndex],66)=0,"",SUMIFS(T_TTAFStock_Log[TTAF_Qty],T_TTAFStock_Log[Part Name],$A39,T_TTAFStock_Log[WeekIndex],66))</f>
        <v/>
      </c>
      <c r="BP39" s="19">
        <f>IF(COUNTIFS(T_TTAFStock_Log[Part Name],$A39,T_TTAFStock_Log[WeekIndex],67)=0,"",SUMIFS(T_TTAFStock_Log[TTAF_Qty],T_TTAFStock_Log[Part Name],$A39,T_TTAFStock_Log[WeekIndex],67))</f>
        <v/>
      </c>
      <c r="BQ39" s="19">
        <f>IF(COUNTIFS(T_TTAFStock_Log[Part Name],$A39,T_TTAFStock_Log[WeekIndex],68)=0,"",SUMIFS(T_TTAFStock_Log[TTAF_Qty],T_TTAFStock_Log[Part Name],$A39,T_TTAFStock_Log[WeekIndex],68))</f>
        <v/>
      </c>
      <c r="BR39" s="19">
        <f>IF(COUNTIFS(T_TTAFStock_Log[Part Name],$A39,T_TTAFStock_Log[WeekIndex],69)=0,"",SUMIFS(T_TTAFStock_Log[TTAF_Qty],T_TTAFStock_Log[Part Name],$A39,T_TTAFStock_Log[WeekIndex],69))</f>
        <v/>
      </c>
      <c r="BS39" s="19">
        <f>IF(COUNTIFS(T_TTAFStock_Log[Part Name],$A39,T_TTAFStock_Log[WeekIndex],70)=0,"",SUMIFS(T_TTAFStock_Log[TTAF_Qty],T_TTAFStock_Log[Part Name],$A39,T_TTAFStock_Log[WeekIndex],70))</f>
        <v/>
      </c>
      <c r="BT39" s="19">
        <f>IF(COUNTIFS(T_TTAFStock_Log[Part Name],$A39,T_TTAFStock_Log[WeekIndex],71)=0,"",SUMIFS(T_TTAFStock_Log[TTAF_Qty],T_TTAFStock_Log[Part Name],$A39,T_TTAFStock_Log[WeekIndex],71))</f>
        <v/>
      </c>
      <c r="BU39" s="19">
        <f>IF(COUNTIFS(T_TTAFStock_Log[Part Name],$A39,T_TTAFStock_Log[WeekIndex],72)=0,"",SUMIFS(T_TTAFStock_Log[TTAF_Qty],T_TTAFStock_Log[Part Name],$A39,T_TTAFStock_Log[WeekIndex],72))</f>
        <v/>
      </c>
      <c r="BV39" s="19">
        <f>IF(COUNTIFS(T_TTAFStock_Log[Part Name],$A39,T_TTAFStock_Log[WeekIndex],73)=0,"",SUMIFS(T_TTAFStock_Log[TTAF_Qty],T_TTAFStock_Log[Part Name],$A39,T_TTAFStock_Log[WeekIndex],73))</f>
        <v/>
      </c>
      <c r="BW39" s="19">
        <f>IF(COUNTIFS(T_TTAFStock_Log[Part Name],$A39,T_TTAFStock_Log[WeekIndex],74)=0,"",SUMIFS(T_TTAFStock_Log[TTAF_Qty],T_TTAFStock_Log[Part Name],$A39,T_TTAFStock_Log[WeekIndex],74))</f>
        <v/>
      </c>
      <c r="BX39" s="19">
        <f>IF(COUNTIFS(T_TTAFStock_Log[Part Name],$A39,T_TTAFStock_Log[WeekIndex],75)=0,"",SUMIFS(T_TTAFStock_Log[TTAF_Qty],T_TTAFStock_Log[Part Name],$A39,T_TTAFStock_Log[WeekIndex],75))</f>
        <v/>
      </c>
      <c r="BY39" s="19">
        <f>IF(COUNTIFS(T_TTAFStock_Log[Part Name],$A39,T_TTAFStock_Log[WeekIndex],76)=0,"",SUMIFS(T_TTAFStock_Log[TTAF_Qty],T_TTAFStock_Log[Part Name],$A39,T_TTAFStock_Log[WeekIndex],76))</f>
        <v/>
      </c>
      <c r="BZ39" s="19">
        <f>IF(COUNTIFS(T_TTAFStock_Log[Part Name],$A39,T_TTAFStock_Log[WeekIndex],77)=0,"",SUMIFS(T_TTAFStock_Log[TTAF_Qty],T_TTAFStock_Log[Part Name],$A39,T_TTAFStock_Log[WeekIndex],77))</f>
        <v/>
      </c>
      <c r="CA39" s="19">
        <f>IF(COUNTIFS(T_TTAFStock_Log[Part Name],$A39,T_TTAFStock_Log[WeekIndex],78)=0,"",SUMIFS(T_TTAFStock_Log[TTAF_Qty],T_TTAFStock_Log[Part Name],$A39,T_TTAFStock_Log[WeekIndex],78))</f>
        <v/>
      </c>
      <c r="CB39" s="19">
        <f>IF(COUNTIFS(T_TTAFStock_Log[Part Name],$A39,T_TTAFStock_Log[WeekIndex],79)=0,"",SUMIFS(T_TTAFStock_Log[TTAF_Qty],T_TTAFStock_Log[Part Name],$A39,T_TTAFStock_Log[WeekIndex],79))</f>
        <v/>
      </c>
      <c r="CC39" s="19">
        <f>IF(COUNTIFS(T_TTAFStock_Log[Part Name],$A39,T_TTAFStock_Log[WeekIndex],80)=0,"",SUMIFS(T_TTAFStock_Log[TTAF_Qty],T_TTAFStock_Log[Part Name],$A39,T_TTAFStock_Log[WeekIndex],80))</f>
        <v/>
      </c>
      <c r="CD39" s="19">
        <f>IF(COUNTIFS(T_TTAFStock_Log[Part Name],$A39,T_TTAFStock_Log[WeekIndex],81)=0,"",SUMIFS(T_TTAFStock_Log[TTAF_Qty],T_TTAFStock_Log[Part Name],$A39,T_TTAFStock_Log[WeekIndex],81))</f>
        <v/>
      </c>
      <c r="CE39" s="19">
        <f>IF(COUNTIFS(T_TTAFStock_Log[Part Name],$A39,T_TTAFStock_Log[WeekIndex],82)=0,"",SUMIFS(T_TTAFStock_Log[TTAF_Qty],T_TTAFStock_Log[Part Name],$A39,T_TTAFStock_Log[WeekIndex],82))</f>
        <v/>
      </c>
      <c r="CF39" s="19">
        <f>IF(COUNTIFS(T_TTAFStock_Log[Part Name],$A39,T_TTAFStock_Log[WeekIndex],83)=0,"",SUMIFS(T_TTAFStock_Log[TTAF_Qty],T_TTAFStock_Log[Part Name],$A39,T_TTAFStock_Log[WeekIndex],83))</f>
        <v/>
      </c>
      <c r="CG39" s="19">
        <f>IF(COUNTIFS(T_TTAFStock_Log[Part Name],$A39,T_TTAFStock_Log[WeekIndex],84)=0,"",SUMIFS(T_TTAFStock_Log[TTAF_Qty],T_TTAFStock_Log[Part Name],$A39,T_TTAFStock_Log[WeekIndex],84))</f>
        <v/>
      </c>
      <c r="CH39" s="19">
        <f>IF(COUNTIFS(T_TTAFStock_Log[Part Name],$A39,T_TTAFStock_Log[WeekIndex],85)=0,"",SUMIFS(T_TTAFStock_Log[TTAF_Qty],T_TTAFStock_Log[Part Name],$A39,T_TTAFStock_Log[WeekIndex],85))</f>
        <v/>
      </c>
      <c r="CI39" s="19">
        <f>IF(COUNTIFS(T_TTAFStock_Log[Part Name],$A39,T_TTAFStock_Log[WeekIndex],86)=0,"",SUMIFS(T_TTAFStock_Log[TTAF_Qty],T_TTAFStock_Log[Part Name],$A39,T_TTAFStock_Log[WeekIndex],86))</f>
        <v/>
      </c>
      <c r="CJ39" s="19">
        <f>IF(COUNTIFS(T_TTAFStock_Log[Part Name],$A39,T_TTAFStock_Log[WeekIndex],87)=0,"",SUMIFS(T_TTAFStock_Log[TTAF_Qty],T_TTAFStock_Log[Part Name],$A39,T_TTAFStock_Log[WeekIndex],87))</f>
        <v/>
      </c>
      <c r="CK39" s="19">
        <f>IF(COUNTIFS(T_TTAFStock_Log[Part Name],$A39,T_TTAFStock_Log[WeekIndex],88)=0,"",SUMIFS(T_TTAFStock_Log[TTAF_Qty],T_TTAFStock_Log[Part Name],$A39,T_TTAFStock_Log[WeekIndex],88))</f>
        <v/>
      </c>
      <c r="CL39" s="19">
        <f>IF(COUNTIFS(T_TTAFStock_Log[Part Name],$A39,T_TTAFStock_Log[WeekIndex],89)=0,"",SUMIFS(T_TTAFStock_Log[TTAF_Qty],T_TTAFStock_Log[Part Name],$A39,T_TTAFStock_Log[WeekIndex],89))</f>
        <v/>
      </c>
      <c r="CM39" s="19">
        <f>IF(COUNTIFS(T_TTAFStock_Log[Part Name],$A39,T_TTAFStock_Log[WeekIndex],90)=0,"",SUMIFS(T_TTAFStock_Log[TTAF_Qty],T_TTAFStock_Log[Part Name],$A39,T_TTAFStock_Log[WeekIndex],90))</f>
        <v/>
      </c>
      <c r="CN39" s="19">
        <f>IF(COUNTIFS(T_TTAFStock_Log[Part Name],$A39,T_TTAFStock_Log[WeekIndex],91)=0,"",SUMIFS(T_TTAFStock_Log[TTAF_Qty],T_TTAFStock_Log[Part Name],$A39,T_TTAFStock_Log[WeekIndex],91))</f>
        <v/>
      </c>
      <c r="CO39" s="19">
        <f>IF(COUNTIFS(T_TTAFStock_Log[Part Name],$A39,T_TTAFStock_Log[WeekIndex],92)=0,"",SUMIFS(T_TTAFStock_Log[TTAF_Qty],T_TTAFStock_Log[Part Name],$A39,T_TTAFStock_Log[WeekIndex],92))</f>
        <v/>
      </c>
      <c r="CP39" s="19">
        <f>IF(COUNTIFS(T_TTAFStock_Log[Part Name],$A39,T_TTAFStock_Log[WeekIndex],93)=0,"",SUMIFS(T_TTAFStock_Log[TTAF_Qty],T_TTAFStock_Log[Part Name],$A39,T_TTAFStock_Log[WeekIndex],93))</f>
        <v/>
      </c>
      <c r="CQ39" s="19">
        <f>IF(COUNTIFS(T_TTAFStock_Log[Part Name],$A39,T_TTAFStock_Log[WeekIndex],94)=0,"",SUMIFS(T_TTAFStock_Log[TTAF_Qty],T_TTAFStock_Log[Part Name],$A39,T_TTAFStock_Log[WeekIndex],94))</f>
        <v/>
      </c>
      <c r="CR39" s="19">
        <f>IF(COUNTIFS(T_TTAFStock_Log[Part Name],$A39,T_TTAFStock_Log[WeekIndex],95)=0,"",SUMIFS(T_TTAFStock_Log[TTAF_Qty],T_TTAFStock_Log[Part Name],$A39,T_TTAFStock_Log[WeekIndex],95))</f>
        <v/>
      </c>
      <c r="CS39" s="19">
        <f>IF(COUNTIFS(T_TTAFStock_Log[Part Name],$A39,T_TTAFStock_Log[WeekIndex],96)=0,"",SUMIFS(T_TTAFStock_Log[TTAF_Qty],T_TTAFStock_Log[Part Name],$A39,T_TTAFStock_Log[WeekIndex],96))</f>
        <v/>
      </c>
      <c r="CT39" s="19">
        <f>IF(COUNTIFS(T_TTAFStock_Log[Part Name],$A39,T_TTAFStock_Log[WeekIndex],97)=0,"",SUMIFS(T_TTAFStock_Log[TTAF_Qty],T_TTAFStock_Log[Part Name],$A39,T_TTAFStock_Log[WeekIndex],97))</f>
        <v/>
      </c>
      <c r="CU39" s="19">
        <f>IF(COUNTIFS(T_TTAFStock_Log[Part Name],$A39,T_TTAFStock_Log[WeekIndex],98)=0,"",SUMIFS(T_TTAFStock_Log[TTAF_Qty],T_TTAFStock_Log[Part Name],$A39,T_TTAFStock_Log[WeekIndex],98))</f>
        <v/>
      </c>
      <c r="CV39" s="19">
        <f>IF(COUNTIFS(T_TTAFStock_Log[Part Name],$A39,T_TTAFStock_Log[WeekIndex],99)=0,"",SUMIFS(T_TTAFStock_Log[TTAF_Qty],T_TTAFStock_Log[Part Name],$A39,T_TTAFStock_Log[WeekIndex],99))</f>
        <v/>
      </c>
      <c r="CW39" s="19">
        <f>IF(COUNTIFS(T_TTAFStock_Log[Part Name],$A39,T_TTAFStock_Log[WeekIndex],100)=0,"",SUMIFS(T_TTAFStock_Log[TTAF_Qty],T_TTAFStock_Log[Part Name],$A39,T_TTAFStock_Log[WeekIndex],100))</f>
        <v/>
      </c>
      <c r="CX39" s="19">
        <f>IF(COUNTIFS(T_TTAFStock_Log[Part Name],$A39,T_TTAFStock_Log[WeekIndex],101)=0,"",SUMIFS(T_TTAFStock_Log[TTAF_Qty],T_TTAFStock_Log[Part Name],$A39,T_TTAFStock_Log[WeekIndex],101))</f>
        <v/>
      </c>
      <c r="CY39" s="19">
        <f>IF(COUNTIFS(T_TTAFStock_Log[Part Name],$A39,T_TTAFStock_Log[WeekIndex],102)=0,"",SUMIFS(T_TTAFStock_Log[TTAF_Qty],T_TTAFStock_Log[Part Name],$A39,T_TTAFStock_Log[WeekIndex],102))</f>
        <v/>
      </c>
      <c r="CZ39" s="19">
        <f>IF(COUNTIFS(T_TTAFStock_Log[Part Name],$A39,T_TTAFStock_Log[WeekIndex],103)=0,"",SUMIFS(T_TTAFStock_Log[TTAF_Qty],T_TTAFStock_Log[Part Name],$A39,T_TTAFStock_Log[WeekIndex],103))</f>
        <v/>
      </c>
      <c r="DA39" s="19">
        <f>IF(COUNTIFS(T_TTAFStock_Log[Part Name],$A39,T_TTAFStock_Log[WeekIndex],104)=0,"",SUMIFS(T_TTAFStock_Log[TTAF_Qty],T_TTAFStock_Log[Part Name],$A39,T_TTAFStock_Log[WeekIndex],104))</f>
        <v/>
      </c>
    </row>
    <row r="40">
      <c r="A40" s="17" t="inlineStr">
        <is>
          <t>CHEM-1420</t>
        </is>
      </c>
      <c r="B40" s="17">
        <f>IF(COUNTIFS(T_TTAFStock_Log[Part Name],$A40,T_TTAFStock_Log[WeekIndex],1)=0,"",SUMIFS(T_TTAFStock_Log[TTAF_Qty],T_TTAFStock_Log[Part Name],$A40,T_TTAFStock_Log[WeekIndex],1))</f>
        <v/>
      </c>
      <c r="C40" s="17">
        <f>IF(COUNTIFS(T_TTAFStock_Log[Part Name],$A40,T_TTAFStock_Log[WeekIndex],2)=0,"",SUMIFS(T_TTAFStock_Log[TTAF_Qty],T_TTAFStock_Log[Part Name],$A40,T_TTAFStock_Log[WeekIndex],2))</f>
        <v/>
      </c>
      <c r="D40" s="17">
        <f>IF(COUNTIFS(T_TTAFStock_Log[Part Name],$A40,T_TTAFStock_Log[WeekIndex],3)=0,"",SUMIFS(T_TTAFStock_Log[TTAF_Qty],T_TTAFStock_Log[Part Name],$A40,T_TTAFStock_Log[WeekIndex],3))</f>
        <v/>
      </c>
      <c r="E40" s="17">
        <f>IF(COUNTIFS(T_TTAFStock_Log[Part Name],$A40,T_TTAFStock_Log[WeekIndex],4)=0,"",SUMIFS(T_TTAFStock_Log[TTAF_Qty],T_TTAFStock_Log[Part Name],$A40,T_TTAFStock_Log[WeekIndex],4))</f>
        <v/>
      </c>
      <c r="F40" s="17">
        <f>IF(COUNTIFS(T_TTAFStock_Log[Part Name],$A40,T_TTAFStock_Log[WeekIndex],5)=0,"",SUMIFS(T_TTAFStock_Log[TTAF_Qty],T_TTAFStock_Log[Part Name],$A40,T_TTAFStock_Log[WeekIndex],5))</f>
        <v/>
      </c>
      <c r="G40" s="17">
        <f>IF(COUNTIFS(T_TTAFStock_Log[Part Name],$A40,T_TTAFStock_Log[WeekIndex],6)=0,"",SUMIFS(T_TTAFStock_Log[TTAF_Qty],T_TTAFStock_Log[Part Name],$A40,T_TTAFStock_Log[WeekIndex],6))</f>
        <v/>
      </c>
      <c r="H40" s="17">
        <f>IF(COUNTIFS(T_TTAFStock_Log[Part Name],$A40,T_TTAFStock_Log[WeekIndex],7)=0,"",SUMIFS(T_TTAFStock_Log[TTAF_Qty],T_TTAFStock_Log[Part Name],$A40,T_TTAFStock_Log[WeekIndex],7))</f>
        <v/>
      </c>
      <c r="I40" s="17">
        <f>IF(COUNTIFS(T_TTAFStock_Log[Part Name],$A40,T_TTAFStock_Log[WeekIndex],8)=0,"",SUMIFS(T_TTAFStock_Log[TTAF_Qty],T_TTAFStock_Log[Part Name],$A40,T_TTAFStock_Log[WeekIndex],8))</f>
        <v/>
      </c>
      <c r="J40" s="17">
        <f>IF(COUNTIFS(T_TTAFStock_Log[Part Name],$A40,T_TTAFStock_Log[WeekIndex],9)=0,"",SUMIFS(T_TTAFStock_Log[TTAF_Qty],T_TTAFStock_Log[Part Name],$A40,T_TTAFStock_Log[WeekIndex],9))</f>
        <v/>
      </c>
      <c r="K40" s="17">
        <f>IF(COUNTIFS(T_TTAFStock_Log[Part Name],$A40,T_TTAFStock_Log[WeekIndex],10)=0,"",SUMIFS(T_TTAFStock_Log[TTAF_Qty],T_TTAFStock_Log[Part Name],$A40,T_TTAFStock_Log[WeekIndex],10))</f>
        <v/>
      </c>
      <c r="L40" s="17">
        <f>IF(COUNTIFS(T_TTAFStock_Log[Part Name],$A40,T_TTAFStock_Log[WeekIndex],11)=0,"",SUMIFS(T_TTAFStock_Log[TTAF_Qty],T_TTAFStock_Log[Part Name],$A40,T_TTAFStock_Log[WeekIndex],11))</f>
        <v/>
      </c>
      <c r="M40" s="17">
        <f>IF(COUNTIFS(T_TTAFStock_Log[Part Name],$A40,T_TTAFStock_Log[WeekIndex],12)=0,"",SUMIFS(T_TTAFStock_Log[TTAF_Qty],T_TTAFStock_Log[Part Name],$A40,T_TTAFStock_Log[WeekIndex],12))</f>
        <v/>
      </c>
      <c r="N40" s="17">
        <f>IF(COUNTIFS(T_TTAFStock_Log[Part Name],$A40,T_TTAFStock_Log[WeekIndex],13)=0,"",SUMIFS(T_TTAFStock_Log[TTAF_Qty],T_TTAFStock_Log[Part Name],$A40,T_TTAFStock_Log[WeekIndex],13))</f>
        <v/>
      </c>
      <c r="O40" s="17">
        <f>IF(COUNTIFS(T_TTAFStock_Log[Part Name],$A40,T_TTAFStock_Log[WeekIndex],14)=0,"",SUMIFS(T_TTAFStock_Log[TTAF_Qty],T_TTAFStock_Log[Part Name],$A40,T_TTAFStock_Log[WeekIndex],14))</f>
        <v/>
      </c>
      <c r="P40" s="17">
        <f>IF(COUNTIFS(T_TTAFStock_Log[Part Name],$A40,T_TTAFStock_Log[WeekIndex],15)=0,"",SUMIFS(T_TTAFStock_Log[TTAF_Qty],T_TTAFStock_Log[Part Name],$A40,T_TTAFStock_Log[WeekIndex],15))</f>
        <v/>
      </c>
      <c r="Q40" s="17">
        <f>IF(COUNTIFS(T_TTAFStock_Log[Part Name],$A40,T_TTAFStock_Log[WeekIndex],16)=0,"",SUMIFS(T_TTAFStock_Log[TTAF_Qty],T_TTAFStock_Log[Part Name],$A40,T_TTAFStock_Log[WeekIndex],16))</f>
        <v/>
      </c>
      <c r="R40" s="17">
        <f>IF(COUNTIFS(T_TTAFStock_Log[Part Name],$A40,T_TTAFStock_Log[WeekIndex],17)=0,"",SUMIFS(T_TTAFStock_Log[TTAF_Qty],T_TTAFStock_Log[Part Name],$A40,T_TTAFStock_Log[WeekIndex],17))</f>
        <v/>
      </c>
      <c r="S40" s="17">
        <f>IF(COUNTIFS(T_TTAFStock_Log[Part Name],$A40,T_TTAFStock_Log[WeekIndex],18)=0,"",SUMIFS(T_TTAFStock_Log[TTAF_Qty],T_TTAFStock_Log[Part Name],$A40,T_TTAFStock_Log[WeekIndex],18))</f>
        <v/>
      </c>
      <c r="T40" s="17">
        <f>IF(COUNTIFS(T_TTAFStock_Log[Part Name],$A40,T_TTAFStock_Log[WeekIndex],19)=0,"",SUMIFS(T_TTAFStock_Log[TTAF_Qty],T_TTAFStock_Log[Part Name],$A40,T_TTAFStock_Log[WeekIndex],19))</f>
        <v/>
      </c>
      <c r="U40" s="17">
        <f>IF(COUNTIFS(T_TTAFStock_Log[Part Name],$A40,T_TTAFStock_Log[WeekIndex],20)=0,"",SUMIFS(T_TTAFStock_Log[TTAF_Qty],T_TTAFStock_Log[Part Name],$A40,T_TTAFStock_Log[WeekIndex],20))</f>
        <v/>
      </c>
      <c r="V40" s="17">
        <f>IF(COUNTIFS(T_TTAFStock_Log[Part Name],$A40,T_TTAFStock_Log[WeekIndex],21)=0,"",SUMIFS(T_TTAFStock_Log[TTAF_Qty],T_TTAFStock_Log[Part Name],$A40,T_TTAFStock_Log[WeekIndex],21))</f>
        <v/>
      </c>
      <c r="W40" s="17">
        <f>IF(COUNTIFS(T_TTAFStock_Log[Part Name],$A40,T_TTAFStock_Log[WeekIndex],22)=0,"",SUMIFS(T_TTAFStock_Log[TTAF_Qty],T_TTAFStock_Log[Part Name],$A40,T_TTAFStock_Log[WeekIndex],22))</f>
        <v/>
      </c>
      <c r="X40" s="17">
        <f>IF(COUNTIFS(T_TTAFStock_Log[Part Name],$A40,T_TTAFStock_Log[WeekIndex],23)=0,"",SUMIFS(T_TTAFStock_Log[TTAF_Qty],T_TTAFStock_Log[Part Name],$A40,T_TTAFStock_Log[WeekIndex],23))</f>
        <v/>
      </c>
      <c r="Y40" s="17">
        <f>IF(COUNTIFS(T_TTAFStock_Log[Part Name],$A40,T_TTAFStock_Log[WeekIndex],24)=0,"",SUMIFS(T_TTAFStock_Log[TTAF_Qty],T_TTAFStock_Log[Part Name],$A40,T_TTAFStock_Log[WeekIndex],24))</f>
        <v/>
      </c>
      <c r="Z40" s="17">
        <f>IF(COUNTIFS(T_TTAFStock_Log[Part Name],$A40,T_TTAFStock_Log[WeekIndex],25)=0,"",SUMIFS(T_TTAFStock_Log[TTAF_Qty],T_TTAFStock_Log[Part Name],$A40,T_TTAFStock_Log[WeekIndex],25))</f>
        <v/>
      </c>
      <c r="AA40" s="17">
        <f>IF(COUNTIFS(T_TTAFStock_Log[Part Name],$A40,T_TTAFStock_Log[WeekIndex],26)=0,"",SUMIFS(T_TTAFStock_Log[TTAF_Qty],T_TTAFStock_Log[Part Name],$A40,T_TTAFStock_Log[WeekIndex],26))</f>
        <v/>
      </c>
      <c r="AB40" s="17">
        <f>IF(COUNTIFS(T_TTAFStock_Log[Part Name],$A40,T_TTAFStock_Log[WeekIndex],27)=0,"",SUMIFS(T_TTAFStock_Log[TTAF_Qty],T_TTAFStock_Log[Part Name],$A40,T_TTAFStock_Log[WeekIndex],27))</f>
        <v/>
      </c>
      <c r="AC40" s="17">
        <f>IF(COUNTIFS(T_TTAFStock_Log[Part Name],$A40,T_TTAFStock_Log[WeekIndex],28)=0,"",SUMIFS(T_TTAFStock_Log[TTAF_Qty],T_TTAFStock_Log[Part Name],$A40,T_TTAFStock_Log[WeekIndex],28))</f>
        <v/>
      </c>
      <c r="AD40" s="17">
        <f>IF(COUNTIFS(T_TTAFStock_Log[Part Name],$A40,T_TTAFStock_Log[WeekIndex],29)=0,"",SUMIFS(T_TTAFStock_Log[TTAF_Qty],T_TTAFStock_Log[Part Name],$A40,T_TTAFStock_Log[WeekIndex],29))</f>
        <v/>
      </c>
      <c r="AE40" s="17">
        <f>IF(COUNTIFS(T_TTAFStock_Log[Part Name],$A40,T_TTAFStock_Log[WeekIndex],30)=0,"",SUMIFS(T_TTAFStock_Log[TTAF_Qty],T_TTAFStock_Log[Part Name],$A40,T_TTAFStock_Log[WeekIndex],30))</f>
        <v/>
      </c>
      <c r="AF40" s="17">
        <f>IF(COUNTIFS(T_TTAFStock_Log[Part Name],$A40,T_TTAFStock_Log[WeekIndex],31)=0,"",SUMIFS(T_TTAFStock_Log[TTAF_Qty],T_TTAFStock_Log[Part Name],$A40,T_TTAFStock_Log[WeekIndex],31))</f>
        <v/>
      </c>
      <c r="AG40" s="17">
        <f>IF(COUNTIFS(T_TTAFStock_Log[Part Name],$A40,T_TTAFStock_Log[WeekIndex],32)=0,"",SUMIFS(T_TTAFStock_Log[TTAF_Qty],T_TTAFStock_Log[Part Name],$A40,T_TTAFStock_Log[WeekIndex],32))</f>
        <v/>
      </c>
      <c r="AH40" s="17">
        <f>IF(COUNTIFS(T_TTAFStock_Log[Part Name],$A40,T_TTAFStock_Log[WeekIndex],33)=0,"",SUMIFS(T_TTAFStock_Log[TTAF_Qty],T_TTAFStock_Log[Part Name],$A40,T_TTAFStock_Log[WeekIndex],33))</f>
        <v/>
      </c>
      <c r="AI40" s="17">
        <f>IF(COUNTIFS(T_TTAFStock_Log[Part Name],$A40,T_TTAFStock_Log[WeekIndex],34)=0,"",SUMIFS(T_TTAFStock_Log[TTAF_Qty],T_TTAFStock_Log[Part Name],$A40,T_TTAFStock_Log[WeekIndex],34))</f>
        <v/>
      </c>
      <c r="AJ40" s="17">
        <f>IF(COUNTIFS(T_TTAFStock_Log[Part Name],$A40,T_TTAFStock_Log[WeekIndex],35)=0,"",SUMIFS(T_TTAFStock_Log[TTAF_Qty],T_TTAFStock_Log[Part Name],$A40,T_TTAFStock_Log[WeekIndex],35))</f>
        <v/>
      </c>
      <c r="AK40" s="17">
        <f>IF(COUNTIFS(T_TTAFStock_Log[Part Name],$A40,T_TTAFStock_Log[WeekIndex],36)=0,"",SUMIFS(T_TTAFStock_Log[TTAF_Qty],T_TTAFStock_Log[Part Name],$A40,T_TTAFStock_Log[WeekIndex],36))</f>
        <v/>
      </c>
      <c r="AL40" s="17">
        <f>IF(COUNTIFS(T_TTAFStock_Log[Part Name],$A40,T_TTAFStock_Log[WeekIndex],37)=0,"",SUMIFS(T_TTAFStock_Log[TTAF_Qty],T_TTAFStock_Log[Part Name],$A40,T_TTAFStock_Log[WeekIndex],37))</f>
        <v/>
      </c>
      <c r="AM40" s="17">
        <f>IF(COUNTIFS(T_TTAFStock_Log[Part Name],$A40,T_TTAFStock_Log[WeekIndex],38)=0,"",SUMIFS(T_TTAFStock_Log[TTAF_Qty],T_TTAFStock_Log[Part Name],$A40,T_TTAFStock_Log[WeekIndex],38))</f>
        <v/>
      </c>
      <c r="AN40" s="17">
        <f>IF(COUNTIFS(T_TTAFStock_Log[Part Name],$A40,T_TTAFStock_Log[WeekIndex],39)=0,"",SUMIFS(T_TTAFStock_Log[TTAF_Qty],T_TTAFStock_Log[Part Name],$A40,T_TTAFStock_Log[WeekIndex],39))</f>
        <v/>
      </c>
      <c r="AO40" s="17">
        <f>IF(COUNTIFS(T_TTAFStock_Log[Part Name],$A40,T_TTAFStock_Log[WeekIndex],40)=0,"",SUMIFS(T_TTAFStock_Log[TTAF_Qty],T_TTAFStock_Log[Part Name],$A40,T_TTAFStock_Log[WeekIndex],40))</f>
        <v/>
      </c>
      <c r="AP40" s="17">
        <f>IF(COUNTIFS(T_TTAFStock_Log[Part Name],$A40,T_TTAFStock_Log[WeekIndex],41)=0,"",SUMIFS(T_TTAFStock_Log[TTAF_Qty],T_TTAFStock_Log[Part Name],$A40,T_TTAFStock_Log[WeekIndex],41))</f>
        <v/>
      </c>
      <c r="AQ40" s="17">
        <f>IF(COUNTIFS(T_TTAFStock_Log[Part Name],$A40,T_TTAFStock_Log[WeekIndex],42)=0,"",SUMIFS(T_TTAFStock_Log[TTAF_Qty],T_TTAFStock_Log[Part Name],$A40,T_TTAFStock_Log[WeekIndex],42))</f>
        <v/>
      </c>
      <c r="AR40" s="17">
        <f>IF(COUNTIFS(T_TTAFStock_Log[Part Name],$A40,T_TTAFStock_Log[WeekIndex],43)=0,"",SUMIFS(T_TTAFStock_Log[TTAF_Qty],T_TTAFStock_Log[Part Name],$A40,T_TTAFStock_Log[WeekIndex],43))</f>
        <v/>
      </c>
      <c r="AS40" s="17">
        <f>IF(COUNTIFS(T_TTAFStock_Log[Part Name],$A40,T_TTAFStock_Log[WeekIndex],44)=0,"",SUMIFS(T_TTAFStock_Log[TTAF_Qty],T_TTAFStock_Log[Part Name],$A40,T_TTAFStock_Log[WeekIndex],44))</f>
        <v/>
      </c>
      <c r="AT40" s="17">
        <f>IF(COUNTIFS(T_TTAFStock_Log[Part Name],$A40,T_TTAFStock_Log[WeekIndex],45)=0,"",SUMIFS(T_TTAFStock_Log[TTAF_Qty],T_TTAFStock_Log[Part Name],$A40,T_TTAFStock_Log[WeekIndex],45))</f>
        <v/>
      </c>
      <c r="AU40" s="17">
        <f>IF(COUNTIFS(T_TTAFStock_Log[Part Name],$A40,T_TTAFStock_Log[WeekIndex],46)=0,"",SUMIFS(T_TTAFStock_Log[TTAF_Qty],T_TTAFStock_Log[Part Name],$A40,T_TTAFStock_Log[WeekIndex],46))</f>
        <v/>
      </c>
      <c r="AV40" s="17">
        <f>IF(COUNTIFS(T_TTAFStock_Log[Part Name],$A40,T_TTAFStock_Log[WeekIndex],47)=0,"",SUMIFS(T_TTAFStock_Log[TTAF_Qty],T_TTAFStock_Log[Part Name],$A40,T_TTAFStock_Log[WeekIndex],47))</f>
        <v/>
      </c>
      <c r="AW40" s="17">
        <f>IF(COUNTIFS(T_TTAFStock_Log[Part Name],$A40,T_TTAFStock_Log[WeekIndex],48)=0,"",SUMIFS(T_TTAFStock_Log[TTAF_Qty],T_TTAFStock_Log[Part Name],$A40,T_TTAFStock_Log[WeekIndex],48))</f>
        <v/>
      </c>
      <c r="AX40" s="17">
        <f>IF(COUNTIFS(T_TTAFStock_Log[Part Name],$A40,T_TTAFStock_Log[WeekIndex],49)=0,"",SUMIFS(T_TTAFStock_Log[TTAF_Qty],T_TTAFStock_Log[Part Name],$A40,T_TTAFStock_Log[WeekIndex],49))</f>
        <v/>
      </c>
      <c r="AY40" s="17">
        <f>IF(COUNTIFS(T_TTAFStock_Log[Part Name],$A40,T_TTAFStock_Log[WeekIndex],50)=0,"",SUMIFS(T_TTAFStock_Log[TTAF_Qty],T_TTAFStock_Log[Part Name],$A40,T_TTAFStock_Log[WeekIndex],50))</f>
        <v/>
      </c>
      <c r="AZ40" s="17">
        <f>IF(COUNTIFS(T_TTAFStock_Log[Part Name],$A40,T_TTAFStock_Log[WeekIndex],51)=0,"",SUMIFS(T_TTAFStock_Log[TTAF_Qty],T_TTAFStock_Log[Part Name],$A40,T_TTAFStock_Log[WeekIndex],51))</f>
        <v/>
      </c>
      <c r="BA40" s="17">
        <f>IF(COUNTIFS(T_TTAFStock_Log[Part Name],$A40,T_TTAFStock_Log[WeekIndex],52)=0,"",SUMIFS(T_TTAFStock_Log[TTAF_Qty],T_TTAFStock_Log[Part Name],$A40,T_TTAFStock_Log[WeekIndex],52))</f>
        <v/>
      </c>
      <c r="BB40" s="17">
        <f>IF(COUNTIFS(T_TTAFStock_Log[Part Name],$A40,T_TTAFStock_Log[WeekIndex],53)=0,"",SUMIFS(T_TTAFStock_Log[TTAF_Qty],T_TTAFStock_Log[Part Name],$A40,T_TTAFStock_Log[WeekIndex],53))</f>
        <v/>
      </c>
      <c r="BC40" s="17">
        <f>IF(COUNTIFS(T_TTAFStock_Log[Part Name],$A40,T_TTAFStock_Log[WeekIndex],54)=0,"",SUMIFS(T_TTAFStock_Log[TTAF_Qty],T_TTAFStock_Log[Part Name],$A40,T_TTAFStock_Log[WeekIndex],54))</f>
        <v/>
      </c>
      <c r="BD40" s="17">
        <f>IF(COUNTIFS(T_TTAFStock_Log[Part Name],$A40,T_TTAFStock_Log[WeekIndex],55)=0,"",SUMIFS(T_TTAFStock_Log[TTAF_Qty],T_TTAFStock_Log[Part Name],$A40,T_TTAFStock_Log[WeekIndex],55))</f>
        <v/>
      </c>
      <c r="BE40" s="17">
        <f>IF(COUNTIFS(T_TTAFStock_Log[Part Name],$A40,T_TTAFStock_Log[WeekIndex],56)=0,"",SUMIFS(T_TTAFStock_Log[TTAF_Qty],T_TTAFStock_Log[Part Name],$A40,T_TTAFStock_Log[WeekIndex],56))</f>
        <v/>
      </c>
      <c r="BF40" s="17">
        <f>IF(COUNTIFS(T_TTAFStock_Log[Part Name],$A40,T_TTAFStock_Log[WeekIndex],57)=0,"",SUMIFS(T_TTAFStock_Log[TTAF_Qty],T_TTAFStock_Log[Part Name],$A40,T_TTAFStock_Log[WeekIndex],57))</f>
        <v/>
      </c>
      <c r="BG40" s="17">
        <f>IF(COUNTIFS(T_TTAFStock_Log[Part Name],$A40,T_TTAFStock_Log[WeekIndex],58)=0,"",SUMIFS(T_TTAFStock_Log[TTAF_Qty],T_TTAFStock_Log[Part Name],$A40,T_TTAFStock_Log[WeekIndex],58))</f>
        <v/>
      </c>
      <c r="BH40" s="17">
        <f>IF(COUNTIFS(T_TTAFStock_Log[Part Name],$A40,T_TTAFStock_Log[WeekIndex],59)=0,"",SUMIFS(T_TTAFStock_Log[TTAF_Qty],T_TTAFStock_Log[Part Name],$A40,T_TTAFStock_Log[WeekIndex],59))</f>
        <v/>
      </c>
      <c r="BI40" s="17">
        <f>IF(COUNTIFS(T_TTAFStock_Log[Part Name],$A40,T_TTAFStock_Log[WeekIndex],60)=0,"",SUMIFS(T_TTAFStock_Log[TTAF_Qty],T_TTAFStock_Log[Part Name],$A40,T_TTAFStock_Log[WeekIndex],60))</f>
        <v/>
      </c>
      <c r="BJ40" s="17">
        <f>IF(COUNTIFS(T_TTAFStock_Log[Part Name],$A40,T_TTAFStock_Log[WeekIndex],61)=0,"",SUMIFS(T_TTAFStock_Log[TTAF_Qty],T_TTAFStock_Log[Part Name],$A40,T_TTAFStock_Log[WeekIndex],61))</f>
        <v/>
      </c>
      <c r="BK40" s="17">
        <f>IF(COUNTIFS(T_TTAFStock_Log[Part Name],$A40,T_TTAFStock_Log[WeekIndex],62)=0,"",SUMIFS(T_TTAFStock_Log[TTAF_Qty],T_TTAFStock_Log[Part Name],$A40,T_TTAFStock_Log[WeekIndex],62))</f>
        <v/>
      </c>
      <c r="BL40" s="17">
        <f>IF(COUNTIFS(T_TTAFStock_Log[Part Name],$A40,T_TTAFStock_Log[WeekIndex],63)=0,"",SUMIFS(T_TTAFStock_Log[TTAF_Qty],T_TTAFStock_Log[Part Name],$A40,T_TTAFStock_Log[WeekIndex],63))</f>
        <v/>
      </c>
      <c r="BM40" s="17">
        <f>IF(COUNTIFS(T_TTAFStock_Log[Part Name],$A40,T_TTAFStock_Log[WeekIndex],64)=0,"",SUMIFS(T_TTAFStock_Log[TTAF_Qty],T_TTAFStock_Log[Part Name],$A40,T_TTAFStock_Log[WeekIndex],64))</f>
        <v/>
      </c>
      <c r="BN40" s="17">
        <f>IF(COUNTIFS(T_TTAFStock_Log[Part Name],$A40,T_TTAFStock_Log[WeekIndex],65)=0,"",SUMIFS(T_TTAFStock_Log[TTAF_Qty],T_TTAFStock_Log[Part Name],$A40,T_TTAFStock_Log[WeekIndex],65))</f>
        <v/>
      </c>
      <c r="BO40" s="17">
        <f>IF(COUNTIFS(T_TTAFStock_Log[Part Name],$A40,T_TTAFStock_Log[WeekIndex],66)=0,"",SUMIFS(T_TTAFStock_Log[TTAF_Qty],T_TTAFStock_Log[Part Name],$A40,T_TTAFStock_Log[WeekIndex],66))</f>
        <v/>
      </c>
      <c r="BP40" s="17">
        <f>IF(COUNTIFS(T_TTAFStock_Log[Part Name],$A40,T_TTAFStock_Log[WeekIndex],67)=0,"",SUMIFS(T_TTAFStock_Log[TTAF_Qty],T_TTAFStock_Log[Part Name],$A40,T_TTAFStock_Log[WeekIndex],67))</f>
        <v/>
      </c>
      <c r="BQ40" s="17">
        <f>IF(COUNTIFS(T_TTAFStock_Log[Part Name],$A40,T_TTAFStock_Log[WeekIndex],68)=0,"",SUMIFS(T_TTAFStock_Log[TTAF_Qty],T_TTAFStock_Log[Part Name],$A40,T_TTAFStock_Log[WeekIndex],68))</f>
        <v/>
      </c>
      <c r="BR40" s="17">
        <f>IF(COUNTIFS(T_TTAFStock_Log[Part Name],$A40,T_TTAFStock_Log[WeekIndex],69)=0,"",SUMIFS(T_TTAFStock_Log[TTAF_Qty],T_TTAFStock_Log[Part Name],$A40,T_TTAFStock_Log[WeekIndex],69))</f>
        <v/>
      </c>
      <c r="BS40" s="17">
        <f>IF(COUNTIFS(T_TTAFStock_Log[Part Name],$A40,T_TTAFStock_Log[WeekIndex],70)=0,"",SUMIFS(T_TTAFStock_Log[TTAF_Qty],T_TTAFStock_Log[Part Name],$A40,T_TTAFStock_Log[WeekIndex],70))</f>
        <v/>
      </c>
      <c r="BT40" s="17">
        <f>IF(COUNTIFS(T_TTAFStock_Log[Part Name],$A40,T_TTAFStock_Log[WeekIndex],71)=0,"",SUMIFS(T_TTAFStock_Log[TTAF_Qty],T_TTAFStock_Log[Part Name],$A40,T_TTAFStock_Log[WeekIndex],71))</f>
        <v/>
      </c>
      <c r="BU40" s="17">
        <f>IF(COUNTIFS(T_TTAFStock_Log[Part Name],$A40,T_TTAFStock_Log[WeekIndex],72)=0,"",SUMIFS(T_TTAFStock_Log[TTAF_Qty],T_TTAFStock_Log[Part Name],$A40,T_TTAFStock_Log[WeekIndex],72))</f>
        <v/>
      </c>
      <c r="BV40" s="17">
        <f>IF(COUNTIFS(T_TTAFStock_Log[Part Name],$A40,T_TTAFStock_Log[WeekIndex],73)=0,"",SUMIFS(T_TTAFStock_Log[TTAF_Qty],T_TTAFStock_Log[Part Name],$A40,T_TTAFStock_Log[WeekIndex],73))</f>
        <v/>
      </c>
      <c r="BW40" s="17">
        <f>IF(COUNTIFS(T_TTAFStock_Log[Part Name],$A40,T_TTAFStock_Log[WeekIndex],74)=0,"",SUMIFS(T_TTAFStock_Log[TTAF_Qty],T_TTAFStock_Log[Part Name],$A40,T_TTAFStock_Log[WeekIndex],74))</f>
        <v/>
      </c>
      <c r="BX40" s="17">
        <f>IF(COUNTIFS(T_TTAFStock_Log[Part Name],$A40,T_TTAFStock_Log[WeekIndex],75)=0,"",SUMIFS(T_TTAFStock_Log[TTAF_Qty],T_TTAFStock_Log[Part Name],$A40,T_TTAFStock_Log[WeekIndex],75))</f>
        <v/>
      </c>
      <c r="BY40" s="17">
        <f>IF(COUNTIFS(T_TTAFStock_Log[Part Name],$A40,T_TTAFStock_Log[WeekIndex],76)=0,"",SUMIFS(T_TTAFStock_Log[TTAF_Qty],T_TTAFStock_Log[Part Name],$A40,T_TTAFStock_Log[WeekIndex],76))</f>
        <v/>
      </c>
      <c r="BZ40" s="17">
        <f>IF(COUNTIFS(T_TTAFStock_Log[Part Name],$A40,T_TTAFStock_Log[WeekIndex],77)=0,"",SUMIFS(T_TTAFStock_Log[TTAF_Qty],T_TTAFStock_Log[Part Name],$A40,T_TTAFStock_Log[WeekIndex],77))</f>
        <v/>
      </c>
      <c r="CA40" s="17">
        <f>IF(COUNTIFS(T_TTAFStock_Log[Part Name],$A40,T_TTAFStock_Log[WeekIndex],78)=0,"",SUMIFS(T_TTAFStock_Log[TTAF_Qty],T_TTAFStock_Log[Part Name],$A40,T_TTAFStock_Log[WeekIndex],78))</f>
        <v/>
      </c>
      <c r="CB40" s="17">
        <f>IF(COUNTIFS(T_TTAFStock_Log[Part Name],$A40,T_TTAFStock_Log[WeekIndex],79)=0,"",SUMIFS(T_TTAFStock_Log[TTAF_Qty],T_TTAFStock_Log[Part Name],$A40,T_TTAFStock_Log[WeekIndex],79))</f>
        <v/>
      </c>
      <c r="CC40" s="17">
        <f>IF(COUNTIFS(T_TTAFStock_Log[Part Name],$A40,T_TTAFStock_Log[WeekIndex],80)=0,"",SUMIFS(T_TTAFStock_Log[TTAF_Qty],T_TTAFStock_Log[Part Name],$A40,T_TTAFStock_Log[WeekIndex],80))</f>
        <v/>
      </c>
      <c r="CD40" s="17">
        <f>IF(COUNTIFS(T_TTAFStock_Log[Part Name],$A40,T_TTAFStock_Log[WeekIndex],81)=0,"",SUMIFS(T_TTAFStock_Log[TTAF_Qty],T_TTAFStock_Log[Part Name],$A40,T_TTAFStock_Log[WeekIndex],81))</f>
        <v/>
      </c>
      <c r="CE40" s="17">
        <f>IF(COUNTIFS(T_TTAFStock_Log[Part Name],$A40,T_TTAFStock_Log[WeekIndex],82)=0,"",SUMIFS(T_TTAFStock_Log[TTAF_Qty],T_TTAFStock_Log[Part Name],$A40,T_TTAFStock_Log[WeekIndex],82))</f>
        <v/>
      </c>
      <c r="CF40" s="17">
        <f>IF(COUNTIFS(T_TTAFStock_Log[Part Name],$A40,T_TTAFStock_Log[WeekIndex],83)=0,"",SUMIFS(T_TTAFStock_Log[TTAF_Qty],T_TTAFStock_Log[Part Name],$A40,T_TTAFStock_Log[WeekIndex],83))</f>
        <v/>
      </c>
      <c r="CG40" s="17">
        <f>IF(COUNTIFS(T_TTAFStock_Log[Part Name],$A40,T_TTAFStock_Log[WeekIndex],84)=0,"",SUMIFS(T_TTAFStock_Log[TTAF_Qty],T_TTAFStock_Log[Part Name],$A40,T_TTAFStock_Log[WeekIndex],84))</f>
        <v/>
      </c>
      <c r="CH40" s="17">
        <f>IF(COUNTIFS(T_TTAFStock_Log[Part Name],$A40,T_TTAFStock_Log[WeekIndex],85)=0,"",SUMIFS(T_TTAFStock_Log[TTAF_Qty],T_TTAFStock_Log[Part Name],$A40,T_TTAFStock_Log[WeekIndex],85))</f>
        <v/>
      </c>
      <c r="CI40" s="17">
        <f>IF(COUNTIFS(T_TTAFStock_Log[Part Name],$A40,T_TTAFStock_Log[WeekIndex],86)=0,"",SUMIFS(T_TTAFStock_Log[TTAF_Qty],T_TTAFStock_Log[Part Name],$A40,T_TTAFStock_Log[WeekIndex],86))</f>
        <v/>
      </c>
      <c r="CJ40" s="17">
        <f>IF(COUNTIFS(T_TTAFStock_Log[Part Name],$A40,T_TTAFStock_Log[WeekIndex],87)=0,"",SUMIFS(T_TTAFStock_Log[TTAF_Qty],T_TTAFStock_Log[Part Name],$A40,T_TTAFStock_Log[WeekIndex],87))</f>
        <v/>
      </c>
      <c r="CK40" s="17">
        <f>IF(COUNTIFS(T_TTAFStock_Log[Part Name],$A40,T_TTAFStock_Log[WeekIndex],88)=0,"",SUMIFS(T_TTAFStock_Log[TTAF_Qty],T_TTAFStock_Log[Part Name],$A40,T_TTAFStock_Log[WeekIndex],88))</f>
        <v/>
      </c>
      <c r="CL40" s="17">
        <f>IF(COUNTIFS(T_TTAFStock_Log[Part Name],$A40,T_TTAFStock_Log[WeekIndex],89)=0,"",SUMIFS(T_TTAFStock_Log[TTAF_Qty],T_TTAFStock_Log[Part Name],$A40,T_TTAFStock_Log[WeekIndex],89))</f>
        <v/>
      </c>
      <c r="CM40" s="17">
        <f>IF(COUNTIFS(T_TTAFStock_Log[Part Name],$A40,T_TTAFStock_Log[WeekIndex],90)=0,"",SUMIFS(T_TTAFStock_Log[TTAF_Qty],T_TTAFStock_Log[Part Name],$A40,T_TTAFStock_Log[WeekIndex],90))</f>
        <v/>
      </c>
      <c r="CN40" s="17">
        <f>IF(COUNTIFS(T_TTAFStock_Log[Part Name],$A40,T_TTAFStock_Log[WeekIndex],91)=0,"",SUMIFS(T_TTAFStock_Log[TTAF_Qty],T_TTAFStock_Log[Part Name],$A40,T_TTAFStock_Log[WeekIndex],91))</f>
        <v/>
      </c>
      <c r="CO40" s="17">
        <f>IF(COUNTIFS(T_TTAFStock_Log[Part Name],$A40,T_TTAFStock_Log[WeekIndex],92)=0,"",SUMIFS(T_TTAFStock_Log[TTAF_Qty],T_TTAFStock_Log[Part Name],$A40,T_TTAFStock_Log[WeekIndex],92))</f>
        <v/>
      </c>
      <c r="CP40" s="17">
        <f>IF(COUNTIFS(T_TTAFStock_Log[Part Name],$A40,T_TTAFStock_Log[WeekIndex],93)=0,"",SUMIFS(T_TTAFStock_Log[TTAF_Qty],T_TTAFStock_Log[Part Name],$A40,T_TTAFStock_Log[WeekIndex],93))</f>
        <v/>
      </c>
      <c r="CQ40" s="17">
        <f>IF(COUNTIFS(T_TTAFStock_Log[Part Name],$A40,T_TTAFStock_Log[WeekIndex],94)=0,"",SUMIFS(T_TTAFStock_Log[TTAF_Qty],T_TTAFStock_Log[Part Name],$A40,T_TTAFStock_Log[WeekIndex],94))</f>
        <v/>
      </c>
      <c r="CR40" s="17">
        <f>IF(COUNTIFS(T_TTAFStock_Log[Part Name],$A40,T_TTAFStock_Log[WeekIndex],95)=0,"",SUMIFS(T_TTAFStock_Log[TTAF_Qty],T_TTAFStock_Log[Part Name],$A40,T_TTAFStock_Log[WeekIndex],95))</f>
        <v/>
      </c>
      <c r="CS40" s="17">
        <f>IF(COUNTIFS(T_TTAFStock_Log[Part Name],$A40,T_TTAFStock_Log[WeekIndex],96)=0,"",SUMIFS(T_TTAFStock_Log[TTAF_Qty],T_TTAFStock_Log[Part Name],$A40,T_TTAFStock_Log[WeekIndex],96))</f>
        <v/>
      </c>
      <c r="CT40" s="17">
        <f>IF(COUNTIFS(T_TTAFStock_Log[Part Name],$A40,T_TTAFStock_Log[WeekIndex],97)=0,"",SUMIFS(T_TTAFStock_Log[TTAF_Qty],T_TTAFStock_Log[Part Name],$A40,T_TTAFStock_Log[WeekIndex],97))</f>
        <v/>
      </c>
      <c r="CU40" s="17">
        <f>IF(COUNTIFS(T_TTAFStock_Log[Part Name],$A40,T_TTAFStock_Log[WeekIndex],98)=0,"",SUMIFS(T_TTAFStock_Log[TTAF_Qty],T_TTAFStock_Log[Part Name],$A40,T_TTAFStock_Log[WeekIndex],98))</f>
        <v/>
      </c>
      <c r="CV40" s="17">
        <f>IF(COUNTIFS(T_TTAFStock_Log[Part Name],$A40,T_TTAFStock_Log[WeekIndex],99)=0,"",SUMIFS(T_TTAFStock_Log[TTAF_Qty],T_TTAFStock_Log[Part Name],$A40,T_TTAFStock_Log[WeekIndex],99))</f>
        <v/>
      </c>
      <c r="CW40" s="17">
        <f>IF(COUNTIFS(T_TTAFStock_Log[Part Name],$A40,T_TTAFStock_Log[WeekIndex],100)=0,"",SUMIFS(T_TTAFStock_Log[TTAF_Qty],T_TTAFStock_Log[Part Name],$A40,T_TTAFStock_Log[WeekIndex],100))</f>
        <v/>
      </c>
      <c r="CX40" s="17">
        <f>IF(COUNTIFS(T_TTAFStock_Log[Part Name],$A40,T_TTAFStock_Log[WeekIndex],101)=0,"",SUMIFS(T_TTAFStock_Log[TTAF_Qty],T_TTAFStock_Log[Part Name],$A40,T_TTAFStock_Log[WeekIndex],101))</f>
        <v/>
      </c>
      <c r="CY40" s="17">
        <f>IF(COUNTIFS(T_TTAFStock_Log[Part Name],$A40,T_TTAFStock_Log[WeekIndex],102)=0,"",SUMIFS(T_TTAFStock_Log[TTAF_Qty],T_TTAFStock_Log[Part Name],$A40,T_TTAFStock_Log[WeekIndex],102))</f>
        <v/>
      </c>
      <c r="CZ40" s="17">
        <f>IF(COUNTIFS(T_TTAFStock_Log[Part Name],$A40,T_TTAFStock_Log[WeekIndex],103)=0,"",SUMIFS(T_TTAFStock_Log[TTAF_Qty],T_TTAFStock_Log[Part Name],$A40,T_TTAFStock_Log[WeekIndex],103))</f>
        <v/>
      </c>
      <c r="DA40" s="17">
        <f>IF(COUNTIFS(T_TTAFStock_Log[Part Name],$A40,T_TTAFStock_Log[WeekIndex],104)=0,"",SUMIFS(T_TTAFStock_Log[TTAF_Qty],T_TTAFStock_Log[Part Name],$A40,T_TTAFStock_Log[WeekIndex],104))</f>
        <v/>
      </c>
    </row>
    <row r="41">
      <c r="A41" s="19" t="inlineStr">
        <is>
          <t>CHEM-1080</t>
        </is>
      </c>
      <c r="B41" s="19">
        <f>IF(COUNTIFS(T_TTAFStock_Log[Part Name],$A41,T_TTAFStock_Log[WeekIndex],1)=0,"",SUMIFS(T_TTAFStock_Log[TTAF_Qty],T_TTAFStock_Log[Part Name],$A41,T_TTAFStock_Log[WeekIndex],1))</f>
        <v/>
      </c>
      <c r="C41" s="19">
        <f>IF(COUNTIFS(T_TTAFStock_Log[Part Name],$A41,T_TTAFStock_Log[WeekIndex],2)=0,"",SUMIFS(T_TTAFStock_Log[TTAF_Qty],T_TTAFStock_Log[Part Name],$A41,T_TTAFStock_Log[WeekIndex],2))</f>
        <v/>
      </c>
      <c r="D41" s="19">
        <f>IF(COUNTIFS(T_TTAFStock_Log[Part Name],$A41,T_TTAFStock_Log[WeekIndex],3)=0,"",SUMIFS(T_TTAFStock_Log[TTAF_Qty],T_TTAFStock_Log[Part Name],$A41,T_TTAFStock_Log[WeekIndex],3))</f>
        <v/>
      </c>
      <c r="E41" s="19">
        <f>IF(COUNTIFS(T_TTAFStock_Log[Part Name],$A41,T_TTAFStock_Log[WeekIndex],4)=0,"",SUMIFS(T_TTAFStock_Log[TTAF_Qty],T_TTAFStock_Log[Part Name],$A41,T_TTAFStock_Log[WeekIndex],4))</f>
        <v/>
      </c>
      <c r="F41" s="19">
        <f>IF(COUNTIFS(T_TTAFStock_Log[Part Name],$A41,T_TTAFStock_Log[WeekIndex],5)=0,"",SUMIFS(T_TTAFStock_Log[TTAF_Qty],T_TTAFStock_Log[Part Name],$A41,T_TTAFStock_Log[WeekIndex],5))</f>
        <v/>
      </c>
      <c r="G41" s="19">
        <f>IF(COUNTIFS(T_TTAFStock_Log[Part Name],$A41,T_TTAFStock_Log[WeekIndex],6)=0,"",SUMIFS(T_TTAFStock_Log[TTAF_Qty],T_TTAFStock_Log[Part Name],$A41,T_TTAFStock_Log[WeekIndex],6))</f>
        <v/>
      </c>
      <c r="H41" s="19">
        <f>IF(COUNTIFS(T_TTAFStock_Log[Part Name],$A41,T_TTAFStock_Log[WeekIndex],7)=0,"",SUMIFS(T_TTAFStock_Log[TTAF_Qty],T_TTAFStock_Log[Part Name],$A41,T_TTAFStock_Log[WeekIndex],7))</f>
        <v/>
      </c>
      <c r="I41" s="19">
        <f>IF(COUNTIFS(T_TTAFStock_Log[Part Name],$A41,T_TTAFStock_Log[WeekIndex],8)=0,"",SUMIFS(T_TTAFStock_Log[TTAF_Qty],T_TTAFStock_Log[Part Name],$A41,T_TTAFStock_Log[WeekIndex],8))</f>
        <v/>
      </c>
      <c r="J41" s="19">
        <f>IF(COUNTIFS(T_TTAFStock_Log[Part Name],$A41,T_TTAFStock_Log[WeekIndex],9)=0,"",SUMIFS(T_TTAFStock_Log[TTAF_Qty],T_TTAFStock_Log[Part Name],$A41,T_TTAFStock_Log[WeekIndex],9))</f>
        <v/>
      </c>
      <c r="K41" s="19">
        <f>IF(COUNTIFS(T_TTAFStock_Log[Part Name],$A41,T_TTAFStock_Log[WeekIndex],10)=0,"",SUMIFS(T_TTAFStock_Log[TTAF_Qty],T_TTAFStock_Log[Part Name],$A41,T_TTAFStock_Log[WeekIndex],10))</f>
        <v/>
      </c>
      <c r="L41" s="19">
        <f>IF(COUNTIFS(T_TTAFStock_Log[Part Name],$A41,T_TTAFStock_Log[WeekIndex],11)=0,"",SUMIFS(T_TTAFStock_Log[TTAF_Qty],T_TTAFStock_Log[Part Name],$A41,T_TTAFStock_Log[WeekIndex],11))</f>
        <v/>
      </c>
      <c r="M41" s="19">
        <f>IF(COUNTIFS(T_TTAFStock_Log[Part Name],$A41,T_TTAFStock_Log[WeekIndex],12)=0,"",SUMIFS(T_TTAFStock_Log[TTAF_Qty],T_TTAFStock_Log[Part Name],$A41,T_TTAFStock_Log[WeekIndex],12))</f>
        <v/>
      </c>
      <c r="N41" s="19">
        <f>IF(COUNTIFS(T_TTAFStock_Log[Part Name],$A41,T_TTAFStock_Log[WeekIndex],13)=0,"",SUMIFS(T_TTAFStock_Log[TTAF_Qty],T_TTAFStock_Log[Part Name],$A41,T_TTAFStock_Log[WeekIndex],13))</f>
        <v/>
      </c>
      <c r="O41" s="19">
        <f>IF(COUNTIFS(T_TTAFStock_Log[Part Name],$A41,T_TTAFStock_Log[WeekIndex],14)=0,"",SUMIFS(T_TTAFStock_Log[TTAF_Qty],T_TTAFStock_Log[Part Name],$A41,T_TTAFStock_Log[WeekIndex],14))</f>
        <v/>
      </c>
      <c r="P41" s="19">
        <f>IF(COUNTIFS(T_TTAFStock_Log[Part Name],$A41,T_TTAFStock_Log[WeekIndex],15)=0,"",SUMIFS(T_TTAFStock_Log[TTAF_Qty],T_TTAFStock_Log[Part Name],$A41,T_TTAFStock_Log[WeekIndex],15))</f>
        <v/>
      </c>
      <c r="Q41" s="19">
        <f>IF(COUNTIFS(T_TTAFStock_Log[Part Name],$A41,T_TTAFStock_Log[WeekIndex],16)=0,"",SUMIFS(T_TTAFStock_Log[TTAF_Qty],T_TTAFStock_Log[Part Name],$A41,T_TTAFStock_Log[WeekIndex],16))</f>
        <v/>
      </c>
      <c r="R41" s="19">
        <f>IF(COUNTIFS(T_TTAFStock_Log[Part Name],$A41,T_TTAFStock_Log[WeekIndex],17)=0,"",SUMIFS(T_TTAFStock_Log[TTAF_Qty],T_TTAFStock_Log[Part Name],$A41,T_TTAFStock_Log[WeekIndex],17))</f>
        <v/>
      </c>
      <c r="S41" s="19">
        <f>IF(COUNTIFS(T_TTAFStock_Log[Part Name],$A41,T_TTAFStock_Log[WeekIndex],18)=0,"",SUMIFS(T_TTAFStock_Log[TTAF_Qty],T_TTAFStock_Log[Part Name],$A41,T_TTAFStock_Log[WeekIndex],18))</f>
        <v/>
      </c>
      <c r="T41" s="19">
        <f>IF(COUNTIFS(T_TTAFStock_Log[Part Name],$A41,T_TTAFStock_Log[WeekIndex],19)=0,"",SUMIFS(T_TTAFStock_Log[TTAF_Qty],T_TTAFStock_Log[Part Name],$A41,T_TTAFStock_Log[WeekIndex],19))</f>
        <v/>
      </c>
      <c r="U41" s="19">
        <f>IF(COUNTIFS(T_TTAFStock_Log[Part Name],$A41,T_TTAFStock_Log[WeekIndex],20)=0,"",SUMIFS(T_TTAFStock_Log[TTAF_Qty],T_TTAFStock_Log[Part Name],$A41,T_TTAFStock_Log[WeekIndex],20))</f>
        <v/>
      </c>
      <c r="V41" s="19">
        <f>IF(COUNTIFS(T_TTAFStock_Log[Part Name],$A41,T_TTAFStock_Log[WeekIndex],21)=0,"",SUMIFS(T_TTAFStock_Log[TTAF_Qty],T_TTAFStock_Log[Part Name],$A41,T_TTAFStock_Log[WeekIndex],21))</f>
        <v/>
      </c>
      <c r="W41" s="19">
        <f>IF(COUNTIFS(T_TTAFStock_Log[Part Name],$A41,T_TTAFStock_Log[WeekIndex],22)=0,"",SUMIFS(T_TTAFStock_Log[TTAF_Qty],T_TTAFStock_Log[Part Name],$A41,T_TTAFStock_Log[WeekIndex],22))</f>
        <v/>
      </c>
      <c r="X41" s="19">
        <f>IF(COUNTIFS(T_TTAFStock_Log[Part Name],$A41,T_TTAFStock_Log[WeekIndex],23)=0,"",SUMIFS(T_TTAFStock_Log[TTAF_Qty],T_TTAFStock_Log[Part Name],$A41,T_TTAFStock_Log[WeekIndex],23))</f>
        <v/>
      </c>
      <c r="Y41" s="19">
        <f>IF(COUNTIFS(T_TTAFStock_Log[Part Name],$A41,T_TTAFStock_Log[WeekIndex],24)=0,"",SUMIFS(T_TTAFStock_Log[TTAF_Qty],T_TTAFStock_Log[Part Name],$A41,T_TTAFStock_Log[WeekIndex],24))</f>
        <v/>
      </c>
      <c r="Z41" s="19">
        <f>IF(COUNTIFS(T_TTAFStock_Log[Part Name],$A41,T_TTAFStock_Log[WeekIndex],25)=0,"",SUMIFS(T_TTAFStock_Log[TTAF_Qty],T_TTAFStock_Log[Part Name],$A41,T_TTAFStock_Log[WeekIndex],25))</f>
        <v/>
      </c>
      <c r="AA41" s="19">
        <f>IF(COUNTIFS(T_TTAFStock_Log[Part Name],$A41,T_TTAFStock_Log[WeekIndex],26)=0,"",SUMIFS(T_TTAFStock_Log[TTAF_Qty],T_TTAFStock_Log[Part Name],$A41,T_TTAFStock_Log[WeekIndex],26))</f>
        <v/>
      </c>
      <c r="AB41" s="19">
        <f>IF(COUNTIFS(T_TTAFStock_Log[Part Name],$A41,T_TTAFStock_Log[WeekIndex],27)=0,"",SUMIFS(T_TTAFStock_Log[TTAF_Qty],T_TTAFStock_Log[Part Name],$A41,T_TTAFStock_Log[WeekIndex],27))</f>
        <v/>
      </c>
      <c r="AC41" s="19">
        <f>IF(COUNTIFS(T_TTAFStock_Log[Part Name],$A41,T_TTAFStock_Log[WeekIndex],28)=0,"",SUMIFS(T_TTAFStock_Log[TTAF_Qty],T_TTAFStock_Log[Part Name],$A41,T_TTAFStock_Log[WeekIndex],28))</f>
        <v/>
      </c>
      <c r="AD41" s="19">
        <f>IF(COUNTIFS(T_TTAFStock_Log[Part Name],$A41,T_TTAFStock_Log[WeekIndex],29)=0,"",SUMIFS(T_TTAFStock_Log[TTAF_Qty],T_TTAFStock_Log[Part Name],$A41,T_TTAFStock_Log[WeekIndex],29))</f>
        <v/>
      </c>
      <c r="AE41" s="19">
        <f>IF(COUNTIFS(T_TTAFStock_Log[Part Name],$A41,T_TTAFStock_Log[WeekIndex],30)=0,"",SUMIFS(T_TTAFStock_Log[TTAF_Qty],T_TTAFStock_Log[Part Name],$A41,T_TTAFStock_Log[WeekIndex],30))</f>
        <v/>
      </c>
      <c r="AF41" s="19">
        <f>IF(COUNTIFS(T_TTAFStock_Log[Part Name],$A41,T_TTAFStock_Log[WeekIndex],31)=0,"",SUMIFS(T_TTAFStock_Log[TTAF_Qty],T_TTAFStock_Log[Part Name],$A41,T_TTAFStock_Log[WeekIndex],31))</f>
        <v/>
      </c>
      <c r="AG41" s="19">
        <f>IF(COUNTIFS(T_TTAFStock_Log[Part Name],$A41,T_TTAFStock_Log[WeekIndex],32)=0,"",SUMIFS(T_TTAFStock_Log[TTAF_Qty],T_TTAFStock_Log[Part Name],$A41,T_TTAFStock_Log[WeekIndex],32))</f>
        <v/>
      </c>
      <c r="AH41" s="19">
        <f>IF(COUNTIFS(T_TTAFStock_Log[Part Name],$A41,T_TTAFStock_Log[WeekIndex],33)=0,"",SUMIFS(T_TTAFStock_Log[TTAF_Qty],T_TTAFStock_Log[Part Name],$A41,T_TTAFStock_Log[WeekIndex],33))</f>
        <v/>
      </c>
      <c r="AI41" s="19">
        <f>IF(COUNTIFS(T_TTAFStock_Log[Part Name],$A41,T_TTAFStock_Log[WeekIndex],34)=0,"",SUMIFS(T_TTAFStock_Log[TTAF_Qty],T_TTAFStock_Log[Part Name],$A41,T_TTAFStock_Log[WeekIndex],34))</f>
        <v/>
      </c>
      <c r="AJ41" s="19">
        <f>IF(COUNTIFS(T_TTAFStock_Log[Part Name],$A41,T_TTAFStock_Log[WeekIndex],35)=0,"",SUMIFS(T_TTAFStock_Log[TTAF_Qty],T_TTAFStock_Log[Part Name],$A41,T_TTAFStock_Log[WeekIndex],35))</f>
        <v/>
      </c>
      <c r="AK41" s="19">
        <f>IF(COUNTIFS(T_TTAFStock_Log[Part Name],$A41,T_TTAFStock_Log[WeekIndex],36)=0,"",SUMIFS(T_TTAFStock_Log[TTAF_Qty],T_TTAFStock_Log[Part Name],$A41,T_TTAFStock_Log[WeekIndex],36))</f>
        <v/>
      </c>
      <c r="AL41" s="19">
        <f>IF(COUNTIFS(T_TTAFStock_Log[Part Name],$A41,T_TTAFStock_Log[WeekIndex],37)=0,"",SUMIFS(T_TTAFStock_Log[TTAF_Qty],T_TTAFStock_Log[Part Name],$A41,T_TTAFStock_Log[WeekIndex],37))</f>
        <v/>
      </c>
      <c r="AM41" s="19">
        <f>IF(COUNTIFS(T_TTAFStock_Log[Part Name],$A41,T_TTAFStock_Log[WeekIndex],38)=0,"",SUMIFS(T_TTAFStock_Log[TTAF_Qty],T_TTAFStock_Log[Part Name],$A41,T_TTAFStock_Log[WeekIndex],38))</f>
        <v/>
      </c>
      <c r="AN41" s="19">
        <f>IF(COUNTIFS(T_TTAFStock_Log[Part Name],$A41,T_TTAFStock_Log[WeekIndex],39)=0,"",SUMIFS(T_TTAFStock_Log[TTAF_Qty],T_TTAFStock_Log[Part Name],$A41,T_TTAFStock_Log[WeekIndex],39))</f>
        <v/>
      </c>
      <c r="AO41" s="19">
        <f>IF(COUNTIFS(T_TTAFStock_Log[Part Name],$A41,T_TTAFStock_Log[WeekIndex],40)=0,"",SUMIFS(T_TTAFStock_Log[TTAF_Qty],T_TTAFStock_Log[Part Name],$A41,T_TTAFStock_Log[WeekIndex],40))</f>
        <v/>
      </c>
      <c r="AP41" s="19">
        <f>IF(COUNTIFS(T_TTAFStock_Log[Part Name],$A41,T_TTAFStock_Log[WeekIndex],41)=0,"",SUMIFS(T_TTAFStock_Log[TTAF_Qty],T_TTAFStock_Log[Part Name],$A41,T_TTAFStock_Log[WeekIndex],41))</f>
        <v/>
      </c>
      <c r="AQ41" s="19">
        <f>IF(COUNTIFS(T_TTAFStock_Log[Part Name],$A41,T_TTAFStock_Log[WeekIndex],42)=0,"",SUMIFS(T_TTAFStock_Log[TTAF_Qty],T_TTAFStock_Log[Part Name],$A41,T_TTAFStock_Log[WeekIndex],42))</f>
        <v/>
      </c>
      <c r="AR41" s="19">
        <f>IF(COUNTIFS(T_TTAFStock_Log[Part Name],$A41,T_TTAFStock_Log[WeekIndex],43)=0,"",SUMIFS(T_TTAFStock_Log[TTAF_Qty],T_TTAFStock_Log[Part Name],$A41,T_TTAFStock_Log[WeekIndex],43))</f>
        <v/>
      </c>
      <c r="AS41" s="19">
        <f>IF(COUNTIFS(T_TTAFStock_Log[Part Name],$A41,T_TTAFStock_Log[WeekIndex],44)=0,"",SUMIFS(T_TTAFStock_Log[TTAF_Qty],T_TTAFStock_Log[Part Name],$A41,T_TTAFStock_Log[WeekIndex],44))</f>
        <v/>
      </c>
      <c r="AT41" s="19">
        <f>IF(COUNTIFS(T_TTAFStock_Log[Part Name],$A41,T_TTAFStock_Log[WeekIndex],45)=0,"",SUMIFS(T_TTAFStock_Log[TTAF_Qty],T_TTAFStock_Log[Part Name],$A41,T_TTAFStock_Log[WeekIndex],45))</f>
        <v/>
      </c>
      <c r="AU41" s="19">
        <f>IF(COUNTIFS(T_TTAFStock_Log[Part Name],$A41,T_TTAFStock_Log[WeekIndex],46)=0,"",SUMIFS(T_TTAFStock_Log[TTAF_Qty],T_TTAFStock_Log[Part Name],$A41,T_TTAFStock_Log[WeekIndex],46))</f>
        <v/>
      </c>
      <c r="AV41" s="19">
        <f>IF(COUNTIFS(T_TTAFStock_Log[Part Name],$A41,T_TTAFStock_Log[WeekIndex],47)=0,"",SUMIFS(T_TTAFStock_Log[TTAF_Qty],T_TTAFStock_Log[Part Name],$A41,T_TTAFStock_Log[WeekIndex],47))</f>
        <v/>
      </c>
      <c r="AW41" s="19">
        <f>IF(COUNTIFS(T_TTAFStock_Log[Part Name],$A41,T_TTAFStock_Log[WeekIndex],48)=0,"",SUMIFS(T_TTAFStock_Log[TTAF_Qty],T_TTAFStock_Log[Part Name],$A41,T_TTAFStock_Log[WeekIndex],48))</f>
        <v/>
      </c>
      <c r="AX41" s="19">
        <f>IF(COUNTIFS(T_TTAFStock_Log[Part Name],$A41,T_TTAFStock_Log[WeekIndex],49)=0,"",SUMIFS(T_TTAFStock_Log[TTAF_Qty],T_TTAFStock_Log[Part Name],$A41,T_TTAFStock_Log[WeekIndex],49))</f>
        <v/>
      </c>
      <c r="AY41" s="19">
        <f>IF(COUNTIFS(T_TTAFStock_Log[Part Name],$A41,T_TTAFStock_Log[WeekIndex],50)=0,"",SUMIFS(T_TTAFStock_Log[TTAF_Qty],T_TTAFStock_Log[Part Name],$A41,T_TTAFStock_Log[WeekIndex],50))</f>
        <v/>
      </c>
      <c r="AZ41" s="19">
        <f>IF(COUNTIFS(T_TTAFStock_Log[Part Name],$A41,T_TTAFStock_Log[WeekIndex],51)=0,"",SUMIFS(T_TTAFStock_Log[TTAF_Qty],T_TTAFStock_Log[Part Name],$A41,T_TTAFStock_Log[WeekIndex],51))</f>
        <v/>
      </c>
      <c r="BA41" s="19">
        <f>IF(COUNTIFS(T_TTAFStock_Log[Part Name],$A41,T_TTAFStock_Log[WeekIndex],52)=0,"",SUMIFS(T_TTAFStock_Log[TTAF_Qty],T_TTAFStock_Log[Part Name],$A41,T_TTAFStock_Log[WeekIndex],52))</f>
        <v/>
      </c>
      <c r="BB41" s="19">
        <f>IF(COUNTIFS(T_TTAFStock_Log[Part Name],$A41,T_TTAFStock_Log[WeekIndex],53)=0,"",SUMIFS(T_TTAFStock_Log[TTAF_Qty],T_TTAFStock_Log[Part Name],$A41,T_TTAFStock_Log[WeekIndex],53))</f>
        <v/>
      </c>
      <c r="BC41" s="19">
        <f>IF(COUNTIFS(T_TTAFStock_Log[Part Name],$A41,T_TTAFStock_Log[WeekIndex],54)=0,"",SUMIFS(T_TTAFStock_Log[TTAF_Qty],T_TTAFStock_Log[Part Name],$A41,T_TTAFStock_Log[WeekIndex],54))</f>
        <v/>
      </c>
      <c r="BD41" s="19">
        <f>IF(COUNTIFS(T_TTAFStock_Log[Part Name],$A41,T_TTAFStock_Log[WeekIndex],55)=0,"",SUMIFS(T_TTAFStock_Log[TTAF_Qty],T_TTAFStock_Log[Part Name],$A41,T_TTAFStock_Log[WeekIndex],55))</f>
        <v/>
      </c>
      <c r="BE41" s="19">
        <f>IF(COUNTIFS(T_TTAFStock_Log[Part Name],$A41,T_TTAFStock_Log[WeekIndex],56)=0,"",SUMIFS(T_TTAFStock_Log[TTAF_Qty],T_TTAFStock_Log[Part Name],$A41,T_TTAFStock_Log[WeekIndex],56))</f>
        <v/>
      </c>
      <c r="BF41" s="19">
        <f>IF(COUNTIFS(T_TTAFStock_Log[Part Name],$A41,T_TTAFStock_Log[WeekIndex],57)=0,"",SUMIFS(T_TTAFStock_Log[TTAF_Qty],T_TTAFStock_Log[Part Name],$A41,T_TTAFStock_Log[WeekIndex],57))</f>
        <v/>
      </c>
      <c r="BG41" s="19">
        <f>IF(COUNTIFS(T_TTAFStock_Log[Part Name],$A41,T_TTAFStock_Log[WeekIndex],58)=0,"",SUMIFS(T_TTAFStock_Log[TTAF_Qty],T_TTAFStock_Log[Part Name],$A41,T_TTAFStock_Log[WeekIndex],58))</f>
        <v/>
      </c>
      <c r="BH41" s="19">
        <f>IF(COUNTIFS(T_TTAFStock_Log[Part Name],$A41,T_TTAFStock_Log[WeekIndex],59)=0,"",SUMIFS(T_TTAFStock_Log[TTAF_Qty],T_TTAFStock_Log[Part Name],$A41,T_TTAFStock_Log[WeekIndex],59))</f>
        <v/>
      </c>
      <c r="BI41" s="19">
        <f>IF(COUNTIFS(T_TTAFStock_Log[Part Name],$A41,T_TTAFStock_Log[WeekIndex],60)=0,"",SUMIFS(T_TTAFStock_Log[TTAF_Qty],T_TTAFStock_Log[Part Name],$A41,T_TTAFStock_Log[WeekIndex],60))</f>
        <v/>
      </c>
      <c r="BJ41" s="19">
        <f>IF(COUNTIFS(T_TTAFStock_Log[Part Name],$A41,T_TTAFStock_Log[WeekIndex],61)=0,"",SUMIFS(T_TTAFStock_Log[TTAF_Qty],T_TTAFStock_Log[Part Name],$A41,T_TTAFStock_Log[WeekIndex],61))</f>
        <v/>
      </c>
      <c r="BK41" s="19">
        <f>IF(COUNTIFS(T_TTAFStock_Log[Part Name],$A41,T_TTAFStock_Log[WeekIndex],62)=0,"",SUMIFS(T_TTAFStock_Log[TTAF_Qty],T_TTAFStock_Log[Part Name],$A41,T_TTAFStock_Log[WeekIndex],62))</f>
        <v/>
      </c>
      <c r="BL41" s="19">
        <f>IF(COUNTIFS(T_TTAFStock_Log[Part Name],$A41,T_TTAFStock_Log[WeekIndex],63)=0,"",SUMIFS(T_TTAFStock_Log[TTAF_Qty],T_TTAFStock_Log[Part Name],$A41,T_TTAFStock_Log[WeekIndex],63))</f>
        <v/>
      </c>
      <c r="BM41" s="19">
        <f>IF(COUNTIFS(T_TTAFStock_Log[Part Name],$A41,T_TTAFStock_Log[WeekIndex],64)=0,"",SUMIFS(T_TTAFStock_Log[TTAF_Qty],T_TTAFStock_Log[Part Name],$A41,T_TTAFStock_Log[WeekIndex],64))</f>
        <v/>
      </c>
      <c r="BN41" s="19">
        <f>IF(COUNTIFS(T_TTAFStock_Log[Part Name],$A41,T_TTAFStock_Log[WeekIndex],65)=0,"",SUMIFS(T_TTAFStock_Log[TTAF_Qty],T_TTAFStock_Log[Part Name],$A41,T_TTAFStock_Log[WeekIndex],65))</f>
        <v/>
      </c>
      <c r="BO41" s="19">
        <f>IF(COUNTIFS(T_TTAFStock_Log[Part Name],$A41,T_TTAFStock_Log[WeekIndex],66)=0,"",SUMIFS(T_TTAFStock_Log[TTAF_Qty],T_TTAFStock_Log[Part Name],$A41,T_TTAFStock_Log[WeekIndex],66))</f>
        <v/>
      </c>
      <c r="BP41" s="19">
        <f>IF(COUNTIFS(T_TTAFStock_Log[Part Name],$A41,T_TTAFStock_Log[WeekIndex],67)=0,"",SUMIFS(T_TTAFStock_Log[TTAF_Qty],T_TTAFStock_Log[Part Name],$A41,T_TTAFStock_Log[WeekIndex],67))</f>
        <v/>
      </c>
      <c r="BQ41" s="19">
        <f>IF(COUNTIFS(T_TTAFStock_Log[Part Name],$A41,T_TTAFStock_Log[WeekIndex],68)=0,"",SUMIFS(T_TTAFStock_Log[TTAF_Qty],T_TTAFStock_Log[Part Name],$A41,T_TTAFStock_Log[WeekIndex],68))</f>
        <v/>
      </c>
      <c r="BR41" s="19">
        <f>IF(COUNTIFS(T_TTAFStock_Log[Part Name],$A41,T_TTAFStock_Log[WeekIndex],69)=0,"",SUMIFS(T_TTAFStock_Log[TTAF_Qty],T_TTAFStock_Log[Part Name],$A41,T_TTAFStock_Log[WeekIndex],69))</f>
        <v/>
      </c>
      <c r="BS41" s="19">
        <f>IF(COUNTIFS(T_TTAFStock_Log[Part Name],$A41,T_TTAFStock_Log[WeekIndex],70)=0,"",SUMIFS(T_TTAFStock_Log[TTAF_Qty],T_TTAFStock_Log[Part Name],$A41,T_TTAFStock_Log[WeekIndex],70))</f>
        <v/>
      </c>
      <c r="BT41" s="19">
        <f>IF(COUNTIFS(T_TTAFStock_Log[Part Name],$A41,T_TTAFStock_Log[WeekIndex],71)=0,"",SUMIFS(T_TTAFStock_Log[TTAF_Qty],T_TTAFStock_Log[Part Name],$A41,T_TTAFStock_Log[WeekIndex],71))</f>
        <v/>
      </c>
      <c r="BU41" s="19">
        <f>IF(COUNTIFS(T_TTAFStock_Log[Part Name],$A41,T_TTAFStock_Log[WeekIndex],72)=0,"",SUMIFS(T_TTAFStock_Log[TTAF_Qty],T_TTAFStock_Log[Part Name],$A41,T_TTAFStock_Log[WeekIndex],72))</f>
        <v/>
      </c>
      <c r="BV41" s="19">
        <f>IF(COUNTIFS(T_TTAFStock_Log[Part Name],$A41,T_TTAFStock_Log[WeekIndex],73)=0,"",SUMIFS(T_TTAFStock_Log[TTAF_Qty],T_TTAFStock_Log[Part Name],$A41,T_TTAFStock_Log[WeekIndex],73))</f>
        <v/>
      </c>
      <c r="BW41" s="19">
        <f>IF(COUNTIFS(T_TTAFStock_Log[Part Name],$A41,T_TTAFStock_Log[WeekIndex],74)=0,"",SUMIFS(T_TTAFStock_Log[TTAF_Qty],T_TTAFStock_Log[Part Name],$A41,T_TTAFStock_Log[WeekIndex],74))</f>
        <v/>
      </c>
      <c r="BX41" s="19">
        <f>IF(COUNTIFS(T_TTAFStock_Log[Part Name],$A41,T_TTAFStock_Log[WeekIndex],75)=0,"",SUMIFS(T_TTAFStock_Log[TTAF_Qty],T_TTAFStock_Log[Part Name],$A41,T_TTAFStock_Log[WeekIndex],75))</f>
        <v/>
      </c>
      <c r="BY41" s="19">
        <f>IF(COUNTIFS(T_TTAFStock_Log[Part Name],$A41,T_TTAFStock_Log[WeekIndex],76)=0,"",SUMIFS(T_TTAFStock_Log[TTAF_Qty],T_TTAFStock_Log[Part Name],$A41,T_TTAFStock_Log[WeekIndex],76))</f>
        <v/>
      </c>
      <c r="BZ41" s="19">
        <f>IF(COUNTIFS(T_TTAFStock_Log[Part Name],$A41,T_TTAFStock_Log[WeekIndex],77)=0,"",SUMIFS(T_TTAFStock_Log[TTAF_Qty],T_TTAFStock_Log[Part Name],$A41,T_TTAFStock_Log[WeekIndex],77))</f>
        <v/>
      </c>
      <c r="CA41" s="19">
        <f>IF(COUNTIFS(T_TTAFStock_Log[Part Name],$A41,T_TTAFStock_Log[WeekIndex],78)=0,"",SUMIFS(T_TTAFStock_Log[TTAF_Qty],T_TTAFStock_Log[Part Name],$A41,T_TTAFStock_Log[WeekIndex],78))</f>
        <v/>
      </c>
      <c r="CB41" s="19">
        <f>IF(COUNTIFS(T_TTAFStock_Log[Part Name],$A41,T_TTAFStock_Log[WeekIndex],79)=0,"",SUMIFS(T_TTAFStock_Log[TTAF_Qty],T_TTAFStock_Log[Part Name],$A41,T_TTAFStock_Log[WeekIndex],79))</f>
        <v/>
      </c>
      <c r="CC41" s="19">
        <f>IF(COUNTIFS(T_TTAFStock_Log[Part Name],$A41,T_TTAFStock_Log[WeekIndex],80)=0,"",SUMIFS(T_TTAFStock_Log[TTAF_Qty],T_TTAFStock_Log[Part Name],$A41,T_TTAFStock_Log[WeekIndex],80))</f>
        <v/>
      </c>
      <c r="CD41" s="19">
        <f>IF(COUNTIFS(T_TTAFStock_Log[Part Name],$A41,T_TTAFStock_Log[WeekIndex],81)=0,"",SUMIFS(T_TTAFStock_Log[TTAF_Qty],T_TTAFStock_Log[Part Name],$A41,T_TTAFStock_Log[WeekIndex],81))</f>
        <v/>
      </c>
      <c r="CE41" s="19">
        <f>IF(COUNTIFS(T_TTAFStock_Log[Part Name],$A41,T_TTAFStock_Log[WeekIndex],82)=0,"",SUMIFS(T_TTAFStock_Log[TTAF_Qty],T_TTAFStock_Log[Part Name],$A41,T_TTAFStock_Log[WeekIndex],82))</f>
        <v/>
      </c>
      <c r="CF41" s="19">
        <f>IF(COUNTIFS(T_TTAFStock_Log[Part Name],$A41,T_TTAFStock_Log[WeekIndex],83)=0,"",SUMIFS(T_TTAFStock_Log[TTAF_Qty],T_TTAFStock_Log[Part Name],$A41,T_TTAFStock_Log[WeekIndex],83))</f>
        <v/>
      </c>
      <c r="CG41" s="19">
        <f>IF(COUNTIFS(T_TTAFStock_Log[Part Name],$A41,T_TTAFStock_Log[WeekIndex],84)=0,"",SUMIFS(T_TTAFStock_Log[TTAF_Qty],T_TTAFStock_Log[Part Name],$A41,T_TTAFStock_Log[WeekIndex],84))</f>
        <v/>
      </c>
      <c r="CH41" s="19">
        <f>IF(COUNTIFS(T_TTAFStock_Log[Part Name],$A41,T_TTAFStock_Log[WeekIndex],85)=0,"",SUMIFS(T_TTAFStock_Log[TTAF_Qty],T_TTAFStock_Log[Part Name],$A41,T_TTAFStock_Log[WeekIndex],85))</f>
        <v/>
      </c>
      <c r="CI41" s="19">
        <f>IF(COUNTIFS(T_TTAFStock_Log[Part Name],$A41,T_TTAFStock_Log[WeekIndex],86)=0,"",SUMIFS(T_TTAFStock_Log[TTAF_Qty],T_TTAFStock_Log[Part Name],$A41,T_TTAFStock_Log[WeekIndex],86))</f>
        <v/>
      </c>
      <c r="CJ41" s="19">
        <f>IF(COUNTIFS(T_TTAFStock_Log[Part Name],$A41,T_TTAFStock_Log[WeekIndex],87)=0,"",SUMIFS(T_TTAFStock_Log[TTAF_Qty],T_TTAFStock_Log[Part Name],$A41,T_TTAFStock_Log[WeekIndex],87))</f>
        <v/>
      </c>
      <c r="CK41" s="19">
        <f>IF(COUNTIFS(T_TTAFStock_Log[Part Name],$A41,T_TTAFStock_Log[WeekIndex],88)=0,"",SUMIFS(T_TTAFStock_Log[TTAF_Qty],T_TTAFStock_Log[Part Name],$A41,T_TTAFStock_Log[WeekIndex],88))</f>
        <v/>
      </c>
      <c r="CL41" s="19">
        <f>IF(COUNTIFS(T_TTAFStock_Log[Part Name],$A41,T_TTAFStock_Log[WeekIndex],89)=0,"",SUMIFS(T_TTAFStock_Log[TTAF_Qty],T_TTAFStock_Log[Part Name],$A41,T_TTAFStock_Log[WeekIndex],89))</f>
        <v/>
      </c>
      <c r="CM41" s="19">
        <f>IF(COUNTIFS(T_TTAFStock_Log[Part Name],$A41,T_TTAFStock_Log[WeekIndex],90)=0,"",SUMIFS(T_TTAFStock_Log[TTAF_Qty],T_TTAFStock_Log[Part Name],$A41,T_TTAFStock_Log[WeekIndex],90))</f>
        <v/>
      </c>
      <c r="CN41" s="19">
        <f>IF(COUNTIFS(T_TTAFStock_Log[Part Name],$A41,T_TTAFStock_Log[WeekIndex],91)=0,"",SUMIFS(T_TTAFStock_Log[TTAF_Qty],T_TTAFStock_Log[Part Name],$A41,T_TTAFStock_Log[WeekIndex],91))</f>
        <v/>
      </c>
      <c r="CO41" s="19">
        <f>IF(COUNTIFS(T_TTAFStock_Log[Part Name],$A41,T_TTAFStock_Log[WeekIndex],92)=0,"",SUMIFS(T_TTAFStock_Log[TTAF_Qty],T_TTAFStock_Log[Part Name],$A41,T_TTAFStock_Log[WeekIndex],92))</f>
        <v/>
      </c>
      <c r="CP41" s="19">
        <f>IF(COUNTIFS(T_TTAFStock_Log[Part Name],$A41,T_TTAFStock_Log[WeekIndex],93)=0,"",SUMIFS(T_TTAFStock_Log[TTAF_Qty],T_TTAFStock_Log[Part Name],$A41,T_TTAFStock_Log[WeekIndex],93))</f>
        <v/>
      </c>
      <c r="CQ41" s="19">
        <f>IF(COUNTIFS(T_TTAFStock_Log[Part Name],$A41,T_TTAFStock_Log[WeekIndex],94)=0,"",SUMIFS(T_TTAFStock_Log[TTAF_Qty],T_TTAFStock_Log[Part Name],$A41,T_TTAFStock_Log[WeekIndex],94))</f>
        <v/>
      </c>
      <c r="CR41" s="19">
        <f>IF(COUNTIFS(T_TTAFStock_Log[Part Name],$A41,T_TTAFStock_Log[WeekIndex],95)=0,"",SUMIFS(T_TTAFStock_Log[TTAF_Qty],T_TTAFStock_Log[Part Name],$A41,T_TTAFStock_Log[WeekIndex],95))</f>
        <v/>
      </c>
      <c r="CS41" s="19">
        <f>IF(COUNTIFS(T_TTAFStock_Log[Part Name],$A41,T_TTAFStock_Log[WeekIndex],96)=0,"",SUMIFS(T_TTAFStock_Log[TTAF_Qty],T_TTAFStock_Log[Part Name],$A41,T_TTAFStock_Log[WeekIndex],96))</f>
        <v/>
      </c>
      <c r="CT41" s="19">
        <f>IF(COUNTIFS(T_TTAFStock_Log[Part Name],$A41,T_TTAFStock_Log[WeekIndex],97)=0,"",SUMIFS(T_TTAFStock_Log[TTAF_Qty],T_TTAFStock_Log[Part Name],$A41,T_TTAFStock_Log[WeekIndex],97))</f>
        <v/>
      </c>
      <c r="CU41" s="19">
        <f>IF(COUNTIFS(T_TTAFStock_Log[Part Name],$A41,T_TTAFStock_Log[WeekIndex],98)=0,"",SUMIFS(T_TTAFStock_Log[TTAF_Qty],T_TTAFStock_Log[Part Name],$A41,T_TTAFStock_Log[WeekIndex],98))</f>
        <v/>
      </c>
      <c r="CV41" s="19">
        <f>IF(COUNTIFS(T_TTAFStock_Log[Part Name],$A41,T_TTAFStock_Log[WeekIndex],99)=0,"",SUMIFS(T_TTAFStock_Log[TTAF_Qty],T_TTAFStock_Log[Part Name],$A41,T_TTAFStock_Log[WeekIndex],99))</f>
        <v/>
      </c>
      <c r="CW41" s="19">
        <f>IF(COUNTIFS(T_TTAFStock_Log[Part Name],$A41,T_TTAFStock_Log[WeekIndex],100)=0,"",SUMIFS(T_TTAFStock_Log[TTAF_Qty],T_TTAFStock_Log[Part Name],$A41,T_TTAFStock_Log[WeekIndex],100))</f>
        <v/>
      </c>
      <c r="CX41" s="19">
        <f>IF(COUNTIFS(T_TTAFStock_Log[Part Name],$A41,T_TTAFStock_Log[WeekIndex],101)=0,"",SUMIFS(T_TTAFStock_Log[TTAF_Qty],T_TTAFStock_Log[Part Name],$A41,T_TTAFStock_Log[WeekIndex],101))</f>
        <v/>
      </c>
      <c r="CY41" s="19">
        <f>IF(COUNTIFS(T_TTAFStock_Log[Part Name],$A41,T_TTAFStock_Log[WeekIndex],102)=0,"",SUMIFS(T_TTAFStock_Log[TTAF_Qty],T_TTAFStock_Log[Part Name],$A41,T_TTAFStock_Log[WeekIndex],102))</f>
        <v/>
      </c>
      <c r="CZ41" s="19">
        <f>IF(COUNTIFS(T_TTAFStock_Log[Part Name],$A41,T_TTAFStock_Log[WeekIndex],103)=0,"",SUMIFS(T_TTAFStock_Log[TTAF_Qty],T_TTAFStock_Log[Part Name],$A41,T_TTAFStock_Log[WeekIndex],103))</f>
        <v/>
      </c>
      <c r="DA41" s="19">
        <f>IF(COUNTIFS(T_TTAFStock_Log[Part Name],$A41,T_TTAFStock_Log[WeekIndex],104)=0,"",SUMIFS(T_TTAFStock_Log[TTAF_Qty],T_TTAFStock_Log[Part Name],$A41,T_TTAFStock_Log[WeekIndex],104))</f>
        <v/>
      </c>
    </row>
    <row r="42">
      <c r="A42" s="17" t="inlineStr">
        <is>
          <t>CHEM-1530</t>
        </is>
      </c>
      <c r="B42" s="17">
        <f>IF(COUNTIFS(T_TTAFStock_Log[Part Name],$A42,T_TTAFStock_Log[WeekIndex],1)=0,"",SUMIFS(T_TTAFStock_Log[TTAF_Qty],T_TTAFStock_Log[Part Name],$A42,T_TTAFStock_Log[WeekIndex],1))</f>
        <v/>
      </c>
      <c r="C42" s="17">
        <f>IF(COUNTIFS(T_TTAFStock_Log[Part Name],$A42,T_TTAFStock_Log[WeekIndex],2)=0,"",SUMIFS(T_TTAFStock_Log[TTAF_Qty],T_TTAFStock_Log[Part Name],$A42,T_TTAFStock_Log[WeekIndex],2))</f>
        <v/>
      </c>
      <c r="D42" s="17">
        <f>IF(COUNTIFS(T_TTAFStock_Log[Part Name],$A42,T_TTAFStock_Log[WeekIndex],3)=0,"",SUMIFS(T_TTAFStock_Log[TTAF_Qty],T_TTAFStock_Log[Part Name],$A42,T_TTAFStock_Log[WeekIndex],3))</f>
        <v/>
      </c>
      <c r="E42" s="17">
        <f>IF(COUNTIFS(T_TTAFStock_Log[Part Name],$A42,T_TTAFStock_Log[WeekIndex],4)=0,"",SUMIFS(T_TTAFStock_Log[TTAF_Qty],T_TTAFStock_Log[Part Name],$A42,T_TTAFStock_Log[WeekIndex],4))</f>
        <v/>
      </c>
      <c r="F42" s="17">
        <f>IF(COUNTIFS(T_TTAFStock_Log[Part Name],$A42,T_TTAFStock_Log[WeekIndex],5)=0,"",SUMIFS(T_TTAFStock_Log[TTAF_Qty],T_TTAFStock_Log[Part Name],$A42,T_TTAFStock_Log[WeekIndex],5))</f>
        <v/>
      </c>
      <c r="G42" s="17">
        <f>IF(COUNTIFS(T_TTAFStock_Log[Part Name],$A42,T_TTAFStock_Log[WeekIndex],6)=0,"",SUMIFS(T_TTAFStock_Log[TTAF_Qty],T_TTAFStock_Log[Part Name],$A42,T_TTAFStock_Log[WeekIndex],6))</f>
        <v/>
      </c>
      <c r="H42" s="17">
        <f>IF(COUNTIFS(T_TTAFStock_Log[Part Name],$A42,T_TTAFStock_Log[WeekIndex],7)=0,"",SUMIFS(T_TTAFStock_Log[TTAF_Qty],T_TTAFStock_Log[Part Name],$A42,T_TTAFStock_Log[WeekIndex],7))</f>
        <v/>
      </c>
      <c r="I42" s="17">
        <f>IF(COUNTIFS(T_TTAFStock_Log[Part Name],$A42,T_TTAFStock_Log[WeekIndex],8)=0,"",SUMIFS(T_TTAFStock_Log[TTAF_Qty],T_TTAFStock_Log[Part Name],$A42,T_TTAFStock_Log[WeekIndex],8))</f>
        <v/>
      </c>
      <c r="J42" s="17">
        <f>IF(COUNTIFS(T_TTAFStock_Log[Part Name],$A42,T_TTAFStock_Log[WeekIndex],9)=0,"",SUMIFS(T_TTAFStock_Log[TTAF_Qty],T_TTAFStock_Log[Part Name],$A42,T_TTAFStock_Log[WeekIndex],9))</f>
        <v/>
      </c>
      <c r="K42" s="17">
        <f>IF(COUNTIFS(T_TTAFStock_Log[Part Name],$A42,T_TTAFStock_Log[WeekIndex],10)=0,"",SUMIFS(T_TTAFStock_Log[TTAF_Qty],T_TTAFStock_Log[Part Name],$A42,T_TTAFStock_Log[WeekIndex],10))</f>
        <v/>
      </c>
      <c r="L42" s="17">
        <f>IF(COUNTIFS(T_TTAFStock_Log[Part Name],$A42,T_TTAFStock_Log[WeekIndex],11)=0,"",SUMIFS(T_TTAFStock_Log[TTAF_Qty],T_TTAFStock_Log[Part Name],$A42,T_TTAFStock_Log[WeekIndex],11))</f>
        <v/>
      </c>
      <c r="M42" s="17">
        <f>IF(COUNTIFS(T_TTAFStock_Log[Part Name],$A42,T_TTAFStock_Log[WeekIndex],12)=0,"",SUMIFS(T_TTAFStock_Log[TTAF_Qty],T_TTAFStock_Log[Part Name],$A42,T_TTAFStock_Log[WeekIndex],12))</f>
        <v/>
      </c>
      <c r="N42" s="17">
        <f>IF(COUNTIFS(T_TTAFStock_Log[Part Name],$A42,T_TTAFStock_Log[WeekIndex],13)=0,"",SUMIFS(T_TTAFStock_Log[TTAF_Qty],T_TTAFStock_Log[Part Name],$A42,T_TTAFStock_Log[WeekIndex],13))</f>
        <v/>
      </c>
      <c r="O42" s="17">
        <f>IF(COUNTIFS(T_TTAFStock_Log[Part Name],$A42,T_TTAFStock_Log[WeekIndex],14)=0,"",SUMIFS(T_TTAFStock_Log[TTAF_Qty],T_TTAFStock_Log[Part Name],$A42,T_TTAFStock_Log[WeekIndex],14))</f>
        <v/>
      </c>
      <c r="P42" s="17">
        <f>IF(COUNTIFS(T_TTAFStock_Log[Part Name],$A42,T_TTAFStock_Log[WeekIndex],15)=0,"",SUMIFS(T_TTAFStock_Log[TTAF_Qty],T_TTAFStock_Log[Part Name],$A42,T_TTAFStock_Log[WeekIndex],15))</f>
        <v/>
      </c>
      <c r="Q42" s="17">
        <f>IF(COUNTIFS(T_TTAFStock_Log[Part Name],$A42,T_TTAFStock_Log[WeekIndex],16)=0,"",SUMIFS(T_TTAFStock_Log[TTAF_Qty],T_TTAFStock_Log[Part Name],$A42,T_TTAFStock_Log[WeekIndex],16))</f>
        <v/>
      </c>
      <c r="R42" s="17">
        <f>IF(COUNTIFS(T_TTAFStock_Log[Part Name],$A42,T_TTAFStock_Log[WeekIndex],17)=0,"",SUMIFS(T_TTAFStock_Log[TTAF_Qty],T_TTAFStock_Log[Part Name],$A42,T_TTAFStock_Log[WeekIndex],17))</f>
        <v/>
      </c>
      <c r="S42" s="17">
        <f>IF(COUNTIFS(T_TTAFStock_Log[Part Name],$A42,T_TTAFStock_Log[WeekIndex],18)=0,"",SUMIFS(T_TTAFStock_Log[TTAF_Qty],T_TTAFStock_Log[Part Name],$A42,T_TTAFStock_Log[WeekIndex],18))</f>
        <v/>
      </c>
      <c r="T42" s="17">
        <f>IF(COUNTIFS(T_TTAFStock_Log[Part Name],$A42,T_TTAFStock_Log[WeekIndex],19)=0,"",SUMIFS(T_TTAFStock_Log[TTAF_Qty],T_TTAFStock_Log[Part Name],$A42,T_TTAFStock_Log[WeekIndex],19))</f>
        <v/>
      </c>
      <c r="U42" s="17">
        <f>IF(COUNTIFS(T_TTAFStock_Log[Part Name],$A42,T_TTAFStock_Log[WeekIndex],20)=0,"",SUMIFS(T_TTAFStock_Log[TTAF_Qty],T_TTAFStock_Log[Part Name],$A42,T_TTAFStock_Log[WeekIndex],20))</f>
        <v/>
      </c>
      <c r="V42" s="17">
        <f>IF(COUNTIFS(T_TTAFStock_Log[Part Name],$A42,T_TTAFStock_Log[WeekIndex],21)=0,"",SUMIFS(T_TTAFStock_Log[TTAF_Qty],T_TTAFStock_Log[Part Name],$A42,T_TTAFStock_Log[WeekIndex],21))</f>
        <v/>
      </c>
      <c r="W42" s="17">
        <f>IF(COUNTIFS(T_TTAFStock_Log[Part Name],$A42,T_TTAFStock_Log[WeekIndex],22)=0,"",SUMIFS(T_TTAFStock_Log[TTAF_Qty],T_TTAFStock_Log[Part Name],$A42,T_TTAFStock_Log[WeekIndex],22))</f>
        <v/>
      </c>
      <c r="X42" s="17">
        <f>IF(COUNTIFS(T_TTAFStock_Log[Part Name],$A42,T_TTAFStock_Log[WeekIndex],23)=0,"",SUMIFS(T_TTAFStock_Log[TTAF_Qty],T_TTAFStock_Log[Part Name],$A42,T_TTAFStock_Log[WeekIndex],23))</f>
        <v/>
      </c>
      <c r="Y42" s="17">
        <f>IF(COUNTIFS(T_TTAFStock_Log[Part Name],$A42,T_TTAFStock_Log[WeekIndex],24)=0,"",SUMIFS(T_TTAFStock_Log[TTAF_Qty],T_TTAFStock_Log[Part Name],$A42,T_TTAFStock_Log[WeekIndex],24))</f>
        <v/>
      </c>
      <c r="Z42" s="17">
        <f>IF(COUNTIFS(T_TTAFStock_Log[Part Name],$A42,T_TTAFStock_Log[WeekIndex],25)=0,"",SUMIFS(T_TTAFStock_Log[TTAF_Qty],T_TTAFStock_Log[Part Name],$A42,T_TTAFStock_Log[WeekIndex],25))</f>
        <v/>
      </c>
      <c r="AA42" s="17">
        <f>IF(COUNTIFS(T_TTAFStock_Log[Part Name],$A42,T_TTAFStock_Log[WeekIndex],26)=0,"",SUMIFS(T_TTAFStock_Log[TTAF_Qty],T_TTAFStock_Log[Part Name],$A42,T_TTAFStock_Log[WeekIndex],26))</f>
        <v/>
      </c>
      <c r="AB42" s="17">
        <f>IF(COUNTIFS(T_TTAFStock_Log[Part Name],$A42,T_TTAFStock_Log[WeekIndex],27)=0,"",SUMIFS(T_TTAFStock_Log[TTAF_Qty],T_TTAFStock_Log[Part Name],$A42,T_TTAFStock_Log[WeekIndex],27))</f>
        <v/>
      </c>
      <c r="AC42" s="17">
        <f>IF(COUNTIFS(T_TTAFStock_Log[Part Name],$A42,T_TTAFStock_Log[WeekIndex],28)=0,"",SUMIFS(T_TTAFStock_Log[TTAF_Qty],T_TTAFStock_Log[Part Name],$A42,T_TTAFStock_Log[WeekIndex],28))</f>
        <v/>
      </c>
      <c r="AD42" s="17">
        <f>IF(COUNTIFS(T_TTAFStock_Log[Part Name],$A42,T_TTAFStock_Log[WeekIndex],29)=0,"",SUMIFS(T_TTAFStock_Log[TTAF_Qty],T_TTAFStock_Log[Part Name],$A42,T_TTAFStock_Log[WeekIndex],29))</f>
        <v/>
      </c>
      <c r="AE42" s="17">
        <f>IF(COUNTIFS(T_TTAFStock_Log[Part Name],$A42,T_TTAFStock_Log[WeekIndex],30)=0,"",SUMIFS(T_TTAFStock_Log[TTAF_Qty],T_TTAFStock_Log[Part Name],$A42,T_TTAFStock_Log[WeekIndex],30))</f>
        <v/>
      </c>
      <c r="AF42" s="17">
        <f>IF(COUNTIFS(T_TTAFStock_Log[Part Name],$A42,T_TTAFStock_Log[WeekIndex],31)=0,"",SUMIFS(T_TTAFStock_Log[TTAF_Qty],T_TTAFStock_Log[Part Name],$A42,T_TTAFStock_Log[WeekIndex],31))</f>
        <v/>
      </c>
      <c r="AG42" s="17">
        <f>IF(COUNTIFS(T_TTAFStock_Log[Part Name],$A42,T_TTAFStock_Log[WeekIndex],32)=0,"",SUMIFS(T_TTAFStock_Log[TTAF_Qty],T_TTAFStock_Log[Part Name],$A42,T_TTAFStock_Log[WeekIndex],32))</f>
        <v/>
      </c>
      <c r="AH42" s="17">
        <f>IF(COUNTIFS(T_TTAFStock_Log[Part Name],$A42,T_TTAFStock_Log[WeekIndex],33)=0,"",SUMIFS(T_TTAFStock_Log[TTAF_Qty],T_TTAFStock_Log[Part Name],$A42,T_TTAFStock_Log[WeekIndex],33))</f>
        <v/>
      </c>
      <c r="AI42" s="17">
        <f>IF(COUNTIFS(T_TTAFStock_Log[Part Name],$A42,T_TTAFStock_Log[WeekIndex],34)=0,"",SUMIFS(T_TTAFStock_Log[TTAF_Qty],T_TTAFStock_Log[Part Name],$A42,T_TTAFStock_Log[WeekIndex],34))</f>
        <v/>
      </c>
      <c r="AJ42" s="17">
        <f>IF(COUNTIFS(T_TTAFStock_Log[Part Name],$A42,T_TTAFStock_Log[WeekIndex],35)=0,"",SUMIFS(T_TTAFStock_Log[TTAF_Qty],T_TTAFStock_Log[Part Name],$A42,T_TTAFStock_Log[WeekIndex],35))</f>
        <v/>
      </c>
      <c r="AK42" s="17">
        <f>IF(COUNTIFS(T_TTAFStock_Log[Part Name],$A42,T_TTAFStock_Log[WeekIndex],36)=0,"",SUMIFS(T_TTAFStock_Log[TTAF_Qty],T_TTAFStock_Log[Part Name],$A42,T_TTAFStock_Log[WeekIndex],36))</f>
        <v/>
      </c>
      <c r="AL42" s="17">
        <f>IF(COUNTIFS(T_TTAFStock_Log[Part Name],$A42,T_TTAFStock_Log[WeekIndex],37)=0,"",SUMIFS(T_TTAFStock_Log[TTAF_Qty],T_TTAFStock_Log[Part Name],$A42,T_TTAFStock_Log[WeekIndex],37))</f>
        <v/>
      </c>
      <c r="AM42" s="17">
        <f>IF(COUNTIFS(T_TTAFStock_Log[Part Name],$A42,T_TTAFStock_Log[WeekIndex],38)=0,"",SUMIFS(T_TTAFStock_Log[TTAF_Qty],T_TTAFStock_Log[Part Name],$A42,T_TTAFStock_Log[WeekIndex],38))</f>
        <v/>
      </c>
      <c r="AN42" s="17">
        <f>IF(COUNTIFS(T_TTAFStock_Log[Part Name],$A42,T_TTAFStock_Log[WeekIndex],39)=0,"",SUMIFS(T_TTAFStock_Log[TTAF_Qty],T_TTAFStock_Log[Part Name],$A42,T_TTAFStock_Log[WeekIndex],39))</f>
        <v/>
      </c>
      <c r="AO42" s="17">
        <f>IF(COUNTIFS(T_TTAFStock_Log[Part Name],$A42,T_TTAFStock_Log[WeekIndex],40)=0,"",SUMIFS(T_TTAFStock_Log[TTAF_Qty],T_TTAFStock_Log[Part Name],$A42,T_TTAFStock_Log[WeekIndex],40))</f>
        <v/>
      </c>
      <c r="AP42" s="17">
        <f>IF(COUNTIFS(T_TTAFStock_Log[Part Name],$A42,T_TTAFStock_Log[WeekIndex],41)=0,"",SUMIFS(T_TTAFStock_Log[TTAF_Qty],T_TTAFStock_Log[Part Name],$A42,T_TTAFStock_Log[WeekIndex],41))</f>
        <v/>
      </c>
      <c r="AQ42" s="17">
        <f>IF(COUNTIFS(T_TTAFStock_Log[Part Name],$A42,T_TTAFStock_Log[WeekIndex],42)=0,"",SUMIFS(T_TTAFStock_Log[TTAF_Qty],T_TTAFStock_Log[Part Name],$A42,T_TTAFStock_Log[WeekIndex],42))</f>
        <v/>
      </c>
      <c r="AR42" s="17">
        <f>IF(COUNTIFS(T_TTAFStock_Log[Part Name],$A42,T_TTAFStock_Log[WeekIndex],43)=0,"",SUMIFS(T_TTAFStock_Log[TTAF_Qty],T_TTAFStock_Log[Part Name],$A42,T_TTAFStock_Log[WeekIndex],43))</f>
        <v/>
      </c>
      <c r="AS42" s="17">
        <f>IF(COUNTIFS(T_TTAFStock_Log[Part Name],$A42,T_TTAFStock_Log[WeekIndex],44)=0,"",SUMIFS(T_TTAFStock_Log[TTAF_Qty],T_TTAFStock_Log[Part Name],$A42,T_TTAFStock_Log[WeekIndex],44))</f>
        <v/>
      </c>
      <c r="AT42" s="17">
        <f>IF(COUNTIFS(T_TTAFStock_Log[Part Name],$A42,T_TTAFStock_Log[WeekIndex],45)=0,"",SUMIFS(T_TTAFStock_Log[TTAF_Qty],T_TTAFStock_Log[Part Name],$A42,T_TTAFStock_Log[WeekIndex],45))</f>
        <v/>
      </c>
      <c r="AU42" s="17">
        <f>IF(COUNTIFS(T_TTAFStock_Log[Part Name],$A42,T_TTAFStock_Log[WeekIndex],46)=0,"",SUMIFS(T_TTAFStock_Log[TTAF_Qty],T_TTAFStock_Log[Part Name],$A42,T_TTAFStock_Log[WeekIndex],46))</f>
        <v/>
      </c>
      <c r="AV42" s="17">
        <f>IF(COUNTIFS(T_TTAFStock_Log[Part Name],$A42,T_TTAFStock_Log[WeekIndex],47)=0,"",SUMIFS(T_TTAFStock_Log[TTAF_Qty],T_TTAFStock_Log[Part Name],$A42,T_TTAFStock_Log[WeekIndex],47))</f>
        <v/>
      </c>
      <c r="AW42" s="17">
        <f>IF(COUNTIFS(T_TTAFStock_Log[Part Name],$A42,T_TTAFStock_Log[WeekIndex],48)=0,"",SUMIFS(T_TTAFStock_Log[TTAF_Qty],T_TTAFStock_Log[Part Name],$A42,T_TTAFStock_Log[WeekIndex],48))</f>
        <v/>
      </c>
      <c r="AX42" s="17">
        <f>IF(COUNTIFS(T_TTAFStock_Log[Part Name],$A42,T_TTAFStock_Log[WeekIndex],49)=0,"",SUMIFS(T_TTAFStock_Log[TTAF_Qty],T_TTAFStock_Log[Part Name],$A42,T_TTAFStock_Log[WeekIndex],49))</f>
        <v/>
      </c>
      <c r="AY42" s="17">
        <f>IF(COUNTIFS(T_TTAFStock_Log[Part Name],$A42,T_TTAFStock_Log[WeekIndex],50)=0,"",SUMIFS(T_TTAFStock_Log[TTAF_Qty],T_TTAFStock_Log[Part Name],$A42,T_TTAFStock_Log[WeekIndex],50))</f>
        <v/>
      </c>
      <c r="AZ42" s="17">
        <f>IF(COUNTIFS(T_TTAFStock_Log[Part Name],$A42,T_TTAFStock_Log[WeekIndex],51)=0,"",SUMIFS(T_TTAFStock_Log[TTAF_Qty],T_TTAFStock_Log[Part Name],$A42,T_TTAFStock_Log[WeekIndex],51))</f>
        <v/>
      </c>
      <c r="BA42" s="17">
        <f>IF(COUNTIFS(T_TTAFStock_Log[Part Name],$A42,T_TTAFStock_Log[WeekIndex],52)=0,"",SUMIFS(T_TTAFStock_Log[TTAF_Qty],T_TTAFStock_Log[Part Name],$A42,T_TTAFStock_Log[WeekIndex],52))</f>
        <v/>
      </c>
      <c r="BB42" s="17">
        <f>IF(COUNTIFS(T_TTAFStock_Log[Part Name],$A42,T_TTAFStock_Log[WeekIndex],53)=0,"",SUMIFS(T_TTAFStock_Log[TTAF_Qty],T_TTAFStock_Log[Part Name],$A42,T_TTAFStock_Log[WeekIndex],53))</f>
        <v/>
      </c>
      <c r="BC42" s="17">
        <f>IF(COUNTIFS(T_TTAFStock_Log[Part Name],$A42,T_TTAFStock_Log[WeekIndex],54)=0,"",SUMIFS(T_TTAFStock_Log[TTAF_Qty],T_TTAFStock_Log[Part Name],$A42,T_TTAFStock_Log[WeekIndex],54))</f>
        <v/>
      </c>
      <c r="BD42" s="17">
        <f>IF(COUNTIFS(T_TTAFStock_Log[Part Name],$A42,T_TTAFStock_Log[WeekIndex],55)=0,"",SUMIFS(T_TTAFStock_Log[TTAF_Qty],T_TTAFStock_Log[Part Name],$A42,T_TTAFStock_Log[WeekIndex],55))</f>
        <v/>
      </c>
      <c r="BE42" s="17">
        <f>IF(COUNTIFS(T_TTAFStock_Log[Part Name],$A42,T_TTAFStock_Log[WeekIndex],56)=0,"",SUMIFS(T_TTAFStock_Log[TTAF_Qty],T_TTAFStock_Log[Part Name],$A42,T_TTAFStock_Log[WeekIndex],56))</f>
        <v/>
      </c>
      <c r="BF42" s="17">
        <f>IF(COUNTIFS(T_TTAFStock_Log[Part Name],$A42,T_TTAFStock_Log[WeekIndex],57)=0,"",SUMIFS(T_TTAFStock_Log[TTAF_Qty],T_TTAFStock_Log[Part Name],$A42,T_TTAFStock_Log[WeekIndex],57))</f>
        <v/>
      </c>
      <c r="BG42" s="17">
        <f>IF(COUNTIFS(T_TTAFStock_Log[Part Name],$A42,T_TTAFStock_Log[WeekIndex],58)=0,"",SUMIFS(T_TTAFStock_Log[TTAF_Qty],T_TTAFStock_Log[Part Name],$A42,T_TTAFStock_Log[WeekIndex],58))</f>
        <v/>
      </c>
      <c r="BH42" s="17">
        <f>IF(COUNTIFS(T_TTAFStock_Log[Part Name],$A42,T_TTAFStock_Log[WeekIndex],59)=0,"",SUMIFS(T_TTAFStock_Log[TTAF_Qty],T_TTAFStock_Log[Part Name],$A42,T_TTAFStock_Log[WeekIndex],59))</f>
        <v/>
      </c>
      <c r="BI42" s="17">
        <f>IF(COUNTIFS(T_TTAFStock_Log[Part Name],$A42,T_TTAFStock_Log[WeekIndex],60)=0,"",SUMIFS(T_TTAFStock_Log[TTAF_Qty],T_TTAFStock_Log[Part Name],$A42,T_TTAFStock_Log[WeekIndex],60))</f>
        <v/>
      </c>
      <c r="BJ42" s="17">
        <f>IF(COUNTIFS(T_TTAFStock_Log[Part Name],$A42,T_TTAFStock_Log[WeekIndex],61)=0,"",SUMIFS(T_TTAFStock_Log[TTAF_Qty],T_TTAFStock_Log[Part Name],$A42,T_TTAFStock_Log[WeekIndex],61))</f>
        <v/>
      </c>
      <c r="BK42" s="17">
        <f>IF(COUNTIFS(T_TTAFStock_Log[Part Name],$A42,T_TTAFStock_Log[WeekIndex],62)=0,"",SUMIFS(T_TTAFStock_Log[TTAF_Qty],T_TTAFStock_Log[Part Name],$A42,T_TTAFStock_Log[WeekIndex],62))</f>
        <v/>
      </c>
      <c r="BL42" s="17">
        <f>IF(COUNTIFS(T_TTAFStock_Log[Part Name],$A42,T_TTAFStock_Log[WeekIndex],63)=0,"",SUMIFS(T_TTAFStock_Log[TTAF_Qty],T_TTAFStock_Log[Part Name],$A42,T_TTAFStock_Log[WeekIndex],63))</f>
        <v/>
      </c>
      <c r="BM42" s="17">
        <f>IF(COUNTIFS(T_TTAFStock_Log[Part Name],$A42,T_TTAFStock_Log[WeekIndex],64)=0,"",SUMIFS(T_TTAFStock_Log[TTAF_Qty],T_TTAFStock_Log[Part Name],$A42,T_TTAFStock_Log[WeekIndex],64))</f>
        <v/>
      </c>
      <c r="BN42" s="17">
        <f>IF(COUNTIFS(T_TTAFStock_Log[Part Name],$A42,T_TTAFStock_Log[WeekIndex],65)=0,"",SUMIFS(T_TTAFStock_Log[TTAF_Qty],T_TTAFStock_Log[Part Name],$A42,T_TTAFStock_Log[WeekIndex],65))</f>
        <v/>
      </c>
      <c r="BO42" s="17">
        <f>IF(COUNTIFS(T_TTAFStock_Log[Part Name],$A42,T_TTAFStock_Log[WeekIndex],66)=0,"",SUMIFS(T_TTAFStock_Log[TTAF_Qty],T_TTAFStock_Log[Part Name],$A42,T_TTAFStock_Log[WeekIndex],66))</f>
        <v/>
      </c>
      <c r="BP42" s="17">
        <f>IF(COUNTIFS(T_TTAFStock_Log[Part Name],$A42,T_TTAFStock_Log[WeekIndex],67)=0,"",SUMIFS(T_TTAFStock_Log[TTAF_Qty],T_TTAFStock_Log[Part Name],$A42,T_TTAFStock_Log[WeekIndex],67))</f>
        <v/>
      </c>
      <c r="BQ42" s="17">
        <f>IF(COUNTIFS(T_TTAFStock_Log[Part Name],$A42,T_TTAFStock_Log[WeekIndex],68)=0,"",SUMIFS(T_TTAFStock_Log[TTAF_Qty],T_TTAFStock_Log[Part Name],$A42,T_TTAFStock_Log[WeekIndex],68))</f>
        <v/>
      </c>
      <c r="BR42" s="17">
        <f>IF(COUNTIFS(T_TTAFStock_Log[Part Name],$A42,T_TTAFStock_Log[WeekIndex],69)=0,"",SUMIFS(T_TTAFStock_Log[TTAF_Qty],T_TTAFStock_Log[Part Name],$A42,T_TTAFStock_Log[WeekIndex],69))</f>
        <v/>
      </c>
      <c r="BS42" s="17">
        <f>IF(COUNTIFS(T_TTAFStock_Log[Part Name],$A42,T_TTAFStock_Log[WeekIndex],70)=0,"",SUMIFS(T_TTAFStock_Log[TTAF_Qty],T_TTAFStock_Log[Part Name],$A42,T_TTAFStock_Log[WeekIndex],70))</f>
        <v/>
      </c>
      <c r="BT42" s="17">
        <f>IF(COUNTIFS(T_TTAFStock_Log[Part Name],$A42,T_TTAFStock_Log[WeekIndex],71)=0,"",SUMIFS(T_TTAFStock_Log[TTAF_Qty],T_TTAFStock_Log[Part Name],$A42,T_TTAFStock_Log[WeekIndex],71))</f>
        <v/>
      </c>
      <c r="BU42" s="17">
        <f>IF(COUNTIFS(T_TTAFStock_Log[Part Name],$A42,T_TTAFStock_Log[WeekIndex],72)=0,"",SUMIFS(T_TTAFStock_Log[TTAF_Qty],T_TTAFStock_Log[Part Name],$A42,T_TTAFStock_Log[WeekIndex],72))</f>
        <v/>
      </c>
      <c r="BV42" s="17">
        <f>IF(COUNTIFS(T_TTAFStock_Log[Part Name],$A42,T_TTAFStock_Log[WeekIndex],73)=0,"",SUMIFS(T_TTAFStock_Log[TTAF_Qty],T_TTAFStock_Log[Part Name],$A42,T_TTAFStock_Log[WeekIndex],73))</f>
        <v/>
      </c>
      <c r="BW42" s="17">
        <f>IF(COUNTIFS(T_TTAFStock_Log[Part Name],$A42,T_TTAFStock_Log[WeekIndex],74)=0,"",SUMIFS(T_TTAFStock_Log[TTAF_Qty],T_TTAFStock_Log[Part Name],$A42,T_TTAFStock_Log[WeekIndex],74))</f>
        <v/>
      </c>
      <c r="BX42" s="17">
        <f>IF(COUNTIFS(T_TTAFStock_Log[Part Name],$A42,T_TTAFStock_Log[WeekIndex],75)=0,"",SUMIFS(T_TTAFStock_Log[TTAF_Qty],T_TTAFStock_Log[Part Name],$A42,T_TTAFStock_Log[WeekIndex],75))</f>
        <v/>
      </c>
      <c r="BY42" s="17">
        <f>IF(COUNTIFS(T_TTAFStock_Log[Part Name],$A42,T_TTAFStock_Log[WeekIndex],76)=0,"",SUMIFS(T_TTAFStock_Log[TTAF_Qty],T_TTAFStock_Log[Part Name],$A42,T_TTAFStock_Log[WeekIndex],76))</f>
        <v/>
      </c>
      <c r="BZ42" s="17">
        <f>IF(COUNTIFS(T_TTAFStock_Log[Part Name],$A42,T_TTAFStock_Log[WeekIndex],77)=0,"",SUMIFS(T_TTAFStock_Log[TTAF_Qty],T_TTAFStock_Log[Part Name],$A42,T_TTAFStock_Log[WeekIndex],77))</f>
        <v/>
      </c>
      <c r="CA42" s="17">
        <f>IF(COUNTIFS(T_TTAFStock_Log[Part Name],$A42,T_TTAFStock_Log[WeekIndex],78)=0,"",SUMIFS(T_TTAFStock_Log[TTAF_Qty],T_TTAFStock_Log[Part Name],$A42,T_TTAFStock_Log[WeekIndex],78))</f>
        <v/>
      </c>
      <c r="CB42" s="17">
        <f>IF(COUNTIFS(T_TTAFStock_Log[Part Name],$A42,T_TTAFStock_Log[WeekIndex],79)=0,"",SUMIFS(T_TTAFStock_Log[TTAF_Qty],T_TTAFStock_Log[Part Name],$A42,T_TTAFStock_Log[WeekIndex],79))</f>
        <v/>
      </c>
      <c r="CC42" s="17">
        <f>IF(COUNTIFS(T_TTAFStock_Log[Part Name],$A42,T_TTAFStock_Log[WeekIndex],80)=0,"",SUMIFS(T_TTAFStock_Log[TTAF_Qty],T_TTAFStock_Log[Part Name],$A42,T_TTAFStock_Log[WeekIndex],80))</f>
        <v/>
      </c>
      <c r="CD42" s="17">
        <f>IF(COUNTIFS(T_TTAFStock_Log[Part Name],$A42,T_TTAFStock_Log[WeekIndex],81)=0,"",SUMIFS(T_TTAFStock_Log[TTAF_Qty],T_TTAFStock_Log[Part Name],$A42,T_TTAFStock_Log[WeekIndex],81))</f>
        <v/>
      </c>
      <c r="CE42" s="17">
        <f>IF(COUNTIFS(T_TTAFStock_Log[Part Name],$A42,T_TTAFStock_Log[WeekIndex],82)=0,"",SUMIFS(T_TTAFStock_Log[TTAF_Qty],T_TTAFStock_Log[Part Name],$A42,T_TTAFStock_Log[WeekIndex],82))</f>
        <v/>
      </c>
      <c r="CF42" s="17">
        <f>IF(COUNTIFS(T_TTAFStock_Log[Part Name],$A42,T_TTAFStock_Log[WeekIndex],83)=0,"",SUMIFS(T_TTAFStock_Log[TTAF_Qty],T_TTAFStock_Log[Part Name],$A42,T_TTAFStock_Log[WeekIndex],83))</f>
        <v/>
      </c>
      <c r="CG42" s="17">
        <f>IF(COUNTIFS(T_TTAFStock_Log[Part Name],$A42,T_TTAFStock_Log[WeekIndex],84)=0,"",SUMIFS(T_TTAFStock_Log[TTAF_Qty],T_TTAFStock_Log[Part Name],$A42,T_TTAFStock_Log[WeekIndex],84))</f>
        <v/>
      </c>
      <c r="CH42" s="17">
        <f>IF(COUNTIFS(T_TTAFStock_Log[Part Name],$A42,T_TTAFStock_Log[WeekIndex],85)=0,"",SUMIFS(T_TTAFStock_Log[TTAF_Qty],T_TTAFStock_Log[Part Name],$A42,T_TTAFStock_Log[WeekIndex],85))</f>
        <v/>
      </c>
      <c r="CI42" s="17">
        <f>IF(COUNTIFS(T_TTAFStock_Log[Part Name],$A42,T_TTAFStock_Log[WeekIndex],86)=0,"",SUMIFS(T_TTAFStock_Log[TTAF_Qty],T_TTAFStock_Log[Part Name],$A42,T_TTAFStock_Log[WeekIndex],86))</f>
        <v/>
      </c>
      <c r="CJ42" s="17">
        <f>IF(COUNTIFS(T_TTAFStock_Log[Part Name],$A42,T_TTAFStock_Log[WeekIndex],87)=0,"",SUMIFS(T_TTAFStock_Log[TTAF_Qty],T_TTAFStock_Log[Part Name],$A42,T_TTAFStock_Log[WeekIndex],87))</f>
        <v/>
      </c>
      <c r="CK42" s="17">
        <f>IF(COUNTIFS(T_TTAFStock_Log[Part Name],$A42,T_TTAFStock_Log[WeekIndex],88)=0,"",SUMIFS(T_TTAFStock_Log[TTAF_Qty],T_TTAFStock_Log[Part Name],$A42,T_TTAFStock_Log[WeekIndex],88))</f>
        <v/>
      </c>
      <c r="CL42" s="17">
        <f>IF(COUNTIFS(T_TTAFStock_Log[Part Name],$A42,T_TTAFStock_Log[WeekIndex],89)=0,"",SUMIFS(T_TTAFStock_Log[TTAF_Qty],T_TTAFStock_Log[Part Name],$A42,T_TTAFStock_Log[WeekIndex],89))</f>
        <v/>
      </c>
      <c r="CM42" s="17">
        <f>IF(COUNTIFS(T_TTAFStock_Log[Part Name],$A42,T_TTAFStock_Log[WeekIndex],90)=0,"",SUMIFS(T_TTAFStock_Log[TTAF_Qty],T_TTAFStock_Log[Part Name],$A42,T_TTAFStock_Log[WeekIndex],90))</f>
        <v/>
      </c>
      <c r="CN42" s="17">
        <f>IF(COUNTIFS(T_TTAFStock_Log[Part Name],$A42,T_TTAFStock_Log[WeekIndex],91)=0,"",SUMIFS(T_TTAFStock_Log[TTAF_Qty],T_TTAFStock_Log[Part Name],$A42,T_TTAFStock_Log[WeekIndex],91))</f>
        <v/>
      </c>
      <c r="CO42" s="17">
        <f>IF(COUNTIFS(T_TTAFStock_Log[Part Name],$A42,T_TTAFStock_Log[WeekIndex],92)=0,"",SUMIFS(T_TTAFStock_Log[TTAF_Qty],T_TTAFStock_Log[Part Name],$A42,T_TTAFStock_Log[WeekIndex],92))</f>
        <v/>
      </c>
      <c r="CP42" s="17">
        <f>IF(COUNTIFS(T_TTAFStock_Log[Part Name],$A42,T_TTAFStock_Log[WeekIndex],93)=0,"",SUMIFS(T_TTAFStock_Log[TTAF_Qty],T_TTAFStock_Log[Part Name],$A42,T_TTAFStock_Log[WeekIndex],93))</f>
        <v/>
      </c>
      <c r="CQ42" s="17">
        <f>IF(COUNTIFS(T_TTAFStock_Log[Part Name],$A42,T_TTAFStock_Log[WeekIndex],94)=0,"",SUMIFS(T_TTAFStock_Log[TTAF_Qty],T_TTAFStock_Log[Part Name],$A42,T_TTAFStock_Log[WeekIndex],94))</f>
        <v/>
      </c>
      <c r="CR42" s="17">
        <f>IF(COUNTIFS(T_TTAFStock_Log[Part Name],$A42,T_TTAFStock_Log[WeekIndex],95)=0,"",SUMIFS(T_TTAFStock_Log[TTAF_Qty],T_TTAFStock_Log[Part Name],$A42,T_TTAFStock_Log[WeekIndex],95))</f>
        <v/>
      </c>
      <c r="CS42" s="17">
        <f>IF(COUNTIFS(T_TTAFStock_Log[Part Name],$A42,T_TTAFStock_Log[WeekIndex],96)=0,"",SUMIFS(T_TTAFStock_Log[TTAF_Qty],T_TTAFStock_Log[Part Name],$A42,T_TTAFStock_Log[WeekIndex],96))</f>
        <v/>
      </c>
      <c r="CT42" s="17">
        <f>IF(COUNTIFS(T_TTAFStock_Log[Part Name],$A42,T_TTAFStock_Log[WeekIndex],97)=0,"",SUMIFS(T_TTAFStock_Log[TTAF_Qty],T_TTAFStock_Log[Part Name],$A42,T_TTAFStock_Log[WeekIndex],97))</f>
        <v/>
      </c>
      <c r="CU42" s="17">
        <f>IF(COUNTIFS(T_TTAFStock_Log[Part Name],$A42,T_TTAFStock_Log[WeekIndex],98)=0,"",SUMIFS(T_TTAFStock_Log[TTAF_Qty],T_TTAFStock_Log[Part Name],$A42,T_TTAFStock_Log[WeekIndex],98))</f>
        <v/>
      </c>
      <c r="CV42" s="17">
        <f>IF(COUNTIFS(T_TTAFStock_Log[Part Name],$A42,T_TTAFStock_Log[WeekIndex],99)=0,"",SUMIFS(T_TTAFStock_Log[TTAF_Qty],T_TTAFStock_Log[Part Name],$A42,T_TTAFStock_Log[WeekIndex],99))</f>
        <v/>
      </c>
      <c r="CW42" s="17">
        <f>IF(COUNTIFS(T_TTAFStock_Log[Part Name],$A42,T_TTAFStock_Log[WeekIndex],100)=0,"",SUMIFS(T_TTAFStock_Log[TTAF_Qty],T_TTAFStock_Log[Part Name],$A42,T_TTAFStock_Log[WeekIndex],100))</f>
        <v/>
      </c>
      <c r="CX42" s="17">
        <f>IF(COUNTIFS(T_TTAFStock_Log[Part Name],$A42,T_TTAFStock_Log[WeekIndex],101)=0,"",SUMIFS(T_TTAFStock_Log[TTAF_Qty],T_TTAFStock_Log[Part Name],$A42,T_TTAFStock_Log[WeekIndex],101))</f>
        <v/>
      </c>
      <c r="CY42" s="17">
        <f>IF(COUNTIFS(T_TTAFStock_Log[Part Name],$A42,T_TTAFStock_Log[WeekIndex],102)=0,"",SUMIFS(T_TTAFStock_Log[TTAF_Qty],T_TTAFStock_Log[Part Name],$A42,T_TTAFStock_Log[WeekIndex],102))</f>
        <v/>
      </c>
      <c r="CZ42" s="17">
        <f>IF(COUNTIFS(T_TTAFStock_Log[Part Name],$A42,T_TTAFStock_Log[WeekIndex],103)=0,"",SUMIFS(T_TTAFStock_Log[TTAF_Qty],T_TTAFStock_Log[Part Name],$A42,T_TTAFStock_Log[WeekIndex],103))</f>
        <v/>
      </c>
      <c r="DA42" s="17">
        <f>IF(COUNTIFS(T_TTAFStock_Log[Part Name],$A42,T_TTAFStock_Log[WeekIndex],104)=0,"",SUMIFS(T_TTAFStock_Log[TTAF_Qty],T_TTAFStock_Log[Part Name],$A42,T_TTAFStock_Log[WeekIndex],104))</f>
        <v/>
      </c>
    </row>
    <row r="43">
      <c r="A43" s="19" t="inlineStr">
        <is>
          <t>CHEM-1480</t>
        </is>
      </c>
      <c r="B43" s="19">
        <f>IF(COUNTIFS(T_TTAFStock_Log[Part Name],$A43,T_TTAFStock_Log[WeekIndex],1)=0,"",SUMIFS(T_TTAFStock_Log[TTAF_Qty],T_TTAFStock_Log[Part Name],$A43,T_TTAFStock_Log[WeekIndex],1))</f>
        <v/>
      </c>
      <c r="C43" s="19">
        <f>IF(COUNTIFS(T_TTAFStock_Log[Part Name],$A43,T_TTAFStock_Log[WeekIndex],2)=0,"",SUMIFS(T_TTAFStock_Log[TTAF_Qty],T_TTAFStock_Log[Part Name],$A43,T_TTAFStock_Log[WeekIndex],2))</f>
        <v/>
      </c>
      <c r="D43" s="19">
        <f>IF(COUNTIFS(T_TTAFStock_Log[Part Name],$A43,T_TTAFStock_Log[WeekIndex],3)=0,"",SUMIFS(T_TTAFStock_Log[TTAF_Qty],T_TTAFStock_Log[Part Name],$A43,T_TTAFStock_Log[WeekIndex],3))</f>
        <v/>
      </c>
      <c r="E43" s="19">
        <f>IF(COUNTIFS(T_TTAFStock_Log[Part Name],$A43,T_TTAFStock_Log[WeekIndex],4)=0,"",SUMIFS(T_TTAFStock_Log[TTAF_Qty],T_TTAFStock_Log[Part Name],$A43,T_TTAFStock_Log[WeekIndex],4))</f>
        <v/>
      </c>
      <c r="F43" s="19">
        <f>IF(COUNTIFS(T_TTAFStock_Log[Part Name],$A43,T_TTAFStock_Log[WeekIndex],5)=0,"",SUMIFS(T_TTAFStock_Log[TTAF_Qty],T_TTAFStock_Log[Part Name],$A43,T_TTAFStock_Log[WeekIndex],5))</f>
        <v/>
      </c>
      <c r="G43" s="19">
        <f>IF(COUNTIFS(T_TTAFStock_Log[Part Name],$A43,T_TTAFStock_Log[WeekIndex],6)=0,"",SUMIFS(T_TTAFStock_Log[TTAF_Qty],T_TTAFStock_Log[Part Name],$A43,T_TTAFStock_Log[WeekIndex],6))</f>
        <v/>
      </c>
      <c r="H43" s="19">
        <f>IF(COUNTIFS(T_TTAFStock_Log[Part Name],$A43,T_TTAFStock_Log[WeekIndex],7)=0,"",SUMIFS(T_TTAFStock_Log[TTAF_Qty],T_TTAFStock_Log[Part Name],$A43,T_TTAFStock_Log[WeekIndex],7))</f>
        <v/>
      </c>
      <c r="I43" s="19">
        <f>IF(COUNTIFS(T_TTAFStock_Log[Part Name],$A43,T_TTAFStock_Log[WeekIndex],8)=0,"",SUMIFS(T_TTAFStock_Log[TTAF_Qty],T_TTAFStock_Log[Part Name],$A43,T_TTAFStock_Log[WeekIndex],8))</f>
        <v/>
      </c>
      <c r="J43" s="19">
        <f>IF(COUNTIFS(T_TTAFStock_Log[Part Name],$A43,T_TTAFStock_Log[WeekIndex],9)=0,"",SUMIFS(T_TTAFStock_Log[TTAF_Qty],T_TTAFStock_Log[Part Name],$A43,T_TTAFStock_Log[WeekIndex],9))</f>
        <v/>
      </c>
      <c r="K43" s="19">
        <f>IF(COUNTIFS(T_TTAFStock_Log[Part Name],$A43,T_TTAFStock_Log[WeekIndex],10)=0,"",SUMIFS(T_TTAFStock_Log[TTAF_Qty],T_TTAFStock_Log[Part Name],$A43,T_TTAFStock_Log[WeekIndex],10))</f>
        <v/>
      </c>
      <c r="L43" s="19">
        <f>IF(COUNTIFS(T_TTAFStock_Log[Part Name],$A43,T_TTAFStock_Log[WeekIndex],11)=0,"",SUMIFS(T_TTAFStock_Log[TTAF_Qty],T_TTAFStock_Log[Part Name],$A43,T_TTAFStock_Log[WeekIndex],11))</f>
        <v/>
      </c>
      <c r="M43" s="19">
        <f>IF(COUNTIFS(T_TTAFStock_Log[Part Name],$A43,T_TTAFStock_Log[WeekIndex],12)=0,"",SUMIFS(T_TTAFStock_Log[TTAF_Qty],T_TTAFStock_Log[Part Name],$A43,T_TTAFStock_Log[WeekIndex],12))</f>
        <v/>
      </c>
      <c r="N43" s="19">
        <f>IF(COUNTIFS(T_TTAFStock_Log[Part Name],$A43,T_TTAFStock_Log[WeekIndex],13)=0,"",SUMIFS(T_TTAFStock_Log[TTAF_Qty],T_TTAFStock_Log[Part Name],$A43,T_TTAFStock_Log[WeekIndex],13))</f>
        <v/>
      </c>
      <c r="O43" s="19">
        <f>IF(COUNTIFS(T_TTAFStock_Log[Part Name],$A43,T_TTAFStock_Log[WeekIndex],14)=0,"",SUMIFS(T_TTAFStock_Log[TTAF_Qty],T_TTAFStock_Log[Part Name],$A43,T_TTAFStock_Log[WeekIndex],14))</f>
        <v/>
      </c>
      <c r="P43" s="19">
        <f>IF(COUNTIFS(T_TTAFStock_Log[Part Name],$A43,T_TTAFStock_Log[WeekIndex],15)=0,"",SUMIFS(T_TTAFStock_Log[TTAF_Qty],T_TTAFStock_Log[Part Name],$A43,T_TTAFStock_Log[WeekIndex],15))</f>
        <v/>
      </c>
      <c r="Q43" s="19">
        <f>IF(COUNTIFS(T_TTAFStock_Log[Part Name],$A43,T_TTAFStock_Log[WeekIndex],16)=0,"",SUMIFS(T_TTAFStock_Log[TTAF_Qty],T_TTAFStock_Log[Part Name],$A43,T_TTAFStock_Log[WeekIndex],16))</f>
        <v/>
      </c>
      <c r="R43" s="19">
        <f>IF(COUNTIFS(T_TTAFStock_Log[Part Name],$A43,T_TTAFStock_Log[WeekIndex],17)=0,"",SUMIFS(T_TTAFStock_Log[TTAF_Qty],T_TTAFStock_Log[Part Name],$A43,T_TTAFStock_Log[WeekIndex],17))</f>
        <v/>
      </c>
      <c r="S43" s="19">
        <f>IF(COUNTIFS(T_TTAFStock_Log[Part Name],$A43,T_TTAFStock_Log[WeekIndex],18)=0,"",SUMIFS(T_TTAFStock_Log[TTAF_Qty],T_TTAFStock_Log[Part Name],$A43,T_TTAFStock_Log[WeekIndex],18))</f>
        <v/>
      </c>
      <c r="T43" s="19">
        <f>IF(COUNTIFS(T_TTAFStock_Log[Part Name],$A43,T_TTAFStock_Log[WeekIndex],19)=0,"",SUMIFS(T_TTAFStock_Log[TTAF_Qty],T_TTAFStock_Log[Part Name],$A43,T_TTAFStock_Log[WeekIndex],19))</f>
        <v/>
      </c>
      <c r="U43" s="19">
        <f>IF(COUNTIFS(T_TTAFStock_Log[Part Name],$A43,T_TTAFStock_Log[WeekIndex],20)=0,"",SUMIFS(T_TTAFStock_Log[TTAF_Qty],T_TTAFStock_Log[Part Name],$A43,T_TTAFStock_Log[WeekIndex],20))</f>
        <v/>
      </c>
      <c r="V43" s="19">
        <f>IF(COUNTIFS(T_TTAFStock_Log[Part Name],$A43,T_TTAFStock_Log[WeekIndex],21)=0,"",SUMIFS(T_TTAFStock_Log[TTAF_Qty],T_TTAFStock_Log[Part Name],$A43,T_TTAFStock_Log[WeekIndex],21))</f>
        <v/>
      </c>
      <c r="W43" s="19">
        <f>IF(COUNTIFS(T_TTAFStock_Log[Part Name],$A43,T_TTAFStock_Log[WeekIndex],22)=0,"",SUMIFS(T_TTAFStock_Log[TTAF_Qty],T_TTAFStock_Log[Part Name],$A43,T_TTAFStock_Log[WeekIndex],22))</f>
        <v/>
      </c>
      <c r="X43" s="19">
        <f>IF(COUNTIFS(T_TTAFStock_Log[Part Name],$A43,T_TTAFStock_Log[WeekIndex],23)=0,"",SUMIFS(T_TTAFStock_Log[TTAF_Qty],T_TTAFStock_Log[Part Name],$A43,T_TTAFStock_Log[WeekIndex],23))</f>
        <v/>
      </c>
      <c r="Y43" s="19">
        <f>IF(COUNTIFS(T_TTAFStock_Log[Part Name],$A43,T_TTAFStock_Log[WeekIndex],24)=0,"",SUMIFS(T_TTAFStock_Log[TTAF_Qty],T_TTAFStock_Log[Part Name],$A43,T_TTAFStock_Log[WeekIndex],24))</f>
        <v/>
      </c>
      <c r="Z43" s="19">
        <f>IF(COUNTIFS(T_TTAFStock_Log[Part Name],$A43,T_TTAFStock_Log[WeekIndex],25)=0,"",SUMIFS(T_TTAFStock_Log[TTAF_Qty],T_TTAFStock_Log[Part Name],$A43,T_TTAFStock_Log[WeekIndex],25))</f>
        <v/>
      </c>
      <c r="AA43" s="19">
        <f>IF(COUNTIFS(T_TTAFStock_Log[Part Name],$A43,T_TTAFStock_Log[WeekIndex],26)=0,"",SUMIFS(T_TTAFStock_Log[TTAF_Qty],T_TTAFStock_Log[Part Name],$A43,T_TTAFStock_Log[WeekIndex],26))</f>
        <v/>
      </c>
      <c r="AB43" s="19">
        <f>IF(COUNTIFS(T_TTAFStock_Log[Part Name],$A43,T_TTAFStock_Log[WeekIndex],27)=0,"",SUMIFS(T_TTAFStock_Log[TTAF_Qty],T_TTAFStock_Log[Part Name],$A43,T_TTAFStock_Log[WeekIndex],27))</f>
        <v/>
      </c>
      <c r="AC43" s="19">
        <f>IF(COUNTIFS(T_TTAFStock_Log[Part Name],$A43,T_TTAFStock_Log[WeekIndex],28)=0,"",SUMIFS(T_TTAFStock_Log[TTAF_Qty],T_TTAFStock_Log[Part Name],$A43,T_TTAFStock_Log[WeekIndex],28))</f>
        <v/>
      </c>
      <c r="AD43" s="19">
        <f>IF(COUNTIFS(T_TTAFStock_Log[Part Name],$A43,T_TTAFStock_Log[WeekIndex],29)=0,"",SUMIFS(T_TTAFStock_Log[TTAF_Qty],T_TTAFStock_Log[Part Name],$A43,T_TTAFStock_Log[WeekIndex],29))</f>
        <v/>
      </c>
      <c r="AE43" s="19">
        <f>IF(COUNTIFS(T_TTAFStock_Log[Part Name],$A43,T_TTAFStock_Log[WeekIndex],30)=0,"",SUMIFS(T_TTAFStock_Log[TTAF_Qty],T_TTAFStock_Log[Part Name],$A43,T_TTAFStock_Log[WeekIndex],30))</f>
        <v/>
      </c>
      <c r="AF43" s="19">
        <f>IF(COUNTIFS(T_TTAFStock_Log[Part Name],$A43,T_TTAFStock_Log[WeekIndex],31)=0,"",SUMIFS(T_TTAFStock_Log[TTAF_Qty],T_TTAFStock_Log[Part Name],$A43,T_TTAFStock_Log[WeekIndex],31))</f>
        <v/>
      </c>
      <c r="AG43" s="19">
        <f>IF(COUNTIFS(T_TTAFStock_Log[Part Name],$A43,T_TTAFStock_Log[WeekIndex],32)=0,"",SUMIFS(T_TTAFStock_Log[TTAF_Qty],T_TTAFStock_Log[Part Name],$A43,T_TTAFStock_Log[WeekIndex],32))</f>
        <v/>
      </c>
      <c r="AH43" s="19">
        <f>IF(COUNTIFS(T_TTAFStock_Log[Part Name],$A43,T_TTAFStock_Log[WeekIndex],33)=0,"",SUMIFS(T_TTAFStock_Log[TTAF_Qty],T_TTAFStock_Log[Part Name],$A43,T_TTAFStock_Log[WeekIndex],33))</f>
        <v/>
      </c>
      <c r="AI43" s="19">
        <f>IF(COUNTIFS(T_TTAFStock_Log[Part Name],$A43,T_TTAFStock_Log[WeekIndex],34)=0,"",SUMIFS(T_TTAFStock_Log[TTAF_Qty],T_TTAFStock_Log[Part Name],$A43,T_TTAFStock_Log[WeekIndex],34))</f>
        <v/>
      </c>
      <c r="AJ43" s="19">
        <f>IF(COUNTIFS(T_TTAFStock_Log[Part Name],$A43,T_TTAFStock_Log[WeekIndex],35)=0,"",SUMIFS(T_TTAFStock_Log[TTAF_Qty],T_TTAFStock_Log[Part Name],$A43,T_TTAFStock_Log[WeekIndex],35))</f>
        <v/>
      </c>
      <c r="AK43" s="19">
        <f>IF(COUNTIFS(T_TTAFStock_Log[Part Name],$A43,T_TTAFStock_Log[WeekIndex],36)=0,"",SUMIFS(T_TTAFStock_Log[TTAF_Qty],T_TTAFStock_Log[Part Name],$A43,T_TTAFStock_Log[WeekIndex],36))</f>
        <v/>
      </c>
      <c r="AL43" s="19">
        <f>IF(COUNTIFS(T_TTAFStock_Log[Part Name],$A43,T_TTAFStock_Log[WeekIndex],37)=0,"",SUMIFS(T_TTAFStock_Log[TTAF_Qty],T_TTAFStock_Log[Part Name],$A43,T_TTAFStock_Log[WeekIndex],37))</f>
        <v/>
      </c>
      <c r="AM43" s="19">
        <f>IF(COUNTIFS(T_TTAFStock_Log[Part Name],$A43,T_TTAFStock_Log[WeekIndex],38)=0,"",SUMIFS(T_TTAFStock_Log[TTAF_Qty],T_TTAFStock_Log[Part Name],$A43,T_TTAFStock_Log[WeekIndex],38))</f>
        <v/>
      </c>
      <c r="AN43" s="19">
        <f>IF(COUNTIFS(T_TTAFStock_Log[Part Name],$A43,T_TTAFStock_Log[WeekIndex],39)=0,"",SUMIFS(T_TTAFStock_Log[TTAF_Qty],T_TTAFStock_Log[Part Name],$A43,T_TTAFStock_Log[WeekIndex],39))</f>
        <v/>
      </c>
      <c r="AO43" s="19">
        <f>IF(COUNTIFS(T_TTAFStock_Log[Part Name],$A43,T_TTAFStock_Log[WeekIndex],40)=0,"",SUMIFS(T_TTAFStock_Log[TTAF_Qty],T_TTAFStock_Log[Part Name],$A43,T_TTAFStock_Log[WeekIndex],40))</f>
        <v/>
      </c>
      <c r="AP43" s="19">
        <f>IF(COUNTIFS(T_TTAFStock_Log[Part Name],$A43,T_TTAFStock_Log[WeekIndex],41)=0,"",SUMIFS(T_TTAFStock_Log[TTAF_Qty],T_TTAFStock_Log[Part Name],$A43,T_TTAFStock_Log[WeekIndex],41))</f>
        <v/>
      </c>
      <c r="AQ43" s="19">
        <f>IF(COUNTIFS(T_TTAFStock_Log[Part Name],$A43,T_TTAFStock_Log[WeekIndex],42)=0,"",SUMIFS(T_TTAFStock_Log[TTAF_Qty],T_TTAFStock_Log[Part Name],$A43,T_TTAFStock_Log[WeekIndex],42))</f>
        <v/>
      </c>
      <c r="AR43" s="19">
        <f>IF(COUNTIFS(T_TTAFStock_Log[Part Name],$A43,T_TTAFStock_Log[WeekIndex],43)=0,"",SUMIFS(T_TTAFStock_Log[TTAF_Qty],T_TTAFStock_Log[Part Name],$A43,T_TTAFStock_Log[WeekIndex],43))</f>
        <v/>
      </c>
      <c r="AS43" s="19">
        <f>IF(COUNTIFS(T_TTAFStock_Log[Part Name],$A43,T_TTAFStock_Log[WeekIndex],44)=0,"",SUMIFS(T_TTAFStock_Log[TTAF_Qty],T_TTAFStock_Log[Part Name],$A43,T_TTAFStock_Log[WeekIndex],44))</f>
        <v/>
      </c>
      <c r="AT43" s="19">
        <f>IF(COUNTIFS(T_TTAFStock_Log[Part Name],$A43,T_TTAFStock_Log[WeekIndex],45)=0,"",SUMIFS(T_TTAFStock_Log[TTAF_Qty],T_TTAFStock_Log[Part Name],$A43,T_TTAFStock_Log[WeekIndex],45))</f>
        <v/>
      </c>
      <c r="AU43" s="19">
        <f>IF(COUNTIFS(T_TTAFStock_Log[Part Name],$A43,T_TTAFStock_Log[WeekIndex],46)=0,"",SUMIFS(T_TTAFStock_Log[TTAF_Qty],T_TTAFStock_Log[Part Name],$A43,T_TTAFStock_Log[WeekIndex],46))</f>
        <v/>
      </c>
      <c r="AV43" s="19">
        <f>IF(COUNTIFS(T_TTAFStock_Log[Part Name],$A43,T_TTAFStock_Log[WeekIndex],47)=0,"",SUMIFS(T_TTAFStock_Log[TTAF_Qty],T_TTAFStock_Log[Part Name],$A43,T_TTAFStock_Log[WeekIndex],47))</f>
        <v/>
      </c>
      <c r="AW43" s="19">
        <f>IF(COUNTIFS(T_TTAFStock_Log[Part Name],$A43,T_TTAFStock_Log[WeekIndex],48)=0,"",SUMIFS(T_TTAFStock_Log[TTAF_Qty],T_TTAFStock_Log[Part Name],$A43,T_TTAFStock_Log[WeekIndex],48))</f>
        <v/>
      </c>
      <c r="AX43" s="19">
        <f>IF(COUNTIFS(T_TTAFStock_Log[Part Name],$A43,T_TTAFStock_Log[WeekIndex],49)=0,"",SUMIFS(T_TTAFStock_Log[TTAF_Qty],T_TTAFStock_Log[Part Name],$A43,T_TTAFStock_Log[WeekIndex],49))</f>
        <v/>
      </c>
      <c r="AY43" s="19">
        <f>IF(COUNTIFS(T_TTAFStock_Log[Part Name],$A43,T_TTAFStock_Log[WeekIndex],50)=0,"",SUMIFS(T_TTAFStock_Log[TTAF_Qty],T_TTAFStock_Log[Part Name],$A43,T_TTAFStock_Log[WeekIndex],50))</f>
        <v/>
      </c>
      <c r="AZ43" s="19">
        <f>IF(COUNTIFS(T_TTAFStock_Log[Part Name],$A43,T_TTAFStock_Log[WeekIndex],51)=0,"",SUMIFS(T_TTAFStock_Log[TTAF_Qty],T_TTAFStock_Log[Part Name],$A43,T_TTAFStock_Log[WeekIndex],51))</f>
        <v/>
      </c>
      <c r="BA43" s="19">
        <f>IF(COUNTIFS(T_TTAFStock_Log[Part Name],$A43,T_TTAFStock_Log[WeekIndex],52)=0,"",SUMIFS(T_TTAFStock_Log[TTAF_Qty],T_TTAFStock_Log[Part Name],$A43,T_TTAFStock_Log[WeekIndex],52))</f>
        <v/>
      </c>
      <c r="BB43" s="19">
        <f>IF(COUNTIFS(T_TTAFStock_Log[Part Name],$A43,T_TTAFStock_Log[WeekIndex],53)=0,"",SUMIFS(T_TTAFStock_Log[TTAF_Qty],T_TTAFStock_Log[Part Name],$A43,T_TTAFStock_Log[WeekIndex],53))</f>
        <v/>
      </c>
      <c r="BC43" s="19">
        <f>IF(COUNTIFS(T_TTAFStock_Log[Part Name],$A43,T_TTAFStock_Log[WeekIndex],54)=0,"",SUMIFS(T_TTAFStock_Log[TTAF_Qty],T_TTAFStock_Log[Part Name],$A43,T_TTAFStock_Log[WeekIndex],54))</f>
        <v/>
      </c>
      <c r="BD43" s="19">
        <f>IF(COUNTIFS(T_TTAFStock_Log[Part Name],$A43,T_TTAFStock_Log[WeekIndex],55)=0,"",SUMIFS(T_TTAFStock_Log[TTAF_Qty],T_TTAFStock_Log[Part Name],$A43,T_TTAFStock_Log[WeekIndex],55))</f>
        <v/>
      </c>
      <c r="BE43" s="19">
        <f>IF(COUNTIFS(T_TTAFStock_Log[Part Name],$A43,T_TTAFStock_Log[WeekIndex],56)=0,"",SUMIFS(T_TTAFStock_Log[TTAF_Qty],T_TTAFStock_Log[Part Name],$A43,T_TTAFStock_Log[WeekIndex],56))</f>
        <v/>
      </c>
      <c r="BF43" s="19">
        <f>IF(COUNTIFS(T_TTAFStock_Log[Part Name],$A43,T_TTAFStock_Log[WeekIndex],57)=0,"",SUMIFS(T_TTAFStock_Log[TTAF_Qty],T_TTAFStock_Log[Part Name],$A43,T_TTAFStock_Log[WeekIndex],57))</f>
        <v/>
      </c>
      <c r="BG43" s="19">
        <f>IF(COUNTIFS(T_TTAFStock_Log[Part Name],$A43,T_TTAFStock_Log[WeekIndex],58)=0,"",SUMIFS(T_TTAFStock_Log[TTAF_Qty],T_TTAFStock_Log[Part Name],$A43,T_TTAFStock_Log[WeekIndex],58))</f>
        <v/>
      </c>
      <c r="BH43" s="19">
        <f>IF(COUNTIFS(T_TTAFStock_Log[Part Name],$A43,T_TTAFStock_Log[WeekIndex],59)=0,"",SUMIFS(T_TTAFStock_Log[TTAF_Qty],T_TTAFStock_Log[Part Name],$A43,T_TTAFStock_Log[WeekIndex],59))</f>
        <v/>
      </c>
      <c r="BI43" s="19">
        <f>IF(COUNTIFS(T_TTAFStock_Log[Part Name],$A43,T_TTAFStock_Log[WeekIndex],60)=0,"",SUMIFS(T_TTAFStock_Log[TTAF_Qty],T_TTAFStock_Log[Part Name],$A43,T_TTAFStock_Log[WeekIndex],60))</f>
        <v/>
      </c>
      <c r="BJ43" s="19">
        <f>IF(COUNTIFS(T_TTAFStock_Log[Part Name],$A43,T_TTAFStock_Log[WeekIndex],61)=0,"",SUMIFS(T_TTAFStock_Log[TTAF_Qty],T_TTAFStock_Log[Part Name],$A43,T_TTAFStock_Log[WeekIndex],61))</f>
        <v/>
      </c>
      <c r="BK43" s="19">
        <f>IF(COUNTIFS(T_TTAFStock_Log[Part Name],$A43,T_TTAFStock_Log[WeekIndex],62)=0,"",SUMIFS(T_TTAFStock_Log[TTAF_Qty],T_TTAFStock_Log[Part Name],$A43,T_TTAFStock_Log[WeekIndex],62))</f>
        <v/>
      </c>
      <c r="BL43" s="19">
        <f>IF(COUNTIFS(T_TTAFStock_Log[Part Name],$A43,T_TTAFStock_Log[WeekIndex],63)=0,"",SUMIFS(T_TTAFStock_Log[TTAF_Qty],T_TTAFStock_Log[Part Name],$A43,T_TTAFStock_Log[WeekIndex],63))</f>
        <v/>
      </c>
      <c r="BM43" s="19">
        <f>IF(COUNTIFS(T_TTAFStock_Log[Part Name],$A43,T_TTAFStock_Log[WeekIndex],64)=0,"",SUMIFS(T_TTAFStock_Log[TTAF_Qty],T_TTAFStock_Log[Part Name],$A43,T_TTAFStock_Log[WeekIndex],64))</f>
        <v/>
      </c>
      <c r="BN43" s="19">
        <f>IF(COUNTIFS(T_TTAFStock_Log[Part Name],$A43,T_TTAFStock_Log[WeekIndex],65)=0,"",SUMIFS(T_TTAFStock_Log[TTAF_Qty],T_TTAFStock_Log[Part Name],$A43,T_TTAFStock_Log[WeekIndex],65))</f>
        <v/>
      </c>
      <c r="BO43" s="19">
        <f>IF(COUNTIFS(T_TTAFStock_Log[Part Name],$A43,T_TTAFStock_Log[WeekIndex],66)=0,"",SUMIFS(T_TTAFStock_Log[TTAF_Qty],T_TTAFStock_Log[Part Name],$A43,T_TTAFStock_Log[WeekIndex],66))</f>
        <v/>
      </c>
      <c r="BP43" s="19">
        <f>IF(COUNTIFS(T_TTAFStock_Log[Part Name],$A43,T_TTAFStock_Log[WeekIndex],67)=0,"",SUMIFS(T_TTAFStock_Log[TTAF_Qty],T_TTAFStock_Log[Part Name],$A43,T_TTAFStock_Log[WeekIndex],67))</f>
        <v/>
      </c>
      <c r="BQ43" s="19">
        <f>IF(COUNTIFS(T_TTAFStock_Log[Part Name],$A43,T_TTAFStock_Log[WeekIndex],68)=0,"",SUMIFS(T_TTAFStock_Log[TTAF_Qty],T_TTAFStock_Log[Part Name],$A43,T_TTAFStock_Log[WeekIndex],68))</f>
        <v/>
      </c>
      <c r="BR43" s="19">
        <f>IF(COUNTIFS(T_TTAFStock_Log[Part Name],$A43,T_TTAFStock_Log[WeekIndex],69)=0,"",SUMIFS(T_TTAFStock_Log[TTAF_Qty],T_TTAFStock_Log[Part Name],$A43,T_TTAFStock_Log[WeekIndex],69))</f>
        <v/>
      </c>
      <c r="BS43" s="19">
        <f>IF(COUNTIFS(T_TTAFStock_Log[Part Name],$A43,T_TTAFStock_Log[WeekIndex],70)=0,"",SUMIFS(T_TTAFStock_Log[TTAF_Qty],T_TTAFStock_Log[Part Name],$A43,T_TTAFStock_Log[WeekIndex],70))</f>
        <v/>
      </c>
      <c r="BT43" s="19">
        <f>IF(COUNTIFS(T_TTAFStock_Log[Part Name],$A43,T_TTAFStock_Log[WeekIndex],71)=0,"",SUMIFS(T_TTAFStock_Log[TTAF_Qty],T_TTAFStock_Log[Part Name],$A43,T_TTAFStock_Log[WeekIndex],71))</f>
        <v/>
      </c>
      <c r="BU43" s="19">
        <f>IF(COUNTIFS(T_TTAFStock_Log[Part Name],$A43,T_TTAFStock_Log[WeekIndex],72)=0,"",SUMIFS(T_TTAFStock_Log[TTAF_Qty],T_TTAFStock_Log[Part Name],$A43,T_TTAFStock_Log[WeekIndex],72))</f>
        <v/>
      </c>
      <c r="BV43" s="19">
        <f>IF(COUNTIFS(T_TTAFStock_Log[Part Name],$A43,T_TTAFStock_Log[WeekIndex],73)=0,"",SUMIFS(T_TTAFStock_Log[TTAF_Qty],T_TTAFStock_Log[Part Name],$A43,T_TTAFStock_Log[WeekIndex],73))</f>
        <v/>
      </c>
      <c r="BW43" s="19">
        <f>IF(COUNTIFS(T_TTAFStock_Log[Part Name],$A43,T_TTAFStock_Log[WeekIndex],74)=0,"",SUMIFS(T_TTAFStock_Log[TTAF_Qty],T_TTAFStock_Log[Part Name],$A43,T_TTAFStock_Log[WeekIndex],74))</f>
        <v/>
      </c>
      <c r="BX43" s="19">
        <f>IF(COUNTIFS(T_TTAFStock_Log[Part Name],$A43,T_TTAFStock_Log[WeekIndex],75)=0,"",SUMIFS(T_TTAFStock_Log[TTAF_Qty],T_TTAFStock_Log[Part Name],$A43,T_TTAFStock_Log[WeekIndex],75))</f>
        <v/>
      </c>
      <c r="BY43" s="19">
        <f>IF(COUNTIFS(T_TTAFStock_Log[Part Name],$A43,T_TTAFStock_Log[WeekIndex],76)=0,"",SUMIFS(T_TTAFStock_Log[TTAF_Qty],T_TTAFStock_Log[Part Name],$A43,T_TTAFStock_Log[WeekIndex],76))</f>
        <v/>
      </c>
      <c r="BZ43" s="19">
        <f>IF(COUNTIFS(T_TTAFStock_Log[Part Name],$A43,T_TTAFStock_Log[WeekIndex],77)=0,"",SUMIFS(T_TTAFStock_Log[TTAF_Qty],T_TTAFStock_Log[Part Name],$A43,T_TTAFStock_Log[WeekIndex],77))</f>
        <v/>
      </c>
      <c r="CA43" s="19">
        <f>IF(COUNTIFS(T_TTAFStock_Log[Part Name],$A43,T_TTAFStock_Log[WeekIndex],78)=0,"",SUMIFS(T_TTAFStock_Log[TTAF_Qty],T_TTAFStock_Log[Part Name],$A43,T_TTAFStock_Log[WeekIndex],78))</f>
        <v/>
      </c>
      <c r="CB43" s="19">
        <f>IF(COUNTIFS(T_TTAFStock_Log[Part Name],$A43,T_TTAFStock_Log[WeekIndex],79)=0,"",SUMIFS(T_TTAFStock_Log[TTAF_Qty],T_TTAFStock_Log[Part Name],$A43,T_TTAFStock_Log[WeekIndex],79))</f>
        <v/>
      </c>
      <c r="CC43" s="19">
        <f>IF(COUNTIFS(T_TTAFStock_Log[Part Name],$A43,T_TTAFStock_Log[WeekIndex],80)=0,"",SUMIFS(T_TTAFStock_Log[TTAF_Qty],T_TTAFStock_Log[Part Name],$A43,T_TTAFStock_Log[WeekIndex],80))</f>
        <v/>
      </c>
      <c r="CD43" s="19">
        <f>IF(COUNTIFS(T_TTAFStock_Log[Part Name],$A43,T_TTAFStock_Log[WeekIndex],81)=0,"",SUMIFS(T_TTAFStock_Log[TTAF_Qty],T_TTAFStock_Log[Part Name],$A43,T_TTAFStock_Log[WeekIndex],81))</f>
        <v/>
      </c>
      <c r="CE43" s="19">
        <f>IF(COUNTIFS(T_TTAFStock_Log[Part Name],$A43,T_TTAFStock_Log[WeekIndex],82)=0,"",SUMIFS(T_TTAFStock_Log[TTAF_Qty],T_TTAFStock_Log[Part Name],$A43,T_TTAFStock_Log[WeekIndex],82))</f>
        <v/>
      </c>
      <c r="CF43" s="19">
        <f>IF(COUNTIFS(T_TTAFStock_Log[Part Name],$A43,T_TTAFStock_Log[WeekIndex],83)=0,"",SUMIFS(T_TTAFStock_Log[TTAF_Qty],T_TTAFStock_Log[Part Name],$A43,T_TTAFStock_Log[WeekIndex],83))</f>
        <v/>
      </c>
      <c r="CG43" s="19">
        <f>IF(COUNTIFS(T_TTAFStock_Log[Part Name],$A43,T_TTAFStock_Log[WeekIndex],84)=0,"",SUMIFS(T_TTAFStock_Log[TTAF_Qty],T_TTAFStock_Log[Part Name],$A43,T_TTAFStock_Log[WeekIndex],84))</f>
        <v/>
      </c>
      <c r="CH43" s="19">
        <f>IF(COUNTIFS(T_TTAFStock_Log[Part Name],$A43,T_TTAFStock_Log[WeekIndex],85)=0,"",SUMIFS(T_TTAFStock_Log[TTAF_Qty],T_TTAFStock_Log[Part Name],$A43,T_TTAFStock_Log[WeekIndex],85))</f>
        <v/>
      </c>
      <c r="CI43" s="19">
        <f>IF(COUNTIFS(T_TTAFStock_Log[Part Name],$A43,T_TTAFStock_Log[WeekIndex],86)=0,"",SUMIFS(T_TTAFStock_Log[TTAF_Qty],T_TTAFStock_Log[Part Name],$A43,T_TTAFStock_Log[WeekIndex],86))</f>
        <v/>
      </c>
      <c r="CJ43" s="19">
        <f>IF(COUNTIFS(T_TTAFStock_Log[Part Name],$A43,T_TTAFStock_Log[WeekIndex],87)=0,"",SUMIFS(T_TTAFStock_Log[TTAF_Qty],T_TTAFStock_Log[Part Name],$A43,T_TTAFStock_Log[WeekIndex],87))</f>
        <v/>
      </c>
      <c r="CK43" s="19">
        <f>IF(COUNTIFS(T_TTAFStock_Log[Part Name],$A43,T_TTAFStock_Log[WeekIndex],88)=0,"",SUMIFS(T_TTAFStock_Log[TTAF_Qty],T_TTAFStock_Log[Part Name],$A43,T_TTAFStock_Log[WeekIndex],88))</f>
        <v/>
      </c>
      <c r="CL43" s="19">
        <f>IF(COUNTIFS(T_TTAFStock_Log[Part Name],$A43,T_TTAFStock_Log[WeekIndex],89)=0,"",SUMIFS(T_TTAFStock_Log[TTAF_Qty],T_TTAFStock_Log[Part Name],$A43,T_TTAFStock_Log[WeekIndex],89))</f>
        <v/>
      </c>
      <c r="CM43" s="19">
        <f>IF(COUNTIFS(T_TTAFStock_Log[Part Name],$A43,T_TTAFStock_Log[WeekIndex],90)=0,"",SUMIFS(T_TTAFStock_Log[TTAF_Qty],T_TTAFStock_Log[Part Name],$A43,T_TTAFStock_Log[WeekIndex],90))</f>
        <v/>
      </c>
      <c r="CN43" s="19">
        <f>IF(COUNTIFS(T_TTAFStock_Log[Part Name],$A43,T_TTAFStock_Log[WeekIndex],91)=0,"",SUMIFS(T_TTAFStock_Log[TTAF_Qty],T_TTAFStock_Log[Part Name],$A43,T_TTAFStock_Log[WeekIndex],91))</f>
        <v/>
      </c>
      <c r="CO43" s="19">
        <f>IF(COUNTIFS(T_TTAFStock_Log[Part Name],$A43,T_TTAFStock_Log[WeekIndex],92)=0,"",SUMIFS(T_TTAFStock_Log[TTAF_Qty],T_TTAFStock_Log[Part Name],$A43,T_TTAFStock_Log[WeekIndex],92))</f>
        <v/>
      </c>
      <c r="CP43" s="19">
        <f>IF(COUNTIFS(T_TTAFStock_Log[Part Name],$A43,T_TTAFStock_Log[WeekIndex],93)=0,"",SUMIFS(T_TTAFStock_Log[TTAF_Qty],T_TTAFStock_Log[Part Name],$A43,T_TTAFStock_Log[WeekIndex],93))</f>
        <v/>
      </c>
      <c r="CQ43" s="19">
        <f>IF(COUNTIFS(T_TTAFStock_Log[Part Name],$A43,T_TTAFStock_Log[WeekIndex],94)=0,"",SUMIFS(T_TTAFStock_Log[TTAF_Qty],T_TTAFStock_Log[Part Name],$A43,T_TTAFStock_Log[WeekIndex],94))</f>
        <v/>
      </c>
      <c r="CR43" s="19">
        <f>IF(COUNTIFS(T_TTAFStock_Log[Part Name],$A43,T_TTAFStock_Log[WeekIndex],95)=0,"",SUMIFS(T_TTAFStock_Log[TTAF_Qty],T_TTAFStock_Log[Part Name],$A43,T_TTAFStock_Log[WeekIndex],95))</f>
        <v/>
      </c>
      <c r="CS43" s="19">
        <f>IF(COUNTIFS(T_TTAFStock_Log[Part Name],$A43,T_TTAFStock_Log[WeekIndex],96)=0,"",SUMIFS(T_TTAFStock_Log[TTAF_Qty],T_TTAFStock_Log[Part Name],$A43,T_TTAFStock_Log[WeekIndex],96))</f>
        <v/>
      </c>
      <c r="CT43" s="19">
        <f>IF(COUNTIFS(T_TTAFStock_Log[Part Name],$A43,T_TTAFStock_Log[WeekIndex],97)=0,"",SUMIFS(T_TTAFStock_Log[TTAF_Qty],T_TTAFStock_Log[Part Name],$A43,T_TTAFStock_Log[WeekIndex],97))</f>
        <v/>
      </c>
      <c r="CU43" s="19">
        <f>IF(COUNTIFS(T_TTAFStock_Log[Part Name],$A43,T_TTAFStock_Log[WeekIndex],98)=0,"",SUMIFS(T_TTAFStock_Log[TTAF_Qty],T_TTAFStock_Log[Part Name],$A43,T_TTAFStock_Log[WeekIndex],98))</f>
        <v/>
      </c>
      <c r="CV43" s="19">
        <f>IF(COUNTIFS(T_TTAFStock_Log[Part Name],$A43,T_TTAFStock_Log[WeekIndex],99)=0,"",SUMIFS(T_TTAFStock_Log[TTAF_Qty],T_TTAFStock_Log[Part Name],$A43,T_TTAFStock_Log[WeekIndex],99))</f>
        <v/>
      </c>
      <c r="CW43" s="19">
        <f>IF(COUNTIFS(T_TTAFStock_Log[Part Name],$A43,T_TTAFStock_Log[WeekIndex],100)=0,"",SUMIFS(T_TTAFStock_Log[TTAF_Qty],T_TTAFStock_Log[Part Name],$A43,T_TTAFStock_Log[WeekIndex],100))</f>
        <v/>
      </c>
      <c r="CX43" s="19">
        <f>IF(COUNTIFS(T_TTAFStock_Log[Part Name],$A43,T_TTAFStock_Log[WeekIndex],101)=0,"",SUMIFS(T_TTAFStock_Log[TTAF_Qty],T_TTAFStock_Log[Part Name],$A43,T_TTAFStock_Log[WeekIndex],101))</f>
        <v/>
      </c>
      <c r="CY43" s="19">
        <f>IF(COUNTIFS(T_TTAFStock_Log[Part Name],$A43,T_TTAFStock_Log[WeekIndex],102)=0,"",SUMIFS(T_TTAFStock_Log[TTAF_Qty],T_TTAFStock_Log[Part Name],$A43,T_TTAFStock_Log[WeekIndex],102))</f>
        <v/>
      </c>
      <c r="CZ43" s="19">
        <f>IF(COUNTIFS(T_TTAFStock_Log[Part Name],$A43,T_TTAFStock_Log[WeekIndex],103)=0,"",SUMIFS(T_TTAFStock_Log[TTAF_Qty],T_TTAFStock_Log[Part Name],$A43,T_TTAFStock_Log[WeekIndex],103))</f>
        <v/>
      </c>
      <c r="DA43" s="19">
        <f>IF(COUNTIFS(T_TTAFStock_Log[Part Name],$A43,T_TTAFStock_Log[WeekIndex],104)=0,"",SUMIFS(T_TTAFStock_Log[TTAF_Qty],T_TTAFStock_Log[Part Name],$A43,T_TTAFStock_Log[WeekIndex],104))</f>
        <v/>
      </c>
    </row>
    <row r="44">
      <c r="A44" s="17" t="inlineStr">
        <is>
          <t>CHEM-1540</t>
        </is>
      </c>
      <c r="B44" s="17">
        <f>IF(COUNTIFS(T_TTAFStock_Log[Part Name],$A44,T_TTAFStock_Log[WeekIndex],1)=0,"",SUMIFS(T_TTAFStock_Log[TTAF_Qty],T_TTAFStock_Log[Part Name],$A44,T_TTAFStock_Log[WeekIndex],1))</f>
        <v/>
      </c>
      <c r="C44" s="17">
        <f>IF(COUNTIFS(T_TTAFStock_Log[Part Name],$A44,T_TTAFStock_Log[WeekIndex],2)=0,"",SUMIFS(T_TTAFStock_Log[TTAF_Qty],T_TTAFStock_Log[Part Name],$A44,T_TTAFStock_Log[WeekIndex],2))</f>
        <v/>
      </c>
      <c r="D44" s="17">
        <f>IF(COUNTIFS(T_TTAFStock_Log[Part Name],$A44,T_TTAFStock_Log[WeekIndex],3)=0,"",SUMIFS(T_TTAFStock_Log[TTAF_Qty],T_TTAFStock_Log[Part Name],$A44,T_TTAFStock_Log[WeekIndex],3))</f>
        <v/>
      </c>
      <c r="E44" s="17">
        <f>IF(COUNTIFS(T_TTAFStock_Log[Part Name],$A44,T_TTAFStock_Log[WeekIndex],4)=0,"",SUMIFS(T_TTAFStock_Log[TTAF_Qty],T_TTAFStock_Log[Part Name],$A44,T_TTAFStock_Log[WeekIndex],4))</f>
        <v/>
      </c>
      <c r="F44" s="17">
        <f>IF(COUNTIFS(T_TTAFStock_Log[Part Name],$A44,T_TTAFStock_Log[WeekIndex],5)=0,"",SUMIFS(T_TTAFStock_Log[TTAF_Qty],T_TTAFStock_Log[Part Name],$A44,T_TTAFStock_Log[WeekIndex],5))</f>
        <v/>
      </c>
      <c r="G44" s="17">
        <f>IF(COUNTIFS(T_TTAFStock_Log[Part Name],$A44,T_TTAFStock_Log[WeekIndex],6)=0,"",SUMIFS(T_TTAFStock_Log[TTAF_Qty],T_TTAFStock_Log[Part Name],$A44,T_TTAFStock_Log[WeekIndex],6))</f>
        <v/>
      </c>
      <c r="H44" s="17">
        <f>IF(COUNTIFS(T_TTAFStock_Log[Part Name],$A44,T_TTAFStock_Log[WeekIndex],7)=0,"",SUMIFS(T_TTAFStock_Log[TTAF_Qty],T_TTAFStock_Log[Part Name],$A44,T_TTAFStock_Log[WeekIndex],7))</f>
        <v/>
      </c>
      <c r="I44" s="17">
        <f>IF(COUNTIFS(T_TTAFStock_Log[Part Name],$A44,T_TTAFStock_Log[WeekIndex],8)=0,"",SUMIFS(T_TTAFStock_Log[TTAF_Qty],T_TTAFStock_Log[Part Name],$A44,T_TTAFStock_Log[WeekIndex],8))</f>
        <v/>
      </c>
      <c r="J44" s="17">
        <f>IF(COUNTIFS(T_TTAFStock_Log[Part Name],$A44,T_TTAFStock_Log[WeekIndex],9)=0,"",SUMIFS(T_TTAFStock_Log[TTAF_Qty],T_TTAFStock_Log[Part Name],$A44,T_TTAFStock_Log[WeekIndex],9))</f>
        <v/>
      </c>
      <c r="K44" s="17">
        <f>IF(COUNTIFS(T_TTAFStock_Log[Part Name],$A44,T_TTAFStock_Log[WeekIndex],10)=0,"",SUMIFS(T_TTAFStock_Log[TTAF_Qty],T_TTAFStock_Log[Part Name],$A44,T_TTAFStock_Log[WeekIndex],10))</f>
        <v/>
      </c>
      <c r="L44" s="17">
        <f>IF(COUNTIFS(T_TTAFStock_Log[Part Name],$A44,T_TTAFStock_Log[WeekIndex],11)=0,"",SUMIFS(T_TTAFStock_Log[TTAF_Qty],T_TTAFStock_Log[Part Name],$A44,T_TTAFStock_Log[WeekIndex],11))</f>
        <v/>
      </c>
      <c r="M44" s="17">
        <f>IF(COUNTIFS(T_TTAFStock_Log[Part Name],$A44,T_TTAFStock_Log[WeekIndex],12)=0,"",SUMIFS(T_TTAFStock_Log[TTAF_Qty],T_TTAFStock_Log[Part Name],$A44,T_TTAFStock_Log[WeekIndex],12))</f>
        <v/>
      </c>
      <c r="N44" s="17">
        <f>IF(COUNTIFS(T_TTAFStock_Log[Part Name],$A44,T_TTAFStock_Log[WeekIndex],13)=0,"",SUMIFS(T_TTAFStock_Log[TTAF_Qty],T_TTAFStock_Log[Part Name],$A44,T_TTAFStock_Log[WeekIndex],13))</f>
        <v/>
      </c>
      <c r="O44" s="17">
        <f>IF(COUNTIFS(T_TTAFStock_Log[Part Name],$A44,T_TTAFStock_Log[WeekIndex],14)=0,"",SUMIFS(T_TTAFStock_Log[TTAF_Qty],T_TTAFStock_Log[Part Name],$A44,T_TTAFStock_Log[WeekIndex],14))</f>
        <v/>
      </c>
      <c r="P44" s="17">
        <f>IF(COUNTIFS(T_TTAFStock_Log[Part Name],$A44,T_TTAFStock_Log[WeekIndex],15)=0,"",SUMIFS(T_TTAFStock_Log[TTAF_Qty],T_TTAFStock_Log[Part Name],$A44,T_TTAFStock_Log[WeekIndex],15))</f>
        <v/>
      </c>
      <c r="Q44" s="17">
        <f>IF(COUNTIFS(T_TTAFStock_Log[Part Name],$A44,T_TTAFStock_Log[WeekIndex],16)=0,"",SUMIFS(T_TTAFStock_Log[TTAF_Qty],T_TTAFStock_Log[Part Name],$A44,T_TTAFStock_Log[WeekIndex],16))</f>
        <v/>
      </c>
      <c r="R44" s="17">
        <f>IF(COUNTIFS(T_TTAFStock_Log[Part Name],$A44,T_TTAFStock_Log[WeekIndex],17)=0,"",SUMIFS(T_TTAFStock_Log[TTAF_Qty],T_TTAFStock_Log[Part Name],$A44,T_TTAFStock_Log[WeekIndex],17))</f>
        <v/>
      </c>
      <c r="S44" s="17">
        <f>IF(COUNTIFS(T_TTAFStock_Log[Part Name],$A44,T_TTAFStock_Log[WeekIndex],18)=0,"",SUMIFS(T_TTAFStock_Log[TTAF_Qty],T_TTAFStock_Log[Part Name],$A44,T_TTAFStock_Log[WeekIndex],18))</f>
        <v/>
      </c>
      <c r="T44" s="17">
        <f>IF(COUNTIFS(T_TTAFStock_Log[Part Name],$A44,T_TTAFStock_Log[WeekIndex],19)=0,"",SUMIFS(T_TTAFStock_Log[TTAF_Qty],T_TTAFStock_Log[Part Name],$A44,T_TTAFStock_Log[WeekIndex],19))</f>
        <v/>
      </c>
      <c r="U44" s="17">
        <f>IF(COUNTIFS(T_TTAFStock_Log[Part Name],$A44,T_TTAFStock_Log[WeekIndex],20)=0,"",SUMIFS(T_TTAFStock_Log[TTAF_Qty],T_TTAFStock_Log[Part Name],$A44,T_TTAFStock_Log[WeekIndex],20))</f>
        <v/>
      </c>
      <c r="V44" s="17">
        <f>IF(COUNTIFS(T_TTAFStock_Log[Part Name],$A44,T_TTAFStock_Log[WeekIndex],21)=0,"",SUMIFS(T_TTAFStock_Log[TTAF_Qty],T_TTAFStock_Log[Part Name],$A44,T_TTAFStock_Log[WeekIndex],21))</f>
        <v/>
      </c>
      <c r="W44" s="17">
        <f>IF(COUNTIFS(T_TTAFStock_Log[Part Name],$A44,T_TTAFStock_Log[WeekIndex],22)=0,"",SUMIFS(T_TTAFStock_Log[TTAF_Qty],T_TTAFStock_Log[Part Name],$A44,T_TTAFStock_Log[WeekIndex],22))</f>
        <v/>
      </c>
      <c r="X44" s="17">
        <f>IF(COUNTIFS(T_TTAFStock_Log[Part Name],$A44,T_TTAFStock_Log[WeekIndex],23)=0,"",SUMIFS(T_TTAFStock_Log[TTAF_Qty],T_TTAFStock_Log[Part Name],$A44,T_TTAFStock_Log[WeekIndex],23))</f>
        <v/>
      </c>
      <c r="Y44" s="17">
        <f>IF(COUNTIFS(T_TTAFStock_Log[Part Name],$A44,T_TTAFStock_Log[WeekIndex],24)=0,"",SUMIFS(T_TTAFStock_Log[TTAF_Qty],T_TTAFStock_Log[Part Name],$A44,T_TTAFStock_Log[WeekIndex],24))</f>
        <v/>
      </c>
      <c r="Z44" s="17">
        <f>IF(COUNTIFS(T_TTAFStock_Log[Part Name],$A44,T_TTAFStock_Log[WeekIndex],25)=0,"",SUMIFS(T_TTAFStock_Log[TTAF_Qty],T_TTAFStock_Log[Part Name],$A44,T_TTAFStock_Log[WeekIndex],25))</f>
        <v/>
      </c>
      <c r="AA44" s="17">
        <f>IF(COUNTIFS(T_TTAFStock_Log[Part Name],$A44,T_TTAFStock_Log[WeekIndex],26)=0,"",SUMIFS(T_TTAFStock_Log[TTAF_Qty],T_TTAFStock_Log[Part Name],$A44,T_TTAFStock_Log[WeekIndex],26))</f>
        <v/>
      </c>
      <c r="AB44" s="17">
        <f>IF(COUNTIFS(T_TTAFStock_Log[Part Name],$A44,T_TTAFStock_Log[WeekIndex],27)=0,"",SUMIFS(T_TTAFStock_Log[TTAF_Qty],T_TTAFStock_Log[Part Name],$A44,T_TTAFStock_Log[WeekIndex],27))</f>
        <v/>
      </c>
      <c r="AC44" s="17">
        <f>IF(COUNTIFS(T_TTAFStock_Log[Part Name],$A44,T_TTAFStock_Log[WeekIndex],28)=0,"",SUMIFS(T_TTAFStock_Log[TTAF_Qty],T_TTAFStock_Log[Part Name],$A44,T_TTAFStock_Log[WeekIndex],28))</f>
        <v/>
      </c>
      <c r="AD44" s="17">
        <f>IF(COUNTIFS(T_TTAFStock_Log[Part Name],$A44,T_TTAFStock_Log[WeekIndex],29)=0,"",SUMIFS(T_TTAFStock_Log[TTAF_Qty],T_TTAFStock_Log[Part Name],$A44,T_TTAFStock_Log[WeekIndex],29))</f>
        <v/>
      </c>
      <c r="AE44" s="17">
        <f>IF(COUNTIFS(T_TTAFStock_Log[Part Name],$A44,T_TTAFStock_Log[WeekIndex],30)=0,"",SUMIFS(T_TTAFStock_Log[TTAF_Qty],T_TTAFStock_Log[Part Name],$A44,T_TTAFStock_Log[WeekIndex],30))</f>
        <v/>
      </c>
      <c r="AF44" s="17">
        <f>IF(COUNTIFS(T_TTAFStock_Log[Part Name],$A44,T_TTAFStock_Log[WeekIndex],31)=0,"",SUMIFS(T_TTAFStock_Log[TTAF_Qty],T_TTAFStock_Log[Part Name],$A44,T_TTAFStock_Log[WeekIndex],31))</f>
        <v/>
      </c>
      <c r="AG44" s="17">
        <f>IF(COUNTIFS(T_TTAFStock_Log[Part Name],$A44,T_TTAFStock_Log[WeekIndex],32)=0,"",SUMIFS(T_TTAFStock_Log[TTAF_Qty],T_TTAFStock_Log[Part Name],$A44,T_TTAFStock_Log[WeekIndex],32))</f>
        <v/>
      </c>
      <c r="AH44" s="17">
        <f>IF(COUNTIFS(T_TTAFStock_Log[Part Name],$A44,T_TTAFStock_Log[WeekIndex],33)=0,"",SUMIFS(T_TTAFStock_Log[TTAF_Qty],T_TTAFStock_Log[Part Name],$A44,T_TTAFStock_Log[WeekIndex],33))</f>
        <v/>
      </c>
      <c r="AI44" s="17">
        <f>IF(COUNTIFS(T_TTAFStock_Log[Part Name],$A44,T_TTAFStock_Log[WeekIndex],34)=0,"",SUMIFS(T_TTAFStock_Log[TTAF_Qty],T_TTAFStock_Log[Part Name],$A44,T_TTAFStock_Log[WeekIndex],34))</f>
        <v/>
      </c>
      <c r="AJ44" s="17">
        <f>IF(COUNTIFS(T_TTAFStock_Log[Part Name],$A44,T_TTAFStock_Log[WeekIndex],35)=0,"",SUMIFS(T_TTAFStock_Log[TTAF_Qty],T_TTAFStock_Log[Part Name],$A44,T_TTAFStock_Log[WeekIndex],35))</f>
        <v/>
      </c>
      <c r="AK44" s="17">
        <f>IF(COUNTIFS(T_TTAFStock_Log[Part Name],$A44,T_TTAFStock_Log[WeekIndex],36)=0,"",SUMIFS(T_TTAFStock_Log[TTAF_Qty],T_TTAFStock_Log[Part Name],$A44,T_TTAFStock_Log[WeekIndex],36))</f>
        <v/>
      </c>
      <c r="AL44" s="17">
        <f>IF(COUNTIFS(T_TTAFStock_Log[Part Name],$A44,T_TTAFStock_Log[WeekIndex],37)=0,"",SUMIFS(T_TTAFStock_Log[TTAF_Qty],T_TTAFStock_Log[Part Name],$A44,T_TTAFStock_Log[WeekIndex],37))</f>
        <v/>
      </c>
      <c r="AM44" s="17">
        <f>IF(COUNTIFS(T_TTAFStock_Log[Part Name],$A44,T_TTAFStock_Log[WeekIndex],38)=0,"",SUMIFS(T_TTAFStock_Log[TTAF_Qty],T_TTAFStock_Log[Part Name],$A44,T_TTAFStock_Log[WeekIndex],38))</f>
        <v/>
      </c>
      <c r="AN44" s="17">
        <f>IF(COUNTIFS(T_TTAFStock_Log[Part Name],$A44,T_TTAFStock_Log[WeekIndex],39)=0,"",SUMIFS(T_TTAFStock_Log[TTAF_Qty],T_TTAFStock_Log[Part Name],$A44,T_TTAFStock_Log[WeekIndex],39))</f>
        <v/>
      </c>
      <c r="AO44" s="17">
        <f>IF(COUNTIFS(T_TTAFStock_Log[Part Name],$A44,T_TTAFStock_Log[WeekIndex],40)=0,"",SUMIFS(T_TTAFStock_Log[TTAF_Qty],T_TTAFStock_Log[Part Name],$A44,T_TTAFStock_Log[WeekIndex],40))</f>
        <v/>
      </c>
      <c r="AP44" s="17">
        <f>IF(COUNTIFS(T_TTAFStock_Log[Part Name],$A44,T_TTAFStock_Log[WeekIndex],41)=0,"",SUMIFS(T_TTAFStock_Log[TTAF_Qty],T_TTAFStock_Log[Part Name],$A44,T_TTAFStock_Log[WeekIndex],41))</f>
        <v/>
      </c>
      <c r="AQ44" s="17">
        <f>IF(COUNTIFS(T_TTAFStock_Log[Part Name],$A44,T_TTAFStock_Log[WeekIndex],42)=0,"",SUMIFS(T_TTAFStock_Log[TTAF_Qty],T_TTAFStock_Log[Part Name],$A44,T_TTAFStock_Log[WeekIndex],42))</f>
        <v/>
      </c>
      <c r="AR44" s="17">
        <f>IF(COUNTIFS(T_TTAFStock_Log[Part Name],$A44,T_TTAFStock_Log[WeekIndex],43)=0,"",SUMIFS(T_TTAFStock_Log[TTAF_Qty],T_TTAFStock_Log[Part Name],$A44,T_TTAFStock_Log[WeekIndex],43))</f>
        <v/>
      </c>
      <c r="AS44" s="17">
        <f>IF(COUNTIFS(T_TTAFStock_Log[Part Name],$A44,T_TTAFStock_Log[WeekIndex],44)=0,"",SUMIFS(T_TTAFStock_Log[TTAF_Qty],T_TTAFStock_Log[Part Name],$A44,T_TTAFStock_Log[WeekIndex],44))</f>
        <v/>
      </c>
      <c r="AT44" s="17">
        <f>IF(COUNTIFS(T_TTAFStock_Log[Part Name],$A44,T_TTAFStock_Log[WeekIndex],45)=0,"",SUMIFS(T_TTAFStock_Log[TTAF_Qty],T_TTAFStock_Log[Part Name],$A44,T_TTAFStock_Log[WeekIndex],45))</f>
        <v/>
      </c>
      <c r="AU44" s="17">
        <f>IF(COUNTIFS(T_TTAFStock_Log[Part Name],$A44,T_TTAFStock_Log[WeekIndex],46)=0,"",SUMIFS(T_TTAFStock_Log[TTAF_Qty],T_TTAFStock_Log[Part Name],$A44,T_TTAFStock_Log[WeekIndex],46))</f>
        <v/>
      </c>
      <c r="AV44" s="17">
        <f>IF(COUNTIFS(T_TTAFStock_Log[Part Name],$A44,T_TTAFStock_Log[WeekIndex],47)=0,"",SUMIFS(T_TTAFStock_Log[TTAF_Qty],T_TTAFStock_Log[Part Name],$A44,T_TTAFStock_Log[WeekIndex],47))</f>
        <v/>
      </c>
      <c r="AW44" s="17">
        <f>IF(COUNTIFS(T_TTAFStock_Log[Part Name],$A44,T_TTAFStock_Log[WeekIndex],48)=0,"",SUMIFS(T_TTAFStock_Log[TTAF_Qty],T_TTAFStock_Log[Part Name],$A44,T_TTAFStock_Log[WeekIndex],48))</f>
        <v/>
      </c>
      <c r="AX44" s="17">
        <f>IF(COUNTIFS(T_TTAFStock_Log[Part Name],$A44,T_TTAFStock_Log[WeekIndex],49)=0,"",SUMIFS(T_TTAFStock_Log[TTAF_Qty],T_TTAFStock_Log[Part Name],$A44,T_TTAFStock_Log[WeekIndex],49))</f>
        <v/>
      </c>
      <c r="AY44" s="17">
        <f>IF(COUNTIFS(T_TTAFStock_Log[Part Name],$A44,T_TTAFStock_Log[WeekIndex],50)=0,"",SUMIFS(T_TTAFStock_Log[TTAF_Qty],T_TTAFStock_Log[Part Name],$A44,T_TTAFStock_Log[WeekIndex],50))</f>
        <v/>
      </c>
      <c r="AZ44" s="17">
        <f>IF(COUNTIFS(T_TTAFStock_Log[Part Name],$A44,T_TTAFStock_Log[WeekIndex],51)=0,"",SUMIFS(T_TTAFStock_Log[TTAF_Qty],T_TTAFStock_Log[Part Name],$A44,T_TTAFStock_Log[WeekIndex],51))</f>
        <v/>
      </c>
      <c r="BA44" s="17">
        <f>IF(COUNTIFS(T_TTAFStock_Log[Part Name],$A44,T_TTAFStock_Log[WeekIndex],52)=0,"",SUMIFS(T_TTAFStock_Log[TTAF_Qty],T_TTAFStock_Log[Part Name],$A44,T_TTAFStock_Log[WeekIndex],52))</f>
        <v/>
      </c>
      <c r="BB44" s="17">
        <f>IF(COUNTIFS(T_TTAFStock_Log[Part Name],$A44,T_TTAFStock_Log[WeekIndex],53)=0,"",SUMIFS(T_TTAFStock_Log[TTAF_Qty],T_TTAFStock_Log[Part Name],$A44,T_TTAFStock_Log[WeekIndex],53))</f>
        <v/>
      </c>
      <c r="BC44" s="17">
        <f>IF(COUNTIFS(T_TTAFStock_Log[Part Name],$A44,T_TTAFStock_Log[WeekIndex],54)=0,"",SUMIFS(T_TTAFStock_Log[TTAF_Qty],T_TTAFStock_Log[Part Name],$A44,T_TTAFStock_Log[WeekIndex],54))</f>
        <v/>
      </c>
      <c r="BD44" s="17">
        <f>IF(COUNTIFS(T_TTAFStock_Log[Part Name],$A44,T_TTAFStock_Log[WeekIndex],55)=0,"",SUMIFS(T_TTAFStock_Log[TTAF_Qty],T_TTAFStock_Log[Part Name],$A44,T_TTAFStock_Log[WeekIndex],55))</f>
        <v/>
      </c>
      <c r="BE44" s="17">
        <f>IF(COUNTIFS(T_TTAFStock_Log[Part Name],$A44,T_TTAFStock_Log[WeekIndex],56)=0,"",SUMIFS(T_TTAFStock_Log[TTAF_Qty],T_TTAFStock_Log[Part Name],$A44,T_TTAFStock_Log[WeekIndex],56))</f>
        <v/>
      </c>
      <c r="BF44" s="17">
        <f>IF(COUNTIFS(T_TTAFStock_Log[Part Name],$A44,T_TTAFStock_Log[WeekIndex],57)=0,"",SUMIFS(T_TTAFStock_Log[TTAF_Qty],T_TTAFStock_Log[Part Name],$A44,T_TTAFStock_Log[WeekIndex],57))</f>
        <v/>
      </c>
      <c r="BG44" s="17">
        <f>IF(COUNTIFS(T_TTAFStock_Log[Part Name],$A44,T_TTAFStock_Log[WeekIndex],58)=0,"",SUMIFS(T_TTAFStock_Log[TTAF_Qty],T_TTAFStock_Log[Part Name],$A44,T_TTAFStock_Log[WeekIndex],58))</f>
        <v/>
      </c>
      <c r="BH44" s="17">
        <f>IF(COUNTIFS(T_TTAFStock_Log[Part Name],$A44,T_TTAFStock_Log[WeekIndex],59)=0,"",SUMIFS(T_TTAFStock_Log[TTAF_Qty],T_TTAFStock_Log[Part Name],$A44,T_TTAFStock_Log[WeekIndex],59))</f>
        <v/>
      </c>
      <c r="BI44" s="17">
        <f>IF(COUNTIFS(T_TTAFStock_Log[Part Name],$A44,T_TTAFStock_Log[WeekIndex],60)=0,"",SUMIFS(T_TTAFStock_Log[TTAF_Qty],T_TTAFStock_Log[Part Name],$A44,T_TTAFStock_Log[WeekIndex],60))</f>
        <v/>
      </c>
      <c r="BJ44" s="17">
        <f>IF(COUNTIFS(T_TTAFStock_Log[Part Name],$A44,T_TTAFStock_Log[WeekIndex],61)=0,"",SUMIFS(T_TTAFStock_Log[TTAF_Qty],T_TTAFStock_Log[Part Name],$A44,T_TTAFStock_Log[WeekIndex],61))</f>
        <v/>
      </c>
      <c r="BK44" s="17">
        <f>IF(COUNTIFS(T_TTAFStock_Log[Part Name],$A44,T_TTAFStock_Log[WeekIndex],62)=0,"",SUMIFS(T_TTAFStock_Log[TTAF_Qty],T_TTAFStock_Log[Part Name],$A44,T_TTAFStock_Log[WeekIndex],62))</f>
        <v/>
      </c>
      <c r="BL44" s="17">
        <f>IF(COUNTIFS(T_TTAFStock_Log[Part Name],$A44,T_TTAFStock_Log[WeekIndex],63)=0,"",SUMIFS(T_TTAFStock_Log[TTAF_Qty],T_TTAFStock_Log[Part Name],$A44,T_TTAFStock_Log[WeekIndex],63))</f>
        <v/>
      </c>
      <c r="BM44" s="17">
        <f>IF(COUNTIFS(T_TTAFStock_Log[Part Name],$A44,T_TTAFStock_Log[WeekIndex],64)=0,"",SUMIFS(T_TTAFStock_Log[TTAF_Qty],T_TTAFStock_Log[Part Name],$A44,T_TTAFStock_Log[WeekIndex],64))</f>
        <v/>
      </c>
      <c r="BN44" s="17">
        <f>IF(COUNTIFS(T_TTAFStock_Log[Part Name],$A44,T_TTAFStock_Log[WeekIndex],65)=0,"",SUMIFS(T_TTAFStock_Log[TTAF_Qty],T_TTAFStock_Log[Part Name],$A44,T_TTAFStock_Log[WeekIndex],65))</f>
        <v/>
      </c>
      <c r="BO44" s="17">
        <f>IF(COUNTIFS(T_TTAFStock_Log[Part Name],$A44,T_TTAFStock_Log[WeekIndex],66)=0,"",SUMIFS(T_TTAFStock_Log[TTAF_Qty],T_TTAFStock_Log[Part Name],$A44,T_TTAFStock_Log[WeekIndex],66))</f>
        <v/>
      </c>
      <c r="BP44" s="17">
        <f>IF(COUNTIFS(T_TTAFStock_Log[Part Name],$A44,T_TTAFStock_Log[WeekIndex],67)=0,"",SUMIFS(T_TTAFStock_Log[TTAF_Qty],T_TTAFStock_Log[Part Name],$A44,T_TTAFStock_Log[WeekIndex],67))</f>
        <v/>
      </c>
      <c r="BQ44" s="17">
        <f>IF(COUNTIFS(T_TTAFStock_Log[Part Name],$A44,T_TTAFStock_Log[WeekIndex],68)=0,"",SUMIFS(T_TTAFStock_Log[TTAF_Qty],T_TTAFStock_Log[Part Name],$A44,T_TTAFStock_Log[WeekIndex],68))</f>
        <v/>
      </c>
      <c r="BR44" s="17">
        <f>IF(COUNTIFS(T_TTAFStock_Log[Part Name],$A44,T_TTAFStock_Log[WeekIndex],69)=0,"",SUMIFS(T_TTAFStock_Log[TTAF_Qty],T_TTAFStock_Log[Part Name],$A44,T_TTAFStock_Log[WeekIndex],69))</f>
        <v/>
      </c>
      <c r="BS44" s="17">
        <f>IF(COUNTIFS(T_TTAFStock_Log[Part Name],$A44,T_TTAFStock_Log[WeekIndex],70)=0,"",SUMIFS(T_TTAFStock_Log[TTAF_Qty],T_TTAFStock_Log[Part Name],$A44,T_TTAFStock_Log[WeekIndex],70))</f>
        <v/>
      </c>
      <c r="BT44" s="17">
        <f>IF(COUNTIFS(T_TTAFStock_Log[Part Name],$A44,T_TTAFStock_Log[WeekIndex],71)=0,"",SUMIFS(T_TTAFStock_Log[TTAF_Qty],T_TTAFStock_Log[Part Name],$A44,T_TTAFStock_Log[WeekIndex],71))</f>
        <v/>
      </c>
      <c r="BU44" s="17">
        <f>IF(COUNTIFS(T_TTAFStock_Log[Part Name],$A44,T_TTAFStock_Log[WeekIndex],72)=0,"",SUMIFS(T_TTAFStock_Log[TTAF_Qty],T_TTAFStock_Log[Part Name],$A44,T_TTAFStock_Log[WeekIndex],72))</f>
        <v/>
      </c>
      <c r="BV44" s="17">
        <f>IF(COUNTIFS(T_TTAFStock_Log[Part Name],$A44,T_TTAFStock_Log[WeekIndex],73)=0,"",SUMIFS(T_TTAFStock_Log[TTAF_Qty],T_TTAFStock_Log[Part Name],$A44,T_TTAFStock_Log[WeekIndex],73))</f>
        <v/>
      </c>
      <c r="BW44" s="17">
        <f>IF(COUNTIFS(T_TTAFStock_Log[Part Name],$A44,T_TTAFStock_Log[WeekIndex],74)=0,"",SUMIFS(T_TTAFStock_Log[TTAF_Qty],T_TTAFStock_Log[Part Name],$A44,T_TTAFStock_Log[WeekIndex],74))</f>
        <v/>
      </c>
      <c r="BX44" s="17">
        <f>IF(COUNTIFS(T_TTAFStock_Log[Part Name],$A44,T_TTAFStock_Log[WeekIndex],75)=0,"",SUMIFS(T_TTAFStock_Log[TTAF_Qty],T_TTAFStock_Log[Part Name],$A44,T_TTAFStock_Log[WeekIndex],75))</f>
        <v/>
      </c>
      <c r="BY44" s="17">
        <f>IF(COUNTIFS(T_TTAFStock_Log[Part Name],$A44,T_TTAFStock_Log[WeekIndex],76)=0,"",SUMIFS(T_TTAFStock_Log[TTAF_Qty],T_TTAFStock_Log[Part Name],$A44,T_TTAFStock_Log[WeekIndex],76))</f>
        <v/>
      </c>
      <c r="BZ44" s="17">
        <f>IF(COUNTIFS(T_TTAFStock_Log[Part Name],$A44,T_TTAFStock_Log[WeekIndex],77)=0,"",SUMIFS(T_TTAFStock_Log[TTAF_Qty],T_TTAFStock_Log[Part Name],$A44,T_TTAFStock_Log[WeekIndex],77))</f>
        <v/>
      </c>
      <c r="CA44" s="17">
        <f>IF(COUNTIFS(T_TTAFStock_Log[Part Name],$A44,T_TTAFStock_Log[WeekIndex],78)=0,"",SUMIFS(T_TTAFStock_Log[TTAF_Qty],T_TTAFStock_Log[Part Name],$A44,T_TTAFStock_Log[WeekIndex],78))</f>
        <v/>
      </c>
      <c r="CB44" s="17">
        <f>IF(COUNTIFS(T_TTAFStock_Log[Part Name],$A44,T_TTAFStock_Log[WeekIndex],79)=0,"",SUMIFS(T_TTAFStock_Log[TTAF_Qty],T_TTAFStock_Log[Part Name],$A44,T_TTAFStock_Log[WeekIndex],79))</f>
        <v/>
      </c>
      <c r="CC44" s="17">
        <f>IF(COUNTIFS(T_TTAFStock_Log[Part Name],$A44,T_TTAFStock_Log[WeekIndex],80)=0,"",SUMIFS(T_TTAFStock_Log[TTAF_Qty],T_TTAFStock_Log[Part Name],$A44,T_TTAFStock_Log[WeekIndex],80))</f>
        <v/>
      </c>
      <c r="CD44" s="17">
        <f>IF(COUNTIFS(T_TTAFStock_Log[Part Name],$A44,T_TTAFStock_Log[WeekIndex],81)=0,"",SUMIFS(T_TTAFStock_Log[TTAF_Qty],T_TTAFStock_Log[Part Name],$A44,T_TTAFStock_Log[WeekIndex],81))</f>
        <v/>
      </c>
      <c r="CE44" s="17">
        <f>IF(COUNTIFS(T_TTAFStock_Log[Part Name],$A44,T_TTAFStock_Log[WeekIndex],82)=0,"",SUMIFS(T_TTAFStock_Log[TTAF_Qty],T_TTAFStock_Log[Part Name],$A44,T_TTAFStock_Log[WeekIndex],82))</f>
        <v/>
      </c>
      <c r="CF44" s="17">
        <f>IF(COUNTIFS(T_TTAFStock_Log[Part Name],$A44,T_TTAFStock_Log[WeekIndex],83)=0,"",SUMIFS(T_TTAFStock_Log[TTAF_Qty],T_TTAFStock_Log[Part Name],$A44,T_TTAFStock_Log[WeekIndex],83))</f>
        <v/>
      </c>
      <c r="CG44" s="17">
        <f>IF(COUNTIFS(T_TTAFStock_Log[Part Name],$A44,T_TTAFStock_Log[WeekIndex],84)=0,"",SUMIFS(T_TTAFStock_Log[TTAF_Qty],T_TTAFStock_Log[Part Name],$A44,T_TTAFStock_Log[WeekIndex],84))</f>
        <v/>
      </c>
      <c r="CH44" s="17">
        <f>IF(COUNTIFS(T_TTAFStock_Log[Part Name],$A44,T_TTAFStock_Log[WeekIndex],85)=0,"",SUMIFS(T_TTAFStock_Log[TTAF_Qty],T_TTAFStock_Log[Part Name],$A44,T_TTAFStock_Log[WeekIndex],85))</f>
        <v/>
      </c>
      <c r="CI44" s="17">
        <f>IF(COUNTIFS(T_TTAFStock_Log[Part Name],$A44,T_TTAFStock_Log[WeekIndex],86)=0,"",SUMIFS(T_TTAFStock_Log[TTAF_Qty],T_TTAFStock_Log[Part Name],$A44,T_TTAFStock_Log[WeekIndex],86))</f>
        <v/>
      </c>
      <c r="CJ44" s="17">
        <f>IF(COUNTIFS(T_TTAFStock_Log[Part Name],$A44,T_TTAFStock_Log[WeekIndex],87)=0,"",SUMIFS(T_TTAFStock_Log[TTAF_Qty],T_TTAFStock_Log[Part Name],$A44,T_TTAFStock_Log[WeekIndex],87))</f>
        <v/>
      </c>
      <c r="CK44" s="17">
        <f>IF(COUNTIFS(T_TTAFStock_Log[Part Name],$A44,T_TTAFStock_Log[WeekIndex],88)=0,"",SUMIFS(T_TTAFStock_Log[TTAF_Qty],T_TTAFStock_Log[Part Name],$A44,T_TTAFStock_Log[WeekIndex],88))</f>
        <v/>
      </c>
      <c r="CL44" s="17">
        <f>IF(COUNTIFS(T_TTAFStock_Log[Part Name],$A44,T_TTAFStock_Log[WeekIndex],89)=0,"",SUMIFS(T_TTAFStock_Log[TTAF_Qty],T_TTAFStock_Log[Part Name],$A44,T_TTAFStock_Log[WeekIndex],89))</f>
        <v/>
      </c>
      <c r="CM44" s="17">
        <f>IF(COUNTIFS(T_TTAFStock_Log[Part Name],$A44,T_TTAFStock_Log[WeekIndex],90)=0,"",SUMIFS(T_TTAFStock_Log[TTAF_Qty],T_TTAFStock_Log[Part Name],$A44,T_TTAFStock_Log[WeekIndex],90))</f>
        <v/>
      </c>
      <c r="CN44" s="17">
        <f>IF(COUNTIFS(T_TTAFStock_Log[Part Name],$A44,T_TTAFStock_Log[WeekIndex],91)=0,"",SUMIFS(T_TTAFStock_Log[TTAF_Qty],T_TTAFStock_Log[Part Name],$A44,T_TTAFStock_Log[WeekIndex],91))</f>
        <v/>
      </c>
      <c r="CO44" s="17">
        <f>IF(COUNTIFS(T_TTAFStock_Log[Part Name],$A44,T_TTAFStock_Log[WeekIndex],92)=0,"",SUMIFS(T_TTAFStock_Log[TTAF_Qty],T_TTAFStock_Log[Part Name],$A44,T_TTAFStock_Log[WeekIndex],92))</f>
        <v/>
      </c>
      <c r="CP44" s="17">
        <f>IF(COUNTIFS(T_TTAFStock_Log[Part Name],$A44,T_TTAFStock_Log[WeekIndex],93)=0,"",SUMIFS(T_TTAFStock_Log[TTAF_Qty],T_TTAFStock_Log[Part Name],$A44,T_TTAFStock_Log[WeekIndex],93))</f>
        <v/>
      </c>
      <c r="CQ44" s="17">
        <f>IF(COUNTIFS(T_TTAFStock_Log[Part Name],$A44,T_TTAFStock_Log[WeekIndex],94)=0,"",SUMIFS(T_TTAFStock_Log[TTAF_Qty],T_TTAFStock_Log[Part Name],$A44,T_TTAFStock_Log[WeekIndex],94))</f>
        <v/>
      </c>
      <c r="CR44" s="17">
        <f>IF(COUNTIFS(T_TTAFStock_Log[Part Name],$A44,T_TTAFStock_Log[WeekIndex],95)=0,"",SUMIFS(T_TTAFStock_Log[TTAF_Qty],T_TTAFStock_Log[Part Name],$A44,T_TTAFStock_Log[WeekIndex],95))</f>
        <v/>
      </c>
      <c r="CS44" s="17">
        <f>IF(COUNTIFS(T_TTAFStock_Log[Part Name],$A44,T_TTAFStock_Log[WeekIndex],96)=0,"",SUMIFS(T_TTAFStock_Log[TTAF_Qty],T_TTAFStock_Log[Part Name],$A44,T_TTAFStock_Log[WeekIndex],96))</f>
        <v/>
      </c>
      <c r="CT44" s="17">
        <f>IF(COUNTIFS(T_TTAFStock_Log[Part Name],$A44,T_TTAFStock_Log[WeekIndex],97)=0,"",SUMIFS(T_TTAFStock_Log[TTAF_Qty],T_TTAFStock_Log[Part Name],$A44,T_TTAFStock_Log[WeekIndex],97))</f>
        <v/>
      </c>
      <c r="CU44" s="17">
        <f>IF(COUNTIFS(T_TTAFStock_Log[Part Name],$A44,T_TTAFStock_Log[WeekIndex],98)=0,"",SUMIFS(T_TTAFStock_Log[TTAF_Qty],T_TTAFStock_Log[Part Name],$A44,T_TTAFStock_Log[WeekIndex],98))</f>
        <v/>
      </c>
      <c r="CV44" s="17">
        <f>IF(COUNTIFS(T_TTAFStock_Log[Part Name],$A44,T_TTAFStock_Log[WeekIndex],99)=0,"",SUMIFS(T_TTAFStock_Log[TTAF_Qty],T_TTAFStock_Log[Part Name],$A44,T_TTAFStock_Log[WeekIndex],99))</f>
        <v/>
      </c>
      <c r="CW44" s="17">
        <f>IF(COUNTIFS(T_TTAFStock_Log[Part Name],$A44,T_TTAFStock_Log[WeekIndex],100)=0,"",SUMIFS(T_TTAFStock_Log[TTAF_Qty],T_TTAFStock_Log[Part Name],$A44,T_TTAFStock_Log[WeekIndex],100))</f>
        <v/>
      </c>
      <c r="CX44" s="17">
        <f>IF(COUNTIFS(T_TTAFStock_Log[Part Name],$A44,T_TTAFStock_Log[WeekIndex],101)=0,"",SUMIFS(T_TTAFStock_Log[TTAF_Qty],T_TTAFStock_Log[Part Name],$A44,T_TTAFStock_Log[WeekIndex],101))</f>
        <v/>
      </c>
      <c r="CY44" s="17">
        <f>IF(COUNTIFS(T_TTAFStock_Log[Part Name],$A44,T_TTAFStock_Log[WeekIndex],102)=0,"",SUMIFS(T_TTAFStock_Log[TTAF_Qty],T_TTAFStock_Log[Part Name],$A44,T_TTAFStock_Log[WeekIndex],102))</f>
        <v/>
      </c>
      <c r="CZ44" s="17">
        <f>IF(COUNTIFS(T_TTAFStock_Log[Part Name],$A44,T_TTAFStock_Log[WeekIndex],103)=0,"",SUMIFS(T_TTAFStock_Log[TTAF_Qty],T_TTAFStock_Log[Part Name],$A44,T_TTAFStock_Log[WeekIndex],103))</f>
        <v/>
      </c>
      <c r="DA44" s="17">
        <f>IF(COUNTIFS(T_TTAFStock_Log[Part Name],$A44,T_TTAFStock_Log[WeekIndex],104)=0,"",SUMIFS(T_TTAFStock_Log[TTAF_Qty],T_TTAFStock_Log[Part Name],$A44,T_TTAFStock_Log[WeekIndex],104))</f>
        <v/>
      </c>
    </row>
    <row r="45">
      <c r="A45" s="19" t="inlineStr">
        <is>
          <t>CHEM-1680</t>
        </is>
      </c>
      <c r="B45" s="19">
        <f>IF(COUNTIFS(T_TTAFStock_Log[Part Name],$A45,T_TTAFStock_Log[WeekIndex],1)=0,"",SUMIFS(T_TTAFStock_Log[TTAF_Qty],T_TTAFStock_Log[Part Name],$A45,T_TTAFStock_Log[WeekIndex],1))</f>
        <v/>
      </c>
      <c r="C45" s="19">
        <f>IF(COUNTIFS(T_TTAFStock_Log[Part Name],$A45,T_TTAFStock_Log[WeekIndex],2)=0,"",SUMIFS(T_TTAFStock_Log[TTAF_Qty],T_TTAFStock_Log[Part Name],$A45,T_TTAFStock_Log[WeekIndex],2))</f>
        <v/>
      </c>
      <c r="D45" s="19">
        <f>IF(COUNTIFS(T_TTAFStock_Log[Part Name],$A45,T_TTAFStock_Log[WeekIndex],3)=0,"",SUMIFS(T_TTAFStock_Log[TTAF_Qty],T_TTAFStock_Log[Part Name],$A45,T_TTAFStock_Log[WeekIndex],3))</f>
        <v/>
      </c>
      <c r="E45" s="19">
        <f>IF(COUNTIFS(T_TTAFStock_Log[Part Name],$A45,T_TTAFStock_Log[WeekIndex],4)=0,"",SUMIFS(T_TTAFStock_Log[TTAF_Qty],T_TTAFStock_Log[Part Name],$A45,T_TTAFStock_Log[WeekIndex],4))</f>
        <v/>
      </c>
      <c r="F45" s="19">
        <f>IF(COUNTIFS(T_TTAFStock_Log[Part Name],$A45,T_TTAFStock_Log[WeekIndex],5)=0,"",SUMIFS(T_TTAFStock_Log[TTAF_Qty],T_TTAFStock_Log[Part Name],$A45,T_TTAFStock_Log[WeekIndex],5))</f>
        <v/>
      </c>
      <c r="G45" s="19">
        <f>IF(COUNTIFS(T_TTAFStock_Log[Part Name],$A45,T_TTAFStock_Log[WeekIndex],6)=0,"",SUMIFS(T_TTAFStock_Log[TTAF_Qty],T_TTAFStock_Log[Part Name],$A45,T_TTAFStock_Log[WeekIndex],6))</f>
        <v/>
      </c>
      <c r="H45" s="19">
        <f>IF(COUNTIFS(T_TTAFStock_Log[Part Name],$A45,T_TTAFStock_Log[WeekIndex],7)=0,"",SUMIFS(T_TTAFStock_Log[TTAF_Qty],T_TTAFStock_Log[Part Name],$A45,T_TTAFStock_Log[WeekIndex],7))</f>
        <v/>
      </c>
      <c r="I45" s="19">
        <f>IF(COUNTIFS(T_TTAFStock_Log[Part Name],$A45,T_TTAFStock_Log[WeekIndex],8)=0,"",SUMIFS(T_TTAFStock_Log[TTAF_Qty],T_TTAFStock_Log[Part Name],$A45,T_TTAFStock_Log[WeekIndex],8))</f>
        <v/>
      </c>
      <c r="J45" s="19">
        <f>IF(COUNTIFS(T_TTAFStock_Log[Part Name],$A45,T_TTAFStock_Log[WeekIndex],9)=0,"",SUMIFS(T_TTAFStock_Log[TTAF_Qty],T_TTAFStock_Log[Part Name],$A45,T_TTAFStock_Log[WeekIndex],9))</f>
        <v/>
      </c>
      <c r="K45" s="19">
        <f>IF(COUNTIFS(T_TTAFStock_Log[Part Name],$A45,T_TTAFStock_Log[WeekIndex],10)=0,"",SUMIFS(T_TTAFStock_Log[TTAF_Qty],T_TTAFStock_Log[Part Name],$A45,T_TTAFStock_Log[WeekIndex],10))</f>
        <v/>
      </c>
      <c r="L45" s="19">
        <f>IF(COUNTIFS(T_TTAFStock_Log[Part Name],$A45,T_TTAFStock_Log[WeekIndex],11)=0,"",SUMIFS(T_TTAFStock_Log[TTAF_Qty],T_TTAFStock_Log[Part Name],$A45,T_TTAFStock_Log[WeekIndex],11))</f>
        <v/>
      </c>
      <c r="M45" s="19">
        <f>IF(COUNTIFS(T_TTAFStock_Log[Part Name],$A45,T_TTAFStock_Log[WeekIndex],12)=0,"",SUMIFS(T_TTAFStock_Log[TTAF_Qty],T_TTAFStock_Log[Part Name],$A45,T_TTAFStock_Log[WeekIndex],12))</f>
        <v/>
      </c>
      <c r="N45" s="19">
        <f>IF(COUNTIFS(T_TTAFStock_Log[Part Name],$A45,T_TTAFStock_Log[WeekIndex],13)=0,"",SUMIFS(T_TTAFStock_Log[TTAF_Qty],T_TTAFStock_Log[Part Name],$A45,T_TTAFStock_Log[WeekIndex],13))</f>
        <v/>
      </c>
      <c r="O45" s="19">
        <f>IF(COUNTIFS(T_TTAFStock_Log[Part Name],$A45,T_TTAFStock_Log[WeekIndex],14)=0,"",SUMIFS(T_TTAFStock_Log[TTAF_Qty],T_TTAFStock_Log[Part Name],$A45,T_TTAFStock_Log[WeekIndex],14))</f>
        <v/>
      </c>
      <c r="P45" s="19">
        <f>IF(COUNTIFS(T_TTAFStock_Log[Part Name],$A45,T_TTAFStock_Log[WeekIndex],15)=0,"",SUMIFS(T_TTAFStock_Log[TTAF_Qty],T_TTAFStock_Log[Part Name],$A45,T_TTAFStock_Log[WeekIndex],15))</f>
        <v/>
      </c>
      <c r="Q45" s="19">
        <f>IF(COUNTIFS(T_TTAFStock_Log[Part Name],$A45,T_TTAFStock_Log[WeekIndex],16)=0,"",SUMIFS(T_TTAFStock_Log[TTAF_Qty],T_TTAFStock_Log[Part Name],$A45,T_TTAFStock_Log[WeekIndex],16))</f>
        <v/>
      </c>
      <c r="R45" s="19">
        <f>IF(COUNTIFS(T_TTAFStock_Log[Part Name],$A45,T_TTAFStock_Log[WeekIndex],17)=0,"",SUMIFS(T_TTAFStock_Log[TTAF_Qty],T_TTAFStock_Log[Part Name],$A45,T_TTAFStock_Log[WeekIndex],17))</f>
        <v/>
      </c>
      <c r="S45" s="19">
        <f>IF(COUNTIFS(T_TTAFStock_Log[Part Name],$A45,T_TTAFStock_Log[WeekIndex],18)=0,"",SUMIFS(T_TTAFStock_Log[TTAF_Qty],T_TTAFStock_Log[Part Name],$A45,T_TTAFStock_Log[WeekIndex],18))</f>
        <v/>
      </c>
      <c r="T45" s="19">
        <f>IF(COUNTIFS(T_TTAFStock_Log[Part Name],$A45,T_TTAFStock_Log[WeekIndex],19)=0,"",SUMIFS(T_TTAFStock_Log[TTAF_Qty],T_TTAFStock_Log[Part Name],$A45,T_TTAFStock_Log[WeekIndex],19))</f>
        <v/>
      </c>
      <c r="U45" s="19">
        <f>IF(COUNTIFS(T_TTAFStock_Log[Part Name],$A45,T_TTAFStock_Log[WeekIndex],20)=0,"",SUMIFS(T_TTAFStock_Log[TTAF_Qty],T_TTAFStock_Log[Part Name],$A45,T_TTAFStock_Log[WeekIndex],20))</f>
        <v/>
      </c>
      <c r="V45" s="19">
        <f>IF(COUNTIFS(T_TTAFStock_Log[Part Name],$A45,T_TTAFStock_Log[WeekIndex],21)=0,"",SUMIFS(T_TTAFStock_Log[TTAF_Qty],T_TTAFStock_Log[Part Name],$A45,T_TTAFStock_Log[WeekIndex],21))</f>
        <v/>
      </c>
      <c r="W45" s="19">
        <f>IF(COUNTIFS(T_TTAFStock_Log[Part Name],$A45,T_TTAFStock_Log[WeekIndex],22)=0,"",SUMIFS(T_TTAFStock_Log[TTAF_Qty],T_TTAFStock_Log[Part Name],$A45,T_TTAFStock_Log[WeekIndex],22))</f>
        <v/>
      </c>
      <c r="X45" s="19">
        <f>IF(COUNTIFS(T_TTAFStock_Log[Part Name],$A45,T_TTAFStock_Log[WeekIndex],23)=0,"",SUMIFS(T_TTAFStock_Log[TTAF_Qty],T_TTAFStock_Log[Part Name],$A45,T_TTAFStock_Log[WeekIndex],23))</f>
        <v/>
      </c>
      <c r="Y45" s="19">
        <f>IF(COUNTIFS(T_TTAFStock_Log[Part Name],$A45,T_TTAFStock_Log[WeekIndex],24)=0,"",SUMIFS(T_TTAFStock_Log[TTAF_Qty],T_TTAFStock_Log[Part Name],$A45,T_TTAFStock_Log[WeekIndex],24))</f>
        <v/>
      </c>
      <c r="Z45" s="19">
        <f>IF(COUNTIFS(T_TTAFStock_Log[Part Name],$A45,T_TTAFStock_Log[WeekIndex],25)=0,"",SUMIFS(T_TTAFStock_Log[TTAF_Qty],T_TTAFStock_Log[Part Name],$A45,T_TTAFStock_Log[WeekIndex],25))</f>
        <v/>
      </c>
      <c r="AA45" s="19">
        <f>IF(COUNTIFS(T_TTAFStock_Log[Part Name],$A45,T_TTAFStock_Log[WeekIndex],26)=0,"",SUMIFS(T_TTAFStock_Log[TTAF_Qty],T_TTAFStock_Log[Part Name],$A45,T_TTAFStock_Log[WeekIndex],26))</f>
        <v/>
      </c>
      <c r="AB45" s="19">
        <f>IF(COUNTIFS(T_TTAFStock_Log[Part Name],$A45,T_TTAFStock_Log[WeekIndex],27)=0,"",SUMIFS(T_TTAFStock_Log[TTAF_Qty],T_TTAFStock_Log[Part Name],$A45,T_TTAFStock_Log[WeekIndex],27))</f>
        <v/>
      </c>
      <c r="AC45" s="19">
        <f>IF(COUNTIFS(T_TTAFStock_Log[Part Name],$A45,T_TTAFStock_Log[WeekIndex],28)=0,"",SUMIFS(T_TTAFStock_Log[TTAF_Qty],T_TTAFStock_Log[Part Name],$A45,T_TTAFStock_Log[WeekIndex],28))</f>
        <v/>
      </c>
      <c r="AD45" s="19">
        <f>IF(COUNTIFS(T_TTAFStock_Log[Part Name],$A45,T_TTAFStock_Log[WeekIndex],29)=0,"",SUMIFS(T_TTAFStock_Log[TTAF_Qty],T_TTAFStock_Log[Part Name],$A45,T_TTAFStock_Log[WeekIndex],29))</f>
        <v/>
      </c>
      <c r="AE45" s="19">
        <f>IF(COUNTIFS(T_TTAFStock_Log[Part Name],$A45,T_TTAFStock_Log[WeekIndex],30)=0,"",SUMIFS(T_TTAFStock_Log[TTAF_Qty],T_TTAFStock_Log[Part Name],$A45,T_TTAFStock_Log[WeekIndex],30))</f>
        <v/>
      </c>
      <c r="AF45" s="19">
        <f>IF(COUNTIFS(T_TTAFStock_Log[Part Name],$A45,T_TTAFStock_Log[WeekIndex],31)=0,"",SUMIFS(T_TTAFStock_Log[TTAF_Qty],T_TTAFStock_Log[Part Name],$A45,T_TTAFStock_Log[WeekIndex],31))</f>
        <v/>
      </c>
      <c r="AG45" s="19">
        <f>IF(COUNTIFS(T_TTAFStock_Log[Part Name],$A45,T_TTAFStock_Log[WeekIndex],32)=0,"",SUMIFS(T_TTAFStock_Log[TTAF_Qty],T_TTAFStock_Log[Part Name],$A45,T_TTAFStock_Log[WeekIndex],32))</f>
        <v/>
      </c>
      <c r="AH45" s="19">
        <f>IF(COUNTIFS(T_TTAFStock_Log[Part Name],$A45,T_TTAFStock_Log[WeekIndex],33)=0,"",SUMIFS(T_TTAFStock_Log[TTAF_Qty],T_TTAFStock_Log[Part Name],$A45,T_TTAFStock_Log[WeekIndex],33))</f>
        <v/>
      </c>
      <c r="AI45" s="19">
        <f>IF(COUNTIFS(T_TTAFStock_Log[Part Name],$A45,T_TTAFStock_Log[WeekIndex],34)=0,"",SUMIFS(T_TTAFStock_Log[TTAF_Qty],T_TTAFStock_Log[Part Name],$A45,T_TTAFStock_Log[WeekIndex],34))</f>
        <v/>
      </c>
      <c r="AJ45" s="19">
        <f>IF(COUNTIFS(T_TTAFStock_Log[Part Name],$A45,T_TTAFStock_Log[WeekIndex],35)=0,"",SUMIFS(T_TTAFStock_Log[TTAF_Qty],T_TTAFStock_Log[Part Name],$A45,T_TTAFStock_Log[WeekIndex],35))</f>
        <v/>
      </c>
      <c r="AK45" s="19">
        <f>IF(COUNTIFS(T_TTAFStock_Log[Part Name],$A45,T_TTAFStock_Log[WeekIndex],36)=0,"",SUMIFS(T_TTAFStock_Log[TTAF_Qty],T_TTAFStock_Log[Part Name],$A45,T_TTAFStock_Log[WeekIndex],36))</f>
        <v/>
      </c>
      <c r="AL45" s="19">
        <f>IF(COUNTIFS(T_TTAFStock_Log[Part Name],$A45,T_TTAFStock_Log[WeekIndex],37)=0,"",SUMIFS(T_TTAFStock_Log[TTAF_Qty],T_TTAFStock_Log[Part Name],$A45,T_TTAFStock_Log[WeekIndex],37))</f>
        <v/>
      </c>
      <c r="AM45" s="19">
        <f>IF(COUNTIFS(T_TTAFStock_Log[Part Name],$A45,T_TTAFStock_Log[WeekIndex],38)=0,"",SUMIFS(T_TTAFStock_Log[TTAF_Qty],T_TTAFStock_Log[Part Name],$A45,T_TTAFStock_Log[WeekIndex],38))</f>
        <v/>
      </c>
      <c r="AN45" s="19">
        <f>IF(COUNTIFS(T_TTAFStock_Log[Part Name],$A45,T_TTAFStock_Log[WeekIndex],39)=0,"",SUMIFS(T_TTAFStock_Log[TTAF_Qty],T_TTAFStock_Log[Part Name],$A45,T_TTAFStock_Log[WeekIndex],39))</f>
        <v/>
      </c>
      <c r="AO45" s="19">
        <f>IF(COUNTIFS(T_TTAFStock_Log[Part Name],$A45,T_TTAFStock_Log[WeekIndex],40)=0,"",SUMIFS(T_TTAFStock_Log[TTAF_Qty],T_TTAFStock_Log[Part Name],$A45,T_TTAFStock_Log[WeekIndex],40))</f>
        <v/>
      </c>
      <c r="AP45" s="19">
        <f>IF(COUNTIFS(T_TTAFStock_Log[Part Name],$A45,T_TTAFStock_Log[WeekIndex],41)=0,"",SUMIFS(T_TTAFStock_Log[TTAF_Qty],T_TTAFStock_Log[Part Name],$A45,T_TTAFStock_Log[WeekIndex],41))</f>
        <v/>
      </c>
      <c r="AQ45" s="19">
        <f>IF(COUNTIFS(T_TTAFStock_Log[Part Name],$A45,T_TTAFStock_Log[WeekIndex],42)=0,"",SUMIFS(T_TTAFStock_Log[TTAF_Qty],T_TTAFStock_Log[Part Name],$A45,T_TTAFStock_Log[WeekIndex],42))</f>
        <v/>
      </c>
      <c r="AR45" s="19">
        <f>IF(COUNTIFS(T_TTAFStock_Log[Part Name],$A45,T_TTAFStock_Log[WeekIndex],43)=0,"",SUMIFS(T_TTAFStock_Log[TTAF_Qty],T_TTAFStock_Log[Part Name],$A45,T_TTAFStock_Log[WeekIndex],43))</f>
        <v/>
      </c>
      <c r="AS45" s="19">
        <f>IF(COUNTIFS(T_TTAFStock_Log[Part Name],$A45,T_TTAFStock_Log[WeekIndex],44)=0,"",SUMIFS(T_TTAFStock_Log[TTAF_Qty],T_TTAFStock_Log[Part Name],$A45,T_TTAFStock_Log[WeekIndex],44))</f>
        <v/>
      </c>
      <c r="AT45" s="19">
        <f>IF(COUNTIFS(T_TTAFStock_Log[Part Name],$A45,T_TTAFStock_Log[WeekIndex],45)=0,"",SUMIFS(T_TTAFStock_Log[TTAF_Qty],T_TTAFStock_Log[Part Name],$A45,T_TTAFStock_Log[WeekIndex],45))</f>
        <v/>
      </c>
      <c r="AU45" s="19">
        <f>IF(COUNTIFS(T_TTAFStock_Log[Part Name],$A45,T_TTAFStock_Log[WeekIndex],46)=0,"",SUMIFS(T_TTAFStock_Log[TTAF_Qty],T_TTAFStock_Log[Part Name],$A45,T_TTAFStock_Log[WeekIndex],46))</f>
        <v/>
      </c>
      <c r="AV45" s="19">
        <f>IF(COUNTIFS(T_TTAFStock_Log[Part Name],$A45,T_TTAFStock_Log[WeekIndex],47)=0,"",SUMIFS(T_TTAFStock_Log[TTAF_Qty],T_TTAFStock_Log[Part Name],$A45,T_TTAFStock_Log[WeekIndex],47))</f>
        <v/>
      </c>
      <c r="AW45" s="19">
        <f>IF(COUNTIFS(T_TTAFStock_Log[Part Name],$A45,T_TTAFStock_Log[WeekIndex],48)=0,"",SUMIFS(T_TTAFStock_Log[TTAF_Qty],T_TTAFStock_Log[Part Name],$A45,T_TTAFStock_Log[WeekIndex],48))</f>
        <v/>
      </c>
      <c r="AX45" s="19">
        <f>IF(COUNTIFS(T_TTAFStock_Log[Part Name],$A45,T_TTAFStock_Log[WeekIndex],49)=0,"",SUMIFS(T_TTAFStock_Log[TTAF_Qty],T_TTAFStock_Log[Part Name],$A45,T_TTAFStock_Log[WeekIndex],49))</f>
        <v/>
      </c>
      <c r="AY45" s="19">
        <f>IF(COUNTIFS(T_TTAFStock_Log[Part Name],$A45,T_TTAFStock_Log[WeekIndex],50)=0,"",SUMIFS(T_TTAFStock_Log[TTAF_Qty],T_TTAFStock_Log[Part Name],$A45,T_TTAFStock_Log[WeekIndex],50))</f>
        <v/>
      </c>
      <c r="AZ45" s="19">
        <f>IF(COUNTIFS(T_TTAFStock_Log[Part Name],$A45,T_TTAFStock_Log[WeekIndex],51)=0,"",SUMIFS(T_TTAFStock_Log[TTAF_Qty],T_TTAFStock_Log[Part Name],$A45,T_TTAFStock_Log[WeekIndex],51))</f>
        <v/>
      </c>
      <c r="BA45" s="19">
        <f>IF(COUNTIFS(T_TTAFStock_Log[Part Name],$A45,T_TTAFStock_Log[WeekIndex],52)=0,"",SUMIFS(T_TTAFStock_Log[TTAF_Qty],T_TTAFStock_Log[Part Name],$A45,T_TTAFStock_Log[WeekIndex],52))</f>
        <v/>
      </c>
      <c r="BB45" s="19">
        <f>IF(COUNTIFS(T_TTAFStock_Log[Part Name],$A45,T_TTAFStock_Log[WeekIndex],53)=0,"",SUMIFS(T_TTAFStock_Log[TTAF_Qty],T_TTAFStock_Log[Part Name],$A45,T_TTAFStock_Log[WeekIndex],53))</f>
        <v/>
      </c>
      <c r="BC45" s="19">
        <f>IF(COUNTIFS(T_TTAFStock_Log[Part Name],$A45,T_TTAFStock_Log[WeekIndex],54)=0,"",SUMIFS(T_TTAFStock_Log[TTAF_Qty],T_TTAFStock_Log[Part Name],$A45,T_TTAFStock_Log[WeekIndex],54))</f>
        <v/>
      </c>
      <c r="BD45" s="19">
        <f>IF(COUNTIFS(T_TTAFStock_Log[Part Name],$A45,T_TTAFStock_Log[WeekIndex],55)=0,"",SUMIFS(T_TTAFStock_Log[TTAF_Qty],T_TTAFStock_Log[Part Name],$A45,T_TTAFStock_Log[WeekIndex],55))</f>
        <v/>
      </c>
      <c r="BE45" s="19">
        <f>IF(COUNTIFS(T_TTAFStock_Log[Part Name],$A45,T_TTAFStock_Log[WeekIndex],56)=0,"",SUMIFS(T_TTAFStock_Log[TTAF_Qty],T_TTAFStock_Log[Part Name],$A45,T_TTAFStock_Log[WeekIndex],56))</f>
        <v/>
      </c>
      <c r="BF45" s="19">
        <f>IF(COUNTIFS(T_TTAFStock_Log[Part Name],$A45,T_TTAFStock_Log[WeekIndex],57)=0,"",SUMIFS(T_TTAFStock_Log[TTAF_Qty],T_TTAFStock_Log[Part Name],$A45,T_TTAFStock_Log[WeekIndex],57))</f>
        <v/>
      </c>
      <c r="BG45" s="19">
        <f>IF(COUNTIFS(T_TTAFStock_Log[Part Name],$A45,T_TTAFStock_Log[WeekIndex],58)=0,"",SUMIFS(T_TTAFStock_Log[TTAF_Qty],T_TTAFStock_Log[Part Name],$A45,T_TTAFStock_Log[WeekIndex],58))</f>
        <v/>
      </c>
      <c r="BH45" s="19">
        <f>IF(COUNTIFS(T_TTAFStock_Log[Part Name],$A45,T_TTAFStock_Log[WeekIndex],59)=0,"",SUMIFS(T_TTAFStock_Log[TTAF_Qty],T_TTAFStock_Log[Part Name],$A45,T_TTAFStock_Log[WeekIndex],59))</f>
        <v/>
      </c>
      <c r="BI45" s="19">
        <f>IF(COUNTIFS(T_TTAFStock_Log[Part Name],$A45,T_TTAFStock_Log[WeekIndex],60)=0,"",SUMIFS(T_TTAFStock_Log[TTAF_Qty],T_TTAFStock_Log[Part Name],$A45,T_TTAFStock_Log[WeekIndex],60))</f>
        <v/>
      </c>
      <c r="BJ45" s="19">
        <f>IF(COUNTIFS(T_TTAFStock_Log[Part Name],$A45,T_TTAFStock_Log[WeekIndex],61)=0,"",SUMIFS(T_TTAFStock_Log[TTAF_Qty],T_TTAFStock_Log[Part Name],$A45,T_TTAFStock_Log[WeekIndex],61))</f>
        <v/>
      </c>
      <c r="BK45" s="19">
        <f>IF(COUNTIFS(T_TTAFStock_Log[Part Name],$A45,T_TTAFStock_Log[WeekIndex],62)=0,"",SUMIFS(T_TTAFStock_Log[TTAF_Qty],T_TTAFStock_Log[Part Name],$A45,T_TTAFStock_Log[WeekIndex],62))</f>
        <v/>
      </c>
      <c r="BL45" s="19">
        <f>IF(COUNTIFS(T_TTAFStock_Log[Part Name],$A45,T_TTAFStock_Log[WeekIndex],63)=0,"",SUMIFS(T_TTAFStock_Log[TTAF_Qty],T_TTAFStock_Log[Part Name],$A45,T_TTAFStock_Log[WeekIndex],63))</f>
        <v/>
      </c>
      <c r="BM45" s="19">
        <f>IF(COUNTIFS(T_TTAFStock_Log[Part Name],$A45,T_TTAFStock_Log[WeekIndex],64)=0,"",SUMIFS(T_TTAFStock_Log[TTAF_Qty],T_TTAFStock_Log[Part Name],$A45,T_TTAFStock_Log[WeekIndex],64))</f>
        <v/>
      </c>
      <c r="BN45" s="19">
        <f>IF(COUNTIFS(T_TTAFStock_Log[Part Name],$A45,T_TTAFStock_Log[WeekIndex],65)=0,"",SUMIFS(T_TTAFStock_Log[TTAF_Qty],T_TTAFStock_Log[Part Name],$A45,T_TTAFStock_Log[WeekIndex],65))</f>
        <v/>
      </c>
      <c r="BO45" s="19">
        <f>IF(COUNTIFS(T_TTAFStock_Log[Part Name],$A45,T_TTAFStock_Log[WeekIndex],66)=0,"",SUMIFS(T_TTAFStock_Log[TTAF_Qty],T_TTAFStock_Log[Part Name],$A45,T_TTAFStock_Log[WeekIndex],66))</f>
        <v/>
      </c>
      <c r="BP45" s="19">
        <f>IF(COUNTIFS(T_TTAFStock_Log[Part Name],$A45,T_TTAFStock_Log[WeekIndex],67)=0,"",SUMIFS(T_TTAFStock_Log[TTAF_Qty],T_TTAFStock_Log[Part Name],$A45,T_TTAFStock_Log[WeekIndex],67))</f>
        <v/>
      </c>
      <c r="BQ45" s="19">
        <f>IF(COUNTIFS(T_TTAFStock_Log[Part Name],$A45,T_TTAFStock_Log[WeekIndex],68)=0,"",SUMIFS(T_TTAFStock_Log[TTAF_Qty],T_TTAFStock_Log[Part Name],$A45,T_TTAFStock_Log[WeekIndex],68))</f>
        <v/>
      </c>
      <c r="BR45" s="19">
        <f>IF(COUNTIFS(T_TTAFStock_Log[Part Name],$A45,T_TTAFStock_Log[WeekIndex],69)=0,"",SUMIFS(T_TTAFStock_Log[TTAF_Qty],T_TTAFStock_Log[Part Name],$A45,T_TTAFStock_Log[WeekIndex],69))</f>
        <v/>
      </c>
      <c r="BS45" s="19">
        <f>IF(COUNTIFS(T_TTAFStock_Log[Part Name],$A45,T_TTAFStock_Log[WeekIndex],70)=0,"",SUMIFS(T_TTAFStock_Log[TTAF_Qty],T_TTAFStock_Log[Part Name],$A45,T_TTAFStock_Log[WeekIndex],70))</f>
        <v/>
      </c>
      <c r="BT45" s="19">
        <f>IF(COUNTIFS(T_TTAFStock_Log[Part Name],$A45,T_TTAFStock_Log[WeekIndex],71)=0,"",SUMIFS(T_TTAFStock_Log[TTAF_Qty],T_TTAFStock_Log[Part Name],$A45,T_TTAFStock_Log[WeekIndex],71))</f>
        <v/>
      </c>
      <c r="BU45" s="19">
        <f>IF(COUNTIFS(T_TTAFStock_Log[Part Name],$A45,T_TTAFStock_Log[WeekIndex],72)=0,"",SUMIFS(T_TTAFStock_Log[TTAF_Qty],T_TTAFStock_Log[Part Name],$A45,T_TTAFStock_Log[WeekIndex],72))</f>
        <v/>
      </c>
      <c r="BV45" s="19">
        <f>IF(COUNTIFS(T_TTAFStock_Log[Part Name],$A45,T_TTAFStock_Log[WeekIndex],73)=0,"",SUMIFS(T_TTAFStock_Log[TTAF_Qty],T_TTAFStock_Log[Part Name],$A45,T_TTAFStock_Log[WeekIndex],73))</f>
        <v/>
      </c>
      <c r="BW45" s="19">
        <f>IF(COUNTIFS(T_TTAFStock_Log[Part Name],$A45,T_TTAFStock_Log[WeekIndex],74)=0,"",SUMIFS(T_TTAFStock_Log[TTAF_Qty],T_TTAFStock_Log[Part Name],$A45,T_TTAFStock_Log[WeekIndex],74))</f>
        <v/>
      </c>
      <c r="BX45" s="19">
        <f>IF(COUNTIFS(T_TTAFStock_Log[Part Name],$A45,T_TTAFStock_Log[WeekIndex],75)=0,"",SUMIFS(T_TTAFStock_Log[TTAF_Qty],T_TTAFStock_Log[Part Name],$A45,T_TTAFStock_Log[WeekIndex],75))</f>
        <v/>
      </c>
      <c r="BY45" s="19">
        <f>IF(COUNTIFS(T_TTAFStock_Log[Part Name],$A45,T_TTAFStock_Log[WeekIndex],76)=0,"",SUMIFS(T_TTAFStock_Log[TTAF_Qty],T_TTAFStock_Log[Part Name],$A45,T_TTAFStock_Log[WeekIndex],76))</f>
        <v/>
      </c>
      <c r="BZ45" s="19">
        <f>IF(COUNTIFS(T_TTAFStock_Log[Part Name],$A45,T_TTAFStock_Log[WeekIndex],77)=0,"",SUMIFS(T_TTAFStock_Log[TTAF_Qty],T_TTAFStock_Log[Part Name],$A45,T_TTAFStock_Log[WeekIndex],77))</f>
        <v/>
      </c>
      <c r="CA45" s="19">
        <f>IF(COUNTIFS(T_TTAFStock_Log[Part Name],$A45,T_TTAFStock_Log[WeekIndex],78)=0,"",SUMIFS(T_TTAFStock_Log[TTAF_Qty],T_TTAFStock_Log[Part Name],$A45,T_TTAFStock_Log[WeekIndex],78))</f>
        <v/>
      </c>
      <c r="CB45" s="19">
        <f>IF(COUNTIFS(T_TTAFStock_Log[Part Name],$A45,T_TTAFStock_Log[WeekIndex],79)=0,"",SUMIFS(T_TTAFStock_Log[TTAF_Qty],T_TTAFStock_Log[Part Name],$A45,T_TTAFStock_Log[WeekIndex],79))</f>
        <v/>
      </c>
      <c r="CC45" s="19">
        <f>IF(COUNTIFS(T_TTAFStock_Log[Part Name],$A45,T_TTAFStock_Log[WeekIndex],80)=0,"",SUMIFS(T_TTAFStock_Log[TTAF_Qty],T_TTAFStock_Log[Part Name],$A45,T_TTAFStock_Log[WeekIndex],80))</f>
        <v/>
      </c>
      <c r="CD45" s="19">
        <f>IF(COUNTIFS(T_TTAFStock_Log[Part Name],$A45,T_TTAFStock_Log[WeekIndex],81)=0,"",SUMIFS(T_TTAFStock_Log[TTAF_Qty],T_TTAFStock_Log[Part Name],$A45,T_TTAFStock_Log[WeekIndex],81))</f>
        <v/>
      </c>
      <c r="CE45" s="19">
        <f>IF(COUNTIFS(T_TTAFStock_Log[Part Name],$A45,T_TTAFStock_Log[WeekIndex],82)=0,"",SUMIFS(T_TTAFStock_Log[TTAF_Qty],T_TTAFStock_Log[Part Name],$A45,T_TTAFStock_Log[WeekIndex],82))</f>
        <v/>
      </c>
      <c r="CF45" s="19">
        <f>IF(COUNTIFS(T_TTAFStock_Log[Part Name],$A45,T_TTAFStock_Log[WeekIndex],83)=0,"",SUMIFS(T_TTAFStock_Log[TTAF_Qty],T_TTAFStock_Log[Part Name],$A45,T_TTAFStock_Log[WeekIndex],83))</f>
        <v/>
      </c>
      <c r="CG45" s="19">
        <f>IF(COUNTIFS(T_TTAFStock_Log[Part Name],$A45,T_TTAFStock_Log[WeekIndex],84)=0,"",SUMIFS(T_TTAFStock_Log[TTAF_Qty],T_TTAFStock_Log[Part Name],$A45,T_TTAFStock_Log[WeekIndex],84))</f>
        <v/>
      </c>
      <c r="CH45" s="19">
        <f>IF(COUNTIFS(T_TTAFStock_Log[Part Name],$A45,T_TTAFStock_Log[WeekIndex],85)=0,"",SUMIFS(T_TTAFStock_Log[TTAF_Qty],T_TTAFStock_Log[Part Name],$A45,T_TTAFStock_Log[WeekIndex],85))</f>
        <v/>
      </c>
      <c r="CI45" s="19">
        <f>IF(COUNTIFS(T_TTAFStock_Log[Part Name],$A45,T_TTAFStock_Log[WeekIndex],86)=0,"",SUMIFS(T_TTAFStock_Log[TTAF_Qty],T_TTAFStock_Log[Part Name],$A45,T_TTAFStock_Log[WeekIndex],86))</f>
        <v/>
      </c>
      <c r="CJ45" s="19">
        <f>IF(COUNTIFS(T_TTAFStock_Log[Part Name],$A45,T_TTAFStock_Log[WeekIndex],87)=0,"",SUMIFS(T_TTAFStock_Log[TTAF_Qty],T_TTAFStock_Log[Part Name],$A45,T_TTAFStock_Log[WeekIndex],87))</f>
        <v/>
      </c>
      <c r="CK45" s="19">
        <f>IF(COUNTIFS(T_TTAFStock_Log[Part Name],$A45,T_TTAFStock_Log[WeekIndex],88)=0,"",SUMIFS(T_TTAFStock_Log[TTAF_Qty],T_TTAFStock_Log[Part Name],$A45,T_TTAFStock_Log[WeekIndex],88))</f>
        <v/>
      </c>
      <c r="CL45" s="19">
        <f>IF(COUNTIFS(T_TTAFStock_Log[Part Name],$A45,T_TTAFStock_Log[WeekIndex],89)=0,"",SUMIFS(T_TTAFStock_Log[TTAF_Qty],T_TTAFStock_Log[Part Name],$A45,T_TTAFStock_Log[WeekIndex],89))</f>
        <v/>
      </c>
      <c r="CM45" s="19">
        <f>IF(COUNTIFS(T_TTAFStock_Log[Part Name],$A45,T_TTAFStock_Log[WeekIndex],90)=0,"",SUMIFS(T_TTAFStock_Log[TTAF_Qty],T_TTAFStock_Log[Part Name],$A45,T_TTAFStock_Log[WeekIndex],90))</f>
        <v/>
      </c>
      <c r="CN45" s="19">
        <f>IF(COUNTIFS(T_TTAFStock_Log[Part Name],$A45,T_TTAFStock_Log[WeekIndex],91)=0,"",SUMIFS(T_TTAFStock_Log[TTAF_Qty],T_TTAFStock_Log[Part Name],$A45,T_TTAFStock_Log[WeekIndex],91))</f>
        <v/>
      </c>
      <c r="CO45" s="19">
        <f>IF(COUNTIFS(T_TTAFStock_Log[Part Name],$A45,T_TTAFStock_Log[WeekIndex],92)=0,"",SUMIFS(T_TTAFStock_Log[TTAF_Qty],T_TTAFStock_Log[Part Name],$A45,T_TTAFStock_Log[WeekIndex],92))</f>
        <v/>
      </c>
      <c r="CP45" s="19">
        <f>IF(COUNTIFS(T_TTAFStock_Log[Part Name],$A45,T_TTAFStock_Log[WeekIndex],93)=0,"",SUMIFS(T_TTAFStock_Log[TTAF_Qty],T_TTAFStock_Log[Part Name],$A45,T_TTAFStock_Log[WeekIndex],93))</f>
        <v/>
      </c>
      <c r="CQ45" s="19">
        <f>IF(COUNTIFS(T_TTAFStock_Log[Part Name],$A45,T_TTAFStock_Log[WeekIndex],94)=0,"",SUMIFS(T_TTAFStock_Log[TTAF_Qty],T_TTAFStock_Log[Part Name],$A45,T_TTAFStock_Log[WeekIndex],94))</f>
        <v/>
      </c>
      <c r="CR45" s="19">
        <f>IF(COUNTIFS(T_TTAFStock_Log[Part Name],$A45,T_TTAFStock_Log[WeekIndex],95)=0,"",SUMIFS(T_TTAFStock_Log[TTAF_Qty],T_TTAFStock_Log[Part Name],$A45,T_TTAFStock_Log[WeekIndex],95))</f>
        <v/>
      </c>
      <c r="CS45" s="19">
        <f>IF(COUNTIFS(T_TTAFStock_Log[Part Name],$A45,T_TTAFStock_Log[WeekIndex],96)=0,"",SUMIFS(T_TTAFStock_Log[TTAF_Qty],T_TTAFStock_Log[Part Name],$A45,T_TTAFStock_Log[WeekIndex],96))</f>
        <v/>
      </c>
      <c r="CT45" s="19">
        <f>IF(COUNTIFS(T_TTAFStock_Log[Part Name],$A45,T_TTAFStock_Log[WeekIndex],97)=0,"",SUMIFS(T_TTAFStock_Log[TTAF_Qty],T_TTAFStock_Log[Part Name],$A45,T_TTAFStock_Log[WeekIndex],97))</f>
        <v/>
      </c>
      <c r="CU45" s="19">
        <f>IF(COUNTIFS(T_TTAFStock_Log[Part Name],$A45,T_TTAFStock_Log[WeekIndex],98)=0,"",SUMIFS(T_TTAFStock_Log[TTAF_Qty],T_TTAFStock_Log[Part Name],$A45,T_TTAFStock_Log[WeekIndex],98))</f>
        <v/>
      </c>
      <c r="CV45" s="19">
        <f>IF(COUNTIFS(T_TTAFStock_Log[Part Name],$A45,T_TTAFStock_Log[WeekIndex],99)=0,"",SUMIFS(T_TTAFStock_Log[TTAF_Qty],T_TTAFStock_Log[Part Name],$A45,T_TTAFStock_Log[WeekIndex],99))</f>
        <v/>
      </c>
      <c r="CW45" s="19">
        <f>IF(COUNTIFS(T_TTAFStock_Log[Part Name],$A45,T_TTAFStock_Log[WeekIndex],100)=0,"",SUMIFS(T_TTAFStock_Log[TTAF_Qty],T_TTAFStock_Log[Part Name],$A45,T_TTAFStock_Log[WeekIndex],100))</f>
        <v/>
      </c>
      <c r="CX45" s="19">
        <f>IF(COUNTIFS(T_TTAFStock_Log[Part Name],$A45,T_TTAFStock_Log[WeekIndex],101)=0,"",SUMIFS(T_TTAFStock_Log[TTAF_Qty],T_TTAFStock_Log[Part Name],$A45,T_TTAFStock_Log[WeekIndex],101))</f>
        <v/>
      </c>
      <c r="CY45" s="19">
        <f>IF(COUNTIFS(T_TTAFStock_Log[Part Name],$A45,T_TTAFStock_Log[WeekIndex],102)=0,"",SUMIFS(T_TTAFStock_Log[TTAF_Qty],T_TTAFStock_Log[Part Name],$A45,T_TTAFStock_Log[WeekIndex],102))</f>
        <v/>
      </c>
      <c r="CZ45" s="19">
        <f>IF(COUNTIFS(T_TTAFStock_Log[Part Name],$A45,T_TTAFStock_Log[WeekIndex],103)=0,"",SUMIFS(T_TTAFStock_Log[TTAF_Qty],T_TTAFStock_Log[Part Name],$A45,T_TTAFStock_Log[WeekIndex],103))</f>
        <v/>
      </c>
      <c r="DA45" s="19">
        <f>IF(COUNTIFS(T_TTAFStock_Log[Part Name],$A45,T_TTAFStock_Log[WeekIndex],104)=0,"",SUMIFS(T_TTAFStock_Log[TTAF_Qty],T_TTAFStock_Log[Part Name],$A45,T_TTAFStock_Log[WeekIndex],104))</f>
        <v/>
      </c>
    </row>
    <row r="46">
      <c r="A46" s="17" t="inlineStr">
        <is>
          <t>CHEM-1730</t>
        </is>
      </c>
      <c r="B46" s="17">
        <f>IF(COUNTIFS(T_TTAFStock_Log[Part Name],$A46,T_TTAFStock_Log[WeekIndex],1)=0,"",SUMIFS(T_TTAFStock_Log[TTAF_Qty],T_TTAFStock_Log[Part Name],$A46,T_TTAFStock_Log[WeekIndex],1))</f>
        <v/>
      </c>
      <c r="C46" s="17">
        <f>IF(COUNTIFS(T_TTAFStock_Log[Part Name],$A46,T_TTAFStock_Log[WeekIndex],2)=0,"",SUMIFS(T_TTAFStock_Log[TTAF_Qty],T_TTAFStock_Log[Part Name],$A46,T_TTAFStock_Log[WeekIndex],2))</f>
        <v/>
      </c>
      <c r="D46" s="17">
        <f>IF(COUNTIFS(T_TTAFStock_Log[Part Name],$A46,T_TTAFStock_Log[WeekIndex],3)=0,"",SUMIFS(T_TTAFStock_Log[TTAF_Qty],T_TTAFStock_Log[Part Name],$A46,T_TTAFStock_Log[WeekIndex],3))</f>
        <v/>
      </c>
      <c r="E46" s="17">
        <f>IF(COUNTIFS(T_TTAFStock_Log[Part Name],$A46,T_TTAFStock_Log[WeekIndex],4)=0,"",SUMIFS(T_TTAFStock_Log[TTAF_Qty],T_TTAFStock_Log[Part Name],$A46,T_TTAFStock_Log[WeekIndex],4))</f>
        <v/>
      </c>
      <c r="F46" s="17">
        <f>IF(COUNTIFS(T_TTAFStock_Log[Part Name],$A46,T_TTAFStock_Log[WeekIndex],5)=0,"",SUMIFS(T_TTAFStock_Log[TTAF_Qty],T_TTAFStock_Log[Part Name],$A46,T_TTAFStock_Log[WeekIndex],5))</f>
        <v/>
      </c>
      <c r="G46" s="17">
        <f>IF(COUNTIFS(T_TTAFStock_Log[Part Name],$A46,T_TTAFStock_Log[WeekIndex],6)=0,"",SUMIFS(T_TTAFStock_Log[TTAF_Qty],T_TTAFStock_Log[Part Name],$A46,T_TTAFStock_Log[WeekIndex],6))</f>
        <v/>
      </c>
      <c r="H46" s="17">
        <f>IF(COUNTIFS(T_TTAFStock_Log[Part Name],$A46,T_TTAFStock_Log[WeekIndex],7)=0,"",SUMIFS(T_TTAFStock_Log[TTAF_Qty],T_TTAFStock_Log[Part Name],$A46,T_TTAFStock_Log[WeekIndex],7))</f>
        <v/>
      </c>
      <c r="I46" s="17">
        <f>IF(COUNTIFS(T_TTAFStock_Log[Part Name],$A46,T_TTAFStock_Log[WeekIndex],8)=0,"",SUMIFS(T_TTAFStock_Log[TTAF_Qty],T_TTAFStock_Log[Part Name],$A46,T_TTAFStock_Log[WeekIndex],8))</f>
        <v/>
      </c>
      <c r="J46" s="17">
        <f>IF(COUNTIFS(T_TTAFStock_Log[Part Name],$A46,T_TTAFStock_Log[WeekIndex],9)=0,"",SUMIFS(T_TTAFStock_Log[TTAF_Qty],T_TTAFStock_Log[Part Name],$A46,T_TTAFStock_Log[WeekIndex],9))</f>
        <v/>
      </c>
      <c r="K46" s="17">
        <f>IF(COUNTIFS(T_TTAFStock_Log[Part Name],$A46,T_TTAFStock_Log[WeekIndex],10)=0,"",SUMIFS(T_TTAFStock_Log[TTAF_Qty],T_TTAFStock_Log[Part Name],$A46,T_TTAFStock_Log[WeekIndex],10))</f>
        <v/>
      </c>
      <c r="L46" s="17">
        <f>IF(COUNTIFS(T_TTAFStock_Log[Part Name],$A46,T_TTAFStock_Log[WeekIndex],11)=0,"",SUMIFS(T_TTAFStock_Log[TTAF_Qty],T_TTAFStock_Log[Part Name],$A46,T_TTAFStock_Log[WeekIndex],11))</f>
        <v/>
      </c>
      <c r="M46" s="17">
        <f>IF(COUNTIFS(T_TTAFStock_Log[Part Name],$A46,T_TTAFStock_Log[WeekIndex],12)=0,"",SUMIFS(T_TTAFStock_Log[TTAF_Qty],T_TTAFStock_Log[Part Name],$A46,T_TTAFStock_Log[WeekIndex],12))</f>
        <v/>
      </c>
      <c r="N46" s="17">
        <f>IF(COUNTIFS(T_TTAFStock_Log[Part Name],$A46,T_TTAFStock_Log[WeekIndex],13)=0,"",SUMIFS(T_TTAFStock_Log[TTAF_Qty],T_TTAFStock_Log[Part Name],$A46,T_TTAFStock_Log[WeekIndex],13))</f>
        <v/>
      </c>
      <c r="O46" s="17">
        <f>IF(COUNTIFS(T_TTAFStock_Log[Part Name],$A46,T_TTAFStock_Log[WeekIndex],14)=0,"",SUMIFS(T_TTAFStock_Log[TTAF_Qty],T_TTAFStock_Log[Part Name],$A46,T_TTAFStock_Log[WeekIndex],14))</f>
        <v/>
      </c>
      <c r="P46" s="17">
        <f>IF(COUNTIFS(T_TTAFStock_Log[Part Name],$A46,T_TTAFStock_Log[WeekIndex],15)=0,"",SUMIFS(T_TTAFStock_Log[TTAF_Qty],T_TTAFStock_Log[Part Name],$A46,T_TTAFStock_Log[WeekIndex],15))</f>
        <v/>
      </c>
      <c r="Q46" s="17">
        <f>IF(COUNTIFS(T_TTAFStock_Log[Part Name],$A46,T_TTAFStock_Log[WeekIndex],16)=0,"",SUMIFS(T_TTAFStock_Log[TTAF_Qty],T_TTAFStock_Log[Part Name],$A46,T_TTAFStock_Log[WeekIndex],16))</f>
        <v/>
      </c>
      <c r="R46" s="17">
        <f>IF(COUNTIFS(T_TTAFStock_Log[Part Name],$A46,T_TTAFStock_Log[WeekIndex],17)=0,"",SUMIFS(T_TTAFStock_Log[TTAF_Qty],T_TTAFStock_Log[Part Name],$A46,T_TTAFStock_Log[WeekIndex],17))</f>
        <v/>
      </c>
      <c r="S46" s="17">
        <f>IF(COUNTIFS(T_TTAFStock_Log[Part Name],$A46,T_TTAFStock_Log[WeekIndex],18)=0,"",SUMIFS(T_TTAFStock_Log[TTAF_Qty],T_TTAFStock_Log[Part Name],$A46,T_TTAFStock_Log[WeekIndex],18))</f>
        <v/>
      </c>
      <c r="T46" s="17">
        <f>IF(COUNTIFS(T_TTAFStock_Log[Part Name],$A46,T_TTAFStock_Log[WeekIndex],19)=0,"",SUMIFS(T_TTAFStock_Log[TTAF_Qty],T_TTAFStock_Log[Part Name],$A46,T_TTAFStock_Log[WeekIndex],19))</f>
        <v/>
      </c>
      <c r="U46" s="17">
        <f>IF(COUNTIFS(T_TTAFStock_Log[Part Name],$A46,T_TTAFStock_Log[WeekIndex],20)=0,"",SUMIFS(T_TTAFStock_Log[TTAF_Qty],T_TTAFStock_Log[Part Name],$A46,T_TTAFStock_Log[WeekIndex],20))</f>
        <v/>
      </c>
      <c r="V46" s="17">
        <f>IF(COUNTIFS(T_TTAFStock_Log[Part Name],$A46,T_TTAFStock_Log[WeekIndex],21)=0,"",SUMIFS(T_TTAFStock_Log[TTAF_Qty],T_TTAFStock_Log[Part Name],$A46,T_TTAFStock_Log[WeekIndex],21))</f>
        <v/>
      </c>
      <c r="W46" s="17">
        <f>IF(COUNTIFS(T_TTAFStock_Log[Part Name],$A46,T_TTAFStock_Log[WeekIndex],22)=0,"",SUMIFS(T_TTAFStock_Log[TTAF_Qty],T_TTAFStock_Log[Part Name],$A46,T_TTAFStock_Log[WeekIndex],22))</f>
        <v/>
      </c>
      <c r="X46" s="17">
        <f>IF(COUNTIFS(T_TTAFStock_Log[Part Name],$A46,T_TTAFStock_Log[WeekIndex],23)=0,"",SUMIFS(T_TTAFStock_Log[TTAF_Qty],T_TTAFStock_Log[Part Name],$A46,T_TTAFStock_Log[WeekIndex],23))</f>
        <v/>
      </c>
      <c r="Y46" s="17">
        <f>IF(COUNTIFS(T_TTAFStock_Log[Part Name],$A46,T_TTAFStock_Log[WeekIndex],24)=0,"",SUMIFS(T_TTAFStock_Log[TTAF_Qty],T_TTAFStock_Log[Part Name],$A46,T_TTAFStock_Log[WeekIndex],24))</f>
        <v/>
      </c>
      <c r="Z46" s="17">
        <f>IF(COUNTIFS(T_TTAFStock_Log[Part Name],$A46,T_TTAFStock_Log[WeekIndex],25)=0,"",SUMIFS(T_TTAFStock_Log[TTAF_Qty],T_TTAFStock_Log[Part Name],$A46,T_TTAFStock_Log[WeekIndex],25))</f>
        <v/>
      </c>
      <c r="AA46" s="17">
        <f>IF(COUNTIFS(T_TTAFStock_Log[Part Name],$A46,T_TTAFStock_Log[WeekIndex],26)=0,"",SUMIFS(T_TTAFStock_Log[TTAF_Qty],T_TTAFStock_Log[Part Name],$A46,T_TTAFStock_Log[WeekIndex],26))</f>
        <v/>
      </c>
      <c r="AB46" s="17">
        <f>IF(COUNTIFS(T_TTAFStock_Log[Part Name],$A46,T_TTAFStock_Log[WeekIndex],27)=0,"",SUMIFS(T_TTAFStock_Log[TTAF_Qty],T_TTAFStock_Log[Part Name],$A46,T_TTAFStock_Log[WeekIndex],27))</f>
        <v/>
      </c>
      <c r="AC46" s="17">
        <f>IF(COUNTIFS(T_TTAFStock_Log[Part Name],$A46,T_TTAFStock_Log[WeekIndex],28)=0,"",SUMIFS(T_TTAFStock_Log[TTAF_Qty],T_TTAFStock_Log[Part Name],$A46,T_TTAFStock_Log[WeekIndex],28))</f>
        <v/>
      </c>
      <c r="AD46" s="17">
        <f>IF(COUNTIFS(T_TTAFStock_Log[Part Name],$A46,T_TTAFStock_Log[WeekIndex],29)=0,"",SUMIFS(T_TTAFStock_Log[TTAF_Qty],T_TTAFStock_Log[Part Name],$A46,T_TTAFStock_Log[WeekIndex],29))</f>
        <v/>
      </c>
      <c r="AE46" s="17">
        <f>IF(COUNTIFS(T_TTAFStock_Log[Part Name],$A46,T_TTAFStock_Log[WeekIndex],30)=0,"",SUMIFS(T_TTAFStock_Log[TTAF_Qty],T_TTAFStock_Log[Part Name],$A46,T_TTAFStock_Log[WeekIndex],30))</f>
        <v/>
      </c>
      <c r="AF46" s="17">
        <f>IF(COUNTIFS(T_TTAFStock_Log[Part Name],$A46,T_TTAFStock_Log[WeekIndex],31)=0,"",SUMIFS(T_TTAFStock_Log[TTAF_Qty],T_TTAFStock_Log[Part Name],$A46,T_TTAFStock_Log[WeekIndex],31))</f>
        <v/>
      </c>
      <c r="AG46" s="17">
        <f>IF(COUNTIFS(T_TTAFStock_Log[Part Name],$A46,T_TTAFStock_Log[WeekIndex],32)=0,"",SUMIFS(T_TTAFStock_Log[TTAF_Qty],T_TTAFStock_Log[Part Name],$A46,T_TTAFStock_Log[WeekIndex],32))</f>
        <v/>
      </c>
      <c r="AH46" s="17">
        <f>IF(COUNTIFS(T_TTAFStock_Log[Part Name],$A46,T_TTAFStock_Log[WeekIndex],33)=0,"",SUMIFS(T_TTAFStock_Log[TTAF_Qty],T_TTAFStock_Log[Part Name],$A46,T_TTAFStock_Log[WeekIndex],33))</f>
        <v/>
      </c>
      <c r="AI46" s="17">
        <f>IF(COUNTIFS(T_TTAFStock_Log[Part Name],$A46,T_TTAFStock_Log[WeekIndex],34)=0,"",SUMIFS(T_TTAFStock_Log[TTAF_Qty],T_TTAFStock_Log[Part Name],$A46,T_TTAFStock_Log[WeekIndex],34))</f>
        <v/>
      </c>
      <c r="AJ46" s="17">
        <f>IF(COUNTIFS(T_TTAFStock_Log[Part Name],$A46,T_TTAFStock_Log[WeekIndex],35)=0,"",SUMIFS(T_TTAFStock_Log[TTAF_Qty],T_TTAFStock_Log[Part Name],$A46,T_TTAFStock_Log[WeekIndex],35))</f>
        <v/>
      </c>
      <c r="AK46" s="17">
        <f>IF(COUNTIFS(T_TTAFStock_Log[Part Name],$A46,T_TTAFStock_Log[WeekIndex],36)=0,"",SUMIFS(T_TTAFStock_Log[TTAF_Qty],T_TTAFStock_Log[Part Name],$A46,T_TTAFStock_Log[WeekIndex],36))</f>
        <v/>
      </c>
      <c r="AL46" s="17">
        <f>IF(COUNTIFS(T_TTAFStock_Log[Part Name],$A46,T_TTAFStock_Log[WeekIndex],37)=0,"",SUMIFS(T_TTAFStock_Log[TTAF_Qty],T_TTAFStock_Log[Part Name],$A46,T_TTAFStock_Log[WeekIndex],37))</f>
        <v/>
      </c>
      <c r="AM46" s="17">
        <f>IF(COUNTIFS(T_TTAFStock_Log[Part Name],$A46,T_TTAFStock_Log[WeekIndex],38)=0,"",SUMIFS(T_TTAFStock_Log[TTAF_Qty],T_TTAFStock_Log[Part Name],$A46,T_TTAFStock_Log[WeekIndex],38))</f>
        <v/>
      </c>
      <c r="AN46" s="17">
        <f>IF(COUNTIFS(T_TTAFStock_Log[Part Name],$A46,T_TTAFStock_Log[WeekIndex],39)=0,"",SUMIFS(T_TTAFStock_Log[TTAF_Qty],T_TTAFStock_Log[Part Name],$A46,T_TTAFStock_Log[WeekIndex],39))</f>
        <v/>
      </c>
      <c r="AO46" s="17">
        <f>IF(COUNTIFS(T_TTAFStock_Log[Part Name],$A46,T_TTAFStock_Log[WeekIndex],40)=0,"",SUMIFS(T_TTAFStock_Log[TTAF_Qty],T_TTAFStock_Log[Part Name],$A46,T_TTAFStock_Log[WeekIndex],40))</f>
        <v/>
      </c>
      <c r="AP46" s="17">
        <f>IF(COUNTIFS(T_TTAFStock_Log[Part Name],$A46,T_TTAFStock_Log[WeekIndex],41)=0,"",SUMIFS(T_TTAFStock_Log[TTAF_Qty],T_TTAFStock_Log[Part Name],$A46,T_TTAFStock_Log[WeekIndex],41))</f>
        <v/>
      </c>
      <c r="AQ46" s="17">
        <f>IF(COUNTIFS(T_TTAFStock_Log[Part Name],$A46,T_TTAFStock_Log[WeekIndex],42)=0,"",SUMIFS(T_TTAFStock_Log[TTAF_Qty],T_TTAFStock_Log[Part Name],$A46,T_TTAFStock_Log[WeekIndex],42))</f>
        <v/>
      </c>
      <c r="AR46" s="17">
        <f>IF(COUNTIFS(T_TTAFStock_Log[Part Name],$A46,T_TTAFStock_Log[WeekIndex],43)=0,"",SUMIFS(T_TTAFStock_Log[TTAF_Qty],T_TTAFStock_Log[Part Name],$A46,T_TTAFStock_Log[WeekIndex],43))</f>
        <v/>
      </c>
      <c r="AS46" s="17">
        <f>IF(COUNTIFS(T_TTAFStock_Log[Part Name],$A46,T_TTAFStock_Log[WeekIndex],44)=0,"",SUMIFS(T_TTAFStock_Log[TTAF_Qty],T_TTAFStock_Log[Part Name],$A46,T_TTAFStock_Log[WeekIndex],44))</f>
        <v/>
      </c>
      <c r="AT46" s="17">
        <f>IF(COUNTIFS(T_TTAFStock_Log[Part Name],$A46,T_TTAFStock_Log[WeekIndex],45)=0,"",SUMIFS(T_TTAFStock_Log[TTAF_Qty],T_TTAFStock_Log[Part Name],$A46,T_TTAFStock_Log[WeekIndex],45))</f>
        <v/>
      </c>
      <c r="AU46" s="17">
        <f>IF(COUNTIFS(T_TTAFStock_Log[Part Name],$A46,T_TTAFStock_Log[WeekIndex],46)=0,"",SUMIFS(T_TTAFStock_Log[TTAF_Qty],T_TTAFStock_Log[Part Name],$A46,T_TTAFStock_Log[WeekIndex],46))</f>
        <v/>
      </c>
      <c r="AV46" s="17">
        <f>IF(COUNTIFS(T_TTAFStock_Log[Part Name],$A46,T_TTAFStock_Log[WeekIndex],47)=0,"",SUMIFS(T_TTAFStock_Log[TTAF_Qty],T_TTAFStock_Log[Part Name],$A46,T_TTAFStock_Log[WeekIndex],47))</f>
        <v/>
      </c>
      <c r="AW46" s="17">
        <f>IF(COUNTIFS(T_TTAFStock_Log[Part Name],$A46,T_TTAFStock_Log[WeekIndex],48)=0,"",SUMIFS(T_TTAFStock_Log[TTAF_Qty],T_TTAFStock_Log[Part Name],$A46,T_TTAFStock_Log[WeekIndex],48))</f>
        <v/>
      </c>
      <c r="AX46" s="17">
        <f>IF(COUNTIFS(T_TTAFStock_Log[Part Name],$A46,T_TTAFStock_Log[WeekIndex],49)=0,"",SUMIFS(T_TTAFStock_Log[TTAF_Qty],T_TTAFStock_Log[Part Name],$A46,T_TTAFStock_Log[WeekIndex],49))</f>
        <v/>
      </c>
      <c r="AY46" s="17">
        <f>IF(COUNTIFS(T_TTAFStock_Log[Part Name],$A46,T_TTAFStock_Log[WeekIndex],50)=0,"",SUMIFS(T_TTAFStock_Log[TTAF_Qty],T_TTAFStock_Log[Part Name],$A46,T_TTAFStock_Log[WeekIndex],50))</f>
        <v/>
      </c>
      <c r="AZ46" s="17">
        <f>IF(COUNTIFS(T_TTAFStock_Log[Part Name],$A46,T_TTAFStock_Log[WeekIndex],51)=0,"",SUMIFS(T_TTAFStock_Log[TTAF_Qty],T_TTAFStock_Log[Part Name],$A46,T_TTAFStock_Log[WeekIndex],51))</f>
        <v/>
      </c>
      <c r="BA46" s="17">
        <f>IF(COUNTIFS(T_TTAFStock_Log[Part Name],$A46,T_TTAFStock_Log[WeekIndex],52)=0,"",SUMIFS(T_TTAFStock_Log[TTAF_Qty],T_TTAFStock_Log[Part Name],$A46,T_TTAFStock_Log[WeekIndex],52))</f>
        <v/>
      </c>
      <c r="BB46" s="17">
        <f>IF(COUNTIFS(T_TTAFStock_Log[Part Name],$A46,T_TTAFStock_Log[WeekIndex],53)=0,"",SUMIFS(T_TTAFStock_Log[TTAF_Qty],T_TTAFStock_Log[Part Name],$A46,T_TTAFStock_Log[WeekIndex],53))</f>
        <v/>
      </c>
      <c r="BC46" s="17">
        <f>IF(COUNTIFS(T_TTAFStock_Log[Part Name],$A46,T_TTAFStock_Log[WeekIndex],54)=0,"",SUMIFS(T_TTAFStock_Log[TTAF_Qty],T_TTAFStock_Log[Part Name],$A46,T_TTAFStock_Log[WeekIndex],54))</f>
        <v/>
      </c>
      <c r="BD46" s="17">
        <f>IF(COUNTIFS(T_TTAFStock_Log[Part Name],$A46,T_TTAFStock_Log[WeekIndex],55)=0,"",SUMIFS(T_TTAFStock_Log[TTAF_Qty],T_TTAFStock_Log[Part Name],$A46,T_TTAFStock_Log[WeekIndex],55))</f>
        <v/>
      </c>
      <c r="BE46" s="17">
        <f>IF(COUNTIFS(T_TTAFStock_Log[Part Name],$A46,T_TTAFStock_Log[WeekIndex],56)=0,"",SUMIFS(T_TTAFStock_Log[TTAF_Qty],T_TTAFStock_Log[Part Name],$A46,T_TTAFStock_Log[WeekIndex],56))</f>
        <v/>
      </c>
      <c r="BF46" s="17">
        <f>IF(COUNTIFS(T_TTAFStock_Log[Part Name],$A46,T_TTAFStock_Log[WeekIndex],57)=0,"",SUMIFS(T_TTAFStock_Log[TTAF_Qty],T_TTAFStock_Log[Part Name],$A46,T_TTAFStock_Log[WeekIndex],57))</f>
        <v/>
      </c>
      <c r="BG46" s="17">
        <f>IF(COUNTIFS(T_TTAFStock_Log[Part Name],$A46,T_TTAFStock_Log[WeekIndex],58)=0,"",SUMIFS(T_TTAFStock_Log[TTAF_Qty],T_TTAFStock_Log[Part Name],$A46,T_TTAFStock_Log[WeekIndex],58))</f>
        <v/>
      </c>
      <c r="BH46" s="17">
        <f>IF(COUNTIFS(T_TTAFStock_Log[Part Name],$A46,T_TTAFStock_Log[WeekIndex],59)=0,"",SUMIFS(T_TTAFStock_Log[TTAF_Qty],T_TTAFStock_Log[Part Name],$A46,T_TTAFStock_Log[WeekIndex],59))</f>
        <v/>
      </c>
      <c r="BI46" s="17">
        <f>IF(COUNTIFS(T_TTAFStock_Log[Part Name],$A46,T_TTAFStock_Log[WeekIndex],60)=0,"",SUMIFS(T_TTAFStock_Log[TTAF_Qty],T_TTAFStock_Log[Part Name],$A46,T_TTAFStock_Log[WeekIndex],60))</f>
        <v/>
      </c>
      <c r="BJ46" s="17">
        <f>IF(COUNTIFS(T_TTAFStock_Log[Part Name],$A46,T_TTAFStock_Log[WeekIndex],61)=0,"",SUMIFS(T_TTAFStock_Log[TTAF_Qty],T_TTAFStock_Log[Part Name],$A46,T_TTAFStock_Log[WeekIndex],61))</f>
        <v/>
      </c>
      <c r="BK46" s="17">
        <f>IF(COUNTIFS(T_TTAFStock_Log[Part Name],$A46,T_TTAFStock_Log[WeekIndex],62)=0,"",SUMIFS(T_TTAFStock_Log[TTAF_Qty],T_TTAFStock_Log[Part Name],$A46,T_TTAFStock_Log[WeekIndex],62))</f>
        <v/>
      </c>
      <c r="BL46" s="17">
        <f>IF(COUNTIFS(T_TTAFStock_Log[Part Name],$A46,T_TTAFStock_Log[WeekIndex],63)=0,"",SUMIFS(T_TTAFStock_Log[TTAF_Qty],T_TTAFStock_Log[Part Name],$A46,T_TTAFStock_Log[WeekIndex],63))</f>
        <v/>
      </c>
      <c r="BM46" s="17">
        <f>IF(COUNTIFS(T_TTAFStock_Log[Part Name],$A46,T_TTAFStock_Log[WeekIndex],64)=0,"",SUMIFS(T_TTAFStock_Log[TTAF_Qty],T_TTAFStock_Log[Part Name],$A46,T_TTAFStock_Log[WeekIndex],64))</f>
        <v/>
      </c>
      <c r="BN46" s="17">
        <f>IF(COUNTIFS(T_TTAFStock_Log[Part Name],$A46,T_TTAFStock_Log[WeekIndex],65)=0,"",SUMIFS(T_TTAFStock_Log[TTAF_Qty],T_TTAFStock_Log[Part Name],$A46,T_TTAFStock_Log[WeekIndex],65))</f>
        <v/>
      </c>
      <c r="BO46" s="17">
        <f>IF(COUNTIFS(T_TTAFStock_Log[Part Name],$A46,T_TTAFStock_Log[WeekIndex],66)=0,"",SUMIFS(T_TTAFStock_Log[TTAF_Qty],T_TTAFStock_Log[Part Name],$A46,T_TTAFStock_Log[WeekIndex],66))</f>
        <v/>
      </c>
      <c r="BP46" s="17">
        <f>IF(COUNTIFS(T_TTAFStock_Log[Part Name],$A46,T_TTAFStock_Log[WeekIndex],67)=0,"",SUMIFS(T_TTAFStock_Log[TTAF_Qty],T_TTAFStock_Log[Part Name],$A46,T_TTAFStock_Log[WeekIndex],67))</f>
        <v/>
      </c>
      <c r="BQ46" s="17">
        <f>IF(COUNTIFS(T_TTAFStock_Log[Part Name],$A46,T_TTAFStock_Log[WeekIndex],68)=0,"",SUMIFS(T_TTAFStock_Log[TTAF_Qty],T_TTAFStock_Log[Part Name],$A46,T_TTAFStock_Log[WeekIndex],68))</f>
        <v/>
      </c>
      <c r="BR46" s="17">
        <f>IF(COUNTIFS(T_TTAFStock_Log[Part Name],$A46,T_TTAFStock_Log[WeekIndex],69)=0,"",SUMIFS(T_TTAFStock_Log[TTAF_Qty],T_TTAFStock_Log[Part Name],$A46,T_TTAFStock_Log[WeekIndex],69))</f>
        <v/>
      </c>
      <c r="BS46" s="17">
        <f>IF(COUNTIFS(T_TTAFStock_Log[Part Name],$A46,T_TTAFStock_Log[WeekIndex],70)=0,"",SUMIFS(T_TTAFStock_Log[TTAF_Qty],T_TTAFStock_Log[Part Name],$A46,T_TTAFStock_Log[WeekIndex],70))</f>
        <v/>
      </c>
      <c r="BT46" s="17">
        <f>IF(COUNTIFS(T_TTAFStock_Log[Part Name],$A46,T_TTAFStock_Log[WeekIndex],71)=0,"",SUMIFS(T_TTAFStock_Log[TTAF_Qty],T_TTAFStock_Log[Part Name],$A46,T_TTAFStock_Log[WeekIndex],71))</f>
        <v/>
      </c>
      <c r="BU46" s="17">
        <f>IF(COUNTIFS(T_TTAFStock_Log[Part Name],$A46,T_TTAFStock_Log[WeekIndex],72)=0,"",SUMIFS(T_TTAFStock_Log[TTAF_Qty],T_TTAFStock_Log[Part Name],$A46,T_TTAFStock_Log[WeekIndex],72))</f>
        <v/>
      </c>
      <c r="BV46" s="17">
        <f>IF(COUNTIFS(T_TTAFStock_Log[Part Name],$A46,T_TTAFStock_Log[WeekIndex],73)=0,"",SUMIFS(T_TTAFStock_Log[TTAF_Qty],T_TTAFStock_Log[Part Name],$A46,T_TTAFStock_Log[WeekIndex],73))</f>
        <v/>
      </c>
      <c r="BW46" s="17">
        <f>IF(COUNTIFS(T_TTAFStock_Log[Part Name],$A46,T_TTAFStock_Log[WeekIndex],74)=0,"",SUMIFS(T_TTAFStock_Log[TTAF_Qty],T_TTAFStock_Log[Part Name],$A46,T_TTAFStock_Log[WeekIndex],74))</f>
        <v/>
      </c>
      <c r="BX46" s="17">
        <f>IF(COUNTIFS(T_TTAFStock_Log[Part Name],$A46,T_TTAFStock_Log[WeekIndex],75)=0,"",SUMIFS(T_TTAFStock_Log[TTAF_Qty],T_TTAFStock_Log[Part Name],$A46,T_TTAFStock_Log[WeekIndex],75))</f>
        <v/>
      </c>
      <c r="BY46" s="17">
        <f>IF(COUNTIFS(T_TTAFStock_Log[Part Name],$A46,T_TTAFStock_Log[WeekIndex],76)=0,"",SUMIFS(T_TTAFStock_Log[TTAF_Qty],T_TTAFStock_Log[Part Name],$A46,T_TTAFStock_Log[WeekIndex],76))</f>
        <v/>
      </c>
      <c r="BZ46" s="17">
        <f>IF(COUNTIFS(T_TTAFStock_Log[Part Name],$A46,T_TTAFStock_Log[WeekIndex],77)=0,"",SUMIFS(T_TTAFStock_Log[TTAF_Qty],T_TTAFStock_Log[Part Name],$A46,T_TTAFStock_Log[WeekIndex],77))</f>
        <v/>
      </c>
      <c r="CA46" s="17">
        <f>IF(COUNTIFS(T_TTAFStock_Log[Part Name],$A46,T_TTAFStock_Log[WeekIndex],78)=0,"",SUMIFS(T_TTAFStock_Log[TTAF_Qty],T_TTAFStock_Log[Part Name],$A46,T_TTAFStock_Log[WeekIndex],78))</f>
        <v/>
      </c>
      <c r="CB46" s="17">
        <f>IF(COUNTIFS(T_TTAFStock_Log[Part Name],$A46,T_TTAFStock_Log[WeekIndex],79)=0,"",SUMIFS(T_TTAFStock_Log[TTAF_Qty],T_TTAFStock_Log[Part Name],$A46,T_TTAFStock_Log[WeekIndex],79))</f>
        <v/>
      </c>
      <c r="CC46" s="17">
        <f>IF(COUNTIFS(T_TTAFStock_Log[Part Name],$A46,T_TTAFStock_Log[WeekIndex],80)=0,"",SUMIFS(T_TTAFStock_Log[TTAF_Qty],T_TTAFStock_Log[Part Name],$A46,T_TTAFStock_Log[WeekIndex],80))</f>
        <v/>
      </c>
      <c r="CD46" s="17">
        <f>IF(COUNTIFS(T_TTAFStock_Log[Part Name],$A46,T_TTAFStock_Log[WeekIndex],81)=0,"",SUMIFS(T_TTAFStock_Log[TTAF_Qty],T_TTAFStock_Log[Part Name],$A46,T_TTAFStock_Log[WeekIndex],81))</f>
        <v/>
      </c>
      <c r="CE46" s="17">
        <f>IF(COUNTIFS(T_TTAFStock_Log[Part Name],$A46,T_TTAFStock_Log[WeekIndex],82)=0,"",SUMIFS(T_TTAFStock_Log[TTAF_Qty],T_TTAFStock_Log[Part Name],$A46,T_TTAFStock_Log[WeekIndex],82))</f>
        <v/>
      </c>
      <c r="CF46" s="17">
        <f>IF(COUNTIFS(T_TTAFStock_Log[Part Name],$A46,T_TTAFStock_Log[WeekIndex],83)=0,"",SUMIFS(T_TTAFStock_Log[TTAF_Qty],T_TTAFStock_Log[Part Name],$A46,T_TTAFStock_Log[WeekIndex],83))</f>
        <v/>
      </c>
      <c r="CG46" s="17">
        <f>IF(COUNTIFS(T_TTAFStock_Log[Part Name],$A46,T_TTAFStock_Log[WeekIndex],84)=0,"",SUMIFS(T_TTAFStock_Log[TTAF_Qty],T_TTAFStock_Log[Part Name],$A46,T_TTAFStock_Log[WeekIndex],84))</f>
        <v/>
      </c>
      <c r="CH46" s="17">
        <f>IF(COUNTIFS(T_TTAFStock_Log[Part Name],$A46,T_TTAFStock_Log[WeekIndex],85)=0,"",SUMIFS(T_TTAFStock_Log[TTAF_Qty],T_TTAFStock_Log[Part Name],$A46,T_TTAFStock_Log[WeekIndex],85))</f>
        <v/>
      </c>
      <c r="CI46" s="17">
        <f>IF(COUNTIFS(T_TTAFStock_Log[Part Name],$A46,T_TTAFStock_Log[WeekIndex],86)=0,"",SUMIFS(T_TTAFStock_Log[TTAF_Qty],T_TTAFStock_Log[Part Name],$A46,T_TTAFStock_Log[WeekIndex],86))</f>
        <v/>
      </c>
      <c r="CJ46" s="17">
        <f>IF(COUNTIFS(T_TTAFStock_Log[Part Name],$A46,T_TTAFStock_Log[WeekIndex],87)=0,"",SUMIFS(T_TTAFStock_Log[TTAF_Qty],T_TTAFStock_Log[Part Name],$A46,T_TTAFStock_Log[WeekIndex],87))</f>
        <v/>
      </c>
      <c r="CK46" s="17">
        <f>IF(COUNTIFS(T_TTAFStock_Log[Part Name],$A46,T_TTAFStock_Log[WeekIndex],88)=0,"",SUMIFS(T_TTAFStock_Log[TTAF_Qty],T_TTAFStock_Log[Part Name],$A46,T_TTAFStock_Log[WeekIndex],88))</f>
        <v/>
      </c>
      <c r="CL46" s="17">
        <f>IF(COUNTIFS(T_TTAFStock_Log[Part Name],$A46,T_TTAFStock_Log[WeekIndex],89)=0,"",SUMIFS(T_TTAFStock_Log[TTAF_Qty],T_TTAFStock_Log[Part Name],$A46,T_TTAFStock_Log[WeekIndex],89))</f>
        <v/>
      </c>
      <c r="CM46" s="17">
        <f>IF(COUNTIFS(T_TTAFStock_Log[Part Name],$A46,T_TTAFStock_Log[WeekIndex],90)=0,"",SUMIFS(T_TTAFStock_Log[TTAF_Qty],T_TTAFStock_Log[Part Name],$A46,T_TTAFStock_Log[WeekIndex],90))</f>
        <v/>
      </c>
      <c r="CN46" s="17">
        <f>IF(COUNTIFS(T_TTAFStock_Log[Part Name],$A46,T_TTAFStock_Log[WeekIndex],91)=0,"",SUMIFS(T_TTAFStock_Log[TTAF_Qty],T_TTAFStock_Log[Part Name],$A46,T_TTAFStock_Log[WeekIndex],91))</f>
        <v/>
      </c>
      <c r="CO46" s="17">
        <f>IF(COUNTIFS(T_TTAFStock_Log[Part Name],$A46,T_TTAFStock_Log[WeekIndex],92)=0,"",SUMIFS(T_TTAFStock_Log[TTAF_Qty],T_TTAFStock_Log[Part Name],$A46,T_TTAFStock_Log[WeekIndex],92))</f>
        <v/>
      </c>
      <c r="CP46" s="17">
        <f>IF(COUNTIFS(T_TTAFStock_Log[Part Name],$A46,T_TTAFStock_Log[WeekIndex],93)=0,"",SUMIFS(T_TTAFStock_Log[TTAF_Qty],T_TTAFStock_Log[Part Name],$A46,T_TTAFStock_Log[WeekIndex],93))</f>
        <v/>
      </c>
      <c r="CQ46" s="17">
        <f>IF(COUNTIFS(T_TTAFStock_Log[Part Name],$A46,T_TTAFStock_Log[WeekIndex],94)=0,"",SUMIFS(T_TTAFStock_Log[TTAF_Qty],T_TTAFStock_Log[Part Name],$A46,T_TTAFStock_Log[WeekIndex],94))</f>
        <v/>
      </c>
      <c r="CR46" s="17">
        <f>IF(COUNTIFS(T_TTAFStock_Log[Part Name],$A46,T_TTAFStock_Log[WeekIndex],95)=0,"",SUMIFS(T_TTAFStock_Log[TTAF_Qty],T_TTAFStock_Log[Part Name],$A46,T_TTAFStock_Log[WeekIndex],95))</f>
        <v/>
      </c>
      <c r="CS46" s="17">
        <f>IF(COUNTIFS(T_TTAFStock_Log[Part Name],$A46,T_TTAFStock_Log[WeekIndex],96)=0,"",SUMIFS(T_TTAFStock_Log[TTAF_Qty],T_TTAFStock_Log[Part Name],$A46,T_TTAFStock_Log[WeekIndex],96))</f>
        <v/>
      </c>
      <c r="CT46" s="17">
        <f>IF(COUNTIFS(T_TTAFStock_Log[Part Name],$A46,T_TTAFStock_Log[WeekIndex],97)=0,"",SUMIFS(T_TTAFStock_Log[TTAF_Qty],T_TTAFStock_Log[Part Name],$A46,T_TTAFStock_Log[WeekIndex],97))</f>
        <v/>
      </c>
      <c r="CU46" s="17">
        <f>IF(COUNTIFS(T_TTAFStock_Log[Part Name],$A46,T_TTAFStock_Log[WeekIndex],98)=0,"",SUMIFS(T_TTAFStock_Log[TTAF_Qty],T_TTAFStock_Log[Part Name],$A46,T_TTAFStock_Log[WeekIndex],98))</f>
        <v/>
      </c>
      <c r="CV46" s="17">
        <f>IF(COUNTIFS(T_TTAFStock_Log[Part Name],$A46,T_TTAFStock_Log[WeekIndex],99)=0,"",SUMIFS(T_TTAFStock_Log[TTAF_Qty],T_TTAFStock_Log[Part Name],$A46,T_TTAFStock_Log[WeekIndex],99))</f>
        <v/>
      </c>
      <c r="CW46" s="17">
        <f>IF(COUNTIFS(T_TTAFStock_Log[Part Name],$A46,T_TTAFStock_Log[WeekIndex],100)=0,"",SUMIFS(T_TTAFStock_Log[TTAF_Qty],T_TTAFStock_Log[Part Name],$A46,T_TTAFStock_Log[WeekIndex],100))</f>
        <v/>
      </c>
      <c r="CX46" s="17">
        <f>IF(COUNTIFS(T_TTAFStock_Log[Part Name],$A46,T_TTAFStock_Log[WeekIndex],101)=0,"",SUMIFS(T_TTAFStock_Log[TTAF_Qty],T_TTAFStock_Log[Part Name],$A46,T_TTAFStock_Log[WeekIndex],101))</f>
        <v/>
      </c>
      <c r="CY46" s="17">
        <f>IF(COUNTIFS(T_TTAFStock_Log[Part Name],$A46,T_TTAFStock_Log[WeekIndex],102)=0,"",SUMIFS(T_TTAFStock_Log[TTAF_Qty],T_TTAFStock_Log[Part Name],$A46,T_TTAFStock_Log[WeekIndex],102))</f>
        <v/>
      </c>
      <c r="CZ46" s="17">
        <f>IF(COUNTIFS(T_TTAFStock_Log[Part Name],$A46,T_TTAFStock_Log[WeekIndex],103)=0,"",SUMIFS(T_TTAFStock_Log[TTAF_Qty],T_TTAFStock_Log[Part Name],$A46,T_TTAFStock_Log[WeekIndex],103))</f>
        <v/>
      </c>
      <c r="DA46" s="17">
        <f>IF(COUNTIFS(T_TTAFStock_Log[Part Name],$A46,T_TTAFStock_Log[WeekIndex],104)=0,"",SUMIFS(T_TTAFStock_Log[TTAF_Qty],T_TTAFStock_Log[Part Name],$A46,T_TTAFStock_Log[WeekIndex],104))</f>
        <v/>
      </c>
    </row>
    <row r="47">
      <c r="A47" s="19" t="inlineStr">
        <is>
          <t>CHEM-1280</t>
        </is>
      </c>
      <c r="B47" s="19">
        <f>IF(COUNTIFS(T_TTAFStock_Log[Part Name],$A47,T_TTAFStock_Log[WeekIndex],1)=0,"",SUMIFS(T_TTAFStock_Log[TTAF_Qty],T_TTAFStock_Log[Part Name],$A47,T_TTAFStock_Log[WeekIndex],1))</f>
        <v/>
      </c>
      <c r="C47" s="19">
        <f>IF(COUNTIFS(T_TTAFStock_Log[Part Name],$A47,T_TTAFStock_Log[WeekIndex],2)=0,"",SUMIFS(T_TTAFStock_Log[TTAF_Qty],T_TTAFStock_Log[Part Name],$A47,T_TTAFStock_Log[WeekIndex],2))</f>
        <v/>
      </c>
      <c r="D47" s="19">
        <f>IF(COUNTIFS(T_TTAFStock_Log[Part Name],$A47,T_TTAFStock_Log[WeekIndex],3)=0,"",SUMIFS(T_TTAFStock_Log[TTAF_Qty],T_TTAFStock_Log[Part Name],$A47,T_TTAFStock_Log[WeekIndex],3))</f>
        <v/>
      </c>
      <c r="E47" s="19">
        <f>IF(COUNTIFS(T_TTAFStock_Log[Part Name],$A47,T_TTAFStock_Log[WeekIndex],4)=0,"",SUMIFS(T_TTAFStock_Log[TTAF_Qty],T_TTAFStock_Log[Part Name],$A47,T_TTAFStock_Log[WeekIndex],4))</f>
        <v/>
      </c>
      <c r="F47" s="19">
        <f>IF(COUNTIFS(T_TTAFStock_Log[Part Name],$A47,T_TTAFStock_Log[WeekIndex],5)=0,"",SUMIFS(T_TTAFStock_Log[TTAF_Qty],T_TTAFStock_Log[Part Name],$A47,T_TTAFStock_Log[WeekIndex],5))</f>
        <v/>
      </c>
      <c r="G47" s="19">
        <f>IF(COUNTIFS(T_TTAFStock_Log[Part Name],$A47,T_TTAFStock_Log[WeekIndex],6)=0,"",SUMIFS(T_TTAFStock_Log[TTAF_Qty],T_TTAFStock_Log[Part Name],$A47,T_TTAFStock_Log[WeekIndex],6))</f>
        <v/>
      </c>
      <c r="H47" s="19">
        <f>IF(COUNTIFS(T_TTAFStock_Log[Part Name],$A47,T_TTAFStock_Log[WeekIndex],7)=0,"",SUMIFS(T_TTAFStock_Log[TTAF_Qty],T_TTAFStock_Log[Part Name],$A47,T_TTAFStock_Log[WeekIndex],7))</f>
        <v/>
      </c>
      <c r="I47" s="19">
        <f>IF(COUNTIFS(T_TTAFStock_Log[Part Name],$A47,T_TTAFStock_Log[WeekIndex],8)=0,"",SUMIFS(T_TTAFStock_Log[TTAF_Qty],T_TTAFStock_Log[Part Name],$A47,T_TTAFStock_Log[WeekIndex],8))</f>
        <v/>
      </c>
      <c r="J47" s="19">
        <f>IF(COUNTIFS(T_TTAFStock_Log[Part Name],$A47,T_TTAFStock_Log[WeekIndex],9)=0,"",SUMIFS(T_TTAFStock_Log[TTAF_Qty],T_TTAFStock_Log[Part Name],$A47,T_TTAFStock_Log[WeekIndex],9))</f>
        <v/>
      </c>
      <c r="K47" s="19">
        <f>IF(COUNTIFS(T_TTAFStock_Log[Part Name],$A47,T_TTAFStock_Log[WeekIndex],10)=0,"",SUMIFS(T_TTAFStock_Log[TTAF_Qty],T_TTAFStock_Log[Part Name],$A47,T_TTAFStock_Log[WeekIndex],10))</f>
        <v/>
      </c>
      <c r="L47" s="19">
        <f>IF(COUNTIFS(T_TTAFStock_Log[Part Name],$A47,T_TTAFStock_Log[WeekIndex],11)=0,"",SUMIFS(T_TTAFStock_Log[TTAF_Qty],T_TTAFStock_Log[Part Name],$A47,T_TTAFStock_Log[WeekIndex],11))</f>
        <v/>
      </c>
      <c r="M47" s="19">
        <f>IF(COUNTIFS(T_TTAFStock_Log[Part Name],$A47,T_TTAFStock_Log[WeekIndex],12)=0,"",SUMIFS(T_TTAFStock_Log[TTAF_Qty],T_TTAFStock_Log[Part Name],$A47,T_TTAFStock_Log[WeekIndex],12))</f>
        <v/>
      </c>
      <c r="N47" s="19">
        <f>IF(COUNTIFS(T_TTAFStock_Log[Part Name],$A47,T_TTAFStock_Log[WeekIndex],13)=0,"",SUMIFS(T_TTAFStock_Log[TTAF_Qty],T_TTAFStock_Log[Part Name],$A47,T_TTAFStock_Log[WeekIndex],13))</f>
        <v/>
      </c>
      <c r="O47" s="19">
        <f>IF(COUNTIFS(T_TTAFStock_Log[Part Name],$A47,T_TTAFStock_Log[WeekIndex],14)=0,"",SUMIFS(T_TTAFStock_Log[TTAF_Qty],T_TTAFStock_Log[Part Name],$A47,T_TTAFStock_Log[WeekIndex],14))</f>
        <v/>
      </c>
      <c r="P47" s="19">
        <f>IF(COUNTIFS(T_TTAFStock_Log[Part Name],$A47,T_TTAFStock_Log[WeekIndex],15)=0,"",SUMIFS(T_TTAFStock_Log[TTAF_Qty],T_TTAFStock_Log[Part Name],$A47,T_TTAFStock_Log[WeekIndex],15))</f>
        <v/>
      </c>
      <c r="Q47" s="19">
        <f>IF(COUNTIFS(T_TTAFStock_Log[Part Name],$A47,T_TTAFStock_Log[WeekIndex],16)=0,"",SUMIFS(T_TTAFStock_Log[TTAF_Qty],T_TTAFStock_Log[Part Name],$A47,T_TTAFStock_Log[WeekIndex],16))</f>
        <v/>
      </c>
      <c r="R47" s="19">
        <f>IF(COUNTIFS(T_TTAFStock_Log[Part Name],$A47,T_TTAFStock_Log[WeekIndex],17)=0,"",SUMIFS(T_TTAFStock_Log[TTAF_Qty],T_TTAFStock_Log[Part Name],$A47,T_TTAFStock_Log[WeekIndex],17))</f>
        <v/>
      </c>
      <c r="S47" s="19">
        <f>IF(COUNTIFS(T_TTAFStock_Log[Part Name],$A47,T_TTAFStock_Log[WeekIndex],18)=0,"",SUMIFS(T_TTAFStock_Log[TTAF_Qty],T_TTAFStock_Log[Part Name],$A47,T_TTAFStock_Log[WeekIndex],18))</f>
        <v/>
      </c>
      <c r="T47" s="19">
        <f>IF(COUNTIFS(T_TTAFStock_Log[Part Name],$A47,T_TTAFStock_Log[WeekIndex],19)=0,"",SUMIFS(T_TTAFStock_Log[TTAF_Qty],T_TTAFStock_Log[Part Name],$A47,T_TTAFStock_Log[WeekIndex],19))</f>
        <v/>
      </c>
      <c r="U47" s="19">
        <f>IF(COUNTIFS(T_TTAFStock_Log[Part Name],$A47,T_TTAFStock_Log[WeekIndex],20)=0,"",SUMIFS(T_TTAFStock_Log[TTAF_Qty],T_TTAFStock_Log[Part Name],$A47,T_TTAFStock_Log[WeekIndex],20))</f>
        <v/>
      </c>
      <c r="V47" s="19">
        <f>IF(COUNTIFS(T_TTAFStock_Log[Part Name],$A47,T_TTAFStock_Log[WeekIndex],21)=0,"",SUMIFS(T_TTAFStock_Log[TTAF_Qty],T_TTAFStock_Log[Part Name],$A47,T_TTAFStock_Log[WeekIndex],21))</f>
        <v/>
      </c>
      <c r="W47" s="19">
        <f>IF(COUNTIFS(T_TTAFStock_Log[Part Name],$A47,T_TTAFStock_Log[WeekIndex],22)=0,"",SUMIFS(T_TTAFStock_Log[TTAF_Qty],T_TTAFStock_Log[Part Name],$A47,T_TTAFStock_Log[WeekIndex],22))</f>
        <v/>
      </c>
      <c r="X47" s="19">
        <f>IF(COUNTIFS(T_TTAFStock_Log[Part Name],$A47,T_TTAFStock_Log[WeekIndex],23)=0,"",SUMIFS(T_TTAFStock_Log[TTAF_Qty],T_TTAFStock_Log[Part Name],$A47,T_TTAFStock_Log[WeekIndex],23))</f>
        <v/>
      </c>
      <c r="Y47" s="19">
        <f>IF(COUNTIFS(T_TTAFStock_Log[Part Name],$A47,T_TTAFStock_Log[WeekIndex],24)=0,"",SUMIFS(T_TTAFStock_Log[TTAF_Qty],T_TTAFStock_Log[Part Name],$A47,T_TTAFStock_Log[WeekIndex],24))</f>
        <v/>
      </c>
      <c r="Z47" s="19">
        <f>IF(COUNTIFS(T_TTAFStock_Log[Part Name],$A47,T_TTAFStock_Log[WeekIndex],25)=0,"",SUMIFS(T_TTAFStock_Log[TTAF_Qty],T_TTAFStock_Log[Part Name],$A47,T_TTAFStock_Log[WeekIndex],25))</f>
        <v/>
      </c>
      <c r="AA47" s="19">
        <f>IF(COUNTIFS(T_TTAFStock_Log[Part Name],$A47,T_TTAFStock_Log[WeekIndex],26)=0,"",SUMIFS(T_TTAFStock_Log[TTAF_Qty],T_TTAFStock_Log[Part Name],$A47,T_TTAFStock_Log[WeekIndex],26))</f>
        <v/>
      </c>
      <c r="AB47" s="19">
        <f>IF(COUNTIFS(T_TTAFStock_Log[Part Name],$A47,T_TTAFStock_Log[WeekIndex],27)=0,"",SUMIFS(T_TTAFStock_Log[TTAF_Qty],T_TTAFStock_Log[Part Name],$A47,T_TTAFStock_Log[WeekIndex],27))</f>
        <v/>
      </c>
      <c r="AC47" s="19">
        <f>IF(COUNTIFS(T_TTAFStock_Log[Part Name],$A47,T_TTAFStock_Log[WeekIndex],28)=0,"",SUMIFS(T_TTAFStock_Log[TTAF_Qty],T_TTAFStock_Log[Part Name],$A47,T_TTAFStock_Log[WeekIndex],28))</f>
        <v/>
      </c>
      <c r="AD47" s="19">
        <f>IF(COUNTIFS(T_TTAFStock_Log[Part Name],$A47,T_TTAFStock_Log[WeekIndex],29)=0,"",SUMIFS(T_TTAFStock_Log[TTAF_Qty],T_TTAFStock_Log[Part Name],$A47,T_TTAFStock_Log[WeekIndex],29))</f>
        <v/>
      </c>
      <c r="AE47" s="19">
        <f>IF(COUNTIFS(T_TTAFStock_Log[Part Name],$A47,T_TTAFStock_Log[WeekIndex],30)=0,"",SUMIFS(T_TTAFStock_Log[TTAF_Qty],T_TTAFStock_Log[Part Name],$A47,T_TTAFStock_Log[WeekIndex],30))</f>
        <v/>
      </c>
      <c r="AF47" s="19">
        <f>IF(COUNTIFS(T_TTAFStock_Log[Part Name],$A47,T_TTAFStock_Log[WeekIndex],31)=0,"",SUMIFS(T_TTAFStock_Log[TTAF_Qty],T_TTAFStock_Log[Part Name],$A47,T_TTAFStock_Log[WeekIndex],31))</f>
        <v/>
      </c>
      <c r="AG47" s="19">
        <f>IF(COUNTIFS(T_TTAFStock_Log[Part Name],$A47,T_TTAFStock_Log[WeekIndex],32)=0,"",SUMIFS(T_TTAFStock_Log[TTAF_Qty],T_TTAFStock_Log[Part Name],$A47,T_TTAFStock_Log[WeekIndex],32))</f>
        <v/>
      </c>
      <c r="AH47" s="19">
        <f>IF(COUNTIFS(T_TTAFStock_Log[Part Name],$A47,T_TTAFStock_Log[WeekIndex],33)=0,"",SUMIFS(T_TTAFStock_Log[TTAF_Qty],T_TTAFStock_Log[Part Name],$A47,T_TTAFStock_Log[WeekIndex],33))</f>
        <v/>
      </c>
      <c r="AI47" s="19">
        <f>IF(COUNTIFS(T_TTAFStock_Log[Part Name],$A47,T_TTAFStock_Log[WeekIndex],34)=0,"",SUMIFS(T_TTAFStock_Log[TTAF_Qty],T_TTAFStock_Log[Part Name],$A47,T_TTAFStock_Log[WeekIndex],34))</f>
        <v/>
      </c>
      <c r="AJ47" s="19">
        <f>IF(COUNTIFS(T_TTAFStock_Log[Part Name],$A47,T_TTAFStock_Log[WeekIndex],35)=0,"",SUMIFS(T_TTAFStock_Log[TTAF_Qty],T_TTAFStock_Log[Part Name],$A47,T_TTAFStock_Log[WeekIndex],35))</f>
        <v/>
      </c>
      <c r="AK47" s="19">
        <f>IF(COUNTIFS(T_TTAFStock_Log[Part Name],$A47,T_TTAFStock_Log[WeekIndex],36)=0,"",SUMIFS(T_TTAFStock_Log[TTAF_Qty],T_TTAFStock_Log[Part Name],$A47,T_TTAFStock_Log[WeekIndex],36))</f>
        <v/>
      </c>
      <c r="AL47" s="19">
        <f>IF(COUNTIFS(T_TTAFStock_Log[Part Name],$A47,T_TTAFStock_Log[WeekIndex],37)=0,"",SUMIFS(T_TTAFStock_Log[TTAF_Qty],T_TTAFStock_Log[Part Name],$A47,T_TTAFStock_Log[WeekIndex],37))</f>
        <v/>
      </c>
      <c r="AM47" s="19">
        <f>IF(COUNTIFS(T_TTAFStock_Log[Part Name],$A47,T_TTAFStock_Log[WeekIndex],38)=0,"",SUMIFS(T_TTAFStock_Log[TTAF_Qty],T_TTAFStock_Log[Part Name],$A47,T_TTAFStock_Log[WeekIndex],38))</f>
        <v/>
      </c>
      <c r="AN47" s="19">
        <f>IF(COUNTIFS(T_TTAFStock_Log[Part Name],$A47,T_TTAFStock_Log[WeekIndex],39)=0,"",SUMIFS(T_TTAFStock_Log[TTAF_Qty],T_TTAFStock_Log[Part Name],$A47,T_TTAFStock_Log[WeekIndex],39))</f>
        <v/>
      </c>
      <c r="AO47" s="19">
        <f>IF(COUNTIFS(T_TTAFStock_Log[Part Name],$A47,T_TTAFStock_Log[WeekIndex],40)=0,"",SUMIFS(T_TTAFStock_Log[TTAF_Qty],T_TTAFStock_Log[Part Name],$A47,T_TTAFStock_Log[WeekIndex],40))</f>
        <v/>
      </c>
      <c r="AP47" s="19">
        <f>IF(COUNTIFS(T_TTAFStock_Log[Part Name],$A47,T_TTAFStock_Log[WeekIndex],41)=0,"",SUMIFS(T_TTAFStock_Log[TTAF_Qty],T_TTAFStock_Log[Part Name],$A47,T_TTAFStock_Log[WeekIndex],41))</f>
        <v/>
      </c>
      <c r="AQ47" s="19">
        <f>IF(COUNTIFS(T_TTAFStock_Log[Part Name],$A47,T_TTAFStock_Log[WeekIndex],42)=0,"",SUMIFS(T_TTAFStock_Log[TTAF_Qty],T_TTAFStock_Log[Part Name],$A47,T_TTAFStock_Log[WeekIndex],42))</f>
        <v/>
      </c>
      <c r="AR47" s="19">
        <f>IF(COUNTIFS(T_TTAFStock_Log[Part Name],$A47,T_TTAFStock_Log[WeekIndex],43)=0,"",SUMIFS(T_TTAFStock_Log[TTAF_Qty],T_TTAFStock_Log[Part Name],$A47,T_TTAFStock_Log[WeekIndex],43))</f>
        <v/>
      </c>
      <c r="AS47" s="19">
        <f>IF(COUNTIFS(T_TTAFStock_Log[Part Name],$A47,T_TTAFStock_Log[WeekIndex],44)=0,"",SUMIFS(T_TTAFStock_Log[TTAF_Qty],T_TTAFStock_Log[Part Name],$A47,T_TTAFStock_Log[WeekIndex],44))</f>
        <v/>
      </c>
      <c r="AT47" s="19">
        <f>IF(COUNTIFS(T_TTAFStock_Log[Part Name],$A47,T_TTAFStock_Log[WeekIndex],45)=0,"",SUMIFS(T_TTAFStock_Log[TTAF_Qty],T_TTAFStock_Log[Part Name],$A47,T_TTAFStock_Log[WeekIndex],45))</f>
        <v/>
      </c>
      <c r="AU47" s="19">
        <f>IF(COUNTIFS(T_TTAFStock_Log[Part Name],$A47,T_TTAFStock_Log[WeekIndex],46)=0,"",SUMIFS(T_TTAFStock_Log[TTAF_Qty],T_TTAFStock_Log[Part Name],$A47,T_TTAFStock_Log[WeekIndex],46))</f>
        <v/>
      </c>
      <c r="AV47" s="19">
        <f>IF(COUNTIFS(T_TTAFStock_Log[Part Name],$A47,T_TTAFStock_Log[WeekIndex],47)=0,"",SUMIFS(T_TTAFStock_Log[TTAF_Qty],T_TTAFStock_Log[Part Name],$A47,T_TTAFStock_Log[WeekIndex],47))</f>
        <v/>
      </c>
      <c r="AW47" s="19">
        <f>IF(COUNTIFS(T_TTAFStock_Log[Part Name],$A47,T_TTAFStock_Log[WeekIndex],48)=0,"",SUMIFS(T_TTAFStock_Log[TTAF_Qty],T_TTAFStock_Log[Part Name],$A47,T_TTAFStock_Log[WeekIndex],48))</f>
        <v/>
      </c>
      <c r="AX47" s="19">
        <f>IF(COUNTIFS(T_TTAFStock_Log[Part Name],$A47,T_TTAFStock_Log[WeekIndex],49)=0,"",SUMIFS(T_TTAFStock_Log[TTAF_Qty],T_TTAFStock_Log[Part Name],$A47,T_TTAFStock_Log[WeekIndex],49))</f>
        <v/>
      </c>
      <c r="AY47" s="19">
        <f>IF(COUNTIFS(T_TTAFStock_Log[Part Name],$A47,T_TTAFStock_Log[WeekIndex],50)=0,"",SUMIFS(T_TTAFStock_Log[TTAF_Qty],T_TTAFStock_Log[Part Name],$A47,T_TTAFStock_Log[WeekIndex],50))</f>
        <v/>
      </c>
      <c r="AZ47" s="19">
        <f>IF(COUNTIFS(T_TTAFStock_Log[Part Name],$A47,T_TTAFStock_Log[WeekIndex],51)=0,"",SUMIFS(T_TTAFStock_Log[TTAF_Qty],T_TTAFStock_Log[Part Name],$A47,T_TTAFStock_Log[WeekIndex],51))</f>
        <v/>
      </c>
      <c r="BA47" s="19">
        <f>IF(COUNTIFS(T_TTAFStock_Log[Part Name],$A47,T_TTAFStock_Log[WeekIndex],52)=0,"",SUMIFS(T_TTAFStock_Log[TTAF_Qty],T_TTAFStock_Log[Part Name],$A47,T_TTAFStock_Log[WeekIndex],52))</f>
        <v/>
      </c>
      <c r="BB47" s="19">
        <f>IF(COUNTIFS(T_TTAFStock_Log[Part Name],$A47,T_TTAFStock_Log[WeekIndex],53)=0,"",SUMIFS(T_TTAFStock_Log[TTAF_Qty],T_TTAFStock_Log[Part Name],$A47,T_TTAFStock_Log[WeekIndex],53))</f>
        <v/>
      </c>
      <c r="BC47" s="19">
        <f>IF(COUNTIFS(T_TTAFStock_Log[Part Name],$A47,T_TTAFStock_Log[WeekIndex],54)=0,"",SUMIFS(T_TTAFStock_Log[TTAF_Qty],T_TTAFStock_Log[Part Name],$A47,T_TTAFStock_Log[WeekIndex],54))</f>
        <v/>
      </c>
      <c r="BD47" s="19">
        <f>IF(COUNTIFS(T_TTAFStock_Log[Part Name],$A47,T_TTAFStock_Log[WeekIndex],55)=0,"",SUMIFS(T_TTAFStock_Log[TTAF_Qty],T_TTAFStock_Log[Part Name],$A47,T_TTAFStock_Log[WeekIndex],55))</f>
        <v/>
      </c>
      <c r="BE47" s="19">
        <f>IF(COUNTIFS(T_TTAFStock_Log[Part Name],$A47,T_TTAFStock_Log[WeekIndex],56)=0,"",SUMIFS(T_TTAFStock_Log[TTAF_Qty],T_TTAFStock_Log[Part Name],$A47,T_TTAFStock_Log[WeekIndex],56))</f>
        <v/>
      </c>
      <c r="BF47" s="19">
        <f>IF(COUNTIFS(T_TTAFStock_Log[Part Name],$A47,T_TTAFStock_Log[WeekIndex],57)=0,"",SUMIFS(T_TTAFStock_Log[TTAF_Qty],T_TTAFStock_Log[Part Name],$A47,T_TTAFStock_Log[WeekIndex],57))</f>
        <v/>
      </c>
      <c r="BG47" s="19">
        <f>IF(COUNTIFS(T_TTAFStock_Log[Part Name],$A47,T_TTAFStock_Log[WeekIndex],58)=0,"",SUMIFS(T_TTAFStock_Log[TTAF_Qty],T_TTAFStock_Log[Part Name],$A47,T_TTAFStock_Log[WeekIndex],58))</f>
        <v/>
      </c>
      <c r="BH47" s="19">
        <f>IF(COUNTIFS(T_TTAFStock_Log[Part Name],$A47,T_TTAFStock_Log[WeekIndex],59)=0,"",SUMIFS(T_TTAFStock_Log[TTAF_Qty],T_TTAFStock_Log[Part Name],$A47,T_TTAFStock_Log[WeekIndex],59))</f>
        <v/>
      </c>
      <c r="BI47" s="19">
        <f>IF(COUNTIFS(T_TTAFStock_Log[Part Name],$A47,T_TTAFStock_Log[WeekIndex],60)=0,"",SUMIFS(T_TTAFStock_Log[TTAF_Qty],T_TTAFStock_Log[Part Name],$A47,T_TTAFStock_Log[WeekIndex],60))</f>
        <v/>
      </c>
      <c r="BJ47" s="19">
        <f>IF(COUNTIFS(T_TTAFStock_Log[Part Name],$A47,T_TTAFStock_Log[WeekIndex],61)=0,"",SUMIFS(T_TTAFStock_Log[TTAF_Qty],T_TTAFStock_Log[Part Name],$A47,T_TTAFStock_Log[WeekIndex],61))</f>
        <v/>
      </c>
      <c r="BK47" s="19">
        <f>IF(COUNTIFS(T_TTAFStock_Log[Part Name],$A47,T_TTAFStock_Log[WeekIndex],62)=0,"",SUMIFS(T_TTAFStock_Log[TTAF_Qty],T_TTAFStock_Log[Part Name],$A47,T_TTAFStock_Log[WeekIndex],62))</f>
        <v/>
      </c>
      <c r="BL47" s="19">
        <f>IF(COUNTIFS(T_TTAFStock_Log[Part Name],$A47,T_TTAFStock_Log[WeekIndex],63)=0,"",SUMIFS(T_TTAFStock_Log[TTAF_Qty],T_TTAFStock_Log[Part Name],$A47,T_TTAFStock_Log[WeekIndex],63))</f>
        <v/>
      </c>
      <c r="BM47" s="19">
        <f>IF(COUNTIFS(T_TTAFStock_Log[Part Name],$A47,T_TTAFStock_Log[WeekIndex],64)=0,"",SUMIFS(T_TTAFStock_Log[TTAF_Qty],T_TTAFStock_Log[Part Name],$A47,T_TTAFStock_Log[WeekIndex],64))</f>
        <v/>
      </c>
      <c r="BN47" s="19">
        <f>IF(COUNTIFS(T_TTAFStock_Log[Part Name],$A47,T_TTAFStock_Log[WeekIndex],65)=0,"",SUMIFS(T_TTAFStock_Log[TTAF_Qty],T_TTAFStock_Log[Part Name],$A47,T_TTAFStock_Log[WeekIndex],65))</f>
        <v/>
      </c>
      <c r="BO47" s="19">
        <f>IF(COUNTIFS(T_TTAFStock_Log[Part Name],$A47,T_TTAFStock_Log[WeekIndex],66)=0,"",SUMIFS(T_TTAFStock_Log[TTAF_Qty],T_TTAFStock_Log[Part Name],$A47,T_TTAFStock_Log[WeekIndex],66))</f>
        <v/>
      </c>
      <c r="BP47" s="19">
        <f>IF(COUNTIFS(T_TTAFStock_Log[Part Name],$A47,T_TTAFStock_Log[WeekIndex],67)=0,"",SUMIFS(T_TTAFStock_Log[TTAF_Qty],T_TTAFStock_Log[Part Name],$A47,T_TTAFStock_Log[WeekIndex],67))</f>
        <v/>
      </c>
      <c r="BQ47" s="19">
        <f>IF(COUNTIFS(T_TTAFStock_Log[Part Name],$A47,T_TTAFStock_Log[WeekIndex],68)=0,"",SUMIFS(T_TTAFStock_Log[TTAF_Qty],T_TTAFStock_Log[Part Name],$A47,T_TTAFStock_Log[WeekIndex],68))</f>
        <v/>
      </c>
      <c r="BR47" s="19">
        <f>IF(COUNTIFS(T_TTAFStock_Log[Part Name],$A47,T_TTAFStock_Log[WeekIndex],69)=0,"",SUMIFS(T_TTAFStock_Log[TTAF_Qty],T_TTAFStock_Log[Part Name],$A47,T_TTAFStock_Log[WeekIndex],69))</f>
        <v/>
      </c>
      <c r="BS47" s="19">
        <f>IF(COUNTIFS(T_TTAFStock_Log[Part Name],$A47,T_TTAFStock_Log[WeekIndex],70)=0,"",SUMIFS(T_TTAFStock_Log[TTAF_Qty],T_TTAFStock_Log[Part Name],$A47,T_TTAFStock_Log[WeekIndex],70))</f>
        <v/>
      </c>
      <c r="BT47" s="19">
        <f>IF(COUNTIFS(T_TTAFStock_Log[Part Name],$A47,T_TTAFStock_Log[WeekIndex],71)=0,"",SUMIFS(T_TTAFStock_Log[TTAF_Qty],T_TTAFStock_Log[Part Name],$A47,T_TTAFStock_Log[WeekIndex],71))</f>
        <v/>
      </c>
      <c r="BU47" s="19">
        <f>IF(COUNTIFS(T_TTAFStock_Log[Part Name],$A47,T_TTAFStock_Log[WeekIndex],72)=0,"",SUMIFS(T_TTAFStock_Log[TTAF_Qty],T_TTAFStock_Log[Part Name],$A47,T_TTAFStock_Log[WeekIndex],72))</f>
        <v/>
      </c>
      <c r="BV47" s="19">
        <f>IF(COUNTIFS(T_TTAFStock_Log[Part Name],$A47,T_TTAFStock_Log[WeekIndex],73)=0,"",SUMIFS(T_TTAFStock_Log[TTAF_Qty],T_TTAFStock_Log[Part Name],$A47,T_TTAFStock_Log[WeekIndex],73))</f>
        <v/>
      </c>
      <c r="BW47" s="19">
        <f>IF(COUNTIFS(T_TTAFStock_Log[Part Name],$A47,T_TTAFStock_Log[WeekIndex],74)=0,"",SUMIFS(T_TTAFStock_Log[TTAF_Qty],T_TTAFStock_Log[Part Name],$A47,T_TTAFStock_Log[WeekIndex],74))</f>
        <v/>
      </c>
      <c r="BX47" s="19">
        <f>IF(COUNTIFS(T_TTAFStock_Log[Part Name],$A47,T_TTAFStock_Log[WeekIndex],75)=0,"",SUMIFS(T_TTAFStock_Log[TTAF_Qty],T_TTAFStock_Log[Part Name],$A47,T_TTAFStock_Log[WeekIndex],75))</f>
        <v/>
      </c>
      <c r="BY47" s="19">
        <f>IF(COUNTIFS(T_TTAFStock_Log[Part Name],$A47,T_TTAFStock_Log[WeekIndex],76)=0,"",SUMIFS(T_TTAFStock_Log[TTAF_Qty],T_TTAFStock_Log[Part Name],$A47,T_TTAFStock_Log[WeekIndex],76))</f>
        <v/>
      </c>
      <c r="BZ47" s="19">
        <f>IF(COUNTIFS(T_TTAFStock_Log[Part Name],$A47,T_TTAFStock_Log[WeekIndex],77)=0,"",SUMIFS(T_TTAFStock_Log[TTAF_Qty],T_TTAFStock_Log[Part Name],$A47,T_TTAFStock_Log[WeekIndex],77))</f>
        <v/>
      </c>
      <c r="CA47" s="19">
        <f>IF(COUNTIFS(T_TTAFStock_Log[Part Name],$A47,T_TTAFStock_Log[WeekIndex],78)=0,"",SUMIFS(T_TTAFStock_Log[TTAF_Qty],T_TTAFStock_Log[Part Name],$A47,T_TTAFStock_Log[WeekIndex],78))</f>
        <v/>
      </c>
      <c r="CB47" s="19">
        <f>IF(COUNTIFS(T_TTAFStock_Log[Part Name],$A47,T_TTAFStock_Log[WeekIndex],79)=0,"",SUMIFS(T_TTAFStock_Log[TTAF_Qty],T_TTAFStock_Log[Part Name],$A47,T_TTAFStock_Log[WeekIndex],79))</f>
        <v/>
      </c>
      <c r="CC47" s="19">
        <f>IF(COUNTIFS(T_TTAFStock_Log[Part Name],$A47,T_TTAFStock_Log[WeekIndex],80)=0,"",SUMIFS(T_TTAFStock_Log[TTAF_Qty],T_TTAFStock_Log[Part Name],$A47,T_TTAFStock_Log[WeekIndex],80))</f>
        <v/>
      </c>
      <c r="CD47" s="19">
        <f>IF(COUNTIFS(T_TTAFStock_Log[Part Name],$A47,T_TTAFStock_Log[WeekIndex],81)=0,"",SUMIFS(T_TTAFStock_Log[TTAF_Qty],T_TTAFStock_Log[Part Name],$A47,T_TTAFStock_Log[WeekIndex],81))</f>
        <v/>
      </c>
      <c r="CE47" s="19">
        <f>IF(COUNTIFS(T_TTAFStock_Log[Part Name],$A47,T_TTAFStock_Log[WeekIndex],82)=0,"",SUMIFS(T_TTAFStock_Log[TTAF_Qty],T_TTAFStock_Log[Part Name],$A47,T_TTAFStock_Log[WeekIndex],82))</f>
        <v/>
      </c>
      <c r="CF47" s="19">
        <f>IF(COUNTIFS(T_TTAFStock_Log[Part Name],$A47,T_TTAFStock_Log[WeekIndex],83)=0,"",SUMIFS(T_TTAFStock_Log[TTAF_Qty],T_TTAFStock_Log[Part Name],$A47,T_TTAFStock_Log[WeekIndex],83))</f>
        <v/>
      </c>
      <c r="CG47" s="19">
        <f>IF(COUNTIFS(T_TTAFStock_Log[Part Name],$A47,T_TTAFStock_Log[WeekIndex],84)=0,"",SUMIFS(T_TTAFStock_Log[TTAF_Qty],T_TTAFStock_Log[Part Name],$A47,T_TTAFStock_Log[WeekIndex],84))</f>
        <v/>
      </c>
      <c r="CH47" s="19">
        <f>IF(COUNTIFS(T_TTAFStock_Log[Part Name],$A47,T_TTAFStock_Log[WeekIndex],85)=0,"",SUMIFS(T_TTAFStock_Log[TTAF_Qty],T_TTAFStock_Log[Part Name],$A47,T_TTAFStock_Log[WeekIndex],85))</f>
        <v/>
      </c>
      <c r="CI47" s="19">
        <f>IF(COUNTIFS(T_TTAFStock_Log[Part Name],$A47,T_TTAFStock_Log[WeekIndex],86)=0,"",SUMIFS(T_TTAFStock_Log[TTAF_Qty],T_TTAFStock_Log[Part Name],$A47,T_TTAFStock_Log[WeekIndex],86))</f>
        <v/>
      </c>
      <c r="CJ47" s="19">
        <f>IF(COUNTIFS(T_TTAFStock_Log[Part Name],$A47,T_TTAFStock_Log[WeekIndex],87)=0,"",SUMIFS(T_TTAFStock_Log[TTAF_Qty],T_TTAFStock_Log[Part Name],$A47,T_TTAFStock_Log[WeekIndex],87))</f>
        <v/>
      </c>
      <c r="CK47" s="19">
        <f>IF(COUNTIFS(T_TTAFStock_Log[Part Name],$A47,T_TTAFStock_Log[WeekIndex],88)=0,"",SUMIFS(T_TTAFStock_Log[TTAF_Qty],T_TTAFStock_Log[Part Name],$A47,T_TTAFStock_Log[WeekIndex],88))</f>
        <v/>
      </c>
      <c r="CL47" s="19">
        <f>IF(COUNTIFS(T_TTAFStock_Log[Part Name],$A47,T_TTAFStock_Log[WeekIndex],89)=0,"",SUMIFS(T_TTAFStock_Log[TTAF_Qty],T_TTAFStock_Log[Part Name],$A47,T_TTAFStock_Log[WeekIndex],89))</f>
        <v/>
      </c>
      <c r="CM47" s="19">
        <f>IF(COUNTIFS(T_TTAFStock_Log[Part Name],$A47,T_TTAFStock_Log[WeekIndex],90)=0,"",SUMIFS(T_TTAFStock_Log[TTAF_Qty],T_TTAFStock_Log[Part Name],$A47,T_TTAFStock_Log[WeekIndex],90))</f>
        <v/>
      </c>
      <c r="CN47" s="19">
        <f>IF(COUNTIFS(T_TTAFStock_Log[Part Name],$A47,T_TTAFStock_Log[WeekIndex],91)=0,"",SUMIFS(T_TTAFStock_Log[TTAF_Qty],T_TTAFStock_Log[Part Name],$A47,T_TTAFStock_Log[WeekIndex],91))</f>
        <v/>
      </c>
      <c r="CO47" s="19">
        <f>IF(COUNTIFS(T_TTAFStock_Log[Part Name],$A47,T_TTAFStock_Log[WeekIndex],92)=0,"",SUMIFS(T_TTAFStock_Log[TTAF_Qty],T_TTAFStock_Log[Part Name],$A47,T_TTAFStock_Log[WeekIndex],92))</f>
        <v/>
      </c>
      <c r="CP47" s="19">
        <f>IF(COUNTIFS(T_TTAFStock_Log[Part Name],$A47,T_TTAFStock_Log[WeekIndex],93)=0,"",SUMIFS(T_TTAFStock_Log[TTAF_Qty],T_TTAFStock_Log[Part Name],$A47,T_TTAFStock_Log[WeekIndex],93))</f>
        <v/>
      </c>
      <c r="CQ47" s="19">
        <f>IF(COUNTIFS(T_TTAFStock_Log[Part Name],$A47,T_TTAFStock_Log[WeekIndex],94)=0,"",SUMIFS(T_TTAFStock_Log[TTAF_Qty],T_TTAFStock_Log[Part Name],$A47,T_TTAFStock_Log[WeekIndex],94))</f>
        <v/>
      </c>
      <c r="CR47" s="19">
        <f>IF(COUNTIFS(T_TTAFStock_Log[Part Name],$A47,T_TTAFStock_Log[WeekIndex],95)=0,"",SUMIFS(T_TTAFStock_Log[TTAF_Qty],T_TTAFStock_Log[Part Name],$A47,T_TTAFStock_Log[WeekIndex],95))</f>
        <v/>
      </c>
      <c r="CS47" s="19">
        <f>IF(COUNTIFS(T_TTAFStock_Log[Part Name],$A47,T_TTAFStock_Log[WeekIndex],96)=0,"",SUMIFS(T_TTAFStock_Log[TTAF_Qty],T_TTAFStock_Log[Part Name],$A47,T_TTAFStock_Log[WeekIndex],96))</f>
        <v/>
      </c>
      <c r="CT47" s="19">
        <f>IF(COUNTIFS(T_TTAFStock_Log[Part Name],$A47,T_TTAFStock_Log[WeekIndex],97)=0,"",SUMIFS(T_TTAFStock_Log[TTAF_Qty],T_TTAFStock_Log[Part Name],$A47,T_TTAFStock_Log[WeekIndex],97))</f>
        <v/>
      </c>
      <c r="CU47" s="19">
        <f>IF(COUNTIFS(T_TTAFStock_Log[Part Name],$A47,T_TTAFStock_Log[WeekIndex],98)=0,"",SUMIFS(T_TTAFStock_Log[TTAF_Qty],T_TTAFStock_Log[Part Name],$A47,T_TTAFStock_Log[WeekIndex],98))</f>
        <v/>
      </c>
      <c r="CV47" s="19">
        <f>IF(COUNTIFS(T_TTAFStock_Log[Part Name],$A47,T_TTAFStock_Log[WeekIndex],99)=0,"",SUMIFS(T_TTAFStock_Log[TTAF_Qty],T_TTAFStock_Log[Part Name],$A47,T_TTAFStock_Log[WeekIndex],99))</f>
        <v/>
      </c>
      <c r="CW47" s="19">
        <f>IF(COUNTIFS(T_TTAFStock_Log[Part Name],$A47,T_TTAFStock_Log[WeekIndex],100)=0,"",SUMIFS(T_TTAFStock_Log[TTAF_Qty],T_TTAFStock_Log[Part Name],$A47,T_TTAFStock_Log[WeekIndex],100))</f>
        <v/>
      </c>
      <c r="CX47" s="19">
        <f>IF(COUNTIFS(T_TTAFStock_Log[Part Name],$A47,T_TTAFStock_Log[WeekIndex],101)=0,"",SUMIFS(T_TTAFStock_Log[TTAF_Qty],T_TTAFStock_Log[Part Name],$A47,T_TTAFStock_Log[WeekIndex],101))</f>
        <v/>
      </c>
      <c r="CY47" s="19">
        <f>IF(COUNTIFS(T_TTAFStock_Log[Part Name],$A47,T_TTAFStock_Log[WeekIndex],102)=0,"",SUMIFS(T_TTAFStock_Log[TTAF_Qty],T_TTAFStock_Log[Part Name],$A47,T_TTAFStock_Log[WeekIndex],102))</f>
        <v/>
      </c>
      <c r="CZ47" s="19">
        <f>IF(COUNTIFS(T_TTAFStock_Log[Part Name],$A47,T_TTAFStock_Log[WeekIndex],103)=0,"",SUMIFS(T_TTAFStock_Log[TTAF_Qty],T_TTAFStock_Log[Part Name],$A47,T_TTAFStock_Log[WeekIndex],103))</f>
        <v/>
      </c>
      <c r="DA47" s="19">
        <f>IF(COUNTIFS(T_TTAFStock_Log[Part Name],$A47,T_TTAFStock_Log[WeekIndex],104)=0,"",SUMIFS(T_TTAFStock_Log[TTAF_Qty],T_TTAFStock_Log[Part Name],$A47,T_TTAFStock_Log[WeekIndex],104))</f>
        <v/>
      </c>
    </row>
    <row r="48">
      <c r="A48" s="17" t="inlineStr">
        <is>
          <t>CHEM-1570</t>
        </is>
      </c>
      <c r="B48" s="17">
        <f>IF(COUNTIFS(T_TTAFStock_Log[Part Name],$A48,T_TTAFStock_Log[WeekIndex],1)=0,"",SUMIFS(T_TTAFStock_Log[TTAF_Qty],T_TTAFStock_Log[Part Name],$A48,T_TTAFStock_Log[WeekIndex],1))</f>
        <v/>
      </c>
      <c r="C48" s="17">
        <f>IF(COUNTIFS(T_TTAFStock_Log[Part Name],$A48,T_TTAFStock_Log[WeekIndex],2)=0,"",SUMIFS(T_TTAFStock_Log[TTAF_Qty],T_TTAFStock_Log[Part Name],$A48,T_TTAFStock_Log[WeekIndex],2))</f>
        <v/>
      </c>
      <c r="D48" s="17">
        <f>IF(COUNTIFS(T_TTAFStock_Log[Part Name],$A48,T_TTAFStock_Log[WeekIndex],3)=0,"",SUMIFS(T_TTAFStock_Log[TTAF_Qty],T_TTAFStock_Log[Part Name],$A48,T_TTAFStock_Log[WeekIndex],3))</f>
        <v/>
      </c>
      <c r="E48" s="17">
        <f>IF(COUNTIFS(T_TTAFStock_Log[Part Name],$A48,T_TTAFStock_Log[WeekIndex],4)=0,"",SUMIFS(T_TTAFStock_Log[TTAF_Qty],T_TTAFStock_Log[Part Name],$A48,T_TTAFStock_Log[WeekIndex],4))</f>
        <v/>
      </c>
      <c r="F48" s="17">
        <f>IF(COUNTIFS(T_TTAFStock_Log[Part Name],$A48,T_TTAFStock_Log[WeekIndex],5)=0,"",SUMIFS(T_TTAFStock_Log[TTAF_Qty],T_TTAFStock_Log[Part Name],$A48,T_TTAFStock_Log[WeekIndex],5))</f>
        <v/>
      </c>
      <c r="G48" s="17">
        <f>IF(COUNTIFS(T_TTAFStock_Log[Part Name],$A48,T_TTAFStock_Log[WeekIndex],6)=0,"",SUMIFS(T_TTAFStock_Log[TTAF_Qty],T_TTAFStock_Log[Part Name],$A48,T_TTAFStock_Log[WeekIndex],6))</f>
        <v/>
      </c>
      <c r="H48" s="17">
        <f>IF(COUNTIFS(T_TTAFStock_Log[Part Name],$A48,T_TTAFStock_Log[WeekIndex],7)=0,"",SUMIFS(T_TTAFStock_Log[TTAF_Qty],T_TTAFStock_Log[Part Name],$A48,T_TTAFStock_Log[WeekIndex],7))</f>
        <v/>
      </c>
      <c r="I48" s="17">
        <f>IF(COUNTIFS(T_TTAFStock_Log[Part Name],$A48,T_TTAFStock_Log[WeekIndex],8)=0,"",SUMIFS(T_TTAFStock_Log[TTAF_Qty],T_TTAFStock_Log[Part Name],$A48,T_TTAFStock_Log[WeekIndex],8))</f>
        <v/>
      </c>
      <c r="J48" s="17">
        <f>IF(COUNTIFS(T_TTAFStock_Log[Part Name],$A48,T_TTAFStock_Log[WeekIndex],9)=0,"",SUMIFS(T_TTAFStock_Log[TTAF_Qty],T_TTAFStock_Log[Part Name],$A48,T_TTAFStock_Log[WeekIndex],9))</f>
        <v/>
      </c>
      <c r="K48" s="17">
        <f>IF(COUNTIFS(T_TTAFStock_Log[Part Name],$A48,T_TTAFStock_Log[WeekIndex],10)=0,"",SUMIFS(T_TTAFStock_Log[TTAF_Qty],T_TTAFStock_Log[Part Name],$A48,T_TTAFStock_Log[WeekIndex],10))</f>
        <v/>
      </c>
      <c r="L48" s="17">
        <f>IF(COUNTIFS(T_TTAFStock_Log[Part Name],$A48,T_TTAFStock_Log[WeekIndex],11)=0,"",SUMIFS(T_TTAFStock_Log[TTAF_Qty],T_TTAFStock_Log[Part Name],$A48,T_TTAFStock_Log[WeekIndex],11))</f>
        <v/>
      </c>
      <c r="M48" s="17">
        <f>IF(COUNTIFS(T_TTAFStock_Log[Part Name],$A48,T_TTAFStock_Log[WeekIndex],12)=0,"",SUMIFS(T_TTAFStock_Log[TTAF_Qty],T_TTAFStock_Log[Part Name],$A48,T_TTAFStock_Log[WeekIndex],12))</f>
        <v/>
      </c>
      <c r="N48" s="17">
        <f>IF(COUNTIFS(T_TTAFStock_Log[Part Name],$A48,T_TTAFStock_Log[WeekIndex],13)=0,"",SUMIFS(T_TTAFStock_Log[TTAF_Qty],T_TTAFStock_Log[Part Name],$A48,T_TTAFStock_Log[WeekIndex],13))</f>
        <v/>
      </c>
      <c r="O48" s="17">
        <f>IF(COUNTIFS(T_TTAFStock_Log[Part Name],$A48,T_TTAFStock_Log[WeekIndex],14)=0,"",SUMIFS(T_TTAFStock_Log[TTAF_Qty],T_TTAFStock_Log[Part Name],$A48,T_TTAFStock_Log[WeekIndex],14))</f>
        <v/>
      </c>
      <c r="P48" s="17">
        <f>IF(COUNTIFS(T_TTAFStock_Log[Part Name],$A48,T_TTAFStock_Log[WeekIndex],15)=0,"",SUMIFS(T_TTAFStock_Log[TTAF_Qty],T_TTAFStock_Log[Part Name],$A48,T_TTAFStock_Log[WeekIndex],15))</f>
        <v/>
      </c>
      <c r="Q48" s="17">
        <f>IF(COUNTIFS(T_TTAFStock_Log[Part Name],$A48,T_TTAFStock_Log[WeekIndex],16)=0,"",SUMIFS(T_TTAFStock_Log[TTAF_Qty],T_TTAFStock_Log[Part Name],$A48,T_TTAFStock_Log[WeekIndex],16))</f>
        <v/>
      </c>
      <c r="R48" s="17">
        <f>IF(COUNTIFS(T_TTAFStock_Log[Part Name],$A48,T_TTAFStock_Log[WeekIndex],17)=0,"",SUMIFS(T_TTAFStock_Log[TTAF_Qty],T_TTAFStock_Log[Part Name],$A48,T_TTAFStock_Log[WeekIndex],17))</f>
        <v/>
      </c>
      <c r="S48" s="17">
        <f>IF(COUNTIFS(T_TTAFStock_Log[Part Name],$A48,T_TTAFStock_Log[WeekIndex],18)=0,"",SUMIFS(T_TTAFStock_Log[TTAF_Qty],T_TTAFStock_Log[Part Name],$A48,T_TTAFStock_Log[WeekIndex],18))</f>
        <v/>
      </c>
      <c r="T48" s="17">
        <f>IF(COUNTIFS(T_TTAFStock_Log[Part Name],$A48,T_TTAFStock_Log[WeekIndex],19)=0,"",SUMIFS(T_TTAFStock_Log[TTAF_Qty],T_TTAFStock_Log[Part Name],$A48,T_TTAFStock_Log[WeekIndex],19))</f>
        <v/>
      </c>
      <c r="U48" s="17">
        <f>IF(COUNTIFS(T_TTAFStock_Log[Part Name],$A48,T_TTAFStock_Log[WeekIndex],20)=0,"",SUMIFS(T_TTAFStock_Log[TTAF_Qty],T_TTAFStock_Log[Part Name],$A48,T_TTAFStock_Log[WeekIndex],20))</f>
        <v/>
      </c>
      <c r="V48" s="17">
        <f>IF(COUNTIFS(T_TTAFStock_Log[Part Name],$A48,T_TTAFStock_Log[WeekIndex],21)=0,"",SUMIFS(T_TTAFStock_Log[TTAF_Qty],T_TTAFStock_Log[Part Name],$A48,T_TTAFStock_Log[WeekIndex],21))</f>
        <v/>
      </c>
      <c r="W48" s="17">
        <f>IF(COUNTIFS(T_TTAFStock_Log[Part Name],$A48,T_TTAFStock_Log[WeekIndex],22)=0,"",SUMIFS(T_TTAFStock_Log[TTAF_Qty],T_TTAFStock_Log[Part Name],$A48,T_TTAFStock_Log[WeekIndex],22))</f>
        <v/>
      </c>
      <c r="X48" s="17">
        <f>IF(COUNTIFS(T_TTAFStock_Log[Part Name],$A48,T_TTAFStock_Log[WeekIndex],23)=0,"",SUMIFS(T_TTAFStock_Log[TTAF_Qty],T_TTAFStock_Log[Part Name],$A48,T_TTAFStock_Log[WeekIndex],23))</f>
        <v/>
      </c>
      <c r="Y48" s="17">
        <f>IF(COUNTIFS(T_TTAFStock_Log[Part Name],$A48,T_TTAFStock_Log[WeekIndex],24)=0,"",SUMIFS(T_TTAFStock_Log[TTAF_Qty],T_TTAFStock_Log[Part Name],$A48,T_TTAFStock_Log[WeekIndex],24))</f>
        <v/>
      </c>
      <c r="Z48" s="17">
        <f>IF(COUNTIFS(T_TTAFStock_Log[Part Name],$A48,T_TTAFStock_Log[WeekIndex],25)=0,"",SUMIFS(T_TTAFStock_Log[TTAF_Qty],T_TTAFStock_Log[Part Name],$A48,T_TTAFStock_Log[WeekIndex],25))</f>
        <v/>
      </c>
      <c r="AA48" s="17">
        <f>IF(COUNTIFS(T_TTAFStock_Log[Part Name],$A48,T_TTAFStock_Log[WeekIndex],26)=0,"",SUMIFS(T_TTAFStock_Log[TTAF_Qty],T_TTAFStock_Log[Part Name],$A48,T_TTAFStock_Log[WeekIndex],26))</f>
        <v/>
      </c>
      <c r="AB48" s="17">
        <f>IF(COUNTIFS(T_TTAFStock_Log[Part Name],$A48,T_TTAFStock_Log[WeekIndex],27)=0,"",SUMIFS(T_TTAFStock_Log[TTAF_Qty],T_TTAFStock_Log[Part Name],$A48,T_TTAFStock_Log[WeekIndex],27))</f>
        <v/>
      </c>
      <c r="AC48" s="17">
        <f>IF(COUNTIFS(T_TTAFStock_Log[Part Name],$A48,T_TTAFStock_Log[WeekIndex],28)=0,"",SUMIFS(T_TTAFStock_Log[TTAF_Qty],T_TTAFStock_Log[Part Name],$A48,T_TTAFStock_Log[WeekIndex],28))</f>
        <v/>
      </c>
      <c r="AD48" s="17">
        <f>IF(COUNTIFS(T_TTAFStock_Log[Part Name],$A48,T_TTAFStock_Log[WeekIndex],29)=0,"",SUMIFS(T_TTAFStock_Log[TTAF_Qty],T_TTAFStock_Log[Part Name],$A48,T_TTAFStock_Log[WeekIndex],29))</f>
        <v/>
      </c>
      <c r="AE48" s="17">
        <f>IF(COUNTIFS(T_TTAFStock_Log[Part Name],$A48,T_TTAFStock_Log[WeekIndex],30)=0,"",SUMIFS(T_TTAFStock_Log[TTAF_Qty],T_TTAFStock_Log[Part Name],$A48,T_TTAFStock_Log[WeekIndex],30))</f>
        <v/>
      </c>
      <c r="AF48" s="17">
        <f>IF(COUNTIFS(T_TTAFStock_Log[Part Name],$A48,T_TTAFStock_Log[WeekIndex],31)=0,"",SUMIFS(T_TTAFStock_Log[TTAF_Qty],T_TTAFStock_Log[Part Name],$A48,T_TTAFStock_Log[WeekIndex],31))</f>
        <v/>
      </c>
      <c r="AG48" s="17">
        <f>IF(COUNTIFS(T_TTAFStock_Log[Part Name],$A48,T_TTAFStock_Log[WeekIndex],32)=0,"",SUMIFS(T_TTAFStock_Log[TTAF_Qty],T_TTAFStock_Log[Part Name],$A48,T_TTAFStock_Log[WeekIndex],32))</f>
        <v/>
      </c>
      <c r="AH48" s="17">
        <f>IF(COUNTIFS(T_TTAFStock_Log[Part Name],$A48,T_TTAFStock_Log[WeekIndex],33)=0,"",SUMIFS(T_TTAFStock_Log[TTAF_Qty],T_TTAFStock_Log[Part Name],$A48,T_TTAFStock_Log[WeekIndex],33))</f>
        <v/>
      </c>
      <c r="AI48" s="17">
        <f>IF(COUNTIFS(T_TTAFStock_Log[Part Name],$A48,T_TTAFStock_Log[WeekIndex],34)=0,"",SUMIFS(T_TTAFStock_Log[TTAF_Qty],T_TTAFStock_Log[Part Name],$A48,T_TTAFStock_Log[WeekIndex],34))</f>
        <v/>
      </c>
      <c r="AJ48" s="17">
        <f>IF(COUNTIFS(T_TTAFStock_Log[Part Name],$A48,T_TTAFStock_Log[WeekIndex],35)=0,"",SUMIFS(T_TTAFStock_Log[TTAF_Qty],T_TTAFStock_Log[Part Name],$A48,T_TTAFStock_Log[WeekIndex],35))</f>
        <v/>
      </c>
      <c r="AK48" s="17">
        <f>IF(COUNTIFS(T_TTAFStock_Log[Part Name],$A48,T_TTAFStock_Log[WeekIndex],36)=0,"",SUMIFS(T_TTAFStock_Log[TTAF_Qty],T_TTAFStock_Log[Part Name],$A48,T_TTAFStock_Log[WeekIndex],36))</f>
        <v/>
      </c>
      <c r="AL48" s="17">
        <f>IF(COUNTIFS(T_TTAFStock_Log[Part Name],$A48,T_TTAFStock_Log[WeekIndex],37)=0,"",SUMIFS(T_TTAFStock_Log[TTAF_Qty],T_TTAFStock_Log[Part Name],$A48,T_TTAFStock_Log[WeekIndex],37))</f>
        <v/>
      </c>
      <c r="AM48" s="17">
        <f>IF(COUNTIFS(T_TTAFStock_Log[Part Name],$A48,T_TTAFStock_Log[WeekIndex],38)=0,"",SUMIFS(T_TTAFStock_Log[TTAF_Qty],T_TTAFStock_Log[Part Name],$A48,T_TTAFStock_Log[WeekIndex],38))</f>
        <v/>
      </c>
      <c r="AN48" s="17">
        <f>IF(COUNTIFS(T_TTAFStock_Log[Part Name],$A48,T_TTAFStock_Log[WeekIndex],39)=0,"",SUMIFS(T_TTAFStock_Log[TTAF_Qty],T_TTAFStock_Log[Part Name],$A48,T_TTAFStock_Log[WeekIndex],39))</f>
        <v/>
      </c>
      <c r="AO48" s="17">
        <f>IF(COUNTIFS(T_TTAFStock_Log[Part Name],$A48,T_TTAFStock_Log[WeekIndex],40)=0,"",SUMIFS(T_TTAFStock_Log[TTAF_Qty],T_TTAFStock_Log[Part Name],$A48,T_TTAFStock_Log[WeekIndex],40))</f>
        <v/>
      </c>
      <c r="AP48" s="17">
        <f>IF(COUNTIFS(T_TTAFStock_Log[Part Name],$A48,T_TTAFStock_Log[WeekIndex],41)=0,"",SUMIFS(T_TTAFStock_Log[TTAF_Qty],T_TTAFStock_Log[Part Name],$A48,T_TTAFStock_Log[WeekIndex],41))</f>
        <v/>
      </c>
      <c r="AQ48" s="17">
        <f>IF(COUNTIFS(T_TTAFStock_Log[Part Name],$A48,T_TTAFStock_Log[WeekIndex],42)=0,"",SUMIFS(T_TTAFStock_Log[TTAF_Qty],T_TTAFStock_Log[Part Name],$A48,T_TTAFStock_Log[WeekIndex],42))</f>
        <v/>
      </c>
      <c r="AR48" s="17">
        <f>IF(COUNTIFS(T_TTAFStock_Log[Part Name],$A48,T_TTAFStock_Log[WeekIndex],43)=0,"",SUMIFS(T_TTAFStock_Log[TTAF_Qty],T_TTAFStock_Log[Part Name],$A48,T_TTAFStock_Log[WeekIndex],43))</f>
        <v/>
      </c>
      <c r="AS48" s="17">
        <f>IF(COUNTIFS(T_TTAFStock_Log[Part Name],$A48,T_TTAFStock_Log[WeekIndex],44)=0,"",SUMIFS(T_TTAFStock_Log[TTAF_Qty],T_TTAFStock_Log[Part Name],$A48,T_TTAFStock_Log[WeekIndex],44))</f>
        <v/>
      </c>
      <c r="AT48" s="17">
        <f>IF(COUNTIFS(T_TTAFStock_Log[Part Name],$A48,T_TTAFStock_Log[WeekIndex],45)=0,"",SUMIFS(T_TTAFStock_Log[TTAF_Qty],T_TTAFStock_Log[Part Name],$A48,T_TTAFStock_Log[WeekIndex],45))</f>
        <v/>
      </c>
      <c r="AU48" s="17">
        <f>IF(COUNTIFS(T_TTAFStock_Log[Part Name],$A48,T_TTAFStock_Log[WeekIndex],46)=0,"",SUMIFS(T_TTAFStock_Log[TTAF_Qty],T_TTAFStock_Log[Part Name],$A48,T_TTAFStock_Log[WeekIndex],46))</f>
        <v/>
      </c>
      <c r="AV48" s="17">
        <f>IF(COUNTIFS(T_TTAFStock_Log[Part Name],$A48,T_TTAFStock_Log[WeekIndex],47)=0,"",SUMIFS(T_TTAFStock_Log[TTAF_Qty],T_TTAFStock_Log[Part Name],$A48,T_TTAFStock_Log[WeekIndex],47))</f>
        <v/>
      </c>
      <c r="AW48" s="17">
        <f>IF(COUNTIFS(T_TTAFStock_Log[Part Name],$A48,T_TTAFStock_Log[WeekIndex],48)=0,"",SUMIFS(T_TTAFStock_Log[TTAF_Qty],T_TTAFStock_Log[Part Name],$A48,T_TTAFStock_Log[WeekIndex],48))</f>
        <v/>
      </c>
      <c r="AX48" s="17">
        <f>IF(COUNTIFS(T_TTAFStock_Log[Part Name],$A48,T_TTAFStock_Log[WeekIndex],49)=0,"",SUMIFS(T_TTAFStock_Log[TTAF_Qty],T_TTAFStock_Log[Part Name],$A48,T_TTAFStock_Log[WeekIndex],49))</f>
        <v/>
      </c>
      <c r="AY48" s="17">
        <f>IF(COUNTIFS(T_TTAFStock_Log[Part Name],$A48,T_TTAFStock_Log[WeekIndex],50)=0,"",SUMIFS(T_TTAFStock_Log[TTAF_Qty],T_TTAFStock_Log[Part Name],$A48,T_TTAFStock_Log[WeekIndex],50))</f>
        <v/>
      </c>
      <c r="AZ48" s="17">
        <f>IF(COUNTIFS(T_TTAFStock_Log[Part Name],$A48,T_TTAFStock_Log[WeekIndex],51)=0,"",SUMIFS(T_TTAFStock_Log[TTAF_Qty],T_TTAFStock_Log[Part Name],$A48,T_TTAFStock_Log[WeekIndex],51))</f>
        <v/>
      </c>
      <c r="BA48" s="17">
        <f>IF(COUNTIFS(T_TTAFStock_Log[Part Name],$A48,T_TTAFStock_Log[WeekIndex],52)=0,"",SUMIFS(T_TTAFStock_Log[TTAF_Qty],T_TTAFStock_Log[Part Name],$A48,T_TTAFStock_Log[WeekIndex],52))</f>
        <v/>
      </c>
      <c r="BB48" s="17">
        <f>IF(COUNTIFS(T_TTAFStock_Log[Part Name],$A48,T_TTAFStock_Log[WeekIndex],53)=0,"",SUMIFS(T_TTAFStock_Log[TTAF_Qty],T_TTAFStock_Log[Part Name],$A48,T_TTAFStock_Log[WeekIndex],53))</f>
        <v/>
      </c>
      <c r="BC48" s="17">
        <f>IF(COUNTIFS(T_TTAFStock_Log[Part Name],$A48,T_TTAFStock_Log[WeekIndex],54)=0,"",SUMIFS(T_TTAFStock_Log[TTAF_Qty],T_TTAFStock_Log[Part Name],$A48,T_TTAFStock_Log[WeekIndex],54))</f>
        <v/>
      </c>
      <c r="BD48" s="17">
        <f>IF(COUNTIFS(T_TTAFStock_Log[Part Name],$A48,T_TTAFStock_Log[WeekIndex],55)=0,"",SUMIFS(T_TTAFStock_Log[TTAF_Qty],T_TTAFStock_Log[Part Name],$A48,T_TTAFStock_Log[WeekIndex],55))</f>
        <v/>
      </c>
      <c r="BE48" s="17">
        <f>IF(COUNTIFS(T_TTAFStock_Log[Part Name],$A48,T_TTAFStock_Log[WeekIndex],56)=0,"",SUMIFS(T_TTAFStock_Log[TTAF_Qty],T_TTAFStock_Log[Part Name],$A48,T_TTAFStock_Log[WeekIndex],56))</f>
        <v/>
      </c>
      <c r="BF48" s="17">
        <f>IF(COUNTIFS(T_TTAFStock_Log[Part Name],$A48,T_TTAFStock_Log[WeekIndex],57)=0,"",SUMIFS(T_TTAFStock_Log[TTAF_Qty],T_TTAFStock_Log[Part Name],$A48,T_TTAFStock_Log[WeekIndex],57))</f>
        <v/>
      </c>
      <c r="BG48" s="17">
        <f>IF(COUNTIFS(T_TTAFStock_Log[Part Name],$A48,T_TTAFStock_Log[WeekIndex],58)=0,"",SUMIFS(T_TTAFStock_Log[TTAF_Qty],T_TTAFStock_Log[Part Name],$A48,T_TTAFStock_Log[WeekIndex],58))</f>
        <v/>
      </c>
      <c r="BH48" s="17">
        <f>IF(COUNTIFS(T_TTAFStock_Log[Part Name],$A48,T_TTAFStock_Log[WeekIndex],59)=0,"",SUMIFS(T_TTAFStock_Log[TTAF_Qty],T_TTAFStock_Log[Part Name],$A48,T_TTAFStock_Log[WeekIndex],59))</f>
        <v/>
      </c>
      <c r="BI48" s="17">
        <f>IF(COUNTIFS(T_TTAFStock_Log[Part Name],$A48,T_TTAFStock_Log[WeekIndex],60)=0,"",SUMIFS(T_TTAFStock_Log[TTAF_Qty],T_TTAFStock_Log[Part Name],$A48,T_TTAFStock_Log[WeekIndex],60))</f>
        <v/>
      </c>
      <c r="BJ48" s="17">
        <f>IF(COUNTIFS(T_TTAFStock_Log[Part Name],$A48,T_TTAFStock_Log[WeekIndex],61)=0,"",SUMIFS(T_TTAFStock_Log[TTAF_Qty],T_TTAFStock_Log[Part Name],$A48,T_TTAFStock_Log[WeekIndex],61))</f>
        <v/>
      </c>
      <c r="BK48" s="17">
        <f>IF(COUNTIFS(T_TTAFStock_Log[Part Name],$A48,T_TTAFStock_Log[WeekIndex],62)=0,"",SUMIFS(T_TTAFStock_Log[TTAF_Qty],T_TTAFStock_Log[Part Name],$A48,T_TTAFStock_Log[WeekIndex],62))</f>
        <v/>
      </c>
      <c r="BL48" s="17">
        <f>IF(COUNTIFS(T_TTAFStock_Log[Part Name],$A48,T_TTAFStock_Log[WeekIndex],63)=0,"",SUMIFS(T_TTAFStock_Log[TTAF_Qty],T_TTAFStock_Log[Part Name],$A48,T_TTAFStock_Log[WeekIndex],63))</f>
        <v/>
      </c>
      <c r="BM48" s="17">
        <f>IF(COUNTIFS(T_TTAFStock_Log[Part Name],$A48,T_TTAFStock_Log[WeekIndex],64)=0,"",SUMIFS(T_TTAFStock_Log[TTAF_Qty],T_TTAFStock_Log[Part Name],$A48,T_TTAFStock_Log[WeekIndex],64))</f>
        <v/>
      </c>
      <c r="BN48" s="17">
        <f>IF(COUNTIFS(T_TTAFStock_Log[Part Name],$A48,T_TTAFStock_Log[WeekIndex],65)=0,"",SUMIFS(T_TTAFStock_Log[TTAF_Qty],T_TTAFStock_Log[Part Name],$A48,T_TTAFStock_Log[WeekIndex],65))</f>
        <v/>
      </c>
      <c r="BO48" s="17">
        <f>IF(COUNTIFS(T_TTAFStock_Log[Part Name],$A48,T_TTAFStock_Log[WeekIndex],66)=0,"",SUMIFS(T_TTAFStock_Log[TTAF_Qty],T_TTAFStock_Log[Part Name],$A48,T_TTAFStock_Log[WeekIndex],66))</f>
        <v/>
      </c>
      <c r="BP48" s="17">
        <f>IF(COUNTIFS(T_TTAFStock_Log[Part Name],$A48,T_TTAFStock_Log[WeekIndex],67)=0,"",SUMIFS(T_TTAFStock_Log[TTAF_Qty],T_TTAFStock_Log[Part Name],$A48,T_TTAFStock_Log[WeekIndex],67))</f>
        <v/>
      </c>
      <c r="BQ48" s="17">
        <f>IF(COUNTIFS(T_TTAFStock_Log[Part Name],$A48,T_TTAFStock_Log[WeekIndex],68)=0,"",SUMIFS(T_TTAFStock_Log[TTAF_Qty],T_TTAFStock_Log[Part Name],$A48,T_TTAFStock_Log[WeekIndex],68))</f>
        <v/>
      </c>
      <c r="BR48" s="17">
        <f>IF(COUNTIFS(T_TTAFStock_Log[Part Name],$A48,T_TTAFStock_Log[WeekIndex],69)=0,"",SUMIFS(T_TTAFStock_Log[TTAF_Qty],T_TTAFStock_Log[Part Name],$A48,T_TTAFStock_Log[WeekIndex],69))</f>
        <v/>
      </c>
      <c r="BS48" s="17">
        <f>IF(COUNTIFS(T_TTAFStock_Log[Part Name],$A48,T_TTAFStock_Log[WeekIndex],70)=0,"",SUMIFS(T_TTAFStock_Log[TTAF_Qty],T_TTAFStock_Log[Part Name],$A48,T_TTAFStock_Log[WeekIndex],70))</f>
        <v/>
      </c>
      <c r="BT48" s="17">
        <f>IF(COUNTIFS(T_TTAFStock_Log[Part Name],$A48,T_TTAFStock_Log[WeekIndex],71)=0,"",SUMIFS(T_TTAFStock_Log[TTAF_Qty],T_TTAFStock_Log[Part Name],$A48,T_TTAFStock_Log[WeekIndex],71))</f>
        <v/>
      </c>
      <c r="BU48" s="17">
        <f>IF(COUNTIFS(T_TTAFStock_Log[Part Name],$A48,T_TTAFStock_Log[WeekIndex],72)=0,"",SUMIFS(T_TTAFStock_Log[TTAF_Qty],T_TTAFStock_Log[Part Name],$A48,T_TTAFStock_Log[WeekIndex],72))</f>
        <v/>
      </c>
      <c r="BV48" s="17">
        <f>IF(COUNTIFS(T_TTAFStock_Log[Part Name],$A48,T_TTAFStock_Log[WeekIndex],73)=0,"",SUMIFS(T_TTAFStock_Log[TTAF_Qty],T_TTAFStock_Log[Part Name],$A48,T_TTAFStock_Log[WeekIndex],73))</f>
        <v/>
      </c>
      <c r="BW48" s="17">
        <f>IF(COUNTIFS(T_TTAFStock_Log[Part Name],$A48,T_TTAFStock_Log[WeekIndex],74)=0,"",SUMIFS(T_TTAFStock_Log[TTAF_Qty],T_TTAFStock_Log[Part Name],$A48,T_TTAFStock_Log[WeekIndex],74))</f>
        <v/>
      </c>
      <c r="BX48" s="17">
        <f>IF(COUNTIFS(T_TTAFStock_Log[Part Name],$A48,T_TTAFStock_Log[WeekIndex],75)=0,"",SUMIFS(T_TTAFStock_Log[TTAF_Qty],T_TTAFStock_Log[Part Name],$A48,T_TTAFStock_Log[WeekIndex],75))</f>
        <v/>
      </c>
      <c r="BY48" s="17">
        <f>IF(COUNTIFS(T_TTAFStock_Log[Part Name],$A48,T_TTAFStock_Log[WeekIndex],76)=0,"",SUMIFS(T_TTAFStock_Log[TTAF_Qty],T_TTAFStock_Log[Part Name],$A48,T_TTAFStock_Log[WeekIndex],76))</f>
        <v/>
      </c>
      <c r="BZ48" s="17">
        <f>IF(COUNTIFS(T_TTAFStock_Log[Part Name],$A48,T_TTAFStock_Log[WeekIndex],77)=0,"",SUMIFS(T_TTAFStock_Log[TTAF_Qty],T_TTAFStock_Log[Part Name],$A48,T_TTAFStock_Log[WeekIndex],77))</f>
        <v/>
      </c>
      <c r="CA48" s="17">
        <f>IF(COUNTIFS(T_TTAFStock_Log[Part Name],$A48,T_TTAFStock_Log[WeekIndex],78)=0,"",SUMIFS(T_TTAFStock_Log[TTAF_Qty],T_TTAFStock_Log[Part Name],$A48,T_TTAFStock_Log[WeekIndex],78))</f>
        <v/>
      </c>
      <c r="CB48" s="17">
        <f>IF(COUNTIFS(T_TTAFStock_Log[Part Name],$A48,T_TTAFStock_Log[WeekIndex],79)=0,"",SUMIFS(T_TTAFStock_Log[TTAF_Qty],T_TTAFStock_Log[Part Name],$A48,T_TTAFStock_Log[WeekIndex],79))</f>
        <v/>
      </c>
      <c r="CC48" s="17">
        <f>IF(COUNTIFS(T_TTAFStock_Log[Part Name],$A48,T_TTAFStock_Log[WeekIndex],80)=0,"",SUMIFS(T_TTAFStock_Log[TTAF_Qty],T_TTAFStock_Log[Part Name],$A48,T_TTAFStock_Log[WeekIndex],80))</f>
        <v/>
      </c>
      <c r="CD48" s="17">
        <f>IF(COUNTIFS(T_TTAFStock_Log[Part Name],$A48,T_TTAFStock_Log[WeekIndex],81)=0,"",SUMIFS(T_TTAFStock_Log[TTAF_Qty],T_TTAFStock_Log[Part Name],$A48,T_TTAFStock_Log[WeekIndex],81))</f>
        <v/>
      </c>
      <c r="CE48" s="17">
        <f>IF(COUNTIFS(T_TTAFStock_Log[Part Name],$A48,T_TTAFStock_Log[WeekIndex],82)=0,"",SUMIFS(T_TTAFStock_Log[TTAF_Qty],T_TTAFStock_Log[Part Name],$A48,T_TTAFStock_Log[WeekIndex],82))</f>
        <v/>
      </c>
      <c r="CF48" s="17">
        <f>IF(COUNTIFS(T_TTAFStock_Log[Part Name],$A48,T_TTAFStock_Log[WeekIndex],83)=0,"",SUMIFS(T_TTAFStock_Log[TTAF_Qty],T_TTAFStock_Log[Part Name],$A48,T_TTAFStock_Log[WeekIndex],83))</f>
        <v/>
      </c>
      <c r="CG48" s="17">
        <f>IF(COUNTIFS(T_TTAFStock_Log[Part Name],$A48,T_TTAFStock_Log[WeekIndex],84)=0,"",SUMIFS(T_TTAFStock_Log[TTAF_Qty],T_TTAFStock_Log[Part Name],$A48,T_TTAFStock_Log[WeekIndex],84))</f>
        <v/>
      </c>
      <c r="CH48" s="17">
        <f>IF(COUNTIFS(T_TTAFStock_Log[Part Name],$A48,T_TTAFStock_Log[WeekIndex],85)=0,"",SUMIFS(T_TTAFStock_Log[TTAF_Qty],T_TTAFStock_Log[Part Name],$A48,T_TTAFStock_Log[WeekIndex],85))</f>
        <v/>
      </c>
      <c r="CI48" s="17">
        <f>IF(COUNTIFS(T_TTAFStock_Log[Part Name],$A48,T_TTAFStock_Log[WeekIndex],86)=0,"",SUMIFS(T_TTAFStock_Log[TTAF_Qty],T_TTAFStock_Log[Part Name],$A48,T_TTAFStock_Log[WeekIndex],86))</f>
        <v/>
      </c>
      <c r="CJ48" s="17">
        <f>IF(COUNTIFS(T_TTAFStock_Log[Part Name],$A48,T_TTAFStock_Log[WeekIndex],87)=0,"",SUMIFS(T_TTAFStock_Log[TTAF_Qty],T_TTAFStock_Log[Part Name],$A48,T_TTAFStock_Log[WeekIndex],87))</f>
        <v/>
      </c>
      <c r="CK48" s="17">
        <f>IF(COUNTIFS(T_TTAFStock_Log[Part Name],$A48,T_TTAFStock_Log[WeekIndex],88)=0,"",SUMIFS(T_TTAFStock_Log[TTAF_Qty],T_TTAFStock_Log[Part Name],$A48,T_TTAFStock_Log[WeekIndex],88))</f>
        <v/>
      </c>
      <c r="CL48" s="17">
        <f>IF(COUNTIFS(T_TTAFStock_Log[Part Name],$A48,T_TTAFStock_Log[WeekIndex],89)=0,"",SUMIFS(T_TTAFStock_Log[TTAF_Qty],T_TTAFStock_Log[Part Name],$A48,T_TTAFStock_Log[WeekIndex],89))</f>
        <v/>
      </c>
      <c r="CM48" s="17">
        <f>IF(COUNTIFS(T_TTAFStock_Log[Part Name],$A48,T_TTAFStock_Log[WeekIndex],90)=0,"",SUMIFS(T_TTAFStock_Log[TTAF_Qty],T_TTAFStock_Log[Part Name],$A48,T_TTAFStock_Log[WeekIndex],90))</f>
        <v/>
      </c>
      <c r="CN48" s="17">
        <f>IF(COUNTIFS(T_TTAFStock_Log[Part Name],$A48,T_TTAFStock_Log[WeekIndex],91)=0,"",SUMIFS(T_TTAFStock_Log[TTAF_Qty],T_TTAFStock_Log[Part Name],$A48,T_TTAFStock_Log[WeekIndex],91))</f>
        <v/>
      </c>
      <c r="CO48" s="17">
        <f>IF(COUNTIFS(T_TTAFStock_Log[Part Name],$A48,T_TTAFStock_Log[WeekIndex],92)=0,"",SUMIFS(T_TTAFStock_Log[TTAF_Qty],T_TTAFStock_Log[Part Name],$A48,T_TTAFStock_Log[WeekIndex],92))</f>
        <v/>
      </c>
      <c r="CP48" s="17">
        <f>IF(COUNTIFS(T_TTAFStock_Log[Part Name],$A48,T_TTAFStock_Log[WeekIndex],93)=0,"",SUMIFS(T_TTAFStock_Log[TTAF_Qty],T_TTAFStock_Log[Part Name],$A48,T_TTAFStock_Log[WeekIndex],93))</f>
        <v/>
      </c>
      <c r="CQ48" s="17">
        <f>IF(COUNTIFS(T_TTAFStock_Log[Part Name],$A48,T_TTAFStock_Log[WeekIndex],94)=0,"",SUMIFS(T_TTAFStock_Log[TTAF_Qty],T_TTAFStock_Log[Part Name],$A48,T_TTAFStock_Log[WeekIndex],94))</f>
        <v/>
      </c>
      <c r="CR48" s="17">
        <f>IF(COUNTIFS(T_TTAFStock_Log[Part Name],$A48,T_TTAFStock_Log[WeekIndex],95)=0,"",SUMIFS(T_TTAFStock_Log[TTAF_Qty],T_TTAFStock_Log[Part Name],$A48,T_TTAFStock_Log[WeekIndex],95))</f>
        <v/>
      </c>
      <c r="CS48" s="17">
        <f>IF(COUNTIFS(T_TTAFStock_Log[Part Name],$A48,T_TTAFStock_Log[WeekIndex],96)=0,"",SUMIFS(T_TTAFStock_Log[TTAF_Qty],T_TTAFStock_Log[Part Name],$A48,T_TTAFStock_Log[WeekIndex],96))</f>
        <v/>
      </c>
      <c r="CT48" s="17">
        <f>IF(COUNTIFS(T_TTAFStock_Log[Part Name],$A48,T_TTAFStock_Log[WeekIndex],97)=0,"",SUMIFS(T_TTAFStock_Log[TTAF_Qty],T_TTAFStock_Log[Part Name],$A48,T_TTAFStock_Log[WeekIndex],97))</f>
        <v/>
      </c>
      <c r="CU48" s="17">
        <f>IF(COUNTIFS(T_TTAFStock_Log[Part Name],$A48,T_TTAFStock_Log[WeekIndex],98)=0,"",SUMIFS(T_TTAFStock_Log[TTAF_Qty],T_TTAFStock_Log[Part Name],$A48,T_TTAFStock_Log[WeekIndex],98))</f>
        <v/>
      </c>
      <c r="CV48" s="17">
        <f>IF(COUNTIFS(T_TTAFStock_Log[Part Name],$A48,T_TTAFStock_Log[WeekIndex],99)=0,"",SUMIFS(T_TTAFStock_Log[TTAF_Qty],T_TTAFStock_Log[Part Name],$A48,T_TTAFStock_Log[WeekIndex],99))</f>
        <v/>
      </c>
      <c r="CW48" s="17">
        <f>IF(COUNTIFS(T_TTAFStock_Log[Part Name],$A48,T_TTAFStock_Log[WeekIndex],100)=0,"",SUMIFS(T_TTAFStock_Log[TTAF_Qty],T_TTAFStock_Log[Part Name],$A48,T_TTAFStock_Log[WeekIndex],100))</f>
        <v/>
      </c>
      <c r="CX48" s="17">
        <f>IF(COUNTIFS(T_TTAFStock_Log[Part Name],$A48,T_TTAFStock_Log[WeekIndex],101)=0,"",SUMIFS(T_TTAFStock_Log[TTAF_Qty],T_TTAFStock_Log[Part Name],$A48,T_TTAFStock_Log[WeekIndex],101))</f>
        <v/>
      </c>
      <c r="CY48" s="17">
        <f>IF(COUNTIFS(T_TTAFStock_Log[Part Name],$A48,T_TTAFStock_Log[WeekIndex],102)=0,"",SUMIFS(T_TTAFStock_Log[TTAF_Qty],T_TTAFStock_Log[Part Name],$A48,T_TTAFStock_Log[WeekIndex],102))</f>
        <v/>
      </c>
      <c r="CZ48" s="17">
        <f>IF(COUNTIFS(T_TTAFStock_Log[Part Name],$A48,T_TTAFStock_Log[WeekIndex],103)=0,"",SUMIFS(T_TTAFStock_Log[TTAF_Qty],T_TTAFStock_Log[Part Name],$A48,T_TTAFStock_Log[WeekIndex],103))</f>
        <v/>
      </c>
      <c r="DA48" s="17">
        <f>IF(COUNTIFS(T_TTAFStock_Log[Part Name],$A48,T_TTAFStock_Log[WeekIndex],104)=0,"",SUMIFS(T_TTAFStock_Log[TTAF_Qty],T_TTAFStock_Log[Part Name],$A48,T_TTAFStock_Log[WeekIndex],104))</f>
        <v/>
      </c>
    </row>
    <row r="49">
      <c r="A49" s="19" t="inlineStr">
        <is>
          <t>CHEM-1450</t>
        </is>
      </c>
      <c r="B49" s="19">
        <f>IF(COUNTIFS(T_TTAFStock_Log[Part Name],$A49,T_TTAFStock_Log[WeekIndex],1)=0,"",SUMIFS(T_TTAFStock_Log[TTAF_Qty],T_TTAFStock_Log[Part Name],$A49,T_TTAFStock_Log[WeekIndex],1))</f>
        <v/>
      </c>
      <c r="C49" s="19">
        <f>IF(COUNTIFS(T_TTAFStock_Log[Part Name],$A49,T_TTAFStock_Log[WeekIndex],2)=0,"",SUMIFS(T_TTAFStock_Log[TTAF_Qty],T_TTAFStock_Log[Part Name],$A49,T_TTAFStock_Log[WeekIndex],2))</f>
        <v/>
      </c>
      <c r="D49" s="19">
        <f>IF(COUNTIFS(T_TTAFStock_Log[Part Name],$A49,T_TTAFStock_Log[WeekIndex],3)=0,"",SUMIFS(T_TTAFStock_Log[TTAF_Qty],T_TTAFStock_Log[Part Name],$A49,T_TTAFStock_Log[WeekIndex],3))</f>
        <v/>
      </c>
      <c r="E49" s="19">
        <f>IF(COUNTIFS(T_TTAFStock_Log[Part Name],$A49,T_TTAFStock_Log[WeekIndex],4)=0,"",SUMIFS(T_TTAFStock_Log[TTAF_Qty],T_TTAFStock_Log[Part Name],$A49,T_TTAFStock_Log[WeekIndex],4))</f>
        <v/>
      </c>
      <c r="F49" s="19">
        <f>IF(COUNTIFS(T_TTAFStock_Log[Part Name],$A49,T_TTAFStock_Log[WeekIndex],5)=0,"",SUMIFS(T_TTAFStock_Log[TTAF_Qty],T_TTAFStock_Log[Part Name],$A49,T_TTAFStock_Log[WeekIndex],5))</f>
        <v/>
      </c>
      <c r="G49" s="19">
        <f>IF(COUNTIFS(T_TTAFStock_Log[Part Name],$A49,T_TTAFStock_Log[WeekIndex],6)=0,"",SUMIFS(T_TTAFStock_Log[TTAF_Qty],T_TTAFStock_Log[Part Name],$A49,T_TTAFStock_Log[WeekIndex],6))</f>
        <v/>
      </c>
      <c r="H49" s="19">
        <f>IF(COUNTIFS(T_TTAFStock_Log[Part Name],$A49,T_TTAFStock_Log[WeekIndex],7)=0,"",SUMIFS(T_TTAFStock_Log[TTAF_Qty],T_TTAFStock_Log[Part Name],$A49,T_TTAFStock_Log[WeekIndex],7))</f>
        <v/>
      </c>
      <c r="I49" s="19">
        <f>IF(COUNTIFS(T_TTAFStock_Log[Part Name],$A49,T_TTAFStock_Log[WeekIndex],8)=0,"",SUMIFS(T_TTAFStock_Log[TTAF_Qty],T_TTAFStock_Log[Part Name],$A49,T_TTAFStock_Log[WeekIndex],8))</f>
        <v/>
      </c>
      <c r="J49" s="19">
        <f>IF(COUNTIFS(T_TTAFStock_Log[Part Name],$A49,T_TTAFStock_Log[WeekIndex],9)=0,"",SUMIFS(T_TTAFStock_Log[TTAF_Qty],T_TTAFStock_Log[Part Name],$A49,T_TTAFStock_Log[WeekIndex],9))</f>
        <v/>
      </c>
      <c r="K49" s="19">
        <f>IF(COUNTIFS(T_TTAFStock_Log[Part Name],$A49,T_TTAFStock_Log[WeekIndex],10)=0,"",SUMIFS(T_TTAFStock_Log[TTAF_Qty],T_TTAFStock_Log[Part Name],$A49,T_TTAFStock_Log[WeekIndex],10))</f>
        <v/>
      </c>
      <c r="L49" s="19">
        <f>IF(COUNTIFS(T_TTAFStock_Log[Part Name],$A49,T_TTAFStock_Log[WeekIndex],11)=0,"",SUMIFS(T_TTAFStock_Log[TTAF_Qty],T_TTAFStock_Log[Part Name],$A49,T_TTAFStock_Log[WeekIndex],11))</f>
        <v/>
      </c>
      <c r="M49" s="19">
        <f>IF(COUNTIFS(T_TTAFStock_Log[Part Name],$A49,T_TTAFStock_Log[WeekIndex],12)=0,"",SUMIFS(T_TTAFStock_Log[TTAF_Qty],T_TTAFStock_Log[Part Name],$A49,T_TTAFStock_Log[WeekIndex],12))</f>
        <v/>
      </c>
      <c r="N49" s="19">
        <f>IF(COUNTIFS(T_TTAFStock_Log[Part Name],$A49,T_TTAFStock_Log[WeekIndex],13)=0,"",SUMIFS(T_TTAFStock_Log[TTAF_Qty],T_TTAFStock_Log[Part Name],$A49,T_TTAFStock_Log[WeekIndex],13))</f>
        <v/>
      </c>
      <c r="O49" s="19">
        <f>IF(COUNTIFS(T_TTAFStock_Log[Part Name],$A49,T_TTAFStock_Log[WeekIndex],14)=0,"",SUMIFS(T_TTAFStock_Log[TTAF_Qty],T_TTAFStock_Log[Part Name],$A49,T_TTAFStock_Log[WeekIndex],14))</f>
        <v/>
      </c>
      <c r="P49" s="19">
        <f>IF(COUNTIFS(T_TTAFStock_Log[Part Name],$A49,T_TTAFStock_Log[WeekIndex],15)=0,"",SUMIFS(T_TTAFStock_Log[TTAF_Qty],T_TTAFStock_Log[Part Name],$A49,T_TTAFStock_Log[WeekIndex],15))</f>
        <v/>
      </c>
      <c r="Q49" s="19">
        <f>IF(COUNTIFS(T_TTAFStock_Log[Part Name],$A49,T_TTAFStock_Log[WeekIndex],16)=0,"",SUMIFS(T_TTAFStock_Log[TTAF_Qty],T_TTAFStock_Log[Part Name],$A49,T_TTAFStock_Log[WeekIndex],16))</f>
        <v/>
      </c>
      <c r="R49" s="19">
        <f>IF(COUNTIFS(T_TTAFStock_Log[Part Name],$A49,T_TTAFStock_Log[WeekIndex],17)=0,"",SUMIFS(T_TTAFStock_Log[TTAF_Qty],T_TTAFStock_Log[Part Name],$A49,T_TTAFStock_Log[WeekIndex],17))</f>
        <v/>
      </c>
      <c r="S49" s="19">
        <f>IF(COUNTIFS(T_TTAFStock_Log[Part Name],$A49,T_TTAFStock_Log[WeekIndex],18)=0,"",SUMIFS(T_TTAFStock_Log[TTAF_Qty],T_TTAFStock_Log[Part Name],$A49,T_TTAFStock_Log[WeekIndex],18))</f>
        <v/>
      </c>
      <c r="T49" s="19">
        <f>IF(COUNTIFS(T_TTAFStock_Log[Part Name],$A49,T_TTAFStock_Log[WeekIndex],19)=0,"",SUMIFS(T_TTAFStock_Log[TTAF_Qty],T_TTAFStock_Log[Part Name],$A49,T_TTAFStock_Log[WeekIndex],19))</f>
        <v/>
      </c>
      <c r="U49" s="19">
        <f>IF(COUNTIFS(T_TTAFStock_Log[Part Name],$A49,T_TTAFStock_Log[WeekIndex],20)=0,"",SUMIFS(T_TTAFStock_Log[TTAF_Qty],T_TTAFStock_Log[Part Name],$A49,T_TTAFStock_Log[WeekIndex],20))</f>
        <v/>
      </c>
      <c r="V49" s="19">
        <f>IF(COUNTIFS(T_TTAFStock_Log[Part Name],$A49,T_TTAFStock_Log[WeekIndex],21)=0,"",SUMIFS(T_TTAFStock_Log[TTAF_Qty],T_TTAFStock_Log[Part Name],$A49,T_TTAFStock_Log[WeekIndex],21))</f>
        <v/>
      </c>
      <c r="W49" s="19">
        <f>IF(COUNTIFS(T_TTAFStock_Log[Part Name],$A49,T_TTAFStock_Log[WeekIndex],22)=0,"",SUMIFS(T_TTAFStock_Log[TTAF_Qty],T_TTAFStock_Log[Part Name],$A49,T_TTAFStock_Log[WeekIndex],22))</f>
        <v/>
      </c>
      <c r="X49" s="19">
        <f>IF(COUNTIFS(T_TTAFStock_Log[Part Name],$A49,T_TTAFStock_Log[WeekIndex],23)=0,"",SUMIFS(T_TTAFStock_Log[TTAF_Qty],T_TTAFStock_Log[Part Name],$A49,T_TTAFStock_Log[WeekIndex],23))</f>
        <v/>
      </c>
      <c r="Y49" s="19">
        <f>IF(COUNTIFS(T_TTAFStock_Log[Part Name],$A49,T_TTAFStock_Log[WeekIndex],24)=0,"",SUMIFS(T_TTAFStock_Log[TTAF_Qty],T_TTAFStock_Log[Part Name],$A49,T_TTAFStock_Log[WeekIndex],24))</f>
        <v/>
      </c>
      <c r="Z49" s="19">
        <f>IF(COUNTIFS(T_TTAFStock_Log[Part Name],$A49,T_TTAFStock_Log[WeekIndex],25)=0,"",SUMIFS(T_TTAFStock_Log[TTAF_Qty],T_TTAFStock_Log[Part Name],$A49,T_TTAFStock_Log[WeekIndex],25))</f>
        <v/>
      </c>
      <c r="AA49" s="19">
        <f>IF(COUNTIFS(T_TTAFStock_Log[Part Name],$A49,T_TTAFStock_Log[WeekIndex],26)=0,"",SUMIFS(T_TTAFStock_Log[TTAF_Qty],T_TTAFStock_Log[Part Name],$A49,T_TTAFStock_Log[WeekIndex],26))</f>
        <v/>
      </c>
      <c r="AB49" s="19">
        <f>IF(COUNTIFS(T_TTAFStock_Log[Part Name],$A49,T_TTAFStock_Log[WeekIndex],27)=0,"",SUMIFS(T_TTAFStock_Log[TTAF_Qty],T_TTAFStock_Log[Part Name],$A49,T_TTAFStock_Log[WeekIndex],27))</f>
        <v/>
      </c>
      <c r="AC49" s="19">
        <f>IF(COUNTIFS(T_TTAFStock_Log[Part Name],$A49,T_TTAFStock_Log[WeekIndex],28)=0,"",SUMIFS(T_TTAFStock_Log[TTAF_Qty],T_TTAFStock_Log[Part Name],$A49,T_TTAFStock_Log[WeekIndex],28))</f>
        <v/>
      </c>
      <c r="AD49" s="19">
        <f>IF(COUNTIFS(T_TTAFStock_Log[Part Name],$A49,T_TTAFStock_Log[WeekIndex],29)=0,"",SUMIFS(T_TTAFStock_Log[TTAF_Qty],T_TTAFStock_Log[Part Name],$A49,T_TTAFStock_Log[WeekIndex],29))</f>
        <v/>
      </c>
      <c r="AE49" s="19">
        <f>IF(COUNTIFS(T_TTAFStock_Log[Part Name],$A49,T_TTAFStock_Log[WeekIndex],30)=0,"",SUMIFS(T_TTAFStock_Log[TTAF_Qty],T_TTAFStock_Log[Part Name],$A49,T_TTAFStock_Log[WeekIndex],30))</f>
        <v/>
      </c>
      <c r="AF49" s="19">
        <f>IF(COUNTIFS(T_TTAFStock_Log[Part Name],$A49,T_TTAFStock_Log[WeekIndex],31)=0,"",SUMIFS(T_TTAFStock_Log[TTAF_Qty],T_TTAFStock_Log[Part Name],$A49,T_TTAFStock_Log[WeekIndex],31))</f>
        <v/>
      </c>
      <c r="AG49" s="19">
        <f>IF(COUNTIFS(T_TTAFStock_Log[Part Name],$A49,T_TTAFStock_Log[WeekIndex],32)=0,"",SUMIFS(T_TTAFStock_Log[TTAF_Qty],T_TTAFStock_Log[Part Name],$A49,T_TTAFStock_Log[WeekIndex],32))</f>
        <v/>
      </c>
      <c r="AH49" s="19">
        <f>IF(COUNTIFS(T_TTAFStock_Log[Part Name],$A49,T_TTAFStock_Log[WeekIndex],33)=0,"",SUMIFS(T_TTAFStock_Log[TTAF_Qty],T_TTAFStock_Log[Part Name],$A49,T_TTAFStock_Log[WeekIndex],33))</f>
        <v/>
      </c>
      <c r="AI49" s="19">
        <f>IF(COUNTIFS(T_TTAFStock_Log[Part Name],$A49,T_TTAFStock_Log[WeekIndex],34)=0,"",SUMIFS(T_TTAFStock_Log[TTAF_Qty],T_TTAFStock_Log[Part Name],$A49,T_TTAFStock_Log[WeekIndex],34))</f>
        <v/>
      </c>
      <c r="AJ49" s="19">
        <f>IF(COUNTIFS(T_TTAFStock_Log[Part Name],$A49,T_TTAFStock_Log[WeekIndex],35)=0,"",SUMIFS(T_TTAFStock_Log[TTAF_Qty],T_TTAFStock_Log[Part Name],$A49,T_TTAFStock_Log[WeekIndex],35))</f>
        <v/>
      </c>
      <c r="AK49" s="19">
        <f>IF(COUNTIFS(T_TTAFStock_Log[Part Name],$A49,T_TTAFStock_Log[WeekIndex],36)=0,"",SUMIFS(T_TTAFStock_Log[TTAF_Qty],T_TTAFStock_Log[Part Name],$A49,T_TTAFStock_Log[WeekIndex],36))</f>
        <v/>
      </c>
      <c r="AL49" s="19">
        <f>IF(COUNTIFS(T_TTAFStock_Log[Part Name],$A49,T_TTAFStock_Log[WeekIndex],37)=0,"",SUMIFS(T_TTAFStock_Log[TTAF_Qty],T_TTAFStock_Log[Part Name],$A49,T_TTAFStock_Log[WeekIndex],37))</f>
        <v/>
      </c>
      <c r="AM49" s="19">
        <f>IF(COUNTIFS(T_TTAFStock_Log[Part Name],$A49,T_TTAFStock_Log[WeekIndex],38)=0,"",SUMIFS(T_TTAFStock_Log[TTAF_Qty],T_TTAFStock_Log[Part Name],$A49,T_TTAFStock_Log[WeekIndex],38))</f>
        <v/>
      </c>
      <c r="AN49" s="19">
        <f>IF(COUNTIFS(T_TTAFStock_Log[Part Name],$A49,T_TTAFStock_Log[WeekIndex],39)=0,"",SUMIFS(T_TTAFStock_Log[TTAF_Qty],T_TTAFStock_Log[Part Name],$A49,T_TTAFStock_Log[WeekIndex],39))</f>
        <v/>
      </c>
      <c r="AO49" s="19">
        <f>IF(COUNTIFS(T_TTAFStock_Log[Part Name],$A49,T_TTAFStock_Log[WeekIndex],40)=0,"",SUMIFS(T_TTAFStock_Log[TTAF_Qty],T_TTAFStock_Log[Part Name],$A49,T_TTAFStock_Log[WeekIndex],40))</f>
        <v/>
      </c>
      <c r="AP49" s="19">
        <f>IF(COUNTIFS(T_TTAFStock_Log[Part Name],$A49,T_TTAFStock_Log[WeekIndex],41)=0,"",SUMIFS(T_TTAFStock_Log[TTAF_Qty],T_TTAFStock_Log[Part Name],$A49,T_TTAFStock_Log[WeekIndex],41))</f>
        <v/>
      </c>
      <c r="AQ49" s="19">
        <f>IF(COUNTIFS(T_TTAFStock_Log[Part Name],$A49,T_TTAFStock_Log[WeekIndex],42)=0,"",SUMIFS(T_TTAFStock_Log[TTAF_Qty],T_TTAFStock_Log[Part Name],$A49,T_TTAFStock_Log[WeekIndex],42))</f>
        <v/>
      </c>
      <c r="AR49" s="19">
        <f>IF(COUNTIFS(T_TTAFStock_Log[Part Name],$A49,T_TTAFStock_Log[WeekIndex],43)=0,"",SUMIFS(T_TTAFStock_Log[TTAF_Qty],T_TTAFStock_Log[Part Name],$A49,T_TTAFStock_Log[WeekIndex],43))</f>
        <v/>
      </c>
      <c r="AS49" s="19">
        <f>IF(COUNTIFS(T_TTAFStock_Log[Part Name],$A49,T_TTAFStock_Log[WeekIndex],44)=0,"",SUMIFS(T_TTAFStock_Log[TTAF_Qty],T_TTAFStock_Log[Part Name],$A49,T_TTAFStock_Log[WeekIndex],44))</f>
        <v/>
      </c>
      <c r="AT49" s="19">
        <f>IF(COUNTIFS(T_TTAFStock_Log[Part Name],$A49,T_TTAFStock_Log[WeekIndex],45)=0,"",SUMIFS(T_TTAFStock_Log[TTAF_Qty],T_TTAFStock_Log[Part Name],$A49,T_TTAFStock_Log[WeekIndex],45))</f>
        <v/>
      </c>
      <c r="AU49" s="19">
        <f>IF(COUNTIFS(T_TTAFStock_Log[Part Name],$A49,T_TTAFStock_Log[WeekIndex],46)=0,"",SUMIFS(T_TTAFStock_Log[TTAF_Qty],T_TTAFStock_Log[Part Name],$A49,T_TTAFStock_Log[WeekIndex],46))</f>
        <v/>
      </c>
      <c r="AV49" s="19">
        <f>IF(COUNTIFS(T_TTAFStock_Log[Part Name],$A49,T_TTAFStock_Log[WeekIndex],47)=0,"",SUMIFS(T_TTAFStock_Log[TTAF_Qty],T_TTAFStock_Log[Part Name],$A49,T_TTAFStock_Log[WeekIndex],47))</f>
        <v/>
      </c>
      <c r="AW49" s="19">
        <f>IF(COUNTIFS(T_TTAFStock_Log[Part Name],$A49,T_TTAFStock_Log[WeekIndex],48)=0,"",SUMIFS(T_TTAFStock_Log[TTAF_Qty],T_TTAFStock_Log[Part Name],$A49,T_TTAFStock_Log[WeekIndex],48))</f>
        <v/>
      </c>
      <c r="AX49" s="19">
        <f>IF(COUNTIFS(T_TTAFStock_Log[Part Name],$A49,T_TTAFStock_Log[WeekIndex],49)=0,"",SUMIFS(T_TTAFStock_Log[TTAF_Qty],T_TTAFStock_Log[Part Name],$A49,T_TTAFStock_Log[WeekIndex],49))</f>
        <v/>
      </c>
      <c r="AY49" s="19">
        <f>IF(COUNTIFS(T_TTAFStock_Log[Part Name],$A49,T_TTAFStock_Log[WeekIndex],50)=0,"",SUMIFS(T_TTAFStock_Log[TTAF_Qty],T_TTAFStock_Log[Part Name],$A49,T_TTAFStock_Log[WeekIndex],50))</f>
        <v/>
      </c>
      <c r="AZ49" s="19">
        <f>IF(COUNTIFS(T_TTAFStock_Log[Part Name],$A49,T_TTAFStock_Log[WeekIndex],51)=0,"",SUMIFS(T_TTAFStock_Log[TTAF_Qty],T_TTAFStock_Log[Part Name],$A49,T_TTAFStock_Log[WeekIndex],51))</f>
        <v/>
      </c>
      <c r="BA49" s="19">
        <f>IF(COUNTIFS(T_TTAFStock_Log[Part Name],$A49,T_TTAFStock_Log[WeekIndex],52)=0,"",SUMIFS(T_TTAFStock_Log[TTAF_Qty],T_TTAFStock_Log[Part Name],$A49,T_TTAFStock_Log[WeekIndex],52))</f>
        <v/>
      </c>
      <c r="BB49" s="19">
        <f>IF(COUNTIFS(T_TTAFStock_Log[Part Name],$A49,T_TTAFStock_Log[WeekIndex],53)=0,"",SUMIFS(T_TTAFStock_Log[TTAF_Qty],T_TTAFStock_Log[Part Name],$A49,T_TTAFStock_Log[WeekIndex],53))</f>
        <v/>
      </c>
      <c r="BC49" s="19">
        <f>IF(COUNTIFS(T_TTAFStock_Log[Part Name],$A49,T_TTAFStock_Log[WeekIndex],54)=0,"",SUMIFS(T_TTAFStock_Log[TTAF_Qty],T_TTAFStock_Log[Part Name],$A49,T_TTAFStock_Log[WeekIndex],54))</f>
        <v/>
      </c>
      <c r="BD49" s="19">
        <f>IF(COUNTIFS(T_TTAFStock_Log[Part Name],$A49,T_TTAFStock_Log[WeekIndex],55)=0,"",SUMIFS(T_TTAFStock_Log[TTAF_Qty],T_TTAFStock_Log[Part Name],$A49,T_TTAFStock_Log[WeekIndex],55))</f>
        <v/>
      </c>
      <c r="BE49" s="19">
        <f>IF(COUNTIFS(T_TTAFStock_Log[Part Name],$A49,T_TTAFStock_Log[WeekIndex],56)=0,"",SUMIFS(T_TTAFStock_Log[TTAF_Qty],T_TTAFStock_Log[Part Name],$A49,T_TTAFStock_Log[WeekIndex],56))</f>
        <v/>
      </c>
      <c r="BF49" s="19">
        <f>IF(COUNTIFS(T_TTAFStock_Log[Part Name],$A49,T_TTAFStock_Log[WeekIndex],57)=0,"",SUMIFS(T_TTAFStock_Log[TTAF_Qty],T_TTAFStock_Log[Part Name],$A49,T_TTAFStock_Log[WeekIndex],57))</f>
        <v/>
      </c>
      <c r="BG49" s="19">
        <f>IF(COUNTIFS(T_TTAFStock_Log[Part Name],$A49,T_TTAFStock_Log[WeekIndex],58)=0,"",SUMIFS(T_TTAFStock_Log[TTAF_Qty],T_TTAFStock_Log[Part Name],$A49,T_TTAFStock_Log[WeekIndex],58))</f>
        <v/>
      </c>
      <c r="BH49" s="19">
        <f>IF(COUNTIFS(T_TTAFStock_Log[Part Name],$A49,T_TTAFStock_Log[WeekIndex],59)=0,"",SUMIFS(T_TTAFStock_Log[TTAF_Qty],T_TTAFStock_Log[Part Name],$A49,T_TTAFStock_Log[WeekIndex],59))</f>
        <v/>
      </c>
      <c r="BI49" s="19">
        <f>IF(COUNTIFS(T_TTAFStock_Log[Part Name],$A49,T_TTAFStock_Log[WeekIndex],60)=0,"",SUMIFS(T_TTAFStock_Log[TTAF_Qty],T_TTAFStock_Log[Part Name],$A49,T_TTAFStock_Log[WeekIndex],60))</f>
        <v/>
      </c>
      <c r="BJ49" s="19">
        <f>IF(COUNTIFS(T_TTAFStock_Log[Part Name],$A49,T_TTAFStock_Log[WeekIndex],61)=0,"",SUMIFS(T_TTAFStock_Log[TTAF_Qty],T_TTAFStock_Log[Part Name],$A49,T_TTAFStock_Log[WeekIndex],61))</f>
        <v/>
      </c>
      <c r="BK49" s="19">
        <f>IF(COUNTIFS(T_TTAFStock_Log[Part Name],$A49,T_TTAFStock_Log[WeekIndex],62)=0,"",SUMIFS(T_TTAFStock_Log[TTAF_Qty],T_TTAFStock_Log[Part Name],$A49,T_TTAFStock_Log[WeekIndex],62))</f>
        <v/>
      </c>
      <c r="BL49" s="19">
        <f>IF(COUNTIFS(T_TTAFStock_Log[Part Name],$A49,T_TTAFStock_Log[WeekIndex],63)=0,"",SUMIFS(T_TTAFStock_Log[TTAF_Qty],T_TTAFStock_Log[Part Name],$A49,T_TTAFStock_Log[WeekIndex],63))</f>
        <v/>
      </c>
      <c r="BM49" s="19">
        <f>IF(COUNTIFS(T_TTAFStock_Log[Part Name],$A49,T_TTAFStock_Log[WeekIndex],64)=0,"",SUMIFS(T_TTAFStock_Log[TTAF_Qty],T_TTAFStock_Log[Part Name],$A49,T_TTAFStock_Log[WeekIndex],64))</f>
        <v/>
      </c>
      <c r="BN49" s="19">
        <f>IF(COUNTIFS(T_TTAFStock_Log[Part Name],$A49,T_TTAFStock_Log[WeekIndex],65)=0,"",SUMIFS(T_TTAFStock_Log[TTAF_Qty],T_TTAFStock_Log[Part Name],$A49,T_TTAFStock_Log[WeekIndex],65))</f>
        <v/>
      </c>
      <c r="BO49" s="19">
        <f>IF(COUNTIFS(T_TTAFStock_Log[Part Name],$A49,T_TTAFStock_Log[WeekIndex],66)=0,"",SUMIFS(T_TTAFStock_Log[TTAF_Qty],T_TTAFStock_Log[Part Name],$A49,T_TTAFStock_Log[WeekIndex],66))</f>
        <v/>
      </c>
      <c r="BP49" s="19">
        <f>IF(COUNTIFS(T_TTAFStock_Log[Part Name],$A49,T_TTAFStock_Log[WeekIndex],67)=0,"",SUMIFS(T_TTAFStock_Log[TTAF_Qty],T_TTAFStock_Log[Part Name],$A49,T_TTAFStock_Log[WeekIndex],67))</f>
        <v/>
      </c>
      <c r="BQ49" s="19">
        <f>IF(COUNTIFS(T_TTAFStock_Log[Part Name],$A49,T_TTAFStock_Log[WeekIndex],68)=0,"",SUMIFS(T_TTAFStock_Log[TTAF_Qty],T_TTAFStock_Log[Part Name],$A49,T_TTAFStock_Log[WeekIndex],68))</f>
        <v/>
      </c>
      <c r="BR49" s="19">
        <f>IF(COUNTIFS(T_TTAFStock_Log[Part Name],$A49,T_TTAFStock_Log[WeekIndex],69)=0,"",SUMIFS(T_TTAFStock_Log[TTAF_Qty],T_TTAFStock_Log[Part Name],$A49,T_TTAFStock_Log[WeekIndex],69))</f>
        <v/>
      </c>
      <c r="BS49" s="19">
        <f>IF(COUNTIFS(T_TTAFStock_Log[Part Name],$A49,T_TTAFStock_Log[WeekIndex],70)=0,"",SUMIFS(T_TTAFStock_Log[TTAF_Qty],T_TTAFStock_Log[Part Name],$A49,T_TTAFStock_Log[WeekIndex],70))</f>
        <v/>
      </c>
      <c r="BT49" s="19">
        <f>IF(COUNTIFS(T_TTAFStock_Log[Part Name],$A49,T_TTAFStock_Log[WeekIndex],71)=0,"",SUMIFS(T_TTAFStock_Log[TTAF_Qty],T_TTAFStock_Log[Part Name],$A49,T_TTAFStock_Log[WeekIndex],71))</f>
        <v/>
      </c>
      <c r="BU49" s="19">
        <f>IF(COUNTIFS(T_TTAFStock_Log[Part Name],$A49,T_TTAFStock_Log[WeekIndex],72)=0,"",SUMIFS(T_TTAFStock_Log[TTAF_Qty],T_TTAFStock_Log[Part Name],$A49,T_TTAFStock_Log[WeekIndex],72))</f>
        <v/>
      </c>
      <c r="BV49" s="19">
        <f>IF(COUNTIFS(T_TTAFStock_Log[Part Name],$A49,T_TTAFStock_Log[WeekIndex],73)=0,"",SUMIFS(T_TTAFStock_Log[TTAF_Qty],T_TTAFStock_Log[Part Name],$A49,T_TTAFStock_Log[WeekIndex],73))</f>
        <v/>
      </c>
      <c r="BW49" s="19">
        <f>IF(COUNTIFS(T_TTAFStock_Log[Part Name],$A49,T_TTAFStock_Log[WeekIndex],74)=0,"",SUMIFS(T_TTAFStock_Log[TTAF_Qty],T_TTAFStock_Log[Part Name],$A49,T_TTAFStock_Log[WeekIndex],74))</f>
        <v/>
      </c>
      <c r="BX49" s="19">
        <f>IF(COUNTIFS(T_TTAFStock_Log[Part Name],$A49,T_TTAFStock_Log[WeekIndex],75)=0,"",SUMIFS(T_TTAFStock_Log[TTAF_Qty],T_TTAFStock_Log[Part Name],$A49,T_TTAFStock_Log[WeekIndex],75))</f>
        <v/>
      </c>
      <c r="BY49" s="19">
        <f>IF(COUNTIFS(T_TTAFStock_Log[Part Name],$A49,T_TTAFStock_Log[WeekIndex],76)=0,"",SUMIFS(T_TTAFStock_Log[TTAF_Qty],T_TTAFStock_Log[Part Name],$A49,T_TTAFStock_Log[WeekIndex],76))</f>
        <v/>
      </c>
      <c r="BZ49" s="19">
        <f>IF(COUNTIFS(T_TTAFStock_Log[Part Name],$A49,T_TTAFStock_Log[WeekIndex],77)=0,"",SUMIFS(T_TTAFStock_Log[TTAF_Qty],T_TTAFStock_Log[Part Name],$A49,T_TTAFStock_Log[WeekIndex],77))</f>
        <v/>
      </c>
      <c r="CA49" s="19">
        <f>IF(COUNTIFS(T_TTAFStock_Log[Part Name],$A49,T_TTAFStock_Log[WeekIndex],78)=0,"",SUMIFS(T_TTAFStock_Log[TTAF_Qty],T_TTAFStock_Log[Part Name],$A49,T_TTAFStock_Log[WeekIndex],78))</f>
        <v/>
      </c>
      <c r="CB49" s="19">
        <f>IF(COUNTIFS(T_TTAFStock_Log[Part Name],$A49,T_TTAFStock_Log[WeekIndex],79)=0,"",SUMIFS(T_TTAFStock_Log[TTAF_Qty],T_TTAFStock_Log[Part Name],$A49,T_TTAFStock_Log[WeekIndex],79))</f>
        <v/>
      </c>
      <c r="CC49" s="19">
        <f>IF(COUNTIFS(T_TTAFStock_Log[Part Name],$A49,T_TTAFStock_Log[WeekIndex],80)=0,"",SUMIFS(T_TTAFStock_Log[TTAF_Qty],T_TTAFStock_Log[Part Name],$A49,T_TTAFStock_Log[WeekIndex],80))</f>
        <v/>
      </c>
      <c r="CD49" s="19">
        <f>IF(COUNTIFS(T_TTAFStock_Log[Part Name],$A49,T_TTAFStock_Log[WeekIndex],81)=0,"",SUMIFS(T_TTAFStock_Log[TTAF_Qty],T_TTAFStock_Log[Part Name],$A49,T_TTAFStock_Log[WeekIndex],81))</f>
        <v/>
      </c>
      <c r="CE49" s="19">
        <f>IF(COUNTIFS(T_TTAFStock_Log[Part Name],$A49,T_TTAFStock_Log[WeekIndex],82)=0,"",SUMIFS(T_TTAFStock_Log[TTAF_Qty],T_TTAFStock_Log[Part Name],$A49,T_TTAFStock_Log[WeekIndex],82))</f>
        <v/>
      </c>
      <c r="CF49" s="19">
        <f>IF(COUNTIFS(T_TTAFStock_Log[Part Name],$A49,T_TTAFStock_Log[WeekIndex],83)=0,"",SUMIFS(T_TTAFStock_Log[TTAF_Qty],T_TTAFStock_Log[Part Name],$A49,T_TTAFStock_Log[WeekIndex],83))</f>
        <v/>
      </c>
      <c r="CG49" s="19">
        <f>IF(COUNTIFS(T_TTAFStock_Log[Part Name],$A49,T_TTAFStock_Log[WeekIndex],84)=0,"",SUMIFS(T_TTAFStock_Log[TTAF_Qty],T_TTAFStock_Log[Part Name],$A49,T_TTAFStock_Log[WeekIndex],84))</f>
        <v/>
      </c>
      <c r="CH49" s="19">
        <f>IF(COUNTIFS(T_TTAFStock_Log[Part Name],$A49,T_TTAFStock_Log[WeekIndex],85)=0,"",SUMIFS(T_TTAFStock_Log[TTAF_Qty],T_TTAFStock_Log[Part Name],$A49,T_TTAFStock_Log[WeekIndex],85))</f>
        <v/>
      </c>
      <c r="CI49" s="19">
        <f>IF(COUNTIFS(T_TTAFStock_Log[Part Name],$A49,T_TTAFStock_Log[WeekIndex],86)=0,"",SUMIFS(T_TTAFStock_Log[TTAF_Qty],T_TTAFStock_Log[Part Name],$A49,T_TTAFStock_Log[WeekIndex],86))</f>
        <v/>
      </c>
      <c r="CJ49" s="19">
        <f>IF(COUNTIFS(T_TTAFStock_Log[Part Name],$A49,T_TTAFStock_Log[WeekIndex],87)=0,"",SUMIFS(T_TTAFStock_Log[TTAF_Qty],T_TTAFStock_Log[Part Name],$A49,T_TTAFStock_Log[WeekIndex],87))</f>
        <v/>
      </c>
      <c r="CK49" s="19">
        <f>IF(COUNTIFS(T_TTAFStock_Log[Part Name],$A49,T_TTAFStock_Log[WeekIndex],88)=0,"",SUMIFS(T_TTAFStock_Log[TTAF_Qty],T_TTAFStock_Log[Part Name],$A49,T_TTAFStock_Log[WeekIndex],88))</f>
        <v/>
      </c>
      <c r="CL49" s="19">
        <f>IF(COUNTIFS(T_TTAFStock_Log[Part Name],$A49,T_TTAFStock_Log[WeekIndex],89)=0,"",SUMIFS(T_TTAFStock_Log[TTAF_Qty],T_TTAFStock_Log[Part Name],$A49,T_TTAFStock_Log[WeekIndex],89))</f>
        <v/>
      </c>
      <c r="CM49" s="19">
        <f>IF(COUNTIFS(T_TTAFStock_Log[Part Name],$A49,T_TTAFStock_Log[WeekIndex],90)=0,"",SUMIFS(T_TTAFStock_Log[TTAF_Qty],T_TTAFStock_Log[Part Name],$A49,T_TTAFStock_Log[WeekIndex],90))</f>
        <v/>
      </c>
      <c r="CN49" s="19">
        <f>IF(COUNTIFS(T_TTAFStock_Log[Part Name],$A49,T_TTAFStock_Log[WeekIndex],91)=0,"",SUMIFS(T_TTAFStock_Log[TTAF_Qty],T_TTAFStock_Log[Part Name],$A49,T_TTAFStock_Log[WeekIndex],91))</f>
        <v/>
      </c>
      <c r="CO49" s="19">
        <f>IF(COUNTIFS(T_TTAFStock_Log[Part Name],$A49,T_TTAFStock_Log[WeekIndex],92)=0,"",SUMIFS(T_TTAFStock_Log[TTAF_Qty],T_TTAFStock_Log[Part Name],$A49,T_TTAFStock_Log[WeekIndex],92))</f>
        <v/>
      </c>
      <c r="CP49" s="19">
        <f>IF(COUNTIFS(T_TTAFStock_Log[Part Name],$A49,T_TTAFStock_Log[WeekIndex],93)=0,"",SUMIFS(T_TTAFStock_Log[TTAF_Qty],T_TTAFStock_Log[Part Name],$A49,T_TTAFStock_Log[WeekIndex],93))</f>
        <v/>
      </c>
      <c r="CQ49" s="19">
        <f>IF(COUNTIFS(T_TTAFStock_Log[Part Name],$A49,T_TTAFStock_Log[WeekIndex],94)=0,"",SUMIFS(T_TTAFStock_Log[TTAF_Qty],T_TTAFStock_Log[Part Name],$A49,T_TTAFStock_Log[WeekIndex],94))</f>
        <v/>
      </c>
      <c r="CR49" s="19">
        <f>IF(COUNTIFS(T_TTAFStock_Log[Part Name],$A49,T_TTAFStock_Log[WeekIndex],95)=0,"",SUMIFS(T_TTAFStock_Log[TTAF_Qty],T_TTAFStock_Log[Part Name],$A49,T_TTAFStock_Log[WeekIndex],95))</f>
        <v/>
      </c>
      <c r="CS49" s="19">
        <f>IF(COUNTIFS(T_TTAFStock_Log[Part Name],$A49,T_TTAFStock_Log[WeekIndex],96)=0,"",SUMIFS(T_TTAFStock_Log[TTAF_Qty],T_TTAFStock_Log[Part Name],$A49,T_TTAFStock_Log[WeekIndex],96))</f>
        <v/>
      </c>
      <c r="CT49" s="19">
        <f>IF(COUNTIFS(T_TTAFStock_Log[Part Name],$A49,T_TTAFStock_Log[WeekIndex],97)=0,"",SUMIFS(T_TTAFStock_Log[TTAF_Qty],T_TTAFStock_Log[Part Name],$A49,T_TTAFStock_Log[WeekIndex],97))</f>
        <v/>
      </c>
      <c r="CU49" s="19">
        <f>IF(COUNTIFS(T_TTAFStock_Log[Part Name],$A49,T_TTAFStock_Log[WeekIndex],98)=0,"",SUMIFS(T_TTAFStock_Log[TTAF_Qty],T_TTAFStock_Log[Part Name],$A49,T_TTAFStock_Log[WeekIndex],98))</f>
        <v/>
      </c>
      <c r="CV49" s="19">
        <f>IF(COUNTIFS(T_TTAFStock_Log[Part Name],$A49,T_TTAFStock_Log[WeekIndex],99)=0,"",SUMIFS(T_TTAFStock_Log[TTAF_Qty],T_TTAFStock_Log[Part Name],$A49,T_TTAFStock_Log[WeekIndex],99))</f>
        <v/>
      </c>
      <c r="CW49" s="19">
        <f>IF(COUNTIFS(T_TTAFStock_Log[Part Name],$A49,T_TTAFStock_Log[WeekIndex],100)=0,"",SUMIFS(T_TTAFStock_Log[TTAF_Qty],T_TTAFStock_Log[Part Name],$A49,T_TTAFStock_Log[WeekIndex],100))</f>
        <v/>
      </c>
      <c r="CX49" s="19">
        <f>IF(COUNTIFS(T_TTAFStock_Log[Part Name],$A49,T_TTAFStock_Log[WeekIndex],101)=0,"",SUMIFS(T_TTAFStock_Log[TTAF_Qty],T_TTAFStock_Log[Part Name],$A49,T_TTAFStock_Log[WeekIndex],101))</f>
        <v/>
      </c>
      <c r="CY49" s="19">
        <f>IF(COUNTIFS(T_TTAFStock_Log[Part Name],$A49,T_TTAFStock_Log[WeekIndex],102)=0,"",SUMIFS(T_TTAFStock_Log[TTAF_Qty],T_TTAFStock_Log[Part Name],$A49,T_TTAFStock_Log[WeekIndex],102))</f>
        <v/>
      </c>
      <c r="CZ49" s="19">
        <f>IF(COUNTIFS(T_TTAFStock_Log[Part Name],$A49,T_TTAFStock_Log[WeekIndex],103)=0,"",SUMIFS(T_TTAFStock_Log[TTAF_Qty],T_TTAFStock_Log[Part Name],$A49,T_TTAFStock_Log[WeekIndex],103))</f>
        <v/>
      </c>
      <c r="DA49" s="19">
        <f>IF(COUNTIFS(T_TTAFStock_Log[Part Name],$A49,T_TTAFStock_Log[WeekIndex],104)=0,"",SUMIFS(T_TTAFStock_Log[TTAF_Qty],T_TTAFStock_Log[Part Name],$A49,T_TTAFStock_Log[WeekIndex],104))</f>
        <v/>
      </c>
    </row>
    <row r="50">
      <c r="A50" s="17" t="inlineStr">
        <is>
          <t>CHEM-1770</t>
        </is>
      </c>
      <c r="B50" s="17">
        <f>IF(COUNTIFS(T_TTAFStock_Log[Part Name],$A50,T_TTAFStock_Log[WeekIndex],1)=0,"",SUMIFS(T_TTAFStock_Log[TTAF_Qty],T_TTAFStock_Log[Part Name],$A50,T_TTAFStock_Log[WeekIndex],1))</f>
        <v/>
      </c>
      <c r="C50" s="17">
        <f>IF(COUNTIFS(T_TTAFStock_Log[Part Name],$A50,T_TTAFStock_Log[WeekIndex],2)=0,"",SUMIFS(T_TTAFStock_Log[TTAF_Qty],T_TTAFStock_Log[Part Name],$A50,T_TTAFStock_Log[WeekIndex],2))</f>
        <v/>
      </c>
      <c r="D50" s="17">
        <f>IF(COUNTIFS(T_TTAFStock_Log[Part Name],$A50,T_TTAFStock_Log[WeekIndex],3)=0,"",SUMIFS(T_TTAFStock_Log[TTAF_Qty],T_TTAFStock_Log[Part Name],$A50,T_TTAFStock_Log[WeekIndex],3))</f>
        <v/>
      </c>
      <c r="E50" s="17">
        <f>IF(COUNTIFS(T_TTAFStock_Log[Part Name],$A50,T_TTAFStock_Log[WeekIndex],4)=0,"",SUMIFS(T_TTAFStock_Log[TTAF_Qty],T_TTAFStock_Log[Part Name],$A50,T_TTAFStock_Log[WeekIndex],4))</f>
        <v/>
      </c>
      <c r="F50" s="17">
        <f>IF(COUNTIFS(T_TTAFStock_Log[Part Name],$A50,T_TTAFStock_Log[WeekIndex],5)=0,"",SUMIFS(T_TTAFStock_Log[TTAF_Qty],T_TTAFStock_Log[Part Name],$A50,T_TTAFStock_Log[WeekIndex],5))</f>
        <v/>
      </c>
      <c r="G50" s="17">
        <f>IF(COUNTIFS(T_TTAFStock_Log[Part Name],$A50,T_TTAFStock_Log[WeekIndex],6)=0,"",SUMIFS(T_TTAFStock_Log[TTAF_Qty],T_TTAFStock_Log[Part Name],$A50,T_TTAFStock_Log[WeekIndex],6))</f>
        <v/>
      </c>
      <c r="H50" s="17">
        <f>IF(COUNTIFS(T_TTAFStock_Log[Part Name],$A50,T_TTAFStock_Log[WeekIndex],7)=0,"",SUMIFS(T_TTAFStock_Log[TTAF_Qty],T_TTAFStock_Log[Part Name],$A50,T_TTAFStock_Log[WeekIndex],7))</f>
        <v/>
      </c>
      <c r="I50" s="17">
        <f>IF(COUNTIFS(T_TTAFStock_Log[Part Name],$A50,T_TTAFStock_Log[WeekIndex],8)=0,"",SUMIFS(T_TTAFStock_Log[TTAF_Qty],T_TTAFStock_Log[Part Name],$A50,T_TTAFStock_Log[WeekIndex],8))</f>
        <v/>
      </c>
      <c r="J50" s="17">
        <f>IF(COUNTIFS(T_TTAFStock_Log[Part Name],$A50,T_TTAFStock_Log[WeekIndex],9)=0,"",SUMIFS(T_TTAFStock_Log[TTAF_Qty],T_TTAFStock_Log[Part Name],$A50,T_TTAFStock_Log[WeekIndex],9))</f>
        <v/>
      </c>
      <c r="K50" s="17">
        <f>IF(COUNTIFS(T_TTAFStock_Log[Part Name],$A50,T_TTAFStock_Log[WeekIndex],10)=0,"",SUMIFS(T_TTAFStock_Log[TTAF_Qty],T_TTAFStock_Log[Part Name],$A50,T_TTAFStock_Log[WeekIndex],10))</f>
        <v/>
      </c>
      <c r="L50" s="17">
        <f>IF(COUNTIFS(T_TTAFStock_Log[Part Name],$A50,T_TTAFStock_Log[WeekIndex],11)=0,"",SUMIFS(T_TTAFStock_Log[TTAF_Qty],T_TTAFStock_Log[Part Name],$A50,T_TTAFStock_Log[WeekIndex],11))</f>
        <v/>
      </c>
      <c r="M50" s="17">
        <f>IF(COUNTIFS(T_TTAFStock_Log[Part Name],$A50,T_TTAFStock_Log[WeekIndex],12)=0,"",SUMIFS(T_TTAFStock_Log[TTAF_Qty],T_TTAFStock_Log[Part Name],$A50,T_TTAFStock_Log[WeekIndex],12))</f>
        <v/>
      </c>
      <c r="N50" s="17">
        <f>IF(COUNTIFS(T_TTAFStock_Log[Part Name],$A50,T_TTAFStock_Log[WeekIndex],13)=0,"",SUMIFS(T_TTAFStock_Log[TTAF_Qty],T_TTAFStock_Log[Part Name],$A50,T_TTAFStock_Log[WeekIndex],13))</f>
        <v/>
      </c>
      <c r="O50" s="17">
        <f>IF(COUNTIFS(T_TTAFStock_Log[Part Name],$A50,T_TTAFStock_Log[WeekIndex],14)=0,"",SUMIFS(T_TTAFStock_Log[TTAF_Qty],T_TTAFStock_Log[Part Name],$A50,T_TTAFStock_Log[WeekIndex],14))</f>
        <v/>
      </c>
      <c r="P50" s="17">
        <f>IF(COUNTIFS(T_TTAFStock_Log[Part Name],$A50,T_TTAFStock_Log[WeekIndex],15)=0,"",SUMIFS(T_TTAFStock_Log[TTAF_Qty],T_TTAFStock_Log[Part Name],$A50,T_TTAFStock_Log[WeekIndex],15))</f>
        <v/>
      </c>
      <c r="Q50" s="17">
        <f>IF(COUNTIFS(T_TTAFStock_Log[Part Name],$A50,T_TTAFStock_Log[WeekIndex],16)=0,"",SUMIFS(T_TTAFStock_Log[TTAF_Qty],T_TTAFStock_Log[Part Name],$A50,T_TTAFStock_Log[WeekIndex],16))</f>
        <v/>
      </c>
      <c r="R50" s="17">
        <f>IF(COUNTIFS(T_TTAFStock_Log[Part Name],$A50,T_TTAFStock_Log[WeekIndex],17)=0,"",SUMIFS(T_TTAFStock_Log[TTAF_Qty],T_TTAFStock_Log[Part Name],$A50,T_TTAFStock_Log[WeekIndex],17))</f>
        <v/>
      </c>
      <c r="S50" s="17">
        <f>IF(COUNTIFS(T_TTAFStock_Log[Part Name],$A50,T_TTAFStock_Log[WeekIndex],18)=0,"",SUMIFS(T_TTAFStock_Log[TTAF_Qty],T_TTAFStock_Log[Part Name],$A50,T_TTAFStock_Log[WeekIndex],18))</f>
        <v/>
      </c>
      <c r="T50" s="17">
        <f>IF(COUNTIFS(T_TTAFStock_Log[Part Name],$A50,T_TTAFStock_Log[WeekIndex],19)=0,"",SUMIFS(T_TTAFStock_Log[TTAF_Qty],T_TTAFStock_Log[Part Name],$A50,T_TTAFStock_Log[WeekIndex],19))</f>
        <v/>
      </c>
      <c r="U50" s="17">
        <f>IF(COUNTIFS(T_TTAFStock_Log[Part Name],$A50,T_TTAFStock_Log[WeekIndex],20)=0,"",SUMIFS(T_TTAFStock_Log[TTAF_Qty],T_TTAFStock_Log[Part Name],$A50,T_TTAFStock_Log[WeekIndex],20))</f>
        <v/>
      </c>
      <c r="V50" s="17">
        <f>IF(COUNTIFS(T_TTAFStock_Log[Part Name],$A50,T_TTAFStock_Log[WeekIndex],21)=0,"",SUMIFS(T_TTAFStock_Log[TTAF_Qty],T_TTAFStock_Log[Part Name],$A50,T_TTAFStock_Log[WeekIndex],21))</f>
        <v/>
      </c>
      <c r="W50" s="17">
        <f>IF(COUNTIFS(T_TTAFStock_Log[Part Name],$A50,T_TTAFStock_Log[WeekIndex],22)=0,"",SUMIFS(T_TTAFStock_Log[TTAF_Qty],T_TTAFStock_Log[Part Name],$A50,T_TTAFStock_Log[WeekIndex],22))</f>
        <v/>
      </c>
      <c r="X50" s="17">
        <f>IF(COUNTIFS(T_TTAFStock_Log[Part Name],$A50,T_TTAFStock_Log[WeekIndex],23)=0,"",SUMIFS(T_TTAFStock_Log[TTAF_Qty],T_TTAFStock_Log[Part Name],$A50,T_TTAFStock_Log[WeekIndex],23))</f>
        <v/>
      </c>
      <c r="Y50" s="17">
        <f>IF(COUNTIFS(T_TTAFStock_Log[Part Name],$A50,T_TTAFStock_Log[WeekIndex],24)=0,"",SUMIFS(T_TTAFStock_Log[TTAF_Qty],T_TTAFStock_Log[Part Name],$A50,T_TTAFStock_Log[WeekIndex],24))</f>
        <v/>
      </c>
      <c r="Z50" s="17">
        <f>IF(COUNTIFS(T_TTAFStock_Log[Part Name],$A50,T_TTAFStock_Log[WeekIndex],25)=0,"",SUMIFS(T_TTAFStock_Log[TTAF_Qty],T_TTAFStock_Log[Part Name],$A50,T_TTAFStock_Log[WeekIndex],25))</f>
        <v/>
      </c>
      <c r="AA50" s="17">
        <f>IF(COUNTIFS(T_TTAFStock_Log[Part Name],$A50,T_TTAFStock_Log[WeekIndex],26)=0,"",SUMIFS(T_TTAFStock_Log[TTAF_Qty],T_TTAFStock_Log[Part Name],$A50,T_TTAFStock_Log[WeekIndex],26))</f>
        <v/>
      </c>
      <c r="AB50" s="17">
        <f>IF(COUNTIFS(T_TTAFStock_Log[Part Name],$A50,T_TTAFStock_Log[WeekIndex],27)=0,"",SUMIFS(T_TTAFStock_Log[TTAF_Qty],T_TTAFStock_Log[Part Name],$A50,T_TTAFStock_Log[WeekIndex],27))</f>
        <v/>
      </c>
      <c r="AC50" s="17">
        <f>IF(COUNTIFS(T_TTAFStock_Log[Part Name],$A50,T_TTAFStock_Log[WeekIndex],28)=0,"",SUMIFS(T_TTAFStock_Log[TTAF_Qty],T_TTAFStock_Log[Part Name],$A50,T_TTAFStock_Log[WeekIndex],28))</f>
        <v/>
      </c>
      <c r="AD50" s="17">
        <f>IF(COUNTIFS(T_TTAFStock_Log[Part Name],$A50,T_TTAFStock_Log[WeekIndex],29)=0,"",SUMIFS(T_TTAFStock_Log[TTAF_Qty],T_TTAFStock_Log[Part Name],$A50,T_TTAFStock_Log[WeekIndex],29))</f>
        <v/>
      </c>
      <c r="AE50" s="17">
        <f>IF(COUNTIFS(T_TTAFStock_Log[Part Name],$A50,T_TTAFStock_Log[WeekIndex],30)=0,"",SUMIFS(T_TTAFStock_Log[TTAF_Qty],T_TTAFStock_Log[Part Name],$A50,T_TTAFStock_Log[WeekIndex],30))</f>
        <v/>
      </c>
      <c r="AF50" s="17">
        <f>IF(COUNTIFS(T_TTAFStock_Log[Part Name],$A50,T_TTAFStock_Log[WeekIndex],31)=0,"",SUMIFS(T_TTAFStock_Log[TTAF_Qty],T_TTAFStock_Log[Part Name],$A50,T_TTAFStock_Log[WeekIndex],31))</f>
        <v/>
      </c>
      <c r="AG50" s="17">
        <f>IF(COUNTIFS(T_TTAFStock_Log[Part Name],$A50,T_TTAFStock_Log[WeekIndex],32)=0,"",SUMIFS(T_TTAFStock_Log[TTAF_Qty],T_TTAFStock_Log[Part Name],$A50,T_TTAFStock_Log[WeekIndex],32))</f>
        <v/>
      </c>
      <c r="AH50" s="17">
        <f>IF(COUNTIFS(T_TTAFStock_Log[Part Name],$A50,T_TTAFStock_Log[WeekIndex],33)=0,"",SUMIFS(T_TTAFStock_Log[TTAF_Qty],T_TTAFStock_Log[Part Name],$A50,T_TTAFStock_Log[WeekIndex],33))</f>
        <v/>
      </c>
      <c r="AI50" s="17">
        <f>IF(COUNTIFS(T_TTAFStock_Log[Part Name],$A50,T_TTAFStock_Log[WeekIndex],34)=0,"",SUMIFS(T_TTAFStock_Log[TTAF_Qty],T_TTAFStock_Log[Part Name],$A50,T_TTAFStock_Log[WeekIndex],34))</f>
        <v/>
      </c>
      <c r="AJ50" s="17">
        <f>IF(COUNTIFS(T_TTAFStock_Log[Part Name],$A50,T_TTAFStock_Log[WeekIndex],35)=0,"",SUMIFS(T_TTAFStock_Log[TTAF_Qty],T_TTAFStock_Log[Part Name],$A50,T_TTAFStock_Log[WeekIndex],35))</f>
        <v/>
      </c>
      <c r="AK50" s="17">
        <f>IF(COUNTIFS(T_TTAFStock_Log[Part Name],$A50,T_TTAFStock_Log[WeekIndex],36)=0,"",SUMIFS(T_TTAFStock_Log[TTAF_Qty],T_TTAFStock_Log[Part Name],$A50,T_TTAFStock_Log[WeekIndex],36))</f>
        <v/>
      </c>
      <c r="AL50" s="17">
        <f>IF(COUNTIFS(T_TTAFStock_Log[Part Name],$A50,T_TTAFStock_Log[WeekIndex],37)=0,"",SUMIFS(T_TTAFStock_Log[TTAF_Qty],T_TTAFStock_Log[Part Name],$A50,T_TTAFStock_Log[WeekIndex],37))</f>
        <v/>
      </c>
      <c r="AM50" s="17">
        <f>IF(COUNTIFS(T_TTAFStock_Log[Part Name],$A50,T_TTAFStock_Log[WeekIndex],38)=0,"",SUMIFS(T_TTAFStock_Log[TTAF_Qty],T_TTAFStock_Log[Part Name],$A50,T_TTAFStock_Log[WeekIndex],38))</f>
        <v/>
      </c>
      <c r="AN50" s="17">
        <f>IF(COUNTIFS(T_TTAFStock_Log[Part Name],$A50,T_TTAFStock_Log[WeekIndex],39)=0,"",SUMIFS(T_TTAFStock_Log[TTAF_Qty],T_TTAFStock_Log[Part Name],$A50,T_TTAFStock_Log[WeekIndex],39))</f>
        <v/>
      </c>
      <c r="AO50" s="17">
        <f>IF(COUNTIFS(T_TTAFStock_Log[Part Name],$A50,T_TTAFStock_Log[WeekIndex],40)=0,"",SUMIFS(T_TTAFStock_Log[TTAF_Qty],T_TTAFStock_Log[Part Name],$A50,T_TTAFStock_Log[WeekIndex],40))</f>
        <v/>
      </c>
      <c r="AP50" s="17">
        <f>IF(COUNTIFS(T_TTAFStock_Log[Part Name],$A50,T_TTAFStock_Log[WeekIndex],41)=0,"",SUMIFS(T_TTAFStock_Log[TTAF_Qty],T_TTAFStock_Log[Part Name],$A50,T_TTAFStock_Log[WeekIndex],41))</f>
        <v/>
      </c>
      <c r="AQ50" s="17">
        <f>IF(COUNTIFS(T_TTAFStock_Log[Part Name],$A50,T_TTAFStock_Log[WeekIndex],42)=0,"",SUMIFS(T_TTAFStock_Log[TTAF_Qty],T_TTAFStock_Log[Part Name],$A50,T_TTAFStock_Log[WeekIndex],42))</f>
        <v/>
      </c>
      <c r="AR50" s="17">
        <f>IF(COUNTIFS(T_TTAFStock_Log[Part Name],$A50,T_TTAFStock_Log[WeekIndex],43)=0,"",SUMIFS(T_TTAFStock_Log[TTAF_Qty],T_TTAFStock_Log[Part Name],$A50,T_TTAFStock_Log[WeekIndex],43))</f>
        <v/>
      </c>
      <c r="AS50" s="17">
        <f>IF(COUNTIFS(T_TTAFStock_Log[Part Name],$A50,T_TTAFStock_Log[WeekIndex],44)=0,"",SUMIFS(T_TTAFStock_Log[TTAF_Qty],T_TTAFStock_Log[Part Name],$A50,T_TTAFStock_Log[WeekIndex],44))</f>
        <v/>
      </c>
      <c r="AT50" s="17">
        <f>IF(COUNTIFS(T_TTAFStock_Log[Part Name],$A50,T_TTAFStock_Log[WeekIndex],45)=0,"",SUMIFS(T_TTAFStock_Log[TTAF_Qty],T_TTAFStock_Log[Part Name],$A50,T_TTAFStock_Log[WeekIndex],45))</f>
        <v/>
      </c>
      <c r="AU50" s="17">
        <f>IF(COUNTIFS(T_TTAFStock_Log[Part Name],$A50,T_TTAFStock_Log[WeekIndex],46)=0,"",SUMIFS(T_TTAFStock_Log[TTAF_Qty],T_TTAFStock_Log[Part Name],$A50,T_TTAFStock_Log[WeekIndex],46))</f>
        <v/>
      </c>
      <c r="AV50" s="17">
        <f>IF(COUNTIFS(T_TTAFStock_Log[Part Name],$A50,T_TTAFStock_Log[WeekIndex],47)=0,"",SUMIFS(T_TTAFStock_Log[TTAF_Qty],T_TTAFStock_Log[Part Name],$A50,T_TTAFStock_Log[WeekIndex],47))</f>
        <v/>
      </c>
      <c r="AW50" s="17">
        <f>IF(COUNTIFS(T_TTAFStock_Log[Part Name],$A50,T_TTAFStock_Log[WeekIndex],48)=0,"",SUMIFS(T_TTAFStock_Log[TTAF_Qty],T_TTAFStock_Log[Part Name],$A50,T_TTAFStock_Log[WeekIndex],48))</f>
        <v/>
      </c>
      <c r="AX50" s="17">
        <f>IF(COUNTIFS(T_TTAFStock_Log[Part Name],$A50,T_TTAFStock_Log[WeekIndex],49)=0,"",SUMIFS(T_TTAFStock_Log[TTAF_Qty],T_TTAFStock_Log[Part Name],$A50,T_TTAFStock_Log[WeekIndex],49))</f>
        <v/>
      </c>
      <c r="AY50" s="17">
        <f>IF(COUNTIFS(T_TTAFStock_Log[Part Name],$A50,T_TTAFStock_Log[WeekIndex],50)=0,"",SUMIFS(T_TTAFStock_Log[TTAF_Qty],T_TTAFStock_Log[Part Name],$A50,T_TTAFStock_Log[WeekIndex],50))</f>
        <v/>
      </c>
      <c r="AZ50" s="17">
        <f>IF(COUNTIFS(T_TTAFStock_Log[Part Name],$A50,T_TTAFStock_Log[WeekIndex],51)=0,"",SUMIFS(T_TTAFStock_Log[TTAF_Qty],T_TTAFStock_Log[Part Name],$A50,T_TTAFStock_Log[WeekIndex],51))</f>
        <v/>
      </c>
      <c r="BA50" s="17">
        <f>IF(COUNTIFS(T_TTAFStock_Log[Part Name],$A50,T_TTAFStock_Log[WeekIndex],52)=0,"",SUMIFS(T_TTAFStock_Log[TTAF_Qty],T_TTAFStock_Log[Part Name],$A50,T_TTAFStock_Log[WeekIndex],52))</f>
        <v/>
      </c>
      <c r="BB50" s="17">
        <f>IF(COUNTIFS(T_TTAFStock_Log[Part Name],$A50,T_TTAFStock_Log[WeekIndex],53)=0,"",SUMIFS(T_TTAFStock_Log[TTAF_Qty],T_TTAFStock_Log[Part Name],$A50,T_TTAFStock_Log[WeekIndex],53))</f>
        <v/>
      </c>
      <c r="BC50" s="17">
        <f>IF(COUNTIFS(T_TTAFStock_Log[Part Name],$A50,T_TTAFStock_Log[WeekIndex],54)=0,"",SUMIFS(T_TTAFStock_Log[TTAF_Qty],T_TTAFStock_Log[Part Name],$A50,T_TTAFStock_Log[WeekIndex],54))</f>
        <v/>
      </c>
      <c r="BD50" s="17">
        <f>IF(COUNTIFS(T_TTAFStock_Log[Part Name],$A50,T_TTAFStock_Log[WeekIndex],55)=0,"",SUMIFS(T_TTAFStock_Log[TTAF_Qty],T_TTAFStock_Log[Part Name],$A50,T_TTAFStock_Log[WeekIndex],55))</f>
        <v/>
      </c>
      <c r="BE50" s="17">
        <f>IF(COUNTIFS(T_TTAFStock_Log[Part Name],$A50,T_TTAFStock_Log[WeekIndex],56)=0,"",SUMIFS(T_TTAFStock_Log[TTAF_Qty],T_TTAFStock_Log[Part Name],$A50,T_TTAFStock_Log[WeekIndex],56))</f>
        <v/>
      </c>
      <c r="BF50" s="17">
        <f>IF(COUNTIFS(T_TTAFStock_Log[Part Name],$A50,T_TTAFStock_Log[WeekIndex],57)=0,"",SUMIFS(T_TTAFStock_Log[TTAF_Qty],T_TTAFStock_Log[Part Name],$A50,T_TTAFStock_Log[WeekIndex],57))</f>
        <v/>
      </c>
      <c r="BG50" s="17">
        <f>IF(COUNTIFS(T_TTAFStock_Log[Part Name],$A50,T_TTAFStock_Log[WeekIndex],58)=0,"",SUMIFS(T_TTAFStock_Log[TTAF_Qty],T_TTAFStock_Log[Part Name],$A50,T_TTAFStock_Log[WeekIndex],58))</f>
        <v/>
      </c>
      <c r="BH50" s="17">
        <f>IF(COUNTIFS(T_TTAFStock_Log[Part Name],$A50,T_TTAFStock_Log[WeekIndex],59)=0,"",SUMIFS(T_TTAFStock_Log[TTAF_Qty],T_TTAFStock_Log[Part Name],$A50,T_TTAFStock_Log[WeekIndex],59))</f>
        <v/>
      </c>
      <c r="BI50" s="17">
        <f>IF(COUNTIFS(T_TTAFStock_Log[Part Name],$A50,T_TTAFStock_Log[WeekIndex],60)=0,"",SUMIFS(T_TTAFStock_Log[TTAF_Qty],T_TTAFStock_Log[Part Name],$A50,T_TTAFStock_Log[WeekIndex],60))</f>
        <v/>
      </c>
      <c r="BJ50" s="17">
        <f>IF(COUNTIFS(T_TTAFStock_Log[Part Name],$A50,T_TTAFStock_Log[WeekIndex],61)=0,"",SUMIFS(T_TTAFStock_Log[TTAF_Qty],T_TTAFStock_Log[Part Name],$A50,T_TTAFStock_Log[WeekIndex],61))</f>
        <v/>
      </c>
      <c r="BK50" s="17">
        <f>IF(COUNTIFS(T_TTAFStock_Log[Part Name],$A50,T_TTAFStock_Log[WeekIndex],62)=0,"",SUMIFS(T_TTAFStock_Log[TTAF_Qty],T_TTAFStock_Log[Part Name],$A50,T_TTAFStock_Log[WeekIndex],62))</f>
        <v/>
      </c>
      <c r="BL50" s="17">
        <f>IF(COUNTIFS(T_TTAFStock_Log[Part Name],$A50,T_TTAFStock_Log[WeekIndex],63)=0,"",SUMIFS(T_TTAFStock_Log[TTAF_Qty],T_TTAFStock_Log[Part Name],$A50,T_TTAFStock_Log[WeekIndex],63))</f>
        <v/>
      </c>
      <c r="BM50" s="17">
        <f>IF(COUNTIFS(T_TTAFStock_Log[Part Name],$A50,T_TTAFStock_Log[WeekIndex],64)=0,"",SUMIFS(T_TTAFStock_Log[TTAF_Qty],T_TTAFStock_Log[Part Name],$A50,T_TTAFStock_Log[WeekIndex],64))</f>
        <v/>
      </c>
      <c r="BN50" s="17">
        <f>IF(COUNTIFS(T_TTAFStock_Log[Part Name],$A50,T_TTAFStock_Log[WeekIndex],65)=0,"",SUMIFS(T_TTAFStock_Log[TTAF_Qty],T_TTAFStock_Log[Part Name],$A50,T_TTAFStock_Log[WeekIndex],65))</f>
        <v/>
      </c>
      <c r="BO50" s="17">
        <f>IF(COUNTIFS(T_TTAFStock_Log[Part Name],$A50,T_TTAFStock_Log[WeekIndex],66)=0,"",SUMIFS(T_TTAFStock_Log[TTAF_Qty],T_TTAFStock_Log[Part Name],$A50,T_TTAFStock_Log[WeekIndex],66))</f>
        <v/>
      </c>
      <c r="BP50" s="17">
        <f>IF(COUNTIFS(T_TTAFStock_Log[Part Name],$A50,T_TTAFStock_Log[WeekIndex],67)=0,"",SUMIFS(T_TTAFStock_Log[TTAF_Qty],T_TTAFStock_Log[Part Name],$A50,T_TTAFStock_Log[WeekIndex],67))</f>
        <v/>
      </c>
      <c r="BQ50" s="17">
        <f>IF(COUNTIFS(T_TTAFStock_Log[Part Name],$A50,T_TTAFStock_Log[WeekIndex],68)=0,"",SUMIFS(T_TTAFStock_Log[TTAF_Qty],T_TTAFStock_Log[Part Name],$A50,T_TTAFStock_Log[WeekIndex],68))</f>
        <v/>
      </c>
      <c r="BR50" s="17">
        <f>IF(COUNTIFS(T_TTAFStock_Log[Part Name],$A50,T_TTAFStock_Log[WeekIndex],69)=0,"",SUMIFS(T_TTAFStock_Log[TTAF_Qty],T_TTAFStock_Log[Part Name],$A50,T_TTAFStock_Log[WeekIndex],69))</f>
        <v/>
      </c>
      <c r="BS50" s="17">
        <f>IF(COUNTIFS(T_TTAFStock_Log[Part Name],$A50,T_TTAFStock_Log[WeekIndex],70)=0,"",SUMIFS(T_TTAFStock_Log[TTAF_Qty],T_TTAFStock_Log[Part Name],$A50,T_TTAFStock_Log[WeekIndex],70))</f>
        <v/>
      </c>
      <c r="BT50" s="17">
        <f>IF(COUNTIFS(T_TTAFStock_Log[Part Name],$A50,T_TTAFStock_Log[WeekIndex],71)=0,"",SUMIFS(T_TTAFStock_Log[TTAF_Qty],T_TTAFStock_Log[Part Name],$A50,T_TTAFStock_Log[WeekIndex],71))</f>
        <v/>
      </c>
      <c r="BU50" s="17">
        <f>IF(COUNTIFS(T_TTAFStock_Log[Part Name],$A50,T_TTAFStock_Log[WeekIndex],72)=0,"",SUMIFS(T_TTAFStock_Log[TTAF_Qty],T_TTAFStock_Log[Part Name],$A50,T_TTAFStock_Log[WeekIndex],72))</f>
        <v/>
      </c>
      <c r="BV50" s="17">
        <f>IF(COUNTIFS(T_TTAFStock_Log[Part Name],$A50,T_TTAFStock_Log[WeekIndex],73)=0,"",SUMIFS(T_TTAFStock_Log[TTAF_Qty],T_TTAFStock_Log[Part Name],$A50,T_TTAFStock_Log[WeekIndex],73))</f>
        <v/>
      </c>
      <c r="BW50" s="17">
        <f>IF(COUNTIFS(T_TTAFStock_Log[Part Name],$A50,T_TTAFStock_Log[WeekIndex],74)=0,"",SUMIFS(T_TTAFStock_Log[TTAF_Qty],T_TTAFStock_Log[Part Name],$A50,T_TTAFStock_Log[WeekIndex],74))</f>
        <v/>
      </c>
      <c r="BX50" s="17">
        <f>IF(COUNTIFS(T_TTAFStock_Log[Part Name],$A50,T_TTAFStock_Log[WeekIndex],75)=0,"",SUMIFS(T_TTAFStock_Log[TTAF_Qty],T_TTAFStock_Log[Part Name],$A50,T_TTAFStock_Log[WeekIndex],75))</f>
        <v/>
      </c>
      <c r="BY50" s="17">
        <f>IF(COUNTIFS(T_TTAFStock_Log[Part Name],$A50,T_TTAFStock_Log[WeekIndex],76)=0,"",SUMIFS(T_TTAFStock_Log[TTAF_Qty],T_TTAFStock_Log[Part Name],$A50,T_TTAFStock_Log[WeekIndex],76))</f>
        <v/>
      </c>
      <c r="BZ50" s="17">
        <f>IF(COUNTIFS(T_TTAFStock_Log[Part Name],$A50,T_TTAFStock_Log[WeekIndex],77)=0,"",SUMIFS(T_TTAFStock_Log[TTAF_Qty],T_TTAFStock_Log[Part Name],$A50,T_TTAFStock_Log[WeekIndex],77))</f>
        <v/>
      </c>
      <c r="CA50" s="17">
        <f>IF(COUNTIFS(T_TTAFStock_Log[Part Name],$A50,T_TTAFStock_Log[WeekIndex],78)=0,"",SUMIFS(T_TTAFStock_Log[TTAF_Qty],T_TTAFStock_Log[Part Name],$A50,T_TTAFStock_Log[WeekIndex],78))</f>
        <v/>
      </c>
      <c r="CB50" s="17">
        <f>IF(COUNTIFS(T_TTAFStock_Log[Part Name],$A50,T_TTAFStock_Log[WeekIndex],79)=0,"",SUMIFS(T_TTAFStock_Log[TTAF_Qty],T_TTAFStock_Log[Part Name],$A50,T_TTAFStock_Log[WeekIndex],79))</f>
        <v/>
      </c>
      <c r="CC50" s="17">
        <f>IF(COUNTIFS(T_TTAFStock_Log[Part Name],$A50,T_TTAFStock_Log[WeekIndex],80)=0,"",SUMIFS(T_TTAFStock_Log[TTAF_Qty],T_TTAFStock_Log[Part Name],$A50,T_TTAFStock_Log[WeekIndex],80))</f>
        <v/>
      </c>
      <c r="CD50" s="17">
        <f>IF(COUNTIFS(T_TTAFStock_Log[Part Name],$A50,T_TTAFStock_Log[WeekIndex],81)=0,"",SUMIFS(T_TTAFStock_Log[TTAF_Qty],T_TTAFStock_Log[Part Name],$A50,T_TTAFStock_Log[WeekIndex],81))</f>
        <v/>
      </c>
      <c r="CE50" s="17">
        <f>IF(COUNTIFS(T_TTAFStock_Log[Part Name],$A50,T_TTAFStock_Log[WeekIndex],82)=0,"",SUMIFS(T_TTAFStock_Log[TTAF_Qty],T_TTAFStock_Log[Part Name],$A50,T_TTAFStock_Log[WeekIndex],82))</f>
        <v/>
      </c>
      <c r="CF50" s="17">
        <f>IF(COUNTIFS(T_TTAFStock_Log[Part Name],$A50,T_TTAFStock_Log[WeekIndex],83)=0,"",SUMIFS(T_TTAFStock_Log[TTAF_Qty],T_TTAFStock_Log[Part Name],$A50,T_TTAFStock_Log[WeekIndex],83))</f>
        <v/>
      </c>
      <c r="CG50" s="17">
        <f>IF(COUNTIFS(T_TTAFStock_Log[Part Name],$A50,T_TTAFStock_Log[WeekIndex],84)=0,"",SUMIFS(T_TTAFStock_Log[TTAF_Qty],T_TTAFStock_Log[Part Name],$A50,T_TTAFStock_Log[WeekIndex],84))</f>
        <v/>
      </c>
      <c r="CH50" s="17">
        <f>IF(COUNTIFS(T_TTAFStock_Log[Part Name],$A50,T_TTAFStock_Log[WeekIndex],85)=0,"",SUMIFS(T_TTAFStock_Log[TTAF_Qty],T_TTAFStock_Log[Part Name],$A50,T_TTAFStock_Log[WeekIndex],85))</f>
        <v/>
      </c>
      <c r="CI50" s="17">
        <f>IF(COUNTIFS(T_TTAFStock_Log[Part Name],$A50,T_TTAFStock_Log[WeekIndex],86)=0,"",SUMIFS(T_TTAFStock_Log[TTAF_Qty],T_TTAFStock_Log[Part Name],$A50,T_TTAFStock_Log[WeekIndex],86))</f>
        <v/>
      </c>
      <c r="CJ50" s="17">
        <f>IF(COUNTIFS(T_TTAFStock_Log[Part Name],$A50,T_TTAFStock_Log[WeekIndex],87)=0,"",SUMIFS(T_TTAFStock_Log[TTAF_Qty],T_TTAFStock_Log[Part Name],$A50,T_TTAFStock_Log[WeekIndex],87))</f>
        <v/>
      </c>
      <c r="CK50" s="17">
        <f>IF(COUNTIFS(T_TTAFStock_Log[Part Name],$A50,T_TTAFStock_Log[WeekIndex],88)=0,"",SUMIFS(T_TTAFStock_Log[TTAF_Qty],T_TTAFStock_Log[Part Name],$A50,T_TTAFStock_Log[WeekIndex],88))</f>
        <v/>
      </c>
      <c r="CL50" s="17">
        <f>IF(COUNTIFS(T_TTAFStock_Log[Part Name],$A50,T_TTAFStock_Log[WeekIndex],89)=0,"",SUMIFS(T_TTAFStock_Log[TTAF_Qty],T_TTAFStock_Log[Part Name],$A50,T_TTAFStock_Log[WeekIndex],89))</f>
        <v/>
      </c>
      <c r="CM50" s="17">
        <f>IF(COUNTIFS(T_TTAFStock_Log[Part Name],$A50,T_TTAFStock_Log[WeekIndex],90)=0,"",SUMIFS(T_TTAFStock_Log[TTAF_Qty],T_TTAFStock_Log[Part Name],$A50,T_TTAFStock_Log[WeekIndex],90))</f>
        <v/>
      </c>
      <c r="CN50" s="17">
        <f>IF(COUNTIFS(T_TTAFStock_Log[Part Name],$A50,T_TTAFStock_Log[WeekIndex],91)=0,"",SUMIFS(T_TTAFStock_Log[TTAF_Qty],T_TTAFStock_Log[Part Name],$A50,T_TTAFStock_Log[WeekIndex],91))</f>
        <v/>
      </c>
      <c r="CO50" s="17">
        <f>IF(COUNTIFS(T_TTAFStock_Log[Part Name],$A50,T_TTAFStock_Log[WeekIndex],92)=0,"",SUMIFS(T_TTAFStock_Log[TTAF_Qty],T_TTAFStock_Log[Part Name],$A50,T_TTAFStock_Log[WeekIndex],92))</f>
        <v/>
      </c>
      <c r="CP50" s="17">
        <f>IF(COUNTIFS(T_TTAFStock_Log[Part Name],$A50,T_TTAFStock_Log[WeekIndex],93)=0,"",SUMIFS(T_TTAFStock_Log[TTAF_Qty],T_TTAFStock_Log[Part Name],$A50,T_TTAFStock_Log[WeekIndex],93))</f>
        <v/>
      </c>
      <c r="CQ50" s="17">
        <f>IF(COUNTIFS(T_TTAFStock_Log[Part Name],$A50,T_TTAFStock_Log[WeekIndex],94)=0,"",SUMIFS(T_TTAFStock_Log[TTAF_Qty],T_TTAFStock_Log[Part Name],$A50,T_TTAFStock_Log[WeekIndex],94))</f>
        <v/>
      </c>
      <c r="CR50" s="17">
        <f>IF(COUNTIFS(T_TTAFStock_Log[Part Name],$A50,T_TTAFStock_Log[WeekIndex],95)=0,"",SUMIFS(T_TTAFStock_Log[TTAF_Qty],T_TTAFStock_Log[Part Name],$A50,T_TTAFStock_Log[WeekIndex],95))</f>
        <v/>
      </c>
      <c r="CS50" s="17">
        <f>IF(COUNTIFS(T_TTAFStock_Log[Part Name],$A50,T_TTAFStock_Log[WeekIndex],96)=0,"",SUMIFS(T_TTAFStock_Log[TTAF_Qty],T_TTAFStock_Log[Part Name],$A50,T_TTAFStock_Log[WeekIndex],96))</f>
        <v/>
      </c>
      <c r="CT50" s="17">
        <f>IF(COUNTIFS(T_TTAFStock_Log[Part Name],$A50,T_TTAFStock_Log[WeekIndex],97)=0,"",SUMIFS(T_TTAFStock_Log[TTAF_Qty],T_TTAFStock_Log[Part Name],$A50,T_TTAFStock_Log[WeekIndex],97))</f>
        <v/>
      </c>
      <c r="CU50" s="17">
        <f>IF(COUNTIFS(T_TTAFStock_Log[Part Name],$A50,T_TTAFStock_Log[WeekIndex],98)=0,"",SUMIFS(T_TTAFStock_Log[TTAF_Qty],T_TTAFStock_Log[Part Name],$A50,T_TTAFStock_Log[WeekIndex],98))</f>
        <v/>
      </c>
      <c r="CV50" s="17">
        <f>IF(COUNTIFS(T_TTAFStock_Log[Part Name],$A50,T_TTAFStock_Log[WeekIndex],99)=0,"",SUMIFS(T_TTAFStock_Log[TTAF_Qty],T_TTAFStock_Log[Part Name],$A50,T_TTAFStock_Log[WeekIndex],99))</f>
        <v/>
      </c>
      <c r="CW50" s="17">
        <f>IF(COUNTIFS(T_TTAFStock_Log[Part Name],$A50,T_TTAFStock_Log[WeekIndex],100)=0,"",SUMIFS(T_TTAFStock_Log[TTAF_Qty],T_TTAFStock_Log[Part Name],$A50,T_TTAFStock_Log[WeekIndex],100))</f>
        <v/>
      </c>
      <c r="CX50" s="17">
        <f>IF(COUNTIFS(T_TTAFStock_Log[Part Name],$A50,T_TTAFStock_Log[WeekIndex],101)=0,"",SUMIFS(T_TTAFStock_Log[TTAF_Qty],T_TTAFStock_Log[Part Name],$A50,T_TTAFStock_Log[WeekIndex],101))</f>
        <v/>
      </c>
      <c r="CY50" s="17">
        <f>IF(COUNTIFS(T_TTAFStock_Log[Part Name],$A50,T_TTAFStock_Log[WeekIndex],102)=0,"",SUMIFS(T_TTAFStock_Log[TTAF_Qty],T_TTAFStock_Log[Part Name],$A50,T_TTAFStock_Log[WeekIndex],102))</f>
        <v/>
      </c>
      <c r="CZ50" s="17">
        <f>IF(COUNTIFS(T_TTAFStock_Log[Part Name],$A50,T_TTAFStock_Log[WeekIndex],103)=0,"",SUMIFS(T_TTAFStock_Log[TTAF_Qty],T_TTAFStock_Log[Part Name],$A50,T_TTAFStock_Log[WeekIndex],103))</f>
        <v/>
      </c>
      <c r="DA50" s="17">
        <f>IF(COUNTIFS(T_TTAFStock_Log[Part Name],$A50,T_TTAFStock_Log[WeekIndex],104)=0,"",SUMIFS(T_TTAFStock_Log[TTAF_Qty],T_TTAFStock_Log[Part Name],$A50,T_TTAFStock_Log[WeekIndex],104))</f>
        <v/>
      </c>
    </row>
    <row r="51">
      <c r="A51" s="19" t="inlineStr">
        <is>
          <t>CHEM-1430</t>
        </is>
      </c>
      <c r="B51" s="19">
        <f>IF(COUNTIFS(T_TTAFStock_Log[Part Name],$A51,T_TTAFStock_Log[WeekIndex],1)=0,"",SUMIFS(T_TTAFStock_Log[TTAF_Qty],T_TTAFStock_Log[Part Name],$A51,T_TTAFStock_Log[WeekIndex],1))</f>
        <v/>
      </c>
      <c r="C51" s="19">
        <f>IF(COUNTIFS(T_TTAFStock_Log[Part Name],$A51,T_TTAFStock_Log[WeekIndex],2)=0,"",SUMIFS(T_TTAFStock_Log[TTAF_Qty],T_TTAFStock_Log[Part Name],$A51,T_TTAFStock_Log[WeekIndex],2))</f>
        <v/>
      </c>
      <c r="D51" s="19">
        <f>IF(COUNTIFS(T_TTAFStock_Log[Part Name],$A51,T_TTAFStock_Log[WeekIndex],3)=0,"",SUMIFS(T_TTAFStock_Log[TTAF_Qty],T_TTAFStock_Log[Part Name],$A51,T_TTAFStock_Log[WeekIndex],3))</f>
        <v/>
      </c>
      <c r="E51" s="19">
        <f>IF(COUNTIFS(T_TTAFStock_Log[Part Name],$A51,T_TTAFStock_Log[WeekIndex],4)=0,"",SUMIFS(T_TTAFStock_Log[TTAF_Qty],T_TTAFStock_Log[Part Name],$A51,T_TTAFStock_Log[WeekIndex],4))</f>
        <v/>
      </c>
      <c r="F51" s="19">
        <f>IF(COUNTIFS(T_TTAFStock_Log[Part Name],$A51,T_TTAFStock_Log[WeekIndex],5)=0,"",SUMIFS(T_TTAFStock_Log[TTAF_Qty],T_TTAFStock_Log[Part Name],$A51,T_TTAFStock_Log[WeekIndex],5))</f>
        <v/>
      </c>
      <c r="G51" s="19">
        <f>IF(COUNTIFS(T_TTAFStock_Log[Part Name],$A51,T_TTAFStock_Log[WeekIndex],6)=0,"",SUMIFS(T_TTAFStock_Log[TTAF_Qty],T_TTAFStock_Log[Part Name],$A51,T_TTAFStock_Log[WeekIndex],6))</f>
        <v/>
      </c>
      <c r="H51" s="19">
        <f>IF(COUNTIFS(T_TTAFStock_Log[Part Name],$A51,T_TTAFStock_Log[WeekIndex],7)=0,"",SUMIFS(T_TTAFStock_Log[TTAF_Qty],T_TTAFStock_Log[Part Name],$A51,T_TTAFStock_Log[WeekIndex],7))</f>
        <v/>
      </c>
      <c r="I51" s="19">
        <f>IF(COUNTIFS(T_TTAFStock_Log[Part Name],$A51,T_TTAFStock_Log[WeekIndex],8)=0,"",SUMIFS(T_TTAFStock_Log[TTAF_Qty],T_TTAFStock_Log[Part Name],$A51,T_TTAFStock_Log[WeekIndex],8))</f>
        <v/>
      </c>
      <c r="J51" s="19">
        <f>IF(COUNTIFS(T_TTAFStock_Log[Part Name],$A51,T_TTAFStock_Log[WeekIndex],9)=0,"",SUMIFS(T_TTAFStock_Log[TTAF_Qty],T_TTAFStock_Log[Part Name],$A51,T_TTAFStock_Log[WeekIndex],9))</f>
        <v/>
      </c>
      <c r="K51" s="19">
        <f>IF(COUNTIFS(T_TTAFStock_Log[Part Name],$A51,T_TTAFStock_Log[WeekIndex],10)=0,"",SUMIFS(T_TTAFStock_Log[TTAF_Qty],T_TTAFStock_Log[Part Name],$A51,T_TTAFStock_Log[WeekIndex],10))</f>
        <v/>
      </c>
      <c r="L51" s="19">
        <f>IF(COUNTIFS(T_TTAFStock_Log[Part Name],$A51,T_TTAFStock_Log[WeekIndex],11)=0,"",SUMIFS(T_TTAFStock_Log[TTAF_Qty],T_TTAFStock_Log[Part Name],$A51,T_TTAFStock_Log[WeekIndex],11))</f>
        <v/>
      </c>
      <c r="M51" s="19">
        <f>IF(COUNTIFS(T_TTAFStock_Log[Part Name],$A51,T_TTAFStock_Log[WeekIndex],12)=0,"",SUMIFS(T_TTAFStock_Log[TTAF_Qty],T_TTAFStock_Log[Part Name],$A51,T_TTAFStock_Log[WeekIndex],12))</f>
        <v/>
      </c>
      <c r="N51" s="19">
        <f>IF(COUNTIFS(T_TTAFStock_Log[Part Name],$A51,T_TTAFStock_Log[WeekIndex],13)=0,"",SUMIFS(T_TTAFStock_Log[TTAF_Qty],T_TTAFStock_Log[Part Name],$A51,T_TTAFStock_Log[WeekIndex],13))</f>
        <v/>
      </c>
      <c r="O51" s="19">
        <f>IF(COUNTIFS(T_TTAFStock_Log[Part Name],$A51,T_TTAFStock_Log[WeekIndex],14)=0,"",SUMIFS(T_TTAFStock_Log[TTAF_Qty],T_TTAFStock_Log[Part Name],$A51,T_TTAFStock_Log[WeekIndex],14))</f>
        <v/>
      </c>
      <c r="P51" s="19">
        <f>IF(COUNTIFS(T_TTAFStock_Log[Part Name],$A51,T_TTAFStock_Log[WeekIndex],15)=0,"",SUMIFS(T_TTAFStock_Log[TTAF_Qty],T_TTAFStock_Log[Part Name],$A51,T_TTAFStock_Log[WeekIndex],15))</f>
        <v/>
      </c>
      <c r="Q51" s="19">
        <f>IF(COUNTIFS(T_TTAFStock_Log[Part Name],$A51,T_TTAFStock_Log[WeekIndex],16)=0,"",SUMIFS(T_TTAFStock_Log[TTAF_Qty],T_TTAFStock_Log[Part Name],$A51,T_TTAFStock_Log[WeekIndex],16))</f>
        <v/>
      </c>
      <c r="R51" s="19">
        <f>IF(COUNTIFS(T_TTAFStock_Log[Part Name],$A51,T_TTAFStock_Log[WeekIndex],17)=0,"",SUMIFS(T_TTAFStock_Log[TTAF_Qty],T_TTAFStock_Log[Part Name],$A51,T_TTAFStock_Log[WeekIndex],17))</f>
        <v/>
      </c>
      <c r="S51" s="19">
        <f>IF(COUNTIFS(T_TTAFStock_Log[Part Name],$A51,T_TTAFStock_Log[WeekIndex],18)=0,"",SUMIFS(T_TTAFStock_Log[TTAF_Qty],T_TTAFStock_Log[Part Name],$A51,T_TTAFStock_Log[WeekIndex],18))</f>
        <v/>
      </c>
      <c r="T51" s="19">
        <f>IF(COUNTIFS(T_TTAFStock_Log[Part Name],$A51,T_TTAFStock_Log[WeekIndex],19)=0,"",SUMIFS(T_TTAFStock_Log[TTAF_Qty],T_TTAFStock_Log[Part Name],$A51,T_TTAFStock_Log[WeekIndex],19))</f>
        <v/>
      </c>
      <c r="U51" s="19">
        <f>IF(COUNTIFS(T_TTAFStock_Log[Part Name],$A51,T_TTAFStock_Log[WeekIndex],20)=0,"",SUMIFS(T_TTAFStock_Log[TTAF_Qty],T_TTAFStock_Log[Part Name],$A51,T_TTAFStock_Log[WeekIndex],20))</f>
        <v/>
      </c>
      <c r="V51" s="19">
        <f>IF(COUNTIFS(T_TTAFStock_Log[Part Name],$A51,T_TTAFStock_Log[WeekIndex],21)=0,"",SUMIFS(T_TTAFStock_Log[TTAF_Qty],T_TTAFStock_Log[Part Name],$A51,T_TTAFStock_Log[WeekIndex],21))</f>
        <v/>
      </c>
      <c r="W51" s="19">
        <f>IF(COUNTIFS(T_TTAFStock_Log[Part Name],$A51,T_TTAFStock_Log[WeekIndex],22)=0,"",SUMIFS(T_TTAFStock_Log[TTAF_Qty],T_TTAFStock_Log[Part Name],$A51,T_TTAFStock_Log[WeekIndex],22))</f>
        <v/>
      </c>
      <c r="X51" s="19">
        <f>IF(COUNTIFS(T_TTAFStock_Log[Part Name],$A51,T_TTAFStock_Log[WeekIndex],23)=0,"",SUMIFS(T_TTAFStock_Log[TTAF_Qty],T_TTAFStock_Log[Part Name],$A51,T_TTAFStock_Log[WeekIndex],23))</f>
        <v/>
      </c>
      <c r="Y51" s="19">
        <f>IF(COUNTIFS(T_TTAFStock_Log[Part Name],$A51,T_TTAFStock_Log[WeekIndex],24)=0,"",SUMIFS(T_TTAFStock_Log[TTAF_Qty],T_TTAFStock_Log[Part Name],$A51,T_TTAFStock_Log[WeekIndex],24))</f>
        <v/>
      </c>
      <c r="Z51" s="19">
        <f>IF(COUNTIFS(T_TTAFStock_Log[Part Name],$A51,T_TTAFStock_Log[WeekIndex],25)=0,"",SUMIFS(T_TTAFStock_Log[TTAF_Qty],T_TTAFStock_Log[Part Name],$A51,T_TTAFStock_Log[WeekIndex],25))</f>
        <v/>
      </c>
      <c r="AA51" s="19">
        <f>IF(COUNTIFS(T_TTAFStock_Log[Part Name],$A51,T_TTAFStock_Log[WeekIndex],26)=0,"",SUMIFS(T_TTAFStock_Log[TTAF_Qty],T_TTAFStock_Log[Part Name],$A51,T_TTAFStock_Log[WeekIndex],26))</f>
        <v/>
      </c>
      <c r="AB51" s="19">
        <f>IF(COUNTIFS(T_TTAFStock_Log[Part Name],$A51,T_TTAFStock_Log[WeekIndex],27)=0,"",SUMIFS(T_TTAFStock_Log[TTAF_Qty],T_TTAFStock_Log[Part Name],$A51,T_TTAFStock_Log[WeekIndex],27))</f>
        <v/>
      </c>
      <c r="AC51" s="19">
        <f>IF(COUNTIFS(T_TTAFStock_Log[Part Name],$A51,T_TTAFStock_Log[WeekIndex],28)=0,"",SUMIFS(T_TTAFStock_Log[TTAF_Qty],T_TTAFStock_Log[Part Name],$A51,T_TTAFStock_Log[WeekIndex],28))</f>
        <v/>
      </c>
      <c r="AD51" s="19">
        <f>IF(COUNTIFS(T_TTAFStock_Log[Part Name],$A51,T_TTAFStock_Log[WeekIndex],29)=0,"",SUMIFS(T_TTAFStock_Log[TTAF_Qty],T_TTAFStock_Log[Part Name],$A51,T_TTAFStock_Log[WeekIndex],29))</f>
        <v/>
      </c>
      <c r="AE51" s="19">
        <f>IF(COUNTIFS(T_TTAFStock_Log[Part Name],$A51,T_TTAFStock_Log[WeekIndex],30)=0,"",SUMIFS(T_TTAFStock_Log[TTAF_Qty],T_TTAFStock_Log[Part Name],$A51,T_TTAFStock_Log[WeekIndex],30))</f>
        <v/>
      </c>
      <c r="AF51" s="19">
        <f>IF(COUNTIFS(T_TTAFStock_Log[Part Name],$A51,T_TTAFStock_Log[WeekIndex],31)=0,"",SUMIFS(T_TTAFStock_Log[TTAF_Qty],T_TTAFStock_Log[Part Name],$A51,T_TTAFStock_Log[WeekIndex],31))</f>
        <v/>
      </c>
      <c r="AG51" s="19">
        <f>IF(COUNTIFS(T_TTAFStock_Log[Part Name],$A51,T_TTAFStock_Log[WeekIndex],32)=0,"",SUMIFS(T_TTAFStock_Log[TTAF_Qty],T_TTAFStock_Log[Part Name],$A51,T_TTAFStock_Log[WeekIndex],32))</f>
        <v/>
      </c>
      <c r="AH51" s="19">
        <f>IF(COUNTIFS(T_TTAFStock_Log[Part Name],$A51,T_TTAFStock_Log[WeekIndex],33)=0,"",SUMIFS(T_TTAFStock_Log[TTAF_Qty],T_TTAFStock_Log[Part Name],$A51,T_TTAFStock_Log[WeekIndex],33))</f>
        <v/>
      </c>
      <c r="AI51" s="19">
        <f>IF(COUNTIFS(T_TTAFStock_Log[Part Name],$A51,T_TTAFStock_Log[WeekIndex],34)=0,"",SUMIFS(T_TTAFStock_Log[TTAF_Qty],T_TTAFStock_Log[Part Name],$A51,T_TTAFStock_Log[WeekIndex],34))</f>
        <v/>
      </c>
      <c r="AJ51" s="19">
        <f>IF(COUNTIFS(T_TTAFStock_Log[Part Name],$A51,T_TTAFStock_Log[WeekIndex],35)=0,"",SUMIFS(T_TTAFStock_Log[TTAF_Qty],T_TTAFStock_Log[Part Name],$A51,T_TTAFStock_Log[WeekIndex],35))</f>
        <v/>
      </c>
      <c r="AK51" s="19">
        <f>IF(COUNTIFS(T_TTAFStock_Log[Part Name],$A51,T_TTAFStock_Log[WeekIndex],36)=0,"",SUMIFS(T_TTAFStock_Log[TTAF_Qty],T_TTAFStock_Log[Part Name],$A51,T_TTAFStock_Log[WeekIndex],36))</f>
        <v/>
      </c>
      <c r="AL51" s="19">
        <f>IF(COUNTIFS(T_TTAFStock_Log[Part Name],$A51,T_TTAFStock_Log[WeekIndex],37)=0,"",SUMIFS(T_TTAFStock_Log[TTAF_Qty],T_TTAFStock_Log[Part Name],$A51,T_TTAFStock_Log[WeekIndex],37))</f>
        <v/>
      </c>
      <c r="AM51" s="19">
        <f>IF(COUNTIFS(T_TTAFStock_Log[Part Name],$A51,T_TTAFStock_Log[WeekIndex],38)=0,"",SUMIFS(T_TTAFStock_Log[TTAF_Qty],T_TTAFStock_Log[Part Name],$A51,T_TTAFStock_Log[WeekIndex],38))</f>
        <v/>
      </c>
      <c r="AN51" s="19">
        <f>IF(COUNTIFS(T_TTAFStock_Log[Part Name],$A51,T_TTAFStock_Log[WeekIndex],39)=0,"",SUMIFS(T_TTAFStock_Log[TTAF_Qty],T_TTAFStock_Log[Part Name],$A51,T_TTAFStock_Log[WeekIndex],39))</f>
        <v/>
      </c>
      <c r="AO51" s="19">
        <f>IF(COUNTIFS(T_TTAFStock_Log[Part Name],$A51,T_TTAFStock_Log[WeekIndex],40)=0,"",SUMIFS(T_TTAFStock_Log[TTAF_Qty],T_TTAFStock_Log[Part Name],$A51,T_TTAFStock_Log[WeekIndex],40))</f>
        <v/>
      </c>
      <c r="AP51" s="19">
        <f>IF(COUNTIFS(T_TTAFStock_Log[Part Name],$A51,T_TTAFStock_Log[WeekIndex],41)=0,"",SUMIFS(T_TTAFStock_Log[TTAF_Qty],T_TTAFStock_Log[Part Name],$A51,T_TTAFStock_Log[WeekIndex],41))</f>
        <v/>
      </c>
      <c r="AQ51" s="19">
        <f>IF(COUNTIFS(T_TTAFStock_Log[Part Name],$A51,T_TTAFStock_Log[WeekIndex],42)=0,"",SUMIFS(T_TTAFStock_Log[TTAF_Qty],T_TTAFStock_Log[Part Name],$A51,T_TTAFStock_Log[WeekIndex],42))</f>
        <v/>
      </c>
      <c r="AR51" s="19">
        <f>IF(COUNTIFS(T_TTAFStock_Log[Part Name],$A51,T_TTAFStock_Log[WeekIndex],43)=0,"",SUMIFS(T_TTAFStock_Log[TTAF_Qty],T_TTAFStock_Log[Part Name],$A51,T_TTAFStock_Log[WeekIndex],43))</f>
        <v/>
      </c>
      <c r="AS51" s="19">
        <f>IF(COUNTIFS(T_TTAFStock_Log[Part Name],$A51,T_TTAFStock_Log[WeekIndex],44)=0,"",SUMIFS(T_TTAFStock_Log[TTAF_Qty],T_TTAFStock_Log[Part Name],$A51,T_TTAFStock_Log[WeekIndex],44))</f>
        <v/>
      </c>
      <c r="AT51" s="19">
        <f>IF(COUNTIFS(T_TTAFStock_Log[Part Name],$A51,T_TTAFStock_Log[WeekIndex],45)=0,"",SUMIFS(T_TTAFStock_Log[TTAF_Qty],T_TTAFStock_Log[Part Name],$A51,T_TTAFStock_Log[WeekIndex],45))</f>
        <v/>
      </c>
      <c r="AU51" s="19">
        <f>IF(COUNTIFS(T_TTAFStock_Log[Part Name],$A51,T_TTAFStock_Log[WeekIndex],46)=0,"",SUMIFS(T_TTAFStock_Log[TTAF_Qty],T_TTAFStock_Log[Part Name],$A51,T_TTAFStock_Log[WeekIndex],46))</f>
        <v/>
      </c>
      <c r="AV51" s="19">
        <f>IF(COUNTIFS(T_TTAFStock_Log[Part Name],$A51,T_TTAFStock_Log[WeekIndex],47)=0,"",SUMIFS(T_TTAFStock_Log[TTAF_Qty],T_TTAFStock_Log[Part Name],$A51,T_TTAFStock_Log[WeekIndex],47))</f>
        <v/>
      </c>
      <c r="AW51" s="19">
        <f>IF(COUNTIFS(T_TTAFStock_Log[Part Name],$A51,T_TTAFStock_Log[WeekIndex],48)=0,"",SUMIFS(T_TTAFStock_Log[TTAF_Qty],T_TTAFStock_Log[Part Name],$A51,T_TTAFStock_Log[WeekIndex],48))</f>
        <v/>
      </c>
      <c r="AX51" s="19">
        <f>IF(COUNTIFS(T_TTAFStock_Log[Part Name],$A51,T_TTAFStock_Log[WeekIndex],49)=0,"",SUMIFS(T_TTAFStock_Log[TTAF_Qty],T_TTAFStock_Log[Part Name],$A51,T_TTAFStock_Log[WeekIndex],49))</f>
        <v/>
      </c>
      <c r="AY51" s="19">
        <f>IF(COUNTIFS(T_TTAFStock_Log[Part Name],$A51,T_TTAFStock_Log[WeekIndex],50)=0,"",SUMIFS(T_TTAFStock_Log[TTAF_Qty],T_TTAFStock_Log[Part Name],$A51,T_TTAFStock_Log[WeekIndex],50))</f>
        <v/>
      </c>
      <c r="AZ51" s="19">
        <f>IF(COUNTIFS(T_TTAFStock_Log[Part Name],$A51,T_TTAFStock_Log[WeekIndex],51)=0,"",SUMIFS(T_TTAFStock_Log[TTAF_Qty],T_TTAFStock_Log[Part Name],$A51,T_TTAFStock_Log[WeekIndex],51))</f>
        <v/>
      </c>
      <c r="BA51" s="19">
        <f>IF(COUNTIFS(T_TTAFStock_Log[Part Name],$A51,T_TTAFStock_Log[WeekIndex],52)=0,"",SUMIFS(T_TTAFStock_Log[TTAF_Qty],T_TTAFStock_Log[Part Name],$A51,T_TTAFStock_Log[WeekIndex],52))</f>
        <v/>
      </c>
      <c r="BB51" s="19">
        <f>IF(COUNTIFS(T_TTAFStock_Log[Part Name],$A51,T_TTAFStock_Log[WeekIndex],53)=0,"",SUMIFS(T_TTAFStock_Log[TTAF_Qty],T_TTAFStock_Log[Part Name],$A51,T_TTAFStock_Log[WeekIndex],53))</f>
        <v/>
      </c>
      <c r="BC51" s="19">
        <f>IF(COUNTIFS(T_TTAFStock_Log[Part Name],$A51,T_TTAFStock_Log[WeekIndex],54)=0,"",SUMIFS(T_TTAFStock_Log[TTAF_Qty],T_TTAFStock_Log[Part Name],$A51,T_TTAFStock_Log[WeekIndex],54))</f>
        <v/>
      </c>
      <c r="BD51" s="19">
        <f>IF(COUNTIFS(T_TTAFStock_Log[Part Name],$A51,T_TTAFStock_Log[WeekIndex],55)=0,"",SUMIFS(T_TTAFStock_Log[TTAF_Qty],T_TTAFStock_Log[Part Name],$A51,T_TTAFStock_Log[WeekIndex],55))</f>
        <v/>
      </c>
      <c r="BE51" s="19">
        <f>IF(COUNTIFS(T_TTAFStock_Log[Part Name],$A51,T_TTAFStock_Log[WeekIndex],56)=0,"",SUMIFS(T_TTAFStock_Log[TTAF_Qty],T_TTAFStock_Log[Part Name],$A51,T_TTAFStock_Log[WeekIndex],56))</f>
        <v/>
      </c>
      <c r="BF51" s="19">
        <f>IF(COUNTIFS(T_TTAFStock_Log[Part Name],$A51,T_TTAFStock_Log[WeekIndex],57)=0,"",SUMIFS(T_TTAFStock_Log[TTAF_Qty],T_TTAFStock_Log[Part Name],$A51,T_TTAFStock_Log[WeekIndex],57))</f>
        <v/>
      </c>
      <c r="BG51" s="19">
        <f>IF(COUNTIFS(T_TTAFStock_Log[Part Name],$A51,T_TTAFStock_Log[WeekIndex],58)=0,"",SUMIFS(T_TTAFStock_Log[TTAF_Qty],T_TTAFStock_Log[Part Name],$A51,T_TTAFStock_Log[WeekIndex],58))</f>
        <v/>
      </c>
      <c r="BH51" s="19">
        <f>IF(COUNTIFS(T_TTAFStock_Log[Part Name],$A51,T_TTAFStock_Log[WeekIndex],59)=0,"",SUMIFS(T_TTAFStock_Log[TTAF_Qty],T_TTAFStock_Log[Part Name],$A51,T_TTAFStock_Log[WeekIndex],59))</f>
        <v/>
      </c>
      <c r="BI51" s="19">
        <f>IF(COUNTIFS(T_TTAFStock_Log[Part Name],$A51,T_TTAFStock_Log[WeekIndex],60)=0,"",SUMIFS(T_TTAFStock_Log[TTAF_Qty],T_TTAFStock_Log[Part Name],$A51,T_TTAFStock_Log[WeekIndex],60))</f>
        <v/>
      </c>
      <c r="BJ51" s="19">
        <f>IF(COUNTIFS(T_TTAFStock_Log[Part Name],$A51,T_TTAFStock_Log[WeekIndex],61)=0,"",SUMIFS(T_TTAFStock_Log[TTAF_Qty],T_TTAFStock_Log[Part Name],$A51,T_TTAFStock_Log[WeekIndex],61))</f>
        <v/>
      </c>
      <c r="BK51" s="19">
        <f>IF(COUNTIFS(T_TTAFStock_Log[Part Name],$A51,T_TTAFStock_Log[WeekIndex],62)=0,"",SUMIFS(T_TTAFStock_Log[TTAF_Qty],T_TTAFStock_Log[Part Name],$A51,T_TTAFStock_Log[WeekIndex],62))</f>
        <v/>
      </c>
      <c r="BL51" s="19">
        <f>IF(COUNTIFS(T_TTAFStock_Log[Part Name],$A51,T_TTAFStock_Log[WeekIndex],63)=0,"",SUMIFS(T_TTAFStock_Log[TTAF_Qty],T_TTAFStock_Log[Part Name],$A51,T_TTAFStock_Log[WeekIndex],63))</f>
        <v/>
      </c>
      <c r="BM51" s="19">
        <f>IF(COUNTIFS(T_TTAFStock_Log[Part Name],$A51,T_TTAFStock_Log[WeekIndex],64)=0,"",SUMIFS(T_TTAFStock_Log[TTAF_Qty],T_TTAFStock_Log[Part Name],$A51,T_TTAFStock_Log[WeekIndex],64))</f>
        <v/>
      </c>
      <c r="BN51" s="19">
        <f>IF(COUNTIFS(T_TTAFStock_Log[Part Name],$A51,T_TTAFStock_Log[WeekIndex],65)=0,"",SUMIFS(T_TTAFStock_Log[TTAF_Qty],T_TTAFStock_Log[Part Name],$A51,T_TTAFStock_Log[WeekIndex],65))</f>
        <v/>
      </c>
      <c r="BO51" s="19">
        <f>IF(COUNTIFS(T_TTAFStock_Log[Part Name],$A51,T_TTAFStock_Log[WeekIndex],66)=0,"",SUMIFS(T_TTAFStock_Log[TTAF_Qty],T_TTAFStock_Log[Part Name],$A51,T_TTAFStock_Log[WeekIndex],66))</f>
        <v/>
      </c>
      <c r="BP51" s="19">
        <f>IF(COUNTIFS(T_TTAFStock_Log[Part Name],$A51,T_TTAFStock_Log[WeekIndex],67)=0,"",SUMIFS(T_TTAFStock_Log[TTAF_Qty],T_TTAFStock_Log[Part Name],$A51,T_TTAFStock_Log[WeekIndex],67))</f>
        <v/>
      </c>
      <c r="BQ51" s="19">
        <f>IF(COUNTIFS(T_TTAFStock_Log[Part Name],$A51,T_TTAFStock_Log[WeekIndex],68)=0,"",SUMIFS(T_TTAFStock_Log[TTAF_Qty],T_TTAFStock_Log[Part Name],$A51,T_TTAFStock_Log[WeekIndex],68))</f>
        <v/>
      </c>
      <c r="BR51" s="19">
        <f>IF(COUNTIFS(T_TTAFStock_Log[Part Name],$A51,T_TTAFStock_Log[WeekIndex],69)=0,"",SUMIFS(T_TTAFStock_Log[TTAF_Qty],T_TTAFStock_Log[Part Name],$A51,T_TTAFStock_Log[WeekIndex],69))</f>
        <v/>
      </c>
      <c r="BS51" s="19">
        <f>IF(COUNTIFS(T_TTAFStock_Log[Part Name],$A51,T_TTAFStock_Log[WeekIndex],70)=0,"",SUMIFS(T_TTAFStock_Log[TTAF_Qty],T_TTAFStock_Log[Part Name],$A51,T_TTAFStock_Log[WeekIndex],70))</f>
        <v/>
      </c>
      <c r="BT51" s="19">
        <f>IF(COUNTIFS(T_TTAFStock_Log[Part Name],$A51,T_TTAFStock_Log[WeekIndex],71)=0,"",SUMIFS(T_TTAFStock_Log[TTAF_Qty],T_TTAFStock_Log[Part Name],$A51,T_TTAFStock_Log[WeekIndex],71))</f>
        <v/>
      </c>
      <c r="BU51" s="19">
        <f>IF(COUNTIFS(T_TTAFStock_Log[Part Name],$A51,T_TTAFStock_Log[WeekIndex],72)=0,"",SUMIFS(T_TTAFStock_Log[TTAF_Qty],T_TTAFStock_Log[Part Name],$A51,T_TTAFStock_Log[WeekIndex],72))</f>
        <v/>
      </c>
      <c r="BV51" s="19">
        <f>IF(COUNTIFS(T_TTAFStock_Log[Part Name],$A51,T_TTAFStock_Log[WeekIndex],73)=0,"",SUMIFS(T_TTAFStock_Log[TTAF_Qty],T_TTAFStock_Log[Part Name],$A51,T_TTAFStock_Log[WeekIndex],73))</f>
        <v/>
      </c>
      <c r="BW51" s="19">
        <f>IF(COUNTIFS(T_TTAFStock_Log[Part Name],$A51,T_TTAFStock_Log[WeekIndex],74)=0,"",SUMIFS(T_TTAFStock_Log[TTAF_Qty],T_TTAFStock_Log[Part Name],$A51,T_TTAFStock_Log[WeekIndex],74))</f>
        <v/>
      </c>
      <c r="BX51" s="19">
        <f>IF(COUNTIFS(T_TTAFStock_Log[Part Name],$A51,T_TTAFStock_Log[WeekIndex],75)=0,"",SUMIFS(T_TTAFStock_Log[TTAF_Qty],T_TTAFStock_Log[Part Name],$A51,T_TTAFStock_Log[WeekIndex],75))</f>
        <v/>
      </c>
      <c r="BY51" s="19">
        <f>IF(COUNTIFS(T_TTAFStock_Log[Part Name],$A51,T_TTAFStock_Log[WeekIndex],76)=0,"",SUMIFS(T_TTAFStock_Log[TTAF_Qty],T_TTAFStock_Log[Part Name],$A51,T_TTAFStock_Log[WeekIndex],76))</f>
        <v/>
      </c>
      <c r="BZ51" s="19">
        <f>IF(COUNTIFS(T_TTAFStock_Log[Part Name],$A51,T_TTAFStock_Log[WeekIndex],77)=0,"",SUMIFS(T_TTAFStock_Log[TTAF_Qty],T_TTAFStock_Log[Part Name],$A51,T_TTAFStock_Log[WeekIndex],77))</f>
        <v/>
      </c>
      <c r="CA51" s="19">
        <f>IF(COUNTIFS(T_TTAFStock_Log[Part Name],$A51,T_TTAFStock_Log[WeekIndex],78)=0,"",SUMIFS(T_TTAFStock_Log[TTAF_Qty],T_TTAFStock_Log[Part Name],$A51,T_TTAFStock_Log[WeekIndex],78))</f>
        <v/>
      </c>
      <c r="CB51" s="19">
        <f>IF(COUNTIFS(T_TTAFStock_Log[Part Name],$A51,T_TTAFStock_Log[WeekIndex],79)=0,"",SUMIFS(T_TTAFStock_Log[TTAF_Qty],T_TTAFStock_Log[Part Name],$A51,T_TTAFStock_Log[WeekIndex],79))</f>
        <v/>
      </c>
      <c r="CC51" s="19">
        <f>IF(COUNTIFS(T_TTAFStock_Log[Part Name],$A51,T_TTAFStock_Log[WeekIndex],80)=0,"",SUMIFS(T_TTAFStock_Log[TTAF_Qty],T_TTAFStock_Log[Part Name],$A51,T_TTAFStock_Log[WeekIndex],80))</f>
        <v/>
      </c>
      <c r="CD51" s="19">
        <f>IF(COUNTIFS(T_TTAFStock_Log[Part Name],$A51,T_TTAFStock_Log[WeekIndex],81)=0,"",SUMIFS(T_TTAFStock_Log[TTAF_Qty],T_TTAFStock_Log[Part Name],$A51,T_TTAFStock_Log[WeekIndex],81))</f>
        <v/>
      </c>
      <c r="CE51" s="19">
        <f>IF(COUNTIFS(T_TTAFStock_Log[Part Name],$A51,T_TTAFStock_Log[WeekIndex],82)=0,"",SUMIFS(T_TTAFStock_Log[TTAF_Qty],T_TTAFStock_Log[Part Name],$A51,T_TTAFStock_Log[WeekIndex],82))</f>
        <v/>
      </c>
      <c r="CF51" s="19">
        <f>IF(COUNTIFS(T_TTAFStock_Log[Part Name],$A51,T_TTAFStock_Log[WeekIndex],83)=0,"",SUMIFS(T_TTAFStock_Log[TTAF_Qty],T_TTAFStock_Log[Part Name],$A51,T_TTAFStock_Log[WeekIndex],83))</f>
        <v/>
      </c>
      <c r="CG51" s="19">
        <f>IF(COUNTIFS(T_TTAFStock_Log[Part Name],$A51,T_TTAFStock_Log[WeekIndex],84)=0,"",SUMIFS(T_TTAFStock_Log[TTAF_Qty],T_TTAFStock_Log[Part Name],$A51,T_TTAFStock_Log[WeekIndex],84))</f>
        <v/>
      </c>
      <c r="CH51" s="19">
        <f>IF(COUNTIFS(T_TTAFStock_Log[Part Name],$A51,T_TTAFStock_Log[WeekIndex],85)=0,"",SUMIFS(T_TTAFStock_Log[TTAF_Qty],T_TTAFStock_Log[Part Name],$A51,T_TTAFStock_Log[WeekIndex],85))</f>
        <v/>
      </c>
      <c r="CI51" s="19">
        <f>IF(COUNTIFS(T_TTAFStock_Log[Part Name],$A51,T_TTAFStock_Log[WeekIndex],86)=0,"",SUMIFS(T_TTAFStock_Log[TTAF_Qty],T_TTAFStock_Log[Part Name],$A51,T_TTAFStock_Log[WeekIndex],86))</f>
        <v/>
      </c>
      <c r="CJ51" s="19">
        <f>IF(COUNTIFS(T_TTAFStock_Log[Part Name],$A51,T_TTAFStock_Log[WeekIndex],87)=0,"",SUMIFS(T_TTAFStock_Log[TTAF_Qty],T_TTAFStock_Log[Part Name],$A51,T_TTAFStock_Log[WeekIndex],87))</f>
        <v/>
      </c>
      <c r="CK51" s="19">
        <f>IF(COUNTIFS(T_TTAFStock_Log[Part Name],$A51,T_TTAFStock_Log[WeekIndex],88)=0,"",SUMIFS(T_TTAFStock_Log[TTAF_Qty],T_TTAFStock_Log[Part Name],$A51,T_TTAFStock_Log[WeekIndex],88))</f>
        <v/>
      </c>
      <c r="CL51" s="19">
        <f>IF(COUNTIFS(T_TTAFStock_Log[Part Name],$A51,T_TTAFStock_Log[WeekIndex],89)=0,"",SUMIFS(T_TTAFStock_Log[TTAF_Qty],T_TTAFStock_Log[Part Name],$A51,T_TTAFStock_Log[WeekIndex],89))</f>
        <v/>
      </c>
      <c r="CM51" s="19">
        <f>IF(COUNTIFS(T_TTAFStock_Log[Part Name],$A51,T_TTAFStock_Log[WeekIndex],90)=0,"",SUMIFS(T_TTAFStock_Log[TTAF_Qty],T_TTAFStock_Log[Part Name],$A51,T_TTAFStock_Log[WeekIndex],90))</f>
        <v/>
      </c>
      <c r="CN51" s="19">
        <f>IF(COUNTIFS(T_TTAFStock_Log[Part Name],$A51,T_TTAFStock_Log[WeekIndex],91)=0,"",SUMIFS(T_TTAFStock_Log[TTAF_Qty],T_TTAFStock_Log[Part Name],$A51,T_TTAFStock_Log[WeekIndex],91))</f>
        <v/>
      </c>
      <c r="CO51" s="19">
        <f>IF(COUNTIFS(T_TTAFStock_Log[Part Name],$A51,T_TTAFStock_Log[WeekIndex],92)=0,"",SUMIFS(T_TTAFStock_Log[TTAF_Qty],T_TTAFStock_Log[Part Name],$A51,T_TTAFStock_Log[WeekIndex],92))</f>
        <v/>
      </c>
      <c r="CP51" s="19">
        <f>IF(COUNTIFS(T_TTAFStock_Log[Part Name],$A51,T_TTAFStock_Log[WeekIndex],93)=0,"",SUMIFS(T_TTAFStock_Log[TTAF_Qty],T_TTAFStock_Log[Part Name],$A51,T_TTAFStock_Log[WeekIndex],93))</f>
        <v/>
      </c>
      <c r="CQ51" s="19">
        <f>IF(COUNTIFS(T_TTAFStock_Log[Part Name],$A51,T_TTAFStock_Log[WeekIndex],94)=0,"",SUMIFS(T_TTAFStock_Log[TTAF_Qty],T_TTAFStock_Log[Part Name],$A51,T_TTAFStock_Log[WeekIndex],94))</f>
        <v/>
      </c>
      <c r="CR51" s="19">
        <f>IF(COUNTIFS(T_TTAFStock_Log[Part Name],$A51,T_TTAFStock_Log[WeekIndex],95)=0,"",SUMIFS(T_TTAFStock_Log[TTAF_Qty],T_TTAFStock_Log[Part Name],$A51,T_TTAFStock_Log[WeekIndex],95))</f>
        <v/>
      </c>
      <c r="CS51" s="19">
        <f>IF(COUNTIFS(T_TTAFStock_Log[Part Name],$A51,T_TTAFStock_Log[WeekIndex],96)=0,"",SUMIFS(T_TTAFStock_Log[TTAF_Qty],T_TTAFStock_Log[Part Name],$A51,T_TTAFStock_Log[WeekIndex],96))</f>
        <v/>
      </c>
      <c r="CT51" s="19">
        <f>IF(COUNTIFS(T_TTAFStock_Log[Part Name],$A51,T_TTAFStock_Log[WeekIndex],97)=0,"",SUMIFS(T_TTAFStock_Log[TTAF_Qty],T_TTAFStock_Log[Part Name],$A51,T_TTAFStock_Log[WeekIndex],97))</f>
        <v/>
      </c>
      <c r="CU51" s="19">
        <f>IF(COUNTIFS(T_TTAFStock_Log[Part Name],$A51,T_TTAFStock_Log[WeekIndex],98)=0,"",SUMIFS(T_TTAFStock_Log[TTAF_Qty],T_TTAFStock_Log[Part Name],$A51,T_TTAFStock_Log[WeekIndex],98))</f>
        <v/>
      </c>
      <c r="CV51" s="19">
        <f>IF(COUNTIFS(T_TTAFStock_Log[Part Name],$A51,T_TTAFStock_Log[WeekIndex],99)=0,"",SUMIFS(T_TTAFStock_Log[TTAF_Qty],T_TTAFStock_Log[Part Name],$A51,T_TTAFStock_Log[WeekIndex],99))</f>
        <v/>
      </c>
      <c r="CW51" s="19">
        <f>IF(COUNTIFS(T_TTAFStock_Log[Part Name],$A51,T_TTAFStock_Log[WeekIndex],100)=0,"",SUMIFS(T_TTAFStock_Log[TTAF_Qty],T_TTAFStock_Log[Part Name],$A51,T_TTAFStock_Log[WeekIndex],100))</f>
        <v/>
      </c>
      <c r="CX51" s="19">
        <f>IF(COUNTIFS(T_TTAFStock_Log[Part Name],$A51,T_TTAFStock_Log[WeekIndex],101)=0,"",SUMIFS(T_TTAFStock_Log[TTAF_Qty],T_TTAFStock_Log[Part Name],$A51,T_TTAFStock_Log[WeekIndex],101))</f>
        <v/>
      </c>
      <c r="CY51" s="19">
        <f>IF(COUNTIFS(T_TTAFStock_Log[Part Name],$A51,T_TTAFStock_Log[WeekIndex],102)=0,"",SUMIFS(T_TTAFStock_Log[TTAF_Qty],T_TTAFStock_Log[Part Name],$A51,T_TTAFStock_Log[WeekIndex],102))</f>
        <v/>
      </c>
      <c r="CZ51" s="19">
        <f>IF(COUNTIFS(T_TTAFStock_Log[Part Name],$A51,T_TTAFStock_Log[WeekIndex],103)=0,"",SUMIFS(T_TTAFStock_Log[TTAF_Qty],T_TTAFStock_Log[Part Name],$A51,T_TTAFStock_Log[WeekIndex],103))</f>
        <v/>
      </c>
      <c r="DA51" s="19">
        <f>IF(COUNTIFS(T_TTAFStock_Log[Part Name],$A51,T_TTAFStock_Log[WeekIndex],104)=0,"",SUMIFS(T_TTAFStock_Log[TTAF_Qty],T_TTAFStock_Log[Part Name],$A51,T_TTAFStock_Log[WeekIndex],104))</f>
        <v/>
      </c>
    </row>
    <row r="52">
      <c r="A52" s="17" t="inlineStr">
        <is>
          <t>CHEM-1470</t>
        </is>
      </c>
      <c r="B52" s="17">
        <f>IF(COUNTIFS(T_TTAFStock_Log[Part Name],$A52,T_TTAFStock_Log[WeekIndex],1)=0,"",SUMIFS(T_TTAFStock_Log[TTAF_Qty],T_TTAFStock_Log[Part Name],$A52,T_TTAFStock_Log[WeekIndex],1))</f>
        <v/>
      </c>
      <c r="C52" s="17">
        <f>IF(COUNTIFS(T_TTAFStock_Log[Part Name],$A52,T_TTAFStock_Log[WeekIndex],2)=0,"",SUMIFS(T_TTAFStock_Log[TTAF_Qty],T_TTAFStock_Log[Part Name],$A52,T_TTAFStock_Log[WeekIndex],2))</f>
        <v/>
      </c>
      <c r="D52" s="17">
        <f>IF(COUNTIFS(T_TTAFStock_Log[Part Name],$A52,T_TTAFStock_Log[WeekIndex],3)=0,"",SUMIFS(T_TTAFStock_Log[TTAF_Qty],T_TTAFStock_Log[Part Name],$A52,T_TTAFStock_Log[WeekIndex],3))</f>
        <v/>
      </c>
      <c r="E52" s="17">
        <f>IF(COUNTIFS(T_TTAFStock_Log[Part Name],$A52,T_TTAFStock_Log[WeekIndex],4)=0,"",SUMIFS(T_TTAFStock_Log[TTAF_Qty],T_TTAFStock_Log[Part Name],$A52,T_TTAFStock_Log[WeekIndex],4))</f>
        <v/>
      </c>
      <c r="F52" s="17">
        <f>IF(COUNTIFS(T_TTAFStock_Log[Part Name],$A52,T_TTAFStock_Log[WeekIndex],5)=0,"",SUMIFS(T_TTAFStock_Log[TTAF_Qty],T_TTAFStock_Log[Part Name],$A52,T_TTAFStock_Log[WeekIndex],5))</f>
        <v/>
      </c>
      <c r="G52" s="17">
        <f>IF(COUNTIFS(T_TTAFStock_Log[Part Name],$A52,T_TTAFStock_Log[WeekIndex],6)=0,"",SUMIFS(T_TTAFStock_Log[TTAF_Qty],T_TTAFStock_Log[Part Name],$A52,T_TTAFStock_Log[WeekIndex],6))</f>
        <v/>
      </c>
      <c r="H52" s="17">
        <f>IF(COUNTIFS(T_TTAFStock_Log[Part Name],$A52,T_TTAFStock_Log[WeekIndex],7)=0,"",SUMIFS(T_TTAFStock_Log[TTAF_Qty],T_TTAFStock_Log[Part Name],$A52,T_TTAFStock_Log[WeekIndex],7))</f>
        <v/>
      </c>
      <c r="I52" s="17">
        <f>IF(COUNTIFS(T_TTAFStock_Log[Part Name],$A52,T_TTAFStock_Log[WeekIndex],8)=0,"",SUMIFS(T_TTAFStock_Log[TTAF_Qty],T_TTAFStock_Log[Part Name],$A52,T_TTAFStock_Log[WeekIndex],8))</f>
        <v/>
      </c>
      <c r="J52" s="17">
        <f>IF(COUNTIFS(T_TTAFStock_Log[Part Name],$A52,T_TTAFStock_Log[WeekIndex],9)=0,"",SUMIFS(T_TTAFStock_Log[TTAF_Qty],T_TTAFStock_Log[Part Name],$A52,T_TTAFStock_Log[WeekIndex],9))</f>
        <v/>
      </c>
      <c r="K52" s="17">
        <f>IF(COUNTIFS(T_TTAFStock_Log[Part Name],$A52,T_TTAFStock_Log[WeekIndex],10)=0,"",SUMIFS(T_TTAFStock_Log[TTAF_Qty],T_TTAFStock_Log[Part Name],$A52,T_TTAFStock_Log[WeekIndex],10))</f>
        <v/>
      </c>
      <c r="L52" s="17">
        <f>IF(COUNTIFS(T_TTAFStock_Log[Part Name],$A52,T_TTAFStock_Log[WeekIndex],11)=0,"",SUMIFS(T_TTAFStock_Log[TTAF_Qty],T_TTAFStock_Log[Part Name],$A52,T_TTAFStock_Log[WeekIndex],11))</f>
        <v/>
      </c>
      <c r="M52" s="17">
        <f>IF(COUNTIFS(T_TTAFStock_Log[Part Name],$A52,T_TTAFStock_Log[WeekIndex],12)=0,"",SUMIFS(T_TTAFStock_Log[TTAF_Qty],T_TTAFStock_Log[Part Name],$A52,T_TTAFStock_Log[WeekIndex],12))</f>
        <v/>
      </c>
      <c r="N52" s="17">
        <f>IF(COUNTIFS(T_TTAFStock_Log[Part Name],$A52,T_TTAFStock_Log[WeekIndex],13)=0,"",SUMIFS(T_TTAFStock_Log[TTAF_Qty],T_TTAFStock_Log[Part Name],$A52,T_TTAFStock_Log[WeekIndex],13))</f>
        <v/>
      </c>
      <c r="O52" s="17">
        <f>IF(COUNTIFS(T_TTAFStock_Log[Part Name],$A52,T_TTAFStock_Log[WeekIndex],14)=0,"",SUMIFS(T_TTAFStock_Log[TTAF_Qty],T_TTAFStock_Log[Part Name],$A52,T_TTAFStock_Log[WeekIndex],14))</f>
        <v/>
      </c>
      <c r="P52" s="17">
        <f>IF(COUNTIFS(T_TTAFStock_Log[Part Name],$A52,T_TTAFStock_Log[WeekIndex],15)=0,"",SUMIFS(T_TTAFStock_Log[TTAF_Qty],T_TTAFStock_Log[Part Name],$A52,T_TTAFStock_Log[WeekIndex],15))</f>
        <v/>
      </c>
      <c r="Q52" s="17">
        <f>IF(COUNTIFS(T_TTAFStock_Log[Part Name],$A52,T_TTAFStock_Log[WeekIndex],16)=0,"",SUMIFS(T_TTAFStock_Log[TTAF_Qty],T_TTAFStock_Log[Part Name],$A52,T_TTAFStock_Log[WeekIndex],16))</f>
        <v/>
      </c>
      <c r="R52" s="17">
        <f>IF(COUNTIFS(T_TTAFStock_Log[Part Name],$A52,T_TTAFStock_Log[WeekIndex],17)=0,"",SUMIFS(T_TTAFStock_Log[TTAF_Qty],T_TTAFStock_Log[Part Name],$A52,T_TTAFStock_Log[WeekIndex],17))</f>
        <v/>
      </c>
      <c r="S52" s="17">
        <f>IF(COUNTIFS(T_TTAFStock_Log[Part Name],$A52,T_TTAFStock_Log[WeekIndex],18)=0,"",SUMIFS(T_TTAFStock_Log[TTAF_Qty],T_TTAFStock_Log[Part Name],$A52,T_TTAFStock_Log[WeekIndex],18))</f>
        <v/>
      </c>
      <c r="T52" s="17">
        <f>IF(COUNTIFS(T_TTAFStock_Log[Part Name],$A52,T_TTAFStock_Log[WeekIndex],19)=0,"",SUMIFS(T_TTAFStock_Log[TTAF_Qty],T_TTAFStock_Log[Part Name],$A52,T_TTAFStock_Log[WeekIndex],19))</f>
        <v/>
      </c>
      <c r="U52" s="17">
        <f>IF(COUNTIFS(T_TTAFStock_Log[Part Name],$A52,T_TTAFStock_Log[WeekIndex],20)=0,"",SUMIFS(T_TTAFStock_Log[TTAF_Qty],T_TTAFStock_Log[Part Name],$A52,T_TTAFStock_Log[WeekIndex],20))</f>
        <v/>
      </c>
      <c r="V52" s="17">
        <f>IF(COUNTIFS(T_TTAFStock_Log[Part Name],$A52,T_TTAFStock_Log[WeekIndex],21)=0,"",SUMIFS(T_TTAFStock_Log[TTAF_Qty],T_TTAFStock_Log[Part Name],$A52,T_TTAFStock_Log[WeekIndex],21))</f>
        <v/>
      </c>
      <c r="W52" s="17">
        <f>IF(COUNTIFS(T_TTAFStock_Log[Part Name],$A52,T_TTAFStock_Log[WeekIndex],22)=0,"",SUMIFS(T_TTAFStock_Log[TTAF_Qty],T_TTAFStock_Log[Part Name],$A52,T_TTAFStock_Log[WeekIndex],22))</f>
        <v/>
      </c>
      <c r="X52" s="17">
        <f>IF(COUNTIFS(T_TTAFStock_Log[Part Name],$A52,T_TTAFStock_Log[WeekIndex],23)=0,"",SUMIFS(T_TTAFStock_Log[TTAF_Qty],T_TTAFStock_Log[Part Name],$A52,T_TTAFStock_Log[WeekIndex],23))</f>
        <v/>
      </c>
      <c r="Y52" s="17">
        <f>IF(COUNTIFS(T_TTAFStock_Log[Part Name],$A52,T_TTAFStock_Log[WeekIndex],24)=0,"",SUMIFS(T_TTAFStock_Log[TTAF_Qty],T_TTAFStock_Log[Part Name],$A52,T_TTAFStock_Log[WeekIndex],24))</f>
        <v/>
      </c>
      <c r="Z52" s="17">
        <f>IF(COUNTIFS(T_TTAFStock_Log[Part Name],$A52,T_TTAFStock_Log[WeekIndex],25)=0,"",SUMIFS(T_TTAFStock_Log[TTAF_Qty],T_TTAFStock_Log[Part Name],$A52,T_TTAFStock_Log[WeekIndex],25))</f>
        <v/>
      </c>
      <c r="AA52" s="17">
        <f>IF(COUNTIFS(T_TTAFStock_Log[Part Name],$A52,T_TTAFStock_Log[WeekIndex],26)=0,"",SUMIFS(T_TTAFStock_Log[TTAF_Qty],T_TTAFStock_Log[Part Name],$A52,T_TTAFStock_Log[WeekIndex],26))</f>
        <v/>
      </c>
      <c r="AB52" s="17">
        <f>IF(COUNTIFS(T_TTAFStock_Log[Part Name],$A52,T_TTAFStock_Log[WeekIndex],27)=0,"",SUMIFS(T_TTAFStock_Log[TTAF_Qty],T_TTAFStock_Log[Part Name],$A52,T_TTAFStock_Log[WeekIndex],27))</f>
        <v/>
      </c>
      <c r="AC52" s="17">
        <f>IF(COUNTIFS(T_TTAFStock_Log[Part Name],$A52,T_TTAFStock_Log[WeekIndex],28)=0,"",SUMIFS(T_TTAFStock_Log[TTAF_Qty],T_TTAFStock_Log[Part Name],$A52,T_TTAFStock_Log[WeekIndex],28))</f>
        <v/>
      </c>
      <c r="AD52" s="17">
        <f>IF(COUNTIFS(T_TTAFStock_Log[Part Name],$A52,T_TTAFStock_Log[WeekIndex],29)=0,"",SUMIFS(T_TTAFStock_Log[TTAF_Qty],T_TTAFStock_Log[Part Name],$A52,T_TTAFStock_Log[WeekIndex],29))</f>
        <v/>
      </c>
      <c r="AE52" s="17">
        <f>IF(COUNTIFS(T_TTAFStock_Log[Part Name],$A52,T_TTAFStock_Log[WeekIndex],30)=0,"",SUMIFS(T_TTAFStock_Log[TTAF_Qty],T_TTAFStock_Log[Part Name],$A52,T_TTAFStock_Log[WeekIndex],30))</f>
        <v/>
      </c>
      <c r="AF52" s="17">
        <f>IF(COUNTIFS(T_TTAFStock_Log[Part Name],$A52,T_TTAFStock_Log[WeekIndex],31)=0,"",SUMIFS(T_TTAFStock_Log[TTAF_Qty],T_TTAFStock_Log[Part Name],$A52,T_TTAFStock_Log[WeekIndex],31))</f>
        <v/>
      </c>
      <c r="AG52" s="17">
        <f>IF(COUNTIFS(T_TTAFStock_Log[Part Name],$A52,T_TTAFStock_Log[WeekIndex],32)=0,"",SUMIFS(T_TTAFStock_Log[TTAF_Qty],T_TTAFStock_Log[Part Name],$A52,T_TTAFStock_Log[WeekIndex],32))</f>
        <v/>
      </c>
      <c r="AH52" s="17">
        <f>IF(COUNTIFS(T_TTAFStock_Log[Part Name],$A52,T_TTAFStock_Log[WeekIndex],33)=0,"",SUMIFS(T_TTAFStock_Log[TTAF_Qty],T_TTAFStock_Log[Part Name],$A52,T_TTAFStock_Log[WeekIndex],33))</f>
        <v/>
      </c>
      <c r="AI52" s="17">
        <f>IF(COUNTIFS(T_TTAFStock_Log[Part Name],$A52,T_TTAFStock_Log[WeekIndex],34)=0,"",SUMIFS(T_TTAFStock_Log[TTAF_Qty],T_TTAFStock_Log[Part Name],$A52,T_TTAFStock_Log[WeekIndex],34))</f>
        <v/>
      </c>
      <c r="AJ52" s="17">
        <f>IF(COUNTIFS(T_TTAFStock_Log[Part Name],$A52,T_TTAFStock_Log[WeekIndex],35)=0,"",SUMIFS(T_TTAFStock_Log[TTAF_Qty],T_TTAFStock_Log[Part Name],$A52,T_TTAFStock_Log[WeekIndex],35))</f>
        <v/>
      </c>
      <c r="AK52" s="17">
        <f>IF(COUNTIFS(T_TTAFStock_Log[Part Name],$A52,T_TTAFStock_Log[WeekIndex],36)=0,"",SUMIFS(T_TTAFStock_Log[TTAF_Qty],T_TTAFStock_Log[Part Name],$A52,T_TTAFStock_Log[WeekIndex],36))</f>
        <v/>
      </c>
      <c r="AL52" s="17">
        <f>IF(COUNTIFS(T_TTAFStock_Log[Part Name],$A52,T_TTAFStock_Log[WeekIndex],37)=0,"",SUMIFS(T_TTAFStock_Log[TTAF_Qty],T_TTAFStock_Log[Part Name],$A52,T_TTAFStock_Log[WeekIndex],37))</f>
        <v/>
      </c>
      <c r="AM52" s="17">
        <f>IF(COUNTIFS(T_TTAFStock_Log[Part Name],$A52,T_TTAFStock_Log[WeekIndex],38)=0,"",SUMIFS(T_TTAFStock_Log[TTAF_Qty],T_TTAFStock_Log[Part Name],$A52,T_TTAFStock_Log[WeekIndex],38))</f>
        <v/>
      </c>
      <c r="AN52" s="17">
        <f>IF(COUNTIFS(T_TTAFStock_Log[Part Name],$A52,T_TTAFStock_Log[WeekIndex],39)=0,"",SUMIFS(T_TTAFStock_Log[TTAF_Qty],T_TTAFStock_Log[Part Name],$A52,T_TTAFStock_Log[WeekIndex],39))</f>
        <v/>
      </c>
      <c r="AO52" s="17">
        <f>IF(COUNTIFS(T_TTAFStock_Log[Part Name],$A52,T_TTAFStock_Log[WeekIndex],40)=0,"",SUMIFS(T_TTAFStock_Log[TTAF_Qty],T_TTAFStock_Log[Part Name],$A52,T_TTAFStock_Log[WeekIndex],40))</f>
        <v/>
      </c>
      <c r="AP52" s="17">
        <f>IF(COUNTIFS(T_TTAFStock_Log[Part Name],$A52,T_TTAFStock_Log[WeekIndex],41)=0,"",SUMIFS(T_TTAFStock_Log[TTAF_Qty],T_TTAFStock_Log[Part Name],$A52,T_TTAFStock_Log[WeekIndex],41))</f>
        <v/>
      </c>
      <c r="AQ52" s="17">
        <f>IF(COUNTIFS(T_TTAFStock_Log[Part Name],$A52,T_TTAFStock_Log[WeekIndex],42)=0,"",SUMIFS(T_TTAFStock_Log[TTAF_Qty],T_TTAFStock_Log[Part Name],$A52,T_TTAFStock_Log[WeekIndex],42))</f>
        <v/>
      </c>
      <c r="AR52" s="17">
        <f>IF(COUNTIFS(T_TTAFStock_Log[Part Name],$A52,T_TTAFStock_Log[WeekIndex],43)=0,"",SUMIFS(T_TTAFStock_Log[TTAF_Qty],T_TTAFStock_Log[Part Name],$A52,T_TTAFStock_Log[WeekIndex],43))</f>
        <v/>
      </c>
      <c r="AS52" s="17">
        <f>IF(COUNTIFS(T_TTAFStock_Log[Part Name],$A52,T_TTAFStock_Log[WeekIndex],44)=0,"",SUMIFS(T_TTAFStock_Log[TTAF_Qty],T_TTAFStock_Log[Part Name],$A52,T_TTAFStock_Log[WeekIndex],44))</f>
        <v/>
      </c>
      <c r="AT52" s="17">
        <f>IF(COUNTIFS(T_TTAFStock_Log[Part Name],$A52,T_TTAFStock_Log[WeekIndex],45)=0,"",SUMIFS(T_TTAFStock_Log[TTAF_Qty],T_TTAFStock_Log[Part Name],$A52,T_TTAFStock_Log[WeekIndex],45))</f>
        <v/>
      </c>
      <c r="AU52" s="17">
        <f>IF(COUNTIFS(T_TTAFStock_Log[Part Name],$A52,T_TTAFStock_Log[WeekIndex],46)=0,"",SUMIFS(T_TTAFStock_Log[TTAF_Qty],T_TTAFStock_Log[Part Name],$A52,T_TTAFStock_Log[WeekIndex],46))</f>
        <v/>
      </c>
      <c r="AV52" s="17">
        <f>IF(COUNTIFS(T_TTAFStock_Log[Part Name],$A52,T_TTAFStock_Log[WeekIndex],47)=0,"",SUMIFS(T_TTAFStock_Log[TTAF_Qty],T_TTAFStock_Log[Part Name],$A52,T_TTAFStock_Log[WeekIndex],47))</f>
        <v/>
      </c>
      <c r="AW52" s="17">
        <f>IF(COUNTIFS(T_TTAFStock_Log[Part Name],$A52,T_TTAFStock_Log[WeekIndex],48)=0,"",SUMIFS(T_TTAFStock_Log[TTAF_Qty],T_TTAFStock_Log[Part Name],$A52,T_TTAFStock_Log[WeekIndex],48))</f>
        <v/>
      </c>
      <c r="AX52" s="17">
        <f>IF(COUNTIFS(T_TTAFStock_Log[Part Name],$A52,T_TTAFStock_Log[WeekIndex],49)=0,"",SUMIFS(T_TTAFStock_Log[TTAF_Qty],T_TTAFStock_Log[Part Name],$A52,T_TTAFStock_Log[WeekIndex],49))</f>
        <v/>
      </c>
      <c r="AY52" s="17">
        <f>IF(COUNTIFS(T_TTAFStock_Log[Part Name],$A52,T_TTAFStock_Log[WeekIndex],50)=0,"",SUMIFS(T_TTAFStock_Log[TTAF_Qty],T_TTAFStock_Log[Part Name],$A52,T_TTAFStock_Log[WeekIndex],50))</f>
        <v/>
      </c>
      <c r="AZ52" s="17">
        <f>IF(COUNTIFS(T_TTAFStock_Log[Part Name],$A52,T_TTAFStock_Log[WeekIndex],51)=0,"",SUMIFS(T_TTAFStock_Log[TTAF_Qty],T_TTAFStock_Log[Part Name],$A52,T_TTAFStock_Log[WeekIndex],51))</f>
        <v/>
      </c>
      <c r="BA52" s="17">
        <f>IF(COUNTIFS(T_TTAFStock_Log[Part Name],$A52,T_TTAFStock_Log[WeekIndex],52)=0,"",SUMIFS(T_TTAFStock_Log[TTAF_Qty],T_TTAFStock_Log[Part Name],$A52,T_TTAFStock_Log[WeekIndex],52))</f>
        <v/>
      </c>
      <c r="BB52" s="17">
        <f>IF(COUNTIFS(T_TTAFStock_Log[Part Name],$A52,T_TTAFStock_Log[WeekIndex],53)=0,"",SUMIFS(T_TTAFStock_Log[TTAF_Qty],T_TTAFStock_Log[Part Name],$A52,T_TTAFStock_Log[WeekIndex],53))</f>
        <v/>
      </c>
      <c r="BC52" s="17">
        <f>IF(COUNTIFS(T_TTAFStock_Log[Part Name],$A52,T_TTAFStock_Log[WeekIndex],54)=0,"",SUMIFS(T_TTAFStock_Log[TTAF_Qty],T_TTAFStock_Log[Part Name],$A52,T_TTAFStock_Log[WeekIndex],54))</f>
        <v/>
      </c>
      <c r="BD52" s="17">
        <f>IF(COUNTIFS(T_TTAFStock_Log[Part Name],$A52,T_TTAFStock_Log[WeekIndex],55)=0,"",SUMIFS(T_TTAFStock_Log[TTAF_Qty],T_TTAFStock_Log[Part Name],$A52,T_TTAFStock_Log[WeekIndex],55))</f>
        <v/>
      </c>
      <c r="BE52" s="17">
        <f>IF(COUNTIFS(T_TTAFStock_Log[Part Name],$A52,T_TTAFStock_Log[WeekIndex],56)=0,"",SUMIFS(T_TTAFStock_Log[TTAF_Qty],T_TTAFStock_Log[Part Name],$A52,T_TTAFStock_Log[WeekIndex],56))</f>
        <v/>
      </c>
      <c r="BF52" s="17">
        <f>IF(COUNTIFS(T_TTAFStock_Log[Part Name],$A52,T_TTAFStock_Log[WeekIndex],57)=0,"",SUMIFS(T_TTAFStock_Log[TTAF_Qty],T_TTAFStock_Log[Part Name],$A52,T_TTAFStock_Log[WeekIndex],57))</f>
        <v/>
      </c>
      <c r="BG52" s="17">
        <f>IF(COUNTIFS(T_TTAFStock_Log[Part Name],$A52,T_TTAFStock_Log[WeekIndex],58)=0,"",SUMIFS(T_TTAFStock_Log[TTAF_Qty],T_TTAFStock_Log[Part Name],$A52,T_TTAFStock_Log[WeekIndex],58))</f>
        <v/>
      </c>
      <c r="BH52" s="17">
        <f>IF(COUNTIFS(T_TTAFStock_Log[Part Name],$A52,T_TTAFStock_Log[WeekIndex],59)=0,"",SUMIFS(T_TTAFStock_Log[TTAF_Qty],T_TTAFStock_Log[Part Name],$A52,T_TTAFStock_Log[WeekIndex],59))</f>
        <v/>
      </c>
      <c r="BI52" s="17">
        <f>IF(COUNTIFS(T_TTAFStock_Log[Part Name],$A52,T_TTAFStock_Log[WeekIndex],60)=0,"",SUMIFS(T_TTAFStock_Log[TTAF_Qty],T_TTAFStock_Log[Part Name],$A52,T_TTAFStock_Log[WeekIndex],60))</f>
        <v/>
      </c>
      <c r="BJ52" s="17">
        <f>IF(COUNTIFS(T_TTAFStock_Log[Part Name],$A52,T_TTAFStock_Log[WeekIndex],61)=0,"",SUMIFS(T_TTAFStock_Log[TTAF_Qty],T_TTAFStock_Log[Part Name],$A52,T_TTAFStock_Log[WeekIndex],61))</f>
        <v/>
      </c>
      <c r="BK52" s="17">
        <f>IF(COUNTIFS(T_TTAFStock_Log[Part Name],$A52,T_TTAFStock_Log[WeekIndex],62)=0,"",SUMIFS(T_TTAFStock_Log[TTAF_Qty],T_TTAFStock_Log[Part Name],$A52,T_TTAFStock_Log[WeekIndex],62))</f>
        <v/>
      </c>
      <c r="BL52" s="17">
        <f>IF(COUNTIFS(T_TTAFStock_Log[Part Name],$A52,T_TTAFStock_Log[WeekIndex],63)=0,"",SUMIFS(T_TTAFStock_Log[TTAF_Qty],T_TTAFStock_Log[Part Name],$A52,T_TTAFStock_Log[WeekIndex],63))</f>
        <v/>
      </c>
      <c r="BM52" s="17">
        <f>IF(COUNTIFS(T_TTAFStock_Log[Part Name],$A52,T_TTAFStock_Log[WeekIndex],64)=0,"",SUMIFS(T_TTAFStock_Log[TTAF_Qty],T_TTAFStock_Log[Part Name],$A52,T_TTAFStock_Log[WeekIndex],64))</f>
        <v/>
      </c>
      <c r="BN52" s="17">
        <f>IF(COUNTIFS(T_TTAFStock_Log[Part Name],$A52,T_TTAFStock_Log[WeekIndex],65)=0,"",SUMIFS(T_TTAFStock_Log[TTAF_Qty],T_TTAFStock_Log[Part Name],$A52,T_TTAFStock_Log[WeekIndex],65))</f>
        <v/>
      </c>
      <c r="BO52" s="17">
        <f>IF(COUNTIFS(T_TTAFStock_Log[Part Name],$A52,T_TTAFStock_Log[WeekIndex],66)=0,"",SUMIFS(T_TTAFStock_Log[TTAF_Qty],T_TTAFStock_Log[Part Name],$A52,T_TTAFStock_Log[WeekIndex],66))</f>
        <v/>
      </c>
      <c r="BP52" s="17">
        <f>IF(COUNTIFS(T_TTAFStock_Log[Part Name],$A52,T_TTAFStock_Log[WeekIndex],67)=0,"",SUMIFS(T_TTAFStock_Log[TTAF_Qty],T_TTAFStock_Log[Part Name],$A52,T_TTAFStock_Log[WeekIndex],67))</f>
        <v/>
      </c>
      <c r="BQ52" s="17">
        <f>IF(COUNTIFS(T_TTAFStock_Log[Part Name],$A52,T_TTAFStock_Log[WeekIndex],68)=0,"",SUMIFS(T_TTAFStock_Log[TTAF_Qty],T_TTAFStock_Log[Part Name],$A52,T_TTAFStock_Log[WeekIndex],68))</f>
        <v/>
      </c>
      <c r="BR52" s="17">
        <f>IF(COUNTIFS(T_TTAFStock_Log[Part Name],$A52,T_TTAFStock_Log[WeekIndex],69)=0,"",SUMIFS(T_TTAFStock_Log[TTAF_Qty],T_TTAFStock_Log[Part Name],$A52,T_TTAFStock_Log[WeekIndex],69))</f>
        <v/>
      </c>
      <c r="BS52" s="17">
        <f>IF(COUNTIFS(T_TTAFStock_Log[Part Name],$A52,T_TTAFStock_Log[WeekIndex],70)=0,"",SUMIFS(T_TTAFStock_Log[TTAF_Qty],T_TTAFStock_Log[Part Name],$A52,T_TTAFStock_Log[WeekIndex],70))</f>
        <v/>
      </c>
      <c r="BT52" s="17">
        <f>IF(COUNTIFS(T_TTAFStock_Log[Part Name],$A52,T_TTAFStock_Log[WeekIndex],71)=0,"",SUMIFS(T_TTAFStock_Log[TTAF_Qty],T_TTAFStock_Log[Part Name],$A52,T_TTAFStock_Log[WeekIndex],71))</f>
        <v/>
      </c>
      <c r="BU52" s="17">
        <f>IF(COUNTIFS(T_TTAFStock_Log[Part Name],$A52,T_TTAFStock_Log[WeekIndex],72)=0,"",SUMIFS(T_TTAFStock_Log[TTAF_Qty],T_TTAFStock_Log[Part Name],$A52,T_TTAFStock_Log[WeekIndex],72))</f>
        <v/>
      </c>
      <c r="BV52" s="17">
        <f>IF(COUNTIFS(T_TTAFStock_Log[Part Name],$A52,T_TTAFStock_Log[WeekIndex],73)=0,"",SUMIFS(T_TTAFStock_Log[TTAF_Qty],T_TTAFStock_Log[Part Name],$A52,T_TTAFStock_Log[WeekIndex],73))</f>
        <v/>
      </c>
      <c r="BW52" s="17">
        <f>IF(COUNTIFS(T_TTAFStock_Log[Part Name],$A52,T_TTAFStock_Log[WeekIndex],74)=0,"",SUMIFS(T_TTAFStock_Log[TTAF_Qty],T_TTAFStock_Log[Part Name],$A52,T_TTAFStock_Log[WeekIndex],74))</f>
        <v/>
      </c>
      <c r="BX52" s="17">
        <f>IF(COUNTIFS(T_TTAFStock_Log[Part Name],$A52,T_TTAFStock_Log[WeekIndex],75)=0,"",SUMIFS(T_TTAFStock_Log[TTAF_Qty],T_TTAFStock_Log[Part Name],$A52,T_TTAFStock_Log[WeekIndex],75))</f>
        <v/>
      </c>
      <c r="BY52" s="17">
        <f>IF(COUNTIFS(T_TTAFStock_Log[Part Name],$A52,T_TTAFStock_Log[WeekIndex],76)=0,"",SUMIFS(T_TTAFStock_Log[TTAF_Qty],T_TTAFStock_Log[Part Name],$A52,T_TTAFStock_Log[WeekIndex],76))</f>
        <v/>
      </c>
      <c r="BZ52" s="17">
        <f>IF(COUNTIFS(T_TTAFStock_Log[Part Name],$A52,T_TTAFStock_Log[WeekIndex],77)=0,"",SUMIFS(T_TTAFStock_Log[TTAF_Qty],T_TTAFStock_Log[Part Name],$A52,T_TTAFStock_Log[WeekIndex],77))</f>
        <v/>
      </c>
      <c r="CA52" s="17">
        <f>IF(COUNTIFS(T_TTAFStock_Log[Part Name],$A52,T_TTAFStock_Log[WeekIndex],78)=0,"",SUMIFS(T_TTAFStock_Log[TTAF_Qty],T_TTAFStock_Log[Part Name],$A52,T_TTAFStock_Log[WeekIndex],78))</f>
        <v/>
      </c>
      <c r="CB52" s="17">
        <f>IF(COUNTIFS(T_TTAFStock_Log[Part Name],$A52,T_TTAFStock_Log[WeekIndex],79)=0,"",SUMIFS(T_TTAFStock_Log[TTAF_Qty],T_TTAFStock_Log[Part Name],$A52,T_TTAFStock_Log[WeekIndex],79))</f>
        <v/>
      </c>
      <c r="CC52" s="17">
        <f>IF(COUNTIFS(T_TTAFStock_Log[Part Name],$A52,T_TTAFStock_Log[WeekIndex],80)=0,"",SUMIFS(T_TTAFStock_Log[TTAF_Qty],T_TTAFStock_Log[Part Name],$A52,T_TTAFStock_Log[WeekIndex],80))</f>
        <v/>
      </c>
      <c r="CD52" s="17">
        <f>IF(COUNTIFS(T_TTAFStock_Log[Part Name],$A52,T_TTAFStock_Log[WeekIndex],81)=0,"",SUMIFS(T_TTAFStock_Log[TTAF_Qty],T_TTAFStock_Log[Part Name],$A52,T_TTAFStock_Log[WeekIndex],81))</f>
        <v/>
      </c>
      <c r="CE52" s="17">
        <f>IF(COUNTIFS(T_TTAFStock_Log[Part Name],$A52,T_TTAFStock_Log[WeekIndex],82)=0,"",SUMIFS(T_TTAFStock_Log[TTAF_Qty],T_TTAFStock_Log[Part Name],$A52,T_TTAFStock_Log[WeekIndex],82))</f>
        <v/>
      </c>
      <c r="CF52" s="17">
        <f>IF(COUNTIFS(T_TTAFStock_Log[Part Name],$A52,T_TTAFStock_Log[WeekIndex],83)=0,"",SUMIFS(T_TTAFStock_Log[TTAF_Qty],T_TTAFStock_Log[Part Name],$A52,T_TTAFStock_Log[WeekIndex],83))</f>
        <v/>
      </c>
      <c r="CG52" s="17">
        <f>IF(COUNTIFS(T_TTAFStock_Log[Part Name],$A52,T_TTAFStock_Log[WeekIndex],84)=0,"",SUMIFS(T_TTAFStock_Log[TTAF_Qty],T_TTAFStock_Log[Part Name],$A52,T_TTAFStock_Log[WeekIndex],84))</f>
        <v/>
      </c>
      <c r="CH52" s="17">
        <f>IF(COUNTIFS(T_TTAFStock_Log[Part Name],$A52,T_TTAFStock_Log[WeekIndex],85)=0,"",SUMIFS(T_TTAFStock_Log[TTAF_Qty],T_TTAFStock_Log[Part Name],$A52,T_TTAFStock_Log[WeekIndex],85))</f>
        <v/>
      </c>
      <c r="CI52" s="17">
        <f>IF(COUNTIFS(T_TTAFStock_Log[Part Name],$A52,T_TTAFStock_Log[WeekIndex],86)=0,"",SUMIFS(T_TTAFStock_Log[TTAF_Qty],T_TTAFStock_Log[Part Name],$A52,T_TTAFStock_Log[WeekIndex],86))</f>
        <v/>
      </c>
      <c r="CJ52" s="17">
        <f>IF(COUNTIFS(T_TTAFStock_Log[Part Name],$A52,T_TTAFStock_Log[WeekIndex],87)=0,"",SUMIFS(T_TTAFStock_Log[TTAF_Qty],T_TTAFStock_Log[Part Name],$A52,T_TTAFStock_Log[WeekIndex],87))</f>
        <v/>
      </c>
      <c r="CK52" s="17">
        <f>IF(COUNTIFS(T_TTAFStock_Log[Part Name],$A52,T_TTAFStock_Log[WeekIndex],88)=0,"",SUMIFS(T_TTAFStock_Log[TTAF_Qty],T_TTAFStock_Log[Part Name],$A52,T_TTAFStock_Log[WeekIndex],88))</f>
        <v/>
      </c>
      <c r="CL52" s="17">
        <f>IF(COUNTIFS(T_TTAFStock_Log[Part Name],$A52,T_TTAFStock_Log[WeekIndex],89)=0,"",SUMIFS(T_TTAFStock_Log[TTAF_Qty],T_TTAFStock_Log[Part Name],$A52,T_TTAFStock_Log[WeekIndex],89))</f>
        <v/>
      </c>
      <c r="CM52" s="17">
        <f>IF(COUNTIFS(T_TTAFStock_Log[Part Name],$A52,T_TTAFStock_Log[WeekIndex],90)=0,"",SUMIFS(T_TTAFStock_Log[TTAF_Qty],T_TTAFStock_Log[Part Name],$A52,T_TTAFStock_Log[WeekIndex],90))</f>
        <v/>
      </c>
      <c r="CN52" s="17">
        <f>IF(COUNTIFS(T_TTAFStock_Log[Part Name],$A52,T_TTAFStock_Log[WeekIndex],91)=0,"",SUMIFS(T_TTAFStock_Log[TTAF_Qty],T_TTAFStock_Log[Part Name],$A52,T_TTAFStock_Log[WeekIndex],91))</f>
        <v/>
      </c>
      <c r="CO52" s="17">
        <f>IF(COUNTIFS(T_TTAFStock_Log[Part Name],$A52,T_TTAFStock_Log[WeekIndex],92)=0,"",SUMIFS(T_TTAFStock_Log[TTAF_Qty],T_TTAFStock_Log[Part Name],$A52,T_TTAFStock_Log[WeekIndex],92))</f>
        <v/>
      </c>
      <c r="CP52" s="17">
        <f>IF(COUNTIFS(T_TTAFStock_Log[Part Name],$A52,T_TTAFStock_Log[WeekIndex],93)=0,"",SUMIFS(T_TTAFStock_Log[TTAF_Qty],T_TTAFStock_Log[Part Name],$A52,T_TTAFStock_Log[WeekIndex],93))</f>
        <v/>
      </c>
      <c r="CQ52" s="17">
        <f>IF(COUNTIFS(T_TTAFStock_Log[Part Name],$A52,T_TTAFStock_Log[WeekIndex],94)=0,"",SUMIFS(T_TTAFStock_Log[TTAF_Qty],T_TTAFStock_Log[Part Name],$A52,T_TTAFStock_Log[WeekIndex],94))</f>
        <v/>
      </c>
      <c r="CR52" s="17">
        <f>IF(COUNTIFS(T_TTAFStock_Log[Part Name],$A52,T_TTAFStock_Log[WeekIndex],95)=0,"",SUMIFS(T_TTAFStock_Log[TTAF_Qty],T_TTAFStock_Log[Part Name],$A52,T_TTAFStock_Log[WeekIndex],95))</f>
        <v/>
      </c>
      <c r="CS52" s="17">
        <f>IF(COUNTIFS(T_TTAFStock_Log[Part Name],$A52,T_TTAFStock_Log[WeekIndex],96)=0,"",SUMIFS(T_TTAFStock_Log[TTAF_Qty],T_TTAFStock_Log[Part Name],$A52,T_TTAFStock_Log[WeekIndex],96))</f>
        <v/>
      </c>
      <c r="CT52" s="17">
        <f>IF(COUNTIFS(T_TTAFStock_Log[Part Name],$A52,T_TTAFStock_Log[WeekIndex],97)=0,"",SUMIFS(T_TTAFStock_Log[TTAF_Qty],T_TTAFStock_Log[Part Name],$A52,T_TTAFStock_Log[WeekIndex],97))</f>
        <v/>
      </c>
      <c r="CU52" s="17">
        <f>IF(COUNTIFS(T_TTAFStock_Log[Part Name],$A52,T_TTAFStock_Log[WeekIndex],98)=0,"",SUMIFS(T_TTAFStock_Log[TTAF_Qty],T_TTAFStock_Log[Part Name],$A52,T_TTAFStock_Log[WeekIndex],98))</f>
        <v/>
      </c>
      <c r="CV52" s="17">
        <f>IF(COUNTIFS(T_TTAFStock_Log[Part Name],$A52,T_TTAFStock_Log[WeekIndex],99)=0,"",SUMIFS(T_TTAFStock_Log[TTAF_Qty],T_TTAFStock_Log[Part Name],$A52,T_TTAFStock_Log[WeekIndex],99))</f>
        <v/>
      </c>
      <c r="CW52" s="17">
        <f>IF(COUNTIFS(T_TTAFStock_Log[Part Name],$A52,T_TTAFStock_Log[WeekIndex],100)=0,"",SUMIFS(T_TTAFStock_Log[TTAF_Qty],T_TTAFStock_Log[Part Name],$A52,T_TTAFStock_Log[WeekIndex],100))</f>
        <v/>
      </c>
      <c r="CX52" s="17">
        <f>IF(COUNTIFS(T_TTAFStock_Log[Part Name],$A52,T_TTAFStock_Log[WeekIndex],101)=0,"",SUMIFS(T_TTAFStock_Log[TTAF_Qty],T_TTAFStock_Log[Part Name],$A52,T_TTAFStock_Log[WeekIndex],101))</f>
        <v/>
      </c>
      <c r="CY52" s="17">
        <f>IF(COUNTIFS(T_TTAFStock_Log[Part Name],$A52,T_TTAFStock_Log[WeekIndex],102)=0,"",SUMIFS(T_TTAFStock_Log[TTAF_Qty],T_TTAFStock_Log[Part Name],$A52,T_TTAFStock_Log[WeekIndex],102))</f>
        <v/>
      </c>
      <c r="CZ52" s="17">
        <f>IF(COUNTIFS(T_TTAFStock_Log[Part Name],$A52,T_TTAFStock_Log[WeekIndex],103)=0,"",SUMIFS(T_TTAFStock_Log[TTAF_Qty],T_TTAFStock_Log[Part Name],$A52,T_TTAFStock_Log[WeekIndex],103))</f>
        <v/>
      </c>
      <c r="DA52" s="17">
        <f>IF(COUNTIFS(T_TTAFStock_Log[Part Name],$A52,T_TTAFStock_Log[WeekIndex],104)=0,"",SUMIFS(T_TTAFStock_Log[TTAF_Qty],T_TTAFStock_Log[Part Name],$A52,T_TTAFStock_Log[WeekIndex],104))</f>
        <v/>
      </c>
    </row>
    <row r="53">
      <c r="A53" s="19" t="inlineStr">
        <is>
          <t>CHEM-1010</t>
        </is>
      </c>
      <c r="B53" s="19">
        <f>IF(COUNTIFS(T_TTAFStock_Log[Part Name],$A53,T_TTAFStock_Log[WeekIndex],1)=0,"",SUMIFS(T_TTAFStock_Log[TTAF_Qty],T_TTAFStock_Log[Part Name],$A53,T_TTAFStock_Log[WeekIndex],1))</f>
        <v/>
      </c>
      <c r="C53" s="19">
        <f>IF(COUNTIFS(T_TTAFStock_Log[Part Name],$A53,T_TTAFStock_Log[WeekIndex],2)=0,"",SUMIFS(T_TTAFStock_Log[TTAF_Qty],T_TTAFStock_Log[Part Name],$A53,T_TTAFStock_Log[WeekIndex],2))</f>
        <v/>
      </c>
      <c r="D53" s="19">
        <f>IF(COUNTIFS(T_TTAFStock_Log[Part Name],$A53,T_TTAFStock_Log[WeekIndex],3)=0,"",SUMIFS(T_TTAFStock_Log[TTAF_Qty],T_TTAFStock_Log[Part Name],$A53,T_TTAFStock_Log[WeekIndex],3))</f>
        <v/>
      </c>
      <c r="E53" s="19">
        <f>IF(COUNTIFS(T_TTAFStock_Log[Part Name],$A53,T_TTAFStock_Log[WeekIndex],4)=0,"",SUMIFS(T_TTAFStock_Log[TTAF_Qty],T_TTAFStock_Log[Part Name],$A53,T_TTAFStock_Log[WeekIndex],4))</f>
        <v/>
      </c>
      <c r="F53" s="19">
        <f>IF(COUNTIFS(T_TTAFStock_Log[Part Name],$A53,T_TTAFStock_Log[WeekIndex],5)=0,"",SUMIFS(T_TTAFStock_Log[TTAF_Qty],T_TTAFStock_Log[Part Name],$A53,T_TTAFStock_Log[WeekIndex],5))</f>
        <v/>
      </c>
      <c r="G53" s="19">
        <f>IF(COUNTIFS(T_TTAFStock_Log[Part Name],$A53,T_TTAFStock_Log[WeekIndex],6)=0,"",SUMIFS(T_TTAFStock_Log[TTAF_Qty],T_TTAFStock_Log[Part Name],$A53,T_TTAFStock_Log[WeekIndex],6))</f>
        <v/>
      </c>
      <c r="H53" s="19">
        <f>IF(COUNTIFS(T_TTAFStock_Log[Part Name],$A53,T_TTAFStock_Log[WeekIndex],7)=0,"",SUMIFS(T_TTAFStock_Log[TTAF_Qty],T_TTAFStock_Log[Part Name],$A53,T_TTAFStock_Log[WeekIndex],7))</f>
        <v/>
      </c>
      <c r="I53" s="19">
        <f>IF(COUNTIFS(T_TTAFStock_Log[Part Name],$A53,T_TTAFStock_Log[WeekIndex],8)=0,"",SUMIFS(T_TTAFStock_Log[TTAF_Qty],T_TTAFStock_Log[Part Name],$A53,T_TTAFStock_Log[WeekIndex],8))</f>
        <v/>
      </c>
      <c r="J53" s="19">
        <f>IF(COUNTIFS(T_TTAFStock_Log[Part Name],$A53,T_TTAFStock_Log[WeekIndex],9)=0,"",SUMIFS(T_TTAFStock_Log[TTAF_Qty],T_TTAFStock_Log[Part Name],$A53,T_TTAFStock_Log[WeekIndex],9))</f>
        <v/>
      </c>
      <c r="K53" s="19">
        <f>IF(COUNTIFS(T_TTAFStock_Log[Part Name],$A53,T_TTAFStock_Log[WeekIndex],10)=0,"",SUMIFS(T_TTAFStock_Log[TTAF_Qty],T_TTAFStock_Log[Part Name],$A53,T_TTAFStock_Log[WeekIndex],10))</f>
        <v/>
      </c>
      <c r="L53" s="19">
        <f>IF(COUNTIFS(T_TTAFStock_Log[Part Name],$A53,T_TTAFStock_Log[WeekIndex],11)=0,"",SUMIFS(T_TTAFStock_Log[TTAF_Qty],T_TTAFStock_Log[Part Name],$A53,T_TTAFStock_Log[WeekIndex],11))</f>
        <v/>
      </c>
      <c r="M53" s="19">
        <f>IF(COUNTIFS(T_TTAFStock_Log[Part Name],$A53,T_TTAFStock_Log[WeekIndex],12)=0,"",SUMIFS(T_TTAFStock_Log[TTAF_Qty],T_TTAFStock_Log[Part Name],$A53,T_TTAFStock_Log[WeekIndex],12))</f>
        <v/>
      </c>
      <c r="N53" s="19">
        <f>IF(COUNTIFS(T_TTAFStock_Log[Part Name],$A53,T_TTAFStock_Log[WeekIndex],13)=0,"",SUMIFS(T_TTAFStock_Log[TTAF_Qty],T_TTAFStock_Log[Part Name],$A53,T_TTAFStock_Log[WeekIndex],13))</f>
        <v/>
      </c>
      <c r="O53" s="19">
        <f>IF(COUNTIFS(T_TTAFStock_Log[Part Name],$A53,T_TTAFStock_Log[WeekIndex],14)=0,"",SUMIFS(T_TTAFStock_Log[TTAF_Qty],T_TTAFStock_Log[Part Name],$A53,T_TTAFStock_Log[WeekIndex],14))</f>
        <v/>
      </c>
      <c r="P53" s="19">
        <f>IF(COUNTIFS(T_TTAFStock_Log[Part Name],$A53,T_TTAFStock_Log[WeekIndex],15)=0,"",SUMIFS(T_TTAFStock_Log[TTAF_Qty],T_TTAFStock_Log[Part Name],$A53,T_TTAFStock_Log[WeekIndex],15))</f>
        <v/>
      </c>
      <c r="Q53" s="19">
        <f>IF(COUNTIFS(T_TTAFStock_Log[Part Name],$A53,T_TTAFStock_Log[WeekIndex],16)=0,"",SUMIFS(T_TTAFStock_Log[TTAF_Qty],T_TTAFStock_Log[Part Name],$A53,T_TTAFStock_Log[WeekIndex],16))</f>
        <v/>
      </c>
      <c r="R53" s="19">
        <f>IF(COUNTIFS(T_TTAFStock_Log[Part Name],$A53,T_TTAFStock_Log[WeekIndex],17)=0,"",SUMIFS(T_TTAFStock_Log[TTAF_Qty],T_TTAFStock_Log[Part Name],$A53,T_TTAFStock_Log[WeekIndex],17))</f>
        <v/>
      </c>
      <c r="S53" s="19">
        <f>IF(COUNTIFS(T_TTAFStock_Log[Part Name],$A53,T_TTAFStock_Log[WeekIndex],18)=0,"",SUMIFS(T_TTAFStock_Log[TTAF_Qty],T_TTAFStock_Log[Part Name],$A53,T_TTAFStock_Log[WeekIndex],18))</f>
        <v/>
      </c>
      <c r="T53" s="19">
        <f>IF(COUNTIFS(T_TTAFStock_Log[Part Name],$A53,T_TTAFStock_Log[WeekIndex],19)=0,"",SUMIFS(T_TTAFStock_Log[TTAF_Qty],T_TTAFStock_Log[Part Name],$A53,T_TTAFStock_Log[WeekIndex],19))</f>
        <v/>
      </c>
      <c r="U53" s="19">
        <f>IF(COUNTIFS(T_TTAFStock_Log[Part Name],$A53,T_TTAFStock_Log[WeekIndex],20)=0,"",SUMIFS(T_TTAFStock_Log[TTAF_Qty],T_TTAFStock_Log[Part Name],$A53,T_TTAFStock_Log[WeekIndex],20))</f>
        <v/>
      </c>
      <c r="V53" s="19">
        <f>IF(COUNTIFS(T_TTAFStock_Log[Part Name],$A53,T_TTAFStock_Log[WeekIndex],21)=0,"",SUMIFS(T_TTAFStock_Log[TTAF_Qty],T_TTAFStock_Log[Part Name],$A53,T_TTAFStock_Log[WeekIndex],21))</f>
        <v/>
      </c>
      <c r="W53" s="19">
        <f>IF(COUNTIFS(T_TTAFStock_Log[Part Name],$A53,T_TTAFStock_Log[WeekIndex],22)=0,"",SUMIFS(T_TTAFStock_Log[TTAF_Qty],T_TTAFStock_Log[Part Name],$A53,T_TTAFStock_Log[WeekIndex],22))</f>
        <v/>
      </c>
      <c r="X53" s="19">
        <f>IF(COUNTIFS(T_TTAFStock_Log[Part Name],$A53,T_TTAFStock_Log[WeekIndex],23)=0,"",SUMIFS(T_TTAFStock_Log[TTAF_Qty],T_TTAFStock_Log[Part Name],$A53,T_TTAFStock_Log[WeekIndex],23))</f>
        <v/>
      </c>
      <c r="Y53" s="19">
        <f>IF(COUNTIFS(T_TTAFStock_Log[Part Name],$A53,T_TTAFStock_Log[WeekIndex],24)=0,"",SUMIFS(T_TTAFStock_Log[TTAF_Qty],T_TTAFStock_Log[Part Name],$A53,T_TTAFStock_Log[WeekIndex],24))</f>
        <v/>
      </c>
      <c r="Z53" s="19">
        <f>IF(COUNTIFS(T_TTAFStock_Log[Part Name],$A53,T_TTAFStock_Log[WeekIndex],25)=0,"",SUMIFS(T_TTAFStock_Log[TTAF_Qty],T_TTAFStock_Log[Part Name],$A53,T_TTAFStock_Log[WeekIndex],25))</f>
        <v/>
      </c>
      <c r="AA53" s="19">
        <f>IF(COUNTIFS(T_TTAFStock_Log[Part Name],$A53,T_TTAFStock_Log[WeekIndex],26)=0,"",SUMIFS(T_TTAFStock_Log[TTAF_Qty],T_TTAFStock_Log[Part Name],$A53,T_TTAFStock_Log[WeekIndex],26))</f>
        <v/>
      </c>
      <c r="AB53" s="19">
        <f>IF(COUNTIFS(T_TTAFStock_Log[Part Name],$A53,T_TTAFStock_Log[WeekIndex],27)=0,"",SUMIFS(T_TTAFStock_Log[TTAF_Qty],T_TTAFStock_Log[Part Name],$A53,T_TTAFStock_Log[WeekIndex],27))</f>
        <v/>
      </c>
      <c r="AC53" s="19">
        <f>IF(COUNTIFS(T_TTAFStock_Log[Part Name],$A53,T_TTAFStock_Log[WeekIndex],28)=0,"",SUMIFS(T_TTAFStock_Log[TTAF_Qty],T_TTAFStock_Log[Part Name],$A53,T_TTAFStock_Log[WeekIndex],28))</f>
        <v/>
      </c>
      <c r="AD53" s="19">
        <f>IF(COUNTIFS(T_TTAFStock_Log[Part Name],$A53,T_TTAFStock_Log[WeekIndex],29)=0,"",SUMIFS(T_TTAFStock_Log[TTAF_Qty],T_TTAFStock_Log[Part Name],$A53,T_TTAFStock_Log[WeekIndex],29))</f>
        <v/>
      </c>
      <c r="AE53" s="19">
        <f>IF(COUNTIFS(T_TTAFStock_Log[Part Name],$A53,T_TTAFStock_Log[WeekIndex],30)=0,"",SUMIFS(T_TTAFStock_Log[TTAF_Qty],T_TTAFStock_Log[Part Name],$A53,T_TTAFStock_Log[WeekIndex],30))</f>
        <v/>
      </c>
      <c r="AF53" s="19">
        <f>IF(COUNTIFS(T_TTAFStock_Log[Part Name],$A53,T_TTAFStock_Log[WeekIndex],31)=0,"",SUMIFS(T_TTAFStock_Log[TTAF_Qty],T_TTAFStock_Log[Part Name],$A53,T_TTAFStock_Log[WeekIndex],31))</f>
        <v/>
      </c>
      <c r="AG53" s="19">
        <f>IF(COUNTIFS(T_TTAFStock_Log[Part Name],$A53,T_TTAFStock_Log[WeekIndex],32)=0,"",SUMIFS(T_TTAFStock_Log[TTAF_Qty],T_TTAFStock_Log[Part Name],$A53,T_TTAFStock_Log[WeekIndex],32))</f>
        <v/>
      </c>
      <c r="AH53" s="19">
        <f>IF(COUNTIFS(T_TTAFStock_Log[Part Name],$A53,T_TTAFStock_Log[WeekIndex],33)=0,"",SUMIFS(T_TTAFStock_Log[TTAF_Qty],T_TTAFStock_Log[Part Name],$A53,T_TTAFStock_Log[WeekIndex],33))</f>
        <v/>
      </c>
      <c r="AI53" s="19">
        <f>IF(COUNTIFS(T_TTAFStock_Log[Part Name],$A53,T_TTAFStock_Log[WeekIndex],34)=0,"",SUMIFS(T_TTAFStock_Log[TTAF_Qty],T_TTAFStock_Log[Part Name],$A53,T_TTAFStock_Log[WeekIndex],34))</f>
        <v/>
      </c>
      <c r="AJ53" s="19">
        <f>IF(COUNTIFS(T_TTAFStock_Log[Part Name],$A53,T_TTAFStock_Log[WeekIndex],35)=0,"",SUMIFS(T_TTAFStock_Log[TTAF_Qty],T_TTAFStock_Log[Part Name],$A53,T_TTAFStock_Log[WeekIndex],35))</f>
        <v/>
      </c>
      <c r="AK53" s="19">
        <f>IF(COUNTIFS(T_TTAFStock_Log[Part Name],$A53,T_TTAFStock_Log[WeekIndex],36)=0,"",SUMIFS(T_TTAFStock_Log[TTAF_Qty],T_TTAFStock_Log[Part Name],$A53,T_TTAFStock_Log[WeekIndex],36))</f>
        <v/>
      </c>
      <c r="AL53" s="19">
        <f>IF(COUNTIFS(T_TTAFStock_Log[Part Name],$A53,T_TTAFStock_Log[WeekIndex],37)=0,"",SUMIFS(T_TTAFStock_Log[TTAF_Qty],T_TTAFStock_Log[Part Name],$A53,T_TTAFStock_Log[WeekIndex],37))</f>
        <v/>
      </c>
      <c r="AM53" s="19">
        <f>IF(COUNTIFS(T_TTAFStock_Log[Part Name],$A53,T_TTAFStock_Log[WeekIndex],38)=0,"",SUMIFS(T_TTAFStock_Log[TTAF_Qty],T_TTAFStock_Log[Part Name],$A53,T_TTAFStock_Log[WeekIndex],38))</f>
        <v/>
      </c>
      <c r="AN53" s="19">
        <f>IF(COUNTIFS(T_TTAFStock_Log[Part Name],$A53,T_TTAFStock_Log[WeekIndex],39)=0,"",SUMIFS(T_TTAFStock_Log[TTAF_Qty],T_TTAFStock_Log[Part Name],$A53,T_TTAFStock_Log[WeekIndex],39))</f>
        <v/>
      </c>
      <c r="AO53" s="19">
        <f>IF(COUNTIFS(T_TTAFStock_Log[Part Name],$A53,T_TTAFStock_Log[WeekIndex],40)=0,"",SUMIFS(T_TTAFStock_Log[TTAF_Qty],T_TTAFStock_Log[Part Name],$A53,T_TTAFStock_Log[WeekIndex],40))</f>
        <v/>
      </c>
      <c r="AP53" s="19">
        <f>IF(COUNTIFS(T_TTAFStock_Log[Part Name],$A53,T_TTAFStock_Log[WeekIndex],41)=0,"",SUMIFS(T_TTAFStock_Log[TTAF_Qty],T_TTAFStock_Log[Part Name],$A53,T_TTAFStock_Log[WeekIndex],41))</f>
        <v/>
      </c>
      <c r="AQ53" s="19">
        <f>IF(COUNTIFS(T_TTAFStock_Log[Part Name],$A53,T_TTAFStock_Log[WeekIndex],42)=0,"",SUMIFS(T_TTAFStock_Log[TTAF_Qty],T_TTAFStock_Log[Part Name],$A53,T_TTAFStock_Log[WeekIndex],42))</f>
        <v/>
      </c>
      <c r="AR53" s="19">
        <f>IF(COUNTIFS(T_TTAFStock_Log[Part Name],$A53,T_TTAFStock_Log[WeekIndex],43)=0,"",SUMIFS(T_TTAFStock_Log[TTAF_Qty],T_TTAFStock_Log[Part Name],$A53,T_TTAFStock_Log[WeekIndex],43))</f>
        <v/>
      </c>
      <c r="AS53" s="19">
        <f>IF(COUNTIFS(T_TTAFStock_Log[Part Name],$A53,T_TTAFStock_Log[WeekIndex],44)=0,"",SUMIFS(T_TTAFStock_Log[TTAF_Qty],T_TTAFStock_Log[Part Name],$A53,T_TTAFStock_Log[WeekIndex],44))</f>
        <v/>
      </c>
      <c r="AT53" s="19">
        <f>IF(COUNTIFS(T_TTAFStock_Log[Part Name],$A53,T_TTAFStock_Log[WeekIndex],45)=0,"",SUMIFS(T_TTAFStock_Log[TTAF_Qty],T_TTAFStock_Log[Part Name],$A53,T_TTAFStock_Log[WeekIndex],45))</f>
        <v/>
      </c>
      <c r="AU53" s="19">
        <f>IF(COUNTIFS(T_TTAFStock_Log[Part Name],$A53,T_TTAFStock_Log[WeekIndex],46)=0,"",SUMIFS(T_TTAFStock_Log[TTAF_Qty],T_TTAFStock_Log[Part Name],$A53,T_TTAFStock_Log[WeekIndex],46))</f>
        <v/>
      </c>
      <c r="AV53" s="19">
        <f>IF(COUNTIFS(T_TTAFStock_Log[Part Name],$A53,T_TTAFStock_Log[WeekIndex],47)=0,"",SUMIFS(T_TTAFStock_Log[TTAF_Qty],T_TTAFStock_Log[Part Name],$A53,T_TTAFStock_Log[WeekIndex],47))</f>
        <v/>
      </c>
      <c r="AW53" s="19">
        <f>IF(COUNTIFS(T_TTAFStock_Log[Part Name],$A53,T_TTAFStock_Log[WeekIndex],48)=0,"",SUMIFS(T_TTAFStock_Log[TTAF_Qty],T_TTAFStock_Log[Part Name],$A53,T_TTAFStock_Log[WeekIndex],48))</f>
        <v/>
      </c>
      <c r="AX53" s="19">
        <f>IF(COUNTIFS(T_TTAFStock_Log[Part Name],$A53,T_TTAFStock_Log[WeekIndex],49)=0,"",SUMIFS(T_TTAFStock_Log[TTAF_Qty],T_TTAFStock_Log[Part Name],$A53,T_TTAFStock_Log[WeekIndex],49))</f>
        <v/>
      </c>
      <c r="AY53" s="19">
        <f>IF(COUNTIFS(T_TTAFStock_Log[Part Name],$A53,T_TTAFStock_Log[WeekIndex],50)=0,"",SUMIFS(T_TTAFStock_Log[TTAF_Qty],T_TTAFStock_Log[Part Name],$A53,T_TTAFStock_Log[WeekIndex],50))</f>
        <v/>
      </c>
      <c r="AZ53" s="19">
        <f>IF(COUNTIFS(T_TTAFStock_Log[Part Name],$A53,T_TTAFStock_Log[WeekIndex],51)=0,"",SUMIFS(T_TTAFStock_Log[TTAF_Qty],T_TTAFStock_Log[Part Name],$A53,T_TTAFStock_Log[WeekIndex],51))</f>
        <v/>
      </c>
      <c r="BA53" s="19">
        <f>IF(COUNTIFS(T_TTAFStock_Log[Part Name],$A53,T_TTAFStock_Log[WeekIndex],52)=0,"",SUMIFS(T_TTAFStock_Log[TTAF_Qty],T_TTAFStock_Log[Part Name],$A53,T_TTAFStock_Log[WeekIndex],52))</f>
        <v/>
      </c>
      <c r="BB53" s="19">
        <f>IF(COUNTIFS(T_TTAFStock_Log[Part Name],$A53,T_TTAFStock_Log[WeekIndex],53)=0,"",SUMIFS(T_TTAFStock_Log[TTAF_Qty],T_TTAFStock_Log[Part Name],$A53,T_TTAFStock_Log[WeekIndex],53))</f>
        <v/>
      </c>
      <c r="BC53" s="19">
        <f>IF(COUNTIFS(T_TTAFStock_Log[Part Name],$A53,T_TTAFStock_Log[WeekIndex],54)=0,"",SUMIFS(T_TTAFStock_Log[TTAF_Qty],T_TTAFStock_Log[Part Name],$A53,T_TTAFStock_Log[WeekIndex],54))</f>
        <v/>
      </c>
      <c r="BD53" s="19">
        <f>IF(COUNTIFS(T_TTAFStock_Log[Part Name],$A53,T_TTAFStock_Log[WeekIndex],55)=0,"",SUMIFS(T_TTAFStock_Log[TTAF_Qty],T_TTAFStock_Log[Part Name],$A53,T_TTAFStock_Log[WeekIndex],55))</f>
        <v/>
      </c>
      <c r="BE53" s="19">
        <f>IF(COUNTIFS(T_TTAFStock_Log[Part Name],$A53,T_TTAFStock_Log[WeekIndex],56)=0,"",SUMIFS(T_TTAFStock_Log[TTAF_Qty],T_TTAFStock_Log[Part Name],$A53,T_TTAFStock_Log[WeekIndex],56))</f>
        <v/>
      </c>
      <c r="BF53" s="19">
        <f>IF(COUNTIFS(T_TTAFStock_Log[Part Name],$A53,T_TTAFStock_Log[WeekIndex],57)=0,"",SUMIFS(T_TTAFStock_Log[TTAF_Qty],T_TTAFStock_Log[Part Name],$A53,T_TTAFStock_Log[WeekIndex],57))</f>
        <v/>
      </c>
      <c r="BG53" s="19">
        <f>IF(COUNTIFS(T_TTAFStock_Log[Part Name],$A53,T_TTAFStock_Log[WeekIndex],58)=0,"",SUMIFS(T_TTAFStock_Log[TTAF_Qty],T_TTAFStock_Log[Part Name],$A53,T_TTAFStock_Log[WeekIndex],58))</f>
        <v/>
      </c>
      <c r="BH53" s="19">
        <f>IF(COUNTIFS(T_TTAFStock_Log[Part Name],$A53,T_TTAFStock_Log[WeekIndex],59)=0,"",SUMIFS(T_TTAFStock_Log[TTAF_Qty],T_TTAFStock_Log[Part Name],$A53,T_TTAFStock_Log[WeekIndex],59))</f>
        <v/>
      </c>
      <c r="BI53" s="19">
        <f>IF(COUNTIFS(T_TTAFStock_Log[Part Name],$A53,T_TTAFStock_Log[WeekIndex],60)=0,"",SUMIFS(T_TTAFStock_Log[TTAF_Qty],T_TTAFStock_Log[Part Name],$A53,T_TTAFStock_Log[WeekIndex],60))</f>
        <v/>
      </c>
      <c r="BJ53" s="19">
        <f>IF(COUNTIFS(T_TTAFStock_Log[Part Name],$A53,T_TTAFStock_Log[WeekIndex],61)=0,"",SUMIFS(T_TTAFStock_Log[TTAF_Qty],T_TTAFStock_Log[Part Name],$A53,T_TTAFStock_Log[WeekIndex],61))</f>
        <v/>
      </c>
      <c r="BK53" s="19">
        <f>IF(COUNTIFS(T_TTAFStock_Log[Part Name],$A53,T_TTAFStock_Log[WeekIndex],62)=0,"",SUMIFS(T_TTAFStock_Log[TTAF_Qty],T_TTAFStock_Log[Part Name],$A53,T_TTAFStock_Log[WeekIndex],62))</f>
        <v/>
      </c>
      <c r="BL53" s="19">
        <f>IF(COUNTIFS(T_TTAFStock_Log[Part Name],$A53,T_TTAFStock_Log[WeekIndex],63)=0,"",SUMIFS(T_TTAFStock_Log[TTAF_Qty],T_TTAFStock_Log[Part Name],$A53,T_TTAFStock_Log[WeekIndex],63))</f>
        <v/>
      </c>
      <c r="BM53" s="19">
        <f>IF(COUNTIFS(T_TTAFStock_Log[Part Name],$A53,T_TTAFStock_Log[WeekIndex],64)=0,"",SUMIFS(T_TTAFStock_Log[TTAF_Qty],T_TTAFStock_Log[Part Name],$A53,T_TTAFStock_Log[WeekIndex],64))</f>
        <v/>
      </c>
      <c r="BN53" s="19">
        <f>IF(COUNTIFS(T_TTAFStock_Log[Part Name],$A53,T_TTAFStock_Log[WeekIndex],65)=0,"",SUMIFS(T_TTAFStock_Log[TTAF_Qty],T_TTAFStock_Log[Part Name],$A53,T_TTAFStock_Log[WeekIndex],65))</f>
        <v/>
      </c>
      <c r="BO53" s="19">
        <f>IF(COUNTIFS(T_TTAFStock_Log[Part Name],$A53,T_TTAFStock_Log[WeekIndex],66)=0,"",SUMIFS(T_TTAFStock_Log[TTAF_Qty],T_TTAFStock_Log[Part Name],$A53,T_TTAFStock_Log[WeekIndex],66))</f>
        <v/>
      </c>
      <c r="BP53" s="19">
        <f>IF(COUNTIFS(T_TTAFStock_Log[Part Name],$A53,T_TTAFStock_Log[WeekIndex],67)=0,"",SUMIFS(T_TTAFStock_Log[TTAF_Qty],T_TTAFStock_Log[Part Name],$A53,T_TTAFStock_Log[WeekIndex],67))</f>
        <v/>
      </c>
      <c r="BQ53" s="19">
        <f>IF(COUNTIFS(T_TTAFStock_Log[Part Name],$A53,T_TTAFStock_Log[WeekIndex],68)=0,"",SUMIFS(T_TTAFStock_Log[TTAF_Qty],T_TTAFStock_Log[Part Name],$A53,T_TTAFStock_Log[WeekIndex],68))</f>
        <v/>
      </c>
      <c r="BR53" s="19">
        <f>IF(COUNTIFS(T_TTAFStock_Log[Part Name],$A53,T_TTAFStock_Log[WeekIndex],69)=0,"",SUMIFS(T_TTAFStock_Log[TTAF_Qty],T_TTAFStock_Log[Part Name],$A53,T_TTAFStock_Log[WeekIndex],69))</f>
        <v/>
      </c>
      <c r="BS53" s="19">
        <f>IF(COUNTIFS(T_TTAFStock_Log[Part Name],$A53,T_TTAFStock_Log[WeekIndex],70)=0,"",SUMIFS(T_TTAFStock_Log[TTAF_Qty],T_TTAFStock_Log[Part Name],$A53,T_TTAFStock_Log[WeekIndex],70))</f>
        <v/>
      </c>
      <c r="BT53" s="19">
        <f>IF(COUNTIFS(T_TTAFStock_Log[Part Name],$A53,T_TTAFStock_Log[WeekIndex],71)=0,"",SUMIFS(T_TTAFStock_Log[TTAF_Qty],T_TTAFStock_Log[Part Name],$A53,T_TTAFStock_Log[WeekIndex],71))</f>
        <v/>
      </c>
      <c r="BU53" s="19">
        <f>IF(COUNTIFS(T_TTAFStock_Log[Part Name],$A53,T_TTAFStock_Log[WeekIndex],72)=0,"",SUMIFS(T_TTAFStock_Log[TTAF_Qty],T_TTAFStock_Log[Part Name],$A53,T_TTAFStock_Log[WeekIndex],72))</f>
        <v/>
      </c>
      <c r="BV53" s="19">
        <f>IF(COUNTIFS(T_TTAFStock_Log[Part Name],$A53,T_TTAFStock_Log[WeekIndex],73)=0,"",SUMIFS(T_TTAFStock_Log[TTAF_Qty],T_TTAFStock_Log[Part Name],$A53,T_TTAFStock_Log[WeekIndex],73))</f>
        <v/>
      </c>
      <c r="BW53" s="19">
        <f>IF(COUNTIFS(T_TTAFStock_Log[Part Name],$A53,T_TTAFStock_Log[WeekIndex],74)=0,"",SUMIFS(T_TTAFStock_Log[TTAF_Qty],T_TTAFStock_Log[Part Name],$A53,T_TTAFStock_Log[WeekIndex],74))</f>
        <v/>
      </c>
      <c r="BX53" s="19">
        <f>IF(COUNTIFS(T_TTAFStock_Log[Part Name],$A53,T_TTAFStock_Log[WeekIndex],75)=0,"",SUMIFS(T_TTAFStock_Log[TTAF_Qty],T_TTAFStock_Log[Part Name],$A53,T_TTAFStock_Log[WeekIndex],75))</f>
        <v/>
      </c>
      <c r="BY53" s="19">
        <f>IF(COUNTIFS(T_TTAFStock_Log[Part Name],$A53,T_TTAFStock_Log[WeekIndex],76)=0,"",SUMIFS(T_TTAFStock_Log[TTAF_Qty],T_TTAFStock_Log[Part Name],$A53,T_TTAFStock_Log[WeekIndex],76))</f>
        <v/>
      </c>
      <c r="BZ53" s="19">
        <f>IF(COUNTIFS(T_TTAFStock_Log[Part Name],$A53,T_TTAFStock_Log[WeekIndex],77)=0,"",SUMIFS(T_TTAFStock_Log[TTAF_Qty],T_TTAFStock_Log[Part Name],$A53,T_TTAFStock_Log[WeekIndex],77))</f>
        <v/>
      </c>
      <c r="CA53" s="19">
        <f>IF(COUNTIFS(T_TTAFStock_Log[Part Name],$A53,T_TTAFStock_Log[WeekIndex],78)=0,"",SUMIFS(T_TTAFStock_Log[TTAF_Qty],T_TTAFStock_Log[Part Name],$A53,T_TTAFStock_Log[WeekIndex],78))</f>
        <v/>
      </c>
      <c r="CB53" s="19">
        <f>IF(COUNTIFS(T_TTAFStock_Log[Part Name],$A53,T_TTAFStock_Log[WeekIndex],79)=0,"",SUMIFS(T_TTAFStock_Log[TTAF_Qty],T_TTAFStock_Log[Part Name],$A53,T_TTAFStock_Log[WeekIndex],79))</f>
        <v/>
      </c>
      <c r="CC53" s="19">
        <f>IF(COUNTIFS(T_TTAFStock_Log[Part Name],$A53,T_TTAFStock_Log[WeekIndex],80)=0,"",SUMIFS(T_TTAFStock_Log[TTAF_Qty],T_TTAFStock_Log[Part Name],$A53,T_TTAFStock_Log[WeekIndex],80))</f>
        <v/>
      </c>
      <c r="CD53" s="19">
        <f>IF(COUNTIFS(T_TTAFStock_Log[Part Name],$A53,T_TTAFStock_Log[WeekIndex],81)=0,"",SUMIFS(T_TTAFStock_Log[TTAF_Qty],T_TTAFStock_Log[Part Name],$A53,T_TTAFStock_Log[WeekIndex],81))</f>
        <v/>
      </c>
      <c r="CE53" s="19">
        <f>IF(COUNTIFS(T_TTAFStock_Log[Part Name],$A53,T_TTAFStock_Log[WeekIndex],82)=0,"",SUMIFS(T_TTAFStock_Log[TTAF_Qty],T_TTAFStock_Log[Part Name],$A53,T_TTAFStock_Log[WeekIndex],82))</f>
        <v/>
      </c>
      <c r="CF53" s="19">
        <f>IF(COUNTIFS(T_TTAFStock_Log[Part Name],$A53,T_TTAFStock_Log[WeekIndex],83)=0,"",SUMIFS(T_TTAFStock_Log[TTAF_Qty],T_TTAFStock_Log[Part Name],$A53,T_TTAFStock_Log[WeekIndex],83))</f>
        <v/>
      </c>
      <c r="CG53" s="19">
        <f>IF(COUNTIFS(T_TTAFStock_Log[Part Name],$A53,T_TTAFStock_Log[WeekIndex],84)=0,"",SUMIFS(T_TTAFStock_Log[TTAF_Qty],T_TTAFStock_Log[Part Name],$A53,T_TTAFStock_Log[WeekIndex],84))</f>
        <v/>
      </c>
      <c r="CH53" s="19">
        <f>IF(COUNTIFS(T_TTAFStock_Log[Part Name],$A53,T_TTAFStock_Log[WeekIndex],85)=0,"",SUMIFS(T_TTAFStock_Log[TTAF_Qty],T_TTAFStock_Log[Part Name],$A53,T_TTAFStock_Log[WeekIndex],85))</f>
        <v/>
      </c>
      <c r="CI53" s="19">
        <f>IF(COUNTIFS(T_TTAFStock_Log[Part Name],$A53,T_TTAFStock_Log[WeekIndex],86)=0,"",SUMIFS(T_TTAFStock_Log[TTAF_Qty],T_TTAFStock_Log[Part Name],$A53,T_TTAFStock_Log[WeekIndex],86))</f>
        <v/>
      </c>
      <c r="CJ53" s="19">
        <f>IF(COUNTIFS(T_TTAFStock_Log[Part Name],$A53,T_TTAFStock_Log[WeekIndex],87)=0,"",SUMIFS(T_TTAFStock_Log[TTAF_Qty],T_TTAFStock_Log[Part Name],$A53,T_TTAFStock_Log[WeekIndex],87))</f>
        <v/>
      </c>
      <c r="CK53" s="19">
        <f>IF(COUNTIFS(T_TTAFStock_Log[Part Name],$A53,T_TTAFStock_Log[WeekIndex],88)=0,"",SUMIFS(T_TTAFStock_Log[TTAF_Qty],T_TTAFStock_Log[Part Name],$A53,T_TTAFStock_Log[WeekIndex],88))</f>
        <v/>
      </c>
      <c r="CL53" s="19">
        <f>IF(COUNTIFS(T_TTAFStock_Log[Part Name],$A53,T_TTAFStock_Log[WeekIndex],89)=0,"",SUMIFS(T_TTAFStock_Log[TTAF_Qty],T_TTAFStock_Log[Part Name],$A53,T_TTAFStock_Log[WeekIndex],89))</f>
        <v/>
      </c>
      <c r="CM53" s="19">
        <f>IF(COUNTIFS(T_TTAFStock_Log[Part Name],$A53,T_TTAFStock_Log[WeekIndex],90)=0,"",SUMIFS(T_TTAFStock_Log[TTAF_Qty],T_TTAFStock_Log[Part Name],$A53,T_TTAFStock_Log[WeekIndex],90))</f>
        <v/>
      </c>
      <c r="CN53" s="19">
        <f>IF(COUNTIFS(T_TTAFStock_Log[Part Name],$A53,T_TTAFStock_Log[WeekIndex],91)=0,"",SUMIFS(T_TTAFStock_Log[TTAF_Qty],T_TTAFStock_Log[Part Name],$A53,T_TTAFStock_Log[WeekIndex],91))</f>
        <v/>
      </c>
      <c r="CO53" s="19">
        <f>IF(COUNTIFS(T_TTAFStock_Log[Part Name],$A53,T_TTAFStock_Log[WeekIndex],92)=0,"",SUMIFS(T_TTAFStock_Log[TTAF_Qty],T_TTAFStock_Log[Part Name],$A53,T_TTAFStock_Log[WeekIndex],92))</f>
        <v/>
      </c>
      <c r="CP53" s="19">
        <f>IF(COUNTIFS(T_TTAFStock_Log[Part Name],$A53,T_TTAFStock_Log[WeekIndex],93)=0,"",SUMIFS(T_TTAFStock_Log[TTAF_Qty],T_TTAFStock_Log[Part Name],$A53,T_TTAFStock_Log[WeekIndex],93))</f>
        <v/>
      </c>
      <c r="CQ53" s="19">
        <f>IF(COUNTIFS(T_TTAFStock_Log[Part Name],$A53,T_TTAFStock_Log[WeekIndex],94)=0,"",SUMIFS(T_TTAFStock_Log[TTAF_Qty],T_TTAFStock_Log[Part Name],$A53,T_TTAFStock_Log[WeekIndex],94))</f>
        <v/>
      </c>
      <c r="CR53" s="19">
        <f>IF(COUNTIFS(T_TTAFStock_Log[Part Name],$A53,T_TTAFStock_Log[WeekIndex],95)=0,"",SUMIFS(T_TTAFStock_Log[TTAF_Qty],T_TTAFStock_Log[Part Name],$A53,T_TTAFStock_Log[WeekIndex],95))</f>
        <v/>
      </c>
      <c r="CS53" s="19">
        <f>IF(COUNTIFS(T_TTAFStock_Log[Part Name],$A53,T_TTAFStock_Log[WeekIndex],96)=0,"",SUMIFS(T_TTAFStock_Log[TTAF_Qty],T_TTAFStock_Log[Part Name],$A53,T_TTAFStock_Log[WeekIndex],96))</f>
        <v/>
      </c>
      <c r="CT53" s="19">
        <f>IF(COUNTIFS(T_TTAFStock_Log[Part Name],$A53,T_TTAFStock_Log[WeekIndex],97)=0,"",SUMIFS(T_TTAFStock_Log[TTAF_Qty],T_TTAFStock_Log[Part Name],$A53,T_TTAFStock_Log[WeekIndex],97))</f>
        <v/>
      </c>
      <c r="CU53" s="19">
        <f>IF(COUNTIFS(T_TTAFStock_Log[Part Name],$A53,T_TTAFStock_Log[WeekIndex],98)=0,"",SUMIFS(T_TTAFStock_Log[TTAF_Qty],T_TTAFStock_Log[Part Name],$A53,T_TTAFStock_Log[WeekIndex],98))</f>
        <v/>
      </c>
      <c r="CV53" s="19">
        <f>IF(COUNTIFS(T_TTAFStock_Log[Part Name],$A53,T_TTAFStock_Log[WeekIndex],99)=0,"",SUMIFS(T_TTAFStock_Log[TTAF_Qty],T_TTAFStock_Log[Part Name],$A53,T_TTAFStock_Log[WeekIndex],99))</f>
        <v/>
      </c>
      <c r="CW53" s="19">
        <f>IF(COUNTIFS(T_TTAFStock_Log[Part Name],$A53,T_TTAFStock_Log[WeekIndex],100)=0,"",SUMIFS(T_TTAFStock_Log[TTAF_Qty],T_TTAFStock_Log[Part Name],$A53,T_TTAFStock_Log[WeekIndex],100))</f>
        <v/>
      </c>
      <c r="CX53" s="19">
        <f>IF(COUNTIFS(T_TTAFStock_Log[Part Name],$A53,T_TTAFStock_Log[WeekIndex],101)=0,"",SUMIFS(T_TTAFStock_Log[TTAF_Qty],T_TTAFStock_Log[Part Name],$A53,T_TTAFStock_Log[WeekIndex],101))</f>
        <v/>
      </c>
      <c r="CY53" s="19">
        <f>IF(COUNTIFS(T_TTAFStock_Log[Part Name],$A53,T_TTAFStock_Log[WeekIndex],102)=0,"",SUMIFS(T_TTAFStock_Log[TTAF_Qty],T_TTAFStock_Log[Part Name],$A53,T_TTAFStock_Log[WeekIndex],102))</f>
        <v/>
      </c>
      <c r="CZ53" s="19">
        <f>IF(COUNTIFS(T_TTAFStock_Log[Part Name],$A53,T_TTAFStock_Log[WeekIndex],103)=0,"",SUMIFS(T_TTAFStock_Log[TTAF_Qty],T_TTAFStock_Log[Part Name],$A53,T_TTAFStock_Log[WeekIndex],103))</f>
        <v/>
      </c>
      <c r="DA53" s="19">
        <f>IF(COUNTIFS(T_TTAFStock_Log[Part Name],$A53,T_TTAFStock_Log[WeekIndex],104)=0,"",SUMIFS(T_TTAFStock_Log[TTAF_Qty],T_TTAFStock_Log[Part Name],$A53,T_TTAFStock_Log[WeekIndex],104))</f>
        <v/>
      </c>
    </row>
    <row r="54">
      <c r="A54" s="17" t="inlineStr">
        <is>
          <t>CHEM-1760</t>
        </is>
      </c>
      <c r="B54" s="17">
        <f>IF(COUNTIFS(T_TTAFStock_Log[Part Name],$A54,T_TTAFStock_Log[WeekIndex],1)=0,"",SUMIFS(T_TTAFStock_Log[TTAF_Qty],T_TTAFStock_Log[Part Name],$A54,T_TTAFStock_Log[WeekIndex],1))</f>
        <v/>
      </c>
      <c r="C54" s="17">
        <f>IF(COUNTIFS(T_TTAFStock_Log[Part Name],$A54,T_TTAFStock_Log[WeekIndex],2)=0,"",SUMIFS(T_TTAFStock_Log[TTAF_Qty],T_TTAFStock_Log[Part Name],$A54,T_TTAFStock_Log[WeekIndex],2))</f>
        <v/>
      </c>
      <c r="D54" s="17">
        <f>IF(COUNTIFS(T_TTAFStock_Log[Part Name],$A54,T_TTAFStock_Log[WeekIndex],3)=0,"",SUMIFS(T_TTAFStock_Log[TTAF_Qty],T_TTAFStock_Log[Part Name],$A54,T_TTAFStock_Log[WeekIndex],3))</f>
        <v/>
      </c>
      <c r="E54" s="17">
        <f>IF(COUNTIFS(T_TTAFStock_Log[Part Name],$A54,T_TTAFStock_Log[WeekIndex],4)=0,"",SUMIFS(T_TTAFStock_Log[TTAF_Qty],T_TTAFStock_Log[Part Name],$A54,T_TTAFStock_Log[WeekIndex],4))</f>
        <v/>
      </c>
      <c r="F54" s="17">
        <f>IF(COUNTIFS(T_TTAFStock_Log[Part Name],$A54,T_TTAFStock_Log[WeekIndex],5)=0,"",SUMIFS(T_TTAFStock_Log[TTAF_Qty],T_TTAFStock_Log[Part Name],$A54,T_TTAFStock_Log[WeekIndex],5))</f>
        <v/>
      </c>
      <c r="G54" s="17">
        <f>IF(COUNTIFS(T_TTAFStock_Log[Part Name],$A54,T_TTAFStock_Log[WeekIndex],6)=0,"",SUMIFS(T_TTAFStock_Log[TTAF_Qty],T_TTAFStock_Log[Part Name],$A54,T_TTAFStock_Log[WeekIndex],6))</f>
        <v/>
      </c>
      <c r="H54" s="17">
        <f>IF(COUNTIFS(T_TTAFStock_Log[Part Name],$A54,T_TTAFStock_Log[WeekIndex],7)=0,"",SUMIFS(T_TTAFStock_Log[TTAF_Qty],T_TTAFStock_Log[Part Name],$A54,T_TTAFStock_Log[WeekIndex],7))</f>
        <v/>
      </c>
      <c r="I54" s="17">
        <f>IF(COUNTIFS(T_TTAFStock_Log[Part Name],$A54,T_TTAFStock_Log[WeekIndex],8)=0,"",SUMIFS(T_TTAFStock_Log[TTAF_Qty],T_TTAFStock_Log[Part Name],$A54,T_TTAFStock_Log[WeekIndex],8))</f>
        <v/>
      </c>
      <c r="J54" s="17">
        <f>IF(COUNTIFS(T_TTAFStock_Log[Part Name],$A54,T_TTAFStock_Log[WeekIndex],9)=0,"",SUMIFS(T_TTAFStock_Log[TTAF_Qty],T_TTAFStock_Log[Part Name],$A54,T_TTAFStock_Log[WeekIndex],9))</f>
        <v/>
      </c>
      <c r="K54" s="17">
        <f>IF(COUNTIFS(T_TTAFStock_Log[Part Name],$A54,T_TTAFStock_Log[WeekIndex],10)=0,"",SUMIFS(T_TTAFStock_Log[TTAF_Qty],T_TTAFStock_Log[Part Name],$A54,T_TTAFStock_Log[WeekIndex],10))</f>
        <v/>
      </c>
      <c r="L54" s="17">
        <f>IF(COUNTIFS(T_TTAFStock_Log[Part Name],$A54,T_TTAFStock_Log[WeekIndex],11)=0,"",SUMIFS(T_TTAFStock_Log[TTAF_Qty],T_TTAFStock_Log[Part Name],$A54,T_TTAFStock_Log[WeekIndex],11))</f>
        <v/>
      </c>
      <c r="M54" s="17">
        <f>IF(COUNTIFS(T_TTAFStock_Log[Part Name],$A54,T_TTAFStock_Log[WeekIndex],12)=0,"",SUMIFS(T_TTAFStock_Log[TTAF_Qty],T_TTAFStock_Log[Part Name],$A54,T_TTAFStock_Log[WeekIndex],12))</f>
        <v/>
      </c>
      <c r="N54" s="17">
        <f>IF(COUNTIFS(T_TTAFStock_Log[Part Name],$A54,T_TTAFStock_Log[WeekIndex],13)=0,"",SUMIFS(T_TTAFStock_Log[TTAF_Qty],T_TTAFStock_Log[Part Name],$A54,T_TTAFStock_Log[WeekIndex],13))</f>
        <v/>
      </c>
      <c r="O54" s="17">
        <f>IF(COUNTIFS(T_TTAFStock_Log[Part Name],$A54,T_TTAFStock_Log[WeekIndex],14)=0,"",SUMIFS(T_TTAFStock_Log[TTAF_Qty],T_TTAFStock_Log[Part Name],$A54,T_TTAFStock_Log[WeekIndex],14))</f>
        <v/>
      </c>
      <c r="P54" s="17">
        <f>IF(COUNTIFS(T_TTAFStock_Log[Part Name],$A54,T_TTAFStock_Log[WeekIndex],15)=0,"",SUMIFS(T_TTAFStock_Log[TTAF_Qty],T_TTAFStock_Log[Part Name],$A54,T_TTAFStock_Log[WeekIndex],15))</f>
        <v/>
      </c>
      <c r="Q54" s="17">
        <f>IF(COUNTIFS(T_TTAFStock_Log[Part Name],$A54,T_TTAFStock_Log[WeekIndex],16)=0,"",SUMIFS(T_TTAFStock_Log[TTAF_Qty],T_TTAFStock_Log[Part Name],$A54,T_TTAFStock_Log[WeekIndex],16))</f>
        <v/>
      </c>
      <c r="R54" s="17">
        <f>IF(COUNTIFS(T_TTAFStock_Log[Part Name],$A54,T_TTAFStock_Log[WeekIndex],17)=0,"",SUMIFS(T_TTAFStock_Log[TTAF_Qty],T_TTAFStock_Log[Part Name],$A54,T_TTAFStock_Log[WeekIndex],17))</f>
        <v/>
      </c>
      <c r="S54" s="17">
        <f>IF(COUNTIFS(T_TTAFStock_Log[Part Name],$A54,T_TTAFStock_Log[WeekIndex],18)=0,"",SUMIFS(T_TTAFStock_Log[TTAF_Qty],T_TTAFStock_Log[Part Name],$A54,T_TTAFStock_Log[WeekIndex],18))</f>
        <v/>
      </c>
      <c r="T54" s="17">
        <f>IF(COUNTIFS(T_TTAFStock_Log[Part Name],$A54,T_TTAFStock_Log[WeekIndex],19)=0,"",SUMIFS(T_TTAFStock_Log[TTAF_Qty],T_TTAFStock_Log[Part Name],$A54,T_TTAFStock_Log[WeekIndex],19))</f>
        <v/>
      </c>
      <c r="U54" s="17">
        <f>IF(COUNTIFS(T_TTAFStock_Log[Part Name],$A54,T_TTAFStock_Log[WeekIndex],20)=0,"",SUMIFS(T_TTAFStock_Log[TTAF_Qty],T_TTAFStock_Log[Part Name],$A54,T_TTAFStock_Log[WeekIndex],20))</f>
        <v/>
      </c>
      <c r="V54" s="17">
        <f>IF(COUNTIFS(T_TTAFStock_Log[Part Name],$A54,T_TTAFStock_Log[WeekIndex],21)=0,"",SUMIFS(T_TTAFStock_Log[TTAF_Qty],T_TTAFStock_Log[Part Name],$A54,T_TTAFStock_Log[WeekIndex],21))</f>
        <v/>
      </c>
      <c r="W54" s="17">
        <f>IF(COUNTIFS(T_TTAFStock_Log[Part Name],$A54,T_TTAFStock_Log[WeekIndex],22)=0,"",SUMIFS(T_TTAFStock_Log[TTAF_Qty],T_TTAFStock_Log[Part Name],$A54,T_TTAFStock_Log[WeekIndex],22))</f>
        <v/>
      </c>
      <c r="X54" s="17">
        <f>IF(COUNTIFS(T_TTAFStock_Log[Part Name],$A54,T_TTAFStock_Log[WeekIndex],23)=0,"",SUMIFS(T_TTAFStock_Log[TTAF_Qty],T_TTAFStock_Log[Part Name],$A54,T_TTAFStock_Log[WeekIndex],23))</f>
        <v/>
      </c>
      <c r="Y54" s="17">
        <f>IF(COUNTIFS(T_TTAFStock_Log[Part Name],$A54,T_TTAFStock_Log[WeekIndex],24)=0,"",SUMIFS(T_TTAFStock_Log[TTAF_Qty],T_TTAFStock_Log[Part Name],$A54,T_TTAFStock_Log[WeekIndex],24))</f>
        <v/>
      </c>
      <c r="Z54" s="17">
        <f>IF(COUNTIFS(T_TTAFStock_Log[Part Name],$A54,T_TTAFStock_Log[WeekIndex],25)=0,"",SUMIFS(T_TTAFStock_Log[TTAF_Qty],T_TTAFStock_Log[Part Name],$A54,T_TTAFStock_Log[WeekIndex],25))</f>
        <v/>
      </c>
      <c r="AA54" s="17">
        <f>IF(COUNTIFS(T_TTAFStock_Log[Part Name],$A54,T_TTAFStock_Log[WeekIndex],26)=0,"",SUMIFS(T_TTAFStock_Log[TTAF_Qty],T_TTAFStock_Log[Part Name],$A54,T_TTAFStock_Log[WeekIndex],26))</f>
        <v/>
      </c>
      <c r="AB54" s="17">
        <f>IF(COUNTIFS(T_TTAFStock_Log[Part Name],$A54,T_TTAFStock_Log[WeekIndex],27)=0,"",SUMIFS(T_TTAFStock_Log[TTAF_Qty],T_TTAFStock_Log[Part Name],$A54,T_TTAFStock_Log[WeekIndex],27))</f>
        <v/>
      </c>
      <c r="AC54" s="17">
        <f>IF(COUNTIFS(T_TTAFStock_Log[Part Name],$A54,T_TTAFStock_Log[WeekIndex],28)=0,"",SUMIFS(T_TTAFStock_Log[TTAF_Qty],T_TTAFStock_Log[Part Name],$A54,T_TTAFStock_Log[WeekIndex],28))</f>
        <v/>
      </c>
      <c r="AD54" s="17">
        <f>IF(COUNTIFS(T_TTAFStock_Log[Part Name],$A54,T_TTAFStock_Log[WeekIndex],29)=0,"",SUMIFS(T_TTAFStock_Log[TTAF_Qty],T_TTAFStock_Log[Part Name],$A54,T_TTAFStock_Log[WeekIndex],29))</f>
        <v/>
      </c>
      <c r="AE54" s="17">
        <f>IF(COUNTIFS(T_TTAFStock_Log[Part Name],$A54,T_TTAFStock_Log[WeekIndex],30)=0,"",SUMIFS(T_TTAFStock_Log[TTAF_Qty],T_TTAFStock_Log[Part Name],$A54,T_TTAFStock_Log[WeekIndex],30))</f>
        <v/>
      </c>
      <c r="AF54" s="17">
        <f>IF(COUNTIFS(T_TTAFStock_Log[Part Name],$A54,T_TTAFStock_Log[WeekIndex],31)=0,"",SUMIFS(T_TTAFStock_Log[TTAF_Qty],T_TTAFStock_Log[Part Name],$A54,T_TTAFStock_Log[WeekIndex],31))</f>
        <v/>
      </c>
      <c r="AG54" s="17">
        <f>IF(COUNTIFS(T_TTAFStock_Log[Part Name],$A54,T_TTAFStock_Log[WeekIndex],32)=0,"",SUMIFS(T_TTAFStock_Log[TTAF_Qty],T_TTAFStock_Log[Part Name],$A54,T_TTAFStock_Log[WeekIndex],32))</f>
        <v/>
      </c>
      <c r="AH54" s="17">
        <f>IF(COUNTIFS(T_TTAFStock_Log[Part Name],$A54,T_TTAFStock_Log[WeekIndex],33)=0,"",SUMIFS(T_TTAFStock_Log[TTAF_Qty],T_TTAFStock_Log[Part Name],$A54,T_TTAFStock_Log[WeekIndex],33))</f>
        <v/>
      </c>
      <c r="AI54" s="17">
        <f>IF(COUNTIFS(T_TTAFStock_Log[Part Name],$A54,T_TTAFStock_Log[WeekIndex],34)=0,"",SUMIFS(T_TTAFStock_Log[TTAF_Qty],T_TTAFStock_Log[Part Name],$A54,T_TTAFStock_Log[WeekIndex],34))</f>
        <v/>
      </c>
      <c r="AJ54" s="17">
        <f>IF(COUNTIFS(T_TTAFStock_Log[Part Name],$A54,T_TTAFStock_Log[WeekIndex],35)=0,"",SUMIFS(T_TTAFStock_Log[TTAF_Qty],T_TTAFStock_Log[Part Name],$A54,T_TTAFStock_Log[WeekIndex],35))</f>
        <v/>
      </c>
      <c r="AK54" s="17">
        <f>IF(COUNTIFS(T_TTAFStock_Log[Part Name],$A54,T_TTAFStock_Log[WeekIndex],36)=0,"",SUMIFS(T_TTAFStock_Log[TTAF_Qty],T_TTAFStock_Log[Part Name],$A54,T_TTAFStock_Log[WeekIndex],36))</f>
        <v/>
      </c>
      <c r="AL54" s="17">
        <f>IF(COUNTIFS(T_TTAFStock_Log[Part Name],$A54,T_TTAFStock_Log[WeekIndex],37)=0,"",SUMIFS(T_TTAFStock_Log[TTAF_Qty],T_TTAFStock_Log[Part Name],$A54,T_TTAFStock_Log[WeekIndex],37))</f>
        <v/>
      </c>
      <c r="AM54" s="17">
        <f>IF(COUNTIFS(T_TTAFStock_Log[Part Name],$A54,T_TTAFStock_Log[WeekIndex],38)=0,"",SUMIFS(T_TTAFStock_Log[TTAF_Qty],T_TTAFStock_Log[Part Name],$A54,T_TTAFStock_Log[WeekIndex],38))</f>
        <v/>
      </c>
      <c r="AN54" s="17">
        <f>IF(COUNTIFS(T_TTAFStock_Log[Part Name],$A54,T_TTAFStock_Log[WeekIndex],39)=0,"",SUMIFS(T_TTAFStock_Log[TTAF_Qty],T_TTAFStock_Log[Part Name],$A54,T_TTAFStock_Log[WeekIndex],39))</f>
        <v/>
      </c>
      <c r="AO54" s="17">
        <f>IF(COUNTIFS(T_TTAFStock_Log[Part Name],$A54,T_TTAFStock_Log[WeekIndex],40)=0,"",SUMIFS(T_TTAFStock_Log[TTAF_Qty],T_TTAFStock_Log[Part Name],$A54,T_TTAFStock_Log[WeekIndex],40))</f>
        <v/>
      </c>
      <c r="AP54" s="17">
        <f>IF(COUNTIFS(T_TTAFStock_Log[Part Name],$A54,T_TTAFStock_Log[WeekIndex],41)=0,"",SUMIFS(T_TTAFStock_Log[TTAF_Qty],T_TTAFStock_Log[Part Name],$A54,T_TTAFStock_Log[WeekIndex],41))</f>
        <v/>
      </c>
      <c r="AQ54" s="17">
        <f>IF(COUNTIFS(T_TTAFStock_Log[Part Name],$A54,T_TTAFStock_Log[WeekIndex],42)=0,"",SUMIFS(T_TTAFStock_Log[TTAF_Qty],T_TTAFStock_Log[Part Name],$A54,T_TTAFStock_Log[WeekIndex],42))</f>
        <v/>
      </c>
      <c r="AR54" s="17">
        <f>IF(COUNTIFS(T_TTAFStock_Log[Part Name],$A54,T_TTAFStock_Log[WeekIndex],43)=0,"",SUMIFS(T_TTAFStock_Log[TTAF_Qty],T_TTAFStock_Log[Part Name],$A54,T_TTAFStock_Log[WeekIndex],43))</f>
        <v/>
      </c>
      <c r="AS54" s="17">
        <f>IF(COUNTIFS(T_TTAFStock_Log[Part Name],$A54,T_TTAFStock_Log[WeekIndex],44)=0,"",SUMIFS(T_TTAFStock_Log[TTAF_Qty],T_TTAFStock_Log[Part Name],$A54,T_TTAFStock_Log[WeekIndex],44))</f>
        <v/>
      </c>
      <c r="AT54" s="17">
        <f>IF(COUNTIFS(T_TTAFStock_Log[Part Name],$A54,T_TTAFStock_Log[WeekIndex],45)=0,"",SUMIFS(T_TTAFStock_Log[TTAF_Qty],T_TTAFStock_Log[Part Name],$A54,T_TTAFStock_Log[WeekIndex],45))</f>
        <v/>
      </c>
      <c r="AU54" s="17">
        <f>IF(COUNTIFS(T_TTAFStock_Log[Part Name],$A54,T_TTAFStock_Log[WeekIndex],46)=0,"",SUMIFS(T_TTAFStock_Log[TTAF_Qty],T_TTAFStock_Log[Part Name],$A54,T_TTAFStock_Log[WeekIndex],46))</f>
        <v/>
      </c>
      <c r="AV54" s="17">
        <f>IF(COUNTIFS(T_TTAFStock_Log[Part Name],$A54,T_TTAFStock_Log[WeekIndex],47)=0,"",SUMIFS(T_TTAFStock_Log[TTAF_Qty],T_TTAFStock_Log[Part Name],$A54,T_TTAFStock_Log[WeekIndex],47))</f>
        <v/>
      </c>
      <c r="AW54" s="17">
        <f>IF(COUNTIFS(T_TTAFStock_Log[Part Name],$A54,T_TTAFStock_Log[WeekIndex],48)=0,"",SUMIFS(T_TTAFStock_Log[TTAF_Qty],T_TTAFStock_Log[Part Name],$A54,T_TTAFStock_Log[WeekIndex],48))</f>
        <v/>
      </c>
      <c r="AX54" s="17">
        <f>IF(COUNTIFS(T_TTAFStock_Log[Part Name],$A54,T_TTAFStock_Log[WeekIndex],49)=0,"",SUMIFS(T_TTAFStock_Log[TTAF_Qty],T_TTAFStock_Log[Part Name],$A54,T_TTAFStock_Log[WeekIndex],49))</f>
        <v/>
      </c>
      <c r="AY54" s="17">
        <f>IF(COUNTIFS(T_TTAFStock_Log[Part Name],$A54,T_TTAFStock_Log[WeekIndex],50)=0,"",SUMIFS(T_TTAFStock_Log[TTAF_Qty],T_TTAFStock_Log[Part Name],$A54,T_TTAFStock_Log[WeekIndex],50))</f>
        <v/>
      </c>
      <c r="AZ54" s="17">
        <f>IF(COUNTIFS(T_TTAFStock_Log[Part Name],$A54,T_TTAFStock_Log[WeekIndex],51)=0,"",SUMIFS(T_TTAFStock_Log[TTAF_Qty],T_TTAFStock_Log[Part Name],$A54,T_TTAFStock_Log[WeekIndex],51))</f>
        <v/>
      </c>
      <c r="BA54" s="17">
        <f>IF(COUNTIFS(T_TTAFStock_Log[Part Name],$A54,T_TTAFStock_Log[WeekIndex],52)=0,"",SUMIFS(T_TTAFStock_Log[TTAF_Qty],T_TTAFStock_Log[Part Name],$A54,T_TTAFStock_Log[WeekIndex],52))</f>
        <v/>
      </c>
      <c r="BB54" s="17">
        <f>IF(COUNTIFS(T_TTAFStock_Log[Part Name],$A54,T_TTAFStock_Log[WeekIndex],53)=0,"",SUMIFS(T_TTAFStock_Log[TTAF_Qty],T_TTAFStock_Log[Part Name],$A54,T_TTAFStock_Log[WeekIndex],53))</f>
        <v/>
      </c>
      <c r="BC54" s="17">
        <f>IF(COUNTIFS(T_TTAFStock_Log[Part Name],$A54,T_TTAFStock_Log[WeekIndex],54)=0,"",SUMIFS(T_TTAFStock_Log[TTAF_Qty],T_TTAFStock_Log[Part Name],$A54,T_TTAFStock_Log[WeekIndex],54))</f>
        <v/>
      </c>
      <c r="BD54" s="17">
        <f>IF(COUNTIFS(T_TTAFStock_Log[Part Name],$A54,T_TTAFStock_Log[WeekIndex],55)=0,"",SUMIFS(T_TTAFStock_Log[TTAF_Qty],T_TTAFStock_Log[Part Name],$A54,T_TTAFStock_Log[WeekIndex],55))</f>
        <v/>
      </c>
      <c r="BE54" s="17">
        <f>IF(COUNTIFS(T_TTAFStock_Log[Part Name],$A54,T_TTAFStock_Log[WeekIndex],56)=0,"",SUMIFS(T_TTAFStock_Log[TTAF_Qty],T_TTAFStock_Log[Part Name],$A54,T_TTAFStock_Log[WeekIndex],56))</f>
        <v/>
      </c>
      <c r="BF54" s="17">
        <f>IF(COUNTIFS(T_TTAFStock_Log[Part Name],$A54,T_TTAFStock_Log[WeekIndex],57)=0,"",SUMIFS(T_TTAFStock_Log[TTAF_Qty],T_TTAFStock_Log[Part Name],$A54,T_TTAFStock_Log[WeekIndex],57))</f>
        <v/>
      </c>
      <c r="BG54" s="17">
        <f>IF(COUNTIFS(T_TTAFStock_Log[Part Name],$A54,T_TTAFStock_Log[WeekIndex],58)=0,"",SUMIFS(T_TTAFStock_Log[TTAF_Qty],T_TTAFStock_Log[Part Name],$A54,T_TTAFStock_Log[WeekIndex],58))</f>
        <v/>
      </c>
      <c r="BH54" s="17">
        <f>IF(COUNTIFS(T_TTAFStock_Log[Part Name],$A54,T_TTAFStock_Log[WeekIndex],59)=0,"",SUMIFS(T_TTAFStock_Log[TTAF_Qty],T_TTAFStock_Log[Part Name],$A54,T_TTAFStock_Log[WeekIndex],59))</f>
        <v/>
      </c>
      <c r="BI54" s="17">
        <f>IF(COUNTIFS(T_TTAFStock_Log[Part Name],$A54,T_TTAFStock_Log[WeekIndex],60)=0,"",SUMIFS(T_TTAFStock_Log[TTAF_Qty],T_TTAFStock_Log[Part Name],$A54,T_TTAFStock_Log[WeekIndex],60))</f>
        <v/>
      </c>
      <c r="BJ54" s="17">
        <f>IF(COUNTIFS(T_TTAFStock_Log[Part Name],$A54,T_TTAFStock_Log[WeekIndex],61)=0,"",SUMIFS(T_TTAFStock_Log[TTAF_Qty],T_TTAFStock_Log[Part Name],$A54,T_TTAFStock_Log[WeekIndex],61))</f>
        <v/>
      </c>
      <c r="BK54" s="17">
        <f>IF(COUNTIFS(T_TTAFStock_Log[Part Name],$A54,T_TTAFStock_Log[WeekIndex],62)=0,"",SUMIFS(T_TTAFStock_Log[TTAF_Qty],T_TTAFStock_Log[Part Name],$A54,T_TTAFStock_Log[WeekIndex],62))</f>
        <v/>
      </c>
      <c r="BL54" s="17">
        <f>IF(COUNTIFS(T_TTAFStock_Log[Part Name],$A54,T_TTAFStock_Log[WeekIndex],63)=0,"",SUMIFS(T_TTAFStock_Log[TTAF_Qty],T_TTAFStock_Log[Part Name],$A54,T_TTAFStock_Log[WeekIndex],63))</f>
        <v/>
      </c>
      <c r="BM54" s="17">
        <f>IF(COUNTIFS(T_TTAFStock_Log[Part Name],$A54,T_TTAFStock_Log[WeekIndex],64)=0,"",SUMIFS(T_TTAFStock_Log[TTAF_Qty],T_TTAFStock_Log[Part Name],$A54,T_TTAFStock_Log[WeekIndex],64))</f>
        <v/>
      </c>
      <c r="BN54" s="17">
        <f>IF(COUNTIFS(T_TTAFStock_Log[Part Name],$A54,T_TTAFStock_Log[WeekIndex],65)=0,"",SUMIFS(T_TTAFStock_Log[TTAF_Qty],T_TTAFStock_Log[Part Name],$A54,T_TTAFStock_Log[WeekIndex],65))</f>
        <v/>
      </c>
      <c r="BO54" s="17">
        <f>IF(COUNTIFS(T_TTAFStock_Log[Part Name],$A54,T_TTAFStock_Log[WeekIndex],66)=0,"",SUMIFS(T_TTAFStock_Log[TTAF_Qty],T_TTAFStock_Log[Part Name],$A54,T_TTAFStock_Log[WeekIndex],66))</f>
        <v/>
      </c>
      <c r="BP54" s="17">
        <f>IF(COUNTIFS(T_TTAFStock_Log[Part Name],$A54,T_TTAFStock_Log[WeekIndex],67)=0,"",SUMIFS(T_TTAFStock_Log[TTAF_Qty],T_TTAFStock_Log[Part Name],$A54,T_TTAFStock_Log[WeekIndex],67))</f>
        <v/>
      </c>
      <c r="BQ54" s="17">
        <f>IF(COUNTIFS(T_TTAFStock_Log[Part Name],$A54,T_TTAFStock_Log[WeekIndex],68)=0,"",SUMIFS(T_TTAFStock_Log[TTAF_Qty],T_TTAFStock_Log[Part Name],$A54,T_TTAFStock_Log[WeekIndex],68))</f>
        <v/>
      </c>
      <c r="BR54" s="17">
        <f>IF(COUNTIFS(T_TTAFStock_Log[Part Name],$A54,T_TTAFStock_Log[WeekIndex],69)=0,"",SUMIFS(T_TTAFStock_Log[TTAF_Qty],T_TTAFStock_Log[Part Name],$A54,T_TTAFStock_Log[WeekIndex],69))</f>
        <v/>
      </c>
      <c r="BS54" s="17">
        <f>IF(COUNTIFS(T_TTAFStock_Log[Part Name],$A54,T_TTAFStock_Log[WeekIndex],70)=0,"",SUMIFS(T_TTAFStock_Log[TTAF_Qty],T_TTAFStock_Log[Part Name],$A54,T_TTAFStock_Log[WeekIndex],70))</f>
        <v/>
      </c>
      <c r="BT54" s="17">
        <f>IF(COUNTIFS(T_TTAFStock_Log[Part Name],$A54,T_TTAFStock_Log[WeekIndex],71)=0,"",SUMIFS(T_TTAFStock_Log[TTAF_Qty],T_TTAFStock_Log[Part Name],$A54,T_TTAFStock_Log[WeekIndex],71))</f>
        <v/>
      </c>
      <c r="BU54" s="17">
        <f>IF(COUNTIFS(T_TTAFStock_Log[Part Name],$A54,T_TTAFStock_Log[WeekIndex],72)=0,"",SUMIFS(T_TTAFStock_Log[TTAF_Qty],T_TTAFStock_Log[Part Name],$A54,T_TTAFStock_Log[WeekIndex],72))</f>
        <v/>
      </c>
      <c r="BV54" s="17">
        <f>IF(COUNTIFS(T_TTAFStock_Log[Part Name],$A54,T_TTAFStock_Log[WeekIndex],73)=0,"",SUMIFS(T_TTAFStock_Log[TTAF_Qty],T_TTAFStock_Log[Part Name],$A54,T_TTAFStock_Log[WeekIndex],73))</f>
        <v/>
      </c>
      <c r="BW54" s="17">
        <f>IF(COUNTIFS(T_TTAFStock_Log[Part Name],$A54,T_TTAFStock_Log[WeekIndex],74)=0,"",SUMIFS(T_TTAFStock_Log[TTAF_Qty],T_TTAFStock_Log[Part Name],$A54,T_TTAFStock_Log[WeekIndex],74))</f>
        <v/>
      </c>
      <c r="BX54" s="17">
        <f>IF(COUNTIFS(T_TTAFStock_Log[Part Name],$A54,T_TTAFStock_Log[WeekIndex],75)=0,"",SUMIFS(T_TTAFStock_Log[TTAF_Qty],T_TTAFStock_Log[Part Name],$A54,T_TTAFStock_Log[WeekIndex],75))</f>
        <v/>
      </c>
      <c r="BY54" s="17">
        <f>IF(COUNTIFS(T_TTAFStock_Log[Part Name],$A54,T_TTAFStock_Log[WeekIndex],76)=0,"",SUMIFS(T_TTAFStock_Log[TTAF_Qty],T_TTAFStock_Log[Part Name],$A54,T_TTAFStock_Log[WeekIndex],76))</f>
        <v/>
      </c>
      <c r="BZ54" s="17">
        <f>IF(COUNTIFS(T_TTAFStock_Log[Part Name],$A54,T_TTAFStock_Log[WeekIndex],77)=0,"",SUMIFS(T_TTAFStock_Log[TTAF_Qty],T_TTAFStock_Log[Part Name],$A54,T_TTAFStock_Log[WeekIndex],77))</f>
        <v/>
      </c>
      <c r="CA54" s="17">
        <f>IF(COUNTIFS(T_TTAFStock_Log[Part Name],$A54,T_TTAFStock_Log[WeekIndex],78)=0,"",SUMIFS(T_TTAFStock_Log[TTAF_Qty],T_TTAFStock_Log[Part Name],$A54,T_TTAFStock_Log[WeekIndex],78))</f>
        <v/>
      </c>
      <c r="CB54" s="17">
        <f>IF(COUNTIFS(T_TTAFStock_Log[Part Name],$A54,T_TTAFStock_Log[WeekIndex],79)=0,"",SUMIFS(T_TTAFStock_Log[TTAF_Qty],T_TTAFStock_Log[Part Name],$A54,T_TTAFStock_Log[WeekIndex],79))</f>
        <v/>
      </c>
      <c r="CC54" s="17">
        <f>IF(COUNTIFS(T_TTAFStock_Log[Part Name],$A54,T_TTAFStock_Log[WeekIndex],80)=0,"",SUMIFS(T_TTAFStock_Log[TTAF_Qty],T_TTAFStock_Log[Part Name],$A54,T_TTAFStock_Log[WeekIndex],80))</f>
        <v/>
      </c>
      <c r="CD54" s="17">
        <f>IF(COUNTIFS(T_TTAFStock_Log[Part Name],$A54,T_TTAFStock_Log[WeekIndex],81)=0,"",SUMIFS(T_TTAFStock_Log[TTAF_Qty],T_TTAFStock_Log[Part Name],$A54,T_TTAFStock_Log[WeekIndex],81))</f>
        <v/>
      </c>
      <c r="CE54" s="17">
        <f>IF(COUNTIFS(T_TTAFStock_Log[Part Name],$A54,T_TTAFStock_Log[WeekIndex],82)=0,"",SUMIFS(T_TTAFStock_Log[TTAF_Qty],T_TTAFStock_Log[Part Name],$A54,T_TTAFStock_Log[WeekIndex],82))</f>
        <v/>
      </c>
      <c r="CF54" s="17">
        <f>IF(COUNTIFS(T_TTAFStock_Log[Part Name],$A54,T_TTAFStock_Log[WeekIndex],83)=0,"",SUMIFS(T_TTAFStock_Log[TTAF_Qty],T_TTAFStock_Log[Part Name],$A54,T_TTAFStock_Log[WeekIndex],83))</f>
        <v/>
      </c>
      <c r="CG54" s="17">
        <f>IF(COUNTIFS(T_TTAFStock_Log[Part Name],$A54,T_TTAFStock_Log[WeekIndex],84)=0,"",SUMIFS(T_TTAFStock_Log[TTAF_Qty],T_TTAFStock_Log[Part Name],$A54,T_TTAFStock_Log[WeekIndex],84))</f>
        <v/>
      </c>
      <c r="CH54" s="17">
        <f>IF(COUNTIFS(T_TTAFStock_Log[Part Name],$A54,T_TTAFStock_Log[WeekIndex],85)=0,"",SUMIFS(T_TTAFStock_Log[TTAF_Qty],T_TTAFStock_Log[Part Name],$A54,T_TTAFStock_Log[WeekIndex],85))</f>
        <v/>
      </c>
      <c r="CI54" s="17">
        <f>IF(COUNTIFS(T_TTAFStock_Log[Part Name],$A54,T_TTAFStock_Log[WeekIndex],86)=0,"",SUMIFS(T_TTAFStock_Log[TTAF_Qty],T_TTAFStock_Log[Part Name],$A54,T_TTAFStock_Log[WeekIndex],86))</f>
        <v/>
      </c>
      <c r="CJ54" s="17">
        <f>IF(COUNTIFS(T_TTAFStock_Log[Part Name],$A54,T_TTAFStock_Log[WeekIndex],87)=0,"",SUMIFS(T_TTAFStock_Log[TTAF_Qty],T_TTAFStock_Log[Part Name],$A54,T_TTAFStock_Log[WeekIndex],87))</f>
        <v/>
      </c>
      <c r="CK54" s="17">
        <f>IF(COUNTIFS(T_TTAFStock_Log[Part Name],$A54,T_TTAFStock_Log[WeekIndex],88)=0,"",SUMIFS(T_TTAFStock_Log[TTAF_Qty],T_TTAFStock_Log[Part Name],$A54,T_TTAFStock_Log[WeekIndex],88))</f>
        <v/>
      </c>
      <c r="CL54" s="17">
        <f>IF(COUNTIFS(T_TTAFStock_Log[Part Name],$A54,T_TTAFStock_Log[WeekIndex],89)=0,"",SUMIFS(T_TTAFStock_Log[TTAF_Qty],T_TTAFStock_Log[Part Name],$A54,T_TTAFStock_Log[WeekIndex],89))</f>
        <v/>
      </c>
      <c r="CM54" s="17">
        <f>IF(COUNTIFS(T_TTAFStock_Log[Part Name],$A54,T_TTAFStock_Log[WeekIndex],90)=0,"",SUMIFS(T_TTAFStock_Log[TTAF_Qty],T_TTAFStock_Log[Part Name],$A54,T_TTAFStock_Log[WeekIndex],90))</f>
        <v/>
      </c>
      <c r="CN54" s="17">
        <f>IF(COUNTIFS(T_TTAFStock_Log[Part Name],$A54,T_TTAFStock_Log[WeekIndex],91)=0,"",SUMIFS(T_TTAFStock_Log[TTAF_Qty],T_TTAFStock_Log[Part Name],$A54,T_TTAFStock_Log[WeekIndex],91))</f>
        <v/>
      </c>
      <c r="CO54" s="17">
        <f>IF(COUNTIFS(T_TTAFStock_Log[Part Name],$A54,T_TTAFStock_Log[WeekIndex],92)=0,"",SUMIFS(T_TTAFStock_Log[TTAF_Qty],T_TTAFStock_Log[Part Name],$A54,T_TTAFStock_Log[WeekIndex],92))</f>
        <v/>
      </c>
      <c r="CP54" s="17">
        <f>IF(COUNTIFS(T_TTAFStock_Log[Part Name],$A54,T_TTAFStock_Log[WeekIndex],93)=0,"",SUMIFS(T_TTAFStock_Log[TTAF_Qty],T_TTAFStock_Log[Part Name],$A54,T_TTAFStock_Log[WeekIndex],93))</f>
        <v/>
      </c>
      <c r="CQ54" s="17">
        <f>IF(COUNTIFS(T_TTAFStock_Log[Part Name],$A54,T_TTAFStock_Log[WeekIndex],94)=0,"",SUMIFS(T_TTAFStock_Log[TTAF_Qty],T_TTAFStock_Log[Part Name],$A54,T_TTAFStock_Log[WeekIndex],94))</f>
        <v/>
      </c>
      <c r="CR54" s="17">
        <f>IF(COUNTIFS(T_TTAFStock_Log[Part Name],$A54,T_TTAFStock_Log[WeekIndex],95)=0,"",SUMIFS(T_TTAFStock_Log[TTAF_Qty],T_TTAFStock_Log[Part Name],$A54,T_TTAFStock_Log[WeekIndex],95))</f>
        <v/>
      </c>
      <c r="CS54" s="17">
        <f>IF(COUNTIFS(T_TTAFStock_Log[Part Name],$A54,T_TTAFStock_Log[WeekIndex],96)=0,"",SUMIFS(T_TTAFStock_Log[TTAF_Qty],T_TTAFStock_Log[Part Name],$A54,T_TTAFStock_Log[WeekIndex],96))</f>
        <v/>
      </c>
      <c r="CT54" s="17">
        <f>IF(COUNTIFS(T_TTAFStock_Log[Part Name],$A54,T_TTAFStock_Log[WeekIndex],97)=0,"",SUMIFS(T_TTAFStock_Log[TTAF_Qty],T_TTAFStock_Log[Part Name],$A54,T_TTAFStock_Log[WeekIndex],97))</f>
        <v/>
      </c>
      <c r="CU54" s="17">
        <f>IF(COUNTIFS(T_TTAFStock_Log[Part Name],$A54,T_TTAFStock_Log[WeekIndex],98)=0,"",SUMIFS(T_TTAFStock_Log[TTAF_Qty],T_TTAFStock_Log[Part Name],$A54,T_TTAFStock_Log[WeekIndex],98))</f>
        <v/>
      </c>
      <c r="CV54" s="17">
        <f>IF(COUNTIFS(T_TTAFStock_Log[Part Name],$A54,T_TTAFStock_Log[WeekIndex],99)=0,"",SUMIFS(T_TTAFStock_Log[TTAF_Qty],T_TTAFStock_Log[Part Name],$A54,T_TTAFStock_Log[WeekIndex],99))</f>
        <v/>
      </c>
      <c r="CW54" s="17">
        <f>IF(COUNTIFS(T_TTAFStock_Log[Part Name],$A54,T_TTAFStock_Log[WeekIndex],100)=0,"",SUMIFS(T_TTAFStock_Log[TTAF_Qty],T_TTAFStock_Log[Part Name],$A54,T_TTAFStock_Log[WeekIndex],100))</f>
        <v/>
      </c>
      <c r="CX54" s="17">
        <f>IF(COUNTIFS(T_TTAFStock_Log[Part Name],$A54,T_TTAFStock_Log[WeekIndex],101)=0,"",SUMIFS(T_TTAFStock_Log[TTAF_Qty],T_TTAFStock_Log[Part Name],$A54,T_TTAFStock_Log[WeekIndex],101))</f>
        <v/>
      </c>
      <c r="CY54" s="17">
        <f>IF(COUNTIFS(T_TTAFStock_Log[Part Name],$A54,T_TTAFStock_Log[WeekIndex],102)=0,"",SUMIFS(T_TTAFStock_Log[TTAF_Qty],T_TTAFStock_Log[Part Name],$A54,T_TTAFStock_Log[WeekIndex],102))</f>
        <v/>
      </c>
      <c r="CZ54" s="17">
        <f>IF(COUNTIFS(T_TTAFStock_Log[Part Name],$A54,T_TTAFStock_Log[WeekIndex],103)=0,"",SUMIFS(T_TTAFStock_Log[TTAF_Qty],T_TTAFStock_Log[Part Name],$A54,T_TTAFStock_Log[WeekIndex],103))</f>
        <v/>
      </c>
      <c r="DA54" s="17">
        <f>IF(COUNTIFS(T_TTAFStock_Log[Part Name],$A54,T_TTAFStock_Log[WeekIndex],104)=0,"",SUMIFS(T_TTAFStock_Log[TTAF_Qty],T_TTAFStock_Log[Part Name],$A54,T_TTAFStock_Log[WeekIndex],104))</f>
        <v/>
      </c>
    </row>
    <row r="55">
      <c r="A55" s="19" t="inlineStr">
        <is>
          <t>CHEM-1700</t>
        </is>
      </c>
      <c r="B55" s="19">
        <f>IF(COUNTIFS(T_TTAFStock_Log[Part Name],$A55,T_TTAFStock_Log[WeekIndex],1)=0,"",SUMIFS(T_TTAFStock_Log[TTAF_Qty],T_TTAFStock_Log[Part Name],$A55,T_TTAFStock_Log[WeekIndex],1))</f>
        <v/>
      </c>
      <c r="C55" s="19">
        <f>IF(COUNTIFS(T_TTAFStock_Log[Part Name],$A55,T_TTAFStock_Log[WeekIndex],2)=0,"",SUMIFS(T_TTAFStock_Log[TTAF_Qty],T_TTAFStock_Log[Part Name],$A55,T_TTAFStock_Log[WeekIndex],2))</f>
        <v/>
      </c>
      <c r="D55" s="19">
        <f>IF(COUNTIFS(T_TTAFStock_Log[Part Name],$A55,T_TTAFStock_Log[WeekIndex],3)=0,"",SUMIFS(T_TTAFStock_Log[TTAF_Qty],T_TTAFStock_Log[Part Name],$A55,T_TTAFStock_Log[WeekIndex],3))</f>
        <v/>
      </c>
      <c r="E55" s="19">
        <f>IF(COUNTIFS(T_TTAFStock_Log[Part Name],$A55,T_TTAFStock_Log[WeekIndex],4)=0,"",SUMIFS(T_TTAFStock_Log[TTAF_Qty],T_TTAFStock_Log[Part Name],$A55,T_TTAFStock_Log[WeekIndex],4))</f>
        <v/>
      </c>
      <c r="F55" s="19">
        <f>IF(COUNTIFS(T_TTAFStock_Log[Part Name],$A55,T_TTAFStock_Log[WeekIndex],5)=0,"",SUMIFS(T_TTAFStock_Log[TTAF_Qty],T_TTAFStock_Log[Part Name],$A55,T_TTAFStock_Log[WeekIndex],5))</f>
        <v/>
      </c>
      <c r="G55" s="19">
        <f>IF(COUNTIFS(T_TTAFStock_Log[Part Name],$A55,T_TTAFStock_Log[WeekIndex],6)=0,"",SUMIFS(T_TTAFStock_Log[TTAF_Qty],T_TTAFStock_Log[Part Name],$A55,T_TTAFStock_Log[WeekIndex],6))</f>
        <v/>
      </c>
      <c r="H55" s="19">
        <f>IF(COUNTIFS(T_TTAFStock_Log[Part Name],$A55,T_TTAFStock_Log[WeekIndex],7)=0,"",SUMIFS(T_TTAFStock_Log[TTAF_Qty],T_TTAFStock_Log[Part Name],$A55,T_TTAFStock_Log[WeekIndex],7))</f>
        <v/>
      </c>
      <c r="I55" s="19">
        <f>IF(COUNTIFS(T_TTAFStock_Log[Part Name],$A55,T_TTAFStock_Log[WeekIndex],8)=0,"",SUMIFS(T_TTAFStock_Log[TTAF_Qty],T_TTAFStock_Log[Part Name],$A55,T_TTAFStock_Log[WeekIndex],8))</f>
        <v/>
      </c>
      <c r="J55" s="19">
        <f>IF(COUNTIFS(T_TTAFStock_Log[Part Name],$A55,T_TTAFStock_Log[WeekIndex],9)=0,"",SUMIFS(T_TTAFStock_Log[TTAF_Qty],T_TTAFStock_Log[Part Name],$A55,T_TTAFStock_Log[WeekIndex],9))</f>
        <v/>
      </c>
      <c r="K55" s="19">
        <f>IF(COUNTIFS(T_TTAFStock_Log[Part Name],$A55,T_TTAFStock_Log[WeekIndex],10)=0,"",SUMIFS(T_TTAFStock_Log[TTAF_Qty],T_TTAFStock_Log[Part Name],$A55,T_TTAFStock_Log[WeekIndex],10))</f>
        <v/>
      </c>
      <c r="L55" s="19">
        <f>IF(COUNTIFS(T_TTAFStock_Log[Part Name],$A55,T_TTAFStock_Log[WeekIndex],11)=0,"",SUMIFS(T_TTAFStock_Log[TTAF_Qty],T_TTAFStock_Log[Part Name],$A55,T_TTAFStock_Log[WeekIndex],11))</f>
        <v/>
      </c>
      <c r="M55" s="19">
        <f>IF(COUNTIFS(T_TTAFStock_Log[Part Name],$A55,T_TTAFStock_Log[WeekIndex],12)=0,"",SUMIFS(T_TTAFStock_Log[TTAF_Qty],T_TTAFStock_Log[Part Name],$A55,T_TTAFStock_Log[WeekIndex],12))</f>
        <v/>
      </c>
      <c r="N55" s="19">
        <f>IF(COUNTIFS(T_TTAFStock_Log[Part Name],$A55,T_TTAFStock_Log[WeekIndex],13)=0,"",SUMIFS(T_TTAFStock_Log[TTAF_Qty],T_TTAFStock_Log[Part Name],$A55,T_TTAFStock_Log[WeekIndex],13))</f>
        <v/>
      </c>
      <c r="O55" s="19">
        <f>IF(COUNTIFS(T_TTAFStock_Log[Part Name],$A55,T_TTAFStock_Log[WeekIndex],14)=0,"",SUMIFS(T_TTAFStock_Log[TTAF_Qty],T_TTAFStock_Log[Part Name],$A55,T_TTAFStock_Log[WeekIndex],14))</f>
        <v/>
      </c>
      <c r="P55" s="19">
        <f>IF(COUNTIFS(T_TTAFStock_Log[Part Name],$A55,T_TTAFStock_Log[WeekIndex],15)=0,"",SUMIFS(T_TTAFStock_Log[TTAF_Qty],T_TTAFStock_Log[Part Name],$A55,T_TTAFStock_Log[WeekIndex],15))</f>
        <v/>
      </c>
      <c r="Q55" s="19">
        <f>IF(COUNTIFS(T_TTAFStock_Log[Part Name],$A55,T_TTAFStock_Log[WeekIndex],16)=0,"",SUMIFS(T_TTAFStock_Log[TTAF_Qty],T_TTAFStock_Log[Part Name],$A55,T_TTAFStock_Log[WeekIndex],16))</f>
        <v/>
      </c>
      <c r="R55" s="19">
        <f>IF(COUNTIFS(T_TTAFStock_Log[Part Name],$A55,T_TTAFStock_Log[WeekIndex],17)=0,"",SUMIFS(T_TTAFStock_Log[TTAF_Qty],T_TTAFStock_Log[Part Name],$A55,T_TTAFStock_Log[WeekIndex],17))</f>
        <v/>
      </c>
      <c r="S55" s="19">
        <f>IF(COUNTIFS(T_TTAFStock_Log[Part Name],$A55,T_TTAFStock_Log[WeekIndex],18)=0,"",SUMIFS(T_TTAFStock_Log[TTAF_Qty],T_TTAFStock_Log[Part Name],$A55,T_TTAFStock_Log[WeekIndex],18))</f>
        <v/>
      </c>
      <c r="T55" s="19">
        <f>IF(COUNTIFS(T_TTAFStock_Log[Part Name],$A55,T_TTAFStock_Log[WeekIndex],19)=0,"",SUMIFS(T_TTAFStock_Log[TTAF_Qty],T_TTAFStock_Log[Part Name],$A55,T_TTAFStock_Log[WeekIndex],19))</f>
        <v/>
      </c>
      <c r="U55" s="19">
        <f>IF(COUNTIFS(T_TTAFStock_Log[Part Name],$A55,T_TTAFStock_Log[WeekIndex],20)=0,"",SUMIFS(T_TTAFStock_Log[TTAF_Qty],T_TTAFStock_Log[Part Name],$A55,T_TTAFStock_Log[WeekIndex],20))</f>
        <v/>
      </c>
      <c r="V55" s="19">
        <f>IF(COUNTIFS(T_TTAFStock_Log[Part Name],$A55,T_TTAFStock_Log[WeekIndex],21)=0,"",SUMIFS(T_TTAFStock_Log[TTAF_Qty],T_TTAFStock_Log[Part Name],$A55,T_TTAFStock_Log[WeekIndex],21))</f>
        <v/>
      </c>
      <c r="W55" s="19">
        <f>IF(COUNTIFS(T_TTAFStock_Log[Part Name],$A55,T_TTAFStock_Log[WeekIndex],22)=0,"",SUMIFS(T_TTAFStock_Log[TTAF_Qty],T_TTAFStock_Log[Part Name],$A55,T_TTAFStock_Log[WeekIndex],22))</f>
        <v/>
      </c>
      <c r="X55" s="19">
        <f>IF(COUNTIFS(T_TTAFStock_Log[Part Name],$A55,T_TTAFStock_Log[WeekIndex],23)=0,"",SUMIFS(T_TTAFStock_Log[TTAF_Qty],T_TTAFStock_Log[Part Name],$A55,T_TTAFStock_Log[WeekIndex],23))</f>
        <v/>
      </c>
      <c r="Y55" s="19">
        <f>IF(COUNTIFS(T_TTAFStock_Log[Part Name],$A55,T_TTAFStock_Log[WeekIndex],24)=0,"",SUMIFS(T_TTAFStock_Log[TTAF_Qty],T_TTAFStock_Log[Part Name],$A55,T_TTAFStock_Log[WeekIndex],24))</f>
        <v/>
      </c>
      <c r="Z55" s="19">
        <f>IF(COUNTIFS(T_TTAFStock_Log[Part Name],$A55,T_TTAFStock_Log[WeekIndex],25)=0,"",SUMIFS(T_TTAFStock_Log[TTAF_Qty],T_TTAFStock_Log[Part Name],$A55,T_TTAFStock_Log[WeekIndex],25))</f>
        <v/>
      </c>
      <c r="AA55" s="19">
        <f>IF(COUNTIFS(T_TTAFStock_Log[Part Name],$A55,T_TTAFStock_Log[WeekIndex],26)=0,"",SUMIFS(T_TTAFStock_Log[TTAF_Qty],T_TTAFStock_Log[Part Name],$A55,T_TTAFStock_Log[WeekIndex],26))</f>
        <v/>
      </c>
      <c r="AB55" s="19">
        <f>IF(COUNTIFS(T_TTAFStock_Log[Part Name],$A55,T_TTAFStock_Log[WeekIndex],27)=0,"",SUMIFS(T_TTAFStock_Log[TTAF_Qty],T_TTAFStock_Log[Part Name],$A55,T_TTAFStock_Log[WeekIndex],27))</f>
        <v/>
      </c>
      <c r="AC55" s="19">
        <f>IF(COUNTIFS(T_TTAFStock_Log[Part Name],$A55,T_TTAFStock_Log[WeekIndex],28)=0,"",SUMIFS(T_TTAFStock_Log[TTAF_Qty],T_TTAFStock_Log[Part Name],$A55,T_TTAFStock_Log[WeekIndex],28))</f>
        <v/>
      </c>
      <c r="AD55" s="19">
        <f>IF(COUNTIFS(T_TTAFStock_Log[Part Name],$A55,T_TTAFStock_Log[WeekIndex],29)=0,"",SUMIFS(T_TTAFStock_Log[TTAF_Qty],T_TTAFStock_Log[Part Name],$A55,T_TTAFStock_Log[WeekIndex],29))</f>
        <v/>
      </c>
      <c r="AE55" s="19">
        <f>IF(COUNTIFS(T_TTAFStock_Log[Part Name],$A55,T_TTAFStock_Log[WeekIndex],30)=0,"",SUMIFS(T_TTAFStock_Log[TTAF_Qty],T_TTAFStock_Log[Part Name],$A55,T_TTAFStock_Log[WeekIndex],30))</f>
        <v/>
      </c>
      <c r="AF55" s="19">
        <f>IF(COUNTIFS(T_TTAFStock_Log[Part Name],$A55,T_TTAFStock_Log[WeekIndex],31)=0,"",SUMIFS(T_TTAFStock_Log[TTAF_Qty],T_TTAFStock_Log[Part Name],$A55,T_TTAFStock_Log[WeekIndex],31))</f>
        <v/>
      </c>
      <c r="AG55" s="19">
        <f>IF(COUNTIFS(T_TTAFStock_Log[Part Name],$A55,T_TTAFStock_Log[WeekIndex],32)=0,"",SUMIFS(T_TTAFStock_Log[TTAF_Qty],T_TTAFStock_Log[Part Name],$A55,T_TTAFStock_Log[WeekIndex],32))</f>
        <v/>
      </c>
      <c r="AH55" s="19">
        <f>IF(COUNTIFS(T_TTAFStock_Log[Part Name],$A55,T_TTAFStock_Log[WeekIndex],33)=0,"",SUMIFS(T_TTAFStock_Log[TTAF_Qty],T_TTAFStock_Log[Part Name],$A55,T_TTAFStock_Log[WeekIndex],33))</f>
        <v/>
      </c>
      <c r="AI55" s="19">
        <f>IF(COUNTIFS(T_TTAFStock_Log[Part Name],$A55,T_TTAFStock_Log[WeekIndex],34)=0,"",SUMIFS(T_TTAFStock_Log[TTAF_Qty],T_TTAFStock_Log[Part Name],$A55,T_TTAFStock_Log[WeekIndex],34))</f>
        <v/>
      </c>
      <c r="AJ55" s="19">
        <f>IF(COUNTIFS(T_TTAFStock_Log[Part Name],$A55,T_TTAFStock_Log[WeekIndex],35)=0,"",SUMIFS(T_TTAFStock_Log[TTAF_Qty],T_TTAFStock_Log[Part Name],$A55,T_TTAFStock_Log[WeekIndex],35))</f>
        <v/>
      </c>
      <c r="AK55" s="19">
        <f>IF(COUNTIFS(T_TTAFStock_Log[Part Name],$A55,T_TTAFStock_Log[WeekIndex],36)=0,"",SUMIFS(T_TTAFStock_Log[TTAF_Qty],T_TTAFStock_Log[Part Name],$A55,T_TTAFStock_Log[WeekIndex],36))</f>
        <v/>
      </c>
      <c r="AL55" s="19">
        <f>IF(COUNTIFS(T_TTAFStock_Log[Part Name],$A55,T_TTAFStock_Log[WeekIndex],37)=0,"",SUMIFS(T_TTAFStock_Log[TTAF_Qty],T_TTAFStock_Log[Part Name],$A55,T_TTAFStock_Log[WeekIndex],37))</f>
        <v/>
      </c>
      <c r="AM55" s="19">
        <f>IF(COUNTIFS(T_TTAFStock_Log[Part Name],$A55,T_TTAFStock_Log[WeekIndex],38)=0,"",SUMIFS(T_TTAFStock_Log[TTAF_Qty],T_TTAFStock_Log[Part Name],$A55,T_TTAFStock_Log[WeekIndex],38))</f>
        <v/>
      </c>
      <c r="AN55" s="19">
        <f>IF(COUNTIFS(T_TTAFStock_Log[Part Name],$A55,T_TTAFStock_Log[WeekIndex],39)=0,"",SUMIFS(T_TTAFStock_Log[TTAF_Qty],T_TTAFStock_Log[Part Name],$A55,T_TTAFStock_Log[WeekIndex],39))</f>
        <v/>
      </c>
      <c r="AO55" s="19">
        <f>IF(COUNTIFS(T_TTAFStock_Log[Part Name],$A55,T_TTAFStock_Log[WeekIndex],40)=0,"",SUMIFS(T_TTAFStock_Log[TTAF_Qty],T_TTAFStock_Log[Part Name],$A55,T_TTAFStock_Log[WeekIndex],40))</f>
        <v/>
      </c>
      <c r="AP55" s="19">
        <f>IF(COUNTIFS(T_TTAFStock_Log[Part Name],$A55,T_TTAFStock_Log[WeekIndex],41)=0,"",SUMIFS(T_TTAFStock_Log[TTAF_Qty],T_TTAFStock_Log[Part Name],$A55,T_TTAFStock_Log[WeekIndex],41))</f>
        <v/>
      </c>
      <c r="AQ55" s="19">
        <f>IF(COUNTIFS(T_TTAFStock_Log[Part Name],$A55,T_TTAFStock_Log[WeekIndex],42)=0,"",SUMIFS(T_TTAFStock_Log[TTAF_Qty],T_TTAFStock_Log[Part Name],$A55,T_TTAFStock_Log[WeekIndex],42))</f>
        <v/>
      </c>
      <c r="AR55" s="19">
        <f>IF(COUNTIFS(T_TTAFStock_Log[Part Name],$A55,T_TTAFStock_Log[WeekIndex],43)=0,"",SUMIFS(T_TTAFStock_Log[TTAF_Qty],T_TTAFStock_Log[Part Name],$A55,T_TTAFStock_Log[WeekIndex],43))</f>
        <v/>
      </c>
      <c r="AS55" s="19">
        <f>IF(COUNTIFS(T_TTAFStock_Log[Part Name],$A55,T_TTAFStock_Log[WeekIndex],44)=0,"",SUMIFS(T_TTAFStock_Log[TTAF_Qty],T_TTAFStock_Log[Part Name],$A55,T_TTAFStock_Log[WeekIndex],44))</f>
        <v/>
      </c>
      <c r="AT55" s="19">
        <f>IF(COUNTIFS(T_TTAFStock_Log[Part Name],$A55,T_TTAFStock_Log[WeekIndex],45)=0,"",SUMIFS(T_TTAFStock_Log[TTAF_Qty],T_TTAFStock_Log[Part Name],$A55,T_TTAFStock_Log[WeekIndex],45))</f>
        <v/>
      </c>
      <c r="AU55" s="19">
        <f>IF(COUNTIFS(T_TTAFStock_Log[Part Name],$A55,T_TTAFStock_Log[WeekIndex],46)=0,"",SUMIFS(T_TTAFStock_Log[TTAF_Qty],T_TTAFStock_Log[Part Name],$A55,T_TTAFStock_Log[WeekIndex],46))</f>
        <v/>
      </c>
      <c r="AV55" s="19">
        <f>IF(COUNTIFS(T_TTAFStock_Log[Part Name],$A55,T_TTAFStock_Log[WeekIndex],47)=0,"",SUMIFS(T_TTAFStock_Log[TTAF_Qty],T_TTAFStock_Log[Part Name],$A55,T_TTAFStock_Log[WeekIndex],47))</f>
        <v/>
      </c>
      <c r="AW55" s="19">
        <f>IF(COUNTIFS(T_TTAFStock_Log[Part Name],$A55,T_TTAFStock_Log[WeekIndex],48)=0,"",SUMIFS(T_TTAFStock_Log[TTAF_Qty],T_TTAFStock_Log[Part Name],$A55,T_TTAFStock_Log[WeekIndex],48))</f>
        <v/>
      </c>
      <c r="AX55" s="19">
        <f>IF(COUNTIFS(T_TTAFStock_Log[Part Name],$A55,T_TTAFStock_Log[WeekIndex],49)=0,"",SUMIFS(T_TTAFStock_Log[TTAF_Qty],T_TTAFStock_Log[Part Name],$A55,T_TTAFStock_Log[WeekIndex],49))</f>
        <v/>
      </c>
      <c r="AY55" s="19">
        <f>IF(COUNTIFS(T_TTAFStock_Log[Part Name],$A55,T_TTAFStock_Log[WeekIndex],50)=0,"",SUMIFS(T_TTAFStock_Log[TTAF_Qty],T_TTAFStock_Log[Part Name],$A55,T_TTAFStock_Log[WeekIndex],50))</f>
        <v/>
      </c>
      <c r="AZ55" s="19">
        <f>IF(COUNTIFS(T_TTAFStock_Log[Part Name],$A55,T_TTAFStock_Log[WeekIndex],51)=0,"",SUMIFS(T_TTAFStock_Log[TTAF_Qty],T_TTAFStock_Log[Part Name],$A55,T_TTAFStock_Log[WeekIndex],51))</f>
        <v/>
      </c>
      <c r="BA55" s="19">
        <f>IF(COUNTIFS(T_TTAFStock_Log[Part Name],$A55,T_TTAFStock_Log[WeekIndex],52)=0,"",SUMIFS(T_TTAFStock_Log[TTAF_Qty],T_TTAFStock_Log[Part Name],$A55,T_TTAFStock_Log[WeekIndex],52))</f>
        <v/>
      </c>
      <c r="BB55" s="19">
        <f>IF(COUNTIFS(T_TTAFStock_Log[Part Name],$A55,T_TTAFStock_Log[WeekIndex],53)=0,"",SUMIFS(T_TTAFStock_Log[TTAF_Qty],T_TTAFStock_Log[Part Name],$A55,T_TTAFStock_Log[WeekIndex],53))</f>
        <v/>
      </c>
      <c r="BC55" s="19">
        <f>IF(COUNTIFS(T_TTAFStock_Log[Part Name],$A55,T_TTAFStock_Log[WeekIndex],54)=0,"",SUMIFS(T_TTAFStock_Log[TTAF_Qty],T_TTAFStock_Log[Part Name],$A55,T_TTAFStock_Log[WeekIndex],54))</f>
        <v/>
      </c>
      <c r="BD55" s="19">
        <f>IF(COUNTIFS(T_TTAFStock_Log[Part Name],$A55,T_TTAFStock_Log[WeekIndex],55)=0,"",SUMIFS(T_TTAFStock_Log[TTAF_Qty],T_TTAFStock_Log[Part Name],$A55,T_TTAFStock_Log[WeekIndex],55))</f>
        <v/>
      </c>
      <c r="BE55" s="19">
        <f>IF(COUNTIFS(T_TTAFStock_Log[Part Name],$A55,T_TTAFStock_Log[WeekIndex],56)=0,"",SUMIFS(T_TTAFStock_Log[TTAF_Qty],T_TTAFStock_Log[Part Name],$A55,T_TTAFStock_Log[WeekIndex],56))</f>
        <v/>
      </c>
      <c r="BF55" s="19">
        <f>IF(COUNTIFS(T_TTAFStock_Log[Part Name],$A55,T_TTAFStock_Log[WeekIndex],57)=0,"",SUMIFS(T_TTAFStock_Log[TTAF_Qty],T_TTAFStock_Log[Part Name],$A55,T_TTAFStock_Log[WeekIndex],57))</f>
        <v/>
      </c>
      <c r="BG55" s="19">
        <f>IF(COUNTIFS(T_TTAFStock_Log[Part Name],$A55,T_TTAFStock_Log[WeekIndex],58)=0,"",SUMIFS(T_TTAFStock_Log[TTAF_Qty],T_TTAFStock_Log[Part Name],$A55,T_TTAFStock_Log[WeekIndex],58))</f>
        <v/>
      </c>
      <c r="BH55" s="19">
        <f>IF(COUNTIFS(T_TTAFStock_Log[Part Name],$A55,T_TTAFStock_Log[WeekIndex],59)=0,"",SUMIFS(T_TTAFStock_Log[TTAF_Qty],T_TTAFStock_Log[Part Name],$A55,T_TTAFStock_Log[WeekIndex],59))</f>
        <v/>
      </c>
      <c r="BI55" s="19">
        <f>IF(COUNTIFS(T_TTAFStock_Log[Part Name],$A55,T_TTAFStock_Log[WeekIndex],60)=0,"",SUMIFS(T_TTAFStock_Log[TTAF_Qty],T_TTAFStock_Log[Part Name],$A55,T_TTAFStock_Log[WeekIndex],60))</f>
        <v/>
      </c>
      <c r="BJ55" s="19">
        <f>IF(COUNTIFS(T_TTAFStock_Log[Part Name],$A55,T_TTAFStock_Log[WeekIndex],61)=0,"",SUMIFS(T_TTAFStock_Log[TTAF_Qty],T_TTAFStock_Log[Part Name],$A55,T_TTAFStock_Log[WeekIndex],61))</f>
        <v/>
      </c>
      <c r="BK55" s="19">
        <f>IF(COUNTIFS(T_TTAFStock_Log[Part Name],$A55,T_TTAFStock_Log[WeekIndex],62)=0,"",SUMIFS(T_TTAFStock_Log[TTAF_Qty],T_TTAFStock_Log[Part Name],$A55,T_TTAFStock_Log[WeekIndex],62))</f>
        <v/>
      </c>
      <c r="BL55" s="19">
        <f>IF(COUNTIFS(T_TTAFStock_Log[Part Name],$A55,T_TTAFStock_Log[WeekIndex],63)=0,"",SUMIFS(T_TTAFStock_Log[TTAF_Qty],T_TTAFStock_Log[Part Name],$A55,T_TTAFStock_Log[WeekIndex],63))</f>
        <v/>
      </c>
      <c r="BM55" s="19">
        <f>IF(COUNTIFS(T_TTAFStock_Log[Part Name],$A55,T_TTAFStock_Log[WeekIndex],64)=0,"",SUMIFS(T_TTAFStock_Log[TTAF_Qty],T_TTAFStock_Log[Part Name],$A55,T_TTAFStock_Log[WeekIndex],64))</f>
        <v/>
      </c>
      <c r="BN55" s="19">
        <f>IF(COUNTIFS(T_TTAFStock_Log[Part Name],$A55,T_TTAFStock_Log[WeekIndex],65)=0,"",SUMIFS(T_TTAFStock_Log[TTAF_Qty],T_TTAFStock_Log[Part Name],$A55,T_TTAFStock_Log[WeekIndex],65))</f>
        <v/>
      </c>
      <c r="BO55" s="19">
        <f>IF(COUNTIFS(T_TTAFStock_Log[Part Name],$A55,T_TTAFStock_Log[WeekIndex],66)=0,"",SUMIFS(T_TTAFStock_Log[TTAF_Qty],T_TTAFStock_Log[Part Name],$A55,T_TTAFStock_Log[WeekIndex],66))</f>
        <v/>
      </c>
      <c r="BP55" s="19">
        <f>IF(COUNTIFS(T_TTAFStock_Log[Part Name],$A55,T_TTAFStock_Log[WeekIndex],67)=0,"",SUMIFS(T_TTAFStock_Log[TTAF_Qty],T_TTAFStock_Log[Part Name],$A55,T_TTAFStock_Log[WeekIndex],67))</f>
        <v/>
      </c>
      <c r="BQ55" s="19">
        <f>IF(COUNTIFS(T_TTAFStock_Log[Part Name],$A55,T_TTAFStock_Log[WeekIndex],68)=0,"",SUMIFS(T_TTAFStock_Log[TTAF_Qty],T_TTAFStock_Log[Part Name],$A55,T_TTAFStock_Log[WeekIndex],68))</f>
        <v/>
      </c>
      <c r="BR55" s="19">
        <f>IF(COUNTIFS(T_TTAFStock_Log[Part Name],$A55,T_TTAFStock_Log[WeekIndex],69)=0,"",SUMIFS(T_TTAFStock_Log[TTAF_Qty],T_TTAFStock_Log[Part Name],$A55,T_TTAFStock_Log[WeekIndex],69))</f>
        <v/>
      </c>
      <c r="BS55" s="19">
        <f>IF(COUNTIFS(T_TTAFStock_Log[Part Name],$A55,T_TTAFStock_Log[WeekIndex],70)=0,"",SUMIFS(T_TTAFStock_Log[TTAF_Qty],T_TTAFStock_Log[Part Name],$A55,T_TTAFStock_Log[WeekIndex],70))</f>
        <v/>
      </c>
      <c r="BT55" s="19">
        <f>IF(COUNTIFS(T_TTAFStock_Log[Part Name],$A55,T_TTAFStock_Log[WeekIndex],71)=0,"",SUMIFS(T_TTAFStock_Log[TTAF_Qty],T_TTAFStock_Log[Part Name],$A55,T_TTAFStock_Log[WeekIndex],71))</f>
        <v/>
      </c>
      <c r="BU55" s="19">
        <f>IF(COUNTIFS(T_TTAFStock_Log[Part Name],$A55,T_TTAFStock_Log[WeekIndex],72)=0,"",SUMIFS(T_TTAFStock_Log[TTAF_Qty],T_TTAFStock_Log[Part Name],$A55,T_TTAFStock_Log[WeekIndex],72))</f>
        <v/>
      </c>
      <c r="BV55" s="19">
        <f>IF(COUNTIFS(T_TTAFStock_Log[Part Name],$A55,T_TTAFStock_Log[WeekIndex],73)=0,"",SUMIFS(T_TTAFStock_Log[TTAF_Qty],T_TTAFStock_Log[Part Name],$A55,T_TTAFStock_Log[WeekIndex],73))</f>
        <v/>
      </c>
      <c r="BW55" s="19">
        <f>IF(COUNTIFS(T_TTAFStock_Log[Part Name],$A55,T_TTAFStock_Log[WeekIndex],74)=0,"",SUMIFS(T_TTAFStock_Log[TTAF_Qty],T_TTAFStock_Log[Part Name],$A55,T_TTAFStock_Log[WeekIndex],74))</f>
        <v/>
      </c>
      <c r="BX55" s="19">
        <f>IF(COUNTIFS(T_TTAFStock_Log[Part Name],$A55,T_TTAFStock_Log[WeekIndex],75)=0,"",SUMIFS(T_TTAFStock_Log[TTAF_Qty],T_TTAFStock_Log[Part Name],$A55,T_TTAFStock_Log[WeekIndex],75))</f>
        <v/>
      </c>
      <c r="BY55" s="19">
        <f>IF(COUNTIFS(T_TTAFStock_Log[Part Name],$A55,T_TTAFStock_Log[WeekIndex],76)=0,"",SUMIFS(T_TTAFStock_Log[TTAF_Qty],T_TTAFStock_Log[Part Name],$A55,T_TTAFStock_Log[WeekIndex],76))</f>
        <v/>
      </c>
      <c r="BZ55" s="19">
        <f>IF(COUNTIFS(T_TTAFStock_Log[Part Name],$A55,T_TTAFStock_Log[WeekIndex],77)=0,"",SUMIFS(T_TTAFStock_Log[TTAF_Qty],T_TTAFStock_Log[Part Name],$A55,T_TTAFStock_Log[WeekIndex],77))</f>
        <v/>
      </c>
      <c r="CA55" s="19">
        <f>IF(COUNTIFS(T_TTAFStock_Log[Part Name],$A55,T_TTAFStock_Log[WeekIndex],78)=0,"",SUMIFS(T_TTAFStock_Log[TTAF_Qty],T_TTAFStock_Log[Part Name],$A55,T_TTAFStock_Log[WeekIndex],78))</f>
        <v/>
      </c>
      <c r="CB55" s="19">
        <f>IF(COUNTIFS(T_TTAFStock_Log[Part Name],$A55,T_TTAFStock_Log[WeekIndex],79)=0,"",SUMIFS(T_TTAFStock_Log[TTAF_Qty],T_TTAFStock_Log[Part Name],$A55,T_TTAFStock_Log[WeekIndex],79))</f>
        <v/>
      </c>
      <c r="CC55" s="19">
        <f>IF(COUNTIFS(T_TTAFStock_Log[Part Name],$A55,T_TTAFStock_Log[WeekIndex],80)=0,"",SUMIFS(T_TTAFStock_Log[TTAF_Qty],T_TTAFStock_Log[Part Name],$A55,T_TTAFStock_Log[WeekIndex],80))</f>
        <v/>
      </c>
      <c r="CD55" s="19">
        <f>IF(COUNTIFS(T_TTAFStock_Log[Part Name],$A55,T_TTAFStock_Log[WeekIndex],81)=0,"",SUMIFS(T_TTAFStock_Log[TTAF_Qty],T_TTAFStock_Log[Part Name],$A55,T_TTAFStock_Log[WeekIndex],81))</f>
        <v/>
      </c>
      <c r="CE55" s="19">
        <f>IF(COUNTIFS(T_TTAFStock_Log[Part Name],$A55,T_TTAFStock_Log[WeekIndex],82)=0,"",SUMIFS(T_TTAFStock_Log[TTAF_Qty],T_TTAFStock_Log[Part Name],$A55,T_TTAFStock_Log[WeekIndex],82))</f>
        <v/>
      </c>
      <c r="CF55" s="19">
        <f>IF(COUNTIFS(T_TTAFStock_Log[Part Name],$A55,T_TTAFStock_Log[WeekIndex],83)=0,"",SUMIFS(T_TTAFStock_Log[TTAF_Qty],T_TTAFStock_Log[Part Name],$A55,T_TTAFStock_Log[WeekIndex],83))</f>
        <v/>
      </c>
      <c r="CG55" s="19">
        <f>IF(COUNTIFS(T_TTAFStock_Log[Part Name],$A55,T_TTAFStock_Log[WeekIndex],84)=0,"",SUMIFS(T_TTAFStock_Log[TTAF_Qty],T_TTAFStock_Log[Part Name],$A55,T_TTAFStock_Log[WeekIndex],84))</f>
        <v/>
      </c>
      <c r="CH55" s="19">
        <f>IF(COUNTIFS(T_TTAFStock_Log[Part Name],$A55,T_TTAFStock_Log[WeekIndex],85)=0,"",SUMIFS(T_TTAFStock_Log[TTAF_Qty],T_TTAFStock_Log[Part Name],$A55,T_TTAFStock_Log[WeekIndex],85))</f>
        <v/>
      </c>
      <c r="CI55" s="19">
        <f>IF(COUNTIFS(T_TTAFStock_Log[Part Name],$A55,T_TTAFStock_Log[WeekIndex],86)=0,"",SUMIFS(T_TTAFStock_Log[TTAF_Qty],T_TTAFStock_Log[Part Name],$A55,T_TTAFStock_Log[WeekIndex],86))</f>
        <v/>
      </c>
      <c r="CJ55" s="19">
        <f>IF(COUNTIFS(T_TTAFStock_Log[Part Name],$A55,T_TTAFStock_Log[WeekIndex],87)=0,"",SUMIFS(T_TTAFStock_Log[TTAF_Qty],T_TTAFStock_Log[Part Name],$A55,T_TTAFStock_Log[WeekIndex],87))</f>
        <v/>
      </c>
      <c r="CK55" s="19">
        <f>IF(COUNTIFS(T_TTAFStock_Log[Part Name],$A55,T_TTAFStock_Log[WeekIndex],88)=0,"",SUMIFS(T_TTAFStock_Log[TTAF_Qty],T_TTAFStock_Log[Part Name],$A55,T_TTAFStock_Log[WeekIndex],88))</f>
        <v/>
      </c>
      <c r="CL55" s="19">
        <f>IF(COUNTIFS(T_TTAFStock_Log[Part Name],$A55,T_TTAFStock_Log[WeekIndex],89)=0,"",SUMIFS(T_TTAFStock_Log[TTAF_Qty],T_TTAFStock_Log[Part Name],$A55,T_TTAFStock_Log[WeekIndex],89))</f>
        <v/>
      </c>
      <c r="CM55" s="19">
        <f>IF(COUNTIFS(T_TTAFStock_Log[Part Name],$A55,T_TTAFStock_Log[WeekIndex],90)=0,"",SUMIFS(T_TTAFStock_Log[TTAF_Qty],T_TTAFStock_Log[Part Name],$A55,T_TTAFStock_Log[WeekIndex],90))</f>
        <v/>
      </c>
      <c r="CN55" s="19">
        <f>IF(COUNTIFS(T_TTAFStock_Log[Part Name],$A55,T_TTAFStock_Log[WeekIndex],91)=0,"",SUMIFS(T_TTAFStock_Log[TTAF_Qty],T_TTAFStock_Log[Part Name],$A55,T_TTAFStock_Log[WeekIndex],91))</f>
        <v/>
      </c>
      <c r="CO55" s="19">
        <f>IF(COUNTIFS(T_TTAFStock_Log[Part Name],$A55,T_TTAFStock_Log[WeekIndex],92)=0,"",SUMIFS(T_TTAFStock_Log[TTAF_Qty],T_TTAFStock_Log[Part Name],$A55,T_TTAFStock_Log[WeekIndex],92))</f>
        <v/>
      </c>
      <c r="CP55" s="19">
        <f>IF(COUNTIFS(T_TTAFStock_Log[Part Name],$A55,T_TTAFStock_Log[WeekIndex],93)=0,"",SUMIFS(T_TTAFStock_Log[TTAF_Qty],T_TTAFStock_Log[Part Name],$A55,T_TTAFStock_Log[WeekIndex],93))</f>
        <v/>
      </c>
      <c r="CQ55" s="19">
        <f>IF(COUNTIFS(T_TTAFStock_Log[Part Name],$A55,T_TTAFStock_Log[WeekIndex],94)=0,"",SUMIFS(T_TTAFStock_Log[TTAF_Qty],T_TTAFStock_Log[Part Name],$A55,T_TTAFStock_Log[WeekIndex],94))</f>
        <v/>
      </c>
      <c r="CR55" s="19">
        <f>IF(COUNTIFS(T_TTAFStock_Log[Part Name],$A55,T_TTAFStock_Log[WeekIndex],95)=0,"",SUMIFS(T_TTAFStock_Log[TTAF_Qty],T_TTAFStock_Log[Part Name],$A55,T_TTAFStock_Log[WeekIndex],95))</f>
        <v/>
      </c>
      <c r="CS55" s="19">
        <f>IF(COUNTIFS(T_TTAFStock_Log[Part Name],$A55,T_TTAFStock_Log[WeekIndex],96)=0,"",SUMIFS(T_TTAFStock_Log[TTAF_Qty],T_TTAFStock_Log[Part Name],$A55,T_TTAFStock_Log[WeekIndex],96))</f>
        <v/>
      </c>
      <c r="CT55" s="19">
        <f>IF(COUNTIFS(T_TTAFStock_Log[Part Name],$A55,T_TTAFStock_Log[WeekIndex],97)=0,"",SUMIFS(T_TTAFStock_Log[TTAF_Qty],T_TTAFStock_Log[Part Name],$A55,T_TTAFStock_Log[WeekIndex],97))</f>
        <v/>
      </c>
      <c r="CU55" s="19">
        <f>IF(COUNTIFS(T_TTAFStock_Log[Part Name],$A55,T_TTAFStock_Log[WeekIndex],98)=0,"",SUMIFS(T_TTAFStock_Log[TTAF_Qty],T_TTAFStock_Log[Part Name],$A55,T_TTAFStock_Log[WeekIndex],98))</f>
        <v/>
      </c>
      <c r="CV55" s="19">
        <f>IF(COUNTIFS(T_TTAFStock_Log[Part Name],$A55,T_TTAFStock_Log[WeekIndex],99)=0,"",SUMIFS(T_TTAFStock_Log[TTAF_Qty],T_TTAFStock_Log[Part Name],$A55,T_TTAFStock_Log[WeekIndex],99))</f>
        <v/>
      </c>
      <c r="CW55" s="19">
        <f>IF(COUNTIFS(T_TTAFStock_Log[Part Name],$A55,T_TTAFStock_Log[WeekIndex],100)=0,"",SUMIFS(T_TTAFStock_Log[TTAF_Qty],T_TTAFStock_Log[Part Name],$A55,T_TTAFStock_Log[WeekIndex],100))</f>
        <v/>
      </c>
      <c r="CX55" s="19">
        <f>IF(COUNTIFS(T_TTAFStock_Log[Part Name],$A55,T_TTAFStock_Log[WeekIndex],101)=0,"",SUMIFS(T_TTAFStock_Log[TTAF_Qty],T_TTAFStock_Log[Part Name],$A55,T_TTAFStock_Log[WeekIndex],101))</f>
        <v/>
      </c>
      <c r="CY55" s="19">
        <f>IF(COUNTIFS(T_TTAFStock_Log[Part Name],$A55,T_TTAFStock_Log[WeekIndex],102)=0,"",SUMIFS(T_TTAFStock_Log[TTAF_Qty],T_TTAFStock_Log[Part Name],$A55,T_TTAFStock_Log[WeekIndex],102))</f>
        <v/>
      </c>
      <c r="CZ55" s="19">
        <f>IF(COUNTIFS(T_TTAFStock_Log[Part Name],$A55,T_TTAFStock_Log[WeekIndex],103)=0,"",SUMIFS(T_TTAFStock_Log[TTAF_Qty],T_TTAFStock_Log[Part Name],$A55,T_TTAFStock_Log[WeekIndex],103))</f>
        <v/>
      </c>
      <c r="DA55" s="19">
        <f>IF(COUNTIFS(T_TTAFStock_Log[Part Name],$A55,T_TTAFStock_Log[WeekIndex],104)=0,"",SUMIFS(T_TTAFStock_Log[TTAF_Qty],T_TTAFStock_Log[Part Name],$A55,T_TTAFStock_Log[WeekIndex],104))</f>
        <v/>
      </c>
    </row>
    <row r="56">
      <c r="A56" s="17" t="inlineStr">
        <is>
          <t>CHEM-1850</t>
        </is>
      </c>
      <c r="B56" s="17">
        <f>IF(COUNTIFS(T_TTAFStock_Log[Part Name],$A56,T_TTAFStock_Log[WeekIndex],1)=0,"",SUMIFS(T_TTAFStock_Log[TTAF_Qty],T_TTAFStock_Log[Part Name],$A56,T_TTAFStock_Log[WeekIndex],1))</f>
        <v/>
      </c>
      <c r="C56" s="17">
        <f>IF(COUNTIFS(T_TTAFStock_Log[Part Name],$A56,T_TTAFStock_Log[WeekIndex],2)=0,"",SUMIFS(T_TTAFStock_Log[TTAF_Qty],T_TTAFStock_Log[Part Name],$A56,T_TTAFStock_Log[WeekIndex],2))</f>
        <v/>
      </c>
      <c r="D56" s="17">
        <f>IF(COUNTIFS(T_TTAFStock_Log[Part Name],$A56,T_TTAFStock_Log[WeekIndex],3)=0,"",SUMIFS(T_TTAFStock_Log[TTAF_Qty],T_TTAFStock_Log[Part Name],$A56,T_TTAFStock_Log[WeekIndex],3))</f>
        <v/>
      </c>
      <c r="E56" s="17">
        <f>IF(COUNTIFS(T_TTAFStock_Log[Part Name],$A56,T_TTAFStock_Log[WeekIndex],4)=0,"",SUMIFS(T_TTAFStock_Log[TTAF_Qty],T_TTAFStock_Log[Part Name],$A56,T_TTAFStock_Log[WeekIndex],4))</f>
        <v/>
      </c>
      <c r="F56" s="17">
        <f>IF(COUNTIFS(T_TTAFStock_Log[Part Name],$A56,T_TTAFStock_Log[WeekIndex],5)=0,"",SUMIFS(T_TTAFStock_Log[TTAF_Qty],T_TTAFStock_Log[Part Name],$A56,T_TTAFStock_Log[WeekIndex],5))</f>
        <v/>
      </c>
      <c r="G56" s="17">
        <f>IF(COUNTIFS(T_TTAFStock_Log[Part Name],$A56,T_TTAFStock_Log[WeekIndex],6)=0,"",SUMIFS(T_TTAFStock_Log[TTAF_Qty],T_TTAFStock_Log[Part Name],$A56,T_TTAFStock_Log[WeekIndex],6))</f>
        <v/>
      </c>
      <c r="H56" s="17">
        <f>IF(COUNTIFS(T_TTAFStock_Log[Part Name],$A56,T_TTAFStock_Log[WeekIndex],7)=0,"",SUMIFS(T_TTAFStock_Log[TTAF_Qty],T_TTAFStock_Log[Part Name],$A56,T_TTAFStock_Log[WeekIndex],7))</f>
        <v/>
      </c>
      <c r="I56" s="17">
        <f>IF(COUNTIFS(T_TTAFStock_Log[Part Name],$A56,T_TTAFStock_Log[WeekIndex],8)=0,"",SUMIFS(T_TTAFStock_Log[TTAF_Qty],T_TTAFStock_Log[Part Name],$A56,T_TTAFStock_Log[WeekIndex],8))</f>
        <v/>
      </c>
      <c r="J56" s="17">
        <f>IF(COUNTIFS(T_TTAFStock_Log[Part Name],$A56,T_TTAFStock_Log[WeekIndex],9)=0,"",SUMIFS(T_TTAFStock_Log[TTAF_Qty],T_TTAFStock_Log[Part Name],$A56,T_TTAFStock_Log[WeekIndex],9))</f>
        <v/>
      </c>
      <c r="K56" s="17">
        <f>IF(COUNTIFS(T_TTAFStock_Log[Part Name],$A56,T_TTAFStock_Log[WeekIndex],10)=0,"",SUMIFS(T_TTAFStock_Log[TTAF_Qty],T_TTAFStock_Log[Part Name],$A56,T_TTAFStock_Log[WeekIndex],10))</f>
        <v/>
      </c>
      <c r="L56" s="17">
        <f>IF(COUNTIFS(T_TTAFStock_Log[Part Name],$A56,T_TTAFStock_Log[WeekIndex],11)=0,"",SUMIFS(T_TTAFStock_Log[TTAF_Qty],T_TTAFStock_Log[Part Name],$A56,T_TTAFStock_Log[WeekIndex],11))</f>
        <v/>
      </c>
      <c r="M56" s="17">
        <f>IF(COUNTIFS(T_TTAFStock_Log[Part Name],$A56,T_TTAFStock_Log[WeekIndex],12)=0,"",SUMIFS(T_TTAFStock_Log[TTAF_Qty],T_TTAFStock_Log[Part Name],$A56,T_TTAFStock_Log[WeekIndex],12))</f>
        <v/>
      </c>
      <c r="N56" s="17">
        <f>IF(COUNTIFS(T_TTAFStock_Log[Part Name],$A56,T_TTAFStock_Log[WeekIndex],13)=0,"",SUMIFS(T_TTAFStock_Log[TTAF_Qty],T_TTAFStock_Log[Part Name],$A56,T_TTAFStock_Log[WeekIndex],13))</f>
        <v/>
      </c>
      <c r="O56" s="17">
        <f>IF(COUNTIFS(T_TTAFStock_Log[Part Name],$A56,T_TTAFStock_Log[WeekIndex],14)=0,"",SUMIFS(T_TTAFStock_Log[TTAF_Qty],T_TTAFStock_Log[Part Name],$A56,T_TTAFStock_Log[WeekIndex],14))</f>
        <v/>
      </c>
      <c r="P56" s="17">
        <f>IF(COUNTIFS(T_TTAFStock_Log[Part Name],$A56,T_TTAFStock_Log[WeekIndex],15)=0,"",SUMIFS(T_TTAFStock_Log[TTAF_Qty],T_TTAFStock_Log[Part Name],$A56,T_TTAFStock_Log[WeekIndex],15))</f>
        <v/>
      </c>
      <c r="Q56" s="17">
        <f>IF(COUNTIFS(T_TTAFStock_Log[Part Name],$A56,T_TTAFStock_Log[WeekIndex],16)=0,"",SUMIFS(T_TTAFStock_Log[TTAF_Qty],T_TTAFStock_Log[Part Name],$A56,T_TTAFStock_Log[WeekIndex],16))</f>
        <v/>
      </c>
      <c r="R56" s="17">
        <f>IF(COUNTIFS(T_TTAFStock_Log[Part Name],$A56,T_TTAFStock_Log[WeekIndex],17)=0,"",SUMIFS(T_TTAFStock_Log[TTAF_Qty],T_TTAFStock_Log[Part Name],$A56,T_TTAFStock_Log[WeekIndex],17))</f>
        <v/>
      </c>
      <c r="S56" s="17">
        <f>IF(COUNTIFS(T_TTAFStock_Log[Part Name],$A56,T_TTAFStock_Log[WeekIndex],18)=0,"",SUMIFS(T_TTAFStock_Log[TTAF_Qty],T_TTAFStock_Log[Part Name],$A56,T_TTAFStock_Log[WeekIndex],18))</f>
        <v/>
      </c>
      <c r="T56" s="17">
        <f>IF(COUNTIFS(T_TTAFStock_Log[Part Name],$A56,T_TTAFStock_Log[WeekIndex],19)=0,"",SUMIFS(T_TTAFStock_Log[TTAF_Qty],T_TTAFStock_Log[Part Name],$A56,T_TTAFStock_Log[WeekIndex],19))</f>
        <v/>
      </c>
      <c r="U56" s="17">
        <f>IF(COUNTIFS(T_TTAFStock_Log[Part Name],$A56,T_TTAFStock_Log[WeekIndex],20)=0,"",SUMIFS(T_TTAFStock_Log[TTAF_Qty],T_TTAFStock_Log[Part Name],$A56,T_TTAFStock_Log[WeekIndex],20))</f>
        <v/>
      </c>
      <c r="V56" s="17">
        <f>IF(COUNTIFS(T_TTAFStock_Log[Part Name],$A56,T_TTAFStock_Log[WeekIndex],21)=0,"",SUMIFS(T_TTAFStock_Log[TTAF_Qty],T_TTAFStock_Log[Part Name],$A56,T_TTAFStock_Log[WeekIndex],21))</f>
        <v/>
      </c>
      <c r="W56" s="17">
        <f>IF(COUNTIFS(T_TTAFStock_Log[Part Name],$A56,T_TTAFStock_Log[WeekIndex],22)=0,"",SUMIFS(T_TTAFStock_Log[TTAF_Qty],T_TTAFStock_Log[Part Name],$A56,T_TTAFStock_Log[WeekIndex],22))</f>
        <v/>
      </c>
      <c r="X56" s="17">
        <f>IF(COUNTIFS(T_TTAFStock_Log[Part Name],$A56,T_TTAFStock_Log[WeekIndex],23)=0,"",SUMIFS(T_TTAFStock_Log[TTAF_Qty],T_TTAFStock_Log[Part Name],$A56,T_TTAFStock_Log[WeekIndex],23))</f>
        <v/>
      </c>
      <c r="Y56" s="17">
        <f>IF(COUNTIFS(T_TTAFStock_Log[Part Name],$A56,T_TTAFStock_Log[WeekIndex],24)=0,"",SUMIFS(T_TTAFStock_Log[TTAF_Qty],T_TTAFStock_Log[Part Name],$A56,T_TTAFStock_Log[WeekIndex],24))</f>
        <v/>
      </c>
      <c r="Z56" s="17">
        <f>IF(COUNTIFS(T_TTAFStock_Log[Part Name],$A56,T_TTAFStock_Log[WeekIndex],25)=0,"",SUMIFS(T_TTAFStock_Log[TTAF_Qty],T_TTAFStock_Log[Part Name],$A56,T_TTAFStock_Log[WeekIndex],25))</f>
        <v/>
      </c>
      <c r="AA56" s="17">
        <f>IF(COUNTIFS(T_TTAFStock_Log[Part Name],$A56,T_TTAFStock_Log[WeekIndex],26)=0,"",SUMIFS(T_TTAFStock_Log[TTAF_Qty],T_TTAFStock_Log[Part Name],$A56,T_TTAFStock_Log[WeekIndex],26))</f>
        <v/>
      </c>
      <c r="AB56" s="17">
        <f>IF(COUNTIFS(T_TTAFStock_Log[Part Name],$A56,T_TTAFStock_Log[WeekIndex],27)=0,"",SUMIFS(T_TTAFStock_Log[TTAF_Qty],T_TTAFStock_Log[Part Name],$A56,T_TTAFStock_Log[WeekIndex],27))</f>
        <v/>
      </c>
      <c r="AC56" s="17">
        <f>IF(COUNTIFS(T_TTAFStock_Log[Part Name],$A56,T_TTAFStock_Log[WeekIndex],28)=0,"",SUMIFS(T_TTAFStock_Log[TTAF_Qty],T_TTAFStock_Log[Part Name],$A56,T_TTAFStock_Log[WeekIndex],28))</f>
        <v/>
      </c>
      <c r="AD56" s="17">
        <f>IF(COUNTIFS(T_TTAFStock_Log[Part Name],$A56,T_TTAFStock_Log[WeekIndex],29)=0,"",SUMIFS(T_TTAFStock_Log[TTAF_Qty],T_TTAFStock_Log[Part Name],$A56,T_TTAFStock_Log[WeekIndex],29))</f>
        <v/>
      </c>
      <c r="AE56" s="17">
        <f>IF(COUNTIFS(T_TTAFStock_Log[Part Name],$A56,T_TTAFStock_Log[WeekIndex],30)=0,"",SUMIFS(T_TTAFStock_Log[TTAF_Qty],T_TTAFStock_Log[Part Name],$A56,T_TTAFStock_Log[WeekIndex],30))</f>
        <v/>
      </c>
      <c r="AF56" s="17">
        <f>IF(COUNTIFS(T_TTAFStock_Log[Part Name],$A56,T_TTAFStock_Log[WeekIndex],31)=0,"",SUMIFS(T_TTAFStock_Log[TTAF_Qty],T_TTAFStock_Log[Part Name],$A56,T_TTAFStock_Log[WeekIndex],31))</f>
        <v/>
      </c>
      <c r="AG56" s="17">
        <f>IF(COUNTIFS(T_TTAFStock_Log[Part Name],$A56,T_TTAFStock_Log[WeekIndex],32)=0,"",SUMIFS(T_TTAFStock_Log[TTAF_Qty],T_TTAFStock_Log[Part Name],$A56,T_TTAFStock_Log[WeekIndex],32))</f>
        <v/>
      </c>
      <c r="AH56" s="17">
        <f>IF(COUNTIFS(T_TTAFStock_Log[Part Name],$A56,T_TTAFStock_Log[WeekIndex],33)=0,"",SUMIFS(T_TTAFStock_Log[TTAF_Qty],T_TTAFStock_Log[Part Name],$A56,T_TTAFStock_Log[WeekIndex],33))</f>
        <v/>
      </c>
      <c r="AI56" s="17">
        <f>IF(COUNTIFS(T_TTAFStock_Log[Part Name],$A56,T_TTAFStock_Log[WeekIndex],34)=0,"",SUMIFS(T_TTAFStock_Log[TTAF_Qty],T_TTAFStock_Log[Part Name],$A56,T_TTAFStock_Log[WeekIndex],34))</f>
        <v/>
      </c>
      <c r="AJ56" s="17">
        <f>IF(COUNTIFS(T_TTAFStock_Log[Part Name],$A56,T_TTAFStock_Log[WeekIndex],35)=0,"",SUMIFS(T_TTAFStock_Log[TTAF_Qty],T_TTAFStock_Log[Part Name],$A56,T_TTAFStock_Log[WeekIndex],35))</f>
        <v/>
      </c>
      <c r="AK56" s="17">
        <f>IF(COUNTIFS(T_TTAFStock_Log[Part Name],$A56,T_TTAFStock_Log[WeekIndex],36)=0,"",SUMIFS(T_TTAFStock_Log[TTAF_Qty],T_TTAFStock_Log[Part Name],$A56,T_TTAFStock_Log[WeekIndex],36))</f>
        <v/>
      </c>
      <c r="AL56" s="17">
        <f>IF(COUNTIFS(T_TTAFStock_Log[Part Name],$A56,T_TTAFStock_Log[WeekIndex],37)=0,"",SUMIFS(T_TTAFStock_Log[TTAF_Qty],T_TTAFStock_Log[Part Name],$A56,T_TTAFStock_Log[WeekIndex],37))</f>
        <v/>
      </c>
      <c r="AM56" s="17">
        <f>IF(COUNTIFS(T_TTAFStock_Log[Part Name],$A56,T_TTAFStock_Log[WeekIndex],38)=0,"",SUMIFS(T_TTAFStock_Log[TTAF_Qty],T_TTAFStock_Log[Part Name],$A56,T_TTAFStock_Log[WeekIndex],38))</f>
        <v/>
      </c>
      <c r="AN56" s="17">
        <f>IF(COUNTIFS(T_TTAFStock_Log[Part Name],$A56,T_TTAFStock_Log[WeekIndex],39)=0,"",SUMIFS(T_TTAFStock_Log[TTAF_Qty],T_TTAFStock_Log[Part Name],$A56,T_TTAFStock_Log[WeekIndex],39))</f>
        <v/>
      </c>
      <c r="AO56" s="17">
        <f>IF(COUNTIFS(T_TTAFStock_Log[Part Name],$A56,T_TTAFStock_Log[WeekIndex],40)=0,"",SUMIFS(T_TTAFStock_Log[TTAF_Qty],T_TTAFStock_Log[Part Name],$A56,T_TTAFStock_Log[WeekIndex],40))</f>
        <v/>
      </c>
      <c r="AP56" s="17">
        <f>IF(COUNTIFS(T_TTAFStock_Log[Part Name],$A56,T_TTAFStock_Log[WeekIndex],41)=0,"",SUMIFS(T_TTAFStock_Log[TTAF_Qty],T_TTAFStock_Log[Part Name],$A56,T_TTAFStock_Log[WeekIndex],41))</f>
        <v/>
      </c>
      <c r="AQ56" s="17">
        <f>IF(COUNTIFS(T_TTAFStock_Log[Part Name],$A56,T_TTAFStock_Log[WeekIndex],42)=0,"",SUMIFS(T_TTAFStock_Log[TTAF_Qty],T_TTAFStock_Log[Part Name],$A56,T_TTAFStock_Log[WeekIndex],42))</f>
        <v/>
      </c>
      <c r="AR56" s="17">
        <f>IF(COUNTIFS(T_TTAFStock_Log[Part Name],$A56,T_TTAFStock_Log[WeekIndex],43)=0,"",SUMIFS(T_TTAFStock_Log[TTAF_Qty],T_TTAFStock_Log[Part Name],$A56,T_TTAFStock_Log[WeekIndex],43))</f>
        <v/>
      </c>
      <c r="AS56" s="17">
        <f>IF(COUNTIFS(T_TTAFStock_Log[Part Name],$A56,T_TTAFStock_Log[WeekIndex],44)=0,"",SUMIFS(T_TTAFStock_Log[TTAF_Qty],T_TTAFStock_Log[Part Name],$A56,T_TTAFStock_Log[WeekIndex],44))</f>
        <v/>
      </c>
      <c r="AT56" s="17">
        <f>IF(COUNTIFS(T_TTAFStock_Log[Part Name],$A56,T_TTAFStock_Log[WeekIndex],45)=0,"",SUMIFS(T_TTAFStock_Log[TTAF_Qty],T_TTAFStock_Log[Part Name],$A56,T_TTAFStock_Log[WeekIndex],45))</f>
        <v/>
      </c>
      <c r="AU56" s="17">
        <f>IF(COUNTIFS(T_TTAFStock_Log[Part Name],$A56,T_TTAFStock_Log[WeekIndex],46)=0,"",SUMIFS(T_TTAFStock_Log[TTAF_Qty],T_TTAFStock_Log[Part Name],$A56,T_TTAFStock_Log[WeekIndex],46))</f>
        <v/>
      </c>
      <c r="AV56" s="17">
        <f>IF(COUNTIFS(T_TTAFStock_Log[Part Name],$A56,T_TTAFStock_Log[WeekIndex],47)=0,"",SUMIFS(T_TTAFStock_Log[TTAF_Qty],T_TTAFStock_Log[Part Name],$A56,T_TTAFStock_Log[WeekIndex],47))</f>
        <v/>
      </c>
      <c r="AW56" s="17">
        <f>IF(COUNTIFS(T_TTAFStock_Log[Part Name],$A56,T_TTAFStock_Log[WeekIndex],48)=0,"",SUMIFS(T_TTAFStock_Log[TTAF_Qty],T_TTAFStock_Log[Part Name],$A56,T_TTAFStock_Log[WeekIndex],48))</f>
        <v/>
      </c>
      <c r="AX56" s="17">
        <f>IF(COUNTIFS(T_TTAFStock_Log[Part Name],$A56,T_TTAFStock_Log[WeekIndex],49)=0,"",SUMIFS(T_TTAFStock_Log[TTAF_Qty],T_TTAFStock_Log[Part Name],$A56,T_TTAFStock_Log[WeekIndex],49))</f>
        <v/>
      </c>
      <c r="AY56" s="17">
        <f>IF(COUNTIFS(T_TTAFStock_Log[Part Name],$A56,T_TTAFStock_Log[WeekIndex],50)=0,"",SUMIFS(T_TTAFStock_Log[TTAF_Qty],T_TTAFStock_Log[Part Name],$A56,T_TTAFStock_Log[WeekIndex],50))</f>
        <v/>
      </c>
      <c r="AZ56" s="17">
        <f>IF(COUNTIFS(T_TTAFStock_Log[Part Name],$A56,T_TTAFStock_Log[WeekIndex],51)=0,"",SUMIFS(T_TTAFStock_Log[TTAF_Qty],T_TTAFStock_Log[Part Name],$A56,T_TTAFStock_Log[WeekIndex],51))</f>
        <v/>
      </c>
      <c r="BA56" s="17">
        <f>IF(COUNTIFS(T_TTAFStock_Log[Part Name],$A56,T_TTAFStock_Log[WeekIndex],52)=0,"",SUMIFS(T_TTAFStock_Log[TTAF_Qty],T_TTAFStock_Log[Part Name],$A56,T_TTAFStock_Log[WeekIndex],52))</f>
        <v/>
      </c>
      <c r="BB56" s="17">
        <f>IF(COUNTIFS(T_TTAFStock_Log[Part Name],$A56,T_TTAFStock_Log[WeekIndex],53)=0,"",SUMIFS(T_TTAFStock_Log[TTAF_Qty],T_TTAFStock_Log[Part Name],$A56,T_TTAFStock_Log[WeekIndex],53))</f>
        <v/>
      </c>
      <c r="BC56" s="17">
        <f>IF(COUNTIFS(T_TTAFStock_Log[Part Name],$A56,T_TTAFStock_Log[WeekIndex],54)=0,"",SUMIFS(T_TTAFStock_Log[TTAF_Qty],T_TTAFStock_Log[Part Name],$A56,T_TTAFStock_Log[WeekIndex],54))</f>
        <v/>
      </c>
      <c r="BD56" s="17">
        <f>IF(COUNTIFS(T_TTAFStock_Log[Part Name],$A56,T_TTAFStock_Log[WeekIndex],55)=0,"",SUMIFS(T_TTAFStock_Log[TTAF_Qty],T_TTAFStock_Log[Part Name],$A56,T_TTAFStock_Log[WeekIndex],55))</f>
        <v/>
      </c>
      <c r="BE56" s="17">
        <f>IF(COUNTIFS(T_TTAFStock_Log[Part Name],$A56,T_TTAFStock_Log[WeekIndex],56)=0,"",SUMIFS(T_TTAFStock_Log[TTAF_Qty],T_TTAFStock_Log[Part Name],$A56,T_TTAFStock_Log[WeekIndex],56))</f>
        <v/>
      </c>
      <c r="BF56" s="17">
        <f>IF(COUNTIFS(T_TTAFStock_Log[Part Name],$A56,T_TTAFStock_Log[WeekIndex],57)=0,"",SUMIFS(T_TTAFStock_Log[TTAF_Qty],T_TTAFStock_Log[Part Name],$A56,T_TTAFStock_Log[WeekIndex],57))</f>
        <v/>
      </c>
      <c r="BG56" s="17">
        <f>IF(COUNTIFS(T_TTAFStock_Log[Part Name],$A56,T_TTAFStock_Log[WeekIndex],58)=0,"",SUMIFS(T_TTAFStock_Log[TTAF_Qty],T_TTAFStock_Log[Part Name],$A56,T_TTAFStock_Log[WeekIndex],58))</f>
        <v/>
      </c>
      <c r="BH56" s="17">
        <f>IF(COUNTIFS(T_TTAFStock_Log[Part Name],$A56,T_TTAFStock_Log[WeekIndex],59)=0,"",SUMIFS(T_TTAFStock_Log[TTAF_Qty],T_TTAFStock_Log[Part Name],$A56,T_TTAFStock_Log[WeekIndex],59))</f>
        <v/>
      </c>
      <c r="BI56" s="17">
        <f>IF(COUNTIFS(T_TTAFStock_Log[Part Name],$A56,T_TTAFStock_Log[WeekIndex],60)=0,"",SUMIFS(T_TTAFStock_Log[TTAF_Qty],T_TTAFStock_Log[Part Name],$A56,T_TTAFStock_Log[WeekIndex],60))</f>
        <v/>
      </c>
      <c r="BJ56" s="17">
        <f>IF(COUNTIFS(T_TTAFStock_Log[Part Name],$A56,T_TTAFStock_Log[WeekIndex],61)=0,"",SUMIFS(T_TTAFStock_Log[TTAF_Qty],T_TTAFStock_Log[Part Name],$A56,T_TTAFStock_Log[WeekIndex],61))</f>
        <v/>
      </c>
      <c r="BK56" s="17">
        <f>IF(COUNTIFS(T_TTAFStock_Log[Part Name],$A56,T_TTAFStock_Log[WeekIndex],62)=0,"",SUMIFS(T_TTAFStock_Log[TTAF_Qty],T_TTAFStock_Log[Part Name],$A56,T_TTAFStock_Log[WeekIndex],62))</f>
        <v/>
      </c>
      <c r="BL56" s="17">
        <f>IF(COUNTIFS(T_TTAFStock_Log[Part Name],$A56,T_TTAFStock_Log[WeekIndex],63)=0,"",SUMIFS(T_TTAFStock_Log[TTAF_Qty],T_TTAFStock_Log[Part Name],$A56,T_TTAFStock_Log[WeekIndex],63))</f>
        <v/>
      </c>
      <c r="BM56" s="17">
        <f>IF(COUNTIFS(T_TTAFStock_Log[Part Name],$A56,T_TTAFStock_Log[WeekIndex],64)=0,"",SUMIFS(T_TTAFStock_Log[TTAF_Qty],T_TTAFStock_Log[Part Name],$A56,T_TTAFStock_Log[WeekIndex],64))</f>
        <v/>
      </c>
      <c r="BN56" s="17">
        <f>IF(COUNTIFS(T_TTAFStock_Log[Part Name],$A56,T_TTAFStock_Log[WeekIndex],65)=0,"",SUMIFS(T_TTAFStock_Log[TTAF_Qty],T_TTAFStock_Log[Part Name],$A56,T_TTAFStock_Log[WeekIndex],65))</f>
        <v/>
      </c>
      <c r="BO56" s="17">
        <f>IF(COUNTIFS(T_TTAFStock_Log[Part Name],$A56,T_TTAFStock_Log[WeekIndex],66)=0,"",SUMIFS(T_TTAFStock_Log[TTAF_Qty],T_TTAFStock_Log[Part Name],$A56,T_TTAFStock_Log[WeekIndex],66))</f>
        <v/>
      </c>
      <c r="BP56" s="17">
        <f>IF(COUNTIFS(T_TTAFStock_Log[Part Name],$A56,T_TTAFStock_Log[WeekIndex],67)=0,"",SUMIFS(T_TTAFStock_Log[TTAF_Qty],T_TTAFStock_Log[Part Name],$A56,T_TTAFStock_Log[WeekIndex],67))</f>
        <v/>
      </c>
      <c r="BQ56" s="17">
        <f>IF(COUNTIFS(T_TTAFStock_Log[Part Name],$A56,T_TTAFStock_Log[WeekIndex],68)=0,"",SUMIFS(T_TTAFStock_Log[TTAF_Qty],T_TTAFStock_Log[Part Name],$A56,T_TTAFStock_Log[WeekIndex],68))</f>
        <v/>
      </c>
      <c r="BR56" s="17">
        <f>IF(COUNTIFS(T_TTAFStock_Log[Part Name],$A56,T_TTAFStock_Log[WeekIndex],69)=0,"",SUMIFS(T_TTAFStock_Log[TTAF_Qty],T_TTAFStock_Log[Part Name],$A56,T_TTAFStock_Log[WeekIndex],69))</f>
        <v/>
      </c>
      <c r="BS56" s="17">
        <f>IF(COUNTIFS(T_TTAFStock_Log[Part Name],$A56,T_TTAFStock_Log[WeekIndex],70)=0,"",SUMIFS(T_TTAFStock_Log[TTAF_Qty],T_TTAFStock_Log[Part Name],$A56,T_TTAFStock_Log[WeekIndex],70))</f>
        <v/>
      </c>
      <c r="BT56" s="17">
        <f>IF(COUNTIFS(T_TTAFStock_Log[Part Name],$A56,T_TTAFStock_Log[WeekIndex],71)=0,"",SUMIFS(T_TTAFStock_Log[TTAF_Qty],T_TTAFStock_Log[Part Name],$A56,T_TTAFStock_Log[WeekIndex],71))</f>
        <v/>
      </c>
      <c r="BU56" s="17">
        <f>IF(COUNTIFS(T_TTAFStock_Log[Part Name],$A56,T_TTAFStock_Log[WeekIndex],72)=0,"",SUMIFS(T_TTAFStock_Log[TTAF_Qty],T_TTAFStock_Log[Part Name],$A56,T_TTAFStock_Log[WeekIndex],72))</f>
        <v/>
      </c>
      <c r="BV56" s="17">
        <f>IF(COUNTIFS(T_TTAFStock_Log[Part Name],$A56,T_TTAFStock_Log[WeekIndex],73)=0,"",SUMIFS(T_TTAFStock_Log[TTAF_Qty],T_TTAFStock_Log[Part Name],$A56,T_TTAFStock_Log[WeekIndex],73))</f>
        <v/>
      </c>
      <c r="BW56" s="17">
        <f>IF(COUNTIFS(T_TTAFStock_Log[Part Name],$A56,T_TTAFStock_Log[WeekIndex],74)=0,"",SUMIFS(T_TTAFStock_Log[TTAF_Qty],T_TTAFStock_Log[Part Name],$A56,T_TTAFStock_Log[WeekIndex],74))</f>
        <v/>
      </c>
      <c r="BX56" s="17">
        <f>IF(COUNTIFS(T_TTAFStock_Log[Part Name],$A56,T_TTAFStock_Log[WeekIndex],75)=0,"",SUMIFS(T_TTAFStock_Log[TTAF_Qty],T_TTAFStock_Log[Part Name],$A56,T_TTAFStock_Log[WeekIndex],75))</f>
        <v/>
      </c>
      <c r="BY56" s="17">
        <f>IF(COUNTIFS(T_TTAFStock_Log[Part Name],$A56,T_TTAFStock_Log[WeekIndex],76)=0,"",SUMIFS(T_TTAFStock_Log[TTAF_Qty],T_TTAFStock_Log[Part Name],$A56,T_TTAFStock_Log[WeekIndex],76))</f>
        <v/>
      </c>
      <c r="BZ56" s="17">
        <f>IF(COUNTIFS(T_TTAFStock_Log[Part Name],$A56,T_TTAFStock_Log[WeekIndex],77)=0,"",SUMIFS(T_TTAFStock_Log[TTAF_Qty],T_TTAFStock_Log[Part Name],$A56,T_TTAFStock_Log[WeekIndex],77))</f>
        <v/>
      </c>
      <c r="CA56" s="17">
        <f>IF(COUNTIFS(T_TTAFStock_Log[Part Name],$A56,T_TTAFStock_Log[WeekIndex],78)=0,"",SUMIFS(T_TTAFStock_Log[TTAF_Qty],T_TTAFStock_Log[Part Name],$A56,T_TTAFStock_Log[WeekIndex],78))</f>
        <v/>
      </c>
      <c r="CB56" s="17">
        <f>IF(COUNTIFS(T_TTAFStock_Log[Part Name],$A56,T_TTAFStock_Log[WeekIndex],79)=0,"",SUMIFS(T_TTAFStock_Log[TTAF_Qty],T_TTAFStock_Log[Part Name],$A56,T_TTAFStock_Log[WeekIndex],79))</f>
        <v/>
      </c>
      <c r="CC56" s="17">
        <f>IF(COUNTIFS(T_TTAFStock_Log[Part Name],$A56,T_TTAFStock_Log[WeekIndex],80)=0,"",SUMIFS(T_TTAFStock_Log[TTAF_Qty],T_TTAFStock_Log[Part Name],$A56,T_TTAFStock_Log[WeekIndex],80))</f>
        <v/>
      </c>
      <c r="CD56" s="17">
        <f>IF(COUNTIFS(T_TTAFStock_Log[Part Name],$A56,T_TTAFStock_Log[WeekIndex],81)=0,"",SUMIFS(T_TTAFStock_Log[TTAF_Qty],T_TTAFStock_Log[Part Name],$A56,T_TTAFStock_Log[WeekIndex],81))</f>
        <v/>
      </c>
      <c r="CE56" s="17">
        <f>IF(COUNTIFS(T_TTAFStock_Log[Part Name],$A56,T_TTAFStock_Log[WeekIndex],82)=0,"",SUMIFS(T_TTAFStock_Log[TTAF_Qty],T_TTAFStock_Log[Part Name],$A56,T_TTAFStock_Log[WeekIndex],82))</f>
        <v/>
      </c>
      <c r="CF56" s="17">
        <f>IF(COUNTIFS(T_TTAFStock_Log[Part Name],$A56,T_TTAFStock_Log[WeekIndex],83)=0,"",SUMIFS(T_TTAFStock_Log[TTAF_Qty],T_TTAFStock_Log[Part Name],$A56,T_TTAFStock_Log[WeekIndex],83))</f>
        <v/>
      </c>
      <c r="CG56" s="17">
        <f>IF(COUNTIFS(T_TTAFStock_Log[Part Name],$A56,T_TTAFStock_Log[WeekIndex],84)=0,"",SUMIFS(T_TTAFStock_Log[TTAF_Qty],T_TTAFStock_Log[Part Name],$A56,T_TTAFStock_Log[WeekIndex],84))</f>
        <v/>
      </c>
      <c r="CH56" s="17">
        <f>IF(COUNTIFS(T_TTAFStock_Log[Part Name],$A56,T_TTAFStock_Log[WeekIndex],85)=0,"",SUMIFS(T_TTAFStock_Log[TTAF_Qty],T_TTAFStock_Log[Part Name],$A56,T_TTAFStock_Log[WeekIndex],85))</f>
        <v/>
      </c>
      <c r="CI56" s="17">
        <f>IF(COUNTIFS(T_TTAFStock_Log[Part Name],$A56,T_TTAFStock_Log[WeekIndex],86)=0,"",SUMIFS(T_TTAFStock_Log[TTAF_Qty],T_TTAFStock_Log[Part Name],$A56,T_TTAFStock_Log[WeekIndex],86))</f>
        <v/>
      </c>
      <c r="CJ56" s="17">
        <f>IF(COUNTIFS(T_TTAFStock_Log[Part Name],$A56,T_TTAFStock_Log[WeekIndex],87)=0,"",SUMIFS(T_TTAFStock_Log[TTAF_Qty],T_TTAFStock_Log[Part Name],$A56,T_TTAFStock_Log[WeekIndex],87))</f>
        <v/>
      </c>
      <c r="CK56" s="17">
        <f>IF(COUNTIFS(T_TTAFStock_Log[Part Name],$A56,T_TTAFStock_Log[WeekIndex],88)=0,"",SUMIFS(T_TTAFStock_Log[TTAF_Qty],T_TTAFStock_Log[Part Name],$A56,T_TTAFStock_Log[WeekIndex],88))</f>
        <v/>
      </c>
      <c r="CL56" s="17">
        <f>IF(COUNTIFS(T_TTAFStock_Log[Part Name],$A56,T_TTAFStock_Log[WeekIndex],89)=0,"",SUMIFS(T_TTAFStock_Log[TTAF_Qty],T_TTAFStock_Log[Part Name],$A56,T_TTAFStock_Log[WeekIndex],89))</f>
        <v/>
      </c>
      <c r="CM56" s="17">
        <f>IF(COUNTIFS(T_TTAFStock_Log[Part Name],$A56,T_TTAFStock_Log[WeekIndex],90)=0,"",SUMIFS(T_TTAFStock_Log[TTAF_Qty],T_TTAFStock_Log[Part Name],$A56,T_TTAFStock_Log[WeekIndex],90))</f>
        <v/>
      </c>
      <c r="CN56" s="17">
        <f>IF(COUNTIFS(T_TTAFStock_Log[Part Name],$A56,T_TTAFStock_Log[WeekIndex],91)=0,"",SUMIFS(T_TTAFStock_Log[TTAF_Qty],T_TTAFStock_Log[Part Name],$A56,T_TTAFStock_Log[WeekIndex],91))</f>
        <v/>
      </c>
      <c r="CO56" s="17">
        <f>IF(COUNTIFS(T_TTAFStock_Log[Part Name],$A56,T_TTAFStock_Log[WeekIndex],92)=0,"",SUMIFS(T_TTAFStock_Log[TTAF_Qty],T_TTAFStock_Log[Part Name],$A56,T_TTAFStock_Log[WeekIndex],92))</f>
        <v/>
      </c>
      <c r="CP56" s="17">
        <f>IF(COUNTIFS(T_TTAFStock_Log[Part Name],$A56,T_TTAFStock_Log[WeekIndex],93)=0,"",SUMIFS(T_TTAFStock_Log[TTAF_Qty],T_TTAFStock_Log[Part Name],$A56,T_TTAFStock_Log[WeekIndex],93))</f>
        <v/>
      </c>
      <c r="CQ56" s="17">
        <f>IF(COUNTIFS(T_TTAFStock_Log[Part Name],$A56,T_TTAFStock_Log[WeekIndex],94)=0,"",SUMIFS(T_TTAFStock_Log[TTAF_Qty],T_TTAFStock_Log[Part Name],$A56,T_TTAFStock_Log[WeekIndex],94))</f>
        <v/>
      </c>
      <c r="CR56" s="17">
        <f>IF(COUNTIFS(T_TTAFStock_Log[Part Name],$A56,T_TTAFStock_Log[WeekIndex],95)=0,"",SUMIFS(T_TTAFStock_Log[TTAF_Qty],T_TTAFStock_Log[Part Name],$A56,T_TTAFStock_Log[WeekIndex],95))</f>
        <v/>
      </c>
      <c r="CS56" s="17">
        <f>IF(COUNTIFS(T_TTAFStock_Log[Part Name],$A56,T_TTAFStock_Log[WeekIndex],96)=0,"",SUMIFS(T_TTAFStock_Log[TTAF_Qty],T_TTAFStock_Log[Part Name],$A56,T_TTAFStock_Log[WeekIndex],96))</f>
        <v/>
      </c>
      <c r="CT56" s="17">
        <f>IF(COUNTIFS(T_TTAFStock_Log[Part Name],$A56,T_TTAFStock_Log[WeekIndex],97)=0,"",SUMIFS(T_TTAFStock_Log[TTAF_Qty],T_TTAFStock_Log[Part Name],$A56,T_TTAFStock_Log[WeekIndex],97))</f>
        <v/>
      </c>
      <c r="CU56" s="17">
        <f>IF(COUNTIFS(T_TTAFStock_Log[Part Name],$A56,T_TTAFStock_Log[WeekIndex],98)=0,"",SUMIFS(T_TTAFStock_Log[TTAF_Qty],T_TTAFStock_Log[Part Name],$A56,T_TTAFStock_Log[WeekIndex],98))</f>
        <v/>
      </c>
      <c r="CV56" s="17">
        <f>IF(COUNTIFS(T_TTAFStock_Log[Part Name],$A56,T_TTAFStock_Log[WeekIndex],99)=0,"",SUMIFS(T_TTAFStock_Log[TTAF_Qty],T_TTAFStock_Log[Part Name],$A56,T_TTAFStock_Log[WeekIndex],99))</f>
        <v/>
      </c>
      <c r="CW56" s="17">
        <f>IF(COUNTIFS(T_TTAFStock_Log[Part Name],$A56,T_TTAFStock_Log[WeekIndex],100)=0,"",SUMIFS(T_TTAFStock_Log[TTAF_Qty],T_TTAFStock_Log[Part Name],$A56,T_TTAFStock_Log[WeekIndex],100))</f>
        <v/>
      </c>
      <c r="CX56" s="17">
        <f>IF(COUNTIFS(T_TTAFStock_Log[Part Name],$A56,T_TTAFStock_Log[WeekIndex],101)=0,"",SUMIFS(T_TTAFStock_Log[TTAF_Qty],T_TTAFStock_Log[Part Name],$A56,T_TTAFStock_Log[WeekIndex],101))</f>
        <v/>
      </c>
      <c r="CY56" s="17">
        <f>IF(COUNTIFS(T_TTAFStock_Log[Part Name],$A56,T_TTAFStock_Log[WeekIndex],102)=0,"",SUMIFS(T_TTAFStock_Log[TTAF_Qty],T_TTAFStock_Log[Part Name],$A56,T_TTAFStock_Log[WeekIndex],102))</f>
        <v/>
      </c>
      <c r="CZ56" s="17">
        <f>IF(COUNTIFS(T_TTAFStock_Log[Part Name],$A56,T_TTAFStock_Log[WeekIndex],103)=0,"",SUMIFS(T_TTAFStock_Log[TTAF_Qty],T_TTAFStock_Log[Part Name],$A56,T_TTAFStock_Log[WeekIndex],103))</f>
        <v/>
      </c>
      <c r="DA56" s="17">
        <f>IF(COUNTIFS(T_TTAFStock_Log[Part Name],$A56,T_TTAFStock_Log[WeekIndex],104)=0,"",SUMIFS(T_TTAFStock_Log[TTAF_Qty],T_TTAFStock_Log[Part Name],$A56,T_TTAFStock_Log[WeekIndex],104))</f>
        <v/>
      </c>
    </row>
    <row r="57">
      <c r="A57" s="19" t="inlineStr">
        <is>
          <t>18456-50041</t>
        </is>
      </c>
      <c r="B57" s="19">
        <f>IF(COUNTIFS(T_TTAFStock_Log[Part Name],$A57,T_TTAFStock_Log[WeekIndex],1)=0,"",SUMIFS(T_TTAFStock_Log[TTAF_Qty],T_TTAFStock_Log[Part Name],$A57,T_TTAFStock_Log[WeekIndex],1))</f>
        <v/>
      </c>
      <c r="C57" s="19">
        <f>IF(COUNTIFS(T_TTAFStock_Log[Part Name],$A57,T_TTAFStock_Log[WeekIndex],2)=0,"",SUMIFS(T_TTAFStock_Log[TTAF_Qty],T_TTAFStock_Log[Part Name],$A57,T_TTAFStock_Log[WeekIndex],2))</f>
        <v/>
      </c>
      <c r="D57" s="19">
        <f>IF(COUNTIFS(T_TTAFStock_Log[Part Name],$A57,T_TTAFStock_Log[WeekIndex],3)=0,"",SUMIFS(T_TTAFStock_Log[TTAF_Qty],T_TTAFStock_Log[Part Name],$A57,T_TTAFStock_Log[WeekIndex],3))</f>
        <v/>
      </c>
      <c r="E57" s="19">
        <f>IF(COUNTIFS(T_TTAFStock_Log[Part Name],$A57,T_TTAFStock_Log[WeekIndex],4)=0,"",SUMIFS(T_TTAFStock_Log[TTAF_Qty],T_TTAFStock_Log[Part Name],$A57,T_TTAFStock_Log[WeekIndex],4))</f>
        <v/>
      </c>
      <c r="F57" s="19">
        <f>IF(COUNTIFS(T_TTAFStock_Log[Part Name],$A57,T_TTAFStock_Log[WeekIndex],5)=0,"",SUMIFS(T_TTAFStock_Log[TTAF_Qty],T_TTAFStock_Log[Part Name],$A57,T_TTAFStock_Log[WeekIndex],5))</f>
        <v/>
      </c>
      <c r="G57" s="19">
        <f>IF(COUNTIFS(T_TTAFStock_Log[Part Name],$A57,T_TTAFStock_Log[WeekIndex],6)=0,"",SUMIFS(T_TTAFStock_Log[TTAF_Qty],T_TTAFStock_Log[Part Name],$A57,T_TTAFStock_Log[WeekIndex],6))</f>
        <v/>
      </c>
      <c r="H57" s="19">
        <f>IF(COUNTIFS(T_TTAFStock_Log[Part Name],$A57,T_TTAFStock_Log[WeekIndex],7)=0,"",SUMIFS(T_TTAFStock_Log[TTAF_Qty],T_TTAFStock_Log[Part Name],$A57,T_TTAFStock_Log[WeekIndex],7))</f>
        <v/>
      </c>
      <c r="I57" s="19">
        <f>IF(COUNTIFS(T_TTAFStock_Log[Part Name],$A57,T_TTAFStock_Log[WeekIndex],8)=0,"",SUMIFS(T_TTAFStock_Log[TTAF_Qty],T_TTAFStock_Log[Part Name],$A57,T_TTAFStock_Log[WeekIndex],8))</f>
        <v/>
      </c>
      <c r="J57" s="19">
        <f>IF(COUNTIFS(T_TTAFStock_Log[Part Name],$A57,T_TTAFStock_Log[WeekIndex],9)=0,"",SUMIFS(T_TTAFStock_Log[TTAF_Qty],T_TTAFStock_Log[Part Name],$A57,T_TTAFStock_Log[WeekIndex],9))</f>
        <v/>
      </c>
      <c r="K57" s="19">
        <f>IF(COUNTIFS(T_TTAFStock_Log[Part Name],$A57,T_TTAFStock_Log[WeekIndex],10)=0,"",SUMIFS(T_TTAFStock_Log[TTAF_Qty],T_TTAFStock_Log[Part Name],$A57,T_TTAFStock_Log[WeekIndex],10))</f>
        <v/>
      </c>
      <c r="L57" s="19">
        <f>IF(COUNTIFS(T_TTAFStock_Log[Part Name],$A57,T_TTAFStock_Log[WeekIndex],11)=0,"",SUMIFS(T_TTAFStock_Log[TTAF_Qty],T_TTAFStock_Log[Part Name],$A57,T_TTAFStock_Log[WeekIndex],11))</f>
        <v/>
      </c>
      <c r="M57" s="19">
        <f>IF(COUNTIFS(T_TTAFStock_Log[Part Name],$A57,T_TTAFStock_Log[WeekIndex],12)=0,"",SUMIFS(T_TTAFStock_Log[TTAF_Qty],T_TTAFStock_Log[Part Name],$A57,T_TTAFStock_Log[WeekIndex],12))</f>
        <v/>
      </c>
      <c r="N57" s="19">
        <f>IF(COUNTIFS(T_TTAFStock_Log[Part Name],$A57,T_TTAFStock_Log[WeekIndex],13)=0,"",SUMIFS(T_TTAFStock_Log[TTAF_Qty],T_TTAFStock_Log[Part Name],$A57,T_TTAFStock_Log[WeekIndex],13))</f>
        <v/>
      </c>
      <c r="O57" s="19">
        <f>IF(COUNTIFS(T_TTAFStock_Log[Part Name],$A57,T_TTAFStock_Log[WeekIndex],14)=0,"",SUMIFS(T_TTAFStock_Log[TTAF_Qty],T_TTAFStock_Log[Part Name],$A57,T_TTAFStock_Log[WeekIndex],14))</f>
        <v/>
      </c>
      <c r="P57" s="19">
        <f>IF(COUNTIFS(T_TTAFStock_Log[Part Name],$A57,T_TTAFStock_Log[WeekIndex],15)=0,"",SUMIFS(T_TTAFStock_Log[TTAF_Qty],T_TTAFStock_Log[Part Name],$A57,T_TTAFStock_Log[WeekIndex],15))</f>
        <v/>
      </c>
      <c r="Q57" s="19">
        <f>IF(COUNTIFS(T_TTAFStock_Log[Part Name],$A57,T_TTAFStock_Log[WeekIndex],16)=0,"",SUMIFS(T_TTAFStock_Log[TTAF_Qty],T_TTAFStock_Log[Part Name],$A57,T_TTAFStock_Log[WeekIndex],16))</f>
        <v/>
      </c>
      <c r="R57" s="19">
        <f>IF(COUNTIFS(T_TTAFStock_Log[Part Name],$A57,T_TTAFStock_Log[WeekIndex],17)=0,"",SUMIFS(T_TTAFStock_Log[TTAF_Qty],T_TTAFStock_Log[Part Name],$A57,T_TTAFStock_Log[WeekIndex],17))</f>
        <v/>
      </c>
      <c r="S57" s="19">
        <f>IF(COUNTIFS(T_TTAFStock_Log[Part Name],$A57,T_TTAFStock_Log[WeekIndex],18)=0,"",SUMIFS(T_TTAFStock_Log[TTAF_Qty],T_TTAFStock_Log[Part Name],$A57,T_TTAFStock_Log[WeekIndex],18))</f>
        <v/>
      </c>
      <c r="T57" s="19">
        <f>IF(COUNTIFS(T_TTAFStock_Log[Part Name],$A57,T_TTAFStock_Log[WeekIndex],19)=0,"",SUMIFS(T_TTAFStock_Log[TTAF_Qty],T_TTAFStock_Log[Part Name],$A57,T_TTAFStock_Log[WeekIndex],19))</f>
        <v/>
      </c>
      <c r="U57" s="19">
        <f>IF(COUNTIFS(T_TTAFStock_Log[Part Name],$A57,T_TTAFStock_Log[WeekIndex],20)=0,"",SUMIFS(T_TTAFStock_Log[TTAF_Qty],T_TTAFStock_Log[Part Name],$A57,T_TTAFStock_Log[WeekIndex],20))</f>
        <v/>
      </c>
      <c r="V57" s="19">
        <f>IF(COUNTIFS(T_TTAFStock_Log[Part Name],$A57,T_TTAFStock_Log[WeekIndex],21)=0,"",SUMIFS(T_TTAFStock_Log[TTAF_Qty],T_TTAFStock_Log[Part Name],$A57,T_TTAFStock_Log[WeekIndex],21))</f>
        <v/>
      </c>
      <c r="W57" s="19">
        <f>IF(COUNTIFS(T_TTAFStock_Log[Part Name],$A57,T_TTAFStock_Log[WeekIndex],22)=0,"",SUMIFS(T_TTAFStock_Log[TTAF_Qty],T_TTAFStock_Log[Part Name],$A57,T_TTAFStock_Log[WeekIndex],22))</f>
        <v/>
      </c>
      <c r="X57" s="19">
        <f>IF(COUNTIFS(T_TTAFStock_Log[Part Name],$A57,T_TTAFStock_Log[WeekIndex],23)=0,"",SUMIFS(T_TTAFStock_Log[TTAF_Qty],T_TTAFStock_Log[Part Name],$A57,T_TTAFStock_Log[WeekIndex],23))</f>
        <v/>
      </c>
      <c r="Y57" s="19">
        <f>IF(COUNTIFS(T_TTAFStock_Log[Part Name],$A57,T_TTAFStock_Log[WeekIndex],24)=0,"",SUMIFS(T_TTAFStock_Log[TTAF_Qty],T_TTAFStock_Log[Part Name],$A57,T_TTAFStock_Log[WeekIndex],24))</f>
        <v/>
      </c>
      <c r="Z57" s="19">
        <f>IF(COUNTIFS(T_TTAFStock_Log[Part Name],$A57,T_TTAFStock_Log[WeekIndex],25)=0,"",SUMIFS(T_TTAFStock_Log[TTAF_Qty],T_TTAFStock_Log[Part Name],$A57,T_TTAFStock_Log[WeekIndex],25))</f>
        <v/>
      </c>
      <c r="AA57" s="19">
        <f>IF(COUNTIFS(T_TTAFStock_Log[Part Name],$A57,T_TTAFStock_Log[WeekIndex],26)=0,"",SUMIFS(T_TTAFStock_Log[TTAF_Qty],T_TTAFStock_Log[Part Name],$A57,T_TTAFStock_Log[WeekIndex],26))</f>
        <v/>
      </c>
      <c r="AB57" s="19">
        <f>IF(COUNTIFS(T_TTAFStock_Log[Part Name],$A57,T_TTAFStock_Log[WeekIndex],27)=0,"",SUMIFS(T_TTAFStock_Log[TTAF_Qty],T_TTAFStock_Log[Part Name],$A57,T_TTAFStock_Log[WeekIndex],27))</f>
        <v/>
      </c>
      <c r="AC57" s="19">
        <f>IF(COUNTIFS(T_TTAFStock_Log[Part Name],$A57,T_TTAFStock_Log[WeekIndex],28)=0,"",SUMIFS(T_TTAFStock_Log[TTAF_Qty],T_TTAFStock_Log[Part Name],$A57,T_TTAFStock_Log[WeekIndex],28))</f>
        <v/>
      </c>
      <c r="AD57" s="19">
        <f>IF(COUNTIFS(T_TTAFStock_Log[Part Name],$A57,T_TTAFStock_Log[WeekIndex],29)=0,"",SUMIFS(T_TTAFStock_Log[TTAF_Qty],T_TTAFStock_Log[Part Name],$A57,T_TTAFStock_Log[WeekIndex],29))</f>
        <v/>
      </c>
      <c r="AE57" s="19">
        <f>IF(COUNTIFS(T_TTAFStock_Log[Part Name],$A57,T_TTAFStock_Log[WeekIndex],30)=0,"",SUMIFS(T_TTAFStock_Log[TTAF_Qty],T_TTAFStock_Log[Part Name],$A57,T_TTAFStock_Log[WeekIndex],30))</f>
        <v/>
      </c>
      <c r="AF57" s="19">
        <f>IF(COUNTIFS(T_TTAFStock_Log[Part Name],$A57,T_TTAFStock_Log[WeekIndex],31)=0,"",SUMIFS(T_TTAFStock_Log[TTAF_Qty],T_TTAFStock_Log[Part Name],$A57,T_TTAFStock_Log[WeekIndex],31))</f>
        <v/>
      </c>
      <c r="AG57" s="19">
        <f>IF(COUNTIFS(T_TTAFStock_Log[Part Name],$A57,T_TTAFStock_Log[WeekIndex],32)=0,"",SUMIFS(T_TTAFStock_Log[TTAF_Qty],T_TTAFStock_Log[Part Name],$A57,T_TTAFStock_Log[WeekIndex],32))</f>
        <v/>
      </c>
      <c r="AH57" s="19">
        <f>IF(COUNTIFS(T_TTAFStock_Log[Part Name],$A57,T_TTAFStock_Log[WeekIndex],33)=0,"",SUMIFS(T_TTAFStock_Log[TTAF_Qty],T_TTAFStock_Log[Part Name],$A57,T_TTAFStock_Log[WeekIndex],33))</f>
        <v/>
      </c>
      <c r="AI57" s="19">
        <f>IF(COUNTIFS(T_TTAFStock_Log[Part Name],$A57,T_TTAFStock_Log[WeekIndex],34)=0,"",SUMIFS(T_TTAFStock_Log[TTAF_Qty],T_TTAFStock_Log[Part Name],$A57,T_TTAFStock_Log[WeekIndex],34))</f>
        <v/>
      </c>
      <c r="AJ57" s="19">
        <f>IF(COUNTIFS(T_TTAFStock_Log[Part Name],$A57,T_TTAFStock_Log[WeekIndex],35)=0,"",SUMIFS(T_TTAFStock_Log[TTAF_Qty],T_TTAFStock_Log[Part Name],$A57,T_TTAFStock_Log[WeekIndex],35))</f>
        <v/>
      </c>
      <c r="AK57" s="19">
        <f>IF(COUNTIFS(T_TTAFStock_Log[Part Name],$A57,T_TTAFStock_Log[WeekIndex],36)=0,"",SUMIFS(T_TTAFStock_Log[TTAF_Qty],T_TTAFStock_Log[Part Name],$A57,T_TTAFStock_Log[WeekIndex],36))</f>
        <v/>
      </c>
      <c r="AL57" s="19">
        <f>IF(COUNTIFS(T_TTAFStock_Log[Part Name],$A57,T_TTAFStock_Log[WeekIndex],37)=0,"",SUMIFS(T_TTAFStock_Log[TTAF_Qty],T_TTAFStock_Log[Part Name],$A57,T_TTAFStock_Log[WeekIndex],37))</f>
        <v/>
      </c>
      <c r="AM57" s="19">
        <f>IF(COUNTIFS(T_TTAFStock_Log[Part Name],$A57,T_TTAFStock_Log[WeekIndex],38)=0,"",SUMIFS(T_TTAFStock_Log[TTAF_Qty],T_TTAFStock_Log[Part Name],$A57,T_TTAFStock_Log[WeekIndex],38))</f>
        <v/>
      </c>
      <c r="AN57" s="19">
        <f>IF(COUNTIFS(T_TTAFStock_Log[Part Name],$A57,T_TTAFStock_Log[WeekIndex],39)=0,"",SUMIFS(T_TTAFStock_Log[TTAF_Qty],T_TTAFStock_Log[Part Name],$A57,T_TTAFStock_Log[WeekIndex],39))</f>
        <v/>
      </c>
      <c r="AO57" s="19">
        <f>IF(COUNTIFS(T_TTAFStock_Log[Part Name],$A57,T_TTAFStock_Log[WeekIndex],40)=0,"",SUMIFS(T_TTAFStock_Log[TTAF_Qty],T_TTAFStock_Log[Part Name],$A57,T_TTAFStock_Log[WeekIndex],40))</f>
        <v/>
      </c>
      <c r="AP57" s="19">
        <f>IF(COUNTIFS(T_TTAFStock_Log[Part Name],$A57,T_TTAFStock_Log[WeekIndex],41)=0,"",SUMIFS(T_TTAFStock_Log[TTAF_Qty],T_TTAFStock_Log[Part Name],$A57,T_TTAFStock_Log[WeekIndex],41))</f>
        <v/>
      </c>
      <c r="AQ57" s="19">
        <f>IF(COUNTIFS(T_TTAFStock_Log[Part Name],$A57,T_TTAFStock_Log[WeekIndex],42)=0,"",SUMIFS(T_TTAFStock_Log[TTAF_Qty],T_TTAFStock_Log[Part Name],$A57,T_TTAFStock_Log[WeekIndex],42))</f>
        <v/>
      </c>
      <c r="AR57" s="19">
        <f>IF(COUNTIFS(T_TTAFStock_Log[Part Name],$A57,T_TTAFStock_Log[WeekIndex],43)=0,"",SUMIFS(T_TTAFStock_Log[TTAF_Qty],T_TTAFStock_Log[Part Name],$A57,T_TTAFStock_Log[WeekIndex],43))</f>
        <v/>
      </c>
      <c r="AS57" s="19">
        <f>IF(COUNTIFS(T_TTAFStock_Log[Part Name],$A57,T_TTAFStock_Log[WeekIndex],44)=0,"",SUMIFS(T_TTAFStock_Log[TTAF_Qty],T_TTAFStock_Log[Part Name],$A57,T_TTAFStock_Log[WeekIndex],44))</f>
        <v/>
      </c>
      <c r="AT57" s="19">
        <f>IF(COUNTIFS(T_TTAFStock_Log[Part Name],$A57,T_TTAFStock_Log[WeekIndex],45)=0,"",SUMIFS(T_TTAFStock_Log[TTAF_Qty],T_TTAFStock_Log[Part Name],$A57,T_TTAFStock_Log[WeekIndex],45))</f>
        <v/>
      </c>
      <c r="AU57" s="19">
        <f>IF(COUNTIFS(T_TTAFStock_Log[Part Name],$A57,T_TTAFStock_Log[WeekIndex],46)=0,"",SUMIFS(T_TTAFStock_Log[TTAF_Qty],T_TTAFStock_Log[Part Name],$A57,T_TTAFStock_Log[WeekIndex],46))</f>
        <v/>
      </c>
      <c r="AV57" s="19">
        <f>IF(COUNTIFS(T_TTAFStock_Log[Part Name],$A57,T_TTAFStock_Log[WeekIndex],47)=0,"",SUMIFS(T_TTAFStock_Log[TTAF_Qty],T_TTAFStock_Log[Part Name],$A57,T_TTAFStock_Log[WeekIndex],47))</f>
        <v/>
      </c>
      <c r="AW57" s="19">
        <f>IF(COUNTIFS(T_TTAFStock_Log[Part Name],$A57,T_TTAFStock_Log[WeekIndex],48)=0,"",SUMIFS(T_TTAFStock_Log[TTAF_Qty],T_TTAFStock_Log[Part Name],$A57,T_TTAFStock_Log[WeekIndex],48))</f>
        <v/>
      </c>
      <c r="AX57" s="19">
        <f>IF(COUNTIFS(T_TTAFStock_Log[Part Name],$A57,T_TTAFStock_Log[WeekIndex],49)=0,"",SUMIFS(T_TTAFStock_Log[TTAF_Qty],T_TTAFStock_Log[Part Name],$A57,T_TTAFStock_Log[WeekIndex],49))</f>
        <v/>
      </c>
      <c r="AY57" s="19">
        <f>IF(COUNTIFS(T_TTAFStock_Log[Part Name],$A57,T_TTAFStock_Log[WeekIndex],50)=0,"",SUMIFS(T_TTAFStock_Log[TTAF_Qty],T_TTAFStock_Log[Part Name],$A57,T_TTAFStock_Log[WeekIndex],50))</f>
        <v/>
      </c>
      <c r="AZ57" s="19">
        <f>IF(COUNTIFS(T_TTAFStock_Log[Part Name],$A57,T_TTAFStock_Log[WeekIndex],51)=0,"",SUMIFS(T_TTAFStock_Log[TTAF_Qty],T_TTAFStock_Log[Part Name],$A57,T_TTAFStock_Log[WeekIndex],51))</f>
        <v/>
      </c>
      <c r="BA57" s="19">
        <f>IF(COUNTIFS(T_TTAFStock_Log[Part Name],$A57,T_TTAFStock_Log[WeekIndex],52)=0,"",SUMIFS(T_TTAFStock_Log[TTAF_Qty],T_TTAFStock_Log[Part Name],$A57,T_TTAFStock_Log[WeekIndex],52))</f>
        <v/>
      </c>
      <c r="BB57" s="19">
        <f>IF(COUNTIFS(T_TTAFStock_Log[Part Name],$A57,T_TTAFStock_Log[WeekIndex],53)=0,"",SUMIFS(T_TTAFStock_Log[TTAF_Qty],T_TTAFStock_Log[Part Name],$A57,T_TTAFStock_Log[WeekIndex],53))</f>
        <v/>
      </c>
      <c r="BC57" s="19">
        <f>IF(COUNTIFS(T_TTAFStock_Log[Part Name],$A57,T_TTAFStock_Log[WeekIndex],54)=0,"",SUMIFS(T_TTAFStock_Log[TTAF_Qty],T_TTAFStock_Log[Part Name],$A57,T_TTAFStock_Log[WeekIndex],54))</f>
        <v/>
      </c>
      <c r="BD57" s="19">
        <f>IF(COUNTIFS(T_TTAFStock_Log[Part Name],$A57,T_TTAFStock_Log[WeekIndex],55)=0,"",SUMIFS(T_TTAFStock_Log[TTAF_Qty],T_TTAFStock_Log[Part Name],$A57,T_TTAFStock_Log[WeekIndex],55))</f>
        <v/>
      </c>
      <c r="BE57" s="19">
        <f>IF(COUNTIFS(T_TTAFStock_Log[Part Name],$A57,T_TTAFStock_Log[WeekIndex],56)=0,"",SUMIFS(T_TTAFStock_Log[TTAF_Qty],T_TTAFStock_Log[Part Name],$A57,T_TTAFStock_Log[WeekIndex],56))</f>
        <v/>
      </c>
      <c r="BF57" s="19">
        <f>IF(COUNTIFS(T_TTAFStock_Log[Part Name],$A57,T_TTAFStock_Log[WeekIndex],57)=0,"",SUMIFS(T_TTAFStock_Log[TTAF_Qty],T_TTAFStock_Log[Part Name],$A57,T_TTAFStock_Log[WeekIndex],57))</f>
        <v/>
      </c>
      <c r="BG57" s="19">
        <f>IF(COUNTIFS(T_TTAFStock_Log[Part Name],$A57,T_TTAFStock_Log[WeekIndex],58)=0,"",SUMIFS(T_TTAFStock_Log[TTAF_Qty],T_TTAFStock_Log[Part Name],$A57,T_TTAFStock_Log[WeekIndex],58))</f>
        <v/>
      </c>
      <c r="BH57" s="19">
        <f>IF(COUNTIFS(T_TTAFStock_Log[Part Name],$A57,T_TTAFStock_Log[WeekIndex],59)=0,"",SUMIFS(T_TTAFStock_Log[TTAF_Qty],T_TTAFStock_Log[Part Name],$A57,T_TTAFStock_Log[WeekIndex],59))</f>
        <v/>
      </c>
      <c r="BI57" s="19">
        <f>IF(COUNTIFS(T_TTAFStock_Log[Part Name],$A57,T_TTAFStock_Log[WeekIndex],60)=0,"",SUMIFS(T_TTAFStock_Log[TTAF_Qty],T_TTAFStock_Log[Part Name],$A57,T_TTAFStock_Log[WeekIndex],60))</f>
        <v/>
      </c>
      <c r="BJ57" s="19">
        <f>IF(COUNTIFS(T_TTAFStock_Log[Part Name],$A57,T_TTAFStock_Log[WeekIndex],61)=0,"",SUMIFS(T_TTAFStock_Log[TTAF_Qty],T_TTAFStock_Log[Part Name],$A57,T_TTAFStock_Log[WeekIndex],61))</f>
        <v/>
      </c>
      <c r="BK57" s="19">
        <f>IF(COUNTIFS(T_TTAFStock_Log[Part Name],$A57,T_TTAFStock_Log[WeekIndex],62)=0,"",SUMIFS(T_TTAFStock_Log[TTAF_Qty],T_TTAFStock_Log[Part Name],$A57,T_TTAFStock_Log[WeekIndex],62))</f>
        <v/>
      </c>
      <c r="BL57" s="19">
        <f>IF(COUNTIFS(T_TTAFStock_Log[Part Name],$A57,T_TTAFStock_Log[WeekIndex],63)=0,"",SUMIFS(T_TTAFStock_Log[TTAF_Qty],T_TTAFStock_Log[Part Name],$A57,T_TTAFStock_Log[WeekIndex],63))</f>
        <v/>
      </c>
      <c r="BM57" s="19">
        <f>IF(COUNTIFS(T_TTAFStock_Log[Part Name],$A57,T_TTAFStock_Log[WeekIndex],64)=0,"",SUMIFS(T_TTAFStock_Log[TTAF_Qty],T_TTAFStock_Log[Part Name],$A57,T_TTAFStock_Log[WeekIndex],64))</f>
        <v/>
      </c>
      <c r="BN57" s="19">
        <f>IF(COUNTIFS(T_TTAFStock_Log[Part Name],$A57,T_TTAFStock_Log[WeekIndex],65)=0,"",SUMIFS(T_TTAFStock_Log[TTAF_Qty],T_TTAFStock_Log[Part Name],$A57,T_TTAFStock_Log[WeekIndex],65))</f>
        <v/>
      </c>
      <c r="BO57" s="19">
        <f>IF(COUNTIFS(T_TTAFStock_Log[Part Name],$A57,T_TTAFStock_Log[WeekIndex],66)=0,"",SUMIFS(T_TTAFStock_Log[TTAF_Qty],T_TTAFStock_Log[Part Name],$A57,T_TTAFStock_Log[WeekIndex],66))</f>
        <v/>
      </c>
      <c r="BP57" s="19">
        <f>IF(COUNTIFS(T_TTAFStock_Log[Part Name],$A57,T_TTAFStock_Log[WeekIndex],67)=0,"",SUMIFS(T_TTAFStock_Log[TTAF_Qty],T_TTAFStock_Log[Part Name],$A57,T_TTAFStock_Log[WeekIndex],67))</f>
        <v/>
      </c>
      <c r="BQ57" s="19">
        <f>IF(COUNTIFS(T_TTAFStock_Log[Part Name],$A57,T_TTAFStock_Log[WeekIndex],68)=0,"",SUMIFS(T_TTAFStock_Log[TTAF_Qty],T_TTAFStock_Log[Part Name],$A57,T_TTAFStock_Log[WeekIndex],68))</f>
        <v/>
      </c>
      <c r="BR57" s="19">
        <f>IF(COUNTIFS(T_TTAFStock_Log[Part Name],$A57,T_TTAFStock_Log[WeekIndex],69)=0,"",SUMIFS(T_TTAFStock_Log[TTAF_Qty],T_TTAFStock_Log[Part Name],$A57,T_TTAFStock_Log[WeekIndex],69))</f>
        <v/>
      </c>
      <c r="BS57" s="19">
        <f>IF(COUNTIFS(T_TTAFStock_Log[Part Name],$A57,T_TTAFStock_Log[WeekIndex],70)=0,"",SUMIFS(T_TTAFStock_Log[TTAF_Qty],T_TTAFStock_Log[Part Name],$A57,T_TTAFStock_Log[WeekIndex],70))</f>
        <v/>
      </c>
      <c r="BT57" s="19">
        <f>IF(COUNTIFS(T_TTAFStock_Log[Part Name],$A57,T_TTAFStock_Log[WeekIndex],71)=0,"",SUMIFS(T_TTAFStock_Log[TTAF_Qty],T_TTAFStock_Log[Part Name],$A57,T_TTAFStock_Log[WeekIndex],71))</f>
        <v/>
      </c>
      <c r="BU57" s="19">
        <f>IF(COUNTIFS(T_TTAFStock_Log[Part Name],$A57,T_TTAFStock_Log[WeekIndex],72)=0,"",SUMIFS(T_TTAFStock_Log[TTAF_Qty],T_TTAFStock_Log[Part Name],$A57,T_TTAFStock_Log[WeekIndex],72))</f>
        <v/>
      </c>
      <c r="BV57" s="19">
        <f>IF(COUNTIFS(T_TTAFStock_Log[Part Name],$A57,T_TTAFStock_Log[WeekIndex],73)=0,"",SUMIFS(T_TTAFStock_Log[TTAF_Qty],T_TTAFStock_Log[Part Name],$A57,T_TTAFStock_Log[WeekIndex],73))</f>
        <v/>
      </c>
      <c r="BW57" s="19">
        <f>IF(COUNTIFS(T_TTAFStock_Log[Part Name],$A57,T_TTAFStock_Log[WeekIndex],74)=0,"",SUMIFS(T_TTAFStock_Log[TTAF_Qty],T_TTAFStock_Log[Part Name],$A57,T_TTAFStock_Log[WeekIndex],74))</f>
        <v/>
      </c>
      <c r="BX57" s="19">
        <f>IF(COUNTIFS(T_TTAFStock_Log[Part Name],$A57,T_TTAFStock_Log[WeekIndex],75)=0,"",SUMIFS(T_TTAFStock_Log[TTAF_Qty],T_TTAFStock_Log[Part Name],$A57,T_TTAFStock_Log[WeekIndex],75))</f>
        <v/>
      </c>
      <c r="BY57" s="19">
        <f>IF(COUNTIFS(T_TTAFStock_Log[Part Name],$A57,T_TTAFStock_Log[WeekIndex],76)=0,"",SUMIFS(T_TTAFStock_Log[TTAF_Qty],T_TTAFStock_Log[Part Name],$A57,T_TTAFStock_Log[WeekIndex],76))</f>
        <v/>
      </c>
      <c r="BZ57" s="19">
        <f>IF(COUNTIFS(T_TTAFStock_Log[Part Name],$A57,T_TTAFStock_Log[WeekIndex],77)=0,"",SUMIFS(T_TTAFStock_Log[TTAF_Qty],T_TTAFStock_Log[Part Name],$A57,T_TTAFStock_Log[WeekIndex],77))</f>
        <v/>
      </c>
      <c r="CA57" s="19">
        <f>IF(COUNTIFS(T_TTAFStock_Log[Part Name],$A57,T_TTAFStock_Log[WeekIndex],78)=0,"",SUMIFS(T_TTAFStock_Log[TTAF_Qty],T_TTAFStock_Log[Part Name],$A57,T_TTAFStock_Log[WeekIndex],78))</f>
        <v/>
      </c>
      <c r="CB57" s="19">
        <f>IF(COUNTIFS(T_TTAFStock_Log[Part Name],$A57,T_TTAFStock_Log[WeekIndex],79)=0,"",SUMIFS(T_TTAFStock_Log[TTAF_Qty],T_TTAFStock_Log[Part Name],$A57,T_TTAFStock_Log[WeekIndex],79))</f>
        <v/>
      </c>
      <c r="CC57" s="19">
        <f>IF(COUNTIFS(T_TTAFStock_Log[Part Name],$A57,T_TTAFStock_Log[WeekIndex],80)=0,"",SUMIFS(T_TTAFStock_Log[TTAF_Qty],T_TTAFStock_Log[Part Name],$A57,T_TTAFStock_Log[WeekIndex],80))</f>
        <v/>
      </c>
      <c r="CD57" s="19">
        <f>IF(COUNTIFS(T_TTAFStock_Log[Part Name],$A57,T_TTAFStock_Log[WeekIndex],81)=0,"",SUMIFS(T_TTAFStock_Log[TTAF_Qty],T_TTAFStock_Log[Part Name],$A57,T_TTAFStock_Log[WeekIndex],81))</f>
        <v/>
      </c>
      <c r="CE57" s="19">
        <f>IF(COUNTIFS(T_TTAFStock_Log[Part Name],$A57,T_TTAFStock_Log[WeekIndex],82)=0,"",SUMIFS(T_TTAFStock_Log[TTAF_Qty],T_TTAFStock_Log[Part Name],$A57,T_TTAFStock_Log[WeekIndex],82))</f>
        <v/>
      </c>
      <c r="CF57" s="19">
        <f>IF(COUNTIFS(T_TTAFStock_Log[Part Name],$A57,T_TTAFStock_Log[WeekIndex],83)=0,"",SUMIFS(T_TTAFStock_Log[TTAF_Qty],T_TTAFStock_Log[Part Name],$A57,T_TTAFStock_Log[WeekIndex],83))</f>
        <v/>
      </c>
      <c r="CG57" s="19">
        <f>IF(COUNTIFS(T_TTAFStock_Log[Part Name],$A57,T_TTAFStock_Log[WeekIndex],84)=0,"",SUMIFS(T_TTAFStock_Log[TTAF_Qty],T_TTAFStock_Log[Part Name],$A57,T_TTAFStock_Log[WeekIndex],84))</f>
        <v/>
      </c>
      <c r="CH57" s="19">
        <f>IF(COUNTIFS(T_TTAFStock_Log[Part Name],$A57,T_TTAFStock_Log[WeekIndex],85)=0,"",SUMIFS(T_TTAFStock_Log[TTAF_Qty],T_TTAFStock_Log[Part Name],$A57,T_TTAFStock_Log[WeekIndex],85))</f>
        <v/>
      </c>
      <c r="CI57" s="19">
        <f>IF(COUNTIFS(T_TTAFStock_Log[Part Name],$A57,T_TTAFStock_Log[WeekIndex],86)=0,"",SUMIFS(T_TTAFStock_Log[TTAF_Qty],T_TTAFStock_Log[Part Name],$A57,T_TTAFStock_Log[WeekIndex],86))</f>
        <v/>
      </c>
      <c r="CJ57" s="19">
        <f>IF(COUNTIFS(T_TTAFStock_Log[Part Name],$A57,T_TTAFStock_Log[WeekIndex],87)=0,"",SUMIFS(T_TTAFStock_Log[TTAF_Qty],T_TTAFStock_Log[Part Name],$A57,T_TTAFStock_Log[WeekIndex],87))</f>
        <v/>
      </c>
      <c r="CK57" s="19">
        <f>IF(COUNTIFS(T_TTAFStock_Log[Part Name],$A57,T_TTAFStock_Log[WeekIndex],88)=0,"",SUMIFS(T_TTAFStock_Log[TTAF_Qty],T_TTAFStock_Log[Part Name],$A57,T_TTAFStock_Log[WeekIndex],88))</f>
        <v/>
      </c>
      <c r="CL57" s="19">
        <f>IF(COUNTIFS(T_TTAFStock_Log[Part Name],$A57,T_TTAFStock_Log[WeekIndex],89)=0,"",SUMIFS(T_TTAFStock_Log[TTAF_Qty],T_TTAFStock_Log[Part Name],$A57,T_TTAFStock_Log[WeekIndex],89))</f>
        <v/>
      </c>
      <c r="CM57" s="19">
        <f>IF(COUNTIFS(T_TTAFStock_Log[Part Name],$A57,T_TTAFStock_Log[WeekIndex],90)=0,"",SUMIFS(T_TTAFStock_Log[TTAF_Qty],T_TTAFStock_Log[Part Name],$A57,T_TTAFStock_Log[WeekIndex],90))</f>
        <v/>
      </c>
      <c r="CN57" s="19">
        <f>IF(COUNTIFS(T_TTAFStock_Log[Part Name],$A57,T_TTAFStock_Log[WeekIndex],91)=0,"",SUMIFS(T_TTAFStock_Log[TTAF_Qty],T_TTAFStock_Log[Part Name],$A57,T_TTAFStock_Log[WeekIndex],91))</f>
        <v/>
      </c>
      <c r="CO57" s="19">
        <f>IF(COUNTIFS(T_TTAFStock_Log[Part Name],$A57,T_TTAFStock_Log[WeekIndex],92)=0,"",SUMIFS(T_TTAFStock_Log[TTAF_Qty],T_TTAFStock_Log[Part Name],$A57,T_TTAFStock_Log[WeekIndex],92))</f>
        <v/>
      </c>
      <c r="CP57" s="19">
        <f>IF(COUNTIFS(T_TTAFStock_Log[Part Name],$A57,T_TTAFStock_Log[WeekIndex],93)=0,"",SUMIFS(T_TTAFStock_Log[TTAF_Qty],T_TTAFStock_Log[Part Name],$A57,T_TTAFStock_Log[WeekIndex],93))</f>
        <v/>
      </c>
      <c r="CQ57" s="19">
        <f>IF(COUNTIFS(T_TTAFStock_Log[Part Name],$A57,T_TTAFStock_Log[WeekIndex],94)=0,"",SUMIFS(T_TTAFStock_Log[TTAF_Qty],T_TTAFStock_Log[Part Name],$A57,T_TTAFStock_Log[WeekIndex],94))</f>
        <v/>
      </c>
      <c r="CR57" s="19">
        <f>IF(COUNTIFS(T_TTAFStock_Log[Part Name],$A57,T_TTAFStock_Log[WeekIndex],95)=0,"",SUMIFS(T_TTAFStock_Log[TTAF_Qty],T_TTAFStock_Log[Part Name],$A57,T_TTAFStock_Log[WeekIndex],95))</f>
        <v/>
      </c>
      <c r="CS57" s="19">
        <f>IF(COUNTIFS(T_TTAFStock_Log[Part Name],$A57,T_TTAFStock_Log[WeekIndex],96)=0,"",SUMIFS(T_TTAFStock_Log[TTAF_Qty],T_TTAFStock_Log[Part Name],$A57,T_TTAFStock_Log[WeekIndex],96))</f>
        <v/>
      </c>
      <c r="CT57" s="19">
        <f>IF(COUNTIFS(T_TTAFStock_Log[Part Name],$A57,T_TTAFStock_Log[WeekIndex],97)=0,"",SUMIFS(T_TTAFStock_Log[TTAF_Qty],T_TTAFStock_Log[Part Name],$A57,T_TTAFStock_Log[WeekIndex],97))</f>
        <v/>
      </c>
      <c r="CU57" s="19">
        <f>IF(COUNTIFS(T_TTAFStock_Log[Part Name],$A57,T_TTAFStock_Log[WeekIndex],98)=0,"",SUMIFS(T_TTAFStock_Log[TTAF_Qty],T_TTAFStock_Log[Part Name],$A57,T_TTAFStock_Log[WeekIndex],98))</f>
        <v/>
      </c>
      <c r="CV57" s="19">
        <f>IF(COUNTIFS(T_TTAFStock_Log[Part Name],$A57,T_TTAFStock_Log[WeekIndex],99)=0,"",SUMIFS(T_TTAFStock_Log[TTAF_Qty],T_TTAFStock_Log[Part Name],$A57,T_TTAFStock_Log[WeekIndex],99))</f>
        <v/>
      </c>
      <c r="CW57" s="19">
        <f>IF(COUNTIFS(T_TTAFStock_Log[Part Name],$A57,T_TTAFStock_Log[WeekIndex],100)=0,"",SUMIFS(T_TTAFStock_Log[TTAF_Qty],T_TTAFStock_Log[Part Name],$A57,T_TTAFStock_Log[WeekIndex],100))</f>
        <v/>
      </c>
      <c r="CX57" s="19">
        <f>IF(COUNTIFS(T_TTAFStock_Log[Part Name],$A57,T_TTAFStock_Log[WeekIndex],101)=0,"",SUMIFS(T_TTAFStock_Log[TTAF_Qty],T_TTAFStock_Log[Part Name],$A57,T_TTAFStock_Log[WeekIndex],101))</f>
        <v/>
      </c>
      <c r="CY57" s="19">
        <f>IF(COUNTIFS(T_TTAFStock_Log[Part Name],$A57,T_TTAFStock_Log[WeekIndex],102)=0,"",SUMIFS(T_TTAFStock_Log[TTAF_Qty],T_TTAFStock_Log[Part Name],$A57,T_TTAFStock_Log[WeekIndex],102))</f>
        <v/>
      </c>
      <c r="CZ57" s="19">
        <f>IF(COUNTIFS(T_TTAFStock_Log[Part Name],$A57,T_TTAFStock_Log[WeekIndex],103)=0,"",SUMIFS(T_TTAFStock_Log[TTAF_Qty],T_TTAFStock_Log[Part Name],$A57,T_TTAFStock_Log[WeekIndex],103))</f>
        <v/>
      </c>
      <c r="DA57" s="19">
        <f>IF(COUNTIFS(T_TTAFStock_Log[Part Name],$A57,T_TTAFStock_Log[WeekIndex],104)=0,"",SUMIFS(T_TTAFStock_Log[TTAF_Qty],T_TTAFStock_Log[Part Name],$A57,T_TTAFStock_Log[WeekIndex],104))</f>
        <v/>
      </c>
    </row>
    <row r="58">
      <c r="A58" s="17" t="inlineStr">
        <is>
          <t>18456-50061</t>
        </is>
      </c>
      <c r="B58" s="17">
        <f>IF(COUNTIFS(T_TTAFStock_Log[Part Name],$A58,T_TTAFStock_Log[WeekIndex],1)=0,"",SUMIFS(T_TTAFStock_Log[TTAF_Qty],T_TTAFStock_Log[Part Name],$A58,T_TTAFStock_Log[WeekIndex],1))</f>
        <v/>
      </c>
      <c r="C58" s="17">
        <f>IF(COUNTIFS(T_TTAFStock_Log[Part Name],$A58,T_TTAFStock_Log[WeekIndex],2)=0,"",SUMIFS(T_TTAFStock_Log[TTAF_Qty],T_TTAFStock_Log[Part Name],$A58,T_TTAFStock_Log[WeekIndex],2))</f>
        <v/>
      </c>
      <c r="D58" s="17">
        <f>IF(COUNTIFS(T_TTAFStock_Log[Part Name],$A58,T_TTAFStock_Log[WeekIndex],3)=0,"",SUMIFS(T_TTAFStock_Log[TTAF_Qty],T_TTAFStock_Log[Part Name],$A58,T_TTAFStock_Log[WeekIndex],3))</f>
        <v/>
      </c>
      <c r="E58" s="17">
        <f>IF(COUNTIFS(T_TTAFStock_Log[Part Name],$A58,T_TTAFStock_Log[WeekIndex],4)=0,"",SUMIFS(T_TTAFStock_Log[TTAF_Qty],T_TTAFStock_Log[Part Name],$A58,T_TTAFStock_Log[WeekIndex],4))</f>
        <v/>
      </c>
      <c r="F58" s="17">
        <f>IF(COUNTIFS(T_TTAFStock_Log[Part Name],$A58,T_TTAFStock_Log[WeekIndex],5)=0,"",SUMIFS(T_TTAFStock_Log[TTAF_Qty],T_TTAFStock_Log[Part Name],$A58,T_TTAFStock_Log[WeekIndex],5))</f>
        <v/>
      </c>
      <c r="G58" s="17">
        <f>IF(COUNTIFS(T_TTAFStock_Log[Part Name],$A58,T_TTAFStock_Log[WeekIndex],6)=0,"",SUMIFS(T_TTAFStock_Log[TTAF_Qty],T_TTAFStock_Log[Part Name],$A58,T_TTAFStock_Log[WeekIndex],6))</f>
        <v/>
      </c>
      <c r="H58" s="17">
        <f>IF(COUNTIFS(T_TTAFStock_Log[Part Name],$A58,T_TTAFStock_Log[WeekIndex],7)=0,"",SUMIFS(T_TTAFStock_Log[TTAF_Qty],T_TTAFStock_Log[Part Name],$A58,T_TTAFStock_Log[WeekIndex],7))</f>
        <v/>
      </c>
      <c r="I58" s="17">
        <f>IF(COUNTIFS(T_TTAFStock_Log[Part Name],$A58,T_TTAFStock_Log[WeekIndex],8)=0,"",SUMIFS(T_TTAFStock_Log[TTAF_Qty],T_TTAFStock_Log[Part Name],$A58,T_TTAFStock_Log[WeekIndex],8))</f>
        <v/>
      </c>
      <c r="J58" s="17">
        <f>IF(COUNTIFS(T_TTAFStock_Log[Part Name],$A58,T_TTAFStock_Log[WeekIndex],9)=0,"",SUMIFS(T_TTAFStock_Log[TTAF_Qty],T_TTAFStock_Log[Part Name],$A58,T_TTAFStock_Log[WeekIndex],9))</f>
        <v/>
      </c>
      <c r="K58" s="17">
        <f>IF(COUNTIFS(T_TTAFStock_Log[Part Name],$A58,T_TTAFStock_Log[WeekIndex],10)=0,"",SUMIFS(T_TTAFStock_Log[TTAF_Qty],T_TTAFStock_Log[Part Name],$A58,T_TTAFStock_Log[WeekIndex],10))</f>
        <v/>
      </c>
      <c r="L58" s="17">
        <f>IF(COUNTIFS(T_TTAFStock_Log[Part Name],$A58,T_TTAFStock_Log[WeekIndex],11)=0,"",SUMIFS(T_TTAFStock_Log[TTAF_Qty],T_TTAFStock_Log[Part Name],$A58,T_TTAFStock_Log[WeekIndex],11))</f>
        <v/>
      </c>
      <c r="M58" s="17">
        <f>IF(COUNTIFS(T_TTAFStock_Log[Part Name],$A58,T_TTAFStock_Log[WeekIndex],12)=0,"",SUMIFS(T_TTAFStock_Log[TTAF_Qty],T_TTAFStock_Log[Part Name],$A58,T_TTAFStock_Log[WeekIndex],12))</f>
        <v/>
      </c>
      <c r="N58" s="17">
        <f>IF(COUNTIFS(T_TTAFStock_Log[Part Name],$A58,T_TTAFStock_Log[WeekIndex],13)=0,"",SUMIFS(T_TTAFStock_Log[TTAF_Qty],T_TTAFStock_Log[Part Name],$A58,T_TTAFStock_Log[WeekIndex],13))</f>
        <v/>
      </c>
      <c r="O58" s="17">
        <f>IF(COUNTIFS(T_TTAFStock_Log[Part Name],$A58,T_TTAFStock_Log[WeekIndex],14)=0,"",SUMIFS(T_TTAFStock_Log[TTAF_Qty],T_TTAFStock_Log[Part Name],$A58,T_TTAFStock_Log[WeekIndex],14))</f>
        <v/>
      </c>
      <c r="P58" s="17">
        <f>IF(COUNTIFS(T_TTAFStock_Log[Part Name],$A58,T_TTAFStock_Log[WeekIndex],15)=0,"",SUMIFS(T_TTAFStock_Log[TTAF_Qty],T_TTAFStock_Log[Part Name],$A58,T_TTAFStock_Log[WeekIndex],15))</f>
        <v/>
      </c>
      <c r="Q58" s="17">
        <f>IF(COUNTIFS(T_TTAFStock_Log[Part Name],$A58,T_TTAFStock_Log[WeekIndex],16)=0,"",SUMIFS(T_TTAFStock_Log[TTAF_Qty],T_TTAFStock_Log[Part Name],$A58,T_TTAFStock_Log[WeekIndex],16))</f>
        <v/>
      </c>
      <c r="R58" s="17">
        <f>IF(COUNTIFS(T_TTAFStock_Log[Part Name],$A58,T_TTAFStock_Log[WeekIndex],17)=0,"",SUMIFS(T_TTAFStock_Log[TTAF_Qty],T_TTAFStock_Log[Part Name],$A58,T_TTAFStock_Log[WeekIndex],17))</f>
        <v/>
      </c>
      <c r="S58" s="17">
        <f>IF(COUNTIFS(T_TTAFStock_Log[Part Name],$A58,T_TTAFStock_Log[WeekIndex],18)=0,"",SUMIFS(T_TTAFStock_Log[TTAF_Qty],T_TTAFStock_Log[Part Name],$A58,T_TTAFStock_Log[WeekIndex],18))</f>
        <v/>
      </c>
      <c r="T58" s="17">
        <f>IF(COUNTIFS(T_TTAFStock_Log[Part Name],$A58,T_TTAFStock_Log[WeekIndex],19)=0,"",SUMIFS(T_TTAFStock_Log[TTAF_Qty],T_TTAFStock_Log[Part Name],$A58,T_TTAFStock_Log[WeekIndex],19))</f>
        <v/>
      </c>
      <c r="U58" s="17">
        <f>IF(COUNTIFS(T_TTAFStock_Log[Part Name],$A58,T_TTAFStock_Log[WeekIndex],20)=0,"",SUMIFS(T_TTAFStock_Log[TTAF_Qty],T_TTAFStock_Log[Part Name],$A58,T_TTAFStock_Log[WeekIndex],20))</f>
        <v/>
      </c>
      <c r="V58" s="17">
        <f>IF(COUNTIFS(T_TTAFStock_Log[Part Name],$A58,T_TTAFStock_Log[WeekIndex],21)=0,"",SUMIFS(T_TTAFStock_Log[TTAF_Qty],T_TTAFStock_Log[Part Name],$A58,T_TTAFStock_Log[WeekIndex],21))</f>
        <v/>
      </c>
      <c r="W58" s="17">
        <f>IF(COUNTIFS(T_TTAFStock_Log[Part Name],$A58,T_TTAFStock_Log[WeekIndex],22)=0,"",SUMIFS(T_TTAFStock_Log[TTAF_Qty],T_TTAFStock_Log[Part Name],$A58,T_TTAFStock_Log[WeekIndex],22))</f>
        <v/>
      </c>
      <c r="X58" s="17">
        <f>IF(COUNTIFS(T_TTAFStock_Log[Part Name],$A58,T_TTAFStock_Log[WeekIndex],23)=0,"",SUMIFS(T_TTAFStock_Log[TTAF_Qty],T_TTAFStock_Log[Part Name],$A58,T_TTAFStock_Log[WeekIndex],23))</f>
        <v/>
      </c>
      <c r="Y58" s="17">
        <f>IF(COUNTIFS(T_TTAFStock_Log[Part Name],$A58,T_TTAFStock_Log[WeekIndex],24)=0,"",SUMIFS(T_TTAFStock_Log[TTAF_Qty],T_TTAFStock_Log[Part Name],$A58,T_TTAFStock_Log[WeekIndex],24))</f>
        <v/>
      </c>
      <c r="Z58" s="17">
        <f>IF(COUNTIFS(T_TTAFStock_Log[Part Name],$A58,T_TTAFStock_Log[WeekIndex],25)=0,"",SUMIFS(T_TTAFStock_Log[TTAF_Qty],T_TTAFStock_Log[Part Name],$A58,T_TTAFStock_Log[WeekIndex],25))</f>
        <v/>
      </c>
      <c r="AA58" s="17">
        <f>IF(COUNTIFS(T_TTAFStock_Log[Part Name],$A58,T_TTAFStock_Log[WeekIndex],26)=0,"",SUMIFS(T_TTAFStock_Log[TTAF_Qty],T_TTAFStock_Log[Part Name],$A58,T_TTAFStock_Log[WeekIndex],26))</f>
        <v/>
      </c>
      <c r="AB58" s="17">
        <f>IF(COUNTIFS(T_TTAFStock_Log[Part Name],$A58,T_TTAFStock_Log[WeekIndex],27)=0,"",SUMIFS(T_TTAFStock_Log[TTAF_Qty],T_TTAFStock_Log[Part Name],$A58,T_TTAFStock_Log[WeekIndex],27))</f>
        <v/>
      </c>
      <c r="AC58" s="17">
        <f>IF(COUNTIFS(T_TTAFStock_Log[Part Name],$A58,T_TTAFStock_Log[WeekIndex],28)=0,"",SUMIFS(T_TTAFStock_Log[TTAF_Qty],T_TTAFStock_Log[Part Name],$A58,T_TTAFStock_Log[WeekIndex],28))</f>
        <v/>
      </c>
      <c r="AD58" s="17">
        <f>IF(COUNTIFS(T_TTAFStock_Log[Part Name],$A58,T_TTAFStock_Log[WeekIndex],29)=0,"",SUMIFS(T_TTAFStock_Log[TTAF_Qty],T_TTAFStock_Log[Part Name],$A58,T_TTAFStock_Log[WeekIndex],29))</f>
        <v/>
      </c>
      <c r="AE58" s="17">
        <f>IF(COUNTIFS(T_TTAFStock_Log[Part Name],$A58,T_TTAFStock_Log[WeekIndex],30)=0,"",SUMIFS(T_TTAFStock_Log[TTAF_Qty],T_TTAFStock_Log[Part Name],$A58,T_TTAFStock_Log[WeekIndex],30))</f>
        <v/>
      </c>
      <c r="AF58" s="17">
        <f>IF(COUNTIFS(T_TTAFStock_Log[Part Name],$A58,T_TTAFStock_Log[WeekIndex],31)=0,"",SUMIFS(T_TTAFStock_Log[TTAF_Qty],T_TTAFStock_Log[Part Name],$A58,T_TTAFStock_Log[WeekIndex],31))</f>
        <v/>
      </c>
      <c r="AG58" s="17">
        <f>IF(COUNTIFS(T_TTAFStock_Log[Part Name],$A58,T_TTAFStock_Log[WeekIndex],32)=0,"",SUMIFS(T_TTAFStock_Log[TTAF_Qty],T_TTAFStock_Log[Part Name],$A58,T_TTAFStock_Log[WeekIndex],32))</f>
        <v/>
      </c>
      <c r="AH58" s="17">
        <f>IF(COUNTIFS(T_TTAFStock_Log[Part Name],$A58,T_TTAFStock_Log[WeekIndex],33)=0,"",SUMIFS(T_TTAFStock_Log[TTAF_Qty],T_TTAFStock_Log[Part Name],$A58,T_TTAFStock_Log[WeekIndex],33))</f>
        <v/>
      </c>
      <c r="AI58" s="17">
        <f>IF(COUNTIFS(T_TTAFStock_Log[Part Name],$A58,T_TTAFStock_Log[WeekIndex],34)=0,"",SUMIFS(T_TTAFStock_Log[TTAF_Qty],T_TTAFStock_Log[Part Name],$A58,T_TTAFStock_Log[WeekIndex],34))</f>
        <v/>
      </c>
      <c r="AJ58" s="17">
        <f>IF(COUNTIFS(T_TTAFStock_Log[Part Name],$A58,T_TTAFStock_Log[WeekIndex],35)=0,"",SUMIFS(T_TTAFStock_Log[TTAF_Qty],T_TTAFStock_Log[Part Name],$A58,T_TTAFStock_Log[WeekIndex],35))</f>
        <v/>
      </c>
      <c r="AK58" s="17">
        <f>IF(COUNTIFS(T_TTAFStock_Log[Part Name],$A58,T_TTAFStock_Log[WeekIndex],36)=0,"",SUMIFS(T_TTAFStock_Log[TTAF_Qty],T_TTAFStock_Log[Part Name],$A58,T_TTAFStock_Log[WeekIndex],36))</f>
        <v/>
      </c>
      <c r="AL58" s="17">
        <f>IF(COUNTIFS(T_TTAFStock_Log[Part Name],$A58,T_TTAFStock_Log[WeekIndex],37)=0,"",SUMIFS(T_TTAFStock_Log[TTAF_Qty],T_TTAFStock_Log[Part Name],$A58,T_TTAFStock_Log[WeekIndex],37))</f>
        <v/>
      </c>
      <c r="AM58" s="17">
        <f>IF(COUNTIFS(T_TTAFStock_Log[Part Name],$A58,T_TTAFStock_Log[WeekIndex],38)=0,"",SUMIFS(T_TTAFStock_Log[TTAF_Qty],T_TTAFStock_Log[Part Name],$A58,T_TTAFStock_Log[WeekIndex],38))</f>
        <v/>
      </c>
      <c r="AN58" s="17">
        <f>IF(COUNTIFS(T_TTAFStock_Log[Part Name],$A58,T_TTAFStock_Log[WeekIndex],39)=0,"",SUMIFS(T_TTAFStock_Log[TTAF_Qty],T_TTAFStock_Log[Part Name],$A58,T_TTAFStock_Log[WeekIndex],39))</f>
        <v/>
      </c>
      <c r="AO58" s="17">
        <f>IF(COUNTIFS(T_TTAFStock_Log[Part Name],$A58,T_TTAFStock_Log[WeekIndex],40)=0,"",SUMIFS(T_TTAFStock_Log[TTAF_Qty],T_TTAFStock_Log[Part Name],$A58,T_TTAFStock_Log[WeekIndex],40))</f>
        <v/>
      </c>
      <c r="AP58" s="17">
        <f>IF(COUNTIFS(T_TTAFStock_Log[Part Name],$A58,T_TTAFStock_Log[WeekIndex],41)=0,"",SUMIFS(T_TTAFStock_Log[TTAF_Qty],T_TTAFStock_Log[Part Name],$A58,T_TTAFStock_Log[WeekIndex],41))</f>
        <v/>
      </c>
      <c r="AQ58" s="17">
        <f>IF(COUNTIFS(T_TTAFStock_Log[Part Name],$A58,T_TTAFStock_Log[WeekIndex],42)=0,"",SUMIFS(T_TTAFStock_Log[TTAF_Qty],T_TTAFStock_Log[Part Name],$A58,T_TTAFStock_Log[WeekIndex],42))</f>
        <v/>
      </c>
      <c r="AR58" s="17">
        <f>IF(COUNTIFS(T_TTAFStock_Log[Part Name],$A58,T_TTAFStock_Log[WeekIndex],43)=0,"",SUMIFS(T_TTAFStock_Log[TTAF_Qty],T_TTAFStock_Log[Part Name],$A58,T_TTAFStock_Log[WeekIndex],43))</f>
        <v/>
      </c>
      <c r="AS58" s="17">
        <f>IF(COUNTIFS(T_TTAFStock_Log[Part Name],$A58,T_TTAFStock_Log[WeekIndex],44)=0,"",SUMIFS(T_TTAFStock_Log[TTAF_Qty],T_TTAFStock_Log[Part Name],$A58,T_TTAFStock_Log[WeekIndex],44))</f>
        <v/>
      </c>
      <c r="AT58" s="17">
        <f>IF(COUNTIFS(T_TTAFStock_Log[Part Name],$A58,T_TTAFStock_Log[WeekIndex],45)=0,"",SUMIFS(T_TTAFStock_Log[TTAF_Qty],T_TTAFStock_Log[Part Name],$A58,T_TTAFStock_Log[WeekIndex],45))</f>
        <v/>
      </c>
      <c r="AU58" s="17">
        <f>IF(COUNTIFS(T_TTAFStock_Log[Part Name],$A58,T_TTAFStock_Log[WeekIndex],46)=0,"",SUMIFS(T_TTAFStock_Log[TTAF_Qty],T_TTAFStock_Log[Part Name],$A58,T_TTAFStock_Log[WeekIndex],46))</f>
        <v/>
      </c>
      <c r="AV58" s="17">
        <f>IF(COUNTIFS(T_TTAFStock_Log[Part Name],$A58,T_TTAFStock_Log[WeekIndex],47)=0,"",SUMIFS(T_TTAFStock_Log[TTAF_Qty],T_TTAFStock_Log[Part Name],$A58,T_TTAFStock_Log[WeekIndex],47))</f>
        <v/>
      </c>
      <c r="AW58" s="17">
        <f>IF(COUNTIFS(T_TTAFStock_Log[Part Name],$A58,T_TTAFStock_Log[WeekIndex],48)=0,"",SUMIFS(T_TTAFStock_Log[TTAF_Qty],T_TTAFStock_Log[Part Name],$A58,T_TTAFStock_Log[WeekIndex],48))</f>
        <v/>
      </c>
      <c r="AX58" s="17">
        <f>IF(COUNTIFS(T_TTAFStock_Log[Part Name],$A58,T_TTAFStock_Log[WeekIndex],49)=0,"",SUMIFS(T_TTAFStock_Log[TTAF_Qty],T_TTAFStock_Log[Part Name],$A58,T_TTAFStock_Log[WeekIndex],49))</f>
        <v/>
      </c>
      <c r="AY58" s="17">
        <f>IF(COUNTIFS(T_TTAFStock_Log[Part Name],$A58,T_TTAFStock_Log[WeekIndex],50)=0,"",SUMIFS(T_TTAFStock_Log[TTAF_Qty],T_TTAFStock_Log[Part Name],$A58,T_TTAFStock_Log[WeekIndex],50))</f>
        <v/>
      </c>
      <c r="AZ58" s="17">
        <f>IF(COUNTIFS(T_TTAFStock_Log[Part Name],$A58,T_TTAFStock_Log[WeekIndex],51)=0,"",SUMIFS(T_TTAFStock_Log[TTAF_Qty],T_TTAFStock_Log[Part Name],$A58,T_TTAFStock_Log[WeekIndex],51))</f>
        <v/>
      </c>
      <c r="BA58" s="17">
        <f>IF(COUNTIFS(T_TTAFStock_Log[Part Name],$A58,T_TTAFStock_Log[WeekIndex],52)=0,"",SUMIFS(T_TTAFStock_Log[TTAF_Qty],T_TTAFStock_Log[Part Name],$A58,T_TTAFStock_Log[WeekIndex],52))</f>
        <v/>
      </c>
      <c r="BB58" s="17">
        <f>IF(COUNTIFS(T_TTAFStock_Log[Part Name],$A58,T_TTAFStock_Log[WeekIndex],53)=0,"",SUMIFS(T_TTAFStock_Log[TTAF_Qty],T_TTAFStock_Log[Part Name],$A58,T_TTAFStock_Log[WeekIndex],53))</f>
        <v/>
      </c>
      <c r="BC58" s="17">
        <f>IF(COUNTIFS(T_TTAFStock_Log[Part Name],$A58,T_TTAFStock_Log[WeekIndex],54)=0,"",SUMIFS(T_TTAFStock_Log[TTAF_Qty],T_TTAFStock_Log[Part Name],$A58,T_TTAFStock_Log[WeekIndex],54))</f>
        <v/>
      </c>
      <c r="BD58" s="17">
        <f>IF(COUNTIFS(T_TTAFStock_Log[Part Name],$A58,T_TTAFStock_Log[WeekIndex],55)=0,"",SUMIFS(T_TTAFStock_Log[TTAF_Qty],T_TTAFStock_Log[Part Name],$A58,T_TTAFStock_Log[WeekIndex],55))</f>
        <v/>
      </c>
      <c r="BE58" s="17">
        <f>IF(COUNTIFS(T_TTAFStock_Log[Part Name],$A58,T_TTAFStock_Log[WeekIndex],56)=0,"",SUMIFS(T_TTAFStock_Log[TTAF_Qty],T_TTAFStock_Log[Part Name],$A58,T_TTAFStock_Log[WeekIndex],56))</f>
        <v/>
      </c>
      <c r="BF58" s="17">
        <f>IF(COUNTIFS(T_TTAFStock_Log[Part Name],$A58,T_TTAFStock_Log[WeekIndex],57)=0,"",SUMIFS(T_TTAFStock_Log[TTAF_Qty],T_TTAFStock_Log[Part Name],$A58,T_TTAFStock_Log[WeekIndex],57))</f>
        <v/>
      </c>
      <c r="BG58" s="17">
        <f>IF(COUNTIFS(T_TTAFStock_Log[Part Name],$A58,T_TTAFStock_Log[WeekIndex],58)=0,"",SUMIFS(T_TTAFStock_Log[TTAF_Qty],T_TTAFStock_Log[Part Name],$A58,T_TTAFStock_Log[WeekIndex],58))</f>
        <v/>
      </c>
      <c r="BH58" s="17">
        <f>IF(COUNTIFS(T_TTAFStock_Log[Part Name],$A58,T_TTAFStock_Log[WeekIndex],59)=0,"",SUMIFS(T_TTAFStock_Log[TTAF_Qty],T_TTAFStock_Log[Part Name],$A58,T_TTAFStock_Log[WeekIndex],59))</f>
        <v/>
      </c>
      <c r="BI58" s="17">
        <f>IF(COUNTIFS(T_TTAFStock_Log[Part Name],$A58,T_TTAFStock_Log[WeekIndex],60)=0,"",SUMIFS(T_TTAFStock_Log[TTAF_Qty],T_TTAFStock_Log[Part Name],$A58,T_TTAFStock_Log[WeekIndex],60))</f>
        <v/>
      </c>
      <c r="BJ58" s="17">
        <f>IF(COUNTIFS(T_TTAFStock_Log[Part Name],$A58,T_TTAFStock_Log[WeekIndex],61)=0,"",SUMIFS(T_TTAFStock_Log[TTAF_Qty],T_TTAFStock_Log[Part Name],$A58,T_TTAFStock_Log[WeekIndex],61))</f>
        <v/>
      </c>
      <c r="BK58" s="17">
        <f>IF(COUNTIFS(T_TTAFStock_Log[Part Name],$A58,T_TTAFStock_Log[WeekIndex],62)=0,"",SUMIFS(T_TTAFStock_Log[TTAF_Qty],T_TTAFStock_Log[Part Name],$A58,T_TTAFStock_Log[WeekIndex],62))</f>
        <v/>
      </c>
      <c r="BL58" s="17">
        <f>IF(COUNTIFS(T_TTAFStock_Log[Part Name],$A58,T_TTAFStock_Log[WeekIndex],63)=0,"",SUMIFS(T_TTAFStock_Log[TTAF_Qty],T_TTAFStock_Log[Part Name],$A58,T_TTAFStock_Log[WeekIndex],63))</f>
        <v/>
      </c>
      <c r="BM58" s="17">
        <f>IF(COUNTIFS(T_TTAFStock_Log[Part Name],$A58,T_TTAFStock_Log[WeekIndex],64)=0,"",SUMIFS(T_TTAFStock_Log[TTAF_Qty],T_TTAFStock_Log[Part Name],$A58,T_TTAFStock_Log[WeekIndex],64))</f>
        <v/>
      </c>
      <c r="BN58" s="17">
        <f>IF(COUNTIFS(T_TTAFStock_Log[Part Name],$A58,T_TTAFStock_Log[WeekIndex],65)=0,"",SUMIFS(T_TTAFStock_Log[TTAF_Qty],T_TTAFStock_Log[Part Name],$A58,T_TTAFStock_Log[WeekIndex],65))</f>
        <v/>
      </c>
      <c r="BO58" s="17">
        <f>IF(COUNTIFS(T_TTAFStock_Log[Part Name],$A58,T_TTAFStock_Log[WeekIndex],66)=0,"",SUMIFS(T_TTAFStock_Log[TTAF_Qty],T_TTAFStock_Log[Part Name],$A58,T_TTAFStock_Log[WeekIndex],66))</f>
        <v/>
      </c>
      <c r="BP58" s="17">
        <f>IF(COUNTIFS(T_TTAFStock_Log[Part Name],$A58,T_TTAFStock_Log[WeekIndex],67)=0,"",SUMIFS(T_TTAFStock_Log[TTAF_Qty],T_TTAFStock_Log[Part Name],$A58,T_TTAFStock_Log[WeekIndex],67))</f>
        <v/>
      </c>
      <c r="BQ58" s="17">
        <f>IF(COUNTIFS(T_TTAFStock_Log[Part Name],$A58,T_TTAFStock_Log[WeekIndex],68)=0,"",SUMIFS(T_TTAFStock_Log[TTAF_Qty],T_TTAFStock_Log[Part Name],$A58,T_TTAFStock_Log[WeekIndex],68))</f>
        <v/>
      </c>
      <c r="BR58" s="17">
        <f>IF(COUNTIFS(T_TTAFStock_Log[Part Name],$A58,T_TTAFStock_Log[WeekIndex],69)=0,"",SUMIFS(T_TTAFStock_Log[TTAF_Qty],T_TTAFStock_Log[Part Name],$A58,T_TTAFStock_Log[WeekIndex],69))</f>
        <v/>
      </c>
      <c r="BS58" s="17">
        <f>IF(COUNTIFS(T_TTAFStock_Log[Part Name],$A58,T_TTAFStock_Log[WeekIndex],70)=0,"",SUMIFS(T_TTAFStock_Log[TTAF_Qty],T_TTAFStock_Log[Part Name],$A58,T_TTAFStock_Log[WeekIndex],70))</f>
        <v/>
      </c>
      <c r="BT58" s="17">
        <f>IF(COUNTIFS(T_TTAFStock_Log[Part Name],$A58,T_TTAFStock_Log[WeekIndex],71)=0,"",SUMIFS(T_TTAFStock_Log[TTAF_Qty],T_TTAFStock_Log[Part Name],$A58,T_TTAFStock_Log[WeekIndex],71))</f>
        <v/>
      </c>
      <c r="BU58" s="17">
        <f>IF(COUNTIFS(T_TTAFStock_Log[Part Name],$A58,T_TTAFStock_Log[WeekIndex],72)=0,"",SUMIFS(T_TTAFStock_Log[TTAF_Qty],T_TTAFStock_Log[Part Name],$A58,T_TTAFStock_Log[WeekIndex],72))</f>
        <v/>
      </c>
      <c r="BV58" s="17">
        <f>IF(COUNTIFS(T_TTAFStock_Log[Part Name],$A58,T_TTAFStock_Log[WeekIndex],73)=0,"",SUMIFS(T_TTAFStock_Log[TTAF_Qty],T_TTAFStock_Log[Part Name],$A58,T_TTAFStock_Log[WeekIndex],73))</f>
        <v/>
      </c>
      <c r="BW58" s="17">
        <f>IF(COUNTIFS(T_TTAFStock_Log[Part Name],$A58,T_TTAFStock_Log[WeekIndex],74)=0,"",SUMIFS(T_TTAFStock_Log[TTAF_Qty],T_TTAFStock_Log[Part Name],$A58,T_TTAFStock_Log[WeekIndex],74))</f>
        <v/>
      </c>
      <c r="BX58" s="17">
        <f>IF(COUNTIFS(T_TTAFStock_Log[Part Name],$A58,T_TTAFStock_Log[WeekIndex],75)=0,"",SUMIFS(T_TTAFStock_Log[TTAF_Qty],T_TTAFStock_Log[Part Name],$A58,T_TTAFStock_Log[WeekIndex],75))</f>
        <v/>
      </c>
      <c r="BY58" s="17">
        <f>IF(COUNTIFS(T_TTAFStock_Log[Part Name],$A58,T_TTAFStock_Log[WeekIndex],76)=0,"",SUMIFS(T_TTAFStock_Log[TTAF_Qty],T_TTAFStock_Log[Part Name],$A58,T_TTAFStock_Log[WeekIndex],76))</f>
        <v/>
      </c>
      <c r="BZ58" s="17">
        <f>IF(COUNTIFS(T_TTAFStock_Log[Part Name],$A58,T_TTAFStock_Log[WeekIndex],77)=0,"",SUMIFS(T_TTAFStock_Log[TTAF_Qty],T_TTAFStock_Log[Part Name],$A58,T_TTAFStock_Log[WeekIndex],77))</f>
        <v/>
      </c>
      <c r="CA58" s="17">
        <f>IF(COUNTIFS(T_TTAFStock_Log[Part Name],$A58,T_TTAFStock_Log[WeekIndex],78)=0,"",SUMIFS(T_TTAFStock_Log[TTAF_Qty],T_TTAFStock_Log[Part Name],$A58,T_TTAFStock_Log[WeekIndex],78))</f>
        <v/>
      </c>
      <c r="CB58" s="17">
        <f>IF(COUNTIFS(T_TTAFStock_Log[Part Name],$A58,T_TTAFStock_Log[WeekIndex],79)=0,"",SUMIFS(T_TTAFStock_Log[TTAF_Qty],T_TTAFStock_Log[Part Name],$A58,T_TTAFStock_Log[WeekIndex],79))</f>
        <v/>
      </c>
      <c r="CC58" s="17">
        <f>IF(COUNTIFS(T_TTAFStock_Log[Part Name],$A58,T_TTAFStock_Log[WeekIndex],80)=0,"",SUMIFS(T_TTAFStock_Log[TTAF_Qty],T_TTAFStock_Log[Part Name],$A58,T_TTAFStock_Log[WeekIndex],80))</f>
        <v/>
      </c>
      <c r="CD58" s="17">
        <f>IF(COUNTIFS(T_TTAFStock_Log[Part Name],$A58,T_TTAFStock_Log[WeekIndex],81)=0,"",SUMIFS(T_TTAFStock_Log[TTAF_Qty],T_TTAFStock_Log[Part Name],$A58,T_TTAFStock_Log[WeekIndex],81))</f>
        <v/>
      </c>
      <c r="CE58" s="17">
        <f>IF(COUNTIFS(T_TTAFStock_Log[Part Name],$A58,T_TTAFStock_Log[WeekIndex],82)=0,"",SUMIFS(T_TTAFStock_Log[TTAF_Qty],T_TTAFStock_Log[Part Name],$A58,T_TTAFStock_Log[WeekIndex],82))</f>
        <v/>
      </c>
      <c r="CF58" s="17">
        <f>IF(COUNTIFS(T_TTAFStock_Log[Part Name],$A58,T_TTAFStock_Log[WeekIndex],83)=0,"",SUMIFS(T_TTAFStock_Log[TTAF_Qty],T_TTAFStock_Log[Part Name],$A58,T_TTAFStock_Log[WeekIndex],83))</f>
        <v/>
      </c>
      <c r="CG58" s="17">
        <f>IF(COUNTIFS(T_TTAFStock_Log[Part Name],$A58,T_TTAFStock_Log[WeekIndex],84)=0,"",SUMIFS(T_TTAFStock_Log[TTAF_Qty],T_TTAFStock_Log[Part Name],$A58,T_TTAFStock_Log[WeekIndex],84))</f>
        <v/>
      </c>
      <c r="CH58" s="17">
        <f>IF(COUNTIFS(T_TTAFStock_Log[Part Name],$A58,T_TTAFStock_Log[WeekIndex],85)=0,"",SUMIFS(T_TTAFStock_Log[TTAF_Qty],T_TTAFStock_Log[Part Name],$A58,T_TTAFStock_Log[WeekIndex],85))</f>
        <v/>
      </c>
      <c r="CI58" s="17">
        <f>IF(COUNTIFS(T_TTAFStock_Log[Part Name],$A58,T_TTAFStock_Log[WeekIndex],86)=0,"",SUMIFS(T_TTAFStock_Log[TTAF_Qty],T_TTAFStock_Log[Part Name],$A58,T_TTAFStock_Log[WeekIndex],86))</f>
        <v/>
      </c>
      <c r="CJ58" s="17">
        <f>IF(COUNTIFS(T_TTAFStock_Log[Part Name],$A58,T_TTAFStock_Log[WeekIndex],87)=0,"",SUMIFS(T_TTAFStock_Log[TTAF_Qty],T_TTAFStock_Log[Part Name],$A58,T_TTAFStock_Log[WeekIndex],87))</f>
        <v/>
      </c>
      <c r="CK58" s="17">
        <f>IF(COUNTIFS(T_TTAFStock_Log[Part Name],$A58,T_TTAFStock_Log[WeekIndex],88)=0,"",SUMIFS(T_TTAFStock_Log[TTAF_Qty],T_TTAFStock_Log[Part Name],$A58,T_TTAFStock_Log[WeekIndex],88))</f>
        <v/>
      </c>
      <c r="CL58" s="17">
        <f>IF(COUNTIFS(T_TTAFStock_Log[Part Name],$A58,T_TTAFStock_Log[WeekIndex],89)=0,"",SUMIFS(T_TTAFStock_Log[TTAF_Qty],T_TTAFStock_Log[Part Name],$A58,T_TTAFStock_Log[WeekIndex],89))</f>
        <v/>
      </c>
      <c r="CM58" s="17">
        <f>IF(COUNTIFS(T_TTAFStock_Log[Part Name],$A58,T_TTAFStock_Log[WeekIndex],90)=0,"",SUMIFS(T_TTAFStock_Log[TTAF_Qty],T_TTAFStock_Log[Part Name],$A58,T_TTAFStock_Log[WeekIndex],90))</f>
        <v/>
      </c>
      <c r="CN58" s="17">
        <f>IF(COUNTIFS(T_TTAFStock_Log[Part Name],$A58,T_TTAFStock_Log[WeekIndex],91)=0,"",SUMIFS(T_TTAFStock_Log[TTAF_Qty],T_TTAFStock_Log[Part Name],$A58,T_TTAFStock_Log[WeekIndex],91))</f>
        <v/>
      </c>
      <c r="CO58" s="17">
        <f>IF(COUNTIFS(T_TTAFStock_Log[Part Name],$A58,T_TTAFStock_Log[WeekIndex],92)=0,"",SUMIFS(T_TTAFStock_Log[TTAF_Qty],T_TTAFStock_Log[Part Name],$A58,T_TTAFStock_Log[WeekIndex],92))</f>
        <v/>
      </c>
      <c r="CP58" s="17">
        <f>IF(COUNTIFS(T_TTAFStock_Log[Part Name],$A58,T_TTAFStock_Log[WeekIndex],93)=0,"",SUMIFS(T_TTAFStock_Log[TTAF_Qty],T_TTAFStock_Log[Part Name],$A58,T_TTAFStock_Log[WeekIndex],93))</f>
        <v/>
      </c>
      <c r="CQ58" s="17">
        <f>IF(COUNTIFS(T_TTAFStock_Log[Part Name],$A58,T_TTAFStock_Log[WeekIndex],94)=0,"",SUMIFS(T_TTAFStock_Log[TTAF_Qty],T_TTAFStock_Log[Part Name],$A58,T_TTAFStock_Log[WeekIndex],94))</f>
        <v/>
      </c>
      <c r="CR58" s="17">
        <f>IF(COUNTIFS(T_TTAFStock_Log[Part Name],$A58,T_TTAFStock_Log[WeekIndex],95)=0,"",SUMIFS(T_TTAFStock_Log[TTAF_Qty],T_TTAFStock_Log[Part Name],$A58,T_TTAFStock_Log[WeekIndex],95))</f>
        <v/>
      </c>
      <c r="CS58" s="17">
        <f>IF(COUNTIFS(T_TTAFStock_Log[Part Name],$A58,T_TTAFStock_Log[WeekIndex],96)=0,"",SUMIFS(T_TTAFStock_Log[TTAF_Qty],T_TTAFStock_Log[Part Name],$A58,T_TTAFStock_Log[WeekIndex],96))</f>
        <v/>
      </c>
      <c r="CT58" s="17">
        <f>IF(COUNTIFS(T_TTAFStock_Log[Part Name],$A58,T_TTAFStock_Log[WeekIndex],97)=0,"",SUMIFS(T_TTAFStock_Log[TTAF_Qty],T_TTAFStock_Log[Part Name],$A58,T_TTAFStock_Log[WeekIndex],97))</f>
        <v/>
      </c>
      <c r="CU58" s="17">
        <f>IF(COUNTIFS(T_TTAFStock_Log[Part Name],$A58,T_TTAFStock_Log[WeekIndex],98)=0,"",SUMIFS(T_TTAFStock_Log[TTAF_Qty],T_TTAFStock_Log[Part Name],$A58,T_TTAFStock_Log[WeekIndex],98))</f>
        <v/>
      </c>
      <c r="CV58" s="17">
        <f>IF(COUNTIFS(T_TTAFStock_Log[Part Name],$A58,T_TTAFStock_Log[WeekIndex],99)=0,"",SUMIFS(T_TTAFStock_Log[TTAF_Qty],T_TTAFStock_Log[Part Name],$A58,T_TTAFStock_Log[WeekIndex],99))</f>
        <v/>
      </c>
      <c r="CW58" s="17">
        <f>IF(COUNTIFS(T_TTAFStock_Log[Part Name],$A58,T_TTAFStock_Log[WeekIndex],100)=0,"",SUMIFS(T_TTAFStock_Log[TTAF_Qty],T_TTAFStock_Log[Part Name],$A58,T_TTAFStock_Log[WeekIndex],100))</f>
        <v/>
      </c>
      <c r="CX58" s="17">
        <f>IF(COUNTIFS(T_TTAFStock_Log[Part Name],$A58,T_TTAFStock_Log[WeekIndex],101)=0,"",SUMIFS(T_TTAFStock_Log[TTAF_Qty],T_TTAFStock_Log[Part Name],$A58,T_TTAFStock_Log[WeekIndex],101))</f>
        <v/>
      </c>
      <c r="CY58" s="17">
        <f>IF(COUNTIFS(T_TTAFStock_Log[Part Name],$A58,T_TTAFStock_Log[WeekIndex],102)=0,"",SUMIFS(T_TTAFStock_Log[TTAF_Qty],T_TTAFStock_Log[Part Name],$A58,T_TTAFStock_Log[WeekIndex],102))</f>
        <v/>
      </c>
      <c r="CZ58" s="17">
        <f>IF(COUNTIFS(T_TTAFStock_Log[Part Name],$A58,T_TTAFStock_Log[WeekIndex],103)=0,"",SUMIFS(T_TTAFStock_Log[TTAF_Qty],T_TTAFStock_Log[Part Name],$A58,T_TTAFStock_Log[WeekIndex],103))</f>
        <v/>
      </c>
      <c r="DA58" s="17">
        <f>IF(COUNTIFS(T_TTAFStock_Log[Part Name],$A58,T_TTAFStock_Log[WeekIndex],104)=0,"",SUMIFS(T_TTAFStock_Log[TTAF_Qty],T_TTAFStock_Log[Part Name],$A58,T_TTAFStock_Log[WeekIndex],104))</f>
        <v/>
      </c>
    </row>
    <row r="59">
      <c r="A59" s="19" t="inlineStr">
        <is>
          <t>Original Towel</t>
        </is>
      </c>
      <c r="B59" s="19">
        <f>IF(COUNTIFS(T_TTAFStock_Log[Part Name],$A59,T_TTAFStock_Log[WeekIndex],1)=0,"",SUMIFS(T_TTAFStock_Log[TTAF_Qty],T_TTAFStock_Log[Part Name],$A59,T_TTAFStock_Log[WeekIndex],1))</f>
        <v/>
      </c>
      <c r="C59" s="19">
        <f>IF(COUNTIFS(T_TTAFStock_Log[Part Name],$A59,T_TTAFStock_Log[WeekIndex],2)=0,"",SUMIFS(T_TTAFStock_Log[TTAF_Qty],T_TTAFStock_Log[Part Name],$A59,T_TTAFStock_Log[WeekIndex],2))</f>
        <v/>
      </c>
      <c r="D59" s="19">
        <f>IF(COUNTIFS(T_TTAFStock_Log[Part Name],$A59,T_TTAFStock_Log[WeekIndex],3)=0,"",SUMIFS(T_TTAFStock_Log[TTAF_Qty],T_TTAFStock_Log[Part Name],$A59,T_TTAFStock_Log[WeekIndex],3))</f>
        <v/>
      </c>
      <c r="E59" s="19">
        <f>IF(COUNTIFS(T_TTAFStock_Log[Part Name],$A59,T_TTAFStock_Log[WeekIndex],4)=0,"",SUMIFS(T_TTAFStock_Log[TTAF_Qty],T_TTAFStock_Log[Part Name],$A59,T_TTAFStock_Log[WeekIndex],4))</f>
        <v/>
      </c>
      <c r="F59" s="19">
        <f>IF(COUNTIFS(T_TTAFStock_Log[Part Name],$A59,T_TTAFStock_Log[WeekIndex],5)=0,"",SUMIFS(T_TTAFStock_Log[TTAF_Qty],T_TTAFStock_Log[Part Name],$A59,T_TTAFStock_Log[WeekIndex],5))</f>
        <v/>
      </c>
      <c r="G59" s="19">
        <f>IF(COUNTIFS(T_TTAFStock_Log[Part Name],$A59,T_TTAFStock_Log[WeekIndex],6)=0,"",SUMIFS(T_TTAFStock_Log[TTAF_Qty],T_TTAFStock_Log[Part Name],$A59,T_TTAFStock_Log[WeekIndex],6))</f>
        <v/>
      </c>
      <c r="H59" s="19">
        <f>IF(COUNTIFS(T_TTAFStock_Log[Part Name],$A59,T_TTAFStock_Log[WeekIndex],7)=0,"",SUMIFS(T_TTAFStock_Log[TTAF_Qty],T_TTAFStock_Log[Part Name],$A59,T_TTAFStock_Log[WeekIndex],7))</f>
        <v/>
      </c>
      <c r="I59" s="19">
        <f>IF(COUNTIFS(T_TTAFStock_Log[Part Name],$A59,T_TTAFStock_Log[WeekIndex],8)=0,"",SUMIFS(T_TTAFStock_Log[TTAF_Qty],T_TTAFStock_Log[Part Name],$A59,T_TTAFStock_Log[WeekIndex],8))</f>
        <v/>
      </c>
      <c r="J59" s="19">
        <f>IF(COUNTIFS(T_TTAFStock_Log[Part Name],$A59,T_TTAFStock_Log[WeekIndex],9)=0,"",SUMIFS(T_TTAFStock_Log[TTAF_Qty],T_TTAFStock_Log[Part Name],$A59,T_TTAFStock_Log[WeekIndex],9))</f>
        <v/>
      </c>
      <c r="K59" s="19">
        <f>IF(COUNTIFS(T_TTAFStock_Log[Part Name],$A59,T_TTAFStock_Log[WeekIndex],10)=0,"",SUMIFS(T_TTAFStock_Log[TTAF_Qty],T_TTAFStock_Log[Part Name],$A59,T_TTAFStock_Log[WeekIndex],10))</f>
        <v/>
      </c>
      <c r="L59" s="19">
        <f>IF(COUNTIFS(T_TTAFStock_Log[Part Name],$A59,T_TTAFStock_Log[WeekIndex],11)=0,"",SUMIFS(T_TTAFStock_Log[TTAF_Qty],T_TTAFStock_Log[Part Name],$A59,T_TTAFStock_Log[WeekIndex],11))</f>
        <v/>
      </c>
      <c r="M59" s="19">
        <f>IF(COUNTIFS(T_TTAFStock_Log[Part Name],$A59,T_TTAFStock_Log[WeekIndex],12)=0,"",SUMIFS(T_TTAFStock_Log[TTAF_Qty],T_TTAFStock_Log[Part Name],$A59,T_TTAFStock_Log[WeekIndex],12))</f>
        <v/>
      </c>
      <c r="N59" s="19">
        <f>IF(COUNTIFS(T_TTAFStock_Log[Part Name],$A59,T_TTAFStock_Log[WeekIndex],13)=0,"",SUMIFS(T_TTAFStock_Log[TTAF_Qty],T_TTAFStock_Log[Part Name],$A59,T_TTAFStock_Log[WeekIndex],13))</f>
        <v/>
      </c>
      <c r="O59" s="19">
        <f>IF(COUNTIFS(T_TTAFStock_Log[Part Name],$A59,T_TTAFStock_Log[WeekIndex],14)=0,"",SUMIFS(T_TTAFStock_Log[TTAF_Qty],T_TTAFStock_Log[Part Name],$A59,T_TTAFStock_Log[WeekIndex],14))</f>
        <v/>
      </c>
      <c r="P59" s="19">
        <f>IF(COUNTIFS(T_TTAFStock_Log[Part Name],$A59,T_TTAFStock_Log[WeekIndex],15)=0,"",SUMIFS(T_TTAFStock_Log[TTAF_Qty],T_TTAFStock_Log[Part Name],$A59,T_TTAFStock_Log[WeekIndex],15))</f>
        <v/>
      </c>
      <c r="Q59" s="19">
        <f>IF(COUNTIFS(T_TTAFStock_Log[Part Name],$A59,T_TTAFStock_Log[WeekIndex],16)=0,"",SUMIFS(T_TTAFStock_Log[TTAF_Qty],T_TTAFStock_Log[Part Name],$A59,T_TTAFStock_Log[WeekIndex],16))</f>
        <v/>
      </c>
      <c r="R59" s="19">
        <f>IF(COUNTIFS(T_TTAFStock_Log[Part Name],$A59,T_TTAFStock_Log[WeekIndex],17)=0,"",SUMIFS(T_TTAFStock_Log[TTAF_Qty],T_TTAFStock_Log[Part Name],$A59,T_TTAFStock_Log[WeekIndex],17))</f>
        <v/>
      </c>
      <c r="S59" s="19">
        <f>IF(COUNTIFS(T_TTAFStock_Log[Part Name],$A59,T_TTAFStock_Log[WeekIndex],18)=0,"",SUMIFS(T_TTAFStock_Log[TTAF_Qty],T_TTAFStock_Log[Part Name],$A59,T_TTAFStock_Log[WeekIndex],18))</f>
        <v/>
      </c>
      <c r="T59" s="19">
        <f>IF(COUNTIFS(T_TTAFStock_Log[Part Name],$A59,T_TTAFStock_Log[WeekIndex],19)=0,"",SUMIFS(T_TTAFStock_Log[TTAF_Qty],T_TTAFStock_Log[Part Name],$A59,T_TTAFStock_Log[WeekIndex],19))</f>
        <v/>
      </c>
      <c r="U59" s="19">
        <f>IF(COUNTIFS(T_TTAFStock_Log[Part Name],$A59,T_TTAFStock_Log[WeekIndex],20)=0,"",SUMIFS(T_TTAFStock_Log[TTAF_Qty],T_TTAFStock_Log[Part Name],$A59,T_TTAFStock_Log[WeekIndex],20))</f>
        <v/>
      </c>
      <c r="V59" s="19">
        <f>IF(COUNTIFS(T_TTAFStock_Log[Part Name],$A59,T_TTAFStock_Log[WeekIndex],21)=0,"",SUMIFS(T_TTAFStock_Log[TTAF_Qty],T_TTAFStock_Log[Part Name],$A59,T_TTAFStock_Log[WeekIndex],21))</f>
        <v/>
      </c>
      <c r="W59" s="19">
        <f>IF(COUNTIFS(T_TTAFStock_Log[Part Name],$A59,T_TTAFStock_Log[WeekIndex],22)=0,"",SUMIFS(T_TTAFStock_Log[TTAF_Qty],T_TTAFStock_Log[Part Name],$A59,T_TTAFStock_Log[WeekIndex],22))</f>
        <v/>
      </c>
      <c r="X59" s="19">
        <f>IF(COUNTIFS(T_TTAFStock_Log[Part Name],$A59,T_TTAFStock_Log[WeekIndex],23)=0,"",SUMIFS(T_TTAFStock_Log[TTAF_Qty],T_TTAFStock_Log[Part Name],$A59,T_TTAFStock_Log[WeekIndex],23))</f>
        <v/>
      </c>
      <c r="Y59" s="19">
        <f>IF(COUNTIFS(T_TTAFStock_Log[Part Name],$A59,T_TTAFStock_Log[WeekIndex],24)=0,"",SUMIFS(T_TTAFStock_Log[TTAF_Qty],T_TTAFStock_Log[Part Name],$A59,T_TTAFStock_Log[WeekIndex],24))</f>
        <v/>
      </c>
      <c r="Z59" s="19">
        <f>IF(COUNTIFS(T_TTAFStock_Log[Part Name],$A59,T_TTAFStock_Log[WeekIndex],25)=0,"",SUMIFS(T_TTAFStock_Log[TTAF_Qty],T_TTAFStock_Log[Part Name],$A59,T_TTAFStock_Log[WeekIndex],25))</f>
        <v/>
      </c>
      <c r="AA59" s="19">
        <f>IF(COUNTIFS(T_TTAFStock_Log[Part Name],$A59,T_TTAFStock_Log[WeekIndex],26)=0,"",SUMIFS(T_TTAFStock_Log[TTAF_Qty],T_TTAFStock_Log[Part Name],$A59,T_TTAFStock_Log[WeekIndex],26))</f>
        <v/>
      </c>
      <c r="AB59" s="19">
        <f>IF(COUNTIFS(T_TTAFStock_Log[Part Name],$A59,T_TTAFStock_Log[WeekIndex],27)=0,"",SUMIFS(T_TTAFStock_Log[TTAF_Qty],T_TTAFStock_Log[Part Name],$A59,T_TTAFStock_Log[WeekIndex],27))</f>
        <v/>
      </c>
      <c r="AC59" s="19">
        <f>IF(COUNTIFS(T_TTAFStock_Log[Part Name],$A59,T_TTAFStock_Log[WeekIndex],28)=0,"",SUMIFS(T_TTAFStock_Log[TTAF_Qty],T_TTAFStock_Log[Part Name],$A59,T_TTAFStock_Log[WeekIndex],28))</f>
        <v/>
      </c>
      <c r="AD59" s="19">
        <f>IF(COUNTIFS(T_TTAFStock_Log[Part Name],$A59,T_TTAFStock_Log[WeekIndex],29)=0,"",SUMIFS(T_TTAFStock_Log[TTAF_Qty],T_TTAFStock_Log[Part Name],$A59,T_TTAFStock_Log[WeekIndex],29))</f>
        <v/>
      </c>
      <c r="AE59" s="19">
        <f>IF(COUNTIFS(T_TTAFStock_Log[Part Name],$A59,T_TTAFStock_Log[WeekIndex],30)=0,"",SUMIFS(T_TTAFStock_Log[TTAF_Qty],T_TTAFStock_Log[Part Name],$A59,T_TTAFStock_Log[WeekIndex],30))</f>
        <v/>
      </c>
      <c r="AF59" s="19">
        <f>IF(COUNTIFS(T_TTAFStock_Log[Part Name],$A59,T_TTAFStock_Log[WeekIndex],31)=0,"",SUMIFS(T_TTAFStock_Log[TTAF_Qty],T_TTAFStock_Log[Part Name],$A59,T_TTAFStock_Log[WeekIndex],31))</f>
        <v/>
      </c>
      <c r="AG59" s="19">
        <f>IF(COUNTIFS(T_TTAFStock_Log[Part Name],$A59,T_TTAFStock_Log[WeekIndex],32)=0,"",SUMIFS(T_TTAFStock_Log[TTAF_Qty],T_TTAFStock_Log[Part Name],$A59,T_TTAFStock_Log[WeekIndex],32))</f>
        <v/>
      </c>
      <c r="AH59" s="19">
        <f>IF(COUNTIFS(T_TTAFStock_Log[Part Name],$A59,T_TTAFStock_Log[WeekIndex],33)=0,"",SUMIFS(T_TTAFStock_Log[TTAF_Qty],T_TTAFStock_Log[Part Name],$A59,T_TTAFStock_Log[WeekIndex],33))</f>
        <v/>
      </c>
      <c r="AI59" s="19">
        <f>IF(COUNTIFS(T_TTAFStock_Log[Part Name],$A59,T_TTAFStock_Log[WeekIndex],34)=0,"",SUMIFS(T_TTAFStock_Log[TTAF_Qty],T_TTAFStock_Log[Part Name],$A59,T_TTAFStock_Log[WeekIndex],34))</f>
        <v/>
      </c>
      <c r="AJ59" s="19">
        <f>IF(COUNTIFS(T_TTAFStock_Log[Part Name],$A59,T_TTAFStock_Log[WeekIndex],35)=0,"",SUMIFS(T_TTAFStock_Log[TTAF_Qty],T_TTAFStock_Log[Part Name],$A59,T_TTAFStock_Log[WeekIndex],35))</f>
        <v/>
      </c>
      <c r="AK59" s="19">
        <f>IF(COUNTIFS(T_TTAFStock_Log[Part Name],$A59,T_TTAFStock_Log[WeekIndex],36)=0,"",SUMIFS(T_TTAFStock_Log[TTAF_Qty],T_TTAFStock_Log[Part Name],$A59,T_TTAFStock_Log[WeekIndex],36))</f>
        <v/>
      </c>
      <c r="AL59" s="19">
        <f>IF(COUNTIFS(T_TTAFStock_Log[Part Name],$A59,T_TTAFStock_Log[WeekIndex],37)=0,"",SUMIFS(T_TTAFStock_Log[TTAF_Qty],T_TTAFStock_Log[Part Name],$A59,T_TTAFStock_Log[WeekIndex],37))</f>
        <v/>
      </c>
      <c r="AM59" s="19">
        <f>IF(COUNTIFS(T_TTAFStock_Log[Part Name],$A59,T_TTAFStock_Log[WeekIndex],38)=0,"",SUMIFS(T_TTAFStock_Log[TTAF_Qty],T_TTAFStock_Log[Part Name],$A59,T_TTAFStock_Log[WeekIndex],38))</f>
        <v/>
      </c>
      <c r="AN59" s="19">
        <f>IF(COUNTIFS(T_TTAFStock_Log[Part Name],$A59,T_TTAFStock_Log[WeekIndex],39)=0,"",SUMIFS(T_TTAFStock_Log[TTAF_Qty],T_TTAFStock_Log[Part Name],$A59,T_TTAFStock_Log[WeekIndex],39))</f>
        <v/>
      </c>
      <c r="AO59" s="19">
        <f>IF(COUNTIFS(T_TTAFStock_Log[Part Name],$A59,T_TTAFStock_Log[WeekIndex],40)=0,"",SUMIFS(T_TTAFStock_Log[TTAF_Qty],T_TTAFStock_Log[Part Name],$A59,T_TTAFStock_Log[WeekIndex],40))</f>
        <v/>
      </c>
      <c r="AP59" s="19">
        <f>IF(COUNTIFS(T_TTAFStock_Log[Part Name],$A59,T_TTAFStock_Log[WeekIndex],41)=0,"",SUMIFS(T_TTAFStock_Log[TTAF_Qty],T_TTAFStock_Log[Part Name],$A59,T_TTAFStock_Log[WeekIndex],41))</f>
        <v/>
      </c>
      <c r="AQ59" s="19">
        <f>IF(COUNTIFS(T_TTAFStock_Log[Part Name],$A59,T_TTAFStock_Log[WeekIndex],42)=0,"",SUMIFS(T_TTAFStock_Log[TTAF_Qty],T_TTAFStock_Log[Part Name],$A59,T_TTAFStock_Log[WeekIndex],42))</f>
        <v/>
      </c>
      <c r="AR59" s="19">
        <f>IF(COUNTIFS(T_TTAFStock_Log[Part Name],$A59,T_TTAFStock_Log[WeekIndex],43)=0,"",SUMIFS(T_TTAFStock_Log[TTAF_Qty],T_TTAFStock_Log[Part Name],$A59,T_TTAFStock_Log[WeekIndex],43))</f>
        <v/>
      </c>
      <c r="AS59" s="19">
        <f>IF(COUNTIFS(T_TTAFStock_Log[Part Name],$A59,T_TTAFStock_Log[WeekIndex],44)=0,"",SUMIFS(T_TTAFStock_Log[TTAF_Qty],T_TTAFStock_Log[Part Name],$A59,T_TTAFStock_Log[WeekIndex],44))</f>
        <v/>
      </c>
      <c r="AT59" s="19">
        <f>IF(COUNTIFS(T_TTAFStock_Log[Part Name],$A59,T_TTAFStock_Log[WeekIndex],45)=0,"",SUMIFS(T_TTAFStock_Log[TTAF_Qty],T_TTAFStock_Log[Part Name],$A59,T_TTAFStock_Log[WeekIndex],45))</f>
        <v/>
      </c>
      <c r="AU59" s="19">
        <f>IF(COUNTIFS(T_TTAFStock_Log[Part Name],$A59,T_TTAFStock_Log[WeekIndex],46)=0,"",SUMIFS(T_TTAFStock_Log[TTAF_Qty],T_TTAFStock_Log[Part Name],$A59,T_TTAFStock_Log[WeekIndex],46))</f>
        <v/>
      </c>
      <c r="AV59" s="19">
        <f>IF(COUNTIFS(T_TTAFStock_Log[Part Name],$A59,T_TTAFStock_Log[WeekIndex],47)=0,"",SUMIFS(T_TTAFStock_Log[TTAF_Qty],T_TTAFStock_Log[Part Name],$A59,T_TTAFStock_Log[WeekIndex],47))</f>
        <v/>
      </c>
      <c r="AW59" s="19">
        <f>IF(COUNTIFS(T_TTAFStock_Log[Part Name],$A59,T_TTAFStock_Log[WeekIndex],48)=0,"",SUMIFS(T_TTAFStock_Log[TTAF_Qty],T_TTAFStock_Log[Part Name],$A59,T_TTAFStock_Log[WeekIndex],48))</f>
        <v/>
      </c>
      <c r="AX59" s="19">
        <f>IF(COUNTIFS(T_TTAFStock_Log[Part Name],$A59,T_TTAFStock_Log[WeekIndex],49)=0,"",SUMIFS(T_TTAFStock_Log[TTAF_Qty],T_TTAFStock_Log[Part Name],$A59,T_TTAFStock_Log[WeekIndex],49))</f>
        <v/>
      </c>
      <c r="AY59" s="19">
        <f>IF(COUNTIFS(T_TTAFStock_Log[Part Name],$A59,T_TTAFStock_Log[WeekIndex],50)=0,"",SUMIFS(T_TTAFStock_Log[TTAF_Qty],T_TTAFStock_Log[Part Name],$A59,T_TTAFStock_Log[WeekIndex],50))</f>
        <v/>
      </c>
      <c r="AZ59" s="19">
        <f>IF(COUNTIFS(T_TTAFStock_Log[Part Name],$A59,T_TTAFStock_Log[WeekIndex],51)=0,"",SUMIFS(T_TTAFStock_Log[TTAF_Qty],T_TTAFStock_Log[Part Name],$A59,T_TTAFStock_Log[WeekIndex],51))</f>
        <v/>
      </c>
      <c r="BA59" s="19">
        <f>IF(COUNTIFS(T_TTAFStock_Log[Part Name],$A59,T_TTAFStock_Log[WeekIndex],52)=0,"",SUMIFS(T_TTAFStock_Log[TTAF_Qty],T_TTAFStock_Log[Part Name],$A59,T_TTAFStock_Log[WeekIndex],52))</f>
        <v/>
      </c>
      <c r="BB59" s="19">
        <f>IF(COUNTIFS(T_TTAFStock_Log[Part Name],$A59,T_TTAFStock_Log[WeekIndex],53)=0,"",SUMIFS(T_TTAFStock_Log[TTAF_Qty],T_TTAFStock_Log[Part Name],$A59,T_TTAFStock_Log[WeekIndex],53))</f>
        <v/>
      </c>
      <c r="BC59" s="19">
        <f>IF(COUNTIFS(T_TTAFStock_Log[Part Name],$A59,T_TTAFStock_Log[WeekIndex],54)=0,"",SUMIFS(T_TTAFStock_Log[TTAF_Qty],T_TTAFStock_Log[Part Name],$A59,T_TTAFStock_Log[WeekIndex],54))</f>
        <v/>
      </c>
      <c r="BD59" s="19">
        <f>IF(COUNTIFS(T_TTAFStock_Log[Part Name],$A59,T_TTAFStock_Log[WeekIndex],55)=0,"",SUMIFS(T_TTAFStock_Log[TTAF_Qty],T_TTAFStock_Log[Part Name],$A59,T_TTAFStock_Log[WeekIndex],55))</f>
        <v/>
      </c>
      <c r="BE59" s="19">
        <f>IF(COUNTIFS(T_TTAFStock_Log[Part Name],$A59,T_TTAFStock_Log[WeekIndex],56)=0,"",SUMIFS(T_TTAFStock_Log[TTAF_Qty],T_TTAFStock_Log[Part Name],$A59,T_TTAFStock_Log[WeekIndex],56))</f>
        <v/>
      </c>
      <c r="BF59" s="19">
        <f>IF(COUNTIFS(T_TTAFStock_Log[Part Name],$A59,T_TTAFStock_Log[WeekIndex],57)=0,"",SUMIFS(T_TTAFStock_Log[TTAF_Qty],T_TTAFStock_Log[Part Name],$A59,T_TTAFStock_Log[WeekIndex],57))</f>
        <v/>
      </c>
      <c r="BG59" s="19">
        <f>IF(COUNTIFS(T_TTAFStock_Log[Part Name],$A59,T_TTAFStock_Log[WeekIndex],58)=0,"",SUMIFS(T_TTAFStock_Log[TTAF_Qty],T_TTAFStock_Log[Part Name],$A59,T_TTAFStock_Log[WeekIndex],58))</f>
        <v/>
      </c>
      <c r="BH59" s="19">
        <f>IF(COUNTIFS(T_TTAFStock_Log[Part Name],$A59,T_TTAFStock_Log[WeekIndex],59)=0,"",SUMIFS(T_TTAFStock_Log[TTAF_Qty],T_TTAFStock_Log[Part Name],$A59,T_TTAFStock_Log[WeekIndex],59))</f>
        <v/>
      </c>
      <c r="BI59" s="19">
        <f>IF(COUNTIFS(T_TTAFStock_Log[Part Name],$A59,T_TTAFStock_Log[WeekIndex],60)=0,"",SUMIFS(T_TTAFStock_Log[TTAF_Qty],T_TTAFStock_Log[Part Name],$A59,T_TTAFStock_Log[WeekIndex],60))</f>
        <v/>
      </c>
      <c r="BJ59" s="19">
        <f>IF(COUNTIFS(T_TTAFStock_Log[Part Name],$A59,T_TTAFStock_Log[WeekIndex],61)=0,"",SUMIFS(T_TTAFStock_Log[TTAF_Qty],T_TTAFStock_Log[Part Name],$A59,T_TTAFStock_Log[WeekIndex],61))</f>
        <v/>
      </c>
      <c r="BK59" s="19">
        <f>IF(COUNTIFS(T_TTAFStock_Log[Part Name],$A59,T_TTAFStock_Log[WeekIndex],62)=0,"",SUMIFS(T_TTAFStock_Log[TTAF_Qty],T_TTAFStock_Log[Part Name],$A59,T_TTAFStock_Log[WeekIndex],62))</f>
        <v/>
      </c>
      <c r="BL59" s="19">
        <f>IF(COUNTIFS(T_TTAFStock_Log[Part Name],$A59,T_TTAFStock_Log[WeekIndex],63)=0,"",SUMIFS(T_TTAFStock_Log[TTAF_Qty],T_TTAFStock_Log[Part Name],$A59,T_TTAFStock_Log[WeekIndex],63))</f>
        <v/>
      </c>
      <c r="BM59" s="19">
        <f>IF(COUNTIFS(T_TTAFStock_Log[Part Name],$A59,T_TTAFStock_Log[WeekIndex],64)=0,"",SUMIFS(T_TTAFStock_Log[TTAF_Qty],T_TTAFStock_Log[Part Name],$A59,T_TTAFStock_Log[WeekIndex],64))</f>
        <v/>
      </c>
      <c r="BN59" s="19">
        <f>IF(COUNTIFS(T_TTAFStock_Log[Part Name],$A59,T_TTAFStock_Log[WeekIndex],65)=0,"",SUMIFS(T_TTAFStock_Log[TTAF_Qty],T_TTAFStock_Log[Part Name],$A59,T_TTAFStock_Log[WeekIndex],65))</f>
        <v/>
      </c>
      <c r="BO59" s="19">
        <f>IF(COUNTIFS(T_TTAFStock_Log[Part Name],$A59,T_TTAFStock_Log[WeekIndex],66)=0,"",SUMIFS(T_TTAFStock_Log[TTAF_Qty],T_TTAFStock_Log[Part Name],$A59,T_TTAFStock_Log[WeekIndex],66))</f>
        <v/>
      </c>
      <c r="BP59" s="19">
        <f>IF(COUNTIFS(T_TTAFStock_Log[Part Name],$A59,T_TTAFStock_Log[WeekIndex],67)=0,"",SUMIFS(T_TTAFStock_Log[TTAF_Qty],T_TTAFStock_Log[Part Name],$A59,T_TTAFStock_Log[WeekIndex],67))</f>
        <v/>
      </c>
      <c r="BQ59" s="19">
        <f>IF(COUNTIFS(T_TTAFStock_Log[Part Name],$A59,T_TTAFStock_Log[WeekIndex],68)=0,"",SUMIFS(T_TTAFStock_Log[TTAF_Qty],T_TTAFStock_Log[Part Name],$A59,T_TTAFStock_Log[WeekIndex],68))</f>
        <v/>
      </c>
      <c r="BR59" s="19">
        <f>IF(COUNTIFS(T_TTAFStock_Log[Part Name],$A59,T_TTAFStock_Log[WeekIndex],69)=0,"",SUMIFS(T_TTAFStock_Log[TTAF_Qty],T_TTAFStock_Log[Part Name],$A59,T_TTAFStock_Log[WeekIndex],69))</f>
        <v/>
      </c>
      <c r="BS59" s="19">
        <f>IF(COUNTIFS(T_TTAFStock_Log[Part Name],$A59,T_TTAFStock_Log[WeekIndex],70)=0,"",SUMIFS(T_TTAFStock_Log[TTAF_Qty],T_TTAFStock_Log[Part Name],$A59,T_TTAFStock_Log[WeekIndex],70))</f>
        <v/>
      </c>
      <c r="BT59" s="19">
        <f>IF(COUNTIFS(T_TTAFStock_Log[Part Name],$A59,T_TTAFStock_Log[WeekIndex],71)=0,"",SUMIFS(T_TTAFStock_Log[TTAF_Qty],T_TTAFStock_Log[Part Name],$A59,T_TTAFStock_Log[WeekIndex],71))</f>
        <v/>
      </c>
      <c r="BU59" s="19">
        <f>IF(COUNTIFS(T_TTAFStock_Log[Part Name],$A59,T_TTAFStock_Log[WeekIndex],72)=0,"",SUMIFS(T_TTAFStock_Log[TTAF_Qty],T_TTAFStock_Log[Part Name],$A59,T_TTAFStock_Log[WeekIndex],72))</f>
        <v/>
      </c>
      <c r="BV59" s="19">
        <f>IF(COUNTIFS(T_TTAFStock_Log[Part Name],$A59,T_TTAFStock_Log[WeekIndex],73)=0,"",SUMIFS(T_TTAFStock_Log[TTAF_Qty],T_TTAFStock_Log[Part Name],$A59,T_TTAFStock_Log[WeekIndex],73))</f>
        <v/>
      </c>
      <c r="BW59" s="19">
        <f>IF(COUNTIFS(T_TTAFStock_Log[Part Name],$A59,T_TTAFStock_Log[WeekIndex],74)=0,"",SUMIFS(T_TTAFStock_Log[TTAF_Qty],T_TTAFStock_Log[Part Name],$A59,T_TTAFStock_Log[WeekIndex],74))</f>
        <v/>
      </c>
      <c r="BX59" s="19">
        <f>IF(COUNTIFS(T_TTAFStock_Log[Part Name],$A59,T_TTAFStock_Log[WeekIndex],75)=0,"",SUMIFS(T_TTAFStock_Log[TTAF_Qty],T_TTAFStock_Log[Part Name],$A59,T_TTAFStock_Log[WeekIndex],75))</f>
        <v/>
      </c>
      <c r="BY59" s="19">
        <f>IF(COUNTIFS(T_TTAFStock_Log[Part Name],$A59,T_TTAFStock_Log[WeekIndex],76)=0,"",SUMIFS(T_TTAFStock_Log[TTAF_Qty],T_TTAFStock_Log[Part Name],$A59,T_TTAFStock_Log[WeekIndex],76))</f>
        <v/>
      </c>
      <c r="BZ59" s="19">
        <f>IF(COUNTIFS(T_TTAFStock_Log[Part Name],$A59,T_TTAFStock_Log[WeekIndex],77)=0,"",SUMIFS(T_TTAFStock_Log[TTAF_Qty],T_TTAFStock_Log[Part Name],$A59,T_TTAFStock_Log[WeekIndex],77))</f>
        <v/>
      </c>
      <c r="CA59" s="19">
        <f>IF(COUNTIFS(T_TTAFStock_Log[Part Name],$A59,T_TTAFStock_Log[WeekIndex],78)=0,"",SUMIFS(T_TTAFStock_Log[TTAF_Qty],T_TTAFStock_Log[Part Name],$A59,T_TTAFStock_Log[WeekIndex],78))</f>
        <v/>
      </c>
      <c r="CB59" s="19">
        <f>IF(COUNTIFS(T_TTAFStock_Log[Part Name],$A59,T_TTAFStock_Log[WeekIndex],79)=0,"",SUMIFS(T_TTAFStock_Log[TTAF_Qty],T_TTAFStock_Log[Part Name],$A59,T_TTAFStock_Log[WeekIndex],79))</f>
        <v/>
      </c>
      <c r="CC59" s="19">
        <f>IF(COUNTIFS(T_TTAFStock_Log[Part Name],$A59,T_TTAFStock_Log[WeekIndex],80)=0,"",SUMIFS(T_TTAFStock_Log[TTAF_Qty],T_TTAFStock_Log[Part Name],$A59,T_TTAFStock_Log[WeekIndex],80))</f>
        <v/>
      </c>
      <c r="CD59" s="19">
        <f>IF(COUNTIFS(T_TTAFStock_Log[Part Name],$A59,T_TTAFStock_Log[WeekIndex],81)=0,"",SUMIFS(T_TTAFStock_Log[TTAF_Qty],T_TTAFStock_Log[Part Name],$A59,T_TTAFStock_Log[WeekIndex],81))</f>
        <v/>
      </c>
      <c r="CE59" s="19">
        <f>IF(COUNTIFS(T_TTAFStock_Log[Part Name],$A59,T_TTAFStock_Log[WeekIndex],82)=0,"",SUMIFS(T_TTAFStock_Log[TTAF_Qty],T_TTAFStock_Log[Part Name],$A59,T_TTAFStock_Log[WeekIndex],82))</f>
        <v/>
      </c>
      <c r="CF59" s="19">
        <f>IF(COUNTIFS(T_TTAFStock_Log[Part Name],$A59,T_TTAFStock_Log[WeekIndex],83)=0,"",SUMIFS(T_TTAFStock_Log[TTAF_Qty],T_TTAFStock_Log[Part Name],$A59,T_TTAFStock_Log[WeekIndex],83))</f>
        <v/>
      </c>
      <c r="CG59" s="19">
        <f>IF(COUNTIFS(T_TTAFStock_Log[Part Name],$A59,T_TTAFStock_Log[WeekIndex],84)=0,"",SUMIFS(T_TTAFStock_Log[TTAF_Qty],T_TTAFStock_Log[Part Name],$A59,T_TTAFStock_Log[WeekIndex],84))</f>
        <v/>
      </c>
      <c r="CH59" s="19">
        <f>IF(COUNTIFS(T_TTAFStock_Log[Part Name],$A59,T_TTAFStock_Log[WeekIndex],85)=0,"",SUMIFS(T_TTAFStock_Log[TTAF_Qty],T_TTAFStock_Log[Part Name],$A59,T_TTAFStock_Log[WeekIndex],85))</f>
        <v/>
      </c>
      <c r="CI59" s="19">
        <f>IF(COUNTIFS(T_TTAFStock_Log[Part Name],$A59,T_TTAFStock_Log[WeekIndex],86)=0,"",SUMIFS(T_TTAFStock_Log[TTAF_Qty],T_TTAFStock_Log[Part Name],$A59,T_TTAFStock_Log[WeekIndex],86))</f>
        <v/>
      </c>
      <c r="CJ59" s="19">
        <f>IF(COUNTIFS(T_TTAFStock_Log[Part Name],$A59,T_TTAFStock_Log[WeekIndex],87)=0,"",SUMIFS(T_TTAFStock_Log[TTAF_Qty],T_TTAFStock_Log[Part Name],$A59,T_TTAFStock_Log[WeekIndex],87))</f>
        <v/>
      </c>
      <c r="CK59" s="19">
        <f>IF(COUNTIFS(T_TTAFStock_Log[Part Name],$A59,T_TTAFStock_Log[WeekIndex],88)=0,"",SUMIFS(T_TTAFStock_Log[TTAF_Qty],T_TTAFStock_Log[Part Name],$A59,T_TTAFStock_Log[WeekIndex],88))</f>
        <v/>
      </c>
      <c r="CL59" s="19">
        <f>IF(COUNTIFS(T_TTAFStock_Log[Part Name],$A59,T_TTAFStock_Log[WeekIndex],89)=0,"",SUMIFS(T_TTAFStock_Log[TTAF_Qty],T_TTAFStock_Log[Part Name],$A59,T_TTAFStock_Log[WeekIndex],89))</f>
        <v/>
      </c>
      <c r="CM59" s="19">
        <f>IF(COUNTIFS(T_TTAFStock_Log[Part Name],$A59,T_TTAFStock_Log[WeekIndex],90)=0,"",SUMIFS(T_TTAFStock_Log[TTAF_Qty],T_TTAFStock_Log[Part Name],$A59,T_TTAFStock_Log[WeekIndex],90))</f>
        <v/>
      </c>
      <c r="CN59" s="19">
        <f>IF(COUNTIFS(T_TTAFStock_Log[Part Name],$A59,T_TTAFStock_Log[WeekIndex],91)=0,"",SUMIFS(T_TTAFStock_Log[TTAF_Qty],T_TTAFStock_Log[Part Name],$A59,T_TTAFStock_Log[WeekIndex],91))</f>
        <v/>
      </c>
      <c r="CO59" s="19">
        <f>IF(COUNTIFS(T_TTAFStock_Log[Part Name],$A59,T_TTAFStock_Log[WeekIndex],92)=0,"",SUMIFS(T_TTAFStock_Log[TTAF_Qty],T_TTAFStock_Log[Part Name],$A59,T_TTAFStock_Log[WeekIndex],92))</f>
        <v/>
      </c>
      <c r="CP59" s="19">
        <f>IF(COUNTIFS(T_TTAFStock_Log[Part Name],$A59,T_TTAFStock_Log[WeekIndex],93)=0,"",SUMIFS(T_TTAFStock_Log[TTAF_Qty],T_TTAFStock_Log[Part Name],$A59,T_TTAFStock_Log[WeekIndex],93))</f>
        <v/>
      </c>
      <c r="CQ59" s="19">
        <f>IF(COUNTIFS(T_TTAFStock_Log[Part Name],$A59,T_TTAFStock_Log[WeekIndex],94)=0,"",SUMIFS(T_TTAFStock_Log[TTAF_Qty],T_TTAFStock_Log[Part Name],$A59,T_TTAFStock_Log[WeekIndex],94))</f>
        <v/>
      </c>
      <c r="CR59" s="19">
        <f>IF(COUNTIFS(T_TTAFStock_Log[Part Name],$A59,T_TTAFStock_Log[WeekIndex],95)=0,"",SUMIFS(T_TTAFStock_Log[TTAF_Qty],T_TTAFStock_Log[Part Name],$A59,T_TTAFStock_Log[WeekIndex],95))</f>
        <v/>
      </c>
      <c r="CS59" s="19">
        <f>IF(COUNTIFS(T_TTAFStock_Log[Part Name],$A59,T_TTAFStock_Log[WeekIndex],96)=0,"",SUMIFS(T_TTAFStock_Log[TTAF_Qty],T_TTAFStock_Log[Part Name],$A59,T_TTAFStock_Log[WeekIndex],96))</f>
        <v/>
      </c>
      <c r="CT59" s="19">
        <f>IF(COUNTIFS(T_TTAFStock_Log[Part Name],$A59,T_TTAFStock_Log[WeekIndex],97)=0,"",SUMIFS(T_TTAFStock_Log[TTAF_Qty],T_TTAFStock_Log[Part Name],$A59,T_TTAFStock_Log[WeekIndex],97))</f>
        <v/>
      </c>
      <c r="CU59" s="19">
        <f>IF(COUNTIFS(T_TTAFStock_Log[Part Name],$A59,T_TTAFStock_Log[WeekIndex],98)=0,"",SUMIFS(T_TTAFStock_Log[TTAF_Qty],T_TTAFStock_Log[Part Name],$A59,T_TTAFStock_Log[WeekIndex],98))</f>
        <v/>
      </c>
      <c r="CV59" s="19">
        <f>IF(COUNTIFS(T_TTAFStock_Log[Part Name],$A59,T_TTAFStock_Log[WeekIndex],99)=0,"",SUMIFS(T_TTAFStock_Log[TTAF_Qty],T_TTAFStock_Log[Part Name],$A59,T_TTAFStock_Log[WeekIndex],99))</f>
        <v/>
      </c>
      <c r="CW59" s="19">
        <f>IF(COUNTIFS(T_TTAFStock_Log[Part Name],$A59,T_TTAFStock_Log[WeekIndex],100)=0,"",SUMIFS(T_TTAFStock_Log[TTAF_Qty],T_TTAFStock_Log[Part Name],$A59,T_TTAFStock_Log[WeekIndex],100))</f>
        <v/>
      </c>
      <c r="CX59" s="19">
        <f>IF(COUNTIFS(T_TTAFStock_Log[Part Name],$A59,T_TTAFStock_Log[WeekIndex],101)=0,"",SUMIFS(T_TTAFStock_Log[TTAF_Qty],T_TTAFStock_Log[Part Name],$A59,T_TTAFStock_Log[WeekIndex],101))</f>
        <v/>
      </c>
      <c r="CY59" s="19">
        <f>IF(COUNTIFS(T_TTAFStock_Log[Part Name],$A59,T_TTAFStock_Log[WeekIndex],102)=0,"",SUMIFS(T_TTAFStock_Log[TTAF_Qty],T_TTAFStock_Log[Part Name],$A59,T_TTAFStock_Log[WeekIndex],102))</f>
        <v/>
      </c>
      <c r="CZ59" s="19">
        <f>IF(COUNTIFS(T_TTAFStock_Log[Part Name],$A59,T_TTAFStock_Log[WeekIndex],103)=0,"",SUMIFS(T_TTAFStock_Log[TTAF_Qty],T_TTAFStock_Log[Part Name],$A59,T_TTAFStock_Log[WeekIndex],103))</f>
        <v/>
      </c>
      <c r="DA59" s="19">
        <f>IF(COUNTIFS(T_TTAFStock_Log[Part Name],$A59,T_TTAFStock_Log[WeekIndex],104)=0,"",SUMIFS(T_TTAFStock_Log[TTAF_Qty],T_TTAFStock_Log[Part Name],$A59,T_TTAFStock_Log[WeekIndex],104))</f>
        <v/>
      </c>
    </row>
    <row r="60">
      <c r="A60" s="17" t="inlineStr">
        <is>
          <t>PP Film</t>
        </is>
      </c>
      <c r="B60" s="17">
        <f>IF(COUNTIFS(T_TTAFStock_Log[Part Name],$A60,T_TTAFStock_Log[WeekIndex],1)=0,"",SUMIFS(T_TTAFStock_Log[TTAF_Qty],T_TTAFStock_Log[Part Name],$A60,T_TTAFStock_Log[WeekIndex],1))</f>
        <v/>
      </c>
      <c r="C60" s="17">
        <f>IF(COUNTIFS(T_TTAFStock_Log[Part Name],$A60,T_TTAFStock_Log[WeekIndex],2)=0,"",SUMIFS(T_TTAFStock_Log[TTAF_Qty],T_TTAFStock_Log[Part Name],$A60,T_TTAFStock_Log[WeekIndex],2))</f>
        <v/>
      </c>
      <c r="D60" s="17">
        <f>IF(COUNTIFS(T_TTAFStock_Log[Part Name],$A60,T_TTAFStock_Log[WeekIndex],3)=0,"",SUMIFS(T_TTAFStock_Log[TTAF_Qty],T_TTAFStock_Log[Part Name],$A60,T_TTAFStock_Log[WeekIndex],3))</f>
        <v/>
      </c>
      <c r="E60" s="17">
        <f>IF(COUNTIFS(T_TTAFStock_Log[Part Name],$A60,T_TTAFStock_Log[WeekIndex],4)=0,"",SUMIFS(T_TTAFStock_Log[TTAF_Qty],T_TTAFStock_Log[Part Name],$A60,T_TTAFStock_Log[WeekIndex],4))</f>
        <v/>
      </c>
      <c r="F60" s="17">
        <f>IF(COUNTIFS(T_TTAFStock_Log[Part Name],$A60,T_TTAFStock_Log[WeekIndex],5)=0,"",SUMIFS(T_TTAFStock_Log[TTAF_Qty],T_TTAFStock_Log[Part Name],$A60,T_TTAFStock_Log[WeekIndex],5))</f>
        <v/>
      </c>
      <c r="G60" s="17">
        <f>IF(COUNTIFS(T_TTAFStock_Log[Part Name],$A60,T_TTAFStock_Log[WeekIndex],6)=0,"",SUMIFS(T_TTAFStock_Log[TTAF_Qty],T_TTAFStock_Log[Part Name],$A60,T_TTAFStock_Log[WeekIndex],6))</f>
        <v/>
      </c>
      <c r="H60" s="17">
        <f>IF(COUNTIFS(T_TTAFStock_Log[Part Name],$A60,T_TTAFStock_Log[WeekIndex],7)=0,"",SUMIFS(T_TTAFStock_Log[TTAF_Qty],T_TTAFStock_Log[Part Name],$A60,T_TTAFStock_Log[WeekIndex],7))</f>
        <v/>
      </c>
      <c r="I60" s="17">
        <f>IF(COUNTIFS(T_TTAFStock_Log[Part Name],$A60,T_TTAFStock_Log[WeekIndex],8)=0,"",SUMIFS(T_TTAFStock_Log[TTAF_Qty],T_TTAFStock_Log[Part Name],$A60,T_TTAFStock_Log[WeekIndex],8))</f>
        <v/>
      </c>
      <c r="J60" s="17">
        <f>IF(COUNTIFS(T_TTAFStock_Log[Part Name],$A60,T_TTAFStock_Log[WeekIndex],9)=0,"",SUMIFS(T_TTAFStock_Log[TTAF_Qty],T_TTAFStock_Log[Part Name],$A60,T_TTAFStock_Log[WeekIndex],9))</f>
        <v/>
      </c>
      <c r="K60" s="17">
        <f>IF(COUNTIFS(T_TTAFStock_Log[Part Name],$A60,T_TTAFStock_Log[WeekIndex],10)=0,"",SUMIFS(T_TTAFStock_Log[TTAF_Qty],T_TTAFStock_Log[Part Name],$A60,T_TTAFStock_Log[WeekIndex],10))</f>
        <v/>
      </c>
      <c r="L60" s="17">
        <f>IF(COUNTIFS(T_TTAFStock_Log[Part Name],$A60,T_TTAFStock_Log[WeekIndex],11)=0,"",SUMIFS(T_TTAFStock_Log[TTAF_Qty],T_TTAFStock_Log[Part Name],$A60,T_TTAFStock_Log[WeekIndex],11))</f>
        <v/>
      </c>
      <c r="M60" s="17">
        <f>IF(COUNTIFS(T_TTAFStock_Log[Part Name],$A60,T_TTAFStock_Log[WeekIndex],12)=0,"",SUMIFS(T_TTAFStock_Log[TTAF_Qty],T_TTAFStock_Log[Part Name],$A60,T_TTAFStock_Log[WeekIndex],12))</f>
        <v/>
      </c>
      <c r="N60" s="17">
        <f>IF(COUNTIFS(T_TTAFStock_Log[Part Name],$A60,T_TTAFStock_Log[WeekIndex],13)=0,"",SUMIFS(T_TTAFStock_Log[TTAF_Qty],T_TTAFStock_Log[Part Name],$A60,T_TTAFStock_Log[WeekIndex],13))</f>
        <v/>
      </c>
      <c r="O60" s="17">
        <f>IF(COUNTIFS(T_TTAFStock_Log[Part Name],$A60,T_TTAFStock_Log[WeekIndex],14)=0,"",SUMIFS(T_TTAFStock_Log[TTAF_Qty],T_TTAFStock_Log[Part Name],$A60,T_TTAFStock_Log[WeekIndex],14))</f>
        <v/>
      </c>
      <c r="P60" s="17">
        <f>IF(COUNTIFS(T_TTAFStock_Log[Part Name],$A60,T_TTAFStock_Log[WeekIndex],15)=0,"",SUMIFS(T_TTAFStock_Log[TTAF_Qty],T_TTAFStock_Log[Part Name],$A60,T_TTAFStock_Log[WeekIndex],15))</f>
        <v/>
      </c>
      <c r="Q60" s="17">
        <f>IF(COUNTIFS(T_TTAFStock_Log[Part Name],$A60,T_TTAFStock_Log[WeekIndex],16)=0,"",SUMIFS(T_TTAFStock_Log[TTAF_Qty],T_TTAFStock_Log[Part Name],$A60,T_TTAFStock_Log[WeekIndex],16))</f>
        <v/>
      </c>
      <c r="R60" s="17">
        <f>IF(COUNTIFS(T_TTAFStock_Log[Part Name],$A60,T_TTAFStock_Log[WeekIndex],17)=0,"",SUMIFS(T_TTAFStock_Log[TTAF_Qty],T_TTAFStock_Log[Part Name],$A60,T_TTAFStock_Log[WeekIndex],17))</f>
        <v/>
      </c>
      <c r="S60" s="17">
        <f>IF(COUNTIFS(T_TTAFStock_Log[Part Name],$A60,T_TTAFStock_Log[WeekIndex],18)=0,"",SUMIFS(T_TTAFStock_Log[TTAF_Qty],T_TTAFStock_Log[Part Name],$A60,T_TTAFStock_Log[WeekIndex],18))</f>
        <v/>
      </c>
      <c r="T60" s="17">
        <f>IF(COUNTIFS(T_TTAFStock_Log[Part Name],$A60,T_TTAFStock_Log[WeekIndex],19)=0,"",SUMIFS(T_TTAFStock_Log[TTAF_Qty],T_TTAFStock_Log[Part Name],$A60,T_TTAFStock_Log[WeekIndex],19))</f>
        <v/>
      </c>
      <c r="U60" s="17">
        <f>IF(COUNTIFS(T_TTAFStock_Log[Part Name],$A60,T_TTAFStock_Log[WeekIndex],20)=0,"",SUMIFS(T_TTAFStock_Log[TTAF_Qty],T_TTAFStock_Log[Part Name],$A60,T_TTAFStock_Log[WeekIndex],20))</f>
        <v/>
      </c>
      <c r="V60" s="17">
        <f>IF(COUNTIFS(T_TTAFStock_Log[Part Name],$A60,T_TTAFStock_Log[WeekIndex],21)=0,"",SUMIFS(T_TTAFStock_Log[TTAF_Qty],T_TTAFStock_Log[Part Name],$A60,T_TTAFStock_Log[WeekIndex],21))</f>
        <v/>
      </c>
      <c r="W60" s="17">
        <f>IF(COUNTIFS(T_TTAFStock_Log[Part Name],$A60,T_TTAFStock_Log[WeekIndex],22)=0,"",SUMIFS(T_TTAFStock_Log[TTAF_Qty],T_TTAFStock_Log[Part Name],$A60,T_TTAFStock_Log[WeekIndex],22))</f>
        <v/>
      </c>
      <c r="X60" s="17">
        <f>IF(COUNTIFS(T_TTAFStock_Log[Part Name],$A60,T_TTAFStock_Log[WeekIndex],23)=0,"",SUMIFS(T_TTAFStock_Log[TTAF_Qty],T_TTAFStock_Log[Part Name],$A60,T_TTAFStock_Log[WeekIndex],23))</f>
        <v/>
      </c>
      <c r="Y60" s="17">
        <f>IF(COUNTIFS(T_TTAFStock_Log[Part Name],$A60,T_TTAFStock_Log[WeekIndex],24)=0,"",SUMIFS(T_TTAFStock_Log[TTAF_Qty],T_TTAFStock_Log[Part Name],$A60,T_TTAFStock_Log[WeekIndex],24))</f>
        <v/>
      </c>
      <c r="Z60" s="17">
        <f>IF(COUNTIFS(T_TTAFStock_Log[Part Name],$A60,T_TTAFStock_Log[WeekIndex],25)=0,"",SUMIFS(T_TTAFStock_Log[TTAF_Qty],T_TTAFStock_Log[Part Name],$A60,T_TTAFStock_Log[WeekIndex],25))</f>
        <v/>
      </c>
      <c r="AA60" s="17">
        <f>IF(COUNTIFS(T_TTAFStock_Log[Part Name],$A60,T_TTAFStock_Log[WeekIndex],26)=0,"",SUMIFS(T_TTAFStock_Log[TTAF_Qty],T_TTAFStock_Log[Part Name],$A60,T_TTAFStock_Log[WeekIndex],26))</f>
        <v/>
      </c>
      <c r="AB60" s="17">
        <f>IF(COUNTIFS(T_TTAFStock_Log[Part Name],$A60,T_TTAFStock_Log[WeekIndex],27)=0,"",SUMIFS(T_TTAFStock_Log[TTAF_Qty],T_TTAFStock_Log[Part Name],$A60,T_TTAFStock_Log[WeekIndex],27))</f>
        <v/>
      </c>
      <c r="AC60" s="17">
        <f>IF(COUNTIFS(T_TTAFStock_Log[Part Name],$A60,T_TTAFStock_Log[WeekIndex],28)=0,"",SUMIFS(T_TTAFStock_Log[TTAF_Qty],T_TTAFStock_Log[Part Name],$A60,T_TTAFStock_Log[WeekIndex],28))</f>
        <v/>
      </c>
      <c r="AD60" s="17">
        <f>IF(COUNTIFS(T_TTAFStock_Log[Part Name],$A60,T_TTAFStock_Log[WeekIndex],29)=0,"",SUMIFS(T_TTAFStock_Log[TTAF_Qty],T_TTAFStock_Log[Part Name],$A60,T_TTAFStock_Log[WeekIndex],29))</f>
        <v/>
      </c>
      <c r="AE60" s="17">
        <f>IF(COUNTIFS(T_TTAFStock_Log[Part Name],$A60,T_TTAFStock_Log[WeekIndex],30)=0,"",SUMIFS(T_TTAFStock_Log[TTAF_Qty],T_TTAFStock_Log[Part Name],$A60,T_TTAFStock_Log[WeekIndex],30))</f>
        <v/>
      </c>
      <c r="AF60" s="17">
        <f>IF(COUNTIFS(T_TTAFStock_Log[Part Name],$A60,T_TTAFStock_Log[WeekIndex],31)=0,"",SUMIFS(T_TTAFStock_Log[TTAF_Qty],T_TTAFStock_Log[Part Name],$A60,T_TTAFStock_Log[WeekIndex],31))</f>
        <v/>
      </c>
      <c r="AG60" s="17">
        <f>IF(COUNTIFS(T_TTAFStock_Log[Part Name],$A60,T_TTAFStock_Log[WeekIndex],32)=0,"",SUMIFS(T_TTAFStock_Log[TTAF_Qty],T_TTAFStock_Log[Part Name],$A60,T_TTAFStock_Log[WeekIndex],32))</f>
        <v/>
      </c>
      <c r="AH60" s="17">
        <f>IF(COUNTIFS(T_TTAFStock_Log[Part Name],$A60,T_TTAFStock_Log[WeekIndex],33)=0,"",SUMIFS(T_TTAFStock_Log[TTAF_Qty],T_TTAFStock_Log[Part Name],$A60,T_TTAFStock_Log[WeekIndex],33))</f>
        <v/>
      </c>
      <c r="AI60" s="17">
        <f>IF(COUNTIFS(T_TTAFStock_Log[Part Name],$A60,T_TTAFStock_Log[WeekIndex],34)=0,"",SUMIFS(T_TTAFStock_Log[TTAF_Qty],T_TTAFStock_Log[Part Name],$A60,T_TTAFStock_Log[WeekIndex],34))</f>
        <v/>
      </c>
      <c r="AJ60" s="17">
        <f>IF(COUNTIFS(T_TTAFStock_Log[Part Name],$A60,T_TTAFStock_Log[WeekIndex],35)=0,"",SUMIFS(T_TTAFStock_Log[TTAF_Qty],T_TTAFStock_Log[Part Name],$A60,T_TTAFStock_Log[WeekIndex],35))</f>
        <v/>
      </c>
      <c r="AK60" s="17">
        <f>IF(COUNTIFS(T_TTAFStock_Log[Part Name],$A60,T_TTAFStock_Log[WeekIndex],36)=0,"",SUMIFS(T_TTAFStock_Log[TTAF_Qty],T_TTAFStock_Log[Part Name],$A60,T_TTAFStock_Log[WeekIndex],36))</f>
        <v/>
      </c>
      <c r="AL60" s="17">
        <f>IF(COUNTIFS(T_TTAFStock_Log[Part Name],$A60,T_TTAFStock_Log[WeekIndex],37)=0,"",SUMIFS(T_TTAFStock_Log[TTAF_Qty],T_TTAFStock_Log[Part Name],$A60,T_TTAFStock_Log[WeekIndex],37))</f>
        <v/>
      </c>
      <c r="AM60" s="17">
        <f>IF(COUNTIFS(T_TTAFStock_Log[Part Name],$A60,T_TTAFStock_Log[WeekIndex],38)=0,"",SUMIFS(T_TTAFStock_Log[TTAF_Qty],T_TTAFStock_Log[Part Name],$A60,T_TTAFStock_Log[WeekIndex],38))</f>
        <v/>
      </c>
      <c r="AN60" s="17">
        <f>IF(COUNTIFS(T_TTAFStock_Log[Part Name],$A60,T_TTAFStock_Log[WeekIndex],39)=0,"",SUMIFS(T_TTAFStock_Log[TTAF_Qty],T_TTAFStock_Log[Part Name],$A60,T_TTAFStock_Log[WeekIndex],39))</f>
        <v/>
      </c>
      <c r="AO60" s="17">
        <f>IF(COUNTIFS(T_TTAFStock_Log[Part Name],$A60,T_TTAFStock_Log[WeekIndex],40)=0,"",SUMIFS(T_TTAFStock_Log[TTAF_Qty],T_TTAFStock_Log[Part Name],$A60,T_TTAFStock_Log[WeekIndex],40))</f>
        <v/>
      </c>
      <c r="AP60" s="17">
        <f>IF(COUNTIFS(T_TTAFStock_Log[Part Name],$A60,T_TTAFStock_Log[WeekIndex],41)=0,"",SUMIFS(T_TTAFStock_Log[TTAF_Qty],T_TTAFStock_Log[Part Name],$A60,T_TTAFStock_Log[WeekIndex],41))</f>
        <v/>
      </c>
      <c r="AQ60" s="17">
        <f>IF(COUNTIFS(T_TTAFStock_Log[Part Name],$A60,T_TTAFStock_Log[WeekIndex],42)=0,"",SUMIFS(T_TTAFStock_Log[TTAF_Qty],T_TTAFStock_Log[Part Name],$A60,T_TTAFStock_Log[WeekIndex],42))</f>
        <v/>
      </c>
      <c r="AR60" s="17">
        <f>IF(COUNTIFS(T_TTAFStock_Log[Part Name],$A60,T_TTAFStock_Log[WeekIndex],43)=0,"",SUMIFS(T_TTAFStock_Log[TTAF_Qty],T_TTAFStock_Log[Part Name],$A60,T_TTAFStock_Log[WeekIndex],43))</f>
        <v/>
      </c>
      <c r="AS60" s="17">
        <f>IF(COUNTIFS(T_TTAFStock_Log[Part Name],$A60,T_TTAFStock_Log[WeekIndex],44)=0,"",SUMIFS(T_TTAFStock_Log[TTAF_Qty],T_TTAFStock_Log[Part Name],$A60,T_TTAFStock_Log[WeekIndex],44))</f>
        <v/>
      </c>
      <c r="AT60" s="17">
        <f>IF(COUNTIFS(T_TTAFStock_Log[Part Name],$A60,T_TTAFStock_Log[WeekIndex],45)=0,"",SUMIFS(T_TTAFStock_Log[TTAF_Qty],T_TTAFStock_Log[Part Name],$A60,T_TTAFStock_Log[WeekIndex],45))</f>
        <v/>
      </c>
      <c r="AU60" s="17">
        <f>IF(COUNTIFS(T_TTAFStock_Log[Part Name],$A60,T_TTAFStock_Log[WeekIndex],46)=0,"",SUMIFS(T_TTAFStock_Log[TTAF_Qty],T_TTAFStock_Log[Part Name],$A60,T_TTAFStock_Log[WeekIndex],46))</f>
        <v/>
      </c>
      <c r="AV60" s="17">
        <f>IF(COUNTIFS(T_TTAFStock_Log[Part Name],$A60,T_TTAFStock_Log[WeekIndex],47)=0,"",SUMIFS(T_TTAFStock_Log[TTAF_Qty],T_TTAFStock_Log[Part Name],$A60,T_TTAFStock_Log[WeekIndex],47))</f>
        <v/>
      </c>
      <c r="AW60" s="17">
        <f>IF(COUNTIFS(T_TTAFStock_Log[Part Name],$A60,T_TTAFStock_Log[WeekIndex],48)=0,"",SUMIFS(T_TTAFStock_Log[TTAF_Qty],T_TTAFStock_Log[Part Name],$A60,T_TTAFStock_Log[WeekIndex],48))</f>
        <v/>
      </c>
      <c r="AX60" s="17">
        <f>IF(COUNTIFS(T_TTAFStock_Log[Part Name],$A60,T_TTAFStock_Log[WeekIndex],49)=0,"",SUMIFS(T_TTAFStock_Log[TTAF_Qty],T_TTAFStock_Log[Part Name],$A60,T_TTAFStock_Log[WeekIndex],49))</f>
        <v/>
      </c>
      <c r="AY60" s="17">
        <f>IF(COUNTIFS(T_TTAFStock_Log[Part Name],$A60,T_TTAFStock_Log[WeekIndex],50)=0,"",SUMIFS(T_TTAFStock_Log[TTAF_Qty],T_TTAFStock_Log[Part Name],$A60,T_TTAFStock_Log[WeekIndex],50))</f>
        <v/>
      </c>
      <c r="AZ60" s="17">
        <f>IF(COUNTIFS(T_TTAFStock_Log[Part Name],$A60,T_TTAFStock_Log[WeekIndex],51)=0,"",SUMIFS(T_TTAFStock_Log[TTAF_Qty],T_TTAFStock_Log[Part Name],$A60,T_TTAFStock_Log[WeekIndex],51))</f>
        <v/>
      </c>
      <c r="BA60" s="17">
        <f>IF(COUNTIFS(T_TTAFStock_Log[Part Name],$A60,T_TTAFStock_Log[WeekIndex],52)=0,"",SUMIFS(T_TTAFStock_Log[TTAF_Qty],T_TTAFStock_Log[Part Name],$A60,T_TTAFStock_Log[WeekIndex],52))</f>
        <v/>
      </c>
      <c r="BB60" s="17">
        <f>IF(COUNTIFS(T_TTAFStock_Log[Part Name],$A60,T_TTAFStock_Log[WeekIndex],53)=0,"",SUMIFS(T_TTAFStock_Log[TTAF_Qty],T_TTAFStock_Log[Part Name],$A60,T_TTAFStock_Log[WeekIndex],53))</f>
        <v/>
      </c>
      <c r="BC60" s="17">
        <f>IF(COUNTIFS(T_TTAFStock_Log[Part Name],$A60,T_TTAFStock_Log[WeekIndex],54)=0,"",SUMIFS(T_TTAFStock_Log[TTAF_Qty],T_TTAFStock_Log[Part Name],$A60,T_TTAFStock_Log[WeekIndex],54))</f>
        <v/>
      </c>
      <c r="BD60" s="17">
        <f>IF(COUNTIFS(T_TTAFStock_Log[Part Name],$A60,T_TTAFStock_Log[WeekIndex],55)=0,"",SUMIFS(T_TTAFStock_Log[TTAF_Qty],T_TTAFStock_Log[Part Name],$A60,T_TTAFStock_Log[WeekIndex],55))</f>
        <v/>
      </c>
      <c r="BE60" s="17">
        <f>IF(COUNTIFS(T_TTAFStock_Log[Part Name],$A60,T_TTAFStock_Log[WeekIndex],56)=0,"",SUMIFS(T_TTAFStock_Log[TTAF_Qty],T_TTAFStock_Log[Part Name],$A60,T_TTAFStock_Log[WeekIndex],56))</f>
        <v/>
      </c>
      <c r="BF60" s="17">
        <f>IF(COUNTIFS(T_TTAFStock_Log[Part Name],$A60,T_TTAFStock_Log[WeekIndex],57)=0,"",SUMIFS(T_TTAFStock_Log[TTAF_Qty],T_TTAFStock_Log[Part Name],$A60,T_TTAFStock_Log[WeekIndex],57))</f>
        <v/>
      </c>
      <c r="BG60" s="17">
        <f>IF(COUNTIFS(T_TTAFStock_Log[Part Name],$A60,T_TTAFStock_Log[WeekIndex],58)=0,"",SUMIFS(T_TTAFStock_Log[TTAF_Qty],T_TTAFStock_Log[Part Name],$A60,T_TTAFStock_Log[WeekIndex],58))</f>
        <v/>
      </c>
      <c r="BH60" s="17">
        <f>IF(COUNTIFS(T_TTAFStock_Log[Part Name],$A60,T_TTAFStock_Log[WeekIndex],59)=0,"",SUMIFS(T_TTAFStock_Log[TTAF_Qty],T_TTAFStock_Log[Part Name],$A60,T_TTAFStock_Log[WeekIndex],59))</f>
        <v/>
      </c>
      <c r="BI60" s="17">
        <f>IF(COUNTIFS(T_TTAFStock_Log[Part Name],$A60,T_TTAFStock_Log[WeekIndex],60)=0,"",SUMIFS(T_TTAFStock_Log[TTAF_Qty],T_TTAFStock_Log[Part Name],$A60,T_TTAFStock_Log[WeekIndex],60))</f>
        <v/>
      </c>
      <c r="BJ60" s="17">
        <f>IF(COUNTIFS(T_TTAFStock_Log[Part Name],$A60,T_TTAFStock_Log[WeekIndex],61)=0,"",SUMIFS(T_TTAFStock_Log[TTAF_Qty],T_TTAFStock_Log[Part Name],$A60,T_TTAFStock_Log[WeekIndex],61))</f>
        <v/>
      </c>
      <c r="BK60" s="17">
        <f>IF(COUNTIFS(T_TTAFStock_Log[Part Name],$A60,T_TTAFStock_Log[WeekIndex],62)=0,"",SUMIFS(T_TTAFStock_Log[TTAF_Qty],T_TTAFStock_Log[Part Name],$A60,T_TTAFStock_Log[WeekIndex],62))</f>
        <v/>
      </c>
      <c r="BL60" s="17">
        <f>IF(COUNTIFS(T_TTAFStock_Log[Part Name],$A60,T_TTAFStock_Log[WeekIndex],63)=0,"",SUMIFS(T_TTAFStock_Log[TTAF_Qty],T_TTAFStock_Log[Part Name],$A60,T_TTAFStock_Log[WeekIndex],63))</f>
        <v/>
      </c>
      <c r="BM60" s="17">
        <f>IF(COUNTIFS(T_TTAFStock_Log[Part Name],$A60,T_TTAFStock_Log[WeekIndex],64)=0,"",SUMIFS(T_TTAFStock_Log[TTAF_Qty],T_TTAFStock_Log[Part Name],$A60,T_TTAFStock_Log[WeekIndex],64))</f>
        <v/>
      </c>
      <c r="BN60" s="17">
        <f>IF(COUNTIFS(T_TTAFStock_Log[Part Name],$A60,T_TTAFStock_Log[WeekIndex],65)=0,"",SUMIFS(T_TTAFStock_Log[TTAF_Qty],T_TTAFStock_Log[Part Name],$A60,T_TTAFStock_Log[WeekIndex],65))</f>
        <v/>
      </c>
      <c r="BO60" s="17">
        <f>IF(COUNTIFS(T_TTAFStock_Log[Part Name],$A60,T_TTAFStock_Log[WeekIndex],66)=0,"",SUMIFS(T_TTAFStock_Log[TTAF_Qty],T_TTAFStock_Log[Part Name],$A60,T_TTAFStock_Log[WeekIndex],66))</f>
        <v/>
      </c>
      <c r="BP60" s="17">
        <f>IF(COUNTIFS(T_TTAFStock_Log[Part Name],$A60,T_TTAFStock_Log[WeekIndex],67)=0,"",SUMIFS(T_TTAFStock_Log[TTAF_Qty],T_TTAFStock_Log[Part Name],$A60,T_TTAFStock_Log[WeekIndex],67))</f>
        <v/>
      </c>
      <c r="BQ60" s="17">
        <f>IF(COUNTIFS(T_TTAFStock_Log[Part Name],$A60,T_TTAFStock_Log[WeekIndex],68)=0,"",SUMIFS(T_TTAFStock_Log[TTAF_Qty],T_TTAFStock_Log[Part Name],$A60,T_TTAFStock_Log[WeekIndex],68))</f>
        <v/>
      </c>
      <c r="BR60" s="17">
        <f>IF(COUNTIFS(T_TTAFStock_Log[Part Name],$A60,T_TTAFStock_Log[WeekIndex],69)=0,"",SUMIFS(T_TTAFStock_Log[TTAF_Qty],T_TTAFStock_Log[Part Name],$A60,T_TTAFStock_Log[WeekIndex],69))</f>
        <v/>
      </c>
      <c r="BS60" s="17">
        <f>IF(COUNTIFS(T_TTAFStock_Log[Part Name],$A60,T_TTAFStock_Log[WeekIndex],70)=0,"",SUMIFS(T_TTAFStock_Log[TTAF_Qty],T_TTAFStock_Log[Part Name],$A60,T_TTAFStock_Log[WeekIndex],70))</f>
        <v/>
      </c>
      <c r="BT60" s="17">
        <f>IF(COUNTIFS(T_TTAFStock_Log[Part Name],$A60,T_TTAFStock_Log[WeekIndex],71)=0,"",SUMIFS(T_TTAFStock_Log[TTAF_Qty],T_TTAFStock_Log[Part Name],$A60,T_TTAFStock_Log[WeekIndex],71))</f>
        <v/>
      </c>
      <c r="BU60" s="17">
        <f>IF(COUNTIFS(T_TTAFStock_Log[Part Name],$A60,T_TTAFStock_Log[WeekIndex],72)=0,"",SUMIFS(T_TTAFStock_Log[TTAF_Qty],T_TTAFStock_Log[Part Name],$A60,T_TTAFStock_Log[WeekIndex],72))</f>
        <v/>
      </c>
      <c r="BV60" s="17">
        <f>IF(COUNTIFS(T_TTAFStock_Log[Part Name],$A60,T_TTAFStock_Log[WeekIndex],73)=0,"",SUMIFS(T_TTAFStock_Log[TTAF_Qty],T_TTAFStock_Log[Part Name],$A60,T_TTAFStock_Log[WeekIndex],73))</f>
        <v/>
      </c>
      <c r="BW60" s="17">
        <f>IF(COUNTIFS(T_TTAFStock_Log[Part Name],$A60,T_TTAFStock_Log[WeekIndex],74)=0,"",SUMIFS(T_TTAFStock_Log[TTAF_Qty],T_TTAFStock_Log[Part Name],$A60,T_TTAFStock_Log[WeekIndex],74))</f>
        <v/>
      </c>
      <c r="BX60" s="17">
        <f>IF(COUNTIFS(T_TTAFStock_Log[Part Name],$A60,T_TTAFStock_Log[WeekIndex],75)=0,"",SUMIFS(T_TTAFStock_Log[TTAF_Qty],T_TTAFStock_Log[Part Name],$A60,T_TTAFStock_Log[WeekIndex],75))</f>
        <v/>
      </c>
      <c r="BY60" s="17">
        <f>IF(COUNTIFS(T_TTAFStock_Log[Part Name],$A60,T_TTAFStock_Log[WeekIndex],76)=0,"",SUMIFS(T_TTAFStock_Log[TTAF_Qty],T_TTAFStock_Log[Part Name],$A60,T_TTAFStock_Log[WeekIndex],76))</f>
        <v/>
      </c>
      <c r="BZ60" s="17">
        <f>IF(COUNTIFS(T_TTAFStock_Log[Part Name],$A60,T_TTAFStock_Log[WeekIndex],77)=0,"",SUMIFS(T_TTAFStock_Log[TTAF_Qty],T_TTAFStock_Log[Part Name],$A60,T_TTAFStock_Log[WeekIndex],77))</f>
        <v/>
      </c>
      <c r="CA60" s="17">
        <f>IF(COUNTIFS(T_TTAFStock_Log[Part Name],$A60,T_TTAFStock_Log[WeekIndex],78)=0,"",SUMIFS(T_TTAFStock_Log[TTAF_Qty],T_TTAFStock_Log[Part Name],$A60,T_TTAFStock_Log[WeekIndex],78))</f>
        <v/>
      </c>
      <c r="CB60" s="17">
        <f>IF(COUNTIFS(T_TTAFStock_Log[Part Name],$A60,T_TTAFStock_Log[WeekIndex],79)=0,"",SUMIFS(T_TTAFStock_Log[TTAF_Qty],T_TTAFStock_Log[Part Name],$A60,T_TTAFStock_Log[WeekIndex],79))</f>
        <v/>
      </c>
      <c r="CC60" s="17">
        <f>IF(COUNTIFS(T_TTAFStock_Log[Part Name],$A60,T_TTAFStock_Log[WeekIndex],80)=0,"",SUMIFS(T_TTAFStock_Log[TTAF_Qty],T_TTAFStock_Log[Part Name],$A60,T_TTAFStock_Log[WeekIndex],80))</f>
        <v/>
      </c>
      <c r="CD60" s="17">
        <f>IF(COUNTIFS(T_TTAFStock_Log[Part Name],$A60,T_TTAFStock_Log[WeekIndex],81)=0,"",SUMIFS(T_TTAFStock_Log[TTAF_Qty],T_TTAFStock_Log[Part Name],$A60,T_TTAFStock_Log[WeekIndex],81))</f>
        <v/>
      </c>
      <c r="CE60" s="17">
        <f>IF(COUNTIFS(T_TTAFStock_Log[Part Name],$A60,T_TTAFStock_Log[WeekIndex],82)=0,"",SUMIFS(T_TTAFStock_Log[TTAF_Qty],T_TTAFStock_Log[Part Name],$A60,T_TTAFStock_Log[WeekIndex],82))</f>
        <v/>
      </c>
      <c r="CF60" s="17">
        <f>IF(COUNTIFS(T_TTAFStock_Log[Part Name],$A60,T_TTAFStock_Log[WeekIndex],83)=0,"",SUMIFS(T_TTAFStock_Log[TTAF_Qty],T_TTAFStock_Log[Part Name],$A60,T_TTAFStock_Log[WeekIndex],83))</f>
        <v/>
      </c>
      <c r="CG60" s="17">
        <f>IF(COUNTIFS(T_TTAFStock_Log[Part Name],$A60,T_TTAFStock_Log[WeekIndex],84)=0,"",SUMIFS(T_TTAFStock_Log[TTAF_Qty],T_TTAFStock_Log[Part Name],$A60,T_TTAFStock_Log[WeekIndex],84))</f>
        <v/>
      </c>
      <c r="CH60" s="17">
        <f>IF(COUNTIFS(T_TTAFStock_Log[Part Name],$A60,T_TTAFStock_Log[WeekIndex],85)=0,"",SUMIFS(T_TTAFStock_Log[TTAF_Qty],T_TTAFStock_Log[Part Name],$A60,T_TTAFStock_Log[WeekIndex],85))</f>
        <v/>
      </c>
      <c r="CI60" s="17">
        <f>IF(COUNTIFS(T_TTAFStock_Log[Part Name],$A60,T_TTAFStock_Log[WeekIndex],86)=0,"",SUMIFS(T_TTAFStock_Log[TTAF_Qty],T_TTAFStock_Log[Part Name],$A60,T_TTAFStock_Log[WeekIndex],86))</f>
        <v/>
      </c>
      <c r="CJ60" s="17">
        <f>IF(COUNTIFS(T_TTAFStock_Log[Part Name],$A60,T_TTAFStock_Log[WeekIndex],87)=0,"",SUMIFS(T_TTAFStock_Log[TTAF_Qty],T_TTAFStock_Log[Part Name],$A60,T_TTAFStock_Log[WeekIndex],87))</f>
        <v/>
      </c>
      <c r="CK60" s="17">
        <f>IF(COUNTIFS(T_TTAFStock_Log[Part Name],$A60,T_TTAFStock_Log[WeekIndex],88)=0,"",SUMIFS(T_TTAFStock_Log[TTAF_Qty],T_TTAFStock_Log[Part Name],$A60,T_TTAFStock_Log[WeekIndex],88))</f>
        <v/>
      </c>
      <c r="CL60" s="17">
        <f>IF(COUNTIFS(T_TTAFStock_Log[Part Name],$A60,T_TTAFStock_Log[WeekIndex],89)=0,"",SUMIFS(T_TTAFStock_Log[TTAF_Qty],T_TTAFStock_Log[Part Name],$A60,T_TTAFStock_Log[WeekIndex],89))</f>
        <v/>
      </c>
      <c r="CM60" s="17">
        <f>IF(COUNTIFS(T_TTAFStock_Log[Part Name],$A60,T_TTAFStock_Log[WeekIndex],90)=0,"",SUMIFS(T_TTAFStock_Log[TTAF_Qty],T_TTAFStock_Log[Part Name],$A60,T_TTAFStock_Log[WeekIndex],90))</f>
        <v/>
      </c>
      <c r="CN60" s="17">
        <f>IF(COUNTIFS(T_TTAFStock_Log[Part Name],$A60,T_TTAFStock_Log[WeekIndex],91)=0,"",SUMIFS(T_TTAFStock_Log[TTAF_Qty],T_TTAFStock_Log[Part Name],$A60,T_TTAFStock_Log[WeekIndex],91))</f>
        <v/>
      </c>
      <c r="CO60" s="17">
        <f>IF(COUNTIFS(T_TTAFStock_Log[Part Name],$A60,T_TTAFStock_Log[WeekIndex],92)=0,"",SUMIFS(T_TTAFStock_Log[TTAF_Qty],T_TTAFStock_Log[Part Name],$A60,T_TTAFStock_Log[WeekIndex],92))</f>
        <v/>
      </c>
      <c r="CP60" s="17">
        <f>IF(COUNTIFS(T_TTAFStock_Log[Part Name],$A60,T_TTAFStock_Log[WeekIndex],93)=0,"",SUMIFS(T_TTAFStock_Log[TTAF_Qty],T_TTAFStock_Log[Part Name],$A60,T_TTAFStock_Log[WeekIndex],93))</f>
        <v/>
      </c>
      <c r="CQ60" s="17">
        <f>IF(COUNTIFS(T_TTAFStock_Log[Part Name],$A60,T_TTAFStock_Log[WeekIndex],94)=0,"",SUMIFS(T_TTAFStock_Log[TTAF_Qty],T_TTAFStock_Log[Part Name],$A60,T_TTAFStock_Log[WeekIndex],94))</f>
        <v/>
      </c>
      <c r="CR60" s="17">
        <f>IF(COUNTIFS(T_TTAFStock_Log[Part Name],$A60,T_TTAFStock_Log[WeekIndex],95)=0,"",SUMIFS(T_TTAFStock_Log[TTAF_Qty],T_TTAFStock_Log[Part Name],$A60,T_TTAFStock_Log[WeekIndex],95))</f>
        <v/>
      </c>
      <c r="CS60" s="17">
        <f>IF(COUNTIFS(T_TTAFStock_Log[Part Name],$A60,T_TTAFStock_Log[WeekIndex],96)=0,"",SUMIFS(T_TTAFStock_Log[TTAF_Qty],T_TTAFStock_Log[Part Name],$A60,T_TTAFStock_Log[WeekIndex],96))</f>
        <v/>
      </c>
      <c r="CT60" s="17">
        <f>IF(COUNTIFS(T_TTAFStock_Log[Part Name],$A60,T_TTAFStock_Log[WeekIndex],97)=0,"",SUMIFS(T_TTAFStock_Log[TTAF_Qty],T_TTAFStock_Log[Part Name],$A60,T_TTAFStock_Log[WeekIndex],97))</f>
        <v/>
      </c>
      <c r="CU60" s="17">
        <f>IF(COUNTIFS(T_TTAFStock_Log[Part Name],$A60,T_TTAFStock_Log[WeekIndex],98)=0,"",SUMIFS(T_TTAFStock_Log[TTAF_Qty],T_TTAFStock_Log[Part Name],$A60,T_TTAFStock_Log[WeekIndex],98))</f>
        <v/>
      </c>
      <c r="CV60" s="17">
        <f>IF(COUNTIFS(T_TTAFStock_Log[Part Name],$A60,T_TTAFStock_Log[WeekIndex],99)=0,"",SUMIFS(T_TTAFStock_Log[TTAF_Qty],T_TTAFStock_Log[Part Name],$A60,T_TTAFStock_Log[WeekIndex],99))</f>
        <v/>
      </c>
      <c r="CW60" s="17">
        <f>IF(COUNTIFS(T_TTAFStock_Log[Part Name],$A60,T_TTAFStock_Log[WeekIndex],100)=0,"",SUMIFS(T_TTAFStock_Log[TTAF_Qty],T_TTAFStock_Log[Part Name],$A60,T_TTAFStock_Log[WeekIndex],100))</f>
        <v/>
      </c>
      <c r="CX60" s="17">
        <f>IF(COUNTIFS(T_TTAFStock_Log[Part Name],$A60,T_TTAFStock_Log[WeekIndex],101)=0,"",SUMIFS(T_TTAFStock_Log[TTAF_Qty],T_TTAFStock_Log[Part Name],$A60,T_TTAFStock_Log[WeekIndex],101))</f>
        <v/>
      </c>
      <c r="CY60" s="17">
        <f>IF(COUNTIFS(T_TTAFStock_Log[Part Name],$A60,T_TTAFStock_Log[WeekIndex],102)=0,"",SUMIFS(T_TTAFStock_Log[TTAF_Qty],T_TTAFStock_Log[Part Name],$A60,T_TTAFStock_Log[WeekIndex],102))</f>
        <v/>
      </c>
      <c r="CZ60" s="17">
        <f>IF(COUNTIFS(T_TTAFStock_Log[Part Name],$A60,T_TTAFStock_Log[WeekIndex],103)=0,"",SUMIFS(T_TTAFStock_Log[TTAF_Qty],T_TTAFStock_Log[Part Name],$A60,T_TTAFStock_Log[WeekIndex],103))</f>
        <v/>
      </c>
      <c r="DA60" s="17">
        <f>IF(COUNTIFS(T_TTAFStock_Log[Part Name],$A60,T_TTAFStock_Log[WeekIndex],104)=0,"",SUMIFS(T_TTAFStock_Log[TTAF_Qty],T_TTAFStock_Log[Part Name],$A60,T_TTAFStock_Log[WeekIndex],104))</f>
        <v/>
      </c>
    </row>
    <row r="61">
      <c r="A61" s="19" t="inlineStr">
        <is>
          <t>Ester Film</t>
        </is>
      </c>
      <c r="B61" s="19">
        <f>IF(COUNTIFS(T_TTAFStock_Log[Part Name],$A61,T_TTAFStock_Log[WeekIndex],1)=0,"",SUMIFS(T_TTAFStock_Log[TTAF_Qty],T_TTAFStock_Log[Part Name],$A61,T_TTAFStock_Log[WeekIndex],1))</f>
        <v/>
      </c>
      <c r="C61" s="19">
        <f>IF(COUNTIFS(T_TTAFStock_Log[Part Name],$A61,T_TTAFStock_Log[WeekIndex],2)=0,"",SUMIFS(T_TTAFStock_Log[TTAF_Qty],T_TTAFStock_Log[Part Name],$A61,T_TTAFStock_Log[WeekIndex],2))</f>
        <v/>
      </c>
      <c r="D61" s="19">
        <f>IF(COUNTIFS(T_TTAFStock_Log[Part Name],$A61,T_TTAFStock_Log[WeekIndex],3)=0,"",SUMIFS(T_TTAFStock_Log[TTAF_Qty],T_TTAFStock_Log[Part Name],$A61,T_TTAFStock_Log[WeekIndex],3))</f>
        <v/>
      </c>
      <c r="E61" s="19">
        <f>IF(COUNTIFS(T_TTAFStock_Log[Part Name],$A61,T_TTAFStock_Log[WeekIndex],4)=0,"",SUMIFS(T_TTAFStock_Log[TTAF_Qty],T_TTAFStock_Log[Part Name],$A61,T_TTAFStock_Log[WeekIndex],4))</f>
        <v/>
      </c>
      <c r="F61" s="19">
        <f>IF(COUNTIFS(T_TTAFStock_Log[Part Name],$A61,T_TTAFStock_Log[WeekIndex],5)=0,"",SUMIFS(T_TTAFStock_Log[TTAF_Qty],T_TTAFStock_Log[Part Name],$A61,T_TTAFStock_Log[WeekIndex],5))</f>
        <v/>
      </c>
      <c r="G61" s="19">
        <f>IF(COUNTIFS(T_TTAFStock_Log[Part Name],$A61,T_TTAFStock_Log[WeekIndex],6)=0,"",SUMIFS(T_TTAFStock_Log[TTAF_Qty],T_TTAFStock_Log[Part Name],$A61,T_TTAFStock_Log[WeekIndex],6))</f>
        <v/>
      </c>
      <c r="H61" s="19">
        <f>IF(COUNTIFS(T_TTAFStock_Log[Part Name],$A61,T_TTAFStock_Log[WeekIndex],7)=0,"",SUMIFS(T_TTAFStock_Log[TTAF_Qty],T_TTAFStock_Log[Part Name],$A61,T_TTAFStock_Log[WeekIndex],7))</f>
        <v/>
      </c>
      <c r="I61" s="19">
        <f>IF(COUNTIFS(T_TTAFStock_Log[Part Name],$A61,T_TTAFStock_Log[WeekIndex],8)=0,"",SUMIFS(T_TTAFStock_Log[TTAF_Qty],T_TTAFStock_Log[Part Name],$A61,T_TTAFStock_Log[WeekIndex],8))</f>
        <v/>
      </c>
      <c r="J61" s="19">
        <f>IF(COUNTIFS(T_TTAFStock_Log[Part Name],$A61,T_TTAFStock_Log[WeekIndex],9)=0,"",SUMIFS(T_TTAFStock_Log[TTAF_Qty],T_TTAFStock_Log[Part Name],$A61,T_TTAFStock_Log[WeekIndex],9))</f>
        <v/>
      </c>
      <c r="K61" s="19">
        <f>IF(COUNTIFS(T_TTAFStock_Log[Part Name],$A61,T_TTAFStock_Log[WeekIndex],10)=0,"",SUMIFS(T_TTAFStock_Log[TTAF_Qty],T_TTAFStock_Log[Part Name],$A61,T_TTAFStock_Log[WeekIndex],10))</f>
        <v/>
      </c>
      <c r="L61" s="19">
        <f>IF(COUNTIFS(T_TTAFStock_Log[Part Name],$A61,T_TTAFStock_Log[WeekIndex],11)=0,"",SUMIFS(T_TTAFStock_Log[TTAF_Qty],T_TTAFStock_Log[Part Name],$A61,T_TTAFStock_Log[WeekIndex],11))</f>
        <v/>
      </c>
      <c r="M61" s="19">
        <f>IF(COUNTIFS(T_TTAFStock_Log[Part Name],$A61,T_TTAFStock_Log[WeekIndex],12)=0,"",SUMIFS(T_TTAFStock_Log[TTAF_Qty],T_TTAFStock_Log[Part Name],$A61,T_TTAFStock_Log[WeekIndex],12))</f>
        <v/>
      </c>
      <c r="N61" s="19">
        <f>IF(COUNTIFS(T_TTAFStock_Log[Part Name],$A61,T_TTAFStock_Log[WeekIndex],13)=0,"",SUMIFS(T_TTAFStock_Log[TTAF_Qty],T_TTAFStock_Log[Part Name],$A61,T_TTAFStock_Log[WeekIndex],13))</f>
        <v/>
      </c>
      <c r="O61" s="19">
        <f>IF(COUNTIFS(T_TTAFStock_Log[Part Name],$A61,T_TTAFStock_Log[WeekIndex],14)=0,"",SUMIFS(T_TTAFStock_Log[TTAF_Qty],T_TTAFStock_Log[Part Name],$A61,T_TTAFStock_Log[WeekIndex],14))</f>
        <v/>
      </c>
      <c r="P61" s="19">
        <f>IF(COUNTIFS(T_TTAFStock_Log[Part Name],$A61,T_TTAFStock_Log[WeekIndex],15)=0,"",SUMIFS(T_TTAFStock_Log[TTAF_Qty],T_TTAFStock_Log[Part Name],$A61,T_TTAFStock_Log[WeekIndex],15))</f>
        <v/>
      </c>
      <c r="Q61" s="19">
        <f>IF(COUNTIFS(T_TTAFStock_Log[Part Name],$A61,T_TTAFStock_Log[WeekIndex],16)=0,"",SUMIFS(T_TTAFStock_Log[TTAF_Qty],T_TTAFStock_Log[Part Name],$A61,T_TTAFStock_Log[WeekIndex],16))</f>
        <v/>
      </c>
      <c r="R61" s="19">
        <f>IF(COUNTIFS(T_TTAFStock_Log[Part Name],$A61,T_TTAFStock_Log[WeekIndex],17)=0,"",SUMIFS(T_TTAFStock_Log[TTAF_Qty],T_TTAFStock_Log[Part Name],$A61,T_TTAFStock_Log[WeekIndex],17))</f>
        <v/>
      </c>
      <c r="S61" s="19">
        <f>IF(COUNTIFS(T_TTAFStock_Log[Part Name],$A61,T_TTAFStock_Log[WeekIndex],18)=0,"",SUMIFS(T_TTAFStock_Log[TTAF_Qty],T_TTAFStock_Log[Part Name],$A61,T_TTAFStock_Log[WeekIndex],18))</f>
        <v/>
      </c>
      <c r="T61" s="19">
        <f>IF(COUNTIFS(T_TTAFStock_Log[Part Name],$A61,T_TTAFStock_Log[WeekIndex],19)=0,"",SUMIFS(T_TTAFStock_Log[TTAF_Qty],T_TTAFStock_Log[Part Name],$A61,T_TTAFStock_Log[WeekIndex],19))</f>
        <v/>
      </c>
      <c r="U61" s="19">
        <f>IF(COUNTIFS(T_TTAFStock_Log[Part Name],$A61,T_TTAFStock_Log[WeekIndex],20)=0,"",SUMIFS(T_TTAFStock_Log[TTAF_Qty],T_TTAFStock_Log[Part Name],$A61,T_TTAFStock_Log[WeekIndex],20))</f>
        <v/>
      </c>
      <c r="V61" s="19">
        <f>IF(COUNTIFS(T_TTAFStock_Log[Part Name],$A61,T_TTAFStock_Log[WeekIndex],21)=0,"",SUMIFS(T_TTAFStock_Log[TTAF_Qty],T_TTAFStock_Log[Part Name],$A61,T_TTAFStock_Log[WeekIndex],21))</f>
        <v/>
      </c>
      <c r="W61" s="19">
        <f>IF(COUNTIFS(T_TTAFStock_Log[Part Name],$A61,T_TTAFStock_Log[WeekIndex],22)=0,"",SUMIFS(T_TTAFStock_Log[TTAF_Qty],T_TTAFStock_Log[Part Name],$A61,T_TTAFStock_Log[WeekIndex],22))</f>
        <v/>
      </c>
      <c r="X61" s="19">
        <f>IF(COUNTIFS(T_TTAFStock_Log[Part Name],$A61,T_TTAFStock_Log[WeekIndex],23)=0,"",SUMIFS(T_TTAFStock_Log[TTAF_Qty],T_TTAFStock_Log[Part Name],$A61,T_TTAFStock_Log[WeekIndex],23))</f>
        <v/>
      </c>
      <c r="Y61" s="19">
        <f>IF(COUNTIFS(T_TTAFStock_Log[Part Name],$A61,T_TTAFStock_Log[WeekIndex],24)=0,"",SUMIFS(T_TTAFStock_Log[TTAF_Qty],T_TTAFStock_Log[Part Name],$A61,T_TTAFStock_Log[WeekIndex],24))</f>
        <v/>
      </c>
      <c r="Z61" s="19">
        <f>IF(COUNTIFS(T_TTAFStock_Log[Part Name],$A61,T_TTAFStock_Log[WeekIndex],25)=0,"",SUMIFS(T_TTAFStock_Log[TTAF_Qty],T_TTAFStock_Log[Part Name],$A61,T_TTAFStock_Log[WeekIndex],25))</f>
        <v/>
      </c>
      <c r="AA61" s="19">
        <f>IF(COUNTIFS(T_TTAFStock_Log[Part Name],$A61,T_TTAFStock_Log[WeekIndex],26)=0,"",SUMIFS(T_TTAFStock_Log[TTAF_Qty],T_TTAFStock_Log[Part Name],$A61,T_TTAFStock_Log[WeekIndex],26))</f>
        <v/>
      </c>
      <c r="AB61" s="19">
        <f>IF(COUNTIFS(T_TTAFStock_Log[Part Name],$A61,T_TTAFStock_Log[WeekIndex],27)=0,"",SUMIFS(T_TTAFStock_Log[TTAF_Qty],T_TTAFStock_Log[Part Name],$A61,T_TTAFStock_Log[WeekIndex],27))</f>
        <v/>
      </c>
      <c r="AC61" s="19">
        <f>IF(COUNTIFS(T_TTAFStock_Log[Part Name],$A61,T_TTAFStock_Log[WeekIndex],28)=0,"",SUMIFS(T_TTAFStock_Log[TTAF_Qty],T_TTAFStock_Log[Part Name],$A61,T_TTAFStock_Log[WeekIndex],28))</f>
        <v/>
      </c>
      <c r="AD61" s="19">
        <f>IF(COUNTIFS(T_TTAFStock_Log[Part Name],$A61,T_TTAFStock_Log[WeekIndex],29)=0,"",SUMIFS(T_TTAFStock_Log[TTAF_Qty],T_TTAFStock_Log[Part Name],$A61,T_TTAFStock_Log[WeekIndex],29))</f>
        <v/>
      </c>
      <c r="AE61" s="19">
        <f>IF(COUNTIFS(T_TTAFStock_Log[Part Name],$A61,T_TTAFStock_Log[WeekIndex],30)=0,"",SUMIFS(T_TTAFStock_Log[TTAF_Qty],T_TTAFStock_Log[Part Name],$A61,T_TTAFStock_Log[WeekIndex],30))</f>
        <v/>
      </c>
      <c r="AF61" s="19">
        <f>IF(COUNTIFS(T_TTAFStock_Log[Part Name],$A61,T_TTAFStock_Log[WeekIndex],31)=0,"",SUMIFS(T_TTAFStock_Log[TTAF_Qty],T_TTAFStock_Log[Part Name],$A61,T_TTAFStock_Log[WeekIndex],31))</f>
        <v/>
      </c>
      <c r="AG61" s="19">
        <f>IF(COUNTIFS(T_TTAFStock_Log[Part Name],$A61,T_TTAFStock_Log[WeekIndex],32)=0,"",SUMIFS(T_TTAFStock_Log[TTAF_Qty],T_TTAFStock_Log[Part Name],$A61,T_TTAFStock_Log[WeekIndex],32))</f>
        <v/>
      </c>
      <c r="AH61" s="19">
        <f>IF(COUNTIFS(T_TTAFStock_Log[Part Name],$A61,T_TTAFStock_Log[WeekIndex],33)=0,"",SUMIFS(T_TTAFStock_Log[TTAF_Qty],T_TTAFStock_Log[Part Name],$A61,T_TTAFStock_Log[WeekIndex],33))</f>
        <v/>
      </c>
      <c r="AI61" s="19">
        <f>IF(COUNTIFS(T_TTAFStock_Log[Part Name],$A61,T_TTAFStock_Log[WeekIndex],34)=0,"",SUMIFS(T_TTAFStock_Log[TTAF_Qty],T_TTAFStock_Log[Part Name],$A61,T_TTAFStock_Log[WeekIndex],34))</f>
        <v/>
      </c>
      <c r="AJ61" s="19">
        <f>IF(COUNTIFS(T_TTAFStock_Log[Part Name],$A61,T_TTAFStock_Log[WeekIndex],35)=0,"",SUMIFS(T_TTAFStock_Log[TTAF_Qty],T_TTAFStock_Log[Part Name],$A61,T_TTAFStock_Log[WeekIndex],35))</f>
        <v/>
      </c>
      <c r="AK61" s="19">
        <f>IF(COUNTIFS(T_TTAFStock_Log[Part Name],$A61,T_TTAFStock_Log[WeekIndex],36)=0,"",SUMIFS(T_TTAFStock_Log[TTAF_Qty],T_TTAFStock_Log[Part Name],$A61,T_TTAFStock_Log[WeekIndex],36))</f>
        <v/>
      </c>
      <c r="AL61" s="19">
        <f>IF(COUNTIFS(T_TTAFStock_Log[Part Name],$A61,T_TTAFStock_Log[WeekIndex],37)=0,"",SUMIFS(T_TTAFStock_Log[TTAF_Qty],T_TTAFStock_Log[Part Name],$A61,T_TTAFStock_Log[WeekIndex],37))</f>
        <v/>
      </c>
      <c r="AM61" s="19">
        <f>IF(COUNTIFS(T_TTAFStock_Log[Part Name],$A61,T_TTAFStock_Log[WeekIndex],38)=0,"",SUMIFS(T_TTAFStock_Log[TTAF_Qty],T_TTAFStock_Log[Part Name],$A61,T_TTAFStock_Log[WeekIndex],38))</f>
        <v/>
      </c>
      <c r="AN61" s="19">
        <f>IF(COUNTIFS(T_TTAFStock_Log[Part Name],$A61,T_TTAFStock_Log[WeekIndex],39)=0,"",SUMIFS(T_TTAFStock_Log[TTAF_Qty],T_TTAFStock_Log[Part Name],$A61,T_TTAFStock_Log[WeekIndex],39))</f>
        <v/>
      </c>
      <c r="AO61" s="19">
        <f>IF(COUNTIFS(T_TTAFStock_Log[Part Name],$A61,T_TTAFStock_Log[WeekIndex],40)=0,"",SUMIFS(T_TTAFStock_Log[TTAF_Qty],T_TTAFStock_Log[Part Name],$A61,T_TTAFStock_Log[WeekIndex],40))</f>
        <v/>
      </c>
      <c r="AP61" s="19">
        <f>IF(COUNTIFS(T_TTAFStock_Log[Part Name],$A61,T_TTAFStock_Log[WeekIndex],41)=0,"",SUMIFS(T_TTAFStock_Log[TTAF_Qty],T_TTAFStock_Log[Part Name],$A61,T_TTAFStock_Log[WeekIndex],41))</f>
        <v/>
      </c>
      <c r="AQ61" s="19">
        <f>IF(COUNTIFS(T_TTAFStock_Log[Part Name],$A61,T_TTAFStock_Log[WeekIndex],42)=0,"",SUMIFS(T_TTAFStock_Log[TTAF_Qty],T_TTAFStock_Log[Part Name],$A61,T_TTAFStock_Log[WeekIndex],42))</f>
        <v/>
      </c>
      <c r="AR61" s="19">
        <f>IF(COUNTIFS(T_TTAFStock_Log[Part Name],$A61,T_TTAFStock_Log[WeekIndex],43)=0,"",SUMIFS(T_TTAFStock_Log[TTAF_Qty],T_TTAFStock_Log[Part Name],$A61,T_TTAFStock_Log[WeekIndex],43))</f>
        <v/>
      </c>
      <c r="AS61" s="19">
        <f>IF(COUNTIFS(T_TTAFStock_Log[Part Name],$A61,T_TTAFStock_Log[WeekIndex],44)=0,"",SUMIFS(T_TTAFStock_Log[TTAF_Qty],T_TTAFStock_Log[Part Name],$A61,T_TTAFStock_Log[WeekIndex],44))</f>
        <v/>
      </c>
      <c r="AT61" s="19">
        <f>IF(COUNTIFS(T_TTAFStock_Log[Part Name],$A61,T_TTAFStock_Log[WeekIndex],45)=0,"",SUMIFS(T_TTAFStock_Log[TTAF_Qty],T_TTAFStock_Log[Part Name],$A61,T_TTAFStock_Log[WeekIndex],45))</f>
        <v/>
      </c>
      <c r="AU61" s="19">
        <f>IF(COUNTIFS(T_TTAFStock_Log[Part Name],$A61,T_TTAFStock_Log[WeekIndex],46)=0,"",SUMIFS(T_TTAFStock_Log[TTAF_Qty],T_TTAFStock_Log[Part Name],$A61,T_TTAFStock_Log[WeekIndex],46))</f>
        <v/>
      </c>
      <c r="AV61" s="19">
        <f>IF(COUNTIFS(T_TTAFStock_Log[Part Name],$A61,T_TTAFStock_Log[WeekIndex],47)=0,"",SUMIFS(T_TTAFStock_Log[TTAF_Qty],T_TTAFStock_Log[Part Name],$A61,T_TTAFStock_Log[WeekIndex],47))</f>
        <v/>
      </c>
      <c r="AW61" s="19">
        <f>IF(COUNTIFS(T_TTAFStock_Log[Part Name],$A61,T_TTAFStock_Log[WeekIndex],48)=0,"",SUMIFS(T_TTAFStock_Log[TTAF_Qty],T_TTAFStock_Log[Part Name],$A61,T_TTAFStock_Log[WeekIndex],48))</f>
        <v/>
      </c>
      <c r="AX61" s="19">
        <f>IF(COUNTIFS(T_TTAFStock_Log[Part Name],$A61,T_TTAFStock_Log[WeekIndex],49)=0,"",SUMIFS(T_TTAFStock_Log[TTAF_Qty],T_TTAFStock_Log[Part Name],$A61,T_TTAFStock_Log[WeekIndex],49))</f>
        <v/>
      </c>
      <c r="AY61" s="19">
        <f>IF(COUNTIFS(T_TTAFStock_Log[Part Name],$A61,T_TTAFStock_Log[WeekIndex],50)=0,"",SUMIFS(T_TTAFStock_Log[TTAF_Qty],T_TTAFStock_Log[Part Name],$A61,T_TTAFStock_Log[WeekIndex],50))</f>
        <v/>
      </c>
      <c r="AZ61" s="19">
        <f>IF(COUNTIFS(T_TTAFStock_Log[Part Name],$A61,T_TTAFStock_Log[WeekIndex],51)=0,"",SUMIFS(T_TTAFStock_Log[TTAF_Qty],T_TTAFStock_Log[Part Name],$A61,T_TTAFStock_Log[WeekIndex],51))</f>
        <v/>
      </c>
      <c r="BA61" s="19">
        <f>IF(COUNTIFS(T_TTAFStock_Log[Part Name],$A61,T_TTAFStock_Log[WeekIndex],52)=0,"",SUMIFS(T_TTAFStock_Log[TTAF_Qty],T_TTAFStock_Log[Part Name],$A61,T_TTAFStock_Log[WeekIndex],52))</f>
        <v/>
      </c>
      <c r="BB61" s="19">
        <f>IF(COUNTIFS(T_TTAFStock_Log[Part Name],$A61,T_TTAFStock_Log[WeekIndex],53)=0,"",SUMIFS(T_TTAFStock_Log[TTAF_Qty],T_TTAFStock_Log[Part Name],$A61,T_TTAFStock_Log[WeekIndex],53))</f>
        <v/>
      </c>
      <c r="BC61" s="19">
        <f>IF(COUNTIFS(T_TTAFStock_Log[Part Name],$A61,T_TTAFStock_Log[WeekIndex],54)=0,"",SUMIFS(T_TTAFStock_Log[TTAF_Qty],T_TTAFStock_Log[Part Name],$A61,T_TTAFStock_Log[WeekIndex],54))</f>
        <v/>
      </c>
      <c r="BD61" s="19">
        <f>IF(COUNTIFS(T_TTAFStock_Log[Part Name],$A61,T_TTAFStock_Log[WeekIndex],55)=0,"",SUMIFS(T_TTAFStock_Log[TTAF_Qty],T_TTAFStock_Log[Part Name],$A61,T_TTAFStock_Log[WeekIndex],55))</f>
        <v/>
      </c>
      <c r="BE61" s="19">
        <f>IF(COUNTIFS(T_TTAFStock_Log[Part Name],$A61,T_TTAFStock_Log[WeekIndex],56)=0,"",SUMIFS(T_TTAFStock_Log[TTAF_Qty],T_TTAFStock_Log[Part Name],$A61,T_TTAFStock_Log[WeekIndex],56))</f>
        <v/>
      </c>
      <c r="BF61" s="19">
        <f>IF(COUNTIFS(T_TTAFStock_Log[Part Name],$A61,T_TTAFStock_Log[WeekIndex],57)=0,"",SUMIFS(T_TTAFStock_Log[TTAF_Qty],T_TTAFStock_Log[Part Name],$A61,T_TTAFStock_Log[WeekIndex],57))</f>
        <v/>
      </c>
      <c r="BG61" s="19">
        <f>IF(COUNTIFS(T_TTAFStock_Log[Part Name],$A61,T_TTAFStock_Log[WeekIndex],58)=0,"",SUMIFS(T_TTAFStock_Log[TTAF_Qty],T_TTAFStock_Log[Part Name],$A61,T_TTAFStock_Log[WeekIndex],58))</f>
        <v/>
      </c>
      <c r="BH61" s="19">
        <f>IF(COUNTIFS(T_TTAFStock_Log[Part Name],$A61,T_TTAFStock_Log[WeekIndex],59)=0,"",SUMIFS(T_TTAFStock_Log[TTAF_Qty],T_TTAFStock_Log[Part Name],$A61,T_TTAFStock_Log[WeekIndex],59))</f>
        <v/>
      </c>
      <c r="BI61" s="19">
        <f>IF(COUNTIFS(T_TTAFStock_Log[Part Name],$A61,T_TTAFStock_Log[WeekIndex],60)=0,"",SUMIFS(T_TTAFStock_Log[TTAF_Qty],T_TTAFStock_Log[Part Name],$A61,T_TTAFStock_Log[WeekIndex],60))</f>
        <v/>
      </c>
      <c r="BJ61" s="19">
        <f>IF(COUNTIFS(T_TTAFStock_Log[Part Name],$A61,T_TTAFStock_Log[WeekIndex],61)=0,"",SUMIFS(T_TTAFStock_Log[TTAF_Qty],T_TTAFStock_Log[Part Name],$A61,T_TTAFStock_Log[WeekIndex],61))</f>
        <v/>
      </c>
      <c r="BK61" s="19">
        <f>IF(COUNTIFS(T_TTAFStock_Log[Part Name],$A61,T_TTAFStock_Log[WeekIndex],62)=0,"",SUMIFS(T_TTAFStock_Log[TTAF_Qty],T_TTAFStock_Log[Part Name],$A61,T_TTAFStock_Log[WeekIndex],62))</f>
        <v/>
      </c>
      <c r="BL61" s="19">
        <f>IF(COUNTIFS(T_TTAFStock_Log[Part Name],$A61,T_TTAFStock_Log[WeekIndex],63)=0,"",SUMIFS(T_TTAFStock_Log[TTAF_Qty],T_TTAFStock_Log[Part Name],$A61,T_TTAFStock_Log[WeekIndex],63))</f>
        <v/>
      </c>
      <c r="BM61" s="19">
        <f>IF(COUNTIFS(T_TTAFStock_Log[Part Name],$A61,T_TTAFStock_Log[WeekIndex],64)=0,"",SUMIFS(T_TTAFStock_Log[TTAF_Qty],T_TTAFStock_Log[Part Name],$A61,T_TTAFStock_Log[WeekIndex],64))</f>
        <v/>
      </c>
      <c r="BN61" s="19">
        <f>IF(COUNTIFS(T_TTAFStock_Log[Part Name],$A61,T_TTAFStock_Log[WeekIndex],65)=0,"",SUMIFS(T_TTAFStock_Log[TTAF_Qty],T_TTAFStock_Log[Part Name],$A61,T_TTAFStock_Log[WeekIndex],65))</f>
        <v/>
      </c>
      <c r="BO61" s="19">
        <f>IF(COUNTIFS(T_TTAFStock_Log[Part Name],$A61,T_TTAFStock_Log[WeekIndex],66)=0,"",SUMIFS(T_TTAFStock_Log[TTAF_Qty],T_TTAFStock_Log[Part Name],$A61,T_TTAFStock_Log[WeekIndex],66))</f>
        <v/>
      </c>
      <c r="BP61" s="19">
        <f>IF(COUNTIFS(T_TTAFStock_Log[Part Name],$A61,T_TTAFStock_Log[WeekIndex],67)=0,"",SUMIFS(T_TTAFStock_Log[TTAF_Qty],T_TTAFStock_Log[Part Name],$A61,T_TTAFStock_Log[WeekIndex],67))</f>
        <v/>
      </c>
      <c r="BQ61" s="19">
        <f>IF(COUNTIFS(T_TTAFStock_Log[Part Name],$A61,T_TTAFStock_Log[WeekIndex],68)=0,"",SUMIFS(T_TTAFStock_Log[TTAF_Qty],T_TTAFStock_Log[Part Name],$A61,T_TTAFStock_Log[WeekIndex],68))</f>
        <v/>
      </c>
      <c r="BR61" s="19">
        <f>IF(COUNTIFS(T_TTAFStock_Log[Part Name],$A61,T_TTAFStock_Log[WeekIndex],69)=0,"",SUMIFS(T_TTAFStock_Log[TTAF_Qty],T_TTAFStock_Log[Part Name],$A61,T_TTAFStock_Log[WeekIndex],69))</f>
        <v/>
      </c>
      <c r="BS61" s="19">
        <f>IF(COUNTIFS(T_TTAFStock_Log[Part Name],$A61,T_TTAFStock_Log[WeekIndex],70)=0,"",SUMIFS(T_TTAFStock_Log[TTAF_Qty],T_TTAFStock_Log[Part Name],$A61,T_TTAFStock_Log[WeekIndex],70))</f>
        <v/>
      </c>
      <c r="BT61" s="19">
        <f>IF(COUNTIFS(T_TTAFStock_Log[Part Name],$A61,T_TTAFStock_Log[WeekIndex],71)=0,"",SUMIFS(T_TTAFStock_Log[TTAF_Qty],T_TTAFStock_Log[Part Name],$A61,T_TTAFStock_Log[WeekIndex],71))</f>
        <v/>
      </c>
      <c r="BU61" s="19">
        <f>IF(COUNTIFS(T_TTAFStock_Log[Part Name],$A61,T_TTAFStock_Log[WeekIndex],72)=0,"",SUMIFS(T_TTAFStock_Log[TTAF_Qty],T_TTAFStock_Log[Part Name],$A61,T_TTAFStock_Log[WeekIndex],72))</f>
        <v/>
      </c>
      <c r="BV61" s="19">
        <f>IF(COUNTIFS(T_TTAFStock_Log[Part Name],$A61,T_TTAFStock_Log[WeekIndex],73)=0,"",SUMIFS(T_TTAFStock_Log[TTAF_Qty],T_TTAFStock_Log[Part Name],$A61,T_TTAFStock_Log[WeekIndex],73))</f>
        <v/>
      </c>
      <c r="BW61" s="19">
        <f>IF(COUNTIFS(T_TTAFStock_Log[Part Name],$A61,T_TTAFStock_Log[WeekIndex],74)=0,"",SUMIFS(T_TTAFStock_Log[TTAF_Qty],T_TTAFStock_Log[Part Name],$A61,T_TTAFStock_Log[WeekIndex],74))</f>
        <v/>
      </c>
      <c r="BX61" s="19">
        <f>IF(COUNTIFS(T_TTAFStock_Log[Part Name],$A61,T_TTAFStock_Log[WeekIndex],75)=0,"",SUMIFS(T_TTAFStock_Log[TTAF_Qty],T_TTAFStock_Log[Part Name],$A61,T_TTAFStock_Log[WeekIndex],75))</f>
        <v/>
      </c>
      <c r="BY61" s="19">
        <f>IF(COUNTIFS(T_TTAFStock_Log[Part Name],$A61,T_TTAFStock_Log[WeekIndex],76)=0,"",SUMIFS(T_TTAFStock_Log[TTAF_Qty],T_TTAFStock_Log[Part Name],$A61,T_TTAFStock_Log[WeekIndex],76))</f>
        <v/>
      </c>
      <c r="BZ61" s="19">
        <f>IF(COUNTIFS(T_TTAFStock_Log[Part Name],$A61,T_TTAFStock_Log[WeekIndex],77)=0,"",SUMIFS(T_TTAFStock_Log[TTAF_Qty],T_TTAFStock_Log[Part Name],$A61,T_TTAFStock_Log[WeekIndex],77))</f>
        <v/>
      </c>
      <c r="CA61" s="19">
        <f>IF(COUNTIFS(T_TTAFStock_Log[Part Name],$A61,T_TTAFStock_Log[WeekIndex],78)=0,"",SUMIFS(T_TTAFStock_Log[TTAF_Qty],T_TTAFStock_Log[Part Name],$A61,T_TTAFStock_Log[WeekIndex],78))</f>
        <v/>
      </c>
      <c r="CB61" s="19">
        <f>IF(COUNTIFS(T_TTAFStock_Log[Part Name],$A61,T_TTAFStock_Log[WeekIndex],79)=0,"",SUMIFS(T_TTAFStock_Log[TTAF_Qty],T_TTAFStock_Log[Part Name],$A61,T_TTAFStock_Log[WeekIndex],79))</f>
        <v/>
      </c>
      <c r="CC61" s="19">
        <f>IF(COUNTIFS(T_TTAFStock_Log[Part Name],$A61,T_TTAFStock_Log[WeekIndex],80)=0,"",SUMIFS(T_TTAFStock_Log[TTAF_Qty],T_TTAFStock_Log[Part Name],$A61,T_TTAFStock_Log[WeekIndex],80))</f>
        <v/>
      </c>
      <c r="CD61" s="19">
        <f>IF(COUNTIFS(T_TTAFStock_Log[Part Name],$A61,T_TTAFStock_Log[WeekIndex],81)=0,"",SUMIFS(T_TTAFStock_Log[TTAF_Qty],T_TTAFStock_Log[Part Name],$A61,T_TTAFStock_Log[WeekIndex],81))</f>
        <v/>
      </c>
      <c r="CE61" s="19">
        <f>IF(COUNTIFS(T_TTAFStock_Log[Part Name],$A61,T_TTAFStock_Log[WeekIndex],82)=0,"",SUMIFS(T_TTAFStock_Log[TTAF_Qty],T_TTAFStock_Log[Part Name],$A61,T_TTAFStock_Log[WeekIndex],82))</f>
        <v/>
      </c>
      <c r="CF61" s="19">
        <f>IF(COUNTIFS(T_TTAFStock_Log[Part Name],$A61,T_TTAFStock_Log[WeekIndex],83)=0,"",SUMIFS(T_TTAFStock_Log[TTAF_Qty],T_TTAFStock_Log[Part Name],$A61,T_TTAFStock_Log[WeekIndex],83))</f>
        <v/>
      </c>
      <c r="CG61" s="19">
        <f>IF(COUNTIFS(T_TTAFStock_Log[Part Name],$A61,T_TTAFStock_Log[WeekIndex],84)=0,"",SUMIFS(T_TTAFStock_Log[TTAF_Qty],T_TTAFStock_Log[Part Name],$A61,T_TTAFStock_Log[WeekIndex],84))</f>
        <v/>
      </c>
      <c r="CH61" s="19">
        <f>IF(COUNTIFS(T_TTAFStock_Log[Part Name],$A61,T_TTAFStock_Log[WeekIndex],85)=0,"",SUMIFS(T_TTAFStock_Log[TTAF_Qty],T_TTAFStock_Log[Part Name],$A61,T_TTAFStock_Log[WeekIndex],85))</f>
        <v/>
      </c>
      <c r="CI61" s="19">
        <f>IF(COUNTIFS(T_TTAFStock_Log[Part Name],$A61,T_TTAFStock_Log[WeekIndex],86)=0,"",SUMIFS(T_TTAFStock_Log[TTAF_Qty],T_TTAFStock_Log[Part Name],$A61,T_TTAFStock_Log[WeekIndex],86))</f>
        <v/>
      </c>
      <c r="CJ61" s="19">
        <f>IF(COUNTIFS(T_TTAFStock_Log[Part Name],$A61,T_TTAFStock_Log[WeekIndex],87)=0,"",SUMIFS(T_TTAFStock_Log[TTAF_Qty],T_TTAFStock_Log[Part Name],$A61,T_TTAFStock_Log[WeekIndex],87))</f>
        <v/>
      </c>
      <c r="CK61" s="19">
        <f>IF(COUNTIFS(T_TTAFStock_Log[Part Name],$A61,T_TTAFStock_Log[WeekIndex],88)=0,"",SUMIFS(T_TTAFStock_Log[TTAF_Qty],T_TTAFStock_Log[Part Name],$A61,T_TTAFStock_Log[WeekIndex],88))</f>
        <v/>
      </c>
      <c r="CL61" s="19">
        <f>IF(COUNTIFS(T_TTAFStock_Log[Part Name],$A61,T_TTAFStock_Log[WeekIndex],89)=0,"",SUMIFS(T_TTAFStock_Log[TTAF_Qty],T_TTAFStock_Log[Part Name],$A61,T_TTAFStock_Log[WeekIndex],89))</f>
        <v/>
      </c>
      <c r="CM61" s="19">
        <f>IF(COUNTIFS(T_TTAFStock_Log[Part Name],$A61,T_TTAFStock_Log[WeekIndex],90)=0,"",SUMIFS(T_TTAFStock_Log[TTAF_Qty],T_TTAFStock_Log[Part Name],$A61,T_TTAFStock_Log[WeekIndex],90))</f>
        <v/>
      </c>
      <c r="CN61" s="19">
        <f>IF(COUNTIFS(T_TTAFStock_Log[Part Name],$A61,T_TTAFStock_Log[WeekIndex],91)=0,"",SUMIFS(T_TTAFStock_Log[TTAF_Qty],T_TTAFStock_Log[Part Name],$A61,T_TTAFStock_Log[WeekIndex],91))</f>
        <v/>
      </c>
      <c r="CO61" s="19">
        <f>IF(COUNTIFS(T_TTAFStock_Log[Part Name],$A61,T_TTAFStock_Log[WeekIndex],92)=0,"",SUMIFS(T_TTAFStock_Log[TTAF_Qty],T_TTAFStock_Log[Part Name],$A61,T_TTAFStock_Log[WeekIndex],92))</f>
        <v/>
      </c>
      <c r="CP61" s="19">
        <f>IF(COUNTIFS(T_TTAFStock_Log[Part Name],$A61,T_TTAFStock_Log[WeekIndex],93)=0,"",SUMIFS(T_TTAFStock_Log[TTAF_Qty],T_TTAFStock_Log[Part Name],$A61,T_TTAFStock_Log[WeekIndex],93))</f>
        <v/>
      </c>
      <c r="CQ61" s="19">
        <f>IF(COUNTIFS(T_TTAFStock_Log[Part Name],$A61,T_TTAFStock_Log[WeekIndex],94)=0,"",SUMIFS(T_TTAFStock_Log[TTAF_Qty],T_TTAFStock_Log[Part Name],$A61,T_TTAFStock_Log[WeekIndex],94))</f>
        <v/>
      </c>
      <c r="CR61" s="19">
        <f>IF(COUNTIFS(T_TTAFStock_Log[Part Name],$A61,T_TTAFStock_Log[WeekIndex],95)=0,"",SUMIFS(T_TTAFStock_Log[TTAF_Qty],T_TTAFStock_Log[Part Name],$A61,T_TTAFStock_Log[WeekIndex],95))</f>
        <v/>
      </c>
      <c r="CS61" s="19">
        <f>IF(COUNTIFS(T_TTAFStock_Log[Part Name],$A61,T_TTAFStock_Log[WeekIndex],96)=0,"",SUMIFS(T_TTAFStock_Log[TTAF_Qty],T_TTAFStock_Log[Part Name],$A61,T_TTAFStock_Log[WeekIndex],96))</f>
        <v/>
      </c>
      <c r="CT61" s="19">
        <f>IF(COUNTIFS(T_TTAFStock_Log[Part Name],$A61,T_TTAFStock_Log[WeekIndex],97)=0,"",SUMIFS(T_TTAFStock_Log[TTAF_Qty],T_TTAFStock_Log[Part Name],$A61,T_TTAFStock_Log[WeekIndex],97))</f>
        <v/>
      </c>
      <c r="CU61" s="19">
        <f>IF(COUNTIFS(T_TTAFStock_Log[Part Name],$A61,T_TTAFStock_Log[WeekIndex],98)=0,"",SUMIFS(T_TTAFStock_Log[TTAF_Qty],T_TTAFStock_Log[Part Name],$A61,T_TTAFStock_Log[WeekIndex],98))</f>
        <v/>
      </c>
      <c r="CV61" s="19">
        <f>IF(COUNTIFS(T_TTAFStock_Log[Part Name],$A61,T_TTAFStock_Log[WeekIndex],99)=0,"",SUMIFS(T_TTAFStock_Log[TTAF_Qty],T_TTAFStock_Log[Part Name],$A61,T_TTAFStock_Log[WeekIndex],99))</f>
        <v/>
      </c>
      <c r="CW61" s="19">
        <f>IF(COUNTIFS(T_TTAFStock_Log[Part Name],$A61,T_TTAFStock_Log[WeekIndex],100)=0,"",SUMIFS(T_TTAFStock_Log[TTAF_Qty],T_TTAFStock_Log[Part Name],$A61,T_TTAFStock_Log[WeekIndex],100))</f>
        <v/>
      </c>
      <c r="CX61" s="19">
        <f>IF(COUNTIFS(T_TTAFStock_Log[Part Name],$A61,T_TTAFStock_Log[WeekIndex],101)=0,"",SUMIFS(T_TTAFStock_Log[TTAF_Qty],T_TTAFStock_Log[Part Name],$A61,T_TTAFStock_Log[WeekIndex],101))</f>
        <v/>
      </c>
      <c r="CY61" s="19">
        <f>IF(COUNTIFS(T_TTAFStock_Log[Part Name],$A61,T_TTAFStock_Log[WeekIndex],102)=0,"",SUMIFS(T_TTAFStock_Log[TTAF_Qty],T_TTAFStock_Log[Part Name],$A61,T_TTAFStock_Log[WeekIndex],102))</f>
        <v/>
      </c>
      <c r="CZ61" s="19">
        <f>IF(COUNTIFS(T_TTAFStock_Log[Part Name],$A61,T_TTAFStock_Log[WeekIndex],103)=0,"",SUMIFS(T_TTAFStock_Log[TTAF_Qty],T_TTAFStock_Log[Part Name],$A61,T_TTAFStock_Log[WeekIndex],103))</f>
        <v/>
      </c>
      <c r="DA61" s="19">
        <f>IF(COUNTIFS(T_TTAFStock_Log[Part Name],$A61,T_TTAFStock_Log[WeekIndex],104)=0,"",SUMIFS(T_TTAFStock_Log[TTAF_Qty],T_TTAFStock_Log[Part Name],$A61,T_TTAFStock_Log[WeekIndex],104))</f>
        <v/>
      </c>
    </row>
    <row r="62">
      <c r="A62" s="17" t="inlineStr">
        <is>
          <t>CHEM-1870</t>
        </is>
      </c>
      <c r="B62" s="17">
        <f>IF(COUNTIFS(T_TTAFStock_Log[Part Name],$A62,T_TTAFStock_Log[WeekIndex],1)=0,"",SUMIFS(T_TTAFStock_Log[TTAF_Qty],T_TTAFStock_Log[Part Name],$A62,T_TTAFStock_Log[WeekIndex],1))</f>
        <v/>
      </c>
      <c r="C62" s="17">
        <f>IF(COUNTIFS(T_TTAFStock_Log[Part Name],$A62,T_TTAFStock_Log[WeekIndex],2)=0,"",SUMIFS(T_TTAFStock_Log[TTAF_Qty],T_TTAFStock_Log[Part Name],$A62,T_TTAFStock_Log[WeekIndex],2))</f>
        <v/>
      </c>
      <c r="D62" s="17">
        <f>IF(COUNTIFS(T_TTAFStock_Log[Part Name],$A62,T_TTAFStock_Log[WeekIndex],3)=0,"",SUMIFS(T_TTAFStock_Log[TTAF_Qty],T_TTAFStock_Log[Part Name],$A62,T_TTAFStock_Log[WeekIndex],3))</f>
        <v/>
      </c>
      <c r="E62" s="17">
        <f>IF(COUNTIFS(T_TTAFStock_Log[Part Name],$A62,T_TTAFStock_Log[WeekIndex],4)=0,"",SUMIFS(T_TTAFStock_Log[TTAF_Qty],T_TTAFStock_Log[Part Name],$A62,T_TTAFStock_Log[WeekIndex],4))</f>
        <v/>
      </c>
      <c r="F62" s="17">
        <f>IF(COUNTIFS(T_TTAFStock_Log[Part Name],$A62,T_TTAFStock_Log[WeekIndex],5)=0,"",SUMIFS(T_TTAFStock_Log[TTAF_Qty],T_TTAFStock_Log[Part Name],$A62,T_TTAFStock_Log[WeekIndex],5))</f>
        <v/>
      </c>
      <c r="G62" s="17">
        <f>IF(COUNTIFS(T_TTAFStock_Log[Part Name],$A62,T_TTAFStock_Log[WeekIndex],6)=0,"",SUMIFS(T_TTAFStock_Log[TTAF_Qty],T_TTAFStock_Log[Part Name],$A62,T_TTAFStock_Log[WeekIndex],6))</f>
        <v/>
      </c>
      <c r="H62" s="17">
        <f>IF(COUNTIFS(T_TTAFStock_Log[Part Name],$A62,T_TTAFStock_Log[WeekIndex],7)=0,"",SUMIFS(T_TTAFStock_Log[TTAF_Qty],T_TTAFStock_Log[Part Name],$A62,T_TTAFStock_Log[WeekIndex],7))</f>
        <v/>
      </c>
      <c r="I62" s="17">
        <f>IF(COUNTIFS(T_TTAFStock_Log[Part Name],$A62,T_TTAFStock_Log[WeekIndex],8)=0,"",SUMIFS(T_TTAFStock_Log[TTAF_Qty],T_TTAFStock_Log[Part Name],$A62,T_TTAFStock_Log[WeekIndex],8))</f>
        <v/>
      </c>
      <c r="J62" s="17">
        <f>IF(COUNTIFS(T_TTAFStock_Log[Part Name],$A62,T_TTAFStock_Log[WeekIndex],9)=0,"",SUMIFS(T_TTAFStock_Log[TTAF_Qty],T_TTAFStock_Log[Part Name],$A62,T_TTAFStock_Log[WeekIndex],9))</f>
        <v/>
      </c>
      <c r="K62" s="17">
        <f>IF(COUNTIFS(T_TTAFStock_Log[Part Name],$A62,T_TTAFStock_Log[WeekIndex],10)=0,"",SUMIFS(T_TTAFStock_Log[TTAF_Qty],T_TTAFStock_Log[Part Name],$A62,T_TTAFStock_Log[WeekIndex],10))</f>
        <v/>
      </c>
      <c r="L62" s="17">
        <f>IF(COUNTIFS(T_TTAFStock_Log[Part Name],$A62,T_TTAFStock_Log[WeekIndex],11)=0,"",SUMIFS(T_TTAFStock_Log[TTAF_Qty],T_TTAFStock_Log[Part Name],$A62,T_TTAFStock_Log[WeekIndex],11))</f>
        <v/>
      </c>
      <c r="M62" s="17">
        <f>IF(COUNTIFS(T_TTAFStock_Log[Part Name],$A62,T_TTAFStock_Log[WeekIndex],12)=0,"",SUMIFS(T_TTAFStock_Log[TTAF_Qty],T_TTAFStock_Log[Part Name],$A62,T_TTAFStock_Log[WeekIndex],12))</f>
        <v/>
      </c>
      <c r="N62" s="17">
        <f>IF(COUNTIFS(T_TTAFStock_Log[Part Name],$A62,T_TTAFStock_Log[WeekIndex],13)=0,"",SUMIFS(T_TTAFStock_Log[TTAF_Qty],T_TTAFStock_Log[Part Name],$A62,T_TTAFStock_Log[WeekIndex],13))</f>
        <v/>
      </c>
      <c r="O62" s="17">
        <f>IF(COUNTIFS(T_TTAFStock_Log[Part Name],$A62,T_TTAFStock_Log[WeekIndex],14)=0,"",SUMIFS(T_TTAFStock_Log[TTAF_Qty],T_TTAFStock_Log[Part Name],$A62,T_TTAFStock_Log[WeekIndex],14))</f>
        <v/>
      </c>
      <c r="P62" s="17">
        <f>IF(COUNTIFS(T_TTAFStock_Log[Part Name],$A62,T_TTAFStock_Log[WeekIndex],15)=0,"",SUMIFS(T_TTAFStock_Log[TTAF_Qty],T_TTAFStock_Log[Part Name],$A62,T_TTAFStock_Log[WeekIndex],15))</f>
        <v/>
      </c>
      <c r="Q62" s="17">
        <f>IF(COUNTIFS(T_TTAFStock_Log[Part Name],$A62,T_TTAFStock_Log[WeekIndex],16)=0,"",SUMIFS(T_TTAFStock_Log[TTAF_Qty],T_TTAFStock_Log[Part Name],$A62,T_TTAFStock_Log[WeekIndex],16))</f>
        <v/>
      </c>
      <c r="R62" s="17">
        <f>IF(COUNTIFS(T_TTAFStock_Log[Part Name],$A62,T_TTAFStock_Log[WeekIndex],17)=0,"",SUMIFS(T_TTAFStock_Log[TTAF_Qty],T_TTAFStock_Log[Part Name],$A62,T_TTAFStock_Log[WeekIndex],17))</f>
        <v/>
      </c>
      <c r="S62" s="17">
        <f>IF(COUNTIFS(T_TTAFStock_Log[Part Name],$A62,T_TTAFStock_Log[WeekIndex],18)=0,"",SUMIFS(T_TTAFStock_Log[TTAF_Qty],T_TTAFStock_Log[Part Name],$A62,T_TTAFStock_Log[WeekIndex],18))</f>
        <v/>
      </c>
      <c r="T62" s="17">
        <f>IF(COUNTIFS(T_TTAFStock_Log[Part Name],$A62,T_TTAFStock_Log[WeekIndex],19)=0,"",SUMIFS(T_TTAFStock_Log[TTAF_Qty],T_TTAFStock_Log[Part Name],$A62,T_TTAFStock_Log[WeekIndex],19))</f>
        <v/>
      </c>
      <c r="U62" s="17">
        <f>IF(COUNTIFS(T_TTAFStock_Log[Part Name],$A62,T_TTAFStock_Log[WeekIndex],20)=0,"",SUMIFS(T_TTAFStock_Log[TTAF_Qty],T_TTAFStock_Log[Part Name],$A62,T_TTAFStock_Log[WeekIndex],20))</f>
        <v/>
      </c>
      <c r="V62" s="17">
        <f>IF(COUNTIFS(T_TTAFStock_Log[Part Name],$A62,T_TTAFStock_Log[WeekIndex],21)=0,"",SUMIFS(T_TTAFStock_Log[TTAF_Qty],T_TTAFStock_Log[Part Name],$A62,T_TTAFStock_Log[WeekIndex],21))</f>
        <v/>
      </c>
      <c r="W62" s="17">
        <f>IF(COUNTIFS(T_TTAFStock_Log[Part Name],$A62,T_TTAFStock_Log[WeekIndex],22)=0,"",SUMIFS(T_TTAFStock_Log[TTAF_Qty],T_TTAFStock_Log[Part Name],$A62,T_TTAFStock_Log[WeekIndex],22))</f>
        <v/>
      </c>
      <c r="X62" s="17">
        <f>IF(COUNTIFS(T_TTAFStock_Log[Part Name],$A62,T_TTAFStock_Log[WeekIndex],23)=0,"",SUMIFS(T_TTAFStock_Log[TTAF_Qty],T_TTAFStock_Log[Part Name],$A62,T_TTAFStock_Log[WeekIndex],23))</f>
        <v/>
      </c>
      <c r="Y62" s="17">
        <f>IF(COUNTIFS(T_TTAFStock_Log[Part Name],$A62,T_TTAFStock_Log[WeekIndex],24)=0,"",SUMIFS(T_TTAFStock_Log[TTAF_Qty],T_TTAFStock_Log[Part Name],$A62,T_TTAFStock_Log[WeekIndex],24))</f>
        <v/>
      </c>
      <c r="Z62" s="17">
        <f>IF(COUNTIFS(T_TTAFStock_Log[Part Name],$A62,T_TTAFStock_Log[WeekIndex],25)=0,"",SUMIFS(T_TTAFStock_Log[TTAF_Qty],T_TTAFStock_Log[Part Name],$A62,T_TTAFStock_Log[WeekIndex],25))</f>
        <v/>
      </c>
      <c r="AA62" s="17">
        <f>IF(COUNTIFS(T_TTAFStock_Log[Part Name],$A62,T_TTAFStock_Log[WeekIndex],26)=0,"",SUMIFS(T_TTAFStock_Log[TTAF_Qty],T_TTAFStock_Log[Part Name],$A62,T_TTAFStock_Log[WeekIndex],26))</f>
        <v/>
      </c>
      <c r="AB62" s="17">
        <f>IF(COUNTIFS(T_TTAFStock_Log[Part Name],$A62,T_TTAFStock_Log[WeekIndex],27)=0,"",SUMIFS(T_TTAFStock_Log[TTAF_Qty],T_TTAFStock_Log[Part Name],$A62,T_TTAFStock_Log[WeekIndex],27))</f>
        <v/>
      </c>
      <c r="AC62" s="17">
        <f>IF(COUNTIFS(T_TTAFStock_Log[Part Name],$A62,T_TTAFStock_Log[WeekIndex],28)=0,"",SUMIFS(T_TTAFStock_Log[TTAF_Qty],T_TTAFStock_Log[Part Name],$A62,T_TTAFStock_Log[WeekIndex],28))</f>
        <v/>
      </c>
      <c r="AD62" s="17">
        <f>IF(COUNTIFS(T_TTAFStock_Log[Part Name],$A62,T_TTAFStock_Log[WeekIndex],29)=0,"",SUMIFS(T_TTAFStock_Log[TTAF_Qty],T_TTAFStock_Log[Part Name],$A62,T_TTAFStock_Log[WeekIndex],29))</f>
        <v/>
      </c>
      <c r="AE62" s="17">
        <f>IF(COUNTIFS(T_TTAFStock_Log[Part Name],$A62,T_TTAFStock_Log[WeekIndex],30)=0,"",SUMIFS(T_TTAFStock_Log[TTAF_Qty],T_TTAFStock_Log[Part Name],$A62,T_TTAFStock_Log[WeekIndex],30))</f>
        <v/>
      </c>
      <c r="AF62" s="17">
        <f>IF(COUNTIFS(T_TTAFStock_Log[Part Name],$A62,T_TTAFStock_Log[WeekIndex],31)=0,"",SUMIFS(T_TTAFStock_Log[TTAF_Qty],T_TTAFStock_Log[Part Name],$A62,T_TTAFStock_Log[WeekIndex],31))</f>
        <v/>
      </c>
      <c r="AG62" s="17">
        <f>IF(COUNTIFS(T_TTAFStock_Log[Part Name],$A62,T_TTAFStock_Log[WeekIndex],32)=0,"",SUMIFS(T_TTAFStock_Log[TTAF_Qty],T_TTAFStock_Log[Part Name],$A62,T_TTAFStock_Log[WeekIndex],32))</f>
        <v/>
      </c>
      <c r="AH62" s="17">
        <f>IF(COUNTIFS(T_TTAFStock_Log[Part Name],$A62,T_TTAFStock_Log[WeekIndex],33)=0,"",SUMIFS(T_TTAFStock_Log[TTAF_Qty],T_TTAFStock_Log[Part Name],$A62,T_TTAFStock_Log[WeekIndex],33))</f>
        <v/>
      </c>
      <c r="AI62" s="17">
        <f>IF(COUNTIFS(T_TTAFStock_Log[Part Name],$A62,T_TTAFStock_Log[WeekIndex],34)=0,"",SUMIFS(T_TTAFStock_Log[TTAF_Qty],T_TTAFStock_Log[Part Name],$A62,T_TTAFStock_Log[WeekIndex],34))</f>
        <v/>
      </c>
      <c r="AJ62" s="17">
        <f>IF(COUNTIFS(T_TTAFStock_Log[Part Name],$A62,T_TTAFStock_Log[WeekIndex],35)=0,"",SUMIFS(T_TTAFStock_Log[TTAF_Qty],T_TTAFStock_Log[Part Name],$A62,T_TTAFStock_Log[WeekIndex],35))</f>
        <v/>
      </c>
      <c r="AK62" s="17">
        <f>IF(COUNTIFS(T_TTAFStock_Log[Part Name],$A62,T_TTAFStock_Log[WeekIndex],36)=0,"",SUMIFS(T_TTAFStock_Log[TTAF_Qty],T_TTAFStock_Log[Part Name],$A62,T_TTAFStock_Log[WeekIndex],36))</f>
        <v/>
      </c>
      <c r="AL62" s="17">
        <f>IF(COUNTIFS(T_TTAFStock_Log[Part Name],$A62,T_TTAFStock_Log[WeekIndex],37)=0,"",SUMIFS(T_TTAFStock_Log[TTAF_Qty],T_TTAFStock_Log[Part Name],$A62,T_TTAFStock_Log[WeekIndex],37))</f>
        <v/>
      </c>
      <c r="AM62" s="17">
        <f>IF(COUNTIFS(T_TTAFStock_Log[Part Name],$A62,T_TTAFStock_Log[WeekIndex],38)=0,"",SUMIFS(T_TTAFStock_Log[TTAF_Qty],T_TTAFStock_Log[Part Name],$A62,T_TTAFStock_Log[WeekIndex],38))</f>
        <v/>
      </c>
      <c r="AN62" s="17">
        <f>IF(COUNTIFS(T_TTAFStock_Log[Part Name],$A62,T_TTAFStock_Log[WeekIndex],39)=0,"",SUMIFS(T_TTAFStock_Log[TTAF_Qty],T_TTAFStock_Log[Part Name],$A62,T_TTAFStock_Log[WeekIndex],39))</f>
        <v/>
      </c>
      <c r="AO62" s="17">
        <f>IF(COUNTIFS(T_TTAFStock_Log[Part Name],$A62,T_TTAFStock_Log[WeekIndex],40)=0,"",SUMIFS(T_TTAFStock_Log[TTAF_Qty],T_TTAFStock_Log[Part Name],$A62,T_TTAFStock_Log[WeekIndex],40))</f>
        <v/>
      </c>
      <c r="AP62" s="17">
        <f>IF(COUNTIFS(T_TTAFStock_Log[Part Name],$A62,T_TTAFStock_Log[WeekIndex],41)=0,"",SUMIFS(T_TTAFStock_Log[TTAF_Qty],T_TTAFStock_Log[Part Name],$A62,T_TTAFStock_Log[WeekIndex],41))</f>
        <v/>
      </c>
      <c r="AQ62" s="17">
        <f>IF(COUNTIFS(T_TTAFStock_Log[Part Name],$A62,T_TTAFStock_Log[WeekIndex],42)=0,"",SUMIFS(T_TTAFStock_Log[TTAF_Qty],T_TTAFStock_Log[Part Name],$A62,T_TTAFStock_Log[WeekIndex],42))</f>
        <v/>
      </c>
      <c r="AR62" s="17">
        <f>IF(COUNTIFS(T_TTAFStock_Log[Part Name],$A62,T_TTAFStock_Log[WeekIndex],43)=0,"",SUMIFS(T_TTAFStock_Log[TTAF_Qty],T_TTAFStock_Log[Part Name],$A62,T_TTAFStock_Log[WeekIndex],43))</f>
        <v/>
      </c>
      <c r="AS62" s="17">
        <f>IF(COUNTIFS(T_TTAFStock_Log[Part Name],$A62,T_TTAFStock_Log[WeekIndex],44)=0,"",SUMIFS(T_TTAFStock_Log[TTAF_Qty],T_TTAFStock_Log[Part Name],$A62,T_TTAFStock_Log[WeekIndex],44))</f>
        <v/>
      </c>
      <c r="AT62" s="17">
        <f>IF(COUNTIFS(T_TTAFStock_Log[Part Name],$A62,T_TTAFStock_Log[WeekIndex],45)=0,"",SUMIFS(T_TTAFStock_Log[TTAF_Qty],T_TTAFStock_Log[Part Name],$A62,T_TTAFStock_Log[WeekIndex],45))</f>
        <v/>
      </c>
      <c r="AU62" s="17">
        <f>IF(COUNTIFS(T_TTAFStock_Log[Part Name],$A62,T_TTAFStock_Log[WeekIndex],46)=0,"",SUMIFS(T_TTAFStock_Log[TTAF_Qty],T_TTAFStock_Log[Part Name],$A62,T_TTAFStock_Log[WeekIndex],46))</f>
        <v/>
      </c>
      <c r="AV62" s="17">
        <f>IF(COUNTIFS(T_TTAFStock_Log[Part Name],$A62,T_TTAFStock_Log[WeekIndex],47)=0,"",SUMIFS(T_TTAFStock_Log[TTAF_Qty],T_TTAFStock_Log[Part Name],$A62,T_TTAFStock_Log[WeekIndex],47))</f>
        <v/>
      </c>
      <c r="AW62" s="17">
        <f>IF(COUNTIFS(T_TTAFStock_Log[Part Name],$A62,T_TTAFStock_Log[WeekIndex],48)=0,"",SUMIFS(T_TTAFStock_Log[TTAF_Qty],T_TTAFStock_Log[Part Name],$A62,T_TTAFStock_Log[WeekIndex],48))</f>
        <v/>
      </c>
      <c r="AX62" s="17">
        <f>IF(COUNTIFS(T_TTAFStock_Log[Part Name],$A62,T_TTAFStock_Log[WeekIndex],49)=0,"",SUMIFS(T_TTAFStock_Log[TTAF_Qty],T_TTAFStock_Log[Part Name],$A62,T_TTAFStock_Log[WeekIndex],49))</f>
        <v/>
      </c>
      <c r="AY62" s="17">
        <f>IF(COUNTIFS(T_TTAFStock_Log[Part Name],$A62,T_TTAFStock_Log[WeekIndex],50)=0,"",SUMIFS(T_TTAFStock_Log[TTAF_Qty],T_TTAFStock_Log[Part Name],$A62,T_TTAFStock_Log[WeekIndex],50))</f>
        <v/>
      </c>
      <c r="AZ62" s="17">
        <f>IF(COUNTIFS(T_TTAFStock_Log[Part Name],$A62,T_TTAFStock_Log[WeekIndex],51)=0,"",SUMIFS(T_TTAFStock_Log[TTAF_Qty],T_TTAFStock_Log[Part Name],$A62,T_TTAFStock_Log[WeekIndex],51))</f>
        <v/>
      </c>
      <c r="BA62" s="17">
        <f>IF(COUNTIFS(T_TTAFStock_Log[Part Name],$A62,T_TTAFStock_Log[WeekIndex],52)=0,"",SUMIFS(T_TTAFStock_Log[TTAF_Qty],T_TTAFStock_Log[Part Name],$A62,T_TTAFStock_Log[WeekIndex],52))</f>
        <v/>
      </c>
      <c r="BB62" s="17">
        <f>IF(COUNTIFS(T_TTAFStock_Log[Part Name],$A62,T_TTAFStock_Log[WeekIndex],53)=0,"",SUMIFS(T_TTAFStock_Log[TTAF_Qty],T_TTAFStock_Log[Part Name],$A62,T_TTAFStock_Log[WeekIndex],53))</f>
        <v/>
      </c>
      <c r="BC62" s="17">
        <f>IF(COUNTIFS(T_TTAFStock_Log[Part Name],$A62,T_TTAFStock_Log[WeekIndex],54)=0,"",SUMIFS(T_TTAFStock_Log[TTAF_Qty],T_TTAFStock_Log[Part Name],$A62,T_TTAFStock_Log[WeekIndex],54))</f>
        <v/>
      </c>
      <c r="BD62" s="17">
        <f>IF(COUNTIFS(T_TTAFStock_Log[Part Name],$A62,T_TTAFStock_Log[WeekIndex],55)=0,"",SUMIFS(T_TTAFStock_Log[TTAF_Qty],T_TTAFStock_Log[Part Name],$A62,T_TTAFStock_Log[WeekIndex],55))</f>
        <v/>
      </c>
      <c r="BE62" s="17">
        <f>IF(COUNTIFS(T_TTAFStock_Log[Part Name],$A62,T_TTAFStock_Log[WeekIndex],56)=0,"",SUMIFS(T_TTAFStock_Log[TTAF_Qty],T_TTAFStock_Log[Part Name],$A62,T_TTAFStock_Log[WeekIndex],56))</f>
        <v/>
      </c>
      <c r="BF62" s="17">
        <f>IF(COUNTIFS(T_TTAFStock_Log[Part Name],$A62,T_TTAFStock_Log[WeekIndex],57)=0,"",SUMIFS(T_TTAFStock_Log[TTAF_Qty],T_TTAFStock_Log[Part Name],$A62,T_TTAFStock_Log[WeekIndex],57))</f>
        <v/>
      </c>
      <c r="BG62" s="17">
        <f>IF(COUNTIFS(T_TTAFStock_Log[Part Name],$A62,T_TTAFStock_Log[WeekIndex],58)=0,"",SUMIFS(T_TTAFStock_Log[TTAF_Qty],T_TTAFStock_Log[Part Name],$A62,T_TTAFStock_Log[WeekIndex],58))</f>
        <v/>
      </c>
      <c r="BH62" s="17">
        <f>IF(COUNTIFS(T_TTAFStock_Log[Part Name],$A62,T_TTAFStock_Log[WeekIndex],59)=0,"",SUMIFS(T_TTAFStock_Log[TTAF_Qty],T_TTAFStock_Log[Part Name],$A62,T_TTAFStock_Log[WeekIndex],59))</f>
        <v/>
      </c>
      <c r="BI62" s="17">
        <f>IF(COUNTIFS(T_TTAFStock_Log[Part Name],$A62,T_TTAFStock_Log[WeekIndex],60)=0,"",SUMIFS(T_TTAFStock_Log[TTAF_Qty],T_TTAFStock_Log[Part Name],$A62,T_TTAFStock_Log[WeekIndex],60))</f>
        <v/>
      </c>
      <c r="BJ62" s="17">
        <f>IF(COUNTIFS(T_TTAFStock_Log[Part Name],$A62,T_TTAFStock_Log[WeekIndex],61)=0,"",SUMIFS(T_TTAFStock_Log[TTAF_Qty],T_TTAFStock_Log[Part Name],$A62,T_TTAFStock_Log[WeekIndex],61))</f>
        <v/>
      </c>
      <c r="BK62" s="17">
        <f>IF(COUNTIFS(T_TTAFStock_Log[Part Name],$A62,T_TTAFStock_Log[WeekIndex],62)=0,"",SUMIFS(T_TTAFStock_Log[TTAF_Qty],T_TTAFStock_Log[Part Name],$A62,T_TTAFStock_Log[WeekIndex],62))</f>
        <v/>
      </c>
      <c r="BL62" s="17">
        <f>IF(COUNTIFS(T_TTAFStock_Log[Part Name],$A62,T_TTAFStock_Log[WeekIndex],63)=0,"",SUMIFS(T_TTAFStock_Log[TTAF_Qty],T_TTAFStock_Log[Part Name],$A62,T_TTAFStock_Log[WeekIndex],63))</f>
        <v/>
      </c>
      <c r="BM62" s="17">
        <f>IF(COUNTIFS(T_TTAFStock_Log[Part Name],$A62,T_TTAFStock_Log[WeekIndex],64)=0,"",SUMIFS(T_TTAFStock_Log[TTAF_Qty],T_TTAFStock_Log[Part Name],$A62,T_TTAFStock_Log[WeekIndex],64))</f>
        <v/>
      </c>
      <c r="BN62" s="17">
        <f>IF(COUNTIFS(T_TTAFStock_Log[Part Name],$A62,T_TTAFStock_Log[WeekIndex],65)=0,"",SUMIFS(T_TTAFStock_Log[TTAF_Qty],T_TTAFStock_Log[Part Name],$A62,T_TTAFStock_Log[WeekIndex],65))</f>
        <v/>
      </c>
      <c r="BO62" s="17">
        <f>IF(COUNTIFS(T_TTAFStock_Log[Part Name],$A62,T_TTAFStock_Log[WeekIndex],66)=0,"",SUMIFS(T_TTAFStock_Log[TTAF_Qty],T_TTAFStock_Log[Part Name],$A62,T_TTAFStock_Log[WeekIndex],66))</f>
        <v/>
      </c>
      <c r="BP62" s="17">
        <f>IF(COUNTIFS(T_TTAFStock_Log[Part Name],$A62,T_TTAFStock_Log[WeekIndex],67)=0,"",SUMIFS(T_TTAFStock_Log[TTAF_Qty],T_TTAFStock_Log[Part Name],$A62,T_TTAFStock_Log[WeekIndex],67))</f>
        <v/>
      </c>
      <c r="BQ62" s="17">
        <f>IF(COUNTIFS(T_TTAFStock_Log[Part Name],$A62,T_TTAFStock_Log[WeekIndex],68)=0,"",SUMIFS(T_TTAFStock_Log[TTAF_Qty],T_TTAFStock_Log[Part Name],$A62,T_TTAFStock_Log[WeekIndex],68))</f>
        <v/>
      </c>
      <c r="BR62" s="17">
        <f>IF(COUNTIFS(T_TTAFStock_Log[Part Name],$A62,T_TTAFStock_Log[WeekIndex],69)=0,"",SUMIFS(T_TTAFStock_Log[TTAF_Qty],T_TTAFStock_Log[Part Name],$A62,T_TTAFStock_Log[WeekIndex],69))</f>
        <v/>
      </c>
      <c r="BS62" s="17">
        <f>IF(COUNTIFS(T_TTAFStock_Log[Part Name],$A62,T_TTAFStock_Log[WeekIndex],70)=0,"",SUMIFS(T_TTAFStock_Log[TTAF_Qty],T_TTAFStock_Log[Part Name],$A62,T_TTAFStock_Log[WeekIndex],70))</f>
        <v/>
      </c>
      <c r="BT62" s="17">
        <f>IF(COUNTIFS(T_TTAFStock_Log[Part Name],$A62,T_TTAFStock_Log[WeekIndex],71)=0,"",SUMIFS(T_TTAFStock_Log[TTAF_Qty],T_TTAFStock_Log[Part Name],$A62,T_TTAFStock_Log[WeekIndex],71))</f>
        <v/>
      </c>
      <c r="BU62" s="17">
        <f>IF(COUNTIFS(T_TTAFStock_Log[Part Name],$A62,T_TTAFStock_Log[WeekIndex],72)=0,"",SUMIFS(T_TTAFStock_Log[TTAF_Qty],T_TTAFStock_Log[Part Name],$A62,T_TTAFStock_Log[WeekIndex],72))</f>
        <v/>
      </c>
      <c r="BV62" s="17">
        <f>IF(COUNTIFS(T_TTAFStock_Log[Part Name],$A62,T_TTAFStock_Log[WeekIndex],73)=0,"",SUMIFS(T_TTAFStock_Log[TTAF_Qty],T_TTAFStock_Log[Part Name],$A62,T_TTAFStock_Log[WeekIndex],73))</f>
        <v/>
      </c>
      <c r="BW62" s="17">
        <f>IF(COUNTIFS(T_TTAFStock_Log[Part Name],$A62,T_TTAFStock_Log[WeekIndex],74)=0,"",SUMIFS(T_TTAFStock_Log[TTAF_Qty],T_TTAFStock_Log[Part Name],$A62,T_TTAFStock_Log[WeekIndex],74))</f>
        <v/>
      </c>
      <c r="BX62" s="17">
        <f>IF(COUNTIFS(T_TTAFStock_Log[Part Name],$A62,T_TTAFStock_Log[WeekIndex],75)=0,"",SUMIFS(T_TTAFStock_Log[TTAF_Qty],T_TTAFStock_Log[Part Name],$A62,T_TTAFStock_Log[WeekIndex],75))</f>
        <v/>
      </c>
      <c r="BY62" s="17">
        <f>IF(COUNTIFS(T_TTAFStock_Log[Part Name],$A62,T_TTAFStock_Log[WeekIndex],76)=0,"",SUMIFS(T_TTAFStock_Log[TTAF_Qty],T_TTAFStock_Log[Part Name],$A62,T_TTAFStock_Log[WeekIndex],76))</f>
        <v/>
      </c>
      <c r="BZ62" s="17">
        <f>IF(COUNTIFS(T_TTAFStock_Log[Part Name],$A62,T_TTAFStock_Log[WeekIndex],77)=0,"",SUMIFS(T_TTAFStock_Log[TTAF_Qty],T_TTAFStock_Log[Part Name],$A62,T_TTAFStock_Log[WeekIndex],77))</f>
        <v/>
      </c>
      <c r="CA62" s="17">
        <f>IF(COUNTIFS(T_TTAFStock_Log[Part Name],$A62,T_TTAFStock_Log[WeekIndex],78)=0,"",SUMIFS(T_TTAFStock_Log[TTAF_Qty],T_TTAFStock_Log[Part Name],$A62,T_TTAFStock_Log[WeekIndex],78))</f>
        <v/>
      </c>
      <c r="CB62" s="17">
        <f>IF(COUNTIFS(T_TTAFStock_Log[Part Name],$A62,T_TTAFStock_Log[WeekIndex],79)=0,"",SUMIFS(T_TTAFStock_Log[TTAF_Qty],T_TTAFStock_Log[Part Name],$A62,T_TTAFStock_Log[WeekIndex],79))</f>
        <v/>
      </c>
      <c r="CC62" s="17">
        <f>IF(COUNTIFS(T_TTAFStock_Log[Part Name],$A62,T_TTAFStock_Log[WeekIndex],80)=0,"",SUMIFS(T_TTAFStock_Log[TTAF_Qty],T_TTAFStock_Log[Part Name],$A62,T_TTAFStock_Log[WeekIndex],80))</f>
        <v/>
      </c>
      <c r="CD62" s="17">
        <f>IF(COUNTIFS(T_TTAFStock_Log[Part Name],$A62,T_TTAFStock_Log[WeekIndex],81)=0,"",SUMIFS(T_TTAFStock_Log[TTAF_Qty],T_TTAFStock_Log[Part Name],$A62,T_TTAFStock_Log[WeekIndex],81))</f>
        <v/>
      </c>
      <c r="CE62" s="17">
        <f>IF(COUNTIFS(T_TTAFStock_Log[Part Name],$A62,T_TTAFStock_Log[WeekIndex],82)=0,"",SUMIFS(T_TTAFStock_Log[TTAF_Qty],T_TTAFStock_Log[Part Name],$A62,T_TTAFStock_Log[WeekIndex],82))</f>
        <v/>
      </c>
      <c r="CF62" s="17">
        <f>IF(COUNTIFS(T_TTAFStock_Log[Part Name],$A62,T_TTAFStock_Log[WeekIndex],83)=0,"",SUMIFS(T_TTAFStock_Log[TTAF_Qty],T_TTAFStock_Log[Part Name],$A62,T_TTAFStock_Log[WeekIndex],83))</f>
        <v/>
      </c>
      <c r="CG62" s="17">
        <f>IF(COUNTIFS(T_TTAFStock_Log[Part Name],$A62,T_TTAFStock_Log[WeekIndex],84)=0,"",SUMIFS(T_TTAFStock_Log[TTAF_Qty],T_TTAFStock_Log[Part Name],$A62,T_TTAFStock_Log[WeekIndex],84))</f>
        <v/>
      </c>
      <c r="CH62" s="17">
        <f>IF(COUNTIFS(T_TTAFStock_Log[Part Name],$A62,T_TTAFStock_Log[WeekIndex],85)=0,"",SUMIFS(T_TTAFStock_Log[TTAF_Qty],T_TTAFStock_Log[Part Name],$A62,T_TTAFStock_Log[WeekIndex],85))</f>
        <v/>
      </c>
      <c r="CI62" s="17">
        <f>IF(COUNTIFS(T_TTAFStock_Log[Part Name],$A62,T_TTAFStock_Log[WeekIndex],86)=0,"",SUMIFS(T_TTAFStock_Log[TTAF_Qty],T_TTAFStock_Log[Part Name],$A62,T_TTAFStock_Log[WeekIndex],86))</f>
        <v/>
      </c>
      <c r="CJ62" s="17">
        <f>IF(COUNTIFS(T_TTAFStock_Log[Part Name],$A62,T_TTAFStock_Log[WeekIndex],87)=0,"",SUMIFS(T_TTAFStock_Log[TTAF_Qty],T_TTAFStock_Log[Part Name],$A62,T_TTAFStock_Log[WeekIndex],87))</f>
        <v/>
      </c>
      <c r="CK62" s="17">
        <f>IF(COUNTIFS(T_TTAFStock_Log[Part Name],$A62,T_TTAFStock_Log[WeekIndex],88)=0,"",SUMIFS(T_TTAFStock_Log[TTAF_Qty],T_TTAFStock_Log[Part Name],$A62,T_TTAFStock_Log[WeekIndex],88))</f>
        <v/>
      </c>
      <c r="CL62" s="17">
        <f>IF(COUNTIFS(T_TTAFStock_Log[Part Name],$A62,T_TTAFStock_Log[WeekIndex],89)=0,"",SUMIFS(T_TTAFStock_Log[TTAF_Qty],T_TTAFStock_Log[Part Name],$A62,T_TTAFStock_Log[WeekIndex],89))</f>
        <v/>
      </c>
      <c r="CM62" s="17">
        <f>IF(COUNTIFS(T_TTAFStock_Log[Part Name],$A62,T_TTAFStock_Log[WeekIndex],90)=0,"",SUMIFS(T_TTAFStock_Log[TTAF_Qty],T_TTAFStock_Log[Part Name],$A62,T_TTAFStock_Log[WeekIndex],90))</f>
        <v/>
      </c>
      <c r="CN62" s="17">
        <f>IF(COUNTIFS(T_TTAFStock_Log[Part Name],$A62,T_TTAFStock_Log[WeekIndex],91)=0,"",SUMIFS(T_TTAFStock_Log[TTAF_Qty],T_TTAFStock_Log[Part Name],$A62,T_TTAFStock_Log[WeekIndex],91))</f>
        <v/>
      </c>
      <c r="CO62" s="17">
        <f>IF(COUNTIFS(T_TTAFStock_Log[Part Name],$A62,T_TTAFStock_Log[WeekIndex],92)=0,"",SUMIFS(T_TTAFStock_Log[TTAF_Qty],T_TTAFStock_Log[Part Name],$A62,T_TTAFStock_Log[WeekIndex],92))</f>
        <v/>
      </c>
      <c r="CP62" s="17">
        <f>IF(COUNTIFS(T_TTAFStock_Log[Part Name],$A62,T_TTAFStock_Log[WeekIndex],93)=0,"",SUMIFS(T_TTAFStock_Log[TTAF_Qty],T_TTAFStock_Log[Part Name],$A62,T_TTAFStock_Log[WeekIndex],93))</f>
        <v/>
      </c>
      <c r="CQ62" s="17">
        <f>IF(COUNTIFS(T_TTAFStock_Log[Part Name],$A62,T_TTAFStock_Log[WeekIndex],94)=0,"",SUMIFS(T_TTAFStock_Log[TTAF_Qty],T_TTAFStock_Log[Part Name],$A62,T_TTAFStock_Log[WeekIndex],94))</f>
        <v/>
      </c>
      <c r="CR62" s="17">
        <f>IF(COUNTIFS(T_TTAFStock_Log[Part Name],$A62,T_TTAFStock_Log[WeekIndex],95)=0,"",SUMIFS(T_TTAFStock_Log[TTAF_Qty],T_TTAFStock_Log[Part Name],$A62,T_TTAFStock_Log[WeekIndex],95))</f>
        <v/>
      </c>
      <c r="CS62" s="17">
        <f>IF(COUNTIFS(T_TTAFStock_Log[Part Name],$A62,T_TTAFStock_Log[WeekIndex],96)=0,"",SUMIFS(T_TTAFStock_Log[TTAF_Qty],T_TTAFStock_Log[Part Name],$A62,T_TTAFStock_Log[WeekIndex],96))</f>
        <v/>
      </c>
      <c r="CT62" s="17">
        <f>IF(COUNTIFS(T_TTAFStock_Log[Part Name],$A62,T_TTAFStock_Log[WeekIndex],97)=0,"",SUMIFS(T_TTAFStock_Log[TTAF_Qty],T_TTAFStock_Log[Part Name],$A62,T_TTAFStock_Log[WeekIndex],97))</f>
        <v/>
      </c>
      <c r="CU62" s="17">
        <f>IF(COUNTIFS(T_TTAFStock_Log[Part Name],$A62,T_TTAFStock_Log[WeekIndex],98)=0,"",SUMIFS(T_TTAFStock_Log[TTAF_Qty],T_TTAFStock_Log[Part Name],$A62,T_TTAFStock_Log[WeekIndex],98))</f>
        <v/>
      </c>
      <c r="CV62" s="17">
        <f>IF(COUNTIFS(T_TTAFStock_Log[Part Name],$A62,T_TTAFStock_Log[WeekIndex],99)=0,"",SUMIFS(T_TTAFStock_Log[TTAF_Qty],T_TTAFStock_Log[Part Name],$A62,T_TTAFStock_Log[WeekIndex],99))</f>
        <v/>
      </c>
      <c r="CW62" s="17">
        <f>IF(COUNTIFS(T_TTAFStock_Log[Part Name],$A62,T_TTAFStock_Log[WeekIndex],100)=0,"",SUMIFS(T_TTAFStock_Log[TTAF_Qty],T_TTAFStock_Log[Part Name],$A62,T_TTAFStock_Log[WeekIndex],100))</f>
        <v/>
      </c>
      <c r="CX62" s="17">
        <f>IF(COUNTIFS(T_TTAFStock_Log[Part Name],$A62,T_TTAFStock_Log[WeekIndex],101)=0,"",SUMIFS(T_TTAFStock_Log[TTAF_Qty],T_TTAFStock_Log[Part Name],$A62,T_TTAFStock_Log[WeekIndex],101))</f>
        <v/>
      </c>
      <c r="CY62" s="17">
        <f>IF(COUNTIFS(T_TTAFStock_Log[Part Name],$A62,T_TTAFStock_Log[WeekIndex],102)=0,"",SUMIFS(T_TTAFStock_Log[TTAF_Qty],T_TTAFStock_Log[Part Name],$A62,T_TTAFStock_Log[WeekIndex],102))</f>
        <v/>
      </c>
      <c r="CZ62" s="17">
        <f>IF(COUNTIFS(T_TTAFStock_Log[Part Name],$A62,T_TTAFStock_Log[WeekIndex],103)=0,"",SUMIFS(T_TTAFStock_Log[TTAF_Qty],T_TTAFStock_Log[Part Name],$A62,T_TTAFStock_Log[WeekIndex],103))</f>
        <v/>
      </c>
      <c r="DA62" s="17">
        <f>IF(COUNTIFS(T_TTAFStock_Log[Part Name],$A62,T_TTAFStock_Log[WeekIndex],104)=0,"",SUMIFS(T_TTAFStock_Log[TTAF_Qty],T_TTAFStock_Log[Part Name],$A62,T_TTAFStock_Log[WeekIndex],104))</f>
        <v/>
      </c>
    </row>
    <row r="63">
      <c r="A63" s="19" t="inlineStr">
        <is>
          <t>CHEM-1560</t>
        </is>
      </c>
      <c r="B63" s="19">
        <f>IF(COUNTIFS(T_TTAFStock_Log[Part Name],$A63,T_TTAFStock_Log[WeekIndex],1)=0,"",SUMIFS(T_TTAFStock_Log[TTAF_Qty],T_TTAFStock_Log[Part Name],$A63,T_TTAFStock_Log[WeekIndex],1))</f>
        <v/>
      </c>
      <c r="C63" s="19">
        <f>IF(COUNTIFS(T_TTAFStock_Log[Part Name],$A63,T_TTAFStock_Log[WeekIndex],2)=0,"",SUMIFS(T_TTAFStock_Log[TTAF_Qty],T_TTAFStock_Log[Part Name],$A63,T_TTAFStock_Log[WeekIndex],2))</f>
        <v/>
      </c>
      <c r="D63" s="19">
        <f>IF(COUNTIFS(T_TTAFStock_Log[Part Name],$A63,T_TTAFStock_Log[WeekIndex],3)=0,"",SUMIFS(T_TTAFStock_Log[TTAF_Qty],T_TTAFStock_Log[Part Name],$A63,T_TTAFStock_Log[WeekIndex],3))</f>
        <v/>
      </c>
      <c r="E63" s="19">
        <f>IF(COUNTIFS(T_TTAFStock_Log[Part Name],$A63,T_TTAFStock_Log[WeekIndex],4)=0,"",SUMIFS(T_TTAFStock_Log[TTAF_Qty],T_TTAFStock_Log[Part Name],$A63,T_TTAFStock_Log[WeekIndex],4))</f>
        <v/>
      </c>
      <c r="F63" s="19">
        <f>IF(COUNTIFS(T_TTAFStock_Log[Part Name],$A63,T_TTAFStock_Log[WeekIndex],5)=0,"",SUMIFS(T_TTAFStock_Log[TTAF_Qty],T_TTAFStock_Log[Part Name],$A63,T_TTAFStock_Log[WeekIndex],5))</f>
        <v/>
      </c>
      <c r="G63" s="19">
        <f>IF(COUNTIFS(T_TTAFStock_Log[Part Name],$A63,T_TTAFStock_Log[WeekIndex],6)=0,"",SUMIFS(T_TTAFStock_Log[TTAF_Qty],T_TTAFStock_Log[Part Name],$A63,T_TTAFStock_Log[WeekIndex],6))</f>
        <v/>
      </c>
      <c r="H63" s="19">
        <f>IF(COUNTIFS(T_TTAFStock_Log[Part Name],$A63,T_TTAFStock_Log[WeekIndex],7)=0,"",SUMIFS(T_TTAFStock_Log[TTAF_Qty],T_TTAFStock_Log[Part Name],$A63,T_TTAFStock_Log[WeekIndex],7))</f>
        <v/>
      </c>
      <c r="I63" s="19">
        <f>IF(COUNTIFS(T_TTAFStock_Log[Part Name],$A63,T_TTAFStock_Log[WeekIndex],8)=0,"",SUMIFS(T_TTAFStock_Log[TTAF_Qty],T_TTAFStock_Log[Part Name],$A63,T_TTAFStock_Log[WeekIndex],8))</f>
        <v/>
      </c>
      <c r="J63" s="19">
        <f>IF(COUNTIFS(T_TTAFStock_Log[Part Name],$A63,T_TTAFStock_Log[WeekIndex],9)=0,"",SUMIFS(T_TTAFStock_Log[TTAF_Qty],T_TTAFStock_Log[Part Name],$A63,T_TTAFStock_Log[WeekIndex],9))</f>
        <v/>
      </c>
      <c r="K63" s="19">
        <f>IF(COUNTIFS(T_TTAFStock_Log[Part Name],$A63,T_TTAFStock_Log[WeekIndex],10)=0,"",SUMIFS(T_TTAFStock_Log[TTAF_Qty],T_TTAFStock_Log[Part Name],$A63,T_TTAFStock_Log[WeekIndex],10))</f>
        <v/>
      </c>
      <c r="L63" s="19">
        <f>IF(COUNTIFS(T_TTAFStock_Log[Part Name],$A63,T_TTAFStock_Log[WeekIndex],11)=0,"",SUMIFS(T_TTAFStock_Log[TTAF_Qty],T_TTAFStock_Log[Part Name],$A63,T_TTAFStock_Log[WeekIndex],11))</f>
        <v/>
      </c>
      <c r="M63" s="19">
        <f>IF(COUNTIFS(T_TTAFStock_Log[Part Name],$A63,T_TTAFStock_Log[WeekIndex],12)=0,"",SUMIFS(T_TTAFStock_Log[TTAF_Qty],T_TTAFStock_Log[Part Name],$A63,T_TTAFStock_Log[WeekIndex],12))</f>
        <v/>
      </c>
      <c r="N63" s="19">
        <f>IF(COUNTIFS(T_TTAFStock_Log[Part Name],$A63,T_TTAFStock_Log[WeekIndex],13)=0,"",SUMIFS(T_TTAFStock_Log[TTAF_Qty],T_TTAFStock_Log[Part Name],$A63,T_TTAFStock_Log[WeekIndex],13))</f>
        <v/>
      </c>
      <c r="O63" s="19">
        <f>IF(COUNTIFS(T_TTAFStock_Log[Part Name],$A63,T_TTAFStock_Log[WeekIndex],14)=0,"",SUMIFS(T_TTAFStock_Log[TTAF_Qty],T_TTAFStock_Log[Part Name],$A63,T_TTAFStock_Log[WeekIndex],14))</f>
        <v/>
      </c>
      <c r="P63" s="19">
        <f>IF(COUNTIFS(T_TTAFStock_Log[Part Name],$A63,T_TTAFStock_Log[WeekIndex],15)=0,"",SUMIFS(T_TTAFStock_Log[TTAF_Qty],T_TTAFStock_Log[Part Name],$A63,T_TTAFStock_Log[WeekIndex],15))</f>
        <v/>
      </c>
      <c r="Q63" s="19">
        <f>IF(COUNTIFS(T_TTAFStock_Log[Part Name],$A63,T_TTAFStock_Log[WeekIndex],16)=0,"",SUMIFS(T_TTAFStock_Log[TTAF_Qty],T_TTAFStock_Log[Part Name],$A63,T_TTAFStock_Log[WeekIndex],16))</f>
        <v/>
      </c>
      <c r="R63" s="19">
        <f>IF(COUNTIFS(T_TTAFStock_Log[Part Name],$A63,T_TTAFStock_Log[WeekIndex],17)=0,"",SUMIFS(T_TTAFStock_Log[TTAF_Qty],T_TTAFStock_Log[Part Name],$A63,T_TTAFStock_Log[WeekIndex],17))</f>
        <v/>
      </c>
      <c r="S63" s="19">
        <f>IF(COUNTIFS(T_TTAFStock_Log[Part Name],$A63,T_TTAFStock_Log[WeekIndex],18)=0,"",SUMIFS(T_TTAFStock_Log[TTAF_Qty],T_TTAFStock_Log[Part Name],$A63,T_TTAFStock_Log[WeekIndex],18))</f>
        <v/>
      </c>
      <c r="T63" s="19">
        <f>IF(COUNTIFS(T_TTAFStock_Log[Part Name],$A63,T_TTAFStock_Log[WeekIndex],19)=0,"",SUMIFS(T_TTAFStock_Log[TTAF_Qty],T_TTAFStock_Log[Part Name],$A63,T_TTAFStock_Log[WeekIndex],19))</f>
        <v/>
      </c>
      <c r="U63" s="19">
        <f>IF(COUNTIFS(T_TTAFStock_Log[Part Name],$A63,T_TTAFStock_Log[WeekIndex],20)=0,"",SUMIFS(T_TTAFStock_Log[TTAF_Qty],T_TTAFStock_Log[Part Name],$A63,T_TTAFStock_Log[WeekIndex],20))</f>
        <v/>
      </c>
      <c r="V63" s="19">
        <f>IF(COUNTIFS(T_TTAFStock_Log[Part Name],$A63,T_TTAFStock_Log[WeekIndex],21)=0,"",SUMIFS(T_TTAFStock_Log[TTAF_Qty],T_TTAFStock_Log[Part Name],$A63,T_TTAFStock_Log[WeekIndex],21))</f>
        <v/>
      </c>
      <c r="W63" s="19">
        <f>IF(COUNTIFS(T_TTAFStock_Log[Part Name],$A63,T_TTAFStock_Log[WeekIndex],22)=0,"",SUMIFS(T_TTAFStock_Log[TTAF_Qty],T_TTAFStock_Log[Part Name],$A63,T_TTAFStock_Log[WeekIndex],22))</f>
        <v/>
      </c>
      <c r="X63" s="19">
        <f>IF(COUNTIFS(T_TTAFStock_Log[Part Name],$A63,T_TTAFStock_Log[WeekIndex],23)=0,"",SUMIFS(T_TTAFStock_Log[TTAF_Qty],T_TTAFStock_Log[Part Name],$A63,T_TTAFStock_Log[WeekIndex],23))</f>
        <v/>
      </c>
      <c r="Y63" s="19">
        <f>IF(COUNTIFS(T_TTAFStock_Log[Part Name],$A63,T_TTAFStock_Log[WeekIndex],24)=0,"",SUMIFS(T_TTAFStock_Log[TTAF_Qty],T_TTAFStock_Log[Part Name],$A63,T_TTAFStock_Log[WeekIndex],24))</f>
        <v/>
      </c>
      <c r="Z63" s="19">
        <f>IF(COUNTIFS(T_TTAFStock_Log[Part Name],$A63,T_TTAFStock_Log[WeekIndex],25)=0,"",SUMIFS(T_TTAFStock_Log[TTAF_Qty],T_TTAFStock_Log[Part Name],$A63,T_TTAFStock_Log[WeekIndex],25))</f>
        <v/>
      </c>
      <c r="AA63" s="19">
        <f>IF(COUNTIFS(T_TTAFStock_Log[Part Name],$A63,T_TTAFStock_Log[WeekIndex],26)=0,"",SUMIFS(T_TTAFStock_Log[TTAF_Qty],T_TTAFStock_Log[Part Name],$A63,T_TTAFStock_Log[WeekIndex],26))</f>
        <v/>
      </c>
      <c r="AB63" s="19">
        <f>IF(COUNTIFS(T_TTAFStock_Log[Part Name],$A63,T_TTAFStock_Log[WeekIndex],27)=0,"",SUMIFS(T_TTAFStock_Log[TTAF_Qty],T_TTAFStock_Log[Part Name],$A63,T_TTAFStock_Log[WeekIndex],27))</f>
        <v/>
      </c>
      <c r="AC63" s="19">
        <f>IF(COUNTIFS(T_TTAFStock_Log[Part Name],$A63,T_TTAFStock_Log[WeekIndex],28)=0,"",SUMIFS(T_TTAFStock_Log[TTAF_Qty],T_TTAFStock_Log[Part Name],$A63,T_TTAFStock_Log[WeekIndex],28))</f>
        <v/>
      </c>
      <c r="AD63" s="19">
        <f>IF(COUNTIFS(T_TTAFStock_Log[Part Name],$A63,T_TTAFStock_Log[WeekIndex],29)=0,"",SUMIFS(T_TTAFStock_Log[TTAF_Qty],T_TTAFStock_Log[Part Name],$A63,T_TTAFStock_Log[WeekIndex],29))</f>
        <v/>
      </c>
      <c r="AE63" s="19">
        <f>IF(COUNTIFS(T_TTAFStock_Log[Part Name],$A63,T_TTAFStock_Log[WeekIndex],30)=0,"",SUMIFS(T_TTAFStock_Log[TTAF_Qty],T_TTAFStock_Log[Part Name],$A63,T_TTAFStock_Log[WeekIndex],30))</f>
        <v/>
      </c>
      <c r="AF63" s="19">
        <f>IF(COUNTIFS(T_TTAFStock_Log[Part Name],$A63,T_TTAFStock_Log[WeekIndex],31)=0,"",SUMIFS(T_TTAFStock_Log[TTAF_Qty],T_TTAFStock_Log[Part Name],$A63,T_TTAFStock_Log[WeekIndex],31))</f>
        <v/>
      </c>
      <c r="AG63" s="19">
        <f>IF(COUNTIFS(T_TTAFStock_Log[Part Name],$A63,T_TTAFStock_Log[WeekIndex],32)=0,"",SUMIFS(T_TTAFStock_Log[TTAF_Qty],T_TTAFStock_Log[Part Name],$A63,T_TTAFStock_Log[WeekIndex],32))</f>
        <v/>
      </c>
      <c r="AH63" s="19">
        <f>IF(COUNTIFS(T_TTAFStock_Log[Part Name],$A63,T_TTAFStock_Log[WeekIndex],33)=0,"",SUMIFS(T_TTAFStock_Log[TTAF_Qty],T_TTAFStock_Log[Part Name],$A63,T_TTAFStock_Log[WeekIndex],33))</f>
        <v/>
      </c>
      <c r="AI63" s="19">
        <f>IF(COUNTIFS(T_TTAFStock_Log[Part Name],$A63,T_TTAFStock_Log[WeekIndex],34)=0,"",SUMIFS(T_TTAFStock_Log[TTAF_Qty],T_TTAFStock_Log[Part Name],$A63,T_TTAFStock_Log[WeekIndex],34))</f>
        <v/>
      </c>
      <c r="AJ63" s="19">
        <f>IF(COUNTIFS(T_TTAFStock_Log[Part Name],$A63,T_TTAFStock_Log[WeekIndex],35)=0,"",SUMIFS(T_TTAFStock_Log[TTAF_Qty],T_TTAFStock_Log[Part Name],$A63,T_TTAFStock_Log[WeekIndex],35))</f>
        <v/>
      </c>
      <c r="AK63" s="19">
        <f>IF(COUNTIFS(T_TTAFStock_Log[Part Name],$A63,T_TTAFStock_Log[WeekIndex],36)=0,"",SUMIFS(T_TTAFStock_Log[TTAF_Qty],T_TTAFStock_Log[Part Name],$A63,T_TTAFStock_Log[WeekIndex],36))</f>
        <v/>
      </c>
      <c r="AL63" s="19">
        <f>IF(COUNTIFS(T_TTAFStock_Log[Part Name],$A63,T_TTAFStock_Log[WeekIndex],37)=0,"",SUMIFS(T_TTAFStock_Log[TTAF_Qty],T_TTAFStock_Log[Part Name],$A63,T_TTAFStock_Log[WeekIndex],37))</f>
        <v/>
      </c>
      <c r="AM63" s="19">
        <f>IF(COUNTIFS(T_TTAFStock_Log[Part Name],$A63,T_TTAFStock_Log[WeekIndex],38)=0,"",SUMIFS(T_TTAFStock_Log[TTAF_Qty],T_TTAFStock_Log[Part Name],$A63,T_TTAFStock_Log[WeekIndex],38))</f>
        <v/>
      </c>
      <c r="AN63" s="19">
        <f>IF(COUNTIFS(T_TTAFStock_Log[Part Name],$A63,T_TTAFStock_Log[WeekIndex],39)=0,"",SUMIFS(T_TTAFStock_Log[TTAF_Qty],T_TTAFStock_Log[Part Name],$A63,T_TTAFStock_Log[WeekIndex],39))</f>
        <v/>
      </c>
      <c r="AO63" s="19">
        <f>IF(COUNTIFS(T_TTAFStock_Log[Part Name],$A63,T_TTAFStock_Log[WeekIndex],40)=0,"",SUMIFS(T_TTAFStock_Log[TTAF_Qty],T_TTAFStock_Log[Part Name],$A63,T_TTAFStock_Log[WeekIndex],40))</f>
        <v/>
      </c>
      <c r="AP63" s="19">
        <f>IF(COUNTIFS(T_TTAFStock_Log[Part Name],$A63,T_TTAFStock_Log[WeekIndex],41)=0,"",SUMIFS(T_TTAFStock_Log[TTAF_Qty],T_TTAFStock_Log[Part Name],$A63,T_TTAFStock_Log[WeekIndex],41))</f>
        <v/>
      </c>
      <c r="AQ63" s="19">
        <f>IF(COUNTIFS(T_TTAFStock_Log[Part Name],$A63,T_TTAFStock_Log[WeekIndex],42)=0,"",SUMIFS(T_TTAFStock_Log[TTAF_Qty],T_TTAFStock_Log[Part Name],$A63,T_TTAFStock_Log[WeekIndex],42))</f>
        <v/>
      </c>
      <c r="AR63" s="19">
        <f>IF(COUNTIFS(T_TTAFStock_Log[Part Name],$A63,T_TTAFStock_Log[WeekIndex],43)=0,"",SUMIFS(T_TTAFStock_Log[TTAF_Qty],T_TTAFStock_Log[Part Name],$A63,T_TTAFStock_Log[WeekIndex],43))</f>
        <v/>
      </c>
      <c r="AS63" s="19">
        <f>IF(COUNTIFS(T_TTAFStock_Log[Part Name],$A63,T_TTAFStock_Log[WeekIndex],44)=0,"",SUMIFS(T_TTAFStock_Log[TTAF_Qty],T_TTAFStock_Log[Part Name],$A63,T_TTAFStock_Log[WeekIndex],44))</f>
        <v/>
      </c>
      <c r="AT63" s="19">
        <f>IF(COUNTIFS(T_TTAFStock_Log[Part Name],$A63,T_TTAFStock_Log[WeekIndex],45)=0,"",SUMIFS(T_TTAFStock_Log[TTAF_Qty],T_TTAFStock_Log[Part Name],$A63,T_TTAFStock_Log[WeekIndex],45))</f>
        <v/>
      </c>
      <c r="AU63" s="19">
        <f>IF(COUNTIFS(T_TTAFStock_Log[Part Name],$A63,T_TTAFStock_Log[WeekIndex],46)=0,"",SUMIFS(T_TTAFStock_Log[TTAF_Qty],T_TTAFStock_Log[Part Name],$A63,T_TTAFStock_Log[WeekIndex],46))</f>
        <v/>
      </c>
      <c r="AV63" s="19">
        <f>IF(COUNTIFS(T_TTAFStock_Log[Part Name],$A63,T_TTAFStock_Log[WeekIndex],47)=0,"",SUMIFS(T_TTAFStock_Log[TTAF_Qty],T_TTAFStock_Log[Part Name],$A63,T_TTAFStock_Log[WeekIndex],47))</f>
        <v/>
      </c>
      <c r="AW63" s="19">
        <f>IF(COUNTIFS(T_TTAFStock_Log[Part Name],$A63,T_TTAFStock_Log[WeekIndex],48)=0,"",SUMIFS(T_TTAFStock_Log[TTAF_Qty],T_TTAFStock_Log[Part Name],$A63,T_TTAFStock_Log[WeekIndex],48))</f>
        <v/>
      </c>
      <c r="AX63" s="19">
        <f>IF(COUNTIFS(T_TTAFStock_Log[Part Name],$A63,T_TTAFStock_Log[WeekIndex],49)=0,"",SUMIFS(T_TTAFStock_Log[TTAF_Qty],T_TTAFStock_Log[Part Name],$A63,T_TTAFStock_Log[WeekIndex],49))</f>
        <v/>
      </c>
      <c r="AY63" s="19">
        <f>IF(COUNTIFS(T_TTAFStock_Log[Part Name],$A63,T_TTAFStock_Log[WeekIndex],50)=0,"",SUMIFS(T_TTAFStock_Log[TTAF_Qty],T_TTAFStock_Log[Part Name],$A63,T_TTAFStock_Log[WeekIndex],50))</f>
        <v/>
      </c>
      <c r="AZ63" s="19">
        <f>IF(COUNTIFS(T_TTAFStock_Log[Part Name],$A63,T_TTAFStock_Log[WeekIndex],51)=0,"",SUMIFS(T_TTAFStock_Log[TTAF_Qty],T_TTAFStock_Log[Part Name],$A63,T_TTAFStock_Log[WeekIndex],51))</f>
        <v/>
      </c>
      <c r="BA63" s="19">
        <f>IF(COUNTIFS(T_TTAFStock_Log[Part Name],$A63,T_TTAFStock_Log[WeekIndex],52)=0,"",SUMIFS(T_TTAFStock_Log[TTAF_Qty],T_TTAFStock_Log[Part Name],$A63,T_TTAFStock_Log[WeekIndex],52))</f>
        <v/>
      </c>
      <c r="BB63" s="19">
        <f>IF(COUNTIFS(T_TTAFStock_Log[Part Name],$A63,T_TTAFStock_Log[WeekIndex],53)=0,"",SUMIFS(T_TTAFStock_Log[TTAF_Qty],T_TTAFStock_Log[Part Name],$A63,T_TTAFStock_Log[WeekIndex],53))</f>
        <v/>
      </c>
      <c r="BC63" s="19">
        <f>IF(COUNTIFS(T_TTAFStock_Log[Part Name],$A63,T_TTAFStock_Log[WeekIndex],54)=0,"",SUMIFS(T_TTAFStock_Log[TTAF_Qty],T_TTAFStock_Log[Part Name],$A63,T_TTAFStock_Log[WeekIndex],54))</f>
        <v/>
      </c>
      <c r="BD63" s="19">
        <f>IF(COUNTIFS(T_TTAFStock_Log[Part Name],$A63,T_TTAFStock_Log[WeekIndex],55)=0,"",SUMIFS(T_TTAFStock_Log[TTAF_Qty],T_TTAFStock_Log[Part Name],$A63,T_TTAFStock_Log[WeekIndex],55))</f>
        <v/>
      </c>
      <c r="BE63" s="19">
        <f>IF(COUNTIFS(T_TTAFStock_Log[Part Name],$A63,T_TTAFStock_Log[WeekIndex],56)=0,"",SUMIFS(T_TTAFStock_Log[TTAF_Qty],T_TTAFStock_Log[Part Name],$A63,T_TTAFStock_Log[WeekIndex],56))</f>
        <v/>
      </c>
      <c r="BF63" s="19">
        <f>IF(COUNTIFS(T_TTAFStock_Log[Part Name],$A63,T_TTAFStock_Log[WeekIndex],57)=0,"",SUMIFS(T_TTAFStock_Log[TTAF_Qty],T_TTAFStock_Log[Part Name],$A63,T_TTAFStock_Log[WeekIndex],57))</f>
        <v/>
      </c>
      <c r="BG63" s="19">
        <f>IF(COUNTIFS(T_TTAFStock_Log[Part Name],$A63,T_TTAFStock_Log[WeekIndex],58)=0,"",SUMIFS(T_TTAFStock_Log[TTAF_Qty],T_TTAFStock_Log[Part Name],$A63,T_TTAFStock_Log[WeekIndex],58))</f>
        <v/>
      </c>
      <c r="BH63" s="19">
        <f>IF(COUNTIFS(T_TTAFStock_Log[Part Name],$A63,T_TTAFStock_Log[WeekIndex],59)=0,"",SUMIFS(T_TTAFStock_Log[TTAF_Qty],T_TTAFStock_Log[Part Name],$A63,T_TTAFStock_Log[WeekIndex],59))</f>
        <v/>
      </c>
      <c r="BI63" s="19">
        <f>IF(COUNTIFS(T_TTAFStock_Log[Part Name],$A63,T_TTAFStock_Log[WeekIndex],60)=0,"",SUMIFS(T_TTAFStock_Log[TTAF_Qty],T_TTAFStock_Log[Part Name],$A63,T_TTAFStock_Log[WeekIndex],60))</f>
        <v/>
      </c>
      <c r="BJ63" s="19">
        <f>IF(COUNTIFS(T_TTAFStock_Log[Part Name],$A63,T_TTAFStock_Log[WeekIndex],61)=0,"",SUMIFS(T_TTAFStock_Log[TTAF_Qty],T_TTAFStock_Log[Part Name],$A63,T_TTAFStock_Log[WeekIndex],61))</f>
        <v/>
      </c>
      <c r="BK63" s="19">
        <f>IF(COUNTIFS(T_TTAFStock_Log[Part Name],$A63,T_TTAFStock_Log[WeekIndex],62)=0,"",SUMIFS(T_TTAFStock_Log[TTAF_Qty],T_TTAFStock_Log[Part Name],$A63,T_TTAFStock_Log[WeekIndex],62))</f>
        <v/>
      </c>
      <c r="BL63" s="19">
        <f>IF(COUNTIFS(T_TTAFStock_Log[Part Name],$A63,T_TTAFStock_Log[WeekIndex],63)=0,"",SUMIFS(T_TTAFStock_Log[TTAF_Qty],T_TTAFStock_Log[Part Name],$A63,T_TTAFStock_Log[WeekIndex],63))</f>
        <v/>
      </c>
      <c r="BM63" s="19">
        <f>IF(COUNTIFS(T_TTAFStock_Log[Part Name],$A63,T_TTAFStock_Log[WeekIndex],64)=0,"",SUMIFS(T_TTAFStock_Log[TTAF_Qty],T_TTAFStock_Log[Part Name],$A63,T_TTAFStock_Log[WeekIndex],64))</f>
        <v/>
      </c>
      <c r="BN63" s="19">
        <f>IF(COUNTIFS(T_TTAFStock_Log[Part Name],$A63,T_TTAFStock_Log[WeekIndex],65)=0,"",SUMIFS(T_TTAFStock_Log[TTAF_Qty],T_TTAFStock_Log[Part Name],$A63,T_TTAFStock_Log[WeekIndex],65))</f>
        <v/>
      </c>
      <c r="BO63" s="19">
        <f>IF(COUNTIFS(T_TTAFStock_Log[Part Name],$A63,T_TTAFStock_Log[WeekIndex],66)=0,"",SUMIFS(T_TTAFStock_Log[TTAF_Qty],T_TTAFStock_Log[Part Name],$A63,T_TTAFStock_Log[WeekIndex],66))</f>
        <v/>
      </c>
      <c r="BP63" s="19">
        <f>IF(COUNTIFS(T_TTAFStock_Log[Part Name],$A63,T_TTAFStock_Log[WeekIndex],67)=0,"",SUMIFS(T_TTAFStock_Log[TTAF_Qty],T_TTAFStock_Log[Part Name],$A63,T_TTAFStock_Log[WeekIndex],67))</f>
        <v/>
      </c>
      <c r="BQ63" s="19">
        <f>IF(COUNTIFS(T_TTAFStock_Log[Part Name],$A63,T_TTAFStock_Log[WeekIndex],68)=0,"",SUMIFS(T_TTAFStock_Log[TTAF_Qty],T_TTAFStock_Log[Part Name],$A63,T_TTAFStock_Log[WeekIndex],68))</f>
        <v/>
      </c>
      <c r="BR63" s="19">
        <f>IF(COUNTIFS(T_TTAFStock_Log[Part Name],$A63,T_TTAFStock_Log[WeekIndex],69)=0,"",SUMIFS(T_TTAFStock_Log[TTAF_Qty],T_TTAFStock_Log[Part Name],$A63,T_TTAFStock_Log[WeekIndex],69))</f>
        <v/>
      </c>
      <c r="BS63" s="19">
        <f>IF(COUNTIFS(T_TTAFStock_Log[Part Name],$A63,T_TTAFStock_Log[WeekIndex],70)=0,"",SUMIFS(T_TTAFStock_Log[TTAF_Qty],T_TTAFStock_Log[Part Name],$A63,T_TTAFStock_Log[WeekIndex],70))</f>
        <v/>
      </c>
      <c r="BT63" s="19">
        <f>IF(COUNTIFS(T_TTAFStock_Log[Part Name],$A63,T_TTAFStock_Log[WeekIndex],71)=0,"",SUMIFS(T_TTAFStock_Log[TTAF_Qty],T_TTAFStock_Log[Part Name],$A63,T_TTAFStock_Log[WeekIndex],71))</f>
        <v/>
      </c>
      <c r="BU63" s="19">
        <f>IF(COUNTIFS(T_TTAFStock_Log[Part Name],$A63,T_TTAFStock_Log[WeekIndex],72)=0,"",SUMIFS(T_TTAFStock_Log[TTAF_Qty],T_TTAFStock_Log[Part Name],$A63,T_TTAFStock_Log[WeekIndex],72))</f>
        <v/>
      </c>
      <c r="BV63" s="19">
        <f>IF(COUNTIFS(T_TTAFStock_Log[Part Name],$A63,T_TTAFStock_Log[WeekIndex],73)=0,"",SUMIFS(T_TTAFStock_Log[TTAF_Qty],T_TTAFStock_Log[Part Name],$A63,T_TTAFStock_Log[WeekIndex],73))</f>
        <v/>
      </c>
      <c r="BW63" s="19">
        <f>IF(COUNTIFS(T_TTAFStock_Log[Part Name],$A63,T_TTAFStock_Log[WeekIndex],74)=0,"",SUMIFS(T_TTAFStock_Log[TTAF_Qty],T_TTAFStock_Log[Part Name],$A63,T_TTAFStock_Log[WeekIndex],74))</f>
        <v/>
      </c>
      <c r="BX63" s="19">
        <f>IF(COUNTIFS(T_TTAFStock_Log[Part Name],$A63,T_TTAFStock_Log[WeekIndex],75)=0,"",SUMIFS(T_TTAFStock_Log[TTAF_Qty],T_TTAFStock_Log[Part Name],$A63,T_TTAFStock_Log[WeekIndex],75))</f>
        <v/>
      </c>
      <c r="BY63" s="19">
        <f>IF(COUNTIFS(T_TTAFStock_Log[Part Name],$A63,T_TTAFStock_Log[WeekIndex],76)=0,"",SUMIFS(T_TTAFStock_Log[TTAF_Qty],T_TTAFStock_Log[Part Name],$A63,T_TTAFStock_Log[WeekIndex],76))</f>
        <v/>
      </c>
      <c r="BZ63" s="19">
        <f>IF(COUNTIFS(T_TTAFStock_Log[Part Name],$A63,T_TTAFStock_Log[WeekIndex],77)=0,"",SUMIFS(T_TTAFStock_Log[TTAF_Qty],T_TTAFStock_Log[Part Name],$A63,T_TTAFStock_Log[WeekIndex],77))</f>
        <v/>
      </c>
      <c r="CA63" s="19">
        <f>IF(COUNTIFS(T_TTAFStock_Log[Part Name],$A63,T_TTAFStock_Log[WeekIndex],78)=0,"",SUMIFS(T_TTAFStock_Log[TTAF_Qty],T_TTAFStock_Log[Part Name],$A63,T_TTAFStock_Log[WeekIndex],78))</f>
        <v/>
      </c>
      <c r="CB63" s="19">
        <f>IF(COUNTIFS(T_TTAFStock_Log[Part Name],$A63,T_TTAFStock_Log[WeekIndex],79)=0,"",SUMIFS(T_TTAFStock_Log[TTAF_Qty],T_TTAFStock_Log[Part Name],$A63,T_TTAFStock_Log[WeekIndex],79))</f>
        <v/>
      </c>
      <c r="CC63" s="19">
        <f>IF(COUNTIFS(T_TTAFStock_Log[Part Name],$A63,T_TTAFStock_Log[WeekIndex],80)=0,"",SUMIFS(T_TTAFStock_Log[TTAF_Qty],T_TTAFStock_Log[Part Name],$A63,T_TTAFStock_Log[WeekIndex],80))</f>
        <v/>
      </c>
      <c r="CD63" s="19">
        <f>IF(COUNTIFS(T_TTAFStock_Log[Part Name],$A63,T_TTAFStock_Log[WeekIndex],81)=0,"",SUMIFS(T_TTAFStock_Log[TTAF_Qty],T_TTAFStock_Log[Part Name],$A63,T_TTAFStock_Log[WeekIndex],81))</f>
        <v/>
      </c>
      <c r="CE63" s="19">
        <f>IF(COUNTIFS(T_TTAFStock_Log[Part Name],$A63,T_TTAFStock_Log[WeekIndex],82)=0,"",SUMIFS(T_TTAFStock_Log[TTAF_Qty],T_TTAFStock_Log[Part Name],$A63,T_TTAFStock_Log[WeekIndex],82))</f>
        <v/>
      </c>
      <c r="CF63" s="19">
        <f>IF(COUNTIFS(T_TTAFStock_Log[Part Name],$A63,T_TTAFStock_Log[WeekIndex],83)=0,"",SUMIFS(T_TTAFStock_Log[TTAF_Qty],T_TTAFStock_Log[Part Name],$A63,T_TTAFStock_Log[WeekIndex],83))</f>
        <v/>
      </c>
      <c r="CG63" s="19">
        <f>IF(COUNTIFS(T_TTAFStock_Log[Part Name],$A63,T_TTAFStock_Log[WeekIndex],84)=0,"",SUMIFS(T_TTAFStock_Log[TTAF_Qty],T_TTAFStock_Log[Part Name],$A63,T_TTAFStock_Log[WeekIndex],84))</f>
        <v/>
      </c>
      <c r="CH63" s="19">
        <f>IF(COUNTIFS(T_TTAFStock_Log[Part Name],$A63,T_TTAFStock_Log[WeekIndex],85)=0,"",SUMIFS(T_TTAFStock_Log[TTAF_Qty],T_TTAFStock_Log[Part Name],$A63,T_TTAFStock_Log[WeekIndex],85))</f>
        <v/>
      </c>
      <c r="CI63" s="19">
        <f>IF(COUNTIFS(T_TTAFStock_Log[Part Name],$A63,T_TTAFStock_Log[WeekIndex],86)=0,"",SUMIFS(T_TTAFStock_Log[TTAF_Qty],T_TTAFStock_Log[Part Name],$A63,T_TTAFStock_Log[WeekIndex],86))</f>
        <v/>
      </c>
      <c r="CJ63" s="19">
        <f>IF(COUNTIFS(T_TTAFStock_Log[Part Name],$A63,T_TTAFStock_Log[WeekIndex],87)=0,"",SUMIFS(T_TTAFStock_Log[TTAF_Qty],T_TTAFStock_Log[Part Name],$A63,T_TTAFStock_Log[WeekIndex],87))</f>
        <v/>
      </c>
      <c r="CK63" s="19">
        <f>IF(COUNTIFS(T_TTAFStock_Log[Part Name],$A63,T_TTAFStock_Log[WeekIndex],88)=0,"",SUMIFS(T_TTAFStock_Log[TTAF_Qty],T_TTAFStock_Log[Part Name],$A63,T_TTAFStock_Log[WeekIndex],88))</f>
        <v/>
      </c>
      <c r="CL63" s="19">
        <f>IF(COUNTIFS(T_TTAFStock_Log[Part Name],$A63,T_TTAFStock_Log[WeekIndex],89)=0,"",SUMIFS(T_TTAFStock_Log[TTAF_Qty],T_TTAFStock_Log[Part Name],$A63,T_TTAFStock_Log[WeekIndex],89))</f>
        <v/>
      </c>
      <c r="CM63" s="19">
        <f>IF(COUNTIFS(T_TTAFStock_Log[Part Name],$A63,T_TTAFStock_Log[WeekIndex],90)=0,"",SUMIFS(T_TTAFStock_Log[TTAF_Qty],T_TTAFStock_Log[Part Name],$A63,T_TTAFStock_Log[WeekIndex],90))</f>
        <v/>
      </c>
      <c r="CN63" s="19">
        <f>IF(COUNTIFS(T_TTAFStock_Log[Part Name],$A63,T_TTAFStock_Log[WeekIndex],91)=0,"",SUMIFS(T_TTAFStock_Log[TTAF_Qty],T_TTAFStock_Log[Part Name],$A63,T_TTAFStock_Log[WeekIndex],91))</f>
        <v/>
      </c>
      <c r="CO63" s="19">
        <f>IF(COUNTIFS(T_TTAFStock_Log[Part Name],$A63,T_TTAFStock_Log[WeekIndex],92)=0,"",SUMIFS(T_TTAFStock_Log[TTAF_Qty],T_TTAFStock_Log[Part Name],$A63,T_TTAFStock_Log[WeekIndex],92))</f>
        <v/>
      </c>
      <c r="CP63" s="19">
        <f>IF(COUNTIFS(T_TTAFStock_Log[Part Name],$A63,T_TTAFStock_Log[WeekIndex],93)=0,"",SUMIFS(T_TTAFStock_Log[TTAF_Qty],T_TTAFStock_Log[Part Name],$A63,T_TTAFStock_Log[WeekIndex],93))</f>
        <v/>
      </c>
      <c r="CQ63" s="19">
        <f>IF(COUNTIFS(T_TTAFStock_Log[Part Name],$A63,T_TTAFStock_Log[WeekIndex],94)=0,"",SUMIFS(T_TTAFStock_Log[TTAF_Qty],T_TTAFStock_Log[Part Name],$A63,T_TTAFStock_Log[WeekIndex],94))</f>
        <v/>
      </c>
      <c r="CR63" s="19">
        <f>IF(COUNTIFS(T_TTAFStock_Log[Part Name],$A63,T_TTAFStock_Log[WeekIndex],95)=0,"",SUMIFS(T_TTAFStock_Log[TTAF_Qty],T_TTAFStock_Log[Part Name],$A63,T_TTAFStock_Log[WeekIndex],95))</f>
        <v/>
      </c>
      <c r="CS63" s="19">
        <f>IF(COUNTIFS(T_TTAFStock_Log[Part Name],$A63,T_TTAFStock_Log[WeekIndex],96)=0,"",SUMIFS(T_TTAFStock_Log[TTAF_Qty],T_TTAFStock_Log[Part Name],$A63,T_TTAFStock_Log[WeekIndex],96))</f>
        <v/>
      </c>
      <c r="CT63" s="19">
        <f>IF(COUNTIFS(T_TTAFStock_Log[Part Name],$A63,T_TTAFStock_Log[WeekIndex],97)=0,"",SUMIFS(T_TTAFStock_Log[TTAF_Qty],T_TTAFStock_Log[Part Name],$A63,T_TTAFStock_Log[WeekIndex],97))</f>
        <v/>
      </c>
      <c r="CU63" s="19">
        <f>IF(COUNTIFS(T_TTAFStock_Log[Part Name],$A63,T_TTAFStock_Log[WeekIndex],98)=0,"",SUMIFS(T_TTAFStock_Log[TTAF_Qty],T_TTAFStock_Log[Part Name],$A63,T_TTAFStock_Log[WeekIndex],98))</f>
        <v/>
      </c>
      <c r="CV63" s="19">
        <f>IF(COUNTIFS(T_TTAFStock_Log[Part Name],$A63,T_TTAFStock_Log[WeekIndex],99)=0,"",SUMIFS(T_TTAFStock_Log[TTAF_Qty],T_TTAFStock_Log[Part Name],$A63,T_TTAFStock_Log[WeekIndex],99))</f>
        <v/>
      </c>
      <c r="CW63" s="19">
        <f>IF(COUNTIFS(T_TTAFStock_Log[Part Name],$A63,T_TTAFStock_Log[WeekIndex],100)=0,"",SUMIFS(T_TTAFStock_Log[TTAF_Qty],T_TTAFStock_Log[Part Name],$A63,T_TTAFStock_Log[WeekIndex],100))</f>
        <v/>
      </c>
      <c r="CX63" s="19">
        <f>IF(COUNTIFS(T_TTAFStock_Log[Part Name],$A63,T_TTAFStock_Log[WeekIndex],101)=0,"",SUMIFS(T_TTAFStock_Log[TTAF_Qty],T_TTAFStock_Log[Part Name],$A63,T_TTAFStock_Log[WeekIndex],101))</f>
        <v/>
      </c>
      <c r="CY63" s="19">
        <f>IF(COUNTIFS(T_TTAFStock_Log[Part Name],$A63,T_TTAFStock_Log[WeekIndex],102)=0,"",SUMIFS(T_TTAFStock_Log[TTAF_Qty],T_TTAFStock_Log[Part Name],$A63,T_TTAFStock_Log[WeekIndex],102))</f>
        <v/>
      </c>
      <c r="CZ63" s="19">
        <f>IF(COUNTIFS(T_TTAFStock_Log[Part Name],$A63,T_TTAFStock_Log[WeekIndex],103)=0,"",SUMIFS(T_TTAFStock_Log[TTAF_Qty],T_TTAFStock_Log[Part Name],$A63,T_TTAFStock_Log[WeekIndex],103))</f>
        <v/>
      </c>
      <c r="DA63" s="19">
        <f>IF(COUNTIFS(T_TTAFStock_Log[Part Name],$A63,T_TTAFStock_Log[WeekIndex],104)=0,"",SUMIFS(T_TTAFStock_Log[TTAF_Qty],T_TTAFStock_Log[Part Name],$A63,T_TTAFStock_Log[WeekIndex],104))</f>
        <v/>
      </c>
    </row>
    <row r="64">
      <c r="A64" s="17" t="inlineStr">
        <is>
          <t>CHEM-1690</t>
        </is>
      </c>
      <c r="B64" s="17">
        <f>IF(COUNTIFS(T_TTAFStock_Log[Part Name],$A64,T_TTAFStock_Log[WeekIndex],1)=0,"",SUMIFS(T_TTAFStock_Log[TTAF_Qty],T_TTAFStock_Log[Part Name],$A64,T_TTAFStock_Log[WeekIndex],1))</f>
        <v/>
      </c>
      <c r="C64" s="17">
        <f>IF(COUNTIFS(T_TTAFStock_Log[Part Name],$A64,T_TTAFStock_Log[WeekIndex],2)=0,"",SUMIFS(T_TTAFStock_Log[TTAF_Qty],T_TTAFStock_Log[Part Name],$A64,T_TTAFStock_Log[WeekIndex],2))</f>
        <v/>
      </c>
      <c r="D64" s="17">
        <f>IF(COUNTIFS(T_TTAFStock_Log[Part Name],$A64,T_TTAFStock_Log[WeekIndex],3)=0,"",SUMIFS(T_TTAFStock_Log[TTAF_Qty],T_TTAFStock_Log[Part Name],$A64,T_TTAFStock_Log[WeekIndex],3))</f>
        <v/>
      </c>
      <c r="E64" s="17">
        <f>IF(COUNTIFS(T_TTAFStock_Log[Part Name],$A64,T_TTAFStock_Log[WeekIndex],4)=0,"",SUMIFS(T_TTAFStock_Log[TTAF_Qty],T_TTAFStock_Log[Part Name],$A64,T_TTAFStock_Log[WeekIndex],4))</f>
        <v/>
      </c>
      <c r="F64" s="17">
        <f>IF(COUNTIFS(T_TTAFStock_Log[Part Name],$A64,T_TTAFStock_Log[WeekIndex],5)=0,"",SUMIFS(T_TTAFStock_Log[TTAF_Qty],T_TTAFStock_Log[Part Name],$A64,T_TTAFStock_Log[WeekIndex],5))</f>
        <v/>
      </c>
      <c r="G64" s="17">
        <f>IF(COUNTIFS(T_TTAFStock_Log[Part Name],$A64,T_TTAFStock_Log[WeekIndex],6)=0,"",SUMIFS(T_TTAFStock_Log[TTAF_Qty],T_TTAFStock_Log[Part Name],$A64,T_TTAFStock_Log[WeekIndex],6))</f>
        <v/>
      </c>
      <c r="H64" s="17">
        <f>IF(COUNTIFS(T_TTAFStock_Log[Part Name],$A64,T_TTAFStock_Log[WeekIndex],7)=0,"",SUMIFS(T_TTAFStock_Log[TTAF_Qty],T_TTAFStock_Log[Part Name],$A64,T_TTAFStock_Log[WeekIndex],7))</f>
        <v/>
      </c>
      <c r="I64" s="17">
        <f>IF(COUNTIFS(T_TTAFStock_Log[Part Name],$A64,T_TTAFStock_Log[WeekIndex],8)=0,"",SUMIFS(T_TTAFStock_Log[TTAF_Qty],T_TTAFStock_Log[Part Name],$A64,T_TTAFStock_Log[WeekIndex],8))</f>
        <v/>
      </c>
      <c r="J64" s="17">
        <f>IF(COUNTIFS(T_TTAFStock_Log[Part Name],$A64,T_TTAFStock_Log[WeekIndex],9)=0,"",SUMIFS(T_TTAFStock_Log[TTAF_Qty],T_TTAFStock_Log[Part Name],$A64,T_TTAFStock_Log[WeekIndex],9))</f>
        <v/>
      </c>
      <c r="K64" s="17">
        <f>IF(COUNTIFS(T_TTAFStock_Log[Part Name],$A64,T_TTAFStock_Log[WeekIndex],10)=0,"",SUMIFS(T_TTAFStock_Log[TTAF_Qty],T_TTAFStock_Log[Part Name],$A64,T_TTAFStock_Log[WeekIndex],10))</f>
        <v/>
      </c>
      <c r="L64" s="17">
        <f>IF(COUNTIFS(T_TTAFStock_Log[Part Name],$A64,T_TTAFStock_Log[WeekIndex],11)=0,"",SUMIFS(T_TTAFStock_Log[TTAF_Qty],T_TTAFStock_Log[Part Name],$A64,T_TTAFStock_Log[WeekIndex],11))</f>
        <v/>
      </c>
      <c r="M64" s="17">
        <f>IF(COUNTIFS(T_TTAFStock_Log[Part Name],$A64,T_TTAFStock_Log[WeekIndex],12)=0,"",SUMIFS(T_TTAFStock_Log[TTAF_Qty],T_TTAFStock_Log[Part Name],$A64,T_TTAFStock_Log[WeekIndex],12))</f>
        <v/>
      </c>
      <c r="N64" s="17">
        <f>IF(COUNTIFS(T_TTAFStock_Log[Part Name],$A64,T_TTAFStock_Log[WeekIndex],13)=0,"",SUMIFS(T_TTAFStock_Log[TTAF_Qty],T_TTAFStock_Log[Part Name],$A64,T_TTAFStock_Log[WeekIndex],13))</f>
        <v/>
      </c>
      <c r="O64" s="17">
        <f>IF(COUNTIFS(T_TTAFStock_Log[Part Name],$A64,T_TTAFStock_Log[WeekIndex],14)=0,"",SUMIFS(T_TTAFStock_Log[TTAF_Qty],T_TTAFStock_Log[Part Name],$A64,T_TTAFStock_Log[WeekIndex],14))</f>
        <v/>
      </c>
      <c r="P64" s="17">
        <f>IF(COUNTIFS(T_TTAFStock_Log[Part Name],$A64,T_TTAFStock_Log[WeekIndex],15)=0,"",SUMIFS(T_TTAFStock_Log[TTAF_Qty],T_TTAFStock_Log[Part Name],$A64,T_TTAFStock_Log[WeekIndex],15))</f>
        <v/>
      </c>
      <c r="Q64" s="17">
        <f>IF(COUNTIFS(T_TTAFStock_Log[Part Name],$A64,T_TTAFStock_Log[WeekIndex],16)=0,"",SUMIFS(T_TTAFStock_Log[TTAF_Qty],T_TTAFStock_Log[Part Name],$A64,T_TTAFStock_Log[WeekIndex],16))</f>
        <v/>
      </c>
      <c r="R64" s="17">
        <f>IF(COUNTIFS(T_TTAFStock_Log[Part Name],$A64,T_TTAFStock_Log[WeekIndex],17)=0,"",SUMIFS(T_TTAFStock_Log[TTAF_Qty],T_TTAFStock_Log[Part Name],$A64,T_TTAFStock_Log[WeekIndex],17))</f>
        <v/>
      </c>
      <c r="S64" s="17">
        <f>IF(COUNTIFS(T_TTAFStock_Log[Part Name],$A64,T_TTAFStock_Log[WeekIndex],18)=0,"",SUMIFS(T_TTAFStock_Log[TTAF_Qty],T_TTAFStock_Log[Part Name],$A64,T_TTAFStock_Log[WeekIndex],18))</f>
        <v/>
      </c>
      <c r="T64" s="17">
        <f>IF(COUNTIFS(T_TTAFStock_Log[Part Name],$A64,T_TTAFStock_Log[WeekIndex],19)=0,"",SUMIFS(T_TTAFStock_Log[TTAF_Qty],T_TTAFStock_Log[Part Name],$A64,T_TTAFStock_Log[WeekIndex],19))</f>
        <v/>
      </c>
      <c r="U64" s="17">
        <f>IF(COUNTIFS(T_TTAFStock_Log[Part Name],$A64,T_TTAFStock_Log[WeekIndex],20)=0,"",SUMIFS(T_TTAFStock_Log[TTAF_Qty],T_TTAFStock_Log[Part Name],$A64,T_TTAFStock_Log[WeekIndex],20))</f>
        <v/>
      </c>
      <c r="V64" s="17">
        <f>IF(COUNTIFS(T_TTAFStock_Log[Part Name],$A64,T_TTAFStock_Log[WeekIndex],21)=0,"",SUMIFS(T_TTAFStock_Log[TTAF_Qty],T_TTAFStock_Log[Part Name],$A64,T_TTAFStock_Log[WeekIndex],21))</f>
        <v/>
      </c>
      <c r="W64" s="17">
        <f>IF(COUNTIFS(T_TTAFStock_Log[Part Name],$A64,T_TTAFStock_Log[WeekIndex],22)=0,"",SUMIFS(T_TTAFStock_Log[TTAF_Qty],T_TTAFStock_Log[Part Name],$A64,T_TTAFStock_Log[WeekIndex],22))</f>
        <v/>
      </c>
      <c r="X64" s="17">
        <f>IF(COUNTIFS(T_TTAFStock_Log[Part Name],$A64,T_TTAFStock_Log[WeekIndex],23)=0,"",SUMIFS(T_TTAFStock_Log[TTAF_Qty],T_TTAFStock_Log[Part Name],$A64,T_TTAFStock_Log[WeekIndex],23))</f>
        <v/>
      </c>
      <c r="Y64" s="17">
        <f>IF(COUNTIFS(T_TTAFStock_Log[Part Name],$A64,T_TTAFStock_Log[WeekIndex],24)=0,"",SUMIFS(T_TTAFStock_Log[TTAF_Qty],T_TTAFStock_Log[Part Name],$A64,T_TTAFStock_Log[WeekIndex],24))</f>
        <v/>
      </c>
      <c r="Z64" s="17">
        <f>IF(COUNTIFS(T_TTAFStock_Log[Part Name],$A64,T_TTAFStock_Log[WeekIndex],25)=0,"",SUMIFS(T_TTAFStock_Log[TTAF_Qty],T_TTAFStock_Log[Part Name],$A64,T_TTAFStock_Log[WeekIndex],25))</f>
        <v/>
      </c>
      <c r="AA64" s="17">
        <f>IF(COUNTIFS(T_TTAFStock_Log[Part Name],$A64,T_TTAFStock_Log[WeekIndex],26)=0,"",SUMIFS(T_TTAFStock_Log[TTAF_Qty],T_TTAFStock_Log[Part Name],$A64,T_TTAFStock_Log[WeekIndex],26))</f>
        <v/>
      </c>
      <c r="AB64" s="17">
        <f>IF(COUNTIFS(T_TTAFStock_Log[Part Name],$A64,T_TTAFStock_Log[WeekIndex],27)=0,"",SUMIFS(T_TTAFStock_Log[TTAF_Qty],T_TTAFStock_Log[Part Name],$A64,T_TTAFStock_Log[WeekIndex],27))</f>
        <v/>
      </c>
      <c r="AC64" s="17">
        <f>IF(COUNTIFS(T_TTAFStock_Log[Part Name],$A64,T_TTAFStock_Log[WeekIndex],28)=0,"",SUMIFS(T_TTAFStock_Log[TTAF_Qty],T_TTAFStock_Log[Part Name],$A64,T_TTAFStock_Log[WeekIndex],28))</f>
        <v/>
      </c>
      <c r="AD64" s="17">
        <f>IF(COUNTIFS(T_TTAFStock_Log[Part Name],$A64,T_TTAFStock_Log[WeekIndex],29)=0,"",SUMIFS(T_TTAFStock_Log[TTAF_Qty],T_TTAFStock_Log[Part Name],$A64,T_TTAFStock_Log[WeekIndex],29))</f>
        <v/>
      </c>
      <c r="AE64" s="17">
        <f>IF(COUNTIFS(T_TTAFStock_Log[Part Name],$A64,T_TTAFStock_Log[WeekIndex],30)=0,"",SUMIFS(T_TTAFStock_Log[TTAF_Qty],T_TTAFStock_Log[Part Name],$A64,T_TTAFStock_Log[WeekIndex],30))</f>
        <v/>
      </c>
      <c r="AF64" s="17">
        <f>IF(COUNTIFS(T_TTAFStock_Log[Part Name],$A64,T_TTAFStock_Log[WeekIndex],31)=0,"",SUMIFS(T_TTAFStock_Log[TTAF_Qty],T_TTAFStock_Log[Part Name],$A64,T_TTAFStock_Log[WeekIndex],31))</f>
        <v/>
      </c>
      <c r="AG64" s="17">
        <f>IF(COUNTIFS(T_TTAFStock_Log[Part Name],$A64,T_TTAFStock_Log[WeekIndex],32)=0,"",SUMIFS(T_TTAFStock_Log[TTAF_Qty],T_TTAFStock_Log[Part Name],$A64,T_TTAFStock_Log[WeekIndex],32))</f>
        <v/>
      </c>
      <c r="AH64" s="17">
        <f>IF(COUNTIFS(T_TTAFStock_Log[Part Name],$A64,T_TTAFStock_Log[WeekIndex],33)=0,"",SUMIFS(T_TTAFStock_Log[TTAF_Qty],T_TTAFStock_Log[Part Name],$A64,T_TTAFStock_Log[WeekIndex],33))</f>
        <v/>
      </c>
      <c r="AI64" s="17">
        <f>IF(COUNTIFS(T_TTAFStock_Log[Part Name],$A64,T_TTAFStock_Log[WeekIndex],34)=0,"",SUMIFS(T_TTAFStock_Log[TTAF_Qty],T_TTAFStock_Log[Part Name],$A64,T_TTAFStock_Log[WeekIndex],34))</f>
        <v/>
      </c>
      <c r="AJ64" s="17">
        <f>IF(COUNTIFS(T_TTAFStock_Log[Part Name],$A64,T_TTAFStock_Log[WeekIndex],35)=0,"",SUMIFS(T_TTAFStock_Log[TTAF_Qty],T_TTAFStock_Log[Part Name],$A64,T_TTAFStock_Log[WeekIndex],35))</f>
        <v/>
      </c>
      <c r="AK64" s="17">
        <f>IF(COUNTIFS(T_TTAFStock_Log[Part Name],$A64,T_TTAFStock_Log[WeekIndex],36)=0,"",SUMIFS(T_TTAFStock_Log[TTAF_Qty],T_TTAFStock_Log[Part Name],$A64,T_TTAFStock_Log[WeekIndex],36))</f>
        <v/>
      </c>
      <c r="AL64" s="17">
        <f>IF(COUNTIFS(T_TTAFStock_Log[Part Name],$A64,T_TTAFStock_Log[WeekIndex],37)=0,"",SUMIFS(T_TTAFStock_Log[TTAF_Qty],T_TTAFStock_Log[Part Name],$A64,T_TTAFStock_Log[WeekIndex],37))</f>
        <v/>
      </c>
      <c r="AM64" s="17">
        <f>IF(COUNTIFS(T_TTAFStock_Log[Part Name],$A64,T_TTAFStock_Log[WeekIndex],38)=0,"",SUMIFS(T_TTAFStock_Log[TTAF_Qty],T_TTAFStock_Log[Part Name],$A64,T_TTAFStock_Log[WeekIndex],38))</f>
        <v/>
      </c>
      <c r="AN64" s="17">
        <f>IF(COUNTIFS(T_TTAFStock_Log[Part Name],$A64,T_TTAFStock_Log[WeekIndex],39)=0,"",SUMIFS(T_TTAFStock_Log[TTAF_Qty],T_TTAFStock_Log[Part Name],$A64,T_TTAFStock_Log[WeekIndex],39))</f>
        <v/>
      </c>
      <c r="AO64" s="17">
        <f>IF(COUNTIFS(T_TTAFStock_Log[Part Name],$A64,T_TTAFStock_Log[WeekIndex],40)=0,"",SUMIFS(T_TTAFStock_Log[TTAF_Qty],T_TTAFStock_Log[Part Name],$A64,T_TTAFStock_Log[WeekIndex],40))</f>
        <v/>
      </c>
      <c r="AP64" s="17">
        <f>IF(COUNTIFS(T_TTAFStock_Log[Part Name],$A64,T_TTAFStock_Log[WeekIndex],41)=0,"",SUMIFS(T_TTAFStock_Log[TTAF_Qty],T_TTAFStock_Log[Part Name],$A64,T_TTAFStock_Log[WeekIndex],41))</f>
        <v/>
      </c>
      <c r="AQ64" s="17">
        <f>IF(COUNTIFS(T_TTAFStock_Log[Part Name],$A64,T_TTAFStock_Log[WeekIndex],42)=0,"",SUMIFS(T_TTAFStock_Log[TTAF_Qty],T_TTAFStock_Log[Part Name],$A64,T_TTAFStock_Log[WeekIndex],42))</f>
        <v/>
      </c>
      <c r="AR64" s="17">
        <f>IF(COUNTIFS(T_TTAFStock_Log[Part Name],$A64,T_TTAFStock_Log[WeekIndex],43)=0,"",SUMIFS(T_TTAFStock_Log[TTAF_Qty],T_TTAFStock_Log[Part Name],$A64,T_TTAFStock_Log[WeekIndex],43))</f>
        <v/>
      </c>
      <c r="AS64" s="17">
        <f>IF(COUNTIFS(T_TTAFStock_Log[Part Name],$A64,T_TTAFStock_Log[WeekIndex],44)=0,"",SUMIFS(T_TTAFStock_Log[TTAF_Qty],T_TTAFStock_Log[Part Name],$A64,T_TTAFStock_Log[WeekIndex],44))</f>
        <v/>
      </c>
      <c r="AT64" s="17">
        <f>IF(COUNTIFS(T_TTAFStock_Log[Part Name],$A64,T_TTAFStock_Log[WeekIndex],45)=0,"",SUMIFS(T_TTAFStock_Log[TTAF_Qty],T_TTAFStock_Log[Part Name],$A64,T_TTAFStock_Log[WeekIndex],45))</f>
        <v/>
      </c>
      <c r="AU64" s="17">
        <f>IF(COUNTIFS(T_TTAFStock_Log[Part Name],$A64,T_TTAFStock_Log[WeekIndex],46)=0,"",SUMIFS(T_TTAFStock_Log[TTAF_Qty],T_TTAFStock_Log[Part Name],$A64,T_TTAFStock_Log[WeekIndex],46))</f>
        <v/>
      </c>
      <c r="AV64" s="17">
        <f>IF(COUNTIFS(T_TTAFStock_Log[Part Name],$A64,T_TTAFStock_Log[WeekIndex],47)=0,"",SUMIFS(T_TTAFStock_Log[TTAF_Qty],T_TTAFStock_Log[Part Name],$A64,T_TTAFStock_Log[WeekIndex],47))</f>
        <v/>
      </c>
      <c r="AW64" s="17">
        <f>IF(COUNTIFS(T_TTAFStock_Log[Part Name],$A64,T_TTAFStock_Log[WeekIndex],48)=0,"",SUMIFS(T_TTAFStock_Log[TTAF_Qty],T_TTAFStock_Log[Part Name],$A64,T_TTAFStock_Log[WeekIndex],48))</f>
        <v/>
      </c>
      <c r="AX64" s="17">
        <f>IF(COUNTIFS(T_TTAFStock_Log[Part Name],$A64,T_TTAFStock_Log[WeekIndex],49)=0,"",SUMIFS(T_TTAFStock_Log[TTAF_Qty],T_TTAFStock_Log[Part Name],$A64,T_TTAFStock_Log[WeekIndex],49))</f>
        <v/>
      </c>
      <c r="AY64" s="17">
        <f>IF(COUNTIFS(T_TTAFStock_Log[Part Name],$A64,T_TTAFStock_Log[WeekIndex],50)=0,"",SUMIFS(T_TTAFStock_Log[TTAF_Qty],T_TTAFStock_Log[Part Name],$A64,T_TTAFStock_Log[WeekIndex],50))</f>
        <v/>
      </c>
      <c r="AZ64" s="17">
        <f>IF(COUNTIFS(T_TTAFStock_Log[Part Name],$A64,T_TTAFStock_Log[WeekIndex],51)=0,"",SUMIFS(T_TTAFStock_Log[TTAF_Qty],T_TTAFStock_Log[Part Name],$A64,T_TTAFStock_Log[WeekIndex],51))</f>
        <v/>
      </c>
      <c r="BA64" s="17">
        <f>IF(COUNTIFS(T_TTAFStock_Log[Part Name],$A64,T_TTAFStock_Log[WeekIndex],52)=0,"",SUMIFS(T_TTAFStock_Log[TTAF_Qty],T_TTAFStock_Log[Part Name],$A64,T_TTAFStock_Log[WeekIndex],52))</f>
        <v/>
      </c>
      <c r="BB64" s="17">
        <f>IF(COUNTIFS(T_TTAFStock_Log[Part Name],$A64,T_TTAFStock_Log[WeekIndex],53)=0,"",SUMIFS(T_TTAFStock_Log[TTAF_Qty],T_TTAFStock_Log[Part Name],$A64,T_TTAFStock_Log[WeekIndex],53))</f>
        <v/>
      </c>
      <c r="BC64" s="17">
        <f>IF(COUNTIFS(T_TTAFStock_Log[Part Name],$A64,T_TTAFStock_Log[WeekIndex],54)=0,"",SUMIFS(T_TTAFStock_Log[TTAF_Qty],T_TTAFStock_Log[Part Name],$A64,T_TTAFStock_Log[WeekIndex],54))</f>
        <v/>
      </c>
      <c r="BD64" s="17">
        <f>IF(COUNTIFS(T_TTAFStock_Log[Part Name],$A64,T_TTAFStock_Log[WeekIndex],55)=0,"",SUMIFS(T_TTAFStock_Log[TTAF_Qty],T_TTAFStock_Log[Part Name],$A64,T_TTAFStock_Log[WeekIndex],55))</f>
        <v/>
      </c>
      <c r="BE64" s="17">
        <f>IF(COUNTIFS(T_TTAFStock_Log[Part Name],$A64,T_TTAFStock_Log[WeekIndex],56)=0,"",SUMIFS(T_TTAFStock_Log[TTAF_Qty],T_TTAFStock_Log[Part Name],$A64,T_TTAFStock_Log[WeekIndex],56))</f>
        <v/>
      </c>
      <c r="BF64" s="17">
        <f>IF(COUNTIFS(T_TTAFStock_Log[Part Name],$A64,T_TTAFStock_Log[WeekIndex],57)=0,"",SUMIFS(T_TTAFStock_Log[TTAF_Qty],T_TTAFStock_Log[Part Name],$A64,T_TTAFStock_Log[WeekIndex],57))</f>
        <v/>
      </c>
      <c r="BG64" s="17">
        <f>IF(COUNTIFS(T_TTAFStock_Log[Part Name],$A64,T_TTAFStock_Log[WeekIndex],58)=0,"",SUMIFS(T_TTAFStock_Log[TTAF_Qty],T_TTAFStock_Log[Part Name],$A64,T_TTAFStock_Log[WeekIndex],58))</f>
        <v/>
      </c>
      <c r="BH64" s="17">
        <f>IF(COUNTIFS(T_TTAFStock_Log[Part Name],$A64,T_TTAFStock_Log[WeekIndex],59)=0,"",SUMIFS(T_TTAFStock_Log[TTAF_Qty],T_TTAFStock_Log[Part Name],$A64,T_TTAFStock_Log[WeekIndex],59))</f>
        <v/>
      </c>
      <c r="BI64" s="17">
        <f>IF(COUNTIFS(T_TTAFStock_Log[Part Name],$A64,T_TTAFStock_Log[WeekIndex],60)=0,"",SUMIFS(T_TTAFStock_Log[TTAF_Qty],T_TTAFStock_Log[Part Name],$A64,T_TTAFStock_Log[WeekIndex],60))</f>
        <v/>
      </c>
      <c r="BJ64" s="17">
        <f>IF(COUNTIFS(T_TTAFStock_Log[Part Name],$A64,T_TTAFStock_Log[WeekIndex],61)=0,"",SUMIFS(T_TTAFStock_Log[TTAF_Qty],T_TTAFStock_Log[Part Name],$A64,T_TTAFStock_Log[WeekIndex],61))</f>
        <v/>
      </c>
      <c r="BK64" s="17">
        <f>IF(COUNTIFS(T_TTAFStock_Log[Part Name],$A64,T_TTAFStock_Log[WeekIndex],62)=0,"",SUMIFS(T_TTAFStock_Log[TTAF_Qty],T_TTAFStock_Log[Part Name],$A64,T_TTAFStock_Log[WeekIndex],62))</f>
        <v/>
      </c>
      <c r="BL64" s="17">
        <f>IF(COUNTIFS(T_TTAFStock_Log[Part Name],$A64,T_TTAFStock_Log[WeekIndex],63)=0,"",SUMIFS(T_TTAFStock_Log[TTAF_Qty],T_TTAFStock_Log[Part Name],$A64,T_TTAFStock_Log[WeekIndex],63))</f>
        <v/>
      </c>
      <c r="BM64" s="17">
        <f>IF(COUNTIFS(T_TTAFStock_Log[Part Name],$A64,T_TTAFStock_Log[WeekIndex],64)=0,"",SUMIFS(T_TTAFStock_Log[TTAF_Qty],T_TTAFStock_Log[Part Name],$A64,T_TTAFStock_Log[WeekIndex],64))</f>
        <v/>
      </c>
      <c r="BN64" s="17">
        <f>IF(COUNTIFS(T_TTAFStock_Log[Part Name],$A64,T_TTAFStock_Log[WeekIndex],65)=0,"",SUMIFS(T_TTAFStock_Log[TTAF_Qty],T_TTAFStock_Log[Part Name],$A64,T_TTAFStock_Log[WeekIndex],65))</f>
        <v/>
      </c>
      <c r="BO64" s="17">
        <f>IF(COUNTIFS(T_TTAFStock_Log[Part Name],$A64,T_TTAFStock_Log[WeekIndex],66)=0,"",SUMIFS(T_TTAFStock_Log[TTAF_Qty],T_TTAFStock_Log[Part Name],$A64,T_TTAFStock_Log[WeekIndex],66))</f>
        <v/>
      </c>
      <c r="BP64" s="17">
        <f>IF(COUNTIFS(T_TTAFStock_Log[Part Name],$A64,T_TTAFStock_Log[WeekIndex],67)=0,"",SUMIFS(T_TTAFStock_Log[TTAF_Qty],T_TTAFStock_Log[Part Name],$A64,T_TTAFStock_Log[WeekIndex],67))</f>
        <v/>
      </c>
      <c r="BQ64" s="17">
        <f>IF(COUNTIFS(T_TTAFStock_Log[Part Name],$A64,T_TTAFStock_Log[WeekIndex],68)=0,"",SUMIFS(T_TTAFStock_Log[TTAF_Qty],T_TTAFStock_Log[Part Name],$A64,T_TTAFStock_Log[WeekIndex],68))</f>
        <v/>
      </c>
      <c r="BR64" s="17">
        <f>IF(COUNTIFS(T_TTAFStock_Log[Part Name],$A64,T_TTAFStock_Log[WeekIndex],69)=0,"",SUMIFS(T_TTAFStock_Log[TTAF_Qty],T_TTAFStock_Log[Part Name],$A64,T_TTAFStock_Log[WeekIndex],69))</f>
        <v/>
      </c>
      <c r="BS64" s="17">
        <f>IF(COUNTIFS(T_TTAFStock_Log[Part Name],$A64,T_TTAFStock_Log[WeekIndex],70)=0,"",SUMIFS(T_TTAFStock_Log[TTAF_Qty],T_TTAFStock_Log[Part Name],$A64,T_TTAFStock_Log[WeekIndex],70))</f>
        <v/>
      </c>
      <c r="BT64" s="17">
        <f>IF(COUNTIFS(T_TTAFStock_Log[Part Name],$A64,T_TTAFStock_Log[WeekIndex],71)=0,"",SUMIFS(T_TTAFStock_Log[TTAF_Qty],T_TTAFStock_Log[Part Name],$A64,T_TTAFStock_Log[WeekIndex],71))</f>
        <v/>
      </c>
      <c r="BU64" s="17">
        <f>IF(COUNTIFS(T_TTAFStock_Log[Part Name],$A64,T_TTAFStock_Log[WeekIndex],72)=0,"",SUMIFS(T_TTAFStock_Log[TTAF_Qty],T_TTAFStock_Log[Part Name],$A64,T_TTAFStock_Log[WeekIndex],72))</f>
        <v/>
      </c>
      <c r="BV64" s="17">
        <f>IF(COUNTIFS(T_TTAFStock_Log[Part Name],$A64,T_TTAFStock_Log[WeekIndex],73)=0,"",SUMIFS(T_TTAFStock_Log[TTAF_Qty],T_TTAFStock_Log[Part Name],$A64,T_TTAFStock_Log[WeekIndex],73))</f>
        <v/>
      </c>
      <c r="BW64" s="17">
        <f>IF(COUNTIFS(T_TTAFStock_Log[Part Name],$A64,T_TTAFStock_Log[WeekIndex],74)=0,"",SUMIFS(T_TTAFStock_Log[TTAF_Qty],T_TTAFStock_Log[Part Name],$A64,T_TTAFStock_Log[WeekIndex],74))</f>
        <v/>
      </c>
      <c r="BX64" s="17">
        <f>IF(COUNTIFS(T_TTAFStock_Log[Part Name],$A64,T_TTAFStock_Log[WeekIndex],75)=0,"",SUMIFS(T_TTAFStock_Log[TTAF_Qty],T_TTAFStock_Log[Part Name],$A64,T_TTAFStock_Log[WeekIndex],75))</f>
        <v/>
      </c>
      <c r="BY64" s="17">
        <f>IF(COUNTIFS(T_TTAFStock_Log[Part Name],$A64,T_TTAFStock_Log[WeekIndex],76)=0,"",SUMIFS(T_TTAFStock_Log[TTAF_Qty],T_TTAFStock_Log[Part Name],$A64,T_TTAFStock_Log[WeekIndex],76))</f>
        <v/>
      </c>
      <c r="BZ64" s="17">
        <f>IF(COUNTIFS(T_TTAFStock_Log[Part Name],$A64,T_TTAFStock_Log[WeekIndex],77)=0,"",SUMIFS(T_TTAFStock_Log[TTAF_Qty],T_TTAFStock_Log[Part Name],$A64,T_TTAFStock_Log[WeekIndex],77))</f>
        <v/>
      </c>
      <c r="CA64" s="17">
        <f>IF(COUNTIFS(T_TTAFStock_Log[Part Name],$A64,T_TTAFStock_Log[WeekIndex],78)=0,"",SUMIFS(T_TTAFStock_Log[TTAF_Qty],T_TTAFStock_Log[Part Name],$A64,T_TTAFStock_Log[WeekIndex],78))</f>
        <v/>
      </c>
      <c r="CB64" s="17">
        <f>IF(COUNTIFS(T_TTAFStock_Log[Part Name],$A64,T_TTAFStock_Log[WeekIndex],79)=0,"",SUMIFS(T_TTAFStock_Log[TTAF_Qty],T_TTAFStock_Log[Part Name],$A64,T_TTAFStock_Log[WeekIndex],79))</f>
        <v/>
      </c>
      <c r="CC64" s="17">
        <f>IF(COUNTIFS(T_TTAFStock_Log[Part Name],$A64,T_TTAFStock_Log[WeekIndex],80)=0,"",SUMIFS(T_TTAFStock_Log[TTAF_Qty],T_TTAFStock_Log[Part Name],$A64,T_TTAFStock_Log[WeekIndex],80))</f>
        <v/>
      </c>
      <c r="CD64" s="17">
        <f>IF(COUNTIFS(T_TTAFStock_Log[Part Name],$A64,T_TTAFStock_Log[WeekIndex],81)=0,"",SUMIFS(T_TTAFStock_Log[TTAF_Qty],T_TTAFStock_Log[Part Name],$A64,T_TTAFStock_Log[WeekIndex],81))</f>
        <v/>
      </c>
      <c r="CE64" s="17">
        <f>IF(COUNTIFS(T_TTAFStock_Log[Part Name],$A64,T_TTAFStock_Log[WeekIndex],82)=0,"",SUMIFS(T_TTAFStock_Log[TTAF_Qty],T_TTAFStock_Log[Part Name],$A64,T_TTAFStock_Log[WeekIndex],82))</f>
        <v/>
      </c>
      <c r="CF64" s="17">
        <f>IF(COUNTIFS(T_TTAFStock_Log[Part Name],$A64,T_TTAFStock_Log[WeekIndex],83)=0,"",SUMIFS(T_TTAFStock_Log[TTAF_Qty],T_TTAFStock_Log[Part Name],$A64,T_TTAFStock_Log[WeekIndex],83))</f>
        <v/>
      </c>
      <c r="CG64" s="17">
        <f>IF(COUNTIFS(T_TTAFStock_Log[Part Name],$A64,T_TTAFStock_Log[WeekIndex],84)=0,"",SUMIFS(T_TTAFStock_Log[TTAF_Qty],T_TTAFStock_Log[Part Name],$A64,T_TTAFStock_Log[WeekIndex],84))</f>
        <v/>
      </c>
      <c r="CH64" s="17">
        <f>IF(COUNTIFS(T_TTAFStock_Log[Part Name],$A64,T_TTAFStock_Log[WeekIndex],85)=0,"",SUMIFS(T_TTAFStock_Log[TTAF_Qty],T_TTAFStock_Log[Part Name],$A64,T_TTAFStock_Log[WeekIndex],85))</f>
        <v/>
      </c>
      <c r="CI64" s="17">
        <f>IF(COUNTIFS(T_TTAFStock_Log[Part Name],$A64,T_TTAFStock_Log[WeekIndex],86)=0,"",SUMIFS(T_TTAFStock_Log[TTAF_Qty],T_TTAFStock_Log[Part Name],$A64,T_TTAFStock_Log[WeekIndex],86))</f>
        <v/>
      </c>
      <c r="CJ64" s="17">
        <f>IF(COUNTIFS(T_TTAFStock_Log[Part Name],$A64,T_TTAFStock_Log[WeekIndex],87)=0,"",SUMIFS(T_TTAFStock_Log[TTAF_Qty],T_TTAFStock_Log[Part Name],$A64,T_TTAFStock_Log[WeekIndex],87))</f>
        <v/>
      </c>
      <c r="CK64" s="17">
        <f>IF(COUNTIFS(T_TTAFStock_Log[Part Name],$A64,T_TTAFStock_Log[WeekIndex],88)=0,"",SUMIFS(T_TTAFStock_Log[TTAF_Qty],T_TTAFStock_Log[Part Name],$A64,T_TTAFStock_Log[WeekIndex],88))</f>
        <v/>
      </c>
      <c r="CL64" s="17">
        <f>IF(COUNTIFS(T_TTAFStock_Log[Part Name],$A64,T_TTAFStock_Log[WeekIndex],89)=0,"",SUMIFS(T_TTAFStock_Log[TTAF_Qty],T_TTAFStock_Log[Part Name],$A64,T_TTAFStock_Log[WeekIndex],89))</f>
        <v/>
      </c>
      <c r="CM64" s="17">
        <f>IF(COUNTIFS(T_TTAFStock_Log[Part Name],$A64,T_TTAFStock_Log[WeekIndex],90)=0,"",SUMIFS(T_TTAFStock_Log[TTAF_Qty],T_TTAFStock_Log[Part Name],$A64,T_TTAFStock_Log[WeekIndex],90))</f>
        <v/>
      </c>
      <c r="CN64" s="17">
        <f>IF(COUNTIFS(T_TTAFStock_Log[Part Name],$A64,T_TTAFStock_Log[WeekIndex],91)=0,"",SUMIFS(T_TTAFStock_Log[TTAF_Qty],T_TTAFStock_Log[Part Name],$A64,T_TTAFStock_Log[WeekIndex],91))</f>
        <v/>
      </c>
      <c r="CO64" s="17">
        <f>IF(COUNTIFS(T_TTAFStock_Log[Part Name],$A64,T_TTAFStock_Log[WeekIndex],92)=0,"",SUMIFS(T_TTAFStock_Log[TTAF_Qty],T_TTAFStock_Log[Part Name],$A64,T_TTAFStock_Log[WeekIndex],92))</f>
        <v/>
      </c>
      <c r="CP64" s="17">
        <f>IF(COUNTIFS(T_TTAFStock_Log[Part Name],$A64,T_TTAFStock_Log[WeekIndex],93)=0,"",SUMIFS(T_TTAFStock_Log[TTAF_Qty],T_TTAFStock_Log[Part Name],$A64,T_TTAFStock_Log[WeekIndex],93))</f>
        <v/>
      </c>
      <c r="CQ64" s="17">
        <f>IF(COUNTIFS(T_TTAFStock_Log[Part Name],$A64,T_TTAFStock_Log[WeekIndex],94)=0,"",SUMIFS(T_TTAFStock_Log[TTAF_Qty],T_TTAFStock_Log[Part Name],$A64,T_TTAFStock_Log[WeekIndex],94))</f>
        <v/>
      </c>
      <c r="CR64" s="17">
        <f>IF(COUNTIFS(T_TTAFStock_Log[Part Name],$A64,T_TTAFStock_Log[WeekIndex],95)=0,"",SUMIFS(T_TTAFStock_Log[TTAF_Qty],T_TTAFStock_Log[Part Name],$A64,T_TTAFStock_Log[WeekIndex],95))</f>
        <v/>
      </c>
      <c r="CS64" s="17">
        <f>IF(COUNTIFS(T_TTAFStock_Log[Part Name],$A64,T_TTAFStock_Log[WeekIndex],96)=0,"",SUMIFS(T_TTAFStock_Log[TTAF_Qty],T_TTAFStock_Log[Part Name],$A64,T_TTAFStock_Log[WeekIndex],96))</f>
        <v/>
      </c>
      <c r="CT64" s="17">
        <f>IF(COUNTIFS(T_TTAFStock_Log[Part Name],$A64,T_TTAFStock_Log[WeekIndex],97)=0,"",SUMIFS(T_TTAFStock_Log[TTAF_Qty],T_TTAFStock_Log[Part Name],$A64,T_TTAFStock_Log[WeekIndex],97))</f>
        <v/>
      </c>
      <c r="CU64" s="17">
        <f>IF(COUNTIFS(T_TTAFStock_Log[Part Name],$A64,T_TTAFStock_Log[WeekIndex],98)=0,"",SUMIFS(T_TTAFStock_Log[TTAF_Qty],T_TTAFStock_Log[Part Name],$A64,T_TTAFStock_Log[WeekIndex],98))</f>
        <v/>
      </c>
      <c r="CV64" s="17">
        <f>IF(COUNTIFS(T_TTAFStock_Log[Part Name],$A64,T_TTAFStock_Log[WeekIndex],99)=0,"",SUMIFS(T_TTAFStock_Log[TTAF_Qty],T_TTAFStock_Log[Part Name],$A64,T_TTAFStock_Log[WeekIndex],99))</f>
        <v/>
      </c>
      <c r="CW64" s="17">
        <f>IF(COUNTIFS(T_TTAFStock_Log[Part Name],$A64,T_TTAFStock_Log[WeekIndex],100)=0,"",SUMIFS(T_TTAFStock_Log[TTAF_Qty],T_TTAFStock_Log[Part Name],$A64,T_TTAFStock_Log[WeekIndex],100))</f>
        <v/>
      </c>
      <c r="CX64" s="17">
        <f>IF(COUNTIFS(T_TTAFStock_Log[Part Name],$A64,T_TTAFStock_Log[WeekIndex],101)=0,"",SUMIFS(T_TTAFStock_Log[TTAF_Qty],T_TTAFStock_Log[Part Name],$A64,T_TTAFStock_Log[WeekIndex],101))</f>
        <v/>
      </c>
      <c r="CY64" s="17">
        <f>IF(COUNTIFS(T_TTAFStock_Log[Part Name],$A64,T_TTAFStock_Log[WeekIndex],102)=0,"",SUMIFS(T_TTAFStock_Log[TTAF_Qty],T_TTAFStock_Log[Part Name],$A64,T_TTAFStock_Log[WeekIndex],102))</f>
        <v/>
      </c>
      <c r="CZ64" s="17">
        <f>IF(COUNTIFS(T_TTAFStock_Log[Part Name],$A64,T_TTAFStock_Log[WeekIndex],103)=0,"",SUMIFS(T_TTAFStock_Log[TTAF_Qty],T_TTAFStock_Log[Part Name],$A64,T_TTAFStock_Log[WeekIndex],103))</f>
        <v/>
      </c>
      <c r="DA64" s="17">
        <f>IF(COUNTIFS(T_TTAFStock_Log[Part Name],$A64,T_TTAFStock_Log[WeekIndex],104)=0,"",SUMIFS(T_TTAFStock_Log[TTAF_Qty],T_TTAFStock_Log[Part Name],$A64,T_TTAFStock_Log[WeekIndex],104))</f>
        <v/>
      </c>
    </row>
    <row r="65">
      <c r="A65" s="19" t="inlineStr">
        <is>
          <t>CHEM-1720</t>
        </is>
      </c>
      <c r="B65" s="19">
        <f>IF(COUNTIFS(T_TTAFStock_Log[Part Name],$A65,T_TTAFStock_Log[WeekIndex],1)=0,"",SUMIFS(T_TTAFStock_Log[TTAF_Qty],T_TTAFStock_Log[Part Name],$A65,T_TTAFStock_Log[WeekIndex],1))</f>
        <v/>
      </c>
      <c r="C65" s="19">
        <f>IF(COUNTIFS(T_TTAFStock_Log[Part Name],$A65,T_TTAFStock_Log[WeekIndex],2)=0,"",SUMIFS(T_TTAFStock_Log[TTAF_Qty],T_TTAFStock_Log[Part Name],$A65,T_TTAFStock_Log[WeekIndex],2))</f>
        <v/>
      </c>
      <c r="D65" s="19">
        <f>IF(COUNTIFS(T_TTAFStock_Log[Part Name],$A65,T_TTAFStock_Log[WeekIndex],3)=0,"",SUMIFS(T_TTAFStock_Log[TTAF_Qty],T_TTAFStock_Log[Part Name],$A65,T_TTAFStock_Log[WeekIndex],3))</f>
        <v/>
      </c>
      <c r="E65" s="19">
        <f>IF(COUNTIFS(T_TTAFStock_Log[Part Name],$A65,T_TTAFStock_Log[WeekIndex],4)=0,"",SUMIFS(T_TTAFStock_Log[TTAF_Qty],T_TTAFStock_Log[Part Name],$A65,T_TTAFStock_Log[WeekIndex],4))</f>
        <v/>
      </c>
      <c r="F65" s="19">
        <f>IF(COUNTIFS(T_TTAFStock_Log[Part Name],$A65,T_TTAFStock_Log[WeekIndex],5)=0,"",SUMIFS(T_TTAFStock_Log[TTAF_Qty],T_TTAFStock_Log[Part Name],$A65,T_TTAFStock_Log[WeekIndex],5))</f>
        <v/>
      </c>
      <c r="G65" s="19">
        <f>IF(COUNTIFS(T_TTAFStock_Log[Part Name],$A65,T_TTAFStock_Log[WeekIndex],6)=0,"",SUMIFS(T_TTAFStock_Log[TTAF_Qty],T_TTAFStock_Log[Part Name],$A65,T_TTAFStock_Log[WeekIndex],6))</f>
        <v/>
      </c>
      <c r="H65" s="19">
        <f>IF(COUNTIFS(T_TTAFStock_Log[Part Name],$A65,T_TTAFStock_Log[WeekIndex],7)=0,"",SUMIFS(T_TTAFStock_Log[TTAF_Qty],T_TTAFStock_Log[Part Name],$A65,T_TTAFStock_Log[WeekIndex],7))</f>
        <v/>
      </c>
      <c r="I65" s="19">
        <f>IF(COUNTIFS(T_TTAFStock_Log[Part Name],$A65,T_TTAFStock_Log[WeekIndex],8)=0,"",SUMIFS(T_TTAFStock_Log[TTAF_Qty],T_TTAFStock_Log[Part Name],$A65,T_TTAFStock_Log[WeekIndex],8))</f>
        <v/>
      </c>
      <c r="J65" s="19">
        <f>IF(COUNTIFS(T_TTAFStock_Log[Part Name],$A65,T_TTAFStock_Log[WeekIndex],9)=0,"",SUMIFS(T_TTAFStock_Log[TTAF_Qty],T_TTAFStock_Log[Part Name],$A65,T_TTAFStock_Log[WeekIndex],9))</f>
        <v/>
      </c>
      <c r="K65" s="19">
        <f>IF(COUNTIFS(T_TTAFStock_Log[Part Name],$A65,T_TTAFStock_Log[WeekIndex],10)=0,"",SUMIFS(T_TTAFStock_Log[TTAF_Qty],T_TTAFStock_Log[Part Name],$A65,T_TTAFStock_Log[WeekIndex],10))</f>
        <v/>
      </c>
      <c r="L65" s="19">
        <f>IF(COUNTIFS(T_TTAFStock_Log[Part Name],$A65,T_TTAFStock_Log[WeekIndex],11)=0,"",SUMIFS(T_TTAFStock_Log[TTAF_Qty],T_TTAFStock_Log[Part Name],$A65,T_TTAFStock_Log[WeekIndex],11))</f>
        <v/>
      </c>
      <c r="M65" s="19">
        <f>IF(COUNTIFS(T_TTAFStock_Log[Part Name],$A65,T_TTAFStock_Log[WeekIndex],12)=0,"",SUMIFS(T_TTAFStock_Log[TTAF_Qty],T_TTAFStock_Log[Part Name],$A65,T_TTAFStock_Log[WeekIndex],12))</f>
        <v/>
      </c>
      <c r="N65" s="19">
        <f>IF(COUNTIFS(T_TTAFStock_Log[Part Name],$A65,T_TTAFStock_Log[WeekIndex],13)=0,"",SUMIFS(T_TTAFStock_Log[TTAF_Qty],T_TTAFStock_Log[Part Name],$A65,T_TTAFStock_Log[WeekIndex],13))</f>
        <v/>
      </c>
      <c r="O65" s="19">
        <f>IF(COUNTIFS(T_TTAFStock_Log[Part Name],$A65,T_TTAFStock_Log[WeekIndex],14)=0,"",SUMIFS(T_TTAFStock_Log[TTAF_Qty],T_TTAFStock_Log[Part Name],$A65,T_TTAFStock_Log[WeekIndex],14))</f>
        <v/>
      </c>
      <c r="P65" s="19">
        <f>IF(COUNTIFS(T_TTAFStock_Log[Part Name],$A65,T_TTAFStock_Log[WeekIndex],15)=0,"",SUMIFS(T_TTAFStock_Log[TTAF_Qty],T_TTAFStock_Log[Part Name],$A65,T_TTAFStock_Log[WeekIndex],15))</f>
        <v/>
      </c>
      <c r="Q65" s="19">
        <f>IF(COUNTIFS(T_TTAFStock_Log[Part Name],$A65,T_TTAFStock_Log[WeekIndex],16)=0,"",SUMIFS(T_TTAFStock_Log[TTAF_Qty],T_TTAFStock_Log[Part Name],$A65,T_TTAFStock_Log[WeekIndex],16))</f>
        <v/>
      </c>
      <c r="R65" s="19">
        <f>IF(COUNTIFS(T_TTAFStock_Log[Part Name],$A65,T_TTAFStock_Log[WeekIndex],17)=0,"",SUMIFS(T_TTAFStock_Log[TTAF_Qty],T_TTAFStock_Log[Part Name],$A65,T_TTAFStock_Log[WeekIndex],17))</f>
        <v/>
      </c>
      <c r="S65" s="19">
        <f>IF(COUNTIFS(T_TTAFStock_Log[Part Name],$A65,T_TTAFStock_Log[WeekIndex],18)=0,"",SUMIFS(T_TTAFStock_Log[TTAF_Qty],T_TTAFStock_Log[Part Name],$A65,T_TTAFStock_Log[WeekIndex],18))</f>
        <v/>
      </c>
      <c r="T65" s="19">
        <f>IF(COUNTIFS(T_TTAFStock_Log[Part Name],$A65,T_TTAFStock_Log[WeekIndex],19)=0,"",SUMIFS(T_TTAFStock_Log[TTAF_Qty],T_TTAFStock_Log[Part Name],$A65,T_TTAFStock_Log[WeekIndex],19))</f>
        <v/>
      </c>
      <c r="U65" s="19">
        <f>IF(COUNTIFS(T_TTAFStock_Log[Part Name],$A65,T_TTAFStock_Log[WeekIndex],20)=0,"",SUMIFS(T_TTAFStock_Log[TTAF_Qty],T_TTAFStock_Log[Part Name],$A65,T_TTAFStock_Log[WeekIndex],20))</f>
        <v/>
      </c>
      <c r="V65" s="19">
        <f>IF(COUNTIFS(T_TTAFStock_Log[Part Name],$A65,T_TTAFStock_Log[WeekIndex],21)=0,"",SUMIFS(T_TTAFStock_Log[TTAF_Qty],T_TTAFStock_Log[Part Name],$A65,T_TTAFStock_Log[WeekIndex],21))</f>
        <v/>
      </c>
      <c r="W65" s="19">
        <f>IF(COUNTIFS(T_TTAFStock_Log[Part Name],$A65,T_TTAFStock_Log[WeekIndex],22)=0,"",SUMIFS(T_TTAFStock_Log[TTAF_Qty],T_TTAFStock_Log[Part Name],$A65,T_TTAFStock_Log[WeekIndex],22))</f>
        <v/>
      </c>
      <c r="X65" s="19">
        <f>IF(COUNTIFS(T_TTAFStock_Log[Part Name],$A65,T_TTAFStock_Log[WeekIndex],23)=0,"",SUMIFS(T_TTAFStock_Log[TTAF_Qty],T_TTAFStock_Log[Part Name],$A65,T_TTAFStock_Log[WeekIndex],23))</f>
        <v/>
      </c>
      <c r="Y65" s="19">
        <f>IF(COUNTIFS(T_TTAFStock_Log[Part Name],$A65,T_TTAFStock_Log[WeekIndex],24)=0,"",SUMIFS(T_TTAFStock_Log[TTAF_Qty],T_TTAFStock_Log[Part Name],$A65,T_TTAFStock_Log[WeekIndex],24))</f>
        <v/>
      </c>
      <c r="Z65" s="19">
        <f>IF(COUNTIFS(T_TTAFStock_Log[Part Name],$A65,T_TTAFStock_Log[WeekIndex],25)=0,"",SUMIFS(T_TTAFStock_Log[TTAF_Qty],T_TTAFStock_Log[Part Name],$A65,T_TTAFStock_Log[WeekIndex],25))</f>
        <v/>
      </c>
      <c r="AA65" s="19">
        <f>IF(COUNTIFS(T_TTAFStock_Log[Part Name],$A65,T_TTAFStock_Log[WeekIndex],26)=0,"",SUMIFS(T_TTAFStock_Log[TTAF_Qty],T_TTAFStock_Log[Part Name],$A65,T_TTAFStock_Log[WeekIndex],26))</f>
        <v/>
      </c>
      <c r="AB65" s="19">
        <f>IF(COUNTIFS(T_TTAFStock_Log[Part Name],$A65,T_TTAFStock_Log[WeekIndex],27)=0,"",SUMIFS(T_TTAFStock_Log[TTAF_Qty],T_TTAFStock_Log[Part Name],$A65,T_TTAFStock_Log[WeekIndex],27))</f>
        <v/>
      </c>
      <c r="AC65" s="19">
        <f>IF(COUNTIFS(T_TTAFStock_Log[Part Name],$A65,T_TTAFStock_Log[WeekIndex],28)=0,"",SUMIFS(T_TTAFStock_Log[TTAF_Qty],T_TTAFStock_Log[Part Name],$A65,T_TTAFStock_Log[WeekIndex],28))</f>
        <v/>
      </c>
      <c r="AD65" s="19">
        <f>IF(COUNTIFS(T_TTAFStock_Log[Part Name],$A65,T_TTAFStock_Log[WeekIndex],29)=0,"",SUMIFS(T_TTAFStock_Log[TTAF_Qty],T_TTAFStock_Log[Part Name],$A65,T_TTAFStock_Log[WeekIndex],29))</f>
        <v/>
      </c>
      <c r="AE65" s="19">
        <f>IF(COUNTIFS(T_TTAFStock_Log[Part Name],$A65,T_TTAFStock_Log[WeekIndex],30)=0,"",SUMIFS(T_TTAFStock_Log[TTAF_Qty],T_TTAFStock_Log[Part Name],$A65,T_TTAFStock_Log[WeekIndex],30))</f>
        <v/>
      </c>
      <c r="AF65" s="19">
        <f>IF(COUNTIFS(T_TTAFStock_Log[Part Name],$A65,T_TTAFStock_Log[WeekIndex],31)=0,"",SUMIFS(T_TTAFStock_Log[TTAF_Qty],T_TTAFStock_Log[Part Name],$A65,T_TTAFStock_Log[WeekIndex],31))</f>
        <v/>
      </c>
      <c r="AG65" s="19">
        <f>IF(COUNTIFS(T_TTAFStock_Log[Part Name],$A65,T_TTAFStock_Log[WeekIndex],32)=0,"",SUMIFS(T_TTAFStock_Log[TTAF_Qty],T_TTAFStock_Log[Part Name],$A65,T_TTAFStock_Log[WeekIndex],32))</f>
        <v/>
      </c>
      <c r="AH65" s="19">
        <f>IF(COUNTIFS(T_TTAFStock_Log[Part Name],$A65,T_TTAFStock_Log[WeekIndex],33)=0,"",SUMIFS(T_TTAFStock_Log[TTAF_Qty],T_TTAFStock_Log[Part Name],$A65,T_TTAFStock_Log[WeekIndex],33))</f>
        <v/>
      </c>
      <c r="AI65" s="19">
        <f>IF(COUNTIFS(T_TTAFStock_Log[Part Name],$A65,T_TTAFStock_Log[WeekIndex],34)=0,"",SUMIFS(T_TTAFStock_Log[TTAF_Qty],T_TTAFStock_Log[Part Name],$A65,T_TTAFStock_Log[WeekIndex],34))</f>
        <v/>
      </c>
      <c r="AJ65" s="19">
        <f>IF(COUNTIFS(T_TTAFStock_Log[Part Name],$A65,T_TTAFStock_Log[WeekIndex],35)=0,"",SUMIFS(T_TTAFStock_Log[TTAF_Qty],T_TTAFStock_Log[Part Name],$A65,T_TTAFStock_Log[WeekIndex],35))</f>
        <v/>
      </c>
      <c r="AK65" s="19">
        <f>IF(COUNTIFS(T_TTAFStock_Log[Part Name],$A65,T_TTAFStock_Log[WeekIndex],36)=0,"",SUMIFS(T_TTAFStock_Log[TTAF_Qty],T_TTAFStock_Log[Part Name],$A65,T_TTAFStock_Log[WeekIndex],36))</f>
        <v/>
      </c>
      <c r="AL65" s="19">
        <f>IF(COUNTIFS(T_TTAFStock_Log[Part Name],$A65,T_TTAFStock_Log[WeekIndex],37)=0,"",SUMIFS(T_TTAFStock_Log[TTAF_Qty],T_TTAFStock_Log[Part Name],$A65,T_TTAFStock_Log[WeekIndex],37))</f>
        <v/>
      </c>
      <c r="AM65" s="19">
        <f>IF(COUNTIFS(T_TTAFStock_Log[Part Name],$A65,T_TTAFStock_Log[WeekIndex],38)=0,"",SUMIFS(T_TTAFStock_Log[TTAF_Qty],T_TTAFStock_Log[Part Name],$A65,T_TTAFStock_Log[WeekIndex],38))</f>
        <v/>
      </c>
      <c r="AN65" s="19">
        <f>IF(COUNTIFS(T_TTAFStock_Log[Part Name],$A65,T_TTAFStock_Log[WeekIndex],39)=0,"",SUMIFS(T_TTAFStock_Log[TTAF_Qty],T_TTAFStock_Log[Part Name],$A65,T_TTAFStock_Log[WeekIndex],39))</f>
        <v/>
      </c>
      <c r="AO65" s="19">
        <f>IF(COUNTIFS(T_TTAFStock_Log[Part Name],$A65,T_TTAFStock_Log[WeekIndex],40)=0,"",SUMIFS(T_TTAFStock_Log[TTAF_Qty],T_TTAFStock_Log[Part Name],$A65,T_TTAFStock_Log[WeekIndex],40))</f>
        <v/>
      </c>
      <c r="AP65" s="19">
        <f>IF(COUNTIFS(T_TTAFStock_Log[Part Name],$A65,T_TTAFStock_Log[WeekIndex],41)=0,"",SUMIFS(T_TTAFStock_Log[TTAF_Qty],T_TTAFStock_Log[Part Name],$A65,T_TTAFStock_Log[WeekIndex],41))</f>
        <v/>
      </c>
      <c r="AQ65" s="19">
        <f>IF(COUNTIFS(T_TTAFStock_Log[Part Name],$A65,T_TTAFStock_Log[WeekIndex],42)=0,"",SUMIFS(T_TTAFStock_Log[TTAF_Qty],T_TTAFStock_Log[Part Name],$A65,T_TTAFStock_Log[WeekIndex],42))</f>
        <v/>
      </c>
      <c r="AR65" s="19">
        <f>IF(COUNTIFS(T_TTAFStock_Log[Part Name],$A65,T_TTAFStock_Log[WeekIndex],43)=0,"",SUMIFS(T_TTAFStock_Log[TTAF_Qty],T_TTAFStock_Log[Part Name],$A65,T_TTAFStock_Log[WeekIndex],43))</f>
        <v/>
      </c>
      <c r="AS65" s="19">
        <f>IF(COUNTIFS(T_TTAFStock_Log[Part Name],$A65,T_TTAFStock_Log[WeekIndex],44)=0,"",SUMIFS(T_TTAFStock_Log[TTAF_Qty],T_TTAFStock_Log[Part Name],$A65,T_TTAFStock_Log[WeekIndex],44))</f>
        <v/>
      </c>
      <c r="AT65" s="19">
        <f>IF(COUNTIFS(T_TTAFStock_Log[Part Name],$A65,T_TTAFStock_Log[WeekIndex],45)=0,"",SUMIFS(T_TTAFStock_Log[TTAF_Qty],T_TTAFStock_Log[Part Name],$A65,T_TTAFStock_Log[WeekIndex],45))</f>
        <v/>
      </c>
      <c r="AU65" s="19">
        <f>IF(COUNTIFS(T_TTAFStock_Log[Part Name],$A65,T_TTAFStock_Log[WeekIndex],46)=0,"",SUMIFS(T_TTAFStock_Log[TTAF_Qty],T_TTAFStock_Log[Part Name],$A65,T_TTAFStock_Log[WeekIndex],46))</f>
        <v/>
      </c>
      <c r="AV65" s="19">
        <f>IF(COUNTIFS(T_TTAFStock_Log[Part Name],$A65,T_TTAFStock_Log[WeekIndex],47)=0,"",SUMIFS(T_TTAFStock_Log[TTAF_Qty],T_TTAFStock_Log[Part Name],$A65,T_TTAFStock_Log[WeekIndex],47))</f>
        <v/>
      </c>
      <c r="AW65" s="19">
        <f>IF(COUNTIFS(T_TTAFStock_Log[Part Name],$A65,T_TTAFStock_Log[WeekIndex],48)=0,"",SUMIFS(T_TTAFStock_Log[TTAF_Qty],T_TTAFStock_Log[Part Name],$A65,T_TTAFStock_Log[WeekIndex],48))</f>
        <v/>
      </c>
      <c r="AX65" s="19">
        <f>IF(COUNTIFS(T_TTAFStock_Log[Part Name],$A65,T_TTAFStock_Log[WeekIndex],49)=0,"",SUMIFS(T_TTAFStock_Log[TTAF_Qty],T_TTAFStock_Log[Part Name],$A65,T_TTAFStock_Log[WeekIndex],49))</f>
        <v/>
      </c>
      <c r="AY65" s="19">
        <f>IF(COUNTIFS(T_TTAFStock_Log[Part Name],$A65,T_TTAFStock_Log[WeekIndex],50)=0,"",SUMIFS(T_TTAFStock_Log[TTAF_Qty],T_TTAFStock_Log[Part Name],$A65,T_TTAFStock_Log[WeekIndex],50))</f>
        <v/>
      </c>
      <c r="AZ65" s="19">
        <f>IF(COUNTIFS(T_TTAFStock_Log[Part Name],$A65,T_TTAFStock_Log[WeekIndex],51)=0,"",SUMIFS(T_TTAFStock_Log[TTAF_Qty],T_TTAFStock_Log[Part Name],$A65,T_TTAFStock_Log[WeekIndex],51))</f>
        <v/>
      </c>
      <c r="BA65" s="19">
        <f>IF(COUNTIFS(T_TTAFStock_Log[Part Name],$A65,T_TTAFStock_Log[WeekIndex],52)=0,"",SUMIFS(T_TTAFStock_Log[TTAF_Qty],T_TTAFStock_Log[Part Name],$A65,T_TTAFStock_Log[WeekIndex],52))</f>
        <v/>
      </c>
      <c r="BB65" s="19">
        <f>IF(COUNTIFS(T_TTAFStock_Log[Part Name],$A65,T_TTAFStock_Log[WeekIndex],53)=0,"",SUMIFS(T_TTAFStock_Log[TTAF_Qty],T_TTAFStock_Log[Part Name],$A65,T_TTAFStock_Log[WeekIndex],53))</f>
        <v/>
      </c>
      <c r="BC65" s="19">
        <f>IF(COUNTIFS(T_TTAFStock_Log[Part Name],$A65,T_TTAFStock_Log[WeekIndex],54)=0,"",SUMIFS(T_TTAFStock_Log[TTAF_Qty],T_TTAFStock_Log[Part Name],$A65,T_TTAFStock_Log[WeekIndex],54))</f>
        <v/>
      </c>
      <c r="BD65" s="19">
        <f>IF(COUNTIFS(T_TTAFStock_Log[Part Name],$A65,T_TTAFStock_Log[WeekIndex],55)=0,"",SUMIFS(T_TTAFStock_Log[TTAF_Qty],T_TTAFStock_Log[Part Name],$A65,T_TTAFStock_Log[WeekIndex],55))</f>
        <v/>
      </c>
      <c r="BE65" s="19">
        <f>IF(COUNTIFS(T_TTAFStock_Log[Part Name],$A65,T_TTAFStock_Log[WeekIndex],56)=0,"",SUMIFS(T_TTAFStock_Log[TTAF_Qty],T_TTAFStock_Log[Part Name],$A65,T_TTAFStock_Log[WeekIndex],56))</f>
        <v/>
      </c>
      <c r="BF65" s="19">
        <f>IF(COUNTIFS(T_TTAFStock_Log[Part Name],$A65,T_TTAFStock_Log[WeekIndex],57)=0,"",SUMIFS(T_TTAFStock_Log[TTAF_Qty],T_TTAFStock_Log[Part Name],$A65,T_TTAFStock_Log[WeekIndex],57))</f>
        <v/>
      </c>
      <c r="BG65" s="19">
        <f>IF(COUNTIFS(T_TTAFStock_Log[Part Name],$A65,T_TTAFStock_Log[WeekIndex],58)=0,"",SUMIFS(T_TTAFStock_Log[TTAF_Qty],T_TTAFStock_Log[Part Name],$A65,T_TTAFStock_Log[WeekIndex],58))</f>
        <v/>
      </c>
      <c r="BH65" s="19">
        <f>IF(COUNTIFS(T_TTAFStock_Log[Part Name],$A65,T_TTAFStock_Log[WeekIndex],59)=0,"",SUMIFS(T_TTAFStock_Log[TTAF_Qty],T_TTAFStock_Log[Part Name],$A65,T_TTAFStock_Log[WeekIndex],59))</f>
        <v/>
      </c>
      <c r="BI65" s="19">
        <f>IF(COUNTIFS(T_TTAFStock_Log[Part Name],$A65,T_TTAFStock_Log[WeekIndex],60)=0,"",SUMIFS(T_TTAFStock_Log[TTAF_Qty],T_TTAFStock_Log[Part Name],$A65,T_TTAFStock_Log[WeekIndex],60))</f>
        <v/>
      </c>
      <c r="BJ65" s="19">
        <f>IF(COUNTIFS(T_TTAFStock_Log[Part Name],$A65,T_TTAFStock_Log[WeekIndex],61)=0,"",SUMIFS(T_TTAFStock_Log[TTAF_Qty],T_TTAFStock_Log[Part Name],$A65,T_TTAFStock_Log[WeekIndex],61))</f>
        <v/>
      </c>
      <c r="BK65" s="19">
        <f>IF(COUNTIFS(T_TTAFStock_Log[Part Name],$A65,T_TTAFStock_Log[WeekIndex],62)=0,"",SUMIFS(T_TTAFStock_Log[TTAF_Qty],T_TTAFStock_Log[Part Name],$A65,T_TTAFStock_Log[WeekIndex],62))</f>
        <v/>
      </c>
      <c r="BL65" s="19">
        <f>IF(COUNTIFS(T_TTAFStock_Log[Part Name],$A65,T_TTAFStock_Log[WeekIndex],63)=0,"",SUMIFS(T_TTAFStock_Log[TTAF_Qty],T_TTAFStock_Log[Part Name],$A65,T_TTAFStock_Log[WeekIndex],63))</f>
        <v/>
      </c>
      <c r="BM65" s="19">
        <f>IF(COUNTIFS(T_TTAFStock_Log[Part Name],$A65,T_TTAFStock_Log[WeekIndex],64)=0,"",SUMIFS(T_TTAFStock_Log[TTAF_Qty],T_TTAFStock_Log[Part Name],$A65,T_TTAFStock_Log[WeekIndex],64))</f>
        <v/>
      </c>
      <c r="BN65" s="19">
        <f>IF(COUNTIFS(T_TTAFStock_Log[Part Name],$A65,T_TTAFStock_Log[WeekIndex],65)=0,"",SUMIFS(T_TTAFStock_Log[TTAF_Qty],T_TTAFStock_Log[Part Name],$A65,T_TTAFStock_Log[WeekIndex],65))</f>
        <v/>
      </c>
      <c r="BO65" s="19">
        <f>IF(COUNTIFS(T_TTAFStock_Log[Part Name],$A65,T_TTAFStock_Log[WeekIndex],66)=0,"",SUMIFS(T_TTAFStock_Log[TTAF_Qty],T_TTAFStock_Log[Part Name],$A65,T_TTAFStock_Log[WeekIndex],66))</f>
        <v/>
      </c>
      <c r="BP65" s="19">
        <f>IF(COUNTIFS(T_TTAFStock_Log[Part Name],$A65,T_TTAFStock_Log[WeekIndex],67)=0,"",SUMIFS(T_TTAFStock_Log[TTAF_Qty],T_TTAFStock_Log[Part Name],$A65,T_TTAFStock_Log[WeekIndex],67))</f>
        <v/>
      </c>
      <c r="BQ65" s="19">
        <f>IF(COUNTIFS(T_TTAFStock_Log[Part Name],$A65,T_TTAFStock_Log[WeekIndex],68)=0,"",SUMIFS(T_TTAFStock_Log[TTAF_Qty],T_TTAFStock_Log[Part Name],$A65,T_TTAFStock_Log[WeekIndex],68))</f>
        <v/>
      </c>
      <c r="BR65" s="19">
        <f>IF(COUNTIFS(T_TTAFStock_Log[Part Name],$A65,T_TTAFStock_Log[WeekIndex],69)=0,"",SUMIFS(T_TTAFStock_Log[TTAF_Qty],T_TTAFStock_Log[Part Name],$A65,T_TTAFStock_Log[WeekIndex],69))</f>
        <v/>
      </c>
      <c r="BS65" s="19">
        <f>IF(COUNTIFS(T_TTAFStock_Log[Part Name],$A65,T_TTAFStock_Log[WeekIndex],70)=0,"",SUMIFS(T_TTAFStock_Log[TTAF_Qty],T_TTAFStock_Log[Part Name],$A65,T_TTAFStock_Log[WeekIndex],70))</f>
        <v/>
      </c>
      <c r="BT65" s="19">
        <f>IF(COUNTIFS(T_TTAFStock_Log[Part Name],$A65,T_TTAFStock_Log[WeekIndex],71)=0,"",SUMIFS(T_TTAFStock_Log[TTAF_Qty],T_TTAFStock_Log[Part Name],$A65,T_TTAFStock_Log[WeekIndex],71))</f>
        <v/>
      </c>
      <c r="BU65" s="19">
        <f>IF(COUNTIFS(T_TTAFStock_Log[Part Name],$A65,T_TTAFStock_Log[WeekIndex],72)=0,"",SUMIFS(T_TTAFStock_Log[TTAF_Qty],T_TTAFStock_Log[Part Name],$A65,T_TTAFStock_Log[WeekIndex],72))</f>
        <v/>
      </c>
      <c r="BV65" s="19">
        <f>IF(COUNTIFS(T_TTAFStock_Log[Part Name],$A65,T_TTAFStock_Log[WeekIndex],73)=0,"",SUMIFS(T_TTAFStock_Log[TTAF_Qty],T_TTAFStock_Log[Part Name],$A65,T_TTAFStock_Log[WeekIndex],73))</f>
        <v/>
      </c>
      <c r="BW65" s="19">
        <f>IF(COUNTIFS(T_TTAFStock_Log[Part Name],$A65,T_TTAFStock_Log[WeekIndex],74)=0,"",SUMIFS(T_TTAFStock_Log[TTAF_Qty],T_TTAFStock_Log[Part Name],$A65,T_TTAFStock_Log[WeekIndex],74))</f>
        <v/>
      </c>
      <c r="BX65" s="19">
        <f>IF(COUNTIFS(T_TTAFStock_Log[Part Name],$A65,T_TTAFStock_Log[WeekIndex],75)=0,"",SUMIFS(T_TTAFStock_Log[TTAF_Qty],T_TTAFStock_Log[Part Name],$A65,T_TTAFStock_Log[WeekIndex],75))</f>
        <v/>
      </c>
      <c r="BY65" s="19">
        <f>IF(COUNTIFS(T_TTAFStock_Log[Part Name],$A65,T_TTAFStock_Log[WeekIndex],76)=0,"",SUMIFS(T_TTAFStock_Log[TTAF_Qty],T_TTAFStock_Log[Part Name],$A65,T_TTAFStock_Log[WeekIndex],76))</f>
        <v/>
      </c>
      <c r="BZ65" s="19">
        <f>IF(COUNTIFS(T_TTAFStock_Log[Part Name],$A65,T_TTAFStock_Log[WeekIndex],77)=0,"",SUMIFS(T_TTAFStock_Log[TTAF_Qty],T_TTAFStock_Log[Part Name],$A65,T_TTAFStock_Log[WeekIndex],77))</f>
        <v/>
      </c>
      <c r="CA65" s="19">
        <f>IF(COUNTIFS(T_TTAFStock_Log[Part Name],$A65,T_TTAFStock_Log[WeekIndex],78)=0,"",SUMIFS(T_TTAFStock_Log[TTAF_Qty],T_TTAFStock_Log[Part Name],$A65,T_TTAFStock_Log[WeekIndex],78))</f>
        <v/>
      </c>
      <c r="CB65" s="19">
        <f>IF(COUNTIFS(T_TTAFStock_Log[Part Name],$A65,T_TTAFStock_Log[WeekIndex],79)=0,"",SUMIFS(T_TTAFStock_Log[TTAF_Qty],T_TTAFStock_Log[Part Name],$A65,T_TTAFStock_Log[WeekIndex],79))</f>
        <v/>
      </c>
      <c r="CC65" s="19">
        <f>IF(COUNTIFS(T_TTAFStock_Log[Part Name],$A65,T_TTAFStock_Log[WeekIndex],80)=0,"",SUMIFS(T_TTAFStock_Log[TTAF_Qty],T_TTAFStock_Log[Part Name],$A65,T_TTAFStock_Log[WeekIndex],80))</f>
        <v/>
      </c>
      <c r="CD65" s="19">
        <f>IF(COUNTIFS(T_TTAFStock_Log[Part Name],$A65,T_TTAFStock_Log[WeekIndex],81)=0,"",SUMIFS(T_TTAFStock_Log[TTAF_Qty],T_TTAFStock_Log[Part Name],$A65,T_TTAFStock_Log[WeekIndex],81))</f>
        <v/>
      </c>
      <c r="CE65" s="19">
        <f>IF(COUNTIFS(T_TTAFStock_Log[Part Name],$A65,T_TTAFStock_Log[WeekIndex],82)=0,"",SUMIFS(T_TTAFStock_Log[TTAF_Qty],T_TTAFStock_Log[Part Name],$A65,T_TTAFStock_Log[WeekIndex],82))</f>
        <v/>
      </c>
      <c r="CF65" s="19">
        <f>IF(COUNTIFS(T_TTAFStock_Log[Part Name],$A65,T_TTAFStock_Log[WeekIndex],83)=0,"",SUMIFS(T_TTAFStock_Log[TTAF_Qty],T_TTAFStock_Log[Part Name],$A65,T_TTAFStock_Log[WeekIndex],83))</f>
        <v/>
      </c>
      <c r="CG65" s="19">
        <f>IF(COUNTIFS(T_TTAFStock_Log[Part Name],$A65,T_TTAFStock_Log[WeekIndex],84)=0,"",SUMIFS(T_TTAFStock_Log[TTAF_Qty],T_TTAFStock_Log[Part Name],$A65,T_TTAFStock_Log[WeekIndex],84))</f>
        <v/>
      </c>
      <c r="CH65" s="19">
        <f>IF(COUNTIFS(T_TTAFStock_Log[Part Name],$A65,T_TTAFStock_Log[WeekIndex],85)=0,"",SUMIFS(T_TTAFStock_Log[TTAF_Qty],T_TTAFStock_Log[Part Name],$A65,T_TTAFStock_Log[WeekIndex],85))</f>
        <v/>
      </c>
      <c r="CI65" s="19">
        <f>IF(COUNTIFS(T_TTAFStock_Log[Part Name],$A65,T_TTAFStock_Log[WeekIndex],86)=0,"",SUMIFS(T_TTAFStock_Log[TTAF_Qty],T_TTAFStock_Log[Part Name],$A65,T_TTAFStock_Log[WeekIndex],86))</f>
        <v/>
      </c>
      <c r="CJ65" s="19">
        <f>IF(COUNTIFS(T_TTAFStock_Log[Part Name],$A65,T_TTAFStock_Log[WeekIndex],87)=0,"",SUMIFS(T_TTAFStock_Log[TTAF_Qty],T_TTAFStock_Log[Part Name],$A65,T_TTAFStock_Log[WeekIndex],87))</f>
        <v/>
      </c>
      <c r="CK65" s="19">
        <f>IF(COUNTIFS(T_TTAFStock_Log[Part Name],$A65,T_TTAFStock_Log[WeekIndex],88)=0,"",SUMIFS(T_TTAFStock_Log[TTAF_Qty],T_TTAFStock_Log[Part Name],$A65,T_TTAFStock_Log[WeekIndex],88))</f>
        <v/>
      </c>
      <c r="CL65" s="19">
        <f>IF(COUNTIFS(T_TTAFStock_Log[Part Name],$A65,T_TTAFStock_Log[WeekIndex],89)=0,"",SUMIFS(T_TTAFStock_Log[TTAF_Qty],T_TTAFStock_Log[Part Name],$A65,T_TTAFStock_Log[WeekIndex],89))</f>
        <v/>
      </c>
      <c r="CM65" s="19">
        <f>IF(COUNTIFS(T_TTAFStock_Log[Part Name],$A65,T_TTAFStock_Log[WeekIndex],90)=0,"",SUMIFS(T_TTAFStock_Log[TTAF_Qty],T_TTAFStock_Log[Part Name],$A65,T_TTAFStock_Log[WeekIndex],90))</f>
        <v/>
      </c>
      <c r="CN65" s="19">
        <f>IF(COUNTIFS(T_TTAFStock_Log[Part Name],$A65,T_TTAFStock_Log[WeekIndex],91)=0,"",SUMIFS(T_TTAFStock_Log[TTAF_Qty],T_TTAFStock_Log[Part Name],$A65,T_TTAFStock_Log[WeekIndex],91))</f>
        <v/>
      </c>
      <c r="CO65" s="19">
        <f>IF(COUNTIFS(T_TTAFStock_Log[Part Name],$A65,T_TTAFStock_Log[WeekIndex],92)=0,"",SUMIFS(T_TTAFStock_Log[TTAF_Qty],T_TTAFStock_Log[Part Name],$A65,T_TTAFStock_Log[WeekIndex],92))</f>
        <v/>
      </c>
      <c r="CP65" s="19">
        <f>IF(COUNTIFS(T_TTAFStock_Log[Part Name],$A65,T_TTAFStock_Log[WeekIndex],93)=0,"",SUMIFS(T_TTAFStock_Log[TTAF_Qty],T_TTAFStock_Log[Part Name],$A65,T_TTAFStock_Log[WeekIndex],93))</f>
        <v/>
      </c>
      <c r="CQ65" s="19">
        <f>IF(COUNTIFS(T_TTAFStock_Log[Part Name],$A65,T_TTAFStock_Log[WeekIndex],94)=0,"",SUMIFS(T_TTAFStock_Log[TTAF_Qty],T_TTAFStock_Log[Part Name],$A65,T_TTAFStock_Log[WeekIndex],94))</f>
        <v/>
      </c>
      <c r="CR65" s="19">
        <f>IF(COUNTIFS(T_TTAFStock_Log[Part Name],$A65,T_TTAFStock_Log[WeekIndex],95)=0,"",SUMIFS(T_TTAFStock_Log[TTAF_Qty],T_TTAFStock_Log[Part Name],$A65,T_TTAFStock_Log[WeekIndex],95))</f>
        <v/>
      </c>
      <c r="CS65" s="19">
        <f>IF(COUNTIFS(T_TTAFStock_Log[Part Name],$A65,T_TTAFStock_Log[WeekIndex],96)=0,"",SUMIFS(T_TTAFStock_Log[TTAF_Qty],T_TTAFStock_Log[Part Name],$A65,T_TTAFStock_Log[WeekIndex],96))</f>
        <v/>
      </c>
      <c r="CT65" s="19">
        <f>IF(COUNTIFS(T_TTAFStock_Log[Part Name],$A65,T_TTAFStock_Log[WeekIndex],97)=0,"",SUMIFS(T_TTAFStock_Log[TTAF_Qty],T_TTAFStock_Log[Part Name],$A65,T_TTAFStock_Log[WeekIndex],97))</f>
        <v/>
      </c>
      <c r="CU65" s="19">
        <f>IF(COUNTIFS(T_TTAFStock_Log[Part Name],$A65,T_TTAFStock_Log[WeekIndex],98)=0,"",SUMIFS(T_TTAFStock_Log[TTAF_Qty],T_TTAFStock_Log[Part Name],$A65,T_TTAFStock_Log[WeekIndex],98))</f>
        <v/>
      </c>
      <c r="CV65" s="19">
        <f>IF(COUNTIFS(T_TTAFStock_Log[Part Name],$A65,T_TTAFStock_Log[WeekIndex],99)=0,"",SUMIFS(T_TTAFStock_Log[TTAF_Qty],T_TTAFStock_Log[Part Name],$A65,T_TTAFStock_Log[WeekIndex],99))</f>
        <v/>
      </c>
      <c r="CW65" s="19">
        <f>IF(COUNTIFS(T_TTAFStock_Log[Part Name],$A65,T_TTAFStock_Log[WeekIndex],100)=0,"",SUMIFS(T_TTAFStock_Log[TTAF_Qty],T_TTAFStock_Log[Part Name],$A65,T_TTAFStock_Log[WeekIndex],100))</f>
        <v/>
      </c>
      <c r="CX65" s="19">
        <f>IF(COUNTIFS(T_TTAFStock_Log[Part Name],$A65,T_TTAFStock_Log[WeekIndex],101)=0,"",SUMIFS(T_TTAFStock_Log[TTAF_Qty],T_TTAFStock_Log[Part Name],$A65,T_TTAFStock_Log[WeekIndex],101))</f>
        <v/>
      </c>
      <c r="CY65" s="19">
        <f>IF(COUNTIFS(T_TTAFStock_Log[Part Name],$A65,T_TTAFStock_Log[WeekIndex],102)=0,"",SUMIFS(T_TTAFStock_Log[TTAF_Qty],T_TTAFStock_Log[Part Name],$A65,T_TTAFStock_Log[WeekIndex],102))</f>
        <v/>
      </c>
      <c r="CZ65" s="19">
        <f>IF(COUNTIFS(T_TTAFStock_Log[Part Name],$A65,T_TTAFStock_Log[WeekIndex],103)=0,"",SUMIFS(T_TTAFStock_Log[TTAF_Qty],T_TTAFStock_Log[Part Name],$A65,T_TTAFStock_Log[WeekIndex],103))</f>
        <v/>
      </c>
      <c r="DA65" s="19">
        <f>IF(COUNTIFS(T_TTAFStock_Log[Part Name],$A65,T_TTAFStock_Log[WeekIndex],104)=0,"",SUMIFS(T_TTAFStock_Log[TTAF_Qty],T_TTAFStock_Log[Part Name],$A65,T_TTAFStock_Log[WeekIndex],104))</f>
        <v/>
      </c>
    </row>
  </sheetData>
  <conditionalFormatting sqref="B5:DA65">
    <cfRule type="expression" priority="1" dxfId="3">
      <formula>(COLUMN()-COLUMN($B$1)+1)=$F$1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6" customWidth="1" min="4" max="4"/>
    <col width="8" customWidth="1" min="5" max="5"/>
    <col width="18" customWidth="1" min="6" max="6"/>
    <col width="18" customWidth="1" min="7" max="7"/>
    <col width="18" customWidth="1" min="8" max="8"/>
    <col width="16" customWidth="1" min="9" max="9"/>
    <col width="20" customWidth="1" min="10" max="10"/>
    <col width="14" customWidth="1" min="11" max="11"/>
  </cols>
  <sheetData>
    <row r="1">
      <c r="A1" s="6" t="inlineStr">
        <is>
          <t>Part Name</t>
        </is>
      </c>
      <c r="B1" s="6" t="inlineStr">
        <is>
          <t>Description</t>
        </is>
      </c>
      <c r="C1" s="6" t="inlineStr">
        <is>
          <t>Supplier</t>
        </is>
      </c>
      <c r="D1" s="6" t="inlineStr">
        <is>
          <t>Category</t>
        </is>
      </c>
      <c r="E1" s="6" t="inlineStr">
        <is>
          <t>UOM</t>
        </is>
      </c>
      <c r="F1" s="6" t="inlineStr">
        <is>
          <t>基準在庫下限_要入力</t>
        </is>
      </c>
      <c r="G1" s="6" t="inlineStr">
        <is>
          <t>基準在庫上限_要入力</t>
        </is>
      </c>
      <c r="H1" s="6" t="inlineStr">
        <is>
          <t>LeadTime_Weeks_要入力</t>
        </is>
      </c>
      <c r="I1" s="6" t="inlineStr">
        <is>
          <t>TTAF_Code</t>
        </is>
      </c>
      <c r="J1" s="6" t="inlineStr">
        <is>
          <t>固定週次消費量_要入力</t>
        </is>
      </c>
      <c r="K1" s="6" t="inlineStr">
        <is>
          <t>Origin_Country</t>
        </is>
      </c>
    </row>
    <row r="2">
      <c r="A2" t="inlineStr">
        <is>
          <t>7EP</t>
        </is>
      </c>
      <c r="B2" t="inlineStr">
        <is>
          <t>TTAF 44FK13093100</t>
        </is>
      </c>
      <c r="C2" t="inlineStr">
        <is>
          <t>TTAF</t>
        </is>
      </c>
      <c r="D2" t="inlineStr">
        <is>
          <t>Substrate</t>
        </is>
      </c>
      <c r="E2" t="inlineStr">
        <is>
          <t>kg</t>
        </is>
      </c>
      <c r="F2" t="n">
        <v>0</v>
      </c>
      <c r="G2" t="n">
        <v>0</v>
      </c>
      <c r="H2" t="n">
        <v>4</v>
      </c>
      <c r="I2" t="inlineStr">
        <is>
          <t>1846540040 ( 4FK13093100Z)</t>
        </is>
      </c>
      <c r="J2" t="n">
        <v>0</v>
      </c>
      <c r="K2" t="inlineStr"/>
    </row>
    <row r="3">
      <c r="A3" t="inlineStr">
        <is>
          <t>1EK</t>
        </is>
      </c>
      <c r="B3" t="inlineStr">
        <is>
          <t>Substrate NGK TP166-103-105xT1</t>
        </is>
      </c>
      <c r="C3" t="inlineStr">
        <is>
          <t>TTAF</t>
        </is>
      </c>
      <c r="D3" t="inlineStr">
        <is>
          <t>Substrate</t>
        </is>
      </c>
      <c r="E3" t="inlineStr">
        <is>
          <t>kg</t>
        </is>
      </c>
      <c r="F3" t="n">
        <v>0</v>
      </c>
      <c r="G3" t="n">
        <v>0</v>
      </c>
      <c r="H3" t="n">
        <v>4</v>
      </c>
      <c r="I3" t="inlineStr">
        <is>
          <t>N60H29R08-JP</t>
        </is>
      </c>
      <c r="J3" t="n">
        <v>0</v>
      </c>
      <c r="K3" t="inlineStr"/>
    </row>
    <row r="4">
      <c r="A4" t="inlineStr">
        <is>
          <t>4HL</t>
        </is>
      </c>
      <c r="B4" t="inlineStr">
        <is>
          <t>NGK - 4HL</t>
        </is>
      </c>
      <c r="C4" t="inlineStr">
        <is>
          <t>TTAF</t>
        </is>
      </c>
      <c r="D4" t="inlineStr">
        <is>
          <t>Substrate</t>
        </is>
      </c>
      <c r="E4" t="inlineStr">
        <is>
          <t>kg</t>
        </is>
      </c>
      <c r="F4" t="n">
        <v>0</v>
      </c>
      <c r="G4" t="n">
        <v>0</v>
      </c>
      <c r="H4" t="n">
        <v>4</v>
      </c>
      <c r="I4" t="inlineStr">
        <is>
          <t>N60H27R08-JP</t>
        </is>
      </c>
      <c r="J4" t="n">
        <v>0</v>
      </c>
      <c r="K4" t="inlineStr"/>
    </row>
    <row r="5">
      <c r="A5" t="inlineStr">
        <is>
          <t>9RN</t>
        </is>
      </c>
      <c r="B5" t="inlineStr">
        <is>
          <t>TTAF 4FK13117080</t>
        </is>
      </c>
      <c r="C5" t="inlineStr">
        <is>
          <t>TTAF</t>
        </is>
      </c>
      <c r="D5" t="inlineStr">
        <is>
          <t>Substrate</t>
        </is>
      </c>
      <c r="E5" t="inlineStr">
        <is>
          <t>kg</t>
        </is>
      </c>
      <c r="F5" t="n">
        <v>0</v>
      </c>
      <c r="G5" t="n">
        <v>0</v>
      </c>
      <c r="H5" t="n">
        <v>4</v>
      </c>
      <c r="I5" t="inlineStr">
        <is>
          <t>1846515030 ( 4FK13117080Z)</t>
        </is>
      </c>
      <c r="J5" t="n">
        <v>0</v>
      </c>
      <c r="K5" t="inlineStr"/>
    </row>
    <row r="6">
      <c r="A6" t="inlineStr">
        <is>
          <t>7CL</t>
        </is>
      </c>
      <c r="B6" t="inlineStr">
        <is>
          <t>Substrate NGK TP167-103-096xT4</t>
        </is>
      </c>
      <c r="C6" t="inlineStr">
        <is>
          <t>TTAF</t>
        </is>
      </c>
      <c r="D6" t="inlineStr">
        <is>
          <t>Substrate</t>
        </is>
      </c>
      <c r="E6" t="inlineStr">
        <is>
          <t>kg</t>
        </is>
      </c>
      <c r="F6" t="n">
        <v>0</v>
      </c>
      <c r="G6" t="n">
        <v>0</v>
      </c>
      <c r="H6" t="n">
        <v>4</v>
      </c>
      <c r="I6" t="inlineStr">
        <is>
          <t>N75H28R08-JP</t>
        </is>
      </c>
      <c r="J6" t="n">
        <v>0</v>
      </c>
      <c r="K6" t="inlineStr"/>
    </row>
    <row r="7">
      <c r="A7" t="inlineStr">
        <is>
          <t>OJN</t>
        </is>
      </c>
      <c r="B7" t="inlineStr">
        <is>
          <t>Substrate TTAF WF6</t>
        </is>
      </c>
      <c r="C7" t="inlineStr">
        <is>
          <t>TTAF</t>
        </is>
      </c>
      <c r="D7" t="inlineStr">
        <is>
          <t>Substrate</t>
        </is>
      </c>
      <c r="E7" t="inlineStr">
        <is>
          <t>kg</t>
        </is>
      </c>
      <c r="F7" t="n">
        <v>0</v>
      </c>
      <c r="G7" t="n">
        <v>0</v>
      </c>
      <c r="H7" t="n">
        <v>4</v>
      </c>
      <c r="I7" t="inlineStr"/>
      <c r="J7" t="n">
        <v>0</v>
      </c>
      <c r="K7" t="inlineStr"/>
    </row>
    <row r="8">
      <c r="A8" t="inlineStr">
        <is>
          <t>TDJ</t>
        </is>
      </c>
      <c r="B8" t="inlineStr">
        <is>
          <t>N60S/2-11R08 TTAF</t>
        </is>
      </c>
      <c r="C8" t="inlineStr">
        <is>
          <t>TTAF</t>
        </is>
      </c>
      <c r="D8" t="inlineStr">
        <is>
          <t>Substrate</t>
        </is>
      </c>
      <c r="E8" t="inlineStr">
        <is>
          <t>kg</t>
        </is>
      </c>
      <c r="F8" t="n">
        <v>0</v>
      </c>
      <c r="G8" t="n">
        <v>0</v>
      </c>
      <c r="H8" t="n">
        <v>4</v>
      </c>
      <c r="I8" t="inlineStr">
        <is>
          <t>1846537010</t>
        </is>
      </c>
      <c r="J8" t="n">
        <v>0</v>
      </c>
      <c r="K8" t="inlineStr"/>
    </row>
    <row r="9">
      <c r="A9" t="inlineStr">
        <is>
          <t>3TP</t>
        </is>
      </c>
      <c r="B9" t="inlineStr">
        <is>
          <t>Substrate TTAF WF7</t>
        </is>
      </c>
      <c r="C9" t="inlineStr">
        <is>
          <t>TTAF</t>
        </is>
      </c>
      <c r="D9" t="inlineStr">
        <is>
          <t>Substrate</t>
        </is>
      </c>
      <c r="E9" t="inlineStr">
        <is>
          <t>kg</t>
        </is>
      </c>
      <c r="F9" t="n">
        <v>0</v>
      </c>
      <c r="G9" t="n">
        <v>0</v>
      </c>
      <c r="H9" t="n">
        <v>4</v>
      </c>
      <c r="I9" t="inlineStr"/>
      <c r="J9" t="n">
        <v>0</v>
      </c>
      <c r="K9" t="inlineStr"/>
    </row>
    <row r="10">
      <c r="A10" t="inlineStr">
        <is>
          <t>KEJ</t>
        </is>
      </c>
      <c r="B10" t="inlineStr">
        <is>
          <t>18471-N90S/2-7R-08</t>
        </is>
      </c>
      <c r="C10" t="inlineStr">
        <is>
          <t>TTAF</t>
        </is>
      </c>
      <c r="D10" t="inlineStr">
        <is>
          <t>Substrate</t>
        </is>
      </c>
      <c r="E10" t="inlineStr">
        <is>
          <t>kg</t>
        </is>
      </c>
      <c r="F10" t="n">
        <v>0</v>
      </c>
      <c r="G10" t="n">
        <v>0</v>
      </c>
      <c r="H10" t="n">
        <v>4</v>
      </c>
      <c r="I10" t="inlineStr">
        <is>
          <t>N90S27R08</t>
        </is>
      </c>
      <c r="J10" t="n">
        <v>0</v>
      </c>
      <c r="K10" t="inlineStr"/>
    </row>
    <row r="11">
      <c r="A11" t="inlineStr">
        <is>
          <t>JEJ</t>
        </is>
      </c>
      <c r="B11" t="inlineStr">
        <is>
          <t>18471-N90S/2-9R-08</t>
        </is>
      </c>
      <c r="C11" t="inlineStr">
        <is>
          <t>TTAF</t>
        </is>
      </c>
      <c r="D11" t="inlineStr">
        <is>
          <t>Substrate</t>
        </is>
      </c>
      <c r="E11" t="inlineStr">
        <is>
          <t>kg</t>
        </is>
      </c>
      <c r="F11" t="n">
        <v>0</v>
      </c>
      <c r="G11" t="n">
        <v>0</v>
      </c>
      <c r="H11" t="n">
        <v>4</v>
      </c>
      <c r="I11" t="inlineStr">
        <is>
          <t>N90S29R08</t>
        </is>
      </c>
      <c r="J11" t="n">
        <v>0</v>
      </c>
      <c r="K11" t="inlineStr"/>
    </row>
    <row r="12">
      <c r="A12" t="inlineStr">
        <is>
          <t>YAN</t>
        </is>
      </c>
      <c r="B12" t="inlineStr">
        <is>
          <t>18471-N20S/9-13R-11-WK10</t>
        </is>
      </c>
      <c r="C12" t="inlineStr">
        <is>
          <t>TTAF</t>
        </is>
      </c>
      <c r="D12" t="inlineStr">
        <is>
          <t>Substrate</t>
        </is>
      </c>
      <c r="E12" t="inlineStr">
        <is>
          <t>kg</t>
        </is>
      </c>
      <c r="F12" t="n">
        <v>0</v>
      </c>
      <c r="G12" t="n">
        <v>0</v>
      </c>
      <c r="H12" t="n">
        <v>4</v>
      </c>
      <c r="I12" t="inlineStr">
        <is>
          <t>18465F2100Z</t>
        </is>
      </c>
      <c r="J12" t="n">
        <v>0</v>
      </c>
      <c r="K12" t="inlineStr"/>
    </row>
    <row r="13">
      <c r="A13" t="inlineStr">
        <is>
          <t>ABN</t>
        </is>
      </c>
      <c r="B13" t="inlineStr">
        <is>
          <t>18471-N20S/9-11R-11-WF10</t>
        </is>
      </c>
      <c r="C13" t="inlineStr">
        <is>
          <t>TTAF</t>
        </is>
      </c>
      <c r="D13" t="inlineStr">
        <is>
          <t>Substrate</t>
        </is>
      </c>
      <c r="E13" t="inlineStr">
        <is>
          <t>kg</t>
        </is>
      </c>
      <c r="F13" t="n">
        <v>0</v>
      </c>
      <c r="G13" t="n">
        <v>0</v>
      </c>
      <c r="H13" t="n">
        <v>4</v>
      </c>
      <c r="I13" t="inlineStr">
        <is>
          <t>18465F3050Z</t>
        </is>
      </c>
      <c r="J13" t="n">
        <v>0</v>
      </c>
      <c r="K13" t="inlineStr"/>
    </row>
    <row r="14">
      <c r="A14" t="inlineStr">
        <is>
          <t>OLJ</t>
        </is>
      </c>
      <c r="B14" t="inlineStr">
        <is>
          <t>Substrate NGK N126-103-105xT5</t>
        </is>
      </c>
      <c r="C14" t="inlineStr">
        <is>
          <t>TTAF</t>
        </is>
      </c>
      <c r="D14" t="inlineStr">
        <is>
          <t>Substrate</t>
        </is>
      </c>
      <c r="E14" t="inlineStr">
        <is>
          <t>kg</t>
        </is>
      </c>
      <c r="F14" t="n">
        <v>0</v>
      </c>
      <c r="G14" t="n">
        <v>0</v>
      </c>
      <c r="H14" t="n">
        <v>4</v>
      </c>
      <c r="I14" t="inlineStr"/>
      <c r="J14" t="n">
        <v>0</v>
      </c>
      <c r="K14" t="inlineStr"/>
    </row>
    <row r="15">
      <c r="A15" t="inlineStr">
        <is>
          <t>5SN</t>
        </is>
      </c>
      <c r="B15" t="inlineStr">
        <is>
          <t>Substrate NGK WF6</t>
        </is>
      </c>
      <c r="C15" t="inlineStr">
        <is>
          <t>TTAF</t>
        </is>
      </c>
      <c r="D15" t="inlineStr">
        <is>
          <t>Substrate</t>
        </is>
      </c>
      <c r="E15" t="inlineStr">
        <is>
          <t>kg</t>
        </is>
      </c>
      <c r="F15" t="n">
        <v>0</v>
      </c>
      <c r="G15" t="n">
        <v>0</v>
      </c>
      <c r="H15" t="n">
        <v>4</v>
      </c>
      <c r="I15" t="inlineStr"/>
      <c r="J15" t="n">
        <v>0</v>
      </c>
      <c r="K15" t="inlineStr"/>
    </row>
    <row r="16">
      <c r="A16" t="inlineStr">
        <is>
          <t>8EN</t>
        </is>
      </c>
      <c r="B16" t="inlineStr">
        <is>
          <t>Substrate NGK KFK1D118-152xX1</t>
        </is>
      </c>
      <c r="C16" t="inlineStr">
        <is>
          <t>TTAF</t>
        </is>
      </c>
      <c r="D16" t="inlineStr">
        <is>
          <t>Substrate</t>
        </is>
      </c>
      <c r="E16" t="inlineStr">
        <is>
          <t>kg</t>
        </is>
      </c>
      <c r="F16" t="n">
        <v>0</v>
      </c>
      <c r="G16" t="n">
        <v>0</v>
      </c>
      <c r="H16" t="n">
        <v>4</v>
      </c>
      <c r="I16" t="inlineStr"/>
      <c r="J16" t="n">
        <v>0</v>
      </c>
      <c r="K16" t="inlineStr"/>
    </row>
    <row r="17">
      <c r="A17" t="inlineStr">
        <is>
          <t>9RJ</t>
        </is>
      </c>
      <c r="B17" t="inlineStr">
        <is>
          <t>Substrate NGK N116-103-130xTB</t>
        </is>
      </c>
      <c r="C17" t="inlineStr">
        <is>
          <t>TTAF</t>
        </is>
      </c>
      <c r="D17" t="inlineStr">
        <is>
          <t>Substrate</t>
        </is>
      </c>
      <c r="E17" t="inlineStr">
        <is>
          <t>kg</t>
        </is>
      </c>
      <c r="F17" t="n">
        <v>0</v>
      </c>
      <c r="G17" t="n">
        <v>0</v>
      </c>
      <c r="H17" t="n">
        <v>4</v>
      </c>
      <c r="I17" t="inlineStr"/>
      <c r="J17" t="n">
        <v>0</v>
      </c>
      <c r="K17" t="inlineStr"/>
    </row>
    <row r="18">
      <c r="A18" t="inlineStr">
        <is>
          <t>5JK</t>
        </is>
      </c>
      <c r="B18" t="inlineStr">
        <is>
          <t>Substrate NGK TP167-103-105xT2</t>
        </is>
      </c>
      <c r="C18" t="inlineStr">
        <is>
          <t>TTAF</t>
        </is>
      </c>
      <c r="D18" t="inlineStr">
        <is>
          <t>Substrate</t>
        </is>
      </c>
      <c r="E18" t="inlineStr">
        <is>
          <t>kg</t>
        </is>
      </c>
      <c r="F18" t="n">
        <v>0</v>
      </c>
      <c r="G18" t="n">
        <v>0</v>
      </c>
      <c r="H18" t="n">
        <v>4</v>
      </c>
      <c r="I18" t="inlineStr"/>
      <c r="J18" t="n">
        <v>0</v>
      </c>
      <c r="K18" t="inlineStr"/>
    </row>
    <row r="19">
      <c r="A19" t="inlineStr">
        <is>
          <t>26F</t>
        </is>
      </c>
      <c r="B19" t="inlineStr">
        <is>
          <t>18471-N40S/4 - 13R13</t>
        </is>
      </c>
      <c r="C19" t="inlineStr">
        <is>
          <t>TTAF</t>
        </is>
      </c>
      <c r="D19" t="inlineStr">
        <is>
          <t>Substrate</t>
        </is>
      </c>
      <c r="E19" t="inlineStr">
        <is>
          <t>kg</t>
        </is>
      </c>
      <c r="F19" t="n">
        <v>0</v>
      </c>
      <c r="G19" t="n">
        <v>0</v>
      </c>
      <c r="H19" t="n">
        <v>4</v>
      </c>
      <c r="I19" t="inlineStr"/>
      <c r="J19" t="n">
        <v>0</v>
      </c>
      <c r="K19" t="inlineStr"/>
    </row>
    <row r="20">
      <c r="A20" t="inlineStr">
        <is>
          <t>73K</t>
        </is>
      </c>
      <c r="B20" t="inlineStr">
        <is>
          <t>18471-N60S/3 - 9R07</t>
        </is>
      </c>
      <c r="C20" t="inlineStr">
        <is>
          <t>TTAF</t>
        </is>
      </c>
      <c r="D20" t="inlineStr">
        <is>
          <t>Substrate</t>
        </is>
      </c>
      <c r="E20" t="inlineStr">
        <is>
          <t>kg</t>
        </is>
      </c>
      <c r="F20" t="n">
        <v>0</v>
      </c>
      <c r="G20" t="n">
        <v>0</v>
      </c>
      <c r="H20" t="n">
        <v>4</v>
      </c>
      <c r="I20" t="inlineStr"/>
      <c r="J20" t="n">
        <v>0</v>
      </c>
      <c r="K20" t="inlineStr"/>
    </row>
    <row r="21">
      <c r="A21" t="inlineStr">
        <is>
          <t>1JN</t>
        </is>
      </c>
      <c r="B21" t="inlineStr">
        <is>
          <t>Substrate TTAF WF6</t>
        </is>
      </c>
      <c r="C21" t="inlineStr">
        <is>
          <t>TTAF</t>
        </is>
      </c>
      <c r="D21" t="inlineStr">
        <is>
          <t>Substrate</t>
        </is>
      </c>
      <c r="E21" t="inlineStr">
        <is>
          <t>kg</t>
        </is>
      </c>
      <c r="F21" t="n">
        <v>0</v>
      </c>
      <c r="G21" t="n">
        <v>0</v>
      </c>
      <c r="H21" t="n">
        <v>4</v>
      </c>
      <c r="I21" t="inlineStr"/>
      <c r="J21" t="n">
        <v>0</v>
      </c>
      <c r="K21" t="inlineStr"/>
    </row>
    <row r="22">
      <c r="A22" t="inlineStr">
        <is>
          <t>CHEM-1670</t>
        </is>
      </c>
      <c r="B22" t="inlineStr">
        <is>
          <t>Alesper 1065</t>
        </is>
      </c>
      <c r="C22" t="inlineStr">
        <is>
          <t>TTAF</t>
        </is>
      </c>
      <c r="D22" t="inlineStr">
        <is>
          <t>Chemical</t>
        </is>
      </c>
      <c r="E22" t="inlineStr">
        <is>
          <t>kg</t>
        </is>
      </c>
      <c r="F22" t="n">
        <v>0</v>
      </c>
      <c r="G22" t="n">
        <v>0</v>
      </c>
      <c r="H22" t="n">
        <v>4</v>
      </c>
      <c r="I22" t="inlineStr">
        <is>
          <t>712886265</t>
        </is>
      </c>
      <c r="J22" t="n">
        <v>0</v>
      </c>
      <c r="K22" t="inlineStr"/>
    </row>
    <row r="23">
      <c r="A23" t="inlineStr">
        <is>
          <t>CHEM-1110</t>
        </is>
      </c>
      <c r="B23" t="inlineStr">
        <is>
          <t>Alumina Powder</t>
        </is>
      </c>
      <c r="C23" t="inlineStr">
        <is>
          <t>TTAF</t>
        </is>
      </c>
      <c r="D23" t="inlineStr">
        <is>
          <t>Chemical</t>
        </is>
      </c>
      <c r="E23" t="inlineStr">
        <is>
          <t>kg</t>
        </is>
      </c>
      <c r="F23" t="n">
        <v>0</v>
      </c>
      <c r="G23" t="n">
        <v>0</v>
      </c>
      <c r="H23" t="n">
        <v>4</v>
      </c>
      <c r="I23" t="inlineStr">
        <is>
          <t>Alumina Powder</t>
        </is>
      </c>
      <c r="J23" t="n">
        <v>0</v>
      </c>
      <c r="K23" t="inlineStr"/>
    </row>
    <row r="24">
      <c r="A24" t="inlineStr">
        <is>
          <t>CHEM-1240</t>
        </is>
      </c>
      <c r="B24" t="inlineStr">
        <is>
          <t>Alumina Sol [AS-200]</t>
        </is>
      </c>
      <c r="C24" t="inlineStr">
        <is>
          <t>TTAF</t>
        </is>
      </c>
      <c r="D24" t="inlineStr">
        <is>
          <t>Chemical</t>
        </is>
      </c>
      <c r="E24" t="inlineStr">
        <is>
          <t>kg</t>
        </is>
      </c>
      <c r="F24" t="n">
        <v>0</v>
      </c>
      <c r="G24" t="n">
        <v>0</v>
      </c>
      <c r="H24" t="n">
        <v>4</v>
      </c>
      <c r="I24" t="inlineStr">
        <is>
          <t>83988008101</t>
        </is>
      </c>
      <c r="J24" t="n">
        <v>0</v>
      </c>
      <c r="K24" t="inlineStr"/>
    </row>
    <row r="25">
      <c r="A25" t="inlineStr">
        <is>
          <t>CHEM-1510</t>
        </is>
      </c>
      <c r="B25" t="inlineStr">
        <is>
          <t>BA-070</t>
        </is>
      </c>
      <c r="C25" t="inlineStr">
        <is>
          <t>TTAF</t>
        </is>
      </c>
      <c r="D25" t="inlineStr">
        <is>
          <t>Chemical</t>
        </is>
      </c>
      <c r="E25" t="inlineStr">
        <is>
          <t>kg</t>
        </is>
      </c>
      <c r="F25" t="n">
        <v>0</v>
      </c>
      <c r="G25" t="n">
        <v>0</v>
      </c>
      <c r="H25" t="n">
        <v>4</v>
      </c>
      <c r="I25" t="inlineStr">
        <is>
          <t>71288625001</t>
        </is>
      </c>
      <c r="J25" t="n">
        <v>0</v>
      </c>
      <c r="K25" t="inlineStr"/>
    </row>
    <row r="26">
      <c r="A26" t="inlineStr">
        <is>
          <t>CHEM-1580</t>
        </is>
      </c>
      <c r="B26" t="inlineStr">
        <is>
          <t>Barium Acetate</t>
        </is>
      </c>
      <c r="C26" t="inlineStr">
        <is>
          <t>TTAF</t>
        </is>
      </c>
      <c r="D26" t="inlineStr">
        <is>
          <t>Chemical</t>
        </is>
      </c>
      <c r="E26" t="inlineStr">
        <is>
          <t>kg</t>
        </is>
      </c>
      <c r="F26" t="n">
        <v>0</v>
      </c>
      <c r="G26" t="n">
        <v>0</v>
      </c>
      <c r="H26" t="n">
        <v>4</v>
      </c>
      <c r="I26" t="inlineStr">
        <is>
          <t>71288614301</t>
        </is>
      </c>
      <c r="J26" t="n">
        <v>0</v>
      </c>
      <c r="K26" t="inlineStr"/>
    </row>
    <row r="27">
      <c r="A27" t="inlineStr">
        <is>
          <t>CHEM-1250</t>
        </is>
      </c>
      <c r="B27" t="inlineStr">
        <is>
          <t>Barium Sulfate [B-55]</t>
        </is>
      </c>
      <c r="C27" t="inlineStr">
        <is>
          <t>TTAF</t>
        </is>
      </c>
      <c r="D27" t="inlineStr">
        <is>
          <t>Chemical</t>
        </is>
      </c>
      <c r="E27" t="inlineStr">
        <is>
          <t>kg</t>
        </is>
      </c>
      <c r="F27" t="n">
        <v>0</v>
      </c>
      <c r="G27" t="n">
        <v>0</v>
      </c>
      <c r="H27" t="n">
        <v>4</v>
      </c>
      <c r="I27" t="inlineStr">
        <is>
          <t>71288614901</t>
        </is>
      </c>
      <c r="J27" t="n">
        <v>0</v>
      </c>
      <c r="K27" t="inlineStr"/>
    </row>
    <row r="28">
      <c r="A28" t="inlineStr">
        <is>
          <t>CHEM-1600</t>
        </is>
      </c>
      <c r="B28" t="inlineStr">
        <is>
          <t>BF-1P</t>
        </is>
      </c>
      <c r="C28" t="inlineStr">
        <is>
          <t>TTAF</t>
        </is>
      </c>
      <c r="D28" t="inlineStr">
        <is>
          <t>Chemical</t>
        </is>
      </c>
      <c r="E28" t="inlineStr">
        <is>
          <t>kg</t>
        </is>
      </c>
      <c r="F28" t="n">
        <v>0</v>
      </c>
      <c r="G28" t="n">
        <v>0</v>
      </c>
      <c r="H28" t="n">
        <v>4</v>
      </c>
      <c r="I28" t="inlineStr">
        <is>
          <t>71388005101</t>
        </is>
      </c>
      <c r="J28" t="n">
        <v>0</v>
      </c>
      <c r="K28" t="inlineStr"/>
    </row>
    <row r="29">
      <c r="A29" t="inlineStr">
        <is>
          <t>CHEM-1120</t>
        </is>
      </c>
      <c r="B29" t="inlineStr">
        <is>
          <t>Catapal D</t>
        </is>
      </c>
      <c r="C29" t="inlineStr">
        <is>
          <t>TTAF</t>
        </is>
      </c>
      <c r="D29" t="inlineStr">
        <is>
          <t>Chemical</t>
        </is>
      </c>
      <c r="E29" t="inlineStr">
        <is>
          <t>kg</t>
        </is>
      </c>
      <c r="F29" t="n">
        <v>0</v>
      </c>
      <c r="G29" t="n">
        <v>0</v>
      </c>
      <c r="H29" t="n">
        <v>4</v>
      </c>
      <c r="I29" t="inlineStr">
        <is>
          <t>712886120</t>
        </is>
      </c>
      <c r="J29" t="n">
        <v>0</v>
      </c>
      <c r="K29" t="inlineStr"/>
    </row>
    <row r="30">
      <c r="A30" t="inlineStr">
        <is>
          <t>CHEM-1550</t>
        </is>
      </c>
      <c r="B30" t="inlineStr">
        <is>
          <t>CHUPOL CC-6</t>
        </is>
      </c>
      <c r="C30" t="inlineStr">
        <is>
          <t>TTAF</t>
        </is>
      </c>
      <c r="D30" t="inlineStr">
        <is>
          <t>Chemical</t>
        </is>
      </c>
      <c r="E30" t="inlineStr">
        <is>
          <t>kg</t>
        </is>
      </c>
      <c r="F30" t="n">
        <v>0</v>
      </c>
      <c r="G30" t="n">
        <v>0</v>
      </c>
      <c r="H30" t="n">
        <v>4</v>
      </c>
      <c r="I30" t="inlineStr">
        <is>
          <t>71288624901</t>
        </is>
      </c>
      <c r="J30" t="n">
        <v>0</v>
      </c>
      <c r="K30" t="inlineStr"/>
    </row>
    <row r="31">
      <c r="A31" t="inlineStr">
        <is>
          <t>CHEM-1440</t>
        </is>
      </c>
      <c r="B31" t="inlineStr">
        <is>
          <t>Citric Acid</t>
        </is>
      </c>
      <c r="C31" t="inlineStr">
        <is>
          <t>TTAF</t>
        </is>
      </c>
      <c r="D31" t="inlineStr">
        <is>
          <t>Chemical</t>
        </is>
      </c>
      <c r="E31" t="inlineStr">
        <is>
          <t>kg</t>
        </is>
      </c>
      <c r="F31" t="n">
        <v>0</v>
      </c>
      <c r="G31" t="n">
        <v>0</v>
      </c>
      <c r="H31" t="n">
        <v>4</v>
      </c>
      <c r="I31" t="inlineStr">
        <is>
          <t>83988005701</t>
        </is>
      </c>
      <c r="J31" t="n">
        <v>0</v>
      </c>
      <c r="K31" t="inlineStr"/>
    </row>
    <row r="32">
      <c r="A32" t="inlineStr">
        <is>
          <t>CHEM-1780</t>
        </is>
      </c>
      <c r="B32" t="inlineStr">
        <is>
          <t>Diammonium Citrate</t>
        </is>
      </c>
      <c r="C32" t="inlineStr">
        <is>
          <t>TTAF</t>
        </is>
      </c>
      <c r="D32" t="inlineStr">
        <is>
          <t>Chemical</t>
        </is>
      </c>
      <c r="E32" t="inlineStr">
        <is>
          <t>kg</t>
        </is>
      </c>
      <c r="F32" t="n">
        <v>0</v>
      </c>
      <c r="G32" t="n">
        <v>0</v>
      </c>
      <c r="H32" t="n">
        <v>4</v>
      </c>
      <c r="I32" t="inlineStr">
        <is>
          <t>New</t>
        </is>
      </c>
      <c r="J32" t="n">
        <v>0</v>
      </c>
      <c r="K32" t="inlineStr"/>
    </row>
    <row r="33">
      <c r="A33" t="inlineStr">
        <is>
          <t>CHEM-1400</t>
        </is>
      </c>
      <c r="B33" t="inlineStr">
        <is>
          <t>Dispal</t>
        </is>
      </c>
      <c r="C33" t="inlineStr">
        <is>
          <t>TTAF</t>
        </is>
      </c>
      <c r="D33" t="inlineStr">
        <is>
          <t>Chemical</t>
        </is>
      </c>
      <c r="E33" t="inlineStr">
        <is>
          <t>kg</t>
        </is>
      </c>
      <c r="F33" t="n">
        <v>0</v>
      </c>
      <c r="G33" t="n">
        <v>0</v>
      </c>
      <c r="H33" t="n">
        <v>4</v>
      </c>
      <c r="I33" t="inlineStr">
        <is>
          <t>71288617001</t>
        </is>
      </c>
      <c r="J33" t="n">
        <v>0</v>
      </c>
      <c r="K33" t="inlineStr"/>
    </row>
    <row r="34">
      <c r="A34" t="inlineStr">
        <is>
          <t>CHEM-1650</t>
        </is>
      </c>
      <c r="B34" t="inlineStr">
        <is>
          <t>Duasyn Acid Blue</t>
        </is>
      </c>
      <c r="C34" t="inlineStr">
        <is>
          <t>TTAF</t>
        </is>
      </c>
      <c r="D34" t="inlineStr">
        <is>
          <t>Chemical</t>
        </is>
      </c>
      <c r="E34" t="inlineStr">
        <is>
          <t>kg</t>
        </is>
      </c>
      <c r="F34" t="n">
        <v>0</v>
      </c>
      <c r="G34" t="n">
        <v>0</v>
      </c>
      <c r="H34" t="n">
        <v>4</v>
      </c>
      <c r="I34" t="inlineStr">
        <is>
          <t>712886256</t>
        </is>
      </c>
      <c r="J34" t="n">
        <v>0</v>
      </c>
      <c r="K34" t="inlineStr"/>
    </row>
    <row r="35">
      <c r="A35" t="inlineStr">
        <is>
          <t>CHEM-1660</t>
        </is>
      </c>
      <c r="B35" t="inlineStr">
        <is>
          <t>GW-3394</t>
        </is>
      </c>
      <c r="C35" t="inlineStr">
        <is>
          <t>TTAF</t>
        </is>
      </c>
      <c r="D35" t="inlineStr">
        <is>
          <t>Hazardous Chemical</t>
        </is>
      </c>
      <c r="E35" t="inlineStr">
        <is>
          <t>kg</t>
        </is>
      </c>
      <c r="F35" t="n">
        <v>0</v>
      </c>
      <c r="G35" t="n">
        <v>0</v>
      </c>
      <c r="H35" t="n">
        <v>4</v>
      </c>
      <c r="I35" t="inlineStr">
        <is>
          <t>71288627101</t>
        </is>
      </c>
      <c r="J35" t="n">
        <v>0</v>
      </c>
      <c r="K35" t="inlineStr"/>
    </row>
    <row r="36">
      <c r="A36" t="inlineStr">
        <is>
          <t>CHEM-1420</t>
        </is>
      </c>
      <c r="B36" t="inlineStr">
        <is>
          <t>HEC SE900</t>
        </is>
      </c>
      <c r="C36" t="inlineStr">
        <is>
          <t>TTAF</t>
        </is>
      </c>
      <c r="D36" t="inlineStr">
        <is>
          <t>Chemical</t>
        </is>
      </c>
      <c r="E36" t="inlineStr">
        <is>
          <t>kg</t>
        </is>
      </c>
      <c r="F36" t="n">
        <v>0</v>
      </c>
      <c r="G36" t="n">
        <v>0</v>
      </c>
      <c r="H36" t="n">
        <v>4</v>
      </c>
      <c r="I36" t="inlineStr">
        <is>
          <t>71288629601</t>
        </is>
      </c>
      <c r="J36" t="n">
        <v>0</v>
      </c>
      <c r="K36" t="inlineStr"/>
    </row>
    <row r="37">
      <c r="A37" t="inlineStr">
        <is>
          <t>CHEM-1080</t>
        </is>
      </c>
      <c r="B37" t="inlineStr">
        <is>
          <t>Hydrazine Hydrate</t>
        </is>
      </c>
      <c r="C37" t="inlineStr">
        <is>
          <t>TTAF</t>
        </is>
      </c>
      <c r="D37" t="inlineStr">
        <is>
          <t>Chemical</t>
        </is>
      </c>
      <c r="E37" t="inlineStr">
        <is>
          <t>kg</t>
        </is>
      </c>
      <c r="F37" t="n">
        <v>0</v>
      </c>
      <c r="G37" t="n">
        <v>0</v>
      </c>
      <c r="H37" t="n">
        <v>4</v>
      </c>
      <c r="I37" t="inlineStr"/>
      <c r="J37" t="n">
        <v>0</v>
      </c>
      <c r="K37" t="inlineStr"/>
    </row>
    <row r="38">
      <c r="A38" t="inlineStr">
        <is>
          <t>CHEM-1530</t>
        </is>
      </c>
      <c r="B38" t="inlineStr">
        <is>
          <t>JCK-97</t>
        </is>
      </c>
      <c r="C38" t="inlineStr">
        <is>
          <t>TTAF</t>
        </is>
      </c>
      <c r="D38" t="inlineStr">
        <is>
          <t>Chemical</t>
        </is>
      </c>
      <c r="E38" t="inlineStr">
        <is>
          <t>kg</t>
        </is>
      </c>
      <c r="F38" t="n">
        <v>0</v>
      </c>
      <c r="G38" t="n">
        <v>0</v>
      </c>
      <c r="H38" t="n">
        <v>4</v>
      </c>
      <c r="I38" t="inlineStr">
        <is>
          <t>71388003501</t>
        </is>
      </c>
      <c r="J38" t="n">
        <v>0</v>
      </c>
      <c r="K38" t="inlineStr"/>
    </row>
    <row r="39">
      <c r="A39" t="inlineStr">
        <is>
          <t>CHEM-1480</t>
        </is>
      </c>
      <c r="B39" t="inlineStr">
        <is>
          <t>NAT 30</t>
        </is>
      </c>
      <c r="C39" t="inlineStr">
        <is>
          <t>TTAF</t>
        </is>
      </c>
      <c r="D39" t="inlineStr">
        <is>
          <t>Chemical</t>
        </is>
      </c>
      <c r="E39" t="inlineStr">
        <is>
          <t>kg</t>
        </is>
      </c>
      <c r="F39" t="n">
        <v>0</v>
      </c>
      <c r="G39" t="n">
        <v>0</v>
      </c>
      <c r="H39" t="n">
        <v>4</v>
      </c>
      <c r="I39" t="inlineStr">
        <is>
          <t>NAT30</t>
        </is>
      </c>
      <c r="J39" t="n">
        <v>0</v>
      </c>
      <c r="K39" t="inlineStr"/>
    </row>
    <row r="40">
      <c r="A40" t="inlineStr">
        <is>
          <t>CHEM-1540</t>
        </is>
      </c>
      <c r="B40" t="inlineStr">
        <is>
          <t>NAT 35</t>
        </is>
      </c>
      <c r="C40" t="inlineStr">
        <is>
          <t>TTAF</t>
        </is>
      </c>
      <c r="D40" t="inlineStr">
        <is>
          <t>Chemical</t>
        </is>
      </c>
      <c r="E40" t="inlineStr">
        <is>
          <t>kg</t>
        </is>
      </c>
      <c r="F40" t="n">
        <v>0</v>
      </c>
      <c r="G40" t="n">
        <v>0</v>
      </c>
      <c r="H40" t="n">
        <v>4</v>
      </c>
      <c r="I40" t="inlineStr">
        <is>
          <t>71388005801</t>
        </is>
      </c>
      <c r="J40" t="n">
        <v>0</v>
      </c>
      <c r="K40" t="inlineStr"/>
    </row>
    <row r="41">
      <c r="A41" t="inlineStr">
        <is>
          <t>CHEM-1680</t>
        </is>
      </c>
      <c r="B41" t="inlineStr">
        <is>
          <t>NAT 38</t>
        </is>
      </c>
      <c r="C41" t="inlineStr">
        <is>
          <t>TTAF</t>
        </is>
      </c>
      <c r="D41" t="inlineStr">
        <is>
          <t>Chemical</t>
        </is>
      </c>
      <c r="E41" t="inlineStr">
        <is>
          <t>kg</t>
        </is>
      </c>
      <c r="F41" t="n">
        <v>0</v>
      </c>
      <c r="G41" t="n">
        <v>0</v>
      </c>
      <c r="H41" t="n">
        <v>4</v>
      </c>
      <c r="I41" t="inlineStr">
        <is>
          <t>713880069</t>
        </is>
      </c>
      <c r="J41" t="n">
        <v>0</v>
      </c>
      <c r="K41" t="inlineStr"/>
    </row>
    <row r="42">
      <c r="A42" t="inlineStr">
        <is>
          <t>CHEM-1730</t>
        </is>
      </c>
      <c r="B42" t="inlineStr">
        <is>
          <t>NAT 41</t>
        </is>
      </c>
      <c r="C42" t="inlineStr">
        <is>
          <t>TTAF</t>
        </is>
      </c>
      <c r="D42" t="inlineStr">
        <is>
          <t>Chemical</t>
        </is>
      </c>
      <c r="E42" t="inlineStr">
        <is>
          <t>kg</t>
        </is>
      </c>
      <c r="F42" t="n">
        <v>0</v>
      </c>
      <c r="G42" t="n">
        <v>0</v>
      </c>
      <c r="H42" t="n">
        <v>4</v>
      </c>
      <c r="I42" t="inlineStr">
        <is>
          <t>71388007701</t>
        </is>
      </c>
      <c r="J42" t="n">
        <v>0</v>
      </c>
      <c r="K42" t="inlineStr"/>
    </row>
    <row r="43">
      <c r="A43" t="inlineStr">
        <is>
          <t>CHEM-1280</t>
        </is>
      </c>
      <c r="B43" t="inlineStr">
        <is>
          <t>N-Dodeoyl Trimethyl Ammonium Chloride</t>
        </is>
      </c>
      <c r="C43" t="inlineStr">
        <is>
          <t>TTAF</t>
        </is>
      </c>
      <c r="D43" t="inlineStr">
        <is>
          <t>Hazardous Chemical</t>
        </is>
      </c>
      <c r="E43" t="inlineStr">
        <is>
          <t>kg</t>
        </is>
      </c>
      <c r="F43" t="n">
        <v>0</v>
      </c>
      <c r="G43" t="n">
        <v>0</v>
      </c>
      <c r="H43" t="n">
        <v>4</v>
      </c>
      <c r="I43" t="inlineStr">
        <is>
          <t>83988002202</t>
        </is>
      </c>
      <c r="J43" t="n">
        <v>0</v>
      </c>
      <c r="K43" t="inlineStr"/>
    </row>
    <row r="44">
      <c r="A44" t="inlineStr">
        <is>
          <t>CHEM-1570</t>
        </is>
      </c>
      <c r="B44" t="inlineStr">
        <is>
          <t>NOPAGOAL A</t>
        </is>
      </c>
      <c r="C44" t="inlineStr">
        <is>
          <t>TTAF</t>
        </is>
      </c>
      <c r="D44" t="inlineStr">
        <is>
          <t>Chemical</t>
        </is>
      </c>
      <c r="E44" t="inlineStr">
        <is>
          <t>kg</t>
        </is>
      </c>
      <c r="F44" t="n">
        <v>0</v>
      </c>
      <c r="G44" t="n">
        <v>0</v>
      </c>
      <c r="H44" t="n">
        <v>4</v>
      </c>
      <c r="I44" t="inlineStr">
        <is>
          <t>71288624802</t>
        </is>
      </c>
      <c r="J44" t="n">
        <v>0</v>
      </c>
      <c r="K44" t="inlineStr"/>
    </row>
    <row r="45">
      <c r="A45" t="inlineStr">
        <is>
          <t>CHEM-1450</t>
        </is>
      </c>
      <c r="B45" t="inlineStr">
        <is>
          <t>Noptechs</t>
        </is>
      </c>
      <c r="C45" t="inlineStr">
        <is>
          <t>TTAF</t>
        </is>
      </c>
      <c r="D45" t="inlineStr">
        <is>
          <t>Chemical</t>
        </is>
      </c>
      <c r="E45" t="inlineStr">
        <is>
          <t>kg</t>
        </is>
      </c>
      <c r="F45" t="n">
        <v>0</v>
      </c>
      <c r="G45" t="n">
        <v>0</v>
      </c>
      <c r="H45" t="n">
        <v>4</v>
      </c>
      <c r="I45" t="inlineStr">
        <is>
          <t>Noptechs</t>
        </is>
      </c>
      <c r="J45" t="n">
        <v>0</v>
      </c>
      <c r="K45" t="inlineStr"/>
    </row>
    <row r="46">
      <c r="A46" t="inlineStr">
        <is>
          <t>CHEM-1770</t>
        </is>
      </c>
      <c r="B46" t="inlineStr">
        <is>
          <t>RCT39</t>
        </is>
      </c>
      <c r="C46" t="inlineStr">
        <is>
          <t>TTAF</t>
        </is>
      </c>
      <c r="D46" t="inlineStr">
        <is>
          <t>Chemical</t>
        </is>
      </c>
      <c r="E46" t="inlineStr">
        <is>
          <t>kg</t>
        </is>
      </c>
      <c r="F46" t="n">
        <v>0</v>
      </c>
      <c r="G46" t="n">
        <v>0</v>
      </c>
      <c r="H46" t="n">
        <v>4</v>
      </c>
      <c r="I46" t="inlineStr">
        <is>
          <t>New</t>
        </is>
      </c>
      <c r="J46" t="n">
        <v>0</v>
      </c>
      <c r="K46" t="inlineStr"/>
    </row>
    <row r="47">
      <c r="A47" t="inlineStr">
        <is>
          <t>CHEM-1430</t>
        </is>
      </c>
      <c r="B47" t="inlineStr">
        <is>
          <t>RCT22</t>
        </is>
      </c>
      <c r="C47" t="inlineStr">
        <is>
          <t>TTAF</t>
        </is>
      </c>
      <c r="D47" t="inlineStr">
        <is>
          <t>Chemical</t>
        </is>
      </c>
      <c r="E47" t="inlineStr">
        <is>
          <t>kg</t>
        </is>
      </c>
      <c r="F47" t="n">
        <v>0</v>
      </c>
      <c r="G47" t="n">
        <v>0</v>
      </c>
      <c r="H47" t="n">
        <v>4</v>
      </c>
      <c r="I47" t="inlineStr">
        <is>
          <t>71388004301</t>
        </is>
      </c>
      <c r="J47" t="n">
        <v>0</v>
      </c>
      <c r="K47" t="inlineStr"/>
    </row>
    <row r="48">
      <c r="A48" t="inlineStr">
        <is>
          <t>CHEM-1470</t>
        </is>
      </c>
      <c r="B48" t="inlineStr">
        <is>
          <t>Aluminium Oxide [SCFA-100] - NO LANTHANUM</t>
        </is>
      </c>
      <c r="C48" t="inlineStr">
        <is>
          <t>TTAF</t>
        </is>
      </c>
      <c r="D48" t="inlineStr">
        <is>
          <t>Chemical</t>
        </is>
      </c>
      <c r="E48" t="inlineStr">
        <is>
          <t>kg</t>
        </is>
      </c>
      <c r="F48" t="n">
        <v>0</v>
      </c>
      <c r="G48" t="n">
        <v>0</v>
      </c>
      <c r="H48" t="n">
        <v>4</v>
      </c>
      <c r="I48" t="inlineStr">
        <is>
          <t>SCFA100</t>
        </is>
      </c>
      <c r="J48" t="n">
        <v>0</v>
      </c>
      <c r="K48" t="inlineStr"/>
    </row>
    <row r="49">
      <c r="A49" t="inlineStr">
        <is>
          <t>CHEM-1010</t>
        </is>
      </c>
      <c r="B49" t="inlineStr">
        <is>
          <t>Sodium Carbonate Anhydrous</t>
        </is>
      </c>
      <c r="C49" t="inlineStr">
        <is>
          <t>TTAF</t>
        </is>
      </c>
      <c r="D49" t="inlineStr">
        <is>
          <t>Chemical</t>
        </is>
      </c>
      <c r="E49" t="inlineStr">
        <is>
          <t>kg</t>
        </is>
      </c>
      <c r="F49" t="n">
        <v>0</v>
      </c>
      <c r="G49" t="n">
        <v>0</v>
      </c>
      <c r="H49" t="n">
        <v>4</v>
      </c>
      <c r="I49" t="inlineStr">
        <is>
          <t>Sodium Carbonate</t>
        </is>
      </c>
      <c r="J49" t="n">
        <v>0</v>
      </c>
      <c r="K49" t="inlineStr"/>
    </row>
    <row r="50">
      <c r="A50" t="inlineStr">
        <is>
          <t>CHEM-1760</t>
        </is>
      </c>
      <c r="B50" t="inlineStr">
        <is>
          <t>Pigment TC RED FD (A)</t>
        </is>
      </c>
      <c r="C50" t="inlineStr">
        <is>
          <t>TTAF</t>
        </is>
      </c>
      <c r="D50" t="inlineStr">
        <is>
          <t>Chemical</t>
        </is>
      </c>
      <c r="E50" t="inlineStr">
        <is>
          <t>kg</t>
        </is>
      </c>
      <c r="F50" t="n">
        <v>0</v>
      </c>
      <c r="G50" t="n">
        <v>0</v>
      </c>
      <c r="H50" t="n">
        <v>4</v>
      </c>
      <c r="I50" t="inlineStr">
        <is>
          <t>713880079</t>
        </is>
      </c>
      <c r="J50" t="n">
        <v>0</v>
      </c>
      <c r="K50" t="inlineStr"/>
    </row>
    <row r="51">
      <c r="A51" t="inlineStr">
        <is>
          <t>CHEM-1700</t>
        </is>
      </c>
      <c r="B51" t="inlineStr">
        <is>
          <t>Tepyrus CT38</t>
        </is>
      </c>
      <c r="C51" t="inlineStr">
        <is>
          <t>TTAF</t>
        </is>
      </c>
      <c r="D51" t="inlineStr">
        <is>
          <t>Chemical</t>
        </is>
      </c>
      <c r="E51" t="inlineStr">
        <is>
          <t>kg</t>
        </is>
      </c>
      <c r="F51" t="n">
        <v>0</v>
      </c>
      <c r="G51" t="n">
        <v>0</v>
      </c>
      <c r="H51" t="n">
        <v>4</v>
      </c>
      <c r="I51" t="inlineStr">
        <is>
          <t>712886270</t>
        </is>
      </c>
      <c r="J51" t="n">
        <v>0</v>
      </c>
      <c r="K51" t="inlineStr"/>
    </row>
    <row r="52">
      <c r="A52" t="inlineStr">
        <is>
          <t>CHEM-1850</t>
        </is>
      </c>
      <c r="B52" t="inlineStr">
        <is>
          <t>TPP-1469</t>
        </is>
      </c>
      <c r="C52" t="inlineStr">
        <is>
          <t>TTAF</t>
        </is>
      </c>
      <c r="D52" t="inlineStr">
        <is>
          <t>Chemical</t>
        </is>
      </c>
      <c r="E52" t="inlineStr">
        <is>
          <t>kg</t>
        </is>
      </c>
      <c r="F52" t="n">
        <v>0</v>
      </c>
      <c r="G52" t="n">
        <v>0</v>
      </c>
      <c r="H52" t="n">
        <v>4</v>
      </c>
      <c r="I52" t="inlineStr">
        <is>
          <t>kg</t>
        </is>
      </c>
      <c r="J52" t="n">
        <v>0</v>
      </c>
      <c r="K52" t="inlineStr"/>
    </row>
    <row r="53">
      <c r="A53" t="inlineStr">
        <is>
          <t>18456-50041</t>
        </is>
      </c>
      <c r="B53" t="inlineStr">
        <is>
          <t>ALUMINA MAT EX 3M</t>
        </is>
      </c>
      <c r="C53" t="inlineStr">
        <is>
          <t>TTAF</t>
        </is>
      </c>
      <c r="D53" t="inlineStr">
        <is>
          <t>Chemical</t>
        </is>
      </c>
      <c r="E53" t="inlineStr">
        <is>
          <t>kg</t>
        </is>
      </c>
      <c r="F53" t="n">
        <v>0</v>
      </c>
      <c r="G53" t="n">
        <v>0</v>
      </c>
      <c r="H53" t="n">
        <v>4</v>
      </c>
      <c r="I53" t="inlineStr"/>
      <c r="J53" t="n">
        <v>0</v>
      </c>
      <c r="K53" t="inlineStr"/>
    </row>
    <row r="54">
      <c r="A54" t="inlineStr">
        <is>
          <t>18456-50061</t>
        </is>
      </c>
      <c r="B54" t="inlineStr">
        <is>
          <t>ALUMINA MAT EX IBIDEN</t>
        </is>
      </c>
      <c r="C54" t="inlineStr">
        <is>
          <t>TTAF</t>
        </is>
      </c>
      <c r="D54" t="inlineStr">
        <is>
          <t>Chemical</t>
        </is>
      </c>
      <c r="E54" t="inlineStr">
        <is>
          <t>kg</t>
        </is>
      </c>
      <c r="F54" t="n">
        <v>0</v>
      </c>
      <c r="G54" t="n">
        <v>0</v>
      </c>
      <c r="H54" t="n">
        <v>4</v>
      </c>
      <c r="I54" t="inlineStr"/>
      <c r="J54" t="n">
        <v>0</v>
      </c>
      <c r="K54" t="inlineStr"/>
    </row>
    <row r="55">
      <c r="A55" t="inlineStr">
        <is>
          <t>Original Towel</t>
        </is>
      </c>
      <c r="B55" t="inlineStr">
        <is>
          <t>Towel Paper</t>
        </is>
      </c>
      <c r="C55" t="inlineStr">
        <is>
          <t>TTAF</t>
        </is>
      </c>
      <c r="D55" t="inlineStr">
        <is>
          <t>Chemical</t>
        </is>
      </c>
      <c r="E55" t="inlineStr">
        <is>
          <t>kg</t>
        </is>
      </c>
      <c r="F55" t="n">
        <v>0</v>
      </c>
      <c r="G55" t="n">
        <v>0</v>
      </c>
      <c r="H55" t="n">
        <v>4</v>
      </c>
      <c r="I55" t="inlineStr">
        <is>
          <t>859882220</t>
        </is>
      </c>
      <c r="J55" t="n">
        <v>200</v>
      </c>
      <c r="K55" t="inlineStr"/>
    </row>
    <row r="56">
      <c r="A56" t="inlineStr">
        <is>
          <t>PP Film</t>
        </is>
      </c>
      <c r="B56" t="inlineStr">
        <is>
          <t>PP Film</t>
        </is>
      </c>
      <c r="C56" t="inlineStr">
        <is>
          <t>TTAF</t>
        </is>
      </c>
      <c r="D56" t="inlineStr">
        <is>
          <t>Chemical</t>
        </is>
      </c>
      <c r="E56" t="inlineStr">
        <is>
          <t>kg</t>
        </is>
      </c>
      <c r="F56" t="n">
        <v>0</v>
      </c>
      <c r="G56" t="n">
        <v>0</v>
      </c>
      <c r="H56" t="n">
        <v>4</v>
      </c>
      <c r="I56" t="inlineStr">
        <is>
          <t>83988405701</t>
        </is>
      </c>
      <c r="J56" t="n">
        <v>0</v>
      </c>
      <c r="K56" t="inlineStr"/>
    </row>
    <row r="57">
      <c r="A57" t="inlineStr">
        <is>
          <t>Ester Film</t>
        </is>
      </c>
      <c r="B57" t="inlineStr">
        <is>
          <t>Ester Film</t>
        </is>
      </c>
      <c r="C57" t="inlineStr">
        <is>
          <t>TTAF</t>
        </is>
      </c>
      <c r="D57" t="inlineStr">
        <is>
          <t>Chemical</t>
        </is>
      </c>
      <c r="E57" t="inlineStr">
        <is>
          <t>kg</t>
        </is>
      </c>
      <c r="F57" t="n">
        <v>0</v>
      </c>
      <c r="G57" t="n">
        <v>0</v>
      </c>
      <c r="H57" t="n">
        <v>4</v>
      </c>
      <c r="I57" t="inlineStr"/>
      <c r="J57" t="n">
        <v>0</v>
      </c>
      <c r="K57" t="inlineStr"/>
    </row>
    <row r="58">
      <c r="A58" t="inlineStr">
        <is>
          <t>CHEM-1870</t>
        </is>
      </c>
      <c r="B58" t="inlineStr">
        <is>
          <t>TPZ-2127</t>
        </is>
      </c>
      <c r="C58" t="inlineStr">
        <is>
          <t>TTAF</t>
        </is>
      </c>
      <c r="D58" t="inlineStr">
        <is>
          <t>Chemical</t>
        </is>
      </c>
      <c r="E58" t="inlineStr">
        <is>
          <t>kg</t>
        </is>
      </c>
      <c r="F58" t="n">
        <v>0</v>
      </c>
      <c r="G58" t="n">
        <v>0</v>
      </c>
      <c r="H58" t="n">
        <v>4</v>
      </c>
      <c r="I58" t="inlineStr"/>
      <c r="J58" t="n">
        <v>0</v>
      </c>
      <c r="K58" t="inlineStr"/>
    </row>
    <row r="59">
      <c r="A59" t="inlineStr">
        <is>
          <t>CHEM-1560</t>
        </is>
      </c>
      <c r="B59" t="inlineStr">
        <is>
          <t>TZP 511</t>
        </is>
      </c>
      <c r="C59" t="inlineStr">
        <is>
          <t>TTAF</t>
        </is>
      </c>
      <c r="D59" t="inlineStr">
        <is>
          <t>Chemical</t>
        </is>
      </c>
      <c r="E59" t="inlineStr">
        <is>
          <t>kg</t>
        </is>
      </c>
      <c r="F59" t="n">
        <v>0</v>
      </c>
      <c r="G59" t="n">
        <v>0</v>
      </c>
      <c r="H59" t="n">
        <v>4</v>
      </c>
      <c r="I59" t="inlineStr">
        <is>
          <t>734831030</t>
        </is>
      </c>
      <c r="J59" t="n">
        <v>0</v>
      </c>
      <c r="K59" t="inlineStr"/>
    </row>
    <row r="60">
      <c r="A60" t="inlineStr">
        <is>
          <t>CHEM-1690</t>
        </is>
      </c>
      <c r="B60" t="inlineStr">
        <is>
          <t>TPZ 560</t>
        </is>
      </c>
      <c r="C60" t="inlineStr">
        <is>
          <t>TTAF</t>
        </is>
      </c>
      <c r="D60" t="inlineStr">
        <is>
          <t>Chemical</t>
        </is>
      </c>
      <c r="E60" t="inlineStr">
        <is>
          <t>kg</t>
        </is>
      </c>
      <c r="F60" t="n">
        <v>0</v>
      </c>
      <c r="G60" t="n">
        <v>0</v>
      </c>
      <c r="H60" t="n">
        <v>4</v>
      </c>
      <c r="I60" t="inlineStr">
        <is>
          <t>734831040</t>
        </is>
      </c>
      <c r="J60" t="n">
        <v>0</v>
      </c>
      <c r="K60" t="inlineStr"/>
    </row>
    <row r="61">
      <c r="A61" t="inlineStr">
        <is>
          <t>CHEM-1720</t>
        </is>
      </c>
      <c r="B61" t="inlineStr">
        <is>
          <t>TPZ 868</t>
        </is>
      </c>
      <c r="C61" t="inlineStr">
        <is>
          <t>TTAF</t>
        </is>
      </c>
      <c r="D61" t="inlineStr">
        <is>
          <t>Chemical</t>
        </is>
      </c>
      <c r="E61" t="inlineStr">
        <is>
          <t>kg</t>
        </is>
      </c>
      <c r="F61" t="n">
        <v>0</v>
      </c>
      <c r="G61" t="n">
        <v>0</v>
      </c>
      <c r="H61" t="n">
        <v>4</v>
      </c>
      <c r="I61" t="inlineStr">
        <is>
          <t>734831050</t>
        </is>
      </c>
      <c r="J61" t="n">
        <v>0</v>
      </c>
      <c r="K6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</cols>
  <sheetData>
    <row r="1">
      <c r="A1" s="6" t="inlineStr">
        <is>
          <t>Intermediate</t>
        </is>
      </c>
      <c r="B1" s="6" t="inlineStr">
        <is>
          <t>Part Name</t>
        </is>
      </c>
      <c r="C1" s="6" t="inlineStr">
        <is>
          <t>RM_Qty_Per_Batch</t>
        </is>
      </c>
      <c r="D1" s="6" t="inlineStr">
        <is>
          <t>PPGridRow</t>
        </is>
      </c>
    </row>
    <row r="2">
      <c r="A2" t="inlineStr">
        <is>
          <t>0Q110</t>
        </is>
      </c>
      <c r="B2" t="inlineStr">
        <is>
          <t>5SN</t>
        </is>
      </c>
      <c r="C2" t="n">
        <v>1</v>
      </c>
      <c r="D2">
        <f>IFERROR(MATCH($A2,PP_Grid[Intermediate],0),99999)</f>
        <v/>
      </c>
    </row>
    <row r="3">
      <c r="A3" t="inlineStr">
        <is>
          <t>0Q120</t>
        </is>
      </c>
      <c r="B3" t="inlineStr">
        <is>
          <t>7EP</t>
        </is>
      </c>
      <c r="C3" t="n">
        <v>1</v>
      </c>
      <c r="D3">
        <f>IFERROR(MATCH($A3,PP_Grid[Intermediate],0),99999)</f>
        <v/>
      </c>
    </row>
    <row r="4">
      <c r="A4" t="inlineStr">
        <is>
          <t>0T150</t>
        </is>
      </c>
      <c r="B4" t="inlineStr">
        <is>
          <t>OLJ</t>
        </is>
      </c>
      <c r="C4" t="n">
        <v>1</v>
      </c>
      <c r="D4">
        <f>IFERROR(MATCH($A4,PP_Grid[Intermediate],0),99999)</f>
        <v/>
      </c>
    </row>
    <row r="5">
      <c r="A5" t="inlineStr">
        <is>
          <t>0T160</t>
        </is>
      </c>
      <c r="B5" t="inlineStr">
        <is>
          <t>9RJ</t>
        </is>
      </c>
      <c r="C5" t="n">
        <v>1</v>
      </c>
      <c r="D5">
        <f>IFERROR(MATCH($A5,PP_Grid[Intermediate],0),99999)</f>
        <v/>
      </c>
    </row>
    <row r="6">
      <c r="A6" t="inlineStr">
        <is>
          <t>0T410</t>
        </is>
      </c>
      <c r="B6" t="inlineStr">
        <is>
          <t>OLJ</t>
        </is>
      </c>
      <c r="C6" t="n">
        <v>1</v>
      </c>
      <c r="D6">
        <f>IFERROR(MATCH($A6,PP_Grid[Intermediate],0),99999)</f>
        <v/>
      </c>
    </row>
    <row r="7">
      <c r="A7" t="inlineStr">
        <is>
          <t>0T420</t>
        </is>
      </c>
      <c r="B7" t="inlineStr">
        <is>
          <t>OLJ</t>
        </is>
      </c>
      <c r="C7" t="n">
        <v>1</v>
      </c>
      <c r="D7">
        <f>IFERROR(MATCH($A7,PP_Grid[Intermediate],0),99999)</f>
        <v/>
      </c>
    </row>
    <row r="8">
      <c r="A8" t="inlineStr">
        <is>
          <t>0T470</t>
        </is>
      </c>
      <c r="B8" t="inlineStr">
        <is>
          <t>OLJ</t>
        </is>
      </c>
      <c r="C8" t="n">
        <v>1</v>
      </c>
      <c r="D8">
        <f>IFERROR(MATCH($A8,PP_Grid[Intermediate],0),99999)</f>
        <v/>
      </c>
    </row>
    <row r="9">
      <c r="A9" t="inlineStr">
        <is>
          <t>0T480</t>
        </is>
      </c>
      <c r="B9" t="inlineStr">
        <is>
          <t>1EK</t>
        </is>
      </c>
      <c r="C9" t="n">
        <v>1</v>
      </c>
      <c r="D9">
        <f>IFERROR(MATCH($A9,PP_Grid[Intermediate],0),99999)</f>
        <v/>
      </c>
    </row>
    <row r="10">
      <c r="A10" t="inlineStr">
        <is>
          <t>0T490</t>
        </is>
      </c>
      <c r="B10" t="inlineStr">
        <is>
          <t>OLJ</t>
        </is>
      </c>
      <c r="C10" t="n">
        <v>1</v>
      </c>
      <c r="D10">
        <f>IFERROR(MATCH($A10,PP_Grid[Intermediate],0),99999)</f>
        <v/>
      </c>
    </row>
    <row r="11">
      <c r="A11" t="inlineStr">
        <is>
          <t>0T500</t>
        </is>
      </c>
      <c r="B11" t="inlineStr">
        <is>
          <t>5JK</t>
        </is>
      </c>
      <c r="C11" t="n">
        <v>1</v>
      </c>
      <c r="D11">
        <f>IFERROR(MATCH($A11,PP_Grid[Intermediate],0),99999)</f>
        <v/>
      </c>
    </row>
    <row r="12">
      <c r="A12" t="inlineStr">
        <is>
          <t>0T690</t>
        </is>
      </c>
      <c r="B12" t="inlineStr">
        <is>
          <t>1EK</t>
        </is>
      </c>
      <c r="C12" t="n">
        <v>1</v>
      </c>
      <c r="D12">
        <f>IFERROR(MATCH($A12,PP_Grid[Intermediate],0),99999)</f>
        <v/>
      </c>
    </row>
    <row r="13">
      <c r="A13" t="inlineStr">
        <is>
          <t>0T720</t>
        </is>
      </c>
      <c r="B13" t="inlineStr">
        <is>
          <t>1EK</t>
        </is>
      </c>
      <c r="C13" t="n">
        <v>1</v>
      </c>
      <c r="D13">
        <f>IFERROR(MATCH($A13,PP_Grid[Intermediate],0),99999)</f>
        <v/>
      </c>
    </row>
    <row r="14">
      <c r="A14" t="inlineStr">
        <is>
          <t>0T740</t>
        </is>
      </c>
      <c r="B14" t="inlineStr">
        <is>
          <t>1EK</t>
        </is>
      </c>
      <c r="C14" t="n">
        <v>1</v>
      </c>
      <c r="D14">
        <f>IFERROR(MATCH($A14,PP_Grid[Intermediate],0),99999)</f>
        <v/>
      </c>
    </row>
    <row r="15">
      <c r="A15" t="inlineStr">
        <is>
          <t>0T750</t>
        </is>
      </c>
      <c r="B15" t="inlineStr">
        <is>
          <t>1EK</t>
        </is>
      </c>
      <c r="C15" t="n">
        <v>1</v>
      </c>
      <c r="D15">
        <f>IFERROR(MATCH($A15,PP_Grid[Intermediate],0),99999)</f>
        <v/>
      </c>
    </row>
    <row r="16">
      <c r="A16" t="inlineStr">
        <is>
          <t>0T860</t>
        </is>
      </c>
      <c r="B16" t="inlineStr">
        <is>
          <t>1EK</t>
        </is>
      </c>
      <c r="C16" t="n">
        <v>1</v>
      </c>
      <c r="D16">
        <f>IFERROR(MATCH($A16,PP_Grid[Intermediate],0),99999)</f>
        <v/>
      </c>
    </row>
    <row r="17">
      <c r="A17" t="inlineStr">
        <is>
          <t>0T870</t>
        </is>
      </c>
      <c r="B17" t="inlineStr">
        <is>
          <t>1EK</t>
        </is>
      </c>
      <c r="C17" t="n">
        <v>1</v>
      </c>
      <c r="D17">
        <f>IFERROR(MATCH($A17,PP_Grid[Intermediate],0),99999)</f>
        <v/>
      </c>
    </row>
    <row r="18">
      <c r="A18" t="inlineStr">
        <is>
          <t>0T880</t>
        </is>
      </c>
      <c r="B18" t="inlineStr">
        <is>
          <t>1EK</t>
        </is>
      </c>
      <c r="C18" t="n">
        <v>1</v>
      </c>
      <c r="D18">
        <f>IFERROR(MATCH($A18,PP_Grid[Intermediate],0),99999)</f>
        <v/>
      </c>
    </row>
    <row r="19">
      <c r="A19" t="inlineStr">
        <is>
          <t>0TA30</t>
        </is>
      </c>
      <c r="B19" t="inlineStr">
        <is>
          <t>TDJ</t>
        </is>
      </c>
      <c r="C19" t="n">
        <v>1</v>
      </c>
      <c r="D19">
        <f>IFERROR(MATCH($A19,PP_Grid[Intermediate],0),99999)</f>
        <v/>
      </c>
    </row>
    <row r="20">
      <c r="A20" t="inlineStr">
        <is>
          <t>0TA40</t>
        </is>
      </c>
      <c r="B20" t="inlineStr">
        <is>
          <t>1EK</t>
        </is>
      </c>
      <c r="C20" t="n">
        <v>1</v>
      </c>
      <c r="D20">
        <f>IFERROR(MATCH($A20,PP_Grid[Intermediate],0),99999)</f>
        <v/>
      </c>
    </row>
    <row r="21">
      <c r="A21" t="inlineStr">
        <is>
          <t>0W750</t>
        </is>
      </c>
      <c r="B21" t="inlineStr">
        <is>
          <t>OLJ</t>
        </is>
      </c>
      <c r="C21" t="n">
        <v>1</v>
      </c>
      <c r="D21">
        <f>IFERROR(MATCH($A21,PP_Grid[Intermediate],0),99999)</f>
        <v/>
      </c>
    </row>
    <row r="22">
      <c r="A22" t="inlineStr">
        <is>
          <t>0W780</t>
        </is>
      </c>
      <c r="B22" t="inlineStr">
        <is>
          <t>OLJ</t>
        </is>
      </c>
      <c r="C22" t="n">
        <v>1</v>
      </c>
      <c r="D22">
        <f>IFERROR(MATCH($A22,PP_Grid[Intermediate],0),99999)</f>
        <v/>
      </c>
    </row>
    <row r="23">
      <c r="A23" t="inlineStr">
        <is>
          <t>0Y460</t>
        </is>
      </c>
      <c r="B23" t="inlineStr">
        <is>
          <t>1JN</t>
        </is>
      </c>
      <c r="C23" t="n">
        <v>1</v>
      </c>
      <c r="D23">
        <f>IFERROR(MATCH($A23,PP_Grid[Intermediate],0),99999)</f>
        <v/>
      </c>
    </row>
    <row r="24">
      <c r="A24" t="inlineStr">
        <is>
          <t>F0220</t>
        </is>
      </c>
      <c r="B24" t="inlineStr">
        <is>
          <t>7CL</t>
        </is>
      </c>
      <c r="C24" t="n">
        <v>1</v>
      </c>
      <c r="D24">
        <f>IFERROR(MATCH($A24,PP_Grid[Intermediate],0),99999)</f>
        <v/>
      </c>
    </row>
    <row r="25">
      <c r="A25" t="inlineStr">
        <is>
          <t>F2090</t>
        </is>
      </c>
      <c r="B25" t="inlineStr">
        <is>
          <t>OJN</t>
        </is>
      </c>
      <c r="C25" t="n">
        <v>1</v>
      </c>
      <c r="D25">
        <f>IFERROR(MATCH($A25,PP_Grid[Intermediate],0),99999)</f>
        <v/>
      </c>
    </row>
    <row r="26">
      <c r="A26" t="inlineStr">
        <is>
          <t>F2100</t>
        </is>
      </c>
      <c r="B26" t="inlineStr">
        <is>
          <t>7CL</t>
        </is>
      </c>
      <c r="C26" t="n">
        <v>1</v>
      </c>
      <c r="D26">
        <f>IFERROR(MATCH($A26,PP_Grid[Intermediate],0),99999)</f>
        <v/>
      </c>
    </row>
    <row r="27">
      <c r="A27" t="inlineStr">
        <is>
          <t>F2180</t>
        </is>
      </c>
      <c r="B27" t="inlineStr">
        <is>
          <t>7CL</t>
        </is>
      </c>
      <c r="C27" t="n">
        <v>1</v>
      </c>
      <c r="D27">
        <f>IFERROR(MATCH($A27,PP_Grid[Intermediate],0),99999)</f>
        <v/>
      </c>
    </row>
    <row r="28">
      <c r="A28" t="inlineStr">
        <is>
          <t>F2210</t>
        </is>
      </c>
      <c r="B28" t="inlineStr">
        <is>
          <t>7CL</t>
        </is>
      </c>
      <c r="C28" t="n">
        <v>1</v>
      </c>
      <c r="D28">
        <f>IFERROR(MATCH($A28,PP_Grid[Intermediate],0),99999)</f>
        <v/>
      </c>
    </row>
    <row r="29">
      <c r="A29" t="inlineStr">
        <is>
          <t>F2290</t>
        </is>
      </c>
      <c r="B29" t="inlineStr">
        <is>
          <t>3TP</t>
        </is>
      </c>
      <c r="C29" t="n">
        <v>1</v>
      </c>
      <c r="D29">
        <f>IFERROR(MATCH($A29,PP_Grid[Intermediate],0),99999)</f>
        <v/>
      </c>
    </row>
    <row r="30">
      <c r="A30" t="inlineStr">
        <is>
          <t>F2350</t>
        </is>
      </c>
      <c r="B30" t="inlineStr">
        <is>
          <t>7CL</t>
        </is>
      </c>
      <c r="C30" t="n">
        <v>1</v>
      </c>
      <c r="D30">
        <f>IFERROR(MATCH($A30,PP_Grid[Intermediate],0),99999)</f>
        <v/>
      </c>
    </row>
    <row r="31">
      <c r="A31" t="inlineStr">
        <is>
          <t>F3060</t>
        </is>
      </c>
      <c r="B31" t="inlineStr">
        <is>
          <t>4HL</t>
        </is>
      </c>
      <c r="C31" t="n">
        <v>1</v>
      </c>
      <c r="D31">
        <f>IFERROR(MATCH($A31,PP_Grid[Intermediate],0),99999)</f>
        <v/>
      </c>
    </row>
    <row r="32">
      <c r="A32" t="inlineStr">
        <is>
          <t>K0030</t>
        </is>
      </c>
      <c r="B32" t="inlineStr">
        <is>
          <t>4HL</t>
        </is>
      </c>
      <c r="C32" t="n">
        <v>1</v>
      </c>
      <c r="D32">
        <f>IFERROR(MATCH($A32,PP_Grid[Intermediate],0),99999)</f>
        <v/>
      </c>
    </row>
    <row r="33">
      <c r="A33" t="inlineStr">
        <is>
          <t>K0050</t>
        </is>
      </c>
      <c r="B33" t="inlineStr">
        <is>
          <t>9RN</t>
        </is>
      </c>
      <c r="C33" t="n">
        <v>1</v>
      </c>
      <c r="D33">
        <f>IFERROR(MATCH($A33,PP_Grid[Intermediate],0),99999)</f>
        <v/>
      </c>
    </row>
    <row r="34">
      <c r="A34" t="inlineStr">
        <is>
          <t>SOL-20P</t>
        </is>
      </c>
      <c r="B34" t="inlineStr">
        <is>
          <t>CHEM-1010</t>
        </is>
      </c>
      <c r="C34" t="n">
        <v>4.874</v>
      </c>
      <c r="D34">
        <f>IFERROR(MATCH($A34,PP_Grid[Intermediate],0),99999)</f>
        <v/>
      </c>
    </row>
    <row r="35">
      <c r="A35" t="inlineStr">
        <is>
          <t>SOL-250D</t>
        </is>
      </c>
      <c r="B35" t="inlineStr">
        <is>
          <t>CHEM-1280</t>
        </is>
      </c>
      <c r="C35" t="n">
        <v>69.2300023753583</v>
      </c>
      <c r="D35">
        <f>IFERROR(MATCH($A35,PP_Grid[Intermediate],0),99999)</f>
        <v/>
      </c>
    </row>
    <row r="36">
      <c r="A36" t="inlineStr">
        <is>
          <t>SOL-85D</t>
        </is>
      </c>
      <c r="B36" t="inlineStr">
        <is>
          <t>CHEM-1280</t>
        </is>
      </c>
      <c r="C36" t="n">
        <v>115.0003999840007</v>
      </c>
      <c r="D36">
        <f>IFERROR(MATCH($A36,PP_Grid[Intermediate],0),99999)</f>
        <v/>
      </c>
    </row>
    <row r="37">
      <c r="A37" t="inlineStr">
        <is>
          <t>TPP-103</t>
        </is>
      </c>
      <c r="B37" t="inlineStr">
        <is>
          <t>CHEM-1110</t>
        </is>
      </c>
      <c r="C37" t="n">
        <v>23.4984075</v>
      </c>
      <c r="D37">
        <f>IFERROR(MATCH($A37,PP_Grid[Intermediate],0),99999)</f>
        <v/>
      </c>
    </row>
    <row r="38">
      <c r="A38" t="inlineStr">
        <is>
          <t>TPP-1367</t>
        </is>
      </c>
      <c r="B38" t="inlineStr">
        <is>
          <t>SOL-SCH</t>
        </is>
      </c>
      <c r="C38" t="n">
        <v>20.6396272</v>
      </c>
      <c r="D38">
        <f>IFERROR(MATCH($A38,PP_Grid[Intermediate],0),99999)</f>
        <v/>
      </c>
    </row>
    <row r="39">
      <c r="A39" t="inlineStr">
        <is>
          <t>TPP-1368</t>
        </is>
      </c>
      <c r="B39" t="inlineStr">
        <is>
          <t>SOL-SCH</t>
        </is>
      </c>
      <c r="C39" t="n">
        <v>18.6509806</v>
      </c>
      <c r="D39">
        <f>IFERROR(MATCH($A39,PP_Grid[Intermediate],0),99999)</f>
        <v/>
      </c>
    </row>
    <row r="40">
      <c r="A40" t="inlineStr">
        <is>
          <t>TPP-1369</t>
        </is>
      </c>
      <c r="B40" t="inlineStr">
        <is>
          <t>SOL-SCH</t>
        </is>
      </c>
      <c r="C40" t="n">
        <v>10.7556864</v>
      </c>
      <c r="D40">
        <f>IFERROR(MATCH($A40,PP_Grid[Intermediate],0),99999)</f>
        <v/>
      </c>
    </row>
    <row r="41">
      <c r="A41" t="inlineStr">
        <is>
          <t>TPP-1378</t>
        </is>
      </c>
      <c r="B41" t="inlineStr">
        <is>
          <t>SOL-SCH</t>
        </is>
      </c>
      <c r="C41" t="n">
        <v>11.4631924</v>
      </c>
      <c r="D41">
        <f>IFERROR(MATCH($A41,PP_Grid[Intermediate],0),99999)</f>
        <v/>
      </c>
    </row>
    <row r="42">
      <c r="A42" t="inlineStr">
        <is>
          <t>TPP-1379</t>
        </is>
      </c>
      <c r="B42" t="inlineStr">
        <is>
          <t>SOL-SCH</t>
        </is>
      </c>
      <c r="C42" t="n">
        <v>5.871332999999999</v>
      </c>
      <c r="D42">
        <f>IFERROR(MATCH($A42,PP_Grid[Intermediate],0),99999)</f>
        <v/>
      </c>
    </row>
    <row r="43">
      <c r="A43" t="inlineStr">
        <is>
          <t>TPP-358</t>
        </is>
      </c>
      <c r="B43" t="inlineStr">
        <is>
          <t>CHEM-1540</t>
        </is>
      </c>
      <c r="C43" t="n">
        <v>65.14639600000001</v>
      </c>
      <c r="D43">
        <f>IFERROR(MATCH($A43,PP_Grid[Intermediate],0),99999)</f>
        <v/>
      </c>
    </row>
    <row r="44">
      <c r="A44" t="inlineStr">
        <is>
          <t>TPP-358</t>
        </is>
      </c>
      <c r="B44" t="inlineStr">
        <is>
          <t>SOL-SH</t>
        </is>
      </c>
      <c r="C44" t="n">
        <v>11.165028</v>
      </c>
      <c r="D44">
        <f>IFERROR(MATCH($A44,PP_Grid[Intermediate],0),99999)</f>
        <v/>
      </c>
    </row>
    <row r="45">
      <c r="A45" t="inlineStr">
        <is>
          <t>TPP-533</t>
        </is>
      </c>
      <c r="B45" t="inlineStr">
        <is>
          <t>CHEM-1540</t>
        </is>
      </c>
      <c r="C45" t="n">
        <v>59.28375102040815</v>
      </c>
      <c r="D45">
        <f>IFERROR(MATCH($A45,PP_Grid[Intermediate],0),99999)</f>
        <v/>
      </c>
    </row>
    <row r="46">
      <c r="A46" t="inlineStr">
        <is>
          <t>TPP-533</t>
        </is>
      </c>
      <c r="B46" t="inlineStr">
        <is>
          <t>SOL-SH</t>
        </is>
      </c>
      <c r="C46" t="n">
        <v>13.54654693877551</v>
      </c>
      <c r="D46">
        <f>IFERROR(MATCH($A46,PP_Grid[Intermediate],0),99999)</f>
        <v/>
      </c>
    </row>
    <row r="47">
      <c r="A47" t="inlineStr">
        <is>
          <t>TPP-611</t>
        </is>
      </c>
      <c r="B47" t="inlineStr">
        <is>
          <t>CHEM-1680</t>
        </is>
      </c>
      <c r="C47" t="n">
        <v>18.2247264</v>
      </c>
      <c r="D47">
        <f>IFERROR(MATCH($A47,PP_Grid[Intermediate],0),99999)</f>
        <v/>
      </c>
    </row>
    <row r="48">
      <c r="A48" t="inlineStr">
        <is>
          <t>TPP-611</t>
        </is>
      </c>
      <c r="B48" t="inlineStr">
        <is>
          <t>SOL-SH</t>
        </is>
      </c>
      <c r="C48" t="n">
        <v>7.624032</v>
      </c>
      <c r="D48">
        <f>IFERROR(MATCH($A48,PP_Grid[Intermediate],0),99999)</f>
        <v/>
      </c>
    </row>
    <row r="49">
      <c r="A49" t="inlineStr">
        <is>
          <t>TPP-613</t>
        </is>
      </c>
      <c r="B49" t="inlineStr">
        <is>
          <t>CHEM-1680</t>
        </is>
      </c>
      <c r="C49" t="n">
        <v>18.2460762</v>
      </c>
      <c r="D49">
        <f>IFERROR(MATCH($A49,PP_Grid[Intermediate],0),99999)</f>
        <v/>
      </c>
    </row>
    <row r="50">
      <c r="A50" t="inlineStr">
        <is>
          <t>TPP-613</t>
        </is>
      </c>
      <c r="B50" t="inlineStr">
        <is>
          <t>SOL-SH</t>
        </is>
      </c>
      <c r="C50" t="n">
        <v>4.57974</v>
      </c>
      <c r="D50">
        <f>IFERROR(MATCH($A50,PP_Grid[Intermediate],0),99999)</f>
        <v/>
      </c>
    </row>
    <row r="51">
      <c r="A51" t="inlineStr">
        <is>
          <t>TPP-635</t>
        </is>
      </c>
      <c r="B51" t="inlineStr">
        <is>
          <t>CHEM-1770</t>
        </is>
      </c>
      <c r="C51" t="n">
        <v>44.2161826</v>
      </c>
      <c r="D51">
        <f>IFERROR(MATCH($A51,PP_Grid[Intermediate],0),99999)</f>
        <v/>
      </c>
    </row>
    <row r="52">
      <c r="A52" t="inlineStr">
        <is>
          <t>TPP-635</t>
        </is>
      </c>
      <c r="B52" t="inlineStr">
        <is>
          <t>SOL-10H</t>
        </is>
      </c>
      <c r="C52" t="n">
        <v>11.031805</v>
      </c>
      <c r="D52">
        <f>IFERROR(MATCH($A52,PP_Grid[Intermediate],0),99999)</f>
        <v/>
      </c>
    </row>
    <row r="53">
      <c r="A53" t="inlineStr">
        <is>
          <t>TPP-649</t>
        </is>
      </c>
      <c r="B53" t="inlineStr">
        <is>
          <t>SOL-10H</t>
        </is>
      </c>
      <c r="C53" t="n">
        <v>64.43164</v>
      </c>
      <c r="D53">
        <f>IFERROR(MATCH($A53,PP_Grid[Intermediate],0),99999)</f>
        <v/>
      </c>
    </row>
    <row r="54">
      <c r="A54" t="inlineStr">
        <is>
          <t>TPP-650</t>
        </is>
      </c>
      <c r="B54" t="inlineStr">
        <is>
          <t>CHEM-1530</t>
        </is>
      </c>
      <c r="C54" t="n">
        <v>36.2112768</v>
      </c>
      <c r="D54">
        <f>IFERROR(MATCH($A54,PP_Grid[Intermediate],0),99999)</f>
        <v/>
      </c>
    </row>
    <row r="55">
      <c r="A55" t="inlineStr">
        <is>
          <t>TPP-699</t>
        </is>
      </c>
      <c r="B55" t="inlineStr">
        <is>
          <t>CHEM-1010</t>
        </is>
      </c>
      <c r="C55" t="n">
        <v>0.45714059958</v>
      </c>
      <c r="D55">
        <f>IFERROR(MATCH($A55,PP_Grid[Intermediate],0),99999)</f>
        <v/>
      </c>
    </row>
    <row r="56">
      <c r="A56" t="inlineStr">
        <is>
          <t>TPP-699</t>
        </is>
      </c>
      <c r="B56" t="inlineStr">
        <is>
          <t>SOL-20P</t>
        </is>
      </c>
      <c r="C56" t="n">
        <v>18.758334</v>
      </c>
      <c r="D56">
        <f>IFERROR(MATCH($A56,PP_Grid[Intermediate],0),99999)</f>
        <v/>
      </c>
    </row>
    <row r="57">
      <c r="A57" t="inlineStr">
        <is>
          <t>TPP-700</t>
        </is>
      </c>
      <c r="B57" t="inlineStr">
        <is>
          <t>CHEM-1010</t>
        </is>
      </c>
      <c r="C57" t="n">
        <v>0.389266394163</v>
      </c>
      <c r="D57">
        <f>IFERROR(MATCH($A57,PP_Grid[Intermediate],0),99999)</f>
        <v/>
      </c>
    </row>
    <row r="58">
      <c r="A58" t="inlineStr">
        <is>
          <t>TPP-700</t>
        </is>
      </c>
      <c r="B58" t="inlineStr">
        <is>
          <t>SOL-20P</t>
        </is>
      </c>
      <c r="C58" t="n">
        <v>15.9731799</v>
      </c>
      <c r="D58">
        <f>IFERROR(MATCH($A58,PP_Grid[Intermediate],0),99999)</f>
        <v/>
      </c>
    </row>
    <row r="59">
      <c r="A59" t="inlineStr">
        <is>
          <t>TPP-701</t>
        </is>
      </c>
      <c r="B59" t="inlineStr">
        <is>
          <t>CHEM-1010</t>
        </is>
      </c>
      <c r="C59" t="n">
        <v>0.289077088657</v>
      </c>
      <c r="D59">
        <f>IFERROR(MATCH($A59,PP_Grid[Intermediate],0),99999)</f>
        <v/>
      </c>
    </row>
    <row r="60">
      <c r="A60" t="inlineStr">
        <is>
          <t>TPP-701</t>
        </is>
      </c>
      <c r="B60" t="inlineStr">
        <is>
          <t>SOL-20P</t>
        </is>
      </c>
      <c r="C60" t="n">
        <v>11.8620061</v>
      </c>
      <c r="D60">
        <f>IFERROR(MATCH($A60,PP_Grid[Intermediate],0),99999)</f>
        <v/>
      </c>
    </row>
    <row r="61">
      <c r="A61" t="inlineStr">
        <is>
          <t>TPP-825</t>
        </is>
      </c>
      <c r="B61" t="inlineStr">
        <is>
          <t>CHEM-1010</t>
        </is>
      </c>
      <c r="C61" t="n">
        <v>0.17015994261</v>
      </c>
      <c r="D61">
        <f>IFERROR(MATCH($A61,PP_Grid[Intermediate],0),99999)</f>
        <v/>
      </c>
    </row>
    <row r="62">
      <c r="A62" t="inlineStr">
        <is>
          <t>TPP-825</t>
        </is>
      </c>
      <c r="B62" t="inlineStr">
        <is>
          <t>SOL-20P</t>
        </is>
      </c>
      <c r="C62" t="n">
        <v>6.982353</v>
      </c>
      <c r="D62">
        <f>IFERROR(MATCH($A62,PP_Grid[Intermediate],0),99999)</f>
        <v/>
      </c>
    </row>
    <row r="63">
      <c r="A63" t="inlineStr">
        <is>
          <t>TPP-911</t>
        </is>
      </c>
      <c r="B63" t="inlineStr">
        <is>
          <t>CHEM-1730</t>
        </is>
      </c>
      <c r="C63" t="n">
        <v>51.793294</v>
      </c>
      <c r="D63">
        <f>IFERROR(MATCH($A63,PP_Grid[Intermediate],0),99999)</f>
        <v/>
      </c>
    </row>
    <row r="64">
      <c r="A64" t="inlineStr">
        <is>
          <t>TPP-912</t>
        </is>
      </c>
      <c r="B64" t="inlineStr">
        <is>
          <t>CHEM-1730</t>
        </is>
      </c>
      <c r="C64" t="n">
        <v>52.1702223</v>
      </c>
      <c r="D64">
        <f>IFERROR(MATCH($A64,PP_Grid[Intermediate],0),99999)</f>
        <v/>
      </c>
    </row>
    <row r="65">
      <c r="A65" t="inlineStr">
        <is>
          <t>TPP-914</t>
        </is>
      </c>
      <c r="B65" t="inlineStr">
        <is>
          <t>CHEM-1680</t>
        </is>
      </c>
      <c r="C65" t="n">
        <v>26.309129</v>
      </c>
      <c r="D65">
        <f>IFERROR(MATCH($A65,PP_Grid[Intermediate],0),99999)</f>
        <v/>
      </c>
    </row>
    <row r="66">
      <c r="A66" t="inlineStr">
        <is>
          <t>TPP-914</t>
        </is>
      </c>
      <c r="B66" t="inlineStr">
        <is>
          <t>SOL-SH</t>
        </is>
      </c>
      <c r="C66" t="n">
        <v>6.4201879</v>
      </c>
      <c r="D66">
        <f>IFERROR(MATCH($A66,PP_Grid[Intermediate],0),99999)</f>
        <v/>
      </c>
    </row>
    <row r="67">
      <c r="A67" t="inlineStr">
        <is>
          <t>TPP-915</t>
        </is>
      </c>
      <c r="B67" t="inlineStr">
        <is>
          <t>CHEM-1680</t>
        </is>
      </c>
      <c r="C67" t="n">
        <v>26.00403</v>
      </c>
      <c r="D67">
        <f>IFERROR(MATCH($A67,PP_Grid[Intermediate],0),99999)</f>
        <v/>
      </c>
    </row>
    <row r="68">
      <c r="A68" t="inlineStr">
        <is>
          <t>TPP-915</t>
        </is>
      </c>
      <c r="B68" t="inlineStr">
        <is>
          <t>SOL-SH</t>
        </is>
      </c>
      <c r="C68" t="n">
        <v>4.758195000000001</v>
      </c>
      <c r="D68">
        <f>IFERROR(MATCH($A68,PP_Grid[Intermediate],0),99999)</f>
        <v/>
      </c>
    </row>
    <row r="69">
      <c r="A69" t="inlineStr">
        <is>
          <t>TPP-916</t>
        </is>
      </c>
      <c r="B69" t="inlineStr">
        <is>
          <t>CHEM-1680</t>
        </is>
      </c>
      <c r="C69" t="n">
        <v>26.6313344</v>
      </c>
      <c r="D69">
        <f>IFERROR(MATCH($A69,PP_Grid[Intermediate],0),99999)</f>
        <v/>
      </c>
    </row>
    <row r="70">
      <c r="A70" t="inlineStr">
        <is>
          <t>TPP-916</t>
        </is>
      </c>
      <c r="B70" t="inlineStr">
        <is>
          <t>SOL-SH</t>
        </is>
      </c>
      <c r="C70" t="n">
        <v>2.9244617</v>
      </c>
      <c r="D70">
        <f>IFERROR(MATCH($A70,PP_Grid[Intermediate],0),99999)</f>
        <v/>
      </c>
    </row>
    <row r="71">
      <c r="A71" t="inlineStr">
        <is>
          <t>TPP-917</t>
        </is>
      </c>
      <c r="B71" t="inlineStr">
        <is>
          <t>CHEM-1680</t>
        </is>
      </c>
      <c r="C71" t="n">
        <v>26.6374443</v>
      </c>
      <c r="D71">
        <f>IFERROR(MATCH($A71,PP_Grid[Intermediate],0),99999)</f>
        <v/>
      </c>
    </row>
    <row r="72">
      <c r="A72" t="inlineStr">
        <is>
          <t>TPP-917</t>
        </is>
      </c>
      <c r="B72" t="inlineStr">
        <is>
          <t>SOL-SH</t>
        </is>
      </c>
      <c r="C72" t="n">
        <v>1.9500348</v>
      </c>
      <c r="D72">
        <f>IFERROR(MATCH($A72,PP_Grid[Intermediate],0),99999)</f>
        <v/>
      </c>
    </row>
    <row r="73">
      <c r="A73" t="inlineStr">
        <is>
          <t>TPP-919</t>
        </is>
      </c>
      <c r="B73" t="inlineStr">
        <is>
          <t>CHEM-1680</t>
        </is>
      </c>
      <c r="C73" t="n">
        <v>17.8174016</v>
      </c>
      <c r="D73">
        <f>IFERROR(MATCH($A73,PP_Grid[Intermediate],0),99999)</f>
        <v/>
      </c>
    </row>
    <row r="74">
      <c r="A74" t="inlineStr">
        <is>
          <t>TPP-919</t>
        </is>
      </c>
      <c r="B74" t="inlineStr">
        <is>
          <t>SOL-SH</t>
        </is>
      </c>
      <c r="C74" t="n">
        <v>5.929076800000001</v>
      </c>
      <c r="D74">
        <f>IFERROR(MATCH($A74,PP_Grid[Intermediate],0),99999)</f>
        <v/>
      </c>
    </row>
    <row r="75">
      <c r="A75" t="inlineStr">
        <is>
          <t>TPP-920</t>
        </is>
      </c>
      <c r="B75" t="inlineStr">
        <is>
          <t>CHEM-1680</t>
        </is>
      </c>
      <c r="C75" t="n">
        <v>18.4822975</v>
      </c>
      <c r="D75">
        <f>IFERROR(MATCH($A75,PP_Grid[Intermediate],0),99999)</f>
        <v/>
      </c>
    </row>
    <row r="76">
      <c r="A76" t="inlineStr">
        <is>
          <t>TPP-920</t>
        </is>
      </c>
      <c r="B76" t="inlineStr">
        <is>
          <t>SOL-SH</t>
        </is>
      </c>
      <c r="C76" t="n">
        <v>4.61358</v>
      </c>
      <c r="D76">
        <f>IFERROR(MATCH($A76,PP_Grid[Intermediate],0),99999)</f>
        <v/>
      </c>
    </row>
    <row r="77">
      <c r="A77" t="inlineStr">
        <is>
          <t>TPP-922</t>
        </is>
      </c>
      <c r="B77" t="inlineStr">
        <is>
          <t>CHEM-1680</t>
        </is>
      </c>
      <c r="C77" t="n">
        <v>18.1628537</v>
      </c>
      <c r="D77">
        <f>IFERROR(MATCH($A77,PP_Grid[Intermediate],0),99999)</f>
        <v/>
      </c>
    </row>
    <row r="78">
      <c r="A78" t="inlineStr">
        <is>
          <t>TPP-922</t>
        </is>
      </c>
      <c r="B78" t="inlineStr">
        <is>
          <t>SOL-SH</t>
        </is>
      </c>
      <c r="C78" t="n">
        <v>2.7198375</v>
      </c>
      <c r="D78">
        <f>IFERROR(MATCH($A78,PP_Grid[Intermediate],0),99999)</f>
        <v/>
      </c>
    </row>
    <row r="79">
      <c r="A79" t="inlineStr">
        <is>
          <t>TPP-923</t>
        </is>
      </c>
      <c r="B79" t="inlineStr">
        <is>
          <t>CHEM-1680</t>
        </is>
      </c>
      <c r="C79" t="n">
        <v>18.1668804</v>
      </c>
      <c r="D79">
        <f>IFERROR(MATCH($A79,PP_Grid[Intermediate],0),99999)</f>
        <v/>
      </c>
    </row>
    <row r="80">
      <c r="A80" t="inlineStr">
        <is>
          <t>TPP-923</t>
        </is>
      </c>
      <c r="B80" t="inlineStr">
        <is>
          <t>SOL-SH</t>
        </is>
      </c>
      <c r="C80" t="n">
        <v>1.8136488</v>
      </c>
      <c r="D80">
        <f>IFERROR(MATCH($A80,PP_Grid[Intermediate],0),99999)</f>
        <v/>
      </c>
    </row>
    <row r="81">
      <c r="A81" t="inlineStr">
        <is>
          <t>TPP-968</t>
        </is>
      </c>
      <c r="B81" t="inlineStr">
        <is>
          <t>SOL-10H</t>
        </is>
      </c>
      <c r="C81" t="n">
        <v>44.5010634</v>
      </c>
      <c r="D81">
        <f>IFERROR(MATCH($A81,PP_Grid[Intermediate],0),99999)</f>
        <v/>
      </c>
    </row>
    <row r="82">
      <c r="A82" t="inlineStr">
        <is>
          <t>TSP-049</t>
        </is>
      </c>
      <c r="B82" t="inlineStr">
        <is>
          <t>CHEM-1010</t>
        </is>
      </c>
      <c r="C82" t="n">
        <v>0.5394137926899999</v>
      </c>
      <c r="D82">
        <f>IFERROR(MATCH($A82,PP_Grid[Intermediate],0),99999)</f>
        <v/>
      </c>
    </row>
    <row r="83">
      <c r="A83" t="inlineStr">
        <is>
          <t>TSP-049</t>
        </is>
      </c>
      <c r="B83" t="inlineStr">
        <is>
          <t>CHEM-1120</t>
        </is>
      </c>
      <c r="C83" t="n">
        <v>6.329365999999999</v>
      </c>
      <c r="D83">
        <f>IFERROR(MATCH($A83,PP_Grid[Intermediate],0),99999)</f>
        <v/>
      </c>
    </row>
    <row r="84">
      <c r="A84" t="inlineStr">
        <is>
          <t>TSP-049</t>
        </is>
      </c>
      <c r="B84" t="inlineStr">
        <is>
          <t>CHEM-1250</t>
        </is>
      </c>
      <c r="C84" t="n">
        <v>4.557205</v>
      </c>
      <c r="D84">
        <f>IFERROR(MATCH($A84,PP_Grid[Intermediate],0),99999)</f>
        <v/>
      </c>
    </row>
    <row r="85">
      <c r="A85" t="inlineStr">
        <is>
          <t>TSP-049</t>
        </is>
      </c>
      <c r="B85" t="inlineStr">
        <is>
          <t>CHEM-1420</t>
        </is>
      </c>
      <c r="C85" t="n">
        <v>0.3074</v>
      </c>
      <c r="D85">
        <f>IFERROR(MATCH($A85,PP_Grid[Intermediate],0),99999)</f>
        <v/>
      </c>
    </row>
    <row r="86">
      <c r="A86" t="inlineStr">
        <is>
          <t>TSP-049</t>
        </is>
      </c>
      <c r="B86" t="inlineStr">
        <is>
          <t>CHEM-1440</t>
        </is>
      </c>
      <c r="C86" t="n">
        <v>0.4841549999999999</v>
      </c>
      <c r="D86">
        <f>IFERROR(MATCH($A86,PP_Grid[Intermediate],0),99999)</f>
        <v/>
      </c>
    </row>
    <row r="87">
      <c r="A87" t="inlineStr">
        <is>
          <t>TSP-049</t>
        </is>
      </c>
      <c r="B87" t="inlineStr">
        <is>
          <t>SOL-20P</t>
        </is>
      </c>
      <c r="C87" t="n">
        <v>22.134337</v>
      </c>
      <c r="D87">
        <f>IFERROR(MATCH($A87,PP_Grid[Intermediate],0),99999)</f>
        <v/>
      </c>
    </row>
    <row r="88">
      <c r="A88" t="inlineStr">
        <is>
          <t>TSP-050</t>
        </is>
      </c>
      <c r="B88" t="inlineStr">
        <is>
          <t>CHEM-1400</t>
        </is>
      </c>
      <c r="C88" t="n">
        <v>7.816630514999999</v>
      </c>
      <c r="D88">
        <f>IFERROR(MATCH($A88,PP_Grid[Intermediate],0),99999)</f>
        <v/>
      </c>
    </row>
    <row r="89">
      <c r="A89" t="inlineStr">
        <is>
          <t>TSP-050</t>
        </is>
      </c>
      <c r="B89" t="inlineStr">
        <is>
          <t>CHEM-1420</t>
        </is>
      </c>
      <c r="C89" t="n">
        <v>2.240138105</v>
      </c>
      <c r="D89">
        <f>IFERROR(MATCH($A89,PP_Grid[Intermediate],0),99999)</f>
        <v/>
      </c>
    </row>
    <row r="90">
      <c r="A90" t="inlineStr">
        <is>
          <t>TSP-050</t>
        </is>
      </c>
      <c r="B90" t="inlineStr">
        <is>
          <t>CHEM-1430</t>
        </is>
      </c>
      <c r="C90" t="n">
        <v>68.3308098</v>
      </c>
      <c r="D90">
        <f>IFERROR(MATCH($A90,PP_Grid[Intermediate],0),99999)</f>
        <v/>
      </c>
    </row>
    <row r="91">
      <c r="A91" t="inlineStr">
        <is>
          <t>TSP-050</t>
        </is>
      </c>
      <c r="B91" t="inlineStr">
        <is>
          <t>SOL-10H</t>
        </is>
      </c>
      <c r="C91" t="n">
        <v>28.100690275</v>
      </c>
      <c r="D91">
        <f>IFERROR(MATCH($A91,PP_Grid[Intermediate],0),99999)</f>
        <v/>
      </c>
    </row>
    <row r="92">
      <c r="A92" t="inlineStr">
        <is>
          <t>TSP-067</t>
        </is>
      </c>
      <c r="B92" t="inlineStr">
        <is>
          <t>CHEM-1010</t>
        </is>
      </c>
      <c r="C92" t="n">
        <v>0.9063842468800001</v>
      </c>
      <c r="D92">
        <f>IFERROR(MATCH($A92,PP_Grid[Intermediate],0),99999)</f>
        <v/>
      </c>
    </row>
    <row r="93">
      <c r="A93" t="inlineStr">
        <is>
          <t>TSP-067</t>
        </is>
      </c>
      <c r="B93" t="inlineStr">
        <is>
          <t>CHEM-1120</t>
        </is>
      </c>
      <c r="C93" t="n">
        <v>4.253564</v>
      </c>
      <c r="D93">
        <f>IFERROR(MATCH($A93,PP_Grid[Intermediate],0),99999)</f>
        <v/>
      </c>
    </row>
    <row r="94">
      <c r="A94" t="inlineStr">
        <is>
          <t>TSP-067</t>
        </is>
      </c>
      <c r="B94" t="inlineStr">
        <is>
          <t>CHEM-1250</t>
        </is>
      </c>
      <c r="C94" t="n">
        <v>10.211824</v>
      </c>
      <c r="D94">
        <f>IFERROR(MATCH($A94,PP_Grid[Intermediate],0),99999)</f>
        <v/>
      </c>
    </row>
    <row r="95">
      <c r="A95" t="inlineStr">
        <is>
          <t>TSP-067</t>
        </is>
      </c>
      <c r="B95" t="inlineStr">
        <is>
          <t>CHEM-1420</t>
        </is>
      </c>
      <c r="C95" t="n">
        <v>0.502824</v>
      </c>
      <c r="D95">
        <f>IFERROR(MATCH($A95,PP_Grid[Intermediate],0),99999)</f>
        <v/>
      </c>
    </row>
    <row r="96">
      <c r="A96" t="inlineStr">
        <is>
          <t>TSP-067</t>
        </is>
      </c>
      <c r="B96" t="inlineStr">
        <is>
          <t>CHEM-1440</t>
        </is>
      </c>
      <c r="C96" t="n">
        <v>0.502824</v>
      </c>
      <c r="D96">
        <f>IFERROR(MATCH($A96,PP_Grid[Intermediate],0),99999)</f>
        <v/>
      </c>
    </row>
    <row r="97">
      <c r="A97" t="inlineStr">
        <is>
          <t>TSP-067</t>
        </is>
      </c>
      <c r="B97" t="inlineStr">
        <is>
          <t>SOL-20P</t>
        </is>
      </c>
      <c r="C97" t="n">
        <v>37.192624</v>
      </c>
      <c r="D97">
        <f>IFERROR(MATCH($A97,PP_Grid[Intermediate],0),99999)</f>
        <v/>
      </c>
    </row>
    <row r="98">
      <c r="A98" t="inlineStr">
        <is>
          <t>TSP-069</t>
        </is>
      </c>
      <c r="B98" t="inlineStr">
        <is>
          <t>CHEM-1010</t>
        </is>
      </c>
      <c r="C98" t="n">
        <v>0.6251084874726299</v>
      </c>
      <c r="D98">
        <f>IFERROR(MATCH($A98,PP_Grid[Intermediate],0),99999)</f>
        <v/>
      </c>
    </row>
    <row r="99">
      <c r="A99" t="inlineStr">
        <is>
          <t>TSP-069</t>
        </is>
      </c>
      <c r="B99" t="inlineStr">
        <is>
          <t>CHEM-1120</t>
        </is>
      </c>
      <c r="C99" t="n">
        <v>4.400846457</v>
      </c>
      <c r="D99">
        <f>IFERROR(MATCH($A99,PP_Grid[Intermediate],0),99999)</f>
        <v/>
      </c>
    </row>
    <row r="100">
      <c r="A100" t="inlineStr">
        <is>
          <t>TSP-069</t>
        </is>
      </c>
      <c r="B100" t="inlineStr">
        <is>
          <t>CHEM-1250</t>
        </is>
      </c>
      <c r="C100" t="n">
        <v>10.563925239</v>
      </c>
      <c r="D100">
        <f>IFERROR(MATCH($A100,PP_Grid[Intermediate],0),99999)</f>
        <v/>
      </c>
    </row>
    <row r="101">
      <c r="A101" t="inlineStr">
        <is>
          <t>TSP-069</t>
        </is>
      </c>
      <c r="B101" t="inlineStr">
        <is>
          <t>CHEM-1420</t>
        </is>
      </c>
      <c r="C101" t="n">
        <v>0.5260395</v>
      </c>
      <c r="D101">
        <f>IFERROR(MATCH($A101,PP_Grid[Intermediate],0),99999)</f>
        <v/>
      </c>
    </row>
    <row r="102">
      <c r="A102" t="inlineStr">
        <is>
          <t>TSP-069</t>
        </is>
      </c>
      <c r="B102" t="inlineStr">
        <is>
          <t>CHEM-1440</t>
        </is>
      </c>
      <c r="C102" t="n">
        <v>0.3156237</v>
      </c>
      <c r="D102">
        <f>IFERROR(MATCH($A102,PP_Grid[Intermediate],0),99999)</f>
        <v/>
      </c>
    </row>
    <row r="103">
      <c r="A103" t="inlineStr">
        <is>
          <t>TSP-069</t>
        </is>
      </c>
      <c r="B103" t="inlineStr">
        <is>
          <t>SOL-20P</t>
        </is>
      </c>
      <c r="C103" t="n">
        <v>25.650738099</v>
      </c>
      <c r="D103">
        <f>IFERROR(MATCH($A103,PP_Grid[Intermediate],0),99999)</f>
        <v/>
      </c>
    </row>
    <row r="104">
      <c r="A104" t="inlineStr">
        <is>
          <t>TSP-078</t>
        </is>
      </c>
      <c r="B104" t="inlineStr">
        <is>
          <t>CHEM-1400</t>
        </is>
      </c>
      <c r="C104" t="n">
        <v>11.618775</v>
      </c>
      <c r="D104">
        <f>IFERROR(MATCH($A104,PP_Grid[Intermediate],0),99999)</f>
        <v/>
      </c>
    </row>
    <row r="105">
      <c r="A105" t="inlineStr">
        <is>
          <t>TSP-078</t>
        </is>
      </c>
      <c r="B105" t="inlineStr">
        <is>
          <t>CHEM-1420</t>
        </is>
      </c>
      <c r="C105" t="n">
        <v>3.00645</v>
      </c>
      <c r="D105">
        <f>IFERROR(MATCH($A105,PP_Grid[Intermediate],0),99999)</f>
        <v/>
      </c>
    </row>
    <row r="106">
      <c r="A106" t="inlineStr">
        <is>
          <t>TSP-078</t>
        </is>
      </c>
      <c r="B106" t="inlineStr">
        <is>
          <t>CHEM-1430</t>
        </is>
      </c>
      <c r="C106" t="n">
        <v>16.92765</v>
      </c>
      <c r="D106">
        <f>IFERROR(MATCH($A106,PP_Grid[Intermediate],0),99999)</f>
        <v/>
      </c>
    </row>
    <row r="107">
      <c r="A107" t="inlineStr">
        <is>
          <t>TSP-078</t>
        </is>
      </c>
      <c r="B107" t="inlineStr">
        <is>
          <t>SOL-10H</t>
        </is>
      </c>
      <c r="C107" t="n">
        <v>55.6929</v>
      </c>
      <c r="D107">
        <f>IFERROR(MATCH($A107,PP_Grid[Intermediate],0),99999)</f>
        <v/>
      </c>
    </row>
    <row r="108">
      <c r="A108" t="inlineStr">
        <is>
          <t>TSP-080</t>
        </is>
      </c>
      <c r="B108" t="inlineStr">
        <is>
          <t>CHEM-1400</t>
        </is>
      </c>
      <c r="C108" t="n">
        <v>13.864347</v>
      </c>
      <c r="D108">
        <f>IFERROR(MATCH($A108,PP_Grid[Intermediate],0),99999)</f>
        <v/>
      </c>
    </row>
    <row r="109">
      <c r="A109" t="inlineStr">
        <is>
          <t>TSP-080</t>
        </is>
      </c>
      <c r="B109" t="inlineStr">
        <is>
          <t>CHEM-1420</t>
        </is>
      </c>
      <c r="C109" t="n">
        <v>3.7662485</v>
      </c>
      <c r="D109">
        <f>IFERROR(MATCH($A109,PP_Grid[Intermediate],0),99999)</f>
        <v/>
      </c>
    </row>
    <row r="110">
      <c r="A110" t="inlineStr">
        <is>
          <t>TSP-080</t>
        </is>
      </c>
      <c r="B110" t="inlineStr">
        <is>
          <t>CHEM-1430</t>
        </is>
      </c>
      <c r="C110" t="n">
        <v>20.2002045</v>
      </c>
      <c r="D110">
        <f>IFERROR(MATCH($A110,PP_Grid[Intermediate],0),99999)</f>
        <v/>
      </c>
    </row>
    <row r="111">
      <c r="A111" t="inlineStr">
        <is>
          <t>TSP-080</t>
        </is>
      </c>
      <c r="B111" t="inlineStr">
        <is>
          <t>SOL-10H</t>
        </is>
      </c>
      <c r="C111" t="n">
        <v>33.22938850000001</v>
      </c>
      <c r="D111">
        <f>IFERROR(MATCH($A111,PP_Grid[Intermediate],0),99999)</f>
        <v/>
      </c>
    </row>
    <row r="112">
      <c r="A112" t="inlineStr">
        <is>
          <t>TSP-104</t>
        </is>
      </c>
      <c r="B112" t="inlineStr">
        <is>
          <t>CHEM-1110</t>
        </is>
      </c>
      <c r="C112" t="n">
        <v>23.482534838334</v>
      </c>
      <c r="D112">
        <f>IFERROR(MATCH($A112,PP_Grid[Intermediate],0),99999)</f>
        <v/>
      </c>
    </row>
    <row r="113">
      <c r="A113" t="inlineStr">
        <is>
          <t>TSP-104</t>
        </is>
      </c>
      <c r="B113" t="inlineStr">
        <is>
          <t>CHEM-1120</t>
        </is>
      </c>
      <c r="C113" t="n">
        <v>3.49105328</v>
      </c>
      <c r="D113">
        <f>IFERROR(MATCH($A113,PP_Grid[Intermediate],0),99999)</f>
        <v/>
      </c>
    </row>
    <row r="114">
      <c r="A114" t="inlineStr">
        <is>
          <t>TSP-104</t>
        </is>
      </c>
      <c r="B114" t="inlineStr">
        <is>
          <t>CHEM-1250</t>
        </is>
      </c>
      <c r="C114" t="n">
        <v>10.05518228</v>
      </c>
      <c r="D114">
        <f>IFERROR(MATCH($A114,PP_Grid[Intermediate],0),99999)</f>
        <v/>
      </c>
    </row>
    <row r="115">
      <c r="A115" t="inlineStr">
        <is>
          <t>TSP-104</t>
        </is>
      </c>
      <c r="B115" t="inlineStr">
        <is>
          <t>CHEM-1420</t>
        </is>
      </c>
      <c r="C115" t="n">
        <v>0.24784188</v>
      </c>
      <c r="D115">
        <f>IFERROR(MATCH($A115,PP_Grid[Intermediate],0),99999)</f>
        <v/>
      </c>
    </row>
    <row r="116">
      <c r="A116" t="inlineStr">
        <is>
          <t>TSP-104</t>
        </is>
      </c>
      <c r="B116" t="inlineStr">
        <is>
          <t>CHEM-1440</t>
        </is>
      </c>
      <c r="C116" t="n">
        <v>0.8179600000000001</v>
      </c>
      <c r="D116">
        <f>IFERROR(MATCH($A116,PP_Grid[Intermediate],0),99999)</f>
        <v/>
      </c>
    </row>
    <row r="117">
      <c r="A117" t="inlineStr">
        <is>
          <t>TSP-104</t>
        </is>
      </c>
      <c r="B117" t="inlineStr">
        <is>
          <t>TPP-103</t>
        </is>
      </c>
      <c r="C117" t="n">
        <v>69.40308804</v>
      </c>
      <c r="D117">
        <f>IFERROR(MATCH($A117,PP_Grid[Intermediate],0),99999)</f>
        <v/>
      </c>
    </row>
    <row r="118">
      <c r="A118" t="inlineStr">
        <is>
          <t>TSP-105</t>
        </is>
      </c>
      <c r="B118" t="inlineStr">
        <is>
          <t>CHEM-1400</t>
        </is>
      </c>
      <c r="C118" t="n">
        <v>3.62784</v>
      </c>
      <c r="D118">
        <f>IFERROR(MATCH($A118,PP_Grid[Intermediate],0),99999)</f>
        <v/>
      </c>
    </row>
    <row r="119">
      <c r="A119" t="inlineStr">
        <is>
          <t>TSP-105</t>
        </is>
      </c>
      <c r="B119" t="inlineStr">
        <is>
          <t>CHEM-1420</t>
        </is>
      </c>
      <c r="C119" t="n">
        <v>1.60032</v>
      </c>
      <c r="D119">
        <f>IFERROR(MATCH($A119,PP_Grid[Intermediate],0),99999)</f>
        <v/>
      </c>
    </row>
    <row r="120">
      <c r="A120" t="inlineStr">
        <is>
          <t>TSP-105</t>
        </is>
      </c>
      <c r="B120" t="inlineStr">
        <is>
          <t>CHEM-1430</t>
        </is>
      </c>
      <c r="C120" t="n">
        <v>70.48128</v>
      </c>
      <c r="D120">
        <f>IFERROR(MATCH($A120,PP_Grid[Intermediate],0),99999)</f>
        <v/>
      </c>
    </row>
    <row r="121">
      <c r="A121" t="inlineStr">
        <is>
          <t>TSP-105</t>
        </is>
      </c>
      <c r="B121" t="inlineStr">
        <is>
          <t>SOL-10H</t>
        </is>
      </c>
      <c r="C121" t="n">
        <v>28.98528</v>
      </c>
      <c r="D121">
        <f>IFERROR(MATCH($A121,PP_Grid[Intermediate],0),99999)</f>
        <v/>
      </c>
    </row>
    <row r="122">
      <c r="A122" t="inlineStr">
        <is>
          <t>TSP-1388</t>
        </is>
      </c>
      <c r="B122" t="inlineStr">
        <is>
          <t>CHEM-1420</t>
        </is>
      </c>
      <c r="C122" t="n">
        <v>0.3465</v>
      </c>
      <c r="D122">
        <f>IFERROR(MATCH($A122,PP_Grid[Intermediate],0),99999)</f>
        <v/>
      </c>
    </row>
    <row r="123">
      <c r="A123" t="inlineStr">
        <is>
          <t>TSP-1388</t>
        </is>
      </c>
      <c r="B123" t="inlineStr">
        <is>
          <t>CHEM-1440</t>
        </is>
      </c>
      <c r="C123" t="n">
        <v>1.5015</v>
      </c>
      <c r="D123">
        <f>IFERROR(MATCH($A123,PP_Grid[Intermediate],0),99999)</f>
        <v/>
      </c>
    </row>
    <row r="124">
      <c r="A124" t="inlineStr">
        <is>
          <t>TSP-1388</t>
        </is>
      </c>
      <c r="B124" t="inlineStr">
        <is>
          <t>CHEM-1510</t>
        </is>
      </c>
      <c r="C124" t="n">
        <v>0.3782642556</v>
      </c>
      <c r="D124">
        <f>IFERROR(MATCH($A124,PP_Grid[Intermediate],0),99999)</f>
        <v/>
      </c>
    </row>
    <row r="125">
      <c r="A125" t="inlineStr">
        <is>
          <t>TSP-1388</t>
        </is>
      </c>
      <c r="B125" t="inlineStr">
        <is>
          <t>CHEM-1570</t>
        </is>
      </c>
      <c r="C125" t="n">
        <v>0.01261722</v>
      </c>
      <c r="D125">
        <f>IFERROR(MATCH($A125,PP_Grid[Intermediate],0),99999)</f>
        <v/>
      </c>
    </row>
    <row r="126">
      <c r="A126" t="inlineStr">
        <is>
          <t>TSP-1388</t>
        </is>
      </c>
      <c r="B126" t="inlineStr">
        <is>
          <t>CHEM-1600</t>
        </is>
      </c>
      <c r="C126" t="n">
        <v>12.887859369</v>
      </c>
      <c r="D126">
        <f>IFERROR(MATCH($A126,PP_Grid[Intermediate],0),99999)</f>
        <v/>
      </c>
    </row>
    <row r="127">
      <c r="A127" t="inlineStr">
        <is>
          <t>TSP-1388</t>
        </is>
      </c>
      <c r="B127" t="inlineStr">
        <is>
          <t>CHEM-1650</t>
        </is>
      </c>
      <c r="C127" t="n">
        <v>0.118965</v>
      </c>
      <c r="D127">
        <f>IFERROR(MATCH($A127,PP_Grid[Intermediate],0),99999)</f>
        <v/>
      </c>
    </row>
    <row r="128">
      <c r="A128" t="inlineStr">
        <is>
          <t>TSP-1388</t>
        </is>
      </c>
      <c r="B128" t="inlineStr">
        <is>
          <t>CHEM-1700</t>
        </is>
      </c>
      <c r="C128" t="n">
        <v>1.7325</v>
      </c>
      <c r="D128">
        <f>IFERROR(MATCH($A128,PP_Grid[Intermediate],0),99999)</f>
        <v/>
      </c>
    </row>
    <row r="129">
      <c r="A129" t="inlineStr">
        <is>
          <t>TSP-1388</t>
        </is>
      </c>
      <c r="B129" t="inlineStr">
        <is>
          <t>TSZ-616</t>
        </is>
      </c>
      <c r="C129" t="n">
        <v>12.61722</v>
      </c>
      <c r="D129">
        <f>IFERROR(MATCH($A129,PP_Grid[Intermediate],0),99999)</f>
        <v/>
      </c>
    </row>
    <row r="130">
      <c r="A130" t="inlineStr">
        <is>
          <t>TSP-1444</t>
        </is>
      </c>
      <c r="B130" t="inlineStr">
        <is>
          <t>CHEM-1420</t>
        </is>
      </c>
      <c r="C130" t="n">
        <v>0.3879504</v>
      </c>
      <c r="D130">
        <f>IFERROR(MATCH($A130,PP_Grid[Intermediate],0),99999)</f>
        <v/>
      </c>
    </row>
    <row r="131">
      <c r="A131" t="inlineStr">
        <is>
          <t>TSP-1444</t>
        </is>
      </c>
      <c r="B131" t="inlineStr">
        <is>
          <t>CHEM-1440</t>
        </is>
      </c>
      <c r="C131" t="n">
        <v>2.070361968</v>
      </c>
      <c r="D131">
        <f>IFERROR(MATCH($A131,PP_Grid[Intermediate],0),99999)</f>
        <v/>
      </c>
    </row>
    <row r="132">
      <c r="A132" t="inlineStr">
        <is>
          <t>TSP-1444</t>
        </is>
      </c>
      <c r="B132" t="inlineStr">
        <is>
          <t>CHEM-1540</t>
        </is>
      </c>
      <c r="C132" t="n">
        <v>51.76551504</v>
      </c>
      <c r="D132">
        <f>IFERROR(MATCH($A132,PP_Grid[Intermediate],0),99999)</f>
        <v/>
      </c>
    </row>
    <row r="133">
      <c r="A133" t="inlineStr">
        <is>
          <t>TSP-1444</t>
        </is>
      </c>
      <c r="B133" t="inlineStr">
        <is>
          <t>CHEM-1670</t>
        </is>
      </c>
      <c r="C133" t="n">
        <v>5.164912992000001</v>
      </c>
      <c r="D133">
        <f>IFERROR(MATCH($A133,PP_Grid[Intermediate],0),99999)</f>
        <v/>
      </c>
    </row>
    <row r="134">
      <c r="A134" t="inlineStr">
        <is>
          <t>TSP-1444</t>
        </is>
      </c>
      <c r="B134" t="inlineStr">
        <is>
          <t>CHEM-1720</t>
        </is>
      </c>
      <c r="C134" t="n">
        <v>19.829438112</v>
      </c>
      <c r="D134">
        <f>IFERROR(MATCH($A134,PP_Grid[Intermediate],0),99999)</f>
        <v/>
      </c>
    </row>
    <row r="135">
      <c r="A135" t="inlineStr">
        <is>
          <t>TSP-1444</t>
        </is>
      </c>
      <c r="B135" t="inlineStr">
        <is>
          <t>SOL-SCH</t>
        </is>
      </c>
      <c r="C135" t="n">
        <v>20.51669183178624</v>
      </c>
      <c r="D135">
        <f>IFERROR(MATCH($A135,PP_Grid[Intermediate],0),99999)</f>
        <v/>
      </c>
    </row>
    <row r="136">
      <c r="A136" t="inlineStr">
        <is>
          <t>TSP-1444</t>
        </is>
      </c>
      <c r="B136" t="inlineStr">
        <is>
          <t>TPP-1367</t>
        </is>
      </c>
      <c r="C136" t="n">
        <v>26.381920368</v>
      </c>
      <c r="D136">
        <f>IFERROR(MATCH($A136,PP_Grid[Intermediate],0),99999)</f>
        <v/>
      </c>
    </row>
    <row r="137">
      <c r="A137" t="inlineStr">
        <is>
          <t>TSP-1445</t>
        </is>
      </c>
      <c r="B137" t="inlineStr">
        <is>
          <t>CHEM-1420</t>
        </is>
      </c>
      <c r="C137" t="n">
        <v>0.4685625</v>
      </c>
      <c r="D137">
        <f>IFERROR(MATCH($A137,PP_Grid[Intermediate],0),99999)</f>
        <v/>
      </c>
    </row>
    <row r="138">
      <c r="A138" t="inlineStr">
        <is>
          <t>TSP-1445</t>
        </is>
      </c>
      <c r="B138" t="inlineStr">
        <is>
          <t>CHEM-1440</t>
        </is>
      </c>
      <c r="C138" t="n">
        <v>2.14601625</v>
      </c>
      <c r="D138">
        <f>IFERROR(MATCH($A138,PP_Grid[Intermediate],0),99999)</f>
        <v/>
      </c>
    </row>
    <row r="139">
      <c r="A139" t="inlineStr">
        <is>
          <t>TSP-1445</t>
        </is>
      </c>
      <c r="B139" t="inlineStr">
        <is>
          <t>CHEM-1540</t>
        </is>
      </c>
      <c r="C139" t="n">
        <v>53.60221125</v>
      </c>
      <c r="D139">
        <f>IFERROR(MATCH($A139,PP_Grid[Intermediate],0),99999)</f>
        <v/>
      </c>
    </row>
    <row r="140">
      <c r="A140" t="inlineStr">
        <is>
          <t>TSP-1445</t>
        </is>
      </c>
      <c r="B140" t="inlineStr">
        <is>
          <t>CHEM-1670</t>
        </is>
      </c>
      <c r="C140" t="n">
        <v>5.346967500000001</v>
      </c>
      <c r="D140">
        <f>IFERROR(MATCH($A140,PP_Grid[Intermediate],0),99999)</f>
        <v/>
      </c>
    </row>
    <row r="141">
      <c r="A141" t="inlineStr">
        <is>
          <t>TSP-1445</t>
        </is>
      </c>
      <c r="B141" t="inlineStr">
        <is>
          <t>CHEM-1720</t>
        </is>
      </c>
      <c r="C141" t="n">
        <v>20.53240875</v>
      </c>
      <c r="D141">
        <f>IFERROR(MATCH($A141,PP_Grid[Intermediate],0),99999)</f>
        <v/>
      </c>
    </row>
    <row r="142">
      <c r="A142" t="inlineStr">
        <is>
          <t>TSP-1445</t>
        </is>
      </c>
      <c r="B142" t="inlineStr">
        <is>
          <t>SOL-SCH</t>
        </is>
      </c>
      <c r="C142" t="n">
        <v>18.313894662525</v>
      </c>
      <c r="D142">
        <f>IFERROR(MATCH($A142,PP_Grid[Intermediate],0),99999)</f>
        <v/>
      </c>
    </row>
    <row r="143">
      <c r="A143" t="inlineStr">
        <is>
          <t>TSP-1445</t>
        </is>
      </c>
      <c r="B143" t="inlineStr">
        <is>
          <t>TPP-1368</t>
        </is>
      </c>
      <c r="C143" t="n">
        <v>27.28774125</v>
      </c>
      <c r="D143">
        <f>IFERROR(MATCH($A143,PP_Grid[Intermediate],0),99999)</f>
        <v/>
      </c>
    </row>
    <row r="144">
      <c r="A144" t="inlineStr">
        <is>
          <t>TSP-1446</t>
        </is>
      </c>
      <c r="B144" t="inlineStr">
        <is>
          <t>CHEM-1420</t>
        </is>
      </c>
      <c r="C144" t="n">
        <v>0.5280625</v>
      </c>
      <c r="D144">
        <f>IFERROR(MATCH($A144,PP_Grid[Intermediate],0),99999)</f>
        <v/>
      </c>
    </row>
    <row r="145">
      <c r="A145" t="inlineStr">
        <is>
          <t>TSP-1446</t>
        </is>
      </c>
      <c r="B145" t="inlineStr">
        <is>
          <t>CHEM-1440</t>
        </is>
      </c>
      <c r="C145" t="n">
        <v>2.420035</v>
      </c>
      <c r="D145">
        <f>IFERROR(MATCH($A145,PP_Grid[Intermediate],0),99999)</f>
        <v/>
      </c>
    </row>
    <row r="146">
      <c r="A146" t="inlineStr">
        <is>
          <t>TSP-1446</t>
        </is>
      </c>
      <c r="B146" t="inlineStr">
        <is>
          <t>CHEM-1540</t>
        </is>
      </c>
      <c r="C146" t="n">
        <v>60.44806875</v>
      </c>
      <c r="D146">
        <f>IFERROR(MATCH($A146,PP_Grid[Intermediate],0),99999)</f>
        <v/>
      </c>
    </row>
    <row r="147">
      <c r="A147" t="inlineStr">
        <is>
          <t>TSP-1446</t>
        </is>
      </c>
      <c r="B147" t="inlineStr">
        <is>
          <t>CHEM-1670</t>
        </is>
      </c>
      <c r="C147" t="n">
        <v>6.03047375</v>
      </c>
      <c r="D147">
        <f>IFERROR(MATCH($A147,PP_Grid[Intermediate],0),99999)</f>
        <v/>
      </c>
    </row>
    <row r="148">
      <c r="A148" t="inlineStr">
        <is>
          <t>TSP-1446</t>
        </is>
      </c>
      <c r="B148" t="inlineStr">
        <is>
          <t>CHEM-1720</t>
        </is>
      </c>
      <c r="C148" t="n">
        <v>23.15478625</v>
      </c>
      <c r="D148">
        <f>IFERROR(MATCH($A148,PP_Grid[Intermediate],0),99999)</f>
        <v/>
      </c>
    </row>
    <row r="149">
      <c r="A149" t="inlineStr">
        <is>
          <t>TSP-1446</t>
        </is>
      </c>
      <c r="B149" t="inlineStr">
        <is>
          <t>SOL-SCH</t>
        </is>
      </c>
      <c r="C149" t="n">
        <v>10.73971961505</v>
      </c>
      <c r="D149">
        <f>IFERROR(MATCH($A149,PP_Grid[Intermediate],0),99999)</f>
        <v/>
      </c>
    </row>
    <row r="150">
      <c r="A150" t="inlineStr">
        <is>
          <t>TSP-1446</t>
        </is>
      </c>
      <c r="B150" t="inlineStr">
        <is>
          <t>TPP-1369</t>
        </is>
      </c>
      <c r="C150" t="n">
        <v>30.67439625</v>
      </c>
      <c r="D150">
        <f>IFERROR(MATCH($A150,PP_Grid[Intermediate],0),99999)</f>
        <v/>
      </c>
    </row>
    <row r="151">
      <c r="A151" t="inlineStr">
        <is>
          <t>TSP-1448</t>
        </is>
      </c>
      <c r="B151" t="inlineStr">
        <is>
          <t>CHEM-1240</t>
        </is>
      </c>
      <c r="C151" t="n">
        <v>18.148838344</v>
      </c>
      <c r="D151">
        <f>IFERROR(MATCH($A151,PP_Grid[Intermediate],0),99999)</f>
        <v/>
      </c>
    </row>
    <row r="152">
      <c r="A152" t="inlineStr">
        <is>
          <t>TSP-1448</t>
        </is>
      </c>
      <c r="B152" t="inlineStr">
        <is>
          <t>CHEM-1420</t>
        </is>
      </c>
      <c r="C152" t="n">
        <v>1.1339874</v>
      </c>
      <c r="D152">
        <f>IFERROR(MATCH($A152,PP_Grid[Intermediate],0),99999)</f>
        <v/>
      </c>
    </row>
    <row r="153">
      <c r="A153" t="inlineStr">
        <is>
          <t>TSP-1448</t>
        </is>
      </c>
      <c r="B153" t="inlineStr">
        <is>
          <t>CHEM-1440</t>
        </is>
      </c>
      <c r="C153" t="n">
        <v>1.638611793</v>
      </c>
      <c r="D153">
        <f>IFERROR(MATCH($A153,PP_Grid[Intermediate],0),99999)</f>
        <v/>
      </c>
    </row>
    <row r="154">
      <c r="A154" t="inlineStr">
        <is>
          <t>TSP-1448</t>
        </is>
      </c>
      <c r="B154" t="inlineStr">
        <is>
          <t>CHEM-1540</t>
        </is>
      </c>
      <c r="C154" t="n">
        <v>14.524488615</v>
      </c>
      <c r="D154">
        <f>IFERROR(MATCH($A154,PP_Grid[Intermediate],0),99999)</f>
        <v/>
      </c>
    </row>
    <row r="155">
      <c r="A155" t="inlineStr">
        <is>
          <t>TSP-1448</t>
        </is>
      </c>
      <c r="B155" t="inlineStr">
        <is>
          <t>CHEM-1570</t>
        </is>
      </c>
      <c r="C155" t="n">
        <v>0.00343008508752</v>
      </c>
      <c r="D155">
        <f>IFERROR(MATCH($A155,PP_Grid[Intermediate],0),99999)</f>
        <v/>
      </c>
    </row>
    <row r="156">
      <c r="A156" t="inlineStr">
        <is>
          <t>TSP-1448</t>
        </is>
      </c>
      <c r="B156" t="inlineStr">
        <is>
          <t>CHEM-1570</t>
        </is>
      </c>
      <c r="C156" t="n">
        <v>0.06299929999999999</v>
      </c>
      <c r="D156">
        <f>IFERROR(MATCH($A156,PP_Grid[Intermediate],0),99999)</f>
        <v/>
      </c>
    </row>
    <row r="157">
      <c r="A157" t="inlineStr">
        <is>
          <t>TSP-1448</t>
        </is>
      </c>
      <c r="B157" t="inlineStr">
        <is>
          <t>CHEM-1700</t>
        </is>
      </c>
      <c r="C157" t="n">
        <v>1.259356007</v>
      </c>
      <c r="D157">
        <f>IFERROR(MATCH($A157,PP_Grid[Intermediate],0),99999)</f>
        <v/>
      </c>
    </row>
    <row r="158">
      <c r="A158" t="inlineStr">
        <is>
          <t>TSP-1448</t>
        </is>
      </c>
      <c r="B158" t="inlineStr">
        <is>
          <t>CHEM-1720</t>
        </is>
      </c>
      <c r="C158" t="n">
        <v>8.583654625000001</v>
      </c>
      <c r="D158">
        <f>IFERROR(MATCH($A158,PP_Grid[Intermediate],0),99999)</f>
        <v/>
      </c>
    </row>
    <row r="159">
      <c r="A159" t="inlineStr">
        <is>
          <t>TSP-1448</t>
        </is>
      </c>
      <c r="B159" t="inlineStr">
        <is>
          <t>SOL-SCH</t>
        </is>
      </c>
      <c r="C159" t="n">
        <v>11.4337811345758</v>
      </c>
      <c r="D159">
        <f>IFERROR(MATCH($A159,PP_Grid[Intermediate],0),99999)</f>
        <v/>
      </c>
    </row>
    <row r="160">
      <c r="A160" t="inlineStr">
        <is>
          <t>TSP-1448</t>
        </is>
      </c>
      <c r="B160" t="inlineStr">
        <is>
          <t>TPP-1378</t>
        </is>
      </c>
      <c r="C160" t="n">
        <v>19.17068699</v>
      </c>
      <c r="D160">
        <f>IFERROR(MATCH($A160,PP_Grid[Intermediate],0),99999)</f>
        <v/>
      </c>
    </row>
    <row r="161">
      <c r="A161" t="inlineStr">
        <is>
          <t>TSP-1448</t>
        </is>
      </c>
      <c r="B161" t="inlineStr">
        <is>
          <t>TSZ-938</t>
        </is>
      </c>
      <c r="C161" t="n">
        <v>19.056028264</v>
      </c>
      <c r="D161">
        <f>IFERROR(MATCH($A161,PP_Grid[Intermediate],0),99999)</f>
        <v/>
      </c>
    </row>
    <row r="162">
      <c r="A162" t="inlineStr">
        <is>
          <t>TSP-1449</t>
        </is>
      </c>
      <c r="B162" t="inlineStr">
        <is>
          <t>CHEM-1240</t>
        </is>
      </c>
      <c r="C162" t="n">
        <v>18.59793</v>
      </c>
      <c r="D162">
        <f>IFERROR(MATCH($A162,PP_Grid[Intermediate],0),99999)</f>
        <v/>
      </c>
    </row>
    <row r="163">
      <c r="A163" t="inlineStr">
        <is>
          <t>TSP-1449</t>
        </is>
      </c>
      <c r="B163" t="inlineStr">
        <is>
          <t>CHEM-1420</t>
        </is>
      </c>
      <c r="C163" t="n">
        <v>1.23066</v>
      </c>
      <c r="D163">
        <f>IFERROR(MATCH($A163,PP_Grid[Intermediate],0),99999)</f>
        <v/>
      </c>
    </row>
    <row r="164">
      <c r="A164" t="inlineStr">
        <is>
          <t>TSP-1449</t>
        </is>
      </c>
      <c r="B164" t="inlineStr">
        <is>
          <t>CHEM-1440</t>
        </is>
      </c>
      <c r="C164" t="n">
        <v>1.67958</v>
      </c>
      <c r="D164">
        <f>IFERROR(MATCH($A164,PP_Grid[Intermediate],0),99999)</f>
        <v/>
      </c>
    </row>
    <row r="165">
      <c r="A165" t="inlineStr">
        <is>
          <t>TSP-1449</t>
        </is>
      </c>
      <c r="B165" t="inlineStr">
        <is>
          <t>CHEM-1540</t>
        </is>
      </c>
      <c r="C165" t="n">
        <v>14.88402</v>
      </c>
      <c r="D165">
        <f>IFERROR(MATCH($A165,PP_Grid[Intermediate],0),99999)</f>
        <v/>
      </c>
    </row>
    <row r="166">
      <c r="A166" t="inlineStr">
        <is>
          <t>TSP-1449</t>
        </is>
      </c>
      <c r="B166" t="inlineStr">
        <is>
          <t>CHEM-1570</t>
        </is>
      </c>
      <c r="C166" t="n">
        <v>0.0035149275</v>
      </c>
      <c r="D166">
        <f>IFERROR(MATCH($A166,PP_Grid[Intermediate],0),99999)</f>
        <v/>
      </c>
    </row>
    <row r="167">
      <c r="A167" t="inlineStr">
        <is>
          <t>TSP-1449</t>
        </is>
      </c>
      <c r="B167" t="inlineStr">
        <is>
          <t>CHEM-1570</t>
        </is>
      </c>
      <c r="C167" t="n">
        <v>0.129</v>
      </c>
      <c r="D167">
        <f>IFERROR(MATCH($A167,PP_Grid[Intermediate],0),99999)</f>
        <v/>
      </c>
    </row>
    <row r="168">
      <c r="A168" t="inlineStr">
        <is>
          <t>TSP-1449</t>
        </is>
      </c>
      <c r="B168" t="inlineStr">
        <is>
          <t>CHEM-1700</t>
        </is>
      </c>
      <c r="C168" t="n">
        <v>1.29</v>
      </c>
      <c r="D168">
        <f>IFERROR(MATCH($A168,PP_Grid[Intermediate],0),99999)</f>
        <v/>
      </c>
    </row>
    <row r="169">
      <c r="A169" t="inlineStr">
        <is>
          <t>TSP-1449</t>
        </is>
      </c>
      <c r="B169" t="inlineStr">
        <is>
          <t>CHEM-1720</t>
        </is>
      </c>
      <c r="C169" t="n">
        <v>8.79651</v>
      </c>
      <c r="D169">
        <f>IFERROR(MATCH($A169,PP_Grid[Intermediate],0),99999)</f>
        <v/>
      </c>
    </row>
    <row r="170">
      <c r="A170" t="inlineStr">
        <is>
          <t>TSP-1449</t>
        </is>
      </c>
      <c r="B170" t="inlineStr">
        <is>
          <t>SOL-SCH</t>
        </is>
      </c>
      <c r="C170" t="n">
        <v>5.858193536999999</v>
      </c>
      <c r="D170">
        <f>IFERROR(MATCH($A170,PP_Grid[Intermediate],0),99999)</f>
        <v/>
      </c>
    </row>
    <row r="171">
      <c r="A171" t="inlineStr">
        <is>
          <t>TSP-1449</t>
        </is>
      </c>
      <c r="B171" t="inlineStr">
        <is>
          <t>TPP-1379</t>
        </is>
      </c>
      <c r="C171" t="n">
        <v>19.58607</v>
      </c>
      <c r="D171">
        <f>IFERROR(MATCH($A171,PP_Grid[Intermediate],0),99999)</f>
        <v/>
      </c>
    </row>
    <row r="172">
      <c r="A172" t="inlineStr">
        <is>
          <t>TSP-1449</t>
        </is>
      </c>
      <c r="B172" t="inlineStr">
        <is>
          <t>TSZ-938</t>
        </is>
      </c>
      <c r="C172" t="n">
        <v>19.527375</v>
      </c>
      <c r="D172">
        <f>IFERROR(MATCH($A172,PP_Grid[Intermediate],0),99999)</f>
        <v/>
      </c>
    </row>
    <row r="173">
      <c r="A173" t="inlineStr">
        <is>
          <t>TSP-1499</t>
        </is>
      </c>
      <c r="B173" t="inlineStr">
        <is>
          <t>CHEM-1400</t>
        </is>
      </c>
      <c r="C173" t="n">
        <v>0.695168142</v>
      </c>
      <c r="D173">
        <f>IFERROR(MATCH($A173,PP_Grid[Intermediate],0),99999)</f>
        <v/>
      </c>
    </row>
    <row r="174">
      <c r="A174" t="inlineStr">
        <is>
          <t>TSP-1499</t>
        </is>
      </c>
      <c r="B174" t="inlineStr">
        <is>
          <t>CHEM-1420</t>
        </is>
      </c>
      <c r="C174" t="n">
        <v>0.203729366</v>
      </c>
      <c r="D174">
        <f>IFERROR(MATCH($A174,PP_Grid[Intermediate],0),99999)</f>
        <v/>
      </c>
    </row>
    <row r="175">
      <c r="A175" t="inlineStr">
        <is>
          <t>TSP-1499</t>
        </is>
      </c>
      <c r="B175" t="inlineStr">
        <is>
          <t>CHEM-1530</t>
        </is>
      </c>
      <c r="C175" t="n">
        <v>19.034699047</v>
      </c>
      <c r="D175">
        <f>IFERROR(MATCH($A175,PP_Grid[Intermediate],0),99999)</f>
        <v/>
      </c>
    </row>
    <row r="176">
      <c r="A176" t="inlineStr">
        <is>
          <t>TSP-1499</t>
        </is>
      </c>
      <c r="B176" t="inlineStr">
        <is>
          <t>CHEM-1670</t>
        </is>
      </c>
      <c r="C176" t="n">
        <v>0.803253569</v>
      </c>
      <c r="D176">
        <f>IFERROR(MATCH($A176,PP_Grid[Intermediate],0),99999)</f>
        <v/>
      </c>
    </row>
    <row r="177">
      <c r="A177" t="inlineStr">
        <is>
          <t>TSP-1499</t>
        </is>
      </c>
      <c r="B177" t="inlineStr">
        <is>
          <t>CHEM-1700</t>
        </is>
      </c>
      <c r="C177" t="n">
        <v>0.78536893</v>
      </c>
      <c r="D177">
        <f>IFERROR(MATCH($A177,PP_Grid[Intermediate],0),99999)</f>
        <v/>
      </c>
    </row>
    <row r="178">
      <c r="A178" t="inlineStr">
        <is>
          <t>TSP-1499</t>
        </is>
      </c>
      <c r="B178" t="inlineStr">
        <is>
          <t>CHEM-1720</t>
        </is>
      </c>
      <c r="C178" t="n">
        <v>4.825742158</v>
      </c>
      <c r="D178">
        <f>IFERROR(MATCH($A178,PP_Grid[Intermediate],0),99999)</f>
        <v/>
      </c>
    </row>
    <row r="179">
      <c r="A179" t="inlineStr">
        <is>
          <t>TSP-1499</t>
        </is>
      </c>
      <c r="B179" t="inlineStr">
        <is>
          <t>CHEM-1780</t>
        </is>
      </c>
      <c r="C179" t="n">
        <v>0.203729366</v>
      </c>
      <c r="D179">
        <f>IFERROR(MATCH($A179,PP_Grid[Intermediate],0),99999)</f>
        <v/>
      </c>
    </row>
    <row r="180">
      <c r="A180" t="inlineStr">
        <is>
          <t>TSP-1555</t>
        </is>
      </c>
      <c r="B180" t="inlineStr">
        <is>
          <t>CHEM-1400</t>
        </is>
      </c>
      <c r="C180" t="n">
        <v>1.08621</v>
      </c>
      <c r="D180">
        <f>IFERROR(MATCH($A180,PP_Grid[Intermediate],0),99999)</f>
        <v/>
      </c>
    </row>
    <row r="181">
      <c r="A181" t="inlineStr">
        <is>
          <t>TSP-1555</t>
        </is>
      </c>
      <c r="B181" t="inlineStr">
        <is>
          <t>CHEM-1420</t>
        </is>
      </c>
      <c r="C181" t="n">
        <v>0.31833</v>
      </c>
      <c r="D181">
        <f>IFERROR(MATCH($A181,PP_Grid[Intermediate],0),99999)</f>
        <v/>
      </c>
    </row>
    <row r="182">
      <c r="A182" t="inlineStr">
        <is>
          <t>TSP-1555</t>
        </is>
      </c>
      <c r="B182" t="inlineStr">
        <is>
          <t>CHEM-1530</t>
        </is>
      </c>
      <c r="C182" t="n">
        <v>29.749275</v>
      </c>
      <c r="D182">
        <f>IFERROR(MATCH($A182,PP_Grid[Intermediate],0),99999)</f>
        <v/>
      </c>
    </row>
    <row r="183">
      <c r="A183" t="inlineStr">
        <is>
          <t>TSP-1555</t>
        </is>
      </c>
      <c r="B183" t="inlineStr">
        <is>
          <t>CHEM-1670</t>
        </is>
      </c>
      <c r="C183" t="n">
        <v>1.25631</v>
      </c>
      <c r="D183">
        <f>IFERROR(MATCH($A183,PP_Grid[Intermediate],0),99999)</f>
        <v/>
      </c>
    </row>
    <row r="184">
      <c r="A184" t="inlineStr">
        <is>
          <t>TSP-1555</t>
        </is>
      </c>
      <c r="B184" t="inlineStr">
        <is>
          <t>CHEM-1700</t>
        </is>
      </c>
      <c r="C184" t="n">
        <v>1.22715</v>
      </c>
      <c r="D184">
        <f>IFERROR(MATCH($A184,PP_Grid[Intermediate],0),99999)</f>
        <v/>
      </c>
    </row>
    <row r="185">
      <c r="A185" t="inlineStr">
        <is>
          <t>TSP-1555</t>
        </is>
      </c>
      <c r="B185" t="inlineStr">
        <is>
          <t>CHEM-1720</t>
        </is>
      </c>
      <c r="C185" t="n">
        <v>7.54272</v>
      </c>
      <c r="D185">
        <f>IFERROR(MATCH($A185,PP_Grid[Intermediate],0),99999)</f>
        <v/>
      </c>
    </row>
    <row r="186">
      <c r="A186" t="inlineStr">
        <is>
          <t>TSP-1555</t>
        </is>
      </c>
      <c r="B186" t="inlineStr">
        <is>
          <t>CHEM-1780</t>
        </is>
      </c>
      <c r="C186" t="n">
        <v>0.31833</v>
      </c>
      <c r="D186">
        <f>IFERROR(MATCH($A186,PP_Grid[Intermediate],0),99999)</f>
        <v/>
      </c>
    </row>
    <row r="187">
      <c r="A187" t="inlineStr">
        <is>
          <t>TSP-1558</t>
        </is>
      </c>
      <c r="B187" t="inlineStr">
        <is>
          <t>CHEM-1240</t>
        </is>
      </c>
      <c r="C187" t="n">
        <v>11.1754164</v>
      </c>
      <c r="D187">
        <f>IFERROR(MATCH($A187,PP_Grid[Intermediate],0),99999)</f>
        <v/>
      </c>
    </row>
    <row r="188">
      <c r="A188" t="inlineStr">
        <is>
          <t>TSP-1558</t>
        </is>
      </c>
      <c r="B188" t="inlineStr">
        <is>
          <t>CHEM-1420</t>
        </is>
      </c>
      <c r="C188" t="n">
        <v>0.31426</v>
      </c>
      <c r="D188">
        <f>IFERROR(MATCH($A188,PP_Grid[Intermediate],0),99999)</f>
        <v/>
      </c>
    </row>
    <row r="189">
      <c r="A189" t="inlineStr">
        <is>
          <t>TSP-1558</t>
        </is>
      </c>
      <c r="B189" t="inlineStr">
        <is>
          <t>CHEM-1440</t>
        </is>
      </c>
      <c r="C189" t="n">
        <v>0.4962</v>
      </c>
      <c r="D189">
        <f>IFERROR(MATCH($A189,PP_Grid[Intermediate],0),99999)</f>
        <v/>
      </c>
    </row>
    <row r="190">
      <c r="A190" t="inlineStr">
        <is>
          <t>TSP-1558</t>
        </is>
      </c>
      <c r="B190" t="inlineStr">
        <is>
          <t>CHEM-1850</t>
        </is>
      </c>
      <c r="C190" t="n">
        <v>18.6419032</v>
      </c>
      <c r="D190">
        <f>IFERROR(MATCH($A190,PP_Grid[Intermediate],0),99999)</f>
        <v/>
      </c>
    </row>
    <row r="191">
      <c r="A191" t="inlineStr">
        <is>
          <t>TSP-1559</t>
        </is>
      </c>
      <c r="B191" t="inlineStr">
        <is>
          <t>CHEM-1240</t>
        </is>
      </c>
      <c r="C191" t="n">
        <v>11.223958</v>
      </c>
      <c r="D191">
        <f>IFERROR(MATCH($A191,PP_Grid[Intermediate],0),99999)</f>
        <v/>
      </c>
    </row>
    <row r="192">
      <c r="A192" t="inlineStr">
        <is>
          <t>TSP-1559</t>
        </is>
      </c>
      <c r="B192" t="inlineStr">
        <is>
          <t>CHEM-1420</t>
        </is>
      </c>
      <c r="C192" t="n">
        <v>0.3125115</v>
      </c>
      <c r="D192">
        <f>IFERROR(MATCH($A192,PP_Grid[Intermediate],0),99999)</f>
        <v/>
      </c>
    </row>
    <row r="193">
      <c r="A193" t="inlineStr">
        <is>
          <t>TSP-1559</t>
        </is>
      </c>
      <c r="B193" t="inlineStr">
        <is>
          <t>CHEM-1440</t>
        </is>
      </c>
      <c r="C193" t="n">
        <v>0.4970421</v>
      </c>
      <c r="D193">
        <f>IFERROR(MATCH($A193,PP_Grid[Intermediate],0),99999)</f>
        <v/>
      </c>
    </row>
    <row r="194">
      <c r="A194" t="inlineStr">
        <is>
          <t>TSP-199</t>
        </is>
      </c>
      <c r="B194" t="inlineStr">
        <is>
          <t>CHEM-1250</t>
        </is>
      </c>
      <c r="C194" t="n">
        <v>5.3558513115</v>
      </c>
      <c r="D194">
        <f>IFERROR(MATCH($A194,PP_Grid[Intermediate],0),99999)</f>
        <v/>
      </c>
    </row>
    <row r="195">
      <c r="A195" t="inlineStr">
        <is>
          <t>TSP-199</t>
        </is>
      </c>
      <c r="B195" t="inlineStr">
        <is>
          <t>CHEM-1400</t>
        </is>
      </c>
      <c r="C195" t="n">
        <v>3.6726065925</v>
      </c>
      <c r="D195">
        <f>IFERROR(MATCH($A195,PP_Grid[Intermediate],0),99999)</f>
        <v/>
      </c>
    </row>
    <row r="196">
      <c r="A196" t="inlineStr">
        <is>
          <t>TSP-199</t>
        </is>
      </c>
      <c r="B196" t="inlineStr">
        <is>
          <t>CHEM-1420</t>
        </is>
      </c>
      <c r="C196" t="n">
        <v>0.4012292730000001</v>
      </c>
      <c r="D196">
        <f>IFERROR(MATCH($A196,PP_Grid[Intermediate],0),99999)</f>
        <v/>
      </c>
    </row>
    <row r="197">
      <c r="A197" t="inlineStr">
        <is>
          <t>TSP-199</t>
        </is>
      </c>
      <c r="B197" t="inlineStr">
        <is>
          <t>CHEM-1440</t>
        </is>
      </c>
      <c r="C197" t="n">
        <v>0.6338143695</v>
      </c>
      <c r="D197">
        <f>IFERROR(MATCH($A197,PP_Grid[Intermediate],0),99999)</f>
        <v/>
      </c>
    </row>
    <row r="198">
      <c r="A198" t="inlineStr">
        <is>
          <t>TSP-199</t>
        </is>
      </c>
      <c r="B198" t="inlineStr">
        <is>
          <t>TPP-190</t>
        </is>
      </c>
      <c r="C198" t="n">
        <v>72.0046692735</v>
      </c>
      <c r="D198">
        <f>IFERROR(MATCH($A198,PP_Grid[Intermediate],0),99999)</f>
        <v/>
      </c>
    </row>
    <row r="199">
      <c r="A199" t="inlineStr">
        <is>
          <t>TSP-205</t>
        </is>
      </c>
      <c r="B199" t="inlineStr">
        <is>
          <t>CHEM-1250</t>
        </is>
      </c>
      <c r="C199" t="n">
        <v>7.829196004000001</v>
      </c>
      <c r="D199">
        <f>IFERROR(MATCH($A199,PP_Grid[Intermediate],0),99999)</f>
        <v/>
      </c>
    </row>
    <row r="200">
      <c r="A200" t="inlineStr">
        <is>
          <t>TSP-205</t>
        </is>
      </c>
      <c r="B200" t="inlineStr">
        <is>
          <t>CHEM-1400</t>
        </is>
      </c>
      <c r="C200" t="n">
        <v>5.368607426</v>
      </c>
      <c r="D200">
        <f>IFERROR(MATCH($A200,PP_Grid[Intermediate],0),99999)</f>
        <v/>
      </c>
    </row>
    <row r="201">
      <c r="A201" t="inlineStr">
        <is>
          <t>TSP-205</t>
        </is>
      </c>
      <c r="B201" t="inlineStr">
        <is>
          <t>CHEM-1420</t>
        </is>
      </c>
      <c r="C201" t="n">
        <v>0.4629930620000001</v>
      </c>
      <c r="D201">
        <f>IFERROR(MATCH($A201,PP_Grid[Intermediate],0),99999)</f>
        <v/>
      </c>
    </row>
    <row r="202">
      <c r="A202" t="inlineStr">
        <is>
          <t>TSP-205</t>
        </is>
      </c>
      <c r="B202" t="inlineStr">
        <is>
          <t>CHEM-1440</t>
        </is>
      </c>
      <c r="C202" t="n">
        <v>0.331820958</v>
      </c>
      <c r="D202">
        <f>IFERROR(MATCH($A202,PP_Grid[Intermediate],0),99999)</f>
        <v/>
      </c>
    </row>
    <row r="203">
      <c r="A203" t="inlineStr">
        <is>
          <t>TSP-205</t>
        </is>
      </c>
      <c r="B203" t="inlineStr">
        <is>
          <t>TPP-204</t>
        </is>
      </c>
      <c r="C203" t="n">
        <v>44.002126938</v>
      </c>
      <c r="D203">
        <f>IFERROR(MATCH($A203,PP_Grid[Intermediate],0),99999)</f>
        <v/>
      </c>
    </row>
    <row r="204">
      <c r="A204" t="inlineStr">
        <is>
          <t>TSP-206</t>
        </is>
      </c>
      <c r="B204" t="inlineStr">
        <is>
          <t>CHEM-1400</t>
        </is>
      </c>
      <c r="C204" t="n">
        <v>4.583592</v>
      </c>
      <c r="D204">
        <f>IFERROR(MATCH($A204,PP_Grid[Intermediate],0),99999)</f>
        <v/>
      </c>
    </row>
    <row r="205">
      <c r="A205" t="inlineStr">
        <is>
          <t>TSP-206</t>
        </is>
      </c>
      <c r="B205" t="inlineStr">
        <is>
          <t>CHEM-1420</t>
        </is>
      </c>
      <c r="C205" t="n">
        <v>0.6176196</v>
      </c>
      <c r="D205">
        <f>IFERROR(MATCH($A205,PP_Grid[Intermediate],0),99999)</f>
        <v/>
      </c>
    </row>
    <row r="206">
      <c r="A206" t="inlineStr">
        <is>
          <t>TSP-206</t>
        </is>
      </c>
      <c r="B206" t="inlineStr">
        <is>
          <t>CHEM-1440</t>
        </is>
      </c>
      <c r="C206" t="n">
        <v>1.5654132</v>
      </c>
      <c r="D206">
        <f>IFERROR(MATCH($A206,PP_Grid[Intermediate],0),99999)</f>
        <v/>
      </c>
    </row>
    <row r="207">
      <c r="A207" t="inlineStr">
        <is>
          <t>TSP-206</t>
        </is>
      </c>
      <c r="B207" t="inlineStr">
        <is>
          <t>CHEM-1480</t>
        </is>
      </c>
      <c r="C207" t="n">
        <v>45.90816984</v>
      </c>
      <c r="D207">
        <f>IFERROR(MATCH($A207,PP_Grid[Intermediate],0),99999)</f>
        <v/>
      </c>
    </row>
    <row r="208">
      <c r="A208" t="inlineStr">
        <is>
          <t>TSP-206</t>
        </is>
      </c>
      <c r="B208" t="inlineStr">
        <is>
          <t>SOL-10H</t>
        </is>
      </c>
      <c r="C208" t="n">
        <v>20.59586568</v>
      </c>
      <c r="D208">
        <f>IFERROR(MATCH($A208,PP_Grid[Intermediate],0),99999)</f>
        <v/>
      </c>
    </row>
    <row r="209">
      <c r="A209" t="inlineStr">
        <is>
          <t>TSP-224</t>
        </is>
      </c>
      <c r="B209" t="inlineStr">
        <is>
          <t>CHEM-1010</t>
        </is>
      </c>
      <c r="C209" t="n">
        <v>0.5395517999999999</v>
      </c>
      <c r="D209">
        <f>IFERROR(MATCH($A209,PP_Grid[Intermediate],0),99999)</f>
        <v/>
      </c>
    </row>
    <row r="210">
      <c r="A210" t="inlineStr">
        <is>
          <t>TSP-224</t>
        </is>
      </c>
      <c r="B210" t="inlineStr">
        <is>
          <t>CHEM-1240</t>
        </is>
      </c>
      <c r="C210" t="n">
        <v>56.28312</v>
      </c>
      <c r="D210">
        <f>IFERROR(MATCH($A210,PP_Grid[Intermediate],0),99999)</f>
        <v/>
      </c>
    </row>
    <row r="211">
      <c r="A211" t="inlineStr">
        <is>
          <t>TSP-224</t>
        </is>
      </c>
      <c r="B211" t="inlineStr">
        <is>
          <t>CHEM-1420</t>
        </is>
      </c>
      <c r="C211" t="n">
        <v>0.97524</v>
      </c>
      <c r="D211">
        <f>IFERROR(MATCH($A211,PP_Grid[Intermediate],0),99999)</f>
        <v/>
      </c>
    </row>
    <row r="212">
      <c r="A212" t="inlineStr">
        <is>
          <t>TSP-224</t>
        </is>
      </c>
      <c r="B212" t="inlineStr">
        <is>
          <t>CHEM-1440</t>
        </is>
      </c>
      <c r="C212" t="n">
        <v>0.864</v>
      </c>
      <c r="D212">
        <f>IFERROR(MATCH($A212,PP_Grid[Intermediate],0),99999)</f>
        <v/>
      </c>
    </row>
    <row r="213">
      <c r="A213" t="inlineStr">
        <is>
          <t>TSP-224</t>
        </is>
      </c>
      <c r="B213" t="inlineStr">
        <is>
          <t>CHEM-1470</t>
        </is>
      </c>
      <c r="C213" t="n">
        <v>27.60804</v>
      </c>
      <c r="D213">
        <f>IFERROR(MATCH($A213,PP_Grid[Intermediate],0),99999)</f>
        <v/>
      </c>
    </row>
    <row r="214">
      <c r="A214" t="inlineStr">
        <is>
          <t>TSP-224</t>
        </is>
      </c>
      <c r="B214" t="inlineStr">
        <is>
          <t>SOL-20P</t>
        </is>
      </c>
      <c r="C214" t="n">
        <v>22.14</v>
      </c>
      <c r="D214">
        <f>IFERROR(MATCH($A214,PP_Grid[Intermediate],0),99999)</f>
        <v/>
      </c>
    </row>
    <row r="215">
      <c r="A215" t="inlineStr">
        <is>
          <t>TSP-225</t>
        </is>
      </c>
      <c r="B215" t="inlineStr">
        <is>
          <t>CHEM-1400</t>
        </is>
      </c>
      <c r="C215" t="n">
        <v>5.8437288</v>
      </c>
      <c r="D215">
        <f>IFERROR(MATCH($A215,PP_Grid[Intermediate],0),99999)</f>
        <v/>
      </c>
    </row>
    <row r="216">
      <c r="A216" t="inlineStr">
        <is>
          <t>TSP-225</t>
        </is>
      </c>
      <c r="B216" t="inlineStr">
        <is>
          <t>CHEM-1420</t>
        </is>
      </c>
      <c r="C216" t="n">
        <v>1.680588</v>
      </c>
      <c r="D216">
        <f>IFERROR(MATCH($A216,PP_Grid[Intermediate],0),99999)</f>
        <v/>
      </c>
    </row>
    <row r="217">
      <c r="A217" t="inlineStr">
        <is>
          <t>TSP-225</t>
        </is>
      </c>
      <c r="B217" t="inlineStr">
        <is>
          <t>CHEM-1430</t>
        </is>
      </c>
      <c r="C217" t="n">
        <v>14.1893856</v>
      </c>
      <c r="D217">
        <f>IFERROR(MATCH($A217,PP_Grid[Intermediate],0),99999)</f>
        <v/>
      </c>
    </row>
    <row r="218">
      <c r="A218" t="inlineStr">
        <is>
          <t>TSP-225</t>
        </is>
      </c>
      <c r="B218" t="inlineStr">
        <is>
          <t>CHEM-1450</t>
        </is>
      </c>
      <c r="C218" t="n">
        <v>0.7842744</v>
      </c>
      <c r="D218">
        <f>IFERROR(MATCH($A218,PP_Grid[Intermediate],0),99999)</f>
        <v/>
      </c>
    </row>
    <row r="219">
      <c r="A219" t="inlineStr">
        <is>
          <t>TSP-225</t>
        </is>
      </c>
      <c r="B219" t="inlineStr">
        <is>
          <t>CHEM-1470</t>
        </is>
      </c>
      <c r="C219" t="n">
        <v>66.4881048</v>
      </c>
      <c r="D219">
        <f>IFERROR(MATCH($A219,PP_Grid[Intermediate],0),99999)</f>
        <v/>
      </c>
    </row>
    <row r="220">
      <c r="A220" t="inlineStr">
        <is>
          <t>TSP-225</t>
        </is>
      </c>
      <c r="B220" t="inlineStr">
        <is>
          <t>SOL-10H</t>
        </is>
      </c>
      <c r="C220" t="n">
        <v>17.5059144</v>
      </c>
      <c r="D220">
        <f>IFERROR(MATCH($A220,PP_Grid[Intermediate],0),99999)</f>
        <v/>
      </c>
    </row>
    <row r="221">
      <c r="A221" t="inlineStr">
        <is>
          <t>TSP-360</t>
        </is>
      </c>
      <c r="B221" t="inlineStr">
        <is>
          <t>CHEM-1400</t>
        </is>
      </c>
      <c r="C221" t="n">
        <v>2.9338533</v>
      </c>
      <c r="D221">
        <f>IFERROR(MATCH($A221,PP_Grid[Intermediate],0),99999)</f>
        <v/>
      </c>
    </row>
    <row r="222">
      <c r="A222" t="inlineStr">
        <is>
          <t>TSP-360</t>
        </is>
      </c>
      <c r="B222" t="inlineStr">
        <is>
          <t>CHEM-1420</t>
        </is>
      </c>
      <c r="C222" t="n">
        <v>0.18119094</v>
      </c>
      <c r="D222">
        <f>IFERROR(MATCH($A222,PP_Grid[Intermediate],0),99999)</f>
        <v/>
      </c>
    </row>
    <row r="223">
      <c r="A223" t="inlineStr">
        <is>
          <t>TSP-360</t>
        </is>
      </c>
      <c r="B223" t="inlineStr">
        <is>
          <t>CHEM-1510</t>
        </is>
      </c>
      <c r="C223" t="n">
        <v>9.045147720000001</v>
      </c>
      <c r="D223">
        <f>IFERROR(MATCH($A223,PP_Grid[Intermediate],0),99999)</f>
        <v/>
      </c>
    </row>
    <row r="224">
      <c r="A224" t="inlineStr">
        <is>
          <t>TSP-360</t>
        </is>
      </c>
      <c r="B224" t="inlineStr">
        <is>
          <t>CHEM-1560</t>
        </is>
      </c>
      <c r="C224" t="n">
        <v>3.77141142</v>
      </c>
      <c r="D224">
        <f>IFERROR(MATCH($A224,PP_Grid[Intermediate],0),99999)</f>
        <v/>
      </c>
    </row>
    <row r="225">
      <c r="A225" t="inlineStr">
        <is>
          <t>TSP-360</t>
        </is>
      </c>
      <c r="B225" t="inlineStr">
        <is>
          <t>CHEM-1580</t>
        </is>
      </c>
      <c r="C225" t="n">
        <v>16.79436024</v>
      </c>
      <c r="D225">
        <f>IFERROR(MATCH($A225,PP_Grid[Intermediate],0),99999)</f>
        <v/>
      </c>
    </row>
    <row r="226">
      <c r="A226" t="inlineStr">
        <is>
          <t>TSP-360</t>
        </is>
      </c>
      <c r="B226" t="inlineStr">
        <is>
          <t>TPP-350</t>
        </is>
      </c>
      <c r="C226" t="n">
        <v>102.65846682</v>
      </c>
      <c r="D226">
        <f>IFERROR(MATCH($A226,PP_Grid[Intermediate],0),99999)</f>
        <v/>
      </c>
    </row>
    <row r="227">
      <c r="A227" t="inlineStr">
        <is>
          <t>TSP-367</t>
        </is>
      </c>
      <c r="B227" t="inlineStr">
        <is>
          <t>CHEM-1400</t>
        </is>
      </c>
      <c r="C227" t="n">
        <v>3.57342888</v>
      </c>
      <c r="D227">
        <f>IFERROR(MATCH($A227,PP_Grid[Intermediate],0),99999)</f>
        <v/>
      </c>
    </row>
    <row r="228">
      <c r="A228" t="inlineStr">
        <is>
          <t>TSP-367</t>
        </is>
      </c>
      <c r="B228" t="inlineStr">
        <is>
          <t>CHEM-1420</t>
        </is>
      </c>
      <c r="C228" t="n">
        <v>0.8814002400000001</v>
      </c>
      <c r="D228">
        <f>IFERROR(MATCH($A228,PP_Grid[Intermediate],0),99999)</f>
        <v/>
      </c>
    </row>
    <row r="229">
      <c r="A229" t="inlineStr">
        <is>
          <t>TSP-367</t>
        </is>
      </c>
      <c r="B229" t="inlineStr">
        <is>
          <t>CHEM-1440</t>
        </is>
      </c>
      <c r="C229" t="n">
        <v>1.0102428</v>
      </c>
      <c r="D229">
        <f>IFERROR(MATCH($A229,PP_Grid[Intermediate],0),99999)</f>
        <v/>
      </c>
    </row>
    <row r="230">
      <c r="A230" t="inlineStr">
        <is>
          <t>TSP-367</t>
        </is>
      </c>
      <c r="B230" t="inlineStr">
        <is>
          <t>CHEM-1510</t>
        </is>
      </c>
      <c r="C230" t="n">
        <v>4.86673488</v>
      </c>
      <c r="D230">
        <f>IFERROR(MATCH($A230,PP_Grid[Intermediate],0),99999)</f>
        <v/>
      </c>
    </row>
    <row r="231">
      <c r="A231" t="inlineStr">
        <is>
          <t>TSP-367</t>
        </is>
      </c>
      <c r="B231" t="inlineStr">
        <is>
          <t>CHEM-1580</t>
        </is>
      </c>
      <c r="C231" t="n">
        <v>24.55134024</v>
      </c>
      <c r="D231">
        <f>IFERROR(MATCH($A231,PP_Grid[Intermediate],0),99999)</f>
        <v/>
      </c>
    </row>
    <row r="232">
      <c r="A232" t="inlineStr">
        <is>
          <t>TSP-367</t>
        </is>
      </c>
      <c r="B232" t="inlineStr">
        <is>
          <t>TPP-356</t>
        </is>
      </c>
      <c r="C232" t="n">
        <v>89.34353064</v>
      </c>
      <c r="D232">
        <f>IFERROR(MATCH($A232,PP_Grid[Intermediate],0),99999)</f>
        <v/>
      </c>
    </row>
    <row r="233">
      <c r="A233" t="inlineStr">
        <is>
          <t>TSP-369</t>
        </is>
      </c>
      <c r="B233" t="inlineStr">
        <is>
          <t>CHEM-1400</t>
        </is>
      </c>
      <c r="C233" t="n">
        <v>3.835803552</v>
      </c>
      <c r="D233">
        <f>IFERROR(MATCH($A233,PP_Grid[Intermediate],0),99999)</f>
        <v/>
      </c>
    </row>
    <row r="234">
      <c r="A234" t="inlineStr">
        <is>
          <t>TSP-369</t>
        </is>
      </c>
      <c r="B234" t="inlineStr">
        <is>
          <t>CHEM-1420</t>
        </is>
      </c>
      <c r="C234" t="n">
        <v>0.739210464</v>
      </c>
      <c r="D234">
        <f>IFERROR(MATCH($A234,PP_Grid[Intermediate],0),99999)</f>
        <v/>
      </c>
    </row>
    <row r="235">
      <c r="A235" t="inlineStr">
        <is>
          <t>TSP-369</t>
        </is>
      </c>
      <c r="B235" t="inlineStr">
        <is>
          <t>CHEM-1440</t>
        </is>
      </c>
      <c r="C235" t="n">
        <v>1.380043416</v>
      </c>
      <c r="D235">
        <f>IFERROR(MATCH($A235,PP_Grid[Intermediate],0),99999)</f>
        <v/>
      </c>
    </row>
    <row r="236">
      <c r="A236" t="inlineStr">
        <is>
          <t>TSP-369</t>
        </is>
      </c>
      <c r="B236" t="inlineStr">
        <is>
          <t>CHEM-1540</t>
        </is>
      </c>
      <c r="C236" t="n">
        <v>65.09481140845416</v>
      </c>
      <c r="D236">
        <f>IFERROR(MATCH($A236,PP_Grid[Intermediate],0),99999)</f>
        <v/>
      </c>
    </row>
    <row r="237">
      <c r="A237" t="inlineStr">
        <is>
          <t>TSP-369</t>
        </is>
      </c>
      <c r="B237" t="inlineStr">
        <is>
          <t>SOL-SH</t>
        </is>
      </c>
      <c r="C237" t="n">
        <v>11.15618724372888</v>
      </c>
      <c r="D237">
        <f>IFERROR(MATCH($A237,PP_Grid[Intermediate],0),99999)</f>
        <v/>
      </c>
    </row>
    <row r="238">
      <c r="A238" t="inlineStr">
        <is>
          <t>TSP-369</t>
        </is>
      </c>
      <c r="B238" t="inlineStr">
        <is>
          <t>TPP-358</t>
        </is>
      </c>
      <c r="C238" t="n">
        <v>64.349006424</v>
      </c>
      <c r="D238">
        <f>IFERROR(MATCH($A238,PP_Grid[Intermediate],0),99999)</f>
        <v/>
      </c>
    </row>
    <row r="239">
      <c r="A239" t="inlineStr">
        <is>
          <t>TSP-402</t>
        </is>
      </c>
      <c r="B239" t="inlineStr">
        <is>
          <t>CHEM-1400</t>
        </is>
      </c>
      <c r="C239" t="n">
        <v>7.12965</v>
      </c>
      <c r="D239">
        <f>IFERROR(MATCH($A239,PP_Grid[Intermediate],0),99999)</f>
        <v/>
      </c>
    </row>
    <row r="240">
      <c r="A240" t="inlineStr">
        <is>
          <t>TSP-402</t>
        </is>
      </c>
      <c r="B240" t="inlineStr">
        <is>
          <t>CHEM-1420</t>
        </is>
      </c>
      <c r="C240" t="n">
        <v>1.114575</v>
      </c>
      <c r="D240">
        <f>IFERROR(MATCH($A240,PP_Grid[Intermediate],0),99999)</f>
        <v/>
      </c>
    </row>
    <row r="241">
      <c r="A241" t="inlineStr">
        <is>
          <t>TSP-402</t>
        </is>
      </c>
      <c r="B241" t="inlineStr">
        <is>
          <t>CHEM-1530</t>
        </is>
      </c>
      <c r="C241" t="n">
        <v>39.0324</v>
      </c>
      <c r="D241">
        <f>IFERROR(MATCH($A241,PP_Grid[Intermediate],0),99999)</f>
        <v/>
      </c>
    </row>
    <row r="242">
      <c r="A242" t="inlineStr">
        <is>
          <t>TSP-402</t>
        </is>
      </c>
      <c r="B242" t="inlineStr">
        <is>
          <t>CHEM-1550</t>
        </is>
      </c>
      <c r="C242" t="n">
        <v>6.343425</v>
      </c>
      <c r="D242">
        <f>IFERROR(MATCH($A242,PP_Grid[Intermediate],0),99999)</f>
        <v/>
      </c>
    </row>
    <row r="243">
      <c r="A243" t="inlineStr">
        <is>
          <t>TSP-402</t>
        </is>
      </c>
      <c r="B243" t="inlineStr">
        <is>
          <t>CHEM-1650</t>
        </is>
      </c>
      <c r="C243" t="n">
        <v>0.033825</v>
      </c>
      <c r="D243">
        <f>IFERROR(MATCH($A243,PP_Grid[Intermediate],0),99999)</f>
        <v/>
      </c>
    </row>
    <row r="244">
      <c r="A244" t="inlineStr">
        <is>
          <t>TSP-402</t>
        </is>
      </c>
      <c r="B244" t="inlineStr">
        <is>
          <t>SOL-10H</t>
        </is>
      </c>
      <c r="C244" t="n">
        <v>40.0488</v>
      </c>
      <c r="D244">
        <f>IFERROR(MATCH($A244,PP_Grid[Intermediate],0),99999)</f>
        <v/>
      </c>
    </row>
    <row r="245">
      <c r="A245" t="inlineStr">
        <is>
          <t>TSP-403</t>
        </is>
      </c>
      <c r="B245" t="inlineStr">
        <is>
          <t>CHEM-1400</t>
        </is>
      </c>
      <c r="C245" t="n">
        <v>7.137075</v>
      </c>
      <c r="D245">
        <f>IFERROR(MATCH($A245,PP_Grid[Intermediate],0),99999)</f>
        <v/>
      </c>
    </row>
    <row r="246">
      <c r="A246" t="inlineStr">
        <is>
          <t>TSP-403</t>
        </is>
      </c>
      <c r="B246" t="inlineStr">
        <is>
          <t>CHEM-1420</t>
        </is>
      </c>
      <c r="C246" t="n">
        <v>1.116225</v>
      </c>
      <c r="D246">
        <f>IFERROR(MATCH($A246,PP_Grid[Intermediate],0),99999)</f>
        <v/>
      </c>
    </row>
    <row r="247">
      <c r="A247" t="inlineStr">
        <is>
          <t>TSP-403</t>
        </is>
      </c>
      <c r="B247" t="inlineStr">
        <is>
          <t>CHEM-1530</t>
        </is>
      </c>
      <c r="C247" t="n">
        <v>39.071175</v>
      </c>
      <c r="D247">
        <f>IFERROR(MATCH($A247,PP_Grid[Intermediate],0),99999)</f>
        <v/>
      </c>
    </row>
    <row r="248">
      <c r="A248" t="inlineStr">
        <is>
          <t>TSP-403</t>
        </is>
      </c>
      <c r="B248" t="inlineStr">
        <is>
          <t>CHEM-1550</t>
        </is>
      </c>
      <c r="C248" t="n">
        <v>6.3492</v>
      </c>
      <c r="D248">
        <f>IFERROR(MATCH($A248,PP_Grid[Intermediate],0),99999)</f>
        <v/>
      </c>
    </row>
    <row r="249">
      <c r="A249" t="inlineStr">
        <is>
          <t>TSP-403</t>
        </is>
      </c>
      <c r="B249" t="inlineStr">
        <is>
          <t>CHEM-1650</t>
        </is>
      </c>
      <c r="C249" t="n">
        <v>0.033825</v>
      </c>
      <c r="D249">
        <f>IFERROR(MATCH($A249,PP_Grid[Intermediate],0),99999)</f>
        <v/>
      </c>
    </row>
    <row r="250">
      <c r="A250" t="inlineStr">
        <is>
          <t>TSP-403</t>
        </is>
      </c>
      <c r="B250" t="inlineStr">
        <is>
          <t>SOL-10H</t>
        </is>
      </c>
      <c r="C250" t="n">
        <v>33.14025</v>
      </c>
      <c r="D250">
        <f>IFERROR(MATCH($A250,PP_Grid[Intermediate],0),99999)</f>
        <v/>
      </c>
    </row>
    <row r="251">
      <c r="A251" t="inlineStr">
        <is>
          <t>TSP-404</t>
        </is>
      </c>
      <c r="B251" t="inlineStr">
        <is>
          <t>CHEM-1400</t>
        </is>
      </c>
      <c r="C251" t="n">
        <v>6.625665000000001</v>
      </c>
      <c r="D251">
        <f>IFERROR(MATCH($A251,PP_Grid[Intermediate],0),99999)</f>
        <v/>
      </c>
    </row>
    <row r="252">
      <c r="A252" t="inlineStr">
        <is>
          <t>TSP-404</t>
        </is>
      </c>
      <c r="B252" t="inlineStr">
        <is>
          <t>CHEM-1420</t>
        </is>
      </c>
      <c r="C252" t="n">
        <v>1.03581</v>
      </c>
      <c r="D252">
        <f>IFERROR(MATCH($A252,PP_Grid[Intermediate],0),99999)</f>
        <v/>
      </c>
    </row>
    <row r="253">
      <c r="A253" t="inlineStr">
        <is>
          <t>TSP-404</t>
        </is>
      </c>
      <c r="B253" t="inlineStr">
        <is>
          <t>CHEM-1530</t>
        </is>
      </c>
      <c r="C253" t="n">
        <v>36.272475</v>
      </c>
      <c r="D253">
        <f>IFERROR(MATCH($A253,PP_Grid[Intermediate],0),99999)</f>
        <v/>
      </c>
    </row>
    <row r="254">
      <c r="A254" t="inlineStr">
        <is>
          <t>TSP-404</t>
        </is>
      </c>
      <c r="B254" t="inlineStr">
        <is>
          <t>CHEM-1550</t>
        </is>
      </c>
      <c r="C254" t="n">
        <v>4.28706</v>
      </c>
      <c r="D254">
        <f>IFERROR(MATCH($A254,PP_Grid[Intermediate],0),99999)</f>
        <v/>
      </c>
    </row>
    <row r="255">
      <c r="A255" t="inlineStr">
        <is>
          <t>TSP-404</t>
        </is>
      </c>
      <c r="B255" t="inlineStr">
        <is>
          <t>CHEM-1650</t>
        </is>
      </c>
      <c r="C255" t="n">
        <v>0.031365</v>
      </c>
      <c r="D255">
        <f>IFERROR(MATCH($A255,PP_Grid[Intermediate],0),99999)</f>
        <v/>
      </c>
    </row>
    <row r="256">
      <c r="A256" t="inlineStr">
        <is>
          <t>TSP-404</t>
        </is>
      </c>
      <c r="B256" t="inlineStr">
        <is>
          <t>SOL-10H</t>
        </is>
      </c>
      <c r="C256" t="n">
        <v>23.322555</v>
      </c>
      <c r="D256">
        <f>IFERROR(MATCH($A256,PP_Grid[Intermediate],0),99999)</f>
        <v/>
      </c>
    </row>
    <row r="257">
      <c r="A257" t="inlineStr">
        <is>
          <t>TSP-405</t>
        </is>
      </c>
      <c r="B257" t="inlineStr">
        <is>
          <t>CHEM-1400</t>
        </is>
      </c>
      <c r="C257" t="n">
        <v>6.631019999999999</v>
      </c>
      <c r="D257">
        <f>IFERROR(MATCH($A257,PP_Grid[Intermediate],0),99999)</f>
        <v/>
      </c>
    </row>
    <row r="258">
      <c r="A258" t="inlineStr">
        <is>
          <t>TSP-405</t>
        </is>
      </c>
      <c r="B258" t="inlineStr">
        <is>
          <t>CHEM-1420</t>
        </is>
      </c>
      <c r="C258" t="n">
        <v>1.036575</v>
      </c>
      <c r="D258">
        <f>IFERROR(MATCH($A258,PP_Grid[Intermediate],0),99999)</f>
        <v/>
      </c>
    </row>
    <row r="259">
      <c r="A259" t="inlineStr">
        <is>
          <t>TSP-405</t>
        </is>
      </c>
      <c r="B259" t="inlineStr">
        <is>
          <t>CHEM-1530</t>
        </is>
      </c>
      <c r="C259" t="n">
        <v>36.30078</v>
      </c>
      <c r="D259">
        <f>IFERROR(MATCH($A259,PP_Grid[Intermediate],0),99999)</f>
        <v/>
      </c>
    </row>
    <row r="260">
      <c r="A260" t="inlineStr">
        <is>
          <t>TSP-405</t>
        </is>
      </c>
      <c r="B260" t="inlineStr">
        <is>
          <t>CHEM-1550</t>
        </is>
      </c>
      <c r="C260" t="n">
        <v>4.29012</v>
      </c>
      <c r="D260">
        <f>IFERROR(MATCH($A260,PP_Grid[Intermediate],0),99999)</f>
        <v/>
      </c>
    </row>
    <row r="261">
      <c r="A261" t="inlineStr">
        <is>
          <t>TSP-405</t>
        </is>
      </c>
      <c r="B261" t="inlineStr">
        <is>
          <t>CHEM-1650</t>
        </is>
      </c>
      <c r="C261" t="n">
        <v>0.031365</v>
      </c>
      <c r="D261">
        <f>IFERROR(MATCH($A261,PP_Grid[Intermediate],0),99999)</f>
        <v/>
      </c>
    </row>
    <row r="262">
      <c r="A262" t="inlineStr">
        <is>
          <t>TSP-405</t>
        </is>
      </c>
      <c r="B262" t="inlineStr">
        <is>
          <t>SOL-10H</t>
        </is>
      </c>
      <c r="C262" t="n">
        <v>18.374535</v>
      </c>
      <c r="D262">
        <f>IFERROR(MATCH($A262,PP_Grid[Intermediate],0),99999)</f>
        <v/>
      </c>
    </row>
    <row r="263">
      <c r="A263" t="inlineStr">
        <is>
          <t>TSP-544</t>
        </is>
      </c>
      <c r="B263" t="inlineStr">
        <is>
          <t>CHEM-1400</t>
        </is>
      </c>
      <c r="C263" t="n">
        <v>1.28105211</v>
      </c>
      <c r="D263">
        <f>IFERROR(MATCH($A263,PP_Grid[Intermediate],0),99999)</f>
        <v/>
      </c>
    </row>
    <row r="264">
      <c r="A264" t="inlineStr">
        <is>
          <t>TSP-544</t>
        </is>
      </c>
      <c r="B264" t="inlineStr">
        <is>
          <t>CHEM-1420</t>
        </is>
      </c>
      <c r="C264" t="n">
        <v>0.37552671</v>
      </c>
      <c r="D264">
        <f>IFERROR(MATCH($A264,PP_Grid[Intermediate],0),99999)</f>
        <v/>
      </c>
    </row>
    <row r="265">
      <c r="A265" t="inlineStr">
        <is>
          <t>TSP-544</t>
        </is>
      </c>
      <c r="B265" t="inlineStr">
        <is>
          <t>CHEM-1440</t>
        </is>
      </c>
      <c r="C265" t="n">
        <v>0.33557706</v>
      </c>
      <c r="D265">
        <f>IFERROR(MATCH($A265,PP_Grid[Intermediate],0),99999)</f>
        <v/>
      </c>
    </row>
    <row r="266">
      <c r="A266" t="inlineStr">
        <is>
          <t>TSP-544</t>
        </is>
      </c>
      <c r="B266" t="inlineStr">
        <is>
          <t>CHEM-1510</t>
        </is>
      </c>
      <c r="C266" t="n">
        <v>9.875553480000001</v>
      </c>
      <c r="D266">
        <f>IFERROR(MATCH($A266,PP_Grid[Intermediate],0),99999)</f>
        <v/>
      </c>
    </row>
    <row r="267">
      <c r="A267" t="inlineStr">
        <is>
          <t>TSP-544</t>
        </is>
      </c>
      <c r="B267" t="inlineStr">
        <is>
          <t>CHEM-1560</t>
        </is>
      </c>
      <c r="C267" t="n">
        <v>4.94044005</v>
      </c>
      <c r="D267">
        <f>IFERROR(MATCH($A267,PP_Grid[Intermediate],0),99999)</f>
        <v/>
      </c>
    </row>
    <row r="268">
      <c r="A268" t="inlineStr">
        <is>
          <t>TSP-544</t>
        </is>
      </c>
      <c r="B268" t="inlineStr">
        <is>
          <t>CHEM-1580</t>
        </is>
      </c>
      <c r="C268" t="n">
        <v>13.203359325</v>
      </c>
      <c r="D268">
        <f>IFERROR(MATCH($A268,PP_Grid[Intermediate],0),99999)</f>
        <v/>
      </c>
    </row>
    <row r="269">
      <c r="A269" t="inlineStr">
        <is>
          <t>TSP-544</t>
        </is>
      </c>
      <c r="B269" t="inlineStr">
        <is>
          <t>TPP-527</t>
        </is>
      </c>
      <c r="C269" t="n">
        <v>114.401149395</v>
      </c>
      <c r="D269">
        <f>IFERROR(MATCH($A269,PP_Grid[Intermediate],0),99999)</f>
        <v/>
      </c>
    </row>
    <row r="270">
      <c r="A270" t="inlineStr">
        <is>
          <t>TSP-558</t>
        </is>
      </c>
      <c r="B270" t="inlineStr">
        <is>
          <t>CHEM-1400</t>
        </is>
      </c>
      <c r="C270" t="n">
        <v>1.1544038208</v>
      </c>
      <c r="D270">
        <f>IFERROR(MATCH($A270,PP_Grid[Intermediate],0),99999)</f>
        <v/>
      </c>
    </row>
    <row r="271">
      <c r="A271" t="inlineStr">
        <is>
          <t>TSP-558</t>
        </is>
      </c>
      <c r="B271" t="inlineStr">
        <is>
          <t>CHEM-1420</t>
        </is>
      </c>
      <c r="C271" t="n">
        <v>0.8539749576</v>
      </c>
      <c r="D271">
        <f>IFERROR(MATCH($A271,PP_Grid[Intermediate],0),99999)</f>
        <v/>
      </c>
    </row>
    <row r="272">
      <c r="A272" t="inlineStr">
        <is>
          <t>TSP-558</t>
        </is>
      </c>
      <c r="B272" t="inlineStr">
        <is>
          <t>CHEM-1450</t>
        </is>
      </c>
      <c r="C272" t="n">
        <v>0.4352670144</v>
      </c>
      <c r="D272">
        <f>IFERROR(MATCH($A272,PP_Grid[Intermediate],0),99999)</f>
        <v/>
      </c>
    </row>
    <row r="273">
      <c r="A273" t="inlineStr">
        <is>
          <t>TSP-558</t>
        </is>
      </c>
      <c r="B273" t="inlineStr">
        <is>
          <t>CHEM-1540</t>
        </is>
      </c>
      <c r="C273" t="n">
        <v>58.74589379708441</v>
      </c>
      <c r="D273">
        <f>IFERROR(MATCH($A273,PP_Grid[Intermediate],0),99999)</f>
        <v/>
      </c>
    </row>
    <row r="274">
      <c r="A274" t="inlineStr">
        <is>
          <t>TSP-558</t>
        </is>
      </c>
      <c r="B274" t="inlineStr">
        <is>
          <t>CHEM-1570</t>
        </is>
      </c>
      <c r="C274" t="n">
        <v>0.023655816</v>
      </c>
      <c r="D274">
        <f>IFERROR(MATCH($A274,PP_Grid[Intermediate],0),99999)</f>
        <v/>
      </c>
    </row>
    <row r="275">
      <c r="A275" t="inlineStr">
        <is>
          <t>TSP-558</t>
        </is>
      </c>
      <c r="B275" t="inlineStr">
        <is>
          <t>CHEM-1670</t>
        </is>
      </c>
      <c r="C275" t="n">
        <v>5.5141707096</v>
      </c>
      <c r="D275">
        <f>IFERROR(MATCH($A275,PP_Grid[Intermediate],0),99999)</f>
        <v/>
      </c>
    </row>
    <row r="276">
      <c r="A276" t="inlineStr">
        <is>
          <t>TSP-558</t>
        </is>
      </c>
      <c r="B276" t="inlineStr">
        <is>
          <t>SOL-SH</t>
        </is>
      </c>
      <c r="C276" t="n">
        <v>13.42364465953872</v>
      </c>
      <c r="D276">
        <f>IFERROR(MATCH($A276,PP_Grid[Intermediate],0),99999)</f>
        <v/>
      </c>
    </row>
    <row r="277">
      <c r="A277" t="inlineStr">
        <is>
          <t>TSP-558</t>
        </is>
      </c>
      <c r="B277" t="inlineStr">
        <is>
          <t>TPP-533</t>
        </is>
      </c>
      <c r="C277" t="n">
        <v>58.16137200839999</v>
      </c>
      <c r="D277">
        <f>IFERROR(MATCH($A277,PP_Grid[Intermediate],0),99999)</f>
        <v/>
      </c>
    </row>
    <row r="278">
      <c r="A278" t="inlineStr">
        <is>
          <t>TSP-558</t>
        </is>
      </c>
      <c r="B278" t="inlineStr">
        <is>
          <t>TPP-537</t>
        </is>
      </c>
      <c r="C278" t="n">
        <v>35.9284533408</v>
      </c>
      <c r="D278">
        <f>IFERROR(MATCH($A278,PP_Grid[Intermediate],0),99999)</f>
        <v/>
      </c>
    </row>
    <row r="279">
      <c r="A279" t="inlineStr">
        <is>
          <t>TSP-618</t>
        </is>
      </c>
      <c r="B279" t="inlineStr">
        <is>
          <t>CHEM-1400</t>
        </is>
      </c>
      <c r="C279" t="n">
        <v>1.237217256</v>
      </c>
      <c r="D279">
        <f>IFERROR(MATCH($A279,PP_Grid[Intermediate],0),99999)</f>
        <v/>
      </c>
    </row>
    <row r="280">
      <c r="A280" t="inlineStr">
        <is>
          <t>TSP-618</t>
        </is>
      </c>
      <c r="B280" t="inlineStr">
        <is>
          <t>CHEM-1420</t>
        </is>
      </c>
      <c r="C280" t="n">
        <v>0.676784988</v>
      </c>
      <c r="D280">
        <f>IFERROR(MATCH($A280,PP_Grid[Intermediate],0),99999)</f>
        <v/>
      </c>
    </row>
    <row r="281">
      <c r="A281" t="inlineStr">
        <is>
          <t>TSP-618</t>
        </is>
      </c>
      <c r="B281" t="inlineStr">
        <is>
          <t>CHEM-1440</t>
        </is>
      </c>
      <c r="C281" t="n">
        <v>1.335147462</v>
      </c>
      <c r="D281">
        <f>IFERROR(MATCH($A281,PP_Grid[Intermediate],0),99999)</f>
        <v/>
      </c>
    </row>
    <row r="282">
      <c r="A282" t="inlineStr">
        <is>
          <t>TSP-618</t>
        </is>
      </c>
      <c r="B282" t="inlineStr">
        <is>
          <t>CHEM-1510</t>
        </is>
      </c>
      <c r="C282" t="n">
        <v>0.14290216121808</v>
      </c>
      <c r="D282">
        <f>IFERROR(MATCH($A282,PP_Grid[Intermediate],0),99999)</f>
        <v/>
      </c>
    </row>
    <row r="283">
      <c r="A283" t="inlineStr">
        <is>
          <t>TSP-618</t>
        </is>
      </c>
      <c r="B283" t="inlineStr">
        <is>
          <t>CHEM-1570</t>
        </is>
      </c>
      <c r="C283" t="n">
        <v>0.004766583096</v>
      </c>
      <c r="D283">
        <f>IFERROR(MATCH($A283,PP_Grid[Intermediate],0),99999)</f>
        <v/>
      </c>
    </row>
    <row r="284">
      <c r="A284" t="inlineStr">
        <is>
          <t>TSP-618</t>
        </is>
      </c>
      <c r="B284" t="inlineStr">
        <is>
          <t>CHEM-1600</t>
        </is>
      </c>
      <c r="C284" t="n">
        <v>4.868826303409199</v>
      </c>
      <c r="D284">
        <f>IFERROR(MATCH($A284,PP_Grid[Intermediate],0),99999)</f>
        <v/>
      </c>
    </row>
    <row r="285">
      <c r="A285" t="inlineStr">
        <is>
          <t>TSP-618</t>
        </is>
      </c>
      <c r="B285" t="inlineStr">
        <is>
          <t>CHEM-1690</t>
        </is>
      </c>
      <c r="C285" t="n">
        <v>9.543831858000001</v>
      </c>
      <c r="D285">
        <f>IFERROR(MATCH($A285,PP_Grid[Intermediate],0),99999)</f>
        <v/>
      </c>
    </row>
    <row r="286">
      <c r="A286" t="inlineStr">
        <is>
          <t>TSP-618</t>
        </is>
      </c>
      <c r="B286" t="inlineStr">
        <is>
          <t>TPP-609</t>
        </is>
      </c>
      <c r="C286" t="n">
        <v>43.570215216</v>
      </c>
      <c r="D286">
        <f>IFERROR(MATCH($A286,PP_Grid[Intermediate],0),99999)</f>
        <v/>
      </c>
    </row>
    <row r="287">
      <c r="A287" t="inlineStr">
        <is>
          <t>TSP-618</t>
        </is>
      </c>
      <c r="B287" t="inlineStr">
        <is>
          <t>TSZ-616</t>
        </is>
      </c>
      <c r="C287" t="n">
        <v>4.766583096000001</v>
      </c>
      <c r="D287">
        <f>IFERROR(MATCH($A287,PP_Grid[Intermediate],0),99999)</f>
        <v/>
      </c>
    </row>
    <row r="288">
      <c r="A288" t="inlineStr">
        <is>
          <t>TSP-620</t>
        </is>
      </c>
      <c r="B288" t="inlineStr">
        <is>
          <t>CHEM-1400</t>
        </is>
      </c>
      <c r="C288" t="n">
        <v>1.04535</v>
      </c>
      <c r="D288">
        <f>IFERROR(MATCH($A288,PP_Grid[Intermediate],0),99999)</f>
        <v/>
      </c>
    </row>
    <row r="289">
      <c r="A289" t="inlineStr">
        <is>
          <t>TSP-620</t>
        </is>
      </c>
      <c r="B289" t="inlineStr">
        <is>
          <t>CHEM-1420</t>
        </is>
      </c>
      <c r="C289" t="n">
        <v>0.70518</v>
      </c>
      <c r="D289">
        <f>IFERROR(MATCH($A289,PP_Grid[Intermediate],0),99999)</f>
        <v/>
      </c>
    </row>
    <row r="290">
      <c r="A290" t="inlineStr">
        <is>
          <t>TSP-620</t>
        </is>
      </c>
      <c r="B290" t="inlineStr">
        <is>
          <t>CHEM-1440</t>
        </is>
      </c>
      <c r="C290" t="n">
        <v>1.05777</v>
      </c>
      <c r="D290">
        <f>IFERROR(MATCH($A290,PP_Grid[Intermediate],0),99999)</f>
        <v/>
      </c>
    </row>
    <row r="291">
      <c r="A291" t="inlineStr">
        <is>
          <t>TSP-620</t>
        </is>
      </c>
      <c r="B291" t="inlineStr">
        <is>
          <t>CHEM-1540</t>
        </is>
      </c>
      <c r="C291" t="n">
        <v>36.85221</v>
      </c>
      <c r="D291">
        <f>IFERROR(MATCH($A291,PP_Grid[Intermediate],0),99999)</f>
        <v/>
      </c>
    </row>
    <row r="292">
      <c r="A292" t="inlineStr">
        <is>
          <t>TSP-620</t>
        </is>
      </c>
      <c r="B292" t="inlineStr">
        <is>
          <t>CHEM-1570</t>
        </is>
      </c>
      <c r="C292" t="n">
        <v>0.06900000000000001</v>
      </c>
      <c r="D292">
        <f>IFERROR(MATCH($A292,PP_Grid[Intermediate],0),99999)</f>
        <v/>
      </c>
    </row>
    <row r="293">
      <c r="A293" t="inlineStr">
        <is>
          <t>TSP-620</t>
        </is>
      </c>
      <c r="B293" t="inlineStr">
        <is>
          <t>CHEM-1650</t>
        </is>
      </c>
      <c r="C293" t="n">
        <v>0.0276</v>
      </c>
      <c r="D293">
        <f>IFERROR(MATCH($A293,PP_Grid[Intermediate],0),99999)</f>
        <v/>
      </c>
    </row>
    <row r="294">
      <c r="A294" t="inlineStr">
        <is>
          <t>TSP-620</t>
        </is>
      </c>
      <c r="B294" t="inlineStr">
        <is>
          <t>CHEM-1680</t>
        </is>
      </c>
      <c r="C294" t="n">
        <v>18.1726513848</v>
      </c>
      <c r="D294">
        <f>IFERROR(MATCH($A294,PP_Grid[Intermediate],0),99999)</f>
        <v/>
      </c>
    </row>
    <row r="295">
      <c r="A295" t="inlineStr">
        <is>
          <t>TSP-620</t>
        </is>
      </c>
      <c r="B295" t="inlineStr">
        <is>
          <t>CHEM-1700</t>
        </is>
      </c>
      <c r="C295" t="n">
        <v>1.71258</v>
      </c>
      <c r="D295">
        <f>IFERROR(MATCH($A295,PP_Grid[Intermediate],0),99999)</f>
        <v/>
      </c>
    </row>
    <row r="296">
      <c r="A296" t="inlineStr">
        <is>
          <t>TSP-620</t>
        </is>
      </c>
      <c r="B296" t="inlineStr">
        <is>
          <t>SOL-SH</t>
        </is>
      </c>
      <c r="C296" t="n">
        <v>7.602247224</v>
      </c>
      <c r="D296">
        <f>IFERROR(MATCH($A296,PP_Grid[Intermediate],0),99999)</f>
        <v/>
      </c>
    </row>
    <row r="297">
      <c r="A297" t="inlineStr">
        <is>
          <t>TSP-620</t>
        </is>
      </c>
      <c r="B297" t="inlineStr">
        <is>
          <t>TPP-611</t>
        </is>
      </c>
      <c r="C297" t="n">
        <v>17.82891</v>
      </c>
      <c r="D297">
        <f>IFERROR(MATCH($A297,PP_Grid[Intermediate],0),99999)</f>
        <v/>
      </c>
    </row>
    <row r="298">
      <c r="A298" t="inlineStr">
        <is>
          <t>TSP-623</t>
        </is>
      </c>
      <c r="B298" t="inlineStr">
        <is>
          <t>CHEM-1400</t>
        </is>
      </c>
      <c r="C298" t="n">
        <v>1.04673</v>
      </c>
      <c r="D298">
        <f>IFERROR(MATCH($A298,PP_Grid[Intermediate],0),99999)</f>
        <v/>
      </c>
    </row>
    <row r="299">
      <c r="A299" t="inlineStr">
        <is>
          <t>TSP-623</t>
        </is>
      </c>
      <c r="B299" t="inlineStr">
        <is>
          <t>CHEM-1420</t>
        </is>
      </c>
      <c r="C299" t="n">
        <v>0.70587</v>
      </c>
      <c r="D299">
        <f>IFERROR(MATCH($A299,PP_Grid[Intermediate],0),99999)</f>
        <v/>
      </c>
    </row>
    <row r="300">
      <c r="A300" t="inlineStr">
        <is>
          <t>TSP-623</t>
        </is>
      </c>
      <c r="B300" t="inlineStr">
        <is>
          <t>CHEM-1440</t>
        </is>
      </c>
      <c r="C300" t="n">
        <v>1.05915</v>
      </c>
      <c r="D300">
        <f>IFERROR(MATCH($A300,PP_Grid[Intermediate],0),99999)</f>
        <v/>
      </c>
    </row>
    <row r="301">
      <c r="A301" t="inlineStr">
        <is>
          <t>TSP-623</t>
        </is>
      </c>
      <c r="B301" t="inlineStr">
        <is>
          <t>CHEM-1540</t>
        </is>
      </c>
      <c r="C301" t="n">
        <v>36.89568</v>
      </c>
      <c r="D301">
        <f>IFERROR(MATCH($A301,PP_Grid[Intermediate],0),99999)</f>
        <v/>
      </c>
    </row>
    <row r="302">
      <c r="A302" t="inlineStr">
        <is>
          <t>TSP-623</t>
        </is>
      </c>
      <c r="B302" t="inlineStr">
        <is>
          <t>CHEM-1570</t>
        </is>
      </c>
      <c r="C302" t="n">
        <v>0.06900000000000001</v>
      </c>
      <c r="D302">
        <f>IFERROR(MATCH($A302,PP_Grid[Intermediate],0),99999)</f>
        <v/>
      </c>
    </row>
    <row r="303">
      <c r="A303" t="inlineStr">
        <is>
          <t>TSP-623</t>
        </is>
      </c>
      <c r="B303" t="inlineStr">
        <is>
          <t>CHEM-1650</t>
        </is>
      </c>
      <c r="C303" t="n">
        <v>0.0276</v>
      </c>
      <c r="D303">
        <f>IFERROR(MATCH($A303,PP_Grid[Intermediate],0),99999)</f>
        <v/>
      </c>
    </row>
    <row r="304">
      <c r="A304" t="inlineStr">
        <is>
          <t>TSP-623</t>
        </is>
      </c>
      <c r="B304" t="inlineStr">
        <is>
          <t>CHEM-1680</t>
        </is>
      </c>
      <c r="C304" t="n">
        <v>18.1944404187</v>
      </c>
      <c r="D304">
        <f>IFERROR(MATCH($A304,PP_Grid[Intermediate],0),99999)</f>
        <v/>
      </c>
    </row>
    <row r="305">
      <c r="A305" t="inlineStr">
        <is>
          <t>TSP-623</t>
        </is>
      </c>
      <c r="B305" t="inlineStr">
        <is>
          <t>CHEM-1700</t>
        </is>
      </c>
      <c r="C305" t="n">
        <v>1.71465</v>
      </c>
      <c r="D305">
        <f>IFERROR(MATCH($A305,PP_Grid[Intermediate],0),99999)</f>
        <v/>
      </c>
    </row>
    <row r="306">
      <c r="A306" t="inlineStr">
        <is>
          <t>TSP-623</t>
        </is>
      </c>
      <c r="B306" t="inlineStr">
        <is>
          <t>SOL-SH</t>
        </is>
      </c>
      <c r="C306" t="n">
        <v>4.56677949</v>
      </c>
      <c r="D306">
        <f>IFERROR(MATCH($A306,PP_Grid[Intermediate],0),99999)</f>
        <v/>
      </c>
    </row>
    <row r="307">
      <c r="A307" t="inlineStr">
        <is>
          <t>TSP-623</t>
        </is>
      </c>
      <c r="B307" t="inlineStr">
        <is>
          <t>TPP-613</t>
        </is>
      </c>
      <c r="C307" t="n">
        <v>17.76957</v>
      </c>
      <c r="D307">
        <f>IFERROR(MATCH($A307,PP_Grid[Intermediate],0),99999)</f>
        <v/>
      </c>
    </row>
    <row r="308">
      <c r="A308" t="inlineStr">
        <is>
          <t>TSP-655</t>
        </is>
      </c>
      <c r="B308" t="inlineStr">
        <is>
          <t>CHEM-1400</t>
        </is>
      </c>
      <c r="C308" t="n">
        <v>4.659256800000001</v>
      </c>
      <c r="D308">
        <f>IFERROR(MATCH($A308,PP_Grid[Intermediate],0),99999)</f>
        <v/>
      </c>
    </row>
    <row r="309">
      <c r="A309" t="inlineStr">
        <is>
          <t>TSP-655</t>
        </is>
      </c>
      <c r="B309" t="inlineStr">
        <is>
          <t>CHEM-1420</t>
        </is>
      </c>
      <c r="C309" t="n">
        <v>2.6938164</v>
      </c>
      <c r="D309">
        <f>IFERROR(MATCH($A309,PP_Grid[Intermediate],0),99999)</f>
        <v/>
      </c>
    </row>
    <row r="310">
      <c r="A310" t="inlineStr">
        <is>
          <t>TSP-655</t>
        </is>
      </c>
      <c r="B310" t="inlineStr">
        <is>
          <t>CHEM-1530</t>
        </is>
      </c>
      <c r="C310" t="n">
        <v>82.93970520000001</v>
      </c>
      <c r="D310">
        <f>IFERROR(MATCH($A310,PP_Grid[Intermediate],0),99999)</f>
        <v/>
      </c>
    </row>
    <row r="311">
      <c r="A311" t="inlineStr">
        <is>
          <t>TSP-655</t>
        </is>
      </c>
      <c r="B311" t="inlineStr">
        <is>
          <t>CHEM-1570</t>
        </is>
      </c>
      <c r="C311" t="n">
        <v>0.9727343999999999</v>
      </c>
      <c r="D311">
        <f>IFERROR(MATCH($A311,PP_Grid[Intermediate],0),99999)</f>
        <v/>
      </c>
    </row>
    <row r="312">
      <c r="A312" t="inlineStr">
        <is>
          <t>TSP-655</t>
        </is>
      </c>
      <c r="B312" t="inlineStr">
        <is>
          <t>CHEM-1650</t>
        </is>
      </c>
      <c r="C312" t="n">
        <v>0.04699200000000001</v>
      </c>
      <c r="D312">
        <f>IFERROR(MATCH($A312,PP_Grid[Intermediate],0),99999)</f>
        <v/>
      </c>
    </row>
    <row r="313">
      <c r="A313" t="inlineStr">
        <is>
          <t>TSP-655</t>
        </is>
      </c>
      <c r="B313" t="inlineStr">
        <is>
          <t>CHEM-1660</t>
        </is>
      </c>
      <c r="C313" t="n">
        <v>11.6704632</v>
      </c>
      <c r="D313">
        <f>IFERROR(MATCH($A313,PP_Grid[Intermediate],0),99999)</f>
        <v/>
      </c>
    </row>
    <row r="314">
      <c r="A314" t="inlineStr">
        <is>
          <t>TSP-655</t>
        </is>
      </c>
      <c r="B314" t="inlineStr">
        <is>
          <t>SOL-10H</t>
        </is>
      </c>
      <c r="C314" t="n">
        <v>64.33779923340001</v>
      </c>
      <c r="D314">
        <f>IFERROR(MATCH($A314,PP_Grid[Intermediate],0),99999)</f>
        <v/>
      </c>
    </row>
    <row r="315">
      <c r="A315" t="inlineStr">
        <is>
          <t>TSP-655</t>
        </is>
      </c>
      <c r="B315" t="inlineStr">
        <is>
          <t>TPP-649</t>
        </is>
      </c>
      <c r="C315" t="n">
        <v>32.1930444</v>
      </c>
      <c r="D315">
        <f>IFERROR(MATCH($A315,PP_Grid[Intermediate],0),99999)</f>
        <v/>
      </c>
    </row>
    <row r="316">
      <c r="A316" t="inlineStr">
        <is>
          <t>TSP-656</t>
        </is>
      </c>
      <c r="B316" t="inlineStr">
        <is>
          <t>CHEM-1250</t>
        </is>
      </c>
      <c r="C316" t="n">
        <v>5.78292</v>
      </c>
      <c r="D316">
        <f>IFERROR(MATCH($A316,PP_Grid[Intermediate],0),99999)</f>
        <v/>
      </c>
    </row>
    <row r="317">
      <c r="A317" t="inlineStr">
        <is>
          <t>TSP-656</t>
        </is>
      </c>
      <c r="B317" t="inlineStr">
        <is>
          <t>CHEM-1400</t>
        </is>
      </c>
      <c r="C317" t="n">
        <v>2.77398</v>
      </c>
      <c r="D317">
        <f>IFERROR(MATCH($A317,PP_Grid[Intermediate],0),99999)</f>
        <v/>
      </c>
    </row>
    <row r="318">
      <c r="A318" t="inlineStr">
        <is>
          <t>TSP-656</t>
        </is>
      </c>
      <c r="B318" t="inlineStr">
        <is>
          <t>CHEM-1420</t>
        </is>
      </c>
      <c r="C318" t="n">
        <v>1.85196</v>
      </c>
      <c r="D318">
        <f>IFERROR(MATCH($A318,PP_Grid[Intermediate],0),99999)</f>
        <v/>
      </c>
    </row>
    <row r="319">
      <c r="A319" t="inlineStr">
        <is>
          <t>TSP-656</t>
        </is>
      </c>
      <c r="B319" t="inlineStr">
        <is>
          <t>CHEM-1530</t>
        </is>
      </c>
      <c r="C319" t="n">
        <v>36.1800857088</v>
      </c>
      <c r="D319">
        <f>IFERROR(MATCH($A319,PP_Grid[Intermediate],0),99999)</f>
        <v/>
      </c>
    </row>
    <row r="320">
      <c r="A320" t="inlineStr">
        <is>
          <t>TSP-656</t>
        </is>
      </c>
      <c r="B320" t="inlineStr">
        <is>
          <t>CHEM-1570</t>
        </is>
      </c>
      <c r="C320" t="n">
        <v>0.46068</v>
      </c>
      <c r="D320">
        <f>IFERROR(MATCH($A320,PP_Grid[Intermediate],0),99999)</f>
        <v/>
      </c>
    </row>
    <row r="321">
      <c r="A321" t="inlineStr">
        <is>
          <t>TSP-656</t>
        </is>
      </c>
      <c r="B321" t="inlineStr">
        <is>
          <t>CHEM-1660</t>
        </is>
      </c>
      <c r="C321" t="n">
        <v>6.55182</v>
      </c>
      <c r="D321">
        <f>IFERROR(MATCH($A321,PP_Grid[Intermediate],0),99999)</f>
        <v/>
      </c>
    </row>
    <row r="322">
      <c r="A322" t="inlineStr">
        <is>
          <t>TSP-656</t>
        </is>
      </c>
      <c r="B322" t="inlineStr">
        <is>
          <t>TPP-650</t>
        </is>
      </c>
      <c r="C322" t="n">
        <v>58.15986</v>
      </c>
      <c r="D322">
        <f>IFERROR(MATCH($A322,PP_Grid[Intermediate],0),99999)</f>
        <v/>
      </c>
    </row>
    <row r="323">
      <c r="A323" t="inlineStr">
        <is>
          <t>TSP-668</t>
        </is>
      </c>
      <c r="B323" t="inlineStr">
        <is>
          <t>CHEM-1010</t>
        </is>
      </c>
      <c r="C323" t="n">
        <v>0.4565592205206054</v>
      </c>
      <c r="D323">
        <f>IFERROR(MATCH($A323,PP_Grid[Intermediate],0),99999)</f>
        <v/>
      </c>
    </row>
    <row r="324">
      <c r="A324" t="inlineStr">
        <is>
          <t>TSP-668</t>
        </is>
      </c>
      <c r="B324" t="inlineStr">
        <is>
          <t>CHEM-1240</t>
        </is>
      </c>
      <c r="C324" t="n">
        <v>24.15183064</v>
      </c>
      <c r="D324">
        <f>IFERROR(MATCH($A324,PP_Grid[Intermediate],0),99999)</f>
        <v/>
      </c>
    </row>
    <row r="325">
      <c r="A325" t="inlineStr">
        <is>
          <t>TSP-668</t>
        </is>
      </c>
      <c r="B325" t="inlineStr">
        <is>
          <t>CHEM-1250</t>
        </is>
      </c>
      <c r="C325" t="n">
        <v>19.28953598</v>
      </c>
      <c r="D325">
        <f>IFERROR(MATCH($A325,PP_Grid[Intermediate],0),99999)</f>
        <v/>
      </c>
    </row>
    <row r="326">
      <c r="A326" t="inlineStr">
        <is>
          <t>TSP-668</t>
        </is>
      </c>
      <c r="B326" t="inlineStr">
        <is>
          <t>CHEM-1420</t>
        </is>
      </c>
      <c r="C326" t="n">
        <v>1.11626108</v>
      </c>
      <c r="D326">
        <f>IFERROR(MATCH($A326,PP_Grid[Intermediate],0),99999)</f>
        <v/>
      </c>
    </row>
    <row r="327">
      <c r="A327" t="inlineStr">
        <is>
          <t>TSP-668</t>
        </is>
      </c>
      <c r="B327" t="inlineStr">
        <is>
          <t>CHEM-1440</t>
        </is>
      </c>
      <c r="C327" t="n">
        <v>1.90209898</v>
      </c>
      <c r="D327">
        <f>IFERROR(MATCH($A327,PP_Grid[Intermediate],0),99999)</f>
        <v/>
      </c>
    </row>
    <row r="328">
      <c r="A328" t="inlineStr">
        <is>
          <t>TSP-668</t>
        </is>
      </c>
      <c r="B328" t="inlineStr">
        <is>
          <t>SOL-20P</t>
        </is>
      </c>
      <c r="C328" t="n">
        <v>18.7344776578008</v>
      </c>
      <c r="D328">
        <f>IFERROR(MATCH($A328,PP_Grid[Intermediate],0),99999)</f>
        <v/>
      </c>
    </row>
    <row r="329">
      <c r="A329" t="inlineStr">
        <is>
          <t>TSP-668</t>
        </is>
      </c>
      <c r="B329" t="inlineStr">
        <is>
          <t>TPP-699</t>
        </is>
      </c>
      <c r="C329" t="n">
        <v>38.80059162</v>
      </c>
      <c r="D329">
        <f>IFERROR(MATCH($A329,PP_Grid[Intermediate],0),99999)</f>
        <v/>
      </c>
    </row>
    <row r="330">
      <c r="A330" t="inlineStr">
        <is>
          <t>TSP-669</t>
        </is>
      </c>
      <c r="B330" t="inlineStr">
        <is>
          <t>CHEM-1010</t>
        </is>
      </c>
      <c r="C330" t="n">
        <v>0.3887611257351394</v>
      </c>
      <c r="D330">
        <f>IFERROR(MATCH($A330,PP_Grid[Intermediate],0),99999)</f>
        <v/>
      </c>
    </row>
    <row r="331">
      <c r="A331" t="inlineStr">
        <is>
          <t>TSP-669</t>
        </is>
      </c>
      <c r="B331" t="inlineStr">
        <is>
          <t>CHEM-1240</t>
        </is>
      </c>
      <c r="C331" t="n">
        <v>22.435374</v>
      </c>
      <c r="D331">
        <f>IFERROR(MATCH($A331,PP_Grid[Intermediate],0),99999)</f>
        <v/>
      </c>
    </row>
    <row r="332">
      <c r="A332" t="inlineStr">
        <is>
          <t>TSP-669</t>
        </is>
      </c>
      <c r="B332" t="inlineStr">
        <is>
          <t>CHEM-1250</t>
        </is>
      </c>
      <c r="C332" t="n">
        <v>17.918655</v>
      </c>
      <c r="D332">
        <f>IFERROR(MATCH($A332,PP_Grid[Intermediate],0),99999)</f>
        <v/>
      </c>
    </row>
    <row r="333">
      <c r="A333" t="inlineStr">
        <is>
          <t>TSP-669</t>
        </is>
      </c>
      <c r="B333" t="inlineStr">
        <is>
          <t>CHEM-1420</t>
        </is>
      </c>
      <c r="C333" t="n">
        <v>1.154745</v>
      </c>
      <c r="D333">
        <f>IFERROR(MATCH($A333,PP_Grid[Intermediate],0),99999)</f>
        <v/>
      </c>
    </row>
    <row r="334">
      <c r="A334" t="inlineStr">
        <is>
          <t>TSP-669</t>
        </is>
      </c>
      <c r="B334" t="inlineStr">
        <is>
          <t>CHEM-1440</t>
        </is>
      </c>
      <c r="C334" t="n">
        <v>1.41327</v>
      </c>
      <c r="D334">
        <f>IFERROR(MATCH($A334,PP_Grid[Intermediate],0),99999)</f>
        <v/>
      </c>
    </row>
    <row r="335">
      <c r="A335" t="inlineStr">
        <is>
          <t>TSP-669</t>
        </is>
      </c>
      <c r="B335" t="inlineStr">
        <is>
          <t>SOL-20P</t>
        </is>
      </c>
      <c r="C335" t="n">
        <v>15.95244668589</v>
      </c>
      <c r="D335">
        <f>IFERROR(MATCH($A335,PP_Grid[Intermediate],0),99999)</f>
        <v/>
      </c>
    </row>
    <row r="336">
      <c r="A336" t="inlineStr">
        <is>
          <t>TSP-669</t>
        </is>
      </c>
      <c r="B336" t="inlineStr">
        <is>
          <t>TPP-700</t>
        </is>
      </c>
      <c r="C336" t="n">
        <v>35.98323300000001</v>
      </c>
      <c r="D336">
        <f>IFERROR(MATCH($A336,PP_Grid[Intermediate],0),99999)</f>
        <v/>
      </c>
    </row>
    <row r="337">
      <c r="A337" t="inlineStr">
        <is>
          <t>TSP-670</t>
        </is>
      </c>
      <c r="B337" t="inlineStr">
        <is>
          <t>CHEM-1010</t>
        </is>
      </c>
      <c r="C337" t="n">
        <v>0.2887206418409346</v>
      </c>
      <c r="D337">
        <f>IFERROR(MATCH($A337,PP_Grid[Intermediate],0),99999)</f>
        <v/>
      </c>
    </row>
    <row r="338">
      <c r="A338" t="inlineStr">
        <is>
          <t>TSP-670</t>
        </is>
      </c>
      <c r="B338" t="inlineStr">
        <is>
          <t>CHEM-1240</t>
        </is>
      </c>
      <c r="C338" t="n">
        <v>22.909854</v>
      </c>
      <c r="D338">
        <f>IFERROR(MATCH($A338,PP_Grid[Intermediate],0),99999)</f>
        <v/>
      </c>
    </row>
    <row r="339">
      <c r="A339" t="inlineStr">
        <is>
          <t>TSP-670</t>
        </is>
      </c>
      <c r="B339" t="inlineStr">
        <is>
          <t>CHEM-1250</t>
        </is>
      </c>
      <c r="C339" t="n">
        <v>18.2976585</v>
      </c>
      <c r="D339">
        <f>IFERROR(MATCH($A339,PP_Grid[Intermediate],0),99999)</f>
        <v/>
      </c>
    </row>
    <row r="340">
      <c r="A340" t="inlineStr">
        <is>
          <t>TSP-670</t>
        </is>
      </c>
      <c r="B340" t="inlineStr">
        <is>
          <t>CHEM-1420</t>
        </is>
      </c>
      <c r="C340" t="n">
        <v>1.166814</v>
      </c>
      <c r="D340">
        <f>IFERROR(MATCH($A340,PP_Grid[Intermediate],0),99999)</f>
        <v/>
      </c>
    </row>
    <row r="341">
      <c r="A341" t="inlineStr">
        <is>
          <t>TSP-670</t>
        </is>
      </c>
      <c r="B341" t="inlineStr">
        <is>
          <t>CHEM-1440</t>
        </is>
      </c>
      <c r="C341" t="n">
        <v>1.443288</v>
      </c>
      <c r="D341">
        <f>IFERROR(MATCH($A341,PP_Grid[Intermediate],0),99999)</f>
        <v/>
      </c>
    </row>
    <row r="342">
      <c r="A342" t="inlineStr">
        <is>
          <t>TSP-670</t>
        </is>
      </c>
      <c r="B342" t="inlineStr">
        <is>
          <t>SOL-20P</t>
        </is>
      </c>
      <c r="C342" t="n">
        <v>11.84737964058</v>
      </c>
      <c r="D342">
        <f>IFERROR(MATCH($A342,PP_Grid[Intermediate],0),99999)</f>
        <v/>
      </c>
    </row>
    <row r="343">
      <c r="A343" t="inlineStr">
        <is>
          <t>TSP-670</t>
        </is>
      </c>
      <c r="B343" t="inlineStr">
        <is>
          <t>TPP-701</t>
        </is>
      </c>
      <c r="C343" t="n">
        <v>36.564858</v>
      </c>
      <c r="D343">
        <f>IFERROR(MATCH($A343,PP_Grid[Intermediate],0),99999)</f>
        <v/>
      </c>
    </row>
    <row r="344">
      <c r="A344" t="inlineStr">
        <is>
          <t>TSP-710</t>
        </is>
      </c>
      <c r="B344" t="inlineStr">
        <is>
          <t>CHEM-1400</t>
        </is>
      </c>
      <c r="C344" t="n">
        <v>3.51466794</v>
      </c>
      <c r="D344">
        <f>IFERROR(MATCH($A344,PP_Grid[Intermediate],0),99999)</f>
        <v/>
      </c>
    </row>
    <row r="345">
      <c r="A345" t="inlineStr">
        <is>
          <t>TSP-710</t>
        </is>
      </c>
      <c r="B345" t="inlineStr">
        <is>
          <t>CHEM-1420</t>
        </is>
      </c>
      <c r="C345" t="n">
        <v>0.333498144</v>
      </c>
      <c r="D345">
        <f>IFERROR(MATCH($A345,PP_Grid[Intermediate],0),99999)</f>
        <v/>
      </c>
    </row>
    <row r="346">
      <c r="A346" t="inlineStr">
        <is>
          <t>TSP-710</t>
        </is>
      </c>
      <c r="B346" t="inlineStr">
        <is>
          <t>CHEM-1440</t>
        </is>
      </c>
      <c r="C346" t="n">
        <v>0.360810492</v>
      </c>
      <c r="D346">
        <f>IFERROR(MATCH($A346,PP_Grid[Intermediate],0),99999)</f>
        <v/>
      </c>
    </row>
    <row r="347">
      <c r="A347" t="inlineStr">
        <is>
          <t>TSP-710</t>
        </is>
      </c>
      <c r="B347" t="inlineStr">
        <is>
          <t>CHEM-1510</t>
        </is>
      </c>
      <c r="C347" t="n">
        <v>4.33403838</v>
      </c>
      <c r="D347">
        <f>IFERROR(MATCH($A347,PP_Grid[Intermediate],0),99999)</f>
        <v/>
      </c>
    </row>
    <row r="348">
      <c r="A348" t="inlineStr">
        <is>
          <t>TSP-710</t>
        </is>
      </c>
      <c r="B348" t="inlineStr">
        <is>
          <t>CHEM-1560</t>
        </is>
      </c>
      <c r="C348" t="n">
        <v>4.518037356</v>
      </c>
      <c r="D348">
        <f>IFERROR(MATCH($A348,PP_Grid[Intermediate],0),99999)</f>
        <v/>
      </c>
    </row>
    <row r="349">
      <c r="A349" t="inlineStr">
        <is>
          <t>TSP-710</t>
        </is>
      </c>
      <c r="B349" t="inlineStr">
        <is>
          <t>CHEM-1580</t>
        </is>
      </c>
      <c r="C349" t="n">
        <v>20.119138032</v>
      </c>
      <c r="D349">
        <f>IFERROR(MATCH($A349,PP_Grid[Intermediate],0),99999)</f>
        <v/>
      </c>
    </row>
    <row r="350">
      <c r="A350" t="inlineStr">
        <is>
          <t>TSP-710</t>
        </is>
      </c>
      <c r="B350" t="inlineStr">
        <is>
          <t>TPP-704</t>
        </is>
      </c>
      <c r="C350" t="n">
        <v>122.981753076</v>
      </c>
      <c r="D350">
        <f>IFERROR(MATCH($A350,PP_Grid[Intermediate],0),99999)</f>
        <v/>
      </c>
    </row>
    <row r="351">
      <c r="A351" t="inlineStr">
        <is>
          <t>TSP-828</t>
        </is>
      </c>
      <c r="B351" t="inlineStr">
        <is>
          <t>CHEM-1010</t>
        </is>
      </c>
      <c r="C351" t="n">
        <v>0.1698673291360542</v>
      </c>
      <c r="D351">
        <f>IFERROR(MATCH($A351,PP_Grid[Intermediate],0),99999)</f>
        <v/>
      </c>
    </row>
    <row r="352">
      <c r="A352" t="inlineStr">
        <is>
          <t>TSP-828</t>
        </is>
      </c>
      <c r="B352" t="inlineStr">
        <is>
          <t>CHEM-1400</t>
        </is>
      </c>
      <c r="C352" t="n">
        <v>3.0606426</v>
      </c>
      <c r="D352">
        <f>IFERROR(MATCH($A352,PP_Grid[Intermediate],0),99999)</f>
        <v/>
      </c>
    </row>
    <row r="353">
      <c r="A353" t="inlineStr">
        <is>
          <t>TSP-828</t>
        </is>
      </c>
      <c r="B353" t="inlineStr">
        <is>
          <t>CHEM-1420</t>
        </is>
      </c>
      <c r="C353" t="n">
        <v>0.8847377999999999</v>
      </c>
      <c r="D353">
        <f>IFERROR(MATCH($A353,PP_Grid[Intermediate],0),99999)</f>
        <v/>
      </c>
    </row>
    <row r="354">
      <c r="A354" t="inlineStr">
        <is>
          <t>TSP-828</t>
        </is>
      </c>
      <c r="B354" t="inlineStr">
        <is>
          <t>CHEM-1440</t>
        </is>
      </c>
      <c r="C354" t="n">
        <v>0.6957215999999999</v>
      </c>
      <c r="D354">
        <f>IFERROR(MATCH($A354,PP_Grid[Intermediate],0),99999)</f>
        <v/>
      </c>
    </row>
    <row r="355">
      <c r="A355" t="inlineStr">
        <is>
          <t>TSP-828</t>
        </is>
      </c>
      <c r="B355" t="inlineStr">
        <is>
          <t>CHEM-1570</t>
        </is>
      </c>
      <c r="C355" t="n">
        <v>0.0239598</v>
      </c>
      <c r="D355">
        <f>IFERROR(MATCH($A355,PP_Grid[Intermediate],0),99999)</f>
        <v/>
      </c>
    </row>
    <row r="356">
      <c r="A356" t="inlineStr">
        <is>
          <t>TSP-828</t>
        </is>
      </c>
      <c r="B356" t="inlineStr">
        <is>
          <t>CHEM-1600</t>
        </is>
      </c>
      <c r="C356" t="n">
        <v>3.6143802</v>
      </c>
      <c r="D356">
        <f>IFERROR(MATCH($A356,PP_Grid[Intermediate],0),99999)</f>
        <v/>
      </c>
    </row>
    <row r="357">
      <c r="A357" t="inlineStr">
        <is>
          <t>TSP-828</t>
        </is>
      </c>
      <c r="B357" t="inlineStr">
        <is>
          <t>SOL-20P</t>
        </is>
      </c>
      <c r="C357" t="n">
        <v>6.970345881659999</v>
      </c>
      <c r="D357">
        <f>IFERROR(MATCH($A357,PP_Grid[Intermediate],0),99999)</f>
        <v/>
      </c>
    </row>
    <row r="358">
      <c r="A358" t="inlineStr">
        <is>
          <t>TSP-828</t>
        </is>
      </c>
      <c r="B358" t="inlineStr">
        <is>
          <t>TPP-825</t>
        </is>
      </c>
      <c r="C358" t="n">
        <v>29.7687204</v>
      </c>
      <c r="D358">
        <f>IFERROR(MATCH($A358,PP_Grid[Intermediate],0),99999)</f>
        <v/>
      </c>
    </row>
    <row r="359">
      <c r="A359" t="inlineStr">
        <is>
          <t>TSP-903</t>
        </is>
      </c>
      <c r="B359" t="inlineStr">
        <is>
          <t>CHEM-1400</t>
        </is>
      </c>
      <c r="C359" t="n">
        <v>3.395907515</v>
      </c>
      <c r="D359">
        <f>IFERROR(MATCH($A359,PP_Grid[Intermediate],0),99999)</f>
        <v/>
      </c>
    </row>
    <row r="360">
      <c r="A360" t="inlineStr">
        <is>
          <t>TSP-903</t>
        </is>
      </c>
      <c r="B360" t="inlineStr">
        <is>
          <t>CHEM-1420</t>
        </is>
      </c>
      <c r="C360" t="n">
        <v>0.540933055</v>
      </c>
      <c r="D360">
        <f>IFERROR(MATCH($A360,PP_Grid[Intermediate],0),99999)</f>
        <v/>
      </c>
    </row>
    <row r="361">
      <c r="A361" t="inlineStr">
        <is>
          <t>TSP-903</t>
        </is>
      </c>
      <c r="B361" t="inlineStr">
        <is>
          <t>CHEM-1440</t>
        </is>
      </c>
      <c r="C361" t="n">
        <v>0.5238320099999999</v>
      </c>
      <c r="D361">
        <f>IFERROR(MATCH($A361,PP_Grid[Intermediate],0),99999)</f>
        <v/>
      </c>
    </row>
    <row r="362">
      <c r="A362" t="inlineStr">
        <is>
          <t>TSP-903</t>
        </is>
      </c>
      <c r="B362" t="inlineStr">
        <is>
          <t>CHEM-1530</t>
        </is>
      </c>
      <c r="C362" t="n">
        <v>13.287511965</v>
      </c>
      <c r="D362">
        <f>IFERROR(MATCH($A362,PP_Grid[Intermediate],0),99999)</f>
        <v/>
      </c>
    </row>
    <row r="363">
      <c r="A363" t="inlineStr">
        <is>
          <t>TSP-903</t>
        </is>
      </c>
      <c r="B363" t="inlineStr">
        <is>
          <t>CHEM-1570</t>
        </is>
      </c>
      <c r="C363" t="n">
        <v>0.0180011</v>
      </c>
      <c r="D363">
        <f>IFERROR(MATCH($A363,PP_Grid[Intermediate],0),99999)</f>
        <v/>
      </c>
    </row>
    <row r="364">
      <c r="A364" t="inlineStr">
        <is>
          <t>TSP-903</t>
        </is>
      </c>
      <c r="B364" t="inlineStr">
        <is>
          <t>CHEM-1650</t>
        </is>
      </c>
      <c r="C364" t="n">
        <v>0.0360022</v>
      </c>
      <c r="D364">
        <f>IFERROR(MATCH($A364,PP_Grid[Intermediate],0),99999)</f>
        <v/>
      </c>
    </row>
    <row r="365">
      <c r="A365" t="inlineStr">
        <is>
          <t>TSP-903</t>
        </is>
      </c>
      <c r="B365" t="inlineStr">
        <is>
          <t>CHEM-1670</t>
        </is>
      </c>
      <c r="C365" t="n">
        <v>3.001683425</v>
      </c>
      <c r="D365">
        <f>IFERROR(MATCH($A365,PP_Grid[Intermediate],0),99999)</f>
        <v/>
      </c>
    </row>
    <row r="366">
      <c r="A366" t="inlineStr">
        <is>
          <t>TSP-903</t>
        </is>
      </c>
      <c r="B366" t="inlineStr">
        <is>
          <t>CHEM-1690</t>
        </is>
      </c>
      <c r="C366" t="n">
        <v>8.734133719999999</v>
      </c>
      <c r="D366">
        <f>IFERROR(MATCH($A366,PP_Grid[Intermediate],0),99999)</f>
        <v/>
      </c>
    </row>
    <row r="367">
      <c r="A367" t="inlineStr">
        <is>
          <t>TSP-903</t>
        </is>
      </c>
      <c r="B367" t="inlineStr">
        <is>
          <t>CHEM-1770</t>
        </is>
      </c>
      <c r="C367" t="n">
        <v>43.71645186869545</v>
      </c>
      <c r="D367">
        <f>IFERROR(MATCH($A367,PP_Grid[Intermediate],0),99999)</f>
        <v/>
      </c>
    </row>
    <row r="368">
      <c r="A368" t="inlineStr">
        <is>
          <t>TSP-903</t>
        </is>
      </c>
      <c r="B368" t="inlineStr">
        <is>
          <t>CHEM-1780</t>
        </is>
      </c>
      <c r="C368" t="n">
        <v>0.051303135</v>
      </c>
      <c r="D368">
        <f>IFERROR(MATCH($A368,PP_Grid[Intermediate],0),99999)</f>
        <v/>
      </c>
    </row>
    <row r="369">
      <c r="A369" t="inlineStr">
        <is>
          <t>TSP-903</t>
        </is>
      </c>
      <c r="B369" t="inlineStr">
        <is>
          <t>SOL-10H</t>
        </is>
      </c>
      <c r="C369" t="n">
        <v>10.90712368071625</v>
      </c>
      <c r="D369">
        <f>IFERROR(MATCH($A369,PP_Grid[Intermediate],0),99999)</f>
        <v/>
      </c>
    </row>
    <row r="370">
      <c r="A370" t="inlineStr">
        <is>
          <t>TSP-903</t>
        </is>
      </c>
      <c r="B370" t="inlineStr">
        <is>
          <t>TPP-635</t>
        </is>
      </c>
      <c r="C370" t="n">
        <v>43.759774045</v>
      </c>
      <c r="D370">
        <f>IFERROR(MATCH($A370,PP_Grid[Intermediate],0),99999)</f>
        <v/>
      </c>
    </row>
    <row r="371">
      <c r="A371" t="inlineStr">
        <is>
          <t>TSP-924</t>
        </is>
      </c>
      <c r="B371" t="inlineStr">
        <is>
          <t>CHEM-1420</t>
        </is>
      </c>
      <c r="C371" t="n">
        <v>0.8602255875</v>
      </c>
      <c r="D371">
        <f>IFERROR(MATCH($A371,PP_Grid[Intermediate],0),99999)</f>
        <v/>
      </c>
    </row>
    <row r="372">
      <c r="A372" t="inlineStr">
        <is>
          <t>TSP-924</t>
        </is>
      </c>
      <c r="B372" t="inlineStr">
        <is>
          <t>CHEM-1440</t>
        </is>
      </c>
      <c r="C372" t="n">
        <v>1.811468592</v>
      </c>
      <c r="D372">
        <f>IFERROR(MATCH($A372,PP_Grid[Intermediate],0),99999)</f>
        <v/>
      </c>
    </row>
    <row r="373">
      <c r="A373" t="inlineStr">
        <is>
          <t>TSP-924</t>
        </is>
      </c>
      <c r="B373" t="inlineStr">
        <is>
          <t>CHEM-1510</t>
        </is>
      </c>
      <c r="C373" t="n">
        <v>0.4414174899319499</v>
      </c>
      <c r="D373">
        <f>IFERROR(MATCH($A373,PP_Grid[Intermediate],0),99999)</f>
        <v/>
      </c>
    </row>
    <row r="374">
      <c r="A374" t="inlineStr">
        <is>
          <t>TSP-924</t>
        </is>
      </c>
      <c r="B374" t="inlineStr">
        <is>
          <t>CHEM-1570</t>
        </is>
      </c>
      <c r="C374" t="n">
        <v>0.0147237321525</v>
      </c>
      <c r="D374">
        <f>IFERROR(MATCH($A374,PP_Grid[Intermediate],0),99999)</f>
        <v/>
      </c>
    </row>
    <row r="375">
      <c r="A375" t="inlineStr">
        <is>
          <t>TSP-924</t>
        </is>
      </c>
      <c r="B375" t="inlineStr">
        <is>
          <t>CHEM-1600</t>
        </is>
      </c>
      <c r="C375" t="n">
        <v>15.03955620717112</v>
      </c>
      <c r="D375">
        <f>IFERROR(MATCH($A375,PP_Grid[Intermediate],0),99999)</f>
        <v/>
      </c>
    </row>
    <row r="376">
      <c r="A376" t="inlineStr">
        <is>
          <t>TSP-924</t>
        </is>
      </c>
      <c r="B376" t="inlineStr">
        <is>
          <t>CHEM-1730</t>
        </is>
      </c>
      <c r="C376" t="n">
        <v>51.74444187137694</v>
      </c>
      <c r="D376">
        <f>IFERROR(MATCH($A376,PP_Grid[Intermediate],0),99999)</f>
        <v/>
      </c>
    </row>
    <row r="377">
      <c r="A377" t="inlineStr">
        <is>
          <t>TSP-924</t>
        </is>
      </c>
      <c r="B377" t="inlineStr">
        <is>
          <t>TPP-911</t>
        </is>
      </c>
      <c r="C377" t="n">
        <v>52.1008114215</v>
      </c>
      <c r="D377">
        <f>IFERROR(MATCH($A377,PP_Grid[Intermediate],0),99999)</f>
        <v/>
      </c>
    </row>
    <row r="378">
      <c r="A378" t="inlineStr">
        <is>
          <t>TSP-924</t>
        </is>
      </c>
      <c r="B378" t="inlineStr">
        <is>
          <t>TSZ-616</t>
        </is>
      </c>
      <c r="C378" t="n">
        <v>14.7237321525</v>
      </c>
      <c r="D378">
        <f>IFERROR(MATCH($A378,PP_Grid[Intermediate],0),99999)</f>
        <v/>
      </c>
    </row>
    <row r="379">
      <c r="A379" t="inlineStr">
        <is>
          <t>TSP-925</t>
        </is>
      </c>
      <c r="B379" t="inlineStr">
        <is>
          <t>CHEM-1420</t>
        </is>
      </c>
      <c r="C379" t="n">
        <v>0.866912343</v>
      </c>
      <c r="D379">
        <f>IFERROR(MATCH($A379,PP_Grid[Intermediate],0),99999)</f>
        <v/>
      </c>
    </row>
    <row r="380">
      <c r="A380" t="inlineStr">
        <is>
          <t>TSP-925</t>
        </is>
      </c>
      <c r="B380" t="inlineStr">
        <is>
          <t>CHEM-1440</t>
        </is>
      </c>
      <c r="C380" t="n">
        <v>1.824844932</v>
      </c>
      <c r="D380">
        <f>IFERROR(MATCH($A380,PP_Grid[Intermediate],0),99999)</f>
        <v/>
      </c>
    </row>
    <row r="381">
      <c r="A381" t="inlineStr">
        <is>
          <t>TSP-925</t>
        </is>
      </c>
      <c r="B381" t="inlineStr">
        <is>
          <t>CHEM-1510</t>
        </is>
      </c>
      <c r="C381" t="n">
        <v>0.44462588748834</v>
      </c>
      <c r="D381">
        <f>IFERROR(MATCH($A381,PP_Grid[Intermediate],0),99999)</f>
        <v/>
      </c>
    </row>
    <row r="382">
      <c r="A382" t="inlineStr">
        <is>
          <t>TSP-925</t>
        </is>
      </c>
      <c r="B382" t="inlineStr">
        <is>
          <t>CHEM-1570</t>
        </is>
      </c>
      <c r="C382" t="n">
        <v>0.014830750083</v>
      </c>
      <c r="D382">
        <f>IFERROR(MATCH($A382,PP_Grid[Intermediate],0),99999)</f>
        <v/>
      </c>
    </row>
    <row r="383">
      <c r="A383" t="inlineStr">
        <is>
          <t>TSP-925</t>
        </is>
      </c>
      <c r="B383" t="inlineStr">
        <is>
          <t>CHEM-1600</t>
        </is>
      </c>
      <c r="C383" t="n">
        <v>15.14886967228035</v>
      </c>
      <c r="D383">
        <f>IFERROR(MATCH($A383,PP_Grid[Intermediate],0),99999)</f>
        <v/>
      </c>
    </row>
    <row r="384">
      <c r="A384" t="inlineStr">
        <is>
          <t>TSP-925</t>
        </is>
      </c>
      <c r="B384" t="inlineStr">
        <is>
          <t>CHEM-1730</t>
        </is>
      </c>
      <c r="C384" t="n">
        <v>52.11819293730021</v>
      </c>
      <c r="D384">
        <f>IFERROR(MATCH($A384,PP_Grid[Intermediate],0),99999)</f>
        <v/>
      </c>
    </row>
    <row r="385">
      <c r="A385" t="inlineStr">
        <is>
          <t>TSP-925</t>
        </is>
      </c>
      <c r="B385" t="inlineStr">
        <is>
          <t>TPP-912</t>
        </is>
      </c>
      <c r="C385" t="n">
        <v>51.678409671</v>
      </c>
      <c r="D385">
        <f>IFERROR(MATCH($A385,PP_Grid[Intermediate],0),99999)</f>
        <v/>
      </c>
    </row>
    <row r="386">
      <c r="A386" t="inlineStr">
        <is>
          <t>TSP-925</t>
        </is>
      </c>
      <c r="B386" t="inlineStr">
        <is>
          <t>TSZ-616</t>
        </is>
      </c>
      <c r="C386" t="n">
        <v>14.830750083</v>
      </c>
      <c r="D386">
        <f>IFERROR(MATCH($A386,PP_Grid[Intermediate],0),99999)</f>
        <v/>
      </c>
    </row>
    <row r="387">
      <c r="A387" t="inlineStr">
        <is>
          <t>TSP-927</t>
        </is>
      </c>
      <c r="B387" t="inlineStr">
        <is>
          <t>CHEM-1420</t>
        </is>
      </c>
      <c r="C387" t="n">
        <v>0.3825</v>
      </c>
      <c r="D387">
        <f>IFERROR(MATCH($A387,PP_Grid[Intermediate],0),99999)</f>
        <v/>
      </c>
    </row>
    <row r="388">
      <c r="A388" t="inlineStr">
        <is>
          <t>TSP-927</t>
        </is>
      </c>
      <c r="B388" t="inlineStr">
        <is>
          <t>CHEM-1440</t>
        </is>
      </c>
      <c r="C388" t="n">
        <v>1.4433</v>
      </c>
      <c r="D388">
        <f>IFERROR(MATCH($A388,PP_Grid[Intermediate],0),99999)</f>
        <v/>
      </c>
    </row>
    <row r="389">
      <c r="A389" t="inlineStr">
        <is>
          <t>TSP-927</t>
        </is>
      </c>
      <c r="B389" t="inlineStr">
        <is>
          <t>CHEM-1540</t>
        </is>
      </c>
      <c r="C389" t="n">
        <v>64.69987499999999</v>
      </c>
      <c r="D389">
        <f>IFERROR(MATCH($A389,PP_Grid[Intermediate],0),99999)</f>
        <v/>
      </c>
    </row>
    <row r="390">
      <c r="A390" t="inlineStr">
        <is>
          <t>TSP-927</t>
        </is>
      </c>
      <c r="B390" t="inlineStr">
        <is>
          <t>CHEM-1680</t>
        </is>
      </c>
      <c r="C390" t="n">
        <v>26.2542628425</v>
      </c>
      <c r="D390">
        <f>IFERROR(MATCH($A390,PP_Grid[Intermediate],0),99999)</f>
        <v/>
      </c>
    </row>
    <row r="391">
      <c r="A391" t="inlineStr">
        <is>
          <t>TSP-927</t>
        </is>
      </c>
      <c r="B391" t="inlineStr">
        <is>
          <t>CHEM-1720</t>
        </is>
      </c>
      <c r="C391" t="n">
        <v>6.7983</v>
      </c>
      <c r="D391">
        <f>IFERROR(MATCH($A391,PP_Grid[Intermediate],0),99999)</f>
        <v/>
      </c>
    </row>
    <row r="392">
      <c r="A392" t="inlineStr">
        <is>
          <t>TSP-927</t>
        </is>
      </c>
      <c r="B392" t="inlineStr">
        <is>
          <t>SOL-SH</t>
        </is>
      </c>
      <c r="C392" t="n">
        <v>6.40679897175</v>
      </c>
      <c r="D392">
        <f>IFERROR(MATCH($A392,PP_Grid[Intermediate],0),99999)</f>
        <v/>
      </c>
    </row>
    <row r="393">
      <c r="A393" t="inlineStr">
        <is>
          <t>TSP-927</t>
        </is>
      </c>
      <c r="B393" t="inlineStr">
        <is>
          <t>TPP-914</t>
        </is>
      </c>
      <c r="C393" t="n">
        <v>25.636425</v>
      </c>
      <c r="D393">
        <f>IFERROR(MATCH($A393,PP_Grid[Intermediate],0),99999)</f>
        <v/>
      </c>
    </row>
    <row r="394">
      <c r="A394" t="inlineStr">
        <is>
          <t>TSP-928</t>
        </is>
      </c>
      <c r="B394" t="inlineStr">
        <is>
          <t>CHEM-1420</t>
        </is>
      </c>
      <c r="C394" t="n">
        <v>0.3779958</v>
      </c>
      <c r="D394">
        <f>IFERROR(MATCH($A394,PP_Grid[Intermediate],0),99999)</f>
        <v/>
      </c>
    </row>
    <row r="395">
      <c r="A395" t="inlineStr">
        <is>
          <t>TSP-928</t>
        </is>
      </c>
      <c r="B395" t="inlineStr">
        <is>
          <t>CHEM-1440</t>
        </is>
      </c>
      <c r="C395" t="n">
        <v>1.426304152</v>
      </c>
      <c r="D395">
        <f>IFERROR(MATCH($A395,PP_Grid[Intermediate],0),99999)</f>
        <v/>
      </c>
    </row>
    <row r="396">
      <c r="A396" t="inlineStr">
        <is>
          <t>TSP-928</t>
        </is>
      </c>
      <c r="B396" t="inlineStr">
        <is>
          <t>CHEM-1540</t>
        </is>
      </c>
      <c r="C396" t="n">
        <v>63.95940933199999</v>
      </c>
      <c r="D396">
        <f>IFERROR(MATCH($A396,PP_Grid[Intermediate],0),99999)</f>
        <v/>
      </c>
    </row>
    <row r="397">
      <c r="A397" t="inlineStr">
        <is>
          <t>TSP-928</t>
        </is>
      </c>
      <c r="B397" t="inlineStr">
        <is>
          <t>CHEM-1680</t>
        </is>
      </c>
      <c r="C397" t="n">
        <v>25.953272267104</v>
      </c>
      <c r="D397">
        <f>IFERROR(MATCH($A397,PP_Grid[Intermediate],0),99999)</f>
        <v/>
      </c>
    </row>
    <row r="398">
      <c r="A398" t="inlineStr">
        <is>
          <t>TSP-928</t>
        </is>
      </c>
      <c r="B398" t="inlineStr">
        <is>
          <t>CHEM-1720</t>
        </is>
      </c>
      <c r="C398" t="n">
        <v>6.719505338</v>
      </c>
      <c r="D398">
        <f>IFERROR(MATCH($A398,PP_Grid[Intermediate],0),99999)</f>
        <v/>
      </c>
    </row>
    <row r="399">
      <c r="A399" t="inlineStr">
        <is>
          <t>TSP-928</t>
        </is>
      </c>
      <c r="B399" t="inlineStr">
        <is>
          <t>SOL-SH</t>
        </is>
      </c>
      <c r="C399" t="n">
        <v>4.748907393776</v>
      </c>
      <c r="D399">
        <f>IFERROR(MATCH($A399,PP_Grid[Intermediate],0),99999)</f>
        <v/>
      </c>
    </row>
    <row r="400">
      <c r="A400" t="inlineStr">
        <is>
          <t>TSP-928</t>
        </is>
      </c>
      <c r="B400" t="inlineStr">
        <is>
          <t>TPP-915</t>
        </is>
      </c>
      <c r="C400" t="n">
        <v>25.30051888</v>
      </c>
      <c r="D400">
        <f>IFERROR(MATCH($A400,PP_Grid[Intermediate],0),99999)</f>
        <v/>
      </c>
    </row>
    <row r="401">
      <c r="A401" t="inlineStr">
        <is>
          <t>TSP-929</t>
        </is>
      </c>
      <c r="B401" t="inlineStr">
        <is>
          <t>CHEM-1420</t>
        </is>
      </c>
      <c r="C401" t="n">
        <v>0.387</v>
      </c>
      <c r="D401">
        <f>IFERROR(MATCH($A401,PP_Grid[Intermediate],0),99999)</f>
        <v/>
      </c>
    </row>
    <row r="402">
      <c r="A402" t="inlineStr">
        <is>
          <t>TSP-929</t>
        </is>
      </c>
      <c r="B402" t="inlineStr">
        <is>
          <t>CHEM-1440</t>
        </is>
      </c>
      <c r="C402" t="n">
        <v>1.46157</v>
      </c>
      <c r="D402">
        <f>IFERROR(MATCH($A402,PP_Grid[Intermediate],0),99999)</f>
        <v/>
      </c>
    </row>
    <row r="403">
      <c r="A403" t="inlineStr">
        <is>
          <t>TSP-929</t>
        </is>
      </c>
      <c r="B403" t="inlineStr">
        <is>
          <t>CHEM-1540</t>
        </is>
      </c>
      <c r="C403" t="n">
        <v>65.51007</v>
      </c>
      <c r="D403">
        <f>IFERROR(MATCH($A403,PP_Grid[Intermediate],0),99999)</f>
        <v/>
      </c>
    </row>
    <row r="404">
      <c r="A404" t="inlineStr">
        <is>
          <t>TSP-929</t>
        </is>
      </c>
      <c r="B404" t="inlineStr">
        <is>
          <t>CHEM-1680</t>
        </is>
      </c>
      <c r="C404" t="n">
        <v>26.5819158528</v>
      </c>
      <c r="D404">
        <f>IFERROR(MATCH($A404,PP_Grid[Intermediate],0),99999)</f>
        <v/>
      </c>
    </row>
    <row r="405">
      <c r="A405" t="inlineStr">
        <is>
          <t>TSP-929</t>
        </is>
      </c>
      <c r="B405" t="inlineStr">
        <is>
          <t>CHEM-1720</t>
        </is>
      </c>
      <c r="C405" t="n">
        <v>6.883439999999999</v>
      </c>
      <c r="D405">
        <f>IFERROR(MATCH($A405,PP_Grid[Intermediate],0),99999)</f>
        <v/>
      </c>
    </row>
    <row r="406">
      <c r="A406" t="inlineStr">
        <is>
          <t>TSP-929</t>
        </is>
      </c>
      <c r="B406" t="inlineStr">
        <is>
          <t>SOL-SH</t>
        </is>
      </c>
      <c r="C406" t="n">
        <v>2.9190349104</v>
      </c>
      <c r="D406">
        <f>IFERROR(MATCH($A406,PP_Grid[Intermediate],0),99999)</f>
        <v/>
      </c>
    </row>
    <row r="407">
      <c r="A407" t="inlineStr">
        <is>
          <t>TSP-929</t>
        </is>
      </c>
      <c r="B407" t="inlineStr">
        <is>
          <t>TPP-916</t>
        </is>
      </c>
      <c r="C407" t="n">
        <v>25.86192</v>
      </c>
      <c r="D407">
        <f>IFERROR(MATCH($A407,PP_Grid[Intermediate],0),99999)</f>
        <v/>
      </c>
    </row>
    <row r="408">
      <c r="A408" t="inlineStr">
        <is>
          <t>TSP-930</t>
        </is>
      </c>
      <c r="B408" t="inlineStr">
        <is>
          <t>CHEM-1420</t>
        </is>
      </c>
      <c r="C408" t="n">
        <v>0.387</v>
      </c>
      <c r="D408">
        <f>IFERROR(MATCH($A408,PP_Grid[Intermediate],0),99999)</f>
        <v/>
      </c>
    </row>
    <row r="409">
      <c r="A409" t="inlineStr">
        <is>
          <t>TSP-930</t>
        </is>
      </c>
      <c r="B409" t="inlineStr">
        <is>
          <t>CHEM-1440</t>
        </is>
      </c>
      <c r="C409" t="n">
        <v>1.46157</v>
      </c>
      <c r="D409">
        <f>IFERROR(MATCH($A409,PP_Grid[Intermediate],0),99999)</f>
        <v/>
      </c>
    </row>
    <row r="410">
      <c r="A410" t="inlineStr">
        <is>
          <t>TSP-930</t>
        </is>
      </c>
      <c r="B410" t="inlineStr">
        <is>
          <t>CHEM-1540</t>
        </is>
      </c>
      <c r="C410" t="n">
        <v>65.52297</v>
      </c>
      <c r="D410">
        <f>IFERROR(MATCH($A410,PP_Grid[Intermediate],0),99999)</f>
        <v/>
      </c>
    </row>
    <row r="411">
      <c r="A411" t="inlineStr">
        <is>
          <t>TSP-930</t>
        </is>
      </c>
      <c r="B411" t="inlineStr">
        <is>
          <t>CHEM-1680</t>
        </is>
      </c>
      <c r="C411" t="n">
        <v>26.5873177536</v>
      </c>
      <c r="D411">
        <f>IFERROR(MATCH($A411,PP_Grid[Intermediate],0),99999)</f>
        <v/>
      </c>
    </row>
    <row r="412">
      <c r="A412" t="inlineStr">
        <is>
          <t>TSP-930</t>
        </is>
      </c>
      <c r="B412" t="inlineStr">
        <is>
          <t>CHEM-1720</t>
        </is>
      </c>
      <c r="C412" t="n">
        <v>6.88473</v>
      </c>
      <c r="D412">
        <f>IFERROR(MATCH($A412,PP_Grid[Intermediate],0),99999)</f>
        <v/>
      </c>
    </row>
    <row r="413">
      <c r="A413" t="inlineStr">
        <is>
          <t>TSP-930</t>
        </is>
      </c>
      <c r="B413" t="inlineStr">
        <is>
          <t>SOL-SH</t>
        </is>
      </c>
      <c r="C413" t="n">
        <v>1.9463652096</v>
      </c>
      <c r="D413">
        <f>IFERROR(MATCH($A413,PP_Grid[Intermediate],0),99999)</f>
        <v/>
      </c>
    </row>
    <row r="414">
      <c r="A414" t="inlineStr">
        <is>
          <t>TSP-930</t>
        </is>
      </c>
      <c r="B414" t="inlineStr">
        <is>
          <t>TPP-917</t>
        </is>
      </c>
      <c r="C414" t="n">
        <v>25.84128</v>
      </c>
      <c r="D414">
        <f>IFERROR(MATCH($A414,PP_Grid[Intermediate],0),99999)</f>
        <v/>
      </c>
    </row>
    <row r="415">
      <c r="A415" t="inlineStr">
        <is>
          <t>TSP-934</t>
        </is>
      </c>
      <c r="B415" t="inlineStr">
        <is>
          <t>CHEM-1420</t>
        </is>
      </c>
      <c r="C415" t="n">
        <v>0.86913</v>
      </c>
      <c r="D415">
        <f>IFERROR(MATCH($A415,PP_Grid[Intermediate],0),99999)</f>
        <v/>
      </c>
    </row>
    <row r="416">
      <c r="A416" t="inlineStr">
        <is>
          <t>TSP-934</t>
        </is>
      </c>
      <c r="B416" t="inlineStr">
        <is>
          <t>CHEM-1440</t>
        </is>
      </c>
      <c r="C416" t="n">
        <v>1.64511</v>
      </c>
      <c r="D416">
        <f>IFERROR(MATCH($A416,PP_Grid[Intermediate],0),99999)</f>
        <v/>
      </c>
    </row>
    <row r="417">
      <c r="A417" t="inlineStr">
        <is>
          <t>TSP-934</t>
        </is>
      </c>
      <c r="B417" t="inlineStr">
        <is>
          <t>CHEM-1540</t>
        </is>
      </c>
      <c r="C417" t="n">
        <v>39.80502</v>
      </c>
      <c r="D417">
        <f>IFERROR(MATCH($A417,PP_Grid[Intermediate],0),99999)</f>
        <v/>
      </c>
    </row>
    <row r="418">
      <c r="A418" t="inlineStr">
        <is>
          <t>TSP-934</t>
        </is>
      </c>
      <c r="B418" t="inlineStr">
        <is>
          <t>CHEM-1570</t>
        </is>
      </c>
      <c r="C418" t="n">
        <v>0.0031021866</v>
      </c>
      <c r="D418">
        <f>IFERROR(MATCH($A418,PP_Grid[Intermediate],0),99999)</f>
        <v/>
      </c>
    </row>
    <row r="419">
      <c r="A419" t="inlineStr">
        <is>
          <t>TSP-934</t>
        </is>
      </c>
      <c r="B419" t="inlineStr">
        <is>
          <t>CHEM-1570</t>
        </is>
      </c>
      <c r="C419" t="n">
        <v>0.07857</v>
      </c>
      <c r="D419">
        <f>IFERROR(MATCH($A419,PP_Grid[Intermediate],0),99999)</f>
        <v/>
      </c>
    </row>
    <row r="420">
      <c r="A420" t="inlineStr">
        <is>
          <t>TSP-934</t>
        </is>
      </c>
      <c r="B420" t="inlineStr">
        <is>
          <t>CHEM-1650</t>
        </is>
      </c>
      <c r="C420" t="n">
        <v>0.0324</v>
      </c>
      <c r="D420">
        <f>IFERROR(MATCH($A420,PP_Grid[Intermediate],0),99999)</f>
        <v/>
      </c>
    </row>
    <row r="421">
      <c r="A421" t="inlineStr">
        <is>
          <t>TSP-934</t>
        </is>
      </c>
      <c r="B421" t="inlineStr">
        <is>
          <t>CHEM-1680</t>
        </is>
      </c>
      <c r="C421" t="n">
        <v>17.767034748</v>
      </c>
      <c r="D421">
        <f>IFERROR(MATCH($A421,PP_Grid[Intermediate],0),99999)</f>
        <v/>
      </c>
    </row>
    <row r="422">
      <c r="A422" t="inlineStr">
        <is>
          <t>TSP-934</t>
        </is>
      </c>
      <c r="B422" t="inlineStr">
        <is>
          <t>CHEM-1700</t>
        </is>
      </c>
      <c r="C422" t="n">
        <v>1.7253</v>
      </c>
      <c r="D422">
        <f>IFERROR(MATCH($A422,PP_Grid[Intermediate],0),99999)</f>
        <v/>
      </c>
    </row>
    <row r="423">
      <c r="A423" t="inlineStr">
        <is>
          <t>TSP-934</t>
        </is>
      </c>
      <c r="B423" t="inlineStr">
        <is>
          <t>CHEM-1720</t>
        </is>
      </c>
      <c r="C423" t="n">
        <v>6.27345</v>
      </c>
      <c r="D423">
        <f>IFERROR(MATCH($A423,PP_Grid[Intermediate],0),99999)</f>
        <v/>
      </c>
    </row>
    <row r="424">
      <c r="A424" t="inlineStr">
        <is>
          <t>TSP-934</t>
        </is>
      </c>
      <c r="B424" t="inlineStr">
        <is>
          <t>SOL-SH</t>
        </is>
      </c>
      <c r="C424" t="n">
        <v>5.912316279</v>
      </c>
      <c r="D424">
        <f>IFERROR(MATCH($A424,PP_Grid[Intermediate],0),99999)</f>
        <v/>
      </c>
    </row>
    <row r="425">
      <c r="A425" t="inlineStr">
        <is>
          <t>TSP-934</t>
        </is>
      </c>
      <c r="B425" t="inlineStr">
        <is>
          <t>TPP-919</t>
        </is>
      </c>
      <c r="C425" t="n">
        <v>17.3907</v>
      </c>
      <c r="D425">
        <f>IFERROR(MATCH($A425,PP_Grid[Intermediate],0),99999)</f>
        <v/>
      </c>
    </row>
    <row r="426">
      <c r="A426" t="inlineStr">
        <is>
          <t>TSP-934</t>
        </is>
      </c>
      <c r="B426" t="inlineStr">
        <is>
          <t>TSZ-938</t>
        </is>
      </c>
      <c r="C426" t="n">
        <v>17.23437</v>
      </c>
      <c r="D426">
        <f>IFERROR(MATCH($A426,PP_Grid[Intermediate],0),99999)</f>
        <v/>
      </c>
    </row>
    <row r="427">
      <c r="A427" t="inlineStr">
        <is>
          <t>TSP-935</t>
        </is>
      </c>
      <c r="B427" t="inlineStr">
        <is>
          <t>CHEM-1420</t>
        </is>
      </c>
      <c r="C427" t="n">
        <v>0.8937467</v>
      </c>
      <c r="D427">
        <f>IFERROR(MATCH($A427,PP_Grid[Intermediate],0),99999)</f>
        <v/>
      </c>
    </row>
    <row r="428">
      <c r="A428" t="inlineStr">
        <is>
          <t>TSP-935</t>
        </is>
      </c>
      <c r="B428" t="inlineStr">
        <is>
          <t>CHEM-1440</t>
        </is>
      </c>
      <c r="C428" t="n">
        <v>1.7068546</v>
      </c>
      <c r="D428">
        <f>IFERROR(MATCH($A428,PP_Grid[Intermediate],0),99999)</f>
        <v/>
      </c>
    </row>
    <row r="429">
      <c r="A429" t="inlineStr">
        <is>
          <t>TSP-935</t>
        </is>
      </c>
      <c r="B429" t="inlineStr">
        <is>
          <t>CHEM-1540</t>
        </is>
      </c>
      <c r="C429" t="n">
        <v>41.298825425</v>
      </c>
      <c r="D429">
        <f>IFERROR(MATCH($A429,PP_Grid[Intermediate],0),99999)</f>
        <v/>
      </c>
    </row>
    <row r="430">
      <c r="A430" t="inlineStr">
        <is>
          <t>TSP-935</t>
        </is>
      </c>
      <c r="B430" t="inlineStr">
        <is>
          <t>CHEM-1570</t>
        </is>
      </c>
      <c r="C430" t="n">
        <v>0.00321854650425</v>
      </c>
      <c r="D430">
        <f>IFERROR(MATCH($A430,PP_Grid[Intermediate],0),99999)</f>
        <v/>
      </c>
    </row>
    <row r="431">
      <c r="A431" t="inlineStr">
        <is>
          <t>TSP-935</t>
        </is>
      </c>
      <c r="B431" t="inlineStr">
        <is>
          <t>CHEM-1570</t>
        </is>
      </c>
      <c r="C431" t="n">
        <v>0.08147878750000001</v>
      </c>
      <c r="D431">
        <f>IFERROR(MATCH($A431,PP_Grid[Intermediate],0),99999)</f>
        <v/>
      </c>
    </row>
    <row r="432">
      <c r="A432" t="inlineStr">
        <is>
          <t>TSP-935</t>
        </is>
      </c>
      <c r="B432" t="inlineStr">
        <is>
          <t>CHEM-1650</t>
        </is>
      </c>
      <c r="C432" t="n">
        <v>0.0335995</v>
      </c>
      <c r="D432">
        <f>IFERROR(MATCH($A432,PP_Grid[Intermediate],0),99999)</f>
        <v/>
      </c>
    </row>
    <row r="433">
      <c r="A433" t="inlineStr">
        <is>
          <t>TSP-935</t>
        </is>
      </c>
      <c r="B433" t="inlineStr">
        <is>
          <t>CHEM-1680</t>
        </is>
      </c>
      <c r="C433" t="n">
        <v>18.433774659795</v>
      </c>
      <c r="D433">
        <f>IFERROR(MATCH($A433,PP_Grid[Intermediate],0),99999)</f>
        <v/>
      </c>
    </row>
    <row r="434">
      <c r="A434" t="inlineStr">
        <is>
          <t>TSP-935</t>
        </is>
      </c>
      <c r="B434" t="inlineStr">
        <is>
          <t>CHEM-1700</t>
        </is>
      </c>
      <c r="C434" t="n">
        <v>1.789173375</v>
      </c>
      <c r="D434">
        <f>IFERROR(MATCH($A434,PP_Grid[Intermediate],0),99999)</f>
        <v/>
      </c>
    </row>
    <row r="435">
      <c r="A435" t="inlineStr">
        <is>
          <t>TSP-935</t>
        </is>
      </c>
      <c r="B435" t="inlineStr">
        <is>
          <t>CHEM-1720</t>
        </is>
      </c>
      <c r="C435" t="n">
        <v>6.508223149999999</v>
      </c>
      <c r="D435">
        <f>IFERROR(MATCH($A435,PP_Grid[Intermediate],0),99999)</f>
        <v/>
      </c>
    </row>
    <row r="436">
      <c r="A436" t="inlineStr">
        <is>
          <t>TSP-935</t>
        </is>
      </c>
      <c r="B436" t="inlineStr">
        <is>
          <t>SOL-SH</t>
        </is>
      </c>
      <c r="C436" t="n">
        <v>4.60146765276</v>
      </c>
      <c r="D436">
        <f>IFERROR(MATCH($A436,PP_Grid[Intermediate],0),99999)</f>
        <v/>
      </c>
    </row>
    <row r="437">
      <c r="A437" t="inlineStr">
        <is>
          <t>TSP-935</t>
        </is>
      </c>
      <c r="B437" t="inlineStr">
        <is>
          <t>TPP-920</t>
        </is>
      </c>
      <c r="C437" t="n">
        <v>18.0026121</v>
      </c>
      <c r="D437">
        <f>IFERROR(MATCH($A437,PP_Grid[Intermediate],0),99999)</f>
        <v/>
      </c>
    </row>
    <row r="438">
      <c r="A438" t="inlineStr">
        <is>
          <t>TSP-935</t>
        </is>
      </c>
      <c r="B438" t="inlineStr">
        <is>
          <t>TSZ-938</t>
        </is>
      </c>
      <c r="C438" t="n">
        <v>17.8808139125</v>
      </c>
      <c r="D438">
        <f>IFERROR(MATCH($A438,PP_Grid[Intermediate],0),99999)</f>
        <v/>
      </c>
    </row>
    <row r="439">
      <c r="A439" t="inlineStr">
        <is>
          <t>TSP-936</t>
        </is>
      </c>
      <c r="B439" t="inlineStr">
        <is>
          <t>CHEM-1420</t>
        </is>
      </c>
      <c r="C439" t="n">
        <v>0.886875</v>
      </c>
      <c r="D439">
        <f>IFERROR(MATCH($A439,PP_Grid[Intermediate],0),99999)</f>
        <v/>
      </c>
    </row>
    <row r="440">
      <c r="A440" t="inlineStr">
        <is>
          <t>TSP-936</t>
        </is>
      </c>
      <c r="B440" t="inlineStr">
        <is>
          <t>CHEM-1440</t>
        </is>
      </c>
      <c r="C440" t="n">
        <v>1.677225</v>
      </c>
      <c r="D440">
        <f>IFERROR(MATCH($A440,PP_Grid[Intermediate],0),99999)</f>
        <v/>
      </c>
    </row>
    <row r="441">
      <c r="A441" t="inlineStr">
        <is>
          <t>TSP-936</t>
        </is>
      </c>
      <c r="B441" t="inlineStr">
        <is>
          <t>CHEM-1540</t>
        </is>
      </c>
      <c r="C441" t="n">
        <v>40.585875</v>
      </c>
      <c r="D441">
        <f>IFERROR(MATCH($A441,PP_Grid[Intermediate],0),99999)</f>
        <v/>
      </c>
    </row>
    <row r="442">
      <c r="A442" t="inlineStr">
        <is>
          <t>TSP-936</t>
        </is>
      </c>
      <c r="B442" t="inlineStr">
        <is>
          <t>CHEM-1570</t>
        </is>
      </c>
      <c r="C442" t="n">
        <v>0.0031629015</v>
      </c>
      <c r="D442">
        <f>IFERROR(MATCH($A442,PP_Grid[Intermediate],0),99999)</f>
        <v/>
      </c>
    </row>
    <row r="443">
      <c r="A443" t="inlineStr">
        <is>
          <t>TSP-936</t>
        </is>
      </c>
      <c r="B443" t="inlineStr">
        <is>
          <t>CHEM-1570</t>
        </is>
      </c>
      <c r="C443" t="n">
        <v>0.080025</v>
      </c>
      <c r="D443">
        <f>IFERROR(MATCH($A443,PP_Grid[Intermediate],0),99999)</f>
        <v/>
      </c>
    </row>
    <row r="444">
      <c r="A444" t="inlineStr">
        <is>
          <t>TSP-936</t>
        </is>
      </c>
      <c r="B444" t="inlineStr">
        <is>
          <t>CHEM-1650</t>
        </is>
      </c>
      <c r="C444" t="n">
        <v>0.033</v>
      </c>
      <c r="D444">
        <f>IFERROR(MATCH($A444,PP_Grid[Intermediate],0),99999)</f>
        <v/>
      </c>
    </row>
    <row r="445">
      <c r="A445" t="inlineStr">
        <is>
          <t>TSP-936</t>
        </is>
      </c>
      <c r="B445" t="inlineStr">
        <is>
          <t>CHEM-1680</t>
        </is>
      </c>
      <c r="C445" t="n">
        <v>18.1150594185</v>
      </c>
      <c r="D445">
        <f>IFERROR(MATCH($A445,PP_Grid[Intermediate],0),99999)</f>
        <v/>
      </c>
    </row>
    <row r="446">
      <c r="A446" t="inlineStr">
        <is>
          <t>TSP-936</t>
        </is>
      </c>
      <c r="B446" t="inlineStr">
        <is>
          <t>CHEM-1700</t>
        </is>
      </c>
      <c r="C446" t="n">
        <v>1.75725</v>
      </c>
      <c r="D446">
        <f>IFERROR(MATCH($A446,PP_Grid[Intermediate],0),99999)</f>
        <v/>
      </c>
    </row>
    <row r="447">
      <c r="A447" t="inlineStr">
        <is>
          <t>TSP-936</t>
        </is>
      </c>
      <c r="B447" t="inlineStr">
        <is>
          <t>CHEM-1720</t>
        </is>
      </c>
      <c r="C447" t="n">
        <v>6.396225</v>
      </c>
      <c r="D447">
        <f>IFERROR(MATCH($A447,PP_Grid[Intermediate],0),99999)</f>
        <v/>
      </c>
    </row>
    <row r="448">
      <c r="A448" t="inlineStr">
        <is>
          <t>TSP-936</t>
        </is>
      </c>
      <c r="B448" t="inlineStr">
        <is>
          <t>SOL-SH</t>
        </is>
      </c>
      <c r="C448" t="n">
        <v>2.7126804375</v>
      </c>
      <c r="D448">
        <f>IFERROR(MATCH($A448,PP_Grid[Intermediate],0),99999)</f>
        <v/>
      </c>
    </row>
    <row r="449">
      <c r="A449" t="inlineStr">
        <is>
          <t>TSP-936</t>
        </is>
      </c>
      <c r="B449" t="inlineStr">
        <is>
          <t>TPP-922</t>
        </is>
      </c>
      <c r="C449" t="n">
        <v>17.64345</v>
      </c>
      <c r="D449">
        <f>IFERROR(MATCH($A449,PP_Grid[Intermediate],0),99999)</f>
        <v/>
      </c>
    </row>
    <row r="450">
      <c r="A450" t="inlineStr">
        <is>
          <t>TSP-936</t>
        </is>
      </c>
      <c r="B450" t="inlineStr">
        <is>
          <t>TSZ-938</t>
        </is>
      </c>
      <c r="C450" t="n">
        <v>17.571675</v>
      </c>
      <c r="D450">
        <f>IFERROR(MATCH($A450,PP_Grid[Intermediate],0),99999)</f>
        <v/>
      </c>
    </row>
    <row r="451">
      <c r="A451" t="inlineStr">
        <is>
          <t>TSP-937</t>
        </is>
      </c>
      <c r="B451" t="inlineStr">
        <is>
          <t>CHEM-1420</t>
        </is>
      </c>
      <c r="C451" t="n">
        <v>0.878625</v>
      </c>
      <c r="D451">
        <f>IFERROR(MATCH($A451,PP_Grid[Intermediate],0),99999)</f>
        <v/>
      </c>
    </row>
    <row r="452">
      <c r="A452" t="inlineStr">
        <is>
          <t>TSP-937</t>
        </is>
      </c>
      <c r="B452" t="inlineStr">
        <is>
          <t>CHEM-1440</t>
        </is>
      </c>
      <c r="C452" t="n">
        <v>1.67805</v>
      </c>
      <c r="D452">
        <f>IFERROR(MATCH($A452,PP_Grid[Intermediate],0),99999)</f>
        <v/>
      </c>
    </row>
    <row r="453">
      <c r="A453" t="inlineStr">
        <is>
          <t>TSP-937</t>
        </is>
      </c>
      <c r="B453" t="inlineStr">
        <is>
          <t>CHEM-1540</t>
        </is>
      </c>
      <c r="C453" t="n">
        <v>40.597425</v>
      </c>
      <c r="D453">
        <f>IFERROR(MATCH($A453,PP_Grid[Intermediate],0),99999)</f>
        <v/>
      </c>
    </row>
    <row r="454">
      <c r="A454" t="inlineStr">
        <is>
          <t>TSP-937</t>
        </is>
      </c>
      <c r="B454" t="inlineStr">
        <is>
          <t>CHEM-1570</t>
        </is>
      </c>
      <c r="C454" t="n">
        <v>0.0031637925</v>
      </c>
      <c r="D454">
        <f>IFERROR(MATCH($A454,PP_Grid[Intermediate],0),99999)</f>
        <v/>
      </c>
    </row>
    <row r="455">
      <c r="A455" t="inlineStr">
        <is>
          <t>TSP-937</t>
        </is>
      </c>
      <c r="B455" t="inlineStr">
        <is>
          <t>CHEM-1570</t>
        </is>
      </c>
      <c r="C455" t="n">
        <v>0.080025</v>
      </c>
      <c r="D455">
        <f>IFERROR(MATCH($A455,PP_Grid[Intermediate],0),99999)</f>
        <v/>
      </c>
    </row>
    <row r="456">
      <c r="A456" t="inlineStr">
        <is>
          <t>TSP-937</t>
        </is>
      </c>
      <c r="B456" t="inlineStr">
        <is>
          <t>CHEM-1650</t>
        </is>
      </c>
      <c r="C456" t="n">
        <v>0.033</v>
      </c>
      <c r="D456">
        <f>IFERROR(MATCH($A456,PP_Grid[Intermediate],0),99999)</f>
        <v/>
      </c>
    </row>
    <row r="457">
      <c r="A457" t="inlineStr">
        <is>
          <t>TSP-937</t>
        </is>
      </c>
      <c r="B457" t="inlineStr">
        <is>
          <t>CHEM-1680</t>
        </is>
      </c>
      <c r="C457" t="n">
        <v>18.120923436</v>
      </c>
      <c r="D457">
        <f>IFERROR(MATCH($A457,PP_Grid[Intermediate],0),99999)</f>
        <v/>
      </c>
    </row>
    <row r="458">
      <c r="A458" t="inlineStr">
        <is>
          <t>TSP-937</t>
        </is>
      </c>
      <c r="B458" t="inlineStr">
        <is>
          <t>CHEM-1700</t>
        </is>
      </c>
      <c r="C458" t="n">
        <v>1.75725</v>
      </c>
      <c r="D458">
        <f>IFERROR(MATCH($A458,PP_Grid[Intermediate],0),99999)</f>
        <v/>
      </c>
    </row>
    <row r="459">
      <c r="A459" t="inlineStr">
        <is>
          <t>TSP-937</t>
        </is>
      </c>
      <c r="B459" t="inlineStr">
        <is>
          <t>CHEM-1720</t>
        </is>
      </c>
      <c r="C459" t="n">
        <v>6.397874999999999</v>
      </c>
      <c r="D459">
        <f>IFERROR(MATCH($A459,PP_Grid[Intermediate],0),99999)</f>
        <v/>
      </c>
    </row>
    <row r="460">
      <c r="A460" t="inlineStr">
        <is>
          <t>TSP-937</t>
        </is>
      </c>
      <c r="B460" t="inlineStr">
        <is>
          <t>SOL-SH</t>
        </is>
      </c>
      <c r="C460" t="n">
        <v>1.809060792</v>
      </c>
      <c r="D460">
        <f>IFERROR(MATCH($A460,PP_Grid[Intermediate],0),99999)</f>
        <v/>
      </c>
    </row>
    <row r="461">
      <c r="A461" t="inlineStr">
        <is>
          <t>TSP-937</t>
        </is>
      </c>
      <c r="B461" t="inlineStr">
        <is>
          <t>TPP-923</t>
        </is>
      </c>
      <c r="C461" t="n">
        <v>17.6253</v>
      </c>
      <c r="D461">
        <f>IFERROR(MATCH($A461,PP_Grid[Intermediate],0),99999)</f>
        <v/>
      </c>
    </row>
    <row r="462">
      <c r="A462" t="inlineStr">
        <is>
          <t>TSP-937</t>
        </is>
      </c>
      <c r="B462" t="inlineStr">
        <is>
          <t>TSZ-938</t>
        </is>
      </c>
      <c r="C462" t="n">
        <v>17.576625</v>
      </c>
      <c r="D462">
        <f>IFERROR(MATCH($A462,PP_Grid[Intermediate],0),99999)</f>
        <v/>
      </c>
    </row>
    <row r="463">
      <c r="A463" t="inlineStr">
        <is>
          <t>TSP-959</t>
        </is>
      </c>
      <c r="B463" t="inlineStr">
        <is>
          <t>CHEM-1400</t>
        </is>
      </c>
      <c r="C463" t="n">
        <v>3.140786975</v>
      </c>
      <c r="D463">
        <f>IFERROR(MATCH($A463,PP_Grid[Intermediate],0),99999)</f>
        <v/>
      </c>
    </row>
    <row r="464">
      <c r="A464" t="inlineStr">
        <is>
          <t>TSP-959</t>
        </is>
      </c>
      <c r="B464" t="inlineStr">
        <is>
          <t>CHEM-1420</t>
        </is>
      </c>
      <c r="C464" t="n">
        <v>0.469444375</v>
      </c>
      <c r="D464">
        <f>IFERROR(MATCH($A464,PP_Grid[Intermediate],0),99999)</f>
        <v/>
      </c>
    </row>
    <row r="465">
      <c r="A465" t="inlineStr">
        <is>
          <t>TSP-959</t>
        </is>
      </c>
      <c r="B465" t="inlineStr">
        <is>
          <t>CHEM-1530</t>
        </is>
      </c>
      <c r="C465" t="n">
        <v>57.764518025</v>
      </c>
      <c r="D465">
        <f>IFERROR(MATCH($A465,PP_Grid[Intermediate],0),99999)</f>
        <v/>
      </c>
    </row>
    <row r="466">
      <c r="A466" t="inlineStr">
        <is>
          <t>TSP-959</t>
        </is>
      </c>
      <c r="B466" t="inlineStr">
        <is>
          <t>CHEM-1570</t>
        </is>
      </c>
      <c r="C466" t="n">
        <v>0.04082125</v>
      </c>
      <c r="D466">
        <f>IFERROR(MATCH($A466,PP_Grid[Intermediate],0),99999)</f>
        <v/>
      </c>
    </row>
    <row r="467">
      <c r="A467" t="inlineStr">
        <is>
          <t>TSP-959</t>
        </is>
      </c>
      <c r="B467" t="inlineStr">
        <is>
          <t>CHEM-1650</t>
        </is>
      </c>
      <c r="C467" t="n">
        <v>0.032657</v>
      </c>
      <c r="D467">
        <f>IFERROR(MATCH($A467,PP_Grid[Intermediate],0),99999)</f>
        <v/>
      </c>
    </row>
    <row r="468">
      <c r="A468" t="inlineStr">
        <is>
          <t>TSP-959</t>
        </is>
      </c>
      <c r="B468" t="inlineStr">
        <is>
          <t>SOL-10H</t>
        </is>
      </c>
      <c r="C468" t="n">
        <v>44.38873455347325</v>
      </c>
      <c r="D468">
        <f>IFERROR(MATCH($A468,PP_Grid[Intermediate],0),99999)</f>
        <v/>
      </c>
    </row>
    <row r="469">
      <c r="A469" t="inlineStr">
        <is>
          <t>TSP-959</t>
        </is>
      </c>
      <c r="B469" t="inlineStr">
        <is>
          <t>TPP-968</t>
        </is>
      </c>
      <c r="C469" t="n">
        <v>22.323508775</v>
      </c>
      <c r="D469">
        <f>IFERROR(MATCH($A469,PP_Grid[Intermediate],0),99999)</f>
        <v/>
      </c>
    </row>
    <row r="470">
      <c r="A470" t="inlineStr">
        <is>
          <t>TSP-966</t>
        </is>
      </c>
      <c r="B470" t="inlineStr">
        <is>
          <t>CHEM-1250</t>
        </is>
      </c>
      <c r="C470" t="n">
        <v>3.54192</v>
      </c>
      <c r="D470">
        <f>IFERROR(MATCH($A470,PP_Grid[Intermediate],0),99999)</f>
        <v/>
      </c>
    </row>
    <row r="471">
      <c r="A471" t="inlineStr">
        <is>
          <t>TSP-966</t>
        </is>
      </c>
      <c r="B471" t="inlineStr">
        <is>
          <t>CHEM-1400</t>
        </is>
      </c>
      <c r="C471" t="n">
        <v>1.81248</v>
      </c>
      <c r="D471">
        <f>IFERROR(MATCH($A471,PP_Grid[Intermediate],0),99999)</f>
        <v/>
      </c>
    </row>
    <row r="472">
      <c r="A472" t="inlineStr">
        <is>
          <t>TSP-966</t>
        </is>
      </c>
      <c r="B472" t="inlineStr">
        <is>
          <t>CHEM-1420</t>
        </is>
      </c>
      <c r="C472" t="n">
        <v>0.5476799999999999</v>
      </c>
      <c r="D472">
        <f>IFERROR(MATCH($A472,PP_Grid[Intermediate],0),99999)</f>
        <v/>
      </c>
    </row>
    <row r="473">
      <c r="A473" t="inlineStr">
        <is>
          <t>TSP-966</t>
        </is>
      </c>
      <c r="B473" t="inlineStr">
        <is>
          <t>CHEM-1570</t>
        </is>
      </c>
      <c r="C473" t="n">
        <v>0.024</v>
      </c>
      <c r="D473">
        <f>IFERROR(MATCH($A473,PP_Grid[Intermediate],0),99999)</f>
        <v/>
      </c>
    </row>
    <row r="474">
      <c r="A474" t="inlineStr">
        <is>
          <t>TSP-966</t>
        </is>
      </c>
      <c r="B474" t="inlineStr">
        <is>
          <t>CHEM-1690</t>
        </is>
      </c>
      <c r="C474" t="n">
        <v>4.89456</v>
      </c>
      <c r="D474">
        <f>IFERROR(MATCH($A474,PP_Grid[Intermediate],0),99999)</f>
        <v/>
      </c>
    </row>
    <row r="475">
      <c r="A475" t="inlineStr">
        <is>
          <t>TSP-966</t>
        </is>
      </c>
      <c r="B475" t="inlineStr">
        <is>
          <t>TPP-970</t>
        </is>
      </c>
      <c r="C475" t="n">
        <v>38.22144</v>
      </c>
      <c r="D475">
        <f>IFERROR(MATCH($A475,PP_Grid[Intermediate],0),99999)</f>
        <v/>
      </c>
    </row>
    <row r="476">
      <c r="A476" t="inlineStr">
        <is>
          <t>TSZ-616</t>
        </is>
      </c>
      <c r="B476" t="inlineStr">
        <is>
          <t>CHEM-1510</t>
        </is>
      </c>
      <c r="C476" t="n">
        <v>1.1992</v>
      </c>
      <c r="D476">
        <f>IFERROR(MATCH($A476,PP_Grid[Intermediate],0),99999)</f>
        <v/>
      </c>
    </row>
    <row r="477">
      <c r="A477" t="inlineStr">
        <is>
          <t>TSZ-616</t>
        </is>
      </c>
      <c r="B477" t="inlineStr">
        <is>
          <t>CHEM-1570</t>
        </is>
      </c>
      <c r="C477" t="n">
        <v>0.04</v>
      </c>
      <c r="D477">
        <f>IFERROR(MATCH($A477,PP_Grid[Intermediate],0),99999)</f>
        <v/>
      </c>
    </row>
    <row r="478">
      <c r="A478" t="inlineStr">
        <is>
          <t>TSZ-616</t>
        </is>
      </c>
      <c r="B478" t="inlineStr">
        <is>
          <t>CHEM-1600</t>
        </is>
      </c>
      <c r="C478" t="n">
        <v>40.858</v>
      </c>
      <c r="D478">
        <f>IFERROR(MATCH($A478,PP_Grid[Intermediate],0),99999)</f>
        <v/>
      </c>
    </row>
    <row r="479">
      <c r="A479" t="inlineStr">
        <is>
          <t>TSZ-938</t>
        </is>
      </c>
      <c r="B479" t="inlineStr">
        <is>
          <t>CHEM-1570</t>
        </is>
      </c>
      <c r="C479" t="n">
        <v>0.0117</v>
      </c>
      <c r="D479">
        <f>IFERROR(MATCH($A479,PP_Grid[Intermediate],0),99999)</f>
        <v/>
      </c>
    </row>
    <row r="480">
      <c r="A480" t="inlineStr">
        <is>
          <t>TVS-267</t>
        </is>
      </c>
      <c r="B480" t="inlineStr">
        <is>
          <t>CHEM-1420</t>
        </is>
      </c>
      <c r="C480" t="n">
        <v>2.85088</v>
      </c>
      <c r="D480">
        <f>IFERROR(MATCH($A480,PP_Grid[Intermediate],0),99999)</f>
        <v/>
      </c>
    </row>
    <row r="481">
      <c r="A481" t="inlineStr">
        <is>
          <t>TVS-267</t>
        </is>
      </c>
      <c r="B481" t="inlineStr">
        <is>
          <t>CHEM-1570</t>
        </is>
      </c>
      <c r="C481" t="n">
        <v>0.09663999999999999</v>
      </c>
      <c r="D481">
        <f>IFERROR(MATCH($A481,PP_Grid[Intermediate],0),99999)</f>
        <v/>
      </c>
    </row>
    <row r="482">
      <c r="A482" t="inlineStr">
        <is>
          <t>TVS-267</t>
        </is>
      </c>
      <c r="B482" t="inlineStr">
        <is>
          <t>CHEM-1760</t>
        </is>
      </c>
      <c r="C482" t="n">
        <v>0.1962999999999999</v>
      </c>
      <c r="D482">
        <f>IFERROR(MATCH($A482,PP_Grid[Intermediate],0),99999)</f>
        <v/>
      </c>
    </row>
    <row r="483">
      <c r="A483" t="inlineStr">
        <is>
          <t>TVS-500</t>
        </is>
      </c>
      <c r="B483" t="inlineStr">
        <is>
          <t>CHEM-1420</t>
        </is>
      </c>
      <c r="C483" t="n">
        <v>2.86335</v>
      </c>
      <c r="D483">
        <f>IFERROR(MATCH($A483,PP_Grid[Intermediate],0),99999)</f>
        <v/>
      </c>
    </row>
    <row r="484">
      <c r="A484" t="inlineStr">
        <is>
          <t>TVS-500</t>
        </is>
      </c>
      <c r="B484" t="inlineStr">
        <is>
          <t>CHEM-1570</t>
        </is>
      </c>
      <c r="C484" t="n">
        <v>0.09999</v>
      </c>
      <c r="D484">
        <f>IFERROR(MATCH($A484,PP_Grid[Intermediate],0),99999)</f>
        <v/>
      </c>
    </row>
    <row r="485">
      <c r="A485" t="inlineStr">
        <is>
          <t>TVS-500</t>
        </is>
      </c>
      <c r="B485" t="inlineStr">
        <is>
          <t>CHEM-1760</t>
        </is>
      </c>
      <c r="C485" t="n">
        <v>0.18483</v>
      </c>
      <c r="D485">
        <f>IFERROR(MATCH($A485,PP_Grid[Intermediate],0),99999)</f>
        <v/>
      </c>
    </row>
    <row r="486">
      <c r="A486" t="inlineStr">
        <is>
          <t>TVS-664</t>
        </is>
      </c>
      <c r="B486" t="inlineStr">
        <is>
          <t>CHEM-1420</t>
        </is>
      </c>
      <c r="C486" t="n">
        <v>0.03876</v>
      </c>
      <c r="D486">
        <f>IFERROR(MATCH($A486,PP_Grid[Intermediate],0),99999)</f>
        <v/>
      </c>
    </row>
    <row r="487">
      <c r="A487" t="inlineStr">
        <is>
          <t>TVS-664</t>
        </is>
      </c>
      <c r="B487" t="inlineStr">
        <is>
          <t>CHEM-1570</t>
        </is>
      </c>
      <c r="C487" t="n">
        <v>0.01615</v>
      </c>
      <c r="D487">
        <f>IFERROR(MATCH($A487,PP_Grid[Intermediate],0),99999)</f>
        <v/>
      </c>
    </row>
    <row r="488">
      <c r="A488" t="inlineStr">
        <is>
          <t>TVS-664</t>
        </is>
      </c>
      <c r="B488" t="inlineStr">
        <is>
          <t>CHEM-1760</t>
        </is>
      </c>
      <c r="C488" t="n">
        <v>0.01615</v>
      </c>
      <c r="D488">
        <f>IFERROR(MATCH($A488,PP_Grid[Intermediate],0),99999)</f>
        <v/>
      </c>
    </row>
    <row r="489">
      <c r="A489" t="inlineStr">
        <is>
          <t>TVS-833</t>
        </is>
      </c>
      <c r="B489" t="inlineStr">
        <is>
          <t>CHEM-1420</t>
        </is>
      </c>
      <c r="C489" t="n">
        <v>2.856</v>
      </c>
      <c r="D489">
        <f>IFERROR(MATCH($A489,PP_Grid[Intermediate],0),99999)</f>
        <v/>
      </c>
    </row>
    <row r="490">
      <c r="A490" t="inlineStr">
        <is>
          <t>TVS-833</t>
        </is>
      </c>
      <c r="B490" t="inlineStr">
        <is>
          <t>CHEM-1570</t>
        </is>
      </c>
      <c r="C490" t="n">
        <v>0.09</v>
      </c>
      <c r="D490">
        <f>IFERROR(MATCH($A490,PP_Grid[Intermediate],0),99999)</f>
        <v/>
      </c>
    </row>
    <row r="491">
      <c r="A491" t="inlineStr">
        <is>
          <t>TVS-833</t>
        </is>
      </c>
      <c r="B491" t="inlineStr">
        <is>
          <t>CHEM-1760</t>
        </is>
      </c>
      <c r="C491" t="n">
        <v>0.183</v>
      </c>
      <c r="D491">
        <f>IFERROR(MATCH($A491,PP_Grid[Intermediate],0),99999)</f>
        <v/>
      </c>
    </row>
    <row r="492">
      <c r="A492" t="inlineStr">
        <is>
          <t>V14</t>
        </is>
      </c>
      <c r="B492" t="inlineStr">
        <is>
          <t>8EN</t>
        </is>
      </c>
      <c r="C492" t="n">
        <v>1</v>
      </c>
      <c r="D492">
        <f>IFERROR(MATCH($A492,PP_Grid[Intermediate],0),99999)</f>
        <v/>
      </c>
    </row>
    <row r="493">
      <c r="A493" t="inlineStr">
        <is>
          <t>V17</t>
        </is>
      </c>
      <c r="B493" t="inlineStr">
        <is>
          <t>8EN</t>
        </is>
      </c>
      <c r="C493" t="n">
        <v>1</v>
      </c>
      <c r="D493">
        <f>IFERROR(MATCH($A493,PP_Grid[Intermediate],0),99999)</f>
        <v/>
      </c>
    </row>
    <row r="494">
      <c r="A494" t="inlineStr">
        <is>
          <t>V18</t>
        </is>
      </c>
      <c r="B494" t="inlineStr">
        <is>
          <t>8EN</t>
        </is>
      </c>
      <c r="C494" t="n">
        <v>1</v>
      </c>
      <c r="D494">
        <f>IFERROR(MATCH($A494,PP_Grid[Intermediate],0),99999)</f>
        <v/>
      </c>
    </row>
    <row r="495">
      <c r="A495" t="inlineStr">
        <is>
          <t>VSP-600</t>
        </is>
      </c>
      <c r="B495" t="inlineStr">
        <is>
          <t>CHEM-1400</t>
        </is>
      </c>
      <c r="C495" t="n">
        <v>5.89792</v>
      </c>
      <c r="D495">
        <f>IFERROR(MATCH($A495,PP_Grid[Intermediate],0),99999)</f>
        <v/>
      </c>
    </row>
    <row r="496">
      <c r="A496" t="inlineStr">
        <is>
          <t>VSP-600</t>
        </is>
      </c>
      <c r="B496" t="inlineStr">
        <is>
          <t>CHEM-1420</t>
        </is>
      </c>
      <c r="C496" t="n">
        <v>0.73136</v>
      </c>
      <c r="D496">
        <f>IFERROR(MATCH($A496,PP_Grid[Intermediate],0),99999)</f>
        <v/>
      </c>
    </row>
    <row r="497">
      <c r="A497" t="inlineStr">
        <is>
          <t>VSP-600</t>
        </is>
      </c>
      <c r="B497" t="inlineStr">
        <is>
          <t>CHEM-1440</t>
        </is>
      </c>
      <c r="C497" t="n">
        <v>0.50064</v>
      </c>
      <c r="D497">
        <f>IFERROR(MATCH($A497,PP_Grid[Intermediate],0),99999)</f>
        <v/>
      </c>
    </row>
    <row r="498">
      <c r="A498" t="inlineStr">
        <is>
          <t>VSP-600</t>
        </is>
      </c>
      <c r="B498" t="inlineStr">
        <is>
          <t>CHEM-1600</t>
        </is>
      </c>
      <c r="C498" t="n">
        <v>16.78208</v>
      </c>
      <c r="D498">
        <f>IFERROR(MATCH($A498,PP_Grid[Intermediate],0),99999)</f>
        <v/>
      </c>
    </row>
    <row r="499">
      <c r="A499" t="inlineStr">
        <is>
          <t>VSP-600</t>
        </is>
      </c>
      <c r="B499" t="inlineStr">
        <is>
          <t>CHEM-1650</t>
        </is>
      </c>
      <c r="C499" t="n">
        <v>0.0448</v>
      </c>
      <c r="D499">
        <f>IFERROR(MATCH($A499,PP_Grid[Intermediate],0),99999)</f>
        <v/>
      </c>
    </row>
    <row r="500">
      <c r="A500" t="inlineStr">
        <is>
          <t>VSP-601</t>
        </is>
      </c>
      <c r="B500" t="inlineStr">
        <is>
          <t>CHEM-1400</t>
        </is>
      </c>
      <c r="C500" t="n">
        <v>5.89195215</v>
      </c>
      <c r="D500">
        <f>IFERROR(MATCH($A500,PP_Grid[Intermediate],0),99999)</f>
        <v/>
      </c>
    </row>
    <row r="501">
      <c r="A501" t="inlineStr">
        <is>
          <t>VSP-601</t>
        </is>
      </c>
      <c r="B501" t="inlineStr">
        <is>
          <t>CHEM-1420</t>
        </is>
      </c>
      <c r="C501" t="n">
        <v>0.6314679</v>
      </c>
      <c r="D501">
        <f>IFERROR(MATCH($A501,PP_Grid[Intermediate],0),99999)</f>
        <v/>
      </c>
    </row>
    <row r="502">
      <c r="A502" t="inlineStr">
        <is>
          <t>VSP-601</t>
        </is>
      </c>
      <c r="B502" t="inlineStr">
        <is>
          <t>CHEM-1600</t>
        </is>
      </c>
      <c r="C502" t="n">
        <v>16.7643189</v>
      </c>
      <c r="D502">
        <f>IFERROR(MATCH($A502,PP_Grid[Intermediate],0),99999)</f>
        <v/>
      </c>
    </row>
    <row r="503">
      <c r="A503" t="inlineStr">
        <is>
          <t>VSP-602</t>
        </is>
      </c>
      <c r="B503" t="inlineStr">
        <is>
          <t>CHEM-1400</t>
        </is>
      </c>
      <c r="C503" t="n">
        <v>8.841887999999999</v>
      </c>
      <c r="D503">
        <f>IFERROR(MATCH($A503,PP_Grid[Intermediate],0),99999)</f>
        <v/>
      </c>
    </row>
    <row r="504">
      <c r="A504" t="inlineStr">
        <is>
          <t>VSP-602</t>
        </is>
      </c>
      <c r="B504" t="inlineStr">
        <is>
          <t>CHEM-1420</t>
        </is>
      </c>
      <c r="C504" t="n">
        <v>1.722336</v>
      </c>
      <c r="D504">
        <f>IFERROR(MATCH($A504,PP_Grid[Intermediate],0),99999)</f>
        <v/>
      </c>
    </row>
    <row r="505">
      <c r="A505" t="inlineStr">
        <is>
          <t>VSP-602</t>
        </is>
      </c>
      <c r="B505" t="inlineStr">
        <is>
          <t>CHEM-1440</t>
        </is>
      </c>
      <c r="C505" t="n">
        <v>1.231296</v>
      </c>
      <c r="D505">
        <f>IFERROR(MATCH($A505,PP_Grid[Intermediate],0),99999)</f>
        <v/>
      </c>
    </row>
    <row r="506">
      <c r="A506" t="inlineStr">
        <is>
          <t>VSP-602</t>
        </is>
      </c>
      <c r="B506" t="inlineStr">
        <is>
          <t>CHEM-1530</t>
        </is>
      </c>
      <c r="C506" t="n">
        <v>50.014272</v>
      </c>
      <c r="D506">
        <f>IFERROR(MATCH($A506,PP_Grid[Intermediate],0),99999)</f>
        <v/>
      </c>
    </row>
    <row r="507">
      <c r="A507" t="inlineStr">
        <is>
          <t>VSP-602</t>
        </is>
      </c>
      <c r="B507" t="inlineStr">
        <is>
          <t>SOL-10H VW</t>
        </is>
      </c>
      <c r="C507" t="n">
        <v>14.512608</v>
      </c>
      <c r="D507">
        <f>IFERROR(MATCH($A507,PP_Grid[Intermediate],0),99999)</f>
        <v/>
      </c>
    </row>
    <row r="508">
      <c r="A508" t="inlineStr">
        <is>
          <t>VSP-820</t>
        </is>
      </c>
      <c r="B508" t="inlineStr">
        <is>
          <t>CHEM-1400</t>
        </is>
      </c>
      <c r="C508" t="n">
        <v>3.5321649</v>
      </c>
      <c r="D508">
        <f>IFERROR(MATCH($A508,PP_Grid[Intermediate],0),99999)</f>
        <v/>
      </c>
    </row>
    <row r="509">
      <c r="A509" t="inlineStr">
        <is>
          <t>VSP-820</t>
        </is>
      </c>
      <c r="B509" t="inlineStr">
        <is>
          <t>CHEM-1420</t>
        </is>
      </c>
      <c r="C509" t="n">
        <v>0.6100644</v>
      </c>
      <c r="D509">
        <f>IFERROR(MATCH($A509,PP_Grid[Intermediate],0),99999)</f>
        <v/>
      </c>
    </row>
    <row r="510">
      <c r="A510" t="inlineStr">
        <is>
          <t>VSP-820</t>
        </is>
      </c>
      <c r="B510" t="inlineStr">
        <is>
          <t>CHEM-1510</t>
        </is>
      </c>
      <c r="C510" t="n">
        <v>6.788990999999999</v>
      </c>
      <c r="D510">
        <f>IFERROR(MATCH($A510,PP_Grid[Intermediate],0),99999)</f>
        <v/>
      </c>
    </row>
    <row r="511">
      <c r="A511" t="inlineStr">
        <is>
          <t>VSP-820</t>
        </is>
      </c>
      <c r="B511" t="inlineStr">
        <is>
          <t>CHEM-1570</t>
        </is>
      </c>
      <c r="C511" t="n">
        <v>0.1376694</v>
      </c>
      <c r="D511">
        <f>IFERROR(MATCH($A511,PP_Grid[Intermediate],0),99999)</f>
        <v/>
      </c>
    </row>
    <row r="512">
      <c r="A512" t="inlineStr">
        <is>
          <t>VSP-820</t>
        </is>
      </c>
      <c r="B512" t="inlineStr">
        <is>
          <t>CHEM-1600</t>
        </is>
      </c>
      <c r="C512" t="n">
        <v>20.1024318</v>
      </c>
      <c r="D512">
        <f>IFERROR(MATCH($A512,PP_Grid[Intermediate],0),99999)</f>
        <v/>
      </c>
    </row>
    <row r="513">
      <c r="A513" t="inlineStr">
        <is>
          <t>VSP-820</t>
        </is>
      </c>
      <c r="B513" t="inlineStr">
        <is>
          <t>CHEM-1660</t>
        </is>
      </c>
      <c r="C513" t="n">
        <v>1.3780437</v>
      </c>
      <c r="D513">
        <f>IFERROR(MATCH($A513,PP_Grid[Intermediate],0),99999)</f>
        <v/>
      </c>
    </row>
    <row r="514">
      <c r="A514" t="inlineStr">
        <is>
          <t>VSP-822</t>
        </is>
      </c>
      <c r="B514" t="inlineStr">
        <is>
          <t>CHEM-1400</t>
        </is>
      </c>
      <c r="C514" t="n">
        <v>4.920597</v>
      </c>
      <c r="D514">
        <f>IFERROR(MATCH($A514,PP_Grid[Intermediate],0),99999)</f>
        <v/>
      </c>
    </row>
    <row r="515">
      <c r="A515" t="inlineStr">
        <is>
          <t>VSP-822</t>
        </is>
      </c>
      <c r="B515" t="inlineStr">
        <is>
          <t>CHEM-1420</t>
        </is>
      </c>
      <c r="C515" t="n">
        <v>1.507374</v>
      </c>
      <c r="D515">
        <f>IFERROR(MATCH($A515,PP_Grid[Intermediate],0),99999)</f>
        <v/>
      </c>
    </row>
    <row r="516">
      <c r="A516" t="inlineStr">
        <is>
          <t>VSP-822</t>
        </is>
      </c>
      <c r="B516" t="inlineStr">
        <is>
          <t>CHEM-1440</t>
        </is>
      </c>
      <c r="C516" t="n">
        <v>1.234134</v>
      </c>
      <c r="D516">
        <f>IFERROR(MATCH($A516,PP_Grid[Intermediate],0),99999)</f>
        <v/>
      </c>
    </row>
    <row r="517">
      <c r="A517" t="inlineStr">
        <is>
          <t>VSP-822</t>
        </is>
      </c>
      <c r="B517" t="inlineStr">
        <is>
          <t>CHEM-1530</t>
        </is>
      </c>
      <c r="C517" t="n">
        <v>55.668096</v>
      </c>
      <c r="D517">
        <f>IFERROR(MATCH($A517,PP_Grid[Intermediate],0),99999)</f>
        <v/>
      </c>
    </row>
    <row r="518">
      <c r="A518" t="inlineStr">
        <is>
          <t>VSP-822</t>
        </is>
      </c>
      <c r="B518" t="inlineStr">
        <is>
          <t>CHEM-1570</t>
        </is>
      </c>
      <c r="C518" t="n">
        <v>0.109296</v>
      </c>
      <c r="D518">
        <f>IFERROR(MATCH($A518,PP_Grid[Intermediate],0),99999)</f>
        <v/>
      </c>
    </row>
    <row r="519">
      <c r="A519" t="inlineStr">
        <is>
          <t>VSP-822</t>
        </is>
      </c>
      <c r="B519" t="inlineStr">
        <is>
          <t>CHEM-1650</t>
        </is>
      </c>
      <c r="C519" t="n">
        <v>0.05920199999999999</v>
      </c>
      <c r="D519">
        <f>IFERROR(MATCH($A519,PP_Grid[Intermediate],0),99999)</f>
        <v/>
      </c>
    </row>
    <row r="520">
      <c r="A520" t="inlineStr">
        <is>
          <t>VSP-822</t>
        </is>
      </c>
      <c r="B520" t="inlineStr">
        <is>
          <t>CHEM-1660</t>
        </is>
      </c>
      <c r="C520" t="n">
        <v>1.0963755</v>
      </c>
      <c r="D520">
        <f>IFERROR(MATCH($A520,PP_Grid[Intermediate],0),99999)</f>
        <v/>
      </c>
    </row>
    <row r="521">
      <c r="A521" t="inlineStr">
        <is>
          <t>VSP-822</t>
        </is>
      </c>
      <c r="B521" t="inlineStr">
        <is>
          <t>SOL-10H VW</t>
        </is>
      </c>
      <c r="C521" t="n">
        <v>28.747125</v>
      </c>
      <c r="D521">
        <f>IFERROR(MATCH($A521,PP_Grid[Intermediate],0),99999)</f>
        <v/>
      </c>
    </row>
    <row r="522">
      <c r="A522" t="inlineStr">
        <is>
          <t>VSP-910</t>
        </is>
      </c>
      <c r="B522" t="inlineStr">
        <is>
          <t>CHEM-1400</t>
        </is>
      </c>
      <c r="C522" t="n">
        <v>3.9474</v>
      </c>
      <c r="D522">
        <f>IFERROR(MATCH($A522,PP_Grid[Intermediate],0),99999)</f>
        <v/>
      </c>
    </row>
    <row r="523">
      <c r="A523" t="inlineStr">
        <is>
          <t>VSP-910</t>
        </is>
      </c>
      <c r="B523" t="inlineStr">
        <is>
          <t>CHEM-1420</t>
        </is>
      </c>
      <c r="C523" t="n">
        <v>1.429326</v>
      </c>
      <c r="D523">
        <f>IFERROR(MATCH($A523,PP_Grid[Intermediate],0),99999)</f>
        <v/>
      </c>
    </row>
    <row r="524">
      <c r="A524" t="inlineStr">
        <is>
          <t>VSP-910</t>
        </is>
      </c>
      <c r="B524" t="inlineStr">
        <is>
          <t>CHEM-1440</t>
        </is>
      </c>
      <c r="C524" t="n">
        <v>1.011636</v>
      </c>
      <c r="D524">
        <f>IFERROR(MATCH($A524,PP_Grid[Intermediate],0),99999)</f>
        <v/>
      </c>
    </row>
    <row r="525">
      <c r="A525" t="inlineStr">
        <is>
          <t>VSP-910</t>
        </is>
      </c>
      <c r="B525" t="inlineStr">
        <is>
          <t>CHEM-1530</t>
        </is>
      </c>
      <c r="C525" t="n">
        <v>44.65611</v>
      </c>
      <c r="D525">
        <f>IFERROR(MATCH($A525,PP_Grid[Intermediate],0),99999)</f>
        <v/>
      </c>
    </row>
    <row r="526">
      <c r="A526" t="inlineStr">
        <is>
          <t>VSP-910</t>
        </is>
      </c>
      <c r="B526" t="inlineStr">
        <is>
          <t>CHEM-1570</t>
        </is>
      </c>
      <c r="C526" t="n">
        <v>0.09088199999999999</v>
      </c>
      <c r="D526">
        <f>IFERROR(MATCH($A526,PP_Grid[Intermediate],0),99999)</f>
        <v/>
      </c>
    </row>
    <row r="527">
      <c r="A527" t="inlineStr">
        <is>
          <t>VSP-910</t>
        </is>
      </c>
      <c r="B527" t="inlineStr">
        <is>
          <t>CHEM-1650</t>
        </is>
      </c>
      <c r="C527" t="n">
        <v>0.04773599999999999</v>
      </c>
      <c r="D527">
        <f>IFERROR(MATCH($A527,PP_Grid[Intermediate],0),99999)</f>
        <v/>
      </c>
    </row>
    <row r="528">
      <c r="A528" t="inlineStr">
        <is>
          <t>VSP-910</t>
        </is>
      </c>
      <c r="B528" t="inlineStr">
        <is>
          <t>CHEM-1660</t>
        </is>
      </c>
      <c r="C528" t="n">
        <v>0.9124919999999999</v>
      </c>
      <c r="D528">
        <f>IFERROR(MATCH($A528,PP_Grid[Intermediate],0),99999)</f>
        <v/>
      </c>
    </row>
    <row r="529">
      <c r="A529" t="inlineStr">
        <is>
          <t>VSP-910</t>
        </is>
      </c>
      <c r="B529" t="inlineStr">
        <is>
          <t>SOL-10H VW</t>
        </is>
      </c>
      <c r="C529" t="n">
        <v>62.413902</v>
      </c>
      <c r="D529">
        <f>IFERROR(MATCH($A529,PP_Grid[Intermediate],0),99999)</f>
        <v/>
      </c>
    </row>
    <row r="530">
      <c r="A530" t="inlineStr">
        <is>
          <t>VSP-989</t>
        </is>
      </c>
      <c r="B530" t="inlineStr">
        <is>
          <t>CHEM-1400</t>
        </is>
      </c>
      <c r="C530" t="n">
        <v>2.14326</v>
      </c>
      <c r="D530">
        <f>IFERROR(MATCH($A530,PP_Grid[Intermediate],0),99999)</f>
        <v/>
      </c>
    </row>
    <row r="531">
      <c r="A531" t="inlineStr">
        <is>
          <t>VSP-989</t>
        </is>
      </c>
      <c r="B531" t="inlineStr">
        <is>
          <t>CHEM-1420</t>
        </is>
      </c>
      <c r="C531" t="n">
        <v>0.61236</v>
      </c>
      <c r="D531">
        <f>IFERROR(MATCH($A531,PP_Grid[Intermediate],0),99999)</f>
        <v/>
      </c>
    </row>
    <row r="532">
      <c r="A532" t="inlineStr">
        <is>
          <t>VSP-989</t>
        </is>
      </c>
      <c r="B532" t="inlineStr">
        <is>
          <t>CHEM-1440</t>
        </is>
      </c>
      <c r="C532" t="n">
        <v>0.09072000000000001</v>
      </c>
      <c r="D532">
        <f>IFERROR(MATCH($A532,PP_Grid[Intermediate],0),99999)</f>
        <v/>
      </c>
    </row>
    <row r="533">
      <c r="A533" t="inlineStr">
        <is>
          <t>VSP-989</t>
        </is>
      </c>
      <c r="B533" t="inlineStr">
        <is>
          <t>CHEM-1510</t>
        </is>
      </c>
      <c r="C533" t="n">
        <v>6.581925</v>
      </c>
      <c r="D533">
        <f>IFERROR(MATCH($A533,PP_Grid[Intermediate],0),99999)</f>
        <v/>
      </c>
    </row>
    <row r="534">
      <c r="A534" t="inlineStr">
        <is>
          <t>VSP-989</t>
        </is>
      </c>
      <c r="B534" t="inlineStr">
        <is>
          <t>CHEM-1570</t>
        </is>
      </c>
      <c r="C534" t="n">
        <v>0.09072000000000001</v>
      </c>
      <c r="D534">
        <f>IFERROR(MATCH($A534,PP_Grid[Intermediate],0),99999)</f>
        <v/>
      </c>
    </row>
    <row r="535">
      <c r="A535" t="inlineStr">
        <is>
          <t>VSP-989</t>
        </is>
      </c>
      <c r="B535" t="inlineStr">
        <is>
          <t>CHEM-1600</t>
        </is>
      </c>
      <c r="C535" t="n">
        <v>7.727264999999999</v>
      </c>
      <c r="D535">
        <f>IFERROR(MATCH($A535,PP_Grid[Intermediate],0),99999)</f>
        <v/>
      </c>
    </row>
    <row r="536">
      <c r="A536" t="inlineStr">
        <is>
          <t>VSP-989</t>
        </is>
      </c>
      <c r="B536" t="inlineStr">
        <is>
          <t>CHEM-1660</t>
        </is>
      </c>
      <c r="C536" t="n">
        <v>0.9081450000000001</v>
      </c>
      <c r="D536">
        <f>IFERROR(MATCH($A536,PP_Grid[Intermediate],0),99999)</f>
        <v/>
      </c>
    </row>
    <row r="537">
      <c r="A537" t="inlineStr">
        <is>
          <t>VSP-990</t>
        </is>
      </c>
      <c r="B537" t="inlineStr">
        <is>
          <t>CHEM-1400</t>
        </is>
      </c>
      <c r="C537" t="n">
        <v>3.48543</v>
      </c>
      <c r="D537">
        <f>IFERROR(MATCH($A537,PP_Grid[Intermediate],0),99999)</f>
        <v/>
      </c>
    </row>
    <row r="538">
      <c r="A538" t="inlineStr">
        <is>
          <t>VSP-990</t>
        </is>
      </c>
      <c r="B538" t="inlineStr">
        <is>
          <t>CHEM-1420</t>
        </is>
      </c>
      <c r="C538" t="n">
        <v>0.8496899999999999</v>
      </c>
      <c r="D538">
        <f>IFERROR(MATCH($A538,PP_Grid[Intermediate],0),99999)</f>
        <v/>
      </c>
    </row>
    <row r="539">
      <c r="A539" t="inlineStr">
        <is>
          <t>VSP-990</t>
        </is>
      </c>
      <c r="B539" t="inlineStr">
        <is>
          <t>CHEM-1440</t>
        </is>
      </c>
      <c r="C539" t="n">
        <v>0.48438</v>
      </c>
      <c r="D539">
        <f>IFERROR(MATCH($A539,PP_Grid[Intermediate],0),99999)</f>
        <v/>
      </c>
    </row>
    <row r="540">
      <c r="A540" t="inlineStr">
        <is>
          <t>VSP-990</t>
        </is>
      </c>
      <c r="B540" t="inlineStr">
        <is>
          <t>CHEM-1530</t>
        </is>
      </c>
      <c r="C540" t="n">
        <v>39.41541</v>
      </c>
      <c r="D540">
        <f>IFERROR(MATCH($A540,PP_Grid[Intermediate],0),99999)</f>
        <v/>
      </c>
    </row>
    <row r="541">
      <c r="A541" t="inlineStr">
        <is>
          <t>VSP-990</t>
        </is>
      </c>
      <c r="B541" t="inlineStr">
        <is>
          <t>CHEM-1570</t>
        </is>
      </c>
      <c r="C541" t="n">
        <v>0.081</v>
      </c>
      <c r="D541">
        <f>IFERROR(MATCH($A541,PP_Grid[Intermediate],0),99999)</f>
        <v/>
      </c>
    </row>
    <row r="542">
      <c r="A542" t="inlineStr">
        <is>
          <t>VSP-990</t>
        </is>
      </c>
      <c r="B542" t="inlineStr">
        <is>
          <t>CHEM-1650</t>
        </is>
      </c>
      <c r="C542" t="n">
        <v>0.0486</v>
      </c>
      <c r="D542">
        <f>IFERROR(MATCH($A542,PP_Grid[Intermediate],0),99999)</f>
        <v/>
      </c>
    </row>
    <row r="543">
      <c r="A543" t="inlineStr">
        <is>
          <t>VSP-990</t>
        </is>
      </c>
      <c r="B543" t="inlineStr">
        <is>
          <t>CHEM-1660</t>
        </is>
      </c>
      <c r="C543" t="n">
        <v>0.80676</v>
      </c>
      <c r="D543">
        <f>IFERROR(MATCH($A543,PP_Grid[Intermediate],0),99999)</f>
        <v/>
      </c>
    </row>
    <row r="544">
      <c r="A544" t="inlineStr">
        <is>
          <t>VSP-990</t>
        </is>
      </c>
      <c r="B544" t="inlineStr">
        <is>
          <t>SOL-10H VW</t>
        </is>
      </c>
      <c r="C544" t="n">
        <v>52.73505</v>
      </c>
      <c r="D544">
        <f>IFERROR(MATCH($A544,PP_Grid[Intermediate],0),99999)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A1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</cols>
  <sheetData>
    <row r="1">
      <c r="A1" s="6" t="inlineStr">
        <is>
          <t>Intermediate</t>
        </is>
      </c>
      <c r="B1" s="6" t="inlineStr">
        <is>
          <t>2026-W01</t>
        </is>
      </c>
      <c r="C1" s="6" t="inlineStr">
        <is>
          <t>2026-W02</t>
        </is>
      </c>
      <c r="D1" s="6" t="inlineStr">
        <is>
          <t>2026-W03</t>
        </is>
      </c>
      <c r="E1" s="6" t="inlineStr">
        <is>
          <t>2026-W04</t>
        </is>
      </c>
      <c r="F1" s="6" t="inlineStr">
        <is>
          <t>2026-W05</t>
        </is>
      </c>
      <c r="G1" s="6" t="inlineStr">
        <is>
          <t>2026-W06</t>
        </is>
      </c>
      <c r="H1" s="6" t="inlineStr">
        <is>
          <t>2026-W07</t>
        </is>
      </c>
      <c r="I1" s="6" t="inlineStr">
        <is>
          <t>2026-W08</t>
        </is>
      </c>
      <c r="J1" s="6" t="inlineStr">
        <is>
          <t>2026-W09</t>
        </is>
      </c>
      <c r="K1" s="6" t="inlineStr">
        <is>
          <t>2026-W10</t>
        </is>
      </c>
      <c r="L1" s="6" t="inlineStr">
        <is>
          <t>2026-W11</t>
        </is>
      </c>
      <c r="M1" s="6" t="inlineStr">
        <is>
          <t>2026-W12</t>
        </is>
      </c>
      <c r="N1" s="6" t="inlineStr">
        <is>
          <t>2026-W13</t>
        </is>
      </c>
      <c r="O1" s="6" t="inlineStr">
        <is>
          <t>2026-W14</t>
        </is>
      </c>
      <c r="P1" s="6" t="inlineStr">
        <is>
          <t>2026-W15</t>
        </is>
      </c>
      <c r="Q1" s="6" t="inlineStr">
        <is>
          <t>2026-W16</t>
        </is>
      </c>
      <c r="R1" s="6" t="inlineStr">
        <is>
          <t>2026-W17</t>
        </is>
      </c>
      <c r="S1" s="6" t="inlineStr">
        <is>
          <t>2026-W18</t>
        </is>
      </c>
      <c r="T1" s="6" t="inlineStr">
        <is>
          <t>2026-W19</t>
        </is>
      </c>
      <c r="U1" s="6" t="inlineStr">
        <is>
          <t>2026-W20</t>
        </is>
      </c>
      <c r="V1" s="6" t="inlineStr">
        <is>
          <t>2026-W21</t>
        </is>
      </c>
      <c r="W1" s="6" t="inlineStr">
        <is>
          <t>2026-W22</t>
        </is>
      </c>
      <c r="X1" s="6" t="inlineStr">
        <is>
          <t>2026-W23</t>
        </is>
      </c>
      <c r="Y1" s="6" t="inlineStr">
        <is>
          <t>2026-W24</t>
        </is>
      </c>
      <c r="Z1" s="6" t="inlineStr">
        <is>
          <t>2026-W25</t>
        </is>
      </c>
      <c r="AA1" s="6" t="inlineStr">
        <is>
          <t>2026-W26</t>
        </is>
      </c>
      <c r="AB1" s="6" t="inlineStr">
        <is>
          <t>2026-W27</t>
        </is>
      </c>
      <c r="AC1" s="6" t="inlineStr">
        <is>
          <t>2026-W28</t>
        </is>
      </c>
      <c r="AD1" s="6" t="inlineStr">
        <is>
          <t>2026-W29</t>
        </is>
      </c>
      <c r="AE1" s="6" t="inlineStr">
        <is>
          <t>2026-W30</t>
        </is>
      </c>
      <c r="AF1" s="6" t="inlineStr">
        <is>
          <t>2026-W31</t>
        </is>
      </c>
      <c r="AG1" s="6" t="inlineStr">
        <is>
          <t>2026-W32</t>
        </is>
      </c>
      <c r="AH1" s="6" t="inlineStr">
        <is>
          <t>2026-W33</t>
        </is>
      </c>
      <c r="AI1" s="6" t="inlineStr">
        <is>
          <t>2026-W34</t>
        </is>
      </c>
      <c r="AJ1" s="6" t="inlineStr">
        <is>
          <t>2026-W35</t>
        </is>
      </c>
      <c r="AK1" s="6" t="inlineStr">
        <is>
          <t>2026-W36</t>
        </is>
      </c>
      <c r="AL1" s="6" t="inlineStr">
        <is>
          <t>2026-W37</t>
        </is>
      </c>
      <c r="AM1" s="6" t="inlineStr">
        <is>
          <t>2026-W38</t>
        </is>
      </c>
      <c r="AN1" s="6" t="inlineStr">
        <is>
          <t>2026-W39</t>
        </is>
      </c>
      <c r="AO1" s="6" t="inlineStr">
        <is>
          <t>2026-W40</t>
        </is>
      </c>
      <c r="AP1" s="6" t="inlineStr">
        <is>
          <t>2026-W41</t>
        </is>
      </c>
      <c r="AQ1" s="6" t="inlineStr">
        <is>
          <t>2026-W42</t>
        </is>
      </c>
      <c r="AR1" s="6" t="inlineStr">
        <is>
          <t>2026-W43</t>
        </is>
      </c>
      <c r="AS1" s="6" t="inlineStr">
        <is>
          <t>2026-W44</t>
        </is>
      </c>
      <c r="AT1" s="6" t="inlineStr">
        <is>
          <t>2026-W45</t>
        </is>
      </c>
      <c r="AU1" s="6" t="inlineStr">
        <is>
          <t>2026-W46</t>
        </is>
      </c>
      <c r="AV1" s="6" t="inlineStr">
        <is>
          <t>2026-W47</t>
        </is>
      </c>
      <c r="AW1" s="6" t="inlineStr">
        <is>
          <t>2026-W48</t>
        </is>
      </c>
      <c r="AX1" s="6" t="inlineStr">
        <is>
          <t>2026-W49</t>
        </is>
      </c>
      <c r="AY1" s="6" t="inlineStr">
        <is>
          <t>2026-W50</t>
        </is>
      </c>
      <c r="AZ1" s="6" t="inlineStr">
        <is>
          <t>2026-W51</t>
        </is>
      </c>
      <c r="BA1" s="6" t="inlineStr">
        <is>
          <t>2026-W52</t>
        </is>
      </c>
      <c r="BB1" s="6" t="inlineStr">
        <is>
          <t>2027-W01</t>
        </is>
      </c>
      <c r="BC1" s="6" t="inlineStr">
        <is>
          <t>2027-W02</t>
        </is>
      </c>
      <c r="BD1" s="6" t="inlineStr">
        <is>
          <t>2027-W03</t>
        </is>
      </c>
      <c r="BE1" s="6" t="inlineStr">
        <is>
          <t>2027-W04</t>
        </is>
      </c>
      <c r="BF1" s="6" t="inlineStr">
        <is>
          <t>2027-W05</t>
        </is>
      </c>
      <c r="BG1" s="6" t="inlineStr">
        <is>
          <t>2027-W06</t>
        </is>
      </c>
      <c r="BH1" s="6" t="inlineStr">
        <is>
          <t>2027-W07</t>
        </is>
      </c>
      <c r="BI1" s="6" t="inlineStr">
        <is>
          <t>2027-W08</t>
        </is>
      </c>
      <c r="BJ1" s="6" t="inlineStr">
        <is>
          <t>2027-W09</t>
        </is>
      </c>
      <c r="BK1" s="6" t="inlineStr">
        <is>
          <t>2027-W10</t>
        </is>
      </c>
      <c r="BL1" s="6" t="inlineStr">
        <is>
          <t>2027-W11</t>
        </is>
      </c>
      <c r="BM1" s="6" t="inlineStr">
        <is>
          <t>2027-W12</t>
        </is>
      </c>
      <c r="BN1" s="6" t="inlineStr">
        <is>
          <t>2027-W13</t>
        </is>
      </c>
      <c r="BO1" s="6" t="inlineStr">
        <is>
          <t>2027-W14</t>
        </is>
      </c>
      <c r="BP1" s="6" t="inlineStr">
        <is>
          <t>2027-W15</t>
        </is>
      </c>
      <c r="BQ1" s="6" t="inlineStr">
        <is>
          <t>2027-W16</t>
        </is>
      </c>
      <c r="BR1" s="6" t="inlineStr">
        <is>
          <t>2027-W17</t>
        </is>
      </c>
      <c r="BS1" s="6" t="inlineStr">
        <is>
          <t>2027-W18</t>
        </is>
      </c>
      <c r="BT1" s="6" t="inlineStr">
        <is>
          <t>2027-W19</t>
        </is>
      </c>
      <c r="BU1" s="6" t="inlineStr">
        <is>
          <t>2027-W20</t>
        </is>
      </c>
      <c r="BV1" s="6" t="inlineStr">
        <is>
          <t>2027-W21</t>
        </is>
      </c>
      <c r="BW1" s="6" t="inlineStr">
        <is>
          <t>2027-W22</t>
        </is>
      </c>
      <c r="BX1" s="6" t="inlineStr">
        <is>
          <t>2027-W23</t>
        </is>
      </c>
      <c r="BY1" s="6" t="inlineStr">
        <is>
          <t>2027-W24</t>
        </is>
      </c>
      <c r="BZ1" s="6" t="inlineStr">
        <is>
          <t>2027-W25</t>
        </is>
      </c>
      <c r="CA1" s="6" t="inlineStr">
        <is>
          <t>2027-W26</t>
        </is>
      </c>
      <c r="CB1" s="6" t="inlineStr">
        <is>
          <t>2027-W27</t>
        </is>
      </c>
      <c r="CC1" s="6" t="inlineStr">
        <is>
          <t>2027-W28</t>
        </is>
      </c>
      <c r="CD1" s="6" t="inlineStr">
        <is>
          <t>2027-W29</t>
        </is>
      </c>
      <c r="CE1" s="6" t="inlineStr">
        <is>
          <t>2027-W30</t>
        </is>
      </c>
      <c r="CF1" s="6" t="inlineStr">
        <is>
          <t>2027-W31</t>
        </is>
      </c>
      <c r="CG1" s="6" t="inlineStr">
        <is>
          <t>2027-W32</t>
        </is>
      </c>
      <c r="CH1" s="6" t="inlineStr">
        <is>
          <t>2027-W33</t>
        </is>
      </c>
      <c r="CI1" s="6" t="inlineStr">
        <is>
          <t>2027-W34</t>
        </is>
      </c>
      <c r="CJ1" s="6" t="inlineStr">
        <is>
          <t>2027-W35</t>
        </is>
      </c>
      <c r="CK1" s="6" t="inlineStr">
        <is>
          <t>2027-W36</t>
        </is>
      </c>
      <c r="CL1" s="6" t="inlineStr">
        <is>
          <t>2027-W37</t>
        </is>
      </c>
      <c r="CM1" s="6" t="inlineStr">
        <is>
          <t>2027-W38</t>
        </is>
      </c>
      <c r="CN1" s="6" t="inlineStr">
        <is>
          <t>2027-W39</t>
        </is>
      </c>
      <c r="CO1" s="6" t="inlineStr">
        <is>
          <t>2027-W40</t>
        </is>
      </c>
      <c r="CP1" s="6" t="inlineStr">
        <is>
          <t>2027-W41</t>
        </is>
      </c>
      <c r="CQ1" s="6" t="inlineStr">
        <is>
          <t>2027-W42</t>
        </is>
      </c>
      <c r="CR1" s="6" t="inlineStr">
        <is>
          <t>2027-W43</t>
        </is>
      </c>
      <c r="CS1" s="6" t="inlineStr">
        <is>
          <t>2027-W44</t>
        </is>
      </c>
      <c r="CT1" s="6" t="inlineStr">
        <is>
          <t>2027-W45</t>
        </is>
      </c>
      <c r="CU1" s="6" t="inlineStr">
        <is>
          <t>2027-W46</t>
        </is>
      </c>
      <c r="CV1" s="6" t="inlineStr">
        <is>
          <t>2027-W47</t>
        </is>
      </c>
      <c r="CW1" s="6" t="inlineStr">
        <is>
          <t>2027-W48</t>
        </is>
      </c>
      <c r="CX1" s="6" t="inlineStr">
        <is>
          <t>2027-W49</t>
        </is>
      </c>
      <c r="CY1" s="6" t="inlineStr">
        <is>
          <t>2027-W50</t>
        </is>
      </c>
      <c r="CZ1" s="6" t="inlineStr">
        <is>
          <t>2027-W51</t>
        </is>
      </c>
      <c r="DA1" s="6" t="inlineStr">
        <is>
          <t>2027-W52</t>
        </is>
      </c>
    </row>
    <row r="2">
      <c r="A2" t="inlineStr">
        <is>
          <t>TSP-049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  <c r="S2" s="23" t="n">
        <v>0</v>
      </c>
      <c r="T2" s="23" t="n">
        <v>0</v>
      </c>
      <c r="U2" s="23" t="n">
        <v>0</v>
      </c>
      <c r="V2" s="23" t="n">
        <v>0</v>
      </c>
      <c r="W2" s="23" t="n">
        <v>0</v>
      </c>
      <c r="X2" s="23" t="n">
        <v>0</v>
      </c>
      <c r="Y2" s="23" t="n">
        <v>0</v>
      </c>
      <c r="Z2" s="23" t="n">
        <v>0</v>
      </c>
      <c r="AA2" s="23" t="n">
        <v>0</v>
      </c>
      <c r="AB2" s="23" t="n">
        <v>0</v>
      </c>
      <c r="AC2" s="23" t="n">
        <v>0</v>
      </c>
      <c r="AD2" s="23" t="n">
        <v>0</v>
      </c>
      <c r="AE2" s="23" t="n">
        <v>0</v>
      </c>
      <c r="AF2" s="23" t="n">
        <v>0</v>
      </c>
      <c r="AG2" s="23" t="n">
        <v>0</v>
      </c>
      <c r="AH2" s="23" t="n">
        <v>0</v>
      </c>
      <c r="AI2" s="23" t="n">
        <v>0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0</v>
      </c>
      <c r="BW2" s="23" t="n">
        <v>0</v>
      </c>
      <c r="BX2" s="23" t="n">
        <v>0</v>
      </c>
      <c r="BY2" s="23" t="n">
        <v>0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0</v>
      </c>
      <c r="CO2" s="23" t="n">
        <v>0</v>
      </c>
      <c r="CP2" s="23" t="n">
        <v>0</v>
      </c>
      <c r="CQ2" s="23" t="n">
        <v>0</v>
      </c>
      <c r="CR2" s="23" t="n">
        <v>0</v>
      </c>
      <c r="CS2" s="23" t="n">
        <v>0</v>
      </c>
      <c r="CT2" s="23" t="n">
        <v>0</v>
      </c>
      <c r="CU2" s="23" t="n">
        <v>0</v>
      </c>
      <c r="CV2" s="23" t="n">
        <v>0</v>
      </c>
      <c r="CW2" s="23" t="n">
        <v>0</v>
      </c>
      <c r="CX2" s="23" t="n">
        <v>0</v>
      </c>
      <c r="CY2" s="23" t="n">
        <v>0</v>
      </c>
      <c r="CZ2" s="23" t="n">
        <v>0</v>
      </c>
      <c r="DA2" s="23" t="n">
        <v>0</v>
      </c>
    </row>
    <row r="3">
      <c r="A3" t="inlineStr">
        <is>
          <t>TSP-050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  <c r="W3" s="23" t="n">
        <v>0</v>
      </c>
      <c r="X3" s="23" t="n">
        <v>0</v>
      </c>
      <c r="Y3" s="23" t="n">
        <v>0</v>
      </c>
      <c r="Z3" s="23" t="n">
        <v>0</v>
      </c>
      <c r="AA3" s="23" t="n">
        <v>0</v>
      </c>
      <c r="AB3" s="23" t="n">
        <v>0</v>
      </c>
      <c r="AC3" s="23" t="n">
        <v>0</v>
      </c>
      <c r="AD3" s="23" t="n">
        <v>0</v>
      </c>
      <c r="AE3" s="23" t="n">
        <v>0</v>
      </c>
      <c r="AF3" s="23" t="n">
        <v>0</v>
      </c>
      <c r="AG3" s="23" t="n">
        <v>0</v>
      </c>
      <c r="AH3" s="23" t="n">
        <v>0</v>
      </c>
      <c r="AI3" s="23" t="n">
        <v>0</v>
      </c>
      <c r="AJ3" s="23" t="n">
        <v>0</v>
      </c>
      <c r="AK3" s="23" t="n">
        <v>0</v>
      </c>
      <c r="AL3" s="23" t="n">
        <v>0</v>
      </c>
      <c r="AM3" s="23" t="n">
        <v>0</v>
      </c>
      <c r="AN3" s="23" t="n">
        <v>0</v>
      </c>
      <c r="AO3" s="23" t="n">
        <v>0</v>
      </c>
      <c r="AP3" s="23" t="n">
        <v>0</v>
      </c>
      <c r="AQ3" s="23" t="n">
        <v>0</v>
      </c>
      <c r="AR3" s="23" t="n">
        <v>0</v>
      </c>
      <c r="AS3" s="23" t="n">
        <v>0</v>
      </c>
      <c r="AT3" s="23" t="n">
        <v>0</v>
      </c>
      <c r="AU3" s="23" t="n">
        <v>0</v>
      </c>
      <c r="AV3" s="23" t="n">
        <v>0</v>
      </c>
      <c r="AW3" s="23" t="n">
        <v>0</v>
      </c>
      <c r="AX3" s="23" t="n">
        <v>0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0</v>
      </c>
      <c r="BO3" s="23" t="n">
        <v>0</v>
      </c>
      <c r="BP3" s="23" t="n">
        <v>0</v>
      </c>
      <c r="BQ3" s="23" t="n">
        <v>0</v>
      </c>
      <c r="BR3" s="23" t="n">
        <v>0</v>
      </c>
      <c r="BS3" s="23" t="n">
        <v>0</v>
      </c>
      <c r="BT3" s="23" t="n">
        <v>0</v>
      </c>
      <c r="BU3" s="23" t="n">
        <v>0</v>
      </c>
      <c r="BV3" s="23" t="n">
        <v>0</v>
      </c>
      <c r="BW3" s="23" t="n">
        <v>0</v>
      </c>
      <c r="BX3" s="23" t="n">
        <v>0</v>
      </c>
      <c r="BY3" s="23" t="n">
        <v>0</v>
      </c>
      <c r="BZ3" s="23" t="n">
        <v>0</v>
      </c>
      <c r="CA3" s="23" t="n">
        <v>0</v>
      </c>
      <c r="CB3" s="23" t="n">
        <v>0</v>
      </c>
      <c r="CC3" s="23" t="n">
        <v>0</v>
      </c>
      <c r="CD3" s="23" t="n">
        <v>0</v>
      </c>
      <c r="CE3" s="23" t="n">
        <v>0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0</v>
      </c>
      <c r="CN3" s="23" t="n">
        <v>0</v>
      </c>
      <c r="CO3" s="23" t="n">
        <v>0</v>
      </c>
      <c r="CP3" s="23" t="n">
        <v>0</v>
      </c>
      <c r="CQ3" s="23" t="n">
        <v>0</v>
      </c>
      <c r="CR3" s="23" t="n">
        <v>0</v>
      </c>
      <c r="CS3" s="23" t="n">
        <v>0</v>
      </c>
      <c r="CT3" s="23" t="n">
        <v>0</v>
      </c>
      <c r="CU3" s="23" t="n">
        <v>0</v>
      </c>
      <c r="CV3" s="23" t="n">
        <v>0</v>
      </c>
      <c r="CW3" s="23" t="n">
        <v>0</v>
      </c>
      <c r="CX3" s="23" t="n">
        <v>0</v>
      </c>
      <c r="CY3" s="23" t="n">
        <v>0</v>
      </c>
      <c r="CZ3" s="23" t="n">
        <v>0</v>
      </c>
      <c r="DA3" s="23" t="n">
        <v>0</v>
      </c>
    </row>
    <row r="4">
      <c r="A4" t="inlineStr">
        <is>
          <t>TSP-067</t>
        </is>
      </c>
      <c r="B4" s="23" t="n">
        <v>0</v>
      </c>
      <c r="C4" s="23" t="n">
        <v>0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0</v>
      </c>
      <c r="J4" s="23" t="n">
        <v>0</v>
      </c>
      <c r="K4" s="23" t="n">
        <v>0</v>
      </c>
      <c r="L4" s="23" t="n">
        <v>0</v>
      </c>
      <c r="M4" s="23" t="n">
        <v>0</v>
      </c>
      <c r="N4" s="23" t="n">
        <v>0</v>
      </c>
      <c r="O4" s="23" t="n">
        <v>0</v>
      </c>
      <c r="P4" s="23" t="n">
        <v>0</v>
      </c>
      <c r="Q4" s="23" t="n">
        <v>0</v>
      </c>
      <c r="R4" s="23" t="n">
        <v>0</v>
      </c>
      <c r="S4" s="23" t="n">
        <v>0</v>
      </c>
      <c r="T4" s="23" t="n">
        <v>0</v>
      </c>
      <c r="U4" s="23" t="n">
        <v>0</v>
      </c>
      <c r="V4" s="23" t="n">
        <v>0</v>
      </c>
      <c r="W4" s="23" t="n">
        <v>0</v>
      </c>
      <c r="X4" s="23" t="n">
        <v>0</v>
      </c>
      <c r="Y4" s="23" t="n">
        <v>0</v>
      </c>
      <c r="Z4" s="23" t="n">
        <v>0</v>
      </c>
      <c r="AA4" s="23" t="n">
        <v>0</v>
      </c>
      <c r="AB4" s="23" t="n">
        <v>0</v>
      </c>
      <c r="AC4" s="23" t="n">
        <v>0</v>
      </c>
      <c r="AD4" s="23" t="n">
        <v>0</v>
      </c>
      <c r="AE4" s="23" t="n">
        <v>0</v>
      </c>
      <c r="AF4" s="23" t="n">
        <v>0</v>
      </c>
      <c r="AG4" s="23" t="n">
        <v>0</v>
      </c>
      <c r="AH4" s="23" t="n">
        <v>0</v>
      </c>
      <c r="AI4" s="23" t="n">
        <v>0</v>
      </c>
      <c r="AJ4" s="23" t="n">
        <v>0</v>
      </c>
      <c r="AK4" s="23" t="n">
        <v>0</v>
      </c>
      <c r="AL4" s="23" t="n">
        <v>0</v>
      </c>
      <c r="AM4" s="23" t="n">
        <v>0</v>
      </c>
      <c r="AN4" s="23" t="n">
        <v>0</v>
      </c>
      <c r="AO4" s="23" t="n">
        <v>0</v>
      </c>
      <c r="AP4" s="23" t="n">
        <v>0</v>
      </c>
      <c r="AQ4" s="23" t="n">
        <v>0</v>
      </c>
      <c r="AR4" s="23" t="n">
        <v>0</v>
      </c>
      <c r="AS4" s="23" t="n">
        <v>0</v>
      </c>
      <c r="AT4" s="23" t="n">
        <v>0</v>
      </c>
      <c r="AU4" s="23" t="n">
        <v>0</v>
      </c>
      <c r="AV4" s="23" t="n">
        <v>0</v>
      </c>
      <c r="AW4" s="23" t="n">
        <v>0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0</v>
      </c>
      <c r="BO4" s="23" t="n">
        <v>0</v>
      </c>
      <c r="BP4" s="23" t="n">
        <v>0</v>
      </c>
      <c r="BQ4" s="23" t="n">
        <v>0</v>
      </c>
      <c r="BR4" s="23" t="n">
        <v>0</v>
      </c>
      <c r="BS4" s="23" t="n">
        <v>0</v>
      </c>
      <c r="BT4" s="23" t="n">
        <v>0</v>
      </c>
      <c r="BU4" s="23" t="n">
        <v>0</v>
      </c>
      <c r="BV4" s="23" t="n">
        <v>0</v>
      </c>
      <c r="BW4" s="23" t="n">
        <v>0</v>
      </c>
      <c r="BX4" s="23" t="n">
        <v>0</v>
      </c>
      <c r="BY4" s="23" t="n">
        <v>0</v>
      </c>
      <c r="BZ4" s="23" t="n">
        <v>0</v>
      </c>
      <c r="CA4" s="23" t="n">
        <v>0</v>
      </c>
      <c r="CB4" s="23" t="n">
        <v>0</v>
      </c>
      <c r="CC4" s="23" t="n">
        <v>0</v>
      </c>
      <c r="CD4" s="23" t="n">
        <v>0</v>
      </c>
      <c r="CE4" s="23" t="n">
        <v>0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0</v>
      </c>
      <c r="CN4" s="23" t="n">
        <v>0</v>
      </c>
      <c r="CO4" s="23" t="n">
        <v>0</v>
      </c>
      <c r="CP4" s="23" t="n">
        <v>0</v>
      </c>
      <c r="CQ4" s="23" t="n">
        <v>0</v>
      </c>
      <c r="CR4" s="23" t="n">
        <v>0</v>
      </c>
      <c r="CS4" s="23" t="n">
        <v>0</v>
      </c>
      <c r="CT4" s="23" t="n">
        <v>0</v>
      </c>
      <c r="CU4" s="23" t="n">
        <v>0</v>
      </c>
      <c r="CV4" s="23" t="n">
        <v>0</v>
      </c>
      <c r="CW4" s="23" t="n">
        <v>0</v>
      </c>
      <c r="CX4" s="23" t="n">
        <v>0</v>
      </c>
      <c r="CY4" s="23" t="n">
        <v>0</v>
      </c>
      <c r="CZ4" s="23" t="n">
        <v>0</v>
      </c>
      <c r="DA4" s="23" t="n">
        <v>0</v>
      </c>
    </row>
    <row r="5">
      <c r="A5" t="inlineStr">
        <is>
          <t>TSP-069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0</v>
      </c>
      <c r="K5" s="23" t="n">
        <v>0</v>
      </c>
      <c r="L5" s="23" t="n">
        <v>0</v>
      </c>
      <c r="M5" s="23" t="n">
        <v>0</v>
      </c>
      <c r="N5" s="23" t="n">
        <v>0</v>
      </c>
      <c r="O5" s="23" t="n">
        <v>0</v>
      </c>
      <c r="P5" s="23" t="n">
        <v>0</v>
      </c>
      <c r="Q5" s="23" t="n">
        <v>0</v>
      </c>
      <c r="R5" s="23" t="n">
        <v>0</v>
      </c>
      <c r="S5" s="23" t="n">
        <v>0</v>
      </c>
      <c r="T5" s="23" t="n">
        <v>0</v>
      </c>
      <c r="U5" s="23" t="n">
        <v>0</v>
      </c>
      <c r="V5" s="23" t="n">
        <v>0</v>
      </c>
      <c r="W5" s="23" t="n">
        <v>0</v>
      </c>
      <c r="X5" s="23" t="n">
        <v>0</v>
      </c>
      <c r="Y5" s="23" t="n">
        <v>0</v>
      </c>
      <c r="Z5" s="23" t="n">
        <v>0</v>
      </c>
      <c r="AA5" s="23" t="n">
        <v>0</v>
      </c>
      <c r="AB5" s="23" t="n">
        <v>0</v>
      </c>
      <c r="AC5" s="23" t="n">
        <v>0</v>
      </c>
      <c r="AD5" s="23" t="n">
        <v>0</v>
      </c>
      <c r="AE5" s="23" t="n">
        <v>0</v>
      </c>
      <c r="AF5" s="23" t="n">
        <v>0</v>
      </c>
      <c r="AG5" s="23" t="n">
        <v>0</v>
      </c>
      <c r="AH5" s="23" t="n">
        <v>0</v>
      </c>
      <c r="AI5" s="23" t="n">
        <v>0</v>
      </c>
      <c r="AJ5" s="23" t="n">
        <v>0</v>
      </c>
      <c r="AK5" s="23" t="n">
        <v>0</v>
      </c>
      <c r="AL5" s="23" t="n">
        <v>0</v>
      </c>
      <c r="AM5" s="23" t="n">
        <v>0</v>
      </c>
      <c r="AN5" s="23" t="n">
        <v>0</v>
      </c>
      <c r="AO5" s="23" t="n">
        <v>0</v>
      </c>
      <c r="AP5" s="23" t="n">
        <v>0</v>
      </c>
      <c r="AQ5" s="23" t="n">
        <v>0</v>
      </c>
      <c r="AR5" s="23" t="n">
        <v>0</v>
      </c>
      <c r="AS5" s="23" t="n">
        <v>0</v>
      </c>
      <c r="AT5" s="23" t="n">
        <v>0</v>
      </c>
      <c r="AU5" s="23" t="n">
        <v>0</v>
      </c>
      <c r="AV5" s="23" t="n">
        <v>0</v>
      </c>
      <c r="AW5" s="23" t="n">
        <v>0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0</v>
      </c>
      <c r="BO5" s="23" t="n">
        <v>0</v>
      </c>
      <c r="BP5" s="23" t="n">
        <v>0</v>
      </c>
      <c r="BQ5" s="23" t="n">
        <v>0</v>
      </c>
      <c r="BR5" s="23" t="n">
        <v>0</v>
      </c>
      <c r="BS5" s="23" t="n">
        <v>0</v>
      </c>
      <c r="BT5" s="23" t="n">
        <v>0</v>
      </c>
      <c r="BU5" s="23" t="n">
        <v>0</v>
      </c>
      <c r="BV5" s="23" t="n">
        <v>0</v>
      </c>
      <c r="BW5" s="23" t="n">
        <v>0</v>
      </c>
      <c r="BX5" s="23" t="n">
        <v>0</v>
      </c>
      <c r="BY5" s="23" t="n">
        <v>0</v>
      </c>
      <c r="BZ5" s="23" t="n">
        <v>0</v>
      </c>
      <c r="CA5" s="23" t="n">
        <v>0</v>
      </c>
      <c r="CB5" s="23" t="n">
        <v>0</v>
      </c>
      <c r="CC5" s="23" t="n">
        <v>0</v>
      </c>
      <c r="CD5" s="23" t="n">
        <v>0</v>
      </c>
      <c r="CE5" s="23" t="n">
        <v>0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0</v>
      </c>
      <c r="CN5" s="23" t="n">
        <v>0</v>
      </c>
      <c r="CO5" s="23" t="n">
        <v>0</v>
      </c>
      <c r="CP5" s="23" t="n">
        <v>0</v>
      </c>
      <c r="CQ5" s="23" t="n">
        <v>0</v>
      </c>
      <c r="CR5" s="23" t="n">
        <v>0</v>
      </c>
      <c r="CS5" s="23" t="n">
        <v>0</v>
      </c>
      <c r="CT5" s="23" t="n">
        <v>0</v>
      </c>
      <c r="CU5" s="23" t="n">
        <v>0</v>
      </c>
      <c r="CV5" s="23" t="n">
        <v>0</v>
      </c>
      <c r="CW5" s="23" t="n">
        <v>0</v>
      </c>
      <c r="CX5" s="23" t="n">
        <v>0</v>
      </c>
      <c r="CY5" s="23" t="n">
        <v>0</v>
      </c>
      <c r="CZ5" s="23" t="n">
        <v>0</v>
      </c>
      <c r="DA5" s="23" t="n">
        <v>0</v>
      </c>
    </row>
    <row r="6">
      <c r="A6" t="inlineStr">
        <is>
          <t>TSP-078</t>
        </is>
      </c>
      <c r="B6" s="23" t="n">
        <v>0</v>
      </c>
      <c r="C6" s="23" t="n">
        <v>0</v>
      </c>
      <c r="D6" s="23" t="n">
        <v>0</v>
      </c>
      <c r="E6" s="23" t="n">
        <v>0</v>
      </c>
      <c r="F6" s="23" t="n">
        <v>0</v>
      </c>
      <c r="G6" s="23" t="n">
        <v>0</v>
      </c>
      <c r="H6" s="23" t="n">
        <v>0</v>
      </c>
      <c r="I6" s="23" t="n">
        <v>0</v>
      </c>
      <c r="J6" s="23" t="n">
        <v>0</v>
      </c>
      <c r="K6" s="23" t="n">
        <v>0</v>
      </c>
      <c r="L6" s="23" t="n">
        <v>0</v>
      </c>
      <c r="M6" s="23" t="n">
        <v>0</v>
      </c>
      <c r="N6" s="23" t="n">
        <v>0</v>
      </c>
      <c r="O6" s="23" t="n">
        <v>0</v>
      </c>
      <c r="P6" s="23" t="n">
        <v>0</v>
      </c>
      <c r="Q6" s="23" t="n">
        <v>0</v>
      </c>
      <c r="R6" s="23" t="n">
        <v>0</v>
      </c>
      <c r="S6" s="23" t="n">
        <v>0</v>
      </c>
      <c r="T6" s="23" t="n">
        <v>0</v>
      </c>
      <c r="U6" s="23" t="n">
        <v>0</v>
      </c>
      <c r="V6" s="23" t="n">
        <v>0</v>
      </c>
      <c r="W6" s="23" t="n">
        <v>0</v>
      </c>
      <c r="X6" s="23" t="n">
        <v>0</v>
      </c>
      <c r="Y6" s="23" t="n">
        <v>0</v>
      </c>
      <c r="Z6" s="23" t="n">
        <v>0</v>
      </c>
      <c r="AA6" s="23" t="n">
        <v>0</v>
      </c>
      <c r="AB6" s="23" t="n">
        <v>0</v>
      </c>
      <c r="AC6" s="23" t="n">
        <v>0</v>
      </c>
      <c r="AD6" s="23" t="n">
        <v>0</v>
      </c>
      <c r="AE6" s="23" t="n">
        <v>0</v>
      </c>
      <c r="AF6" s="23" t="n">
        <v>0</v>
      </c>
      <c r="AG6" s="23" t="n">
        <v>0</v>
      </c>
      <c r="AH6" s="23" t="n">
        <v>0</v>
      </c>
      <c r="AI6" s="23" t="n">
        <v>0</v>
      </c>
      <c r="AJ6" s="23" t="n">
        <v>0</v>
      </c>
      <c r="AK6" s="23" t="n">
        <v>0</v>
      </c>
      <c r="AL6" s="23" t="n">
        <v>0</v>
      </c>
      <c r="AM6" s="23" t="n">
        <v>0</v>
      </c>
      <c r="AN6" s="23" t="n">
        <v>0</v>
      </c>
      <c r="AO6" s="23" t="n">
        <v>0</v>
      </c>
      <c r="AP6" s="23" t="n">
        <v>0</v>
      </c>
      <c r="AQ6" s="23" t="n">
        <v>0</v>
      </c>
      <c r="AR6" s="23" t="n">
        <v>0</v>
      </c>
      <c r="AS6" s="23" t="n">
        <v>0</v>
      </c>
      <c r="AT6" s="23" t="n">
        <v>0</v>
      </c>
      <c r="AU6" s="23" t="n">
        <v>0</v>
      </c>
      <c r="AV6" s="23" t="n">
        <v>0</v>
      </c>
      <c r="AW6" s="23" t="n">
        <v>0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0</v>
      </c>
      <c r="BO6" s="23" t="n">
        <v>0</v>
      </c>
      <c r="BP6" s="23" t="n">
        <v>0</v>
      </c>
      <c r="BQ6" s="23" t="n">
        <v>0</v>
      </c>
      <c r="BR6" s="23" t="n">
        <v>0</v>
      </c>
      <c r="BS6" s="23" t="n">
        <v>0</v>
      </c>
      <c r="BT6" s="23" t="n">
        <v>0</v>
      </c>
      <c r="BU6" s="23" t="n">
        <v>0</v>
      </c>
      <c r="BV6" s="23" t="n">
        <v>0</v>
      </c>
      <c r="BW6" s="23" t="n">
        <v>0</v>
      </c>
      <c r="BX6" s="23" t="n">
        <v>0</v>
      </c>
      <c r="BY6" s="23" t="n">
        <v>0</v>
      </c>
      <c r="BZ6" s="23" t="n">
        <v>0</v>
      </c>
      <c r="CA6" s="23" t="n">
        <v>0</v>
      </c>
      <c r="CB6" s="23" t="n">
        <v>0</v>
      </c>
      <c r="CC6" s="23" t="n">
        <v>0</v>
      </c>
      <c r="CD6" s="23" t="n">
        <v>0</v>
      </c>
      <c r="CE6" s="23" t="n">
        <v>0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0</v>
      </c>
      <c r="CN6" s="23" t="n">
        <v>0</v>
      </c>
      <c r="CO6" s="23" t="n">
        <v>0</v>
      </c>
      <c r="CP6" s="23" t="n">
        <v>0</v>
      </c>
      <c r="CQ6" s="23" t="n">
        <v>0</v>
      </c>
      <c r="CR6" s="23" t="n">
        <v>0</v>
      </c>
      <c r="CS6" s="23" t="n">
        <v>0</v>
      </c>
      <c r="CT6" s="23" t="n">
        <v>0</v>
      </c>
      <c r="CU6" s="23" t="n">
        <v>0</v>
      </c>
      <c r="CV6" s="23" t="n">
        <v>0</v>
      </c>
      <c r="CW6" s="23" t="n">
        <v>0</v>
      </c>
      <c r="CX6" s="23" t="n">
        <v>0</v>
      </c>
      <c r="CY6" s="23" t="n">
        <v>0</v>
      </c>
      <c r="CZ6" s="23" t="n">
        <v>0</v>
      </c>
      <c r="DA6" s="23" t="n">
        <v>0</v>
      </c>
    </row>
    <row r="7">
      <c r="A7" t="inlineStr">
        <is>
          <t>TSP-080</t>
        </is>
      </c>
      <c r="B7" s="23" t="n">
        <v>0</v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0</v>
      </c>
      <c r="K7" s="23" t="n">
        <v>0</v>
      </c>
      <c r="L7" s="23" t="n">
        <v>0</v>
      </c>
      <c r="M7" s="23" t="n">
        <v>0</v>
      </c>
      <c r="N7" s="23" t="n">
        <v>0</v>
      </c>
      <c r="O7" s="23" t="n">
        <v>0</v>
      </c>
      <c r="P7" s="23" t="n">
        <v>0</v>
      </c>
      <c r="Q7" s="23" t="n">
        <v>0</v>
      </c>
      <c r="R7" s="23" t="n">
        <v>0</v>
      </c>
      <c r="S7" s="23" t="n">
        <v>0</v>
      </c>
      <c r="T7" s="23" t="n">
        <v>0</v>
      </c>
      <c r="U7" s="23" t="n">
        <v>0</v>
      </c>
      <c r="V7" s="23" t="n">
        <v>0</v>
      </c>
      <c r="W7" s="23" t="n">
        <v>0</v>
      </c>
      <c r="X7" s="23" t="n">
        <v>0</v>
      </c>
      <c r="Y7" s="23" t="n">
        <v>0</v>
      </c>
      <c r="Z7" s="23" t="n">
        <v>0</v>
      </c>
      <c r="AA7" s="23" t="n">
        <v>0</v>
      </c>
      <c r="AB7" s="23" t="n">
        <v>0</v>
      </c>
      <c r="AC7" s="23" t="n">
        <v>0</v>
      </c>
      <c r="AD7" s="23" t="n">
        <v>0</v>
      </c>
      <c r="AE7" s="23" t="n">
        <v>0</v>
      </c>
      <c r="AF7" s="23" t="n">
        <v>0</v>
      </c>
      <c r="AG7" s="23" t="n">
        <v>0</v>
      </c>
      <c r="AH7" s="23" t="n">
        <v>0</v>
      </c>
      <c r="AI7" s="23" t="n">
        <v>0</v>
      </c>
      <c r="AJ7" s="23" t="n">
        <v>0</v>
      </c>
      <c r="AK7" s="23" t="n">
        <v>0</v>
      </c>
      <c r="AL7" s="23" t="n">
        <v>0</v>
      </c>
      <c r="AM7" s="23" t="n">
        <v>0</v>
      </c>
      <c r="AN7" s="23" t="n">
        <v>0</v>
      </c>
      <c r="AO7" s="23" t="n">
        <v>0</v>
      </c>
      <c r="AP7" s="23" t="n">
        <v>0</v>
      </c>
      <c r="AQ7" s="23" t="n">
        <v>0</v>
      </c>
      <c r="AR7" s="23" t="n">
        <v>0</v>
      </c>
      <c r="AS7" s="23" t="n">
        <v>0</v>
      </c>
      <c r="AT7" s="23" t="n">
        <v>0</v>
      </c>
      <c r="AU7" s="23" t="n">
        <v>0</v>
      </c>
      <c r="AV7" s="23" t="n">
        <v>0</v>
      </c>
      <c r="AW7" s="23" t="n">
        <v>0</v>
      </c>
      <c r="AX7" s="23" t="n">
        <v>0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0</v>
      </c>
      <c r="BO7" s="23" t="n">
        <v>0</v>
      </c>
      <c r="BP7" s="23" t="n">
        <v>0</v>
      </c>
      <c r="BQ7" s="23" t="n">
        <v>0</v>
      </c>
      <c r="BR7" s="23" t="n">
        <v>0</v>
      </c>
      <c r="BS7" s="23" t="n">
        <v>0</v>
      </c>
      <c r="BT7" s="23" t="n">
        <v>0</v>
      </c>
      <c r="BU7" s="23" t="n">
        <v>0</v>
      </c>
      <c r="BV7" s="23" t="n">
        <v>0</v>
      </c>
      <c r="BW7" s="23" t="n">
        <v>0</v>
      </c>
      <c r="BX7" s="23" t="n">
        <v>0</v>
      </c>
      <c r="BY7" s="23" t="n">
        <v>0</v>
      </c>
      <c r="BZ7" s="23" t="n">
        <v>0</v>
      </c>
      <c r="CA7" s="23" t="n">
        <v>0</v>
      </c>
      <c r="CB7" s="23" t="n">
        <v>0</v>
      </c>
      <c r="CC7" s="23" t="n">
        <v>0</v>
      </c>
      <c r="CD7" s="23" t="n">
        <v>0</v>
      </c>
      <c r="CE7" s="23" t="n">
        <v>0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0</v>
      </c>
      <c r="CN7" s="23" t="n">
        <v>0</v>
      </c>
      <c r="CO7" s="23" t="n">
        <v>0</v>
      </c>
      <c r="CP7" s="23" t="n">
        <v>0</v>
      </c>
      <c r="CQ7" s="23" t="n">
        <v>0</v>
      </c>
      <c r="CR7" s="23" t="n">
        <v>0</v>
      </c>
      <c r="CS7" s="23" t="n">
        <v>0</v>
      </c>
      <c r="CT7" s="23" t="n">
        <v>0</v>
      </c>
      <c r="CU7" s="23" t="n">
        <v>0</v>
      </c>
      <c r="CV7" s="23" t="n">
        <v>0</v>
      </c>
      <c r="CW7" s="23" t="n">
        <v>0</v>
      </c>
      <c r="CX7" s="23" t="n">
        <v>0</v>
      </c>
      <c r="CY7" s="23" t="n">
        <v>0</v>
      </c>
      <c r="CZ7" s="23" t="n">
        <v>0</v>
      </c>
      <c r="DA7" s="23" t="n">
        <v>0</v>
      </c>
    </row>
    <row r="8">
      <c r="A8" t="inlineStr">
        <is>
          <t>TSP-104</t>
        </is>
      </c>
      <c r="B8" s="23" t="n">
        <v>0</v>
      </c>
      <c r="C8" s="23" t="n">
        <v>0</v>
      </c>
      <c r="D8" s="23" t="n">
        <v>0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0</v>
      </c>
      <c r="J8" s="23" t="n">
        <v>0</v>
      </c>
      <c r="K8" s="23" t="n">
        <v>0</v>
      </c>
      <c r="L8" s="23" t="n">
        <v>0</v>
      </c>
      <c r="M8" s="23" t="n">
        <v>0</v>
      </c>
      <c r="N8" s="23" t="n">
        <v>0</v>
      </c>
      <c r="O8" s="23" t="n">
        <v>0</v>
      </c>
      <c r="P8" s="23" t="n">
        <v>0</v>
      </c>
      <c r="Q8" s="23" t="n">
        <v>0</v>
      </c>
      <c r="R8" s="23" t="n">
        <v>0</v>
      </c>
      <c r="S8" s="23" t="n">
        <v>0</v>
      </c>
      <c r="T8" s="23" t="n">
        <v>0</v>
      </c>
      <c r="U8" s="23" t="n">
        <v>0</v>
      </c>
      <c r="V8" s="23" t="n">
        <v>0</v>
      </c>
      <c r="W8" s="23" t="n">
        <v>0</v>
      </c>
      <c r="X8" s="23" t="n">
        <v>0</v>
      </c>
      <c r="Y8" s="23" t="n">
        <v>0</v>
      </c>
      <c r="Z8" s="23" t="n">
        <v>0</v>
      </c>
      <c r="AA8" s="23" t="n">
        <v>0</v>
      </c>
      <c r="AB8" s="23" t="n">
        <v>0</v>
      </c>
      <c r="AC8" s="23" t="n">
        <v>0</v>
      </c>
      <c r="AD8" s="23" t="n">
        <v>0</v>
      </c>
      <c r="AE8" s="23" t="n">
        <v>0</v>
      </c>
      <c r="AF8" s="23" t="n">
        <v>0</v>
      </c>
      <c r="AG8" s="23" t="n">
        <v>0</v>
      </c>
      <c r="AH8" s="23" t="n">
        <v>0</v>
      </c>
      <c r="AI8" s="23" t="n">
        <v>0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0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0</v>
      </c>
      <c r="CO8" s="23" t="n">
        <v>0</v>
      </c>
      <c r="CP8" s="23" t="n">
        <v>0</v>
      </c>
      <c r="CQ8" s="23" t="n">
        <v>0</v>
      </c>
      <c r="CR8" s="23" t="n">
        <v>0</v>
      </c>
      <c r="CS8" s="23" t="n">
        <v>0</v>
      </c>
      <c r="CT8" s="23" t="n">
        <v>0</v>
      </c>
      <c r="CU8" s="23" t="n">
        <v>0</v>
      </c>
      <c r="CV8" s="23" t="n">
        <v>0</v>
      </c>
      <c r="CW8" s="23" t="n">
        <v>0</v>
      </c>
      <c r="CX8" s="23" t="n">
        <v>0</v>
      </c>
      <c r="CY8" s="23" t="n">
        <v>0</v>
      </c>
      <c r="CZ8" s="23" t="n">
        <v>0</v>
      </c>
      <c r="DA8" s="23" t="n">
        <v>0</v>
      </c>
    </row>
    <row r="9">
      <c r="A9" t="inlineStr">
        <is>
          <t>TSP-105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0</v>
      </c>
      <c r="L9" s="23" t="n">
        <v>0</v>
      </c>
      <c r="M9" s="23" t="n">
        <v>0</v>
      </c>
      <c r="N9" s="23" t="n">
        <v>0</v>
      </c>
      <c r="O9" s="23" t="n">
        <v>0</v>
      </c>
      <c r="P9" s="23" t="n">
        <v>0</v>
      </c>
      <c r="Q9" s="23" t="n">
        <v>0</v>
      </c>
      <c r="R9" s="23" t="n">
        <v>0</v>
      </c>
      <c r="S9" s="23" t="n">
        <v>0</v>
      </c>
      <c r="T9" s="23" t="n">
        <v>0</v>
      </c>
      <c r="U9" s="23" t="n">
        <v>0</v>
      </c>
      <c r="V9" s="23" t="n">
        <v>0</v>
      </c>
      <c r="W9" s="23" t="n">
        <v>0</v>
      </c>
      <c r="X9" s="23" t="n">
        <v>0</v>
      </c>
      <c r="Y9" s="23" t="n">
        <v>0</v>
      </c>
      <c r="Z9" s="23" t="n">
        <v>0</v>
      </c>
      <c r="AA9" s="23" t="n">
        <v>0</v>
      </c>
      <c r="AB9" s="23" t="n">
        <v>0</v>
      </c>
      <c r="AC9" s="23" t="n">
        <v>0</v>
      </c>
      <c r="AD9" s="23" t="n">
        <v>0</v>
      </c>
      <c r="AE9" s="23" t="n">
        <v>0</v>
      </c>
      <c r="AF9" s="23" t="n">
        <v>0</v>
      </c>
      <c r="AG9" s="23" t="n">
        <v>0</v>
      </c>
      <c r="AH9" s="23" t="n">
        <v>0</v>
      </c>
      <c r="AI9" s="23" t="n">
        <v>0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0</v>
      </c>
      <c r="CQ9" s="23" t="n">
        <v>0</v>
      </c>
      <c r="CR9" s="23" t="n">
        <v>0</v>
      </c>
      <c r="CS9" s="23" t="n">
        <v>0</v>
      </c>
      <c r="CT9" s="23" t="n">
        <v>0</v>
      </c>
      <c r="CU9" s="23" t="n">
        <v>0</v>
      </c>
      <c r="CV9" s="23" t="n">
        <v>0</v>
      </c>
      <c r="CW9" s="23" t="n">
        <v>0</v>
      </c>
      <c r="CX9" s="23" t="n">
        <v>0</v>
      </c>
      <c r="CY9" s="23" t="n">
        <v>0</v>
      </c>
      <c r="CZ9" s="23" t="n">
        <v>0</v>
      </c>
      <c r="DA9" s="23" t="n">
        <v>0</v>
      </c>
    </row>
    <row r="10">
      <c r="A10" t="inlineStr">
        <is>
          <t>TSP-1388</t>
        </is>
      </c>
      <c r="B10" s="23" t="n">
        <v>0</v>
      </c>
      <c r="C10" s="23" t="n">
        <v>0</v>
      </c>
      <c r="D10" s="23" t="n">
        <v>0</v>
      </c>
      <c r="E10" s="23" t="n">
        <v>0</v>
      </c>
      <c r="F10" s="23" t="n">
        <v>0</v>
      </c>
      <c r="G10" s="23" t="n">
        <v>0</v>
      </c>
      <c r="H10" s="23" t="n">
        <v>0</v>
      </c>
      <c r="I10" s="23" t="n">
        <v>0</v>
      </c>
      <c r="J10" s="23" t="n">
        <v>0</v>
      </c>
      <c r="K10" s="23" t="n">
        <v>0</v>
      </c>
      <c r="L10" s="23" t="n">
        <v>0</v>
      </c>
      <c r="M10" s="23" t="n">
        <v>0</v>
      </c>
      <c r="N10" s="23" t="n">
        <v>0</v>
      </c>
      <c r="O10" s="23" t="n">
        <v>0</v>
      </c>
      <c r="P10" s="23" t="n">
        <v>0</v>
      </c>
      <c r="Q10" s="23" t="n">
        <v>0</v>
      </c>
      <c r="R10" s="23" t="n">
        <v>0</v>
      </c>
      <c r="S10" s="23" t="n">
        <v>0</v>
      </c>
      <c r="T10" s="23" t="n">
        <v>0</v>
      </c>
      <c r="U10" s="23" t="n">
        <v>0</v>
      </c>
      <c r="V10" s="23" t="n">
        <v>0</v>
      </c>
      <c r="W10" s="23" t="n">
        <v>0</v>
      </c>
      <c r="X10" s="23" t="n">
        <v>0</v>
      </c>
      <c r="Y10" s="23" t="n">
        <v>0</v>
      </c>
      <c r="Z10" s="23" t="n">
        <v>0</v>
      </c>
      <c r="AA10" s="23" t="n">
        <v>0</v>
      </c>
      <c r="AB10" s="23" t="n">
        <v>0</v>
      </c>
      <c r="AC10" s="23" t="n">
        <v>0</v>
      </c>
      <c r="AD10" s="23" t="n">
        <v>0</v>
      </c>
      <c r="AE10" s="23" t="n">
        <v>0</v>
      </c>
      <c r="AF10" s="23" t="n">
        <v>0</v>
      </c>
      <c r="AG10" s="23" t="n">
        <v>0</v>
      </c>
      <c r="AH10" s="23" t="n">
        <v>0</v>
      </c>
      <c r="AI10" s="23" t="n">
        <v>0</v>
      </c>
      <c r="AJ10" s="23" t="n">
        <v>0</v>
      </c>
      <c r="AK10" s="23" t="n">
        <v>0</v>
      </c>
      <c r="AL10" s="23" t="n">
        <v>0</v>
      </c>
      <c r="AM10" s="23" t="n">
        <v>0</v>
      </c>
      <c r="AN10" s="23" t="n">
        <v>0</v>
      </c>
      <c r="AO10" s="23" t="n">
        <v>0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0</v>
      </c>
      <c r="AV10" s="23" t="n">
        <v>0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0</v>
      </c>
      <c r="BP10" s="23" t="n">
        <v>0</v>
      </c>
      <c r="BQ10" s="23" t="n">
        <v>0</v>
      </c>
      <c r="BR10" s="23" t="n">
        <v>0</v>
      </c>
      <c r="BS10" s="23" t="n">
        <v>0</v>
      </c>
      <c r="BT10" s="23" t="n">
        <v>0</v>
      </c>
      <c r="BU10" s="23" t="n">
        <v>0</v>
      </c>
      <c r="BV10" s="23" t="n">
        <v>0</v>
      </c>
      <c r="BW10" s="23" t="n">
        <v>0</v>
      </c>
      <c r="BX10" s="23" t="n">
        <v>0</v>
      </c>
      <c r="BY10" s="23" t="n">
        <v>0</v>
      </c>
      <c r="BZ10" s="23" t="n">
        <v>0</v>
      </c>
      <c r="CA10" s="23" t="n">
        <v>0</v>
      </c>
      <c r="CB10" s="23" t="n">
        <v>0</v>
      </c>
      <c r="CC10" s="23" t="n">
        <v>0</v>
      </c>
      <c r="CD10" s="23" t="n">
        <v>0</v>
      </c>
      <c r="CE10" s="23" t="n">
        <v>0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0</v>
      </c>
      <c r="CN10" s="23" t="n">
        <v>0</v>
      </c>
      <c r="CO10" s="23" t="n">
        <v>0</v>
      </c>
      <c r="CP10" s="23" t="n">
        <v>0</v>
      </c>
      <c r="CQ10" s="23" t="n">
        <v>0</v>
      </c>
      <c r="CR10" s="23" t="n">
        <v>0</v>
      </c>
      <c r="CS10" s="23" t="n">
        <v>0</v>
      </c>
      <c r="CT10" s="23" t="n">
        <v>0</v>
      </c>
      <c r="CU10" s="23" t="n">
        <v>0</v>
      </c>
      <c r="CV10" s="23" t="n">
        <v>0</v>
      </c>
      <c r="CW10" s="23" t="n">
        <v>0</v>
      </c>
      <c r="CX10" s="23" t="n">
        <v>0</v>
      </c>
      <c r="CY10" s="23" t="n">
        <v>0</v>
      </c>
      <c r="CZ10" s="23" t="n">
        <v>0</v>
      </c>
      <c r="DA10" s="23" t="n">
        <v>0</v>
      </c>
    </row>
    <row r="11">
      <c r="A11" t="inlineStr">
        <is>
          <t>TSP-1444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0</v>
      </c>
      <c r="V11" s="23" t="n">
        <v>0</v>
      </c>
      <c r="W11" s="23" t="n">
        <v>0</v>
      </c>
      <c r="X11" s="23" t="n">
        <v>0</v>
      </c>
      <c r="Y11" s="23" t="n">
        <v>0</v>
      </c>
      <c r="Z11" s="23" t="n">
        <v>0</v>
      </c>
      <c r="AA11" s="23" t="n">
        <v>0</v>
      </c>
      <c r="AB11" s="23" t="n">
        <v>0</v>
      </c>
      <c r="AC11" s="23" t="n">
        <v>0</v>
      </c>
      <c r="AD11" s="23" t="n">
        <v>0</v>
      </c>
      <c r="AE11" s="23" t="n">
        <v>0</v>
      </c>
      <c r="AF11" s="23" t="n">
        <v>0</v>
      </c>
      <c r="AG11" s="23" t="n">
        <v>0</v>
      </c>
      <c r="AH11" s="23" t="n">
        <v>0</v>
      </c>
      <c r="AI11" s="23" t="n">
        <v>0</v>
      </c>
      <c r="AJ11" s="23" t="n">
        <v>0</v>
      </c>
      <c r="AK11" s="23" t="n">
        <v>0</v>
      </c>
      <c r="AL11" s="23" t="n">
        <v>0</v>
      </c>
      <c r="AM11" s="23" t="n">
        <v>0</v>
      </c>
      <c r="AN11" s="23" t="n">
        <v>0</v>
      </c>
      <c r="AO11" s="23" t="n">
        <v>0</v>
      </c>
      <c r="AP11" s="23" t="n">
        <v>0</v>
      </c>
      <c r="AQ11" s="23" t="n">
        <v>0</v>
      </c>
      <c r="AR11" s="23" t="n">
        <v>0</v>
      </c>
      <c r="AS11" s="23" t="n">
        <v>0</v>
      </c>
      <c r="AT11" s="23" t="n">
        <v>0</v>
      </c>
      <c r="AU11" s="23" t="n">
        <v>0</v>
      </c>
      <c r="AV11" s="23" t="n">
        <v>0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0</v>
      </c>
      <c r="BO11" s="23" t="n">
        <v>0</v>
      </c>
      <c r="BP11" s="23" t="n">
        <v>0</v>
      </c>
      <c r="BQ11" s="23" t="n">
        <v>0</v>
      </c>
      <c r="BR11" s="23" t="n">
        <v>0</v>
      </c>
      <c r="BS11" s="23" t="n">
        <v>0</v>
      </c>
      <c r="BT11" s="23" t="n">
        <v>0</v>
      </c>
      <c r="BU11" s="23" t="n">
        <v>0</v>
      </c>
      <c r="BV11" s="23" t="n">
        <v>0</v>
      </c>
      <c r="BW11" s="23" t="n">
        <v>0</v>
      </c>
      <c r="BX11" s="23" t="n">
        <v>0</v>
      </c>
      <c r="BY11" s="23" t="n">
        <v>0</v>
      </c>
      <c r="BZ11" s="23" t="n">
        <v>0</v>
      </c>
      <c r="CA11" s="23" t="n">
        <v>0</v>
      </c>
      <c r="CB11" s="23" t="n">
        <v>0</v>
      </c>
      <c r="CC11" s="23" t="n">
        <v>0</v>
      </c>
      <c r="CD11" s="23" t="n">
        <v>0</v>
      </c>
      <c r="CE11" s="23" t="n">
        <v>0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0</v>
      </c>
      <c r="CN11" s="23" t="n">
        <v>0</v>
      </c>
      <c r="CO11" s="23" t="n">
        <v>0</v>
      </c>
      <c r="CP11" s="23" t="n">
        <v>0</v>
      </c>
      <c r="CQ11" s="23" t="n">
        <v>0</v>
      </c>
      <c r="CR11" s="23" t="n">
        <v>0</v>
      </c>
      <c r="CS11" s="23" t="n">
        <v>0</v>
      </c>
      <c r="CT11" s="23" t="n">
        <v>0</v>
      </c>
      <c r="CU11" s="23" t="n">
        <v>0</v>
      </c>
      <c r="CV11" s="23" t="n">
        <v>0</v>
      </c>
      <c r="CW11" s="23" t="n">
        <v>0</v>
      </c>
      <c r="CX11" s="23" t="n">
        <v>0</v>
      </c>
      <c r="CY11" s="23" t="n">
        <v>0</v>
      </c>
      <c r="CZ11" s="23" t="n">
        <v>0</v>
      </c>
      <c r="DA11" s="23" t="n">
        <v>0</v>
      </c>
    </row>
    <row r="12">
      <c r="A12" t="inlineStr">
        <is>
          <t>TSP-1445</t>
        </is>
      </c>
      <c r="B12" s="23" t="n">
        <v>0</v>
      </c>
      <c r="C12" s="23" t="n">
        <v>0</v>
      </c>
      <c r="D12" s="23" t="n">
        <v>0</v>
      </c>
      <c r="E12" s="23" t="n">
        <v>0</v>
      </c>
      <c r="F12" s="23" t="n">
        <v>0</v>
      </c>
      <c r="G12" s="23" t="n">
        <v>0</v>
      </c>
      <c r="H12" s="23" t="n">
        <v>0</v>
      </c>
      <c r="I12" s="23" t="n">
        <v>0</v>
      </c>
      <c r="J12" s="23" t="n">
        <v>0</v>
      </c>
      <c r="K12" s="23" t="n">
        <v>0</v>
      </c>
      <c r="L12" s="23" t="n">
        <v>0</v>
      </c>
      <c r="M12" s="23" t="n">
        <v>0</v>
      </c>
      <c r="N12" s="23" t="n">
        <v>0</v>
      </c>
      <c r="O12" s="23" t="n">
        <v>0</v>
      </c>
      <c r="P12" s="23" t="n">
        <v>0</v>
      </c>
      <c r="Q12" s="23" t="n">
        <v>0</v>
      </c>
      <c r="R12" s="23" t="n">
        <v>0</v>
      </c>
      <c r="S12" s="23" t="n">
        <v>0</v>
      </c>
      <c r="T12" s="23" t="n">
        <v>0</v>
      </c>
      <c r="U12" s="23" t="n">
        <v>0</v>
      </c>
      <c r="V12" s="23" t="n">
        <v>0</v>
      </c>
      <c r="W12" s="23" t="n">
        <v>0</v>
      </c>
      <c r="X12" s="23" t="n">
        <v>0</v>
      </c>
      <c r="Y12" s="23" t="n">
        <v>0</v>
      </c>
      <c r="Z12" s="23" t="n">
        <v>0</v>
      </c>
      <c r="AA12" s="23" t="n">
        <v>0</v>
      </c>
      <c r="AB12" s="23" t="n">
        <v>0</v>
      </c>
      <c r="AC12" s="23" t="n">
        <v>0</v>
      </c>
      <c r="AD12" s="23" t="n">
        <v>0</v>
      </c>
      <c r="AE12" s="23" t="n">
        <v>0</v>
      </c>
      <c r="AF12" s="23" t="n">
        <v>0</v>
      </c>
      <c r="AG12" s="23" t="n">
        <v>0</v>
      </c>
      <c r="AH12" s="23" t="n">
        <v>0</v>
      </c>
      <c r="AI12" s="23" t="n">
        <v>0</v>
      </c>
      <c r="AJ12" s="23" t="n">
        <v>0</v>
      </c>
      <c r="AK12" s="23" t="n">
        <v>0</v>
      </c>
      <c r="AL12" s="23" t="n">
        <v>0</v>
      </c>
      <c r="AM12" s="23" t="n">
        <v>0</v>
      </c>
      <c r="AN12" s="23" t="n">
        <v>0</v>
      </c>
      <c r="AO12" s="23" t="n">
        <v>0</v>
      </c>
      <c r="AP12" s="23" t="n">
        <v>0</v>
      </c>
      <c r="AQ12" s="23" t="n">
        <v>0</v>
      </c>
      <c r="AR12" s="23" t="n">
        <v>0</v>
      </c>
      <c r="AS12" s="23" t="n">
        <v>0</v>
      </c>
      <c r="AT12" s="23" t="n">
        <v>0</v>
      </c>
      <c r="AU12" s="23" t="n">
        <v>0</v>
      </c>
      <c r="AV12" s="23" t="n">
        <v>0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0</v>
      </c>
      <c r="BO12" s="23" t="n">
        <v>0</v>
      </c>
      <c r="BP12" s="23" t="n">
        <v>0</v>
      </c>
      <c r="BQ12" s="23" t="n">
        <v>0</v>
      </c>
      <c r="BR12" s="23" t="n">
        <v>0</v>
      </c>
      <c r="BS12" s="23" t="n">
        <v>0</v>
      </c>
      <c r="BT12" s="23" t="n">
        <v>0</v>
      </c>
      <c r="BU12" s="23" t="n">
        <v>0</v>
      </c>
      <c r="BV12" s="23" t="n">
        <v>0</v>
      </c>
      <c r="BW12" s="23" t="n">
        <v>0</v>
      </c>
      <c r="BX12" s="23" t="n">
        <v>0</v>
      </c>
      <c r="BY12" s="23" t="n">
        <v>0</v>
      </c>
      <c r="BZ12" s="23" t="n">
        <v>0</v>
      </c>
      <c r="CA12" s="23" t="n">
        <v>0</v>
      </c>
      <c r="CB12" s="23" t="n">
        <v>0</v>
      </c>
      <c r="CC12" s="23" t="n">
        <v>0</v>
      </c>
      <c r="CD12" s="23" t="n">
        <v>0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0</v>
      </c>
      <c r="CN12" s="23" t="n">
        <v>0</v>
      </c>
      <c r="CO12" s="23" t="n">
        <v>0</v>
      </c>
      <c r="CP12" s="23" t="n">
        <v>0</v>
      </c>
      <c r="CQ12" s="23" t="n">
        <v>0</v>
      </c>
      <c r="CR12" s="23" t="n">
        <v>0</v>
      </c>
      <c r="CS12" s="23" t="n">
        <v>0</v>
      </c>
      <c r="CT12" s="23" t="n">
        <v>0</v>
      </c>
      <c r="CU12" s="23" t="n">
        <v>0</v>
      </c>
      <c r="CV12" s="23" t="n">
        <v>0</v>
      </c>
      <c r="CW12" s="23" t="n">
        <v>0</v>
      </c>
      <c r="CX12" s="23" t="n">
        <v>0</v>
      </c>
      <c r="CY12" s="23" t="n">
        <v>0</v>
      </c>
      <c r="CZ12" s="23" t="n">
        <v>0</v>
      </c>
      <c r="DA12" s="23" t="n">
        <v>0</v>
      </c>
    </row>
    <row r="13">
      <c r="A13" t="inlineStr">
        <is>
          <t>TSP-1446</t>
        </is>
      </c>
      <c r="B13" s="23" t="n">
        <v>0</v>
      </c>
      <c r="C13" s="23" t="n">
        <v>0</v>
      </c>
      <c r="D13" s="23" t="n">
        <v>0</v>
      </c>
      <c r="E13" s="23" t="n">
        <v>0</v>
      </c>
      <c r="F13" s="23" t="n">
        <v>0</v>
      </c>
      <c r="G13" s="23" t="n">
        <v>0</v>
      </c>
      <c r="H13" s="23" t="n">
        <v>0</v>
      </c>
      <c r="I13" s="23" t="n">
        <v>0</v>
      </c>
      <c r="J13" s="23" t="n">
        <v>0</v>
      </c>
      <c r="K13" s="23" t="n">
        <v>0</v>
      </c>
      <c r="L13" s="23" t="n">
        <v>0</v>
      </c>
      <c r="M13" s="23" t="n">
        <v>0</v>
      </c>
      <c r="N13" s="23" t="n">
        <v>0</v>
      </c>
      <c r="O13" s="23" t="n">
        <v>0</v>
      </c>
      <c r="P13" s="23" t="n">
        <v>0</v>
      </c>
      <c r="Q13" s="23" t="n">
        <v>0</v>
      </c>
      <c r="R13" s="23" t="n">
        <v>0</v>
      </c>
      <c r="S13" s="23" t="n">
        <v>0</v>
      </c>
      <c r="T13" s="23" t="n">
        <v>0</v>
      </c>
      <c r="U13" s="23" t="n">
        <v>0</v>
      </c>
      <c r="V13" s="23" t="n">
        <v>0</v>
      </c>
      <c r="W13" s="23" t="n">
        <v>0</v>
      </c>
      <c r="X13" s="23" t="n">
        <v>0</v>
      </c>
      <c r="Y13" s="23" t="n">
        <v>0</v>
      </c>
      <c r="Z13" s="23" t="n">
        <v>0</v>
      </c>
      <c r="AA13" s="23" t="n">
        <v>0</v>
      </c>
      <c r="AB13" s="23" t="n">
        <v>0</v>
      </c>
      <c r="AC13" s="23" t="n">
        <v>0</v>
      </c>
      <c r="AD13" s="23" t="n">
        <v>0</v>
      </c>
      <c r="AE13" s="23" t="n">
        <v>0</v>
      </c>
      <c r="AF13" s="23" t="n">
        <v>0</v>
      </c>
      <c r="AG13" s="23" t="n">
        <v>0</v>
      </c>
      <c r="AH13" s="23" t="n">
        <v>0</v>
      </c>
      <c r="AI13" s="23" t="n">
        <v>0</v>
      </c>
      <c r="AJ13" s="23" t="n">
        <v>0</v>
      </c>
      <c r="AK13" s="23" t="n">
        <v>0</v>
      </c>
      <c r="AL13" s="23" t="n">
        <v>0</v>
      </c>
      <c r="AM13" s="23" t="n">
        <v>0</v>
      </c>
      <c r="AN13" s="23" t="n">
        <v>0</v>
      </c>
      <c r="AO13" s="23" t="n">
        <v>0</v>
      </c>
      <c r="AP13" s="23" t="n">
        <v>0</v>
      </c>
      <c r="AQ13" s="23" t="n">
        <v>0</v>
      </c>
      <c r="AR13" s="23" t="n">
        <v>0</v>
      </c>
      <c r="AS13" s="23" t="n">
        <v>0</v>
      </c>
      <c r="AT13" s="23" t="n">
        <v>0</v>
      </c>
      <c r="AU13" s="23" t="n">
        <v>0</v>
      </c>
      <c r="AV13" s="23" t="n">
        <v>0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0</v>
      </c>
      <c r="BO13" s="23" t="n">
        <v>0</v>
      </c>
      <c r="BP13" s="23" t="n">
        <v>0</v>
      </c>
      <c r="BQ13" s="23" t="n">
        <v>0</v>
      </c>
      <c r="BR13" s="23" t="n">
        <v>0</v>
      </c>
      <c r="BS13" s="23" t="n">
        <v>0</v>
      </c>
      <c r="BT13" s="23" t="n">
        <v>0</v>
      </c>
      <c r="BU13" s="23" t="n">
        <v>0</v>
      </c>
      <c r="BV13" s="23" t="n">
        <v>0</v>
      </c>
      <c r="BW13" s="23" t="n">
        <v>0</v>
      </c>
      <c r="BX13" s="23" t="n">
        <v>0</v>
      </c>
      <c r="BY13" s="23" t="n">
        <v>0</v>
      </c>
      <c r="BZ13" s="23" t="n">
        <v>0</v>
      </c>
      <c r="CA13" s="23" t="n">
        <v>0</v>
      </c>
      <c r="CB13" s="23" t="n">
        <v>0</v>
      </c>
      <c r="CC13" s="23" t="n">
        <v>0</v>
      </c>
      <c r="CD13" s="23" t="n">
        <v>0</v>
      </c>
      <c r="CE13" s="23" t="n">
        <v>0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0</v>
      </c>
      <c r="CN13" s="23" t="n">
        <v>0</v>
      </c>
      <c r="CO13" s="23" t="n">
        <v>0</v>
      </c>
      <c r="CP13" s="23" t="n">
        <v>0</v>
      </c>
      <c r="CQ13" s="23" t="n">
        <v>0</v>
      </c>
      <c r="CR13" s="23" t="n">
        <v>0</v>
      </c>
      <c r="CS13" s="23" t="n">
        <v>0</v>
      </c>
      <c r="CT13" s="23" t="n">
        <v>0</v>
      </c>
      <c r="CU13" s="23" t="n">
        <v>0</v>
      </c>
      <c r="CV13" s="23" t="n">
        <v>0</v>
      </c>
      <c r="CW13" s="23" t="n">
        <v>0</v>
      </c>
      <c r="CX13" s="23" t="n">
        <v>0</v>
      </c>
      <c r="CY13" s="23" t="n">
        <v>0</v>
      </c>
      <c r="CZ13" s="23" t="n">
        <v>0</v>
      </c>
      <c r="DA13" s="23" t="n">
        <v>0</v>
      </c>
    </row>
    <row r="14">
      <c r="A14" t="inlineStr">
        <is>
          <t>TSP-1448</t>
        </is>
      </c>
      <c r="B14" s="23" t="n">
        <v>0</v>
      </c>
      <c r="C14" s="23" t="n">
        <v>0</v>
      </c>
      <c r="D14" s="23" t="n">
        <v>0</v>
      </c>
      <c r="E14" s="23" t="n">
        <v>0</v>
      </c>
      <c r="F14" s="23" t="n">
        <v>0</v>
      </c>
      <c r="G14" s="23" t="n">
        <v>0</v>
      </c>
      <c r="H14" s="23" t="n">
        <v>0</v>
      </c>
      <c r="I14" s="23" t="n">
        <v>0</v>
      </c>
      <c r="J14" s="23" t="n">
        <v>0</v>
      </c>
      <c r="K14" s="23" t="n">
        <v>0</v>
      </c>
      <c r="L14" s="23" t="n">
        <v>0</v>
      </c>
      <c r="M14" s="23" t="n">
        <v>0</v>
      </c>
      <c r="N14" s="23" t="n">
        <v>0</v>
      </c>
      <c r="O14" s="23" t="n">
        <v>0</v>
      </c>
      <c r="P14" s="23" t="n">
        <v>0</v>
      </c>
      <c r="Q14" s="23" t="n">
        <v>0</v>
      </c>
      <c r="R14" s="23" t="n">
        <v>0</v>
      </c>
      <c r="S14" s="23" t="n">
        <v>0</v>
      </c>
      <c r="T14" s="23" t="n">
        <v>0</v>
      </c>
      <c r="U14" s="23" t="n">
        <v>0</v>
      </c>
      <c r="V14" s="23" t="n">
        <v>0</v>
      </c>
      <c r="W14" s="23" t="n">
        <v>0</v>
      </c>
      <c r="X14" s="23" t="n">
        <v>0</v>
      </c>
      <c r="Y14" s="23" t="n">
        <v>0</v>
      </c>
      <c r="Z14" s="23" t="n">
        <v>0</v>
      </c>
      <c r="AA14" s="23" t="n">
        <v>0</v>
      </c>
      <c r="AB14" s="23" t="n">
        <v>0</v>
      </c>
      <c r="AC14" s="23" t="n">
        <v>0</v>
      </c>
      <c r="AD14" s="23" t="n">
        <v>0</v>
      </c>
      <c r="AE14" s="23" t="n">
        <v>0</v>
      </c>
      <c r="AF14" s="23" t="n">
        <v>0</v>
      </c>
      <c r="AG14" s="23" t="n">
        <v>0</v>
      </c>
      <c r="AH14" s="23" t="n">
        <v>0</v>
      </c>
      <c r="AI14" s="23" t="n">
        <v>0</v>
      </c>
      <c r="AJ14" s="23" t="n">
        <v>0</v>
      </c>
      <c r="AK14" s="23" t="n">
        <v>0</v>
      </c>
      <c r="AL14" s="23" t="n">
        <v>0</v>
      </c>
      <c r="AM14" s="23" t="n">
        <v>0</v>
      </c>
      <c r="AN14" s="23" t="n">
        <v>0</v>
      </c>
      <c r="AO14" s="23" t="n">
        <v>0</v>
      </c>
      <c r="AP14" s="23" t="n">
        <v>0</v>
      </c>
      <c r="AQ14" s="23" t="n">
        <v>0</v>
      </c>
      <c r="AR14" s="23" t="n">
        <v>0</v>
      </c>
      <c r="AS14" s="23" t="n">
        <v>0</v>
      </c>
      <c r="AT14" s="23" t="n">
        <v>0</v>
      </c>
      <c r="AU14" s="23" t="n">
        <v>0</v>
      </c>
      <c r="AV14" s="23" t="n">
        <v>0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0</v>
      </c>
      <c r="BO14" s="23" t="n">
        <v>0</v>
      </c>
      <c r="BP14" s="23" t="n">
        <v>0</v>
      </c>
      <c r="BQ14" s="23" t="n">
        <v>0</v>
      </c>
      <c r="BR14" s="23" t="n">
        <v>0</v>
      </c>
      <c r="BS14" s="23" t="n">
        <v>0</v>
      </c>
      <c r="BT14" s="23" t="n">
        <v>0</v>
      </c>
      <c r="BU14" s="23" t="n">
        <v>0</v>
      </c>
      <c r="BV14" s="23" t="n">
        <v>0</v>
      </c>
      <c r="BW14" s="23" t="n">
        <v>0</v>
      </c>
      <c r="BX14" s="23" t="n">
        <v>0</v>
      </c>
      <c r="BY14" s="23" t="n">
        <v>0</v>
      </c>
      <c r="BZ14" s="23" t="n">
        <v>0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0</v>
      </c>
      <c r="CN14" s="23" t="n">
        <v>0</v>
      </c>
      <c r="CO14" s="23" t="n">
        <v>0</v>
      </c>
      <c r="CP14" s="23" t="n">
        <v>0</v>
      </c>
      <c r="CQ14" s="23" t="n">
        <v>0</v>
      </c>
      <c r="CR14" s="23" t="n">
        <v>0</v>
      </c>
      <c r="CS14" s="23" t="n">
        <v>0</v>
      </c>
      <c r="CT14" s="23" t="n">
        <v>0</v>
      </c>
      <c r="CU14" s="23" t="n">
        <v>0</v>
      </c>
      <c r="CV14" s="23" t="n">
        <v>0</v>
      </c>
      <c r="CW14" s="23" t="n">
        <v>0</v>
      </c>
      <c r="CX14" s="23" t="n">
        <v>0</v>
      </c>
      <c r="CY14" s="23" t="n">
        <v>0</v>
      </c>
      <c r="CZ14" s="23" t="n">
        <v>0</v>
      </c>
      <c r="DA14" s="23" t="n">
        <v>0</v>
      </c>
    </row>
    <row r="15">
      <c r="A15" t="inlineStr">
        <is>
          <t>TSP-1449</t>
        </is>
      </c>
      <c r="B15" s="23" t="n">
        <v>0</v>
      </c>
      <c r="C15" s="23" t="n">
        <v>0</v>
      </c>
      <c r="D15" s="23" t="n">
        <v>0</v>
      </c>
      <c r="E15" s="23" t="n">
        <v>0</v>
      </c>
      <c r="F15" s="23" t="n">
        <v>0</v>
      </c>
      <c r="G15" s="23" t="n">
        <v>0</v>
      </c>
      <c r="H15" s="23" t="n">
        <v>0</v>
      </c>
      <c r="I15" s="23" t="n">
        <v>0</v>
      </c>
      <c r="J15" s="23" t="n">
        <v>0</v>
      </c>
      <c r="K15" s="23" t="n">
        <v>0</v>
      </c>
      <c r="L15" s="23" t="n">
        <v>0</v>
      </c>
      <c r="M15" s="23" t="n">
        <v>0</v>
      </c>
      <c r="N15" s="23" t="n">
        <v>0</v>
      </c>
      <c r="O15" s="23" t="n">
        <v>0</v>
      </c>
      <c r="P15" s="23" t="n">
        <v>0</v>
      </c>
      <c r="Q15" s="23" t="n">
        <v>0</v>
      </c>
      <c r="R15" s="23" t="n">
        <v>0</v>
      </c>
      <c r="S15" s="23" t="n">
        <v>0</v>
      </c>
      <c r="T15" s="23" t="n">
        <v>0</v>
      </c>
      <c r="U15" s="23" t="n">
        <v>0</v>
      </c>
      <c r="V15" s="23" t="n">
        <v>0</v>
      </c>
      <c r="W15" s="23" t="n">
        <v>0</v>
      </c>
      <c r="X15" s="23" t="n">
        <v>0</v>
      </c>
      <c r="Y15" s="23" t="n">
        <v>0</v>
      </c>
      <c r="Z15" s="23" t="n">
        <v>0</v>
      </c>
      <c r="AA15" s="23" t="n">
        <v>0</v>
      </c>
      <c r="AB15" s="23" t="n">
        <v>0</v>
      </c>
      <c r="AC15" s="23" t="n">
        <v>0</v>
      </c>
      <c r="AD15" s="23" t="n">
        <v>0</v>
      </c>
      <c r="AE15" s="23" t="n">
        <v>0</v>
      </c>
      <c r="AF15" s="23" t="n">
        <v>0</v>
      </c>
      <c r="AG15" s="23" t="n">
        <v>0</v>
      </c>
      <c r="AH15" s="23" t="n">
        <v>0</v>
      </c>
      <c r="AI15" s="23" t="n">
        <v>0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0</v>
      </c>
      <c r="CR15" s="23" t="n">
        <v>0</v>
      </c>
      <c r="CS15" s="23" t="n">
        <v>0</v>
      </c>
      <c r="CT15" s="23" t="n">
        <v>0</v>
      </c>
      <c r="CU15" s="23" t="n">
        <v>0</v>
      </c>
      <c r="CV15" s="23" t="n">
        <v>0</v>
      </c>
      <c r="CW15" s="23" t="n">
        <v>0</v>
      </c>
      <c r="CX15" s="23" t="n">
        <v>0</v>
      </c>
      <c r="CY15" s="23" t="n">
        <v>0</v>
      </c>
      <c r="CZ15" s="23" t="n">
        <v>0</v>
      </c>
      <c r="DA15" s="23" t="n">
        <v>0</v>
      </c>
    </row>
    <row r="16">
      <c r="A16" t="inlineStr">
        <is>
          <t>TSP-199</t>
        </is>
      </c>
      <c r="B16" s="23" t="n">
        <v>0</v>
      </c>
      <c r="C16" s="23" t="n">
        <v>0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0</v>
      </c>
      <c r="K16" s="23" t="n">
        <v>0</v>
      </c>
      <c r="L16" s="23" t="n">
        <v>0</v>
      </c>
      <c r="M16" s="23" t="n">
        <v>0</v>
      </c>
      <c r="N16" s="23" t="n">
        <v>0</v>
      </c>
      <c r="O16" s="23" t="n">
        <v>0</v>
      </c>
      <c r="P16" s="23" t="n">
        <v>0</v>
      </c>
      <c r="Q16" s="23" t="n">
        <v>0</v>
      </c>
      <c r="R16" s="23" t="n">
        <v>0</v>
      </c>
      <c r="S16" s="23" t="n">
        <v>0</v>
      </c>
      <c r="T16" s="23" t="n">
        <v>0</v>
      </c>
      <c r="U16" s="23" t="n">
        <v>0</v>
      </c>
      <c r="V16" s="23" t="n">
        <v>0</v>
      </c>
      <c r="W16" s="23" t="n">
        <v>0</v>
      </c>
      <c r="X16" s="23" t="n">
        <v>0</v>
      </c>
      <c r="Y16" s="23" t="n">
        <v>0</v>
      </c>
      <c r="Z16" s="23" t="n">
        <v>0</v>
      </c>
      <c r="AA16" s="23" t="n">
        <v>0</v>
      </c>
      <c r="AB16" s="23" t="n">
        <v>0</v>
      </c>
      <c r="AC16" s="23" t="n">
        <v>0</v>
      </c>
      <c r="AD16" s="23" t="n">
        <v>0</v>
      </c>
      <c r="AE16" s="23" t="n">
        <v>0</v>
      </c>
      <c r="AF16" s="23" t="n">
        <v>0</v>
      </c>
      <c r="AG16" s="23" t="n">
        <v>0</v>
      </c>
      <c r="AH16" s="23" t="n">
        <v>0</v>
      </c>
      <c r="AI16" s="23" t="n">
        <v>0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0</v>
      </c>
      <c r="CQ16" s="23" t="n">
        <v>0</v>
      </c>
      <c r="CR16" s="23" t="n">
        <v>0</v>
      </c>
      <c r="CS16" s="23" t="n">
        <v>0</v>
      </c>
      <c r="CT16" s="23" t="n">
        <v>0</v>
      </c>
      <c r="CU16" s="23" t="n">
        <v>0</v>
      </c>
      <c r="CV16" s="23" t="n">
        <v>0</v>
      </c>
      <c r="CW16" s="23" t="n">
        <v>0</v>
      </c>
      <c r="CX16" s="23" t="n">
        <v>0</v>
      </c>
      <c r="CY16" s="23" t="n">
        <v>0</v>
      </c>
      <c r="CZ16" s="23" t="n">
        <v>0</v>
      </c>
      <c r="DA16" s="23" t="n">
        <v>0</v>
      </c>
    </row>
    <row r="17">
      <c r="A17" t="inlineStr">
        <is>
          <t>TSP-205</t>
        </is>
      </c>
      <c r="B17" s="23" t="n">
        <v>0</v>
      </c>
      <c r="C17" s="23" t="n">
        <v>0</v>
      </c>
      <c r="D17" s="23" t="n">
        <v>0</v>
      </c>
      <c r="E17" s="23" t="n">
        <v>0</v>
      </c>
      <c r="F17" s="23" t="n">
        <v>0</v>
      </c>
      <c r="G17" s="23" t="n">
        <v>0</v>
      </c>
      <c r="H17" s="23" t="n">
        <v>0</v>
      </c>
      <c r="I17" s="23" t="n">
        <v>0</v>
      </c>
      <c r="J17" s="23" t="n">
        <v>0</v>
      </c>
      <c r="K17" s="23" t="n">
        <v>0</v>
      </c>
      <c r="L17" s="23" t="n">
        <v>0</v>
      </c>
      <c r="M17" s="23" t="n">
        <v>0</v>
      </c>
      <c r="N17" s="23" t="n">
        <v>0</v>
      </c>
      <c r="O17" s="23" t="n">
        <v>0</v>
      </c>
      <c r="P17" s="23" t="n">
        <v>0</v>
      </c>
      <c r="Q17" s="23" t="n">
        <v>0</v>
      </c>
      <c r="R17" s="23" t="n">
        <v>0</v>
      </c>
      <c r="S17" s="23" t="n">
        <v>0</v>
      </c>
      <c r="T17" s="23" t="n">
        <v>0</v>
      </c>
      <c r="U17" s="23" t="n">
        <v>0</v>
      </c>
      <c r="V17" s="23" t="n">
        <v>0</v>
      </c>
      <c r="W17" s="23" t="n">
        <v>0</v>
      </c>
      <c r="X17" s="23" t="n">
        <v>0</v>
      </c>
      <c r="Y17" s="23" t="n">
        <v>0</v>
      </c>
      <c r="Z17" s="23" t="n">
        <v>0</v>
      </c>
      <c r="AA17" s="23" t="n">
        <v>0</v>
      </c>
      <c r="AB17" s="23" t="n">
        <v>0</v>
      </c>
      <c r="AC17" s="23" t="n">
        <v>0</v>
      </c>
      <c r="AD17" s="23" t="n">
        <v>0</v>
      </c>
      <c r="AE17" s="23" t="n">
        <v>0</v>
      </c>
      <c r="AF17" s="23" t="n">
        <v>0</v>
      </c>
      <c r="AG17" s="23" t="n">
        <v>0</v>
      </c>
      <c r="AH17" s="23" t="n">
        <v>0</v>
      </c>
      <c r="AI17" s="23" t="n">
        <v>0</v>
      </c>
      <c r="AJ17" s="23" t="n">
        <v>0</v>
      </c>
      <c r="AK17" s="23" t="n">
        <v>0</v>
      </c>
      <c r="AL17" s="23" t="n">
        <v>0</v>
      </c>
      <c r="AM17" s="23" t="n">
        <v>0</v>
      </c>
      <c r="AN17" s="23" t="n">
        <v>0</v>
      </c>
      <c r="AO17" s="23" t="n">
        <v>0</v>
      </c>
      <c r="AP17" s="23" t="n">
        <v>0</v>
      </c>
      <c r="AQ17" s="23" t="n">
        <v>0</v>
      </c>
      <c r="AR17" s="23" t="n">
        <v>0</v>
      </c>
      <c r="AS17" s="23" t="n">
        <v>0</v>
      </c>
      <c r="AT17" s="23" t="n">
        <v>0</v>
      </c>
      <c r="AU17" s="23" t="n">
        <v>0</v>
      </c>
      <c r="AV17" s="23" t="n">
        <v>0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0</v>
      </c>
      <c r="BO17" s="23" t="n">
        <v>0</v>
      </c>
      <c r="BP17" s="23" t="n">
        <v>0</v>
      </c>
      <c r="BQ17" s="23" t="n">
        <v>0</v>
      </c>
      <c r="BR17" s="23" t="n">
        <v>0</v>
      </c>
      <c r="BS17" s="23" t="n">
        <v>0</v>
      </c>
      <c r="BT17" s="23" t="n">
        <v>0</v>
      </c>
      <c r="BU17" s="23" t="n">
        <v>0</v>
      </c>
      <c r="BV17" s="23" t="n">
        <v>0</v>
      </c>
      <c r="BW17" s="23" t="n">
        <v>0</v>
      </c>
      <c r="BX17" s="23" t="n">
        <v>0</v>
      </c>
      <c r="BY17" s="23" t="n">
        <v>0</v>
      </c>
      <c r="BZ17" s="23" t="n">
        <v>0</v>
      </c>
      <c r="CA17" s="23" t="n">
        <v>0</v>
      </c>
      <c r="CB17" s="23" t="n">
        <v>0</v>
      </c>
      <c r="CC17" s="23" t="n">
        <v>0</v>
      </c>
      <c r="CD17" s="23" t="n">
        <v>0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0</v>
      </c>
      <c r="CN17" s="23" t="n">
        <v>0</v>
      </c>
      <c r="CO17" s="23" t="n">
        <v>0</v>
      </c>
      <c r="CP17" s="23" t="n">
        <v>0</v>
      </c>
      <c r="CQ17" s="23" t="n">
        <v>0</v>
      </c>
      <c r="CR17" s="23" t="n">
        <v>0</v>
      </c>
      <c r="CS17" s="23" t="n">
        <v>0</v>
      </c>
      <c r="CT17" s="23" t="n">
        <v>0</v>
      </c>
      <c r="CU17" s="23" t="n">
        <v>0</v>
      </c>
      <c r="CV17" s="23" t="n">
        <v>0</v>
      </c>
      <c r="CW17" s="23" t="n">
        <v>0</v>
      </c>
      <c r="CX17" s="23" t="n">
        <v>0</v>
      </c>
      <c r="CY17" s="23" t="n">
        <v>0</v>
      </c>
      <c r="CZ17" s="23" t="n">
        <v>0</v>
      </c>
      <c r="DA17" s="23" t="n">
        <v>0</v>
      </c>
    </row>
    <row r="18">
      <c r="A18" t="inlineStr">
        <is>
          <t>TSP-206</t>
        </is>
      </c>
      <c r="B18" s="23" t="n">
        <v>0</v>
      </c>
      <c r="C18" s="23" t="n">
        <v>0</v>
      </c>
      <c r="D18" s="23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0</v>
      </c>
      <c r="L18" s="23" t="n">
        <v>0</v>
      </c>
      <c r="M18" s="23" t="n">
        <v>0</v>
      </c>
      <c r="N18" s="23" t="n">
        <v>0</v>
      </c>
      <c r="O18" s="23" t="n">
        <v>0</v>
      </c>
      <c r="P18" s="23" t="n">
        <v>0</v>
      </c>
      <c r="Q18" s="23" t="n">
        <v>0</v>
      </c>
      <c r="R18" s="23" t="n">
        <v>0</v>
      </c>
      <c r="S18" s="23" t="n">
        <v>0</v>
      </c>
      <c r="T18" s="23" t="n">
        <v>0</v>
      </c>
      <c r="U18" s="23" t="n">
        <v>0</v>
      </c>
      <c r="V18" s="23" t="n">
        <v>0</v>
      </c>
      <c r="W18" s="23" t="n">
        <v>0</v>
      </c>
      <c r="X18" s="23" t="n">
        <v>0</v>
      </c>
      <c r="Y18" s="23" t="n">
        <v>0</v>
      </c>
      <c r="Z18" s="23" t="n">
        <v>0</v>
      </c>
      <c r="AA18" s="23" t="n">
        <v>0</v>
      </c>
      <c r="AB18" s="23" t="n">
        <v>0</v>
      </c>
      <c r="AC18" s="23" t="n">
        <v>0</v>
      </c>
      <c r="AD18" s="23" t="n">
        <v>0</v>
      </c>
      <c r="AE18" s="23" t="n">
        <v>0</v>
      </c>
      <c r="AF18" s="23" t="n">
        <v>0</v>
      </c>
      <c r="AG18" s="23" t="n">
        <v>0</v>
      </c>
      <c r="AH18" s="23" t="n">
        <v>0</v>
      </c>
      <c r="AI18" s="23" t="n">
        <v>0</v>
      </c>
      <c r="AJ18" s="23" t="n">
        <v>0</v>
      </c>
      <c r="AK18" s="23" t="n">
        <v>0</v>
      </c>
      <c r="AL18" s="23" t="n">
        <v>0</v>
      </c>
      <c r="AM18" s="23" t="n">
        <v>0</v>
      </c>
      <c r="AN18" s="23" t="n">
        <v>0</v>
      </c>
      <c r="AO18" s="23" t="n">
        <v>0</v>
      </c>
      <c r="AP18" s="23" t="n">
        <v>0</v>
      </c>
      <c r="AQ18" s="23" t="n">
        <v>0</v>
      </c>
      <c r="AR18" s="23" t="n">
        <v>0</v>
      </c>
      <c r="AS18" s="23" t="n">
        <v>0</v>
      </c>
      <c r="AT18" s="23" t="n">
        <v>0</v>
      </c>
      <c r="AU18" s="23" t="n">
        <v>0</v>
      </c>
      <c r="AV18" s="23" t="n">
        <v>0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0</v>
      </c>
      <c r="BO18" s="23" t="n">
        <v>0</v>
      </c>
      <c r="BP18" s="23" t="n">
        <v>0</v>
      </c>
      <c r="BQ18" s="23" t="n">
        <v>0</v>
      </c>
      <c r="BR18" s="23" t="n">
        <v>0</v>
      </c>
      <c r="BS18" s="23" t="n">
        <v>0</v>
      </c>
      <c r="BT18" s="23" t="n">
        <v>0</v>
      </c>
      <c r="BU18" s="23" t="n">
        <v>0</v>
      </c>
      <c r="BV18" s="23" t="n">
        <v>0</v>
      </c>
      <c r="BW18" s="23" t="n">
        <v>0</v>
      </c>
      <c r="BX18" s="23" t="n">
        <v>0</v>
      </c>
      <c r="BY18" s="23" t="n">
        <v>0</v>
      </c>
      <c r="BZ18" s="23" t="n">
        <v>0</v>
      </c>
      <c r="CA18" s="23" t="n">
        <v>0</v>
      </c>
      <c r="CB18" s="23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0</v>
      </c>
      <c r="CN18" s="23" t="n">
        <v>0</v>
      </c>
      <c r="CO18" s="23" t="n">
        <v>0</v>
      </c>
      <c r="CP18" s="23" t="n">
        <v>0</v>
      </c>
      <c r="CQ18" s="23" t="n">
        <v>0</v>
      </c>
      <c r="CR18" s="23" t="n">
        <v>0</v>
      </c>
      <c r="CS18" s="23" t="n">
        <v>0</v>
      </c>
      <c r="CT18" s="23" t="n">
        <v>0</v>
      </c>
      <c r="CU18" s="23" t="n">
        <v>0</v>
      </c>
      <c r="CV18" s="23" t="n">
        <v>0</v>
      </c>
      <c r="CW18" s="23" t="n">
        <v>0</v>
      </c>
      <c r="CX18" s="23" t="n">
        <v>0</v>
      </c>
      <c r="CY18" s="23" t="n">
        <v>0</v>
      </c>
      <c r="CZ18" s="23" t="n">
        <v>0</v>
      </c>
      <c r="DA18" s="23" t="n">
        <v>0</v>
      </c>
    </row>
    <row r="19">
      <c r="A19" t="inlineStr">
        <is>
          <t>TSP-224</t>
        </is>
      </c>
      <c r="B19" s="23" t="n">
        <v>0</v>
      </c>
      <c r="C19" s="23" t="n">
        <v>0</v>
      </c>
      <c r="D19" s="23" t="n">
        <v>0</v>
      </c>
      <c r="E19" s="23" t="n">
        <v>0</v>
      </c>
      <c r="F19" s="23" t="n">
        <v>0</v>
      </c>
      <c r="G19" s="23" t="n">
        <v>0</v>
      </c>
      <c r="H19" s="23" t="n">
        <v>0</v>
      </c>
      <c r="I19" s="23" t="n">
        <v>0</v>
      </c>
      <c r="J19" s="23" t="n">
        <v>0</v>
      </c>
      <c r="K19" s="23" t="n">
        <v>0</v>
      </c>
      <c r="L19" s="23" t="n">
        <v>0</v>
      </c>
      <c r="M19" s="23" t="n">
        <v>0</v>
      </c>
      <c r="N19" s="23" t="n">
        <v>0</v>
      </c>
      <c r="O19" s="23" t="n">
        <v>0</v>
      </c>
      <c r="P19" s="23" t="n">
        <v>0</v>
      </c>
      <c r="Q19" s="23" t="n">
        <v>0</v>
      </c>
      <c r="R19" s="23" t="n">
        <v>0</v>
      </c>
      <c r="S19" s="23" t="n">
        <v>0</v>
      </c>
      <c r="T19" s="23" t="n">
        <v>0</v>
      </c>
      <c r="U19" s="23" t="n">
        <v>0</v>
      </c>
      <c r="V19" s="23" t="n">
        <v>0</v>
      </c>
      <c r="W19" s="23" t="n">
        <v>0</v>
      </c>
      <c r="X19" s="23" t="n">
        <v>0</v>
      </c>
      <c r="Y19" s="23" t="n">
        <v>0</v>
      </c>
      <c r="Z19" s="23" t="n">
        <v>0</v>
      </c>
      <c r="AA19" s="23" t="n">
        <v>0</v>
      </c>
      <c r="AB19" s="23" t="n">
        <v>0</v>
      </c>
      <c r="AC19" s="23" t="n">
        <v>0</v>
      </c>
      <c r="AD19" s="23" t="n">
        <v>0</v>
      </c>
      <c r="AE19" s="23" t="n">
        <v>0</v>
      </c>
      <c r="AF19" s="23" t="n">
        <v>0</v>
      </c>
      <c r="AG19" s="23" t="n">
        <v>0</v>
      </c>
      <c r="AH19" s="23" t="n">
        <v>0</v>
      </c>
      <c r="AI19" s="23" t="n">
        <v>0</v>
      </c>
      <c r="AJ19" s="23" t="n">
        <v>0</v>
      </c>
      <c r="AK19" s="23" t="n">
        <v>0</v>
      </c>
      <c r="AL19" s="23" t="n">
        <v>0</v>
      </c>
      <c r="AM19" s="23" t="n">
        <v>0</v>
      </c>
      <c r="AN19" s="23" t="n">
        <v>0</v>
      </c>
      <c r="AO19" s="23" t="n">
        <v>0</v>
      </c>
      <c r="AP19" s="23" t="n">
        <v>0</v>
      </c>
      <c r="AQ19" s="23" t="n">
        <v>0</v>
      </c>
      <c r="AR19" s="23" t="n">
        <v>0</v>
      </c>
      <c r="AS19" s="23" t="n">
        <v>0</v>
      </c>
      <c r="AT19" s="23" t="n">
        <v>0</v>
      </c>
      <c r="AU19" s="23" t="n">
        <v>0</v>
      </c>
      <c r="AV19" s="23" t="n">
        <v>0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0</v>
      </c>
      <c r="BO19" s="23" t="n">
        <v>0</v>
      </c>
      <c r="BP19" s="23" t="n">
        <v>0</v>
      </c>
      <c r="BQ19" s="23" t="n">
        <v>0</v>
      </c>
      <c r="BR19" s="23" t="n">
        <v>0</v>
      </c>
      <c r="BS19" s="23" t="n">
        <v>0</v>
      </c>
      <c r="BT19" s="23" t="n">
        <v>0</v>
      </c>
      <c r="BU19" s="23" t="n">
        <v>0</v>
      </c>
      <c r="BV19" s="23" t="n">
        <v>0</v>
      </c>
      <c r="BW19" s="23" t="n">
        <v>0</v>
      </c>
      <c r="BX19" s="23" t="n">
        <v>0</v>
      </c>
      <c r="BY19" s="23" t="n">
        <v>0</v>
      </c>
      <c r="BZ19" s="23" t="n">
        <v>0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0</v>
      </c>
      <c r="CN19" s="23" t="n">
        <v>0</v>
      </c>
      <c r="CO19" s="23" t="n">
        <v>0</v>
      </c>
      <c r="CP19" s="23" t="n">
        <v>0</v>
      </c>
      <c r="CQ19" s="23" t="n">
        <v>0</v>
      </c>
      <c r="CR19" s="23" t="n">
        <v>0</v>
      </c>
      <c r="CS19" s="23" t="n">
        <v>0</v>
      </c>
      <c r="CT19" s="23" t="n">
        <v>0</v>
      </c>
      <c r="CU19" s="23" t="n">
        <v>0</v>
      </c>
      <c r="CV19" s="23" t="n">
        <v>0</v>
      </c>
      <c r="CW19" s="23" t="n">
        <v>0</v>
      </c>
      <c r="CX19" s="23" t="n">
        <v>0</v>
      </c>
      <c r="CY19" s="23" t="n">
        <v>0</v>
      </c>
      <c r="CZ19" s="23" t="n">
        <v>0</v>
      </c>
      <c r="DA19" s="23" t="n">
        <v>0</v>
      </c>
    </row>
    <row r="20">
      <c r="A20" t="inlineStr">
        <is>
          <t>TSP-225</t>
        </is>
      </c>
      <c r="B20" s="23" t="n">
        <v>0</v>
      </c>
      <c r="C20" s="23" t="n">
        <v>0</v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0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  <c r="AC20" s="23" t="n">
        <v>0</v>
      </c>
      <c r="AD20" s="23" t="n">
        <v>0</v>
      </c>
      <c r="AE20" s="23" t="n">
        <v>0</v>
      </c>
      <c r="AF20" s="23" t="n">
        <v>0</v>
      </c>
      <c r="AG20" s="23" t="n">
        <v>0</v>
      </c>
      <c r="AH20" s="23" t="n">
        <v>0</v>
      </c>
      <c r="AI20" s="23" t="n">
        <v>0</v>
      </c>
      <c r="AJ20" s="23" t="n">
        <v>0</v>
      </c>
      <c r="AK20" s="23" t="n">
        <v>0</v>
      </c>
      <c r="AL20" s="23" t="n">
        <v>0</v>
      </c>
      <c r="AM20" s="23" t="n">
        <v>0</v>
      </c>
      <c r="AN20" s="23" t="n">
        <v>0</v>
      </c>
      <c r="AO20" s="23" t="n">
        <v>0</v>
      </c>
      <c r="AP20" s="23" t="n">
        <v>0</v>
      </c>
      <c r="AQ20" s="23" t="n">
        <v>0</v>
      </c>
      <c r="AR20" s="23" t="n">
        <v>0</v>
      </c>
      <c r="AS20" s="23" t="n">
        <v>0</v>
      </c>
      <c r="AT20" s="23" t="n">
        <v>0</v>
      </c>
      <c r="AU20" s="23" t="n">
        <v>0</v>
      </c>
      <c r="AV20" s="23" t="n">
        <v>0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0</v>
      </c>
      <c r="BP20" s="23" t="n">
        <v>0</v>
      </c>
      <c r="BQ20" s="23" t="n">
        <v>0</v>
      </c>
      <c r="BR20" s="23" t="n">
        <v>0</v>
      </c>
      <c r="BS20" s="23" t="n">
        <v>0</v>
      </c>
      <c r="BT20" s="23" t="n">
        <v>0</v>
      </c>
      <c r="BU20" s="23" t="n">
        <v>0</v>
      </c>
      <c r="BV20" s="23" t="n">
        <v>0</v>
      </c>
      <c r="BW20" s="23" t="n">
        <v>0</v>
      </c>
      <c r="BX20" s="23" t="n">
        <v>0</v>
      </c>
      <c r="BY20" s="23" t="n">
        <v>0</v>
      </c>
      <c r="BZ20" s="23" t="n">
        <v>0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0</v>
      </c>
      <c r="CN20" s="23" t="n">
        <v>0</v>
      </c>
      <c r="CO20" s="23" t="n">
        <v>0</v>
      </c>
      <c r="CP20" s="23" t="n">
        <v>0</v>
      </c>
      <c r="CQ20" s="23" t="n">
        <v>0</v>
      </c>
      <c r="CR20" s="23" t="n">
        <v>0</v>
      </c>
      <c r="CS20" s="23" t="n">
        <v>0</v>
      </c>
      <c r="CT20" s="23" t="n">
        <v>0</v>
      </c>
      <c r="CU20" s="23" t="n">
        <v>0</v>
      </c>
      <c r="CV20" s="23" t="n">
        <v>0</v>
      </c>
      <c r="CW20" s="23" t="n">
        <v>0</v>
      </c>
      <c r="CX20" s="23" t="n">
        <v>0</v>
      </c>
      <c r="CY20" s="23" t="n">
        <v>0</v>
      </c>
      <c r="CZ20" s="23" t="n">
        <v>0</v>
      </c>
      <c r="DA20" s="23" t="n">
        <v>0</v>
      </c>
    </row>
    <row r="21">
      <c r="A21" t="inlineStr">
        <is>
          <t>TSP-360</t>
        </is>
      </c>
      <c r="B21" s="23" t="n">
        <v>0</v>
      </c>
      <c r="C21" s="23" t="n">
        <v>0</v>
      </c>
      <c r="D21" s="23" t="n">
        <v>0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0</v>
      </c>
      <c r="L21" s="23" t="n">
        <v>0</v>
      </c>
      <c r="M21" s="23" t="n">
        <v>0</v>
      </c>
      <c r="N21" s="23" t="n">
        <v>0</v>
      </c>
      <c r="O21" s="23" t="n">
        <v>0</v>
      </c>
      <c r="P21" s="23" t="n">
        <v>0</v>
      </c>
      <c r="Q21" s="23" t="n">
        <v>0</v>
      </c>
      <c r="R21" s="23" t="n">
        <v>0</v>
      </c>
      <c r="S21" s="23" t="n">
        <v>0</v>
      </c>
      <c r="T21" s="23" t="n">
        <v>0</v>
      </c>
      <c r="U21" s="23" t="n">
        <v>0</v>
      </c>
      <c r="V21" s="23" t="n">
        <v>0</v>
      </c>
      <c r="W21" s="23" t="n">
        <v>0</v>
      </c>
      <c r="X21" s="23" t="n">
        <v>0</v>
      </c>
      <c r="Y21" s="23" t="n">
        <v>0</v>
      </c>
      <c r="Z21" s="23" t="n">
        <v>0</v>
      </c>
      <c r="AA21" s="23" t="n">
        <v>0</v>
      </c>
      <c r="AB21" s="23" t="n">
        <v>0</v>
      </c>
      <c r="AC21" s="23" t="n">
        <v>0</v>
      </c>
      <c r="AD21" s="23" t="n">
        <v>0</v>
      </c>
      <c r="AE21" s="23" t="n">
        <v>0</v>
      </c>
      <c r="AF21" s="23" t="n">
        <v>0</v>
      </c>
      <c r="AG21" s="23" t="n">
        <v>0</v>
      </c>
      <c r="AH21" s="23" t="n">
        <v>0</v>
      </c>
      <c r="AI21" s="23" t="n">
        <v>0</v>
      </c>
      <c r="AJ21" s="23" t="n">
        <v>0</v>
      </c>
      <c r="AK21" s="23" t="n">
        <v>0</v>
      </c>
      <c r="AL21" s="23" t="n">
        <v>0</v>
      </c>
      <c r="AM21" s="23" t="n">
        <v>0</v>
      </c>
      <c r="AN21" s="23" t="n">
        <v>0</v>
      </c>
      <c r="AO21" s="23" t="n">
        <v>0</v>
      </c>
      <c r="AP21" s="23" t="n">
        <v>0</v>
      </c>
      <c r="AQ21" s="23" t="n">
        <v>0</v>
      </c>
      <c r="AR21" s="23" t="n">
        <v>0</v>
      </c>
      <c r="AS21" s="23" t="n">
        <v>0</v>
      </c>
      <c r="AT21" s="23" t="n">
        <v>0</v>
      </c>
      <c r="AU21" s="23" t="n">
        <v>0</v>
      </c>
      <c r="AV21" s="23" t="n">
        <v>0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0</v>
      </c>
      <c r="BO21" s="23" t="n">
        <v>0</v>
      </c>
      <c r="BP21" s="23" t="n">
        <v>0</v>
      </c>
      <c r="BQ21" s="23" t="n">
        <v>0</v>
      </c>
      <c r="BR21" s="23" t="n">
        <v>0</v>
      </c>
      <c r="BS21" s="23" t="n">
        <v>0</v>
      </c>
      <c r="BT21" s="23" t="n">
        <v>0</v>
      </c>
      <c r="BU21" s="23" t="n">
        <v>0</v>
      </c>
      <c r="BV21" s="23" t="n">
        <v>0</v>
      </c>
      <c r="BW21" s="23" t="n">
        <v>0</v>
      </c>
      <c r="BX21" s="23" t="n">
        <v>0</v>
      </c>
      <c r="BY21" s="23" t="n">
        <v>0</v>
      </c>
      <c r="BZ21" s="23" t="n">
        <v>0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0</v>
      </c>
      <c r="CN21" s="23" t="n">
        <v>0</v>
      </c>
      <c r="CO21" s="23" t="n">
        <v>0</v>
      </c>
      <c r="CP21" s="23" t="n">
        <v>0</v>
      </c>
      <c r="CQ21" s="23" t="n">
        <v>0</v>
      </c>
      <c r="CR21" s="23" t="n">
        <v>0</v>
      </c>
      <c r="CS21" s="23" t="n">
        <v>0</v>
      </c>
      <c r="CT21" s="23" t="n">
        <v>0</v>
      </c>
      <c r="CU21" s="23" t="n">
        <v>0</v>
      </c>
      <c r="CV21" s="23" t="n">
        <v>0</v>
      </c>
      <c r="CW21" s="23" t="n">
        <v>0</v>
      </c>
      <c r="CX21" s="23" t="n">
        <v>0</v>
      </c>
      <c r="CY21" s="23" t="n">
        <v>0</v>
      </c>
      <c r="CZ21" s="23" t="n">
        <v>0</v>
      </c>
      <c r="DA21" s="23" t="n">
        <v>0</v>
      </c>
    </row>
    <row r="22">
      <c r="A22" t="inlineStr">
        <is>
          <t>TSP-367</t>
        </is>
      </c>
      <c r="B22" s="23" t="n">
        <v>0</v>
      </c>
      <c r="C22" s="23" t="n">
        <v>0</v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0</v>
      </c>
      <c r="J22" s="23" t="n">
        <v>0</v>
      </c>
      <c r="K22" s="23" t="n">
        <v>0</v>
      </c>
      <c r="L22" s="23" t="n">
        <v>0</v>
      </c>
      <c r="M22" s="23" t="n">
        <v>0</v>
      </c>
      <c r="N22" s="23" t="n">
        <v>0</v>
      </c>
      <c r="O22" s="23" t="n">
        <v>0</v>
      </c>
      <c r="P22" s="23" t="n">
        <v>0</v>
      </c>
      <c r="Q22" s="23" t="n">
        <v>0</v>
      </c>
      <c r="R22" s="23" t="n">
        <v>0</v>
      </c>
      <c r="S22" s="23" t="n">
        <v>0</v>
      </c>
      <c r="T22" s="23" t="n">
        <v>0</v>
      </c>
      <c r="U22" s="23" t="n">
        <v>0</v>
      </c>
      <c r="V22" s="23" t="n">
        <v>0</v>
      </c>
      <c r="W22" s="23" t="n">
        <v>0</v>
      </c>
      <c r="X22" s="23" t="n">
        <v>0</v>
      </c>
      <c r="Y22" s="23" t="n">
        <v>0</v>
      </c>
      <c r="Z22" s="23" t="n">
        <v>0</v>
      </c>
      <c r="AA22" s="23" t="n">
        <v>0</v>
      </c>
      <c r="AB22" s="23" t="n">
        <v>0</v>
      </c>
      <c r="AC22" s="23" t="n">
        <v>0</v>
      </c>
      <c r="AD22" s="23" t="n">
        <v>0</v>
      </c>
      <c r="AE22" s="23" t="n">
        <v>0</v>
      </c>
      <c r="AF22" s="23" t="n">
        <v>0</v>
      </c>
      <c r="AG22" s="23" t="n">
        <v>0</v>
      </c>
      <c r="AH22" s="23" t="n">
        <v>0</v>
      </c>
      <c r="AI22" s="23" t="n">
        <v>0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0</v>
      </c>
      <c r="CT22" s="23" t="n">
        <v>0</v>
      </c>
      <c r="CU22" s="23" t="n">
        <v>0</v>
      </c>
      <c r="CV22" s="23" t="n">
        <v>0</v>
      </c>
      <c r="CW22" s="23" t="n">
        <v>0</v>
      </c>
      <c r="CX22" s="23" t="n">
        <v>0</v>
      </c>
      <c r="CY22" s="23" t="n">
        <v>0</v>
      </c>
      <c r="CZ22" s="23" t="n">
        <v>0</v>
      </c>
      <c r="DA22" s="23" t="n">
        <v>0</v>
      </c>
    </row>
    <row r="23">
      <c r="A23" t="inlineStr">
        <is>
          <t>TSP-369</t>
        </is>
      </c>
      <c r="B23" s="23" t="n">
        <v>0</v>
      </c>
      <c r="C23" s="23" t="n">
        <v>0</v>
      </c>
      <c r="D23" s="23" t="n">
        <v>0</v>
      </c>
      <c r="E23" s="23" t="n">
        <v>0</v>
      </c>
      <c r="F23" s="23" t="n">
        <v>0</v>
      </c>
      <c r="G23" s="23" t="n">
        <v>0</v>
      </c>
      <c r="H23" s="23" t="n">
        <v>0</v>
      </c>
      <c r="I23" s="23" t="n">
        <v>0</v>
      </c>
      <c r="J23" s="23" t="n">
        <v>0</v>
      </c>
      <c r="K23" s="23" t="n">
        <v>0</v>
      </c>
      <c r="L23" s="23" t="n">
        <v>0</v>
      </c>
      <c r="M23" s="23" t="n">
        <v>0</v>
      </c>
      <c r="N23" s="23" t="n">
        <v>0</v>
      </c>
      <c r="O23" s="23" t="n">
        <v>0</v>
      </c>
      <c r="P23" s="23" t="n">
        <v>0</v>
      </c>
      <c r="Q23" s="23" t="n">
        <v>0</v>
      </c>
      <c r="R23" s="23" t="n">
        <v>0</v>
      </c>
      <c r="S23" s="23" t="n">
        <v>0</v>
      </c>
      <c r="T23" s="23" t="n">
        <v>0</v>
      </c>
      <c r="U23" s="23" t="n">
        <v>0</v>
      </c>
      <c r="V23" s="23" t="n">
        <v>0</v>
      </c>
      <c r="W23" s="23" t="n">
        <v>0</v>
      </c>
      <c r="X23" s="23" t="n">
        <v>0</v>
      </c>
      <c r="Y23" s="23" t="n">
        <v>0</v>
      </c>
      <c r="Z23" s="23" t="n">
        <v>0</v>
      </c>
      <c r="AA23" s="23" t="n">
        <v>0</v>
      </c>
      <c r="AB23" s="23" t="n">
        <v>0</v>
      </c>
      <c r="AC23" s="23" t="n">
        <v>0</v>
      </c>
      <c r="AD23" s="23" t="n">
        <v>0</v>
      </c>
      <c r="AE23" s="23" t="n">
        <v>0</v>
      </c>
      <c r="AF23" s="23" t="n">
        <v>0</v>
      </c>
      <c r="AG23" s="23" t="n">
        <v>0</v>
      </c>
      <c r="AH23" s="23" t="n">
        <v>0</v>
      </c>
      <c r="AI23" s="23" t="n">
        <v>0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0</v>
      </c>
      <c r="CS23" s="23" t="n">
        <v>0</v>
      </c>
      <c r="CT23" s="23" t="n">
        <v>0</v>
      </c>
      <c r="CU23" s="23" t="n">
        <v>0</v>
      </c>
      <c r="CV23" s="23" t="n">
        <v>0</v>
      </c>
      <c r="CW23" s="23" t="n">
        <v>0</v>
      </c>
      <c r="CX23" s="23" t="n">
        <v>0</v>
      </c>
      <c r="CY23" s="23" t="n">
        <v>0</v>
      </c>
      <c r="CZ23" s="23" t="n">
        <v>0</v>
      </c>
      <c r="DA23" s="23" t="n">
        <v>0</v>
      </c>
    </row>
    <row r="24">
      <c r="A24" t="inlineStr">
        <is>
          <t>TSP-402</t>
        </is>
      </c>
      <c r="B24" s="23" t="n">
        <v>0</v>
      </c>
      <c r="C24" s="23" t="n">
        <v>0</v>
      </c>
      <c r="D24" s="23" t="n">
        <v>0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0</v>
      </c>
      <c r="L24" s="23" t="n">
        <v>0</v>
      </c>
      <c r="M24" s="23" t="n">
        <v>0</v>
      </c>
      <c r="N24" s="23" t="n">
        <v>0</v>
      </c>
      <c r="O24" s="23" t="n">
        <v>0</v>
      </c>
      <c r="P24" s="23" t="n">
        <v>0</v>
      </c>
      <c r="Q24" s="23" t="n">
        <v>0</v>
      </c>
      <c r="R24" s="23" t="n">
        <v>0</v>
      </c>
      <c r="S24" s="23" t="n">
        <v>0</v>
      </c>
      <c r="T24" s="23" t="n">
        <v>0</v>
      </c>
      <c r="U24" s="23" t="n">
        <v>0</v>
      </c>
      <c r="V24" s="23" t="n">
        <v>0</v>
      </c>
      <c r="W24" s="23" t="n">
        <v>0</v>
      </c>
      <c r="X24" s="23" t="n">
        <v>0</v>
      </c>
      <c r="Y24" s="23" t="n">
        <v>0</v>
      </c>
      <c r="Z24" s="23" t="n">
        <v>0</v>
      </c>
      <c r="AA24" s="23" t="n">
        <v>0</v>
      </c>
      <c r="AB24" s="23" t="n">
        <v>0</v>
      </c>
      <c r="AC24" s="23" t="n">
        <v>0</v>
      </c>
      <c r="AD24" s="23" t="n">
        <v>0</v>
      </c>
      <c r="AE24" s="23" t="n">
        <v>0</v>
      </c>
      <c r="AF24" s="23" t="n">
        <v>0</v>
      </c>
      <c r="AG24" s="23" t="n">
        <v>0</v>
      </c>
      <c r="AH24" s="23" t="n">
        <v>0</v>
      </c>
      <c r="AI24" s="23" t="n">
        <v>0</v>
      </c>
      <c r="AJ24" s="23" t="n">
        <v>0</v>
      </c>
      <c r="AK24" s="23" t="n">
        <v>0</v>
      </c>
      <c r="AL24" s="23" t="n">
        <v>0</v>
      </c>
      <c r="AM24" s="23" t="n">
        <v>0</v>
      </c>
      <c r="AN24" s="23" t="n">
        <v>0</v>
      </c>
      <c r="AO24" s="23" t="n">
        <v>0</v>
      </c>
      <c r="AP24" s="23" t="n">
        <v>0</v>
      </c>
      <c r="AQ24" s="23" t="n">
        <v>0</v>
      </c>
      <c r="AR24" s="23" t="n">
        <v>0</v>
      </c>
      <c r="AS24" s="23" t="n">
        <v>0</v>
      </c>
      <c r="AT24" s="23" t="n">
        <v>0</v>
      </c>
      <c r="AU24" s="23" t="n">
        <v>0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0</v>
      </c>
      <c r="BP24" s="23" t="n">
        <v>0</v>
      </c>
      <c r="BQ24" s="23" t="n">
        <v>0</v>
      </c>
      <c r="BR24" s="23" t="n">
        <v>0</v>
      </c>
      <c r="BS24" s="23" t="n">
        <v>0</v>
      </c>
      <c r="BT24" s="23" t="n">
        <v>0</v>
      </c>
      <c r="BU24" s="23" t="n">
        <v>0</v>
      </c>
      <c r="BV24" s="23" t="n">
        <v>0</v>
      </c>
      <c r="BW24" s="23" t="n">
        <v>0</v>
      </c>
      <c r="BX24" s="23" t="n">
        <v>0</v>
      </c>
      <c r="BY24" s="23" t="n">
        <v>0</v>
      </c>
      <c r="BZ24" s="23" t="n">
        <v>0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0</v>
      </c>
      <c r="CN24" s="23" t="n">
        <v>0</v>
      </c>
      <c r="CO24" s="23" t="n">
        <v>0</v>
      </c>
      <c r="CP24" s="23" t="n">
        <v>0</v>
      </c>
      <c r="CQ24" s="23" t="n">
        <v>0</v>
      </c>
      <c r="CR24" s="23" t="n">
        <v>0</v>
      </c>
      <c r="CS24" s="23" t="n">
        <v>0</v>
      </c>
      <c r="CT24" s="23" t="n">
        <v>0</v>
      </c>
      <c r="CU24" s="23" t="n">
        <v>0</v>
      </c>
      <c r="CV24" s="23" t="n">
        <v>0</v>
      </c>
      <c r="CW24" s="23" t="n">
        <v>0</v>
      </c>
      <c r="CX24" s="23" t="n">
        <v>0</v>
      </c>
      <c r="CY24" s="23" t="n">
        <v>0</v>
      </c>
      <c r="CZ24" s="23" t="n">
        <v>0</v>
      </c>
      <c r="DA24" s="23" t="n">
        <v>0</v>
      </c>
    </row>
    <row r="25">
      <c r="A25" t="inlineStr">
        <is>
          <t>TSP-403</t>
        </is>
      </c>
      <c r="B25" s="23" t="n">
        <v>0</v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  <c r="H25" s="23" t="n">
        <v>0</v>
      </c>
      <c r="I25" s="23" t="n">
        <v>0</v>
      </c>
      <c r="J25" s="23" t="n">
        <v>0</v>
      </c>
      <c r="K25" s="23" t="n">
        <v>0</v>
      </c>
      <c r="L25" s="23" t="n">
        <v>0</v>
      </c>
      <c r="M25" s="23" t="n">
        <v>0</v>
      </c>
      <c r="N25" s="23" t="n">
        <v>0</v>
      </c>
      <c r="O25" s="23" t="n">
        <v>0</v>
      </c>
      <c r="P25" s="23" t="n">
        <v>0</v>
      </c>
      <c r="Q25" s="23" t="n">
        <v>0</v>
      </c>
      <c r="R25" s="23" t="n">
        <v>0</v>
      </c>
      <c r="S25" s="23" t="n">
        <v>0</v>
      </c>
      <c r="T25" s="23" t="n">
        <v>0</v>
      </c>
      <c r="U25" s="23" t="n">
        <v>0</v>
      </c>
      <c r="V25" s="23" t="n">
        <v>0</v>
      </c>
      <c r="W25" s="23" t="n">
        <v>0</v>
      </c>
      <c r="X25" s="23" t="n">
        <v>0</v>
      </c>
      <c r="Y25" s="23" t="n">
        <v>0</v>
      </c>
      <c r="Z25" s="23" t="n">
        <v>0</v>
      </c>
      <c r="AA25" s="23" t="n">
        <v>0</v>
      </c>
      <c r="AB25" s="23" t="n">
        <v>0</v>
      </c>
      <c r="AC25" s="23" t="n">
        <v>0</v>
      </c>
      <c r="AD25" s="23" t="n">
        <v>0</v>
      </c>
      <c r="AE25" s="23" t="n">
        <v>0</v>
      </c>
      <c r="AF25" s="23" t="n">
        <v>0</v>
      </c>
      <c r="AG25" s="23" t="n">
        <v>0</v>
      </c>
      <c r="AH25" s="23" t="n">
        <v>0</v>
      </c>
      <c r="AI25" s="23" t="n">
        <v>0</v>
      </c>
      <c r="AJ25" s="23" t="n">
        <v>0</v>
      </c>
      <c r="AK25" s="23" t="n">
        <v>0</v>
      </c>
      <c r="AL25" s="23" t="n">
        <v>0</v>
      </c>
      <c r="AM25" s="23" t="n">
        <v>0</v>
      </c>
      <c r="AN25" s="23" t="n">
        <v>0</v>
      </c>
      <c r="AO25" s="23" t="n">
        <v>0</v>
      </c>
      <c r="AP25" s="23" t="n">
        <v>0</v>
      </c>
      <c r="AQ25" s="23" t="n">
        <v>0</v>
      </c>
      <c r="AR25" s="23" t="n">
        <v>0</v>
      </c>
      <c r="AS25" s="23" t="n">
        <v>0</v>
      </c>
      <c r="AT25" s="23" t="n">
        <v>0</v>
      </c>
      <c r="AU25" s="23" t="n">
        <v>0</v>
      </c>
      <c r="AV25" s="23" t="n">
        <v>0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0</v>
      </c>
      <c r="BP25" s="23" t="n">
        <v>0</v>
      </c>
      <c r="BQ25" s="23" t="n">
        <v>0</v>
      </c>
      <c r="BR25" s="23" t="n">
        <v>0</v>
      </c>
      <c r="BS25" s="23" t="n">
        <v>0</v>
      </c>
      <c r="BT25" s="23" t="n">
        <v>0</v>
      </c>
      <c r="BU25" s="23" t="n">
        <v>0</v>
      </c>
      <c r="BV25" s="23" t="n">
        <v>0</v>
      </c>
      <c r="BW25" s="23" t="n">
        <v>0</v>
      </c>
      <c r="BX25" s="23" t="n">
        <v>0</v>
      </c>
      <c r="BY25" s="23" t="n">
        <v>0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0</v>
      </c>
      <c r="CN25" s="23" t="n">
        <v>0</v>
      </c>
      <c r="CO25" s="23" t="n">
        <v>0</v>
      </c>
      <c r="CP25" s="23" t="n">
        <v>0</v>
      </c>
      <c r="CQ25" s="23" t="n">
        <v>0</v>
      </c>
      <c r="CR25" s="23" t="n">
        <v>0</v>
      </c>
      <c r="CS25" s="23" t="n">
        <v>0</v>
      </c>
      <c r="CT25" s="23" t="n">
        <v>0</v>
      </c>
      <c r="CU25" s="23" t="n">
        <v>0</v>
      </c>
      <c r="CV25" s="23" t="n">
        <v>0</v>
      </c>
      <c r="CW25" s="23" t="n">
        <v>0</v>
      </c>
      <c r="CX25" s="23" t="n">
        <v>0</v>
      </c>
      <c r="CY25" s="23" t="n">
        <v>0</v>
      </c>
      <c r="CZ25" s="23" t="n">
        <v>0</v>
      </c>
      <c r="DA25" s="23" t="n">
        <v>0</v>
      </c>
    </row>
    <row r="26">
      <c r="A26" t="inlineStr">
        <is>
          <t>TSP-404</t>
        </is>
      </c>
      <c r="B26" s="23" t="n">
        <v>0</v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0</v>
      </c>
      <c r="J26" s="23" t="n">
        <v>0</v>
      </c>
      <c r="K26" s="23" t="n">
        <v>0</v>
      </c>
      <c r="L26" s="23" t="n">
        <v>0</v>
      </c>
      <c r="M26" s="23" t="n">
        <v>0</v>
      </c>
      <c r="N26" s="23" t="n">
        <v>0</v>
      </c>
      <c r="O26" s="23" t="n">
        <v>0</v>
      </c>
      <c r="P26" s="23" t="n">
        <v>0</v>
      </c>
      <c r="Q26" s="23" t="n">
        <v>0</v>
      </c>
      <c r="R26" s="23" t="n">
        <v>0</v>
      </c>
      <c r="S26" s="23" t="n">
        <v>0</v>
      </c>
      <c r="T26" s="23" t="n">
        <v>0</v>
      </c>
      <c r="U26" s="23" t="n">
        <v>0</v>
      </c>
      <c r="V26" s="23" t="n">
        <v>0</v>
      </c>
      <c r="W26" s="23" t="n">
        <v>0</v>
      </c>
      <c r="X26" s="23" t="n">
        <v>0</v>
      </c>
      <c r="Y26" s="23" t="n">
        <v>0</v>
      </c>
      <c r="Z26" s="23" t="n">
        <v>0</v>
      </c>
      <c r="AA26" s="23" t="n">
        <v>0</v>
      </c>
      <c r="AB26" s="23" t="n">
        <v>0</v>
      </c>
      <c r="AC26" s="23" t="n">
        <v>0</v>
      </c>
      <c r="AD26" s="23" t="n">
        <v>0</v>
      </c>
      <c r="AE26" s="23" t="n">
        <v>0</v>
      </c>
      <c r="AF26" s="23" t="n">
        <v>0</v>
      </c>
      <c r="AG26" s="23" t="n">
        <v>0</v>
      </c>
      <c r="AH26" s="23" t="n">
        <v>0</v>
      </c>
      <c r="AI26" s="23" t="n">
        <v>0</v>
      </c>
      <c r="AJ26" s="23" t="n">
        <v>0</v>
      </c>
      <c r="AK26" s="23" t="n">
        <v>0</v>
      </c>
      <c r="AL26" s="23" t="n">
        <v>0</v>
      </c>
      <c r="AM26" s="23" t="n">
        <v>0</v>
      </c>
      <c r="AN26" s="23" t="n">
        <v>0</v>
      </c>
      <c r="AO26" s="23" t="n">
        <v>0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0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0</v>
      </c>
      <c r="BP26" s="23" t="n">
        <v>0</v>
      </c>
      <c r="BQ26" s="23" t="n">
        <v>0</v>
      </c>
      <c r="BR26" s="23" t="n">
        <v>0</v>
      </c>
      <c r="BS26" s="23" t="n">
        <v>0</v>
      </c>
      <c r="BT26" s="23" t="n">
        <v>0</v>
      </c>
      <c r="BU26" s="23" t="n">
        <v>0</v>
      </c>
      <c r="BV26" s="23" t="n">
        <v>0</v>
      </c>
      <c r="BW26" s="23" t="n">
        <v>0</v>
      </c>
      <c r="BX26" s="23" t="n">
        <v>0</v>
      </c>
      <c r="BY26" s="23" t="n">
        <v>0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0</v>
      </c>
      <c r="CN26" s="23" t="n">
        <v>0</v>
      </c>
      <c r="CO26" s="23" t="n">
        <v>0</v>
      </c>
      <c r="CP26" s="23" t="n">
        <v>0</v>
      </c>
      <c r="CQ26" s="23" t="n">
        <v>0</v>
      </c>
      <c r="CR26" s="23" t="n">
        <v>0</v>
      </c>
      <c r="CS26" s="23" t="n">
        <v>0</v>
      </c>
      <c r="CT26" s="23" t="n">
        <v>0</v>
      </c>
      <c r="CU26" s="23" t="n">
        <v>0</v>
      </c>
      <c r="CV26" s="23" t="n">
        <v>0</v>
      </c>
      <c r="CW26" s="23" t="n">
        <v>0</v>
      </c>
      <c r="CX26" s="23" t="n">
        <v>0</v>
      </c>
      <c r="CY26" s="23" t="n">
        <v>0</v>
      </c>
      <c r="CZ26" s="23" t="n">
        <v>0</v>
      </c>
      <c r="DA26" s="23" t="n">
        <v>0</v>
      </c>
    </row>
    <row r="27">
      <c r="A27" t="inlineStr">
        <is>
          <t>TSP-405</t>
        </is>
      </c>
      <c r="B27" s="23" t="n">
        <v>0</v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</v>
      </c>
      <c r="H27" s="23" t="n">
        <v>0</v>
      </c>
      <c r="I27" s="23" t="n">
        <v>0</v>
      </c>
      <c r="J27" s="23" t="n">
        <v>0</v>
      </c>
      <c r="K27" s="23" t="n">
        <v>0</v>
      </c>
      <c r="L27" s="23" t="n">
        <v>0</v>
      </c>
      <c r="M27" s="23" t="n">
        <v>0</v>
      </c>
      <c r="N27" s="23" t="n">
        <v>0</v>
      </c>
      <c r="O27" s="23" t="n">
        <v>0</v>
      </c>
      <c r="P27" s="23" t="n">
        <v>0</v>
      </c>
      <c r="Q27" s="23" t="n">
        <v>0</v>
      </c>
      <c r="R27" s="23" t="n">
        <v>0</v>
      </c>
      <c r="S27" s="23" t="n">
        <v>0</v>
      </c>
      <c r="T27" s="23" t="n">
        <v>0</v>
      </c>
      <c r="U27" s="23" t="n">
        <v>0</v>
      </c>
      <c r="V27" s="23" t="n">
        <v>0</v>
      </c>
      <c r="W27" s="23" t="n">
        <v>0</v>
      </c>
      <c r="X27" s="23" t="n">
        <v>0</v>
      </c>
      <c r="Y27" s="23" t="n">
        <v>0</v>
      </c>
      <c r="Z27" s="23" t="n">
        <v>0</v>
      </c>
      <c r="AA27" s="23" t="n">
        <v>0</v>
      </c>
      <c r="AB27" s="23" t="n">
        <v>0</v>
      </c>
      <c r="AC27" s="23" t="n">
        <v>0</v>
      </c>
      <c r="AD27" s="23" t="n">
        <v>0</v>
      </c>
      <c r="AE27" s="23" t="n">
        <v>0</v>
      </c>
      <c r="AF27" s="23" t="n">
        <v>0</v>
      </c>
      <c r="AG27" s="23" t="n">
        <v>0</v>
      </c>
      <c r="AH27" s="23" t="n">
        <v>0</v>
      </c>
      <c r="AI27" s="23" t="n">
        <v>0</v>
      </c>
      <c r="AJ27" s="23" t="n">
        <v>0</v>
      </c>
      <c r="AK27" s="23" t="n">
        <v>0</v>
      </c>
      <c r="AL27" s="23" t="n">
        <v>0</v>
      </c>
      <c r="AM27" s="23" t="n">
        <v>0</v>
      </c>
      <c r="AN27" s="23" t="n">
        <v>0</v>
      </c>
      <c r="AO27" s="23" t="n">
        <v>0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0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0</v>
      </c>
      <c r="BP27" s="23" t="n">
        <v>0</v>
      </c>
      <c r="BQ27" s="23" t="n">
        <v>0</v>
      </c>
      <c r="BR27" s="23" t="n">
        <v>0</v>
      </c>
      <c r="BS27" s="23" t="n">
        <v>0</v>
      </c>
      <c r="BT27" s="23" t="n">
        <v>0</v>
      </c>
      <c r="BU27" s="23" t="n">
        <v>0</v>
      </c>
      <c r="BV27" s="23" t="n">
        <v>0</v>
      </c>
      <c r="BW27" s="23" t="n">
        <v>0</v>
      </c>
      <c r="BX27" s="23" t="n">
        <v>0</v>
      </c>
      <c r="BY27" s="23" t="n">
        <v>0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0</v>
      </c>
      <c r="CN27" s="23" t="n">
        <v>0</v>
      </c>
      <c r="CO27" s="23" t="n">
        <v>0</v>
      </c>
      <c r="CP27" s="23" t="n">
        <v>0</v>
      </c>
      <c r="CQ27" s="23" t="n">
        <v>0</v>
      </c>
      <c r="CR27" s="23" t="n">
        <v>0</v>
      </c>
      <c r="CS27" s="23" t="n">
        <v>0</v>
      </c>
      <c r="CT27" s="23" t="n">
        <v>0</v>
      </c>
      <c r="CU27" s="23" t="n">
        <v>0</v>
      </c>
      <c r="CV27" s="23" t="n">
        <v>0</v>
      </c>
      <c r="CW27" s="23" t="n">
        <v>0</v>
      </c>
      <c r="CX27" s="23" t="n">
        <v>0</v>
      </c>
      <c r="CY27" s="23" t="n">
        <v>0</v>
      </c>
      <c r="CZ27" s="23" t="n">
        <v>0</v>
      </c>
      <c r="DA27" s="23" t="n">
        <v>0</v>
      </c>
    </row>
    <row r="28">
      <c r="A28" t="inlineStr">
        <is>
          <t>TSP-544</t>
        </is>
      </c>
      <c r="B28" s="23" t="n">
        <v>0</v>
      </c>
      <c r="C28" s="23" t="n">
        <v>0</v>
      </c>
      <c r="D28" s="23" t="n">
        <v>0</v>
      </c>
      <c r="E28" s="23" t="n">
        <v>0</v>
      </c>
      <c r="F28" s="23" t="n">
        <v>0</v>
      </c>
      <c r="G28" s="23" t="n">
        <v>0</v>
      </c>
      <c r="H28" s="23" t="n">
        <v>0</v>
      </c>
      <c r="I28" s="23" t="n">
        <v>0</v>
      </c>
      <c r="J28" s="23" t="n">
        <v>0</v>
      </c>
      <c r="K28" s="23" t="n">
        <v>0</v>
      </c>
      <c r="L28" s="23" t="n">
        <v>0</v>
      </c>
      <c r="M28" s="23" t="n">
        <v>0</v>
      </c>
      <c r="N28" s="23" t="n">
        <v>0</v>
      </c>
      <c r="O28" s="23" t="n">
        <v>0</v>
      </c>
      <c r="P28" s="23" t="n">
        <v>0</v>
      </c>
      <c r="Q28" s="23" t="n">
        <v>0</v>
      </c>
      <c r="R28" s="23" t="n">
        <v>0</v>
      </c>
      <c r="S28" s="23" t="n">
        <v>0</v>
      </c>
      <c r="T28" s="23" t="n">
        <v>0</v>
      </c>
      <c r="U28" s="23" t="n">
        <v>0</v>
      </c>
      <c r="V28" s="23" t="n">
        <v>0</v>
      </c>
      <c r="W28" s="23" t="n">
        <v>0</v>
      </c>
      <c r="X28" s="23" t="n">
        <v>0</v>
      </c>
      <c r="Y28" s="23" t="n">
        <v>0</v>
      </c>
      <c r="Z28" s="23" t="n">
        <v>0</v>
      </c>
      <c r="AA28" s="23" t="n">
        <v>0</v>
      </c>
      <c r="AB28" s="23" t="n">
        <v>0</v>
      </c>
      <c r="AC28" s="23" t="n">
        <v>0</v>
      </c>
      <c r="AD28" s="23" t="n">
        <v>0</v>
      </c>
      <c r="AE28" s="23" t="n">
        <v>0</v>
      </c>
      <c r="AF28" s="23" t="n">
        <v>0</v>
      </c>
      <c r="AG28" s="23" t="n">
        <v>0</v>
      </c>
      <c r="AH28" s="23" t="n">
        <v>0</v>
      </c>
      <c r="AI28" s="23" t="n">
        <v>0</v>
      </c>
      <c r="AJ28" s="23" t="n">
        <v>0</v>
      </c>
      <c r="AK28" s="23" t="n">
        <v>0</v>
      </c>
      <c r="AL28" s="23" t="n">
        <v>0</v>
      </c>
      <c r="AM28" s="23" t="n">
        <v>0</v>
      </c>
      <c r="AN28" s="23" t="n">
        <v>0</v>
      </c>
      <c r="AO28" s="23" t="n">
        <v>0</v>
      </c>
      <c r="AP28" s="23" t="n">
        <v>0</v>
      </c>
      <c r="AQ28" s="23" t="n">
        <v>0</v>
      </c>
      <c r="AR28" s="23" t="n">
        <v>0</v>
      </c>
      <c r="AS28" s="23" t="n">
        <v>0</v>
      </c>
      <c r="AT28" s="23" t="n">
        <v>0</v>
      </c>
      <c r="AU28" s="23" t="n">
        <v>0</v>
      </c>
      <c r="AV28" s="23" t="n">
        <v>0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0</v>
      </c>
      <c r="BP28" s="23" t="n">
        <v>0</v>
      </c>
      <c r="BQ28" s="23" t="n">
        <v>0</v>
      </c>
      <c r="BR28" s="23" t="n">
        <v>0</v>
      </c>
      <c r="BS28" s="23" t="n">
        <v>0</v>
      </c>
      <c r="BT28" s="23" t="n">
        <v>0</v>
      </c>
      <c r="BU28" s="23" t="n">
        <v>0</v>
      </c>
      <c r="BV28" s="23" t="n">
        <v>0</v>
      </c>
      <c r="BW28" s="23" t="n">
        <v>0</v>
      </c>
      <c r="BX28" s="23" t="n">
        <v>0</v>
      </c>
      <c r="BY28" s="23" t="n">
        <v>0</v>
      </c>
      <c r="BZ28" s="23" t="n">
        <v>0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0</v>
      </c>
      <c r="CN28" s="23" t="n">
        <v>0</v>
      </c>
      <c r="CO28" s="23" t="n">
        <v>0</v>
      </c>
      <c r="CP28" s="23" t="n">
        <v>0</v>
      </c>
      <c r="CQ28" s="23" t="n">
        <v>0</v>
      </c>
      <c r="CR28" s="23" t="n">
        <v>0</v>
      </c>
      <c r="CS28" s="23" t="n">
        <v>0</v>
      </c>
      <c r="CT28" s="23" t="n">
        <v>0</v>
      </c>
      <c r="CU28" s="23" t="n">
        <v>0</v>
      </c>
      <c r="CV28" s="23" t="n">
        <v>0</v>
      </c>
      <c r="CW28" s="23" t="n">
        <v>0</v>
      </c>
      <c r="CX28" s="23" t="n">
        <v>0</v>
      </c>
      <c r="CY28" s="23" t="n">
        <v>0</v>
      </c>
      <c r="CZ28" s="23" t="n">
        <v>0</v>
      </c>
      <c r="DA28" s="23" t="n">
        <v>0</v>
      </c>
    </row>
    <row r="29">
      <c r="A29" t="inlineStr">
        <is>
          <t>TSP-558</t>
        </is>
      </c>
      <c r="B29" s="23" t="n">
        <v>0</v>
      </c>
      <c r="C29" s="23" t="n">
        <v>0</v>
      </c>
      <c r="D29" s="23" t="n">
        <v>0</v>
      </c>
      <c r="E29" s="23" t="n">
        <v>0</v>
      </c>
      <c r="F29" s="23" t="n">
        <v>0</v>
      </c>
      <c r="G29" s="23" t="n">
        <v>0</v>
      </c>
      <c r="H29" s="23" t="n">
        <v>0</v>
      </c>
      <c r="I29" s="23" t="n">
        <v>0</v>
      </c>
      <c r="J29" s="23" t="n">
        <v>0</v>
      </c>
      <c r="K29" s="23" t="n">
        <v>0</v>
      </c>
      <c r="L29" s="23" t="n">
        <v>0</v>
      </c>
      <c r="M29" s="23" t="n">
        <v>0</v>
      </c>
      <c r="N29" s="23" t="n">
        <v>0</v>
      </c>
      <c r="O29" s="23" t="n">
        <v>0</v>
      </c>
      <c r="P29" s="23" t="n">
        <v>0</v>
      </c>
      <c r="Q29" s="23" t="n">
        <v>0</v>
      </c>
      <c r="R29" s="23" t="n">
        <v>0</v>
      </c>
      <c r="S29" s="23" t="n">
        <v>0</v>
      </c>
      <c r="T29" s="23" t="n">
        <v>0</v>
      </c>
      <c r="U29" s="23" t="n">
        <v>0</v>
      </c>
      <c r="V29" s="23" t="n">
        <v>0</v>
      </c>
      <c r="W29" s="23" t="n">
        <v>0</v>
      </c>
      <c r="X29" s="23" t="n">
        <v>0</v>
      </c>
      <c r="Y29" s="23" t="n">
        <v>0</v>
      </c>
      <c r="Z29" s="23" t="n">
        <v>0</v>
      </c>
      <c r="AA29" s="23" t="n">
        <v>0</v>
      </c>
      <c r="AB29" s="23" t="n">
        <v>0</v>
      </c>
      <c r="AC29" s="23" t="n">
        <v>0</v>
      </c>
      <c r="AD29" s="23" t="n">
        <v>0</v>
      </c>
      <c r="AE29" s="23" t="n">
        <v>0</v>
      </c>
      <c r="AF29" s="23" t="n">
        <v>0</v>
      </c>
      <c r="AG29" s="23" t="n">
        <v>0</v>
      </c>
      <c r="AH29" s="23" t="n">
        <v>0</v>
      </c>
      <c r="AI29" s="23" t="n">
        <v>0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0</v>
      </c>
      <c r="CS29" s="23" t="n">
        <v>0</v>
      </c>
      <c r="CT29" s="23" t="n">
        <v>0</v>
      </c>
      <c r="CU29" s="23" t="n">
        <v>0</v>
      </c>
      <c r="CV29" s="23" t="n">
        <v>0</v>
      </c>
      <c r="CW29" s="23" t="n">
        <v>0</v>
      </c>
      <c r="CX29" s="23" t="n">
        <v>0</v>
      </c>
      <c r="CY29" s="23" t="n">
        <v>0</v>
      </c>
      <c r="CZ29" s="23" t="n">
        <v>0</v>
      </c>
      <c r="DA29" s="23" t="n">
        <v>0</v>
      </c>
    </row>
    <row r="30">
      <c r="A30" t="inlineStr">
        <is>
          <t>TSP-618</t>
        </is>
      </c>
      <c r="B30" s="23" t="n">
        <v>0</v>
      </c>
      <c r="C30" s="23" t="n">
        <v>0</v>
      </c>
      <c r="D30" s="23" t="n">
        <v>0</v>
      </c>
      <c r="E30" s="23" t="n">
        <v>0</v>
      </c>
      <c r="F30" s="23" t="n">
        <v>0</v>
      </c>
      <c r="G30" s="23" t="n">
        <v>0</v>
      </c>
      <c r="H30" s="23" t="n">
        <v>0</v>
      </c>
      <c r="I30" s="23" t="n">
        <v>0</v>
      </c>
      <c r="J30" s="23" t="n">
        <v>0</v>
      </c>
      <c r="K30" s="23" t="n">
        <v>0</v>
      </c>
      <c r="L30" s="23" t="n">
        <v>0</v>
      </c>
      <c r="M30" s="23" t="n">
        <v>0</v>
      </c>
      <c r="N30" s="23" t="n">
        <v>0</v>
      </c>
      <c r="O30" s="23" t="n">
        <v>0</v>
      </c>
      <c r="P30" s="23" t="n">
        <v>0</v>
      </c>
      <c r="Q30" s="23" t="n">
        <v>0</v>
      </c>
      <c r="R30" s="23" t="n">
        <v>0</v>
      </c>
      <c r="S30" s="23" t="n">
        <v>0</v>
      </c>
      <c r="T30" s="23" t="n">
        <v>0</v>
      </c>
      <c r="U30" s="23" t="n">
        <v>0</v>
      </c>
      <c r="V30" s="23" t="n">
        <v>0</v>
      </c>
      <c r="W30" s="23" t="n">
        <v>0</v>
      </c>
      <c r="X30" s="23" t="n">
        <v>0</v>
      </c>
      <c r="Y30" s="23" t="n">
        <v>0</v>
      </c>
      <c r="Z30" s="23" t="n">
        <v>0</v>
      </c>
      <c r="AA30" s="23" t="n">
        <v>0</v>
      </c>
      <c r="AB30" s="23" t="n">
        <v>0</v>
      </c>
      <c r="AC30" s="23" t="n">
        <v>0</v>
      </c>
      <c r="AD30" s="23" t="n">
        <v>0</v>
      </c>
      <c r="AE30" s="23" t="n">
        <v>0</v>
      </c>
      <c r="AF30" s="23" t="n">
        <v>0</v>
      </c>
      <c r="AG30" s="23" t="n">
        <v>0</v>
      </c>
      <c r="AH30" s="23" t="n">
        <v>0</v>
      </c>
      <c r="AI30" s="23" t="n">
        <v>0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0</v>
      </c>
      <c r="CS30" s="23" t="n">
        <v>0</v>
      </c>
      <c r="CT30" s="23" t="n">
        <v>0</v>
      </c>
      <c r="CU30" s="23" t="n">
        <v>0</v>
      </c>
      <c r="CV30" s="23" t="n">
        <v>0</v>
      </c>
      <c r="CW30" s="23" t="n">
        <v>0</v>
      </c>
      <c r="CX30" s="23" t="n">
        <v>0</v>
      </c>
      <c r="CY30" s="23" t="n">
        <v>0</v>
      </c>
      <c r="CZ30" s="23" t="n">
        <v>0</v>
      </c>
      <c r="DA30" s="23" t="n">
        <v>0</v>
      </c>
    </row>
    <row r="31">
      <c r="A31" t="inlineStr">
        <is>
          <t>TSP-620</t>
        </is>
      </c>
      <c r="B31" s="23" t="n">
        <v>0</v>
      </c>
      <c r="C31" s="23" t="n">
        <v>0</v>
      </c>
      <c r="D31" s="23" t="n">
        <v>0</v>
      </c>
      <c r="E31" s="23" t="n">
        <v>0</v>
      </c>
      <c r="F31" s="23" t="n">
        <v>0</v>
      </c>
      <c r="G31" s="23" t="n">
        <v>0</v>
      </c>
      <c r="H31" s="23" t="n">
        <v>0</v>
      </c>
      <c r="I31" s="23" t="n">
        <v>0</v>
      </c>
      <c r="J31" s="23" t="n">
        <v>0</v>
      </c>
      <c r="K31" s="23" t="n">
        <v>0</v>
      </c>
      <c r="L31" s="23" t="n">
        <v>0</v>
      </c>
      <c r="M31" s="23" t="n">
        <v>0</v>
      </c>
      <c r="N31" s="23" t="n">
        <v>0</v>
      </c>
      <c r="O31" s="23" t="n">
        <v>0</v>
      </c>
      <c r="P31" s="23" t="n">
        <v>0</v>
      </c>
      <c r="Q31" s="23" t="n">
        <v>0</v>
      </c>
      <c r="R31" s="23" t="n">
        <v>0</v>
      </c>
      <c r="S31" s="23" t="n">
        <v>0</v>
      </c>
      <c r="T31" s="23" t="n">
        <v>0</v>
      </c>
      <c r="U31" s="23" t="n">
        <v>0</v>
      </c>
      <c r="V31" s="23" t="n">
        <v>0</v>
      </c>
      <c r="W31" s="23" t="n">
        <v>0</v>
      </c>
      <c r="X31" s="23" t="n">
        <v>0</v>
      </c>
      <c r="Y31" s="23" t="n">
        <v>0</v>
      </c>
      <c r="Z31" s="23" t="n">
        <v>0</v>
      </c>
      <c r="AA31" s="23" t="n">
        <v>0</v>
      </c>
      <c r="AB31" s="23" t="n">
        <v>0</v>
      </c>
      <c r="AC31" s="23" t="n">
        <v>0</v>
      </c>
      <c r="AD31" s="23" t="n">
        <v>0</v>
      </c>
      <c r="AE31" s="23" t="n">
        <v>0</v>
      </c>
      <c r="AF31" s="23" t="n">
        <v>0</v>
      </c>
      <c r="AG31" s="23" t="n">
        <v>0</v>
      </c>
      <c r="AH31" s="23" t="n">
        <v>0</v>
      </c>
      <c r="AI31" s="23" t="n">
        <v>0</v>
      </c>
      <c r="AJ31" s="23" t="n">
        <v>0</v>
      </c>
      <c r="AK31" s="23" t="n">
        <v>0</v>
      </c>
      <c r="AL31" s="23" t="n">
        <v>0</v>
      </c>
      <c r="AM31" s="23" t="n">
        <v>0</v>
      </c>
      <c r="AN31" s="23" t="n">
        <v>0</v>
      </c>
      <c r="AO31" s="23" t="n">
        <v>0</v>
      </c>
      <c r="AP31" s="23" t="n">
        <v>0</v>
      </c>
      <c r="AQ31" s="23" t="n">
        <v>0</v>
      </c>
      <c r="AR31" s="23" t="n">
        <v>0</v>
      </c>
      <c r="AS31" s="23" t="n">
        <v>0</v>
      </c>
      <c r="AT31" s="23" t="n">
        <v>0</v>
      </c>
      <c r="AU31" s="23" t="n">
        <v>0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0</v>
      </c>
      <c r="BP31" s="23" t="n">
        <v>0</v>
      </c>
      <c r="BQ31" s="23" t="n">
        <v>0</v>
      </c>
      <c r="BR31" s="23" t="n">
        <v>0</v>
      </c>
      <c r="BS31" s="23" t="n">
        <v>0</v>
      </c>
      <c r="BT31" s="23" t="n">
        <v>0</v>
      </c>
      <c r="BU31" s="23" t="n">
        <v>0</v>
      </c>
      <c r="BV31" s="23" t="n">
        <v>0</v>
      </c>
      <c r="BW31" s="23" t="n">
        <v>0</v>
      </c>
      <c r="BX31" s="23" t="n">
        <v>0</v>
      </c>
      <c r="BY31" s="23" t="n">
        <v>0</v>
      </c>
      <c r="BZ31" s="23" t="n">
        <v>0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0</v>
      </c>
      <c r="CN31" s="23" t="n">
        <v>0</v>
      </c>
      <c r="CO31" s="23" t="n">
        <v>0</v>
      </c>
      <c r="CP31" s="23" t="n">
        <v>0</v>
      </c>
      <c r="CQ31" s="23" t="n">
        <v>0</v>
      </c>
      <c r="CR31" s="23" t="n">
        <v>0</v>
      </c>
      <c r="CS31" s="23" t="n">
        <v>0</v>
      </c>
      <c r="CT31" s="23" t="n">
        <v>0</v>
      </c>
      <c r="CU31" s="23" t="n">
        <v>0</v>
      </c>
      <c r="CV31" s="23" t="n">
        <v>0</v>
      </c>
      <c r="CW31" s="23" t="n">
        <v>0</v>
      </c>
      <c r="CX31" s="23" t="n">
        <v>0</v>
      </c>
      <c r="CY31" s="23" t="n">
        <v>0</v>
      </c>
      <c r="CZ31" s="23" t="n">
        <v>0</v>
      </c>
      <c r="DA31" s="23" t="n">
        <v>0</v>
      </c>
    </row>
    <row r="32">
      <c r="A32" t="inlineStr">
        <is>
          <t>TSP-623</t>
        </is>
      </c>
      <c r="B32" s="23" t="n">
        <v>0</v>
      </c>
      <c r="C32" s="23" t="n">
        <v>0</v>
      </c>
      <c r="D32" s="23" t="n">
        <v>0</v>
      </c>
      <c r="E32" s="23" t="n">
        <v>0</v>
      </c>
      <c r="F32" s="23" t="n">
        <v>0</v>
      </c>
      <c r="G32" s="23" t="n">
        <v>0</v>
      </c>
      <c r="H32" s="23" t="n">
        <v>0</v>
      </c>
      <c r="I32" s="23" t="n">
        <v>0</v>
      </c>
      <c r="J32" s="23" t="n">
        <v>0</v>
      </c>
      <c r="K32" s="23" t="n">
        <v>0</v>
      </c>
      <c r="L32" s="23" t="n">
        <v>0</v>
      </c>
      <c r="M32" s="23" t="n">
        <v>0</v>
      </c>
      <c r="N32" s="23" t="n">
        <v>0</v>
      </c>
      <c r="O32" s="23" t="n">
        <v>0</v>
      </c>
      <c r="P32" s="23" t="n">
        <v>0</v>
      </c>
      <c r="Q32" s="23" t="n">
        <v>0</v>
      </c>
      <c r="R32" s="23" t="n">
        <v>0</v>
      </c>
      <c r="S32" s="23" t="n">
        <v>0</v>
      </c>
      <c r="T32" s="23" t="n">
        <v>0</v>
      </c>
      <c r="U32" s="23" t="n">
        <v>0</v>
      </c>
      <c r="V32" s="23" t="n">
        <v>0</v>
      </c>
      <c r="W32" s="23" t="n">
        <v>0</v>
      </c>
      <c r="X32" s="23" t="n">
        <v>0</v>
      </c>
      <c r="Y32" s="23" t="n">
        <v>0</v>
      </c>
      <c r="Z32" s="23" t="n">
        <v>0</v>
      </c>
      <c r="AA32" s="23" t="n">
        <v>0</v>
      </c>
      <c r="AB32" s="23" t="n">
        <v>0</v>
      </c>
      <c r="AC32" s="23" t="n">
        <v>0</v>
      </c>
      <c r="AD32" s="23" t="n">
        <v>0</v>
      </c>
      <c r="AE32" s="23" t="n">
        <v>0</v>
      </c>
      <c r="AF32" s="23" t="n">
        <v>0</v>
      </c>
      <c r="AG32" s="23" t="n">
        <v>0</v>
      </c>
      <c r="AH32" s="23" t="n">
        <v>0</v>
      </c>
      <c r="AI32" s="23" t="n">
        <v>0</v>
      </c>
      <c r="AJ32" s="23" t="n">
        <v>0</v>
      </c>
      <c r="AK32" s="23" t="n">
        <v>0</v>
      </c>
      <c r="AL32" s="23" t="n">
        <v>0</v>
      </c>
      <c r="AM32" s="23" t="n">
        <v>0</v>
      </c>
      <c r="AN32" s="23" t="n">
        <v>0</v>
      </c>
      <c r="AO32" s="23" t="n">
        <v>0</v>
      </c>
      <c r="AP32" s="23" t="n">
        <v>0</v>
      </c>
      <c r="AQ32" s="23" t="n">
        <v>0</v>
      </c>
      <c r="AR32" s="23" t="n">
        <v>0</v>
      </c>
      <c r="AS32" s="23" t="n">
        <v>0</v>
      </c>
      <c r="AT32" s="23" t="n">
        <v>0</v>
      </c>
      <c r="AU32" s="23" t="n">
        <v>0</v>
      </c>
      <c r="AV32" s="23" t="n">
        <v>0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0</v>
      </c>
      <c r="BP32" s="23" t="n">
        <v>0</v>
      </c>
      <c r="BQ32" s="23" t="n">
        <v>0</v>
      </c>
      <c r="BR32" s="23" t="n">
        <v>0</v>
      </c>
      <c r="BS32" s="23" t="n">
        <v>0</v>
      </c>
      <c r="BT32" s="23" t="n">
        <v>0</v>
      </c>
      <c r="BU32" s="23" t="n">
        <v>0</v>
      </c>
      <c r="BV32" s="23" t="n">
        <v>0</v>
      </c>
      <c r="BW32" s="23" t="n">
        <v>0</v>
      </c>
      <c r="BX32" s="23" t="n">
        <v>0</v>
      </c>
      <c r="BY32" s="23" t="n">
        <v>0</v>
      </c>
      <c r="BZ32" s="23" t="n">
        <v>0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0</v>
      </c>
      <c r="CN32" s="23" t="n">
        <v>0</v>
      </c>
      <c r="CO32" s="23" t="n">
        <v>0</v>
      </c>
      <c r="CP32" s="23" t="n">
        <v>0</v>
      </c>
      <c r="CQ32" s="23" t="n">
        <v>0</v>
      </c>
      <c r="CR32" s="23" t="n">
        <v>0</v>
      </c>
      <c r="CS32" s="23" t="n">
        <v>0</v>
      </c>
      <c r="CT32" s="23" t="n">
        <v>0</v>
      </c>
      <c r="CU32" s="23" t="n">
        <v>0</v>
      </c>
      <c r="CV32" s="23" t="n">
        <v>0</v>
      </c>
      <c r="CW32" s="23" t="n">
        <v>0</v>
      </c>
      <c r="CX32" s="23" t="n">
        <v>0</v>
      </c>
      <c r="CY32" s="23" t="n">
        <v>0</v>
      </c>
      <c r="CZ32" s="23" t="n">
        <v>0</v>
      </c>
      <c r="DA32" s="23" t="n">
        <v>0</v>
      </c>
    </row>
    <row r="33">
      <c r="A33" t="inlineStr">
        <is>
          <t>TSP-655</t>
        </is>
      </c>
      <c r="B33" s="23" t="n">
        <v>0</v>
      </c>
      <c r="C33" s="23" t="n">
        <v>0</v>
      </c>
      <c r="D33" s="23" t="n">
        <v>0</v>
      </c>
      <c r="E33" s="23" t="n">
        <v>0</v>
      </c>
      <c r="F33" s="23" t="n">
        <v>0</v>
      </c>
      <c r="G33" s="23" t="n">
        <v>0</v>
      </c>
      <c r="H33" s="23" t="n">
        <v>0</v>
      </c>
      <c r="I33" s="23" t="n">
        <v>0</v>
      </c>
      <c r="J33" s="23" t="n">
        <v>0</v>
      </c>
      <c r="K33" s="23" t="n">
        <v>0</v>
      </c>
      <c r="L33" s="23" t="n">
        <v>0</v>
      </c>
      <c r="M33" s="23" t="n">
        <v>0</v>
      </c>
      <c r="N33" s="23" t="n">
        <v>0</v>
      </c>
      <c r="O33" s="23" t="n">
        <v>0</v>
      </c>
      <c r="P33" s="23" t="n">
        <v>0</v>
      </c>
      <c r="Q33" s="23" t="n">
        <v>0</v>
      </c>
      <c r="R33" s="23" t="n">
        <v>0</v>
      </c>
      <c r="S33" s="23" t="n">
        <v>0</v>
      </c>
      <c r="T33" s="23" t="n">
        <v>0</v>
      </c>
      <c r="U33" s="23" t="n">
        <v>0</v>
      </c>
      <c r="V33" s="23" t="n">
        <v>0</v>
      </c>
      <c r="W33" s="23" t="n">
        <v>0</v>
      </c>
      <c r="X33" s="23" t="n">
        <v>0</v>
      </c>
      <c r="Y33" s="23" t="n">
        <v>0</v>
      </c>
      <c r="Z33" s="23" t="n">
        <v>0</v>
      </c>
      <c r="AA33" s="23" t="n">
        <v>0</v>
      </c>
      <c r="AB33" s="23" t="n">
        <v>0</v>
      </c>
      <c r="AC33" s="23" t="n">
        <v>0</v>
      </c>
      <c r="AD33" s="23" t="n">
        <v>0</v>
      </c>
      <c r="AE33" s="23" t="n">
        <v>0</v>
      </c>
      <c r="AF33" s="23" t="n">
        <v>0</v>
      </c>
      <c r="AG33" s="23" t="n">
        <v>0</v>
      </c>
      <c r="AH33" s="23" t="n">
        <v>0</v>
      </c>
      <c r="AI33" s="23" t="n">
        <v>0</v>
      </c>
      <c r="AJ33" s="23" t="n">
        <v>0</v>
      </c>
      <c r="AK33" s="23" t="n">
        <v>0</v>
      </c>
      <c r="AL33" s="23" t="n">
        <v>0</v>
      </c>
      <c r="AM33" s="23" t="n">
        <v>0</v>
      </c>
      <c r="AN33" s="23" t="n">
        <v>0</v>
      </c>
      <c r="AO33" s="23" t="n">
        <v>0</v>
      </c>
      <c r="AP33" s="23" t="n">
        <v>0</v>
      </c>
      <c r="AQ33" s="23" t="n">
        <v>0</v>
      </c>
      <c r="AR33" s="23" t="n">
        <v>0</v>
      </c>
      <c r="AS33" s="23" t="n">
        <v>0</v>
      </c>
      <c r="AT33" s="23" t="n">
        <v>0</v>
      </c>
      <c r="AU33" s="23" t="n">
        <v>0</v>
      </c>
      <c r="AV33" s="23" t="n">
        <v>0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0</v>
      </c>
      <c r="BP33" s="23" t="n">
        <v>0</v>
      </c>
      <c r="BQ33" s="23" t="n">
        <v>0</v>
      </c>
      <c r="BR33" s="23" t="n">
        <v>0</v>
      </c>
      <c r="BS33" s="23" t="n">
        <v>0</v>
      </c>
      <c r="BT33" s="23" t="n">
        <v>0</v>
      </c>
      <c r="BU33" s="23" t="n">
        <v>0</v>
      </c>
      <c r="BV33" s="23" t="n">
        <v>0</v>
      </c>
      <c r="BW33" s="23" t="n">
        <v>0</v>
      </c>
      <c r="BX33" s="23" t="n">
        <v>0</v>
      </c>
      <c r="BY33" s="23" t="n">
        <v>0</v>
      </c>
      <c r="BZ33" s="23" t="n">
        <v>0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0</v>
      </c>
      <c r="CN33" s="23" t="n">
        <v>0</v>
      </c>
      <c r="CO33" s="23" t="n">
        <v>0</v>
      </c>
      <c r="CP33" s="23" t="n">
        <v>0</v>
      </c>
      <c r="CQ33" s="23" t="n">
        <v>0</v>
      </c>
      <c r="CR33" s="23" t="n">
        <v>0</v>
      </c>
      <c r="CS33" s="23" t="n">
        <v>0</v>
      </c>
      <c r="CT33" s="23" t="n">
        <v>0</v>
      </c>
      <c r="CU33" s="23" t="n">
        <v>0</v>
      </c>
      <c r="CV33" s="23" t="n">
        <v>0</v>
      </c>
      <c r="CW33" s="23" t="n">
        <v>0</v>
      </c>
      <c r="CX33" s="23" t="n">
        <v>0</v>
      </c>
      <c r="CY33" s="23" t="n">
        <v>0</v>
      </c>
      <c r="CZ33" s="23" t="n">
        <v>0</v>
      </c>
      <c r="DA33" s="23" t="n">
        <v>0</v>
      </c>
    </row>
    <row r="34">
      <c r="A34" t="inlineStr">
        <is>
          <t>TSP-656</t>
        </is>
      </c>
      <c r="B34" s="23" t="n">
        <v>0</v>
      </c>
      <c r="C34" s="23" t="n">
        <v>0</v>
      </c>
      <c r="D34" s="23" t="n">
        <v>0</v>
      </c>
      <c r="E34" s="23" t="n">
        <v>0</v>
      </c>
      <c r="F34" s="23" t="n">
        <v>0</v>
      </c>
      <c r="G34" s="23" t="n">
        <v>0</v>
      </c>
      <c r="H34" s="23" t="n">
        <v>0</v>
      </c>
      <c r="I34" s="23" t="n">
        <v>0</v>
      </c>
      <c r="J34" s="23" t="n">
        <v>0</v>
      </c>
      <c r="K34" s="23" t="n">
        <v>0</v>
      </c>
      <c r="L34" s="23" t="n">
        <v>0</v>
      </c>
      <c r="M34" s="23" t="n">
        <v>0</v>
      </c>
      <c r="N34" s="23" t="n">
        <v>0</v>
      </c>
      <c r="O34" s="23" t="n">
        <v>0</v>
      </c>
      <c r="P34" s="23" t="n">
        <v>0</v>
      </c>
      <c r="Q34" s="23" t="n">
        <v>0</v>
      </c>
      <c r="R34" s="23" t="n">
        <v>0</v>
      </c>
      <c r="S34" s="23" t="n">
        <v>0</v>
      </c>
      <c r="T34" s="23" t="n">
        <v>0</v>
      </c>
      <c r="U34" s="23" t="n">
        <v>0</v>
      </c>
      <c r="V34" s="23" t="n">
        <v>0</v>
      </c>
      <c r="W34" s="23" t="n">
        <v>0</v>
      </c>
      <c r="X34" s="23" t="n">
        <v>0</v>
      </c>
      <c r="Y34" s="23" t="n">
        <v>0</v>
      </c>
      <c r="Z34" s="23" t="n">
        <v>0</v>
      </c>
      <c r="AA34" s="23" t="n">
        <v>0</v>
      </c>
      <c r="AB34" s="23" t="n">
        <v>0</v>
      </c>
      <c r="AC34" s="23" t="n">
        <v>0</v>
      </c>
      <c r="AD34" s="23" t="n">
        <v>0</v>
      </c>
      <c r="AE34" s="23" t="n">
        <v>0</v>
      </c>
      <c r="AF34" s="23" t="n">
        <v>0</v>
      </c>
      <c r="AG34" s="23" t="n">
        <v>0</v>
      </c>
      <c r="AH34" s="23" t="n">
        <v>0</v>
      </c>
      <c r="AI34" s="23" t="n">
        <v>0</v>
      </c>
      <c r="AJ34" s="23" t="n">
        <v>0</v>
      </c>
      <c r="AK34" s="23" t="n">
        <v>0</v>
      </c>
      <c r="AL34" s="23" t="n">
        <v>0</v>
      </c>
      <c r="AM34" s="23" t="n">
        <v>0</v>
      </c>
      <c r="AN34" s="23" t="n">
        <v>0</v>
      </c>
      <c r="AO34" s="23" t="n">
        <v>0</v>
      </c>
      <c r="AP34" s="23" t="n">
        <v>0</v>
      </c>
      <c r="AQ34" s="23" t="n">
        <v>0</v>
      </c>
      <c r="AR34" s="23" t="n">
        <v>0</v>
      </c>
      <c r="AS34" s="23" t="n">
        <v>0</v>
      </c>
      <c r="AT34" s="23" t="n">
        <v>0</v>
      </c>
      <c r="AU34" s="23" t="n">
        <v>0</v>
      </c>
      <c r="AV34" s="23" t="n">
        <v>0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0</v>
      </c>
      <c r="BP34" s="23" t="n">
        <v>0</v>
      </c>
      <c r="BQ34" s="23" t="n">
        <v>0</v>
      </c>
      <c r="BR34" s="23" t="n">
        <v>0</v>
      </c>
      <c r="BS34" s="23" t="n">
        <v>0</v>
      </c>
      <c r="BT34" s="23" t="n">
        <v>0</v>
      </c>
      <c r="BU34" s="23" t="n">
        <v>0</v>
      </c>
      <c r="BV34" s="23" t="n">
        <v>0</v>
      </c>
      <c r="BW34" s="23" t="n">
        <v>0</v>
      </c>
      <c r="BX34" s="23" t="n">
        <v>0</v>
      </c>
      <c r="BY34" s="23" t="n">
        <v>0</v>
      </c>
      <c r="BZ34" s="23" t="n">
        <v>0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0</v>
      </c>
      <c r="CN34" s="23" t="n">
        <v>0</v>
      </c>
      <c r="CO34" s="23" t="n">
        <v>0</v>
      </c>
      <c r="CP34" s="23" t="n">
        <v>0</v>
      </c>
      <c r="CQ34" s="23" t="n">
        <v>0</v>
      </c>
      <c r="CR34" s="23" t="n">
        <v>0</v>
      </c>
      <c r="CS34" s="23" t="n">
        <v>0</v>
      </c>
      <c r="CT34" s="23" t="n">
        <v>0</v>
      </c>
      <c r="CU34" s="23" t="n">
        <v>0</v>
      </c>
      <c r="CV34" s="23" t="n">
        <v>0</v>
      </c>
      <c r="CW34" s="23" t="n">
        <v>0</v>
      </c>
      <c r="CX34" s="23" t="n">
        <v>0</v>
      </c>
      <c r="CY34" s="23" t="n">
        <v>0</v>
      </c>
      <c r="CZ34" s="23" t="n">
        <v>0</v>
      </c>
      <c r="DA34" s="23" t="n">
        <v>0</v>
      </c>
    </row>
    <row r="35">
      <c r="A35" t="inlineStr">
        <is>
          <t>TSP-668</t>
        </is>
      </c>
      <c r="B35" s="23" t="n">
        <v>0</v>
      </c>
      <c r="C35" s="23" t="n">
        <v>0</v>
      </c>
      <c r="D35" s="23" t="n">
        <v>0</v>
      </c>
      <c r="E35" s="23" t="n">
        <v>0</v>
      </c>
      <c r="F35" s="23" t="n">
        <v>0</v>
      </c>
      <c r="G35" s="23" t="n">
        <v>0</v>
      </c>
      <c r="H35" s="23" t="n">
        <v>0</v>
      </c>
      <c r="I35" s="23" t="n">
        <v>0</v>
      </c>
      <c r="J35" s="23" t="n">
        <v>0</v>
      </c>
      <c r="K35" s="23" t="n">
        <v>0</v>
      </c>
      <c r="L35" s="23" t="n">
        <v>0</v>
      </c>
      <c r="M35" s="23" t="n">
        <v>0</v>
      </c>
      <c r="N35" s="23" t="n">
        <v>0</v>
      </c>
      <c r="O35" s="23" t="n">
        <v>0</v>
      </c>
      <c r="P35" s="23" t="n">
        <v>0</v>
      </c>
      <c r="Q35" s="23" t="n">
        <v>0</v>
      </c>
      <c r="R35" s="23" t="n">
        <v>0</v>
      </c>
      <c r="S35" s="23" t="n">
        <v>0</v>
      </c>
      <c r="T35" s="23" t="n">
        <v>0</v>
      </c>
      <c r="U35" s="23" t="n">
        <v>0</v>
      </c>
      <c r="V35" s="23" t="n">
        <v>0</v>
      </c>
      <c r="W35" s="23" t="n">
        <v>0</v>
      </c>
      <c r="X35" s="23" t="n">
        <v>0</v>
      </c>
      <c r="Y35" s="23" t="n">
        <v>0</v>
      </c>
      <c r="Z35" s="23" t="n">
        <v>0</v>
      </c>
      <c r="AA35" s="23" t="n">
        <v>0</v>
      </c>
      <c r="AB35" s="23" t="n">
        <v>0</v>
      </c>
      <c r="AC35" s="23" t="n">
        <v>0</v>
      </c>
      <c r="AD35" s="23" t="n">
        <v>0</v>
      </c>
      <c r="AE35" s="23" t="n">
        <v>0</v>
      </c>
      <c r="AF35" s="23" t="n">
        <v>0</v>
      </c>
      <c r="AG35" s="23" t="n">
        <v>0</v>
      </c>
      <c r="AH35" s="23" t="n">
        <v>0</v>
      </c>
      <c r="AI35" s="23" t="n">
        <v>0</v>
      </c>
      <c r="AJ35" s="23" t="n">
        <v>0</v>
      </c>
      <c r="AK35" s="23" t="n">
        <v>0</v>
      </c>
      <c r="AL35" s="23" t="n">
        <v>0</v>
      </c>
      <c r="AM35" s="23" t="n">
        <v>0</v>
      </c>
      <c r="AN35" s="23" t="n">
        <v>0</v>
      </c>
      <c r="AO35" s="23" t="n">
        <v>0</v>
      </c>
      <c r="AP35" s="23" t="n">
        <v>0</v>
      </c>
      <c r="AQ35" s="23" t="n">
        <v>0</v>
      </c>
      <c r="AR35" s="23" t="n">
        <v>0</v>
      </c>
      <c r="AS35" s="23" t="n">
        <v>0</v>
      </c>
      <c r="AT35" s="23" t="n">
        <v>0</v>
      </c>
      <c r="AU35" s="23" t="n">
        <v>0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0</v>
      </c>
      <c r="BP35" s="23" t="n">
        <v>0</v>
      </c>
      <c r="BQ35" s="23" t="n">
        <v>0</v>
      </c>
      <c r="BR35" s="23" t="n">
        <v>0</v>
      </c>
      <c r="BS35" s="23" t="n">
        <v>0</v>
      </c>
      <c r="BT35" s="23" t="n">
        <v>0</v>
      </c>
      <c r="BU35" s="23" t="n">
        <v>0</v>
      </c>
      <c r="BV35" s="23" t="n">
        <v>0</v>
      </c>
      <c r="BW35" s="23" t="n">
        <v>0</v>
      </c>
      <c r="BX35" s="23" t="n">
        <v>0</v>
      </c>
      <c r="BY35" s="23" t="n">
        <v>0</v>
      </c>
      <c r="BZ35" s="23" t="n">
        <v>0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0</v>
      </c>
      <c r="CN35" s="23" t="n">
        <v>0</v>
      </c>
      <c r="CO35" s="23" t="n">
        <v>0</v>
      </c>
      <c r="CP35" s="23" t="n">
        <v>0</v>
      </c>
      <c r="CQ35" s="23" t="n">
        <v>0</v>
      </c>
      <c r="CR35" s="23" t="n">
        <v>0</v>
      </c>
      <c r="CS35" s="23" t="n">
        <v>0</v>
      </c>
      <c r="CT35" s="23" t="n">
        <v>0</v>
      </c>
      <c r="CU35" s="23" t="n">
        <v>0</v>
      </c>
      <c r="CV35" s="23" t="n">
        <v>0</v>
      </c>
      <c r="CW35" s="23" t="n">
        <v>0</v>
      </c>
      <c r="CX35" s="23" t="n">
        <v>0</v>
      </c>
      <c r="CY35" s="23" t="n">
        <v>0</v>
      </c>
      <c r="CZ35" s="23" t="n">
        <v>0</v>
      </c>
      <c r="DA35" s="23" t="n">
        <v>0</v>
      </c>
    </row>
    <row r="36">
      <c r="A36" t="inlineStr">
        <is>
          <t>TSP-669</t>
        </is>
      </c>
      <c r="B36" s="23" t="n">
        <v>0</v>
      </c>
      <c r="C36" s="23" t="n">
        <v>0</v>
      </c>
      <c r="D36" s="23" t="n">
        <v>0</v>
      </c>
      <c r="E36" s="23" t="n">
        <v>0</v>
      </c>
      <c r="F36" s="23" t="n">
        <v>0</v>
      </c>
      <c r="G36" s="23" t="n">
        <v>0</v>
      </c>
      <c r="H36" s="23" t="n">
        <v>0</v>
      </c>
      <c r="I36" s="23" t="n">
        <v>0</v>
      </c>
      <c r="J36" s="23" t="n">
        <v>0</v>
      </c>
      <c r="K36" s="23" t="n">
        <v>0</v>
      </c>
      <c r="L36" s="23" t="n">
        <v>0</v>
      </c>
      <c r="M36" s="23" t="n">
        <v>0</v>
      </c>
      <c r="N36" s="23" t="n">
        <v>0</v>
      </c>
      <c r="O36" s="23" t="n">
        <v>0</v>
      </c>
      <c r="P36" s="23" t="n">
        <v>0</v>
      </c>
      <c r="Q36" s="23" t="n">
        <v>0</v>
      </c>
      <c r="R36" s="23" t="n">
        <v>0</v>
      </c>
      <c r="S36" s="23" t="n">
        <v>0</v>
      </c>
      <c r="T36" s="23" t="n">
        <v>0</v>
      </c>
      <c r="U36" s="23" t="n">
        <v>0</v>
      </c>
      <c r="V36" s="23" t="n">
        <v>0</v>
      </c>
      <c r="W36" s="23" t="n">
        <v>0</v>
      </c>
      <c r="X36" s="23" t="n">
        <v>0</v>
      </c>
      <c r="Y36" s="23" t="n">
        <v>0</v>
      </c>
      <c r="Z36" s="23" t="n">
        <v>0</v>
      </c>
      <c r="AA36" s="23" t="n">
        <v>0</v>
      </c>
      <c r="AB36" s="23" t="n">
        <v>0</v>
      </c>
      <c r="AC36" s="23" t="n">
        <v>0</v>
      </c>
      <c r="AD36" s="23" t="n">
        <v>0</v>
      </c>
      <c r="AE36" s="23" t="n">
        <v>0</v>
      </c>
      <c r="AF36" s="23" t="n">
        <v>0</v>
      </c>
      <c r="AG36" s="23" t="n">
        <v>0</v>
      </c>
      <c r="AH36" s="23" t="n">
        <v>0</v>
      </c>
      <c r="AI36" s="23" t="n">
        <v>0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0</v>
      </c>
      <c r="CS36" s="23" t="n">
        <v>0</v>
      </c>
      <c r="CT36" s="23" t="n">
        <v>0</v>
      </c>
      <c r="CU36" s="23" t="n">
        <v>0</v>
      </c>
      <c r="CV36" s="23" t="n">
        <v>0</v>
      </c>
      <c r="CW36" s="23" t="n">
        <v>0</v>
      </c>
      <c r="CX36" s="23" t="n">
        <v>0</v>
      </c>
      <c r="CY36" s="23" t="n">
        <v>0</v>
      </c>
      <c r="CZ36" s="23" t="n">
        <v>0</v>
      </c>
      <c r="DA36" s="23" t="n">
        <v>0</v>
      </c>
    </row>
    <row r="37">
      <c r="A37" t="inlineStr">
        <is>
          <t>TSP-670</t>
        </is>
      </c>
      <c r="B37" s="23" t="n">
        <v>0</v>
      </c>
      <c r="C37" s="23" t="n">
        <v>0</v>
      </c>
      <c r="D37" s="23" t="n">
        <v>0</v>
      </c>
      <c r="E37" s="23" t="n">
        <v>0</v>
      </c>
      <c r="F37" s="23" t="n">
        <v>0</v>
      </c>
      <c r="G37" s="23" t="n">
        <v>0</v>
      </c>
      <c r="H37" s="23" t="n">
        <v>0</v>
      </c>
      <c r="I37" s="23" t="n">
        <v>0</v>
      </c>
      <c r="J37" s="23" t="n">
        <v>0</v>
      </c>
      <c r="K37" s="23" t="n">
        <v>0</v>
      </c>
      <c r="L37" s="23" t="n">
        <v>0</v>
      </c>
      <c r="M37" s="23" t="n">
        <v>0</v>
      </c>
      <c r="N37" s="23" t="n">
        <v>0</v>
      </c>
      <c r="O37" s="23" t="n">
        <v>0</v>
      </c>
      <c r="P37" s="23" t="n">
        <v>0</v>
      </c>
      <c r="Q37" s="23" t="n">
        <v>0</v>
      </c>
      <c r="R37" s="23" t="n">
        <v>0</v>
      </c>
      <c r="S37" s="23" t="n">
        <v>0</v>
      </c>
      <c r="T37" s="23" t="n">
        <v>0</v>
      </c>
      <c r="U37" s="23" t="n">
        <v>0</v>
      </c>
      <c r="V37" s="23" t="n">
        <v>0</v>
      </c>
      <c r="W37" s="23" t="n">
        <v>0</v>
      </c>
      <c r="X37" s="23" t="n">
        <v>0</v>
      </c>
      <c r="Y37" s="23" t="n">
        <v>0</v>
      </c>
      <c r="Z37" s="23" t="n">
        <v>0</v>
      </c>
      <c r="AA37" s="23" t="n">
        <v>0</v>
      </c>
      <c r="AB37" s="23" t="n">
        <v>0</v>
      </c>
      <c r="AC37" s="23" t="n">
        <v>0</v>
      </c>
      <c r="AD37" s="23" t="n">
        <v>0</v>
      </c>
      <c r="AE37" s="23" t="n">
        <v>0</v>
      </c>
      <c r="AF37" s="23" t="n">
        <v>0</v>
      </c>
      <c r="AG37" s="23" t="n">
        <v>0</v>
      </c>
      <c r="AH37" s="23" t="n">
        <v>0</v>
      </c>
      <c r="AI37" s="23" t="n">
        <v>0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0</v>
      </c>
      <c r="CS37" s="23" t="n">
        <v>0</v>
      </c>
      <c r="CT37" s="23" t="n">
        <v>0</v>
      </c>
      <c r="CU37" s="23" t="n">
        <v>0</v>
      </c>
      <c r="CV37" s="23" t="n">
        <v>0</v>
      </c>
      <c r="CW37" s="23" t="n">
        <v>0</v>
      </c>
      <c r="CX37" s="23" t="n">
        <v>0</v>
      </c>
      <c r="CY37" s="23" t="n">
        <v>0</v>
      </c>
      <c r="CZ37" s="23" t="n">
        <v>0</v>
      </c>
      <c r="DA37" s="23" t="n">
        <v>0</v>
      </c>
    </row>
    <row r="38">
      <c r="A38" t="inlineStr">
        <is>
          <t>TSP-710</t>
        </is>
      </c>
      <c r="B38" s="23" t="n">
        <v>0</v>
      </c>
      <c r="C38" s="23" t="n">
        <v>0</v>
      </c>
      <c r="D38" s="23" t="n">
        <v>0</v>
      </c>
      <c r="E38" s="23" t="n">
        <v>0</v>
      </c>
      <c r="F38" s="23" t="n">
        <v>0</v>
      </c>
      <c r="G38" s="23" t="n">
        <v>0</v>
      </c>
      <c r="H38" s="23" t="n">
        <v>0</v>
      </c>
      <c r="I38" s="23" t="n">
        <v>0</v>
      </c>
      <c r="J38" s="23" t="n">
        <v>0</v>
      </c>
      <c r="K38" s="23" t="n">
        <v>0</v>
      </c>
      <c r="L38" s="23" t="n">
        <v>0</v>
      </c>
      <c r="M38" s="23" t="n">
        <v>0</v>
      </c>
      <c r="N38" s="23" t="n">
        <v>0</v>
      </c>
      <c r="O38" s="23" t="n">
        <v>0</v>
      </c>
      <c r="P38" s="23" t="n">
        <v>0</v>
      </c>
      <c r="Q38" s="23" t="n">
        <v>0</v>
      </c>
      <c r="R38" s="23" t="n">
        <v>0</v>
      </c>
      <c r="S38" s="23" t="n">
        <v>0</v>
      </c>
      <c r="T38" s="23" t="n">
        <v>0</v>
      </c>
      <c r="U38" s="23" t="n">
        <v>0</v>
      </c>
      <c r="V38" s="23" t="n">
        <v>0</v>
      </c>
      <c r="W38" s="23" t="n">
        <v>0</v>
      </c>
      <c r="X38" s="23" t="n">
        <v>0</v>
      </c>
      <c r="Y38" s="23" t="n">
        <v>0</v>
      </c>
      <c r="Z38" s="23" t="n">
        <v>0</v>
      </c>
      <c r="AA38" s="23" t="n">
        <v>0</v>
      </c>
      <c r="AB38" s="23" t="n">
        <v>0</v>
      </c>
      <c r="AC38" s="23" t="n">
        <v>0</v>
      </c>
      <c r="AD38" s="23" t="n">
        <v>0</v>
      </c>
      <c r="AE38" s="23" t="n">
        <v>0</v>
      </c>
      <c r="AF38" s="23" t="n">
        <v>0</v>
      </c>
      <c r="AG38" s="23" t="n">
        <v>0</v>
      </c>
      <c r="AH38" s="23" t="n">
        <v>0</v>
      </c>
      <c r="AI38" s="23" t="n">
        <v>0</v>
      </c>
      <c r="AJ38" s="23" t="n">
        <v>0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0</v>
      </c>
      <c r="AS38" s="23" t="n">
        <v>0</v>
      </c>
      <c r="AT38" s="23" t="n">
        <v>0</v>
      </c>
      <c r="AU38" s="23" t="n">
        <v>0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0</v>
      </c>
      <c r="BP38" s="23" t="n">
        <v>0</v>
      </c>
      <c r="BQ38" s="23" t="n">
        <v>0</v>
      </c>
      <c r="BR38" s="23" t="n">
        <v>0</v>
      </c>
      <c r="BS38" s="23" t="n">
        <v>0</v>
      </c>
      <c r="BT38" s="23" t="n">
        <v>0</v>
      </c>
      <c r="BU38" s="23" t="n">
        <v>0</v>
      </c>
      <c r="BV38" s="23" t="n">
        <v>0</v>
      </c>
      <c r="BW38" s="23" t="n">
        <v>0</v>
      </c>
      <c r="BX38" s="23" t="n">
        <v>0</v>
      </c>
      <c r="BY38" s="23" t="n">
        <v>0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0</v>
      </c>
      <c r="CN38" s="23" t="n">
        <v>0</v>
      </c>
      <c r="CO38" s="23" t="n">
        <v>0</v>
      </c>
      <c r="CP38" s="23" t="n">
        <v>0</v>
      </c>
      <c r="CQ38" s="23" t="n">
        <v>0</v>
      </c>
      <c r="CR38" s="23" t="n">
        <v>0</v>
      </c>
      <c r="CS38" s="23" t="n">
        <v>0</v>
      </c>
      <c r="CT38" s="23" t="n">
        <v>0</v>
      </c>
      <c r="CU38" s="23" t="n">
        <v>0</v>
      </c>
      <c r="CV38" s="23" t="n">
        <v>0</v>
      </c>
      <c r="CW38" s="23" t="n">
        <v>0</v>
      </c>
      <c r="CX38" s="23" t="n">
        <v>0</v>
      </c>
      <c r="CY38" s="23" t="n">
        <v>0</v>
      </c>
      <c r="CZ38" s="23" t="n">
        <v>0</v>
      </c>
      <c r="DA38" s="23" t="n">
        <v>0</v>
      </c>
    </row>
    <row r="39">
      <c r="A39" t="inlineStr">
        <is>
          <t>TSP-828</t>
        </is>
      </c>
      <c r="B39" s="23" t="n">
        <v>0</v>
      </c>
      <c r="C39" s="23" t="n">
        <v>0</v>
      </c>
      <c r="D39" s="23" t="n">
        <v>0</v>
      </c>
      <c r="E39" s="23" t="n">
        <v>0</v>
      </c>
      <c r="F39" s="23" t="n">
        <v>0</v>
      </c>
      <c r="G39" s="23" t="n">
        <v>0</v>
      </c>
      <c r="H39" s="23" t="n">
        <v>0</v>
      </c>
      <c r="I39" s="23" t="n">
        <v>0</v>
      </c>
      <c r="J39" s="23" t="n">
        <v>0</v>
      </c>
      <c r="K39" s="23" t="n">
        <v>0</v>
      </c>
      <c r="L39" s="23" t="n">
        <v>0</v>
      </c>
      <c r="M39" s="23" t="n">
        <v>0</v>
      </c>
      <c r="N39" s="23" t="n">
        <v>0</v>
      </c>
      <c r="O39" s="23" t="n">
        <v>0</v>
      </c>
      <c r="P39" s="23" t="n">
        <v>0</v>
      </c>
      <c r="Q39" s="23" t="n">
        <v>0</v>
      </c>
      <c r="R39" s="23" t="n">
        <v>0</v>
      </c>
      <c r="S39" s="23" t="n">
        <v>0</v>
      </c>
      <c r="T39" s="23" t="n">
        <v>0</v>
      </c>
      <c r="U39" s="23" t="n">
        <v>0</v>
      </c>
      <c r="V39" s="23" t="n">
        <v>0</v>
      </c>
      <c r="W39" s="23" t="n">
        <v>0</v>
      </c>
      <c r="X39" s="23" t="n">
        <v>0</v>
      </c>
      <c r="Y39" s="23" t="n">
        <v>0</v>
      </c>
      <c r="Z39" s="23" t="n">
        <v>0</v>
      </c>
      <c r="AA39" s="23" t="n">
        <v>0</v>
      </c>
      <c r="AB39" s="23" t="n">
        <v>0</v>
      </c>
      <c r="AC39" s="23" t="n">
        <v>0</v>
      </c>
      <c r="AD39" s="23" t="n">
        <v>0</v>
      </c>
      <c r="AE39" s="23" t="n">
        <v>0</v>
      </c>
      <c r="AF39" s="23" t="n">
        <v>0</v>
      </c>
      <c r="AG39" s="23" t="n">
        <v>0</v>
      </c>
      <c r="AH39" s="23" t="n">
        <v>0</v>
      </c>
      <c r="AI39" s="23" t="n">
        <v>0</v>
      </c>
      <c r="AJ39" s="23" t="n">
        <v>0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0</v>
      </c>
      <c r="AR39" s="23" t="n">
        <v>0</v>
      </c>
      <c r="AS39" s="23" t="n">
        <v>0</v>
      </c>
      <c r="AT39" s="23" t="n">
        <v>0</v>
      </c>
      <c r="AU39" s="23" t="n">
        <v>0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0</v>
      </c>
      <c r="BP39" s="23" t="n">
        <v>0</v>
      </c>
      <c r="BQ39" s="23" t="n">
        <v>0</v>
      </c>
      <c r="BR39" s="23" t="n">
        <v>0</v>
      </c>
      <c r="BS39" s="23" t="n">
        <v>0</v>
      </c>
      <c r="BT39" s="23" t="n">
        <v>0</v>
      </c>
      <c r="BU39" s="23" t="n">
        <v>0</v>
      </c>
      <c r="BV39" s="23" t="n">
        <v>0</v>
      </c>
      <c r="BW39" s="23" t="n">
        <v>0</v>
      </c>
      <c r="BX39" s="23" t="n">
        <v>0</v>
      </c>
      <c r="BY39" s="23" t="n">
        <v>0</v>
      </c>
      <c r="BZ39" s="23" t="n">
        <v>0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0</v>
      </c>
      <c r="CN39" s="23" t="n">
        <v>0</v>
      </c>
      <c r="CO39" s="23" t="n">
        <v>0</v>
      </c>
      <c r="CP39" s="23" t="n">
        <v>0</v>
      </c>
      <c r="CQ39" s="23" t="n">
        <v>0</v>
      </c>
      <c r="CR39" s="23" t="n">
        <v>0</v>
      </c>
      <c r="CS39" s="23" t="n">
        <v>0</v>
      </c>
      <c r="CT39" s="23" t="n">
        <v>0</v>
      </c>
      <c r="CU39" s="23" t="n">
        <v>0</v>
      </c>
      <c r="CV39" s="23" t="n">
        <v>0</v>
      </c>
      <c r="CW39" s="23" t="n">
        <v>0</v>
      </c>
      <c r="CX39" s="23" t="n">
        <v>0</v>
      </c>
      <c r="CY39" s="23" t="n">
        <v>0</v>
      </c>
      <c r="CZ39" s="23" t="n">
        <v>0</v>
      </c>
      <c r="DA39" s="23" t="n">
        <v>0</v>
      </c>
    </row>
    <row r="40">
      <c r="A40" t="inlineStr">
        <is>
          <t>TSP-903</t>
        </is>
      </c>
      <c r="B40" s="23" t="n">
        <v>0</v>
      </c>
      <c r="C40" s="23" t="n">
        <v>0</v>
      </c>
      <c r="D40" s="23" t="n">
        <v>0</v>
      </c>
      <c r="E40" s="23" t="n">
        <v>0</v>
      </c>
      <c r="F40" s="23" t="n">
        <v>0</v>
      </c>
      <c r="G40" s="23" t="n">
        <v>0</v>
      </c>
      <c r="H40" s="23" t="n">
        <v>0</v>
      </c>
      <c r="I40" s="23" t="n">
        <v>0</v>
      </c>
      <c r="J40" s="23" t="n">
        <v>0</v>
      </c>
      <c r="K40" s="23" t="n">
        <v>0</v>
      </c>
      <c r="L40" s="23" t="n">
        <v>0</v>
      </c>
      <c r="M40" s="23" t="n">
        <v>0</v>
      </c>
      <c r="N40" s="23" t="n">
        <v>0</v>
      </c>
      <c r="O40" s="23" t="n">
        <v>0</v>
      </c>
      <c r="P40" s="23" t="n">
        <v>0</v>
      </c>
      <c r="Q40" s="23" t="n">
        <v>0</v>
      </c>
      <c r="R40" s="23" t="n">
        <v>0</v>
      </c>
      <c r="S40" s="23" t="n">
        <v>0</v>
      </c>
      <c r="T40" s="23" t="n">
        <v>0</v>
      </c>
      <c r="U40" s="23" t="n">
        <v>0</v>
      </c>
      <c r="V40" s="23" t="n">
        <v>0</v>
      </c>
      <c r="W40" s="23" t="n">
        <v>0</v>
      </c>
      <c r="X40" s="23" t="n">
        <v>0</v>
      </c>
      <c r="Y40" s="23" t="n">
        <v>0</v>
      </c>
      <c r="Z40" s="23" t="n">
        <v>0</v>
      </c>
      <c r="AA40" s="23" t="n">
        <v>0</v>
      </c>
      <c r="AB40" s="23" t="n">
        <v>0</v>
      </c>
      <c r="AC40" s="23" t="n">
        <v>0</v>
      </c>
      <c r="AD40" s="23" t="n">
        <v>0</v>
      </c>
      <c r="AE40" s="23" t="n">
        <v>0</v>
      </c>
      <c r="AF40" s="23" t="n">
        <v>0</v>
      </c>
      <c r="AG40" s="23" t="n">
        <v>0</v>
      </c>
      <c r="AH40" s="23" t="n">
        <v>0</v>
      </c>
      <c r="AI40" s="23" t="n">
        <v>0</v>
      </c>
      <c r="AJ40" s="23" t="n">
        <v>0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0</v>
      </c>
      <c r="AS40" s="23" t="n">
        <v>0</v>
      </c>
      <c r="AT40" s="23" t="n">
        <v>0</v>
      </c>
      <c r="AU40" s="23" t="n">
        <v>0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0</v>
      </c>
      <c r="BP40" s="23" t="n">
        <v>0</v>
      </c>
      <c r="BQ40" s="23" t="n">
        <v>0</v>
      </c>
      <c r="BR40" s="23" t="n">
        <v>0</v>
      </c>
      <c r="BS40" s="23" t="n">
        <v>0</v>
      </c>
      <c r="BT40" s="23" t="n">
        <v>0</v>
      </c>
      <c r="BU40" s="23" t="n">
        <v>0</v>
      </c>
      <c r="BV40" s="23" t="n">
        <v>0</v>
      </c>
      <c r="BW40" s="23" t="n">
        <v>0</v>
      </c>
      <c r="BX40" s="23" t="n">
        <v>0</v>
      </c>
      <c r="BY40" s="23" t="n">
        <v>0</v>
      </c>
      <c r="BZ40" s="23" t="n">
        <v>0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0</v>
      </c>
      <c r="CN40" s="23" t="n">
        <v>0</v>
      </c>
      <c r="CO40" s="23" t="n">
        <v>0</v>
      </c>
      <c r="CP40" s="23" t="n">
        <v>0</v>
      </c>
      <c r="CQ40" s="23" t="n">
        <v>0</v>
      </c>
      <c r="CR40" s="23" t="n">
        <v>0</v>
      </c>
      <c r="CS40" s="23" t="n">
        <v>0</v>
      </c>
      <c r="CT40" s="23" t="n">
        <v>0</v>
      </c>
      <c r="CU40" s="23" t="n">
        <v>0</v>
      </c>
      <c r="CV40" s="23" t="n">
        <v>0</v>
      </c>
      <c r="CW40" s="23" t="n">
        <v>0</v>
      </c>
      <c r="CX40" s="23" t="n">
        <v>0</v>
      </c>
      <c r="CY40" s="23" t="n">
        <v>0</v>
      </c>
      <c r="CZ40" s="23" t="n">
        <v>0</v>
      </c>
      <c r="DA40" s="23" t="n">
        <v>0</v>
      </c>
    </row>
    <row r="41">
      <c r="A41" t="inlineStr">
        <is>
          <t>TSP-924</t>
        </is>
      </c>
      <c r="B41" s="23" t="n">
        <v>0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H41" s="23" t="n">
        <v>0</v>
      </c>
      <c r="I41" s="23" t="n">
        <v>0</v>
      </c>
      <c r="J41" s="23" t="n">
        <v>0</v>
      </c>
      <c r="K41" s="23" t="n">
        <v>0</v>
      </c>
      <c r="L41" s="23" t="n">
        <v>0</v>
      </c>
      <c r="M41" s="23" t="n">
        <v>0</v>
      </c>
      <c r="N41" s="23" t="n">
        <v>0</v>
      </c>
      <c r="O41" s="23" t="n">
        <v>0</v>
      </c>
      <c r="P41" s="23" t="n">
        <v>0</v>
      </c>
      <c r="Q41" s="23" t="n">
        <v>0</v>
      </c>
      <c r="R41" s="23" t="n">
        <v>0</v>
      </c>
      <c r="S41" s="23" t="n">
        <v>0</v>
      </c>
      <c r="T41" s="23" t="n">
        <v>0</v>
      </c>
      <c r="U41" s="23" t="n">
        <v>0</v>
      </c>
      <c r="V41" s="23" t="n">
        <v>0</v>
      </c>
      <c r="W41" s="23" t="n">
        <v>0</v>
      </c>
      <c r="X41" s="23" t="n">
        <v>0</v>
      </c>
      <c r="Y41" s="23" t="n">
        <v>0</v>
      </c>
      <c r="Z41" s="23" t="n">
        <v>0</v>
      </c>
      <c r="AA41" s="23" t="n">
        <v>0</v>
      </c>
      <c r="AB41" s="23" t="n">
        <v>0</v>
      </c>
      <c r="AC41" s="23" t="n">
        <v>0</v>
      </c>
      <c r="AD41" s="23" t="n">
        <v>0</v>
      </c>
      <c r="AE41" s="23" t="n">
        <v>0</v>
      </c>
      <c r="AF41" s="23" t="n">
        <v>0</v>
      </c>
      <c r="AG41" s="23" t="n">
        <v>0</v>
      </c>
      <c r="AH41" s="23" t="n">
        <v>0</v>
      </c>
      <c r="AI41" s="23" t="n">
        <v>0</v>
      </c>
      <c r="AJ41" s="23" t="n">
        <v>0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0</v>
      </c>
      <c r="AR41" s="23" t="n">
        <v>0</v>
      </c>
      <c r="AS41" s="23" t="n">
        <v>0</v>
      </c>
      <c r="AT41" s="23" t="n">
        <v>0</v>
      </c>
      <c r="AU41" s="23" t="n">
        <v>0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0</v>
      </c>
      <c r="BP41" s="23" t="n">
        <v>0</v>
      </c>
      <c r="BQ41" s="23" t="n">
        <v>0</v>
      </c>
      <c r="BR41" s="23" t="n">
        <v>0</v>
      </c>
      <c r="BS41" s="23" t="n">
        <v>0</v>
      </c>
      <c r="BT41" s="23" t="n">
        <v>0</v>
      </c>
      <c r="BU41" s="23" t="n">
        <v>0</v>
      </c>
      <c r="BV41" s="23" t="n">
        <v>0</v>
      </c>
      <c r="BW41" s="23" t="n">
        <v>0</v>
      </c>
      <c r="BX41" s="23" t="n">
        <v>0</v>
      </c>
      <c r="BY41" s="23" t="n">
        <v>0</v>
      </c>
      <c r="BZ41" s="23" t="n">
        <v>0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0</v>
      </c>
      <c r="CN41" s="23" t="n">
        <v>0</v>
      </c>
      <c r="CO41" s="23" t="n">
        <v>0</v>
      </c>
      <c r="CP41" s="23" t="n">
        <v>0</v>
      </c>
      <c r="CQ41" s="23" t="n">
        <v>0</v>
      </c>
      <c r="CR41" s="23" t="n">
        <v>0</v>
      </c>
      <c r="CS41" s="23" t="n">
        <v>0</v>
      </c>
      <c r="CT41" s="23" t="n">
        <v>0</v>
      </c>
      <c r="CU41" s="23" t="n">
        <v>0</v>
      </c>
      <c r="CV41" s="23" t="n">
        <v>0</v>
      </c>
      <c r="CW41" s="23" t="n">
        <v>0</v>
      </c>
      <c r="CX41" s="23" t="n">
        <v>0</v>
      </c>
      <c r="CY41" s="23" t="n">
        <v>0</v>
      </c>
      <c r="CZ41" s="23" t="n">
        <v>0</v>
      </c>
      <c r="DA41" s="23" t="n">
        <v>0</v>
      </c>
    </row>
    <row r="42">
      <c r="A42" t="inlineStr">
        <is>
          <t>TSP-925</t>
        </is>
      </c>
      <c r="B42" s="23" t="n">
        <v>0</v>
      </c>
      <c r="C42" s="23" t="n">
        <v>0</v>
      </c>
      <c r="D42" s="23" t="n">
        <v>0</v>
      </c>
      <c r="E42" s="23" t="n">
        <v>0</v>
      </c>
      <c r="F42" s="23" t="n">
        <v>0</v>
      </c>
      <c r="G42" s="23" t="n">
        <v>0</v>
      </c>
      <c r="H42" s="23" t="n">
        <v>0</v>
      </c>
      <c r="I42" s="23" t="n">
        <v>0</v>
      </c>
      <c r="J42" s="23" t="n">
        <v>0</v>
      </c>
      <c r="K42" s="23" t="n">
        <v>0</v>
      </c>
      <c r="L42" s="23" t="n">
        <v>0</v>
      </c>
      <c r="M42" s="23" t="n">
        <v>0</v>
      </c>
      <c r="N42" s="23" t="n">
        <v>0</v>
      </c>
      <c r="O42" s="23" t="n">
        <v>0</v>
      </c>
      <c r="P42" s="23" t="n">
        <v>0</v>
      </c>
      <c r="Q42" s="23" t="n">
        <v>0</v>
      </c>
      <c r="R42" s="23" t="n">
        <v>0</v>
      </c>
      <c r="S42" s="23" t="n">
        <v>0</v>
      </c>
      <c r="T42" s="23" t="n">
        <v>0</v>
      </c>
      <c r="U42" s="23" t="n">
        <v>0</v>
      </c>
      <c r="V42" s="23" t="n">
        <v>0</v>
      </c>
      <c r="W42" s="23" t="n">
        <v>0</v>
      </c>
      <c r="X42" s="23" t="n">
        <v>0</v>
      </c>
      <c r="Y42" s="23" t="n">
        <v>0</v>
      </c>
      <c r="Z42" s="23" t="n">
        <v>0</v>
      </c>
      <c r="AA42" s="23" t="n">
        <v>0</v>
      </c>
      <c r="AB42" s="23" t="n">
        <v>0</v>
      </c>
      <c r="AC42" s="23" t="n">
        <v>0</v>
      </c>
      <c r="AD42" s="23" t="n">
        <v>0</v>
      </c>
      <c r="AE42" s="23" t="n">
        <v>0</v>
      </c>
      <c r="AF42" s="23" t="n">
        <v>0</v>
      </c>
      <c r="AG42" s="23" t="n">
        <v>0</v>
      </c>
      <c r="AH42" s="23" t="n">
        <v>0</v>
      </c>
      <c r="AI42" s="23" t="n">
        <v>0</v>
      </c>
      <c r="AJ42" s="23" t="n">
        <v>0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0</v>
      </c>
      <c r="AS42" s="23" t="n">
        <v>0</v>
      </c>
      <c r="AT42" s="23" t="n">
        <v>0</v>
      </c>
      <c r="AU42" s="23" t="n">
        <v>0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0</v>
      </c>
      <c r="BP42" s="23" t="n">
        <v>0</v>
      </c>
      <c r="BQ42" s="23" t="n">
        <v>0</v>
      </c>
      <c r="BR42" s="23" t="n">
        <v>0</v>
      </c>
      <c r="BS42" s="23" t="n">
        <v>0</v>
      </c>
      <c r="BT42" s="23" t="n">
        <v>0</v>
      </c>
      <c r="BU42" s="23" t="n">
        <v>0</v>
      </c>
      <c r="BV42" s="23" t="n">
        <v>0</v>
      </c>
      <c r="BW42" s="23" t="n">
        <v>0</v>
      </c>
      <c r="BX42" s="23" t="n">
        <v>0</v>
      </c>
      <c r="BY42" s="23" t="n">
        <v>0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0</v>
      </c>
      <c r="CN42" s="23" t="n">
        <v>0</v>
      </c>
      <c r="CO42" s="23" t="n">
        <v>0</v>
      </c>
      <c r="CP42" s="23" t="n">
        <v>0</v>
      </c>
      <c r="CQ42" s="23" t="n">
        <v>0</v>
      </c>
      <c r="CR42" s="23" t="n">
        <v>0</v>
      </c>
      <c r="CS42" s="23" t="n">
        <v>0</v>
      </c>
      <c r="CT42" s="23" t="n">
        <v>0</v>
      </c>
      <c r="CU42" s="23" t="n">
        <v>0</v>
      </c>
      <c r="CV42" s="23" t="n">
        <v>0</v>
      </c>
      <c r="CW42" s="23" t="n">
        <v>0</v>
      </c>
      <c r="CX42" s="23" t="n">
        <v>0</v>
      </c>
      <c r="CY42" s="23" t="n">
        <v>0</v>
      </c>
      <c r="CZ42" s="23" t="n">
        <v>0</v>
      </c>
      <c r="DA42" s="23" t="n">
        <v>0</v>
      </c>
    </row>
    <row r="43">
      <c r="A43" t="inlineStr">
        <is>
          <t>TSP-927</t>
        </is>
      </c>
      <c r="B43" s="23" t="n">
        <v>0</v>
      </c>
      <c r="C43" s="23" t="n">
        <v>0</v>
      </c>
      <c r="D43" s="23" t="n">
        <v>0</v>
      </c>
      <c r="E43" s="23" t="n">
        <v>0</v>
      </c>
      <c r="F43" s="23" t="n">
        <v>0</v>
      </c>
      <c r="G43" s="23" t="n">
        <v>0</v>
      </c>
      <c r="H43" s="23" t="n">
        <v>0</v>
      </c>
      <c r="I43" s="23" t="n">
        <v>0</v>
      </c>
      <c r="J43" s="23" t="n">
        <v>0</v>
      </c>
      <c r="K43" s="23" t="n">
        <v>0</v>
      </c>
      <c r="L43" s="23" t="n">
        <v>0</v>
      </c>
      <c r="M43" s="23" t="n">
        <v>0</v>
      </c>
      <c r="N43" s="23" t="n">
        <v>0</v>
      </c>
      <c r="O43" s="23" t="n">
        <v>0</v>
      </c>
      <c r="P43" s="23" t="n">
        <v>0</v>
      </c>
      <c r="Q43" s="23" t="n">
        <v>0</v>
      </c>
      <c r="R43" s="23" t="n">
        <v>0</v>
      </c>
      <c r="S43" s="23" t="n">
        <v>0</v>
      </c>
      <c r="T43" s="23" t="n">
        <v>0</v>
      </c>
      <c r="U43" s="23" t="n">
        <v>0</v>
      </c>
      <c r="V43" s="23" t="n">
        <v>0</v>
      </c>
      <c r="W43" s="23" t="n">
        <v>0</v>
      </c>
      <c r="X43" s="23" t="n">
        <v>0</v>
      </c>
      <c r="Y43" s="23" t="n">
        <v>0</v>
      </c>
      <c r="Z43" s="23" t="n">
        <v>0</v>
      </c>
      <c r="AA43" s="23" t="n">
        <v>0</v>
      </c>
      <c r="AB43" s="23" t="n">
        <v>0</v>
      </c>
      <c r="AC43" s="23" t="n">
        <v>0</v>
      </c>
      <c r="AD43" s="23" t="n">
        <v>0</v>
      </c>
      <c r="AE43" s="23" t="n">
        <v>0</v>
      </c>
      <c r="AF43" s="23" t="n">
        <v>0</v>
      </c>
      <c r="AG43" s="23" t="n">
        <v>0</v>
      </c>
      <c r="AH43" s="23" t="n">
        <v>0</v>
      </c>
      <c r="AI43" s="23" t="n">
        <v>0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0</v>
      </c>
      <c r="CS43" s="23" t="n">
        <v>0</v>
      </c>
      <c r="CT43" s="23" t="n">
        <v>0</v>
      </c>
      <c r="CU43" s="23" t="n">
        <v>0</v>
      </c>
      <c r="CV43" s="23" t="n">
        <v>0</v>
      </c>
      <c r="CW43" s="23" t="n">
        <v>0</v>
      </c>
      <c r="CX43" s="23" t="n">
        <v>0</v>
      </c>
      <c r="CY43" s="23" t="n">
        <v>0</v>
      </c>
      <c r="CZ43" s="23" t="n">
        <v>0</v>
      </c>
      <c r="DA43" s="23" t="n">
        <v>0</v>
      </c>
    </row>
    <row r="44">
      <c r="A44" t="inlineStr">
        <is>
          <t>TSP-928</t>
        </is>
      </c>
      <c r="B44" s="23" t="n">
        <v>0</v>
      </c>
      <c r="C44" s="23" t="n">
        <v>0</v>
      </c>
      <c r="D44" s="23" t="n">
        <v>0</v>
      </c>
      <c r="E44" s="23" t="n">
        <v>0</v>
      </c>
      <c r="F44" s="23" t="n">
        <v>0</v>
      </c>
      <c r="G44" s="23" t="n">
        <v>0</v>
      </c>
      <c r="H44" s="23" t="n">
        <v>0</v>
      </c>
      <c r="I44" s="23" t="n">
        <v>0</v>
      </c>
      <c r="J44" s="23" t="n">
        <v>0</v>
      </c>
      <c r="K44" s="23" t="n">
        <v>0</v>
      </c>
      <c r="L44" s="23" t="n">
        <v>0</v>
      </c>
      <c r="M44" s="23" t="n">
        <v>0</v>
      </c>
      <c r="N44" s="23" t="n">
        <v>0</v>
      </c>
      <c r="O44" s="23" t="n">
        <v>0</v>
      </c>
      <c r="P44" s="23" t="n">
        <v>0</v>
      </c>
      <c r="Q44" s="23" t="n">
        <v>0</v>
      </c>
      <c r="R44" s="23" t="n">
        <v>0</v>
      </c>
      <c r="S44" s="23" t="n">
        <v>0</v>
      </c>
      <c r="T44" s="23" t="n">
        <v>0</v>
      </c>
      <c r="U44" s="23" t="n">
        <v>0</v>
      </c>
      <c r="V44" s="23" t="n">
        <v>0</v>
      </c>
      <c r="W44" s="23" t="n">
        <v>0</v>
      </c>
      <c r="X44" s="23" t="n">
        <v>0</v>
      </c>
      <c r="Y44" s="23" t="n">
        <v>0</v>
      </c>
      <c r="Z44" s="23" t="n">
        <v>0</v>
      </c>
      <c r="AA44" s="23" t="n">
        <v>0</v>
      </c>
      <c r="AB44" s="23" t="n">
        <v>0</v>
      </c>
      <c r="AC44" s="23" t="n">
        <v>0</v>
      </c>
      <c r="AD44" s="23" t="n">
        <v>0</v>
      </c>
      <c r="AE44" s="23" t="n">
        <v>0</v>
      </c>
      <c r="AF44" s="23" t="n">
        <v>0</v>
      </c>
      <c r="AG44" s="23" t="n">
        <v>0</v>
      </c>
      <c r="AH44" s="23" t="n">
        <v>0</v>
      </c>
      <c r="AI44" s="23" t="n">
        <v>0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0</v>
      </c>
      <c r="CT44" s="23" t="n">
        <v>0</v>
      </c>
      <c r="CU44" s="23" t="n">
        <v>0</v>
      </c>
      <c r="CV44" s="23" t="n">
        <v>0</v>
      </c>
      <c r="CW44" s="23" t="n">
        <v>0</v>
      </c>
      <c r="CX44" s="23" t="n">
        <v>0</v>
      </c>
      <c r="CY44" s="23" t="n">
        <v>0</v>
      </c>
      <c r="CZ44" s="23" t="n">
        <v>0</v>
      </c>
      <c r="DA44" s="23" t="n">
        <v>0</v>
      </c>
    </row>
    <row r="45">
      <c r="A45" t="inlineStr">
        <is>
          <t>TSP-929</t>
        </is>
      </c>
      <c r="B45" s="23" t="n">
        <v>0</v>
      </c>
      <c r="C45" s="23" t="n">
        <v>0</v>
      </c>
      <c r="D45" s="23" t="n">
        <v>0</v>
      </c>
      <c r="E45" s="23" t="n">
        <v>0</v>
      </c>
      <c r="F45" s="23" t="n">
        <v>0</v>
      </c>
      <c r="G45" s="23" t="n">
        <v>0</v>
      </c>
      <c r="H45" s="23" t="n">
        <v>0</v>
      </c>
      <c r="I45" s="23" t="n">
        <v>0</v>
      </c>
      <c r="J45" s="23" t="n">
        <v>0</v>
      </c>
      <c r="K45" s="23" t="n">
        <v>0</v>
      </c>
      <c r="L45" s="23" t="n">
        <v>0</v>
      </c>
      <c r="M45" s="23" t="n">
        <v>0</v>
      </c>
      <c r="N45" s="23" t="n">
        <v>0</v>
      </c>
      <c r="O45" s="23" t="n">
        <v>0</v>
      </c>
      <c r="P45" s="23" t="n">
        <v>0</v>
      </c>
      <c r="Q45" s="23" t="n">
        <v>0</v>
      </c>
      <c r="R45" s="23" t="n">
        <v>0</v>
      </c>
      <c r="S45" s="23" t="n">
        <v>0</v>
      </c>
      <c r="T45" s="23" t="n">
        <v>0</v>
      </c>
      <c r="U45" s="23" t="n">
        <v>0</v>
      </c>
      <c r="V45" s="23" t="n">
        <v>0</v>
      </c>
      <c r="W45" s="23" t="n">
        <v>0</v>
      </c>
      <c r="X45" s="23" t="n">
        <v>0</v>
      </c>
      <c r="Y45" s="23" t="n">
        <v>0</v>
      </c>
      <c r="Z45" s="23" t="n">
        <v>0</v>
      </c>
      <c r="AA45" s="23" t="n">
        <v>0</v>
      </c>
      <c r="AB45" s="23" t="n">
        <v>0</v>
      </c>
      <c r="AC45" s="23" t="n">
        <v>0</v>
      </c>
      <c r="AD45" s="23" t="n">
        <v>0</v>
      </c>
      <c r="AE45" s="23" t="n">
        <v>0</v>
      </c>
      <c r="AF45" s="23" t="n">
        <v>0</v>
      </c>
      <c r="AG45" s="23" t="n">
        <v>0</v>
      </c>
      <c r="AH45" s="23" t="n">
        <v>0</v>
      </c>
      <c r="AI45" s="23" t="n">
        <v>0</v>
      </c>
      <c r="AJ45" s="23" t="n">
        <v>0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0</v>
      </c>
      <c r="AS45" s="23" t="n">
        <v>0</v>
      </c>
      <c r="AT45" s="23" t="n">
        <v>0</v>
      </c>
      <c r="AU45" s="23" t="n">
        <v>0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0</v>
      </c>
      <c r="BP45" s="23" t="n">
        <v>0</v>
      </c>
      <c r="BQ45" s="23" t="n">
        <v>0</v>
      </c>
      <c r="BR45" s="23" t="n">
        <v>0</v>
      </c>
      <c r="BS45" s="23" t="n">
        <v>0</v>
      </c>
      <c r="BT45" s="23" t="n">
        <v>0</v>
      </c>
      <c r="BU45" s="23" t="n">
        <v>0</v>
      </c>
      <c r="BV45" s="23" t="n">
        <v>0</v>
      </c>
      <c r="BW45" s="23" t="n">
        <v>0</v>
      </c>
      <c r="BX45" s="23" t="n">
        <v>0</v>
      </c>
      <c r="BY45" s="23" t="n">
        <v>0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0</v>
      </c>
      <c r="CN45" s="23" t="n">
        <v>0</v>
      </c>
      <c r="CO45" s="23" t="n">
        <v>0</v>
      </c>
      <c r="CP45" s="23" t="n">
        <v>0</v>
      </c>
      <c r="CQ45" s="23" t="n">
        <v>0</v>
      </c>
      <c r="CR45" s="23" t="n">
        <v>0</v>
      </c>
      <c r="CS45" s="23" t="n">
        <v>0</v>
      </c>
      <c r="CT45" s="23" t="n">
        <v>0</v>
      </c>
      <c r="CU45" s="23" t="n">
        <v>0</v>
      </c>
      <c r="CV45" s="23" t="n">
        <v>0</v>
      </c>
      <c r="CW45" s="23" t="n">
        <v>0</v>
      </c>
      <c r="CX45" s="23" t="n">
        <v>0</v>
      </c>
      <c r="CY45" s="23" t="n">
        <v>0</v>
      </c>
      <c r="CZ45" s="23" t="n">
        <v>0</v>
      </c>
      <c r="DA45" s="23" t="n">
        <v>0</v>
      </c>
    </row>
    <row r="46">
      <c r="A46" t="inlineStr">
        <is>
          <t>TSP-930</t>
        </is>
      </c>
      <c r="B46" s="23" t="n">
        <v>0</v>
      </c>
      <c r="C46" s="23" t="n">
        <v>0</v>
      </c>
      <c r="D46" s="23" t="n">
        <v>0</v>
      </c>
      <c r="E46" s="23" t="n">
        <v>0</v>
      </c>
      <c r="F46" s="23" t="n">
        <v>0</v>
      </c>
      <c r="G46" s="23" t="n">
        <v>0</v>
      </c>
      <c r="H46" s="23" t="n">
        <v>0</v>
      </c>
      <c r="I46" s="23" t="n">
        <v>0</v>
      </c>
      <c r="J46" s="23" t="n">
        <v>0</v>
      </c>
      <c r="K46" s="23" t="n">
        <v>0</v>
      </c>
      <c r="L46" s="23" t="n">
        <v>0</v>
      </c>
      <c r="M46" s="23" t="n">
        <v>0</v>
      </c>
      <c r="N46" s="23" t="n">
        <v>0</v>
      </c>
      <c r="O46" s="23" t="n">
        <v>0</v>
      </c>
      <c r="P46" s="23" t="n">
        <v>0</v>
      </c>
      <c r="Q46" s="23" t="n">
        <v>0</v>
      </c>
      <c r="R46" s="23" t="n">
        <v>0</v>
      </c>
      <c r="S46" s="23" t="n">
        <v>0</v>
      </c>
      <c r="T46" s="23" t="n">
        <v>0</v>
      </c>
      <c r="U46" s="23" t="n">
        <v>0</v>
      </c>
      <c r="V46" s="23" t="n">
        <v>0</v>
      </c>
      <c r="W46" s="23" t="n">
        <v>0</v>
      </c>
      <c r="X46" s="23" t="n">
        <v>0</v>
      </c>
      <c r="Y46" s="23" t="n">
        <v>0</v>
      </c>
      <c r="Z46" s="23" t="n">
        <v>0</v>
      </c>
      <c r="AA46" s="23" t="n">
        <v>0</v>
      </c>
      <c r="AB46" s="23" t="n">
        <v>0</v>
      </c>
      <c r="AC46" s="23" t="n">
        <v>0</v>
      </c>
      <c r="AD46" s="23" t="n">
        <v>0</v>
      </c>
      <c r="AE46" s="23" t="n">
        <v>0</v>
      </c>
      <c r="AF46" s="23" t="n">
        <v>0</v>
      </c>
      <c r="AG46" s="23" t="n">
        <v>0</v>
      </c>
      <c r="AH46" s="23" t="n">
        <v>0</v>
      </c>
      <c r="AI46" s="23" t="n">
        <v>0</v>
      </c>
      <c r="AJ46" s="23" t="n">
        <v>0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0</v>
      </c>
      <c r="AU46" s="23" t="n">
        <v>0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0</v>
      </c>
      <c r="BP46" s="23" t="n">
        <v>0</v>
      </c>
      <c r="BQ46" s="23" t="n">
        <v>0</v>
      </c>
      <c r="BR46" s="23" t="n">
        <v>0</v>
      </c>
      <c r="BS46" s="23" t="n">
        <v>0</v>
      </c>
      <c r="BT46" s="23" t="n">
        <v>0</v>
      </c>
      <c r="BU46" s="23" t="n">
        <v>0</v>
      </c>
      <c r="BV46" s="23" t="n">
        <v>0</v>
      </c>
      <c r="BW46" s="23" t="n">
        <v>0</v>
      </c>
      <c r="BX46" s="23" t="n">
        <v>0</v>
      </c>
      <c r="BY46" s="23" t="n">
        <v>0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0</v>
      </c>
      <c r="CN46" s="23" t="n">
        <v>0</v>
      </c>
      <c r="CO46" s="23" t="n">
        <v>0</v>
      </c>
      <c r="CP46" s="23" t="n">
        <v>0</v>
      </c>
      <c r="CQ46" s="23" t="n">
        <v>0</v>
      </c>
      <c r="CR46" s="23" t="n">
        <v>0</v>
      </c>
      <c r="CS46" s="23" t="n">
        <v>0</v>
      </c>
      <c r="CT46" s="23" t="n">
        <v>0</v>
      </c>
      <c r="CU46" s="23" t="n">
        <v>0</v>
      </c>
      <c r="CV46" s="23" t="n">
        <v>0</v>
      </c>
      <c r="CW46" s="23" t="n">
        <v>0</v>
      </c>
      <c r="CX46" s="23" t="n">
        <v>0</v>
      </c>
      <c r="CY46" s="23" t="n">
        <v>0</v>
      </c>
      <c r="CZ46" s="23" t="n">
        <v>0</v>
      </c>
      <c r="DA46" s="23" t="n">
        <v>0</v>
      </c>
    </row>
    <row r="47">
      <c r="A47" t="inlineStr">
        <is>
          <t>TSP-934</t>
        </is>
      </c>
      <c r="B47" s="23" t="n">
        <v>0</v>
      </c>
      <c r="C47" s="23" t="n">
        <v>0</v>
      </c>
      <c r="D47" s="23" t="n">
        <v>0</v>
      </c>
      <c r="E47" s="23" t="n">
        <v>0</v>
      </c>
      <c r="F47" s="23" t="n">
        <v>0</v>
      </c>
      <c r="G47" s="23" t="n">
        <v>0</v>
      </c>
      <c r="H47" s="23" t="n">
        <v>0</v>
      </c>
      <c r="I47" s="23" t="n">
        <v>0</v>
      </c>
      <c r="J47" s="23" t="n">
        <v>0</v>
      </c>
      <c r="K47" s="23" t="n">
        <v>0</v>
      </c>
      <c r="L47" s="23" t="n">
        <v>0</v>
      </c>
      <c r="M47" s="23" t="n">
        <v>0</v>
      </c>
      <c r="N47" s="23" t="n">
        <v>0</v>
      </c>
      <c r="O47" s="23" t="n">
        <v>0</v>
      </c>
      <c r="P47" s="23" t="n">
        <v>0</v>
      </c>
      <c r="Q47" s="23" t="n">
        <v>0</v>
      </c>
      <c r="R47" s="23" t="n">
        <v>0</v>
      </c>
      <c r="S47" s="23" t="n">
        <v>0</v>
      </c>
      <c r="T47" s="23" t="n">
        <v>0</v>
      </c>
      <c r="U47" s="23" t="n">
        <v>0</v>
      </c>
      <c r="V47" s="23" t="n">
        <v>0</v>
      </c>
      <c r="W47" s="23" t="n">
        <v>0</v>
      </c>
      <c r="X47" s="23" t="n">
        <v>0</v>
      </c>
      <c r="Y47" s="23" t="n">
        <v>0</v>
      </c>
      <c r="Z47" s="23" t="n">
        <v>0</v>
      </c>
      <c r="AA47" s="23" t="n">
        <v>0</v>
      </c>
      <c r="AB47" s="23" t="n">
        <v>0</v>
      </c>
      <c r="AC47" s="23" t="n">
        <v>0</v>
      </c>
      <c r="AD47" s="23" t="n">
        <v>0</v>
      </c>
      <c r="AE47" s="23" t="n">
        <v>0</v>
      </c>
      <c r="AF47" s="23" t="n">
        <v>0</v>
      </c>
      <c r="AG47" s="23" t="n">
        <v>0</v>
      </c>
      <c r="AH47" s="23" t="n">
        <v>0</v>
      </c>
      <c r="AI47" s="23" t="n">
        <v>0</v>
      </c>
      <c r="AJ47" s="23" t="n">
        <v>0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0</v>
      </c>
      <c r="AU47" s="23" t="n">
        <v>0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0</v>
      </c>
      <c r="BP47" s="23" t="n">
        <v>0</v>
      </c>
      <c r="BQ47" s="23" t="n">
        <v>0</v>
      </c>
      <c r="BR47" s="23" t="n">
        <v>0</v>
      </c>
      <c r="BS47" s="23" t="n">
        <v>0</v>
      </c>
      <c r="BT47" s="23" t="n">
        <v>0</v>
      </c>
      <c r="BU47" s="23" t="n">
        <v>0</v>
      </c>
      <c r="BV47" s="23" t="n">
        <v>0</v>
      </c>
      <c r="BW47" s="23" t="n">
        <v>0</v>
      </c>
      <c r="BX47" s="23" t="n">
        <v>0</v>
      </c>
      <c r="BY47" s="23" t="n">
        <v>0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0</v>
      </c>
      <c r="CN47" s="23" t="n">
        <v>0</v>
      </c>
      <c r="CO47" s="23" t="n">
        <v>0</v>
      </c>
      <c r="CP47" s="23" t="n">
        <v>0</v>
      </c>
      <c r="CQ47" s="23" t="n">
        <v>0</v>
      </c>
      <c r="CR47" s="23" t="n">
        <v>0</v>
      </c>
      <c r="CS47" s="23" t="n">
        <v>0</v>
      </c>
      <c r="CT47" s="23" t="n">
        <v>0</v>
      </c>
      <c r="CU47" s="23" t="n">
        <v>0</v>
      </c>
      <c r="CV47" s="23" t="n">
        <v>0</v>
      </c>
      <c r="CW47" s="23" t="n">
        <v>0</v>
      </c>
      <c r="CX47" s="23" t="n">
        <v>0</v>
      </c>
      <c r="CY47" s="23" t="n">
        <v>0</v>
      </c>
      <c r="CZ47" s="23" t="n">
        <v>0</v>
      </c>
      <c r="DA47" s="23" t="n">
        <v>0</v>
      </c>
    </row>
    <row r="48">
      <c r="A48" t="inlineStr">
        <is>
          <t>TSP-935</t>
        </is>
      </c>
      <c r="B48" s="23" t="n">
        <v>0</v>
      </c>
      <c r="C48" s="23" t="n">
        <v>0</v>
      </c>
      <c r="D48" s="23" t="n">
        <v>0</v>
      </c>
      <c r="E48" s="23" t="n">
        <v>0</v>
      </c>
      <c r="F48" s="23" t="n">
        <v>0</v>
      </c>
      <c r="G48" s="23" t="n">
        <v>0</v>
      </c>
      <c r="H48" s="23" t="n">
        <v>0</v>
      </c>
      <c r="I48" s="23" t="n">
        <v>0</v>
      </c>
      <c r="J48" s="23" t="n">
        <v>0</v>
      </c>
      <c r="K48" s="23" t="n">
        <v>0</v>
      </c>
      <c r="L48" s="23" t="n">
        <v>0</v>
      </c>
      <c r="M48" s="23" t="n">
        <v>0</v>
      </c>
      <c r="N48" s="23" t="n">
        <v>0</v>
      </c>
      <c r="O48" s="23" t="n">
        <v>0</v>
      </c>
      <c r="P48" s="23" t="n">
        <v>0</v>
      </c>
      <c r="Q48" s="23" t="n">
        <v>0</v>
      </c>
      <c r="R48" s="23" t="n">
        <v>0</v>
      </c>
      <c r="S48" s="23" t="n">
        <v>0</v>
      </c>
      <c r="T48" s="23" t="n">
        <v>0</v>
      </c>
      <c r="U48" s="23" t="n">
        <v>0</v>
      </c>
      <c r="V48" s="23" t="n">
        <v>0</v>
      </c>
      <c r="W48" s="23" t="n">
        <v>0</v>
      </c>
      <c r="X48" s="23" t="n">
        <v>0</v>
      </c>
      <c r="Y48" s="23" t="n">
        <v>0</v>
      </c>
      <c r="Z48" s="23" t="n">
        <v>0</v>
      </c>
      <c r="AA48" s="23" t="n">
        <v>0</v>
      </c>
      <c r="AB48" s="23" t="n">
        <v>0</v>
      </c>
      <c r="AC48" s="23" t="n">
        <v>0</v>
      </c>
      <c r="AD48" s="23" t="n">
        <v>0</v>
      </c>
      <c r="AE48" s="23" t="n">
        <v>0</v>
      </c>
      <c r="AF48" s="23" t="n">
        <v>0</v>
      </c>
      <c r="AG48" s="23" t="n">
        <v>0</v>
      </c>
      <c r="AH48" s="23" t="n">
        <v>0</v>
      </c>
      <c r="AI48" s="23" t="n">
        <v>0</v>
      </c>
      <c r="AJ48" s="23" t="n">
        <v>0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0</v>
      </c>
      <c r="AR48" s="23" t="n">
        <v>0</v>
      </c>
      <c r="AS48" s="23" t="n">
        <v>0</v>
      </c>
      <c r="AT48" s="23" t="n">
        <v>0</v>
      </c>
      <c r="AU48" s="23" t="n">
        <v>0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0</v>
      </c>
      <c r="BQ48" s="23" t="n">
        <v>0</v>
      </c>
      <c r="BR48" s="23" t="n">
        <v>0</v>
      </c>
      <c r="BS48" s="23" t="n">
        <v>0</v>
      </c>
      <c r="BT48" s="23" t="n">
        <v>0</v>
      </c>
      <c r="BU48" s="23" t="n">
        <v>0</v>
      </c>
      <c r="BV48" s="23" t="n">
        <v>0</v>
      </c>
      <c r="BW48" s="23" t="n">
        <v>0</v>
      </c>
      <c r="BX48" s="23" t="n">
        <v>0</v>
      </c>
      <c r="BY48" s="23" t="n">
        <v>0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0</v>
      </c>
      <c r="CN48" s="23" t="n">
        <v>0</v>
      </c>
      <c r="CO48" s="23" t="n">
        <v>0</v>
      </c>
      <c r="CP48" s="23" t="n">
        <v>0</v>
      </c>
      <c r="CQ48" s="23" t="n">
        <v>0</v>
      </c>
      <c r="CR48" s="23" t="n">
        <v>0</v>
      </c>
      <c r="CS48" s="23" t="n">
        <v>0</v>
      </c>
      <c r="CT48" s="23" t="n">
        <v>0</v>
      </c>
      <c r="CU48" s="23" t="n">
        <v>0</v>
      </c>
      <c r="CV48" s="23" t="n">
        <v>0</v>
      </c>
      <c r="CW48" s="23" t="n">
        <v>0</v>
      </c>
      <c r="CX48" s="23" t="n">
        <v>0</v>
      </c>
      <c r="CY48" s="23" t="n">
        <v>0</v>
      </c>
      <c r="CZ48" s="23" t="n">
        <v>0</v>
      </c>
      <c r="DA48" s="23" t="n">
        <v>0</v>
      </c>
    </row>
    <row r="49">
      <c r="A49" t="inlineStr">
        <is>
          <t>TSP-936</t>
        </is>
      </c>
      <c r="B49" s="23" t="n">
        <v>0</v>
      </c>
      <c r="C49" s="23" t="n">
        <v>0</v>
      </c>
      <c r="D49" s="23" t="n">
        <v>0</v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0</v>
      </c>
      <c r="J49" s="23" t="n">
        <v>0</v>
      </c>
      <c r="K49" s="23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3" t="n">
        <v>0</v>
      </c>
      <c r="R49" s="23" t="n">
        <v>0</v>
      </c>
      <c r="S49" s="23" t="n">
        <v>0</v>
      </c>
      <c r="T49" s="23" t="n">
        <v>0</v>
      </c>
      <c r="U49" s="23" t="n">
        <v>0</v>
      </c>
      <c r="V49" s="23" t="n">
        <v>0</v>
      </c>
      <c r="W49" s="23" t="n">
        <v>0</v>
      </c>
      <c r="X49" s="23" t="n">
        <v>0</v>
      </c>
      <c r="Y49" s="23" t="n">
        <v>0</v>
      </c>
      <c r="Z49" s="23" t="n">
        <v>0</v>
      </c>
      <c r="AA49" s="23" t="n">
        <v>0</v>
      </c>
      <c r="AB49" s="23" t="n">
        <v>0</v>
      </c>
      <c r="AC49" s="23" t="n">
        <v>0</v>
      </c>
      <c r="AD49" s="23" t="n">
        <v>0</v>
      </c>
      <c r="AE49" s="23" t="n">
        <v>0</v>
      </c>
      <c r="AF49" s="23" t="n">
        <v>0</v>
      </c>
      <c r="AG49" s="23" t="n">
        <v>0</v>
      </c>
      <c r="AH49" s="23" t="n">
        <v>0</v>
      </c>
      <c r="AI49" s="23" t="n">
        <v>0</v>
      </c>
      <c r="AJ49" s="23" t="n">
        <v>0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0</v>
      </c>
      <c r="AS49" s="23" t="n">
        <v>0</v>
      </c>
      <c r="AT49" s="23" t="n">
        <v>0</v>
      </c>
      <c r="AU49" s="23" t="n">
        <v>0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0</v>
      </c>
      <c r="BP49" s="23" t="n">
        <v>0</v>
      </c>
      <c r="BQ49" s="23" t="n">
        <v>0</v>
      </c>
      <c r="BR49" s="23" t="n">
        <v>0</v>
      </c>
      <c r="BS49" s="23" t="n">
        <v>0</v>
      </c>
      <c r="BT49" s="23" t="n">
        <v>0</v>
      </c>
      <c r="BU49" s="23" t="n">
        <v>0</v>
      </c>
      <c r="BV49" s="23" t="n">
        <v>0</v>
      </c>
      <c r="BW49" s="23" t="n">
        <v>0</v>
      </c>
      <c r="BX49" s="23" t="n">
        <v>0</v>
      </c>
      <c r="BY49" s="23" t="n">
        <v>0</v>
      </c>
      <c r="BZ49" s="23" t="n">
        <v>0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0</v>
      </c>
      <c r="CN49" s="23" t="n">
        <v>0</v>
      </c>
      <c r="CO49" s="23" t="n">
        <v>0</v>
      </c>
      <c r="CP49" s="23" t="n">
        <v>0</v>
      </c>
      <c r="CQ49" s="23" t="n">
        <v>0</v>
      </c>
      <c r="CR49" s="23" t="n">
        <v>0</v>
      </c>
      <c r="CS49" s="23" t="n">
        <v>0</v>
      </c>
      <c r="CT49" s="23" t="n">
        <v>0</v>
      </c>
      <c r="CU49" s="23" t="n">
        <v>0</v>
      </c>
      <c r="CV49" s="23" t="n">
        <v>0</v>
      </c>
      <c r="CW49" s="23" t="n">
        <v>0</v>
      </c>
      <c r="CX49" s="23" t="n">
        <v>0</v>
      </c>
      <c r="CY49" s="23" t="n">
        <v>0</v>
      </c>
      <c r="CZ49" s="23" t="n">
        <v>0</v>
      </c>
      <c r="DA49" s="23" t="n">
        <v>0</v>
      </c>
    </row>
    <row r="50">
      <c r="A50" t="inlineStr">
        <is>
          <t>TSP-937</t>
        </is>
      </c>
      <c r="B50" s="23" t="n">
        <v>0</v>
      </c>
      <c r="C50" s="23" t="n">
        <v>0</v>
      </c>
      <c r="D50" s="23" t="n">
        <v>0</v>
      </c>
      <c r="E50" s="23" t="n">
        <v>0</v>
      </c>
      <c r="F50" s="23" t="n">
        <v>0</v>
      </c>
      <c r="G50" s="23" t="n">
        <v>0</v>
      </c>
      <c r="H50" s="23" t="n">
        <v>0</v>
      </c>
      <c r="I50" s="23" t="n">
        <v>0</v>
      </c>
      <c r="J50" s="23" t="n">
        <v>0</v>
      </c>
      <c r="K50" s="23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3" t="n">
        <v>0</v>
      </c>
      <c r="R50" s="23" t="n">
        <v>0</v>
      </c>
      <c r="S50" s="23" t="n">
        <v>0</v>
      </c>
      <c r="T50" s="23" t="n">
        <v>0</v>
      </c>
      <c r="U50" s="23" t="n">
        <v>0</v>
      </c>
      <c r="V50" s="23" t="n">
        <v>0</v>
      </c>
      <c r="W50" s="23" t="n">
        <v>0</v>
      </c>
      <c r="X50" s="23" t="n">
        <v>0</v>
      </c>
      <c r="Y50" s="23" t="n">
        <v>0</v>
      </c>
      <c r="Z50" s="23" t="n">
        <v>0</v>
      </c>
      <c r="AA50" s="23" t="n">
        <v>0</v>
      </c>
      <c r="AB50" s="23" t="n">
        <v>0</v>
      </c>
      <c r="AC50" s="23" t="n">
        <v>0</v>
      </c>
      <c r="AD50" s="23" t="n">
        <v>0</v>
      </c>
      <c r="AE50" s="23" t="n">
        <v>0</v>
      </c>
      <c r="AF50" s="23" t="n">
        <v>0</v>
      </c>
      <c r="AG50" s="23" t="n">
        <v>0</v>
      </c>
      <c r="AH50" s="23" t="n">
        <v>0</v>
      </c>
      <c r="AI50" s="23" t="n">
        <v>0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0</v>
      </c>
      <c r="CT50" s="23" t="n">
        <v>0</v>
      </c>
      <c r="CU50" s="23" t="n">
        <v>0</v>
      </c>
      <c r="CV50" s="23" t="n">
        <v>0</v>
      </c>
      <c r="CW50" s="23" t="n">
        <v>0</v>
      </c>
      <c r="CX50" s="23" t="n">
        <v>0</v>
      </c>
      <c r="CY50" s="23" t="n">
        <v>0</v>
      </c>
      <c r="CZ50" s="23" t="n">
        <v>0</v>
      </c>
      <c r="DA50" s="23" t="n">
        <v>0</v>
      </c>
    </row>
    <row r="51">
      <c r="A51" t="inlineStr">
        <is>
          <t>TSP-959</t>
        </is>
      </c>
      <c r="B51" s="23" t="n">
        <v>0</v>
      </c>
      <c r="C51" s="23" t="n">
        <v>0</v>
      </c>
      <c r="D51" s="23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0</v>
      </c>
      <c r="J51" s="23" t="n">
        <v>0</v>
      </c>
      <c r="K51" s="23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3" t="n">
        <v>0</v>
      </c>
      <c r="R51" s="23" t="n">
        <v>0</v>
      </c>
      <c r="S51" s="23" t="n">
        <v>0</v>
      </c>
      <c r="T51" s="23" t="n">
        <v>0</v>
      </c>
      <c r="U51" s="23" t="n">
        <v>0</v>
      </c>
      <c r="V51" s="23" t="n">
        <v>0</v>
      </c>
      <c r="W51" s="23" t="n">
        <v>0</v>
      </c>
      <c r="X51" s="23" t="n">
        <v>0</v>
      </c>
      <c r="Y51" s="23" t="n">
        <v>0</v>
      </c>
      <c r="Z51" s="23" t="n">
        <v>0</v>
      </c>
      <c r="AA51" s="23" t="n">
        <v>0</v>
      </c>
      <c r="AB51" s="23" t="n">
        <v>0</v>
      </c>
      <c r="AC51" s="23" t="n">
        <v>0</v>
      </c>
      <c r="AD51" s="23" t="n">
        <v>0</v>
      </c>
      <c r="AE51" s="23" t="n">
        <v>0</v>
      </c>
      <c r="AF51" s="23" t="n">
        <v>0</v>
      </c>
      <c r="AG51" s="23" t="n">
        <v>0</v>
      </c>
      <c r="AH51" s="23" t="n">
        <v>0</v>
      </c>
      <c r="AI51" s="23" t="n">
        <v>0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0</v>
      </c>
      <c r="CU51" s="23" t="n">
        <v>0</v>
      </c>
      <c r="CV51" s="23" t="n">
        <v>0</v>
      </c>
      <c r="CW51" s="23" t="n">
        <v>0</v>
      </c>
      <c r="CX51" s="23" t="n">
        <v>0</v>
      </c>
      <c r="CY51" s="23" t="n">
        <v>0</v>
      </c>
      <c r="CZ51" s="23" t="n">
        <v>0</v>
      </c>
      <c r="DA51" s="23" t="n">
        <v>0</v>
      </c>
    </row>
    <row r="52">
      <c r="A52" t="inlineStr">
        <is>
          <t>TSP-966</t>
        </is>
      </c>
      <c r="B52" s="23" t="n">
        <v>0</v>
      </c>
      <c r="C52" s="23" t="n">
        <v>0</v>
      </c>
      <c r="D52" s="2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0</v>
      </c>
      <c r="J52" s="23" t="n">
        <v>0</v>
      </c>
      <c r="K52" s="23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3" t="n">
        <v>0</v>
      </c>
      <c r="R52" s="23" t="n">
        <v>0</v>
      </c>
      <c r="S52" s="23" t="n">
        <v>0</v>
      </c>
      <c r="T52" s="23" t="n">
        <v>0</v>
      </c>
      <c r="U52" s="23" t="n">
        <v>0</v>
      </c>
      <c r="V52" s="23" t="n">
        <v>0</v>
      </c>
      <c r="W52" s="23" t="n">
        <v>0</v>
      </c>
      <c r="X52" s="23" t="n">
        <v>0</v>
      </c>
      <c r="Y52" s="23" t="n">
        <v>0</v>
      </c>
      <c r="Z52" s="23" t="n">
        <v>0</v>
      </c>
      <c r="AA52" s="23" t="n">
        <v>0</v>
      </c>
      <c r="AB52" s="23" t="n">
        <v>0</v>
      </c>
      <c r="AC52" s="23" t="n">
        <v>0</v>
      </c>
      <c r="AD52" s="23" t="n">
        <v>0</v>
      </c>
      <c r="AE52" s="23" t="n">
        <v>0</v>
      </c>
      <c r="AF52" s="23" t="n">
        <v>0</v>
      </c>
      <c r="AG52" s="23" t="n">
        <v>0</v>
      </c>
      <c r="AH52" s="23" t="n">
        <v>0</v>
      </c>
      <c r="AI52" s="23" t="n">
        <v>0</v>
      </c>
      <c r="AJ52" s="23" t="n">
        <v>0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0</v>
      </c>
      <c r="AS52" s="23" t="n">
        <v>0</v>
      </c>
      <c r="AT52" s="23" t="n">
        <v>0</v>
      </c>
      <c r="AU52" s="23" t="n">
        <v>0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0</v>
      </c>
      <c r="BP52" s="23" t="n">
        <v>0</v>
      </c>
      <c r="BQ52" s="23" t="n">
        <v>0</v>
      </c>
      <c r="BR52" s="23" t="n">
        <v>0</v>
      </c>
      <c r="BS52" s="23" t="n">
        <v>0</v>
      </c>
      <c r="BT52" s="23" t="n">
        <v>0</v>
      </c>
      <c r="BU52" s="23" t="n">
        <v>0</v>
      </c>
      <c r="BV52" s="23" t="n">
        <v>0</v>
      </c>
      <c r="BW52" s="23" t="n">
        <v>0</v>
      </c>
      <c r="BX52" s="23" t="n">
        <v>0</v>
      </c>
      <c r="BY52" s="23" t="n">
        <v>0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0</v>
      </c>
      <c r="CN52" s="23" t="n">
        <v>0</v>
      </c>
      <c r="CO52" s="23" t="n">
        <v>0</v>
      </c>
      <c r="CP52" s="23" t="n">
        <v>0</v>
      </c>
      <c r="CQ52" s="23" t="n">
        <v>0</v>
      </c>
      <c r="CR52" s="23" t="n">
        <v>0</v>
      </c>
      <c r="CS52" s="23" t="n">
        <v>0</v>
      </c>
      <c r="CT52" s="23" t="n">
        <v>0</v>
      </c>
      <c r="CU52" s="23" t="n">
        <v>0</v>
      </c>
      <c r="CV52" s="23" t="n">
        <v>0</v>
      </c>
      <c r="CW52" s="23" t="n">
        <v>0</v>
      </c>
      <c r="CX52" s="23" t="n">
        <v>0</v>
      </c>
      <c r="CY52" s="23" t="n">
        <v>0</v>
      </c>
      <c r="CZ52" s="23" t="n">
        <v>0</v>
      </c>
      <c r="DA52" s="23" t="n">
        <v>0</v>
      </c>
    </row>
    <row r="53">
      <c r="A53" t="inlineStr">
        <is>
          <t>TSZ-616</t>
        </is>
      </c>
      <c r="B53">
        <f>SUMPRODUCT((M_BOM[Part Name]=$A53)*M_BOM[RM_Qty_Per_Batch]*IFERROR(INDEX(PP_Grid[#Data],IF(M_BOM[PPGridRow]=53,NA(),M_BOM[PPGridRow]),2),0))/40.0</f>
        <v/>
      </c>
      <c r="C53">
        <f>SUMPRODUCT((M_BOM[Part Name]=$A53)*M_BOM[RM_Qty_Per_Batch]*IFERROR(INDEX(PP_Grid[#Data],IF(M_BOM[PPGridRow]=53,NA(),M_BOM[PPGridRow]),3),0))/40.0</f>
        <v/>
      </c>
      <c r="D53">
        <f>SUMPRODUCT((M_BOM[Part Name]=$A53)*M_BOM[RM_Qty_Per_Batch]*IFERROR(INDEX(PP_Grid[#Data],IF(M_BOM[PPGridRow]=53,NA(),M_BOM[PPGridRow]),4),0))/40.0</f>
        <v/>
      </c>
      <c r="E53">
        <f>SUMPRODUCT((M_BOM[Part Name]=$A53)*M_BOM[RM_Qty_Per_Batch]*IFERROR(INDEX(PP_Grid[#Data],IF(M_BOM[PPGridRow]=53,NA(),M_BOM[PPGridRow]),5),0))/40.0</f>
        <v/>
      </c>
      <c r="F53">
        <f>SUMPRODUCT((M_BOM[Part Name]=$A53)*M_BOM[RM_Qty_Per_Batch]*IFERROR(INDEX(PP_Grid[#Data],IF(M_BOM[PPGridRow]=53,NA(),M_BOM[PPGridRow]),6),0))/40.0</f>
        <v/>
      </c>
      <c r="G53">
        <f>SUMPRODUCT((M_BOM[Part Name]=$A53)*M_BOM[RM_Qty_Per_Batch]*IFERROR(INDEX(PP_Grid[#Data],IF(M_BOM[PPGridRow]=53,NA(),M_BOM[PPGridRow]),7),0))/40.0</f>
        <v/>
      </c>
      <c r="H53">
        <f>SUMPRODUCT((M_BOM[Part Name]=$A53)*M_BOM[RM_Qty_Per_Batch]*IFERROR(INDEX(PP_Grid[#Data],IF(M_BOM[PPGridRow]=53,NA(),M_BOM[PPGridRow]),8),0))/40.0</f>
        <v/>
      </c>
      <c r="I53">
        <f>SUMPRODUCT((M_BOM[Part Name]=$A53)*M_BOM[RM_Qty_Per_Batch]*IFERROR(INDEX(PP_Grid[#Data],IF(M_BOM[PPGridRow]=53,NA(),M_BOM[PPGridRow]),9),0))/40.0</f>
        <v/>
      </c>
      <c r="J53">
        <f>SUMPRODUCT((M_BOM[Part Name]=$A53)*M_BOM[RM_Qty_Per_Batch]*IFERROR(INDEX(PP_Grid[#Data],IF(M_BOM[PPGridRow]=53,NA(),M_BOM[PPGridRow]),10),0))/40.0</f>
        <v/>
      </c>
      <c r="K53">
        <f>SUMPRODUCT((M_BOM[Part Name]=$A53)*M_BOM[RM_Qty_Per_Batch]*IFERROR(INDEX(PP_Grid[#Data],IF(M_BOM[PPGridRow]=53,NA(),M_BOM[PPGridRow]),11),0))/40.0</f>
        <v/>
      </c>
      <c r="L53">
        <f>SUMPRODUCT((M_BOM[Part Name]=$A53)*M_BOM[RM_Qty_Per_Batch]*IFERROR(INDEX(PP_Grid[#Data],IF(M_BOM[PPGridRow]=53,NA(),M_BOM[PPGridRow]),12),0))/40.0</f>
        <v/>
      </c>
      <c r="M53">
        <f>SUMPRODUCT((M_BOM[Part Name]=$A53)*M_BOM[RM_Qty_Per_Batch]*IFERROR(INDEX(PP_Grid[#Data],IF(M_BOM[PPGridRow]=53,NA(),M_BOM[PPGridRow]),13),0))/40.0</f>
        <v/>
      </c>
      <c r="N53">
        <f>SUMPRODUCT((M_BOM[Part Name]=$A53)*M_BOM[RM_Qty_Per_Batch]*IFERROR(INDEX(PP_Grid[#Data],IF(M_BOM[PPGridRow]=53,NA(),M_BOM[PPGridRow]),14),0))/40.0</f>
        <v/>
      </c>
      <c r="O53">
        <f>SUMPRODUCT((M_BOM[Part Name]=$A53)*M_BOM[RM_Qty_Per_Batch]*IFERROR(INDEX(PP_Grid[#Data],IF(M_BOM[PPGridRow]=53,NA(),M_BOM[PPGridRow]),15),0))/40.0</f>
        <v/>
      </c>
      <c r="P53">
        <f>SUMPRODUCT((M_BOM[Part Name]=$A53)*M_BOM[RM_Qty_Per_Batch]*IFERROR(INDEX(PP_Grid[#Data],IF(M_BOM[PPGridRow]=53,NA(),M_BOM[PPGridRow]),16),0))/40.0</f>
        <v/>
      </c>
      <c r="Q53">
        <f>SUMPRODUCT((M_BOM[Part Name]=$A53)*M_BOM[RM_Qty_Per_Batch]*IFERROR(INDEX(PP_Grid[#Data],IF(M_BOM[PPGridRow]=53,NA(),M_BOM[PPGridRow]),17),0))/40.0</f>
        <v/>
      </c>
      <c r="R53">
        <f>SUMPRODUCT((M_BOM[Part Name]=$A53)*M_BOM[RM_Qty_Per_Batch]*IFERROR(INDEX(PP_Grid[#Data],IF(M_BOM[PPGridRow]=53,NA(),M_BOM[PPGridRow]),18),0))/40.0</f>
        <v/>
      </c>
      <c r="S53">
        <f>SUMPRODUCT((M_BOM[Part Name]=$A53)*M_BOM[RM_Qty_Per_Batch]*IFERROR(INDEX(PP_Grid[#Data],IF(M_BOM[PPGridRow]=53,NA(),M_BOM[PPGridRow]),19),0))/40.0</f>
        <v/>
      </c>
      <c r="T53">
        <f>SUMPRODUCT((M_BOM[Part Name]=$A53)*M_BOM[RM_Qty_Per_Batch]*IFERROR(INDEX(PP_Grid[#Data],IF(M_BOM[PPGridRow]=53,NA(),M_BOM[PPGridRow]),20),0))/40.0</f>
        <v/>
      </c>
      <c r="U53">
        <f>SUMPRODUCT((M_BOM[Part Name]=$A53)*M_BOM[RM_Qty_Per_Batch]*IFERROR(INDEX(PP_Grid[#Data],IF(M_BOM[PPGridRow]=53,NA(),M_BOM[PPGridRow]),21),0))/40.0</f>
        <v/>
      </c>
      <c r="V53">
        <f>SUMPRODUCT((M_BOM[Part Name]=$A53)*M_BOM[RM_Qty_Per_Batch]*IFERROR(INDEX(PP_Grid[#Data],IF(M_BOM[PPGridRow]=53,NA(),M_BOM[PPGridRow]),22),0))/40.0</f>
        <v/>
      </c>
      <c r="W53">
        <f>SUMPRODUCT((M_BOM[Part Name]=$A53)*M_BOM[RM_Qty_Per_Batch]*IFERROR(INDEX(PP_Grid[#Data],IF(M_BOM[PPGridRow]=53,NA(),M_BOM[PPGridRow]),23),0))/40.0</f>
        <v/>
      </c>
      <c r="X53">
        <f>SUMPRODUCT((M_BOM[Part Name]=$A53)*M_BOM[RM_Qty_Per_Batch]*IFERROR(INDEX(PP_Grid[#Data],IF(M_BOM[PPGridRow]=53,NA(),M_BOM[PPGridRow]),24),0))/40.0</f>
        <v/>
      </c>
      <c r="Y53">
        <f>SUMPRODUCT((M_BOM[Part Name]=$A53)*M_BOM[RM_Qty_Per_Batch]*IFERROR(INDEX(PP_Grid[#Data],IF(M_BOM[PPGridRow]=53,NA(),M_BOM[PPGridRow]),25),0))/40.0</f>
        <v/>
      </c>
      <c r="Z53">
        <f>SUMPRODUCT((M_BOM[Part Name]=$A53)*M_BOM[RM_Qty_Per_Batch]*IFERROR(INDEX(PP_Grid[#Data],IF(M_BOM[PPGridRow]=53,NA(),M_BOM[PPGridRow]),26),0))/40.0</f>
        <v/>
      </c>
      <c r="AA53">
        <f>SUMPRODUCT((M_BOM[Part Name]=$A53)*M_BOM[RM_Qty_Per_Batch]*IFERROR(INDEX(PP_Grid[#Data],IF(M_BOM[PPGridRow]=53,NA(),M_BOM[PPGridRow]),27),0))/40.0</f>
        <v/>
      </c>
      <c r="AB53">
        <f>SUMPRODUCT((M_BOM[Part Name]=$A53)*M_BOM[RM_Qty_Per_Batch]*IFERROR(INDEX(PP_Grid[#Data],IF(M_BOM[PPGridRow]=53,NA(),M_BOM[PPGridRow]),28),0))/40.0</f>
        <v/>
      </c>
      <c r="AC53">
        <f>SUMPRODUCT((M_BOM[Part Name]=$A53)*M_BOM[RM_Qty_Per_Batch]*IFERROR(INDEX(PP_Grid[#Data],IF(M_BOM[PPGridRow]=53,NA(),M_BOM[PPGridRow]),29),0))/40.0</f>
        <v/>
      </c>
      <c r="AD53">
        <f>SUMPRODUCT((M_BOM[Part Name]=$A53)*M_BOM[RM_Qty_Per_Batch]*IFERROR(INDEX(PP_Grid[#Data],IF(M_BOM[PPGridRow]=53,NA(),M_BOM[PPGridRow]),30),0))/40.0</f>
        <v/>
      </c>
      <c r="AE53">
        <f>SUMPRODUCT((M_BOM[Part Name]=$A53)*M_BOM[RM_Qty_Per_Batch]*IFERROR(INDEX(PP_Grid[#Data],IF(M_BOM[PPGridRow]=53,NA(),M_BOM[PPGridRow]),31),0))/40.0</f>
        <v/>
      </c>
      <c r="AF53">
        <f>SUMPRODUCT((M_BOM[Part Name]=$A53)*M_BOM[RM_Qty_Per_Batch]*IFERROR(INDEX(PP_Grid[#Data],IF(M_BOM[PPGridRow]=53,NA(),M_BOM[PPGridRow]),32),0))/40.0</f>
        <v/>
      </c>
      <c r="AG53">
        <f>SUMPRODUCT((M_BOM[Part Name]=$A53)*M_BOM[RM_Qty_Per_Batch]*IFERROR(INDEX(PP_Grid[#Data],IF(M_BOM[PPGridRow]=53,NA(),M_BOM[PPGridRow]),33),0))/40.0</f>
        <v/>
      </c>
      <c r="AH53">
        <f>SUMPRODUCT((M_BOM[Part Name]=$A53)*M_BOM[RM_Qty_Per_Batch]*IFERROR(INDEX(PP_Grid[#Data],IF(M_BOM[PPGridRow]=53,NA(),M_BOM[PPGridRow]),34),0))/40.0</f>
        <v/>
      </c>
      <c r="AI53">
        <f>SUMPRODUCT((M_BOM[Part Name]=$A53)*M_BOM[RM_Qty_Per_Batch]*IFERROR(INDEX(PP_Grid[#Data],IF(M_BOM[PPGridRow]=53,NA(),M_BOM[PPGridRow]),35),0))/40.0</f>
        <v/>
      </c>
      <c r="AJ53">
        <f>SUMPRODUCT((M_BOM[Part Name]=$A53)*M_BOM[RM_Qty_Per_Batch]*IFERROR(INDEX(PP_Grid[#Data],IF(M_BOM[PPGridRow]=53,NA(),M_BOM[PPGridRow]),36),0))/40.0</f>
        <v/>
      </c>
      <c r="AK53">
        <f>SUMPRODUCT((M_BOM[Part Name]=$A53)*M_BOM[RM_Qty_Per_Batch]*IFERROR(INDEX(PP_Grid[#Data],IF(M_BOM[PPGridRow]=53,NA(),M_BOM[PPGridRow]),37),0))/40.0</f>
        <v/>
      </c>
      <c r="AL53">
        <f>SUMPRODUCT((M_BOM[Part Name]=$A53)*M_BOM[RM_Qty_Per_Batch]*IFERROR(INDEX(PP_Grid[#Data],IF(M_BOM[PPGridRow]=53,NA(),M_BOM[PPGridRow]),38),0))/40.0</f>
        <v/>
      </c>
      <c r="AM53">
        <f>SUMPRODUCT((M_BOM[Part Name]=$A53)*M_BOM[RM_Qty_Per_Batch]*IFERROR(INDEX(PP_Grid[#Data],IF(M_BOM[PPGridRow]=53,NA(),M_BOM[PPGridRow]),39),0))/40.0</f>
        <v/>
      </c>
      <c r="AN53">
        <f>SUMPRODUCT((M_BOM[Part Name]=$A53)*M_BOM[RM_Qty_Per_Batch]*IFERROR(INDEX(PP_Grid[#Data],IF(M_BOM[PPGridRow]=53,NA(),M_BOM[PPGridRow]),40),0))/40.0</f>
        <v/>
      </c>
      <c r="AO53">
        <f>SUMPRODUCT((M_BOM[Part Name]=$A53)*M_BOM[RM_Qty_Per_Batch]*IFERROR(INDEX(PP_Grid[#Data],IF(M_BOM[PPGridRow]=53,NA(),M_BOM[PPGridRow]),41),0))/40.0</f>
        <v/>
      </c>
      <c r="AP53">
        <f>SUMPRODUCT((M_BOM[Part Name]=$A53)*M_BOM[RM_Qty_Per_Batch]*IFERROR(INDEX(PP_Grid[#Data],IF(M_BOM[PPGridRow]=53,NA(),M_BOM[PPGridRow]),42),0))/40.0</f>
        <v/>
      </c>
      <c r="AQ53">
        <f>SUMPRODUCT((M_BOM[Part Name]=$A53)*M_BOM[RM_Qty_Per_Batch]*IFERROR(INDEX(PP_Grid[#Data],IF(M_BOM[PPGridRow]=53,NA(),M_BOM[PPGridRow]),43),0))/40.0</f>
        <v/>
      </c>
      <c r="AR53">
        <f>SUMPRODUCT((M_BOM[Part Name]=$A53)*M_BOM[RM_Qty_Per_Batch]*IFERROR(INDEX(PP_Grid[#Data],IF(M_BOM[PPGridRow]=53,NA(),M_BOM[PPGridRow]),44),0))/40.0</f>
        <v/>
      </c>
      <c r="AS53">
        <f>SUMPRODUCT((M_BOM[Part Name]=$A53)*M_BOM[RM_Qty_Per_Batch]*IFERROR(INDEX(PP_Grid[#Data],IF(M_BOM[PPGridRow]=53,NA(),M_BOM[PPGridRow]),45),0))/40.0</f>
        <v/>
      </c>
      <c r="AT53">
        <f>SUMPRODUCT((M_BOM[Part Name]=$A53)*M_BOM[RM_Qty_Per_Batch]*IFERROR(INDEX(PP_Grid[#Data],IF(M_BOM[PPGridRow]=53,NA(),M_BOM[PPGridRow]),46),0))/40.0</f>
        <v/>
      </c>
      <c r="AU53">
        <f>SUMPRODUCT((M_BOM[Part Name]=$A53)*M_BOM[RM_Qty_Per_Batch]*IFERROR(INDEX(PP_Grid[#Data],IF(M_BOM[PPGridRow]=53,NA(),M_BOM[PPGridRow]),47),0))/40.0</f>
        <v/>
      </c>
      <c r="AV53">
        <f>SUMPRODUCT((M_BOM[Part Name]=$A53)*M_BOM[RM_Qty_Per_Batch]*IFERROR(INDEX(PP_Grid[#Data],IF(M_BOM[PPGridRow]=53,NA(),M_BOM[PPGridRow]),48),0))/40.0</f>
        <v/>
      </c>
      <c r="AW53">
        <f>SUMPRODUCT((M_BOM[Part Name]=$A53)*M_BOM[RM_Qty_Per_Batch]*IFERROR(INDEX(PP_Grid[#Data],IF(M_BOM[PPGridRow]=53,NA(),M_BOM[PPGridRow]),49),0))/40.0</f>
        <v/>
      </c>
      <c r="AX53">
        <f>SUMPRODUCT((M_BOM[Part Name]=$A53)*M_BOM[RM_Qty_Per_Batch]*IFERROR(INDEX(PP_Grid[#Data],IF(M_BOM[PPGridRow]=53,NA(),M_BOM[PPGridRow]),50),0))/40.0</f>
        <v/>
      </c>
      <c r="AY53">
        <f>SUMPRODUCT((M_BOM[Part Name]=$A53)*M_BOM[RM_Qty_Per_Batch]*IFERROR(INDEX(PP_Grid[#Data],IF(M_BOM[PPGridRow]=53,NA(),M_BOM[PPGridRow]),51),0))/40.0</f>
        <v/>
      </c>
      <c r="AZ53">
        <f>SUMPRODUCT((M_BOM[Part Name]=$A53)*M_BOM[RM_Qty_Per_Batch]*IFERROR(INDEX(PP_Grid[#Data],IF(M_BOM[PPGridRow]=53,NA(),M_BOM[PPGridRow]),52),0))/40.0</f>
        <v/>
      </c>
      <c r="BA53">
        <f>SUMPRODUCT((M_BOM[Part Name]=$A53)*M_BOM[RM_Qty_Per_Batch]*IFERROR(INDEX(PP_Grid[#Data],IF(M_BOM[PPGridRow]=53,NA(),M_BOM[PPGridRow]),53),0))/40.0</f>
        <v/>
      </c>
      <c r="BB53">
        <f>SUMPRODUCT((M_BOM[Part Name]=$A53)*M_BOM[RM_Qty_Per_Batch]*IFERROR(INDEX(PP_Grid[#Data],IF(M_BOM[PPGridRow]=53,NA(),M_BOM[PPGridRow]),54),0))/40.0</f>
        <v/>
      </c>
      <c r="BC53">
        <f>SUMPRODUCT((M_BOM[Part Name]=$A53)*M_BOM[RM_Qty_Per_Batch]*IFERROR(INDEX(PP_Grid[#Data],IF(M_BOM[PPGridRow]=53,NA(),M_BOM[PPGridRow]),55),0))/40.0</f>
        <v/>
      </c>
      <c r="BD53">
        <f>SUMPRODUCT((M_BOM[Part Name]=$A53)*M_BOM[RM_Qty_Per_Batch]*IFERROR(INDEX(PP_Grid[#Data],IF(M_BOM[PPGridRow]=53,NA(),M_BOM[PPGridRow]),56),0))/40.0</f>
        <v/>
      </c>
      <c r="BE53">
        <f>SUMPRODUCT((M_BOM[Part Name]=$A53)*M_BOM[RM_Qty_Per_Batch]*IFERROR(INDEX(PP_Grid[#Data],IF(M_BOM[PPGridRow]=53,NA(),M_BOM[PPGridRow]),57),0))/40.0</f>
        <v/>
      </c>
      <c r="BF53">
        <f>SUMPRODUCT((M_BOM[Part Name]=$A53)*M_BOM[RM_Qty_Per_Batch]*IFERROR(INDEX(PP_Grid[#Data],IF(M_BOM[PPGridRow]=53,NA(),M_BOM[PPGridRow]),58),0))/40.0</f>
        <v/>
      </c>
      <c r="BG53">
        <f>SUMPRODUCT((M_BOM[Part Name]=$A53)*M_BOM[RM_Qty_Per_Batch]*IFERROR(INDEX(PP_Grid[#Data],IF(M_BOM[PPGridRow]=53,NA(),M_BOM[PPGridRow]),59),0))/40.0</f>
        <v/>
      </c>
      <c r="BH53">
        <f>SUMPRODUCT((M_BOM[Part Name]=$A53)*M_BOM[RM_Qty_Per_Batch]*IFERROR(INDEX(PP_Grid[#Data],IF(M_BOM[PPGridRow]=53,NA(),M_BOM[PPGridRow]),60),0))/40.0</f>
        <v/>
      </c>
      <c r="BI53">
        <f>SUMPRODUCT((M_BOM[Part Name]=$A53)*M_BOM[RM_Qty_Per_Batch]*IFERROR(INDEX(PP_Grid[#Data],IF(M_BOM[PPGridRow]=53,NA(),M_BOM[PPGridRow]),61),0))/40.0</f>
        <v/>
      </c>
      <c r="BJ53">
        <f>SUMPRODUCT((M_BOM[Part Name]=$A53)*M_BOM[RM_Qty_Per_Batch]*IFERROR(INDEX(PP_Grid[#Data],IF(M_BOM[PPGridRow]=53,NA(),M_BOM[PPGridRow]),62),0))/40.0</f>
        <v/>
      </c>
      <c r="BK53">
        <f>SUMPRODUCT((M_BOM[Part Name]=$A53)*M_BOM[RM_Qty_Per_Batch]*IFERROR(INDEX(PP_Grid[#Data],IF(M_BOM[PPGridRow]=53,NA(),M_BOM[PPGridRow]),63),0))/40.0</f>
        <v/>
      </c>
      <c r="BL53">
        <f>SUMPRODUCT((M_BOM[Part Name]=$A53)*M_BOM[RM_Qty_Per_Batch]*IFERROR(INDEX(PP_Grid[#Data],IF(M_BOM[PPGridRow]=53,NA(),M_BOM[PPGridRow]),64),0))/40.0</f>
        <v/>
      </c>
      <c r="BM53">
        <f>SUMPRODUCT((M_BOM[Part Name]=$A53)*M_BOM[RM_Qty_Per_Batch]*IFERROR(INDEX(PP_Grid[#Data],IF(M_BOM[PPGridRow]=53,NA(),M_BOM[PPGridRow]),65),0))/40.0</f>
        <v/>
      </c>
      <c r="BN53">
        <f>SUMPRODUCT((M_BOM[Part Name]=$A53)*M_BOM[RM_Qty_Per_Batch]*IFERROR(INDEX(PP_Grid[#Data],IF(M_BOM[PPGridRow]=53,NA(),M_BOM[PPGridRow]),66),0))/40.0</f>
        <v/>
      </c>
      <c r="BO53">
        <f>SUMPRODUCT((M_BOM[Part Name]=$A53)*M_BOM[RM_Qty_Per_Batch]*IFERROR(INDEX(PP_Grid[#Data],IF(M_BOM[PPGridRow]=53,NA(),M_BOM[PPGridRow]),67),0))/40.0</f>
        <v/>
      </c>
      <c r="BP53">
        <f>SUMPRODUCT((M_BOM[Part Name]=$A53)*M_BOM[RM_Qty_Per_Batch]*IFERROR(INDEX(PP_Grid[#Data],IF(M_BOM[PPGridRow]=53,NA(),M_BOM[PPGridRow]),68),0))/40.0</f>
        <v/>
      </c>
      <c r="BQ53">
        <f>SUMPRODUCT((M_BOM[Part Name]=$A53)*M_BOM[RM_Qty_Per_Batch]*IFERROR(INDEX(PP_Grid[#Data],IF(M_BOM[PPGridRow]=53,NA(),M_BOM[PPGridRow]),69),0))/40.0</f>
        <v/>
      </c>
      <c r="BR53">
        <f>SUMPRODUCT((M_BOM[Part Name]=$A53)*M_BOM[RM_Qty_Per_Batch]*IFERROR(INDEX(PP_Grid[#Data],IF(M_BOM[PPGridRow]=53,NA(),M_BOM[PPGridRow]),70),0))/40.0</f>
        <v/>
      </c>
      <c r="BS53">
        <f>SUMPRODUCT((M_BOM[Part Name]=$A53)*M_BOM[RM_Qty_Per_Batch]*IFERROR(INDEX(PP_Grid[#Data],IF(M_BOM[PPGridRow]=53,NA(),M_BOM[PPGridRow]),71),0))/40.0</f>
        <v/>
      </c>
      <c r="BT53">
        <f>SUMPRODUCT((M_BOM[Part Name]=$A53)*M_BOM[RM_Qty_Per_Batch]*IFERROR(INDEX(PP_Grid[#Data],IF(M_BOM[PPGridRow]=53,NA(),M_BOM[PPGridRow]),72),0))/40.0</f>
        <v/>
      </c>
      <c r="BU53">
        <f>SUMPRODUCT((M_BOM[Part Name]=$A53)*M_BOM[RM_Qty_Per_Batch]*IFERROR(INDEX(PP_Grid[#Data],IF(M_BOM[PPGridRow]=53,NA(),M_BOM[PPGridRow]),73),0))/40.0</f>
        <v/>
      </c>
      <c r="BV53">
        <f>SUMPRODUCT((M_BOM[Part Name]=$A53)*M_BOM[RM_Qty_Per_Batch]*IFERROR(INDEX(PP_Grid[#Data],IF(M_BOM[PPGridRow]=53,NA(),M_BOM[PPGridRow]),74),0))/40.0</f>
        <v/>
      </c>
      <c r="BW53">
        <f>SUMPRODUCT((M_BOM[Part Name]=$A53)*M_BOM[RM_Qty_Per_Batch]*IFERROR(INDEX(PP_Grid[#Data],IF(M_BOM[PPGridRow]=53,NA(),M_BOM[PPGridRow]),75),0))/40.0</f>
        <v/>
      </c>
      <c r="BX53">
        <f>SUMPRODUCT((M_BOM[Part Name]=$A53)*M_BOM[RM_Qty_Per_Batch]*IFERROR(INDEX(PP_Grid[#Data],IF(M_BOM[PPGridRow]=53,NA(),M_BOM[PPGridRow]),76),0))/40.0</f>
        <v/>
      </c>
      <c r="BY53">
        <f>SUMPRODUCT((M_BOM[Part Name]=$A53)*M_BOM[RM_Qty_Per_Batch]*IFERROR(INDEX(PP_Grid[#Data],IF(M_BOM[PPGridRow]=53,NA(),M_BOM[PPGridRow]),77),0))/40.0</f>
        <v/>
      </c>
      <c r="BZ53">
        <f>SUMPRODUCT((M_BOM[Part Name]=$A53)*M_BOM[RM_Qty_Per_Batch]*IFERROR(INDEX(PP_Grid[#Data],IF(M_BOM[PPGridRow]=53,NA(),M_BOM[PPGridRow]),78),0))/40.0</f>
        <v/>
      </c>
      <c r="CA53">
        <f>SUMPRODUCT((M_BOM[Part Name]=$A53)*M_BOM[RM_Qty_Per_Batch]*IFERROR(INDEX(PP_Grid[#Data],IF(M_BOM[PPGridRow]=53,NA(),M_BOM[PPGridRow]),79),0))/40.0</f>
        <v/>
      </c>
      <c r="CB53">
        <f>SUMPRODUCT((M_BOM[Part Name]=$A53)*M_BOM[RM_Qty_Per_Batch]*IFERROR(INDEX(PP_Grid[#Data],IF(M_BOM[PPGridRow]=53,NA(),M_BOM[PPGridRow]),80),0))/40.0</f>
        <v/>
      </c>
      <c r="CC53">
        <f>SUMPRODUCT((M_BOM[Part Name]=$A53)*M_BOM[RM_Qty_Per_Batch]*IFERROR(INDEX(PP_Grid[#Data],IF(M_BOM[PPGridRow]=53,NA(),M_BOM[PPGridRow]),81),0))/40.0</f>
        <v/>
      </c>
      <c r="CD53">
        <f>SUMPRODUCT((M_BOM[Part Name]=$A53)*M_BOM[RM_Qty_Per_Batch]*IFERROR(INDEX(PP_Grid[#Data],IF(M_BOM[PPGridRow]=53,NA(),M_BOM[PPGridRow]),82),0))/40.0</f>
        <v/>
      </c>
      <c r="CE53">
        <f>SUMPRODUCT((M_BOM[Part Name]=$A53)*M_BOM[RM_Qty_Per_Batch]*IFERROR(INDEX(PP_Grid[#Data],IF(M_BOM[PPGridRow]=53,NA(),M_BOM[PPGridRow]),83),0))/40.0</f>
        <v/>
      </c>
      <c r="CF53">
        <f>SUMPRODUCT((M_BOM[Part Name]=$A53)*M_BOM[RM_Qty_Per_Batch]*IFERROR(INDEX(PP_Grid[#Data],IF(M_BOM[PPGridRow]=53,NA(),M_BOM[PPGridRow]),84),0))/40.0</f>
        <v/>
      </c>
      <c r="CG53">
        <f>SUMPRODUCT((M_BOM[Part Name]=$A53)*M_BOM[RM_Qty_Per_Batch]*IFERROR(INDEX(PP_Grid[#Data],IF(M_BOM[PPGridRow]=53,NA(),M_BOM[PPGridRow]),85),0))/40.0</f>
        <v/>
      </c>
      <c r="CH53">
        <f>SUMPRODUCT((M_BOM[Part Name]=$A53)*M_BOM[RM_Qty_Per_Batch]*IFERROR(INDEX(PP_Grid[#Data],IF(M_BOM[PPGridRow]=53,NA(),M_BOM[PPGridRow]),86),0))/40.0</f>
        <v/>
      </c>
      <c r="CI53">
        <f>SUMPRODUCT((M_BOM[Part Name]=$A53)*M_BOM[RM_Qty_Per_Batch]*IFERROR(INDEX(PP_Grid[#Data],IF(M_BOM[PPGridRow]=53,NA(),M_BOM[PPGridRow]),87),0))/40.0</f>
        <v/>
      </c>
      <c r="CJ53">
        <f>SUMPRODUCT((M_BOM[Part Name]=$A53)*M_BOM[RM_Qty_Per_Batch]*IFERROR(INDEX(PP_Grid[#Data],IF(M_BOM[PPGridRow]=53,NA(),M_BOM[PPGridRow]),88),0))/40.0</f>
        <v/>
      </c>
      <c r="CK53">
        <f>SUMPRODUCT((M_BOM[Part Name]=$A53)*M_BOM[RM_Qty_Per_Batch]*IFERROR(INDEX(PP_Grid[#Data],IF(M_BOM[PPGridRow]=53,NA(),M_BOM[PPGridRow]),89),0))/40.0</f>
        <v/>
      </c>
      <c r="CL53">
        <f>SUMPRODUCT((M_BOM[Part Name]=$A53)*M_BOM[RM_Qty_Per_Batch]*IFERROR(INDEX(PP_Grid[#Data],IF(M_BOM[PPGridRow]=53,NA(),M_BOM[PPGridRow]),90),0))/40.0</f>
        <v/>
      </c>
      <c r="CM53">
        <f>SUMPRODUCT((M_BOM[Part Name]=$A53)*M_BOM[RM_Qty_Per_Batch]*IFERROR(INDEX(PP_Grid[#Data],IF(M_BOM[PPGridRow]=53,NA(),M_BOM[PPGridRow]),91),0))/40.0</f>
        <v/>
      </c>
      <c r="CN53">
        <f>SUMPRODUCT((M_BOM[Part Name]=$A53)*M_BOM[RM_Qty_Per_Batch]*IFERROR(INDEX(PP_Grid[#Data],IF(M_BOM[PPGridRow]=53,NA(),M_BOM[PPGridRow]),92),0))/40.0</f>
        <v/>
      </c>
      <c r="CO53">
        <f>SUMPRODUCT((M_BOM[Part Name]=$A53)*M_BOM[RM_Qty_Per_Batch]*IFERROR(INDEX(PP_Grid[#Data],IF(M_BOM[PPGridRow]=53,NA(),M_BOM[PPGridRow]),93),0))/40.0</f>
        <v/>
      </c>
      <c r="CP53">
        <f>SUMPRODUCT((M_BOM[Part Name]=$A53)*M_BOM[RM_Qty_Per_Batch]*IFERROR(INDEX(PP_Grid[#Data],IF(M_BOM[PPGridRow]=53,NA(),M_BOM[PPGridRow]),94),0))/40.0</f>
        <v/>
      </c>
      <c r="CQ53">
        <f>SUMPRODUCT((M_BOM[Part Name]=$A53)*M_BOM[RM_Qty_Per_Batch]*IFERROR(INDEX(PP_Grid[#Data],IF(M_BOM[PPGridRow]=53,NA(),M_BOM[PPGridRow]),95),0))/40.0</f>
        <v/>
      </c>
      <c r="CR53">
        <f>SUMPRODUCT((M_BOM[Part Name]=$A53)*M_BOM[RM_Qty_Per_Batch]*IFERROR(INDEX(PP_Grid[#Data],IF(M_BOM[PPGridRow]=53,NA(),M_BOM[PPGridRow]),96),0))/40.0</f>
        <v/>
      </c>
      <c r="CS53">
        <f>SUMPRODUCT((M_BOM[Part Name]=$A53)*M_BOM[RM_Qty_Per_Batch]*IFERROR(INDEX(PP_Grid[#Data],IF(M_BOM[PPGridRow]=53,NA(),M_BOM[PPGridRow]),97),0))/40.0</f>
        <v/>
      </c>
      <c r="CT53">
        <f>SUMPRODUCT((M_BOM[Part Name]=$A53)*M_BOM[RM_Qty_Per_Batch]*IFERROR(INDEX(PP_Grid[#Data],IF(M_BOM[PPGridRow]=53,NA(),M_BOM[PPGridRow]),98),0))/40.0</f>
        <v/>
      </c>
      <c r="CU53">
        <f>SUMPRODUCT((M_BOM[Part Name]=$A53)*M_BOM[RM_Qty_Per_Batch]*IFERROR(INDEX(PP_Grid[#Data],IF(M_BOM[PPGridRow]=53,NA(),M_BOM[PPGridRow]),99),0))/40.0</f>
        <v/>
      </c>
      <c r="CV53">
        <f>SUMPRODUCT((M_BOM[Part Name]=$A53)*M_BOM[RM_Qty_Per_Batch]*IFERROR(INDEX(PP_Grid[#Data],IF(M_BOM[PPGridRow]=53,NA(),M_BOM[PPGridRow]),100),0))/40.0</f>
        <v/>
      </c>
      <c r="CW53">
        <f>SUMPRODUCT((M_BOM[Part Name]=$A53)*M_BOM[RM_Qty_Per_Batch]*IFERROR(INDEX(PP_Grid[#Data],IF(M_BOM[PPGridRow]=53,NA(),M_BOM[PPGridRow]),101),0))/40.0</f>
        <v/>
      </c>
      <c r="CX53">
        <f>SUMPRODUCT((M_BOM[Part Name]=$A53)*M_BOM[RM_Qty_Per_Batch]*IFERROR(INDEX(PP_Grid[#Data],IF(M_BOM[PPGridRow]=53,NA(),M_BOM[PPGridRow]),102),0))/40.0</f>
        <v/>
      </c>
      <c r="CY53">
        <f>SUMPRODUCT((M_BOM[Part Name]=$A53)*M_BOM[RM_Qty_Per_Batch]*IFERROR(INDEX(PP_Grid[#Data],IF(M_BOM[PPGridRow]=53,NA(),M_BOM[PPGridRow]),103),0))/40.0</f>
        <v/>
      </c>
      <c r="CZ53">
        <f>SUMPRODUCT((M_BOM[Part Name]=$A53)*M_BOM[RM_Qty_Per_Batch]*IFERROR(INDEX(PP_Grid[#Data],IF(M_BOM[PPGridRow]=53,NA(),M_BOM[PPGridRow]),104),0))/40.0</f>
        <v/>
      </c>
      <c r="DA53">
        <f>SUMPRODUCT((M_BOM[Part Name]=$A53)*M_BOM[RM_Qty_Per_Batch]*IFERROR(INDEX(PP_Grid[#Data],IF(M_BOM[PPGridRow]=53,NA(),M_BOM[PPGridRow]),105),0))/40.0</f>
        <v/>
      </c>
    </row>
    <row r="54">
      <c r="A54" t="inlineStr">
        <is>
          <t>TSZ-938</t>
        </is>
      </c>
      <c r="B54">
        <f>SUMPRODUCT((M_BOM[Part Name]=$A54)*M_BOM[RM_Qty_Per_Batch]*IFERROR(INDEX(PP_Grid[#Data],IF(M_BOM[PPGridRow]=54,NA(),M_BOM[PPGridRow]),2),0))/65.0</f>
        <v/>
      </c>
      <c r="C54">
        <f>SUMPRODUCT((M_BOM[Part Name]=$A54)*M_BOM[RM_Qty_Per_Batch]*IFERROR(INDEX(PP_Grid[#Data],IF(M_BOM[PPGridRow]=54,NA(),M_BOM[PPGridRow]),3),0))/65.0</f>
        <v/>
      </c>
      <c r="D54">
        <f>SUMPRODUCT((M_BOM[Part Name]=$A54)*M_BOM[RM_Qty_Per_Batch]*IFERROR(INDEX(PP_Grid[#Data],IF(M_BOM[PPGridRow]=54,NA(),M_BOM[PPGridRow]),4),0))/65.0</f>
        <v/>
      </c>
      <c r="E54">
        <f>SUMPRODUCT((M_BOM[Part Name]=$A54)*M_BOM[RM_Qty_Per_Batch]*IFERROR(INDEX(PP_Grid[#Data],IF(M_BOM[PPGridRow]=54,NA(),M_BOM[PPGridRow]),5),0))/65.0</f>
        <v/>
      </c>
      <c r="F54">
        <f>SUMPRODUCT((M_BOM[Part Name]=$A54)*M_BOM[RM_Qty_Per_Batch]*IFERROR(INDEX(PP_Grid[#Data],IF(M_BOM[PPGridRow]=54,NA(),M_BOM[PPGridRow]),6),0))/65.0</f>
        <v/>
      </c>
      <c r="G54">
        <f>SUMPRODUCT((M_BOM[Part Name]=$A54)*M_BOM[RM_Qty_Per_Batch]*IFERROR(INDEX(PP_Grid[#Data],IF(M_BOM[PPGridRow]=54,NA(),M_BOM[PPGridRow]),7),0))/65.0</f>
        <v/>
      </c>
      <c r="H54">
        <f>SUMPRODUCT((M_BOM[Part Name]=$A54)*M_BOM[RM_Qty_Per_Batch]*IFERROR(INDEX(PP_Grid[#Data],IF(M_BOM[PPGridRow]=54,NA(),M_BOM[PPGridRow]),8),0))/65.0</f>
        <v/>
      </c>
      <c r="I54">
        <f>SUMPRODUCT((M_BOM[Part Name]=$A54)*M_BOM[RM_Qty_Per_Batch]*IFERROR(INDEX(PP_Grid[#Data],IF(M_BOM[PPGridRow]=54,NA(),M_BOM[PPGridRow]),9),0))/65.0</f>
        <v/>
      </c>
      <c r="J54">
        <f>SUMPRODUCT((M_BOM[Part Name]=$A54)*M_BOM[RM_Qty_Per_Batch]*IFERROR(INDEX(PP_Grid[#Data],IF(M_BOM[PPGridRow]=54,NA(),M_BOM[PPGridRow]),10),0))/65.0</f>
        <v/>
      </c>
      <c r="K54">
        <f>SUMPRODUCT((M_BOM[Part Name]=$A54)*M_BOM[RM_Qty_Per_Batch]*IFERROR(INDEX(PP_Grid[#Data],IF(M_BOM[PPGridRow]=54,NA(),M_BOM[PPGridRow]),11),0))/65.0</f>
        <v/>
      </c>
      <c r="L54">
        <f>SUMPRODUCT((M_BOM[Part Name]=$A54)*M_BOM[RM_Qty_Per_Batch]*IFERROR(INDEX(PP_Grid[#Data],IF(M_BOM[PPGridRow]=54,NA(),M_BOM[PPGridRow]),12),0))/65.0</f>
        <v/>
      </c>
      <c r="M54">
        <f>SUMPRODUCT((M_BOM[Part Name]=$A54)*M_BOM[RM_Qty_Per_Batch]*IFERROR(INDEX(PP_Grid[#Data],IF(M_BOM[PPGridRow]=54,NA(),M_BOM[PPGridRow]),13),0))/65.0</f>
        <v/>
      </c>
      <c r="N54">
        <f>SUMPRODUCT((M_BOM[Part Name]=$A54)*M_BOM[RM_Qty_Per_Batch]*IFERROR(INDEX(PP_Grid[#Data],IF(M_BOM[PPGridRow]=54,NA(),M_BOM[PPGridRow]),14),0))/65.0</f>
        <v/>
      </c>
      <c r="O54">
        <f>SUMPRODUCT((M_BOM[Part Name]=$A54)*M_BOM[RM_Qty_Per_Batch]*IFERROR(INDEX(PP_Grid[#Data],IF(M_BOM[PPGridRow]=54,NA(),M_BOM[PPGridRow]),15),0))/65.0</f>
        <v/>
      </c>
      <c r="P54">
        <f>SUMPRODUCT((M_BOM[Part Name]=$A54)*M_BOM[RM_Qty_Per_Batch]*IFERROR(INDEX(PP_Grid[#Data],IF(M_BOM[PPGridRow]=54,NA(),M_BOM[PPGridRow]),16),0))/65.0</f>
        <v/>
      </c>
      <c r="Q54">
        <f>SUMPRODUCT((M_BOM[Part Name]=$A54)*M_BOM[RM_Qty_Per_Batch]*IFERROR(INDEX(PP_Grid[#Data],IF(M_BOM[PPGridRow]=54,NA(),M_BOM[PPGridRow]),17),0))/65.0</f>
        <v/>
      </c>
      <c r="R54">
        <f>SUMPRODUCT((M_BOM[Part Name]=$A54)*M_BOM[RM_Qty_Per_Batch]*IFERROR(INDEX(PP_Grid[#Data],IF(M_BOM[PPGridRow]=54,NA(),M_BOM[PPGridRow]),18),0))/65.0</f>
        <v/>
      </c>
      <c r="S54">
        <f>SUMPRODUCT((M_BOM[Part Name]=$A54)*M_BOM[RM_Qty_Per_Batch]*IFERROR(INDEX(PP_Grid[#Data],IF(M_BOM[PPGridRow]=54,NA(),M_BOM[PPGridRow]),19),0))/65.0</f>
        <v/>
      </c>
      <c r="T54">
        <f>SUMPRODUCT((M_BOM[Part Name]=$A54)*M_BOM[RM_Qty_Per_Batch]*IFERROR(INDEX(PP_Grid[#Data],IF(M_BOM[PPGridRow]=54,NA(),M_BOM[PPGridRow]),20),0))/65.0</f>
        <v/>
      </c>
      <c r="U54">
        <f>SUMPRODUCT((M_BOM[Part Name]=$A54)*M_BOM[RM_Qty_Per_Batch]*IFERROR(INDEX(PP_Grid[#Data],IF(M_BOM[PPGridRow]=54,NA(),M_BOM[PPGridRow]),21),0))/65.0</f>
        <v/>
      </c>
      <c r="V54">
        <f>SUMPRODUCT((M_BOM[Part Name]=$A54)*M_BOM[RM_Qty_Per_Batch]*IFERROR(INDEX(PP_Grid[#Data],IF(M_BOM[PPGridRow]=54,NA(),M_BOM[PPGridRow]),22),0))/65.0</f>
        <v/>
      </c>
      <c r="W54">
        <f>SUMPRODUCT((M_BOM[Part Name]=$A54)*M_BOM[RM_Qty_Per_Batch]*IFERROR(INDEX(PP_Grid[#Data],IF(M_BOM[PPGridRow]=54,NA(),M_BOM[PPGridRow]),23),0))/65.0</f>
        <v/>
      </c>
      <c r="X54">
        <f>SUMPRODUCT((M_BOM[Part Name]=$A54)*M_BOM[RM_Qty_Per_Batch]*IFERROR(INDEX(PP_Grid[#Data],IF(M_BOM[PPGridRow]=54,NA(),M_BOM[PPGridRow]),24),0))/65.0</f>
        <v/>
      </c>
      <c r="Y54">
        <f>SUMPRODUCT((M_BOM[Part Name]=$A54)*M_BOM[RM_Qty_Per_Batch]*IFERROR(INDEX(PP_Grid[#Data],IF(M_BOM[PPGridRow]=54,NA(),M_BOM[PPGridRow]),25),0))/65.0</f>
        <v/>
      </c>
      <c r="Z54">
        <f>SUMPRODUCT((M_BOM[Part Name]=$A54)*M_BOM[RM_Qty_Per_Batch]*IFERROR(INDEX(PP_Grid[#Data],IF(M_BOM[PPGridRow]=54,NA(),M_BOM[PPGridRow]),26),0))/65.0</f>
        <v/>
      </c>
      <c r="AA54">
        <f>SUMPRODUCT((M_BOM[Part Name]=$A54)*M_BOM[RM_Qty_Per_Batch]*IFERROR(INDEX(PP_Grid[#Data],IF(M_BOM[PPGridRow]=54,NA(),M_BOM[PPGridRow]),27),0))/65.0</f>
        <v/>
      </c>
      <c r="AB54">
        <f>SUMPRODUCT((M_BOM[Part Name]=$A54)*M_BOM[RM_Qty_Per_Batch]*IFERROR(INDEX(PP_Grid[#Data],IF(M_BOM[PPGridRow]=54,NA(),M_BOM[PPGridRow]),28),0))/65.0</f>
        <v/>
      </c>
      <c r="AC54">
        <f>SUMPRODUCT((M_BOM[Part Name]=$A54)*M_BOM[RM_Qty_Per_Batch]*IFERROR(INDEX(PP_Grid[#Data],IF(M_BOM[PPGridRow]=54,NA(),M_BOM[PPGridRow]),29),0))/65.0</f>
        <v/>
      </c>
      <c r="AD54">
        <f>SUMPRODUCT((M_BOM[Part Name]=$A54)*M_BOM[RM_Qty_Per_Batch]*IFERROR(INDEX(PP_Grid[#Data],IF(M_BOM[PPGridRow]=54,NA(),M_BOM[PPGridRow]),30),0))/65.0</f>
        <v/>
      </c>
      <c r="AE54">
        <f>SUMPRODUCT((M_BOM[Part Name]=$A54)*M_BOM[RM_Qty_Per_Batch]*IFERROR(INDEX(PP_Grid[#Data],IF(M_BOM[PPGridRow]=54,NA(),M_BOM[PPGridRow]),31),0))/65.0</f>
        <v/>
      </c>
      <c r="AF54">
        <f>SUMPRODUCT((M_BOM[Part Name]=$A54)*M_BOM[RM_Qty_Per_Batch]*IFERROR(INDEX(PP_Grid[#Data],IF(M_BOM[PPGridRow]=54,NA(),M_BOM[PPGridRow]),32),0))/65.0</f>
        <v/>
      </c>
      <c r="AG54">
        <f>SUMPRODUCT((M_BOM[Part Name]=$A54)*M_BOM[RM_Qty_Per_Batch]*IFERROR(INDEX(PP_Grid[#Data],IF(M_BOM[PPGridRow]=54,NA(),M_BOM[PPGridRow]),33),0))/65.0</f>
        <v/>
      </c>
      <c r="AH54">
        <f>SUMPRODUCT((M_BOM[Part Name]=$A54)*M_BOM[RM_Qty_Per_Batch]*IFERROR(INDEX(PP_Grid[#Data],IF(M_BOM[PPGridRow]=54,NA(),M_BOM[PPGridRow]),34),0))/65.0</f>
        <v/>
      </c>
      <c r="AI54">
        <f>SUMPRODUCT((M_BOM[Part Name]=$A54)*M_BOM[RM_Qty_Per_Batch]*IFERROR(INDEX(PP_Grid[#Data],IF(M_BOM[PPGridRow]=54,NA(),M_BOM[PPGridRow]),35),0))/65.0</f>
        <v/>
      </c>
      <c r="AJ54">
        <f>SUMPRODUCT((M_BOM[Part Name]=$A54)*M_BOM[RM_Qty_Per_Batch]*IFERROR(INDEX(PP_Grid[#Data],IF(M_BOM[PPGridRow]=54,NA(),M_BOM[PPGridRow]),36),0))/65.0</f>
        <v/>
      </c>
      <c r="AK54">
        <f>SUMPRODUCT((M_BOM[Part Name]=$A54)*M_BOM[RM_Qty_Per_Batch]*IFERROR(INDEX(PP_Grid[#Data],IF(M_BOM[PPGridRow]=54,NA(),M_BOM[PPGridRow]),37),0))/65.0</f>
        <v/>
      </c>
      <c r="AL54">
        <f>SUMPRODUCT((M_BOM[Part Name]=$A54)*M_BOM[RM_Qty_Per_Batch]*IFERROR(INDEX(PP_Grid[#Data],IF(M_BOM[PPGridRow]=54,NA(),M_BOM[PPGridRow]),38),0))/65.0</f>
        <v/>
      </c>
      <c r="AM54">
        <f>SUMPRODUCT((M_BOM[Part Name]=$A54)*M_BOM[RM_Qty_Per_Batch]*IFERROR(INDEX(PP_Grid[#Data],IF(M_BOM[PPGridRow]=54,NA(),M_BOM[PPGridRow]),39),0))/65.0</f>
        <v/>
      </c>
      <c r="AN54">
        <f>SUMPRODUCT((M_BOM[Part Name]=$A54)*M_BOM[RM_Qty_Per_Batch]*IFERROR(INDEX(PP_Grid[#Data],IF(M_BOM[PPGridRow]=54,NA(),M_BOM[PPGridRow]),40),0))/65.0</f>
        <v/>
      </c>
      <c r="AO54">
        <f>SUMPRODUCT((M_BOM[Part Name]=$A54)*M_BOM[RM_Qty_Per_Batch]*IFERROR(INDEX(PP_Grid[#Data],IF(M_BOM[PPGridRow]=54,NA(),M_BOM[PPGridRow]),41),0))/65.0</f>
        <v/>
      </c>
      <c r="AP54">
        <f>SUMPRODUCT((M_BOM[Part Name]=$A54)*M_BOM[RM_Qty_Per_Batch]*IFERROR(INDEX(PP_Grid[#Data],IF(M_BOM[PPGridRow]=54,NA(),M_BOM[PPGridRow]),42),0))/65.0</f>
        <v/>
      </c>
      <c r="AQ54">
        <f>SUMPRODUCT((M_BOM[Part Name]=$A54)*M_BOM[RM_Qty_Per_Batch]*IFERROR(INDEX(PP_Grid[#Data],IF(M_BOM[PPGridRow]=54,NA(),M_BOM[PPGridRow]),43),0))/65.0</f>
        <v/>
      </c>
      <c r="AR54">
        <f>SUMPRODUCT((M_BOM[Part Name]=$A54)*M_BOM[RM_Qty_Per_Batch]*IFERROR(INDEX(PP_Grid[#Data],IF(M_BOM[PPGridRow]=54,NA(),M_BOM[PPGridRow]),44),0))/65.0</f>
        <v/>
      </c>
      <c r="AS54">
        <f>SUMPRODUCT((M_BOM[Part Name]=$A54)*M_BOM[RM_Qty_Per_Batch]*IFERROR(INDEX(PP_Grid[#Data],IF(M_BOM[PPGridRow]=54,NA(),M_BOM[PPGridRow]),45),0))/65.0</f>
        <v/>
      </c>
      <c r="AT54">
        <f>SUMPRODUCT((M_BOM[Part Name]=$A54)*M_BOM[RM_Qty_Per_Batch]*IFERROR(INDEX(PP_Grid[#Data],IF(M_BOM[PPGridRow]=54,NA(),M_BOM[PPGridRow]),46),0))/65.0</f>
        <v/>
      </c>
      <c r="AU54">
        <f>SUMPRODUCT((M_BOM[Part Name]=$A54)*M_BOM[RM_Qty_Per_Batch]*IFERROR(INDEX(PP_Grid[#Data],IF(M_BOM[PPGridRow]=54,NA(),M_BOM[PPGridRow]),47),0))/65.0</f>
        <v/>
      </c>
      <c r="AV54">
        <f>SUMPRODUCT((M_BOM[Part Name]=$A54)*M_BOM[RM_Qty_Per_Batch]*IFERROR(INDEX(PP_Grid[#Data],IF(M_BOM[PPGridRow]=54,NA(),M_BOM[PPGridRow]),48),0))/65.0</f>
        <v/>
      </c>
      <c r="AW54">
        <f>SUMPRODUCT((M_BOM[Part Name]=$A54)*M_BOM[RM_Qty_Per_Batch]*IFERROR(INDEX(PP_Grid[#Data],IF(M_BOM[PPGridRow]=54,NA(),M_BOM[PPGridRow]),49),0))/65.0</f>
        <v/>
      </c>
      <c r="AX54">
        <f>SUMPRODUCT((M_BOM[Part Name]=$A54)*M_BOM[RM_Qty_Per_Batch]*IFERROR(INDEX(PP_Grid[#Data],IF(M_BOM[PPGridRow]=54,NA(),M_BOM[PPGridRow]),50),0))/65.0</f>
        <v/>
      </c>
      <c r="AY54">
        <f>SUMPRODUCT((M_BOM[Part Name]=$A54)*M_BOM[RM_Qty_Per_Batch]*IFERROR(INDEX(PP_Grid[#Data],IF(M_BOM[PPGridRow]=54,NA(),M_BOM[PPGridRow]),51),0))/65.0</f>
        <v/>
      </c>
      <c r="AZ54">
        <f>SUMPRODUCT((M_BOM[Part Name]=$A54)*M_BOM[RM_Qty_Per_Batch]*IFERROR(INDEX(PP_Grid[#Data],IF(M_BOM[PPGridRow]=54,NA(),M_BOM[PPGridRow]),52),0))/65.0</f>
        <v/>
      </c>
      <c r="BA54">
        <f>SUMPRODUCT((M_BOM[Part Name]=$A54)*M_BOM[RM_Qty_Per_Batch]*IFERROR(INDEX(PP_Grid[#Data],IF(M_BOM[PPGridRow]=54,NA(),M_BOM[PPGridRow]),53),0))/65.0</f>
        <v/>
      </c>
      <c r="BB54">
        <f>SUMPRODUCT((M_BOM[Part Name]=$A54)*M_BOM[RM_Qty_Per_Batch]*IFERROR(INDEX(PP_Grid[#Data],IF(M_BOM[PPGridRow]=54,NA(),M_BOM[PPGridRow]),54),0))/65.0</f>
        <v/>
      </c>
      <c r="BC54">
        <f>SUMPRODUCT((M_BOM[Part Name]=$A54)*M_BOM[RM_Qty_Per_Batch]*IFERROR(INDEX(PP_Grid[#Data],IF(M_BOM[PPGridRow]=54,NA(),M_BOM[PPGridRow]),55),0))/65.0</f>
        <v/>
      </c>
      <c r="BD54">
        <f>SUMPRODUCT((M_BOM[Part Name]=$A54)*M_BOM[RM_Qty_Per_Batch]*IFERROR(INDEX(PP_Grid[#Data],IF(M_BOM[PPGridRow]=54,NA(),M_BOM[PPGridRow]),56),0))/65.0</f>
        <v/>
      </c>
      <c r="BE54">
        <f>SUMPRODUCT((M_BOM[Part Name]=$A54)*M_BOM[RM_Qty_Per_Batch]*IFERROR(INDEX(PP_Grid[#Data],IF(M_BOM[PPGridRow]=54,NA(),M_BOM[PPGridRow]),57),0))/65.0</f>
        <v/>
      </c>
      <c r="BF54">
        <f>SUMPRODUCT((M_BOM[Part Name]=$A54)*M_BOM[RM_Qty_Per_Batch]*IFERROR(INDEX(PP_Grid[#Data],IF(M_BOM[PPGridRow]=54,NA(),M_BOM[PPGridRow]),58),0))/65.0</f>
        <v/>
      </c>
      <c r="BG54">
        <f>SUMPRODUCT((M_BOM[Part Name]=$A54)*M_BOM[RM_Qty_Per_Batch]*IFERROR(INDEX(PP_Grid[#Data],IF(M_BOM[PPGridRow]=54,NA(),M_BOM[PPGridRow]),59),0))/65.0</f>
        <v/>
      </c>
      <c r="BH54">
        <f>SUMPRODUCT((M_BOM[Part Name]=$A54)*M_BOM[RM_Qty_Per_Batch]*IFERROR(INDEX(PP_Grid[#Data],IF(M_BOM[PPGridRow]=54,NA(),M_BOM[PPGridRow]),60),0))/65.0</f>
        <v/>
      </c>
      <c r="BI54">
        <f>SUMPRODUCT((M_BOM[Part Name]=$A54)*M_BOM[RM_Qty_Per_Batch]*IFERROR(INDEX(PP_Grid[#Data],IF(M_BOM[PPGridRow]=54,NA(),M_BOM[PPGridRow]),61),0))/65.0</f>
        <v/>
      </c>
      <c r="BJ54">
        <f>SUMPRODUCT((M_BOM[Part Name]=$A54)*M_BOM[RM_Qty_Per_Batch]*IFERROR(INDEX(PP_Grid[#Data],IF(M_BOM[PPGridRow]=54,NA(),M_BOM[PPGridRow]),62),0))/65.0</f>
        <v/>
      </c>
      <c r="BK54">
        <f>SUMPRODUCT((M_BOM[Part Name]=$A54)*M_BOM[RM_Qty_Per_Batch]*IFERROR(INDEX(PP_Grid[#Data],IF(M_BOM[PPGridRow]=54,NA(),M_BOM[PPGridRow]),63),0))/65.0</f>
        <v/>
      </c>
      <c r="BL54">
        <f>SUMPRODUCT((M_BOM[Part Name]=$A54)*M_BOM[RM_Qty_Per_Batch]*IFERROR(INDEX(PP_Grid[#Data],IF(M_BOM[PPGridRow]=54,NA(),M_BOM[PPGridRow]),64),0))/65.0</f>
        <v/>
      </c>
      <c r="BM54">
        <f>SUMPRODUCT((M_BOM[Part Name]=$A54)*M_BOM[RM_Qty_Per_Batch]*IFERROR(INDEX(PP_Grid[#Data],IF(M_BOM[PPGridRow]=54,NA(),M_BOM[PPGridRow]),65),0))/65.0</f>
        <v/>
      </c>
      <c r="BN54">
        <f>SUMPRODUCT((M_BOM[Part Name]=$A54)*M_BOM[RM_Qty_Per_Batch]*IFERROR(INDEX(PP_Grid[#Data],IF(M_BOM[PPGridRow]=54,NA(),M_BOM[PPGridRow]),66),0))/65.0</f>
        <v/>
      </c>
      <c r="BO54">
        <f>SUMPRODUCT((M_BOM[Part Name]=$A54)*M_BOM[RM_Qty_Per_Batch]*IFERROR(INDEX(PP_Grid[#Data],IF(M_BOM[PPGridRow]=54,NA(),M_BOM[PPGridRow]),67),0))/65.0</f>
        <v/>
      </c>
      <c r="BP54">
        <f>SUMPRODUCT((M_BOM[Part Name]=$A54)*M_BOM[RM_Qty_Per_Batch]*IFERROR(INDEX(PP_Grid[#Data],IF(M_BOM[PPGridRow]=54,NA(),M_BOM[PPGridRow]),68),0))/65.0</f>
        <v/>
      </c>
      <c r="BQ54">
        <f>SUMPRODUCT((M_BOM[Part Name]=$A54)*M_BOM[RM_Qty_Per_Batch]*IFERROR(INDEX(PP_Grid[#Data],IF(M_BOM[PPGridRow]=54,NA(),M_BOM[PPGridRow]),69),0))/65.0</f>
        <v/>
      </c>
      <c r="BR54">
        <f>SUMPRODUCT((M_BOM[Part Name]=$A54)*M_BOM[RM_Qty_Per_Batch]*IFERROR(INDEX(PP_Grid[#Data],IF(M_BOM[PPGridRow]=54,NA(),M_BOM[PPGridRow]),70),0))/65.0</f>
        <v/>
      </c>
      <c r="BS54">
        <f>SUMPRODUCT((M_BOM[Part Name]=$A54)*M_BOM[RM_Qty_Per_Batch]*IFERROR(INDEX(PP_Grid[#Data],IF(M_BOM[PPGridRow]=54,NA(),M_BOM[PPGridRow]),71),0))/65.0</f>
        <v/>
      </c>
      <c r="BT54">
        <f>SUMPRODUCT((M_BOM[Part Name]=$A54)*M_BOM[RM_Qty_Per_Batch]*IFERROR(INDEX(PP_Grid[#Data],IF(M_BOM[PPGridRow]=54,NA(),M_BOM[PPGridRow]),72),0))/65.0</f>
        <v/>
      </c>
      <c r="BU54">
        <f>SUMPRODUCT((M_BOM[Part Name]=$A54)*M_BOM[RM_Qty_Per_Batch]*IFERROR(INDEX(PP_Grid[#Data],IF(M_BOM[PPGridRow]=54,NA(),M_BOM[PPGridRow]),73),0))/65.0</f>
        <v/>
      </c>
      <c r="BV54">
        <f>SUMPRODUCT((M_BOM[Part Name]=$A54)*M_BOM[RM_Qty_Per_Batch]*IFERROR(INDEX(PP_Grid[#Data],IF(M_BOM[PPGridRow]=54,NA(),M_BOM[PPGridRow]),74),0))/65.0</f>
        <v/>
      </c>
      <c r="BW54">
        <f>SUMPRODUCT((M_BOM[Part Name]=$A54)*M_BOM[RM_Qty_Per_Batch]*IFERROR(INDEX(PP_Grid[#Data],IF(M_BOM[PPGridRow]=54,NA(),M_BOM[PPGridRow]),75),0))/65.0</f>
        <v/>
      </c>
      <c r="BX54">
        <f>SUMPRODUCT((M_BOM[Part Name]=$A54)*M_BOM[RM_Qty_Per_Batch]*IFERROR(INDEX(PP_Grid[#Data],IF(M_BOM[PPGridRow]=54,NA(),M_BOM[PPGridRow]),76),0))/65.0</f>
        <v/>
      </c>
      <c r="BY54">
        <f>SUMPRODUCT((M_BOM[Part Name]=$A54)*M_BOM[RM_Qty_Per_Batch]*IFERROR(INDEX(PP_Grid[#Data],IF(M_BOM[PPGridRow]=54,NA(),M_BOM[PPGridRow]),77),0))/65.0</f>
        <v/>
      </c>
      <c r="BZ54">
        <f>SUMPRODUCT((M_BOM[Part Name]=$A54)*M_BOM[RM_Qty_Per_Batch]*IFERROR(INDEX(PP_Grid[#Data],IF(M_BOM[PPGridRow]=54,NA(),M_BOM[PPGridRow]),78),0))/65.0</f>
        <v/>
      </c>
      <c r="CA54">
        <f>SUMPRODUCT((M_BOM[Part Name]=$A54)*M_BOM[RM_Qty_Per_Batch]*IFERROR(INDEX(PP_Grid[#Data],IF(M_BOM[PPGridRow]=54,NA(),M_BOM[PPGridRow]),79),0))/65.0</f>
        <v/>
      </c>
      <c r="CB54">
        <f>SUMPRODUCT((M_BOM[Part Name]=$A54)*M_BOM[RM_Qty_Per_Batch]*IFERROR(INDEX(PP_Grid[#Data],IF(M_BOM[PPGridRow]=54,NA(),M_BOM[PPGridRow]),80),0))/65.0</f>
        <v/>
      </c>
      <c r="CC54">
        <f>SUMPRODUCT((M_BOM[Part Name]=$A54)*M_BOM[RM_Qty_Per_Batch]*IFERROR(INDEX(PP_Grid[#Data],IF(M_BOM[PPGridRow]=54,NA(),M_BOM[PPGridRow]),81),0))/65.0</f>
        <v/>
      </c>
      <c r="CD54">
        <f>SUMPRODUCT((M_BOM[Part Name]=$A54)*M_BOM[RM_Qty_Per_Batch]*IFERROR(INDEX(PP_Grid[#Data],IF(M_BOM[PPGridRow]=54,NA(),M_BOM[PPGridRow]),82),0))/65.0</f>
        <v/>
      </c>
      <c r="CE54">
        <f>SUMPRODUCT((M_BOM[Part Name]=$A54)*M_BOM[RM_Qty_Per_Batch]*IFERROR(INDEX(PP_Grid[#Data],IF(M_BOM[PPGridRow]=54,NA(),M_BOM[PPGridRow]),83),0))/65.0</f>
        <v/>
      </c>
      <c r="CF54">
        <f>SUMPRODUCT((M_BOM[Part Name]=$A54)*M_BOM[RM_Qty_Per_Batch]*IFERROR(INDEX(PP_Grid[#Data],IF(M_BOM[PPGridRow]=54,NA(),M_BOM[PPGridRow]),84),0))/65.0</f>
        <v/>
      </c>
      <c r="CG54">
        <f>SUMPRODUCT((M_BOM[Part Name]=$A54)*M_BOM[RM_Qty_Per_Batch]*IFERROR(INDEX(PP_Grid[#Data],IF(M_BOM[PPGridRow]=54,NA(),M_BOM[PPGridRow]),85),0))/65.0</f>
        <v/>
      </c>
      <c r="CH54">
        <f>SUMPRODUCT((M_BOM[Part Name]=$A54)*M_BOM[RM_Qty_Per_Batch]*IFERROR(INDEX(PP_Grid[#Data],IF(M_BOM[PPGridRow]=54,NA(),M_BOM[PPGridRow]),86),0))/65.0</f>
        <v/>
      </c>
      <c r="CI54">
        <f>SUMPRODUCT((M_BOM[Part Name]=$A54)*M_BOM[RM_Qty_Per_Batch]*IFERROR(INDEX(PP_Grid[#Data],IF(M_BOM[PPGridRow]=54,NA(),M_BOM[PPGridRow]),87),0))/65.0</f>
        <v/>
      </c>
      <c r="CJ54">
        <f>SUMPRODUCT((M_BOM[Part Name]=$A54)*M_BOM[RM_Qty_Per_Batch]*IFERROR(INDEX(PP_Grid[#Data],IF(M_BOM[PPGridRow]=54,NA(),M_BOM[PPGridRow]),88),0))/65.0</f>
        <v/>
      </c>
      <c r="CK54">
        <f>SUMPRODUCT((M_BOM[Part Name]=$A54)*M_BOM[RM_Qty_Per_Batch]*IFERROR(INDEX(PP_Grid[#Data],IF(M_BOM[PPGridRow]=54,NA(),M_BOM[PPGridRow]),89),0))/65.0</f>
        <v/>
      </c>
      <c r="CL54">
        <f>SUMPRODUCT((M_BOM[Part Name]=$A54)*M_BOM[RM_Qty_Per_Batch]*IFERROR(INDEX(PP_Grid[#Data],IF(M_BOM[PPGridRow]=54,NA(),M_BOM[PPGridRow]),90),0))/65.0</f>
        <v/>
      </c>
      <c r="CM54">
        <f>SUMPRODUCT((M_BOM[Part Name]=$A54)*M_BOM[RM_Qty_Per_Batch]*IFERROR(INDEX(PP_Grid[#Data],IF(M_BOM[PPGridRow]=54,NA(),M_BOM[PPGridRow]),91),0))/65.0</f>
        <v/>
      </c>
      <c r="CN54">
        <f>SUMPRODUCT((M_BOM[Part Name]=$A54)*M_BOM[RM_Qty_Per_Batch]*IFERROR(INDEX(PP_Grid[#Data],IF(M_BOM[PPGridRow]=54,NA(),M_BOM[PPGridRow]),92),0))/65.0</f>
        <v/>
      </c>
      <c r="CO54">
        <f>SUMPRODUCT((M_BOM[Part Name]=$A54)*M_BOM[RM_Qty_Per_Batch]*IFERROR(INDEX(PP_Grid[#Data],IF(M_BOM[PPGridRow]=54,NA(),M_BOM[PPGridRow]),93),0))/65.0</f>
        <v/>
      </c>
      <c r="CP54">
        <f>SUMPRODUCT((M_BOM[Part Name]=$A54)*M_BOM[RM_Qty_Per_Batch]*IFERROR(INDEX(PP_Grid[#Data],IF(M_BOM[PPGridRow]=54,NA(),M_BOM[PPGridRow]),94),0))/65.0</f>
        <v/>
      </c>
      <c r="CQ54">
        <f>SUMPRODUCT((M_BOM[Part Name]=$A54)*M_BOM[RM_Qty_Per_Batch]*IFERROR(INDEX(PP_Grid[#Data],IF(M_BOM[PPGridRow]=54,NA(),M_BOM[PPGridRow]),95),0))/65.0</f>
        <v/>
      </c>
      <c r="CR54">
        <f>SUMPRODUCT((M_BOM[Part Name]=$A54)*M_BOM[RM_Qty_Per_Batch]*IFERROR(INDEX(PP_Grid[#Data],IF(M_BOM[PPGridRow]=54,NA(),M_BOM[PPGridRow]),96),0))/65.0</f>
        <v/>
      </c>
      <c r="CS54">
        <f>SUMPRODUCT((M_BOM[Part Name]=$A54)*M_BOM[RM_Qty_Per_Batch]*IFERROR(INDEX(PP_Grid[#Data],IF(M_BOM[PPGridRow]=54,NA(),M_BOM[PPGridRow]),97),0))/65.0</f>
        <v/>
      </c>
      <c r="CT54">
        <f>SUMPRODUCT((M_BOM[Part Name]=$A54)*M_BOM[RM_Qty_Per_Batch]*IFERROR(INDEX(PP_Grid[#Data],IF(M_BOM[PPGridRow]=54,NA(),M_BOM[PPGridRow]),98),0))/65.0</f>
        <v/>
      </c>
      <c r="CU54">
        <f>SUMPRODUCT((M_BOM[Part Name]=$A54)*M_BOM[RM_Qty_Per_Batch]*IFERROR(INDEX(PP_Grid[#Data],IF(M_BOM[PPGridRow]=54,NA(),M_BOM[PPGridRow]),99),0))/65.0</f>
        <v/>
      </c>
      <c r="CV54">
        <f>SUMPRODUCT((M_BOM[Part Name]=$A54)*M_BOM[RM_Qty_Per_Batch]*IFERROR(INDEX(PP_Grid[#Data],IF(M_BOM[PPGridRow]=54,NA(),M_BOM[PPGridRow]),100),0))/65.0</f>
        <v/>
      </c>
      <c r="CW54">
        <f>SUMPRODUCT((M_BOM[Part Name]=$A54)*M_BOM[RM_Qty_Per_Batch]*IFERROR(INDEX(PP_Grid[#Data],IF(M_BOM[PPGridRow]=54,NA(),M_BOM[PPGridRow]),101),0))/65.0</f>
        <v/>
      </c>
      <c r="CX54">
        <f>SUMPRODUCT((M_BOM[Part Name]=$A54)*M_BOM[RM_Qty_Per_Batch]*IFERROR(INDEX(PP_Grid[#Data],IF(M_BOM[PPGridRow]=54,NA(),M_BOM[PPGridRow]),102),0))/65.0</f>
        <v/>
      </c>
      <c r="CY54">
        <f>SUMPRODUCT((M_BOM[Part Name]=$A54)*M_BOM[RM_Qty_Per_Batch]*IFERROR(INDEX(PP_Grid[#Data],IF(M_BOM[PPGridRow]=54,NA(),M_BOM[PPGridRow]),103),0))/65.0</f>
        <v/>
      </c>
      <c r="CZ54">
        <f>SUMPRODUCT((M_BOM[Part Name]=$A54)*M_BOM[RM_Qty_Per_Batch]*IFERROR(INDEX(PP_Grid[#Data],IF(M_BOM[PPGridRow]=54,NA(),M_BOM[PPGridRow]),104),0))/65.0</f>
        <v/>
      </c>
      <c r="DA54">
        <f>SUMPRODUCT((M_BOM[Part Name]=$A54)*M_BOM[RM_Qty_Per_Batch]*IFERROR(INDEX(PP_Grid[#Data],IF(M_BOM[PPGridRow]=54,NA(),M_BOM[PPGridRow]),105),0))/65.0</f>
        <v/>
      </c>
    </row>
    <row r="55">
      <c r="A55" t="inlineStr">
        <is>
          <t>TVS-267</t>
        </is>
      </c>
      <c r="B55" s="23" t="n">
        <v>0</v>
      </c>
      <c r="C55" s="23" t="n">
        <v>0</v>
      </c>
      <c r="D55" s="23" t="n">
        <v>0</v>
      </c>
      <c r="E55" s="23" t="n">
        <v>0</v>
      </c>
      <c r="F55" s="23" t="n">
        <v>0</v>
      </c>
      <c r="G55" s="23" t="n">
        <v>0</v>
      </c>
      <c r="H55" s="23" t="n">
        <v>0</v>
      </c>
      <c r="I55" s="23" t="n">
        <v>0</v>
      </c>
      <c r="J55" s="23" t="n">
        <v>0</v>
      </c>
      <c r="K55" s="23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3" t="n">
        <v>0</v>
      </c>
      <c r="R55" s="23" t="n">
        <v>0</v>
      </c>
      <c r="S55" s="23" t="n">
        <v>0</v>
      </c>
      <c r="T55" s="23" t="n">
        <v>0</v>
      </c>
      <c r="U55" s="23" t="n">
        <v>0</v>
      </c>
      <c r="V55" s="23" t="n">
        <v>0</v>
      </c>
      <c r="W55" s="23" t="n">
        <v>0</v>
      </c>
      <c r="X55" s="23" t="n">
        <v>0</v>
      </c>
      <c r="Y55" s="23" t="n">
        <v>0</v>
      </c>
      <c r="Z55" s="23" t="n">
        <v>0</v>
      </c>
      <c r="AA55" s="23" t="n">
        <v>0</v>
      </c>
      <c r="AB55" s="23" t="n">
        <v>0</v>
      </c>
      <c r="AC55" s="23" t="n">
        <v>0</v>
      </c>
      <c r="AD55" s="23" t="n">
        <v>0</v>
      </c>
      <c r="AE55" s="23" t="n">
        <v>0</v>
      </c>
      <c r="AF55" s="23" t="n">
        <v>0</v>
      </c>
      <c r="AG55" s="23" t="n">
        <v>0</v>
      </c>
      <c r="AH55" s="23" t="n">
        <v>0</v>
      </c>
      <c r="AI55" s="23" t="n">
        <v>0</v>
      </c>
      <c r="AJ55" s="23" t="n">
        <v>0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0</v>
      </c>
      <c r="AT55" s="23" t="n">
        <v>0</v>
      </c>
      <c r="AU55" s="23" t="n">
        <v>0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0</v>
      </c>
      <c r="BP55" s="23" t="n">
        <v>0</v>
      </c>
      <c r="BQ55" s="23" t="n">
        <v>0</v>
      </c>
      <c r="BR55" s="23" t="n">
        <v>0</v>
      </c>
      <c r="BS55" s="23" t="n">
        <v>0</v>
      </c>
      <c r="BT55" s="23" t="n">
        <v>0</v>
      </c>
      <c r="BU55" s="23" t="n">
        <v>0</v>
      </c>
      <c r="BV55" s="23" t="n">
        <v>0</v>
      </c>
      <c r="BW55" s="23" t="n">
        <v>0</v>
      </c>
      <c r="BX55" s="23" t="n">
        <v>0</v>
      </c>
      <c r="BY55" s="23" t="n">
        <v>0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0</v>
      </c>
      <c r="CN55" s="23" t="n">
        <v>0</v>
      </c>
      <c r="CO55" s="23" t="n">
        <v>0</v>
      </c>
      <c r="CP55" s="23" t="n">
        <v>0</v>
      </c>
      <c r="CQ55" s="23" t="n">
        <v>0</v>
      </c>
      <c r="CR55" s="23" t="n">
        <v>0</v>
      </c>
      <c r="CS55" s="23" t="n">
        <v>0</v>
      </c>
      <c r="CT55" s="23" t="n">
        <v>0</v>
      </c>
      <c r="CU55" s="23" t="n">
        <v>0</v>
      </c>
      <c r="CV55" s="23" t="n">
        <v>0</v>
      </c>
      <c r="CW55" s="23" t="n">
        <v>0</v>
      </c>
      <c r="CX55" s="23" t="n">
        <v>0</v>
      </c>
      <c r="CY55" s="23" t="n">
        <v>0</v>
      </c>
      <c r="CZ55" s="23" t="n">
        <v>0</v>
      </c>
      <c r="DA55" s="23" t="n">
        <v>0</v>
      </c>
    </row>
    <row r="56">
      <c r="A56" t="inlineStr">
        <is>
          <t>TVS-500</t>
        </is>
      </c>
      <c r="B56" s="23" t="n">
        <v>0</v>
      </c>
      <c r="C56" s="23" t="n">
        <v>0</v>
      </c>
      <c r="D56" s="23" t="n">
        <v>0</v>
      </c>
      <c r="E56" s="23" t="n">
        <v>0</v>
      </c>
      <c r="F56" s="23" t="n">
        <v>0</v>
      </c>
      <c r="G56" s="23" t="n">
        <v>0</v>
      </c>
      <c r="H56" s="23" t="n">
        <v>0</v>
      </c>
      <c r="I56" s="23" t="n">
        <v>0</v>
      </c>
      <c r="J56" s="23" t="n">
        <v>0</v>
      </c>
      <c r="K56" s="23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3" t="n">
        <v>0</v>
      </c>
      <c r="R56" s="23" t="n">
        <v>0</v>
      </c>
      <c r="S56" s="23" t="n">
        <v>0</v>
      </c>
      <c r="T56" s="23" t="n">
        <v>0</v>
      </c>
      <c r="U56" s="23" t="n">
        <v>0</v>
      </c>
      <c r="V56" s="23" t="n">
        <v>0</v>
      </c>
      <c r="W56" s="23" t="n">
        <v>0</v>
      </c>
      <c r="X56" s="23" t="n">
        <v>0</v>
      </c>
      <c r="Y56" s="23" t="n">
        <v>0</v>
      </c>
      <c r="Z56" s="23" t="n">
        <v>0</v>
      </c>
      <c r="AA56" s="23" t="n">
        <v>0</v>
      </c>
      <c r="AB56" s="23" t="n">
        <v>0</v>
      </c>
      <c r="AC56" s="23" t="n">
        <v>0</v>
      </c>
      <c r="AD56" s="23" t="n">
        <v>0</v>
      </c>
      <c r="AE56" s="23" t="n">
        <v>0</v>
      </c>
      <c r="AF56" s="23" t="n">
        <v>0</v>
      </c>
      <c r="AG56" s="23" t="n">
        <v>0</v>
      </c>
      <c r="AH56" s="23" t="n">
        <v>0</v>
      </c>
      <c r="AI56" s="23" t="n">
        <v>0</v>
      </c>
      <c r="AJ56" s="23" t="n">
        <v>0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0</v>
      </c>
      <c r="AS56" s="23" t="n">
        <v>0</v>
      </c>
      <c r="AT56" s="23" t="n">
        <v>0</v>
      </c>
      <c r="AU56" s="23" t="n">
        <v>0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0</v>
      </c>
      <c r="BQ56" s="23" t="n">
        <v>0</v>
      </c>
      <c r="BR56" s="23" t="n">
        <v>0</v>
      </c>
      <c r="BS56" s="23" t="n">
        <v>0</v>
      </c>
      <c r="BT56" s="23" t="n">
        <v>0</v>
      </c>
      <c r="BU56" s="23" t="n">
        <v>0</v>
      </c>
      <c r="BV56" s="23" t="n">
        <v>0</v>
      </c>
      <c r="BW56" s="23" t="n">
        <v>0</v>
      </c>
      <c r="BX56" s="23" t="n">
        <v>0</v>
      </c>
      <c r="BY56" s="23" t="n">
        <v>0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0</v>
      </c>
      <c r="CN56" s="23" t="n">
        <v>0</v>
      </c>
      <c r="CO56" s="23" t="n">
        <v>0</v>
      </c>
      <c r="CP56" s="23" t="n">
        <v>0</v>
      </c>
      <c r="CQ56" s="23" t="n">
        <v>0</v>
      </c>
      <c r="CR56" s="23" t="n">
        <v>0</v>
      </c>
      <c r="CS56" s="23" t="n">
        <v>0</v>
      </c>
      <c r="CT56" s="23" t="n">
        <v>0</v>
      </c>
      <c r="CU56" s="23" t="n">
        <v>0</v>
      </c>
      <c r="CV56" s="23" t="n">
        <v>0</v>
      </c>
      <c r="CW56" s="23" t="n">
        <v>0</v>
      </c>
      <c r="CX56" s="23" t="n">
        <v>0</v>
      </c>
      <c r="CY56" s="23" t="n">
        <v>0</v>
      </c>
      <c r="CZ56" s="23" t="n">
        <v>0</v>
      </c>
      <c r="DA56" s="23" t="n">
        <v>0</v>
      </c>
    </row>
    <row r="57">
      <c r="A57" t="inlineStr">
        <is>
          <t>TVS-664</t>
        </is>
      </c>
      <c r="B57" s="23" t="n">
        <v>0</v>
      </c>
      <c r="C57" s="23" t="n">
        <v>0</v>
      </c>
      <c r="D57" s="23" t="n">
        <v>0</v>
      </c>
      <c r="E57" s="23" t="n">
        <v>0</v>
      </c>
      <c r="F57" s="23" t="n">
        <v>0</v>
      </c>
      <c r="G57" s="23" t="n">
        <v>0</v>
      </c>
      <c r="H57" s="23" t="n">
        <v>0</v>
      </c>
      <c r="I57" s="23" t="n">
        <v>0</v>
      </c>
      <c r="J57" s="23" t="n">
        <v>0</v>
      </c>
      <c r="K57" s="23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3" t="n">
        <v>0</v>
      </c>
      <c r="R57" s="23" t="n">
        <v>0</v>
      </c>
      <c r="S57" s="23" t="n">
        <v>0</v>
      </c>
      <c r="T57" s="23" t="n">
        <v>0</v>
      </c>
      <c r="U57" s="23" t="n">
        <v>0</v>
      </c>
      <c r="V57" s="23" t="n">
        <v>0</v>
      </c>
      <c r="W57" s="23" t="n">
        <v>0</v>
      </c>
      <c r="X57" s="23" t="n">
        <v>0</v>
      </c>
      <c r="Y57" s="23" t="n">
        <v>0</v>
      </c>
      <c r="Z57" s="23" t="n">
        <v>0</v>
      </c>
      <c r="AA57" s="23" t="n">
        <v>0</v>
      </c>
      <c r="AB57" s="23" t="n">
        <v>0</v>
      </c>
      <c r="AC57" s="23" t="n">
        <v>0</v>
      </c>
      <c r="AD57" s="23" t="n">
        <v>0</v>
      </c>
      <c r="AE57" s="23" t="n">
        <v>0</v>
      </c>
      <c r="AF57" s="23" t="n">
        <v>0</v>
      </c>
      <c r="AG57" s="23" t="n">
        <v>0</v>
      </c>
      <c r="AH57" s="23" t="n">
        <v>0</v>
      </c>
      <c r="AI57" s="23" t="n">
        <v>0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0</v>
      </c>
      <c r="CV57" s="23" t="n">
        <v>0</v>
      </c>
      <c r="CW57" s="23" t="n">
        <v>0</v>
      </c>
      <c r="CX57" s="23" t="n">
        <v>0</v>
      </c>
      <c r="CY57" s="23" t="n">
        <v>0</v>
      </c>
      <c r="CZ57" s="23" t="n">
        <v>0</v>
      </c>
      <c r="DA57" s="23" t="n">
        <v>0</v>
      </c>
    </row>
    <row r="58">
      <c r="A58" t="inlineStr">
        <is>
          <t>TVS-833</t>
        </is>
      </c>
      <c r="B58" s="23" t="n">
        <v>0</v>
      </c>
      <c r="C58" s="23" t="n">
        <v>0</v>
      </c>
      <c r="D58" s="23" t="n">
        <v>0</v>
      </c>
      <c r="E58" s="23" t="n">
        <v>0</v>
      </c>
      <c r="F58" s="23" t="n">
        <v>0</v>
      </c>
      <c r="G58" s="23" t="n">
        <v>0</v>
      </c>
      <c r="H58" s="23" t="n">
        <v>0</v>
      </c>
      <c r="I58" s="23" t="n">
        <v>0</v>
      </c>
      <c r="J58" s="23" t="n">
        <v>0</v>
      </c>
      <c r="K58" s="23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3" t="n">
        <v>0</v>
      </c>
      <c r="R58" s="23" t="n">
        <v>0</v>
      </c>
      <c r="S58" s="23" t="n">
        <v>0</v>
      </c>
      <c r="T58" s="23" t="n">
        <v>0</v>
      </c>
      <c r="U58" s="23" t="n">
        <v>0</v>
      </c>
      <c r="V58" s="23" t="n">
        <v>0</v>
      </c>
      <c r="W58" s="23" t="n">
        <v>0</v>
      </c>
      <c r="X58" s="23" t="n">
        <v>0</v>
      </c>
      <c r="Y58" s="23" t="n">
        <v>0</v>
      </c>
      <c r="Z58" s="23" t="n">
        <v>0</v>
      </c>
      <c r="AA58" s="23" t="n">
        <v>0</v>
      </c>
      <c r="AB58" s="23" t="n">
        <v>0</v>
      </c>
      <c r="AC58" s="23" t="n">
        <v>0</v>
      </c>
      <c r="AD58" s="23" t="n">
        <v>0</v>
      </c>
      <c r="AE58" s="23" t="n">
        <v>0</v>
      </c>
      <c r="AF58" s="23" t="n">
        <v>0</v>
      </c>
      <c r="AG58" s="23" t="n">
        <v>0</v>
      </c>
      <c r="AH58" s="23" t="n">
        <v>0</v>
      </c>
      <c r="AI58" s="23" t="n">
        <v>0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0</v>
      </c>
      <c r="CU58" s="23" t="n">
        <v>0</v>
      </c>
      <c r="CV58" s="23" t="n">
        <v>0</v>
      </c>
      <c r="CW58" s="23" t="n">
        <v>0</v>
      </c>
      <c r="CX58" s="23" t="n">
        <v>0</v>
      </c>
      <c r="CY58" s="23" t="n">
        <v>0</v>
      </c>
      <c r="CZ58" s="23" t="n">
        <v>0</v>
      </c>
      <c r="DA58" s="23" t="n">
        <v>0</v>
      </c>
    </row>
    <row r="59">
      <c r="A59" t="inlineStr">
        <is>
          <t>VSP-600</t>
        </is>
      </c>
      <c r="B59" s="23" t="n">
        <v>0</v>
      </c>
      <c r="C59" s="23" t="n">
        <v>0</v>
      </c>
      <c r="D59" s="23" t="n">
        <v>0</v>
      </c>
      <c r="E59" s="23" t="n">
        <v>0</v>
      </c>
      <c r="F59" s="23" t="n">
        <v>0</v>
      </c>
      <c r="G59" s="23" t="n">
        <v>0</v>
      </c>
      <c r="H59" s="23" t="n">
        <v>0</v>
      </c>
      <c r="I59" s="23" t="n">
        <v>0</v>
      </c>
      <c r="J59" s="23" t="n">
        <v>0</v>
      </c>
      <c r="K59" s="23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3" t="n">
        <v>0</v>
      </c>
      <c r="R59" s="23" t="n">
        <v>0</v>
      </c>
      <c r="S59" s="23" t="n">
        <v>0</v>
      </c>
      <c r="T59" s="23" t="n">
        <v>0</v>
      </c>
      <c r="U59" s="23" t="n">
        <v>0</v>
      </c>
      <c r="V59" s="23" t="n">
        <v>0</v>
      </c>
      <c r="W59" s="23" t="n">
        <v>0</v>
      </c>
      <c r="X59" s="23" t="n">
        <v>0</v>
      </c>
      <c r="Y59" s="23" t="n">
        <v>0</v>
      </c>
      <c r="Z59" s="23" t="n">
        <v>0</v>
      </c>
      <c r="AA59" s="23" t="n">
        <v>0</v>
      </c>
      <c r="AB59" s="23" t="n">
        <v>0</v>
      </c>
      <c r="AC59" s="23" t="n">
        <v>0</v>
      </c>
      <c r="AD59" s="23" t="n">
        <v>0</v>
      </c>
      <c r="AE59" s="23" t="n">
        <v>0</v>
      </c>
      <c r="AF59" s="23" t="n">
        <v>0</v>
      </c>
      <c r="AG59" s="23" t="n">
        <v>0</v>
      </c>
      <c r="AH59" s="23" t="n">
        <v>0</v>
      </c>
      <c r="AI59" s="23" t="n">
        <v>0</v>
      </c>
      <c r="AJ59" s="23" t="n">
        <v>0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0</v>
      </c>
      <c r="AU59" s="23" t="n">
        <v>0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0</v>
      </c>
      <c r="BS59" s="23" t="n">
        <v>0</v>
      </c>
      <c r="BT59" s="23" t="n">
        <v>0</v>
      </c>
      <c r="BU59" s="23" t="n">
        <v>0</v>
      </c>
      <c r="BV59" s="23" t="n">
        <v>0</v>
      </c>
      <c r="BW59" s="23" t="n">
        <v>0</v>
      </c>
      <c r="BX59" s="23" t="n">
        <v>0</v>
      </c>
      <c r="BY59" s="23" t="n">
        <v>0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0</v>
      </c>
      <c r="CN59" s="23" t="n">
        <v>0</v>
      </c>
      <c r="CO59" s="23" t="n">
        <v>0</v>
      </c>
      <c r="CP59" s="23" t="n">
        <v>0</v>
      </c>
      <c r="CQ59" s="23" t="n">
        <v>0</v>
      </c>
      <c r="CR59" s="23" t="n">
        <v>0</v>
      </c>
      <c r="CS59" s="23" t="n">
        <v>0</v>
      </c>
      <c r="CT59" s="23" t="n">
        <v>0</v>
      </c>
      <c r="CU59" s="23" t="n">
        <v>0</v>
      </c>
      <c r="CV59" s="23" t="n">
        <v>0</v>
      </c>
      <c r="CW59" s="23" t="n">
        <v>0</v>
      </c>
      <c r="CX59" s="23" t="n">
        <v>0</v>
      </c>
      <c r="CY59" s="23" t="n">
        <v>0</v>
      </c>
      <c r="CZ59" s="23" t="n">
        <v>0</v>
      </c>
      <c r="DA59" s="23" t="n">
        <v>0</v>
      </c>
    </row>
    <row r="60">
      <c r="A60" t="inlineStr">
        <is>
          <t>VSP-601</t>
        </is>
      </c>
      <c r="B60" s="23" t="n">
        <v>0</v>
      </c>
      <c r="C60" s="23" t="n">
        <v>0</v>
      </c>
      <c r="D60" s="23" t="n">
        <v>0</v>
      </c>
      <c r="E60" s="23" t="n">
        <v>0</v>
      </c>
      <c r="F60" s="23" t="n">
        <v>0</v>
      </c>
      <c r="G60" s="23" t="n">
        <v>0</v>
      </c>
      <c r="H60" s="23" t="n">
        <v>0</v>
      </c>
      <c r="I60" s="23" t="n">
        <v>0</v>
      </c>
      <c r="J60" s="23" t="n">
        <v>0</v>
      </c>
      <c r="K60" s="23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3" t="n">
        <v>0</v>
      </c>
      <c r="R60" s="23" t="n">
        <v>0</v>
      </c>
      <c r="S60" s="23" t="n">
        <v>0</v>
      </c>
      <c r="T60" s="23" t="n">
        <v>0</v>
      </c>
      <c r="U60" s="23" t="n">
        <v>0</v>
      </c>
      <c r="V60" s="23" t="n">
        <v>0</v>
      </c>
      <c r="W60" s="23" t="n">
        <v>0</v>
      </c>
      <c r="X60" s="23" t="n">
        <v>0</v>
      </c>
      <c r="Y60" s="23" t="n">
        <v>0</v>
      </c>
      <c r="Z60" s="23" t="n">
        <v>0</v>
      </c>
      <c r="AA60" s="23" t="n">
        <v>0</v>
      </c>
      <c r="AB60" s="23" t="n">
        <v>0</v>
      </c>
      <c r="AC60" s="23" t="n">
        <v>0</v>
      </c>
      <c r="AD60" s="23" t="n">
        <v>0</v>
      </c>
      <c r="AE60" s="23" t="n">
        <v>0</v>
      </c>
      <c r="AF60" s="23" t="n">
        <v>0</v>
      </c>
      <c r="AG60" s="23" t="n">
        <v>0</v>
      </c>
      <c r="AH60" s="23" t="n">
        <v>0</v>
      </c>
      <c r="AI60" s="23" t="n">
        <v>0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0</v>
      </c>
      <c r="BS60" s="23" t="n">
        <v>0</v>
      </c>
      <c r="BT60" s="23" t="n">
        <v>0</v>
      </c>
      <c r="BU60" s="23" t="n">
        <v>0</v>
      </c>
      <c r="BV60" s="23" t="n">
        <v>0</v>
      </c>
      <c r="BW60" s="23" t="n">
        <v>0</v>
      </c>
      <c r="BX60" s="23" t="n">
        <v>0</v>
      </c>
      <c r="BY60" s="23" t="n">
        <v>0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0</v>
      </c>
      <c r="CN60" s="23" t="n">
        <v>0</v>
      </c>
      <c r="CO60" s="23" t="n">
        <v>0</v>
      </c>
      <c r="CP60" s="23" t="n">
        <v>0</v>
      </c>
      <c r="CQ60" s="23" t="n">
        <v>0</v>
      </c>
      <c r="CR60" s="23" t="n">
        <v>0</v>
      </c>
      <c r="CS60" s="23" t="n">
        <v>0</v>
      </c>
      <c r="CT60" s="23" t="n">
        <v>0</v>
      </c>
      <c r="CU60" s="23" t="n">
        <v>0</v>
      </c>
      <c r="CV60" s="23" t="n">
        <v>0</v>
      </c>
      <c r="CW60" s="23" t="n">
        <v>0</v>
      </c>
      <c r="CX60" s="23" t="n">
        <v>0</v>
      </c>
      <c r="CY60" s="23" t="n">
        <v>0</v>
      </c>
      <c r="CZ60" s="23" t="n">
        <v>0</v>
      </c>
      <c r="DA60" s="23" t="n">
        <v>0</v>
      </c>
    </row>
    <row r="61">
      <c r="A61" t="inlineStr">
        <is>
          <t>VSP-602</t>
        </is>
      </c>
      <c r="B61" s="23" t="n">
        <v>0</v>
      </c>
      <c r="C61" s="23" t="n">
        <v>0</v>
      </c>
      <c r="D61" s="23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3" t="n">
        <v>0</v>
      </c>
      <c r="J61" s="23" t="n">
        <v>0</v>
      </c>
      <c r="K61" s="23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3" t="n">
        <v>0</v>
      </c>
      <c r="R61" s="23" t="n">
        <v>0</v>
      </c>
      <c r="S61" s="23" t="n">
        <v>0</v>
      </c>
      <c r="T61" s="23" t="n">
        <v>0</v>
      </c>
      <c r="U61" s="23" t="n">
        <v>0</v>
      </c>
      <c r="V61" s="23" t="n">
        <v>0</v>
      </c>
      <c r="W61" s="23" t="n">
        <v>0</v>
      </c>
      <c r="X61" s="23" t="n">
        <v>0</v>
      </c>
      <c r="Y61" s="23" t="n">
        <v>0</v>
      </c>
      <c r="Z61" s="23" t="n">
        <v>0</v>
      </c>
      <c r="AA61" s="23" t="n">
        <v>0</v>
      </c>
      <c r="AB61" s="23" t="n">
        <v>0</v>
      </c>
      <c r="AC61" s="23" t="n">
        <v>0</v>
      </c>
      <c r="AD61" s="23" t="n">
        <v>0</v>
      </c>
      <c r="AE61" s="23" t="n">
        <v>0</v>
      </c>
      <c r="AF61" s="23" t="n">
        <v>0</v>
      </c>
      <c r="AG61" s="23" t="n">
        <v>0</v>
      </c>
      <c r="AH61" s="23" t="n">
        <v>0</v>
      </c>
      <c r="AI61" s="23" t="n">
        <v>0</v>
      </c>
      <c r="AJ61" s="23" t="n">
        <v>0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0</v>
      </c>
      <c r="BQ61" s="23" t="n">
        <v>0</v>
      </c>
      <c r="BR61" s="23" t="n">
        <v>0</v>
      </c>
      <c r="BS61" s="23" t="n">
        <v>0</v>
      </c>
      <c r="BT61" s="23" t="n">
        <v>0</v>
      </c>
      <c r="BU61" s="23" t="n">
        <v>0</v>
      </c>
      <c r="BV61" s="23" t="n">
        <v>0</v>
      </c>
      <c r="BW61" s="23" t="n">
        <v>0</v>
      </c>
      <c r="BX61" s="23" t="n">
        <v>0</v>
      </c>
      <c r="BY61" s="23" t="n">
        <v>0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0</v>
      </c>
      <c r="CN61" s="23" t="n">
        <v>0</v>
      </c>
      <c r="CO61" s="23" t="n">
        <v>0</v>
      </c>
      <c r="CP61" s="23" t="n">
        <v>0</v>
      </c>
      <c r="CQ61" s="23" t="n">
        <v>0</v>
      </c>
      <c r="CR61" s="23" t="n">
        <v>0</v>
      </c>
      <c r="CS61" s="23" t="n">
        <v>0</v>
      </c>
      <c r="CT61" s="23" t="n">
        <v>0</v>
      </c>
      <c r="CU61" s="23" t="n">
        <v>0</v>
      </c>
      <c r="CV61" s="23" t="n">
        <v>0</v>
      </c>
      <c r="CW61" s="23" t="n">
        <v>0</v>
      </c>
      <c r="CX61" s="23" t="n">
        <v>0</v>
      </c>
      <c r="CY61" s="23" t="n">
        <v>0</v>
      </c>
      <c r="CZ61" s="23" t="n">
        <v>0</v>
      </c>
      <c r="DA61" s="23" t="n">
        <v>0</v>
      </c>
    </row>
    <row r="62">
      <c r="A62" t="inlineStr">
        <is>
          <t>VSP-820</t>
        </is>
      </c>
      <c r="B62" s="23" t="n">
        <v>0</v>
      </c>
      <c r="C62" s="23" t="n">
        <v>0</v>
      </c>
      <c r="D62" s="23" t="n">
        <v>0</v>
      </c>
      <c r="E62" s="23" t="n">
        <v>0</v>
      </c>
      <c r="F62" s="23" t="n">
        <v>0</v>
      </c>
      <c r="G62" s="23" t="n">
        <v>0</v>
      </c>
      <c r="H62" s="23" t="n">
        <v>0</v>
      </c>
      <c r="I62" s="23" t="n">
        <v>0</v>
      </c>
      <c r="J62" s="23" t="n">
        <v>0</v>
      </c>
      <c r="K62" s="23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3" t="n">
        <v>0</v>
      </c>
      <c r="R62" s="23" t="n">
        <v>0</v>
      </c>
      <c r="S62" s="23" t="n">
        <v>0</v>
      </c>
      <c r="T62" s="23" t="n">
        <v>0</v>
      </c>
      <c r="U62" s="23" t="n">
        <v>0</v>
      </c>
      <c r="V62" s="23" t="n">
        <v>0</v>
      </c>
      <c r="W62" s="23" t="n">
        <v>0</v>
      </c>
      <c r="X62" s="23" t="n">
        <v>0</v>
      </c>
      <c r="Y62" s="23" t="n">
        <v>0</v>
      </c>
      <c r="Z62" s="23" t="n">
        <v>0</v>
      </c>
      <c r="AA62" s="23" t="n">
        <v>0</v>
      </c>
      <c r="AB62" s="23" t="n">
        <v>0</v>
      </c>
      <c r="AC62" s="23" t="n">
        <v>0</v>
      </c>
      <c r="AD62" s="23" t="n">
        <v>0</v>
      </c>
      <c r="AE62" s="23" t="n">
        <v>0</v>
      </c>
      <c r="AF62" s="23" t="n">
        <v>0</v>
      </c>
      <c r="AG62" s="23" t="n">
        <v>0</v>
      </c>
      <c r="AH62" s="23" t="n">
        <v>0</v>
      </c>
      <c r="AI62" s="23" t="n">
        <v>0</v>
      </c>
      <c r="AJ62" s="23" t="n">
        <v>0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0</v>
      </c>
      <c r="AU62" s="23" t="n">
        <v>0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0</v>
      </c>
      <c r="BQ62" s="23" t="n">
        <v>0</v>
      </c>
      <c r="BR62" s="23" t="n">
        <v>0</v>
      </c>
      <c r="BS62" s="23" t="n">
        <v>0</v>
      </c>
      <c r="BT62" s="23" t="n">
        <v>0</v>
      </c>
      <c r="BU62" s="23" t="n">
        <v>0</v>
      </c>
      <c r="BV62" s="23" t="n">
        <v>0</v>
      </c>
      <c r="BW62" s="23" t="n">
        <v>0</v>
      </c>
      <c r="BX62" s="23" t="n">
        <v>0</v>
      </c>
      <c r="BY62" s="23" t="n">
        <v>0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0</v>
      </c>
      <c r="CN62" s="23" t="n">
        <v>0</v>
      </c>
      <c r="CO62" s="23" t="n">
        <v>0</v>
      </c>
      <c r="CP62" s="23" t="n">
        <v>0</v>
      </c>
      <c r="CQ62" s="23" t="n">
        <v>0</v>
      </c>
      <c r="CR62" s="23" t="n">
        <v>0</v>
      </c>
      <c r="CS62" s="23" t="n">
        <v>0</v>
      </c>
      <c r="CT62" s="23" t="n">
        <v>0</v>
      </c>
      <c r="CU62" s="23" t="n">
        <v>0</v>
      </c>
      <c r="CV62" s="23" t="n">
        <v>0</v>
      </c>
      <c r="CW62" s="23" t="n">
        <v>0</v>
      </c>
      <c r="CX62" s="23" t="n">
        <v>0</v>
      </c>
      <c r="CY62" s="23" t="n">
        <v>0</v>
      </c>
      <c r="CZ62" s="23" t="n">
        <v>0</v>
      </c>
      <c r="DA62" s="23" t="n">
        <v>0</v>
      </c>
    </row>
    <row r="63">
      <c r="A63" t="inlineStr">
        <is>
          <t>VSP-822</t>
        </is>
      </c>
      <c r="B63" s="23" t="n">
        <v>0</v>
      </c>
      <c r="C63" s="23" t="n">
        <v>0</v>
      </c>
      <c r="D63" s="23" t="n">
        <v>0</v>
      </c>
      <c r="E63" s="23" t="n">
        <v>0</v>
      </c>
      <c r="F63" s="23" t="n">
        <v>0</v>
      </c>
      <c r="G63" s="23" t="n">
        <v>0</v>
      </c>
      <c r="H63" s="23" t="n">
        <v>0</v>
      </c>
      <c r="I63" s="23" t="n">
        <v>0</v>
      </c>
      <c r="J63" s="23" t="n">
        <v>0</v>
      </c>
      <c r="K63" s="23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3" t="n">
        <v>0</v>
      </c>
      <c r="R63" s="23" t="n">
        <v>0</v>
      </c>
      <c r="S63" s="23" t="n">
        <v>0</v>
      </c>
      <c r="T63" s="23" t="n">
        <v>0</v>
      </c>
      <c r="U63" s="23" t="n">
        <v>0</v>
      </c>
      <c r="V63" s="23" t="n">
        <v>0</v>
      </c>
      <c r="W63" s="23" t="n">
        <v>0</v>
      </c>
      <c r="X63" s="23" t="n">
        <v>0</v>
      </c>
      <c r="Y63" s="23" t="n">
        <v>0</v>
      </c>
      <c r="Z63" s="23" t="n">
        <v>0</v>
      </c>
      <c r="AA63" s="23" t="n">
        <v>0</v>
      </c>
      <c r="AB63" s="23" t="n">
        <v>0</v>
      </c>
      <c r="AC63" s="23" t="n">
        <v>0</v>
      </c>
      <c r="AD63" s="23" t="n">
        <v>0</v>
      </c>
      <c r="AE63" s="23" t="n">
        <v>0</v>
      </c>
      <c r="AF63" s="23" t="n">
        <v>0</v>
      </c>
      <c r="AG63" s="23" t="n">
        <v>0</v>
      </c>
      <c r="AH63" s="23" t="n">
        <v>0</v>
      </c>
      <c r="AI63" s="23" t="n">
        <v>0</v>
      </c>
      <c r="AJ63" s="23" t="n">
        <v>0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0</v>
      </c>
      <c r="AT63" s="23" t="n">
        <v>0</v>
      </c>
      <c r="AU63" s="23" t="n">
        <v>0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0</v>
      </c>
      <c r="BP63" s="23" t="n">
        <v>0</v>
      </c>
      <c r="BQ63" s="23" t="n">
        <v>0</v>
      </c>
      <c r="BR63" s="23" t="n">
        <v>0</v>
      </c>
      <c r="BS63" s="23" t="n">
        <v>0</v>
      </c>
      <c r="BT63" s="23" t="n">
        <v>0</v>
      </c>
      <c r="BU63" s="23" t="n">
        <v>0</v>
      </c>
      <c r="BV63" s="23" t="n">
        <v>0</v>
      </c>
      <c r="BW63" s="23" t="n">
        <v>0</v>
      </c>
      <c r="BX63" s="23" t="n">
        <v>0</v>
      </c>
      <c r="BY63" s="23" t="n">
        <v>0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0</v>
      </c>
      <c r="CN63" s="23" t="n">
        <v>0</v>
      </c>
      <c r="CO63" s="23" t="n">
        <v>0</v>
      </c>
      <c r="CP63" s="23" t="n">
        <v>0</v>
      </c>
      <c r="CQ63" s="23" t="n">
        <v>0</v>
      </c>
      <c r="CR63" s="23" t="n">
        <v>0</v>
      </c>
      <c r="CS63" s="23" t="n">
        <v>0</v>
      </c>
      <c r="CT63" s="23" t="n">
        <v>0</v>
      </c>
      <c r="CU63" s="23" t="n">
        <v>0</v>
      </c>
      <c r="CV63" s="23" t="n">
        <v>0</v>
      </c>
      <c r="CW63" s="23" t="n">
        <v>0</v>
      </c>
      <c r="CX63" s="23" t="n">
        <v>0</v>
      </c>
      <c r="CY63" s="23" t="n">
        <v>0</v>
      </c>
      <c r="CZ63" s="23" t="n">
        <v>0</v>
      </c>
      <c r="DA63" s="23" t="n">
        <v>0</v>
      </c>
    </row>
    <row r="64">
      <c r="A64" t="inlineStr">
        <is>
          <t>VSP-910</t>
        </is>
      </c>
      <c r="B64" s="23" t="n">
        <v>0</v>
      </c>
      <c r="C64" s="23" t="n">
        <v>0</v>
      </c>
      <c r="D64" s="23" t="n">
        <v>0</v>
      </c>
      <c r="E64" s="23" t="n">
        <v>0</v>
      </c>
      <c r="F64" s="23" t="n">
        <v>0</v>
      </c>
      <c r="G64" s="23" t="n">
        <v>0</v>
      </c>
      <c r="H64" s="23" t="n">
        <v>0</v>
      </c>
      <c r="I64" s="23" t="n">
        <v>0</v>
      </c>
      <c r="J64" s="23" t="n">
        <v>0</v>
      </c>
      <c r="K64" s="23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3" t="n">
        <v>0</v>
      </c>
      <c r="R64" s="23" t="n">
        <v>0</v>
      </c>
      <c r="S64" s="23" t="n">
        <v>0</v>
      </c>
      <c r="T64" s="23" t="n">
        <v>0</v>
      </c>
      <c r="U64" s="23" t="n">
        <v>0</v>
      </c>
      <c r="V64" s="23" t="n">
        <v>0</v>
      </c>
      <c r="W64" s="23" t="n">
        <v>0</v>
      </c>
      <c r="X64" s="23" t="n">
        <v>0</v>
      </c>
      <c r="Y64" s="23" t="n">
        <v>0</v>
      </c>
      <c r="Z64" s="23" t="n">
        <v>0</v>
      </c>
      <c r="AA64" s="23" t="n">
        <v>0</v>
      </c>
      <c r="AB64" s="23" t="n">
        <v>0</v>
      </c>
      <c r="AC64" s="23" t="n">
        <v>0</v>
      </c>
      <c r="AD64" s="23" t="n">
        <v>0</v>
      </c>
      <c r="AE64" s="23" t="n">
        <v>0</v>
      </c>
      <c r="AF64" s="23" t="n">
        <v>0</v>
      </c>
      <c r="AG64" s="23" t="n">
        <v>0</v>
      </c>
      <c r="AH64" s="23" t="n">
        <v>0</v>
      </c>
      <c r="AI64" s="23" t="n">
        <v>0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0</v>
      </c>
      <c r="CV64" s="23" t="n">
        <v>0</v>
      </c>
      <c r="CW64" s="23" t="n">
        <v>0</v>
      </c>
      <c r="CX64" s="23" t="n">
        <v>0</v>
      </c>
      <c r="CY64" s="23" t="n">
        <v>0</v>
      </c>
      <c r="CZ64" s="23" t="n">
        <v>0</v>
      </c>
      <c r="DA64" s="23" t="n">
        <v>0</v>
      </c>
    </row>
    <row r="65">
      <c r="A65" t="inlineStr">
        <is>
          <t>VSP-989</t>
        </is>
      </c>
      <c r="B65" s="23" t="n">
        <v>0</v>
      </c>
      <c r="C65" s="23" t="n">
        <v>0</v>
      </c>
      <c r="D65" s="23" t="n">
        <v>0</v>
      </c>
      <c r="E65" s="23" t="n">
        <v>0</v>
      </c>
      <c r="F65" s="23" t="n">
        <v>0</v>
      </c>
      <c r="G65" s="23" t="n">
        <v>0</v>
      </c>
      <c r="H65" s="23" t="n">
        <v>0</v>
      </c>
      <c r="I65" s="23" t="n">
        <v>0</v>
      </c>
      <c r="J65" s="23" t="n">
        <v>0</v>
      </c>
      <c r="K65" s="23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3" t="n">
        <v>0</v>
      </c>
      <c r="R65" s="23" t="n">
        <v>0</v>
      </c>
      <c r="S65" s="23" t="n">
        <v>0</v>
      </c>
      <c r="T65" s="23" t="n">
        <v>0</v>
      </c>
      <c r="U65" s="23" t="n">
        <v>0</v>
      </c>
      <c r="V65" s="23" t="n">
        <v>0</v>
      </c>
      <c r="W65" s="23" t="n">
        <v>0</v>
      </c>
      <c r="X65" s="23" t="n">
        <v>0</v>
      </c>
      <c r="Y65" s="23" t="n">
        <v>0</v>
      </c>
      <c r="Z65" s="23" t="n">
        <v>0</v>
      </c>
      <c r="AA65" s="23" t="n">
        <v>0</v>
      </c>
      <c r="AB65" s="23" t="n">
        <v>0</v>
      </c>
      <c r="AC65" s="23" t="n">
        <v>0</v>
      </c>
      <c r="AD65" s="23" t="n">
        <v>0</v>
      </c>
      <c r="AE65" s="23" t="n">
        <v>0</v>
      </c>
      <c r="AF65" s="23" t="n">
        <v>0</v>
      </c>
      <c r="AG65" s="23" t="n">
        <v>0</v>
      </c>
      <c r="AH65" s="23" t="n">
        <v>0</v>
      </c>
      <c r="AI65" s="23" t="n">
        <v>0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0</v>
      </c>
      <c r="CV65" s="23" t="n">
        <v>0</v>
      </c>
      <c r="CW65" s="23" t="n">
        <v>0</v>
      </c>
      <c r="CX65" s="23" t="n">
        <v>0</v>
      </c>
      <c r="CY65" s="23" t="n">
        <v>0</v>
      </c>
      <c r="CZ65" s="23" t="n">
        <v>0</v>
      </c>
      <c r="DA65" s="23" t="n">
        <v>0</v>
      </c>
    </row>
    <row r="66">
      <c r="A66" t="inlineStr">
        <is>
          <t>VSP-990</t>
        </is>
      </c>
      <c r="B66" s="23" t="n">
        <v>0</v>
      </c>
      <c r="C66" s="23" t="n">
        <v>0</v>
      </c>
      <c r="D66" s="23" t="n">
        <v>0</v>
      </c>
      <c r="E66" s="23" t="n">
        <v>0</v>
      </c>
      <c r="F66" s="23" t="n">
        <v>0</v>
      </c>
      <c r="G66" s="23" t="n">
        <v>0</v>
      </c>
      <c r="H66" s="23" t="n">
        <v>0</v>
      </c>
      <c r="I66" s="23" t="n">
        <v>0</v>
      </c>
      <c r="J66" s="23" t="n">
        <v>0</v>
      </c>
      <c r="K66" s="23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3" t="n">
        <v>0</v>
      </c>
      <c r="R66" s="23" t="n">
        <v>0</v>
      </c>
      <c r="S66" s="23" t="n">
        <v>0</v>
      </c>
      <c r="T66" s="23" t="n">
        <v>0</v>
      </c>
      <c r="U66" s="23" t="n">
        <v>0</v>
      </c>
      <c r="V66" s="23" t="n">
        <v>0</v>
      </c>
      <c r="W66" s="23" t="n">
        <v>0</v>
      </c>
      <c r="X66" s="23" t="n">
        <v>0</v>
      </c>
      <c r="Y66" s="23" t="n">
        <v>0</v>
      </c>
      <c r="Z66" s="23" t="n">
        <v>0</v>
      </c>
      <c r="AA66" s="23" t="n">
        <v>0</v>
      </c>
      <c r="AB66" s="23" t="n">
        <v>0</v>
      </c>
      <c r="AC66" s="23" t="n">
        <v>0</v>
      </c>
      <c r="AD66" s="23" t="n">
        <v>0</v>
      </c>
      <c r="AE66" s="23" t="n">
        <v>0</v>
      </c>
      <c r="AF66" s="23" t="n">
        <v>0</v>
      </c>
      <c r="AG66" s="23" t="n">
        <v>0</v>
      </c>
      <c r="AH66" s="23" t="n">
        <v>0</v>
      </c>
      <c r="AI66" s="23" t="n">
        <v>0</v>
      </c>
      <c r="AJ66" s="23" t="n">
        <v>0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0</v>
      </c>
      <c r="AU66" s="23" t="n">
        <v>0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0</v>
      </c>
      <c r="BQ66" s="23" t="n">
        <v>0</v>
      </c>
      <c r="BR66" s="23" t="n">
        <v>0</v>
      </c>
      <c r="BS66" s="23" t="n">
        <v>0</v>
      </c>
      <c r="BT66" s="23" t="n">
        <v>0</v>
      </c>
      <c r="BU66" s="23" t="n">
        <v>0</v>
      </c>
      <c r="BV66" s="23" t="n">
        <v>0</v>
      </c>
      <c r="BW66" s="23" t="n">
        <v>0</v>
      </c>
      <c r="BX66" s="23" t="n">
        <v>0</v>
      </c>
      <c r="BY66" s="23" t="n">
        <v>0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0</v>
      </c>
      <c r="CN66" s="23" t="n">
        <v>0</v>
      </c>
      <c r="CO66" s="23" t="n">
        <v>0</v>
      </c>
      <c r="CP66" s="23" t="n">
        <v>0</v>
      </c>
      <c r="CQ66" s="23" t="n">
        <v>0</v>
      </c>
      <c r="CR66" s="23" t="n">
        <v>0</v>
      </c>
      <c r="CS66" s="23" t="n">
        <v>0</v>
      </c>
      <c r="CT66" s="23" t="n">
        <v>0</v>
      </c>
      <c r="CU66" s="23" t="n">
        <v>0</v>
      </c>
      <c r="CV66" s="23" t="n">
        <v>0</v>
      </c>
      <c r="CW66" s="23" t="n">
        <v>0</v>
      </c>
      <c r="CX66" s="23" t="n">
        <v>0</v>
      </c>
      <c r="CY66" s="23" t="n">
        <v>0</v>
      </c>
      <c r="CZ66" s="23" t="n">
        <v>0</v>
      </c>
      <c r="DA66" s="23" t="n">
        <v>0</v>
      </c>
    </row>
    <row r="67">
      <c r="A67" t="inlineStr">
        <is>
          <t>TPP-103</t>
        </is>
      </c>
      <c r="B67">
        <f>SUMPRODUCT((M_BOM[Part Name]=$A67)*M_BOM[RM_Qty_Per_Batch]*IFERROR(INDEX(PP_Grid[#Data],IF(M_BOM[PPGridRow]=67,NA(),M_BOM[PPGridRow]),2),0))/69.45</f>
        <v/>
      </c>
      <c r="C67">
        <f>SUMPRODUCT((M_BOM[Part Name]=$A67)*M_BOM[RM_Qty_Per_Batch]*IFERROR(INDEX(PP_Grid[#Data],IF(M_BOM[PPGridRow]=67,NA(),M_BOM[PPGridRow]),3),0))/69.45</f>
        <v/>
      </c>
      <c r="D67">
        <f>SUMPRODUCT((M_BOM[Part Name]=$A67)*M_BOM[RM_Qty_Per_Batch]*IFERROR(INDEX(PP_Grid[#Data],IF(M_BOM[PPGridRow]=67,NA(),M_BOM[PPGridRow]),4),0))/69.45</f>
        <v/>
      </c>
      <c r="E67">
        <f>SUMPRODUCT((M_BOM[Part Name]=$A67)*M_BOM[RM_Qty_Per_Batch]*IFERROR(INDEX(PP_Grid[#Data],IF(M_BOM[PPGridRow]=67,NA(),M_BOM[PPGridRow]),5),0))/69.45</f>
        <v/>
      </c>
      <c r="F67">
        <f>SUMPRODUCT((M_BOM[Part Name]=$A67)*M_BOM[RM_Qty_Per_Batch]*IFERROR(INDEX(PP_Grid[#Data],IF(M_BOM[PPGridRow]=67,NA(),M_BOM[PPGridRow]),6),0))/69.45</f>
        <v/>
      </c>
      <c r="G67">
        <f>SUMPRODUCT((M_BOM[Part Name]=$A67)*M_BOM[RM_Qty_Per_Batch]*IFERROR(INDEX(PP_Grid[#Data],IF(M_BOM[PPGridRow]=67,NA(),M_BOM[PPGridRow]),7),0))/69.45</f>
        <v/>
      </c>
      <c r="H67">
        <f>SUMPRODUCT((M_BOM[Part Name]=$A67)*M_BOM[RM_Qty_Per_Batch]*IFERROR(INDEX(PP_Grid[#Data],IF(M_BOM[PPGridRow]=67,NA(),M_BOM[PPGridRow]),8),0))/69.45</f>
        <v/>
      </c>
      <c r="I67">
        <f>SUMPRODUCT((M_BOM[Part Name]=$A67)*M_BOM[RM_Qty_Per_Batch]*IFERROR(INDEX(PP_Grid[#Data],IF(M_BOM[PPGridRow]=67,NA(),M_BOM[PPGridRow]),9),0))/69.45</f>
        <v/>
      </c>
      <c r="J67">
        <f>SUMPRODUCT((M_BOM[Part Name]=$A67)*M_BOM[RM_Qty_Per_Batch]*IFERROR(INDEX(PP_Grid[#Data],IF(M_BOM[PPGridRow]=67,NA(),M_BOM[PPGridRow]),10),0))/69.45</f>
        <v/>
      </c>
      <c r="K67">
        <f>SUMPRODUCT((M_BOM[Part Name]=$A67)*M_BOM[RM_Qty_Per_Batch]*IFERROR(INDEX(PP_Grid[#Data],IF(M_BOM[PPGridRow]=67,NA(),M_BOM[PPGridRow]),11),0))/69.45</f>
        <v/>
      </c>
      <c r="L67">
        <f>SUMPRODUCT((M_BOM[Part Name]=$A67)*M_BOM[RM_Qty_Per_Batch]*IFERROR(INDEX(PP_Grid[#Data],IF(M_BOM[PPGridRow]=67,NA(),M_BOM[PPGridRow]),12),0))/69.45</f>
        <v/>
      </c>
      <c r="M67">
        <f>SUMPRODUCT((M_BOM[Part Name]=$A67)*M_BOM[RM_Qty_Per_Batch]*IFERROR(INDEX(PP_Grid[#Data],IF(M_BOM[PPGridRow]=67,NA(),M_BOM[PPGridRow]),13),0))/69.45</f>
        <v/>
      </c>
      <c r="N67">
        <f>SUMPRODUCT((M_BOM[Part Name]=$A67)*M_BOM[RM_Qty_Per_Batch]*IFERROR(INDEX(PP_Grid[#Data],IF(M_BOM[PPGridRow]=67,NA(),M_BOM[PPGridRow]),14),0))/69.45</f>
        <v/>
      </c>
      <c r="O67">
        <f>SUMPRODUCT((M_BOM[Part Name]=$A67)*M_BOM[RM_Qty_Per_Batch]*IFERROR(INDEX(PP_Grid[#Data],IF(M_BOM[PPGridRow]=67,NA(),M_BOM[PPGridRow]),15),0))/69.45</f>
        <v/>
      </c>
      <c r="P67">
        <f>SUMPRODUCT((M_BOM[Part Name]=$A67)*M_BOM[RM_Qty_Per_Batch]*IFERROR(INDEX(PP_Grid[#Data],IF(M_BOM[PPGridRow]=67,NA(),M_BOM[PPGridRow]),16),0))/69.45</f>
        <v/>
      </c>
      <c r="Q67">
        <f>SUMPRODUCT((M_BOM[Part Name]=$A67)*M_BOM[RM_Qty_Per_Batch]*IFERROR(INDEX(PP_Grid[#Data],IF(M_BOM[PPGridRow]=67,NA(),M_BOM[PPGridRow]),17),0))/69.45</f>
        <v/>
      </c>
      <c r="R67">
        <f>SUMPRODUCT((M_BOM[Part Name]=$A67)*M_BOM[RM_Qty_Per_Batch]*IFERROR(INDEX(PP_Grid[#Data],IF(M_BOM[PPGridRow]=67,NA(),M_BOM[PPGridRow]),18),0))/69.45</f>
        <v/>
      </c>
      <c r="S67">
        <f>SUMPRODUCT((M_BOM[Part Name]=$A67)*M_BOM[RM_Qty_Per_Batch]*IFERROR(INDEX(PP_Grid[#Data],IF(M_BOM[PPGridRow]=67,NA(),M_BOM[PPGridRow]),19),0))/69.45</f>
        <v/>
      </c>
      <c r="T67">
        <f>SUMPRODUCT((M_BOM[Part Name]=$A67)*M_BOM[RM_Qty_Per_Batch]*IFERROR(INDEX(PP_Grid[#Data],IF(M_BOM[PPGridRow]=67,NA(),M_BOM[PPGridRow]),20),0))/69.45</f>
        <v/>
      </c>
      <c r="U67">
        <f>SUMPRODUCT((M_BOM[Part Name]=$A67)*M_BOM[RM_Qty_Per_Batch]*IFERROR(INDEX(PP_Grid[#Data],IF(M_BOM[PPGridRow]=67,NA(),M_BOM[PPGridRow]),21),0))/69.45</f>
        <v/>
      </c>
      <c r="V67">
        <f>SUMPRODUCT((M_BOM[Part Name]=$A67)*M_BOM[RM_Qty_Per_Batch]*IFERROR(INDEX(PP_Grid[#Data],IF(M_BOM[PPGridRow]=67,NA(),M_BOM[PPGridRow]),22),0))/69.45</f>
        <v/>
      </c>
      <c r="W67">
        <f>SUMPRODUCT((M_BOM[Part Name]=$A67)*M_BOM[RM_Qty_Per_Batch]*IFERROR(INDEX(PP_Grid[#Data],IF(M_BOM[PPGridRow]=67,NA(),M_BOM[PPGridRow]),23),0))/69.45</f>
        <v/>
      </c>
      <c r="X67">
        <f>SUMPRODUCT((M_BOM[Part Name]=$A67)*M_BOM[RM_Qty_Per_Batch]*IFERROR(INDEX(PP_Grid[#Data],IF(M_BOM[PPGridRow]=67,NA(),M_BOM[PPGridRow]),24),0))/69.45</f>
        <v/>
      </c>
      <c r="Y67">
        <f>SUMPRODUCT((M_BOM[Part Name]=$A67)*M_BOM[RM_Qty_Per_Batch]*IFERROR(INDEX(PP_Grid[#Data],IF(M_BOM[PPGridRow]=67,NA(),M_BOM[PPGridRow]),25),0))/69.45</f>
        <v/>
      </c>
      <c r="Z67">
        <f>SUMPRODUCT((M_BOM[Part Name]=$A67)*M_BOM[RM_Qty_Per_Batch]*IFERROR(INDEX(PP_Grid[#Data],IF(M_BOM[PPGridRow]=67,NA(),M_BOM[PPGridRow]),26),0))/69.45</f>
        <v/>
      </c>
      <c r="AA67">
        <f>SUMPRODUCT((M_BOM[Part Name]=$A67)*M_BOM[RM_Qty_Per_Batch]*IFERROR(INDEX(PP_Grid[#Data],IF(M_BOM[PPGridRow]=67,NA(),M_BOM[PPGridRow]),27),0))/69.45</f>
        <v/>
      </c>
      <c r="AB67">
        <f>SUMPRODUCT((M_BOM[Part Name]=$A67)*M_BOM[RM_Qty_Per_Batch]*IFERROR(INDEX(PP_Grid[#Data],IF(M_BOM[PPGridRow]=67,NA(),M_BOM[PPGridRow]),28),0))/69.45</f>
        <v/>
      </c>
      <c r="AC67">
        <f>SUMPRODUCT((M_BOM[Part Name]=$A67)*M_BOM[RM_Qty_Per_Batch]*IFERROR(INDEX(PP_Grid[#Data],IF(M_BOM[PPGridRow]=67,NA(),M_BOM[PPGridRow]),29),0))/69.45</f>
        <v/>
      </c>
      <c r="AD67">
        <f>SUMPRODUCT((M_BOM[Part Name]=$A67)*M_BOM[RM_Qty_Per_Batch]*IFERROR(INDEX(PP_Grid[#Data],IF(M_BOM[PPGridRow]=67,NA(),M_BOM[PPGridRow]),30),0))/69.45</f>
        <v/>
      </c>
      <c r="AE67">
        <f>SUMPRODUCT((M_BOM[Part Name]=$A67)*M_BOM[RM_Qty_Per_Batch]*IFERROR(INDEX(PP_Grid[#Data],IF(M_BOM[PPGridRow]=67,NA(),M_BOM[PPGridRow]),31),0))/69.45</f>
        <v/>
      </c>
      <c r="AF67">
        <f>SUMPRODUCT((M_BOM[Part Name]=$A67)*M_BOM[RM_Qty_Per_Batch]*IFERROR(INDEX(PP_Grid[#Data],IF(M_BOM[PPGridRow]=67,NA(),M_BOM[PPGridRow]),32),0))/69.45</f>
        <v/>
      </c>
      <c r="AG67">
        <f>SUMPRODUCT((M_BOM[Part Name]=$A67)*M_BOM[RM_Qty_Per_Batch]*IFERROR(INDEX(PP_Grid[#Data],IF(M_BOM[PPGridRow]=67,NA(),M_BOM[PPGridRow]),33),0))/69.45</f>
        <v/>
      </c>
      <c r="AH67">
        <f>SUMPRODUCT((M_BOM[Part Name]=$A67)*M_BOM[RM_Qty_Per_Batch]*IFERROR(INDEX(PP_Grid[#Data],IF(M_BOM[PPGridRow]=67,NA(),M_BOM[PPGridRow]),34),0))/69.45</f>
        <v/>
      </c>
      <c r="AI67">
        <f>SUMPRODUCT((M_BOM[Part Name]=$A67)*M_BOM[RM_Qty_Per_Batch]*IFERROR(INDEX(PP_Grid[#Data],IF(M_BOM[PPGridRow]=67,NA(),M_BOM[PPGridRow]),35),0))/69.45</f>
        <v/>
      </c>
      <c r="AJ67">
        <f>SUMPRODUCT((M_BOM[Part Name]=$A67)*M_BOM[RM_Qty_Per_Batch]*IFERROR(INDEX(PP_Grid[#Data],IF(M_BOM[PPGridRow]=67,NA(),M_BOM[PPGridRow]),36),0))/69.45</f>
        <v/>
      </c>
      <c r="AK67">
        <f>SUMPRODUCT((M_BOM[Part Name]=$A67)*M_BOM[RM_Qty_Per_Batch]*IFERROR(INDEX(PP_Grid[#Data],IF(M_BOM[PPGridRow]=67,NA(),M_BOM[PPGridRow]),37),0))/69.45</f>
        <v/>
      </c>
      <c r="AL67">
        <f>SUMPRODUCT((M_BOM[Part Name]=$A67)*M_BOM[RM_Qty_Per_Batch]*IFERROR(INDEX(PP_Grid[#Data],IF(M_BOM[PPGridRow]=67,NA(),M_BOM[PPGridRow]),38),0))/69.45</f>
        <v/>
      </c>
      <c r="AM67">
        <f>SUMPRODUCT((M_BOM[Part Name]=$A67)*M_BOM[RM_Qty_Per_Batch]*IFERROR(INDEX(PP_Grid[#Data],IF(M_BOM[PPGridRow]=67,NA(),M_BOM[PPGridRow]),39),0))/69.45</f>
        <v/>
      </c>
      <c r="AN67">
        <f>SUMPRODUCT((M_BOM[Part Name]=$A67)*M_BOM[RM_Qty_Per_Batch]*IFERROR(INDEX(PP_Grid[#Data],IF(M_BOM[PPGridRow]=67,NA(),M_BOM[PPGridRow]),40),0))/69.45</f>
        <v/>
      </c>
      <c r="AO67">
        <f>SUMPRODUCT((M_BOM[Part Name]=$A67)*M_BOM[RM_Qty_Per_Batch]*IFERROR(INDEX(PP_Grid[#Data],IF(M_BOM[PPGridRow]=67,NA(),M_BOM[PPGridRow]),41),0))/69.45</f>
        <v/>
      </c>
      <c r="AP67">
        <f>SUMPRODUCT((M_BOM[Part Name]=$A67)*M_BOM[RM_Qty_Per_Batch]*IFERROR(INDEX(PP_Grid[#Data],IF(M_BOM[PPGridRow]=67,NA(),M_BOM[PPGridRow]),42),0))/69.45</f>
        <v/>
      </c>
      <c r="AQ67">
        <f>SUMPRODUCT((M_BOM[Part Name]=$A67)*M_BOM[RM_Qty_Per_Batch]*IFERROR(INDEX(PP_Grid[#Data],IF(M_BOM[PPGridRow]=67,NA(),M_BOM[PPGridRow]),43),0))/69.45</f>
        <v/>
      </c>
      <c r="AR67">
        <f>SUMPRODUCT((M_BOM[Part Name]=$A67)*M_BOM[RM_Qty_Per_Batch]*IFERROR(INDEX(PP_Grid[#Data],IF(M_BOM[PPGridRow]=67,NA(),M_BOM[PPGridRow]),44),0))/69.45</f>
        <v/>
      </c>
      <c r="AS67">
        <f>SUMPRODUCT((M_BOM[Part Name]=$A67)*M_BOM[RM_Qty_Per_Batch]*IFERROR(INDEX(PP_Grid[#Data],IF(M_BOM[PPGridRow]=67,NA(),M_BOM[PPGridRow]),45),0))/69.45</f>
        <v/>
      </c>
      <c r="AT67">
        <f>SUMPRODUCT((M_BOM[Part Name]=$A67)*M_BOM[RM_Qty_Per_Batch]*IFERROR(INDEX(PP_Grid[#Data],IF(M_BOM[PPGridRow]=67,NA(),M_BOM[PPGridRow]),46),0))/69.45</f>
        <v/>
      </c>
      <c r="AU67">
        <f>SUMPRODUCT((M_BOM[Part Name]=$A67)*M_BOM[RM_Qty_Per_Batch]*IFERROR(INDEX(PP_Grid[#Data],IF(M_BOM[PPGridRow]=67,NA(),M_BOM[PPGridRow]),47),0))/69.45</f>
        <v/>
      </c>
      <c r="AV67">
        <f>SUMPRODUCT((M_BOM[Part Name]=$A67)*M_BOM[RM_Qty_Per_Batch]*IFERROR(INDEX(PP_Grid[#Data],IF(M_BOM[PPGridRow]=67,NA(),M_BOM[PPGridRow]),48),0))/69.45</f>
        <v/>
      </c>
      <c r="AW67">
        <f>SUMPRODUCT((M_BOM[Part Name]=$A67)*M_BOM[RM_Qty_Per_Batch]*IFERROR(INDEX(PP_Grid[#Data],IF(M_BOM[PPGridRow]=67,NA(),M_BOM[PPGridRow]),49),0))/69.45</f>
        <v/>
      </c>
      <c r="AX67">
        <f>SUMPRODUCT((M_BOM[Part Name]=$A67)*M_BOM[RM_Qty_Per_Batch]*IFERROR(INDEX(PP_Grid[#Data],IF(M_BOM[PPGridRow]=67,NA(),M_BOM[PPGridRow]),50),0))/69.45</f>
        <v/>
      </c>
      <c r="AY67">
        <f>SUMPRODUCT((M_BOM[Part Name]=$A67)*M_BOM[RM_Qty_Per_Batch]*IFERROR(INDEX(PP_Grid[#Data],IF(M_BOM[PPGridRow]=67,NA(),M_BOM[PPGridRow]),51),0))/69.45</f>
        <v/>
      </c>
      <c r="AZ67">
        <f>SUMPRODUCT((M_BOM[Part Name]=$A67)*M_BOM[RM_Qty_Per_Batch]*IFERROR(INDEX(PP_Grid[#Data],IF(M_BOM[PPGridRow]=67,NA(),M_BOM[PPGridRow]),52),0))/69.45</f>
        <v/>
      </c>
      <c r="BA67">
        <f>SUMPRODUCT((M_BOM[Part Name]=$A67)*M_BOM[RM_Qty_Per_Batch]*IFERROR(INDEX(PP_Grid[#Data],IF(M_BOM[PPGridRow]=67,NA(),M_BOM[PPGridRow]),53),0))/69.45</f>
        <v/>
      </c>
      <c r="BB67">
        <f>SUMPRODUCT((M_BOM[Part Name]=$A67)*M_BOM[RM_Qty_Per_Batch]*IFERROR(INDEX(PP_Grid[#Data],IF(M_BOM[PPGridRow]=67,NA(),M_BOM[PPGridRow]),54),0))/69.45</f>
        <v/>
      </c>
      <c r="BC67">
        <f>SUMPRODUCT((M_BOM[Part Name]=$A67)*M_BOM[RM_Qty_Per_Batch]*IFERROR(INDEX(PP_Grid[#Data],IF(M_BOM[PPGridRow]=67,NA(),M_BOM[PPGridRow]),55),0))/69.45</f>
        <v/>
      </c>
      <c r="BD67">
        <f>SUMPRODUCT((M_BOM[Part Name]=$A67)*M_BOM[RM_Qty_Per_Batch]*IFERROR(INDEX(PP_Grid[#Data],IF(M_BOM[PPGridRow]=67,NA(),M_BOM[PPGridRow]),56),0))/69.45</f>
        <v/>
      </c>
      <c r="BE67">
        <f>SUMPRODUCT((M_BOM[Part Name]=$A67)*M_BOM[RM_Qty_Per_Batch]*IFERROR(INDEX(PP_Grid[#Data],IF(M_BOM[PPGridRow]=67,NA(),M_BOM[PPGridRow]),57),0))/69.45</f>
        <v/>
      </c>
      <c r="BF67">
        <f>SUMPRODUCT((M_BOM[Part Name]=$A67)*M_BOM[RM_Qty_Per_Batch]*IFERROR(INDEX(PP_Grid[#Data],IF(M_BOM[PPGridRow]=67,NA(),M_BOM[PPGridRow]),58),0))/69.45</f>
        <v/>
      </c>
      <c r="BG67">
        <f>SUMPRODUCT((M_BOM[Part Name]=$A67)*M_BOM[RM_Qty_Per_Batch]*IFERROR(INDEX(PP_Grid[#Data],IF(M_BOM[PPGridRow]=67,NA(),M_BOM[PPGridRow]),59),0))/69.45</f>
        <v/>
      </c>
      <c r="BH67">
        <f>SUMPRODUCT((M_BOM[Part Name]=$A67)*M_BOM[RM_Qty_Per_Batch]*IFERROR(INDEX(PP_Grid[#Data],IF(M_BOM[PPGridRow]=67,NA(),M_BOM[PPGridRow]),60),0))/69.45</f>
        <v/>
      </c>
      <c r="BI67">
        <f>SUMPRODUCT((M_BOM[Part Name]=$A67)*M_BOM[RM_Qty_Per_Batch]*IFERROR(INDEX(PP_Grid[#Data],IF(M_BOM[PPGridRow]=67,NA(),M_BOM[PPGridRow]),61),0))/69.45</f>
        <v/>
      </c>
      <c r="BJ67">
        <f>SUMPRODUCT((M_BOM[Part Name]=$A67)*M_BOM[RM_Qty_Per_Batch]*IFERROR(INDEX(PP_Grid[#Data],IF(M_BOM[PPGridRow]=67,NA(),M_BOM[PPGridRow]),62),0))/69.45</f>
        <v/>
      </c>
      <c r="BK67">
        <f>SUMPRODUCT((M_BOM[Part Name]=$A67)*M_BOM[RM_Qty_Per_Batch]*IFERROR(INDEX(PP_Grid[#Data],IF(M_BOM[PPGridRow]=67,NA(),M_BOM[PPGridRow]),63),0))/69.45</f>
        <v/>
      </c>
      <c r="BL67">
        <f>SUMPRODUCT((M_BOM[Part Name]=$A67)*M_BOM[RM_Qty_Per_Batch]*IFERROR(INDEX(PP_Grid[#Data],IF(M_BOM[PPGridRow]=67,NA(),M_BOM[PPGridRow]),64),0))/69.45</f>
        <v/>
      </c>
      <c r="BM67">
        <f>SUMPRODUCT((M_BOM[Part Name]=$A67)*M_BOM[RM_Qty_Per_Batch]*IFERROR(INDEX(PP_Grid[#Data],IF(M_BOM[PPGridRow]=67,NA(),M_BOM[PPGridRow]),65),0))/69.45</f>
        <v/>
      </c>
      <c r="BN67">
        <f>SUMPRODUCT((M_BOM[Part Name]=$A67)*M_BOM[RM_Qty_Per_Batch]*IFERROR(INDEX(PP_Grid[#Data],IF(M_BOM[PPGridRow]=67,NA(),M_BOM[PPGridRow]),66),0))/69.45</f>
        <v/>
      </c>
      <c r="BO67">
        <f>SUMPRODUCT((M_BOM[Part Name]=$A67)*M_BOM[RM_Qty_Per_Batch]*IFERROR(INDEX(PP_Grid[#Data],IF(M_BOM[PPGridRow]=67,NA(),M_BOM[PPGridRow]),67),0))/69.45</f>
        <v/>
      </c>
      <c r="BP67">
        <f>SUMPRODUCT((M_BOM[Part Name]=$A67)*M_BOM[RM_Qty_Per_Batch]*IFERROR(INDEX(PP_Grid[#Data],IF(M_BOM[PPGridRow]=67,NA(),M_BOM[PPGridRow]),68),0))/69.45</f>
        <v/>
      </c>
      <c r="BQ67">
        <f>SUMPRODUCT((M_BOM[Part Name]=$A67)*M_BOM[RM_Qty_Per_Batch]*IFERROR(INDEX(PP_Grid[#Data],IF(M_BOM[PPGridRow]=67,NA(),M_BOM[PPGridRow]),69),0))/69.45</f>
        <v/>
      </c>
      <c r="BR67">
        <f>SUMPRODUCT((M_BOM[Part Name]=$A67)*M_BOM[RM_Qty_Per_Batch]*IFERROR(INDEX(PP_Grid[#Data],IF(M_BOM[PPGridRow]=67,NA(),M_BOM[PPGridRow]),70),0))/69.45</f>
        <v/>
      </c>
      <c r="BS67">
        <f>SUMPRODUCT((M_BOM[Part Name]=$A67)*M_BOM[RM_Qty_Per_Batch]*IFERROR(INDEX(PP_Grid[#Data],IF(M_BOM[PPGridRow]=67,NA(),M_BOM[PPGridRow]),71),0))/69.45</f>
        <v/>
      </c>
      <c r="BT67">
        <f>SUMPRODUCT((M_BOM[Part Name]=$A67)*M_BOM[RM_Qty_Per_Batch]*IFERROR(INDEX(PP_Grid[#Data],IF(M_BOM[PPGridRow]=67,NA(),M_BOM[PPGridRow]),72),0))/69.45</f>
        <v/>
      </c>
      <c r="BU67">
        <f>SUMPRODUCT((M_BOM[Part Name]=$A67)*M_BOM[RM_Qty_Per_Batch]*IFERROR(INDEX(PP_Grid[#Data],IF(M_BOM[PPGridRow]=67,NA(),M_BOM[PPGridRow]),73),0))/69.45</f>
        <v/>
      </c>
      <c r="BV67">
        <f>SUMPRODUCT((M_BOM[Part Name]=$A67)*M_BOM[RM_Qty_Per_Batch]*IFERROR(INDEX(PP_Grid[#Data],IF(M_BOM[PPGridRow]=67,NA(),M_BOM[PPGridRow]),74),0))/69.45</f>
        <v/>
      </c>
      <c r="BW67">
        <f>SUMPRODUCT((M_BOM[Part Name]=$A67)*M_BOM[RM_Qty_Per_Batch]*IFERROR(INDEX(PP_Grid[#Data],IF(M_BOM[PPGridRow]=67,NA(),M_BOM[PPGridRow]),75),0))/69.45</f>
        <v/>
      </c>
      <c r="BX67">
        <f>SUMPRODUCT((M_BOM[Part Name]=$A67)*M_BOM[RM_Qty_Per_Batch]*IFERROR(INDEX(PP_Grid[#Data],IF(M_BOM[PPGridRow]=67,NA(),M_BOM[PPGridRow]),76),0))/69.45</f>
        <v/>
      </c>
      <c r="BY67">
        <f>SUMPRODUCT((M_BOM[Part Name]=$A67)*M_BOM[RM_Qty_Per_Batch]*IFERROR(INDEX(PP_Grid[#Data],IF(M_BOM[PPGridRow]=67,NA(),M_BOM[PPGridRow]),77),0))/69.45</f>
        <v/>
      </c>
      <c r="BZ67">
        <f>SUMPRODUCT((M_BOM[Part Name]=$A67)*M_BOM[RM_Qty_Per_Batch]*IFERROR(INDEX(PP_Grid[#Data],IF(M_BOM[PPGridRow]=67,NA(),M_BOM[PPGridRow]),78),0))/69.45</f>
        <v/>
      </c>
      <c r="CA67">
        <f>SUMPRODUCT((M_BOM[Part Name]=$A67)*M_BOM[RM_Qty_Per_Batch]*IFERROR(INDEX(PP_Grid[#Data],IF(M_BOM[PPGridRow]=67,NA(),M_BOM[PPGridRow]),79),0))/69.45</f>
        <v/>
      </c>
      <c r="CB67">
        <f>SUMPRODUCT((M_BOM[Part Name]=$A67)*M_BOM[RM_Qty_Per_Batch]*IFERROR(INDEX(PP_Grid[#Data],IF(M_BOM[PPGridRow]=67,NA(),M_BOM[PPGridRow]),80),0))/69.45</f>
        <v/>
      </c>
      <c r="CC67">
        <f>SUMPRODUCT((M_BOM[Part Name]=$A67)*M_BOM[RM_Qty_Per_Batch]*IFERROR(INDEX(PP_Grid[#Data],IF(M_BOM[PPGridRow]=67,NA(),M_BOM[PPGridRow]),81),0))/69.45</f>
        <v/>
      </c>
      <c r="CD67">
        <f>SUMPRODUCT((M_BOM[Part Name]=$A67)*M_BOM[RM_Qty_Per_Batch]*IFERROR(INDEX(PP_Grid[#Data],IF(M_BOM[PPGridRow]=67,NA(),M_BOM[PPGridRow]),82),0))/69.45</f>
        <v/>
      </c>
      <c r="CE67">
        <f>SUMPRODUCT((M_BOM[Part Name]=$A67)*M_BOM[RM_Qty_Per_Batch]*IFERROR(INDEX(PP_Grid[#Data],IF(M_BOM[PPGridRow]=67,NA(),M_BOM[PPGridRow]),83),0))/69.45</f>
        <v/>
      </c>
      <c r="CF67">
        <f>SUMPRODUCT((M_BOM[Part Name]=$A67)*M_BOM[RM_Qty_Per_Batch]*IFERROR(INDEX(PP_Grid[#Data],IF(M_BOM[PPGridRow]=67,NA(),M_BOM[PPGridRow]),84),0))/69.45</f>
        <v/>
      </c>
      <c r="CG67">
        <f>SUMPRODUCT((M_BOM[Part Name]=$A67)*M_BOM[RM_Qty_Per_Batch]*IFERROR(INDEX(PP_Grid[#Data],IF(M_BOM[PPGridRow]=67,NA(),M_BOM[PPGridRow]),85),0))/69.45</f>
        <v/>
      </c>
      <c r="CH67">
        <f>SUMPRODUCT((M_BOM[Part Name]=$A67)*M_BOM[RM_Qty_Per_Batch]*IFERROR(INDEX(PP_Grid[#Data],IF(M_BOM[PPGridRow]=67,NA(),M_BOM[PPGridRow]),86),0))/69.45</f>
        <v/>
      </c>
      <c r="CI67">
        <f>SUMPRODUCT((M_BOM[Part Name]=$A67)*M_BOM[RM_Qty_Per_Batch]*IFERROR(INDEX(PP_Grid[#Data],IF(M_BOM[PPGridRow]=67,NA(),M_BOM[PPGridRow]),87),0))/69.45</f>
        <v/>
      </c>
      <c r="CJ67">
        <f>SUMPRODUCT((M_BOM[Part Name]=$A67)*M_BOM[RM_Qty_Per_Batch]*IFERROR(INDEX(PP_Grid[#Data],IF(M_BOM[PPGridRow]=67,NA(),M_BOM[PPGridRow]),88),0))/69.45</f>
        <v/>
      </c>
      <c r="CK67">
        <f>SUMPRODUCT((M_BOM[Part Name]=$A67)*M_BOM[RM_Qty_Per_Batch]*IFERROR(INDEX(PP_Grid[#Data],IF(M_BOM[PPGridRow]=67,NA(),M_BOM[PPGridRow]),89),0))/69.45</f>
        <v/>
      </c>
      <c r="CL67">
        <f>SUMPRODUCT((M_BOM[Part Name]=$A67)*M_BOM[RM_Qty_Per_Batch]*IFERROR(INDEX(PP_Grid[#Data],IF(M_BOM[PPGridRow]=67,NA(),M_BOM[PPGridRow]),90),0))/69.45</f>
        <v/>
      </c>
      <c r="CM67">
        <f>SUMPRODUCT((M_BOM[Part Name]=$A67)*M_BOM[RM_Qty_Per_Batch]*IFERROR(INDEX(PP_Grid[#Data],IF(M_BOM[PPGridRow]=67,NA(),M_BOM[PPGridRow]),91),0))/69.45</f>
        <v/>
      </c>
      <c r="CN67">
        <f>SUMPRODUCT((M_BOM[Part Name]=$A67)*M_BOM[RM_Qty_Per_Batch]*IFERROR(INDEX(PP_Grid[#Data],IF(M_BOM[PPGridRow]=67,NA(),M_BOM[PPGridRow]),92),0))/69.45</f>
        <v/>
      </c>
      <c r="CO67">
        <f>SUMPRODUCT((M_BOM[Part Name]=$A67)*M_BOM[RM_Qty_Per_Batch]*IFERROR(INDEX(PP_Grid[#Data],IF(M_BOM[PPGridRow]=67,NA(),M_BOM[PPGridRow]),93),0))/69.45</f>
        <v/>
      </c>
      <c r="CP67">
        <f>SUMPRODUCT((M_BOM[Part Name]=$A67)*M_BOM[RM_Qty_Per_Batch]*IFERROR(INDEX(PP_Grid[#Data],IF(M_BOM[PPGridRow]=67,NA(),M_BOM[PPGridRow]),94),0))/69.45</f>
        <v/>
      </c>
      <c r="CQ67">
        <f>SUMPRODUCT((M_BOM[Part Name]=$A67)*M_BOM[RM_Qty_Per_Batch]*IFERROR(INDEX(PP_Grid[#Data],IF(M_BOM[PPGridRow]=67,NA(),M_BOM[PPGridRow]),95),0))/69.45</f>
        <v/>
      </c>
      <c r="CR67">
        <f>SUMPRODUCT((M_BOM[Part Name]=$A67)*M_BOM[RM_Qty_Per_Batch]*IFERROR(INDEX(PP_Grid[#Data],IF(M_BOM[PPGridRow]=67,NA(),M_BOM[PPGridRow]),96),0))/69.45</f>
        <v/>
      </c>
      <c r="CS67">
        <f>SUMPRODUCT((M_BOM[Part Name]=$A67)*M_BOM[RM_Qty_Per_Batch]*IFERROR(INDEX(PP_Grid[#Data],IF(M_BOM[PPGridRow]=67,NA(),M_BOM[PPGridRow]),97),0))/69.45</f>
        <v/>
      </c>
      <c r="CT67">
        <f>SUMPRODUCT((M_BOM[Part Name]=$A67)*M_BOM[RM_Qty_Per_Batch]*IFERROR(INDEX(PP_Grid[#Data],IF(M_BOM[PPGridRow]=67,NA(),M_BOM[PPGridRow]),98),0))/69.45</f>
        <v/>
      </c>
      <c r="CU67">
        <f>SUMPRODUCT((M_BOM[Part Name]=$A67)*M_BOM[RM_Qty_Per_Batch]*IFERROR(INDEX(PP_Grid[#Data],IF(M_BOM[PPGridRow]=67,NA(),M_BOM[PPGridRow]),99),0))/69.45</f>
        <v/>
      </c>
      <c r="CV67">
        <f>SUMPRODUCT((M_BOM[Part Name]=$A67)*M_BOM[RM_Qty_Per_Batch]*IFERROR(INDEX(PP_Grid[#Data],IF(M_BOM[PPGridRow]=67,NA(),M_BOM[PPGridRow]),100),0))/69.45</f>
        <v/>
      </c>
      <c r="CW67">
        <f>SUMPRODUCT((M_BOM[Part Name]=$A67)*M_BOM[RM_Qty_Per_Batch]*IFERROR(INDEX(PP_Grid[#Data],IF(M_BOM[PPGridRow]=67,NA(),M_BOM[PPGridRow]),101),0))/69.45</f>
        <v/>
      </c>
      <c r="CX67">
        <f>SUMPRODUCT((M_BOM[Part Name]=$A67)*M_BOM[RM_Qty_Per_Batch]*IFERROR(INDEX(PP_Grid[#Data],IF(M_BOM[PPGridRow]=67,NA(),M_BOM[PPGridRow]),102),0))/69.45</f>
        <v/>
      </c>
      <c r="CY67">
        <f>SUMPRODUCT((M_BOM[Part Name]=$A67)*M_BOM[RM_Qty_Per_Batch]*IFERROR(INDEX(PP_Grid[#Data],IF(M_BOM[PPGridRow]=67,NA(),M_BOM[PPGridRow]),103),0))/69.45</f>
        <v/>
      </c>
      <c r="CZ67">
        <f>SUMPRODUCT((M_BOM[Part Name]=$A67)*M_BOM[RM_Qty_Per_Batch]*IFERROR(INDEX(PP_Grid[#Data],IF(M_BOM[PPGridRow]=67,NA(),M_BOM[PPGridRow]),104),0))/69.45</f>
        <v/>
      </c>
      <c r="DA67">
        <f>SUMPRODUCT((M_BOM[Part Name]=$A67)*M_BOM[RM_Qty_Per_Batch]*IFERROR(INDEX(PP_Grid[#Data],IF(M_BOM[PPGridRow]=67,NA(),M_BOM[PPGridRow]),105),0))/69.45</f>
        <v/>
      </c>
    </row>
    <row r="68">
      <c r="A68" t="inlineStr">
        <is>
          <t>TPP-1367</t>
        </is>
      </c>
      <c r="B68">
        <f>SUMPRODUCT((M_BOM[Part Name]=$A68)*M_BOM[RM_Qty_Per_Batch]*IFERROR(INDEX(PP_Grid[#Data],IF(M_BOM[PPGridRow]=68,NA(),M_BOM[PPGridRow]),2),0))/26.54</f>
        <v/>
      </c>
      <c r="C68">
        <f>SUMPRODUCT((M_BOM[Part Name]=$A68)*M_BOM[RM_Qty_Per_Batch]*IFERROR(INDEX(PP_Grid[#Data],IF(M_BOM[PPGridRow]=68,NA(),M_BOM[PPGridRow]),3),0))/26.54</f>
        <v/>
      </c>
      <c r="D68">
        <f>SUMPRODUCT((M_BOM[Part Name]=$A68)*M_BOM[RM_Qty_Per_Batch]*IFERROR(INDEX(PP_Grid[#Data],IF(M_BOM[PPGridRow]=68,NA(),M_BOM[PPGridRow]),4),0))/26.54</f>
        <v/>
      </c>
      <c r="E68">
        <f>SUMPRODUCT((M_BOM[Part Name]=$A68)*M_BOM[RM_Qty_Per_Batch]*IFERROR(INDEX(PP_Grid[#Data],IF(M_BOM[PPGridRow]=68,NA(),M_BOM[PPGridRow]),5),0))/26.54</f>
        <v/>
      </c>
      <c r="F68">
        <f>SUMPRODUCT((M_BOM[Part Name]=$A68)*M_BOM[RM_Qty_Per_Batch]*IFERROR(INDEX(PP_Grid[#Data],IF(M_BOM[PPGridRow]=68,NA(),M_BOM[PPGridRow]),6),0))/26.54</f>
        <v/>
      </c>
      <c r="G68">
        <f>SUMPRODUCT((M_BOM[Part Name]=$A68)*M_BOM[RM_Qty_Per_Batch]*IFERROR(INDEX(PP_Grid[#Data],IF(M_BOM[PPGridRow]=68,NA(),M_BOM[PPGridRow]),7),0))/26.54</f>
        <v/>
      </c>
      <c r="H68">
        <f>SUMPRODUCT((M_BOM[Part Name]=$A68)*M_BOM[RM_Qty_Per_Batch]*IFERROR(INDEX(PP_Grid[#Data],IF(M_BOM[PPGridRow]=68,NA(),M_BOM[PPGridRow]),8),0))/26.54</f>
        <v/>
      </c>
      <c r="I68">
        <f>SUMPRODUCT((M_BOM[Part Name]=$A68)*M_BOM[RM_Qty_Per_Batch]*IFERROR(INDEX(PP_Grid[#Data],IF(M_BOM[PPGridRow]=68,NA(),M_BOM[PPGridRow]),9),0))/26.54</f>
        <v/>
      </c>
      <c r="J68">
        <f>SUMPRODUCT((M_BOM[Part Name]=$A68)*M_BOM[RM_Qty_Per_Batch]*IFERROR(INDEX(PP_Grid[#Data],IF(M_BOM[PPGridRow]=68,NA(),M_BOM[PPGridRow]),10),0))/26.54</f>
        <v/>
      </c>
      <c r="K68">
        <f>SUMPRODUCT((M_BOM[Part Name]=$A68)*M_BOM[RM_Qty_Per_Batch]*IFERROR(INDEX(PP_Grid[#Data],IF(M_BOM[PPGridRow]=68,NA(),M_BOM[PPGridRow]),11),0))/26.54</f>
        <v/>
      </c>
      <c r="L68">
        <f>SUMPRODUCT((M_BOM[Part Name]=$A68)*M_BOM[RM_Qty_Per_Batch]*IFERROR(INDEX(PP_Grid[#Data],IF(M_BOM[PPGridRow]=68,NA(),M_BOM[PPGridRow]),12),0))/26.54</f>
        <v/>
      </c>
      <c r="M68">
        <f>SUMPRODUCT((M_BOM[Part Name]=$A68)*M_BOM[RM_Qty_Per_Batch]*IFERROR(INDEX(PP_Grid[#Data],IF(M_BOM[PPGridRow]=68,NA(),M_BOM[PPGridRow]),13),0))/26.54</f>
        <v/>
      </c>
      <c r="N68">
        <f>SUMPRODUCT((M_BOM[Part Name]=$A68)*M_BOM[RM_Qty_Per_Batch]*IFERROR(INDEX(PP_Grid[#Data],IF(M_BOM[PPGridRow]=68,NA(),M_BOM[PPGridRow]),14),0))/26.54</f>
        <v/>
      </c>
      <c r="O68">
        <f>SUMPRODUCT((M_BOM[Part Name]=$A68)*M_BOM[RM_Qty_Per_Batch]*IFERROR(INDEX(PP_Grid[#Data],IF(M_BOM[PPGridRow]=68,NA(),M_BOM[PPGridRow]),15),0))/26.54</f>
        <v/>
      </c>
      <c r="P68">
        <f>SUMPRODUCT((M_BOM[Part Name]=$A68)*M_BOM[RM_Qty_Per_Batch]*IFERROR(INDEX(PP_Grid[#Data],IF(M_BOM[PPGridRow]=68,NA(),M_BOM[PPGridRow]),16),0))/26.54</f>
        <v/>
      </c>
      <c r="Q68">
        <f>SUMPRODUCT((M_BOM[Part Name]=$A68)*M_BOM[RM_Qty_Per_Batch]*IFERROR(INDEX(PP_Grid[#Data],IF(M_BOM[PPGridRow]=68,NA(),M_BOM[PPGridRow]),17),0))/26.54</f>
        <v/>
      </c>
      <c r="R68">
        <f>SUMPRODUCT((M_BOM[Part Name]=$A68)*M_BOM[RM_Qty_Per_Batch]*IFERROR(INDEX(PP_Grid[#Data],IF(M_BOM[PPGridRow]=68,NA(),M_BOM[PPGridRow]),18),0))/26.54</f>
        <v/>
      </c>
      <c r="S68">
        <f>SUMPRODUCT((M_BOM[Part Name]=$A68)*M_BOM[RM_Qty_Per_Batch]*IFERROR(INDEX(PP_Grid[#Data],IF(M_BOM[PPGridRow]=68,NA(),M_BOM[PPGridRow]),19),0))/26.54</f>
        <v/>
      </c>
      <c r="T68">
        <f>SUMPRODUCT((M_BOM[Part Name]=$A68)*M_BOM[RM_Qty_Per_Batch]*IFERROR(INDEX(PP_Grid[#Data],IF(M_BOM[PPGridRow]=68,NA(),M_BOM[PPGridRow]),20),0))/26.54</f>
        <v/>
      </c>
      <c r="U68">
        <f>SUMPRODUCT((M_BOM[Part Name]=$A68)*M_BOM[RM_Qty_Per_Batch]*IFERROR(INDEX(PP_Grid[#Data],IF(M_BOM[PPGridRow]=68,NA(),M_BOM[PPGridRow]),21),0))/26.54</f>
        <v/>
      </c>
      <c r="V68">
        <f>SUMPRODUCT((M_BOM[Part Name]=$A68)*M_BOM[RM_Qty_Per_Batch]*IFERROR(INDEX(PP_Grid[#Data],IF(M_BOM[PPGridRow]=68,NA(),M_BOM[PPGridRow]),22),0))/26.54</f>
        <v/>
      </c>
      <c r="W68">
        <f>SUMPRODUCT((M_BOM[Part Name]=$A68)*M_BOM[RM_Qty_Per_Batch]*IFERROR(INDEX(PP_Grid[#Data],IF(M_BOM[PPGridRow]=68,NA(),M_BOM[PPGridRow]),23),0))/26.54</f>
        <v/>
      </c>
      <c r="X68">
        <f>SUMPRODUCT((M_BOM[Part Name]=$A68)*M_BOM[RM_Qty_Per_Batch]*IFERROR(INDEX(PP_Grid[#Data],IF(M_BOM[PPGridRow]=68,NA(),M_BOM[PPGridRow]),24),0))/26.54</f>
        <v/>
      </c>
      <c r="Y68">
        <f>SUMPRODUCT((M_BOM[Part Name]=$A68)*M_BOM[RM_Qty_Per_Batch]*IFERROR(INDEX(PP_Grid[#Data],IF(M_BOM[PPGridRow]=68,NA(),M_BOM[PPGridRow]),25),0))/26.54</f>
        <v/>
      </c>
      <c r="Z68">
        <f>SUMPRODUCT((M_BOM[Part Name]=$A68)*M_BOM[RM_Qty_Per_Batch]*IFERROR(INDEX(PP_Grid[#Data],IF(M_BOM[PPGridRow]=68,NA(),M_BOM[PPGridRow]),26),0))/26.54</f>
        <v/>
      </c>
      <c r="AA68">
        <f>SUMPRODUCT((M_BOM[Part Name]=$A68)*M_BOM[RM_Qty_Per_Batch]*IFERROR(INDEX(PP_Grid[#Data],IF(M_BOM[PPGridRow]=68,NA(),M_BOM[PPGridRow]),27),0))/26.54</f>
        <v/>
      </c>
      <c r="AB68">
        <f>SUMPRODUCT((M_BOM[Part Name]=$A68)*M_BOM[RM_Qty_Per_Batch]*IFERROR(INDEX(PP_Grid[#Data],IF(M_BOM[PPGridRow]=68,NA(),M_BOM[PPGridRow]),28),0))/26.54</f>
        <v/>
      </c>
      <c r="AC68">
        <f>SUMPRODUCT((M_BOM[Part Name]=$A68)*M_BOM[RM_Qty_Per_Batch]*IFERROR(INDEX(PP_Grid[#Data],IF(M_BOM[PPGridRow]=68,NA(),M_BOM[PPGridRow]),29),0))/26.54</f>
        <v/>
      </c>
      <c r="AD68">
        <f>SUMPRODUCT((M_BOM[Part Name]=$A68)*M_BOM[RM_Qty_Per_Batch]*IFERROR(INDEX(PP_Grid[#Data],IF(M_BOM[PPGridRow]=68,NA(),M_BOM[PPGridRow]),30),0))/26.54</f>
        <v/>
      </c>
      <c r="AE68">
        <f>SUMPRODUCT((M_BOM[Part Name]=$A68)*M_BOM[RM_Qty_Per_Batch]*IFERROR(INDEX(PP_Grid[#Data],IF(M_BOM[PPGridRow]=68,NA(),M_BOM[PPGridRow]),31),0))/26.54</f>
        <v/>
      </c>
      <c r="AF68">
        <f>SUMPRODUCT((M_BOM[Part Name]=$A68)*M_BOM[RM_Qty_Per_Batch]*IFERROR(INDEX(PP_Grid[#Data],IF(M_BOM[PPGridRow]=68,NA(),M_BOM[PPGridRow]),32),0))/26.54</f>
        <v/>
      </c>
      <c r="AG68">
        <f>SUMPRODUCT((M_BOM[Part Name]=$A68)*M_BOM[RM_Qty_Per_Batch]*IFERROR(INDEX(PP_Grid[#Data],IF(M_BOM[PPGridRow]=68,NA(),M_BOM[PPGridRow]),33),0))/26.54</f>
        <v/>
      </c>
      <c r="AH68">
        <f>SUMPRODUCT((M_BOM[Part Name]=$A68)*M_BOM[RM_Qty_Per_Batch]*IFERROR(INDEX(PP_Grid[#Data],IF(M_BOM[PPGridRow]=68,NA(),M_BOM[PPGridRow]),34),0))/26.54</f>
        <v/>
      </c>
      <c r="AI68">
        <f>SUMPRODUCT((M_BOM[Part Name]=$A68)*M_BOM[RM_Qty_Per_Batch]*IFERROR(INDEX(PP_Grid[#Data],IF(M_BOM[PPGridRow]=68,NA(),M_BOM[PPGridRow]),35),0))/26.54</f>
        <v/>
      </c>
      <c r="AJ68">
        <f>SUMPRODUCT((M_BOM[Part Name]=$A68)*M_BOM[RM_Qty_Per_Batch]*IFERROR(INDEX(PP_Grid[#Data],IF(M_BOM[PPGridRow]=68,NA(),M_BOM[PPGridRow]),36),0))/26.54</f>
        <v/>
      </c>
      <c r="AK68">
        <f>SUMPRODUCT((M_BOM[Part Name]=$A68)*M_BOM[RM_Qty_Per_Batch]*IFERROR(INDEX(PP_Grid[#Data],IF(M_BOM[PPGridRow]=68,NA(),M_BOM[PPGridRow]),37),0))/26.54</f>
        <v/>
      </c>
      <c r="AL68">
        <f>SUMPRODUCT((M_BOM[Part Name]=$A68)*M_BOM[RM_Qty_Per_Batch]*IFERROR(INDEX(PP_Grid[#Data],IF(M_BOM[PPGridRow]=68,NA(),M_BOM[PPGridRow]),38),0))/26.54</f>
        <v/>
      </c>
      <c r="AM68">
        <f>SUMPRODUCT((M_BOM[Part Name]=$A68)*M_BOM[RM_Qty_Per_Batch]*IFERROR(INDEX(PP_Grid[#Data],IF(M_BOM[PPGridRow]=68,NA(),M_BOM[PPGridRow]),39),0))/26.54</f>
        <v/>
      </c>
      <c r="AN68">
        <f>SUMPRODUCT((M_BOM[Part Name]=$A68)*M_BOM[RM_Qty_Per_Batch]*IFERROR(INDEX(PP_Grid[#Data],IF(M_BOM[PPGridRow]=68,NA(),M_BOM[PPGridRow]),40),0))/26.54</f>
        <v/>
      </c>
      <c r="AO68">
        <f>SUMPRODUCT((M_BOM[Part Name]=$A68)*M_BOM[RM_Qty_Per_Batch]*IFERROR(INDEX(PP_Grid[#Data],IF(M_BOM[PPGridRow]=68,NA(),M_BOM[PPGridRow]),41),0))/26.54</f>
        <v/>
      </c>
      <c r="AP68">
        <f>SUMPRODUCT((M_BOM[Part Name]=$A68)*M_BOM[RM_Qty_Per_Batch]*IFERROR(INDEX(PP_Grid[#Data],IF(M_BOM[PPGridRow]=68,NA(),M_BOM[PPGridRow]),42),0))/26.54</f>
        <v/>
      </c>
      <c r="AQ68">
        <f>SUMPRODUCT((M_BOM[Part Name]=$A68)*M_BOM[RM_Qty_Per_Batch]*IFERROR(INDEX(PP_Grid[#Data],IF(M_BOM[PPGridRow]=68,NA(),M_BOM[PPGridRow]),43),0))/26.54</f>
        <v/>
      </c>
      <c r="AR68">
        <f>SUMPRODUCT((M_BOM[Part Name]=$A68)*M_BOM[RM_Qty_Per_Batch]*IFERROR(INDEX(PP_Grid[#Data],IF(M_BOM[PPGridRow]=68,NA(),M_BOM[PPGridRow]),44),0))/26.54</f>
        <v/>
      </c>
      <c r="AS68">
        <f>SUMPRODUCT((M_BOM[Part Name]=$A68)*M_BOM[RM_Qty_Per_Batch]*IFERROR(INDEX(PP_Grid[#Data],IF(M_BOM[PPGridRow]=68,NA(),M_BOM[PPGridRow]),45),0))/26.54</f>
        <v/>
      </c>
      <c r="AT68">
        <f>SUMPRODUCT((M_BOM[Part Name]=$A68)*M_BOM[RM_Qty_Per_Batch]*IFERROR(INDEX(PP_Grid[#Data],IF(M_BOM[PPGridRow]=68,NA(),M_BOM[PPGridRow]),46),0))/26.54</f>
        <v/>
      </c>
      <c r="AU68">
        <f>SUMPRODUCT((M_BOM[Part Name]=$A68)*M_BOM[RM_Qty_Per_Batch]*IFERROR(INDEX(PP_Grid[#Data],IF(M_BOM[PPGridRow]=68,NA(),M_BOM[PPGridRow]),47),0))/26.54</f>
        <v/>
      </c>
      <c r="AV68">
        <f>SUMPRODUCT((M_BOM[Part Name]=$A68)*M_BOM[RM_Qty_Per_Batch]*IFERROR(INDEX(PP_Grid[#Data],IF(M_BOM[PPGridRow]=68,NA(),M_BOM[PPGridRow]),48),0))/26.54</f>
        <v/>
      </c>
      <c r="AW68">
        <f>SUMPRODUCT((M_BOM[Part Name]=$A68)*M_BOM[RM_Qty_Per_Batch]*IFERROR(INDEX(PP_Grid[#Data],IF(M_BOM[PPGridRow]=68,NA(),M_BOM[PPGridRow]),49),0))/26.54</f>
        <v/>
      </c>
      <c r="AX68">
        <f>SUMPRODUCT((M_BOM[Part Name]=$A68)*M_BOM[RM_Qty_Per_Batch]*IFERROR(INDEX(PP_Grid[#Data],IF(M_BOM[PPGridRow]=68,NA(),M_BOM[PPGridRow]),50),0))/26.54</f>
        <v/>
      </c>
      <c r="AY68">
        <f>SUMPRODUCT((M_BOM[Part Name]=$A68)*M_BOM[RM_Qty_Per_Batch]*IFERROR(INDEX(PP_Grid[#Data],IF(M_BOM[PPGridRow]=68,NA(),M_BOM[PPGridRow]),51),0))/26.54</f>
        <v/>
      </c>
      <c r="AZ68">
        <f>SUMPRODUCT((M_BOM[Part Name]=$A68)*M_BOM[RM_Qty_Per_Batch]*IFERROR(INDEX(PP_Grid[#Data],IF(M_BOM[PPGridRow]=68,NA(),M_BOM[PPGridRow]),52),0))/26.54</f>
        <v/>
      </c>
      <c r="BA68">
        <f>SUMPRODUCT((M_BOM[Part Name]=$A68)*M_BOM[RM_Qty_Per_Batch]*IFERROR(INDEX(PP_Grid[#Data],IF(M_BOM[PPGridRow]=68,NA(),M_BOM[PPGridRow]),53),0))/26.54</f>
        <v/>
      </c>
      <c r="BB68">
        <f>SUMPRODUCT((M_BOM[Part Name]=$A68)*M_BOM[RM_Qty_Per_Batch]*IFERROR(INDEX(PP_Grid[#Data],IF(M_BOM[PPGridRow]=68,NA(),M_BOM[PPGridRow]),54),0))/26.54</f>
        <v/>
      </c>
      <c r="BC68">
        <f>SUMPRODUCT((M_BOM[Part Name]=$A68)*M_BOM[RM_Qty_Per_Batch]*IFERROR(INDEX(PP_Grid[#Data],IF(M_BOM[PPGridRow]=68,NA(),M_BOM[PPGridRow]),55),0))/26.54</f>
        <v/>
      </c>
      <c r="BD68">
        <f>SUMPRODUCT((M_BOM[Part Name]=$A68)*M_BOM[RM_Qty_Per_Batch]*IFERROR(INDEX(PP_Grid[#Data],IF(M_BOM[PPGridRow]=68,NA(),M_BOM[PPGridRow]),56),0))/26.54</f>
        <v/>
      </c>
      <c r="BE68">
        <f>SUMPRODUCT((M_BOM[Part Name]=$A68)*M_BOM[RM_Qty_Per_Batch]*IFERROR(INDEX(PP_Grid[#Data],IF(M_BOM[PPGridRow]=68,NA(),M_BOM[PPGridRow]),57),0))/26.54</f>
        <v/>
      </c>
      <c r="BF68">
        <f>SUMPRODUCT((M_BOM[Part Name]=$A68)*M_BOM[RM_Qty_Per_Batch]*IFERROR(INDEX(PP_Grid[#Data],IF(M_BOM[PPGridRow]=68,NA(),M_BOM[PPGridRow]),58),0))/26.54</f>
        <v/>
      </c>
      <c r="BG68">
        <f>SUMPRODUCT((M_BOM[Part Name]=$A68)*M_BOM[RM_Qty_Per_Batch]*IFERROR(INDEX(PP_Grid[#Data],IF(M_BOM[PPGridRow]=68,NA(),M_BOM[PPGridRow]),59),0))/26.54</f>
        <v/>
      </c>
      <c r="BH68">
        <f>SUMPRODUCT((M_BOM[Part Name]=$A68)*M_BOM[RM_Qty_Per_Batch]*IFERROR(INDEX(PP_Grid[#Data],IF(M_BOM[PPGridRow]=68,NA(),M_BOM[PPGridRow]),60),0))/26.54</f>
        <v/>
      </c>
      <c r="BI68">
        <f>SUMPRODUCT((M_BOM[Part Name]=$A68)*M_BOM[RM_Qty_Per_Batch]*IFERROR(INDEX(PP_Grid[#Data],IF(M_BOM[PPGridRow]=68,NA(),M_BOM[PPGridRow]),61),0))/26.54</f>
        <v/>
      </c>
      <c r="BJ68">
        <f>SUMPRODUCT((M_BOM[Part Name]=$A68)*M_BOM[RM_Qty_Per_Batch]*IFERROR(INDEX(PP_Grid[#Data],IF(M_BOM[PPGridRow]=68,NA(),M_BOM[PPGridRow]),62),0))/26.54</f>
        <v/>
      </c>
      <c r="BK68">
        <f>SUMPRODUCT((M_BOM[Part Name]=$A68)*M_BOM[RM_Qty_Per_Batch]*IFERROR(INDEX(PP_Grid[#Data],IF(M_BOM[PPGridRow]=68,NA(),M_BOM[PPGridRow]),63),0))/26.54</f>
        <v/>
      </c>
      <c r="BL68">
        <f>SUMPRODUCT((M_BOM[Part Name]=$A68)*M_BOM[RM_Qty_Per_Batch]*IFERROR(INDEX(PP_Grid[#Data],IF(M_BOM[PPGridRow]=68,NA(),M_BOM[PPGridRow]),64),0))/26.54</f>
        <v/>
      </c>
      <c r="BM68">
        <f>SUMPRODUCT((M_BOM[Part Name]=$A68)*M_BOM[RM_Qty_Per_Batch]*IFERROR(INDEX(PP_Grid[#Data],IF(M_BOM[PPGridRow]=68,NA(),M_BOM[PPGridRow]),65),0))/26.54</f>
        <v/>
      </c>
      <c r="BN68">
        <f>SUMPRODUCT((M_BOM[Part Name]=$A68)*M_BOM[RM_Qty_Per_Batch]*IFERROR(INDEX(PP_Grid[#Data],IF(M_BOM[PPGridRow]=68,NA(),M_BOM[PPGridRow]),66),0))/26.54</f>
        <v/>
      </c>
      <c r="BO68">
        <f>SUMPRODUCT((M_BOM[Part Name]=$A68)*M_BOM[RM_Qty_Per_Batch]*IFERROR(INDEX(PP_Grid[#Data],IF(M_BOM[PPGridRow]=68,NA(),M_BOM[PPGridRow]),67),0))/26.54</f>
        <v/>
      </c>
      <c r="BP68">
        <f>SUMPRODUCT((M_BOM[Part Name]=$A68)*M_BOM[RM_Qty_Per_Batch]*IFERROR(INDEX(PP_Grid[#Data],IF(M_BOM[PPGridRow]=68,NA(),M_BOM[PPGridRow]),68),0))/26.54</f>
        <v/>
      </c>
      <c r="BQ68">
        <f>SUMPRODUCT((M_BOM[Part Name]=$A68)*M_BOM[RM_Qty_Per_Batch]*IFERROR(INDEX(PP_Grid[#Data],IF(M_BOM[PPGridRow]=68,NA(),M_BOM[PPGridRow]),69),0))/26.54</f>
        <v/>
      </c>
      <c r="BR68">
        <f>SUMPRODUCT((M_BOM[Part Name]=$A68)*M_BOM[RM_Qty_Per_Batch]*IFERROR(INDEX(PP_Grid[#Data],IF(M_BOM[PPGridRow]=68,NA(),M_BOM[PPGridRow]),70),0))/26.54</f>
        <v/>
      </c>
      <c r="BS68">
        <f>SUMPRODUCT((M_BOM[Part Name]=$A68)*M_BOM[RM_Qty_Per_Batch]*IFERROR(INDEX(PP_Grid[#Data],IF(M_BOM[PPGridRow]=68,NA(),M_BOM[PPGridRow]),71),0))/26.54</f>
        <v/>
      </c>
      <c r="BT68">
        <f>SUMPRODUCT((M_BOM[Part Name]=$A68)*M_BOM[RM_Qty_Per_Batch]*IFERROR(INDEX(PP_Grid[#Data],IF(M_BOM[PPGridRow]=68,NA(),M_BOM[PPGridRow]),72),0))/26.54</f>
        <v/>
      </c>
      <c r="BU68">
        <f>SUMPRODUCT((M_BOM[Part Name]=$A68)*M_BOM[RM_Qty_Per_Batch]*IFERROR(INDEX(PP_Grid[#Data],IF(M_BOM[PPGridRow]=68,NA(),M_BOM[PPGridRow]),73),0))/26.54</f>
        <v/>
      </c>
      <c r="BV68">
        <f>SUMPRODUCT((M_BOM[Part Name]=$A68)*M_BOM[RM_Qty_Per_Batch]*IFERROR(INDEX(PP_Grid[#Data],IF(M_BOM[PPGridRow]=68,NA(),M_BOM[PPGridRow]),74),0))/26.54</f>
        <v/>
      </c>
      <c r="BW68">
        <f>SUMPRODUCT((M_BOM[Part Name]=$A68)*M_BOM[RM_Qty_Per_Batch]*IFERROR(INDEX(PP_Grid[#Data],IF(M_BOM[PPGridRow]=68,NA(),M_BOM[PPGridRow]),75),0))/26.54</f>
        <v/>
      </c>
      <c r="BX68">
        <f>SUMPRODUCT((M_BOM[Part Name]=$A68)*M_BOM[RM_Qty_Per_Batch]*IFERROR(INDEX(PP_Grid[#Data],IF(M_BOM[PPGridRow]=68,NA(),M_BOM[PPGridRow]),76),0))/26.54</f>
        <v/>
      </c>
      <c r="BY68">
        <f>SUMPRODUCT((M_BOM[Part Name]=$A68)*M_BOM[RM_Qty_Per_Batch]*IFERROR(INDEX(PP_Grid[#Data],IF(M_BOM[PPGridRow]=68,NA(),M_BOM[PPGridRow]),77),0))/26.54</f>
        <v/>
      </c>
      <c r="BZ68">
        <f>SUMPRODUCT((M_BOM[Part Name]=$A68)*M_BOM[RM_Qty_Per_Batch]*IFERROR(INDEX(PP_Grid[#Data],IF(M_BOM[PPGridRow]=68,NA(),M_BOM[PPGridRow]),78),0))/26.54</f>
        <v/>
      </c>
      <c r="CA68">
        <f>SUMPRODUCT((M_BOM[Part Name]=$A68)*M_BOM[RM_Qty_Per_Batch]*IFERROR(INDEX(PP_Grid[#Data],IF(M_BOM[PPGridRow]=68,NA(),M_BOM[PPGridRow]),79),0))/26.54</f>
        <v/>
      </c>
      <c r="CB68">
        <f>SUMPRODUCT((M_BOM[Part Name]=$A68)*M_BOM[RM_Qty_Per_Batch]*IFERROR(INDEX(PP_Grid[#Data],IF(M_BOM[PPGridRow]=68,NA(),M_BOM[PPGridRow]),80),0))/26.54</f>
        <v/>
      </c>
      <c r="CC68">
        <f>SUMPRODUCT((M_BOM[Part Name]=$A68)*M_BOM[RM_Qty_Per_Batch]*IFERROR(INDEX(PP_Grid[#Data],IF(M_BOM[PPGridRow]=68,NA(),M_BOM[PPGridRow]),81),0))/26.54</f>
        <v/>
      </c>
      <c r="CD68">
        <f>SUMPRODUCT((M_BOM[Part Name]=$A68)*M_BOM[RM_Qty_Per_Batch]*IFERROR(INDEX(PP_Grid[#Data],IF(M_BOM[PPGridRow]=68,NA(),M_BOM[PPGridRow]),82),0))/26.54</f>
        <v/>
      </c>
      <c r="CE68">
        <f>SUMPRODUCT((M_BOM[Part Name]=$A68)*M_BOM[RM_Qty_Per_Batch]*IFERROR(INDEX(PP_Grid[#Data],IF(M_BOM[PPGridRow]=68,NA(),M_BOM[PPGridRow]),83),0))/26.54</f>
        <v/>
      </c>
      <c r="CF68">
        <f>SUMPRODUCT((M_BOM[Part Name]=$A68)*M_BOM[RM_Qty_Per_Batch]*IFERROR(INDEX(PP_Grid[#Data],IF(M_BOM[PPGridRow]=68,NA(),M_BOM[PPGridRow]),84),0))/26.54</f>
        <v/>
      </c>
      <c r="CG68">
        <f>SUMPRODUCT((M_BOM[Part Name]=$A68)*M_BOM[RM_Qty_Per_Batch]*IFERROR(INDEX(PP_Grid[#Data],IF(M_BOM[PPGridRow]=68,NA(),M_BOM[PPGridRow]),85),0))/26.54</f>
        <v/>
      </c>
      <c r="CH68">
        <f>SUMPRODUCT((M_BOM[Part Name]=$A68)*M_BOM[RM_Qty_Per_Batch]*IFERROR(INDEX(PP_Grid[#Data],IF(M_BOM[PPGridRow]=68,NA(),M_BOM[PPGridRow]),86),0))/26.54</f>
        <v/>
      </c>
      <c r="CI68">
        <f>SUMPRODUCT((M_BOM[Part Name]=$A68)*M_BOM[RM_Qty_Per_Batch]*IFERROR(INDEX(PP_Grid[#Data],IF(M_BOM[PPGridRow]=68,NA(),M_BOM[PPGridRow]),87),0))/26.54</f>
        <v/>
      </c>
      <c r="CJ68">
        <f>SUMPRODUCT((M_BOM[Part Name]=$A68)*M_BOM[RM_Qty_Per_Batch]*IFERROR(INDEX(PP_Grid[#Data],IF(M_BOM[PPGridRow]=68,NA(),M_BOM[PPGridRow]),88),0))/26.54</f>
        <v/>
      </c>
      <c r="CK68">
        <f>SUMPRODUCT((M_BOM[Part Name]=$A68)*M_BOM[RM_Qty_Per_Batch]*IFERROR(INDEX(PP_Grid[#Data],IF(M_BOM[PPGridRow]=68,NA(),M_BOM[PPGridRow]),89),0))/26.54</f>
        <v/>
      </c>
      <c r="CL68">
        <f>SUMPRODUCT((M_BOM[Part Name]=$A68)*M_BOM[RM_Qty_Per_Batch]*IFERROR(INDEX(PP_Grid[#Data],IF(M_BOM[PPGridRow]=68,NA(),M_BOM[PPGridRow]),90),0))/26.54</f>
        <v/>
      </c>
      <c r="CM68">
        <f>SUMPRODUCT((M_BOM[Part Name]=$A68)*M_BOM[RM_Qty_Per_Batch]*IFERROR(INDEX(PP_Grid[#Data],IF(M_BOM[PPGridRow]=68,NA(),M_BOM[PPGridRow]),91),0))/26.54</f>
        <v/>
      </c>
      <c r="CN68">
        <f>SUMPRODUCT((M_BOM[Part Name]=$A68)*M_BOM[RM_Qty_Per_Batch]*IFERROR(INDEX(PP_Grid[#Data],IF(M_BOM[PPGridRow]=68,NA(),M_BOM[PPGridRow]),92),0))/26.54</f>
        <v/>
      </c>
      <c r="CO68">
        <f>SUMPRODUCT((M_BOM[Part Name]=$A68)*M_BOM[RM_Qty_Per_Batch]*IFERROR(INDEX(PP_Grid[#Data],IF(M_BOM[PPGridRow]=68,NA(),M_BOM[PPGridRow]),93),0))/26.54</f>
        <v/>
      </c>
      <c r="CP68">
        <f>SUMPRODUCT((M_BOM[Part Name]=$A68)*M_BOM[RM_Qty_Per_Batch]*IFERROR(INDEX(PP_Grid[#Data],IF(M_BOM[PPGridRow]=68,NA(),M_BOM[PPGridRow]),94),0))/26.54</f>
        <v/>
      </c>
      <c r="CQ68">
        <f>SUMPRODUCT((M_BOM[Part Name]=$A68)*M_BOM[RM_Qty_Per_Batch]*IFERROR(INDEX(PP_Grid[#Data],IF(M_BOM[PPGridRow]=68,NA(),M_BOM[PPGridRow]),95),0))/26.54</f>
        <v/>
      </c>
      <c r="CR68">
        <f>SUMPRODUCT((M_BOM[Part Name]=$A68)*M_BOM[RM_Qty_Per_Batch]*IFERROR(INDEX(PP_Grid[#Data],IF(M_BOM[PPGridRow]=68,NA(),M_BOM[PPGridRow]),96),0))/26.54</f>
        <v/>
      </c>
      <c r="CS68">
        <f>SUMPRODUCT((M_BOM[Part Name]=$A68)*M_BOM[RM_Qty_Per_Batch]*IFERROR(INDEX(PP_Grid[#Data],IF(M_BOM[PPGridRow]=68,NA(),M_BOM[PPGridRow]),97),0))/26.54</f>
        <v/>
      </c>
      <c r="CT68">
        <f>SUMPRODUCT((M_BOM[Part Name]=$A68)*M_BOM[RM_Qty_Per_Batch]*IFERROR(INDEX(PP_Grid[#Data],IF(M_BOM[PPGridRow]=68,NA(),M_BOM[PPGridRow]),98),0))/26.54</f>
        <v/>
      </c>
      <c r="CU68">
        <f>SUMPRODUCT((M_BOM[Part Name]=$A68)*M_BOM[RM_Qty_Per_Batch]*IFERROR(INDEX(PP_Grid[#Data],IF(M_BOM[PPGridRow]=68,NA(),M_BOM[PPGridRow]),99),0))/26.54</f>
        <v/>
      </c>
      <c r="CV68">
        <f>SUMPRODUCT((M_BOM[Part Name]=$A68)*M_BOM[RM_Qty_Per_Batch]*IFERROR(INDEX(PP_Grid[#Data],IF(M_BOM[PPGridRow]=68,NA(),M_BOM[PPGridRow]),100),0))/26.54</f>
        <v/>
      </c>
      <c r="CW68">
        <f>SUMPRODUCT((M_BOM[Part Name]=$A68)*M_BOM[RM_Qty_Per_Batch]*IFERROR(INDEX(PP_Grid[#Data],IF(M_BOM[PPGridRow]=68,NA(),M_BOM[PPGridRow]),101),0))/26.54</f>
        <v/>
      </c>
      <c r="CX68">
        <f>SUMPRODUCT((M_BOM[Part Name]=$A68)*M_BOM[RM_Qty_Per_Batch]*IFERROR(INDEX(PP_Grid[#Data],IF(M_BOM[PPGridRow]=68,NA(),M_BOM[PPGridRow]),102),0))/26.54</f>
        <v/>
      </c>
      <c r="CY68">
        <f>SUMPRODUCT((M_BOM[Part Name]=$A68)*M_BOM[RM_Qty_Per_Batch]*IFERROR(INDEX(PP_Grid[#Data],IF(M_BOM[PPGridRow]=68,NA(),M_BOM[PPGridRow]),103),0))/26.54</f>
        <v/>
      </c>
      <c r="CZ68">
        <f>SUMPRODUCT((M_BOM[Part Name]=$A68)*M_BOM[RM_Qty_Per_Batch]*IFERROR(INDEX(PP_Grid[#Data],IF(M_BOM[PPGridRow]=68,NA(),M_BOM[PPGridRow]),104),0))/26.54</f>
        <v/>
      </c>
      <c r="DA68">
        <f>SUMPRODUCT((M_BOM[Part Name]=$A68)*M_BOM[RM_Qty_Per_Batch]*IFERROR(INDEX(PP_Grid[#Data],IF(M_BOM[PPGridRow]=68,NA(),M_BOM[PPGridRow]),105),0))/26.54</f>
        <v/>
      </c>
    </row>
    <row r="69">
      <c r="A69" t="inlineStr">
        <is>
          <t>TPP-1368</t>
        </is>
      </c>
      <c r="B69">
        <f>SUMPRODUCT((M_BOM[Part Name]=$A69)*M_BOM[RM_Qty_Per_Batch]*IFERROR(INDEX(PP_Grid[#Data],IF(M_BOM[PPGridRow]=69,NA(),M_BOM[PPGridRow]),2),0))/27.79</f>
        <v/>
      </c>
      <c r="C69">
        <f>SUMPRODUCT((M_BOM[Part Name]=$A69)*M_BOM[RM_Qty_Per_Batch]*IFERROR(INDEX(PP_Grid[#Data],IF(M_BOM[PPGridRow]=69,NA(),M_BOM[PPGridRow]),3),0))/27.79</f>
        <v/>
      </c>
      <c r="D69">
        <f>SUMPRODUCT((M_BOM[Part Name]=$A69)*M_BOM[RM_Qty_Per_Batch]*IFERROR(INDEX(PP_Grid[#Data],IF(M_BOM[PPGridRow]=69,NA(),M_BOM[PPGridRow]),4),0))/27.79</f>
        <v/>
      </c>
      <c r="E69">
        <f>SUMPRODUCT((M_BOM[Part Name]=$A69)*M_BOM[RM_Qty_Per_Batch]*IFERROR(INDEX(PP_Grid[#Data],IF(M_BOM[PPGridRow]=69,NA(),M_BOM[PPGridRow]),5),0))/27.79</f>
        <v/>
      </c>
      <c r="F69">
        <f>SUMPRODUCT((M_BOM[Part Name]=$A69)*M_BOM[RM_Qty_Per_Batch]*IFERROR(INDEX(PP_Grid[#Data],IF(M_BOM[PPGridRow]=69,NA(),M_BOM[PPGridRow]),6),0))/27.79</f>
        <v/>
      </c>
      <c r="G69">
        <f>SUMPRODUCT((M_BOM[Part Name]=$A69)*M_BOM[RM_Qty_Per_Batch]*IFERROR(INDEX(PP_Grid[#Data],IF(M_BOM[PPGridRow]=69,NA(),M_BOM[PPGridRow]),7),0))/27.79</f>
        <v/>
      </c>
      <c r="H69">
        <f>SUMPRODUCT((M_BOM[Part Name]=$A69)*M_BOM[RM_Qty_Per_Batch]*IFERROR(INDEX(PP_Grid[#Data],IF(M_BOM[PPGridRow]=69,NA(),M_BOM[PPGridRow]),8),0))/27.79</f>
        <v/>
      </c>
      <c r="I69">
        <f>SUMPRODUCT((M_BOM[Part Name]=$A69)*M_BOM[RM_Qty_Per_Batch]*IFERROR(INDEX(PP_Grid[#Data],IF(M_BOM[PPGridRow]=69,NA(),M_BOM[PPGridRow]),9),0))/27.79</f>
        <v/>
      </c>
      <c r="J69">
        <f>SUMPRODUCT((M_BOM[Part Name]=$A69)*M_BOM[RM_Qty_Per_Batch]*IFERROR(INDEX(PP_Grid[#Data],IF(M_BOM[PPGridRow]=69,NA(),M_BOM[PPGridRow]),10),0))/27.79</f>
        <v/>
      </c>
      <c r="K69">
        <f>SUMPRODUCT((M_BOM[Part Name]=$A69)*M_BOM[RM_Qty_Per_Batch]*IFERROR(INDEX(PP_Grid[#Data],IF(M_BOM[PPGridRow]=69,NA(),M_BOM[PPGridRow]),11),0))/27.79</f>
        <v/>
      </c>
      <c r="L69">
        <f>SUMPRODUCT((M_BOM[Part Name]=$A69)*M_BOM[RM_Qty_Per_Batch]*IFERROR(INDEX(PP_Grid[#Data],IF(M_BOM[PPGridRow]=69,NA(),M_BOM[PPGridRow]),12),0))/27.79</f>
        <v/>
      </c>
      <c r="M69">
        <f>SUMPRODUCT((M_BOM[Part Name]=$A69)*M_BOM[RM_Qty_Per_Batch]*IFERROR(INDEX(PP_Grid[#Data],IF(M_BOM[PPGridRow]=69,NA(),M_BOM[PPGridRow]),13),0))/27.79</f>
        <v/>
      </c>
      <c r="N69">
        <f>SUMPRODUCT((M_BOM[Part Name]=$A69)*M_BOM[RM_Qty_Per_Batch]*IFERROR(INDEX(PP_Grid[#Data],IF(M_BOM[PPGridRow]=69,NA(),M_BOM[PPGridRow]),14),0))/27.79</f>
        <v/>
      </c>
      <c r="O69">
        <f>SUMPRODUCT((M_BOM[Part Name]=$A69)*M_BOM[RM_Qty_Per_Batch]*IFERROR(INDEX(PP_Grid[#Data],IF(M_BOM[PPGridRow]=69,NA(),M_BOM[PPGridRow]),15),0))/27.79</f>
        <v/>
      </c>
      <c r="P69">
        <f>SUMPRODUCT((M_BOM[Part Name]=$A69)*M_BOM[RM_Qty_Per_Batch]*IFERROR(INDEX(PP_Grid[#Data],IF(M_BOM[PPGridRow]=69,NA(),M_BOM[PPGridRow]),16),0))/27.79</f>
        <v/>
      </c>
      <c r="Q69">
        <f>SUMPRODUCT((M_BOM[Part Name]=$A69)*M_BOM[RM_Qty_Per_Batch]*IFERROR(INDEX(PP_Grid[#Data],IF(M_BOM[PPGridRow]=69,NA(),M_BOM[PPGridRow]),17),0))/27.79</f>
        <v/>
      </c>
      <c r="R69">
        <f>SUMPRODUCT((M_BOM[Part Name]=$A69)*M_BOM[RM_Qty_Per_Batch]*IFERROR(INDEX(PP_Grid[#Data],IF(M_BOM[PPGridRow]=69,NA(),M_BOM[PPGridRow]),18),0))/27.79</f>
        <v/>
      </c>
      <c r="S69">
        <f>SUMPRODUCT((M_BOM[Part Name]=$A69)*M_BOM[RM_Qty_Per_Batch]*IFERROR(INDEX(PP_Grid[#Data],IF(M_BOM[PPGridRow]=69,NA(),M_BOM[PPGridRow]),19),0))/27.79</f>
        <v/>
      </c>
      <c r="T69">
        <f>SUMPRODUCT((M_BOM[Part Name]=$A69)*M_BOM[RM_Qty_Per_Batch]*IFERROR(INDEX(PP_Grid[#Data],IF(M_BOM[PPGridRow]=69,NA(),M_BOM[PPGridRow]),20),0))/27.79</f>
        <v/>
      </c>
      <c r="U69">
        <f>SUMPRODUCT((M_BOM[Part Name]=$A69)*M_BOM[RM_Qty_Per_Batch]*IFERROR(INDEX(PP_Grid[#Data],IF(M_BOM[PPGridRow]=69,NA(),M_BOM[PPGridRow]),21),0))/27.79</f>
        <v/>
      </c>
      <c r="V69">
        <f>SUMPRODUCT((M_BOM[Part Name]=$A69)*M_BOM[RM_Qty_Per_Batch]*IFERROR(INDEX(PP_Grid[#Data],IF(M_BOM[PPGridRow]=69,NA(),M_BOM[PPGridRow]),22),0))/27.79</f>
        <v/>
      </c>
      <c r="W69">
        <f>SUMPRODUCT((M_BOM[Part Name]=$A69)*M_BOM[RM_Qty_Per_Batch]*IFERROR(INDEX(PP_Grid[#Data],IF(M_BOM[PPGridRow]=69,NA(),M_BOM[PPGridRow]),23),0))/27.79</f>
        <v/>
      </c>
      <c r="X69">
        <f>SUMPRODUCT((M_BOM[Part Name]=$A69)*M_BOM[RM_Qty_Per_Batch]*IFERROR(INDEX(PP_Grid[#Data],IF(M_BOM[PPGridRow]=69,NA(),M_BOM[PPGridRow]),24),0))/27.79</f>
        <v/>
      </c>
      <c r="Y69">
        <f>SUMPRODUCT((M_BOM[Part Name]=$A69)*M_BOM[RM_Qty_Per_Batch]*IFERROR(INDEX(PP_Grid[#Data],IF(M_BOM[PPGridRow]=69,NA(),M_BOM[PPGridRow]),25),0))/27.79</f>
        <v/>
      </c>
      <c r="Z69">
        <f>SUMPRODUCT((M_BOM[Part Name]=$A69)*M_BOM[RM_Qty_Per_Batch]*IFERROR(INDEX(PP_Grid[#Data],IF(M_BOM[PPGridRow]=69,NA(),M_BOM[PPGridRow]),26),0))/27.79</f>
        <v/>
      </c>
      <c r="AA69">
        <f>SUMPRODUCT((M_BOM[Part Name]=$A69)*M_BOM[RM_Qty_Per_Batch]*IFERROR(INDEX(PP_Grid[#Data],IF(M_BOM[PPGridRow]=69,NA(),M_BOM[PPGridRow]),27),0))/27.79</f>
        <v/>
      </c>
      <c r="AB69">
        <f>SUMPRODUCT((M_BOM[Part Name]=$A69)*M_BOM[RM_Qty_Per_Batch]*IFERROR(INDEX(PP_Grid[#Data],IF(M_BOM[PPGridRow]=69,NA(),M_BOM[PPGridRow]),28),0))/27.79</f>
        <v/>
      </c>
      <c r="AC69">
        <f>SUMPRODUCT((M_BOM[Part Name]=$A69)*M_BOM[RM_Qty_Per_Batch]*IFERROR(INDEX(PP_Grid[#Data],IF(M_BOM[PPGridRow]=69,NA(),M_BOM[PPGridRow]),29),0))/27.79</f>
        <v/>
      </c>
      <c r="AD69">
        <f>SUMPRODUCT((M_BOM[Part Name]=$A69)*M_BOM[RM_Qty_Per_Batch]*IFERROR(INDEX(PP_Grid[#Data],IF(M_BOM[PPGridRow]=69,NA(),M_BOM[PPGridRow]),30),0))/27.79</f>
        <v/>
      </c>
      <c r="AE69">
        <f>SUMPRODUCT((M_BOM[Part Name]=$A69)*M_BOM[RM_Qty_Per_Batch]*IFERROR(INDEX(PP_Grid[#Data],IF(M_BOM[PPGridRow]=69,NA(),M_BOM[PPGridRow]),31),0))/27.79</f>
        <v/>
      </c>
      <c r="AF69">
        <f>SUMPRODUCT((M_BOM[Part Name]=$A69)*M_BOM[RM_Qty_Per_Batch]*IFERROR(INDEX(PP_Grid[#Data],IF(M_BOM[PPGridRow]=69,NA(),M_BOM[PPGridRow]),32),0))/27.79</f>
        <v/>
      </c>
      <c r="AG69">
        <f>SUMPRODUCT((M_BOM[Part Name]=$A69)*M_BOM[RM_Qty_Per_Batch]*IFERROR(INDEX(PP_Grid[#Data],IF(M_BOM[PPGridRow]=69,NA(),M_BOM[PPGridRow]),33),0))/27.79</f>
        <v/>
      </c>
      <c r="AH69">
        <f>SUMPRODUCT((M_BOM[Part Name]=$A69)*M_BOM[RM_Qty_Per_Batch]*IFERROR(INDEX(PP_Grid[#Data],IF(M_BOM[PPGridRow]=69,NA(),M_BOM[PPGridRow]),34),0))/27.79</f>
        <v/>
      </c>
      <c r="AI69">
        <f>SUMPRODUCT((M_BOM[Part Name]=$A69)*M_BOM[RM_Qty_Per_Batch]*IFERROR(INDEX(PP_Grid[#Data],IF(M_BOM[PPGridRow]=69,NA(),M_BOM[PPGridRow]),35),0))/27.79</f>
        <v/>
      </c>
      <c r="AJ69">
        <f>SUMPRODUCT((M_BOM[Part Name]=$A69)*M_BOM[RM_Qty_Per_Batch]*IFERROR(INDEX(PP_Grid[#Data],IF(M_BOM[PPGridRow]=69,NA(),M_BOM[PPGridRow]),36),0))/27.79</f>
        <v/>
      </c>
      <c r="AK69">
        <f>SUMPRODUCT((M_BOM[Part Name]=$A69)*M_BOM[RM_Qty_Per_Batch]*IFERROR(INDEX(PP_Grid[#Data],IF(M_BOM[PPGridRow]=69,NA(),M_BOM[PPGridRow]),37),0))/27.79</f>
        <v/>
      </c>
      <c r="AL69">
        <f>SUMPRODUCT((M_BOM[Part Name]=$A69)*M_BOM[RM_Qty_Per_Batch]*IFERROR(INDEX(PP_Grid[#Data],IF(M_BOM[PPGridRow]=69,NA(),M_BOM[PPGridRow]),38),0))/27.79</f>
        <v/>
      </c>
      <c r="AM69">
        <f>SUMPRODUCT((M_BOM[Part Name]=$A69)*M_BOM[RM_Qty_Per_Batch]*IFERROR(INDEX(PP_Grid[#Data],IF(M_BOM[PPGridRow]=69,NA(),M_BOM[PPGridRow]),39),0))/27.79</f>
        <v/>
      </c>
      <c r="AN69">
        <f>SUMPRODUCT((M_BOM[Part Name]=$A69)*M_BOM[RM_Qty_Per_Batch]*IFERROR(INDEX(PP_Grid[#Data],IF(M_BOM[PPGridRow]=69,NA(),M_BOM[PPGridRow]),40),0))/27.79</f>
        <v/>
      </c>
      <c r="AO69">
        <f>SUMPRODUCT((M_BOM[Part Name]=$A69)*M_BOM[RM_Qty_Per_Batch]*IFERROR(INDEX(PP_Grid[#Data],IF(M_BOM[PPGridRow]=69,NA(),M_BOM[PPGridRow]),41),0))/27.79</f>
        <v/>
      </c>
      <c r="AP69">
        <f>SUMPRODUCT((M_BOM[Part Name]=$A69)*M_BOM[RM_Qty_Per_Batch]*IFERROR(INDEX(PP_Grid[#Data],IF(M_BOM[PPGridRow]=69,NA(),M_BOM[PPGridRow]),42),0))/27.79</f>
        <v/>
      </c>
      <c r="AQ69">
        <f>SUMPRODUCT((M_BOM[Part Name]=$A69)*M_BOM[RM_Qty_Per_Batch]*IFERROR(INDEX(PP_Grid[#Data],IF(M_BOM[PPGridRow]=69,NA(),M_BOM[PPGridRow]),43),0))/27.79</f>
        <v/>
      </c>
      <c r="AR69">
        <f>SUMPRODUCT((M_BOM[Part Name]=$A69)*M_BOM[RM_Qty_Per_Batch]*IFERROR(INDEX(PP_Grid[#Data],IF(M_BOM[PPGridRow]=69,NA(),M_BOM[PPGridRow]),44),0))/27.79</f>
        <v/>
      </c>
      <c r="AS69">
        <f>SUMPRODUCT((M_BOM[Part Name]=$A69)*M_BOM[RM_Qty_Per_Batch]*IFERROR(INDEX(PP_Grid[#Data],IF(M_BOM[PPGridRow]=69,NA(),M_BOM[PPGridRow]),45),0))/27.79</f>
        <v/>
      </c>
      <c r="AT69">
        <f>SUMPRODUCT((M_BOM[Part Name]=$A69)*M_BOM[RM_Qty_Per_Batch]*IFERROR(INDEX(PP_Grid[#Data],IF(M_BOM[PPGridRow]=69,NA(),M_BOM[PPGridRow]),46),0))/27.79</f>
        <v/>
      </c>
      <c r="AU69">
        <f>SUMPRODUCT((M_BOM[Part Name]=$A69)*M_BOM[RM_Qty_Per_Batch]*IFERROR(INDEX(PP_Grid[#Data],IF(M_BOM[PPGridRow]=69,NA(),M_BOM[PPGridRow]),47),0))/27.79</f>
        <v/>
      </c>
      <c r="AV69">
        <f>SUMPRODUCT((M_BOM[Part Name]=$A69)*M_BOM[RM_Qty_Per_Batch]*IFERROR(INDEX(PP_Grid[#Data],IF(M_BOM[PPGridRow]=69,NA(),M_BOM[PPGridRow]),48),0))/27.79</f>
        <v/>
      </c>
      <c r="AW69">
        <f>SUMPRODUCT((M_BOM[Part Name]=$A69)*M_BOM[RM_Qty_Per_Batch]*IFERROR(INDEX(PP_Grid[#Data],IF(M_BOM[PPGridRow]=69,NA(),M_BOM[PPGridRow]),49),0))/27.79</f>
        <v/>
      </c>
      <c r="AX69">
        <f>SUMPRODUCT((M_BOM[Part Name]=$A69)*M_BOM[RM_Qty_Per_Batch]*IFERROR(INDEX(PP_Grid[#Data],IF(M_BOM[PPGridRow]=69,NA(),M_BOM[PPGridRow]),50),0))/27.79</f>
        <v/>
      </c>
      <c r="AY69">
        <f>SUMPRODUCT((M_BOM[Part Name]=$A69)*M_BOM[RM_Qty_Per_Batch]*IFERROR(INDEX(PP_Grid[#Data],IF(M_BOM[PPGridRow]=69,NA(),M_BOM[PPGridRow]),51),0))/27.79</f>
        <v/>
      </c>
      <c r="AZ69">
        <f>SUMPRODUCT((M_BOM[Part Name]=$A69)*M_BOM[RM_Qty_Per_Batch]*IFERROR(INDEX(PP_Grid[#Data],IF(M_BOM[PPGridRow]=69,NA(),M_BOM[PPGridRow]),52),0))/27.79</f>
        <v/>
      </c>
      <c r="BA69">
        <f>SUMPRODUCT((M_BOM[Part Name]=$A69)*M_BOM[RM_Qty_Per_Batch]*IFERROR(INDEX(PP_Grid[#Data],IF(M_BOM[PPGridRow]=69,NA(),M_BOM[PPGridRow]),53),0))/27.79</f>
        <v/>
      </c>
      <c r="BB69">
        <f>SUMPRODUCT((M_BOM[Part Name]=$A69)*M_BOM[RM_Qty_Per_Batch]*IFERROR(INDEX(PP_Grid[#Data],IF(M_BOM[PPGridRow]=69,NA(),M_BOM[PPGridRow]),54),0))/27.79</f>
        <v/>
      </c>
      <c r="BC69">
        <f>SUMPRODUCT((M_BOM[Part Name]=$A69)*M_BOM[RM_Qty_Per_Batch]*IFERROR(INDEX(PP_Grid[#Data],IF(M_BOM[PPGridRow]=69,NA(),M_BOM[PPGridRow]),55),0))/27.79</f>
        <v/>
      </c>
      <c r="BD69">
        <f>SUMPRODUCT((M_BOM[Part Name]=$A69)*M_BOM[RM_Qty_Per_Batch]*IFERROR(INDEX(PP_Grid[#Data],IF(M_BOM[PPGridRow]=69,NA(),M_BOM[PPGridRow]),56),0))/27.79</f>
        <v/>
      </c>
      <c r="BE69">
        <f>SUMPRODUCT((M_BOM[Part Name]=$A69)*M_BOM[RM_Qty_Per_Batch]*IFERROR(INDEX(PP_Grid[#Data],IF(M_BOM[PPGridRow]=69,NA(),M_BOM[PPGridRow]),57),0))/27.79</f>
        <v/>
      </c>
      <c r="BF69">
        <f>SUMPRODUCT((M_BOM[Part Name]=$A69)*M_BOM[RM_Qty_Per_Batch]*IFERROR(INDEX(PP_Grid[#Data],IF(M_BOM[PPGridRow]=69,NA(),M_BOM[PPGridRow]),58),0))/27.79</f>
        <v/>
      </c>
      <c r="BG69">
        <f>SUMPRODUCT((M_BOM[Part Name]=$A69)*M_BOM[RM_Qty_Per_Batch]*IFERROR(INDEX(PP_Grid[#Data],IF(M_BOM[PPGridRow]=69,NA(),M_BOM[PPGridRow]),59),0))/27.79</f>
        <v/>
      </c>
      <c r="BH69">
        <f>SUMPRODUCT((M_BOM[Part Name]=$A69)*M_BOM[RM_Qty_Per_Batch]*IFERROR(INDEX(PP_Grid[#Data],IF(M_BOM[PPGridRow]=69,NA(),M_BOM[PPGridRow]),60),0))/27.79</f>
        <v/>
      </c>
      <c r="BI69">
        <f>SUMPRODUCT((M_BOM[Part Name]=$A69)*M_BOM[RM_Qty_Per_Batch]*IFERROR(INDEX(PP_Grid[#Data],IF(M_BOM[PPGridRow]=69,NA(),M_BOM[PPGridRow]),61),0))/27.79</f>
        <v/>
      </c>
      <c r="BJ69">
        <f>SUMPRODUCT((M_BOM[Part Name]=$A69)*M_BOM[RM_Qty_Per_Batch]*IFERROR(INDEX(PP_Grid[#Data],IF(M_BOM[PPGridRow]=69,NA(),M_BOM[PPGridRow]),62),0))/27.79</f>
        <v/>
      </c>
      <c r="BK69">
        <f>SUMPRODUCT((M_BOM[Part Name]=$A69)*M_BOM[RM_Qty_Per_Batch]*IFERROR(INDEX(PP_Grid[#Data],IF(M_BOM[PPGridRow]=69,NA(),M_BOM[PPGridRow]),63),0))/27.79</f>
        <v/>
      </c>
      <c r="BL69">
        <f>SUMPRODUCT((M_BOM[Part Name]=$A69)*M_BOM[RM_Qty_Per_Batch]*IFERROR(INDEX(PP_Grid[#Data],IF(M_BOM[PPGridRow]=69,NA(),M_BOM[PPGridRow]),64),0))/27.79</f>
        <v/>
      </c>
      <c r="BM69">
        <f>SUMPRODUCT((M_BOM[Part Name]=$A69)*M_BOM[RM_Qty_Per_Batch]*IFERROR(INDEX(PP_Grid[#Data],IF(M_BOM[PPGridRow]=69,NA(),M_BOM[PPGridRow]),65),0))/27.79</f>
        <v/>
      </c>
      <c r="BN69">
        <f>SUMPRODUCT((M_BOM[Part Name]=$A69)*M_BOM[RM_Qty_Per_Batch]*IFERROR(INDEX(PP_Grid[#Data],IF(M_BOM[PPGridRow]=69,NA(),M_BOM[PPGridRow]),66),0))/27.79</f>
        <v/>
      </c>
      <c r="BO69">
        <f>SUMPRODUCT((M_BOM[Part Name]=$A69)*M_BOM[RM_Qty_Per_Batch]*IFERROR(INDEX(PP_Grid[#Data],IF(M_BOM[PPGridRow]=69,NA(),M_BOM[PPGridRow]),67),0))/27.79</f>
        <v/>
      </c>
      <c r="BP69">
        <f>SUMPRODUCT((M_BOM[Part Name]=$A69)*M_BOM[RM_Qty_Per_Batch]*IFERROR(INDEX(PP_Grid[#Data],IF(M_BOM[PPGridRow]=69,NA(),M_BOM[PPGridRow]),68),0))/27.79</f>
        <v/>
      </c>
      <c r="BQ69">
        <f>SUMPRODUCT((M_BOM[Part Name]=$A69)*M_BOM[RM_Qty_Per_Batch]*IFERROR(INDEX(PP_Grid[#Data],IF(M_BOM[PPGridRow]=69,NA(),M_BOM[PPGridRow]),69),0))/27.79</f>
        <v/>
      </c>
      <c r="BR69">
        <f>SUMPRODUCT((M_BOM[Part Name]=$A69)*M_BOM[RM_Qty_Per_Batch]*IFERROR(INDEX(PP_Grid[#Data],IF(M_BOM[PPGridRow]=69,NA(),M_BOM[PPGridRow]),70),0))/27.79</f>
        <v/>
      </c>
      <c r="BS69">
        <f>SUMPRODUCT((M_BOM[Part Name]=$A69)*M_BOM[RM_Qty_Per_Batch]*IFERROR(INDEX(PP_Grid[#Data],IF(M_BOM[PPGridRow]=69,NA(),M_BOM[PPGridRow]),71),0))/27.79</f>
        <v/>
      </c>
      <c r="BT69">
        <f>SUMPRODUCT((M_BOM[Part Name]=$A69)*M_BOM[RM_Qty_Per_Batch]*IFERROR(INDEX(PP_Grid[#Data],IF(M_BOM[PPGridRow]=69,NA(),M_BOM[PPGridRow]),72),0))/27.79</f>
        <v/>
      </c>
      <c r="BU69">
        <f>SUMPRODUCT((M_BOM[Part Name]=$A69)*M_BOM[RM_Qty_Per_Batch]*IFERROR(INDEX(PP_Grid[#Data],IF(M_BOM[PPGridRow]=69,NA(),M_BOM[PPGridRow]),73),0))/27.79</f>
        <v/>
      </c>
      <c r="BV69">
        <f>SUMPRODUCT((M_BOM[Part Name]=$A69)*M_BOM[RM_Qty_Per_Batch]*IFERROR(INDEX(PP_Grid[#Data],IF(M_BOM[PPGridRow]=69,NA(),M_BOM[PPGridRow]),74),0))/27.79</f>
        <v/>
      </c>
      <c r="BW69">
        <f>SUMPRODUCT((M_BOM[Part Name]=$A69)*M_BOM[RM_Qty_Per_Batch]*IFERROR(INDEX(PP_Grid[#Data],IF(M_BOM[PPGridRow]=69,NA(),M_BOM[PPGridRow]),75),0))/27.79</f>
        <v/>
      </c>
      <c r="BX69">
        <f>SUMPRODUCT((M_BOM[Part Name]=$A69)*M_BOM[RM_Qty_Per_Batch]*IFERROR(INDEX(PP_Grid[#Data],IF(M_BOM[PPGridRow]=69,NA(),M_BOM[PPGridRow]),76),0))/27.79</f>
        <v/>
      </c>
      <c r="BY69">
        <f>SUMPRODUCT((M_BOM[Part Name]=$A69)*M_BOM[RM_Qty_Per_Batch]*IFERROR(INDEX(PP_Grid[#Data],IF(M_BOM[PPGridRow]=69,NA(),M_BOM[PPGridRow]),77),0))/27.79</f>
        <v/>
      </c>
      <c r="BZ69">
        <f>SUMPRODUCT((M_BOM[Part Name]=$A69)*M_BOM[RM_Qty_Per_Batch]*IFERROR(INDEX(PP_Grid[#Data],IF(M_BOM[PPGridRow]=69,NA(),M_BOM[PPGridRow]),78),0))/27.79</f>
        <v/>
      </c>
      <c r="CA69">
        <f>SUMPRODUCT((M_BOM[Part Name]=$A69)*M_BOM[RM_Qty_Per_Batch]*IFERROR(INDEX(PP_Grid[#Data],IF(M_BOM[PPGridRow]=69,NA(),M_BOM[PPGridRow]),79),0))/27.79</f>
        <v/>
      </c>
      <c r="CB69">
        <f>SUMPRODUCT((M_BOM[Part Name]=$A69)*M_BOM[RM_Qty_Per_Batch]*IFERROR(INDEX(PP_Grid[#Data],IF(M_BOM[PPGridRow]=69,NA(),M_BOM[PPGridRow]),80),0))/27.79</f>
        <v/>
      </c>
      <c r="CC69">
        <f>SUMPRODUCT((M_BOM[Part Name]=$A69)*M_BOM[RM_Qty_Per_Batch]*IFERROR(INDEX(PP_Grid[#Data],IF(M_BOM[PPGridRow]=69,NA(),M_BOM[PPGridRow]),81),0))/27.79</f>
        <v/>
      </c>
      <c r="CD69">
        <f>SUMPRODUCT((M_BOM[Part Name]=$A69)*M_BOM[RM_Qty_Per_Batch]*IFERROR(INDEX(PP_Grid[#Data],IF(M_BOM[PPGridRow]=69,NA(),M_BOM[PPGridRow]),82),0))/27.79</f>
        <v/>
      </c>
      <c r="CE69">
        <f>SUMPRODUCT((M_BOM[Part Name]=$A69)*M_BOM[RM_Qty_Per_Batch]*IFERROR(INDEX(PP_Grid[#Data],IF(M_BOM[PPGridRow]=69,NA(),M_BOM[PPGridRow]),83),0))/27.79</f>
        <v/>
      </c>
      <c r="CF69">
        <f>SUMPRODUCT((M_BOM[Part Name]=$A69)*M_BOM[RM_Qty_Per_Batch]*IFERROR(INDEX(PP_Grid[#Data],IF(M_BOM[PPGridRow]=69,NA(),M_BOM[PPGridRow]),84),0))/27.79</f>
        <v/>
      </c>
      <c r="CG69">
        <f>SUMPRODUCT((M_BOM[Part Name]=$A69)*M_BOM[RM_Qty_Per_Batch]*IFERROR(INDEX(PP_Grid[#Data],IF(M_BOM[PPGridRow]=69,NA(),M_BOM[PPGridRow]),85),0))/27.79</f>
        <v/>
      </c>
      <c r="CH69">
        <f>SUMPRODUCT((M_BOM[Part Name]=$A69)*M_BOM[RM_Qty_Per_Batch]*IFERROR(INDEX(PP_Grid[#Data],IF(M_BOM[PPGridRow]=69,NA(),M_BOM[PPGridRow]),86),0))/27.79</f>
        <v/>
      </c>
      <c r="CI69">
        <f>SUMPRODUCT((M_BOM[Part Name]=$A69)*M_BOM[RM_Qty_Per_Batch]*IFERROR(INDEX(PP_Grid[#Data],IF(M_BOM[PPGridRow]=69,NA(),M_BOM[PPGridRow]),87),0))/27.79</f>
        <v/>
      </c>
      <c r="CJ69">
        <f>SUMPRODUCT((M_BOM[Part Name]=$A69)*M_BOM[RM_Qty_Per_Batch]*IFERROR(INDEX(PP_Grid[#Data],IF(M_BOM[PPGridRow]=69,NA(),M_BOM[PPGridRow]),88),0))/27.79</f>
        <v/>
      </c>
      <c r="CK69">
        <f>SUMPRODUCT((M_BOM[Part Name]=$A69)*M_BOM[RM_Qty_Per_Batch]*IFERROR(INDEX(PP_Grid[#Data],IF(M_BOM[PPGridRow]=69,NA(),M_BOM[PPGridRow]),89),0))/27.79</f>
        <v/>
      </c>
      <c r="CL69">
        <f>SUMPRODUCT((M_BOM[Part Name]=$A69)*M_BOM[RM_Qty_Per_Batch]*IFERROR(INDEX(PP_Grid[#Data],IF(M_BOM[PPGridRow]=69,NA(),M_BOM[PPGridRow]),90),0))/27.79</f>
        <v/>
      </c>
      <c r="CM69">
        <f>SUMPRODUCT((M_BOM[Part Name]=$A69)*M_BOM[RM_Qty_Per_Batch]*IFERROR(INDEX(PP_Grid[#Data],IF(M_BOM[PPGridRow]=69,NA(),M_BOM[PPGridRow]),91),0))/27.79</f>
        <v/>
      </c>
      <c r="CN69">
        <f>SUMPRODUCT((M_BOM[Part Name]=$A69)*M_BOM[RM_Qty_Per_Batch]*IFERROR(INDEX(PP_Grid[#Data],IF(M_BOM[PPGridRow]=69,NA(),M_BOM[PPGridRow]),92),0))/27.79</f>
        <v/>
      </c>
      <c r="CO69">
        <f>SUMPRODUCT((M_BOM[Part Name]=$A69)*M_BOM[RM_Qty_Per_Batch]*IFERROR(INDEX(PP_Grid[#Data],IF(M_BOM[PPGridRow]=69,NA(),M_BOM[PPGridRow]),93),0))/27.79</f>
        <v/>
      </c>
      <c r="CP69">
        <f>SUMPRODUCT((M_BOM[Part Name]=$A69)*M_BOM[RM_Qty_Per_Batch]*IFERROR(INDEX(PP_Grid[#Data],IF(M_BOM[PPGridRow]=69,NA(),M_BOM[PPGridRow]),94),0))/27.79</f>
        <v/>
      </c>
      <c r="CQ69">
        <f>SUMPRODUCT((M_BOM[Part Name]=$A69)*M_BOM[RM_Qty_Per_Batch]*IFERROR(INDEX(PP_Grid[#Data],IF(M_BOM[PPGridRow]=69,NA(),M_BOM[PPGridRow]),95),0))/27.79</f>
        <v/>
      </c>
      <c r="CR69">
        <f>SUMPRODUCT((M_BOM[Part Name]=$A69)*M_BOM[RM_Qty_Per_Batch]*IFERROR(INDEX(PP_Grid[#Data],IF(M_BOM[PPGridRow]=69,NA(),M_BOM[PPGridRow]),96),0))/27.79</f>
        <v/>
      </c>
      <c r="CS69">
        <f>SUMPRODUCT((M_BOM[Part Name]=$A69)*M_BOM[RM_Qty_Per_Batch]*IFERROR(INDEX(PP_Grid[#Data],IF(M_BOM[PPGridRow]=69,NA(),M_BOM[PPGridRow]),97),0))/27.79</f>
        <v/>
      </c>
      <c r="CT69">
        <f>SUMPRODUCT((M_BOM[Part Name]=$A69)*M_BOM[RM_Qty_Per_Batch]*IFERROR(INDEX(PP_Grid[#Data],IF(M_BOM[PPGridRow]=69,NA(),M_BOM[PPGridRow]),98),0))/27.79</f>
        <v/>
      </c>
      <c r="CU69">
        <f>SUMPRODUCT((M_BOM[Part Name]=$A69)*M_BOM[RM_Qty_Per_Batch]*IFERROR(INDEX(PP_Grid[#Data],IF(M_BOM[PPGridRow]=69,NA(),M_BOM[PPGridRow]),99),0))/27.79</f>
        <v/>
      </c>
      <c r="CV69">
        <f>SUMPRODUCT((M_BOM[Part Name]=$A69)*M_BOM[RM_Qty_Per_Batch]*IFERROR(INDEX(PP_Grid[#Data],IF(M_BOM[PPGridRow]=69,NA(),M_BOM[PPGridRow]),100),0))/27.79</f>
        <v/>
      </c>
      <c r="CW69">
        <f>SUMPRODUCT((M_BOM[Part Name]=$A69)*M_BOM[RM_Qty_Per_Batch]*IFERROR(INDEX(PP_Grid[#Data],IF(M_BOM[PPGridRow]=69,NA(),M_BOM[PPGridRow]),101),0))/27.79</f>
        <v/>
      </c>
      <c r="CX69">
        <f>SUMPRODUCT((M_BOM[Part Name]=$A69)*M_BOM[RM_Qty_Per_Batch]*IFERROR(INDEX(PP_Grid[#Data],IF(M_BOM[PPGridRow]=69,NA(),M_BOM[PPGridRow]),102),0))/27.79</f>
        <v/>
      </c>
      <c r="CY69">
        <f>SUMPRODUCT((M_BOM[Part Name]=$A69)*M_BOM[RM_Qty_Per_Batch]*IFERROR(INDEX(PP_Grid[#Data],IF(M_BOM[PPGridRow]=69,NA(),M_BOM[PPGridRow]),103),0))/27.79</f>
        <v/>
      </c>
      <c r="CZ69">
        <f>SUMPRODUCT((M_BOM[Part Name]=$A69)*M_BOM[RM_Qty_Per_Batch]*IFERROR(INDEX(PP_Grid[#Data],IF(M_BOM[PPGridRow]=69,NA(),M_BOM[PPGridRow]),104),0))/27.79</f>
        <v/>
      </c>
      <c r="DA69">
        <f>SUMPRODUCT((M_BOM[Part Name]=$A69)*M_BOM[RM_Qty_Per_Batch]*IFERROR(INDEX(PP_Grid[#Data],IF(M_BOM[PPGridRow]=69,NA(),M_BOM[PPGridRow]),105),0))/27.79</f>
        <v/>
      </c>
    </row>
    <row r="70">
      <c r="A70" t="inlineStr">
        <is>
          <t>TPP-1369</t>
        </is>
      </c>
      <c r="B70">
        <f>SUMPRODUCT((M_BOM[Part Name]=$A70)*M_BOM[RM_Qty_Per_Batch]*IFERROR(INDEX(PP_Grid[#Data],IF(M_BOM[PPGridRow]=70,NA(),M_BOM[PPGridRow]),2),0))/30.72</f>
        <v/>
      </c>
      <c r="C70">
        <f>SUMPRODUCT((M_BOM[Part Name]=$A70)*M_BOM[RM_Qty_Per_Batch]*IFERROR(INDEX(PP_Grid[#Data],IF(M_BOM[PPGridRow]=70,NA(),M_BOM[PPGridRow]),3),0))/30.72</f>
        <v/>
      </c>
      <c r="D70">
        <f>SUMPRODUCT((M_BOM[Part Name]=$A70)*M_BOM[RM_Qty_Per_Batch]*IFERROR(INDEX(PP_Grid[#Data],IF(M_BOM[PPGridRow]=70,NA(),M_BOM[PPGridRow]),4),0))/30.72</f>
        <v/>
      </c>
      <c r="E70">
        <f>SUMPRODUCT((M_BOM[Part Name]=$A70)*M_BOM[RM_Qty_Per_Batch]*IFERROR(INDEX(PP_Grid[#Data],IF(M_BOM[PPGridRow]=70,NA(),M_BOM[PPGridRow]),5),0))/30.72</f>
        <v/>
      </c>
      <c r="F70">
        <f>SUMPRODUCT((M_BOM[Part Name]=$A70)*M_BOM[RM_Qty_Per_Batch]*IFERROR(INDEX(PP_Grid[#Data],IF(M_BOM[PPGridRow]=70,NA(),M_BOM[PPGridRow]),6),0))/30.72</f>
        <v/>
      </c>
      <c r="G70">
        <f>SUMPRODUCT((M_BOM[Part Name]=$A70)*M_BOM[RM_Qty_Per_Batch]*IFERROR(INDEX(PP_Grid[#Data],IF(M_BOM[PPGridRow]=70,NA(),M_BOM[PPGridRow]),7),0))/30.72</f>
        <v/>
      </c>
      <c r="H70">
        <f>SUMPRODUCT((M_BOM[Part Name]=$A70)*M_BOM[RM_Qty_Per_Batch]*IFERROR(INDEX(PP_Grid[#Data],IF(M_BOM[PPGridRow]=70,NA(),M_BOM[PPGridRow]),8),0))/30.72</f>
        <v/>
      </c>
      <c r="I70">
        <f>SUMPRODUCT((M_BOM[Part Name]=$A70)*M_BOM[RM_Qty_Per_Batch]*IFERROR(INDEX(PP_Grid[#Data],IF(M_BOM[PPGridRow]=70,NA(),M_BOM[PPGridRow]),9),0))/30.72</f>
        <v/>
      </c>
      <c r="J70">
        <f>SUMPRODUCT((M_BOM[Part Name]=$A70)*M_BOM[RM_Qty_Per_Batch]*IFERROR(INDEX(PP_Grid[#Data],IF(M_BOM[PPGridRow]=70,NA(),M_BOM[PPGridRow]),10),0))/30.72</f>
        <v/>
      </c>
      <c r="K70">
        <f>SUMPRODUCT((M_BOM[Part Name]=$A70)*M_BOM[RM_Qty_Per_Batch]*IFERROR(INDEX(PP_Grid[#Data],IF(M_BOM[PPGridRow]=70,NA(),M_BOM[PPGridRow]),11),0))/30.72</f>
        <v/>
      </c>
      <c r="L70">
        <f>SUMPRODUCT((M_BOM[Part Name]=$A70)*M_BOM[RM_Qty_Per_Batch]*IFERROR(INDEX(PP_Grid[#Data],IF(M_BOM[PPGridRow]=70,NA(),M_BOM[PPGridRow]),12),0))/30.72</f>
        <v/>
      </c>
      <c r="M70">
        <f>SUMPRODUCT((M_BOM[Part Name]=$A70)*M_BOM[RM_Qty_Per_Batch]*IFERROR(INDEX(PP_Grid[#Data],IF(M_BOM[PPGridRow]=70,NA(),M_BOM[PPGridRow]),13),0))/30.72</f>
        <v/>
      </c>
      <c r="N70">
        <f>SUMPRODUCT((M_BOM[Part Name]=$A70)*M_BOM[RM_Qty_Per_Batch]*IFERROR(INDEX(PP_Grid[#Data],IF(M_BOM[PPGridRow]=70,NA(),M_BOM[PPGridRow]),14),0))/30.72</f>
        <v/>
      </c>
      <c r="O70">
        <f>SUMPRODUCT((M_BOM[Part Name]=$A70)*M_BOM[RM_Qty_Per_Batch]*IFERROR(INDEX(PP_Grid[#Data],IF(M_BOM[PPGridRow]=70,NA(),M_BOM[PPGridRow]),15),0))/30.72</f>
        <v/>
      </c>
      <c r="P70">
        <f>SUMPRODUCT((M_BOM[Part Name]=$A70)*M_BOM[RM_Qty_Per_Batch]*IFERROR(INDEX(PP_Grid[#Data],IF(M_BOM[PPGridRow]=70,NA(),M_BOM[PPGridRow]),16),0))/30.72</f>
        <v/>
      </c>
      <c r="Q70">
        <f>SUMPRODUCT((M_BOM[Part Name]=$A70)*M_BOM[RM_Qty_Per_Batch]*IFERROR(INDEX(PP_Grid[#Data],IF(M_BOM[PPGridRow]=70,NA(),M_BOM[PPGridRow]),17),0))/30.72</f>
        <v/>
      </c>
      <c r="R70">
        <f>SUMPRODUCT((M_BOM[Part Name]=$A70)*M_BOM[RM_Qty_Per_Batch]*IFERROR(INDEX(PP_Grid[#Data],IF(M_BOM[PPGridRow]=70,NA(),M_BOM[PPGridRow]),18),0))/30.72</f>
        <v/>
      </c>
      <c r="S70">
        <f>SUMPRODUCT((M_BOM[Part Name]=$A70)*M_BOM[RM_Qty_Per_Batch]*IFERROR(INDEX(PP_Grid[#Data],IF(M_BOM[PPGridRow]=70,NA(),M_BOM[PPGridRow]),19),0))/30.72</f>
        <v/>
      </c>
      <c r="T70">
        <f>SUMPRODUCT((M_BOM[Part Name]=$A70)*M_BOM[RM_Qty_Per_Batch]*IFERROR(INDEX(PP_Grid[#Data],IF(M_BOM[PPGridRow]=70,NA(),M_BOM[PPGridRow]),20),0))/30.72</f>
        <v/>
      </c>
      <c r="U70">
        <f>SUMPRODUCT((M_BOM[Part Name]=$A70)*M_BOM[RM_Qty_Per_Batch]*IFERROR(INDEX(PP_Grid[#Data],IF(M_BOM[PPGridRow]=70,NA(),M_BOM[PPGridRow]),21),0))/30.72</f>
        <v/>
      </c>
      <c r="V70">
        <f>SUMPRODUCT((M_BOM[Part Name]=$A70)*M_BOM[RM_Qty_Per_Batch]*IFERROR(INDEX(PP_Grid[#Data],IF(M_BOM[PPGridRow]=70,NA(),M_BOM[PPGridRow]),22),0))/30.72</f>
        <v/>
      </c>
      <c r="W70">
        <f>SUMPRODUCT((M_BOM[Part Name]=$A70)*M_BOM[RM_Qty_Per_Batch]*IFERROR(INDEX(PP_Grid[#Data],IF(M_BOM[PPGridRow]=70,NA(),M_BOM[PPGridRow]),23),0))/30.72</f>
        <v/>
      </c>
      <c r="X70">
        <f>SUMPRODUCT((M_BOM[Part Name]=$A70)*M_BOM[RM_Qty_Per_Batch]*IFERROR(INDEX(PP_Grid[#Data],IF(M_BOM[PPGridRow]=70,NA(),M_BOM[PPGridRow]),24),0))/30.72</f>
        <v/>
      </c>
      <c r="Y70">
        <f>SUMPRODUCT((M_BOM[Part Name]=$A70)*M_BOM[RM_Qty_Per_Batch]*IFERROR(INDEX(PP_Grid[#Data],IF(M_BOM[PPGridRow]=70,NA(),M_BOM[PPGridRow]),25),0))/30.72</f>
        <v/>
      </c>
      <c r="Z70">
        <f>SUMPRODUCT((M_BOM[Part Name]=$A70)*M_BOM[RM_Qty_Per_Batch]*IFERROR(INDEX(PP_Grid[#Data],IF(M_BOM[PPGridRow]=70,NA(),M_BOM[PPGridRow]),26),0))/30.72</f>
        <v/>
      </c>
      <c r="AA70">
        <f>SUMPRODUCT((M_BOM[Part Name]=$A70)*M_BOM[RM_Qty_Per_Batch]*IFERROR(INDEX(PP_Grid[#Data],IF(M_BOM[PPGridRow]=70,NA(),M_BOM[PPGridRow]),27),0))/30.72</f>
        <v/>
      </c>
      <c r="AB70">
        <f>SUMPRODUCT((M_BOM[Part Name]=$A70)*M_BOM[RM_Qty_Per_Batch]*IFERROR(INDEX(PP_Grid[#Data],IF(M_BOM[PPGridRow]=70,NA(),M_BOM[PPGridRow]),28),0))/30.72</f>
        <v/>
      </c>
      <c r="AC70">
        <f>SUMPRODUCT((M_BOM[Part Name]=$A70)*M_BOM[RM_Qty_Per_Batch]*IFERROR(INDEX(PP_Grid[#Data],IF(M_BOM[PPGridRow]=70,NA(),M_BOM[PPGridRow]),29),0))/30.72</f>
        <v/>
      </c>
      <c r="AD70">
        <f>SUMPRODUCT((M_BOM[Part Name]=$A70)*M_BOM[RM_Qty_Per_Batch]*IFERROR(INDEX(PP_Grid[#Data],IF(M_BOM[PPGridRow]=70,NA(),M_BOM[PPGridRow]),30),0))/30.72</f>
        <v/>
      </c>
      <c r="AE70">
        <f>SUMPRODUCT((M_BOM[Part Name]=$A70)*M_BOM[RM_Qty_Per_Batch]*IFERROR(INDEX(PP_Grid[#Data],IF(M_BOM[PPGridRow]=70,NA(),M_BOM[PPGridRow]),31),0))/30.72</f>
        <v/>
      </c>
      <c r="AF70">
        <f>SUMPRODUCT((M_BOM[Part Name]=$A70)*M_BOM[RM_Qty_Per_Batch]*IFERROR(INDEX(PP_Grid[#Data],IF(M_BOM[PPGridRow]=70,NA(),M_BOM[PPGridRow]),32),0))/30.72</f>
        <v/>
      </c>
      <c r="AG70">
        <f>SUMPRODUCT((M_BOM[Part Name]=$A70)*M_BOM[RM_Qty_Per_Batch]*IFERROR(INDEX(PP_Grid[#Data],IF(M_BOM[PPGridRow]=70,NA(),M_BOM[PPGridRow]),33),0))/30.72</f>
        <v/>
      </c>
      <c r="AH70">
        <f>SUMPRODUCT((M_BOM[Part Name]=$A70)*M_BOM[RM_Qty_Per_Batch]*IFERROR(INDEX(PP_Grid[#Data],IF(M_BOM[PPGridRow]=70,NA(),M_BOM[PPGridRow]),34),0))/30.72</f>
        <v/>
      </c>
      <c r="AI70">
        <f>SUMPRODUCT((M_BOM[Part Name]=$A70)*M_BOM[RM_Qty_Per_Batch]*IFERROR(INDEX(PP_Grid[#Data],IF(M_BOM[PPGridRow]=70,NA(),M_BOM[PPGridRow]),35),0))/30.72</f>
        <v/>
      </c>
      <c r="AJ70">
        <f>SUMPRODUCT((M_BOM[Part Name]=$A70)*M_BOM[RM_Qty_Per_Batch]*IFERROR(INDEX(PP_Grid[#Data],IF(M_BOM[PPGridRow]=70,NA(),M_BOM[PPGridRow]),36),0))/30.72</f>
        <v/>
      </c>
      <c r="AK70">
        <f>SUMPRODUCT((M_BOM[Part Name]=$A70)*M_BOM[RM_Qty_Per_Batch]*IFERROR(INDEX(PP_Grid[#Data],IF(M_BOM[PPGridRow]=70,NA(),M_BOM[PPGridRow]),37),0))/30.72</f>
        <v/>
      </c>
      <c r="AL70">
        <f>SUMPRODUCT((M_BOM[Part Name]=$A70)*M_BOM[RM_Qty_Per_Batch]*IFERROR(INDEX(PP_Grid[#Data],IF(M_BOM[PPGridRow]=70,NA(),M_BOM[PPGridRow]),38),0))/30.72</f>
        <v/>
      </c>
      <c r="AM70">
        <f>SUMPRODUCT((M_BOM[Part Name]=$A70)*M_BOM[RM_Qty_Per_Batch]*IFERROR(INDEX(PP_Grid[#Data],IF(M_BOM[PPGridRow]=70,NA(),M_BOM[PPGridRow]),39),0))/30.72</f>
        <v/>
      </c>
      <c r="AN70">
        <f>SUMPRODUCT((M_BOM[Part Name]=$A70)*M_BOM[RM_Qty_Per_Batch]*IFERROR(INDEX(PP_Grid[#Data],IF(M_BOM[PPGridRow]=70,NA(),M_BOM[PPGridRow]),40),0))/30.72</f>
        <v/>
      </c>
      <c r="AO70">
        <f>SUMPRODUCT((M_BOM[Part Name]=$A70)*M_BOM[RM_Qty_Per_Batch]*IFERROR(INDEX(PP_Grid[#Data],IF(M_BOM[PPGridRow]=70,NA(),M_BOM[PPGridRow]),41),0))/30.72</f>
        <v/>
      </c>
      <c r="AP70">
        <f>SUMPRODUCT((M_BOM[Part Name]=$A70)*M_BOM[RM_Qty_Per_Batch]*IFERROR(INDEX(PP_Grid[#Data],IF(M_BOM[PPGridRow]=70,NA(),M_BOM[PPGridRow]),42),0))/30.72</f>
        <v/>
      </c>
      <c r="AQ70">
        <f>SUMPRODUCT((M_BOM[Part Name]=$A70)*M_BOM[RM_Qty_Per_Batch]*IFERROR(INDEX(PP_Grid[#Data],IF(M_BOM[PPGridRow]=70,NA(),M_BOM[PPGridRow]),43),0))/30.72</f>
        <v/>
      </c>
      <c r="AR70">
        <f>SUMPRODUCT((M_BOM[Part Name]=$A70)*M_BOM[RM_Qty_Per_Batch]*IFERROR(INDEX(PP_Grid[#Data],IF(M_BOM[PPGridRow]=70,NA(),M_BOM[PPGridRow]),44),0))/30.72</f>
        <v/>
      </c>
      <c r="AS70">
        <f>SUMPRODUCT((M_BOM[Part Name]=$A70)*M_BOM[RM_Qty_Per_Batch]*IFERROR(INDEX(PP_Grid[#Data],IF(M_BOM[PPGridRow]=70,NA(),M_BOM[PPGridRow]),45),0))/30.72</f>
        <v/>
      </c>
      <c r="AT70">
        <f>SUMPRODUCT((M_BOM[Part Name]=$A70)*M_BOM[RM_Qty_Per_Batch]*IFERROR(INDEX(PP_Grid[#Data],IF(M_BOM[PPGridRow]=70,NA(),M_BOM[PPGridRow]),46),0))/30.72</f>
        <v/>
      </c>
      <c r="AU70">
        <f>SUMPRODUCT((M_BOM[Part Name]=$A70)*M_BOM[RM_Qty_Per_Batch]*IFERROR(INDEX(PP_Grid[#Data],IF(M_BOM[PPGridRow]=70,NA(),M_BOM[PPGridRow]),47),0))/30.72</f>
        <v/>
      </c>
      <c r="AV70">
        <f>SUMPRODUCT((M_BOM[Part Name]=$A70)*M_BOM[RM_Qty_Per_Batch]*IFERROR(INDEX(PP_Grid[#Data],IF(M_BOM[PPGridRow]=70,NA(),M_BOM[PPGridRow]),48),0))/30.72</f>
        <v/>
      </c>
      <c r="AW70">
        <f>SUMPRODUCT((M_BOM[Part Name]=$A70)*M_BOM[RM_Qty_Per_Batch]*IFERROR(INDEX(PP_Grid[#Data],IF(M_BOM[PPGridRow]=70,NA(),M_BOM[PPGridRow]),49),0))/30.72</f>
        <v/>
      </c>
      <c r="AX70">
        <f>SUMPRODUCT((M_BOM[Part Name]=$A70)*M_BOM[RM_Qty_Per_Batch]*IFERROR(INDEX(PP_Grid[#Data],IF(M_BOM[PPGridRow]=70,NA(),M_BOM[PPGridRow]),50),0))/30.72</f>
        <v/>
      </c>
      <c r="AY70">
        <f>SUMPRODUCT((M_BOM[Part Name]=$A70)*M_BOM[RM_Qty_Per_Batch]*IFERROR(INDEX(PP_Grid[#Data],IF(M_BOM[PPGridRow]=70,NA(),M_BOM[PPGridRow]),51),0))/30.72</f>
        <v/>
      </c>
      <c r="AZ70">
        <f>SUMPRODUCT((M_BOM[Part Name]=$A70)*M_BOM[RM_Qty_Per_Batch]*IFERROR(INDEX(PP_Grid[#Data],IF(M_BOM[PPGridRow]=70,NA(),M_BOM[PPGridRow]),52),0))/30.72</f>
        <v/>
      </c>
      <c r="BA70">
        <f>SUMPRODUCT((M_BOM[Part Name]=$A70)*M_BOM[RM_Qty_Per_Batch]*IFERROR(INDEX(PP_Grid[#Data],IF(M_BOM[PPGridRow]=70,NA(),M_BOM[PPGridRow]),53),0))/30.72</f>
        <v/>
      </c>
      <c r="BB70">
        <f>SUMPRODUCT((M_BOM[Part Name]=$A70)*M_BOM[RM_Qty_Per_Batch]*IFERROR(INDEX(PP_Grid[#Data],IF(M_BOM[PPGridRow]=70,NA(),M_BOM[PPGridRow]),54),0))/30.72</f>
        <v/>
      </c>
      <c r="BC70">
        <f>SUMPRODUCT((M_BOM[Part Name]=$A70)*M_BOM[RM_Qty_Per_Batch]*IFERROR(INDEX(PP_Grid[#Data],IF(M_BOM[PPGridRow]=70,NA(),M_BOM[PPGridRow]),55),0))/30.72</f>
        <v/>
      </c>
      <c r="BD70">
        <f>SUMPRODUCT((M_BOM[Part Name]=$A70)*M_BOM[RM_Qty_Per_Batch]*IFERROR(INDEX(PP_Grid[#Data],IF(M_BOM[PPGridRow]=70,NA(),M_BOM[PPGridRow]),56),0))/30.72</f>
        <v/>
      </c>
      <c r="BE70">
        <f>SUMPRODUCT((M_BOM[Part Name]=$A70)*M_BOM[RM_Qty_Per_Batch]*IFERROR(INDEX(PP_Grid[#Data],IF(M_BOM[PPGridRow]=70,NA(),M_BOM[PPGridRow]),57),0))/30.72</f>
        <v/>
      </c>
      <c r="BF70">
        <f>SUMPRODUCT((M_BOM[Part Name]=$A70)*M_BOM[RM_Qty_Per_Batch]*IFERROR(INDEX(PP_Grid[#Data],IF(M_BOM[PPGridRow]=70,NA(),M_BOM[PPGridRow]),58),0))/30.72</f>
        <v/>
      </c>
      <c r="BG70">
        <f>SUMPRODUCT((M_BOM[Part Name]=$A70)*M_BOM[RM_Qty_Per_Batch]*IFERROR(INDEX(PP_Grid[#Data],IF(M_BOM[PPGridRow]=70,NA(),M_BOM[PPGridRow]),59),0))/30.72</f>
        <v/>
      </c>
      <c r="BH70">
        <f>SUMPRODUCT((M_BOM[Part Name]=$A70)*M_BOM[RM_Qty_Per_Batch]*IFERROR(INDEX(PP_Grid[#Data],IF(M_BOM[PPGridRow]=70,NA(),M_BOM[PPGridRow]),60),0))/30.72</f>
        <v/>
      </c>
      <c r="BI70">
        <f>SUMPRODUCT((M_BOM[Part Name]=$A70)*M_BOM[RM_Qty_Per_Batch]*IFERROR(INDEX(PP_Grid[#Data],IF(M_BOM[PPGridRow]=70,NA(),M_BOM[PPGridRow]),61),0))/30.72</f>
        <v/>
      </c>
      <c r="BJ70">
        <f>SUMPRODUCT((M_BOM[Part Name]=$A70)*M_BOM[RM_Qty_Per_Batch]*IFERROR(INDEX(PP_Grid[#Data],IF(M_BOM[PPGridRow]=70,NA(),M_BOM[PPGridRow]),62),0))/30.72</f>
        <v/>
      </c>
      <c r="BK70">
        <f>SUMPRODUCT((M_BOM[Part Name]=$A70)*M_BOM[RM_Qty_Per_Batch]*IFERROR(INDEX(PP_Grid[#Data],IF(M_BOM[PPGridRow]=70,NA(),M_BOM[PPGridRow]),63),0))/30.72</f>
        <v/>
      </c>
      <c r="BL70">
        <f>SUMPRODUCT((M_BOM[Part Name]=$A70)*M_BOM[RM_Qty_Per_Batch]*IFERROR(INDEX(PP_Grid[#Data],IF(M_BOM[PPGridRow]=70,NA(),M_BOM[PPGridRow]),64),0))/30.72</f>
        <v/>
      </c>
      <c r="BM70">
        <f>SUMPRODUCT((M_BOM[Part Name]=$A70)*M_BOM[RM_Qty_Per_Batch]*IFERROR(INDEX(PP_Grid[#Data],IF(M_BOM[PPGridRow]=70,NA(),M_BOM[PPGridRow]),65),0))/30.72</f>
        <v/>
      </c>
      <c r="BN70">
        <f>SUMPRODUCT((M_BOM[Part Name]=$A70)*M_BOM[RM_Qty_Per_Batch]*IFERROR(INDEX(PP_Grid[#Data],IF(M_BOM[PPGridRow]=70,NA(),M_BOM[PPGridRow]),66),0))/30.72</f>
        <v/>
      </c>
      <c r="BO70">
        <f>SUMPRODUCT((M_BOM[Part Name]=$A70)*M_BOM[RM_Qty_Per_Batch]*IFERROR(INDEX(PP_Grid[#Data],IF(M_BOM[PPGridRow]=70,NA(),M_BOM[PPGridRow]),67),0))/30.72</f>
        <v/>
      </c>
      <c r="BP70">
        <f>SUMPRODUCT((M_BOM[Part Name]=$A70)*M_BOM[RM_Qty_Per_Batch]*IFERROR(INDEX(PP_Grid[#Data],IF(M_BOM[PPGridRow]=70,NA(),M_BOM[PPGridRow]),68),0))/30.72</f>
        <v/>
      </c>
      <c r="BQ70">
        <f>SUMPRODUCT((M_BOM[Part Name]=$A70)*M_BOM[RM_Qty_Per_Batch]*IFERROR(INDEX(PP_Grid[#Data],IF(M_BOM[PPGridRow]=70,NA(),M_BOM[PPGridRow]),69),0))/30.72</f>
        <v/>
      </c>
      <c r="BR70">
        <f>SUMPRODUCT((M_BOM[Part Name]=$A70)*M_BOM[RM_Qty_Per_Batch]*IFERROR(INDEX(PP_Grid[#Data],IF(M_BOM[PPGridRow]=70,NA(),M_BOM[PPGridRow]),70),0))/30.72</f>
        <v/>
      </c>
      <c r="BS70">
        <f>SUMPRODUCT((M_BOM[Part Name]=$A70)*M_BOM[RM_Qty_Per_Batch]*IFERROR(INDEX(PP_Grid[#Data],IF(M_BOM[PPGridRow]=70,NA(),M_BOM[PPGridRow]),71),0))/30.72</f>
        <v/>
      </c>
      <c r="BT70">
        <f>SUMPRODUCT((M_BOM[Part Name]=$A70)*M_BOM[RM_Qty_Per_Batch]*IFERROR(INDEX(PP_Grid[#Data],IF(M_BOM[PPGridRow]=70,NA(),M_BOM[PPGridRow]),72),0))/30.72</f>
        <v/>
      </c>
      <c r="BU70">
        <f>SUMPRODUCT((M_BOM[Part Name]=$A70)*M_BOM[RM_Qty_Per_Batch]*IFERROR(INDEX(PP_Grid[#Data],IF(M_BOM[PPGridRow]=70,NA(),M_BOM[PPGridRow]),73),0))/30.72</f>
        <v/>
      </c>
      <c r="BV70">
        <f>SUMPRODUCT((M_BOM[Part Name]=$A70)*M_BOM[RM_Qty_Per_Batch]*IFERROR(INDEX(PP_Grid[#Data],IF(M_BOM[PPGridRow]=70,NA(),M_BOM[PPGridRow]),74),0))/30.72</f>
        <v/>
      </c>
      <c r="BW70">
        <f>SUMPRODUCT((M_BOM[Part Name]=$A70)*M_BOM[RM_Qty_Per_Batch]*IFERROR(INDEX(PP_Grid[#Data],IF(M_BOM[PPGridRow]=70,NA(),M_BOM[PPGridRow]),75),0))/30.72</f>
        <v/>
      </c>
      <c r="BX70">
        <f>SUMPRODUCT((M_BOM[Part Name]=$A70)*M_BOM[RM_Qty_Per_Batch]*IFERROR(INDEX(PP_Grid[#Data],IF(M_BOM[PPGridRow]=70,NA(),M_BOM[PPGridRow]),76),0))/30.72</f>
        <v/>
      </c>
      <c r="BY70">
        <f>SUMPRODUCT((M_BOM[Part Name]=$A70)*M_BOM[RM_Qty_Per_Batch]*IFERROR(INDEX(PP_Grid[#Data],IF(M_BOM[PPGridRow]=70,NA(),M_BOM[PPGridRow]),77),0))/30.72</f>
        <v/>
      </c>
      <c r="BZ70">
        <f>SUMPRODUCT((M_BOM[Part Name]=$A70)*M_BOM[RM_Qty_Per_Batch]*IFERROR(INDEX(PP_Grid[#Data],IF(M_BOM[PPGridRow]=70,NA(),M_BOM[PPGridRow]),78),0))/30.72</f>
        <v/>
      </c>
      <c r="CA70">
        <f>SUMPRODUCT((M_BOM[Part Name]=$A70)*M_BOM[RM_Qty_Per_Batch]*IFERROR(INDEX(PP_Grid[#Data],IF(M_BOM[PPGridRow]=70,NA(),M_BOM[PPGridRow]),79),0))/30.72</f>
        <v/>
      </c>
      <c r="CB70">
        <f>SUMPRODUCT((M_BOM[Part Name]=$A70)*M_BOM[RM_Qty_Per_Batch]*IFERROR(INDEX(PP_Grid[#Data],IF(M_BOM[PPGridRow]=70,NA(),M_BOM[PPGridRow]),80),0))/30.72</f>
        <v/>
      </c>
      <c r="CC70">
        <f>SUMPRODUCT((M_BOM[Part Name]=$A70)*M_BOM[RM_Qty_Per_Batch]*IFERROR(INDEX(PP_Grid[#Data],IF(M_BOM[PPGridRow]=70,NA(),M_BOM[PPGridRow]),81),0))/30.72</f>
        <v/>
      </c>
      <c r="CD70">
        <f>SUMPRODUCT((M_BOM[Part Name]=$A70)*M_BOM[RM_Qty_Per_Batch]*IFERROR(INDEX(PP_Grid[#Data],IF(M_BOM[PPGridRow]=70,NA(),M_BOM[PPGridRow]),82),0))/30.72</f>
        <v/>
      </c>
      <c r="CE70">
        <f>SUMPRODUCT((M_BOM[Part Name]=$A70)*M_BOM[RM_Qty_Per_Batch]*IFERROR(INDEX(PP_Grid[#Data],IF(M_BOM[PPGridRow]=70,NA(),M_BOM[PPGridRow]),83),0))/30.72</f>
        <v/>
      </c>
      <c r="CF70">
        <f>SUMPRODUCT((M_BOM[Part Name]=$A70)*M_BOM[RM_Qty_Per_Batch]*IFERROR(INDEX(PP_Grid[#Data],IF(M_BOM[PPGridRow]=70,NA(),M_BOM[PPGridRow]),84),0))/30.72</f>
        <v/>
      </c>
      <c r="CG70">
        <f>SUMPRODUCT((M_BOM[Part Name]=$A70)*M_BOM[RM_Qty_Per_Batch]*IFERROR(INDEX(PP_Grid[#Data],IF(M_BOM[PPGridRow]=70,NA(),M_BOM[PPGridRow]),85),0))/30.72</f>
        <v/>
      </c>
      <c r="CH70">
        <f>SUMPRODUCT((M_BOM[Part Name]=$A70)*M_BOM[RM_Qty_Per_Batch]*IFERROR(INDEX(PP_Grid[#Data],IF(M_BOM[PPGridRow]=70,NA(),M_BOM[PPGridRow]),86),0))/30.72</f>
        <v/>
      </c>
      <c r="CI70">
        <f>SUMPRODUCT((M_BOM[Part Name]=$A70)*M_BOM[RM_Qty_Per_Batch]*IFERROR(INDEX(PP_Grid[#Data],IF(M_BOM[PPGridRow]=70,NA(),M_BOM[PPGridRow]),87),0))/30.72</f>
        <v/>
      </c>
      <c r="CJ70">
        <f>SUMPRODUCT((M_BOM[Part Name]=$A70)*M_BOM[RM_Qty_Per_Batch]*IFERROR(INDEX(PP_Grid[#Data],IF(M_BOM[PPGridRow]=70,NA(),M_BOM[PPGridRow]),88),0))/30.72</f>
        <v/>
      </c>
      <c r="CK70">
        <f>SUMPRODUCT((M_BOM[Part Name]=$A70)*M_BOM[RM_Qty_Per_Batch]*IFERROR(INDEX(PP_Grid[#Data],IF(M_BOM[PPGridRow]=70,NA(),M_BOM[PPGridRow]),89),0))/30.72</f>
        <v/>
      </c>
      <c r="CL70">
        <f>SUMPRODUCT((M_BOM[Part Name]=$A70)*M_BOM[RM_Qty_Per_Batch]*IFERROR(INDEX(PP_Grid[#Data],IF(M_BOM[PPGridRow]=70,NA(),M_BOM[PPGridRow]),90),0))/30.72</f>
        <v/>
      </c>
      <c r="CM70">
        <f>SUMPRODUCT((M_BOM[Part Name]=$A70)*M_BOM[RM_Qty_Per_Batch]*IFERROR(INDEX(PP_Grid[#Data],IF(M_BOM[PPGridRow]=70,NA(),M_BOM[PPGridRow]),91),0))/30.72</f>
        <v/>
      </c>
      <c r="CN70">
        <f>SUMPRODUCT((M_BOM[Part Name]=$A70)*M_BOM[RM_Qty_Per_Batch]*IFERROR(INDEX(PP_Grid[#Data],IF(M_BOM[PPGridRow]=70,NA(),M_BOM[PPGridRow]),92),0))/30.72</f>
        <v/>
      </c>
      <c r="CO70">
        <f>SUMPRODUCT((M_BOM[Part Name]=$A70)*M_BOM[RM_Qty_Per_Batch]*IFERROR(INDEX(PP_Grid[#Data],IF(M_BOM[PPGridRow]=70,NA(),M_BOM[PPGridRow]),93),0))/30.72</f>
        <v/>
      </c>
      <c r="CP70">
        <f>SUMPRODUCT((M_BOM[Part Name]=$A70)*M_BOM[RM_Qty_Per_Batch]*IFERROR(INDEX(PP_Grid[#Data],IF(M_BOM[PPGridRow]=70,NA(),M_BOM[PPGridRow]),94),0))/30.72</f>
        <v/>
      </c>
      <c r="CQ70">
        <f>SUMPRODUCT((M_BOM[Part Name]=$A70)*M_BOM[RM_Qty_Per_Batch]*IFERROR(INDEX(PP_Grid[#Data],IF(M_BOM[PPGridRow]=70,NA(),M_BOM[PPGridRow]),95),0))/30.72</f>
        <v/>
      </c>
      <c r="CR70">
        <f>SUMPRODUCT((M_BOM[Part Name]=$A70)*M_BOM[RM_Qty_Per_Batch]*IFERROR(INDEX(PP_Grid[#Data],IF(M_BOM[PPGridRow]=70,NA(),M_BOM[PPGridRow]),96),0))/30.72</f>
        <v/>
      </c>
      <c r="CS70">
        <f>SUMPRODUCT((M_BOM[Part Name]=$A70)*M_BOM[RM_Qty_Per_Batch]*IFERROR(INDEX(PP_Grid[#Data],IF(M_BOM[PPGridRow]=70,NA(),M_BOM[PPGridRow]),97),0))/30.72</f>
        <v/>
      </c>
      <c r="CT70">
        <f>SUMPRODUCT((M_BOM[Part Name]=$A70)*M_BOM[RM_Qty_Per_Batch]*IFERROR(INDEX(PP_Grid[#Data],IF(M_BOM[PPGridRow]=70,NA(),M_BOM[PPGridRow]),98),0))/30.72</f>
        <v/>
      </c>
      <c r="CU70">
        <f>SUMPRODUCT((M_BOM[Part Name]=$A70)*M_BOM[RM_Qty_Per_Batch]*IFERROR(INDEX(PP_Grid[#Data],IF(M_BOM[PPGridRow]=70,NA(),M_BOM[PPGridRow]),99),0))/30.72</f>
        <v/>
      </c>
      <c r="CV70">
        <f>SUMPRODUCT((M_BOM[Part Name]=$A70)*M_BOM[RM_Qty_Per_Batch]*IFERROR(INDEX(PP_Grid[#Data],IF(M_BOM[PPGridRow]=70,NA(),M_BOM[PPGridRow]),100),0))/30.72</f>
        <v/>
      </c>
      <c r="CW70">
        <f>SUMPRODUCT((M_BOM[Part Name]=$A70)*M_BOM[RM_Qty_Per_Batch]*IFERROR(INDEX(PP_Grid[#Data],IF(M_BOM[PPGridRow]=70,NA(),M_BOM[PPGridRow]),101),0))/30.72</f>
        <v/>
      </c>
      <c r="CX70">
        <f>SUMPRODUCT((M_BOM[Part Name]=$A70)*M_BOM[RM_Qty_Per_Batch]*IFERROR(INDEX(PP_Grid[#Data],IF(M_BOM[PPGridRow]=70,NA(),M_BOM[PPGridRow]),102),0))/30.72</f>
        <v/>
      </c>
      <c r="CY70">
        <f>SUMPRODUCT((M_BOM[Part Name]=$A70)*M_BOM[RM_Qty_Per_Batch]*IFERROR(INDEX(PP_Grid[#Data],IF(M_BOM[PPGridRow]=70,NA(),M_BOM[PPGridRow]),103),0))/30.72</f>
        <v/>
      </c>
      <c r="CZ70">
        <f>SUMPRODUCT((M_BOM[Part Name]=$A70)*M_BOM[RM_Qty_Per_Batch]*IFERROR(INDEX(PP_Grid[#Data],IF(M_BOM[PPGridRow]=70,NA(),M_BOM[PPGridRow]),104),0))/30.72</f>
        <v/>
      </c>
      <c r="DA70">
        <f>SUMPRODUCT((M_BOM[Part Name]=$A70)*M_BOM[RM_Qty_Per_Batch]*IFERROR(INDEX(PP_Grid[#Data],IF(M_BOM[PPGridRow]=70,NA(),M_BOM[PPGridRow]),105),0))/30.72</f>
        <v/>
      </c>
    </row>
    <row r="71">
      <c r="A71" t="inlineStr">
        <is>
          <t>TPP-1378</t>
        </is>
      </c>
      <c r="B71">
        <f>SUMPRODUCT((M_BOM[Part Name]=$A71)*M_BOM[RM_Qty_Per_Batch]*IFERROR(INDEX(PP_Grid[#Data],IF(M_BOM[PPGridRow]=71,NA(),M_BOM[PPGridRow]),2),0))/19.22</f>
        <v/>
      </c>
      <c r="C71">
        <f>SUMPRODUCT((M_BOM[Part Name]=$A71)*M_BOM[RM_Qty_Per_Batch]*IFERROR(INDEX(PP_Grid[#Data],IF(M_BOM[PPGridRow]=71,NA(),M_BOM[PPGridRow]),3),0))/19.22</f>
        <v/>
      </c>
      <c r="D71">
        <f>SUMPRODUCT((M_BOM[Part Name]=$A71)*M_BOM[RM_Qty_Per_Batch]*IFERROR(INDEX(PP_Grid[#Data],IF(M_BOM[PPGridRow]=71,NA(),M_BOM[PPGridRow]),4),0))/19.22</f>
        <v/>
      </c>
      <c r="E71">
        <f>SUMPRODUCT((M_BOM[Part Name]=$A71)*M_BOM[RM_Qty_Per_Batch]*IFERROR(INDEX(PP_Grid[#Data],IF(M_BOM[PPGridRow]=71,NA(),M_BOM[PPGridRow]),5),0))/19.22</f>
        <v/>
      </c>
      <c r="F71">
        <f>SUMPRODUCT((M_BOM[Part Name]=$A71)*M_BOM[RM_Qty_Per_Batch]*IFERROR(INDEX(PP_Grid[#Data],IF(M_BOM[PPGridRow]=71,NA(),M_BOM[PPGridRow]),6),0))/19.22</f>
        <v/>
      </c>
      <c r="G71">
        <f>SUMPRODUCT((M_BOM[Part Name]=$A71)*M_BOM[RM_Qty_Per_Batch]*IFERROR(INDEX(PP_Grid[#Data],IF(M_BOM[PPGridRow]=71,NA(),M_BOM[PPGridRow]),7),0))/19.22</f>
        <v/>
      </c>
      <c r="H71">
        <f>SUMPRODUCT((M_BOM[Part Name]=$A71)*M_BOM[RM_Qty_Per_Batch]*IFERROR(INDEX(PP_Grid[#Data],IF(M_BOM[PPGridRow]=71,NA(),M_BOM[PPGridRow]),8),0))/19.22</f>
        <v/>
      </c>
      <c r="I71">
        <f>SUMPRODUCT((M_BOM[Part Name]=$A71)*M_BOM[RM_Qty_Per_Batch]*IFERROR(INDEX(PP_Grid[#Data],IF(M_BOM[PPGridRow]=71,NA(),M_BOM[PPGridRow]),9),0))/19.22</f>
        <v/>
      </c>
      <c r="J71">
        <f>SUMPRODUCT((M_BOM[Part Name]=$A71)*M_BOM[RM_Qty_Per_Batch]*IFERROR(INDEX(PP_Grid[#Data],IF(M_BOM[PPGridRow]=71,NA(),M_BOM[PPGridRow]),10),0))/19.22</f>
        <v/>
      </c>
      <c r="K71">
        <f>SUMPRODUCT((M_BOM[Part Name]=$A71)*M_BOM[RM_Qty_Per_Batch]*IFERROR(INDEX(PP_Grid[#Data],IF(M_BOM[PPGridRow]=71,NA(),M_BOM[PPGridRow]),11),0))/19.22</f>
        <v/>
      </c>
      <c r="L71">
        <f>SUMPRODUCT((M_BOM[Part Name]=$A71)*M_BOM[RM_Qty_Per_Batch]*IFERROR(INDEX(PP_Grid[#Data],IF(M_BOM[PPGridRow]=71,NA(),M_BOM[PPGridRow]),12),0))/19.22</f>
        <v/>
      </c>
      <c r="M71">
        <f>SUMPRODUCT((M_BOM[Part Name]=$A71)*M_BOM[RM_Qty_Per_Batch]*IFERROR(INDEX(PP_Grid[#Data],IF(M_BOM[PPGridRow]=71,NA(),M_BOM[PPGridRow]),13),0))/19.22</f>
        <v/>
      </c>
      <c r="N71">
        <f>SUMPRODUCT((M_BOM[Part Name]=$A71)*M_BOM[RM_Qty_Per_Batch]*IFERROR(INDEX(PP_Grid[#Data],IF(M_BOM[PPGridRow]=71,NA(),M_BOM[PPGridRow]),14),0))/19.22</f>
        <v/>
      </c>
      <c r="O71">
        <f>SUMPRODUCT((M_BOM[Part Name]=$A71)*M_BOM[RM_Qty_Per_Batch]*IFERROR(INDEX(PP_Grid[#Data],IF(M_BOM[PPGridRow]=71,NA(),M_BOM[PPGridRow]),15),0))/19.22</f>
        <v/>
      </c>
      <c r="P71">
        <f>SUMPRODUCT((M_BOM[Part Name]=$A71)*M_BOM[RM_Qty_Per_Batch]*IFERROR(INDEX(PP_Grid[#Data],IF(M_BOM[PPGridRow]=71,NA(),M_BOM[PPGridRow]),16),0))/19.22</f>
        <v/>
      </c>
      <c r="Q71">
        <f>SUMPRODUCT((M_BOM[Part Name]=$A71)*M_BOM[RM_Qty_Per_Batch]*IFERROR(INDEX(PP_Grid[#Data],IF(M_BOM[PPGridRow]=71,NA(),M_BOM[PPGridRow]),17),0))/19.22</f>
        <v/>
      </c>
      <c r="R71">
        <f>SUMPRODUCT((M_BOM[Part Name]=$A71)*M_BOM[RM_Qty_Per_Batch]*IFERROR(INDEX(PP_Grid[#Data],IF(M_BOM[PPGridRow]=71,NA(),M_BOM[PPGridRow]),18),0))/19.22</f>
        <v/>
      </c>
      <c r="S71">
        <f>SUMPRODUCT((M_BOM[Part Name]=$A71)*M_BOM[RM_Qty_Per_Batch]*IFERROR(INDEX(PP_Grid[#Data],IF(M_BOM[PPGridRow]=71,NA(),M_BOM[PPGridRow]),19),0))/19.22</f>
        <v/>
      </c>
      <c r="T71">
        <f>SUMPRODUCT((M_BOM[Part Name]=$A71)*M_BOM[RM_Qty_Per_Batch]*IFERROR(INDEX(PP_Grid[#Data],IF(M_BOM[PPGridRow]=71,NA(),M_BOM[PPGridRow]),20),0))/19.22</f>
        <v/>
      </c>
      <c r="U71">
        <f>SUMPRODUCT((M_BOM[Part Name]=$A71)*M_BOM[RM_Qty_Per_Batch]*IFERROR(INDEX(PP_Grid[#Data],IF(M_BOM[PPGridRow]=71,NA(),M_BOM[PPGridRow]),21),0))/19.22</f>
        <v/>
      </c>
      <c r="V71">
        <f>SUMPRODUCT((M_BOM[Part Name]=$A71)*M_BOM[RM_Qty_Per_Batch]*IFERROR(INDEX(PP_Grid[#Data],IF(M_BOM[PPGridRow]=71,NA(),M_BOM[PPGridRow]),22),0))/19.22</f>
        <v/>
      </c>
      <c r="W71">
        <f>SUMPRODUCT((M_BOM[Part Name]=$A71)*M_BOM[RM_Qty_Per_Batch]*IFERROR(INDEX(PP_Grid[#Data],IF(M_BOM[PPGridRow]=71,NA(),M_BOM[PPGridRow]),23),0))/19.22</f>
        <v/>
      </c>
      <c r="X71">
        <f>SUMPRODUCT((M_BOM[Part Name]=$A71)*M_BOM[RM_Qty_Per_Batch]*IFERROR(INDEX(PP_Grid[#Data],IF(M_BOM[PPGridRow]=71,NA(),M_BOM[PPGridRow]),24),0))/19.22</f>
        <v/>
      </c>
      <c r="Y71">
        <f>SUMPRODUCT((M_BOM[Part Name]=$A71)*M_BOM[RM_Qty_Per_Batch]*IFERROR(INDEX(PP_Grid[#Data],IF(M_BOM[PPGridRow]=71,NA(),M_BOM[PPGridRow]),25),0))/19.22</f>
        <v/>
      </c>
      <c r="Z71">
        <f>SUMPRODUCT((M_BOM[Part Name]=$A71)*M_BOM[RM_Qty_Per_Batch]*IFERROR(INDEX(PP_Grid[#Data],IF(M_BOM[PPGridRow]=71,NA(),M_BOM[PPGridRow]),26),0))/19.22</f>
        <v/>
      </c>
      <c r="AA71">
        <f>SUMPRODUCT((M_BOM[Part Name]=$A71)*M_BOM[RM_Qty_Per_Batch]*IFERROR(INDEX(PP_Grid[#Data],IF(M_BOM[PPGridRow]=71,NA(),M_BOM[PPGridRow]),27),0))/19.22</f>
        <v/>
      </c>
      <c r="AB71">
        <f>SUMPRODUCT((M_BOM[Part Name]=$A71)*M_BOM[RM_Qty_Per_Batch]*IFERROR(INDEX(PP_Grid[#Data],IF(M_BOM[PPGridRow]=71,NA(),M_BOM[PPGridRow]),28),0))/19.22</f>
        <v/>
      </c>
      <c r="AC71">
        <f>SUMPRODUCT((M_BOM[Part Name]=$A71)*M_BOM[RM_Qty_Per_Batch]*IFERROR(INDEX(PP_Grid[#Data],IF(M_BOM[PPGridRow]=71,NA(),M_BOM[PPGridRow]),29),0))/19.22</f>
        <v/>
      </c>
      <c r="AD71">
        <f>SUMPRODUCT((M_BOM[Part Name]=$A71)*M_BOM[RM_Qty_Per_Batch]*IFERROR(INDEX(PP_Grid[#Data],IF(M_BOM[PPGridRow]=71,NA(),M_BOM[PPGridRow]),30),0))/19.22</f>
        <v/>
      </c>
      <c r="AE71">
        <f>SUMPRODUCT((M_BOM[Part Name]=$A71)*M_BOM[RM_Qty_Per_Batch]*IFERROR(INDEX(PP_Grid[#Data],IF(M_BOM[PPGridRow]=71,NA(),M_BOM[PPGridRow]),31),0))/19.22</f>
        <v/>
      </c>
      <c r="AF71">
        <f>SUMPRODUCT((M_BOM[Part Name]=$A71)*M_BOM[RM_Qty_Per_Batch]*IFERROR(INDEX(PP_Grid[#Data],IF(M_BOM[PPGridRow]=71,NA(),M_BOM[PPGridRow]),32),0))/19.22</f>
        <v/>
      </c>
      <c r="AG71">
        <f>SUMPRODUCT((M_BOM[Part Name]=$A71)*M_BOM[RM_Qty_Per_Batch]*IFERROR(INDEX(PP_Grid[#Data],IF(M_BOM[PPGridRow]=71,NA(),M_BOM[PPGridRow]),33),0))/19.22</f>
        <v/>
      </c>
      <c r="AH71">
        <f>SUMPRODUCT((M_BOM[Part Name]=$A71)*M_BOM[RM_Qty_Per_Batch]*IFERROR(INDEX(PP_Grid[#Data],IF(M_BOM[PPGridRow]=71,NA(),M_BOM[PPGridRow]),34),0))/19.22</f>
        <v/>
      </c>
      <c r="AI71">
        <f>SUMPRODUCT((M_BOM[Part Name]=$A71)*M_BOM[RM_Qty_Per_Batch]*IFERROR(INDEX(PP_Grid[#Data],IF(M_BOM[PPGridRow]=71,NA(),M_BOM[PPGridRow]),35),0))/19.22</f>
        <v/>
      </c>
      <c r="AJ71">
        <f>SUMPRODUCT((M_BOM[Part Name]=$A71)*M_BOM[RM_Qty_Per_Batch]*IFERROR(INDEX(PP_Grid[#Data],IF(M_BOM[PPGridRow]=71,NA(),M_BOM[PPGridRow]),36),0))/19.22</f>
        <v/>
      </c>
      <c r="AK71">
        <f>SUMPRODUCT((M_BOM[Part Name]=$A71)*M_BOM[RM_Qty_Per_Batch]*IFERROR(INDEX(PP_Grid[#Data],IF(M_BOM[PPGridRow]=71,NA(),M_BOM[PPGridRow]),37),0))/19.22</f>
        <v/>
      </c>
      <c r="AL71">
        <f>SUMPRODUCT((M_BOM[Part Name]=$A71)*M_BOM[RM_Qty_Per_Batch]*IFERROR(INDEX(PP_Grid[#Data],IF(M_BOM[PPGridRow]=71,NA(),M_BOM[PPGridRow]),38),0))/19.22</f>
        <v/>
      </c>
      <c r="AM71">
        <f>SUMPRODUCT((M_BOM[Part Name]=$A71)*M_BOM[RM_Qty_Per_Batch]*IFERROR(INDEX(PP_Grid[#Data],IF(M_BOM[PPGridRow]=71,NA(),M_BOM[PPGridRow]),39),0))/19.22</f>
        <v/>
      </c>
      <c r="AN71">
        <f>SUMPRODUCT((M_BOM[Part Name]=$A71)*M_BOM[RM_Qty_Per_Batch]*IFERROR(INDEX(PP_Grid[#Data],IF(M_BOM[PPGridRow]=71,NA(),M_BOM[PPGridRow]),40),0))/19.22</f>
        <v/>
      </c>
      <c r="AO71">
        <f>SUMPRODUCT((M_BOM[Part Name]=$A71)*M_BOM[RM_Qty_Per_Batch]*IFERROR(INDEX(PP_Grid[#Data],IF(M_BOM[PPGridRow]=71,NA(),M_BOM[PPGridRow]),41),0))/19.22</f>
        <v/>
      </c>
      <c r="AP71">
        <f>SUMPRODUCT((M_BOM[Part Name]=$A71)*M_BOM[RM_Qty_Per_Batch]*IFERROR(INDEX(PP_Grid[#Data],IF(M_BOM[PPGridRow]=71,NA(),M_BOM[PPGridRow]),42),0))/19.22</f>
        <v/>
      </c>
      <c r="AQ71">
        <f>SUMPRODUCT((M_BOM[Part Name]=$A71)*M_BOM[RM_Qty_Per_Batch]*IFERROR(INDEX(PP_Grid[#Data],IF(M_BOM[PPGridRow]=71,NA(),M_BOM[PPGridRow]),43),0))/19.22</f>
        <v/>
      </c>
      <c r="AR71">
        <f>SUMPRODUCT((M_BOM[Part Name]=$A71)*M_BOM[RM_Qty_Per_Batch]*IFERROR(INDEX(PP_Grid[#Data],IF(M_BOM[PPGridRow]=71,NA(),M_BOM[PPGridRow]),44),0))/19.22</f>
        <v/>
      </c>
      <c r="AS71">
        <f>SUMPRODUCT((M_BOM[Part Name]=$A71)*M_BOM[RM_Qty_Per_Batch]*IFERROR(INDEX(PP_Grid[#Data],IF(M_BOM[PPGridRow]=71,NA(),M_BOM[PPGridRow]),45),0))/19.22</f>
        <v/>
      </c>
      <c r="AT71">
        <f>SUMPRODUCT((M_BOM[Part Name]=$A71)*M_BOM[RM_Qty_Per_Batch]*IFERROR(INDEX(PP_Grid[#Data],IF(M_BOM[PPGridRow]=71,NA(),M_BOM[PPGridRow]),46),0))/19.22</f>
        <v/>
      </c>
      <c r="AU71">
        <f>SUMPRODUCT((M_BOM[Part Name]=$A71)*M_BOM[RM_Qty_Per_Batch]*IFERROR(INDEX(PP_Grid[#Data],IF(M_BOM[PPGridRow]=71,NA(),M_BOM[PPGridRow]),47),0))/19.22</f>
        <v/>
      </c>
      <c r="AV71">
        <f>SUMPRODUCT((M_BOM[Part Name]=$A71)*M_BOM[RM_Qty_Per_Batch]*IFERROR(INDEX(PP_Grid[#Data],IF(M_BOM[PPGridRow]=71,NA(),M_BOM[PPGridRow]),48),0))/19.22</f>
        <v/>
      </c>
      <c r="AW71">
        <f>SUMPRODUCT((M_BOM[Part Name]=$A71)*M_BOM[RM_Qty_Per_Batch]*IFERROR(INDEX(PP_Grid[#Data],IF(M_BOM[PPGridRow]=71,NA(),M_BOM[PPGridRow]),49),0))/19.22</f>
        <v/>
      </c>
      <c r="AX71">
        <f>SUMPRODUCT((M_BOM[Part Name]=$A71)*M_BOM[RM_Qty_Per_Batch]*IFERROR(INDEX(PP_Grid[#Data],IF(M_BOM[PPGridRow]=71,NA(),M_BOM[PPGridRow]),50),0))/19.22</f>
        <v/>
      </c>
      <c r="AY71">
        <f>SUMPRODUCT((M_BOM[Part Name]=$A71)*M_BOM[RM_Qty_Per_Batch]*IFERROR(INDEX(PP_Grid[#Data],IF(M_BOM[PPGridRow]=71,NA(),M_BOM[PPGridRow]),51),0))/19.22</f>
        <v/>
      </c>
      <c r="AZ71">
        <f>SUMPRODUCT((M_BOM[Part Name]=$A71)*M_BOM[RM_Qty_Per_Batch]*IFERROR(INDEX(PP_Grid[#Data],IF(M_BOM[PPGridRow]=71,NA(),M_BOM[PPGridRow]),52),0))/19.22</f>
        <v/>
      </c>
      <c r="BA71">
        <f>SUMPRODUCT((M_BOM[Part Name]=$A71)*M_BOM[RM_Qty_Per_Batch]*IFERROR(INDEX(PP_Grid[#Data],IF(M_BOM[PPGridRow]=71,NA(),M_BOM[PPGridRow]),53),0))/19.22</f>
        <v/>
      </c>
      <c r="BB71">
        <f>SUMPRODUCT((M_BOM[Part Name]=$A71)*M_BOM[RM_Qty_Per_Batch]*IFERROR(INDEX(PP_Grid[#Data],IF(M_BOM[PPGridRow]=71,NA(),M_BOM[PPGridRow]),54),0))/19.22</f>
        <v/>
      </c>
      <c r="BC71">
        <f>SUMPRODUCT((M_BOM[Part Name]=$A71)*M_BOM[RM_Qty_Per_Batch]*IFERROR(INDEX(PP_Grid[#Data],IF(M_BOM[PPGridRow]=71,NA(),M_BOM[PPGridRow]),55),0))/19.22</f>
        <v/>
      </c>
      <c r="BD71">
        <f>SUMPRODUCT((M_BOM[Part Name]=$A71)*M_BOM[RM_Qty_Per_Batch]*IFERROR(INDEX(PP_Grid[#Data],IF(M_BOM[PPGridRow]=71,NA(),M_BOM[PPGridRow]),56),0))/19.22</f>
        <v/>
      </c>
      <c r="BE71">
        <f>SUMPRODUCT((M_BOM[Part Name]=$A71)*M_BOM[RM_Qty_Per_Batch]*IFERROR(INDEX(PP_Grid[#Data],IF(M_BOM[PPGridRow]=71,NA(),M_BOM[PPGridRow]),57),0))/19.22</f>
        <v/>
      </c>
      <c r="BF71">
        <f>SUMPRODUCT((M_BOM[Part Name]=$A71)*M_BOM[RM_Qty_Per_Batch]*IFERROR(INDEX(PP_Grid[#Data],IF(M_BOM[PPGridRow]=71,NA(),M_BOM[PPGridRow]),58),0))/19.22</f>
        <v/>
      </c>
      <c r="BG71">
        <f>SUMPRODUCT((M_BOM[Part Name]=$A71)*M_BOM[RM_Qty_Per_Batch]*IFERROR(INDEX(PP_Grid[#Data],IF(M_BOM[PPGridRow]=71,NA(),M_BOM[PPGridRow]),59),0))/19.22</f>
        <v/>
      </c>
      <c r="BH71">
        <f>SUMPRODUCT((M_BOM[Part Name]=$A71)*M_BOM[RM_Qty_Per_Batch]*IFERROR(INDEX(PP_Grid[#Data],IF(M_BOM[PPGridRow]=71,NA(),M_BOM[PPGridRow]),60),0))/19.22</f>
        <v/>
      </c>
      <c r="BI71">
        <f>SUMPRODUCT((M_BOM[Part Name]=$A71)*M_BOM[RM_Qty_Per_Batch]*IFERROR(INDEX(PP_Grid[#Data],IF(M_BOM[PPGridRow]=71,NA(),M_BOM[PPGridRow]),61),0))/19.22</f>
        <v/>
      </c>
      <c r="BJ71">
        <f>SUMPRODUCT((M_BOM[Part Name]=$A71)*M_BOM[RM_Qty_Per_Batch]*IFERROR(INDEX(PP_Grid[#Data],IF(M_BOM[PPGridRow]=71,NA(),M_BOM[PPGridRow]),62),0))/19.22</f>
        <v/>
      </c>
      <c r="BK71">
        <f>SUMPRODUCT((M_BOM[Part Name]=$A71)*M_BOM[RM_Qty_Per_Batch]*IFERROR(INDEX(PP_Grid[#Data],IF(M_BOM[PPGridRow]=71,NA(),M_BOM[PPGridRow]),63),0))/19.22</f>
        <v/>
      </c>
      <c r="BL71">
        <f>SUMPRODUCT((M_BOM[Part Name]=$A71)*M_BOM[RM_Qty_Per_Batch]*IFERROR(INDEX(PP_Grid[#Data],IF(M_BOM[PPGridRow]=71,NA(),M_BOM[PPGridRow]),64),0))/19.22</f>
        <v/>
      </c>
      <c r="BM71">
        <f>SUMPRODUCT((M_BOM[Part Name]=$A71)*M_BOM[RM_Qty_Per_Batch]*IFERROR(INDEX(PP_Grid[#Data],IF(M_BOM[PPGridRow]=71,NA(),M_BOM[PPGridRow]),65),0))/19.22</f>
        <v/>
      </c>
      <c r="BN71">
        <f>SUMPRODUCT((M_BOM[Part Name]=$A71)*M_BOM[RM_Qty_Per_Batch]*IFERROR(INDEX(PP_Grid[#Data],IF(M_BOM[PPGridRow]=71,NA(),M_BOM[PPGridRow]),66),0))/19.22</f>
        <v/>
      </c>
      <c r="BO71">
        <f>SUMPRODUCT((M_BOM[Part Name]=$A71)*M_BOM[RM_Qty_Per_Batch]*IFERROR(INDEX(PP_Grid[#Data],IF(M_BOM[PPGridRow]=71,NA(),M_BOM[PPGridRow]),67),0))/19.22</f>
        <v/>
      </c>
      <c r="BP71">
        <f>SUMPRODUCT((M_BOM[Part Name]=$A71)*M_BOM[RM_Qty_Per_Batch]*IFERROR(INDEX(PP_Grid[#Data],IF(M_BOM[PPGridRow]=71,NA(),M_BOM[PPGridRow]),68),0))/19.22</f>
        <v/>
      </c>
      <c r="BQ71">
        <f>SUMPRODUCT((M_BOM[Part Name]=$A71)*M_BOM[RM_Qty_Per_Batch]*IFERROR(INDEX(PP_Grid[#Data],IF(M_BOM[PPGridRow]=71,NA(),M_BOM[PPGridRow]),69),0))/19.22</f>
        <v/>
      </c>
      <c r="BR71">
        <f>SUMPRODUCT((M_BOM[Part Name]=$A71)*M_BOM[RM_Qty_Per_Batch]*IFERROR(INDEX(PP_Grid[#Data],IF(M_BOM[PPGridRow]=71,NA(),M_BOM[PPGridRow]),70),0))/19.22</f>
        <v/>
      </c>
      <c r="BS71">
        <f>SUMPRODUCT((M_BOM[Part Name]=$A71)*M_BOM[RM_Qty_Per_Batch]*IFERROR(INDEX(PP_Grid[#Data],IF(M_BOM[PPGridRow]=71,NA(),M_BOM[PPGridRow]),71),0))/19.22</f>
        <v/>
      </c>
      <c r="BT71">
        <f>SUMPRODUCT((M_BOM[Part Name]=$A71)*M_BOM[RM_Qty_Per_Batch]*IFERROR(INDEX(PP_Grid[#Data],IF(M_BOM[PPGridRow]=71,NA(),M_BOM[PPGridRow]),72),0))/19.22</f>
        <v/>
      </c>
      <c r="BU71">
        <f>SUMPRODUCT((M_BOM[Part Name]=$A71)*M_BOM[RM_Qty_Per_Batch]*IFERROR(INDEX(PP_Grid[#Data],IF(M_BOM[PPGridRow]=71,NA(),M_BOM[PPGridRow]),73),0))/19.22</f>
        <v/>
      </c>
      <c r="BV71">
        <f>SUMPRODUCT((M_BOM[Part Name]=$A71)*M_BOM[RM_Qty_Per_Batch]*IFERROR(INDEX(PP_Grid[#Data],IF(M_BOM[PPGridRow]=71,NA(),M_BOM[PPGridRow]),74),0))/19.22</f>
        <v/>
      </c>
      <c r="BW71">
        <f>SUMPRODUCT((M_BOM[Part Name]=$A71)*M_BOM[RM_Qty_Per_Batch]*IFERROR(INDEX(PP_Grid[#Data],IF(M_BOM[PPGridRow]=71,NA(),M_BOM[PPGridRow]),75),0))/19.22</f>
        <v/>
      </c>
      <c r="BX71">
        <f>SUMPRODUCT((M_BOM[Part Name]=$A71)*M_BOM[RM_Qty_Per_Batch]*IFERROR(INDEX(PP_Grid[#Data],IF(M_BOM[PPGridRow]=71,NA(),M_BOM[PPGridRow]),76),0))/19.22</f>
        <v/>
      </c>
      <c r="BY71">
        <f>SUMPRODUCT((M_BOM[Part Name]=$A71)*M_BOM[RM_Qty_Per_Batch]*IFERROR(INDEX(PP_Grid[#Data],IF(M_BOM[PPGridRow]=71,NA(),M_BOM[PPGridRow]),77),0))/19.22</f>
        <v/>
      </c>
      <c r="BZ71">
        <f>SUMPRODUCT((M_BOM[Part Name]=$A71)*M_BOM[RM_Qty_Per_Batch]*IFERROR(INDEX(PP_Grid[#Data],IF(M_BOM[PPGridRow]=71,NA(),M_BOM[PPGridRow]),78),0))/19.22</f>
        <v/>
      </c>
      <c r="CA71">
        <f>SUMPRODUCT((M_BOM[Part Name]=$A71)*M_BOM[RM_Qty_Per_Batch]*IFERROR(INDEX(PP_Grid[#Data],IF(M_BOM[PPGridRow]=71,NA(),M_BOM[PPGridRow]),79),0))/19.22</f>
        <v/>
      </c>
      <c r="CB71">
        <f>SUMPRODUCT((M_BOM[Part Name]=$A71)*M_BOM[RM_Qty_Per_Batch]*IFERROR(INDEX(PP_Grid[#Data],IF(M_BOM[PPGridRow]=71,NA(),M_BOM[PPGridRow]),80),0))/19.22</f>
        <v/>
      </c>
      <c r="CC71">
        <f>SUMPRODUCT((M_BOM[Part Name]=$A71)*M_BOM[RM_Qty_Per_Batch]*IFERROR(INDEX(PP_Grid[#Data],IF(M_BOM[PPGridRow]=71,NA(),M_BOM[PPGridRow]),81),0))/19.22</f>
        <v/>
      </c>
      <c r="CD71">
        <f>SUMPRODUCT((M_BOM[Part Name]=$A71)*M_BOM[RM_Qty_Per_Batch]*IFERROR(INDEX(PP_Grid[#Data],IF(M_BOM[PPGridRow]=71,NA(),M_BOM[PPGridRow]),82),0))/19.22</f>
        <v/>
      </c>
      <c r="CE71">
        <f>SUMPRODUCT((M_BOM[Part Name]=$A71)*M_BOM[RM_Qty_Per_Batch]*IFERROR(INDEX(PP_Grid[#Data],IF(M_BOM[PPGridRow]=71,NA(),M_BOM[PPGridRow]),83),0))/19.22</f>
        <v/>
      </c>
      <c r="CF71">
        <f>SUMPRODUCT((M_BOM[Part Name]=$A71)*M_BOM[RM_Qty_Per_Batch]*IFERROR(INDEX(PP_Grid[#Data],IF(M_BOM[PPGridRow]=71,NA(),M_BOM[PPGridRow]),84),0))/19.22</f>
        <v/>
      </c>
      <c r="CG71">
        <f>SUMPRODUCT((M_BOM[Part Name]=$A71)*M_BOM[RM_Qty_Per_Batch]*IFERROR(INDEX(PP_Grid[#Data],IF(M_BOM[PPGridRow]=71,NA(),M_BOM[PPGridRow]),85),0))/19.22</f>
        <v/>
      </c>
      <c r="CH71">
        <f>SUMPRODUCT((M_BOM[Part Name]=$A71)*M_BOM[RM_Qty_Per_Batch]*IFERROR(INDEX(PP_Grid[#Data],IF(M_BOM[PPGridRow]=71,NA(),M_BOM[PPGridRow]),86),0))/19.22</f>
        <v/>
      </c>
      <c r="CI71">
        <f>SUMPRODUCT((M_BOM[Part Name]=$A71)*M_BOM[RM_Qty_Per_Batch]*IFERROR(INDEX(PP_Grid[#Data],IF(M_BOM[PPGridRow]=71,NA(),M_BOM[PPGridRow]),87),0))/19.22</f>
        <v/>
      </c>
      <c r="CJ71">
        <f>SUMPRODUCT((M_BOM[Part Name]=$A71)*M_BOM[RM_Qty_Per_Batch]*IFERROR(INDEX(PP_Grid[#Data],IF(M_BOM[PPGridRow]=71,NA(),M_BOM[PPGridRow]),88),0))/19.22</f>
        <v/>
      </c>
      <c r="CK71">
        <f>SUMPRODUCT((M_BOM[Part Name]=$A71)*M_BOM[RM_Qty_Per_Batch]*IFERROR(INDEX(PP_Grid[#Data],IF(M_BOM[PPGridRow]=71,NA(),M_BOM[PPGridRow]),89),0))/19.22</f>
        <v/>
      </c>
      <c r="CL71">
        <f>SUMPRODUCT((M_BOM[Part Name]=$A71)*M_BOM[RM_Qty_Per_Batch]*IFERROR(INDEX(PP_Grid[#Data],IF(M_BOM[PPGridRow]=71,NA(),M_BOM[PPGridRow]),90),0))/19.22</f>
        <v/>
      </c>
      <c r="CM71">
        <f>SUMPRODUCT((M_BOM[Part Name]=$A71)*M_BOM[RM_Qty_Per_Batch]*IFERROR(INDEX(PP_Grid[#Data],IF(M_BOM[PPGridRow]=71,NA(),M_BOM[PPGridRow]),91),0))/19.22</f>
        <v/>
      </c>
      <c r="CN71">
        <f>SUMPRODUCT((M_BOM[Part Name]=$A71)*M_BOM[RM_Qty_Per_Batch]*IFERROR(INDEX(PP_Grid[#Data],IF(M_BOM[PPGridRow]=71,NA(),M_BOM[PPGridRow]),92),0))/19.22</f>
        <v/>
      </c>
      <c r="CO71">
        <f>SUMPRODUCT((M_BOM[Part Name]=$A71)*M_BOM[RM_Qty_Per_Batch]*IFERROR(INDEX(PP_Grid[#Data],IF(M_BOM[PPGridRow]=71,NA(),M_BOM[PPGridRow]),93),0))/19.22</f>
        <v/>
      </c>
      <c r="CP71">
        <f>SUMPRODUCT((M_BOM[Part Name]=$A71)*M_BOM[RM_Qty_Per_Batch]*IFERROR(INDEX(PP_Grid[#Data],IF(M_BOM[PPGridRow]=71,NA(),M_BOM[PPGridRow]),94),0))/19.22</f>
        <v/>
      </c>
      <c r="CQ71">
        <f>SUMPRODUCT((M_BOM[Part Name]=$A71)*M_BOM[RM_Qty_Per_Batch]*IFERROR(INDEX(PP_Grid[#Data],IF(M_BOM[PPGridRow]=71,NA(),M_BOM[PPGridRow]),95),0))/19.22</f>
        <v/>
      </c>
      <c r="CR71">
        <f>SUMPRODUCT((M_BOM[Part Name]=$A71)*M_BOM[RM_Qty_Per_Batch]*IFERROR(INDEX(PP_Grid[#Data],IF(M_BOM[PPGridRow]=71,NA(),M_BOM[PPGridRow]),96),0))/19.22</f>
        <v/>
      </c>
      <c r="CS71">
        <f>SUMPRODUCT((M_BOM[Part Name]=$A71)*M_BOM[RM_Qty_Per_Batch]*IFERROR(INDEX(PP_Grid[#Data],IF(M_BOM[PPGridRow]=71,NA(),M_BOM[PPGridRow]),97),0))/19.22</f>
        <v/>
      </c>
      <c r="CT71">
        <f>SUMPRODUCT((M_BOM[Part Name]=$A71)*M_BOM[RM_Qty_Per_Batch]*IFERROR(INDEX(PP_Grid[#Data],IF(M_BOM[PPGridRow]=71,NA(),M_BOM[PPGridRow]),98),0))/19.22</f>
        <v/>
      </c>
      <c r="CU71">
        <f>SUMPRODUCT((M_BOM[Part Name]=$A71)*M_BOM[RM_Qty_Per_Batch]*IFERROR(INDEX(PP_Grid[#Data],IF(M_BOM[PPGridRow]=71,NA(),M_BOM[PPGridRow]),99),0))/19.22</f>
        <v/>
      </c>
      <c r="CV71">
        <f>SUMPRODUCT((M_BOM[Part Name]=$A71)*M_BOM[RM_Qty_Per_Batch]*IFERROR(INDEX(PP_Grid[#Data],IF(M_BOM[PPGridRow]=71,NA(),M_BOM[PPGridRow]),100),0))/19.22</f>
        <v/>
      </c>
      <c r="CW71">
        <f>SUMPRODUCT((M_BOM[Part Name]=$A71)*M_BOM[RM_Qty_Per_Batch]*IFERROR(INDEX(PP_Grid[#Data],IF(M_BOM[PPGridRow]=71,NA(),M_BOM[PPGridRow]),101),0))/19.22</f>
        <v/>
      </c>
      <c r="CX71">
        <f>SUMPRODUCT((M_BOM[Part Name]=$A71)*M_BOM[RM_Qty_Per_Batch]*IFERROR(INDEX(PP_Grid[#Data],IF(M_BOM[PPGridRow]=71,NA(),M_BOM[PPGridRow]),102),0))/19.22</f>
        <v/>
      </c>
      <c r="CY71">
        <f>SUMPRODUCT((M_BOM[Part Name]=$A71)*M_BOM[RM_Qty_Per_Batch]*IFERROR(INDEX(PP_Grid[#Data],IF(M_BOM[PPGridRow]=71,NA(),M_BOM[PPGridRow]),103),0))/19.22</f>
        <v/>
      </c>
      <c r="CZ71">
        <f>SUMPRODUCT((M_BOM[Part Name]=$A71)*M_BOM[RM_Qty_Per_Batch]*IFERROR(INDEX(PP_Grid[#Data],IF(M_BOM[PPGridRow]=71,NA(),M_BOM[PPGridRow]),104),0))/19.22</f>
        <v/>
      </c>
      <c r="DA71">
        <f>SUMPRODUCT((M_BOM[Part Name]=$A71)*M_BOM[RM_Qty_Per_Batch]*IFERROR(INDEX(PP_Grid[#Data],IF(M_BOM[PPGridRow]=71,NA(),M_BOM[PPGridRow]),105),0))/19.22</f>
        <v/>
      </c>
    </row>
    <row r="72">
      <c r="A72" t="inlineStr">
        <is>
          <t>TPP-1379</t>
        </is>
      </c>
      <c r="B72">
        <f>SUMPRODUCT((M_BOM[Part Name]=$A72)*M_BOM[RM_Qty_Per_Batch]*IFERROR(INDEX(PP_Grid[#Data],IF(M_BOM[PPGridRow]=72,NA(),M_BOM[PPGridRow]),2),0))/19.63</f>
        <v/>
      </c>
      <c r="C72">
        <f>SUMPRODUCT((M_BOM[Part Name]=$A72)*M_BOM[RM_Qty_Per_Batch]*IFERROR(INDEX(PP_Grid[#Data],IF(M_BOM[PPGridRow]=72,NA(),M_BOM[PPGridRow]),3),0))/19.63</f>
        <v/>
      </c>
      <c r="D72">
        <f>SUMPRODUCT((M_BOM[Part Name]=$A72)*M_BOM[RM_Qty_Per_Batch]*IFERROR(INDEX(PP_Grid[#Data],IF(M_BOM[PPGridRow]=72,NA(),M_BOM[PPGridRow]),4),0))/19.63</f>
        <v/>
      </c>
      <c r="E72">
        <f>SUMPRODUCT((M_BOM[Part Name]=$A72)*M_BOM[RM_Qty_Per_Batch]*IFERROR(INDEX(PP_Grid[#Data],IF(M_BOM[PPGridRow]=72,NA(),M_BOM[PPGridRow]),5),0))/19.63</f>
        <v/>
      </c>
      <c r="F72">
        <f>SUMPRODUCT((M_BOM[Part Name]=$A72)*M_BOM[RM_Qty_Per_Batch]*IFERROR(INDEX(PP_Grid[#Data],IF(M_BOM[PPGridRow]=72,NA(),M_BOM[PPGridRow]),6),0))/19.63</f>
        <v/>
      </c>
      <c r="G72">
        <f>SUMPRODUCT((M_BOM[Part Name]=$A72)*M_BOM[RM_Qty_Per_Batch]*IFERROR(INDEX(PP_Grid[#Data],IF(M_BOM[PPGridRow]=72,NA(),M_BOM[PPGridRow]),7),0))/19.63</f>
        <v/>
      </c>
      <c r="H72">
        <f>SUMPRODUCT((M_BOM[Part Name]=$A72)*M_BOM[RM_Qty_Per_Batch]*IFERROR(INDEX(PP_Grid[#Data],IF(M_BOM[PPGridRow]=72,NA(),M_BOM[PPGridRow]),8),0))/19.63</f>
        <v/>
      </c>
      <c r="I72">
        <f>SUMPRODUCT((M_BOM[Part Name]=$A72)*M_BOM[RM_Qty_Per_Batch]*IFERROR(INDEX(PP_Grid[#Data],IF(M_BOM[PPGridRow]=72,NA(),M_BOM[PPGridRow]),9),0))/19.63</f>
        <v/>
      </c>
      <c r="J72">
        <f>SUMPRODUCT((M_BOM[Part Name]=$A72)*M_BOM[RM_Qty_Per_Batch]*IFERROR(INDEX(PP_Grid[#Data],IF(M_BOM[PPGridRow]=72,NA(),M_BOM[PPGridRow]),10),0))/19.63</f>
        <v/>
      </c>
      <c r="K72">
        <f>SUMPRODUCT((M_BOM[Part Name]=$A72)*M_BOM[RM_Qty_Per_Batch]*IFERROR(INDEX(PP_Grid[#Data],IF(M_BOM[PPGridRow]=72,NA(),M_BOM[PPGridRow]),11),0))/19.63</f>
        <v/>
      </c>
      <c r="L72">
        <f>SUMPRODUCT((M_BOM[Part Name]=$A72)*M_BOM[RM_Qty_Per_Batch]*IFERROR(INDEX(PP_Grid[#Data],IF(M_BOM[PPGridRow]=72,NA(),M_BOM[PPGridRow]),12),0))/19.63</f>
        <v/>
      </c>
      <c r="M72">
        <f>SUMPRODUCT((M_BOM[Part Name]=$A72)*M_BOM[RM_Qty_Per_Batch]*IFERROR(INDEX(PP_Grid[#Data],IF(M_BOM[PPGridRow]=72,NA(),M_BOM[PPGridRow]),13),0))/19.63</f>
        <v/>
      </c>
      <c r="N72">
        <f>SUMPRODUCT((M_BOM[Part Name]=$A72)*M_BOM[RM_Qty_Per_Batch]*IFERROR(INDEX(PP_Grid[#Data],IF(M_BOM[PPGridRow]=72,NA(),M_BOM[PPGridRow]),14),0))/19.63</f>
        <v/>
      </c>
      <c r="O72">
        <f>SUMPRODUCT((M_BOM[Part Name]=$A72)*M_BOM[RM_Qty_Per_Batch]*IFERROR(INDEX(PP_Grid[#Data],IF(M_BOM[PPGridRow]=72,NA(),M_BOM[PPGridRow]),15),0))/19.63</f>
        <v/>
      </c>
      <c r="P72">
        <f>SUMPRODUCT((M_BOM[Part Name]=$A72)*M_BOM[RM_Qty_Per_Batch]*IFERROR(INDEX(PP_Grid[#Data],IF(M_BOM[PPGridRow]=72,NA(),M_BOM[PPGridRow]),16),0))/19.63</f>
        <v/>
      </c>
      <c r="Q72">
        <f>SUMPRODUCT((M_BOM[Part Name]=$A72)*M_BOM[RM_Qty_Per_Batch]*IFERROR(INDEX(PP_Grid[#Data],IF(M_BOM[PPGridRow]=72,NA(),M_BOM[PPGridRow]),17),0))/19.63</f>
        <v/>
      </c>
      <c r="R72">
        <f>SUMPRODUCT((M_BOM[Part Name]=$A72)*M_BOM[RM_Qty_Per_Batch]*IFERROR(INDEX(PP_Grid[#Data],IF(M_BOM[PPGridRow]=72,NA(),M_BOM[PPGridRow]),18),0))/19.63</f>
        <v/>
      </c>
      <c r="S72">
        <f>SUMPRODUCT((M_BOM[Part Name]=$A72)*M_BOM[RM_Qty_Per_Batch]*IFERROR(INDEX(PP_Grid[#Data],IF(M_BOM[PPGridRow]=72,NA(),M_BOM[PPGridRow]),19),0))/19.63</f>
        <v/>
      </c>
      <c r="T72">
        <f>SUMPRODUCT((M_BOM[Part Name]=$A72)*M_BOM[RM_Qty_Per_Batch]*IFERROR(INDEX(PP_Grid[#Data],IF(M_BOM[PPGridRow]=72,NA(),M_BOM[PPGridRow]),20),0))/19.63</f>
        <v/>
      </c>
      <c r="U72">
        <f>SUMPRODUCT((M_BOM[Part Name]=$A72)*M_BOM[RM_Qty_Per_Batch]*IFERROR(INDEX(PP_Grid[#Data],IF(M_BOM[PPGridRow]=72,NA(),M_BOM[PPGridRow]),21),0))/19.63</f>
        <v/>
      </c>
      <c r="V72">
        <f>SUMPRODUCT((M_BOM[Part Name]=$A72)*M_BOM[RM_Qty_Per_Batch]*IFERROR(INDEX(PP_Grid[#Data],IF(M_BOM[PPGridRow]=72,NA(),M_BOM[PPGridRow]),22),0))/19.63</f>
        <v/>
      </c>
      <c r="W72">
        <f>SUMPRODUCT((M_BOM[Part Name]=$A72)*M_BOM[RM_Qty_Per_Batch]*IFERROR(INDEX(PP_Grid[#Data],IF(M_BOM[PPGridRow]=72,NA(),M_BOM[PPGridRow]),23),0))/19.63</f>
        <v/>
      </c>
      <c r="X72">
        <f>SUMPRODUCT((M_BOM[Part Name]=$A72)*M_BOM[RM_Qty_Per_Batch]*IFERROR(INDEX(PP_Grid[#Data],IF(M_BOM[PPGridRow]=72,NA(),M_BOM[PPGridRow]),24),0))/19.63</f>
        <v/>
      </c>
      <c r="Y72">
        <f>SUMPRODUCT((M_BOM[Part Name]=$A72)*M_BOM[RM_Qty_Per_Batch]*IFERROR(INDEX(PP_Grid[#Data],IF(M_BOM[PPGridRow]=72,NA(),M_BOM[PPGridRow]),25),0))/19.63</f>
        <v/>
      </c>
      <c r="Z72">
        <f>SUMPRODUCT((M_BOM[Part Name]=$A72)*M_BOM[RM_Qty_Per_Batch]*IFERROR(INDEX(PP_Grid[#Data],IF(M_BOM[PPGridRow]=72,NA(),M_BOM[PPGridRow]),26),0))/19.63</f>
        <v/>
      </c>
      <c r="AA72">
        <f>SUMPRODUCT((M_BOM[Part Name]=$A72)*M_BOM[RM_Qty_Per_Batch]*IFERROR(INDEX(PP_Grid[#Data],IF(M_BOM[PPGridRow]=72,NA(),M_BOM[PPGridRow]),27),0))/19.63</f>
        <v/>
      </c>
      <c r="AB72">
        <f>SUMPRODUCT((M_BOM[Part Name]=$A72)*M_BOM[RM_Qty_Per_Batch]*IFERROR(INDEX(PP_Grid[#Data],IF(M_BOM[PPGridRow]=72,NA(),M_BOM[PPGridRow]),28),0))/19.63</f>
        <v/>
      </c>
      <c r="AC72">
        <f>SUMPRODUCT((M_BOM[Part Name]=$A72)*M_BOM[RM_Qty_Per_Batch]*IFERROR(INDEX(PP_Grid[#Data],IF(M_BOM[PPGridRow]=72,NA(),M_BOM[PPGridRow]),29),0))/19.63</f>
        <v/>
      </c>
      <c r="AD72">
        <f>SUMPRODUCT((M_BOM[Part Name]=$A72)*M_BOM[RM_Qty_Per_Batch]*IFERROR(INDEX(PP_Grid[#Data],IF(M_BOM[PPGridRow]=72,NA(),M_BOM[PPGridRow]),30),0))/19.63</f>
        <v/>
      </c>
      <c r="AE72">
        <f>SUMPRODUCT((M_BOM[Part Name]=$A72)*M_BOM[RM_Qty_Per_Batch]*IFERROR(INDEX(PP_Grid[#Data],IF(M_BOM[PPGridRow]=72,NA(),M_BOM[PPGridRow]),31),0))/19.63</f>
        <v/>
      </c>
      <c r="AF72">
        <f>SUMPRODUCT((M_BOM[Part Name]=$A72)*M_BOM[RM_Qty_Per_Batch]*IFERROR(INDEX(PP_Grid[#Data],IF(M_BOM[PPGridRow]=72,NA(),M_BOM[PPGridRow]),32),0))/19.63</f>
        <v/>
      </c>
      <c r="AG72">
        <f>SUMPRODUCT((M_BOM[Part Name]=$A72)*M_BOM[RM_Qty_Per_Batch]*IFERROR(INDEX(PP_Grid[#Data],IF(M_BOM[PPGridRow]=72,NA(),M_BOM[PPGridRow]),33),0))/19.63</f>
        <v/>
      </c>
      <c r="AH72">
        <f>SUMPRODUCT((M_BOM[Part Name]=$A72)*M_BOM[RM_Qty_Per_Batch]*IFERROR(INDEX(PP_Grid[#Data],IF(M_BOM[PPGridRow]=72,NA(),M_BOM[PPGridRow]),34),0))/19.63</f>
        <v/>
      </c>
      <c r="AI72">
        <f>SUMPRODUCT((M_BOM[Part Name]=$A72)*M_BOM[RM_Qty_Per_Batch]*IFERROR(INDEX(PP_Grid[#Data],IF(M_BOM[PPGridRow]=72,NA(),M_BOM[PPGridRow]),35),0))/19.63</f>
        <v/>
      </c>
      <c r="AJ72">
        <f>SUMPRODUCT((M_BOM[Part Name]=$A72)*M_BOM[RM_Qty_Per_Batch]*IFERROR(INDEX(PP_Grid[#Data],IF(M_BOM[PPGridRow]=72,NA(),M_BOM[PPGridRow]),36),0))/19.63</f>
        <v/>
      </c>
      <c r="AK72">
        <f>SUMPRODUCT((M_BOM[Part Name]=$A72)*M_BOM[RM_Qty_Per_Batch]*IFERROR(INDEX(PP_Grid[#Data],IF(M_BOM[PPGridRow]=72,NA(),M_BOM[PPGridRow]),37),0))/19.63</f>
        <v/>
      </c>
      <c r="AL72">
        <f>SUMPRODUCT((M_BOM[Part Name]=$A72)*M_BOM[RM_Qty_Per_Batch]*IFERROR(INDEX(PP_Grid[#Data],IF(M_BOM[PPGridRow]=72,NA(),M_BOM[PPGridRow]),38),0))/19.63</f>
        <v/>
      </c>
      <c r="AM72">
        <f>SUMPRODUCT((M_BOM[Part Name]=$A72)*M_BOM[RM_Qty_Per_Batch]*IFERROR(INDEX(PP_Grid[#Data],IF(M_BOM[PPGridRow]=72,NA(),M_BOM[PPGridRow]),39),0))/19.63</f>
        <v/>
      </c>
      <c r="AN72">
        <f>SUMPRODUCT((M_BOM[Part Name]=$A72)*M_BOM[RM_Qty_Per_Batch]*IFERROR(INDEX(PP_Grid[#Data],IF(M_BOM[PPGridRow]=72,NA(),M_BOM[PPGridRow]),40),0))/19.63</f>
        <v/>
      </c>
      <c r="AO72">
        <f>SUMPRODUCT((M_BOM[Part Name]=$A72)*M_BOM[RM_Qty_Per_Batch]*IFERROR(INDEX(PP_Grid[#Data],IF(M_BOM[PPGridRow]=72,NA(),M_BOM[PPGridRow]),41),0))/19.63</f>
        <v/>
      </c>
      <c r="AP72">
        <f>SUMPRODUCT((M_BOM[Part Name]=$A72)*M_BOM[RM_Qty_Per_Batch]*IFERROR(INDEX(PP_Grid[#Data],IF(M_BOM[PPGridRow]=72,NA(),M_BOM[PPGridRow]),42),0))/19.63</f>
        <v/>
      </c>
      <c r="AQ72">
        <f>SUMPRODUCT((M_BOM[Part Name]=$A72)*M_BOM[RM_Qty_Per_Batch]*IFERROR(INDEX(PP_Grid[#Data],IF(M_BOM[PPGridRow]=72,NA(),M_BOM[PPGridRow]),43),0))/19.63</f>
        <v/>
      </c>
      <c r="AR72">
        <f>SUMPRODUCT((M_BOM[Part Name]=$A72)*M_BOM[RM_Qty_Per_Batch]*IFERROR(INDEX(PP_Grid[#Data],IF(M_BOM[PPGridRow]=72,NA(),M_BOM[PPGridRow]),44),0))/19.63</f>
        <v/>
      </c>
      <c r="AS72">
        <f>SUMPRODUCT((M_BOM[Part Name]=$A72)*M_BOM[RM_Qty_Per_Batch]*IFERROR(INDEX(PP_Grid[#Data],IF(M_BOM[PPGridRow]=72,NA(),M_BOM[PPGridRow]),45),0))/19.63</f>
        <v/>
      </c>
      <c r="AT72">
        <f>SUMPRODUCT((M_BOM[Part Name]=$A72)*M_BOM[RM_Qty_Per_Batch]*IFERROR(INDEX(PP_Grid[#Data],IF(M_BOM[PPGridRow]=72,NA(),M_BOM[PPGridRow]),46),0))/19.63</f>
        <v/>
      </c>
      <c r="AU72">
        <f>SUMPRODUCT((M_BOM[Part Name]=$A72)*M_BOM[RM_Qty_Per_Batch]*IFERROR(INDEX(PP_Grid[#Data],IF(M_BOM[PPGridRow]=72,NA(),M_BOM[PPGridRow]),47),0))/19.63</f>
        <v/>
      </c>
      <c r="AV72">
        <f>SUMPRODUCT((M_BOM[Part Name]=$A72)*M_BOM[RM_Qty_Per_Batch]*IFERROR(INDEX(PP_Grid[#Data],IF(M_BOM[PPGridRow]=72,NA(),M_BOM[PPGridRow]),48),0))/19.63</f>
        <v/>
      </c>
      <c r="AW72">
        <f>SUMPRODUCT((M_BOM[Part Name]=$A72)*M_BOM[RM_Qty_Per_Batch]*IFERROR(INDEX(PP_Grid[#Data],IF(M_BOM[PPGridRow]=72,NA(),M_BOM[PPGridRow]),49),0))/19.63</f>
        <v/>
      </c>
      <c r="AX72">
        <f>SUMPRODUCT((M_BOM[Part Name]=$A72)*M_BOM[RM_Qty_Per_Batch]*IFERROR(INDEX(PP_Grid[#Data],IF(M_BOM[PPGridRow]=72,NA(),M_BOM[PPGridRow]),50),0))/19.63</f>
        <v/>
      </c>
      <c r="AY72">
        <f>SUMPRODUCT((M_BOM[Part Name]=$A72)*M_BOM[RM_Qty_Per_Batch]*IFERROR(INDEX(PP_Grid[#Data],IF(M_BOM[PPGridRow]=72,NA(),M_BOM[PPGridRow]),51),0))/19.63</f>
        <v/>
      </c>
      <c r="AZ72">
        <f>SUMPRODUCT((M_BOM[Part Name]=$A72)*M_BOM[RM_Qty_Per_Batch]*IFERROR(INDEX(PP_Grid[#Data],IF(M_BOM[PPGridRow]=72,NA(),M_BOM[PPGridRow]),52),0))/19.63</f>
        <v/>
      </c>
      <c r="BA72">
        <f>SUMPRODUCT((M_BOM[Part Name]=$A72)*M_BOM[RM_Qty_Per_Batch]*IFERROR(INDEX(PP_Grid[#Data],IF(M_BOM[PPGridRow]=72,NA(),M_BOM[PPGridRow]),53),0))/19.63</f>
        <v/>
      </c>
      <c r="BB72">
        <f>SUMPRODUCT((M_BOM[Part Name]=$A72)*M_BOM[RM_Qty_Per_Batch]*IFERROR(INDEX(PP_Grid[#Data],IF(M_BOM[PPGridRow]=72,NA(),M_BOM[PPGridRow]),54),0))/19.63</f>
        <v/>
      </c>
      <c r="BC72">
        <f>SUMPRODUCT((M_BOM[Part Name]=$A72)*M_BOM[RM_Qty_Per_Batch]*IFERROR(INDEX(PP_Grid[#Data],IF(M_BOM[PPGridRow]=72,NA(),M_BOM[PPGridRow]),55),0))/19.63</f>
        <v/>
      </c>
      <c r="BD72">
        <f>SUMPRODUCT((M_BOM[Part Name]=$A72)*M_BOM[RM_Qty_Per_Batch]*IFERROR(INDEX(PP_Grid[#Data],IF(M_BOM[PPGridRow]=72,NA(),M_BOM[PPGridRow]),56),0))/19.63</f>
        <v/>
      </c>
      <c r="BE72">
        <f>SUMPRODUCT((M_BOM[Part Name]=$A72)*M_BOM[RM_Qty_Per_Batch]*IFERROR(INDEX(PP_Grid[#Data],IF(M_BOM[PPGridRow]=72,NA(),M_BOM[PPGridRow]),57),0))/19.63</f>
        <v/>
      </c>
      <c r="BF72">
        <f>SUMPRODUCT((M_BOM[Part Name]=$A72)*M_BOM[RM_Qty_Per_Batch]*IFERROR(INDEX(PP_Grid[#Data],IF(M_BOM[PPGridRow]=72,NA(),M_BOM[PPGridRow]),58),0))/19.63</f>
        <v/>
      </c>
      <c r="BG72">
        <f>SUMPRODUCT((M_BOM[Part Name]=$A72)*M_BOM[RM_Qty_Per_Batch]*IFERROR(INDEX(PP_Grid[#Data],IF(M_BOM[PPGridRow]=72,NA(),M_BOM[PPGridRow]),59),0))/19.63</f>
        <v/>
      </c>
      <c r="BH72">
        <f>SUMPRODUCT((M_BOM[Part Name]=$A72)*M_BOM[RM_Qty_Per_Batch]*IFERROR(INDEX(PP_Grid[#Data],IF(M_BOM[PPGridRow]=72,NA(),M_BOM[PPGridRow]),60),0))/19.63</f>
        <v/>
      </c>
      <c r="BI72">
        <f>SUMPRODUCT((M_BOM[Part Name]=$A72)*M_BOM[RM_Qty_Per_Batch]*IFERROR(INDEX(PP_Grid[#Data],IF(M_BOM[PPGridRow]=72,NA(),M_BOM[PPGridRow]),61),0))/19.63</f>
        <v/>
      </c>
      <c r="BJ72">
        <f>SUMPRODUCT((M_BOM[Part Name]=$A72)*M_BOM[RM_Qty_Per_Batch]*IFERROR(INDEX(PP_Grid[#Data],IF(M_BOM[PPGridRow]=72,NA(),M_BOM[PPGridRow]),62),0))/19.63</f>
        <v/>
      </c>
      <c r="BK72">
        <f>SUMPRODUCT((M_BOM[Part Name]=$A72)*M_BOM[RM_Qty_Per_Batch]*IFERROR(INDEX(PP_Grid[#Data],IF(M_BOM[PPGridRow]=72,NA(),M_BOM[PPGridRow]),63),0))/19.63</f>
        <v/>
      </c>
      <c r="BL72">
        <f>SUMPRODUCT((M_BOM[Part Name]=$A72)*M_BOM[RM_Qty_Per_Batch]*IFERROR(INDEX(PP_Grid[#Data],IF(M_BOM[PPGridRow]=72,NA(),M_BOM[PPGridRow]),64),0))/19.63</f>
        <v/>
      </c>
      <c r="BM72">
        <f>SUMPRODUCT((M_BOM[Part Name]=$A72)*M_BOM[RM_Qty_Per_Batch]*IFERROR(INDEX(PP_Grid[#Data],IF(M_BOM[PPGridRow]=72,NA(),M_BOM[PPGridRow]),65),0))/19.63</f>
        <v/>
      </c>
      <c r="BN72">
        <f>SUMPRODUCT((M_BOM[Part Name]=$A72)*M_BOM[RM_Qty_Per_Batch]*IFERROR(INDEX(PP_Grid[#Data],IF(M_BOM[PPGridRow]=72,NA(),M_BOM[PPGridRow]),66),0))/19.63</f>
        <v/>
      </c>
      <c r="BO72">
        <f>SUMPRODUCT((M_BOM[Part Name]=$A72)*M_BOM[RM_Qty_Per_Batch]*IFERROR(INDEX(PP_Grid[#Data],IF(M_BOM[PPGridRow]=72,NA(),M_BOM[PPGridRow]),67),0))/19.63</f>
        <v/>
      </c>
      <c r="BP72">
        <f>SUMPRODUCT((M_BOM[Part Name]=$A72)*M_BOM[RM_Qty_Per_Batch]*IFERROR(INDEX(PP_Grid[#Data],IF(M_BOM[PPGridRow]=72,NA(),M_BOM[PPGridRow]),68),0))/19.63</f>
        <v/>
      </c>
      <c r="BQ72">
        <f>SUMPRODUCT((M_BOM[Part Name]=$A72)*M_BOM[RM_Qty_Per_Batch]*IFERROR(INDEX(PP_Grid[#Data],IF(M_BOM[PPGridRow]=72,NA(),M_BOM[PPGridRow]),69),0))/19.63</f>
        <v/>
      </c>
      <c r="BR72">
        <f>SUMPRODUCT((M_BOM[Part Name]=$A72)*M_BOM[RM_Qty_Per_Batch]*IFERROR(INDEX(PP_Grid[#Data],IF(M_BOM[PPGridRow]=72,NA(),M_BOM[PPGridRow]),70),0))/19.63</f>
        <v/>
      </c>
      <c r="BS72">
        <f>SUMPRODUCT((M_BOM[Part Name]=$A72)*M_BOM[RM_Qty_Per_Batch]*IFERROR(INDEX(PP_Grid[#Data],IF(M_BOM[PPGridRow]=72,NA(),M_BOM[PPGridRow]),71),0))/19.63</f>
        <v/>
      </c>
      <c r="BT72">
        <f>SUMPRODUCT((M_BOM[Part Name]=$A72)*M_BOM[RM_Qty_Per_Batch]*IFERROR(INDEX(PP_Grid[#Data],IF(M_BOM[PPGridRow]=72,NA(),M_BOM[PPGridRow]),72),0))/19.63</f>
        <v/>
      </c>
      <c r="BU72">
        <f>SUMPRODUCT((M_BOM[Part Name]=$A72)*M_BOM[RM_Qty_Per_Batch]*IFERROR(INDEX(PP_Grid[#Data],IF(M_BOM[PPGridRow]=72,NA(),M_BOM[PPGridRow]),73),0))/19.63</f>
        <v/>
      </c>
      <c r="BV72">
        <f>SUMPRODUCT((M_BOM[Part Name]=$A72)*M_BOM[RM_Qty_Per_Batch]*IFERROR(INDEX(PP_Grid[#Data],IF(M_BOM[PPGridRow]=72,NA(),M_BOM[PPGridRow]),74),0))/19.63</f>
        <v/>
      </c>
      <c r="BW72">
        <f>SUMPRODUCT((M_BOM[Part Name]=$A72)*M_BOM[RM_Qty_Per_Batch]*IFERROR(INDEX(PP_Grid[#Data],IF(M_BOM[PPGridRow]=72,NA(),M_BOM[PPGridRow]),75),0))/19.63</f>
        <v/>
      </c>
      <c r="BX72">
        <f>SUMPRODUCT((M_BOM[Part Name]=$A72)*M_BOM[RM_Qty_Per_Batch]*IFERROR(INDEX(PP_Grid[#Data],IF(M_BOM[PPGridRow]=72,NA(),M_BOM[PPGridRow]),76),0))/19.63</f>
        <v/>
      </c>
      <c r="BY72">
        <f>SUMPRODUCT((M_BOM[Part Name]=$A72)*M_BOM[RM_Qty_Per_Batch]*IFERROR(INDEX(PP_Grid[#Data],IF(M_BOM[PPGridRow]=72,NA(),M_BOM[PPGridRow]),77),0))/19.63</f>
        <v/>
      </c>
      <c r="BZ72">
        <f>SUMPRODUCT((M_BOM[Part Name]=$A72)*M_BOM[RM_Qty_Per_Batch]*IFERROR(INDEX(PP_Grid[#Data],IF(M_BOM[PPGridRow]=72,NA(),M_BOM[PPGridRow]),78),0))/19.63</f>
        <v/>
      </c>
      <c r="CA72">
        <f>SUMPRODUCT((M_BOM[Part Name]=$A72)*M_BOM[RM_Qty_Per_Batch]*IFERROR(INDEX(PP_Grid[#Data],IF(M_BOM[PPGridRow]=72,NA(),M_BOM[PPGridRow]),79),0))/19.63</f>
        <v/>
      </c>
      <c r="CB72">
        <f>SUMPRODUCT((M_BOM[Part Name]=$A72)*M_BOM[RM_Qty_Per_Batch]*IFERROR(INDEX(PP_Grid[#Data],IF(M_BOM[PPGridRow]=72,NA(),M_BOM[PPGridRow]),80),0))/19.63</f>
        <v/>
      </c>
      <c r="CC72">
        <f>SUMPRODUCT((M_BOM[Part Name]=$A72)*M_BOM[RM_Qty_Per_Batch]*IFERROR(INDEX(PP_Grid[#Data],IF(M_BOM[PPGridRow]=72,NA(),M_BOM[PPGridRow]),81),0))/19.63</f>
        <v/>
      </c>
      <c r="CD72">
        <f>SUMPRODUCT((M_BOM[Part Name]=$A72)*M_BOM[RM_Qty_Per_Batch]*IFERROR(INDEX(PP_Grid[#Data],IF(M_BOM[PPGridRow]=72,NA(),M_BOM[PPGridRow]),82),0))/19.63</f>
        <v/>
      </c>
      <c r="CE72">
        <f>SUMPRODUCT((M_BOM[Part Name]=$A72)*M_BOM[RM_Qty_Per_Batch]*IFERROR(INDEX(PP_Grid[#Data],IF(M_BOM[PPGridRow]=72,NA(),M_BOM[PPGridRow]),83),0))/19.63</f>
        <v/>
      </c>
      <c r="CF72">
        <f>SUMPRODUCT((M_BOM[Part Name]=$A72)*M_BOM[RM_Qty_Per_Batch]*IFERROR(INDEX(PP_Grid[#Data],IF(M_BOM[PPGridRow]=72,NA(),M_BOM[PPGridRow]),84),0))/19.63</f>
        <v/>
      </c>
      <c r="CG72">
        <f>SUMPRODUCT((M_BOM[Part Name]=$A72)*M_BOM[RM_Qty_Per_Batch]*IFERROR(INDEX(PP_Grid[#Data],IF(M_BOM[PPGridRow]=72,NA(),M_BOM[PPGridRow]),85),0))/19.63</f>
        <v/>
      </c>
      <c r="CH72">
        <f>SUMPRODUCT((M_BOM[Part Name]=$A72)*M_BOM[RM_Qty_Per_Batch]*IFERROR(INDEX(PP_Grid[#Data],IF(M_BOM[PPGridRow]=72,NA(),M_BOM[PPGridRow]),86),0))/19.63</f>
        <v/>
      </c>
      <c r="CI72">
        <f>SUMPRODUCT((M_BOM[Part Name]=$A72)*M_BOM[RM_Qty_Per_Batch]*IFERROR(INDEX(PP_Grid[#Data],IF(M_BOM[PPGridRow]=72,NA(),M_BOM[PPGridRow]),87),0))/19.63</f>
        <v/>
      </c>
      <c r="CJ72">
        <f>SUMPRODUCT((M_BOM[Part Name]=$A72)*M_BOM[RM_Qty_Per_Batch]*IFERROR(INDEX(PP_Grid[#Data],IF(M_BOM[PPGridRow]=72,NA(),M_BOM[PPGridRow]),88),0))/19.63</f>
        <v/>
      </c>
      <c r="CK72">
        <f>SUMPRODUCT((M_BOM[Part Name]=$A72)*M_BOM[RM_Qty_Per_Batch]*IFERROR(INDEX(PP_Grid[#Data],IF(M_BOM[PPGridRow]=72,NA(),M_BOM[PPGridRow]),89),0))/19.63</f>
        <v/>
      </c>
      <c r="CL72">
        <f>SUMPRODUCT((M_BOM[Part Name]=$A72)*M_BOM[RM_Qty_Per_Batch]*IFERROR(INDEX(PP_Grid[#Data],IF(M_BOM[PPGridRow]=72,NA(),M_BOM[PPGridRow]),90),0))/19.63</f>
        <v/>
      </c>
      <c r="CM72">
        <f>SUMPRODUCT((M_BOM[Part Name]=$A72)*M_BOM[RM_Qty_Per_Batch]*IFERROR(INDEX(PP_Grid[#Data],IF(M_BOM[PPGridRow]=72,NA(),M_BOM[PPGridRow]),91),0))/19.63</f>
        <v/>
      </c>
      <c r="CN72">
        <f>SUMPRODUCT((M_BOM[Part Name]=$A72)*M_BOM[RM_Qty_Per_Batch]*IFERROR(INDEX(PP_Grid[#Data],IF(M_BOM[PPGridRow]=72,NA(),M_BOM[PPGridRow]),92),0))/19.63</f>
        <v/>
      </c>
      <c r="CO72">
        <f>SUMPRODUCT((M_BOM[Part Name]=$A72)*M_BOM[RM_Qty_Per_Batch]*IFERROR(INDEX(PP_Grid[#Data],IF(M_BOM[PPGridRow]=72,NA(),M_BOM[PPGridRow]),93),0))/19.63</f>
        <v/>
      </c>
      <c r="CP72">
        <f>SUMPRODUCT((M_BOM[Part Name]=$A72)*M_BOM[RM_Qty_Per_Batch]*IFERROR(INDEX(PP_Grid[#Data],IF(M_BOM[PPGridRow]=72,NA(),M_BOM[PPGridRow]),94),0))/19.63</f>
        <v/>
      </c>
      <c r="CQ72">
        <f>SUMPRODUCT((M_BOM[Part Name]=$A72)*M_BOM[RM_Qty_Per_Batch]*IFERROR(INDEX(PP_Grid[#Data],IF(M_BOM[PPGridRow]=72,NA(),M_BOM[PPGridRow]),95),0))/19.63</f>
        <v/>
      </c>
      <c r="CR72">
        <f>SUMPRODUCT((M_BOM[Part Name]=$A72)*M_BOM[RM_Qty_Per_Batch]*IFERROR(INDEX(PP_Grid[#Data],IF(M_BOM[PPGridRow]=72,NA(),M_BOM[PPGridRow]),96),0))/19.63</f>
        <v/>
      </c>
      <c r="CS72">
        <f>SUMPRODUCT((M_BOM[Part Name]=$A72)*M_BOM[RM_Qty_Per_Batch]*IFERROR(INDEX(PP_Grid[#Data],IF(M_BOM[PPGridRow]=72,NA(),M_BOM[PPGridRow]),97),0))/19.63</f>
        <v/>
      </c>
      <c r="CT72">
        <f>SUMPRODUCT((M_BOM[Part Name]=$A72)*M_BOM[RM_Qty_Per_Batch]*IFERROR(INDEX(PP_Grid[#Data],IF(M_BOM[PPGridRow]=72,NA(),M_BOM[PPGridRow]),98),0))/19.63</f>
        <v/>
      </c>
      <c r="CU72">
        <f>SUMPRODUCT((M_BOM[Part Name]=$A72)*M_BOM[RM_Qty_Per_Batch]*IFERROR(INDEX(PP_Grid[#Data],IF(M_BOM[PPGridRow]=72,NA(),M_BOM[PPGridRow]),99),0))/19.63</f>
        <v/>
      </c>
      <c r="CV72">
        <f>SUMPRODUCT((M_BOM[Part Name]=$A72)*M_BOM[RM_Qty_Per_Batch]*IFERROR(INDEX(PP_Grid[#Data],IF(M_BOM[PPGridRow]=72,NA(),M_BOM[PPGridRow]),100),0))/19.63</f>
        <v/>
      </c>
      <c r="CW72">
        <f>SUMPRODUCT((M_BOM[Part Name]=$A72)*M_BOM[RM_Qty_Per_Batch]*IFERROR(INDEX(PP_Grid[#Data],IF(M_BOM[PPGridRow]=72,NA(),M_BOM[PPGridRow]),101),0))/19.63</f>
        <v/>
      </c>
      <c r="CX72">
        <f>SUMPRODUCT((M_BOM[Part Name]=$A72)*M_BOM[RM_Qty_Per_Batch]*IFERROR(INDEX(PP_Grid[#Data],IF(M_BOM[PPGridRow]=72,NA(),M_BOM[PPGridRow]),102),0))/19.63</f>
        <v/>
      </c>
      <c r="CY72">
        <f>SUMPRODUCT((M_BOM[Part Name]=$A72)*M_BOM[RM_Qty_Per_Batch]*IFERROR(INDEX(PP_Grid[#Data],IF(M_BOM[PPGridRow]=72,NA(),M_BOM[PPGridRow]),103),0))/19.63</f>
        <v/>
      </c>
      <c r="CZ72">
        <f>SUMPRODUCT((M_BOM[Part Name]=$A72)*M_BOM[RM_Qty_Per_Batch]*IFERROR(INDEX(PP_Grid[#Data],IF(M_BOM[PPGridRow]=72,NA(),M_BOM[PPGridRow]),104),0))/19.63</f>
        <v/>
      </c>
      <c r="DA72">
        <f>SUMPRODUCT((M_BOM[Part Name]=$A72)*M_BOM[RM_Qty_Per_Batch]*IFERROR(INDEX(PP_Grid[#Data],IF(M_BOM[PPGridRow]=72,NA(),M_BOM[PPGridRow]),105),0))/19.63</f>
        <v/>
      </c>
    </row>
    <row r="73">
      <c r="A73" t="inlineStr">
        <is>
          <t>TPP-358</t>
        </is>
      </c>
      <c r="B73">
        <f>SUMPRODUCT((M_BOM[Part Name]=$A73)*M_BOM[RM_Qty_Per_Batch]*IFERROR(INDEX(PP_Grid[#Data],IF(M_BOM[PPGridRow]=73,NA(),M_BOM[PPGridRow]),2),0))/64.4</f>
        <v/>
      </c>
      <c r="C73">
        <f>SUMPRODUCT((M_BOM[Part Name]=$A73)*M_BOM[RM_Qty_Per_Batch]*IFERROR(INDEX(PP_Grid[#Data],IF(M_BOM[PPGridRow]=73,NA(),M_BOM[PPGridRow]),3),0))/64.4</f>
        <v/>
      </c>
      <c r="D73">
        <f>SUMPRODUCT((M_BOM[Part Name]=$A73)*M_BOM[RM_Qty_Per_Batch]*IFERROR(INDEX(PP_Grid[#Data],IF(M_BOM[PPGridRow]=73,NA(),M_BOM[PPGridRow]),4),0))/64.4</f>
        <v/>
      </c>
      <c r="E73">
        <f>SUMPRODUCT((M_BOM[Part Name]=$A73)*M_BOM[RM_Qty_Per_Batch]*IFERROR(INDEX(PP_Grid[#Data],IF(M_BOM[PPGridRow]=73,NA(),M_BOM[PPGridRow]),5),0))/64.4</f>
        <v/>
      </c>
      <c r="F73">
        <f>SUMPRODUCT((M_BOM[Part Name]=$A73)*M_BOM[RM_Qty_Per_Batch]*IFERROR(INDEX(PP_Grid[#Data],IF(M_BOM[PPGridRow]=73,NA(),M_BOM[PPGridRow]),6),0))/64.4</f>
        <v/>
      </c>
      <c r="G73">
        <f>SUMPRODUCT((M_BOM[Part Name]=$A73)*M_BOM[RM_Qty_Per_Batch]*IFERROR(INDEX(PP_Grid[#Data],IF(M_BOM[PPGridRow]=73,NA(),M_BOM[PPGridRow]),7),0))/64.4</f>
        <v/>
      </c>
      <c r="H73">
        <f>SUMPRODUCT((M_BOM[Part Name]=$A73)*M_BOM[RM_Qty_Per_Batch]*IFERROR(INDEX(PP_Grid[#Data],IF(M_BOM[PPGridRow]=73,NA(),M_BOM[PPGridRow]),8),0))/64.4</f>
        <v/>
      </c>
      <c r="I73">
        <f>SUMPRODUCT((M_BOM[Part Name]=$A73)*M_BOM[RM_Qty_Per_Batch]*IFERROR(INDEX(PP_Grid[#Data],IF(M_BOM[PPGridRow]=73,NA(),M_BOM[PPGridRow]),9),0))/64.4</f>
        <v/>
      </c>
      <c r="J73">
        <f>SUMPRODUCT((M_BOM[Part Name]=$A73)*M_BOM[RM_Qty_Per_Batch]*IFERROR(INDEX(PP_Grid[#Data],IF(M_BOM[PPGridRow]=73,NA(),M_BOM[PPGridRow]),10),0))/64.4</f>
        <v/>
      </c>
      <c r="K73">
        <f>SUMPRODUCT((M_BOM[Part Name]=$A73)*M_BOM[RM_Qty_Per_Batch]*IFERROR(INDEX(PP_Grid[#Data],IF(M_BOM[PPGridRow]=73,NA(),M_BOM[PPGridRow]),11),0))/64.4</f>
        <v/>
      </c>
      <c r="L73">
        <f>SUMPRODUCT((M_BOM[Part Name]=$A73)*M_BOM[RM_Qty_Per_Batch]*IFERROR(INDEX(PP_Grid[#Data],IF(M_BOM[PPGridRow]=73,NA(),M_BOM[PPGridRow]),12),0))/64.4</f>
        <v/>
      </c>
      <c r="M73">
        <f>SUMPRODUCT((M_BOM[Part Name]=$A73)*M_BOM[RM_Qty_Per_Batch]*IFERROR(INDEX(PP_Grid[#Data],IF(M_BOM[PPGridRow]=73,NA(),M_BOM[PPGridRow]),13),0))/64.4</f>
        <v/>
      </c>
      <c r="N73">
        <f>SUMPRODUCT((M_BOM[Part Name]=$A73)*M_BOM[RM_Qty_Per_Batch]*IFERROR(INDEX(PP_Grid[#Data],IF(M_BOM[PPGridRow]=73,NA(),M_BOM[PPGridRow]),14),0))/64.4</f>
        <v/>
      </c>
      <c r="O73">
        <f>SUMPRODUCT((M_BOM[Part Name]=$A73)*M_BOM[RM_Qty_Per_Batch]*IFERROR(INDEX(PP_Grid[#Data],IF(M_BOM[PPGridRow]=73,NA(),M_BOM[PPGridRow]),15),0))/64.4</f>
        <v/>
      </c>
      <c r="P73">
        <f>SUMPRODUCT((M_BOM[Part Name]=$A73)*M_BOM[RM_Qty_Per_Batch]*IFERROR(INDEX(PP_Grid[#Data],IF(M_BOM[PPGridRow]=73,NA(),M_BOM[PPGridRow]),16),0))/64.4</f>
        <v/>
      </c>
      <c r="Q73">
        <f>SUMPRODUCT((M_BOM[Part Name]=$A73)*M_BOM[RM_Qty_Per_Batch]*IFERROR(INDEX(PP_Grid[#Data],IF(M_BOM[PPGridRow]=73,NA(),M_BOM[PPGridRow]),17),0))/64.4</f>
        <v/>
      </c>
      <c r="R73">
        <f>SUMPRODUCT((M_BOM[Part Name]=$A73)*M_BOM[RM_Qty_Per_Batch]*IFERROR(INDEX(PP_Grid[#Data],IF(M_BOM[PPGridRow]=73,NA(),M_BOM[PPGridRow]),18),0))/64.4</f>
        <v/>
      </c>
      <c r="S73">
        <f>SUMPRODUCT((M_BOM[Part Name]=$A73)*M_BOM[RM_Qty_Per_Batch]*IFERROR(INDEX(PP_Grid[#Data],IF(M_BOM[PPGridRow]=73,NA(),M_BOM[PPGridRow]),19),0))/64.4</f>
        <v/>
      </c>
      <c r="T73">
        <f>SUMPRODUCT((M_BOM[Part Name]=$A73)*M_BOM[RM_Qty_Per_Batch]*IFERROR(INDEX(PP_Grid[#Data],IF(M_BOM[PPGridRow]=73,NA(),M_BOM[PPGridRow]),20),0))/64.4</f>
        <v/>
      </c>
      <c r="U73">
        <f>SUMPRODUCT((M_BOM[Part Name]=$A73)*M_BOM[RM_Qty_Per_Batch]*IFERROR(INDEX(PP_Grid[#Data],IF(M_BOM[PPGridRow]=73,NA(),M_BOM[PPGridRow]),21),0))/64.4</f>
        <v/>
      </c>
      <c r="V73">
        <f>SUMPRODUCT((M_BOM[Part Name]=$A73)*M_BOM[RM_Qty_Per_Batch]*IFERROR(INDEX(PP_Grid[#Data],IF(M_BOM[PPGridRow]=73,NA(),M_BOM[PPGridRow]),22),0))/64.4</f>
        <v/>
      </c>
      <c r="W73">
        <f>SUMPRODUCT((M_BOM[Part Name]=$A73)*M_BOM[RM_Qty_Per_Batch]*IFERROR(INDEX(PP_Grid[#Data],IF(M_BOM[PPGridRow]=73,NA(),M_BOM[PPGridRow]),23),0))/64.4</f>
        <v/>
      </c>
      <c r="X73">
        <f>SUMPRODUCT((M_BOM[Part Name]=$A73)*M_BOM[RM_Qty_Per_Batch]*IFERROR(INDEX(PP_Grid[#Data],IF(M_BOM[PPGridRow]=73,NA(),M_BOM[PPGridRow]),24),0))/64.4</f>
        <v/>
      </c>
      <c r="Y73">
        <f>SUMPRODUCT((M_BOM[Part Name]=$A73)*M_BOM[RM_Qty_Per_Batch]*IFERROR(INDEX(PP_Grid[#Data],IF(M_BOM[PPGridRow]=73,NA(),M_BOM[PPGridRow]),25),0))/64.4</f>
        <v/>
      </c>
      <c r="Z73">
        <f>SUMPRODUCT((M_BOM[Part Name]=$A73)*M_BOM[RM_Qty_Per_Batch]*IFERROR(INDEX(PP_Grid[#Data],IF(M_BOM[PPGridRow]=73,NA(),M_BOM[PPGridRow]),26),0))/64.4</f>
        <v/>
      </c>
      <c r="AA73">
        <f>SUMPRODUCT((M_BOM[Part Name]=$A73)*M_BOM[RM_Qty_Per_Batch]*IFERROR(INDEX(PP_Grid[#Data],IF(M_BOM[PPGridRow]=73,NA(),M_BOM[PPGridRow]),27),0))/64.4</f>
        <v/>
      </c>
      <c r="AB73">
        <f>SUMPRODUCT((M_BOM[Part Name]=$A73)*M_BOM[RM_Qty_Per_Batch]*IFERROR(INDEX(PP_Grid[#Data],IF(M_BOM[PPGridRow]=73,NA(),M_BOM[PPGridRow]),28),0))/64.4</f>
        <v/>
      </c>
      <c r="AC73">
        <f>SUMPRODUCT((M_BOM[Part Name]=$A73)*M_BOM[RM_Qty_Per_Batch]*IFERROR(INDEX(PP_Grid[#Data],IF(M_BOM[PPGridRow]=73,NA(),M_BOM[PPGridRow]),29),0))/64.4</f>
        <v/>
      </c>
      <c r="AD73">
        <f>SUMPRODUCT((M_BOM[Part Name]=$A73)*M_BOM[RM_Qty_Per_Batch]*IFERROR(INDEX(PP_Grid[#Data],IF(M_BOM[PPGridRow]=73,NA(),M_BOM[PPGridRow]),30),0))/64.4</f>
        <v/>
      </c>
      <c r="AE73">
        <f>SUMPRODUCT((M_BOM[Part Name]=$A73)*M_BOM[RM_Qty_Per_Batch]*IFERROR(INDEX(PP_Grid[#Data],IF(M_BOM[PPGridRow]=73,NA(),M_BOM[PPGridRow]),31),0))/64.4</f>
        <v/>
      </c>
      <c r="AF73">
        <f>SUMPRODUCT((M_BOM[Part Name]=$A73)*M_BOM[RM_Qty_Per_Batch]*IFERROR(INDEX(PP_Grid[#Data],IF(M_BOM[PPGridRow]=73,NA(),M_BOM[PPGridRow]),32),0))/64.4</f>
        <v/>
      </c>
      <c r="AG73">
        <f>SUMPRODUCT((M_BOM[Part Name]=$A73)*M_BOM[RM_Qty_Per_Batch]*IFERROR(INDEX(PP_Grid[#Data],IF(M_BOM[PPGridRow]=73,NA(),M_BOM[PPGridRow]),33),0))/64.4</f>
        <v/>
      </c>
      <c r="AH73">
        <f>SUMPRODUCT((M_BOM[Part Name]=$A73)*M_BOM[RM_Qty_Per_Batch]*IFERROR(INDEX(PP_Grid[#Data],IF(M_BOM[PPGridRow]=73,NA(),M_BOM[PPGridRow]),34),0))/64.4</f>
        <v/>
      </c>
      <c r="AI73">
        <f>SUMPRODUCT((M_BOM[Part Name]=$A73)*M_BOM[RM_Qty_Per_Batch]*IFERROR(INDEX(PP_Grid[#Data],IF(M_BOM[PPGridRow]=73,NA(),M_BOM[PPGridRow]),35),0))/64.4</f>
        <v/>
      </c>
      <c r="AJ73">
        <f>SUMPRODUCT((M_BOM[Part Name]=$A73)*M_BOM[RM_Qty_Per_Batch]*IFERROR(INDEX(PP_Grid[#Data],IF(M_BOM[PPGridRow]=73,NA(),M_BOM[PPGridRow]),36),0))/64.4</f>
        <v/>
      </c>
      <c r="AK73">
        <f>SUMPRODUCT((M_BOM[Part Name]=$A73)*M_BOM[RM_Qty_Per_Batch]*IFERROR(INDEX(PP_Grid[#Data],IF(M_BOM[PPGridRow]=73,NA(),M_BOM[PPGridRow]),37),0))/64.4</f>
        <v/>
      </c>
      <c r="AL73">
        <f>SUMPRODUCT((M_BOM[Part Name]=$A73)*M_BOM[RM_Qty_Per_Batch]*IFERROR(INDEX(PP_Grid[#Data],IF(M_BOM[PPGridRow]=73,NA(),M_BOM[PPGridRow]),38),0))/64.4</f>
        <v/>
      </c>
      <c r="AM73">
        <f>SUMPRODUCT((M_BOM[Part Name]=$A73)*M_BOM[RM_Qty_Per_Batch]*IFERROR(INDEX(PP_Grid[#Data],IF(M_BOM[PPGridRow]=73,NA(),M_BOM[PPGridRow]),39),0))/64.4</f>
        <v/>
      </c>
      <c r="AN73">
        <f>SUMPRODUCT((M_BOM[Part Name]=$A73)*M_BOM[RM_Qty_Per_Batch]*IFERROR(INDEX(PP_Grid[#Data],IF(M_BOM[PPGridRow]=73,NA(),M_BOM[PPGridRow]),40),0))/64.4</f>
        <v/>
      </c>
      <c r="AO73">
        <f>SUMPRODUCT((M_BOM[Part Name]=$A73)*M_BOM[RM_Qty_Per_Batch]*IFERROR(INDEX(PP_Grid[#Data],IF(M_BOM[PPGridRow]=73,NA(),M_BOM[PPGridRow]),41),0))/64.4</f>
        <v/>
      </c>
      <c r="AP73">
        <f>SUMPRODUCT((M_BOM[Part Name]=$A73)*M_BOM[RM_Qty_Per_Batch]*IFERROR(INDEX(PP_Grid[#Data],IF(M_BOM[PPGridRow]=73,NA(),M_BOM[PPGridRow]),42),0))/64.4</f>
        <v/>
      </c>
      <c r="AQ73">
        <f>SUMPRODUCT((M_BOM[Part Name]=$A73)*M_BOM[RM_Qty_Per_Batch]*IFERROR(INDEX(PP_Grid[#Data],IF(M_BOM[PPGridRow]=73,NA(),M_BOM[PPGridRow]),43),0))/64.4</f>
        <v/>
      </c>
      <c r="AR73">
        <f>SUMPRODUCT((M_BOM[Part Name]=$A73)*M_BOM[RM_Qty_Per_Batch]*IFERROR(INDEX(PP_Grid[#Data],IF(M_BOM[PPGridRow]=73,NA(),M_BOM[PPGridRow]),44),0))/64.4</f>
        <v/>
      </c>
      <c r="AS73">
        <f>SUMPRODUCT((M_BOM[Part Name]=$A73)*M_BOM[RM_Qty_Per_Batch]*IFERROR(INDEX(PP_Grid[#Data],IF(M_BOM[PPGridRow]=73,NA(),M_BOM[PPGridRow]),45),0))/64.4</f>
        <v/>
      </c>
      <c r="AT73">
        <f>SUMPRODUCT((M_BOM[Part Name]=$A73)*M_BOM[RM_Qty_Per_Batch]*IFERROR(INDEX(PP_Grid[#Data],IF(M_BOM[PPGridRow]=73,NA(),M_BOM[PPGridRow]),46),0))/64.4</f>
        <v/>
      </c>
      <c r="AU73">
        <f>SUMPRODUCT((M_BOM[Part Name]=$A73)*M_BOM[RM_Qty_Per_Batch]*IFERROR(INDEX(PP_Grid[#Data],IF(M_BOM[PPGridRow]=73,NA(),M_BOM[PPGridRow]),47),0))/64.4</f>
        <v/>
      </c>
      <c r="AV73">
        <f>SUMPRODUCT((M_BOM[Part Name]=$A73)*M_BOM[RM_Qty_Per_Batch]*IFERROR(INDEX(PP_Grid[#Data],IF(M_BOM[PPGridRow]=73,NA(),M_BOM[PPGridRow]),48),0))/64.4</f>
        <v/>
      </c>
      <c r="AW73">
        <f>SUMPRODUCT((M_BOM[Part Name]=$A73)*M_BOM[RM_Qty_Per_Batch]*IFERROR(INDEX(PP_Grid[#Data],IF(M_BOM[PPGridRow]=73,NA(),M_BOM[PPGridRow]),49),0))/64.4</f>
        <v/>
      </c>
      <c r="AX73">
        <f>SUMPRODUCT((M_BOM[Part Name]=$A73)*M_BOM[RM_Qty_Per_Batch]*IFERROR(INDEX(PP_Grid[#Data],IF(M_BOM[PPGridRow]=73,NA(),M_BOM[PPGridRow]),50),0))/64.4</f>
        <v/>
      </c>
      <c r="AY73">
        <f>SUMPRODUCT((M_BOM[Part Name]=$A73)*M_BOM[RM_Qty_Per_Batch]*IFERROR(INDEX(PP_Grid[#Data],IF(M_BOM[PPGridRow]=73,NA(),M_BOM[PPGridRow]),51),0))/64.4</f>
        <v/>
      </c>
      <c r="AZ73">
        <f>SUMPRODUCT((M_BOM[Part Name]=$A73)*M_BOM[RM_Qty_Per_Batch]*IFERROR(INDEX(PP_Grid[#Data],IF(M_BOM[PPGridRow]=73,NA(),M_BOM[PPGridRow]),52),0))/64.4</f>
        <v/>
      </c>
      <c r="BA73">
        <f>SUMPRODUCT((M_BOM[Part Name]=$A73)*M_BOM[RM_Qty_Per_Batch]*IFERROR(INDEX(PP_Grid[#Data],IF(M_BOM[PPGridRow]=73,NA(),M_BOM[PPGridRow]),53),0))/64.4</f>
        <v/>
      </c>
      <c r="BB73">
        <f>SUMPRODUCT((M_BOM[Part Name]=$A73)*M_BOM[RM_Qty_Per_Batch]*IFERROR(INDEX(PP_Grid[#Data],IF(M_BOM[PPGridRow]=73,NA(),M_BOM[PPGridRow]),54),0))/64.4</f>
        <v/>
      </c>
      <c r="BC73">
        <f>SUMPRODUCT((M_BOM[Part Name]=$A73)*M_BOM[RM_Qty_Per_Batch]*IFERROR(INDEX(PP_Grid[#Data],IF(M_BOM[PPGridRow]=73,NA(),M_BOM[PPGridRow]),55),0))/64.4</f>
        <v/>
      </c>
      <c r="BD73">
        <f>SUMPRODUCT((M_BOM[Part Name]=$A73)*M_BOM[RM_Qty_Per_Batch]*IFERROR(INDEX(PP_Grid[#Data],IF(M_BOM[PPGridRow]=73,NA(),M_BOM[PPGridRow]),56),0))/64.4</f>
        <v/>
      </c>
      <c r="BE73">
        <f>SUMPRODUCT((M_BOM[Part Name]=$A73)*M_BOM[RM_Qty_Per_Batch]*IFERROR(INDEX(PP_Grid[#Data],IF(M_BOM[PPGridRow]=73,NA(),M_BOM[PPGridRow]),57),0))/64.4</f>
        <v/>
      </c>
      <c r="BF73">
        <f>SUMPRODUCT((M_BOM[Part Name]=$A73)*M_BOM[RM_Qty_Per_Batch]*IFERROR(INDEX(PP_Grid[#Data],IF(M_BOM[PPGridRow]=73,NA(),M_BOM[PPGridRow]),58),0))/64.4</f>
        <v/>
      </c>
      <c r="BG73">
        <f>SUMPRODUCT((M_BOM[Part Name]=$A73)*M_BOM[RM_Qty_Per_Batch]*IFERROR(INDEX(PP_Grid[#Data],IF(M_BOM[PPGridRow]=73,NA(),M_BOM[PPGridRow]),59),0))/64.4</f>
        <v/>
      </c>
      <c r="BH73">
        <f>SUMPRODUCT((M_BOM[Part Name]=$A73)*M_BOM[RM_Qty_Per_Batch]*IFERROR(INDEX(PP_Grid[#Data],IF(M_BOM[PPGridRow]=73,NA(),M_BOM[PPGridRow]),60),0))/64.4</f>
        <v/>
      </c>
      <c r="BI73">
        <f>SUMPRODUCT((M_BOM[Part Name]=$A73)*M_BOM[RM_Qty_Per_Batch]*IFERROR(INDEX(PP_Grid[#Data],IF(M_BOM[PPGridRow]=73,NA(),M_BOM[PPGridRow]),61),0))/64.4</f>
        <v/>
      </c>
      <c r="BJ73">
        <f>SUMPRODUCT((M_BOM[Part Name]=$A73)*M_BOM[RM_Qty_Per_Batch]*IFERROR(INDEX(PP_Grid[#Data],IF(M_BOM[PPGridRow]=73,NA(),M_BOM[PPGridRow]),62),0))/64.4</f>
        <v/>
      </c>
      <c r="BK73">
        <f>SUMPRODUCT((M_BOM[Part Name]=$A73)*M_BOM[RM_Qty_Per_Batch]*IFERROR(INDEX(PP_Grid[#Data],IF(M_BOM[PPGridRow]=73,NA(),M_BOM[PPGridRow]),63),0))/64.4</f>
        <v/>
      </c>
      <c r="BL73">
        <f>SUMPRODUCT((M_BOM[Part Name]=$A73)*M_BOM[RM_Qty_Per_Batch]*IFERROR(INDEX(PP_Grid[#Data],IF(M_BOM[PPGridRow]=73,NA(),M_BOM[PPGridRow]),64),0))/64.4</f>
        <v/>
      </c>
      <c r="BM73">
        <f>SUMPRODUCT((M_BOM[Part Name]=$A73)*M_BOM[RM_Qty_Per_Batch]*IFERROR(INDEX(PP_Grid[#Data],IF(M_BOM[PPGridRow]=73,NA(),M_BOM[PPGridRow]),65),0))/64.4</f>
        <v/>
      </c>
      <c r="BN73">
        <f>SUMPRODUCT((M_BOM[Part Name]=$A73)*M_BOM[RM_Qty_Per_Batch]*IFERROR(INDEX(PP_Grid[#Data],IF(M_BOM[PPGridRow]=73,NA(),M_BOM[PPGridRow]),66),0))/64.4</f>
        <v/>
      </c>
      <c r="BO73">
        <f>SUMPRODUCT((M_BOM[Part Name]=$A73)*M_BOM[RM_Qty_Per_Batch]*IFERROR(INDEX(PP_Grid[#Data],IF(M_BOM[PPGridRow]=73,NA(),M_BOM[PPGridRow]),67),0))/64.4</f>
        <v/>
      </c>
      <c r="BP73">
        <f>SUMPRODUCT((M_BOM[Part Name]=$A73)*M_BOM[RM_Qty_Per_Batch]*IFERROR(INDEX(PP_Grid[#Data],IF(M_BOM[PPGridRow]=73,NA(),M_BOM[PPGridRow]),68),0))/64.4</f>
        <v/>
      </c>
      <c r="BQ73">
        <f>SUMPRODUCT((M_BOM[Part Name]=$A73)*M_BOM[RM_Qty_Per_Batch]*IFERROR(INDEX(PP_Grid[#Data],IF(M_BOM[PPGridRow]=73,NA(),M_BOM[PPGridRow]),69),0))/64.4</f>
        <v/>
      </c>
      <c r="BR73">
        <f>SUMPRODUCT((M_BOM[Part Name]=$A73)*M_BOM[RM_Qty_Per_Batch]*IFERROR(INDEX(PP_Grid[#Data],IF(M_BOM[PPGridRow]=73,NA(),M_BOM[PPGridRow]),70),0))/64.4</f>
        <v/>
      </c>
      <c r="BS73">
        <f>SUMPRODUCT((M_BOM[Part Name]=$A73)*M_BOM[RM_Qty_Per_Batch]*IFERROR(INDEX(PP_Grid[#Data],IF(M_BOM[PPGridRow]=73,NA(),M_BOM[PPGridRow]),71),0))/64.4</f>
        <v/>
      </c>
      <c r="BT73">
        <f>SUMPRODUCT((M_BOM[Part Name]=$A73)*M_BOM[RM_Qty_Per_Batch]*IFERROR(INDEX(PP_Grid[#Data],IF(M_BOM[PPGridRow]=73,NA(),M_BOM[PPGridRow]),72),0))/64.4</f>
        <v/>
      </c>
      <c r="BU73">
        <f>SUMPRODUCT((M_BOM[Part Name]=$A73)*M_BOM[RM_Qty_Per_Batch]*IFERROR(INDEX(PP_Grid[#Data],IF(M_BOM[PPGridRow]=73,NA(),M_BOM[PPGridRow]),73),0))/64.4</f>
        <v/>
      </c>
      <c r="BV73">
        <f>SUMPRODUCT((M_BOM[Part Name]=$A73)*M_BOM[RM_Qty_Per_Batch]*IFERROR(INDEX(PP_Grid[#Data],IF(M_BOM[PPGridRow]=73,NA(),M_BOM[PPGridRow]),74),0))/64.4</f>
        <v/>
      </c>
      <c r="BW73">
        <f>SUMPRODUCT((M_BOM[Part Name]=$A73)*M_BOM[RM_Qty_Per_Batch]*IFERROR(INDEX(PP_Grid[#Data],IF(M_BOM[PPGridRow]=73,NA(),M_BOM[PPGridRow]),75),0))/64.4</f>
        <v/>
      </c>
      <c r="BX73">
        <f>SUMPRODUCT((M_BOM[Part Name]=$A73)*M_BOM[RM_Qty_Per_Batch]*IFERROR(INDEX(PP_Grid[#Data],IF(M_BOM[PPGridRow]=73,NA(),M_BOM[PPGridRow]),76),0))/64.4</f>
        <v/>
      </c>
      <c r="BY73">
        <f>SUMPRODUCT((M_BOM[Part Name]=$A73)*M_BOM[RM_Qty_Per_Batch]*IFERROR(INDEX(PP_Grid[#Data],IF(M_BOM[PPGridRow]=73,NA(),M_BOM[PPGridRow]),77),0))/64.4</f>
        <v/>
      </c>
      <c r="BZ73">
        <f>SUMPRODUCT((M_BOM[Part Name]=$A73)*M_BOM[RM_Qty_Per_Batch]*IFERROR(INDEX(PP_Grid[#Data],IF(M_BOM[PPGridRow]=73,NA(),M_BOM[PPGridRow]),78),0))/64.4</f>
        <v/>
      </c>
      <c r="CA73">
        <f>SUMPRODUCT((M_BOM[Part Name]=$A73)*M_BOM[RM_Qty_Per_Batch]*IFERROR(INDEX(PP_Grid[#Data],IF(M_BOM[PPGridRow]=73,NA(),M_BOM[PPGridRow]),79),0))/64.4</f>
        <v/>
      </c>
      <c r="CB73">
        <f>SUMPRODUCT((M_BOM[Part Name]=$A73)*M_BOM[RM_Qty_Per_Batch]*IFERROR(INDEX(PP_Grid[#Data],IF(M_BOM[PPGridRow]=73,NA(),M_BOM[PPGridRow]),80),0))/64.4</f>
        <v/>
      </c>
      <c r="CC73">
        <f>SUMPRODUCT((M_BOM[Part Name]=$A73)*M_BOM[RM_Qty_Per_Batch]*IFERROR(INDEX(PP_Grid[#Data],IF(M_BOM[PPGridRow]=73,NA(),M_BOM[PPGridRow]),81),0))/64.4</f>
        <v/>
      </c>
      <c r="CD73">
        <f>SUMPRODUCT((M_BOM[Part Name]=$A73)*M_BOM[RM_Qty_Per_Batch]*IFERROR(INDEX(PP_Grid[#Data],IF(M_BOM[PPGridRow]=73,NA(),M_BOM[PPGridRow]),82),0))/64.4</f>
        <v/>
      </c>
      <c r="CE73">
        <f>SUMPRODUCT((M_BOM[Part Name]=$A73)*M_BOM[RM_Qty_Per_Batch]*IFERROR(INDEX(PP_Grid[#Data],IF(M_BOM[PPGridRow]=73,NA(),M_BOM[PPGridRow]),83),0))/64.4</f>
        <v/>
      </c>
      <c r="CF73">
        <f>SUMPRODUCT((M_BOM[Part Name]=$A73)*M_BOM[RM_Qty_Per_Batch]*IFERROR(INDEX(PP_Grid[#Data],IF(M_BOM[PPGridRow]=73,NA(),M_BOM[PPGridRow]),84),0))/64.4</f>
        <v/>
      </c>
      <c r="CG73">
        <f>SUMPRODUCT((M_BOM[Part Name]=$A73)*M_BOM[RM_Qty_Per_Batch]*IFERROR(INDEX(PP_Grid[#Data],IF(M_BOM[PPGridRow]=73,NA(),M_BOM[PPGridRow]),85),0))/64.4</f>
        <v/>
      </c>
      <c r="CH73">
        <f>SUMPRODUCT((M_BOM[Part Name]=$A73)*M_BOM[RM_Qty_Per_Batch]*IFERROR(INDEX(PP_Grid[#Data],IF(M_BOM[PPGridRow]=73,NA(),M_BOM[PPGridRow]),86),0))/64.4</f>
        <v/>
      </c>
      <c r="CI73">
        <f>SUMPRODUCT((M_BOM[Part Name]=$A73)*M_BOM[RM_Qty_Per_Batch]*IFERROR(INDEX(PP_Grid[#Data],IF(M_BOM[PPGridRow]=73,NA(),M_BOM[PPGridRow]),87),0))/64.4</f>
        <v/>
      </c>
      <c r="CJ73">
        <f>SUMPRODUCT((M_BOM[Part Name]=$A73)*M_BOM[RM_Qty_Per_Batch]*IFERROR(INDEX(PP_Grid[#Data],IF(M_BOM[PPGridRow]=73,NA(),M_BOM[PPGridRow]),88),0))/64.4</f>
        <v/>
      </c>
      <c r="CK73">
        <f>SUMPRODUCT((M_BOM[Part Name]=$A73)*M_BOM[RM_Qty_Per_Batch]*IFERROR(INDEX(PP_Grid[#Data],IF(M_BOM[PPGridRow]=73,NA(),M_BOM[PPGridRow]),89),0))/64.4</f>
        <v/>
      </c>
      <c r="CL73">
        <f>SUMPRODUCT((M_BOM[Part Name]=$A73)*M_BOM[RM_Qty_Per_Batch]*IFERROR(INDEX(PP_Grid[#Data],IF(M_BOM[PPGridRow]=73,NA(),M_BOM[PPGridRow]),90),0))/64.4</f>
        <v/>
      </c>
      <c r="CM73">
        <f>SUMPRODUCT((M_BOM[Part Name]=$A73)*M_BOM[RM_Qty_Per_Batch]*IFERROR(INDEX(PP_Grid[#Data],IF(M_BOM[PPGridRow]=73,NA(),M_BOM[PPGridRow]),91),0))/64.4</f>
        <v/>
      </c>
      <c r="CN73">
        <f>SUMPRODUCT((M_BOM[Part Name]=$A73)*M_BOM[RM_Qty_Per_Batch]*IFERROR(INDEX(PP_Grid[#Data],IF(M_BOM[PPGridRow]=73,NA(),M_BOM[PPGridRow]),92),0))/64.4</f>
        <v/>
      </c>
      <c r="CO73">
        <f>SUMPRODUCT((M_BOM[Part Name]=$A73)*M_BOM[RM_Qty_Per_Batch]*IFERROR(INDEX(PP_Grid[#Data],IF(M_BOM[PPGridRow]=73,NA(),M_BOM[PPGridRow]),93),0))/64.4</f>
        <v/>
      </c>
      <c r="CP73">
        <f>SUMPRODUCT((M_BOM[Part Name]=$A73)*M_BOM[RM_Qty_Per_Batch]*IFERROR(INDEX(PP_Grid[#Data],IF(M_BOM[PPGridRow]=73,NA(),M_BOM[PPGridRow]),94),0))/64.4</f>
        <v/>
      </c>
      <c r="CQ73">
        <f>SUMPRODUCT((M_BOM[Part Name]=$A73)*M_BOM[RM_Qty_Per_Batch]*IFERROR(INDEX(PP_Grid[#Data],IF(M_BOM[PPGridRow]=73,NA(),M_BOM[PPGridRow]),95),0))/64.4</f>
        <v/>
      </c>
      <c r="CR73">
        <f>SUMPRODUCT((M_BOM[Part Name]=$A73)*M_BOM[RM_Qty_Per_Batch]*IFERROR(INDEX(PP_Grid[#Data],IF(M_BOM[PPGridRow]=73,NA(),M_BOM[PPGridRow]),96),0))/64.4</f>
        <v/>
      </c>
      <c r="CS73">
        <f>SUMPRODUCT((M_BOM[Part Name]=$A73)*M_BOM[RM_Qty_Per_Batch]*IFERROR(INDEX(PP_Grid[#Data],IF(M_BOM[PPGridRow]=73,NA(),M_BOM[PPGridRow]),97),0))/64.4</f>
        <v/>
      </c>
      <c r="CT73">
        <f>SUMPRODUCT((M_BOM[Part Name]=$A73)*M_BOM[RM_Qty_Per_Batch]*IFERROR(INDEX(PP_Grid[#Data],IF(M_BOM[PPGridRow]=73,NA(),M_BOM[PPGridRow]),98),0))/64.4</f>
        <v/>
      </c>
      <c r="CU73">
        <f>SUMPRODUCT((M_BOM[Part Name]=$A73)*M_BOM[RM_Qty_Per_Batch]*IFERROR(INDEX(PP_Grid[#Data],IF(M_BOM[PPGridRow]=73,NA(),M_BOM[PPGridRow]),99),0))/64.4</f>
        <v/>
      </c>
      <c r="CV73">
        <f>SUMPRODUCT((M_BOM[Part Name]=$A73)*M_BOM[RM_Qty_Per_Batch]*IFERROR(INDEX(PP_Grid[#Data],IF(M_BOM[PPGridRow]=73,NA(),M_BOM[PPGridRow]),100),0))/64.4</f>
        <v/>
      </c>
      <c r="CW73">
        <f>SUMPRODUCT((M_BOM[Part Name]=$A73)*M_BOM[RM_Qty_Per_Batch]*IFERROR(INDEX(PP_Grid[#Data],IF(M_BOM[PPGridRow]=73,NA(),M_BOM[PPGridRow]),101),0))/64.4</f>
        <v/>
      </c>
      <c r="CX73">
        <f>SUMPRODUCT((M_BOM[Part Name]=$A73)*M_BOM[RM_Qty_Per_Batch]*IFERROR(INDEX(PP_Grid[#Data],IF(M_BOM[PPGridRow]=73,NA(),M_BOM[PPGridRow]),102),0))/64.4</f>
        <v/>
      </c>
      <c r="CY73">
        <f>SUMPRODUCT((M_BOM[Part Name]=$A73)*M_BOM[RM_Qty_Per_Batch]*IFERROR(INDEX(PP_Grid[#Data],IF(M_BOM[PPGridRow]=73,NA(),M_BOM[PPGridRow]),103),0))/64.4</f>
        <v/>
      </c>
      <c r="CZ73">
        <f>SUMPRODUCT((M_BOM[Part Name]=$A73)*M_BOM[RM_Qty_Per_Batch]*IFERROR(INDEX(PP_Grid[#Data],IF(M_BOM[PPGridRow]=73,NA(),M_BOM[PPGridRow]),104),0))/64.4</f>
        <v/>
      </c>
      <c r="DA73">
        <f>SUMPRODUCT((M_BOM[Part Name]=$A73)*M_BOM[RM_Qty_Per_Batch]*IFERROR(INDEX(PP_Grid[#Data],IF(M_BOM[PPGridRow]=73,NA(),M_BOM[PPGridRow]),105),0))/64.4</f>
        <v/>
      </c>
    </row>
    <row r="74">
      <c r="A74" t="inlineStr">
        <is>
          <t>TPP-533</t>
        </is>
      </c>
      <c r="B74">
        <f>SUMPRODUCT((M_BOM[Part Name]=$A74)*M_BOM[RM_Qty_Per_Batch]*IFERROR(INDEX(PP_Grid[#Data],IF(M_BOM[PPGridRow]=74,NA(),M_BOM[PPGridRow]),2),0))/58.6938775510204</f>
        <v/>
      </c>
      <c r="C74">
        <f>SUMPRODUCT((M_BOM[Part Name]=$A74)*M_BOM[RM_Qty_Per_Batch]*IFERROR(INDEX(PP_Grid[#Data],IF(M_BOM[PPGridRow]=74,NA(),M_BOM[PPGridRow]),3),0))/58.6938775510204</f>
        <v/>
      </c>
      <c r="D74">
        <f>SUMPRODUCT((M_BOM[Part Name]=$A74)*M_BOM[RM_Qty_Per_Batch]*IFERROR(INDEX(PP_Grid[#Data],IF(M_BOM[PPGridRow]=74,NA(),M_BOM[PPGridRow]),4),0))/58.6938775510204</f>
        <v/>
      </c>
      <c r="E74">
        <f>SUMPRODUCT((M_BOM[Part Name]=$A74)*M_BOM[RM_Qty_Per_Batch]*IFERROR(INDEX(PP_Grid[#Data],IF(M_BOM[PPGridRow]=74,NA(),M_BOM[PPGridRow]),5),0))/58.6938775510204</f>
        <v/>
      </c>
      <c r="F74">
        <f>SUMPRODUCT((M_BOM[Part Name]=$A74)*M_BOM[RM_Qty_Per_Batch]*IFERROR(INDEX(PP_Grid[#Data],IF(M_BOM[PPGridRow]=74,NA(),M_BOM[PPGridRow]),6),0))/58.6938775510204</f>
        <v/>
      </c>
      <c r="G74">
        <f>SUMPRODUCT((M_BOM[Part Name]=$A74)*M_BOM[RM_Qty_Per_Batch]*IFERROR(INDEX(PP_Grid[#Data],IF(M_BOM[PPGridRow]=74,NA(),M_BOM[PPGridRow]),7),0))/58.6938775510204</f>
        <v/>
      </c>
      <c r="H74">
        <f>SUMPRODUCT((M_BOM[Part Name]=$A74)*M_BOM[RM_Qty_Per_Batch]*IFERROR(INDEX(PP_Grid[#Data],IF(M_BOM[PPGridRow]=74,NA(),M_BOM[PPGridRow]),8),0))/58.6938775510204</f>
        <v/>
      </c>
      <c r="I74">
        <f>SUMPRODUCT((M_BOM[Part Name]=$A74)*M_BOM[RM_Qty_Per_Batch]*IFERROR(INDEX(PP_Grid[#Data],IF(M_BOM[PPGridRow]=74,NA(),M_BOM[PPGridRow]),9),0))/58.6938775510204</f>
        <v/>
      </c>
      <c r="J74">
        <f>SUMPRODUCT((M_BOM[Part Name]=$A74)*M_BOM[RM_Qty_Per_Batch]*IFERROR(INDEX(PP_Grid[#Data],IF(M_BOM[PPGridRow]=74,NA(),M_BOM[PPGridRow]),10),0))/58.6938775510204</f>
        <v/>
      </c>
      <c r="K74">
        <f>SUMPRODUCT((M_BOM[Part Name]=$A74)*M_BOM[RM_Qty_Per_Batch]*IFERROR(INDEX(PP_Grid[#Data],IF(M_BOM[PPGridRow]=74,NA(),M_BOM[PPGridRow]),11),0))/58.6938775510204</f>
        <v/>
      </c>
      <c r="L74">
        <f>SUMPRODUCT((M_BOM[Part Name]=$A74)*M_BOM[RM_Qty_Per_Batch]*IFERROR(INDEX(PP_Grid[#Data],IF(M_BOM[PPGridRow]=74,NA(),M_BOM[PPGridRow]),12),0))/58.6938775510204</f>
        <v/>
      </c>
      <c r="M74">
        <f>SUMPRODUCT((M_BOM[Part Name]=$A74)*M_BOM[RM_Qty_Per_Batch]*IFERROR(INDEX(PP_Grid[#Data],IF(M_BOM[PPGridRow]=74,NA(),M_BOM[PPGridRow]),13),0))/58.6938775510204</f>
        <v/>
      </c>
      <c r="N74">
        <f>SUMPRODUCT((M_BOM[Part Name]=$A74)*M_BOM[RM_Qty_Per_Batch]*IFERROR(INDEX(PP_Grid[#Data],IF(M_BOM[PPGridRow]=74,NA(),M_BOM[PPGridRow]),14),0))/58.6938775510204</f>
        <v/>
      </c>
      <c r="O74">
        <f>SUMPRODUCT((M_BOM[Part Name]=$A74)*M_BOM[RM_Qty_Per_Batch]*IFERROR(INDEX(PP_Grid[#Data],IF(M_BOM[PPGridRow]=74,NA(),M_BOM[PPGridRow]),15),0))/58.6938775510204</f>
        <v/>
      </c>
      <c r="P74">
        <f>SUMPRODUCT((M_BOM[Part Name]=$A74)*M_BOM[RM_Qty_Per_Batch]*IFERROR(INDEX(PP_Grid[#Data],IF(M_BOM[PPGridRow]=74,NA(),M_BOM[PPGridRow]),16),0))/58.6938775510204</f>
        <v/>
      </c>
      <c r="Q74">
        <f>SUMPRODUCT((M_BOM[Part Name]=$A74)*M_BOM[RM_Qty_Per_Batch]*IFERROR(INDEX(PP_Grid[#Data],IF(M_BOM[PPGridRow]=74,NA(),M_BOM[PPGridRow]),17),0))/58.6938775510204</f>
        <v/>
      </c>
      <c r="R74">
        <f>SUMPRODUCT((M_BOM[Part Name]=$A74)*M_BOM[RM_Qty_Per_Batch]*IFERROR(INDEX(PP_Grid[#Data],IF(M_BOM[PPGridRow]=74,NA(),M_BOM[PPGridRow]),18),0))/58.6938775510204</f>
        <v/>
      </c>
      <c r="S74">
        <f>SUMPRODUCT((M_BOM[Part Name]=$A74)*M_BOM[RM_Qty_Per_Batch]*IFERROR(INDEX(PP_Grid[#Data],IF(M_BOM[PPGridRow]=74,NA(),M_BOM[PPGridRow]),19),0))/58.6938775510204</f>
        <v/>
      </c>
      <c r="T74">
        <f>SUMPRODUCT((M_BOM[Part Name]=$A74)*M_BOM[RM_Qty_Per_Batch]*IFERROR(INDEX(PP_Grid[#Data],IF(M_BOM[PPGridRow]=74,NA(),M_BOM[PPGridRow]),20),0))/58.6938775510204</f>
        <v/>
      </c>
      <c r="U74">
        <f>SUMPRODUCT((M_BOM[Part Name]=$A74)*M_BOM[RM_Qty_Per_Batch]*IFERROR(INDEX(PP_Grid[#Data],IF(M_BOM[PPGridRow]=74,NA(),M_BOM[PPGridRow]),21),0))/58.6938775510204</f>
        <v/>
      </c>
      <c r="V74">
        <f>SUMPRODUCT((M_BOM[Part Name]=$A74)*M_BOM[RM_Qty_Per_Batch]*IFERROR(INDEX(PP_Grid[#Data],IF(M_BOM[PPGridRow]=74,NA(),M_BOM[PPGridRow]),22),0))/58.6938775510204</f>
        <v/>
      </c>
      <c r="W74">
        <f>SUMPRODUCT((M_BOM[Part Name]=$A74)*M_BOM[RM_Qty_Per_Batch]*IFERROR(INDEX(PP_Grid[#Data],IF(M_BOM[PPGridRow]=74,NA(),M_BOM[PPGridRow]),23),0))/58.6938775510204</f>
        <v/>
      </c>
      <c r="X74">
        <f>SUMPRODUCT((M_BOM[Part Name]=$A74)*M_BOM[RM_Qty_Per_Batch]*IFERROR(INDEX(PP_Grid[#Data],IF(M_BOM[PPGridRow]=74,NA(),M_BOM[PPGridRow]),24),0))/58.6938775510204</f>
        <v/>
      </c>
      <c r="Y74">
        <f>SUMPRODUCT((M_BOM[Part Name]=$A74)*M_BOM[RM_Qty_Per_Batch]*IFERROR(INDEX(PP_Grid[#Data],IF(M_BOM[PPGridRow]=74,NA(),M_BOM[PPGridRow]),25),0))/58.6938775510204</f>
        <v/>
      </c>
      <c r="Z74">
        <f>SUMPRODUCT((M_BOM[Part Name]=$A74)*M_BOM[RM_Qty_Per_Batch]*IFERROR(INDEX(PP_Grid[#Data],IF(M_BOM[PPGridRow]=74,NA(),M_BOM[PPGridRow]),26),0))/58.6938775510204</f>
        <v/>
      </c>
      <c r="AA74">
        <f>SUMPRODUCT((M_BOM[Part Name]=$A74)*M_BOM[RM_Qty_Per_Batch]*IFERROR(INDEX(PP_Grid[#Data],IF(M_BOM[PPGridRow]=74,NA(),M_BOM[PPGridRow]),27),0))/58.6938775510204</f>
        <v/>
      </c>
      <c r="AB74">
        <f>SUMPRODUCT((M_BOM[Part Name]=$A74)*M_BOM[RM_Qty_Per_Batch]*IFERROR(INDEX(PP_Grid[#Data],IF(M_BOM[PPGridRow]=74,NA(),M_BOM[PPGridRow]),28),0))/58.6938775510204</f>
        <v/>
      </c>
      <c r="AC74">
        <f>SUMPRODUCT((M_BOM[Part Name]=$A74)*M_BOM[RM_Qty_Per_Batch]*IFERROR(INDEX(PP_Grid[#Data],IF(M_BOM[PPGridRow]=74,NA(),M_BOM[PPGridRow]),29),0))/58.6938775510204</f>
        <v/>
      </c>
      <c r="AD74">
        <f>SUMPRODUCT((M_BOM[Part Name]=$A74)*M_BOM[RM_Qty_Per_Batch]*IFERROR(INDEX(PP_Grid[#Data],IF(M_BOM[PPGridRow]=74,NA(),M_BOM[PPGridRow]),30),0))/58.6938775510204</f>
        <v/>
      </c>
      <c r="AE74">
        <f>SUMPRODUCT((M_BOM[Part Name]=$A74)*M_BOM[RM_Qty_Per_Batch]*IFERROR(INDEX(PP_Grid[#Data],IF(M_BOM[PPGridRow]=74,NA(),M_BOM[PPGridRow]),31),0))/58.6938775510204</f>
        <v/>
      </c>
      <c r="AF74">
        <f>SUMPRODUCT((M_BOM[Part Name]=$A74)*M_BOM[RM_Qty_Per_Batch]*IFERROR(INDEX(PP_Grid[#Data],IF(M_BOM[PPGridRow]=74,NA(),M_BOM[PPGridRow]),32),0))/58.6938775510204</f>
        <v/>
      </c>
      <c r="AG74">
        <f>SUMPRODUCT((M_BOM[Part Name]=$A74)*M_BOM[RM_Qty_Per_Batch]*IFERROR(INDEX(PP_Grid[#Data],IF(M_BOM[PPGridRow]=74,NA(),M_BOM[PPGridRow]),33),0))/58.6938775510204</f>
        <v/>
      </c>
      <c r="AH74">
        <f>SUMPRODUCT((M_BOM[Part Name]=$A74)*M_BOM[RM_Qty_Per_Batch]*IFERROR(INDEX(PP_Grid[#Data],IF(M_BOM[PPGridRow]=74,NA(),M_BOM[PPGridRow]),34),0))/58.6938775510204</f>
        <v/>
      </c>
      <c r="AI74">
        <f>SUMPRODUCT((M_BOM[Part Name]=$A74)*M_BOM[RM_Qty_Per_Batch]*IFERROR(INDEX(PP_Grid[#Data],IF(M_BOM[PPGridRow]=74,NA(),M_BOM[PPGridRow]),35),0))/58.6938775510204</f>
        <v/>
      </c>
      <c r="AJ74">
        <f>SUMPRODUCT((M_BOM[Part Name]=$A74)*M_BOM[RM_Qty_Per_Batch]*IFERROR(INDEX(PP_Grid[#Data],IF(M_BOM[PPGridRow]=74,NA(),M_BOM[PPGridRow]),36),0))/58.6938775510204</f>
        <v/>
      </c>
      <c r="AK74">
        <f>SUMPRODUCT((M_BOM[Part Name]=$A74)*M_BOM[RM_Qty_Per_Batch]*IFERROR(INDEX(PP_Grid[#Data],IF(M_BOM[PPGridRow]=74,NA(),M_BOM[PPGridRow]),37),0))/58.6938775510204</f>
        <v/>
      </c>
      <c r="AL74">
        <f>SUMPRODUCT((M_BOM[Part Name]=$A74)*M_BOM[RM_Qty_Per_Batch]*IFERROR(INDEX(PP_Grid[#Data],IF(M_BOM[PPGridRow]=74,NA(),M_BOM[PPGridRow]),38),0))/58.6938775510204</f>
        <v/>
      </c>
      <c r="AM74">
        <f>SUMPRODUCT((M_BOM[Part Name]=$A74)*M_BOM[RM_Qty_Per_Batch]*IFERROR(INDEX(PP_Grid[#Data],IF(M_BOM[PPGridRow]=74,NA(),M_BOM[PPGridRow]),39),0))/58.6938775510204</f>
        <v/>
      </c>
      <c r="AN74">
        <f>SUMPRODUCT((M_BOM[Part Name]=$A74)*M_BOM[RM_Qty_Per_Batch]*IFERROR(INDEX(PP_Grid[#Data],IF(M_BOM[PPGridRow]=74,NA(),M_BOM[PPGridRow]),40),0))/58.6938775510204</f>
        <v/>
      </c>
      <c r="AO74">
        <f>SUMPRODUCT((M_BOM[Part Name]=$A74)*M_BOM[RM_Qty_Per_Batch]*IFERROR(INDEX(PP_Grid[#Data],IF(M_BOM[PPGridRow]=74,NA(),M_BOM[PPGridRow]),41),0))/58.6938775510204</f>
        <v/>
      </c>
      <c r="AP74">
        <f>SUMPRODUCT((M_BOM[Part Name]=$A74)*M_BOM[RM_Qty_Per_Batch]*IFERROR(INDEX(PP_Grid[#Data],IF(M_BOM[PPGridRow]=74,NA(),M_BOM[PPGridRow]),42),0))/58.6938775510204</f>
        <v/>
      </c>
      <c r="AQ74">
        <f>SUMPRODUCT((M_BOM[Part Name]=$A74)*M_BOM[RM_Qty_Per_Batch]*IFERROR(INDEX(PP_Grid[#Data],IF(M_BOM[PPGridRow]=74,NA(),M_BOM[PPGridRow]),43),0))/58.6938775510204</f>
        <v/>
      </c>
      <c r="AR74">
        <f>SUMPRODUCT((M_BOM[Part Name]=$A74)*M_BOM[RM_Qty_Per_Batch]*IFERROR(INDEX(PP_Grid[#Data],IF(M_BOM[PPGridRow]=74,NA(),M_BOM[PPGridRow]),44),0))/58.6938775510204</f>
        <v/>
      </c>
      <c r="AS74">
        <f>SUMPRODUCT((M_BOM[Part Name]=$A74)*M_BOM[RM_Qty_Per_Batch]*IFERROR(INDEX(PP_Grid[#Data],IF(M_BOM[PPGridRow]=74,NA(),M_BOM[PPGridRow]),45),0))/58.6938775510204</f>
        <v/>
      </c>
      <c r="AT74">
        <f>SUMPRODUCT((M_BOM[Part Name]=$A74)*M_BOM[RM_Qty_Per_Batch]*IFERROR(INDEX(PP_Grid[#Data],IF(M_BOM[PPGridRow]=74,NA(),M_BOM[PPGridRow]),46),0))/58.6938775510204</f>
        <v/>
      </c>
      <c r="AU74">
        <f>SUMPRODUCT((M_BOM[Part Name]=$A74)*M_BOM[RM_Qty_Per_Batch]*IFERROR(INDEX(PP_Grid[#Data],IF(M_BOM[PPGridRow]=74,NA(),M_BOM[PPGridRow]),47),0))/58.6938775510204</f>
        <v/>
      </c>
      <c r="AV74">
        <f>SUMPRODUCT((M_BOM[Part Name]=$A74)*M_BOM[RM_Qty_Per_Batch]*IFERROR(INDEX(PP_Grid[#Data],IF(M_BOM[PPGridRow]=74,NA(),M_BOM[PPGridRow]),48),0))/58.6938775510204</f>
        <v/>
      </c>
      <c r="AW74">
        <f>SUMPRODUCT((M_BOM[Part Name]=$A74)*M_BOM[RM_Qty_Per_Batch]*IFERROR(INDEX(PP_Grid[#Data],IF(M_BOM[PPGridRow]=74,NA(),M_BOM[PPGridRow]),49),0))/58.6938775510204</f>
        <v/>
      </c>
      <c r="AX74">
        <f>SUMPRODUCT((M_BOM[Part Name]=$A74)*M_BOM[RM_Qty_Per_Batch]*IFERROR(INDEX(PP_Grid[#Data],IF(M_BOM[PPGridRow]=74,NA(),M_BOM[PPGridRow]),50),0))/58.6938775510204</f>
        <v/>
      </c>
      <c r="AY74">
        <f>SUMPRODUCT((M_BOM[Part Name]=$A74)*M_BOM[RM_Qty_Per_Batch]*IFERROR(INDEX(PP_Grid[#Data],IF(M_BOM[PPGridRow]=74,NA(),M_BOM[PPGridRow]),51),0))/58.6938775510204</f>
        <v/>
      </c>
      <c r="AZ74">
        <f>SUMPRODUCT((M_BOM[Part Name]=$A74)*M_BOM[RM_Qty_Per_Batch]*IFERROR(INDEX(PP_Grid[#Data],IF(M_BOM[PPGridRow]=74,NA(),M_BOM[PPGridRow]),52),0))/58.6938775510204</f>
        <v/>
      </c>
      <c r="BA74">
        <f>SUMPRODUCT((M_BOM[Part Name]=$A74)*M_BOM[RM_Qty_Per_Batch]*IFERROR(INDEX(PP_Grid[#Data],IF(M_BOM[PPGridRow]=74,NA(),M_BOM[PPGridRow]),53),0))/58.6938775510204</f>
        <v/>
      </c>
      <c r="BB74">
        <f>SUMPRODUCT((M_BOM[Part Name]=$A74)*M_BOM[RM_Qty_Per_Batch]*IFERROR(INDEX(PP_Grid[#Data],IF(M_BOM[PPGridRow]=74,NA(),M_BOM[PPGridRow]),54),0))/58.6938775510204</f>
        <v/>
      </c>
      <c r="BC74">
        <f>SUMPRODUCT((M_BOM[Part Name]=$A74)*M_BOM[RM_Qty_Per_Batch]*IFERROR(INDEX(PP_Grid[#Data],IF(M_BOM[PPGridRow]=74,NA(),M_BOM[PPGridRow]),55),0))/58.6938775510204</f>
        <v/>
      </c>
      <c r="BD74">
        <f>SUMPRODUCT((M_BOM[Part Name]=$A74)*M_BOM[RM_Qty_Per_Batch]*IFERROR(INDEX(PP_Grid[#Data],IF(M_BOM[PPGridRow]=74,NA(),M_BOM[PPGridRow]),56),0))/58.6938775510204</f>
        <v/>
      </c>
      <c r="BE74">
        <f>SUMPRODUCT((M_BOM[Part Name]=$A74)*M_BOM[RM_Qty_Per_Batch]*IFERROR(INDEX(PP_Grid[#Data],IF(M_BOM[PPGridRow]=74,NA(),M_BOM[PPGridRow]),57),0))/58.6938775510204</f>
        <v/>
      </c>
      <c r="BF74">
        <f>SUMPRODUCT((M_BOM[Part Name]=$A74)*M_BOM[RM_Qty_Per_Batch]*IFERROR(INDEX(PP_Grid[#Data],IF(M_BOM[PPGridRow]=74,NA(),M_BOM[PPGridRow]),58),0))/58.6938775510204</f>
        <v/>
      </c>
      <c r="BG74">
        <f>SUMPRODUCT((M_BOM[Part Name]=$A74)*M_BOM[RM_Qty_Per_Batch]*IFERROR(INDEX(PP_Grid[#Data],IF(M_BOM[PPGridRow]=74,NA(),M_BOM[PPGridRow]),59),0))/58.6938775510204</f>
        <v/>
      </c>
      <c r="BH74">
        <f>SUMPRODUCT((M_BOM[Part Name]=$A74)*M_BOM[RM_Qty_Per_Batch]*IFERROR(INDEX(PP_Grid[#Data],IF(M_BOM[PPGridRow]=74,NA(),M_BOM[PPGridRow]),60),0))/58.6938775510204</f>
        <v/>
      </c>
      <c r="BI74">
        <f>SUMPRODUCT((M_BOM[Part Name]=$A74)*M_BOM[RM_Qty_Per_Batch]*IFERROR(INDEX(PP_Grid[#Data],IF(M_BOM[PPGridRow]=74,NA(),M_BOM[PPGridRow]),61),0))/58.6938775510204</f>
        <v/>
      </c>
      <c r="BJ74">
        <f>SUMPRODUCT((M_BOM[Part Name]=$A74)*M_BOM[RM_Qty_Per_Batch]*IFERROR(INDEX(PP_Grid[#Data],IF(M_BOM[PPGridRow]=74,NA(),M_BOM[PPGridRow]),62),0))/58.6938775510204</f>
        <v/>
      </c>
      <c r="BK74">
        <f>SUMPRODUCT((M_BOM[Part Name]=$A74)*M_BOM[RM_Qty_Per_Batch]*IFERROR(INDEX(PP_Grid[#Data],IF(M_BOM[PPGridRow]=74,NA(),M_BOM[PPGridRow]),63),0))/58.6938775510204</f>
        <v/>
      </c>
      <c r="BL74">
        <f>SUMPRODUCT((M_BOM[Part Name]=$A74)*M_BOM[RM_Qty_Per_Batch]*IFERROR(INDEX(PP_Grid[#Data],IF(M_BOM[PPGridRow]=74,NA(),M_BOM[PPGridRow]),64),0))/58.6938775510204</f>
        <v/>
      </c>
      <c r="BM74">
        <f>SUMPRODUCT((M_BOM[Part Name]=$A74)*M_BOM[RM_Qty_Per_Batch]*IFERROR(INDEX(PP_Grid[#Data],IF(M_BOM[PPGridRow]=74,NA(),M_BOM[PPGridRow]),65),0))/58.6938775510204</f>
        <v/>
      </c>
      <c r="BN74">
        <f>SUMPRODUCT((M_BOM[Part Name]=$A74)*M_BOM[RM_Qty_Per_Batch]*IFERROR(INDEX(PP_Grid[#Data],IF(M_BOM[PPGridRow]=74,NA(),M_BOM[PPGridRow]),66),0))/58.6938775510204</f>
        <v/>
      </c>
      <c r="BO74">
        <f>SUMPRODUCT((M_BOM[Part Name]=$A74)*M_BOM[RM_Qty_Per_Batch]*IFERROR(INDEX(PP_Grid[#Data],IF(M_BOM[PPGridRow]=74,NA(),M_BOM[PPGridRow]),67),0))/58.6938775510204</f>
        <v/>
      </c>
      <c r="BP74">
        <f>SUMPRODUCT((M_BOM[Part Name]=$A74)*M_BOM[RM_Qty_Per_Batch]*IFERROR(INDEX(PP_Grid[#Data],IF(M_BOM[PPGridRow]=74,NA(),M_BOM[PPGridRow]),68),0))/58.6938775510204</f>
        <v/>
      </c>
      <c r="BQ74">
        <f>SUMPRODUCT((M_BOM[Part Name]=$A74)*M_BOM[RM_Qty_Per_Batch]*IFERROR(INDEX(PP_Grid[#Data],IF(M_BOM[PPGridRow]=74,NA(),M_BOM[PPGridRow]),69),0))/58.6938775510204</f>
        <v/>
      </c>
      <c r="BR74">
        <f>SUMPRODUCT((M_BOM[Part Name]=$A74)*M_BOM[RM_Qty_Per_Batch]*IFERROR(INDEX(PP_Grid[#Data],IF(M_BOM[PPGridRow]=74,NA(),M_BOM[PPGridRow]),70),0))/58.6938775510204</f>
        <v/>
      </c>
      <c r="BS74">
        <f>SUMPRODUCT((M_BOM[Part Name]=$A74)*M_BOM[RM_Qty_Per_Batch]*IFERROR(INDEX(PP_Grid[#Data],IF(M_BOM[PPGridRow]=74,NA(),M_BOM[PPGridRow]),71),0))/58.6938775510204</f>
        <v/>
      </c>
      <c r="BT74">
        <f>SUMPRODUCT((M_BOM[Part Name]=$A74)*M_BOM[RM_Qty_Per_Batch]*IFERROR(INDEX(PP_Grid[#Data],IF(M_BOM[PPGridRow]=74,NA(),M_BOM[PPGridRow]),72),0))/58.6938775510204</f>
        <v/>
      </c>
      <c r="BU74">
        <f>SUMPRODUCT((M_BOM[Part Name]=$A74)*M_BOM[RM_Qty_Per_Batch]*IFERROR(INDEX(PP_Grid[#Data],IF(M_BOM[PPGridRow]=74,NA(),M_BOM[PPGridRow]),73),0))/58.6938775510204</f>
        <v/>
      </c>
      <c r="BV74">
        <f>SUMPRODUCT((M_BOM[Part Name]=$A74)*M_BOM[RM_Qty_Per_Batch]*IFERROR(INDEX(PP_Grid[#Data],IF(M_BOM[PPGridRow]=74,NA(),M_BOM[PPGridRow]),74),0))/58.6938775510204</f>
        <v/>
      </c>
      <c r="BW74">
        <f>SUMPRODUCT((M_BOM[Part Name]=$A74)*M_BOM[RM_Qty_Per_Batch]*IFERROR(INDEX(PP_Grid[#Data],IF(M_BOM[PPGridRow]=74,NA(),M_BOM[PPGridRow]),75),0))/58.6938775510204</f>
        <v/>
      </c>
      <c r="BX74">
        <f>SUMPRODUCT((M_BOM[Part Name]=$A74)*M_BOM[RM_Qty_Per_Batch]*IFERROR(INDEX(PP_Grid[#Data],IF(M_BOM[PPGridRow]=74,NA(),M_BOM[PPGridRow]),76),0))/58.6938775510204</f>
        <v/>
      </c>
      <c r="BY74">
        <f>SUMPRODUCT((M_BOM[Part Name]=$A74)*M_BOM[RM_Qty_Per_Batch]*IFERROR(INDEX(PP_Grid[#Data],IF(M_BOM[PPGridRow]=74,NA(),M_BOM[PPGridRow]),77),0))/58.6938775510204</f>
        <v/>
      </c>
      <c r="BZ74">
        <f>SUMPRODUCT((M_BOM[Part Name]=$A74)*M_BOM[RM_Qty_Per_Batch]*IFERROR(INDEX(PP_Grid[#Data],IF(M_BOM[PPGridRow]=74,NA(),M_BOM[PPGridRow]),78),0))/58.6938775510204</f>
        <v/>
      </c>
      <c r="CA74">
        <f>SUMPRODUCT((M_BOM[Part Name]=$A74)*M_BOM[RM_Qty_Per_Batch]*IFERROR(INDEX(PP_Grid[#Data],IF(M_BOM[PPGridRow]=74,NA(),M_BOM[PPGridRow]),79),0))/58.6938775510204</f>
        <v/>
      </c>
      <c r="CB74">
        <f>SUMPRODUCT((M_BOM[Part Name]=$A74)*M_BOM[RM_Qty_Per_Batch]*IFERROR(INDEX(PP_Grid[#Data],IF(M_BOM[PPGridRow]=74,NA(),M_BOM[PPGridRow]),80),0))/58.6938775510204</f>
        <v/>
      </c>
      <c r="CC74">
        <f>SUMPRODUCT((M_BOM[Part Name]=$A74)*M_BOM[RM_Qty_Per_Batch]*IFERROR(INDEX(PP_Grid[#Data],IF(M_BOM[PPGridRow]=74,NA(),M_BOM[PPGridRow]),81),0))/58.6938775510204</f>
        <v/>
      </c>
      <c r="CD74">
        <f>SUMPRODUCT((M_BOM[Part Name]=$A74)*M_BOM[RM_Qty_Per_Batch]*IFERROR(INDEX(PP_Grid[#Data],IF(M_BOM[PPGridRow]=74,NA(),M_BOM[PPGridRow]),82),0))/58.6938775510204</f>
        <v/>
      </c>
      <c r="CE74">
        <f>SUMPRODUCT((M_BOM[Part Name]=$A74)*M_BOM[RM_Qty_Per_Batch]*IFERROR(INDEX(PP_Grid[#Data],IF(M_BOM[PPGridRow]=74,NA(),M_BOM[PPGridRow]),83),0))/58.6938775510204</f>
        <v/>
      </c>
      <c r="CF74">
        <f>SUMPRODUCT((M_BOM[Part Name]=$A74)*M_BOM[RM_Qty_Per_Batch]*IFERROR(INDEX(PP_Grid[#Data],IF(M_BOM[PPGridRow]=74,NA(),M_BOM[PPGridRow]),84),0))/58.6938775510204</f>
        <v/>
      </c>
      <c r="CG74">
        <f>SUMPRODUCT((M_BOM[Part Name]=$A74)*M_BOM[RM_Qty_Per_Batch]*IFERROR(INDEX(PP_Grid[#Data],IF(M_BOM[PPGridRow]=74,NA(),M_BOM[PPGridRow]),85),0))/58.6938775510204</f>
        <v/>
      </c>
      <c r="CH74">
        <f>SUMPRODUCT((M_BOM[Part Name]=$A74)*M_BOM[RM_Qty_Per_Batch]*IFERROR(INDEX(PP_Grid[#Data],IF(M_BOM[PPGridRow]=74,NA(),M_BOM[PPGridRow]),86),0))/58.6938775510204</f>
        <v/>
      </c>
      <c r="CI74">
        <f>SUMPRODUCT((M_BOM[Part Name]=$A74)*M_BOM[RM_Qty_Per_Batch]*IFERROR(INDEX(PP_Grid[#Data],IF(M_BOM[PPGridRow]=74,NA(),M_BOM[PPGridRow]),87),0))/58.6938775510204</f>
        <v/>
      </c>
      <c r="CJ74">
        <f>SUMPRODUCT((M_BOM[Part Name]=$A74)*M_BOM[RM_Qty_Per_Batch]*IFERROR(INDEX(PP_Grid[#Data],IF(M_BOM[PPGridRow]=74,NA(),M_BOM[PPGridRow]),88),0))/58.6938775510204</f>
        <v/>
      </c>
      <c r="CK74">
        <f>SUMPRODUCT((M_BOM[Part Name]=$A74)*M_BOM[RM_Qty_Per_Batch]*IFERROR(INDEX(PP_Grid[#Data],IF(M_BOM[PPGridRow]=74,NA(),M_BOM[PPGridRow]),89),0))/58.6938775510204</f>
        <v/>
      </c>
      <c r="CL74">
        <f>SUMPRODUCT((M_BOM[Part Name]=$A74)*M_BOM[RM_Qty_Per_Batch]*IFERROR(INDEX(PP_Grid[#Data],IF(M_BOM[PPGridRow]=74,NA(),M_BOM[PPGridRow]),90),0))/58.6938775510204</f>
        <v/>
      </c>
      <c r="CM74">
        <f>SUMPRODUCT((M_BOM[Part Name]=$A74)*M_BOM[RM_Qty_Per_Batch]*IFERROR(INDEX(PP_Grid[#Data],IF(M_BOM[PPGridRow]=74,NA(),M_BOM[PPGridRow]),91),0))/58.6938775510204</f>
        <v/>
      </c>
      <c r="CN74">
        <f>SUMPRODUCT((M_BOM[Part Name]=$A74)*M_BOM[RM_Qty_Per_Batch]*IFERROR(INDEX(PP_Grid[#Data],IF(M_BOM[PPGridRow]=74,NA(),M_BOM[PPGridRow]),92),0))/58.6938775510204</f>
        <v/>
      </c>
      <c r="CO74">
        <f>SUMPRODUCT((M_BOM[Part Name]=$A74)*M_BOM[RM_Qty_Per_Batch]*IFERROR(INDEX(PP_Grid[#Data],IF(M_BOM[PPGridRow]=74,NA(),M_BOM[PPGridRow]),93),0))/58.6938775510204</f>
        <v/>
      </c>
      <c r="CP74">
        <f>SUMPRODUCT((M_BOM[Part Name]=$A74)*M_BOM[RM_Qty_Per_Batch]*IFERROR(INDEX(PP_Grid[#Data],IF(M_BOM[PPGridRow]=74,NA(),M_BOM[PPGridRow]),94),0))/58.6938775510204</f>
        <v/>
      </c>
      <c r="CQ74">
        <f>SUMPRODUCT((M_BOM[Part Name]=$A74)*M_BOM[RM_Qty_Per_Batch]*IFERROR(INDEX(PP_Grid[#Data],IF(M_BOM[PPGridRow]=74,NA(),M_BOM[PPGridRow]),95),0))/58.6938775510204</f>
        <v/>
      </c>
      <c r="CR74">
        <f>SUMPRODUCT((M_BOM[Part Name]=$A74)*M_BOM[RM_Qty_Per_Batch]*IFERROR(INDEX(PP_Grid[#Data],IF(M_BOM[PPGridRow]=74,NA(),M_BOM[PPGridRow]),96),0))/58.6938775510204</f>
        <v/>
      </c>
      <c r="CS74">
        <f>SUMPRODUCT((M_BOM[Part Name]=$A74)*M_BOM[RM_Qty_Per_Batch]*IFERROR(INDEX(PP_Grid[#Data],IF(M_BOM[PPGridRow]=74,NA(),M_BOM[PPGridRow]),97),0))/58.6938775510204</f>
        <v/>
      </c>
      <c r="CT74">
        <f>SUMPRODUCT((M_BOM[Part Name]=$A74)*M_BOM[RM_Qty_Per_Batch]*IFERROR(INDEX(PP_Grid[#Data],IF(M_BOM[PPGridRow]=74,NA(),M_BOM[PPGridRow]),98),0))/58.6938775510204</f>
        <v/>
      </c>
      <c r="CU74">
        <f>SUMPRODUCT((M_BOM[Part Name]=$A74)*M_BOM[RM_Qty_Per_Batch]*IFERROR(INDEX(PP_Grid[#Data],IF(M_BOM[PPGridRow]=74,NA(),M_BOM[PPGridRow]),99),0))/58.6938775510204</f>
        <v/>
      </c>
      <c r="CV74">
        <f>SUMPRODUCT((M_BOM[Part Name]=$A74)*M_BOM[RM_Qty_Per_Batch]*IFERROR(INDEX(PP_Grid[#Data],IF(M_BOM[PPGridRow]=74,NA(),M_BOM[PPGridRow]),100),0))/58.6938775510204</f>
        <v/>
      </c>
      <c r="CW74">
        <f>SUMPRODUCT((M_BOM[Part Name]=$A74)*M_BOM[RM_Qty_Per_Batch]*IFERROR(INDEX(PP_Grid[#Data],IF(M_BOM[PPGridRow]=74,NA(),M_BOM[PPGridRow]),101),0))/58.6938775510204</f>
        <v/>
      </c>
      <c r="CX74">
        <f>SUMPRODUCT((M_BOM[Part Name]=$A74)*M_BOM[RM_Qty_Per_Batch]*IFERROR(INDEX(PP_Grid[#Data],IF(M_BOM[PPGridRow]=74,NA(),M_BOM[PPGridRow]),102),0))/58.6938775510204</f>
        <v/>
      </c>
      <c r="CY74">
        <f>SUMPRODUCT((M_BOM[Part Name]=$A74)*M_BOM[RM_Qty_Per_Batch]*IFERROR(INDEX(PP_Grid[#Data],IF(M_BOM[PPGridRow]=74,NA(),M_BOM[PPGridRow]),103),0))/58.6938775510204</f>
        <v/>
      </c>
      <c r="CZ74">
        <f>SUMPRODUCT((M_BOM[Part Name]=$A74)*M_BOM[RM_Qty_Per_Batch]*IFERROR(INDEX(PP_Grid[#Data],IF(M_BOM[PPGridRow]=74,NA(),M_BOM[PPGridRow]),104),0))/58.6938775510204</f>
        <v/>
      </c>
      <c r="DA74">
        <f>SUMPRODUCT((M_BOM[Part Name]=$A74)*M_BOM[RM_Qty_Per_Batch]*IFERROR(INDEX(PP_Grid[#Data],IF(M_BOM[PPGridRow]=74,NA(),M_BOM[PPGridRow]),105),0))/58.6938775510204</f>
        <v/>
      </c>
    </row>
    <row r="75">
      <c r="A75" t="inlineStr">
        <is>
          <t>TPP-611</t>
        </is>
      </c>
      <c r="B75">
        <f>SUMPRODUCT((M_BOM[Part Name]=$A75)*M_BOM[RM_Qty_Per_Batch]*IFERROR(INDEX(PP_Grid[#Data],IF(M_BOM[PPGridRow]=75,NA(),M_BOM[PPGridRow]),2),0))/17.88</f>
        <v/>
      </c>
      <c r="C75">
        <f>SUMPRODUCT((M_BOM[Part Name]=$A75)*M_BOM[RM_Qty_Per_Batch]*IFERROR(INDEX(PP_Grid[#Data],IF(M_BOM[PPGridRow]=75,NA(),M_BOM[PPGridRow]),3),0))/17.88</f>
        <v/>
      </c>
      <c r="D75">
        <f>SUMPRODUCT((M_BOM[Part Name]=$A75)*M_BOM[RM_Qty_Per_Batch]*IFERROR(INDEX(PP_Grid[#Data],IF(M_BOM[PPGridRow]=75,NA(),M_BOM[PPGridRow]),4),0))/17.88</f>
        <v/>
      </c>
      <c r="E75">
        <f>SUMPRODUCT((M_BOM[Part Name]=$A75)*M_BOM[RM_Qty_Per_Batch]*IFERROR(INDEX(PP_Grid[#Data],IF(M_BOM[PPGridRow]=75,NA(),M_BOM[PPGridRow]),5),0))/17.88</f>
        <v/>
      </c>
      <c r="F75">
        <f>SUMPRODUCT((M_BOM[Part Name]=$A75)*M_BOM[RM_Qty_Per_Batch]*IFERROR(INDEX(PP_Grid[#Data],IF(M_BOM[PPGridRow]=75,NA(),M_BOM[PPGridRow]),6),0))/17.88</f>
        <v/>
      </c>
      <c r="G75">
        <f>SUMPRODUCT((M_BOM[Part Name]=$A75)*M_BOM[RM_Qty_Per_Batch]*IFERROR(INDEX(PP_Grid[#Data],IF(M_BOM[PPGridRow]=75,NA(),M_BOM[PPGridRow]),7),0))/17.88</f>
        <v/>
      </c>
      <c r="H75">
        <f>SUMPRODUCT((M_BOM[Part Name]=$A75)*M_BOM[RM_Qty_Per_Batch]*IFERROR(INDEX(PP_Grid[#Data],IF(M_BOM[PPGridRow]=75,NA(),M_BOM[PPGridRow]),8),0))/17.88</f>
        <v/>
      </c>
      <c r="I75">
        <f>SUMPRODUCT((M_BOM[Part Name]=$A75)*M_BOM[RM_Qty_Per_Batch]*IFERROR(INDEX(PP_Grid[#Data],IF(M_BOM[PPGridRow]=75,NA(),M_BOM[PPGridRow]),9),0))/17.88</f>
        <v/>
      </c>
      <c r="J75">
        <f>SUMPRODUCT((M_BOM[Part Name]=$A75)*M_BOM[RM_Qty_Per_Batch]*IFERROR(INDEX(PP_Grid[#Data],IF(M_BOM[PPGridRow]=75,NA(),M_BOM[PPGridRow]),10),0))/17.88</f>
        <v/>
      </c>
      <c r="K75">
        <f>SUMPRODUCT((M_BOM[Part Name]=$A75)*M_BOM[RM_Qty_Per_Batch]*IFERROR(INDEX(PP_Grid[#Data],IF(M_BOM[PPGridRow]=75,NA(),M_BOM[PPGridRow]),11),0))/17.88</f>
        <v/>
      </c>
      <c r="L75">
        <f>SUMPRODUCT((M_BOM[Part Name]=$A75)*M_BOM[RM_Qty_Per_Batch]*IFERROR(INDEX(PP_Grid[#Data],IF(M_BOM[PPGridRow]=75,NA(),M_BOM[PPGridRow]),12),0))/17.88</f>
        <v/>
      </c>
      <c r="M75">
        <f>SUMPRODUCT((M_BOM[Part Name]=$A75)*M_BOM[RM_Qty_Per_Batch]*IFERROR(INDEX(PP_Grid[#Data],IF(M_BOM[PPGridRow]=75,NA(),M_BOM[PPGridRow]),13),0))/17.88</f>
        <v/>
      </c>
      <c r="N75">
        <f>SUMPRODUCT((M_BOM[Part Name]=$A75)*M_BOM[RM_Qty_Per_Batch]*IFERROR(INDEX(PP_Grid[#Data],IF(M_BOM[PPGridRow]=75,NA(),M_BOM[PPGridRow]),14),0))/17.88</f>
        <v/>
      </c>
      <c r="O75">
        <f>SUMPRODUCT((M_BOM[Part Name]=$A75)*M_BOM[RM_Qty_Per_Batch]*IFERROR(INDEX(PP_Grid[#Data],IF(M_BOM[PPGridRow]=75,NA(),M_BOM[PPGridRow]),15),0))/17.88</f>
        <v/>
      </c>
      <c r="P75">
        <f>SUMPRODUCT((M_BOM[Part Name]=$A75)*M_BOM[RM_Qty_Per_Batch]*IFERROR(INDEX(PP_Grid[#Data],IF(M_BOM[PPGridRow]=75,NA(),M_BOM[PPGridRow]),16),0))/17.88</f>
        <v/>
      </c>
      <c r="Q75">
        <f>SUMPRODUCT((M_BOM[Part Name]=$A75)*M_BOM[RM_Qty_Per_Batch]*IFERROR(INDEX(PP_Grid[#Data],IF(M_BOM[PPGridRow]=75,NA(),M_BOM[PPGridRow]),17),0))/17.88</f>
        <v/>
      </c>
      <c r="R75">
        <f>SUMPRODUCT((M_BOM[Part Name]=$A75)*M_BOM[RM_Qty_Per_Batch]*IFERROR(INDEX(PP_Grid[#Data],IF(M_BOM[PPGridRow]=75,NA(),M_BOM[PPGridRow]),18),0))/17.88</f>
        <v/>
      </c>
      <c r="S75">
        <f>SUMPRODUCT((M_BOM[Part Name]=$A75)*M_BOM[RM_Qty_Per_Batch]*IFERROR(INDEX(PP_Grid[#Data],IF(M_BOM[PPGridRow]=75,NA(),M_BOM[PPGridRow]),19),0))/17.88</f>
        <v/>
      </c>
      <c r="T75">
        <f>SUMPRODUCT((M_BOM[Part Name]=$A75)*M_BOM[RM_Qty_Per_Batch]*IFERROR(INDEX(PP_Grid[#Data],IF(M_BOM[PPGridRow]=75,NA(),M_BOM[PPGridRow]),20),0))/17.88</f>
        <v/>
      </c>
      <c r="U75">
        <f>SUMPRODUCT((M_BOM[Part Name]=$A75)*M_BOM[RM_Qty_Per_Batch]*IFERROR(INDEX(PP_Grid[#Data],IF(M_BOM[PPGridRow]=75,NA(),M_BOM[PPGridRow]),21),0))/17.88</f>
        <v/>
      </c>
      <c r="V75">
        <f>SUMPRODUCT((M_BOM[Part Name]=$A75)*M_BOM[RM_Qty_Per_Batch]*IFERROR(INDEX(PP_Grid[#Data],IF(M_BOM[PPGridRow]=75,NA(),M_BOM[PPGridRow]),22),0))/17.88</f>
        <v/>
      </c>
      <c r="W75">
        <f>SUMPRODUCT((M_BOM[Part Name]=$A75)*M_BOM[RM_Qty_Per_Batch]*IFERROR(INDEX(PP_Grid[#Data],IF(M_BOM[PPGridRow]=75,NA(),M_BOM[PPGridRow]),23),0))/17.88</f>
        <v/>
      </c>
      <c r="X75">
        <f>SUMPRODUCT((M_BOM[Part Name]=$A75)*M_BOM[RM_Qty_Per_Batch]*IFERROR(INDEX(PP_Grid[#Data],IF(M_BOM[PPGridRow]=75,NA(),M_BOM[PPGridRow]),24),0))/17.88</f>
        <v/>
      </c>
      <c r="Y75">
        <f>SUMPRODUCT((M_BOM[Part Name]=$A75)*M_BOM[RM_Qty_Per_Batch]*IFERROR(INDEX(PP_Grid[#Data],IF(M_BOM[PPGridRow]=75,NA(),M_BOM[PPGridRow]),25),0))/17.88</f>
        <v/>
      </c>
      <c r="Z75">
        <f>SUMPRODUCT((M_BOM[Part Name]=$A75)*M_BOM[RM_Qty_Per_Batch]*IFERROR(INDEX(PP_Grid[#Data],IF(M_BOM[PPGridRow]=75,NA(),M_BOM[PPGridRow]),26),0))/17.88</f>
        <v/>
      </c>
      <c r="AA75">
        <f>SUMPRODUCT((M_BOM[Part Name]=$A75)*M_BOM[RM_Qty_Per_Batch]*IFERROR(INDEX(PP_Grid[#Data],IF(M_BOM[PPGridRow]=75,NA(),M_BOM[PPGridRow]),27),0))/17.88</f>
        <v/>
      </c>
      <c r="AB75">
        <f>SUMPRODUCT((M_BOM[Part Name]=$A75)*M_BOM[RM_Qty_Per_Batch]*IFERROR(INDEX(PP_Grid[#Data],IF(M_BOM[PPGridRow]=75,NA(),M_BOM[PPGridRow]),28),0))/17.88</f>
        <v/>
      </c>
      <c r="AC75">
        <f>SUMPRODUCT((M_BOM[Part Name]=$A75)*M_BOM[RM_Qty_Per_Batch]*IFERROR(INDEX(PP_Grid[#Data],IF(M_BOM[PPGridRow]=75,NA(),M_BOM[PPGridRow]),29),0))/17.88</f>
        <v/>
      </c>
      <c r="AD75">
        <f>SUMPRODUCT((M_BOM[Part Name]=$A75)*M_BOM[RM_Qty_Per_Batch]*IFERROR(INDEX(PP_Grid[#Data],IF(M_BOM[PPGridRow]=75,NA(),M_BOM[PPGridRow]),30),0))/17.88</f>
        <v/>
      </c>
      <c r="AE75">
        <f>SUMPRODUCT((M_BOM[Part Name]=$A75)*M_BOM[RM_Qty_Per_Batch]*IFERROR(INDEX(PP_Grid[#Data],IF(M_BOM[PPGridRow]=75,NA(),M_BOM[PPGridRow]),31),0))/17.88</f>
        <v/>
      </c>
      <c r="AF75">
        <f>SUMPRODUCT((M_BOM[Part Name]=$A75)*M_BOM[RM_Qty_Per_Batch]*IFERROR(INDEX(PP_Grid[#Data],IF(M_BOM[PPGridRow]=75,NA(),M_BOM[PPGridRow]),32),0))/17.88</f>
        <v/>
      </c>
      <c r="AG75">
        <f>SUMPRODUCT((M_BOM[Part Name]=$A75)*M_BOM[RM_Qty_Per_Batch]*IFERROR(INDEX(PP_Grid[#Data],IF(M_BOM[PPGridRow]=75,NA(),M_BOM[PPGridRow]),33),0))/17.88</f>
        <v/>
      </c>
      <c r="AH75">
        <f>SUMPRODUCT((M_BOM[Part Name]=$A75)*M_BOM[RM_Qty_Per_Batch]*IFERROR(INDEX(PP_Grid[#Data],IF(M_BOM[PPGridRow]=75,NA(),M_BOM[PPGridRow]),34),0))/17.88</f>
        <v/>
      </c>
      <c r="AI75">
        <f>SUMPRODUCT((M_BOM[Part Name]=$A75)*M_BOM[RM_Qty_Per_Batch]*IFERROR(INDEX(PP_Grid[#Data],IF(M_BOM[PPGridRow]=75,NA(),M_BOM[PPGridRow]),35),0))/17.88</f>
        <v/>
      </c>
      <c r="AJ75">
        <f>SUMPRODUCT((M_BOM[Part Name]=$A75)*M_BOM[RM_Qty_Per_Batch]*IFERROR(INDEX(PP_Grid[#Data],IF(M_BOM[PPGridRow]=75,NA(),M_BOM[PPGridRow]),36),0))/17.88</f>
        <v/>
      </c>
      <c r="AK75">
        <f>SUMPRODUCT((M_BOM[Part Name]=$A75)*M_BOM[RM_Qty_Per_Batch]*IFERROR(INDEX(PP_Grid[#Data],IF(M_BOM[PPGridRow]=75,NA(),M_BOM[PPGridRow]),37),0))/17.88</f>
        <v/>
      </c>
      <c r="AL75">
        <f>SUMPRODUCT((M_BOM[Part Name]=$A75)*M_BOM[RM_Qty_Per_Batch]*IFERROR(INDEX(PP_Grid[#Data],IF(M_BOM[PPGridRow]=75,NA(),M_BOM[PPGridRow]),38),0))/17.88</f>
        <v/>
      </c>
      <c r="AM75">
        <f>SUMPRODUCT((M_BOM[Part Name]=$A75)*M_BOM[RM_Qty_Per_Batch]*IFERROR(INDEX(PP_Grid[#Data],IF(M_BOM[PPGridRow]=75,NA(),M_BOM[PPGridRow]),39),0))/17.88</f>
        <v/>
      </c>
      <c r="AN75">
        <f>SUMPRODUCT((M_BOM[Part Name]=$A75)*M_BOM[RM_Qty_Per_Batch]*IFERROR(INDEX(PP_Grid[#Data],IF(M_BOM[PPGridRow]=75,NA(),M_BOM[PPGridRow]),40),0))/17.88</f>
        <v/>
      </c>
      <c r="AO75">
        <f>SUMPRODUCT((M_BOM[Part Name]=$A75)*M_BOM[RM_Qty_Per_Batch]*IFERROR(INDEX(PP_Grid[#Data],IF(M_BOM[PPGridRow]=75,NA(),M_BOM[PPGridRow]),41),0))/17.88</f>
        <v/>
      </c>
      <c r="AP75">
        <f>SUMPRODUCT((M_BOM[Part Name]=$A75)*M_BOM[RM_Qty_Per_Batch]*IFERROR(INDEX(PP_Grid[#Data],IF(M_BOM[PPGridRow]=75,NA(),M_BOM[PPGridRow]),42),0))/17.88</f>
        <v/>
      </c>
      <c r="AQ75">
        <f>SUMPRODUCT((M_BOM[Part Name]=$A75)*M_BOM[RM_Qty_Per_Batch]*IFERROR(INDEX(PP_Grid[#Data],IF(M_BOM[PPGridRow]=75,NA(),M_BOM[PPGridRow]),43),0))/17.88</f>
        <v/>
      </c>
      <c r="AR75">
        <f>SUMPRODUCT((M_BOM[Part Name]=$A75)*M_BOM[RM_Qty_Per_Batch]*IFERROR(INDEX(PP_Grid[#Data],IF(M_BOM[PPGridRow]=75,NA(),M_BOM[PPGridRow]),44),0))/17.88</f>
        <v/>
      </c>
      <c r="AS75">
        <f>SUMPRODUCT((M_BOM[Part Name]=$A75)*M_BOM[RM_Qty_Per_Batch]*IFERROR(INDEX(PP_Grid[#Data],IF(M_BOM[PPGridRow]=75,NA(),M_BOM[PPGridRow]),45),0))/17.88</f>
        <v/>
      </c>
      <c r="AT75">
        <f>SUMPRODUCT((M_BOM[Part Name]=$A75)*M_BOM[RM_Qty_Per_Batch]*IFERROR(INDEX(PP_Grid[#Data],IF(M_BOM[PPGridRow]=75,NA(),M_BOM[PPGridRow]),46),0))/17.88</f>
        <v/>
      </c>
      <c r="AU75">
        <f>SUMPRODUCT((M_BOM[Part Name]=$A75)*M_BOM[RM_Qty_Per_Batch]*IFERROR(INDEX(PP_Grid[#Data],IF(M_BOM[PPGridRow]=75,NA(),M_BOM[PPGridRow]),47),0))/17.88</f>
        <v/>
      </c>
      <c r="AV75">
        <f>SUMPRODUCT((M_BOM[Part Name]=$A75)*M_BOM[RM_Qty_Per_Batch]*IFERROR(INDEX(PP_Grid[#Data],IF(M_BOM[PPGridRow]=75,NA(),M_BOM[PPGridRow]),48),0))/17.88</f>
        <v/>
      </c>
      <c r="AW75">
        <f>SUMPRODUCT((M_BOM[Part Name]=$A75)*M_BOM[RM_Qty_Per_Batch]*IFERROR(INDEX(PP_Grid[#Data],IF(M_BOM[PPGridRow]=75,NA(),M_BOM[PPGridRow]),49),0))/17.88</f>
        <v/>
      </c>
      <c r="AX75">
        <f>SUMPRODUCT((M_BOM[Part Name]=$A75)*M_BOM[RM_Qty_Per_Batch]*IFERROR(INDEX(PP_Grid[#Data],IF(M_BOM[PPGridRow]=75,NA(),M_BOM[PPGridRow]),50),0))/17.88</f>
        <v/>
      </c>
      <c r="AY75">
        <f>SUMPRODUCT((M_BOM[Part Name]=$A75)*M_BOM[RM_Qty_Per_Batch]*IFERROR(INDEX(PP_Grid[#Data],IF(M_BOM[PPGridRow]=75,NA(),M_BOM[PPGridRow]),51),0))/17.88</f>
        <v/>
      </c>
      <c r="AZ75">
        <f>SUMPRODUCT((M_BOM[Part Name]=$A75)*M_BOM[RM_Qty_Per_Batch]*IFERROR(INDEX(PP_Grid[#Data],IF(M_BOM[PPGridRow]=75,NA(),M_BOM[PPGridRow]),52),0))/17.88</f>
        <v/>
      </c>
      <c r="BA75">
        <f>SUMPRODUCT((M_BOM[Part Name]=$A75)*M_BOM[RM_Qty_Per_Batch]*IFERROR(INDEX(PP_Grid[#Data],IF(M_BOM[PPGridRow]=75,NA(),M_BOM[PPGridRow]),53),0))/17.88</f>
        <v/>
      </c>
      <c r="BB75">
        <f>SUMPRODUCT((M_BOM[Part Name]=$A75)*M_BOM[RM_Qty_Per_Batch]*IFERROR(INDEX(PP_Grid[#Data],IF(M_BOM[PPGridRow]=75,NA(),M_BOM[PPGridRow]),54),0))/17.88</f>
        <v/>
      </c>
      <c r="BC75">
        <f>SUMPRODUCT((M_BOM[Part Name]=$A75)*M_BOM[RM_Qty_Per_Batch]*IFERROR(INDEX(PP_Grid[#Data],IF(M_BOM[PPGridRow]=75,NA(),M_BOM[PPGridRow]),55),0))/17.88</f>
        <v/>
      </c>
      <c r="BD75">
        <f>SUMPRODUCT((M_BOM[Part Name]=$A75)*M_BOM[RM_Qty_Per_Batch]*IFERROR(INDEX(PP_Grid[#Data],IF(M_BOM[PPGridRow]=75,NA(),M_BOM[PPGridRow]),56),0))/17.88</f>
        <v/>
      </c>
      <c r="BE75">
        <f>SUMPRODUCT((M_BOM[Part Name]=$A75)*M_BOM[RM_Qty_Per_Batch]*IFERROR(INDEX(PP_Grid[#Data],IF(M_BOM[PPGridRow]=75,NA(),M_BOM[PPGridRow]),57),0))/17.88</f>
        <v/>
      </c>
      <c r="BF75">
        <f>SUMPRODUCT((M_BOM[Part Name]=$A75)*M_BOM[RM_Qty_Per_Batch]*IFERROR(INDEX(PP_Grid[#Data],IF(M_BOM[PPGridRow]=75,NA(),M_BOM[PPGridRow]),58),0))/17.88</f>
        <v/>
      </c>
      <c r="BG75">
        <f>SUMPRODUCT((M_BOM[Part Name]=$A75)*M_BOM[RM_Qty_Per_Batch]*IFERROR(INDEX(PP_Grid[#Data],IF(M_BOM[PPGridRow]=75,NA(),M_BOM[PPGridRow]),59),0))/17.88</f>
        <v/>
      </c>
      <c r="BH75">
        <f>SUMPRODUCT((M_BOM[Part Name]=$A75)*M_BOM[RM_Qty_Per_Batch]*IFERROR(INDEX(PP_Grid[#Data],IF(M_BOM[PPGridRow]=75,NA(),M_BOM[PPGridRow]),60),0))/17.88</f>
        <v/>
      </c>
      <c r="BI75">
        <f>SUMPRODUCT((M_BOM[Part Name]=$A75)*M_BOM[RM_Qty_Per_Batch]*IFERROR(INDEX(PP_Grid[#Data],IF(M_BOM[PPGridRow]=75,NA(),M_BOM[PPGridRow]),61),0))/17.88</f>
        <v/>
      </c>
      <c r="BJ75">
        <f>SUMPRODUCT((M_BOM[Part Name]=$A75)*M_BOM[RM_Qty_Per_Batch]*IFERROR(INDEX(PP_Grid[#Data],IF(M_BOM[PPGridRow]=75,NA(),M_BOM[PPGridRow]),62),0))/17.88</f>
        <v/>
      </c>
      <c r="BK75">
        <f>SUMPRODUCT((M_BOM[Part Name]=$A75)*M_BOM[RM_Qty_Per_Batch]*IFERROR(INDEX(PP_Grid[#Data],IF(M_BOM[PPGridRow]=75,NA(),M_BOM[PPGridRow]),63),0))/17.88</f>
        <v/>
      </c>
      <c r="BL75">
        <f>SUMPRODUCT((M_BOM[Part Name]=$A75)*M_BOM[RM_Qty_Per_Batch]*IFERROR(INDEX(PP_Grid[#Data],IF(M_BOM[PPGridRow]=75,NA(),M_BOM[PPGridRow]),64),0))/17.88</f>
        <v/>
      </c>
      <c r="BM75">
        <f>SUMPRODUCT((M_BOM[Part Name]=$A75)*M_BOM[RM_Qty_Per_Batch]*IFERROR(INDEX(PP_Grid[#Data],IF(M_BOM[PPGridRow]=75,NA(),M_BOM[PPGridRow]),65),0))/17.88</f>
        <v/>
      </c>
      <c r="BN75">
        <f>SUMPRODUCT((M_BOM[Part Name]=$A75)*M_BOM[RM_Qty_Per_Batch]*IFERROR(INDEX(PP_Grid[#Data],IF(M_BOM[PPGridRow]=75,NA(),M_BOM[PPGridRow]),66),0))/17.88</f>
        <v/>
      </c>
      <c r="BO75">
        <f>SUMPRODUCT((M_BOM[Part Name]=$A75)*M_BOM[RM_Qty_Per_Batch]*IFERROR(INDEX(PP_Grid[#Data],IF(M_BOM[PPGridRow]=75,NA(),M_BOM[PPGridRow]),67),0))/17.88</f>
        <v/>
      </c>
      <c r="BP75">
        <f>SUMPRODUCT((M_BOM[Part Name]=$A75)*M_BOM[RM_Qty_Per_Batch]*IFERROR(INDEX(PP_Grid[#Data],IF(M_BOM[PPGridRow]=75,NA(),M_BOM[PPGridRow]),68),0))/17.88</f>
        <v/>
      </c>
      <c r="BQ75">
        <f>SUMPRODUCT((M_BOM[Part Name]=$A75)*M_BOM[RM_Qty_Per_Batch]*IFERROR(INDEX(PP_Grid[#Data],IF(M_BOM[PPGridRow]=75,NA(),M_BOM[PPGridRow]),69),0))/17.88</f>
        <v/>
      </c>
      <c r="BR75">
        <f>SUMPRODUCT((M_BOM[Part Name]=$A75)*M_BOM[RM_Qty_Per_Batch]*IFERROR(INDEX(PP_Grid[#Data],IF(M_BOM[PPGridRow]=75,NA(),M_BOM[PPGridRow]),70),0))/17.88</f>
        <v/>
      </c>
      <c r="BS75">
        <f>SUMPRODUCT((M_BOM[Part Name]=$A75)*M_BOM[RM_Qty_Per_Batch]*IFERROR(INDEX(PP_Grid[#Data],IF(M_BOM[PPGridRow]=75,NA(),M_BOM[PPGridRow]),71),0))/17.88</f>
        <v/>
      </c>
      <c r="BT75">
        <f>SUMPRODUCT((M_BOM[Part Name]=$A75)*M_BOM[RM_Qty_Per_Batch]*IFERROR(INDEX(PP_Grid[#Data],IF(M_BOM[PPGridRow]=75,NA(),M_BOM[PPGridRow]),72),0))/17.88</f>
        <v/>
      </c>
      <c r="BU75">
        <f>SUMPRODUCT((M_BOM[Part Name]=$A75)*M_BOM[RM_Qty_Per_Batch]*IFERROR(INDEX(PP_Grid[#Data],IF(M_BOM[PPGridRow]=75,NA(),M_BOM[PPGridRow]),73),0))/17.88</f>
        <v/>
      </c>
      <c r="BV75">
        <f>SUMPRODUCT((M_BOM[Part Name]=$A75)*M_BOM[RM_Qty_Per_Batch]*IFERROR(INDEX(PP_Grid[#Data],IF(M_BOM[PPGridRow]=75,NA(),M_BOM[PPGridRow]),74),0))/17.88</f>
        <v/>
      </c>
      <c r="BW75">
        <f>SUMPRODUCT((M_BOM[Part Name]=$A75)*M_BOM[RM_Qty_Per_Batch]*IFERROR(INDEX(PP_Grid[#Data],IF(M_BOM[PPGridRow]=75,NA(),M_BOM[PPGridRow]),75),0))/17.88</f>
        <v/>
      </c>
      <c r="BX75">
        <f>SUMPRODUCT((M_BOM[Part Name]=$A75)*M_BOM[RM_Qty_Per_Batch]*IFERROR(INDEX(PP_Grid[#Data],IF(M_BOM[PPGridRow]=75,NA(),M_BOM[PPGridRow]),76),0))/17.88</f>
        <v/>
      </c>
      <c r="BY75">
        <f>SUMPRODUCT((M_BOM[Part Name]=$A75)*M_BOM[RM_Qty_Per_Batch]*IFERROR(INDEX(PP_Grid[#Data],IF(M_BOM[PPGridRow]=75,NA(),M_BOM[PPGridRow]),77),0))/17.88</f>
        <v/>
      </c>
      <c r="BZ75">
        <f>SUMPRODUCT((M_BOM[Part Name]=$A75)*M_BOM[RM_Qty_Per_Batch]*IFERROR(INDEX(PP_Grid[#Data],IF(M_BOM[PPGridRow]=75,NA(),M_BOM[PPGridRow]),78),0))/17.88</f>
        <v/>
      </c>
      <c r="CA75">
        <f>SUMPRODUCT((M_BOM[Part Name]=$A75)*M_BOM[RM_Qty_Per_Batch]*IFERROR(INDEX(PP_Grid[#Data],IF(M_BOM[PPGridRow]=75,NA(),M_BOM[PPGridRow]),79),0))/17.88</f>
        <v/>
      </c>
      <c r="CB75">
        <f>SUMPRODUCT((M_BOM[Part Name]=$A75)*M_BOM[RM_Qty_Per_Batch]*IFERROR(INDEX(PP_Grid[#Data],IF(M_BOM[PPGridRow]=75,NA(),M_BOM[PPGridRow]),80),0))/17.88</f>
        <v/>
      </c>
      <c r="CC75">
        <f>SUMPRODUCT((M_BOM[Part Name]=$A75)*M_BOM[RM_Qty_Per_Batch]*IFERROR(INDEX(PP_Grid[#Data],IF(M_BOM[PPGridRow]=75,NA(),M_BOM[PPGridRow]),81),0))/17.88</f>
        <v/>
      </c>
      <c r="CD75">
        <f>SUMPRODUCT((M_BOM[Part Name]=$A75)*M_BOM[RM_Qty_Per_Batch]*IFERROR(INDEX(PP_Grid[#Data],IF(M_BOM[PPGridRow]=75,NA(),M_BOM[PPGridRow]),82),0))/17.88</f>
        <v/>
      </c>
      <c r="CE75">
        <f>SUMPRODUCT((M_BOM[Part Name]=$A75)*M_BOM[RM_Qty_Per_Batch]*IFERROR(INDEX(PP_Grid[#Data],IF(M_BOM[PPGridRow]=75,NA(),M_BOM[PPGridRow]),83),0))/17.88</f>
        <v/>
      </c>
      <c r="CF75">
        <f>SUMPRODUCT((M_BOM[Part Name]=$A75)*M_BOM[RM_Qty_Per_Batch]*IFERROR(INDEX(PP_Grid[#Data],IF(M_BOM[PPGridRow]=75,NA(),M_BOM[PPGridRow]),84),0))/17.88</f>
        <v/>
      </c>
      <c r="CG75">
        <f>SUMPRODUCT((M_BOM[Part Name]=$A75)*M_BOM[RM_Qty_Per_Batch]*IFERROR(INDEX(PP_Grid[#Data],IF(M_BOM[PPGridRow]=75,NA(),M_BOM[PPGridRow]),85),0))/17.88</f>
        <v/>
      </c>
      <c r="CH75">
        <f>SUMPRODUCT((M_BOM[Part Name]=$A75)*M_BOM[RM_Qty_Per_Batch]*IFERROR(INDEX(PP_Grid[#Data],IF(M_BOM[PPGridRow]=75,NA(),M_BOM[PPGridRow]),86),0))/17.88</f>
        <v/>
      </c>
      <c r="CI75">
        <f>SUMPRODUCT((M_BOM[Part Name]=$A75)*M_BOM[RM_Qty_Per_Batch]*IFERROR(INDEX(PP_Grid[#Data],IF(M_BOM[PPGridRow]=75,NA(),M_BOM[PPGridRow]),87),0))/17.88</f>
        <v/>
      </c>
      <c r="CJ75">
        <f>SUMPRODUCT((M_BOM[Part Name]=$A75)*M_BOM[RM_Qty_Per_Batch]*IFERROR(INDEX(PP_Grid[#Data],IF(M_BOM[PPGridRow]=75,NA(),M_BOM[PPGridRow]),88),0))/17.88</f>
        <v/>
      </c>
      <c r="CK75">
        <f>SUMPRODUCT((M_BOM[Part Name]=$A75)*M_BOM[RM_Qty_Per_Batch]*IFERROR(INDEX(PP_Grid[#Data],IF(M_BOM[PPGridRow]=75,NA(),M_BOM[PPGridRow]),89),0))/17.88</f>
        <v/>
      </c>
      <c r="CL75">
        <f>SUMPRODUCT((M_BOM[Part Name]=$A75)*M_BOM[RM_Qty_Per_Batch]*IFERROR(INDEX(PP_Grid[#Data],IF(M_BOM[PPGridRow]=75,NA(),M_BOM[PPGridRow]),90),0))/17.88</f>
        <v/>
      </c>
      <c r="CM75">
        <f>SUMPRODUCT((M_BOM[Part Name]=$A75)*M_BOM[RM_Qty_Per_Batch]*IFERROR(INDEX(PP_Grid[#Data],IF(M_BOM[PPGridRow]=75,NA(),M_BOM[PPGridRow]),91),0))/17.88</f>
        <v/>
      </c>
      <c r="CN75">
        <f>SUMPRODUCT((M_BOM[Part Name]=$A75)*M_BOM[RM_Qty_Per_Batch]*IFERROR(INDEX(PP_Grid[#Data],IF(M_BOM[PPGridRow]=75,NA(),M_BOM[PPGridRow]),92),0))/17.88</f>
        <v/>
      </c>
      <c r="CO75">
        <f>SUMPRODUCT((M_BOM[Part Name]=$A75)*M_BOM[RM_Qty_Per_Batch]*IFERROR(INDEX(PP_Grid[#Data],IF(M_BOM[PPGridRow]=75,NA(),M_BOM[PPGridRow]),93),0))/17.88</f>
        <v/>
      </c>
      <c r="CP75">
        <f>SUMPRODUCT((M_BOM[Part Name]=$A75)*M_BOM[RM_Qty_Per_Batch]*IFERROR(INDEX(PP_Grid[#Data],IF(M_BOM[PPGridRow]=75,NA(),M_BOM[PPGridRow]),94),0))/17.88</f>
        <v/>
      </c>
      <c r="CQ75">
        <f>SUMPRODUCT((M_BOM[Part Name]=$A75)*M_BOM[RM_Qty_Per_Batch]*IFERROR(INDEX(PP_Grid[#Data],IF(M_BOM[PPGridRow]=75,NA(),M_BOM[PPGridRow]),95),0))/17.88</f>
        <v/>
      </c>
      <c r="CR75">
        <f>SUMPRODUCT((M_BOM[Part Name]=$A75)*M_BOM[RM_Qty_Per_Batch]*IFERROR(INDEX(PP_Grid[#Data],IF(M_BOM[PPGridRow]=75,NA(),M_BOM[PPGridRow]),96),0))/17.88</f>
        <v/>
      </c>
      <c r="CS75">
        <f>SUMPRODUCT((M_BOM[Part Name]=$A75)*M_BOM[RM_Qty_Per_Batch]*IFERROR(INDEX(PP_Grid[#Data],IF(M_BOM[PPGridRow]=75,NA(),M_BOM[PPGridRow]),97),0))/17.88</f>
        <v/>
      </c>
      <c r="CT75">
        <f>SUMPRODUCT((M_BOM[Part Name]=$A75)*M_BOM[RM_Qty_Per_Batch]*IFERROR(INDEX(PP_Grid[#Data],IF(M_BOM[PPGridRow]=75,NA(),M_BOM[PPGridRow]),98),0))/17.88</f>
        <v/>
      </c>
      <c r="CU75">
        <f>SUMPRODUCT((M_BOM[Part Name]=$A75)*M_BOM[RM_Qty_Per_Batch]*IFERROR(INDEX(PP_Grid[#Data],IF(M_BOM[PPGridRow]=75,NA(),M_BOM[PPGridRow]),99),0))/17.88</f>
        <v/>
      </c>
      <c r="CV75">
        <f>SUMPRODUCT((M_BOM[Part Name]=$A75)*M_BOM[RM_Qty_Per_Batch]*IFERROR(INDEX(PP_Grid[#Data],IF(M_BOM[PPGridRow]=75,NA(),M_BOM[PPGridRow]),100),0))/17.88</f>
        <v/>
      </c>
      <c r="CW75">
        <f>SUMPRODUCT((M_BOM[Part Name]=$A75)*M_BOM[RM_Qty_Per_Batch]*IFERROR(INDEX(PP_Grid[#Data],IF(M_BOM[PPGridRow]=75,NA(),M_BOM[PPGridRow]),101),0))/17.88</f>
        <v/>
      </c>
      <c r="CX75">
        <f>SUMPRODUCT((M_BOM[Part Name]=$A75)*M_BOM[RM_Qty_Per_Batch]*IFERROR(INDEX(PP_Grid[#Data],IF(M_BOM[PPGridRow]=75,NA(),M_BOM[PPGridRow]),102),0))/17.88</f>
        <v/>
      </c>
      <c r="CY75">
        <f>SUMPRODUCT((M_BOM[Part Name]=$A75)*M_BOM[RM_Qty_Per_Batch]*IFERROR(INDEX(PP_Grid[#Data],IF(M_BOM[PPGridRow]=75,NA(),M_BOM[PPGridRow]),103),0))/17.88</f>
        <v/>
      </c>
      <c r="CZ75">
        <f>SUMPRODUCT((M_BOM[Part Name]=$A75)*M_BOM[RM_Qty_Per_Batch]*IFERROR(INDEX(PP_Grid[#Data],IF(M_BOM[PPGridRow]=75,NA(),M_BOM[PPGridRow]),104),0))/17.88</f>
        <v/>
      </c>
      <c r="DA75">
        <f>SUMPRODUCT((M_BOM[Part Name]=$A75)*M_BOM[RM_Qty_Per_Batch]*IFERROR(INDEX(PP_Grid[#Data],IF(M_BOM[PPGridRow]=75,NA(),M_BOM[PPGridRow]),105),0))/17.88</f>
        <v/>
      </c>
    </row>
    <row r="76">
      <c r="A76" t="inlineStr">
        <is>
          <t>TPP-613</t>
        </is>
      </c>
      <c r="B76">
        <f>SUMPRODUCT((M_BOM[Part Name]=$A76)*M_BOM[RM_Qty_Per_Batch]*IFERROR(INDEX(PP_Grid[#Data],IF(M_BOM[PPGridRow]=76,NA(),M_BOM[PPGridRow]),2),0))/17.82</f>
        <v/>
      </c>
      <c r="C76">
        <f>SUMPRODUCT((M_BOM[Part Name]=$A76)*M_BOM[RM_Qty_Per_Batch]*IFERROR(INDEX(PP_Grid[#Data],IF(M_BOM[PPGridRow]=76,NA(),M_BOM[PPGridRow]),3),0))/17.82</f>
        <v/>
      </c>
      <c r="D76">
        <f>SUMPRODUCT((M_BOM[Part Name]=$A76)*M_BOM[RM_Qty_Per_Batch]*IFERROR(INDEX(PP_Grid[#Data],IF(M_BOM[PPGridRow]=76,NA(),M_BOM[PPGridRow]),4),0))/17.82</f>
        <v/>
      </c>
      <c r="E76">
        <f>SUMPRODUCT((M_BOM[Part Name]=$A76)*M_BOM[RM_Qty_Per_Batch]*IFERROR(INDEX(PP_Grid[#Data],IF(M_BOM[PPGridRow]=76,NA(),M_BOM[PPGridRow]),5),0))/17.82</f>
        <v/>
      </c>
      <c r="F76">
        <f>SUMPRODUCT((M_BOM[Part Name]=$A76)*M_BOM[RM_Qty_Per_Batch]*IFERROR(INDEX(PP_Grid[#Data],IF(M_BOM[PPGridRow]=76,NA(),M_BOM[PPGridRow]),6),0))/17.82</f>
        <v/>
      </c>
      <c r="G76">
        <f>SUMPRODUCT((M_BOM[Part Name]=$A76)*M_BOM[RM_Qty_Per_Batch]*IFERROR(INDEX(PP_Grid[#Data],IF(M_BOM[PPGridRow]=76,NA(),M_BOM[PPGridRow]),7),0))/17.82</f>
        <v/>
      </c>
      <c r="H76">
        <f>SUMPRODUCT((M_BOM[Part Name]=$A76)*M_BOM[RM_Qty_Per_Batch]*IFERROR(INDEX(PP_Grid[#Data],IF(M_BOM[PPGridRow]=76,NA(),M_BOM[PPGridRow]),8),0))/17.82</f>
        <v/>
      </c>
      <c r="I76">
        <f>SUMPRODUCT((M_BOM[Part Name]=$A76)*M_BOM[RM_Qty_Per_Batch]*IFERROR(INDEX(PP_Grid[#Data],IF(M_BOM[PPGridRow]=76,NA(),M_BOM[PPGridRow]),9),0))/17.82</f>
        <v/>
      </c>
      <c r="J76">
        <f>SUMPRODUCT((M_BOM[Part Name]=$A76)*M_BOM[RM_Qty_Per_Batch]*IFERROR(INDEX(PP_Grid[#Data],IF(M_BOM[PPGridRow]=76,NA(),M_BOM[PPGridRow]),10),0))/17.82</f>
        <v/>
      </c>
      <c r="K76">
        <f>SUMPRODUCT((M_BOM[Part Name]=$A76)*M_BOM[RM_Qty_Per_Batch]*IFERROR(INDEX(PP_Grid[#Data],IF(M_BOM[PPGridRow]=76,NA(),M_BOM[PPGridRow]),11),0))/17.82</f>
        <v/>
      </c>
      <c r="L76">
        <f>SUMPRODUCT((M_BOM[Part Name]=$A76)*M_BOM[RM_Qty_Per_Batch]*IFERROR(INDEX(PP_Grid[#Data],IF(M_BOM[PPGridRow]=76,NA(),M_BOM[PPGridRow]),12),0))/17.82</f>
        <v/>
      </c>
      <c r="M76">
        <f>SUMPRODUCT((M_BOM[Part Name]=$A76)*M_BOM[RM_Qty_Per_Batch]*IFERROR(INDEX(PP_Grid[#Data],IF(M_BOM[PPGridRow]=76,NA(),M_BOM[PPGridRow]),13),0))/17.82</f>
        <v/>
      </c>
      <c r="N76">
        <f>SUMPRODUCT((M_BOM[Part Name]=$A76)*M_BOM[RM_Qty_Per_Batch]*IFERROR(INDEX(PP_Grid[#Data],IF(M_BOM[PPGridRow]=76,NA(),M_BOM[PPGridRow]),14),0))/17.82</f>
        <v/>
      </c>
      <c r="O76">
        <f>SUMPRODUCT((M_BOM[Part Name]=$A76)*M_BOM[RM_Qty_Per_Batch]*IFERROR(INDEX(PP_Grid[#Data],IF(M_BOM[PPGridRow]=76,NA(),M_BOM[PPGridRow]),15),0))/17.82</f>
        <v/>
      </c>
      <c r="P76">
        <f>SUMPRODUCT((M_BOM[Part Name]=$A76)*M_BOM[RM_Qty_Per_Batch]*IFERROR(INDEX(PP_Grid[#Data],IF(M_BOM[PPGridRow]=76,NA(),M_BOM[PPGridRow]),16),0))/17.82</f>
        <v/>
      </c>
      <c r="Q76">
        <f>SUMPRODUCT((M_BOM[Part Name]=$A76)*M_BOM[RM_Qty_Per_Batch]*IFERROR(INDEX(PP_Grid[#Data],IF(M_BOM[PPGridRow]=76,NA(),M_BOM[PPGridRow]),17),0))/17.82</f>
        <v/>
      </c>
      <c r="R76">
        <f>SUMPRODUCT((M_BOM[Part Name]=$A76)*M_BOM[RM_Qty_Per_Batch]*IFERROR(INDEX(PP_Grid[#Data],IF(M_BOM[PPGridRow]=76,NA(),M_BOM[PPGridRow]),18),0))/17.82</f>
        <v/>
      </c>
      <c r="S76">
        <f>SUMPRODUCT((M_BOM[Part Name]=$A76)*M_BOM[RM_Qty_Per_Batch]*IFERROR(INDEX(PP_Grid[#Data],IF(M_BOM[PPGridRow]=76,NA(),M_BOM[PPGridRow]),19),0))/17.82</f>
        <v/>
      </c>
      <c r="T76">
        <f>SUMPRODUCT((M_BOM[Part Name]=$A76)*M_BOM[RM_Qty_Per_Batch]*IFERROR(INDEX(PP_Grid[#Data],IF(M_BOM[PPGridRow]=76,NA(),M_BOM[PPGridRow]),20),0))/17.82</f>
        <v/>
      </c>
      <c r="U76">
        <f>SUMPRODUCT((M_BOM[Part Name]=$A76)*M_BOM[RM_Qty_Per_Batch]*IFERROR(INDEX(PP_Grid[#Data],IF(M_BOM[PPGridRow]=76,NA(),M_BOM[PPGridRow]),21),0))/17.82</f>
        <v/>
      </c>
      <c r="V76">
        <f>SUMPRODUCT((M_BOM[Part Name]=$A76)*M_BOM[RM_Qty_Per_Batch]*IFERROR(INDEX(PP_Grid[#Data],IF(M_BOM[PPGridRow]=76,NA(),M_BOM[PPGridRow]),22),0))/17.82</f>
        <v/>
      </c>
      <c r="W76">
        <f>SUMPRODUCT((M_BOM[Part Name]=$A76)*M_BOM[RM_Qty_Per_Batch]*IFERROR(INDEX(PP_Grid[#Data],IF(M_BOM[PPGridRow]=76,NA(),M_BOM[PPGridRow]),23),0))/17.82</f>
        <v/>
      </c>
      <c r="X76">
        <f>SUMPRODUCT((M_BOM[Part Name]=$A76)*M_BOM[RM_Qty_Per_Batch]*IFERROR(INDEX(PP_Grid[#Data],IF(M_BOM[PPGridRow]=76,NA(),M_BOM[PPGridRow]),24),0))/17.82</f>
        <v/>
      </c>
      <c r="Y76">
        <f>SUMPRODUCT((M_BOM[Part Name]=$A76)*M_BOM[RM_Qty_Per_Batch]*IFERROR(INDEX(PP_Grid[#Data],IF(M_BOM[PPGridRow]=76,NA(),M_BOM[PPGridRow]),25),0))/17.82</f>
        <v/>
      </c>
      <c r="Z76">
        <f>SUMPRODUCT((M_BOM[Part Name]=$A76)*M_BOM[RM_Qty_Per_Batch]*IFERROR(INDEX(PP_Grid[#Data],IF(M_BOM[PPGridRow]=76,NA(),M_BOM[PPGridRow]),26),0))/17.82</f>
        <v/>
      </c>
      <c r="AA76">
        <f>SUMPRODUCT((M_BOM[Part Name]=$A76)*M_BOM[RM_Qty_Per_Batch]*IFERROR(INDEX(PP_Grid[#Data],IF(M_BOM[PPGridRow]=76,NA(),M_BOM[PPGridRow]),27),0))/17.82</f>
        <v/>
      </c>
      <c r="AB76">
        <f>SUMPRODUCT((M_BOM[Part Name]=$A76)*M_BOM[RM_Qty_Per_Batch]*IFERROR(INDEX(PP_Grid[#Data],IF(M_BOM[PPGridRow]=76,NA(),M_BOM[PPGridRow]),28),0))/17.82</f>
        <v/>
      </c>
      <c r="AC76">
        <f>SUMPRODUCT((M_BOM[Part Name]=$A76)*M_BOM[RM_Qty_Per_Batch]*IFERROR(INDEX(PP_Grid[#Data],IF(M_BOM[PPGridRow]=76,NA(),M_BOM[PPGridRow]),29),0))/17.82</f>
        <v/>
      </c>
      <c r="AD76">
        <f>SUMPRODUCT((M_BOM[Part Name]=$A76)*M_BOM[RM_Qty_Per_Batch]*IFERROR(INDEX(PP_Grid[#Data],IF(M_BOM[PPGridRow]=76,NA(),M_BOM[PPGridRow]),30),0))/17.82</f>
        <v/>
      </c>
      <c r="AE76">
        <f>SUMPRODUCT((M_BOM[Part Name]=$A76)*M_BOM[RM_Qty_Per_Batch]*IFERROR(INDEX(PP_Grid[#Data],IF(M_BOM[PPGridRow]=76,NA(),M_BOM[PPGridRow]),31),0))/17.82</f>
        <v/>
      </c>
      <c r="AF76">
        <f>SUMPRODUCT((M_BOM[Part Name]=$A76)*M_BOM[RM_Qty_Per_Batch]*IFERROR(INDEX(PP_Grid[#Data],IF(M_BOM[PPGridRow]=76,NA(),M_BOM[PPGridRow]),32),0))/17.82</f>
        <v/>
      </c>
      <c r="AG76">
        <f>SUMPRODUCT((M_BOM[Part Name]=$A76)*M_BOM[RM_Qty_Per_Batch]*IFERROR(INDEX(PP_Grid[#Data],IF(M_BOM[PPGridRow]=76,NA(),M_BOM[PPGridRow]),33),0))/17.82</f>
        <v/>
      </c>
      <c r="AH76">
        <f>SUMPRODUCT((M_BOM[Part Name]=$A76)*M_BOM[RM_Qty_Per_Batch]*IFERROR(INDEX(PP_Grid[#Data],IF(M_BOM[PPGridRow]=76,NA(),M_BOM[PPGridRow]),34),0))/17.82</f>
        <v/>
      </c>
      <c r="AI76">
        <f>SUMPRODUCT((M_BOM[Part Name]=$A76)*M_BOM[RM_Qty_Per_Batch]*IFERROR(INDEX(PP_Grid[#Data],IF(M_BOM[PPGridRow]=76,NA(),M_BOM[PPGridRow]),35),0))/17.82</f>
        <v/>
      </c>
      <c r="AJ76">
        <f>SUMPRODUCT((M_BOM[Part Name]=$A76)*M_BOM[RM_Qty_Per_Batch]*IFERROR(INDEX(PP_Grid[#Data],IF(M_BOM[PPGridRow]=76,NA(),M_BOM[PPGridRow]),36),0))/17.82</f>
        <v/>
      </c>
      <c r="AK76">
        <f>SUMPRODUCT((M_BOM[Part Name]=$A76)*M_BOM[RM_Qty_Per_Batch]*IFERROR(INDEX(PP_Grid[#Data],IF(M_BOM[PPGridRow]=76,NA(),M_BOM[PPGridRow]),37),0))/17.82</f>
        <v/>
      </c>
      <c r="AL76">
        <f>SUMPRODUCT((M_BOM[Part Name]=$A76)*M_BOM[RM_Qty_Per_Batch]*IFERROR(INDEX(PP_Grid[#Data],IF(M_BOM[PPGridRow]=76,NA(),M_BOM[PPGridRow]),38),0))/17.82</f>
        <v/>
      </c>
      <c r="AM76">
        <f>SUMPRODUCT((M_BOM[Part Name]=$A76)*M_BOM[RM_Qty_Per_Batch]*IFERROR(INDEX(PP_Grid[#Data],IF(M_BOM[PPGridRow]=76,NA(),M_BOM[PPGridRow]),39),0))/17.82</f>
        <v/>
      </c>
      <c r="AN76">
        <f>SUMPRODUCT((M_BOM[Part Name]=$A76)*M_BOM[RM_Qty_Per_Batch]*IFERROR(INDEX(PP_Grid[#Data],IF(M_BOM[PPGridRow]=76,NA(),M_BOM[PPGridRow]),40),0))/17.82</f>
        <v/>
      </c>
      <c r="AO76">
        <f>SUMPRODUCT((M_BOM[Part Name]=$A76)*M_BOM[RM_Qty_Per_Batch]*IFERROR(INDEX(PP_Grid[#Data],IF(M_BOM[PPGridRow]=76,NA(),M_BOM[PPGridRow]),41),0))/17.82</f>
        <v/>
      </c>
      <c r="AP76">
        <f>SUMPRODUCT((M_BOM[Part Name]=$A76)*M_BOM[RM_Qty_Per_Batch]*IFERROR(INDEX(PP_Grid[#Data],IF(M_BOM[PPGridRow]=76,NA(),M_BOM[PPGridRow]),42),0))/17.82</f>
        <v/>
      </c>
      <c r="AQ76">
        <f>SUMPRODUCT((M_BOM[Part Name]=$A76)*M_BOM[RM_Qty_Per_Batch]*IFERROR(INDEX(PP_Grid[#Data],IF(M_BOM[PPGridRow]=76,NA(),M_BOM[PPGridRow]),43),0))/17.82</f>
        <v/>
      </c>
      <c r="AR76">
        <f>SUMPRODUCT((M_BOM[Part Name]=$A76)*M_BOM[RM_Qty_Per_Batch]*IFERROR(INDEX(PP_Grid[#Data],IF(M_BOM[PPGridRow]=76,NA(),M_BOM[PPGridRow]),44),0))/17.82</f>
        <v/>
      </c>
      <c r="AS76">
        <f>SUMPRODUCT((M_BOM[Part Name]=$A76)*M_BOM[RM_Qty_Per_Batch]*IFERROR(INDEX(PP_Grid[#Data],IF(M_BOM[PPGridRow]=76,NA(),M_BOM[PPGridRow]),45),0))/17.82</f>
        <v/>
      </c>
      <c r="AT76">
        <f>SUMPRODUCT((M_BOM[Part Name]=$A76)*M_BOM[RM_Qty_Per_Batch]*IFERROR(INDEX(PP_Grid[#Data],IF(M_BOM[PPGridRow]=76,NA(),M_BOM[PPGridRow]),46),0))/17.82</f>
        <v/>
      </c>
      <c r="AU76">
        <f>SUMPRODUCT((M_BOM[Part Name]=$A76)*M_BOM[RM_Qty_Per_Batch]*IFERROR(INDEX(PP_Grid[#Data],IF(M_BOM[PPGridRow]=76,NA(),M_BOM[PPGridRow]),47),0))/17.82</f>
        <v/>
      </c>
      <c r="AV76">
        <f>SUMPRODUCT((M_BOM[Part Name]=$A76)*M_BOM[RM_Qty_Per_Batch]*IFERROR(INDEX(PP_Grid[#Data],IF(M_BOM[PPGridRow]=76,NA(),M_BOM[PPGridRow]),48),0))/17.82</f>
        <v/>
      </c>
      <c r="AW76">
        <f>SUMPRODUCT((M_BOM[Part Name]=$A76)*M_BOM[RM_Qty_Per_Batch]*IFERROR(INDEX(PP_Grid[#Data],IF(M_BOM[PPGridRow]=76,NA(),M_BOM[PPGridRow]),49),0))/17.82</f>
        <v/>
      </c>
      <c r="AX76">
        <f>SUMPRODUCT((M_BOM[Part Name]=$A76)*M_BOM[RM_Qty_Per_Batch]*IFERROR(INDEX(PP_Grid[#Data],IF(M_BOM[PPGridRow]=76,NA(),M_BOM[PPGridRow]),50),0))/17.82</f>
        <v/>
      </c>
      <c r="AY76">
        <f>SUMPRODUCT((M_BOM[Part Name]=$A76)*M_BOM[RM_Qty_Per_Batch]*IFERROR(INDEX(PP_Grid[#Data],IF(M_BOM[PPGridRow]=76,NA(),M_BOM[PPGridRow]),51),0))/17.82</f>
        <v/>
      </c>
      <c r="AZ76">
        <f>SUMPRODUCT((M_BOM[Part Name]=$A76)*M_BOM[RM_Qty_Per_Batch]*IFERROR(INDEX(PP_Grid[#Data],IF(M_BOM[PPGridRow]=76,NA(),M_BOM[PPGridRow]),52),0))/17.82</f>
        <v/>
      </c>
      <c r="BA76">
        <f>SUMPRODUCT((M_BOM[Part Name]=$A76)*M_BOM[RM_Qty_Per_Batch]*IFERROR(INDEX(PP_Grid[#Data],IF(M_BOM[PPGridRow]=76,NA(),M_BOM[PPGridRow]),53),0))/17.82</f>
        <v/>
      </c>
      <c r="BB76">
        <f>SUMPRODUCT((M_BOM[Part Name]=$A76)*M_BOM[RM_Qty_Per_Batch]*IFERROR(INDEX(PP_Grid[#Data],IF(M_BOM[PPGridRow]=76,NA(),M_BOM[PPGridRow]),54),0))/17.82</f>
        <v/>
      </c>
      <c r="BC76">
        <f>SUMPRODUCT((M_BOM[Part Name]=$A76)*M_BOM[RM_Qty_Per_Batch]*IFERROR(INDEX(PP_Grid[#Data],IF(M_BOM[PPGridRow]=76,NA(),M_BOM[PPGridRow]),55),0))/17.82</f>
        <v/>
      </c>
      <c r="BD76">
        <f>SUMPRODUCT((M_BOM[Part Name]=$A76)*M_BOM[RM_Qty_Per_Batch]*IFERROR(INDEX(PP_Grid[#Data],IF(M_BOM[PPGridRow]=76,NA(),M_BOM[PPGridRow]),56),0))/17.82</f>
        <v/>
      </c>
      <c r="BE76">
        <f>SUMPRODUCT((M_BOM[Part Name]=$A76)*M_BOM[RM_Qty_Per_Batch]*IFERROR(INDEX(PP_Grid[#Data],IF(M_BOM[PPGridRow]=76,NA(),M_BOM[PPGridRow]),57),0))/17.82</f>
        <v/>
      </c>
      <c r="BF76">
        <f>SUMPRODUCT((M_BOM[Part Name]=$A76)*M_BOM[RM_Qty_Per_Batch]*IFERROR(INDEX(PP_Grid[#Data],IF(M_BOM[PPGridRow]=76,NA(),M_BOM[PPGridRow]),58),0))/17.82</f>
        <v/>
      </c>
      <c r="BG76">
        <f>SUMPRODUCT((M_BOM[Part Name]=$A76)*M_BOM[RM_Qty_Per_Batch]*IFERROR(INDEX(PP_Grid[#Data],IF(M_BOM[PPGridRow]=76,NA(),M_BOM[PPGridRow]),59),0))/17.82</f>
        <v/>
      </c>
      <c r="BH76">
        <f>SUMPRODUCT((M_BOM[Part Name]=$A76)*M_BOM[RM_Qty_Per_Batch]*IFERROR(INDEX(PP_Grid[#Data],IF(M_BOM[PPGridRow]=76,NA(),M_BOM[PPGridRow]),60),0))/17.82</f>
        <v/>
      </c>
      <c r="BI76">
        <f>SUMPRODUCT((M_BOM[Part Name]=$A76)*M_BOM[RM_Qty_Per_Batch]*IFERROR(INDEX(PP_Grid[#Data],IF(M_BOM[PPGridRow]=76,NA(),M_BOM[PPGridRow]),61),0))/17.82</f>
        <v/>
      </c>
      <c r="BJ76">
        <f>SUMPRODUCT((M_BOM[Part Name]=$A76)*M_BOM[RM_Qty_Per_Batch]*IFERROR(INDEX(PP_Grid[#Data],IF(M_BOM[PPGridRow]=76,NA(),M_BOM[PPGridRow]),62),0))/17.82</f>
        <v/>
      </c>
      <c r="BK76">
        <f>SUMPRODUCT((M_BOM[Part Name]=$A76)*M_BOM[RM_Qty_Per_Batch]*IFERROR(INDEX(PP_Grid[#Data],IF(M_BOM[PPGridRow]=76,NA(),M_BOM[PPGridRow]),63),0))/17.82</f>
        <v/>
      </c>
      <c r="BL76">
        <f>SUMPRODUCT((M_BOM[Part Name]=$A76)*M_BOM[RM_Qty_Per_Batch]*IFERROR(INDEX(PP_Grid[#Data],IF(M_BOM[PPGridRow]=76,NA(),M_BOM[PPGridRow]),64),0))/17.82</f>
        <v/>
      </c>
      <c r="BM76">
        <f>SUMPRODUCT((M_BOM[Part Name]=$A76)*M_BOM[RM_Qty_Per_Batch]*IFERROR(INDEX(PP_Grid[#Data],IF(M_BOM[PPGridRow]=76,NA(),M_BOM[PPGridRow]),65),0))/17.82</f>
        <v/>
      </c>
      <c r="BN76">
        <f>SUMPRODUCT((M_BOM[Part Name]=$A76)*M_BOM[RM_Qty_Per_Batch]*IFERROR(INDEX(PP_Grid[#Data],IF(M_BOM[PPGridRow]=76,NA(),M_BOM[PPGridRow]),66),0))/17.82</f>
        <v/>
      </c>
      <c r="BO76">
        <f>SUMPRODUCT((M_BOM[Part Name]=$A76)*M_BOM[RM_Qty_Per_Batch]*IFERROR(INDEX(PP_Grid[#Data],IF(M_BOM[PPGridRow]=76,NA(),M_BOM[PPGridRow]),67),0))/17.82</f>
        <v/>
      </c>
      <c r="BP76">
        <f>SUMPRODUCT((M_BOM[Part Name]=$A76)*M_BOM[RM_Qty_Per_Batch]*IFERROR(INDEX(PP_Grid[#Data],IF(M_BOM[PPGridRow]=76,NA(),M_BOM[PPGridRow]),68),0))/17.82</f>
        <v/>
      </c>
      <c r="BQ76">
        <f>SUMPRODUCT((M_BOM[Part Name]=$A76)*M_BOM[RM_Qty_Per_Batch]*IFERROR(INDEX(PP_Grid[#Data],IF(M_BOM[PPGridRow]=76,NA(),M_BOM[PPGridRow]),69),0))/17.82</f>
        <v/>
      </c>
      <c r="BR76">
        <f>SUMPRODUCT((M_BOM[Part Name]=$A76)*M_BOM[RM_Qty_Per_Batch]*IFERROR(INDEX(PP_Grid[#Data],IF(M_BOM[PPGridRow]=76,NA(),M_BOM[PPGridRow]),70),0))/17.82</f>
        <v/>
      </c>
      <c r="BS76">
        <f>SUMPRODUCT((M_BOM[Part Name]=$A76)*M_BOM[RM_Qty_Per_Batch]*IFERROR(INDEX(PP_Grid[#Data],IF(M_BOM[PPGridRow]=76,NA(),M_BOM[PPGridRow]),71),0))/17.82</f>
        <v/>
      </c>
      <c r="BT76">
        <f>SUMPRODUCT((M_BOM[Part Name]=$A76)*M_BOM[RM_Qty_Per_Batch]*IFERROR(INDEX(PP_Grid[#Data],IF(M_BOM[PPGridRow]=76,NA(),M_BOM[PPGridRow]),72),0))/17.82</f>
        <v/>
      </c>
      <c r="BU76">
        <f>SUMPRODUCT((M_BOM[Part Name]=$A76)*M_BOM[RM_Qty_Per_Batch]*IFERROR(INDEX(PP_Grid[#Data],IF(M_BOM[PPGridRow]=76,NA(),M_BOM[PPGridRow]),73),0))/17.82</f>
        <v/>
      </c>
      <c r="BV76">
        <f>SUMPRODUCT((M_BOM[Part Name]=$A76)*M_BOM[RM_Qty_Per_Batch]*IFERROR(INDEX(PP_Grid[#Data],IF(M_BOM[PPGridRow]=76,NA(),M_BOM[PPGridRow]),74),0))/17.82</f>
        <v/>
      </c>
      <c r="BW76">
        <f>SUMPRODUCT((M_BOM[Part Name]=$A76)*M_BOM[RM_Qty_Per_Batch]*IFERROR(INDEX(PP_Grid[#Data],IF(M_BOM[PPGridRow]=76,NA(),M_BOM[PPGridRow]),75),0))/17.82</f>
        <v/>
      </c>
      <c r="BX76">
        <f>SUMPRODUCT((M_BOM[Part Name]=$A76)*M_BOM[RM_Qty_Per_Batch]*IFERROR(INDEX(PP_Grid[#Data],IF(M_BOM[PPGridRow]=76,NA(),M_BOM[PPGridRow]),76),0))/17.82</f>
        <v/>
      </c>
      <c r="BY76">
        <f>SUMPRODUCT((M_BOM[Part Name]=$A76)*M_BOM[RM_Qty_Per_Batch]*IFERROR(INDEX(PP_Grid[#Data],IF(M_BOM[PPGridRow]=76,NA(),M_BOM[PPGridRow]),77),0))/17.82</f>
        <v/>
      </c>
      <c r="BZ76">
        <f>SUMPRODUCT((M_BOM[Part Name]=$A76)*M_BOM[RM_Qty_Per_Batch]*IFERROR(INDEX(PP_Grid[#Data],IF(M_BOM[PPGridRow]=76,NA(),M_BOM[PPGridRow]),78),0))/17.82</f>
        <v/>
      </c>
      <c r="CA76">
        <f>SUMPRODUCT((M_BOM[Part Name]=$A76)*M_BOM[RM_Qty_Per_Batch]*IFERROR(INDEX(PP_Grid[#Data],IF(M_BOM[PPGridRow]=76,NA(),M_BOM[PPGridRow]),79),0))/17.82</f>
        <v/>
      </c>
      <c r="CB76">
        <f>SUMPRODUCT((M_BOM[Part Name]=$A76)*M_BOM[RM_Qty_Per_Batch]*IFERROR(INDEX(PP_Grid[#Data],IF(M_BOM[PPGridRow]=76,NA(),M_BOM[PPGridRow]),80),0))/17.82</f>
        <v/>
      </c>
      <c r="CC76">
        <f>SUMPRODUCT((M_BOM[Part Name]=$A76)*M_BOM[RM_Qty_Per_Batch]*IFERROR(INDEX(PP_Grid[#Data],IF(M_BOM[PPGridRow]=76,NA(),M_BOM[PPGridRow]),81),0))/17.82</f>
        <v/>
      </c>
      <c r="CD76">
        <f>SUMPRODUCT((M_BOM[Part Name]=$A76)*M_BOM[RM_Qty_Per_Batch]*IFERROR(INDEX(PP_Grid[#Data],IF(M_BOM[PPGridRow]=76,NA(),M_BOM[PPGridRow]),82),0))/17.82</f>
        <v/>
      </c>
      <c r="CE76">
        <f>SUMPRODUCT((M_BOM[Part Name]=$A76)*M_BOM[RM_Qty_Per_Batch]*IFERROR(INDEX(PP_Grid[#Data],IF(M_BOM[PPGridRow]=76,NA(),M_BOM[PPGridRow]),83),0))/17.82</f>
        <v/>
      </c>
      <c r="CF76">
        <f>SUMPRODUCT((M_BOM[Part Name]=$A76)*M_BOM[RM_Qty_Per_Batch]*IFERROR(INDEX(PP_Grid[#Data],IF(M_BOM[PPGridRow]=76,NA(),M_BOM[PPGridRow]),84),0))/17.82</f>
        <v/>
      </c>
      <c r="CG76">
        <f>SUMPRODUCT((M_BOM[Part Name]=$A76)*M_BOM[RM_Qty_Per_Batch]*IFERROR(INDEX(PP_Grid[#Data],IF(M_BOM[PPGridRow]=76,NA(),M_BOM[PPGridRow]),85),0))/17.82</f>
        <v/>
      </c>
      <c r="CH76">
        <f>SUMPRODUCT((M_BOM[Part Name]=$A76)*M_BOM[RM_Qty_Per_Batch]*IFERROR(INDEX(PP_Grid[#Data],IF(M_BOM[PPGridRow]=76,NA(),M_BOM[PPGridRow]),86),0))/17.82</f>
        <v/>
      </c>
      <c r="CI76">
        <f>SUMPRODUCT((M_BOM[Part Name]=$A76)*M_BOM[RM_Qty_Per_Batch]*IFERROR(INDEX(PP_Grid[#Data],IF(M_BOM[PPGridRow]=76,NA(),M_BOM[PPGridRow]),87),0))/17.82</f>
        <v/>
      </c>
      <c r="CJ76">
        <f>SUMPRODUCT((M_BOM[Part Name]=$A76)*M_BOM[RM_Qty_Per_Batch]*IFERROR(INDEX(PP_Grid[#Data],IF(M_BOM[PPGridRow]=76,NA(),M_BOM[PPGridRow]),88),0))/17.82</f>
        <v/>
      </c>
      <c r="CK76">
        <f>SUMPRODUCT((M_BOM[Part Name]=$A76)*M_BOM[RM_Qty_Per_Batch]*IFERROR(INDEX(PP_Grid[#Data],IF(M_BOM[PPGridRow]=76,NA(),M_BOM[PPGridRow]),89),0))/17.82</f>
        <v/>
      </c>
      <c r="CL76">
        <f>SUMPRODUCT((M_BOM[Part Name]=$A76)*M_BOM[RM_Qty_Per_Batch]*IFERROR(INDEX(PP_Grid[#Data],IF(M_BOM[PPGridRow]=76,NA(),M_BOM[PPGridRow]),90),0))/17.82</f>
        <v/>
      </c>
      <c r="CM76">
        <f>SUMPRODUCT((M_BOM[Part Name]=$A76)*M_BOM[RM_Qty_Per_Batch]*IFERROR(INDEX(PP_Grid[#Data],IF(M_BOM[PPGridRow]=76,NA(),M_BOM[PPGridRow]),91),0))/17.82</f>
        <v/>
      </c>
      <c r="CN76">
        <f>SUMPRODUCT((M_BOM[Part Name]=$A76)*M_BOM[RM_Qty_Per_Batch]*IFERROR(INDEX(PP_Grid[#Data],IF(M_BOM[PPGridRow]=76,NA(),M_BOM[PPGridRow]),92),0))/17.82</f>
        <v/>
      </c>
      <c r="CO76">
        <f>SUMPRODUCT((M_BOM[Part Name]=$A76)*M_BOM[RM_Qty_Per_Batch]*IFERROR(INDEX(PP_Grid[#Data],IF(M_BOM[PPGridRow]=76,NA(),M_BOM[PPGridRow]),93),0))/17.82</f>
        <v/>
      </c>
      <c r="CP76">
        <f>SUMPRODUCT((M_BOM[Part Name]=$A76)*M_BOM[RM_Qty_Per_Batch]*IFERROR(INDEX(PP_Grid[#Data],IF(M_BOM[PPGridRow]=76,NA(),M_BOM[PPGridRow]),94),0))/17.82</f>
        <v/>
      </c>
      <c r="CQ76">
        <f>SUMPRODUCT((M_BOM[Part Name]=$A76)*M_BOM[RM_Qty_Per_Batch]*IFERROR(INDEX(PP_Grid[#Data],IF(M_BOM[PPGridRow]=76,NA(),M_BOM[PPGridRow]),95),0))/17.82</f>
        <v/>
      </c>
      <c r="CR76">
        <f>SUMPRODUCT((M_BOM[Part Name]=$A76)*M_BOM[RM_Qty_Per_Batch]*IFERROR(INDEX(PP_Grid[#Data],IF(M_BOM[PPGridRow]=76,NA(),M_BOM[PPGridRow]),96),0))/17.82</f>
        <v/>
      </c>
      <c r="CS76">
        <f>SUMPRODUCT((M_BOM[Part Name]=$A76)*M_BOM[RM_Qty_Per_Batch]*IFERROR(INDEX(PP_Grid[#Data],IF(M_BOM[PPGridRow]=76,NA(),M_BOM[PPGridRow]),97),0))/17.82</f>
        <v/>
      </c>
      <c r="CT76">
        <f>SUMPRODUCT((M_BOM[Part Name]=$A76)*M_BOM[RM_Qty_Per_Batch]*IFERROR(INDEX(PP_Grid[#Data],IF(M_BOM[PPGridRow]=76,NA(),M_BOM[PPGridRow]),98),0))/17.82</f>
        <v/>
      </c>
      <c r="CU76">
        <f>SUMPRODUCT((M_BOM[Part Name]=$A76)*M_BOM[RM_Qty_Per_Batch]*IFERROR(INDEX(PP_Grid[#Data],IF(M_BOM[PPGridRow]=76,NA(),M_BOM[PPGridRow]),99),0))/17.82</f>
        <v/>
      </c>
      <c r="CV76">
        <f>SUMPRODUCT((M_BOM[Part Name]=$A76)*M_BOM[RM_Qty_Per_Batch]*IFERROR(INDEX(PP_Grid[#Data],IF(M_BOM[PPGridRow]=76,NA(),M_BOM[PPGridRow]),100),0))/17.82</f>
        <v/>
      </c>
      <c r="CW76">
        <f>SUMPRODUCT((M_BOM[Part Name]=$A76)*M_BOM[RM_Qty_Per_Batch]*IFERROR(INDEX(PP_Grid[#Data],IF(M_BOM[PPGridRow]=76,NA(),M_BOM[PPGridRow]),101),0))/17.82</f>
        <v/>
      </c>
      <c r="CX76">
        <f>SUMPRODUCT((M_BOM[Part Name]=$A76)*M_BOM[RM_Qty_Per_Batch]*IFERROR(INDEX(PP_Grid[#Data],IF(M_BOM[PPGridRow]=76,NA(),M_BOM[PPGridRow]),102),0))/17.82</f>
        <v/>
      </c>
      <c r="CY76">
        <f>SUMPRODUCT((M_BOM[Part Name]=$A76)*M_BOM[RM_Qty_Per_Batch]*IFERROR(INDEX(PP_Grid[#Data],IF(M_BOM[PPGridRow]=76,NA(),M_BOM[PPGridRow]),103),0))/17.82</f>
        <v/>
      </c>
      <c r="CZ76">
        <f>SUMPRODUCT((M_BOM[Part Name]=$A76)*M_BOM[RM_Qty_Per_Batch]*IFERROR(INDEX(PP_Grid[#Data],IF(M_BOM[PPGridRow]=76,NA(),M_BOM[PPGridRow]),104),0))/17.82</f>
        <v/>
      </c>
      <c r="DA76">
        <f>SUMPRODUCT((M_BOM[Part Name]=$A76)*M_BOM[RM_Qty_Per_Batch]*IFERROR(INDEX(PP_Grid[#Data],IF(M_BOM[PPGridRow]=76,NA(),M_BOM[PPGridRow]),105),0))/17.82</f>
        <v/>
      </c>
    </row>
    <row r="77">
      <c r="A77" t="inlineStr">
        <is>
          <t>TPP-635</t>
        </is>
      </c>
      <c r="B77">
        <f>SUMPRODUCT((M_BOM[Part Name]=$A77)*M_BOM[RM_Qty_Per_Batch]*IFERROR(INDEX(PP_Grid[#Data],IF(M_BOM[PPGridRow]=77,NA(),M_BOM[PPGridRow]),2),0))/44.26</f>
        <v/>
      </c>
      <c r="C77">
        <f>SUMPRODUCT((M_BOM[Part Name]=$A77)*M_BOM[RM_Qty_Per_Batch]*IFERROR(INDEX(PP_Grid[#Data],IF(M_BOM[PPGridRow]=77,NA(),M_BOM[PPGridRow]),3),0))/44.26</f>
        <v/>
      </c>
      <c r="D77">
        <f>SUMPRODUCT((M_BOM[Part Name]=$A77)*M_BOM[RM_Qty_Per_Batch]*IFERROR(INDEX(PP_Grid[#Data],IF(M_BOM[PPGridRow]=77,NA(),M_BOM[PPGridRow]),4),0))/44.26</f>
        <v/>
      </c>
      <c r="E77">
        <f>SUMPRODUCT((M_BOM[Part Name]=$A77)*M_BOM[RM_Qty_Per_Batch]*IFERROR(INDEX(PP_Grid[#Data],IF(M_BOM[PPGridRow]=77,NA(),M_BOM[PPGridRow]),5),0))/44.26</f>
        <v/>
      </c>
      <c r="F77">
        <f>SUMPRODUCT((M_BOM[Part Name]=$A77)*M_BOM[RM_Qty_Per_Batch]*IFERROR(INDEX(PP_Grid[#Data],IF(M_BOM[PPGridRow]=77,NA(),M_BOM[PPGridRow]),6),0))/44.26</f>
        <v/>
      </c>
      <c r="G77">
        <f>SUMPRODUCT((M_BOM[Part Name]=$A77)*M_BOM[RM_Qty_Per_Batch]*IFERROR(INDEX(PP_Grid[#Data],IF(M_BOM[PPGridRow]=77,NA(),M_BOM[PPGridRow]),7),0))/44.26</f>
        <v/>
      </c>
      <c r="H77">
        <f>SUMPRODUCT((M_BOM[Part Name]=$A77)*M_BOM[RM_Qty_Per_Batch]*IFERROR(INDEX(PP_Grid[#Data],IF(M_BOM[PPGridRow]=77,NA(),M_BOM[PPGridRow]),8),0))/44.26</f>
        <v/>
      </c>
      <c r="I77">
        <f>SUMPRODUCT((M_BOM[Part Name]=$A77)*M_BOM[RM_Qty_Per_Batch]*IFERROR(INDEX(PP_Grid[#Data],IF(M_BOM[PPGridRow]=77,NA(),M_BOM[PPGridRow]),9),0))/44.26</f>
        <v/>
      </c>
      <c r="J77">
        <f>SUMPRODUCT((M_BOM[Part Name]=$A77)*M_BOM[RM_Qty_Per_Batch]*IFERROR(INDEX(PP_Grid[#Data],IF(M_BOM[PPGridRow]=77,NA(),M_BOM[PPGridRow]),10),0))/44.26</f>
        <v/>
      </c>
      <c r="K77">
        <f>SUMPRODUCT((M_BOM[Part Name]=$A77)*M_BOM[RM_Qty_Per_Batch]*IFERROR(INDEX(PP_Grid[#Data],IF(M_BOM[PPGridRow]=77,NA(),M_BOM[PPGridRow]),11),0))/44.26</f>
        <v/>
      </c>
      <c r="L77">
        <f>SUMPRODUCT((M_BOM[Part Name]=$A77)*M_BOM[RM_Qty_Per_Batch]*IFERROR(INDEX(PP_Grid[#Data],IF(M_BOM[PPGridRow]=77,NA(),M_BOM[PPGridRow]),12),0))/44.26</f>
        <v/>
      </c>
      <c r="M77">
        <f>SUMPRODUCT((M_BOM[Part Name]=$A77)*M_BOM[RM_Qty_Per_Batch]*IFERROR(INDEX(PP_Grid[#Data],IF(M_BOM[PPGridRow]=77,NA(),M_BOM[PPGridRow]),13),0))/44.26</f>
        <v/>
      </c>
      <c r="N77">
        <f>SUMPRODUCT((M_BOM[Part Name]=$A77)*M_BOM[RM_Qty_Per_Batch]*IFERROR(INDEX(PP_Grid[#Data],IF(M_BOM[PPGridRow]=77,NA(),M_BOM[PPGridRow]),14),0))/44.26</f>
        <v/>
      </c>
      <c r="O77">
        <f>SUMPRODUCT((M_BOM[Part Name]=$A77)*M_BOM[RM_Qty_Per_Batch]*IFERROR(INDEX(PP_Grid[#Data],IF(M_BOM[PPGridRow]=77,NA(),M_BOM[PPGridRow]),15),0))/44.26</f>
        <v/>
      </c>
      <c r="P77">
        <f>SUMPRODUCT((M_BOM[Part Name]=$A77)*M_BOM[RM_Qty_Per_Batch]*IFERROR(INDEX(PP_Grid[#Data],IF(M_BOM[PPGridRow]=77,NA(),M_BOM[PPGridRow]),16),0))/44.26</f>
        <v/>
      </c>
      <c r="Q77">
        <f>SUMPRODUCT((M_BOM[Part Name]=$A77)*M_BOM[RM_Qty_Per_Batch]*IFERROR(INDEX(PP_Grid[#Data],IF(M_BOM[PPGridRow]=77,NA(),M_BOM[PPGridRow]),17),0))/44.26</f>
        <v/>
      </c>
      <c r="R77">
        <f>SUMPRODUCT((M_BOM[Part Name]=$A77)*M_BOM[RM_Qty_Per_Batch]*IFERROR(INDEX(PP_Grid[#Data],IF(M_BOM[PPGridRow]=77,NA(),M_BOM[PPGridRow]),18),0))/44.26</f>
        <v/>
      </c>
      <c r="S77">
        <f>SUMPRODUCT((M_BOM[Part Name]=$A77)*M_BOM[RM_Qty_Per_Batch]*IFERROR(INDEX(PP_Grid[#Data],IF(M_BOM[PPGridRow]=77,NA(),M_BOM[PPGridRow]),19),0))/44.26</f>
        <v/>
      </c>
      <c r="T77">
        <f>SUMPRODUCT((M_BOM[Part Name]=$A77)*M_BOM[RM_Qty_Per_Batch]*IFERROR(INDEX(PP_Grid[#Data],IF(M_BOM[PPGridRow]=77,NA(),M_BOM[PPGridRow]),20),0))/44.26</f>
        <v/>
      </c>
      <c r="U77">
        <f>SUMPRODUCT((M_BOM[Part Name]=$A77)*M_BOM[RM_Qty_Per_Batch]*IFERROR(INDEX(PP_Grid[#Data],IF(M_BOM[PPGridRow]=77,NA(),M_BOM[PPGridRow]),21),0))/44.26</f>
        <v/>
      </c>
      <c r="V77">
        <f>SUMPRODUCT((M_BOM[Part Name]=$A77)*M_BOM[RM_Qty_Per_Batch]*IFERROR(INDEX(PP_Grid[#Data],IF(M_BOM[PPGridRow]=77,NA(),M_BOM[PPGridRow]),22),0))/44.26</f>
        <v/>
      </c>
      <c r="W77">
        <f>SUMPRODUCT((M_BOM[Part Name]=$A77)*M_BOM[RM_Qty_Per_Batch]*IFERROR(INDEX(PP_Grid[#Data],IF(M_BOM[PPGridRow]=77,NA(),M_BOM[PPGridRow]),23),0))/44.26</f>
        <v/>
      </c>
      <c r="X77">
        <f>SUMPRODUCT((M_BOM[Part Name]=$A77)*M_BOM[RM_Qty_Per_Batch]*IFERROR(INDEX(PP_Grid[#Data],IF(M_BOM[PPGridRow]=77,NA(),M_BOM[PPGridRow]),24),0))/44.26</f>
        <v/>
      </c>
      <c r="Y77">
        <f>SUMPRODUCT((M_BOM[Part Name]=$A77)*M_BOM[RM_Qty_Per_Batch]*IFERROR(INDEX(PP_Grid[#Data],IF(M_BOM[PPGridRow]=77,NA(),M_BOM[PPGridRow]),25),0))/44.26</f>
        <v/>
      </c>
      <c r="Z77">
        <f>SUMPRODUCT((M_BOM[Part Name]=$A77)*M_BOM[RM_Qty_Per_Batch]*IFERROR(INDEX(PP_Grid[#Data],IF(M_BOM[PPGridRow]=77,NA(),M_BOM[PPGridRow]),26),0))/44.26</f>
        <v/>
      </c>
      <c r="AA77">
        <f>SUMPRODUCT((M_BOM[Part Name]=$A77)*M_BOM[RM_Qty_Per_Batch]*IFERROR(INDEX(PP_Grid[#Data],IF(M_BOM[PPGridRow]=77,NA(),M_BOM[PPGridRow]),27),0))/44.26</f>
        <v/>
      </c>
      <c r="AB77">
        <f>SUMPRODUCT((M_BOM[Part Name]=$A77)*M_BOM[RM_Qty_Per_Batch]*IFERROR(INDEX(PP_Grid[#Data],IF(M_BOM[PPGridRow]=77,NA(),M_BOM[PPGridRow]),28),0))/44.26</f>
        <v/>
      </c>
      <c r="AC77">
        <f>SUMPRODUCT((M_BOM[Part Name]=$A77)*M_BOM[RM_Qty_Per_Batch]*IFERROR(INDEX(PP_Grid[#Data],IF(M_BOM[PPGridRow]=77,NA(),M_BOM[PPGridRow]),29),0))/44.26</f>
        <v/>
      </c>
      <c r="AD77">
        <f>SUMPRODUCT((M_BOM[Part Name]=$A77)*M_BOM[RM_Qty_Per_Batch]*IFERROR(INDEX(PP_Grid[#Data],IF(M_BOM[PPGridRow]=77,NA(),M_BOM[PPGridRow]),30),0))/44.26</f>
        <v/>
      </c>
      <c r="AE77">
        <f>SUMPRODUCT((M_BOM[Part Name]=$A77)*M_BOM[RM_Qty_Per_Batch]*IFERROR(INDEX(PP_Grid[#Data],IF(M_BOM[PPGridRow]=77,NA(),M_BOM[PPGridRow]),31),0))/44.26</f>
        <v/>
      </c>
      <c r="AF77">
        <f>SUMPRODUCT((M_BOM[Part Name]=$A77)*M_BOM[RM_Qty_Per_Batch]*IFERROR(INDEX(PP_Grid[#Data],IF(M_BOM[PPGridRow]=77,NA(),M_BOM[PPGridRow]),32),0))/44.26</f>
        <v/>
      </c>
      <c r="AG77">
        <f>SUMPRODUCT((M_BOM[Part Name]=$A77)*M_BOM[RM_Qty_Per_Batch]*IFERROR(INDEX(PP_Grid[#Data],IF(M_BOM[PPGridRow]=77,NA(),M_BOM[PPGridRow]),33),0))/44.26</f>
        <v/>
      </c>
      <c r="AH77">
        <f>SUMPRODUCT((M_BOM[Part Name]=$A77)*M_BOM[RM_Qty_Per_Batch]*IFERROR(INDEX(PP_Grid[#Data],IF(M_BOM[PPGridRow]=77,NA(),M_BOM[PPGridRow]),34),0))/44.26</f>
        <v/>
      </c>
      <c r="AI77">
        <f>SUMPRODUCT((M_BOM[Part Name]=$A77)*M_BOM[RM_Qty_Per_Batch]*IFERROR(INDEX(PP_Grid[#Data],IF(M_BOM[PPGridRow]=77,NA(),M_BOM[PPGridRow]),35),0))/44.26</f>
        <v/>
      </c>
      <c r="AJ77">
        <f>SUMPRODUCT((M_BOM[Part Name]=$A77)*M_BOM[RM_Qty_Per_Batch]*IFERROR(INDEX(PP_Grid[#Data],IF(M_BOM[PPGridRow]=77,NA(),M_BOM[PPGridRow]),36),0))/44.26</f>
        <v/>
      </c>
      <c r="AK77">
        <f>SUMPRODUCT((M_BOM[Part Name]=$A77)*M_BOM[RM_Qty_Per_Batch]*IFERROR(INDEX(PP_Grid[#Data],IF(M_BOM[PPGridRow]=77,NA(),M_BOM[PPGridRow]),37),0))/44.26</f>
        <v/>
      </c>
      <c r="AL77">
        <f>SUMPRODUCT((M_BOM[Part Name]=$A77)*M_BOM[RM_Qty_Per_Batch]*IFERROR(INDEX(PP_Grid[#Data],IF(M_BOM[PPGridRow]=77,NA(),M_BOM[PPGridRow]),38),0))/44.26</f>
        <v/>
      </c>
      <c r="AM77">
        <f>SUMPRODUCT((M_BOM[Part Name]=$A77)*M_BOM[RM_Qty_Per_Batch]*IFERROR(INDEX(PP_Grid[#Data],IF(M_BOM[PPGridRow]=77,NA(),M_BOM[PPGridRow]),39),0))/44.26</f>
        <v/>
      </c>
      <c r="AN77">
        <f>SUMPRODUCT((M_BOM[Part Name]=$A77)*M_BOM[RM_Qty_Per_Batch]*IFERROR(INDEX(PP_Grid[#Data],IF(M_BOM[PPGridRow]=77,NA(),M_BOM[PPGridRow]),40),0))/44.26</f>
        <v/>
      </c>
      <c r="AO77">
        <f>SUMPRODUCT((M_BOM[Part Name]=$A77)*M_BOM[RM_Qty_Per_Batch]*IFERROR(INDEX(PP_Grid[#Data],IF(M_BOM[PPGridRow]=77,NA(),M_BOM[PPGridRow]),41),0))/44.26</f>
        <v/>
      </c>
      <c r="AP77">
        <f>SUMPRODUCT((M_BOM[Part Name]=$A77)*M_BOM[RM_Qty_Per_Batch]*IFERROR(INDEX(PP_Grid[#Data],IF(M_BOM[PPGridRow]=77,NA(),M_BOM[PPGridRow]),42),0))/44.26</f>
        <v/>
      </c>
      <c r="AQ77">
        <f>SUMPRODUCT((M_BOM[Part Name]=$A77)*M_BOM[RM_Qty_Per_Batch]*IFERROR(INDEX(PP_Grid[#Data],IF(M_BOM[PPGridRow]=77,NA(),M_BOM[PPGridRow]),43),0))/44.26</f>
        <v/>
      </c>
      <c r="AR77">
        <f>SUMPRODUCT((M_BOM[Part Name]=$A77)*M_BOM[RM_Qty_Per_Batch]*IFERROR(INDEX(PP_Grid[#Data],IF(M_BOM[PPGridRow]=77,NA(),M_BOM[PPGridRow]),44),0))/44.26</f>
        <v/>
      </c>
      <c r="AS77">
        <f>SUMPRODUCT((M_BOM[Part Name]=$A77)*M_BOM[RM_Qty_Per_Batch]*IFERROR(INDEX(PP_Grid[#Data],IF(M_BOM[PPGridRow]=77,NA(),M_BOM[PPGridRow]),45),0))/44.26</f>
        <v/>
      </c>
      <c r="AT77">
        <f>SUMPRODUCT((M_BOM[Part Name]=$A77)*M_BOM[RM_Qty_Per_Batch]*IFERROR(INDEX(PP_Grid[#Data],IF(M_BOM[PPGridRow]=77,NA(),M_BOM[PPGridRow]),46),0))/44.26</f>
        <v/>
      </c>
      <c r="AU77">
        <f>SUMPRODUCT((M_BOM[Part Name]=$A77)*M_BOM[RM_Qty_Per_Batch]*IFERROR(INDEX(PP_Grid[#Data],IF(M_BOM[PPGridRow]=77,NA(),M_BOM[PPGridRow]),47),0))/44.26</f>
        <v/>
      </c>
      <c r="AV77">
        <f>SUMPRODUCT((M_BOM[Part Name]=$A77)*M_BOM[RM_Qty_Per_Batch]*IFERROR(INDEX(PP_Grid[#Data],IF(M_BOM[PPGridRow]=77,NA(),M_BOM[PPGridRow]),48),0))/44.26</f>
        <v/>
      </c>
      <c r="AW77">
        <f>SUMPRODUCT((M_BOM[Part Name]=$A77)*M_BOM[RM_Qty_Per_Batch]*IFERROR(INDEX(PP_Grid[#Data],IF(M_BOM[PPGridRow]=77,NA(),M_BOM[PPGridRow]),49),0))/44.26</f>
        <v/>
      </c>
      <c r="AX77">
        <f>SUMPRODUCT((M_BOM[Part Name]=$A77)*M_BOM[RM_Qty_Per_Batch]*IFERROR(INDEX(PP_Grid[#Data],IF(M_BOM[PPGridRow]=77,NA(),M_BOM[PPGridRow]),50),0))/44.26</f>
        <v/>
      </c>
      <c r="AY77">
        <f>SUMPRODUCT((M_BOM[Part Name]=$A77)*M_BOM[RM_Qty_Per_Batch]*IFERROR(INDEX(PP_Grid[#Data],IF(M_BOM[PPGridRow]=77,NA(),M_BOM[PPGridRow]),51),0))/44.26</f>
        <v/>
      </c>
      <c r="AZ77">
        <f>SUMPRODUCT((M_BOM[Part Name]=$A77)*M_BOM[RM_Qty_Per_Batch]*IFERROR(INDEX(PP_Grid[#Data],IF(M_BOM[PPGridRow]=77,NA(),M_BOM[PPGridRow]),52),0))/44.26</f>
        <v/>
      </c>
      <c r="BA77">
        <f>SUMPRODUCT((M_BOM[Part Name]=$A77)*M_BOM[RM_Qty_Per_Batch]*IFERROR(INDEX(PP_Grid[#Data],IF(M_BOM[PPGridRow]=77,NA(),M_BOM[PPGridRow]),53),0))/44.26</f>
        <v/>
      </c>
      <c r="BB77">
        <f>SUMPRODUCT((M_BOM[Part Name]=$A77)*M_BOM[RM_Qty_Per_Batch]*IFERROR(INDEX(PP_Grid[#Data],IF(M_BOM[PPGridRow]=77,NA(),M_BOM[PPGridRow]),54),0))/44.26</f>
        <v/>
      </c>
      <c r="BC77">
        <f>SUMPRODUCT((M_BOM[Part Name]=$A77)*M_BOM[RM_Qty_Per_Batch]*IFERROR(INDEX(PP_Grid[#Data],IF(M_BOM[PPGridRow]=77,NA(),M_BOM[PPGridRow]),55),0))/44.26</f>
        <v/>
      </c>
      <c r="BD77">
        <f>SUMPRODUCT((M_BOM[Part Name]=$A77)*M_BOM[RM_Qty_Per_Batch]*IFERROR(INDEX(PP_Grid[#Data],IF(M_BOM[PPGridRow]=77,NA(),M_BOM[PPGridRow]),56),0))/44.26</f>
        <v/>
      </c>
      <c r="BE77">
        <f>SUMPRODUCT((M_BOM[Part Name]=$A77)*M_BOM[RM_Qty_Per_Batch]*IFERROR(INDEX(PP_Grid[#Data],IF(M_BOM[PPGridRow]=77,NA(),M_BOM[PPGridRow]),57),0))/44.26</f>
        <v/>
      </c>
      <c r="BF77">
        <f>SUMPRODUCT((M_BOM[Part Name]=$A77)*M_BOM[RM_Qty_Per_Batch]*IFERROR(INDEX(PP_Grid[#Data],IF(M_BOM[PPGridRow]=77,NA(),M_BOM[PPGridRow]),58),0))/44.26</f>
        <v/>
      </c>
      <c r="BG77">
        <f>SUMPRODUCT((M_BOM[Part Name]=$A77)*M_BOM[RM_Qty_Per_Batch]*IFERROR(INDEX(PP_Grid[#Data],IF(M_BOM[PPGridRow]=77,NA(),M_BOM[PPGridRow]),59),0))/44.26</f>
        <v/>
      </c>
      <c r="BH77">
        <f>SUMPRODUCT((M_BOM[Part Name]=$A77)*M_BOM[RM_Qty_Per_Batch]*IFERROR(INDEX(PP_Grid[#Data],IF(M_BOM[PPGridRow]=77,NA(),M_BOM[PPGridRow]),60),0))/44.26</f>
        <v/>
      </c>
      <c r="BI77">
        <f>SUMPRODUCT((M_BOM[Part Name]=$A77)*M_BOM[RM_Qty_Per_Batch]*IFERROR(INDEX(PP_Grid[#Data],IF(M_BOM[PPGridRow]=77,NA(),M_BOM[PPGridRow]),61),0))/44.26</f>
        <v/>
      </c>
      <c r="BJ77">
        <f>SUMPRODUCT((M_BOM[Part Name]=$A77)*M_BOM[RM_Qty_Per_Batch]*IFERROR(INDEX(PP_Grid[#Data],IF(M_BOM[PPGridRow]=77,NA(),M_BOM[PPGridRow]),62),0))/44.26</f>
        <v/>
      </c>
      <c r="BK77">
        <f>SUMPRODUCT((M_BOM[Part Name]=$A77)*M_BOM[RM_Qty_Per_Batch]*IFERROR(INDEX(PP_Grid[#Data],IF(M_BOM[PPGridRow]=77,NA(),M_BOM[PPGridRow]),63),0))/44.26</f>
        <v/>
      </c>
      <c r="BL77">
        <f>SUMPRODUCT((M_BOM[Part Name]=$A77)*M_BOM[RM_Qty_Per_Batch]*IFERROR(INDEX(PP_Grid[#Data],IF(M_BOM[PPGridRow]=77,NA(),M_BOM[PPGridRow]),64),0))/44.26</f>
        <v/>
      </c>
      <c r="BM77">
        <f>SUMPRODUCT((M_BOM[Part Name]=$A77)*M_BOM[RM_Qty_Per_Batch]*IFERROR(INDEX(PP_Grid[#Data],IF(M_BOM[PPGridRow]=77,NA(),M_BOM[PPGridRow]),65),0))/44.26</f>
        <v/>
      </c>
      <c r="BN77">
        <f>SUMPRODUCT((M_BOM[Part Name]=$A77)*M_BOM[RM_Qty_Per_Batch]*IFERROR(INDEX(PP_Grid[#Data],IF(M_BOM[PPGridRow]=77,NA(),M_BOM[PPGridRow]),66),0))/44.26</f>
        <v/>
      </c>
      <c r="BO77">
        <f>SUMPRODUCT((M_BOM[Part Name]=$A77)*M_BOM[RM_Qty_Per_Batch]*IFERROR(INDEX(PP_Grid[#Data],IF(M_BOM[PPGridRow]=77,NA(),M_BOM[PPGridRow]),67),0))/44.26</f>
        <v/>
      </c>
      <c r="BP77">
        <f>SUMPRODUCT((M_BOM[Part Name]=$A77)*M_BOM[RM_Qty_Per_Batch]*IFERROR(INDEX(PP_Grid[#Data],IF(M_BOM[PPGridRow]=77,NA(),M_BOM[PPGridRow]),68),0))/44.26</f>
        <v/>
      </c>
      <c r="BQ77">
        <f>SUMPRODUCT((M_BOM[Part Name]=$A77)*M_BOM[RM_Qty_Per_Batch]*IFERROR(INDEX(PP_Grid[#Data],IF(M_BOM[PPGridRow]=77,NA(),M_BOM[PPGridRow]),69),0))/44.26</f>
        <v/>
      </c>
      <c r="BR77">
        <f>SUMPRODUCT((M_BOM[Part Name]=$A77)*M_BOM[RM_Qty_Per_Batch]*IFERROR(INDEX(PP_Grid[#Data],IF(M_BOM[PPGridRow]=77,NA(),M_BOM[PPGridRow]),70),0))/44.26</f>
        <v/>
      </c>
      <c r="BS77">
        <f>SUMPRODUCT((M_BOM[Part Name]=$A77)*M_BOM[RM_Qty_Per_Batch]*IFERROR(INDEX(PP_Grid[#Data],IF(M_BOM[PPGridRow]=77,NA(),M_BOM[PPGridRow]),71),0))/44.26</f>
        <v/>
      </c>
      <c r="BT77">
        <f>SUMPRODUCT((M_BOM[Part Name]=$A77)*M_BOM[RM_Qty_Per_Batch]*IFERROR(INDEX(PP_Grid[#Data],IF(M_BOM[PPGridRow]=77,NA(),M_BOM[PPGridRow]),72),0))/44.26</f>
        <v/>
      </c>
      <c r="BU77">
        <f>SUMPRODUCT((M_BOM[Part Name]=$A77)*M_BOM[RM_Qty_Per_Batch]*IFERROR(INDEX(PP_Grid[#Data],IF(M_BOM[PPGridRow]=77,NA(),M_BOM[PPGridRow]),73),0))/44.26</f>
        <v/>
      </c>
      <c r="BV77">
        <f>SUMPRODUCT((M_BOM[Part Name]=$A77)*M_BOM[RM_Qty_Per_Batch]*IFERROR(INDEX(PP_Grid[#Data],IF(M_BOM[PPGridRow]=77,NA(),M_BOM[PPGridRow]),74),0))/44.26</f>
        <v/>
      </c>
      <c r="BW77">
        <f>SUMPRODUCT((M_BOM[Part Name]=$A77)*M_BOM[RM_Qty_Per_Batch]*IFERROR(INDEX(PP_Grid[#Data],IF(M_BOM[PPGridRow]=77,NA(),M_BOM[PPGridRow]),75),0))/44.26</f>
        <v/>
      </c>
      <c r="BX77">
        <f>SUMPRODUCT((M_BOM[Part Name]=$A77)*M_BOM[RM_Qty_Per_Batch]*IFERROR(INDEX(PP_Grid[#Data],IF(M_BOM[PPGridRow]=77,NA(),M_BOM[PPGridRow]),76),0))/44.26</f>
        <v/>
      </c>
      <c r="BY77">
        <f>SUMPRODUCT((M_BOM[Part Name]=$A77)*M_BOM[RM_Qty_Per_Batch]*IFERROR(INDEX(PP_Grid[#Data],IF(M_BOM[PPGridRow]=77,NA(),M_BOM[PPGridRow]),77),0))/44.26</f>
        <v/>
      </c>
      <c r="BZ77">
        <f>SUMPRODUCT((M_BOM[Part Name]=$A77)*M_BOM[RM_Qty_Per_Batch]*IFERROR(INDEX(PP_Grid[#Data],IF(M_BOM[PPGridRow]=77,NA(),M_BOM[PPGridRow]),78),0))/44.26</f>
        <v/>
      </c>
      <c r="CA77">
        <f>SUMPRODUCT((M_BOM[Part Name]=$A77)*M_BOM[RM_Qty_Per_Batch]*IFERROR(INDEX(PP_Grid[#Data],IF(M_BOM[PPGridRow]=77,NA(),M_BOM[PPGridRow]),79),0))/44.26</f>
        <v/>
      </c>
      <c r="CB77">
        <f>SUMPRODUCT((M_BOM[Part Name]=$A77)*M_BOM[RM_Qty_Per_Batch]*IFERROR(INDEX(PP_Grid[#Data],IF(M_BOM[PPGridRow]=77,NA(),M_BOM[PPGridRow]),80),0))/44.26</f>
        <v/>
      </c>
      <c r="CC77">
        <f>SUMPRODUCT((M_BOM[Part Name]=$A77)*M_BOM[RM_Qty_Per_Batch]*IFERROR(INDEX(PP_Grid[#Data],IF(M_BOM[PPGridRow]=77,NA(),M_BOM[PPGridRow]),81),0))/44.26</f>
        <v/>
      </c>
      <c r="CD77">
        <f>SUMPRODUCT((M_BOM[Part Name]=$A77)*M_BOM[RM_Qty_Per_Batch]*IFERROR(INDEX(PP_Grid[#Data],IF(M_BOM[PPGridRow]=77,NA(),M_BOM[PPGridRow]),82),0))/44.26</f>
        <v/>
      </c>
      <c r="CE77">
        <f>SUMPRODUCT((M_BOM[Part Name]=$A77)*M_BOM[RM_Qty_Per_Batch]*IFERROR(INDEX(PP_Grid[#Data],IF(M_BOM[PPGridRow]=77,NA(),M_BOM[PPGridRow]),83),0))/44.26</f>
        <v/>
      </c>
      <c r="CF77">
        <f>SUMPRODUCT((M_BOM[Part Name]=$A77)*M_BOM[RM_Qty_Per_Batch]*IFERROR(INDEX(PP_Grid[#Data],IF(M_BOM[PPGridRow]=77,NA(),M_BOM[PPGridRow]),84),0))/44.26</f>
        <v/>
      </c>
      <c r="CG77">
        <f>SUMPRODUCT((M_BOM[Part Name]=$A77)*M_BOM[RM_Qty_Per_Batch]*IFERROR(INDEX(PP_Grid[#Data],IF(M_BOM[PPGridRow]=77,NA(),M_BOM[PPGridRow]),85),0))/44.26</f>
        <v/>
      </c>
      <c r="CH77">
        <f>SUMPRODUCT((M_BOM[Part Name]=$A77)*M_BOM[RM_Qty_Per_Batch]*IFERROR(INDEX(PP_Grid[#Data],IF(M_BOM[PPGridRow]=77,NA(),M_BOM[PPGridRow]),86),0))/44.26</f>
        <v/>
      </c>
      <c r="CI77">
        <f>SUMPRODUCT((M_BOM[Part Name]=$A77)*M_BOM[RM_Qty_Per_Batch]*IFERROR(INDEX(PP_Grid[#Data],IF(M_BOM[PPGridRow]=77,NA(),M_BOM[PPGridRow]),87),0))/44.26</f>
        <v/>
      </c>
      <c r="CJ77">
        <f>SUMPRODUCT((M_BOM[Part Name]=$A77)*M_BOM[RM_Qty_Per_Batch]*IFERROR(INDEX(PP_Grid[#Data],IF(M_BOM[PPGridRow]=77,NA(),M_BOM[PPGridRow]),88),0))/44.26</f>
        <v/>
      </c>
      <c r="CK77">
        <f>SUMPRODUCT((M_BOM[Part Name]=$A77)*M_BOM[RM_Qty_Per_Batch]*IFERROR(INDEX(PP_Grid[#Data],IF(M_BOM[PPGridRow]=77,NA(),M_BOM[PPGridRow]),89),0))/44.26</f>
        <v/>
      </c>
      <c r="CL77">
        <f>SUMPRODUCT((M_BOM[Part Name]=$A77)*M_BOM[RM_Qty_Per_Batch]*IFERROR(INDEX(PP_Grid[#Data],IF(M_BOM[PPGridRow]=77,NA(),M_BOM[PPGridRow]),90),0))/44.26</f>
        <v/>
      </c>
      <c r="CM77">
        <f>SUMPRODUCT((M_BOM[Part Name]=$A77)*M_BOM[RM_Qty_Per_Batch]*IFERROR(INDEX(PP_Grid[#Data],IF(M_BOM[PPGridRow]=77,NA(),M_BOM[PPGridRow]),91),0))/44.26</f>
        <v/>
      </c>
      <c r="CN77">
        <f>SUMPRODUCT((M_BOM[Part Name]=$A77)*M_BOM[RM_Qty_Per_Batch]*IFERROR(INDEX(PP_Grid[#Data],IF(M_BOM[PPGridRow]=77,NA(),M_BOM[PPGridRow]),92),0))/44.26</f>
        <v/>
      </c>
      <c r="CO77">
        <f>SUMPRODUCT((M_BOM[Part Name]=$A77)*M_BOM[RM_Qty_Per_Batch]*IFERROR(INDEX(PP_Grid[#Data],IF(M_BOM[PPGridRow]=77,NA(),M_BOM[PPGridRow]),93),0))/44.26</f>
        <v/>
      </c>
      <c r="CP77">
        <f>SUMPRODUCT((M_BOM[Part Name]=$A77)*M_BOM[RM_Qty_Per_Batch]*IFERROR(INDEX(PP_Grid[#Data],IF(M_BOM[PPGridRow]=77,NA(),M_BOM[PPGridRow]),94),0))/44.26</f>
        <v/>
      </c>
      <c r="CQ77">
        <f>SUMPRODUCT((M_BOM[Part Name]=$A77)*M_BOM[RM_Qty_Per_Batch]*IFERROR(INDEX(PP_Grid[#Data],IF(M_BOM[PPGridRow]=77,NA(),M_BOM[PPGridRow]),95),0))/44.26</f>
        <v/>
      </c>
      <c r="CR77">
        <f>SUMPRODUCT((M_BOM[Part Name]=$A77)*M_BOM[RM_Qty_Per_Batch]*IFERROR(INDEX(PP_Grid[#Data],IF(M_BOM[PPGridRow]=77,NA(),M_BOM[PPGridRow]),96),0))/44.26</f>
        <v/>
      </c>
      <c r="CS77">
        <f>SUMPRODUCT((M_BOM[Part Name]=$A77)*M_BOM[RM_Qty_Per_Batch]*IFERROR(INDEX(PP_Grid[#Data],IF(M_BOM[PPGridRow]=77,NA(),M_BOM[PPGridRow]),97),0))/44.26</f>
        <v/>
      </c>
      <c r="CT77">
        <f>SUMPRODUCT((M_BOM[Part Name]=$A77)*M_BOM[RM_Qty_Per_Batch]*IFERROR(INDEX(PP_Grid[#Data],IF(M_BOM[PPGridRow]=77,NA(),M_BOM[PPGridRow]),98),0))/44.26</f>
        <v/>
      </c>
      <c r="CU77">
        <f>SUMPRODUCT((M_BOM[Part Name]=$A77)*M_BOM[RM_Qty_Per_Batch]*IFERROR(INDEX(PP_Grid[#Data],IF(M_BOM[PPGridRow]=77,NA(),M_BOM[PPGridRow]),99),0))/44.26</f>
        <v/>
      </c>
      <c r="CV77">
        <f>SUMPRODUCT((M_BOM[Part Name]=$A77)*M_BOM[RM_Qty_Per_Batch]*IFERROR(INDEX(PP_Grid[#Data],IF(M_BOM[PPGridRow]=77,NA(),M_BOM[PPGridRow]),100),0))/44.26</f>
        <v/>
      </c>
      <c r="CW77">
        <f>SUMPRODUCT((M_BOM[Part Name]=$A77)*M_BOM[RM_Qty_Per_Batch]*IFERROR(INDEX(PP_Grid[#Data],IF(M_BOM[PPGridRow]=77,NA(),M_BOM[PPGridRow]),101),0))/44.26</f>
        <v/>
      </c>
      <c r="CX77">
        <f>SUMPRODUCT((M_BOM[Part Name]=$A77)*M_BOM[RM_Qty_Per_Batch]*IFERROR(INDEX(PP_Grid[#Data],IF(M_BOM[PPGridRow]=77,NA(),M_BOM[PPGridRow]),102),0))/44.26</f>
        <v/>
      </c>
      <c r="CY77">
        <f>SUMPRODUCT((M_BOM[Part Name]=$A77)*M_BOM[RM_Qty_Per_Batch]*IFERROR(INDEX(PP_Grid[#Data],IF(M_BOM[PPGridRow]=77,NA(),M_BOM[PPGridRow]),103),0))/44.26</f>
        <v/>
      </c>
      <c r="CZ77">
        <f>SUMPRODUCT((M_BOM[Part Name]=$A77)*M_BOM[RM_Qty_Per_Batch]*IFERROR(INDEX(PP_Grid[#Data],IF(M_BOM[PPGridRow]=77,NA(),M_BOM[PPGridRow]),104),0))/44.26</f>
        <v/>
      </c>
      <c r="DA77">
        <f>SUMPRODUCT((M_BOM[Part Name]=$A77)*M_BOM[RM_Qty_Per_Batch]*IFERROR(INDEX(PP_Grid[#Data],IF(M_BOM[PPGridRow]=77,NA(),M_BOM[PPGridRow]),105),0))/44.26</f>
        <v/>
      </c>
    </row>
    <row r="78">
      <c r="A78" t="inlineStr">
        <is>
          <t>TPP-649</t>
        </is>
      </c>
      <c r="B78">
        <f>SUMPRODUCT((M_BOM[Part Name]=$A78)*M_BOM[RM_Qty_Per_Batch]*IFERROR(INDEX(PP_Grid[#Data],IF(M_BOM[PPGridRow]=78,NA(),M_BOM[PPGridRow]),2),0))/32.24</f>
        <v/>
      </c>
      <c r="C78">
        <f>SUMPRODUCT((M_BOM[Part Name]=$A78)*M_BOM[RM_Qty_Per_Batch]*IFERROR(INDEX(PP_Grid[#Data],IF(M_BOM[PPGridRow]=78,NA(),M_BOM[PPGridRow]),3),0))/32.24</f>
        <v/>
      </c>
      <c r="D78">
        <f>SUMPRODUCT((M_BOM[Part Name]=$A78)*M_BOM[RM_Qty_Per_Batch]*IFERROR(INDEX(PP_Grid[#Data],IF(M_BOM[PPGridRow]=78,NA(),M_BOM[PPGridRow]),4),0))/32.24</f>
        <v/>
      </c>
      <c r="E78">
        <f>SUMPRODUCT((M_BOM[Part Name]=$A78)*M_BOM[RM_Qty_Per_Batch]*IFERROR(INDEX(PP_Grid[#Data],IF(M_BOM[PPGridRow]=78,NA(),M_BOM[PPGridRow]),5),0))/32.24</f>
        <v/>
      </c>
      <c r="F78">
        <f>SUMPRODUCT((M_BOM[Part Name]=$A78)*M_BOM[RM_Qty_Per_Batch]*IFERROR(INDEX(PP_Grid[#Data],IF(M_BOM[PPGridRow]=78,NA(),M_BOM[PPGridRow]),6),0))/32.24</f>
        <v/>
      </c>
      <c r="G78">
        <f>SUMPRODUCT((M_BOM[Part Name]=$A78)*M_BOM[RM_Qty_Per_Batch]*IFERROR(INDEX(PP_Grid[#Data],IF(M_BOM[PPGridRow]=78,NA(),M_BOM[PPGridRow]),7),0))/32.24</f>
        <v/>
      </c>
      <c r="H78">
        <f>SUMPRODUCT((M_BOM[Part Name]=$A78)*M_BOM[RM_Qty_Per_Batch]*IFERROR(INDEX(PP_Grid[#Data],IF(M_BOM[PPGridRow]=78,NA(),M_BOM[PPGridRow]),8),0))/32.24</f>
        <v/>
      </c>
      <c r="I78">
        <f>SUMPRODUCT((M_BOM[Part Name]=$A78)*M_BOM[RM_Qty_Per_Batch]*IFERROR(INDEX(PP_Grid[#Data],IF(M_BOM[PPGridRow]=78,NA(),M_BOM[PPGridRow]),9),0))/32.24</f>
        <v/>
      </c>
      <c r="J78">
        <f>SUMPRODUCT((M_BOM[Part Name]=$A78)*M_BOM[RM_Qty_Per_Batch]*IFERROR(INDEX(PP_Grid[#Data],IF(M_BOM[PPGridRow]=78,NA(),M_BOM[PPGridRow]),10),0))/32.24</f>
        <v/>
      </c>
      <c r="K78">
        <f>SUMPRODUCT((M_BOM[Part Name]=$A78)*M_BOM[RM_Qty_Per_Batch]*IFERROR(INDEX(PP_Grid[#Data],IF(M_BOM[PPGridRow]=78,NA(),M_BOM[PPGridRow]),11),0))/32.24</f>
        <v/>
      </c>
      <c r="L78">
        <f>SUMPRODUCT((M_BOM[Part Name]=$A78)*M_BOM[RM_Qty_Per_Batch]*IFERROR(INDEX(PP_Grid[#Data],IF(M_BOM[PPGridRow]=78,NA(),M_BOM[PPGridRow]),12),0))/32.24</f>
        <v/>
      </c>
      <c r="M78">
        <f>SUMPRODUCT((M_BOM[Part Name]=$A78)*M_BOM[RM_Qty_Per_Batch]*IFERROR(INDEX(PP_Grid[#Data],IF(M_BOM[PPGridRow]=78,NA(),M_BOM[PPGridRow]),13),0))/32.24</f>
        <v/>
      </c>
      <c r="N78">
        <f>SUMPRODUCT((M_BOM[Part Name]=$A78)*M_BOM[RM_Qty_Per_Batch]*IFERROR(INDEX(PP_Grid[#Data],IF(M_BOM[PPGridRow]=78,NA(),M_BOM[PPGridRow]),14),0))/32.24</f>
        <v/>
      </c>
      <c r="O78">
        <f>SUMPRODUCT((M_BOM[Part Name]=$A78)*M_BOM[RM_Qty_Per_Batch]*IFERROR(INDEX(PP_Grid[#Data],IF(M_BOM[PPGridRow]=78,NA(),M_BOM[PPGridRow]),15),0))/32.24</f>
        <v/>
      </c>
      <c r="P78">
        <f>SUMPRODUCT((M_BOM[Part Name]=$A78)*M_BOM[RM_Qty_Per_Batch]*IFERROR(INDEX(PP_Grid[#Data],IF(M_BOM[PPGridRow]=78,NA(),M_BOM[PPGridRow]),16),0))/32.24</f>
        <v/>
      </c>
      <c r="Q78">
        <f>SUMPRODUCT((M_BOM[Part Name]=$A78)*M_BOM[RM_Qty_Per_Batch]*IFERROR(INDEX(PP_Grid[#Data],IF(M_BOM[PPGridRow]=78,NA(),M_BOM[PPGridRow]),17),0))/32.24</f>
        <v/>
      </c>
      <c r="R78">
        <f>SUMPRODUCT((M_BOM[Part Name]=$A78)*M_BOM[RM_Qty_Per_Batch]*IFERROR(INDEX(PP_Grid[#Data],IF(M_BOM[PPGridRow]=78,NA(),M_BOM[PPGridRow]),18),0))/32.24</f>
        <v/>
      </c>
      <c r="S78">
        <f>SUMPRODUCT((M_BOM[Part Name]=$A78)*M_BOM[RM_Qty_Per_Batch]*IFERROR(INDEX(PP_Grid[#Data],IF(M_BOM[PPGridRow]=78,NA(),M_BOM[PPGridRow]),19),0))/32.24</f>
        <v/>
      </c>
      <c r="T78">
        <f>SUMPRODUCT((M_BOM[Part Name]=$A78)*M_BOM[RM_Qty_Per_Batch]*IFERROR(INDEX(PP_Grid[#Data],IF(M_BOM[PPGridRow]=78,NA(),M_BOM[PPGridRow]),20),0))/32.24</f>
        <v/>
      </c>
      <c r="U78">
        <f>SUMPRODUCT((M_BOM[Part Name]=$A78)*M_BOM[RM_Qty_Per_Batch]*IFERROR(INDEX(PP_Grid[#Data],IF(M_BOM[PPGridRow]=78,NA(),M_BOM[PPGridRow]),21),0))/32.24</f>
        <v/>
      </c>
      <c r="V78">
        <f>SUMPRODUCT((M_BOM[Part Name]=$A78)*M_BOM[RM_Qty_Per_Batch]*IFERROR(INDEX(PP_Grid[#Data],IF(M_BOM[PPGridRow]=78,NA(),M_BOM[PPGridRow]),22),0))/32.24</f>
        <v/>
      </c>
      <c r="W78">
        <f>SUMPRODUCT((M_BOM[Part Name]=$A78)*M_BOM[RM_Qty_Per_Batch]*IFERROR(INDEX(PP_Grid[#Data],IF(M_BOM[PPGridRow]=78,NA(),M_BOM[PPGridRow]),23),0))/32.24</f>
        <v/>
      </c>
      <c r="X78">
        <f>SUMPRODUCT((M_BOM[Part Name]=$A78)*M_BOM[RM_Qty_Per_Batch]*IFERROR(INDEX(PP_Grid[#Data],IF(M_BOM[PPGridRow]=78,NA(),M_BOM[PPGridRow]),24),0))/32.24</f>
        <v/>
      </c>
      <c r="Y78">
        <f>SUMPRODUCT((M_BOM[Part Name]=$A78)*M_BOM[RM_Qty_Per_Batch]*IFERROR(INDEX(PP_Grid[#Data],IF(M_BOM[PPGridRow]=78,NA(),M_BOM[PPGridRow]),25),0))/32.24</f>
        <v/>
      </c>
      <c r="Z78">
        <f>SUMPRODUCT((M_BOM[Part Name]=$A78)*M_BOM[RM_Qty_Per_Batch]*IFERROR(INDEX(PP_Grid[#Data],IF(M_BOM[PPGridRow]=78,NA(),M_BOM[PPGridRow]),26),0))/32.24</f>
        <v/>
      </c>
      <c r="AA78">
        <f>SUMPRODUCT((M_BOM[Part Name]=$A78)*M_BOM[RM_Qty_Per_Batch]*IFERROR(INDEX(PP_Grid[#Data],IF(M_BOM[PPGridRow]=78,NA(),M_BOM[PPGridRow]),27),0))/32.24</f>
        <v/>
      </c>
      <c r="AB78">
        <f>SUMPRODUCT((M_BOM[Part Name]=$A78)*M_BOM[RM_Qty_Per_Batch]*IFERROR(INDEX(PP_Grid[#Data],IF(M_BOM[PPGridRow]=78,NA(),M_BOM[PPGridRow]),28),0))/32.24</f>
        <v/>
      </c>
      <c r="AC78">
        <f>SUMPRODUCT((M_BOM[Part Name]=$A78)*M_BOM[RM_Qty_Per_Batch]*IFERROR(INDEX(PP_Grid[#Data],IF(M_BOM[PPGridRow]=78,NA(),M_BOM[PPGridRow]),29),0))/32.24</f>
        <v/>
      </c>
      <c r="AD78">
        <f>SUMPRODUCT((M_BOM[Part Name]=$A78)*M_BOM[RM_Qty_Per_Batch]*IFERROR(INDEX(PP_Grid[#Data],IF(M_BOM[PPGridRow]=78,NA(),M_BOM[PPGridRow]),30),0))/32.24</f>
        <v/>
      </c>
      <c r="AE78">
        <f>SUMPRODUCT((M_BOM[Part Name]=$A78)*M_BOM[RM_Qty_Per_Batch]*IFERROR(INDEX(PP_Grid[#Data],IF(M_BOM[PPGridRow]=78,NA(),M_BOM[PPGridRow]),31),0))/32.24</f>
        <v/>
      </c>
      <c r="AF78">
        <f>SUMPRODUCT((M_BOM[Part Name]=$A78)*M_BOM[RM_Qty_Per_Batch]*IFERROR(INDEX(PP_Grid[#Data],IF(M_BOM[PPGridRow]=78,NA(),M_BOM[PPGridRow]),32),0))/32.24</f>
        <v/>
      </c>
      <c r="AG78">
        <f>SUMPRODUCT((M_BOM[Part Name]=$A78)*M_BOM[RM_Qty_Per_Batch]*IFERROR(INDEX(PP_Grid[#Data],IF(M_BOM[PPGridRow]=78,NA(),M_BOM[PPGridRow]),33),0))/32.24</f>
        <v/>
      </c>
      <c r="AH78">
        <f>SUMPRODUCT((M_BOM[Part Name]=$A78)*M_BOM[RM_Qty_Per_Batch]*IFERROR(INDEX(PP_Grid[#Data],IF(M_BOM[PPGridRow]=78,NA(),M_BOM[PPGridRow]),34),0))/32.24</f>
        <v/>
      </c>
      <c r="AI78">
        <f>SUMPRODUCT((M_BOM[Part Name]=$A78)*M_BOM[RM_Qty_Per_Batch]*IFERROR(INDEX(PP_Grid[#Data],IF(M_BOM[PPGridRow]=78,NA(),M_BOM[PPGridRow]),35),0))/32.24</f>
        <v/>
      </c>
      <c r="AJ78">
        <f>SUMPRODUCT((M_BOM[Part Name]=$A78)*M_BOM[RM_Qty_Per_Batch]*IFERROR(INDEX(PP_Grid[#Data],IF(M_BOM[PPGridRow]=78,NA(),M_BOM[PPGridRow]),36),0))/32.24</f>
        <v/>
      </c>
      <c r="AK78">
        <f>SUMPRODUCT((M_BOM[Part Name]=$A78)*M_BOM[RM_Qty_Per_Batch]*IFERROR(INDEX(PP_Grid[#Data],IF(M_BOM[PPGridRow]=78,NA(),M_BOM[PPGridRow]),37),0))/32.24</f>
        <v/>
      </c>
      <c r="AL78">
        <f>SUMPRODUCT((M_BOM[Part Name]=$A78)*M_BOM[RM_Qty_Per_Batch]*IFERROR(INDEX(PP_Grid[#Data],IF(M_BOM[PPGridRow]=78,NA(),M_BOM[PPGridRow]),38),0))/32.24</f>
        <v/>
      </c>
      <c r="AM78">
        <f>SUMPRODUCT((M_BOM[Part Name]=$A78)*M_BOM[RM_Qty_Per_Batch]*IFERROR(INDEX(PP_Grid[#Data],IF(M_BOM[PPGridRow]=78,NA(),M_BOM[PPGridRow]),39),0))/32.24</f>
        <v/>
      </c>
      <c r="AN78">
        <f>SUMPRODUCT((M_BOM[Part Name]=$A78)*M_BOM[RM_Qty_Per_Batch]*IFERROR(INDEX(PP_Grid[#Data],IF(M_BOM[PPGridRow]=78,NA(),M_BOM[PPGridRow]),40),0))/32.24</f>
        <v/>
      </c>
      <c r="AO78">
        <f>SUMPRODUCT((M_BOM[Part Name]=$A78)*M_BOM[RM_Qty_Per_Batch]*IFERROR(INDEX(PP_Grid[#Data],IF(M_BOM[PPGridRow]=78,NA(),M_BOM[PPGridRow]),41),0))/32.24</f>
        <v/>
      </c>
      <c r="AP78">
        <f>SUMPRODUCT((M_BOM[Part Name]=$A78)*M_BOM[RM_Qty_Per_Batch]*IFERROR(INDEX(PP_Grid[#Data],IF(M_BOM[PPGridRow]=78,NA(),M_BOM[PPGridRow]),42),0))/32.24</f>
        <v/>
      </c>
      <c r="AQ78">
        <f>SUMPRODUCT((M_BOM[Part Name]=$A78)*M_BOM[RM_Qty_Per_Batch]*IFERROR(INDEX(PP_Grid[#Data],IF(M_BOM[PPGridRow]=78,NA(),M_BOM[PPGridRow]),43),0))/32.24</f>
        <v/>
      </c>
      <c r="AR78">
        <f>SUMPRODUCT((M_BOM[Part Name]=$A78)*M_BOM[RM_Qty_Per_Batch]*IFERROR(INDEX(PP_Grid[#Data],IF(M_BOM[PPGridRow]=78,NA(),M_BOM[PPGridRow]),44),0))/32.24</f>
        <v/>
      </c>
      <c r="AS78">
        <f>SUMPRODUCT((M_BOM[Part Name]=$A78)*M_BOM[RM_Qty_Per_Batch]*IFERROR(INDEX(PP_Grid[#Data],IF(M_BOM[PPGridRow]=78,NA(),M_BOM[PPGridRow]),45),0))/32.24</f>
        <v/>
      </c>
      <c r="AT78">
        <f>SUMPRODUCT((M_BOM[Part Name]=$A78)*M_BOM[RM_Qty_Per_Batch]*IFERROR(INDEX(PP_Grid[#Data],IF(M_BOM[PPGridRow]=78,NA(),M_BOM[PPGridRow]),46),0))/32.24</f>
        <v/>
      </c>
      <c r="AU78">
        <f>SUMPRODUCT((M_BOM[Part Name]=$A78)*M_BOM[RM_Qty_Per_Batch]*IFERROR(INDEX(PP_Grid[#Data],IF(M_BOM[PPGridRow]=78,NA(),M_BOM[PPGridRow]),47),0))/32.24</f>
        <v/>
      </c>
      <c r="AV78">
        <f>SUMPRODUCT((M_BOM[Part Name]=$A78)*M_BOM[RM_Qty_Per_Batch]*IFERROR(INDEX(PP_Grid[#Data],IF(M_BOM[PPGridRow]=78,NA(),M_BOM[PPGridRow]),48),0))/32.24</f>
        <v/>
      </c>
      <c r="AW78">
        <f>SUMPRODUCT((M_BOM[Part Name]=$A78)*M_BOM[RM_Qty_Per_Batch]*IFERROR(INDEX(PP_Grid[#Data],IF(M_BOM[PPGridRow]=78,NA(),M_BOM[PPGridRow]),49),0))/32.24</f>
        <v/>
      </c>
      <c r="AX78">
        <f>SUMPRODUCT((M_BOM[Part Name]=$A78)*M_BOM[RM_Qty_Per_Batch]*IFERROR(INDEX(PP_Grid[#Data],IF(M_BOM[PPGridRow]=78,NA(),M_BOM[PPGridRow]),50),0))/32.24</f>
        <v/>
      </c>
      <c r="AY78">
        <f>SUMPRODUCT((M_BOM[Part Name]=$A78)*M_BOM[RM_Qty_Per_Batch]*IFERROR(INDEX(PP_Grid[#Data],IF(M_BOM[PPGridRow]=78,NA(),M_BOM[PPGridRow]),51),0))/32.24</f>
        <v/>
      </c>
      <c r="AZ78">
        <f>SUMPRODUCT((M_BOM[Part Name]=$A78)*M_BOM[RM_Qty_Per_Batch]*IFERROR(INDEX(PP_Grid[#Data],IF(M_BOM[PPGridRow]=78,NA(),M_BOM[PPGridRow]),52),0))/32.24</f>
        <v/>
      </c>
      <c r="BA78">
        <f>SUMPRODUCT((M_BOM[Part Name]=$A78)*M_BOM[RM_Qty_Per_Batch]*IFERROR(INDEX(PP_Grid[#Data],IF(M_BOM[PPGridRow]=78,NA(),M_BOM[PPGridRow]),53),0))/32.24</f>
        <v/>
      </c>
      <c r="BB78">
        <f>SUMPRODUCT((M_BOM[Part Name]=$A78)*M_BOM[RM_Qty_Per_Batch]*IFERROR(INDEX(PP_Grid[#Data],IF(M_BOM[PPGridRow]=78,NA(),M_BOM[PPGridRow]),54),0))/32.24</f>
        <v/>
      </c>
      <c r="BC78">
        <f>SUMPRODUCT((M_BOM[Part Name]=$A78)*M_BOM[RM_Qty_Per_Batch]*IFERROR(INDEX(PP_Grid[#Data],IF(M_BOM[PPGridRow]=78,NA(),M_BOM[PPGridRow]),55),0))/32.24</f>
        <v/>
      </c>
      <c r="BD78">
        <f>SUMPRODUCT((M_BOM[Part Name]=$A78)*M_BOM[RM_Qty_Per_Batch]*IFERROR(INDEX(PP_Grid[#Data],IF(M_BOM[PPGridRow]=78,NA(),M_BOM[PPGridRow]),56),0))/32.24</f>
        <v/>
      </c>
      <c r="BE78">
        <f>SUMPRODUCT((M_BOM[Part Name]=$A78)*M_BOM[RM_Qty_Per_Batch]*IFERROR(INDEX(PP_Grid[#Data],IF(M_BOM[PPGridRow]=78,NA(),M_BOM[PPGridRow]),57),0))/32.24</f>
        <v/>
      </c>
      <c r="BF78">
        <f>SUMPRODUCT((M_BOM[Part Name]=$A78)*M_BOM[RM_Qty_Per_Batch]*IFERROR(INDEX(PP_Grid[#Data],IF(M_BOM[PPGridRow]=78,NA(),M_BOM[PPGridRow]),58),0))/32.24</f>
        <v/>
      </c>
      <c r="BG78">
        <f>SUMPRODUCT((M_BOM[Part Name]=$A78)*M_BOM[RM_Qty_Per_Batch]*IFERROR(INDEX(PP_Grid[#Data],IF(M_BOM[PPGridRow]=78,NA(),M_BOM[PPGridRow]),59),0))/32.24</f>
        <v/>
      </c>
      <c r="BH78">
        <f>SUMPRODUCT((M_BOM[Part Name]=$A78)*M_BOM[RM_Qty_Per_Batch]*IFERROR(INDEX(PP_Grid[#Data],IF(M_BOM[PPGridRow]=78,NA(),M_BOM[PPGridRow]),60),0))/32.24</f>
        <v/>
      </c>
      <c r="BI78">
        <f>SUMPRODUCT((M_BOM[Part Name]=$A78)*M_BOM[RM_Qty_Per_Batch]*IFERROR(INDEX(PP_Grid[#Data],IF(M_BOM[PPGridRow]=78,NA(),M_BOM[PPGridRow]),61),0))/32.24</f>
        <v/>
      </c>
      <c r="BJ78">
        <f>SUMPRODUCT((M_BOM[Part Name]=$A78)*M_BOM[RM_Qty_Per_Batch]*IFERROR(INDEX(PP_Grid[#Data],IF(M_BOM[PPGridRow]=78,NA(),M_BOM[PPGridRow]),62),0))/32.24</f>
        <v/>
      </c>
      <c r="BK78">
        <f>SUMPRODUCT((M_BOM[Part Name]=$A78)*M_BOM[RM_Qty_Per_Batch]*IFERROR(INDEX(PP_Grid[#Data],IF(M_BOM[PPGridRow]=78,NA(),M_BOM[PPGridRow]),63),0))/32.24</f>
        <v/>
      </c>
      <c r="BL78">
        <f>SUMPRODUCT((M_BOM[Part Name]=$A78)*M_BOM[RM_Qty_Per_Batch]*IFERROR(INDEX(PP_Grid[#Data],IF(M_BOM[PPGridRow]=78,NA(),M_BOM[PPGridRow]),64),0))/32.24</f>
        <v/>
      </c>
      <c r="BM78">
        <f>SUMPRODUCT((M_BOM[Part Name]=$A78)*M_BOM[RM_Qty_Per_Batch]*IFERROR(INDEX(PP_Grid[#Data],IF(M_BOM[PPGridRow]=78,NA(),M_BOM[PPGridRow]),65),0))/32.24</f>
        <v/>
      </c>
      <c r="BN78">
        <f>SUMPRODUCT((M_BOM[Part Name]=$A78)*M_BOM[RM_Qty_Per_Batch]*IFERROR(INDEX(PP_Grid[#Data],IF(M_BOM[PPGridRow]=78,NA(),M_BOM[PPGridRow]),66),0))/32.24</f>
        <v/>
      </c>
      <c r="BO78">
        <f>SUMPRODUCT((M_BOM[Part Name]=$A78)*M_BOM[RM_Qty_Per_Batch]*IFERROR(INDEX(PP_Grid[#Data],IF(M_BOM[PPGridRow]=78,NA(),M_BOM[PPGridRow]),67),0))/32.24</f>
        <v/>
      </c>
      <c r="BP78">
        <f>SUMPRODUCT((M_BOM[Part Name]=$A78)*M_BOM[RM_Qty_Per_Batch]*IFERROR(INDEX(PP_Grid[#Data],IF(M_BOM[PPGridRow]=78,NA(),M_BOM[PPGridRow]),68),0))/32.24</f>
        <v/>
      </c>
      <c r="BQ78">
        <f>SUMPRODUCT((M_BOM[Part Name]=$A78)*M_BOM[RM_Qty_Per_Batch]*IFERROR(INDEX(PP_Grid[#Data],IF(M_BOM[PPGridRow]=78,NA(),M_BOM[PPGridRow]),69),0))/32.24</f>
        <v/>
      </c>
      <c r="BR78">
        <f>SUMPRODUCT((M_BOM[Part Name]=$A78)*M_BOM[RM_Qty_Per_Batch]*IFERROR(INDEX(PP_Grid[#Data],IF(M_BOM[PPGridRow]=78,NA(),M_BOM[PPGridRow]),70),0))/32.24</f>
        <v/>
      </c>
      <c r="BS78">
        <f>SUMPRODUCT((M_BOM[Part Name]=$A78)*M_BOM[RM_Qty_Per_Batch]*IFERROR(INDEX(PP_Grid[#Data],IF(M_BOM[PPGridRow]=78,NA(),M_BOM[PPGridRow]),71),0))/32.24</f>
        <v/>
      </c>
      <c r="BT78">
        <f>SUMPRODUCT((M_BOM[Part Name]=$A78)*M_BOM[RM_Qty_Per_Batch]*IFERROR(INDEX(PP_Grid[#Data],IF(M_BOM[PPGridRow]=78,NA(),M_BOM[PPGridRow]),72),0))/32.24</f>
        <v/>
      </c>
      <c r="BU78">
        <f>SUMPRODUCT((M_BOM[Part Name]=$A78)*M_BOM[RM_Qty_Per_Batch]*IFERROR(INDEX(PP_Grid[#Data],IF(M_BOM[PPGridRow]=78,NA(),M_BOM[PPGridRow]),73),0))/32.24</f>
        <v/>
      </c>
      <c r="BV78">
        <f>SUMPRODUCT((M_BOM[Part Name]=$A78)*M_BOM[RM_Qty_Per_Batch]*IFERROR(INDEX(PP_Grid[#Data],IF(M_BOM[PPGridRow]=78,NA(),M_BOM[PPGridRow]),74),0))/32.24</f>
        <v/>
      </c>
      <c r="BW78">
        <f>SUMPRODUCT((M_BOM[Part Name]=$A78)*M_BOM[RM_Qty_Per_Batch]*IFERROR(INDEX(PP_Grid[#Data],IF(M_BOM[PPGridRow]=78,NA(),M_BOM[PPGridRow]),75),0))/32.24</f>
        <v/>
      </c>
      <c r="BX78">
        <f>SUMPRODUCT((M_BOM[Part Name]=$A78)*M_BOM[RM_Qty_Per_Batch]*IFERROR(INDEX(PP_Grid[#Data],IF(M_BOM[PPGridRow]=78,NA(),M_BOM[PPGridRow]),76),0))/32.24</f>
        <v/>
      </c>
      <c r="BY78">
        <f>SUMPRODUCT((M_BOM[Part Name]=$A78)*M_BOM[RM_Qty_Per_Batch]*IFERROR(INDEX(PP_Grid[#Data],IF(M_BOM[PPGridRow]=78,NA(),M_BOM[PPGridRow]),77),0))/32.24</f>
        <v/>
      </c>
      <c r="BZ78">
        <f>SUMPRODUCT((M_BOM[Part Name]=$A78)*M_BOM[RM_Qty_Per_Batch]*IFERROR(INDEX(PP_Grid[#Data],IF(M_BOM[PPGridRow]=78,NA(),M_BOM[PPGridRow]),78),0))/32.24</f>
        <v/>
      </c>
      <c r="CA78">
        <f>SUMPRODUCT((M_BOM[Part Name]=$A78)*M_BOM[RM_Qty_Per_Batch]*IFERROR(INDEX(PP_Grid[#Data],IF(M_BOM[PPGridRow]=78,NA(),M_BOM[PPGridRow]),79),0))/32.24</f>
        <v/>
      </c>
      <c r="CB78">
        <f>SUMPRODUCT((M_BOM[Part Name]=$A78)*M_BOM[RM_Qty_Per_Batch]*IFERROR(INDEX(PP_Grid[#Data],IF(M_BOM[PPGridRow]=78,NA(),M_BOM[PPGridRow]),80),0))/32.24</f>
        <v/>
      </c>
      <c r="CC78">
        <f>SUMPRODUCT((M_BOM[Part Name]=$A78)*M_BOM[RM_Qty_Per_Batch]*IFERROR(INDEX(PP_Grid[#Data],IF(M_BOM[PPGridRow]=78,NA(),M_BOM[PPGridRow]),81),0))/32.24</f>
        <v/>
      </c>
      <c r="CD78">
        <f>SUMPRODUCT((M_BOM[Part Name]=$A78)*M_BOM[RM_Qty_Per_Batch]*IFERROR(INDEX(PP_Grid[#Data],IF(M_BOM[PPGridRow]=78,NA(),M_BOM[PPGridRow]),82),0))/32.24</f>
        <v/>
      </c>
      <c r="CE78">
        <f>SUMPRODUCT((M_BOM[Part Name]=$A78)*M_BOM[RM_Qty_Per_Batch]*IFERROR(INDEX(PP_Grid[#Data],IF(M_BOM[PPGridRow]=78,NA(),M_BOM[PPGridRow]),83),0))/32.24</f>
        <v/>
      </c>
      <c r="CF78">
        <f>SUMPRODUCT((M_BOM[Part Name]=$A78)*M_BOM[RM_Qty_Per_Batch]*IFERROR(INDEX(PP_Grid[#Data],IF(M_BOM[PPGridRow]=78,NA(),M_BOM[PPGridRow]),84),0))/32.24</f>
        <v/>
      </c>
      <c r="CG78">
        <f>SUMPRODUCT((M_BOM[Part Name]=$A78)*M_BOM[RM_Qty_Per_Batch]*IFERROR(INDEX(PP_Grid[#Data],IF(M_BOM[PPGridRow]=78,NA(),M_BOM[PPGridRow]),85),0))/32.24</f>
        <v/>
      </c>
      <c r="CH78">
        <f>SUMPRODUCT((M_BOM[Part Name]=$A78)*M_BOM[RM_Qty_Per_Batch]*IFERROR(INDEX(PP_Grid[#Data],IF(M_BOM[PPGridRow]=78,NA(),M_BOM[PPGridRow]),86),0))/32.24</f>
        <v/>
      </c>
      <c r="CI78">
        <f>SUMPRODUCT((M_BOM[Part Name]=$A78)*M_BOM[RM_Qty_Per_Batch]*IFERROR(INDEX(PP_Grid[#Data],IF(M_BOM[PPGridRow]=78,NA(),M_BOM[PPGridRow]),87),0))/32.24</f>
        <v/>
      </c>
      <c r="CJ78">
        <f>SUMPRODUCT((M_BOM[Part Name]=$A78)*M_BOM[RM_Qty_Per_Batch]*IFERROR(INDEX(PP_Grid[#Data],IF(M_BOM[PPGridRow]=78,NA(),M_BOM[PPGridRow]),88),0))/32.24</f>
        <v/>
      </c>
      <c r="CK78">
        <f>SUMPRODUCT((M_BOM[Part Name]=$A78)*M_BOM[RM_Qty_Per_Batch]*IFERROR(INDEX(PP_Grid[#Data],IF(M_BOM[PPGridRow]=78,NA(),M_BOM[PPGridRow]),89),0))/32.24</f>
        <v/>
      </c>
      <c r="CL78">
        <f>SUMPRODUCT((M_BOM[Part Name]=$A78)*M_BOM[RM_Qty_Per_Batch]*IFERROR(INDEX(PP_Grid[#Data],IF(M_BOM[PPGridRow]=78,NA(),M_BOM[PPGridRow]),90),0))/32.24</f>
        <v/>
      </c>
      <c r="CM78">
        <f>SUMPRODUCT((M_BOM[Part Name]=$A78)*M_BOM[RM_Qty_Per_Batch]*IFERROR(INDEX(PP_Grid[#Data],IF(M_BOM[PPGridRow]=78,NA(),M_BOM[PPGridRow]),91),0))/32.24</f>
        <v/>
      </c>
      <c r="CN78">
        <f>SUMPRODUCT((M_BOM[Part Name]=$A78)*M_BOM[RM_Qty_Per_Batch]*IFERROR(INDEX(PP_Grid[#Data],IF(M_BOM[PPGridRow]=78,NA(),M_BOM[PPGridRow]),92),0))/32.24</f>
        <v/>
      </c>
      <c r="CO78">
        <f>SUMPRODUCT((M_BOM[Part Name]=$A78)*M_BOM[RM_Qty_Per_Batch]*IFERROR(INDEX(PP_Grid[#Data],IF(M_BOM[PPGridRow]=78,NA(),M_BOM[PPGridRow]),93),0))/32.24</f>
        <v/>
      </c>
      <c r="CP78">
        <f>SUMPRODUCT((M_BOM[Part Name]=$A78)*M_BOM[RM_Qty_Per_Batch]*IFERROR(INDEX(PP_Grid[#Data],IF(M_BOM[PPGridRow]=78,NA(),M_BOM[PPGridRow]),94),0))/32.24</f>
        <v/>
      </c>
      <c r="CQ78">
        <f>SUMPRODUCT((M_BOM[Part Name]=$A78)*M_BOM[RM_Qty_Per_Batch]*IFERROR(INDEX(PP_Grid[#Data],IF(M_BOM[PPGridRow]=78,NA(),M_BOM[PPGridRow]),95),0))/32.24</f>
        <v/>
      </c>
      <c r="CR78">
        <f>SUMPRODUCT((M_BOM[Part Name]=$A78)*M_BOM[RM_Qty_Per_Batch]*IFERROR(INDEX(PP_Grid[#Data],IF(M_BOM[PPGridRow]=78,NA(),M_BOM[PPGridRow]),96),0))/32.24</f>
        <v/>
      </c>
      <c r="CS78">
        <f>SUMPRODUCT((M_BOM[Part Name]=$A78)*M_BOM[RM_Qty_Per_Batch]*IFERROR(INDEX(PP_Grid[#Data],IF(M_BOM[PPGridRow]=78,NA(),M_BOM[PPGridRow]),97),0))/32.24</f>
        <v/>
      </c>
      <c r="CT78">
        <f>SUMPRODUCT((M_BOM[Part Name]=$A78)*M_BOM[RM_Qty_Per_Batch]*IFERROR(INDEX(PP_Grid[#Data],IF(M_BOM[PPGridRow]=78,NA(),M_BOM[PPGridRow]),98),0))/32.24</f>
        <v/>
      </c>
      <c r="CU78">
        <f>SUMPRODUCT((M_BOM[Part Name]=$A78)*M_BOM[RM_Qty_Per_Batch]*IFERROR(INDEX(PP_Grid[#Data],IF(M_BOM[PPGridRow]=78,NA(),M_BOM[PPGridRow]),99),0))/32.24</f>
        <v/>
      </c>
      <c r="CV78">
        <f>SUMPRODUCT((M_BOM[Part Name]=$A78)*M_BOM[RM_Qty_Per_Batch]*IFERROR(INDEX(PP_Grid[#Data],IF(M_BOM[PPGridRow]=78,NA(),M_BOM[PPGridRow]),100),0))/32.24</f>
        <v/>
      </c>
      <c r="CW78">
        <f>SUMPRODUCT((M_BOM[Part Name]=$A78)*M_BOM[RM_Qty_Per_Batch]*IFERROR(INDEX(PP_Grid[#Data],IF(M_BOM[PPGridRow]=78,NA(),M_BOM[PPGridRow]),101),0))/32.24</f>
        <v/>
      </c>
      <c r="CX78">
        <f>SUMPRODUCT((M_BOM[Part Name]=$A78)*M_BOM[RM_Qty_Per_Batch]*IFERROR(INDEX(PP_Grid[#Data],IF(M_BOM[PPGridRow]=78,NA(),M_BOM[PPGridRow]),102),0))/32.24</f>
        <v/>
      </c>
      <c r="CY78">
        <f>SUMPRODUCT((M_BOM[Part Name]=$A78)*M_BOM[RM_Qty_Per_Batch]*IFERROR(INDEX(PP_Grid[#Data],IF(M_BOM[PPGridRow]=78,NA(),M_BOM[PPGridRow]),103),0))/32.24</f>
        <v/>
      </c>
      <c r="CZ78">
        <f>SUMPRODUCT((M_BOM[Part Name]=$A78)*M_BOM[RM_Qty_Per_Batch]*IFERROR(INDEX(PP_Grid[#Data],IF(M_BOM[PPGridRow]=78,NA(),M_BOM[PPGridRow]),104),0))/32.24</f>
        <v/>
      </c>
      <c r="DA78">
        <f>SUMPRODUCT((M_BOM[Part Name]=$A78)*M_BOM[RM_Qty_Per_Batch]*IFERROR(INDEX(PP_Grid[#Data],IF(M_BOM[PPGridRow]=78,NA(),M_BOM[PPGridRow]),105),0))/32.24</f>
        <v/>
      </c>
    </row>
    <row r="79">
      <c r="A79" t="inlineStr">
        <is>
          <t>TPP-650</t>
        </is>
      </c>
      <c r="B79">
        <f>SUMPRODUCT((M_BOM[Part Name]=$A79)*M_BOM[RM_Qty_Per_Batch]*IFERROR(INDEX(PP_Grid[#Data],IF(M_BOM[PPGridRow]=79,NA(),M_BOM[PPGridRow]),2),0))/58.21</f>
        <v/>
      </c>
      <c r="C79">
        <f>SUMPRODUCT((M_BOM[Part Name]=$A79)*M_BOM[RM_Qty_Per_Batch]*IFERROR(INDEX(PP_Grid[#Data],IF(M_BOM[PPGridRow]=79,NA(),M_BOM[PPGridRow]),3),0))/58.21</f>
        <v/>
      </c>
      <c r="D79">
        <f>SUMPRODUCT((M_BOM[Part Name]=$A79)*M_BOM[RM_Qty_Per_Batch]*IFERROR(INDEX(PP_Grid[#Data],IF(M_BOM[PPGridRow]=79,NA(),M_BOM[PPGridRow]),4),0))/58.21</f>
        <v/>
      </c>
      <c r="E79">
        <f>SUMPRODUCT((M_BOM[Part Name]=$A79)*M_BOM[RM_Qty_Per_Batch]*IFERROR(INDEX(PP_Grid[#Data],IF(M_BOM[PPGridRow]=79,NA(),M_BOM[PPGridRow]),5),0))/58.21</f>
        <v/>
      </c>
      <c r="F79">
        <f>SUMPRODUCT((M_BOM[Part Name]=$A79)*M_BOM[RM_Qty_Per_Batch]*IFERROR(INDEX(PP_Grid[#Data],IF(M_BOM[PPGridRow]=79,NA(),M_BOM[PPGridRow]),6),0))/58.21</f>
        <v/>
      </c>
      <c r="G79">
        <f>SUMPRODUCT((M_BOM[Part Name]=$A79)*M_BOM[RM_Qty_Per_Batch]*IFERROR(INDEX(PP_Grid[#Data],IF(M_BOM[PPGridRow]=79,NA(),M_BOM[PPGridRow]),7),0))/58.21</f>
        <v/>
      </c>
      <c r="H79">
        <f>SUMPRODUCT((M_BOM[Part Name]=$A79)*M_BOM[RM_Qty_Per_Batch]*IFERROR(INDEX(PP_Grid[#Data],IF(M_BOM[PPGridRow]=79,NA(),M_BOM[PPGridRow]),8),0))/58.21</f>
        <v/>
      </c>
      <c r="I79">
        <f>SUMPRODUCT((M_BOM[Part Name]=$A79)*M_BOM[RM_Qty_Per_Batch]*IFERROR(INDEX(PP_Grid[#Data],IF(M_BOM[PPGridRow]=79,NA(),M_BOM[PPGridRow]),9),0))/58.21</f>
        <v/>
      </c>
      <c r="J79">
        <f>SUMPRODUCT((M_BOM[Part Name]=$A79)*M_BOM[RM_Qty_Per_Batch]*IFERROR(INDEX(PP_Grid[#Data],IF(M_BOM[PPGridRow]=79,NA(),M_BOM[PPGridRow]),10),0))/58.21</f>
        <v/>
      </c>
      <c r="K79">
        <f>SUMPRODUCT((M_BOM[Part Name]=$A79)*M_BOM[RM_Qty_Per_Batch]*IFERROR(INDEX(PP_Grid[#Data],IF(M_BOM[PPGridRow]=79,NA(),M_BOM[PPGridRow]),11),0))/58.21</f>
        <v/>
      </c>
      <c r="L79">
        <f>SUMPRODUCT((M_BOM[Part Name]=$A79)*M_BOM[RM_Qty_Per_Batch]*IFERROR(INDEX(PP_Grid[#Data],IF(M_BOM[PPGridRow]=79,NA(),M_BOM[PPGridRow]),12),0))/58.21</f>
        <v/>
      </c>
      <c r="M79">
        <f>SUMPRODUCT((M_BOM[Part Name]=$A79)*M_BOM[RM_Qty_Per_Batch]*IFERROR(INDEX(PP_Grid[#Data],IF(M_BOM[PPGridRow]=79,NA(),M_BOM[PPGridRow]),13),0))/58.21</f>
        <v/>
      </c>
      <c r="N79">
        <f>SUMPRODUCT((M_BOM[Part Name]=$A79)*M_BOM[RM_Qty_Per_Batch]*IFERROR(INDEX(PP_Grid[#Data],IF(M_BOM[PPGridRow]=79,NA(),M_BOM[PPGridRow]),14),0))/58.21</f>
        <v/>
      </c>
      <c r="O79">
        <f>SUMPRODUCT((M_BOM[Part Name]=$A79)*M_BOM[RM_Qty_Per_Batch]*IFERROR(INDEX(PP_Grid[#Data],IF(M_BOM[PPGridRow]=79,NA(),M_BOM[PPGridRow]),15),0))/58.21</f>
        <v/>
      </c>
      <c r="P79">
        <f>SUMPRODUCT((M_BOM[Part Name]=$A79)*M_BOM[RM_Qty_Per_Batch]*IFERROR(INDEX(PP_Grid[#Data],IF(M_BOM[PPGridRow]=79,NA(),M_BOM[PPGridRow]),16),0))/58.21</f>
        <v/>
      </c>
      <c r="Q79">
        <f>SUMPRODUCT((M_BOM[Part Name]=$A79)*M_BOM[RM_Qty_Per_Batch]*IFERROR(INDEX(PP_Grid[#Data],IF(M_BOM[PPGridRow]=79,NA(),M_BOM[PPGridRow]),17),0))/58.21</f>
        <v/>
      </c>
      <c r="R79">
        <f>SUMPRODUCT((M_BOM[Part Name]=$A79)*M_BOM[RM_Qty_Per_Batch]*IFERROR(INDEX(PP_Grid[#Data],IF(M_BOM[PPGridRow]=79,NA(),M_BOM[PPGridRow]),18),0))/58.21</f>
        <v/>
      </c>
      <c r="S79">
        <f>SUMPRODUCT((M_BOM[Part Name]=$A79)*M_BOM[RM_Qty_Per_Batch]*IFERROR(INDEX(PP_Grid[#Data],IF(M_BOM[PPGridRow]=79,NA(),M_BOM[PPGridRow]),19),0))/58.21</f>
        <v/>
      </c>
      <c r="T79">
        <f>SUMPRODUCT((M_BOM[Part Name]=$A79)*M_BOM[RM_Qty_Per_Batch]*IFERROR(INDEX(PP_Grid[#Data],IF(M_BOM[PPGridRow]=79,NA(),M_BOM[PPGridRow]),20),0))/58.21</f>
        <v/>
      </c>
      <c r="U79">
        <f>SUMPRODUCT((M_BOM[Part Name]=$A79)*M_BOM[RM_Qty_Per_Batch]*IFERROR(INDEX(PP_Grid[#Data],IF(M_BOM[PPGridRow]=79,NA(),M_BOM[PPGridRow]),21),0))/58.21</f>
        <v/>
      </c>
      <c r="V79">
        <f>SUMPRODUCT((M_BOM[Part Name]=$A79)*M_BOM[RM_Qty_Per_Batch]*IFERROR(INDEX(PP_Grid[#Data],IF(M_BOM[PPGridRow]=79,NA(),M_BOM[PPGridRow]),22),0))/58.21</f>
        <v/>
      </c>
      <c r="W79">
        <f>SUMPRODUCT((M_BOM[Part Name]=$A79)*M_BOM[RM_Qty_Per_Batch]*IFERROR(INDEX(PP_Grid[#Data],IF(M_BOM[PPGridRow]=79,NA(),M_BOM[PPGridRow]),23),0))/58.21</f>
        <v/>
      </c>
      <c r="X79">
        <f>SUMPRODUCT((M_BOM[Part Name]=$A79)*M_BOM[RM_Qty_Per_Batch]*IFERROR(INDEX(PP_Grid[#Data],IF(M_BOM[PPGridRow]=79,NA(),M_BOM[PPGridRow]),24),0))/58.21</f>
        <v/>
      </c>
      <c r="Y79">
        <f>SUMPRODUCT((M_BOM[Part Name]=$A79)*M_BOM[RM_Qty_Per_Batch]*IFERROR(INDEX(PP_Grid[#Data],IF(M_BOM[PPGridRow]=79,NA(),M_BOM[PPGridRow]),25),0))/58.21</f>
        <v/>
      </c>
      <c r="Z79">
        <f>SUMPRODUCT((M_BOM[Part Name]=$A79)*M_BOM[RM_Qty_Per_Batch]*IFERROR(INDEX(PP_Grid[#Data],IF(M_BOM[PPGridRow]=79,NA(),M_BOM[PPGridRow]),26),0))/58.21</f>
        <v/>
      </c>
      <c r="AA79">
        <f>SUMPRODUCT((M_BOM[Part Name]=$A79)*M_BOM[RM_Qty_Per_Batch]*IFERROR(INDEX(PP_Grid[#Data],IF(M_BOM[PPGridRow]=79,NA(),M_BOM[PPGridRow]),27),0))/58.21</f>
        <v/>
      </c>
      <c r="AB79">
        <f>SUMPRODUCT((M_BOM[Part Name]=$A79)*M_BOM[RM_Qty_Per_Batch]*IFERROR(INDEX(PP_Grid[#Data],IF(M_BOM[PPGridRow]=79,NA(),M_BOM[PPGridRow]),28),0))/58.21</f>
        <v/>
      </c>
      <c r="AC79">
        <f>SUMPRODUCT((M_BOM[Part Name]=$A79)*M_BOM[RM_Qty_Per_Batch]*IFERROR(INDEX(PP_Grid[#Data],IF(M_BOM[PPGridRow]=79,NA(),M_BOM[PPGridRow]),29),0))/58.21</f>
        <v/>
      </c>
      <c r="AD79">
        <f>SUMPRODUCT((M_BOM[Part Name]=$A79)*M_BOM[RM_Qty_Per_Batch]*IFERROR(INDEX(PP_Grid[#Data],IF(M_BOM[PPGridRow]=79,NA(),M_BOM[PPGridRow]),30),0))/58.21</f>
        <v/>
      </c>
      <c r="AE79">
        <f>SUMPRODUCT((M_BOM[Part Name]=$A79)*M_BOM[RM_Qty_Per_Batch]*IFERROR(INDEX(PP_Grid[#Data],IF(M_BOM[PPGridRow]=79,NA(),M_BOM[PPGridRow]),31),0))/58.21</f>
        <v/>
      </c>
      <c r="AF79">
        <f>SUMPRODUCT((M_BOM[Part Name]=$A79)*M_BOM[RM_Qty_Per_Batch]*IFERROR(INDEX(PP_Grid[#Data],IF(M_BOM[PPGridRow]=79,NA(),M_BOM[PPGridRow]),32),0))/58.21</f>
        <v/>
      </c>
      <c r="AG79">
        <f>SUMPRODUCT((M_BOM[Part Name]=$A79)*M_BOM[RM_Qty_Per_Batch]*IFERROR(INDEX(PP_Grid[#Data],IF(M_BOM[PPGridRow]=79,NA(),M_BOM[PPGridRow]),33),0))/58.21</f>
        <v/>
      </c>
      <c r="AH79">
        <f>SUMPRODUCT((M_BOM[Part Name]=$A79)*M_BOM[RM_Qty_Per_Batch]*IFERROR(INDEX(PP_Grid[#Data],IF(M_BOM[PPGridRow]=79,NA(),M_BOM[PPGridRow]),34),0))/58.21</f>
        <v/>
      </c>
      <c r="AI79">
        <f>SUMPRODUCT((M_BOM[Part Name]=$A79)*M_BOM[RM_Qty_Per_Batch]*IFERROR(INDEX(PP_Grid[#Data],IF(M_BOM[PPGridRow]=79,NA(),M_BOM[PPGridRow]),35),0))/58.21</f>
        <v/>
      </c>
      <c r="AJ79">
        <f>SUMPRODUCT((M_BOM[Part Name]=$A79)*M_BOM[RM_Qty_Per_Batch]*IFERROR(INDEX(PP_Grid[#Data],IF(M_BOM[PPGridRow]=79,NA(),M_BOM[PPGridRow]),36),0))/58.21</f>
        <v/>
      </c>
      <c r="AK79">
        <f>SUMPRODUCT((M_BOM[Part Name]=$A79)*M_BOM[RM_Qty_Per_Batch]*IFERROR(INDEX(PP_Grid[#Data],IF(M_BOM[PPGridRow]=79,NA(),M_BOM[PPGridRow]),37),0))/58.21</f>
        <v/>
      </c>
      <c r="AL79">
        <f>SUMPRODUCT((M_BOM[Part Name]=$A79)*M_BOM[RM_Qty_Per_Batch]*IFERROR(INDEX(PP_Grid[#Data],IF(M_BOM[PPGridRow]=79,NA(),M_BOM[PPGridRow]),38),0))/58.21</f>
        <v/>
      </c>
      <c r="AM79">
        <f>SUMPRODUCT((M_BOM[Part Name]=$A79)*M_BOM[RM_Qty_Per_Batch]*IFERROR(INDEX(PP_Grid[#Data],IF(M_BOM[PPGridRow]=79,NA(),M_BOM[PPGridRow]),39),0))/58.21</f>
        <v/>
      </c>
      <c r="AN79">
        <f>SUMPRODUCT((M_BOM[Part Name]=$A79)*M_BOM[RM_Qty_Per_Batch]*IFERROR(INDEX(PP_Grid[#Data],IF(M_BOM[PPGridRow]=79,NA(),M_BOM[PPGridRow]),40),0))/58.21</f>
        <v/>
      </c>
      <c r="AO79">
        <f>SUMPRODUCT((M_BOM[Part Name]=$A79)*M_BOM[RM_Qty_Per_Batch]*IFERROR(INDEX(PP_Grid[#Data],IF(M_BOM[PPGridRow]=79,NA(),M_BOM[PPGridRow]),41),0))/58.21</f>
        <v/>
      </c>
      <c r="AP79">
        <f>SUMPRODUCT((M_BOM[Part Name]=$A79)*M_BOM[RM_Qty_Per_Batch]*IFERROR(INDEX(PP_Grid[#Data],IF(M_BOM[PPGridRow]=79,NA(),M_BOM[PPGridRow]),42),0))/58.21</f>
        <v/>
      </c>
      <c r="AQ79">
        <f>SUMPRODUCT((M_BOM[Part Name]=$A79)*M_BOM[RM_Qty_Per_Batch]*IFERROR(INDEX(PP_Grid[#Data],IF(M_BOM[PPGridRow]=79,NA(),M_BOM[PPGridRow]),43),0))/58.21</f>
        <v/>
      </c>
      <c r="AR79">
        <f>SUMPRODUCT((M_BOM[Part Name]=$A79)*M_BOM[RM_Qty_Per_Batch]*IFERROR(INDEX(PP_Grid[#Data],IF(M_BOM[PPGridRow]=79,NA(),M_BOM[PPGridRow]),44),0))/58.21</f>
        <v/>
      </c>
      <c r="AS79">
        <f>SUMPRODUCT((M_BOM[Part Name]=$A79)*M_BOM[RM_Qty_Per_Batch]*IFERROR(INDEX(PP_Grid[#Data],IF(M_BOM[PPGridRow]=79,NA(),M_BOM[PPGridRow]),45),0))/58.21</f>
        <v/>
      </c>
      <c r="AT79">
        <f>SUMPRODUCT((M_BOM[Part Name]=$A79)*M_BOM[RM_Qty_Per_Batch]*IFERROR(INDEX(PP_Grid[#Data],IF(M_BOM[PPGridRow]=79,NA(),M_BOM[PPGridRow]),46),0))/58.21</f>
        <v/>
      </c>
      <c r="AU79">
        <f>SUMPRODUCT((M_BOM[Part Name]=$A79)*M_BOM[RM_Qty_Per_Batch]*IFERROR(INDEX(PP_Grid[#Data],IF(M_BOM[PPGridRow]=79,NA(),M_BOM[PPGridRow]),47),0))/58.21</f>
        <v/>
      </c>
      <c r="AV79">
        <f>SUMPRODUCT((M_BOM[Part Name]=$A79)*M_BOM[RM_Qty_Per_Batch]*IFERROR(INDEX(PP_Grid[#Data],IF(M_BOM[PPGridRow]=79,NA(),M_BOM[PPGridRow]),48),0))/58.21</f>
        <v/>
      </c>
      <c r="AW79">
        <f>SUMPRODUCT((M_BOM[Part Name]=$A79)*M_BOM[RM_Qty_Per_Batch]*IFERROR(INDEX(PP_Grid[#Data],IF(M_BOM[PPGridRow]=79,NA(),M_BOM[PPGridRow]),49),0))/58.21</f>
        <v/>
      </c>
      <c r="AX79">
        <f>SUMPRODUCT((M_BOM[Part Name]=$A79)*M_BOM[RM_Qty_Per_Batch]*IFERROR(INDEX(PP_Grid[#Data],IF(M_BOM[PPGridRow]=79,NA(),M_BOM[PPGridRow]),50),0))/58.21</f>
        <v/>
      </c>
      <c r="AY79">
        <f>SUMPRODUCT((M_BOM[Part Name]=$A79)*M_BOM[RM_Qty_Per_Batch]*IFERROR(INDEX(PP_Grid[#Data],IF(M_BOM[PPGridRow]=79,NA(),M_BOM[PPGridRow]),51),0))/58.21</f>
        <v/>
      </c>
      <c r="AZ79">
        <f>SUMPRODUCT((M_BOM[Part Name]=$A79)*M_BOM[RM_Qty_Per_Batch]*IFERROR(INDEX(PP_Grid[#Data],IF(M_BOM[PPGridRow]=79,NA(),M_BOM[PPGridRow]),52),0))/58.21</f>
        <v/>
      </c>
      <c r="BA79">
        <f>SUMPRODUCT((M_BOM[Part Name]=$A79)*M_BOM[RM_Qty_Per_Batch]*IFERROR(INDEX(PP_Grid[#Data],IF(M_BOM[PPGridRow]=79,NA(),M_BOM[PPGridRow]),53),0))/58.21</f>
        <v/>
      </c>
      <c r="BB79">
        <f>SUMPRODUCT((M_BOM[Part Name]=$A79)*M_BOM[RM_Qty_Per_Batch]*IFERROR(INDEX(PP_Grid[#Data],IF(M_BOM[PPGridRow]=79,NA(),M_BOM[PPGridRow]),54),0))/58.21</f>
        <v/>
      </c>
      <c r="BC79">
        <f>SUMPRODUCT((M_BOM[Part Name]=$A79)*M_BOM[RM_Qty_Per_Batch]*IFERROR(INDEX(PP_Grid[#Data],IF(M_BOM[PPGridRow]=79,NA(),M_BOM[PPGridRow]),55),0))/58.21</f>
        <v/>
      </c>
      <c r="BD79">
        <f>SUMPRODUCT((M_BOM[Part Name]=$A79)*M_BOM[RM_Qty_Per_Batch]*IFERROR(INDEX(PP_Grid[#Data],IF(M_BOM[PPGridRow]=79,NA(),M_BOM[PPGridRow]),56),0))/58.21</f>
        <v/>
      </c>
      <c r="BE79">
        <f>SUMPRODUCT((M_BOM[Part Name]=$A79)*M_BOM[RM_Qty_Per_Batch]*IFERROR(INDEX(PP_Grid[#Data],IF(M_BOM[PPGridRow]=79,NA(),M_BOM[PPGridRow]),57),0))/58.21</f>
        <v/>
      </c>
      <c r="BF79">
        <f>SUMPRODUCT((M_BOM[Part Name]=$A79)*M_BOM[RM_Qty_Per_Batch]*IFERROR(INDEX(PP_Grid[#Data],IF(M_BOM[PPGridRow]=79,NA(),M_BOM[PPGridRow]),58),0))/58.21</f>
        <v/>
      </c>
      <c r="BG79">
        <f>SUMPRODUCT((M_BOM[Part Name]=$A79)*M_BOM[RM_Qty_Per_Batch]*IFERROR(INDEX(PP_Grid[#Data],IF(M_BOM[PPGridRow]=79,NA(),M_BOM[PPGridRow]),59),0))/58.21</f>
        <v/>
      </c>
      <c r="BH79">
        <f>SUMPRODUCT((M_BOM[Part Name]=$A79)*M_BOM[RM_Qty_Per_Batch]*IFERROR(INDEX(PP_Grid[#Data],IF(M_BOM[PPGridRow]=79,NA(),M_BOM[PPGridRow]),60),0))/58.21</f>
        <v/>
      </c>
      <c r="BI79">
        <f>SUMPRODUCT((M_BOM[Part Name]=$A79)*M_BOM[RM_Qty_Per_Batch]*IFERROR(INDEX(PP_Grid[#Data],IF(M_BOM[PPGridRow]=79,NA(),M_BOM[PPGridRow]),61),0))/58.21</f>
        <v/>
      </c>
      <c r="BJ79">
        <f>SUMPRODUCT((M_BOM[Part Name]=$A79)*M_BOM[RM_Qty_Per_Batch]*IFERROR(INDEX(PP_Grid[#Data],IF(M_BOM[PPGridRow]=79,NA(),M_BOM[PPGridRow]),62),0))/58.21</f>
        <v/>
      </c>
      <c r="BK79">
        <f>SUMPRODUCT((M_BOM[Part Name]=$A79)*M_BOM[RM_Qty_Per_Batch]*IFERROR(INDEX(PP_Grid[#Data],IF(M_BOM[PPGridRow]=79,NA(),M_BOM[PPGridRow]),63),0))/58.21</f>
        <v/>
      </c>
      <c r="BL79">
        <f>SUMPRODUCT((M_BOM[Part Name]=$A79)*M_BOM[RM_Qty_Per_Batch]*IFERROR(INDEX(PP_Grid[#Data],IF(M_BOM[PPGridRow]=79,NA(),M_BOM[PPGridRow]),64),0))/58.21</f>
        <v/>
      </c>
      <c r="BM79">
        <f>SUMPRODUCT((M_BOM[Part Name]=$A79)*M_BOM[RM_Qty_Per_Batch]*IFERROR(INDEX(PP_Grid[#Data],IF(M_BOM[PPGridRow]=79,NA(),M_BOM[PPGridRow]),65),0))/58.21</f>
        <v/>
      </c>
      <c r="BN79">
        <f>SUMPRODUCT((M_BOM[Part Name]=$A79)*M_BOM[RM_Qty_Per_Batch]*IFERROR(INDEX(PP_Grid[#Data],IF(M_BOM[PPGridRow]=79,NA(),M_BOM[PPGridRow]),66),0))/58.21</f>
        <v/>
      </c>
      <c r="BO79">
        <f>SUMPRODUCT((M_BOM[Part Name]=$A79)*M_BOM[RM_Qty_Per_Batch]*IFERROR(INDEX(PP_Grid[#Data],IF(M_BOM[PPGridRow]=79,NA(),M_BOM[PPGridRow]),67),0))/58.21</f>
        <v/>
      </c>
      <c r="BP79">
        <f>SUMPRODUCT((M_BOM[Part Name]=$A79)*M_BOM[RM_Qty_Per_Batch]*IFERROR(INDEX(PP_Grid[#Data],IF(M_BOM[PPGridRow]=79,NA(),M_BOM[PPGridRow]),68),0))/58.21</f>
        <v/>
      </c>
      <c r="BQ79">
        <f>SUMPRODUCT((M_BOM[Part Name]=$A79)*M_BOM[RM_Qty_Per_Batch]*IFERROR(INDEX(PP_Grid[#Data],IF(M_BOM[PPGridRow]=79,NA(),M_BOM[PPGridRow]),69),0))/58.21</f>
        <v/>
      </c>
      <c r="BR79">
        <f>SUMPRODUCT((M_BOM[Part Name]=$A79)*M_BOM[RM_Qty_Per_Batch]*IFERROR(INDEX(PP_Grid[#Data],IF(M_BOM[PPGridRow]=79,NA(),M_BOM[PPGridRow]),70),0))/58.21</f>
        <v/>
      </c>
      <c r="BS79">
        <f>SUMPRODUCT((M_BOM[Part Name]=$A79)*M_BOM[RM_Qty_Per_Batch]*IFERROR(INDEX(PP_Grid[#Data],IF(M_BOM[PPGridRow]=79,NA(),M_BOM[PPGridRow]),71),0))/58.21</f>
        <v/>
      </c>
      <c r="BT79">
        <f>SUMPRODUCT((M_BOM[Part Name]=$A79)*M_BOM[RM_Qty_Per_Batch]*IFERROR(INDEX(PP_Grid[#Data],IF(M_BOM[PPGridRow]=79,NA(),M_BOM[PPGridRow]),72),0))/58.21</f>
        <v/>
      </c>
      <c r="BU79">
        <f>SUMPRODUCT((M_BOM[Part Name]=$A79)*M_BOM[RM_Qty_Per_Batch]*IFERROR(INDEX(PP_Grid[#Data],IF(M_BOM[PPGridRow]=79,NA(),M_BOM[PPGridRow]),73),0))/58.21</f>
        <v/>
      </c>
      <c r="BV79">
        <f>SUMPRODUCT((M_BOM[Part Name]=$A79)*M_BOM[RM_Qty_Per_Batch]*IFERROR(INDEX(PP_Grid[#Data],IF(M_BOM[PPGridRow]=79,NA(),M_BOM[PPGridRow]),74),0))/58.21</f>
        <v/>
      </c>
      <c r="BW79">
        <f>SUMPRODUCT((M_BOM[Part Name]=$A79)*M_BOM[RM_Qty_Per_Batch]*IFERROR(INDEX(PP_Grid[#Data],IF(M_BOM[PPGridRow]=79,NA(),M_BOM[PPGridRow]),75),0))/58.21</f>
        <v/>
      </c>
      <c r="BX79">
        <f>SUMPRODUCT((M_BOM[Part Name]=$A79)*M_BOM[RM_Qty_Per_Batch]*IFERROR(INDEX(PP_Grid[#Data],IF(M_BOM[PPGridRow]=79,NA(),M_BOM[PPGridRow]),76),0))/58.21</f>
        <v/>
      </c>
      <c r="BY79">
        <f>SUMPRODUCT((M_BOM[Part Name]=$A79)*M_BOM[RM_Qty_Per_Batch]*IFERROR(INDEX(PP_Grid[#Data],IF(M_BOM[PPGridRow]=79,NA(),M_BOM[PPGridRow]),77),0))/58.21</f>
        <v/>
      </c>
      <c r="BZ79">
        <f>SUMPRODUCT((M_BOM[Part Name]=$A79)*M_BOM[RM_Qty_Per_Batch]*IFERROR(INDEX(PP_Grid[#Data],IF(M_BOM[PPGridRow]=79,NA(),M_BOM[PPGridRow]),78),0))/58.21</f>
        <v/>
      </c>
      <c r="CA79">
        <f>SUMPRODUCT((M_BOM[Part Name]=$A79)*M_BOM[RM_Qty_Per_Batch]*IFERROR(INDEX(PP_Grid[#Data],IF(M_BOM[PPGridRow]=79,NA(),M_BOM[PPGridRow]),79),0))/58.21</f>
        <v/>
      </c>
      <c r="CB79">
        <f>SUMPRODUCT((M_BOM[Part Name]=$A79)*M_BOM[RM_Qty_Per_Batch]*IFERROR(INDEX(PP_Grid[#Data],IF(M_BOM[PPGridRow]=79,NA(),M_BOM[PPGridRow]),80),0))/58.21</f>
        <v/>
      </c>
      <c r="CC79">
        <f>SUMPRODUCT((M_BOM[Part Name]=$A79)*M_BOM[RM_Qty_Per_Batch]*IFERROR(INDEX(PP_Grid[#Data],IF(M_BOM[PPGridRow]=79,NA(),M_BOM[PPGridRow]),81),0))/58.21</f>
        <v/>
      </c>
      <c r="CD79">
        <f>SUMPRODUCT((M_BOM[Part Name]=$A79)*M_BOM[RM_Qty_Per_Batch]*IFERROR(INDEX(PP_Grid[#Data],IF(M_BOM[PPGridRow]=79,NA(),M_BOM[PPGridRow]),82),0))/58.21</f>
        <v/>
      </c>
      <c r="CE79">
        <f>SUMPRODUCT((M_BOM[Part Name]=$A79)*M_BOM[RM_Qty_Per_Batch]*IFERROR(INDEX(PP_Grid[#Data],IF(M_BOM[PPGridRow]=79,NA(),M_BOM[PPGridRow]),83),0))/58.21</f>
        <v/>
      </c>
      <c r="CF79">
        <f>SUMPRODUCT((M_BOM[Part Name]=$A79)*M_BOM[RM_Qty_Per_Batch]*IFERROR(INDEX(PP_Grid[#Data],IF(M_BOM[PPGridRow]=79,NA(),M_BOM[PPGridRow]),84),0))/58.21</f>
        <v/>
      </c>
      <c r="CG79">
        <f>SUMPRODUCT((M_BOM[Part Name]=$A79)*M_BOM[RM_Qty_Per_Batch]*IFERROR(INDEX(PP_Grid[#Data],IF(M_BOM[PPGridRow]=79,NA(),M_BOM[PPGridRow]),85),0))/58.21</f>
        <v/>
      </c>
      <c r="CH79">
        <f>SUMPRODUCT((M_BOM[Part Name]=$A79)*M_BOM[RM_Qty_Per_Batch]*IFERROR(INDEX(PP_Grid[#Data],IF(M_BOM[PPGridRow]=79,NA(),M_BOM[PPGridRow]),86),0))/58.21</f>
        <v/>
      </c>
      <c r="CI79">
        <f>SUMPRODUCT((M_BOM[Part Name]=$A79)*M_BOM[RM_Qty_Per_Batch]*IFERROR(INDEX(PP_Grid[#Data],IF(M_BOM[PPGridRow]=79,NA(),M_BOM[PPGridRow]),87),0))/58.21</f>
        <v/>
      </c>
      <c r="CJ79">
        <f>SUMPRODUCT((M_BOM[Part Name]=$A79)*M_BOM[RM_Qty_Per_Batch]*IFERROR(INDEX(PP_Grid[#Data],IF(M_BOM[PPGridRow]=79,NA(),M_BOM[PPGridRow]),88),0))/58.21</f>
        <v/>
      </c>
      <c r="CK79">
        <f>SUMPRODUCT((M_BOM[Part Name]=$A79)*M_BOM[RM_Qty_Per_Batch]*IFERROR(INDEX(PP_Grid[#Data],IF(M_BOM[PPGridRow]=79,NA(),M_BOM[PPGridRow]),89),0))/58.21</f>
        <v/>
      </c>
      <c r="CL79">
        <f>SUMPRODUCT((M_BOM[Part Name]=$A79)*M_BOM[RM_Qty_Per_Batch]*IFERROR(INDEX(PP_Grid[#Data],IF(M_BOM[PPGridRow]=79,NA(),M_BOM[PPGridRow]),90),0))/58.21</f>
        <v/>
      </c>
      <c r="CM79">
        <f>SUMPRODUCT((M_BOM[Part Name]=$A79)*M_BOM[RM_Qty_Per_Batch]*IFERROR(INDEX(PP_Grid[#Data],IF(M_BOM[PPGridRow]=79,NA(),M_BOM[PPGridRow]),91),0))/58.21</f>
        <v/>
      </c>
      <c r="CN79">
        <f>SUMPRODUCT((M_BOM[Part Name]=$A79)*M_BOM[RM_Qty_Per_Batch]*IFERROR(INDEX(PP_Grid[#Data],IF(M_BOM[PPGridRow]=79,NA(),M_BOM[PPGridRow]),92),0))/58.21</f>
        <v/>
      </c>
      <c r="CO79">
        <f>SUMPRODUCT((M_BOM[Part Name]=$A79)*M_BOM[RM_Qty_Per_Batch]*IFERROR(INDEX(PP_Grid[#Data],IF(M_BOM[PPGridRow]=79,NA(),M_BOM[PPGridRow]),93),0))/58.21</f>
        <v/>
      </c>
      <c r="CP79">
        <f>SUMPRODUCT((M_BOM[Part Name]=$A79)*M_BOM[RM_Qty_Per_Batch]*IFERROR(INDEX(PP_Grid[#Data],IF(M_BOM[PPGridRow]=79,NA(),M_BOM[PPGridRow]),94),0))/58.21</f>
        <v/>
      </c>
      <c r="CQ79">
        <f>SUMPRODUCT((M_BOM[Part Name]=$A79)*M_BOM[RM_Qty_Per_Batch]*IFERROR(INDEX(PP_Grid[#Data],IF(M_BOM[PPGridRow]=79,NA(),M_BOM[PPGridRow]),95),0))/58.21</f>
        <v/>
      </c>
      <c r="CR79">
        <f>SUMPRODUCT((M_BOM[Part Name]=$A79)*M_BOM[RM_Qty_Per_Batch]*IFERROR(INDEX(PP_Grid[#Data],IF(M_BOM[PPGridRow]=79,NA(),M_BOM[PPGridRow]),96),0))/58.21</f>
        <v/>
      </c>
      <c r="CS79">
        <f>SUMPRODUCT((M_BOM[Part Name]=$A79)*M_BOM[RM_Qty_Per_Batch]*IFERROR(INDEX(PP_Grid[#Data],IF(M_BOM[PPGridRow]=79,NA(),M_BOM[PPGridRow]),97),0))/58.21</f>
        <v/>
      </c>
      <c r="CT79">
        <f>SUMPRODUCT((M_BOM[Part Name]=$A79)*M_BOM[RM_Qty_Per_Batch]*IFERROR(INDEX(PP_Grid[#Data],IF(M_BOM[PPGridRow]=79,NA(),M_BOM[PPGridRow]),98),0))/58.21</f>
        <v/>
      </c>
      <c r="CU79">
        <f>SUMPRODUCT((M_BOM[Part Name]=$A79)*M_BOM[RM_Qty_Per_Batch]*IFERROR(INDEX(PP_Grid[#Data],IF(M_BOM[PPGridRow]=79,NA(),M_BOM[PPGridRow]),99),0))/58.21</f>
        <v/>
      </c>
      <c r="CV79">
        <f>SUMPRODUCT((M_BOM[Part Name]=$A79)*M_BOM[RM_Qty_Per_Batch]*IFERROR(INDEX(PP_Grid[#Data],IF(M_BOM[PPGridRow]=79,NA(),M_BOM[PPGridRow]),100),0))/58.21</f>
        <v/>
      </c>
      <c r="CW79">
        <f>SUMPRODUCT((M_BOM[Part Name]=$A79)*M_BOM[RM_Qty_Per_Batch]*IFERROR(INDEX(PP_Grid[#Data],IF(M_BOM[PPGridRow]=79,NA(),M_BOM[PPGridRow]),101),0))/58.21</f>
        <v/>
      </c>
      <c r="CX79">
        <f>SUMPRODUCT((M_BOM[Part Name]=$A79)*M_BOM[RM_Qty_Per_Batch]*IFERROR(INDEX(PP_Grid[#Data],IF(M_BOM[PPGridRow]=79,NA(),M_BOM[PPGridRow]),102),0))/58.21</f>
        <v/>
      </c>
      <c r="CY79">
        <f>SUMPRODUCT((M_BOM[Part Name]=$A79)*M_BOM[RM_Qty_Per_Batch]*IFERROR(INDEX(PP_Grid[#Data],IF(M_BOM[PPGridRow]=79,NA(),M_BOM[PPGridRow]),103),0))/58.21</f>
        <v/>
      </c>
      <c r="CZ79">
        <f>SUMPRODUCT((M_BOM[Part Name]=$A79)*M_BOM[RM_Qty_Per_Batch]*IFERROR(INDEX(PP_Grid[#Data],IF(M_BOM[PPGridRow]=79,NA(),M_BOM[PPGridRow]),104),0))/58.21</f>
        <v/>
      </c>
      <c r="DA79">
        <f>SUMPRODUCT((M_BOM[Part Name]=$A79)*M_BOM[RM_Qty_Per_Batch]*IFERROR(INDEX(PP_Grid[#Data],IF(M_BOM[PPGridRow]=79,NA(),M_BOM[PPGridRow]),105),0))/58.21</f>
        <v/>
      </c>
    </row>
    <row r="80">
      <c r="A80" t="inlineStr">
        <is>
          <t>TPP-699</t>
        </is>
      </c>
      <c r="B80">
        <f>SUMPRODUCT((M_BOM[Part Name]=$A80)*M_BOM[RM_Qty_Per_Batch]*IFERROR(INDEX(PP_Grid[#Data],IF(M_BOM[PPGridRow]=80,NA(),M_BOM[PPGridRow]),2),0))/38.85</f>
        <v/>
      </c>
      <c r="C80">
        <f>SUMPRODUCT((M_BOM[Part Name]=$A80)*M_BOM[RM_Qty_Per_Batch]*IFERROR(INDEX(PP_Grid[#Data],IF(M_BOM[PPGridRow]=80,NA(),M_BOM[PPGridRow]),3),0))/38.85</f>
        <v/>
      </c>
      <c r="D80">
        <f>SUMPRODUCT((M_BOM[Part Name]=$A80)*M_BOM[RM_Qty_Per_Batch]*IFERROR(INDEX(PP_Grid[#Data],IF(M_BOM[PPGridRow]=80,NA(),M_BOM[PPGridRow]),4),0))/38.85</f>
        <v/>
      </c>
      <c r="E80">
        <f>SUMPRODUCT((M_BOM[Part Name]=$A80)*M_BOM[RM_Qty_Per_Batch]*IFERROR(INDEX(PP_Grid[#Data],IF(M_BOM[PPGridRow]=80,NA(),M_BOM[PPGridRow]),5),0))/38.85</f>
        <v/>
      </c>
      <c r="F80">
        <f>SUMPRODUCT((M_BOM[Part Name]=$A80)*M_BOM[RM_Qty_Per_Batch]*IFERROR(INDEX(PP_Grid[#Data],IF(M_BOM[PPGridRow]=80,NA(),M_BOM[PPGridRow]),6),0))/38.85</f>
        <v/>
      </c>
      <c r="G80">
        <f>SUMPRODUCT((M_BOM[Part Name]=$A80)*M_BOM[RM_Qty_Per_Batch]*IFERROR(INDEX(PP_Grid[#Data],IF(M_BOM[PPGridRow]=80,NA(),M_BOM[PPGridRow]),7),0))/38.85</f>
        <v/>
      </c>
      <c r="H80">
        <f>SUMPRODUCT((M_BOM[Part Name]=$A80)*M_BOM[RM_Qty_Per_Batch]*IFERROR(INDEX(PP_Grid[#Data],IF(M_BOM[PPGridRow]=80,NA(),M_BOM[PPGridRow]),8),0))/38.85</f>
        <v/>
      </c>
      <c r="I80">
        <f>SUMPRODUCT((M_BOM[Part Name]=$A80)*M_BOM[RM_Qty_Per_Batch]*IFERROR(INDEX(PP_Grid[#Data],IF(M_BOM[PPGridRow]=80,NA(),M_BOM[PPGridRow]),9),0))/38.85</f>
        <v/>
      </c>
      <c r="J80">
        <f>SUMPRODUCT((M_BOM[Part Name]=$A80)*M_BOM[RM_Qty_Per_Batch]*IFERROR(INDEX(PP_Grid[#Data],IF(M_BOM[PPGridRow]=80,NA(),M_BOM[PPGridRow]),10),0))/38.85</f>
        <v/>
      </c>
      <c r="K80">
        <f>SUMPRODUCT((M_BOM[Part Name]=$A80)*M_BOM[RM_Qty_Per_Batch]*IFERROR(INDEX(PP_Grid[#Data],IF(M_BOM[PPGridRow]=80,NA(),M_BOM[PPGridRow]),11),0))/38.85</f>
        <v/>
      </c>
      <c r="L80">
        <f>SUMPRODUCT((M_BOM[Part Name]=$A80)*M_BOM[RM_Qty_Per_Batch]*IFERROR(INDEX(PP_Grid[#Data],IF(M_BOM[PPGridRow]=80,NA(),M_BOM[PPGridRow]),12),0))/38.85</f>
        <v/>
      </c>
      <c r="M80">
        <f>SUMPRODUCT((M_BOM[Part Name]=$A80)*M_BOM[RM_Qty_Per_Batch]*IFERROR(INDEX(PP_Grid[#Data],IF(M_BOM[PPGridRow]=80,NA(),M_BOM[PPGridRow]),13),0))/38.85</f>
        <v/>
      </c>
      <c r="N80">
        <f>SUMPRODUCT((M_BOM[Part Name]=$A80)*M_BOM[RM_Qty_Per_Batch]*IFERROR(INDEX(PP_Grid[#Data],IF(M_BOM[PPGridRow]=80,NA(),M_BOM[PPGridRow]),14),0))/38.85</f>
        <v/>
      </c>
      <c r="O80">
        <f>SUMPRODUCT((M_BOM[Part Name]=$A80)*M_BOM[RM_Qty_Per_Batch]*IFERROR(INDEX(PP_Grid[#Data],IF(M_BOM[PPGridRow]=80,NA(),M_BOM[PPGridRow]),15),0))/38.85</f>
        <v/>
      </c>
      <c r="P80">
        <f>SUMPRODUCT((M_BOM[Part Name]=$A80)*M_BOM[RM_Qty_Per_Batch]*IFERROR(INDEX(PP_Grid[#Data],IF(M_BOM[PPGridRow]=80,NA(),M_BOM[PPGridRow]),16),0))/38.85</f>
        <v/>
      </c>
      <c r="Q80">
        <f>SUMPRODUCT((M_BOM[Part Name]=$A80)*M_BOM[RM_Qty_Per_Batch]*IFERROR(INDEX(PP_Grid[#Data],IF(M_BOM[PPGridRow]=80,NA(),M_BOM[PPGridRow]),17),0))/38.85</f>
        <v/>
      </c>
      <c r="R80">
        <f>SUMPRODUCT((M_BOM[Part Name]=$A80)*M_BOM[RM_Qty_Per_Batch]*IFERROR(INDEX(PP_Grid[#Data],IF(M_BOM[PPGridRow]=80,NA(),M_BOM[PPGridRow]),18),0))/38.85</f>
        <v/>
      </c>
      <c r="S80">
        <f>SUMPRODUCT((M_BOM[Part Name]=$A80)*M_BOM[RM_Qty_Per_Batch]*IFERROR(INDEX(PP_Grid[#Data],IF(M_BOM[PPGridRow]=80,NA(),M_BOM[PPGridRow]),19),0))/38.85</f>
        <v/>
      </c>
      <c r="T80">
        <f>SUMPRODUCT((M_BOM[Part Name]=$A80)*M_BOM[RM_Qty_Per_Batch]*IFERROR(INDEX(PP_Grid[#Data],IF(M_BOM[PPGridRow]=80,NA(),M_BOM[PPGridRow]),20),0))/38.85</f>
        <v/>
      </c>
      <c r="U80">
        <f>SUMPRODUCT((M_BOM[Part Name]=$A80)*M_BOM[RM_Qty_Per_Batch]*IFERROR(INDEX(PP_Grid[#Data],IF(M_BOM[PPGridRow]=80,NA(),M_BOM[PPGridRow]),21),0))/38.85</f>
        <v/>
      </c>
      <c r="V80">
        <f>SUMPRODUCT((M_BOM[Part Name]=$A80)*M_BOM[RM_Qty_Per_Batch]*IFERROR(INDEX(PP_Grid[#Data],IF(M_BOM[PPGridRow]=80,NA(),M_BOM[PPGridRow]),22),0))/38.85</f>
        <v/>
      </c>
      <c r="W80">
        <f>SUMPRODUCT((M_BOM[Part Name]=$A80)*M_BOM[RM_Qty_Per_Batch]*IFERROR(INDEX(PP_Grid[#Data],IF(M_BOM[PPGridRow]=80,NA(),M_BOM[PPGridRow]),23),0))/38.85</f>
        <v/>
      </c>
      <c r="X80">
        <f>SUMPRODUCT((M_BOM[Part Name]=$A80)*M_BOM[RM_Qty_Per_Batch]*IFERROR(INDEX(PP_Grid[#Data],IF(M_BOM[PPGridRow]=80,NA(),M_BOM[PPGridRow]),24),0))/38.85</f>
        <v/>
      </c>
      <c r="Y80">
        <f>SUMPRODUCT((M_BOM[Part Name]=$A80)*M_BOM[RM_Qty_Per_Batch]*IFERROR(INDEX(PP_Grid[#Data],IF(M_BOM[PPGridRow]=80,NA(),M_BOM[PPGridRow]),25),0))/38.85</f>
        <v/>
      </c>
      <c r="Z80">
        <f>SUMPRODUCT((M_BOM[Part Name]=$A80)*M_BOM[RM_Qty_Per_Batch]*IFERROR(INDEX(PP_Grid[#Data],IF(M_BOM[PPGridRow]=80,NA(),M_BOM[PPGridRow]),26),0))/38.85</f>
        <v/>
      </c>
      <c r="AA80">
        <f>SUMPRODUCT((M_BOM[Part Name]=$A80)*M_BOM[RM_Qty_Per_Batch]*IFERROR(INDEX(PP_Grid[#Data],IF(M_BOM[PPGridRow]=80,NA(),M_BOM[PPGridRow]),27),0))/38.85</f>
        <v/>
      </c>
      <c r="AB80">
        <f>SUMPRODUCT((M_BOM[Part Name]=$A80)*M_BOM[RM_Qty_Per_Batch]*IFERROR(INDEX(PP_Grid[#Data],IF(M_BOM[PPGridRow]=80,NA(),M_BOM[PPGridRow]),28),0))/38.85</f>
        <v/>
      </c>
      <c r="AC80">
        <f>SUMPRODUCT((M_BOM[Part Name]=$A80)*M_BOM[RM_Qty_Per_Batch]*IFERROR(INDEX(PP_Grid[#Data],IF(M_BOM[PPGridRow]=80,NA(),M_BOM[PPGridRow]),29),0))/38.85</f>
        <v/>
      </c>
      <c r="AD80">
        <f>SUMPRODUCT((M_BOM[Part Name]=$A80)*M_BOM[RM_Qty_Per_Batch]*IFERROR(INDEX(PP_Grid[#Data],IF(M_BOM[PPGridRow]=80,NA(),M_BOM[PPGridRow]),30),0))/38.85</f>
        <v/>
      </c>
      <c r="AE80">
        <f>SUMPRODUCT((M_BOM[Part Name]=$A80)*M_BOM[RM_Qty_Per_Batch]*IFERROR(INDEX(PP_Grid[#Data],IF(M_BOM[PPGridRow]=80,NA(),M_BOM[PPGridRow]),31),0))/38.85</f>
        <v/>
      </c>
      <c r="AF80">
        <f>SUMPRODUCT((M_BOM[Part Name]=$A80)*M_BOM[RM_Qty_Per_Batch]*IFERROR(INDEX(PP_Grid[#Data],IF(M_BOM[PPGridRow]=80,NA(),M_BOM[PPGridRow]),32),0))/38.85</f>
        <v/>
      </c>
      <c r="AG80">
        <f>SUMPRODUCT((M_BOM[Part Name]=$A80)*M_BOM[RM_Qty_Per_Batch]*IFERROR(INDEX(PP_Grid[#Data],IF(M_BOM[PPGridRow]=80,NA(),M_BOM[PPGridRow]),33),0))/38.85</f>
        <v/>
      </c>
      <c r="AH80">
        <f>SUMPRODUCT((M_BOM[Part Name]=$A80)*M_BOM[RM_Qty_Per_Batch]*IFERROR(INDEX(PP_Grid[#Data],IF(M_BOM[PPGridRow]=80,NA(),M_BOM[PPGridRow]),34),0))/38.85</f>
        <v/>
      </c>
      <c r="AI80">
        <f>SUMPRODUCT((M_BOM[Part Name]=$A80)*M_BOM[RM_Qty_Per_Batch]*IFERROR(INDEX(PP_Grid[#Data],IF(M_BOM[PPGridRow]=80,NA(),M_BOM[PPGridRow]),35),0))/38.85</f>
        <v/>
      </c>
      <c r="AJ80">
        <f>SUMPRODUCT((M_BOM[Part Name]=$A80)*M_BOM[RM_Qty_Per_Batch]*IFERROR(INDEX(PP_Grid[#Data],IF(M_BOM[PPGridRow]=80,NA(),M_BOM[PPGridRow]),36),0))/38.85</f>
        <v/>
      </c>
      <c r="AK80">
        <f>SUMPRODUCT((M_BOM[Part Name]=$A80)*M_BOM[RM_Qty_Per_Batch]*IFERROR(INDEX(PP_Grid[#Data],IF(M_BOM[PPGridRow]=80,NA(),M_BOM[PPGridRow]),37),0))/38.85</f>
        <v/>
      </c>
      <c r="AL80">
        <f>SUMPRODUCT((M_BOM[Part Name]=$A80)*M_BOM[RM_Qty_Per_Batch]*IFERROR(INDEX(PP_Grid[#Data],IF(M_BOM[PPGridRow]=80,NA(),M_BOM[PPGridRow]),38),0))/38.85</f>
        <v/>
      </c>
      <c r="AM80">
        <f>SUMPRODUCT((M_BOM[Part Name]=$A80)*M_BOM[RM_Qty_Per_Batch]*IFERROR(INDEX(PP_Grid[#Data],IF(M_BOM[PPGridRow]=80,NA(),M_BOM[PPGridRow]),39),0))/38.85</f>
        <v/>
      </c>
      <c r="AN80">
        <f>SUMPRODUCT((M_BOM[Part Name]=$A80)*M_BOM[RM_Qty_Per_Batch]*IFERROR(INDEX(PP_Grid[#Data],IF(M_BOM[PPGridRow]=80,NA(),M_BOM[PPGridRow]),40),0))/38.85</f>
        <v/>
      </c>
      <c r="AO80">
        <f>SUMPRODUCT((M_BOM[Part Name]=$A80)*M_BOM[RM_Qty_Per_Batch]*IFERROR(INDEX(PP_Grid[#Data],IF(M_BOM[PPGridRow]=80,NA(),M_BOM[PPGridRow]),41),0))/38.85</f>
        <v/>
      </c>
      <c r="AP80">
        <f>SUMPRODUCT((M_BOM[Part Name]=$A80)*M_BOM[RM_Qty_Per_Batch]*IFERROR(INDEX(PP_Grid[#Data],IF(M_BOM[PPGridRow]=80,NA(),M_BOM[PPGridRow]),42),0))/38.85</f>
        <v/>
      </c>
      <c r="AQ80">
        <f>SUMPRODUCT((M_BOM[Part Name]=$A80)*M_BOM[RM_Qty_Per_Batch]*IFERROR(INDEX(PP_Grid[#Data],IF(M_BOM[PPGridRow]=80,NA(),M_BOM[PPGridRow]),43),0))/38.85</f>
        <v/>
      </c>
      <c r="AR80">
        <f>SUMPRODUCT((M_BOM[Part Name]=$A80)*M_BOM[RM_Qty_Per_Batch]*IFERROR(INDEX(PP_Grid[#Data],IF(M_BOM[PPGridRow]=80,NA(),M_BOM[PPGridRow]),44),0))/38.85</f>
        <v/>
      </c>
      <c r="AS80">
        <f>SUMPRODUCT((M_BOM[Part Name]=$A80)*M_BOM[RM_Qty_Per_Batch]*IFERROR(INDEX(PP_Grid[#Data],IF(M_BOM[PPGridRow]=80,NA(),M_BOM[PPGridRow]),45),0))/38.85</f>
        <v/>
      </c>
      <c r="AT80">
        <f>SUMPRODUCT((M_BOM[Part Name]=$A80)*M_BOM[RM_Qty_Per_Batch]*IFERROR(INDEX(PP_Grid[#Data],IF(M_BOM[PPGridRow]=80,NA(),M_BOM[PPGridRow]),46),0))/38.85</f>
        <v/>
      </c>
      <c r="AU80">
        <f>SUMPRODUCT((M_BOM[Part Name]=$A80)*M_BOM[RM_Qty_Per_Batch]*IFERROR(INDEX(PP_Grid[#Data],IF(M_BOM[PPGridRow]=80,NA(),M_BOM[PPGridRow]),47),0))/38.85</f>
        <v/>
      </c>
      <c r="AV80">
        <f>SUMPRODUCT((M_BOM[Part Name]=$A80)*M_BOM[RM_Qty_Per_Batch]*IFERROR(INDEX(PP_Grid[#Data],IF(M_BOM[PPGridRow]=80,NA(),M_BOM[PPGridRow]),48),0))/38.85</f>
        <v/>
      </c>
      <c r="AW80">
        <f>SUMPRODUCT((M_BOM[Part Name]=$A80)*M_BOM[RM_Qty_Per_Batch]*IFERROR(INDEX(PP_Grid[#Data],IF(M_BOM[PPGridRow]=80,NA(),M_BOM[PPGridRow]),49),0))/38.85</f>
        <v/>
      </c>
      <c r="AX80">
        <f>SUMPRODUCT((M_BOM[Part Name]=$A80)*M_BOM[RM_Qty_Per_Batch]*IFERROR(INDEX(PP_Grid[#Data],IF(M_BOM[PPGridRow]=80,NA(),M_BOM[PPGridRow]),50),0))/38.85</f>
        <v/>
      </c>
      <c r="AY80">
        <f>SUMPRODUCT((M_BOM[Part Name]=$A80)*M_BOM[RM_Qty_Per_Batch]*IFERROR(INDEX(PP_Grid[#Data],IF(M_BOM[PPGridRow]=80,NA(),M_BOM[PPGridRow]),51),0))/38.85</f>
        <v/>
      </c>
      <c r="AZ80">
        <f>SUMPRODUCT((M_BOM[Part Name]=$A80)*M_BOM[RM_Qty_Per_Batch]*IFERROR(INDEX(PP_Grid[#Data],IF(M_BOM[PPGridRow]=80,NA(),M_BOM[PPGridRow]),52),0))/38.85</f>
        <v/>
      </c>
      <c r="BA80">
        <f>SUMPRODUCT((M_BOM[Part Name]=$A80)*M_BOM[RM_Qty_Per_Batch]*IFERROR(INDEX(PP_Grid[#Data],IF(M_BOM[PPGridRow]=80,NA(),M_BOM[PPGridRow]),53),0))/38.85</f>
        <v/>
      </c>
      <c r="BB80">
        <f>SUMPRODUCT((M_BOM[Part Name]=$A80)*M_BOM[RM_Qty_Per_Batch]*IFERROR(INDEX(PP_Grid[#Data],IF(M_BOM[PPGridRow]=80,NA(),M_BOM[PPGridRow]),54),0))/38.85</f>
        <v/>
      </c>
      <c r="BC80">
        <f>SUMPRODUCT((M_BOM[Part Name]=$A80)*M_BOM[RM_Qty_Per_Batch]*IFERROR(INDEX(PP_Grid[#Data],IF(M_BOM[PPGridRow]=80,NA(),M_BOM[PPGridRow]),55),0))/38.85</f>
        <v/>
      </c>
      <c r="BD80">
        <f>SUMPRODUCT((M_BOM[Part Name]=$A80)*M_BOM[RM_Qty_Per_Batch]*IFERROR(INDEX(PP_Grid[#Data],IF(M_BOM[PPGridRow]=80,NA(),M_BOM[PPGridRow]),56),0))/38.85</f>
        <v/>
      </c>
      <c r="BE80">
        <f>SUMPRODUCT((M_BOM[Part Name]=$A80)*M_BOM[RM_Qty_Per_Batch]*IFERROR(INDEX(PP_Grid[#Data],IF(M_BOM[PPGridRow]=80,NA(),M_BOM[PPGridRow]),57),0))/38.85</f>
        <v/>
      </c>
      <c r="BF80">
        <f>SUMPRODUCT((M_BOM[Part Name]=$A80)*M_BOM[RM_Qty_Per_Batch]*IFERROR(INDEX(PP_Grid[#Data],IF(M_BOM[PPGridRow]=80,NA(),M_BOM[PPGridRow]),58),0))/38.85</f>
        <v/>
      </c>
      <c r="BG80">
        <f>SUMPRODUCT((M_BOM[Part Name]=$A80)*M_BOM[RM_Qty_Per_Batch]*IFERROR(INDEX(PP_Grid[#Data],IF(M_BOM[PPGridRow]=80,NA(),M_BOM[PPGridRow]),59),0))/38.85</f>
        <v/>
      </c>
      <c r="BH80">
        <f>SUMPRODUCT((M_BOM[Part Name]=$A80)*M_BOM[RM_Qty_Per_Batch]*IFERROR(INDEX(PP_Grid[#Data],IF(M_BOM[PPGridRow]=80,NA(),M_BOM[PPGridRow]),60),0))/38.85</f>
        <v/>
      </c>
      <c r="BI80">
        <f>SUMPRODUCT((M_BOM[Part Name]=$A80)*M_BOM[RM_Qty_Per_Batch]*IFERROR(INDEX(PP_Grid[#Data],IF(M_BOM[PPGridRow]=80,NA(),M_BOM[PPGridRow]),61),0))/38.85</f>
        <v/>
      </c>
      <c r="BJ80">
        <f>SUMPRODUCT((M_BOM[Part Name]=$A80)*M_BOM[RM_Qty_Per_Batch]*IFERROR(INDEX(PP_Grid[#Data],IF(M_BOM[PPGridRow]=80,NA(),M_BOM[PPGridRow]),62),0))/38.85</f>
        <v/>
      </c>
      <c r="BK80">
        <f>SUMPRODUCT((M_BOM[Part Name]=$A80)*M_BOM[RM_Qty_Per_Batch]*IFERROR(INDEX(PP_Grid[#Data],IF(M_BOM[PPGridRow]=80,NA(),M_BOM[PPGridRow]),63),0))/38.85</f>
        <v/>
      </c>
      <c r="BL80">
        <f>SUMPRODUCT((M_BOM[Part Name]=$A80)*M_BOM[RM_Qty_Per_Batch]*IFERROR(INDEX(PP_Grid[#Data],IF(M_BOM[PPGridRow]=80,NA(),M_BOM[PPGridRow]),64),0))/38.85</f>
        <v/>
      </c>
      <c r="BM80">
        <f>SUMPRODUCT((M_BOM[Part Name]=$A80)*M_BOM[RM_Qty_Per_Batch]*IFERROR(INDEX(PP_Grid[#Data],IF(M_BOM[PPGridRow]=80,NA(),M_BOM[PPGridRow]),65),0))/38.85</f>
        <v/>
      </c>
      <c r="BN80">
        <f>SUMPRODUCT((M_BOM[Part Name]=$A80)*M_BOM[RM_Qty_Per_Batch]*IFERROR(INDEX(PP_Grid[#Data],IF(M_BOM[PPGridRow]=80,NA(),M_BOM[PPGridRow]),66),0))/38.85</f>
        <v/>
      </c>
      <c r="BO80">
        <f>SUMPRODUCT((M_BOM[Part Name]=$A80)*M_BOM[RM_Qty_Per_Batch]*IFERROR(INDEX(PP_Grid[#Data],IF(M_BOM[PPGridRow]=80,NA(),M_BOM[PPGridRow]),67),0))/38.85</f>
        <v/>
      </c>
      <c r="BP80">
        <f>SUMPRODUCT((M_BOM[Part Name]=$A80)*M_BOM[RM_Qty_Per_Batch]*IFERROR(INDEX(PP_Grid[#Data],IF(M_BOM[PPGridRow]=80,NA(),M_BOM[PPGridRow]),68),0))/38.85</f>
        <v/>
      </c>
      <c r="BQ80">
        <f>SUMPRODUCT((M_BOM[Part Name]=$A80)*M_BOM[RM_Qty_Per_Batch]*IFERROR(INDEX(PP_Grid[#Data],IF(M_BOM[PPGridRow]=80,NA(),M_BOM[PPGridRow]),69),0))/38.85</f>
        <v/>
      </c>
      <c r="BR80">
        <f>SUMPRODUCT((M_BOM[Part Name]=$A80)*M_BOM[RM_Qty_Per_Batch]*IFERROR(INDEX(PP_Grid[#Data],IF(M_BOM[PPGridRow]=80,NA(),M_BOM[PPGridRow]),70),0))/38.85</f>
        <v/>
      </c>
      <c r="BS80">
        <f>SUMPRODUCT((M_BOM[Part Name]=$A80)*M_BOM[RM_Qty_Per_Batch]*IFERROR(INDEX(PP_Grid[#Data],IF(M_BOM[PPGridRow]=80,NA(),M_BOM[PPGridRow]),71),0))/38.85</f>
        <v/>
      </c>
      <c r="BT80">
        <f>SUMPRODUCT((M_BOM[Part Name]=$A80)*M_BOM[RM_Qty_Per_Batch]*IFERROR(INDEX(PP_Grid[#Data],IF(M_BOM[PPGridRow]=80,NA(),M_BOM[PPGridRow]),72),0))/38.85</f>
        <v/>
      </c>
      <c r="BU80">
        <f>SUMPRODUCT((M_BOM[Part Name]=$A80)*M_BOM[RM_Qty_Per_Batch]*IFERROR(INDEX(PP_Grid[#Data],IF(M_BOM[PPGridRow]=80,NA(),M_BOM[PPGridRow]),73),0))/38.85</f>
        <v/>
      </c>
      <c r="BV80">
        <f>SUMPRODUCT((M_BOM[Part Name]=$A80)*M_BOM[RM_Qty_Per_Batch]*IFERROR(INDEX(PP_Grid[#Data],IF(M_BOM[PPGridRow]=80,NA(),M_BOM[PPGridRow]),74),0))/38.85</f>
        <v/>
      </c>
      <c r="BW80">
        <f>SUMPRODUCT((M_BOM[Part Name]=$A80)*M_BOM[RM_Qty_Per_Batch]*IFERROR(INDEX(PP_Grid[#Data],IF(M_BOM[PPGridRow]=80,NA(),M_BOM[PPGridRow]),75),0))/38.85</f>
        <v/>
      </c>
      <c r="BX80">
        <f>SUMPRODUCT((M_BOM[Part Name]=$A80)*M_BOM[RM_Qty_Per_Batch]*IFERROR(INDEX(PP_Grid[#Data],IF(M_BOM[PPGridRow]=80,NA(),M_BOM[PPGridRow]),76),0))/38.85</f>
        <v/>
      </c>
      <c r="BY80">
        <f>SUMPRODUCT((M_BOM[Part Name]=$A80)*M_BOM[RM_Qty_Per_Batch]*IFERROR(INDEX(PP_Grid[#Data],IF(M_BOM[PPGridRow]=80,NA(),M_BOM[PPGridRow]),77),0))/38.85</f>
        <v/>
      </c>
      <c r="BZ80">
        <f>SUMPRODUCT((M_BOM[Part Name]=$A80)*M_BOM[RM_Qty_Per_Batch]*IFERROR(INDEX(PP_Grid[#Data],IF(M_BOM[PPGridRow]=80,NA(),M_BOM[PPGridRow]),78),0))/38.85</f>
        <v/>
      </c>
      <c r="CA80">
        <f>SUMPRODUCT((M_BOM[Part Name]=$A80)*M_BOM[RM_Qty_Per_Batch]*IFERROR(INDEX(PP_Grid[#Data],IF(M_BOM[PPGridRow]=80,NA(),M_BOM[PPGridRow]),79),0))/38.85</f>
        <v/>
      </c>
      <c r="CB80">
        <f>SUMPRODUCT((M_BOM[Part Name]=$A80)*M_BOM[RM_Qty_Per_Batch]*IFERROR(INDEX(PP_Grid[#Data],IF(M_BOM[PPGridRow]=80,NA(),M_BOM[PPGridRow]),80),0))/38.85</f>
        <v/>
      </c>
      <c r="CC80">
        <f>SUMPRODUCT((M_BOM[Part Name]=$A80)*M_BOM[RM_Qty_Per_Batch]*IFERROR(INDEX(PP_Grid[#Data],IF(M_BOM[PPGridRow]=80,NA(),M_BOM[PPGridRow]),81),0))/38.85</f>
        <v/>
      </c>
      <c r="CD80">
        <f>SUMPRODUCT((M_BOM[Part Name]=$A80)*M_BOM[RM_Qty_Per_Batch]*IFERROR(INDEX(PP_Grid[#Data],IF(M_BOM[PPGridRow]=80,NA(),M_BOM[PPGridRow]),82),0))/38.85</f>
        <v/>
      </c>
      <c r="CE80">
        <f>SUMPRODUCT((M_BOM[Part Name]=$A80)*M_BOM[RM_Qty_Per_Batch]*IFERROR(INDEX(PP_Grid[#Data],IF(M_BOM[PPGridRow]=80,NA(),M_BOM[PPGridRow]),83),0))/38.85</f>
        <v/>
      </c>
      <c r="CF80">
        <f>SUMPRODUCT((M_BOM[Part Name]=$A80)*M_BOM[RM_Qty_Per_Batch]*IFERROR(INDEX(PP_Grid[#Data],IF(M_BOM[PPGridRow]=80,NA(),M_BOM[PPGridRow]),84),0))/38.85</f>
        <v/>
      </c>
      <c r="CG80">
        <f>SUMPRODUCT((M_BOM[Part Name]=$A80)*M_BOM[RM_Qty_Per_Batch]*IFERROR(INDEX(PP_Grid[#Data],IF(M_BOM[PPGridRow]=80,NA(),M_BOM[PPGridRow]),85),0))/38.85</f>
        <v/>
      </c>
      <c r="CH80">
        <f>SUMPRODUCT((M_BOM[Part Name]=$A80)*M_BOM[RM_Qty_Per_Batch]*IFERROR(INDEX(PP_Grid[#Data],IF(M_BOM[PPGridRow]=80,NA(),M_BOM[PPGridRow]),86),0))/38.85</f>
        <v/>
      </c>
      <c r="CI80">
        <f>SUMPRODUCT((M_BOM[Part Name]=$A80)*M_BOM[RM_Qty_Per_Batch]*IFERROR(INDEX(PP_Grid[#Data],IF(M_BOM[PPGridRow]=80,NA(),M_BOM[PPGridRow]),87),0))/38.85</f>
        <v/>
      </c>
      <c r="CJ80">
        <f>SUMPRODUCT((M_BOM[Part Name]=$A80)*M_BOM[RM_Qty_Per_Batch]*IFERROR(INDEX(PP_Grid[#Data],IF(M_BOM[PPGridRow]=80,NA(),M_BOM[PPGridRow]),88),0))/38.85</f>
        <v/>
      </c>
      <c r="CK80">
        <f>SUMPRODUCT((M_BOM[Part Name]=$A80)*M_BOM[RM_Qty_Per_Batch]*IFERROR(INDEX(PP_Grid[#Data],IF(M_BOM[PPGridRow]=80,NA(),M_BOM[PPGridRow]),89),0))/38.85</f>
        <v/>
      </c>
      <c r="CL80">
        <f>SUMPRODUCT((M_BOM[Part Name]=$A80)*M_BOM[RM_Qty_Per_Batch]*IFERROR(INDEX(PP_Grid[#Data],IF(M_BOM[PPGridRow]=80,NA(),M_BOM[PPGridRow]),90),0))/38.85</f>
        <v/>
      </c>
      <c r="CM80">
        <f>SUMPRODUCT((M_BOM[Part Name]=$A80)*M_BOM[RM_Qty_Per_Batch]*IFERROR(INDEX(PP_Grid[#Data],IF(M_BOM[PPGridRow]=80,NA(),M_BOM[PPGridRow]),91),0))/38.85</f>
        <v/>
      </c>
      <c r="CN80">
        <f>SUMPRODUCT((M_BOM[Part Name]=$A80)*M_BOM[RM_Qty_Per_Batch]*IFERROR(INDEX(PP_Grid[#Data],IF(M_BOM[PPGridRow]=80,NA(),M_BOM[PPGridRow]),92),0))/38.85</f>
        <v/>
      </c>
      <c r="CO80">
        <f>SUMPRODUCT((M_BOM[Part Name]=$A80)*M_BOM[RM_Qty_Per_Batch]*IFERROR(INDEX(PP_Grid[#Data],IF(M_BOM[PPGridRow]=80,NA(),M_BOM[PPGridRow]),93),0))/38.85</f>
        <v/>
      </c>
      <c r="CP80">
        <f>SUMPRODUCT((M_BOM[Part Name]=$A80)*M_BOM[RM_Qty_Per_Batch]*IFERROR(INDEX(PP_Grid[#Data],IF(M_BOM[PPGridRow]=80,NA(),M_BOM[PPGridRow]),94),0))/38.85</f>
        <v/>
      </c>
      <c r="CQ80">
        <f>SUMPRODUCT((M_BOM[Part Name]=$A80)*M_BOM[RM_Qty_Per_Batch]*IFERROR(INDEX(PP_Grid[#Data],IF(M_BOM[PPGridRow]=80,NA(),M_BOM[PPGridRow]),95),0))/38.85</f>
        <v/>
      </c>
      <c r="CR80">
        <f>SUMPRODUCT((M_BOM[Part Name]=$A80)*M_BOM[RM_Qty_Per_Batch]*IFERROR(INDEX(PP_Grid[#Data],IF(M_BOM[PPGridRow]=80,NA(),M_BOM[PPGridRow]),96),0))/38.85</f>
        <v/>
      </c>
      <c r="CS80">
        <f>SUMPRODUCT((M_BOM[Part Name]=$A80)*M_BOM[RM_Qty_Per_Batch]*IFERROR(INDEX(PP_Grid[#Data],IF(M_BOM[PPGridRow]=80,NA(),M_BOM[PPGridRow]),97),0))/38.85</f>
        <v/>
      </c>
      <c r="CT80">
        <f>SUMPRODUCT((M_BOM[Part Name]=$A80)*M_BOM[RM_Qty_Per_Batch]*IFERROR(INDEX(PP_Grid[#Data],IF(M_BOM[PPGridRow]=80,NA(),M_BOM[PPGridRow]),98),0))/38.85</f>
        <v/>
      </c>
      <c r="CU80">
        <f>SUMPRODUCT((M_BOM[Part Name]=$A80)*M_BOM[RM_Qty_Per_Batch]*IFERROR(INDEX(PP_Grid[#Data],IF(M_BOM[PPGridRow]=80,NA(),M_BOM[PPGridRow]),99),0))/38.85</f>
        <v/>
      </c>
      <c r="CV80">
        <f>SUMPRODUCT((M_BOM[Part Name]=$A80)*M_BOM[RM_Qty_Per_Batch]*IFERROR(INDEX(PP_Grid[#Data],IF(M_BOM[PPGridRow]=80,NA(),M_BOM[PPGridRow]),100),0))/38.85</f>
        <v/>
      </c>
      <c r="CW80">
        <f>SUMPRODUCT((M_BOM[Part Name]=$A80)*M_BOM[RM_Qty_Per_Batch]*IFERROR(INDEX(PP_Grid[#Data],IF(M_BOM[PPGridRow]=80,NA(),M_BOM[PPGridRow]),101),0))/38.85</f>
        <v/>
      </c>
      <c r="CX80">
        <f>SUMPRODUCT((M_BOM[Part Name]=$A80)*M_BOM[RM_Qty_Per_Batch]*IFERROR(INDEX(PP_Grid[#Data],IF(M_BOM[PPGridRow]=80,NA(),M_BOM[PPGridRow]),102),0))/38.85</f>
        <v/>
      </c>
      <c r="CY80">
        <f>SUMPRODUCT((M_BOM[Part Name]=$A80)*M_BOM[RM_Qty_Per_Batch]*IFERROR(INDEX(PP_Grid[#Data],IF(M_BOM[PPGridRow]=80,NA(),M_BOM[PPGridRow]),103),0))/38.85</f>
        <v/>
      </c>
      <c r="CZ80">
        <f>SUMPRODUCT((M_BOM[Part Name]=$A80)*M_BOM[RM_Qty_Per_Batch]*IFERROR(INDEX(PP_Grid[#Data],IF(M_BOM[PPGridRow]=80,NA(),M_BOM[PPGridRow]),104),0))/38.85</f>
        <v/>
      </c>
      <c r="DA80">
        <f>SUMPRODUCT((M_BOM[Part Name]=$A80)*M_BOM[RM_Qty_Per_Batch]*IFERROR(INDEX(PP_Grid[#Data],IF(M_BOM[PPGridRow]=80,NA(),M_BOM[PPGridRow]),105),0))/38.85</f>
        <v/>
      </c>
    </row>
    <row r="81">
      <c r="A81" t="inlineStr">
        <is>
          <t>TPP-700</t>
        </is>
      </c>
      <c r="B81">
        <f>SUMPRODUCT((M_BOM[Part Name]=$A81)*M_BOM[RM_Qty_Per_Batch]*IFERROR(INDEX(PP_Grid[#Data],IF(M_BOM[PPGridRow]=81,NA(),M_BOM[PPGridRow]),2),0))/36.03</f>
        <v/>
      </c>
      <c r="C81">
        <f>SUMPRODUCT((M_BOM[Part Name]=$A81)*M_BOM[RM_Qty_Per_Batch]*IFERROR(INDEX(PP_Grid[#Data],IF(M_BOM[PPGridRow]=81,NA(),M_BOM[PPGridRow]),3),0))/36.03</f>
        <v/>
      </c>
      <c r="D81">
        <f>SUMPRODUCT((M_BOM[Part Name]=$A81)*M_BOM[RM_Qty_Per_Batch]*IFERROR(INDEX(PP_Grid[#Data],IF(M_BOM[PPGridRow]=81,NA(),M_BOM[PPGridRow]),4),0))/36.03</f>
        <v/>
      </c>
      <c r="E81">
        <f>SUMPRODUCT((M_BOM[Part Name]=$A81)*M_BOM[RM_Qty_Per_Batch]*IFERROR(INDEX(PP_Grid[#Data],IF(M_BOM[PPGridRow]=81,NA(),M_BOM[PPGridRow]),5),0))/36.03</f>
        <v/>
      </c>
      <c r="F81">
        <f>SUMPRODUCT((M_BOM[Part Name]=$A81)*M_BOM[RM_Qty_Per_Batch]*IFERROR(INDEX(PP_Grid[#Data],IF(M_BOM[PPGridRow]=81,NA(),M_BOM[PPGridRow]),6),0))/36.03</f>
        <v/>
      </c>
      <c r="G81">
        <f>SUMPRODUCT((M_BOM[Part Name]=$A81)*M_BOM[RM_Qty_Per_Batch]*IFERROR(INDEX(PP_Grid[#Data],IF(M_BOM[PPGridRow]=81,NA(),M_BOM[PPGridRow]),7),0))/36.03</f>
        <v/>
      </c>
      <c r="H81">
        <f>SUMPRODUCT((M_BOM[Part Name]=$A81)*M_BOM[RM_Qty_Per_Batch]*IFERROR(INDEX(PP_Grid[#Data],IF(M_BOM[PPGridRow]=81,NA(),M_BOM[PPGridRow]),8),0))/36.03</f>
        <v/>
      </c>
      <c r="I81">
        <f>SUMPRODUCT((M_BOM[Part Name]=$A81)*M_BOM[RM_Qty_Per_Batch]*IFERROR(INDEX(PP_Grid[#Data],IF(M_BOM[PPGridRow]=81,NA(),M_BOM[PPGridRow]),9),0))/36.03</f>
        <v/>
      </c>
      <c r="J81">
        <f>SUMPRODUCT((M_BOM[Part Name]=$A81)*M_BOM[RM_Qty_Per_Batch]*IFERROR(INDEX(PP_Grid[#Data],IF(M_BOM[PPGridRow]=81,NA(),M_BOM[PPGridRow]),10),0))/36.03</f>
        <v/>
      </c>
      <c r="K81">
        <f>SUMPRODUCT((M_BOM[Part Name]=$A81)*M_BOM[RM_Qty_Per_Batch]*IFERROR(INDEX(PP_Grid[#Data],IF(M_BOM[PPGridRow]=81,NA(),M_BOM[PPGridRow]),11),0))/36.03</f>
        <v/>
      </c>
      <c r="L81">
        <f>SUMPRODUCT((M_BOM[Part Name]=$A81)*M_BOM[RM_Qty_Per_Batch]*IFERROR(INDEX(PP_Grid[#Data],IF(M_BOM[PPGridRow]=81,NA(),M_BOM[PPGridRow]),12),0))/36.03</f>
        <v/>
      </c>
      <c r="M81">
        <f>SUMPRODUCT((M_BOM[Part Name]=$A81)*M_BOM[RM_Qty_Per_Batch]*IFERROR(INDEX(PP_Grid[#Data],IF(M_BOM[PPGridRow]=81,NA(),M_BOM[PPGridRow]),13),0))/36.03</f>
        <v/>
      </c>
      <c r="N81">
        <f>SUMPRODUCT((M_BOM[Part Name]=$A81)*M_BOM[RM_Qty_Per_Batch]*IFERROR(INDEX(PP_Grid[#Data],IF(M_BOM[PPGridRow]=81,NA(),M_BOM[PPGridRow]),14),0))/36.03</f>
        <v/>
      </c>
      <c r="O81">
        <f>SUMPRODUCT((M_BOM[Part Name]=$A81)*M_BOM[RM_Qty_Per_Batch]*IFERROR(INDEX(PP_Grid[#Data],IF(M_BOM[PPGridRow]=81,NA(),M_BOM[PPGridRow]),15),0))/36.03</f>
        <v/>
      </c>
      <c r="P81">
        <f>SUMPRODUCT((M_BOM[Part Name]=$A81)*M_BOM[RM_Qty_Per_Batch]*IFERROR(INDEX(PP_Grid[#Data],IF(M_BOM[PPGridRow]=81,NA(),M_BOM[PPGridRow]),16),0))/36.03</f>
        <v/>
      </c>
      <c r="Q81">
        <f>SUMPRODUCT((M_BOM[Part Name]=$A81)*M_BOM[RM_Qty_Per_Batch]*IFERROR(INDEX(PP_Grid[#Data],IF(M_BOM[PPGridRow]=81,NA(),M_BOM[PPGridRow]),17),0))/36.03</f>
        <v/>
      </c>
      <c r="R81">
        <f>SUMPRODUCT((M_BOM[Part Name]=$A81)*M_BOM[RM_Qty_Per_Batch]*IFERROR(INDEX(PP_Grid[#Data],IF(M_BOM[PPGridRow]=81,NA(),M_BOM[PPGridRow]),18),0))/36.03</f>
        <v/>
      </c>
      <c r="S81">
        <f>SUMPRODUCT((M_BOM[Part Name]=$A81)*M_BOM[RM_Qty_Per_Batch]*IFERROR(INDEX(PP_Grid[#Data],IF(M_BOM[PPGridRow]=81,NA(),M_BOM[PPGridRow]),19),0))/36.03</f>
        <v/>
      </c>
      <c r="T81">
        <f>SUMPRODUCT((M_BOM[Part Name]=$A81)*M_BOM[RM_Qty_Per_Batch]*IFERROR(INDEX(PP_Grid[#Data],IF(M_BOM[PPGridRow]=81,NA(),M_BOM[PPGridRow]),20),0))/36.03</f>
        <v/>
      </c>
      <c r="U81">
        <f>SUMPRODUCT((M_BOM[Part Name]=$A81)*M_BOM[RM_Qty_Per_Batch]*IFERROR(INDEX(PP_Grid[#Data],IF(M_BOM[PPGridRow]=81,NA(),M_BOM[PPGridRow]),21),0))/36.03</f>
        <v/>
      </c>
      <c r="V81">
        <f>SUMPRODUCT((M_BOM[Part Name]=$A81)*M_BOM[RM_Qty_Per_Batch]*IFERROR(INDEX(PP_Grid[#Data],IF(M_BOM[PPGridRow]=81,NA(),M_BOM[PPGridRow]),22),0))/36.03</f>
        <v/>
      </c>
      <c r="W81">
        <f>SUMPRODUCT((M_BOM[Part Name]=$A81)*M_BOM[RM_Qty_Per_Batch]*IFERROR(INDEX(PP_Grid[#Data],IF(M_BOM[PPGridRow]=81,NA(),M_BOM[PPGridRow]),23),0))/36.03</f>
        <v/>
      </c>
      <c r="X81">
        <f>SUMPRODUCT((M_BOM[Part Name]=$A81)*M_BOM[RM_Qty_Per_Batch]*IFERROR(INDEX(PP_Grid[#Data],IF(M_BOM[PPGridRow]=81,NA(),M_BOM[PPGridRow]),24),0))/36.03</f>
        <v/>
      </c>
      <c r="Y81">
        <f>SUMPRODUCT((M_BOM[Part Name]=$A81)*M_BOM[RM_Qty_Per_Batch]*IFERROR(INDEX(PP_Grid[#Data],IF(M_BOM[PPGridRow]=81,NA(),M_BOM[PPGridRow]),25),0))/36.03</f>
        <v/>
      </c>
      <c r="Z81">
        <f>SUMPRODUCT((M_BOM[Part Name]=$A81)*M_BOM[RM_Qty_Per_Batch]*IFERROR(INDEX(PP_Grid[#Data],IF(M_BOM[PPGridRow]=81,NA(),M_BOM[PPGridRow]),26),0))/36.03</f>
        <v/>
      </c>
      <c r="AA81">
        <f>SUMPRODUCT((M_BOM[Part Name]=$A81)*M_BOM[RM_Qty_Per_Batch]*IFERROR(INDEX(PP_Grid[#Data],IF(M_BOM[PPGridRow]=81,NA(),M_BOM[PPGridRow]),27),0))/36.03</f>
        <v/>
      </c>
      <c r="AB81">
        <f>SUMPRODUCT((M_BOM[Part Name]=$A81)*M_BOM[RM_Qty_Per_Batch]*IFERROR(INDEX(PP_Grid[#Data],IF(M_BOM[PPGridRow]=81,NA(),M_BOM[PPGridRow]),28),0))/36.03</f>
        <v/>
      </c>
      <c r="AC81">
        <f>SUMPRODUCT((M_BOM[Part Name]=$A81)*M_BOM[RM_Qty_Per_Batch]*IFERROR(INDEX(PP_Grid[#Data],IF(M_BOM[PPGridRow]=81,NA(),M_BOM[PPGridRow]),29),0))/36.03</f>
        <v/>
      </c>
      <c r="AD81">
        <f>SUMPRODUCT((M_BOM[Part Name]=$A81)*M_BOM[RM_Qty_Per_Batch]*IFERROR(INDEX(PP_Grid[#Data],IF(M_BOM[PPGridRow]=81,NA(),M_BOM[PPGridRow]),30),0))/36.03</f>
        <v/>
      </c>
      <c r="AE81">
        <f>SUMPRODUCT((M_BOM[Part Name]=$A81)*M_BOM[RM_Qty_Per_Batch]*IFERROR(INDEX(PP_Grid[#Data],IF(M_BOM[PPGridRow]=81,NA(),M_BOM[PPGridRow]),31),0))/36.03</f>
        <v/>
      </c>
      <c r="AF81">
        <f>SUMPRODUCT((M_BOM[Part Name]=$A81)*M_BOM[RM_Qty_Per_Batch]*IFERROR(INDEX(PP_Grid[#Data],IF(M_BOM[PPGridRow]=81,NA(),M_BOM[PPGridRow]),32),0))/36.03</f>
        <v/>
      </c>
      <c r="AG81">
        <f>SUMPRODUCT((M_BOM[Part Name]=$A81)*M_BOM[RM_Qty_Per_Batch]*IFERROR(INDEX(PP_Grid[#Data],IF(M_BOM[PPGridRow]=81,NA(),M_BOM[PPGridRow]),33),0))/36.03</f>
        <v/>
      </c>
      <c r="AH81">
        <f>SUMPRODUCT((M_BOM[Part Name]=$A81)*M_BOM[RM_Qty_Per_Batch]*IFERROR(INDEX(PP_Grid[#Data],IF(M_BOM[PPGridRow]=81,NA(),M_BOM[PPGridRow]),34),0))/36.03</f>
        <v/>
      </c>
      <c r="AI81">
        <f>SUMPRODUCT((M_BOM[Part Name]=$A81)*M_BOM[RM_Qty_Per_Batch]*IFERROR(INDEX(PP_Grid[#Data],IF(M_BOM[PPGridRow]=81,NA(),M_BOM[PPGridRow]),35),0))/36.03</f>
        <v/>
      </c>
      <c r="AJ81">
        <f>SUMPRODUCT((M_BOM[Part Name]=$A81)*M_BOM[RM_Qty_Per_Batch]*IFERROR(INDEX(PP_Grid[#Data],IF(M_BOM[PPGridRow]=81,NA(),M_BOM[PPGridRow]),36),0))/36.03</f>
        <v/>
      </c>
      <c r="AK81">
        <f>SUMPRODUCT((M_BOM[Part Name]=$A81)*M_BOM[RM_Qty_Per_Batch]*IFERROR(INDEX(PP_Grid[#Data],IF(M_BOM[PPGridRow]=81,NA(),M_BOM[PPGridRow]),37),0))/36.03</f>
        <v/>
      </c>
      <c r="AL81">
        <f>SUMPRODUCT((M_BOM[Part Name]=$A81)*M_BOM[RM_Qty_Per_Batch]*IFERROR(INDEX(PP_Grid[#Data],IF(M_BOM[PPGridRow]=81,NA(),M_BOM[PPGridRow]),38),0))/36.03</f>
        <v/>
      </c>
      <c r="AM81">
        <f>SUMPRODUCT((M_BOM[Part Name]=$A81)*M_BOM[RM_Qty_Per_Batch]*IFERROR(INDEX(PP_Grid[#Data],IF(M_BOM[PPGridRow]=81,NA(),M_BOM[PPGridRow]),39),0))/36.03</f>
        <v/>
      </c>
      <c r="AN81">
        <f>SUMPRODUCT((M_BOM[Part Name]=$A81)*M_BOM[RM_Qty_Per_Batch]*IFERROR(INDEX(PP_Grid[#Data],IF(M_BOM[PPGridRow]=81,NA(),M_BOM[PPGridRow]),40),0))/36.03</f>
        <v/>
      </c>
      <c r="AO81">
        <f>SUMPRODUCT((M_BOM[Part Name]=$A81)*M_BOM[RM_Qty_Per_Batch]*IFERROR(INDEX(PP_Grid[#Data],IF(M_BOM[PPGridRow]=81,NA(),M_BOM[PPGridRow]),41),0))/36.03</f>
        <v/>
      </c>
      <c r="AP81">
        <f>SUMPRODUCT((M_BOM[Part Name]=$A81)*M_BOM[RM_Qty_Per_Batch]*IFERROR(INDEX(PP_Grid[#Data],IF(M_BOM[PPGridRow]=81,NA(),M_BOM[PPGridRow]),42),0))/36.03</f>
        <v/>
      </c>
      <c r="AQ81">
        <f>SUMPRODUCT((M_BOM[Part Name]=$A81)*M_BOM[RM_Qty_Per_Batch]*IFERROR(INDEX(PP_Grid[#Data],IF(M_BOM[PPGridRow]=81,NA(),M_BOM[PPGridRow]),43),0))/36.03</f>
        <v/>
      </c>
      <c r="AR81">
        <f>SUMPRODUCT((M_BOM[Part Name]=$A81)*M_BOM[RM_Qty_Per_Batch]*IFERROR(INDEX(PP_Grid[#Data],IF(M_BOM[PPGridRow]=81,NA(),M_BOM[PPGridRow]),44),0))/36.03</f>
        <v/>
      </c>
      <c r="AS81">
        <f>SUMPRODUCT((M_BOM[Part Name]=$A81)*M_BOM[RM_Qty_Per_Batch]*IFERROR(INDEX(PP_Grid[#Data],IF(M_BOM[PPGridRow]=81,NA(),M_BOM[PPGridRow]),45),0))/36.03</f>
        <v/>
      </c>
      <c r="AT81">
        <f>SUMPRODUCT((M_BOM[Part Name]=$A81)*M_BOM[RM_Qty_Per_Batch]*IFERROR(INDEX(PP_Grid[#Data],IF(M_BOM[PPGridRow]=81,NA(),M_BOM[PPGridRow]),46),0))/36.03</f>
        <v/>
      </c>
      <c r="AU81">
        <f>SUMPRODUCT((M_BOM[Part Name]=$A81)*M_BOM[RM_Qty_Per_Batch]*IFERROR(INDEX(PP_Grid[#Data],IF(M_BOM[PPGridRow]=81,NA(),M_BOM[PPGridRow]),47),0))/36.03</f>
        <v/>
      </c>
      <c r="AV81">
        <f>SUMPRODUCT((M_BOM[Part Name]=$A81)*M_BOM[RM_Qty_Per_Batch]*IFERROR(INDEX(PP_Grid[#Data],IF(M_BOM[PPGridRow]=81,NA(),M_BOM[PPGridRow]),48),0))/36.03</f>
        <v/>
      </c>
      <c r="AW81">
        <f>SUMPRODUCT((M_BOM[Part Name]=$A81)*M_BOM[RM_Qty_Per_Batch]*IFERROR(INDEX(PP_Grid[#Data],IF(M_BOM[PPGridRow]=81,NA(),M_BOM[PPGridRow]),49),0))/36.03</f>
        <v/>
      </c>
      <c r="AX81">
        <f>SUMPRODUCT((M_BOM[Part Name]=$A81)*M_BOM[RM_Qty_Per_Batch]*IFERROR(INDEX(PP_Grid[#Data],IF(M_BOM[PPGridRow]=81,NA(),M_BOM[PPGridRow]),50),0))/36.03</f>
        <v/>
      </c>
      <c r="AY81">
        <f>SUMPRODUCT((M_BOM[Part Name]=$A81)*M_BOM[RM_Qty_Per_Batch]*IFERROR(INDEX(PP_Grid[#Data],IF(M_BOM[PPGridRow]=81,NA(),M_BOM[PPGridRow]),51),0))/36.03</f>
        <v/>
      </c>
      <c r="AZ81">
        <f>SUMPRODUCT((M_BOM[Part Name]=$A81)*M_BOM[RM_Qty_Per_Batch]*IFERROR(INDEX(PP_Grid[#Data],IF(M_BOM[PPGridRow]=81,NA(),M_BOM[PPGridRow]),52),0))/36.03</f>
        <v/>
      </c>
      <c r="BA81">
        <f>SUMPRODUCT((M_BOM[Part Name]=$A81)*M_BOM[RM_Qty_Per_Batch]*IFERROR(INDEX(PP_Grid[#Data],IF(M_BOM[PPGridRow]=81,NA(),M_BOM[PPGridRow]),53),0))/36.03</f>
        <v/>
      </c>
      <c r="BB81">
        <f>SUMPRODUCT((M_BOM[Part Name]=$A81)*M_BOM[RM_Qty_Per_Batch]*IFERROR(INDEX(PP_Grid[#Data],IF(M_BOM[PPGridRow]=81,NA(),M_BOM[PPGridRow]),54),0))/36.03</f>
        <v/>
      </c>
      <c r="BC81">
        <f>SUMPRODUCT((M_BOM[Part Name]=$A81)*M_BOM[RM_Qty_Per_Batch]*IFERROR(INDEX(PP_Grid[#Data],IF(M_BOM[PPGridRow]=81,NA(),M_BOM[PPGridRow]),55),0))/36.03</f>
        <v/>
      </c>
      <c r="BD81">
        <f>SUMPRODUCT((M_BOM[Part Name]=$A81)*M_BOM[RM_Qty_Per_Batch]*IFERROR(INDEX(PP_Grid[#Data],IF(M_BOM[PPGridRow]=81,NA(),M_BOM[PPGridRow]),56),0))/36.03</f>
        <v/>
      </c>
      <c r="BE81">
        <f>SUMPRODUCT((M_BOM[Part Name]=$A81)*M_BOM[RM_Qty_Per_Batch]*IFERROR(INDEX(PP_Grid[#Data],IF(M_BOM[PPGridRow]=81,NA(),M_BOM[PPGridRow]),57),0))/36.03</f>
        <v/>
      </c>
      <c r="BF81">
        <f>SUMPRODUCT((M_BOM[Part Name]=$A81)*M_BOM[RM_Qty_Per_Batch]*IFERROR(INDEX(PP_Grid[#Data],IF(M_BOM[PPGridRow]=81,NA(),M_BOM[PPGridRow]),58),0))/36.03</f>
        <v/>
      </c>
      <c r="BG81">
        <f>SUMPRODUCT((M_BOM[Part Name]=$A81)*M_BOM[RM_Qty_Per_Batch]*IFERROR(INDEX(PP_Grid[#Data],IF(M_BOM[PPGridRow]=81,NA(),M_BOM[PPGridRow]),59),0))/36.03</f>
        <v/>
      </c>
      <c r="BH81">
        <f>SUMPRODUCT((M_BOM[Part Name]=$A81)*M_BOM[RM_Qty_Per_Batch]*IFERROR(INDEX(PP_Grid[#Data],IF(M_BOM[PPGridRow]=81,NA(),M_BOM[PPGridRow]),60),0))/36.03</f>
        <v/>
      </c>
      <c r="BI81">
        <f>SUMPRODUCT((M_BOM[Part Name]=$A81)*M_BOM[RM_Qty_Per_Batch]*IFERROR(INDEX(PP_Grid[#Data],IF(M_BOM[PPGridRow]=81,NA(),M_BOM[PPGridRow]),61),0))/36.03</f>
        <v/>
      </c>
      <c r="BJ81">
        <f>SUMPRODUCT((M_BOM[Part Name]=$A81)*M_BOM[RM_Qty_Per_Batch]*IFERROR(INDEX(PP_Grid[#Data],IF(M_BOM[PPGridRow]=81,NA(),M_BOM[PPGridRow]),62),0))/36.03</f>
        <v/>
      </c>
      <c r="BK81">
        <f>SUMPRODUCT((M_BOM[Part Name]=$A81)*M_BOM[RM_Qty_Per_Batch]*IFERROR(INDEX(PP_Grid[#Data],IF(M_BOM[PPGridRow]=81,NA(),M_BOM[PPGridRow]),63),0))/36.03</f>
        <v/>
      </c>
      <c r="BL81">
        <f>SUMPRODUCT((M_BOM[Part Name]=$A81)*M_BOM[RM_Qty_Per_Batch]*IFERROR(INDEX(PP_Grid[#Data],IF(M_BOM[PPGridRow]=81,NA(),M_BOM[PPGridRow]),64),0))/36.03</f>
        <v/>
      </c>
      <c r="BM81">
        <f>SUMPRODUCT((M_BOM[Part Name]=$A81)*M_BOM[RM_Qty_Per_Batch]*IFERROR(INDEX(PP_Grid[#Data],IF(M_BOM[PPGridRow]=81,NA(),M_BOM[PPGridRow]),65),0))/36.03</f>
        <v/>
      </c>
      <c r="BN81">
        <f>SUMPRODUCT((M_BOM[Part Name]=$A81)*M_BOM[RM_Qty_Per_Batch]*IFERROR(INDEX(PP_Grid[#Data],IF(M_BOM[PPGridRow]=81,NA(),M_BOM[PPGridRow]),66),0))/36.03</f>
        <v/>
      </c>
      <c r="BO81">
        <f>SUMPRODUCT((M_BOM[Part Name]=$A81)*M_BOM[RM_Qty_Per_Batch]*IFERROR(INDEX(PP_Grid[#Data],IF(M_BOM[PPGridRow]=81,NA(),M_BOM[PPGridRow]),67),0))/36.03</f>
        <v/>
      </c>
      <c r="BP81">
        <f>SUMPRODUCT((M_BOM[Part Name]=$A81)*M_BOM[RM_Qty_Per_Batch]*IFERROR(INDEX(PP_Grid[#Data],IF(M_BOM[PPGridRow]=81,NA(),M_BOM[PPGridRow]),68),0))/36.03</f>
        <v/>
      </c>
      <c r="BQ81">
        <f>SUMPRODUCT((M_BOM[Part Name]=$A81)*M_BOM[RM_Qty_Per_Batch]*IFERROR(INDEX(PP_Grid[#Data],IF(M_BOM[PPGridRow]=81,NA(),M_BOM[PPGridRow]),69),0))/36.03</f>
        <v/>
      </c>
      <c r="BR81">
        <f>SUMPRODUCT((M_BOM[Part Name]=$A81)*M_BOM[RM_Qty_Per_Batch]*IFERROR(INDEX(PP_Grid[#Data],IF(M_BOM[PPGridRow]=81,NA(),M_BOM[PPGridRow]),70),0))/36.03</f>
        <v/>
      </c>
      <c r="BS81">
        <f>SUMPRODUCT((M_BOM[Part Name]=$A81)*M_BOM[RM_Qty_Per_Batch]*IFERROR(INDEX(PP_Grid[#Data],IF(M_BOM[PPGridRow]=81,NA(),M_BOM[PPGridRow]),71),0))/36.03</f>
        <v/>
      </c>
      <c r="BT81">
        <f>SUMPRODUCT((M_BOM[Part Name]=$A81)*M_BOM[RM_Qty_Per_Batch]*IFERROR(INDEX(PP_Grid[#Data],IF(M_BOM[PPGridRow]=81,NA(),M_BOM[PPGridRow]),72),0))/36.03</f>
        <v/>
      </c>
      <c r="BU81">
        <f>SUMPRODUCT((M_BOM[Part Name]=$A81)*M_BOM[RM_Qty_Per_Batch]*IFERROR(INDEX(PP_Grid[#Data],IF(M_BOM[PPGridRow]=81,NA(),M_BOM[PPGridRow]),73),0))/36.03</f>
        <v/>
      </c>
      <c r="BV81">
        <f>SUMPRODUCT((M_BOM[Part Name]=$A81)*M_BOM[RM_Qty_Per_Batch]*IFERROR(INDEX(PP_Grid[#Data],IF(M_BOM[PPGridRow]=81,NA(),M_BOM[PPGridRow]),74),0))/36.03</f>
        <v/>
      </c>
      <c r="BW81">
        <f>SUMPRODUCT((M_BOM[Part Name]=$A81)*M_BOM[RM_Qty_Per_Batch]*IFERROR(INDEX(PP_Grid[#Data],IF(M_BOM[PPGridRow]=81,NA(),M_BOM[PPGridRow]),75),0))/36.03</f>
        <v/>
      </c>
      <c r="BX81">
        <f>SUMPRODUCT((M_BOM[Part Name]=$A81)*M_BOM[RM_Qty_Per_Batch]*IFERROR(INDEX(PP_Grid[#Data],IF(M_BOM[PPGridRow]=81,NA(),M_BOM[PPGridRow]),76),0))/36.03</f>
        <v/>
      </c>
      <c r="BY81">
        <f>SUMPRODUCT((M_BOM[Part Name]=$A81)*M_BOM[RM_Qty_Per_Batch]*IFERROR(INDEX(PP_Grid[#Data],IF(M_BOM[PPGridRow]=81,NA(),M_BOM[PPGridRow]),77),0))/36.03</f>
        <v/>
      </c>
      <c r="BZ81">
        <f>SUMPRODUCT((M_BOM[Part Name]=$A81)*M_BOM[RM_Qty_Per_Batch]*IFERROR(INDEX(PP_Grid[#Data],IF(M_BOM[PPGridRow]=81,NA(),M_BOM[PPGridRow]),78),0))/36.03</f>
        <v/>
      </c>
      <c r="CA81">
        <f>SUMPRODUCT((M_BOM[Part Name]=$A81)*M_BOM[RM_Qty_Per_Batch]*IFERROR(INDEX(PP_Grid[#Data],IF(M_BOM[PPGridRow]=81,NA(),M_BOM[PPGridRow]),79),0))/36.03</f>
        <v/>
      </c>
      <c r="CB81">
        <f>SUMPRODUCT((M_BOM[Part Name]=$A81)*M_BOM[RM_Qty_Per_Batch]*IFERROR(INDEX(PP_Grid[#Data],IF(M_BOM[PPGridRow]=81,NA(),M_BOM[PPGridRow]),80),0))/36.03</f>
        <v/>
      </c>
      <c r="CC81">
        <f>SUMPRODUCT((M_BOM[Part Name]=$A81)*M_BOM[RM_Qty_Per_Batch]*IFERROR(INDEX(PP_Grid[#Data],IF(M_BOM[PPGridRow]=81,NA(),M_BOM[PPGridRow]),81),0))/36.03</f>
        <v/>
      </c>
      <c r="CD81">
        <f>SUMPRODUCT((M_BOM[Part Name]=$A81)*M_BOM[RM_Qty_Per_Batch]*IFERROR(INDEX(PP_Grid[#Data],IF(M_BOM[PPGridRow]=81,NA(),M_BOM[PPGridRow]),82),0))/36.03</f>
        <v/>
      </c>
      <c r="CE81">
        <f>SUMPRODUCT((M_BOM[Part Name]=$A81)*M_BOM[RM_Qty_Per_Batch]*IFERROR(INDEX(PP_Grid[#Data],IF(M_BOM[PPGridRow]=81,NA(),M_BOM[PPGridRow]),83),0))/36.03</f>
        <v/>
      </c>
      <c r="CF81">
        <f>SUMPRODUCT((M_BOM[Part Name]=$A81)*M_BOM[RM_Qty_Per_Batch]*IFERROR(INDEX(PP_Grid[#Data],IF(M_BOM[PPGridRow]=81,NA(),M_BOM[PPGridRow]),84),0))/36.03</f>
        <v/>
      </c>
      <c r="CG81">
        <f>SUMPRODUCT((M_BOM[Part Name]=$A81)*M_BOM[RM_Qty_Per_Batch]*IFERROR(INDEX(PP_Grid[#Data],IF(M_BOM[PPGridRow]=81,NA(),M_BOM[PPGridRow]),85),0))/36.03</f>
        <v/>
      </c>
      <c r="CH81">
        <f>SUMPRODUCT((M_BOM[Part Name]=$A81)*M_BOM[RM_Qty_Per_Batch]*IFERROR(INDEX(PP_Grid[#Data],IF(M_BOM[PPGridRow]=81,NA(),M_BOM[PPGridRow]),86),0))/36.03</f>
        <v/>
      </c>
      <c r="CI81">
        <f>SUMPRODUCT((M_BOM[Part Name]=$A81)*M_BOM[RM_Qty_Per_Batch]*IFERROR(INDEX(PP_Grid[#Data],IF(M_BOM[PPGridRow]=81,NA(),M_BOM[PPGridRow]),87),0))/36.03</f>
        <v/>
      </c>
      <c r="CJ81">
        <f>SUMPRODUCT((M_BOM[Part Name]=$A81)*M_BOM[RM_Qty_Per_Batch]*IFERROR(INDEX(PP_Grid[#Data],IF(M_BOM[PPGridRow]=81,NA(),M_BOM[PPGridRow]),88),0))/36.03</f>
        <v/>
      </c>
      <c r="CK81">
        <f>SUMPRODUCT((M_BOM[Part Name]=$A81)*M_BOM[RM_Qty_Per_Batch]*IFERROR(INDEX(PP_Grid[#Data],IF(M_BOM[PPGridRow]=81,NA(),M_BOM[PPGridRow]),89),0))/36.03</f>
        <v/>
      </c>
      <c r="CL81">
        <f>SUMPRODUCT((M_BOM[Part Name]=$A81)*M_BOM[RM_Qty_Per_Batch]*IFERROR(INDEX(PP_Grid[#Data],IF(M_BOM[PPGridRow]=81,NA(),M_BOM[PPGridRow]),90),0))/36.03</f>
        <v/>
      </c>
      <c r="CM81">
        <f>SUMPRODUCT((M_BOM[Part Name]=$A81)*M_BOM[RM_Qty_Per_Batch]*IFERROR(INDEX(PP_Grid[#Data],IF(M_BOM[PPGridRow]=81,NA(),M_BOM[PPGridRow]),91),0))/36.03</f>
        <v/>
      </c>
      <c r="CN81">
        <f>SUMPRODUCT((M_BOM[Part Name]=$A81)*M_BOM[RM_Qty_Per_Batch]*IFERROR(INDEX(PP_Grid[#Data],IF(M_BOM[PPGridRow]=81,NA(),M_BOM[PPGridRow]),92),0))/36.03</f>
        <v/>
      </c>
      <c r="CO81">
        <f>SUMPRODUCT((M_BOM[Part Name]=$A81)*M_BOM[RM_Qty_Per_Batch]*IFERROR(INDEX(PP_Grid[#Data],IF(M_BOM[PPGridRow]=81,NA(),M_BOM[PPGridRow]),93),0))/36.03</f>
        <v/>
      </c>
      <c r="CP81">
        <f>SUMPRODUCT((M_BOM[Part Name]=$A81)*M_BOM[RM_Qty_Per_Batch]*IFERROR(INDEX(PP_Grid[#Data],IF(M_BOM[PPGridRow]=81,NA(),M_BOM[PPGridRow]),94),0))/36.03</f>
        <v/>
      </c>
      <c r="CQ81">
        <f>SUMPRODUCT((M_BOM[Part Name]=$A81)*M_BOM[RM_Qty_Per_Batch]*IFERROR(INDEX(PP_Grid[#Data],IF(M_BOM[PPGridRow]=81,NA(),M_BOM[PPGridRow]),95),0))/36.03</f>
        <v/>
      </c>
      <c r="CR81">
        <f>SUMPRODUCT((M_BOM[Part Name]=$A81)*M_BOM[RM_Qty_Per_Batch]*IFERROR(INDEX(PP_Grid[#Data],IF(M_BOM[PPGridRow]=81,NA(),M_BOM[PPGridRow]),96),0))/36.03</f>
        <v/>
      </c>
      <c r="CS81">
        <f>SUMPRODUCT((M_BOM[Part Name]=$A81)*M_BOM[RM_Qty_Per_Batch]*IFERROR(INDEX(PP_Grid[#Data],IF(M_BOM[PPGridRow]=81,NA(),M_BOM[PPGridRow]),97),0))/36.03</f>
        <v/>
      </c>
      <c r="CT81">
        <f>SUMPRODUCT((M_BOM[Part Name]=$A81)*M_BOM[RM_Qty_Per_Batch]*IFERROR(INDEX(PP_Grid[#Data],IF(M_BOM[PPGridRow]=81,NA(),M_BOM[PPGridRow]),98),0))/36.03</f>
        <v/>
      </c>
      <c r="CU81">
        <f>SUMPRODUCT((M_BOM[Part Name]=$A81)*M_BOM[RM_Qty_Per_Batch]*IFERROR(INDEX(PP_Grid[#Data],IF(M_BOM[PPGridRow]=81,NA(),M_BOM[PPGridRow]),99),0))/36.03</f>
        <v/>
      </c>
      <c r="CV81">
        <f>SUMPRODUCT((M_BOM[Part Name]=$A81)*M_BOM[RM_Qty_Per_Batch]*IFERROR(INDEX(PP_Grid[#Data],IF(M_BOM[PPGridRow]=81,NA(),M_BOM[PPGridRow]),100),0))/36.03</f>
        <v/>
      </c>
      <c r="CW81">
        <f>SUMPRODUCT((M_BOM[Part Name]=$A81)*M_BOM[RM_Qty_Per_Batch]*IFERROR(INDEX(PP_Grid[#Data],IF(M_BOM[PPGridRow]=81,NA(),M_BOM[PPGridRow]),101),0))/36.03</f>
        <v/>
      </c>
      <c r="CX81">
        <f>SUMPRODUCT((M_BOM[Part Name]=$A81)*M_BOM[RM_Qty_Per_Batch]*IFERROR(INDEX(PP_Grid[#Data],IF(M_BOM[PPGridRow]=81,NA(),M_BOM[PPGridRow]),102),0))/36.03</f>
        <v/>
      </c>
      <c r="CY81">
        <f>SUMPRODUCT((M_BOM[Part Name]=$A81)*M_BOM[RM_Qty_Per_Batch]*IFERROR(INDEX(PP_Grid[#Data],IF(M_BOM[PPGridRow]=81,NA(),M_BOM[PPGridRow]),103),0))/36.03</f>
        <v/>
      </c>
      <c r="CZ81">
        <f>SUMPRODUCT((M_BOM[Part Name]=$A81)*M_BOM[RM_Qty_Per_Batch]*IFERROR(INDEX(PP_Grid[#Data],IF(M_BOM[PPGridRow]=81,NA(),M_BOM[PPGridRow]),104),0))/36.03</f>
        <v/>
      </c>
      <c r="DA81">
        <f>SUMPRODUCT((M_BOM[Part Name]=$A81)*M_BOM[RM_Qty_Per_Batch]*IFERROR(INDEX(PP_Grid[#Data],IF(M_BOM[PPGridRow]=81,NA(),M_BOM[PPGridRow]),105),0))/36.03</f>
        <v/>
      </c>
    </row>
    <row r="82">
      <c r="A82" t="inlineStr">
        <is>
          <t>TPP-701</t>
        </is>
      </c>
      <c r="B82">
        <f>SUMPRODUCT((M_BOM[Part Name]=$A82)*M_BOM[RM_Qty_Per_Batch]*IFERROR(INDEX(PP_Grid[#Data],IF(M_BOM[PPGridRow]=82,NA(),M_BOM[PPGridRow]),2),0))/36.61</f>
        <v/>
      </c>
      <c r="C82">
        <f>SUMPRODUCT((M_BOM[Part Name]=$A82)*M_BOM[RM_Qty_Per_Batch]*IFERROR(INDEX(PP_Grid[#Data],IF(M_BOM[PPGridRow]=82,NA(),M_BOM[PPGridRow]),3),0))/36.61</f>
        <v/>
      </c>
      <c r="D82">
        <f>SUMPRODUCT((M_BOM[Part Name]=$A82)*M_BOM[RM_Qty_Per_Batch]*IFERROR(INDEX(PP_Grid[#Data],IF(M_BOM[PPGridRow]=82,NA(),M_BOM[PPGridRow]),4),0))/36.61</f>
        <v/>
      </c>
      <c r="E82">
        <f>SUMPRODUCT((M_BOM[Part Name]=$A82)*M_BOM[RM_Qty_Per_Batch]*IFERROR(INDEX(PP_Grid[#Data],IF(M_BOM[PPGridRow]=82,NA(),M_BOM[PPGridRow]),5),0))/36.61</f>
        <v/>
      </c>
      <c r="F82">
        <f>SUMPRODUCT((M_BOM[Part Name]=$A82)*M_BOM[RM_Qty_Per_Batch]*IFERROR(INDEX(PP_Grid[#Data],IF(M_BOM[PPGridRow]=82,NA(),M_BOM[PPGridRow]),6),0))/36.61</f>
        <v/>
      </c>
      <c r="G82">
        <f>SUMPRODUCT((M_BOM[Part Name]=$A82)*M_BOM[RM_Qty_Per_Batch]*IFERROR(INDEX(PP_Grid[#Data],IF(M_BOM[PPGridRow]=82,NA(),M_BOM[PPGridRow]),7),0))/36.61</f>
        <v/>
      </c>
      <c r="H82">
        <f>SUMPRODUCT((M_BOM[Part Name]=$A82)*M_BOM[RM_Qty_Per_Batch]*IFERROR(INDEX(PP_Grid[#Data],IF(M_BOM[PPGridRow]=82,NA(),M_BOM[PPGridRow]),8),0))/36.61</f>
        <v/>
      </c>
      <c r="I82">
        <f>SUMPRODUCT((M_BOM[Part Name]=$A82)*M_BOM[RM_Qty_Per_Batch]*IFERROR(INDEX(PP_Grid[#Data],IF(M_BOM[PPGridRow]=82,NA(),M_BOM[PPGridRow]),9),0))/36.61</f>
        <v/>
      </c>
      <c r="J82">
        <f>SUMPRODUCT((M_BOM[Part Name]=$A82)*M_BOM[RM_Qty_Per_Batch]*IFERROR(INDEX(PP_Grid[#Data],IF(M_BOM[PPGridRow]=82,NA(),M_BOM[PPGridRow]),10),0))/36.61</f>
        <v/>
      </c>
      <c r="K82">
        <f>SUMPRODUCT((M_BOM[Part Name]=$A82)*M_BOM[RM_Qty_Per_Batch]*IFERROR(INDEX(PP_Grid[#Data],IF(M_BOM[PPGridRow]=82,NA(),M_BOM[PPGridRow]),11),0))/36.61</f>
        <v/>
      </c>
      <c r="L82">
        <f>SUMPRODUCT((M_BOM[Part Name]=$A82)*M_BOM[RM_Qty_Per_Batch]*IFERROR(INDEX(PP_Grid[#Data],IF(M_BOM[PPGridRow]=82,NA(),M_BOM[PPGridRow]),12),0))/36.61</f>
        <v/>
      </c>
      <c r="M82">
        <f>SUMPRODUCT((M_BOM[Part Name]=$A82)*M_BOM[RM_Qty_Per_Batch]*IFERROR(INDEX(PP_Grid[#Data],IF(M_BOM[PPGridRow]=82,NA(),M_BOM[PPGridRow]),13),0))/36.61</f>
        <v/>
      </c>
      <c r="N82">
        <f>SUMPRODUCT((M_BOM[Part Name]=$A82)*M_BOM[RM_Qty_Per_Batch]*IFERROR(INDEX(PP_Grid[#Data],IF(M_BOM[PPGridRow]=82,NA(),M_BOM[PPGridRow]),14),0))/36.61</f>
        <v/>
      </c>
      <c r="O82">
        <f>SUMPRODUCT((M_BOM[Part Name]=$A82)*M_BOM[RM_Qty_Per_Batch]*IFERROR(INDEX(PP_Grid[#Data],IF(M_BOM[PPGridRow]=82,NA(),M_BOM[PPGridRow]),15),0))/36.61</f>
        <v/>
      </c>
      <c r="P82">
        <f>SUMPRODUCT((M_BOM[Part Name]=$A82)*M_BOM[RM_Qty_Per_Batch]*IFERROR(INDEX(PP_Grid[#Data],IF(M_BOM[PPGridRow]=82,NA(),M_BOM[PPGridRow]),16),0))/36.61</f>
        <v/>
      </c>
      <c r="Q82">
        <f>SUMPRODUCT((M_BOM[Part Name]=$A82)*M_BOM[RM_Qty_Per_Batch]*IFERROR(INDEX(PP_Grid[#Data],IF(M_BOM[PPGridRow]=82,NA(),M_BOM[PPGridRow]),17),0))/36.61</f>
        <v/>
      </c>
      <c r="R82">
        <f>SUMPRODUCT((M_BOM[Part Name]=$A82)*M_BOM[RM_Qty_Per_Batch]*IFERROR(INDEX(PP_Grid[#Data],IF(M_BOM[PPGridRow]=82,NA(),M_BOM[PPGridRow]),18),0))/36.61</f>
        <v/>
      </c>
      <c r="S82">
        <f>SUMPRODUCT((M_BOM[Part Name]=$A82)*M_BOM[RM_Qty_Per_Batch]*IFERROR(INDEX(PP_Grid[#Data],IF(M_BOM[PPGridRow]=82,NA(),M_BOM[PPGridRow]),19),0))/36.61</f>
        <v/>
      </c>
      <c r="T82">
        <f>SUMPRODUCT((M_BOM[Part Name]=$A82)*M_BOM[RM_Qty_Per_Batch]*IFERROR(INDEX(PP_Grid[#Data],IF(M_BOM[PPGridRow]=82,NA(),M_BOM[PPGridRow]),20),0))/36.61</f>
        <v/>
      </c>
      <c r="U82">
        <f>SUMPRODUCT((M_BOM[Part Name]=$A82)*M_BOM[RM_Qty_Per_Batch]*IFERROR(INDEX(PP_Grid[#Data],IF(M_BOM[PPGridRow]=82,NA(),M_BOM[PPGridRow]),21),0))/36.61</f>
        <v/>
      </c>
      <c r="V82">
        <f>SUMPRODUCT((M_BOM[Part Name]=$A82)*M_BOM[RM_Qty_Per_Batch]*IFERROR(INDEX(PP_Grid[#Data],IF(M_BOM[PPGridRow]=82,NA(),M_BOM[PPGridRow]),22),0))/36.61</f>
        <v/>
      </c>
      <c r="W82">
        <f>SUMPRODUCT((M_BOM[Part Name]=$A82)*M_BOM[RM_Qty_Per_Batch]*IFERROR(INDEX(PP_Grid[#Data],IF(M_BOM[PPGridRow]=82,NA(),M_BOM[PPGridRow]),23),0))/36.61</f>
        <v/>
      </c>
      <c r="X82">
        <f>SUMPRODUCT((M_BOM[Part Name]=$A82)*M_BOM[RM_Qty_Per_Batch]*IFERROR(INDEX(PP_Grid[#Data],IF(M_BOM[PPGridRow]=82,NA(),M_BOM[PPGridRow]),24),0))/36.61</f>
        <v/>
      </c>
      <c r="Y82">
        <f>SUMPRODUCT((M_BOM[Part Name]=$A82)*M_BOM[RM_Qty_Per_Batch]*IFERROR(INDEX(PP_Grid[#Data],IF(M_BOM[PPGridRow]=82,NA(),M_BOM[PPGridRow]),25),0))/36.61</f>
        <v/>
      </c>
      <c r="Z82">
        <f>SUMPRODUCT((M_BOM[Part Name]=$A82)*M_BOM[RM_Qty_Per_Batch]*IFERROR(INDEX(PP_Grid[#Data],IF(M_BOM[PPGridRow]=82,NA(),M_BOM[PPGridRow]),26),0))/36.61</f>
        <v/>
      </c>
      <c r="AA82">
        <f>SUMPRODUCT((M_BOM[Part Name]=$A82)*M_BOM[RM_Qty_Per_Batch]*IFERROR(INDEX(PP_Grid[#Data],IF(M_BOM[PPGridRow]=82,NA(),M_BOM[PPGridRow]),27),0))/36.61</f>
        <v/>
      </c>
      <c r="AB82">
        <f>SUMPRODUCT((M_BOM[Part Name]=$A82)*M_BOM[RM_Qty_Per_Batch]*IFERROR(INDEX(PP_Grid[#Data],IF(M_BOM[PPGridRow]=82,NA(),M_BOM[PPGridRow]),28),0))/36.61</f>
        <v/>
      </c>
      <c r="AC82">
        <f>SUMPRODUCT((M_BOM[Part Name]=$A82)*M_BOM[RM_Qty_Per_Batch]*IFERROR(INDEX(PP_Grid[#Data],IF(M_BOM[PPGridRow]=82,NA(),M_BOM[PPGridRow]),29),0))/36.61</f>
        <v/>
      </c>
      <c r="AD82">
        <f>SUMPRODUCT((M_BOM[Part Name]=$A82)*M_BOM[RM_Qty_Per_Batch]*IFERROR(INDEX(PP_Grid[#Data],IF(M_BOM[PPGridRow]=82,NA(),M_BOM[PPGridRow]),30),0))/36.61</f>
        <v/>
      </c>
      <c r="AE82">
        <f>SUMPRODUCT((M_BOM[Part Name]=$A82)*M_BOM[RM_Qty_Per_Batch]*IFERROR(INDEX(PP_Grid[#Data],IF(M_BOM[PPGridRow]=82,NA(),M_BOM[PPGridRow]),31),0))/36.61</f>
        <v/>
      </c>
      <c r="AF82">
        <f>SUMPRODUCT((M_BOM[Part Name]=$A82)*M_BOM[RM_Qty_Per_Batch]*IFERROR(INDEX(PP_Grid[#Data],IF(M_BOM[PPGridRow]=82,NA(),M_BOM[PPGridRow]),32),0))/36.61</f>
        <v/>
      </c>
      <c r="AG82">
        <f>SUMPRODUCT((M_BOM[Part Name]=$A82)*M_BOM[RM_Qty_Per_Batch]*IFERROR(INDEX(PP_Grid[#Data],IF(M_BOM[PPGridRow]=82,NA(),M_BOM[PPGridRow]),33),0))/36.61</f>
        <v/>
      </c>
      <c r="AH82">
        <f>SUMPRODUCT((M_BOM[Part Name]=$A82)*M_BOM[RM_Qty_Per_Batch]*IFERROR(INDEX(PP_Grid[#Data],IF(M_BOM[PPGridRow]=82,NA(),M_BOM[PPGridRow]),34),0))/36.61</f>
        <v/>
      </c>
      <c r="AI82">
        <f>SUMPRODUCT((M_BOM[Part Name]=$A82)*M_BOM[RM_Qty_Per_Batch]*IFERROR(INDEX(PP_Grid[#Data],IF(M_BOM[PPGridRow]=82,NA(),M_BOM[PPGridRow]),35),0))/36.61</f>
        <v/>
      </c>
      <c r="AJ82">
        <f>SUMPRODUCT((M_BOM[Part Name]=$A82)*M_BOM[RM_Qty_Per_Batch]*IFERROR(INDEX(PP_Grid[#Data],IF(M_BOM[PPGridRow]=82,NA(),M_BOM[PPGridRow]),36),0))/36.61</f>
        <v/>
      </c>
      <c r="AK82">
        <f>SUMPRODUCT((M_BOM[Part Name]=$A82)*M_BOM[RM_Qty_Per_Batch]*IFERROR(INDEX(PP_Grid[#Data],IF(M_BOM[PPGridRow]=82,NA(),M_BOM[PPGridRow]),37),0))/36.61</f>
        <v/>
      </c>
      <c r="AL82">
        <f>SUMPRODUCT((M_BOM[Part Name]=$A82)*M_BOM[RM_Qty_Per_Batch]*IFERROR(INDEX(PP_Grid[#Data],IF(M_BOM[PPGridRow]=82,NA(),M_BOM[PPGridRow]),38),0))/36.61</f>
        <v/>
      </c>
      <c r="AM82">
        <f>SUMPRODUCT((M_BOM[Part Name]=$A82)*M_BOM[RM_Qty_Per_Batch]*IFERROR(INDEX(PP_Grid[#Data],IF(M_BOM[PPGridRow]=82,NA(),M_BOM[PPGridRow]),39),0))/36.61</f>
        <v/>
      </c>
      <c r="AN82">
        <f>SUMPRODUCT((M_BOM[Part Name]=$A82)*M_BOM[RM_Qty_Per_Batch]*IFERROR(INDEX(PP_Grid[#Data],IF(M_BOM[PPGridRow]=82,NA(),M_BOM[PPGridRow]),40),0))/36.61</f>
        <v/>
      </c>
      <c r="AO82">
        <f>SUMPRODUCT((M_BOM[Part Name]=$A82)*M_BOM[RM_Qty_Per_Batch]*IFERROR(INDEX(PP_Grid[#Data],IF(M_BOM[PPGridRow]=82,NA(),M_BOM[PPGridRow]),41),0))/36.61</f>
        <v/>
      </c>
      <c r="AP82">
        <f>SUMPRODUCT((M_BOM[Part Name]=$A82)*M_BOM[RM_Qty_Per_Batch]*IFERROR(INDEX(PP_Grid[#Data],IF(M_BOM[PPGridRow]=82,NA(),M_BOM[PPGridRow]),42),0))/36.61</f>
        <v/>
      </c>
      <c r="AQ82">
        <f>SUMPRODUCT((M_BOM[Part Name]=$A82)*M_BOM[RM_Qty_Per_Batch]*IFERROR(INDEX(PP_Grid[#Data],IF(M_BOM[PPGridRow]=82,NA(),M_BOM[PPGridRow]),43),0))/36.61</f>
        <v/>
      </c>
      <c r="AR82">
        <f>SUMPRODUCT((M_BOM[Part Name]=$A82)*M_BOM[RM_Qty_Per_Batch]*IFERROR(INDEX(PP_Grid[#Data],IF(M_BOM[PPGridRow]=82,NA(),M_BOM[PPGridRow]),44),0))/36.61</f>
        <v/>
      </c>
      <c r="AS82">
        <f>SUMPRODUCT((M_BOM[Part Name]=$A82)*M_BOM[RM_Qty_Per_Batch]*IFERROR(INDEX(PP_Grid[#Data],IF(M_BOM[PPGridRow]=82,NA(),M_BOM[PPGridRow]),45),0))/36.61</f>
        <v/>
      </c>
      <c r="AT82">
        <f>SUMPRODUCT((M_BOM[Part Name]=$A82)*M_BOM[RM_Qty_Per_Batch]*IFERROR(INDEX(PP_Grid[#Data],IF(M_BOM[PPGridRow]=82,NA(),M_BOM[PPGridRow]),46),0))/36.61</f>
        <v/>
      </c>
      <c r="AU82">
        <f>SUMPRODUCT((M_BOM[Part Name]=$A82)*M_BOM[RM_Qty_Per_Batch]*IFERROR(INDEX(PP_Grid[#Data],IF(M_BOM[PPGridRow]=82,NA(),M_BOM[PPGridRow]),47),0))/36.61</f>
        <v/>
      </c>
      <c r="AV82">
        <f>SUMPRODUCT((M_BOM[Part Name]=$A82)*M_BOM[RM_Qty_Per_Batch]*IFERROR(INDEX(PP_Grid[#Data],IF(M_BOM[PPGridRow]=82,NA(),M_BOM[PPGridRow]),48),0))/36.61</f>
        <v/>
      </c>
      <c r="AW82">
        <f>SUMPRODUCT((M_BOM[Part Name]=$A82)*M_BOM[RM_Qty_Per_Batch]*IFERROR(INDEX(PP_Grid[#Data],IF(M_BOM[PPGridRow]=82,NA(),M_BOM[PPGridRow]),49),0))/36.61</f>
        <v/>
      </c>
      <c r="AX82">
        <f>SUMPRODUCT((M_BOM[Part Name]=$A82)*M_BOM[RM_Qty_Per_Batch]*IFERROR(INDEX(PP_Grid[#Data],IF(M_BOM[PPGridRow]=82,NA(),M_BOM[PPGridRow]),50),0))/36.61</f>
        <v/>
      </c>
      <c r="AY82">
        <f>SUMPRODUCT((M_BOM[Part Name]=$A82)*M_BOM[RM_Qty_Per_Batch]*IFERROR(INDEX(PP_Grid[#Data],IF(M_BOM[PPGridRow]=82,NA(),M_BOM[PPGridRow]),51),0))/36.61</f>
        <v/>
      </c>
      <c r="AZ82">
        <f>SUMPRODUCT((M_BOM[Part Name]=$A82)*M_BOM[RM_Qty_Per_Batch]*IFERROR(INDEX(PP_Grid[#Data],IF(M_BOM[PPGridRow]=82,NA(),M_BOM[PPGridRow]),52),0))/36.61</f>
        <v/>
      </c>
      <c r="BA82">
        <f>SUMPRODUCT((M_BOM[Part Name]=$A82)*M_BOM[RM_Qty_Per_Batch]*IFERROR(INDEX(PP_Grid[#Data],IF(M_BOM[PPGridRow]=82,NA(),M_BOM[PPGridRow]),53),0))/36.61</f>
        <v/>
      </c>
      <c r="BB82">
        <f>SUMPRODUCT((M_BOM[Part Name]=$A82)*M_BOM[RM_Qty_Per_Batch]*IFERROR(INDEX(PP_Grid[#Data],IF(M_BOM[PPGridRow]=82,NA(),M_BOM[PPGridRow]),54),0))/36.61</f>
        <v/>
      </c>
      <c r="BC82">
        <f>SUMPRODUCT((M_BOM[Part Name]=$A82)*M_BOM[RM_Qty_Per_Batch]*IFERROR(INDEX(PP_Grid[#Data],IF(M_BOM[PPGridRow]=82,NA(),M_BOM[PPGridRow]),55),0))/36.61</f>
        <v/>
      </c>
      <c r="BD82">
        <f>SUMPRODUCT((M_BOM[Part Name]=$A82)*M_BOM[RM_Qty_Per_Batch]*IFERROR(INDEX(PP_Grid[#Data],IF(M_BOM[PPGridRow]=82,NA(),M_BOM[PPGridRow]),56),0))/36.61</f>
        <v/>
      </c>
      <c r="BE82">
        <f>SUMPRODUCT((M_BOM[Part Name]=$A82)*M_BOM[RM_Qty_Per_Batch]*IFERROR(INDEX(PP_Grid[#Data],IF(M_BOM[PPGridRow]=82,NA(),M_BOM[PPGridRow]),57),0))/36.61</f>
        <v/>
      </c>
      <c r="BF82">
        <f>SUMPRODUCT((M_BOM[Part Name]=$A82)*M_BOM[RM_Qty_Per_Batch]*IFERROR(INDEX(PP_Grid[#Data],IF(M_BOM[PPGridRow]=82,NA(),M_BOM[PPGridRow]),58),0))/36.61</f>
        <v/>
      </c>
      <c r="BG82">
        <f>SUMPRODUCT((M_BOM[Part Name]=$A82)*M_BOM[RM_Qty_Per_Batch]*IFERROR(INDEX(PP_Grid[#Data],IF(M_BOM[PPGridRow]=82,NA(),M_BOM[PPGridRow]),59),0))/36.61</f>
        <v/>
      </c>
      <c r="BH82">
        <f>SUMPRODUCT((M_BOM[Part Name]=$A82)*M_BOM[RM_Qty_Per_Batch]*IFERROR(INDEX(PP_Grid[#Data],IF(M_BOM[PPGridRow]=82,NA(),M_BOM[PPGridRow]),60),0))/36.61</f>
        <v/>
      </c>
      <c r="BI82">
        <f>SUMPRODUCT((M_BOM[Part Name]=$A82)*M_BOM[RM_Qty_Per_Batch]*IFERROR(INDEX(PP_Grid[#Data],IF(M_BOM[PPGridRow]=82,NA(),M_BOM[PPGridRow]),61),0))/36.61</f>
        <v/>
      </c>
      <c r="BJ82">
        <f>SUMPRODUCT((M_BOM[Part Name]=$A82)*M_BOM[RM_Qty_Per_Batch]*IFERROR(INDEX(PP_Grid[#Data],IF(M_BOM[PPGridRow]=82,NA(),M_BOM[PPGridRow]),62),0))/36.61</f>
        <v/>
      </c>
      <c r="BK82">
        <f>SUMPRODUCT((M_BOM[Part Name]=$A82)*M_BOM[RM_Qty_Per_Batch]*IFERROR(INDEX(PP_Grid[#Data],IF(M_BOM[PPGridRow]=82,NA(),M_BOM[PPGridRow]),63),0))/36.61</f>
        <v/>
      </c>
      <c r="BL82">
        <f>SUMPRODUCT((M_BOM[Part Name]=$A82)*M_BOM[RM_Qty_Per_Batch]*IFERROR(INDEX(PP_Grid[#Data],IF(M_BOM[PPGridRow]=82,NA(),M_BOM[PPGridRow]),64),0))/36.61</f>
        <v/>
      </c>
      <c r="BM82">
        <f>SUMPRODUCT((M_BOM[Part Name]=$A82)*M_BOM[RM_Qty_Per_Batch]*IFERROR(INDEX(PP_Grid[#Data],IF(M_BOM[PPGridRow]=82,NA(),M_BOM[PPGridRow]),65),0))/36.61</f>
        <v/>
      </c>
      <c r="BN82">
        <f>SUMPRODUCT((M_BOM[Part Name]=$A82)*M_BOM[RM_Qty_Per_Batch]*IFERROR(INDEX(PP_Grid[#Data],IF(M_BOM[PPGridRow]=82,NA(),M_BOM[PPGridRow]),66),0))/36.61</f>
        <v/>
      </c>
      <c r="BO82">
        <f>SUMPRODUCT((M_BOM[Part Name]=$A82)*M_BOM[RM_Qty_Per_Batch]*IFERROR(INDEX(PP_Grid[#Data],IF(M_BOM[PPGridRow]=82,NA(),M_BOM[PPGridRow]),67),0))/36.61</f>
        <v/>
      </c>
      <c r="BP82">
        <f>SUMPRODUCT((M_BOM[Part Name]=$A82)*M_BOM[RM_Qty_Per_Batch]*IFERROR(INDEX(PP_Grid[#Data],IF(M_BOM[PPGridRow]=82,NA(),M_BOM[PPGridRow]),68),0))/36.61</f>
        <v/>
      </c>
      <c r="BQ82">
        <f>SUMPRODUCT((M_BOM[Part Name]=$A82)*M_BOM[RM_Qty_Per_Batch]*IFERROR(INDEX(PP_Grid[#Data],IF(M_BOM[PPGridRow]=82,NA(),M_BOM[PPGridRow]),69),0))/36.61</f>
        <v/>
      </c>
      <c r="BR82">
        <f>SUMPRODUCT((M_BOM[Part Name]=$A82)*M_BOM[RM_Qty_Per_Batch]*IFERROR(INDEX(PP_Grid[#Data],IF(M_BOM[PPGridRow]=82,NA(),M_BOM[PPGridRow]),70),0))/36.61</f>
        <v/>
      </c>
      <c r="BS82">
        <f>SUMPRODUCT((M_BOM[Part Name]=$A82)*M_BOM[RM_Qty_Per_Batch]*IFERROR(INDEX(PP_Grid[#Data],IF(M_BOM[PPGridRow]=82,NA(),M_BOM[PPGridRow]),71),0))/36.61</f>
        <v/>
      </c>
      <c r="BT82">
        <f>SUMPRODUCT((M_BOM[Part Name]=$A82)*M_BOM[RM_Qty_Per_Batch]*IFERROR(INDEX(PP_Grid[#Data],IF(M_BOM[PPGridRow]=82,NA(),M_BOM[PPGridRow]),72),0))/36.61</f>
        <v/>
      </c>
      <c r="BU82">
        <f>SUMPRODUCT((M_BOM[Part Name]=$A82)*M_BOM[RM_Qty_Per_Batch]*IFERROR(INDEX(PP_Grid[#Data],IF(M_BOM[PPGridRow]=82,NA(),M_BOM[PPGridRow]),73),0))/36.61</f>
        <v/>
      </c>
      <c r="BV82">
        <f>SUMPRODUCT((M_BOM[Part Name]=$A82)*M_BOM[RM_Qty_Per_Batch]*IFERROR(INDEX(PP_Grid[#Data],IF(M_BOM[PPGridRow]=82,NA(),M_BOM[PPGridRow]),74),0))/36.61</f>
        <v/>
      </c>
      <c r="BW82">
        <f>SUMPRODUCT((M_BOM[Part Name]=$A82)*M_BOM[RM_Qty_Per_Batch]*IFERROR(INDEX(PP_Grid[#Data],IF(M_BOM[PPGridRow]=82,NA(),M_BOM[PPGridRow]),75),0))/36.61</f>
        <v/>
      </c>
      <c r="BX82">
        <f>SUMPRODUCT((M_BOM[Part Name]=$A82)*M_BOM[RM_Qty_Per_Batch]*IFERROR(INDEX(PP_Grid[#Data],IF(M_BOM[PPGridRow]=82,NA(),M_BOM[PPGridRow]),76),0))/36.61</f>
        <v/>
      </c>
      <c r="BY82">
        <f>SUMPRODUCT((M_BOM[Part Name]=$A82)*M_BOM[RM_Qty_Per_Batch]*IFERROR(INDEX(PP_Grid[#Data],IF(M_BOM[PPGridRow]=82,NA(),M_BOM[PPGridRow]),77),0))/36.61</f>
        <v/>
      </c>
      <c r="BZ82">
        <f>SUMPRODUCT((M_BOM[Part Name]=$A82)*M_BOM[RM_Qty_Per_Batch]*IFERROR(INDEX(PP_Grid[#Data],IF(M_BOM[PPGridRow]=82,NA(),M_BOM[PPGridRow]),78),0))/36.61</f>
        <v/>
      </c>
      <c r="CA82">
        <f>SUMPRODUCT((M_BOM[Part Name]=$A82)*M_BOM[RM_Qty_Per_Batch]*IFERROR(INDEX(PP_Grid[#Data],IF(M_BOM[PPGridRow]=82,NA(),M_BOM[PPGridRow]),79),0))/36.61</f>
        <v/>
      </c>
      <c r="CB82">
        <f>SUMPRODUCT((M_BOM[Part Name]=$A82)*M_BOM[RM_Qty_Per_Batch]*IFERROR(INDEX(PP_Grid[#Data],IF(M_BOM[PPGridRow]=82,NA(),M_BOM[PPGridRow]),80),0))/36.61</f>
        <v/>
      </c>
      <c r="CC82">
        <f>SUMPRODUCT((M_BOM[Part Name]=$A82)*M_BOM[RM_Qty_Per_Batch]*IFERROR(INDEX(PP_Grid[#Data],IF(M_BOM[PPGridRow]=82,NA(),M_BOM[PPGridRow]),81),0))/36.61</f>
        <v/>
      </c>
      <c r="CD82">
        <f>SUMPRODUCT((M_BOM[Part Name]=$A82)*M_BOM[RM_Qty_Per_Batch]*IFERROR(INDEX(PP_Grid[#Data],IF(M_BOM[PPGridRow]=82,NA(),M_BOM[PPGridRow]),82),0))/36.61</f>
        <v/>
      </c>
      <c r="CE82">
        <f>SUMPRODUCT((M_BOM[Part Name]=$A82)*M_BOM[RM_Qty_Per_Batch]*IFERROR(INDEX(PP_Grid[#Data],IF(M_BOM[PPGridRow]=82,NA(),M_BOM[PPGridRow]),83),0))/36.61</f>
        <v/>
      </c>
      <c r="CF82">
        <f>SUMPRODUCT((M_BOM[Part Name]=$A82)*M_BOM[RM_Qty_Per_Batch]*IFERROR(INDEX(PP_Grid[#Data],IF(M_BOM[PPGridRow]=82,NA(),M_BOM[PPGridRow]),84),0))/36.61</f>
        <v/>
      </c>
      <c r="CG82">
        <f>SUMPRODUCT((M_BOM[Part Name]=$A82)*M_BOM[RM_Qty_Per_Batch]*IFERROR(INDEX(PP_Grid[#Data],IF(M_BOM[PPGridRow]=82,NA(),M_BOM[PPGridRow]),85),0))/36.61</f>
        <v/>
      </c>
      <c r="CH82">
        <f>SUMPRODUCT((M_BOM[Part Name]=$A82)*M_BOM[RM_Qty_Per_Batch]*IFERROR(INDEX(PP_Grid[#Data],IF(M_BOM[PPGridRow]=82,NA(),M_BOM[PPGridRow]),86),0))/36.61</f>
        <v/>
      </c>
      <c r="CI82">
        <f>SUMPRODUCT((M_BOM[Part Name]=$A82)*M_BOM[RM_Qty_Per_Batch]*IFERROR(INDEX(PP_Grid[#Data],IF(M_BOM[PPGridRow]=82,NA(),M_BOM[PPGridRow]),87),0))/36.61</f>
        <v/>
      </c>
      <c r="CJ82">
        <f>SUMPRODUCT((M_BOM[Part Name]=$A82)*M_BOM[RM_Qty_Per_Batch]*IFERROR(INDEX(PP_Grid[#Data],IF(M_BOM[PPGridRow]=82,NA(),M_BOM[PPGridRow]),88),0))/36.61</f>
        <v/>
      </c>
      <c r="CK82">
        <f>SUMPRODUCT((M_BOM[Part Name]=$A82)*M_BOM[RM_Qty_Per_Batch]*IFERROR(INDEX(PP_Grid[#Data],IF(M_BOM[PPGridRow]=82,NA(),M_BOM[PPGridRow]),89),0))/36.61</f>
        <v/>
      </c>
      <c r="CL82">
        <f>SUMPRODUCT((M_BOM[Part Name]=$A82)*M_BOM[RM_Qty_Per_Batch]*IFERROR(INDEX(PP_Grid[#Data],IF(M_BOM[PPGridRow]=82,NA(),M_BOM[PPGridRow]),90),0))/36.61</f>
        <v/>
      </c>
      <c r="CM82">
        <f>SUMPRODUCT((M_BOM[Part Name]=$A82)*M_BOM[RM_Qty_Per_Batch]*IFERROR(INDEX(PP_Grid[#Data],IF(M_BOM[PPGridRow]=82,NA(),M_BOM[PPGridRow]),91),0))/36.61</f>
        <v/>
      </c>
      <c r="CN82">
        <f>SUMPRODUCT((M_BOM[Part Name]=$A82)*M_BOM[RM_Qty_Per_Batch]*IFERROR(INDEX(PP_Grid[#Data],IF(M_BOM[PPGridRow]=82,NA(),M_BOM[PPGridRow]),92),0))/36.61</f>
        <v/>
      </c>
      <c r="CO82">
        <f>SUMPRODUCT((M_BOM[Part Name]=$A82)*M_BOM[RM_Qty_Per_Batch]*IFERROR(INDEX(PP_Grid[#Data],IF(M_BOM[PPGridRow]=82,NA(),M_BOM[PPGridRow]),93),0))/36.61</f>
        <v/>
      </c>
      <c r="CP82">
        <f>SUMPRODUCT((M_BOM[Part Name]=$A82)*M_BOM[RM_Qty_Per_Batch]*IFERROR(INDEX(PP_Grid[#Data],IF(M_BOM[PPGridRow]=82,NA(),M_BOM[PPGridRow]),94),0))/36.61</f>
        <v/>
      </c>
      <c r="CQ82">
        <f>SUMPRODUCT((M_BOM[Part Name]=$A82)*M_BOM[RM_Qty_Per_Batch]*IFERROR(INDEX(PP_Grid[#Data],IF(M_BOM[PPGridRow]=82,NA(),M_BOM[PPGridRow]),95),0))/36.61</f>
        <v/>
      </c>
      <c r="CR82">
        <f>SUMPRODUCT((M_BOM[Part Name]=$A82)*M_BOM[RM_Qty_Per_Batch]*IFERROR(INDEX(PP_Grid[#Data],IF(M_BOM[PPGridRow]=82,NA(),M_BOM[PPGridRow]),96),0))/36.61</f>
        <v/>
      </c>
      <c r="CS82">
        <f>SUMPRODUCT((M_BOM[Part Name]=$A82)*M_BOM[RM_Qty_Per_Batch]*IFERROR(INDEX(PP_Grid[#Data],IF(M_BOM[PPGridRow]=82,NA(),M_BOM[PPGridRow]),97),0))/36.61</f>
        <v/>
      </c>
      <c r="CT82">
        <f>SUMPRODUCT((M_BOM[Part Name]=$A82)*M_BOM[RM_Qty_Per_Batch]*IFERROR(INDEX(PP_Grid[#Data],IF(M_BOM[PPGridRow]=82,NA(),M_BOM[PPGridRow]),98),0))/36.61</f>
        <v/>
      </c>
      <c r="CU82">
        <f>SUMPRODUCT((M_BOM[Part Name]=$A82)*M_BOM[RM_Qty_Per_Batch]*IFERROR(INDEX(PP_Grid[#Data],IF(M_BOM[PPGridRow]=82,NA(),M_BOM[PPGridRow]),99),0))/36.61</f>
        <v/>
      </c>
      <c r="CV82">
        <f>SUMPRODUCT((M_BOM[Part Name]=$A82)*M_BOM[RM_Qty_Per_Batch]*IFERROR(INDEX(PP_Grid[#Data],IF(M_BOM[PPGridRow]=82,NA(),M_BOM[PPGridRow]),100),0))/36.61</f>
        <v/>
      </c>
      <c r="CW82">
        <f>SUMPRODUCT((M_BOM[Part Name]=$A82)*M_BOM[RM_Qty_Per_Batch]*IFERROR(INDEX(PP_Grid[#Data],IF(M_BOM[PPGridRow]=82,NA(),M_BOM[PPGridRow]),101),0))/36.61</f>
        <v/>
      </c>
      <c r="CX82">
        <f>SUMPRODUCT((M_BOM[Part Name]=$A82)*M_BOM[RM_Qty_Per_Batch]*IFERROR(INDEX(PP_Grid[#Data],IF(M_BOM[PPGridRow]=82,NA(),M_BOM[PPGridRow]),102),0))/36.61</f>
        <v/>
      </c>
      <c r="CY82">
        <f>SUMPRODUCT((M_BOM[Part Name]=$A82)*M_BOM[RM_Qty_Per_Batch]*IFERROR(INDEX(PP_Grid[#Data],IF(M_BOM[PPGridRow]=82,NA(),M_BOM[PPGridRow]),103),0))/36.61</f>
        <v/>
      </c>
      <c r="CZ82">
        <f>SUMPRODUCT((M_BOM[Part Name]=$A82)*M_BOM[RM_Qty_Per_Batch]*IFERROR(INDEX(PP_Grid[#Data],IF(M_BOM[PPGridRow]=82,NA(),M_BOM[PPGridRow]),104),0))/36.61</f>
        <v/>
      </c>
      <c r="DA82">
        <f>SUMPRODUCT((M_BOM[Part Name]=$A82)*M_BOM[RM_Qty_Per_Batch]*IFERROR(INDEX(PP_Grid[#Data],IF(M_BOM[PPGridRow]=82,NA(),M_BOM[PPGridRow]),105),0))/36.61</f>
        <v/>
      </c>
    </row>
    <row r="83">
      <c r="A83" t="inlineStr">
        <is>
          <t>TPP-825</t>
        </is>
      </c>
      <c r="B83">
        <f>SUMPRODUCT((M_BOM[Part Name]=$A83)*M_BOM[RM_Qty_Per_Batch]*IFERROR(INDEX(PP_Grid[#Data],IF(M_BOM[PPGridRow]=83,NA(),M_BOM[PPGridRow]),2),0))/29.82</f>
        <v/>
      </c>
      <c r="C83">
        <f>SUMPRODUCT((M_BOM[Part Name]=$A83)*M_BOM[RM_Qty_Per_Batch]*IFERROR(INDEX(PP_Grid[#Data],IF(M_BOM[PPGridRow]=83,NA(),M_BOM[PPGridRow]),3),0))/29.82</f>
        <v/>
      </c>
      <c r="D83">
        <f>SUMPRODUCT((M_BOM[Part Name]=$A83)*M_BOM[RM_Qty_Per_Batch]*IFERROR(INDEX(PP_Grid[#Data],IF(M_BOM[PPGridRow]=83,NA(),M_BOM[PPGridRow]),4),0))/29.82</f>
        <v/>
      </c>
      <c r="E83">
        <f>SUMPRODUCT((M_BOM[Part Name]=$A83)*M_BOM[RM_Qty_Per_Batch]*IFERROR(INDEX(PP_Grid[#Data],IF(M_BOM[PPGridRow]=83,NA(),M_BOM[PPGridRow]),5),0))/29.82</f>
        <v/>
      </c>
      <c r="F83">
        <f>SUMPRODUCT((M_BOM[Part Name]=$A83)*M_BOM[RM_Qty_Per_Batch]*IFERROR(INDEX(PP_Grid[#Data],IF(M_BOM[PPGridRow]=83,NA(),M_BOM[PPGridRow]),6),0))/29.82</f>
        <v/>
      </c>
      <c r="G83">
        <f>SUMPRODUCT((M_BOM[Part Name]=$A83)*M_BOM[RM_Qty_Per_Batch]*IFERROR(INDEX(PP_Grid[#Data],IF(M_BOM[PPGridRow]=83,NA(),M_BOM[PPGridRow]),7),0))/29.82</f>
        <v/>
      </c>
      <c r="H83">
        <f>SUMPRODUCT((M_BOM[Part Name]=$A83)*M_BOM[RM_Qty_Per_Batch]*IFERROR(INDEX(PP_Grid[#Data],IF(M_BOM[PPGridRow]=83,NA(),M_BOM[PPGridRow]),8),0))/29.82</f>
        <v/>
      </c>
      <c r="I83">
        <f>SUMPRODUCT((M_BOM[Part Name]=$A83)*M_BOM[RM_Qty_Per_Batch]*IFERROR(INDEX(PP_Grid[#Data],IF(M_BOM[PPGridRow]=83,NA(),M_BOM[PPGridRow]),9),0))/29.82</f>
        <v/>
      </c>
      <c r="J83">
        <f>SUMPRODUCT((M_BOM[Part Name]=$A83)*M_BOM[RM_Qty_Per_Batch]*IFERROR(INDEX(PP_Grid[#Data],IF(M_BOM[PPGridRow]=83,NA(),M_BOM[PPGridRow]),10),0))/29.82</f>
        <v/>
      </c>
      <c r="K83">
        <f>SUMPRODUCT((M_BOM[Part Name]=$A83)*M_BOM[RM_Qty_Per_Batch]*IFERROR(INDEX(PP_Grid[#Data],IF(M_BOM[PPGridRow]=83,NA(),M_BOM[PPGridRow]),11),0))/29.82</f>
        <v/>
      </c>
      <c r="L83">
        <f>SUMPRODUCT((M_BOM[Part Name]=$A83)*M_BOM[RM_Qty_Per_Batch]*IFERROR(INDEX(PP_Grid[#Data],IF(M_BOM[PPGridRow]=83,NA(),M_BOM[PPGridRow]),12),0))/29.82</f>
        <v/>
      </c>
      <c r="M83">
        <f>SUMPRODUCT((M_BOM[Part Name]=$A83)*M_BOM[RM_Qty_Per_Batch]*IFERROR(INDEX(PP_Grid[#Data],IF(M_BOM[PPGridRow]=83,NA(),M_BOM[PPGridRow]),13),0))/29.82</f>
        <v/>
      </c>
      <c r="N83">
        <f>SUMPRODUCT((M_BOM[Part Name]=$A83)*M_BOM[RM_Qty_Per_Batch]*IFERROR(INDEX(PP_Grid[#Data],IF(M_BOM[PPGridRow]=83,NA(),M_BOM[PPGridRow]),14),0))/29.82</f>
        <v/>
      </c>
      <c r="O83">
        <f>SUMPRODUCT((M_BOM[Part Name]=$A83)*M_BOM[RM_Qty_Per_Batch]*IFERROR(INDEX(PP_Grid[#Data],IF(M_BOM[PPGridRow]=83,NA(),M_BOM[PPGridRow]),15),0))/29.82</f>
        <v/>
      </c>
      <c r="P83">
        <f>SUMPRODUCT((M_BOM[Part Name]=$A83)*M_BOM[RM_Qty_Per_Batch]*IFERROR(INDEX(PP_Grid[#Data],IF(M_BOM[PPGridRow]=83,NA(),M_BOM[PPGridRow]),16),0))/29.82</f>
        <v/>
      </c>
      <c r="Q83">
        <f>SUMPRODUCT((M_BOM[Part Name]=$A83)*M_BOM[RM_Qty_Per_Batch]*IFERROR(INDEX(PP_Grid[#Data],IF(M_BOM[PPGridRow]=83,NA(),M_BOM[PPGridRow]),17),0))/29.82</f>
        <v/>
      </c>
      <c r="R83">
        <f>SUMPRODUCT((M_BOM[Part Name]=$A83)*M_BOM[RM_Qty_Per_Batch]*IFERROR(INDEX(PP_Grid[#Data],IF(M_BOM[PPGridRow]=83,NA(),M_BOM[PPGridRow]),18),0))/29.82</f>
        <v/>
      </c>
      <c r="S83">
        <f>SUMPRODUCT((M_BOM[Part Name]=$A83)*M_BOM[RM_Qty_Per_Batch]*IFERROR(INDEX(PP_Grid[#Data],IF(M_BOM[PPGridRow]=83,NA(),M_BOM[PPGridRow]),19),0))/29.82</f>
        <v/>
      </c>
      <c r="T83">
        <f>SUMPRODUCT((M_BOM[Part Name]=$A83)*M_BOM[RM_Qty_Per_Batch]*IFERROR(INDEX(PP_Grid[#Data],IF(M_BOM[PPGridRow]=83,NA(),M_BOM[PPGridRow]),20),0))/29.82</f>
        <v/>
      </c>
      <c r="U83">
        <f>SUMPRODUCT((M_BOM[Part Name]=$A83)*M_BOM[RM_Qty_Per_Batch]*IFERROR(INDEX(PP_Grid[#Data],IF(M_BOM[PPGridRow]=83,NA(),M_BOM[PPGridRow]),21),0))/29.82</f>
        <v/>
      </c>
      <c r="V83">
        <f>SUMPRODUCT((M_BOM[Part Name]=$A83)*M_BOM[RM_Qty_Per_Batch]*IFERROR(INDEX(PP_Grid[#Data],IF(M_BOM[PPGridRow]=83,NA(),M_BOM[PPGridRow]),22),0))/29.82</f>
        <v/>
      </c>
      <c r="W83">
        <f>SUMPRODUCT((M_BOM[Part Name]=$A83)*M_BOM[RM_Qty_Per_Batch]*IFERROR(INDEX(PP_Grid[#Data],IF(M_BOM[PPGridRow]=83,NA(),M_BOM[PPGridRow]),23),0))/29.82</f>
        <v/>
      </c>
      <c r="X83">
        <f>SUMPRODUCT((M_BOM[Part Name]=$A83)*M_BOM[RM_Qty_Per_Batch]*IFERROR(INDEX(PP_Grid[#Data],IF(M_BOM[PPGridRow]=83,NA(),M_BOM[PPGridRow]),24),0))/29.82</f>
        <v/>
      </c>
      <c r="Y83">
        <f>SUMPRODUCT((M_BOM[Part Name]=$A83)*M_BOM[RM_Qty_Per_Batch]*IFERROR(INDEX(PP_Grid[#Data],IF(M_BOM[PPGridRow]=83,NA(),M_BOM[PPGridRow]),25),0))/29.82</f>
        <v/>
      </c>
      <c r="Z83">
        <f>SUMPRODUCT((M_BOM[Part Name]=$A83)*M_BOM[RM_Qty_Per_Batch]*IFERROR(INDEX(PP_Grid[#Data],IF(M_BOM[PPGridRow]=83,NA(),M_BOM[PPGridRow]),26),0))/29.82</f>
        <v/>
      </c>
      <c r="AA83">
        <f>SUMPRODUCT((M_BOM[Part Name]=$A83)*M_BOM[RM_Qty_Per_Batch]*IFERROR(INDEX(PP_Grid[#Data],IF(M_BOM[PPGridRow]=83,NA(),M_BOM[PPGridRow]),27),0))/29.82</f>
        <v/>
      </c>
      <c r="AB83">
        <f>SUMPRODUCT((M_BOM[Part Name]=$A83)*M_BOM[RM_Qty_Per_Batch]*IFERROR(INDEX(PP_Grid[#Data],IF(M_BOM[PPGridRow]=83,NA(),M_BOM[PPGridRow]),28),0))/29.82</f>
        <v/>
      </c>
      <c r="AC83">
        <f>SUMPRODUCT((M_BOM[Part Name]=$A83)*M_BOM[RM_Qty_Per_Batch]*IFERROR(INDEX(PP_Grid[#Data],IF(M_BOM[PPGridRow]=83,NA(),M_BOM[PPGridRow]),29),0))/29.82</f>
        <v/>
      </c>
      <c r="AD83">
        <f>SUMPRODUCT((M_BOM[Part Name]=$A83)*M_BOM[RM_Qty_Per_Batch]*IFERROR(INDEX(PP_Grid[#Data],IF(M_BOM[PPGridRow]=83,NA(),M_BOM[PPGridRow]),30),0))/29.82</f>
        <v/>
      </c>
      <c r="AE83">
        <f>SUMPRODUCT((M_BOM[Part Name]=$A83)*M_BOM[RM_Qty_Per_Batch]*IFERROR(INDEX(PP_Grid[#Data],IF(M_BOM[PPGridRow]=83,NA(),M_BOM[PPGridRow]),31),0))/29.82</f>
        <v/>
      </c>
      <c r="AF83">
        <f>SUMPRODUCT((M_BOM[Part Name]=$A83)*M_BOM[RM_Qty_Per_Batch]*IFERROR(INDEX(PP_Grid[#Data],IF(M_BOM[PPGridRow]=83,NA(),M_BOM[PPGridRow]),32),0))/29.82</f>
        <v/>
      </c>
      <c r="AG83">
        <f>SUMPRODUCT((M_BOM[Part Name]=$A83)*M_BOM[RM_Qty_Per_Batch]*IFERROR(INDEX(PP_Grid[#Data],IF(M_BOM[PPGridRow]=83,NA(),M_BOM[PPGridRow]),33),0))/29.82</f>
        <v/>
      </c>
      <c r="AH83">
        <f>SUMPRODUCT((M_BOM[Part Name]=$A83)*M_BOM[RM_Qty_Per_Batch]*IFERROR(INDEX(PP_Grid[#Data],IF(M_BOM[PPGridRow]=83,NA(),M_BOM[PPGridRow]),34),0))/29.82</f>
        <v/>
      </c>
      <c r="AI83">
        <f>SUMPRODUCT((M_BOM[Part Name]=$A83)*M_BOM[RM_Qty_Per_Batch]*IFERROR(INDEX(PP_Grid[#Data],IF(M_BOM[PPGridRow]=83,NA(),M_BOM[PPGridRow]),35),0))/29.82</f>
        <v/>
      </c>
      <c r="AJ83">
        <f>SUMPRODUCT((M_BOM[Part Name]=$A83)*M_BOM[RM_Qty_Per_Batch]*IFERROR(INDEX(PP_Grid[#Data],IF(M_BOM[PPGridRow]=83,NA(),M_BOM[PPGridRow]),36),0))/29.82</f>
        <v/>
      </c>
      <c r="AK83">
        <f>SUMPRODUCT((M_BOM[Part Name]=$A83)*M_BOM[RM_Qty_Per_Batch]*IFERROR(INDEX(PP_Grid[#Data],IF(M_BOM[PPGridRow]=83,NA(),M_BOM[PPGridRow]),37),0))/29.82</f>
        <v/>
      </c>
      <c r="AL83">
        <f>SUMPRODUCT((M_BOM[Part Name]=$A83)*M_BOM[RM_Qty_Per_Batch]*IFERROR(INDEX(PP_Grid[#Data],IF(M_BOM[PPGridRow]=83,NA(),M_BOM[PPGridRow]),38),0))/29.82</f>
        <v/>
      </c>
      <c r="AM83">
        <f>SUMPRODUCT((M_BOM[Part Name]=$A83)*M_BOM[RM_Qty_Per_Batch]*IFERROR(INDEX(PP_Grid[#Data],IF(M_BOM[PPGridRow]=83,NA(),M_BOM[PPGridRow]),39),0))/29.82</f>
        <v/>
      </c>
      <c r="AN83">
        <f>SUMPRODUCT((M_BOM[Part Name]=$A83)*M_BOM[RM_Qty_Per_Batch]*IFERROR(INDEX(PP_Grid[#Data],IF(M_BOM[PPGridRow]=83,NA(),M_BOM[PPGridRow]),40),0))/29.82</f>
        <v/>
      </c>
      <c r="AO83">
        <f>SUMPRODUCT((M_BOM[Part Name]=$A83)*M_BOM[RM_Qty_Per_Batch]*IFERROR(INDEX(PP_Grid[#Data],IF(M_BOM[PPGridRow]=83,NA(),M_BOM[PPGridRow]),41),0))/29.82</f>
        <v/>
      </c>
      <c r="AP83">
        <f>SUMPRODUCT((M_BOM[Part Name]=$A83)*M_BOM[RM_Qty_Per_Batch]*IFERROR(INDEX(PP_Grid[#Data],IF(M_BOM[PPGridRow]=83,NA(),M_BOM[PPGridRow]),42),0))/29.82</f>
        <v/>
      </c>
      <c r="AQ83">
        <f>SUMPRODUCT((M_BOM[Part Name]=$A83)*M_BOM[RM_Qty_Per_Batch]*IFERROR(INDEX(PP_Grid[#Data],IF(M_BOM[PPGridRow]=83,NA(),M_BOM[PPGridRow]),43),0))/29.82</f>
        <v/>
      </c>
      <c r="AR83">
        <f>SUMPRODUCT((M_BOM[Part Name]=$A83)*M_BOM[RM_Qty_Per_Batch]*IFERROR(INDEX(PP_Grid[#Data],IF(M_BOM[PPGridRow]=83,NA(),M_BOM[PPGridRow]),44),0))/29.82</f>
        <v/>
      </c>
      <c r="AS83">
        <f>SUMPRODUCT((M_BOM[Part Name]=$A83)*M_BOM[RM_Qty_Per_Batch]*IFERROR(INDEX(PP_Grid[#Data],IF(M_BOM[PPGridRow]=83,NA(),M_BOM[PPGridRow]),45),0))/29.82</f>
        <v/>
      </c>
      <c r="AT83">
        <f>SUMPRODUCT((M_BOM[Part Name]=$A83)*M_BOM[RM_Qty_Per_Batch]*IFERROR(INDEX(PP_Grid[#Data],IF(M_BOM[PPGridRow]=83,NA(),M_BOM[PPGridRow]),46),0))/29.82</f>
        <v/>
      </c>
      <c r="AU83">
        <f>SUMPRODUCT((M_BOM[Part Name]=$A83)*M_BOM[RM_Qty_Per_Batch]*IFERROR(INDEX(PP_Grid[#Data],IF(M_BOM[PPGridRow]=83,NA(),M_BOM[PPGridRow]),47),0))/29.82</f>
        <v/>
      </c>
      <c r="AV83">
        <f>SUMPRODUCT((M_BOM[Part Name]=$A83)*M_BOM[RM_Qty_Per_Batch]*IFERROR(INDEX(PP_Grid[#Data],IF(M_BOM[PPGridRow]=83,NA(),M_BOM[PPGridRow]),48),0))/29.82</f>
        <v/>
      </c>
      <c r="AW83">
        <f>SUMPRODUCT((M_BOM[Part Name]=$A83)*M_BOM[RM_Qty_Per_Batch]*IFERROR(INDEX(PP_Grid[#Data],IF(M_BOM[PPGridRow]=83,NA(),M_BOM[PPGridRow]),49),0))/29.82</f>
        <v/>
      </c>
      <c r="AX83">
        <f>SUMPRODUCT((M_BOM[Part Name]=$A83)*M_BOM[RM_Qty_Per_Batch]*IFERROR(INDEX(PP_Grid[#Data],IF(M_BOM[PPGridRow]=83,NA(),M_BOM[PPGridRow]),50),0))/29.82</f>
        <v/>
      </c>
      <c r="AY83">
        <f>SUMPRODUCT((M_BOM[Part Name]=$A83)*M_BOM[RM_Qty_Per_Batch]*IFERROR(INDEX(PP_Grid[#Data],IF(M_BOM[PPGridRow]=83,NA(),M_BOM[PPGridRow]),51),0))/29.82</f>
        <v/>
      </c>
      <c r="AZ83">
        <f>SUMPRODUCT((M_BOM[Part Name]=$A83)*M_BOM[RM_Qty_Per_Batch]*IFERROR(INDEX(PP_Grid[#Data],IF(M_BOM[PPGridRow]=83,NA(),M_BOM[PPGridRow]),52),0))/29.82</f>
        <v/>
      </c>
      <c r="BA83">
        <f>SUMPRODUCT((M_BOM[Part Name]=$A83)*M_BOM[RM_Qty_Per_Batch]*IFERROR(INDEX(PP_Grid[#Data],IF(M_BOM[PPGridRow]=83,NA(),M_BOM[PPGridRow]),53),0))/29.82</f>
        <v/>
      </c>
      <c r="BB83">
        <f>SUMPRODUCT((M_BOM[Part Name]=$A83)*M_BOM[RM_Qty_Per_Batch]*IFERROR(INDEX(PP_Grid[#Data],IF(M_BOM[PPGridRow]=83,NA(),M_BOM[PPGridRow]),54),0))/29.82</f>
        <v/>
      </c>
      <c r="BC83">
        <f>SUMPRODUCT((M_BOM[Part Name]=$A83)*M_BOM[RM_Qty_Per_Batch]*IFERROR(INDEX(PP_Grid[#Data],IF(M_BOM[PPGridRow]=83,NA(),M_BOM[PPGridRow]),55),0))/29.82</f>
        <v/>
      </c>
      <c r="BD83">
        <f>SUMPRODUCT((M_BOM[Part Name]=$A83)*M_BOM[RM_Qty_Per_Batch]*IFERROR(INDEX(PP_Grid[#Data],IF(M_BOM[PPGridRow]=83,NA(),M_BOM[PPGridRow]),56),0))/29.82</f>
        <v/>
      </c>
      <c r="BE83">
        <f>SUMPRODUCT((M_BOM[Part Name]=$A83)*M_BOM[RM_Qty_Per_Batch]*IFERROR(INDEX(PP_Grid[#Data],IF(M_BOM[PPGridRow]=83,NA(),M_BOM[PPGridRow]),57),0))/29.82</f>
        <v/>
      </c>
      <c r="BF83">
        <f>SUMPRODUCT((M_BOM[Part Name]=$A83)*M_BOM[RM_Qty_Per_Batch]*IFERROR(INDEX(PP_Grid[#Data],IF(M_BOM[PPGridRow]=83,NA(),M_BOM[PPGridRow]),58),0))/29.82</f>
        <v/>
      </c>
      <c r="BG83">
        <f>SUMPRODUCT((M_BOM[Part Name]=$A83)*M_BOM[RM_Qty_Per_Batch]*IFERROR(INDEX(PP_Grid[#Data],IF(M_BOM[PPGridRow]=83,NA(),M_BOM[PPGridRow]),59),0))/29.82</f>
        <v/>
      </c>
      <c r="BH83">
        <f>SUMPRODUCT((M_BOM[Part Name]=$A83)*M_BOM[RM_Qty_Per_Batch]*IFERROR(INDEX(PP_Grid[#Data],IF(M_BOM[PPGridRow]=83,NA(),M_BOM[PPGridRow]),60),0))/29.82</f>
        <v/>
      </c>
      <c r="BI83">
        <f>SUMPRODUCT((M_BOM[Part Name]=$A83)*M_BOM[RM_Qty_Per_Batch]*IFERROR(INDEX(PP_Grid[#Data],IF(M_BOM[PPGridRow]=83,NA(),M_BOM[PPGridRow]),61),0))/29.82</f>
        <v/>
      </c>
      <c r="BJ83">
        <f>SUMPRODUCT((M_BOM[Part Name]=$A83)*M_BOM[RM_Qty_Per_Batch]*IFERROR(INDEX(PP_Grid[#Data],IF(M_BOM[PPGridRow]=83,NA(),M_BOM[PPGridRow]),62),0))/29.82</f>
        <v/>
      </c>
      <c r="BK83">
        <f>SUMPRODUCT((M_BOM[Part Name]=$A83)*M_BOM[RM_Qty_Per_Batch]*IFERROR(INDEX(PP_Grid[#Data],IF(M_BOM[PPGridRow]=83,NA(),M_BOM[PPGridRow]),63),0))/29.82</f>
        <v/>
      </c>
      <c r="BL83">
        <f>SUMPRODUCT((M_BOM[Part Name]=$A83)*M_BOM[RM_Qty_Per_Batch]*IFERROR(INDEX(PP_Grid[#Data],IF(M_BOM[PPGridRow]=83,NA(),M_BOM[PPGridRow]),64),0))/29.82</f>
        <v/>
      </c>
      <c r="BM83">
        <f>SUMPRODUCT((M_BOM[Part Name]=$A83)*M_BOM[RM_Qty_Per_Batch]*IFERROR(INDEX(PP_Grid[#Data],IF(M_BOM[PPGridRow]=83,NA(),M_BOM[PPGridRow]),65),0))/29.82</f>
        <v/>
      </c>
      <c r="BN83">
        <f>SUMPRODUCT((M_BOM[Part Name]=$A83)*M_BOM[RM_Qty_Per_Batch]*IFERROR(INDEX(PP_Grid[#Data],IF(M_BOM[PPGridRow]=83,NA(),M_BOM[PPGridRow]),66),0))/29.82</f>
        <v/>
      </c>
      <c r="BO83">
        <f>SUMPRODUCT((M_BOM[Part Name]=$A83)*M_BOM[RM_Qty_Per_Batch]*IFERROR(INDEX(PP_Grid[#Data],IF(M_BOM[PPGridRow]=83,NA(),M_BOM[PPGridRow]),67),0))/29.82</f>
        <v/>
      </c>
      <c r="BP83">
        <f>SUMPRODUCT((M_BOM[Part Name]=$A83)*M_BOM[RM_Qty_Per_Batch]*IFERROR(INDEX(PP_Grid[#Data],IF(M_BOM[PPGridRow]=83,NA(),M_BOM[PPGridRow]),68),0))/29.82</f>
        <v/>
      </c>
      <c r="BQ83">
        <f>SUMPRODUCT((M_BOM[Part Name]=$A83)*M_BOM[RM_Qty_Per_Batch]*IFERROR(INDEX(PP_Grid[#Data],IF(M_BOM[PPGridRow]=83,NA(),M_BOM[PPGridRow]),69),0))/29.82</f>
        <v/>
      </c>
      <c r="BR83">
        <f>SUMPRODUCT((M_BOM[Part Name]=$A83)*M_BOM[RM_Qty_Per_Batch]*IFERROR(INDEX(PP_Grid[#Data],IF(M_BOM[PPGridRow]=83,NA(),M_BOM[PPGridRow]),70),0))/29.82</f>
        <v/>
      </c>
      <c r="BS83">
        <f>SUMPRODUCT((M_BOM[Part Name]=$A83)*M_BOM[RM_Qty_Per_Batch]*IFERROR(INDEX(PP_Grid[#Data],IF(M_BOM[PPGridRow]=83,NA(),M_BOM[PPGridRow]),71),0))/29.82</f>
        <v/>
      </c>
      <c r="BT83">
        <f>SUMPRODUCT((M_BOM[Part Name]=$A83)*M_BOM[RM_Qty_Per_Batch]*IFERROR(INDEX(PP_Grid[#Data],IF(M_BOM[PPGridRow]=83,NA(),M_BOM[PPGridRow]),72),0))/29.82</f>
        <v/>
      </c>
      <c r="BU83">
        <f>SUMPRODUCT((M_BOM[Part Name]=$A83)*M_BOM[RM_Qty_Per_Batch]*IFERROR(INDEX(PP_Grid[#Data],IF(M_BOM[PPGridRow]=83,NA(),M_BOM[PPGridRow]),73),0))/29.82</f>
        <v/>
      </c>
      <c r="BV83">
        <f>SUMPRODUCT((M_BOM[Part Name]=$A83)*M_BOM[RM_Qty_Per_Batch]*IFERROR(INDEX(PP_Grid[#Data],IF(M_BOM[PPGridRow]=83,NA(),M_BOM[PPGridRow]),74),0))/29.82</f>
        <v/>
      </c>
      <c r="BW83">
        <f>SUMPRODUCT((M_BOM[Part Name]=$A83)*M_BOM[RM_Qty_Per_Batch]*IFERROR(INDEX(PP_Grid[#Data],IF(M_BOM[PPGridRow]=83,NA(),M_BOM[PPGridRow]),75),0))/29.82</f>
        <v/>
      </c>
      <c r="BX83">
        <f>SUMPRODUCT((M_BOM[Part Name]=$A83)*M_BOM[RM_Qty_Per_Batch]*IFERROR(INDEX(PP_Grid[#Data],IF(M_BOM[PPGridRow]=83,NA(),M_BOM[PPGridRow]),76),0))/29.82</f>
        <v/>
      </c>
      <c r="BY83">
        <f>SUMPRODUCT((M_BOM[Part Name]=$A83)*M_BOM[RM_Qty_Per_Batch]*IFERROR(INDEX(PP_Grid[#Data],IF(M_BOM[PPGridRow]=83,NA(),M_BOM[PPGridRow]),77),0))/29.82</f>
        <v/>
      </c>
      <c r="BZ83">
        <f>SUMPRODUCT((M_BOM[Part Name]=$A83)*M_BOM[RM_Qty_Per_Batch]*IFERROR(INDEX(PP_Grid[#Data],IF(M_BOM[PPGridRow]=83,NA(),M_BOM[PPGridRow]),78),0))/29.82</f>
        <v/>
      </c>
      <c r="CA83">
        <f>SUMPRODUCT((M_BOM[Part Name]=$A83)*M_BOM[RM_Qty_Per_Batch]*IFERROR(INDEX(PP_Grid[#Data],IF(M_BOM[PPGridRow]=83,NA(),M_BOM[PPGridRow]),79),0))/29.82</f>
        <v/>
      </c>
      <c r="CB83">
        <f>SUMPRODUCT((M_BOM[Part Name]=$A83)*M_BOM[RM_Qty_Per_Batch]*IFERROR(INDEX(PP_Grid[#Data],IF(M_BOM[PPGridRow]=83,NA(),M_BOM[PPGridRow]),80),0))/29.82</f>
        <v/>
      </c>
      <c r="CC83">
        <f>SUMPRODUCT((M_BOM[Part Name]=$A83)*M_BOM[RM_Qty_Per_Batch]*IFERROR(INDEX(PP_Grid[#Data],IF(M_BOM[PPGridRow]=83,NA(),M_BOM[PPGridRow]),81),0))/29.82</f>
        <v/>
      </c>
      <c r="CD83">
        <f>SUMPRODUCT((M_BOM[Part Name]=$A83)*M_BOM[RM_Qty_Per_Batch]*IFERROR(INDEX(PP_Grid[#Data],IF(M_BOM[PPGridRow]=83,NA(),M_BOM[PPGridRow]),82),0))/29.82</f>
        <v/>
      </c>
      <c r="CE83">
        <f>SUMPRODUCT((M_BOM[Part Name]=$A83)*M_BOM[RM_Qty_Per_Batch]*IFERROR(INDEX(PP_Grid[#Data],IF(M_BOM[PPGridRow]=83,NA(),M_BOM[PPGridRow]),83),0))/29.82</f>
        <v/>
      </c>
      <c r="CF83">
        <f>SUMPRODUCT((M_BOM[Part Name]=$A83)*M_BOM[RM_Qty_Per_Batch]*IFERROR(INDEX(PP_Grid[#Data],IF(M_BOM[PPGridRow]=83,NA(),M_BOM[PPGridRow]),84),0))/29.82</f>
        <v/>
      </c>
      <c r="CG83">
        <f>SUMPRODUCT((M_BOM[Part Name]=$A83)*M_BOM[RM_Qty_Per_Batch]*IFERROR(INDEX(PP_Grid[#Data],IF(M_BOM[PPGridRow]=83,NA(),M_BOM[PPGridRow]),85),0))/29.82</f>
        <v/>
      </c>
      <c r="CH83">
        <f>SUMPRODUCT((M_BOM[Part Name]=$A83)*M_BOM[RM_Qty_Per_Batch]*IFERROR(INDEX(PP_Grid[#Data],IF(M_BOM[PPGridRow]=83,NA(),M_BOM[PPGridRow]),86),0))/29.82</f>
        <v/>
      </c>
      <c r="CI83">
        <f>SUMPRODUCT((M_BOM[Part Name]=$A83)*M_BOM[RM_Qty_Per_Batch]*IFERROR(INDEX(PP_Grid[#Data],IF(M_BOM[PPGridRow]=83,NA(),M_BOM[PPGridRow]),87),0))/29.82</f>
        <v/>
      </c>
      <c r="CJ83">
        <f>SUMPRODUCT((M_BOM[Part Name]=$A83)*M_BOM[RM_Qty_Per_Batch]*IFERROR(INDEX(PP_Grid[#Data],IF(M_BOM[PPGridRow]=83,NA(),M_BOM[PPGridRow]),88),0))/29.82</f>
        <v/>
      </c>
      <c r="CK83">
        <f>SUMPRODUCT((M_BOM[Part Name]=$A83)*M_BOM[RM_Qty_Per_Batch]*IFERROR(INDEX(PP_Grid[#Data],IF(M_BOM[PPGridRow]=83,NA(),M_BOM[PPGridRow]),89),0))/29.82</f>
        <v/>
      </c>
      <c r="CL83">
        <f>SUMPRODUCT((M_BOM[Part Name]=$A83)*M_BOM[RM_Qty_Per_Batch]*IFERROR(INDEX(PP_Grid[#Data],IF(M_BOM[PPGridRow]=83,NA(),M_BOM[PPGridRow]),90),0))/29.82</f>
        <v/>
      </c>
      <c r="CM83">
        <f>SUMPRODUCT((M_BOM[Part Name]=$A83)*M_BOM[RM_Qty_Per_Batch]*IFERROR(INDEX(PP_Grid[#Data],IF(M_BOM[PPGridRow]=83,NA(),M_BOM[PPGridRow]),91),0))/29.82</f>
        <v/>
      </c>
      <c r="CN83">
        <f>SUMPRODUCT((M_BOM[Part Name]=$A83)*M_BOM[RM_Qty_Per_Batch]*IFERROR(INDEX(PP_Grid[#Data],IF(M_BOM[PPGridRow]=83,NA(),M_BOM[PPGridRow]),92),0))/29.82</f>
        <v/>
      </c>
      <c r="CO83">
        <f>SUMPRODUCT((M_BOM[Part Name]=$A83)*M_BOM[RM_Qty_Per_Batch]*IFERROR(INDEX(PP_Grid[#Data],IF(M_BOM[PPGridRow]=83,NA(),M_BOM[PPGridRow]),93),0))/29.82</f>
        <v/>
      </c>
      <c r="CP83">
        <f>SUMPRODUCT((M_BOM[Part Name]=$A83)*M_BOM[RM_Qty_Per_Batch]*IFERROR(INDEX(PP_Grid[#Data],IF(M_BOM[PPGridRow]=83,NA(),M_BOM[PPGridRow]),94),0))/29.82</f>
        <v/>
      </c>
      <c r="CQ83">
        <f>SUMPRODUCT((M_BOM[Part Name]=$A83)*M_BOM[RM_Qty_Per_Batch]*IFERROR(INDEX(PP_Grid[#Data],IF(M_BOM[PPGridRow]=83,NA(),M_BOM[PPGridRow]),95),0))/29.82</f>
        <v/>
      </c>
      <c r="CR83">
        <f>SUMPRODUCT((M_BOM[Part Name]=$A83)*M_BOM[RM_Qty_Per_Batch]*IFERROR(INDEX(PP_Grid[#Data],IF(M_BOM[PPGridRow]=83,NA(),M_BOM[PPGridRow]),96),0))/29.82</f>
        <v/>
      </c>
      <c r="CS83">
        <f>SUMPRODUCT((M_BOM[Part Name]=$A83)*M_BOM[RM_Qty_Per_Batch]*IFERROR(INDEX(PP_Grid[#Data],IF(M_BOM[PPGridRow]=83,NA(),M_BOM[PPGridRow]),97),0))/29.82</f>
        <v/>
      </c>
      <c r="CT83">
        <f>SUMPRODUCT((M_BOM[Part Name]=$A83)*M_BOM[RM_Qty_Per_Batch]*IFERROR(INDEX(PP_Grid[#Data],IF(M_BOM[PPGridRow]=83,NA(),M_BOM[PPGridRow]),98),0))/29.82</f>
        <v/>
      </c>
      <c r="CU83">
        <f>SUMPRODUCT((M_BOM[Part Name]=$A83)*M_BOM[RM_Qty_Per_Batch]*IFERROR(INDEX(PP_Grid[#Data],IF(M_BOM[PPGridRow]=83,NA(),M_BOM[PPGridRow]),99),0))/29.82</f>
        <v/>
      </c>
      <c r="CV83">
        <f>SUMPRODUCT((M_BOM[Part Name]=$A83)*M_BOM[RM_Qty_Per_Batch]*IFERROR(INDEX(PP_Grid[#Data],IF(M_BOM[PPGridRow]=83,NA(),M_BOM[PPGridRow]),100),0))/29.82</f>
        <v/>
      </c>
      <c r="CW83">
        <f>SUMPRODUCT((M_BOM[Part Name]=$A83)*M_BOM[RM_Qty_Per_Batch]*IFERROR(INDEX(PP_Grid[#Data],IF(M_BOM[PPGridRow]=83,NA(),M_BOM[PPGridRow]),101),0))/29.82</f>
        <v/>
      </c>
      <c r="CX83">
        <f>SUMPRODUCT((M_BOM[Part Name]=$A83)*M_BOM[RM_Qty_Per_Batch]*IFERROR(INDEX(PP_Grid[#Data],IF(M_BOM[PPGridRow]=83,NA(),M_BOM[PPGridRow]),102),0))/29.82</f>
        <v/>
      </c>
      <c r="CY83">
        <f>SUMPRODUCT((M_BOM[Part Name]=$A83)*M_BOM[RM_Qty_Per_Batch]*IFERROR(INDEX(PP_Grid[#Data],IF(M_BOM[PPGridRow]=83,NA(),M_BOM[PPGridRow]),103),0))/29.82</f>
        <v/>
      </c>
      <c r="CZ83">
        <f>SUMPRODUCT((M_BOM[Part Name]=$A83)*M_BOM[RM_Qty_Per_Batch]*IFERROR(INDEX(PP_Grid[#Data],IF(M_BOM[PPGridRow]=83,NA(),M_BOM[PPGridRow]),104),0))/29.82</f>
        <v/>
      </c>
      <c r="DA83">
        <f>SUMPRODUCT((M_BOM[Part Name]=$A83)*M_BOM[RM_Qty_Per_Batch]*IFERROR(INDEX(PP_Grid[#Data],IF(M_BOM[PPGridRow]=83,NA(),M_BOM[PPGridRow]),105),0))/29.82</f>
        <v/>
      </c>
    </row>
    <row r="84">
      <c r="A84" t="inlineStr">
        <is>
          <t>TPP-911</t>
        </is>
      </c>
      <c r="B84">
        <f>SUMPRODUCT((M_BOM[Part Name]=$A84)*M_BOM[RM_Qty_Per_Batch]*IFERROR(INDEX(PP_Grid[#Data],IF(M_BOM[PPGridRow]=84,NA(),M_BOM[PPGridRow]),2),0))/52.15</f>
        <v/>
      </c>
      <c r="C84">
        <f>SUMPRODUCT((M_BOM[Part Name]=$A84)*M_BOM[RM_Qty_Per_Batch]*IFERROR(INDEX(PP_Grid[#Data],IF(M_BOM[PPGridRow]=84,NA(),M_BOM[PPGridRow]),3),0))/52.15</f>
        <v/>
      </c>
      <c r="D84">
        <f>SUMPRODUCT((M_BOM[Part Name]=$A84)*M_BOM[RM_Qty_Per_Batch]*IFERROR(INDEX(PP_Grid[#Data],IF(M_BOM[PPGridRow]=84,NA(),M_BOM[PPGridRow]),4),0))/52.15</f>
        <v/>
      </c>
      <c r="E84">
        <f>SUMPRODUCT((M_BOM[Part Name]=$A84)*M_BOM[RM_Qty_Per_Batch]*IFERROR(INDEX(PP_Grid[#Data],IF(M_BOM[PPGridRow]=84,NA(),M_BOM[PPGridRow]),5),0))/52.15</f>
        <v/>
      </c>
      <c r="F84">
        <f>SUMPRODUCT((M_BOM[Part Name]=$A84)*M_BOM[RM_Qty_Per_Batch]*IFERROR(INDEX(PP_Grid[#Data],IF(M_BOM[PPGridRow]=84,NA(),M_BOM[PPGridRow]),6),0))/52.15</f>
        <v/>
      </c>
      <c r="G84">
        <f>SUMPRODUCT((M_BOM[Part Name]=$A84)*M_BOM[RM_Qty_Per_Batch]*IFERROR(INDEX(PP_Grid[#Data],IF(M_BOM[PPGridRow]=84,NA(),M_BOM[PPGridRow]),7),0))/52.15</f>
        <v/>
      </c>
      <c r="H84">
        <f>SUMPRODUCT((M_BOM[Part Name]=$A84)*M_BOM[RM_Qty_Per_Batch]*IFERROR(INDEX(PP_Grid[#Data],IF(M_BOM[PPGridRow]=84,NA(),M_BOM[PPGridRow]),8),0))/52.15</f>
        <v/>
      </c>
      <c r="I84">
        <f>SUMPRODUCT((M_BOM[Part Name]=$A84)*M_BOM[RM_Qty_Per_Batch]*IFERROR(INDEX(PP_Grid[#Data],IF(M_BOM[PPGridRow]=84,NA(),M_BOM[PPGridRow]),9),0))/52.15</f>
        <v/>
      </c>
      <c r="J84">
        <f>SUMPRODUCT((M_BOM[Part Name]=$A84)*M_BOM[RM_Qty_Per_Batch]*IFERROR(INDEX(PP_Grid[#Data],IF(M_BOM[PPGridRow]=84,NA(),M_BOM[PPGridRow]),10),0))/52.15</f>
        <v/>
      </c>
      <c r="K84">
        <f>SUMPRODUCT((M_BOM[Part Name]=$A84)*M_BOM[RM_Qty_Per_Batch]*IFERROR(INDEX(PP_Grid[#Data],IF(M_BOM[PPGridRow]=84,NA(),M_BOM[PPGridRow]),11),0))/52.15</f>
        <v/>
      </c>
      <c r="L84">
        <f>SUMPRODUCT((M_BOM[Part Name]=$A84)*M_BOM[RM_Qty_Per_Batch]*IFERROR(INDEX(PP_Grid[#Data],IF(M_BOM[PPGridRow]=84,NA(),M_BOM[PPGridRow]),12),0))/52.15</f>
        <v/>
      </c>
      <c r="M84">
        <f>SUMPRODUCT((M_BOM[Part Name]=$A84)*M_BOM[RM_Qty_Per_Batch]*IFERROR(INDEX(PP_Grid[#Data],IF(M_BOM[PPGridRow]=84,NA(),M_BOM[PPGridRow]),13),0))/52.15</f>
        <v/>
      </c>
      <c r="N84">
        <f>SUMPRODUCT((M_BOM[Part Name]=$A84)*M_BOM[RM_Qty_Per_Batch]*IFERROR(INDEX(PP_Grid[#Data],IF(M_BOM[PPGridRow]=84,NA(),M_BOM[PPGridRow]),14),0))/52.15</f>
        <v/>
      </c>
      <c r="O84">
        <f>SUMPRODUCT((M_BOM[Part Name]=$A84)*M_BOM[RM_Qty_Per_Batch]*IFERROR(INDEX(PP_Grid[#Data],IF(M_BOM[PPGridRow]=84,NA(),M_BOM[PPGridRow]),15),0))/52.15</f>
        <v/>
      </c>
      <c r="P84">
        <f>SUMPRODUCT((M_BOM[Part Name]=$A84)*M_BOM[RM_Qty_Per_Batch]*IFERROR(INDEX(PP_Grid[#Data],IF(M_BOM[PPGridRow]=84,NA(),M_BOM[PPGridRow]),16),0))/52.15</f>
        <v/>
      </c>
      <c r="Q84">
        <f>SUMPRODUCT((M_BOM[Part Name]=$A84)*M_BOM[RM_Qty_Per_Batch]*IFERROR(INDEX(PP_Grid[#Data],IF(M_BOM[PPGridRow]=84,NA(),M_BOM[PPGridRow]),17),0))/52.15</f>
        <v/>
      </c>
      <c r="R84">
        <f>SUMPRODUCT((M_BOM[Part Name]=$A84)*M_BOM[RM_Qty_Per_Batch]*IFERROR(INDEX(PP_Grid[#Data],IF(M_BOM[PPGridRow]=84,NA(),M_BOM[PPGridRow]),18),0))/52.15</f>
        <v/>
      </c>
      <c r="S84">
        <f>SUMPRODUCT((M_BOM[Part Name]=$A84)*M_BOM[RM_Qty_Per_Batch]*IFERROR(INDEX(PP_Grid[#Data],IF(M_BOM[PPGridRow]=84,NA(),M_BOM[PPGridRow]),19),0))/52.15</f>
        <v/>
      </c>
      <c r="T84">
        <f>SUMPRODUCT((M_BOM[Part Name]=$A84)*M_BOM[RM_Qty_Per_Batch]*IFERROR(INDEX(PP_Grid[#Data],IF(M_BOM[PPGridRow]=84,NA(),M_BOM[PPGridRow]),20),0))/52.15</f>
        <v/>
      </c>
      <c r="U84">
        <f>SUMPRODUCT((M_BOM[Part Name]=$A84)*M_BOM[RM_Qty_Per_Batch]*IFERROR(INDEX(PP_Grid[#Data],IF(M_BOM[PPGridRow]=84,NA(),M_BOM[PPGridRow]),21),0))/52.15</f>
        <v/>
      </c>
      <c r="V84">
        <f>SUMPRODUCT((M_BOM[Part Name]=$A84)*M_BOM[RM_Qty_Per_Batch]*IFERROR(INDEX(PP_Grid[#Data],IF(M_BOM[PPGridRow]=84,NA(),M_BOM[PPGridRow]),22),0))/52.15</f>
        <v/>
      </c>
      <c r="W84">
        <f>SUMPRODUCT((M_BOM[Part Name]=$A84)*M_BOM[RM_Qty_Per_Batch]*IFERROR(INDEX(PP_Grid[#Data],IF(M_BOM[PPGridRow]=84,NA(),M_BOM[PPGridRow]),23),0))/52.15</f>
        <v/>
      </c>
      <c r="X84">
        <f>SUMPRODUCT((M_BOM[Part Name]=$A84)*M_BOM[RM_Qty_Per_Batch]*IFERROR(INDEX(PP_Grid[#Data],IF(M_BOM[PPGridRow]=84,NA(),M_BOM[PPGridRow]),24),0))/52.15</f>
        <v/>
      </c>
      <c r="Y84">
        <f>SUMPRODUCT((M_BOM[Part Name]=$A84)*M_BOM[RM_Qty_Per_Batch]*IFERROR(INDEX(PP_Grid[#Data],IF(M_BOM[PPGridRow]=84,NA(),M_BOM[PPGridRow]),25),0))/52.15</f>
        <v/>
      </c>
      <c r="Z84">
        <f>SUMPRODUCT((M_BOM[Part Name]=$A84)*M_BOM[RM_Qty_Per_Batch]*IFERROR(INDEX(PP_Grid[#Data],IF(M_BOM[PPGridRow]=84,NA(),M_BOM[PPGridRow]),26),0))/52.15</f>
        <v/>
      </c>
      <c r="AA84">
        <f>SUMPRODUCT((M_BOM[Part Name]=$A84)*M_BOM[RM_Qty_Per_Batch]*IFERROR(INDEX(PP_Grid[#Data],IF(M_BOM[PPGridRow]=84,NA(),M_BOM[PPGridRow]),27),0))/52.15</f>
        <v/>
      </c>
      <c r="AB84">
        <f>SUMPRODUCT((M_BOM[Part Name]=$A84)*M_BOM[RM_Qty_Per_Batch]*IFERROR(INDEX(PP_Grid[#Data],IF(M_BOM[PPGridRow]=84,NA(),M_BOM[PPGridRow]),28),0))/52.15</f>
        <v/>
      </c>
      <c r="AC84">
        <f>SUMPRODUCT((M_BOM[Part Name]=$A84)*M_BOM[RM_Qty_Per_Batch]*IFERROR(INDEX(PP_Grid[#Data],IF(M_BOM[PPGridRow]=84,NA(),M_BOM[PPGridRow]),29),0))/52.15</f>
        <v/>
      </c>
      <c r="AD84">
        <f>SUMPRODUCT((M_BOM[Part Name]=$A84)*M_BOM[RM_Qty_Per_Batch]*IFERROR(INDEX(PP_Grid[#Data],IF(M_BOM[PPGridRow]=84,NA(),M_BOM[PPGridRow]),30),0))/52.15</f>
        <v/>
      </c>
      <c r="AE84">
        <f>SUMPRODUCT((M_BOM[Part Name]=$A84)*M_BOM[RM_Qty_Per_Batch]*IFERROR(INDEX(PP_Grid[#Data],IF(M_BOM[PPGridRow]=84,NA(),M_BOM[PPGridRow]),31),0))/52.15</f>
        <v/>
      </c>
      <c r="AF84">
        <f>SUMPRODUCT((M_BOM[Part Name]=$A84)*M_BOM[RM_Qty_Per_Batch]*IFERROR(INDEX(PP_Grid[#Data],IF(M_BOM[PPGridRow]=84,NA(),M_BOM[PPGridRow]),32),0))/52.15</f>
        <v/>
      </c>
      <c r="AG84">
        <f>SUMPRODUCT((M_BOM[Part Name]=$A84)*M_BOM[RM_Qty_Per_Batch]*IFERROR(INDEX(PP_Grid[#Data],IF(M_BOM[PPGridRow]=84,NA(),M_BOM[PPGridRow]),33),0))/52.15</f>
        <v/>
      </c>
      <c r="AH84">
        <f>SUMPRODUCT((M_BOM[Part Name]=$A84)*M_BOM[RM_Qty_Per_Batch]*IFERROR(INDEX(PP_Grid[#Data],IF(M_BOM[PPGridRow]=84,NA(),M_BOM[PPGridRow]),34),0))/52.15</f>
        <v/>
      </c>
      <c r="AI84">
        <f>SUMPRODUCT((M_BOM[Part Name]=$A84)*M_BOM[RM_Qty_Per_Batch]*IFERROR(INDEX(PP_Grid[#Data],IF(M_BOM[PPGridRow]=84,NA(),M_BOM[PPGridRow]),35),0))/52.15</f>
        <v/>
      </c>
      <c r="AJ84">
        <f>SUMPRODUCT((M_BOM[Part Name]=$A84)*M_BOM[RM_Qty_Per_Batch]*IFERROR(INDEX(PP_Grid[#Data],IF(M_BOM[PPGridRow]=84,NA(),M_BOM[PPGridRow]),36),0))/52.15</f>
        <v/>
      </c>
      <c r="AK84">
        <f>SUMPRODUCT((M_BOM[Part Name]=$A84)*M_BOM[RM_Qty_Per_Batch]*IFERROR(INDEX(PP_Grid[#Data],IF(M_BOM[PPGridRow]=84,NA(),M_BOM[PPGridRow]),37),0))/52.15</f>
        <v/>
      </c>
      <c r="AL84">
        <f>SUMPRODUCT((M_BOM[Part Name]=$A84)*M_BOM[RM_Qty_Per_Batch]*IFERROR(INDEX(PP_Grid[#Data],IF(M_BOM[PPGridRow]=84,NA(),M_BOM[PPGridRow]),38),0))/52.15</f>
        <v/>
      </c>
      <c r="AM84">
        <f>SUMPRODUCT((M_BOM[Part Name]=$A84)*M_BOM[RM_Qty_Per_Batch]*IFERROR(INDEX(PP_Grid[#Data],IF(M_BOM[PPGridRow]=84,NA(),M_BOM[PPGridRow]),39),0))/52.15</f>
        <v/>
      </c>
      <c r="AN84">
        <f>SUMPRODUCT((M_BOM[Part Name]=$A84)*M_BOM[RM_Qty_Per_Batch]*IFERROR(INDEX(PP_Grid[#Data],IF(M_BOM[PPGridRow]=84,NA(),M_BOM[PPGridRow]),40),0))/52.15</f>
        <v/>
      </c>
      <c r="AO84">
        <f>SUMPRODUCT((M_BOM[Part Name]=$A84)*M_BOM[RM_Qty_Per_Batch]*IFERROR(INDEX(PP_Grid[#Data],IF(M_BOM[PPGridRow]=84,NA(),M_BOM[PPGridRow]),41),0))/52.15</f>
        <v/>
      </c>
      <c r="AP84">
        <f>SUMPRODUCT((M_BOM[Part Name]=$A84)*M_BOM[RM_Qty_Per_Batch]*IFERROR(INDEX(PP_Grid[#Data],IF(M_BOM[PPGridRow]=84,NA(),M_BOM[PPGridRow]),42),0))/52.15</f>
        <v/>
      </c>
      <c r="AQ84">
        <f>SUMPRODUCT((M_BOM[Part Name]=$A84)*M_BOM[RM_Qty_Per_Batch]*IFERROR(INDEX(PP_Grid[#Data],IF(M_BOM[PPGridRow]=84,NA(),M_BOM[PPGridRow]),43),0))/52.15</f>
        <v/>
      </c>
      <c r="AR84">
        <f>SUMPRODUCT((M_BOM[Part Name]=$A84)*M_BOM[RM_Qty_Per_Batch]*IFERROR(INDEX(PP_Grid[#Data],IF(M_BOM[PPGridRow]=84,NA(),M_BOM[PPGridRow]),44),0))/52.15</f>
        <v/>
      </c>
      <c r="AS84">
        <f>SUMPRODUCT((M_BOM[Part Name]=$A84)*M_BOM[RM_Qty_Per_Batch]*IFERROR(INDEX(PP_Grid[#Data],IF(M_BOM[PPGridRow]=84,NA(),M_BOM[PPGridRow]),45),0))/52.15</f>
        <v/>
      </c>
      <c r="AT84">
        <f>SUMPRODUCT((M_BOM[Part Name]=$A84)*M_BOM[RM_Qty_Per_Batch]*IFERROR(INDEX(PP_Grid[#Data],IF(M_BOM[PPGridRow]=84,NA(),M_BOM[PPGridRow]),46),0))/52.15</f>
        <v/>
      </c>
      <c r="AU84">
        <f>SUMPRODUCT((M_BOM[Part Name]=$A84)*M_BOM[RM_Qty_Per_Batch]*IFERROR(INDEX(PP_Grid[#Data],IF(M_BOM[PPGridRow]=84,NA(),M_BOM[PPGridRow]),47),0))/52.15</f>
        <v/>
      </c>
      <c r="AV84">
        <f>SUMPRODUCT((M_BOM[Part Name]=$A84)*M_BOM[RM_Qty_Per_Batch]*IFERROR(INDEX(PP_Grid[#Data],IF(M_BOM[PPGridRow]=84,NA(),M_BOM[PPGridRow]),48),0))/52.15</f>
        <v/>
      </c>
      <c r="AW84">
        <f>SUMPRODUCT((M_BOM[Part Name]=$A84)*M_BOM[RM_Qty_Per_Batch]*IFERROR(INDEX(PP_Grid[#Data],IF(M_BOM[PPGridRow]=84,NA(),M_BOM[PPGridRow]),49),0))/52.15</f>
        <v/>
      </c>
      <c r="AX84">
        <f>SUMPRODUCT((M_BOM[Part Name]=$A84)*M_BOM[RM_Qty_Per_Batch]*IFERROR(INDEX(PP_Grid[#Data],IF(M_BOM[PPGridRow]=84,NA(),M_BOM[PPGridRow]),50),0))/52.15</f>
        <v/>
      </c>
      <c r="AY84">
        <f>SUMPRODUCT((M_BOM[Part Name]=$A84)*M_BOM[RM_Qty_Per_Batch]*IFERROR(INDEX(PP_Grid[#Data],IF(M_BOM[PPGridRow]=84,NA(),M_BOM[PPGridRow]),51),0))/52.15</f>
        <v/>
      </c>
      <c r="AZ84">
        <f>SUMPRODUCT((M_BOM[Part Name]=$A84)*M_BOM[RM_Qty_Per_Batch]*IFERROR(INDEX(PP_Grid[#Data],IF(M_BOM[PPGridRow]=84,NA(),M_BOM[PPGridRow]),52),0))/52.15</f>
        <v/>
      </c>
      <c r="BA84">
        <f>SUMPRODUCT((M_BOM[Part Name]=$A84)*M_BOM[RM_Qty_Per_Batch]*IFERROR(INDEX(PP_Grid[#Data],IF(M_BOM[PPGridRow]=84,NA(),M_BOM[PPGridRow]),53),0))/52.15</f>
        <v/>
      </c>
      <c r="BB84">
        <f>SUMPRODUCT((M_BOM[Part Name]=$A84)*M_BOM[RM_Qty_Per_Batch]*IFERROR(INDEX(PP_Grid[#Data],IF(M_BOM[PPGridRow]=84,NA(),M_BOM[PPGridRow]),54),0))/52.15</f>
        <v/>
      </c>
      <c r="BC84">
        <f>SUMPRODUCT((M_BOM[Part Name]=$A84)*M_BOM[RM_Qty_Per_Batch]*IFERROR(INDEX(PP_Grid[#Data],IF(M_BOM[PPGridRow]=84,NA(),M_BOM[PPGridRow]),55),0))/52.15</f>
        <v/>
      </c>
      <c r="BD84">
        <f>SUMPRODUCT((M_BOM[Part Name]=$A84)*M_BOM[RM_Qty_Per_Batch]*IFERROR(INDEX(PP_Grid[#Data],IF(M_BOM[PPGridRow]=84,NA(),M_BOM[PPGridRow]),56),0))/52.15</f>
        <v/>
      </c>
      <c r="BE84">
        <f>SUMPRODUCT((M_BOM[Part Name]=$A84)*M_BOM[RM_Qty_Per_Batch]*IFERROR(INDEX(PP_Grid[#Data],IF(M_BOM[PPGridRow]=84,NA(),M_BOM[PPGridRow]),57),0))/52.15</f>
        <v/>
      </c>
      <c r="BF84">
        <f>SUMPRODUCT((M_BOM[Part Name]=$A84)*M_BOM[RM_Qty_Per_Batch]*IFERROR(INDEX(PP_Grid[#Data],IF(M_BOM[PPGridRow]=84,NA(),M_BOM[PPGridRow]),58),0))/52.15</f>
        <v/>
      </c>
      <c r="BG84">
        <f>SUMPRODUCT((M_BOM[Part Name]=$A84)*M_BOM[RM_Qty_Per_Batch]*IFERROR(INDEX(PP_Grid[#Data],IF(M_BOM[PPGridRow]=84,NA(),M_BOM[PPGridRow]),59),0))/52.15</f>
        <v/>
      </c>
      <c r="BH84">
        <f>SUMPRODUCT((M_BOM[Part Name]=$A84)*M_BOM[RM_Qty_Per_Batch]*IFERROR(INDEX(PP_Grid[#Data],IF(M_BOM[PPGridRow]=84,NA(),M_BOM[PPGridRow]),60),0))/52.15</f>
        <v/>
      </c>
      <c r="BI84">
        <f>SUMPRODUCT((M_BOM[Part Name]=$A84)*M_BOM[RM_Qty_Per_Batch]*IFERROR(INDEX(PP_Grid[#Data],IF(M_BOM[PPGridRow]=84,NA(),M_BOM[PPGridRow]),61),0))/52.15</f>
        <v/>
      </c>
      <c r="BJ84">
        <f>SUMPRODUCT((M_BOM[Part Name]=$A84)*M_BOM[RM_Qty_Per_Batch]*IFERROR(INDEX(PP_Grid[#Data],IF(M_BOM[PPGridRow]=84,NA(),M_BOM[PPGridRow]),62),0))/52.15</f>
        <v/>
      </c>
      <c r="BK84">
        <f>SUMPRODUCT((M_BOM[Part Name]=$A84)*M_BOM[RM_Qty_Per_Batch]*IFERROR(INDEX(PP_Grid[#Data],IF(M_BOM[PPGridRow]=84,NA(),M_BOM[PPGridRow]),63),0))/52.15</f>
        <v/>
      </c>
      <c r="BL84">
        <f>SUMPRODUCT((M_BOM[Part Name]=$A84)*M_BOM[RM_Qty_Per_Batch]*IFERROR(INDEX(PP_Grid[#Data],IF(M_BOM[PPGridRow]=84,NA(),M_BOM[PPGridRow]),64),0))/52.15</f>
        <v/>
      </c>
      <c r="BM84">
        <f>SUMPRODUCT((M_BOM[Part Name]=$A84)*M_BOM[RM_Qty_Per_Batch]*IFERROR(INDEX(PP_Grid[#Data],IF(M_BOM[PPGridRow]=84,NA(),M_BOM[PPGridRow]),65),0))/52.15</f>
        <v/>
      </c>
      <c r="BN84">
        <f>SUMPRODUCT((M_BOM[Part Name]=$A84)*M_BOM[RM_Qty_Per_Batch]*IFERROR(INDEX(PP_Grid[#Data],IF(M_BOM[PPGridRow]=84,NA(),M_BOM[PPGridRow]),66),0))/52.15</f>
        <v/>
      </c>
      <c r="BO84">
        <f>SUMPRODUCT((M_BOM[Part Name]=$A84)*M_BOM[RM_Qty_Per_Batch]*IFERROR(INDEX(PP_Grid[#Data],IF(M_BOM[PPGridRow]=84,NA(),M_BOM[PPGridRow]),67),0))/52.15</f>
        <v/>
      </c>
      <c r="BP84">
        <f>SUMPRODUCT((M_BOM[Part Name]=$A84)*M_BOM[RM_Qty_Per_Batch]*IFERROR(INDEX(PP_Grid[#Data],IF(M_BOM[PPGridRow]=84,NA(),M_BOM[PPGridRow]),68),0))/52.15</f>
        <v/>
      </c>
      <c r="BQ84">
        <f>SUMPRODUCT((M_BOM[Part Name]=$A84)*M_BOM[RM_Qty_Per_Batch]*IFERROR(INDEX(PP_Grid[#Data],IF(M_BOM[PPGridRow]=84,NA(),M_BOM[PPGridRow]),69),0))/52.15</f>
        <v/>
      </c>
      <c r="BR84">
        <f>SUMPRODUCT((M_BOM[Part Name]=$A84)*M_BOM[RM_Qty_Per_Batch]*IFERROR(INDEX(PP_Grid[#Data],IF(M_BOM[PPGridRow]=84,NA(),M_BOM[PPGridRow]),70),0))/52.15</f>
        <v/>
      </c>
      <c r="BS84">
        <f>SUMPRODUCT((M_BOM[Part Name]=$A84)*M_BOM[RM_Qty_Per_Batch]*IFERROR(INDEX(PP_Grid[#Data],IF(M_BOM[PPGridRow]=84,NA(),M_BOM[PPGridRow]),71),0))/52.15</f>
        <v/>
      </c>
      <c r="BT84">
        <f>SUMPRODUCT((M_BOM[Part Name]=$A84)*M_BOM[RM_Qty_Per_Batch]*IFERROR(INDEX(PP_Grid[#Data],IF(M_BOM[PPGridRow]=84,NA(),M_BOM[PPGridRow]),72),0))/52.15</f>
        <v/>
      </c>
      <c r="BU84">
        <f>SUMPRODUCT((M_BOM[Part Name]=$A84)*M_BOM[RM_Qty_Per_Batch]*IFERROR(INDEX(PP_Grid[#Data],IF(M_BOM[PPGridRow]=84,NA(),M_BOM[PPGridRow]),73),0))/52.15</f>
        <v/>
      </c>
      <c r="BV84">
        <f>SUMPRODUCT((M_BOM[Part Name]=$A84)*M_BOM[RM_Qty_Per_Batch]*IFERROR(INDEX(PP_Grid[#Data],IF(M_BOM[PPGridRow]=84,NA(),M_BOM[PPGridRow]),74),0))/52.15</f>
        <v/>
      </c>
      <c r="BW84">
        <f>SUMPRODUCT((M_BOM[Part Name]=$A84)*M_BOM[RM_Qty_Per_Batch]*IFERROR(INDEX(PP_Grid[#Data],IF(M_BOM[PPGridRow]=84,NA(),M_BOM[PPGridRow]),75),0))/52.15</f>
        <v/>
      </c>
      <c r="BX84">
        <f>SUMPRODUCT((M_BOM[Part Name]=$A84)*M_BOM[RM_Qty_Per_Batch]*IFERROR(INDEX(PP_Grid[#Data],IF(M_BOM[PPGridRow]=84,NA(),M_BOM[PPGridRow]),76),0))/52.15</f>
        <v/>
      </c>
      <c r="BY84">
        <f>SUMPRODUCT((M_BOM[Part Name]=$A84)*M_BOM[RM_Qty_Per_Batch]*IFERROR(INDEX(PP_Grid[#Data],IF(M_BOM[PPGridRow]=84,NA(),M_BOM[PPGridRow]),77),0))/52.15</f>
        <v/>
      </c>
      <c r="BZ84">
        <f>SUMPRODUCT((M_BOM[Part Name]=$A84)*M_BOM[RM_Qty_Per_Batch]*IFERROR(INDEX(PP_Grid[#Data],IF(M_BOM[PPGridRow]=84,NA(),M_BOM[PPGridRow]),78),0))/52.15</f>
        <v/>
      </c>
      <c r="CA84">
        <f>SUMPRODUCT((M_BOM[Part Name]=$A84)*M_BOM[RM_Qty_Per_Batch]*IFERROR(INDEX(PP_Grid[#Data],IF(M_BOM[PPGridRow]=84,NA(),M_BOM[PPGridRow]),79),0))/52.15</f>
        <v/>
      </c>
      <c r="CB84">
        <f>SUMPRODUCT((M_BOM[Part Name]=$A84)*M_BOM[RM_Qty_Per_Batch]*IFERROR(INDEX(PP_Grid[#Data],IF(M_BOM[PPGridRow]=84,NA(),M_BOM[PPGridRow]),80),0))/52.15</f>
        <v/>
      </c>
      <c r="CC84">
        <f>SUMPRODUCT((M_BOM[Part Name]=$A84)*M_BOM[RM_Qty_Per_Batch]*IFERROR(INDEX(PP_Grid[#Data],IF(M_BOM[PPGridRow]=84,NA(),M_BOM[PPGridRow]),81),0))/52.15</f>
        <v/>
      </c>
      <c r="CD84">
        <f>SUMPRODUCT((M_BOM[Part Name]=$A84)*M_BOM[RM_Qty_Per_Batch]*IFERROR(INDEX(PP_Grid[#Data],IF(M_BOM[PPGridRow]=84,NA(),M_BOM[PPGridRow]),82),0))/52.15</f>
        <v/>
      </c>
      <c r="CE84">
        <f>SUMPRODUCT((M_BOM[Part Name]=$A84)*M_BOM[RM_Qty_Per_Batch]*IFERROR(INDEX(PP_Grid[#Data],IF(M_BOM[PPGridRow]=84,NA(),M_BOM[PPGridRow]),83),0))/52.15</f>
        <v/>
      </c>
      <c r="CF84">
        <f>SUMPRODUCT((M_BOM[Part Name]=$A84)*M_BOM[RM_Qty_Per_Batch]*IFERROR(INDEX(PP_Grid[#Data],IF(M_BOM[PPGridRow]=84,NA(),M_BOM[PPGridRow]),84),0))/52.15</f>
        <v/>
      </c>
      <c r="CG84">
        <f>SUMPRODUCT((M_BOM[Part Name]=$A84)*M_BOM[RM_Qty_Per_Batch]*IFERROR(INDEX(PP_Grid[#Data],IF(M_BOM[PPGridRow]=84,NA(),M_BOM[PPGridRow]),85),0))/52.15</f>
        <v/>
      </c>
      <c r="CH84">
        <f>SUMPRODUCT((M_BOM[Part Name]=$A84)*M_BOM[RM_Qty_Per_Batch]*IFERROR(INDEX(PP_Grid[#Data],IF(M_BOM[PPGridRow]=84,NA(),M_BOM[PPGridRow]),86),0))/52.15</f>
        <v/>
      </c>
      <c r="CI84">
        <f>SUMPRODUCT((M_BOM[Part Name]=$A84)*M_BOM[RM_Qty_Per_Batch]*IFERROR(INDEX(PP_Grid[#Data],IF(M_BOM[PPGridRow]=84,NA(),M_BOM[PPGridRow]),87),0))/52.15</f>
        <v/>
      </c>
      <c r="CJ84">
        <f>SUMPRODUCT((M_BOM[Part Name]=$A84)*M_BOM[RM_Qty_Per_Batch]*IFERROR(INDEX(PP_Grid[#Data],IF(M_BOM[PPGridRow]=84,NA(),M_BOM[PPGridRow]),88),0))/52.15</f>
        <v/>
      </c>
      <c r="CK84">
        <f>SUMPRODUCT((M_BOM[Part Name]=$A84)*M_BOM[RM_Qty_Per_Batch]*IFERROR(INDEX(PP_Grid[#Data],IF(M_BOM[PPGridRow]=84,NA(),M_BOM[PPGridRow]),89),0))/52.15</f>
        <v/>
      </c>
      <c r="CL84">
        <f>SUMPRODUCT((M_BOM[Part Name]=$A84)*M_BOM[RM_Qty_Per_Batch]*IFERROR(INDEX(PP_Grid[#Data],IF(M_BOM[PPGridRow]=84,NA(),M_BOM[PPGridRow]),90),0))/52.15</f>
        <v/>
      </c>
      <c r="CM84">
        <f>SUMPRODUCT((M_BOM[Part Name]=$A84)*M_BOM[RM_Qty_Per_Batch]*IFERROR(INDEX(PP_Grid[#Data],IF(M_BOM[PPGridRow]=84,NA(),M_BOM[PPGridRow]),91),0))/52.15</f>
        <v/>
      </c>
      <c r="CN84">
        <f>SUMPRODUCT((M_BOM[Part Name]=$A84)*M_BOM[RM_Qty_Per_Batch]*IFERROR(INDEX(PP_Grid[#Data],IF(M_BOM[PPGridRow]=84,NA(),M_BOM[PPGridRow]),92),0))/52.15</f>
        <v/>
      </c>
      <c r="CO84">
        <f>SUMPRODUCT((M_BOM[Part Name]=$A84)*M_BOM[RM_Qty_Per_Batch]*IFERROR(INDEX(PP_Grid[#Data],IF(M_BOM[PPGridRow]=84,NA(),M_BOM[PPGridRow]),93),0))/52.15</f>
        <v/>
      </c>
      <c r="CP84">
        <f>SUMPRODUCT((M_BOM[Part Name]=$A84)*M_BOM[RM_Qty_Per_Batch]*IFERROR(INDEX(PP_Grid[#Data],IF(M_BOM[PPGridRow]=84,NA(),M_BOM[PPGridRow]),94),0))/52.15</f>
        <v/>
      </c>
      <c r="CQ84">
        <f>SUMPRODUCT((M_BOM[Part Name]=$A84)*M_BOM[RM_Qty_Per_Batch]*IFERROR(INDEX(PP_Grid[#Data],IF(M_BOM[PPGridRow]=84,NA(),M_BOM[PPGridRow]),95),0))/52.15</f>
        <v/>
      </c>
      <c r="CR84">
        <f>SUMPRODUCT((M_BOM[Part Name]=$A84)*M_BOM[RM_Qty_Per_Batch]*IFERROR(INDEX(PP_Grid[#Data],IF(M_BOM[PPGridRow]=84,NA(),M_BOM[PPGridRow]),96),0))/52.15</f>
        <v/>
      </c>
      <c r="CS84">
        <f>SUMPRODUCT((M_BOM[Part Name]=$A84)*M_BOM[RM_Qty_Per_Batch]*IFERROR(INDEX(PP_Grid[#Data],IF(M_BOM[PPGridRow]=84,NA(),M_BOM[PPGridRow]),97),0))/52.15</f>
        <v/>
      </c>
      <c r="CT84">
        <f>SUMPRODUCT((M_BOM[Part Name]=$A84)*M_BOM[RM_Qty_Per_Batch]*IFERROR(INDEX(PP_Grid[#Data],IF(M_BOM[PPGridRow]=84,NA(),M_BOM[PPGridRow]),98),0))/52.15</f>
        <v/>
      </c>
      <c r="CU84">
        <f>SUMPRODUCT((M_BOM[Part Name]=$A84)*M_BOM[RM_Qty_Per_Batch]*IFERROR(INDEX(PP_Grid[#Data],IF(M_BOM[PPGridRow]=84,NA(),M_BOM[PPGridRow]),99),0))/52.15</f>
        <v/>
      </c>
      <c r="CV84">
        <f>SUMPRODUCT((M_BOM[Part Name]=$A84)*M_BOM[RM_Qty_Per_Batch]*IFERROR(INDEX(PP_Grid[#Data],IF(M_BOM[PPGridRow]=84,NA(),M_BOM[PPGridRow]),100),0))/52.15</f>
        <v/>
      </c>
      <c r="CW84">
        <f>SUMPRODUCT((M_BOM[Part Name]=$A84)*M_BOM[RM_Qty_Per_Batch]*IFERROR(INDEX(PP_Grid[#Data],IF(M_BOM[PPGridRow]=84,NA(),M_BOM[PPGridRow]),101),0))/52.15</f>
        <v/>
      </c>
      <c r="CX84">
        <f>SUMPRODUCT((M_BOM[Part Name]=$A84)*M_BOM[RM_Qty_Per_Batch]*IFERROR(INDEX(PP_Grid[#Data],IF(M_BOM[PPGridRow]=84,NA(),M_BOM[PPGridRow]),102),0))/52.15</f>
        <v/>
      </c>
      <c r="CY84">
        <f>SUMPRODUCT((M_BOM[Part Name]=$A84)*M_BOM[RM_Qty_Per_Batch]*IFERROR(INDEX(PP_Grid[#Data],IF(M_BOM[PPGridRow]=84,NA(),M_BOM[PPGridRow]),103),0))/52.15</f>
        <v/>
      </c>
      <c r="CZ84">
        <f>SUMPRODUCT((M_BOM[Part Name]=$A84)*M_BOM[RM_Qty_Per_Batch]*IFERROR(INDEX(PP_Grid[#Data],IF(M_BOM[PPGridRow]=84,NA(),M_BOM[PPGridRow]),104),0))/52.15</f>
        <v/>
      </c>
      <c r="DA84">
        <f>SUMPRODUCT((M_BOM[Part Name]=$A84)*M_BOM[RM_Qty_Per_Batch]*IFERROR(INDEX(PP_Grid[#Data],IF(M_BOM[PPGridRow]=84,NA(),M_BOM[PPGridRow]),105),0))/52.15</f>
        <v/>
      </c>
    </row>
    <row r="85">
      <c r="A85" t="inlineStr">
        <is>
          <t>TPP-912</t>
        </is>
      </c>
      <c r="B85">
        <f>SUMPRODUCT((M_BOM[Part Name]=$A85)*M_BOM[RM_Qty_Per_Batch]*IFERROR(INDEX(PP_Grid[#Data],IF(M_BOM[PPGridRow]=85,NA(),M_BOM[PPGridRow]),2),0))/51.73</f>
        <v/>
      </c>
      <c r="C85">
        <f>SUMPRODUCT((M_BOM[Part Name]=$A85)*M_BOM[RM_Qty_Per_Batch]*IFERROR(INDEX(PP_Grid[#Data],IF(M_BOM[PPGridRow]=85,NA(),M_BOM[PPGridRow]),3),0))/51.73</f>
        <v/>
      </c>
      <c r="D85">
        <f>SUMPRODUCT((M_BOM[Part Name]=$A85)*M_BOM[RM_Qty_Per_Batch]*IFERROR(INDEX(PP_Grid[#Data],IF(M_BOM[PPGridRow]=85,NA(),M_BOM[PPGridRow]),4),0))/51.73</f>
        <v/>
      </c>
      <c r="E85">
        <f>SUMPRODUCT((M_BOM[Part Name]=$A85)*M_BOM[RM_Qty_Per_Batch]*IFERROR(INDEX(PP_Grid[#Data],IF(M_BOM[PPGridRow]=85,NA(),M_BOM[PPGridRow]),5),0))/51.73</f>
        <v/>
      </c>
      <c r="F85">
        <f>SUMPRODUCT((M_BOM[Part Name]=$A85)*M_BOM[RM_Qty_Per_Batch]*IFERROR(INDEX(PP_Grid[#Data],IF(M_BOM[PPGridRow]=85,NA(),M_BOM[PPGridRow]),6),0))/51.73</f>
        <v/>
      </c>
      <c r="G85">
        <f>SUMPRODUCT((M_BOM[Part Name]=$A85)*M_BOM[RM_Qty_Per_Batch]*IFERROR(INDEX(PP_Grid[#Data],IF(M_BOM[PPGridRow]=85,NA(),M_BOM[PPGridRow]),7),0))/51.73</f>
        <v/>
      </c>
      <c r="H85">
        <f>SUMPRODUCT((M_BOM[Part Name]=$A85)*M_BOM[RM_Qty_Per_Batch]*IFERROR(INDEX(PP_Grid[#Data],IF(M_BOM[PPGridRow]=85,NA(),M_BOM[PPGridRow]),8),0))/51.73</f>
        <v/>
      </c>
      <c r="I85">
        <f>SUMPRODUCT((M_BOM[Part Name]=$A85)*M_BOM[RM_Qty_Per_Batch]*IFERROR(INDEX(PP_Grid[#Data],IF(M_BOM[PPGridRow]=85,NA(),M_BOM[PPGridRow]),9),0))/51.73</f>
        <v/>
      </c>
      <c r="J85">
        <f>SUMPRODUCT((M_BOM[Part Name]=$A85)*M_BOM[RM_Qty_Per_Batch]*IFERROR(INDEX(PP_Grid[#Data],IF(M_BOM[PPGridRow]=85,NA(),M_BOM[PPGridRow]),10),0))/51.73</f>
        <v/>
      </c>
      <c r="K85">
        <f>SUMPRODUCT((M_BOM[Part Name]=$A85)*M_BOM[RM_Qty_Per_Batch]*IFERROR(INDEX(PP_Grid[#Data],IF(M_BOM[PPGridRow]=85,NA(),M_BOM[PPGridRow]),11),0))/51.73</f>
        <v/>
      </c>
      <c r="L85">
        <f>SUMPRODUCT((M_BOM[Part Name]=$A85)*M_BOM[RM_Qty_Per_Batch]*IFERROR(INDEX(PP_Grid[#Data],IF(M_BOM[PPGridRow]=85,NA(),M_BOM[PPGridRow]),12),0))/51.73</f>
        <v/>
      </c>
      <c r="M85">
        <f>SUMPRODUCT((M_BOM[Part Name]=$A85)*M_BOM[RM_Qty_Per_Batch]*IFERROR(INDEX(PP_Grid[#Data],IF(M_BOM[PPGridRow]=85,NA(),M_BOM[PPGridRow]),13),0))/51.73</f>
        <v/>
      </c>
      <c r="N85">
        <f>SUMPRODUCT((M_BOM[Part Name]=$A85)*M_BOM[RM_Qty_Per_Batch]*IFERROR(INDEX(PP_Grid[#Data],IF(M_BOM[PPGridRow]=85,NA(),M_BOM[PPGridRow]),14),0))/51.73</f>
        <v/>
      </c>
      <c r="O85">
        <f>SUMPRODUCT((M_BOM[Part Name]=$A85)*M_BOM[RM_Qty_Per_Batch]*IFERROR(INDEX(PP_Grid[#Data],IF(M_BOM[PPGridRow]=85,NA(),M_BOM[PPGridRow]),15),0))/51.73</f>
        <v/>
      </c>
      <c r="P85">
        <f>SUMPRODUCT((M_BOM[Part Name]=$A85)*M_BOM[RM_Qty_Per_Batch]*IFERROR(INDEX(PP_Grid[#Data],IF(M_BOM[PPGridRow]=85,NA(),M_BOM[PPGridRow]),16),0))/51.73</f>
        <v/>
      </c>
      <c r="Q85">
        <f>SUMPRODUCT((M_BOM[Part Name]=$A85)*M_BOM[RM_Qty_Per_Batch]*IFERROR(INDEX(PP_Grid[#Data],IF(M_BOM[PPGridRow]=85,NA(),M_BOM[PPGridRow]),17),0))/51.73</f>
        <v/>
      </c>
      <c r="R85">
        <f>SUMPRODUCT((M_BOM[Part Name]=$A85)*M_BOM[RM_Qty_Per_Batch]*IFERROR(INDEX(PP_Grid[#Data],IF(M_BOM[PPGridRow]=85,NA(),M_BOM[PPGridRow]),18),0))/51.73</f>
        <v/>
      </c>
      <c r="S85">
        <f>SUMPRODUCT((M_BOM[Part Name]=$A85)*M_BOM[RM_Qty_Per_Batch]*IFERROR(INDEX(PP_Grid[#Data],IF(M_BOM[PPGridRow]=85,NA(),M_BOM[PPGridRow]),19),0))/51.73</f>
        <v/>
      </c>
      <c r="T85">
        <f>SUMPRODUCT((M_BOM[Part Name]=$A85)*M_BOM[RM_Qty_Per_Batch]*IFERROR(INDEX(PP_Grid[#Data],IF(M_BOM[PPGridRow]=85,NA(),M_BOM[PPGridRow]),20),0))/51.73</f>
        <v/>
      </c>
      <c r="U85">
        <f>SUMPRODUCT((M_BOM[Part Name]=$A85)*M_BOM[RM_Qty_Per_Batch]*IFERROR(INDEX(PP_Grid[#Data],IF(M_BOM[PPGridRow]=85,NA(),M_BOM[PPGridRow]),21),0))/51.73</f>
        <v/>
      </c>
      <c r="V85">
        <f>SUMPRODUCT((M_BOM[Part Name]=$A85)*M_BOM[RM_Qty_Per_Batch]*IFERROR(INDEX(PP_Grid[#Data],IF(M_BOM[PPGridRow]=85,NA(),M_BOM[PPGridRow]),22),0))/51.73</f>
        <v/>
      </c>
      <c r="W85">
        <f>SUMPRODUCT((M_BOM[Part Name]=$A85)*M_BOM[RM_Qty_Per_Batch]*IFERROR(INDEX(PP_Grid[#Data],IF(M_BOM[PPGridRow]=85,NA(),M_BOM[PPGridRow]),23),0))/51.73</f>
        <v/>
      </c>
      <c r="X85">
        <f>SUMPRODUCT((M_BOM[Part Name]=$A85)*M_BOM[RM_Qty_Per_Batch]*IFERROR(INDEX(PP_Grid[#Data],IF(M_BOM[PPGridRow]=85,NA(),M_BOM[PPGridRow]),24),0))/51.73</f>
        <v/>
      </c>
      <c r="Y85">
        <f>SUMPRODUCT((M_BOM[Part Name]=$A85)*M_BOM[RM_Qty_Per_Batch]*IFERROR(INDEX(PP_Grid[#Data],IF(M_BOM[PPGridRow]=85,NA(),M_BOM[PPGridRow]),25),0))/51.73</f>
        <v/>
      </c>
      <c r="Z85">
        <f>SUMPRODUCT((M_BOM[Part Name]=$A85)*M_BOM[RM_Qty_Per_Batch]*IFERROR(INDEX(PP_Grid[#Data],IF(M_BOM[PPGridRow]=85,NA(),M_BOM[PPGridRow]),26),0))/51.73</f>
        <v/>
      </c>
      <c r="AA85">
        <f>SUMPRODUCT((M_BOM[Part Name]=$A85)*M_BOM[RM_Qty_Per_Batch]*IFERROR(INDEX(PP_Grid[#Data],IF(M_BOM[PPGridRow]=85,NA(),M_BOM[PPGridRow]),27),0))/51.73</f>
        <v/>
      </c>
      <c r="AB85">
        <f>SUMPRODUCT((M_BOM[Part Name]=$A85)*M_BOM[RM_Qty_Per_Batch]*IFERROR(INDEX(PP_Grid[#Data],IF(M_BOM[PPGridRow]=85,NA(),M_BOM[PPGridRow]),28),0))/51.73</f>
        <v/>
      </c>
      <c r="AC85">
        <f>SUMPRODUCT((M_BOM[Part Name]=$A85)*M_BOM[RM_Qty_Per_Batch]*IFERROR(INDEX(PP_Grid[#Data],IF(M_BOM[PPGridRow]=85,NA(),M_BOM[PPGridRow]),29),0))/51.73</f>
        <v/>
      </c>
      <c r="AD85">
        <f>SUMPRODUCT((M_BOM[Part Name]=$A85)*M_BOM[RM_Qty_Per_Batch]*IFERROR(INDEX(PP_Grid[#Data],IF(M_BOM[PPGridRow]=85,NA(),M_BOM[PPGridRow]),30),0))/51.73</f>
        <v/>
      </c>
      <c r="AE85">
        <f>SUMPRODUCT((M_BOM[Part Name]=$A85)*M_BOM[RM_Qty_Per_Batch]*IFERROR(INDEX(PP_Grid[#Data],IF(M_BOM[PPGridRow]=85,NA(),M_BOM[PPGridRow]),31),0))/51.73</f>
        <v/>
      </c>
      <c r="AF85">
        <f>SUMPRODUCT((M_BOM[Part Name]=$A85)*M_BOM[RM_Qty_Per_Batch]*IFERROR(INDEX(PP_Grid[#Data],IF(M_BOM[PPGridRow]=85,NA(),M_BOM[PPGridRow]),32),0))/51.73</f>
        <v/>
      </c>
      <c r="AG85">
        <f>SUMPRODUCT((M_BOM[Part Name]=$A85)*M_BOM[RM_Qty_Per_Batch]*IFERROR(INDEX(PP_Grid[#Data],IF(M_BOM[PPGridRow]=85,NA(),M_BOM[PPGridRow]),33),0))/51.73</f>
        <v/>
      </c>
      <c r="AH85">
        <f>SUMPRODUCT((M_BOM[Part Name]=$A85)*M_BOM[RM_Qty_Per_Batch]*IFERROR(INDEX(PP_Grid[#Data],IF(M_BOM[PPGridRow]=85,NA(),M_BOM[PPGridRow]),34),0))/51.73</f>
        <v/>
      </c>
      <c r="AI85">
        <f>SUMPRODUCT((M_BOM[Part Name]=$A85)*M_BOM[RM_Qty_Per_Batch]*IFERROR(INDEX(PP_Grid[#Data],IF(M_BOM[PPGridRow]=85,NA(),M_BOM[PPGridRow]),35),0))/51.73</f>
        <v/>
      </c>
      <c r="AJ85">
        <f>SUMPRODUCT((M_BOM[Part Name]=$A85)*M_BOM[RM_Qty_Per_Batch]*IFERROR(INDEX(PP_Grid[#Data],IF(M_BOM[PPGridRow]=85,NA(),M_BOM[PPGridRow]),36),0))/51.73</f>
        <v/>
      </c>
      <c r="AK85">
        <f>SUMPRODUCT((M_BOM[Part Name]=$A85)*M_BOM[RM_Qty_Per_Batch]*IFERROR(INDEX(PP_Grid[#Data],IF(M_BOM[PPGridRow]=85,NA(),M_BOM[PPGridRow]),37),0))/51.73</f>
        <v/>
      </c>
      <c r="AL85">
        <f>SUMPRODUCT((M_BOM[Part Name]=$A85)*M_BOM[RM_Qty_Per_Batch]*IFERROR(INDEX(PP_Grid[#Data],IF(M_BOM[PPGridRow]=85,NA(),M_BOM[PPGridRow]),38),0))/51.73</f>
        <v/>
      </c>
      <c r="AM85">
        <f>SUMPRODUCT((M_BOM[Part Name]=$A85)*M_BOM[RM_Qty_Per_Batch]*IFERROR(INDEX(PP_Grid[#Data],IF(M_BOM[PPGridRow]=85,NA(),M_BOM[PPGridRow]),39),0))/51.73</f>
        <v/>
      </c>
      <c r="AN85">
        <f>SUMPRODUCT((M_BOM[Part Name]=$A85)*M_BOM[RM_Qty_Per_Batch]*IFERROR(INDEX(PP_Grid[#Data],IF(M_BOM[PPGridRow]=85,NA(),M_BOM[PPGridRow]),40),0))/51.73</f>
        <v/>
      </c>
      <c r="AO85">
        <f>SUMPRODUCT((M_BOM[Part Name]=$A85)*M_BOM[RM_Qty_Per_Batch]*IFERROR(INDEX(PP_Grid[#Data],IF(M_BOM[PPGridRow]=85,NA(),M_BOM[PPGridRow]),41),0))/51.73</f>
        <v/>
      </c>
      <c r="AP85">
        <f>SUMPRODUCT((M_BOM[Part Name]=$A85)*M_BOM[RM_Qty_Per_Batch]*IFERROR(INDEX(PP_Grid[#Data],IF(M_BOM[PPGridRow]=85,NA(),M_BOM[PPGridRow]),42),0))/51.73</f>
        <v/>
      </c>
      <c r="AQ85">
        <f>SUMPRODUCT((M_BOM[Part Name]=$A85)*M_BOM[RM_Qty_Per_Batch]*IFERROR(INDEX(PP_Grid[#Data],IF(M_BOM[PPGridRow]=85,NA(),M_BOM[PPGridRow]),43),0))/51.73</f>
        <v/>
      </c>
      <c r="AR85">
        <f>SUMPRODUCT((M_BOM[Part Name]=$A85)*M_BOM[RM_Qty_Per_Batch]*IFERROR(INDEX(PP_Grid[#Data],IF(M_BOM[PPGridRow]=85,NA(),M_BOM[PPGridRow]),44),0))/51.73</f>
        <v/>
      </c>
      <c r="AS85">
        <f>SUMPRODUCT((M_BOM[Part Name]=$A85)*M_BOM[RM_Qty_Per_Batch]*IFERROR(INDEX(PP_Grid[#Data],IF(M_BOM[PPGridRow]=85,NA(),M_BOM[PPGridRow]),45),0))/51.73</f>
        <v/>
      </c>
      <c r="AT85">
        <f>SUMPRODUCT((M_BOM[Part Name]=$A85)*M_BOM[RM_Qty_Per_Batch]*IFERROR(INDEX(PP_Grid[#Data],IF(M_BOM[PPGridRow]=85,NA(),M_BOM[PPGridRow]),46),0))/51.73</f>
        <v/>
      </c>
      <c r="AU85">
        <f>SUMPRODUCT((M_BOM[Part Name]=$A85)*M_BOM[RM_Qty_Per_Batch]*IFERROR(INDEX(PP_Grid[#Data],IF(M_BOM[PPGridRow]=85,NA(),M_BOM[PPGridRow]),47),0))/51.73</f>
        <v/>
      </c>
      <c r="AV85">
        <f>SUMPRODUCT((M_BOM[Part Name]=$A85)*M_BOM[RM_Qty_Per_Batch]*IFERROR(INDEX(PP_Grid[#Data],IF(M_BOM[PPGridRow]=85,NA(),M_BOM[PPGridRow]),48),0))/51.73</f>
        <v/>
      </c>
      <c r="AW85">
        <f>SUMPRODUCT((M_BOM[Part Name]=$A85)*M_BOM[RM_Qty_Per_Batch]*IFERROR(INDEX(PP_Grid[#Data],IF(M_BOM[PPGridRow]=85,NA(),M_BOM[PPGridRow]),49),0))/51.73</f>
        <v/>
      </c>
      <c r="AX85">
        <f>SUMPRODUCT((M_BOM[Part Name]=$A85)*M_BOM[RM_Qty_Per_Batch]*IFERROR(INDEX(PP_Grid[#Data],IF(M_BOM[PPGridRow]=85,NA(),M_BOM[PPGridRow]),50),0))/51.73</f>
        <v/>
      </c>
      <c r="AY85">
        <f>SUMPRODUCT((M_BOM[Part Name]=$A85)*M_BOM[RM_Qty_Per_Batch]*IFERROR(INDEX(PP_Grid[#Data],IF(M_BOM[PPGridRow]=85,NA(),M_BOM[PPGridRow]),51),0))/51.73</f>
        <v/>
      </c>
      <c r="AZ85">
        <f>SUMPRODUCT((M_BOM[Part Name]=$A85)*M_BOM[RM_Qty_Per_Batch]*IFERROR(INDEX(PP_Grid[#Data],IF(M_BOM[PPGridRow]=85,NA(),M_BOM[PPGridRow]),52),0))/51.73</f>
        <v/>
      </c>
      <c r="BA85">
        <f>SUMPRODUCT((M_BOM[Part Name]=$A85)*M_BOM[RM_Qty_Per_Batch]*IFERROR(INDEX(PP_Grid[#Data],IF(M_BOM[PPGridRow]=85,NA(),M_BOM[PPGridRow]),53),0))/51.73</f>
        <v/>
      </c>
      <c r="BB85">
        <f>SUMPRODUCT((M_BOM[Part Name]=$A85)*M_BOM[RM_Qty_Per_Batch]*IFERROR(INDEX(PP_Grid[#Data],IF(M_BOM[PPGridRow]=85,NA(),M_BOM[PPGridRow]),54),0))/51.73</f>
        <v/>
      </c>
      <c r="BC85">
        <f>SUMPRODUCT((M_BOM[Part Name]=$A85)*M_BOM[RM_Qty_Per_Batch]*IFERROR(INDEX(PP_Grid[#Data],IF(M_BOM[PPGridRow]=85,NA(),M_BOM[PPGridRow]),55),0))/51.73</f>
        <v/>
      </c>
      <c r="BD85">
        <f>SUMPRODUCT((M_BOM[Part Name]=$A85)*M_BOM[RM_Qty_Per_Batch]*IFERROR(INDEX(PP_Grid[#Data],IF(M_BOM[PPGridRow]=85,NA(),M_BOM[PPGridRow]),56),0))/51.73</f>
        <v/>
      </c>
      <c r="BE85">
        <f>SUMPRODUCT((M_BOM[Part Name]=$A85)*M_BOM[RM_Qty_Per_Batch]*IFERROR(INDEX(PP_Grid[#Data],IF(M_BOM[PPGridRow]=85,NA(),M_BOM[PPGridRow]),57),0))/51.73</f>
        <v/>
      </c>
      <c r="BF85">
        <f>SUMPRODUCT((M_BOM[Part Name]=$A85)*M_BOM[RM_Qty_Per_Batch]*IFERROR(INDEX(PP_Grid[#Data],IF(M_BOM[PPGridRow]=85,NA(),M_BOM[PPGridRow]),58),0))/51.73</f>
        <v/>
      </c>
      <c r="BG85">
        <f>SUMPRODUCT((M_BOM[Part Name]=$A85)*M_BOM[RM_Qty_Per_Batch]*IFERROR(INDEX(PP_Grid[#Data],IF(M_BOM[PPGridRow]=85,NA(),M_BOM[PPGridRow]),59),0))/51.73</f>
        <v/>
      </c>
      <c r="BH85">
        <f>SUMPRODUCT((M_BOM[Part Name]=$A85)*M_BOM[RM_Qty_Per_Batch]*IFERROR(INDEX(PP_Grid[#Data],IF(M_BOM[PPGridRow]=85,NA(),M_BOM[PPGridRow]),60),0))/51.73</f>
        <v/>
      </c>
      <c r="BI85">
        <f>SUMPRODUCT((M_BOM[Part Name]=$A85)*M_BOM[RM_Qty_Per_Batch]*IFERROR(INDEX(PP_Grid[#Data],IF(M_BOM[PPGridRow]=85,NA(),M_BOM[PPGridRow]),61),0))/51.73</f>
        <v/>
      </c>
      <c r="BJ85">
        <f>SUMPRODUCT((M_BOM[Part Name]=$A85)*M_BOM[RM_Qty_Per_Batch]*IFERROR(INDEX(PP_Grid[#Data],IF(M_BOM[PPGridRow]=85,NA(),M_BOM[PPGridRow]),62),0))/51.73</f>
        <v/>
      </c>
      <c r="BK85">
        <f>SUMPRODUCT((M_BOM[Part Name]=$A85)*M_BOM[RM_Qty_Per_Batch]*IFERROR(INDEX(PP_Grid[#Data],IF(M_BOM[PPGridRow]=85,NA(),M_BOM[PPGridRow]),63),0))/51.73</f>
        <v/>
      </c>
      <c r="BL85">
        <f>SUMPRODUCT((M_BOM[Part Name]=$A85)*M_BOM[RM_Qty_Per_Batch]*IFERROR(INDEX(PP_Grid[#Data],IF(M_BOM[PPGridRow]=85,NA(),M_BOM[PPGridRow]),64),0))/51.73</f>
        <v/>
      </c>
      <c r="BM85">
        <f>SUMPRODUCT((M_BOM[Part Name]=$A85)*M_BOM[RM_Qty_Per_Batch]*IFERROR(INDEX(PP_Grid[#Data],IF(M_BOM[PPGridRow]=85,NA(),M_BOM[PPGridRow]),65),0))/51.73</f>
        <v/>
      </c>
      <c r="BN85">
        <f>SUMPRODUCT((M_BOM[Part Name]=$A85)*M_BOM[RM_Qty_Per_Batch]*IFERROR(INDEX(PP_Grid[#Data],IF(M_BOM[PPGridRow]=85,NA(),M_BOM[PPGridRow]),66),0))/51.73</f>
        <v/>
      </c>
      <c r="BO85">
        <f>SUMPRODUCT((M_BOM[Part Name]=$A85)*M_BOM[RM_Qty_Per_Batch]*IFERROR(INDEX(PP_Grid[#Data],IF(M_BOM[PPGridRow]=85,NA(),M_BOM[PPGridRow]),67),0))/51.73</f>
        <v/>
      </c>
      <c r="BP85">
        <f>SUMPRODUCT((M_BOM[Part Name]=$A85)*M_BOM[RM_Qty_Per_Batch]*IFERROR(INDEX(PP_Grid[#Data],IF(M_BOM[PPGridRow]=85,NA(),M_BOM[PPGridRow]),68),0))/51.73</f>
        <v/>
      </c>
      <c r="BQ85">
        <f>SUMPRODUCT((M_BOM[Part Name]=$A85)*M_BOM[RM_Qty_Per_Batch]*IFERROR(INDEX(PP_Grid[#Data],IF(M_BOM[PPGridRow]=85,NA(),M_BOM[PPGridRow]),69),0))/51.73</f>
        <v/>
      </c>
      <c r="BR85">
        <f>SUMPRODUCT((M_BOM[Part Name]=$A85)*M_BOM[RM_Qty_Per_Batch]*IFERROR(INDEX(PP_Grid[#Data],IF(M_BOM[PPGridRow]=85,NA(),M_BOM[PPGridRow]),70),0))/51.73</f>
        <v/>
      </c>
      <c r="BS85">
        <f>SUMPRODUCT((M_BOM[Part Name]=$A85)*M_BOM[RM_Qty_Per_Batch]*IFERROR(INDEX(PP_Grid[#Data],IF(M_BOM[PPGridRow]=85,NA(),M_BOM[PPGridRow]),71),0))/51.73</f>
        <v/>
      </c>
      <c r="BT85">
        <f>SUMPRODUCT((M_BOM[Part Name]=$A85)*M_BOM[RM_Qty_Per_Batch]*IFERROR(INDEX(PP_Grid[#Data],IF(M_BOM[PPGridRow]=85,NA(),M_BOM[PPGridRow]),72),0))/51.73</f>
        <v/>
      </c>
      <c r="BU85">
        <f>SUMPRODUCT((M_BOM[Part Name]=$A85)*M_BOM[RM_Qty_Per_Batch]*IFERROR(INDEX(PP_Grid[#Data],IF(M_BOM[PPGridRow]=85,NA(),M_BOM[PPGridRow]),73),0))/51.73</f>
        <v/>
      </c>
      <c r="BV85">
        <f>SUMPRODUCT((M_BOM[Part Name]=$A85)*M_BOM[RM_Qty_Per_Batch]*IFERROR(INDEX(PP_Grid[#Data],IF(M_BOM[PPGridRow]=85,NA(),M_BOM[PPGridRow]),74),0))/51.73</f>
        <v/>
      </c>
      <c r="BW85">
        <f>SUMPRODUCT((M_BOM[Part Name]=$A85)*M_BOM[RM_Qty_Per_Batch]*IFERROR(INDEX(PP_Grid[#Data],IF(M_BOM[PPGridRow]=85,NA(),M_BOM[PPGridRow]),75),0))/51.73</f>
        <v/>
      </c>
      <c r="BX85">
        <f>SUMPRODUCT((M_BOM[Part Name]=$A85)*M_BOM[RM_Qty_Per_Batch]*IFERROR(INDEX(PP_Grid[#Data],IF(M_BOM[PPGridRow]=85,NA(),M_BOM[PPGridRow]),76),0))/51.73</f>
        <v/>
      </c>
      <c r="BY85">
        <f>SUMPRODUCT((M_BOM[Part Name]=$A85)*M_BOM[RM_Qty_Per_Batch]*IFERROR(INDEX(PP_Grid[#Data],IF(M_BOM[PPGridRow]=85,NA(),M_BOM[PPGridRow]),77),0))/51.73</f>
        <v/>
      </c>
      <c r="BZ85">
        <f>SUMPRODUCT((M_BOM[Part Name]=$A85)*M_BOM[RM_Qty_Per_Batch]*IFERROR(INDEX(PP_Grid[#Data],IF(M_BOM[PPGridRow]=85,NA(),M_BOM[PPGridRow]),78),0))/51.73</f>
        <v/>
      </c>
      <c r="CA85">
        <f>SUMPRODUCT((M_BOM[Part Name]=$A85)*M_BOM[RM_Qty_Per_Batch]*IFERROR(INDEX(PP_Grid[#Data],IF(M_BOM[PPGridRow]=85,NA(),M_BOM[PPGridRow]),79),0))/51.73</f>
        <v/>
      </c>
      <c r="CB85">
        <f>SUMPRODUCT((M_BOM[Part Name]=$A85)*M_BOM[RM_Qty_Per_Batch]*IFERROR(INDEX(PP_Grid[#Data],IF(M_BOM[PPGridRow]=85,NA(),M_BOM[PPGridRow]),80),0))/51.73</f>
        <v/>
      </c>
      <c r="CC85">
        <f>SUMPRODUCT((M_BOM[Part Name]=$A85)*M_BOM[RM_Qty_Per_Batch]*IFERROR(INDEX(PP_Grid[#Data],IF(M_BOM[PPGridRow]=85,NA(),M_BOM[PPGridRow]),81),0))/51.73</f>
        <v/>
      </c>
      <c r="CD85">
        <f>SUMPRODUCT((M_BOM[Part Name]=$A85)*M_BOM[RM_Qty_Per_Batch]*IFERROR(INDEX(PP_Grid[#Data],IF(M_BOM[PPGridRow]=85,NA(),M_BOM[PPGridRow]),82),0))/51.73</f>
        <v/>
      </c>
      <c r="CE85">
        <f>SUMPRODUCT((M_BOM[Part Name]=$A85)*M_BOM[RM_Qty_Per_Batch]*IFERROR(INDEX(PP_Grid[#Data],IF(M_BOM[PPGridRow]=85,NA(),M_BOM[PPGridRow]),83),0))/51.73</f>
        <v/>
      </c>
      <c r="CF85">
        <f>SUMPRODUCT((M_BOM[Part Name]=$A85)*M_BOM[RM_Qty_Per_Batch]*IFERROR(INDEX(PP_Grid[#Data],IF(M_BOM[PPGridRow]=85,NA(),M_BOM[PPGridRow]),84),0))/51.73</f>
        <v/>
      </c>
      <c r="CG85">
        <f>SUMPRODUCT((M_BOM[Part Name]=$A85)*M_BOM[RM_Qty_Per_Batch]*IFERROR(INDEX(PP_Grid[#Data],IF(M_BOM[PPGridRow]=85,NA(),M_BOM[PPGridRow]),85),0))/51.73</f>
        <v/>
      </c>
      <c r="CH85">
        <f>SUMPRODUCT((M_BOM[Part Name]=$A85)*M_BOM[RM_Qty_Per_Batch]*IFERROR(INDEX(PP_Grid[#Data],IF(M_BOM[PPGridRow]=85,NA(),M_BOM[PPGridRow]),86),0))/51.73</f>
        <v/>
      </c>
      <c r="CI85">
        <f>SUMPRODUCT((M_BOM[Part Name]=$A85)*M_BOM[RM_Qty_Per_Batch]*IFERROR(INDEX(PP_Grid[#Data],IF(M_BOM[PPGridRow]=85,NA(),M_BOM[PPGridRow]),87),0))/51.73</f>
        <v/>
      </c>
      <c r="CJ85">
        <f>SUMPRODUCT((M_BOM[Part Name]=$A85)*M_BOM[RM_Qty_Per_Batch]*IFERROR(INDEX(PP_Grid[#Data],IF(M_BOM[PPGridRow]=85,NA(),M_BOM[PPGridRow]),88),0))/51.73</f>
        <v/>
      </c>
      <c r="CK85">
        <f>SUMPRODUCT((M_BOM[Part Name]=$A85)*M_BOM[RM_Qty_Per_Batch]*IFERROR(INDEX(PP_Grid[#Data],IF(M_BOM[PPGridRow]=85,NA(),M_BOM[PPGridRow]),89),0))/51.73</f>
        <v/>
      </c>
      <c r="CL85">
        <f>SUMPRODUCT((M_BOM[Part Name]=$A85)*M_BOM[RM_Qty_Per_Batch]*IFERROR(INDEX(PP_Grid[#Data],IF(M_BOM[PPGridRow]=85,NA(),M_BOM[PPGridRow]),90),0))/51.73</f>
        <v/>
      </c>
      <c r="CM85">
        <f>SUMPRODUCT((M_BOM[Part Name]=$A85)*M_BOM[RM_Qty_Per_Batch]*IFERROR(INDEX(PP_Grid[#Data],IF(M_BOM[PPGridRow]=85,NA(),M_BOM[PPGridRow]),91),0))/51.73</f>
        <v/>
      </c>
      <c r="CN85">
        <f>SUMPRODUCT((M_BOM[Part Name]=$A85)*M_BOM[RM_Qty_Per_Batch]*IFERROR(INDEX(PP_Grid[#Data],IF(M_BOM[PPGridRow]=85,NA(),M_BOM[PPGridRow]),92),0))/51.73</f>
        <v/>
      </c>
      <c r="CO85">
        <f>SUMPRODUCT((M_BOM[Part Name]=$A85)*M_BOM[RM_Qty_Per_Batch]*IFERROR(INDEX(PP_Grid[#Data],IF(M_BOM[PPGridRow]=85,NA(),M_BOM[PPGridRow]),93),0))/51.73</f>
        <v/>
      </c>
      <c r="CP85">
        <f>SUMPRODUCT((M_BOM[Part Name]=$A85)*M_BOM[RM_Qty_Per_Batch]*IFERROR(INDEX(PP_Grid[#Data],IF(M_BOM[PPGridRow]=85,NA(),M_BOM[PPGridRow]),94),0))/51.73</f>
        <v/>
      </c>
      <c r="CQ85">
        <f>SUMPRODUCT((M_BOM[Part Name]=$A85)*M_BOM[RM_Qty_Per_Batch]*IFERROR(INDEX(PP_Grid[#Data],IF(M_BOM[PPGridRow]=85,NA(),M_BOM[PPGridRow]),95),0))/51.73</f>
        <v/>
      </c>
      <c r="CR85">
        <f>SUMPRODUCT((M_BOM[Part Name]=$A85)*M_BOM[RM_Qty_Per_Batch]*IFERROR(INDEX(PP_Grid[#Data],IF(M_BOM[PPGridRow]=85,NA(),M_BOM[PPGridRow]),96),0))/51.73</f>
        <v/>
      </c>
      <c r="CS85">
        <f>SUMPRODUCT((M_BOM[Part Name]=$A85)*M_BOM[RM_Qty_Per_Batch]*IFERROR(INDEX(PP_Grid[#Data],IF(M_BOM[PPGridRow]=85,NA(),M_BOM[PPGridRow]),97),0))/51.73</f>
        <v/>
      </c>
      <c r="CT85">
        <f>SUMPRODUCT((M_BOM[Part Name]=$A85)*M_BOM[RM_Qty_Per_Batch]*IFERROR(INDEX(PP_Grid[#Data],IF(M_BOM[PPGridRow]=85,NA(),M_BOM[PPGridRow]),98),0))/51.73</f>
        <v/>
      </c>
      <c r="CU85">
        <f>SUMPRODUCT((M_BOM[Part Name]=$A85)*M_BOM[RM_Qty_Per_Batch]*IFERROR(INDEX(PP_Grid[#Data],IF(M_BOM[PPGridRow]=85,NA(),M_BOM[PPGridRow]),99),0))/51.73</f>
        <v/>
      </c>
      <c r="CV85">
        <f>SUMPRODUCT((M_BOM[Part Name]=$A85)*M_BOM[RM_Qty_Per_Batch]*IFERROR(INDEX(PP_Grid[#Data],IF(M_BOM[PPGridRow]=85,NA(),M_BOM[PPGridRow]),100),0))/51.73</f>
        <v/>
      </c>
      <c r="CW85">
        <f>SUMPRODUCT((M_BOM[Part Name]=$A85)*M_BOM[RM_Qty_Per_Batch]*IFERROR(INDEX(PP_Grid[#Data],IF(M_BOM[PPGridRow]=85,NA(),M_BOM[PPGridRow]),101),0))/51.73</f>
        <v/>
      </c>
      <c r="CX85">
        <f>SUMPRODUCT((M_BOM[Part Name]=$A85)*M_BOM[RM_Qty_Per_Batch]*IFERROR(INDEX(PP_Grid[#Data],IF(M_BOM[PPGridRow]=85,NA(),M_BOM[PPGridRow]),102),0))/51.73</f>
        <v/>
      </c>
      <c r="CY85">
        <f>SUMPRODUCT((M_BOM[Part Name]=$A85)*M_BOM[RM_Qty_Per_Batch]*IFERROR(INDEX(PP_Grid[#Data],IF(M_BOM[PPGridRow]=85,NA(),M_BOM[PPGridRow]),103),0))/51.73</f>
        <v/>
      </c>
      <c r="CZ85">
        <f>SUMPRODUCT((M_BOM[Part Name]=$A85)*M_BOM[RM_Qty_Per_Batch]*IFERROR(INDEX(PP_Grid[#Data],IF(M_BOM[PPGridRow]=85,NA(),M_BOM[PPGridRow]),104),0))/51.73</f>
        <v/>
      </c>
      <c r="DA85">
        <f>SUMPRODUCT((M_BOM[Part Name]=$A85)*M_BOM[RM_Qty_Per_Batch]*IFERROR(INDEX(PP_Grid[#Data],IF(M_BOM[PPGridRow]=85,NA(),M_BOM[PPGridRow]),105),0))/51.73</f>
        <v/>
      </c>
    </row>
    <row r="86">
      <c r="A86" t="inlineStr">
        <is>
          <t>TPP-914</t>
        </is>
      </c>
      <c r="B86">
        <f>SUMPRODUCT((M_BOM[Part Name]=$A86)*M_BOM[RM_Qty_Per_Batch]*IFERROR(INDEX(PP_Grid[#Data],IF(M_BOM[PPGridRow]=86,NA(),M_BOM[PPGridRow]),2),0))/25.69</f>
        <v/>
      </c>
      <c r="C86">
        <f>SUMPRODUCT((M_BOM[Part Name]=$A86)*M_BOM[RM_Qty_Per_Batch]*IFERROR(INDEX(PP_Grid[#Data],IF(M_BOM[PPGridRow]=86,NA(),M_BOM[PPGridRow]),3),0))/25.69</f>
        <v/>
      </c>
      <c r="D86">
        <f>SUMPRODUCT((M_BOM[Part Name]=$A86)*M_BOM[RM_Qty_Per_Batch]*IFERROR(INDEX(PP_Grid[#Data],IF(M_BOM[PPGridRow]=86,NA(),M_BOM[PPGridRow]),4),0))/25.69</f>
        <v/>
      </c>
      <c r="E86">
        <f>SUMPRODUCT((M_BOM[Part Name]=$A86)*M_BOM[RM_Qty_Per_Batch]*IFERROR(INDEX(PP_Grid[#Data],IF(M_BOM[PPGridRow]=86,NA(),M_BOM[PPGridRow]),5),0))/25.69</f>
        <v/>
      </c>
      <c r="F86">
        <f>SUMPRODUCT((M_BOM[Part Name]=$A86)*M_BOM[RM_Qty_Per_Batch]*IFERROR(INDEX(PP_Grid[#Data],IF(M_BOM[PPGridRow]=86,NA(),M_BOM[PPGridRow]),6),0))/25.69</f>
        <v/>
      </c>
      <c r="G86">
        <f>SUMPRODUCT((M_BOM[Part Name]=$A86)*M_BOM[RM_Qty_Per_Batch]*IFERROR(INDEX(PP_Grid[#Data],IF(M_BOM[PPGridRow]=86,NA(),M_BOM[PPGridRow]),7),0))/25.69</f>
        <v/>
      </c>
      <c r="H86">
        <f>SUMPRODUCT((M_BOM[Part Name]=$A86)*M_BOM[RM_Qty_Per_Batch]*IFERROR(INDEX(PP_Grid[#Data],IF(M_BOM[PPGridRow]=86,NA(),M_BOM[PPGridRow]),8),0))/25.69</f>
        <v/>
      </c>
      <c r="I86">
        <f>SUMPRODUCT((M_BOM[Part Name]=$A86)*M_BOM[RM_Qty_Per_Batch]*IFERROR(INDEX(PP_Grid[#Data],IF(M_BOM[PPGridRow]=86,NA(),M_BOM[PPGridRow]),9),0))/25.69</f>
        <v/>
      </c>
      <c r="J86">
        <f>SUMPRODUCT((M_BOM[Part Name]=$A86)*M_BOM[RM_Qty_Per_Batch]*IFERROR(INDEX(PP_Grid[#Data],IF(M_BOM[PPGridRow]=86,NA(),M_BOM[PPGridRow]),10),0))/25.69</f>
        <v/>
      </c>
      <c r="K86">
        <f>SUMPRODUCT((M_BOM[Part Name]=$A86)*M_BOM[RM_Qty_Per_Batch]*IFERROR(INDEX(PP_Grid[#Data],IF(M_BOM[PPGridRow]=86,NA(),M_BOM[PPGridRow]),11),0))/25.69</f>
        <v/>
      </c>
      <c r="L86">
        <f>SUMPRODUCT((M_BOM[Part Name]=$A86)*M_BOM[RM_Qty_Per_Batch]*IFERROR(INDEX(PP_Grid[#Data],IF(M_BOM[PPGridRow]=86,NA(),M_BOM[PPGridRow]),12),0))/25.69</f>
        <v/>
      </c>
      <c r="M86">
        <f>SUMPRODUCT((M_BOM[Part Name]=$A86)*M_BOM[RM_Qty_Per_Batch]*IFERROR(INDEX(PP_Grid[#Data],IF(M_BOM[PPGridRow]=86,NA(),M_BOM[PPGridRow]),13),0))/25.69</f>
        <v/>
      </c>
      <c r="N86">
        <f>SUMPRODUCT((M_BOM[Part Name]=$A86)*M_BOM[RM_Qty_Per_Batch]*IFERROR(INDEX(PP_Grid[#Data],IF(M_BOM[PPGridRow]=86,NA(),M_BOM[PPGridRow]),14),0))/25.69</f>
        <v/>
      </c>
      <c r="O86">
        <f>SUMPRODUCT((M_BOM[Part Name]=$A86)*M_BOM[RM_Qty_Per_Batch]*IFERROR(INDEX(PP_Grid[#Data],IF(M_BOM[PPGridRow]=86,NA(),M_BOM[PPGridRow]),15),0))/25.69</f>
        <v/>
      </c>
      <c r="P86">
        <f>SUMPRODUCT((M_BOM[Part Name]=$A86)*M_BOM[RM_Qty_Per_Batch]*IFERROR(INDEX(PP_Grid[#Data],IF(M_BOM[PPGridRow]=86,NA(),M_BOM[PPGridRow]),16),0))/25.69</f>
        <v/>
      </c>
      <c r="Q86">
        <f>SUMPRODUCT((M_BOM[Part Name]=$A86)*M_BOM[RM_Qty_Per_Batch]*IFERROR(INDEX(PP_Grid[#Data],IF(M_BOM[PPGridRow]=86,NA(),M_BOM[PPGridRow]),17),0))/25.69</f>
        <v/>
      </c>
      <c r="R86">
        <f>SUMPRODUCT((M_BOM[Part Name]=$A86)*M_BOM[RM_Qty_Per_Batch]*IFERROR(INDEX(PP_Grid[#Data],IF(M_BOM[PPGridRow]=86,NA(),M_BOM[PPGridRow]),18),0))/25.69</f>
        <v/>
      </c>
      <c r="S86">
        <f>SUMPRODUCT((M_BOM[Part Name]=$A86)*M_BOM[RM_Qty_Per_Batch]*IFERROR(INDEX(PP_Grid[#Data],IF(M_BOM[PPGridRow]=86,NA(),M_BOM[PPGridRow]),19),0))/25.69</f>
        <v/>
      </c>
      <c r="T86">
        <f>SUMPRODUCT((M_BOM[Part Name]=$A86)*M_BOM[RM_Qty_Per_Batch]*IFERROR(INDEX(PP_Grid[#Data],IF(M_BOM[PPGridRow]=86,NA(),M_BOM[PPGridRow]),20),0))/25.69</f>
        <v/>
      </c>
      <c r="U86">
        <f>SUMPRODUCT((M_BOM[Part Name]=$A86)*M_BOM[RM_Qty_Per_Batch]*IFERROR(INDEX(PP_Grid[#Data],IF(M_BOM[PPGridRow]=86,NA(),M_BOM[PPGridRow]),21),0))/25.69</f>
        <v/>
      </c>
      <c r="V86">
        <f>SUMPRODUCT((M_BOM[Part Name]=$A86)*M_BOM[RM_Qty_Per_Batch]*IFERROR(INDEX(PP_Grid[#Data],IF(M_BOM[PPGridRow]=86,NA(),M_BOM[PPGridRow]),22),0))/25.69</f>
        <v/>
      </c>
      <c r="W86">
        <f>SUMPRODUCT((M_BOM[Part Name]=$A86)*M_BOM[RM_Qty_Per_Batch]*IFERROR(INDEX(PP_Grid[#Data],IF(M_BOM[PPGridRow]=86,NA(),M_BOM[PPGridRow]),23),0))/25.69</f>
        <v/>
      </c>
      <c r="X86">
        <f>SUMPRODUCT((M_BOM[Part Name]=$A86)*M_BOM[RM_Qty_Per_Batch]*IFERROR(INDEX(PP_Grid[#Data],IF(M_BOM[PPGridRow]=86,NA(),M_BOM[PPGridRow]),24),0))/25.69</f>
        <v/>
      </c>
      <c r="Y86">
        <f>SUMPRODUCT((M_BOM[Part Name]=$A86)*M_BOM[RM_Qty_Per_Batch]*IFERROR(INDEX(PP_Grid[#Data],IF(M_BOM[PPGridRow]=86,NA(),M_BOM[PPGridRow]),25),0))/25.69</f>
        <v/>
      </c>
      <c r="Z86">
        <f>SUMPRODUCT((M_BOM[Part Name]=$A86)*M_BOM[RM_Qty_Per_Batch]*IFERROR(INDEX(PP_Grid[#Data],IF(M_BOM[PPGridRow]=86,NA(),M_BOM[PPGridRow]),26),0))/25.69</f>
        <v/>
      </c>
      <c r="AA86">
        <f>SUMPRODUCT((M_BOM[Part Name]=$A86)*M_BOM[RM_Qty_Per_Batch]*IFERROR(INDEX(PP_Grid[#Data],IF(M_BOM[PPGridRow]=86,NA(),M_BOM[PPGridRow]),27),0))/25.69</f>
        <v/>
      </c>
      <c r="AB86">
        <f>SUMPRODUCT((M_BOM[Part Name]=$A86)*M_BOM[RM_Qty_Per_Batch]*IFERROR(INDEX(PP_Grid[#Data],IF(M_BOM[PPGridRow]=86,NA(),M_BOM[PPGridRow]),28),0))/25.69</f>
        <v/>
      </c>
      <c r="AC86">
        <f>SUMPRODUCT((M_BOM[Part Name]=$A86)*M_BOM[RM_Qty_Per_Batch]*IFERROR(INDEX(PP_Grid[#Data],IF(M_BOM[PPGridRow]=86,NA(),M_BOM[PPGridRow]),29),0))/25.69</f>
        <v/>
      </c>
      <c r="AD86">
        <f>SUMPRODUCT((M_BOM[Part Name]=$A86)*M_BOM[RM_Qty_Per_Batch]*IFERROR(INDEX(PP_Grid[#Data],IF(M_BOM[PPGridRow]=86,NA(),M_BOM[PPGridRow]),30),0))/25.69</f>
        <v/>
      </c>
      <c r="AE86">
        <f>SUMPRODUCT((M_BOM[Part Name]=$A86)*M_BOM[RM_Qty_Per_Batch]*IFERROR(INDEX(PP_Grid[#Data],IF(M_BOM[PPGridRow]=86,NA(),M_BOM[PPGridRow]),31),0))/25.69</f>
        <v/>
      </c>
      <c r="AF86">
        <f>SUMPRODUCT((M_BOM[Part Name]=$A86)*M_BOM[RM_Qty_Per_Batch]*IFERROR(INDEX(PP_Grid[#Data],IF(M_BOM[PPGridRow]=86,NA(),M_BOM[PPGridRow]),32),0))/25.69</f>
        <v/>
      </c>
      <c r="AG86">
        <f>SUMPRODUCT((M_BOM[Part Name]=$A86)*M_BOM[RM_Qty_Per_Batch]*IFERROR(INDEX(PP_Grid[#Data],IF(M_BOM[PPGridRow]=86,NA(),M_BOM[PPGridRow]),33),0))/25.69</f>
        <v/>
      </c>
      <c r="AH86">
        <f>SUMPRODUCT((M_BOM[Part Name]=$A86)*M_BOM[RM_Qty_Per_Batch]*IFERROR(INDEX(PP_Grid[#Data],IF(M_BOM[PPGridRow]=86,NA(),M_BOM[PPGridRow]),34),0))/25.69</f>
        <v/>
      </c>
      <c r="AI86">
        <f>SUMPRODUCT((M_BOM[Part Name]=$A86)*M_BOM[RM_Qty_Per_Batch]*IFERROR(INDEX(PP_Grid[#Data],IF(M_BOM[PPGridRow]=86,NA(),M_BOM[PPGridRow]),35),0))/25.69</f>
        <v/>
      </c>
      <c r="AJ86">
        <f>SUMPRODUCT((M_BOM[Part Name]=$A86)*M_BOM[RM_Qty_Per_Batch]*IFERROR(INDEX(PP_Grid[#Data],IF(M_BOM[PPGridRow]=86,NA(),M_BOM[PPGridRow]),36),0))/25.69</f>
        <v/>
      </c>
      <c r="AK86">
        <f>SUMPRODUCT((M_BOM[Part Name]=$A86)*M_BOM[RM_Qty_Per_Batch]*IFERROR(INDEX(PP_Grid[#Data],IF(M_BOM[PPGridRow]=86,NA(),M_BOM[PPGridRow]),37),0))/25.69</f>
        <v/>
      </c>
      <c r="AL86">
        <f>SUMPRODUCT((M_BOM[Part Name]=$A86)*M_BOM[RM_Qty_Per_Batch]*IFERROR(INDEX(PP_Grid[#Data],IF(M_BOM[PPGridRow]=86,NA(),M_BOM[PPGridRow]),38),0))/25.69</f>
        <v/>
      </c>
      <c r="AM86">
        <f>SUMPRODUCT((M_BOM[Part Name]=$A86)*M_BOM[RM_Qty_Per_Batch]*IFERROR(INDEX(PP_Grid[#Data],IF(M_BOM[PPGridRow]=86,NA(),M_BOM[PPGridRow]),39),0))/25.69</f>
        <v/>
      </c>
      <c r="AN86">
        <f>SUMPRODUCT((M_BOM[Part Name]=$A86)*M_BOM[RM_Qty_Per_Batch]*IFERROR(INDEX(PP_Grid[#Data],IF(M_BOM[PPGridRow]=86,NA(),M_BOM[PPGridRow]),40),0))/25.69</f>
        <v/>
      </c>
      <c r="AO86">
        <f>SUMPRODUCT((M_BOM[Part Name]=$A86)*M_BOM[RM_Qty_Per_Batch]*IFERROR(INDEX(PP_Grid[#Data],IF(M_BOM[PPGridRow]=86,NA(),M_BOM[PPGridRow]),41),0))/25.69</f>
        <v/>
      </c>
      <c r="AP86">
        <f>SUMPRODUCT((M_BOM[Part Name]=$A86)*M_BOM[RM_Qty_Per_Batch]*IFERROR(INDEX(PP_Grid[#Data],IF(M_BOM[PPGridRow]=86,NA(),M_BOM[PPGridRow]),42),0))/25.69</f>
        <v/>
      </c>
      <c r="AQ86">
        <f>SUMPRODUCT((M_BOM[Part Name]=$A86)*M_BOM[RM_Qty_Per_Batch]*IFERROR(INDEX(PP_Grid[#Data],IF(M_BOM[PPGridRow]=86,NA(),M_BOM[PPGridRow]),43),0))/25.69</f>
        <v/>
      </c>
      <c r="AR86">
        <f>SUMPRODUCT((M_BOM[Part Name]=$A86)*M_BOM[RM_Qty_Per_Batch]*IFERROR(INDEX(PP_Grid[#Data],IF(M_BOM[PPGridRow]=86,NA(),M_BOM[PPGridRow]),44),0))/25.69</f>
        <v/>
      </c>
      <c r="AS86">
        <f>SUMPRODUCT((M_BOM[Part Name]=$A86)*M_BOM[RM_Qty_Per_Batch]*IFERROR(INDEX(PP_Grid[#Data],IF(M_BOM[PPGridRow]=86,NA(),M_BOM[PPGridRow]),45),0))/25.69</f>
        <v/>
      </c>
      <c r="AT86">
        <f>SUMPRODUCT((M_BOM[Part Name]=$A86)*M_BOM[RM_Qty_Per_Batch]*IFERROR(INDEX(PP_Grid[#Data],IF(M_BOM[PPGridRow]=86,NA(),M_BOM[PPGridRow]),46),0))/25.69</f>
        <v/>
      </c>
      <c r="AU86">
        <f>SUMPRODUCT((M_BOM[Part Name]=$A86)*M_BOM[RM_Qty_Per_Batch]*IFERROR(INDEX(PP_Grid[#Data],IF(M_BOM[PPGridRow]=86,NA(),M_BOM[PPGridRow]),47),0))/25.69</f>
        <v/>
      </c>
      <c r="AV86">
        <f>SUMPRODUCT((M_BOM[Part Name]=$A86)*M_BOM[RM_Qty_Per_Batch]*IFERROR(INDEX(PP_Grid[#Data],IF(M_BOM[PPGridRow]=86,NA(),M_BOM[PPGridRow]),48),0))/25.69</f>
        <v/>
      </c>
      <c r="AW86">
        <f>SUMPRODUCT((M_BOM[Part Name]=$A86)*M_BOM[RM_Qty_Per_Batch]*IFERROR(INDEX(PP_Grid[#Data],IF(M_BOM[PPGridRow]=86,NA(),M_BOM[PPGridRow]),49),0))/25.69</f>
        <v/>
      </c>
      <c r="AX86">
        <f>SUMPRODUCT((M_BOM[Part Name]=$A86)*M_BOM[RM_Qty_Per_Batch]*IFERROR(INDEX(PP_Grid[#Data],IF(M_BOM[PPGridRow]=86,NA(),M_BOM[PPGridRow]),50),0))/25.69</f>
        <v/>
      </c>
      <c r="AY86">
        <f>SUMPRODUCT((M_BOM[Part Name]=$A86)*M_BOM[RM_Qty_Per_Batch]*IFERROR(INDEX(PP_Grid[#Data],IF(M_BOM[PPGridRow]=86,NA(),M_BOM[PPGridRow]),51),0))/25.69</f>
        <v/>
      </c>
      <c r="AZ86">
        <f>SUMPRODUCT((M_BOM[Part Name]=$A86)*M_BOM[RM_Qty_Per_Batch]*IFERROR(INDEX(PP_Grid[#Data],IF(M_BOM[PPGridRow]=86,NA(),M_BOM[PPGridRow]),52),0))/25.69</f>
        <v/>
      </c>
      <c r="BA86">
        <f>SUMPRODUCT((M_BOM[Part Name]=$A86)*M_BOM[RM_Qty_Per_Batch]*IFERROR(INDEX(PP_Grid[#Data],IF(M_BOM[PPGridRow]=86,NA(),M_BOM[PPGridRow]),53),0))/25.69</f>
        <v/>
      </c>
      <c r="BB86">
        <f>SUMPRODUCT((M_BOM[Part Name]=$A86)*M_BOM[RM_Qty_Per_Batch]*IFERROR(INDEX(PP_Grid[#Data],IF(M_BOM[PPGridRow]=86,NA(),M_BOM[PPGridRow]),54),0))/25.69</f>
        <v/>
      </c>
      <c r="BC86">
        <f>SUMPRODUCT((M_BOM[Part Name]=$A86)*M_BOM[RM_Qty_Per_Batch]*IFERROR(INDEX(PP_Grid[#Data],IF(M_BOM[PPGridRow]=86,NA(),M_BOM[PPGridRow]),55),0))/25.69</f>
        <v/>
      </c>
      <c r="BD86">
        <f>SUMPRODUCT((M_BOM[Part Name]=$A86)*M_BOM[RM_Qty_Per_Batch]*IFERROR(INDEX(PP_Grid[#Data],IF(M_BOM[PPGridRow]=86,NA(),M_BOM[PPGridRow]),56),0))/25.69</f>
        <v/>
      </c>
      <c r="BE86">
        <f>SUMPRODUCT((M_BOM[Part Name]=$A86)*M_BOM[RM_Qty_Per_Batch]*IFERROR(INDEX(PP_Grid[#Data],IF(M_BOM[PPGridRow]=86,NA(),M_BOM[PPGridRow]),57),0))/25.69</f>
        <v/>
      </c>
      <c r="BF86">
        <f>SUMPRODUCT((M_BOM[Part Name]=$A86)*M_BOM[RM_Qty_Per_Batch]*IFERROR(INDEX(PP_Grid[#Data],IF(M_BOM[PPGridRow]=86,NA(),M_BOM[PPGridRow]),58),0))/25.69</f>
        <v/>
      </c>
      <c r="BG86">
        <f>SUMPRODUCT((M_BOM[Part Name]=$A86)*M_BOM[RM_Qty_Per_Batch]*IFERROR(INDEX(PP_Grid[#Data],IF(M_BOM[PPGridRow]=86,NA(),M_BOM[PPGridRow]),59),0))/25.69</f>
        <v/>
      </c>
      <c r="BH86">
        <f>SUMPRODUCT((M_BOM[Part Name]=$A86)*M_BOM[RM_Qty_Per_Batch]*IFERROR(INDEX(PP_Grid[#Data],IF(M_BOM[PPGridRow]=86,NA(),M_BOM[PPGridRow]),60),0))/25.69</f>
        <v/>
      </c>
      <c r="BI86">
        <f>SUMPRODUCT((M_BOM[Part Name]=$A86)*M_BOM[RM_Qty_Per_Batch]*IFERROR(INDEX(PP_Grid[#Data],IF(M_BOM[PPGridRow]=86,NA(),M_BOM[PPGridRow]),61),0))/25.69</f>
        <v/>
      </c>
      <c r="BJ86">
        <f>SUMPRODUCT((M_BOM[Part Name]=$A86)*M_BOM[RM_Qty_Per_Batch]*IFERROR(INDEX(PP_Grid[#Data],IF(M_BOM[PPGridRow]=86,NA(),M_BOM[PPGridRow]),62),0))/25.69</f>
        <v/>
      </c>
      <c r="BK86">
        <f>SUMPRODUCT((M_BOM[Part Name]=$A86)*M_BOM[RM_Qty_Per_Batch]*IFERROR(INDEX(PP_Grid[#Data],IF(M_BOM[PPGridRow]=86,NA(),M_BOM[PPGridRow]),63),0))/25.69</f>
        <v/>
      </c>
      <c r="BL86">
        <f>SUMPRODUCT((M_BOM[Part Name]=$A86)*M_BOM[RM_Qty_Per_Batch]*IFERROR(INDEX(PP_Grid[#Data],IF(M_BOM[PPGridRow]=86,NA(),M_BOM[PPGridRow]),64),0))/25.69</f>
        <v/>
      </c>
      <c r="BM86">
        <f>SUMPRODUCT((M_BOM[Part Name]=$A86)*M_BOM[RM_Qty_Per_Batch]*IFERROR(INDEX(PP_Grid[#Data],IF(M_BOM[PPGridRow]=86,NA(),M_BOM[PPGridRow]),65),0))/25.69</f>
        <v/>
      </c>
      <c r="BN86">
        <f>SUMPRODUCT((M_BOM[Part Name]=$A86)*M_BOM[RM_Qty_Per_Batch]*IFERROR(INDEX(PP_Grid[#Data],IF(M_BOM[PPGridRow]=86,NA(),M_BOM[PPGridRow]),66),0))/25.69</f>
        <v/>
      </c>
      <c r="BO86">
        <f>SUMPRODUCT((M_BOM[Part Name]=$A86)*M_BOM[RM_Qty_Per_Batch]*IFERROR(INDEX(PP_Grid[#Data],IF(M_BOM[PPGridRow]=86,NA(),M_BOM[PPGridRow]),67),0))/25.69</f>
        <v/>
      </c>
      <c r="BP86">
        <f>SUMPRODUCT((M_BOM[Part Name]=$A86)*M_BOM[RM_Qty_Per_Batch]*IFERROR(INDEX(PP_Grid[#Data],IF(M_BOM[PPGridRow]=86,NA(),M_BOM[PPGridRow]),68),0))/25.69</f>
        <v/>
      </c>
      <c r="BQ86">
        <f>SUMPRODUCT((M_BOM[Part Name]=$A86)*M_BOM[RM_Qty_Per_Batch]*IFERROR(INDEX(PP_Grid[#Data],IF(M_BOM[PPGridRow]=86,NA(),M_BOM[PPGridRow]),69),0))/25.69</f>
        <v/>
      </c>
      <c r="BR86">
        <f>SUMPRODUCT((M_BOM[Part Name]=$A86)*M_BOM[RM_Qty_Per_Batch]*IFERROR(INDEX(PP_Grid[#Data],IF(M_BOM[PPGridRow]=86,NA(),M_BOM[PPGridRow]),70),0))/25.69</f>
        <v/>
      </c>
      <c r="BS86">
        <f>SUMPRODUCT((M_BOM[Part Name]=$A86)*M_BOM[RM_Qty_Per_Batch]*IFERROR(INDEX(PP_Grid[#Data],IF(M_BOM[PPGridRow]=86,NA(),M_BOM[PPGridRow]),71),0))/25.69</f>
        <v/>
      </c>
      <c r="BT86">
        <f>SUMPRODUCT((M_BOM[Part Name]=$A86)*M_BOM[RM_Qty_Per_Batch]*IFERROR(INDEX(PP_Grid[#Data],IF(M_BOM[PPGridRow]=86,NA(),M_BOM[PPGridRow]),72),0))/25.69</f>
        <v/>
      </c>
      <c r="BU86">
        <f>SUMPRODUCT((M_BOM[Part Name]=$A86)*M_BOM[RM_Qty_Per_Batch]*IFERROR(INDEX(PP_Grid[#Data],IF(M_BOM[PPGridRow]=86,NA(),M_BOM[PPGridRow]),73),0))/25.69</f>
        <v/>
      </c>
      <c r="BV86">
        <f>SUMPRODUCT((M_BOM[Part Name]=$A86)*M_BOM[RM_Qty_Per_Batch]*IFERROR(INDEX(PP_Grid[#Data],IF(M_BOM[PPGridRow]=86,NA(),M_BOM[PPGridRow]),74),0))/25.69</f>
        <v/>
      </c>
      <c r="BW86">
        <f>SUMPRODUCT((M_BOM[Part Name]=$A86)*M_BOM[RM_Qty_Per_Batch]*IFERROR(INDEX(PP_Grid[#Data],IF(M_BOM[PPGridRow]=86,NA(),M_BOM[PPGridRow]),75),0))/25.69</f>
        <v/>
      </c>
      <c r="BX86">
        <f>SUMPRODUCT((M_BOM[Part Name]=$A86)*M_BOM[RM_Qty_Per_Batch]*IFERROR(INDEX(PP_Grid[#Data],IF(M_BOM[PPGridRow]=86,NA(),M_BOM[PPGridRow]),76),0))/25.69</f>
        <v/>
      </c>
      <c r="BY86">
        <f>SUMPRODUCT((M_BOM[Part Name]=$A86)*M_BOM[RM_Qty_Per_Batch]*IFERROR(INDEX(PP_Grid[#Data],IF(M_BOM[PPGridRow]=86,NA(),M_BOM[PPGridRow]),77),0))/25.69</f>
        <v/>
      </c>
      <c r="BZ86">
        <f>SUMPRODUCT((M_BOM[Part Name]=$A86)*M_BOM[RM_Qty_Per_Batch]*IFERROR(INDEX(PP_Grid[#Data],IF(M_BOM[PPGridRow]=86,NA(),M_BOM[PPGridRow]),78),0))/25.69</f>
        <v/>
      </c>
      <c r="CA86">
        <f>SUMPRODUCT((M_BOM[Part Name]=$A86)*M_BOM[RM_Qty_Per_Batch]*IFERROR(INDEX(PP_Grid[#Data],IF(M_BOM[PPGridRow]=86,NA(),M_BOM[PPGridRow]),79),0))/25.69</f>
        <v/>
      </c>
      <c r="CB86">
        <f>SUMPRODUCT((M_BOM[Part Name]=$A86)*M_BOM[RM_Qty_Per_Batch]*IFERROR(INDEX(PP_Grid[#Data],IF(M_BOM[PPGridRow]=86,NA(),M_BOM[PPGridRow]),80),0))/25.69</f>
        <v/>
      </c>
      <c r="CC86">
        <f>SUMPRODUCT((M_BOM[Part Name]=$A86)*M_BOM[RM_Qty_Per_Batch]*IFERROR(INDEX(PP_Grid[#Data],IF(M_BOM[PPGridRow]=86,NA(),M_BOM[PPGridRow]),81),0))/25.69</f>
        <v/>
      </c>
      <c r="CD86">
        <f>SUMPRODUCT((M_BOM[Part Name]=$A86)*M_BOM[RM_Qty_Per_Batch]*IFERROR(INDEX(PP_Grid[#Data],IF(M_BOM[PPGridRow]=86,NA(),M_BOM[PPGridRow]),82),0))/25.69</f>
        <v/>
      </c>
      <c r="CE86">
        <f>SUMPRODUCT((M_BOM[Part Name]=$A86)*M_BOM[RM_Qty_Per_Batch]*IFERROR(INDEX(PP_Grid[#Data],IF(M_BOM[PPGridRow]=86,NA(),M_BOM[PPGridRow]),83),0))/25.69</f>
        <v/>
      </c>
      <c r="CF86">
        <f>SUMPRODUCT((M_BOM[Part Name]=$A86)*M_BOM[RM_Qty_Per_Batch]*IFERROR(INDEX(PP_Grid[#Data],IF(M_BOM[PPGridRow]=86,NA(),M_BOM[PPGridRow]),84),0))/25.69</f>
        <v/>
      </c>
      <c r="CG86">
        <f>SUMPRODUCT((M_BOM[Part Name]=$A86)*M_BOM[RM_Qty_Per_Batch]*IFERROR(INDEX(PP_Grid[#Data],IF(M_BOM[PPGridRow]=86,NA(),M_BOM[PPGridRow]),85),0))/25.69</f>
        <v/>
      </c>
      <c r="CH86">
        <f>SUMPRODUCT((M_BOM[Part Name]=$A86)*M_BOM[RM_Qty_Per_Batch]*IFERROR(INDEX(PP_Grid[#Data],IF(M_BOM[PPGridRow]=86,NA(),M_BOM[PPGridRow]),86),0))/25.69</f>
        <v/>
      </c>
      <c r="CI86">
        <f>SUMPRODUCT((M_BOM[Part Name]=$A86)*M_BOM[RM_Qty_Per_Batch]*IFERROR(INDEX(PP_Grid[#Data],IF(M_BOM[PPGridRow]=86,NA(),M_BOM[PPGridRow]),87),0))/25.69</f>
        <v/>
      </c>
      <c r="CJ86">
        <f>SUMPRODUCT((M_BOM[Part Name]=$A86)*M_BOM[RM_Qty_Per_Batch]*IFERROR(INDEX(PP_Grid[#Data],IF(M_BOM[PPGridRow]=86,NA(),M_BOM[PPGridRow]),88),0))/25.69</f>
        <v/>
      </c>
      <c r="CK86">
        <f>SUMPRODUCT((M_BOM[Part Name]=$A86)*M_BOM[RM_Qty_Per_Batch]*IFERROR(INDEX(PP_Grid[#Data],IF(M_BOM[PPGridRow]=86,NA(),M_BOM[PPGridRow]),89),0))/25.69</f>
        <v/>
      </c>
      <c r="CL86">
        <f>SUMPRODUCT((M_BOM[Part Name]=$A86)*M_BOM[RM_Qty_Per_Batch]*IFERROR(INDEX(PP_Grid[#Data],IF(M_BOM[PPGridRow]=86,NA(),M_BOM[PPGridRow]),90),0))/25.69</f>
        <v/>
      </c>
      <c r="CM86">
        <f>SUMPRODUCT((M_BOM[Part Name]=$A86)*M_BOM[RM_Qty_Per_Batch]*IFERROR(INDEX(PP_Grid[#Data],IF(M_BOM[PPGridRow]=86,NA(),M_BOM[PPGridRow]),91),0))/25.69</f>
        <v/>
      </c>
      <c r="CN86">
        <f>SUMPRODUCT((M_BOM[Part Name]=$A86)*M_BOM[RM_Qty_Per_Batch]*IFERROR(INDEX(PP_Grid[#Data],IF(M_BOM[PPGridRow]=86,NA(),M_BOM[PPGridRow]),92),0))/25.69</f>
        <v/>
      </c>
      <c r="CO86">
        <f>SUMPRODUCT((M_BOM[Part Name]=$A86)*M_BOM[RM_Qty_Per_Batch]*IFERROR(INDEX(PP_Grid[#Data],IF(M_BOM[PPGridRow]=86,NA(),M_BOM[PPGridRow]),93),0))/25.69</f>
        <v/>
      </c>
      <c r="CP86">
        <f>SUMPRODUCT((M_BOM[Part Name]=$A86)*M_BOM[RM_Qty_Per_Batch]*IFERROR(INDEX(PP_Grid[#Data],IF(M_BOM[PPGridRow]=86,NA(),M_BOM[PPGridRow]),94),0))/25.69</f>
        <v/>
      </c>
      <c r="CQ86">
        <f>SUMPRODUCT((M_BOM[Part Name]=$A86)*M_BOM[RM_Qty_Per_Batch]*IFERROR(INDEX(PP_Grid[#Data],IF(M_BOM[PPGridRow]=86,NA(),M_BOM[PPGridRow]),95),0))/25.69</f>
        <v/>
      </c>
      <c r="CR86">
        <f>SUMPRODUCT((M_BOM[Part Name]=$A86)*M_BOM[RM_Qty_Per_Batch]*IFERROR(INDEX(PP_Grid[#Data],IF(M_BOM[PPGridRow]=86,NA(),M_BOM[PPGridRow]),96),0))/25.69</f>
        <v/>
      </c>
      <c r="CS86">
        <f>SUMPRODUCT((M_BOM[Part Name]=$A86)*M_BOM[RM_Qty_Per_Batch]*IFERROR(INDEX(PP_Grid[#Data],IF(M_BOM[PPGridRow]=86,NA(),M_BOM[PPGridRow]),97),0))/25.69</f>
        <v/>
      </c>
      <c r="CT86">
        <f>SUMPRODUCT((M_BOM[Part Name]=$A86)*M_BOM[RM_Qty_Per_Batch]*IFERROR(INDEX(PP_Grid[#Data],IF(M_BOM[PPGridRow]=86,NA(),M_BOM[PPGridRow]),98),0))/25.69</f>
        <v/>
      </c>
      <c r="CU86">
        <f>SUMPRODUCT((M_BOM[Part Name]=$A86)*M_BOM[RM_Qty_Per_Batch]*IFERROR(INDEX(PP_Grid[#Data],IF(M_BOM[PPGridRow]=86,NA(),M_BOM[PPGridRow]),99),0))/25.69</f>
        <v/>
      </c>
      <c r="CV86">
        <f>SUMPRODUCT((M_BOM[Part Name]=$A86)*M_BOM[RM_Qty_Per_Batch]*IFERROR(INDEX(PP_Grid[#Data],IF(M_BOM[PPGridRow]=86,NA(),M_BOM[PPGridRow]),100),0))/25.69</f>
        <v/>
      </c>
      <c r="CW86">
        <f>SUMPRODUCT((M_BOM[Part Name]=$A86)*M_BOM[RM_Qty_Per_Batch]*IFERROR(INDEX(PP_Grid[#Data],IF(M_BOM[PPGridRow]=86,NA(),M_BOM[PPGridRow]),101),0))/25.69</f>
        <v/>
      </c>
      <c r="CX86">
        <f>SUMPRODUCT((M_BOM[Part Name]=$A86)*M_BOM[RM_Qty_Per_Batch]*IFERROR(INDEX(PP_Grid[#Data],IF(M_BOM[PPGridRow]=86,NA(),M_BOM[PPGridRow]),102),0))/25.69</f>
        <v/>
      </c>
      <c r="CY86">
        <f>SUMPRODUCT((M_BOM[Part Name]=$A86)*M_BOM[RM_Qty_Per_Batch]*IFERROR(INDEX(PP_Grid[#Data],IF(M_BOM[PPGridRow]=86,NA(),M_BOM[PPGridRow]),103),0))/25.69</f>
        <v/>
      </c>
      <c r="CZ86">
        <f>SUMPRODUCT((M_BOM[Part Name]=$A86)*M_BOM[RM_Qty_Per_Batch]*IFERROR(INDEX(PP_Grid[#Data],IF(M_BOM[PPGridRow]=86,NA(),M_BOM[PPGridRow]),104),0))/25.69</f>
        <v/>
      </c>
      <c r="DA86">
        <f>SUMPRODUCT((M_BOM[Part Name]=$A86)*M_BOM[RM_Qty_Per_Batch]*IFERROR(INDEX(PP_Grid[#Data],IF(M_BOM[PPGridRow]=86,NA(),M_BOM[PPGridRow]),105),0))/25.69</f>
        <v/>
      </c>
    </row>
    <row r="87">
      <c r="A87" t="inlineStr">
        <is>
          <t>TPP-915</t>
        </is>
      </c>
      <c r="B87">
        <f>SUMPRODUCT((M_BOM[Part Name]=$A87)*M_BOM[RM_Qty_Per_Batch]*IFERROR(INDEX(PP_Grid[#Data],IF(M_BOM[PPGridRow]=87,NA(),M_BOM[PPGridRow]),2),0))/25.35</f>
        <v/>
      </c>
      <c r="C87">
        <f>SUMPRODUCT((M_BOM[Part Name]=$A87)*M_BOM[RM_Qty_Per_Batch]*IFERROR(INDEX(PP_Grid[#Data],IF(M_BOM[PPGridRow]=87,NA(),M_BOM[PPGridRow]),3),0))/25.35</f>
        <v/>
      </c>
      <c r="D87">
        <f>SUMPRODUCT((M_BOM[Part Name]=$A87)*M_BOM[RM_Qty_Per_Batch]*IFERROR(INDEX(PP_Grid[#Data],IF(M_BOM[PPGridRow]=87,NA(),M_BOM[PPGridRow]),4),0))/25.35</f>
        <v/>
      </c>
      <c r="E87">
        <f>SUMPRODUCT((M_BOM[Part Name]=$A87)*M_BOM[RM_Qty_Per_Batch]*IFERROR(INDEX(PP_Grid[#Data],IF(M_BOM[PPGridRow]=87,NA(),M_BOM[PPGridRow]),5),0))/25.35</f>
        <v/>
      </c>
      <c r="F87">
        <f>SUMPRODUCT((M_BOM[Part Name]=$A87)*M_BOM[RM_Qty_Per_Batch]*IFERROR(INDEX(PP_Grid[#Data],IF(M_BOM[PPGridRow]=87,NA(),M_BOM[PPGridRow]),6),0))/25.35</f>
        <v/>
      </c>
      <c r="G87">
        <f>SUMPRODUCT((M_BOM[Part Name]=$A87)*M_BOM[RM_Qty_Per_Batch]*IFERROR(INDEX(PP_Grid[#Data],IF(M_BOM[PPGridRow]=87,NA(),M_BOM[PPGridRow]),7),0))/25.35</f>
        <v/>
      </c>
      <c r="H87">
        <f>SUMPRODUCT((M_BOM[Part Name]=$A87)*M_BOM[RM_Qty_Per_Batch]*IFERROR(INDEX(PP_Grid[#Data],IF(M_BOM[PPGridRow]=87,NA(),M_BOM[PPGridRow]),8),0))/25.35</f>
        <v/>
      </c>
      <c r="I87">
        <f>SUMPRODUCT((M_BOM[Part Name]=$A87)*M_BOM[RM_Qty_Per_Batch]*IFERROR(INDEX(PP_Grid[#Data],IF(M_BOM[PPGridRow]=87,NA(),M_BOM[PPGridRow]),9),0))/25.35</f>
        <v/>
      </c>
      <c r="J87">
        <f>SUMPRODUCT((M_BOM[Part Name]=$A87)*M_BOM[RM_Qty_Per_Batch]*IFERROR(INDEX(PP_Grid[#Data],IF(M_BOM[PPGridRow]=87,NA(),M_BOM[PPGridRow]),10),0))/25.35</f>
        <v/>
      </c>
      <c r="K87">
        <f>SUMPRODUCT((M_BOM[Part Name]=$A87)*M_BOM[RM_Qty_Per_Batch]*IFERROR(INDEX(PP_Grid[#Data],IF(M_BOM[PPGridRow]=87,NA(),M_BOM[PPGridRow]),11),0))/25.35</f>
        <v/>
      </c>
      <c r="L87">
        <f>SUMPRODUCT((M_BOM[Part Name]=$A87)*M_BOM[RM_Qty_Per_Batch]*IFERROR(INDEX(PP_Grid[#Data],IF(M_BOM[PPGridRow]=87,NA(),M_BOM[PPGridRow]),12),0))/25.35</f>
        <v/>
      </c>
      <c r="M87">
        <f>SUMPRODUCT((M_BOM[Part Name]=$A87)*M_BOM[RM_Qty_Per_Batch]*IFERROR(INDEX(PP_Grid[#Data],IF(M_BOM[PPGridRow]=87,NA(),M_BOM[PPGridRow]),13),0))/25.35</f>
        <v/>
      </c>
      <c r="N87">
        <f>SUMPRODUCT((M_BOM[Part Name]=$A87)*M_BOM[RM_Qty_Per_Batch]*IFERROR(INDEX(PP_Grid[#Data],IF(M_BOM[PPGridRow]=87,NA(),M_BOM[PPGridRow]),14),0))/25.35</f>
        <v/>
      </c>
      <c r="O87">
        <f>SUMPRODUCT((M_BOM[Part Name]=$A87)*M_BOM[RM_Qty_Per_Batch]*IFERROR(INDEX(PP_Grid[#Data],IF(M_BOM[PPGridRow]=87,NA(),M_BOM[PPGridRow]),15),0))/25.35</f>
        <v/>
      </c>
      <c r="P87">
        <f>SUMPRODUCT((M_BOM[Part Name]=$A87)*M_BOM[RM_Qty_Per_Batch]*IFERROR(INDEX(PP_Grid[#Data],IF(M_BOM[PPGridRow]=87,NA(),M_BOM[PPGridRow]),16),0))/25.35</f>
        <v/>
      </c>
      <c r="Q87">
        <f>SUMPRODUCT((M_BOM[Part Name]=$A87)*M_BOM[RM_Qty_Per_Batch]*IFERROR(INDEX(PP_Grid[#Data],IF(M_BOM[PPGridRow]=87,NA(),M_BOM[PPGridRow]),17),0))/25.35</f>
        <v/>
      </c>
      <c r="R87">
        <f>SUMPRODUCT((M_BOM[Part Name]=$A87)*M_BOM[RM_Qty_Per_Batch]*IFERROR(INDEX(PP_Grid[#Data],IF(M_BOM[PPGridRow]=87,NA(),M_BOM[PPGridRow]),18),0))/25.35</f>
        <v/>
      </c>
      <c r="S87">
        <f>SUMPRODUCT((M_BOM[Part Name]=$A87)*M_BOM[RM_Qty_Per_Batch]*IFERROR(INDEX(PP_Grid[#Data],IF(M_BOM[PPGridRow]=87,NA(),M_BOM[PPGridRow]),19),0))/25.35</f>
        <v/>
      </c>
      <c r="T87">
        <f>SUMPRODUCT((M_BOM[Part Name]=$A87)*M_BOM[RM_Qty_Per_Batch]*IFERROR(INDEX(PP_Grid[#Data],IF(M_BOM[PPGridRow]=87,NA(),M_BOM[PPGridRow]),20),0))/25.35</f>
        <v/>
      </c>
      <c r="U87">
        <f>SUMPRODUCT((M_BOM[Part Name]=$A87)*M_BOM[RM_Qty_Per_Batch]*IFERROR(INDEX(PP_Grid[#Data],IF(M_BOM[PPGridRow]=87,NA(),M_BOM[PPGridRow]),21),0))/25.35</f>
        <v/>
      </c>
      <c r="V87">
        <f>SUMPRODUCT((M_BOM[Part Name]=$A87)*M_BOM[RM_Qty_Per_Batch]*IFERROR(INDEX(PP_Grid[#Data],IF(M_BOM[PPGridRow]=87,NA(),M_BOM[PPGridRow]),22),0))/25.35</f>
        <v/>
      </c>
      <c r="W87">
        <f>SUMPRODUCT((M_BOM[Part Name]=$A87)*M_BOM[RM_Qty_Per_Batch]*IFERROR(INDEX(PP_Grid[#Data],IF(M_BOM[PPGridRow]=87,NA(),M_BOM[PPGridRow]),23),0))/25.35</f>
        <v/>
      </c>
      <c r="X87">
        <f>SUMPRODUCT((M_BOM[Part Name]=$A87)*M_BOM[RM_Qty_Per_Batch]*IFERROR(INDEX(PP_Grid[#Data],IF(M_BOM[PPGridRow]=87,NA(),M_BOM[PPGridRow]),24),0))/25.35</f>
        <v/>
      </c>
      <c r="Y87">
        <f>SUMPRODUCT((M_BOM[Part Name]=$A87)*M_BOM[RM_Qty_Per_Batch]*IFERROR(INDEX(PP_Grid[#Data],IF(M_BOM[PPGridRow]=87,NA(),M_BOM[PPGridRow]),25),0))/25.35</f>
        <v/>
      </c>
      <c r="Z87">
        <f>SUMPRODUCT((M_BOM[Part Name]=$A87)*M_BOM[RM_Qty_Per_Batch]*IFERROR(INDEX(PP_Grid[#Data],IF(M_BOM[PPGridRow]=87,NA(),M_BOM[PPGridRow]),26),0))/25.35</f>
        <v/>
      </c>
      <c r="AA87">
        <f>SUMPRODUCT((M_BOM[Part Name]=$A87)*M_BOM[RM_Qty_Per_Batch]*IFERROR(INDEX(PP_Grid[#Data],IF(M_BOM[PPGridRow]=87,NA(),M_BOM[PPGridRow]),27),0))/25.35</f>
        <v/>
      </c>
      <c r="AB87">
        <f>SUMPRODUCT((M_BOM[Part Name]=$A87)*M_BOM[RM_Qty_Per_Batch]*IFERROR(INDEX(PP_Grid[#Data],IF(M_BOM[PPGridRow]=87,NA(),M_BOM[PPGridRow]),28),0))/25.35</f>
        <v/>
      </c>
      <c r="AC87">
        <f>SUMPRODUCT((M_BOM[Part Name]=$A87)*M_BOM[RM_Qty_Per_Batch]*IFERROR(INDEX(PP_Grid[#Data],IF(M_BOM[PPGridRow]=87,NA(),M_BOM[PPGridRow]),29),0))/25.35</f>
        <v/>
      </c>
      <c r="AD87">
        <f>SUMPRODUCT((M_BOM[Part Name]=$A87)*M_BOM[RM_Qty_Per_Batch]*IFERROR(INDEX(PP_Grid[#Data],IF(M_BOM[PPGridRow]=87,NA(),M_BOM[PPGridRow]),30),0))/25.35</f>
        <v/>
      </c>
      <c r="AE87">
        <f>SUMPRODUCT((M_BOM[Part Name]=$A87)*M_BOM[RM_Qty_Per_Batch]*IFERROR(INDEX(PP_Grid[#Data],IF(M_BOM[PPGridRow]=87,NA(),M_BOM[PPGridRow]),31),0))/25.35</f>
        <v/>
      </c>
      <c r="AF87">
        <f>SUMPRODUCT((M_BOM[Part Name]=$A87)*M_BOM[RM_Qty_Per_Batch]*IFERROR(INDEX(PP_Grid[#Data],IF(M_BOM[PPGridRow]=87,NA(),M_BOM[PPGridRow]),32),0))/25.35</f>
        <v/>
      </c>
      <c r="AG87">
        <f>SUMPRODUCT((M_BOM[Part Name]=$A87)*M_BOM[RM_Qty_Per_Batch]*IFERROR(INDEX(PP_Grid[#Data],IF(M_BOM[PPGridRow]=87,NA(),M_BOM[PPGridRow]),33),0))/25.35</f>
        <v/>
      </c>
      <c r="AH87">
        <f>SUMPRODUCT((M_BOM[Part Name]=$A87)*M_BOM[RM_Qty_Per_Batch]*IFERROR(INDEX(PP_Grid[#Data],IF(M_BOM[PPGridRow]=87,NA(),M_BOM[PPGridRow]),34),0))/25.35</f>
        <v/>
      </c>
      <c r="AI87">
        <f>SUMPRODUCT((M_BOM[Part Name]=$A87)*M_BOM[RM_Qty_Per_Batch]*IFERROR(INDEX(PP_Grid[#Data],IF(M_BOM[PPGridRow]=87,NA(),M_BOM[PPGridRow]),35),0))/25.35</f>
        <v/>
      </c>
      <c r="AJ87">
        <f>SUMPRODUCT((M_BOM[Part Name]=$A87)*M_BOM[RM_Qty_Per_Batch]*IFERROR(INDEX(PP_Grid[#Data],IF(M_BOM[PPGridRow]=87,NA(),M_BOM[PPGridRow]),36),0))/25.35</f>
        <v/>
      </c>
      <c r="AK87">
        <f>SUMPRODUCT((M_BOM[Part Name]=$A87)*M_BOM[RM_Qty_Per_Batch]*IFERROR(INDEX(PP_Grid[#Data],IF(M_BOM[PPGridRow]=87,NA(),M_BOM[PPGridRow]),37),0))/25.35</f>
        <v/>
      </c>
      <c r="AL87">
        <f>SUMPRODUCT((M_BOM[Part Name]=$A87)*M_BOM[RM_Qty_Per_Batch]*IFERROR(INDEX(PP_Grid[#Data],IF(M_BOM[PPGridRow]=87,NA(),M_BOM[PPGridRow]),38),0))/25.35</f>
        <v/>
      </c>
      <c r="AM87">
        <f>SUMPRODUCT((M_BOM[Part Name]=$A87)*M_BOM[RM_Qty_Per_Batch]*IFERROR(INDEX(PP_Grid[#Data],IF(M_BOM[PPGridRow]=87,NA(),M_BOM[PPGridRow]),39),0))/25.35</f>
        <v/>
      </c>
      <c r="AN87">
        <f>SUMPRODUCT((M_BOM[Part Name]=$A87)*M_BOM[RM_Qty_Per_Batch]*IFERROR(INDEX(PP_Grid[#Data],IF(M_BOM[PPGridRow]=87,NA(),M_BOM[PPGridRow]),40),0))/25.35</f>
        <v/>
      </c>
      <c r="AO87">
        <f>SUMPRODUCT((M_BOM[Part Name]=$A87)*M_BOM[RM_Qty_Per_Batch]*IFERROR(INDEX(PP_Grid[#Data],IF(M_BOM[PPGridRow]=87,NA(),M_BOM[PPGridRow]),41),0))/25.35</f>
        <v/>
      </c>
      <c r="AP87">
        <f>SUMPRODUCT((M_BOM[Part Name]=$A87)*M_BOM[RM_Qty_Per_Batch]*IFERROR(INDEX(PP_Grid[#Data],IF(M_BOM[PPGridRow]=87,NA(),M_BOM[PPGridRow]),42),0))/25.35</f>
        <v/>
      </c>
      <c r="AQ87">
        <f>SUMPRODUCT((M_BOM[Part Name]=$A87)*M_BOM[RM_Qty_Per_Batch]*IFERROR(INDEX(PP_Grid[#Data],IF(M_BOM[PPGridRow]=87,NA(),M_BOM[PPGridRow]),43),0))/25.35</f>
        <v/>
      </c>
      <c r="AR87">
        <f>SUMPRODUCT((M_BOM[Part Name]=$A87)*M_BOM[RM_Qty_Per_Batch]*IFERROR(INDEX(PP_Grid[#Data],IF(M_BOM[PPGridRow]=87,NA(),M_BOM[PPGridRow]),44),0))/25.35</f>
        <v/>
      </c>
      <c r="AS87">
        <f>SUMPRODUCT((M_BOM[Part Name]=$A87)*M_BOM[RM_Qty_Per_Batch]*IFERROR(INDEX(PP_Grid[#Data],IF(M_BOM[PPGridRow]=87,NA(),M_BOM[PPGridRow]),45),0))/25.35</f>
        <v/>
      </c>
      <c r="AT87">
        <f>SUMPRODUCT((M_BOM[Part Name]=$A87)*M_BOM[RM_Qty_Per_Batch]*IFERROR(INDEX(PP_Grid[#Data],IF(M_BOM[PPGridRow]=87,NA(),M_BOM[PPGridRow]),46),0))/25.35</f>
        <v/>
      </c>
      <c r="AU87">
        <f>SUMPRODUCT((M_BOM[Part Name]=$A87)*M_BOM[RM_Qty_Per_Batch]*IFERROR(INDEX(PP_Grid[#Data],IF(M_BOM[PPGridRow]=87,NA(),M_BOM[PPGridRow]),47),0))/25.35</f>
        <v/>
      </c>
      <c r="AV87">
        <f>SUMPRODUCT((M_BOM[Part Name]=$A87)*M_BOM[RM_Qty_Per_Batch]*IFERROR(INDEX(PP_Grid[#Data],IF(M_BOM[PPGridRow]=87,NA(),M_BOM[PPGridRow]),48),0))/25.35</f>
        <v/>
      </c>
      <c r="AW87">
        <f>SUMPRODUCT((M_BOM[Part Name]=$A87)*M_BOM[RM_Qty_Per_Batch]*IFERROR(INDEX(PP_Grid[#Data],IF(M_BOM[PPGridRow]=87,NA(),M_BOM[PPGridRow]),49),0))/25.35</f>
        <v/>
      </c>
      <c r="AX87">
        <f>SUMPRODUCT((M_BOM[Part Name]=$A87)*M_BOM[RM_Qty_Per_Batch]*IFERROR(INDEX(PP_Grid[#Data],IF(M_BOM[PPGridRow]=87,NA(),M_BOM[PPGridRow]),50),0))/25.35</f>
        <v/>
      </c>
      <c r="AY87">
        <f>SUMPRODUCT((M_BOM[Part Name]=$A87)*M_BOM[RM_Qty_Per_Batch]*IFERROR(INDEX(PP_Grid[#Data],IF(M_BOM[PPGridRow]=87,NA(),M_BOM[PPGridRow]),51),0))/25.35</f>
        <v/>
      </c>
      <c r="AZ87">
        <f>SUMPRODUCT((M_BOM[Part Name]=$A87)*M_BOM[RM_Qty_Per_Batch]*IFERROR(INDEX(PP_Grid[#Data],IF(M_BOM[PPGridRow]=87,NA(),M_BOM[PPGridRow]),52),0))/25.35</f>
        <v/>
      </c>
      <c r="BA87">
        <f>SUMPRODUCT((M_BOM[Part Name]=$A87)*M_BOM[RM_Qty_Per_Batch]*IFERROR(INDEX(PP_Grid[#Data],IF(M_BOM[PPGridRow]=87,NA(),M_BOM[PPGridRow]),53),0))/25.35</f>
        <v/>
      </c>
      <c r="BB87">
        <f>SUMPRODUCT((M_BOM[Part Name]=$A87)*M_BOM[RM_Qty_Per_Batch]*IFERROR(INDEX(PP_Grid[#Data],IF(M_BOM[PPGridRow]=87,NA(),M_BOM[PPGridRow]),54),0))/25.35</f>
        <v/>
      </c>
      <c r="BC87">
        <f>SUMPRODUCT((M_BOM[Part Name]=$A87)*M_BOM[RM_Qty_Per_Batch]*IFERROR(INDEX(PP_Grid[#Data],IF(M_BOM[PPGridRow]=87,NA(),M_BOM[PPGridRow]),55),0))/25.35</f>
        <v/>
      </c>
      <c r="BD87">
        <f>SUMPRODUCT((M_BOM[Part Name]=$A87)*M_BOM[RM_Qty_Per_Batch]*IFERROR(INDEX(PP_Grid[#Data],IF(M_BOM[PPGridRow]=87,NA(),M_BOM[PPGridRow]),56),0))/25.35</f>
        <v/>
      </c>
      <c r="BE87">
        <f>SUMPRODUCT((M_BOM[Part Name]=$A87)*M_BOM[RM_Qty_Per_Batch]*IFERROR(INDEX(PP_Grid[#Data],IF(M_BOM[PPGridRow]=87,NA(),M_BOM[PPGridRow]),57),0))/25.35</f>
        <v/>
      </c>
      <c r="BF87">
        <f>SUMPRODUCT((M_BOM[Part Name]=$A87)*M_BOM[RM_Qty_Per_Batch]*IFERROR(INDEX(PP_Grid[#Data],IF(M_BOM[PPGridRow]=87,NA(),M_BOM[PPGridRow]),58),0))/25.35</f>
        <v/>
      </c>
      <c r="BG87">
        <f>SUMPRODUCT((M_BOM[Part Name]=$A87)*M_BOM[RM_Qty_Per_Batch]*IFERROR(INDEX(PP_Grid[#Data],IF(M_BOM[PPGridRow]=87,NA(),M_BOM[PPGridRow]),59),0))/25.35</f>
        <v/>
      </c>
      <c r="BH87">
        <f>SUMPRODUCT((M_BOM[Part Name]=$A87)*M_BOM[RM_Qty_Per_Batch]*IFERROR(INDEX(PP_Grid[#Data],IF(M_BOM[PPGridRow]=87,NA(),M_BOM[PPGridRow]),60),0))/25.35</f>
        <v/>
      </c>
      <c r="BI87">
        <f>SUMPRODUCT((M_BOM[Part Name]=$A87)*M_BOM[RM_Qty_Per_Batch]*IFERROR(INDEX(PP_Grid[#Data],IF(M_BOM[PPGridRow]=87,NA(),M_BOM[PPGridRow]),61),0))/25.35</f>
        <v/>
      </c>
      <c r="BJ87">
        <f>SUMPRODUCT((M_BOM[Part Name]=$A87)*M_BOM[RM_Qty_Per_Batch]*IFERROR(INDEX(PP_Grid[#Data],IF(M_BOM[PPGridRow]=87,NA(),M_BOM[PPGridRow]),62),0))/25.35</f>
        <v/>
      </c>
      <c r="BK87">
        <f>SUMPRODUCT((M_BOM[Part Name]=$A87)*M_BOM[RM_Qty_Per_Batch]*IFERROR(INDEX(PP_Grid[#Data],IF(M_BOM[PPGridRow]=87,NA(),M_BOM[PPGridRow]),63),0))/25.35</f>
        <v/>
      </c>
      <c r="BL87">
        <f>SUMPRODUCT((M_BOM[Part Name]=$A87)*M_BOM[RM_Qty_Per_Batch]*IFERROR(INDEX(PP_Grid[#Data],IF(M_BOM[PPGridRow]=87,NA(),M_BOM[PPGridRow]),64),0))/25.35</f>
        <v/>
      </c>
      <c r="BM87">
        <f>SUMPRODUCT((M_BOM[Part Name]=$A87)*M_BOM[RM_Qty_Per_Batch]*IFERROR(INDEX(PP_Grid[#Data],IF(M_BOM[PPGridRow]=87,NA(),M_BOM[PPGridRow]),65),0))/25.35</f>
        <v/>
      </c>
      <c r="BN87">
        <f>SUMPRODUCT((M_BOM[Part Name]=$A87)*M_BOM[RM_Qty_Per_Batch]*IFERROR(INDEX(PP_Grid[#Data],IF(M_BOM[PPGridRow]=87,NA(),M_BOM[PPGridRow]),66),0))/25.35</f>
        <v/>
      </c>
      <c r="BO87">
        <f>SUMPRODUCT((M_BOM[Part Name]=$A87)*M_BOM[RM_Qty_Per_Batch]*IFERROR(INDEX(PP_Grid[#Data],IF(M_BOM[PPGridRow]=87,NA(),M_BOM[PPGridRow]),67),0))/25.35</f>
        <v/>
      </c>
      <c r="BP87">
        <f>SUMPRODUCT((M_BOM[Part Name]=$A87)*M_BOM[RM_Qty_Per_Batch]*IFERROR(INDEX(PP_Grid[#Data],IF(M_BOM[PPGridRow]=87,NA(),M_BOM[PPGridRow]),68),0))/25.35</f>
        <v/>
      </c>
      <c r="BQ87">
        <f>SUMPRODUCT((M_BOM[Part Name]=$A87)*M_BOM[RM_Qty_Per_Batch]*IFERROR(INDEX(PP_Grid[#Data],IF(M_BOM[PPGridRow]=87,NA(),M_BOM[PPGridRow]),69),0))/25.35</f>
        <v/>
      </c>
      <c r="BR87">
        <f>SUMPRODUCT((M_BOM[Part Name]=$A87)*M_BOM[RM_Qty_Per_Batch]*IFERROR(INDEX(PP_Grid[#Data],IF(M_BOM[PPGridRow]=87,NA(),M_BOM[PPGridRow]),70),0))/25.35</f>
        <v/>
      </c>
      <c r="BS87">
        <f>SUMPRODUCT((M_BOM[Part Name]=$A87)*M_BOM[RM_Qty_Per_Batch]*IFERROR(INDEX(PP_Grid[#Data],IF(M_BOM[PPGridRow]=87,NA(),M_BOM[PPGridRow]),71),0))/25.35</f>
        <v/>
      </c>
      <c r="BT87">
        <f>SUMPRODUCT((M_BOM[Part Name]=$A87)*M_BOM[RM_Qty_Per_Batch]*IFERROR(INDEX(PP_Grid[#Data],IF(M_BOM[PPGridRow]=87,NA(),M_BOM[PPGridRow]),72),0))/25.35</f>
        <v/>
      </c>
      <c r="BU87">
        <f>SUMPRODUCT((M_BOM[Part Name]=$A87)*M_BOM[RM_Qty_Per_Batch]*IFERROR(INDEX(PP_Grid[#Data],IF(M_BOM[PPGridRow]=87,NA(),M_BOM[PPGridRow]),73),0))/25.35</f>
        <v/>
      </c>
      <c r="BV87">
        <f>SUMPRODUCT((M_BOM[Part Name]=$A87)*M_BOM[RM_Qty_Per_Batch]*IFERROR(INDEX(PP_Grid[#Data],IF(M_BOM[PPGridRow]=87,NA(),M_BOM[PPGridRow]),74),0))/25.35</f>
        <v/>
      </c>
      <c r="BW87">
        <f>SUMPRODUCT((M_BOM[Part Name]=$A87)*M_BOM[RM_Qty_Per_Batch]*IFERROR(INDEX(PP_Grid[#Data],IF(M_BOM[PPGridRow]=87,NA(),M_BOM[PPGridRow]),75),0))/25.35</f>
        <v/>
      </c>
      <c r="BX87">
        <f>SUMPRODUCT((M_BOM[Part Name]=$A87)*M_BOM[RM_Qty_Per_Batch]*IFERROR(INDEX(PP_Grid[#Data],IF(M_BOM[PPGridRow]=87,NA(),M_BOM[PPGridRow]),76),0))/25.35</f>
        <v/>
      </c>
      <c r="BY87">
        <f>SUMPRODUCT((M_BOM[Part Name]=$A87)*M_BOM[RM_Qty_Per_Batch]*IFERROR(INDEX(PP_Grid[#Data],IF(M_BOM[PPGridRow]=87,NA(),M_BOM[PPGridRow]),77),0))/25.35</f>
        <v/>
      </c>
      <c r="BZ87">
        <f>SUMPRODUCT((M_BOM[Part Name]=$A87)*M_BOM[RM_Qty_Per_Batch]*IFERROR(INDEX(PP_Grid[#Data],IF(M_BOM[PPGridRow]=87,NA(),M_BOM[PPGridRow]),78),0))/25.35</f>
        <v/>
      </c>
      <c r="CA87">
        <f>SUMPRODUCT((M_BOM[Part Name]=$A87)*M_BOM[RM_Qty_Per_Batch]*IFERROR(INDEX(PP_Grid[#Data],IF(M_BOM[PPGridRow]=87,NA(),M_BOM[PPGridRow]),79),0))/25.35</f>
        <v/>
      </c>
      <c r="CB87">
        <f>SUMPRODUCT((M_BOM[Part Name]=$A87)*M_BOM[RM_Qty_Per_Batch]*IFERROR(INDEX(PP_Grid[#Data],IF(M_BOM[PPGridRow]=87,NA(),M_BOM[PPGridRow]),80),0))/25.35</f>
        <v/>
      </c>
      <c r="CC87">
        <f>SUMPRODUCT((M_BOM[Part Name]=$A87)*M_BOM[RM_Qty_Per_Batch]*IFERROR(INDEX(PP_Grid[#Data],IF(M_BOM[PPGridRow]=87,NA(),M_BOM[PPGridRow]),81),0))/25.35</f>
        <v/>
      </c>
      <c r="CD87">
        <f>SUMPRODUCT((M_BOM[Part Name]=$A87)*M_BOM[RM_Qty_Per_Batch]*IFERROR(INDEX(PP_Grid[#Data],IF(M_BOM[PPGridRow]=87,NA(),M_BOM[PPGridRow]),82),0))/25.35</f>
        <v/>
      </c>
      <c r="CE87">
        <f>SUMPRODUCT((M_BOM[Part Name]=$A87)*M_BOM[RM_Qty_Per_Batch]*IFERROR(INDEX(PP_Grid[#Data],IF(M_BOM[PPGridRow]=87,NA(),M_BOM[PPGridRow]),83),0))/25.35</f>
        <v/>
      </c>
      <c r="CF87">
        <f>SUMPRODUCT((M_BOM[Part Name]=$A87)*M_BOM[RM_Qty_Per_Batch]*IFERROR(INDEX(PP_Grid[#Data],IF(M_BOM[PPGridRow]=87,NA(),M_BOM[PPGridRow]),84),0))/25.35</f>
        <v/>
      </c>
      <c r="CG87">
        <f>SUMPRODUCT((M_BOM[Part Name]=$A87)*M_BOM[RM_Qty_Per_Batch]*IFERROR(INDEX(PP_Grid[#Data],IF(M_BOM[PPGridRow]=87,NA(),M_BOM[PPGridRow]),85),0))/25.35</f>
        <v/>
      </c>
      <c r="CH87">
        <f>SUMPRODUCT((M_BOM[Part Name]=$A87)*M_BOM[RM_Qty_Per_Batch]*IFERROR(INDEX(PP_Grid[#Data],IF(M_BOM[PPGridRow]=87,NA(),M_BOM[PPGridRow]),86),0))/25.35</f>
        <v/>
      </c>
      <c r="CI87">
        <f>SUMPRODUCT((M_BOM[Part Name]=$A87)*M_BOM[RM_Qty_Per_Batch]*IFERROR(INDEX(PP_Grid[#Data],IF(M_BOM[PPGridRow]=87,NA(),M_BOM[PPGridRow]),87),0))/25.35</f>
        <v/>
      </c>
      <c r="CJ87">
        <f>SUMPRODUCT((M_BOM[Part Name]=$A87)*M_BOM[RM_Qty_Per_Batch]*IFERROR(INDEX(PP_Grid[#Data],IF(M_BOM[PPGridRow]=87,NA(),M_BOM[PPGridRow]),88),0))/25.35</f>
        <v/>
      </c>
      <c r="CK87">
        <f>SUMPRODUCT((M_BOM[Part Name]=$A87)*M_BOM[RM_Qty_Per_Batch]*IFERROR(INDEX(PP_Grid[#Data],IF(M_BOM[PPGridRow]=87,NA(),M_BOM[PPGridRow]),89),0))/25.35</f>
        <v/>
      </c>
      <c r="CL87">
        <f>SUMPRODUCT((M_BOM[Part Name]=$A87)*M_BOM[RM_Qty_Per_Batch]*IFERROR(INDEX(PP_Grid[#Data],IF(M_BOM[PPGridRow]=87,NA(),M_BOM[PPGridRow]),90),0))/25.35</f>
        <v/>
      </c>
      <c r="CM87">
        <f>SUMPRODUCT((M_BOM[Part Name]=$A87)*M_BOM[RM_Qty_Per_Batch]*IFERROR(INDEX(PP_Grid[#Data],IF(M_BOM[PPGridRow]=87,NA(),M_BOM[PPGridRow]),91),0))/25.35</f>
        <v/>
      </c>
      <c r="CN87">
        <f>SUMPRODUCT((M_BOM[Part Name]=$A87)*M_BOM[RM_Qty_Per_Batch]*IFERROR(INDEX(PP_Grid[#Data],IF(M_BOM[PPGridRow]=87,NA(),M_BOM[PPGridRow]),92),0))/25.35</f>
        <v/>
      </c>
      <c r="CO87">
        <f>SUMPRODUCT((M_BOM[Part Name]=$A87)*M_BOM[RM_Qty_Per_Batch]*IFERROR(INDEX(PP_Grid[#Data],IF(M_BOM[PPGridRow]=87,NA(),M_BOM[PPGridRow]),93),0))/25.35</f>
        <v/>
      </c>
      <c r="CP87">
        <f>SUMPRODUCT((M_BOM[Part Name]=$A87)*M_BOM[RM_Qty_Per_Batch]*IFERROR(INDEX(PP_Grid[#Data],IF(M_BOM[PPGridRow]=87,NA(),M_BOM[PPGridRow]),94),0))/25.35</f>
        <v/>
      </c>
      <c r="CQ87">
        <f>SUMPRODUCT((M_BOM[Part Name]=$A87)*M_BOM[RM_Qty_Per_Batch]*IFERROR(INDEX(PP_Grid[#Data],IF(M_BOM[PPGridRow]=87,NA(),M_BOM[PPGridRow]),95),0))/25.35</f>
        <v/>
      </c>
      <c r="CR87">
        <f>SUMPRODUCT((M_BOM[Part Name]=$A87)*M_BOM[RM_Qty_Per_Batch]*IFERROR(INDEX(PP_Grid[#Data],IF(M_BOM[PPGridRow]=87,NA(),M_BOM[PPGridRow]),96),0))/25.35</f>
        <v/>
      </c>
      <c r="CS87">
        <f>SUMPRODUCT((M_BOM[Part Name]=$A87)*M_BOM[RM_Qty_Per_Batch]*IFERROR(INDEX(PP_Grid[#Data],IF(M_BOM[PPGridRow]=87,NA(),M_BOM[PPGridRow]),97),0))/25.35</f>
        <v/>
      </c>
      <c r="CT87">
        <f>SUMPRODUCT((M_BOM[Part Name]=$A87)*M_BOM[RM_Qty_Per_Batch]*IFERROR(INDEX(PP_Grid[#Data],IF(M_BOM[PPGridRow]=87,NA(),M_BOM[PPGridRow]),98),0))/25.35</f>
        <v/>
      </c>
      <c r="CU87">
        <f>SUMPRODUCT((M_BOM[Part Name]=$A87)*M_BOM[RM_Qty_Per_Batch]*IFERROR(INDEX(PP_Grid[#Data],IF(M_BOM[PPGridRow]=87,NA(),M_BOM[PPGridRow]),99),0))/25.35</f>
        <v/>
      </c>
      <c r="CV87">
        <f>SUMPRODUCT((M_BOM[Part Name]=$A87)*M_BOM[RM_Qty_Per_Batch]*IFERROR(INDEX(PP_Grid[#Data],IF(M_BOM[PPGridRow]=87,NA(),M_BOM[PPGridRow]),100),0))/25.35</f>
        <v/>
      </c>
      <c r="CW87">
        <f>SUMPRODUCT((M_BOM[Part Name]=$A87)*M_BOM[RM_Qty_Per_Batch]*IFERROR(INDEX(PP_Grid[#Data],IF(M_BOM[PPGridRow]=87,NA(),M_BOM[PPGridRow]),101),0))/25.35</f>
        <v/>
      </c>
      <c r="CX87">
        <f>SUMPRODUCT((M_BOM[Part Name]=$A87)*M_BOM[RM_Qty_Per_Batch]*IFERROR(INDEX(PP_Grid[#Data],IF(M_BOM[PPGridRow]=87,NA(),M_BOM[PPGridRow]),102),0))/25.35</f>
        <v/>
      </c>
      <c r="CY87">
        <f>SUMPRODUCT((M_BOM[Part Name]=$A87)*M_BOM[RM_Qty_Per_Batch]*IFERROR(INDEX(PP_Grid[#Data],IF(M_BOM[PPGridRow]=87,NA(),M_BOM[PPGridRow]),103),0))/25.35</f>
        <v/>
      </c>
      <c r="CZ87">
        <f>SUMPRODUCT((M_BOM[Part Name]=$A87)*M_BOM[RM_Qty_Per_Batch]*IFERROR(INDEX(PP_Grid[#Data],IF(M_BOM[PPGridRow]=87,NA(),M_BOM[PPGridRow]),104),0))/25.35</f>
        <v/>
      </c>
      <c r="DA87">
        <f>SUMPRODUCT((M_BOM[Part Name]=$A87)*M_BOM[RM_Qty_Per_Batch]*IFERROR(INDEX(PP_Grid[#Data],IF(M_BOM[PPGridRow]=87,NA(),M_BOM[PPGridRow]),105),0))/25.35</f>
        <v/>
      </c>
    </row>
    <row r="88">
      <c r="A88" t="inlineStr">
        <is>
          <t>TPP-916</t>
        </is>
      </c>
      <c r="B88">
        <f>SUMPRODUCT((M_BOM[Part Name]=$A88)*M_BOM[RM_Qty_Per_Batch]*IFERROR(INDEX(PP_Grid[#Data],IF(M_BOM[PPGridRow]=88,NA(),M_BOM[PPGridRow]),2),0))/25.91</f>
        <v/>
      </c>
      <c r="C88">
        <f>SUMPRODUCT((M_BOM[Part Name]=$A88)*M_BOM[RM_Qty_Per_Batch]*IFERROR(INDEX(PP_Grid[#Data],IF(M_BOM[PPGridRow]=88,NA(),M_BOM[PPGridRow]),3),0))/25.91</f>
        <v/>
      </c>
      <c r="D88">
        <f>SUMPRODUCT((M_BOM[Part Name]=$A88)*M_BOM[RM_Qty_Per_Batch]*IFERROR(INDEX(PP_Grid[#Data],IF(M_BOM[PPGridRow]=88,NA(),M_BOM[PPGridRow]),4),0))/25.91</f>
        <v/>
      </c>
      <c r="E88">
        <f>SUMPRODUCT((M_BOM[Part Name]=$A88)*M_BOM[RM_Qty_Per_Batch]*IFERROR(INDEX(PP_Grid[#Data],IF(M_BOM[PPGridRow]=88,NA(),M_BOM[PPGridRow]),5),0))/25.91</f>
        <v/>
      </c>
      <c r="F88">
        <f>SUMPRODUCT((M_BOM[Part Name]=$A88)*M_BOM[RM_Qty_Per_Batch]*IFERROR(INDEX(PP_Grid[#Data],IF(M_BOM[PPGridRow]=88,NA(),M_BOM[PPGridRow]),6),0))/25.91</f>
        <v/>
      </c>
      <c r="G88">
        <f>SUMPRODUCT((M_BOM[Part Name]=$A88)*M_BOM[RM_Qty_Per_Batch]*IFERROR(INDEX(PP_Grid[#Data],IF(M_BOM[PPGridRow]=88,NA(),M_BOM[PPGridRow]),7),0))/25.91</f>
        <v/>
      </c>
      <c r="H88">
        <f>SUMPRODUCT((M_BOM[Part Name]=$A88)*M_BOM[RM_Qty_Per_Batch]*IFERROR(INDEX(PP_Grid[#Data],IF(M_BOM[PPGridRow]=88,NA(),M_BOM[PPGridRow]),8),0))/25.91</f>
        <v/>
      </c>
      <c r="I88">
        <f>SUMPRODUCT((M_BOM[Part Name]=$A88)*M_BOM[RM_Qty_Per_Batch]*IFERROR(INDEX(PP_Grid[#Data],IF(M_BOM[PPGridRow]=88,NA(),M_BOM[PPGridRow]),9),0))/25.91</f>
        <v/>
      </c>
      <c r="J88">
        <f>SUMPRODUCT((M_BOM[Part Name]=$A88)*M_BOM[RM_Qty_Per_Batch]*IFERROR(INDEX(PP_Grid[#Data],IF(M_BOM[PPGridRow]=88,NA(),M_BOM[PPGridRow]),10),0))/25.91</f>
        <v/>
      </c>
      <c r="K88">
        <f>SUMPRODUCT((M_BOM[Part Name]=$A88)*M_BOM[RM_Qty_Per_Batch]*IFERROR(INDEX(PP_Grid[#Data],IF(M_BOM[PPGridRow]=88,NA(),M_BOM[PPGridRow]),11),0))/25.91</f>
        <v/>
      </c>
      <c r="L88">
        <f>SUMPRODUCT((M_BOM[Part Name]=$A88)*M_BOM[RM_Qty_Per_Batch]*IFERROR(INDEX(PP_Grid[#Data],IF(M_BOM[PPGridRow]=88,NA(),M_BOM[PPGridRow]),12),0))/25.91</f>
        <v/>
      </c>
      <c r="M88">
        <f>SUMPRODUCT((M_BOM[Part Name]=$A88)*M_BOM[RM_Qty_Per_Batch]*IFERROR(INDEX(PP_Grid[#Data],IF(M_BOM[PPGridRow]=88,NA(),M_BOM[PPGridRow]),13),0))/25.91</f>
        <v/>
      </c>
      <c r="N88">
        <f>SUMPRODUCT((M_BOM[Part Name]=$A88)*M_BOM[RM_Qty_Per_Batch]*IFERROR(INDEX(PP_Grid[#Data],IF(M_BOM[PPGridRow]=88,NA(),M_BOM[PPGridRow]),14),0))/25.91</f>
        <v/>
      </c>
      <c r="O88">
        <f>SUMPRODUCT((M_BOM[Part Name]=$A88)*M_BOM[RM_Qty_Per_Batch]*IFERROR(INDEX(PP_Grid[#Data],IF(M_BOM[PPGridRow]=88,NA(),M_BOM[PPGridRow]),15),0))/25.91</f>
        <v/>
      </c>
      <c r="P88">
        <f>SUMPRODUCT((M_BOM[Part Name]=$A88)*M_BOM[RM_Qty_Per_Batch]*IFERROR(INDEX(PP_Grid[#Data],IF(M_BOM[PPGridRow]=88,NA(),M_BOM[PPGridRow]),16),0))/25.91</f>
        <v/>
      </c>
      <c r="Q88">
        <f>SUMPRODUCT((M_BOM[Part Name]=$A88)*M_BOM[RM_Qty_Per_Batch]*IFERROR(INDEX(PP_Grid[#Data],IF(M_BOM[PPGridRow]=88,NA(),M_BOM[PPGridRow]),17),0))/25.91</f>
        <v/>
      </c>
      <c r="R88">
        <f>SUMPRODUCT((M_BOM[Part Name]=$A88)*M_BOM[RM_Qty_Per_Batch]*IFERROR(INDEX(PP_Grid[#Data],IF(M_BOM[PPGridRow]=88,NA(),M_BOM[PPGridRow]),18),0))/25.91</f>
        <v/>
      </c>
      <c r="S88">
        <f>SUMPRODUCT((M_BOM[Part Name]=$A88)*M_BOM[RM_Qty_Per_Batch]*IFERROR(INDEX(PP_Grid[#Data],IF(M_BOM[PPGridRow]=88,NA(),M_BOM[PPGridRow]),19),0))/25.91</f>
        <v/>
      </c>
      <c r="T88">
        <f>SUMPRODUCT((M_BOM[Part Name]=$A88)*M_BOM[RM_Qty_Per_Batch]*IFERROR(INDEX(PP_Grid[#Data],IF(M_BOM[PPGridRow]=88,NA(),M_BOM[PPGridRow]),20),0))/25.91</f>
        <v/>
      </c>
      <c r="U88">
        <f>SUMPRODUCT((M_BOM[Part Name]=$A88)*M_BOM[RM_Qty_Per_Batch]*IFERROR(INDEX(PP_Grid[#Data],IF(M_BOM[PPGridRow]=88,NA(),M_BOM[PPGridRow]),21),0))/25.91</f>
        <v/>
      </c>
      <c r="V88">
        <f>SUMPRODUCT((M_BOM[Part Name]=$A88)*M_BOM[RM_Qty_Per_Batch]*IFERROR(INDEX(PP_Grid[#Data],IF(M_BOM[PPGridRow]=88,NA(),M_BOM[PPGridRow]),22),0))/25.91</f>
        <v/>
      </c>
      <c r="W88">
        <f>SUMPRODUCT((M_BOM[Part Name]=$A88)*M_BOM[RM_Qty_Per_Batch]*IFERROR(INDEX(PP_Grid[#Data],IF(M_BOM[PPGridRow]=88,NA(),M_BOM[PPGridRow]),23),0))/25.91</f>
        <v/>
      </c>
      <c r="X88">
        <f>SUMPRODUCT((M_BOM[Part Name]=$A88)*M_BOM[RM_Qty_Per_Batch]*IFERROR(INDEX(PP_Grid[#Data],IF(M_BOM[PPGridRow]=88,NA(),M_BOM[PPGridRow]),24),0))/25.91</f>
        <v/>
      </c>
      <c r="Y88">
        <f>SUMPRODUCT((M_BOM[Part Name]=$A88)*M_BOM[RM_Qty_Per_Batch]*IFERROR(INDEX(PP_Grid[#Data],IF(M_BOM[PPGridRow]=88,NA(),M_BOM[PPGridRow]),25),0))/25.91</f>
        <v/>
      </c>
      <c r="Z88">
        <f>SUMPRODUCT((M_BOM[Part Name]=$A88)*M_BOM[RM_Qty_Per_Batch]*IFERROR(INDEX(PP_Grid[#Data],IF(M_BOM[PPGridRow]=88,NA(),M_BOM[PPGridRow]),26),0))/25.91</f>
        <v/>
      </c>
      <c r="AA88">
        <f>SUMPRODUCT((M_BOM[Part Name]=$A88)*M_BOM[RM_Qty_Per_Batch]*IFERROR(INDEX(PP_Grid[#Data],IF(M_BOM[PPGridRow]=88,NA(),M_BOM[PPGridRow]),27),0))/25.91</f>
        <v/>
      </c>
      <c r="AB88">
        <f>SUMPRODUCT((M_BOM[Part Name]=$A88)*M_BOM[RM_Qty_Per_Batch]*IFERROR(INDEX(PP_Grid[#Data],IF(M_BOM[PPGridRow]=88,NA(),M_BOM[PPGridRow]),28),0))/25.91</f>
        <v/>
      </c>
      <c r="AC88">
        <f>SUMPRODUCT((M_BOM[Part Name]=$A88)*M_BOM[RM_Qty_Per_Batch]*IFERROR(INDEX(PP_Grid[#Data],IF(M_BOM[PPGridRow]=88,NA(),M_BOM[PPGridRow]),29),0))/25.91</f>
        <v/>
      </c>
      <c r="AD88">
        <f>SUMPRODUCT((M_BOM[Part Name]=$A88)*M_BOM[RM_Qty_Per_Batch]*IFERROR(INDEX(PP_Grid[#Data],IF(M_BOM[PPGridRow]=88,NA(),M_BOM[PPGridRow]),30),0))/25.91</f>
        <v/>
      </c>
      <c r="AE88">
        <f>SUMPRODUCT((M_BOM[Part Name]=$A88)*M_BOM[RM_Qty_Per_Batch]*IFERROR(INDEX(PP_Grid[#Data],IF(M_BOM[PPGridRow]=88,NA(),M_BOM[PPGridRow]),31),0))/25.91</f>
        <v/>
      </c>
      <c r="AF88">
        <f>SUMPRODUCT((M_BOM[Part Name]=$A88)*M_BOM[RM_Qty_Per_Batch]*IFERROR(INDEX(PP_Grid[#Data],IF(M_BOM[PPGridRow]=88,NA(),M_BOM[PPGridRow]),32),0))/25.91</f>
        <v/>
      </c>
      <c r="AG88">
        <f>SUMPRODUCT((M_BOM[Part Name]=$A88)*M_BOM[RM_Qty_Per_Batch]*IFERROR(INDEX(PP_Grid[#Data],IF(M_BOM[PPGridRow]=88,NA(),M_BOM[PPGridRow]),33),0))/25.91</f>
        <v/>
      </c>
      <c r="AH88">
        <f>SUMPRODUCT((M_BOM[Part Name]=$A88)*M_BOM[RM_Qty_Per_Batch]*IFERROR(INDEX(PP_Grid[#Data],IF(M_BOM[PPGridRow]=88,NA(),M_BOM[PPGridRow]),34),0))/25.91</f>
        <v/>
      </c>
      <c r="AI88">
        <f>SUMPRODUCT((M_BOM[Part Name]=$A88)*M_BOM[RM_Qty_Per_Batch]*IFERROR(INDEX(PP_Grid[#Data],IF(M_BOM[PPGridRow]=88,NA(),M_BOM[PPGridRow]),35),0))/25.91</f>
        <v/>
      </c>
      <c r="AJ88">
        <f>SUMPRODUCT((M_BOM[Part Name]=$A88)*M_BOM[RM_Qty_Per_Batch]*IFERROR(INDEX(PP_Grid[#Data],IF(M_BOM[PPGridRow]=88,NA(),M_BOM[PPGridRow]),36),0))/25.91</f>
        <v/>
      </c>
      <c r="AK88">
        <f>SUMPRODUCT((M_BOM[Part Name]=$A88)*M_BOM[RM_Qty_Per_Batch]*IFERROR(INDEX(PP_Grid[#Data],IF(M_BOM[PPGridRow]=88,NA(),M_BOM[PPGridRow]),37),0))/25.91</f>
        <v/>
      </c>
      <c r="AL88">
        <f>SUMPRODUCT((M_BOM[Part Name]=$A88)*M_BOM[RM_Qty_Per_Batch]*IFERROR(INDEX(PP_Grid[#Data],IF(M_BOM[PPGridRow]=88,NA(),M_BOM[PPGridRow]),38),0))/25.91</f>
        <v/>
      </c>
      <c r="AM88">
        <f>SUMPRODUCT((M_BOM[Part Name]=$A88)*M_BOM[RM_Qty_Per_Batch]*IFERROR(INDEX(PP_Grid[#Data],IF(M_BOM[PPGridRow]=88,NA(),M_BOM[PPGridRow]),39),0))/25.91</f>
        <v/>
      </c>
      <c r="AN88">
        <f>SUMPRODUCT((M_BOM[Part Name]=$A88)*M_BOM[RM_Qty_Per_Batch]*IFERROR(INDEX(PP_Grid[#Data],IF(M_BOM[PPGridRow]=88,NA(),M_BOM[PPGridRow]),40),0))/25.91</f>
        <v/>
      </c>
      <c r="AO88">
        <f>SUMPRODUCT((M_BOM[Part Name]=$A88)*M_BOM[RM_Qty_Per_Batch]*IFERROR(INDEX(PP_Grid[#Data],IF(M_BOM[PPGridRow]=88,NA(),M_BOM[PPGridRow]),41),0))/25.91</f>
        <v/>
      </c>
      <c r="AP88">
        <f>SUMPRODUCT((M_BOM[Part Name]=$A88)*M_BOM[RM_Qty_Per_Batch]*IFERROR(INDEX(PP_Grid[#Data],IF(M_BOM[PPGridRow]=88,NA(),M_BOM[PPGridRow]),42),0))/25.91</f>
        <v/>
      </c>
      <c r="AQ88">
        <f>SUMPRODUCT((M_BOM[Part Name]=$A88)*M_BOM[RM_Qty_Per_Batch]*IFERROR(INDEX(PP_Grid[#Data],IF(M_BOM[PPGridRow]=88,NA(),M_BOM[PPGridRow]),43),0))/25.91</f>
        <v/>
      </c>
      <c r="AR88">
        <f>SUMPRODUCT((M_BOM[Part Name]=$A88)*M_BOM[RM_Qty_Per_Batch]*IFERROR(INDEX(PP_Grid[#Data],IF(M_BOM[PPGridRow]=88,NA(),M_BOM[PPGridRow]),44),0))/25.91</f>
        <v/>
      </c>
      <c r="AS88">
        <f>SUMPRODUCT((M_BOM[Part Name]=$A88)*M_BOM[RM_Qty_Per_Batch]*IFERROR(INDEX(PP_Grid[#Data],IF(M_BOM[PPGridRow]=88,NA(),M_BOM[PPGridRow]),45),0))/25.91</f>
        <v/>
      </c>
      <c r="AT88">
        <f>SUMPRODUCT((M_BOM[Part Name]=$A88)*M_BOM[RM_Qty_Per_Batch]*IFERROR(INDEX(PP_Grid[#Data],IF(M_BOM[PPGridRow]=88,NA(),M_BOM[PPGridRow]),46),0))/25.91</f>
        <v/>
      </c>
      <c r="AU88">
        <f>SUMPRODUCT((M_BOM[Part Name]=$A88)*M_BOM[RM_Qty_Per_Batch]*IFERROR(INDEX(PP_Grid[#Data],IF(M_BOM[PPGridRow]=88,NA(),M_BOM[PPGridRow]),47),0))/25.91</f>
        <v/>
      </c>
      <c r="AV88">
        <f>SUMPRODUCT((M_BOM[Part Name]=$A88)*M_BOM[RM_Qty_Per_Batch]*IFERROR(INDEX(PP_Grid[#Data],IF(M_BOM[PPGridRow]=88,NA(),M_BOM[PPGridRow]),48),0))/25.91</f>
        <v/>
      </c>
      <c r="AW88">
        <f>SUMPRODUCT((M_BOM[Part Name]=$A88)*M_BOM[RM_Qty_Per_Batch]*IFERROR(INDEX(PP_Grid[#Data],IF(M_BOM[PPGridRow]=88,NA(),M_BOM[PPGridRow]),49),0))/25.91</f>
        <v/>
      </c>
      <c r="AX88">
        <f>SUMPRODUCT((M_BOM[Part Name]=$A88)*M_BOM[RM_Qty_Per_Batch]*IFERROR(INDEX(PP_Grid[#Data],IF(M_BOM[PPGridRow]=88,NA(),M_BOM[PPGridRow]),50),0))/25.91</f>
        <v/>
      </c>
      <c r="AY88">
        <f>SUMPRODUCT((M_BOM[Part Name]=$A88)*M_BOM[RM_Qty_Per_Batch]*IFERROR(INDEX(PP_Grid[#Data],IF(M_BOM[PPGridRow]=88,NA(),M_BOM[PPGridRow]),51),0))/25.91</f>
        <v/>
      </c>
      <c r="AZ88">
        <f>SUMPRODUCT((M_BOM[Part Name]=$A88)*M_BOM[RM_Qty_Per_Batch]*IFERROR(INDEX(PP_Grid[#Data],IF(M_BOM[PPGridRow]=88,NA(),M_BOM[PPGridRow]),52),0))/25.91</f>
        <v/>
      </c>
      <c r="BA88">
        <f>SUMPRODUCT((M_BOM[Part Name]=$A88)*M_BOM[RM_Qty_Per_Batch]*IFERROR(INDEX(PP_Grid[#Data],IF(M_BOM[PPGridRow]=88,NA(),M_BOM[PPGridRow]),53),0))/25.91</f>
        <v/>
      </c>
      <c r="BB88">
        <f>SUMPRODUCT((M_BOM[Part Name]=$A88)*M_BOM[RM_Qty_Per_Batch]*IFERROR(INDEX(PP_Grid[#Data],IF(M_BOM[PPGridRow]=88,NA(),M_BOM[PPGridRow]),54),0))/25.91</f>
        <v/>
      </c>
      <c r="BC88">
        <f>SUMPRODUCT((M_BOM[Part Name]=$A88)*M_BOM[RM_Qty_Per_Batch]*IFERROR(INDEX(PP_Grid[#Data],IF(M_BOM[PPGridRow]=88,NA(),M_BOM[PPGridRow]),55),0))/25.91</f>
        <v/>
      </c>
      <c r="BD88">
        <f>SUMPRODUCT((M_BOM[Part Name]=$A88)*M_BOM[RM_Qty_Per_Batch]*IFERROR(INDEX(PP_Grid[#Data],IF(M_BOM[PPGridRow]=88,NA(),M_BOM[PPGridRow]),56),0))/25.91</f>
        <v/>
      </c>
      <c r="BE88">
        <f>SUMPRODUCT((M_BOM[Part Name]=$A88)*M_BOM[RM_Qty_Per_Batch]*IFERROR(INDEX(PP_Grid[#Data],IF(M_BOM[PPGridRow]=88,NA(),M_BOM[PPGridRow]),57),0))/25.91</f>
        <v/>
      </c>
      <c r="BF88">
        <f>SUMPRODUCT((M_BOM[Part Name]=$A88)*M_BOM[RM_Qty_Per_Batch]*IFERROR(INDEX(PP_Grid[#Data],IF(M_BOM[PPGridRow]=88,NA(),M_BOM[PPGridRow]),58),0))/25.91</f>
        <v/>
      </c>
      <c r="BG88">
        <f>SUMPRODUCT((M_BOM[Part Name]=$A88)*M_BOM[RM_Qty_Per_Batch]*IFERROR(INDEX(PP_Grid[#Data],IF(M_BOM[PPGridRow]=88,NA(),M_BOM[PPGridRow]),59),0))/25.91</f>
        <v/>
      </c>
      <c r="BH88">
        <f>SUMPRODUCT((M_BOM[Part Name]=$A88)*M_BOM[RM_Qty_Per_Batch]*IFERROR(INDEX(PP_Grid[#Data],IF(M_BOM[PPGridRow]=88,NA(),M_BOM[PPGridRow]),60),0))/25.91</f>
        <v/>
      </c>
      <c r="BI88">
        <f>SUMPRODUCT((M_BOM[Part Name]=$A88)*M_BOM[RM_Qty_Per_Batch]*IFERROR(INDEX(PP_Grid[#Data],IF(M_BOM[PPGridRow]=88,NA(),M_BOM[PPGridRow]),61),0))/25.91</f>
        <v/>
      </c>
      <c r="BJ88">
        <f>SUMPRODUCT((M_BOM[Part Name]=$A88)*M_BOM[RM_Qty_Per_Batch]*IFERROR(INDEX(PP_Grid[#Data],IF(M_BOM[PPGridRow]=88,NA(),M_BOM[PPGridRow]),62),0))/25.91</f>
        <v/>
      </c>
      <c r="BK88">
        <f>SUMPRODUCT((M_BOM[Part Name]=$A88)*M_BOM[RM_Qty_Per_Batch]*IFERROR(INDEX(PP_Grid[#Data],IF(M_BOM[PPGridRow]=88,NA(),M_BOM[PPGridRow]),63),0))/25.91</f>
        <v/>
      </c>
      <c r="BL88">
        <f>SUMPRODUCT((M_BOM[Part Name]=$A88)*M_BOM[RM_Qty_Per_Batch]*IFERROR(INDEX(PP_Grid[#Data],IF(M_BOM[PPGridRow]=88,NA(),M_BOM[PPGridRow]),64),0))/25.91</f>
        <v/>
      </c>
      <c r="BM88">
        <f>SUMPRODUCT((M_BOM[Part Name]=$A88)*M_BOM[RM_Qty_Per_Batch]*IFERROR(INDEX(PP_Grid[#Data],IF(M_BOM[PPGridRow]=88,NA(),M_BOM[PPGridRow]),65),0))/25.91</f>
        <v/>
      </c>
      <c r="BN88">
        <f>SUMPRODUCT((M_BOM[Part Name]=$A88)*M_BOM[RM_Qty_Per_Batch]*IFERROR(INDEX(PP_Grid[#Data],IF(M_BOM[PPGridRow]=88,NA(),M_BOM[PPGridRow]),66),0))/25.91</f>
        <v/>
      </c>
      <c r="BO88">
        <f>SUMPRODUCT((M_BOM[Part Name]=$A88)*M_BOM[RM_Qty_Per_Batch]*IFERROR(INDEX(PP_Grid[#Data],IF(M_BOM[PPGridRow]=88,NA(),M_BOM[PPGridRow]),67),0))/25.91</f>
        <v/>
      </c>
      <c r="BP88">
        <f>SUMPRODUCT((M_BOM[Part Name]=$A88)*M_BOM[RM_Qty_Per_Batch]*IFERROR(INDEX(PP_Grid[#Data],IF(M_BOM[PPGridRow]=88,NA(),M_BOM[PPGridRow]),68),0))/25.91</f>
        <v/>
      </c>
      <c r="BQ88">
        <f>SUMPRODUCT((M_BOM[Part Name]=$A88)*M_BOM[RM_Qty_Per_Batch]*IFERROR(INDEX(PP_Grid[#Data],IF(M_BOM[PPGridRow]=88,NA(),M_BOM[PPGridRow]),69),0))/25.91</f>
        <v/>
      </c>
      <c r="BR88">
        <f>SUMPRODUCT((M_BOM[Part Name]=$A88)*M_BOM[RM_Qty_Per_Batch]*IFERROR(INDEX(PP_Grid[#Data],IF(M_BOM[PPGridRow]=88,NA(),M_BOM[PPGridRow]),70),0))/25.91</f>
        <v/>
      </c>
      <c r="BS88">
        <f>SUMPRODUCT((M_BOM[Part Name]=$A88)*M_BOM[RM_Qty_Per_Batch]*IFERROR(INDEX(PP_Grid[#Data],IF(M_BOM[PPGridRow]=88,NA(),M_BOM[PPGridRow]),71),0))/25.91</f>
        <v/>
      </c>
      <c r="BT88">
        <f>SUMPRODUCT((M_BOM[Part Name]=$A88)*M_BOM[RM_Qty_Per_Batch]*IFERROR(INDEX(PP_Grid[#Data],IF(M_BOM[PPGridRow]=88,NA(),M_BOM[PPGridRow]),72),0))/25.91</f>
        <v/>
      </c>
      <c r="BU88">
        <f>SUMPRODUCT((M_BOM[Part Name]=$A88)*M_BOM[RM_Qty_Per_Batch]*IFERROR(INDEX(PP_Grid[#Data],IF(M_BOM[PPGridRow]=88,NA(),M_BOM[PPGridRow]),73),0))/25.91</f>
        <v/>
      </c>
      <c r="BV88">
        <f>SUMPRODUCT((M_BOM[Part Name]=$A88)*M_BOM[RM_Qty_Per_Batch]*IFERROR(INDEX(PP_Grid[#Data],IF(M_BOM[PPGridRow]=88,NA(),M_BOM[PPGridRow]),74),0))/25.91</f>
        <v/>
      </c>
      <c r="BW88">
        <f>SUMPRODUCT((M_BOM[Part Name]=$A88)*M_BOM[RM_Qty_Per_Batch]*IFERROR(INDEX(PP_Grid[#Data],IF(M_BOM[PPGridRow]=88,NA(),M_BOM[PPGridRow]),75),0))/25.91</f>
        <v/>
      </c>
      <c r="BX88">
        <f>SUMPRODUCT((M_BOM[Part Name]=$A88)*M_BOM[RM_Qty_Per_Batch]*IFERROR(INDEX(PP_Grid[#Data],IF(M_BOM[PPGridRow]=88,NA(),M_BOM[PPGridRow]),76),0))/25.91</f>
        <v/>
      </c>
      <c r="BY88">
        <f>SUMPRODUCT((M_BOM[Part Name]=$A88)*M_BOM[RM_Qty_Per_Batch]*IFERROR(INDEX(PP_Grid[#Data],IF(M_BOM[PPGridRow]=88,NA(),M_BOM[PPGridRow]),77),0))/25.91</f>
        <v/>
      </c>
      <c r="BZ88">
        <f>SUMPRODUCT((M_BOM[Part Name]=$A88)*M_BOM[RM_Qty_Per_Batch]*IFERROR(INDEX(PP_Grid[#Data],IF(M_BOM[PPGridRow]=88,NA(),M_BOM[PPGridRow]),78),0))/25.91</f>
        <v/>
      </c>
      <c r="CA88">
        <f>SUMPRODUCT((M_BOM[Part Name]=$A88)*M_BOM[RM_Qty_Per_Batch]*IFERROR(INDEX(PP_Grid[#Data],IF(M_BOM[PPGridRow]=88,NA(),M_BOM[PPGridRow]),79),0))/25.91</f>
        <v/>
      </c>
      <c r="CB88">
        <f>SUMPRODUCT((M_BOM[Part Name]=$A88)*M_BOM[RM_Qty_Per_Batch]*IFERROR(INDEX(PP_Grid[#Data],IF(M_BOM[PPGridRow]=88,NA(),M_BOM[PPGridRow]),80),0))/25.91</f>
        <v/>
      </c>
      <c r="CC88">
        <f>SUMPRODUCT((M_BOM[Part Name]=$A88)*M_BOM[RM_Qty_Per_Batch]*IFERROR(INDEX(PP_Grid[#Data],IF(M_BOM[PPGridRow]=88,NA(),M_BOM[PPGridRow]),81),0))/25.91</f>
        <v/>
      </c>
      <c r="CD88">
        <f>SUMPRODUCT((M_BOM[Part Name]=$A88)*M_BOM[RM_Qty_Per_Batch]*IFERROR(INDEX(PP_Grid[#Data],IF(M_BOM[PPGridRow]=88,NA(),M_BOM[PPGridRow]),82),0))/25.91</f>
        <v/>
      </c>
      <c r="CE88">
        <f>SUMPRODUCT((M_BOM[Part Name]=$A88)*M_BOM[RM_Qty_Per_Batch]*IFERROR(INDEX(PP_Grid[#Data],IF(M_BOM[PPGridRow]=88,NA(),M_BOM[PPGridRow]),83),0))/25.91</f>
        <v/>
      </c>
      <c r="CF88">
        <f>SUMPRODUCT((M_BOM[Part Name]=$A88)*M_BOM[RM_Qty_Per_Batch]*IFERROR(INDEX(PP_Grid[#Data],IF(M_BOM[PPGridRow]=88,NA(),M_BOM[PPGridRow]),84),0))/25.91</f>
        <v/>
      </c>
      <c r="CG88">
        <f>SUMPRODUCT((M_BOM[Part Name]=$A88)*M_BOM[RM_Qty_Per_Batch]*IFERROR(INDEX(PP_Grid[#Data],IF(M_BOM[PPGridRow]=88,NA(),M_BOM[PPGridRow]),85),0))/25.91</f>
        <v/>
      </c>
      <c r="CH88">
        <f>SUMPRODUCT((M_BOM[Part Name]=$A88)*M_BOM[RM_Qty_Per_Batch]*IFERROR(INDEX(PP_Grid[#Data],IF(M_BOM[PPGridRow]=88,NA(),M_BOM[PPGridRow]),86),0))/25.91</f>
        <v/>
      </c>
      <c r="CI88">
        <f>SUMPRODUCT((M_BOM[Part Name]=$A88)*M_BOM[RM_Qty_Per_Batch]*IFERROR(INDEX(PP_Grid[#Data],IF(M_BOM[PPGridRow]=88,NA(),M_BOM[PPGridRow]),87),0))/25.91</f>
        <v/>
      </c>
      <c r="CJ88">
        <f>SUMPRODUCT((M_BOM[Part Name]=$A88)*M_BOM[RM_Qty_Per_Batch]*IFERROR(INDEX(PP_Grid[#Data],IF(M_BOM[PPGridRow]=88,NA(),M_BOM[PPGridRow]),88),0))/25.91</f>
        <v/>
      </c>
      <c r="CK88">
        <f>SUMPRODUCT((M_BOM[Part Name]=$A88)*M_BOM[RM_Qty_Per_Batch]*IFERROR(INDEX(PP_Grid[#Data],IF(M_BOM[PPGridRow]=88,NA(),M_BOM[PPGridRow]),89),0))/25.91</f>
        <v/>
      </c>
      <c r="CL88">
        <f>SUMPRODUCT((M_BOM[Part Name]=$A88)*M_BOM[RM_Qty_Per_Batch]*IFERROR(INDEX(PP_Grid[#Data],IF(M_BOM[PPGridRow]=88,NA(),M_BOM[PPGridRow]),90),0))/25.91</f>
        <v/>
      </c>
      <c r="CM88">
        <f>SUMPRODUCT((M_BOM[Part Name]=$A88)*M_BOM[RM_Qty_Per_Batch]*IFERROR(INDEX(PP_Grid[#Data],IF(M_BOM[PPGridRow]=88,NA(),M_BOM[PPGridRow]),91),0))/25.91</f>
        <v/>
      </c>
      <c r="CN88">
        <f>SUMPRODUCT((M_BOM[Part Name]=$A88)*M_BOM[RM_Qty_Per_Batch]*IFERROR(INDEX(PP_Grid[#Data],IF(M_BOM[PPGridRow]=88,NA(),M_BOM[PPGridRow]),92),0))/25.91</f>
        <v/>
      </c>
      <c r="CO88">
        <f>SUMPRODUCT((M_BOM[Part Name]=$A88)*M_BOM[RM_Qty_Per_Batch]*IFERROR(INDEX(PP_Grid[#Data],IF(M_BOM[PPGridRow]=88,NA(),M_BOM[PPGridRow]),93),0))/25.91</f>
        <v/>
      </c>
      <c r="CP88">
        <f>SUMPRODUCT((M_BOM[Part Name]=$A88)*M_BOM[RM_Qty_Per_Batch]*IFERROR(INDEX(PP_Grid[#Data],IF(M_BOM[PPGridRow]=88,NA(),M_BOM[PPGridRow]),94),0))/25.91</f>
        <v/>
      </c>
      <c r="CQ88">
        <f>SUMPRODUCT((M_BOM[Part Name]=$A88)*M_BOM[RM_Qty_Per_Batch]*IFERROR(INDEX(PP_Grid[#Data],IF(M_BOM[PPGridRow]=88,NA(),M_BOM[PPGridRow]),95),0))/25.91</f>
        <v/>
      </c>
      <c r="CR88">
        <f>SUMPRODUCT((M_BOM[Part Name]=$A88)*M_BOM[RM_Qty_Per_Batch]*IFERROR(INDEX(PP_Grid[#Data],IF(M_BOM[PPGridRow]=88,NA(),M_BOM[PPGridRow]),96),0))/25.91</f>
        <v/>
      </c>
      <c r="CS88">
        <f>SUMPRODUCT((M_BOM[Part Name]=$A88)*M_BOM[RM_Qty_Per_Batch]*IFERROR(INDEX(PP_Grid[#Data],IF(M_BOM[PPGridRow]=88,NA(),M_BOM[PPGridRow]),97),0))/25.91</f>
        <v/>
      </c>
      <c r="CT88">
        <f>SUMPRODUCT((M_BOM[Part Name]=$A88)*M_BOM[RM_Qty_Per_Batch]*IFERROR(INDEX(PP_Grid[#Data],IF(M_BOM[PPGridRow]=88,NA(),M_BOM[PPGridRow]),98),0))/25.91</f>
        <v/>
      </c>
      <c r="CU88">
        <f>SUMPRODUCT((M_BOM[Part Name]=$A88)*M_BOM[RM_Qty_Per_Batch]*IFERROR(INDEX(PP_Grid[#Data],IF(M_BOM[PPGridRow]=88,NA(),M_BOM[PPGridRow]),99),0))/25.91</f>
        <v/>
      </c>
      <c r="CV88">
        <f>SUMPRODUCT((M_BOM[Part Name]=$A88)*M_BOM[RM_Qty_Per_Batch]*IFERROR(INDEX(PP_Grid[#Data],IF(M_BOM[PPGridRow]=88,NA(),M_BOM[PPGridRow]),100),0))/25.91</f>
        <v/>
      </c>
      <c r="CW88">
        <f>SUMPRODUCT((M_BOM[Part Name]=$A88)*M_BOM[RM_Qty_Per_Batch]*IFERROR(INDEX(PP_Grid[#Data],IF(M_BOM[PPGridRow]=88,NA(),M_BOM[PPGridRow]),101),0))/25.91</f>
        <v/>
      </c>
      <c r="CX88">
        <f>SUMPRODUCT((M_BOM[Part Name]=$A88)*M_BOM[RM_Qty_Per_Batch]*IFERROR(INDEX(PP_Grid[#Data],IF(M_BOM[PPGridRow]=88,NA(),M_BOM[PPGridRow]),102),0))/25.91</f>
        <v/>
      </c>
      <c r="CY88">
        <f>SUMPRODUCT((M_BOM[Part Name]=$A88)*M_BOM[RM_Qty_Per_Batch]*IFERROR(INDEX(PP_Grid[#Data],IF(M_BOM[PPGridRow]=88,NA(),M_BOM[PPGridRow]),103),0))/25.91</f>
        <v/>
      </c>
      <c r="CZ88">
        <f>SUMPRODUCT((M_BOM[Part Name]=$A88)*M_BOM[RM_Qty_Per_Batch]*IFERROR(INDEX(PP_Grid[#Data],IF(M_BOM[PPGridRow]=88,NA(),M_BOM[PPGridRow]),104),0))/25.91</f>
        <v/>
      </c>
      <c r="DA88">
        <f>SUMPRODUCT((M_BOM[Part Name]=$A88)*M_BOM[RM_Qty_Per_Batch]*IFERROR(INDEX(PP_Grid[#Data],IF(M_BOM[PPGridRow]=88,NA(),M_BOM[PPGridRow]),105),0))/25.91</f>
        <v/>
      </c>
    </row>
    <row r="89">
      <c r="A89" t="inlineStr">
        <is>
          <t>TPP-917</t>
        </is>
      </c>
      <c r="B89">
        <f>SUMPRODUCT((M_BOM[Part Name]=$A89)*M_BOM[RM_Qty_Per_Batch]*IFERROR(INDEX(PP_Grid[#Data],IF(M_BOM[PPGridRow]=89,NA(),M_BOM[PPGridRow]),2),0))/25.89</f>
        <v/>
      </c>
      <c r="C89">
        <f>SUMPRODUCT((M_BOM[Part Name]=$A89)*M_BOM[RM_Qty_Per_Batch]*IFERROR(INDEX(PP_Grid[#Data],IF(M_BOM[PPGridRow]=89,NA(),M_BOM[PPGridRow]),3),0))/25.89</f>
        <v/>
      </c>
      <c r="D89">
        <f>SUMPRODUCT((M_BOM[Part Name]=$A89)*M_BOM[RM_Qty_Per_Batch]*IFERROR(INDEX(PP_Grid[#Data],IF(M_BOM[PPGridRow]=89,NA(),M_BOM[PPGridRow]),4),0))/25.89</f>
        <v/>
      </c>
      <c r="E89">
        <f>SUMPRODUCT((M_BOM[Part Name]=$A89)*M_BOM[RM_Qty_Per_Batch]*IFERROR(INDEX(PP_Grid[#Data],IF(M_BOM[PPGridRow]=89,NA(),M_BOM[PPGridRow]),5),0))/25.89</f>
        <v/>
      </c>
      <c r="F89">
        <f>SUMPRODUCT((M_BOM[Part Name]=$A89)*M_BOM[RM_Qty_Per_Batch]*IFERROR(INDEX(PP_Grid[#Data],IF(M_BOM[PPGridRow]=89,NA(),M_BOM[PPGridRow]),6),0))/25.89</f>
        <v/>
      </c>
      <c r="G89">
        <f>SUMPRODUCT((M_BOM[Part Name]=$A89)*M_BOM[RM_Qty_Per_Batch]*IFERROR(INDEX(PP_Grid[#Data],IF(M_BOM[PPGridRow]=89,NA(),M_BOM[PPGridRow]),7),0))/25.89</f>
        <v/>
      </c>
      <c r="H89">
        <f>SUMPRODUCT((M_BOM[Part Name]=$A89)*M_BOM[RM_Qty_Per_Batch]*IFERROR(INDEX(PP_Grid[#Data],IF(M_BOM[PPGridRow]=89,NA(),M_BOM[PPGridRow]),8),0))/25.89</f>
        <v/>
      </c>
      <c r="I89">
        <f>SUMPRODUCT((M_BOM[Part Name]=$A89)*M_BOM[RM_Qty_Per_Batch]*IFERROR(INDEX(PP_Grid[#Data],IF(M_BOM[PPGridRow]=89,NA(),M_BOM[PPGridRow]),9),0))/25.89</f>
        <v/>
      </c>
      <c r="J89">
        <f>SUMPRODUCT((M_BOM[Part Name]=$A89)*M_BOM[RM_Qty_Per_Batch]*IFERROR(INDEX(PP_Grid[#Data],IF(M_BOM[PPGridRow]=89,NA(),M_BOM[PPGridRow]),10),0))/25.89</f>
        <v/>
      </c>
      <c r="K89">
        <f>SUMPRODUCT((M_BOM[Part Name]=$A89)*M_BOM[RM_Qty_Per_Batch]*IFERROR(INDEX(PP_Grid[#Data],IF(M_BOM[PPGridRow]=89,NA(),M_BOM[PPGridRow]),11),0))/25.89</f>
        <v/>
      </c>
      <c r="L89">
        <f>SUMPRODUCT((M_BOM[Part Name]=$A89)*M_BOM[RM_Qty_Per_Batch]*IFERROR(INDEX(PP_Grid[#Data],IF(M_BOM[PPGridRow]=89,NA(),M_BOM[PPGridRow]),12),0))/25.89</f>
        <v/>
      </c>
      <c r="M89">
        <f>SUMPRODUCT((M_BOM[Part Name]=$A89)*M_BOM[RM_Qty_Per_Batch]*IFERROR(INDEX(PP_Grid[#Data],IF(M_BOM[PPGridRow]=89,NA(),M_BOM[PPGridRow]),13),0))/25.89</f>
        <v/>
      </c>
      <c r="N89">
        <f>SUMPRODUCT((M_BOM[Part Name]=$A89)*M_BOM[RM_Qty_Per_Batch]*IFERROR(INDEX(PP_Grid[#Data],IF(M_BOM[PPGridRow]=89,NA(),M_BOM[PPGridRow]),14),0))/25.89</f>
        <v/>
      </c>
      <c r="O89">
        <f>SUMPRODUCT((M_BOM[Part Name]=$A89)*M_BOM[RM_Qty_Per_Batch]*IFERROR(INDEX(PP_Grid[#Data],IF(M_BOM[PPGridRow]=89,NA(),M_BOM[PPGridRow]),15),0))/25.89</f>
        <v/>
      </c>
      <c r="P89">
        <f>SUMPRODUCT((M_BOM[Part Name]=$A89)*M_BOM[RM_Qty_Per_Batch]*IFERROR(INDEX(PP_Grid[#Data],IF(M_BOM[PPGridRow]=89,NA(),M_BOM[PPGridRow]),16),0))/25.89</f>
        <v/>
      </c>
      <c r="Q89">
        <f>SUMPRODUCT((M_BOM[Part Name]=$A89)*M_BOM[RM_Qty_Per_Batch]*IFERROR(INDEX(PP_Grid[#Data],IF(M_BOM[PPGridRow]=89,NA(),M_BOM[PPGridRow]),17),0))/25.89</f>
        <v/>
      </c>
      <c r="R89">
        <f>SUMPRODUCT((M_BOM[Part Name]=$A89)*M_BOM[RM_Qty_Per_Batch]*IFERROR(INDEX(PP_Grid[#Data],IF(M_BOM[PPGridRow]=89,NA(),M_BOM[PPGridRow]),18),0))/25.89</f>
        <v/>
      </c>
      <c r="S89">
        <f>SUMPRODUCT((M_BOM[Part Name]=$A89)*M_BOM[RM_Qty_Per_Batch]*IFERROR(INDEX(PP_Grid[#Data],IF(M_BOM[PPGridRow]=89,NA(),M_BOM[PPGridRow]),19),0))/25.89</f>
        <v/>
      </c>
      <c r="T89">
        <f>SUMPRODUCT((M_BOM[Part Name]=$A89)*M_BOM[RM_Qty_Per_Batch]*IFERROR(INDEX(PP_Grid[#Data],IF(M_BOM[PPGridRow]=89,NA(),M_BOM[PPGridRow]),20),0))/25.89</f>
        <v/>
      </c>
      <c r="U89">
        <f>SUMPRODUCT((M_BOM[Part Name]=$A89)*M_BOM[RM_Qty_Per_Batch]*IFERROR(INDEX(PP_Grid[#Data],IF(M_BOM[PPGridRow]=89,NA(),M_BOM[PPGridRow]),21),0))/25.89</f>
        <v/>
      </c>
      <c r="V89">
        <f>SUMPRODUCT((M_BOM[Part Name]=$A89)*M_BOM[RM_Qty_Per_Batch]*IFERROR(INDEX(PP_Grid[#Data],IF(M_BOM[PPGridRow]=89,NA(),M_BOM[PPGridRow]),22),0))/25.89</f>
        <v/>
      </c>
      <c r="W89">
        <f>SUMPRODUCT((M_BOM[Part Name]=$A89)*M_BOM[RM_Qty_Per_Batch]*IFERROR(INDEX(PP_Grid[#Data],IF(M_BOM[PPGridRow]=89,NA(),M_BOM[PPGridRow]),23),0))/25.89</f>
        <v/>
      </c>
      <c r="X89">
        <f>SUMPRODUCT((M_BOM[Part Name]=$A89)*M_BOM[RM_Qty_Per_Batch]*IFERROR(INDEX(PP_Grid[#Data],IF(M_BOM[PPGridRow]=89,NA(),M_BOM[PPGridRow]),24),0))/25.89</f>
        <v/>
      </c>
      <c r="Y89">
        <f>SUMPRODUCT((M_BOM[Part Name]=$A89)*M_BOM[RM_Qty_Per_Batch]*IFERROR(INDEX(PP_Grid[#Data],IF(M_BOM[PPGridRow]=89,NA(),M_BOM[PPGridRow]),25),0))/25.89</f>
        <v/>
      </c>
      <c r="Z89">
        <f>SUMPRODUCT((M_BOM[Part Name]=$A89)*M_BOM[RM_Qty_Per_Batch]*IFERROR(INDEX(PP_Grid[#Data],IF(M_BOM[PPGridRow]=89,NA(),M_BOM[PPGridRow]),26),0))/25.89</f>
        <v/>
      </c>
      <c r="AA89">
        <f>SUMPRODUCT((M_BOM[Part Name]=$A89)*M_BOM[RM_Qty_Per_Batch]*IFERROR(INDEX(PP_Grid[#Data],IF(M_BOM[PPGridRow]=89,NA(),M_BOM[PPGridRow]),27),0))/25.89</f>
        <v/>
      </c>
      <c r="AB89">
        <f>SUMPRODUCT((M_BOM[Part Name]=$A89)*M_BOM[RM_Qty_Per_Batch]*IFERROR(INDEX(PP_Grid[#Data],IF(M_BOM[PPGridRow]=89,NA(),M_BOM[PPGridRow]),28),0))/25.89</f>
        <v/>
      </c>
      <c r="AC89">
        <f>SUMPRODUCT((M_BOM[Part Name]=$A89)*M_BOM[RM_Qty_Per_Batch]*IFERROR(INDEX(PP_Grid[#Data],IF(M_BOM[PPGridRow]=89,NA(),M_BOM[PPGridRow]),29),0))/25.89</f>
        <v/>
      </c>
      <c r="AD89">
        <f>SUMPRODUCT((M_BOM[Part Name]=$A89)*M_BOM[RM_Qty_Per_Batch]*IFERROR(INDEX(PP_Grid[#Data],IF(M_BOM[PPGridRow]=89,NA(),M_BOM[PPGridRow]),30),0))/25.89</f>
        <v/>
      </c>
      <c r="AE89">
        <f>SUMPRODUCT((M_BOM[Part Name]=$A89)*M_BOM[RM_Qty_Per_Batch]*IFERROR(INDEX(PP_Grid[#Data],IF(M_BOM[PPGridRow]=89,NA(),M_BOM[PPGridRow]),31),0))/25.89</f>
        <v/>
      </c>
      <c r="AF89">
        <f>SUMPRODUCT((M_BOM[Part Name]=$A89)*M_BOM[RM_Qty_Per_Batch]*IFERROR(INDEX(PP_Grid[#Data],IF(M_BOM[PPGridRow]=89,NA(),M_BOM[PPGridRow]),32),0))/25.89</f>
        <v/>
      </c>
      <c r="AG89">
        <f>SUMPRODUCT((M_BOM[Part Name]=$A89)*M_BOM[RM_Qty_Per_Batch]*IFERROR(INDEX(PP_Grid[#Data],IF(M_BOM[PPGridRow]=89,NA(),M_BOM[PPGridRow]),33),0))/25.89</f>
        <v/>
      </c>
      <c r="AH89">
        <f>SUMPRODUCT((M_BOM[Part Name]=$A89)*M_BOM[RM_Qty_Per_Batch]*IFERROR(INDEX(PP_Grid[#Data],IF(M_BOM[PPGridRow]=89,NA(),M_BOM[PPGridRow]),34),0))/25.89</f>
        <v/>
      </c>
      <c r="AI89">
        <f>SUMPRODUCT((M_BOM[Part Name]=$A89)*M_BOM[RM_Qty_Per_Batch]*IFERROR(INDEX(PP_Grid[#Data],IF(M_BOM[PPGridRow]=89,NA(),M_BOM[PPGridRow]),35),0))/25.89</f>
        <v/>
      </c>
      <c r="AJ89">
        <f>SUMPRODUCT((M_BOM[Part Name]=$A89)*M_BOM[RM_Qty_Per_Batch]*IFERROR(INDEX(PP_Grid[#Data],IF(M_BOM[PPGridRow]=89,NA(),M_BOM[PPGridRow]),36),0))/25.89</f>
        <v/>
      </c>
      <c r="AK89">
        <f>SUMPRODUCT((M_BOM[Part Name]=$A89)*M_BOM[RM_Qty_Per_Batch]*IFERROR(INDEX(PP_Grid[#Data],IF(M_BOM[PPGridRow]=89,NA(),M_BOM[PPGridRow]),37),0))/25.89</f>
        <v/>
      </c>
      <c r="AL89">
        <f>SUMPRODUCT((M_BOM[Part Name]=$A89)*M_BOM[RM_Qty_Per_Batch]*IFERROR(INDEX(PP_Grid[#Data],IF(M_BOM[PPGridRow]=89,NA(),M_BOM[PPGridRow]),38),0))/25.89</f>
        <v/>
      </c>
      <c r="AM89">
        <f>SUMPRODUCT((M_BOM[Part Name]=$A89)*M_BOM[RM_Qty_Per_Batch]*IFERROR(INDEX(PP_Grid[#Data],IF(M_BOM[PPGridRow]=89,NA(),M_BOM[PPGridRow]),39),0))/25.89</f>
        <v/>
      </c>
      <c r="AN89">
        <f>SUMPRODUCT((M_BOM[Part Name]=$A89)*M_BOM[RM_Qty_Per_Batch]*IFERROR(INDEX(PP_Grid[#Data],IF(M_BOM[PPGridRow]=89,NA(),M_BOM[PPGridRow]),40),0))/25.89</f>
        <v/>
      </c>
      <c r="AO89">
        <f>SUMPRODUCT((M_BOM[Part Name]=$A89)*M_BOM[RM_Qty_Per_Batch]*IFERROR(INDEX(PP_Grid[#Data],IF(M_BOM[PPGridRow]=89,NA(),M_BOM[PPGridRow]),41),0))/25.89</f>
        <v/>
      </c>
      <c r="AP89">
        <f>SUMPRODUCT((M_BOM[Part Name]=$A89)*M_BOM[RM_Qty_Per_Batch]*IFERROR(INDEX(PP_Grid[#Data],IF(M_BOM[PPGridRow]=89,NA(),M_BOM[PPGridRow]),42),0))/25.89</f>
        <v/>
      </c>
      <c r="AQ89">
        <f>SUMPRODUCT((M_BOM[Part Name]=$A89)*M_BOM[RM_Qty_Per_Batch]*IFERROR(INDEX(PP_Grid[#Data],IF(M_BOM[PPGridRow]=89,NA(),M_BOM[PPGridRow]),43),0))/25.89</f>
        <v/>
      </c>
      <c r="AR89">
        <f>SUMPRODUCT((M_BOM[Part Name]=$A89)*M_BOM[RM_Qty_Per_Batch]*IFERROR(INDEX(PP_Grid[#Data],IF(M_BOM[PPGridRow]=89,NA(),M_BOM[PPGridRow]),44),0))/25.89</f>
        <v/>
      </c>
      <c r="AS89">
        <f>SUMPRODUCT((M_BOM[Part Name]=$A89)*M_BOM[RM_Qty_Per_Batch]*IFERROR(INDEX(PP_Grid[#Data],IF(M_BOM[PPGridRow]=89,NA(),M_BOM[PPGridRow]),45),0))/25.89</f>
        <v/>
      </c>
      <c r="AT89">
        <f>SUMPRODUCT((M_BOM[Part Name]=$A89)*M_BOM[RM_Qty_Per_Batch]*IFERROR(INDEX(PP_Grid[#Data],IF(M_BOM[PPGridRow]=89,NA(),M_BOM[PPGridRow]),46),0))/25.89</f>
        <v/>
      </c>
      <c r="AU89">
        <f>SUMPRODUCT((M_BOM[Part Name]=$A89)*M_BOM[RM_Qty_Per_Batch]*IFERROR(INDEX(PP_Grid[#Data],IF(M_BOM[PPGridRow]=89,NA(),M_BOM[PPGridRow]),47),0))/25.89</f>
        <v/>
      </c>
      <c r="AV89">
        <f>SUMPRODUCT((M_BOM[Part Name]=$A89)*M_BOM[RM_Qty_Per_Batch]*IFERROR(INDEX(PP_Grid[#Data],IF(M_BOM[PPGridRow]=89,NA(),M_BOM[PPGridRow]),48),0))/25.89</f>
        <v/>
      </c>
      <c r="AW89">
        <f>SUMPRODUCT((M_BOM[Part Name]=$A89)*M_BOM[RM_Qty_Per_Batch]*IFERROR(INDEX(PP_Grid[#Data],IF(M_BOM[PPGridRow]=89,NA(),M_BOM[PPGridRow]),49),0))/25.89</f>
        <v/>
      </c>
      <c r="AX89">
        <f>SUMPRODUCT((M_BOM[Part Name]=$A89)*M_BOM[RM_Qty_Per_Batch]*IFERROR(INDEX(PP_Grid[#Data],IF(M_BOM[PPGridRow]=89,NA(),M_BOM[PPGridRow]),50),0))/25.89</f>
        <v/>
      </c>
      <c r="AY89">
        <f>SUMPRODUCT((M_BOM[Part Name]=$A89)*M_BOM[RM_Qty_Per_Batch]*IFERROR(INDEX(PP_Grid[#Data],IF(M_BOM[PPGridRow]=89,NA(),M_BOM[PPGridRow]),51),0))/25.89</f>
        <v/>
      </c>
      <c r="AZ89">
        <f>SUMPRODUCT((M_BOM[Part Name]=$A89)*M_BOM[RM_Qty_Per_Batch]*IFERROR(INDEX(PP_Grid[#Data],IF(M_BOM[PPGridRow]=89,NA(),M_BOM[PPGridRow]),52),0))/25.89</f>
        <v/>
      </c>
      <c r="BA89">
        <f>SUMPRODUCT((M_BOM[Part Name]=$A89)*M_BOM[RM_Qty_Per_Batch]*IFERROR(INDEX(PP_Grid[#Data],IF(M_BOM[PPGridRow]=89,NA(),M_BOM[PPGridRow]),53),0))/25.89</f>
        <v/>
      </c>
      <c r="BB89">
        <f>SUMPRODUCT((M_BOM[Part Name]=$A89)*M_BOM[RM_Qty_Per_Batch]*IFERROR(INDEX(PP_Grid[#Data],IF(M_BOM[PPGridRow]=89,NA(),M_BOM[PPGridRow]),54),0))/25.89</f>
        <v/>
      </c>
      <c r="BC89">
        <f>SUMPRODUCT((M_BOM[Part Name]=$A89)*M_BOM[RM_Qty_Per_Batch]*IFERROR(INDEX(PP_Grid[#Data],IF(M_BOM[PPGridRow]=89,NA(),M_BOM[PPGridRow]),55),0))/25.89</f>
        <v/>
      </c>
      <c r="BD89">
        <f>SUMPRODUCT((M_BOM[Part Name]=$A89)*M_BOM[RM_Qty_Per_Batch]*IFERROR(INDEX(PP_Grid[#Data],IF(M_BOM[PPGridRow]=89,NA(),M_BOM[PPGridRow]),56),0))/25.89</f>
        <v/>
      </c>
      <c r="BE89">
        <f>SUMPRODUCT((M_BOM[Part Name]=$A89)*M_BOM[RM_Qty_Per_Batch]*IFERROR(INDEX(PP_Grid[#Data],IF(M_BOM[PPGridRow]=89,NA(),M_BOM[PPGridRow]),57),0))/25.89</f>
        <v/>
      </c>
      <c r="BF89">
        <f>SUMPRODUCT((M_BOM[Part Name]=$A89)*M_BOM[RM_Qty_Per_Batch]*IFERROR(INDEX(PP_Grid[#Data],IF(M_BOM[PPGridRow]=89,NA(),M_BOM[PPGridRow]),58),0))/25.89</f>
        <v/>
      </c>
      <c r="BG89">
        <f>SUMPRODUCT((M_BOM[Part Name]=$A89)*M_BOM[RM_Qty_Per_Batch]*IFERROR(INDEX(PP_Grid[#Data],IF(M_BOM[PPGridRow]=89,NA(),M_BOM[PPGridRow]),59),0))/25.89</f>
        <v/>
      </c>
      <c r="BH89">
        <f>SUMPRODUCT((M_BOM[Part Name]=$A89)*M_BOM[RM_Qty_Per_Batch]*IFERROR(INDEX(PP_Grid[#Data],IF(M_BOM[PPGridRow]=89,NA(),M_BOM[PPGridRow]),60),0))/25.89</f>
        <v/>
      </c>
      <c r="BI89">
        <f>SUMPRODUCT((M_BOM[Part Name]=$A89)*M_BOM[RM_Qty_Per_Batch]*IFERROR(INDEX(PP_Grid[#Data],IF(M_BOM[PPGridRow]=89,NA(),M_BOM[PPGridRow]),61),0))/25.89</f>
        <v/>
      </c>
      <c r="BJ89">
        <f>SUMPRODUCT((M_BOM[Part Name]=$A89)*M_BOM[RM_Qty_Per_Batch]*IFERROR(INDEX(PP_Grid[#Data],IF(M_BOM[PPGridRow]=89,NA(),M_BOM[PPGridRow]),62),0))/25.89</f>
        <v/>
      </c>
      <c r="BK89">
        <f>SUMPRODUCT((M_BOM[Part Name]=$A89)*M_BOM[RM_Qty_Per_Batch]*IFERROR(INDEX(PP_Grid[#Data],IF(M_BOM[PPGridRow]=89,NA(),M_BOM[PPGridRow]),63),0))/25.89</f>
        <v/>
      </c>
      <c r="BL89">
        <f>SUMPRODUCT((M_BOM[Part Name]=$A89)*M_BOM[RM_Qty_Per_Batch]*IFERROR(INDEX(PP_Grid[#Data],IF(M_BOM[PPGridRow]=89,NA(),M_BOM[PPGridRow]),64),0))/25.89</f>
        <v/>
      </c>
      <c r="BM89">
        <f>SUMPRODUCT((M_BOM[Part Name]=$A89)*M_BOM[RM_Qty_Per_Batch]*IFERROR(INDEX(PP_Grid[#Data],IF(M_BOM[PPGridRow]=89,NA(),M_BOM[PPGridRow]),65),0))/25.89</f>
        <v/>
      </c>
      <c r="BN89">
        <f>SUMPRODUCT((M_BOM[Part Name]=$A89)*M_BOM[RM_Qty_Per_Batch]*IFERROR(INDEX(PP_Grid[#Data],IF(M_BOM[PPGridRow]=89,NA(),M_BOM[PPGridRow]),66),0))/25.89</f>
        <v/>
      </c>
      <c r="BO89">
        <f>SUMPRODUCT((M_BOM[Part Name]=$A89)*M_BOM[RM_Qty_Per_Batch]*IFERROR(INDEX(PP_Grid[#Data],IF(M_BOM[PPGridRow]=89,NA(),M_BOM[PPGridRow]),67),0))/25.89</f>
        <v/>
      </c>
      <c r="BP89">
        <f>SUMPRODUCT((M_BOM[Part Name]=$A89)*M_BOM[RM_Qty_Per_Batch]*IFERROR(INDEX(PP_Grid[#Data],IF(M_BOM[PPGridRow]=89,NA(),M_BOM[PPGridRow]),68),0))/25.89</f>
        <v/>
      </c>
      <c r="BQ89">
        <f>SUMPRODUCT((M_BOM[Part Name]=$A89)*M_BOM[RM_Qty_Per_Batch]*IFERROR(INDEX(PP_Grid[#Data],IF(M_BOM[PPGridRow]=89,NA(),M_BOM[PPGridRow]),69),0))/25.89</f>
        <v/>
      </c>
      <c r="BR89">
        <f>SUMPRODUCT((M_BOM[Part Name]=$A89)*M_BOM[RM_Qty_Per_Batch]*IFERROR(INDEX(PP_Grid[#Data],IF(M_BOM[PPGridRow]=89,NA(),M_BOM[PPGridRow]),70),0))/25.89</f>
        <v/>
      </c>
      <c r="BS89">
        <f>SUMPRODUCT((M_BOM[Part Name]=$A89)*M_BOM[RM_Qty_Per_Batch]*IFERROR(INDEX(PP_Grid[#Data],IF(M_BOM[PPGridRow]=89,NA(),M_BOM[PPGridRow]),71),0))/25.89</f>
        <v/>
      </c>
      <c r="BT89">
        <f>SUMPRODUCT((M_BOM[Part Name]=$A89)*M_BOM[RM_Qty_Per_Batch]*IFERROR(INDEX(PP_Grid[#Data],IF(M_BOM[PPGridRow]=89,NA(),M_BOM[PPGridRow]),72),0))/25.89</f>
        <v/>
      </c>
      <c r="BU89">
        <f>SUMPRODUCT((M_BOM[Part Name]=$A89)*M_BOM[RM_Qty_Per_Batch]*IFERROR(INDEX(PP_Grid[#Data],IF(M_BOM[PPGridRow]=89,NA(),M_BOM[PPGridRow]),73),0))/25.89</f>
        <v/>
      </c>
      <c r="BV89">
        <f>SUMPRODUCT((M_BOM[Part Name]=$A89)*M_BOM[RM_Qty_Per_Batch]*IFERROR(INDEX(PP_Grid[#Data],IF(M_BOM[PPGridRow]=89,NA(),M_BOM[PPGridRow]),74),0))/25.89</f>
        <v/>
      </c>
      <c r="BW89">
        <f>SUMPRODUCT((M_BOM[Part Name]=$A89)*M_BOM[RM_Qty_Per_Batch]*IFERROR(INDEX(PP_Grid[#Data],IF(M_BOM[PPGridRow]=89,NA(),M_BOM[PPGridRow]),75),0))/25.89</f>
        <v/>
      </c>
      <c r="BX89">
        <f>SUMPRODUCT((M_BOM[Part Name]=$A89)*M_BOM[RM_Qty_Per_Batch]*IFERROR(INDEX(PP_Grid[#Data],IF(M_BOM[PPGridRow]=89,NA(),M_BOM[PPGridRow]),76),0))/25.89</f>
        <v/>
      </c>
      <c r="BY89">
        <f>SUMPRODUCT((M_BOM[Part Name]=$A89)*M_BOM[RM_Qty_Per_Batch]*IFERROR(INDEX(PP_Grid[#Data],IF(M_BOM[PPGridRow]=89,NA(),M_BOM[PPGridRow]),77),0))/25.89</f>
        <v/>
      </c>
      <c r="BZ89">
        <f>SUMPRODUCT((M_BOM[Part Name]=$A89)*M_BOM[RM_Qty_Per_Batch]*IFERROR(INDEX(PP_Grid[#Data],IF(M_BOM[PPGridRow]=89,NA(),M_BOM[PPGridRow]),78),0))/25.89</f>
        <v/>
      </c>
      <c r="CA89">
        <f>SUMPRODUCT((M_BOM[Part Name]=$A89)*M_BOM[RM_Qty_Per_Batch]*IFERROR(INDEX(PP_Grid[#Data],IF(M_BOM[PPGridRow]=89,NA(),M_BOM[PPGridRow]),79),0))/25.89</f>
        <v/>
      </c>
      <c r="CB89">
        <f>SUMPRODUCT((M_BOM[Part Name]=$A89)*M_BOM[RM_Qty_Per_Batch]*IFERROR(INDEX(PP_Grid[#Data],IF(M_BOM[PPGridRow]=89,NA(),M_BOM[PPGridRow]),80),0))/25.89</f>
        <v/>
      </c>
      <c r="CC89">
        <f>SUMPRODUCT((M_BOM[Part Name]=$A89)*M_BOM[RM_Qty_Per_Batch]*IFERROR(INDEX(PP_Grid[#Data],IF(M_BOM[PPGridRow]=89,NA(),M_BOM[PPGridRow]),81),0))/25.89</f>
        <v/>
      </c>
      <c r="CD89">
        <f>SUMPRODUCT((M_BOM[Part Name]=$A89)*M_BOM[RM_Qty_Per_Batch]*IFERROR(INDEX(PP_Grid[#Data],IF(M_BOM[PPGridRow]=89,NA(),M_BOM[PPGridRow]),82),0))/25.89</f>
        <v/>
      </c>
      <c r="CE89">
        <f>SUMPRODUCT((M_BOM[Part Name]=$A89)*M_BOM[RM_Qty_Per_Batch]*IFERROR(INDEX(PP_Grid[#Data],IF(M_BOM[PPGridRow]=89,NA(),M_BOM[PPGridRow]),83),0))/25.89</f>
        <v/>
      </c>
      <c r="CF89">
        <f>SUMPRODUCT((M_BOM[Part Name]=$A89)*M_BOM[RM_Qty_Per_Batch]*IFERROR(INDEX(PP_Grid[#Data],IF(M_BOM[PPGridRow]=89,NA(),M_BOM[PPGridRow]),84),0))/25.89</f>
        <v/>
      </c>
      <c r="CG89">
        <f>SUMPRODUCT((M_BOM[Part Name]=$A89)*M_BOM[RM_Qty_Per_Batch]*IFERROR(INDEX(PP_Grid[#Data],IF(M_BOM[PPGridRow]=89,NA(),M_BOM[PPGridRow]),85),0))/25.89</f>
        <v/>
      </c>
      <c r="CH89">
        <f>SUMPRODUCT((M_BOM[Part Name]=$A89)*M_BOM[RM_Qty_Per_Batch]*IFERROR(INDEX(PP_Grid[#Data],IF(M_BOM[PPGridRow]=89,NA(),M_BOM[PPGridRow]),86),0))/25.89</f>
        <v/>
      </c>
      <c r="CI89">
        <f>SUMPRODUCT((M_BOM[Part Name]=$A89)*M_BOM[RM_Qty_Per_Batch]*IFERROR(INDEX(PP_Grid[#Data],IF(M_BOM[PPGridRow]=89,NA(),M_BOM[PPGridRow]),87),0))/25.89</f>
        <v/>
      </c>
      <c r="CJ89">
        <f>SUMPRODUCT((M_BOM[Part Name]=$A89)*M_BOM[RM_Qty_Per_Batch]*IFERROR(INDEX(PP_Grid[#Data],IF(M_BOM[PPGridRow]=89,NA(),M_BOM[PPGridRow]),88),0))/25.89</f>
        <v/>
      </c>
      <c r="CK89">
        <f>SUMPRODUCT((M_BOM[Part Name]=$A89)*M_BOM[RM_Qty_Per_Batch]*IFERROR(INDEX(PP_Grid[#Data],IF(M_BOM[PPGridRow]=89,NA(),M_BOM[PPGridRow]),89),0))/25.89</f>
        <v/>
      </c>
      <c r="CL89">
        <f>SUMPRODUCT((M_BOM[Part Name]=$A89)*M_BOM[RM_Qty_Per_Batch]*IFERROR(INDEX(PP_Grid[#Data],IF(M_BOM[PPGridRow]=89,NA(),M_BOM[PPGridRow]),90),0))/25.89</f>
        <v/>
      </c>
      <c r="CM89">
        <f>SUMPRODUCT((M_BOM[Part Name]=$A89)*M_BOM[RM_Qty_Per_Batch]*IFERROR(INDEX(PP_Grid[#Data],IF(M_BOM[PPGridRow]=89,NA(),M_BOM[PPGridRow]),91),0))/25.89</f>
        <v/>
      </c>
      <c r="CN89">
        <f>SUMPRODUCT((M_BOM[Part Name]=$A89)*M_BOM[RM_Qty_Per_Batch]*IFERROR(INDEX(PP_Grid[#Data],IF(M_BOM[PPGridRow]=89,NA(),M_BOM[PPGridRow]),92),0))/25.89</f>
        <v/>
      </c>
      <c r="CO89">
        <f>SUMPRODUCT((M_BOM[Part Name]=$A89)*M_BOM[RM_Qty_Per_Batch]*IFERROR(INDEX(PP_Grid[#Data],IF(M_BOM[PPGridRow]=89,NA(),M_BOM[PPGridRow]),93),0))/25.89</f>
        <v/>
      </c>
      <c r="CP89">
        <f>SUMPRODUCT((M_BOM[Part Name]=$A89)*M_BOM[RM_Qty_Per_Batch]*IFERROR(INDEX(PP_Grid[#Data],IF(M_BOM[PPGridRow]=89,NA(),M_BOM[PPGridRow]),94),0))/25.89</f>
        <v/>
      </c>
      <c r="CQ89">
        <f>SUMPRODUCT((M_BOM[Part Name]=$A89)*M_BOM[RM_Qty_Per_Batch]*IFERROR(INDEX(PP_Grid[#Data],IF(M_BOM[PPGridRow]=89,NA(),M_BOM[PPGridRow]),95),0))/25.89</f>
        <v/>
      </c>
      <c r="CR89">
        <f>SUMPRODUCT((M_BOM[Part Name]=$A89)*M_BOM[RM_Qty_Per_Batch]*IFERROR(INDEX(PP_Grid[#Data],IF(M_BOM[PPGridRow]=89,NA(),M_BOM[PPGridRow]),96),0))/25.89</f>
        <v/>
      </c>
      <c r="CS89">
        <f>SUMPRODUCT((M_BOM[Part Name]=$A89)*M_BOM[RM_Qty_Per_Batch]*IFERROR(INDEX(PP_Grid[#Data],IF(M_BOM[PPGridRow]=89,NA(),M_BOM[PPGridRow]),97),0))/25.89</f>
        <v/>
      </c>
      <c r="CT89">
        <f>SUMPRODUCT((M_BOM[Part Name]=$A89)*M_BOM[RM_Qty_Per_Batch]*IFERROR(INDEX(PP_Grid[#Data],IF(M_BOM[PPGridRow]=89,NA(),M_BOM[PPGridRow]),98),0))/25.89</f>
        <v/>
      </c>
      <c r="CU89">
        <f>SUMPRODUCT((M_BOM[Part Name]=$A89)*M_BOM[RM_Qty_Per_Batch]*IFERROR(INDEX(PP_Grid[#Data],IF(M_BOM[PPGridRow]=89,NA(),M_BOM[PPGridRow]),99),0))/25.89</f>
        <v/>
      </c>
      <c r="CV89">
        <f>SUMPRODUCT((M_BOM[Part Name]=$A89)*M_BOM[RM_Qty_Per_Batch]*IFERROR(INDEX(PP_Grid[#Data],IF(M_BOM[PPGridRow]=89,NA(),M_BOM[PPGridRow]),100),0))/25.89</f>
        <v/>
      </c>
      <c r="CW89">
        <f>SUMPRODUCT((M_BOM[Part Name]=$A89)*M_BOM[RM_Qty_Per_Batch]*IFERROR(INDEX(PP_Grid[#Data],IF(M_BOM[PPGridRow]=89,NA(),M_BOM[PPGridRow]),101),0))/25.89</f>
        <v/>
      </c>
      <c r="CX89">
        <f>SUMPRODUCT((M_BOM[Part Name]=$A89)*M_BOM[RM_Qty_Per_Batch]*IFERROR(INDEX(PP_Grid[#Data],IF(M_BOM[PPGridRow]=89,NA(),M_BOM[PPGridRow]),102),0))/25.89</f>
        <v/>
      </c>
      <c r="CY89">
        <f>SUMPRODUCT((M_BOM[Part Name]=$A89)*M_BOM[RM_Qty_Per_Batch]*IFERROR(INDEX(PP_Grid[#Data],IF(M_BOM[PPGridRow]=89,NA(),M_BOM[PPGridRow]),103),0))/25.89</f>
        <v/>
      </c>
      <c r="CZ89">
        <f>SUMPRODUCT((M_BOM[Part Name]=$A89)*M_BOM[RM_Qty_Per_Batch]*IFERROR(INDEX(PP_Grid[#Data],IF(M_BOM[PPGridRow]=89,NA(),M_BOM[PPGridRow]),104),0))/25.89</f>
        <v/>
      </c>
      <c r="DA89">
        <f>SUMPRODUCT((M_BOM[Part Name]=$A89)*M_BOM[RM_Qty_Per_Batch]*IFERROR(INDEX(PP_Grid[#Data],IF(M_BOM[PPGridRow]=89,NA(),M_BOM[PPGridRow]),105),0))/25.89</f>
        <v/>
      </c>
    </row>
    <row r="90">
      <c r="A90" t="inlineStr">
        <is>
          <t>TPP-919</t>
        </is>
      </c>
      <c r="B90">
        <f>SUMPRODUCT((M_BOM[Part Name]=$A90)*M_BOM[RM_Qty_Per_Batch]*IFERROR(INDEX(PP_Grid[#Data],IF(M_BOM[PPGridRow]=90,NA(),M_BOM[PPGridRow]),2),0))/17.44</f>
        <v/>
      </c>
      <c r="C90">
        <f>SUMPRODUCT((M_BOM[Part Name]=$A90)*M_BOM[RM_Qty_Per_Batch]*IFERROR(INDEX(PP_Grid[#Data],IF(M_BOM[PPGridRow]=90,NA(),M_BOM[PPGridRow]),3),0))/17.44</f>
        <v/>
      </c>
      <c r="D90">
        <f>SUMPRODUCT((M_BOM[Part Name]=$A90)*M_BOM[RM_Qty_Per_Batch]*IFERROR(INDEX(PP_Grid[#Data],IF(M_BOM[PPGridRow]=90,NA(),M_BOM[PPGridRow]),4),0))/17.44</f>
        <v/>
      </c>
      <c r="E90">
        <f>SUMPRODUCT((M_BOM[Part Name]=$A90)*M_BOM[RM_Qty_Per_Batch]*IFERROR(INDEX(PP_Grid[#Data],IF(M_BOM[PPGridRow]=90,NA(),M_BOM[PPGridRow]),5),0))/17.44</f>
        <v/>
      </c>
      <c r="F90">
        <f>SUMPRODUCT((M_BOM[Part Name]=$A90)*M_BOM[RM_Qty_Per_Batch]*IFERROR(INDEX(PP_Grid[#Data],IF(M_BOM[PPGridRow]=90,NA(),M_BOM[PPGridRow]),6),0))/17.44</f>
        <v/>
      </c>
      <c r="G90">
        <f>SUMPRODUCT((M_BOM[Part Name]=$A90)*M_BOM[RM_Qty_Per_Batch]*IFERROR(INDEX(PP_Grid[#Data],IF(M_BOM[PPGridRow]=90,NA(),M_BOM[PPGridRow]),7),0))/17.44</f>
        <v/>
      </c>
      <c r="H90">
        <f>SUMPRODUCT((M_BOM[Part Name]=$A90)*M_BOM[RM_Qty_Per_Batch]*IFERROR(INDEX(PP_Grid[#Data],IF(M_BOM[PPGridRow]=90,NA(),M_BOM[PPGridRow]),8),0))/17.44</f>
        <v/>
      </c>
      <c r="I90">
        <f>SUMPRODUCT((M_BOM[Part Name]=$A90)*M_BOM[RM_Qty_Per_Batch]*IFERROR(INDEX(PP_Grid[#Data],IF(M_BOM[PPGridRow]=90,NA(),M_BOM[PPGridRow]),9),0))/17.44</f>
        <v/>
      </c>
      <c r="J90">
        <f>SUMPRODUCT((M_BOM[Part Name]=$A90)*M_BOM[RM_Qty_Per_Batch]*IFERROR(INDEX(PP_Grid[#Data],IF(M_BOM[PPGridRow]=90,NA(),M_BOM[PPGridRow]),10),0))/17.44</f>
        <v/>
      </c>
      <c r="K90">
        <f>SUMPRODUCT((M_BOM[Part Name]=$A90)*M_BOM[RM_Qty_Per_Batch]*IFERROR(INDEX(PP_Grid[#Data],IF(M_BOM[PPGridRow]=90,NA(),M_BOM[PPGridRow]),11),0))/17.44</f>
        <v/>
      </c>
      <c r="L90">
        <f>SUMPRODUCT((M_BOM[Part Name]=$A90)*M_BOM[RM_Qty_Per_Batch]*IFERROR(INDEX(PP_Grid[#Data],IF(M_BOM[PPGridRow]=90,NA(),M_BOM[PPGridRow]),12),0))/17.44</f>
        <v/>
      </c>
      <c r="M90">
        <f>SUMPRODUCT((M_BOM[Part Name]=$A90)*M_BOM[RM_Qty_Per_Batch]*IFERROR(INDEX(PP_Grid[#Data],IF(M_BOM[PPGridRow]=90,NA(),M_BOM[PPGridRow]),13),0))/17.44</f>
        <v/>
      </c>
      <c r="N90">
        <f>SUMPRODUCT((M_BOM[Part Name]=$A90)*M_BOM[RM_Qty_Per_Batch]*IFERROR(INDEX(PP_Grid[#Data],IF(M_BOM[PPGridRow]=90,NA(),M_BOM[PPGridRow]),14),0))/17.44</f>
        <v/>
      </c>
      <c r="O90">
        <f>SUMPRODUCT((M_BOM[Part Name]=$A90)*M_BOM[RM_Qty_Per_Batch]*IFERROR(INDEX(PP_Grid[#Data],IF(M_BOM[PPGridRow]=90,NA(),M_BOM[PPGridRow]),15),0))/17.44</f>
        <v/>
      </c>
      <c r="P90">
        <f>SUMPRODUCT((M_BOM[Part Name]=$A90)*M_BOM[RM_Qty_Per_Batch]*IFERROR(INDEX(PP_Grid[#Data],IF(M_BOM[PPGridRow]=90,NA(),M_BOM[PPGridRow]),16),0))/17.44</f>
        <v/>
      </c>
      <c r="Q90">
        <f>SUMPRODUCT((M_BOM[Part Name]=$A90)*M_BOM[RM_Qty_Per_Batch]*IFERROR(INDEX(PP_Grid[#Data],IF(M_BOM[PPGridRow]=90,NA(),M_BOM[PPGridRow]),17),0))/17.44</f>
        <v/>
      </c>
      <c r="R90">
        <f>SUMPRODUCT((M_BOM[Part Name]=$A90)*M_BOM[RM_Qty_Per_Batch]*IFERROR(INDEX(PP_Grid[#Data],IF(M_BOM[PPGridRow]=90,NA(),M_BOM[PPGridRow]),18),0))/17.44</f>
        <v/>
      </c>
      <c r="S90">
        <f>SUMPRODUCT((M_BOM[Part Name]=$A90)*M_BOM[RM_Qty_Per_Batch]*IFERROR(INDEX(PP_Grid[#Data],IF(M_BOM[PPGridRow]=90,NA(),M_BOM[PPGridRow]),19),0))/17.44</f>
        <v/>
      </c>
      <c r="T90">
        <f>SUMPRODUCT((M_BOM[Part Name]=$A90)*M_BOM[RM_Qty_Per_Batch]*IFERROR(INDEX(PP_Grid[#Data],IF(M_BOM[PPGridRow]=90,NA(),M_BOM[PPGridRow]),20),0))/17.44</f>
        <v/>
      </c>
      <c r="U90">
        <f>SUMPRODUCT((M_BOM[Part Name]=$A90)*M_BOM[RM_Qty_Per_Batch]*IFERROR(INDEX(PP_Grid[#Data],IF(M_BOM[PPGridRow]=90,NA(),M_BOM[PPGridRow]),21),0))/17.44</f>
        <v/>
      </c>
      <c r="V90">
        <f>SUMPRODUCT((M_BOM[Part Name]=$A90)*M_BOM[RM_Qty_Per_Batch]*IFERROR(INDEX(PP_Grid[#Data],IF(M_BOM[PPGridRow]=90,NA(),M_BOM[PPGridRow]),22),0))/17.44</f>
        <v/>
      </c>
      <c r="W90">
        <f>SUMPRODUCT((M_BOM[Part Name]=$A90)*M_BOM[RM_Qty_Per_Batch]*IFERROR(INDEX(PP_Grid[#Data],IF(M_BOM[PPGridRow]=90,NA(),M_BOM[PPGridRow]),23),0))/17.44</f>
        <v/>
      </c>
      <c r="X90">
        <f>SUMPRODUCT((M_BOM[Part Name]=$A90)*M_BOM[RM_Qty_Per_Batch]*IFERROR(INDEX(PP_Grid[#Data],IF(M_BOM[PPGridRow]=90,NA(),M_BOM[PPGridRow]),24),0))/17.44</f>
        <v/>
      </c>
      <c r="Y90">
        <f>SUMPRODUCT((M_BOM[Part Name]=$A90)*M_BOM[RM_Qty_Per_Batch]*IFERROR(INDEX(PP_Grid[#Data],IF(M_BOM[PPGridRow]=90,NA(),M_BOM[PPGridRow]),25),0))/17.44</f>
        <v/>
      </c>
      <c r="Z90">
        <f>SUMPRODUCT((M_BOM[Part Name]=$A90)*M_BOM[RM_Qty_Per_Batch]*IFERROR(INDEX(PP_Grid[#Data],IF(M_BOM[PPGridRow]=90,NA(),M_BOM[PPGridRow]),26),0))/17.44</f>
        <v/>
      </c>
      <c r="AA90">
        <f>SUMPRODUCT((M_BOM[Part Name]=$A90)*M_BOM[RM_Qty_Per_Batch]*IFERROR(INDEX(PP_Grid[#Data],IF(M_BOM[PPGridRow]=90,NA(),M_BOM[PPGridRow]),27),0))/17.44</f>
        <v/>
      </c>
      <c r="AB90">
        <f>SUMPRODUCT((M_BOM[Part Name]=$A90)*M_BOM[RM_Qty_Per_Batch]*IFERROR(INDEX(PP_Grid[#Data],IF(M_BOM[PPGridRow]=90,NA(),M_BOM[PPGridRow]),28),0))/17.44</f>
        <v/>
      </c>
      <c r="AC90">
        <f>SUMPRODUCT((M_BOM[Part Name]=$A90)*M_BOM[RM_Qty_Per_Batch]*IFERROR(INDEX(PP_Grid[#Data],IF(M_BOM[PPGridRow]=90,NA(),M_BOM[PPGridRow]),29),0))/17.44</f>
        <v/>
      </c>
      <c r="AD90">
        <f>SUMPRODUCT((M_BOM[Part Name]=$A90)*M_BOM[RM_Qty_Per_Batch]*IFERROR(INDEX(PP_Grid[#Data],IF(M_BOM[PPGridRow]=90,NA(),M_BOM[PPGridRow]),30),0))/17.44</f>
        <v/>
      </c>
      <c r="AE90">
        <f>SUMPRODUCT((M_BOM[Part Name]=$A90)*M_BOM[RM_Qty_Per_Batch]*IFERROR(INDEX(PP_Grid[#Data],IF(M_BOM[PPGridRow]=90,NA(),M_BOM[PPGridRow]),31),0))/17.44</f>
        <v/>
      </c>
      <c r="AF90">
        <f>SUMPRODUCT((M_BOM[Part Name]=$A90)*M_BOM[RM_Qty_Per_Batch]*IFERROR(INDEX(PP_Grid[#Data],IF(M_BOM[PPGridRow]=90,NA(),M_BOM[PPGridRow]),32),0))/17.44</f>
        <v/>
      </c>
      <c r="AG90">
        <f>SUMPRODUCT((M_BOM[Part Name]=$A90)*M_BOM[RM_Qty_Per_Batch]*IFERROR(INDEX(PP_Grid[#Data],IF(M_BOM[PPGridRow]=90,NA(),M_BOM[PPGridRow]),33),0))/17.44</f>
        <v/>
      </c>
      <c r="AH90">
        <f>SUMPRODUCT((M_BOM[Part Name]=$A90)*M_BOM[RM_Qty_Per_Batch]*IFERROR(INDEX(PP_Grid[#Data],IF(M_BOM[PPGridRow]=90,NA(),M_BOM[PPGridRow]),34),0))/17.44</f>
        <v/>
      </c>
      <c r="AI90">
        <f>SUMPRODUCT((M_BOM[Part Name]=$A90)*M_BOM[RM_Qty_Per_Batch]*IFERROR(INDEX(PP_Grid[#Data],IF(M_BOM[PPGridRow]=90,NA(),M_BOM[PPGridRow]),35),0))/17.44</f>
        <v/>
      </c>
      <c r="AJ90">
        <f>SUMPRODUCT((M_BOM[Part Name]=$A90)*M_BOM[RM_Qty_Per_Batch]*IFERROR(INDEX(PP_Grid[#Data],IF(M_BOM[PPGridRow]=90,NA(),M_BOM[PPGridRow]),36),0))/17.44</f>
        <v/>
      </c>
      <c r="AK90">
        <f>SUMPRODUCT((M_BOM[Part Name]=$A90)*M_BOM[RM_Qty_Per_Batch]*IFERROR(INDEX(PP_Grid[#Data],IF(M_BOM[PPGridRow]=90,NA(),M_BOM[PPGridRow]),37),0))/17.44</f>
        <v/>
      </c>
      <c r="AL90">
        <f>SUMPRODUCT((M_BOM[Part Name]=$A90)*M_BOM[RM_Qty_Per_Batch]*IFERROR(INDEX(PP_Grid[#Data],IF(M_BOM[PPGridRow]=90,NA(),M_BOM[PPGridRow]),38),0))/17.44</f>
        <v/>
      </c>
      <c r="AM90">
        <f>SUMPRODUCT((M_BOM[Part Name]=$A90)*M_BOM[RM_Qty_Per_Batch]*IFERROR(INDEX(PP_Grid[#Data],IF(M_BOM[PPGridRow]=90,NA(),M_BOM[PPGridRow]),39),0))/17.44</f>
        <v/>
      </c>
      <c r="AN90">
        <f>SUMPRODUCT((M_BOM[Part Name]=$A90)*M_BOM[RM_Qty_Per_Batch]*IFERROR(INDEX(PP_Grid[#Data],IF(M_BOM[PPGridRow]=90,NA(),M_BOM[PPGridRow]),40),0))/17.44</f>
        <v/>
      </c>
      <c r="AO90">
        <f>SUMPRODUCT((M_BOM[Part Name]=$A90)*M_BOM[RM_Qty_Per_Batch]*IFERROR(INDEX(PP_Grid[#Data],IF(M_BOM[PPGridRow]=90,NA(),M_BOM[PPGridRow]),41),0))/17.44</f>
        <v/>
      </c>
      <c r="AP90">
        <f>SUMPRODUCT((M_BOM[Part Name]=$A90)*M_BOM[RM_Qty_Per_Batch]*IFERROR(INDEX(PP_Grid[#Data],IF(M_BOM[PPGridRow]=90,NA(),M_BOM[PPGridRow]),42),0))/17.44</f>
        <v/>
      </c>
      <c r="AQ90">
        <f>SUMPRODUCT((M_BOM[Part Name]=$A90)*M_BOM[RM_Qty_Per_Batch]*IFERROR(INDEX(PP_Grid[#Data],IF(M_BOM[PPGridRow]=90,NA(),M_BOM[PPGridRow]),43),0))/17.44</f>
        <v/>
      </c>
      <c r="AR90">
        <f>SUMPRODUCT((M_BOM[Part Name]=$A90)*M_BOM[RM_Qty_Per_Batch]*IFERROR(INDEX(PP_Grid[#Data],IF(M_BOM[PPGridRow]=90,NA(),M_BOM[PPGridRow]),44),0))/17.44</f>
        <v/>
      </c>
      <c r="AS90">
        <f>SUMPRODUCT((M_BOM[Part Name]=$A90)*M_BOM[RM_Qty_Per_Batch]*IFERROR(INDEX(PP_Grid[#Data],IF(M_BOM[PPGridRow]=90,NA(),M_BOM[PPGridRow]),45),0))/17.44</f>
        <v/>
      </c>
      <c r="AT90">
        <f>SUMPRODUCT((M_BOM[Part Name]=$A90)*M_BOM[RM_Qty_Per_Batch]*IFERROR(INDEX(PP_Grid[#Data],IF(M_BOM[PPGridRow]=90,NA(),M_BOM[PPGridRow]),46),0))/17.44</f>
        <v/>
      </c>
      <c r="AU90">
        <f>SUMPRODUCT((M_BOM[Part Name]=$A90)*M_BOM[RM_Qty_Per_Batch]*IFERROR(INDEX(PP_Grid[#Data],IF(M_BOM[PPGridRow]=90,NA(),M_BOM[PPGridRow]),47),0))/17.44</f>
        <v/>
      </c>
      <c r="AV90">
        <f>SUMPRODUCT((M_BOM[Part Name]=$A90)*M_BOM[RM_Qty_Per_Batch]*IFERROR(INDEX(PP_Grid[#Data],IF(M_BOM[PPGridRow]=90,NA(),M_BOM[PPGridRow]),48),0))/17.44</f>
        <v/>
      </c>
      <c r="AW90">
        <f>SUMPRODUCT((M_BOM[Part Name]=$A90)*M_BOM[RM_Qty_Per_Batch]*IFERROR(INDEX(PP_Grid[#Data],IF(M_BOM[PPGridRow]=90,NA(),M_BOM[PPGridRow]),49),0))/17.44</f>
        <v/>
      </c>
      <c r="AX90">
        <f>SUMPRODUCT((M_BOM[Part Name]=$A90)*M_BOM[RM_Qty_Per_Batch]*IFERROR(INDEX(PP_Grid[#Data],IF(M_BOM[PPGridRow]=90,NA(),M_BOM[PPGridRow]),50),0))/17.44</f>
        <v/>
      </c>
      <c r="AY90">
        <f>SUMPRODUCT((M_BOM[Part Name]=$A90)*M_BOM[RM_Qty_Per_Batch]*IFERROR(INDEX(PP_Grid[#Data],IF(M_BOM[PPGridRow]=90,NA(),M_BOM[PPGridRow]),51),0))/17.44</f>
        <v/>
      </c>
      <c r="AZ90">
        <f>SUMPRODUCT((M_BOM[Part Name]=$A90)*M_BOM[RM_Qty_Per_Batch]*IFERROR(INDEX(PP_Grid[#Data],IF(M_BOM[PPGridRow]=90,NA(),M_BOM[PPGridRow]),52),0))/17.44</f>
        <v/>
      </c>
      <c r="BA90">
        <f>SUMPRODUCT((M_BOM[Part Name]=$A90)*M_BOM[RM_Qty_Per_Batch]*IFERROR(INDEX(PP_Grid[#Data],IF(M_BOM[PPGridRow]=90,NA(),M_BOM[PPGridRow]),53),0))/17.44</f>
        <v/>
      </c>
      <c r="BB90">
        <f>SUMPRODUCT((M_BOM[Part Name]=$A90)*M_BOM[RM_Qty_Per_Batch]*IFERROR(INDEX(PP_Grid[#Data],IF(M_BOM[PPGridRow]=90,NA(),M_BOM[PPGridRow]),54),0))/17.44</f>
        <v/>
      </c>
      <c r="BC90">
        <f>SUMPRODUCT((M_BOM[Part Name]=$A90)*M_BOM[RM_Qty_Per_Batch]*IFERROR(INDEX(PP_Grid[#Data],IF(M_BOM[PPGridRow]=90,NA(),M_BOM[PPGridRow]),55),0))/17.44</f>
        <v/>
      </c>
      <c r="BD90">
        <f>SUMPRODUCT((M_BOM[Part Name]=$A90)*M_BOM[RM_Qty_Per_Batch]*IFERROR(INDEX(PP_Grid[#Data],IF(M_BOM[PPGridRow]=90,NA(),M_BOM[PPGridRow]),56),0))/17.44</f>
        <v/>
      </c>
      <c r="BE90">
        <f>SUMPRODUCT((M_BOM[Part Name]=$A90)*M_BOM[RM_Qty_Per_Batch]*IFERROR(INDEX(PP_Grid[#Data],IF(M_BOM[PPGridRow]=90,NA(),M_BOM[PPGridRow]),57),0))/17.44</f>
        <v/>
      </c>
      <c r="BF90">
        <f>SUMPRODUCT((M_BOM[Part Name]=$A90)*M_BOM[RM_Qty_Per_Batch]*IFERROR(INDEX(PP_Grid[#Data],IF(M_BOM[PPGridRow]=90,NA(),M_BOM[PPGridRow]),58),0))/17.44</f>
        <v/>
      </c>
      <c r="BG90">
        <f>SUMPRODUCT((M_BOM[Part Name]=$A90)*M_BOM[RM_Qty_Per_Batch]*IFERROR(INDEX(PP_Grid[#Data],IF(M_BOM[PPGridRow]=90,NA(),M_BOM[PPGridRow]),59),0))/17.44</f>
        <v/>
      </c>
      <c r="BH90">
        <f>SUMPRODUCT((M_BOM[Part Name]=$A90)*M_BOM[RM_Qty_Per_Batch]*IFERROR(INDEX(PP_Grid[#Data],IF(M_BOM[PPGridRow]=90,NA(),M_BOM[PPGridRow]),60),0))/17.44</f>
        <v/>
      </c>
      <c r="BI90">
        <f>SUMPRODUCT((M_BOM[Part Name]=$A90)*M_BOM[RM_Qty_Per_Batch]*IFERROR(INDEX(PP_Grid[#Data],IF(M_BOM[PPGridRow]=90,NA(),M_BOM[PPGridRow]),61),0))/17.44</f>
        <v/>
      </c>
      <c r="BJ90">
        <f>SUMPRODUCT((M_BOM[Part Name]=$A90)*M_BOM[RM_Qty_Per_Batch]*IFERROR(INDEX(PP_Grid[#Data],IF(M_BOM[PPGridRow]=90,NA(),M_BOM[PPGridRow]),62),0))/17.44</f>
        <v/>
      </c>
      <c r="BK90">
        <f>SUMPRODUCT((M_BOM[Part Name]=$A90)*M_BOM[RM_Qty_Per_Batch]*IFERROR(INDEX(PP_Grid[#Data],IF(M_BOM[PPGridRow]=90,NA(),M_BOM[PPGridRow]),63),0))/17.44</f>
        <v/>
      </c>
      <c r="BL90">
        <f>SUMPRODUCT((M_BOM[Part Name]=$A90)*M_BOM[RM_Qty_Per_Batch]*IFERROR(INDEX(PP_Grid[#Data],IF(M_BOM[PPGridRow]=90,NA(),M_BOM[PPGridRow]),64),0))/17.44</f>
        <v/>
      </c>
      <c r="BM90">
        <f>SUMPRODUCT((M_BOM[Part Name]=$A90)*M_BOM[RM_Qty_Per_Batch]*IFERROR(INDEX(PP_Grid[#Data],IF(M_BOM[PPGridRow]=90,NA(),M_BOM[PPGridRow]),65),0))/17.44</f>
        <v/>
      </c>
      <c r="BN90">
        <f>SUMPRODUCT((M_BOM[Part Name]=$A90)*M_BOM[RM_Qty_Per_Batch]*IFERROR(INDEX(PP_Grid[#Data],IF(M_BOM[PPGridRow]=90,NA(),M_BOM[PPGridRow]),66),0))/17.44</f>
        <v/>
      </c>
      <c r="BO90">
        <f>SUMPRODUCT((M_BOM[Part Name]=$A90)*M_BOM[RM_Qty_Per_Batch]*IFERROR(INDEX(PP_Grid[#Data],IF(M_BOM[PPGridRow]=90,NA(),M_BOM[PPGridRow]),67),0))/17.44</f>
        <v/>
      </c>
      <c r="BP90">
        <f>SUMPRODUCT((M_BOM[Part Name]=$A90)*M_BOM[RM_Qty_Per_Batch]*IFERROR(INDEX(PP_Grid[#Data],IF(M_BOM[PPGridRow]=90,NA(),M_BOM[PPGridRow]),68),0))/17.44</f>
        <v/>
      </c>
      <c r="BQ90">
        <f>SUMPRODUCT((M_BOM[Part Name]=$A90)*M_BOM[RM_Qty_Per_Batch]*IFERROR(INDEX(PP_Grid[#Data],IF(M_BOM[PPGridRow]=90,NA(),M_BOM[PPGridRow]),69),0))/17.44</f>
        <v/>
      </c>
      <c r="BR90">
        <f>SUMPRODUCT((M_BOM[Part Name]=$A90)*M_BOM[RM_Qty_Per_Batch]*IFERROR(INDEX(PP_Grid[#Data],IF(M_BOM[PPGridRow]=90,NA(),M_BOM[PPGridRow]),70),0))/17.44</f>
        <v/>
      </c>
      <c r="BS90">
        <f>SUMPRODUCT((M_BOM[Part Name]=$A90)*M_BOM[RM_Qty_Per_Batch]*IFERROR(INDEX(PP_Grid[#Data],IF(M_BOM[PPGridRow]=90,NA(),M_BOM[PPGridRow]),71),0))/17.44</f>
        <v/>
      </c>
      <c r="BT90">
        <f>SUMPRODUCT((M_BOM[Part Name]=$A90)*M_BOM[RM_Qty_Per_Batch]*IFERROR(INDEX(PP_Grid[#Data],IF(M_BOM[PPGridRow]=90,NA(),M_BOM[PPGridRow]),72),0))/17.44</f>
        <v/>
      </c>
      <c r="BU90">
        <f>SUMPRODUCT((M_BOM[Part Name]=$A90)*M_BOM[RM_Qty_Per_Batch]*IFERROR(INDEX(PP_Grid[#Data],IF(M_BOM[PPGridRow]=90,NA(),M_BOM[PPGridRow]),73),0))/17.44</f>
        <v/>
      </c>
      <c r="BV90">
        <f>SUMPRODUCT((M_BOM[Part Name]=$A90)*M_BOM[RM_Qty_Per_Batch]*IFERROR(INDEX(PP_Grid[#Data],IF(M_BOM[PPGridRow]=90,NA(),M_BOM[PPGridRow]),74),0))/17.44</f>
        <v/>
      </c>
      <c r="BW90">
        <f>SUMPRODUCT((M_BOM[Part Name]=$A90)*M_BOM[RM_Qty_Per_Batch]*IFERROR(INDEX(PP_Grid[#Data],IF(M_BOM[PPGridRow]=90,NA(),M_BOM[PPGridRow]),75),0))/17.44</f>
        <v/>
      </c>
      <c r="BX90">
        <f>SUMPRODUCT((M_BOM[Part Name]=$A90)*M_BOM[RM_Qty_Per_Batch]*IFERROR(INDEX(PP_Grid[#Data],IF(M_BOM[PPGridRow]=90,NA(),M_BOM[PPGridRow]),76),0))/17.44</f>
        <v/>
      </c>
      <c r="BY90">
        <f>SUMPRODUCT((M_BOM[Part Name]=$A90)*M_BOM[RM_Qty_Per_Batch]*IFERROR(INDEX(PP_Grid[#Data],IF(M_BOM[PPGridRow]=90,NA(),M_BOM[PPGridRow]),77),0))/17.44</f>
        <v/>
      </c>
      <c r="BZ90">
        <f>SUMPRODUCT((M_BOM[Part Name]=$A90)*M_BOM[RM_Qty_Per_Batch]*IFERROR(INDEX(PP_Grid[#Data],IF(M_BOM[PPGridRow]=90,NA(),M_BOM[PPGridRow]),78),0))/17.44</f>
        <v/>
      </c>
      <c r="CA90">
        <f>SUMPRODUCT((M_BOM[Part Name]=$A90)*M_BOM[RM_Qty_Per_Batch]*IFERROR(INDEX(PP_Grid[#Data],IF(M_BOM[PPGridRow]=90,NA(),M_BOM[PPGridRow]),79),0))/17.44</f>
        <v/>
      </c>
      <c r="CB90">
        <f>SUMPRODUCT((M_BOM[Part Name]=$A90)*M_BOM[RM_Qty_Per_Batch]*IFERROR(INDEX(PP_Grid[#Data],IF(M_BOM[PPGridRow]=90,NA(),M_BOM[PPGridRow]),80),0))/17.44</f>
        <v/>
      </c>
      <c r="CC90">
        <f>SUMPRODUCT((M_BOM[Part Name]=$A90)*M_BOM[RM_Qty_Per_Batch]*IFERROR(INDEX(PP_Grid[#Data],IF(M_BOM[PPGridRow]=90,NA(),M_BOM[PPGridRow]),81),0))/17.44</f>
        <v/>
      </c>
      <c r="CD90">
        <f>SUMPRODUCT((M_BOM[Part Name]=$A90)*M_BOM[RM_Qty_Per_Batch]*IFERROR(INDEX(PP_Grid[#Data],IF(M_BOM[PPGridRow]=90,NA(),M_BOM[PPGridRow]),82),0))/17.44</f>
        <v/>
      </c>
      <c r="CE90">
        <f>SUMPRODUCT((M_BOM[Part Name]=$A90)*M_BOM[RM_Qty_Per_Batch]*IFERROR(INDEX(PP_Grid[#Data],IF(M_BOM[PPGridRow]=90,NA(),M_BOM[PPGridRow]),83),0))/17.44</f>
        <v/>
      </c>
      <c r="CF90">
        <f>SUMPRODUCT((M_BOM[Part Name]=$A90)*M_BOM[RM_Qty_Per_Batch]*IFERROR(INDEX(PP_Grid[#Data],IF(M_BOM[PPGridRow]=90,NA(),M_BOM[PPGridRow]),84),0))/17.44</f>
        <v/>
      </c>
      <c r="CG90">
        <f>SUMPRODUCT((M_BOM[Part Name]=$A90)*M_BOM[RM_Qty_Per_Batch]*IFERROR(INDEX(PP_Grid[#Data],IF(M_BOM[PPGridRow]=90,NA(),M_BOM[PPGridRow]),85),0))/17.44</f>
        <v/>
      </c>
      <c r="CH90">
        <f>SUMPRODUCT((M_BOM[Part Name]=$A90)*M_BOM[RM_Qty_Per_Batch]*IFERROR(INDEX(PP_Grid[#Data],IF(M_BOM[PPGridRow]=90,NA(),M_BOM[PPGridRow]),86),0))/17.44</f>
        <v/>
      </c>
      <c r="CI90">
        <f>SUMPRODUCT((M_BOM[Part Name]=$A90)*M_BOM[RM_Qty_Per_Batch]*IFERROR(INDEX(PP_Grid[#Data],IF(M_BOM[PPGridRow]=90,NA(),M_BOM[PPGridRow]),87),0))/17.44</f>
        <v/>
      </c>
      <c r="CJ90">
        <f>SUMPRODUCT((M_BOM[Part Name]=$A90)*M_BOM[RM_Qty_Per_Batch]*IFERROR(INDEX(PP_Grid[#Data],IF(M_BOM[PPGridRow]=90,NA(),M_BOM[PPGridRow]),88),0))/17.44</f>
        <v/>
      </c>
      <c r="CK90">
        <f>SUMPRODUCT((M_BOM[Part Name]=$A90)*M_BOM[RM_Qty_Per_Batch]*IFERROR(INDEX(PP_Grid[#Data],IF(M_BOM[PPGridRow]=90,NA(),M_BOM[PPGridRow]),89),0))/17.44</f>
        <v/>
      </c>
      <c r="CL90">
        <f>SUMPRODUCT((M_BOM[Part Name]=$A90)*M_BOM[RM_Qty_Per_Batch]*IFERROR(INDEX(PP_Grid[#Data],IF(M_BOM[PPGridRow]=90,NA(),M_BOM[PPGridRow]),90),0))/17.44</f>
        <v/>
      </c>
      <c r="CM90">
        <f>SUMPRODUCT((M_BOM[Part Name]=$A90)*M_BOM[RM_Qty_Per_Batch]*IFERROR(INDEX(PP_Grid[#Data],IF(M_BOM[PPGridRow]=90,NA(),M_BOM[PPGridRow]),91),0))/17.44</f>
        <v/>
      </c>
      <c r="CN90">
        <f>SUMPRODUCT((M_BOM[Part Name]=$A90)*M_BOM[RM_Qty_Per_Batch]*IFERROR(INDEX(PP_Grid[#Data],IF(M_BOM[PPGridRow]=90,NA(),M_BOM[PPGridRow]),92),0))/17.44</f>
        <v/>
      </c>
      <c r="CO90">
        <f>SUMPRODUCT((M_BOM[Part Name]=$A90)*M_BOM[RM_Qty_Per_Batch]*IFERROR(INDEX(PP_Grid[#Data],IF(M_BOM[PPGridRow]=90,NA(),M_BOM[PPGridRow]),93),0))/17.44</f>
        <v/>
      </c>
      <c r="CP90">
        <f>SUMPRODUCT((M_BOM[Part Name]=$A90)*M_BOM[RM_Qty_Per_Batch]*IFERROR(INDEX(PP_Grid[#Data],IF(M_BOM[PPGridRow]=90,NA(),M_BOM[PPGridRow]),94),0))/17.44</f>
        <v/>
      </c>
      <c r="CQ90">
        <f>SUMPRODUCT((M_BOM[Part Name]=$A90)*M_BOM[RM_Qty_Per_Batch]*IFERROR(INDEX(PP_Grid[#Data],IF(M_BOM[PPGridRow]=90,NA(),M_BOM[PPGridRow]),95),0))/17.44</f>
        <v/>
      </c>
      <c r="CR90">
        <f>SUMPRODUCT((M_BOM[Part Name]=$A90)*M_BOM[RM_Qty_Per_Batch]*IFERROR(INDEX(PP_Grid[#Data],IF(M_BOM[PPGridRow]=90,NA(),M_BOM[PPGridRow]),96),0))/17.44</f>
        <v/>
      </c>
      <c r="CS90">
        <f>SUMPRODUCT((M_BOM[Part Name]=$A90)*M_BOM[RM_Qty_Per_Batch]*IFERROR(INDEX(PP_Grid[#Data],IF(M_BOM[PPGridRow]=90,NA(),M_BOM[PPGridRow]),97),0))/17.44</f>
        <v/>
      </c>
      <c r="CT90">
        <f>SUMPRODUCT((M_BOM[Part Name]=$A90)*M_BOM[RM_Qty_Per_Batch]*IFERROR(INDEX(PP_Grid[#Data],IF(M_BOM[PPGridRow]=90,NA(),M_BOM[PPGridRow]),98),0))/17.44</f>
        <v/>
      </c>
      <c r="CU90">
        <f>SUMPRODUCT((M_BOM[Part Name]=$A90)*M_BOM[RM_Qty_Per_Batch]*IFERROR(INDEX(PP_Grid[#Data],IF(M_BOM[PPGridRow]=90,NA(),M_BOM[PPGridRow]),99),0))/17.44</f>
        <v/>
      </c>
      <c r="CV90">
        <f>SUMPRODUCT((M_BOM[Part Name]=$A90)*M_BOM[RM_Qty_Per_Batch]*IFERROR(INDEX(PP_Grid[#Data],IF(M_BOM[PPGridRow]=90,NA(),M_BOM[PPGridRow]),100),0))/17.44</f>
        <v/>
      </c>
      <c r="CW90">
        <f>SUMPRODUCT((M_BOM[Part Name]=$A90)*M_BOM[RM_Qty_Per_Batch]*IFERROR(INDEX(PP_Grid[#Data],IF(M_BOM[PPGridRow]=90,NA(),M_BOM[PPGridRow]),101),0))/17.44</f>
        <v/>
      </c>
      <c r="CX90">
        <f>SUMPRODUCT((M_BOM[Part Name]=$A90)*M_BOM[RM_Qty_Per_Batch]*IFERROR(INDEX(PP_Grid[#Data],IF(M_BOM[PPGridRow]=90,NA(),M_BOM[PPGridRow]),102),0))/17.44</f>
        <v/>
      </c>
      <c r="CY90">
        <f>SUMPRODUCT((M_BOM[Part Name]=$A90)*M_BOM[RM_Qty_Per_Batch]*IFERROR(INDEX(PP_Grid[#Data],IF(M_BOM[PPGridRow]=90,NA(),M_BOM[PPGridRow]),103),0))/17.44</f>
        <v/>
      </c>
      <c r="CZ90">
        <f>SUMPRODUCT((M_BOM[Part Name]=$A90)*M_BOM[RM_Qty_Per_Batch]*IFERROR(INDEX(PP_Grid[#Data],IF(M_BOM[PPGridRow]=90,NA(),M_BOM[PPGridRow]),104),0))/17.44</f>
        <v/>
      </c>
      <c r="DA90">
        <f>SUMPRODUCT((M_BOM[Part Name]=$A90)*M_BOM[RM_Qty_Per_Batch]*IFERROR(INDEX(PP_Grid[#Data],IF(M_BOM[PPGridRow]=90,NA(),M_BOM[PPGridRow]),105),0))/17.44</f>
        <v/>
      </c>
    </row>
    <row r="91">
      <c r="A91" t="inlineStr">
        <is>
          <t>TPP-920</t>
        </is>
      </c>
      <c r="B91">
        <f>SUMPRODUCT((M_BOM[Part Name]=$A91)*M_BOM[RM_Qty_Per_Batch]*IFERROR(INDEX(PP_Grid[#Data],IF(M_BOM[PPGridRow]=91,NA(),M_BOM[PPGridRow]),2),0))/18.05</f>
        <v/>
      </c>
      <c r="C91">
        <f>SUMPRODUCT((M_BOM[Part Name]=$A91)*M_BOM[RM_Qty_Per_Batch]*IFERROR(INDEX(PP_Grid[#Data],IF(M_BOM[PPGridRow]=91,NA(),M_BOM[PPGridRow]),3),0))/18.05</f>
        <v/>
      </c>
      <c r="D91">
        <f>SUMPRODUCT((M_BOM[Part Name]=$A91)*M_BOM[RM_Qty_Per_Batch]*IFERROR(INDEX(PP_Grid[#Data],IF(M_BOM[PPGridRow]=91,NA(),M_BOM[PPGridRow]),4),0))/18.05</f>
        <v/>
      </c>
      <c r="E91">
        <f>SUMPRODUCT((M_BOM[Part Name]=$A91)*M_BOM[RM_Qty_Per_Batch]*IFERROR(INDEX(PP_Grid[#Data],IF(M_BOM[PPGridRow]=91,NA(),M_BOM[PPGridRow]),5),0))/18.05</f>
        <v/>
      </c>
      <c r="F91">
        <f>SUMPRODUCT((M_BOM[Part Name]=$A91)*M_BOM[RM_Qty_Per_Batch]*IFERROR(INDEX(PP_Grid[#Data],IF(M_BOM[PPGridRow]=91,NA(),M_BOM[PPGridRow]),6),0))/18.05</f>
        <v/>
      </c>
      <c r="G91">
        <f>SUMPRODUCT((M_BOM[Part Name]=$A91)*M_BOM[RM_Qty_Per_Batch]*IFERROR(INDEX(PP_Grid[#Data],IF(M_BOM[PPGridRow]=91,NA(),M_BOM[PPGridRow]),7),0))/18.05</f>
        <v/>
      </c>
      <c r="H91">
        <f>SUMPRODUCT((M_BOM[Part Name]=$A91)*M_BOM[RM_Qty_Per_Batch]*IFERROR(INDEX(PP_Grid[#Data],IF(M_BOM[PPGridRow]=91,NA(),M_BOM[PPGridRow]),8),0))/18.05</f>
        <v/>
      </c>
      <c r="I91">
        <f>SUMPRODUCT((M_BOM[Part Name]=$A91)*M_BOM[RM_Qty_Per_Batch]*IFERROR(INDEX(PP_Grid[#Data],IF(M_BOM[PPGridRow]=91,NA(),M_BOM[PPGridRow]),9),0))/18.05</f>
        <v/>
      </c>
      <c r="J91">
        <f>SUMPRODUCT((M_BOM[Part Name]=$A91)*M_BOM[RM_Qty_Per_Batch]*IFERROR(INDEX(PP_Grid[#Data],IF(M_BOM[PPGridRow]=91,NA(),M_BOM[PPGridRow]),10),0))/18.05</f>
        <v/>
      </c>
      <c r="K91">
        <f>SUMPRODUCT((M_BOM[Part Name]=$A91)*M_BOM[RM_Qty_Per_Batch]*IFERROR(INDEX(PP_Grid[#Data],IF(M_BOM[PPGridRow]=91,NA(),M_BOM[PPGridRow]),11),0))/18.05</f>
        <v/>
      </c>
      <c r="L91">
        <f>SUMPRODUCT((M_BOM[Part Name]=$A91)*M_BOM[RM_Qty_Per_Batch]*IFERROR(INDEX(PP_Grid[#Data],IF(M_BOM[PPGridRow]=91,NA(),M_BOM[PPGridRow]),12),0))/18.05</f>
        <v/>
      </c>
      <c r="M91">
        <f>SUMPRODUCT((M_BOM[Part Name]=$A91)*M_BOM[RM_Qty_Per_Batch]*IFERROR(INDEX(PP_Grid[#Data],IF(M_BOM[PPGridRow]=91,NA(),M_BOM[PPGridRow]),13),0))/18.05</f>
        <v/>
      </c>
      <c r="N91">
        <f>SUMPRODUCT((M_BOM[Part Name]=$A91)*M_BOM[RM_Qty_Per_Batch]*IFERROR(INDEX(PP_Grid[#Data],IF(M_BOM[PPGridRow]=91,NA(),M_BOM[PPGridRow]),14),0))/18.05</f>
        <v/>
      </c>
      <c r="O91">
        <f>SUMPRODUCT((M_BOM[Part Name]=$A91)*M_BOM[RM_Qty_Per_Batch]*IFERROR(INDEX(PP_Grid[#Data],IF(M_BOM[PPGridRow]=91,NA(),M_BOM[PPGridRow]),15),0))/18.05</f>
        <v/>
      </c>
      <c r="P91">
        <f>SUMPRODUCT((M_BOM[Part Name]=$A91)*M_BOM[RM_Qty_Per_Batch]*IFERROR(INDEX(PP_Grid[#Data],IF(M_BOM[PPGridRow]=91,NA(),M_BOM[PPGridRow]),16),0))/18.05</f>
        <v/>
      </c>
      <c r="Q91">
        <f>SUMPRODUCT((M_BOM[Part Name]=$A91)*M_BOM[RM_Qty_Per_Batch]*IFERROR(INDEX(PP_Grid[#Data],IF(M_BOM[PPGridRow]=91,NA(),M_BOM[PPGridRow]),17),0))/18.05</f>
        <v/>
      </c>
      <c r="R91">
        <f>SUMPRODUCT((M_BOM[Part Name]=$A91)*M_BOM[RM_Qty_Per_Batch]*IFERROR(INDEX(PP_Grid[#Data],IF(M_BOM[PPGridRow]=91,NA(),M_BOM[PPGridRow]),18),0))/18.05</f>
        <v/>
      </c>
      <c r="S91">
        <f>SUMPRODUCT((M_BOM[Part Name]=$A91)*M_BOM[RM_Qty_Per_Batch]*IFERROR(INDEX(PP_Grid[#Data],IF(M_BOM[PPGridRow]=91,NA(),M_BOM[PPGridRow]),19),0))/18.05</f>
        <v/>
      </c>
      <c r="T91">
        <f>SUMPRODUCT((M_BOM[Part Name]=$A91)*M_BOM[RM_Qty_Per_Batch]*IFERROR(INDEX(PP_Grid[#Data],IF(M_BOM[PPGridRow]=91,NA(),M_BOM[PPGridRow]),20),0))/18.05</f>
        <v/>
      </c>
      <c r="U91">
        <f>SUMPRODUCT((M_BOM[Part Name]=$A91)*M_BOM[RM_Qty_Per_Batch]*IFERROR(INDEX(PP_Grid[#Data],IF(M_BOM[PPGridRow]=91,NA(),M_BOM[PPGridRow]),21),0))/18.05</f>
        <v/>
      </c>
      <c r="V91">
        <f>SUMPRODUCT((M_BOM[Part Name]=$A91)*M_BOM[RM_Qty_Per_Batch]*IFERROR(INDEX(PP_Grid[#Data],IF(M_BOM[PPGridRow]=91,NA(),M_BOM[PPGridRow]),22),0))/18.05</f>
        <v/>
      </c>
      <c r="W91">
        <f>SUMPRODUCT((M_BOM[Part Name]=$A91)*M_BOM[RM_Qty_Per_Batch]*IFERROR(INDEX(PP_Grid[#Data],IF(M_BOM[PPGridRow]=91,NA(),M_BOM[PPGridRow]),23),0))/18.05</f>
        <v/>
      </c>
      <c r="X91">
        <f>SUMPRODUCT((M_BOM[Part Name]=$A91)*M_BOM[RM_Qty_Per_Batch]*IFERROR(INDEX(PP_Grid[#Data],IF(M_BOM[PPGridRow]=91,NA(),M_BOM[PPGridRow]),24),0))/18.05</f>
        <v/>
      </c>
      <c r="Y91">
        <f>SUMPRODUCT((M_BOM[Part Name]=$A91)*M_BOM[RM_Qty_Per_Batch]*IFERROR(INDEX(PP_Grid[#Data],IF(M_BOM[PPGridRow]=91,NA(),M_BOM[PPGridRow]),25),0))/18.05</f>
        <v/>
      </c>
      <c r="Z91">
        <f>SUMPRODUCT((M_BOM[Part Name]=$A91)*M_BOM[RM_Qty_Per_Batch]*IFERROR(INDEX(PP_Grid[#Data],IF(M_BOM[PPGridRow]=91,NA(),M_BOM[PPGridRow]),26),0))/18.05</f>
        <v/>
      </c>
      <c r="AA91">
        <f>SUMPRODUCT((M_BOM[Part Name]=$A91)*M_BOM[RM_Qty_Per_Batch]*IFERROR(INDEX(PP_Grid[#Data],IF(M_BOM[PPGridRow]=91,NA(),M_BOM[PPGridRow]),27),0))/18.05</f>
        <v/>
      </c>
      <c r="AB91">
        <f>SUMPRODUCT((M_BOM[Part Name]=$A91)*M_BOM[RM_Qty_Per_Batch]*IFERROR(INDEX(PP_Grid[#Data],IF(M_BOM[PPGridRow]=91,NA(),M_BOM[PPGridRow]),28),0))/18.05</f>
        <v/>
      </c>
      <c r="AC91">
        <f>SUMPRODUCT((M_BOM[Part Name]=$A91)*M_BOM[RM_Qty_Per_Batch]*IFERROR(INDEX(PP_Grid[#Data],IF(M_BOM[PPGridRow]=91,NA(),M_BOM[PPGridRow]),29),0))/18.05</f>
        <v/>
      </c>
      <c r="AD91">
        <f>SUMPRODUCT((M_BOM[Part Name]=$A91)*M_BOM[RM_Qty_Per_Batch]*IFERROR(INDEX(PP_Grid[#Data],IF(M_BOM[PPGridRow]=91,NA(),M_BOM[PPGridRow]),30),0))/18.05</f>
        <v/>
      </c>
      <c r="AE91">
        <f>SUMPRODUCT((M_BOM[Part Name]=$A91)*M_BOM[RM_Qty_Per_Batch]*IFERROR(INDEX(PP_Grid[#Data],IF(M_BOM[PPGridRow]=91,NA(),M_BOM[PPGridRow]),31),0))/18.05</f>
        <v/>
      </c>
      <c r="AF91">
        <f>SUMPRODUCT((M_BOM[Part Name]=$A91)*M_BOM[RM_Qty_Per_Batch]*IFERROR(INDEX(PP_Grid[#Data],IF(M_BOM[PPGridRow]=91,NA(),M_BOM[PPGridRow]),32),0))/18.05</f>
        <v/>
      </c>
      <c r="AG91">
        <f>SUMPRODUCT((M_BOM[Part Name]=$A91)*M_BOM[RM_Qty_Per_Batch]*IFERROR(INDEX(PP_Grid[#Data],IF(M_BOM[PPGridRow]=91,NA(),M_BOM[PPGridRow]),33),0))/18.05</f>
        <v/>
      </c>
      <c r="AH91">
        <f>SUMPRODUCT((M_BOM[Part Name]=$A91)*M_BOM[RM_Qty_Per_Batch]*IFERROR(INDEX(PP_Grid[#Data],IF(M_BOM[PPGridRow]=91,NA(),M_BOM[PPGridRow]),34),0))/18.05</f>
        <v/>
      </c>
      <c r="AI91">
        <f>SUMPRODUCT((M_BOM[Part Name]=$A91)*M_BOM[RM_Qty_Per_Batch]*IFERROR(INDEX(PP_Grid[#Data],IF(M_BOM[PPGridRow]=91,NA(),M_BOM[PPGridRow]),35),0))/18.05</f>
        <v/>
      </c>
      <c r="AJ91">
        <f>SUMPRODUCT((M_BOM[Part Name]=$A91)*M_BOM[RM_Qty_Per_Batch]*IFERROR(INDEX(PP_Grid[#Data],IF(M_BOM[PPGridRow]=91,NA(),M_BOM[PPGridRow]),36),0))/18.05</f>
        <v/>
      </c>
      <c r="AK91">
        <f>SUMPRODUCT((M_BOM[Part Name]=$A91)*M_BOM[RM_Qty_Per_Batch]*IFERROR(INDEX(PP_Grid[#Data],IF(M_BOM[PPGridRow]=91,NA(),M_BOM[PPGridRow]),37),0))/18.05</f>
        <v/>
      </c>
      <c r="AL91">
        <f>SUMPRODUCT((M_BOM[Part Name]=$A91)*M_BOM[RM_Qty_Per_Batch]*IFERROR(INDEX(PP_Grid[#Data],IF(M_BOM[PPGridRow]=91,NA(),M_BOM[PPGridRow]),38),0))/18.05</f>
        <v/>
      </c>
      <c r="AM91">
        <f>SUMPRODUCT((M_BOM[Part Name]=$A91)*M_BOM[RM_Qty_Per_Batch]*IFERROR(INDEX(PP_Grid[#Data],IF(M_BOM[PPGridRow]=91,NA(),M_BOM[PPGridRow]),39),0))/18.05</f>
        <v/>
      </c>
      <c r="AN91">
        <f>SUMPRODUCT((M_BOM[Part Name]=$A91)*M_BOM[RM_Qty_Per_Batch]*IFERROR(INDEX(PP_Grid[#Data],IF(M_BOM[PPGridRow]=91,NA(),M_BOM[PPGridRow]),40),0))/18.05</f>
        <v/>
      </c>
      <c r="AO91">
        <f>SUMPRODUCT((M_BOM[Part Name]=$A91)*M_BOM[RM_Qty_Per_Batch]*IFERROR(INDEX(PP_Grid[#Data],IF(M_BOM[PPGridRow]=91,NA(),M_BOM[PPGridRow]),41),0))/18.05</f>
        <v/>
      </c>
      <c r="AP91">
        <f>SUMPRODUCT((M_BOM[Part Name]=$A91)*M_BOM[RM_Qty_Per_Batch]*IFERROR(INDEX(PP_Grid[#Data],IF(M_BOM[PPGridRow]=91,NA(),M_BOM[PPGridRow]),42),0))/18.05</f>
        <v/>
      </c>
      <c r="AQ91">
        <f>SUMPRODUCT((M_BOM[Part Name]=$A91)*M_BOM[RM_Qty_Per_Batch]*IFERROR(INDEX(PP_Grid[#Data],IF(M_BOM[PPGridRow]=91,NA(),M_BOM[PPGridRow]),43),0))/18.05</f>
        <v/>
      </c>
      <c r="AR91">
        <f>SUMPRODUCT((M_BOM[Part Name]=$A91)*M_BOM[RM_Qty_Per_Batch]*IFERROR(INDEX(PP_Grid[#Data],IF(M_BOM[PPGridRow]=91,NA(),M_BOM[PPGridRow]),44),0))/18.05</f>
        <v/>
      </c>
      <c r="AS91">
        <f>SUMPRODUCT((M_BOM[Part Name]=$A91)*M_BOM[RM_Qty_Per_Batch]*IFERROR(INDEX(PP_Grid[#Data],IF(M_BOM[PPGridRow]=91,NA(),M_BOM[PPGridRow]),45),0))/18.05</f>
        <v/>
      </c>
      <c r="AT91">
        <f>SUMPRODUCT((M_BOM[Part Name]=$A91)*M_BOM[RM_Qty_Per_Batch]*IFERROR(INDEX(PP_Grid[#Data],IF(M_BOM[PPGridRow]=91,NA(),M_BOM[PPGridRow]),46),0))/18.05</f>
        <v/>
      </c>
      <c r="AU91">
        <f>SUMPRODUCT((M_BOM[Part Name]=$A91)*M_BOM[RM_Qty_Per_Batch]*IFERROR(INDEX(PP_Grid[#Data],IF(M_BOM[PPGridRow]=91,NA(),M_BOM[PPGridRow]),47),0))/18.05</f>
        <v/>
      </c>
      <c r="AV91">
        <f>SUMPRODUCT((M_BOM[Part Name]=$A91)*M_BOM[RM_Qty_Per_Batch]*IFERROR(INDEX(PP_Grid[#Data],IF(M_BOM[PPGridRow]=91,NA(),M_BOM[PPGridRow]),48),0))/18.05</f>
        <v/>
      </c>
      <c r="AW91">
        <f>SUMPRODUCT((M_BOM[Part Name]=$A91)*M_BOM[RM_Qty_Per_Batch]*IFERROR(INDEX(PP_Grid[#Data],IF(M_BOM[PPGridRow]=91,NA(),M_BOM[PPGridRow]),49),0))/18.05</f>
        <v/>
      </c>
      <c r="AX91">
        <f>SUMPRODUCT((M_BOM[Part Name]=$A91)*M_BOM[RM_Qty_Per_Batch]*IFERROR(INDEX(PP_Grid[#Data],IF(M_BOM[PPGridRow]=91,NA(),M_BOM[PPGridRow]),50),0))/18.05</f>
        <v/>
      </c>
      <c r="AY91">
        <f>SUMPRODUCT((M_BOM[Part Name]=$A91)*M_BOM[RM_Qty_Per_Batch]*IFERROR(INDEX(PP_Grid[#Data],IF(M_BOM[PPGridRow]=91,NA(),M_BOM[PPGridRow]),51),0))/18.05</f>
        <v/>
      </c>
      <c r="AZ91">
        <f>SUMPRODUCT((M_BOM[Part Name]=$A91)*M_BOM[RM_Qty_Per_Batch]*IFERROR(INDEX(PP_Grid[#Data],IF(M_BOM[PPGridRow]=91,NA(),M_BOM[PPGridRow]),52),0))/18.05</f>
        <v/>
      </c>
      <c r="BA91">
        <f>SUMPRODUCT((M_BOM[Part Name]=$A91)*M_BOM[RM_Qty_Per_Batch]*IFERROR(INDEX(PP_Grid[#Data],IF(M_BOM[PPGridRow]=91,NA(),M_BOM[PPGridRow]),53),0))/18.05</f>
        <v/>
      </c>
      <c r="BB91">
        <f>SUMPRODUCT((M_BOM[Part Name]=$A91)*M_BOM[RM_Qty_Per_Batch]*IFERROR(INDEX(PP_Grid[#Data],IF(M_BOM[PPGridRow]=91,NA(),M_BOM[PPGridRow]),54),0))/18.05</f>
        <v/>
      </c>
      <c r="BC91">
        <f>SUMPRODUCT((M_BOM[Part Name]=$A91)*M_BOM[RM_Qty_Per_Batch]*IFERROR(INDEX(PP_Grid[#Data],IF(M_BOM[PPGridRow]=91,NA(),M_BOM[PPGridRow]),55),0))/18.05</f>
        <v/>
      </c>
      <c r="BD91">
        <f>SUMPRODUCT((M_BOM[Part Name]=$A91)*M_BOM[RM_Qty_Per_Batch]*IFERROR(INDEX(PP_Grid[#Data],IF(M_BOM[PPGridRow]=91,NA(),M_BOM[PPGridRow]),56),0))/18.05</f>
        <v/>
      </c>
      <c r="BE91">
        <f>SUMPRODUCT((M_BOM[Part Name]=$A91)*M_BOM[RM_Qty_Per_Batch]*IFERROR(INDEX(PP_Grid[#Data],IF(M_BOM[PPGridRow]=91,NA(),M_BOM[PPGridRow]),57),0))/18.05</f>
        <v/>
      </c>
      <c r="BF91">
        <f>SUMPRODUCT((M_BOM[Part Name]=$A91)*M_BOM[RM_Qty_Per_Batch]*IFERROR(INDEX(PP_Grid[#Data],IF(M_BOM[PPGridRow]=91,NA(),M_BOM[PPGridRow]),58),0))/18.05</f>
        <v/>
      </c>
      <c r="BG91">
        <f>SUMPRODUCT((M_BOM[Part Name]=$A91)*M_BOM[RM_Qty_Per_Batch]*IFERROR(INDEX(PP_Grid[#Data],IF(M_BOM[PPGridRow]=91,NA(),M_BOM[PPGridRow]),59),0))/18.05</f>
        <v/>
      </c>
      <c r="BH91">
        <f>SUMPRODUCT((M_BOM[Part Name]=$A91)*M_BOM[RM_Qty_Per_Batch]*IFERROR(INDEX(PP_Grid[#Data],IF(M_BOM[PPGridRow]=91,NA(),M_BOM[PPGridRow]),60),0))/18.05</f>
        <v/>
      </c>
      <c r="BI91">
        <f>SUMPRODUCT((M_BOM[Part Name]=$A91)*M_BOM[RM_Qty_Per_Batch]*IFERROR(INDEX(PP_Grid[#Data],IF(M_BOM[PPGridRow]=91,NA(),M_BOM[PPGridRow]),61),0))/18.05</f>
        <v/>
      </c>
      <c r="BJ91">
        <f>SUMPRODUCT((M_BOM[Part Name]=$A91)*M_BOM[RM_Qty_Per_Batch]*IFERROR(INDEX(PP_Grid[#Data],IF(M_BOM[PPGridRow]=91,NA(),M_BOM[PPGridRow]),62),0))/18.05</f>
        <v/>
      </c>
      <c r="BK91">
        <f>SUMPRODUCT((M_BOM[Part Name]=$A91)*M_BOM[RM_Qty_Per_Batch]*IFERROR(INDEX(PP_Grid[#Data],IF(M_BOM[PPGridRow]=91,NA(),M_BOM[PPGridRow]),63),0))/18.05</f>
        <v/>
      </c>
      <c r="BL91">
        <f>SUMPRODUCT((M_BOM[Part Name]=$A91)*M_BOM[RM_Qty_Per_Batch]*IFERROR(INDEX(PP_Grid[#Data],IF(M_BOM[PPGridRow]=91,NA(),M_BOM[PPGridRow]),64),0))/18.05</f>
        <v/>
      </c>
      <c r="BM91">
        <f>SUMPRODUCT((M_BOM[Part Name]=$A91)*M_BOM[RM_Qty_Per_Batch]*IFERROR(INDEX(PP_Grid[#Data],IF(M_BOM[PPGridRow]=91,NA(),M_BOM[PPGridRow]),65),0))/18.05</f>
        <v/>
      </c>
      <c r="BN91">
        <f>SUMPRODUCT((M_BOM[Part Name]=$A91)*M_BOM[RM_Qty_Per_Batch]*IFERROR(INDEX(PP_Grid[#Data],IF(M_BOM[PPGridRow]=91,NA(),M_BOM[PPGridRow]),66),0))/18.05</f>
        <v/>
      </c>
      <c r="BO91">
        <f>SUMPRODUCT((M_BOM[Part Name]=$A91)*M_BOM[RM_Qty_Per_Batch]*IFERROR(INDEX(PP_Grid[#Data],IF(M_BOM[PPGridRow]=91,NA(),M_BOM[PPGridRow]),67),0))/18.05</f>
        <v/>
      </c>
      <c r="BP91">
        <f>SUMPRODUCT((M_BOM[Part Name]=$A91)*M_BOM[RM_Qty_Per_Batch]*IFERROR(INDEX(PP_Grid[#Data],IF(M_BOM[PPGridRow]=91,NA(),M_BOM[PPGridRow]),68),0))/18.05</f>
        <v/>
      </c>
      <c r="BQ91">
        <f>SUMPRODUCT((M_BOM[Part Name]=$A91)*M_BOM[RM_Qty_Per_Batch]*IFERROR(INDEX(PP_Grid[#Data],IF(M_BOM[PPGridRow]=91,NA(),M_BOM[PPGridRow]),69),0))/18.05</f>
        <v/>
      </c>
      <c r="BR91">
        <f>SUMPRODUCT((M_BOM[Part Name]=$A91)*M_BOM[RM_Qty_Per_Batch]*IFERROR(INDEX(PP_Grid[#Data],IF(M_BOM[PPGridRow]=91,NA(),M_BOM[PPGridRow]),70),0))/18.05</f>
        <v/>
      </c>
      <c r="BS91">
        <f>SUMPRODUCT((M_BOM[Part Name]=$A91)*M_BOM[RM_Qty_Per_Batch]*IFERROR(INDEX(PP_Grid[#Data],IF(M_BOM[PPGridRow]=91,NA(),M_BOM[PPGridRow]),71),0))/18.05</f>
        <v/>
      </c>
      <c r="BT91">
        <f>SUMPRODUCT((M_BOM[Part Name]=$A91)*M_BOM[RM_Qty_Per_Batch]*IFERROR(INDEX(PP_Grid[#Data],IF(M_BOM[PPGridRow]=91,NA(),M_BOM[PPGridRow]),72),0))/18.05</f>
        <v/>
      </c>
      <c r="BU91">
        <f>SUMPRODUCT((M_BOM[Part Name]=$A91)*M_BOM[RM_Qty_Per_Batch]*IFERROR(INDEX(PP_Grid[#Data],IF(M_BOM[PPGridRow]=91,NA(),M_BOM[PPGridRow]),73),0))/18.05</f>
        <v/>
      </c>
      <c r="BV91">
        <f>SUMPRODUCT((M_BOM[Part Name]=$A91)*M_BOM[RM_Qty_Per_Batch]*IFERROR(INDEX(PP_Grid[#Data],IF(M_BOM[PPGridRow]=91,NA(),M_BOM[PPGridRow]),74),0))/18.05</f>
        <v/>
      </c>
      <c r="BW91">
        <f>SUMPRODUCT((M_BOM[Part Name]=$A91)*M_BOM[RM_Qty_Per_Batch]*IFERROR(INDEX(PP_Grid[#Data],IF(M_BOM[PPGridRow]=91,NA(),M_BOM[PPGridRow]),75),0))/18.05</f>
        <v/>
      </c>
      <c r="BX91">
        <f>SUMPRODUCT((M_BOM[Part Name]=$A91)*M_BOM[RM_Qty_Per_Batch]*IFERROR(INDEX(PP_Grid[#Data],IF(M_BOM[PPGridRow]=91,NA(),M_BOM[PPGridRow]),76),0))/18.05</f>
        <v/>
      </c>
      <c r="BY91">
        <f>SUMPRODUCT((M_BOM[Part Name]=$A91)*M_BOM[RM_Qty_Per_Batch]*IFERROR(INDEX(PP_Grid[#Data],IF(M_BOM[PPGridRow]=91,NA(),M_BOM[PPGridRow]),77),0))/18.05</f>
        <v/>
      </c>
      <c r="BZ91">
        <f>SUMPRODUCT((M_BOM[Part Name]=$A91)*M_BOM[RM_Qty_Per_Batch]*IFERROR(INDEX(PP_Grid[#Data],IF(M_BOM[PPGridRow]=91,NA(),M_BOM[PPGridRow]),78),0))/18.05</f>
        <v/>
      </c>
      <c r="CA91">
        <f>SUMPRODUCT((M_BOM[Part Name]=$A91)*M_BOM[RM_Qty_Per_Batch]*IFERROR(INDEX(PP_Grid[#Data],IF(M_BOM[PPGridRow]=91,NA(),M_BOM[PPGridRow]),79),0))/18.05</f>
        <v/>
      </c>
      <c r="CB91">
        <f>SUMPRODUCT((M_BOM[Part Name]=$A91)*M_BOM[RM_Qty_Per_Batch]*IFERROR(INDEX(PP_Grid[#Data],IF(M_BOM[PPGridRow]=91,NA(),M_BOM[PPGridRow]),80),0))/18.05</f>
        <v/>
      </c>
      <c r="CC91">
        <f>SUMPRODUCT((M_BOM[Part Name]=$A91)*M_BOM[RM_Qty_Per_Batch]*IFERROR(INDEX(PP_Grid[#Data],IF(M_BOM[PPGridRow]=91,NA(),M_BOM[PPGridRow]),81),0))/18.05</f>
        <v/>
      </c>
      <c r="CD91">
        <f>SUMPRODUCT((M_BOM[Part Name]=$A91)*M_BOM[RM_Qty_Per_Batch]*IFERROR(INDEX(PP_Grid[#Data],IF(M_BOM[PPGridRow]=91,NA(),M_BOM[PPGridRow]),82),0))/18.05</f>
        <v/>
      </c>
      <c r="CE91">
        <f>SUMPRODUCT((M_BOM[Part Name]=$A91)*M_BOM[RM_Qty_Per_Batch]*IFERROR(INDEX(PP_Grid[#Data],IF(M_BOM[PPGridRow]=91,NA(),M_BOM[PPGridRow]),83),0))/18.05</f>
        <v/>
      </c>
      <c r="CF91">
        <f>SUMPRODUCT((M_BOM[Part Name]=$A91)*M_BOM[RM_Qty_Per_Batch]*IFERROR(INDEX(PP_Grid[#Data],IF(M_BOM[PPGridRow]=91,NA(),M_BOM[PPGridRow]),84),0))/18.05</f>
        <v/>
      </c>
      <c r="CG91">
        <f>SUMPRODUCT((M_BOM[Part Name]=$A91)*M_BOM[RM_Qty_Per_Batch]*IFERROR(INDEX(PP_Grid[#Data],IF(M_BOM[PPGridRow]=91,NA(),M_BOM[PPGridRow]),85),0))/18.05</f>
        <v/>
      </c>
      <c r="CH91">
        <f>SUMPRODUCT((M_BOM[Part Name]=$A91)*M_BOM[RM_Qty_Per_Batch]*IFERROR(INDEX(PP_Grid[#Data],IF(M_BOM[PPGridRow]=91,NA(),M_BOM[PPGridRow]),86),0))/18.05</f>
        <v/>
      </c>
      <c r="CI91">
        <f>SUMPRODUCT((M_BOM[Part Name]=$A91)*M_BOM[RM_Qty_Per_Batch]*IFERROR(INDEX(PP_Grid[#Data],IF(M_BOM[PPGridRow]=91,NA(),M_BOM[PPGridRow]),87),0))/18.05</f>
        <v/>
      </c>
      <c r="CJ91">
        <f>SUMPRODUCT((M_BOM[Part Name]=$A91)*M_BOM[RM_Qty_Per_Batch]*IFERROR(INDEX(PP_Grid[#Data],IF(M_BOM[PPGridRow]=91,NA(),M_BOM[PPGridRow]),88),0))/18.05</f>
        <v/>
      </c>
      <c r="CK91">
        <f>SUMPRODUCT((M_BOM[Part Name]=$A91)*M_BOM[RM_Qty_Per_Batch]*IFERROR(INDEX(PP_Grid[#Data],IF(M_BOM[PPGridRow]=91,NA(),M_BOM[PPGridRow]),89),0))/18.05</f>
        <v/>
      </c>
      <c r="CL91">
        <f>SUMPRODUCT((M_BOM[Part Name]=$A91)*M_BOM[RM_Qty_Per_Batch]*IFERROR(INDEX(PP_Grid[#Data],IF(M_BOM[PPGridRow]=91,NA(),M_BOM[PPGridRow]),90),0))/18.05</f>
        <v/>
      </c>
      <c r="CM91">
        <f>SUMPRODUCT((M_BOM[Part Name]=$A91)*M_BOM[RM_Qty_Per_Batch]*IFERROR(INDEX(PP_Grid[#Data],IF(M_BOM[PPGridRow]=91,NA(),M_BOM[PPGridRow]),91),0))/18.05</f>
        <v/>
      </c>
      <c r="CN91">
        <f>SUMPRODUCT((M_BOM[Part Name]=$A91)*M_BOM[RM_Qty_Per_Batch]*IFERROR(INDEX(PP_Grid[#Data],IF(M_BOM[PPGridRow]=91,NA(),M_BOM[PPGridRow]),92),0))/18.05</f>
        <v/>
      </c>
      <c r="CO91">
        <f>SUMPRODUCT((M_BOM[Part Name]=$A91)*M_BOM[RM_Qty_Per_Batch]*IFERROR(INDEX(PP_Grid[#Data],IF(M_BOM[PPGridRow]=91,NA(),M_BOM[PPGridRow]),93),0))/18.05</f>
        <v/>
      </c>
      <c r="CP91">
        <f>SUMPRODUCT((M_BOM[Part Name]=$A91)*M_BOM[RM_Qty_Per_Batch]*IFERROR(INDEX(PP_Grid[#Data],IF(M_BOM[PPGridRow]=91,NA(),M_BOM[PPGridRow]),94),0))/18.05</f>
        <v/>
      </c>
      <c r="CQ91">
        <f>SUMPRODUCT((M_BOM[Part Name]=$A91)*M_BOM[RM_Qty_Per_Batch]*IFERROR(INDEX(PP_Grid[#Data],IF(M_BOM[PPGridRow]=91,NA(),M_BOM[PPGridRow]),95),0))/18.05</f>
        <v/>
      </c>
      <c r="CR91">
        <f>SUMPRODUCT((M_BOM[Part Name]=$A91)*M_BOM[RM_Qty_Per_Batch]*IFERROR(INDEX(PP_Grid[#Data],IF(M_BOM[PPGridRow]=91,NA(),M_BOM[PPGridRow]),96),0))/18.05</f>
        <v/>
      </c>
      <c r="CS91">
        <f>SUMPRODUCT((M_BOM[Part Name]=$A91)*M_BOM[RM_Qty_Per_Batch]*IFERROR(INDEX(PP_Grid[#Data],IF(M_BOM[PPGridRow]=91,NA(),M_BOM[PPGridRow]),97),0))/18.05</f>
        <v/>
      </c>
      <c r="CT91">
        <f>SUMPRODUCT((M_BOM[Part Name]=$A91)*M_BOM[RM_Qty_Per_Batch]*IFERROR(INDEX(PP_Grid[#Data],IF(M_BOM[PPGridRow]=91,NA(),M_BOM[PPGridRow]),98),0))/18.05</f>
        <v/>
      </c>
      <c r="CU91">
        <f>SUMPRODUCT((M_BOM[Part Name]=$A91)*M_BOM[RM_Qty_Per_Batch]*IFERROR(INDEX(PP_Grid[#Data],IF(M_BOM[PPGridRow]=91,NA(),M_BOM[PPGridRow]),99),0))/18.05</f>
        <v/>
      </c>
      <c r="CV91">
        <f>SUMPRODUCT((M_BOM[Part Name]=$A91)*M_BOM[RM_Qty_Per_Batch]*IFERROR(INDEX(PP_Grid[#Data],IF(M_BOM[PPGridRow]=91,NA(),M_BOM[PPGridRow]),100),0))/18.05</f>
        <v/>
      </c>
      <c r="CW91">
        <f>SUMPRODUCT((M_BOM[Part Name]=$A91)*M_BOM[RM_Qty_Per_Batch]*IFERROR(INDEX(PP_Grid[#Data],IF(M_BOM[PPGridRow]=91,NA(),M_BOM[PPGridRow]),101),0))/18.05</f>
        <v/>
      </c>
      <c r="CX91">
        <f>SUMPRODUCT((M_BOM[Part Name]=$A91)*M_BOM[RM_Qty_Per_Batch]*IFERROR(INDEX(PP_Grid[#Data],IF(M_BOM[PPGridRow]=91,NA(),M_BOM[PPGridRow]),102),0))/18.05</f>
        <v/>
      </c>
      <c r="CY91">
        <f>SUMPRODUCT((M_BOM[Part Name]=$A91)*M_BOM[RM_Qty_Per_Batch]*IFERROR(INDEX(PP_Grid[#Data],IF(M_BOM[PPGridRow]=91,NA(),M_BOM[PPGridRow]),103),0))/18.05</f>
        <v/>
      </c>
      <c r="CZ91">
        <f>SUMPRODUCT((M_BOM[Part Name]=$A91)*M_BOM[RM_Qty_Per_Batch]*IFERROR(INDEX(PP_Grid[#Data],IF(M_BOM[PPGridRow]=91,NA(),M_BOM[PPGridRow]),104),0))/18.05</f>
        <v/>
      </c>
      <c r="DA91">
        <f>SUMPRODUCT((M_BOM[Part Name]=$A91)*M_BOM[RM_Qty_Per_Batch]*IFERROR(INDEX(PP_Grid[#Data],IF(M_BOM[PPGridRow]=91,NA(),M_BOM[PPGridRow]),105),0))/18.05</f>
        <v/>
      </c>
    </row>
    <row r="92">
      <c r="A92" t="inlineStr">
        <is>
          <t>TPP-922</t>
        </is>
      </c>
      <c r="B92">
        <f>SUMPRODUCT((M_BOM[Part Name]=$A92)*M_BOM[RM_Qty_Per_Batch]*IFERROR(INDEX(PP_Grid[#Data],IF(M_BOM[PPGridRow]=92,NA(),M_BOM[PPGridRow]),2),0))/17.69</f>
        <v/>
      </c>
      <c r="C92">
        <f>SUMPRODUCT((M_BOM[Part Name]=$A92)*M_BOM[RM_Qty_Per_Batch]*IFERROR(INDEX(PP_Grid[#Data],IF(M_BOM[PPGridRow]=92,NA(),M_BOM[PPGridRow]),3),0))/17.69</f>
        <v/>
      </c>
      <c r="D92">
        <f>SUMPRODUCT((M_BOM[Part Name]=$A92)*M_BOM[RM_Qty_Per_Batch]*IFERROR(INDEX(PP_Grid[#Data],IF(M_BOM[PPGridRow]=92,NA(),M_BOM[PPGridRow]),4),0))/17.69</f>
        <v/>
      </c>
      <c r="E92">
        <f>SUMPRODUCT((M_BOM[Part Name]=$A92)*M_BOM[RM_Qty_Per_Batch]*IFERROR(INDEX(PP_Grid[#Data],IF(M_BOM[PPGridRow]=92,NA(),M_BOM[PPGridRow]),5),0))/17.69</f>
        <v/>
      </c>
      <c r="F92">
        <f>SUMPRODUCT((M_BOM[Part Name]=$A92)*M_BOM[RM_Qty_Per_Batch]*IFERROR(INDEX(PP_Grid[#Data],IF(M_BOM[PPGridRow]=92,NA(),M_BOM[PPGridRow]),6),0))/17.69</f>
        <v/>
      </c>
      <c r="G92">
        <f>SUMPRODUCT((M_BOM[Part Name]=$A92)*M_BOM[RM_Qty_Per_Batch]*IFERROR(INDEX(PP_Grid[#Data],IF(M_BOM[PPGridRow]=92,NA(),M_BOM[PPGridRow]),7),0))/17.69</f>
        <v/>
      </c>
      <c r="H92">
        <f>SUMPRODUCT((M_BOM[Part Name]=$A92)*M_BOM[RM_Qty_Per_Batch]*IFERROR(INDEX(PP_Grid[#Data],IF(M_BOM[PPGridRow]=92,NA(),M_BOM[PPGridRow]),8),0))/17.69</f>
        <v/>
      </c>
      <c r="I92">
        <f>SUMPRODUCT((M_BOM[Part Name]=$A92)*M_BOM[RM_Qty_Per_Batch]*IFERROR(INDEX(PP_Grid[#Data],IF(M_BOM[PPGridRow]=92,NA(),M_BOM[PPGridRow]),9),0))/17.69</f>
        <v/>
      </c>
      <c r="J92">
        <f>SUMPRODUCT((M_BOM[Part Name]=$A92)*M_BOM[RM_Qty_Per_Batch]*IFERROR(INDEX(PP_Grid[#Data],IF(M_BOM[PPGridRow]=92,NA(),M_BOM[PPGridRow]),10),0))/17.69</f>
        <v/>
      </c>
      <c r="K92">
        <f>SUMPRODUCT((M_BOM[Part Name]=$A92)*M_BOM[RM_Qty_Per_Batch]*IFERROR(INDEX(PP_Grid[#Data],IF(M_BOM[PPGridRow]=92,NA(),M_BOM[PPGridRow]),11),0))/17.69</f>
        <v/>
      </c>
      <c r="L92">
        <f>SUMPRODUCT((M_BOM[Part Name]=$A92)*M_BOM[RM_Qty_Per_Batch]*IFERROR(INDEX(PP_Grid[#Data],IF(M_BOM[PPGridRow]=92,NA(),M_BOM[PPGridRow]),12),0))/17.69</f>
        <v/>
      </c>
      <c r="M92">
        <f>SUMPRODUCT((M_BOM[Part Name]=$A92)*M_BOM[RM_Qty_Per_Batch]*IFERROR(INDEX(PP_Grid[#Data],IF(M_BOM[PPGridRow]=92,NA(),M_BOM[PPGridRow]),13),0))/17.69</f>
        <v/>
      </c>
      <c r="N92">
        <f>SUMPRODUCT((M_BOM[Part Name]=$A92)*M_BOM[RM_Qty_Per_Batch]*IFERROR(INDEX(PP_Grid[#Data],IF(M_BOM[PPGridRow]=92,NA(),M_BOM[PPGridRow]),14),0))/17.69</f>
        <v/>
      </c>
      <c r="O92">
        <f>SUMPRODUCT((M_BOM[Part Name]=$A92)*M_BOM[RM_Qty_Per_Batch]*IFERROR(INDEX(PP_Grid[#Data],IF(M_BOM[PPGridRow]=92,NA(),M_BOM[PPGridRow]),15),0))/17.69</f>
        <v/>
      </c>
      <c r="P92">
        <f>SUMPRODUCT((M_BOM[Part Name]=$A92)*M_BOM[RM_Qty_Per_Batch]*IFERROR(INDEX(PP_Grid[#Data],IF(M_BOM[PPGridRow]=92,NA(),M_BOM[PPGridRow]),16),0))/17.69</f>
        <v/>
      </c>
      <c r="Q92">
        <f>SUMPRODUCT((M_BOM[Part Name]=$A92)*M_BOM[RM_Qty_Per_Batch]*IFERROR(INDEX(PP_Grid[#Data],IF(M_BOM[PPGridRow]=92,NA(),M_BOM[PPGridRow]),17),0))/17.69</f>
        <v/>
      </c>
      <c r="R92">
        <f>SUMPRODUCT((M_BOM[Part Name]=$A92)*M_BOM[RM_Qty_Per_Batch]*IFERROR(INDEX(PP_Grid[#Data],IF(M_BOM[PPGridRow]=92,NA(),M_BOM[PPGridRow]),18),0))/17.69</f>
        <v/>
      </c>
      <c r="S92">
        <f>SUMPRODUCT((M_BOM[Part Name]=$A92)*M_BOM[RM_Qty_Per_Batch]*IFERROR(INDEX(PP_Grid[#Data],IF(M_BOM[PPGridRow]=92,NA(),M_BOM[PPGridRow]),19),0))/17.69</f>
        <v/>
      </c>
      <c r="T92">
        <f>SUMPRODUCT((M_BOM[Part Name]=$A92)*M_BOM[RM_Qty_Per_Batch]*IFERROR(INDEX(PP_Grid[#Data],IF(M_BOM[PPGridRow]=92,NA(),M_BOM[PPGridRow]),20),0))/17.69</f>
        <v/>
      </c>
      <c r="U92">
        <f>SUMPRODUCT((M_BOM[Part Name]=$A92)*M_BOM[RM_Qty_Per_Batch]*IFERROR(INDEX(PP_Grid[#Data],IF(M_BOM[PPGridRow]=92,NA(),M_BOM[PPGridRow]),21),0))/17.69</f>
        <v/>
      </c>
      <c r="V92">
        <f>SUMPRODUCT((M_BOM[Part Name]=$A92)*M_BOM[RM_Qty_Per_Batch]*IFERROR(INDEX(PP_Grid[#Data],IF(M_BOM[PPGridRow]=92,NA(),M_BOM[PPGridRow]),22),0))/17.69</f>
        <v/>
      </c>
      <c r="W92">
        <f>SUMPRODUCT((M_BOM[Part Name]=$A92)*M_BOM[RM_Qty_Per_Batch]*IFERROR(INDEX(PP_Grid[#Data],IF(M_BOM[PPGridRow]=92,NA(),M_BOM[PPGridRow]),23),0))/17.69</f>
        <v/>
      </c>
      <c r="X92">
        <f>SUMPRODUCT((M_BOM[Part Name]=$A92)*M_BOM[RM_Qty_Per_Batch]*IFERROR(INDEX(PP_Grid[#Data],IF(M_BOM[PPGridRow]=92,NA(),M_BOM[PPGridRow]),24),0))/17.69</f>
        <v/>
      </c>
      <c r="Y92">
        <f>SUMPRODUCT((M_BOM[Part Name]=$A92)*M_BOM[RM_Qty_Per_Batch]*IFERROR(INDEX(PP_Grid[#Data],IF(M_BOM[PPGridRow]=92,NA(),M_BOM[PPGridRow]),25),0))/17.69</f>
        <v/>
      </c>
      <c r="Z92">
        <f>SUMPRODUCT((M_BOM[Part Name]=$A92)*M_BOM[RM_Qty_Per_Batch]*IFERROR(INDEX(PP_Grid[#Data],IF(M_BOM[PPGridRow]=92,NA(),M_BOM[PPGridRow]),26),0))/17.69</f>
        <v/>
      </c>
      <c r="AA92">
        <f>SUMPRODUCT((M_BOM[Part Name]=$A92)*M_BOM[RM_Qty_Per_Batch]*IFERROR(INDEX(PP_Grid[#Data],IF(M_BOM[PPGridRow]=92,NA(),M_BOM[PPGridRow]),27),0))/17.69</f>
        <v/>
      </c>
      <c r="AB92">
        <f>SUMPRODUCT((M_BOM[Part Name]=$A92)*M_BOM[RM_Qty_Per_Batch]*IFERROR(INDEX(PP_Grid[#Data],IF(M_BOM[PPGridRow]=92,NA(),M_BOM[PPGridRow]),28),0))/17.69</f>
        <v/>
      </c>
      <c r="AC92">
        <f>SUMPRODUCT((M_BOM[Part Name]=$A92)*M_BOM[RM_Qty_Per_Batch]*IFERROR(INDEX(PP_Grid[#Data],IF(M_BOM[PPGridRow]=92,NA(),M_BOM[PPGridRow]),29),0))/17.69</f>
        <v/>
      </c>
      <c r="AD92">
        <f>SUMPRODUCT((M_BOM[Part Name]=$A92)*M_BOM[RM_Qty_Per_Batch]*IFERROR(INDEX(PP_Grid[#Data],IF(M_BOM[PPGridRow]=92,NA(),M_BOM[PPGridRow]),30),0))/17.69</f>
        <v/>
      </c>
      <c r="AE92">
        <f>SUMPRODUCT((M_BOM[Part Name]=$A92)*M_BOM[RM_Qty_Per_Batch]*IFERROR(INDEX(PP_Grid[#Data],IF(M_BOM[PPGridRow]=92,NA(),M_BOM[PPGridRow]),31),0))/17.69</f>
        <v/>
      </c>
      <c r="AF92">
        <f>SUMPRODUCT((M_BOM[Part Name]=$A92)*M_BOM[RM_Qty_Per_Batch]*IFERROR(INDEX(PP_Grid[#Data],IF(M_BOM[PPGridRow]=92,NA(),M_BOM[PPGridRow]),32),0))/17.69</f>
        <v/>
      </c>
      <c r="AG92">
        <f>SUMPRODUCT((M_BOM[Part Name]=$A92)*M_BOM[RM_Qty_Per_Batch]*IFERROR(INDEX(PP_Grid[#Data],IF(M_BOM[PPGridRow]=92,NA(),M_BOM[PPGridRow]),33),0))/17.69</f>
        <v/>
      </c>
      <c r="AH92">
        <f>SUMPRODUCT((M_BOM[Part Name]=$A92)*M_BOM[RM_Qty_Per_Batch]*IFERROR(INDEX(PP_Grid[#Data],IF(M_BOM[PPGridRow]=92,NA(),M_BOM[PPGridRow]),34),0))/17.69</f>
        <v/>
      </c>
      <c r="AI92">
        <f>SUMPRODUCT((M_BOM[Part Name]=$A92)*M_BOM[RM_Qty_Per_Batch]*IFERROR(INDEX(PP_Grid[#Data],IF(M_BOM[PPGridRow]=92,NA(),M_BOM[PPGridRow]),35),0))/17.69</f>
        <v/>
      </c>
      <c r="AJ92">
        <f>SUMPRODUCT((M_BOM[Part Name]=$A92)*M_BOM[RM_Qty_Per_Batch]*IFERROR(INDEX(PP_Grid[#Data],IF(M_BOM[PPGridRow]=92,NA(),M_BOM[PPGridRow]),36),0))/17.69</f>
        <v/>
      </c>
      <c r="AK92">
        <f>SUMPRODUCT((M_BOM[Part Name]=$A92)*M_BOM[RM_Qty_Per_Batch]*IFERROR(INDEX(PP_Grid[#Data],IF(M_BOM[PPGridRow]=92,NA(),M_BOM[PPGridRow]),37),0))/17.69</f>
        <v/>
      </c>
      <c r="AL92">
        <f>SUMPRODUCT((M_BOM[Part Name]=$A92)*M_BOM[RM_Qty_Per_Batch]*IFERROR(INDEX(PP_Grid[#Data],IF(M_BOM[PPGridRow]=92,NA(),M_BOM[PPGridRow]),38),0))/17.69</f>
        <v/>
      </c>
      <c r="AM92">
        <f>SUMPRODUCT((M_BOM[Part Name]=$A92)*M_BOM[RM_Qty_Per_Batch]*IFERROR(INDEX(PP_Grid[#Data],IF(M_BOM[PPGridRow]=92,NA(),M_BOM[PPGridRow]),39),0))/17.69</f>
        <v/>
      </c>
      <c r="AN92">
        <f>SUMPRODUCT((M_BOM[Part Name]=$A92)*M_BOM[RM_Qty_Per_Batch]*IFERROR(INDEX(PP_Grid[#Data],IF(M_BOM[PPGridRow]=92,NA(),M_BOM[PPGridRow]),40),0))/17.69</f>
        <v/>
      </c>
      <c r="AO92">
        <f>SUMPRODUCT((M_BOM[Part Name]=$A92)*M_BOM[RM_Qty_Per_Batch]*IFERROR(INDEX(PP_Grid[#Data],IF(M_BOM[PPGridRow]=92,NA(),M_BOM[PPGridRow]),41),0))/17.69</f>
        <v/>
      </c>
      <c r="AP92">
        <f>SUMPRODUCT((M_BOM[Part Name]=$A92)*M_BOM[RM_Qty_Per_Batch]*IFERROR(INDEX(PP_Grid[#Data],IF(M_BOM[PPGridRow]=92,NA(),M_BOM[PPGridRow]),42),0))/17.69</f>
        <v/>
      </c>
      <c r="AQ92">
        <f>SUMPRODUCT((M_BOM[Part Name]=$A92)*M_BOM[RM_Qty_Per_Batch]*IFERROR(INDEX(PP_Grid[#Data],IF(M_BOM[PPGridRow]=92,NA(),M_BOM[PPGridRow]),43),0))/17.69</f>
        <v/>
      </c>
      <c r="AR92">
        <f>SUMPRODUCT((M_BOM[Part Name]=$A92)*M_BOM[RM_Qty_Per_Batch]*IFERROR(INDEX(PP_Grid[#Data],IF(M_BOM[PPGridRow]=92,NA(),M_BOM[PPGridRow]),44),0))/17.69</f>
        <v/>
      </c>
      <c r="AS92">
        <f>SUMPRODUCT((M_BOM[Part Name]=$A92)*M_BOM[RM_Qty_Per_Batch]*IFERROR(INDEX(PP_Grid[#Data],IF(M_BOM[PPGridRow]=92,NA(),M_BOM[PPGridRow]),45),0))/17.69</f>
        <v/>
      </c>
      <c r="AT92">
        <f>SUMPRODUCT((M_BOM[Part Name]=$A92)*M_BOM[RM_Qty_Per_Batch]*IFERROR(INDEX(PP_Grid[#Data],IF(M_BOM[PPGridRow]=92,NA(),M_BOM[PPGridRow]),46),0))/17.69</f>
        <v/>
      </c>
      <c r="AU92">
        <f>SUMPRODUCT((M_BOM[Part Name]=$A92)*M_BOM[RM_Qty_Per_Batch]*IFERROR(INDEX(PP_Grid[#Data],IF(M_BOM[PPGridRow]=92,NA(),M_BOM[PPGridRow]),47),0))/17.69</f>
        <v/>
      </c>
      <c r="AV92">
        <f>SUMPRODUCT((M_BOM[Part Name]=$A92)*M_BOM[RM_Qty_Per_Batch]*IFERROR(INDEX(PP_Grid[#Data],IF(M_BOM[PPGridRow]=92,NA(),M_BOM[PPGridRow]),48),0))/17.69</f>
        <v/>
      </c>
      <c r="AW92">
        <f>SUMPRODUCT((M_BOM[Part Name]=$A92)*M_BOM[RM_Qty_Per_Batch]*IFERROR(INDEX(PP_Grid[#Data],IF(M_BOM[PPGridRow]=92,NA(),M_BOM[PPGridRow]),49),0))/17.69</f>
        <v/>
      </c>
      <c r="AX92">
        <f>SUMPRODUCT((M_BOM[Part Name]=$A92)*M_BOM[RM_Qty_Per_Batch]*IFERROR(INDEX(PP_Grid[#Data],IF(M_BOM[PPGridRow]=92,NA(),M_BOM[PPGridRow]),50),0))/17.69</f>
        <v/>
      </c>
      <c r="AY92">
        <f>SUMPRODUCT((M_BOM[Part Name]=$A92)*M_BOM[RM_Qty_Per_Batch]*IFERROR(INDEX(PP_Grid[#Data],IF(M_BOM[PPGridRow]=92,NA(),M_BOM[PPGridRow]),51),0))/17.69</f>
        <v/>
      </c>
      <c r="AZ92">
        <f>SUMPRODUCT((M_BOM[Part Name]=$A92)*M_BOM[RM_Qty_Per_Batch]*IFERROR(INDEX(PP_Grid[#Data],IF(M_BOM[PPGridRow]=92,NA(),M_BOM[PPGridRow]),52),0))/17.69</f>
        <v/>
      </c>
      <c r="BA92">
        <f>SUMPRODUCT((M_BOM[Part Name]=$A92)*M_BOM[RM_Qty_Per_Batch]*IFERROR(INDEX(PP_Grid[#Data],IF(M_BOM[PPGridRow]=92,NA(),M_BOM[PPGridRow]),53),0))/17.69</f>
        <v/>
      </c>
      <c r="BB92">
        <f>SUMPRODUCT((M_BOM[Part Name]=$A92)*M_BOM[RM_Qty_Per_Batch]*IFERROR(INDEX(PP_Grid[#Data],IF(M_BOM[PPGridRow]=92,NA(),M_BOM[PPGridRow]),54),0))/17.69</f>
        <v/>
      </c>
      <c r="BC92">
        <f>SUMPRODUCT((M_BOM[Part Name]=$A92)*M_BOM[RM_Qty_Per_Batch]*IFERROR(INDEX(PP_Grid[#Data],IF(M_BOM[PPGridRow]=92,NA(),M_BOM[PPGridRow]),55),0))/17.69</f>
        <v/>
      </c>
      <c r="BD92">
        <f>SUMPRODUCT((M_BOM[Part Name]=$A92)*M_BOM[RM_Qty_Per_Batch]*IFERROR(INDEX(PP_Grid[#Data],IF(M_BOM[PPGridRow]=92,NA(),M_BOM[PPGridRow]),56),0))/17.69</f>
        <v/>
      </c>
      <c r="BE92">
        <f>SUMPRODUCT((M_BOM[Part Name]=$A92)*M_BOM[RM_Qty_Per_Batch]*IFERROR(INDEX(PP_Grid[#Data],IF(M_BOM[PPGridRow]=92,NA(),M_BOM[PPGridRow]),57),0))/17.69</f>
        <v/>
      </c>
      <c r="BF92">
        <f>SUMPRODUCT((M_BOM[Part Name]=$A92)*M_BOM[RM_Qty_Per_Batch]*IFERROR(INDEX(PP_Grid[#Data],IF(M_BOM[PPGridRow]=92,NA(),M_BOM[PPGridRow]),58),0))/17.69</f>
        <v/>
      </c>
      <c r="BG92">
        <f>SUMPRODUCT((M_BOM[Part Name]=$A92)*M_BOM[RM_Qty_Per_Batch]*IFERROR(INDEX(PP_Grid[#Data],IF(M_BOM[PPGridRow]=92,NA(),M_BOM[PPGridRow]),59),0))/17.69</f>
        <v/>
      </c>
      <c r="BH92">
        <f>SUMPRODUCT((M_BOM[Part Name]=$A92)*M_BOM[RM_Qty_Per_Batch]*IFERROR(INDEX(PP_Grid[#Data],IF(M_BOM[PPGridRow]=92,NA(),M_BOM[PPGridRow]),60),0))/17.69</f>
        <v/>
      </c>
      <c r="BI92">
        <f>SUMPRODUCT((M_BOM[Part Name]=$A92)*M_BOM[RM_Qty_Per_Batch]*IFERROR(INDEX(PP_Grid[#Data],IF(M_BOM[PPGridRow]=92,NA(),M_BOM[PPGridRow]),61),0))/17.69</f>
        <v/>
      </c>
      <c r="BJ92">
        <f>SUMPRODUCT((M_BOM[Part Name]=$A92)*M_BOM[RM_Qty_Per_Batch]*IFERROR(INDEX(PP_Grid[#Data],IF(M_BOM[PPGridRow]=92,NA(),M_BOM[PPGridRow]),62),0))/17.69</f>
        <v/>
      </c>
      <c r="BK92">
        <f>SUMPRODUCT((M_BOM[Part Name]=$A92)*M_BOM[RM_Qty_Per_Batch]*IFERROR(INDEX(PP_Grid[#Data],IF(M_BOM[PPGridRow]=92,NA(),M_BOM[PPGridRow]),63),0))/17.69</f>
        <v/>
      </c>
      <c r="BL92">
        <f>SUMPRODUCT((M_BOM[Part Name]=$A92)*M_BOM[RM_Qty_Per_Batch]*IFERROR(INDEX(PP_Grid[#Data],IF(M_BOM[PPGridRow]=92,NA(),M_BOM[PPGridRow]),64),0))/17.69</f>
        <v/>
      </c>
      <c r="BM92">
        <f>SUMPRODUCT((M_BOM[Part Name]=$A92)*M_BOM[RM_Qty_Per_Batch]*IFERROR(INDEX(PP_Grid[#Data],IF(M_BOM[PPGridRow]=92,NA(),M_BOM[PPGridRow]),65),0))/17.69</f>
        <v/>
      </c>
      <c r="BN92">
        <f>SUMPRODUCT((M_BOM[Part Name]=$A92)*M_BOM[RM_Qty_Per_Batch]*IFERROR(INDEX(PP_Grid[#Data],IF(M_BOM[PPGridRow]=92,NA(),M_BOM[PPGridRow]),66),0))/17.69</f>
        <v/>
      </c>
      <c r="BO92">
        <f>SUMPRODUCT((M_BOM[Part Name]=$A92)*M_BOM[RM_Qty_Per_Batch]*IFERROR(INDEX(PP_Grid[#Data],IF(M_BOM[PPGridRow]=92,NA(),M_BOM[PPGridRow]),67),0))/17.69</f>
        <v/>
      </c>
      <c r="BP92">
        <f>SUMPRODUCT((M_BOM[Part Name]=$A92)*M_BOM[RM_Qty_Per_Batch]*IFERROR(INDEX(PP_Grid[#Data],IF(M_BOM[PPGridRow]=92,NA(),M_BOM[PPGridRow]),68),0))/17.69</f>
        <v/>
      </c>
      <c r="BQ92">
        <f>SUMPRODUCT((M_BOM[Part Name]=$A92)*M_BOM[RM_Qty_Per_Batch]*IFERROR(INDEX(PP_Grid[#Data],IF(M_BOM[PPGridRow]=92,NA(),M_BOM[PPGridRow]),69),0))/17.69</f>
        <v/>
      </c>
      <c r="BR92">
        <f>SUMPRODUCT((M_BOM[Part Name]=$A92)*M_BOM[RM_Qty_Per_Batch]*IFERROR(INDEX(PP_Grid[#Data],IF(M_BOM[PPGridRow]=92,NA(),M_BOM[PPGridRow]),70),0))/17.69</f>
        <v/>
      </c>
      <c r="BS92">
        <f>SUMPRODUCT((M_BOM[Part Name]=$A92)*M_BOM[RM_Qty_Per_Batch]*IFERROR(INDEX(PP_Grid[#Data],IF(M_BOM[PPGridRow]=92,NA(),M_BOM[PPGridRow]),71),0))/17.69</f>
        <v/>
      </c>
      <c r="BT92">
        <f>SUMPRODUCT((M_BOM[Part Name]=$A92)*M_BOM[RM_Qty_Per_Batch]*IFERROR(INDEX(PP_Grid[#Data],IF(M_BOM[PPGridRow]=92,NA(),M_BOM[PPGridRow]),72),0))/17.69</f>
        <v/>
      </c>
      <c r="BU92">
        <f>SUMPRODUCT((M_BOM[Part Name]=$A92)*M_BOM[RM_Qty_Per_Batch]*IFERROR(INDEX(PP_Grid[#Data],IF(M_BOM[PPGridRow]=92,NA(),M_BOM[PPGridRow]),73),0))/17.69</f>
        <v/>
      </c>
      <c r="BV92">
        <f>SUMPRODUCT((M_BOM[Part Name]=$A92)*M_BOM[RM_Qty_Per_Batch]*IFERROR(INDEX(PP_Grid[#Data],IF(M_BOM[PPGridRow]=92,NA(),M_BOM[PPGridRow]),74),0))/17.69</f>
        <v/>
      </c>
      <c r="BW92">
        <f>SUMPRODUCT((M_BOM[Part Name]=$A92)*M_BOM[RM_Qty_Per_Batch]*IFERROR(INDEX(PP_Grid[#Data],IF(M_BOM[PPGridRow]=92,NA(),M_BOM[PPGridRow]),75),0))/17.69</f>
        <v/>
      </c>
      <c r="BX92">
        <f>SUMPRODUCT((M_BOM[Part Name]=$A92)*M_BOM[RM_Qty_Per_Batch]*IFERROR(INDEX(PP_Grid[#Data],IF(M_BOM[PPGridRow]=92,NA(),M_BOM[PPGridRow]),76),0))/17.69</f>
        <v/>
      </c>
      <c r="BY92">
        <f>SUMPRODUCT((M_BOM[Part Name]=$A92)*M_BOM[RM_Qty_Per_Batch]*IFERROR(INDEX(PP_Grid[#Data],IF(M_BOM[PPGridRow]=92,NA(),M_BOM[PPGridRow]),77),0))/17.69</f>
        <v/>
      </c>
      <c r="BZ92">
        <f>SUMPRODUCT((M_BOM[Part Name]=$A92)*M_BOM[RM_Qty_Per_Batch]*IFERROR(INDEX(PP_Grid[#Data],IF(M_BOM[PPGridRow]=92,NA(),M_BOM[PPGridRow]),78),0))/17.69</f>
        <v/>
      </c>
      <c r="CA92">
        <f>SUMPRODUCT((M_BOM[Part Name]=$A92)*M_BOM[RM_Qty_Per_Batch]*IFERROR(INDEX(PP_Grid[#Data],IF(M_BOM[PPGridRow]=92,NA(),M_BOM[PPGridRow]),79),0))/17.69</f>
        <v/>
      </c>
      <c r="CB92">
        <f>SUMPRODUCT((M_BOM[Part Name]=$A92)*M_BOM[RM_Qty_Per_Batch]*IFERROR(INDEX(PP_Grid[#Data],IF(M_BOM[PPGridRow]=92,NA(),M_BOM[PPGridRow]),80),0))/17.69</f>
        <v/>
      </c>
      <c r="CC92">
        <f>SUMPRODUCT((M_BOM[Part Name]=$A92)*M_BOM[RM_Qty_Per_Batch]*IFERROR(INDEX(PP_Grid[#Data],IF(M_BOM[PPGridRow]=92,NA(),M_BOM[PPGridRow]),81),0))/17.69</f>
        <v/>
      </c>
      <c r="CD92">
        <f>SUMPRODUCT((M_BOM[Part Name]=$A92)*M_BOM[RM_Qty_Per_Batch]*IFERROR(INDEX(PP_Grid[#Data],IF(M_BOM[PPGridRow]=92,NA(),M_BOM[PPGridRow]),82),0))/17.69</f>
        <v/>
      </c>
      <c r="CE92">
        <f>SUMPRODUCT((M_BOM[Part Name]=$A92)*M_BOM[RM_Qty_Per_Batch]*IFERROR(INDEX(PP_Grid[#Data],IF(M_BOM[PPGridRow]=92,NA(),M_BOM[PPGridRow]),83),0))/17.69</f>
        <v/>
      </c>
      <c r="CF92">
        <f>SUMPRODUCT((M_BOM[Part Name]=$A92)*M_BOM[RM_Qty_Per_Batch]*IFERROR(INDEX(PP_Grid[#Data],IF(M_BOM[PPGridRow]=92,NA(),M_BOM[PPGridRow]),84),0))/17.69</f>
        <v/>
      </c>
      <c r="CG92">
        <f>SUMPRODUCT((M_BOM[Part Name]=$A92)*M_BOM[RM_Qty_Per_Batch]*IFERROR(INDEX(PP_Grid[#Data],IF(M_BOM[PPGridRow]=92,NA(),M_BOM[PPGridRow]),85),0))/17.69</f>
        <v/>
      </c>
      <c r="CH92">
        <f>SUMPRODUCT((M_BOM[Part Name]=$A92)*M_BOM[RM_Qty_Per_Batch]*IFERROR(INDEX(PP_Grid[#Data],IF(M_BOM[PPGridRow]=92,NA(),M_BOM[PPGridRow]),86),0))/17.69</f>
        <v/>
      </c>
      <c r="CI92">
        <f>SUMPRODUCT((M_BOM[Part Name]=$A92)*M_BOM[RM_Qty_Per_Batch]*IFERROR(INDEX(PP_Grid[#Data],IF(M_BOM[PPGridRow]=92,NA(),M_BOM[PPGridRow]),87),0))/17.69</f>
        <v/>
      </c>
      <c r="CJ92">
        <f>SUMPRODUCT((M_BOM[Part Name]=$A92)*M_BOM[RM_Qty_Per_Batch]*IFERROR(INDEX(PP_Grid[#Data],IF(M_BOM[PPGridRow]=92,NA(),M_BOM[PPGridRow]),88),0))/17.69</f>
        <v/>
      </c>
      <c r="CK92">
        <f>SUMPRODUCT((M_BOM[Part Name]=$A92)*M_BOM[RM_Qty_Per_Batch]*IFERROR(INDEX(PP_Grid[#Data],IF(M_BOM[PPGridRow]=92,NA(),M_BOM[PPGridRow]),89),0))/17.69</f>
        <v/>
      </c>
      <c r="CL92">
        <f>SUMPRODUCT((M_BOM[Part Name]=$A92)*M_BOM[RM_Qty_Per_Batch]*IFERROR(INDEX(PP_Grid[#Data],IF(M_BOM[PPGridRow]=92,NA(),M_BOM[PPGridRow]),90),0))/17.69</f>
        <v/>
      </c>
      <c r="CM92">
        <f>SUMPRODUCT((M_BOM[Part Name]=$A92)*M_BOM[RM_Qty_Per_Batch]*IFERROR(INDEX(PP_Grid[#Data],IF(M_BOM[PPGridRow]=92,NA(),M_BOM[PPGridRow]),91),0))/17.69</f>
        <v/>
      </c>
      <c r="CN92">
        <f>SUMPRODUCT((M_BOM[Part Name]=$A92)*M_BOM[RM_Qty_Per_Batch]*IFERROR(INDEX(PP_Grid[#Data],IF(M_BOM[PPGridRow]=92,NA(),M_BOM[PPGridRow]),92),0))/17.69</f>
        <v/>
      </c>
      <c r="CO92">
        <f>SUMPRODUCT((M_BOM[Part Name]=$A92)*M_BOM[RM_Qty_Per_Batch]*IFERROR(INDEX(PP_Grid[#Data],IF(M_BOM[PPGridRow]=92,NA(),M_BOM[PPGridRow]),93),0))/17.69</f>
        <v/>
      </c>
      <c r="CP92">
        <f>SUMPRODUCT((M_BOM[Part Name]=$A92)*M_BOM[RM_Qty_Per_Batch]*IFERROR(INDEX(PP_Grid[#Data],IF(M_BOM[PPGridRow]=92,NA(),M_BOM[PPGridRow]),94),0))/17.69</f>
        <v/>
      </c>
      <c r="CQ92">
        <f>SUMPRODUCT((M_BOM[Part Name]=$A92)*M_BOM[RM_Qty_Per_Batch]*IFERROR(INDEX(PP_Grid[#Data],IF(M_BOM[PPGridRow]=92,NA(),M_BOM[PPGridRow]),95),0))/17.69</f>
        <v/>
      </c>
      <c r="CR92">
        <f>SUMPRODUCT((M_BOM[Part Name]=$A92)*M_BOM[RM_Qty_Per_Batch]*IFERROR(INDEX(PP_Grid[#Data],IF(M_BOM[PPGridRow]=92,NA(),M_BOM[PPGridRow]),96),0))/17.69</f>
        <v/>
      </c>
      <c r="CS92">
        <f>SUMPRODUCT((M_BOM[Part Name]=$A92)*M_BOM[RM_Qty_Per_Batch]*IFERROR(INDEX(PP_Grid[#Data],IF(M_BOM[PPGridRow]=92,NA(),M_BOM[PPGridRow]),97),0))/17.69</f>
        <v/>
      </c>
      <c r="CT92">
        <f>SUMPRODUCT((M_BOM[Part Name]=$A92)*M_BOM[RM_Qty_Per_Batch]*IFERROR(INDEX(PP_Grid[#Data],IF(M_BOM[PPGridRow]=92,NA(),M_BOM[PPGridRow]),98),0))/17.69</f>
        <v/>
      </c>
      <c r="CU92">
        <f>SUMPRODUCT((M_BOM[Part Name]=$A92)*M_BOM[RM_Qty_Per_Batch]*IFERROR(INDEX(PP_Grid[#Data],IF(M_BOM[PPGridRow]=92,NA(),M_BOM[PPGridRow]),99),0))/17.69</f>
        <v/>
      </c>
      <c r="CV92">
        <f>SUMPRODUCT((M_BOM[Part Name]=$A92)*M_BOM[RM_Qty_Per_Batch]*IFERROR(INDEX(PP_Grid[#Data],IF(M_BOM[PPGridRow]=92,NA(),M_BOM[PPGridRow]),100),0))/17.69</f>
        <v/>
      </c>
      <c r="CW92">
        <f>SUMPRODUCT((M_BOM[Part Name]=$A92)*M_BOM[RM_Qty_Per_Batch]*IFERROR(INDEX(PP_Grid[#Data],IF(M_BOM[PPGridRow]=92,NA(),M_BOM[PPGridRow]),101),0))/17.69</f>
        <v/>
      </c>
      <c r="CX92">
        <f>SUMPRODUCT((M_BOM[Part Name]=$A92)*M_BOM[RM_Qty_Per_Batch]*IFERROR(INDEX(PP_Grid[#Data],IF(M_BOM[PPGridRow]=92,NA(),M_BOM[PPGridRow]),102),0))/17.69</f>
        <v/>
      </c>
      <c r="CY92">
        <f>SUMPRODUCT((M_BOM[Part Name]=$A92)*M_BOM[RM_Qty_Per_Batch]*IFERROR(INDEX(PP_Grid[#Data],IF(M_BOM[PPGridRow]=92,NA(),M_BOM[PPGridRow]),103),0))/17.69</f>
        <v/>
      </c>
      <c r="CZ92">
        <f>SUMPRODUCT((M_BOM[Part Name]=$A92)*M_BOM[RM_Qty_Per_Batch]*IFERROR(INDEX(PP_Grid[#Data],IF(M_BOM[PPGridRow]=92,NA(),M_BOM[PPGridRow]),104),0))/17.69</f>
        <v/>
      </c>
      <c r="DA92">
        <f>SUMPRODUCT((M_BOM[Part Name]=$A92)*M_BOM[RM_Qty_Per_Batch]*IFERROR(INDEX(PP_Grid[#Data],IF(M_BOM[PPGridRow]=92,NA(),M_BOM[PPGridRow]),105),0))/17.69</f>
        <v/>
      </c>
    </row>
    <row r="93">
      <c r="A93" t="inlineStr">
        <is>
          <t>TPP-923</t>
        </is>
      </c>
      <c r="B93">
        <f>SUMPRODUCT((M_BOM[Part Name]=$A93)*M_BOM[RM_Qty_Per_Batch]*IFERROR(INDEX(PP_Grid[#Data],IF(M_BOM[PPGridRow]=93,NA(),M_BOM[PPGridRow]),2),0))/17.67</f>
        <v/>
      </c>
      <c r="C93">
        <f>SUMPRODUCT((M_BOM[Part Name]=$A93)*M_BOM[RM_Qty_Per_Batch]*IFERROR(INDEX(PP_Grid[#Data],IF(M_BOM[PPGridRow]=93,NA(),M_BOM[PPGridRow]),3),0))/17.67</f>
        <v/>
      </c>
      <c r="D93">
        <f>SUMPRODUCT((M_BOM[Part Name]=$A93)*M_BOM[RM_Qty_Per_Batch]*IFERROR(INDEX(PP_Grid[#Data],IF(M_BOM[PPGridRow]=93,NA(),M_BOM[PPGridRow]),4),0))/17.67</f>
        <v/>
      </c>
      <c r="E93">
        <f>SUMPRODUCT((M_BOM[Part Name]=$A93)*M_BOM[RM_Qty_Per_Batch]*IFERROR(INDEX(PP_Grid[#Data],IF(M_BOM[PPGridRow]=93,NA(),M_BOM[PPGridRow]),5),0))/17.67</f>
        <v/>
      </c>
      <c r="F93">
        <f>SUMPRODUCT((M_BOM[Part Name]=$A93)*M_BOM[RM_Qty_Per_Batch]*IFERROR(INDEX(PP_Grid[#Data],IF(M_BOM[PPGridRow]=93,NA(),M_BOM[PPGridRow]),6),0))/17.67</f>
        <v/>
      </c>
      <c r="G93">
        <f>SUMPRODUCT((M_BOM[Part Name]=$A93)*M_BOM[RM_Qty_Per_Batch]*IFERROR(INDEX(PP_Grid[#Data],IF(M_BOM[PPGridRow]=93,NA(),M_BOM[PPGridRow]),7),0))/17.67</f>
        <v/>
      </c>
      <c r="H93">
        <f>SUMPRODUCT((M_BOM[Part Name]=$A93)*M_BOM[RM_Qty_Per_Batch]*IFERROR(INDEX(PP_Grid[#Data],IF(M_BOM[PPGridRow]=93,NA(),M_BOM[PPGridRow]),8),0))/17.67</f>
        <v/>
      </c>
      <c r="I93">
        <f>SUMPRODUCT((M_BOM[Part Name]=$A93)*M_BOM[RM_Qty_Per_Batch]*IFERROR(INDEX(PP_Grid[#Data],IF(M_BOM[PPGridRow]=93,NA(),M_BOM[PPGridRow]),9),0))/17.67</f>
        <v/>
      </c>
      <c r="J93">
        <f>SUMPRODUCT((M_BOM[Part Name]=$A93)*M_BOM[RM_Qty_Per_Batch]*IFERROR(INDEX(PP_Grid[#Data],IF(M_BOM[PPGridRow]=93,NA(),M_BOM[PPGridRow]),10),0))/17.67</f>
        <v/>
      </c>
      <c r="K93">
        <f>SUMPRODUCT((M_BOM[Part Name]=$A93)*M_BOM[RM_Qty_Per_Batch]*IFERROR(INDEX(PP_Grid[#Data],IF(M_BOM[PPGridRow]=93,NA(),M_BOM[PPGridRow]),11),0))/17.67</f>
        <v/>
      </c>
      <c r="L93">
        <f>SUMPRODUCT((M_BOM[Part Name]=$A93)*M_BOM[RM_Qty_Per_Batch]*IFERROR(INDEX(PP_Grid[#Data],IF(M_BOM[PPGridRow]=93,NA(),M_BOM[PPGridRow]),12),0))/17.67</f>
        <v/>
      </c>
      <c r="M93">
        <f>SUMPRODUCT((M_BOM[Part Name]=$A93)*M_BOM[RM_Qty_Per_Batch]*IFERROR(INDEX(PP_Grid[#Data],IF(M_BOM[PPGridRow]=93,NA(),M_BOM[PPGridRow]),13),0))/17.67</f>
        <v/>
      </c>
      <c r="N93">
        <f>SUMPRODUCT((M_BOM[Part Name]=$A93)*M_BOM[RM_Qty_Per_Batch]*IFERROR(INDEX(PP_Grid[#Data],IF(M_BOM[PPGridRow]=93,NA(),M_BOM[PPGridRow]),14),0))/17.67</f>
        <v/>
      </c>
      <c r="O93">
        <f>SUMPRODUCT((M_BOM[Part Name]=$A93)*M_BOM[RM_Qty_Per_Batch]*IFERROR(INDEX(PP_Grid[#Data],IF(M_BOM[PPGridRow]=93,NA(),M_BOM[PPGridRow]),15),0))/17.67</f>
        <v/>
      </c>
      <c r="P93">
        <f>SUMPRODUCT((M_BOM[Part Name]=$A93)*M_BOM[RM_Qty_Per_Batch]*IFERROR(INDEX(PP_Grid[#Data],IF(M_BOM[PPGridRow]=93,NA(),M_BOM[PPGridRow]),16),0))/17.67</f>
        <v/>
      </c>
      <c r="Q93">
        <f>SUMPRODUCT((M_BOM[Part Name]=$A93)*M_BOM[RM_Qty_Per_Batch]*IFERROR(INDEX(PP_Grid[#Data],IF(M_BOM[PPGridRow]=93,NA(),M_BOM[PPGridRow]),17),0))/17.67</f>
        <v/>
      </c>
      <c r="R93">
        <f>SUMPRODUCT((M_BOM[Part Name]=$A93)*M_BOM[RM_Qty_Per_Batch]*IFERROR(INDEX(PP_Grid[#Data],IF(M_BOM[PPGridRow]=93,NA(),M_BOM[PPGridRow]),18),0))/17.67</f>
        <v/>
      </c>
      <c r="S93">
        <f>SUMPRODUCT((M_BOM[Part Name]=$A93)*M_BOM[RM_Qty_Per_Batch]*IFERROR(INDEX(PP_Grid[#Data],IF(M_BOM[PPGridRow]=93,NA(),M_BOM[PPGridRow]),19),0))/17.67</f>
        <v/>
      </c>
      <c r="T93">
        <f>SUMPRODUCT((M_BOM[Part Name]=$A93)*M_BOM[RM_Qty_Per_Batch]*IFERROR(INDEX(PP_Grid[#Data],IF(M_BOM[PPGridRow]=93,NA(),M_BOM[PPGridRow]),20),0))/17.67</f>
        <v/>
      </c>
      <c r="U93">
        <f>SUMPRODUCT((M_BOM[Part Name]=$A93)*M_BOM[RM_Qty_Per_Batch]*IFERROR(INDEX(PP_Grid[#Data],IF(M_BOM[PPGridRow]=93,NA(),M_BOM[PPGridRow]),21),0))/17.67</f>
        <v/>
      </c>
      <c r="V93">
        <f>SUMPRODUCT((M_BOM[Part Name]=$A93)*M_BOM[RM_Qty_Per_Batch]*IFERROR(INDEX(PP_Grid[#Data],IF(M_BOM[PPGridRow]=93,NA(),M_BOM[PPGridRow]),22),0))/17.67</f>
        <v/>
      </c>
      <c r="W93">
        <f>SUMPRODUCT((M_BOM[Part Name]=$A93)*M_BOM[RM_Qty_Per_Batch]*IFERROR(INDEX(PP_Grid[#Data],IF(M_BOM[PPGridRow]=93,NA(),M_BOM[PPGridRow]),23),0))/17.67</f>
        <v/>
      </c>
      <c r="X93">
        <f>SUMPRODUCT((M_BOM[Part Name]=$A93)*M_BOM[RM_Qty_Per_Batch]*IFERROR(INDEX(PP_Grid[#Data],IF(M_BOM[PPGridRow]=93,NA(),M_BOM[PPGridRow]),24),0))/17.67</f>
        <v/>
      </c>
      <c r="Y93">
        <f>SUMPRODUCT((M_BOM[Part Name]=$A93)*M_BOM[RM_Qty_Per_Batch]*IFERROR(INDEX(PP_Grid[#Data],IF(M_BOM[PPGridRow]=93,NA(),M_BOM[PPGridRow]),25),0))/17.67</f>
        <v/>
      </c>
      <c r="Z93">
        <f>SUMPRODUCT((M_BOM[Part Name]=$A93)*M_BOM[RM_Qty_Per_Batch]*IFERROR(INDEX(PP_Grid[#Data],IF(M_BOM[PPGridRow]=93,NA(),M_BOM[PPGridRow]),26),0))/17.67</f>
        <v/>
      </c>
      <c r="AA93">
        <f>SUMPRODUCT((M_BOM[Part Name]=$A93)*M_BOM[RM_Qty_Per_Batch]*IFERROR(INDEX(PP_Grid[#Data],IF(M_BOM[PPGridRow]=93,NA(),M_BOM[PPGridRow]),27),0))/17.67</f>
        <v/>
      </c>
      <c r="AB93">
        <f>SUMPRODUCT((M_BOM[Part Name]=$A93)*M_BOM[RM_Qty_Per_Batch]*IFERROR(INDEX(PP_Grid[#Data],IF(M_BOM[PPGridRow]=93,NA(),M_BOM[PPGridRow]),28),0))/17.67</f>
        <v/>
      </c>
      <c r="AC93">
        <f>SUMPRODUCT((M_BOM[Part Name]=$A93)*M_BOM[RM_Qty_Per_Batch]*IFERROR(INDEX(PP_Grid[#Data],IF(M_BOM[PPGridRow]=93,NA(),M_BOM[PPGridRow]),29),0))/17.67</f>
        <v/>
      </c>
      <c r="AD93">
        <f>SUMPRODUCT((M_BOM[Part Name]=$A93)*M_BOM[RM_Qty_Per_Batch]*IFERROR(INDEX(PP_Grid[#Data],IF(M_BOM[PPGridRow]=93,NA(),M_BOM[PPGridRow]),30),0))/17.67</f>
        <v/>
      </c>
      <c r="AE93">
        <f>SUMPRODUCT((M_BOM[Part Name]=$A93)*M_BOM[RM_Qty_Per_Batch]*IFERROR(INDEX(PP_Grid[#Data],IF(M_BOM[PPGridRow]=93,NA(),M_BOM[PPGridRow]),31),0))/17.67</f>
        <v/>
      </c>
      <c r="AF93">
        <f>SUMPRODUCT((M_BOM[Part Name]=$A93)*M_BOM[RM_Qty_Per_Batch]*IFERROR(INDEX(PP_Grid[#Data],IF(M_BOM[PPGridRow]=93,NA(),M_BOM[PPGridRow]),32),0))/17.67</f>
        <v/>
      </c>
      <c r="AG93">
        <f>SUMPRODUCT((M_BOM[Part Name]=$A93)*M_BOM[RM_Qty_Per_Batch]*IFERROR(INDEX(PP_Grid[#Data],IF(M_BOM[PPGridRow]=93,NA(),M_BOM[PPGridRow]),33),0))/17.67</f>
        <v/>
      </c>
      <c r="AH93">
        <f>SUMPRODUCT((M_BOM[Part Name]=$A93)*M_BOM[RM_Qty_Per_Batch]*IFERROR(INDEX(PP_Grid[#Data],IF(M_BOM[PPGridRow]=93,NA(),M_BOM[PPGridRow]),34),0))/17.67</f>
        <v/>
      </c>
      <c r="AI93">
        <f>SUMPRODUCT((M_BOM[Part Name]=$A93)*M_BOM[RM_Qty_Per_Batch]*IFERROR(INDEX(PP_Grid[#Data],IF(M_BOM[PPGridRow]=93,NA(),M_BOM[PPGridRow]),35),0))/17.67</f>
        <v/>
      </c>
      <c r="AJ93">
        <f>SUMPRODUCT((M_BOM[Part Name]=$A93)*M_BOM[RM_Qty_Per_Batch]*IFERROR(INDEX(PP_Grid[#Data],IF(M_BOM[PPGridRow]=93,NA(),M_BOM[PPGridRow]),36),0))/17.67</f>
        <v/>
      </c>
      <c r="AK93">
        <f>SUMPRODUCT((M_BOM[Part Name]=$A93)*M_BOM[RM_Qty_Per_Batch]*IFERROR(INDEX(PP_Grid[#Data],IF(M_BOM[PPGridRow]=93,NA(),M_BOM[PPGridRow]),37),0))/17.67</f>
        <v/>
      </c>
      <c r="AL93">
        <f>SUMPRODUCT((M_BOM[Part Name]=$A93)*M_BOM[RM_Qty_Per_Batch]*IFERROR(INDEX(PP_Grid[#Data],IF(M_BOM[PPGridRow]=93,NA(),M_BOM[PPGridRow]),38),0))/17.67</f>
        <v/>
      </c>
      <c r="AM93">
        <f>SUMPRODUCT((M_BOM[Part Name]=$A93)*M_BOM[RM_Qty_Per_Batch]*IFERROR(INDEX(PP_Grid[#Data],IF(M_BOM[PPGridRow]=93,NA(),M_BOM[PPGridRow]),39),0))/17.67</f>
        <v/>
      </c>
      <c r="AN93">
        <f>SUMPRODUCT((M_BOM[Part Name]=$A93)*M_BOM[RM_Qty_Per_Batch]*IFERROR(INDEX(PP_Grid[#Data],IF(M_BOM[PPGridRow]=93,NA(),M_BOM[PPGridRow]),40),0))/17.67</f>
        <v/>
      </c>
      <c r="AO93">
        <f>SUMPRODUCT((M_BOM[Part Name]=$A93)*M_BOM[RM_Qty_Per_Batch]*IFERROR(INDEX(PP_Grid[#Data],IF(M_BOM[PPGridRow]=93,NA(),M_BOM[PPGridRow]),41),0))/17.67</f>
        <v/>
      </c>
      <c r="AP93">
        <f>SUMPRODUCT((M_BOM[Part Name]=$A93)*M_BOM[RM_Qty_Per_Batch]*IFERROR(INDEX(PP_Grid[#Data],IF(M_BOM[PPGridRow]=93,NA(),M_BOM[PPGridRow]),42),0))/17.67</f>
        <v/>
      </c>
      <c r="AQ93">
        <f>SUMPRODUCT((M_BOM[Part Name]=$A93)*M_BOM[RM_Qty_Per_Batch]*IFERROR(INDEX(PP_Grid[#Data],IF(M_BOM[PPGridRow]=93,NA(),M_BOM[PPGridRow]),43),0))/17.67</f>
        <v/>
      </c>
      <c r="AR93">
        <f>SUMPRODUCT((M_BOM[Part Name]=$A93)*M_BOM[RM_Qty_Per_Batch]*IFERROR(INDEX(PP_Grid[#Data],IF(M_BOM[PPGridRow]=93,NA(),M_BOM[PPGridRow]),44),0))/17.67</f>
        <v/>
      </c>
      <c r="AS93">
        <f>SUMPRODUCT((M_BOM[Part Name]=$A93)*M_BOM[RM_Qty_Per_Batch]*IFERROR(INDEX(PP_Grid[#Data],IF(M_BOM[PPGridRow]=93,NA(),M_BOM[PPGridRow]),45),0))/17.67</f>
        <v/>
      </c>
      <c r="AT93">
        <f>SUMPRODUCT((M_BOM[Part Name]=$A93)*M_BOM[RM_Qty_Per_Batch]*IFERROR(INDEX(PP_Grid[#Data],IF(M_BOM[PPGridRow]=93,NA(),M_BOM[PPGridRow]),46),0))/17.67</f>
        <v/>
      </c>
      <c r="AU93">
        <f>SUMPRODUCT((M_BOM[Part Name]=$A93)*M_BOM[RM_Qty_Per_Batch]*IFERROR(INDEX(PP_Grid[#Data],IF(M_BOM[PPGridRow]=93,NA(),M_BOM[PPGridRow]),47),0))/17.67</f>
        <v/>
      </c>
      <c r="AV93">
        <f>SUMPRODUCT((M_BOM[Part Name]=$A93)*M_BOM[RM_Qty_Per_Batch]*IFERROR(INDEX(PP_Grid[#Data],IF(M_BOM[PPGridRow]=93,NA(),M_BOM[PPGridRow]),48),0))/17.67</f>
        <v/>
      </c>
      <c r="AW93">
        <f>SUMPRODUCT((M_BOM[Part Name]=$A93)*M_BOM[RM_Qty_Per_Batch]*IFERROR(INDEX(PP_Grid[#Data],IF(M_BOM[PPGridRow]=93,NA(),M_BOM[PPGridRow]),49),0))/17.67</f>
        <v/>
      </c>
      <c r="AX93">
        <f>SUMPRODUCT((M_BOM[Part Name]=$A93)*M_BOM[RM_Qty_Per_Batch]*IFERROR(INDEX(PP_Grid[#Data],IF(M_BOM[PPGridRow]=93,NA(),M_BOM[PPGridRow]),50),0))/17.67</f>
        <v/>
      </c>
      <c r="AY93">
        <f>SUMPRODUCT((M_BOM[Part Name]=$A93)*M_BOM[RM_Qty_Per_Batch]*IFERROR(INDEX(PP_Grid[#Data],IF(M_BOM[PPGridRow]=93,NA(),M_BOM[PPGridRow]),51),0))/17.67</f>
        <v/>
      </c>
      <c r="AZ93">
        <f>SUMPRODUCT((M_BOM[Part Name]=$A93)*M_BOM[RM_Qty_Per_Batch]*IFERROR(INDEX(PP_Grid[#Data],IF(M_BOM[PPGridRow]=93,NA(),M_BOM[PPGridRow]),52),0))/17.67</f>
        <v/>
      </c>
      <c r="BA93">
        <f>SUMPRODUCT((M_BOM[Part Name]=$A93)*M_BOM[RM_Qty_Per_Batch]*IFERROR(INDEX(PP_Grid[#Data],IF(M_BOM[PPGridRow]=93,NA(),M_BOM[PPGridRow]),53),0))/17.67</f>
        <v/>
      </c>
      <c r="BB93">
        <f>SUMPRODUCT((M_BOM[Part Name]=$A93)*M_BOM[RM_Qty_Per_Batch]*IFERROR(INDEX(PP_Grid[#Data],IF(M_BOM[PPGridRow]=93,NA(),M_BOM[PPGridRow]),54),0))/17.67</f>
        <v/>
      </c>
      <c r="BC93">
        <f>SUMPRODUCT((M_BOM[Part Name]=$A93)*M_BOM[RM_Qty_Per_Batch]*IFERROR(INDEX(PP_Grid[#Data],IF(M_BOM[PPGridRow]=93,NA(),M_BOM[PPGridRow]),55),0))/17.67</f>
        <v/>
      </c>
      <c r="BD93">
        <f>SUMPRODUCT((M_BOM[Part Name]=$A93)*M_BOM[RM_Qty_Per_Batch]*IFERROR(INDEX(PP_Grid[#Data],IF(M_BOM[PPGridRow]=93,NA(),M_BOM[PPGridRow]),56),0))/17.67</f>
        <v/>
      </c>
      <c r="BE93">
        <f>SUMPRODUCT((M_BOM[Part Name]=$A93)*M_BOM[RM_Qty_Per_Batch]*IFERROR(INDEX(PP_Grid[#Data],IF(M_BOM[PPGridRow]=93,NA(),M_BOM[PPGridRow]),57),0))/17.67</f>
        <v/>
      </c>
      <c r="BF93">
        <f>SUMPRODUCT((M_BOM[Part Name]=$A93)*M_BOM[RM_Qty_Per_Batch]*IFERROR(INDEX(PP_Grid[#Data],IF(M_BOM[PPGridRow]=93,NA(),M_BOM[PPGridRow]),58),0))/17.67</f>
        <v/>
      </c>
      <c r="BG93">
        <f>SUMPRODUCT((M_BOM[Part Name]=$A93)*M_BOM[RM_Qty_Per_Batch]*IFERROR(INDEX(PP_Grid[#Data],IF(M_BOM[PPGridRow]=93,NA(),M_BOM[PPGridRow]),59),0))/17.67</f>
        <v/>
      </c>
      <c r="BH93">
        <f>SUMPRODUCT((M_BOM[Part Name]=$A93)*M_BOM[RM_Qty_Per_Batch]*IFERROR(INDEX(PP_Grid[#Data],IF(M_BOM[PPGridRow]=93,NA(),M_BOM[PPGridRow]),60),0))/17.67</f>
        <v/>
      </c>
      <c r="BI93">
        <f>SUMPRODUCT((M_BOM[Part Name]=$A93)*M_BOM[RM_Qty_Per_Batch]*IFERROR(INDEX(PP_Grid[#Data],IF(M_BOM[PPGridRow]=93,NA(),M_BOM[PPGridRow]),61),0))/17.67</f>
        <v/>
      </c>
      <c r="BJ93">
        <f>SUMPRODUCT((M_BOM[Part Name]=$A93)*M_BOM[RM_Qty_Per_Batch]*IFERROR(INDEX(PP_Grid[#Data],IF(M_BOM[PPGridRow]=93,NA(),M_BOM[PPGridRow]),62),0))/17.67</f>
        <v/>
      </c>
      <c r="BK93">
        <f>SUMPRODUCT((M_BOM[Part Name]=$A93)*M_BOM[RM_Qty_Per_Batch]*IFERROR(INDEX(PP_Grid[#Data],IF(M_BOM[PPGridRow]=93,NA(),M_BOM[PPGridRow]),63),0))/17.67</f>
        <v/>
      </c>
      <c r="BL93">
        <f>SUMPRODUCT((M_BOM[Part Name]=$A93)*M_BOM[RM_Qty_Per_Batch]*IFERROR(INDEX(PP_Grid[#Data],IF(M_BOM[PPGridRow]=93,NA(),M_BOM[PPGridRow]),64),0))/17.67</f>
        <v/>
      </c>
      <c r="BM93">
        <f>SUMPRODUCT((M_BOM[Part Name]=$A93)*M_BOM[RM_Qty_Per_Batch]*IFERROR(INDEX(PP_Grid[#Data],IF(M_BOM[PPGridRow]=93,NA(),M_BOM[PPGridRow]),65),0))/17.67</f>
        <v/>
      </c>
      <c r="BN93">
        <f>SUMPRODUCT((M_BOM[Part Name]=$A93)*M_BOM[RM_Qty_Per_Batch]*IFERROR(INDEX(PP_Grid[#Data],IF(M_BOM[PPGridRow]=93,NA(),M_BOM[PPGridRow]),66),0))/17.67</f>
        <v/>
      </c>
      <c r="BO93">
        <f>SUMPRODUCT((M_BOM[Part Name]=$A93)*M_BOM[RM_Qty_Per_Batch]*IFERROR(INDEX(PP_Grid[#Data],IF(M_BOM[PPGridRow]=93,NA(),M_BOM[PPGridRow]),67),0))/17.67</f>
        <v/>
      </c>
      <c r="BP93">
        <f>SUMPRODUCT((M_BOM[Part Name]=$A93)*M_BOM[RM_Qty_Per_Batch]*IFERROR(INDEX(PP_Grid[#Data],IF(M_BOM[PPGridRow]=93,NA(),M_BOM[PPGridRow]),68),0))/17.67</f>
        <v/>
      </c>
      <c r="BQ93">
        <f>SUMPRODUCT((M_BOM[Part Name]=$A93)*M_BOM[RM_Qty_Per_Batch]*IFERROR(INDEX(PP_Grid[#Data],IF(M_BOM[PPGridRow]=93,NA(),M_BOM[PPGridRow]),69),0))/17.67</f>
        <v/>
      </c>
      <c r="BR93">
        <f>SUMPRODUCT((M_BOM[Part Name]=$A93)*M_BOM[RM_Qty_Per_Batch]*IFERROR(INDEX(PP_Grid[#Data],IF(M_BOM[PPGridRow]=93,NA(),M_BOM[PPGridRow]),70),0))/17.67</f>
        <v/>
      </c>
      <c r="BS93">
        <f>SUMPRODUCT((M_BOM[Part Name]=$A93)*M_BOM[RM_Qty_Per_Batch]*IFERROR(INDEX(PP_Grid[#Data],IF(M_BOM[PPGridRow]=93,NA(),M_BOM[PPGridRow]),71),0))/17.67</f>
        <v/>
      </c>
      <c r="BT93">
        <f>SUMPRODUCT((M_BOM[Part Name]=$A93)*M_BOM[RM_Qty_Per_Batch]*IFERROR(INDEX(PP_Grid[#Data],IF(M_BOM[PPGridRow]=93,NA(),M_BOM[PPGridRow]),72),0))/17.67</f>
        <v/>
      </c>
      <c r="BU93">
        <f>SUMPRODUCT((M_BOM[Part Name]=$A93)*M_BOM[RM_Qty_Per_Batch]*IFERROR(INDEX(PP_Grid[#Data],IF(M_BOM[PPGridRow]=93,NA(),M_BOM[PPGridRow]),73),0))/17.67</f>
        <v/>
      </c>
      <c r="BV93">
        <f>SUMPRODUCT((M_BOM[Part Name]=$A93)*M_BOM[RM_Qty_Per_Batch]*IFERROR(INDEX(PP_Grid[#Data],IF(M_BOM[PPGridRow]=93,NA(),M_BOM[PPGridRow]),74),0))/17.67</f>
        <v/>
      </c>
      <c r="BW93">
        <f>SUMPRODUCT((M_BOM[Part Name]=$A93)*M_BOM[RM_Qty_Per_Batch]*IFERROR(INDEX(PP_Grid[#Data],IF(M_BOM[PPGridRow]=93,NA(),M_BOM[PPGridRow]),75),0))/17.67</f>
        <v/>
      </c>
      <c r="BX93">
        <f>SUMPRODUCT((M_BOM[Part Name]=$A93)*M_BOM[RM_Qty_Per_Batch]*IFERROR(INDEX(PP_Grid[#Data],IF(M_BOM[PPGridRow]=93,NA(),M_BOM[PPGridRow]),76),0))/17.67</f>
        <v/>
      </c>
      <c r="BY93">
        <f>SUMPRODUCT((M_BOM[Part Name]=$A93)*M_BOM[RM_Qty_Per_Batch]*IFERROR(INDEX(PP_Grid[#Data],IF(M_BOM[PPGridRow]=93,NA(),M_BOM[PPGridRow]),77),0))/17.67</f>
        <v/>
      </c>
      <c r="BZ93">
        <f>SUMPRODUCT((M_BOM[Part Name]=$A93)*M_BOM[RM_Qty_Per_Batch]*IFERROR(INDEX(PP_Grid[#Data],IF(M_BOM[PPGridRow]=93,NA(),M_BOM[PPGridRow]),78),0))/17.67</f>
        <v/>
      </c>
      <c r="CA93">
        <f>SUMPRODUCT((M_BOM[Part Name]=$A93)*M_BOM[RM_Qty_Per_Batch]*IFERROR(INDEX(PP_Grid[#Data],IF(M_BOM[PPGridRow]=93,NA(),M_BOM[PPGridRow]),79),0))/17.67</f>
        <v/>
      </c>
      <c r="CB93">
        <f>SUMPRODUCT((M_BOM[Part Name]=$A93)*M_BOM[RM_Qty_Per_Batch]*IFERROR(INDEX(PP_Grid[#Data],IF(M_BOM[PPGridRow]=93,NA(),M_BOM[PPGridRow]),80),0))/17.67</f>
        <v/>
      </c>
      <c r="CC93">
        <f>SUMPRODUCT((M_BOM[Part Name]=$A93)*M_BOM[RM_Qty_Per_Batch]*IFERROR(INDEX(PP_Grid[#Data],IF(M_BOM[PPGridRow]=93,NA(),M_BOM[PPGridRow]),81),0))/17.67</f>
        <v/>
      </c>
      <c r="CD93">
        <f>SUMPRODUCT((M_BOM[Part Name]=$A93)*M_BOM[RM_Qty_Per_Batch]*IFERROR(INDEX(PP_Grid[#Data],IF(M_BOM[PPGridRow]=93,NA(),M_BOM[PPGridRow]),82),0))/17.67</f>
        <v/>
      </c>
      <c r="CE93">
        <f>SUMPRODUCT((M_BOM[Part Name]=$A93)*M_BOM[RM_Qty_Per_Batch]*IFERROR(INDEX(PP_Grid[#Data],IF(M_BOM[PPGridRow]=93,NA(),M_BOM[PPGridRow]),83),0))/17.67</f>
        <v/>
      </c>
      <c r="CF93">
        <f>SUMPRODUCT((M_BOM[Part Name]=$A93)*M_BOM[RM_Qty_Per_Batch]*IFERROR(INDEX(PP_Grid[#Data],IF(M_BOM[PPGridRow]=93,NA(),M_BOM[PPGridRow]),84),0))/17.67</f>
        <v/>
      </c>
      <c r="CG93">
        <f>SUMPRODUCT((M_BOM[Part Name]=$A93)*M_BOM[RM_Qty_Per_Batch]*IFERROR(INDEX(PP_Grid[#Data],IF(M_BOM[PPGridRow]=93,NA(),M_BOM[PPGridRow]),85),0))/17.67</f>
        <v/>
      </c>
      <c r="CH93">
        <f>SUMPRODUCT((M_BOM[Part Name]=$A93)*M_BOM[RM_Qty_Per_Batch]*IFERROR(INDEX(PP_Grid[#Data],IF(M_BOM[PPGridRow]=93,NA(),M_BOM[PPGridRow]),86),0))/17.67</f>
        <v/>
      </c>
      <c r="CI93">
        <f>SUMPRODUCT((M_BOM[Part Name]=$A93)*M_BOM[RM_Qty_Per_Batch]*IFERROR(INDEX(PP_Grid[#Data],IF(M_BOM[PPGridRow]=93,NA(),M_BOM[PPGridRow]),87),0))/17.67</f>
        <v/>
      </c>
      <c r="CJ93">
        <f>SUMPRODUCT((M_BOM[Part Name]=$A93)*M_BOM[RM_Qty_Per_Batch]*IFERROR(INDEX(PP_Grid[#Data],IF(M_BOM[PPGridRow]=93,NA(),M_BOM[PPGridRow]),88),0))/17.67</f>
        <v/>
      </c>
      <c r="CK93">
        <f>SUMPRODUCT((M_BOM[Part Name]=$A93)*M_BOM[RM_Qty_Per_Batch]*IFERROR(INDEX(PP_Grid[#Data],IF(M_BOM[PPGridRow]=93,NA(),M_BOM[PPGridRow]),89),0))/17.67</f>
        <v/>
      </c>
      <c r="CL93">
        <f>SUMPRODUCT((M_BOM[Part Name]=$A93)*M_BOM[RM_Qty_Per_Batch]*IFERROR(INDEX(PP_Grid[#Data],IF(M_BOM[PPGridRow]=93,NA(),M_BOM[PPGridRow]),90),0))/17.67</f>
        <v/>
      </c>
      <c r="CM93">
        <f>SUMPRODUCT((M_BOM[Part Name]=$A93)*M_BOM[RM_Qty_Per_Batch]*IFERROR(INDEX(PP_Grid[#Data],IF(M_BOM[PPGridRow]=93,NA(),M_BOM[PPGridRow]),91),0))/17.67</f>
        <v/>
      </c>
      <c r="CN93">
        <f>SUMPRODUCT((M_BOM[Part Name]=$A93)*M_BOM[RM_Qty_Per_Batch]*IFERROR(INDEX(PP_Grid[#Data],IF(M_BOM[PPGridRow]=93,NA(),M_BOM[PPGridRow]),92),0))/17.67</f>
        <v/>
      </c>
      <c r="CO93">
        <f>SUMPRODUCT((M_BOM[Part Name]=$A93)*M_BOM[RM_Qty_Per_Batch]*IFERROR(INDEX(PP_Grid[#Data],IF(M_BOM[PPGridRow]=93,NA(),M_BOM[PPGridRow]),93),0))/17.67</f>
        <v/>
      </c>
      <c r="CP93">
        <f>SUMPRODUCT((M_BOM[Part Name]=$A93)*M_BOM[RM_Qty_Per_Batch]*IFERROR(INDEX(PP_Grid[#Data],IF(M_BOM[PPGridRow]=93,NA(),M_BOM[PPGridRow]),94),0))/17.67</f>
        <v/>
      </c>
      <c r="CQ93">
        <f>SUMPRODUCT((M_BOM[Part Name]=$A93)*M_BOM[RM_Qty_Per_Batch]*IFERROR(INDEX(PP_Grid[#Data],IF(M_BOM[PPGridRow]=93,NA(),M_BOM[PPGridRow]),95),0))/17.67</f>
        <v/>
      </c>
      <c r="CR93">
        <f>SUMPRODUCT((M_BOM[Part Name]=$A93)*M_BOM[RM_Qty_Per_Batch]*IFERROR(INDEX(PP_Grid[#Data],IF(M_BOM[PPGridRow]=93,NA(),M_BOM[PPGridRow]),96),0))/17.67</f>
        <v/>
      </c>
      <c r="CS93">
        <f>SUMPRODUCT((M_BOM[Part Name]=$A93)*M_BOM[RM_Qty_Per_Batch]*IFERROR(INDEX(PP_Grid[#Data],IF(M_BOM[PPGridRow]=93,NA(),M_BOM[PPGridRow]),97),0))/17.67</f>
        <v/>
      </c>
      <c r="CT93">
        <f>SUMPRODUCT((M_BOM[Part Name]=$A93)*M_BOM[RM_Qty_Per_Batch]*IFERROR(INDEX(PP_Grid[#Data],IF(M_BOM[PPGridRow]=93,NA(),M_BOM[PPGridRow]),98),0))/17.67</f>
        <v/>
      </c>
      <c r="CU93">
        <f>SUMPRODUCT((M_BOM[Part Name]=$A93)*M_BOM[RM_Qty_Per_Batch]*IFERROR(INDEX(PP_Grid[#Data],IF(M_BOM[PPGridRow]=93,NA(),M_BOM[PPGridRow]),99),0))/17.67</f>
        <v/>
      </c>
      <c r="CV93">
        <f>SUMPRODUCT((M_BOM[Part Name]=$A93)*M_BOM[RM_Qty_Per_Batch]*IFERROR(INDEX(PP_Grid[#Data],IF(M_BOM[PPGridRow]=93,NA(),M_BOM[PPGridRow]),100),0))/17.67</f>
        <v/>
      </c>
      <c r="CW93">
        <f>SUMPRODUCT((M_BOM[Part Name]=$A93)*M_BOM[RM_Qty_Per_Batch]*IFERROR(INDEX(PP_Grid[#Data],IF(M_BOM[PPGridRow]=93,NA(),M_BOM[PPGridRow]),101),0))/17.67</f>
        <v/>
      </c>
      <c r="CX93">
        <f>SUMPRODUCT((M_BOM[Part Name]=$A93)*M_BOM[RM_Qty_Per_Batch]*IFERROR(INDEX(PP_Grid[#Data],IF(M_BOM[PPGridRow]=93,NA(),M_BOM[PPGridRow]),102),0))/17.67</f>
        <v/>
      </c>
      <c r="CY93">
        <f>SUMPRODUCT((M_BOM[Part Name]=$A93)*M_BOM[RM_Qty_Per_Batch]*IFERROR(INDEX(PP_Grid[#Data],IF(M_BOM[PPGridRow]=93,NA(),M_BOM[PPGridRow]),103),0))/17.67</f>
        <v/>
      </c>
      <c r="CZ93">
        <f>SUMPRODUCT((M_BOM[Part Name]=$A93)*M_BOM[RM_Qty_Per_Batch]*IFERROR(INDEX(PP_Grid[#Data],IF(M_BOM[PPGridRow]=93,NA(),M_BOM[PPGridRow]),104),0))/17.67</f>
        <v/>
      </c>
      <c r="DA93">
        <f>SUMPRODUCT((M_BOM[Part Name]=$A93)*M_BOM[RM_Qty_Per_Batch]*IFERROR(INDEX(PP_Grid[#Data],IF(M_BOM[PPGridRow]=93,NA(),M_BOM[PPGridRow]),105),0))/17.67</f>
        <v/>
      </c>
    </row>
    <row r="94">
      <c r="A94" t="inlineStr">
        <is>
          <t>TPP-968</t>
        </is>
      </c>
      <c r="B94">
        <f>SUMPRODUCT((M_BOM[Part Name]=$A94)*M_BOM[RM_Qty_Per_Batch]*IFERROR(INDEX(PP_Grid[#Data],IF(M_BOM[PPGridRow]=94,NA(),M_BOM[PPGridRow]),2),0))/22.38</f>
        <v/>
      </c>
      <c r="C94">
        <f>SUMPRODUCT((M_BOM[Part Name]=$A94)*M_BOM[RM_Qty_Per_Batch]*IFERROR(INDEX(PP_Grid[#Data],IF(M_BOM[PPGridRow]=94,NA(),M_BOM[PPGridRow]),3),0))/22.38</f>
        <v/>
      </c>
      <c r="D94">
        <f>SUMPRODUCT((M_BOM[Part Name]=$A94)*M_BOM[RM_Qty_Per_Batch]*IFERROR(INDEX(PP_Grid[#Data],IF(M_BOM[PPGridRow]=94,NA(),M_BOM[PPGridRow]),4),0))/22.38</f>
        <v/>
      </c>
      <c r="E94">
        <f>SUMPRODUCT((M_BOM[Part Name]=$A94)*M_BOM[RM_Qty_Per_Batch]*IFERROR(INDEX(PP_Grid[#Data],IF(M_BOM[PPGridRow]=94,NA(),M_BOM[PPGridRow]),5),0))/22.38</f>
        <v/>
      </c>
      <c r="F94">
        <f>SUMPRODUCT((M_BOM[Part Name]=$A94)*M_BOM[RM_Qty_Per_Batch]*IFERROR(INDEX(PP_Grid[#Data],IF(M_BOM[PPGridRow]=94,NA(),M_BOM[PPGridRow]),6),0))/22.38</f>
        <v/>
      </c>
      <c r="G94">
        <f>SUMPRODUCT((M_BOM[Part Name]=$A94)*M_BOM[RM_Qty_Per_Batch]*IFERROR(INDEX(PP_Grid[#Data],IF(M_BOM[PPGridRow]=94,NA(),M_BOM[PPGridRow]),7),0))/22.38</f>
        <v/>
      </c>
      <c r="H94">
        <f>SUMPRODUCT((M_BOM[Part Name]=$A94)*M_BOM[RM_Qty_Per_Batch]*IFERROR(INDEX(PP_Grid[#Data],IF(M_BOM[PPGridRow]=94,NA(),M_BOM[PPGridRow]),8),0))/22.38</f>
        <v/>
      </c>
      <c r="I94">
        <f>SUMPRODUCT((M_BOM[Part Name]=$A94)*M_BOM[RM_Qty_Per_Batch]*IFERROR(INDEX(PP_Grid[#Data],IF(M_BOM[PPGridRow]=94,NA(),M_BOM[PPGridRow]),9),0))/22.38</f>
        <v/>
      </c>
      <c r="J94">
        <f>SUMPRODUCT((M_BOM[Part Name]=$A94)*M_BOM[RM_Qty_Per_Batch]*IFERROR(INDEX(PP_Grid[#Data],IF(M_BOM[PPGridRow]=94,NA(),M_BOM[PPGridRow]),10),0))/22.38</f>
        <v/>
      </c>
      <c r="K94">
        <f>SUMPRODUCT((M_BOM[Part Name]=$A94)*M_BOM[RM_Qty_Per_Batch]*IFERROR(INDEX(PP_Grid[#Data],IF(M_BOM[PPGridRow]=94,NA(),M_BOM[PPGridRow]),11),0))/22.38</f>
        <v/>
      </c>
      <c r="L94">
        <f>SUMPRODUCT((M_BOM[Part Name]=$A94)*M_BOM[RM_Qty_Per_Batch]*IFERROR(INDEX(PP_Grid[#Data],IF(M_BOM[PPGridRow]=94,NA(),M_BOM[PPGridRow]),12),0))/22.38</f>
        <v/>
      </c>
      <c r="M94">
        <f>SUMPRODUCT((M_BOM[Part Name]=$A94)*M_BOM[RM_Qty_Per_Batch]*IFERROR(INDEX(PP_Grid[#Data],IF(M_BOM[PPGridRow]=94,NA(),M_BOM[PPGridRow]),13),0))/22.38</f>
        <v/>
      </c>
      <c r="N94">
        <f>SUMPRODUCT((M_BOM[Part Name]=$A94)*M_BOM[RM_Qty_Per_Batch]*IFERROR(INDEX(PP_Grid[#Data],IF(M_BOM[PPGridRow]=94,NA(),M_BOM[PPGridRow]),14),0))/22.38</f>
        <v/>
      </c>
      <c r="O94">
        <f>SUMPRODUCT((M_BOM[Part Name]=$A94)*M_BOM[RM_Qty_Per_Batch]*IFERROR(INDEX(PP_Grid[#Data],IF(M_BOM[PPGridRow]=94,NA(),M_BOM[PPGridRow]),15),0))/22.38</f>
        <v/>
      </c>
      <c r="P94">
        <f>SUMPRODUCT((M_BOM[Part Name]=$A94)*M_BOM[RM_Qty_Per_Batch]*IFERROR(INDEX(PP_Grid[#Data],IF(M_BOM[PPGridRow]=94,NA(),M_BOM[PPGridRow]),16),0))/22.38</f>
        <v/>
      </c>
      <c r="Q94">
        <f>SUMPRODUCT((M_BOM[Part Name]=$A94)*M_BOM[RM_Qty_Per_Batch]*IFERROR(INDEX(PP_Grid[#Data],IF(M_BOM[PPGridRow]=94,NA(),M_BOM[PPGridRow]),17),0))/22.38</f>
        <v/>
      </c>
      <c r="R94">
        <f>SUMPRODUCT((M_BOM[Part Name]=$A94)*M_BOM[RM_Qty_Per_Batch]*IFERROR(INDEX(PP_Grid[#Data],IF(M_BOM[PPGridRow]=94,NA(),M_BOM[PPGridRow]),18),0))/22.38</f>
        <v/>
      </c>
      <c r="S94">
        <f>SUMPRODUCT((M_BOM[Part Name]=$A94)*M_BOM[RM_Qty_Per_Batch]*IFERROR(INDEX(PP_Grid[#Data],IF(M_BOM[PPGridRow]=94,NA(),M_BOM[PPGridRow]),19),0))/22.38</f>
        <v/>
      </c>
      <c r="T94">
        <f>SUMPRODUCT((M_BOM[Part Name]=$A94)*M_BOM[RM_Qty_Per_Batch]*IFERROR(INDEX(PP_Grid[#Data],IF(M_BOM[PPGridRow]=94,NA(),M_BOM[PPGridRow]),20),0))/22.38</f>
        <v/>
      </c>
      <c r="U94">
        <f>SUMPRODUCT((M_BOM[Part Name]=$A94)*M_BOM[RM_Qty_Per_Batch]*IFERROR(INDEX(PP_Grid[#Data],IF(M_BOM[PPGridRow]=94,NA(),M_BOM[PPGridRow]),21),0))/22.38</f>
        <v/>
      </c>
      <c r="V94">
        <f>SUMPRODUCT((M_BOM[Part Name]=$A94)*M_BOM[RM_Qty_Per_Batch]*IFERROR(INDEX(PP_Grid[#Data],IF(M_BOM[PPGridRow]=94,NA(),M_BOM[PPGridRow]),22),0))/22.38</f>
        <v/>
      </c>
      <c r="W94">
        <f>SUMPRODUCT((M_BOM[Part Name]=$A94)*M_BOM[RM_Qty_Per_Batch]*IFERROR(INDEX(PP_Grid[#Data],IF(M_BOM[PPGridRow]=94,NA(),M_BOM[PPGridRow]),23),0))/22.38</f>
        <v/>
      </c>
      <c r="X94">
        <f>SUMPRODUCT((M_BOM[Part Name]=$A94)*M_BOM[RM_Qty_Per_Batch]*IFERROR(INDEX(PP_Grid[#Data],IF(M_BOM[PPGridRow]=94,NA(),M_BOM[PPGridRow]),24),0))/22.38</f>
        <v/>
      </c>
      <c r="Y94">
        <f>SUMPRODUCT((M_BOM[Part Name]=$A94)*M_BOM[RM_Qty_Per_Batch]*IFERROR(INDEX(PP_Grid[#Data],IF(M_BOM[PPGridRow]=94,NA(),M_BOM[PPGridRow]),25),0))/22.38</f>
        <v/>
      </c>
      <c r="Z94">
        <f>SUMPRODUCT((M_BOM[Part Name]=$A94)*M_BOM[RM_Qty_Per_Batch]*IFERROR(INDEX(PP_Grid[#Data],IF(M_BOM[PPGridRow]=94,NA(),M_BOM[PPGridRow]),26),0))/22.38</f>
        <v/>
      </c>
      <c r="AA94">
        <f>SUMPRODUCT((M_BOM[Part Name]=$A94)*M_BOM[RM_Qty_Per_Batch]*IFERROR(INDEX(PP_Grid[#Data],IF(M_BOM[PPGridRow]=94,NA(),M_BOM[PPGridRow]),27),0))/22.38</f>
        <v/>
      </c>
      <c r="AB94">
        <f>SUMPRODUCT((M_BOM[Part Name]=$A94)*M_BOM[RM_Qty_Per_Batch]*IFERROR(INDEX(PP_Grid[#Data],IF(M_BOM[PPGridRow]=94,NA(),M_BOM[PPGridRow]),28),0))/22.38</f>
        <v/>
      </c>
      <c r="AC94">
        <f>SUMPRODUCT((M_BOM[Part Name]=$A94)*M_BOM[RM_Qty_Per_Batch]*IFERROR(INDEX(PP_Grid[#Data],IF(M_BOM[PPGridRow]=94,NA(),M_BOM[PPGridRow]),29),0))/22.38</f>
        <v/>
      </c>
      <c r="AD94">
        <f>SUMPRODUCT((M_BOM[Part Name]=$A94)*M_BOM[RM_Qty_Per_Batch]*IFERROR(INDEX(PP_Grid[#Data],IF(M_BOM[PPGridRow]=94,NA(),M_BOM[PPGridRow]),30),0))/22.38</f>
        <v/>
      </c>
      <c r="AE94">
        <f>SUMPRODUCT((M_BOM[Part Name]=$A94)*M_BOM[RM_Qty_Per_Batch]*IFERROR(INDEX(PP_Grid[#Data],IF(M_BOM[PPGridRow]=94,NA(),M_BOM[PPGridRow]),31),0))/22.38</f>
        <v/>
      </c>
      <c r="AF94">
        <f>SUMPRODUCT((M_BOM[Part Name]=$A94)*M_BOM[RM_Qty_Per_Batch]*IFERROR(INDEX(PP_Grid[#Data],IF(M_BOM[PPGridRow]=94,NA(),M_BOM[PPGridRow]),32),0))/22.38</f>
        <v/>
      </c>
      <c r="AG94">
        <f>SUMPRODUCT((M_BOM[Part Name]=$A94)*M_BOM[RM_Qty_Per_Batch]*IFERROR(INDEX(PP_Grid[#Data],IF(M_BOM[PPGridRow]=94,NA(),M_BOM[PPGridRow]),33),0))/22.38</f>
        <v/>
      </c>
      <c r="AH94">
        <f>SUMPRODUCT((M_BOM[Part Name]=$A94)*M_BOM[RM_Qty_Per_Batch]*IFERROR(INDEX(PP_Grid[#Data],IF(M_BOM[PPGridRow]=94,NA(),M_BOM[PPGridRow]),34),0))/22.38</f>
        <v/>
      </c>
      <c r="AI94">
        <f>SUMPRODUCT((M_BOM[Part Name]=$A94)*M_BOM[RM_Qty_Per_Batch]*IFERROR(INDEX(PP_Grid[#Data],IF(M_BOM[PPGridRow]=94,NA(),M_BOM[PPGridRow]),35),0))/22.38</f>
        <v/>
      </c>
      <c r="AJ94">
        <f>SUMPRODUCT((M_BOM[Part Name]=$A94)*M_BOM[RM_Qty_Per_Batch]*IFERROR(INDEX(PP_Grid[#Data],IF(M_BOM[PPGridRow]=94,NA(),M_BOM[PPGridRow]),36),0))/22.38</f>
        <v/>
      </c>
      <c r="AK94">
        <f>SUMPRODUCT((M_BOM[Part Name]=$A94)*M_BOM[RM_Qty_Per_Batch]*IFERROR(INDEX(PP_Grid[#Data],IF(M_BOM[PPGridRow]=94,NA(),M_BOM[PPGridRow]),37),0))/22.38</f>
        <v/>
      </c>
      <c r="AL94">
        <f>SUMPRODUCT((M_BOM[Part Name]=$A94)*M_BOM[RM_Qty_Per_Batch]*IFERROR(INDEX(PP_Grid[#Data],IF(M_BOM[PPGridRow]=94,NA(),M_BOM[PPGridRow]),38),0))/22.38</f>
        <v/>
      </c>
      <c r="AM94">
        <f>SUMPRODUCT((M_BOM[Part Name]=$A94)*M_BOM[RM_Qty_Per_Batch]*IFERROR(INDEX(PP_Grid[#Data],IF(M_BOM[PPGridRow]=94,NA(),M_BOM[PPGridRow]),39),0))/22.38</f>
        <v/>
      </c>
      <c r="AN94">
        <f>SUMPRODUCT((M_BOM[Part Name]=$A94)*M_BOM[RM_Qty_Per_Batch]*IFERROR(INDEX(PP_Grid[#Data],IF(M_BOM[PPGridRow]=94,NA(),M_BOM[PPGridRow]),40),0))/22.38</f>
        <v/>
      </c>
      <c r="AO94">
        <f>SUMPRODUCT((M_BOM[Part Name]=$A94)*M_BOM[RM_Qty_Per_Batch]*IFERROR(INDEX(PP_Grid[#Data],IF(M_BOM[PPGridRow]=94,NA(),M_BOM[PPGridRow]),41),0))/22.38</f>
        <v/>
      </c>
      <c r="AP94">
        <f>SUMPRODUCT((M_BOM[Part Name]=$A94)*M_BOM[RM_Qty_Per_Batch]*IFERROR(INDEX(PP_Grid[#Data],IF(M_BOM[PPGridRow]=94,NA(),M_BOM[PPGridRow]),42),0))/22.38</f>
        <v/>
      </c>
      <c r="AQ94">
        <f>SUMPRODUCT((M_BOM[Part Name]=$A94)*M_BOM[RM_Qty_Per_Batch]*IFERROR(INDEX(PP_Grid[#Data],IF(M_BOM[PPGridRow]=94,NA(),M_BOM[PPGridRow]),43),0))/22.38</f>
        <v/>
      </c>
      <c r="AR94">
        <f>SUMPRODUCT((M_BOM[Part Name]=$A94)*M_BOM[RM_Qty_Per_Batch]*IFERROR(INDEX(PP_Grid[#Data],IF(M_BOM[PPGridRow]=94,NA(),M_BOM[PPGridRow]),44),0))/22.38</f>
        <v/>
      </c>
      <c r="AS94">
        <f>SUMPRODUCT((M_BOM[Part Name]=$A94)*M_BOM[RM_Qty_Per_Batch]*IFERROR(INDEX(PP_Grid[#Data],IF(M_BOM[PPGridRow]=94,NA(),M_BOM[PPGridRow]),45),0))/22.38</f>
        <v/>
      </c>
      <c r="AT94">
        <f>SUMPRODUCT((M_BOM[Part Name]=$A94)*M_BOM[RM_Qty_Per_Batch]*IFERROR(INDEX(PP_Grid[#Data],IF(M_BOM[PPGridRow]=94,NA(),M_BOM[PPGridRow]),46),0))/22.38</f>
        <v/>
      </c>
      <c r="AU94">
        <f>SUMPRODUCT((M_BOM[Part Name]=$A94)*M_BOM[RM_Qty_Per_Batch]*IFERROR(INDEX(PP_Grid[#Data],IF(M_BOM[PPGridRow]=94,NA(),M_BOM[PPGridRow]),47),0))/22.38</f>
        <v/>
      </c>
      <c r="AV94">
        <f>SUMPRODUCT((M_BOM[Part Name]=$A94)*M_BOM[RM_Qty_Per_Batch]*IFERROR(INDEX(PP_Grid[#Data],IF(M_BOM[PPGridRow]=94,NA(),M_BOM[PPGridRow]),48),0))/22.38</f>
        <v/>
      </c>
      <c r="AW94">
        <f>SUMPRODUCT((M_BOM[Part Name]=$A94)*M_BOM[RM_Qty_Per_Batch]*IFERROR(INDEX(PP_Grid[#Data],IF(M_BOM[PPGridRow]=94,NA(),M_BOM[PPGridRow]),49),0))/22.38</f>
        <v/>
      </c>
      <c r="AX94">
        <f>SUMPRODUCT((M_BOM[Part Name]=$A94)*M_BOM[RM_Qty_Per_Batch]*IFERROR(INDEX(PP_Grid[#Data],IF(M_BOM[PPGridRow]=94,NA(),M_BOM[PPGridRow]),50),0))/22.38</f>
        <v/>
      </c>
      <c r="AY94">
        <f>SUMPRODUCT((M_BOM[Part Name]=$A94)*M_BOM[RM_Qty_Per_Batch]*IFERROR(INDEX(PP_Grid[#Data],IF(M_BOM[PPGridRow]=94,NA(),M_BOM[PPGridRow]),51),0))/22.38</f>
        <v/>
      </c>
      <c r="AZ94">
        <f>SUMPRODUCT((M_BOM[Part Name]=$A94)*M_BOM[RM_Qty_Per_Batch]*IFERROR(INDEX(PP_Grid[#Data],IF(M_BOM[PPGridRow]=94,NA(),M_BOM[PPGridRow]),52),0))/22.38</f>
        <v/>
      </c>
      <c r="BA94">
        <f>SUMPRODUCT((M_BOM[Part Name]=$A94)*M_BOM[RM_Qty_Per_Batch]*IFERROR(INDEX(PP_Grid[#Data],IF(M_BOM[PPGridRow]=94,NA(),M_BOM[PPGridRow]),53),0))/22.38</f>
        <v/>
      </c>
      <c r="BB94">
        <f>SUMPRODUCT((M_BOM[Part Name]=$A94)*M_BOM[RM_Qty_Per_Batch]*IFERROR(INDEX(PP_Grid[#Data],IF(M_BOM[PPGridRow]=94,NA(),M_BOM[PPGridRow]),54),0))/22.38</f>
        <v/>
      </c>
      <c r="BC94">
        <f>SUMPRODUCT((M_BOM[Part Name]=$A94)*M_BOM[RM_Qty_Per_Batch]*IFERROR(INDEX(PP_Grid[#Data],IF(M_BOM[PPGridRow]=94,NA(),M_BOM[PPGridRow]),55),0))/22.38</f>
        <v/>
      </c>
      <c r="BD94">
        <f>SUMPRODUCT((M_BOM[Part Name]=$A94)*M_BOM[RM_Qty_Per_Batch]*IFERROR(INDEX(PP_Grid[#Data],IF(M_BOM[PPGridRow]=94,NA(),M_BOM[PPGridRow]),56),0))/22.38</f>
        <v/>
      </c>
      <c r="BE94">
        <f>SUMPRODUCT((M_BOM[Part Name]=$A94)*M_BOM[RM_Qty_Per_Batch]*IFERROR(INDEX(PP_Grid[#Data],IF(M_BOM[PPGridRow]=94,NA(),M_BOM[PPGridRow]),57),0))/22.38</f>
        <v/>
      </c>
      <c r="BF94">
        <f>SUMPRODUCT((M_BOM[Part Name]=$A94)*M_BOM[RM_Qty_Per_Batch]*IFERROR(INDEX(PP_Grid[#Data],IF(M_BOM[PPGridRow]=94,NA(),M_BOM[PPGridRow]),58),0))/22.38</f>
        <v/>
      </c>
      <c r="BG94">
        <f>SUMPRODUCT((M_BOM[Part Name]=$A94)*M_BOM[RM_Qty_Per_Batch]*IFERROR(INDEX(PP_Grid[#Data],IF(M_BOM[PPGridRow]=94,NA(),M_BOM[PPGridRow]),59),0))/22.38</f>
        <v/>
      </c>
      <c r="BH94">
        <f>SUMPRODUCT((M_BOM[Part Name]=$A94)*M_BOM[RM_Qty_Per_Batch]*IFERROR(INDEX(PP_Grid[#Data],IF(M_BOM[PPGridRow]=94,NA(),M_BOM[PPGridRow]),60),0))/22.38</f>
        <v/>
      </c>
      <c r="BI94">
        <f>SUMPRODUCT((M_BOM[Part Name]=$A94)*M_BOM[RM_Qty_Per_Batch]*IFERROR(INDEX(PP_Grid[#Data],IF(M_BOM[PPGridRow]=94,NA(),M_BOM[PPGridRow]),61),0))/22.38</f>
        <v/>
      </c>
      <c r="BJ94">
        <f>SUMPRODUCT((M_BOM[Part Name]=$A94)*M_BOM[RM_Qty_Per_Batch]*IFERROR(INDEX(PP_Grid[#Data],IF(M_BOM[PPGridRow]=94,NA(),M_BOM[PPGridRow]),62),0))/22.38</f>
        <v/>
      </c>
      <c r="BK94">
        <f>SUMPRODUCT((M_BOM[Part Name]=$A94)*M_BOM[RM_Qty_Per_Batch]*IFERROR(INDEX(PP_Grid[#Data],IF(M_BOM[PPGridRow]=94,NA(),M_BOM[PPGridRow]),63),0))/22.38</f>
        <v/>
      </c>
      <c r="BL94">
        <f>SUMPRODUCT((M_BOM[Part Name]=$A94)*M_BOM[RM_Qty_Per_Batch]*IFERROR(INDEX(PP_Grid[#Data],IF(M_BOM[PPGridRow]=94,NA(),M_BOM[PPGridRow]),64),0))/22.38</f>
        <v/>
      </c>
      <c r="BM94">
        <f>SUMPRODUCT((M_BOM[Part Name]=$A94)*M_BOM[RM_Qty_Per_Batch]*IFERROR(INDEX(PP_Grid[#Data],IF(M_BOM[PPGridRow]=94,NA(),M_BOM[PPGridRow]),65),0))/22.38</f>
        <v/>
      </c>
      <c r="BN94">
        <f>SUMPRODUCT((M_BOM[Part Name]=$A94)*M_BOM[RM_Qty_Per_Batch]*IFERROR(INDEX(PP_Grid[#Data],IF(M_BOM[PPGridRow]=94,NA(),M_BOM[PPGridRow]),66),0))/22.38</f>
        <v/>
      </c>
      <c r="BO94">
        <f>SUMPRODUCT((M_BOM[Part Name]=$A94)*M_BOM[RM_Qty_Per_Batch]*IFERROR(INDEX(PP_Grid[#Data],IF(M_BOM[PPGridRow]=94,NA(),M_BOM[PPGridRow]),67),0))/22.38</f>
        <v/>
      </c>
      <c r="BP94">
        <f>SUMPRODUCT((M_BOM[Part Name]=$A94)*M_BOM[RM_Qty_Per_Batch]*IFERROR(INDEX(PP_Grid[#Data],IF(M_BOM[PPGridRow]=94,NA(),M_BOM[PPGridRow]),68),0))/22.38</f>
        <v/>
      </c>
      <c r="BQ94">
        <f>SUMPRODUCT((M_BOM[Part Name]=$A94)*M_BOM[RM_Qty_Per_Batch]*IFERROR(INDEX(PP_Grid[#Data],IF(M_BOM[PPGridRow]=94,NA(),M_BOM[PPGridRow]),69),0))/22.38</f>
        <v/>
      </c>
      <c r="BR94">
        <f>SUMPRODUCT((M_BOM[Part Name]=$A94)*M_BOM[RM_Qty_Per_Batch]*IFERROR(INDEX(PP_Grid[#Data],IF(M_BOM[PPGridRow]=94,NA(),M_BOM[PPGridRow]),70),0))/22.38</f>
        <v/>
      </c>
      <c r="BS94">
        <f>SUMPRODUCT((M_BOM[Part Name]=$A94)*M_BOM[RM_Qty_Per_Batch]*IFERROR(INDEX(PP_Grid[#Data],IF(M_BOM[PPGridRow]=94,NA(),M_BOM[PPGridRow]),71),0))/22.38</f>
        <v/>
      </c>
      <c r="BT94">
        <f>SUMPRODUCT((M_BOM[Part Name]=$A94)*M_BOM[RM_Qty_Per_Batch]*IFERROR(INDEX(PP_Grid[#Data],IF(M_BOM[PPGridRow]=94,NA(),M_BOM[PPGridRow]),72),0))/22.38</f>
        <v/>
      </c>
      <c r="BU94">
        <f>SUMPRODUCT((M_BOM[Part Name]=$A94)*M_BOM[RM_Qty_Per_Batch]*IFERROR(INDEX(PP_Grid[#Data],IF(M_BOM[PPGridRow]=94,NA(),M_BOM[PPGridRow]),73),0))/22.38</f>
        <v/>
      </c>
      <c r="BV94">
        <f>SUMPRODUCT((M_BOM[Part Name]=$A94)*M_BOM[RM_Qty_Per_Batch]*IFERROR(INDEX(PP_Grid[#Data],IF(M_BOM[PPGridRow]=94,NA(),M_BOM[PPGridRow]),74),0))/22.38</f>
        <v/>
      </c>
      <c r="BW94">
        <f>SUMPRODUCT((M_BOM[Part Name]=$A94)*M_BOM[RM_Qty_Per_Batch]*IFERROR(INDEX(PP_Grid[#Data],IF(M_BOM[PPGridRow]=94,NA(),M_BOM[PPGridRow]),75),0))/22.38</f>
        <v/>
      </c>
      <c r="BX94">
        <f>SUMPRODUCT((M_BOM[Part Name]=$A94)*M_BOM[RM_Qty_Per_Batch]*IFERROR(INDEX(PP_Grid[#Data],IF(M_BOM[PPGridRow]=94,NA(),M_BOM[PPGridRow]),76),0))/22.38</f>
        <v/>
      </c>
      <c r="BY94">
        <f>SUMPRODUCT((M_BOM[Part Name]=$A94)*M_BOM[RM_Qty_Per_Batch]*IFERROR(INDEX(PP_Grid[#Data],IF(M_BOM[PPGridRow]=94,NA(),M_BOM[PPGridRow]),77),0))/22.38</f>
        <v/>
      </c>
      <c r="BZ94">
        <f>SUMPRODUCT((M_BOM[Part Name]=$A94)*M_BOM[RM_Qty_Per_Batch]*IFERROR(INDEX(PP_Grid[#Data],IF(M_BOM[PPGridRow]=94,NA(),M_BOM[PPGridRow]),78),0))/22.38</f>
        <v/>
      </c>
      <c r="CA94">
        <f>SUMPRODUCT((M_BOM[Part Name]=$A94)*M_BOM[RM_Qty_Per_Batch]*IFERROR(INDEX(PP_Grid[#Data],IF(M_BOM[PPGridRow]=94,NA(),M_BOM[PPGridRow]),79),0))/22.38</f>
        <v/>
      </c>
      <c r="CB94">
        <f>SUMPRODUCT((M_BOM[Part Name]=$A94)*M_BOM[RM_Qty_Per_Batch]*IFERROR(INDEX(PP_Grid[#Data],IF(M_BOM[PPGridRow]=94,NA(),M_BOM[PPGridRow]),80),0))/22.38</f>
        <v/>
      </c>
      <c r="CC94">
        <f>SUMPRODUCT((M_BOM[Part Name]=$A94)*M_BOM[RM_Qty_Per_Batch]*IFERROR(INDEX(PP_Grid[#Data],IF(M_BOM[PPGridRow]=94,NA(),M_BOM[PPGridRow]),81),0))/22.38</f>
        <v/>
      </c>
      <c r="CD94">
        <f>SUMPRODUCT((M_BOM[Part Name]=$A94)*M_BOM[RM_Qty_Per_Batch]*IFERROR(INDEX(PP_Grid[#Data],IF(M_BOM[PPGridRow]=94,NA(),M_BOM[PPGridRow]),82),0))/22.38</f>
        <v/>
      </c>
      <c r="CE94">
        <f>SUMPRODUCT((M_BOM[Part Name]=$A94)*M_BOM[RM_Qty_Per_Batch]*IFERROR(INDEX(PP_Grid[#Data],IF(M_BOM[PPGridRow]=94,NA(),M_BOM[PPGridRow]),83),0))/22.38</f>
        <v/>
      </c>
      <c r="CF94">
        <f>SUMPRODUCT((M_BOM[Part Name]=$A94)*M_BOM[RM_Qty_Per_Batch]*IFERROR(INDEX(PP_Grid[#Data],IF(M_BOM[PPGridRow]=94,NA(),M_BOM[PPGridRow]),84),0))/22.38</f>
        <v/>
      </c>
      <c r="CG94">
        <f>SUMPRODUCT((M_BOM[Part Name]=$A94)*M_BOM[RM_Qty_Per_Batch]*IFERROR(INDEX(PP_Grid[#Data],IF(M_BOM[PPGridRow]=94,NA(),M_BOM[PPGridRow]),85),0))/22.38</f>
        <v/>
      </c>
      <c r="CH94">
        <f>SUMPRODUCT((M_BOM[Part Name]=$A94)*M_BOM[RM_Qty_Per_Batch]*IFERROR(INDEX(PP_Grid[#Data],IF(M_BOM[PPGridRow]=94,NA(),M_BOM[PPGridRow]),86),0))/22.38</f>
        <v/>
      </c>
      <c r="CI94">
        <f>SUMPRODUCT((M_BOM[Part Name]=$A94)*M_BOM[RM_Qty_Per_Batch]*IFERROR(INDEX(PP_Grid[#Data],IF(M_BOM[PPGridRow]=94,NA(),M_BOM[PPGridRow]),87),0))/22.38</f>
        <v/>
      </c>
      <c r="CJ94">
        <f>SUMPRODUCT((M_BOM[Part Name]=$A94)*M_BOM[RM_Qty_Per_Batch]*IFERROR(INDEX(PP_Grid[#Data],IF(M_BOM[PPGridRow]=94,NA(),M_BOM[PPGridRow]),88),0))/22.38</f>
        <v/>
      </c>
      <c r="CK94">
        <f>SUMPRODUCT((M_BOM[Part Name]=$A94)*M_BOM[RM_Qty_Per_Batch]*IFERROR(INDEX(PP_Grid[#Data],IF(M_BOM[PPGridRow]=94,NA(),M_BOM[PPGridRow]),89),0))/22.38</f>
        <v/>
      </c>
      <c r="CL94">
        <f>SUMPRODUCT((M_BOM[Part Name]=$A94)*M_BOM[RM_Qty_Per_Batch]*IFERROR(INDEX(PP_Grid[#Data],IF(M_BOM[PPGridRow]=94,NA(),M_BOM[PPGridRow]),90),0))/22.38</f>
        <v/>
      </c>
      <c r="CM94">
        <f>SUMPRODUCT((M_BOM[Part Name]=$A94)*M_BOM[RM_Qty_Per_Batch]*IFERROR(INDEX(PP_Grid[#Data],IF(M_BOM[PPGridRow]=94,NA(),M_BOM[PPGridRow]),91),0))/22.38</f>
        <v/>
      </c>
      <c r="CN94">
        <f>SUMPRODUCT((M_BOM[Part Name]=$A94)*M_BOM[RM_Qty_Per_Batch]*IFERROR(INDEX(PP_Grid[#Data],IF(M_BOM[PPGridRow]=94,NA(),M_BOM[PPGridRow]),92),0))/22.38</f>
        <v/>
      </c>
      <c r="CO94">
        <f>SUMPRODUCT((M_BOM[Part Name]=$A94)*M_BOM[RM_Qty_Per_Batch]*IFERROR(INDEX(PP_Grid[#Data],IF(M_BOM[PPGridRow]=94,NA(),M_BOM[PPGridRow]),93),0))/22.38</f>
        <v/>
      </c>
      <c r="CP94">
        <f>SUMPRODUCT((M_BOM[Part Name]=$A94)*M_BOM[RM_Qty_Per_Batch]*IFERROR(INDEX(PP_Grid[#Data],IF(M_BOM[PPGridRow]=94,NA(),M_BOM[PPGridRow]),94),0))/22.38</f>
        <v/>
      </c>
      <c r="CQ94">
        <f>SUMPRODUCT((M_BOM[Part Name]=$A94)*M_BOM[RM_Qty_Per_Batch]*IFERROR(INDEX(PP_Grid[#Data],IF(M_BOM[PPGridRow]=94,NA(),M_BOM[PPGridRow]),95),0))/22.38</f>
        <v/>
      </c>
      <c r="CR94">
        <f>SUMPRODUCT((M_BOM[Part Name]=$A94)*M_BOM[RM_Qty_Per_Batch]*IFERROR(INDEX(PP_Grid[#Data],IF(M_BOM[PPGridRow]=94,NA(),M_BOM[PPGridRow]),96),0))/22.38</f>
        <v/>
      </c>
      <c r="CS94">
        <f>SUMPRODUCT((M_BOM[Part Name]=$A94)*M_BOM[RM_Qty_Per_Batch]*IFERROR(INDEX(PP_Grid[#Data],IF(M_BOM[PPGridRow]=94,NA(),M_BOM[PPGridRow]),97),0))/22.38</f>
        <v/>
      </c>
      <c r="CT94">
        <f>SUMPRODUCT((M_BOM[Part Name]=$A94)*M_BOM[RM_Qty_Per_Batch]*IFERROR(INDEX(PP_Grid[#Data],IF(M_BOM[PPGridRow]=94,NA(),M_BOM[PPGridRow]),98),0))/22.38</f>
        <v/>
      </c>
      <c r="CU94">
        <f>SUMPRODUCT((M_BOM[Part Name]=$A94)*M_BOM[RM_Qty_Per_Batch]*IFERROR(INDEX(PP_Grid[#Data],IF(M_BOM[PPGridRow]=94,NA(),M_BOM[PPGridRow]),99),0))/22.38</f>
        <v/>
      </c>
      <c r="CV94">
        <f>SUMPRODUCT((M_BOM[Part Name]=$A94)*M_BOM[RM_Qty_Per_Batch]*IFERROR(INDEX(PP_Grid[#Data],IF(M_BOM[PPGridRow]=94,NA(),M_BOM[PPGridRow]),100),0))/22.38</f>
        <v/>
      </c>
      <c r="CW94">
        <f>SUMPRODUCT((M_BOM[Part Name]=$A94)*M_BOM[RM_Qty_Per_Batch]*IFERROR(INDEX(PP_Grid[#Data],IF(M_BOM[PPGridRow]=94,NA(),M_BOM[PPGridRow]),101),0))/22.38</f>
        <v/>
      </c>
      <c r="CX94">
        <f>SUMPRODUCT((M_BOM[Part Name]=$A94)*M_BOM[RM_Qty_Per_Batch]*IFERROR(INDEX(PP_Grid[#Data],IF(M_BOM[PPGridRow]=94,NA(),M_BOM[PPGridRow]),102),0))/22.38</f>
        <v/>
      </c>
      <c r="CY94">
        <f>SUMPRODUCT((M_BOM[Part Name]=$A94)*M_BOM[RM_Qty_Per_Batch]*IFERROR(INDEX(PP_Grid[#Data],IF(M_BOM[PPGridRow]=94,NA(),M_BOM[PPGridRow]),103),0))/22.38</f>
        <v/>
      </c>
      <c r="CZ94">
        <f>SUMPRODUCT((M_BOM[Part Name]=$A94)*M_BOM[RM_Qty_Per_Batch]*IFERROR(INDEX(PP_Grid[#Data],IF(M_BOM[PPGridRow]=94,NA(),M_BOM[PPGridRow]),104),0))/22.38</f>
        <v/>
      </c>
      <c r="DA94">
        <f>SUMPRODUCT((M_BOM[Part Name]=$A94)*M_BOM[RM_Qty_Per_Batch]*IFERROR(INDEX(PP_Grid[#Data],IF(M_BOM[PPGridRow]=94,NA(),M_BOM[PPGridRow]),105),0))/22.38</f>
        <v/>
      </c>
    </row>
    <row r="95">
      <c r="A95" t="inlineStr">
        <is>
          <t>SOL-20P</t>
        </is>
      </c>
      <c r="B95">
        <f>SUMPRODUCT((M_BOM[Part Name]=$A95)*M_BOM[RM_Qty_Per_Batch]*IFERROR(INDEX(PP_Grid[#Data],IF(M_BOM[PPGridRow]=95,NA(),M_BOM[PPGridRow]),2),0))/200.0</f>
        <v/>
      </c>
      <c r="C95">
        <f>SUMPRODUCT((M_BOM[Part Name]=$A95)*M_BOM[RM_Qty_Per_Batch]*IFERROR(INDEX(PP_Grid[#Data],IF(M_BOM[PPGridRow]=95,NA(),M_BOM[PPGridRow]),3),0))/200.0</f>
        <v/>
      </c>
      <c r="D95">
        <f>SUMPRODUCT((M_BOM[Part Name]=$A95)*M_BOM[RM_Qty_Per_Batch]*IFERROR(INDEX(PP_Grid[#Data],IF(M_BOM[PPGridRow]=95,NA(),M_BOM[PPGridRow]),4),0))/200.0</f>
        <v/>
      </c>
      <c r="E95">
        <f>SUMPRODUCT((M_BOM[Part Name]=$A95)*M_BOM[RM_Qty_Per_Batch]*IFERROR(INDEX(PP_Grid[#Data],IF(M_BOM[PPGridRow]=95,NA(),M_BOM[PPGridRow]),5),0))/200.0</f>
        <v/>
      </c>
      <c r="F95">
        <f>SUMPRODUCT((M_BOM[Part Name]=$A95)*M_BOM[RM_Qty_Per_Batch]*IFERROR(INDEX(PP_Grid[#Data],IF(M_BOM[PPGridRow]=95,NA(),M_BOM[PPGridRow]),6),0))/200.0</f>
        <v/>
      </c>
      <c r="G95">
        <f>SUMPRODUCT((M_BOM[Part Name]=$A95)*M_BOM[RM_Qty_Per_Batch]*IFERROR(INDEX(PP_Grid[#Data],IF(M_BOM[PPGridRow]=95,NA(),M_BOM[PPGridRow]),7),0))/200.0</f>
        <v/>
      </c>
      <c r="H95">
        <f>SUMPRODUCT((M_BOM[Part Name]=$A95)*M_BOM[RM_Qty_Per_Batch]*IFERROR(INDEX(PP_Grid[#Data],IF(M_BOM[PPGridRow]=95,NA(),M_BOM[PPGridRow]),8),0))/200.0</f>
        <v/>
      </c>
      <c r="I95">
        <f>SUMPRODUCT((M_BOM[Part Name]=$A95)*M_BOM[RM_Qty_Per_Batch]*IFERROR(INDEX(PP_Grid[#Data],IF(M_BOM[PPGridRow]=95,NA(),M_BOM[PPGridRow]),9),0))/200.0</f>
        <v/>
      </c>
      <c r="J95">
        <f>SUMPRODUCT((M_BOM[Part Name]=$A95)*M_BOM[RM_Qty_Per_Batch]*IFERROR(INDEX(PP_Grid[#Data],IF(M_BOM[PPGridRow]=95,NA(),M_BOM[PPGridRow]),10),0))/200.0</f>
        <v/>
      </c>
      <c r="K95">
        <f>SUMPRODUCT((M_BOM[Part Name]=$A95)*M_BOM[RM_Qty_Per_Batch]*IFERROR(INDEX(PP_Grid[#Data],IF(M_BOM[PPGridRow]=95,NA(),M_BOM[PPGridRow]),11),0))/200.0</f>
        <v/>
      </c>
      <c r="L95">
        <f>SUMPRODUCT((M_BOM[Part Name]=$A95)*M_BOM[RM_Qty_Per_Batch]*IFERROR(INDEX(PP_Grid[#Data],IF(M_BOM[PPGridRow]=95,NA(),M_BOM[PPGridRow]),12),0))/200.0</f>
        <v/>
      </c>
      <c r="M95">
        <f>SUMPRODUCT((M_BOM[Part Name]=$A95)*M_BOM[RM_Qty_Per_Batch]*IFERROR(INDEX(PP_Grid[#Data],IF(M_BOM[PPGridRow]=95,NA(),M_BOM[PPGridRow]),13),0))/200.0</f>
        <v/>
      </c>
      <c r="N95">
        <f>SUMPRODUCT((M_BOM[Part Name]=$A95)*M_BOM[RM_Qty_Per_Batch]*IFERROR(INDEX(PP_Grid[#Data],IF(M_BOM[PPGridRow]=95,NA(),M_BOM[PPGridRow]),14),0))/200.0</f>
        <v/>
      </c>
      <c r="O95">
        <f>SUMPRODUCT((M_BOM[Part Name]=$A95)*M_BOM[RM_Qty_Per_Batch]*IFERROR(INDEX(PP_Grid[#Data],IF(M_BOM[PPGridRow]=95,NA(),M_BOM[PPGridRow]),15),0))/200.0</f>
        <v/>
      </c>
      <c r="P95">
        <f>SUMPRODUCT((M_BOM[Part Name]=$A95)*M_BOM[RM_Qty_Per_Batch]*IFERROR(INDEX(PP_Grid[#Data],IF(M_BOM[PPGridRow]=95,NA(),M_BOM[PPGridRow]),16),0))/200.0</f>
        <v/>
      </c>
      <c r="Q95">
        <f>SUMPRODUCT((M_BOM[Part Name]=$A95)*M_BOM[RM_Qty_Per_Batch]*IFERROR(INDEX(PP_Grid[#Data],IF(M_BOM[PPGridRow]=95,NA(),M_BOM[PPGridRow]),17),0))/200.0</f>
        <v/>
      </c>
      <c r="R95">
        <f>SUMPRODUCT((M_BOM[Part Name]=$A95)*M_BOM[RM_Qty_Per_Batch]*IFERROR(INDEX(PP_Grid[#Data],IF(M_BOM[PPGridRow]=95,NA(),M_BOM[PPGridRow]),18),0))/200.0</f>
        <v/>
      </c>
      <c r="S95">
        <f>SUMPRODUCT((M_BOM[Part Name]=$A95)*M_BOM[RM_Qty_Per_Batch]*IFERROR(INDEX(PP_Grid[#Data],IF(M_BOM[PPGridRow]=95,NA(),M_BOM[PPGridRow]),19),0))/200.0</f>
        <v/>
      </c>
      <c r="T95">
        <f>SUMPRODUCT((M_BOM[Part Name]=$A95)*M_BOM[RM_Qty_Per_Batch]*IFERROR(INDEX(PP_Grid[#Data],IF(M_BOM[PPGridRow]=95,NA(),M_BOM[PPGridRow]),20),0))/200.0</f>
        <v/>
      </c>
      <c r="U95">
        <f>SUMPRODUCT((M_BOM[Part Name]=$A95)*M_BOM[RM_Qty_Per_Batch]*IFERROR(INDEX(PP_Grid[#Data],IF(M_BOM[PPGridRow]=95,NA(),M_BOM[PPGridRow]),21),0))/200.0</f>
        <v/>
      </c>
      <c r="V95">
        <f>SUMPRODUCT((M_BOM[Part Name]=$A95)*M_BOM[RM_Qty_Per_Batch]*IFERROR(INDEX(PP_Grid[#Data],IF(M_BOM[PPGridRow]=95,NA(),M_BOM[PPGridRow]),22),0))/200.0</f>
        <v/>
      </c>
      <c r="W95">
        <f>SUMPRODUCT((M_BOM[Part Name]=$A95)*M_BOM[RM_Qty_Per_Batch]*IFERROR(INDEX(PP_Grid[#Data],IF(M_BOM[PPGridRow]=95,NA(),M_BOM[PPGridRow]),23),0))/200.0</f>
        <v/>
      </c>
      <c r="X95">
        <f>SUMPRODUCT((M_BOM[Part Name]=$A95)*M_BOM[RM_Qty_Per_Batch]*IFERROR(INDEX(PP_Grid[#Data],IF(M_BOM[PPGridRow]=95,NA(),M_BOM[PPGridRow]),24),0))/200.0</f>
        <v/>
      </c>
      <c r="Y95">
        <f>SUMPRODUCT((M_BOM[Part Name]=$A95)*M_BOM[RM_Qty_Per_Batch]*IFERROR(INDEX(PP_Grid[#Data],IF(M_BOM[PPGridRow]=95,NA(),M_BOM[PPGridRow]),25),0))/200.0</f>
        <v/>
      </c>
      <c r="Z95">
        <f>SUMPRODUCT((M_BOM[Part Name]=$A95)*M_BOM[RM_Qty_Per_Batch]*IFERROR(INDEX(PP_Grid[#Data],IF(M_BOM[PPGridRow]=95,NA(),M_BOM[PPGridRow]),26),0))/200.0</f>
        <v/>
      </c>
      <c r="AA95">
        <f>SUMPRODUCT((M_BOM[Part Name]=$A95)*M_BOM[RM_Qty_Per_Batch]*IFERROR(INDEX(PP_Grid[#Data],IF(M_BOM[PPGridRow]=95,NA(),M_BOM[PPGridRow]),27),0))/200.0</f>
        <v/>
      </c>
      <c r="AB95">
        <f>SUMPRODUCT((M_BOM[Part Name]=$A95)*M_BOM[RM_Qty_Per_Batch]*IFERROR(INDEX(PP_Grid[#Data],IF(M_BOM[PPGridRow]=95,NA(),M_BOM[PPGridRow]),28),0))/200.0</f>
        <v/>
      </c>
      <c r="AC95">
        <f>SUMPRODUCT((M_BOM[Part Name]=$A95)*M_BOM[RM_Qty_Per_Batch]*IFERROR(INDEX(PP_Grid[#Data],IF(M_BOM[PPGridRow]=95,NA(),M_BOM[PPGridRow]),29),0))/200.0</f>
        <v/>
      </c>
      <c r="AD95">
        <f>SUMPRODUCT((M_BOM[Part Name]=$A95)*M_BOM[RM_Qty_Per_Batch]*IFERROR(INDEX(PP_Grid[#Data],IF(M_BOM[PPGridRow]=95,NA(),M_BOM[PPGridRow]),30),0))/200.0</f>
        <v/>
      </c>
      <c r="AE95">
        <f>SUMPRODUCT((M_BOM[Part Name]=$A95)*M_BOM[RM_Qty_Per_Batch]*IFERROR(INDEX(PP_Grid[#Data],IF(M_BOM[PPGridRow]=95,NA(),M_BOM[PPGridRow]),31),0))/200.0</f>
        <v/>
      </c>
      <c r="AF95">
        <f>SUMPRODUCT((M_BOM[Part Name]=$A95)*M_BOM[RM_Qty_Per_Batch]*IFERROR(INDEX(PP_Grid[#Data],IF(M_BOM[PPGridRow]=95,NA(),M_BOM[PPGridRow]),32),0))/200.0</f>
        <v/>
      </c>
      <c r="AG95">
        <f>SUMPRODUCT((M_BOM[Part Name]=$A95)*M_BOM[RM_Qty_Per_Batch]*IFERROR(INDEX(PP_Grid[#Data],IF(M_BOM[PPGridRow]=95,NA(),M_BOM[PPGridRow]),33),0))/200.0</f>
        <v/>
      </c>
      <c r="AH95">
        <f>SUMPRODUCT((M_BOM[Part Name]=$A95)*M_BOM[RM_Qty_Per_Batch]*IFERROR(INDEX(PP_Grid[#Data],IF(M_BOM[PPGridRow]=95,NA(),M_BOM[PPGridRow]),34),0))/200.0</f>
        <v/>
      </c>
      <c r="AI95">
        <f>SUMPRODUCT((M_BOM[Part Name]=$A95)*M_BOM[RM_Qty_Per_Batch]*IFERROR(INDEX(PP_Grid[#Data],IF(M_BOM[PPGridRow]=95,NA(),M_BOM[PPGridRow]),35),0))/200.0</f>
        <v/>
      </c>
      <c r="AJ95">
        <f>SUMPRODUCT((M_BOM[Part Name]=$A95)*M_BOM[RM_Qty_Per_Batch]*IFERROR(INDEX(PP_Grid[#Data],IF(M_BOM[PPGridRow]=95,NA(),M_BOM[PPGridRow]),36),0))/200.0</f>
        <v/>
      </c>
      <c r="AK95">
        <f>SUMPRODUCT((M_BOM[Part Name]=$A95)*M_BOM[RM_Qty_Per_Batch]*IFERROR(INDEX(PP_Grid[#Data],IF(M_BOM[PPGridRow]=95,NA(),M_BOM[PPGridRow]),37),0))/200.0</f>
        <v/>
      </c>
      <c r="AL95">
        <f>SUMPRODUCT((M_BOM[Part Name]=$A95)*M_BOM[RM_Qty_Per_Batch]*IFERROR(INDEX(PP_Grid[#Data],IF(M_BOM[PPGridRow]=95,NA(),M_BOM[PPGridRow]),38),0))/200.0</f>
        <v/>
      </c>
      <c r="AM95">
        <f>SUMPRODUCT((M_BOM[Part Name]=$A95)*M_BOM[RM_Qty_Per_Batch]*IFERROR(INDEX(PP_Grid[#Data],IF(M_BOM[PPGridRow]=95,NA(),M_BOM[PPGridRow]),39),0))/200.0</f>
        <v/>
      </c>
      <c r="AN95">
        <f>SUMPRODUCT((M_BOM[Part Name]=$A95)*M_BOM[RM_Qty_Per_Batch]*IFERROR(INDEX(PP_Grid[#Data],IF(M_BOM[PPGridRow]=95,NA(),M_BOM[PPGridRow]),40),0))/200.0</f>
        <v/>
      </c>
      <c r="AO95">
        <f>SUMPRODUCT((M_BOM[Part Name]=$A95)*M_BOM[RM_Qty_Per_Batch]*IFERROR(INDEX(PP_Grid[#Data],IF(M_BOM[PPGridRow]=95,NA(),M_BOM[PPGridRow]),41),0))/200.0</f>
        <v/>
      </c>
      <c r="AP95">
        <f>SUMPRODUCT((M_BOM[Part Name]=$A95)*M_BOM[RM_Qty_Per_Batch]*IFERROR(INDEX(PP_Grid[#Data],IF(M_BOM[PPGridRow]=95,NA(),M_BOM[PPGridRow]),42),0))/200.0</f>
        <v/>
      </c>
      <c r="AQ95">
        <f>SUMPRODUCT((M_BOM[Part Name]=$A95)*M_BOM[RM_Qty_Per_Batch]*IFERROR(INDEX(PP_Grid[#Data],IF(M_BOM[PPGridRow]=95,NA(),M_BOM[PPGridRow]),43),0))/200.0</f>
        <v/>
      </c>
      <c r="AR95">
        <f>SUMPRODUCT((M_BOM[Part Name]=$A95)*M_BOM[RM_Qty_Per_Batch]*IFERROR(INDEX(PP_Grid[#Data],IF(M_BOM[PPGridRow]=95,NA(),M_BOM[PPGridRow]),44),0))/200.0</f>
        <v/>
      </c>
      <c r="AS95">
        <f>SUMPRODUCT((M_BOM[Part Name]=$A95)*M_BOM[RM_Qty_Per_Batch]*IFERROR(INDEX(PP_Grid[#Data],IF(M_BOM[PPGridRow]=95,NA(),M_BOM[PPGridRow]),45),0))/200.0</f>
        <v/>
      </c>
      <c r="AT95">
        <f>SUMPRODUCT((M_BOM[Part Name]=$A95)*M_BOM[RM_Qty_Per_Batch]*IFERROR(INDEX(PP_Grid[#Data],IF(M_BOM[PPGridRow]=95,NA(),M_BOM[PPGridRow]),46),0))/200.0</f>
        <v/>
      </c>
      <c r="AU95">
        <f>SUMPRODUCT((M_BOM[Part Name]=$A95)*M_BOM[RM_Qty_Per_Batch]*IFERROR(INDEX(PP_Grid[#Data],IF(M_BOM[PPGridRow]=95,NA(),M_BOM[PPGridRow]),47),0))/200.0</f>
        <v/>
      </c>
      <c r="AV95">
        <f>SUMPRODUCT((M_BOM[Part Name]=$A95)*M_BOM[RM_Qty_Per_Batch]*IFERROR(INDEX(PP_Grid[#Data],IF(M_BOM[PPGridRow]=95,NA(),M_BOM[PPGridRow]),48),0))/200.0</f>
        <v/>
      </c>
      <c r="AW95">
        <f>SUMPRODUCT((M_BOM[Part Name]=$A95)*M_BOM[RM_Qty_Per_Batch]*IFERROR(INDEX(PP_Grid[#Data],IF(M_BOM[PPGridRow]=95,NA(),M_BOM[PPGridRow]),49),0))/200.0</f>
        <v/>
      </c>
      <c r="AX95">
        <f>SUMPRODUCT((M_BOM[Part Name]=$A95)*M_BOM[RM_Qty_Per_Batch]*IFERROR(INDEX(PP_Grid[#Data],IF(M_BOM[PPGridRow]=95,NA(),M_BOM[PPGridRow]),50),0))/200.0</f>
        <v/>
      </c>
      <c r="AY95">
        <f>SUMPRODUCT((M_BOM[Part Name]=$A95)*M_BOM[RM_Qty_Per_Batch]*IFERROR(INDEX(PP_Grid[#Data],IF(M_BOM[PPGridRow]=95,NA(),M_BOM[PPGridRow]),51),0))/200.0</f>
        <v/>
      </c>
      <c r="AZ95">
        <f>SUMPRODUCT((M_BOM[Part Name]=$A95)*M_BOM[RM_Qty_Per_Batch]*IFERROR(INDEX(PP_Grid[#Data],IF(M_BOM[PPGridRow]=95,NA(),M_BOM[PPGridRow]),52),0))/200.0</f>
        <v/>
      </c>
      <c r="BA95">
        <f>SUMPRODUCT((M_BOM[Part Name]=$A95)*M_BOM[RM_Qty_Per_Batch]*IFERROR(INDEX(PP_Grid[#Data],IF(M_BOM[PPGridRow]=95,NA(),M_BOM[PPGridRow]),53),0))/200.0</f>
        <v/>
      </c>
      <c r="BB95">
        <f>SUMPRODUCT((M_BOM[Part Name]=$A95)*M_BOM[RM_Qty_Per_Batch]*IFERROR(INDEX(PP_Grid[#Data],IF(M_BOM[PPGridRow]=95,NA(),M_BOM[PPGridRow]),54),0))/200.0</f>
        <v/>
      </c>
      <c r="BC95">
        <f>SUMPRODUCT((M_BOM[Part Name]=$A95)*M_BOM[RM_Qty_Per_Batch]*IFERROR(INDEX(PP_Grid[#Data],IF(M_BOM[PPGridRow]=95,NA(),M_BOM[PPGridRow]),55),0))/200.0</f>
        <v/>
      </c>
      <c r="BD95">
        <f>SUMPRODUCT((M_BOM[Part Name]=$A95)*M_BOM[RM_Qty_Per_Batch]*IFERROR(INDEX(PP_Grid[#Data],IF(M_BOM[PPGridRow]=95,NA(),M_BOM[PPGridRow]),56),0))/200.0</f>
        <v/>
      </c>
      <c r="BE95">
        <f>SUMPRODUCT((M_BOM[Part Name]=$A95)*M_BOM[RM_Qty_Per_Batch]*IFERROR(INDEX(PP_Grid[#Data],IF(M_BOM[PPGridRow]=95,NA(),M_BOM[PPGridRow]),57),0))/200.0</f>
        <v/>
      </c>
      <c r="BF95">
        <f>SUMPRODUCT((M_BOM[Part Name]=$A95)*M_BOM[RM_Qty_Per_Batch]*IFERROR(INDEX(PP_Grid[#Data],IF(M_BOM[PPGridRow]=95,NA(),M_BOM[PPGridRow]),58),0))/200.0</f>
        <v/>
      </c>
      <c r="BG95">
        <f>SUMPRODUCT((M_BOM[Part Name]=$A95)*M_BOM[RM_Qty_Per_Batch]*IFERROR(INDEX(PP_Grid[#Data],IF(M_BOM[PPGridRow]=95,NA(),M_BOM[PPGridRow]),59),0))/200.0</f>
        <v/>
      </c>
      <c r="BH95">
        <f>SUMPRODUCT((M_BOM[Part Name]=$A95)*M_BOM[RM_Qty_Per_Batch]*IFERROR(INDEX(PP_Grid[#Data],IF(M_BOM[PPGridRow]=95,NA(),M_BOM[PPGridRow]),60),0))/200.0</f>
        <v/>
      </c>
      <c r="BI95">
        <f>SUMPRODUCT((M_BOM[Part Name]=$A95)*M_BOM[RM_Qty_Per_Batch]*IFERROR(INDEX(PP_Grid[#Data],IF(M_BOM[PPGridRow]=95,NA(),M_BOM[PPGridRow]),61),0))/200.0</f>
        <v/>
      </c>
      <c r="BJ95">
        <f>SUMPRODUCT((M_BOM[Part Name]=$A95)*M_BOM[RM_Qty_Per_Batch]*IFERROR(INDEX(PP_Grid[#Data],IF(M_BOM[PPGridRow]=95,NA(),M_BOM[PPGridRow]),62),0))/200.0</f>
        <v/>
      </c>
      <c r="BK95">
        <f>SUMPRODUCT((M_BOM[Part Name]=$A95)*M_BOM[RM_Qty_Per_Batch]*IFERROR(INDEX(PP_Grid[#Data],IF(M_BOM[PPGridRow]=95,NA(),M_BOM[PPGridRow]),63),0))/200.0</f>
        <v/>
      </c>
      <c r="BL95">
        <f>SUMPRODUCT((M_BOM[Part Name]=$A95)*M_BOM[RM_Qty_Per_Batch]*IFERROR(INDEX(PP_Grid[#Data],IF(M_BOM[PPGridRow]=95,NA(),M_BOM[PPGridRow]),64),0))/200.0</f>
        <v/>
      </c>
      <c r="BM95">
        <f>SUMPRODUCT((M_BOM[Part Name]=$A95)*M_BOM[RM_Qty_Per_Batch]*IFERROR(INDEX(PP_Grid[#Data],IF(M_BOM[PPGridRow]=95,NA(),M_BOM[PPGridRow]),65),0))/200.0</f>
        <v/>
      </c>
      <c r="BN95">
        <f>SUMPRODUCT((M_BOM[Part Name]=$A95)*M_BOM[RM_Qty_Per_Batch]*IFERROR(INDEX(PP_Grid[#Data],IF(M_BOM[PPGridRow]=95,NA(),M_BOM[PPGridRow]),66),0))/200.0</f>
        <v/>
      </c>
      <c r="BO95">
        <f>SUMPRODUCT((M_BOM[Part Name]=$A95)*M_BOM[RM_Qty_Per_Batch]*IFERROR(INDEX(PP_Grid[#Data],IF(M_BOM[PPGridRow]=95,NA(),M_BOM[PPGridRow]),67),0))/200.0</f>
        <v/>
      </c>
      <c r="BP95">
        <f>SUMPRODUCT((M_BOM[Part Name]=$A95)*M_BOM[RM_Qty_Per_Batch]*IFERROR(INDEX(PP_Grid[#Data],IF(M_BOM[PPGridRow]=95,NA(),M_BOM[PPGridRow]),68),0))/200.0</f>
        <v/>
      </c>
      <c r="BQ95">
        <f>SUMPRODUCT((M_BOM[Part Name]=$A95)*M_BOM[RM_Qty_Per_Batch]*IFERROR(INDEX(PP_Grid[#Data],IF(M_BOM[PPGridRow]=95,NA(),M_BOM[PPGridRow]),69),0))/200.0</f>
        <v/>
      </c>
      <c r="BR95">
        <f>SUMPRODUCT((M_BOM[Part Name]=$A95)*M_BOM[RM_Qty_Per_Batch]*IFERROR(INDEX(PP_Grid[#Data],IF(M_BOM[PPGridRow]=95,NA(),M_BOM[PPGridRow]),70),0))/200.0</f>
        <v/>
      </c>
      <c r="BS95">
        <f>SUMPRODUCT((M_BOM[Part Name]=$A95)*M_BOM[RM_Qty_Per_Batch]*IFERROR(INDEX(PP_Grid[#Data],IF(M_BOM[PPGridRow]=95,NA(),M_BOM[PPGridRow]),71),0))/200.0</f>
        <v/>
      </c>
      <c r="BT95">
        <f>SUMPRODUCT((M_BOM[Part Name]=$A95)*M_BOM[RM_Qty_Per_Batch]*IFERROR(INDEX(PP_Grid[#Data],IF(M_BOM[PPGridRow]=95,NA(),M_BOM[PPGridRow]),72),0))/200.0</f>
        <v/>
      </c>
      <c r="BU95">
        <f>SUMPRODUCT((M_BOM[Part Name]=$A95)*M_BOM[RM_Qty_Per_Batch]*IFERROR(INDEX(PP_Grid[#Data],IF(M_BOM[PPGridRow]=95,NA(),M_BOM[PPGridRow]),73),0))/200.0</f>
        <v/>
      </c>
      <c r="BV95">
        <f>SUMPRODUCT((M_BOM[Part Name]=$A95)*M_BOM[RM_Qty_Per_Batch]*IFERROR(INDEX(PP_Grid[#Data],IF(M_BOM[PPGridRow]=95,NA(),M_BOM[PPGridRow]),74),0))/200.0</f>
        <v/>
      </c>
      <c r="BW95">
        <f>SUMPRODUCT((M_BOM[Part Name]=$A95)*M_BOM[RM_Qty_Per_Batch]*IFERROR(INDEX(PP_Grid[#Data],IF(M_BOM[PPGridRow]=95,NA(),M_BOM[PPGridRow]),75),0))/200.0</f>
        <v/>
      </c>
      <c r="BX95">
        <f>SUMPRODUCT((M_BOM[Part Name]=$A95)*M_BOM[RM_Qty_Per_Batch]*IFERROR(INDEX(PP_Grid[#Data],IF(M_BOM[PPGridRow]=95,NA(),M_BOM[PPGridRow]),76),0))/200.0</f>
        <v/>
      </c>
      <c r="BY95">
        <f>SUMPRODUCT((M_BOM[Part Name]=$A95)*M_BOM[RM_Qty_Per_Batch]*IFERROR(INDEX(PP_Grid[#Data],IF(M_BOM[PPGridRow]=95,NA(),M_BOM[PPGridRow]),77),0))/200.0</f>
        <v/>
      </c>
      <c r="BZ95">
        <f>SUMPRODUCT((M_BOM[Part Name]=$A95)*M_BOM[RM_Qty_Per_Batch]*IFERROR(INDEX(PP_Grid[#Data],IF(M_BOM[PPGridRow]=95,NA(),M_BOM[PPGridRow]),78),0))/200.0</f>
        <v/>
      </c>
      <c r="CA95">
        <f>SUMPRODUCT((M_BOM[Part Name]=$A95)*M_BOM[RM_Qty_Per_Batch]*IFERROR(INDEX(PP_Grid[#Data],IF(M_BOM[PPGridRow]=95,NA(),M_BOM[PPGridRow]),79),0))/200.0</f>
        <v/>
      </c>
      <c r="CB95">
        <f>SUMPRODUCT((M_BOM[Part Name]=$A95)*M_BOM[RM_Qty_Per_Batch]*IFERROR(INDEX(PP_Grid[#Data],IF(M_BOM[PPGridRow]=95,NA(),M_BOM[PPGridRow]),80),0))/200.0</f>
        <v/>
      </c>
      <c r="CC95">
        <f>SUMPRODUCT((M_BOM[Part Name]=$A95)*M_BOM[RM_Qty_Per_Batch]*IFERROR(INDEX(PP_Grid[#Data],IF(M_BOM[PPGridRow]=95,NA(),M_BOM[PPGridRow]),81),0))/200.0</f>
        <v/>
      </c>
      <c r="CD95">
        <f>SUMPRODUCT((M_BOM[Part Name]=$A95)*M_BOM[RM_Qty_Per_Batch]*IFERROR(INDEX(PP_Grid[#Data],IF(M_BOM[PPGridRow]=95,NA(),M_BOM[PPGridRow]),82),0))/200.0</f>
        <v/>
      </c>
      <c r="CE95">
        <f>SUMPRODUCT((M_BOM[Part Name]=$A95)*M_BOM[RM_Qty_Per_Batch]*IFERROR(INDEX(PP_Grid[#Data],IF(M_BOM[PPGridRow]=95,NA(),M_BOM[PPGridRow]),83),0))/200.0</f>
        <v/>
      </c>
      <c r="CF95">
        <f>SUMPRODUCT((M_BOM[Part Name]=$A95)*M_BOM[RM_Qty_Per_Batch]*IFERROR(INDEX(PP_Grid[#Data],IF(M_BOM[PPGridRow]=95,NA(),M_BOM[PPGridRow]),84),0))/200.0</f>
        <v/>
      </c>
      <c r="CG95">
        <f>SUMPRODUCT((M_BOM[Part Name]=$A95)*M_BOM[RM_Qty_Per_Batch]*IFERROR(INDEX(PP_Grid[#Data],IF(M_BOM[PPGridRow]=95,NA(),M_BOM[PPGridRow]),85),0))/200.0</f>
        <v/>
      </c>
      <c r="CH95">
        <f>SUMPRODUCT((M_BOM[Part Name]=$A95)*M_BOM[RM_Qty_Per_Batch]*IFERROR(INDEX(PP_Grid[#Data],IF(M_BOM[PPGridRow]=95,NA(),M_BOM[PPGridRow]),86),0))/200.0</f>
        <v/>
      </c>
      <c r="CI95">
        <f>SUMPRODUCT((M_BOM[Part Name]=$A95)*M_BOM[RM_Qty_Per_Batch]*IFERROR(INDEX(PP_Grid[#Data],IF(M_BOM[PPGridRow]=95,NA(),M_BOM[PPGridRow]),87),0))/200.0</f>
        <v/>
      </c>
      <c r="CJ95">
        <f>SUMPRODUCT((M_BOM[Part Name]=$A95)*M_BOM[RM_Qty_Per_Batch]*IFERROR(INDEX(PP_Grid[#Data],IF(M_BOM[PPGridRow]=95,NA(),M_BOM[PPGridRow]),88),0))/200.0</f>
        <v/>
      </c>
      <c r="CK95">
        <f>SUMPRODUCT((M_BOM[Part Name]=$A95)*M_BOM[RM_Qty_Per_Batch]*IFERROR(INDEX(PP_Grid[#Data],IF(M_BOM[PPGridRow]=95,NA(),M_BOM[PPGridRow]),89),0))/200.0</f>
        <v/>
      </c>
      <c r="CL95">
        <f>SUMPRODUCT((M_BOM[Part Name]=$A95)*M_BOM[RM_Qty_Per_Batch]*IFERROR(INDEX(PP_Grid[#Data],IF(M_BOM[PPGridRow]=95,NA(),M_BOM[PPGridRow]),90),0))/200.0</f>
        <v/>
      </c>
      <c r="CM95">
        <f>SUMPRODUCT((M_BOM[Part Name]=$A95)*M_BOM[RM_Qty_Per_Batch]*IFERROR(INDEX(PP_Grid[#Data],IF(M_BOM[PPGridRow]=95,NA(),M_BOM[PPGridRow]),91),0))/200.0</f>
        <v/>
      </c>
      <c r="CN95">
        <f>SUMPRODUCT((M_BOM[Part Name]=$A95)*M_BOM[RM_Qty_Per_Batch]*IFERROR(INDEX(PP_Grid[#Data],IF(M_BOM[PPGridRow]=95,NA(),M_BOM[PPGridRow]),92),0))/200.0</f>
        <v/>
      </c>
      <c r="CO95">
        <f>SUMPRODUCT((M_BOM[Part Name]=$A95)*M_BOM[RM_Qty_Per_Batch]*IFERROR(INDEX(PP_Grid[#Data],IF(M_BOM[PPGridRow]=95,NA(),M_BOM[PPGridRow]),93),0))/200.0</f>
        <v/>
      </c>
      <c r="CP95">
        <f>SUMPRODUCT((M_BOM[Part Name]=$A95)*M_BOM[RM_Qty_Per_Batch]*IFERROR(INDEX(PP_Grid[#Data],IF(M_BOM[PPGridRow]=95,NA(),M_BOM[PPGridRow]),94),0))/200.0</f>
        <v/>
      </c>
      <c r="CQ95">
        <f>SUMPRODUCT((M_BOM[Part Name]=$A95)*M_BOM[RM_Qty_Per_Batch]*IFERROR(INDEX(PP_Grid[#Data],IF(M_BOM[PPGridRow]=95,NA(),M_BOM[PPGridRow]),95),0))/200.0</f>
        <v/>
      </c>
      <c r="CR95">
        <f>SUMPRODUCT((M_BOM[Part Name]=$A95)*M_BOM[RM_Qty_Per_Batch]*IFERROR(INDEX(PP_Grid[#Data],IF(M_BOM[PPGridRow]=95,NA(),M_BOM[PPGridRow]),96),0))/200.0</f>
        <v/>
      </c>
      <c r="CS95">
        <f>SUMPRODUCT((M_BOM[Part Name]=$A95)*M_BOM[RM_Qty_Per_Batch]*IFERROR(INDEX(PP_Grid[#Data],IF(M_BOM[PPGridRow]=95,NA(),M_BOM[PPGridRow]),97),0))/200.0</f>
        <v/>
      </c>
      <c r="CT95">
        <f>SUMPRODUCT((M_BOM[Part Name]=$A95)*M_BOM[RM_Qty_Per_Batch]*IFERROR(INDEX(PP_Grid[#Data],IF(M_BOM[PPGridRow]=95,NA(),M_BOM[PPGridRow]),98),0))/200.0</f>
        <v/>
      </c>
      <c r="CU95">
        <f>SUMPRODUCT((M_BOM[Part Name]=$A95)*M_BOM[RM_Qty_Per_Batch]*IFERROR(INDEX(PP_Grid[#Data],IF(M_BOM[PPGridRow]=95,NA(),M_BOM[PPGridRow]),99),0))/200.0</f>
        <v/>
      </c>
      <c r="CV95">
        <f>SUMPRODUCT((M_BOM[Part Name]=$A95)*M_BOM[RM_Qty_Per_Batch]*IFERROR(INDEX(PP_Grid[#Data],IF(M_BOM[PPGridRow]=95,NA(),M_BOM[PPGridRow]),100),0))/200.0</f>
        <v/>
      </c>
      <c r="CW95">
        <f>SUMPRODUCT((M_BOM[Part Name]=$A95)*M_BOM[RM_Qty_Per_Batch]*IFERROR(INDEX(PP_Grid[#Data],IF(M_BOM[PPGridRow]=95,NA(),M_BOM[PPGridRow]),101),0))/200.0</f>
        <v/>
      </c>
      <c r="CX95">
        <f>SUMPRODUCT((M_BOM[Part Name]=$A95)*M_BOM[RM_Qty_Per_Batch]*IFERROR(INDEX(PP_Grid[#Data],IF(M_BOM[PPGridRow]=95,NA(),M_BOM[PPGridRow]),102),0))/200.0</f>
        <v/>
      </c>
      <c r="CY95">
        <f>SUMPRODUCT((M_BOM[Part Name]=$A95)*M_BOM[RM_Qty_Per_Batch]*IFERROR(INDEX(PP_Grid[#Data],IF(M_BOM[PPGridRow]=95,NA(),M_BOM[PPGridRow]),103),0))/200.0</f>
        <v/>
      </c>
      <c r="CZ95">
        <f>SUMPRODUCT((M_BOM[Part Name]=$A95)*M_BOM[RM_Qty_Per_Batch]*IFERROR(INDEX(PP_Grid[#Data],IF(M_BOM[PPGridRow]=95,NA(),M_BOM[PPGridRow]),104),0))/200.0</f>
        <v/>
      </c>
      <c r="DA95">
        <f>SUMPRODUCT((M_BOM[Part Name]=$A95)*M_BOM[RM_Qty_Per_Batch]*IFERROR(INDEX(PP_Grid[#Data],IF(M_BOM[PPGridRow]=95,NA(),M_BOM[PPGridRow]),105),0))/200.0</f>
        <v/>
      </c>
    </row>
    <row r="96">
      <c r="A96" t="inlineStr">
        <is>
          <t>SOL-250D</t>
        </is>
      </c>
      <c r="B96" s="23" t="n">
        <v>0</v>
      </c>
      <c r="C96" s="23" t="n">
        <v>0</v>
      </c>
      <c r="D96" s="23" t="n">
        <v>0</v>
      </c>
      <c r="E96" s="23" t="n">
        <v>0</v>
      </c>
      <c r="F96" s="23" t="n">
        <v>0</v>
      </c>
      <c r="G96" s="23" t="n">
        <v>0</v>
      </c>
      <c r="H96" s="23" t="n">
        <v>0</v>
      </c>
      <c r="I96" s="23" t="n">
        <v>0</v>
      </c>
      <c r="J96" s="23" t="n">
        <v>0</v>
      </c>
      <c r="K96" s="23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3" t="n">
        <v>0</v>
      </c>
      <c r="R96" s="23" t="n">
        <v>0</v>
      </c>
      <c r="S96" s="23" t="n">
        <v>0</v>
      </c>
      <c r="T96" s="23" t="n">
        <v>0</v>
      </c>
      <c r="U96" s="23" t="n">
        <v>0</v>
      </c>
      <c r="V96" s="23" t="n">
        <v>0</v>
      </c>
      <c r="W96" s="23" t="n">
        <v>0</v>
      </c>
      <c r="X96" s="23" t="n">
        <v>0</v>
      </c>
      <c r="Y96" s="23" t="n">
        <v>0</v>
      </c>
      <c r="Z96" s="23" t="n">
        <v>0</v>
      </c>
      <c r="AA96" s="23" t="n">
        <v>0</v>
      </c>
      <c r="AB96" s="23" t="n">
        <v>0</v>
      </c>
      <c r="AC96" s="23" t="n">
        <v>0</v>
      </c>
      <c r="AD96" s="23" t="n">
        <v>0</v>
      </c>
      <c r="AE96" s="23" t="n">
        <v>0</v>
      </c>
      <c r="AF96" s="23" t="n">
        <v>0</v>
      </c>
      <c r="AG96" s="23" t="n">
        <v>0</v>
      </c>
      <c r="AH96" s="23" t="n">
        <v>0</v>
      </c>
      <c r="AI96" s="23" t="n">
        <v>0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0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0</v>
      </c>
      <c r="CO96" s="23" t="n">
        <v>0</v>
      </c>
      <c r="CP96" s="23" t="n">
        <v>0</v>
      </c>
      <c r="CQ96" s="23" t="n">
        <v>0</v>
      </c>
      <c r="CR96" s="23" t="n">
        <v>0</v>
      </c>
      <c r="CS96" s="23" t="n">
        <v>0</v>
      </c>
      <c r="CT96" s="23" t="n">
        <v>0</v>
      </c>
      <c r="CU96" s="23" t="n">
        <v>0</v>
      </c>
      <c r="CV96" s="23" t="n">
        <v>0</v>
      </c>
      <c r="CW96" s="23" t="n">
        <v>0</v>
      </c>
      <c r="CX96" s="23" t="n">
        <v>0</v>
      </c>
      <c r="CY96" s="23" t="n">
        <v>0</v>
      </c>
      <c r="CZ96" s="23" t="n">
        <v>0</v>
      </c>
      <c r="DA96" s="23" t="n">
        <v>0</v>
      </c>
    </row>
    <row r="97">
      <c r="A97" t="inlineStr">
        <is>
          <t>SOL-85D</t>
        </is>
      </c>
      <c r="B97" s="23" t="n">
        <v>0</v>
      </c>
      <c r="C97" s="23" t="n">
        <v>0</v>
      </c>
      <c r="D97" s="23" t="n">
        <v>0</v>
      </c>
      <c r="E97" s="23" t="n">
        <v>0</v>
      </c>
      <c r="F97" s="23" t="n">
        <v>0</v>
      </c>
      <c r="G97" s="23" t="n">
        <v>0</v>
      </c>
      <c r="H97" s="23" t="n">
        <v>0</v>
      </c>
      <c r="I97" s="23" t="n">
        <v>0</v>
      </c>
      <c r="J97" s="23" t="n">
        <v>0</v>
      </c>
      <c r="K97" s="23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3" t="n">
        <v>0</v>
      </c>
      <c r="R97" s="23" t="n">
        <v>0</v>
      </c>
      <c r="S97" s="23" t="n">
        <v>0</v>
      </c>
      <c r="T97" s="23" t="n">
        <v>0</v>
      </c>
      <c r="U97" s="23" t="n">
        <v>0</v>
      </c>
      <c r="V97" s="23" t="n">
        <v>0</v>
      </c>
      <c r="W97" s="23" t="n">
        <v>0</v>
      </c>
      <c r="X97" s="23" t="n">
        <v>0</v>
      </c>
      <c r="Y97" s="23" t="n">
        <v>0</v>
      </c>
      <c r="Z97" s="23" t="n">
        <v>0</v>
      </c>
      <c r="AA97" s="23" t="n">
        <v>0</v>
      </c>
      <c r="AB97" s="23" t="n">
        <v>0</v>
      </c>
      <c r="AC97" s="23" t="n">
        <v>0</v>
      </c>
      <c r="AD97" s="23" t="n">
        <v>0</v>
      </c>
      <c r="AE97" s="23" t="n">
        <v>0</v>
      </c>
      <c r="AF97" s="23" t="n">
        <v>0</v>
      </c>
      <c r="AG97" s="23" t="n">
        <v>0</v>
      </c>
      <c r="AH97" s="23" t="n">
        <v>0</v>
      </c>
      <c r="AI97" s="23" t="n">
        <v>0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23" t="n">
        <v>0</v>
      </c>
      <c r="BX97" s="23" t="n">
        <v>0</v>
      </c>
      <c r="BY97" s="23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0</v>
      </c>
      <c r="CN97" s="23" t="n">
        <v>0</v>
      </c>
      <c r="CO97" s="23" t="n">
        <v>0</v>
      </c>
      <c r="CP97" s="23" t="n">
        <v>0</v>
      </c>
      <c r="CQ97" s="23" t="n">
        <v>0</v>
      </c>
      <c r="CR97" s="23" t="n">
        <v>0</v>
      </c>
      <c r="CS97" s="23" t="n">
        <v>0</v>
      </c>
      <c r="CT97" s="23" t="n">
        <v>0</v>
      </c>
      <c r="CU97" s="23" t="n">
        <v>0</v>
      </c>
      <c r="CV97" s="23" t="n">
        <v>0</v>
      </c>
      <c r="CW97" s="23" t="n">
        <v>0</v>
      </c>
      <c r="CX97" s="23" t="n">
        <v>0</v>
      </c>
      <c r="CY97" s="23" t="n">
        <v>0</v>
      </c>
      <c r="CZ97" s="23" t="n">
        <v>0</v>
      </c>
      <c r="DA97" s="23" t="n">
        <v>0</v>
      </c>
    </row>
    <row r="98">
      <c r="A98" t="inlineStr">
        <is>
          <t>TSP-1499</t>
        </is>
      </c>
      <c r="B98" s="23" t="n">
        <v>0</v>
      </c>
      <c r="C98" s="23" t="n">
        <v>0</v>
      </c>
      <c r="D98" s="23" t="n">
        <v>0</v>
      </c>
      <c r="E98" s="23" t="n">
        <v>0</v>
      </c>
      <c r="F98" s="23" t="n">
        <v>0</v>
      </c>
      <c r="G98" s="23" t="n">
        <v>0</v>
      </c>
      <c r="H98" s="23" t="n">
        <v>0</v>
      </c>
      <c r="I98" s="23" t="n">
        <v>0</v>
      </c>
      <c r="J98" s="23" t="n">
        <v>0</v>
      </c>
      <c r="K98" s="23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3" t="n">
        <v>0</v>
      </c>
      <c r="R98" s="23" t="n">
        <v>0</v>
      </c>
      <c r="S98" s="23" t="n">
        <v>0</v>
      </c>
      <c r="T98" s="23" t="n">
        <v>0</v>
      </c>
      <c r="U98" s="23" t="n">
        <v>0</v>
      </c>
      <c r="V98" s="23" t="n">
        <v>0</v>
      </c>
      <c r="W98" s="23" t="n">
        <v>0</v>
      </c>
      <c r="X98" s="23" t="n">
        <v>0</v>
      </c>
      <c r="Y98" s="23" t="n">
        <v>0</v>
      </c>
      <c r="Z98" s="23" t="n">
        <v>0</v>
      </c>
      <c r="AA98" s="23" t="n">
        <v>0</v>
      </c>
      <c r="AB98" s="23" t="n">
        <v>0</v>
      </c>
      <c r="AC98" s="23" t="n">
        <v>0</v>
      </c>
      <c r="AD98" s="23" t="n">
        <v>0</v>
      </c>
      <c r="AE98" s="23" t="n">
        <v>0</v>
      </c>
      <c r="AF98" s="23" t="n">
        <v>0</v>
      </c>
      <c r="AG98" s="23" t="n">
        <v>0</v>
      </c>
      <c r="AH98" s="23" t="n">
        <v>0</v>
      </c>
      <c r="AI98" s="23" t="n">
        <v>0</v>
      </c>
      <c r="AJ98" s="23" t="n">
        <v>0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0</v>
      </c>
      <c r="BU98" s="23" t="n">
        <v>0</v>
      </c>
      <c r="BV98" s="23" t="n">
        <v>0</v>
      </c>
      <c r="BW98" s="23" t="n">
        <v>0</v>
      </c>
      <c r="BX98" s="23" t="n">
        <v>0</v>
      </c>
      <c r="BY98" s="23" t="n">
        <v>0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0</v>
      </c>
      <c r="CN98" s="23" t="n">
        <v>0</v>
      </c>
      <c r="CO98" s="23" t="n">
        <v>0</v>
      </c>
      <c r="CP98" s="23" t="n">
        <v>0</v>
      </c>
      <c r="CQ98" s="23" t="n">
        <v>0</v>
      </c>
      <c r="CR98" s="23" t="n">
        <v>0</v>
      </c>
      <c r="CS98" s="23" t="n">
        <v>0</v>
      </c>
      <c r="CT98" s="23" t="n">
        <v>0</v>
      </c>
      <c r="CU98" s="23" t="n">
        <v>0</v>
      </c>
      <c r="CV98" s="23" t="n">
        <v>0</v>
      </c>
      <c r="CW98" s="23" t="n">
        <v>0</v>
      </c>
      <c r="CX98" s="23" t="n">
        <v>0</v>
      </c>
      <c r="CY98" s="23" t="n">
        <v>0</v>
      </c>
      <c r="CZ98" s="23" t="n">
        <v>0</v>
      </c>
      <c r="DA98" s="23" t="n">
        <v>0</v>
      </c>
    </row>
    <row r="99">
      <c r="A99" t="inlineStr">
        <is>
          <t>TSP-1558</t>
        </is>
      </c>
      <c r="B99" s="23" t="n">
        <v>0</v>
      </c>
      <c r="C99" s="23" t="n">
        <v>0</v>
      </c>
      <c r="D99" s="23" t="n">
        <v>0</v>
      </c>
      <c r="E99" s="23" t="n">
        <v>0</v>
      </c>
      <c r="F99" s="23" t="n">
        <v>0</v>
      </c>
      <c r="G99" s="23" t="n">
        <v>0</v>
      </c>
      <c r="H99" s="23" t="n">
        <v>0</v>
      </c>
      <c r="I99" s="23" t="n">
        <v>0</v>
      </c>
      <c r="J99" s="23" t="n">
        <v>0</v>
      </c>
      <c r="K99" s="23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3" t="n">
        <v>0</v>
      </c>
      <c r="R99" s="23" t="n">
        <v>0</v>
      </c>
      <c r="S99" s="23" t="n">
        <v>0</v>
      </c>
      <c r="T99" s="23" t="n">
        <v>0</v>
      </c>
      <c r="U99" s="23" t="n">
        <v>0</v>
      </c>
      <c r="V99" s="23" t="n">
        <v>0</v>
      </c>
      <c r="W99" s="23" t="n">
        <v>0</v>
      </c>
      <c r="X99" s="23" t="n">
        <v>0</v>
      </c>
      <c r="Y99" s="23" t="n">
        <v>0</v>
      </c>
      <c r="Z99" s="23" t="n">
        <v>0</v>
      </c>
      <c r="AA99" s="23" t="n">
        <v>0</v>
      </c>
      <c r="AB99" s="23" t="n">
        <v>0</v>
      </c>
      <c r="AC99" s="23" t="n">
        <v>0</v>
      </c>
      <c r="AD99" s="23" t="n">
        <v>0</v>
      </c>
      <c r="AE99" s="23" t="n">
        <v>0</v>
      </c>
      <c r="AF99" s="23" t="n">
        <v>0</v>
      </c>
      <c r="AG99" s="23" t="n">
        <v>0</v>
      </c>
      <c r="AH99" s="23" t="n">
        <v>0</v>
      </c>
      <c r="AI99" s="23" t="n">
        <v>0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0</v>
      </c>
      <c r="CW99" s="23" t="n">
        <v>0</v>
      </c>
      <c r="CX99" s="23" t="n">
        <v>0</v>
      </c>
      <c r="CY99" s="23" t="n">
        <v>0</v>
      </c>
      <c r="CZ99" s="23" t="n">
        <v>0</v>
      </c>
      <c r="DA99" s="23" t="n">
        <v>0</v>
      </c>
    </row>
    <row r="100">
      <c r="A100" t="inlineStr">
        <is>
          <t>TSP-1559</t>
        </is>
      </c>
      <c r="B100" s="23" t="n">
        <v>0</v>
      </c>
      <c r="C100" s="23" t="n">
        <v>0</v>
      </c>
      <c r="D100" s="23" t="n">
        <v>0</v>
      </c>
      <c r="E100" s="23" t="n">
        <v>0</v>
      </c>
      <c r="F100" s="23" t="n">
        <v>0</v>
      </c>
      <c r="G100" s="23" t="n">
        <v>0</v>
      </c>
      <c r="H100" s="23" t="n">
        <v>0</v>
      </c>
      <c r="I100" s="23" t="n">
        <v>0</v>
      </c>
      <c r="J100" s="23" t="n">
        <v>0</v>
      </c>
      <c r="K100" s="23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3" t="n">
        <v>0</v>
      </c>
      <c r="R100" s="23" t="n">
        <v>0</v>
      </c>
      <c r="S100" s="23" t="n">
        <v>0</v>
      </c>
      <c r="T100" s="23" t="n">
        <v>0</v>
      </c>
      <c r="U100" s="23" t="n">
        <v>0</v>
      </c>
      <c r="V100" s="23" t="n">
        <v>0</v>
      </c>
      <c r="W100" s="23" t="n">
        <v>0</v>
      </c>
      <c r="X100" s="23" t="n">
        <v>0</v>
      </c>
      <c r="Y100" s="23" t="n">
        <v>0</v>
      </c>
      <c r="Z100" s="23" t="n">
        <v>0</v>
      </c>
      <c r="AA100" s="23" t="n">
        <v>0</v>
      </c>
      <c r="AB100" s="23" t="n">
        <v>0</v>
      </c>
      <c r="AC100" s="23" t="n">
        <v>0</v>
      </c>
      <c r="AD100" s="23" t="n">
        <v>0</v>
      </c>
      <c r="AE100" s="23" t="n">
        <v>0</v>
      </c>
      <c r="AF100" s="23" t="n">
        <v>0</v>
      </c>
      <c r="AG100" s="23" t="n">
        <v>0</v>
      </c>
      <c r="AH100" s="23" t="n">
        <v>0</v>
      </c>
      <c r="AI100" s="23" t="n">
        <v>0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0</v>
      </c>
      <c r="CW100" s="23" t="n">
        <v>0</v>
      </c>
      <c r="CX100" s="23" t="n">
        <v>0</v>
      </c>
      <c r="CY100" s="23" t="n">
        <v>0</v>
      </c>
      <c r="CZ100" s="23" t="n">
        <v>0</v>
      </c>
      <c r="DA100" s="23" t="n">
        <v>0</v>
      </c>
    </row>
    <row r="101">
      <c r="A101" t="inlineStr">
        <is>
          <t>0Q110</t>
        </is>
      </c>
      <c r="B101" s="23" t="n">
        <v>0</v>
      </c>
      <c r="C101" s="23" t="n">
        <v>0</v>
      </c>
      <c r="D101" s="23" t="n">
        <v>0</v>
      </c>
      <c r="E101" s="23" t="n">
        <v>0</v>
      </c>
      <c r="F101" s="23" t="n">
        <v>0</v>
      </c>
      <c r="G101" s="23" t="n">
        <v>0</v>
      </c>
      <c r="H101" s="23" t="n">
        <v>0</v>
      </c>
      <c r="I101" s="23" t="n">
        <v>0</v>
      </c>
      <c r="J101" s="23" t="n">
        <v>0</v>
      </c>
      <c r="K101" s="23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3" t="n">
        <v>0</v>
      </c>
      <c r="R101" s="23" t="n">
        <v>0</v>
      </c>
      <c r="S101" s="23" t="n">
        <v>0</v>
      </c>
      <c r="T101" s="23" t="n">
        <v>0</v>
      </c>
      <c r="U101" s="23" t="n">
        <v>0</v>
      </c>
      <c r="V101" s="23" t="n">
        <v>0</v>
      </c>
      <c r="W101" s="23" t="n">
        <v>0</v>
      </c>
      <c r="X101" s="23" t="n">
        <v>0</v>
      </c>
      <c r="Y101" s="23" t="n">
        <v>0</v>
      </c>
      <c r="Z101" s="23" t="n">
        <v>0</v>
      </c>
      <c r="AA101" s="23" t="n">
        <v>0</v>
      </c>
      <c r="AB101" s="23" t="n">
        <v>0</v>
      </c>
      <c r="AC101" s="23" t="n">
        <v>0</v>
      </c>
      <c r="AD101" s="23" t="n">
        <v>0</v>
      </c>
      <c r="AE101" s="23" t="n">
        <v>0</v>
      </c>
      <c r="AF101" s="23" t="n">
        <v>0</v>
      </c>
      <c r="AG101" s="23" t="n">
        <v>0</v>
      </c>
      <c r="AH101" s="23" t="n">
        <v>0</v>
      </c>
      <c r="AI101" s="23" t="n">
        <v>0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0</v>
      </c>
      <c r="BQ101" s="23" t="n">
        <v>0</v>
      </c>
      <c r="BR101" s="23" t="n">
        <v>0</v>
      </c>
      <c r="BS101" s="23" t="n">
        <v>0</v>
      </c>
      <c r="BT101" s="23" t="n">
        <v>0</v>
      </c>
      <c r="BU101" s="23" t="n">
        <v>0</v>
      </c>
      <c r="BV101" s="23" t="n">
        <v>0</v>
      </c>
      <c r="BW101" s="23" t="n">
        <v>0</v>
      </c>
      <c r="BX101" s="23" t="n">
        <v>0</v>
      </c>
      <c r="BY101" s="23" t="n">
        <v>0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0</v>
      </c>
      <c r="CN101" s="23" t="n">
        <v>0</v>
      </c>
      <c r="CO101" s="23" t="n">
        <v>0</v>
      </c>
      <c r="CP101" s="23" t="n">
        <v>0</v>
      </c>
      <c r="CQ101" s="23" t="n">
        <v>0</v>
      </c>
      <c r="CR101" s="23" t="n">
        <v>0</v>
      </c>
      <c r="CS101" s="23" t="n">
        <v>0</v>
      </c>
      <c r="CT101" s="23" t="n">
        <v>0</v>
      </c>
      <c r="CU101" s="23" t="n">
        <v>0</v>
      </c>
      <c r="CV101" s="23" t="n">
        <v>0</v>
      </c>
      <c r="CW101" s="23" t="n">
        <v>0</v>
      </c>
      <c r="CX101" s="23" t="n">
        <v>0</v>
      </c>
      <c r="CY101" s="23" t="n">
        <v>0</v>
      </c>
      <c r="CZ101" s="23" t="n">
        <v>0</v>
      </c>
      <c r="DA101" s="23" t="n">
        <v>0</v>
      </c>
    </row>
    <row r="102">
      <c r="A102" t="inlineStr">
        <is>
          <t>0Q120</t>
        </is>
      </c>
      <c r="B102" s="23" t="n">
        <v>0</v>
      </c>
      <c r="C102" s="23" t="n">
        <v>0</v>
      </c>
      <c r="D102" s="23" t="n">
        <v>0</v>
      </c>
      <c r="E102" s="23" t="n">
        <v>0</v>
      </c>
      <c r="F102" s="23" t="n">
        <v>0</v>
      </c>
      <c r="G102" s="23" t="n">
        <v>0</v>
      </c>
      <c r="H102" s="23" t="n">
        <v>0</v>
      </c>
      <c r="I102" s="23" t="n">
        <v>0</v>
      </c>
      <c r="J102" s="23" t="n">
        <v>0</v>
      </c>
      <c r="K102" s="23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3" t="n">
        <v>0</v>
      </c>
      <c r="R102" s="23" t="n">
        <v>0</v>
      </c>
      <c r="S102" s="23" t="n">
        <v>0</v>
      </c>
      <c r="T102" s="23" t="n">
        <v>0</v>
      </c>
      <c r="U102" s="23" t="n">
        <v>0</v>
      </c>
      <c r="V102" s="23" t="n">
        <v>0</v>
      </c>
      <c r="W102" s="23" t="n">
        <v>0</v>
      </c>
      <c r="X102" s="23" t="n">
        <v>0</v>
      </c>
      <c r="Y102" s="23" t="n">
        <v>0</v>
      </c>
      <c r="Z102" s="23" t="n">
        <v>0</v>
      </c>
      <c r="AA102" s="23" t="n">
        <v>0</v>
      </c>
      <c r="AB102" s="23" t="n">
        <v>0</v>
      </c>
      <c r="AC102" s="23" t="n">
        <v>0</v>
      </c>
      <c r="AD102" s="23" t="n">
        <v>0</v>
      </c>
      <c r="AE102" s="23" t="n">
        <v>0</v>
      </c>
      <c r="AF102" s="23" t="n">
        <v>0</v>
      </c>
      <c r="AG102" s="23" t="n">
        <v>0</v>
      </c>
      <c r="AH102" s="23" t="n">
        <v>0</v>
      </c>
      <c r="AI102" s="23" t="n">
        <v>0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0</v>
      </c>
      <c r="CN102" s="23" t="n">
        <v>0</v>
      </c>
      <c r="CO102" s="23" t="n">
        <v>0</v>
      </c>
      <c r="CP102" s="23" t="n">
        <v>0</v>
      </c>
      <c r="CQ102" s="23" t="n">
        <v>0</v>
      </c>
      <c r="CR102" s="23" t="n">
        <v>0</v>
      </c>
      <c r="CS102" s="23" t="n">
        <v>0</v>
      </c>
      <c r="CT102" s="23" t="n">
        <v>0</v>
      </c>
      <c r="CU102" s="23" t="n">
        <v>0</v>
      </c>
      <c r="CV102" s="23" t="n">
        <v>0</v>
      </c>
      <c r="CW102" s="23" t="n">
        <v>0</v>
      </c>
      <c r="CX102" s="23" t="n">
        <v>0</v>
      </c>
      <c r="CY102" s="23" t="n">
        <v>0</v>
      </c>
      <c r="CZ102" s="23" t="n">
        <v>0</v>
      </c>
      <c r="DA102" s="23" t="n">
        <v>0</v>
      </c>
    </row>
    <row r="103">
      <c r="A103" t="inlineStr">
        <is>
          <t>0TA30</t>
        </is>
      </c>
      <c r="B103" s="23" t="n">
        <v>0</v>
      </c>
      <c r="C103" s="23" t="n">
        <v>0</v>
      </c>
      <c r="D103" s="23" t="n">
        <v>0</v>
      </c>
      <c r="E103" s="23" t="n">
        <v>0</v>
      </c>
      <c r="F103" s="23" t="n">
        <v>0</v>
      </c>
      <c r="G103" s="23" t="n">
        <v>0</v>
      </c>
      <c r="H103" s="23" t="n">
        <v>0</v>
      </c>
      <c r="I103" s="23" t="n">
        <v>0</v>
      </c>
      <c r="J103" s="23" t="n">
        <v>0</v>
      </c>
      <c r="K103" s="23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3" t="n">
        <v>0</v>
      </c>
      <c r="R103" s="23" t="n">
        <v>0</v>
      </c>
      <c r="S103" s="23" t="n">
        <v>0</v>
      </c>
      <c r="T103" s="23" t="n">
        <v>0</v>
      </c>
      <c r="U103" s="23" t="n">
        <v>0</v>
      </c>
      <c r="V103" s="23" t="n">
        <v>0</v>
      </c>
      <c r="W103" s="23" t="n">
        <v>0</v>
      </c>
      <c r="X103" s="23" t="n">
        <v>0</v>
      </c>
      <c r="Y103" s="23" t="n">
        <v>0</v>
      </c>
      <c r="Z103" s="23" t="n">
        <v>0</v>
      </c>
      <c r="AA103" s="23" t="n">
        <v>0</v>
      </c>
      <c r="AB103" s="23" t="n">
        <v>0</v>
      </c>
      <c r="AC103" s="23" t="n">
        <v>0</v>
      </c>
      <c r="AD103" s="23" t="n">
        <v>0</v>
      </c>
      <c r="AE103" s="23" t="n">
        <v>0</v>
      </c>
      <c r="AF103" s="23" t="n">
        <v>0</v>
      </c>
      <c r="AG103" s="23" t="n">
        <v>0</v>
      </c>
      <c r="AH103" s="23" t="n">
        <v>0</v>
      </c>
      <c r="AI103" s="23" t="n">
        <v>0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0</v>
      </c>
      <c r="BV103" s="23" t="n">
        <v>0</v>
      </c>
      <c r="BW103" s="23" t="n">
        <v>0</v>
      </c>
      <c r="BX103" s="23" t="n">
        <v>0</v>
      </c>
      <c r="BY103" s="23" t="n">
        <v>0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0</v>
      </c>
      <c r="CN103" s="23" t="n">
        <v>0</v>
      </c>
      <c r="CO103" s="23" t="n">
        <v>0</v>
      </c>
      <c r="CP103" s="23" t="n">
        <v>0</v>
      </c>
      <c r="CQ103" s="23" t="n">
        <v>0</v>
      </c>
      <c r="CR103" s="23" t="n">
        <v>0</v>
      </c>
      <c r="CS103" s="23" t="n">
        <v>0</v>
      </c>
      <c r="CT103" s="23" t="n">
        <v>0</v>
      </c>
      <c r="CU103" s="23" t="n">
        <v>0</v>
      </c>
      <c r="CV103" s="23" t="n">
        <v>0</v>
      </c>
      <c r="CW103" s="23" t="n">
        <v>0</v>
      </c>
      <c r="CX103" s="23" t="n">
        <v>0</v>
      </c>
      <c r="CY103" s="23" t="n">
        <v>0</v>
      </c>
      <c r="CZ103" s="23" t="n">
        <v>0</v>
      </c>
      <c r="DA103" s="23" t="n">
        <v>0</v>
      </c>
    </row>
    <row r="104">
      <c r="A104" t="inlineStr">
        <is>
          <t>F2090</t>
        </is>
      </c>
      <c r="B104" s="23" t="n">
        <v>0</v>
      </c>
      <c r="C104" s="23" t="n">
        <v>0</v>
      </c>
      <c r="D104" s="23" t="n">
        <v>0</v>
      </c>
      <c r="E104" s="23" t="n">
        <v>0</v>
      </c>
      <c r="F104" s="23" t="n">
        <v>0</v>
      </c>
      <c r="G104" s="23" t="n">
        <v>0</v>
      </c>
      <c r="H104" s="23" t="n">
        <v>0</v>
      </c>
      <c r="I104" s="23" t="n">
        <v>0</v>
      </c>
      <c r="J104" s="23" t="n">
        <v>0</v>
      </c>
      <c r="K104" s="23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3" t="n">
        <v>0</v>
      </c>
      <c r="R104" s="23" t="n">
        <v>0</v>
      </c>
      <c r="S104" s="23" t="n">
        <v>0</v>
      </c>
      <c r="T104" s="23" t="n">
        <v>0</v>
      </c>
      <c r="U104" s="23" t="n">
        <v>0</v>
      </c>
      <c r="V104" s="23" t="n">
        <v>0</v>
      </c>
      <c r="W104" s="23" t="n">
        <v>0</v>
      </c>
      <c r="X104" s="23" t="n">
        <v>0</v>
      </c>
      <c r="Y104" s="23" t="n">
        <v>0</v>
      </c>
      <c r="Z104" s="23" t="n">
        <v>0</v>
      </c>
      <c r="AA104" s="23" t="n">
        <v>0</v>
      </c>
      <c r="AB104" s="23" t="n">
        <v>0</v>
      </c>
      <c r="AC104" s="23" t="n">
        <v>0</v>
      </c>
      <c r="AD104" s="23" t="n">
        <v>0</v>
      </c>
      <c r="AE104" s="23" t="n">
        <v>0</v>
      </c>
      <c r="AF104" s="23" t="n">
        <v>0</v>
      </c>
      <c r="AG104" s="23" t="n">
        <v>0</v>
      </c>
      <c r="AH104" s="23" t="n">
        <v>0</v>
      </c>
      <c r="AI104" s="23" t="n">
        <v>0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0</v>
      </c>
      <c r="BV104" s="23" t="n">
        <v>0</v>
      </c>
      <c r="BW104" s="23" t="n">
        <v>0</v>
      </c>
      <c r="BX104" s="23" t="n">
        <v>0</v>
      </c>
      <c r="BY104" s="23" t="n">
        <v>0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0</v>
      </c>
      <c r="CN104" s="23" t="n">
        <v>0</v>
      </c>
      <c r="CO104" s="23" t="n">
        <v>0</v>
      </c>
      <c r="CP104" s="23" t="n">
        <v>0</v>
      </c>
      <c r="CQ104" s="23" t="n">
        <v>0</v>
      </c>
      <c r="CR104" s="23" t="n">
        <v>0</v>
      </c>
      <c r="CS104" s="23" t="n">
        <v>0</v>
      </c>
      <c r="CT104" s="23" t="n">
        <v>0</v>
      </c>
      <c r="CU104" s="23" t="n">
        <v>0</v>
      </c>
      <c r="CV104" s="23" t="n">
        <v>0</v>
      </c>
      <c r="CW104" s="23" t="n">
        <v>0</v>
      </c>
      <c r="CX104" s="23" t="n">
        <v>0</v>
      </c>
      <c r="CY104" s="23" t="n">
        <v>0</v>
      </c>
      <c r="CZ104" s="23" t="n">
        <v>0</v>
      </c>
      <c r="DA104" s="23" t="n">
        <v>0</v>
      </c>
    </row>
    <row r="105">
      <c r="A105" t="inlineStr">
        <is>
          <t>F2290</t>
        </is>
      </c>
      <c r="B105" s="23" t="n">
        <v>0</v>
      </c>
      <c r="C105" s="23" t="n">
        <v>0</v>
      </c>
      <c r="D105" s="23" t="n">
        <v>0</v>
      </c>
      <c r="E105" s="23" t="n">
        <v>0</v>
      </c>
      <c r="F105" s="23" t="n">
        <v>0</v>
      </c>
      <c r="G105" s="23" t="n">
        <v>0</v>
      </c>
      <c r="H105" s="23" t="n">
        <v>0</v>
      </c>
      <c r="I105" s="23" t="n">
        <v>0</v>
      </c>
      <c r="J105" s="23" t="n">
        <v>0</v>
      </c>
      <c r="K105" s="23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3" t="n">
        <v>0</v>
      </c>
      <c r="R105" s="23" t="n">
        <v>0</v>
      </c>
      <c r="S105" s="23" t="n">
        <v>0</v>
      </c>
      <c r="T105" s="23" t="n">
        <v>0</v>
      </c>
      <c r="U105" s="23" t="n">
        <v>0</v>
      </c>
      <c r="V105" s="23" t="n">
        <v>0</v>
      </c>
      <c r="W105" s="23" t="n">
        <v>0</v>
      </c>
      <c r="X105" s="23" t="n">
        <v>0</v>
      </c>
      <c r="Y105" s="23" t="n">
        <v>0</v>
      </c>
      <c r="Z105" s="23" t="n">
        <v>0</v>
      </c>
      <c r="AA105" s="23" t="n">
        <v>0</v>
      </c>
      <c r="AB105" s="23" t="n">
        <v>0</v>
      </c>
      <c r="AC105" s="23" t="n">
        <v>0</v>
      </c>
      <c r="AD105" s="23" t="n">
        <v>0</v>
      </c>
      <c r="AE105" s="23" t="n">
        <v>0</v>
      </c>
      <c r="AF105" s="23" t="n">
        <v>0</v>
      </c>
      <c r="AG105" s="23" t="n">
        <v>0</v>
      </c>
      <c r="AH105" s="23" t="n">
        <v>0</v>
      </c>
      <c r="AI105" s="23" t="n">
        <v>0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0</v>
      </c>
      <c r="BY105" s="23" t="n">
        <v>0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0</v>
      </c>
      <c r="CN105" s="23" t="n">
        <v>0</v>
      </c>
      <c r="CO105" s="23" t="n">
        <v>0</v>
      </c>
      <c r="CP105" s="23" t="n">
        <v>0</v>
      </c>
      <c r="CQ105" s="23" t="n">
        <v>0</v>
      </c>
      <c r="CR105" s="23" t="n">
        <v>0</v>
      </c>
      <c r="CS105" s="23" t="n">
        <v>0</v>
      </c>
      <c r="CT105" s="23" t="n">
        <v>0</v>
      </c>
      <c r="CU105" s="23" t="n">
        <v>0</v>
      </c>
      <c r="CV105" s="23" t="n">
        <v>0</v>
      </c>
      <c r="CW105" s="23" t="n">
        <v>0</v>
      </c>
      <c r="CX105" s="23" t="n">
        <v>0</v>
      </c>
      <c r="CY105" s="23" t="n">
        <v>0</v>
      </c>
      <c r="CZ105" s="23" t="n">
        <v>0</v>
      </c>
      <c r="DA105" s="23" t="n">
        <v>0</v>
      </c>
    </row>
    <row r="106">
      <c r="A106" t="inlineStr">
        <is>
          <t>K0050</t>
        </is>
      </c>
      <c r="B106" s="23" t="n">
        <v>0</v>
      </c>
      <c r="C106" s="23" t="n">
        <v>0</v>
      </c>
      <c r="D106" s="23" t="n">
        <v>0</v>
      </c>
      <c r="E106" s="23" t="n">
        <v>0</v>
      </c>
      <c r="F106" s="23" t="n">
        <v>0</v>
      </c>
      <c r="G106" s="23" t="n">
        <v>0</v>
      </c>
      <c r="H106" s="23" t="n">
        <v>0</v>
      </c>
      <c r="I106" s="23" t="n">
        <v>0</v>
      </c>
      <c r="J106" s="23" t="n">
        <v>0</v>
      </c>
      <c r="K106" s="23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3" t="n">
        <v>0</v>
      </c>
      <c r="R106" s="23" t="n">
        <v>0</v>
      </c>
      <c r="S106" s="23" t="n">
        <v>0</v>
      </c>
      <c r="T106" s="23" t="n">
        <v>0</v>
      </c>
      <c r="U106" s="23" t="n">
        <v>0</v>
      </c>
      <c r="V106" s="23" t="n">
        <v>0</v>
      </c>
      <c r="W106" s="23" t="n">
        <v>0</v>
      </c>
      <c r="X106" s="23" t="n">
        <v>0</v>
      </c>
      <c r="Y106" s="23" t="n">
        <v>0</v>
      </c>
      <c r="Z106" s="23" t="n">
        <v>0</v>
      </c>
      <c r="AA106" s="23" t="n">
        <v>0</v>
      </c>
      <c r="AB106" s="23" t="n">
        <v>0</v>
      </c>
      <c r="AC106" s="23" t="n">
        <v>0</v>
      </c>
      <c r="AD106" s="23" t="n">
        <v>0</v>
      </c>
      <c r="AE106" s="23" t="n">
        <v>0</v>
      </c>
      <c r="AF106" s="23" t="n">
        <v>0</v>
      </c>
      <c r="AG106" s="23" t="n">
        <v>0</v>
      </c>
      <c r="AH106" s="23" t="n">
        <v>0</v>
      </c>
      <c r="AI106" s="23" t="n">
        <v>0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0</v>
      </c>
      <c r="CW106" s="23" t="n">
        <v>0</v>
      </c>
      <c r="CX106" s="23" t="n">
        <v>0</v>
      </c>
      <c r="CY106" s="23" t="n">
        <v>0</v>
      </c>
      <c r="CZ106" s="23" t="n">
        <v>0</v>
      </c>
      <c r="DA106" s="23" t="n">
        <v>0</v>
      </c>
    </row>
    <row r="107">
      <c r="A107" t="inlineStr">
        <is>
          <t>0T150</t>
        </is>
      </c>
      <c r="B107" s="23" t="n">
        <v>0</v>
      </c>
      <c r="C107" s="23" t="n">
        <v>0</v>
      </c>
      <c r="D107" s="23" t="n">
        <v>0</v>
      </c>
      <c r="E107" s="23" t="n">
        <v>0</v>
      </c>
      <c r="F107" s="23" t="n">
        <v>0</v>
      </c>
      <c r="G107" s="23" t="n">
        <v>0</v>
      </c>
      <c r="H107" s="23" t="n">
        <v>0</v>
      </c>
      <c r="I107" s="23" t="n">
        <v>0</v>
      </c>
      <c r="J107" s="23" t="n">
        <v>0</v>
      </c>
      <c r="K107" s="23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3" t="n">
        <v>0</v>
      </c>
      <c r="R107" s="23" t="n">
        <v>0</v>
      </c>
      <c r="S107" s="23" t="n">
        <v>0</v>
      </c>
      <c r="T107" s="23" t="n">
        <v>0</v>
      </c>
      <c r="U107" s="23" t="n">
        <v>0</v>
      </c>
      <c r="V107" s="23" t="n">
        <v>0</v>
      </c>
      <c r="W107" s="23" t="n">
        <v>0</v>
      </c>
      <c r="X107" s="23" t="n">
        <v>0</v>
      </c>
      <c r="Y107" s="23" t="n">
        <v>0</v>
      </c>
      <c r="Z107" s="23" t="n">
        <v>0</v>
      </c>
      <c r="AA107" s="23" t="n">
        <v>0</v>
      </c>
      <c r="AB107" s="23" t="n">
        <v>0</v>
      </c>
      <c r="AC107" s="23" t="n">
        <v>0</v>
      </c>
      <c r="AD107" s="23" t="n">
        <v>0</v>
      </c>
      <c r="AE107" s="23" t="n">
        <v>0</v>
      </c>
      <c r="AF107" s="23" t="n">
        <v>0</v>
      </c>
      <c r="AG107" s="23" t="n">
        <v>0</v>
      </c>
      <c r="AH107" s="23" t="n">
        <v>0</v>
      </c>
      <c r="AI107" s="23" t="n">
        <v>0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0</v>
      </c>
      <c r="CW107" s="23" t="n">
        <v>0</v>
      </c>
      <c r="CX107" s="23" t="n">
        <v>0</v>
      </c>
      <c r="CY107" s="23" t="n">
        <v>0</v>
      </c>
      <c r="CZ107" s="23" t="n">
        <v>0</v>
      </c>
      <c r="DA107" s="23" t="n">
        <v>0</v>
      </c>
    </row>
    <row r="108">
      <c r="A108" t="inlineStr">
        <is>
          <t>0T160</t>
        </is>
      </c>
      <c r="B108" s="23" t="n">
        <v>0</v>
      </c>
      <c r="C108" s="23" t="n">
        <v>0</v>
      </c>
      <c r="D108" s="23" t="n">
        <v>0</v>
      </c>
      <c r="E108" s="23" t="n">
        <v>0</v>
      </c>
      <c r="F108" s="23" t="n">
        <v>0</v>
      </c>
      <c r="G108" s="23" t="n">
        <v>0</v>
      </c>
      <c r="H108" s="23" t="n">
        <v>0</v>
      </c>
      <c r="I108" s="23" t="n">
        <v>0</v>
      </c>
      <c r="J108" s="23" t="n">
        <v>0</v>
      </c>
      <c r="K108" s="23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3" t="n">
        <v>0</v>
      </c>
      <c r="R108" s="23" t="n">
        <v>0</v>
      </c>
      <c r="S108" s="23" t="n">
        <v>0</v>
      </c>
      <c r="T108" s="23" t="n">
        <v>0</v>
      </c>
      <c r="U108" s="23" t="n">
        <v>0</v>
      </c>
      <c r="V108" s="23" t="n">
        <v>0</v>
      </c>
      <c r="W108" s="23" t="n">
        <v>0</v>
      </c>
      <c r="X108" s="23" t="n">
        <v>0</v>
      </c>
      <c r="Y108" s="23" t="n">
        <v>0</v>
      </c>
      <c r="Z108" s="23" t="n">
        <v>0</v>
      </c>
      <c r="AA108" s="23" t="n">
        <v>0</v>
      </c>
      <c r="AB108" s="23" t="n">
        <v>0</v>
      </c>
      <c r="AC108" s="23" t="n">
        <v>0</v>
      </c>
      <c r="AD108" s="23" t="n">
        <v>0</v>
      </c>
      <c r="AE108" s="23" t="n">
        <v>0</v>
      </c>
      <c r="AF108" s="23" t="n">
        <v>0</v>
      </c>
      <c r="AG108" s="23" t="n">
        <v>0</v>
      </c>
      <c r="AH108" s="23" t="n">
        <v>0</v>
      </c>
      <c r="AI108" s="23" t="n">
        <v>0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0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0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0</v>
      </c>
      <c r="CN108" s="23" t="n">
        <v>0</v>
      </c>
      <c r="CO108" s="23" t="n">
        <v>0</v>
      </c>
      <c r="CP108" s="23" t="n">
        <v>0</v>
      </c>
      <c r="CQ108" s="23" t="n">
        <v>0</v>
      </c>
      <c r="CR108" s="23" t="n">
        <v>0</v>
      </c>
      <c r="CS108" s="23" t="n">
        <v>0</v>
      </c>
      <c r="CT108" s="23" t="n">
        <v>0</v>
      </c>
      <c r="CU108" s="23" t="n">
        <v>0</v>
      </c>
      <c r="CV108" s="23" t="n">
        <v>0</v>
      </c>
      <c r="CW108" s="23" t="n">
        <v>0</v>
      </c>
      <c r="CX108" s="23" t="n">
        <v>0</v>
      </c>
      <c r="CY108" s="23" t="n">
        <v>0</v>
      </c>
      <c r="CZ108" s="23" t="n">
        <v>0</v>
      </c>
      <c r="DA108" s="23" t="n">
        <v>0</v>
      </c>
    </row>
    <row r="109">
      <c r="A109" t="inlineStr">
        <is>
          <t>0T410</t>
        </is>
      </c>
      <c r="B109" s="23" t="n">
        <v>0</v>
      </c>
      <c r="C109" s="23" t="n">
        <v>0</v>
      </c>
      <c r="D109" s="23" t="n">
        <v>0</v>
      </c>
      <c r="E109" s="23" t="n">
        <v>0</v>
      </c>
      <c r="F109" s="23" t="n">
        <v>0</v>
      </c>
      <c r="G109" s="23" t="n">
        <v>0</v>
      </c>
      <c r="H109" s="23" t="n">
        <v>0</v>
      </c>
      <c r="I109" s="23" t="n">
        <v>0</v>
      </c>
      <c r="J109" s="23" t="n">
        <v>0</v>
      </c>
      <c r="K109" s="23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3" t="n">
        <v>0</v>
      </c>
      <c r="R109" s="23" t="n">
        <v>0</v>
      </c>
      <c r="S109" s="23" t="n">
        <v>0</v>
      </c>
      <c r="T109" s="23" t="n">
        <v>0</v>
      </c>
      <c r="U109" s="23" t="n">
        <v>0</v>
      </c>
      <c r="V109" s="23" t="n">
        <v>0</v>
      </c>
      <c r="W109" s="23" t="n">
        <v>0</v>
      </c>
      <c r="X109" s="23" t="n">
        <v>0</v>
      </c>
      <c r="Y109" s="23" t="n">
        <v>0</v>
      </c>
      <c r="Z109" s="23" t="n">
        <v>0</v>
      </c>
      <c r="AA109" s="23" t="n">
        <v>0</v>
      </c>
      <c r="AB109" s="23" t="n">
        <v>0</v>
      </c>
      <c r="AC109" s="23" t="n">
        <v>0</v>
      </c>
      <c r="AD109" s="23" t="n">
        <v>0</v>
      </c>
      <c r="AE109" s="23" t="n">
        <v>0</v>
      </c>
      <c r="AF109" s="23" t="n">
        <v>0</v>
      </c>
      <c r="AG109" s="23" t="n">
        <v>0</v>
      </c>
      <c r="AH109" s="23" t="n">
        <v>0</v>
      </c>
      <c r="AI109" s="23" t="n">
        <v>0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0</v>
      </c>
      <c r="CP109" s="23" t="n">
        <v>0</v>
      </c>
      <c r="CQ109" s="23" t="n">
        <v>0</v>
      </c>
      <c r="CR109" s="23" t="n">
        <v>0</v>
      </c>
      <c r="CS109" s="23" t="n">
        <v>0</v>
      </c>
      <c r="CT109" s="23" t="n">
        <v>0</v>
      </c>
      <c r="CU109" s="23" t="n">
        <v>0</v>
      </c>
      <c r="CV109" s="23" t="n">
        <v>0</v>
      </c>
      <c r="CW109" s="23" t="n">
        <v>0</v>
      </c>
      <c r="CX109" s="23" t="n">
        <v>0</v>
      </c>
      <c r="CY109" s="23" t="n">
        <v>0</v>
      </c>
      <c r="CZ109" s="23" t="n">
        <v>0</v>
      </c>
      <c r="DA109" s="23" t="n">
        <v>0</v>
      </c>
    </row>
    <row r="110">
      <c r="A110" t="inlineStr">
        <is>
          <t>0T420</t>
        </is>
      </c>
      <c r="B110" s="23" t="n">
        <v>0</v>
      </c>
      <c r="C110" s="23" t="n">
        <v>0</v>
      </c>
      <c r="D110" s="23" t="n">
        <v>0</v>
      </c>
      <c r="E110" s="23" t="n">
        <v>0</v>
      </c>
      <c r="F110" s="23" t="n">
        <v>0</v>
      </c>
      <c r="G110" s="23" t="n">
        <v>0</v>
      </c>
      <c r="H110" s="23" t="n">
        <v>0</v>
      </c>
      <c r="I110" s="23" t="n">
        <v>0</v>
      </c>
      <c r="J110" s="23" t="n">
        <v>0</v>
      </c>
      <c r="K110" s="23" t="n">
        <v>0</v>
      </c>
      <c r="L110" s="23" t="n">
        <v>0</v>
      </c>
      <c r="M110" s="23" t="n">
        <v>0</v>
      </c>
      <c r="N110" s="23" t="n">
        <v>0</v>
      </c>
      <c r="O110" s="23" t="n">
        <v>0</v>
      </c>
      <c r="P110" s="23" t="n">
        <v>0</v>
      </c>
      <c r="Q110" s="23" t="n">
        <v>0</v>
      </c>
      <c r="R110" s="23" t="n">
        <v>0</v>
      </c>
      <c r="S110" s="23" t="n">
        <v>0</v>
      </c>
      <c r="T110" s="23" t="n">
        <v>0</v>
      </c>
      <c r="U110" s="23" t="n">
        <v>0</v>
      </c>
      <c r="V110" s="23" t="n">
        <v>0</v>
      </c>
      <c r="W110" s="23" t="n">
        <v>0</v>
      </c>
      <c r="X110" s="23" t="n">
        <v>0</v>
      </c>
      <c r="Y110" s="23" t="n">
        <v>0</v>
      </c>
      <c r="Z110" s="23" t="n">
        <v>0</v>
      </c>
      <c r="AA110" s="23" t="n">
        <v>0</v>
      </c>
      <c r="AB110" s="23" t="n">
        <v>0</v>
      </c>
      <c r="AC110" s="23" t="n">
        <v>0</v>
      </c>
      <c r="AD110" s="23" t="n">
        <v>0</v>
      </c>
      <c r="AE110" s="23" t="n">
        <v>0</v>
      </c>
      <c r="AF110" s="23" t="n">
        <v>0</v>
      </c>
      <c r="AG110" s="23" t="n">
        <v>0</v>
      </c>
      <c r="AH110" s="23" t="n">
        <v>0</v>
      </c>
      <c r="AI110" s="23" t="n">
        <v>0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0</v>
      </c>
      <c r="BX110" s="23" t="n">
        <v>0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0</v>
      </c>
      <c r="CP110" s="23" t="n">
        <v>0</v>
      </c>
      <c r="CQ110" s="23" t="n">
        <v>0</v>
      </c>
      <c r="CR110" s="23" t="n">
        <v>0</v>
      </c>
      <c r="CS110" s="23" t="n">
        <v>0</v>
      </c>
      <c r="CT110" s="23" t="n">
        <v>0</v>
      </c>
      <c r="CU110" s="23" t="n">
        <v>0</v>
      </c>
      <c r="CV110" s="23" t="n">
        <v>0</v>
      </c>
      <c r="CW110" s="23" t="n">
        <v>0</v>
      </c>
      <c r="CX110" s="23" t="n">
        <v>0</v>
      </c>
      <c r="CY110" s="23" t="n">
        <v>0</v>
      </c>
      <c r="CZ110" s="23" t="n">
        <v>0</v>
      </c>
      <c r="DA110" s="23" t="n">
        <v>0</v>
      </c>
    </row>
    <row r="111">
      <c r="A111" t="inlineStr">
        <is>
          <t>0T470</t>
        </is>
      </c>
      <c r="B111" s="23" t="n">
        <v>0</v>
      </c>
      <c r="C111" s="23" t="n">
        <v>0</v>
      </c>
      <c r="D111" s="23" t="n">
        <v>0</v>
      </c>
      <c r="E111" s="23" t="n">
        <v>0</v>
      </c>
      <c r="F111" s="23" t="n">
        <v>0</v>
      </c>
      <c r="G111" s="23" t="n">
        <v>0</v>
      </c>
      <c r="H111" s="23" t="n">
        <v>0</v>
      </c>
      <c r="I111" s="23" t="n">
        <v>0</v>
      </c>
      <c r="J111" s="23" t="n">
        <v>0</v>
      </c>
      <c r="K111" s="23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3" t="n">
        <v>0</v>
      </c>
      <c r="R111" s="23" t="n">
        <v>0</v>
      </c>
      <c r="S111" s="23" t="n">
        <v>0</v>
      </c>
      <c r="T111" s="23" t="n">
        <v>0</v>
      </c>
      <c r="U111" s="23" t="n">
        <v>0</v>
      </c>
      <c r="V111" s="23" t="n">
        <v>0</v>
      </c>
      <c r="W111" s="23" t="n">
        <v>0</v>
      </c>
      <c r="X111" s="23" t="n">
        <v>0</v>
      </c>
      <c r="Y111" s="23" t="n">
        <v>0</v>
      </c>
      <c r="Z111" s="23" t="n">
        <v>0</v>
      </c>
      <c r="AA111" s="23" t="n">
        <v>0</v>
      </c>
      <c r="AB111" s="23" t="n">
        <v>0</v>
      </c>
      <c r="AC111" s="23" t="n">
        <v>0</v>
      </c>
      <c r="AD111" s="23" t="n">
        <v>0</v>
      </c>
      <c r="AE111" s="23" t="n">
        <v>0</v>
      </c>
      <c r="AF111" s="23" t="n">
        <v>0</v>
      </c>
      <c r="AG111" s="23" t="n">
        <v>0</v>
      </c>
      <c r="AH111" s="23" t="n">
        <v>0</v>
      </c>
      <c r="AI111" s="23" t="n">
        <v>0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0</v>
      </c>
      <c r="CN111" s="23" t="n">
        <v>0</v>
      </c>
      <c r="CO111" s="23" t="n">
        <v>0</v>
      </c>
      <c r="CP111" s="23" t="n">
        <v>0</v>
      </c>
      <c r="CQ111" s="23" t="n">
        <v>0</v>
      </c>
      <c r="CR111" s="23" t="n">
        <v>0</v>
      </c>
      <c r="CS111" s="23" t="n">
        <v>0</v>
      </c>
      <c r="CT111" s="23" t="n">
        <v>0</v>
      </c>
      <c r="CU111" s="23" t="n">
        <v>0</v>
      </c>
      <c r="CV111" s="23" t="n">
        <v>0</v>
      </c>
      <c r="CW111" s="23" t="n">
        <v>0</v>
      </c>
      <c r="CX111" s="23" t="n">
        <v>0</v>
      </c>
      <c r="CY111" s="23" t="n">
        <v>0</v>
      </c>
      <c r="CZ111" s="23" t="n">
        <v>0</v>
      </c>
      <c r="DA111" s="23" t="n">
        <v>0</v>
      </c>
    </row>
    <row r="112">
      <c r="A112" t="inlineStr">
        <is>
          <t>0T480</t>
        </is>
      </c>
      <c r="B112" s="23" t="n">
        <v>0</v>
      </c>
      <c r="C112" s="23" t="n">
        <v>0</v>
      </c>
      <c r="D112" s="23" t="n">
        <v>0</v>
      </c>
      <c r="E112" s="23" t="n">
        <v>0</v>
      </c>
      <c r="F112" s="23" t="n">
        <v>0</v>
      </c>
      <c r="G112" s="23" t="n">
        <v>0</v>
      </c>
      <c r="H112" s="23" t="n">
        <v>0</v>
      </c>
      <c r="I112" s="23" t="n">
        <v>0</v>
      </c>
      <c r="J112" s="23" t="n">
        <v>0</v>
      </c>
      <c r="K112" s="23" t="n">
        <v>0</v>
      </c>
      <c r="L112" s="23" t="n">
        <v>0</v>
      </c>
      <c r="M112" s="23" t="n">
        <v>0</v>
      </c>
      <c r="N112" s="23" t="n">
        <v>0</v>
      </c>
      <c r="O112" s="23" t="n">
        <v>0</v>
      </c>
      <c r="P112" s="23" t="n">
        <v>0</v>
      </c>
      <c r="Q112" s="23" t="n">
        <v>0</v>
      </c>
      <c r="R112" s="23" t="n">
        <v>0</v>
      </c>
      <c r="S112" s="23" t="n">
        <v>0</v>
      </c>
      <c r="T112" s="23" t="n">
        <v>0</v>
      </c>
      <c r="U112" s="23" t="n">
        <v>0</v>
      </c>
      <c r="V112" s="23" t="n">
        <v>0</v>
      </c>
      <c r="W112" s="23" t="n">
        <v>0</v>
      </c>
      <c r="X112" s="23" t="n">
        <v>0</v>
      </c>
      <c r="Y112" s="23" t="n">
        <v>0</v>
      </c>
      <c r="Z112" s="23" t="n">
        <v>0</v>
      </c>
      <c r="AA112" s="23" t="n">
        <v>0</v>
      </c>
      <c r="AB112" s="23" t="n">
        <v>0</v>
      </c>
      <c r="AC112" s="23" t="n">
        <v>0</v>
      </c>
      <c r="AD112" s="23" t="n">
        <v>0</v>
      </c>
      <c r="AE112" s="23" t="n">
        <v>0</v>
      </c>
      <c r="AF112" s="23" t="n">
        <v>0</v>
      </c>
      <c r="AG112" s="23" t="n">
        <v>0</v>
      </c>
      <c r="AH112" s="23" t="n">
        <v>0</v>
      </c>
      <c r="AI112" s="23" t="n">
        <v>0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0</v>
      </c>
      <c r="CN112" s="23" t="n">
        <v>0</v>
      </c>
      <c r="CO112" s="23" t="n">
        <v>0</v>
      </c>
      <c r="CP112" s="23" t="n">
        <v>0</v>
      </c>
      <c r="CQ112" s="23" t="n">
        <v>0</v>
      </c>
      <c r="CR112" s="23" t="n">
        <v>0</v>
      </c>
      <c r="CS112" s="23" t="n">
        <v>0</v>
      </c>
      <c r="CT112" s="23" t="n">
        <v>0</v>
      </c>
      <c r="CU112" s="23" t="n">
        <v>0</v>
      </c>
      <c r="CV112" s="23" t="n">
        <v>0</v>
      </c>
      <c r="CW112" s="23" t="n">
        <v>0</v>
      </c>
      <c r="CX112" s="23" t="n">
        <v>0</v>
      </c>
      <c r="CY112" s="23" t="n">
        <v>0</v>
      </c>
      <c r="CZ112" s="23" t="n">
        <v>0</v>
      </c>
      <c r="DA112" s="23" t="n">
        <v>0</v>
      </c>
    </row>
    <row r="113">
      <c r="A113" t="inlineStr">
        <is>
          <t>0T490</t>
        </is>
      </c>
      <c r="B113" s="23" t="n">
        <v>0</v>
      </c>
      <c r="C113" s="23" t="n">
        <v>0</v>
      </c>
      <c r="D113" s="23" t="n">
        <v>0</v>
      </c>
      <c r="E113" s="23" t="n">
        <v>0</v>
      </c>
      <c r="F113" s="23" t="n">
        <v>0</v>
      </c>
      <c r="G113" s="23" t="n">
        <v>0</v>
      </c>
      <c r="H113" s="23" t="n">
        <v>0</v>
      </c>
      <c r="I113" s="23" t="n">
        <v>0</v>
      </c>
      <c r="J113" s="23" t="n">
        <v>0</v>
      </c>
      <c r="K113" s="23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3" t="n">
        <v>0</v>
      </c>
      <c r="R113" s="23" t="n">
        <v>0</v>
      </c>
      <c r="S113" s="23" t="n">
        <v>0</v>
      </c>
      <c r="T113" s="23" t="n">
        <v>0</v>
      </c>
      <c r="U113" s="23" t="n">
        <v>0</v>
      </c>
      <c r="V113" s="23" t="n">
        <v>0</v>
      </c>
      <c r="W113" s="23" t="n">
        <v>0</v>
      </c>
      <c r="X113" s="23" t="n">
        <v>0</v>
      </c>
      <c r="Y113" s="23" t="n">
        <v>0</v>
      </c>
      <c r="Z113" s="23" t="n">
        <v>0</v>
      </c>
      <c r="AA113" s="23" t="n">
        <v>0</v>
      </c>
      <c r="AB113" s="23" t="n">
        <v>0</v>
      </c>
      <c r="AC113" s="23" t="n">
        <v>0</v>
      </c>
      <c r="AD113" s="23" t="n">
        <v>0</v>
      </c>
      <c r="AE113" s="23" t="n">
        <v>0</v>
      </c>
      <c r="AF113" s="23" t="n">
        <v>0</v>
      </c>
      <c r="AG113" s="23" t="n">
        <v>0</v>
      </c>
      <c r="AH113" s="23" t="n">
        <v>0</v>
      </c>
      <c r="AI113" s="23" t="n">
        <v>0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0</v>
      </c>
      <c r="CW113" s="23" t="n">
        <v>0</v>
      </c>
      <c r="CX113" s="23" t="n">
        <v>0</v>
      </c>
      <c r="CY113" s="23" t="n">
        <v>0</v>
      </c>
      <c r="CZ113" s="23" t="n">
        <v>0</v>
      </c>
      <c r="DA113" s="23" t="n">
        <v>0</v>
      </c>
    </row>
    <row r="114">
      <c r="A114" t="inlineStr">
        <is>
          <t>0T500</t>
        </is>
      </c>
      <c r="B114" s="23" t="n">
        <v>0</v>
      </c>
      <c r="C114" s="23" t="n">
        <v>0</v>
      </c>
      <c r="D114" s="23" t="n">
        <v>0</v>
      </c>
      <c r="E114" s="23" t="n">
        <v>0</v>
      </c>
      <c r="F114" s="23" t="n">
        <v>0</v>
      </c>
      <c r="G114" s="23" t="n">
        <v>0</v>
      </c>
      <c r="H114" s="23" t="n">
        <v>0</v>
      </c>
      <c r="I114" s="23" t="n">
        <v>0</v>
      </c>
      <c r="J114" s="23" t="n">
        <v>0</v>
      </c>
      <c r="K114" s="23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3" t="n">
        <v>0</v>
      </c>
      <c r="R114" s="23" t="n">
        <v>0</v>
      </c>
      <c r="S114" s="23" t="n">
        <v>0</v>
      </c>
      <c r="T114" s="23" t="n">
        <v>0</v>
      </c>
      <c r="U114" s="23" t="n">
        <v>0</v>
      </c>
      <c r="V114" s="23" t="n">
        <v>0</v>
      </c>
      <c r="W114" s="23" t="n">
        <v>0</v>
      </c>
      <c r="X114" s="23" t="n">
        <v>0</v>
      </c>
      <c r="Y114" s="23" t="n">
        <v>0</v>
      </c>
      <c r="Z114" s="23" t="n">
        <v>0</v>
      </c>
      <c r="AA114" s="23" t="n">
        <v>0</v>
      </c>
      <c r="AB114" s="23" t="n">
        <v>0</v>
      </c>
      <c r="AC114" s="23" t="n">
        <v>0</v>
      </c>
      <c r="AD114" s="23" t="n">
        <v>0</v>
      </c>
      <c r="AE114" s="23" t="n">
        <v>0</v>
      </c>
      <c r="AF114" s="23" t="n">
        <v>0</v>
      </c>
      <c r="AG114" s="23" t="n">
        <v>0</v>
      </c>
      <c r="AH114" s="23" t="n">
        <v>0</v>
      </c>
      <c r="AI114" s="23" t="n">
        <v>0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0</v>
      </c>
      <c r="CW114" s="23" t="n">
        <v>0</v>
      </c>
      <c r="CX114" s="23" t="n">
        <v>0</v>
      </c>
      <c r="CY114" s="23" t="n">
        <v>0</v>
      </c>
      <c r="CZ114" s="23" t="n">
        <v>0</v>
      </c>
      <c r="DA114" s="23" t="n">
        <v>0</v>
      </c>
    </row>
    <row r="115">
      <c r="A115" t="inlineStr">
        <is>
          <t>0T690</t>
        </is>
      </c>
      <c r="B115" s="23" t="n">
        <v>0</v>
      </c>
      <c r="C115" s="23" t="n">
        <v>0</v>
      </c>
      <c r="D115" s="23" t="n">
        <v>0</v>
      </c>
      <c r="E115" s="23" t="n">
        <v>0</v>
      </c>
      <c r="F115" s="23" t="n">
        <v>0</v>
      </c>
      <c r="G115" s="23" t="n">
        <v>0</v>
      </c>
      <c r="H115" s="23" t="n">
        <v>0</v>
      </c>
      <c r="I115" s="23" t="n">
        <v>0</v>
      </c>
      <c r="J115" s="23" t="n">
        <v>0</v>
      </c>
      <c r="K115" s="23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3" t="n">
        <v>0</v>
      </c>
      <c r="R115" s="23" t="n">
        <v>0</v>
      </c>
      <c r="S115" s="23" t="n">
        <v>0</v>
      </c>
      <c r="T115" s="23" t="n">
        <v>0</v>
      </c>
      <c r="U115" s="23" t="n">
        <v>0</v>
      </c>
      <c r="V115" s="23" t="n">
        <v>0</v>
      </c>
      <c r="W115" s="23" t="n">
        <v>0</v>
      </c>
      <c r="X115" s="23" t="n">
        <v>0</v>
      </c>
      <c r="Y115" s="23" t="n">
        <v>0</v>
      </c>
      <c r="Z115" s="23" t="n">
        <v>0</v>
      </c>
      <c r="AA115" s="23" t="n">
        <v>0</v>
      </c>
      <c r="AB115" s="23" t="n">
        <v>0</v>
      </c>
      <c r="AC115" s="23" t="n">
        <v>0</v>
      </c>
      <c r="AD115" s="23" t="n">
        <v>0</v>
      </c>
      <c r="AE115" s="23" t="n">
        <v>0</v>
      </c>
      <c r="AF115" s="23" t="n">
        <v>0</v>
      </c>
      <c r="AG115" s="23" t="n">
        <v>0</v>
      </c>
      <c r="AH115" s="23" t="n">
        <v>0</v>
      </c>
      <c r="AI115" s="23" t="n">
        <v>0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0</v>
      </c>
      <c r="CQ115" s="23" t="n">
        <v>0</v>
      </c>
      <c r="CR115" s="23" t="n">
        <v>0</v>
      </c>
      <c r="CS115" s="23" t="n">
        <v>0</v>
      </c>
      <c r="CT115" s="23" t="n">
        <v>0</v>
      </c>
      <c r="CU115" s="23" t="n">
        <v>0</v>
      </c>
      <c r="CV115" s="23" t="n">
        <v>0</v>
      </c>
      <c r="CW115" s="23" t="n">
        <v>0</v>
      </c>
      <c r="CX115" s="23" t="n">
        <v>0</v>
      </c>
      <c r="CY115" s="23" t="n">
        <v>0</v>
      </c>
      <c r="CZ115" s="23" t="n">
        <v>0</v>
      </c>
      <c r="DA115" s="23" t="n">
        <v>0</v>
      </c>
    </row>
    <row r="116">
      <c r="A116" t="inlineStr">
        <is>
          <t>0T720</t>
        </is>
      </c>
      <c r="B116" s="23" t="n">
        <v>0</v>
      </c>
      <c r="C116" s="23" t="n">
        <v>0</v>
      </c>
      <c r="D116" s="23" t="n">
        <v>0</v>
      </c>
      <c r="E116" s="23" t="n">
        <v>0</v>
      </c>
      <c r="F116" s="23" t="n">
        <v>0</v>
      </c>
      <c r="G116" s="23" t="n">
        <v>0</v>
      </c>
      <c r="H116" s="23" t="n">
        <v>0</v>
      </c>
      <c r="I116" s="23" t="n">
        <v>0</v>
      </c>
      <c r="J116" s="23" t="n">
        <v>0</v>
      </c>
      <c r="K116" s="23" t="n">
        <v>0</v>
      </c>
      <c r="L116" s="23" t="n">
        <v>0</v>
      </c>
      <c r="M116" s="23" t="n">
        <v>0</v>
      </c>
      <c r="N116" s="23" t="n">
        <v>0</v>
      </c>
      <c r="O116" s="23" t="n">
        <v>0</v>
      </c>
      <c r="P116" s="23" t="n">
        <v>0</v>
      </c>
      <c r="Q116" s="23" t="n">
        <v>0</v>
      </c>
      <c r="R116" s="23" t="n">
        <v>0</v>
      </c>
      <c r="S116" s="23" t="n">
        <v>0</v>
      </c>
      <c r="T116" s="23" t="n">
        <v>0</v>
      </c>
      <c r="U116" s="23" t="n">
        <v>0</v>
      </c>
      <c r="V116" s="23" t="n">
        <v>0</v>
      </c>
      <c r="W116" s="23" t="n">
        <v>0</v>
      </c>
      <c r="X116" s="23" t="n">
        <v>0</v>
      </c>
      <c r="Y116" s="23" t="n">
        <v>0</v>
      </c>
      <c r="Z116" s="23" t="n">
        <v>0</v>
      </c>
      <c r="AA116" s="23" t="n">
        <v>0</v>
      </c>
      <c r="AB116" s="23" t="n">
        <v>0</v>
      </c>
      <c r="AC116" s="23" t="n">
        <v>0</v>
      </c>
      <c r="AD116" s="23" t="n">
        <v>0</v>
      </c>
      <c r="AE116" s="23" t="n">
        <v>0</v>
      </c>
      <c r="AF116" s="23" t="n">
        <v>0</v>
      </c>
      <c r="AG116" s="23" t="n">
        <v>0</v>
      </c>
      <c r="AH116" s="23" t="n">
        <v>0</v>
      </c>
      <c r="AI116" s="23" t="n">
        <v>0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0</v>
      </c>
      <c r="CN116" s="23" t="n">
        <v>0</v>
      </c>
      <c r="CO116" s="23" t="n">
        <v>0</v>
      </c>
      <c r="CP116" s="23" t="n">
        <v>0</v>
      </c>
      <c r="CQ116" s="23" t="n">
        <v>0</v>
      </c>
      <c r="CR116" s="23" t="n">
        <v>0</v>
      </c>
      <c r="CS116" s="23" t="n">
        <v>0</v>
      </c>
      <c r="CT116" s="23" t="n">
        <v>0</v>
      </c>
      <c r="CU116" s="23" t="n">
        <v>0</v>
      </c>
      <c r="CV116" s="23" t="n">
        <v>0</v>
      </c>
      <c r="CW116" s="23" t="n">
        <v>0</v>
      </c>
      <c r="CX116" s="23" t="n">
        <v>0</v>
      </c>
      <c r="CY116" s="23" t="n">
        <v>0</v>
      </c>
      <c r="CZ116" s="23" t="n">
        <v>0</v>
      </c>
      <c r="DA116" s="23" t="n">
        <v>0</v>
      </c>
    </row>
    <row r="117">
      <c r="A117" t="inlineStr">
        <is>
          <t>0T740</t>
        </is>
      </c>
      <c r="B117" s="23" t="n">
        <v>0</v>
      </c>
      <c r="C117" s="23" t="n">
        <v>0</v>
      </c>
      <c r="D117" s="23" t="n">
        <v>0</v>
      </c>
      <c r="E117" s="23" t="n">
        <v>0</v>
      </c>
      <c r="F117" s="23" t="n">
        <v>0</v>
      </c>
      <c r="G117" s="23" t="n">
        <v>0</v>
      </c>
      <c r="H117" s="23" t="n">
        <v>0</v>
      </c>
      <c r="I117" s="23" t="n">
        <v>0</v>
      </c>
      <c r="J117" s="23" t="n">
        <v>0</v>
      </c>
      <c r="K117" s="23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3" t="n">
        <v>0</v>
      </c>
      <c r="R117" s="23" t="n">
        <v>0</v>
      </c>
      <c r="S117" s="23" t="n">
        <v>0</v>
      </c>
      <c r="T117" s="23" t="n">
        <v>0</v>
      </c>
      <c r="U117" s="23" t="n">
        <v>0</v>
      </c>
      <c r="V117" s="23" t="n">
        <v>0</v>
      </c>
      <c r="W117" s="23" t="n">
        <v>0</v>
      </c>
      <c r="X117" s="23" t="n">
        <v>0</v>
      </c>
      <c r="Y117" s="23" t="n">
        <v>0</v>
      </c>
      <c r="Z117" s="23" t="n">
        <v>0</v>
      </c>
      <c r="AA117" s="23" t="n">
        <v>0</v>
      </c>
      <c r="AB117" s="23" t="n">
        <v>0</v>
      </c>
      <c r="AC117" s="23" t="n">
        <v>0</v>
      </c>
      <c r="AD117" s="23" t="n">
        <v>0</v>
      </c>
      <c r="AE117" s="23" t="n">
        <v>0</v>
      </c>
      <c r="AF117" s="23" t="n">
        <v>0</v>
      </c>
      <c r="AG117" s="23" t="n">
        <v>0</v>
      </c>
      <c r="AH117" s="23" t="n">
        <v>0</v>
      </c>
      <c r="AI117" s="23" t="n">
        <v>0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0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0</v>
      </c>
      <c r="CO117" s="23" t="n">
        <v>0</v>
      </c>
      <c r="CP117" s="23" t="n">
        <v>0</v>
      </c>
      <c r="CQ117" s="23" t="n">
        <v>0</v>
      </c>
      <c r="CR117" s="23" t="n">
        <v>0</v>
      </c>
      <c r="CS117" s="23" t="n">
        <v>0</v>
      </c>
      <c r="CT117" s="23" t="n">
        <v>0</v>
      </c>
      <c r="CU117" s="23" t="n">
        <v>0</v>
      </c>
      <c r="CV117" s="23" t="n">
        <v>0</v>
      </c>
      <c r="CW117" s="23" t="n">
        <v>0</v>
      </c>
      <c r="CX117" s="23" t="n">
        <v>0</v>
      </c>
      <c r="CY117" s="23" t="n">
        <v>0</v>
      </c>
      <c r="CZ117" s="23" t="n">
        <v>0</v>
      </c>
      <c r="DA117" s="23" t="n">
        <v>0</v>
      </c>
    </row>
    <row r="118">
      <c r="A118" t="inlineStr">
        <is>
          <t>0T750</t>
        </is>
      </c>
      <c r="B118" s="23" t="n">
        <v>0</v>
      </c>
      <c r="C118" s="23" t="n">
        <v>0</v>
      </c>
      <c r="D118" s="23" t="n">
        <v>0</v>
      </c>
      <c r="E118" s="23" t="n">
        <v>0</v>
      </c>
      <c r="F118" s="23" t="n">
        <v>0</v>
      </c>
      <c r="G118" s="23" t="n">
        <v>0</v>
      </c>
      <c r="H118" s="23" t="n">
        <v>0</v>
      </c>
      <c r="I118" s="23" t="n">
        <v>0</v>
      </c>
      <c r="J118" s="23" t="n">
        <v>0</v>
      </c>
      <c r="K118" s="23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3" t="n">
        <v>0</v>
      </c>
      <c r="R118" s="23" t="n">
        <v>0</v>
      </c>
      <c r="S118" s="23" t="n">
        <v>0</v>
      </c>
      <c r="T118" s="23" t="n">
        <v>0</v>
      </c>
      <c r="U118" s="23" t="n">
        <v>0</v>
      </c>
      <c r="V118" s="23" t="n">
        <v>0</v>
      </c>
      <c r="W118" s="23" t="n">
        <v>0</v>
      </c>
      <c r="X118" s="23" t="n">
        <v>0</v>
      </c>
      <c r="Y118" s="23" t="n">
        <v>0</v>
      </c>
      <c r="Z118" s="23" t="n">
        <v>0</v>
      </c>
      <c r="AA118" s="23" t="n">
        <v>0</v>
      </c>
      <c r="AB118" s="23" t="n">
        <v>0</v>
      </c>
      <c r="AC118" s="23" t="n">
        <v>0</v>
      </c>
      <c r="AD118" s="23" t="n">
        <v>0</v>
      </c>
      <c r="AE118" s="23" t="n">
        <v>0</v>
      </c>
      <c r="AF118" s="23" t="n">
        <v>0</v>
      </c>
      <c r="AG118" s="23" t="n">
        <v>0</v>
      </c>
      <c r="AH118" s="23" t="n">
        <v>0</v>
      </c>
      <c r="AI118" s="23" t="n">
        <v>0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0</v>
      </c>
      <c r="BW118" s="23" t="n">
        <v>0</v>
      </c>
      <c r="BX118" s="23" t="n">
        <v>0</v>
      </c>
      <c r="BY118" s="23" t="n">
        <v>0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0</v>
      </c>
      <c r="CQ118" s="23" t="n">
        <v>0</v>
      </c>
      <c r="CR118" s="23" t="n">
        <v>0</v>
      </c>
      <c r="CS118" s="23" t="n">
        <v>0</v>
      </c>
      <c r="CT118" s="23" t="n">
        <v>0</v>
      </c>
      <c r="CU118" s="23" t="n">
        <v>0</v>
      </c>
      <c r="CV118" s="23" t="n">
        <v>0</v>
      </c>
      <c r="CW118" s="23" t="n">
        <v>0</v>
      </c>
      <c r="CX118" s="23" t="n">
        <v>0</v>
      </c>
      <c r="CY118" s="23" t="n">
        <v>0</v>
      </c>
      <c r="CZ118" s="23" t="n">
        <v>0</v>
      </c>
      <c r="DA118" s="23" t="n">
        <v>0</v>
      </c>
    </row>
    <row r="119">
      <c r="A119" t="inlineStr">
        <is>
          <t>0T860</t>
        </is>
      </c>
      <c r="B119" s="23" t="n">
        <v>0</v>
      </c>
      <c r="C119" s="23" t="n">
        <v>0</v>
      </c>
      <c r="D119" s="23" t="n">
        <v>0</v>
      </c>
      <c r="E119" s="23" t="n">
        <v>0</v>
      </c>
      <c r="F119" s="23" t="n">
        <v>0</v>
      </c>
      <c r="G119" s="23" t="n">
        <v>0</v>
      </c>
      <c r="H119" s="23" t="n">
        <v>0</v>
      </c>
      <c r="I119" s="23" t="n">
        <v>0</v>
      </c>
      <c r="J119" s="23" t="n">
        <v>0</v>
      </c>
      <c r="K119" s="23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3" t="n">
        <v>0</v>
      </c>
      <c r="R119" s="23" t="n">
        <v>0</v>
      </c>
      <c r="S119" s="23" t="n">
        <v>0</v>
      </c>
      <c r="T119" s="23" t="n">
        <v>0</v>
      </c>
      <c r="U119" s="23" t="n">
        <v>0</v>
      </c>
      <c r="V119" s="23" t="n">
        <v>0</v>
      </c>
      <c r="W119" s="23" t="n">
        <v>0</v>
      </c>
      <c r="X119" s="23" t="n">
        <v>0</v>
      </c>
      <c r="Y119" s="23" t="n">
        <v>0</v>
      </c>
      <c r="Z119" s="23" t="n">
        <v>0</v>
      </c>
      <c r="AA119" s="23" t="n">
        <v>0</v>
      </c>
      <c r="AB119" s="23" t="n">
        <v>0</v>
      </c>
      <c r="AC119" s="23" t="n">
        <v>0</v>
      </c>
      <c r="AD119" s="23" t="n">
        <v>0</v>
      </c>
      <c r="AE119" s="23" t="n">
        <v>0</v>
      </c>
      <c r="AF119" s="23" t="n">
        <v>0</v>
      </c>
      <c r="AG119" s="23" t="n">
        <v>0</v>
      </c>
      <c r="AH119" s="23" t="n">
        <v>0</v>
      </c>
      <c r="AI119" s="23" t="n">
        <v>0</v>
      </c>
      <c r="AJ119" s="23" t="n">
        <v>0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0</v>
      </c>
      <c r="BV119" s="23" t="n">
        <v>0</v>
      </c>
      <c r="BW119" s="23" t="n">
        <v>0</v>
      </c>
      <c r="BX119" s="23" t="n">
        <v>0</v>
      </c>
      <c r="BY119" s="23" t="n">
        <v>0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0</v>
      </c>
      <c r="CQ119" s="23" t="n">
        <v>0</v>
      </c>
      <c r="CR119" s="23" t="n">
        <v>0</v>
      </c>
      <c r="CS119" s="23" t="n">
        <v>0</v>
      </c>
      <c r="CT119" s="23" t="n">
        <v>0</v>
      </c>
      <c r="CU119" s="23" t="n">
        <v>0</v>
      </c>
      <c r="CV119" s="23" t="n">
        <v>0</v>
      </c>
      <c r="CW119" s="23" t="n">
        <v>0</v>
      </c>
      <c r="CX119" s="23" t="n">
        <v>0</v>
      </c>
      <c r="CY119" s="23" t="n">
        <v>0</v>
      </c>
      <c r="CZ119" s="23" t="n">
        <v>0</v>
      </c>
      <c r="DA119" s="23" t="n">
        <v>0</v>
      </c>
    </row>
    <row r="120">
      <c r="A120" t="inlineStr">
        <is>
          <t>0T870</t>
        </is>
      </c>
      <c r="B120" s="23" t="n">
        <v>0</v>
      </c>
      <c r="C120" s="23" t="n">
        <v>0</v>
      </c>
      <c r="D120" s="23" t="n">
        <v>0</v>
      </c>
      <c r="E120" s="23" t="n">
        <v>0</v>
      </c>
      <c r="F120" s="23" t="n">
        <v>0</v>
      </c>
      <c r="G120" s="23" t="n">
        <v>0</v>
      </c>
      <c r="H120" s="23" t="n">
        <v>0</v>
      </c>
      <c r="I120" s="23" t="n">
        <v>0</v>
      </c>
      <c r="J120" s="23" t="n">
        <v>0</v>
      </c>
      <c r="K120" s="23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3" t="n">
        <v>0</v>
      </c>
      <c r="R120" s="23" t="n">
        <v>0</v>
      </c>
      <c r="S120" s="23" t="n">
        <v>0</v>
      </c>
      <c r="T120" s="23" t="n">
        <v>0</v>
      </c>
      <c r="U120" s="23" t="n">
        <v>0</v>
      </c>
      <c r="V120" s="23" t="n">
        <v>0</v>
      </c>
      <c r="W120" s="23" t="n">
        <v>0</v>
      </c>
      <c r="X120" s="23" t="n">
        <v>0</v>
      </c>
      <c r="Y120" s="23" t="n">
        <v>0</v>
      </c>
      <c r="Z120" s="23" t="n">
        <v>0</v>
      </c>
      <c r="AA120" s="23" t="n">
        <v>0</v>
      </c>
      <c r="AB120" s="23" t="n">
        <v>0</v>
      </c>
      <c r="AC120" s="23" t="n">
        <v>0</v>
      </c>
      <c r="AD120" s="23" t="n">
        <v>0</v>
      </c>
      <c r="AE120" s="23" t="n">
        <v>0</v>
      </c>
      <c r="AF120" s="23" t="n">
        <v>0</v>
      </c>
      <c r="AG120" s="23" t="n">
        <v>0</v>
      </c>
      <c r="AH120" s="23" t="n">
        <v>0</v>
      </c>
      <c r="AI120" s="23" t="n">
        <v>0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0</v>
      </c>
      <c r="CV120" s="23" t="n">
        <v>0</v>
      </c>
      <c r="CW120" s="23" t="n">
        <v>0</v>
      </c>
      <c r="CX120" s="23" t="n">
        <v>0</v>
      </c>
      <c r="CY120" s="23" t="n">
        <v>0</v>
      </c>
      <c r="CZ120" s="23" t="n">
        <v>0</v>
      </c>
      <c r="DA120" s="23" t="n">
        <v>0</v>
      </c>
    </row>
    <row r="121">
      <c r="A121" t="inlineStr">
        <is>
          <t>0T880</t>
        </is>
      </c>
      <c r="B121" s="23" t="n">
        <v>0</v>
      </c>
      <c r="C121" s="23" t="n">
        <v>0</v>
      </c>
      <c r="D121" s="23" t="n">
        <v>0</v>
      </c>
      <c r="E121" s="23" t="n">
        <v>0</v>
      </c>
      <c r="F121" s="23" t="n">
        <v>0</v>
      </c>
      <c r="G121" s="23" t="n">
        <v>0</v>
      </c>
      <c r="H121" s="23" t="n">
        <v>0</v>
      </c>
      <c r="I121" s="23" t="n">
        <v>0</v>
      </c>
      <c r="J121" s="23" t="n">
        <v>0</v>
      </c>
      <c r="K121" s="23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3" t="n">
        <v>0</v>
      </c>
      <c r="R121" s="23" t="n">
        <v>0</v>
      </c>
      <c r="S121" s="23" t="n">
        <v>0</v>
      </c>
      <c r="T121" s="23" t="n">
        <v>0</v>
      </c>
      <c r="U121" s="23" t="n">
        <v>0</v>
      </c>
      <c r="V121" s="23" t="n">
        <v>0</v>
      </c>
      <c r="W121" s="23" t="n">
        <v>0</v>
      </c>
      <c r="X121" s="23" t="n">
        <v>0</v>
      </c>
      <c r="Y121" s="23" t="n">
        <v>0</v>
      </c>
      <c r="Z121" s="23" t="n">
        <v>0</v>
      </c>
      <c r="AA121" s="23" t="n">
        <v>0</v>
      </c>
      <c r="AB121" s="23" t="n">
        <v>0</v>
      </c>
      <c r="AC121" s="23" t="n">
        <v>0</v>
      </c>
      <c r="AD121" s="23" t="n">
        <v>0</v>
      </c>
      <c r="AE121" s="23" t="n">
        <v>0</v>
      </c>
      <c r="AF121" s="23" t="n">
        <v>0</v>
      </c>
      <c r="AG121" s="23" t="n">
        <v>0</v>
      </c>
      <c r="AH121" s="23" t="n">
        <v>0</v>
      </c>
      <c r="AI121" s="23" t="n">
        <v>0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0</v>
      </c>
      <c r="CW121" s="23" t="n">
        <v>0</v>
      </c>
      <c r="CX121" s="23" t="n">
        <v>0</v>
      </c>
      <c r="CY121" s="23" t="n">
        <v>0</v>
      </c>
      <c r="CZ121" s="23" t="n">
        <v>0</v>
      </c>
      <c r="DA121" s="23" t="n">
        <v>0</v>
      </c>
    </row>
    <row r="122">
      <c r="A122" t="inlineStr">
        <is>
          <t>0TA40</t>
        </is>
      </c>
      <c r="B122" s="23" t="n">
        <v>0</v>
      </c>
      <c r="C122" s="23" t="n">
        <v>0</v>
      </c>
      <c r="D122" s="23" t="n">
        <v>0</v>
      </c>
      <c r="E122" s="23" t="n">
        <v>0</v>
      </c>
      <c r="F122" s="23" t="n">
        <v>0</v>
      </c>
      <c r="G122" s="23" t="n">
        <v>0</v>
      </c>
      <c r="H122" s="23" t="n">
        <v>0</v>
      </c>
      <c r="I122" s="23" t="n">
        <v>0</v>
      </c>
      <c r="J122" s="23" t="n">
        <v>0</v>
      </c>
      <c r="K122" s="23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3" t="n">
        <v>0</v>
      </c>
      <c r="R122" s="23" t="n">
        <v>0</v>
      </c>
      <c r="S122" s="23" t="n">
        <v>0</v>
      </c>
      <c r="T122" s="23" t="n">
        <v>0</v>
      </c>
      <c r="U122" s="23" t="n">
        <v>0</v>
      </c>
      <c r="V122" s="23" t="n">
        <v>0</v>
      </c>
      <c r="W122" s="23" t="n">
        <v>0</v>
      </c>
      <c r="X122" s="23" t="n">
        <v>0</v>
      </c>
      <c r="Y122" s="23" t="n">
        <v>0</v>
      </c>
      <c r="Z122" s="23" t="n">
        <v>0</v>
      </c>
      <c r="AA122" s="23" t="n">
        <v>0</v>
      </c>
      <c r="AB122" s="23" t="n">
        <v>0</v>
      </c>
      <c r="AC122" s="23" t="n">
        <v>0</v>
      </c>
      <c r="AD122" s="23" t="n">
        <v>0</v>
      </c>
      <c r="AE122" s="23" t="n">
        <v>0</v>
      </c>
      <c r="AF122" s="23" t="n">
        <v>0</v>
      </c>
      <c r="AG122" s="23" t="n">
        <v>0</v>
      </c>
      <c r="AH122" s="23" t="n">
        <v>0</v>
      </c>
      <c r="AI122" s="23" t="n">
        <v>0</v>
      </c>
      <c r="AJ122" s="23" t="n">
        <v>0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0</v>
      </c>
      <c r="BV122" s="23" t="n">
        <v>0</v>
      </c>
      <c r="BW122" s="23" t="n">
        <v>0</v>
      </c>
      <c r="BX122" s="23" t="n">
        <v>0</v>
      </c>
      <c r="BY122" s="23" t="n">
        <v>0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0</v>
      </c>
      <c r="CN122" s="23" t="n">
        <v>0</v>
      </c>
      <c r="CO122" s="23" t="n">
        <v>0</v>
      </c>
      <c r="CP122" s="23" t="n">
        <v>0</v>
      </c>
      <c r="CQ122" s="23" t="n">
        <v>0</v>
      </c>
      <c r="CR122" s="23" t="n">
        <v>0</v>
      </c>
      <c r="CS122" s="23" t="n">
        <v>0</v>
      </c>
      <c r="CT122" s="23" t="n">
        <v>0</v>
      </c>
      <c r="CU122" s="23" t="n">
        <v>0</v>
      </c>
      <c r="CV122" s="23" t="n">
        <v>0</v>
      </c>
      <c r="CW122" s="23" t="n">
        <v>0</v>
      </c>
      <c r="CX122" s="23" t="n">
        <v>0</v>
      </c>
      <c r="CY122" s="23" t="n">
        <v>0</v>
      </c>
      <c r="CZ122" s="23" t="n">
        <v>0</v>
      </c>
      <c r="DA122" s="23" t="n">
        <v>0</v>
      </c>
    </row>
    <row r="123">
      <c r="A123" t="inlineStr">
        <is>
          <t>0W750</t>
        </is>
      </c>
      <c r="B123" s="23" t="n">
        <v>0</v>
      </c>
      <c r="C123" s="23" t="n">
        <v>0</v>
      </c>
      <c r="D123" s="23" t="n">
        <v>0</v>
      </c>
      <c r="E123" s="23" t="n">
        <v>0</v>
      </c>
      <c r="F123" s="23" t="n">
        <v>0</v>
      </c>
      <c r="G123" s="23" t="n">
        <v>0</v>
      </c>
      <c r="H123" s="23" t="n">
        <v>0</v>
      </c>
      <c r="I123" s="23" t="n">
        <v>0</v>
      </c>
      <c r="J123" s="23" t="n">
        <v>0</v>
      </c>
      <c r="K123" s="23" t="n">
        <v>0</v>
      </c>
      <c r="L123" s="23" t="n">
        <v>0</v>
      </c>
      <c r="M123" s="23" t="n">
        <v>0</v>
      </c>
      <c r="N123" s="23" t="n">
        <v>0</v>
      </c>
      <c r="O123" s="23" t="n">
        <v>0</v>
      </c>
      <c r="P123" s="23" t="n">
        <v>0</v>
      </c>
      <c r="Q123" s="23" t="n">
        <v>0</v>
      </c>
      <c r="R123" s="23" t="n">
        <v>0</v>
      </c>
      <c r="S123" s="23" t="n">
        <v>0</v>
      </c>
      <c r="T123" s="23" t="n">
        <v>0</v>
      </c>
      <c r="U123" s="23" t="n">
        <v>0</v>
      </c>
      <c r="V123" s="23" t="n">
        <v>0</v>
      </c>
      <c r="W123" s="23" t="n">
        <v>0</v>
      </c>
      <c r="X123" s="23" t="n">
        <v>0</v>
      </c>
      <c r="Y123" s="23" t="n">
        <v>0</v>
      </c>
      <c r="Z123" s="23" t="n">
        <v>0</v>
      </c>
      <c r="AA123" s="23" t="n">
        <v>0</v>
      </c>
      <c r="AB123" s="23" t="n">
        <v>0</v>
      </c>
      <c r="AC123" s="23" t="n">
        <v>0</v>
      </c>
      <c r="AD123" s="23" t="n">
        <v>0</v>
      </c>
      <c r="AE123" s="23" t="n">
        <v>0</v>
      </c>
      <c r="AF123" s="23" t="n">
        <v>0</v>
      </c>
      <c r="AG123" s="23" t="n">
        <v>0</v>
      </c>
      <c r="AH123" s="23" t="n">
        <v>0</v>
      </c>
      <c r="AI123" s="23" t="n">
        <v>0</v>
      </c>
      <c r="AJ123" s="23" t="n">
        <v>0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0</v>
      </c>
      <c r="BQ123" s="23" t="n">
        <v>0</v>
      </c>
      <c r="BR123" s="23" t="n">
        <v>0</v>
      </c>
      <c r="BS123" s="23" t="n">
        <v>0</v>
      </c>
      <c r="BT123" s="23" t="n">
        <v>0</v>
      </c>
      <c r="BU123" s="23" t="n">
        <v>0</v>
      </c>
      <c r="BV123" s="23" t="n">
        <v>0</v>
      </c>
      <c r="BW123" s="23" t="n">
        <v>0</v>
      </c>
      <c r="BX123" s="23" t="n">
        <v>0</v>
      </c>
      <c r="BY123" s="23" t="n">
        <v>0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0</v>
      </c>
      <c r="CN123" s="23" t="n">
        <v>0</v>
      </c>
      <c r="CO123" s="23" t="n">
        <v>0</v>
      </c>
      <c r="CP123" s="23" t="n">
        <v>0</v>
      </c>
      <c r="CQ123" s="23" t="n">
        <v>0</v>
      </c>
      <c r="CR123" s="23" t="n">
        <v>0</v>
      </c>
      <c r="CS123" s="23" t="n">
        <v>0</v>
      </c>
      <c r="CT123" s="23" t="n">
        <v>0</v>
      </c>
      <c r="CU123" s="23" t="n">
        <v>0</v>
      </c>
      <c r="CV123" s="23" t="n">
        <v>0</v>
      </c>
      <c r="CW123" s="23" t="n">
        <v>0</v>
      </c>
      <c r="CX123" s="23" t="n">
        <v>0</v>
      </c>
      <c r="CY123" s="23" t="n">
        <v>0</v>
      </c>
      <c r="CZ123" s="23" t="n">
        <v>0</v>
      </c>
      <c r="DA123" s="23" t="n">
        <v>0</v>
      </c>
    </row>
    <row r="124">
      <c r="A124" t="inlineStr">
        <is>
          <t>0W780</t>
        </is>
      </c>
      <c r="B124" s="23" t="n">
        <v>0</v>
      </c>
      <c r="C124" s="23" t="n">
        <v>0</v>
      </c>
      <c r="D124" s="23" t="n">
        <v>0</v>
      </c>
      <c r="E124" s="23" t="n">
        <v>0</v>
      </c>
      <c r="F124" s="23" t="n">
        <v>0</v>
      </c>
      <c r="G124" s="23" t="n">
        <v>0</v>
      </c>
      <c r="H124" s="23" t="n">
        <v>0</v>
      </c>
      <c r="I124" s="23" t="n">
        <v>0</v>
      </c>
      <c r="J124" s="23" t="n">
        <v>0</v>
      </c>
      <c r="K124" s="23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3" t="n">
        <v>0</v>
      </c>
      <c r="R124" s="23" t="n">
        <v>0</v>
      </c>
      <c r="S124" s="23" t="n">
        <v>0</v>
      </c>
      <c r="T124" s="23" t="n">
        <v>0</v>
      </c>
      <c r="U124" s="23" t="n">
        <v>0</v>
      </c>
      <c r="V124" s="23" t="n">
        <v>0</v>
      </c>
      <c r="W124" s="23" t="n">
        <v>0</v>
      </c>
      <c r="X124" s="23" t="n">
        <v>0</v>
      </c>
      <c r="Y124" s="23" t="n">
        <v>0</v>
      </c>
      <c r="Z124" s="23" t="n">
        <v>0</v>
      </c>
      <c r="AA124" s="23" t="n">
        <v>0</v>
      </c>
      <c r="AB124" s="23" t="n">
        <v>0</v>
      </c>
      <c r="AC124" s="23" t="n">
        <v>0</v>
      </c>
      <c r="AD124" s="23" t="n">
        <v>0</v>
      </c>
      <c r="AE124" s="23" t="n">
        <v>0</v>
      </c>
      <c r="AF124" s="23" t="n">
        <v>0</v>
      </c>
      <c r="AG124" s="23" t="n">
        <v>0</v>
      </c>
      <c r="AH124" s="23" t="n">
        <v>0</v>
      </c>
      <c r="AI124" s="23" t="n">
        <v>0</v>
      </c>
      <c r="AJ124" s="23" t="n">
        <v>0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0</v>
      </c>
      <c r="BP124" s="23" t="n">
        <v>0</v>
      </c>
      <c r="BQ124" s="23" t="n">
        <v>0</v>
      </c>
      <c r="BR124" s="23" t="n">
        <v>0</v>
      </c>
      <c r="BS124" s="23" t="n">
        <v>0</v>
      </c>
      <c r="BT124" s="23" t="n">
        <v>0</v>
      </c>
      <c r="BU124" s="23" t="n">
        <v>0</v>
      </c>
      <c r="BV124" s="23" t="n">
        <v>0</v>
      </c>
      <c r="BW124" s="23" t="n">
        <v>0</v>
      </c>
      <c r="BX124" s="23" t="n">
        <v>0</v>
      </c>
      <c r="BY124" s="23" t="n">
        <v>0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0</v>
      </c>
      <c r="CN124" s="23" t="n">
        <v>0</v>
      </c>
      <c r="CO124" s="23" t="n">
        <v>0</v>
      </c>
      <c r="CP124" s="23" t="n">
        <v>0</v>
      </c>
      <c r="CQ124" s="23" t="n">
        <v>0</v>
      </c>
      <c r="CR124" s="23" t="n">
        <v>0</v>
      </c>
      <c r="CS124" s="23" t="n">
        <v>0</v>
      </c>
      <c r="CT124" s="23" t="n">
        <v>0</v>
      </c>
      <c r="CU124" s="23" t="n">
        <v>0</v>
      </c>
      <c r="CV124" s="23" t="n">
        <v>0</v>
      </c>
      <c r="CW124" s="23" t="n">
        <v>0</v>
      </c>
      <c r="CX124" s="23" t="n">
        <v>0</v>
      </c>
      <c r="CY124" s="23" t="n">
        <v>0</v>
      </c>
      <c r="CZ124" s="23" t="n">
        <v>0</v>
      </c>
      <c r="DA124" s="23" t="n">
        <v>0</v>
      </c>
    </row>
    <row r="125">
      <c r="A125" t="inlineStr">
        <is>
          <t>0Y460</t>
        </is>
      </c>
      <c r="B125" s="23" t="n">
        <v>0</v>
      </c>
      <c r="C125" s="23" t="n">
        <v>0</v>
      </c>
      <c r="D125" s="23" t="n">
        <v>0</v>
      </c>
      <c r="E125" s="23" t="n">
        <v>0</v>
      </c>
      <c r="F125" s="23" t="n">
        <v>0</v>
      </c>
      <c r="G125" s="23" t="n">
        <v>0</v>
      </c>
      <c r="H125" s="23" t="n">
        <v>0</v>
      </c>
      <c r="I125" s="23" t="n">
        <v>0</v>
      </c>
      <c r="J125" s="23" t="n">
        <v>0</v>
      </c>
      <c r="K125" s="23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3" t="n">
        <v>0</v>
      </c>
      <c r="R125" s="23" t="n">
        <v>0</v>
      </c>
      <c r="S125" s="23" t="n">
        <v>0</v>
      </c>
      <c r="T125" s="23" t="n">
        <v>0</v>
      </c>
      <c r="U125" s="23" t="n">
        <v>0</v>
      </c>
      <c r="V125" s="23" t="n">
        <v>0</v>
      </c>
      <c r="W125" s="23" t="n">
        <v>0</v>
      </c>
      <c r="X125" s="23" t="n">
        <v>0</v>
      </c>
      <c r="Y125" s="23" t="n">
        <v>0</v>
      </c>
      <c r="Z125" s="23" t="n">
        <v>0</v>
      </c>
      <c r="AA125" s="23" t="n">
        <v>0</v>
      </c>
      <c r="AB125" s="23" t="n">
        <v>0</v>
      </c>
      <c r="AC125" s="23" t="n">
        <v>0</v>
      </c>
      <c r="AD125" s="23" t="n">
        <v>0</v>
      </c>
      <c r="AE125" s="23" t="n">
        <v>0</v>
      </c>
      <c r="AF125" s="23" t="n">
        <v>0</v>
      </c>
      <c r="AG125" s="23" t="n">
        <v>0</v>
      </c>
      <c r="AH125" s="23" t="n">
        <v>0</v>
      </c>
      <c r="AI125" s="23" t="n">
        <v>0</v>
      </c>
      <c r="AJ125" s="23" t="n">
        <v>0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0</v>
      </c>
      <c r="BP125" s="23" t="n">
        <v>0</v>
      </c>
      <c r="BQ125" s="23" t="n">
        <v>0</v>
      </c>
      <c r="BR125" s="23" t="n">
        <v>0</v>
      </c>
      <c r="BS125" s="23" t="n">
        <v>0</v>
      </c>
      <c r="BT125" s="23" t="n">
        <v>0</v>
      </c>
      <c r="BU125" s="23" t="n">
        <v>0</v>
      </c>
      <c r="BV125" s="23" t="n">
        <v>0</v>
      </c>
      <c r="BW125" s="23" t="n">
        <v>0</v>
      </c>
      <c r="BX125" s="23" t="n">
        <v>0</v>
      </c>
      <c r="BY125" s="23" t="n">
        <v>0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0</v>
      </c>
      <c r="CN125" s="23" t="n">
        <v>0</v>
      </c>
      <c r="CO125" s="23" t="n">
        <v>0</v>
      </c>
      <c r="CP125" s="23" t="n">
        <v>0</v>
      </c>
      <c r="CQ125" s="23" t="n">
        <v>0</v>
      </c>
      <c r="CR125" s="23" t="n">
        <v>0</v>
      </c>
      <c r="CS125" s="23" t="n">
        <v>0</v>
      </c>
      <c r="CT125" s="23" t="n">
        <v>0</v>
      </c>
      <c r="CU125" s="23" t="n">
        <v>0</v>
      </c>
      <c r="CV125" s="23" t="n">
        <v>0</v>
      </c>
      <c r="CW125" s="23" t="n">
        <v>0</v>
      </c>
      <c r="CX125" s="23" t="n">
        <v>0</v>
      </c>
      <c r="CY125" s="23" t="n">
        <v>0</v>
      </c>
      <c r="CZ125" s="23" t="n">
        <v>0</v>
      </c>
      <c r="DA125" s="23" t="n">
        <v>0</v>
      </c>
    </row>
    <row r="126">
      <c r="A126" t="inlineStr">
        <is>
          <t>F0220</t>
        </is>
      </c>
      <c r="B126" s="23" t="n">
        <v>0</v>
      </c>
      <c r="C126" s="23" t="n">
        <v>0</v>
      </c>
      <c r="D126" s="23" t="n">
        <v>0</v>
      </c>
      <c r="E126" s="23" t="n">
        <v>0</v>
      </c>
      <c r="F126" s="23" t="n">
        <v>0</v>
      </c>
      <c r="G126" s="23" t="n">
        <v>0</v>
      </c>
      <c r="H126" s="23" t="n">
        <v>0</v>
      </c>
      <c r="I126" s="23" t="n">
        <v>0</v>
      </c>
      <c r="J126" s="23" t="n">
        <v>0</v>
      </c>
      <c r="K126" s="23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3" t="n">
        <v>0</v>
      </c>
      <c r="R126" s="23" t="n">
        <v>0</v>
      </c>
      <c r="S126" s="23" t="n">
        <v>0</v>
      </c>
      <c r="T126" s="23" t="n">
        <v>0</v>
      </c>
      <c r="U126" s="23" t="n">
        <v>0</v>
      </c>
      <c r="V126" s="23" t="n">
        <v>0</v>
      </c>
      <c r="W126" s="23" t="n">
        <v>0</v>
      </c>
      <c r="X126" s="23" t="n">
        <v>0</v>
      </c>
      <c r="Y126" s="23" t="n">
        <v>0</v>
      </c>
      <c r="Z126" s="23" t="n">
        <v>0</v>
      </c>
      <c r="AA126" s="23" t="n">
        <v>0</v>
      </c>
      <c r="AB126" s="23" t="n">
        <v>0</v>
      </c>
      <c r="AC126" s="23" t="n">
        <v>0</v>
      </c>
      <c r="AD126" s="23" t="n">
        <v>0</v>
      </c>
      <c r="AE126" s="23" t="n">
        <v>0</v>
      </c>
      <c r="AF126" s="23" t="n">
        <v>0</v>
      </c>
      <c r="AG126" s="23" t="n">
        <v>0</v>
      </c>
      <c r="AH126" s="23" t="n">
        <v>0</v>
      </c>
      <c r="AI126" s="23" t="n">
        <v>0</v>
      </c>
      <c r="AJ126" s="23" t="n">
        <v>0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0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0</v>
      </c>
      <c r="BP126" s="23" t="n">
        <v>0</v>
      </c>
      <c r="BQ126" s="23" t="n">
        <v>0</v>
      </c>
      <c r="BR126" s="23" t="n">
        <v>0</v>
      </c>
      <c r="BS126" s="23" t="n">
        <v>0</v>
      </c>
      <c r="BT126" s="23" t="n">
        <v>0</v>
      </c>
      <c r="BU126" s="23" t="n">
        <v>0</v>
      </c>
      <c r="BV126" s="23" t="n">
        <v>0</v>
      </c>
      <c r="BW126" s="23" t="n">
        <v>0</v>
      </c>
      <c r="BX126" s="23" t="n">
        <v>0</v>
      </c>
      <c r="BY126" s="23" t="n">
        <v>0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0</v>
      </c>
      <c r="CN126" s="23" t="n">
        <v>0</v>
      </c>
      <c r="CO126" s="23" t="n">
        <v>0</v>
      </c>
      <c r="CP126" s="23" t="n">
        <v>0</v>
      </c>
      <c r="CQ126" s="23" t="n">
        <v>0</v>
      </c>
      <c r="CR126" s="23" t="n">
        <v>0</v>
      </c>
      <c r="CS126" s="23" t="n">
        <v>0</v>
      </c>
      <c r="CT126" s="23" t="n">
        <v>0</v>
      </c>
      <c r="CU126" s="23" t="n">
        <v>0</v>
      </c>
      <c r="CV126" s="23" t="n">
        <v>0</v>
      </c>
      <c r="CW126" s="23" t="n">
        <v>0</v>
      </c>
      <c r="CX126" s="23" t="n">
        <v>0</v>
      </c>
      <c r="CY126" s="23" t="n">
        <v>0</v>
      </c>
      <c r="CZ126" s="23" t="n">
        <v>0</v>
      </c>
      <c r="DA126" s="23" t="n">
        <v>0</v>
      </c>
    </row>
    <row r="127">
      <c r="A127" t="inlineStr">
        <is>
          <t>F2100</t>
        </is>
      </c>
      <c r="B127" s="23" t="n">
        <v>0</v>
      </c>
      <c r="C127" s="23" t="n">
        <v>0</v>
      </c>
      <c r="D127" s="23" t="n">
        <v>0</v>
      </c>
      <c r="E127" s="23" t="n">
        <v>0</v>
      </c>
      <c r="F127" s="23" t="n">
        <v>0</v>
      </c>
      <c r="G127" s="23" t="n">
        <v>0</v>
      </c>
      <c r="H127" s="23" t="n">
        <v>0</v>
      </c>
      <c r="I127" s="23" t="n">
        <v>0</v>
      </c>
      <c r="J127" s="23" t="n">
        <v>0</v>
      </c>
      <c r="K127" s="23" t="n">
        <v>0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0</v>
      </c>
      <c r="Q127" s="23" t="n">
        <v>0</v>
      </c>
      <c r="R127" s="23" t="n">
        <v>0</v>
      </c>
      <c r="S127" s="23" t="n">
        <v>0</v>
      </c>
      <c r="T127" s="23" t="n">
        <v>0</v>
      </c>
      <c r="U127" s="23" t="n">
        <v>0</v>
      </c>
      <c r="V127" s="23" t="n">
        <v>0</v>
      </c>
      <c r="W127" s="23" t="n">
        <v>0</v>
      </c>
      <c r="X127" s="23" t="n">
        <v>0</v>
      </c>
      <c r="Y127" s="23" t="n">
        <v>0</v>
      </c>
      <c r="Z127" s="23" t="n">
        <v>0</v>
      </c>
      <c r="AA127" s="23" t="n">
        <v>0</v>
      </c>
      <c r="AB127" s="23" t="n">
        <v>0</v>
      </c>
      <c r="AC127" s="23" t="n">
        <v>0</v>
      </c>
      <c r="AD127" s="23" t="n">
        <v>0</v>
      </c>
      <c r="AE127" s="23" t="n">
        <v>0</v>
      </c>
      <c r="AF127" s="23" t="n">
        <v>0</v>
      </c>
      <c r="AG127" s="23" t="n">
        <v>0</v>
      </c>
      <c r="AH127" s="23" t="n">
        <v>0</v>
      </c>
      <c r="AI127" s="23" t="n">
        <v>0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0</v>
      </c>
      <c r="CT127" s="23" t="n">
        <v>0</v>
      </c>
      <c r="CU127" s="23" t="n">
        <v>0</v>
      </c>
      <c r="CV127" s="23" t="n">
        <v>0</v>
      </c>
      <c r="CW127" s="23" t="n">
        <v>0</v>
      </c>
      <c r="CX127" s="23" t="n">
        <v>0</v>
      </c>
      <c r="CY127" s="23" t="n">
        <v>0</v>
      </c>
      <c r="CZ127" s="23" t="n">
        <v>0</v>
      </c>
      <c r="DA127" s="23" t="n">
        <v>0</v>
      </c>
    </row>
    <row r="128">
      <c r="A128" t="inlineStr">
        <is>
          <t>F2180</t>
        </is>
      </c>
      <c r="B128" s="23" t="n">
        <v>0</v>
      </c>
      <c r="C128" s="23" t="n">
        <v>0</v>
      </c>
      <c r="D128" s="23" t="n">
        <v>0</v>
      </c>
      <c r="E128" s="23" t="n">
        <v>0</v>
      </c>
      <c r="F128" s="23" t="n">
        <v>0</v>
      </c>
      <c r="G128" s="23" t="n">
        <v>0</v>
      </c>
      <c r="H128" s="23" t="n">
        <v>0</v>
      </c>
      <c r="I128" s="23" t="n">
        <v>0</v>
      </c>
      <c r="J128" s="23" t="n">
        <v>0</v>
      </c>
      <c r="K128" s="23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3" t="n">
        <v>0</v>
      </c>
      <c r="R128" s="23" t="n">
        <v>0</v>
      </c>
      <c r="S128" s="23" t="n">
        <v>0</v>
      </c>
      <c r="T128" s="23" t="n">
        <v>0</v>
      </c>
      <c r="U128" s="23" t="n">
        <v>0</v>
      </c>
      <c r="V128" s="23" t="n">
        <v>0</v>
      </c>
      <c r="W128" s="23" t="n">
        <v>0</v>
      </c>
      <c r="X128" s="23" t="n">
        <v>0</v>
      </c>
      <c r="Y128" s="23" t="n">
        <v>0</v>
      </c>
      <c r="Z128" s="23" t="n">
        <v>0</v>
      </c>
      <c r="AA128" s="23" t="n">
        <v>0</v>
      </c>
      <c r="AB128" s="23" t="n">
        <v>0</v>
      </c>
      <c r="AC128" s="23" t="n">
        <v>0</v>
      </c>
      <c r="AD128" s="23" t="n">
        <v>0</v>
      </c>
      <c r="AE128" s="23" t="n">
        <v>0</v>
      </c>
      <c r="AF128" s="23" t="n">
        <v>0</v>
      </c>
      <c r="AG128" s="23" t="n">
        <v>0</v>
      </c>
      <c r="AH128" s="23" t="n">
        <v>0</v>
      </c>
      <c r="AI128" s="23" t="n">
        <v>0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0</v>
      </c>
      <c r="CS128" s="23" t="n">
        <v>0</v>
      </c>
      <c r="CT128" s="23" t="n">
        <v>0</v>
      </c>
      <c r="CU128" s="23" t="n">
        <v>0</v>
      </c>
      <c r="CV128" s="23" t="n">
        <v>0</v>
      </c>
      <c r="CW128" s="23" t="n">
        <v>0</v>
      </c>
      <c r="CX128" s="23" t="n">
        <v>0</v>
      </c>
      <c r="CY128" s="23" t="n">
        <v>0</v>
      </c>
      <c r="CZ128" s="23" t="n">
        <v>0</v>
      </c>
      <c r="DA128" s="23" t="n">
        <v>0</v>
      </c>
    </row>
    <row r="129">
      <c r="A129" t="inlineStr">
        <is>
          <t>F2210</t>
        </is>
      </c>
      <c r="B129" s="23" t="n">
        <v>0</v>
      </c>
      <c r="C129" s="23" t="n">
        <v>0</v>
      </c>
      <c r="D129" s="23" t="n">
        <v>0</v>
      </c>
      <c r="E129" s="23" t="n">
        <v>0</v>
      </c>
      <c r="F129" s="23" t="n">
        <v>0</v>
      </c>
      <c r="G129" s="23" t="n">
        <v>0</v>
      </c>
      <c r="H129" s="23" t="n">
        <v>0</v>
      </c>
      <c r="I129" s="23" t="n">
        <v>0</v>
      </c>
      <c r="J129" s="23" t="n">
        <v>0</v>
      </c>
      <c r="K129" s="23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3" t="n">
        <v>0</v>
      </c>
      <c r="R129" s="23" t="n">
        <v>0</v>
      </c>
      <c r="S129" s="23" t="n">
        <v>0</v>
      </c>
      <c r="T129" s="23" t="n">
        <v>0</v>
      </c>
      <c r="U129" s="23" t="n">
        <v>0</v>
      </c>
      <c r="V129" s="23" t="n">
        <v>0</v>
      </c>
      <c r="W129" s="23" t="n">
        <v>0</v>
      </c>
      <c r="X129" s="23" t="n">
        <v>0</v>
      </c>
      <c r="Y129" s="23" t="n">
        <v>0</v>
      </c>
      <c r="Z129" s="23" t="n">
        <v>0</v>
      </c>
      <c r="AA129" s="23" t="n">
        <v>0</v>
      </c>
      <c r="AB129" s="23" t="n">
        <v>0</v>
      </c>
      <c r="AC129" s="23" t="n">
        <v>0</v>
      </c>
      <c r="AD129" s="23" t="n">
        <v>0</v>
      </c>
      <c r="AE129" s="23" t="n">
        <v>0</v>
      </c>
      <c r="AF129" s="23" t="n">
        <v>0</v>
      </c>
      <c r="AG129" s="23" t="n">
        <v>0</v>
      </c>
      <c r="AH129" s="23" t="n">
        <v>0</v>
      </c>
      <c r="AI129" s="23" t="n">
        <v>0</v>
      </c>
      <c r="AJ129" s="23" t="n">
        <v>0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0</v>
      </c>
      <c r="BQ129" s="23" t="n">
        <v>0</v>
      </c>
      <c r="BR129" s="23" t="n">
        <v>0</v>
      </c>
      <c r="BS129" s="23" t="n">
        <v>0</v>
      </c>
      <c r="BT129" s="23" t="n">
        <v>0</v>
      </c>
      <c r="BU129" s="23" t="n">
        <v>0</v>
      </c>
      <c r="BV129" s="23" t="n">
        <v>0</v>
      </c>
      <c r="BW129" s="23" t="n">
        <v>0</v>
      </c>
      <c r="BX129" s="23" t="n">
        <v>0</v>
      </c>
      <c r="BY129" s="23" t="n">
        <v>0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0</v>
      </c>
      <c r="CN129" s="23" t="n">
        <v>0</v>
      </c>
      <c r="CO129" s="23" t="n">
        <v>0</v>
      </c>
      <c r="CP129" s="23" t="n">
        <v>0</v>
      </c>
      <c r="CQ129" s="23" t="n">
        <v>0</v>
      </c>
      <c r="CR129" s="23" t="n">
        <v>0</v>
      </c>
      <c r="CS129" s="23" t="n">
        <v>0</v>
      </c>
      <c r="CT129" s="23" t="n">
        <v>0</v>
      </c>
      <c r="CU129" s="23" t="n">
        <v>0</v>
      </c>
      <c r="CV129" s="23" t="n">
        <v>0</v>
      </c>
      <c r="CW129" s="23" t="n">
        <v>0</v>
      </c>
      <c r="CX129" s="23" t="n">
        <v>0</v>
      </c>
      <c r="CY129" s="23" t="n">
        <v>0</v>
      </c>
      <c r="CZ129" s="23" t="n">
        <v>0</v>
      </c>
      <c r="DA129" s="23" t="n">
        <v>0</v>
      </c>
    </row>
    <row r="130">
      <c r="A130" t="inlineStr">
        <is>
          <t>F2350</t>
        </is>
      </c>
      <c r="B130" s="23" t="n">
        <v>0</v>
      </c>
      <c r="C130" s="23" t="n">
        <v>0</v>
      </c>
      <c r="D130" s="23" t="n">
        <v>0</v>
      </c>
      <c r="E130" s="23" t="n">
        <v>0</v>
      </c>
      <c r="F130" s="23" t="n">
        <v>0</v>
      </c>
      <c r="G130" s="23" t="n">
        <v>0</v>
      </c>
      <c r="H130" s="23" t="n">
        <v>0</v>
      </c>
      <c r="I130" s="23" t="n">
        <v>0</v>
      </c>
      <c r="J130" s="23" t="n">
        <v>0</v>
      </c>
      <c r="K130" s="23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3" t="n">
        <v>0</v>
      </c>
      <c r="R130" s="23" t="n">
        <v>0</v>
      </c>
      <c r="S130" s="23" t="n">
        <v>0</v>
      </c>
      <c r="T130" s="23" t="n">
        <v>0</v>
      </c>
      <c r="U130" s="23" t="n">
        <v>0</v>
      </c>
      <c r="V130" s="23" t="n">
        <v>0</v>
      </c>
      <c r="W130" s="23" t="n">
        <v>0</v>
      </c>
      <c r="X130" s="23" t="n">
        <v>0</v>
      </c>
      <c r="Y130" s="23" t="n">
        <v>0</v>
      </c>
      <c r="Z130" s="23" t="n">
        <v>0</v>
      </c>
      <c r="AA130" s="23" t="n">
        <v>0</v>
      </c>
      <c r="AB130" s="23" t="n">
        <v>0</v>
      </c>
      <c r="AC130" s="23" t="n">
        <v>0</v>
      </c>
      <c r="AD130" s="23" t="n">
        <v>0</v>
      </c>
      <c r="AE130" s="23" t="n">
        <v>0</v>
      </c>
      <c r="AF130" s="23" t="n">
        <v>0</v>
      </c>
      <c r="AG130" s="23" t="n">
        <v>0</v>
      </c>
      <c r="AH130" s="23" t="n">
        <v>0</v>
      </c>
      <c r="AI130" s="23" t="n">
        <v>0</v>
      </c>
      <c r="AJ130" s="23" t="n">
        <v>0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0</v>
      </c>
      <c r="BQ130" s="23" t="n">
        <v>0</v>
      </c>
      <c r="BR130" s="23" t="n">
        <v>0</v>
      </c>
      <c r="BS130" s="23" t="n">
        <v>0</v>
      </c>
      <c r="BT130" s="23" t="n">
        <v>0</v>
      </c>
      <c r="BU130" s="23" t="n">
        <v>0</v>
      </c>
      <c r="BV130" s="23" t="n">
        <v>0</v>
      </c>
      <c r="BW130" s="23" t="n">
        <v>0</v>
      </c>
      <c r="BX130" s="23" t="n">
        <v>0</v>
      </c>
      <c r="BY130" s="23" t="n">
        <v>0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0</v>
      </c>
      <c r="CN130" s="23" t="n">
        <v>0</v>
      </c>
      <c r="CO130" s="23" t="n">
        <v>0</v>
      </c>
      <c r="CP130" s="23" t="n">
        <v>0</v>
      </c>
      <c r="CQ130" s="23" t="n">
        <v>0</v>
      </c>
      <c r="CR130" s="23" t="n">
        <v>0</v>
      </c>
      <c r="CS130" s="23" t="n">
        <v>0</v>
      </c>
      <c r="CT130" s="23" t="n">
        <v>0</v>
      </c>
      <c r="CU130" s="23" t="n">
        <v>0</v>
      </c>
      <c r="CV130" s="23" t="n">
        <v>0</v>
      </c>
      <c r="CW130" s="23" t="n">
        <v>0</v>
      </c>
      <c r="CX130" s="23" t="n">
        <v>0</v>
      </c>
      <c r="CY130" s="23" t="n">
        <v>0</v>
      </c>
      <c r="CZ130" s="23" t="n">
        <v>0</v>
      </c>
      <c r="DA130" s="23" t="n">
        <v>0</v>
      </c>
    </row>
    <row r="131">
      <c r="A131" t="inlineStr">
        <is>
          <t>F3060</t>
        </is>
      </c>
      <c r="B131" s="23" t="n">
        <v>0</v>
      </c>
      <c r="C131" s="23" t="n">
        <v>0</v>
      </c>
      <c r="D131" s="23" t="n">
        <v>0</v>
      </c>
      <c r="E131" s="23" t="n">
        <v>0</v>
      </c>
      <c r="F131" s="23" t="n">
        <v>0</v>
      </c>
      <c r="G131" s="23" t="n">
        <v>0</v>
      </c>
      <c r="H131" s="23" t="n">
        <v>0</v>
      </c>
      <c r="I131" s="23" t="n">
        <v>0</v>
      </c>
      <c r="J131" s="23" t="n">
        <v>0</v>
      </c>
      <c r="K131" s="23" t="n">
        <v>0</v>
      </c>
      <c r="L131" s="23" t="n">
        <v>0</v>
      </c>
      <c r="M131" s="23" t="n">
        <v>0</v>
      </c>
      <c r="N131" s="23" t="n">
        <v>0</v>
      </c>
      <c r="O131" s="23" t="n">
        <v>0</v>
      </c>
      <c r="P131" s="23" t="n">
        <v>0</v>
      </c>
      <c r="Q131" s="23" t="n">
        <v>0</v>
      </c>
      <c r="R131" s="23" t="n">
        <v>0</v>
      </c>
      <c r="S131" s="23" t="n">
        <v>0</v>
      </c>
      <c r="T131" s="23" t="n">
        <v>0</v>
      </c>
      <c r="U131" s="23" t="n">
        <v>0</v>
      </c>
      <c r="V131" s="23" t="n">
        <v>0</v>
      </c>
      <c r="W131" s="23" t="n">
        <v>0</v>
      </c>
      <c r="X131" s="23" t="n">
        <v>0</v>
      </c>
      <c r="Y131" s="23" t="n">
        <v>0</v>
      </c>
      <c r="Z131" s="23" t="n">
        <v>0</v>
      </c>
      <c r="AA131" s="23" t="n">
        <v>0</v>
      </c>
      <c r="AB131" s="23" t="n">
        <v>0</v>
      </c>
      <c r="AC131" s="23" t="n">
        <v>0</v>
      </c>
      <c r="AD131" s="23" t="n">
        <v>0</v>
      </c>
      <c r="AE131" s="23" t="n">
        <v>0</v>
      </c>
      <c r="AF131" s="23" t="n">
        <v>0</v>
      </c>
      <c r="AG131" s="23" t="n">
        <v>0</v>
      </c>
      <c r="AH131" s="23" t="n">
        <v>0</v>
      </c>
      <c r="AI131" s="23" t="n">
        <v>0</v>
      </c>
      <c r="AJ131" s="23" t="n">
        <v>0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0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0</v>
      </c>
      <c r="BP131" s="23" t="n">
        <v>0</v>
      </c>
      <c r="BQ131" s="23" t="n">
        <v>0</v>
      </c>
      <c r="BR131" s="23" t="n">
        <v>0</v>
      </c>
      <c r="BS131" s="23" t="n">
        <v>0</v>
      </c>
      <c r="BT131" s="23" t="n">
        <v>0</v>
      </c>
      <c r="BU131" s="23" t="n">
        <v>0</v>
      </c>
      <c r="BV131" s="23" t="n">
        <v>0</v>
      </c>
      <c r="BW131" s="23" t="n">
        <v>0</v>
      </c>
      <c r="BX131" s="23" t="n">
        <v>0</v>
      </c>
      <c r="BY131" s="23" t="n">
        <v>0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0</v>
      </c>
      <c r="CN131" s="23" t="n">
        <v>0</v>
      </c>
      <c r="CO131" s="23" t="n">
        <v>0</v>
      </c>
      <c r="CP131" s="23" t="n">
        <v>0</v>
      </c>
      <c r="CQ131" s="23" t="n">
        <v>0</v>
      </c>
      <c r="CR131" s="23" t="n">
        <v>0</v>
      </c>
      <c r="CS131" s="23" t="n">
        <v>0</v>
      </c>
      <c r="CT131" s="23" t="n">
        <v>0</v>
      </c>
      <c r="CU131" s="23" t="n">
        <v>0</v>
      </c>
      <c r="CV131" s="23" t="n">
        <v>0</v>
      </c>
      <c r="CW131" s="23" t="n">
        <v>0</v>
      </c>
      <c r="CX131" s="23" t="n">
        <v>0</v>
      </c>
      <c r="CY131" s="23" t="n">
        <v>0</v>
      </c>
      <c r="CZ131" s="23" t="n">
        <v>0</v>
      </c>
      <c r="DA131" s="23" t="n">
        <v>0</v>
      </c>
    </row>
    <row r="132">
      <c r="A132" t="inlineStr">
        <is>
          <t>K0030</t>
        </is>
      </c>
      <c r="B132" s="23" t="n">
        <v>0</v>
      </c>
      <c r="C132" s="23" t="n">
        <v>0</v>
      </c>
      <c r="D132" s="23" t="n">
        <v>0</v>
      </c>
      <c r="E132" s="23" t="n">
        <v>0</v>
      </c>
      <c r="F132" s="23" t="n">
        <v>0</v>
      </c>
      <c r="G132" s="23" t="n">
        <v>0</v>
      </c>
      <c r="H132" s="23" t="n">
        <v>0</v>
      </c>
      <c r="I132" s="23" t="n">
        <v>0</v>
      </c>
      <c r="J132" s="23" t="n">
        <v>0</v>
      </c>
      <c r="K132" s="23" t="n">
        <v>0</v>
      </c>
      <c r="L132" s="23" t="n">
        <v>0</v>
      </c>
      <c r="M132" s="23" t="n">
        <v>0</v>
      </c>
      <c r="N132" s="23" t="n">
        <v>0</v>
      </c>
      <c r="O132" s="23" t="n">
        <v>0</v>
      </c>
      <c r="P132" s="23" t="n">
        <v>0</v>
      </c>
      <c r="Q132" s="23" t="n">
        <v>0</v>
      </c>
      <c r="R132" s="23" t="n">
        <v>0</v>
      </c>
      <c r="S132" s="23" t="n">
        <v>0</v>
      </c>
      <c r="T132" s="23" t="n">
        <v>0</v>
      </c>
      <c r="U132" s="23" t="n">
        <v>0</v>
      </c>
      <c r="V132" s="23" t="n">
        <v>0</v>
      </c>
      <c r="W132" s="23" t="n">
        <v>0</v>
      </c>
      <c r="X132" s="23" t="n">
        <v>0</v>
      </c>
      <c r="Y132" s="23" t="n">
        <v>0</v>
      </c>
      <c r="Z132" s="23" t="n">
        <v>0</v>
      </c>
      <c r="AA132" s="23" t="n">
        <v>0</v>
      </c>
      <c r="AB132" s="23" t="n">
        <v>0</v>
      </c>
      <c r="AC132" s="23" t="n">
        <v>0</v>
      </c>
      <c r="AD132" s="23" t="n">
        <v>0</v>
      </c>
      <c r="AE132" s="23" t="n">
        <v>0</v>
      </c>
      <c r="AF132" s="23" t="n">
        <v>0</v>
      </c>
      <c r="AG132" s="23" t="n">
        <v>0</v>
      </c>
      <c r="AH132" s="23" t="n">
        <v>0</v>
      </c>
      <c r="AI132" s="23" t="n">
        <v>0</v>
      </c>
      <c r="AJ132" s="23" t="n">
        <v>0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0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0</v>
      </c>
      <c r="BP132" s="23" t="n">
        <v>0</v>
      </c>
      <c r="BQ132" s="23" t="n">
        <v>0</v>
      </c>
      <c r="BR132" s="23" t="n">
        <v>0</v>
      </c>
      <c r="BS132" s="23" t="n">
        <v>0</v>
      </c>
      <c r="BT132" s="23" t="n">
        <v>0</v>
      </c>
      <c r="BU132" s="23" t="n">
        <v>0</v>
      </c>
      <c r="BV132" s="23" t="n">
        <v>0</v>
      </c>
      <c r="BW132" s="23" t="n">
        <v>0</v>
      </c>
      <c r="BX132" s="23" t="n">
        <v>0</v>
      </c>
      <c r="BY132" s="23" t="n">
        <v>0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0</v>
      </c>
      <c r="CN132" s="23" t="n">
        <v>0</v>
      </c>
      <c r="CO132" s="23" t="n">
        <v>0</v>
      </c>
      <c r="CP132" s="23" t="n">
        <v>0</v>
      </c>
      <c r="CQ132" s="23" t="n">
        <v>0</v>
      </c>
      <c r="CR132" s="23" t="n">
        <v>0</v>
      </c>
      <c r="CS132" s="23" t="n">
        <v>0</v>
      </c>
      <c r="CT132" s="23" t="n">
        <v>0</v>
      </c>
      <c r="CU132" s="23" t="n">
        <v>0</v>
      </c>
      <c r="CV132" s="23" t="n">
        <v>0</v>
      </c>
      <c r="CW132" s="23" t="n">
        <v>0</v>
      </c>
      <c r="CX132" s="23" t="n">
        <v>0</v>
      </c>
      <c r="CY132" s="23" t="n">
        <v>0</v>
      </c>
      <c r="CZ132" s="23" t="n">
        <v>0</v>
      </c>
      <c r="DA132" s="23" t="n">
        <v>0</v>
      </c>
    </row>
    <row r="133">
      <c r="A133" t="inlineStr">
        <is>
          <t>TSP-1555</t>
        </is>
      </c>
      <c r="B133" s="23" t="n">
        <v>0</v>
      </c>
      <c r="C133" s="23" t="n">
        <v>0</v>
      </c>
      <c r="D133" s="23" t="n">
        <v>0</v>
      </c>
      <c r="E133" s="23" t="n">
        <v>0</v>
      </c>
      <c r="F133" s="23" t="n">
        <v>0</v>
      </c>
      <c r="G133" s="23" t="n">
        <v>0</v>
      </c>
      <c r="H133" s="23" t="n">
        <v>0</v>
      </c>
      <c r="I133" s="23" t="n">
        <v>0</v>
      </c>
      <c r="J133" s="23" t="n">
        <v>0</v>
      </c>
      <c r="K133" s="23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3" t="n">
        <v>0</v>
      </c>
      <c r="R133" s="23" t="n">
        <v>0</v>
      </c>
      <c r="S133" s="23" t="n">
        <v>0</v>
      </c>
      <c r="T133" s="23" t="n">
        <v>0</v>
      </c>
      <c r="U133" s="23" t="n">
        <v>0</v>
      </c>
      <c r="V133" s="23" t="n">
        <v>0</v>
      </c>
      <c r="W133" s="23" t="n">
        <v>0</v>
      </c>
      <c r="X133" s="23" t="n">
        <v>0</v>
      </c>
      <c r="Y133" s="23" t="n">
        <v>0</v>
      </c>
      <c r="Z133" s="23" t="n">
        <v>0</v>
      </c>
      <c r="AA133" s="23" t="n">
        <v>0</v>
      </c>
      <c r="AB133" s="23" t="n">
        <v>0</v>
      </c>
      <c r="AC133" s="23" t="n">
        <v>0</v>
      </c>
      <c r="AD133" s="23" t="n">
        <v>0</v>
      </c>
      <c r="AE133" s="23" t="n">
        <v>0</v>
      </c>
      <c r="AF133" s="23" t="n">
        <v>0</v>
      </c>
      <c r="AG133" s="23" t="n">
        <v>0</v>
      </c>
      <c r="AH133" s="23" t="n">
        <v>0</v>
      </c>
      <c r="AI133" s="23" t="n">
        <v>0</v>
      </c>
      <c r="AJ133" s="23" t="n">
        <v>0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0</v>
      </c>
      <c r="AU133" s="23" t="n">
        <v>0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0</v>
      </c>
      <c r="BP133" s="23" t="n">
        <v>0</v>
      </c>
      <c r="BQ133" s="23" t="n">
        <v>0</v>
      </c>
      <c r="BR133" s="23" t="n">
        <v>0</v>
      </c>
      <c r="BS133" s="23" t="n">
        <v>0</v>
      </c>
      <c r="BT133" s="23" t="n">
        <v>0</v>
      </c>
      <c r="BU133" s="23" t="n">
        <v>0</v>
      </c>
      <c r="BV133" s="23" t="n">
        <v>0</v>
      </c>
      <c r="BW133" s="23" t="n">
        <v>0</v>
      </c>
      <c r="BX133" s="23" t="n">
        <v>0</v>
      </c>
      <c r="BY133" s="23" t="n">
        <v>0</v>
      </c>
      <c r="BZ133" s="23" t="n">
        <v>0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0</v>
      </c>
      <c r="CN133" s="23" t="n">
        <v>0</v>
      </c>
      <c r="CO133" s="23" t="n">
        <v>0</v>
      </c>
      <c r="CP133" s="23" t="n">
        <v>0</v>
      </c>
      <c r="CQ133" s="23" t="n">
        <v>0</v>
      </c>
      <c r="CR133" s="23" t="n">
        <v>0</v>
      </c>
      <c r="CS133" s="23" t="n">
        <v>0</v>
      </c>
      <c r="CT133" s="23" t="n">
        <v>0</v>
      </c>
      <c r="CU133" s="23" t="n">
        <v>0</v>
      </c>
      <c r="CV133" s="23" t="n">
        <v>0</v>
      </c>
      <c r="CW133" s="23" t="n">
        <v>0</v>
      </c>
      <c r="CX133" s="23" t="n">
        <v>0</v>
      </c>
      <c r="CY133" s="23" t="n">
        <v>0</v>
      </c>
      <c r="CZ133" s="23" t="n">
        <v>0</v>
      </c>
      <c r="DA133" s="23" t="n">
        <v>0</v>
      </c>
    </row>
    <row r="134">
      <c r="A134" t="inlineStr">
        <is>
          <t>V14</t>
        </is>
      </c>
      <c r="B134" s="23" t="n">
        <v>0</v>
      </c>
      <c r="C134" s="23" t="n">
        <v>0</v>
      </c>
      <c r="D134" s="23" t="n">
        <v>0</v>
      </c>
      <c r="E134" s="23" t="n">
        <v>0</v>
      </c>
      <c r="F134" s="23" t="n">
        <v>0</v>
      </c>
      <c r="G134" s="23" t="n">
        <v>0</v>
      </c>
      <c r="H134" s="23" t="n">
        <v>0</v>
      </c>
      <c r="I134" s="23" t="n">
        <v>0</v>
      </c>
      <c r="J134" s="23" t="n">
        <v>0</v>
      </c>
      <c r="K134" s="23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3" t="n">
        <v>0</v>
      </c>
      <c r="R134" s="23" t="n">
        <v>0</v>
      </c>
      <c r="S134" s="23" t="n">
        <v>0</v>
      </c>
      <c r="T134" s="23" t="n">
        <v>0</v>
      </c>
      <c r="U134" s="23" t="n">
        <v>0</v>
      </c>
      <c r="V134" s="23" t="n">
        <v>0</v>
      </c>
      <c r="W134" s="23" t="n">
        <v>0</v>
      </c>
      <c r="X134" s="23" t="n">
        <v>0</v>
      </c>
      <c r="Y134" s="23" t="n">
        <v>0</v>
      </c>
      <c r="Z134" s="23" t="n">
        <v>0</v>
      </c>
      <c r="AA134" s="23" t="n">
        <v>0</v>
      </c>
      <c r="AB134" s="23" t="n">
        <v>0</v>
      </c>
      <c r="AC134" s="23" t="n">
        <v>0</v>
      </c>
      <c r="AD134" s="23" t="n">
        <v>0</v>
      </c>
      <c r="AE134" s="23" t="n">
        <v>0</v>
      </c>
      <c r="AF134" s="23" t="n">
        <v>0</v>
      </c>
      <c r="AG134" s="23" t="n">
        <v>0</v>
      </c>
      <c r="AH134" s="23" t="n">
        <v>0</v>
      </c>
      <c r="AI134" s="23" t="n">
        <v>0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0</v>
      </c>
      <c r="CP134" s="23" t="n">
        <v>0</v>
      </c>
      <c r="CQ134" s="23" t="n">
        <v>0</v>
      </c>
      <c r="CR134" s="23" t="n">
        <v>0</v>
      </c>
      <c r="CS134" s="23" t="n">
        <v>0</v>
      </c>
      <c r="CT134" s="23" t="n">
        <v>0</v>
      </c>
      <c r="CU134" s="23" t="n">
        <v>0</v>
      </c>
      <c r="CV134" s="23" t="n">
        <v>0</v>
      </c>
      <c r="CW134" s="23" t="n">
        <v>0</v>
      </c>
      <c r="CX134" s="23" t="n">
        <v>0</v>
      </c>
      <c r="CY134" s="23" t="n">
        <v>0</v>
      </c>
      <c r="CZ134" s="23" t="n">
        <v>0</v>
      </c>
      <c r="DA134" s="23" t="n">
        <v>0</v>
      </c>
    </row>
    <row r="135">
      <c r="A135" t="inlineStr">
        <is>
          <t>V17</t>
        </is>
      </c>
      <c r="B135" s="23" t="n">
        <v>0</v>
      </c>
      <c r="C135" s="23" t="n">
        <v>0</v>
      </c>
      <c r="D135" s="23" t="n">
        <v>0</v>
      </c>
      <c r="E135" s="23" t="n">
        <v>0</v>
      </c>
      <c r="F135" s="23" t="n">
        <v>0</v>
      </c>
      <c r="G135" s="23" t="n">
        <v>0</v>
      </c>
      <c r="H135" s="23" t="n">
        <v>0</v>
      </c>
      <c r="I135" s="23" t="n">
        <v>0</v>
      </c>
      <c r="J135" s="23" t="n">
        <v>0</v>
      </c>
      <c r="K135" s="23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3" t="n">
        <v>0</v>
      </c>
      <c r="R135" s="23" t="n">
        <v>0</v>
      </c>
      <c r="S135" s="23" t="n">
        <v>0</v>
      </c>
      <c r="T135" s="23" t="n">
        <v>0</v>
      </c>
      <c r="U135" s="23" t="n">
        <v>0</v>
      </c>
      <c r="V135" s="23" t="n">
        <v>0</v>
      </c>
      <c r="W135" s="23" t="n">
        <v>0</v>
      </c>
      <c r="X135" s="23" t="n">
        <v>0</v>
      </c>
      <c r="Y135" s="23" t="n">
        <v>0</v>
      </c>
      <c r="Z135" s="23" t="n">
        <v>0</v>
      </c>
      <c r="AA135" s="23" t="n">
        <v>0</v>
      </c>
      <c r="AB135" s="23" t="n">
        <v>0</v>
      </c>
      <c r="AC135" s="23" t="n">
        <v>0</v>
      </c>
      <c r="AD135" s="23" t="n">
        <v>0</v>
      </c>
      <c r="AE135" s="23" t="n">
        <v>0</v>
      </c>
      <c r="AF135" s="23" t="n">
        <v>0</v>
      </c>
      <c r="AG135" s="23" t="n">
        <v>0</v>
      </c>
      <c r="AH135" s="23" t="n">
        <v>0</v>
      </c>
      <c r="AI135" s="23" t="n">
        <v>0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0</v>
      </c>
      <c r="CR135" s="23" t="n">
        <v>0</v>
      </c>
      <c r="CS135" s="23" t="n">
        <v>0</v>
      </c>
      <c r="CT135" s="23" t="n">
        <v>0</v>
      </c>
      <c r="CU135" s="23" t="n">
        <v>0</v>
      </c>
      <c r="CV135" s="23" t="n">
        <v>0</v>
      </c>
      <c r="CW135" s="23" t="n">
        <v>0</v>
      </c>
      <c r="CX135" s="23" t="n">
        <v>0</v>
      </c>
      <c r="CY135" s="23" t="n">
        <v>0</v>
      </c>
      <c r="CZ135" s="23" t="n">
        <v>0</v>
      </c>
      <c r="DA135" s="23" t="n">
        <v>0</v>
      </c>
    </row>
    <row r="136">
      <c r="A136" t="inlineStr">
        <is>
          <t>V18</t>
        </is>
      </c>
      <c r="B136" s="23" t="n">
        <v>0</v>
      </c>
      <c r="C136" s="23" t="n">
        <v>0</v>
      </c>
      <c r="D136" s="23" t="n">
        <v>0</v>
      </c>
      <c r="E136" s="23" t="n">
        <v>0</v>
      </c>
      <c r="F136" s="23" t="n">
        <v>0</v>
      </c>
      <c r="G136" s="23" t="n">
        <v>0</v>
      </c>
      <c r="H136" s="23" t="n">
        <v>0</v>
      </c>
      <c r="I136" s="23" t="n">
        <v>0</v>
      </c>
      <c r="J136" s="23" t="n">
        <v>0</v>
      </c>
      <c r="K136" s="23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3" t="n">
        <v>0</v>
      </c>
      <c r="R136" s="23" t="n">
        <v>0</v>
      </c>
      <c r="S136" s="23" t="n">
        <v>0</v>
      </c>
      <c r="T136" s="23" t="n">
        <v>0</v>
      </c>
      <c r="U136" s="23" t="n">
        <v>0</v>
      </c>
      <c r="V136" s="23" t="n">
        <v>0</v>
      </c>
      <c r="W136" s="23" t="n">
        <v>0</v>
      </c>
      <c r="X136" s="23" t="n">
        <v>0</v>
      </c>
      <c r="Y136" s="23" t="n">
        <v>0</v>
      </c>
      <c r="Z136" s="23" t="n">
        <v>0</v>
      </c>
      <c r="AA136" s="23" t="n">
        <v>0</v>
      </c>
      <c r="AB136" s="23" t="n">
        <v>0</v>
      </c>
      <c r="AC136" s="23" t="n">
        <v>0</v>
      </c>
      <c r="AD136" s="23" t="n">
        <v>0</v>
      </c>
      <c r="AE136" s="23" t="n">
        <v>0</v>
      </c>
      <c r="AF136" s="23" t="n">
        <v>0</v>
      </c>
      <c r="AG136" s="23" t="n">
        <v>0</v>
      </c>
      <c r="AH136" s="23" t="n">
        <v>0</v>
      </c>
      <c r="AI136" s="23" t="n">
        <v>0</v>
      </c>
      <c r="AJ136" s="23" t="n">
        <v>0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0</v>
      </c>
      <c r="BP136" s="23" t="n">
        <v>0</v>
      </c>
      <c r="BQ136" s="23" t="n">
        <v>0</v>
      </c>
      <c r="BR136" s="23" t="n">
        <v>0</v>
      </c>
      <c r="BS136" s="23" t="n">
        <v>0</v>
      </c>
      <c r="BT136" s="23" t="n">
        <v>0</v>
      </c>
      <c r="BU136" s="23" t="n">
        <v>0</v>
      </c>
      <c r="BV136" s="23" t="n">
        <v>0</v>
      </c>
      <c r="BW136" s="23" t="n">
        <v>0</v>
      </c>
      <c r="BX136" s="23" t="n">
        <v>0</v>
      </c>
      <c r="BY136" s="23" t="n">
        <v>0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0</v>
      </c>
      <c r="CN136" s="23" t="n">
        <v>0</v>
      </c>
      <c r="CO136" s="23" t="n">
        <v>0</v>
      </c>
      <c r="CP136" s="23" t="n">
        <v>0</v>
      </c>
      <c r="CQ136" s="23" t="n">
        <v>0</v>
      </c>
      <c r="CR136" s="23" t="n">
        <v>0</v>
      </c>
      <c r="CS136" s="23" t="n">
        <v>0</v>
      </c>
      <c r="CT136" s="23" t="n">
        <v>0</v>
      </c>
      <c r="CU136" s="23" t="n">
        <v>0</v>
      </c>
      <c r="CV136" s="23" t="n">
        <v>0</v>
      </c>
      <c r="CW136" s="23" t="n">
        <v>0</v>
      </c>
      <c r="CX136" s="23" t="n">
        <v>0</v>
      </c>
      <c r="CY136" s="23" t="n">
        <v>0</v>
      </c>
      <c r="CZ136" s="23" t="n">
        <v>0</v>
      </c>
      <c r="DA136" s="2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1" customWidth="1" min="4" max="4"/>
    <col width="12" customWidth="1" min="5" max="5"/>
    <col width="12" customWidth="1" min="6" max="6"/>
    <col width="14" customWidth="1" min="7" max="7"/>
  </cols>
  <sheetData>
    <row r="1">
      <c r="A1" s="5" t="inlineStr">
        <is>
          <t>AnchorYear</t>
        </is>
      </c>
      <c r="B1" s="23" t="n">
        <v>2026</v>
      </c>
    </row>
    <row r="3">
      <c r="A3" s="6" t="inlineStr">
        <is>
          <t>WeekIndex</t>
        </is>
      </c>
      <c r="B3" s="6" t="inlineStr">
        <is>
          <t>WeekStart</t>
        </is>
      </c>
      <c r="C3" s="6" t="inlineStr">
        <is>
          <t>Year</t>
        </is>
      </c>
      <c r="D3" s="6" t="inlineStr">
        <is>
          <t>WeekOfYear</t>
        </is>
      </c>
      <c r="E3" s="6" t="inlineStr">
        <is>
          <t>Label</t>
        </is>
      </c>
      <c r="F3" s="6" t="inlineStr">
        <is>
          <t>WeekEnd</t>
        </is>
      </c>
      <c r="G3" s="6" t="inlineStr">
        <is>
          <t>MonthYearLabel</t>
        </is>
      </c>
    </row>
    <row r="4">
      <c r="A4" t="n">
        <v>1</v>
      </c>
      <c r="B4" s="27">
        <f>DATE($B$1,1,1)-WEEKDAY(DATE($B$1,1,1),3)</f>
        <v/>
      </c>
      <c r="C4">
        <f>IF(B4&gt;=DATE(YEAR(B4)+1,1,1)-WEEKDAY(DATE(YEAR(B4)+1,1,1),3),YEAR(B4)+1,IF(B4&gt;=DATE(YEAR(B4),1,1)-WEEKDAY(DATE(YEAR(B4),1,1),3),YEAR(B4),YEAR(B4)-1))</f>
        <v/>
      </c>
      <c r="D4">
        <f>(B4-(DATE(C4,1,1)-WEEKDAY(DATE(C4,1,1),3)))/7+1</f>
        <v/>
      </c>
      <c r="E4">
        <f>C4&amp;"-W"&amp;TEXT(D4,"00")</f>
        <v/>
      </c>
      <c r="F4" s="27">
        <f>B4+6</f>
        <v/>
      </c>
      <c r="G4">
        <f>TEXT(B4,"mmm-yy")</f>
        <v/>
      </c>
    </row>
    <row r="5">
      <c r="A5" t="n">
        <v>2</v>
      </c>
      <c r="B5" s="27">
        <f>B4+7</f>
        <v/>
      </c>
      <c r="C5">
        <f>IF(B5&gt;=DATE(YEAR(B5)+1,1,1)-WEEKDAY(DATE(YEAR(B5)+1,1,1),3),YEAR(B5)+1,IF(B5&gt;=DATE(YEAR(B5),1,1)-WEEKDAY(DATE(YEAR(B5),1,1),3),YEAR(B5),YEAR(B5)-1))</f>
        <v/>
      </c>
      <c r="D5">
        <f>(B5-(DATE(C5,1,1)-WEEKDAY(DATE(C5,1,1),3)))/7+1</f>
        <v/>
      </c>
      <c r="E5">
        <f>C5&amp;"-W"&amp;TEXT(D5,"00")</f>
        <v/>
      </c>
      <c r="F5" s="27">
        <f>B5+6</f>
        <v/>
      </c>
      <c r="G5">
        <f>TEXT(B5,"mmm-yy")</f>
        <v/>
      </c>
    </row>
    <row r="6">
      <c r="A6" t="n">
        <v>3</v>
      </c>
      <c r="B6" s="27">
        <f>B5+7</f>
        <v/>
      </c>
      <c r="C6">
        <f>IF(B6&gt;=DATE(YEAR(B6)+1,1,1)-WEEKDAY(DATE(YEAR(B6)+1,1,1),3),YEAR(B6)+1,IF(B6&gt;=DATE(YEAR(B6),1,1)-WEEKDAY(DATE(YEAR(B6),1,1),3),YEAR(B6),YEAR(B6)-1))</f>
        <v/>
      </c>
      <c r="D6">
        <f>(B6-(DATE(C6,1,1)-WEEKDAY(DATE(C6,1,1),3)))/7+1</f>
        <v/>
      </c>
      <c r="E6">
        <f>C6&amp;"-W"&amp;TEXT(D6,"00")</f>
        <v/>
      </c>
      <c r="F6" s="27">
        <f>B6+6</f>
        <v/>
      </c>
      <c r="G6">
        <f>TEXT(B6,"mmm-yy")</f>
        <v/>
      </c>
    </row>
    <row r="7">
      <c r="A7" t="n">
        <v>4</v>
      </c>
      <c r="B7" s="27">
        <f>B6+7</f>
        <v/>
      </c>
      <c r="C7">
        <f>IF(B7&gt;=DATE(YEAR(B7)+1,1,1)-WEEKDAY(DATE(YEAR(B7)+1,1,1),3),YEAR(B7)+1,IF(B7&gt;=DATE(YEAR(B7),1,1)-WEEKDAY(DATE(YEAR(B7),1,1),3),YEAR(B7),YEAR(B7)-1))</f>
        <v/>
      </c>
      <c r="D7">
        <f>(B7-(DATE(C7,1,1)-WEEKDAY(DATE(C7,1,1),3)))/7+1</f>
        <v/>
      </c>
      <c r="E7">
        <f>C7&amp;"-W"&amp;TEXT(D7,"00")</f>
        <v/>
      </c>
      <c r="F7" s="27">
        <f>B7+6</f>
        <v/>
      </c>
      <c r="G7">
        <f>TEXT(B7,"mmm-yy")</f>
        <v/>
      </c>
    </row>
    <row r="8">
      <c r="A8" t="n">
        <v>5</v>
      </c>
      <c r="B8" s="27">
        <f>B7+7</f>
        <v/>
      </c>
      <c r="C8">
        <f>IF(B8&gt;=DATE(YEAR(B8)+1,1,1)-WEEKDAY(DATE(YEAR(B8)+1,1,1),3),YEAR(B8)+1,IF(B8&gt;=DATE(YEAR(B8),1,1)-WEEKDAY(DATE(YEAR(B8),1,1),3),YEAR(B8),YEAR(B8)-1))</f>
        <v/>
      </c>
      <c r="D8">
        <f>(B8-(DATE(C8,1,1)-WEEKDAY(DATE(C8,1,1),3)))/7+1</f>
        <v/>
      </c>
      <c r="E8">
        <f>C8&amp;"-W"&amp;TEXT(D8,"00")</f>
        <v/>
      </c>
      <c r="F8" s="27">
        <f>B8+6</f>
        <v/>
      </c>
      <c r="G8">
        <f>TEXT(B8,"mmm-yy")</f>
        <v/>
      </c>
    </row>
    <row r="9">
      <c r="A9" t="n">
        <v>6</v>
      </c>
      <c r="B9" s="27">
        <f>B8+7</f>
        <v/>
      </c>
      <c r="C9">
        <f>IF(B9&gt;=DATE(YEAR(B9)+1,1,1)-WEEKDAY(DATE(YEAR(B9)+1,1,1),3),YEAR(B9)+1,IF(B9&gt;=DATE(YEAR(B9),1,1)-WEEKDAY(DATE(YEAR(B9),1,1),3),YEAR(B9),YEAR(B9)-1))</f>
        <v/>
      </c>
      <c r="D9">
        <f>(B9-(DATE(C9,1,1)-WEEKDAY(DATE(C9,1,1),3)))/7+1</f>
        <v/>
      </c>
      <c r="E9">
        <f>C9&amp;"-W"&amp;TEXT(D9,"00")</f>
        <v/>
      </c>
      <c r="F9" s="27">
        <f>B9+6</f>
        <v/>
      </c>
      <c r="G9">
        <f>TEXT(B9,"mmm-yy")</f>
        <v/>
      </c>
    </row>
    <row r="10">
      <c r="A10" t="n">
        <v>7</v>
      </c>
      <c r="B10" s="27">
        <f>B9+7</f>
        <v/>
      </c>
      <c r="C10">
        <f>IF(B10&gt;=DATE(YEAR(B10)+1,1,1)-WEEKDAY(DATE(YEAR(B10)+1,1,1),3),YEAR(B10)+1,IF(B10&gt;=DATE(YEAR(B10),1,1)-WEEKDAY(DATE(YEAR(B10),1,1),3),YEAR(B10),YEAR(B10)-1))</f>
        <v/>
      </c>
      <c r="D10">
        <f>(B10-(DATE(C10,1,1)-WEEKDAY(DATE(C10,1,1),3)))/7+1</f>
        <v/>
      </c>
      <c r="E10">
        <f>C10&amp;"-W"&amp;TEXT(D10,"00")</f>
        <v/>
      </c>
      <c r="F10" s="27">
        <f>B10+6</f>
        <v/>
      </c>
      <c r="G10">
        <f>TEXT(B10,"mmm-yy")</f>
        <v/>
      </c>
    </row>
    <row r="11">
      <c r="A11" t="n">
        <v>8</v>
      </c>
      <c r="B11" s="27">
        <f>B10+7</f>
        <v/>
      </c>
      <c r="C11">
        <f>IF(B11&gt;=DATE(YEAR(B11)+1,1,1)-WEEKDAY(DATE(YEAR(B11)+1,1,1),3),YEAR(B11)+1,IF(B11&gt;=DATE(YEAR(B11),1,1)-WEEKDAY(DATE(YEAR(B11),1,1),3),YEAR(B11),YEAR(B11)-1))</f>
        <v/>
      </c>
      <c r="D11">
        <f>(B11-(DATE(C11,1,1)-WEEKDAY(DATE(C11,1,1),3)))/7+1</f>
        <v/>
      </c>
      <c r="E11">
        <f>C11&amp;"-W"&amp;TEXT(D11,"00")</f>
        <v/>
      </c>
      <c r="F11" s="27">
        <f>B11+6</f>
        <v/>
      </c>
      <c r="G11">
        <f>TEXT(B11,"mmm-yy")</f>
        <v/>
      </c>
    </row>
    <row r="12">
      <c r="A12" t="n">
        <v>9</v>
      </c>
      <c r="B12" s="27">
        <f>B11+7</f>
        <v/>
      </c>
      <c r="C12">
        <f>IF(B12&gt;=DATE(YEAR(B12)+1,1,1)-WEEKDAY(DATE(YEAR(B12)+1,1,1),3),YEAR(B12)+1,IF(B12&gt;=DATE(YEAR(B12),1,1)-WEEKDAY(DATE(YEAR(B12),1,1),3),YEAR(B12),YEAR(B12)-1))</f>
        <v/>
      </c>
      <c r="D12">
        <f>(B12-(DATE(C12,1,1)-WEEKDAY(DATE(C12,1,1),3)))/7+1</f>
        <v/>
      </c>
      <c r="E12">
        <f>C12&amp;"-W"&amp;TEXT(D12,"00")</f>
        <v/>
      </c>
      <c r="F12" s="27">
        <f>B12+6</f>
        <v/>
      </c>
      <c r="G12">
        <f>TEXT(B12,"mmm-yy")</f>
        <v/>
      </c>
    </row>
    <row r="13">
      <c r="A13" t="n">
        <v>10</v>
      </c>
      <c r="B13" s="27">
        <f>B12+7</f>
        <v/>
      </c>
      <c r="C13">
        <f>IF(B13&gt;=DATE(YEAR(B13)+1,1,1)-WEEKDAY(DATE(YEAR(B13)+1,1,1),3),YEAR(B13)+1,IF(B13&gt;=DATE(YEAR(B13),1,1)-WEEKDAY(DATE(YEAR(B13),1,1),3),YEAR(B13),YEAR(B13)-1))</f>
        <v/>
      </c>
      <c r="D13">
        <f>(B13-(DATE(C13,1,1)-WEEKDAY(DATE(C13,1,1),3)))/7+1</f>
        <v/>
      </c>
      <c r="E13">
        <f>C13&amp;"-W"&amp;TEXT(D13,"00")</f>
        <v/>
      </c>
      <c r="F13" s="27">
        <f>B13+6</f>
        <v/>
      </c>
      <c r="G13">
        <f>TEXT(B13,"mmm-yy")</f>
        <v/>
      </c>
    </row>
    <row r="14">
      <c r="A14" t="n">
        <v>11</v>
      </c>
      <c r="B14" s="27">
        <f>B13+7</f>
        <v/>
      </c>
      <c r="C14">
        <f>IF(B14&gt;=DATE(YEAR(B14)+1,1,1)-WEEKDAY(DATE(YEAR(B14)+1,1,1),3),YEAR(B14)+1,IF(B14&gt;=DATE(YEAR(B14),1,1)-WEEKDAY(DATE(YEAR(B14),1,1),3),YEAR(B14),YEAR(B14)-1))</f>
        <v/>
      </c>
      <c r="D14">
        <f>(B14-(DATE(C14,1,1)-WEEKDAY(DATE(C14,1,1),3)))/7+1</f>
        <v/>
      </c>
      <c r="E14">
        <f>C14&amp;"-W"&amp;TEXT(D14,"00")</f>
        <v/>
      </c>
      <c r="F14" s="27">
        <f>B14+6</f>
        <v/>
      </c>
      <c r="G14">
        <f>TEXT(B14,"mmm-yy")</f>
        <v/>
      </c>
    </row>
    <row r="15">
      <c r="A15" t="n">
        <v>12</v>
      </c>
      <c r="B15" s="27">
        <f>B14+7</f>
        <v/>
      </c>
      <c r="C15">
        <f>IF(B15&gt;=DATE(YEAR(B15)+1,1,1)-WEEKDAY(DATE(YEAR(B15)+1,1,1),3),YEAR(B15)+1,IF(B15&gt;=DATE(YEAR(B15),1,1)-WEEKDAY(DATE(YEAR(B15),1,1),3),YEAR(B15),YEAR(B15)-1))</f>
        <v/>
      </c>
      <c r="D15">
        <f>(B15-(DATE(C15,1,1)-WEEKDAY(DATE(C15,1,1),3)))/7+1</f>
        <v/>
      </c>
      <c r="E15">
        <f>C15&amp;"-W"&amp;TEXT(D15,"00")</f>
        <v/>
      </c>
      <c r="F15" s="27">
        <f>B15+6</f>
        <v/>
      </c>
      <c r="G15">
        <f>TEXT(B15,"mmm-yy")</f>
        <v/>
      </c>
    </row>
    <row r="16">
      <c r="A16" t="n">
        <v>13</v>
      </c>
      <c r="B16" s="27">
        <f>B15+7</f>
        <v/>
      </c>
      <c r="C16">
        <f>IF(B16&gt;=DATE(YEAR(B16)+1,1,1)-WEEKDAY(DATE(YEAR(B16)+1,1,1),3),YEAR(B16)+1,IF(B16&gt;=DATE(YEAR(B16),1,1)-WEEKDAY(DATE(YEAR(B16),1,1),3),YEAR(B16),YEAR(B16)-1))</f>
        <v/>
      </c>
      <c r="D16">
        <f>(B16-(DATE(C16,1,1)-WEEKDAY(DATE(C16,1,1),3)))/7+1</f>
        <v/>
      </c>
      <c r="E16">
        <f>C16&amp;"-W"&amp;TEXT(D16,"00")</f>
        <v/>
      </c>
      <c r="F16" s="27">
        <f>B16+6</f>
        <v/>
      </c>
      <c r="G16">
        <f>TEXT(B16,"mmm-yy")</f>
        <v/>
      </c>
    </row>
    <row r="17">
      <c r="A17" t="n">
        <v>14</v>
      </c>
      <c r="B17" s="27">
        <f>B16+7</f>
        <v/>
      </c>
      <c r="C17">
        <f>IF(B17&gt;=DATE(YEAR(B17)+1,1,1)-WEEKDAY(DATE(YEAR(B17)+1,1,1),3),YEAR(B17)+1,IF(B17&gt;=DATE(YEAR(B17),1,1)-WEEKDAY(DATE(YEAR(B17),1,1),3),YEAR(B17),YEAR(B17)-1))</f>
        <v/>
      </c>
      <c r="D17">
        <f>(B17-(DATE(C17,1,1)-WEEKDAY(DATE(C17,1,1),3)))/7+1</f>
        <v/>
      </c>
      <c r="E17">
        <f>C17&amp;"-W"&amp;TEXT(D17,"00")</f>
        <v/>
      </c>
      <c r="F17" s="27">
        <f>B17+6</f>
        <v/>
      </c>
      <c r="G17">
        <f>TEXT(B17,"mmm-yy")</f>
        <v/>
      </c>
    </row>
    <row r="18">
      <c r="A18" t="n">
        <v>15</v>
      </c>
      <c r="B18" s="27">
        <f>B17+7</f>
        <v/>
      </c>
      <c r="C18">
        <f>IF(B18&gt;=DATE(YEAR(B18)+1,1,1)-WEEKDAY(DATE(YEAR(B18)+1,1,1),3),YEAR(B18)+1,IF(B18&gt;=DATE(YEAR(B18),1,1)-WEEKDAY(DATE(YEAR(B18),1,1),3),YEAR(B18),YEAR(B18)-1))</f>
        <v/>
      </c>
      <c r="D18">
        <f>(B18-(DATE(C18,1,1)-WEEKDAY(DATE(C18,1,1),3)))/7+1</f>
        <v/>
      </c>
      <c r="E18">
        <f>C18&amp;"-W"&amp;TEXT(D18,"00")</f>
        <v/>
      </c>
      <c r="F18" s="27">
        <f>B18+6</f>
        <v/>
      </c>
      <c r="G18">
        <f>TEXT(B18,"mmm-yy")</f>
        <v/>
      </c>
    </row>
    <row r="19">
      <c r="A19" t="n">
        <v>16</v>
      </c>
      <c r="B19" s="27">
        <f>B18+7</f>
        <v/>
      </c>
      <c r="C19">
        <f>IF(B19&gt;=DATE(YEAR(B19)+1,1,1)-WEEKDAY(DATE(YEAR(B19)+1,1,1),3),YEAR(B19)+1,IF(B19&gt;=DATE(YEAR(B19),1,1)-WEEKDAY(DATE(YEAR(B19),1,1),3),YEAR(B19),YEAR(B19)-1))</f>
        <v/>
      </c>
      <c r="D19">
        <f>(B19-(DATE(C19,1,1)-WEEKDAY(DATE(C19,1,1),3)))/7+1</f>
        <v/>
      </c>
      <c r="E19">
        <f>C19&amp;"-W"&amp;TEXT(D19,"00")</f>
        <v/>
      </c>
      <c r="F19" s="27">
        <f>B19+6</f>
        <v/>
      </c>
      <c r="G19">
        <f>TEXT(B19,"mmm-yy")</f>
        <v/>
      </c>
    </row>
    <row r="20">
      <c r="A20" t="n">
        <v>17</v>
      </c>
      <c r="B20" s="27">
        <f>B19+7</f>
        <v/>
      </c>
      <c r="C20">
        <f>IF(B20&gt;=DATE(YEAR(B20)+1,1,1)-WEEKDAY(DATE(YEAR(B20)+1,1,1),3),YEAR(B20)+1,IF(B20&gt;=DATE(YEAR(B20),1,1)-WEEKDAY(DATE(YEAR(B20),1,1),3),YEAR(B20),YEAR(B20)-1))</f>
        <v/>
      </c>
      <c r="D20">
        <f>(B20-(DATE(C20,1,1)-WEEKDAY(DATE(C20,1,1),3)))/7+1</f>
        <v/>
      </c>
      <c r="E20">
        <f>C20&amp;"-W"&amp;TEXT(D20,"00")</f>
        <v/>
      </c>
      <c r="F20" s="27">
        <f>B20+6</f>
        <v/>
      </c>
      <c r="G20">
        <f>TEXT(B20,"mmm-yy")</f>
        <v/>
      </c>
    </row>
    <row r="21">
      <c r="A21" t="n">
        <v>18</v>
      </c>
      <c r="B21" s="27">
        <f>B20+7</f>
        <v/>
      </c>
      <c r="C21">
        <f>IF(B21&gt;=DATE(YEAR(B21)+1,1,1)-WEEKDAY(DATE(YEAR(B21)+1,1,1),3),YEAR(B21)+1,IF(B21&gt;=DATE(YEAR(B21),1,1)-WEEKDAY(DATE(YEAR(B21),1,1),3),YEAR(B21),YEAR(B21)-1))</f>
        <v/>
      </c>
      <c r="D21">
        <f>(B21-(DATE(C21,1,1)-WEEKDAY(DATE(C21,1,1),3)))/7+1</f>
        <v/>
      </c>
      <c r="E21">
        <f>C21&amp;"-W"&amp;TEXT(D21,"00")</f>
        <v/>
      </c>
      <c r="F21" s="27">
        <f>B21+6</f>
        <v/>
      </c>
      <c r="G21">
        <f>TEXT(B21,"mmm-yy")</f>
        <v/>
      </c>
    </row>
    <row r="22">
      <c r="A22" t="n">
        <v>19</v>
      </c>
      <c r="B22" s="27">
        <f>B21+7</f>
        <v/>
      </c>
      <c r="C22">
        <f>IF(B22&gt;=DATE(YEAR(B22)+1,1,1)-WEEKDAY(DATE(YEAR(B22)+1,1,1),3),YEAR(B22)+1,IF(B22&gt;=DATE(YEAR(B22),1,1)-WEEKDAY(DATE(YEAR(B22),1,1),3),YEAR(B22),YEAR(B22)-1))</f>
        <v/>
      </c>
      <c r="D22">
        <f>(B22-(DATE(C22,1,1)-WEEKDAY(DATE(C22,1,1),3)))/7+1</f>
        <v/>
      </c>
      <c r="E22">
        <f>C22&amp;"-W"&amp;TEXT(D22,"00")</f>
        <v/>
      </c>
      <c r="F22" s="27">
        <f>B22+6</f>
        <v/>
      </c>
      <c r="G22">
        <f>TEXT(B22,"mmm-yy")</f>
        <v/>
      </c>
    </row>
    <row r="23">
      <c r="A23" t="n">
        <v>20</v>
      </c>
      <c r="B23" s="27">
        <f>B22+7</f>
        <v/>
      </c>
      <c r="C23">
        <f>IF(B23&gt;=DATE(YEAR(B23)+1,1,1)-WEEKDAY(DATE(YEAR(B23)+1,1,1),3),YEAR(B23)+1,IF(B23&gt;=DATE(YEAR(B23),1,1)-WEEKDAY(DATE(YEAR(B23),1,1),3),YEAR(B23),YEAR(B23)-1))</f>
        <v/>
      </c>
      <c r="D23">
        <f>(B23-(DATE(C23,1,1)-WEEKDAY(DATE(C23,1,1),3)))/7+1</f>
        <v/>
      </c>
      <c r="E23">
        <f>C23&amp;"-W"&amp;TEXT(D23,"00")</f>
        <v/>
      </c>
      <c r="F23" s="27">
        <f>B23+6</f>
        <v/>
      </c>
      <c r="G23">
        <f>TEXT(B23,"mmm-yy")</f>
        <v/>
      </c>
    </row>
    <row r="24">
      <c r="A24" t="n">
        <v>21</v>
      </c>
      <c r="B24" s="27">
        <f>B23+7</f>
        <v/>
      </c>
      <c r="C24">
        <f>IF(B24&gt;=DATE(YEAR(B24)+1,1,1)-WEEKDAY(DATE(YEAR(B24)+1,1,1),3),YEAR(B24)+1,IF(B24&gt;=DATE(YEAR(B24),1,1)-WEEKDAY(DATE(YEAR(B24),1,1),3),YEAR(B24),YEAR(B24)-1))</f>
        <v/>
      </c>
      <c r="D24">
        <f>(B24-(DATE(C24,1,1)-WEEKDAY(DATE(C24,1,1),3)))/7+1</f>
        <v/>
      </c>
      <c r="E24">
        <f>C24&amp;"-W"&amp;TEXT(D24,"00")</f>
        <v/>
      </c>
      <c r="F24" s="27">
        <f>B24+6</f>
        <v/>
      </c>
      <c r="G24">
        <f>TEXT(B24,"mmm-yy")</f>
        <v/>
      </c>
    </row>
    <row r="25">
      <c r="A25" t="n">
        <v>22</v>
      </c>
      <c r="B25" s="27">
        <f>B24+7</f>
        <v/>
      </c>
      <c r="C25">
        <f>IF(B25&gt;=DATE(YEAR(B25)+1,1,1)-WEEKDAY(DATE(YEAR(B25)+1,1,1),3),YEAR(B25)+1,IF(B25&gt;=DATE(YEAR(B25),1,1)-WEEKDAY(DATE(YEAR(B25),1,1),3),YEAR(B25),YEAR(B25)-1))</f>
        <v/>
      </c>
      <c r="D25">
        <f>(B25-(DATE(C25,1,1)-WEEKDAY(DATE(C25,1,1),3)))/7+1</f>
        <v/>
      </c>
      <c r="E25">
        <f>C25&amp;"-W"&amp;TEXT(D25,"00")</f>
        <v/>
      </c>
      <c r="F25" s="27">
        <f>B25+6</f>
        <v/>
      </c>
      <c r="G25">
        <f>TEXT(B25,"mmm-yy")</f>
        <v/>
      </c>
    </row>
    <row r="26">
      <c r="A26" t="n">
        <v>23</v>
      </c>
      <c r="B26" s="27">
        <f>B25+7</f>
        <v/>
      </c>
      <c r="C26">
        <f>IF(B26&gt;=DATE(YEAR(B26)+1,1,1)-WEEKDAY(DATE(YEAR(B26)+1,1,1),3),YEAR(B26)+1,IF(B26&gt;=DATE(YEAR(B26),1,1)-WEEKDAY(DATE(YEAR(B26),1,1),3),YEAR(B26),YEAR(B26)-1))</f>
        <v/>
      </c>
      <c r="D26">
        <f>(B26-(DATE(C26,1,1)-WEEKDAY(DATE(C26,1,1),3)))/7+1</f>
        <v/>
      </c>
      <c r="E26">
        <f>C26&amp;"-W"&amp;TEXT(D26,"00")</f>
        <v/>
      </c>
      <c r="F26" s="27">
        <f>B26+6</f>
        <v/>
      </c>
      <c r="G26">
        <f>TEXT(B26,"mmm-yy")</f>
        <v/>
      </c>
    </row>
    <row r="27">
      <c r="A27" t="n">
        <v>24</v>
      </c>
      <c r="B27" s="27">
        <f>B26+7</f>
        <v/>
      </c>
      <c r="C27">
        <f>IF(B27&gt;=DATE(YEAR(B27)+1,1,1)-WEEKDAY(DATE(YEAR(B27)+1,1,1),3),YEAR(B27)+1,IF(B27&gt;=DATE(YEAR(B27),1,1)-WEEKDAY(DATE(YEAR(B27),1,1),3),YEAR(B27),YEAR(B27)-1))</f>
        <v/>
      </c>
      <c r="D27">
        <f>(B27-(DATE(C27,1,1)-WEEKDAY(DATE(C27,1,1),3)))/7+1</f>
        <v/>
      </c>
      <c r="E27">
        <f>C27&amp;"-W"&amp;TEXT(D27,"00")</f>
        <v/>
      </c>
      <c r="F27" s="27">
        <f>B27+6</f>
        <v/>
      </c>
      <c r="G27">
        <f>TEXT(B27,"mmm-yy")</f>
        <v/>
      </c>
    </row>
    <row r="28">
      <c r="A28" t="n">
        <v>25</v>
      </c>
      <c r="B28" s="27">
        <f>B27+7</f>
        <v/>
      </c>
      <c r="C28">
        <f>IF(B28&gt;=DATE(YEAR(B28)+1,1,1)-WEEKDAY(DATE(YEAR(B28)+1,1,1),3),YEAR(B28)+1,IF(B28&gt;=DATE(YEAR(B28),1,1)-WEEKDAY(DATE(YEAR(B28),1,1),3),YEAR(B28),YEAR(B28)-1))</f>
        <v/>
      </c>
      <c r="D28">
        <f>(B28-(DATE(C28,1,1)-WEEKDAY(DATE(C28,1,1),3)))/7+1</f>
        <v/>
      </c>
      <c r="E28">
        <f>C28&amp;"-W"&amp;TEXT(D28,"00")</f>
        <v/>
      </c>
      <c r="F28" s="27">
        <f>B28+6</f>
        <v/>
      </c>
      <c r="G28">
        <f>TEXT(B28,"mmm-yy")</f>
        <v/>
      </c>
    </row>
    <row r="29">
      <c r="A29" t="n">
        <v>26</v>
      </c>
      <c r="B29" s="27">
        <f>B28+7</f>
        <v/>
      </c>
      <c r="C29">
        <f>IF(B29&gt;=DATE(YEAR(B29)+1,1,1)-WEEKDAY(DATE(YEAR(B29)+1,1,1),3),YEAR(B29)+1,IF(B29&gt;=DATE(YEAR(B29),1,1)-WEEKDAY(DATE(YEAR(B29),1,1),3),YEAR(B29),YEAR(B29)-1))</f>
        <v/>
      </c>
      <c r="D29">
        <f>(B29-(DATE(C29,1,1)-WEEKDAY(DATE(C29,1,1),3)))/7+1</f>
        <v/>
      </c>
      <c r="E29">
        <f>C29&amp;"-W"&amp;TEXT(D29,"00")</f>
        <v/>
      </c>
      <c r="F29" s="27">
        <f>B29+6</f>
        <v/>
      </c>
      <c r="G29">
        <f>TEXT(B29,"mmm-yy")</f>
        <v/>
      </c>
    </row>
    <row r="30">
      <c r="A30" t="n">
        <v>27</v>
      </c>
      <c r="B30" s="27">
        <f>B29+7</f>
        <v/>
      </c>
      <c r="C30">
        <f>IF(B30&gt;=DATE(YEAR(B30)+1,1,1)-WEEKDAY(DATE(YEAR(B30)+1,1,1),3),YEAR(B30)+1,IF(B30&gt;=DATE(YEAR(B30),1,1)-WEEKDAY(DATE(YEAR(B30),1,1),3),YEAR(B30),YEAR(B30)-1))</f>
        <v/>
      </c>
      <c r="D30">
        <f>(B30-(DATE(C30,1,1)-WEEKDAY(DATE(C30,1,1),3)))/7+1</f>
        <v/>
      </c>
      <c r="E30">
        <f>C30&amp;"-W"&amp;TEXT(D30,"00")</f>
        <v/>
      </c>
      <c r="F30" s="27">
        <f>B30+6</f>
        <v/>
      </c>
      <c r="G30">
        <f>TEXT(B30,"mmm-yy")</f>
        <v/>
      </c>
    </row>
    <row r="31">
      <c r="A31" t="n">
        <v>28</v>
      </c>
      <c r="B31" s="27">
        <f>B30+7</f>
        <v/>
      </c>
      <c r="C31">
        <f>IF(B31&gt;=DATE(YEAR(B31)+1,1,1)-WEEKDAY(DATE(YEAR(B31)+1,1,1),3),YEAR(B31)+1,IF(B31&gt;=DATE(YEAR(B31),1,1)-WEEKDAY(DATE(YEAR(B31),1,1),3),YEAR(B31),YEAR(B31)-1))</f>
        <v/>
      </c>
      <c r="D31">
        <f>(B31-(DATE(C31,1,1)-WEEKDAY(DATE(C31,1,1),3)))/7+1</f>
        <v/>
      </c>
      <c r="E31">
        <f>C31&amp;"-W"&amp;TEXT(D31,"00")</f>
        <v/>
      </c>
      <c r="F31" s="27">
        <f>B31+6</f>
        <v/>
      </c>
      <c r="G31">
        <f>TEXT(B31,"mmm-yy")</f>
        <v/>
      </c>
    </row>
    <row r="32">
      <c r="A32" t="n">
        <v>29</v>
      </c>
      <c r="B32" s="27">
        <f>B31+7</f>
        <v/>
      </c>
      <c r="C32">
        <f>IF(B32&gt;=DATE(YEAR(B32)+1,1,1)-WEEKDAY(DATE(YEAR(B32)+1,1,1),3),YEAR(B32)+1,IF(B32&gt;=DATE(YEAR(B32),1,1)-WEEKDAY(DATE(YEAR(B32),1,1),3),YEAR(B32),YEAR(B32)-1))</f>
        <v/>
      </c>
      <c r="D32">
        <f>(B32-(DATE(C32,1,1)-WEEKDAY(DATE(C32,1,1),3)))/7+1</f>
        <v/>
      </c>
      <c r="E32">
        <f>C32&amp;"-W"&amp;TEXT(D32,"00")</f>
        <v/>
      </c>
      <c r="F32" s="27">
        <f>B32+6</f>
        <v/>
      </c>
      <c r="G32">
        <f>TEXT(B32,"mmm-yy")</f>
        <v/>
      </c>
    </row>
    <row r="33">
      <c r="A33" t="n">
        <v>30</v>
      </c>
      <c r="B33" s="27">
        <f>B32+7</f>
        <v/>
      </c>
      <c r="C33">
        <f>IF(B33&gt;=DATE(YEAR(B33)+1,1,1)-WEEKDAY(DATE(YEAR(B33)+1,1,1),3),YEAR(B33)+1,IF(B33&gt;=DATE(YEAR(B33),1,1)-WEEKDAY(DATE(YEAR(B33),1,1),3),YEAR(B33),YEAR(B33)-1))</f>
        <v/>
      </c>
      <c r="D33">
        <f>(B33-(DATE(C33,1,1)-WEEKDAY(DATE(C33,1,1),3)))/7+1</f>
        <v/>
      </c>
      <c r="E33">
        <f>C33&amp;"-W"&amp;TEXT(D33,"00")</f>
        <v/>
      </c>
      <c r="F33" s="27">
        <f>B33+6</f>
        <v/>
      </c>
      <c r="G33">
        <f>TEXT(B33,"mmm-yy")</f>
        <v/>
      </c>
    </row>
    <row r="34">
      <c r="A34" t="n">
        <v>31</v>
      </c>
      <c r="B34" s="27">
        <f>B33+7</f>
        <v/>
      </c>
      <c r="C34">
        <f>IF(B34&gt;=DATE(YEAR(B34)+1,1,1)-WEEKDAY(DATE(YEAR(B34)+1,1,1),3),YEAR(B34)+1,IF(B34&gt;=DATE(YEAR(B34),1,1)-WEEKDAY(DATE(YEAR(B34),1,1),3),YEAR(B34),YEAR(B34)-1))</f>
        <v/>
      </c>
      <c r="D34">
        <f>(B34-(DATE(C34,1,1)-WEEKDAY(DATE(C34,1,1),3)))/7+1</f>
        <v/>
      </c>
      <c r="E34">
        <f>C34&amp;"-W"&amp;TEXT(D34,"00")</f>
        <v/>
      </c>
      <c r="F34" s="27">
        <f>B34+6</f>
        <v/>
      </c>
      <c r="G34">
        <f>TEXT(B34,"mmm-yy")</f>
        <v/>
      </c>
    </row>
    <row r="35">
      <c r="A35" t="n">
        <v>32</v>
      </c>
      <c r="B35" s="27">
        <f>B34+7</f>
        <v/>
      </c>
      <c r="C35">
        <f>IF(B35&gt;=DATE(YEAR(B35)+1,1,1)-WEEKDAY(DATE(YEAR(B35)+1,1,1),3),YEAR(B35)+1,IF(B35&gt;=DATE(YEAR(B35),1,1)-WEEKDAY(DATE(YEAR(B35),1,1),3),YEAR(B35),YEAR(B35)-1))</f>
        <v/>
      </c>
      <c r="D35">
        <f>(B35-(DATE(C35,1,1)-WEEKDAY(DATE(C35,1,1),3)))/7+1</f>
        <v/>
      </c>
      <c r="E35">
        <f>C35&amp;"-W"&amp;TEXT(D35,"00")</f>
        <v/>
      </c>
      <c r="F35" s="27">
        <f>B35+6</f>
        <v/>
      </c>
      <c r="G35">
        <f>TEXT(B35,"mmm-yy")</f>
        <v/>
      </c>
    </row>
    <row r="36">
      <c r="A36" t="n">
        <v>33</v>
      </c>
      <c r="B36" s="27">
        <f>B35+7</f>
        <v/>
      </c>
      <c r="C36">
        <f>IF(B36&gt;=DATE(YEAR(B36)+1,1,1)-WEEKDAY(DATE(YEAR(B36)+1,1,1),3),YEAR(B36)+1,IF(B36&gt;=DATE(YEAR(B36),1,1)-WEEKDAY(DATE(YEAR(B36),1,1),3),YEAR(B36),YEAR(B36)-1))</f>
        <v/>
      </c>
      <c r="D36">
        <f>(B36-(DATE(C36,1,1)-WEEKDAY(DATE(C36,1,1),3)))/7+1</f>
        <v/>
      </c>
      <c r="E36">
        <f>C36&amp;"-W"&amp;TEXT(D36,"00")</f>
        <v/>
      </c>
      <c r="F36" s="27">
        <f>B36+6</f>
        <v/>
      </c>
      <c r="G36">
        <f>TEXT(B36,"mmm-yy")</f>
        <v/>
      </c>
    </row>
    <row r="37">
      <c r="A37" t="n">
        <v>34</v>
      </c>
      <c r="B37" s="27">
        <f>B36+7</f>
        <v/>
      </c>
      <c r="C37">
        <f>IF(B37&gt;=DATE(YEAR(B37)+1,1,1)-WEEKDAY(DATE(YEAR(B37)+1,1,1),3),YEAR(B37)+1,IF(B37&gt;=DATE(YEAR(B37),1,1)-WEEKDAY(DATE(YEAR(B37),1,1),3),YEAR(B37),YEAR(B37)-1))</f>
        <v/>
      </c>
      <c r="D37">
        <f>(B37-(DATE(C37,1,1)-WEEKDAY(DATE(C37,1,1),3)))/7+1</f>
        <v/>
      </c>
      <c r="E37">
        <f>C37&amp;"-W"&amp;TEXT(D37,"00")</f>
        <v/>
      </c>
      <c r="F37" s="27">
        <f>B37+6</f>
        <v/>
      </c>
      <c r="G37">
        <f>TEXT(B37,"mmm-yy")</f>
        <v/>
      </c>
    </row>
    <row r="38">
      <c r="A38" t="n">
        <v>35</v>
      </c>
      <c r="B38" s="27">
        <f>B37+7</f>
        <v/>
      </c>
      <c r="C38">
        <f>IF(B38&gt;=DATE(YEAR(B38)+1,1,1)-WEEKDAY(DATE(YEAR(B38)+1,1,1),3),YEAR(B38)+1,IF(B38&gt;=DATE(YEAR(B38),1,1)-WEEKDAY(DATE(YEAR(B38),1,1),3),YEAR(B38),YEAR(B38)-1))</f>
        <v/>
      </c>
      <c r="D38">
        <f>(B38-(DATE(C38,1,1)-WEEKDAY(DATE(C38,1,1),3)))/7+1</f>
        <v/>
      </c>
      <c r="E38">
        <f>C38&amp;"-W"&amp;TEXT(D38,"00")</f>
        <v/>
      </c>
      <c r="F38" s="27">
        <f>B38+6</f>
        <v/>
      </c>
      <c r="G38">
        <f>TEXT(B38,"mmm-yy")</f>
        <v/>
      </c>
    </row>
    <row r="39">
      <c r="A39" t="n">
        <v>36</v>
      </c>
      <c r="B39" s="27">
        <f>B38+7</f>
        <v/>
      </c>
      <c r="C39">
        <f>IF(B39&gt;=DATE(YEAR(B39)+1,1,1)-WEEKDAY(DATE(YEAR(B39)+1,1,1),3),YEAR(B39)+1,IF(B39&gt;=DATE(YEAR(B39),1,1)-WEEKDAY(DATE(YEAR(B39),1,1),3),YEAR(B39),YEAR(B39)-1))</f>
        <v/>
      </c>
      <c r="D39">
        <f>(B39-(DATE(C39,1,1)-WEEKDAY(DATE(C39,1,1),3)))/7+1</f>
        <v/>
      </c>
      <c r="E39">
        <f>C39&amp;"-W"&amp;TEXT(D39,"00")</f>
        <v/>
      </c>
      <c r="F39" s="27">
        <f>B39+6</f>
        <v/>
      </c>
      <c r="G39">
        <f>TEXT(B39,"mmm-yy")</f>
        <v/>
      </c>
    </row>
    <row r="40">
      <c r="A40" t="n">
        <v>37</v>
      </c>
      <c r="B40" s="27">
        <f>B39+7</f>
        <v/>
      </c>
      <c r="C40">
        <f>IF(B40&gt;=DATE(YEAR(B40)+1,1,1)-WEEKDAY(DATE(YEAR(B40)+1,1,1),3),YEAR(B40)+1,IF(B40&gt;=DATE(YEAR(B40),1,1)-WEEKDAY(DATE(YEAR(B40),1,1),3),YEAR(B40),YEAR(B40)-1))</f>
        <v/>
      </c>
      <c r="D40">
        <f>(B40-(DATE(C40,1,1)-WEEKDAY(DATE(C40,1,1),3)))/7+1</f>
        <v/>
      </c>
      <c r="E40">
        <f>C40&amp;"-W"&amp;TEXT(D40,"00")</f>
        <v/>
      </c>
      <c r="F40" s="27">
        <f>B40+6</f>
        <v/>
      </c>
      <c r="G40">
        <f>TEXT(B40,"mmm-yy")</f>
        <v/>
      </c>
    </row>
    <row r="41">
      <c r="A41" t="n">
        <v>38</v>
      </c>
      <c r="B41" s="27">
        <f>B40+7</f>
        <v/>
      </c>
      <c r="C41">
        <f>IF(B41&gt;=DATE(YEAR(B41)+1,1,1)-WEEKDAY(DATE(YEAR(B41)+1,1,1),3),YEAR(B41)+1,IF(B41&gt;=DATE(YEAR(B41),1,1)-WEEKDAY(DATE(YEAR(B41),1,1),3),YEAR(B41),YEAR(B41)-1))</f>
        <v/>
      </c>
      <c r="D41">
        <f>(B41-(DATE(C41,1,1)-WEEKDAY(DATE(C41,1,1),3)))/7+1</f>
        <v/>
      </c>
      <c r="E41">
        <f>C41&amp;"-W"&amp;TEXT(D41,"00")</f>
        <v/>
      </c>
      <c r="F41" s="27">
        <f>B41+6</f>
        <v/>
      </c>
      <c r="G41">
        <f>TEXT(B41,"mmm-yy")</f>
        <v/>
      </c>
    </row>
    <row r="42">
      <c r="A42" t="n">
        <v>39</v>
      </c>
      <c r="B42" s="27">
        <f>B41+7</f>
        <v/>
      </c>
      <c r="C42">
        <f>IF(B42&gt;=DATE(YEAR(B42)+1,1,1)-WEEKDAY(DATE(YEAR(B42)+1,1,1),3),YEAR(B42)+1,IF(B42&gt;=DATE(YEAR(B42),1,1)-WEEKDAY(DATE(YEAR(B42),1,1),3),YEAR(B42),YEAR(B42)-1))</f>
        <v/>
      </c>
      <c r="D42">
        <f>(B42-(DATE(C42,1,1)-WEEKDAY(DATE(C42,1,1),3)))/7+1</f>
        <v/>
      </c>
      <c r="E42">
        <f>C42&amp;"-W"&amp;TEXT(D42,"00")</f>
        <v/>
      </c>
      <c r="F42" s="27">
        <f>B42+6</f>
        <v/>
      </c>
      <c r="G42">
        <f>TEXT(B42,"mmm-yy")</f>
        <v/>
      </c>
    </row>
    <row r="43">
      <c r="A43" t="n">
        <v>40</v>
      </c>
      <c r="B43" s="27">
        <f>B42+7</f>
        <v/>
      </c>
      <c r="C43">
        <f>IF(B43&gt;=DATE(YEAR(B43)+1,1,1)-WEEKDAY(DATE(YEAR(B43)+1,1,1),3),YEAR(B43)+1,IF(B43&gt;=DATE(YEAR(B43),1,1)-WEEKDAY(DATE(YEAR(B43),1,1),3),YEAR(B43),YEAR(B43)-1))</f>
        <v/>
      </c>
      <c r="D43">
        <f>(B43-(DATE(C43,1,1)-WEEKDAY(DATE(C43,1,1),3)))/7+1</f>
        <v/>
      </c>
      <c r="E43">
        <f>C43&amp;"-W"&amp;TEXT(D43,"00")</f>
        <v/>
      </c>
      <c r="F43" s="27">
        <f>B43+6</f>
        <v/>
      </c>
      <c r="G43">
        <f>TEXT(B43,"mmm-yy")</f>
        <v/>
      </c>
    </row>
    <row r="44">
      <c r="A44" t="n">
        <v>41</v>
      </c>
      <c r="B44" s="27">
        <f>B43+7</f>
        <v/>
      </c>
      <c r="C44">
        <f>IF(B44&gt;=DATE(YEAR(B44)+1,1,1)-WEEKDAY(DATE(YEAR(B44)+1,1,1),3),YEAR(B44)+1,IF(B44&gt;=DATE(YEAR(B44),1,1)-WEEKDAY(DATE(YEAR(B44),1,1),3),YEAR(B44),YEAR(B44)-1))</f>
        <v/>
      </c>
      <c r="D44">
        <f>(B44-(DATE(C44,1,1)-WEEKDAY(DATE(C44,1,1),3)))/7+1</f>
        <v/>
      </c>
      <c r="E44">
        <f>C44&amp;"-W"&amp;TEXT(D44,"00")</f>
        <v/>
      </c>
      <c r="F44" s="27">
        <f>B44+6</f>
        <v/>
      </c>
      <c r="G44">
        <f>TEXT(B44,"mmm-yy")</f>
        <v/>
      </c>
    </row>
    <row r="45">
      <c r="A45" t="n">
        <v>42</v>
      </c>
      <c r="B45" s="27">
        <f>B44+7</f>
        <v/>
      </c>
      <c r="C45">
        <f>IF(B45&gt;=DATE(YEAR(B45)+1,1,1)-WEEKDAY(DATE(YEAR(B45)+1,1,1),3),YEAR(B45)+1,IF(B45&gt;=DATE(YEAR(B45),1,1)-WEEKDAY(DATE(YEAR(B45),1,1),3),YEAR(B45),YEAR(B45)-1))</f>
        <v/>
      </c>
      <c r="D45">
        <f>(B45-(DATE(C45,1,1)-WEEKDAY(DATE(C45,1,1),3)))/7+1</f>
        <v/>
      </c>
      <c r="E45">
        <f>C45&amp;"-W"&amp;TEXT(D45,"00")</f>
        <v/>
      </c>
      <c r="F45" s="27">
        <f>B45+6</f>
        <v/>
      </c>
      <c r="G45">
        <f>TEXT(B45,"mmm-yy")</f>
        <v/>
      </c>
    </row>
    <row r="46">
      <c r="A46" t="n">
        <v>43</v>
      </c>
      <c r="B46" s="27">
        <f>B45+7</f>
        <v/>
      </c>
      <c r="C46">
        <f>IF(B46&gt;=DATE(YEAR(B46)+1,1,1)-WEEKDAY(DATE(YEAR(B46)+1,1,1),3),YEAR(B46)+1,IF(B46&gt;=DATE(YEAR(B46),1,1)-WEEKDAY(DATE(YEAR(B46),1,1),3),YEAR(B46),YEAR(B46)-1))</f>
        <v/>
      </c>
      <c r="D46">
        <f>(B46-(DATE(C46,1,1)-WEEKDAY(DATE(C46,1,1),3)))/7+1</f>
        <v/>
      </c>
      <c r="E46">
        <f>C46&amp;"-W"&amp;TEXT(D46,"00")</f>
        <v/>
      </c>
      <c r="F46" s="27">
        <f>B46+6</f>
        <v/>
      </c>
      <c r="G46">
        <f>TEXT(B46,"mmm-yy")</f>
        <v/>
      </c>
    </row>
    <row r="47">
      <c r="A47" t="n">
        <v>44</v>
      </c>
      <c r="B47" s="27">
        <f>B46+7</f>
        <v/>
      </c>
      <c r="C47">
        <f>IF(B47&gt;=DATE(YEAR(B47)+1,1,1)-WEEKDAY(DATE(YEAR(B47)+1,1,1),3),YEAR(B47)+1,IF(B47&gt;=DATE(YEAR(B47),1,1)-WEEKDAY(DATE(YEAR(B47),1,1),3),YEAR(B47),YEAR(B47)-1))</f>
        <v/>
      </c>
      <c r="D47">
        <f>(B47-(DATE(C47,1,1)-WEEKDAY(DATE(C47,1,1),3)))/7+1</f>
        <v/>
      </c>
      <c r="E47">
        <f>C47&amp;"-W"&amp;TEXT(D47,"00")</f>
        <v/>
      </c>
      <c r="F47" s="27">
        <f>B47+6</f>
        <v/>
      </c>
      <c r="G47">
        <f>TEXT(B47,"mmm-yy")</f>
        <v/>
      </c>
    </row>
    <row r="48">
      <c r="A48" t="n">
        <v>45</v>
      </c>
      <c r="B48" s="27">
        <f>B47+7</f>
        <v/>
      </c>
      <c r="C48">
        <f>IF(B48&gt;=DATE(YEAR(B48)+1,1,1)-WEEKDAY(DATE(YEAR(B48)+1,1,1),3),YEAR(B48)+1,IF(B48&gt;=DATE(YEAR(B48),1,1)-WEEKDAY(DATE(YEAR(B48),1,1),3),YEAR(B48),YEAR(B48)-1))</f>
        <v/>
      </c>
      <c r="D48">
        <f>(B48-(DATE(C48,1,1)-WEEKDAY(DATE(C48,1,1),3)))/7+1</f>
        <v/>
      </c>
      <c r="E48">
        <f>C48&amp;"-W"&amp;TEXT(D48,"00")</f>
        <v/>
      </c>
      <c r="F48" s="27">
        <f>B48+6</f>
        <v/>
      </c>
      <c r="G48">
        <f>TEXT(B48,"mmm-yy")</f>
        <v/>
      </c>
    </row>
    <row r="49">
      <c r="A49" t="n">
        <v>46</v>
      </c>
      <c r="B49" s="27">
        <f>B48+7</f>
        <v/>
      </c>
      <c r="C49">
        <f>IF(B49&gt;=DATE(YEAR(B49)+1,1,1)-WEEKDAY(DATE(YEAR(B49)+1,1,1),3),YEAR(B49)+1,IF(B49&gt;=DATE(YEAR(B49),1,1)-WEEKDAY(DATE(YEAR(B49),1,1),3),YEAR(B49),YEAR(B49)-1))</f>
        <v/>
      </c>
      <c r="D49">
        <f>(B49-(DATE(C49,1,1)-WEEKDAY(DATE(C49,1,1),3)))/7+1</f>
        <v/>
      </c>
      <c r="E49">
        <f>C49&amp;"-W"&amp;TEXT(D49,"00")</f>
        <v/>
      </c>
      <c r="F49" s="27">
        <f>B49+6</f>
        <v/>
      </c>
      <c r="G49">
        <f>TEXT(B49,"mmm-yy")</f>
        <v/>
      </c>
    </row>
    <row r="50">
      <c r="A50" t="n">
        <v>47</v>
      </c>
      <c r="B50" s="27">
        <f>B49+7</f>
        <v/>
      </c>
      <c r="C50">
        <f>IF(B50&gt;=DATE(YEAR(B50)+1,1,1)-WEEKDAY(DATE(YEAR(B50)+1,1,1),3),YEAR(B50)+1,IF(B50&gt;=DATE(YEAR(B50),1,1)-WEEKDAY(DATE(YEAR(B50),1,1),3),YEAR(B50),YEAR(B50)-1))</f>
        <v/>
      </c>
      <c r="D50">
        <f>(B50-(DATE(C50,1,1)-WEEKDAY(DATE(C50,1,1),3)))/7+1</f>
        <v/>
      </c>
      <c r="E50">
        <f>C50&amp;"-W"&amp;TEXT(D50,"00")</f>
        <v/>
      </c>
      <c r="F50" s="27">
        <f>B50+6</f>
        <v/>
      </c>
      <c r="G50">
        <f>TEXT(B50,"mmm-yy")</f>
        <v/>
      </c>
    </row>
    <row r="51">
      <c r="A51" t="n">
        <v>48</v>
      </c>
      <c r="B51" s="27">
        <f>B50+7</f>
        <v/>
      </c>
      <c r="C51">
        <f>IF(B51&gt;=DATE(YEAR(B51)+1,1,1)-WEEKDAY(DATE(YEAR(B51)+1,1,1),3),YEAR(B51)+1,IF(B51&gt;=DATE(YEAR(B51),1,1)-WEEKDAY(DATE(YEAR(B51),1,1),3),YEAR(B51),YEAR(B51)-1))</f>
        <v/>
      </c>
      <c r="D51">
        <f>(B51-(DATE(C51,1,1)-WEEKDAY(DATE(C51,1,1),3)))/7+1</f>
        <v/>
      </c>
      <c r="E51">
        <f>C51&amp;"-W"&amp;TEXT(D51,"00")</f>
        <v/>
      </c>
      <c r="F51" s="27">
        <f>B51+6</f>
        <v/>
      </c>
      <c r="G51">
        <f>TEXT(B51,"mmm-yy")</f>
        <v/>
      </c>
    </row>
    <row r="52">
      <c r="A52" t="n">
        <v>49</v>
      </c>
      <c r="B52" s="27">
        <f>B51+7</f>
        <v/>
      </c>
      <c r="C52">
        <f>IF(B52&gt;=DATE(YEAR(B52)+1,1,1)-WEEKDAY(DATE(YEAR(B52)+1,1,1),3),YEAR(B52)+1,IF(B52&gt;=DATE(YEAR(B52),1,1)-WEEKDAY(DATE(YEAR(B52),1,1),3),YEAR(B52),YEAR(B52)-1))</f>
        <v/>
      </c>
      <c r="D52">
        <f>(B52-(DATE(C52,1,1)-WEEKDAY(DATE(C52,1,1),3)))/7+1</f>
        <v/>
      </c>
      <c r="E52">
        <f>C52&amp;"-W"&amp;TEXT(D52,"00")</f>
        <v/>
      </c>
      <c r="F52" s="27">
        <f>B52+6</f>
        <v/>
      </c>
      <c r="G52">
        <f>TEXT(B52,"mmm-yy")</f>
        <v/>
      </c>
    </row>
    <row r="53">
      <c r="A53" t="n">
        <v>50</v>
      </c>
      <c r="B53" s="27">
        <f>B52+7</f>
        <v/>
      </c>
      <c r="C53">
        <f>IF(B53&gt;=DATE(YEAR(B53)+1,1,1)-WEEKDAY(DATE(YEAR(B53)+1,1,1),3),YEAR(B53)+1,IF(B53&gt;=DATE(YEAR(B53),1,1)-WEEKDAY(DATE(YEAR(B53),1,1),3),YEAR(B53),YEAR(B53)-1))</f>
        <v/>
      </c>
      <c r="D53">
        <f>(B53-(DATE(C53,1,1)-WEEKDAY(DATE(C53,1,1),3)))/7+1</f>
        <v/>
      </c>
      <c r="E53">
        <f>C53&amp;"-W"&amp;TEXT(D53,"00")</f>
        <v/>
      </c>
      <c r="F53" s="27">
        <f>B53+6</f>
        <v/>
      </c>
      <c r="G53">
        <f>TEXT(B53,"mmm-yy")</f>
        <v/>
      </c>
    </row>
    <row r="54">
      <c r="A54" t="n">
        <v>51</v>
      </c>
      <c r="B54" s="27">
        <f>B53+7</f>
        <v/>
      </c>
      <c r="C54">
        <f>IF(B54&gt;=DATE(YEAR(B54)+1,1,1)-WEEKDAY(DATE(YEAR(B54)+1,1,1),3),YEAR(B54)+1,IF(B54&gt;=DATE(YEAR(B54),1,1)-WEEKDAY(DATE(YEAR(B54),1,1),3),YEAR(B54),YEAR(B54)-1))</f>
        <v/>
      </c>
      <c r="D54">
        <f>(B54-(DATE(C54,1,1)-WEEKDAY(DATE(C54,1,1),3)))/7+1</f>
        <v/>
      </c>
      <c r="E54">
        <f>C54&amp;"-W"&amp;TEXT(D54,"00")</f>
        <v/>
      </c>
      <c r="F54" s="27">
        <f>B54+6</f>
        <v/>
      </c>
      <c r="G54">
        <f>TEXT(B54,"mmm-yy")</f>
        <v/>
      </c>
    </row>
    <row r="55">
      <c r="A55" t="n">
        <v>52</v>
      </c>
      <c r="B55" s="27">
        <f>B54+7</f>
        <v/>
      </c>
      <c r="C55">
        <f>IF(B55&gt;=DATE(YEAR(B55)+1,1,1)-WEEKDAY(DATE(YEAR(B55)+1,1,1),3),YEAR(B55)+1,IF(B55&gt;=DATE(YEAR(B55),1,1)-WEEKDAY(DATE(YEAR(B55),1,1),3),YEAR(B55),YEAR(B55)-1))</f>
        <v/>
      </c>
      <c r="D55">
        <f>(B55-(DATE(C55,1,1)-WEEKDAY(DATE(C55,1,1),3)))/7+1</f>
        <v/>
      </c>
      <c r="E55">
        <f>C55&amp;"-W"&amp;TEXT(D55,"00")</f>
        <v/>
      </c>
      <c r="F55" s="27">
        <f>B55+6</f>
        <v/>
      </c>
      <c r="G55">
        <f>TEXT(B55,"mmm-yy")</f>
        <v/>
      </c>
    </row>
    <row r="56">
      <c r="A56" t="n">
        <v>53</v>
      </c>
      <c r="B56" s="27">
        <f>B55+7</f>
        <v/>
      </c>
      <c r="C56">
        <f>IF(B56&gt;=DATE(YEAR(B56)+1,1,1)-WEEKDAY(DATE(YEAR(B56)+1,1,1),3),YEAR(B56)+1,IF(B56&gt;=DATE(YEAR(B56),1,1)-WEEKDAY(DATE(YEAR(B56),1,1),3),YEAR(B56),YEAR(B56)-1))</f>
        <v/>
      </c>
      <c r="D56">
        <f>(B56-(DATE(C56,1,1)-WEEKDAY(DATE(C56,1,1),3)))/7+1</f>
        <v/>
      </c>
      <c r="E56">
        <f>C56&amp;"-W"&amp;TEXT(D56,"00")</f>
        <v/>
      </c>
      <c r="F56" s="27">
        <f>B56+6</f>
        <v/>
      </c>
      <c r="G56">
        <f>TEXT(B56,"mmm-yy")</f>
        <v/>
      </c>
    </row>
    <row r="57">
      <c r="A57" t="n">
        <v>54</v>
      </c>
      <c r="B57" s="27">
        <f>B56+7</f>
        <v/>
      </c>
      <c r="C57">
        <f>IF(B57&gt;=DATE(YEAR(B57)+1,1,1)-WEEKDAY(DATE(YEAR(B57)+1,1,1),3),YEAR(B57)+1,IF(B57&gt;=DATE(YEAR(B57),1,1)-WEEKDAY(DATE(YEAR(B57),1,1),3),YEAR(B57),YEAR(B57)-1))</f>
        <v/>
      </c>
      <c r="D57">
        <f>(B57-(DATE(C57,1,1)-WEEKDAY(DATE(C57,1,1),3)))/7+1</f>
        <v/>
      </c>
      <c r="E57">
        <f>C57&amp;"-W"&amp;TEXT(D57,"00")</f>
        <v/>
      </c>
      <c r="F57" s="27">
        <f>B57+6</f>
        <v/>
      </c>
      <c r="G57">
        <f>TEXT(B57,"mmm-yy")</f>
        <v/>
      </c>
    </row>
    <row r="58">
      <c r="A58" t="n">
        <v>55</v>
      </c>
      <c r="B58" s="27">
        <f>B57+7</f>
        <v/>
      </c>
      <c r="C58">
        <f>IF(B58&gt;=DATE(YEAR(B58)+1,1,1)-WEEKDAY(DATE(YEAR(B58)+1,1,1),3),YEAR(B58)+1,IF(B58&gt;=DATE(YEAR(B58),1,1)-WEEKDAY(DATE(YEAR(B58),1,1),3),YEAR(B58),YEAR(B58)-1))</f>
        <v/>
      </c>
      <c r="D58">
        <f>(B58-(DATE(C58,1,1)-WEEKDAY(DATE(C58,1,1),3)))/7+1</f>
        <v/>
      </c>
      <c r="E58">
        <f>C58&amp;"-W"&amp;TEXT(D58,"00")</f>
        <v/>
      </c>
      <c r="F58" s="27">
        <f>B58+6</f>
        <v/>
      </c>
      <c r="G58">
        <f>TEXT(B58,"mmm-yy")</f>
        <v/>
      </c>
    </row>
    <row r="59">
      <c r="A59" t="n">
        <v>56</v>
      </c>
      <c r="B59" s="27">
        <f>B58+7</f>
        <v/>
      </c>
      <c r="C59">
        <f>IF(B59&gt;=DATE(YEAR(B59)+1,1,1)-WEEKDAY(DATE(YEAR(B59)+1,1,1),3),YEAR(B59)+1,IF(B59&gt;=DATE(YEAR(B59),1,1)-WEEKDAY(DATE(YEAR(B59),1,1),3),YEAR(B59),YEAR(B59)-1))</f>
        <v/>
      </c>
      <c r="D59">
        <f>(B59-(DATE(C59,1,1)-WEEKDAY(DATE(C59,1,1),3)))/7+1</f>
        <v/>
      </c>
      <c r="E59">
        <f>C59&amp;"-W"&amp;TEXT(D59,"00")</f>
        <v/>
      </c>
      <c r="F59" s="27">
        <f>B59+6</f>
        <v/>
      </c>
      <c r="G59">
        <f>TEXT(B59,"mmm-yy")</f>
        <v/>
      </c>
    </row>
    <row r="60">
      <c r="A60" t="n">
        <v>57</v>
      </c>
      <c r="B60" s="27">
        <f>B59+7</f>
        <v/>
      </c>
      <c r="C60">
        <f>IF(B60&gt;=DATE(YEAR(B60)+1,1,1)-WEEKDAY(DATE(YEAR(B60)+1,1,1),3),YEAR(B60)+1,IF(B60&gt;=DATE(YEAR(B60),1,1)-WEEKDAY(DATE(YEAR(B60),1,1),3),YEAR(B60),YEAR(B60)-1))</f>
        <v/>
      </c>
      <c r="D60">
        <f>(B60-(DATE(C60,1,1)-WEEKDAY(DATE(C60,1,1),3)))/7+1</f>
        <v/>
      </c>
      <c r="E60">
        <f>C60&amp;"-W"&amp;TEXT(D60,"00")</f>
        <v/>
      </c>
      <c r="F60" s="27">
        <f>B60+6</f>
        <v/>
      </c>
      <c r="G60">
        <f>TEXT(B60,"mmm-yy")</f>
        <v/>
      </c>
    </row>
    <row r="61">
      <c r="A61" t="n">
        <v>58</v>
      </c>
      <c r="B61" s="27">
        <f>B60+7</f>
        <v/>
      </c>
      <c r="C61">
        <f>IF(B61&gt;=DATE(YEAR(B61)+1,1,1)-WEEKDAY(DATE(YEAR(B61)+1,1,1),3),YEAR(B61)+1,IF(B61&gt;=DATE(YEAR(B61),1,1)-WEEKDAY(DATE(YEAR(B61),1,1),3),YEAR(B61),YEAR(B61)-1))</f>
        <v/>
      </c>
      <c r="D61">
        <f>(B61-(DATE(C61,1,1)-WEEKDAY(DATE(C61,1,1),3)))/7+1</f>
        <v/>
      </c>
      <c r="E61">
        <f>C61&amp;"-W"&amp;TEXT(D61,"00")</f>
        <v/>
      </c>
      <c r="F61" s="27">
        <f>B61+6</f>
        <v/>
      </c>
      <c r="G61">
        <f>TEXT(B61,"mmm-yy")</f>
        <v/>
      </c>
    </row>
    <row r="62">
      <c r="A62" t="n">
        <v>59</v>
      </c>
      <c r="B62" s="27">
        <f>B61+7</f>
        <v/>
      </c>
      <c r="C62">
        <f>IF(B62&gt;=DATE(YEAR(B62)+1,1,1)-WEEKDAY(DATE(YEAR(B62)+1,1,1),3),YEAR(B62)+1,IF(B62&gt;=DATE(YEAR(B62),1,1)-WEEKDAY(DATE(YEAR(B62),1,1),3),YEAR(B62),YEAR(B62)-1))</f>
        <v/>
      </c>
      <c r="D62">
        <f>(B62-(DATE(C62,1,1)-WEEKDAY(DATE(C62,1,1),3)))/7+1</f>
        <v/>
      </c>
      <c r="E62">
        <f>C62&amp;"-W"&amp;TEXT(D62,"00")</f>
        <v/>
      </c>
      <c r="F62" s="27">
        <f>B62+6</f>
        <v/>
      </c>
      <c r="G62">
        <f>TEXT(B62,"mmm-yy")</f>
        <v/>
      </c>
    </row>
    <row r="63">
      <c r="A63" t="n">
        <v>60</v>
      </c>
      <c r="B63" s="27">
        <f>B62+7</f>
        <v/>
      </c>
      <c r="C63">
        <f>IF(B63&gt;=DATE(YEAR(B63)+1,1,1)-WEEKDAY(DATE(YEAR(B63)+1,1,1),3),YEAR(B63)+1,IF(B63&gt;=DATE(YEAR(B63),1,1)-WEEKDAY(DATE(YEAR(B63),1,1),3),YEAR(B63),YEAR(B63)-1))</f>
        <v/>
      </c>
      <c r="D63">
        <f>(B63-(DATE(C63,1,1)-WEEKDAY(DATE(C63,1,1),3)))/7+1</f>
        <v/>
      </c>
      <c r="E63">
        <f>C63&amp;"-W"&amp;TEXT(D63,"00")</f>
        <v/>
      </c>
      <c r="F63" s="27">
        <f>B63+6</f>
        <v/>
      </c>
      <c r="G63">
        <f>TEXT(B63,"mmm-yy")</f>
        <v/>
      </c>
    </row>
    <row r="64">
      <c r="A64" t="n">
        <v>61</v>
      </c>
      <c r="B64" s="27">
        <f>B63+7</f>
        <v/>
      </c>
      <c r="C64">
        <f>IF(B64&gt;=DATE(YEAR(B64)+1,1,1)-WEEKDAY(DATE(YEAR(B64)+1,1,1),3),YEAR(B64)+1,IF(B64&gt;=DATE(YEAR(B64),1,1)-WEEKDAY(DATE(YEAR(B64),1,1),3),YEAR(B64),YEAR(B64)-1))</f>
        <v/>
      </c>
      <c r="D64">
        <f>(B64-(DATE(C64,1,1)-WEEKDAY(DATE(C64,1,1),3)))/7+1</f>
        <v/>
      </c>
      <c r="E64">
        <f>C64&amp;"-W"&amp;TEXT(D64,"00")</f>
        <v/>
      </c>
      <c r="F64" s="27">
        <f>B64+6</f>
        <v/>
      </c>
      <c r="G64">
        <f>TEXT(B64,"mmm-yy")</f>
        <v/>
      </c>
    </row>
    <row r="65">
      <c r="A65" t="n">
        <v>62</v>
      </c>
      <c r="B65" s="27">
        <f>B64+7</f>
        <v/>
      </c>
      <c r="C65">
        <f>IF(B65&gt;=DATE(YEAR(B65)+1,1,1)-WEEKDAY(DATE(YEAR(B65)+1,1,1),3),YEAR(B65)+1,IF(B65&gt;=DATE(YEAR(B65),1,1)-WEEKDAY(DATE(YEAR(B65),1,1),3),YEAR(B65),YEAR(B65)-1))</f>
        <v/>
      </c>
      <c r="D65">
        <f>(B65-(DATE(C65,1,1)-WEEKDAY(DATE(C65,1,1),3)))/7+1</f>
        <v/>
      </c>
      <c r="E65">
        <f>C65&amp;"-W"&amp;TEXT(D65,"00")</f>
        <v/>
      </c>
      <c r="F65" s="27">
        <f>B65+6</f>
        <v/>
      </c>
      <c r="G65">
        <f>TEXT(B65,"mmm-yy")</f>
        <v/>
      </c>
    </row>
    <row r="66">
      <c r="A66" t="n">
        <v>63</v>
      </c>
      <c r="B66" s="27">
        <f>B65+7</f>
        <v/>
      </c>
      <c r="C66">
        <f>IF(B66&gt;=DATE(YEAR(B66)+1,1,1)-WEEKDAY(DATE(YEAR(B66)+1,1,1),3),YEAR(B66)+1,IF(B66&gt;=DATE(YEAR(B66),1,1)-WEEKDAY(DATE(YEAR(B66),1,1),3),YEAR(B66),YEAR(B66)-1))</f>
        <v/>
      </c>
      <c r="D66">
        <f>(B66-(DATE(C66,1,1)-WEEKDAY(DATE(C66,1,1),3)))/7+1</f>
        <v/>
      </c>
      <c r="E66">
        <f>C66&amp;"-W"&amp;TEXT(D66,"00")</f>
        <v/>
      </c>
      <c r="F66" s="27">
        <f>B66+6</f>
        <v/>
      </c>
      <c r="G66">
        <f>TEXT(B66,"mmm-yy")</f>
        <v/>
      </c>
    </row>
    <row r="67">
      <c r="A67" t="n">
        <v>64</v>
      </c>
      <c r="B67" s="27">
        <f>B66+7</f>
        <v/>
      </c>
      <c r="C67">
        <f>IF(B67&gt;=DATE(YEAR(B67)+1,1,1)-WEEKDAY(DATE(YEAR(B67)+1,1,1),3),YEAR(B67)+1,IF(B67&gt;=DATE(YEAR(B67),1,1)-WEEKDAY(DATE(YEAR(B67),1,1),3),YEAR(B67),YEAR(B67)-1))</f>
        <v/>
      </c>
      <c r="D67">
        <f>(B67-(DATE(C67,1,1)-WEEKDAY(DATE(C67,1,1),3)))/7+1</f>
        <v/>
      </c>
      <c r="E67">
        <f>C67&amp;"-W"&amp;TEXT(D67,"00")</f>
        <v/>
      </c>
      <c r="F67" s="27">
        <f>B67+6</f>
        <v/>
      </c>
      <c r="G67">
        <f>TEXT(B67,"mmm-yy")</f>
        <v/>
      </c>
    </row>
    <row r="68">
      <c r="A68" t="n">
        <v>65</v>
      </c>
      <c r="B68" s="27">
        <f>B67+7</f>
        <v/>
      </c>
      <c r="C68">
        <f>IF(B68&gt;=DATE(YEAR(B68)+1,1,1)-WEEKDAY(DATE(YEAR(B68)+1,1,1),3),YEAR(B68)+1,IF(B68&gt;=DATE(YEAR(B68),1,1)-WEEKDAY(DATE(YEAR(B68),1,1),3),YEAR(B68),YEAR(B68)-1))</f>
        <v/>
      </c>
      <c r="D68">
        <f>(B68-(DATE(C68,1,1)-WEEKDAY(DATE(C68,1,1),3)))/7+1</f>
        <v/>
      </c>
      <c r="E68">
        <f>C68&amp;"-W"&amp;TEXT(D68,"00")</f>
        <v/>
      </c>
      <c r="F68" s="27">
        <f>B68+6</f>
        <v/>
      </c>
      <c r="G68">
        <f>TEXT(B68,"mmm-yy")</f>
        <v/>
      </c>
    </row>
    <row r="69">
      <c r="A69" t="n">
        <v>66</v>
      </c>
      <c r="B69" s="27">
        <f>B68+7</f>
        <v/>
      </c>
      <c r="C69">
        <f>IF(B69&gt;=DATE(YEAR(B69)+1,1,1)-WEEKDAY(DATE(YEAR(B69)+1,1,1),3),YEAR(B69)+1,IF(B69&gt;=DATE(YEAR(B69),1,1)-WEEKDAY(DATE(YEAR(B69),1,1),3),YEAR(B69),YEAR(B69)-1))</f>
        <v/>
      </c>
      <c r="D69">
        <f>(B69-(DATE(C69,1,1)-WEEKDAY(DATE(C69,1,1),3)))/7+1</f>
        <v/>
      </c>
      <c r="E69">
        <f>C69&amp;"-W"&amp;TEXT(D69,"00")</f>
        <v/>
      </c>
      <c r="F69" s="27">
        <f>B69+6</f>
        <v/>
      </c>
      <c r="G69">
        <f>TEXT(B69,"mmm-yy")</f>
        <v/>
      </c>
    </row>
    <row r="70">
      <c r="A70" t="n">
        <v>67</v>
      </c>
      <c r="B70" s="27">
        <f>B69+7</f>
        <v/>
      </c>
      <c r="C70">
        <f>IF(B70&gt;=DATE(YEAR(B70)+1,1,1)-WEEKDAY(DATE(YEAR(B70)+1,1,1),3),YEAR(B70)+1,IF(B70&gt;=DATE(YEAR(B70),1,1)-WEEKDAY(DATE(YEAR(B70),1,1),3),YEAR(B70),YEAR(B70)-1))</f>
        <v/>
      </c>
      <c r="D70">
        <f>(B70-(DATE(C70,1,1)-WEEKDAY(DATE(C70,1,1),3)))/7+1</f>
        <v/>
      </c>
      <c r="E70">
        <f>C70&amp;"-W"&amp;TEXT(D70,"00")</f>
        <v/>
      </c>
      <c r="F70" s="27">
        <f>B70+6</f>
        <v/>
      </c>
      <c r="G70">
        <f>TEXT(B70,"mmm-yy")</f>
        <v/>
      </c>
    </row>
    <row r="71">
      <c r="A71" t="n">
        <v>68</v>
      </c>
      <c r="B71" s="27">
        <f>B70+7</f>
        <v/>
      </c>
      <c r="C71">
        <f>IF(B71&gt;=DATE(YEAR(B71)+1,1,1)-WEEKDAY(DATE(YEAR(B71)+1,1,1),3),YEAR(B71)+1,IF(B71&gt;=DATE(YEAR(B71),1,1)-WEEKDAY(DATE(YEAR(B71),1,1),3),YEAR(B71),YEAR(B71)-1))</f>
        <v/>
      </c>
      <c r="D71">
        <f>(B71-(DATE(C71,1,1)-WEEKDAY(DATE(C71,1,1),3)))/7+1</f>
        <v/>
      </c>
      <c r="E71">
        <f>C71&amp;"-W"&amp;TEXT(D71,"00")</f>
        <v/>
      </c>
      <c r="F71" s="27">
        <f>B71+6</f>
        <v/>
      </c>
      <c r="G71">
        <f>TEXT(B71,"mmm-yy")</f>
        <v/>
      </c>
    </row>
    <row r="72">
      <c r="A72" t="n">
        <v>69</v>
      </c>
      <c r="B72" s="27">
        <f>B71+7</f>
        <v/>
      </c>
      <c r="C72">
        <f>IF(B72&gt;=DATE(YEAR(B72)+1,1,1)-WEEKDAY(DATE(YEAR(B72)+1,1,1),3),YEAR(B72)+1,IF(B72&gt;=DATE(YEAR(B72),1,1)-WEEKDAY(DATE(YEAR(B72),1,1),3),YEAR(B72),YEAR(B72)-1))</f>
        <v/>
      </c>
      <c r="D72">
        <f>(B72-(DATE(C72,1,1)-WEEKDAY(DATE(C72,1,1),3)))/7+1</f>
        <v/>
      </c>
      <c r="E72">
        <f>C72&amp;"-W"&amp;TEXT(D72,"00")</f>
        <v/>
      </c>
      <c r="F72" s="27">
        <f>B72+6</f>
        <v/>
      </c>
      <c r="G72">
        <f>TEXT(B72,"mmm-yy")</f>
        <v/>
      </c>
    </row>
    <row r="73">
      <c r="A73" t="n">
        <v>70</v>
      </c>
      <c r="B73" s="27">
        <f>B72+7</f>
        <v/>
      </c>
      <c r="C73">
        <f>IF(B73&gt;=DATE(YEAR(B73)+1,1,1)-WEEKDAY(DATE(YEAR(B73)+1,1,1),3),YEAR(B73)+1,IF(B73&gt;=DATE(YEAR(B73),1,1)-WEEKDAY(DATE(YEAR(B73),1,1),3),YEAR(B73),YEAR(B73)-1))</f>
        <v/>
      </c>
      <c r="D73">
        <f>(B73-(DATE(C73,1,1)-WEEKDAY(DATE(C73,1,1),3)))/7+1</f>
        <v/>
      </c>
      <c r="E73">
        <f>C73&amp;"-W"&amp;TEXT(D73,"00")</f>
        <v/>
      </c>
      <c r="F73" s="27">
        <f>B73+6</f>
        <v/>
      </c>
      <c r="G73">
        <f>TEXT(B73,"mmm-yy")</f>
        <v/>
      </c>
    </row>
    <row r="74">
      <c r="A74" t="n">
        <v>71</v>
      </c>
      <c r="B74" s="27">
        <f>B73+7</f>
        <v/>
      </c>
      <c r="C74">
        <f>IF(B74&gt;=DATE(YEAR(B74)+1,1,1)-WEEKDAY(DATE(YEAR(B74)+1,1,1),3),YEAR(B74)+1,IF(B74&gt;=DATE(YEAR(B74),1,1)-WEEKDAY(DATE(YEAR(B74),1,1),3),YEAR(B74),YEAR(B74)-1))</f>
        <v/>
      </c>
      <c r="D74">
        <f>(B74-(DATE(C74,1,1)-WEEKDAY(DATE(C74,1,1),3)))/7+1</f>
        <v/>
      </c>
      <c r="E74">
        <f>C74&amp;"-W"&amp;TEXT(D74,"00")</f>
        <v/>
      </c>
      <c r="F74" s="27">
        <f>B74+6</f>
        <v/>
      </c>
      <c r="G74">
        <f>TEXT(B74,"mmm-yy")</f>
        <v/>
      </c>
    </row>
    <row r="75">
      <c r="A75" t="n">
        <v>72</v>
      </c>
      <c r="B75" s="27">
        <f>B74+7</f>
        <v/>
      </c>
      <c r="C75">
        <f>IF(B75&gt;=DATE(YEAR(B75)+1,1,1)-WEEKDAY(DATE(YEAR(B75)+1,1,1),3),YEAR(B75)+1,IF(B75&gt;=DATE(YEAR(B75),1,1)-WEEKDAY(DATE(YEAR(B75),1,1),3),YEAR(B75),YEAR(B75)-1))</f>
        <v/>
      </c>
      <c r="D75">
        <f>(B75-(DATE(C75,1,1)-WEEKDAY(DATE(C75,1,1),3)))/7+1</f>
        <v/>
      </c>
      <c r="E75">
        <f>C75&amp;"-W"&amp;TEXT(D75,"00")</f>
        <v/>
      </c>
      <c r="F75" s="27">
        <f>B75+6</f>
        <v/>
      </c>
      <c r="G75">
        <f>TEXT(B75,"mmm-yy")</f>
        <v/>
      </c>
    </row>
    <row r="76">
      <c r="A76" t="n">
        <v>73</v>
      </c>
      <c r="B76" s="27">
        <f>B75+7</f>
        <v/>
      </c>
      <c r="C76">
        <f>IF(B76&gt;=DATE(YEAR(B76)+1,1,1)-WEEKDAY(DATE(YEAR(B76)+1,1,1),3),YEAR(B76)+1,IF(B76&gt;=DATE(YEAR(B76),1,1)-WEEKDAY(DATE(YEAR(B76),1,1),3),YEAR(B76),YEAR(B76)-1))</f>
        <v/>
      </c>
      <c r="D76">
        <f>(B76-(DATE(C76,1,1)-WEEKDAY(DATE(C76,1,1),3)))/7+1</f>
        <v/>
      </c>
      <c r="E76">
        <f>C76&amp;"-W"&amp;TEXT(D76,"00")</f>
        <v/>
      </c>
      <c r="F76" s="27">
        <f>B76+6</f>
        <v/>
      </c>
      <c r="G76">
        <f>TEXT(B76,"mmm-yy")</f>
        <v/>
      </c>
    </row>
    <row r="77">
      <c r="A77" t="n">
        <v>74</v>
      </c>
      <c r="B77" s="27">
        <f>B76+7</f>
        <v/>
      </c>
      <c r="C77">
        <f>IF(B77&gt;=DATE(YEAR(B77)+1,1,1)-WEEKDAY(DATE(YEAR(B77)+1,1,1),3),YEAR(B77)+1,IF(B77&gt;=DATE(YEAR(B77),1,1)-WEEKDAY(DATE(YEAR(B77),1,1),3),YEAR(B77),YEAR(B77)-1))</f>
        <v/>
      </c>
      <c r="D77">
        <f>(B77-(DATE(C77,1,1)-WEEKDAY(DATE(C77,1,1),3)))/7+1</f>
        <v/>
      </c>
      <c r="E77">
        <f>C77&amp;"-W"&amp;TEXT(D77,"00")</f>
        <v/>
      </c>
      <c r="F77" s="27">
        <f>B77+6</f>
        <v/>
      </c>
      <c r="G77">
        <f>TEXT(B77,"mmm-yy")</f>
        <v/>
      </c>
    </row>
    <row r="78">
      <c r="A78" t="n">
        <v>75</v>
      </c>
      <c r="B78" s="27">
        <f>B77+7</f>
        <v/>
      </c>
      <c r="C78">
        <f>IF(B78&gt;=DATE(YEAR(B78)+1,1,1)-WEEKDAY(DATE(YEAR(B78)+1,1,1),3),YEAR(B78)+1,IF(B78&gt;=DATE(YEAR(B78),1,1)-WEEKDAY(DATE(YEAR(B78),1,1),3),YEAR(B78),YEAR(B78)-1))</f>
        <v/>
      </c>
      <c r="D78">
        <f>(B78-(DATE(C78,1,1)-WEEKDAY(DATE(C78,1,1),3)))/7+1</f>
        <v/>
      </c>
      <c r="E78">
        <f>C78&amp;"-W"&amp;TEXT(D78,"00")</f>
        <v/>
      </c>
      <c r="F78" s="27">
        <f>B78+6</f>
        <v/>
      </c>
      <c r="G78">
        <f>TEXT(B78,"mmm-yy")</f>
        <v/>
      </c>
    </row>
    <row r="79">
      <c r="A79" t="n">
        <v>76</v>
      </c>
      <c r="B79" s="27">
        <f>B78+7</f>
        <v/>
      </c>
      <c r="C79">
        <f>IF(B79&gt;=DATE(YEAR(B79)+1,1,1)-WEEKDAY(DATE(YEAR(B79)+1,1,1),3),YEAR(B79)+1,IF(B79&gt;=DATE(YEAR(B79),1,1)-WEEKDAY(DATE(YEAR(B79),1,1),3),YEAR(B79),YEAR(B79)-1))</f>
        <v/>
      </c>
      <c r="D79">
        <f>(B79-(DATE(C79,1,1)-WEEKDAY(DATE(C79,1,1),3)))/7+1</f>
        <v/>
      </c>
      <c r="E79">
        <f>C79&amp;"-W"&amp;TEXT(D79,"00")</f>
        <v/>
      </c>
      <c r="F79" s="27">
        <f>B79+6</f>
        <v/>
      </c>
      <c r="G79">
        <f>TEXT(B79,"mmm-yy")</f>
        <v/>
      </c>
    </row>
    <row r="80">
      <c r="A80" t="n">
        <v>77</v>
      </c>
      <c r="B80" s="27">
        <f>B79+7</f>
        <v/>
      </c>
      <c r="C80">
        <f>IF(B80&gt;=DATE(YEAR(B80)+1,1,1)-WEEKDAY(DATE(YEAR(B80)+1,1,1),3),YEAR(B80)+1,IF(B80&gt;=DATE(YEAR(B80),1,1)-WEEKDAY(DATE(YEAR(B80),1,1),3),YEAR(B80),YEAR(B80)-1))</f>
        <v/>
      </c>
      <c r="D80">
        <f>(B80-(DATE(C80,1,1)-WEEKDAY(DATE(C80,1,1),3)))/7+1</f>
        <v/>
      </c>
      <c r="E80">
        <f>C80&amp;"-W"&amp;TEXT(D80,"00")</f>
        <v/>
      </c>
      <c r="F80" s="27">
        <f>B80+6</f>
        <v/>
      </c>
      <c r="G80">
        <f>TEXT(B80,"mmm-yy")</f>
        <v/>
      </c>
    </row>
    <row r="81">
      <c r="A81" t="n">
        <v>78</v>
      </c>
      <c r="B81" s="27">
        <f>B80+7</f>
        <v/>
      </c>
      <c r="C81">
        <f>IF(B81&gt;=DATE(YEAR(B81)+1,1,1)-WEEKDAY(DATE(YEAR(B81)+1,1,1),3),YEAR(B81)+1,IF(B81&gt;=DATE(YEAR(B81),1,1)-WEEKDAY(DATE(YEAR(B81),1,1),3),YEAR(B81),YEAR(B81)-1))</f>
        <v/>
      </c>
      <c r="D81">
        <f>(B81-(DATE(C81,1,1)-WEEKDAY(DATE(C81,1,1),3)))/7+1</f>
        <v/>
      </c>
      <c r="E81">
        <f>C81&amp;"-W"&amp;TEXT(D81,"00")</f>
        <v/>
      </c>
      <c r="F81" s="27">
        <f>B81+6</f>
        <v/>
      </c>
      <c r="G81">
        <f>TEXT(B81,"mmm-yy")</f>
        <v/>
      </c>
    </row>
    <row r="82">
      <c r="A82" t="n">
        <v>79</v>
      </c>
      <c r="B82" s="27">
        <f>B81+7</f>
        <v/>
      </c>
      <c r="C82">
        <f>IF(B82&gt;=DATE(YEAR(B82)+1,1,1)-WEEKDAY(DATE(YEAR(B82)+1,1,1),3),YEAR(B82)+1,IF(B82&gt;=DATE(YEAR(B82),1,1)-WEEKDAY(DATE(YEAR(B82),1,1),3),YEAR(B82),YEAR(B82)-1))</f>
        <v/>
      </c>
      <c r="D82">
        <f>(B82-(DATE(C82,1,1)-WEEKDAY(DATE(C82,1,1),3)))/7+1</f>
        <v/>
      </c>
      <c r="E82">
        <f>C82&amp;"-W"&amp;TEXT(D82,"00")</f>
        <v/>
      </c>
      <c r="F82" s="27">
        <f>B82+6</f>
        <v/>
      </c>
      <c r="G82">
        <f>TEXT(B82,"mmm-yy")</f>
        <v/>
      </c>
    </row>
    <row r="83">
      <c r="A83" t="n">
        <v>80</v>
      </c>
      <c r="B83" s="27">
        <f>B82+7</f>
        <v/>
      </c>
      <c r="C83">
        <f>IF(B83&gt;=DATE(YEAR(B83)+1,1,1)-WEEKDAY(DATE(YEAR(B83)+1,1,1),3),YEAR(B83)+1,IF(B83&gt;=DATE(YEAR(B83),1,1)-WEEKDAY(DATE(YEAR(B83),1,1),3),YEAR(B83),YEAR(B83)-1))</f>
        <v/>
      </c>
      <c r="D83">
        <f>(B83-(DATE(C83,1,1)-WEEKDAY(DATE(C83,1,1),3)))/7+1</f>
        <v/>
      </c>
      <c r="E83">
        <f>C83&amp;"-W"&amp;TEXT(D83,"00")</f>
        <v/>
      </c>
      <c r="F83" s="27">
        <f>B83+6</f>
        <v/>
      </c>
      <c r="G83">
        <f>TEXT(B83,"mmm-yy")</f>
        <v/>
      </c>
    </row>
    <row r="84">
      <c r="A84" t="n">
        <v>81</v>
      </c>
      <c r="B84" s="27">
        <f>B83+7</f>
        <v/>
      </c>
      <c r="C84">
        <f>IF(B84&gt;=DATE(YEAR(B84)+1,1,1)-WEEKDAY(DATE(YEAR(B84)+1,1,1),3),YEAR(B84)+1,IF(B84&gt;=DATE(YEAR(B84),1,1)-WEEKDAY(DATE(YEAR(B84),1,1),3),YEAR(B84),YEAR(B84)-1))</f>
        <v/>
      </c>
      <c r="D84">
        <f>(B84-(DATE(C84,1,1)-WEEKDAY(DATE(C84,1,1),3)))/7+1</f>
        <v/>
      </c>
      <c r="E84">
        <f>C84&amp;"-W"&amp;TEXT(D84,"00")</f>
        <v/>
      </c>
      <c r="F84" s="27">
        <f>B84+6</f>
        <v/>
      </c>
      <c r="G84">
        <f>TEXT(B84,"mmm-yy")</f>
        <v/>
      </c>
    </row>
    <row r="85">
      <c r="A85" t="n">
        <v>82</v>
      </c>
      <c r="B85" s="27">
        <f>B84+7</f>
        <v/>
      </c>
      <c r="C85">
        <f>IF(B85&gt;=DATE(YEAR(B85)+1,1,1)-WEEKDAY(DATE(YEAR(B85)+1,1,1),3),YEAR(B85)+1,IF(B85&gt;=DATE(YEAR(B85),1,1)-WEEKDAY(DATE(YEAR(B85),1,1),3),YEAR(B85),YEAR(B85)-1))</f>
        <v/>
      </c>
      <c r="D85">
        <f>(B85-(DATE(C85,1,1)-WEEKDAY(DATE(C85,1,1),3)))/7+1</f>
        <v/>
      </c>
      <c r="E85">
        <f>C85&amp;"-W"&amp;TEXT(D85,"00")</f>
        <v/>
      </c>
      <c r="F85" s="27">
        <f>B85+6</f>
        <v/>
      </c>
      <c r="G85">
        <f>TEXT(B85,"mmm-yy")</f>
        <v/>
      </c>
    </row>
    <row r="86">
      <c r="A86" t="n">
        <v>83</v>
      </c>
      <c r="B86" s="27">
        <f>B85+7</f>
        <v/>
      </c>
      <c r="C86">
        <f>IF(B86&gt;=DATE(YEAR(B86)+1,1,1)-WEEKDAY(DATE(YEAR(B86)+1,1,1),3),YEAR(B86)+1,IF(B86&gt;=DATE(YEAR(B86),1,1)-WEEKDAY(DATE(YEAR(B86),1,1),3),YEAR(B86),YEAR(B86)-1))</f>
        <v/>
      </c>
      <c r="D86">
        <f>(B86-(DATE(C86,1,1)-WEEKDAY(DATE(C86,1,1),3)))/7+1</f>
        <v/>
      </c>
      <c r="E86">
        <f>C86&amp;"-W"&amp;TEXT(D86,"00")</f>
        <v/>
      </c>
      <c r="F86" s="27">
        <f>B86+6</f>
        <v/>
      </c>
      <c r="G86">
        <f>TEXT(B86,"mmm-yy")</f>
        <v/>
      </c>
    </row>
    <row r="87">
      <c r="A87" t="n">
        <v>84</v>
      </c>
      <c r="B87" s="27">
        <f>B86+7</f>
        <v/>
      </c>
      <c r="C87">
        <f>IF(B87&gt;=DATE(YEAR(B87)+1,1,1)-WEEKDAY(DATE(YEAR(B87)+1,1,1),3),YEAR(B87)+1,IF(B87&gt;=DATE(YEAR(B87),1,1)-WEEKDAY(DATE(YEAR(B87),1,1),3),YEAR(B87),YEAR(B87)-1))</f>
        <v/>
      </c>
      <c r="D87">
        <f>(B87-(DATE(C87,1,1)-WEEKDAY(DATE(C87,1,1),3)))/7+1</f>
        <v/>
      </c>
      <c r="E87">
        <f>C87&amp;"-W"&amp;TEXT(D87,"00")</f>
        <v/>
      </c>
      <c r="F87" s="27">
        <f>B87+6</f>
        <v/>
      </c>
      <c r="G87">
        <f>TEXT(B87,"mmm-yy")</f>
        <v/>
      </c>
    </row>
    <row r="88">
      <c r="A88" t="n">
        <v>85</v>
      </c>
      <c r="B88" s="27">
        <f>B87+7</f>
        <v/>
      </c>
      <c r="C88">
        <f>IF(B88&gt;=DATE(YEAR(B88)+1,1,1)-WEEKDAY(DATE(YEAR(B88)+1,1,1),3),YEAR(B88)+1,IF(B88&gt;=DATE(YEAR(B88),1,1)-WEEKDAY(DATE(YEAR(B88),1,1),3),YEAR(B88),YEAR(B88)-1))</f>
        <v/>
      </c>
      <c r="D88">
        <f>(B88-(DATE(C88,1,1)-WEEKDAY(DATE(C88,1,1),3)))/7+1</f>
        <v/>
      </c>
      <c r="E88">
        <f>C88&amp;"-W"&amp;TEXT(D88,"00")</f>
        <v/>
      </c>
      <c r="F88" s="27">
        <f>B88+6</f>
        <v/>
      </c>
      <c r="G88">
        <f>TEXT(B88,"mmm-yy")</f>
        <v/>
      </c>
    </row>
    <row r="89">
      <c r="A89" t="n">
        <v>86</v>
      </c>
      <c r="B89" s="27">
        <f>B88+7</f>
        <v/>
      </c>
      <c r="C89">
        <f>IF(B89&gt;=DATE(YEAR(B89)+1,1,1)-WEEKDAY(DATE(YEAR(B89)+1,1,1),3),YEAR(B89)+1,IF(B89&gt;=DATE(YEAR(B89),1,1)-WEEKDAY(DATE(YEAR(B89),1,1),3),YEAR(B89),YEAR(B89)-1))</f>
        <v/>
      </c>
      <c r="D89">
        <f>(B89-(DATE(C89,1,1)-WEEKDAY(DATE(C89,1,1),3)))/7+1</f>
        <v/>
      </c>
      <c r="E89">
        <f>C89&amp;"-W"&amp;TEXT(D89,"00")</f>
        <v/>
      </c>
      <c r="F89" s="27">
        <f>B89+6</f>
        <v/>
      </c>
      <c r="G89">
        <f>TEXT(B89,"mmm-yy")</f>
        <v/>
      </c>
    </row>
    <row r="90">
      <c r="A90" t="n">
        <v>87</v>
      </c>
      <c r="B90" s="27">
        <f>B89+7</f>
        <v/>
      </c>
      <c r="C90">
        <f>IF(B90&gt;=DATE(YEAR(B90)+1,1,1)-WEEKDAY(DATE(YEAR(B90)+1,1,1),3),YEAR(B90)+1,IF(B90&gt;=DATE(YEAR(B90),1,1)-WEEKDAY(DATE(YEAR(B90),1,1),3),YEAR(B90),YEAR(B90)-1))</f>
        <v/>
      </c>
      <c r="D90">
        <f>(B90-(DATE(C90,1,1)-WEEKDAY(DATE(C90,1,1),3)))/7+1</f>
        <v/>
      </c>
      <c r="E90">
        <f>C90&amp;"-W"&amp;TEXT(D90,"00")</f>
        <v/>
      </c>
      <c r="F90" s="27">
        <f>B90+6</f>
        <v/>
      </c>
      <c r="G90">
        <f>TEXT(B90,"mmm-yy")</f>
        <v/>
      </c>
    </row>
    <row r="91">
      <c r="A91" t="n">
        <v>88</v>
      </c>
      <c r="B91" s="27">
        <f>B90+7</f>
        <v/>
      </c>
      <c r="C91">
        <f>IF(B91&gt;=DATE(YEAR(B91)+1,1,1)-WEEKDAY(DATE(YEAR(B91)+1,1,1),3),YEAR(B91)+1,IF(B91&gt;=DATE(YEAR(B91),1,1)-WEEKDAY(DATE(YEAR(B91),1,1),3),YEAR(B91),YEAR(B91)-1))</f>
        <v/>
      </c>
      <c r="D91">
        <f>(B91-(DATE(C91,1,1)-WEEKDAY(DATE(C91,1,1),3)))/7+1</f>
        <v/>
      </c>
      <c r="E91">
        <f>C91&amp;"-W"&amp;TEXT(D91,"00")</f>
        <v/>
      </c>
      <c r="F91" s="27">
        <f>B91+6</f>
        <v/>
      </c>
      <c r="G91">
        <f>TEXT(B91,"mmm-yy")</f>
        <v/>
      </c>
    </row>
    <row r="92">
      <c r="A92" t="n">
        <v>89</v>
      </c>
      <c r="B92" s="27">
        <f>B91+7</f>
        <v/>
      </c>
      <c r="C92">
        <f>IF(B92&gt;=DATE(YEAR(B92)+1,1,1)-WEEKDAY(DATE(YEAR(B92)+1,1,1),3),YEAR(B92)+1,IF(B92&gt;=DATE(YEAR(B92),1,1)-WEEKDAY(DATE(YEAR(B92),1,1),3),YEAR(B92),YEAR(B92)-1))</f>
        <v/>
      </c>
      <c r="D92">
        <f>(B92-(DATE(C92,1,1)-WEEKDAY(DATE(C92,1,1),3)))/7+1</f>
        <v/>
      </c>
      <c r="E92">
        <f>C92&amp;"-W"&amp;TEXT(D92,"00")</f>
        <v/>
      </c>
      <c r="F92" s="27">
        <f>B92+6</f>
        <v/>
      </c>
      <c r="G92">
        <f>TEXT(B92,"mmm-yy")</f>
        <v/>
      </c>
    </row>
    <row r="93">
      <c r="A93" t="n">
        <v>90</v>
      </c>
      <c r="B93" s="27">
        <f>B92+7</f>
        <v/>
      </c>
      <c r="C93">
        <f>IF(B93&gt;=DATE(YEAR(B93)+1,1,1)-WEEKDAY(DATE(YEAR(B93)+1,1,1),3),YEAR(B93)+1,IF(B93&gt;=DATE(YEAR(B93),1,1)-WEEKDAY(DATE(YEAR(B93),1,1),3),YEAR(B93),YEAR(B93)-1))</f>
        <v/>
      </c>
      <c r="D93">
        <f>(B93-(DATE(C93,1,1)-WEEKDAY(DATE(C93,1,1),3)))/7+1</f>
        <v/>
      </c>
      <c r="E93">
        <f>C93&amp;"-W"&amp;TEXT(D93,"00")</f>
        <v/>
      </c>
      <c r="F93" s="27">
        <f>B93+6</f>
        <v/>
      </c>
      <c r="G93">
        <f>TEXT(B93,"mmm-yy")</f>
        <v/>
      </c>
    </row>
    <row r="94">
      <c r="A94" t="n">
        <v>91</v>
      </c>
      <c r="B94" s="27">
        <f>B93+7</f>
        <v/>
      </c>
      <c r="C94">
        <f>IF(B94&gt;=DATE(YEAR(B94)+1,1,1)-WEEKDAY(DATE(YEAR(B94)+1,1,1),3),YEAR(B94)+1,IF(B94&gt;=DATE(YEAR(B94),1,1)-WEEKDAY(DATE(YEAR(B94),1,1),3),YEAR(B94),YEAR(B94)-1))</f>
        <v/>
      </c>
      <c r="D94">
        <f>(B94-(DATE(C94,1,1)-WEEKDAY(DATE(C94,1,1),3)))/7+1</f>
        <v/>
      </c>
      <c r="E94">
        <f>C94&amp;"-W"&amp;TEXT(D94,"00")</f>
        <v/>
      </c>
      <c r="F94" s="27">
        <f>B94+6</f>
        <v/>
      </c>
      <c r="G94">
        <f>TEXT(B94,"mmm-yy")</f>
        <v/>
      </c>
    </row>
    <row r="95">
      <c r="A95" t="n">
        <v>92</v>
      </c>
      <c r="B95" s="27">
        <f>B94+7</f>
        <v/>
      </c>
      <c r="C95">
        <f>IF(B95&gt;=DATE(YEAR(B95)+1,1,1)-WEEKDAY(DATE(YEAR(B95)+1,1,1),3),YEAR(B95)+1,IF(B95&gt;=DATE(YEAR(B95),1,1)-WEEKDAY(DATE(YEAR(B95),1,1),3),YEAR(B95),YEAR(B95)-1))</f>
        <v/>
      </c>
      <c r="D95">
        <f>(B95-(DATE(C95,1,1)-WEEKDAY(DATE(C95,1,1),3)))/7+1</f>
        <v/>
      </c>
      <c r="E95">
        <f>C95&amp;"-W"&amp;TEXT(D95,"00")</f>
        <v/>
      </c>
      <c r="F95" s="27">
        <f>B95+6</f>
        <v/>
      </c>
      <c r="G95">
        <f>TEXT(B95,"mmm-yy")</f>
        <v/>
      </c>
    </row>
    <row r="96">
      <c r="A96" t="n">
        <v>93</v>
      </c>
      <c r="B96" s="27">
        <f>B95+7</f>
        <v/>
      </c>
      <c r="C96">
        <f>IF(B96&gt;=DATE(YEAR(B96)+1,1,1)-WEEKDAY(DATE(YEAR(B96)+1,1,1),3),YEAR(B96)+1,IF(B96&gt;=DATE(YEAR(B96),1,1)-WEEKDAY(DATE(YEAR(B96),1,1),3),YEAR(B96),YEAR(B96)-1))</f>
        <v/>
      </c>
      <c r="D96">
        <f>(B96-(DATE(C96,1,1)-WEEKDAY(DATE(C96,1,1),3)))/7+1</f>
        <v/>
      </c>
      <c r="E96">
        <f>C96&amp;"-W"&amp;TEXT(D96,"00")</f>
        <v/>
      </c>
      <c r="F96" s="27">
        <f>B96+6</f>
        <v/>
      </c>
      <c r="G96">
        <f>TEXT(B96,"mmm-yy")</f>
        <v/>
      </c>
    </row>
    <row r="97">
      <c r="A97" t="n">
        <v>94</v>
      </c>
      <c r="B97" s="27">
        <f>B96+7</f>
        <v/>
      </c>
      <c r="C97">
        <f>IF(B97&gt;=DATE(YEAR(B97)+1,1,1)-WEEKDAY(DATE(YEAR(B97)+1,1,1),3),YEAR(B97)+1,IF(B97&gt;=DATE(YEAR(B97),1,1)-WEEKDAY(DATE(YEAR(B97),1,1),3),YEAR(B97),YEAR(B97)-1))</f>
        <v/>
      </c>
      <c r="D97">
        <f>(B97-(DATE(C97,1,1)-WEEKDAY(DATE(C97,1,1),3)))/7+1</f>
        <v/>
      </c>
      <c r="E97">
        <f>C97&amp;"-W"&amp;TEXT(D97,"00")</f>
        <v/>
      </c>
      <c r="F97" s="27">
        <f>B97+6</f>
        <v/>
      </c>
      <c r="G97">
        <f>TEXT(B97,"mmm-yy")</f>
        <v/>
      </c>
    </row>
    <row r="98">
      <c r="A98" t="n">
        <v>95</v>
      </c>
      <c r="B98" s="27">
        <f>B97+7</f>
        <v/>
      </c>
      <c r="C98">
        <f>IF(B98&gt;=DATE(YEAR(B98)+1,1,1)-WEEKDAY(DATE(YEAR(B98)+1,1,1),3),YEAR(B98)+1,IF(B98&gt;=DATE(YEAR(B98),1,1)-WEEKDAY(DATE(YEAR(B98),1,1),3),YEAR(B98),YEAR(B98)-1))</f>
        <v/>
      </c>
      <c r="D98">
        <f>(B98-(DATE(C98,1,1)-WEEKDAY(DATE(C98,1,1),3)))/7+1</f>
        <v/>
      </c>
      <c r="E98">
        <f>C98&amp;"-W"&amp;TEXT(D98,"00")</f>
        <v/>
      </c>
      <c r="F98" s="27">
        <f>B98+6</f>
        <v/>
      </c>
      <c r="G98">
        <f>TEXT(B98,"mmm-yy")</f>
        <v/>
      </c>
    </row>
    <row r="99">
      <c r="A99" t="n">
        <v>96</v>
      </c>
      <c r="B99" s="27">
        <f>B98+7</f>
        <v/>
      </c>
      <c r="C99">
        <f>IF(B99&gt;=DATE(YEAR(B99)+1,1,1)-WEEKDAY(DATE(YEAR(B99)+1,1,1),3),YEAR(B99)+1,IF(B99&gt;=DATE(YEAR(B99),1,1)-WEEKDAY(DATE(YEAR(B99),1,1),3),YEAR(B99),YEAR(B99)-1))</f>
        <v/>
      </c>
      <c r="D99">
        <f>(B99-(DATE(C99,1,1)-WEEKDAY(DATE(C99,1,1),3)))/7+1</f>
        <v/>
      </c>
      <c r="E99">
        <f>C99&amp;"-W"&amp;TEXT(D99,"00")</f>
        <v/>
      </c>
      <c r="F99" s="27">
        <f>B99+6</f>
        <v/>
      </c>
      <c r="G99">
        <f>TEXT(B99,"mmm-yy")</f>
        <v/>
      </c>
    </row>
    <row r="100">
      <c r="A100" t="n">
        <v>97</v>
      </c>
      <c r="B100" s="27">
        <f>B99+7</f>
        <v/>
      </c>
      <c r="C100">
        <f>IF(B100&gt;=DATE(YEAR(B100)+1,1,1)-WEEKDAY(DATE(YEAR(B100)+1,1,1),3),YEAR(B100)+1,IF(B100&gt;=DATE(YEAR(B100),1,1)-WEEKDAY(DATE(YEAR(B100),1,1),3),YEAR(B100),YEAR(B100)-1))</f>
        <v/>
      </c>
      <c r="D100">
        <f>(B100-(DATE(C100,1,1)-WEEKDAY(DATE(C100,1,1),3)))/7+1</f>
        <v/>
      </c>
      <c r="E100">
        <f>C100&amp;"-W"&amp;TEXT(D100,"00")</f>
        <v/>
      </c>
      <c r="F100" s="27">
        <f>B100+6</f>
        <v/>
      </c>
      <c r="G100">
        <f>TEXT(B100,"mmm-yy")</f>
        <v/>
      </c>
    </row>
    <row r="101">
      <c r="A101" t="n">
        <v>98</v>
      </c>
      <c r="B101" s="27">
        <f>B100+7</f>
        <v/>
      </c>
      <c r="C101">
        <f>IF(B101&gt;=DATE(YEAR(B101)+1,1,1)-WEEKDAY(DATE(YEAR(B101)+1,1,1),3),YEAR(B101)+1,IF(B101&gt;=DATE(YEAR(B101),1,1)-WEEKDAY(DATE(YEAR(B101),1,1),3),YEAR(B101),YEAR(B101)-1))</f>
        <v/>
      </c>
      <c r="D101">
        <f>(B101-(DATE(C101,1,1)-WEEKDAY(DATE(C101,1,1),3)))/7+1</f>
        <v/>
      </c>
      <c r="E101">
        <f>C101&amp;"-W"&amp;TEXT(D101,"00")</f>
        <v/>
      </c>
      <c r="F101" s="27">
        <f>B101+6</f>
        <v/>
      </c>
      <c r="G101">
        <f>TEXT(B101,"mmm-yy")</f>
        <v/>
      </c>
    </row>
    <row r="102">
      <c r="A102" t="n">
        <v>99</v>
      </c>
      <c r="B102" s="27">
        <f>B101+7</f>
        <v/>
      </c>
      <c r="C102">
        <f>IF(B102&gt;=DATE(YEAR(B102)+1,1,1)-WEEKDAY(DATE(YEAR(B102)+1,1,1),3),YEAR(B102)+1,IF(B102&gt;=DATE(YEAR(B102),1,1)-WEEKDAY(DATE(YEAR(B102),1,1),3),YEAR(B102),YEAR(B102)-1))</f>
        <v/>
      </c>
      <c r="D102">
        <f>(B102-(DATE(C102,1,1)-WEEKDAY(DATE(C102,1,1),3)))/7+1</f>
        <v/>
      </c>
      <c r="E102">
        <f>C102&amp;"-W"&amp;TEXT(D102,"00")</f>
        <v/>
      </c>
      <c r="F102" s="27">
        <f>B102+6</f>
        <v/>
      </c>
      <c r="G102">
        <f>TEXT(B102,"mmm-yy")</f>
        <v/>
      </c>
    </row>
    <row r="103">
      <c r="A103" t="n">
        <v>100</v>
      </c>
      <c r="B103" s="27">
        <f>B102+7</f>
        <v/>
      </c>
      <c r="C103">
        <f>IF(B103&gt;=DATE(YEAR(B103)+1,1,1)-WEEKDAY(DATE(YEAR(B103)+1,1,1),3),YEAR(B103)+1,IF(B103&gt;=DATE(YEAR(B103),1,1)-WEEKDAY(DATE(YEAR(B103),1,1),3),YEAR(B103),YEAR(B103)-1))</f>
        <v/>
      </c>
      <c r="D103">
        <f>(B103-(DATE(C103,1,1)-WEEKDAY(DATE(C103,1,1),3)))/7+1</f>
        <v/>
      </c>
      <c r="E103">
        <f>C103&amp;"-W"&amp;TEXT(D103,"00")</f>
        <v/>
      </c>
      <c r="F103" s="27">
        <f>B103+6</f>
        <v/>
      </c>
      <c r="G103">
        <f>TEXT(B103,"mmm-yy")</f>
        <v/>
      </c>
    </row>
    <row r="104">
      <c r="A104" t="n">
        <v>101</v>
      </c>
      <c r="B104" s="27">
        <f>B103+7</f>
        <v/>
      </c>
      <c r="C104">
        <f>IF(B104&gt;=DATE(YEAR(B104)+1,1,1)-WEEKDAY(DATE(YEAR(B104)+1,1,1),3),YEAR(B104)+1,IF(B104&gt;=DATE(YEAR(B104),1,1)-WEEKDAY(DATE(YEAR(B104),1,1),3),YEAR(B104),YEAR(B104)-1))</f>
        <v/>
      </c>
      <c r="D104">
        <f>(B104-(DATE(C104,1,1)-WEEKDAY(DATE(C104,1,1),3)))/7+1</f>
        <v/>
      </c>
      <c r="E104">
        <f>C104&amp;"-W"&amp;TEXT(D104,"00")</f>
        <v/>
      </c>
      <c r="F104" s="27">
        <f>B104+6</f>
        <v/>
      </c>
      <c r="G104">
        <f>TEXT(B104,"mmm-yy")</f>
        <v/>
      </c>
    </row>
    <row r="105">
      <c r="A105" t="n">
        <v>102</v>
      </c>
      <c r="B105" s="27">
        <f>B104+7</f>
        <v/>
      </c>
      <c r="C105">
        <f>IF(B105&gt;=DATE(YEAR(B105)+1,1,1)-WEEKDAY(DATE(YEAR(B105)+1,1,1),3),YEAR(B105)+1,IF(B105&gt;=DATE(YEAR(B105),1,1)-WEEKDAY(DATE(YEAR(B105),1,1),3),YEAR(B105),YEAR(B105)-1))</f>
        <v/>
      </c>
      <c r="D105">
        <f>(B105-(DATE(C105,1,1)-WEEKDAY(DATE(C105,1,1),3)))/7+1</f>
        <v/>
      </c>
      <c r="E105">
        <f>C105&amp;"-W"&amp;TEXT(D105,"00")</f>
        <v/>
      </c>
      <c r="F105" s="27">
        <f>B105+6</f>
        <v/>
      </c>
      <c r="G105">
        <f>TEXT(B105,"mmm-yy")</f>
        <v/>
      </c>
    </row>
    <row r="106">
      <c r="A106" t="n">
        <v>103</v>
      </c>
      <c r="B106" s="27">
        <f>B105+7</f>
        <v/>
      </c>
      <c r="C106">
        <f>IF(B106&gt;=DATE(YEAR(B106)+1,1,1)-WEEKDAY(DATE(YEAR(B106)+1,1,1),3),YEAR(B106)+1,IF(B106&gt;=DATE(YEAR(B106),1,1)-WEEKDAY(DATE(YEAR(B106),1,1),3),YEAR(B106),YEAR(B106)-1))</f>
        <v/>
      </c>
      <c r="D106">
        <f>(B106-(DATE(C106,1,1)-WEEKDAY(DATE(C106,1,1),3)))/7+1</f>
        <v/>
      </c>
      <c r="E106">
        <f>C106&amp;"-W"&amp;TEXT(D106,"00")</f>
        <v/>
      </c>
      <c r="F106" s="27">
        <f>B106+6</f>
        <v/>
      </c>
      <c r="G106">
        <f>TEXT(B106,"mmm-yy")</f>
        <v/>
      </c>
    </row>
    <row r="107">
      <c r="A107" t="n">
        <v>104</v>
      </c>
      <c r="B107" s="27">
        <f>B106+7</f>
        <v/>
      </c>
      <c r="C107">
        <f>IF(B107&gt;=DATE(YEAR(B107)+1,1,1)-WEEKDAY(DATE(YEAR(B107)+1,1,1),3),YEAR(B107)+1,IF(B107&gt;=DATE(YEAR(B107),1,1)-WEEKDAY(DATE(YEAR(B107),1,1),3),YEAR(B107),YEAR(B107)-1))</f>
        <v/>
      </c>
      <c r="D107">
        <f>(B107-(DATE(C107,1,1)-WEEKDAY(DATE(C107,1,1),3)))/7+1</f>
        <v/>
      </c>
      <c r="E107">
        <f>C107&amp;"-W"&amp;TEXT(D107,"00")</f>
        <v/>
      </c>
      <c r="F107" s="27">
        <f>B107+6</f>
        <v/>
      </c>
      <c r="G107">
        <f>TEXT(B107,"mmm-yy")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6" t="inlineStr">
        <is>
          <t>Intermediate</t>
        </is>
      </c>
      <c r="B1" s="6" t="inlineStr">
        <is>
          <t>Type</t>
        </is>
      </c>
      <c r="C1" s="6" t="inlineStr">
        <is>
          <t>PGM</t>
        </is>
      </c>
      <c r="D1" s="6" t="inlineStr">
        <is>
          <t>BatchSize</t>
        </is>
      </c>
    </row>
    <row r="2">
      <c r="A2" t="inlineStr">
        <is>
          <t>TSP-049</t>
        </is>
      </c>
      <c r="B2" t="inlineStr">
        <is>
          <t>Slurry</t>
        </is>
      </c>
      <c r="C2" t="inlineStr">
        <is>
          <t>Pt</t>
        </is>
      </c>
      <c r="D2" t="n">
        <v>153.7</v>
      </c>
    </row>
    <row r="3">
      <c r="A3" t="inlineStr">
        <is>
          <t>TSP-050</t>
        </is>
      </c>
      <c r="B3" t="inlineStr">
        <is>
          <t>Slurry</t>
        </is>
      </c>
      <c r="C3" t="inlineStr">
        <is>
          <t>Rh</t>
        </is>
      </c>
      <c r="D3" t="n">
        <v>101.5015</v>
      </c>
    </row>
    <row r="4">
      <c r="A4" t="inlineStr">
        <is>
          <t>TSP-067</t>
        </is>
      </c>
      <c r="B4" t="inlineStr">
        <is>
          <t>Slurry</t>
        </is>
      </c>
      <c r="C4" t="inlineStr">
        <is>
          <t>Pt</t>
        </is>
      </c>
      <c r="D4" t="n">
        <v>102.2</v>
      </c>
    </row>
    <row r="5">
      <c r="A5" t="inlineStr">
        <is>
          <t>TSP-069</t>
        </is>
      </c>
      <c r="B5" t="inlineStr">
        <is>
          <t>Slurry</t>
        </is>
      </c>
      <c r="C5" t="inlineStr">
        <is>
          <t>Pt</t>
        </is>
      </c>
      <c r="D5" t="n">
        <v>105.2079</v>
      </c>
    </row>
    <row r="6">
      <c r="A6" t="inlineStr">
        <is>
          <t>TSP-078</t>
        </is>
      </c>
      <c r="B6" t="inlineStr">
        <is>
          <t>Slurry</t>
        </is>
      </c>
      <c r="C6" t="inlineStr">
        <is>
          <t>Rh</t>
        </is>
      </c>
      <c r="D6" t="n">
        <v>67.5</v>
      </c>
    </row>
    <row r="7">
      <c r="A7" t="inlineStr">
        <is>
          <t>TSP-080</t>
        </is>
      </c>
      <c r="B7" t="inlineStr">
        <is>
          <t>Slurry</t>
        </is>
      </c>
      <c r="C7" t="inlineStr">
        <is>
          <t>Rh</t>
        </is>
      </c>
      <c r="D7" t="n">
        <v>80.15000000000001</v>
      </c>
    </row>
    <row r="8">
      <c r="A8" t="inlineStr">
        <is>
          <t>TSP-104</t>
        </is>
      </c>
      <c r="B8" t="inlineStr">
        <is>
          <t>Slurry</t>
        </is>
      </c>
      <c r="C8" t="inlineStr">
        <is>
          <t>Pd</t>
        </is>
      </c>
      <c r="D8" t="n">
        <v>81.79600000000001</v>
      </c>
    </row>
    <row r="9">
      <c r="A9" t="inlineStr">
        <is>
          <t>TSP-105</t>
        </is>
      </c>
      <c r="B9" t="inlineStr">
        <is>
          <t>Slurry</t>
        </is>
      </c>
      <c r="C9" t="inlineStr">
        <is>
          <t>Rh</t>
        </is>
      </c>
      <c r="D9" t="n">
        <v>96</v>
      </c>
    </row>
    <row r="10">
      <c r="A10" t="inlineStr">
        <is>
          <t>TSP-1388</t>
        </is>
      </c>
      <c r="B10" t="inlineStr">
        <is>
          <t>Slurry</t>
        </is>
      </c>
      <c r="C10" t="inlineStr">
        <is>
          <t>Pd</t>
        </is>
      </c>
      <c r="D10" t="n">
        <v>115.5</v>
      </c>
    </row>
    <row r="11">
      <c r="A11" t="inlineStr">
        <is>
          <t>TSP-1444</t>
        </is>
      </c>
      <c r="B11" t="inlineStr">
        <is>
          <t>Slurry</t>
        </is>
      </c>
      <c r="C11" t="inlineStr">
        <is>
          <t>Rh</t>
        </is>
      </c>
      <c r="D11" t="n">
        <v>129.3168</v>
      </c>
    </row>
    <row r="12">
      <c r="A12" t="inlineStr">
        <is>
          <t>TSP-1445</t>
        </is>
      </c>
      <c r="B12" t="inlineStr">
        <is>
          <t>Slurry</t>
        </is>
      </c>
      <c r="C12" t="inlineStr">
        <is>
          <t>Rh</t>
        </is>
      </c>
      <c r="D12" t="n">
        <v>133.875</v>
      </c>
    </row>
    <row r="13">
      <c r="A13" t="inlineStr">
        <is>
          <t>TSP-1446</t>
        </is>
      </c>
      <c r="B13" t="inlineStr">
        <is>
          <t>Slurry</t>
        </is>
      </c>
      <c r="C13" t="inlineStr">
        <is>
          <t>Rh</t>
        </is>
      </c>
      <c r="D13" t="n">
        <v>150.875</v>
      </c>
    </row>
    <row r="14">
      <c r="A14" t="inlineStr">
        <is>
          <t>TSP-1448</t>
        </is>
      </c>
      <c r="B14" t="inlineStr">
        <is>
          <t>Slurry</t>
        </is>
      </c>
      <c r="C14" t="inlineStr">
        <is>
          <t>Rh</t>
        </is>
      </c>
      <c r="D14" t="n">
        <v>62.9993</v>
      </c>
    </row>
    <row r="15">
      <c r="A15" t="inlineStr">
        <is>
          <t>TSP-1449</t>
        </is>
      </c>
      <c r="B15" t="inlineStr">
        <is>
          <t>Slurry</t>
        </is>
      </c>
      <c r="C15" t="inlineStr">
        <is>
          <t>Rh</t>
        </is>
      </c>
      <c r="D15" t="n">
        <v>64.5</v>
      </c>
    </row>
    <row r="16">
      <c r="A16" t="inlineStr">
        <is>
          <t>TSP-199</t>
        </is>
      </c>
      <c r="B16" t="inlineStr">
        <is>
          <t>Slurry</t>
        </is>
      </c>
      <c r="C16" t="inlineStr">
        <is>
          <t>Pd</t>
        </is>
      </c>
      <c r="D16" t="n">
        <v>79.92615000000001</v>
      </c>
    </row>
    <row r="17">
      <c r="A17" t="inlineStr">
        <is>
          <t>TSP-205</t>
        </is>
      </c>
      <c r="B17" t="inlineStr">
        <is>
          <t>Slurry</t>
        </is>
      </c>
      <c r="C17" t="inlineStr">
        <is>
          <t>Pd</t>
        </is>
      </c>
      <c r="D17" t="n">
        <v>55.5814</v>
      </c>
    </row>
    <row r="18">
      <c r="A18" t="inlineStr">
        <is>
          <t>TSP-206</t>
        </is>
      </c>
      <c r="B18" t="inlineStr">
        <is>
          <t>Slurry</t>
        </is>
      </c>
      <c r="C18" t="inlineStr">
        <is>
          <t>Rh</t>
        </is>
      </c>
      <c r="D18" t="n">
        <v>77.688</v>
      </c>
    </row>
    <row r="19">
      <c r="A19" t="inlineStr">
        <is>
          <t>TSP-224</t>
        </is>
      </c>
      <c r="B19" t="inlineStr">
        <is>
          <t>Slurry</t>
        </is>
      </c>
      <c r="C19" t="inlineStr">
        <is>
          <t>Pt</t>
        </is>
      </c>
      <c r="D19" t="n">
        <v>108</v>
      </c>
    </row>
    <row r="20">
      <c r="A20" t="inlineStr">
        <is>
          <t>TSP-225</t>
        </is>
      </c>
      <c r="B20" t="inlineStr">
        <is>
          <t>Slurry</t>
        </is>
      </c>
      <c r="C20" t="inlineStr">
        <is>
          <t>Rh</t>
        </is>
      </c>
      <c r="D20" t="n">
        <v>84.23999999999999</v>
      </c>
    </row>
    <row r="21">
      <c r="A21" t="inlineStr">
        <is>
          <t>TSP-360</t>
        </is>
      </c>
      <c r="B21" t="inlineStr">
        <is>
          <t>Slurry</t>
        </is>
      </c>
      <c r="C21" t="inlineStr">
        <is>
          <t>Pd</t>
        </is>
      </c>
      <c r="D21" t="n">
        <v>119.994</v>
      </c>
    </row>
    <row r="22">
      <c r="A22" t="inlineStr">
        <is>
          <t>TSP-367</t>
        </is>
      </c>
      <c r="B22" t="inlineStr">
        <is>
          <t>Slurry</t>
        </is>
      </c>
      <c r="C22" t="inlineStr">
        <is>
          <t>Pd</t>
        </is>
      </c>
      <c r="D22" t="n">
        <v>97.608</v>
      </c>
    </row>
    <row r="23">
      <c r="A23" t="inlineStr">
        <is>
          <t>TSP-369</t>
        </is>
      </c>
      <c r="B23" t="inlineStr">
        <is>
          <t>Slurry</t>
        </is>
      </c>
      <c r="C23" t="inlineStr">
        <is>
          <t>Rh</t>
        </is>
      </c>
      <c r="D23" t="n">
        <v>91.94159999999999</v>
      </c>
    </row>
    <row r="24">
      <c r="A24" t="inlineStr">
        <is>
          <t>TSP-402</t>
        </is>
      </c>
      <c r="B24" t="inlineStr">
        <is>
          <t>Slurry</t>
        </is>
      </c>
      <c r="C24" t="inlineStr">
        <is>
          <t>Rh</t>
        </is>
      </c>
      <c r="D24" t="n">
        <v>82.5</v>
      </c>
    </row>
    <row r="25">
      <c r="A25" t="inlineStr">
        <is>
          <t>TSP-403</t>
        </is>
      </c>
      <c r="B25" t="inlineStr">
        <is>
          <t>Slurry</t>
        </is>
      </c>
      <c r="C25" t="inlineStr">
        <is>
          <t>Rh</t>
        </is>
      </c>
      <c r="D25" t="n">
        <v>82.5</v>
      </c>
    </row>
    <row r="26">
      <c r="A26" t="inlineStr">
        <is>
          <t>TSP-404</t>
        </is>
      </c>
      <c r="B26" t="inlineStr">
        <is>
          <t>Slurry</t>
        </is>
      </c>
      <c r="C26" t="inlineStr">
        <is>
          <t>Rh</t>
        </is>
      </c>
      <c r="D26" t="n">
        <v>76.5</v>
      </c>
    </row>
    <row r="27">
      <c r="A27" t="inlineStr">
        <is>
          <t>TSP-405</t>
        </is>
      </c>
      <c r="B27" t="inlineStr">
        <is>
          <t>Slurry</t>
        </is>
      </c>
      <c r="C27" t="inlineStr">
        <is>
          <t>Rh</t>
        </is>
      </c>
      <c r="D27" t="n">
        <v>76.5</v>
      </c>
    </row>
    <row r="28">
      <c r="A28" t="inlineStr">
        <is>
          <t>TSP-544</t>
        </is>
      </c>
      <c r="B28" t="inlineStr">
        <is>
          <t>Slurry</t>
        </is>
      </c>
      <c r="C28" t="inlineStr">
        <is>
          <t>Pd</t>
        </is>
      </c>
      <c r="D28" t="n">
        <v>133.1655</v>
      </c>
    </row>
    <row r="29">
      <c r="A29" t="inlineStr">
        <is>
          <t>TSP-558</t>
        </is>
      </c>
      <c r="B29" t="inlineStr">
        <is>
          <t>Slurry</t>
        </is>
      </c>
      <c r="C29" t="inlineStr">
        <is>
          <t>Rh &amp; Pd</t>
        </is>
      </c>
      <c r="D29" t="n">
        <v>118.27908</v>
      </c>
    </row>
    <row r="30">
      <c r="A30" t="inlineStr">
        <is>
          <t>TSP-618</t>
        </is>
      </c>
      <c r="B30" t="inlineStr">
        <is>
          <t>Slurry</t>
        </is>
      </c>
      <c r="C30" t="inlineStr">
        <is>
          <t>Pd</t>
        </is>
      </c>
      <c r="D30" t="n">
        <v>96.9606</v>
      </c>
    </row>
    <row r="31">
      <c r="A31" t="inlineStr">
        <is>
          <t>TSP-620</t>
        </is>
      </c>
      <c r="B31" t="inlineStr">
        <is>
          <t>Slurry</t>
        </is>
      </c>
      <c r="C31" t="inlineStr">
        <is>
          <t>Rh</t>
        </is>
      </c>
      <c r="D31" t="n">
        <v>69</v>
      </c>
    </row>
    <row r="32">
      <c r="A32" t="inlineStr">
        <is>
          <t>TSP-623</t>
        </is>
      </c>
      <c r="B32" t="inlineStr">
        <is>
          <t>Slurry</t>
        </is>
      </c>
      <c r="C32" t="inlineStr">
        <is>
          <t>Rh</t>
        </is>
      </c>
      <c r="D32" t="n">
        <v>69</v>
      </c>
    </row>
    <row r="33">
      <c r="A33" t="inlineStr">
        <is>
          <t>TSP-655</t>
        </is>
      </c>
      <c r="B33" t="inlineStr">
        <is>
          <t>Slurry</t>
        </is>
      </c>
      <c r="C33" t="inlineStr">
        <is>
          <t>Rh</t>
        </is>
      </c>
      <c r="D33" t="n">
        <v>117.48</v>
      </c>
    </row>
    <row r="34">
      <c r="A34" t="inlineStr">
        <is>
          <t>TSP-656</t>
        </is>
      </c>
      <c r="B34" t="inlineStr">
        <is>
          <t>Slurry</t>
        </is>
      </c>
      <c r="C34" t="inlineStr">
        <is>
          <t>Pd</t>
        </is>
      </c>
      <c r="D34" t="n">
        <v>66</v>
      </c>
    </row>
    <row r="35">
      <c r="A35" t="inlineStr">
        <is>
          <t>TSP-668</t>
        </is>
      </c>
      <c r="B35" t="inlineStr">
        <is>
          <t>Slurry</t>
        </is>
      </c>
      <c r="C35" t="inlineStr">
        <is>
          <t>Pt</t>
        </is>
      </c>
      <c r="D35" t="n">
        <v>123.754</v>
      </c>
    </row>
    <row r="36">
      <c r="A36" t="inlineStr">
        <is>
          <t>TSP-669</t>
        </is>
      </c>
      <c r="B36" t="inlineStr">
        <is>
          <t>Slurry</t>
        </is>
      </c>
      <c r="C36" t="inlineStr">
        <is>
          <t>Pt</t>
        </is>
      </c>
      <c r="D36" t="n">
        <v>114.9</v>
      </c>
    </row>
    <row r="37">
      <c r="A37" t="inlineStr">
        <is>
          <t>TSP-670</t>
        </is>
      </c>
      <c r="B37" t="inlineStr">
        <is>
          <t>Slurry</t>
        </is>
      </c>
      <c r="C37" t="inlineStr">
        <is>
          <t>Pt</t>
        </is>
      </c>
      <c r="D37" t="n">
        <v>117.15</v>
      </c>
    </row>
    <row r="38">
      <c r="A38" t="inlineStr">
        <is>
          <t>TSP-710</t>
        </is>
      </c>
      <c r="B38" t="inlineStr">
        <is>
          <t>Slurry</t>
        </is>
      </c>
      <c r="C38" t="inlineStr">
        <is>
          <t>Pd</t>
        </is>
      </c>
      <c r="D38" t="n">
        <v>143.7492</v>
      </c>
    </row>
    <row r="39">
      <c r="A39" t="inlineStr">
        <is>
          <t>TSP-828</t>
        </is>
      </c>
      <c r="B39" t="inlineStr">
        <is>
          <t>Slurry</t>
        </is>
      </c>
      <c r="C39" t="inlineStr">
        <is>
          <t>Pt</t>
        </is>
      </c>
      <c r="D39" t="n">
        <v>88.73999999999999</v>
      </c>
    </row>
    <row r="40">
      <c r="A40" t="inlineStr">
        <is>
          <t>TSP-903</t>
        </is>
      </c>
      <c r="B40" t="inlineStr">
        <is>
          <t>Slurry</t>
        </is>
      </c>
      <c r="C40" t="inlineStr">
        <is>
          <t>Rh</t>
        </is>
      </c>
      <c r="D40" t="n">
        <v>90.0055</v>
      </c>
    </row>
    <row r="41">
      <c r="A41" t="inlineStr">
        <is>
          <t>TSP-924</t>
        </is>
      </c>
      <c r="B41" t="inlineStr">
        <is>
          <t>Slurry</t>
        </is>
      </c>
      <c r="C41" t="inlineStr">
        <is>
          <t>Pd</t>
        </is>
      </c>
      <c r="D41" t="n">
        <v>110.99685</v>
      </c>
    </row>
    <row r="42">
      <c r="A42" t="inlineStr">
        <is>
          <t>TSP-925</t>
        </is>
      </c>
      <c r="B42" t="inlineStr">
        <is>
          <t>Slurry</t>
        </is>
      </c>
      <c r="C42" t="inlineStr">
        <is>
          <t>Pd</t>
        </is>
      </c>
      <c r="D42" t="n">
        <v>111.0003</v>
      </c>
    </row>
    <row r="43">
      <c r="A43" t="inlineStr">
        <is>
          <t>TSP-927</t>
        </is>
      </c>
      <c r="B43" t="inlineStr">
        <is>
          <t>Slurry</t>
        </is>
      </c>
      <c r="C43" t="inlineStr">
        <is>
          <t>Rh</t>
        </is>
      </c>
      <c r="D43" t="n">
        <v>127.5</v>
      </c>
    </row>
    <row r="44">
      <c r="A44" t="inlineStr">
        <is>
          <t>TSP-928</t>
        </is>
      </c>
      <c r="B44" t="inlineStr">
        <is>
          <t>Slurry</t>
        </is>
      </c>
      <c r="C44" t="inlineStr">
        <is>
          <t>Rh</t>
        </is>
      </c>
      <c r="D44" t="n">
        <v>125.9986</v>
      </c>
    </row>
    <row r="45">
      <c r="A45" t="inlineStr">
        <is>
          <t>TSP-929</t>
        </is>
      </c>
      <c r="B45" t="inlineStr">
        <is>
          <t>Slurry</t>
        </is>
      </c>
      <c r="C45" t="inlineStr">
        <is>
          <t>Rh</t>
        </is>
      </c>
      <c r="D45" t="n">
        <v>129</v>
      </c>
    </row>
    <row r="46">
      <c r="A46" t="inlineStr">
        <is>
          <t>TSP-930</t>
        </is>
      </c>
      <c r="B46" t="inlineStr">
        <is>
          <t>Slurry</t>
        </is>
      </c>
      <c r="C46" t="inlineStr">
        <is>
          <t>Rh</t>
        </is>
      </c>
      <c r="D46" t="n">
        <v>129</v>
      </c>
    </row>
    <row r="47">
      <c r="A47" t="inlineStr">
        <is>
          <t>TSP-934</t>
        </is>
      </c>
      <c r="B47" t="inlineStr">
        <is>
          <t>Slurry</t>
        </is>
      </c>
      <c r="C47" t="inlineStr">
        <is>
          <t>Rh</t>
        </is>
      </c>
      <c r="D47" t="n">
        <v>81</v>
      </c>
    </row>
    <row r="48">
      <c r="A48" t="inlineStr">
        <is>
          <t>TSP-935</t>
        </is>
      </c>
      <c r="B48" t="inlineStr">
        <is>
          <t>Slurry</t>
        </is>
      </c>
      <c r="C48" t="inlineStr">
        <is>
          <t>Rh</t>
        </is>
      </c>
      <c r="D48" t="n">
        <v>83.99875</v>
      </c>
    </row>
    <row r="49">
      <c r="A49" t="inlineStr">
        <is>
          <t>TSP-936</t>
        </is>
      </c>
      <c r="B49" t="inlineStr">
        <is>
          <t>Slurry</t>
        </is>
      </c>
      <c r="C49" t="inlineStr">
        <is>
          <t>Rh</t>
        </is>
      </c>
      <c r="D49" t="n">
        <v>82.5</v>
      </c>
    </row>
    <row r="50">
      <c r="A50" t="inlineStr">
        <is>
          <t>TSP-937</t>
        </is>
      </c>
      <c r="B50" t="inlineStr">
        <is>
          <t>Slurry</t>
        </is>
      </c>
      <c r="C50" t="inlineStr">
        <is>
          <t>Rh</t>
        </is>
      </c>
      <c r="D50" t="n">
        <v>82.5</v>
      </c>
    </row>
    <row r="51">
      <c r="A51" t="inlineStr">
        <is>
          <t>TSP-959</t>
        </is>
      </c>
      <c r="B51" t="inlineStr">
        <is>
          <t>Slurry</t>
        </is>
      </c>
      <c r="C51" t="inlineStr">
        <is>
          <t>Rh</t>
        </is>
      </c>
      <c r="D51" t="n">
        <v>81.6425</v>
      </c>
    </row>
    <row r="52">
      <c r="A52" t="inlineStr">
        <is>
          <t>TSP-966</t>
        </is>
      </c>
      <c r="B52" t="inlineStr">
        <is>
          <t>Slurry</t>
        </is>
      </c>
      <c r="C52" t="inlineStr">
        <is>
          <t>Pd</t>
        </is>
      </c>
      <c r="D52" t="n">
        <v>48</v>
      </c>
    </row>
    <row r="53">
      <c r="A53" t="inlineStr">
        <is>
          <t>TSZ-616</t>
        </is>
      </c>
      <c r="B53" t="inlineStr">
        <is>
          <t>Slurry</t>
        </is>
      </c>
      <c r="C53" t="inlineStr"/>
      <c r="D53" t="n">
        <v>40</v>
      </c>
    </row>
    <row r="54">
      <c r="A54" t="inlineStr">
        <is>
          <t>TSZ-938</t>
        </is>
      </c>
      <c r="B54" t="inlineStr">
        <is>
          <t>Slurry</t>
        </is>
      </c>
      <c r="C54" t="inlineStr"/>
      <c r="D54" t="n">
        <v>65</v>
      </c>
    </row>
    <row r="55">
      <c r="A55" t="inlineStr">
        <is>
          <t>TVS-267</t>
        </is>
      </c>
      <c r="B55" t="inlineStr">
        <is>
          <t>Slurry</t>
        </is>
      </c>
      <c r="C55" t="inlineStr">
        <is>
          <t>Pd</t>
        </is>
      </c>
      <c r="D55" t="n">
        <v>301.9999999999999</v>
      </c>
    </row>
    <row r="56">
      <c r="A56" t="inlineStr">
        <is>
          <t>TVS-500</t>
        </is>
      </c>
      <c r="B56" t="inlineStr">
        <is>
          <t>Slurry</t>
        </is>
      </c>
      <c r="C56" t="inlineStr">
        <is>
          <t>Pd</t>
        </is>
      </c>
      <c r="D56" t="n">
        <v>303</v>
      </c>
    </row>
    <row r="57">
      <c r="A57" t="inlineStr">
        <is>
          <t>TVS-664</t>
        </is>
      </c>
      <c r="B57" t="inlineStr">
        <is>
          <t>Slurry</t>
        </is>
      </c>
      <c r="C57" t="inlineStr">
        <is>
          <t>Pd</t>
        </is>
      </c>
      <c r="D57" t="n">
        <v>323</v>
      </c>
    </row>
    <row r="58">
      <c r="A58" t="inlineStr">
        <is>
          <t>TVS-833</t>
        </is>
      </c>
      <c r="B58" t="inlineStr">
        <is>
          <t>Slurry</t>
        </is>
      </c>
      <c r="C58" t="inlineStr">
        <is>
          <t>Pd</t>
        </is>
      </c>
      <c r="D58" t="n">
        <v>300</v>
      </c>
    </row>
    <row r="59">
      <c r="A59" t="inlineStr">
        <is>
          <t>VSP-600</t>
        </is>
      </c>
      <c r="B59" t="inlineStr">
        <is>
          <t>Slurry</t>
        </is>
      </c>
      <c r="C59" t="inlineStr">
        <is>
          <t>Pd-VW</t>
        </is>
      </c>
      <c r="D59" t="n">
        <v>112</v>
      </c>
    </row>
    <row r="60">
      <c r="A60" t="inlineStr">
        <is>
          <t>VSP-601</t>
        </is>
      </c>
      <c r="B60" t="inlineStr">
        <is>
          <t>Slurry</t>
        </is>
      </c>
      <c r="C60" t="inlineStr">
        <is>
          <t>Pd-VW</t>
        </is>
      </c>
      <c r="D60" t="n">
        <v>104.895</v>
      </c>
    </row>
    <row r="61">
      <c r="A61" t="inlineStr">
        <is>
          <t>VSP-602</t>
        </is>
      </c>
      <c r="B61" t="inlineStr">
        <is>
          <t>Slurry</t>
        </is>
      </c>
      <c r="C61" t="inlineStr">
        <is>
          <t>Rh-VW</t>
        </is>
      </c>
      <c r="D61" t="n">
        <v>105.6</v>
      </c>
    </row>
    <row r="62">
      <c r="A62" t="inlineStr">
        <is>
          <t>VSP-820</t>
        </is>
      </c>
      <c r="B62" t="inlineStr">
        <is>
          <t>Slurry</t>
        </is>
      </c>
      <c r="C62" t="inlineStr">
        <is>
          <t>Pd-VW</t>
        </is>
      </c>
      <c r="D62" t="n">
        <v>134.97</v>
      </c>
    </row>
    <row r="63">
      <c r="A63" t="inlineStr">
        <is>
          <t>VSP-822</t>
        </is>
      </c>
      <c r="B63" t="inlineStr">
        <is>
          <t>Slurry</t>
        </is>
      </c>
      <c r="C63" t="inlineStr">
        <is>
          <t>Rh-VW</t>
        </is>
      </c>
      <c r="D63" t="n">
        <v>113.85</v>
      </c>
    </row>
    <row r="64">
      <c r="A64" t="inlineStr">
        <is>
          <t>VSP-910</t>
        </is>
      </c>
      <c r="B64" t="inlineStr">
        <is>
          <t>Slurry</t>
        </is>
      </c>
      <c r="C64" t="inlineStr">
        <is>
          <t>Rh-VW</t>
        </is>
      </c>
      <c r="D64" t="n">
        <v>91.8</v>
      </c>
    </row>
    <row r="65">
      <c r="A65" t="inlineStr">
        <is>
          <t>VSP-989</t>
        </is>
      </c>
      <c r="B65" t="inlineStr">
        <is>
          <t>Slurry</t>
        </is>
      </c>
      <c r="C65" t="inlineStr">
        <is>
          <t>Pd-VW</t>
        </is>
      </c>
      <c r="D65" t="n">
        <v>94.5</v>
      </c>
    </row>
    <row r="66">
      <c r="A66" t="inlineStr">
        <is>
          <t>VSP-990</t>
        </is>
      </c>
      <c r="B66" t="inlineStr">
        <is>
          <t>Slurry</t>
        </is>
      </c>
      <c r="C66" t="inlineStr">
        <is>
          <t>Rh-VW</t>
        </is>
      </c>
      <c r="D66" t="n">
        <v>81</v>
      </c>
    </row>
    <row r="67">
      <c r="A67" t="inlineStr">
        <is>
          <t>TPP-103</t>
        </is>
      </c>
      <c r="B67" t="inlineStr">
        <is>
          <t>Powder</t>
        </is>
      </c>
      <c r="C67" t="inlineStr">
        <is>
          <t>Pd</t>
        </is>
      </c>
      <c r="D67" t="n">
        <v>69.45</v>
      </c>
    </row>
    <row r="68">
      <c r="A68" t="inlineStr">
        <is>
          <t>TPP-1367</t>
        </is>
      </c>
      <c r="B68" t="inlineStr">
        <is>
          <t>Powder</t>
        </is>
      </c>
      <c r="C68" t="inlineStr">
        <is>
          <t>SCH</t>
        </is>
      </c>
      <c r="D68" t="n">
        <v>26.54</v>
      </c>
    </row>
    <row r="69">
      <c r="A69" t="inlineStr">
        <is>
          <t>TPP-1368</t>
        </is>
      </c>
      <c r="B69" t="inlineStr">
        <is>
          <t>Powder</t>
        </is>
      </c>
      <c r="C69" t="inlineStr">
        <is>
          <t>Rh</t>
        </is>
      </c>
      <c r="D69" t="n">
        <v>27.79</v>
      </c>
    </row>
    <row r="70">
      <c r="A70" t="inlineStr">
        <is>
          <t>TPP-1369</t>
        </is>
      </c>
      <c r="B70" t="inlineStr">
        <is>
          <t>Powder</t>
        </is>
      </c>
      <c r="C70" t="inlineStr">
        <is>
          <t>Rh</t>
        </is>
      </c>
      <c r="D70" t="n">
        <v>30.72</v>
      </c>
    </row>
    <row r="71">
      <c r="A71" t="inlineStr">
        <is>
          <t>TPP-1378</t>
        </is>
      </c>
      <c r="B71" t="inlineStr">
        <is>
          <t>Powder</t>
        </is>
      </c>
      <c r="C71" t="inlineStr">
        <is>
          <t>Rh</t>
        </is>
      </c>
      <c r="D71" t="n">
        <v>19.22</v>
      </c>
    </row>
    <row r="72">
      <c r="A72" t="inlineStr">
        <is>
          <t>TPP-1379</t>
        </is>
      </c>
      <c r="B72" t="inlineStr">
        <is>
          <t>Powder</t>
        </is>
      </c>
      <c r="C72" t="inlineStr">
        <is>
          <t>Rh</t>
        </is>
      </c>
      <c r="D72" t="n">
        <v>19.63</v>
      </c>
    </row>
    <row r="73">
      <c r="A73" t="inlineStr">
        <is>
          <t>TPP-358</t>
        </is>
      </c>
      <c r="B73" t="inlineStr">
        <is>
          <t>Powder</t>
        </is>
      </c>
      <c r="C73" t="inlineStr">
        <is>
          <t>Rh</t>
        </is>
      </c>
      <c r="D73" t="n">
        <v>64.40000000000001</v>
      </c>
    </row>
    <row r="74">
      <c r="A74" t="inlineStr">
        <is>
          <t>TPP-533</t>
        </is>
      </c>
      <c r="B74" t="inlineStr">
        <is>
          <t>Powder</t>
        </is>
      </c>
      <c r="C74" t="inlineStr">
        <is>
          <t>Rh</t>
        </is>
      </c>
      <c r="D74" t="n">
        <v>58.6938775510204</v>
      </c>
    </row>
    <row r="75">
      <c r="A75" t="inlineStr">
        <is>
          <t>TPP-611</t>
        </is>
      </c>
      <c r="B75" t="inlineStr">
        <is>
          <t>Powder</t>
        </is>
      </c>
      <c r="C75" t="inlineStr">
        <is>
          <t>Rh</t>
        </is>
      </c>
      <c r="D75" t="n">
        <v>17.88</v>
      </c>
    </row>
    <row r="76">
      <c r="A76" t="inlineStr">
        <is>
          <t>TPP-613</t>
        </is>
      </c>
      <c r="B76" t="inlineStr">
        <is>
          <t>Powder</t>
        </is>
      </c>
      <c r="C76" t="inlineStr">
        <is>
          <t>Rh</t>
        </is>
      </c>
      <c r="D76" t="n">
        <v>17.82</v>
      </c>
    </row>
    <row r="77">
      <c r="A77" t="inlineStr">
        <is>
          <t>TPP-635</t>
        </is>
      </c>
      <c r="B77" t="inlineStr">
        <is>
          <t>Powder</t>
        </is>
      </c>
      <c r="C77" t="inlineStr">
        <is>
          <t>Rh</t>
        </is>
      </c>
      <c r="D77" t="n">
        <v>44.26</v>
      </c>
    </row>
    <row r="78">
      <c r="A78" t="inlineStr">
        <is>
          <t>TPP-649</t>
        </is>
      </c>
      <c r="B78" t="inlineStr">
        <is>
          <t>Powder</t>
        </is>
      </c>
      <c r="C78" t="inlineStr">
        <is>
          <t>Rh</t>
        </is>
      </c>
      <c r="D78" t="n">
        <v>32.24</v>
      </c>
    </row>
    <row r="79">
      <c r="A79" t="inlineStr">
        <is>
          <t>TPP-650</t>
        </is>
      </c>
      <c r="B79" t="inlineStr">
        <is>
          <t>Powder</t>
        </is>
      </c>
      <c r="C79" t="inlineStr">
        <is>
          <t>Pd</t>
        </is>
      </c>
      <c r="D79" t="n">
        <v>58.21</v>
      </c>
    </row>
    <row r="80">
      <c r="A80" t="inlineStr">
        <is>
          <t>TPP-699</t>
        </is>
      </c>
      <c r="B80" t="inlineStr">
        <is>
          <t>Powder</t>
        </is>
      </c>
      <c r="C80" t="inlineStr">
        <is>
          <t>Pt</t>
        </is>
      </c>
      <c r="D80" t="n">
        <v>38.85</v>
      </c>
    </row>
    <row r="81">
      <c r="A81" t="inlineStr">
        <is>
          <t>TPP-700</t>
        </is>
      </c>
      <c r="B81" t="inlineStr">
        <is>
          <t>Powder</t>
        </is>
      </c>
      <c r="C81" t="inlineStr">
        <is>
          <t>Pt</t>
        </is>
      </c>
      <c r="D81" t="n">
        <v>36.03</v>
      </c>
    </row>
    <row r="82">
      <c r="A82" t="inlineStr">
        <is>
          <t>TPP-701</t>
        </is>
      </c>
      <c r="B82" t="inlineStr">
        <is>
          <t>Powder</t>
        </is>
      </c>
      <c r="C82" t="inlineStr">
        <is>
          <t>Pt</t>
        </is>
      </c>
      <c r="D82" t="n">
        <v>36.61</v>
      </c>
    </row>
    <row r="83">
      <c r="A83" t="inlineStr">
        <is>
          <t>TPP-825</t>
        </is>
      </c>
      <c r="B83" t="inlineStr">
        <is>
          <t>Powder</t>
        </is>
      </c>
      <c r="C83" t="inlineStr">
        <is>
          <t>Pt</t>
        </is>
      </c>
      <c r="D83" t="n">
        <v>29.82</v>
      </c>
    </row>
    <row r="84">
      <c r="A84" t="inlineStr">
        <is>
          <t>TPP-911</t>
        </is>
      </c>
      <c r="B84" t="inlineStr">
        <is>
          <t>Powder</t>
        </is>
      </c>
      <c r="C84" t="inlineStr">
        <is>
          <t>Pd</t>
        </is>
      </c>
      <c r="D84" t="n">
        <v>52.15</v>
      </c>
    </row>
    <row r="85">
      <c r="A85" t="inlineStr">
        <is>
          <t>TPP-912</t>
        </is>
      </c>
      <c r="B85" t="inlineStr">
        <is>
          <t>Powder</t>
        </is>
      </c>
      <c r="C85" t="inlineStr">
        <is>
          <t>Pd</t>
        </is>
      </c>
      <c r="D85" t="n">
        <v>51.73</v>
      </c>
    </row>
    <row r="86">
      <c r="A86" t="inlineStr">
        <is>
          <t>TPP-914</t>
        </is>
      </c>
      <c r="B86" t="inlineStr">
        <is>
          <t>Powder</t>
        </is>
      </c>
      <c r="C86" t="inlineStr">
        <is>
          <t>Rh</t>
        </is>
      </c>
      <c r="D86" t="n">
        <v>25.69</v>
      </c>
    </row>
    <row r="87">
      <c r="A87" t="inlineStr">
        <is>
          <t>TPP-915</t>
        </is>
      </c>
      <c r="B87" t="inlineStr">
        <is>
          <t>Powder</t>
        </is>
      </c>
      <c r="C87" t="inlineStr">
        <is>
          <t>Rh</t>
        </is>
      </c>
      <c r="D87" t="n">
        <v>25.35</v>
      </c>
    </row>
    <row r="88">
      <c r="A88" t="inlineStr">
        <is>
          <t>TPP-916</t>
        </is>
      </c>
      <c r="B88" t="inlineStr">
        <is>
          <t>Powder</t>
        </is>
      </c>
      <c r="C88" t="inlineStr">
        <is>
          <t>Rh</t>
        </is>
      </c>
      <c r="D88" t="n">
        <v>25.91</v>
      </c>
    </row>
    <row r="89">
      <c r="A89" t="inlineStr">
        <is>
          <t>TPP-917</t>
        </is>
      </c>
      <c r="B89" t="inlineStr">
        <is>
          <t>Powder</t>
        </is>
      </c>
      <c r="C89" t="inlineStr">
        <is>
          <t>Rh</t>
        </is>
      </c>
      <c r="D89" t="n">
        <v>25.89</v>
      </c>
    </row>
    <row r="90">
      <c r="A90" t="inlineStr">
        <is>
          <t>TPP-919</t>
        </is>
      </c>
      <c r="B90" t="inlineStr">
        <is>
          <t>Powder</t>
        </is>
      </c>
      <c r="C90" t="inlineStr">
        <is>
          <t>Rh</t>
        </is>
      </c>
      <c r="D90" t="n">
        <v>17.44</v>
      </c>
    </row>
    <row r="91">
      <c r="A91" t="inlineStr">
        <is>
          <t>TPP-920</t>
        </is>
      </c>
      <c r="B91" t="inlineStr">
        <is>
          <t>Powder</t>
        </is>
      </c>
      <c r="C91" t="inlineStr">
        <is>
          <t>Rh</t>
        </is>
      </c>
      <c r="D91" t="n">
        <v>18.05</v>
      </c>
    </row>
    <row r="92">
      <c r="A92" t="inlineStr">
        <is>
          <t>TPP-922</t>
        </is>
      </c>
      <c r="B92" t="inlineStr">
        <is>
          <t>Powder</t>
        </is>
      </c>
      <c r="C92" t="inlineStr">
        <is>
          <t>Rh</t>
        </is>
      </c>
      <c r="D92" t="n">
        <v>17.69</v>
      </c>
    </row>
    <row r="93">
      <c r="A93" t="inlineStr">
        <is>
          <t>TPP-923</t>
        </is>
      </c>
      <c r="B93" t="inlineStr">
        <is>
          <t>Powder</t>
        </is>
      </c>
      <c r="C93" t="inlineStr">
        <is>
          <t>Rh</t>
        </is>
      </c>
      <c r="D93" t="n">
        <v>17.67</v>
      </c>
    </row>
    <row r="94">
      <c r="A94" t="inlineStr">
        <is>
          <t>TPP-968</t>
        </is>
      </c>
      <c r="B94" t="inlineStr">
        <is>
          <t>Powder</t>
        </is>
      </c>
      <c r="C94" t="inlineStr">
        <is>
          <t>Rh</t>
        </is>
      </c>
      <c r="D94" t="n">
        <v>22.38</v>
      </c>
    </row>
    <row r="95">
      <c r="A95" t="inlineStr">
        <is>
          <t>SOL-20P</t>
        </is>
      </c>
      <c r="B95" t="inlineStr">
        <is>
          <t>Solution</t>
        </is>
      </c>
      <c r="C95" t="inlineStr">
        <is>
          <t>Pt</t>
        </is>
      </c>
      <c r="D95" t="n">
        <v>200</v>
      </c>
    </row>
    <row r="96">
      <c r="A96" t="inlineStr">
        <is>
          <t>SOL-250D</t>
        </is>
      </c>
      <c r="B96" t="inlineStr">
        <is>
          <t>Solution</t>
        </is>
      </c>
      <c r="C96" t="inlineStr">
        <is>
          <t>Pd</t>
        </is>
      </c>
      <c r="D96" t="n">
        <v>69.2300023753583</v>
      </c>
    </row>
    <row r="97">
      <c r="A97" t="inlineStr">
        <is>
          <t>SOL-85D</t>
        </is>
      </c>
      <c r="B97" t="inlineStr">
        <is>
          <t>Solution</t>
        </is>
      </c>
      <c r="C97" t="inlineStr">
        <is>
          <t>Pd</t>
        </is>
      </c>
      <c r="D97" t="n">
        <v>115.380000184608</v>
      </c>
    </row>
    <row r="98">
      <c r="A98" t="inlineStr">
        <is>
          <t>TSP-1499</t>
        </is>
      </c>
      <c r="B98" t="inlineStr">
        <is>
          <t>Slurry</t>
        </is>
      </c>
      <c r="C98" t="inlineStr"/>
      <c r="D98" t="n">
        <v>1</v>
      </c>
    </row>
    <row r="99">
      <c r="A99" t="inlineStr">
        <is>
          <t>TSP-1558</t>
        </is>
      </c>
      <c r="B99" t="inlineStr">
        <is>
          <t>Slurry</t>
        </is>
      </c>
      <c r="C99" t="inlineStr"/>
      <c r="D99" t="n">
        <v>1</v>
      </c>
    </row>
    <row r="100">
      <c r="A100" t="inlineStr">
        <is>
          <t>TSP-1559</t>
        </is>
      </c>
      <c r="B100" t="inlineStr">
        <is>
          <t>Slurry</t>
        </is>
      </c>
      <c r="C100" t="inlineStr"/>
      <c r="D100" t="n">
        <v>1</v>
      </c>
    </row>
    <row r="101">
      <c r="A101" t="inlineStr">
        <is>
          <t>0Q110</t>
        </is>
      </c>
      <c r="B101" t="inlineStr">
        <is>
          <t>Cat</t>
        </is>
      </c>
      <c r="C101" t="inlineStr"/>
      <c r="D101" t="n">
        <v>1</v>
      </c>
    </row>
    <row r="102">
      <c r="A102" t="inlineStr">
        <is>
          <t>0Q120</t>
        </is>
      </c>
      <c r="B102" t="inlineStr">
        <is>
          <t>Cat</t>
        </is>
      </c>
      <c r="C102" t="inlineStr"/>
      <c r="D102" t="n">
        <v>1</v>
      </c>
    </row>
    <row r="103">
      <c r="A103" t="inlineStr">
        <is>
          <t>0TA30</t>
        </is>
      </c>
      <c r="B103" t="inlineStr">
        <is>
          <t>Cat</t>
        </is>
      </c>
      <c r="C103" t="inlineStr"/>
      <c r="D103" t="n">
        <v>1</v>
      </c>
    </row>
    <row r="104">
      <c r="A104" t="inlineStr">
        <is>
          <t>F2090</t>
        </is>
      </c>
      <c r="B104" t="inlineStr">
        <is>
          <t>Cat</t>
        </is>
      </c>
      <c r="C104" t="inlineStr"/>
      <c r="D104" t="n">
        <v>1</v>
      </c>
    </row>
    <row r="105">
      <c r="A105" t="inlineStr">
        <is>
          <t>F2290</t>
        </is>
      </c>
      <c r="B105" t="inlineStr">
        <is>
          <t>Cat</t>
        </is>
      </c>
      <c r="C105" t="inlineStr"/>
      <c r="D105" t="n">
        <v>1</v>
      </c>
    </row>
    <row r="106">
      <c r="A106" t="inlineStr">
        <is>
          <t>K0050</t>
        </is>
      </c>
      <c r="B106" t="inlineStr">
        <is>
          <t>Cat</t>
        </is>
      </c>
      <c r="C106" t="inlineStr"/>
      <c r="D106" t="n">
        <v>1</v>
      </c>
    </row>
    <row r="107">
      <c r="A107" t="inlineStr">
        <is>
          <t>0T150</t>
        </is>
      </c>
      <c r="B107" t="inlineStr">
        <is>
          <t>Cat</t>
        </is>
      </c>
      <c r="C107" t="inlineStr"/>
      <c r="D107" t="n">
        <v>1</v>
      </c>
    </row>
    <row r="108">
      <c r="A108" t="inlineStr">
        <is>
          <t>0T160</t>
        </is>
      </c>
      <c r="B108" t="inlineStr">
        <is>
          <t>Cat</t>
        </is>
      </c>
      <c r="C108" t="inlineStr"/>
      <c r="D108" t="n">
        <v>1</v>
      </c>
    </row>
    <row r="109">
      <c r="A109" t="inlineStr">
        <is>
          <t>0T410</t>
        </is>
      </c>
      <c r="B109" t="inlineStr">
        <is>
          <t>Cat</t>
        </is>
      </c>
      <c r="C109" t="inlineStr"/>
      <c r="D109" t="n">
        <v>1</v>
      </c>
    </row>
    <row r="110">
      <c r="A110" t="inlineStr">
        <is>
          <t>0T420</t>
        </is>
      </c>
      <c r="B110" t="inlineStr">
        <is>
          <t>Cat</t>
        </is>
      </c>
      <c r="C110" t="inlineStr"/>
      <c r="D110" t="n">
        <v>1</v>
      </c>
    </row>
    <row r="111">
      <c r="A111" t="inlineStr">
        <is>
          <t>0T470</t>
        </is>
      </c>
      <c r="B111" t="inlineStr">
        <is>
          <t>Cat</t>
        </is>
      </c>
      <c r="C111" t="inlineStr"/>
      <c r="D111" t="n">
        <v>1</v>
      </c>
    </row>
    <row r="112">
      <c r="A112" t="inlineStr">
        <is>
          <t>0T480</t>
        </is>
      </c>
      <c r="B112" t="inlineStr">
        <is>
          <t>Cat</t>
        </is>
      </c>
      <c r="C112" t="inlineStr"/>
      <c r="D112" t="n">
        <v>1</v>
      </c>
    </row>
    <row r="113">
      <c r="A113" t="inlineStr">
        <is>
          <t>0T490</t>
        </is>
      </c>
      <c r="B113" t="inlineStr">
        <is>
          <t>Cat</t>
        </is>
      </c>
      <c r="C113" t="inlineStr"/>
      <c r="D113" t="n">
        <v>1</v>
      </c>
    </row>
    <row r="114">
      <c r="A114" t="inlineStr">
        <is>
          <t>0T500</t>
        </is>
      </c>
      <c r="B114" t="inlineStr">
        <is>
          <t>Cat</t>
        </is>
      </c>
      <c r="C114" t="inlineStr"/>
      <c r="D114" t="n">
        <v>1</v>
      </c>
    </row>
    <row r="115">
      <c r="A115" t="inlineStr">
        <is>
          <t>0T690</t>
        </is>
      </c>
      <c r="B115" t="inlineStr">
        <is>
          <t>Cat</t>
        </is>
      </c>
      <c r="C115" t="inlineStr"/>
      <c r="D115" t="n">
        <v>1</v>
      </c>
    </row>
    <row r="116">
      <c r="A116" t="inlineStr">
        <is>
          <t>0T720</t>
        </is>
      </c>
      <c r="B116" t="inlineStr">
        <is>
          <t>Cat</t>
        </is>
      </c>
      <c r="C116" t="inlineStr"/>
      <c r="D116" t="n">
        <v>1</v>
      </c>
    </row>
    <row r="117">
      <c r="A117" t="inlineStr">
        <is>
          <t>0T740</t>
        </is>
      </c>
      <c r="B117" t="inlineStr">
        <is>
          <t>Cat</t>
        </is>
      </c>
      <c r="C117" t="inlineStr"/>
      <c r="D117" t="n">
        <v>1</v>
      </c>
    </row>
    <row r="118">
      <c r="A118" t="inlineStr">
        <is>
          <t>0T750</t>
        </is>
      </c>
      <c r="B118" t="inlineStr">
        <is>
          <t>Cat</t>
        </is>
      </c>
      <c r="C118" t="inlineStr"/>
      <c r="D118" t="n">
        <v>1</v>
      </c>
    </row>
    <row r="119">
      <c r="A119" t="inlineStr">
        <is>
          <t>0T860</t>
        </is>
      </c>
      <c r="B119" t="inlineStr">
        <is>
          <t>Cat</t>
        </is>
      </c>
      <c r="C119" t="inlineStr"/>
      <c r="D119" t="n">
        <v>1</v>
      </c>
    </row>
    <row r="120">
      <c r="A120" t="inlineStr">
        <is>
          <t>0T870</t>
        </is>
      </c>
      <c r="B120" t="inlineStr">
        <is>
          <t>Cat</t>
        </is>
      </c>
      <c r="C120" t="inlineStr"/>
      <c r="D120" t="n">
        <v>1</v>
      </c>
    </row>
    <row r="121">
      <c r="A121" t="inlineStr">
        <is>
          <t>0T880</t>
        </is>
      </c>
      <c r="B121" t="inlineStr">
        <is>
          <t>Cat</t>
        </is>
      </c>
      <c r="C121" t="inlineStr"/>
      <c r="D121" t="n">
        <v>1</v>
      </c>
    </row>
    <row r="122">
      <c r="A122" t="inlineStr">
        <is>
          <t>0TA40</t>
        </is>
      </c>
      <c r="B122" t="inlineStr">
        <is>
          <t>Cat</t>
        </is>
      </c>
      <c r="C122" t="inlineStr"/>
      <c r="D122" t="n">
        <v>1</v>
      </c>
    </row>
    <row r="123">
      <c r="A123" t="inlineStr">
        <is>
          <t>0W750</t>
        </is>
      </c>
      <c r="B123" t="inlineStr">
        <is>
          <t>Cat</t>
        </is>
      </c>
      <c r="C123" t="inlineStr"/>
      <c r="D123" t="n">
        <v>1</v>
      </c>
    </row>
    <row r="124">
      <c r="A124" t="inlineStr">
        <is>
          <t>0W780</t>
        </is>
      </c>
      <c r="B124" t="inlineStr">
        <is>
          <t>Cat</t>
        </is>
      </c>
      <c r="C124" t="inlineStr"/>
      <c r="D124" t="n">
        <v>1</v>
      </c>
    </row>
    <row r="125">
      <c r="A125" t="inlineStr">
        <is>
          <t>0Y460</t>
        </is>
      </c>
      <c r="B125" t="inlineStr">
        <is>
          <t>Cat</t>
        </is>
      </c>
      <c r="C125" t="inlineStr"/>
      <c r="D125" t="n">
        <v>1</v>
      </c>
    </row>
    <row r="126">
      <c r="A126" t="inlineStr">
        <is>
          <t>F0220</t>
        </is>
      </c>
      <c r="B126" t="inlineStr">
        <is>
          <t>Cat</t>
        </is>
      </c>
      <c r="C126" t="inlineStr"/>
      <c r="D126" t="n">
        <v>1</v>
      </c>
    </row>
    <row r="127">
      <c r="A127" t="inlineStr">
        <is>
          <t>F2100</t>
        </is>
      </c>
      <c r="B127" t="inlineStr">
        <is>
          <t>Cat</t>
        </is>
      </c>
      <c r="C127" t="inlineStr"/>
      <c r="D127" t="n">
        <v>1</v>
      </c>
    </row>
    <row r="128">
      <c r="A128" t="inlineStr">
        <is>
          <t>F2180</t>
        </is>
      </c>
      <c r="B128" t="inlineStr">
        <is>
          <t>Cat</t>
        </is>
      </c>
      <c r="C128" t="inlineStr"/>
      <c r="D128" t="n">
        <v>1</v>
      </c>
    </row>
    <row r="129">
      <c r="A129" t="inlineStr">
        <is>
          <t>F2210</t>
        </is>
      </c>
      <c r="B129" t="inlineStr">
        <is>
          <t>Cat</t>
        </is>
      </c>
      <c r="C129" t="inlineStr"/>
      <c r="D129" t="n">
        <v>1</v>
      </c>
    </row>
    <row r="130">
      <c r="A130" t="inlineStr">
        <is>
          <t>F2350</t>
        </is>
      </c>
      <c r="B130" t="inlineStr">
        <is>
          <t>Cat</t>
        </is>
      </c>
      <c r="C130" t="inlineStr"/>
      <c r="D130" t="n">
        <v>1</v>
      </c>
    </row>
    <row r="131">
      <c r="A131" t="inlineStr">
        <is>
          <t>F3060</t>
        </is>
      </c>
      <c r="B131" t="inlineStr">
        <is>
          <t>Cat</t>
        </is>
      </c>
      <c r="C131" t="inlineStr"/>
      <c r="D131" t="n">
        <v>1</v>
      </c>
    </row>
    <row r="132">
      <c r="A132" t="inlineStr">
        <is>
          <t>K0030</t>
        </is>
      </c>
      <c r="B132" t="inlineStr">
        <is>
          <t>Cat</t>
        </is>
      </c>
      <c r="C132" t="inlineStr"/>
      <c r="D132" t="n">
        <v>1</v>
      </c>
    </row>
    <row r="133">
      <c r="A133" t="inlineStr">
        <is>
          <t>TSP-1555</t>
        </is>
      </c>
      <c r="B133" t="inlineStr">
        <is>
          <t>Slurry</t>
        </is>
      </c>
      <c r="C133" t="inlineStr"/>
      <c r="D133" t="n">
        <v>121.5</v>
      </c>
    </row>
    <row r="134">
      <c r="A134" t="inlineStr">
        <is>
          <t>V14</t>
        </is>
      </c>
      <c r="B134" t="inlineStr">
        <is>
          <t>Cat</t>
        </is>
      </c>
      <c r="C134" t="inlineStr"/>
      <c r="D134" t="n">
        <v>1</v>
      </c>
    </row>
    <row r="135">
      <c r="A135" t="inlineStr">
        <is>
          <t>V17</t>
        </is>
      </c>
      <c r="B135" t="inlineStr">
        <is>
          <t>Cat</t>
        </is>
      </c>
      <c r="C135" t="inlineStr"/>
      <c r="D135" t="n">
        <v>1</v>
      </c>
    </row>
    <row r="136">
      <c r="A136" t="inlineStr">
        <is>
          <t>V18</t>
        </is>
      </c>
      <c r="B136" t="inlineStr">
        <is>
          <t>Cat</t>
        </is>
      </c>
      <c r="C136" t="inlineStr"/>
      <c r="D13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6" t="inlineStr">
        <is>
          <t>Intermediate</t>
        </is>
      </c>
      <c r="B1" s="6" t="inlineStr">
        <is>
          <t>Product_Code</t>
        </is>
      </c>
    </row>
    <row r="2">
      <c r="A2" t="inlineStr">
        <is>
          <t>TPP-103</t>
        </is>
      </c>
      <c r="B2" t="inlineStr">
        <is>
          <t>0T150</t>
        </is>
      </c>
    </row>
    <row r="3">
      <c r="A3" t="inlineStr">
        <is>
          <t>TPP-358</t>
        </is>
      </c>
      <c r="B3" t="inlineStr">
        <is>
          <t>0T420</t>
        </is>
      </c>
    </row>
    <row r="4">
      <c r="A4" t="inlineStr">
        <is>
          <t>TPP-358</t>
        </is>
      </c>
      <c r="B4" t="inlineStr">
        <is>
          <t>0T470</t>
        </is>
      </c>
    </row>
    <row r="5">
      <c r="A5" t="inlineStr">
        <is>
          <t>TPP-358</t>
        </is>
      </c>
      <c r="B5" t="inlineStr">
        <is>
          <t>0T490</t>
        </is>
      </c>
    </row>
    <row r="6">
      <c r="A6" t="inlineStr">
        <is>
          <t>TPP-358</t>
        </is>
      </c>
      <c r="B6" t="inlineStr">
        <is>
          <t>0T500</t>
        </is>
      </c>
    </row>
    <row r="7">
      <c r="A7" t="inlineStr">
        <is>
          <t>TPP-533</t>
        </is>
      </c>
      <c r="B7" t="inlineStr">
        <is>
          <t>0T480</t>
        </is>
      </c>
    </row>
    <row r="8">
      <c r="A8" t="inlineStr">
        <is>
          <t>TPP-611</t>
        </is>
      </c>
      <c r="B8" t="inlineStr">
        <is>
          <t>F2100</t>
        </is>
      </c>
    </row>
    <row r="9">
      <c r="A9" t="inlineStr">
        <is>
          <t>TPP-613</t>
        </is>
      </c>
      <c r="B9" t="inlineStr">
        <is>
          <t>F0220</t>
        </is>
      </c>
    </row>
    <row r="10">
      <c r="A10" t="inlineStr">
        <is>
          <t>TPP-635</t>
        </is>
      </c>
      <c r="B10" t="inlineStr">
        <is>
          <t>0T730</t>
        </is>
      </c>
    </row>
    <row r="11">
      <c r="A11" t="inlineStr">
        <is>
          <t>TPP-649</t>
        </is>
      </c>
      <c r="B11" t="inlineStr">
        <is>
          <t>0Q110</t>
        </is>
      </c>
    </row>
    <row r="12">
      <c r="A12" t="inlineStr">
        <is>
          <t>TPP-649</t>
        </is>
      </c>
      <c r="B12" t="inlineStr">
        <is>
          <t>0Y460</t>
        </is>
      </c>
    </row>
    <row r="13">
      <c r="A13" t="inlineStr">
        <is>
          <t>TPP-649</t>
        </is>
      </c>
      <c r="B13" t="inlineStr">
        <is>
          <t>F2090</t>
        </is>
      </c>
    </row>
    <row r="14">
      <c r="A14" t="inlineStr">
        <is>
          <t>TPP-650</t>
        </is>
      </c>
      <c r="B14" t="inlineStr">
        <is>
          <t>0Q110</t>
        </is>
      </c>
    </row>
    <row r="15">
      <c r="A15" t="inlineStr">
        <is>
          <t>TPP-650</t>
        </is>
      </c>
      <c r="B15" t="inlineStr">
        <is>
          <t>0Y460</t>
        </is>
      </c>
    </row>
    <row r="16">
      <c r="A16" t="inlineStr">
        <is>
          <t>TPP-650</t>
        </is>
      </c>
      <c r="B16" t="inlineStr">
        <is>
          <t>F2090</t>
        </is>
      </c>
    </row>
    <row r="17">
      <c r="A17" t="inlineStr">
        <is>
          <t>TPP-699</t>
        </is>
      </c>
      <c r="B17" t="inlineStr">
        <is>
          <t>0T510</t>
        </is>
      </c>
    </row>
    <row r="18">
      <c r="A18" t="inlineStr">
        <is>
          <t>TPP-699</t>
        </is>
      </c>
      <c r="B18" t="inlineStr">
        <is>
          <t>0T520</t>
        </is>
      </c>
    </row>
    <row r="19">
      <c r="A19" t="inlineStr">
        <is>
          <t>TPP-700</t>
        </is>
      </c>
      <c r="B19" t="inlineStr">
        <is>
          <t>0T430</t>
        </is>
      </c>
    </row>
    <row r="20">
      <c r="A20" t="inlineStr">
        <is>
          <t>TPP-701</t>
        </is>
      </c>
      <c r="B20" t="inlineStr">
        <is>
          <t>0Y230</t>
        </is>
      </c>
    </row>
    <row r="21">
      <c r="A21" t="inlineStr">
        <is>
          <t>TPP-825</t>
        </is>
      </c>
      <c r="B21" t="inlineStr">
        <is>
          <t>0T730</t>
        </is>
      </c>
    </row>
    <row r="22">
      <c r="A22" t="inlineStr">
        <is>
          <t>TPP-911</t>
        </is>
      </c>
      <c r="B22" t="inlineStr">
        <is>
          <t>K0030</t>
        </is>
      </c>
    </row>
    <row r="23">
      <c r="A23" t="inlineStr">
        <is>
          <t>TPP-911</t>
        </is>
      </c>
      <c r="B23" t="inlineStr">
        <is>
          <t>0T690</t>
        </is>
      </c>
    </row>
    <row r="24">
      <c r="A24" t="inlineStr">
        <is>
          <t>TPP-911</t>
        </is>
      </c>
      <c r="B24" t="inlineStr">
        <is>
          <t>0T720</t>
        </is>
      </c>
    </row>
    <row r="25">
      <c r="A25" t="inlineStr">
        <is>
          <t>TPP-911</t>
        </is>
      </c>
      <c r="B25" t="inlineStr">
        <is>
          <t>0T740</t>
        </is>
      </c>
    </row>
    <row r="26">
      <c r="A26" t="inlineStr">
        <is>
          <t>TPP-911</t>
        </is>
      </c>
      <c r="B26" t="inlineStr">
        <is>
          <t>F2180</t>
        </is>
      </c>
    </row>
    <row r="27">
      <c r="A27" t="inlineStr">
        <is>
          <t>TPP-911</t>
        </is>
      </c>
      <c r="B27" t="inlineStr">
        <is>
          <t>F2210</t>
        </is>
      </c>
    </row>
    <row r="28">
      <c r="A28" t="inlineStr">
        <is>
          <t>TPP-912</t>
        </is>
      </c>
      <c r="B28" t="inlineStr">
        <is>
          <t>0T750</t>
        </is>
      </c>
    </row>
    <row r="29">
      <c r="A29" t="inlineStr">
        <is>
          <t>TPP-914</t>
        </is>
      </c>
      <c r="B29" t="inlineStr">
        <is>
          <t>F2180</t>
        </is>
      </c>
    </row>
    <row r="30">
      <c r="A30" t="inlineStr">
        <is>
          <t>TPP-914</t>
        </is>
      </c>
      <c r="B30" t="inlineStr">
        <is>
          <t>F2210</t>
        </is>
      </c>
    </row>
    <row r="31">
      <c r="A31" t="inlineStr">
        <is>
          <t>TPP-915</t>
        </is>
      </c>
      <c r="B31" t="inlineStr">
        <is>
          <t>K0030</t>
        </is>
      </c>
    </row>
    <row r="32">
      <c r="A32" t="inlineStr">
        <is>
          <t>TPP-915</t>
        </is>
      </c>
      <c r="B32" t="inlineStr">
        <is>
          <t>0T690</t>
        </is>
      </c>
    </row>
    <row r="33">
      <c r="A33" t="inlineStr">
        <is>
          <t>TPP-915</t>
        </is>
      </c>
      <c r="B33" t="inlineStr">
        <is>
          <t>0T720</t>
        </is>
      </c>
    </row>
    <row r="34">
      <c r="A34" t="inlineStr">
        <is>
          <t>TPP-916</t>
        </is>
      </c>
      <c r="B34" t="inlineStr">
        <is>
          <t>0T740</t>
        </is>
      </c>
    </row>
    <row r="35">
      <c r="A35" t="inlineStr">
        <is>
          <t>TPP-917</t>
        </is>
      </c>
      <c r="B35" t="inlineStr">
        <is>
          <t>0T750</t>
        </is>
      </c>
    </row>
    <row r="36">
      <c r="A36" t="inlineStr">
        <is>
          <t>TPP-919</t>
        </is>
      </c>
      <c r="B36" t="inlineStr">
        <is>
          <t>F2180</t>
        </is>
      </c>
    </row>
    <row r="37">
      <c r="A37" t="inlineStr">
        <is>
          <t>TPP-919</t>
        </is>
      </c>
      <c r="B37" t="inlineStr">
        <is>
          <t>F2210</t>
        </is>
      </c>
    </row>
    <row r="38">
      <c r="A38" t="inlineStr">
        <is>
          <t>TPP-920</t>
        </is>
      </c>
      <c r="B38" t="inlineStr">
        <is>
          <t>K0030</t>
        </is>
      </c>
    </row>
    <row r="39">
      <c r="A39" t="inlineStr">
        <is>
          <t>TPP-920</t>
        </is>
      </c>
      <c r="B39" t="inlineStr">
        <is>
          <t>0T690</t>
        </is>
      </c>
    </row>
    <row r="40">
      <c r="A40" t="inlineStr">
        <is>
          <t>TPP-920</t>
        </is>
      </c>
      <c r="B40" t="inlineStr">
        <is>
          <t>0T720</t>
        </is>
      </c>
    </row>
    <row r="41">
      <c r="A41" t="inlineStr">
        <is>
          <t>TPP-922</t>
        </is>
      </c>
      <c r="B41" t="inlineStr">
        <is>
          <t>0T740</t>
        </is>
      </c>
    </row>
    <row r="42">
      <c r="A42" t="inlineStr">
        <is>
          <t>TPP-923</t>
        </is>
      </c>
      <c r="B42" t="inlineStr">
        <is>
          <t>0T750</t>
        </is>
      </c>
    </row>
    <row r="43">
      <c r="A43" t="inlineStr">
        <is>
          <t>TPP-968</t>
        </is>
      </c>
      <c r="B43" t="inlineStr">
        <is>
          <t>K0050</t>
        </is>
      </c>
    </row>
    <row r="44">
      <c r="A44" t="inlineStr">
        <is>
          <t>TPP-968</t>
        </is>
      </c>
      <c r="B44" t="inlineStr">
        <is>
          <t>0Q120</t>
        </is>
      </c>
    </row>
    <row r="45">
      <c r="A45" t="inlineStr">
        <is>
          <t>TPP-1367</t>
        </is>
      </c>
      <c r="B45" t="inlineStr">
        <is>
          <t>F3060</t>
        </is>
      </c>
    </row>
    <row r="46">
      <c r="A46" t="inlineStr">
        <is>
          <t>TPP-1367</t>
        </is>
      </c>
      <c r="B46" t="inlineStr">
        <is>
          <t>F2350</t>
        </is>
      </c>
    </row>
    <row r="47">
      <c r="A47" t="inlineStr">
        <is>
          <t>TPP-1378</t>
        </is>
      </c>
      <c r="B47" t="inlineStr">
        <is>
          <t>F3060</t>
        </is>
      </c>
    </row>
    <row r="48">
      <c r="A48" t="inlineStr">
        <is>
          <t>TPP-1378</t>
        </is>
      </c>
      <c r="B48" t="inlineStr">
        <is>
          <t>F2350</t>
        </is>
      </c>
    </row>
    <row r="49">
      <c r="A49" t="inlineStr">
        <is>
          <t>TPP-1378</t>
        </is>
      </c>
      <c r="B49" t="inlineStr">
        <is>
          <t>A045</t>
        </is>
      </c>
    </row>
    <row r="50">
      <c r="A50" t="inlineStr">
        <is>
          <t>TPP-1369</t>
        </is>
      </c>
      <c r="B50" t="inlineStr">
        <is>
          <t>F3060</t>
        </is>
      </c>
    </row>
    <row r="51">
      <c r="A51" t="inlineStr">
        <is>
          <t>TPP-1369</t>
        </is>
      </c>
      <c r="B51" t="inlineStr">
        <is>
          <t>OT880</t>
        </is>
      </c>
    </row>
    <row r="52">
      <c r="A52" t="inlineStr">
        <is>
          <t>TPP-1379</t>
        </is>
      </c>
      <c r="B52" t="inlineStr">
        <is>
          <t>F3060</t>
        </is>
      </c>
    </row>
    <row r="53">
      <c r="A53" t="inlineStr">
        <is>
          <t>TPP-1379</t>
        </is>
      </c>
      <c r="B53" t="inlineStr">
        <is>
          <t>OT860</t>
        </is>
      </c>
    </row>
    <row r="54">
      <c r="A54" t="inlineStr">
        <is>
          <t>TPP-1379</t>
        </is>
      </c>
      <c r="B54" t="inlineStr">
        <is>
          <t>OT870</t>
        </is>
      </c>
    </row>
    <row r="55">
      <c r="A55" t="inlineStr">
        <is>
          <t>TPP-1379</t>
        </is>
      </c>
      <c r="B55" t="inlineStr">
        <is>
          <t>OT880</t>
        </is>
      </c>
    </row>
    <row r="56">
      <c r="A56" t="inlineStr">
        <is>
          <t>TPP-1368</t>
        </is>
      </c>
      <c r="B56" t="inlineStr">
        <is>
          <t>F3060</t>
        </is>
      </c>
    </row>
    <row r="57">
      <c r="A57" t="inlineStr">
        <is>
          <t>TPP-1368</t>
        </is>
      </c>
      <c r="B57" t="inlineStr">
        <is>
          <t>OT860</t>
        </is>
      </c>
    </row>
    <row r="58">
      <c r="A58" t="inlineStr">
        <is>
          <t>TPP-1368</t>
        </is>
      </c>
      <c r="B58" t="inlineStr">
        <is>
          <t>OT870</t>
        </is>
      </c>
    </row>
    <row r="59">
      <c r="A59" t="inlineStr">
        <is>
          <t>TPP-1368</t>
        </is>
      </c>
      <c r="B59" t="inlineStr">
        <is>
          <t>A045</t>
        </is>
      </c>
    </row>
    <row r="60">
      <c r="A60" t="inlineStr">
        <is>
          <t>TSP-049</t>
        </is>
      </c>
      <c r="B60" t="inlineStr">
        <is>
          <t>0T180</t>
        </is>
      </c>
    </row>
    <row r="61">
      <c r="A61" t="inlineStr">
        <is>
          <t>TSP-049</t>
        </is>
      </c>
      <c r="B61" t="inlineStr">
        <is>
          <t>0T410</t>
        </is>
      </c>
    </row>
    <row r="62">
      <c r="A62" t="inlineStr">
        <is>
          <t>TSP-049</t>
        </is>
      </c>
      <c r="B62" t="inlineStr">
        <is>
          <t>0W750</t>
        </is>
      </c>
    </row>
    <row r="63">
      <c r="A63" t="inlineStr">
        <is>
          <t>TSP-050</t>
        </is>
      </c>
      <c r="B63" t="inlineStr">
        <is>
          <t>0T180</t>
        </is>
      </c>
    </row>
    <row r="64">
      <c r="A64" t="inlineStr">
        <is>
          <t>TSP-050</t>
        </is>
      </c>
      <c r="B64" t="inlineStr">
        <is>
          <t>0T410</t>
        </is>
      </c>
    </row>
    <row r="65">
      <c r="A65" t="inlineStr">
        <is>
          <t>TSP-050</t>
        </is>
      </c>
      <c r="B65" t="inlineStr">
        <is>
          <t>0W750</t>
        </is>
      </c>
    </row>
    <row r="66">
      <c r="A66" t="inlineStr">
        <is>
          <t>TSP-067</t>
        </is>
      </c>
      <c r="B66" t="inlineStr">
        <is>
          <t>0T160</t>
        </is>
      </c>
    </row>
    <row r="67">
      <c r="A67" t="inlineStr">
        <is>
          <t>TSP-069</t>
        </is>
      </c>
      <c r="B67" t="inlineStr">
        <is>
          <t>0W770</t>
        </is>
      </c>
    </row>
    <row r="68">
      <c r="A68" t="inlineStr">
        <is>
          <t>TSP-078</t>
        </is>
      </c>
      <c r="B68" t="inlineStr">
        <is>
          <t>0T160</t>
        </is>
      </c>
    </row>
    <row r="69">
      <c r="A69" t="inlineStr">
        <is>
          <t>TSP-080</t>
        </is>
      </c>
      <c r="B69" t="inlineStr">
        <is>
          <t>0W770</t>
        </is>
      </c>
    </row>
    <row r="70">
      <c r="A70" t="inlineStr">
        <is>
          <t>TSP-104</t>
        </is>
      </c>
      <c r="B70" t="inlineStr">
        <is>
          <t>0T150</t>
        </is>
      </c>
    </row>
    <row r="71">
      <c r="A71" t="inlineStr">
        <is>
          <t>TSP-105</t>
        </is>
      </c>
      <c r="B71" t="inlineStr">
        <is>
          <t>0T150</t>
        </is>
      </c>
    </row>
    <row r="72">
      <c r="A72" t="inlineStr">
        <is>
          <t>TSP-199</t>
        </is>
      </c>
      <c r="B72" t="inlineStr">
        <is>
          <t>0W780</t>
        </is>
      </c>
    </row>
    <row r="73">
      <c r="A73" t="inlineStr">
        <is>
          <t>TSP-205</t>
        </is>
      </c>
      <c r="B73" t="inlineStr">
        <is>
          <t>0W780</t>
        </is>
      </c>
    </row>
    <row r="74">
      <c r="A74" t="inlineStr">
        <is>
          <t>TSP-206</t>
        </is>
      </c>
      <c r="B74" t="inlineStr">
        <is>
          <t>0W780</t>
        </is>
      </c>
    </row>
    <row r="75">
      <c r="A75" t="inlineStr">
        <is>
          <t>TSP-224</t>
        </is>
      </c>
      <c r="B75" t="inlineStr">
        <is>
          <t>0M060</t>
        </is>
      </c>
    </row>
    <row r="76">
      <c r="A76" t="inlineStr">
        <is>
          <t>TSP-224</t>
        </is>
      </c>
      <c r="B76" t="inlineStr">
        <is>
          <t>0P340</t>
        </is>
      </c>
    </row>
    <row r="77">
      <c r="A77" t="inlineStr">
        <is>
          <t>TSP-224</t>
        </is>
      </c>
      <c r="B77" t="inlineStr">
        <is>
          <t>0V250</t>
        </is>
      </c>
    </row>
    <row r="78">
      <c r="A78" t="inlineStr">
        <is>
          <t>TSP-225</t>
        </is>
      </c>
      <c r="B78" t="inlineStr">
        <is>
          <t>0M060</t>
        </is>
      </c>
    </row>
    <row r="79">
      <c r="A79" t="inlineStr">
        <is>
          <t>TSP-225</t>
        </is>
      </c>
      <c r="B79" t="inlineStr">
        <is>
          <t>0P340</t>
        </is>
      </c>
    </row>
    <row r="80">
      <c r="A80" t="inlineStr">
        <is>
          <t>TSP-225</t>
        </is>
      </c>
      <c r="B80" t="inlineStr">
        <is>
          <t>0V250</t>
        </is>
      </c>
    </row>
    <row r="81">
      <c r="A81" t="inlineStr">
        <is>
          <t>TSP-360</t>
        </is>
      </c>
      <c r="B81" t="inlineStr">
        <is>
          <t>0T490</t>
        </is>
      </c>
    </row>
    <row r="82">
      <c r="A82" t="inlineStr">
        <is>
          <t>TSP-360</t>
        </is>
      </c>
      <c r="B82" t="inlineStr">
        <is>
          <t>0T500</t>
        </is>
      </c>
    </row>
    <row r="83">
      <c r="A83" t="inlineStr">
        <is>
          <t>TSP-367</t>
        </is>
      </c>
      <c r="B83" t="inlineStr">
        <is>
          <t>0T420</t>
        </is>
      </c>
    </row>
    <row r="84">
      <c r="A84" t="inlineStr">
        <is>
          <t>TSP-367</t>
        </is>
      </c>
      <c r="B84" t="inlineStr">
        <is>
          <t>0T470</t>
        </is>
      </c>
    </row>
    <row r="85">
      <c r="A85" t="inlineStr">
        <is>
          <t>TSP-367</t>
        </is>
      </c>
      <c r="B85" t="inlineStr">
        <is>
          <t>0T480</t>
        </is>
      </c>
    </row>
    <row r="86">
      <c r="A86" t="inlineStr">
        <is>
          <t>TSP-367</t>
        </is>
      </c>
      <c r="B86" t="inlineStr">
        <is>
          <t>0T490</t>
        </is>
      </c>
    </row>
    <row r="87">
      <c r="A87" t="inlineStr">
        <is>
          <t>TSP-367</t>
        </is>
      </c>
      <c r="B87" t="inlineStr">
        <is>
          <t>0T500</t>
        </is>
      </c>
    </row>
    <row r="88">
      <c r="A88" t="inlineStr">
        <is>
          <t>TSP-369</t>
        </is>
      </c>
      <c r="B88" t="inlineStr">
        <is>
          <t>0T420</t>
        </is>
      </c>
    </row>
    <row r="89">
      <c r="A89" t="inlineStr">
        <is>
          <t>TSP-369</t>
        </is>
      </c>
      <c r="B89" t="inlineStr">
        <is>
          <t>0T470</t>
        </is>
      </c>
    </row>
    <row r="90">
      <c r="A90" t="inlineStr">
        <is>
          <t>TSP-369</t>
        </is>
      </c>
      <c r="B90" t="inlineStr">
        <is>
          <t>0T490</t>
        </is>
      </c>
    </row>
    <row r="91">
      <c r="A91" t="inlineStr">
        <is>
          <t>TSP-369</t>
        </is>
      </c>
      <c r="B91" t="inlineStr">
        <is>
          <t>0T500</t>
        </is>
      </c>
    </row>
    <row r="92">
      <c r="A92" t="inlineStr">
        <is>
          <t>TSP-402</t>
        </is>
      </c>
      <c r="B92" t="inlineStr">
        <is>
          <t>0T520</t>
        </is>
      </c>
    </row>
    <row r="93">
      <c r="A93" t="inlineStr">
        <is>
          <t>TSP-403</t>
        </is>
      </c>
      <c r="B93" t="inlineStr">
        <is>
          <t>0T510</t>
        </is>
      </c>
    </row>
    <row r="94">
      <c r="A94" t="inlineStr">
        <is>
          <t>TSP-404</t>
        </is>
      </c>
      <c r="B94" t="inlineStr">
        <is>
          <t>0T430</t>
        </is>
      </c>
    </row>
    <row r="95">
      <c r="A95" t="inlineStr">
        <is>
          <t>TSP-405</t>
        </is>
      </c>
      <c r="B95" t="inlineStr">
        <is>
          <t>0P390</t>
        </is>
      </c>
    </row>
    <row r="96">
      <c r="A96" t="inlineStr">
        <is>
          <t>TSP-405</t>
        </is>
      </c>
      <c r="B96" t="inlineStr">
        <is>
          <t>0Y230</t>
        </is>
      </c>
    </row>
    <row r="97">
      <c r="A97" t="inlineStr">
        <is>
          <t>TSP-544</t>
        </is>
      </c>
      <c r="B97" t="inlineStr">
        <is>
          <t>0T480</t>
        </is>
      </c>
    </row>
    <row r="98">
      <c r="A98" t="inlineStr">
        <is>
          <t>TSP-558</t>
        </is>
      </c>
      <c r="B98" t="inlineStr">
        <is>
          <t>0T480</t>
        </is>
      </c>
    </row>
    <row r="99">
      <c r="A99" t="inlineStr">
        <is>
          <t>TSP-618</t>
        </is>
      </c>
      <c r="B99" t="inlineStr">
        <is>
          <t>F0220</t>
        </is>
      </c>
    </row>
    <row r="100">
      <c r="A100" t="inlineStr">
        <is>
          <t>TSP-618</t>
        </is>
      </c>
      <c r="B100" t="inlineStr">
        <is>
          <t>F2100</t>
        </is>
      </c>
    </row>
    <row r="101">
      <c r="A101" t="inlineStr">
        <is>
          <t>TSP-620</t>
        </is>
      </c>
      <c r="B101" t="inlineStr">
        <is>
          <t>F2100</t>
        </is>
      </c>
    </row>
    <row r="102">
      <c r="A102" t="inlineStr">
        <is>
          <t>TSP-623</t>
        </is>
      </c>
      <c r="B102" t="inlineStr">
        <is>
          <t>F0220</t>
        </is>
      </c>
    </row>
    <row r="103">
      <c r="A103" t="inlineStr">
        <is>
          <t>TSP-655</t>
        </is>
      </c>
      <c r="B103" t="inlineStr">
        <is>
          <t>0Q110</t>
        </is>
      </c>
    </row>
    <row r="104">
      <c r="A104" t="inlineStr">
        <is>
          <t>TSP-655</t>
        </is>
      </c>
      <c r="B104" t="inlineStr">
        <is>
          <t>0Y460</t>
        </is>
      </c>
    </row>
    <row r="105">
      <c r="A105" t="inlineStr">
        <is>
          <t>TSP-655</t>
        </is>
      </c>
      <c r="B105" t="inlineStr">
        <is>
          <t>F2090</t>
        </is>
      </c>
    </row>
    <row r="106">
      <c r="A106" t="inlineStr">
        <is>
          <t>TSP-656</t>
        </is>
      </c>
      <c r="B106" t="inlineStr">
        <is>
          <t>0Q110</t>
        </is>
      </c>
    </row>
    <row r="107">
      <c r="A107" t="inlineStr">
        <is>
          <t>TSP-656</t>
        </is>
      </c>
      <c r="B107" t="inlineStr">
        <is>
          <t>0Y460</t>
        </is>
      </c>
    </row>
    <row r="108">
      <c r="A108" t="inlineStr">
        <is>
          <t>TSP-656</t>
        </is>
      </c>
      <c r="B108" t="inlineStr">
        <is>
          <t>F2090</t>
        </is>
      </c>
    </row>
    <row r="109">
      <c r="A109" t="inlineStr">
        <is>
          <t>TSP-668</t>
        </is>
      </c>
      <c r="B109" t="inlineStr">
        <is>
          <t>0T510</t>
        </is>
      </c>
    </row>
    <row r="110">
      <c r="A110" t="inlineStr">
        <is>
          <t>TSP-668</t>
        </is>
      </c>
      <c r="B110" t="inlineStr">
        <is>
          <t>0T520</t>
        </is>
      </c>
    </row>
    <row r="111">
      <c r="A111" t="inlineStr">
        <is>
          <t>TSP-669</t>
        </is>
      </c>
      <c r="B111" t="inlineStr">
        <is>
          <t>0T430</t>
        </is>
      </c>
    </row>
    <row r="112">
      <c r="A112" t="inlineStr">
        <is>
          <t>TSP-670</t>
        </is>
      </c>
      <c r="B112" t="inlineStr">
        <is>
          <t>0Y230</t>
        </is>
      </c>
    </row>
    <row r="113">
      <c r="A113" t="inlineStr">
        <is>
          <t>TSP-710</t>
        </is>
      </c>
      <c r="B113" t="inlineStr">
        <is>
          <t>0T420</t>
        </is>
      </c>
    </row>
    <row r="114">
      <c r="A114" t="inlineStr">
        <is>
          <t>TSP-710</t>
        </is>
      </c>
      <c r="B114" t="inlineStr">
        <is>
          <t>0T470</t>
        </is>
      </c>
    </row>
    <row r="115">
      <c r="A115" t="inlineStr">
        <is>
          <t>TSP-828</t>
        </is>
      </c>
      <c r="B115" t="inlineStr">
        <is>
          <t>0T730</t>
        </is>
      </c>
    </row>
    <row r="116">
      <c r="A116" t="inlineStr">
        <is>
          <t>TSP-903</t>
        </is>
      </c>
      <c r="B116" t="inlineStr">
        <is>
          <t>0T730</t>
        </is>
      </c>
    </row>
    <row r="117">
      <c r="A117" t="inlineStr">
        <is>
          <t>TSP-924</t>
        </is>
      </c>
      <c r="B117" t="inlineStr">
        <is>
          <t>0T720</t>
        </is>
      </c>
    </row>
    <row r="118">
      <c r="A118" t="inlineStr">
        <is>
          <t>TSP-924</t>
        </is>
      </c>
      <c r="B118" t="inlineStr">
        <is>
          <t>0T740</t>
        </is>
      </c>
    </row>
    <row r="119">
      <c r="A119" t="inlineStr">
        <is>
          <t>TSP-924</t>
        </is>
      </c>
      <c r="B119" t="inlineStr">
        <is>
          <t>F2180</t>
        </is>
      </c>
    </row>
    <row r="120">
      <c r="A120" t="inlineStr">
        <is>
          <t>TSP-924</t>
        </is>
      </c>
      <c r="B120" t="inlineStr">
        <is>
          <t>F2210</t>
        </is>
      </c>
    </row>
    <row r="121">
      <c r="A121" t="inlineStr">
        <is>
          <t>TSP-924</t>
        </is>
      </c>
      <c r="B121" t="inlineStr">
        <is>
          <t>K0030</t>
        </is>
      </c>
    </row>
    <row r="122">
      <c r="A122" t="inlineStr">
        <is>
          <t>TSP-925</t>
        </is>
      </c>
      <c r="B122" t="inlineStr">
        <is>
          <t>0T750</t>
        </is>
      </c>
    </row>
    <row r="123">
      <c r="A123" t="inlineStr">
        <is>
          <t>TSP-927</t>
        </is>
      </c>
      <c r="B123" t="inlineStr">
        <is>
          <t>F2180</t>
        </is>
      </c>
    </row>
    <row r="124">
      <c r="A124" t="inlineStr">
        <is>
          <t>TSP-927</t>
        </is>
      </c>
      <c r="B124" t="inlineStr">
        <is>
          <t>F2210</t>
        </is>
      </c>
    </row>
    <row r="125">
      <c r="A125" t="inlineStr">
        <is>
          <t>TSP-928</t>
        </is>
      </c>
      <c r="B125" t="inlineStr">
        <is>
          <t>K0030</t>
        </is>
      </c>
    </row>
    <row r="126">
      <c r="A126" t="inlineStr">
        <is>
          <t>TSP-928</t>
        </is>
      </c>
      <c r="B126" t="inlineStr">
        <is>
          <t>0T720</t>
        </is>
      </c>
    </row>
    <row r="127">
      <c r="A127" t="inlineStr">
        <is>
          <t>TSP-928</t>
        </is>
      </c>
      <c r="B127" t="inlineStr">
        <is>
          <t>OT690</t>
        </is>
      </c>
    </row>
    <row r="128">
      <c r="A128" t="inlineStr">
        <is>
          <t>TSP-929</t>
        </is>
      </c>
      <c r="B128" t="inlineStr">
        <is>
          <t>0T740</t>
        </is>
      </c>
    </row>
    <row r="129">
      <c r="A129" t="inlineStr">
        <is>
          <t>TSP-930</t>
        </is>
      </c>
      <c r="B129" t="inlineStr">
        <is>
          <t>0T750</t>
        </is>
      </c>
    </row>
    <row r="130">
      <c r="A130" t="inlineStr">
        <is>
          <t>TSP-934</t>
        </is>
      </c>
      <c r="B130" t="inlineStr">
        <is>
          <t>F2180</t>
        </is>
      </c>
    </row>
    <row r="131">
      <c r="A131" t="inlineStr">
        <is>
          <t>TSP-934</t>
        </is>
      </c>
      <c r="B131" t="inlineStr">
        <is>
          <t>F2210</t>
        </is>
      </c>
    </row>
    <row r="132">
      <c r="A132" t="inlineStr">
        <is>
          <t>TSP-934</t>
        </is>
      </c>
      <c r="B132" t="inlineStr">
        <is>
          <t>OT690</t>
        </is>
      </c>
    </row>
    <row r="133">
      <c r="A133" t="inlineStr">
        <is>
          <t>TSP-935</t>
        </is>
      </c>
      <c r="B133" t="inlineStr">
        <is>
          <t>0T720</t>
        </is>
      </c>
    </row>
    <row r="134">
      <c r="A134" t="inlineStr">
        <is>
          <t>TSP-935</t>
        </is>
      </c>
      <c r="B134" t="inlineStr">
        <is>
          <t>K0030</t>
        </is>
      </c>
    </row>
    <row r="135">
      <c r="A135" t="inlineStr">
        <is>
          <t>TSP-936</t>
        </is>
      </c>
      <c r="B135" t="inlineStr">
        <is>
          <t>0T740</t>
        </is>
      </c>
    </row>
    <row r="136">
      <c r="A136" t="inlineStr">
        <is>
          <t>TSP-937</t>
        </is>
      </c>
      <c r="B136" t="inlineStr">
        <is>
          <t>0T750</t>
        </is>
      </c>
    </row>
    <row r="137">
      <c r="A137" t="inlineStr">
        <is>
          <t>TSP-959</t>
        </is>
      </c>
      <c r="B137" t="inlineStr">
        <is>
          <t>0Q120</t>
        </is>
      </c>
    </row>
    <row r="138">
      <c r="A138" t="inlineStr">
        <is>
          <t>TSP-959</t>
        </is>
      </c>
      <c r="B138" t="inlineStr">
        <is>
          <t>K0050</t>
        </is>
      </c>
    </row>
    <row r="139">
      <c r="A139" t="inlineStr">
        <is>
          <t>TSP-966</t>
        </is>
      </c>
      <c r="B139" t="inlineStr">
        <is>
          <t>0Q120</t>
        </is>
      </c>
    </row>
    <row r="140">
      <c r="A140" t="inlineStr">
        <is>
          <t>TSP-966</t>
        </is>
      </c>
      <c r="B140" t="inlineStr">
        <is>
          <t>K0050</t>
        </is>
      </c>
    </row>
    <row r="141">
      <c r="A141" t="inlineStr">
        <is>
          <t>TSP-1388</t>
        </is>
      </c>
      <c r="B141" t="inlineStr">
        <is>
          <t>0T860</t>
        </is>
      </c>
    </row>
    <row r="142">
      <c r="A142" t="inlineStr">
        <is>
          <t>TSP-1388</t>
        </is>
      </c>
      <c r="B142" t="inlineStr">
        <is>
          <t>F2350</t>
        </is>
      </c>
    </row>
    <row r="143">
      <c r="A143" t="inlineStr">
        <is>
          <t>TSP-1388</t>
        </is>
      </c>
      <c r="B143" t="inlineStr">
        <is>
          <t>F3060</t>
        </is>
      </c>
    </row>
    <row r="144">
      <c r="A144" t="inlineStr">
        <is>
          <t>TSP-1444</t>
        </is>
      </c>
      <c r="B144" t="inlineStr">
        <is>
          <t>F2350</t>
        </is>
      </c>
    </row>
    <row r="145">
      <c r="A145" t="inlineStr">
        <is>
          <t>TSP-1444</t>
        </is>
      </c>
      <c r="B145" t="inlineStr">
        <is>
          <t>F3060</t>
        </is>
      </c>
    </row>
    <row r="146">
      <c r="A146" t="inlineStr">
        <is>
          <t>TSP-1448</t>
        </is>
      </c>
      <c r="B146" t="inlineStr">
        <is>
          <t>F2350</t>
        </is>
      </c>
    </row>
    <row r="147">
      <c r="A147" t="inlineStr">
        <is>
          <t>TSP-1448</t>
        </is>
      </c>
      <c r="B147" t="inlineStr">
        <is>
          <t>F3060</t>
        </is>
      </c>
    </row>
    <row r="148">
      <c r="A148" t="inlineStr">
        <is>
          <t>TSP-1445</t>
        </is>
      </c>
      <c r="B148" t="inlineStr">
        <is>
          <t>0T860</t>
        </is>
      </c>
    </row>
    <row r="149">
      <c r="A149" t="inlineStr">
        <is>
          <t>TSP-1446</t>
        </is>
      </c>
      <c r="B149" t="inlineStr">
        <is>
          <t>0T880</t>
        </is>
      </c>
    </row>
    <row r="150">
      <c r="A150" t="inlineStr">
        <is>
          <t>TSP-1449</t>
        </is>
      </c>
      <c r="B150" t="inlineStr">
        <is>
          <t>0T880</t>
        </is>
      </c>
    </row>
    <row r="151">
      <c r="A151" t="inlineStr">
        <is>
          <t>TSP-1449</t>
        </is>
      </c>
      <c r="B151" t="inlineStr">
        <is>
          <t>0T860</t>
        </is>
      </c>
    </row>
    <row r="152">
      <c r="A152" t="inlineStr">
        <is>
          <t>TVS-267</t>
        </is>
      </c>
      <c r="B152" t="inlineStr">
        <is>
          <t>0T750</t>
        </is>
      </c>
    </row>
    <row r="153">
      <c r="A153" t="inlineStr">
        <is>
          <t>TVS-500</t>
        </is>
      </c>
      <c r="B153" t="inlineStr">
        <is>
          <t>0T740</t>
        </is>
      </c>
    </row>
    <row r="154">
      <c r="A154" t="inlineStr">
        <is>
          <t>TVS-664</t>
        </is>
      </c>
      <c r="B154" t="inlineStr">
        <is>
          <t>F2180</t>
        </is>
      </c>
    </row>
    <row r="155">
      <c r="A155" t="inlineStr">
        <is>
          <t>TVS-664</t>
        </is>
      </c>
      <c r="B155" t="inlineStr">
        <is>
          <t>F2210</t>
        </is>
      </c>
    </row>
    <row r="156">
      <c r="A156" t="inlineStr">
        <is>
          <t>TVS-664</t>
        </is>
      </c>
      <c r="B156" t="inlineStr">
        <is>
          <t>K0030</t>
        </is>
      </c>
    </row>
    <row r="157">
      <c r="A157" t="inlineStr">
        <is>
          <t>TVS-833</t>
        </is>
      </c>
      <c r="B157" t="inlineStr">
        <is>
          <t>0T720</t>
        </is>
      </c>
    </row>
    <row r="158">
      <c r="A158" t="inlineStr">
        <is>
          <t>VSP-600</t>
        </is>
      </c>
      <c r="B158" t="inlineStr">
        <is>
          <t>V02</t>
        </is>
      </c>
    </row>
    <row r="159">
      <c r="A159" t="inlineStr">
        <is>
          <t>VSP-601</t>
        </is>
      </c>
      <c r="B159" t="inlineStr">
        <is>
          <t>V02</t>
        </is>
      </c>
    </row>
    <row r="160">
      <c r="A160" t="inlineStr">
        <is>
          <t>VSP-602</t>
        </is>
      </c>
      <c r="B160" t="inlineStr">
        <is>
          <t>V02</t>
        </is>
      </c>
    </row>
    <row r="161">
      <c r="A161" t="inlineStr">
        <is>
          <t>VSP-820</t>
        </is>
      </c>
      <c r="B161" t="inlineStr">
        <is>
          <t>V14</t>
        </is>
      </c>
    </row>
    <row r="162">
      <c r="A162" t="inlineStr">
        <is>
          <t>VSP-820</t>
        </is>
      </c>
      <c r="B162" t="inlineStr">
        <is>
          <t>V17</t>
        </is>
      </c>
    </row>
    <row r="163">
      <c r="A163" t="inlineStr">
        <is>
          <t>VSP-822</t>
        </is>
      </c>
      <c r="B163" t="inlineStr">
        <is>
          <t>V14</t>
        </is>
      </c>
    </row>
    <row r="164">
      <c r="A164" t="inlineStr">
        <is>
          <t>VSP-910</t>
        </is>
      </c>
      <c r="B164" t="inlineStr">
        <is>
          <t>V17</t>
        </is>
      </c>
    </row>
    <row r="165">
      <c r="A165" t="inlineStr">
        <is>
          <t>VSP-989</t>
        </is>
      </c>
      <c r="B165" t="inlineStr">
        <is>
          <t>V18</t>
        </is>
      </c>
    </row>
    <row r="166">
      <c r="A166" t="inlineStr">
        <is>
          <t>VSP-990</t>
        </is>
      </c>
      <c r="B166" t="inlineStr">
        <is>
          <t>V18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A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</cols>
  <sheetData>
    <row r="1">
      <c r="A1" s="6" t="inlineStr">
        <is>
          <t>Part Name</t>
        </is>
      </c>
      <c r="B1" s="6" t="inlineStr">
        <is>
          <t>2026-W01</t>
        </is>
      </c>
      <c r="C1" s="6" t="inlineStr">
        <is>
          <t>2026-W02</t>
        </is>
      </c>
      <c r="D1" s="6" t="inlineStr">
        <is>
          <t>2026-W03</t>
        </is>
      </c>
      <c r="E1" s="6" t="inlineStr">
        <is>
          <t>2026-W04</t>
        </is>
      </c>
      <c r="F1" s="6" t="inlineStr">
        <is>
          <t>2026-W05</t>
        </is>
      </c>
      <c r="G1" s="6" t="inlineStr">
        <is>
          <t>2026-W06</t>
        </is>
      </c>
      <c r="H1" s="6" t="inlineStr">
        <is>
          <t>2026-W07</t>
        </is>
      </c>
      <c r="I1" s="6" t="inlineStr">
        <is>
          <t>2026-W08</t>
        </is>
      </c>
      <c r="J1" s="6" t="inlineStr">
        <is>
          <t>2026-W09</t>
        </is>
      </c>
      <c r="K1" s="6" t="inlineStr">
        <is>
          <t>2026-W10</t>
        </is>
      </c>
      <c r="L1" s="6" t="inlineStr">
        <is>
          <t>2026-W11</t>
        </is>
      </c>
      <c r="M1" s="6" t="inlineStr">
        <is>
          <t>2026-W12</t>
        </is>
      </c>
      <c r="N1" s="6" t="inlineStr">
        <is>
          <t>2026-W13</t>
        </is>
      </c>
      <c r="O1" s="6" t="inlineStr">
        <is>
          <t>2026-W14</t>
        </is>
      </c>
      <c r="P1" s="6" t="inlineStr">
        <is>
          <t>2026-W15</t>
        </is>
      </c>
      <c r="Q1" s="6" t="inlineStr">
        <is>
          <t>2026-W16</t>
        </is>
      </c>
      <c r="R1" s="6" t="inlineStr">
        <is>
          <t>2026-W17</t>
        </is>
      </c>
      <c r="S1" s="6" t="inlineStr">
        <is>
          <t>2026-W18</t>
        </is>
      </c>
      <c r="T1" s="6" t="inlineStr">
        <is>
          <t>2026-W19</t>
        </is>
      </c>
      <c r="U1" s="6" t="inlineStr">
        <is>
          <t>2026-W20</t>
        </is>
      </c>
      <c r="V1" s="6" t="inlineStr">
        <is>
          <t>2026-W21</t>
        </is>
      </c>
      <c r="W1" s="6" t="inlineStr">
        <is>
          <t>2026-W22</t>
        </is>
      </c>
      <c r="X1" s="6" t="inlineStr">
        <is>
          <t>2026-W23</t>
        </is>
      </c>
      <c r="Y1" s="6" t="inlineStr">
        <is>
          <t>2026-W24</t>
        </is>
      </c>
      <c r="Z1" s="6" t="inlineStr">
        <is>
          <t>2026-W25</t>
        </is>
      </c>
      <c r="AA1" s="6" t="inlineStr">
        <is>
          <t>2026-W26</t>
        </is>
      </c>
      <c r="AB1" s="6" t="inlineStr">
        <is>
          <t>2026-W27</t>
        </is>
      </c>
      <c r="AC1" s="6" t="inlineStr">
        <is>
          <t>2026-W28</t>
        </is>
      </c>
      <c r="AD1" s="6" t="inlineStr">
        <is>
          <t>2026-W29</t>
        </is>
      </c>
      <c r="AE1" s="6" t="inlineStr">
        <is>
          <t>2026-W30</t>
        </is>
      </c>
      <c r="AF1" s="6" t="inlineStr">
        <is>
          <t>2026-W31</t>
        </is>
      </c>
      <c r="AG1" s="6" t="inlineStr">
        <is>
          <t>2026-W32</t>
        </is>
      </c>
      <c r="AH1" s="6" t="inlineStr">
        <is>
          <t>2026-W33</t>
        </is>
      </c>
      <c r="AI1" s="6" t="inlineStr">
        <is>
          <t>2026-W34</t>
        </is>
      </c>
      <c r="AJ1" s="6" t="inlineStr">
        <is>
          <t>2026-W35</t>
        </is>
      </c>
      <c r="AK1" s="6" t="inlineStr">
        <is>
          <t>2026-W36</t>
        </is>
      </c>
      <c r="AL1" s="6" t="inlineStr">
        <is>
          <t>2026-W37</t>
        </is>
      </c>
      <c r="AM1" s="6" t="inlineStr">
        <is>
          <t>2026-W38</t>
        </is>
      </c>
      <c r="AN1" s="6" t="inlineStr">
        <is>
          <t>2026-W39</t>
        </is>
      </c>
      <c r="AO1" s="6" t="inlineStr">
        <is>
          <t>2026-W40</t>
        </is>
      </c>
      <c r="AP1" s="6" t="inlineStr">
        <is>
          <t>2026-W41</t>
        </is>
      </c>
      <c r="AQ1" s="6" t="inlineStr">
        <is>
          <t>2026-W42</t>
        </is>
      </c>
      <c r="AR1" s="6" t="inlineStr">
        <is>
          <t>2026-W43</t>
        </is>
      </c>
      <c r="AS1" s="6" t="inlineStr">
        <is>
          <t>2026-W44</t>
        </is>
      </c>
      <c r="AT1" s="6" t="inlineStr">
        <is>
          <t>2026-W45</t>
        </is>
      </c>
      <c r="AU1" s="6" t="inlineStr">
        <is>
          <t>2026-W46</t>
        </is>
      </c>
      <c r="AV1" s="6" t="inlineStr">
        <is>
          <t>2026-W47</t>
        </is>
      </c>
      <c r="AW1" s="6" t="inlineStr">
        <is>
          <t>2026-W48</t>
        </is>
      </c>
      <c r="AX1" s="6" t="inlineStr">
        <is>
          <t>2026-W49</t>
        </is>
      </c>
      <c r="AY1" s="6" t="inlineStr">
        <is>
          <t>2026-W50</t>
        </is>
      </c>
      <c r="AZ1" s="6" t="inlineStr">
        <is>
          <t>2026-W51</t>
        </is>
      </c>
      <c r="BA1" s="6" t="inlineStr">
        <is>
          <t>2026-W52</t>
        </is>
      </c>
      <c r="BB1" s="6" t="inlineStr">
        <is>
          <t>2027-W01</t>
        </is>
      </c>
      <c r="BC1" s="6" t="inlineStr">
        <is>
          <t>2027-W02</t>
        </is>
      </c>
      <c r="BD1" s="6" t="inlineStr">
        <is>
          <t>2027-W03</t>
        </is>
      </c>
      <c r="BE1" s="6" t="inlineStr">
        <is>
          <t>2027-W04</t>
        </is>
      </c>
      <c r="BF1" s="6" t="inlineStr">
        <is>
          <t>2027-W05</t>
        </is>
      </c>
      <c r="BG1" s="6" t="inlineStr">
        <is>
          <t>2027-W06</t>
        </is>
      </c>
      <c r="BH1" s="6" t="inlineStr">
        <is>
          <t>2027-W07</t>
        </is>
      </c>
      <c r="BI1" s="6" t="inlineStr">
        <is>
          <t>2027-W08</t>
        </is>
      </c>
      <c r="BJ1" s="6" t="inlineStr">
        <is>
          <t>2027-W09</t>
        </is>
      </c>
      <c r="BK1" s="6" t="inlineStr">
        <is>
          <t>2027-W10</t>
        </is>
      </c>
      <c r="BL1" s="6" t="inlineStr">
        <is>
          <t>2027-W11</t>
        </is>
      </c>
      <c r="BM1" s="6" t="inlineStr">
        <is>
          <t>2027-W12</t>
        </is>
      </c>
      <c r="BN1" s="6" t="inlineStr">
        <is>
          <t>2027-W13</t>
        </is>
      </c>
      <c r="BO1" s="6" t="inlineStr">
        <is>
          <t>2027-W14</t>
        </is>
      </c>
      <c r="BP1" s="6" t="inlineStr">
        <is>
          <t>2027-W15</t>
        </is>
      </c>
      <c r="BQ1" s="6" t="inlineStr">
        <is>
          <t>2027-W16</t>
        </is>
      </c>
      <c r="BR1" s="6" t="inlineStr">
        <is>
          <t>2027-W17</t>
        </is>
      </c>
      <c r="BS1" s="6" t="inlineStr">
        <is>
          <t>2027-W18</t>
        </is>
      </c>
      <c r="BT1" s="6" t="inlineStr">
        <is>
          <t>2027-W19</t>
        </is>
      </c>
      <c r="BU1" s="6" t="inlineStr">
        <is>
          <t>2027-W20</t>
        </is>
      </c>
      <c r="BV1" s="6" t="inlineStr">
        <is>
          <t>2027-W21</t>
        </is>
      </c>
      <c r="BW1" s="6" t="inlineStr">
        <is>
          <t>2027-W22</t>
        </is>
      </c>
      <c r="BX1" s="6" t="inlineStr">
        <is>
          <t>2027-W23</t>
        </is>
      </c>
      <c r="BY1" s="6" t="inlineStr">
        <is>
          <t>2027-W24</t>
        </is>
      </c>
      <c r="BZ1" s="6" t="inlineStr">
        <is>
          <t>2027-W25</t>
        </is>
      </c>
      <c r="CA1" s="6" t="inlineStr">
        <is>
          <t>2027-W26</t>
        </is>
      </c>
      <c r="CB1" s="6" t="inlineStr">
        <is>
          <t>2027-W27</t>
        </is>
      </c>
      <c r="CC1" s="6" t="inlineStr">
        <is>
          <t>2027-W28</t>
        </is>
      </c>
      <c r="CD1" s="6" t="inlineStr">
        <is>
          <t>2027-W29</t>
        </is>
      </c>
      <c r="CE1" s="6" t="inlineStr">
        <is>
          <t>2027-W30</t>
        </is>
      </c>
      <c r="CF1" s="6" t="inlineStr">
        <is>
          <t>2027-W31</t>
        </is>
      </c>
      <c r="CG1" s="6" t="inlineStr">
        <is>
          <t>2027-W32</t>
        </is>
      </c>
      <c r="CH1" s="6" t="inlineStr">
        <is>
          <t>2027-W33</t>
        </is>
      </c>
      <c r="CI1" s="6" t="inlineStr">
        <is>
          <t>2027-W34</t>
        </is>
      </c>
      <c r="CJ1" s="6" t="inlineStr">
        <is>
          <t>2027-W35</t>
        </is>
      </c>
      <c r="CK1" s="6" t="inlineStr">
        <is>
          <t>2027-W36</t>
        </is>
      </c>
      <c r="CL1" s="6" t="inlineStr">
        <is>
          <t>2027-W37</t>
        </is>
      </c>
      <c r="CM1" s="6" t="inlineStr">
        <is>
          <t>2027-W38</t>
        </is>
      </c>
      <c r="CN1" s="6" t="inlineStr">
        <is>
          <t>2027-W39</t>
        </is>
      </c>
      <c r="CO1" s="6" t="inlineStr">
        <is>
          <t>2027-W40</t>
        </is>
      </c>
      <c r="CP1" s="6" t="inlineStr">
        <is>
          <t>2027-W41</t>
        </is>
      </c>
      <c r="CQ1" s="6" t="inlineStr">
        <is>
          <t>2027-W42</t>
        </is>
      </c>
      <c r="CR1" s="6" t="inlineStr">
        <is>
          <t>2027-W43</t>
        </is>
      </c>
      <c r="CS1" s="6" t="inlineStr">
        <is>
          <t>2027-W44</t>
        </is>
      </c>
      <c r="CT1" s="6" t="inlineStr">
        <is>
          <t>2027-W45</t>
        </is>
      </c>
      <c r="CU1" s="6" t="inlineStr">
        <is>
          <t>2027-W46</t>
        </is>
      </c>
      <c r="CV1" s="6" t="inlineStr">
        <is>
          <t>2027-W47</t>
        </is>
      </c>
      <c r="CW1" s="6" t="inlineStr">
        <is>
          <t>2027-W48</t>
        </is>
      </c>
      <c r="CX1" s="6" t="inlineStr">
        <is>
          <t>2027-W49</t>
        </is>
      </c>
      <c r="CY1" s="6" t="inlineStr">
        <is>
          <t>2027-W50</t>
        </is>
      </c>
      <c r="CZ1" s="6" t="inlineStr">
        <is>
          <t>2027-W51</t>
        </is>
      </c>
      <c r="DA1" s="6" t="inlineStr">
        <is>
          <t>2027-W52</t>
        </is>
      </c>
    </row>
    <row r="2">
      <c r="A2" t="inlineStr">
        <is>
          <t>7EP</t>
        </is>
      </c>
      <c r="B2">
        <f>SUMPRODUCT((M_BOM[Part Name]=$A2)*M_BOM[RM_Qty_Per_Batch]*IFERROR(INDEX(PP_Grid[#Data],M_BOM[PPGridRow],2),0))+IFERROR(INDEX(M_RawMaterials[固定週次消費量_要入力],MATCH($A2,M_RawMaterials[Part Name],0)),0)</f>
        <v/>
      </c>
      <c r="C2">
        <f>SUMPRODUCT((M_BOM[Part Name]=$A2)*M_BOM[RM_Qty_Per_Batch]*IFERROR(INDEX(PP_Grid[#Data],M_BOM[PPGridRow],3),0))+IFERROR(INDEX(M_RawMaterials[固定週次消費量_要入力],MATCH($A2,M_RawMaterials[Part Name],0)),0)</f>
        <v/>
      </c>
      <c r="D2">
        <f>SUMPRODUCT((M_BOM[Part Name]=$A2)*M_BOM[RM_Qty_Per_Batch]*IFERROR(INDEX(PP_Grid[#Data],M_BOM[PPGridRow],4),0))+IFERROR(INDEX(M_RawMaterials[固定週次消費量_要入力],MATCH($A2,M_RawMaterials[Part Name],0)),0)</f>
        <v/>
      </c>
      <c r="E2">
        <f>SUMPRODUCT((M_BOM[Part Name]=$A2)*M_BOM[RM_Qty_Per_Batch]*IFERROR(INDEX(PP_Grid[#Data],M_BOM[PPGridRow],5),0))+IFERROR(INDEX(M_RawMaterials[固定週次消費量_要入力],MATCH($A2,M_RawMaterials[Part Name],0)),0)</f>
        <v/>
      </c>
      <c r="F2">
        <f>SUMPRODUCT((M_BOM[Part Name]=$A2)*M_BOM[RM_Qty_Per_Batch]*IFERROR(INDEX(PP_Grid[#Data],M_BOM[PPGridRow],6),0))+IFERROR(INDEX(M_RawMaterials[固定週次消費量_要入力],MATCH($A2,M_RawMaterials[Part Name],0)),0)</f>
        <v/>
      </c>
      <c r="G2">
        <f>SUMPRODUCT((M_BOM[Part Name]=$A2)*M_BOM[RM_Qty_Per_Batch]*IFERROR(INDEX(PP_Grid[#Data],M_BOM[PPGridRow],7),0))+IFERROR(INDEX(M_RawMaterials[固定週次消費量_要入力],MATCH($A2,M_RawMaterials[Part Name],0)),0)</f>
        <v/>
      </c>
      <c r="H2">
        <f>SUMPRODUCT((M_BOM[Part Name]=$A2)*M_BOM[RM_Qty_Per_Batch]*IFERROR(INDEX(PP_Grid[#Data],M_BOM[PPGridRow],8),0))+IFERROR(INDEX(M_RawMaterials[固定週次消費量_要入力],MATCH($A2,M_RawMaterials[Part Name],0)),0)</f>
        <v/>
      </c>
      <c r="I2">
        <f>SUMPRODUCT((M_BOM[Part Name]=$A2)*M_BOM[RM_Qty_Per_Batch]*IFERROR(INDEX(PP_Grid[#Data],M_BOM[PPGridRow],9),0))+IFERROR(INDEX(M_RawMaterials[固定週次消費量_要入力],MATCH($A2,M_RawMaterials[Part Name],0)),0)</f>
        <v/>
      </c>
      <c r="J2">
        <f>SUMPRODUCT((M_BOM[Part Name]=$A2)*M_BOM[RM_Qty_Per_Batch]*IFERROR(INDEX(PP_Grid[#Data],M_BOM[PPGridRow],10),0))+IFERROR(INDEX(M_RawMaterials[固定週次消費量_要入力],MATCH($A2,M_RawMaterials[Part Name],0)),0)</f>
        <v/>
      </c>
      <c r="K2">
        <f>SUMPRODUCT((M_BOM[Part Name]=$A2)*M_BOM[RM_Qty_Per_Batch]*IFERROR(INDEX(PP_Grid[#Data],M_BOM[PPGridRow],11),0))+IFERROR(INDEX(M_RawMaterials[固定週次消費量_要入力],MATCH($A2,M_RawMaterials[Part Name],0)),0)</f>
        <v/>
      </c>
      <c r="L2">
        <f>SUMPRODUCT((M_BOM[Part Name]=$A2)*M_BOM[RM_Qty_Per_Batch]*IFERROR(INDEX(PP_Grid[#Data],M_BOM[PPGridRow],12),0))+IFERROR(INDEX(M_RawMaterials[固定週次消費量_要入力],MATCH($A2,M_RawMaterials[Part Name],0)),0)</f>
        <v/>
      </c>
      <c r="M2">
        <f>SUMPRODUCT((M_BOM[Part Name]=$A2)*M_BOM[RM_Qty_Per_Batch]*IFERROR(INDEX(PP_Grid[#Data],M_BOM[PPGridRow],13),0))+IFERROR(INDEX(M_RawMaterials[固定週次消費量_要入力],MATCH($A2,M_RawMaterials[Part Name],0)),0)</f>
        <v/>
      </c>
      <c r="N2">
        <f>SUMPRODUCT((M_BOM[Part Name]=$A2)*M_BOM[RM_Qty_Per_Batch]*IFERROR(INDEX(PP_Grid[#Data],M_BOM[PPGridRow],14),0))+IFERROR(INDEX(M_RawMaterials[固定週次消費量_要入力],MATCH($A2,M_RawMaterials[Part Name],0)),0)</f>
        <v/>
      </c>
      <c r="O2">
        <f>SUMPRODUCT((M_BOM[Part Name]=$A2)*M_BOM[RM_Qty_Per_Batch]*IFERROR(INDEX(PP_Grid[#Data],M_BOM[PPGridRow],15),0))+IFERROR(INDEX(M_RawMaterials[固定週次消費量_要入力],MATCH($A2,M_RawMaterials[Part Name],0)),0)</f>
        <v/>
      </c>
      <c r="P2">
        <f>SUMPRODUCT((M_BOM[Part Name]=$A2)*M_BOM[RM_Qty_Per_Batch]*IFERROR(INDEX(PP_Grid[#Data],M_BOM[PPGridRow],16),0))+IFERROR(INDEX(M_RawMaterials[固定週次消費量_要入力],MATCH($A2,M_RawMaterials[Part Name],0)),0)</f>
        <v/>
      </c>
      <c r="Q2">
        <f>SUMPRODUCT((M_BOM[Part Name]=$A2)*M_BOM[RM_Qty_Per_Batch]*IFERROR(INDEX(PP_Grid[#Data],M_BOM[PPGridRow],17),0))+IFERROR(INDEX(M_RawMaterials[固定週次消費量_要入力],MATCH($A2,M_RawMaterials[Part Name],0)),0)</f>
        <v/>
      </c>
      <c r="R2">
        <f>SUMPRODUCT((M_BOM[Part Name]=$A2)*M_BOM[RM_Qty_Per_Batch]*IFERROR(INDEX(PP_Grid[#Data],M_BOM[PPGridRow],18),0))+IFERROR(INDEX(M_RawMaterials[固定週次消費量_要入力],MATCH($A2,M_RawMaterials[Part Name],0)),0)</f>
        <v/>
      </c>
      <c r="S2">
        <f>SUMPRODUCT((M_BOM[Part Name]=$A2)*M_BOM[RM_Qty_Per_Batch]*IFERROR(INDEX(PP_Grid[#Data],M_BOM[PPGridRow],19),0))+IFERROR(INDEX(M_RawMaterials[固定週次消費量_要入力],MATCH($A2,M_RawMaterials[Part Name],0)),0)</f>
        <v/>
      </c>
      <c r="T2">
        <f>SUMPRODUCT((M_BOM[Part Name]=$A2)*M_BOM[RM_Qty_Per_Batch]*IFERROR(INDEX(PP_Grid[#Data],M_BOM[PPGridRow],20),0))+IFERROR(INDEX(M_RawMaterials[固定週次消費量_要入力],MATCH($A2,M_RawMaterials[Part Name],0)),0)</f>
        <v/>
      </c>
      <c r="U2">
        <f>SUMPRODUCT((M_BOM[Part Name]=$A2)*M_BOM[RM_Qty_Per_Batch]*IFERROR(INDEX(PP_Grid[#Data],M_BOM[PPGridRow],21),0))+IFERROR(INDEX(M_RawMaterials[固定週次消費量_要入力],MATCH($A2,M_RawMaterials[Part Name],0)),0)</f>
        <v/>
      </c>
      <c r="V2">
        <f>SUMPRODUCT((M_BOM[Part Name]=$A2)*M_BOM[RM_Qty_Per_Batch]*IFERROR(INDEX(PP_Grid[#Data],M_BOM[PPGridRow],22),0))+IFERROR(INDEX(M_RawMaterials[固定週次消費量_要入力],MATCH($A2,M_RawMaterials[Part Name],0)),0)</f>
        <v/>
      </c>
      <c r="W2">
        <f>SUMPRODUCT((M_BOM[Part Name]=$A2)*M_BOM[RM_Qty_Per_Batch]*IFERROR(INDEX(PP_Grid[#Data],M_BOM[PPGridRow],23),0))+IFERROR(INDEX(M_RawMaterials[固定週次消費量_要入力],MATCH($A2,M_RawMaterials[Part Name],0)),0)</f>
        <v/>
      </c>
      <c r="X2">
        <f>SUMPRODUCT((M_BOM[Part Name]=$A2)*M_BOM[RM_Qty_Per_Batch]*IFERROR(INDEX(PP_Grid[#Data],M_BOM[PPGridRow],24),0))+IFERROR(INDEX(M_RawMaterials[固定週次消費量_要入力],MATCH($A2,M_RawMaterials[Part Name],0)),0)</f>
        <v/>
      </c>
      <c r="Y2">
        <f>SUMPRODUCT((M_BOM[Part Name]=$A2)*M_BOM[RM_Qty_Per_Batch]*IFERROR(INDEX(PP_Grid[#Data],M_BOM[PPGridRow],25),0))+IFERROR(INDEX(M_RawMaterials[固定週次消費量_要入力],MATCH($A2,M_RawMaterials[Part Name],0)),0)</f>
        <v/>
      </c>
      <c r="Z2">
        <f>SUMPRODUCT((M_BOM[Part Name]=$A2)*M_BOM[RM_Qty_Per_Batch]*IFERROR(INDEX(PP_Grid[#Data],M_BOM[PPGridRow],26),0))+IFERROR(INDEX(M_RawMaterials[固定週次消費量_要入力],MATCH($A2,M_RawMaterials[Part Name],0)),0)</f>
        <v/>
      </c>
      <c r="AA2">
        <f>SUMPRODUCT((M_BOM[Part Name]=$A2)*M_BOM[RM_Qty_Per_Batch]*IFERROR(INDEX(PP_Grid[#Data],M_BOM[PPGridRow],27),0))+IFERROR(INDEX(M_RawMaterials[固定週次消費量_要入力],MATCH($A2,M_RawMaterials[Part Name],0)),0)</f>
        <v/>
      </c>
      <c r="AB2">
        <f>SUMPRODUCT((M_BOM[Part Name]=$A2)*M_BOM[RM_Qty_Per_Batch]*IFERROR(INDEX(PP_Grid[#Data],M_BOM[PPGridRow],28),0))+IFERROR(INDEX(M_RawMaterials[固定週次消費量_要入力],MATCH($A2,M_RawMaterials[Part Name],0)),0)</f>
        <v/>
      </c>
      <c r="AC2">
        <f>SUMPRODUCT((M_BOM[Part Name]=$A2)*M_BOM[RM_Qty_Per_Batch]*IFERROR(INDEX(PP_Grid[#Data],M_BOM[PPGridRow],29),0))+IFERROR(INDEX(M_RawMaterials[固定週次消費量_要入力],MATCH($A2,M_RawMaterials[Part Name],0)),0)</f>
        <v/>
      </c>
      <c r="AD2">
        <f>SUMPRODUCT((M_BOM[Part Name]=$A2)*M_BOM[RM_Qty_Per_Batch]*IFERROR(INDEX(PP_Grid[#Data],M_BOM[PPGridRow],30),0))+IFERROR(INDEX(M_RawMaterials[固定週次消費量_要入力],MATCH($A2,M_RawMaterials[Part Name],0)),0)</f>
        <v/>
      </c>
      <c r="AE2">
        <f>SUMPRODUCT((M_BOM[Part Name]=$A2)*M_BOM[RM_Qty_Per_Batch]*IFERROR(INDEX(PP_Grid[#Data],M_BOM[PPGridRow],31),0))+IFERROR(INDEX(M_RawMaterials[固定週次消費量_要入力],MATCH($A2,M_RawMaterials[Part Name],0)),0)</f>
        <v/>
      </c>
      <c r="AF2">
        <f>SUMPRODUCT((M_BOM[Part Name]=$A2)*M_BOM[RM_Qty_Per_Batch]*IFERROR(INDEX(PP_Grid[#Data],M_BOM[PPGridRow],32),0))+IFERROR(INDEX(M_RawMaterials[固定週次消費量_要入力],MATCH($A2,M_RawMaterials[Part Name],0)),0)</f>
        <v/>
      </c>
      <c r="AG2">
        <f>SUMPRODUCT((M_BOM[Part Name]=$A2)*M_BOM[RM_Qty_Per_Batch]*IFERROR(INDEX(PP_Grid[#Data],M_BOM[PPGridRow],33),0))+IFERROR(INDEX(M_RawMaterials[固定週次消費量_要入力],MATCH($A2,M_RawMaterials[Part Name],0)),0)</f>
        <v/>
      </c>
      <c r="AH2">
        <f>SUMPRODUCT((M_BOM[Part Name]=$A2)*M_BOM[RM_Qty_Per_Batch]*IFERROR(INDEX(PP_Grid[#Data],M_BOM[PPGridRow],34),0))+IFERROR(INDEX(M_RawMaterials[固定週次消費量_要入力],MATCH($A2,M_RawMaterials[Part Name],0)),0)</f>
        <v/>
      </c>
      <c r="AI2">
        <f>SUMPRODUCT((M_BOM[Part Name]=$A2)*M_BOM[RM_Qty_Per_Batch]*IFERROR(INDEX(PP_Grid[#Data],M_BOM[PPGridRow],35),0))+IFERROR(INDEX(M_RawMaterials[固定週次消費量_要入力],MATCH($A2,M_RawMaterials[Part Name],0)),0)</f>
        <v/>
      </c>
      <c r="AJ2">
        <f>SUMPRODUCT((M_BOM[Part Name]=$A2)*M_BOM[RM_Qty_Per_Batch]*IFERROR(INDEX(PP_Grid[#Data],M_BOM[PPGridRow],36),0))+IFERROR(INDEX(M_RawMaterials[固定週次消費量_要入力],MATCH($A2,M_RawMaterials[Part Name],0)),0)</f>
        <v/>
      </c>
      <c r="AK2">
        <f>SUMPRODUCT((M_BOM[Part Name]=$A2)*M_BOM[RM_Qty_Per_Batch]*IFERROR(INDEX(PP_Grid[#Data],M_BOM[PPGridRow],37),0))+IFERROR(INDEX(M_RawMaterials[固定週次消費量_要入力],MATCH($A2,M_RawMaterials[Part Name],0)),0)</f>
        <v/>
      </c>
      <c r="AL2">
        <f>SUMPRODUCT((M_BOM[Part Name]=$A2)*M_BOM[RM_Qty_Per_Batch]*IFERROR(INDEX(PP_Grid[#Data],M_BOM[PPGridRow],38),0))+IFERROR(INDEX(M_RawMaterials[固定週次消費量_要入力],MATCH($A2,M_RawMaterials[Part Name],0)),0)</f>
        <v/>
      </c>
      <c r="AM2">
        <f>SUMPRODUCT((M_BOM[Part Name]=$A2)*M_BOM[RM_Qty_Per_Batch]*IFERROR(INDEX(PP_Grid[#Data],M_BOM[PPGridRow],39),0))+IFERROR(INDEX(M_RawMaterials[固定週次消費量_要入力],MATCH($A2,M_RawMaterials[Part Name],0)),0)</f>
        <v/>
      </c>
      <c r="AN2">
        <f>SUMPRODUCT((M_BOM[Part Name]=$A2)*M_BOM[RM_Qty_Per_Batch]*IFERROR(INDEX(PP_Grid[#Data],M_BOM[PPGridRow],40),0))+IFERROR(INDEX(M_RawMaterials[固定週次消費量_要入力],MATCH($A2,M_RawMaterials[Part Name],0)),0)</f>
        <v/>
      </c>
      <c r="AO2">
        <f>SUMPRODUCT((M_BOM[Part Name]=$A2)*M_BOM[RM_Qty_Per_Batch]*IFERROR(INDEX(PP_Grid[#Data],M_BOM[PPGridRow],41),0))+IFERROR(INDEX(M_RawMaterials[固定週次消費量_要入力],MATCH($A2,M_RawMaterials[Part Name],0)),0)</f>
        <v/>
      </c>
      <c r="AP2">
        <f>SUMPRODUCT((M_BOM[Part Name]=$A2)*M_BOM[RM_Qty_Per_Batch]*IFERROR(INDEX(PP_Grid[#Data],M_BOM[PPGridRow],42),0))+IFERROR(INDEX(M_RawMaterials[固定週次消費量_要入力],MATCH($A2,M_RawMaterials[Part Name],0)),0)</f>
        <v/>
      </c>
      <c r="AQ2">
        <f>SUMPRODUCT((M_BOM[Part Name]=$A2)*M_BOM[RM_Qty_Per_Batch]*IFERROR(INDEX(PP_Grid[#Data],M_BOM[PPGridRow],43),0))+IFERROR(INDEX(M_RawMaterials[固定週次消費量_要入力],MATCH($A2,M_RawMaterials[Part Name],0)),0)</f>
        <v/>
      </c>
      <c r="AR2">
        <f>SUMPRODUCT((M_BOM[Part Name]=$A2)*M_BOM[RM_Qty_Per_Batch]*IFERROR(INDEX(PP_Grid[#Data],M_BOM[PPGridRow],44),0))+IFERROR(INDEX(M_RawMaterials[固定週次消費量_要入力],MATCH($A2,M_RawMaterials[Part Name],0)),0)</f>
        <v/>
      </c>
      <c r="AS2">
        <f>SUMPRODUCT((M_BOM[Part Name]=$A2)*M_BOM[RM_Qty_Per_Batch]*IFERROR(INDEX(PP_Grid[#Data],M_BOM[PPGridRow],45),0))+IFERROR(INDEX(M_RawMaterials[固定週次消費量_要入力],MATCH($A2,M_RawMaterials[Part Name],0)),0)</f>
        <v/>
      </c>
      <c r="AT2">
        <f>SUMPRODUCT((M_BOM[Part Name]=$A2)*M_BOM[RM_Qty_Per_Batch]*IFERROR(INDEX(PP_Grid[#Data],M_BOM[PPGridRow],46),0))+IFERROR(INDEX(M_RawMaterials[固定週次消費量_要入力],MATCH($A2,M_RawMaterials[Part Name],0)),0)</f>
        <v/>
      </c>
      <c r="AU2">
        <f>SUMPRODUCT((M_BOM[Part Name]=$A2)*M_BOM[RM_Qty_Per_Batch]*IFERROR(INDEX(PP_Grid[#Data],M_BOM[PPGridRow],47),0))+IFERROR(INDEX(M_RawMaterials[固定週次消費量_要入力],MATCH($A2,M_RawMaterials[Part Name],0)),0)</f>
        <v/>
      </c>
      <c r="AV2">
        <f>SUMPRODUCT((M_BOM[Part Name]=$A2)*M_BOM[RM_Qty_Per_Batch]*IFERROR(INDEX(PP_Grid[#Data],M_BOM[PPGridRow],48),0))+IFERROR(INDEX(M_RawMaterials[固定週次消費量_要入力],MATCH($A2,M_RawMaterials[Part Name],0)),0)</f>
        <v/>
      </c>
      <c r="AW2">
        <f>SUMPRODUCT((M_BOM[Part Name]=$A2)*M_BOM[RM_Qty_Per_Batch]*IFERROR(INDEX(PP_Grid[#Data],M_BOM[PPGridRow],49),0))+IFERROR(INDEX(M_RawMaterials[固定週次消費量_要入力],MATCH($A2,M_RawMaterials[Part Name],0)),0)</f>
        <v/>
      </c>
      <c r="AX2">
        <f>SUMPRODUCT((M_BOM[Part Name]=$A2)*M_BOM[RM_Qty_Per_Batch]*IFERROR(INDEX(PP_Grid[#Data],M_BOM[PPGridRow],50),0))+IFERROR(INDEX(M_RawMaterials[固定週次消費量_要入力],MATCH($A2,M_RawMaterials[Part Name],0)),0)</f>
        <v/>
      </c>
      <c r="AY2">
        <f>SUMPRODUCT((M_BOM[Part Name]=$A2)*M_BOM[RM_Qty_Per_Batch]*IFERROR(INDEX(PP_Grid[#Data],M_BOM[PPGridRow],51),0))+IFERROR(INDEX(M_RawMaterials[固定週次消費量_要入力],MATCH($A2,M_RawMaterials[Part Name],0)),0)</f>
        <v/>
      </c>
      <c r="AZ2">
        <f>SUMPRODUCT((M_BOM[Part Name]=$A2)*M_BOM[RM_Qty_Per_Batch]*IFERROR(INDEX(PP_Grid[#Data],M_BOM[PPGridRow],52),0))+IFERROR(INDEX(M_RawMaterials[固定週次消費量_要入力],MATCH($A2,M_RawMaterials[Part Name],0)),0)</f>
        <v/>
      </c>
      <c r="BA2">
        <f>SUMPRODUCT((M_BOM[Part Name]=$A2)*M_BOM[RM_Qty_Per_Batch]*IFERROR(INDEX(PP_Grid[#Data],M_BOM[PPGridRow],53),0))+IFERROR(INDEX(M_RawMaterials[固定週次消費量_要入力],MATCH($A2,M_RawMaterials[Part Name],0)),0)</f>
        <v/>
      </c>
      <c r="BB2">
        <f>SUMPRODUCT((M_BOM[Part Name]=$A2)*M_BOM[RM_Qty_Per_Batch]*IFERROR(INDEX(PP_Grid[#Data],M_BOM[PPGridRow],54),0))+IFERROR(INDEX(M_RawMaterials[固定週次消費量_要入力],MATCH($A2,M_RawMaterials[Part Name],0)),0)</f>
        <v/>
      </c>
      <c r="BC2">
        <f>SUMPRODUCT((M_BOM[Part Name]=$A2)*M_BOM[RM_Qty_Per_Batch]*IFERROR(INDEX(PP_Grid[#Data],M_BOM[PPGridRow],55),0))+IFERROR(INDEX(M_RawMaterials[固定週次消費量_要入力],MATCH($A2,M_RawMaterials[Part Name],0)),0)</f>
        <v/>
      </c>
      <c r="BD2">
        <f>SUMPRODUCT((M_BOM[Part Name]=$A2)*M_BOM[RM_Qty_Per_Batch]*IFERROR(INDEX(PP_Grid[#Data],M_BOM[PPGridRow],56),0))+IFERROR(INDEX(M_RawMaterials[固定週次消費量_要入力],MATCH($A2,M_RawMaterials[Part Name],0)),0)</f>
        <v/>
      </c>
      <c r="BE2">
        <f>SUMPRODUCT((M_BOM[Part Name]=$A2)*M_BOM[RM_Qty_Per_Batch]*IFERROR(INDEX(PP_Grid[#Data],M_BOM[PPGridRow],57),0))+IFERROR(INDEX(M_RawMaterials[固定週次消費量_要入力],MATCH($A2,M_RawMaterials[Part Name],0)),0)</f>
        <v/>
      </c>
      <c r="BF2">
        <f>SUMPRODUCT((M_BOM[Part Name]=$A2)*M_BOM[RM_Qty_Per_Batch]*IFERROR(INDEX(PP_Grid[#Data],M_BOM[PPGridRow],58),0))+IFERROR(INDEX(M_RawMaterials[固定週次消費量_要入力],MATCH($A2,M_RawMaterials[Part Name],0)),0)</f>
        <v/>
      </c>
      <c r="BG2">
        <f>SUMPRODUCT((M_BOM[Part Name]=$A2)*M_BOM[RM_Qty_Per_Batch]*IFERROR(INDEX(PP_Grid[#Data],M_BOM[PPGridRow],59),0))+IFERROR(INDEX(M_RawMaterials[固定週次消費量_要入力],MATCH($A2,M_RawMaterials[Part Name],0)),0)</f>
        <v/>
      </c>
      <c r="BH2">
        <f>SUMPRODUCT((M_BOM[Part Name]=$A2)*M_BOM[RM_Qty_Per_Batch]*IFERROR(INDEX(PP_Grid[#Data],M_BOM[PPGridRow],60),0))+IFERROR(INDEX(M_RawMaterials[固定週次消費量_要入力],MATCH($A2,M_RawMaterials[Part Name],0)),0)</f>
        <v/>
      </c>
      <c r="BI2">
        <f>SUMPRODUCT((M_BOM[Part Name]=$A2)*M_BOM[RM_Qty_Per_Batch]*IFERROR(INDEX(PP_Grid[#Data],M_BOM[PPGridRow],61),0))+IFERROR(INDEX(M_RawMaterials[固定週次消費量_要入力],MATCH($A2,M_RawMaterials[Part Name],0)),0)</f>
        <v/>
      </c>
      <c r="BJ2">
        <f>SUMPRODUCT((M_BOM[Part Name]=$A2)*M_BOM[RM_Qty_Per_Batch]*IFERROR(INDEX(PP_Grid[#Data],M_BOM[PPGridRow],62),0))+IFERROR(INDEX(M_RawMaterials[固定週次消費量_要入力],MATCH($A2,M_RawMaterials[Part Name],0)),0)</f>
        <v/>
      </c>
      <c r="BK2">
        <f>SUMPRODUCT((M_BOM[Part Name]=$A2)*M_BOM[RM_Qty_Per_Batch]*IFERROR(INDEX(PP_Grid[#Data],M_BOM[PPGridRow],63),0))+IFERROR(INDEX(M_RawMaterials[固定週次消費量_要入力],MATCH($A2,M_RawMaterials[Part Name],0)),0)</f>
        <v/>
      </c>
      <c r="BL2">
        <f>SUMPRODUCT((M_BOM[Part Name]=$A2)*M_BOM[RM_Qty_Per_Batch]*IFERROR(INDEX(PP_Grid[#Data],M_BOM[PPGridRow],64),0))+IFERROR(INDEX(M_RawMaterials[固定週次消費量_要入力],MATCH($A2,M_RawMaterials[Part Name],0)),0)</f>
        <v/>
      </c>
      <c r="BM2">
        <f>SUMPRODUCT((M_BOM[Part Name]=$A2)*M_BOM[RM_Qty_Per_Batch]*IFERROR(INDEX(PP_Grid[#Data],M_BOM[PPGridRow],65),0))+IFERROR(INDEX(M_RawMaterials[固定週次消費量_要入力],MATCH($A2,M_RawMaterials[Part Name],0)),0)</f>
        <v/>
      </c>
      <c r="BN2">
        <f>SUMPRODUCT((M_BOM[Part Name]=$A2)*M_BOM[RM_Qty_Per_Batch]*IFERROR(INDEX(PP_Grid[#Data],M_BOM[PPGridRow],66),0))+IFERROR(INDEX(M_RawMaterials[固定週次消費量_要入力],MATCH($A2,M_RawMaterials[Part Name],0)),0)</f>
        <v/>
      </c>
      <c r="BO2">
        <f>SUMPRODUCT((M_BOM[Part Name]=$A2)*M_BOM[RM_Qty_Per_Batch]*IFERROR(INDEX(PP_Grid[#Data],M_BOM[PPGridRow],67),0))+IFERROR(INDEX(M_RawMaterials[固定週次消費量_要入力],MATCH($A2,M_RawMaterials[Part Name],0)),0)</f>
        <v/>
      </c>
      <c r="BP2">
        <f>SUMPRODUCT((M_BOM[Part Name]=$A2)*M_BOM[RM_Qty_Per_Batch]*IFERROR(INDEX(PP_Grid[#Data],M_BOM[PPGridRow],68),0))+IFERROR(INDEX(M_RawMaterials[固定週次消費量_要入力],MATCH($A2,M_RawMaterials[Part Name],0)),0)</f>
        <v/>
      </c>
      <c r="BQ2">
        <f>SUMPRODUCT((M_BOM[Part Name]=$A2)*M_BOM[RM_Qty_Per_Batch]*IFERROR(INDEX(PP_Grid[#Data],M_BOM[PPGridRow],69),0))+IFERROR(INDEX(M_RawMaterials[固定週次消費量_要入力],MATCH($A2,M_RawMaterials[Part Name],0)),0)</f>
        <v/>
      </c>
      <c r="BR2">
        <f>SUMPRODUCT((M_BOM[Part Name]=$A2)*M_BOM[RM_Qty_Per_Batch]*IFERROR(INDEX(PP_Grid[#Data],M_BOM[PPGridRow],70),0))+IFERROR(INDEX(M_RawMaterials[固定週次消費量_要入力],MATCH($A2,M_RawMaterials[Part Name],0)),0)</f>
        <v/>
      </c>
      <c r="BS2">
        <f>SUMPRODUCT((M_BOM[Part Name]=$A2)*M_BOM[RM_Qty_Per_Batch]*IFERROR(INDEX(PP_Grid[#Data],M_BOM[PPGridRow],71),0))+IFERROR(INDEX(M_RawMaterials[固定週次消費量_要入力],MATCH($A2,M_RawMaterials[Part Name],0)),0)</f>
        <v/>
      </c>
      <c r="BT2">
        <f>SUMPRODUCT((M_BOM[Part Name]=$A2)*M_BOM[RM_Qty_Per_Batch]*IFERROR(INDEX(PP_Grid[#Data],M_BOM[PPGridRow],72),0))+IFERROR(INDEX(M_RawMaterials[固定週次消費量_要入力],MATCH($A2,M_RawMaterials[Part Name],0)),0)</f>
        <v/>
      </c>
      <c r="BU2">
        <f>SUMPRODUCT((M_BOM[Part Name]=$A2)*M_BOM[RM_Qty_Per_Batch]*IFERROR(INDEX(PP_Grid[#Data],M_BOM[PPGridRow],73),0))+IFERROR(INDEX(M_RawMaterials[固定週次消費量_要入力],MATCH($A2,M_RawMaterials[Part Name],0)),0)</f>
        <v/>
      </c>
      <c r="BV2">
        <f>SUMPRODUCT((M_BOM[Part Name]=$A2)*M_BOM[RM_Qty_Per_Batch]*IFERROR(INDEX(PP_Grid[#Data],M_BOM[PPGridRow],74),0))+IFERROR(INDEX(M_RawMaterials[固定週次消費量_要入力],MATCH($A2,M_RawMaterials[Part Name],0)),0)</f>
        <v/>
      </c>
      <c r="BW2">
        <f>SUMPRODUCT((M_BOM[Part Name]=$A2)*M_BOM[RM_Qty_Per_Batch]*IFERROR(INDEX(PP_Grid[#Data],M_BOM[PPGridRow],75),0))+IFERROR(INDEX(M_RawMaterials[固定週次消費量_要入力],MATCH($A2,M_RawMaterials[Part Name],0)),0)</f>
        <v/>
      </c>
      <c r="BX2">
        <f>SUMPRODUCT((M_BOM[Part Name]=$A2)*M_BOM[RM_Qty_Per_Batch]*IFERROR(INDEX(PP_Grid[#Data],M_BOM[PPGridRow],76),0))+IFERROR(INDEX(M_RawMaterials[固定週次消費量_要入力],MATCH($A2,M_RawMaterials[Part Name],0)),0)</f>
        <v/>
      </c>
      <c r="BY2">
        <f>SUMPRODUCT((M_BOM[Part Name]=$A2)*M_BOM[RM_Qty_Per_Batch]*IFERROR(INDEX(PP_Grid[#Data],M_BOM[PPGridRow],77),0))+IFERROR(INDEX(M_RawMaterials[固定週次消費量_要入力],MATCH($A2,M_RawMaterials[Part Name],0)),0)</f>
        <v/>
      </c>
      <c r="BZ2">
        <f>SUMPRODUCT((M_BOM[Part Name]=$A2)*M_BOM[RM_Qty_Per_Batch]*IFERROR(INDEX(PP_Grid[#Data],M_BOM[PPGridRow],78),0))+IFERROR(INDEX(M_RawMaterials[固定週次消費量_要入力],MATCH($A2,M_RawMaterials[Part Name],0)),0)</f>
        <v/>
      </c>
      <c r="CA2">
        <f>SUMPRODUCT((M_BOM[Part Name]=$A2)*M_BOM[RM_Qty_Per_Batch]*IFERROR(INDEX(PP_Grid[#Data],M_BOM[PPGridRow],79),0))+IFERROR(INDEX(M_RawMaterials[固定週次消費量_要入力],MATCH($A2,M_RawMaterials[Part Name],0)),0)</f>
        <v/>
      </c>
      <c r="CB2">
        <f>SUMPRODUCT((M_BOM[Part Name]=$A2)*M_BOM[RM_Qty_Per_Batch]*IFERROR(INDEX(PP_Grid[#Data],M_BOM[PPGridRow],80),0))+IFERROR(INDEX(M_RawMaterials[固定週次消費量_要入力],MATCH($A2,M_RawMaterials[Part Name],0)),0)</f>
        <v/>
      </c>
      <c r="CC2">
        <f>SUMPRODUCT((M_BOM[Part Name]=$A2)*M_BOM[RM_Qty_Per_Batch]*IFERROR(INDEX(PP_Grid[#Data],M_BOM[PPGridRow],81),0))+IFERROR(INDEX(M_RawMaterials[固定週次消費量_要入力],MATCH($A2,M_RawMaterials[Part Name],0)),0)</f>
        <v/>
      </c>
      <c r="CD2">
        <f>SUMPRODUCT((M_BOM[Part Name]=$A2)*M_BOM[RM_Qty_Per_Batch]*IFERROR(INDEX(PP_Grid[#Data],M_BOM[PPGridRow],82),0))+IFERROR(INDEX(M_RawMaterials[固定週次消費量_要入力],MATCH($A2,M_RawMaterials[Part Name],0)),0)</f>
        <v/>
      </c>
      <c r="CE2">
        <f>SUMPRODUCT((M_BOM[Part Name]=$A2)*M_BOM[RM_Qty_Per_Batch]*IFERROR(INDEX(PP_Grid[#Data],M_BOM[PPGridRow],83),0))+IFERROR(INDEX(M_RawMaterials[固定週次消費量_要入力],MATCH($A2,M_RawMaterials[Part Name],0)),0)</f>
        <v/>
      </c>
      <c r="CF2">
        <f>SUMPRODUCT((M_BOM[Part Name]=$A2)*M_BOM[RM_Qty_Per_Batch]*IFERROR(INDEX(PP_Grid[#Data],M_BOM[PPGridRow],84),0))+IFERROR(INDEX(M_RawMaterials[固定週次消費量_要入力],MATCH($A2,M_RawMaterials[Part Name],0)),0)</f>
        <v/>
      </c>
      <c r="CG2">
        <f>SUMPRODUCT((M_BOM[Part Name]=$A2)*M_BOM[RM_Qty_Per_Batch]*IFERROR(INDEX(PP_Grid[#Data],M_BOM[PPGridRow],85),0))+IFERROR(INDEX(M_RawMaterials[固定週次消費量_要入力],MATCH($A2,M_RawMaterials[Part Name],0)),0)</f>
        <v/>
      </c>
      <c r="CH2">
        <f>SUMPRODUCT((M_BOM[Part Name]=$A2)*M_BOM[RM_Qty_Per_Batch]*IFERROR(INDEX(PP_Grid[#Data],M_BOM[PPGridRow],86),0))+IFERROR(INDEX(M_RawMaterials[固定週次消費量_要入力],MATCH($A2,M_RawMaterials[Part Name],0)),0)</f>
        <v/>
      </c>
      <c r="CI2">
        <f>SUMPRODUCT((M_BOM[Part Name]=$A2)*M_BOM[RM_Qty_Per_Batch]*IFERROR(INDEX(PP_Grid[#Data],M_BOM[PPGridRow],87),0))+IFERROR(INDEX(M_RawMaterials[固定週次消費量_要入力],MATCH($A2,M_RawMaterials[Part Name],0)),0)</f>
        <v/>
      </c>
      <c r="CJ2">
        <f>SUMPRODUCT((M_BOM[Part Name]=$A2)*M_BOM[RM_Qty_Per_Batch]*IFERROR(INDEX(PP_Grid[#Data],M_BOM[PPGridRow],88),0))+IFERROR(INDEX(M_RawMaterials[固定週次消費量_要入力],MATCH($A2,M_RawMaterials[Part Name],0)),0)</f>
        <v/>
      </c>
      <c r="CK2">
        <f>SUMPRODUCT((M_BOM[Part Name]=$A2)*M_BOM[RM_Qty_Per_Batch]*IFERROR(INDEX(PP_Grid[#Data],M_BOM[PPGridRow],89),0))+IFERROR(INDEX(M_RawMaterials[固定週次消費量_要入力],MATCH($A2,M_RawMaterials[Part Name],0)),0)</f>
        <v/>
      </c>
      <c r="CL2">
        <f>SUMPRODUCT((M_BOM[Part Name]=$A2)*M_BOM[RM_Qty_Per_Batch]*IFERROR(INDEX(PP_Grid[#Data],M_BOM[PPGridRow],90),0))+IFERROR(INDEX(M_RawMaterials[固定週次消費量_要入力],MATCH($A2,M_RawMaterials[Part Name],0)),0)</f>
        <v/>
      </c>
      <c r="CM2">
        <f>SUMPRODUCT((M_BOM[Part Name]=$A2)*M_BOM[RM_Qty_Per_Batch]*IFERROR(INDEX(PP_Grid[#Data],M_BOM[PPGridRow],91),0))+IFERROR(INDEX(M_RawMaterials[固定週次消費量_要入力],MATCH($A2,M_RawMaterials[Part Name],0)),0)</f>
        <v/>
      </c>
      <c r="CN2">
        <f>SUMPRODUCT((M_BOM[Part Name]=$A2)*M_BOM[RM_Qty_Per_Batch]*IFERROR(INDEX(PP_Grid[#Data],M_BOM[PPGridRow],92),0))+IFERROR(INDEX(M_RawMaterials[固定週次消費量_要入力],MATCH($A2,M_RawMaterials[Part Name],0)),0)</f>
        <v/>
      </c>
      <c r="CO2">
        <f>SUMPRODUCT((M_BOM[Part Name]=$A2)*M_BOM[RM_Qty_Per_Batch]*IFERROR(INDEX(PP_Grid[#Data],M_BOM[PPGridRow],93),0))+IFERROR(INDEX(M_RawMaterials[固定週次消費量_要入力],MATCH($A2,M_RawMaterials[Part Name],0)),0)</f>
        <v/>
      </c>
      <c r="CP2">
        <f>SUMPRODUCT((M_BOM[Part Name]=$A2)*M_BOM[RM_Qty_Per_Batch]*IFERROR(INDEX(PP_Grid[#Data],M_BOM[PPGridRow],94),0))+IFERROR(INDEX(M_RawMaterials[固定週次消費量_要入力],MATCH($A2,M_RawMaterials[Part Name],0)),0)</f>
        <v/>
      </c>
      <c r="CQ2">
        <f>SUMPRODUCT((M_BOM[Part Name]=$A2)*M_BOM[RM_Qty_Per_Batch]*IFERROR(INDEX(PP_Grid[#Data],M_BOM[PPGridRow],95),0))+IFERROR(INDEX(M_RawMaterials[固定週次消費量_要入力],MATCH($A2,M_RawMaterials[Part Name],0)),0)</f>
        <v/>
      </c>
      <c r="CR2">
        <f>SUMPRODUCT((M_BOM[Part Name]=$A2)*M_BOM[RM_Qty_Per_Batch]*IFERROR(INDEX(PP_Grid[#Data],M_BOM[PPGridRow],96),0))+IFERROR(INDEX(M_RawMaterials[固定週次消費量_要入力],MATCH($A2,M_RawMaterials[Part Name],0)),0)</f>
        <v/>
      </c>
      <c r="CS2">
        <f>SUMPRODUCT((M_BOM[Part Name]=$A2)*M_BOM[RM_Qty_Per_Batch]*IFERROR(INDEX(PP_Grid[#Data],M_BOM[PPGridRow],97),0))+IFERROR(INDEX(M_RawMaterials[固定週次消費量_要入力],MATCH($A2,M_RawMaterials[Part Name],0)),0)</f>
        <v/>
      </c>
      <c r="CT2">
        <f>SUMPRODUCT((M_BOM[Part Name]=$A2)*M_BOM[RM_Qty_Per_Batch]*IFERROR(INDEX(PP_Grid[#Data],M_BOM[PPGridRow],98),0))+IFERROR(INDEX(M_RawMaterials[固定週次消費量_要入力],MATCH($A2,M_RawMaterials[Part Name],0)),0)</f>
        <v/>
      </c>
      <c r="CU2">
        <f>SUMPRODUCT((M_BOM[Part Name]=$A2)*M_BOM[RM_Qty_Per_Batch]*IFERROR(INDEX(PP_Grid[#Data],M_BOM[PPGridRow],99),0))+IFERROR(INDEX(M_RawMaterials[固定週次消費量_要入力],MATCH($A2,M_RawMaterials[Part Name],0)),0)</f>
        <v/>
      </c>
      <c r="CV2">
        <f>SUMPRODUCT((M_BOM[Part Name]=$A2)*M_BOM[RM_Qty_Per_Batch]*IFERROR(INDEX(PP_Grid[#Data],M_BOM[PPGridRow],100),0))+IFERROR(INDEX(M_RawMaterials[固定週次消費量_要入力],MATCH($A2,M_RawMaterials[Part Name],0)),0)</f>
        <v/>
      </c>
      <c r="CW2">
        <f>SUMPRODUCT((M_BOM[Part Name]=$A2)*M_BOM[RM_Qty_Per_Batch]*IFERROR(INDEX(PP_Grid[#Data],M_BOM[PPGridRow],101),0))+IFERROR(INDEX(M_RawMaterials[固定週次消費量_要入力],MATCH($A2,M_RawMaterials[Part Name],0)),0)</f>
        <v/>
      </c>
      <c r="CX2">
        <f>SUMPRODUCT((M_BOM[Part Name]=$A2)*M_BOM[RM_Qty_Per_Batch]*IFERROR(INDEX(PP_Grid[#Data],M_BOM[PPGridRow],102),0))+IFERROR(INDEX(M_RawMaterials[固定週次消費量_要入力],MATCH($A2,M_RawMaterials[Part Name],0)),0)</f>
        <v/>
      </c>
      <c r="CY2">
        <f>SUMPRODUCT((M_BOM[Part Name]=$A2)*M_BOM[RM_Qty_Per_Batch]*IFERROR(INDEX(PP_Grid[#Data],M_BOM[PPGridRow],103),0))+IFERROR(INDEX(M_RawMaterials[固定週次消費量_要入力],MATCH($A2,M_RawMaterials[Part Name],0)),0)</f>
        <v/>
      </c>
      <c r="CZ2">
        <f>SUMPRODUCT((M_BOM[Part Name]=$A2)*M_BOM[RM_Qty_Per_Batch]*IFERROR(INDEX(PP_Grid[#Data],M_BOM[PPGridRow],104),0))+IFERROR(INDEX(M_RawMaterials[固定週次消費量_要入力],MATCH($A2,M_RawMaterials[Part Name],0)),0)</f>
        <v/>
      </c>
      <c r="DA2">
        <f>SUMPRODUCT((M_BOM[Part Name]=$A2)*M_BOM[RM_Qty_Per_Batch]*IFERROR(INDEX(PP_Grid[#Data],M_BOM[PPGridRow],105),0))+IFERROR(INDEX(M_RawMaterials[固定週次消費量_要入力],MATCH($A2,M_RawMaterials[Part Name],0)),0)</f>
        <v/>
      </c>
    </row>
    <row r="3">
      <c r="A3" t="inlineStr">
        <is>
          <t>1EK</t>
        </is>
      </c>
      <c r="B3">
        <f>SUMPRODUCT((M_BOM[Part Name]=$A3)*M_BOM[RM_Qty_Per_Batch]*IFERROR(INDEX(PP_Grid[#Data],M_BOM[PPGridRow],2),0))+IFERROR(INDEX(M_RawMaterials[固定週次消費量_要入力],MATCH($A3,M_RawMaterials[Part Name],0)),0)</f>
        <v/>
      </c>
      <c r="C3">
        <f>SUMPRODUCT((M_BOM[Part Name]=$A3)*M_BOM[RM_Qty_Per_Batch]*IFERROR(INDEX(PP_Grid[#Data],M_BOM[PPGridRow],3),0))+IFERROR(INDEX(M_RawMaterials[固定週次消費量_要入力],MATCH($A3,M_RawMaterials[Part Name],0)),0)</f>
        <v/>
      </c>
      <c r="D3">
        <f>SUMPRODUCT((M_BOM[Part Name]=$A3)*M_BOM[RM_Qty_Per_Batch]*IFERROR(INDEX(PP_Grid[#Data],M_BOM[PPGridRow],4),0))+IFERROR(INDEX(M_RawMaterials[固定週次消費量_要入力],MATCH($A3,M_RawMaterials[Part Name],0)),0)</f>
        <v/>
      </c>
      <c r="E3">
        <f>SUMPRODUCT((M_BOM[Part Name]=$A3)*M_BOM[RM_Qty_Per_Batch]*IFERROR(INDEX(PP_Grid[#Data],M_BOM[PPGridRow],5),0))+IFERROR(INDEX(M_RawMaterials[固定週次消費量_要入力],MATCH($A3,M_RawMaterials[Part Name],0)),0)</f>
        <v/>
      </c>
      <c r="F3">
        <f>SUMPRODUCT((M_BOM[Part Name]=$A3)*M_BOM[RM_Qty_Per_Batch]*IFERROR(INDEX(PP_Grid[#Data],M_BOM[PPGridRow],6),0))+IFERROR(INDEX(M_RawMaterials[固定週次消費量_要入力],MATCH($A3,M_RawMaterials[Part Name],0)),0)</f>
        <v/>
      </c>
      <c r="G3">
        <f>SUMPRODUCT((M_BOM[Part Name]=$A3)*M_BOM[RM_Qty_Per_Batch]*IFERROR(INDEX(PP_Grid[#Data],M_BOM[PPGridRow],7),0))+IFERROR(INDEX(M_RawMaterials[固定週次消費量_要入力],MATCH($A3,M_RawMaterials[Part Name],0)),0)</f>
        <v/>
      </c>
      <c r="H3">
        <f>SUMPRODUCT((M_BOM[Part Name]=$A3)*M_BOM[RM_Qty_Per_Batch]*IFERROR(INDEX(PP_Grid[#Data],M_BOM[PPGridRow],8),0))+IFERROR(INDEX(M_RawMaterials[固定週次消費量_要入力],MATCH($A3,M_RawMaterials[Part Name],0)),0)</f>
        <v/>
      </c>
      <c r="I3">
        <f>SUMPRODUCT((M_BOM[Part Name]=$A3)*M_BOM[RM_Qty_Per_Batch]*IFERROR(INDEX(PP_Grid[#Data],M_BOM[PPGridRow],9),0))+IFERROR(INDEX(M_RawMaterials[固定週次消費量_要入力],MATCH($A3,M_RawMaterials[Part Name],0)),0)</f>
        <v/>
      </c>
      <c r="J3">
        <f>SUMPRODUCT((M_BOM[Part Name]=$A3)*M_BOM[RM_Qty_Per_Batch]*IFERROR(INDEX(PP_Grid[#Data],M_BOM[PPGridRow],10),0))+IFERROR(INDEX(M_RawMaterials[固定週次消費量_要入力],MATCH($A3,M_RawMaterials[Part Name],0)),0)</f>
        <v/>
      </c>
      <c r="K3">
        <f>SUMPRODUCT((M_BOM[Part Name]=$A3)*M_BOM[RM_Qty_Per_Batch]*IFERROR(INDEX(PP_Grid[#Data],M_BOM[PPGridRow],11),0))+IFERROR(INDEX(M_RawMaterials[固定週次消費量_要入力],MATCH($A3,M_RawMaterials[Part Name],0)),0)</f>
        <v/>
      </c>
      <c r="L3">
        <f>SUMPRODUCT((M_BOM[Part Name]=$A3)*M_BOM[RM_Qty_Per_Batch]*IFERROR(INDEX(PP_Grid[#Data],M_BOM[PPGridRow],12),0))+IFERROR(INDEX(M_RawMaterials[固定週次消費量_要入力],MATCH($A3,M_RawMaterials[Part Name],0)),0)</f>
        <v/>
      </c>
      <c r="M3">
        <f>SUMPRODUCT((M_BOM[Part Name]=$A3)*M_BOM[RM_Qty_Per_Batch]*IFERROR(INDEX(PP_Grid[#Data],M_BOM[PPGridRow],13),0))+IFERROR(INDEX(M_RawMaterials[固定週次消費量_要入力],MATCH($A3,M_RawMaterials[Part Name],0)),0)</f>
        <v/>
      </c>
      <c r="N3">
        <f>SUMPRODUCT((M_BOM[Part Name]=$A3)*M_BOM[RM_Qty_Per_Batch]*IFERROR(INDEX(PP_Grid[#Data],M_BOM[PPGridRow],14),0))+IFERROR(INDEX(M_RawMaterials[固定週次消費量_要入力],MATCH($A3,M_RawMaterials[Part Name],0)),0)</f>
        <v/>
      </c>
      <c r="O3">
        <f>SUMPRODUCT((M_BOM[Part Name]=$A3)*M_BOM[RM_Qty_Per_Batch]*IFERROR(INDEX(PP_Grid[#Data],M_BOM[PPGridRow],15),0))+IFERROR(INDEX(M_RawMaterials[固定週次消費量_要入力],MATCH($A3,M_RawMaterials[Part Name],0)),0)</f>
        <v/>
      </c>
      <c r="P3">
        <f>SUMPRODUCT((M_BOM[Part Name]=$A3)*M_BOM[RM_Qty_Per_Batch]*IFERROR(INDEX(PP_Grid[#Data],M_BOM[PPGridRow],16),0))+IFERROR(INDEX(M_RawMaterials[固定週次消費量_要入力],MATCH($A3,M_RawMaterials[Part Name],0)),0)</f>
        <v/>
      </c>
      <c r="Q3">
        <f>SUMPRODUCT((M_BOM[Part Name]=$A3)*M_BOM[RM_Qty_Per_Batch]*IFERROR(INDEX(PP_Grid[#Data],M_BOM[PPGridRow],17),0))+IFERROR(INDEX(M_RawMaterials[固定週次消費量_要入力],MATCH($A3,M_RawMaterials[Part Name],0)),0)</f>
        <v/>
      </c>
      <c r="R3">
        <f>SUMPRODUCT((M_BOM[Part Name]=$A3)*M_BOM[RM_Qty_Per_Batch]*IFERROR(INDEX(PP_Grid[#Data],M_BOM[PPGridRow],18),0))+IFERROR(INDEX(M_RawMaterials[固定週次消費量_要入力],MATCH($A3,M_RawMaterials[Part Name],0)),0)</f>
        <v/>
      </c>
      <c r="S3">
        <f>SUMPRODUCT((M_BOM[Part Name]=$A3)*M_BOM[RM_Qty_Per_Batch]*IFERROR(INDEX(PP_Grid[#Data],M_BOM[PPGridRow],19),0))+IFERROR(INDEX(M_RawMaterials[固定週次消費量_要入力],MATCH($A3,M_RawMaterials[Part Name],0)),0)</f>
        <v/>
      </c>
      <c r="T3">
        <f>SUMPRODUCT((M_BOM[Part Name]=$A3)*M_BOM[RM_Qty_Per_Batch]*IFERROR(INDEX(PP_Grid[#Data],M_BOM[PPGridRow],20),0))+IFERROR(INDEX(M_RawMaterials[固定週次消費量_要入力],MATCH($A3,M_RawMaterials[Part Name],0)),0)</f>
        <v/>
      </c>
      <c r="U3">
        <f>SUMPRODUCT((M_BOM[Part Name]=$A3)*M_BOM[RM_Qty_Per_Batch]*IFERROR(INDEX(PP_Grid[#Data],M_BOM[PPGridRow],21),0))+IFERROR(INDEX(M_RawMaterials[固定週次消費量_要入力],MATCH($A3,M_RawMaterials[Part Name],0)),0)</f>
        <v/>
      </c>
      <c r="V3">
        <f>SUMPRODUCT((M_BOM[Part Name]=$A3)*M_BOM[RM_Qty_Per_Batch]*IFERROR(INDEX(PP_Grid[#Data],M_BOM[PPGridRow],22),0))+IFERROR(INDEX(M_RawMaterials[固定週次消費量_要入力],MATCH($A3,M_RawMaterials[Part Name],0)),0)</f>
        <v/>
      </c>
      <c r="W3">
        <f>SUMPRODUCT((M_BOM[Part Name]=$A3)*M_BOM[RM_Qty_Per_Batch]*IFERROR(INDEX(PP_Grid[#Data],M_BOM[PPGridRow],23),0))+IFERROR(INDEX(M_RawMaterials[固定週次消費量_要入力],MATCH($A3,M_RawMaterials[Part Name],0)),0)</f>
        <v/>
      </c>
      <c r="X3">
        <f>SUMPRODUCT((M_BOM[Part Name]=$A3)*M_BOM[RM_Qty_Per_Batch]*IFERROR(INDEX(PP_Grid[#Data],M_BOM[PPGridRow],24),0))+IFERROR(INDEX(M_RawMaterials[固定週次消費量_要入力],MATCH($A3,M_RawMaterials[Part Name],0)),0)</f>
        <v/>
      </c>
      <c r="Y3">
        <f>SUMPRODUCT((M_BOM[Part Name]=$A3)*M_BOM[RM_Qty_Per_Batch]*IFERROR(INDEX(PP_Grid[#Data],M_BOM[PPGridRow],25),0))+IFERROR(INDEX(M_RawMaterials[固定週次消費量_要入力],MATCH($A3,M_RawMaterials[Part Name],0)),0)</f>
        <v/>
      </c>
      <c r="Z3">
        <f>SUMPRODUCT((M_BOM[Part Name]=$A3)*M_BOM[RM_Qty_Per_Batch]*IFERROR(INDEX(PP_Grid[#Data],M_BOM[PPGridRow],26),0))+IFERROR(INDEX(M_RawMaterials[固定週次消費量_要入力],MATCH($A3,M_RawMaterials[Part Name],0)),0)</f>
        <v/>
      </c>
      <c r="AA3">
        <f>SUMPRODUCT((M_BOM[Part Name]=$A3)*M_BOM[RM_Qty_Per_Batch]*IFERROR(INDEX(PP_Grid[#Data],M_BOM[PPGridRow],27),0))+IFERROR(INDEX(M_RawMaterials[固定週次消費量_要入力],MATCH($A3,M_RawMaterials[Part Name],0)),0)</f>
        <v/>
      </c>
      <c r="AB3">
        <f>SUMPRODUCT((M_BOM[Part Name]=$A3)*M_BOM[RM_Qty_Per_Batch]*IFERROR(INDEX(PP_Grid[#Data],M_BOM[PPGridRow],28),0))+IFERROR(INDEX(M_RawMaterials[固定週次消費量_要入力],MATCH($A3,M_RawMaterials[Part Name],0)),0)</f>
        <v/>
      </c>
      <c r="AC3">
        <f>SUMPRODUCT((M_BOM[Part Name]=$A3)*M_BOM[RM_Qty_Per_Batch]*IFERROR(INDEX(PP_Grid[#Data],M_BOM[PPGridRow],29),0))+IFERROR(INDEX(M_RawMaterials[固定週次消費量_要入力],MATCH($A3,M_RawMaterials[Part Name],0)),0)</f>
        <v/>
      </c>
      <c r="AD3">
        <f>SUMPRODUCT((M_BOM[Part Name]=$A3)*M_BOM[RM_Qty_Per_Batch]*IFERROR(INDEX(PP_Grid[#Data],M_BOM[PPGridRow],30),0))+IFERROR(INDEX(M_RawMaterials[固定週次消費量_要入力],MATCH($A3,M_RawMaterials[Part Name],0)),0)</f>
        <v/>
      </c>
      <c r="AE3">
        <f>SUMPRODUCT((M_BOM[Part Name]=$A3)*M_BOM[RM_Qty_Per_Batch]*IFERROR(INDEX(PP_Grid[#Data],M_BOM[PPGridRow],31),0))+IFERROR(INDEX(M_RawMaterials[固定週次消費量_要入力],MATCH($A3,M_RawMaterials[Part Name],0)),0)</f>
        <v/>
      </c>
      <c r="AF3">
        <f>SUMPRODUCT((M_BOM[Part Name]=$A3)*M_BOM[RM_Qty_Per_Batch]*IFERROR(INDEX(PP_Grid[#Data],M_BOM[PPGridRow],32),0))+IFERROR(INDEX(M_RawMaterials[固定週次消費量_要入力],MATCH($A3,M_RawMaterials[Part Name],0)),0)</f>
        <v/>
      </c>
      <c r="AG3">
        <f>SUMPRODUCT((M_BOM[Part Name]=$A3)*M_BOM[RM_Qty_Per_Batch]*IFERROR(INDEX(PP_Grid[#Data],M_BOM[PPGridRow],33),0))+IFERROR(INDEX(M_RawMaterials[固定週次消費量_要入力],MATCH($A3,M_RawMaterials[Part Name],0)),0)</f>
        <v/>
      </c>
      <c r="AH3">
        <f>SUMPRODUCT((M_BOM[Part Name]=$A3)*M_BOM[RM_Qty_Per_Batch]*IFERROR(INDEX(PP_Grid[#Data],M_BOM[PPGridRow],34),0))+IFERROR(INDEX(M_RawMaterials[固定週次消費量_要入力],MATCH($A3,M_RawMaterials[Part Name],0)),0)</f>
        <v/>
      </c>
      <c r="AI3">
        <f>SUMPRODUCT((M_BOM[Part Name]=$A3)*M_BOM[RM_Qty_Per_Batch]*IFERROR(INDEX(PP_Grid[#Data],M_BOM[PPGridRow],35),0))+IFERROR(INDEX(M_RawMaterials[固定週次消費量_要入力],MATCH($A3,M_RawMaterials[Part Name],0)),0)</f>
        <v/>
      </c>
      <c r="AJ3">
        <f>SUMPRODUCT((M_BOM[Part Name]=$A3)*M_BOM[RM_Qty_Per_Batch]*IFERROR(INDEX(PP_Grid[#Data],M_BOM[PPGridRow],36),0))+IFERROR(INDEX(M_RawMaterials[固定週次消費量_要入力],MATCH($A3,M_RawMaterials[Part Name],0)),0)</f>
        <v/>
      </c>
      <c r="AK3">
        <f>SUMPRODUCT((M_BOM[Part Name]=$A3)*M_BOM[RM_Qty_Per_Batch]*IFERROR(INDEX(PP_Grid[#Data],M_BOM[PPGridRow],37),0))+IFERROR(INDEX(M_RawMaterials[固定週次消費量_要入力],MATCH($A3,M_RawMaterials[Part Name],0)),0)</f>
        <v/>
      </c>
      <c r="AL3">
        <f>SUMPRODUCT((M_BOM[Part Name]=$A3)*M_BOM[RM_Qty_Per_Batch]*IFERROR(INDEX(PP_Grid[#Data],M_BOM[PPGridRow],38),0))+IFERROR(INDEX(M_RawMaterials[固定週次消費量_要入力],MATCH($A3,M_RawMaterials[Part Name],0)),0)</f>
        <v/>
      </c>
      <c r="AM3">
        <f>SUMPRODUCT((M_BOM[Part Name]=$A3)*M_BOM[RM_Qty_Per_Batch]*IFERROR(INDEX(PP_Grid[#Data],M_BOM[PPGridRow],39),0))+IFERROR(INDEX(M_RawMaterials[固定週次消費量_要入力],MATCH($A3,M_RawMaterials[Part Name],0)),0)</f>
        <v/>
      </c>
      <c r="AN3">
        <f>SUMPRODUCT((M_BOM[Part Name]=$A3)*M_BOM[RM_Qty_Per_Batch]*IFERROR(INDEX(PP_Grid[#Data],M_BOM[PPGridRow],40),0))+IFERROR(INDEX(M_RawMaterials[固定週次消費量_要入力],MATCH($A3,M_RawMaterials[Part Name],0)),0)</f>
        <v/>
      </c>
      <c r="AO3">
        <f>SUMPRODUCT((M_BOM[Part Name]=$A3)*M_BOM[RM_Qty_Per_Batch]*IFERROR(INDEX(PP_Grid[#Data],M_BOM[PPGridRow],41),0))+IFERROR(INDEX(M_RawMaterials[固定週次消費量_要入力],MATCH($A3,M_RawMaterials[Part Name],0)),0)</f>
        <v/>
      </c>
      <c r="AP3">
        <f>SUMPRODUCT((M_BOM[Part Name]=$A3)*M_BOM[RM_Qty_Per_Batch]*IFERROR(INDEX(PP_Grid[#Data],M_BOM[PPGridRow],42),0))+IFERROR(INDEX(M_RawMaterials[固定週次消費量_要入力],MATCH($A3,M_RawMaterials[Part Name],0)),0)</f>
        <v/>
      </c>
      <c r="AQ3">
        <f>SUMPRODUCT((M_BOM[Part Name]=$A3)*M_BOM[RM_Qty_Per_Batch]*IFERROR(INDEX(PP_Grid[#Data],M_BOM[PPGridRow],43),0))+IFERROR(INDEX(M_RawMaterials[固定週次消費量_要入力],MATCH($A3,M_RawMaterials[Part Name],0)),0)</f>
        <v/>
      </c>
      <c r="AR3">
        <f>SUMPRODUCT((M_BOM[Part Name]=$A3)*M_BOM[RM_Qty_Per_Batch]*IFERROR(INDEX(PP_Grid[#Data],M_BOM[PPGridRow],44),0))+IFERROR(INDEX(M_RawMaterials[固定週次消費量_要入力],MATCH($A3,M_RawMaterials[Part Name],0)),0)</f>
        <v/>
      </c>
      <c r="AS3">
        <f>SUMPRODUCT((M_BOM[Part Name]=$A3)*M_BOM[RM_Qty_Per_Batch]*IFERROR(INDEX(PP_Grid[#Data],M_BOM[PPGridRow],45),0))+IFERROR(INDEX(M_RawMaterials[固定週次消費量_要入力],MATCH($A3,M_RawMaterials[Part Name],0)),0)</f>
        <v/>
      </c>
      <c r="AT3">
        <f>SUMPRODUCT((M_BOM[Part Name]=$A3)*M_BOM[RM_Qty_Per_Batch]*IFERROR(INDEX(PP_Grid[#Data],M_BOM[PPGridRow],46),0))+IFERROR(INDEX(M_RawMaterials[固定週次消費量_要入力],MATCH($A3,M_RawMaterials[Part Name],0)),0)</f>
        <v/>
      </c>
      <c r="AU3">
        <f>SUMPRODUCT((M_BOM[Part Name]=$A3)*M_BOM[RM_Qty_Per_Batch]*IFERROR(INDEX(PP_Grid[#Data],M_BOM[PPGridRow],47),0))+IFERROR(INDEX(M_RawMaterials[固定週次消費量_要入力],MATCH($A3,M_RawMaterials[Part Name],0)),0)</f>
        <v/>
      </c>
      <c r="AV3">
        <f>SUMPRODUCT((M_BOM[Part Name]=$A3)*M_BOM[RM_Qty_Per_Batch]*IFERROR(INDEX(PP_Grid[#Data],M_BOM[PPGridRow],48),0))+IFERROR(INDEX(M_RawMaterials[固定週次消費量_要入力],MATCH($A3,M_RawMaterials[Part Name],0)),0)</f>
        <v/>
      </c>
      <c r="AW3">
        <f>SUMPRODUCT((M_BOM[Part Name]=$A3)*M_BOM[RM_Qty_Per_Batch]*IFERROR(INDEX(PP_Grid[#Data],M_BOM[PPGridRow],49),0))+IFERROR(INDEX(M_RawMaterials[固定週次消費量_要入力],MATCH($A3,M_RawMaterials[Part Name],0)),0)</f>
        <v/>
      </c>
      <c r="AX3">
        <f>SUMPRODUCT((M_BOM[Part Name]=$A3)*M_BOM[RM_Qty_Per_Batch]*IFERROR(INDEX(PP_Grid[#Data],M_BOM[PPGridRow],50),0))+IFERROR(INDEX(M_RawMaterials[固定週次消費量_要入力],MATCH($A3,M_RawMaterials[Part Name],0)),0)</f>
        <v/>
      </c>
      <c r="AY3">
        <f>SUMPRODUCT((M_BOM[Part Name]=$A3)*M_BOM[RM_Qty_Per_Batch]*IFERROR(INDEX(PP_Grid[#Data],M_BOM[PPGridRow],51),0))+IFERROR(INDEX(M_RawMaterials[固定週次消費量_要入力],MATCH($A3,M_RawMaterials[Part Name],0)),0)</f>
        <v/>
      </c>
      <c r="AZ3">
        <f>SUMPRODUCT((M_BOM[Part Name]=$A3)*M_BOM[RM_Qty_Per_Batch]*IFERROR(INDEX(PP_Grid[#Data],M_BOM[PPGridRow],52),0))+IFERROR(INDEX(M_RawMaterials[固定週次消費量_要入力],MATCH($A3,M_RawMaterials[Part Name],0)),0)</f>
        <v/>
      </c>
      <c r="BA3">
        <f>SUMPRODUCT((M_BOM[Part Name]=$A3)*M_BOM[RM_Qty_Per_Batch]*IFERROR(INDEX(PP_Grid[#Data],M_BOM[PPGridRow],53),0))+IFERROR(INDEX(M_RawMaterials[固定週次消費量_要入力],MATCH($A3,M_RawMaterials[Part Name],0)),0)</f>
        <v/>
      </c>
      <c r="BB3">
        <f>SUMPRODUCT((M_BOM[Part Name]=$A3)*M_BOM[RM_Qty_Per_Batch]*IFERROR(INDEX(PP_Grid[#Data],M_BOM[PPGridRow],54),0))+IFERROR(INDEX(M_RawMaterials[固定週次消費量_要入力],MATCH($A3,M_RawMaterials[Part Name],0)),0)</f>
        <v/>
      </c>
      <c r="BC3">
        <f>SUMPRODUCT((M_BOM[Part Name]=$A3)*M_BOM[RM_Qty_Per_Batch]*IFERROR(INDEX(PP_Grid[#Data],M_BOM[PPGridRow],55),0))+IFERROR(INDEX(M_RawMaterials[固定週次消費量_要入力],MATCH($A3,M_RawMaterials[Part Name],0)),0)</f>
        <v/>
      </c>
      <c r="BD3">
        <f>SUMPRODUCT((M_BOM[Part Name]=$A3)*M_BOM[RM_Qty_Per_Batch]*IFERROR(INDEX(PP_Grid[#Data],M_BOM[PPGridRow],56),0))+IFERROR(INDEX(M_RawMaterials[固定週次消費量_要入力],MATCH($A3,M_RawMaterials[Part Name],0)),0)</f>
        <v/>
      </c>
      <c r="BE3">
        <f>SUMPRODUCT((M_BOM[Part Name]=$A3)*M_BOM[RM_Qty_Per_Batch]*IFERROR(INDEX(PP_Grid[#Data],M_BOM[PPGridRow],57),0))+IFERROR(INDEX(M_RawMaterials[固定週次消費量_要入力],MATCH($A3,M_RawMaterials[Part Name],0)),0)</f>
        <v/>
      </c>
      <c r="BF3">
        <f>SUMPRODUCT((M_BOM[Part Name]=$A3)*M_BOM[RM_Qty_Per_Batch]*IFERROR(INDEX(PP_Grid[#Data],M_BOM[PPGridRow],58),0))+IFERROR(INDEX(M_RawMaterials[固定週次消費量_要入力],MATCH($A3,M_RawMaterials[Part Name],0)),0)</f>
        <v/>
      </c>
      <c r="BG3">
        <f>SUMPRODUCT((M_BOM[Part Name]=$A3)*M_BOM[RM_Qty_Per_Batch]*IFERROR(INDEX(PP_Grid[#Data],M_BOM[PPGridRow],59),0))+IFERROR(INDEX(M_RawMaterials[固定週次消費量_要入力],MATCH($A3,M_RawMaterials[Part Name],0)),0)</f>
        <v/>
      </c>
      <c r="BH3">
        <f>SUMPRODUCT((M_BOM[Part Name]=$A3)*M_BOM[RM_Qty_Per_Batch]*IFERROR(INDEX(PP_Grid[#Data],M_BOM[PPGridRow],60),0))+IFERROR(INDEX(M_RawMaterials[固定週次消費量_要入力],MATCH($A3,M_RawMaterials[Part Name],0)),0)</f>
        <v/>
      </c>
      <c r="BI3">
        <f>SUMPRODUCT((M_BOM[Part Name]=$A3)*M_BOM[RM_Qty_Per_Batch]*IFERROR(INDEX(PP_Grid[#Data],M_BOM[PPGridRow],61),0))+IFERROR(INDEX(M_RawMaterials[固定週次消費量_要入力],MATCH($A3,M_RawMaterials[Part Name],0)),0)</f>
        <v/>
      </c>
      <c r="BJ3">
        <f>SUMPRODUCT((M_BOM[Part Name]=$A3)*M_BOM[RM_Qty_Per_Batch]*IFERROR(INDEX(PP_Grid[#Data],M_BOM[PPGridRow],62),0))+IFERROR(INDEX(M_RawMaterials[固定週次消費量_要入力],MATCH($A3,M_RawMaterials[Part Name],0)),0)</f>
        <v/>
      </c>
      <c r="BK3">
        <f>SUMPRODUCT((M_BOM[Part Name]=$A3)*M_BOM[RM_Qty_Per_Batch]*IFERROR(INDEX(PP_Grid[#Data],M_BOM[PPGridRow],63),0))+IFERROR(INDEX(M_RawMaterials[固定週次消費量_要入力],MATCH($A3,M_RawMaterials[Part Name],0)),0)</f>
        <v/>
      </c>
      <c r="BL3">
        <f>SUMPRODUCT((M_BOM[Part Name]=$A3)*M_BOM[RM_Qty_Per_Batch]*IFERROR(INDEX(PP_Grid[#Data],M_BOM[PPGridRow],64),0))+IFERROR(INDEX(M_RawMaterials[固定週次消費量_要入力],MATCH($A3,M_RawMaterials[Part Name],0)),0)</f>
        <v/>
      </c>
      <c r="BM3">
        <f>SUMPRODUCT((M_BOM[Part Name]=$A3)*M_BOM[RM_Qty_Per_Batch]*IFERROR(INDEX(PP_Grid[#Data],M_BOM[PPGridRow],65),0))+IFERROR(INDEX(M_RawMaterials[固定週次消費量_要入力],MATCH($A3,M_RawMaterials[Part Name],0)),0)</f>
        <v/>
      </c>
      <c r="BN3">
        <f>SUMPRODUCT((M_BOM[Part Name]=$A3)*M_BOM[RM_Qty_Per_Batch]*IFERROR(INDEX(PP_Grid[#Data],M_BOM[PPGridRow],66),0))+IFERROR(INDEX(M_RawMaterials[固定週次消費量_要入力],MATCH($A3,M_RawMaterials[Part Name],0)),0)</f>
        <v/>
      </c>
      <c r="BO3">
        <f>SUMPRODUCT((M_BOM[Part Name]=$A3)*M_BOM[RM_Qty_Per_Batch]*IFERROR(INDEX(PP_Grid[#Data],M_BOM[PPGridRow],67),0))+IFERROR(INDEX(M_RawMaterials[固定週次消費量_要入力],MATCH($A3,M_RawMaterials[Part Name],0)),0)</f>
        <v/>
      </c>
      <c r="BP3">
        <f>SUMPRODUCT((M_BOM[Part Name]=$A3)*M_BOM[RM_Qty_Per_Batch]*IFERROR(INDEX(PP_Grid[#Data],M_BOM[PPGridRow],68),0))+IFERROR(INDEX(M_RawMaterials[固定週次消費量_要入力],MATCH($A3,M_RawMaterials[Part Name],0)),0)</f>
        <v/>
      </c>
      <c r="BQ3">
        <f>SUMPRODUCT((M_BOM[Part Name]=$A3)*M_BOM[RM_Qty_Per_Batch]*IFERROR(INDEX(PP_Grid[#Data],M_BOM[PPGridRow],69),0))+IFERROR(INDEX(M_RawMaterials[固定週次消費量_要入力],MATCH($A3,M_RawMaterials[Part Name],0)),0)</f>
        <v/>
      </c>
      <c r="BR3">
        <f>SUMPRODUCT((M_BOM[Part Name]=$A3)*M_BOM[RM_Qty_Per_Batch]*IFERROR(INDEX(PP_Grid[#Data],M_BOM[PPGridRow],70),0))+IFERROR(INDEX(M_RawMaterials[固定週次消費量_要入力],MATCH($A3,M_RawMaterials[Part Name],0)),0)</f>
        <v/>
      </c>
      <c r="BS3">
        <f>SUMPRODUCT((M_BOM[Part Name]=$A3)*M_BOM[RM_Qty_Per_Batch]*IFERROR(INDEX(PP_Grid[#Data],M_BOM[PPGridRow],71),0))+IFERROR(INDEX(M_RawMaterials[固定週次消費量_要入力],MATCH($A3,M_RawMaterials[Part Name],0)),0)</f>
        <v/>
      </c>
      <c r="BT3">
        <f>SUMPRODUCT((M_BOM[Part Name]=$A3)*M_BOM[RM_Qty_Per_Batch]*IFERROR(INDEX(PP_Grid[#Data],M_BOM[PPGridRow],72),0))+IFERROR(INDEX(M_RawMaterials[固定週次消費量_要入力],MATCH($A3,M_RawMaterials[Part Name],0)),0)</f>
        <v/>
      </c>
      <c r="BU3">
        <f>SUMPRODUCT((M_BOM[Part Name]=$A3)*M_BOM[RM_Qty_Per_Batch]*IFERROR(INDEX(PP_Grid[#Data],M_BOM[PPGridRow],73),0))+IFERROR(INDEX(M_RawMaterials[固定週次消費量_要入力],MATCH($A3,M_RawMaterials[Part Name],0)),0)</f>
        <v/>
      </c>
      <c r="BV3">
        <f>SUMPRODUCT((M_BOM[Part Name]=$A3)*M_BOM[RM_Qty_Per_Batch]*IFERROR(INDEX(PP_Grid[#Data],M_BOM[PPGridRow],74),0))+IFERROR(INDEX(M_RawMaterials[固定週次消費量_要入力],MATCH($A3,M_RawMaterials[Part Name],0)),0)</f>
        <v/>
      </c>
      <c r="BW3">
        <f>SUMPRODUCT((M_BOM[Part Name]=$A3)*M_BOM[RM_Qty_Per_Batch]*IFERROR(INDEX(PP_Grid[#Data],M_BOM[PPGridRow],75),0))+IFERROR(INDEX(M_RawMaterials[固定週次消費量_要入力],MATCH($A3,M_RawMaterials[Part Name],0)),0)</f>
        <v/>
      </c>
      <c r="BX3">
        <f>SUMPRODUCT((M_BOM[Part Name]=$A3)*M_BOM[RM_Qty_Per_Batch]*IFERROR(INDEX(PP_Grid[#Data],M_BOM[PPGridRow],76),0))+IFERROR(INDEX(M_RawMaterials[固定週次消費量_要入力],MATCH($A3,M_RawMaterials[Part Name],0)),0)</f>
        <v/>
      </c>
      <c r="BY3">
        <f>SUMPRODUCT((M_BOM[Part Name]=$A3)*M_BOM[RM_Qty_Per_Batch]*IFERROR(INDEX(PP_Grid[#Data],M_BOM[PPGridRow],77),0))+IFERROR(INDEX(M_RawMaterials[固定週次消費量_要入力],MATCH($A3,M_RawMaterials[Part Name],0)),0)</f>
        <v/>
      </c>
      <c r="BZ3">
        <f>SUMPRODUCT((M_BOM[Part Name]=$A3)*M_BOM[RM_Qty_Per_Batch]*IFERROR(INDEX(PP_Grid[#Data],M_BOM[PPGridRow],78),0))+IFERROR(INDEX(M_RawMaterials[固定週次消費量_要入力],MATCH($A3,M_RawMaterials[Part Name],0)),0)</f>
        <v/>
      </c>
      <c r="CA3">
        <f>SUMPRODUCT((M_BOM[Part Name]=$A3)*M_BOM[RM_Qty_Per_Batch]*IFERROR(INDEX(PP_Grid[#Data],M_BOM[PPGridRow],79),0))+IFERROR(INDEX(M_RawMaterials[固定週次消費量_要入力],MATCH($A3,M_RawMaterials[Part Name],0)),0)</f>
        <v/>
      </c>
      <c r="CB3">
        <f>SUMPRODUCT((M_BOM[Part Name]=$A3)*M_BOM[RM_Qty_Per_Batch]*IFERROR(INDEX(PP_Grid[#Data],M_BOM[PPGridRow],80),0))+IFERROR(INDEX(M_RawMaterials[固定週次消費量_要入力],MATCH($A3,M_RawMaterials[Part Name],0)),0)</f>
        <v/>
      </c>
      <c r="CC3">
        <f>SUMPRODUCT((M_BOM[Part Name]=$A3)*M_BOM[RM_Qty_Per_Batch]*IFERROR(INDEX(PP_Grid[#Data],M_BOM[PPGridRow],81),0))+IFERROR(INDEX(M_RawMaterials[固定週次消費量_要入力],MATCH($A3,M_RawMaterials[Part Name],0)),0)</f>
        <v/>
      </c>
      <c r="CD3">
        <f>SUMPRODUCT((M_BOM[Part Name]=$A3)*M_BOM[RM_Qty_Per_Batch]*IFERROR(INDEX(PP_Grid[#Data],M_BOM[PPGridRow],82),0))+IFERROR(INDEX(M_RawMaterials[固定週次消費量_要入力],MATCH($A3,M_RawMaterials[Part Name],0)),0)</f>
        <v/>
      </c>
      <c r="CE3">
        <f>SUMPRODUCT((M_BOM[Part Name]=$A3)*M_BOM[RM_Qty_Per_Batch]*IFERROR(INDEX(PP_Grid[#Data],M_BOM[PPGridRow],83),0))+IFERROR(INDEX(M_RawMaterials[固定週次消費量_要入力],MATCH($A3,M_RawMaterials[Part Name],0)),0)</f>
        <v/>
      </c>
      <c r="CF3">
        <f>SUMPRODUCT((M_BOM[Part Name]=$A3)*M_BOM[RM_Qty_Per_Batch]*IFERROR(INDEX(PP_Grid[#Data],M_BOM[PPGridRow],84),0))+IFERROR(INDEX(M_RawMaterials[固定週次消費量_要入力],MATCH($A3,M_RawMaterials[Part Name],0)),0)</f>
        <v/>
      </c>
      <c r="CG3">
        <f>SUMPRODUCT((M_BOM[Part Name]=$A3)*M_BOM[RM_Qty_Per_Batch]*IFERROR(INDEX(PP_Grid[#Data],M_BOM[PPGridRow],85),0))+IFERROR(INDEX(M_RawMaterials[固定週次消費量_要入力],MATCH($A3,M_RawMaterials[Part Name],0)),0)</f>
        <v/>
      </c>
      <c r="CH3">
        <f>SUMPRODUCT((M_BOM[Part Name]=$A3)*M_BOM[RM_Qty_Per_Batch]*IFERROR(INDEX(PP_Grid[#Data],M_BOM[PPGridRow],86),0))+IFERROR(INDEX(M_RawMaterials[固定週次消費量_要入力],MATCH($A3,M_RawMaterials[Part Name],0)),0)</f>
        <v/>
      </c>
      <c r="CI3">
        <f>SUMPRODUCT((M_BOM[Part Name]=$A3)*M_BOM[RM_Qty_Per_Batch]*IFERROR(INDEX(PP_Grid[#Data],M_BOM[PPGridRow],87),0))+IFERROR(INDEX(M_RawMaterials[固定週次消費量_要入力],MATCH($A3,M_RawMaterials[Part Name],0)),0)</f>
        <v/>
      </c>
      <c r="CJ3">
        <f>SUMPRODUCT((M_BOM[Part Name]=$A3)*M_BOM[RM_Qty_Per_Batch]*IFERROR(INDEX(PP_Grid[#Data],M_BOM[PPGridRow],88),0))+IFERROR(INDEX(M_RawMaterials[固定週次消費量_要入力],MATCH($A3,M_RawMaterials[Part Name],0)),0)</f>
        <v/>
      </c>
      <c r="CK3">
        <f>SUMPRODUCT((M_BOM[Part Name]=$A3)*M_BOM[RM_Qty_Per_Batch]*IFERROR(INDEX(PP_Grid[#Data],M_BOM[PPGridRow],89),0))+IFERROR(INDEX(M_RawMaterials[固定週次消費量_要入力],MATCH($A3,M_RawMaterials[Part Name],0)),0)</f>
        <v/>
      </c>
      <c r="CL3">
        <f>SUMPRODUCT((M_BOM[Part Name]=$A3)*M_BOM[RM_Qty_Per_Batch]*IFERROR(INDEX(PP_Grid[#Data],M_BOM[PPGridRow],90),0))+IFERROR(INDEX(M_RawMaterials[固定週次消費量_要入力],MATCH($A3,M_RawMaterials[Part Name],0)),0)</f>
        <v/>
      </c>
      <c r="CM3">
        <f>SUMPRODUCT((M_BOM[Part Name]=$A3)*M_BOM[RM_Qty_Per_Batch]*IFERROR(INDEX(PP_Grid[#Data],M_BOM[PPGridRow],91),0))+IFERROR(INDEX(M_RawMaterials[固定週次消費量_要入力],MATCH($A3,M_RawMaterials[Part Name],0)),0)</f>
        <v/>
      </c>
      <c r="CN3">
        <f>SUMPRODUCT((M_BOM[Part Name]=$A3)*M_BOM[RM_Qty_Per_Batch]*IFERROR(INDEX(PP_Grid[#Data],M_BOM[PPGridRow],92),0))+IFERROR(INDEX(M_RawMaterials[固定週次消費量_要入力],MATCH($A3,M_RawMaterials[Part Name],0)),0)</f>
        <v/>
      </c>
      <c r="CO3">
        <f>SUMPRODUCT((M_BOM[Part Name]=$A3)*M_BOM[RM_Qty_Per_Batch]*IFERROR(INDEX(PP_Grid[#Data],M_BOM[PPGridRow],93),0))+IFERROR(INDEX(M_RawMaterials[固定週次消費量_要入力],MATCH($A3,M_RawMaterials[Part Name],0)),0)</f>
        <v/>
      </c>
      <c r="CP3">
        <f>SUMPRODUCT((M_BOM[Part Name]=$A3)*M_BOM[RM_Qty_Per_Batch]*IFERROR(INDEX(PP_Grid[#Data],M_BOM[PPGridRow],94),0))+IFERROR(INDEX(M_RawMaterials[固定週次消費量_要入力],MATCH($A3,M_RawMaterials[Part Name],0)),0)</f>
        <v/>
      </c>
      <c r="CQ3">
        <f>SUMPRODUCT((M_BOM[Part Name]=$A3)*M_BOM[RM_Qty_Per_Batch]*IFERROR(INDEX(PP_Grid[#Data],M_BOM[PPGridRow],95),0))+IFERROR(INDEX(M_RawMaterials[固定週次消費量_要入力],MATCH($A3,M_RawMaterials[Part Name],0)),0)</f>
        <v/>
      </c>
      <c r="CR3">
        <f>SUMPRODUCT((M_BOM[Part Name]=$A3)*M_BOM[RM_Qty_Per_Batch]*IFERROR(INDEX(PP_Grid[#Data],M_BOM[PPGridRow],96),0))+IFERROR(INDEX(M_RawMaterials[固定週次消費量_要入力],MATCH($A3,M_RawMaterials[Part Name],0)),0)</f>
        <v/>
      </c>
      <c r="CS3">
        <f>SUMPRODUCT((M_BOM[Part Name]=$A3)*M_BOM[RM_Qty_Per_Batch]*IFERROR(INDEX(PP_Grid[#Data],M_BOM[PPGridRow],97),0))+IFERROR(INDEX(M_RawMaterials[固定週次消費量_要入力],MATCH($A3,M_RawMaterials[Part Name],0)),0)</f>
        <v/>
      </c>
      <c r="CT3">
        <f>SUMPRODUCT((M_BOM[Part Name]=$A3)*M_BOM[RM_Qty_Per_Batch]*IFERROR(INDEX(PP_Grid[#Data],M_BOM[PPGridRow],98),0))+IFERROR(INDEX(M_RawMaterials[固定週次消費量_要入力],MATCH($A3,M_RawMaterials[Part Name],0)),0)</f>
        <v/>
      </c>
      <c r="CU3">
        <f>SUMPRODUCT((M_BOM[Part Name]=$A3)*M_BOM[RM_Qty_Per_Batch]*IFERROR(INDEX(PP_Grid[#Data],M_BOM[PPGridRow],99),0))+IFERROR(INDEX(M_RawMaterials[固定週次消費量_要入力],MATCH($A3,M_RawMaterials[Part Name],0)),0)</f>
        <v/>
      </c>
      <c r="CV3">
        <f>SUMPRODUCT((M_BOM[Part Name]=$A3)*M_BOM[RM_Qty_Per_Batch]*IFERROR(INDEX(PP_Grid[#Data],M_BOM[PPGridRow],100),0))+IFERROR(INDEX(M_RawMaterials[固定週次消費量_要入力],MATCH($A3,M_RawMaterials[Part Name],0)),0)</f>
        <v/>
      </c>
      <c r="CW3">
        <f>SUMPRODUCT((M_BOM[Part Name]=$A3)*M_BOM[RM_Qty_Per_Batch]*IFERROR(INDEX(PP_Grid[#Data],M_BOM[PPGridRow],101),0))+IFERROR(INDEX(M_RawMaterials[固定週次消費量_要入力],MATCH($A3,M_RawMaterials[Part Name],0)),0)</f>
        <v/>
      </c>
      <c r="CX3">
        <f>SUMPRODUCT((M_BOM[Part Name]=$A3)*M_BOM[RM_Qty_Per_Batch]*IFERROR(INDEX(PP_Grid[#Data],M_BOM[PPGridRow],102),0))+IFERROR(INDEX(M_RawMaterials[固定週次消費量_要入力],MATCH($A3,M_RawMaterials[Part Name],0)),0)</f>
        <v/>
      </c>
      <c r="CY3">
        <f>SUMPRODUCT((M_BOM[Part Name]=$A3)*M_BOM[RM_Qty_Per_Batch]*IFERROR(INDEX(PP_Grid[#Data],M_BOM[PPGridRow],103),0))+IFERROR(INDEX(M_RawMaterials[固定週次消費量_要入力],MATCH($A3,M_RawMaterials[Part Name],0)),0)</f>
        <v/>
      </c>
      <c r="CZ3">
        <f>SUMPRODUCT((M_BOM[Part Name]=$A3)*M_BOM[RM_Qty_Per_Batch]*IFERROR(INDEX(PP_Grid[#Data],M_BOM[PPGridRow],104),0))+IFERROR(INDEX(M_RawMaterials[固定週次消費量_要入力],MATCH($A3,M_RawMaterials[Part Name],0)),0)</f>
        <v/>
      </c>
      <c r="DA3">
        <f>SUMPRODUCT((M_BOM[Part Name]=$A3)*M_BOM[RM_Qty_Per_Batch]*IFERROR(INDEX(PP_Grid[#Data],M_BOM[PPGridRow],105),0))+IFERROR(INDEX(M_RawMaterials[固定週次消費量_要入力],MATCH($A3,M_RawMaterials[Part Name],0)),0)</f>
        <v/>
      </c>
    </row>
    <row r="4">
      <c r="A4" t="inlineStr">
        <is>
          <t>4HL</t>
        </is>
      </c>
      <c r="B4">
        <f>SUMPRODUCT((M_BOM[Part Name]=$A4)*M_BOM[RM_Qty_Per_Batch]*IFERROR(INDEX(PP_Grid[#Data],M_BOM[PPGridRow],2),0))+IFERROR(INDEX(M_RawMaterials[固定週次消費量_要入力],MATCH($A4,M_RawMaterials[Part Name],0)),0)</f>
        <v/>
      </c>
      <c r="C4">
        <f>SUMPRODUCT((M_BOM[Part Name]=$A4)*M_BOM[RM_Qty_Per_Batch]*IFERROR(INDEX(PP_Grid[#Data],M_BOM[PPGridRow],3),0))+IFERROR(INDEX(M_RawMaterials[固定週次消費量_要入力],MATCH($A4,M_RawMaterials[Part Name],0)),0)</f>
        <v/>
      </c>
      <c r="D4">
        <f>SUMPRODUCT((M_BOM[Part Name]=$A4)*M_BOM[RM_Qty_Per_Batch]*IFERROR(INDEX(PP_Grid[#Data],M_BOM[PPGridRow],4),0))+IFERROR(INDEX(M_RawMaterials[固定週次消費量_要入力],MATCH($A4,M_RawMaterials[Part Name],0)),0)</f>
        <v/>
      </c>
      <c r="E4">
        <f>SUMPRODUCT((M_BOM[Part Name]=$A4)*M_BOM[RM_Qty_Per_Batch]*IFERROR(INDEX(PP_Grid[#Data],M_BOM[PPGridRow],5),0))+IFERROR(INDEX(M_RawMaterials[固定週次消費量_要入力],MATCH($A4,M_RawMaterials[Part Name],0)),0)</f>
        <v/>
      </c>
      <c r="F4">
        <f>SUMPRODUCT((M_BOM[Part Name]=$A4)*M_BOM[RM_Qty_Per_Batch]*IFERROR(INDEX(PP_Grid[#Data],M_BOM[PPGridRow],6),0))+IFERROR(INDEX(M_RawMaterials[固定週次消費量_要入力],MATCH($A4,M_RawMaterials[Part Name],0)),0)</f>
        <v/>
      </c>
      <c r="G4">
        <f>SUMPRODUCT((M_BOM[Part Name]=$A4)*M_BOM[RM_Qty_Per_Batch]*IFERROR(INDEX(PP_Grid[#Data],M_BOM[PPGridRow],7),0))+IFERROR(INDEX(M_RawMaterials[固定週次消費量_要入力],MATCH($A4,M_RawMaterials[Part Name],0)),0)</f>
        <v/>
      </c>
      <c r="H4">
        <f>SUMPRODUCT((M_BOM[Part Name]=$A4)*M_BOM[RM_Qty_Per_Batch]*IFERROR(INDEX(PP_Grid[#Data],M_BOM[PPGridRow],8),0))+IFERROR(INDEX(M_RawMaterials[固定週次消費量_要入力],MATCH($A4,M_RawMaterials[Part Name],0)),0)</f>
        <v/>
      </c>
      <c r="I4">
        <f>SUMPRODUCT((M_BOM[Part Name]=$A4)*M_BOM[RM_Qty_Per_Batch]*IFERROR(INDEX(PP_Grid[#Data],M_BOM[PPGridRow],9),0))+IFERROR(INDEX(M_RawMaterials[固定週次消費量_要入力],MATCH($A4,M_RawMaterials[Part Name],0)),0)</f>
        <v/>
      </c>
      <c r="J4">
        <f>SUMPRODUCT((M_BOM[Part Name]=$A4)*M_BOM[RM_Qty_Per_Batch]*IFERROR(INDEX(PP_Grid[#Data],M_BOM[PPGridRow],10),0))+IFERROR(INDEX(M_RawMaterials[固定週次消費量_要入力],MATCH($A4,M_RawMaterials[Part Name],0)),0)</f>
        <v/>
      </c>
      <c r="K4">
        <f>SUMPRODUCT((M_BOM[Part Name]=$A4)*M_BOM[RM_Qty_Per_Batch]*IFERROR(INDEX(PP_Grid[#Data],M_BOM[PPGridRow],11),0))+IFERROR(INDEX(M_RawMaterials[固定週次消費量_要入力],MATCH($A4,M_RawMaterials[Part Name],0)),0)</f>
        <v/>
      </c>
      <c r="L4">
        <f>SUMPRODUCT((M_BOM[Part Name]=$A4)*M_BOM[RM_Qty_Per_Batch]*IFERROR(INDEX(PP_Grid[#Data],M_BOM[PPGridRow],12),0))+IFERROR(INDEX(M_RawMaterials[固定週次消費量_要入力],MATCH($A4,M_RawMaterials[Part Name],0)),0)</f>
        <v/>
      </c>
      <c r="M4">
        <f>SUMPRODUCT((M_BOM[Part Name]=$A4)*M_BOM[RM_Qty_Per_Batch]*IFERROR(INDEX(PP_Grid[#Data],M_BOM[PPGridRow],13),0))+IFERROR(INDEX(M_RawMaterials[固定週次消費量_要入力],MATCH($A4,M_RawMaterials[Part Name],0)),0)</f>
        <v/>
      </c>
      <c r="N4">
        <f>SUMPRODUCT((M_BOM[Part Name]=$A4)*M_BOM[RM_Qty_Per_Batch]*IFERROR(INDEX(PP_Grid[#Data],M_BOM[PPGridRow],14),0))+IFERROR(INDEX(M_RawMaterials[固定週次消費量_要入力],MATCH($A4,M_RawMaterials[Part Name],0)),0)</f>
        <v/>
      </c>
      <c r="O4">
        <f>SUMPRODUCT((M_BOM[Part Name]=$A4)*M_BOM[RM_Qty_Per_Batch]*IFERROR(INDEX(PP_Grid[#Data],M_BOM[PPGridRow],15),0))+IFERROR(INDEX(M_RawMaterials[固定週次消費量_要入力],MATCH($A4,M_RawMaterials[Part Name],0)),0)</f>
        <v/>
      </c>
      <c r="P4">
        <f>SUMPRODUCT((M_BOM[Part Name]=$A4)*M_BOM[RM_Qty_Per_Batch]*IFERROR(INDEX(PP_Grid[#Data],M_BOM[PPGridRow],16),0))+IFERROR(INDEX(M_RawMaterials[固定週次消費量_要入力],MATCH($A4,M_RawMaterials[Part Name],0)),0)</f>
        <v/>
      </c>
      <c r="Q4">
        <f>SUMPRODUCT((M_BOM[Part Name]=$A4)*M_BOM[RM_Qty_Per_Batch]*IFERROR(INDEX(PP_Grid[#Data],M_BOM[PPGridRow],17),0))+IFERROR(INDEX(M_RawMaterials[固定週次消費量_要入力],MATCH($A4,M_RawMaterials[Part Name],0)),0)</f>
        <v/>
      </c>
      <c r="R4">
        <f>SUMPRODUCT((M_BOM[Part Name]=$A4)*M_BOM[RM_Qty_Per_Batch]*IFERROR(INDEX(PP_Grid[#Data],M_BOM[PPGridRow],18),0))+IFERROR(INDEX(M_RawMaterials[固定週次消費量_要入力],MATCH($A4,M_RawMaterials[Part Name],0)),0)</f>
        <v/>
      </c>
      <c r="S4">
        <f>SUMPRODUCT((M_BOM[Part Name]=$A4)*M_BOM[RM_Qty_Per_Batch]*IFERROR(INDEX(PP_Grid[#Data],M_BOM[PPGridRow],19),0))+IFERROR(INDEX(M_RawMaterials[固定週次消費量_要入力],MATCH($A4,M_RawMaterials[Part Name],0)),0)</f>
        <v/>
      </c>
      <c r="T4">
        <f>SUMPRODUCT((M_BOM[Part Name]=$A4)*M_BOM[RM_Qty_Per_Batch]*IFERROR(INDEX(PP_Grid[#Data],M_BOM[PPGridRow],20),0))+IFERROR(INDEX(M_RawMaterials[固定週次消費量_要入力],MATCH($A4,M_RawMaterials[Part Name],0)),0)</f>
        <v/>
      </c>
      <c r="U4">
        <f>SUMPRODUCT((M_BOM[Part Name]=$A4)*M_BOM[RM_Qty_Per_Batch]*IFERROR(INDEX(PP_Grid[#Data],M_BOM[PPGridRow],21),0))+IFERROR(INDEX(M_RawMaterials[固定週次消費量_要入力],MATCH($A4,M_RawMaterials[Part Name],0)),0)</f>
        <v/>
      </c>
      <c r="V4">
        <f>SUMPRODUCT((M_BOM[Part Name]=$A4)*M_BOM[RM_Qty_Per_Batch]*IFERROR(INDEX(PP_Grid[#Data],M_BOM[PPGridRow],22),0))+IFERROR(INDEX(M_RawMaterials[固定週次消費量_要入力],MATCH($A4,M_RawMaterials[Part Name],0)),0)</f>
        <v/>
      </c>
      <c r="W4">
        <f>SUMPRODUCT((M_BOM[Part Name]=$A4)*M_BOM[RM_Qty_Per_Batch]*IFERROR(INDEX(PP_Grid[#Data],M_BOM[PPGridRow],23),0))+IFERROR(INDEX(M_RawMaterials[固定週次消費量_要入力],MATCH($A4,M_RawMaterials[Part Name],0)),0)</f>
        <v/>
      </c>
      <c r="X4">
        <f>SUMPRODUCT((M_BOM[Part Name]=$A4)*M_BOM[RM_Qty_Per_Batch]*IFERROR(INDEX(PP_Grid[#Data],M_BOM[PPGridRow],24),0))+IFERROR(INDEX(M_RawMaterials[固定週次消費量_要入力],MATCH($A4,M_RawMaterials[Part Name],0)),0)</f>
        <v/>
      </c>
      <c r="Y4">
        <f>SUMPRODUCT((M_BOM[Part Name]=$A4)*M_BOM[RM_Qty_Per_Batch]*IFERROR(INDEX(PP_Grid[#Data],M_BOM[PPGridRow],25),0))+IFERROR(INDEX(M_RawMaterials[固定週次消費量_要入力],MATCH($A4,M_RawMaterials[Part Name],0)),0)</f>
        <v/>
      </c>
      <c r="Z4">
        <f>SUMPRODUCT((M_BOM[Part Name]=$A4)*M_BOM[RM_Qty_Per_Batch]*IFERROR(INDEX(PP_Grid[#Data],M_BOM[PPGridRow],26),0))+IFERROR(INDEX(M_RawMaterials[固定週次消費量_要入力],MATCH($A4,M_RawMaterials[Part Name],0)),0)</f>
        <v/>
      </c>
      <c r="AA4">
        <f>SUMPRODUCT((M_BOM[Part Name]=$A4)*M_BOM[RM_Qty_Per_Batch]*IFERROR(INDEX(PP_Grid[#Data],M_BOM[PPGridRow],27),0))+IFERROR(INDEX(M_RawMaterials[固定週次消費量_要入力],MATCH($A4,M_RawMaterials[Part Name],0)),0)</f>
        <v/>
      </c>
      <c r="AB4">
        <f>SUMPRODUCT((M_BOM[Part Name]=$A4)*M_BOM[RM_Qty_Per_Batch]*IFERROR(INDEX(PP_Grid[#Data],M_BOM[PPGridRow],28),0))+IFERROR(INDEX(M_RawMaterials[固定週次消費量_要入力],MATCH($A4,M_RawMaterials[Part Name],0)),0)</f>
        <v/>
      </c>
      <c r="AC4">
        <f>SUMPRODUCT((M_BOM[Part Name]=$A4)*M_BOM[RM_Qty_Per_Batch]*IFERROR(INDEX(PP_Grid[#Data],M_BOM[PPGridRow],29),0))+IFERROR(INDEX(M_RawMaterials[固定週次消費量_要入力],MATCH($A4,M_RawMaterials[Part Name],0)),0)</f>
        <v/>
      </c>
      <c r="AD4">
        <f>SUMPRODUCT((M_BOM[Part Name]=$A4)*M_BOM[RM_Qty_Per_Batch]*IFERROR(INDEX(PP_Grid[#Data],M_BOM[PPGridRow],30),0))+IFERROR(INDEX(M_RawMaterials[固定週次消費量_要入力],MATCH($A4,M_RawMaterials[Part Name],0)),0)</f>
        <v/>
      </c>
      <c r="AE4">
        <f>SUMPRODUCT((M_BOM[Part Name]=$A4)*M_BOM[RM_Qty_Per_Batch]*IFERROR(INDEX(PP_Grid[#Data],M_BOM[PPGridRow],31),0))+IFERROR(INDEX(M_RawMaterials[固定週次消費量_要入力],MATCH($A4,M_RawMaterials[Part Name],0)),0)</f>
        <v/>
      </c>
      <c r="AF4">
        <f>SUMPRODUCT((M_BOM[Part Name]=$A4)*M_BOM[RM_Qty_Per_Batch]*IFERROR(INDEX(PP_Grid[#Data],M_BOM[PPGridRow],32),0))+IFERROR(INDEX(M_RawMaterials[固定週次消費量_要入力],MATCH($A4,M_RawMaterials[Part Name],0)),0)</f>
        <v/>
      </c>
      <c r="AG4">
        <f>SUMPRODUCT((M_BOM[Part Name]=$A4)*M_BOM[RM_Qty_Per_Batch]*IFERROR(INDEX(PP_Grid[#Data],M_BOM[PPGridRow],33),0))+IFERROR(INDEX(M_RawMaterials[固定週次消費量_要入力],MATCH($A4,M_RawMaterials[Part Name],0)),0)</f>
        <v/>
      </c>
      <c r="AH4">
        <f>SUMPRODUCT((M_BOM[Part Name]=$A4)*M_BOM[RM_Qty_Per_Batch]*IFERROR(INDEX(PP_Grid[#Data],M_BOM[PPGridRow],34),0))+IFERROR(INDEX(M_RawMaterials[固定週次消費量_要入力],MATCH($A4,M_RawMaterials[Part Name],0)),0)</f>
        <v/>
      </c>
      <c r="AI4">
        <f>SUMPRODUCT((M_BOM[Part Name]=$A4)*M_BOM[RM_Qty_Per_Batch]*IFERROR(INDEX(PP_Grid[#Data],M_BOM[PPGridRow],35),0))+IFERROR(INDEX(M_RawMaterials[固定週次消費量_要入力],MATCH($A4,M_RawMaterials[Part Name],0)),0)</f>
        <v/>
      </c>
      <c r="AJ4">
        <f>SUMPRODUCT((M_BOM[Part Name]=$A4)*M_BOM[RM_Qty_Per_Batch]*IFERROR(INDEX(PP_Grid[#Data],M_BOM[PPGridRow],36),0))+IFERROR(INDEX(M_RawMaterials[固定週次消費量_要入力],MATCH($A4,M_RawMaterials[Part Name],0)),0)</f>
        <v/>
      </c>
      <c r="AK4">
        <f>SUMPRODUCT((M_BOM[Part Name]=$A4)*M_BOM[RM_Qty_Per_Batch]*IFERROR(INDEX(PP_Grid[#Data],M_BOM[PPGridRow],37),0))+IFERROR(INDEX(M_RawMaterials[固定週次消費量_要入力],MATCH($A4,M_RawMaterials[Part Name],0)),0)</f>
        <v/>
      </c>
      <c r="AL4">
        <f>SUMPRODUCT((M_BOM[Part Name]=$A4)*M_BOM[RM_Qty_Per_Batch]*IFERROR(INDEX(PP_Grid[#Data],M_BOM[PPGridRow],38),0))+IFERROR(INDEX(M_RawMaterials[固定週次消費量_要入力],MATCH($A4,M_RawMaterials[Part Name],0)),0)</f>
        <v/>
      </c>
      <c r="AM4">
        <f>SUMPRODUCT((M_BOM[Part Name]=$A4)*M_BOM[RM_Qty_Per_Batch]*IFERROR(INDEX(PP_Grid[#Data],M_BOM[PPGridRow],39),0))+IFERROR(INDEX(M_RawMaterials[固定週次消費量_要入力],MATCH($A4,M_RawMaterials[Part Name],0)),0)</f>
        <v/>
      </c>
      <c r="AN4">
        <f>SUMPRODUCT((M_BOM[Part Name]=$A4)*M_BOM[RM_Qty_Per_Batch]*IFERROR(INDEX(PP_Grid[#Data],M_BOM[PPGridRow],40),0))+IFERROR(INDEX(M_RawMaterials[固定週次消費量_要入力],MATCH($A4,M_RawMaterials[Part Name],0)),0)</f>
        <v/>
      </c>
      <c r="AO4">
        <f>SUMPRODUCT((M_BOM[Part Name]=$A4)*M_BOM[RM_Qty_Per_Batch]*IFERROR(INDEX(PP_Grid[#Data],M_BOM[PPGridRow],41),0))+IFERROR(INDEX(M_RawMaterials[固定週次消費量_要入力],MATCH($A4,M_RawMaterials[Part Name],0)),0)</f>
        <v/>
      </c>
      <c r="AP4">
        <f>SUMPRODUCT((M_BOM[Part Name]=$A4)*M_BOM[RM_Qty_Per_Batch]*IFERROR(INDEX(PP_Grid[#Data],M_BOM[PPGridRow],42),0))+IFERROR(INDEX(M_RawMaterials[固定週次消費量_要入力],MATCH($A4,M_RawMaterials[Part Name],0)),0)</f>
        <v/>
      </c>
      <c r="AQ4">
        <f>SUMPRODUCT((M_BOM[Part Name]=$A4)*M_BOM[RM_Qty_Per_Batch]*IFERROR(INDEX(PP_Grid[#Data],M_BOM[PPGridRow],43),0))+IFERROR(INDEX(M_RawMaterials[固定週次消費量_要入力],MATCH($A4,M_RawMaterials[Part Name],0)),0)</f>
        <v/>
      </c>
      <c r="AR4">
        <f>SUMPRODUCT((M_BOM[Part Name]=$A4)*M_BOM[RM_Qty_Per_Batch]*IFERROR(INDEX(PP_Grid[#Data],M_BOM[PPGridRow],44),0))+IFERROR(INDEX(M_RawMaterials[固定週次消費量_要入力],MATCH($A4,M_RawMaterials[Part Name],0)),0)</f>
        <v/>
      </c>
      <c r="AS4">
        <f>SUMPRODUCT((M_BOM[Part Name]=$A4)*M_BOM[RM_Qty_Per_Batch]*IFERROR(INDEX(PP_Grid[#Data],M_BOM[PPGridRow],45),0))+IFERROR(INDEX(M_RawMaterials[固定週次消費量_要入力],MATCH($A4,M_RawMaterials[Part Name],0)),0)</f>
        <v/>
      </c>
      <c r="AT4">
        <f>SUMPRODUCT((M_BOM[Part Name]=$A4)*M_BOM[RM_Qty_Per_Batch]*IFERROR(INDEX(PP_Grid[#Data],M_BOM[PPGridRow],46),0))+IFERROR(INDEX(M_RawMaterials[固定週次消費量_要入力],MATCH($A4,M_RawMaterials[Part Name],0)),0)</f>
        <v/>
      </c>
      <c r="AU4">
        <f>SUMPRODUCT((M_BOM[Part Name]=$A4)*M_BOM[RM_Qty_Per_Batch]*IFERROR(INDEX(PP_Grid[#Data],M_BOM[PPGridRow],47),0))+IFERROR(INDEX(M_RawMaterials[固定週次消費量_要入力],MATCH($A4,M_RawMaterials[Part Name],0)),0)</f>
        <v/>
      </c>
      <c r="AV4">
        <f>SUMPRODUCT((M_BOM[Part Name]=$A4)*M_BOM[RM_Qty_Per_Batch]*IFERROR(INDEX(PP_Grid[#Data],M_BOM[PPGridRow],48),0))+IFERROR(INDEX(M_RawMaterials[固定週次消費量_要入力],MATCH($A4,M_RawMaterials[Part Name],0)),0)</f>
        <v/>
      </c>
      <c r="AW4">
        <f>SUMPRODUCT((M_BOM[Part Name]=$A4)*M_BOM[RM_Qty_Per_Batch]*IFERROR(INDEX(PP_Grid[#Data],M_BOM[PPGridRow],49),0))+IFERROR(INDEX(M_RawMaterials[固定週次消費量_要入力],MATCH($A4,M_RawMaterials[Part Name],0)),0)</f>
        <v/>
      </c>
      <c r="AX4">
        <f>SUMPRODUCT((M_BOM[Part Name]=$A4)*M_BOM[RM_Qty_Per_Batch]*IFERROR(INDEX(PP_Grid[#Data],M_BOM[PPGridRow],50),0))+IFERROR(INDEX(M_RawMaterials[固定週次消費量_要入力],MATCH($A4,M_RawMaterials[Part Name],0)),0)</f>
        <v/>
      </c>
      <c r="AY4">
        <f>SUMPRODUCT((M_BOM[Part Name]=$A4)*M_BOM[RM_Qty_Per_Batch]*IFERROR(INDEX(PP_Grid[#Data],M_BOM[PPGridRow],51),0))+IFERROR(INDEX(M_RawMaterials[固定週次消費量_要入力],MATCH($A4,M_RawMaterials[Part Name],0)),0)</f>
        <v/>
      </c>
      <c r="AZ4">
        <f>SUMPRODUCT((M_BOM[Part Name]=$A4)*M_BOM[RM_Qty_Per_Batch]*IFERROR(INDEX(PP_Grid[#Data],M_BOM[PPGridRow],52),0))+IFERROR(INDEX(M_RawMaterials[固定週次消費量_要入力],MATCH($A4,M_RawMaterials[Part Name],0)),0)</f>
        <v/>
      </c>
      <c r="BA4">
        <f>SUMPRODUCT((M_BOM[Part Name]=$A4)*M_BOM[RM_Qty_Per_Batch]*IFERROR(INDEX(PP_Grid[#Data],M_BOM[PPGridRow],53),0))+IFERROR(INDEX(M_RawMaterials[固定週次消費量_要入力],MATCH($A4,M_RawMaterials[Part Name],0)),0)</f>
        <v/>
      </c>
      <c r="BB4">
        <f>SUMPRODUCT((M_BOM[Part Name]=$A4)*M_BOM[RM_Qty_Per_Batch]*IFERROR(INDEX(PP_Grid[#Data],M_BOM[PPGridRow],54),0))+IFERROR(INDEX(M_RawMaterials[固定週次消費量_要入力],MATCH($A4,M_RawMaterials[Part Name],0)),0)</f>
        <v/>
      </c>
      <c r="BC4">
        <f>SUMPRODUCT((M_BOM[Part Name]=$A4)*M_BOM[RM_Qty_Per_Batch]*IFERROR(INDEX(PP_Grid[#Data],M_BOM[PPGridRow],55),0))+IFERROR(INDEX(M_RawMaterials[固定週次消費量_要入力],MATCH($A4,M_RawMaterials[Part Name],0)),0)</f>
        <v/>
      </c>
      <c r="BD4">
        <f>SUMPRODUCT((M_BOM[Part Name]=$A4)*M_BOM[RM_Qty_Per_Batch]*IFERROR(INDEX(PP_Grid[#Data],M_BOM[PPGridRow],56),0))+IFERROR(INDEX(M_RawMaterials[固定週次消費量_要入力],MATCH($A4,M_RawMaterials[Part Name],0)),0)</f>
        <v/>
      </c>
      <c r="BE4">
        <f>SUMPRODUCT((M_BOM[Part Name]=$A4)*M_BOM[RM_Qty_Per_Batch]*IFERROR(INDEX(PP_Grid[#Data],M_BOM[PPGridRow],57),0))+IFERROR(INDEX(M_RawMaterials[固定週次消費量_要入力],MATCH($A4,M_RawMaterials[Part Name],0)),0)</f>
        <v/>
      </c>
      <c r="BF4">
        <f>SUMPRODUCT((M_BOM[Part Name]=$A4)*M_BOM[RM_Qty_Per_Batch]*IFERROR(INDEX(PP_Grid[#Data],M_BOM[PPGridRow],58),0))+IFERROR(INDEX(M_RawMaterials[固定週次消費量_要入力],MATCH($A4,M_RawMaterials[Part Name],0)),0)</f>
        <v/>
      </c>
      <c r="BG4">
        <f>SUMPRODUCT((M_BOM[Part Name]=$A4)*M_BOM[RM_Qty_Per_Batch]*IFERROR(INDEX(PP_Grid[#Data],M_BOM[PPGridRow],59),0))+IFERROR(INDEX(M_RawMaterials[固定週次消費量_要入力],MATCH($A4,M_RawMaterials[Part Name],0)),0)</f>
        <v/>
      </c>
      <c r="BH4">
        <f>SUMPRODUCT((M_BOM[Part Name]=$A4)*M_BOM[RM_Qty_Per_Batch]*IFERROR(INDEX(PP_Grid[#Data],M_BOM[PPGridRow],60),0))+IFERROR(INDEX(M_RawMaterials[固定週次消費量_要入力],MATCH($A4,M_RawMaterials[Part Name],0)),0)</f>
        <v/>
      </c>
      <c r="BI4">
        <f>SUMPRODUCT((M_BOM[Part Name]=$A4)*M_BOM[RM_Qty_Per_Batch]*IFERROR(INDEX(PP_Grid[#Data],M_BOM[PPGridRow],61),0))+IFERROR(INDEX(M_RawMaterials[固定週次消費量_要入力],MATCH($A4,M_RawMaterials[Part Name],0)),0)</f>
        <v/>
      </c>
      <c r="BJ4">
        <f>SUMPRODUCT((M_BOM[Part Name]=$A4)*M_BOM[RM_Qty_Per_Batch]*IFERROR(INDEX(PP_Grid[#Data],M_BOM[PPGridRow],62),0))+IFERROR(INDEX(M_RawMaterials[固定週次消費量_要入力],MATCH($A4,M_RawMaterials[Part Name],0)),0)</f>
        <v/>
      </c>
      <c r="BK4">
        <f>SUMPRODUCT((M_BOM[Part Name]=$A4)*M_BOM[RM_Qty_Per_Batch]*IFERROR(INDEX(PP_Grid[#Data],M_BOM[PPGridRow],63),0))+IFERROR(INDEX(M_RawMaterials[固定週次消費量_要入力],MATCH($A4,M_RawMaterials[Part Name],0)),0)</f>
        <v/>
      </c>
      <c r="BL4">
        <f>SUMPRODUCT((M_BOM[Part Name]=$A4)*M_BOM[RM_Qty_Per_Batch]*IFERROR(INDEX(PP_Grid[#Data],M_BOM[PPGridRow],64),0))+IFERROR(INDEX(M_RawMaterials[固定週次消費量_要入力],MATCH($A4,M_RawMaterials[Part Name],0)),0)</f>
        <v/>
      </c>
      <c r="BM4">
        <f>SUMPRODUCT((M_BOM[Part Name]=$A4)*M_BOM[RM_Qty_Per_Batch]*IFERROR(INDEX(PP_Grid[#Data],M_BOM[PPGridRow],65),0))+IFERROR(INDEX(M_RawMaterials[固定週次消費量_要入力],MATCH($A4,M_RawMaterials[Part Name],0)),0)</f>
        <v/>
      </c>
      <c r="BN4">
        <f>SUMPRODUCT((M_BOM[Part Name]=$A4)*M_BOM[RM_Qty_Per_Batch]*IFERROR(INDEX(PP_Grid[#Data],M_BOM[PPGridRow],66),0))+IFERROR(INDEX(M_RawMaterials[固定週次消費量_要入力],MATCH($A4,M_RawMaterials[Part Name],0)),0)</f>
        <v/>
      </c>
      <c r="BO4">
        <f>SUMPRODUCT((M_BOM[Part Name]=$A4)*M_BOM[RM_Qty_Per_Batch]*IFERROR(INDEX(PP_Grid[#Data],M_BOM[PPGridRow],67),0))+IFERROR(INDEX(M_RawMaterials[固定週次消費量_要入力],MATCH($A4,M_RawMaterials[Part Name],0)),0)</f>
        <v/>
      </c>
      <c r="BP4">
        <f>SUMPRODUCT((M_BOM[Part Name]=$A4)*M_BOM[RM_Qty_Per_Batch]*IFERROR(INDEX(PP_Grid[#Data],M_BOM[PPGridRow],68),0))+IFERROR(INDEX(M_RawMaterials[固定週次消費量_要入力],MATCH($A4,M_RawMaterials[Part Name],0)),0)</f>
        <v/>
      </c>
      <c r="BQ4">
        <f>SUMPRODUCT((M_BOM[Part Name]=$A4)*M_BOM[RM_Qty_Per_Batch]*IFERROR(INDEX(PP_Grid[#Data],M_BOM[PPGridRow],69),0))+IFERROR(INDEX(M_RawMaterials[固定週次消費量_要入力],MATCH($A4,M_RawMaterials[Part Name],0)),0)</f>
        <v/>
      </c>
      <c r="BR4">
        <f>SUMPRODUCT((M_BOM[Part Name]=$A4)*M_BOM[RM_Qty_Per_Batch]*IFERROR(INDEX(PP_Grid[#Data],M_BOM[PPGridRow],70),0))+IFERROR(INDEX(M_RawMaterials[固定週次消費量_要入力],MATCH($A4,M_RawMaterials[Part Name],0)),0)</f>
        <v/>
      </c>
      <c r="BS4">
        <f>SUMPRODUCT((M_BOM[Part Name]=$A4)*M_BOM[RM_Qty_Per_Batch]*IFERROR(INDEX(PP_Grid[#Data],M_BOM[PPGridRow],71),0))+IFERROR(INDEX(M_RawMaterials[固定週次消費量_要入力],MATCH($A4,M_RawMaterials[Part Name],0)),0)</f>
        <v/>
      </c>
      <c r="BT4">
        <f>SUMPRODUCT((M_BOM[Part Name]=$A4)*M_BOM[RM_Qty_Per_Batch]*IFERROR(INDEX(PP_Grid[#Data],M_BOM[PPGridRow],72),0))+IFERROR(INDEX(M_RawMaterials[固定週次消費量_要入力],MATCH($A4,M_RawMaterials[Part Name],0)),0)</f>
        <v/>
      </c>
      <c r="BU4">
        <f>SUMPRODUCT((M_BOM[Part Name]=$A4)*M_BOM[RM_Qty_Per_Batch]*IFERROR(INDEX(PP_Grid[#Data],M_BOM[PPGridRow],73),0))+IFERROR(INDEX(M_RawMaterials[固定週次消費量_要入力],MATCH($A4,M_RawMaterials[Part Name],0)),0)</f>
        <v/>
      </c>
      <c r="BV4">
        <f>SUMPRODUCT((M_BOM[Part Name]=$A4)*M_BOM[RM_Qty_Per_Batch]*IFERROR(INDEX(PP_Grid[#Data],M_BOM[PPGridRow],74),0))+IFERROR(INDEX(M_RawMaterials[固定週次消費量_要入力],MATCH($A4,M_RawMaterials[Part Name],0)),0)</f>
        <v/>
      </c>
      <c r="BW4">
        <f>SUMPRODUCT((M_BOM[Part Name]=$A4)*M_BOM[RM_Qty_Per_Batch]*IFERROR(INDEX(PP_Grid[#Data],M_BOM[PPGridRow],75),0))+IFERROR(INDEX(M_RawMaterials[固定週次消費量_要入力],MATCH($A4,M_RawMaterials[Part Name],0)),0)</f>
        <v/>
      </c>
      <c r="BX4">
        <f>SUMPRODUCT((M_BOM[Part Name]=$A4)*M_BOM[RM_Qty_Per_Batch]*IFERROR(INDEX(PP_Grid[#Data],M_BOM[PPGridRow],76),0))+IFERROR(INDEX(M_RawMaterials[固定週次消費量_要入力],MATCH($A4,M_RawMaterials[Part Name],0)),0)</f>
        <v/>
      </c>
      <c r="BY4">
        <f>SUMPRODUCT((M_BOM[Part Name]=$A4)*M_BOM[RM_Qty_Per_Batch]*IFERROR(INDEX(PP_Grid[#Data],M_BOM[PPGridRow],77),0))+IFERROR(INDEX(M_RawMaterials[固定週次消費量_要入力],MATCH($A4,M_RawMaterials[Part Name],0)),0)</f>
        <v/>
      </c>
      <c r="BZ4">
        <f>SUMPRODUCT((M_BOM[Part Name]=$A4)*M_BOM[RM_Qty_Per_Batch]*IFERROR(INDEX(PP_Grid[#Data],M_BOM[PPGridRow],78),0))+IFERROR(INDEX(M_RawMaterials[固定週次消費量_要入力],MATCH($A4,M_RawMaterials[Part Name],0)),0)</f>
        <v/>
      </c>
      <c r="CA4">
        <f>SUMPRODUCT((M_BOM[Part Name]=$A4)*M_BOM[RM_Qty_Per_Batch]*IFERROR(INDEX(PP_Grid[#Data],M_BOM[PPGridRow],79),0))+IFERROR(INDEX(M_RawMaterials[固定週次消費量_要入力],MATCH($A4,M_RawMaterials[Part Name],0)),0)</f>
        <v/>
      </c>
      <c r="CB4">
        <f>SUMPRODUCT((M_BOM[Part Name]=$A4)*M_BOM[RM_Qty_Per_Batch]*IFERROR(INDEX(PP_Grid[#Data],M_BOM[PPGridRow],80),0))+IFERROR(INDEX(M_RawMaterials[固定週次消費量_要入力],MATCH($A4,M_RawMaterials[Part Name],0)),0)</f>
        <v/>
      </c>
      <c r="CC4">
        <f>SUMPRODUCT((M_BOM[Part Name]=$A4)*M_BOM[RM_Qty_Per_Batch]*IFERROR(INDEX(PP_Grid[#Data],M_BOM[PPGridRow],81),0))+IFERROR(INDEX(M_RawMaterials[固定週次消費量_要入力],MATCH($A4,M_RawMaterials[Part Name],0)),0)</f>
        <v/>
      </c>
      <c r="CD4">
        <f>SUMPRODUCT((M_BOM[Part Name]=$A4)*M_BOM[RM_Qty_Per_Batch]*IFERROR(INDEX(PP_Grid[#Data],M_BOM[PPGridRow],82),0))+IFERROR(INDEX(M_RawMaterials[固定週次消費量_要入力],MATCH($A4,M_RawMaterials[Part Name],0)),0)</f>
        <v/>
      </c>
      <c r="CE4">
        <f>SUMPRODUCT((M_BOM[Part Name]=$A4)*M_BOM[RM_Qty_Per_Batch]*IFERROR(INDEX(PP_Grid[#Data],M_BOM[PPGridRow],83),0))+IFERROR(INDEX(M_RawMaterials[固定週次消費量_要入力],MATCH($A4,M_RawMaterials[Part Name],0)),0)</f>
        <v/>
      </c>
      <c r="CF4">
        <f>SUMPRODUCT((M_BOM[Part Name]=$A4)*M_BOM[RM_Qty_Per_Batch]*IFERROR(INDEX(PP_Grid[#Data],M_BOM[PPGridRow],84),0))+IFERROR(INDEX(M_RawMaterials[固定週次消費量_要入力],MATCH($A4,M_RawMaterials[Part Name],0)),0)</f>
        <v/>
      </c>
      <c r="CG4">
        <f>SUMPRODUCT((M_BOM[Part Name]=$A4)*M_BOM[RM_Qty_Per_Batch]*IFERROR(INDEX(PP_Grid[#Data],M_BOM[PPGridRow],85),0))+IFERROR(INDEX(M_RawMaterials[固定週次消費量_要入力],MATCH($A4,M_RawMaterials[Part Name],0)),0)</f>
        <v/>
      </c>
      <c r="CH4">
        <f>SUMPRODUCT((M_BOM[Part Name]=$A4)*M_BOM[RM_Qty_Per_Batch]*IFERROR(INDEX(PP_Grid[#Data],M_BOM[PPGridRow],86),0))+IFERROR(INDEX(M_RawMaterials[固定週次消費量_要入力],MATCH($A4,M_RawMaterials[Part Name],0)),0)</f>
        <v/>
      </c>
      <c r="CI4">
        <f>SUMPRODUCT((M_BOM[Part Name]=$A4)*M_BOM[RM_Qty_Per_Batch]*IFERROR(INDEX(PP_Grid[#Data],M_BOM[PPGridRow],87),0))+IFERROR(INDEX(M_RawMaterials[固定週次消費量_要入力],MATCH($A4,M_RawMaterials[Part Name],0)),0)</f>
        <v/>
      </c>
      <c r="CJ4">
        <f>SUMPRODUCT((M_BOM[Part Name]=$A4)*M_BOM[RM_Qty_Per_Batch]*IFERROR(INDEX(PP_Grid[#Data],M_BOM[PPGridRow],88),0))+IFERROR(INDEX(M_RawMaterials[固定週次消費量_要入力],MATCH($A4,M_RawMaterials[Part Name],0)),0)</f>
        <v/>
      </c>
      <c r="CK4">
        <f>SUMPRODUCT((M_BOM[Part Name]=$A4)*M_BOM[RM_Qty_Per_Batch]*IFERROR(INDEX(PP_Grid[#Data],M_BOM[PPGridRow],89),0))+IFERROR(INDEX(M_RawMaterials[固定週次消費量_要入力],MATCH($A4,M_RawMaterials[Part Name],0)),0)</f>
        <v/>
      </c>
      <c r="CL4">
        <f>SUMPRODUCT((M_BOM[Part Name]=$A4)*M_BOM[RM_Qty_Per_Batch]*IFERROR(INDEX(PP_Grid[#Data],M_BOM[PPGridRow],90),0))+IFERROR(INDEX(M_RawMaterials[固定週次消費量_要入力],MATCH($A4,M_RawMaterials[Part Name],0)),0)</f>
        <v/>
      </c>
      <c r="CM4">
        <f>SUMPRODUCT((M_BOM[Part Name]=$A4)*M_BOM[RM_Qty_Per_Batch]*IFERROR(INDEX(PP_Grid[#Data],M_BOM[PPGridRow],91),0))+IFERROR(INDEX(M_RawMaterials[固定週次消費量_要入力],MATCH($A4,M_RawMaterials[Part Name],0)),0)</f>
        <v/>
      </c>
      <c r="CN4">
        <f>SUMPRODUCT((M_BOM[Part Name]=$A4)*M_BOM[RM_Qty_Per_Batch]*IFERROR(INDEX(PP_Grid[#Data],M_BOM[PPGridRow],92),0))+IFERROR(INDEX(M_RawMaterials[固定週次消費量_要入力],MATCH($A4,M_RawMaterials[Part Name],0)),0)</f>
        <v/>
      </c>
      <c r="CO4">
        <f>SUMPRODUCT((M_BOM[Part Name]=$A4)*M_BOM[RM_Qty_Per_Batch]*IFERROR(INDEX(PP_Grid[#Data],M_BOM[PPGridRow],93),0))+IFERROR(INDEX(M_RawMaterials[固定週次消費量_要入力],MATCH($A4,M_RawMaterials[Part Name],0)),0)</f>
        <v/>
      </c>
      <c r="CP4">
        <f>SUMPRODUCT((M_BOM[Part Name]=$A4)*M_BOM[RM_Qty_Per_Batch]*IFERROR(INDEX(PP_Grid[#Data],M_BOM[PPGridRow],94),0))+IFERROR(INDEX(M_RawMaterials[固定週次消費量_要入力],MATCH($A4,M_RawMaterials[Part Name],0)),0)</f>
        <v/>
      </c>
      <c r="CQ4">
        <f>SUMPRODUCT((M_BOM[Part Name]=$A4)*M_BOM[RM_Qty_Per_Batch]*IFERROR(INDEX(PP_Grid[#Data],M_BOM[PPGridRow],95),0))+IFERROR(INDEX(M_RawMaterials[固定週次消費量_要入力],MATCH($A4,M_RawMaterials[Part Name],0)),0)</f>
        <v/>
      </c>
      <c r="CR4">
        <f>SUMPRODUCT((M_BOM[Part Name]=$A4)*M_BOM[RM_Qty_Per_Batch]*IFERROR(INDEX(PP_Grid[#Data],M_BOM[PPGridRow],96),0))+IFERROR(INDEX(M_RawMaterials[固定週次消費量_要入力],MATCH($A4,M_RawMaterials[Part Name],0)),0)</f>
        <v/>
      </c>
      <c r="CS4">
        <f>SUMPRODUCT((M_BOM[Part Name]=$A4)*M_BOM[RM_Qty_Per_Batch]*IFERROR(INDEX(PP_Grid[#Data],M_BOM[PPGridRow],97),0))+IFERROR(INDEX(M_RawMaterials[固定週次消費量_要入力],MATCH($A4,M_RawMaterials[Part Name],0)),0)</f>
        <v/>
      </c>
      <c r="CT4">
        <f>SUMPRODUCT((M_BOM[Part Name]=$A4)*M_BOM[RM_Qty_Per_Batch]*IFERROR(INDEX(PP_Grid[#Data],M_BOM[PPGridRow],98),0))+IFERROR(INDEX(M_RawMaterials[固定週次消費量_要入力],MATCH($A4,M_RawMaterials[Part Name],0)),0)</f>
        <v/>
      </c>
      <c r="CU4">
        <f>SUMPRODUCT((M_BOM[Part Name]=$A4)*M_BOM[RM_Qty_Per_Batch]*IFERROR(INDEX(PP_Grid[#Data],M_BOM[PPGridRow],99),0))+IFERROR(INDEX(M_RawMaterials[固定週次消費量_要入力],MATCH($A4,M_RawMaterials[Part Name],0)),0)</f>
        <v/>
      </c>
      <c r="CV4">
        <f>SUMPRODUCT((M_BOM[Part Name]=$A4)*M_BOM[RM_Qty_Per_Batch]*IFERROR(INDEX(PP_Grid[#Data],M_BOM[PPGridRow],100),0))+IFERROR(INDEX(M_RawMaterials[固定週次消費量_要入力],MATCH($A4,M_RawMaterials[Part Name],0)),0)</f>
        <v/>
      </c>
      <c r="CW4">
        <f>SUMPRODUCT((M_BOM[Part Name]=$A4)*M_BOM[RM_Qty_Per_Batch]*IFERROR(INDEX(PP_Grid[#Data],M_BOM[PPGridRow],101),0))+IFERROR(INDEX(M_RawMaterials[固定週次消費量_要入力],MATCH($A4,M_RawMaterials[Part Name],0)),0)</f>
        <v/>
      </c>
      <c r="CX4">
        <f>SUMPRODUCT((M_BOM[Part Name]=$A4)*M_BOM[RM_Qty_Per_Batch]*IFERROR(INDEX(PP_Grid[#Data],M_BOM[PPGridRow],102),0))+IFERROR(INDEX(M_RawMaterials[固定週次消費量_要入力],MATCH($A4,M_RawMaterials[Part Name],0)),0)</f>
        <v/>
      </c>
      <c r="CY4">
        <f>SUMPRODUCT((M_BOM[Part Name]=$A4)*M_BOM[RM_Qty_Per_Batch]*IFERROR(INDEX(PP_Grid[#Data],M_BOM[PPGridRow],103),0))+IFERROR(INDEX(M_RawMaterials[固定週次消費量_要入力],MATCH($A4,M_RawMaterials[Part Name],0)),0)</f>
        <v/>
      </c>
      <c r="CZ4">
        <f>SUMPRODUCT((M_BOM[Part Name]=$A4)*M_BOM[RM_Qty_Per_Batch]*IFERROR(INDEX(PP_Grid[#Data],M_BOM[PPGridRow],104),0))+IFERROR(INDEX(M_RawMaterials[固定週次消費量_要入力],MATCH($A4,M_RawMaterials[Part Name],0)),0)</f>
        <v/>
      </c>
      <c r="DA4">
        <f>SUMPRODUCT((M_BOM[Part Name]=$A4)*M_BOM[RM_Qty_Per_Batch]*IFERROR(INDEX(PP_Grid[#Data],M_BOM[PPGridRow],105),0))+IFERROR(INDEX(M_RawMaterials[固定週次消費量_要入力],MATCH($A4,M_RawMaterials[Part Name],0)),0)</f>
        <v/>
      </c>
    </row>
    <row r="5">
      <c r="A5" t="inlineStr">
        <is>
          <t>9RN</t>
        </is>
      </c>
      <c r="B5">
        <f>SUMPRODUCT((M_BOM[Part Name]=$A5)*M_BOM[RM_Qty_Per_Batch]*IFERROR(INDEX(PP_Grid[#Data],M_BOM[PPGridRow],2),0))+IFERROR(INDEX(M_RawMaterials[固定週次消費量_要入力],MATCH($A5,M_RawMaterials[Part Name],0)),0)</f>
        <v/>
      </c>
      <c r="C5">
        <f>SUMPRODUCT((M_BOM[Part Name]=$A5)*M_BOM[RM_Qty_Per_Batch]*IFERROR(INDEX(PP_Grid[#Data],M_BOM[PPGridRow],3),0))+IFERROR(INDEX(M_RawMaterials[固定週次消費量_要入力],MATCH($A5,M_RawMaterials[Part Name],0)),0)</f>
        <v/>
      </c>
      <c r="D5">
        <f>SUMPRODUCT((M_BOM[Part Name]=$A5)*M_BOM[RM_Qty_Per_Batch]*IFERROR(INDEX(PP_Grid[#Data],M_BOM[PPGridRow],4),0))+IFERROR(INDEX(M_RawMaterials[固定週次消費量_要入力],MATCH($A5,M_RawMaterials[Part Name],0)),0)</f>
        <v/>
      </c>
      <c r="E5">
        <f>SUMPRODUCT((M_BOM[Part Name]=$A5)*M_BOM[RM_Qty_Per_Batch]*IFERROR(INDEX(PP_Grid[#Data],M_BOM[PPGridRow],5),0))+IFERROR(INDEX(M_RawMaterials[固定週次消費量_要入力],MATCH($A5,M_RawMaterials[Part Name],0)),0)</f>
        <v/>
      </c>
      <c r="F5">
        <f>SUMPRODUCT((M_BOM[Part Name]=$A5)*M_BOM[RM_Qty_Per_Batch]*IFERROR(INDEX(PP_Grid[#Data],M_BOM[PPGridRow],6),0))+IFERROR(INDEX(M_RawMaterials[固定週次消費量_要入力],MATCH($A5,M_RawMaterials[Part Name],0)),0)</f>
        <v/>
      </c>
      <c r="G5">
        <f>SUMPRODUCT((M_BOM[Part Name]=$A5)*M_BOM[RM_Qty_Per_Batch]*IFERROR(INDEX(PP_Grid[#Data],M_BOM[PPGridRow],7),0))+IFERROR(INDEX(M_RawMaterials[固定週次消費量_要入力],MATCH($A5,M_RawMaterials[Part Name],0)),0)</f>
        <v/>
      </c>
      <c r="H5">
        <f>SUMPRODUCT((M_BOM[Part Name]=$A5)*M_BOM[RM_Qty_Per_Batch]*IFERROR(INDEX(PP_Grid[#Data],M_BOM[PPGridRow],8),0))+IFERROR(INDEX(M_RawMaterials[固定週次消費量_要入力],MATCH($A5,M_RawMaterials[Part Name],0)),0)</f>
        <v/>
      </c>
      <c r="I5">
        <f>SUMPRODUCT((M_BOM[Part Name]=$A5)*M_BOM[RM_Qty_Per_Batch]*IFERROR(INDEX(PP_Grid[#Data],M_BOM[PPGridRow],9),0))+IFERROR(INDEX(M_RawMaterials[固定週次消費量_要入力],MATCH($A5,M_RawMaterials[Part Name],0)),0)</f>
        <v/>
      </c>
      <c r="J5">
        <f>SUMPRODUCT((M_BOM[Part Name]=$A5)*M_BOM[RM_Qty_Per_Batch]*IFERROR(INDEX(PP_Grid[#Data],M_BOM[PPGridRow],10),0))+IFERROR(INDEX(M_RawMaterials[固定週次消費量_要入力],MATCH($A5,M_RawMaterials[Part Name],0)),0)</f>
        <v/>
      </c>
      <c r="K5">
        <f>SUMPRODUCT((M_BOM[Part Name]=$A5)*M_BOM[RM_Qty_Per_Batch]*IFERROR(INDEX(PP_Grid[#Data],M_BOM[PPGridRow],11),0))+IFERROR(INDEX(M_RawMaterials[固定週次消費量_要入力],MATCH($A5,M_RawMaterials[Part Name],0)),0)</f>
        <v/>
      </c>
      <c r="L5">
        <f>SUMPRODUCT((M_BOM[Part Name]=$A5)*M_BOM[RM_Qty_Per_Batch]*IFERROR(INDEX(PP_Grid[#Data],M_BOM[PPGridRow],12),0))+IFERROR(INDEX(M_RawMaterials[固定週次消費量_要入力],MATCH($A5,M_RawMaterials[Part Name],0)),0)</f>
        <v/>
      </c>
      <c r="M5">
        <f>SUMPRODUCT((M_BOM[Part Name]=$A5)*M_BOM[RM_Qty_Per_Batch]*IFERROR(INDEX(PP_Grid[#Data],M_BOM[PPGridRow],13),0))+IFERROR(INDEX(M_RawMaterials[固定週次消費量_要入力],MATCH($A5,M_RawMaterials[Part Name],0)),0)</f>
        <v/>
      </c>
      <c r="N5">
        <f>SUMPRODUCT((M_BOM[Part Name]=$A5)*M_BOM[RM_Qty_Per_Batch]*IFERROR(INDEX(PP_Grid[#Data],M_BOM[PPGridRow],14),0))+IFERROR(INDEX(M_RawMaterials[固定週次消費量_要入力],MATCH($A5,M_RawMaterials[Part Name],0)),0)</f>
        <v/>
      </c>
      <c r="O5">
        <f>SUMPRODUCT((M_BOM[Part Name]=$A5)*M_BOM[RM_Qty_Per_Batch]*IFERROR(INDEX(PP_Grid[#Data],M_BOM[PPGridRow],15),0))+IFERROR(INDEX(M_RawMaterials[固定週次消費量_要入力],MATCH($A5,M_RawMaterials[Part Name],0)),0)</f>
        <v/>
      </c>
      <c r="P5">
        <f>SUMPRODUCT((M_BOM[Part Name]=$A5)*M_BOM[RM_Qty_Per_Batch]*IFERROR(INDEX(PP_Grid[#Data],M_BOM[PPGridRow],16),0))+IFERROR(INDEX(M_RawMaterials[固定週次消費量_要入力],MATCH($A5,M_RawMaterials[Part Name],0)),0)</f>
        <v/>
      </c>
      <c r="Q5">
        <f>SUMPRODUCT((M_BOM[Part Name]=$A5)*M_BOM[RM_Qty_Per_Batch]*IFERROR(INDEX(PP_Grid[#Data],M_BOM[PPGridRow],17),0))+IFERROR(INDEX(M_RawMaterials[固定週次消費量_要入力],MATCH($A5,M_RawMaterials[Part Name],0)),0)</f>
        <v/>
      </c>
      <c r="R5">
        <f>SUMPRODUCT((M_BOM[Part Name]=$A5)*M_BOM[RM_Qty_Per_Batch]*IFERROR(INDEX(PP_Grid[#Data],M_BOM[PPGridRow],18),0))+IFERROR(INDEX(M_RawMaterials[固定週次消費量_要入力],MATCH($A5,M_RawMaterials[Part Name],0)),0)</f>
        <v/>
      </c>
      <c r="S5">
        <f>SUMPRODUCT((M_BOM[Part Name]=$A5)*M_BOM[RM_Qty_Per_Batch]*IFERROR(INDEX(PP_Grid[#Data],M_BOM[PPGridRow],19),0))+IFERROR(INDEX(M_RawMaterials[固定週次消費量_要入力],MATCH($A5,M_RawMaterials[Part Name],0)),0)</f>
        <v/>
      </c>
      <c r="T5">
        <f>SUMPRODUCT((M_BOM[Part Name]=$A5)*M_BOM[RM_Qty_Per_Batch]*IFERROR(INDEX(PP_Grid[#Data],M_BOM[PPGridRow],20),0))+IFERROR(INDEX(M_RawMaterials[固定週次消費量_要入力],MATCH($A5,M_RawMaterials[Part Name],0)),0)</f>
        <v/>
      </c>
      <c r="U5">
        <f>SUMPRODUCT((M_BOM[Part Name]=$A5)*M_BOM[RM_Qty_Per_Batch]*IFERROR(INDEX(PP_Grid[#Data],M_BOM[PPGridRow],21),0))+IFERROR(INDEX(M_RawMaterials[固定週次消費量_要入力],MATCH($A5,M_RawMaterials[Part Name],0)),0)</f>
        <v/>
      </c>
      <c r="V5">
        <f>SUMPRODUCT((M_BOM[Part Name]=$A5)*M_BOM[RM_Qty_Per_Batch]*IFERROR(INDEX(PP_Grid[#Data],M_BOM[PPGridRow],22),0))+IFERROR(INDEX(M_RawMaterials[固定週次消費量_要入力],MATCH($A5,M_RawMaterials[Part Name],0)),0)</f>
        <v/>
      </c>
      <c r="W5">
        <f>SUMPRODUCT((M_BOM[Part Name]=$A5)*M_BOM[RM_Qty_Per_Batch]*IFERROR(INDEX(PP_Grid[#Data],M_BOM[PPGridRow],23),0))+IFERROR(INDEX(M_RawMaterials[固定週次消費量_要入力],MATCH($A5,M_RawMaterials[Part Name],0)),0)</f>
        <v/>
      </c>
      <c r="X5">
        <f>SUMPRODUCT((M_BOM[Part Name]=$A5)*M_BOM[RM_Qty_Per_Batch]*IFERROR(INDEX(PP_Grid[#Data],M_BOM[PPGridRow],24),0))+IFERROR(INDEX(M_RawMaterials[固定週次消費量_要入力],MATCH($A5,M_RawMaterials[Part Name],0)),0)</f>
        <v/>
      </c>
      <c r="Y5">
        <f>SUMPRODUCT((M_BOM[Part Name]=$A5)*M_BOM[RM_Qty_Per_Batch]*IFERROR(INDEX(PP_Grid[#Data],M_BOM[PPGridRow],25),0))+IFERROR(INDEX(M_RawMaterials[固定週次消費量_要入力],MATCH($A5,M_RawMaterials[Part Name],0)),0)</f>
        <v/>
      </c>
      <c r="Z5">
        <f>SUMPRODUCT((M_BOM[Part Name]=$A5)*M_BOM[RM_Qty_Per_Batch]*IFERROR(INDEX(PP_Grid[#Data],M_BOM[PPGridRow],26),0))+IFERROR(INDEX(M_RawMaterials[固定週次消費量_要入力],MATCH($A5,M_RawMaterials[Part Name],0)),0)</f>
        <v/>
      </c>
      <c r="AA5">
        <f>SUMPRODUCT((M_BOM[Part Name]=$A5)*M_BOM[RM_Qty_Per_Batch]*IFERROR(INDEX(PP_Grid[#Data],M_BOM[PPGridRow],27),0))+IFERROR(INDEX(M_RawMaterials[固定週次消費量_要入力],MATCH($A5,M_RawMaterials[Part Name],0)),0)</f>
        <v/>
      </c>
      <c r="AB5">
        <f>SUMPRODUCT((M_BOM[Part Name]=$A5)*M_BOM[RM_Qty_Per_Batch]*IFERROR(INDEX(PP_Grid[#Data],M_BOM[PPGridRow],28),0))+IFERROR(INDEX(M_RawMaterials[固定週次消費量_要入力],MATCH($A5,M_RawMaterials[Part Name],0)),0)</f>
        <v/>
      </c>
      <c r="AC5">
        <f>SUMPRODUCT((M_BOM[Part Name]=$A5)*M_BOM[RM_Qty_Per_Batch]*IFERROR(INDEX(PP_Grid[#Data],M_BOM[PPGridRow],29),0))+IFERROR(INDEX(M_RawMaterials[固定週次消費量_要入力],MATCH($A5,M_RawMaterials[Part Name],0)),0)</f>
        <v/>
      </c>
      <c r="AD5">
        <f>SUMPRODUCT((M_BOM[Part Name]=$A5)*M_BOM[RM_Qty_Per_Batch]*IFERROR(INDEX(PP_Grid[#Data],M_BOM[PPGridRow],30),0))+IFERROR(INDEX(M_RawMaterials[固定週次消費量_要入力],MATCH($A5,M_RawMaterials[Part Name],0)),0)</f>
        <v/>
      </c>
      <c r="AE5">
        <f>SUMPRODUCT((M_BOM[Part Name]=$A5)*M_BOM[RM_Qty_Per_Batch]*IFERROR(INDEX(PP_Grid[#Data],M_BOM[PPGridRow],31),0))+IFERROR(INDEX(M_RawMaterials[固定週次消費量_要入力],MATCH($A5,M_RawMaterials[Part Name],0)),0)</f>
        <v/>
      </c>
      <c r="AF5">
        <f>SUMPRODUCT((M_BOM[Part Name]=$A5)*M_BOM[RM_Qty_Per_Batch]*IFERROR(INDEX(PP_Grid[#Data],M_BOM[PPGridRow],32),0))+IFERROR(INDEX(M_RawMaterials[固定週次消費量_要入力],MATCH($A5,M_RawMaterials[Part Name],0)),0)</f>
        <v/>
      </c>
      <c r="AG5">
        <f>SUMPRODUCT((M_BOM[Part Name]=$A5)*M_BOM[RM_Qty_Per_Batch]*IFERROR(INDEX(PP_Grid[#Data],M_BOM[PPGridRow],33),0))+IFERROR(INDEX(M_RawMaterials[固定週次消費量_要入力],MATCH($A5,M_RawMaterials[Part Name],0)),0)</f>
        <v/>
      </c>
      <c r="AH5">
        <f>SUMPRODUCT((M_BOM[Part Name]=$A5)*M_BOM[RM_Qty_Per_Batch]*IFERROR(INDEX(PP_Grid[#Data],M_BOM[PPGridRow],34),0))+IFERROR(INDEX(M_RawMaterials[固定週次消費量_要入力],MATCH($A5,M_RawMaterials[Part Name],0)),0)</f>
        <v/>
      </c>
      <c r="AI5">
        <f>SUMPRODUCT((M_BOM[Part Name]=$A5)*M_BOM[RM_Qty_Per_Batch]*IFERROR(INDEX(PP_Grid[#Data],M_BOM[PPGridRow],35),0))+IFERROR(INDEX(M_RawMaterials[固定週次消費量_要入力],MATCH($A5,M_RawMaterials[Part Name],0)),0)</f>
        <v/>
      </c>
      <c r="AJ5">
        <f>SUMPRODUCT((M_BOM[Part Name]=$A5)*M_BOM[RM_Qty_Per_Batch]*IFERROR(INDEX(PP_Grid[#Data],M_BOM[PPGridRow],36),0))+IFERROR(INDEX(M_RawMaterials[固定週次消費量_要入力],MATCH($A5,M_RawMaterials[Part Name],0)),0)</f>
        <v/>
      </c>
      <c r="AK5">
        <f>SUMPRODUCT((M_BOM[Part Name]=$A5)*M_BOM[RM_Qty_Per_Batch]*IFERROR(INDEX(PP_Grid[#Data],M_BOM[PPGridRow],37),0))+IFERROR(INDEX(M_RawMaterials[固定週次消費量_要入力],MATCH($A5,M_RawMaterials[Part Name],0)),0)</f>
        <v/>
      </c>
      <c r="AL5">
        <f>SUMPRODUCT((M_BOM[Part Name]=$A5)*M_BOM[RM_Qty_Per_Batch]*IFERROR(INDEX(PP_Grid[#Data],M_BOM[PPGridRow],38),0))+IFERROR(INDEX(M_RawMaterials[固定週次消費量_要入力],MATCH($A5,M_RawMaterials[Part Name],0)),0)</f>
        <v/>
      </c>
      <c r="AM5">
        <f>SUMPRODUCT((M_BOM[Part Name]=$A5)*M_BOM[RM_Qty_Per_Batch]*IFERROR(INDEX(PP_Grid[#Data],M_BOM[PPGridRow],39),0))+IFERROR(INDEX(M_RawMaterials[固定週次消費量_要入力],MATCH($A5,M_RawMaterials[Part Name],0)),0)</f>
        <v/>
      </c>
      <c r="AN5">
        <f>SUMPRODUCT((M_BOM[Part Name]=$A5)*M_BOM[RM_Qty_Per_Batch]*IFERROR(INDEX(PP_Grid[#Data],M_BOM[PPGridRow],40),0))+IFERROR(INDEX(M_RawMaterials[固定週次消費量_要入力],MATCH($A5,M_RawMaterials[Part Name],0)),0)</f>
        <v/>
      </c>
      <c r="AO5">
        <f>SUMPRODUCT((M_BOM[Part Name]=$A5)*M_BOM[RM_Qty_Per_Batch]*IFERROR(INDEX(PP_Grid[#Data],M_BOM[PPGridRow],41),0))+IFERROR(INDEX(M_RawMaterials[固定週次消費量_要入力],MATCH($A5,M_RawMaterials[Part Name],0)),0)</f>
        <v/>
      </c>
      <c r="AP5">
        <f>SUMPRODUCT((M_BOM[Part Name]=$A5)*M_BOM[RM_Qty_Per_Batch]*IFERROR(INDEX(PP_Grid[#Data],M_BOM[PPGridRow],42),0))+IFERROR(INDEX(M_RawMaterials[固定週次消費量_要入力],MATCH($A5,M_RawMaterials[Part Name],0)),0)</f>
        <v/>
      </c>
      <c r="AQ5">
        <f>SUMPRODUCT((M_BOM[Part Name]=$A5)*M_BOM[RM_Qty_Per_Batch]*IFERROR(INDEX(PP_Grid[#Data],M_BOM[PPGridRow],43),0))+IFERROR(INDEX(M_RawMaterials[固定週次消費量_要入力],MATCH($A5,M_RawMaterials[Part Name],0)),0)</f>
        <v/>
      </c>
      <c r="AR5">
        <f>SUMPRODUCT((M_BOM[Part Name]=$A5)*M_BOM[RM_Qty_Per_Batch]*IFERROR(INDEX(PP_Grid[#Data],M_BOM[PPGridRow],44),0))+IFERROR(INDEX(M_RawMaterials[固定週次消費量_要入力],MATCH($A5,M_RawMaterials[Part Name],0)),0)</f>
        <v/>
      </c>
      <c r="AS5">
        <f>SUMPRODUCT((M_BOM[Part Name]=$A5)*M_BOM[RM_Qty_Per_Batch]*IFERROR(INDEX(PP_Grid[#Data],M_BOM[PPGridRow],45),0))+IFERROR(INDEX(M_RawMaterials[固定週次消費量_要入力],MATCH($A5,M_RawMaterials[Part Name],0)),0)</f>
        <v/>
      </c>
      <c r="AT5">
        <f>SUMPRODUCT((M_BOM[Part Name]=$A5)*M_BOM[RM_Qty_Per_Batch]*IFERROR(INDEX(PP_Grid[#Data],M_BOM[PPGridRow],46),0))+IFERROR(INDEX(M_RawMaterials[固定週次消費量_要入力],MATCH($A5,M_RawMaterials[Part Name],0)),0)</f>
        <v/>
      </c>
      <c r="AU5">
        <f>SUMPRODUCT((M_BOM[Part Name]=$A5)*M_BOM[RM_Qty_Per_Batch]*IFERROR(INDEX(PP_Grid[#Data],M_BOM[PPGridRow],47),0))+IFERROR(INDEX(M_RawMaterials[固定週次消費量_要入力],MATCH($A5,M_RawMaterials[Part Name],0)),0)</f>
        <v/>
      </c>
      <c r="AV5">
        <f>SUMPRODUCT((M_BOM[Part Name]=$A5)*M_BOM[RM_Qty_Per_Batch]*IFERROR(INDEX(PP_Grid[#Data],M_BOM[PPGridRow],48),0))+IFERROR(INDEX(M_RawMaterials[固定週次消費量_要入力],MATCH($A5,M_RawMaterials[Part Name],0)),0)</f>
        <v/>
      </c>
      <c r="AW5">
        <f>SUMPRODUCT((M_BOM[Part Name]=$A5)*M_BOM[RM_Qty_Per_Batch]*IFERROR(INDEX(PP_Grid[#Data],M_BOM[PPGridRow],49),0))+IFERROR(INDEX(M_RawMaterials[固定週次消費量_要入力],MATCH($A5,M_RawMaterials[Part Name],0)),0)</f>
        <v/>
      </c>
      <c r="AX5">
        <f>SUMPRODUCT((M_BOM[Part Name]=$A5)*M_BOM[RM_Qty_Per_Batch]*IFERROR(INDEX(PP_Grid[#Data],M_BOM[PPGridRow],50),0))+IFERROR(INDEX(M_RawMaterials[固定週次消費量_要入力],MATCH($A5,M_RawMaterials[Part Name],0)),0)</f>
        <v/>
      </c>
      <c r="AY5">
        <f>SUMPRODUCT((M_BOM[Part Name]=$A5)*M_BOM[RM_Qty_Per_Batch]*IFERROR(INDEX(PP_Grid[#Data],M_BOM[PPGridRow],51),0))+IFERROR(INDEX(M_RawMaterials[固定週次消費量_要入力],MATCH($A5,M_RawMaterials[Part Name],0)),0)</f>
        <v/>
      </c>
      <c r="AZ5">
        <f>SUMPRODUCT((M_BOM[Part Name]=$A5)*M_BOM[RM_Qty_Per_Batch]*IFERROR(INDEX(PP_Grid[#Data],M_BOM[PPGridRow],52),0))+IFERROR(INDEX(M_RawMaterials[固定週次消費量_要入力],MATCH($A5,M_RawMaterials[Part Name],0)),0)</f>
        <v/>
      </c>
      <c r="BA5">
        <f>SUMPRODUCT((M_BOM[Part Name]=$A5)*M_BOM[RM_Qty_Per_Batch]*IFERROR(INDEX(PP_Grid[#Data],M_BOM[PPGridRow],53),0))+IFERROR(INDEX(M_RawMaterials[固定週次消費量_要入力],MATCH($A5,M_RawMaterials[Part Name],0)),0)</f>
        <v/>
      </c>
      <c r="BB5">
        <f>SUMPRODUCT((M_BOM[Part Name]=$A5)*M_BOM[RM_Qty_Per_Batch]*IFERROR(INDEX(PP_Grid[#Data],M_BOM[PPGridRow],54),0))+IFERROR(INDEX(M_RawMaterials[固定週次消費量_要入力],MATCH($A5,M_RawMaterials[Part Name],0)),0)</f>
        <v/>
      </c>
      <c r="BC5">
        <f>SUMPRODUCT((M_BOM[Part Name]=$A5)*M_BOM[RM_Qty_Per_Batch]*IFERROR(INDEX(PP_Grid[#Data],M_BOM[PPGridRow],55),0))+IFERROR(INDEX(M_RawMaterials[固定週次消費量_要入力],MATCH($A5,M_RawMaterials[Part Name],0)),0)</f>
        <v/>
      </c>
      <c r="BD5">
        <f>SUMPRODUCT((M_BOM[Part Name]=$A5)*M_BOM[RM_Qty_Per_Batch]*IFERROR(INDEX(PP_Grid[#Data],M_BOM[PPGridRow],56),0))+IFERROR(INDEX(M_RawMaterials[固定週次消費量_要入力],MATCH($A5,M_RawMaterials[Part Name],0)),0)</f>
        <v/>
      </c>
      <c r="BE5">
        <f>SUMPRODUCT((M_BOM[Part Name]=$A5)*M_BOM[RM_Qty_Per_Batch]*IFERROR(INDEX(PP_Grid[#Data],M_BOM[PPGridRow],57),0))+IFERROR(INDEX(M_RawMaterials[固定週次消費量_要入力],MATCH($A5,M_RawMaterials[Part Name],0)),0)</f>
        <v/>
      </c>
      <c r="BF5">
        <f>SUMPRODUCT((M_BOM[Part Name]=$A5)*M_BOM[RM_Qty_Per_Batch]*IFERROR(INDEX(PP_Grid[#Data],M_BOM[PPGridRow],58),0))+IFERROR(INDEX(M_RawMaterials[固定週次消費量_要入力],MATCH($A5,M_RawMaterials[Part Name],0)),0)</f>
        <v/>
      </c>
      <c r="BG5">
        <f>SUMPRODUCT((M_BOM[Part Name]=$A5)*M_BOM[RM_Qty_Per_Batch]*IFERROR(INDEX(PP_Grid[#Data],M_BOM[PPGridRow],59),0))+IFERROR(INDEX(M_RawMaterials[固定週次消費量_要入力],MATCH($A5,M_RawMaterials[Part Name],0)),0)</f>
        <v/>
      </c>
      <c r="BH5">
        <f>SUMPRODUCT((M_BOM[Part Name]=$A5)*M_BOM[RM_Qty_Per_Batch]*IFERROR(INDEX(PP_Grid[#Data],M_BOM[PPGridRow],60),0))+IFERROR(INDEX(M_RawMaterials[固定週次消費量_要入力],MATCH($A5,M_RawMaterials[Part Name],0)),0)</f>
        <v/>
      </c>
      <c r="BI5">
        <f>SUMPRODUCT((M_BOM[Part Name]=$A5)*M_BOM[RM_Qty_Per_Batch]*IFERROR(INDEX(PP_Grid[#Data],M_BOM[PPGridRow],61),0))+IFERROR(INDEX(M_RawMaterials[固定週次消費量_要入力],MATCH($A5,M_RawMaterials[Part Name],0)),0)</f>
        <v/>
      </c>
      <c r="BJ5">
        <f>SUMPRODUCT((M_BOM[Part Name]=$A5)*M_BOM[RM_Qty_Per_Batch]*IFERROR(INDEX(PP_Grid[#Data],M_BOM[PPGridRow],62),0))+IFERROR(INDEX(M_RawMaterials[固定週次消費量_要入力],MATCH($A5,M_RawMaterials[Part Name],0)),0)</f>
        <v/>
      </c>
      <c r="BK5">
        <f>SUMPRODUCT((M_BOM[Part Name]=$A5)*M_BOM[RM_Qty_Per_Batch]*IFERROR(INDEX(PP_Grid[#Data],M_BOM[PPGridRow],63),0))+IFERROR(INDEX(M_RawMaterials[固定週次消費量_要入力],MATCH($A5,M_RawMaterials[Part Name],0)),0)</f>
        <v/>
      </c>
      <c r="BL5">
        <f>SUMPRODUCT((M_BOM[Part Name]=$A5)*M_BOM[RM_Qty_Per_Batch]*IFERROR(INDEX(PP_Grid[#Data],M_BOM[PPGridRow],64),0))+IFERROR(INDEX(M_RawMaterials[固定週次消費量_要入力],MATCH($A5,M_RawMaterials[Part Name],0)),0)</f>
        <v/>
      </c>
      <c r="BM5">
        <f>SUMPRODUCT((M_BOM[Part Name]=$A5)*M_BOM[RM_Qty_Per_Batch]*IFERROR(INDEX(PP_Grid[#Data],M_BOM[PPGridRow],65),0))+IFERROR(INDEX(M_RawMaterials[固定週次消費量_要入力],MATCH($A5,M_RawMaterials[Part Name],0)),0)</f>
        <v/>
      </c>
      <c r="BN5">
        <f>SUMPRODUCT((M_BOM[Part Name]=$A5)*M_BOM[RM_Qty_Per_Batch]*IFERROR(INDEX(PP_Grid[#Data],M_BOM[PPGridRow],66),0))+IFERROR(INDEX(M_RawMaterials[固定週次消費量_要入力],MATCH($A5,M_RawMaterials[Part Name],0)),0)</f>
        <v/>
      </c>
      <c r="BO5">
        <f>SUMPRODUCT((M_BOM[Part Name]=$A5)*M_BOM[RM_Qty_Per_Batch]*IFERROR(INDEX(PP_Grid[#Data],M_BOM[PPGridRow],67),0))+IFERROR(INDEX(M_RawMaterials[固定週次消費量_要入力],MATCH($A5,M_RawMaterials[Part Name],0)),0)</f>
        <v/>
      </c>
      <c r="BP5">
        <f>SUMPRODUCT((M_BOM[Part Name]=$A5)*M_BOM[RM_Qty_Per_Batch]*IFERROR(INDEX(PP_Grid[#Data],M_BOM[PPGridRow],68),0))+IFERROR(INDEX(M_RawMaterials[固定週次消費量_要入力],MATCH($A5,M_RawMaterials[Part Name],0)),0)</f>
        <v/>
      </c>
      <c r="BQ5">
        <f>SUMPRODUCT((M_BOM[Part Name]=$A5)*M_BOM[RM_Qty_Per_Batch]*IFERROR(INDEX(PP_Grid[#Data],M_BOM[PPGridRow],69),0))+IFERROR(INDEX(M_RawMaterials[固定週次消費量_要入力],MATCH($A5,M_RawMaterials[Part Name],0)),0)</f>
        <v/>
      </c>
      <c r="BR5">
        <f>SUMPRODUCT((M_BOM[Part Name]=$A5)*M_BOM[RM_Qty_Per_Batch]*IFERROR(INDEX(PP_Grid[#Data],M_BOM[PPGridRow],70),0))+IFERROR(INDEX(M_RawMaterials[固定週次消費量_要入力],MATCH($A5,M_RawMaterials[Part Name],0)),0)</f>
        <v/>
      </c>
      <c r="BS5">
        <f>SUMPRODUCT((M_BOM[Part Name]=$A5)*M_BOM[RM_Qty_Per_Batch]*IFERROR(INDEX(PP_Grid[#Data],M_BOM[PPGridRow],71),0))+IFERROR(INDEX(M_RawMaterials[固定週次消費量_要入力],MATCH($A5,M_RawMaterials[Part Name],0)),0)</f>
        <v/>
      </c>
      <c r="BT5">
        <f>SUMPRODUCT((M_BOM[Part Name]=$A5)*M_BOM[RM_Qty_Per_Batch]*IFERROR(INDEX(PP_Grid[#Data],M_BOM[PPGridRow],72),0))+IFERROR(INDEX(M_RawMaterials[固定週次消費量_要入力],MATCH($A5,M_RawMaterials[Part Name],0)),0)</f>
        <v/>
      </c>
      <c r="BU5">
        <f>SUMPRODUCT((M_BOM[Part Name]=$A5)*M_BOM[RM_Qty_Per_Batch]*IFERROR(INDEX(PP_Grid[#Data],M_BOM[PPGridRow],73),0))+IFERROR(INDEX(M_RawMaterials[固定週次消費量_要入力],MATCH($A5,M_RawMaterials[Part Name],0)),0)</f>
        <v/>
      </c>
      <c r="BV5">
        <f>SUMPRODUCT((M_BOM[Part Name]=$A5)*M_BOM[RM_Qty_Per_Batch]*IFERROR(INDEX(PP_Grid[#Data],M_BOM[PPGridRow],74),0))+IFERROR(INDEX(M_RawMaterials[固定週次消費量_要入力],MATCH($A5,M_RawMaterials[Part Name],0)),0)</f>
        <v/>
      </c>
      <c r="BW5">
        <f>SUMPRODUCT((M_BOM[Part Name]=$A5)*M_BOM[RM_Qty_Per_Batch]*IFERROR(INDEX(PP_Grid[#Data],M_BOM[PPGridRow],75),0))+IFERROR(INDEX(M_RawMaterials[固定週次消費量_要入力],MATCH($A5,M_RawMaterials[Part Name],0)),0)</f>
        <v/>
      </c>
      <c r="BX5">
        <f>SUMPRODUCT((M_BOM[Part Name]=$A5)*M_BOM[RM_Qty_Per_Batch]*IFERROR(INDEX(PP_Grid[#Data],M_BOM[PPGridRow],76),0))+IFERROR(INDEX(M_RawMaterials[固定週次消費量_要入力],MATCH($A5,M_RawMaterials[Part Name],0)),0)</f>
        <v/>
      </c>
      <c r="BY5">
        <f>SUMPRODUCT((M_BOM[Part Name]=$A5)*M_BOM[RM_Qty_Per_Batch]*IFERROR(INDEX(PP_Grid[#Data],M_BOM[PPGridRow],77),0))+IFERROR(INDEX(M_RawMaterials[固定週次消費量_要入力],MATCH($A5,M_RawMaterials[Part Name],0)),0)</f>
        <v/>
      </c>
      <c r="BZ5">
        <f>SUMPRODUCT((M_BOM[Part Name]=$A5)*M_BOM[RM_Qty_Per_Batch]*IFERROR(INDEX(PP_Grid[#Data],M_BOM[PPGridRow],78),0))+IFERROR(INDEX(M_RawMaterials[固定週次消費量_要入力],MATCH($A5,M_RawMaterials[Part Name],0)),0)</f>
        <v/>
      </c>
      <c r="CA5">
        <f>SUMPRODUCT((M_BOM[Part Name]=$A5)*M_BOM[RM_Qty_Per_Batch]*IFERROR(INDEX(PP_Grid[#Data],M_BOM[PPGridRow],79),0))+IFERROR(INDEX(M_RawMaterials[固定週次消費量_要入力],MATCH($A5,M_RawMaterials[Part Name],0)),0)</f>
        <v/>
      </c>
      <c r="CB5">
        <f>SUMPRODUCT((M_BOM[Part Name]=$A5)*M_BOM[RM_Qty_Per_Batch]*IFERROR(INDEX(PP_Grid[#Data],M_BOM[PPGridRow],80),0))+IFERROR(INDEX(M_RawMaterials[固定週次消費量_要入力],MATCH($A5,M_RawMaterials[Part Name],0)),0)</f>
        <v/>
      </c>
      <c r="CC5">
        <f>SUMPRODUCT((M_BOM[Part Name]=$A5)*M_BOM[RM_Qty_Per_Batch]*IFERROR(INDEX(PP_Grid[#Data],M_BOM[PPGridRow],81),0))+IFERROR(INDEX(M_RawMaterials[固定週次消費量_要入力],MATCH($A5,M_RawMaterials[Part Name],0)),0)</f>
        <v/>
      </c>
      <c r="CD5">
        <f>SUMPRODUCT((M_BOM[Part Name]=$A5)*M_BOM[RM_Qty_Per_Batch]*IFERROR(INDEX(PP_Grid[#Data],M_BOM[PPGridRow],82),0))+IFERROR(INDEX(M_RawMaterials[固定週次消費量_要入力],MATCH($A5,M_RawMaterials[Part Name],0)),0)</f>
        <v/>
      </c>
      <c r="CE5">
        <f>SUMPRODUCT((M_BOM[Part Name]=$A5)*M_BOM[RM_Qty_Per_Batch]*IFERROR(INDEX(PP_Grid[#Data],M_BOM[PPGridRow],83),0))+IFERROR(INDEX(M_RawMaterials[固定週次消費量_要入力],MATCH($A5,M_RawMaterials[Part Name],0)),0)</f>
        <v/>
      </c>
      <c r="CF5">
        <f>SUMPRODUCT((M_BOM[Part Name]=$A5)*M_BOM[RM_Qty_Per_Batch]*IFERROR(INDEX(PP_Grid[#Data],M_BOM[PPGridRow],84),0))+IFERROR(INDEX(M_RawMaterials[固定週次消費量_要入力],MATCH($A5,M_RawMaterials[Part Name],0)),0)</f>
        <v/>
      </c>
      <c r="CG5">
        <f>SUMPRODUCT((M_BOM[Part Name]=$A5)*M_BOM[RM_Qty_Per_Batch]*IFERROR(INDEX(PP_Grid[#Data],M_BOM[PPGridRow],85),0))+IFERROR(INDEX(M_RawMaterials[固定週次消費量_要入力],MATCH($A5,M_RawMaterials[Part Name],0)),0)</f>
        <v/>
      </c>
      <c r="CH5">
        <f>SUMPRODUCT((M_BOM[Part Name]=$A5)*M_BOM[RM_Qty_Per_Batch]*IFERROR(INDEX(PP_Grid[#Data],M_BOM[PPGridRow],86),0))+IFERROR(INDEX(M_RawMaterials[固定週次消費量_要入力],MATCH($A5,M_RawMaterials[Part Name],0)),0)</f>
        <v/>
      </c>
      <c r="CI5">
        <f>SUMPRODUCT((M_BOM[Part Name]=$A5)*M_BOM[RM_Qty_Per_Batch]*IFERROR(INDEX(PP_Grid[#Data],M_BOM[PPGridRow],87),0))+IFERROR(INDEX(M_RawMaterials[固定週次消費量_要入力],MATCH($A5,M_RawMaterials[Part Name],0)),0)</f>
        <v/>
      </c>
      <c r="CJ5">
        <f>SUMPRODUCT((M_BOM[Part Name]=$A5)*M_BOM[RM_Qty_Per_Batch]*IFERROR(INDEX(PP_Grid[#Data],M_BOM[PPGridRow],88),0))+IFERROR(INDEX(M_RawMaterials[固定週次消費量_要入力],MATCH($A5,M_RawMaterials[Part Name],0)),0)</f>
        <v/>
      </c>
      <c r="CK5">
        <f>SUMPRODUCT((M_BOM[Part Name]=$A5)*M_BOM[RM_Qty_Per_Batch]*IFERROR(INDEX(PP_Grid[#Data],M_BOM[PPGridRow],89),0))+IFERROR(INDEX(M_RawMaterials[固定週次消費量_要入力],MATCH($A5,M_RawMaterials[Part Name],0)),0)</f>
        <v/>
      </c>
      <c r="CL5">
        <f>SUMPRODUCT((M_BOM[Part Name]=$A5)*M_BOM[RM_Qty_Per_Batch]*IFERROR(INDEX(PP_Grid[#Data],M_BOM[PPGridRow],90),0))+IFERROR(INDEX(M_RawMaterials[固定週次消費量_要入力],MATCH($A5,M_RawMaterials[Part Name],0)),0)</f>
        <v/>
      </c>
      <c r="CM5">
        <f>SUMPRODUCT((M_BOM[Part Name]=$A5)*M_BOM[RM_Qty_Per_Batch]*IFERROR(INDEX(PP_Grid[#Data],M_BOM[PPGridRow],91),0))+IFERROR(INDEX(M_RawMaterials[固定週次消費量_要入力],MATCH($A5,M_RawMaterials[Part Name],0)),0)</f>
        <v/>
      </c>
      <c r="CN5">
        <f>SUMPRODUCT((M_BOM[Part Name]=$A5)*M_BOM[RM_Qty_Per_Batch]*IFERROR(INDEX(PP_Grid[#Data],M_BOM[PPGridRow],92),0))+IFERROR(INDEX(M_RawMaterials[固定週次消費量_要入力],MATCH($A5,M_RawMaterials[Part Name],0)),0)</f>
        <v/>
      </c>
      <c r="CO5">
        <f>SUMPRODUCT((M_BOM[Part Name]=$A5)*M_BOM[RM_Qty_Per_Batch]*IFERROR(INDEX(PP_Grid[#Data],M_BOM[PPGridRow],93),0))+IFERROR(INDEX(M_RawMaterials[固定週次消費量_要入力],MATCH($A5,M_RawMaterials[Part Name],0)),0)</f>
        <v/>
      </c>
      <c r="CP5">
        <f>SUMPRODUCT((M_BOM[Part Name]=$A5)*M_BOM[RM_Qty_Per_Batch]*IFERROR(INDEX(PP_Grid[#Data],M_BOM[PPGridRow],94),0))+IFERROR(INDEX(M_RawMaterials[固定週次消費量_要入力],MATCH($A5,M_RawMaterials[Part Name],0)),0)</f>
        <v/>
      </c>
      <c r="CQ5">
        <f>SUMPRODUCT((M_BOM[Part Name]=$A5)*M_BOM[RM_Qty_Per_Batch]*IFERROR(INDEX(PP_Grid[#Data],M_BOM[PPGridRow],95),0))+IFERROR(INDEX(M_RawMaterials[固定週次消費量_要入力],MATCH($A5,M_RawMaterials[Part Name],0)),0)</f>
        <v/>
      </c>
      <c r="CR5">
        <f>SUMPRODUCT((M_BOM[Part Name]=$A5)*M_BOM[RM_Qty_Per_Batch]*IFERROR(INDEX(PP_Grid[#Data],M_BOM[PPGridRow],96),0))+IFERROR(INDEX(M_RawMaterials[固定週次消費量_要入力],MATCH($A5,M_RawMaterials[Part Name],0)),0)</f>
        <v/>
      </c>
      <c r="CS5">
        <f>SUMPRODUCT((M_BOM[Part Name]=$A5)*M_BOM[RM_Qty_Per_Batch]*IFERROR(INDEX(PP_Grid[#Data],M_BOM[PPGridRow],97),0))+IFERROR(INDEX(M_RawMaterials[固定週次消費量_要入力],MATCH($A5,M_RawMaterials[Part Name],0)),0)</f>
        <v/>
      </c>
      <c r="CT5">
        <f>SUMPRODUCT((M_BOM[Part Name]=$A5)*M_BOM[RM_Qty_Per_Batch]*IFERROR(INDEX(PP_Grid[#Data],M_BOM[PPGridRow],98),0))+IFERROR(INDEX(M_RawMaterials[固定週次消費量_要入力],MATCH($A5,M_RawMaterials[Part Name],0)),0)</f>
        <v/>
      </c>
      <c r="CU5">
        <f>SUMPRODUCT((M_BOM[Part Name]=$A5)*M_BOM[RM_Qty_Per_Batch]*IFERROR(INDEX(PP_Grid[#Data],M_BOM[PPGridRow],99),0))+IFERROR(INDEX(M_RawMaterials[固定週次消費量_要入力],MATCH($A5,M_RawMaterials[Part Name],0)),0)</f>
        <v/>
      </c>
      <c r="CV5">
        <f>SUMPRODUCT((M_BOM[Part Name]=$A5)*M_BOM[RM_Qty_Per_Batch]*IFERROR(INDEX(PP_Grid[#Data],M_BOM[PPGridRow],100),0))+IFERROR(INDEX(M_RawMaterials[固定週次消費量_要入力],MATCH($A5,M_RawMaterials[Part Name],0)),0)</f>
        <v/>
      </c>
      <c r="CW5">
        <f>SUMPRODUCT((M_BOM[Part Name]=$A5)*M_BOM[RM_Qty_Per_Batch]*IFERROR(INDEX(PP_Grid[#Data],M_BOM[PPGridRow],101),0))+IFERROR(INDEX(M_RawMaterials[固定週次消費量_要入力],MATCH($A5,M_RawMaterials[Part Name],0)),0)</f>
        <v/>
      </c>
      <c r="CX5">
        <f>SUMPRODUCT((M_BOM[Part Name]=$A5)*M_BOM[RM_Qty_Per_Batch]*IFERROR(INDEX(PP_Grid[#Data],M_BOM[PPGridRow],102),0))+IFERROR(INDEX(M_RawMaterials[固定週次消費量_要入力],MATCH($A5,M_RawMaterials[Part Name],0)),0)</f>
        <v/>
      </c>
      <c r="CY5">
        <f>SUMPRODUCT((M_BOM[Part Name]=$A5)*M_BOM[RM_Qty_Per_Batch]*IFERROR(INDEX(PP_Grid[#Data],M_BOM[PPGridRow],103),0))+IFERROR(INDEX(M_RawMaterials[固定週次消費量_要入力],MATCH($A5,M_RawMaterials[Part Name],0)),0)</f>
        <v/>
      </c>
      <c r="CZ5">
        <f>SUMPRODUCT((M_BOM[Part Name]=$A5)*M_BOM[RM_Qty_Per_Batch]*IFERROR(INDEX(PP_Grid[#Data],M_BOM[PPGridRow],104),0))+IFERROR(INDEX(M_RawMaterials[固定週次消費量_要入力],MATCH($A5,M_RawMaterials[Part Name],0)),0)</f>
        <v/>
      </c>
      <c r="DA5">
        <f>SUMPRODUCT((M_BOM[Part Name]=$A5)*M_BOM[RM_Qty_Per_Batch]*IFERROR(INDEX(PP_Grid[#Data],M_BOM[PPGridRow],105),0))+IFERROR(INDEX(M_RawMaterials[固定週次消費量_要入力],MATCH($A5,M_RawMaterials[Part Name],0)),0)</f>
        <v/>
      </c>
    </row>
    <row r="6">
      <c r="A6" t="inlineStr">
        <is>
          <t>7CL</t>
        </is>
      </c>
      <c r="B6">
        <f>SUMPRODUCT((M_BOM[Part Name]=$A6)*M_BOM[RM_Qty_Per_Batch]*IFERROR(INDEX(PP_Grid[#Data],M_BOM[PPGridRow],2),0))+IFERROR(INDEX(M_RawMaterials[固定週次消費量_要入力],MATCH($A6,M_RawMaterials[Part Name],0)),0)</f>
        <v/>
      </c>
      <c r="C6">
        <f>SUMPRODUCT((M_BOM[Part Name]=$A6)*M_BOM[RM_Qty_Per_Batch]*IFERROR(INDEX(PP_Grid[#Data],M_BOM[PPGridRow],3),0))+IFERROR(INDEX(M_RawMaterials[固定週次消費量_要入力],MATCH($A6,M_RawMaterials[Part Name],0)),0)</f>
        <v/>
      </c>
      <c r="D6">
        <f>SUMPRODUCT((M_BOM[Part Name]=$A6)*M_BOM[RM_Qty_Per_Batch]*IFERROR(INDEX(PP_Grid[#Data],M_BOM[PPGridRow],4),0))+IFERROR(INDEX(M_RawMaterials[固定週次消費量_要入力],MATCH($A6,M_RawMaterials[Part Name],0)),0)</f>
        <v/>
      </c>
      <c r="E6">
        <f>SUMPRODUCT((M_BOM[Part Name]=$A6)*M_BOM[RM_Qty_Per_Batch]*IFERROR(INDEX(PP_Grid[#Data],M_BOM[PPGridRow],5),0))+IFERROR(INDEX(M_RawMaterials[固定週次消費量_要入力],MATCH($A6,M_RawMaterials[Part Name],0)),0)</f>
        <v/>
      </c>
      <c r="F6">
        <f>SUMPRODUCT((M_BOM[Part Name]=$A6)*M_BOM[RM_Qty_Per_Batch]*IFERROR(INDEX(PP_Grid[#Data],M_BOM[PPGridRow],6),0))+IFERROR(INDEX(M_RawMaterials[固定週次消費量_要入力],MATCH($A6,M_RawMaterials[Part Name],0)),0)</f>
        <v/>
      </c>
      <c r="G6">
        <f>SUMPRODUCT((M_BOM[Part Name]=$A6)*M_BOM[RM_Qty_Per_Batch]*IFERROR(INDEX(PP_Grid[#Data],M_BOM[PPGridRow],7),0))+IFERROR(INDEX(M_RawMaterials[固定週次消費量_要入力],MATCH($A6,M_RawMaterials[Part Name],0)),0)</f>
        <v/>
      </c>
      <c r="H6">
        <f>SUMPRODUCT((M_BOM[Part Name]=$A6)*M_BOM[RM_Qty_Per_Batch]*IFERROR(INDEX(PP_Grid[#Data],M_BOM[PPGridRow],8),0))+IFERROR(INDEX(M_RawMaterials[固定週次消費量_要入力],MATCH($A6,M_RawMaterials[Part Name],0)),0)</f>
        <v/>
      </c>
      <c r="I6">
        <f>SUMPRODUCT((M_BOM[Part Name]=$A6)*M_BOM[RM_Qty_Per_Batch]*IFERROR(INDEX(PP_Grid[#Data],M_BOM[PPGridRow],9),0))+IFERROR(INDEX(M_RawMaterials[固定週次消費量_要入力],MATCH($A6,M_RawMaterials[Part Name],0)),0)</f>
        <v/>
      </c>
      <c r="J6">
        <f>SUMPRODUCT((M_BOM[Part Name]=$A6)*M_BOM[RM_Qty_Per_Batch]*IFERROR(INDEX(PP_Grid[#Data],M_BOM[PPGridRow],10),0))+IFERROR(INDEX(M_RawMaterials[固定週次消費量_要入力],MATCH($A6,M_RawMaterials[Part Name],0)),0)</f>
        <v/>
      </c>
      <c r="K6">
        <f>SUMPRODUCT((M_BOM[Part Name]=$A6)*M_BOM[RM_Qty_Per_Batch]*IFERROR(INDEX(PP_Grid[#Data],M_BOM[PPGridRow],11),0))+IFERROR(INDEX(M_RawMaterials[固定週次消費量_要入力],MATCH($A6,M_RawMaterials[Part Name],0)),0)</f>
        <v/>
      </c>
      <c r="L6">
        <f>SUMPRODUCT((M_BOM[Part Name]=$A6)*M_BOM[RM_Qty_Per_Batch]*IFERROR(INDEX(PP_Grid[#Data],M_BOM[PPGridRow],12),0))+IFERROR(INDEX(M_RawMaterials[固定週次消費量_要入力],MATCH($A6,M_RawMaterials[Part Name],0)),0)</f>
        <v/>
      </c>
      <c r="M6">
        <f>SUMPRODUCT((M_BOM[Part Name]=$A6)*M_BOM[RM_Qty_Per_Batch]*IFERROR(INDEX(PP_Grid[#Data],M_BOM[PPGridRow],13),0))+IFERROR(INDEX(M_RawMaterials[固定週次消費量_要入力],MATCH($A6,M_RawMaterials[Part Name],0)),0)</f>
        <v/>
      </c>
      <c r="N6">
        <f>SUMPRODUCT((M_BOM[Part Name]=$A6)*M_BOM[RM_Qty_Per_Batch]*IFERROR(INDEX(PP_Grid[#Data],M_BOM[PPGridRow],14),0))+IFERROR(INDEX(M_RawMaterials[固定週次消費量_要入力],MATCH($A6,M_RawMaterials[Part Name],0)),0)</f>
        <v/>
      </c>
      <c r="O6">
        <f>SUMPRODUCT((M_BOM[Part Name]=$A6)*M_BOM[RM_Qty_Per_Batch]*IFERROR(INDEX(PP_Grid[#Data],M_BOM[PPGridRow],15),0))+IFERROR(INDEX(M_RawMaterials[固定週次消費量_要入力],MATCH($A6,M_RawMaterials[Part Name],0)),0)</f>
        <v/>
      </c>
      <c r="P6">
        <f>SUMPRODUCT((M_BOM[Part Name]=$A6)*M_BOM[RM_Qty_Per_Batch]*IFERROR(INDEX(PP_Grid[#Data],M_BOM[PPGridRow],16),0))+IFERROR(INDEX(M_RawMaterials[固定週次消費量_要入力],MATCH($A6,M_RawMaterials[Part Name],0)),0)</f>
        <v/>
      </c>
      <c r="Q6">
        <f>SUMPRODUCT((M_BOM[Part Name]=$A6)*M_BOM[RM_Qty_Per_Batch]*IFERROR(INDEX(PP_Grid[#Data],M_BOM[PPGridRow],17),0))+IFERROR(INDEX(M_RawMaterials[固定週次消費量_要入力],MATCH($A6,M_RawMaterials[Part Name],0)),0)</f>
        <v/>
      </c>
      <c r="R6">
        <f>SUMPRODUCT((M_BOM[Part Name]=$A6)*M_BOM[RM_Qty_Per_Batch]*IFERROR(INDEX(PP_Grid[#Data],M_BOM[PPGridRow],18),0))+IFERROR(INDEX(M_RawMaterials[固定週次消費量_要入力],MATCH($A6,M_RawMaterials[Part Name],0)),0)</f>
        <v/>
      </c>
      <c r="S6">
        <f>SUMPRODUCT((M_BOM[Part Name]=$A6)*M_BOM[RM_Qty_Per_Batch]*IFERROR(INDEX(PP_Grid[#Data],M_BOM[PPGridRow],19),0))+IFERROR(INDEX(M_RawMaterials[固定週次消費量_要入力],MATCH($A6,M_RawMaterials[Part Name],0)),0)</f>
        <v/>
      </c>
      <c r="T6">
        <f>SUMPRODUCT((M_BOM[Part Name]=$A6)*M_BOM[RM_Qty_Per_Batch]*IFERROR(INDEX(PP_Grid[#Data],M_BOM[PPGridRow],20),0))+IFERROR(INDEX(M_RawMaterials[固定週次消費量_要入力],MATCH($A6,M_RawMaterials[Part Name],0)),0)</f>
        <v/>
      </c>
      <c r="U6">
        <f>SUMPRODUCT((M_BOM[Part Name]=$A6)*M_BOM[RM_Qty_Per_Batch]*IFERROR(INDEX(PP_Grid[#Data],M_BOM[PPGridRow],21),0))+IFERROR(INDEX(M_RawMaterials[固定週次消費量_要入力],MATCH($A6,M_RawMaterials[Part Name],0)),0)</f>
        <v/>
      </c>
      <c r="V6">
        <f>SUMPRODUCT((M_BOM[Part Name]=$A6)*M_BOM[RM_Qty_Per_Batch]*IFERROR(INDEX(PP_Grid[#Data],M_BOM[PPGridRow],22),0))+IFERROR(INDEX(M_RawMaterials[固定週次消費量_要入力],MATCH($A6,M_RawMaterials[Part Name],0)),0)</f>
        <v/>
      </c>
      <c r="W6">
        <f>SUMPRODUCT((M_BOM[Part Name]=$A6)*M_BOM[RM_Qty_Per_Batch]*IFERROR(INDEX(PP_Grid[#Data],M_BOM[PPGridRow],23),0))+IFERROR(INDEX(M_RawMaterials[固定週次消費量_要入力],MATCH($A6,M_RawMaterials[Part Name],0)),0)</f>
        <v/>
      </c>
      <c r="X6">
        <f>SUMPRODUCT((M_BOM[Part Name]=$A6)*M_BOM[RM_Qty_Per_Batch]*IFERROR(INDEX(PP_Grid[#Data],M_BOM[PPGridRow],24),0))+IFERROR(INDEX(M_RawMaterials[固定週次消費量_要入力],MATCH($A6,M_RawMaterials[Part Name],0)),0)</f>
        <v/>
      </c>
      <c r="Y6">
        <f>SUMPRODUCT((M_BOM[Part Name]=$A6)*M_BOM[RM_Qty_Per_Batch]*IFERROR(INDEX(PP_Grid[#Data],M_BOM[PPGridRow],25),0))+IFERROR(INDEX(M_RawMaterials[固定週次消費量_要入力],MATCH($A6,M_RawMaterials[Part Name],0)),0)</f>
        <v/>
      </c>
      <c r="Z6">
        <f>SUMPRODUCT((M_BOM[Part Name]=$A6)*M_BOM[RM_Qty_Per_Batch]*IFERROR(INDEX(PP_Grid[#Data],M_BOM[PPGridRow],26),0))+IFERROR(INDEX(M_RawMaterials[固定週次消費量_要入力],MATCH($A6,M_RawMaterials[Part Name],0)),0)</f>
        <v/>
      </c>
      <c r="AA6">
        <f>SUMPRODUCT((M_BOM[Part Name]=$A6)*M_BOM[RM_Qty_Per_Batch]*IFERROR(INDEX(PP_Grid[#Data],M_BOM[PPGridRow],27),0))+IFERROR(INDEX(M_RawMaterials[固定週次消費量_要入力],MATCH($A6,M_RawMaterials[Part Name],0)),0)</f>
        <v/>
      </c>
      <c r="AB6">
        <f>SUMPRODUCT((M_BOM[Part Name]=$A6)*M_BOM[RM_Qty_Per_Batch]*IFERROR(INDEX(PP_Grid[#Data],M_BOM[PPGridRow],28),0))+IFERROR(INDEX(M_RawMaterials[固定週次消費量_要入力],MATCH($A6,M_RawMaterials[Part Name],0)),0)</f>
        <v/>
      </c>
      <c r="AC6">
        <f>SUMPRODUCT((M_BOM[Part Name]=$A6)*M_BOM[RM_Qty_Per_Batch]*IFERROR(INDEX(PP_Grid[#Data],M_BOM[PPGridRow],29),0))+IFERROR(INDEX(M_RawMaterials[固定週次消費量_要入力],MATCH($A6,M_RawMaterials[Part Name],0)),0)</f>
        <v/>
      </c>
      <c r="AD6">
        <f>SUMPRODUCT((M_BOM[Part Name]=$A6)*M_BOM[RM_Qty_Per_Batch]*IFERROR(INDEX(PP_Grid[#Data],M_BOM[PPGridRow],30),0))+IFERROR(INDEX(M_RawMaterials[固定週次消費量_要入力],MATCH($A6,M_RawMaterials[Part Name],0)),0)</f>
        <v/>
      </c>
      <c r="AE6">
        <f>SUMPRODUCT((M_BOM[Part Name]=$A6)*M_BOM[RM_Qty_Per_Batch]*IFERROR(INDEX(PP_Grid[#Data],M_BOM[PPGridRow],31),0))+IFERROR(INDEX(M_RawMaterials[固定週次消費量_要入力],MATCH($A6,M_RawMaterials[Part Name],0)),0)</f>
        <v/>
      </c>
      <c r="AF6">
        <f>SUMPRODUCT((M_BOM[Part Name]=$A6)*M_BOM[RM_Qty_Per_Batch]*IFERROR(INDEX(PP_Grid[#Data],M_BOM[PPGridRow],32),0))+IFERROR(INDEX(M_RawMaterials[固定週次消費量_要入力],MATCH($A6,M_RawMaterials[Part Name],0)),0)</f>
        <v/>
      </c>
      <c r="AG6">
        <f>SUMPRODUCT((M_BOM[Part Name]=$A6)*M_BOM[RM_Qty_Per_Batch]*IFERROR(INDEX(PP_Grid[#Data],M_BOM[PPGridRow],33),0))+IFERROR(INDEX(M_RawMaterials[固定週次消費量_要入力],MATCH($A6,M_RawMaterials[Part Name],0)),0)</f>
        <v/>
      </c>
      <c r="AH6">
        <f>SUMPRODUCT((M_BOM[Part Name]=$A6)*M_BOM[RM_Qty_Per_Batch]*IFERROR(INDEX(PP_Grid[#Data],M_BOM[PPGridRow],34),0))+IFERROR(INDEX(M_RawMaterials[固定週次消費量_要入力],MATCH($A6,M_RawMaterials[Part Name],0)),0)</f>
        <v/>
      </c>
      <c r="AI6">
        <f>SUMPRODUCT((M_BOM[Part Name]=$A6)*M_BOM[RM_Qty_Per_Batch]*IFERROR(INDEX(PP_Grid[#Data],M_BOM[PPGridRow],35),0))+IFERROR(INDEX(M_RawMaterials[固定週次消費量_要入力],MATCH($A6,M_RawMaterials[Part Name],0)),0)</f>
        <v/>
      </c>
      <c r="AJ6">
        <f>SUMPRODUCT((M_BOM[Part Name]=$A6)*M_BOM[RM_Qty_Per_Batch]*IFERROR(INDEX(PP_Grid[#Data],M_BOM[PPGridRow],36),0))+IFERROR(INDEX(M_RawMaterials[固定週次消費量_要入力],MATCH($A6,M_RawMaterials[Part Name],0)),0)</f>
        <v/>
      </c>
      <c r="AK6">
        <f>SUMPRODUCT((M_BOM[Part Name]=$A6)*M_BOM[RM_Qty_Per_Batch]*IFERROR(INDEX(PP_Grid[#Data],M_BOM[PPGridRow],37),0))+IFERROR(INDEX(M_RawMaterials[固定週次消費量_要入力],MATCH($A6,M_RawMaterials[Part Name],0)),0)</f>
        <v/>
      </c>
      <c r="AL6">
        <f>SUMPRODUCT((M_BOM[Part Name]=$A6)*M_BOM[RM_Qty_Per_Batch]*IFERROR(INDEX(PP_Grid[#Data],M_BOM[PPGridRow],38),0))+IFERROR(INDEX(M_RawMaterials[固定週次消費量_要入力],MATCH($A6,M_RawMaterials[Part Name],0)),0)</f>
        <v/>
      </c>
      <c r="AM6">
        <f>SUMPRODUCT((M_BOM[Part Name]=$A6)*M_BOM[RM_Qty_Per_Batch]*IFERROR(INDEX(PP_Grid[#Data],M_BOM[PPGridRow],39),0))+IFERROR(INDEX(M_RawMaterials[固定週次消費量_要入力],MATCH($A6,M_RawMaterials[Part Name],0)),0)</f>
        <v/>
      </c>
      <c r="AN6">
        <f>SUMPRODUCT((M_BOM[Part Name]=$A6)*M_BOM[RM_Qty_Per_Batch]*IFERROR(INDEX(PP_Grid[#Data],M_BOM[PPGridRow],40),0))+IFERROR(INDEX(M_RawMaterials[固定週次消費量_要入力],MATCH($A6,M_RawMaterials[Part Name],0)),0)</f>
        <v/>
      </c>
      <c r="AO6">
        <f>SUMPRODUCT((M_BOM[Part Name]=$A6)*M_BOM[RM_Qty_Per_Batch]*IFERROR(INDEX(PP_Grid[#Data],M_BOM[PPGridRow],41),0))+IFERROR(INDEX(M_RawMaterials[固定週次消費量_要入力],MATCH($A6,M_RawMaterials[Part Name],0)),0)</f>
        <v/>
      </c>
      <c r="AP6">
        <f>SUMPRODUCT((M_BOM[Part Name]=$A6)*M_BOM[RM_Qty_Per_Batch]*IFERROR(INDEX(PP_Grid[#Data],M_BOM[PPGridRow],42),0))+IFERROR(INDEX(M_RawMaterials[固定週次消費量_要入力],MATCH($A6,M_RawMaterials[Part Name],0)),0)</f>
        <v/>
      </c>
      <c r="AQ6">
        <f>SUMPRODUCT((M_BOM[Part Name]=$A6)*M_BOM[RM_Qty_Per_Batch]*IFERROR(INDEX(PP_Grid[#Data],M_BOM[PPGridRow],43),0))+IFERROR(INDEX(M_RawMaterials[固定週次消費量_要入力],MATCH($A6,M_RawMaterials[Part Name],0)),0)</f>
        <v/>
      </c>
      <c r="AR6">
        <f>SUMPRODUCT((M_BOM[Part Name]=$A6)*M_BOM[RM_Qty_Per_Batch]*IFERROR(INDEX(PP_Grid[#Data],M_BOM[PPGridRow],44),0))+IFERROR(INDEX(M_RawMaterials[固定週次消費量_要入力],MATCH($A6,M_RawMaterials[Part Name],0)),0)</f>
        <v/>
      </c>
      <c r="AS6">
        <f>SUMPRODUCT((M_BOM[Part Name]=$A6)*M_BOM[RM_Qty_Per_Batch]*IFERROR(INDEX(PP_Grid[#Data],M_BOM[PPGridRow],45),0))+IFERROR(INDEX(M_RawMaterials[固定週次消費量_要入力],MATCH($A6,M_RawMaterials[Part Name],0)),0)</f>
        <v/>
      </c>
      <c r="AT6">
        <f>SUMPRODUCT((M_BOM[Part Name]=$A6)*M_BOM[RM_Qty_Per_Batch]*IFERROR(INDEX(PP_Grid[#Data],M_BOM[PPGridRow],46),0))+IFERROR(INDEX(M_RawMaterials[固定週次消費量_要入力],MATCH($A6,M_RawMaterials[Part Name],0)),0)</f>
        <v/>
      </c>
      <c r="AU6">
        <f>SUMPRODUCT((M_BOM[Part Name]=$A6)*M_BOM[RM_Qty_Per_Batch]*IFERROR(INDEX(PP_Grid[#Data],M_BOM[PPGridRow],47),0))+IFERROR(INDEX(M_RawMaterials[固定週次消費量_要入力],MATCH($A6,M_RawMaterials[Part Name],0)),0)</f>
        <v/>
      </c>
      <c r="AV6">
        <f>SUMPRODUCT((M_BOM[Part Name]=$A6)*M_BOM[RM_Qty_Per_Batch]*IFERROR(INDEX(PP_Grid[#Data],M_BOM[PPGridRow],48),0))+IFERROR(INDEX(M_RawMaterials[固定週次消費量_要入力],MATCH($A6,M_RawMaterials[Part Name],0)),0)</f>
        <v/>
      </c>
      <c r="AW6">
        <f>SUMPRODUCT((M_BOM[Part Name]=$A6)*M_BOM[RM_Qty_Per_Batch]*IFERROR(INDEX(PP_Grid[#Data],M_BOM[PPGridRow],49),0))+IFERROR(INDEX(M_RawMaterials[固定週次消費量_要入力],MATCH($A6,M_RawMaterials[Part Name],0)),0)</f>
        <v/>
      </c>
      <c r="AX6">
        <f>SUMPRODUCT((M_BOM[Part Name]=$A6)*M_BOM[RM_Qty_Per_Batch]*IFERROR(INDEX(PP_Grid[#Data],M_BOM[PPGridRow],50),0))+IFERROR(INDEX(M_RawMaterials[固定週次消費量_要入力],MATCH($A6,M_RawMaterials[Part Name],0)),0)</f>
        <v/>
      </c>
      <c r="AY6">
        <f>SUMPRODUCT((M_BOM[Part Name]=$A6)*M_BOM[RM_Qty_Per_Batch]*IFERROR(INDEX(PP_Grid[#Data],M_BOM[PPGridRow],51),0))+IFERROR(INDEX(M_RawMaterials[固定週次消費量_要入力],MATCH($A6,M_RawMaterials[Part Name],0)),0)</f>
        <v/>
      </c>
      <c r="AZ6">
        <f>SUMPRODUCT((M_BOM[Part Name]=$A6)*M_BOM[RM_Qty_Per_Batch]*IFERROR(INDEX(PP_Grid[#Data],M_BOM[PPGridRow],52),0))+IFERROR(INDEX(M_RawMaterials[固定週次消費量_要入力],MATCH($A6,M_RawMaterials[Part Name],0)),0)</f>
        <v/>
      </c>
      <c r="BA6">
        <f>SUMPRODUCT((M_BOM[Part Name]=$A6)*M_BOM[RM_Qty_Per_Batch]*IFERROR(INDEX(PP_Grid[#Data],M_BOM[PPGridRow],53),0))+IFERROR(INDEX(M_RawMaterials[固定週次消費量_要入力],MATCH($A6,M_RawMaterials[Part Name],0)),0)</f>
        <v/>
      </c>
      <c r="BB6">
        <f>SUMPRODUCT((M_BOM[Part Name]=$A6)*M_BOM[RM_Qty_Per_Batch]*IFERROR(INDEX(PP_Grid[#Data],M_BOM[PPGridRow],54),0))+IFERROR(INDEX(M_RawMaterials[固定週次消費量_要入力],MATCH($A6,M_RawMaterials[Part Name],0)),0)</f>
        <v/>
      </c>
      <c r="BC6">
        <f>SUMPRODUCT((M_BOM[Part Name]=$A6)*M_BOM[RM_Qty_Per_Batch]*IFERROR(INDEX(PP_Grid[#Data],M_BOM[PPGridRow],55),0))+IFERROR(INDEX(M_RawMaterials[固定週次消費量_要入力],MATCH($A6,M_RawMaterials[Part Name],0)),0)</f>
        <v/>
      </c>
      <c r="BD6">
        <f>SUMPRODUCT((M_BOM[Part Name]=$A6)*M_BOM[RM_Qty_Per_Batch]*IFERROR(INDEX(PP_Grid[#Data],M_BOM[PPGridRow],56),0))+IFERROR(INDEX(M_RawMaterials[固定週次消費量_要入力],MATCH($A6,M_RawMaterials[Part Name],0)),0)</f>
        <v/>
      </c>
      <c r="BE6">
        <f>SUMPRODUCT((M_BOM[Part Name]=$A6)*M_BOM[RM_Qty_Per_Batch]*IFERROR(INDEX(PP_Grid[#Data],M_BOM[PPGridRow],57),0))+IFERROR(INDEX(M_RawMaterials[固定週次消費量_要入力],MATCH($A6,M_RawMaterials[Part Name],0)),0)</f>
        <v/>
      </c>
      <c r="BF6">
        <f>SUMPRODUCT((M_BOM[Part Name]=$A6)*M_BOM[RM_Qty_Per_Batch]*IFERROR(INDEX(PP_Grid[#Data],M_BOM[PPGridRow],58),0))+IFERROR(INDEX(M_RawMaterials[固定週次消費量_要入力],MATCH($A6,M_RawMaterials[Part Name],0)),0)</f>
        <v/>
      </c>
      <c r="BG6">
        <f>SUMPRODUCT((M_BOM[Part Name]=$A6)*M_BOM[RM_Qty_Per_Batch]*IFERROR(INDEX(PP_Grid[#Data],M_BOM[PPGridRow],59),0))+IFERROR(INDEX(M_RawMaterials[固定週次消費量_要入力],MATCH($A6,M_RawMaterials[Part Name],0)),0)</f>
        <v/>
      </c>
      <c r="BH6">
        <f>SUMPRODUCT((M_BOM[Part Name]=$A6)*M_BOM[RM_Qty_Per_Batch]*IFERROR(INDEX(PP_Grid[#Data],M_BOM[PPGridRow],60),0))+IFERROR(INDEX(M_RawMaterials[固定週次消費量_要入力],MATCH($A6,M_RawMaterials[Part Name],0)),0)</f>
        <v/>
      </c>
      <c r="BI6">
        <f>SUMPRODUCT((M_BOM[Part Name]=$A6)*M_BOM[RM_Qty_Per_Batch]*IFERROR(INDEX(PP_Grid[#Data],M_BOM[PPGridRow],61),0))+IFERROR(INDEX(M_RawMaterials[固定週次消費量_要入力],MATCH($A6,M_RawMaterials[Part Name],0)),0)</f>
        <v/>
      </c>
      <c r="BJ6">
        <f>SUMPRODUCT((M_BOM[Part Name]=$A6)*M_BOM[RM_Qty_Per_Batch]*IFERROR(INDEX(PP_Grid[#Data],M_BOM[PPGridRow],62),0))+IFERROR(INDEX(M_RawMaterials[固定週次消費量_要入力],MATCH($A6,M_RawMaterials[Part Name],0)),0)</f>
        <v/>
      </c>
      <c r="BK6">
        <f>SUMPRODUCT((M_BOM[Part Name]=$A6)*M_BOM[RM_Qty_Per_Batch]*IFERROR(INDEX(PP_Grid[#Data],M_BOM[PPGridRow],63),0))+IFERROR(INDEX(M_RawMaterials[固定週次消費量_要入力],MATCH($A6,M_RawMaterials[Part Name],0)),0)</f>
        <v/>
      </c>
      <c r="BL6">
        <f>SUMPRODUCT((M_BOM[Part Name]=$A6)*M_BOM[RM_Qty_Per_Batch]*IFERROR(INDEX(PP_Grid[#Data],M_BOM[PPGridRow],64),0))+IFERROR(INDEX(M_RawMaterials[固定週次消費量_要入力],MATCH($A6,M_RawMaterials[Part Name],0)),0)</f>
        <v/>
      </c>
      <c r="BM6">
        <f>SUMPRODUCT((M_BOM[Part Name]=$A6)*M_BOM[RM_Qty_Per_Batch]*IFERROR(INDEX(PP_Grid[#Data],M_BOM[PPGridRow],65),0))+IFERROR(INDEX(M_RawMaterials[固定週次消費量_要入力],MATCH($A6,M_RawMaterials[Part Name],0)),0)</f>
        <v/>
      </c>
      <c r="BN6">
        <f>SUMPRODUCT((M_BOM[Part Name]=$A6)*M_BOM[RM_Qty_Per_Batch]*IFERROR(INDEX(PP_Grid[#Data],M_BOM[PPGridRow],66),0))+IFERROR(INDEX(M_RawMaterials[固定週次消費量_要入力],MATCH($A6,M_RawMaterials[Part Name],0)),0)</f>
        <v/>
      </c>
      <c r="BO6">
        <f>SUMPRODUCT((M_BOM[Part Name]=$A6)*M_BOM[RM_Qty_Per_Batch]*IFERROR(INDEX(PP_Grid[#Data],M_BOM[PPGridRow],67),0))+IFERROR(INDEX(M_RawMaterials[固定週次消費量_要入力],MATCH($A6,M_RawMaterials[Part Name],0)),0)</f>
        <v/>
      </c>
      <c r="BP6">
        <f>SUMPRODUCT((M_BOM[Part Name]=$A6)*M_BOM[RM_Qty_Per_Batch]*IFERROR(INDEX(PP_Grid[#Data],M_BOM[PPGridRow],68),0))+IFERROR(INDEX(M_RawMaterials[固定週次消費量_要入力],MATCH($A6,M_RawMaterials[Part Name],0)),0)</f>
        <v/>
      </c>
      <c r="BQ6">
        <f>SUMPRODUCT((M_BOM[Part Name]=$A6)*M_BOM[RM_Qty_Per_Batch]*IFERROR(INDEX(PP_Grid[#Data],M_BOM[PPGridRow],69),0))+IFERROR(INDEX(M_RawMaterials[固定週次消費量_要入力],MATCH($A6,M_RawMaterials[Part Name],0)),0)</f>
        <v/>
      </c>
      <c r="BR6">
        <f>SUMPRODUCT((M_BOM[Part Name]=$A6)*M_BOM[RM_Qty_Per_Batch]*IFERROR(INDEX(PP_Grid[#Data],M_BOM[PPGridRow],70),0))+IFERROR(INDEX(M_RawMaterials[固定週次消費量_要入力],MATCH($A6,M_RawMaterials[Part Name],0)),0)</f>
        <v/>
      </c>
      <c r="BS6">
        <f>SUMPRODUCT((M_BOM[Part Name]=$A6)*M_BOM[RM_Qty_Per_Batch]*IFERROR(INDEX(PP_Grid[#Data],M_BOM[PPGridRow],71),0))+IFERROR(INDEX(M_RawMaterials[固定週次消費量_要入力],MATCH($A6,M_RawMaterials[Part Name],0)),0)</f>
        <v/>
      </c>
      <c r="BT6">
        <f>SUMPRODUCT((M_BOM[Part Name]=$A6)*M_BOM[RM_Qty_Per_Batch]*IFERROR(INDEX(PP_Grid[#Data],M_BOM[PPGridRow],72),0))+IFERROR(INDEX(M_RawMaterials[固定週次消費量_要入力],MATCH($A6,M_RawMaterials[Part Name],0)),0)</f>
        <v/>
      </c>
      <c r="BU6">
        <f>SUMPRODUCT((M_BOM[Part Name]=$A6)*M_BOM[RM_Qty_Per_Batch]*IFERROR(INDEX(PP_Grid[#Data],M_BOM[PPGridRow],73),0))+IFERROR(INDEX(M_RawMaterials[固定週次消費量_要入力],MATCH($A6,M_RawMaterials[Part Name],0)),0)</f>
        <v/>
      </c>
      <c r="BV6">
        <f>SUMPRODUCT((M_BOM[Part Name]=$A6)*M_BOM[RM_Qty_Per_Batch]*IFERROR(INDEX(PP_Grid[#Data],M_BOM[PPGridRow],74),0))+IFERROR(INDEX(M_RawMaterials[固定週次消費量_要入力],MATCH($A6,M_RawMaterials[Part Name],0)),0)</f>
        <v/>
      </c>
      <c r="BW6">
        <f>SUMPRODUCT((M_BOM[Part Name]=$A6)*M_BOM[RM_Qty_Per_Batch]*IFERROR(INDEX(PP_Grid[#Data],M_BOM[PPGridRow],75),0))+IFERROR(INDEX(M_RawMaterials[固定週次消費量_要入力],MATCH($A6,M_RawMaterials[Part Name],0)),0)</f>
        <v/>
      </c>
      <c r="BX6">
        <f>SUMPRODUCT((M_BOM[Part Name]=$A6)*M_BOM[RM_Qty_Per_Batch]*IFERROR(INDEX(PP_Grid[#Data],M_BOM[PPGridRow],76),0))+IFERROR(INDEX(M_RawMaterials[固定週次消費量_要入力],MATCH($A6,M_RawMaterials[Part Name],0)),0)</f>
        <v/>
      </c>
      <c r="BY6">
        <f>SUMPRODUCT((M_BOM[Part Name]=$A6)*M_BOM[RM_Qty_Per_Batch]*IFERROR(INDEX(PP_Grid[#Data],M_BOM[PPGridRow],77),0))+IFERROR(INDEX(M_RawMaterials[固定週次消費量_要入力],MATCH($A6,M_RawMaterials[Part Name],0)),0)</f>
        <v/>
      </c>
      <c r="BZ6">
        <f>SUMPRODUCT((M_BOM[Part Name]=$A6)*M_BOM[RM_Qty_Per_Batch]*IFERROR(INDEX(PP_Grid[#Data],M_BOM[PPGridRow],78),0))+IFERROR(INDEX(M_RawMaterials[固定週次消費量_要入力],MATCH($A6,M_RawMaterials[Part Name],0)),0)</f>
        <v/>
      </c>
      <c r="CA6">
        <f>SUMPRODUCT((M_BOM[Part Name]=$A6)*M_BOM[RM_Qty_Per_Batch]*IFERROR(INDEX(PP_Grid[#Data],M_BOM[PPGridRow],79),0))+IFERROR(INDEX(M_RawMaterials[固定週次消費量_要入力],MATCH($A6,M_RawMaterials[Part Name],0)),0)</f>
        <v/>
      </c>
      <c r="CB6">
        <f>SUMPRODUCT((M_BOM[Part Name]=$A6)*M_BOM[RM_Qty_Per_Batch]*IFERROR(INDEX(PP_Grid[#Data],M_BOM[PPGridRow],80),0))+IFERROR(INDEX(M_RawMaterials[固定週次消費量_要入力],MATCH($A6,M_RawMaterials[Part Name],0)),0)</f>
        <v/>
      </c>
      <c r="CC6">
        <f>SUMPRODUCT((M_BOM[Part Name]=$A6)*M_BOM[RM_Qty_Per_Batch]*IFERROR(INDEX(PP_Grid[#Data],M_BOM[PPGridRow],81),0))+IFERROR(INDEX(M_RawMaterials[固定週次消費量_要入力],MATCH($A6,M_RawMaterials[Part Name],0)),0)</f>
        <v/>
      </c>
      <c r="CD6">
        <f>SUMPRODUCT((M_BOM[Part Name]=$A6)*M_BOM[RM_Qty_Per_Batch]*IFERROR(INDEX(PP_Grid[#Data],M_BOM[PPGridRow],82),0))+IFERROR(INDEX(M_RawMaterials[固定週次消費量_要入力],MATCH($A6,M_RawMaterials[Part Name],0)),0)</f>
        <v/>
      </c>
      <c r="CE6">
        <f>SUMPRODUCT((M_BOM[Part Name]=$A6)*M_BOM[RM_Qty_Per_Batch]*IFERROR(INDEX(PP_Grid[#Data],M_BOM[PPGridRow],83),0))+IFERROR(INDEX(M_RawMaterials[固定週次消費量_要入力],MATCH($A6,M_RawMaterials[Part Name],0)),0)</f>
        <v/>
      </c>
      <c r="CF6">
        <f>SUMPRODUCT((M_BOM[Part Name]=$A6)*M_BOM[RM_Qty_Per_Batch]*IFERROR(INDEX(PP_Grid[#Data],M_BOM[PPGridRow],84),0))+IFERROR(INDEX(M_RawMaterials[固定週次消費量_要入力],MATCH($A6,M_RawMaterials[Part Name],0)),0)</f>
        <v/>
      </c>
      <c r="CG6">
        <f>SUMPRODUCT((M_BOM[Part Name]=$A6)*M_BOM[RM_Qty_Per_Batch]*IFERROR(INDEX(PP_Grid[#Data],M_BOM[PPGridRow],85),0))+IFERROR(INDEX(M_RawMaterials[固定週次消費量_要入力],MATCH($A6,M_RawMaterials[Part Name],0)),0)</f>
        <v/>
      </c>
      <c r="CH6">
        <f>SUMPRODUCT((M_BOM[Part Name]=$A6)*M_BOM[RM_Qty_Per_Batch]*IFERROR(INDEX(PP_Grid[#Data],M_BOM[PPGridRow],86),0))+IFERROR(INDEX(M_RawMaterials[固定週次消費量_要入力],MATCH($A6,M_RawMaterials[Part Name],0)),0)</f>
        <v/>
      </c>
      <c r="CI6">
        <f>SUMPRODUCT((M_BOM[Part Name]=$A6)*M_BOM[RM_Qty_Per_Batch]*IFERROR(INDEX(PP_Grid[#Data],M_BOM[PPGridRow],87),0))+IFERROR(INDEX(M_RawMaterials[固定週次消費量_要入力],MATCH($A6,M_RawMaterials[Part Name],0)),0)</f>
        <v/>
      </c>
      <c r="CJ6">
        <f>SUMPRODUCT((M_BOM[Part Name]=$A6)*M_BOM[RM_Qty_Per_Batch]*IFERROR(INDEX(PP_Grid[#Data],M_BOM[PPGridRow],88),0))+IFERROR(INDEX(M_RawMaterials[固定週次消費量_要入力],MATCH($A6,M_RawMaterials[Part Name],0)),0)</f>
        <v/>
      </c>
      <c r="CK6">
        <f>SUMPRODUCT((M_BOM[Part Name]=$A6)*M_BOM[RM_Qty_Per_Batch]*IFERROR(INDEX(PP_Grid[#Data],M_BOM[PPGridRow],89),0))+IFERROR(INDEX(M_RawMaterials[固定週次消費量_要入力],MATCH($A6,M_RawMaterials[Part Name],0)),0)</f>
        <v/>
      </c>
      <c r="CL6">
        <f>SUMPRODUCT((M_BOM[Part Name]=$A6)*M_BOM[RM_Qty_Per_Batch]*IFERROR(INDEX(PP_Grid[#Data],M_BOM[PPGridRow],90),0))+IFERROR(INDEX(M_RawMaterials[固定週次消費量_要入力],MATCH($A6,M_RawMaterials[Part Name],0)),0)</f>
        <v/>
      </c>
      <c r="CM6">
        <f>SUMPRODUCT((M_BOM[Part Name]=$A6)*M_BOM[RM_Qty_Per_Batch]*IFERROR(INDEX(PP_Grid[#Data],M_BOM[PPGridRow],91),0))+IFERROR(INDEX(M_RawMaterials[固定週次消費量_要入力],MATCH($A6,M_RawMaterials[Part Name],0)),0)</f>
        <v/>
      </c>
      <c r="CN6">
        <f>SUMPRODUCT((M_BOM[Part Name]=$A6)*M_BOM[RM_Qty_Per_Batch]*IFERROR(INDEX(PP_Grid[#Data],M_BOM[PPGridRow],92),0))+IFERROR(INDEX(M_RawMaterials[固定週次消費量_要入力],MATCH($A6,M_RawMaterials[Part Name],0)),0)</f>
        <v/>
      </c>
      <c r="CO6">
        <f>SUMPRODUCT((M_BOM[Part Name]=$A6)*M_BOM[RM_Qty_Per_Batch]*IFERROR(INDEX(PP_Grid[#Data],M_BOM[PPGridRow],93),0))+IFERROR(INDEX(M_RawMaterials[固定週次消費量_要入力],MATCH($A6,M_RawMaterials[Part Name],0)),0)</f>
        <v/>
      </c>
      <c r="CP6">
        <f>SUMPRODUCT((M_BOM[Part Name]=$A6)*M_BOM[RM_Qty_Per_Batch]*IFERROR(INDEX(PP_Grid[#Data],M_BOM[PPGridRow],94),0))+IFERROR(INDEX(M_RawMaterials[固定週次消費量_要入力],MATCH($A6,M_RawMaterials[Part Name],0)),0)</f>
        <v/>
      </c>
      <c r="CQ6">
        <f>SUMPRODUCT((M_BOM[Part Name]=$A6)*M_BOM[RM_Qty_Per_Batch]*IFERROR(INDEX(PP_Grid[#Data],M_BOM[PPGridRow],95),0))+IFERROR(INDEX(M_RawMaterials[固定週次消費量_要入力],MATCH($A6,M_RawMaterials[Part Name],0)),0)</f>
        <v/>
      </c>
      <c r="CR6">
        <f>SUMPRODUCT((M_BOM[Part Name]=$A6)*M_BOM[RM_Qty_Per_Batch]*IFERROR(INDEX(PP_Grid[#Data],M_BOM[PPGridRow],96),0))+IFERROR(INDEX(M_RawMaterials[固定週次消費量_要入力],MATCH($A6,M_RawMaterials[Part Name],0)),0)</f>
        <v/>
      </c>
      <c r="CS6">
        <f>SUMPRODUCT((M_BOM[Part Name]=$A6)*M_BOM[RM_Qty_Per_Batch]*IFERROR(INDEX(PP_Grid[#Data],M_BOM[PPGridRow],97),0))+IFERROR(INDEX(M_RawMaterials[固定週次消費量_要入力],MATCH($A6,M_RawMaterials[Part Name],0)),0)</f>
        <v/>
      </c>
      <c r="CT6">
        <f>SUMPRODUCT((M_BOM[Part Name]=$A6)*M_BOM[RM_Qty_Per_Batch]*IFERROR(INDEX(PP_Grid[#Data],M_BOM[PPGridRow],98),0))+IFERROR(INDEX(M_RawMaterials[固定週次消費量_要入力],MATCH($A6,M_RawMaterials[Part Name],0)),0)</f>
        <v/>
      </c>
      <c r="CU6">
        <f>SUMPRODUCT((M_BOM[Part Name]=$A6)*M_BOM[RM_Qty_Per_Batch]*IFERROR(INDEX(PP_Grid[#Data],M_BOM[PPGridRow],99),0))+IFERROR(INDEX(M_RawMaterials[固定週次消費量_要入力],MATCH($A6,M_RawMaterials[Part Name],0)),0)</f>
        <v/>
      </c>
      <c r="CV6">
        <f>SUMPRODUCT((M_BOM[Part Name]=$A6)*M_BOM[RM_Qty_Per_Batch]*IFERROR(INDEX(PP_Grid[#Data],M_BOM[PPGridRow],100),0))+IFERROR(INDEX(M_RawMaterials[固定週次消費量_要入力],MATCH($A6,M_RawMaterials[Part Name],0)),0)</f>
        <v/>
      </c>
      <c r="CW6">
        <f>SUMPRODUCT((M_BOM[Part Name]=$A6)*M_BOM[RM_Qty_Per_Batch]*IFERROR(INDEX(PP_Grid[#Data],M_BOM[PPGridRow],101),0))+IFERROR(INDEX(M_RawMaterials[固定週次消費量_要入力],MATCH($A6,M_RawMaterials[Part Name],0)),0)</f>
        <v/>
      </c>
      <c r="CX6">
        <f>SUMPRODUCT((M_BOM[Part Name]=$A6)*M_BOM[RM_Qty_Per_Batch]*IFERROR(INDEX(PP_Grid[#Data],M_BOM[PPGridRow],102),0))+IFERROR(INDEX(M_RawMaterials[固定週次消費量_要入力],MATCH($A6,M_RawMaterials[Part Name],0)),0)</f>
        <v/>
      </c>
      <c r="CY6">
        <f>SUMPRODUCT((M_BOM[Part Name]=$A6)*M_BOM[RM_Qty_Per_Batch]*IFERROR(INDEX(PP_Grid[#Data],M_BOM[PPGridRow],103),0))+IFERROR(INDEX(M_RawMaterials[固定週次消費量_要入力],MATCH($A6,M_RawMaterials[Part Name],0)),0)</f>
        <v/>
      </c>
      <c r="CZ6">
        <f>SUMPRODUCT((M_BOM[Part Name]=$A6)*M_BOM[RM_Qty_Per_Batch]*IFERROR(INDEX(PP_Grid[#Data],M_BOM[PPGridRow],104),0))+IFERROR(INDEX(M_RawMaterials[固定週次消費量_要入力],MATCH($A6,M_RawMaterials[Part Name],0)),0)</f>
        <v/>
      </c>
      <c r="DA6">
        <f>SUMPRODUCT((M_BOM[Part Name]=$A6)*M_BOM[RM_Qty_Per_Batch]*IFERROR(INDEX(PP_Grid[#Data],M_BOM[PPGridRow],105),0))+IFERROR(INDEX(M_RawMaterials[固定週次消費量_要入力],MATCH($A6,M_RawMaterials[Part Name],0)),0)</f>
        <v/>
      </c>
    </row>
    <row r="7">
      <c r="A7" t="inlineStr">
        <is>
          <t>OJN</t>
        </is>
      </c>
      <c r="B7">
        <f>SUMPRODUCT((M_BOM[Part Name]=$A7)*M_BOM[RM_Qty_Per_Batch]*IFERROR(INDEX(PP_Grid[#Data],M_BOM[PPGridRow],2),0))+IFERROR(INDEX(M_RawMaterials[固定週次消費量_要入力],MATCH($A7,M_RawMaterials[Part Name],0)),0)</f>
        <v/>
      </c>
      <c r="C7">
        <f>SUMPRODUCT((M_BOM[Part Name]=$A7)*M_BOM[RM_Qty_Per_Batch]*IFERROR(INDEX(PP_Grid[#Data],M_BOM[PPGridRow],3),0))+IFERROR(INDEX(M_RawMaterials[固定週次消費量_要入力],MATCH($A7,M_RawMaterials[Part Name],0)),0)</f>
        <v/>
      </c>
      <c r="D7">
        <f>SUMPRODUCT((M_BOM[Part Name]=$A7)*M_BOM[RM_Qty_Per_Batch]*IFERROR(INDEX(PP_Grid[#Data],M_BOM[PPGridRow],4),0))+IFERROR(INDEX(M_RawMaterials[固定週次消費量_要入力],MATCH($A7,M_RawMaterials[Part Name],0)),0)</f>
        <v/>
      </c>
      <c r="E7">
        <f>SUMPRODUCT((M_BOM[Part Name]=$A7)*M_BOM[RM_Qty_Per_Batch]*IFERROR(INDEX(PP_Grid[#Data],M_BOM[PPGridRow],5),0))+IFERROR(INDEX(M_RawMaterials[固定週次消費量_要入力],MATCH($A7,M_RawMaterials[Part Name],0)),0)</f>
        <v/>
      </c>
      <c r="F7">
        <f>SUMPRODUCT((M_BOM[Part Name]=$A7)*M_BOM[RM_Qty_Per_Batch]*IFERROR(INDEX(PP_Grid[#Data],M_BOM[PPGridRow],6),0))+IFERROR(INDEX(M_RawMaterials[固定週次消費量_要入力],MATCH($A7,M_RawMaterials[Part Name],0)),0)</f>
        <v/>
      </c>
      <c r="G7">
        <f>SUMPRODUCT((M_BOM[Part Name]=$A7)*M_BOM[RM_Qty_Per_Batch]*IFERROR(INDEX(PP_Grid[#Data],M_BOM[PPGridRow],7),0))+IFERROR(INDEX(M_RawMaterials[固定週次消費量_要入力],MATCH($A7,M_RawMaterials[Part Name],0)),0)</f>
        <v/>
      </c>
      <c r="H7">
        <f>SUMPRODUCT((M_BOM[Part Name]=$A7)*M_BOM[RM_Qty_Per_Batch]*IFERROR(INDEX(PP_Grid[#Data],M_BOM[PPGridRow],8),0))+IFERROR(INDEX(M_RawMaterials[固定週次消費量_要入力],MATCH($A7,M_RawMaterials[Part Name],0)),0)</f>
        <v/>
      </c>
      <c r="I7">
        <f>SUMPRODUCT((M_BOM[Part Name]=$A7)*M_BOM[RM_Qty_Per_Batch]*IFERROR(INDEX(PP_Grid[#Data],M_BOM[PPGridRow],9),0))+IFERROR(INDEX(M_RawMaterials[固定週次消費量_要入力],MATCH($A7,M_RawMaterials[Part Name],0)),0)</f>
        <v/>
      </c>
      <c r="J7">
        <f>SUMPRODUCT((M_BOM[Part Name]=$A7)*M_BOM[RM_Qty_Per_Batch]*IFERROR(INDEX(PP_Grid[#Data],M_BOM[PPGridRow],10),0))+IFERROR(INDEX(M_RawMaterials[固定週次消費量_要入力],MATCH($A7,M_RawMaterials[Part Name],0)),0)</f>
        <v/>
      </c>
      <c r="K7">
        <f>SUMPRODUCT((M_BOM[Part Name]=$A7)*M_BOM[RM_Qty_Per_Batch]*IFERROR(INDEX(PP_Grid[#Data],M_BOM[PPGridRow],11),0))+IFERROR(INDEX(M_RawMaterials[固定週次消費量_要入力],MATCH($A7,M_RawMaterials[Part Name],0)),0)</f>
        <v/>
      </c>
      <c r="L7">
        <f>SUMPRODUCT((M_BOM[Part Name]=$A7)*M_BOM[RM_Qty_Per_Batch]*IFERROR(INDEX(PP_Grid[#Data],M_BOM[PPGridRow],12),0))+IFERROR(INDEX(M_RawMaterials[固定週次消費量_要入力],MATCH($A7,M_RawMaterials[Part Name],0)),0)</f>
        <v/>
      </c>
      <c r="M7">
        <f>SUMPRODUCT((M_BOM[Part Name]=$A7)*M_BOM[RM_Qty_Per_Batch]*IFERROR(INDEX(PP_Grid[#Data],M_BOM[PPGridRow],13),0))+IFERROR(INDEX(M_RawMaterials[固定週次消費量_要入力],MATCH($A7,M_RawMaterials[Part Name],0)),0)</f>
        <v/>
      </c>
      <c r="N7">
        <f>SUMPRODUCT((M_BOM[Part Name]=$A7)*M_BOM[RM_Qty_Per_Batch]*IFERROR(INDEX(PP_Grid[#Data],M_BOM[PPGridRow],14),0))+IFERROR(INDEX(M_RawMaterials[固定週次消費量_要入力],MATCH($A7,M_RawMaterials[Part Name],0)),0)</f>
        <v/>
      </c>
      <c r="O7">
        <f>SUMPRODUCT((M_BOM[Part Name]=$A7)*M_BOM[RM_Qty_Per_Batch]*IFERROR(INDEX(PP_Grid[#Data],M_BOM[PPGridRow],15),0))+IFERROR(INDEX(M_RawMaterials[固定週次消費量_要入力],MATCH($A7,M_RawMaterials[Part Name],0)),0)</f>
        <v/>
      </c>
      <c r="P7">
        <f>SUMPRODUCT((M_BOM[Part Name]=$A7)*M_BOM[RM_Qty_Per_Batch]*IFERROR(INDEX(PP_Grid[#Data],M_BOM[PPGridRow],16),0))+IFERROR(INDEX(M_RawMaterials[固定週次消費量_要入力],MATCH($A7,M_RawMaterials[Part Name],0)),0)</f>
        <v/>
      </c>
      <c r="Q7">
        <f>SUMPRODUCT((M_BOM[Part Name]=$A7)*M_BOM[RM_Qty_Per_Batch]*IFERROR(INDEX(PP_Grid[#Data],M_BOM[PPGridRow],17),0))+IFERROR(INDEX(M_RawMaterials[固定週次消費量_要入力],MATCH($A7,M_RawMaterials[Part Name],0)),0)</f>
        <v/>
      </c>
      <c r="R7">
        <f>SUMPRODUCT((M_BOM[Part Name]=$A7)*M_BOM[RM_Qty_Per_Batch]*IFERROR(INDEX(PP_Grid[#Data],M_BOM[PPGridRow],18),0))+IFERROR(INDEX(M_RawMaterials[固定週次消費量_要入力],MATCH($A7,M_RawMaterials[Part Name],0)),0)</f>
        <v/>
      </c>
      <c r="S7">
        <f>SUMPRODUCT((M_BOM[Part Name]=$A7)*M_BOM[RM_Qty_Per_Batch]*IFERROR(INDEX(PP_Grid[#Data],M_BOM[PPGridRow],19),0))+IFERROR(INDEX(M_RawMaterials[固定週次消費量_要入力],MATCH($A7,M_RawMaterials[Part Name],0)),0)</f>
        <v/>
      </c>
      <c r="T7">
        <f>SUMPRODUCT((M_BOM[Part Name]=$A7)*M_BOM[RM_Qty_Per_Batch]*IFERROR(INDEX(PP_Grid[#Data],M_BOM[PPGridRow],20),0))+IFERROR(INDEX(M_RawMaterials[固定週次消費量_要入力],MATCH($A7,M_RawMaterials[Part Name],0)),0)</f>
        <v/>
      </c>
      <c r="U7">
        <f>SUMPRODUCT((M_BOM[Part Name]=$A7)*M_BOM[RM_Qty_Per_Batch]*IFERROR(INDEX(PP_Grid[#Data],M_BOM[PPGridRow],21),0))+IFERROR(INDEX(M_RawMaterials[固定週次消費量_要入力],MATCH($A7,M_RawMaterials[Part Name],0)),0)</f>
        <v/>
      </c>
      <c r="V7">
        <f>SUMPRODUCT((M_BOM[Part Name]=$A7)*M_BOM[RM_Qty_Per_Batch]*IFERROR(INDEX(PP_Grid[#Data],M_BOM[PPGridRow],22),0))+IFERROR(INDEX(M_RawMaterials[固定週次消費量_要入力],MATCH($A7,M_RawMaterials[Part Name],0)),0)</f>
        <v/>
      </c>
      <c r="W7">
        <f>SUMPRODUCT((M_BOM[Part Name]=$A7)*M_BOM[RM_Qty_Per_Batch]*IFERROR(INDEX(PP_Grid[#Data],M_BOM[PPGridRow],23),0))+IFERROR(INDEX(M_RawMaterials[固定週次消費量_要入力],MATCH($A7,M_RawMaterials[Part Name],0)),0)</f>
        <v/>
      </c>
      <c r="X7">
        <f>SUMPRODUCT((M_BOM[Part Name]=$A7)*M_BOM[RM_Qty_Per_Batch]*IFERROR(INDEX(PP_Grid[#Data],M_BOM[PPGridRow],24),0))+IFERROR(INDEX(M_RawMaterials[固定週次消費量_要入力],MATCH($A7,M_RawMaterials[Part Name],0)),0)</f>
        <v/>
      </c>
      <c r="Y7">
        <f>SUMPRODUCT((M_BOM[Part Name]=$A7)*M_BOM[RM_Qty_Per_Batch]*IFERROR(INDEX(PP_Grid[#Data],M_BOM[PPGridRow],25),0))+IFERROR(INDEX(M_RawMaterials[固定週次消費量_要入力],MATCH($A7,M_RawMaterials[Part Name],0)),0)</f>
        <v/>
      </c>
      <c r="Z7">
        <f>SUMPRODUCT((M_BOM[Part Name]=$A7)*M_BOM[RM_Qty_Per_Batch]*IFERROR(INDEX(PP_Grid[#Data],M_BOM[PPGridRow],26),0))+IFERROR(INDEX(M_RawMaterials[固定週次消費量_要入力],MATCH($A7,M_RawMaterials[Part Name],0)),0)</f>
        <v/>
      </c>
      <c r="AA7">
        <f>SUMPRODUCT((M_BOM[Part Name]=$A7)*M_BOM[RM_Qty_Per_Batch]*IFERROR(INDEX(PP_Grid[#Data],M_BOM[PPGridRow],27),0))+IFERROR(INDEX(M_RawMaterials[固定週次消費量_要入力],MATCH($A7,M_RawMaterials[Part Name],0)),0)</f>
        <v/>
      </c>
      <c r="AB7">
        <f>SUMPRODUCT((M_BOM[Part Name]=$A7)*M_BOM[RM_Qty_Per_Batch]*IFERROR(INDEX(PP_Grid[#Data],M_BOM[PPGridRow],28),0))+IFERROR(INDEX(M_RawMaterials[固定週次消費量_要入力],MATCH($A7,M_RawMaterials[Part Name],0)),0)</f>
        <v/>
      </c>
      <c r="AC7">
        <f>SUMPRODUCT((M_BOM[Part Name]=$A7)*M_BOM[RM_Qty_Per_Batch]*IFERROR(INDEX(PP_Grid[#Data],M_BOM[PPGridRow],29),0))+IFERROR(INDEX(M_RawMaterials[固定週次消費量_要入力],MATCH($A7,M_RawMaterials[Part Name],0)),0)</f>
        <v/>
      </c>
      <c r="AD7">
        <f>SUMPRODUCT((M_BOM[Part Name]=$A7)*M_BOM[RM_Qty_Per_Batch]*IFERROR(INDEX(PP_Grid[#Data],M_BOM[PPGridRow],30),0))+IFERROR(INDEX(M_RawMaterials[固定週次消費量_要入力],MATCH($A7,M_RawMaterials[Part Name],0)),0)</f>
        <v/>
      </c>
      <c r="AE7">
        <f>SUMPRODUCT((M_BOM[Part Name]=$A7)*M_BOM[RM_Qty_Per_Batch]*IFERROR(INDEX(PP_Grid[#Data],M_BOM[PPGridRow],31),0))+IFERROR(INDEX(M_RawMaterials[固定週次消費量_要入力],MATCH($A7,M_RawMaterials[Part Name],0)),0)</f>
        <v/>
      </c>
      <c r="AF7">
        <f>SUMPRODUCT((M_BOM[Part Name]=$A7)*M_BOM[RM_Qty_Per_Batch]*IFERROR(INDEX(PP_Grid[#Data],M_BOM[PPGridRow],32),0))+IFERROR(INDEX(M_RawMaterials[固定週次消費量_要入力],MATCH($A7,M_RawMaterials[Part Name],0)),0)</f>
        <v/>
      </c>
      <c r="AG7">
        <f>SUMPRODUCT((M_BOM[Part Name]=$A7)*M_BOM[RM_Qty_Per_Batch]*IFERROR(INDEX(PP_Grid[#Data],M_BOM[PPGridRow],33),0))+IFERROR(INDEX(M_RawMaterials[固定週次消費量_要入力],MATCH($A7,M_RawMaterials[Part Name],0)),0)</f>
        <v/>
      </c>
      <c r="AH7">
        <f>SUMPRODUCT((M_BOM[Part Name]=$A7)*M_BOM[RM_Qty_Per_Batch]*IFERROR(INDEX(PP_Grid[#Data],M_BOM[PPGridRow],34),0))+IFERROR(INDEX(M_RawMaterials[固定週次消費量_要入力],MATCH($A7,M_RawMaterials[Part Name],0)),0)</f>
        <v/>
      </c>
      <c r="AI7">
        <f>SUMPRODUCT((M_BOM[Part Name]=$A7)*M_BOM[RM_Qty_Per_Batch]*IFERROR(INDEX(PP_Grid[#Data],M_BOM[PPGridRow],35),0))+IFERROR(INDEX(M_RawMaterials[固定週次消費量_要入力],MATCH($A7,M_RawMaterials[Part Name],0)),0)</f>
        <v/>
      </c>
      <c r="AJ7">
        <f>SUMPRODUCT((M_BOM[Part Name]=$A7)*M_BOM[RM_Qty_Per_Batch]*IFERROR(INDEX(PP_Grid[#Data],M_BOM[PPGridRow],36),0))+IFERROR(INDEX(M_RawMaterials[固定週次消費量_要入力],MATCH($A7,M_RawMaterials[Part Name],0)),0)</f>
        <v/>
      </c>
      <c r="AK7">
        <f>SUMPRODUCT((M_BOM[Part Name]=$A7)*M_BOM[RM_Qty_Per_Batch]*IFERROR(INDEX(PP_Grid[#Data],M_BOM[PPGridRow],37),0))+IFERROR(INDEX(M_RawMaterials[固定週次消費量_要入力],MATCH($A7,M_RawMaterials[Part Name],0)),0)</f>
        <v/>
      </c>
      <c r="AL7">
        <f>SUMPRODUCT((M_BOM[Part Name]=$A7)*M_BOM[RM_Qty_Per_Batch]*IFERROR(INDEX(PP_Grid[#Data],M_BOM[PPGridRow],38),0))+IFERROR(INDEX(M_RawMaterials[固定週次消費量_要入力],MATCH($A7,M_RawMaterials[Part Name],0)),0)</f>
        <v/>
      </c>
      <c r="AM7">
        <f>SUMPRODUCT((M_BOM[Part Name]=$A7)*M_BOM[RM_Qty_Per_Batch]*IFERROR(INDEX(PP_Grid[#Data],M_BOM[PPGridRow],39),0))+IFERROR(INDEX(M_RawMaterials[固定週次消費量_要入力],MATCH($A7,M_RawMaterials[Part Name],0)),0)</f>
        <v/>
      </c>
      <c r="AN7">
        <f>SUMPRODUCT((M_BOM[Part Name]=$A7)*M_BOM[RM_Qty_Per_Batch]*IFERROR(INDEX(PP_Grid[#Data],M_BOM[PPGridRow],40),0))+IFERROR(INDEX(M_RawMaterials[固定週次消費量_要入力],MATCH($A7,M_RawMaterials[Part Name],0)),0)</f>
        <v/>
      </c>
      <c r="AO7">
        <f>SUMPRODUCT((M_BOM[Part Name]=$A7)*M_BOM[RM_Qty_Per_Batch]*IFERROR(INDEX(PP_Grid[#Data],M_BOM[PPGridRow],41),0))+IFERROR(INDEX(M_RawMaterials[固定週次消費量_要入力],MATCH($A7,M_RawMaterials[Part Name],0)),0)</f>
        <v/>
      </c>
      <c r="AP7">
        <f>SUMPRODUCT((M_BOM[Part Name]=$A7)*M_BOM[RM_Qty_Per_Batch]*IFERROR(INDEX(PP_Grid[#Data],M_BOM[PPGridRow],42),0))+IFERROR(INDEX(M_RawMaterials[固定週次消費量_要入力],MATCH($A7,M_RawMaterials[Part Name],0)),0)</f>
        <v/>
      </c>
      <c r="AQ7">
        <f>SUMPRODUCT((M_BOM[Part Name]=$A7)*M_BOM[RM_Qty_Per_Batch]*IFERROR(INDEX(PP_Grid[#Data],M_BOM[PPGridRow],43),0))+IFERROR(INDEX(M_RawMaterials[固定週次消費量_要入力],MATCH($A7,M_RawMaterials[Part Name],0)),0)</f>
        <v/>
      </c>
      <c r="AR7">
        <f>SUMPRODUCT((M_BOM[Part Name]=$A7)*M_BOM[RM_Qty_Per_Batch]*IFERROR(INDEX(PP_Grid[#Data],M_BOM[PPGridRow],44),0))+IFERROR(INDEX(M_RawMaterials[固定週次消費量_要入力],MATCH($A7,M_RawMaterials[Part Name],0)),0)</f>
        <v/>
      </c>
      <c r="AS7">
        <f>SUMPRODUCT((M_BOM[Part Name]=$A7)*M_BOM[RM_Qty_Per_Batch]*IFERROR(INDEX(PP_Grid[#Data],M_BOM[PPGridRow],45),0))+IFERROR(INDEX(M_RawMaterials[固定週次消費量_要入力],MATCH($A7,M_RawMaterials[Part Name],0)),0)</f>
        <v/>
      </c>
      <c r="AT7">
        <f>SUMPRODUCT((M_BOM[Part Name]=$A7)*M_BOM[RM_Qty_Per_Batch]*IFERROR(INDEX(PP_Grid[#Data],M_BOM[PPGridRow],46),0))+IFERROR(INDEX(M_RawMaterials[固定週次消費量_要入力],MATCH($A7,M_RawMaterials[Part Name],0)),0)</f>
        <v/>
      </c>
      <c r="AU7">
        <f>SUMPRODUCT((M_BOM[Part Name]=$A7)*M_BOM[RM_Qty_Per_Batch]*IFERROR(INDEX(PP_Grid[#Data],M_BOM[PPGridRow],47),0))+IFERROR(INDEX(M_RawMaterials[固定週次消費量_要入力],MATCH($A7,M_RawMaterials[Part Name],0)),0)</f>
        <v/>
      </c>
      <c r="AV7">
        <f>SUMPRODUCT((M_BOM[Part Name]=$A7)*M_BOM[RM_Qty_Per_Batch]*IFERROR(INDEX(PP_Grid[#Data],M_BOM[PPGridRow],48),0))+IFERROR(INDEX(M_RawMaterials[固定週次消費量_要入力],MATCH($A7,M_RawMaterials[Part Name],0)),0)</f>
        <v/>
      </c>
      <c r="AW7">
        <f>SUMPRODUCT((M_BOM[Part Name]=$A7)*M_BOM[RM_Qty_Per_Batch]*IFERROR(INDEX(PP_Grid[#Data],M_BOM[PPGridRow],49),0))+IFERROR(INDEX(M_RawMaterials[固定週次消費量_要入力],MATCH($A7,M_RawMaterials[Part Name],0)),0)</f>
        <v/>
      </c>
      <c r="AX7">
        <f>SUMPRODUCT((M_BOM[Part Name]=$A7)*M_BOM[RM_Qty_Per_Batch]*IFERROR(INDEX(PP_Grid[#Data],M_BOM[PPGridRow],50),0))+IFERROR(INDEX(M_RawMaterials[固定週次消費量_要入力],MATCH($A7,M_RawMaterials[Part Name],0)),0)</f>
        <v/>
      </c>
      <c r="AY7">
        <f>SUMPRODUCT((M_BOM[Part Name]=$A7)*M_BOM[RM_Qty_Per_Batch]*IFERROR(INDEX(PP_Grid[#Data],M_BOM[PPGridRow],51),0))+IFERROR(INDEX(M_RawMaterials[固定週次消費量_要入力],MATCH($A7,M_RawMaterials[Part Name],0)),0)</f>
        <v/>
      </c>
      <c r="AZ7">
        <f>SUMPRODUCT((M_BOM[Part Name]=$A7)*M_BOM[RM_Qty_Per_Batch]*IFERROR(INDEX(PP_Grid[#Data],M_BOM[PPGridRow],52),0))+IFERROR(INDEX(M_RawMaterials[固定週次消費量_要入力],MATCH($A7,M_RawMaterials[Part Name],0)),0)</f>
        <v/>
      </c>
      <c r="BA7">
        <f>SUMPRODUCT((M_BOM[Part Name]=$A7)*M_BOM[RM_Qty_Per_Batch]*IFERROR(INDEX(PP_Grid[#Data],M_BOM[PPGridRow],53),0))+IFERROR(INDEX(M_RawMaterials[固定週次消費量_要入力],MATCH($A7,M_RawMaterials[Part Name],0)),0)</f>
        <v/>
      </c>
      <c r="BB7">
        <f>SUMPRODUCT((M_BOM[Part Name]=$A7)*M_BOM[RM_Qty_Per_Batch]*IFERROR(INDEX(PP_Grid[#Data],M_BOM[PPGridRow],54),0))+IFERROR(INDEX(M_RawMaterials[固定週次消費量_要入力],MATCH($A7,M_RawMaterials[Part Name],0)),0)</f>
        <v/>
      </c>
      <c r="BC7">
        <f>SUMPRODUCT((M_BOM[Part Name]=$A7)*M_BOM[RM_Qty_Per_Batch]*IFERROR(INDEX(PP_Grid[#Data],M_BOM[PPGridRow],55),0))+IFERROR(INDEX(M_RawMaterials[固定週次消費量_要入力],MATCH($A7,M_RawMaterials[Part Name],0)),0)</f>
        <v/>
      </c>
      <c r="BD7">
        <f>SUMPRODUCT((M_BOM[Part Name]=$A7)*M_BOM[RM_Qty_Per_Batch]*IFERROR(INDEX(PP_Grid[#Data],M_BOM[PPGridRow],56),0))+IFERROR(INDEX(M_RawMaterials[固定週次消費量_要入力],MATCH($A7,M_RawMaterials[Part Name],0)),0)</f>
        <v/>
      </c>
      <c r="BE7">
        <f>SUMPRODUCT((M_BOM[Part Name]=$A7)*M_BOM[RM_Qty_Per_Batch]*IFERROR(INDEX(PP_Grid[#Data],M_BOM[PPGridRow],57),0))+IFERROR(INDEX(M_RawMaterials[固定週次消費量_要入力],MATCH($A7,M_RawMaterials[Part Name],0)),0)</f>
        <v/>
      </c>
      <c r="BF7">
        <f>SUMPRODUCT((M_BOM[Part Name]=$A7)*M_BOM[RM_Qty_Per_Batch]*IFERROR(INDEX(PP_Grid[#Data],M_BOM[PPGridRow],58),0))+IFERROR(INDEX(M_RawMaterials[固定週次消費量_要入力],MATCH($A7,M_RawMaterials[Part Name],0)),0)</f>
        <v/>
      </c>
      <c r="BG7">
        <f>SUMPRODUCT((M_BOM[Part Name]=$A7)*M_BOM[RM_Qty_Per_Batch]*IFERROR(INDEX(PP_Grid[#Data],M_BOM[PPGridRow],59),0))+IFERROR(INDEX(M_RawMaterials[固定週次消費量_要入力],MATCH($A7,M_RawMaterials[Part Name],0)),0)</f>
        <v/>
      </c>
      <c r="BH7">
        <f>SUMPRODUCT((M_BOM[Part Name]=$A7)*M_BOM[RM_Qty_Per_Batch]*IFERROR(INDEX(PP_Grid[#Data],M_BOM[PPGridRow],60),0))+IFERROR(INDEX(M_RawMaterials[固定週次消費量_要入力],MATCH($A7,M_RawMaterials[Part Name],0)),0)</f>
        <v/>
      </c>
      <c r="BI7">
        <f>SUMPRODUCT((M_BOM[Part Name]=$A7)*M_BOM[RM_Qty_Per_Batch]*IFERROR(INDEX(PP_Grid[#Data],M_BOM[PPGridRow],61),0))+IFERROR(INDEX(M_RawMaterials[固定週次消費量_要入力],MATCH($A7,M_RawMaterials[Part Name],0)),0)</f>
        <v/>
      </c>
      <c r="BJ7">
        <f>SUMPRODUCT((M_BOM[Part Name]=$A7)*M_BOM[RM_Qty_Per_Batch]*IFERROR(INDEX(PP_Grid[#Data],M_BOM[PPGridRow],62),0))+IFERROR(INDEX(M_RawMaterials[固定週次消費量_要入力],MATCH($A7,M_RawMaterials[Part Name],0)),0)</f>
        <v/>
      </c>
      <c r="BK7">
        <f>SUMPRODUCT((M_BOM[Part Name]=$A7)*M_BOM[RM_Qty_Per_Batch]*IFERROR(INDEX(PP_Grid[#Data],M_BOM[PPGridRow],63),0))+IFERROR(INDEX(M_RawMaterials[固定週次消費量_要入力],MATCH($A7,M_RawMaterials[Part Name],0)),0)</f>
        <v/>
      </c>
      <c r="BL7">
        <f>SUMPRODUCT((M_BOM[Part Name]=$A7)*M_BOM[RM_Qty_Per_Batch]*IFERROR(INDEX(PP_Grid[#Data],M_BOM[PPGridRow],64),0))+IFERROR(INDEX(M_RawMaterials[固定週次消費量_要入力],MATCH($A7,M_RawMaterials[Part Name],0)),0)</f>
        <v/>
      </c>
      <c r="BM7">
        <f>SUMPRODUCT((M_BOM[Part Name]=$A7)*M_BOM[RM_Qty_Per_Batch]*IFERROR(INDEX(PP_Grid[#Data],M_BOM[PPGridRow],65),0))+IFERROR(INDEX(M_RawMaterials[固定週次消費量_要入力],MATCH($A7,M_RawMaterials[Part Name],0)),0)</f>
        <v/>
      </c>
      <c r="BN7">
        <f>SUMPRODUCT((M_BOM[Part Name]=$A7)*M_BOM[RM_Qty_Per_Batch]*IFERROR(INDEX(PP_Grid[#Data],M_BOM[PPGridRow],66),0))+IFERROR(INDEX(M_RawMaterials[固定週次消費量_要入力],MATCH($A7,M_RawMaterials[Part Name],0)),0)</f>
        <v/>
      </c>
      <c r="BO7">
        <f>SUMPRODUCT((M_BOM[Part Name]=$A7)*M_BOM[RM_Qty_Per_Batch]*IFERROR(INDEX(PP_Grid[#Data],M_BOM[PPGridRow],67),0))+IFERROR(INDEX(M_RawMaterials[固定週次消費量_要入力],MATCH($A7,M_RawMaterials[Part Name],0)),0)</f>
        <v/>
      </c>
      <c r="BP7">
        <f>SUMPRODUCT((M_BOM[Part Name]=$A7)*M_BOM[RM_Qty_Per_Batch]*IFERROR(INDEX(PP_Grid[#Data],M_BOM[PPGridRow],68),0))+IFERROR(INDEX(M_RawMaterials[固定週次消費量_要入力],MATCH($A7,M_RawMaterials[Part Name],0)),0)</f>
        <v/>
      </c>
      <c r="BQ7">
        <f>SUMPRODUCT((M_BOM[Part Name]=$A7)*M_BOM[RM_Qty_Per_Batch]*IFERROR(INDEX(PP_Grid[#Data],M_BOM[PPGridRow],69),0))+IFERROR(INDEX(M_RawMaterials[固定週次消費量_要入力],MATCH($A7,M_RawMaterials[Part Name],0)),0)</f>
        <v/>
      </c>
      <c r="BR7">
        <f>SUMPRODUCT((M_BOM[Part Name]=$A7)*M_BOM[RM_Qty_Per_Batch]*IFERROR(INDEX(PP_Grid[#Data],M_BOM[PPGridRow],70),0))+IFERROR(INDEX(M_RawMaterials[固定週次消費量_要入力],MATCH($A7,M_RawMaterials[Part Name],0)),0)</f>
        <v/>
      </c>
      <c r="BS7">
        <f>SUMPRODUCT((M_BOM[Part Name]=$A7)*M_BOM[RM_Qty_Per_Batch]*IFERROR(INDEX(PP_Grid[#Data],M_BOM[PPGridRow],71),0))+IFERROR(INDEX(M_RawMaterials[固定週次消費量_要入力],MATCH($A7,M_RawMaterials[Part Name],0)),0)</f>
        <v/>
      </c>
      <c r="BT7">
        <f>SUMPRODUCT((M_BOM[Part Name]=$A7)*M_BOM[RM_Qty_Per_Batch]*IFERROR(INDEX(PP_Grid[#Data],M_BOM[PPGridRow],72),0))+IFERROR(INDEX(M_RawMaterials[固定週次消費量_要入力],MATCH($A7,M_RawMaterials[Part Name],0)),0)</f>
        <v/>
      </c>
      <c r="BU7">
        <f>SUMPRODUCT((M_BOM[Part Name]=$A7)*M_BOM[RM_Qty_Per_Batch]*IFERROR(INDEX(PP_Grid[#Data],M_BOM[PPGridRow],73),0))+IFERROR(INDEX(M_RawMaterials[固定週次消費量_要入力],MATCH($A7,M_RawMaterials[Part Name],0)),0)</f>
        <v/>
      </c>
      <c r="BV7">
        <f>SUMPRODUCT((M_BOM[Part Name]=$A7)*M_BOM[RM_Qty_Per_Batch]*IFERROR(INDEX(PP_Grid[#Data],M_BOM[PPGridRow],74),0))+IFERROR(INDEX(M_RawMaterials[固定週次消費量_要入力],MATCH($A7,M_RawMaterials[Part Name],0)),0)</f>
        <v/>
      </c>
      <c r="BW7">
        <f>SUMPRODUCT((M_BOM[Part Name]=$A7)*M_BOM[RM_Qty_Per_Batch]*IFERROR(INDEX(PP_Grid[#Data],M_BOM[PPGridRow],75),0))+IFERROR(INDEX(M_RawMaterials[固定週次消費量_要入力],MATCH($A7,M_RawMaterials[Part Name],0)),0)</f>
        <v/>
      </c>
      <c r="BX7">
        <f>SUMPRODUCT((M_BOM[Part Name]=$A7)*M_BOM[RM_Qty_Per_Batch]*IFERROR(INDEX(PP_Grid[#Data],M_BOM[PPGridRow],76),0))+IFERROR(INDEX(M_RawMaterials[固定週次消費量_要入力],MATCH($A7,M_RawMaterials[Part Name],0)),0)</f>
        <v/>
      </c>
      <c r="BY7">
        <f>SUMPRODUCT((M_BOM[Part Name]=$A7)*M_BOM[RM_Qty_Per_Batch]*IFERROR(INDEX(PP_Grid[#Data],M_BOM[PPGridRow],77),0))+IFERROR(INDEX(M_RawMaterials[固定週次消費量_要入力],MATCH($A7,M_RawMaterials[Part Name],0)),0)</f>
        <v/>
      </c>
      <c r="BZ7">
        <f>SUMPRODUCT((M_BOM[Part Name]=$A7)*M_BOM[RM_Qty_Per_Batch]*IFERROR(INDEX(PP_Grid[#Data],M_BOM[PPGridRow],78),0))+IFERROR(INDEX(M_RawMaterials[固定週次消費量_要入力],MATCH($A7,M_RawMaterials[Part Name],0)),0)</f>
        <v/>
      </c>
      <c r="CA7">
        <f>SUMPRODUCT((M_BOM[Part Name]=$A7)*M_BOM[RM_Qty_Per_Batch]*IFERROR(INDEX(PP_Grid[#Data],M_BOM[PPGridRow],79),0))+IFERROR(INDEX(M_RawMaterials[固定週次消費量_要入力],MATCH($A7,M_RawMaterials[Part Name],0)),0)</f>
        <v/>
      </c>
      <c r="CB7">
        <f>SUMPRODUCT((M_BOM[Part Name]=$A7)*M_BOM[RM_Qty_Per_Batch]*IFERROR(INDEX(PP_Grid[#Data],M_BOM[PPGridRow],80),0))+IFERROR(INDEX(M_RawMaterials[固定週次消費量_要入力],MATCH($A7,M_RawMaterials[Part Name],0)),0)</f>
        <v/>
      </c>
      <c r="CC7">
        <f>SUMPRODUCT((M_BOM[Part Name]=$A7)*M_BOM[RM_Qty_Per_Batch]*IFERROR(INDEX(PP_Grid[#Data],M_BOM[PPGridRow],81),0))+IFERROR(INDEX(M_RawMaterials[固定週次消費量_要入力],MATCH($A7,M_RawMaterials[Part Name],0)),0)</f>
        <v/>
      </c>
      <c r="CD7">
        <f>SUMPRODUCT((M_BOM[Part Name]=$A7)*M_BOM[RM_Qty_Per_Batch]*IFERROR(INDEX(PP_Grid[#Data],M_BOM[PPGridRow],82),0))+IFERROR(INDEX(M_RawMaterials[固定週次消費量_要入力],MATCH($A7,M_RawMaterials[Part Name],0)),0)</f>
        <v/>
      </c>
      <c r="CE7">
        <f>SUMPRODUCT((M_BOM[Part Name]=$A7)*M_BOM[RM_Qty_Per_Batch]*IFERROR(INDEX(PP_Grid[#Data],M_BOM[PPGridRow],83),0))+IFERROR(INDEX(M_RawMaterials[固定週次消費量_要入力],MATCH($A7,M_RawMaterials[Part Name],0)),0)</f>
        <v/>
      </c>
      <c r="CF7">
        <f>SUMPRODUCT((M_BOM[Part Name]=$A7)*M_BOM[RM_Qty_Per_Batch]*IFERROR(INDEX(PP_Grid[#Data],M_BOM[PPGridRow],84),0))+IFERROR(INDEX(M_RawMaterials[固定週次消費量_要入力],MATCH($A7,M_RawMaterials[Part Name],0)),0)</f>
        <v/>
      </c>
      <c r="CG7">
        <f>SUMPRODUCT((M_BOM[Part Name]=$A7)*M_BOM[RM_Qty_Per_Batch]*IFERROR(INDEX(PP_Grid[#Data],M_BOM[PPGridRow],85),0))+IFERROR(INDEX(M_RawMaterials[固定週次消費量_要入力],MATCH($A7,M_RawMaterials[Part Name],0)),0)</f>
        <v/>
      </c>
      <c r="CH7">
        <f>SUMPRODUCT((M_BOM[Part Name]=$A7)*M_BOM[RM_Qty_Per_Batch]*IFERROR(INDEX(PP_Grid[#Data],M_BOM[PPGridRow],86),0))+IFERROR(INDEX(M_RawMaterials[固定週次消費量_要入力],MATCH($A7,M_RawMaterials[Part Name],0)),0)</f>
        <v/>
      </c>
      <c r="CI7">
        <f>SUMPRODUCT((M_BOM[Part Name]=$A7)*M_BOM[RM_Qty_Per_Batch]*IFERROR(INDEX(PP_Grid[#Data],M_BOM[PPGridRow],87),0))+IFERROR(INDEX(M_RawMaterials[固定週次消費量_要入力],MATCH($A7,M_RawMaterials[Part Name],0)),0)</f>
        <v/>
      </c>
      <c r="CJ7">
        <f>SUMPRODUCT((M_BOM[Part Name]=$A7)*M_BOM[RM_Qty_Per_Batch]*IFERROR(INDEX(PP_Grid[#Data],M_BOM[PPGridRow],88),0))+IFERROR(INDEX(M_RawMaterials[固定週次消費量_要入力],MATCH($A7,M_RawMaterials[Part Name],0)),0)</f>
        <v/>
      </c>
      <c r="CK7">
        <f>SUMPRODUCT((M_BOM[Part Name]=$A7)*M_BOM[RM_Qty_Per_Batch]*IFERROR(INDEX(PP_Grid[#Data],M_BOM[PPGridRow],89),0))+IFERROR(INDEX(M_RawMaterials[固定週次消費量_要入力],MATCH($A7,M_RawMaterials[Part Name],0)),0)</f>
        <v/>
      </c>
      <c r="CL7">
        <f>SUMPRODUCT((M_BOM[Part Name]=$A7)*M_BOM[RM_Qty_Per_Batch]*IFERROR(INDEX(PP_Grid[#Data],M_BOM[PPGridRow],90),0))+IFERROR(INDEX(M_RawMaterials[固定週次消費量_要入力],MATCH($A7,M_RawMaterials[Part Name],0)),0)</f>
        <v/>
      </c>
      <c r="CM7">
        <f>SUMPRODUCT((M_BOM[Part Name]=$A7)*M_BOM[RM_Qty_Per_Batch]*IFERROR(INDEX(PP_Grid[#Data],M_BOM[PPGridRow],91),0))+IFERROR(INDEX(M_RawMaterials[固定週次消費量_要入力],MATCH($A7,M_RawMaterials[Part Name],0)),0)</f>
        <v/>
      </c>
      <c r="CN7">
        <f>SUMPRODUCT((M_BOM[Part Name]=$A7)*M_BOM[RM_Qty_Per_Batch]*IFERROR(INDEX(PP_Grid[#Data],M_BOM[PPGridRow],92),0))+IFERROR(INDEX(M_RawMaterials[固定週次消費量_要入力],MATCH($A7,M_RawMaterials[Part Name],0)),0)</f>
        <v/>
      </c>
      <c r="CO7">
        <f>SUMPRODUCT((M_BOM[Part Name]=$A7)*M_BOM[RM_Qty_Per_Batch]*IFERROR(INDEX(PP_Grid[#Data],M_BOM[PPGridRow],93),0))+IFERROR(INDEX(M_RawMaterials[固定週次消費量_要入力],MATCH($A7,M_RawMaterials[Part Name],0)),0)</f>
        <v/>
      </c>
      <c r="CP7">
        <f>SUMPRODUCT((M_BOM[Part Name]=$A7)*M_BOM[RM_Qty_Per_Batch]*IFERROR(INDEX(PP_Grid[#Data],M_BOM[PPGridRow],94),0))+IFERROR(INDEX(M_RawMaterials[固定週次消費量_要入力],MATCH($A7,M_RawMaterials[Part Name],0)),0)</f>
        <v/>
      </c>
      <c r="CQ7">
        <f>SUMPRODUCT((M_BOM[Part Name]=$A7)*M_BOM[RM_Qty_Per_Batch]*IFERROR(INDEX(PP_Grid[#Data],M_BOM[PPGridRow],95),0))+IFERROR(INDEX(M_RawMaterials[固定週次消費量_要入力],MATCH($A7,M_RawMaterials[Part Name],0)),0)</f>
        <v/>
      </c>
      <c r="CR7">
        <f>SUMPRODUCT((M_BOM[Part Name]=$A7)*M_BOM[RM_Qty_Per_Batch]*IFERROR(INDEX(PP_Grid[#Data],M_BOM[PPGridRow],96),0))+IFERROR(INDEX(M_RawMaterials[固定週次消費量_要入力],MATCH($A7,M_RawMaterials[Part Name],0)),0)</f>
        <v/>
      </c>
      <c r="CS7">
        <f>SUMPRODUCT((M_BOM[Part Name]=$A7)*M_BOM[RM_Qty_Per_Batch]*IFERROR(INDEX(PP_Grid[#Data],M_BOM[PPGridRow],97),0))+IFERROR(INDEX(M_RawMaterials[固定週次消費量_要入力],MATCH($A7,M_RawMaterials[Part Name],0)),0)</f>
        <v/>
      </c>
      <c r="CT7">
        <f>SUMPRODUCT((M_BOM[Part Name]=$A7)*M_BOM[RM_Qty_Per_Batch]*IFERROR(INDEX(PP_Grid[#Data],M_BOM[PPGridRow],98),0))+IFERROR(INDEX(M_RawMaterials[固定週次消費量_要入力],MATCH($A7,M_RawMaterials[Part Name],0)),0)</f>
        <v/>
      </c>
      <c r="CU7">
        <f>SUMPRODUCT((M_BOM[Part Name]=$A7)*M_BOM[RM_Qty_Per_Batch]*IFERROR(INDEX(PP_Grid[#Data],M_BOM[PPGridRow],99),0))+IFERROR(INDEX(M_RawMaterials[固定週次消費量_要入力],MATCH($A7,M_RawMaterials[Part Name],0)),0)</f>
        <v/>
      </c>
      <c r="CV7">
        <f>SUMPRODUCT((M_BOM[Part Name]=$A7)*M_BOM[RM_Qty_Per_Batch]*IFERROR(INDEX(PP_Grid[#Data],M_BOM[PPGridRow],100),0))+IFERROR(INDEX(M_RawMaterials[固定週次消費量_要入力],MATCH($A7,M_RawMaterials[Part Name],0)),0)</f>
        <v/>
      </c>
      <c r="CW7">
        <f>SUMPRODUCT((M_BOM[Part Name]=$A7)*M_BOM[RM_Qty_Per_Batch]*IFERROR(INDEX(PP_Grid[#Data],M_BOM[PPGridRow],101),0))+IFERROR(INDEX(M_RawMaterials[固定週次消費量_要入力],MATCH($A7,M_RawMaterials[Part Name],0)),0)</f>
        <v/>
      </c>
      <c r="CX7">
        <f>SUMPRODUCT((M_BOM[Part Name]=$A7)*M_BOM[RM_Qty_Per_Batch]*IFERROR(INDEX(PP_Grid[#Data],M_BOM[PPGridRow],102),0))+IFERROR(INDEX(M_RawMaterials[固定週次消費量_要入力],MATCH($A7,M_RawMaterials[Part Name],0)),0)</f>
        <v/>
      </c>
      <c r="CY7">
        <f>SUMPRODUCT((M_BOM[Part Name]=$A7)*M_BOM[RM_Qty_Per_Batch]*IFERROR(INDEX(PP_Grid[#Data],M_BOM[PPGridRow],103),0))+IFERROR(INDEX(M_RawMaterials[固定週次消費量_要入力],MATCH($A7,M_RawMaterials[Part Name],0)),0)</f>
        <v/>
      </c>
      <c r="CZ7">
        <f>SUMPRODUCT((M_BOM[Part Name]=$A7)*M_BOM[RM_Qty_Per_Batch]*IFERROR(INDEX(PP_Grid[#Data],M_BOM[PPGridRow],104),0))+IFERROR(INDEX(M_RawMaterials[固定週次消費量_要入力],MATCH($A7,M_RawMaterials[Part Name],0)),0)</f>
        <v/>
      </c>
      <c r="DA7">
        <f>SUMPRODUCT((M_BOM[Part Name]=$A7)*M_BOM[RM_Qty_Per_Batch]*IFERROR(INDEX(PP_Grid[#Data],M_BOM[PPGridRow],105),0))+IFERROR(INDEX(M_RawMaterials[固定週次消費量_要入力],MATCH($A7,M_RawMaterials[Part Name],0)),0)</f>
        <v/>
      </c>
    </row>
    <row r="8">
      <c r="A8" t="inlineStr">
        <is>
          <t>TDJ</t>
        </is>
      </c>
      <c r="B8">
        <f>SUMPRODUCT((M_BOM[Part Name]=$A8)*M_BOM[RM_Qty_Per_Batch]*IFERROR(INDEX(PP_Grid[#Data],M_BOM[PPGridRow],2),0))+IFERROR(INDEX(M_RawMaterials[固定週次消費量_要入力],MATCH($A8,M_RawMaterials[Part Name],0)),0)</f>
        <v/>
      </c>
      <c r="C8">
        <f>SUMPRODUCT((M_BOM[Part Name]=$A8)*M_BOM[RM_Qty_Per_Batch]*IFERROR(INDEX(PP_Grid[#Data],M_BOM[PPGridRow],3),0))+IFERROR(INDEX(M_RawMaterials[固定週次消費量_要入力],MATCH($A8,M_RawMaterials[Part Name],0)),0)</f>
        <v/>
      </c>
      <c r="D8">
        <f>SUMPRODUCT((M_BOM[Part Name]=$A8)*M_BOM[RM_Qty_Per_Batch]*IFERROR(INDEX(PP_Grid[#Data],M_BOM[PPGridRow],4),0))+IFERROR(INDEX(M_RawMaterials[固定週次消費量_要入力],MATCH($A8,M_RawMaterials[Part Name],0)),0)</f>
        <v/>
      </c>
      <c r="E8">
        <f>SUMPRODUCT((M_BOM[Part Name]=$A8)*M_BOM[RM_Qty_Per_Batch]*IFERROR(INDEX(PP_Grid[#Data],M_BOM[PPGridRow],5),0))+IFERROR(INDEX(M_RawMaterials[固定週次消費量_要入力],MATCH($A8,M_RawMaterials[Part Name],0)),0)</f>
        <v/>
      </c>
      <c r="F8">
        <f>SUMPRODUCT((M_BOM[Part Name]=$A8)*M_BOM[RM_Qty_Per_Batch]*IFERROR(INDEX(PP_Grid[#Data],M_BOM[PPGridRow],6),0))+IFERROR(INDEX(M_RawMaterials[固定週次消費量_要入力],MATCH($A8,M_RawMaterials[Part Name],0)),0)</f>
        <v/>
      </c>
      <c r="G8">
        <f>SUMPRODUCT((M_BOM[Part Name]=$A8)*M_BOM[RM_Qty_Per_Batch]*IFERROR(INDEX(PP_Grid[#Data],M_BOM[PPGridRow],7),0))+IFERROR(INDEX(M_RawMaterials[固定週次消費量_要入力],MATCH($A8,M_RawMaterials[Part Name],0)),0)</f>
        <v/>
      </c>
      <c r="H8">
        <f>SUMPRODUCT((M_BOM[Part Name]=$A8)*M_BOM[RM_Qty_Per_Batch]*IFERROR(INDEX(PP_Grid[#Data],M_BOM[PPGridRow],8),0))+IFERROR(INDEX(M_RawMaterials[固定週次消費量_要入力],MATCH($A8,M_RawMaterials[Part Name],0)),0)</f>
        <v/>
      </c>
      <c r="I8">
        <f>SUMPRODUCT((M_BOM[Part Name]=$A8)*M_BOM[RM_Qty_Per_Batch]*IFERROR(INDEX(PP_Grid[#Data],M_BOM[PPGridRow],9),0))+IFERROR(INDEX(M_RawMaterials[固定週次消費量_要入力],MATCH($A8,M_RawMaterials[Part Name],0)),0)</f>
        <v/>
      </c>
      <c r="J8">
        <f>SUMPRODUCT((M_BOM[Part Name]=$A8)*M_BOM[RM_Qty_Per_Batch]*IFERROR(INDEX(PP_Grid[#Data],M_BOM[PPGridRow],10),0))+IFERROR(INDEX(M_RawMaterials[固定週次消費量_要入力],MATCH($A8,M_RawMaterials[Part Name],0)),0)</f>
        <v/>
      </c>
      <c r="K8">
        <f>SUMPRODUCT((M_BOM[Part Name]=$A8)*M_BOM[RM_Qty_Per_Batch]*IFERROR(INDEX(PP_Grid[#Data],M_BOM[PPGridRow],11),0))+IFERROR(INDEX(M_RawMaterials[固定週次消費量_要入力],MATCH($A8,M_RawMaterials[Part Name],0)),0)</f>
        <v/>
      </c>
      <c r="L8">
        <f>SUMPRODUCT((M_BOM[Part Name]=$A8)*M_BOM[RM_Qty_Per_Batch]*IFERROR(INDEX(PP_Grid[#Data],M_BOM[PPGridRow],12),0))+IFERROR(INDEX(M_RawMaterials[固定週次消費量_要入力],MATCH($A8,M_RawMaterials[Part Name],0)),0)</f>
        <v/>
      </c>
      <c r="M8">
        <f>SUMPRODUCT((M_BOM[Part Name]=$A8)*M_BOM[RM_Qty_Per_Batch]*IFERROR(INDEX(PP_Grid[#Data],M_BOM[PPGridRow],13),0))+IFERROR(INDEX(M_RawMaterials[固定週次消費量_要入力],MATCH($A8,M_RawMaterials[Part Name],0)),0)</f>
        <v/>
      </c>
      <c r="N8">
        <f>SUMPRODUCT((M_BOM[Part Name]=$A8)*M_BOM[RM_Qty_Per_Batch]*IFERROR(INDEX(PP_Grid[#Data],M_BOM[PPGridRow],14),0))+IFERROR(INDEX(M_RawMaterials[固定週次消費量_要入力],MATCH($A8,M_RawMaterials[Part Name],0)),0)</f>
        <v/>
      </c>
      <c r="O8">
        <f>SUMPRODUCT((M_BOM[Part Name]=$A8)*M_BOM[RM_Qty_Per_Batch]*IFERROR(INDEX(PP_Grid[#Data],M_BOM[PPGridRow],15),0))+IFERROR(INDEX(M_RawMaterials[固定週次消費量_要入力],MATCH($A8,M_RawMaterials[Part Name],0)),0)</f>
        <v/>
      </c>
      <c r="P8">
        <f>SUMPRODUCT((M_BOM[Part Name]=$A8)*M_BOM[RM_Qty_Per_Batch]*IFERROR(INDEX(PP_Grid[#Data],M_BOM[PPGridRow],16),0))+IFERROR(INDEX(M_RawMaterials[固定週次消費量_要入力],MATCH($A8,M_RawMaterials[Part Name],0)),0)</f>
        <v/>
      </c>
      <c r="Q8">
        <f>SUMPRODUCT((M_BOM[Part Name]=$A8)*M_BOM[RM_Qty_Per_Batch]*IFERROR(INDEX(PP_Grid[#Data],M_BOM[PPGridRow],17),0))+IFERROR(INDEX(M_RawMaterials[固定週次消費量_要入力],MATCH($A8,M_RawMaterials[Part Name],0)),0)</f>
        <v/>
      </c>
      <c r="R8">
        <f>SUMPRODUCT((M_BOM[Part Name]=$A8)*M_BOM[RM_Qty_Per_Batch]*IFERROR(INDEX(PP_Grid[#Data],M_BOM[PPGridRow],18),0))+IFERROR(INDEX(M_RawMaterials[固定週次消費量_要入力],MATCH($A8,M_RawMaterials[Part Name],0)),0)</f>
        <v/>
      </c>
      <c r="S8">
        <f>SUMPRODUCT((M_BOM[Part Name]=$A8)*M_BOM[RM_Qty_Per_Batch]*IFERROR(INDEX(PP_Grid[#Data],M_BOM[PPGridRow],19),0))+IFERROR(INDEX(M_RawMaterials[固定週次消費量_要入力],MATCH($A8,M_RawMaterials[Part Name],0)),0)</f>
        <v/>
      </c>
      <c r="T8">
        <f>SUMPRODUCT((M_BOM[Part Name]=$A8)*M_BOM[RM_Qty_Per_Batch]*IFERROR(INDEX(PP_Grid[#Data],M_BOM[PPGridRow],20),0))+IFERROR(INDEX(M_RawMaterials[固定週次消費量_要入力],MATCH($A8,M_RawMaterials[Part Name],0)),0)</f>
        <v/>
      </c>
      <c r="U8">
        <f>SUMPRODUCT((M_BOM[Part Name]=$A8)*M_BOM[RM_Qty_Per_Batch]*IFERROR(INDEX(PP_Grid[#Data],M_BOM[PPGridRow],21),0))+IFERROR(INDEX(M_RawMaterials[固定週次消費量_要入力],MATCH($A8,M_RawMaterials[Part Name],0)),0)</f>
        <v/>
      </c>
      <c r="V8">
        <f>SUMPRODUCT((M_BOM[Part Name]=$A8)*M_BOM[RM_Qty_Per_Batch]*IFERROR(INDEX(PP_Grid[#Data],M_BOM[PPGridRow],22),0))+IFERROR(INDEX(M_RawMaterials[固定週次消費量_要入力],MATCH($A8,M_RawMaterials[Part Name],0)),0)</f>
        <v/>
      </c>
      <c r="W8">
        <f>SUMPRODUCT((M_BOM[Part Name]=$A8)*M_BOM[RM_Qty_Per_Batch]*IFERROR(INDEX(PP_Grid[#Data],M_BOM[PPGridRow],23),0))+IFERROR(INDEX(M_RawMaterials[固定週次消費量_要入力],MATCH($A8,M_RawMaterials[Part Name],0)),0)</f>
        <v/>
      </c>
      <c r="X8">
        <f>SUMPRODUCT((M_BOM[Part Name]=$A8)*M_BOM[RM_Qty_Per_Batch]*IFERROR(INDEX(PP_Grid[#Data],M_BOM[PPGridRow],24),0))+IFERROR(INDEX(M_RawMaterials[固定週次消費量_要入力],MATCH($A8,M_RawMaterials[Part Name],0)),0)</f>
        <v/>
      </c>
      <c r="Y8">
        <f>SUMPRODUCT((M_BOM[Part Name]=$A8)*M_BOM[RM_Qty_Per_Batch]*IFERROR(INDEX(PP_Grid[#Data],M_BOM[PPGridRow],25),0))+IFERROR(INDEX(M_RawMaterials[固定週次消費量_要入力],MATCH($A8,M_RawMaterials[Part Name],0)),0)</f>
        <v/>
      </c>
      <c r="Z8">
        <f>SUMPRODUCT((M_BOM[Part Name]=$A8)*M_BOM[RM_Qty_Per_Batch]*IFERROR(INDEX(PP_Grid[#Data],M_BOM[PPGridRow],26),0))+IFERROR(INDEX(M_RawMaterials[固定週次消費量_要入力],MATCH($A8,M_RawMaterials[Part Name],0)),0)</f>
        <v/>
      </c>
      <c r="AA8">
        <f>SUMPRODUCT((M_BOM[Part Name]=$A8)*M_BOM[RM_Qty_Per_Batch]*IFERROR(INDEX(PP_Grid[#Data],M_BOM[PPGridRow],27),0))+IFERROR(INDEX(M_RawMaterials[固定週次消費量_要入力],MATCH($A8,M_RawMaterials[Part Name],0)),0)</f>
        <v/>
      </c>
      <c r="AB8">
        <f>SUMPRODUCT((M_BOM[Part Name]=$A8)*M_BOM[RM_Qty_Per_Batch]*IFERROR(INDEX(PP_Grid[#Data],M_BOM[PPGridRow],28),0))+IFERROR(INDEX(M_RawMaterials[固定週次消費量_要入力],MATCH($A8,M_RawMaterials[Part Name],0)),0)</f>
        <v/>
      </c>
      <c r="AC8">
        <f>SUMPRODUCT((M_BOM[Part Name]=$A8)*M_BOM[RM_Qty_Per_Batch]*IFERROR(INDEX(PP_Grid[#Data],M_BOM[PPGridRow],29),0))+IFERROR(INDEX(M_RawMaterials[固定週次消費量_要入力],MATCH($A8,M_RawMaterials[Part Name],0)),0)</f>
        <v/>
      </c>
      <c r="AD8">
        <f>SUMPRODUCT((M_BOM[Part Name]=$A8)*M_BOM[RM_Qty_Per_Batch]*IFERROR(INDEX(PP_Grid[#Data],M_BOM[PPGridRow],30),0))+IFERROR(INDEX(M_RawMaterials[固定週次消費量_要入力],MATCH($A8,M_RawMaterials[Part Name],0)),0)</f>
        <v/>
      </c>
      <c r="AE8">
        <f>SUMPRODUCT((M_BOM[Part Name]=$A8)*M_BOM[RM_Qty_Per_Batch]*IFERROR(INDEX(PP_Grid[#Data],M_BOM[PPGridRow],31),0))+IFERROR(INDEX(M_RawMaterials[固定週次消費量_要入力],MATCH($A8,M_RawMaterials[Part Name],0)),0)</f>
        <v/>
      </c>
      <c r="AF8">
        <f>SUMPRODUCT((M_BOM[Part Name]=$A8)*M_BOM[RM_Qty_Per_Batch]*IFERROR(INDEX(PP_Grid[#Data],M_BOM[PPGridRow],32),0))+IFERROR(INDEX(M_RawMaterials[固定週次消費量_要入力],MATCH($A8,M_RawMaterials[Part Name],0)),0)</f>
        <v/>
      </c>
      <c r="AG8">
        <f>SUMPRODUCT((M_BOM[Part Name]=$A8)*M_BOM[RM_Qty_Per_Batch]*IFERROR(INDEX(PP_Grid[#Data],M_BOM[PPGridRow],33),0))+IFERROR(INDEX(M_RawMaterials[固定週次消費量_要入力],MATCH($A8,M_RawMaterials[Part Name],0)),0)</f>
        <v/>
      </c>
      <c r="AH8">
        <f>SUMPRODUCT((M_BOM[Part Name]=$A8)*M_BOM[RM_Qty_Per_Batch]*IFERROR(INDEX(PP_Grid[#Data],M_BOM[PPGridRow],34),0))+IFERROR(INDEX(M_RawMaterials[固定週次消費量_要入力],MATCH($A8,M_RawMaterials[Part Name],0)),0)</f>
        <v/>
      </c>
      <c r="AI8">
        <f>SUMPRODUCT((M_BOM[Part Name]=$A8)*M_BOM[RM_Qty_Per_Batch]*IFERROR(INDEX(PP_Grid[#Data],M_BOM[PPGridRow],35),0))+IFERROR(INDEX(M_RawMaterials[固定週次消費量_要入力],MATCH($A8,M_RawMaterials[Part Name],0)),0)</f>
        <v/>
      </c>
      <c r="AJ8">
        <f>SUMPRODUCT((M_BOM[Part Name]=$A8)*M_BOM[RM_Qty_Per_Batch]*IFERROR(INDEX(PP_Grid[#Data],M_BOM[PPGridRow],36),0))+IFERROR(INDEX(M_RawMaterials[固定週次消費量_要入力],MATCH($A8,M_RawMaterials[Part Name],0)),0)</f>
        <v/>
      </c>
      <c r="AK8">
        <f>SUMPRODUCT((M_BOM[Part Name]=$A8)*M_BOM[RM_Qty_Per_Batch]*IFERROR(INDEX(PP_Grid[#Data],M_BOM[PPGridRow],37),0))+IFERROR(INDEX(M_RawMaterials[固定週次消費量_要入力],MATCH($A8,M_RawMaterials[Part Name],0)),0)</f>
        <v/>
      </c>
      <c r="AL8">
        <f>SUMPRODUCT((M_BOM[Part Name]=$A8)*M_BOM[RM_Qty_Per_Batch]*IFERROR(INDEX(PP_Grid[#Data],M_BOM[PPGridRow],38),0))+IFERROR(INDEX(M_RawMaterials[固定週次消費量_要入力],MATCH($A8,M_RawMaterials[Part Name],0)),0)</f>
        <v/>
      </c>
      <c r="AM8">
        <f>SUMPRODUCT((M_BOM[Part Name]=$A8)*M_BOM[RM_Qty_Per_Batch]*IFERROR(INDEX(PP_Grid[#Data],M_BOM[PPGridRow],39),0))+IFERROR(INDEX(M_RawMaterials[固定週次消費量_要入力],MATCH($A8,M_RawMaterials[Part Name],0)),0)</f>
        <v/>
      </c>
      <c r="AN8">
        <f>SUMPRODUCT((M_BOM[Part Name]=$A8)*M_BOM[RM_Qty_Per_Batch]*IFERROR(INDEX(PP_Grid[#Data],M_BOM[PPGridRow],40),0))+IFERROR(INDEX(M_RawMaterials[固定週次消費量_要入力],MATCH($A8,M_RawMaterials[Part Name],0)),0)</f>
        <v/>
      </c>
      <c r="AO8">
        <f>SUMPRODUCT((M_BOM[Part Name]=$A8)*M_BOM[RM_Qty_Per_Batch]*IFERROR(INDEX(PP_Grid[#Data],M_BOM[PPGridRow],41),0))+IFERROR(INDEX(M_RawMaterials[固定週次消費量_要入力],MATCH($A8,M_RawMaterials[Part Name],0)),0)</f>
        <v/>
      </c>
      <c r="AP8">
        <f>SUMPRODUCT((M_BOM[Part Name]=$A8)*M_BOM[RM_Qty_Per_Batch]*IFERROR(INDEX(PP_Grid[#Data],M_BOM[PPGridRow],42),0))+IFERROR(INDEX(M_RawMaterials[固定週次消費量_要入力],MATCH($A8,M_RawMaterials[Part Name],0)),0)</f>
        <v/>
      </c>
      <c r="AQ8">
        <f>SUMPRODUCT((M_BOM[Part Name]=$A8)*M_BOM[RM_Qty_Per_Batch]*IFERROR(INDEX(PP_Grid[#Data],M_BOM[PPGridRow],43),0))+IFERROR(INDEX(M_RawMaterials[固定週次消費量_要入力],MATCH($A8,M_RawMaterials[Part Name],0)),0)</f>
        <v/>
      </c>
      <c r="AR8">
        <f>SUMPRODUCT((M_BOM[Part Name]=$A8)*M_BOM[RM_Qty_Per_Batch]*IFERROR(INDEX(PP_Grid[#Data],M_BOM[PPGridRow],44),0))+IFERROR(INDEX(M_RawMaterials[固定週次消費量_要入力],MATCH($A8,M_RawMaterials[Part Name],0)),0)</f>
        <v/>
      </c>
      <c r="AS8">
        <f>SUMPRODUCT((M_BOM[Part Name]=$A8)*M_BOM[RM_Qty_Per_Batch]*IFERROR(INDEX(PP_Grid[#Data],M_BOM[PPGridRow],45),0))+IFERROR(INDEX(M_RawMaterials[固定週次消費量_要入力],MATCH($A8,M_RawMaterials[Part Name],0)),0)</f>
        <v/>
      </c>
      <c r="AT8">
        <f>SUMPRODUCT((M_BOM[Part Name]=$A8)*M_BOM[RM_Qty_Per_Batch]*IFERROR(INDEX(PP_Grid[#Data],M_BOM[PPGridRow],46),0))+IFERROR(INDEX(M_RawMaterials[固定週次消費量_要入力],MATCH($A8,M_RawMaterials[Part Name],0)),0)</f>
        <v/>
      </c>
      <c r="AU8">
        <f>SUMPRODUCT((M_BOM[Part Name]=$A8)*M_BOM[RM_Qty_Per_Batch]*IFERROR(INDEX(PP_Grid[#Data],M_BOM[PPGridRow],47),0))+IFERROR(INDEX(M_RawMaterials[固定週次消費量_要入力],MATCH($A8,M_RawMaterials[Part Name],0)),0)</f>
        <v/>
      </c>
      <c r="AV8">
        <f>SUMPRODUCT((M_BOM[Part Name]=$A8)*M_BOM[RM_Qty_Per_Batch]*IFERROR(INDEX(PP_Grid[#Data],M_BOM[PPGridRow],48),0))+IFERROR(INDEX(M_RawMaterials[固定週次消費量_要入力],MATCH($A8,M_RawMaterials[Part Name],0)),0)</f>
        <v/>
      </c>
      <c r="AW8">
        <f>SUMPRODUCT((M_BOM[Part Name]=$A8)*M_BOM[RM_Qty_Per_Batch]*IFERROR(INDEX(PP_Grid[#Data],M_BOM[PPGridRow],49),0))+IFERROR(INDEX(M_RawMaterials[固定週次消費量_要入力],MATCH($A8,M_RawMaterials[Part Name],0)),0)</f>
        <v/>
      </c>
      <c r="AX8">
        <f>SUMPRODUCT((M_BOM[Part Name]=$A8)*M_BOM[RM_Qty_Per_Batch]*IFERROR(INDEX(PP_Grid[#Data],M_BOM[PPGridRow],50),0))+IFERROR(INDEX(M_RawMaterials[固定週次消費量_要入力],MATCH($A8,M_RawMaterials[Part Name],0)),0)</f>
        <v/>
      </c>
      <c r="AY8">
        <f>SUMPRODUCT((M_BOM[Part Name]=$A8)*M_BOM[RM_Qty_Per_Batch]*IFERROR(INDEX(PP_Grid[#Data],M_BOM[PPGridRow],51),0))+IFERROR(INDEX(M_RawMaterials[固定週次消費量_要入力],MATCH($A8,M_RawMaterials[Part Name],0)),0)</f>
        <v/>
      </c>
      <c r="AZ8">
        <f>SUMPRODUCT((M_BOM[Part Name]=$A8)*M_BOM[RM_Qty_Per_Batch]*IFERROR(INDEX(PP_Grid[#Data],M_BOM[PPGridRow],52),0))+IFERROR(INDEX(M_RawMaterials[固定週次消費量_要入力],MATCH($A8,M_RawMaterials[Part Name],0)),0)</f>
        <v/>
      </c>
      <c r="BA8">
        <f>SUMPRODUCT((M_BOM[Part Name]=$A8)*M_BOM[RM_Qty_Per_Batch]*IFERROR(INDEX(PP_Grid[#Data],M_BOM[PPGridRow],53),0))+IFERROR(INDEX(M_RawMaterials[固定週次消費量_要入力],MATCH($A8,M_RawMaterials[Part Name],0)),0)</f>
        <v/>
      </c>
      <c r="BB8">
        <f>SUMPRODUCT((M_BOM[Part Name]=$A8)*M_BOM[RM_Qty_Per_Batch]*IFERROR(INDEX(PP_Grid[#Data],M_BOM[PPGridRow],54),0))+IFERROR(INDEX(M_RawMaterials[固定週次消費量_要入力],MATCH($A8,M_RawMaterials[Part Name],0)),0)</f>
        <v/>
      </c>
      <c r="BC8">
        <f>SUMPRODUCT((M_BOM[Part Name]=$A8)*M_BOM[RM_Qty_Per_Batch]*IFERROR(INDEX(PP_Grid[#Data],M_BOM[PPGridRow],55),0))+IFERROR(INDEX(M_RawMaterials[固定週次消費量_要入力],MATCH($A8,M_RawMaterials[Part Name],0)),0)</f>
        <v/>
      </c>
      <c r="BD8">
        <f>SUMPRODUCT((M_BOM[Part Name]=$A8)*M_BOM[RM_Qty_Per_Batch]*IFERROR(INDEX(PP_Grid[#Data],M_BOM[PPGridRow],56),0))+IFERROR(INDEX(M_RawMaterials[固定週次消費量_要入力],MATCH($A8,M_RawMaterials[Part Name],0)),0)</f>
        <v/>
      </c>
      <c r="BE8">
        <f>SUMPRODUCT((M_BOM[Part Name]=$A8)*M_BOM[RM_Qty_Per_Batch]*IFERROR(INDEX(PP_Grid[#Data],M_BOM[PPGridRow],57),0))+IFERROR(INDEX(M_RawMaterials[固定週次消費量_要入力],MATCH($A8,M_RawMaterials[Part Name],0)),0)</f>
        <v/>
      </c>
      <c r="BF8">
        <f>SUMPRODUCT((M_BOM[Part Name]=$A8)*M_BOM[RM_Qty_Per_Batch]*IFERROR(INDEX(PP_Grid[#Data],M_BOM[PPGridRow],58),0))+IFERROR(INDEX(M_RawMaterials[固定週次消費量_要入力],MATCH($A8,M_RawMaterials[Part Name],0)),0)</f>
        <v/>
      </c>
      <c r="BG8">
        <f>SUMPRODUCT((M_BOM[Part Name]=$A8)*M_BOM[RM_Qty_Per_Batch]*IFERROR(INDEX(PP_Grid[#Data],M_BOM[PPGridRow],59),0))+IFERROR(INDEX(M_RawMaterials[固定週次消費量_要入力],MATCH($A8,M_RawMaterials[Part Name],0)),0)</f>
        <v/>
      </c>
      <c r="BH8">
        <f>SUMPRODUCT((M_BOM[Part Name]=$A8)*M_BOM[RM_Qty_Per_Batch]*IFERROR(INDEX(PP_Grid[#Data],M_BOM[PPGridRow],60),0))+IFERROR(INDEX(M_RawMaterials[固定週次消費量_要入力],MATCH($A8,M_RawMaterials[Part Name],0)),0)</f>
        <v/>
      </c>
      <c r="BI8">
        <f>SUMPRODUCT((M_BOM[Part Name]=$A8)*M_BOM[RM_Qty_Per_Batch]*IFERROR(INDEX(PP_Grid[#Data],M_BOM[PPGridRow],61),0))+IFERROR(INDEX(M_RawMaterials[固定週次消費量_要入力],MATCH($A8,M_RawMaterials[Part Name],0)),0)</f>
        <v/>
      </c>
      <c r="BJ8">
        <f>SUMPRODUCT((M_BOM[Part Name]=$A8)*M_BOM[RM_Qty_Per_Batch]*IFERROR(INDEX(PP_Grid[#Data],M_BOM[PPGridRow],62),0))+IFERROR(INDEX(M_RawMaterials[固定週次消費量_要入力],MATCH($A8,M_RawMaterials[Part Name],0)),0)</f>
        <v/>
      </c>
      <c r="BK8">
        <f>SUMPRODUCT((M_BOM[Part Name]=$A8)*M_BOM[RM_Qty_Per_Batch]*IFERROR(INDEX(PP_Grid[#Data],M_BOM[PPGridRow],63),0))+IFERROR(INDEX(M_RawMaterials[固定週次消費量_要入力],MATCH($A8,M_RawMaterials[Part Name],0)),0)</f>
        <v/>
      </c>
      <c r="BL8">
        <f>SUMPRODUCT((M_BOM[Part Name]=$A8)*M_BOM[RM_Qty_Per_Batch]*IFERROR(INDEX(PP_Grid[#Data],M_BOM[PPGridRow],64),0))+IFERROR(INDEX(M_RawMaterials[固定週次消費量_要入力],MATCH($A8,M_RawMaterials[Part Name],0)),0)</f>
        <v/>
      </c>
      <c r="BM8">
        <f>SUMPRODUCT((M_BOM[Part Name]=$A8)*M_BOM[RM_Qty_Per_Batch]*IFERROR(INDEX(PP_Grid[#Data],M_BOM[PPGridRow],65),0))+IFERROR(INDEX(M_RawMaterials[固定週次消費量_要入力],MATCH($A8,M_RawMaterials[Part Name],0)),0)</f>
        <v/>
      </c>
      <c r="BN8">
        <f>SUMPRODUCT((M_BOM[Part Name]=$A8)*M_BOM[RM_Qty_Per_Batch]*IFERROR(INDEX(PP_Grid[#Data],M_BOM[PPGridRow],66),0))+IFERROR(INDEX(M_RawMaterials[固定週次消費量_要入力],MATCH($A8,M_RawMaterials[Part Name],0)),0)</f>
        <v/>
      </c>
      <c r="BO8">
        <f>SUMPRODUCT((M_BOM[Part Name]=$A8)*M_BOM[RM_Qty_Per_Batch]*IFERROR(INDEX(PP_Grid[#Data],M_BOM[PPGridRow],67),0))+IFERROR(INDEX(M_RawMaterials[固定週次消費量_要入力],MATCH($A8,M_RawMaterials[Part Name],0)),0)</f>
        <v/>
      </c>
      <c r="BP8">
        <f>SUMPRODUCT((M_BOM[Part Name]=$A8)*M_BOM[RM_Qty_Per_Batch]*IFERROR(INDEX(PP_Grid[#Data],M_BOM[PPGridRow],68),0))+IFERROR(INDEX(M_RawMaterials[固定週次消費量_要入力],MATCH($A8,M_RawMaterials[Part Name],0)),0)</f>
        <v/>
      </c>
      <c r="BQ8">
        <f>SUMPRODUCT((M_BOM[Part Name]=$A8)*M_BOM[RM_Qty_Per_Batch]*IFERROR(INDEX(PP_Grid[#Data],M_BOM[PPGridRow],69),0))+IFERROR(INDEX(M_RawMaterials[固定週次消費量_要入力],MATCH($A8,M_RawMaterials[Part Name],0)),0)</f>
        <v/>
      </c>
      <c r="BR8">
        <f>SUMPRODUCT((M_BOM[Part Name]=$A8)*M_BOM[RM_Qty_Per_Batch]*IFERROR(INDEX(PP_Grid[#Data],M_BOM[PPGridRow],70),0))+IFERROR(INDEX(M_RawMaterials[固定週次消費量_要入力],MATCH($A8,M_RawMaterials[Part Name],0)),0)</f>
        <v/>
      </c>
      <c r="BS8">
        <f>SUMPRODUCT((M_BOM[Part Name]=$A8)*M_BOM[RM_Qty_Per_Batch]*IFERROR(INDEX(PP_Grid[#Data],M_BOM[PPGridRow],71),0))+IFERROR(INDEX(M_RawMaterials[固定週次消費量_要入力],MATCH($A8,M_RawMaterials[Part Name],0)),0)</f>
        <v/>
      </c>
      <c r="BT8">
        <f>SUMPRODUCT((M_BOM[Part Name]=$A8)*M_BOM[RM_Qty_Per_Batch]*IFERROR(INDEX(PP_Grid[#Data],M_BOM[PPGridRow],72),0))+IFERROR(INDEX(M_RawMaterials[固定週次消費量_要入力],MATCH($A8,M_RawMaterials[Part Name],0)),0)</f>
        <v/>
      </c>
      <c r="BU8">
        <f>SUMPRODUCT((M_BOM[Part Name]=$A8)*M_BOM[RM_Qty_Per_Batch]*IFERROR(INDEX(PP_Grid[#Data],M_BOM[PPGridRow],73),0))+IFERROR(INDEX(M_RawMaterials[固定週次消費量_要入力],MATCH($A8,M_RawMaterials[Part Name],0)),0)</f>
        <v/>
      </c>
      <c r="BV8">
        <f>SUMPRODUCT((M_BOM[Part Name]=$A8)*M_BOM[RM_Qty_Per_Batch]*IFERROR(INDEX(PP_Grid[#Data],M_BOM[PPGridRow],74),0))+IFERROR(INDEX(M_RawMaterials[固定週次消費量_要入力],MATCH($A8,M_RawMaterials[Part Name],0)),0)</f>
        <v/>
      </c>
      <c r="BW8">
        <f>SUMPRODUCT((M_BOM[Part Name]=$A8)*M_BOM[RM_Qty_Per_Batch]*IFERROR(INDEX(PP_Grid[#Data],M_BOM[PPGridRow],75),0))+IFERROR(INDEX(M_RawMaterials[固定週次消費量_要入力],MATCH($A8,M_RawMaterials[Part Name],0)),0)</f>
        <v/>
      </c>
      <c r="BX8">
        <f>SUMPRODUCT((M_BOM[Part Name]=$A8)*M_BOM[RM_Qty_Per_Batch]*IFERROR(INDEX(PP_Grid[#Data],M_BOM[PPGridRow],76),0))+IFERROR(INDEX(M_RawMaterials[固定週次消費量_要入力],MATCH($A8,M_RawMaterials[Part Name],0)),0)</f>
        <v/>
      </c>
      <c r="BY8">
        <f>SUMPRODUCT((M_BOM[Part Name]=$A8)*M_BOM[RM_Qty_Per_Batch]*IFERROR(INDEX(PP_Grid[#Data],M_BOM[PPGridRow],77),0))+IFERROR(INDEX(M_RawMaterials[固定週次消費量_要入力],MATCH($A8,M_RawMaterials[Part Name],0)),0)</f>
        <v/>
      </c>
      <c r="BZ8">
        <f>SUMPRODUCT((M_BOM[Part Name]=$A8)*M_BOM[RM_Qty_Per_Batch]*IFERROR(INDEX(PP_Grid[#Data],M_BOM[PPGridRow],78),0))+IFERROR(INDEX(M_RawMaterials[固定週次消費量_要入力],MATCH($A8,M_RawMaterials[Part Name],0)),0)</f>
        <v/>
      </c>
      <c r="CA8">
        <f>SUMPRODUCT((M_BOM[Part Name]=$A8)*M_BOM[RM_Qty_Per_Batch]*IFERROR(INDEX(PP_Grid[#Data],M_BOM[PPGridRow],79),0))+IFERROR(INDEX(M_RawMaterials[固定週次消費量_要入力],MATCH($A8,M_RawMaterials[Part Name],0)),0)</f>
        <v/>
      </c>
      <c r="CB8">
        <f>SUMPRODUCT((M_BOM[Part Name]=$A8)*M_BOM[RM_Qty_Per_Batch]*IFERROR(INDEX(PP_Grid[#Data],M_BOM[PPGridRow],80),0))+IFERROR(INDEX(M_RawMaterials[固定週次消費量_要入力],MATCH($A8,M_RawMaterials[Part Name],0)),0)</f>
        <v/>
      </c>
      <c r="CC8">
        <f>SUMPRODUCT((M_BOM[Part Name]=$A8)*M_BOM[RM_Qty_Per_Batch]*IFERROR(INDEX(PP_Grid[#Data],M_BOM[PPGridRow],81),0))+IFERROR(INDEX(M_RawMaterials[固定週次消費量_要入力],MATCH($A8,M_RawMaterials[Part Name],0)),0)</f>
        <v/>
      </c>
      <c r="CD8">
        <f>SUMPRODUCT((M_BOM[Part Name]=$A8)*M_BOM[RM_Qty_Per_Batch]*IFERROR(INDEX(PP_Grid[#Data],M_BOM[PPGridRow],82),0))+IFERROR(INDEX(M_RawMaterials[固定週次消費量_要入力],MATCH($A8,M_RawMaterials[Part Name],0)),0)</f>
        <v/>
      </c>
      <c r="CE8">
        <f>SUMPRODUCT((M_BOM[Part Name]=$A8)*M_BOM[RM_Qty_Per_Batch]*IFERROR(INDEX(PP_Grid[#Data],M_BOM[PPGridRow],83),0))+IFERROR(INDEX(M_RawMaterials[固定週次消費量_要入力],MATCH($A8,M_RawMaterials[Part Name],0)),0)</f>
        <v/>
      </c>
      <c r="CF8">
        <f>SUMPRODUCT((M_BOM[Part Name]=$A8)*M_BOM[RM_Qty_Per_Batch]*IFERROR(INDEX(PP_Grid[#Data],M_BOM[PPGridRow],84),0))+IFERROR(INDEX(M_RawMaterials[固定週次消費量_要入力],MATCH($A8,M_RawMaterials[Part Name],0)),0)</f>
        <v/>
      </c>
      <c r="CG8">
        <f>SUMPRODUCT((M_BOM[Part Name]=$A8)*M_BOM[RM_Qty_Per_Batch]*IFERROR(INDEX(PP_Grid[#Data],M_BOM[PPGridRow],85),0))+IFERROR(INDEX(M_RawMaterials[固定週次消費量_要入力],MATCH($A8,M_RawMaterials[Part Name],0)),0)</f>
        <v/>
      </c>
      <c r="CH8">
        <f>SUMPRODUCT((M_BOM[Part Name]=$A8)*M_BOM[RM_Qty_Per_Batch]*IFERROR(INDEX(PP_Grid[#Data],M_BOM[PPGridRow],86),0))+IFERROR(INDEX(M_RawMaterials[固定週次消費量_要入力],MATCH($A8,M_RawMaterials[Part Name],0)),0)</f>
        <v/>
      </c>
      <c r="CI8">
        <f>SUMPRODUCT((M_BOM[Part Name]=$A8)*M_BOM[RM_Qty_Per_Batch]*IFERROR(INDEX(PP_Grid[#Data],M_BOM[PPGridRow],87),0))+IFERROR(INDEX(M_RawMaterials[固定週次消費量_要入力],MATCH($A8,M_RawMaterials[Part Name],0)),0)</f>
        <v/>
      </c>
      <c r="CJ8">
        <f>SUMPRODUCT((M_BOM[Part Name]=$A8)*M_BOM[RM_Qty_Per_Batch]*IFERROR(INDEX(PP_Grid[#Data],M_BOM[PPGridRow],88),0))+IFERROR(INDEX(M_RawMaterials[固定週次消費量_要入力],MATCH($A8,M_RawMaterials[Part Name],0)),0)</f>
        <v/>
      </c>
      <c r="CK8">
        <f>SUMPRODUCT((M_BOM[Part Name]=$A8)*M_BOM[RM_Qty_Per_Batch]*IFERROR(INDEX(PP_Grid[#Data],M_BOM[PPGridRow],89),0))+IFERROR(INDEX(M_RawMaterials[固定週次消費量_要入力],MATCH($A8,M_RawMaterials[Part Name],0)),0)</f>
        <v/>
      </c>
      <c r="CL8">
        <f>SUMPRODUCT((M_BOM[Part Name]=$A8)*M_BOM[RM_Qty_Per_Batch]*IFERROR(INDEX(PP_Grid[#Data],M_BOM[PPGridRow],90),0))+IFERROR(INDEX(M_RawMaterials[固定週次消費量_要入力],MATCH($A8,M_RawMaterials[Part Name],0)),0)</f>
        <v/>
      </c>
      <c r="CM8">
        <f>SUMPRODUCT((M_BOM[Part Name]=$A8)*M_BOM[RM_Qty_Per_Batch]*IFERROR(INDEX(PP_Grid[#Data],M_BOM[PPGridRow],91),0))+IFERROR(INDEX(M_RawMaterials[固定週次消費量_要入力],MATCH($A8,M_RawMaterials[Part Name],0)),0)</f>
        <v/>
      </c>
      <c r="CN8">
        <f>SUMPRODUCT((M_BOM[Part Name]=$A8)*M_BOM[RM_Qty_Per_Batch]*IFERROR(INDEX(PP_Grid[#Data],M_BOM[PPGridRow],92),0))+IFERROR(INDEX(M_RawMaterials[固定週次消費量_要入力],MATCH($A8,M_RawMaterials[Part Name],0)),0)</f>
        <v/>
      </c>
      <c r="CO8">
        <f>SUMPRODUCT((M_BOM[Part Name]=$A8)*M_BOM[RM_Qty_Per_Batch]*IFERROR(INDEX(PP_Grid[#Data],M_BOM[PPGridRow],93),0))+IFERROR(INDEX(M_RawMaterials[固定週次消費量_要入力],MATCH($A8,M_RawMaterials[Part Name],0)),0)</f>
        <v/>
      </c>
      <c r="CP8">
        <f>SUMPRODUCT((M_BOM[Part Name]=$A8)*M_BOM[RM_Qty_Per_Batch]*IFERROR(INDEX(PP_Grid[#Data],M_BOM[PPGridRow],94),0))+IFERROR(INDEX(M_RawMaterials[固定週次消費量_要入力],MATCH($A8,M_RawMaterials[Part Name],0)),0)</f>
        <v/>
      </c>
      <c r="CQ8">
        <f>SUMPRODUCT((M_BOM[Part Name]=$A8)*M_BOM[RM_Qty_Per_Batch]*IFERROR(INDEX(PP_Grid[#Data],M_BOM[PPGridRow],95),0))+IFERROR(INDEX(M_RawMaterials[固定週次消費量_要入力],MATCH($A8,M_RawMaterials[Part Name],0)),0)</f>
        <v/>
      </c>
      <c r="CR8">
        <f>SUMPRODUCT((M_BOM[Part Name]=$A8)*M_BOM[RM_Qty_Per_Batch]*IFERROR(INDEX(PP_Grid[#Data],M_BOM[PPGridRow],96),0))+IFERROR(INDEX(M_RawMaterials[固定週次消費量_要入力],MATCH($A8,M_RawMaterials[Part Name],0)),0)</f>
        <v/>
      </c>
      <c r="CS8">
        <f>SUMPRODUCT((M_BOM[Part Name]=$A8)*M_BOM[RM_Qty_Per_Batch]*IFERROR(INDEX(PP_Grid[#Data],M_BOM[PPGridRow],97),0))+IFERROR(INDEX(M_RawMaterials[固定週次消費量_要入力],MATCH($A8,M_RawMaterials[Part Name],0)),0)</f>
        <v/>
      </c>
      <c r="CT8">
        <f>SUMPRODUCT((M_BOM[Part Name]=$A8)*M_BOM[RM_Qty_Per_Batch]*IFERROR(INDEX(PP_Grid[#Data],M_BOM[PPGridRow],98),0))+IFERROR(INDEX(M_RawMaterials[固定週次消費量_要入力],MATCH($A8,M_RawMaterials[Part Name],0)),0)</f>
        <v/>
      </c>
      <c r="CU8">
        <f>SUMPRODUCT((M_BOM[Part Name]=$A8)*M_BOM[RM_Qty_Per_Batch]*IFERROR(INDEX(PP_Grid[#Data],M_BOM[PPGridRow],99),0))+IFERROR(INDEX(M_RawMaterials[固定週次消費量_要入力],MATCH($A8,M_RawMaterials[Part Name],0)),0)</f>
        <v/>
      </c>
      <c r="CV8">
        <f>SUMPRODUCT((M_BOM[Part Name]=$A8)*M_BOM[RM_Qty_Per_Batch]*IFERROR(INDEX(PP_Grid[#Data],M_BOM[PPGridRow],100),0))+IFERROR(INDEX(M_RawMaterials[固定週次消費量_要入力],MATCH($A8,M_RawMaterials[Part Name],0)),0)</f>
        <v/>
      </c>
      <c r="CW8">
        <f>SUMPRODUCT((M_BOM[Part Name]=$A8)*M_BOM[RM_Qty_Per_Batch]*IFERROR(INDEX(PP_Grid[#Data],M_BOM[PPGridRow],101),0))+IFERROR(INDEX(M_RawMaterials[固定週次消費量_要入力],MATCH($A8,M_RawMaterials[Part Name],0)),0)</f>
        <v/>
      </c>
      <c r="CX8">
        <f>SUMPRODUCT((M_BOM[Part Name]=$A8)*M_BOM[RM_Qty_Per_Batch]*IFERROR(INDEX(PP_Grid[#Data],M_BOM[PPGridRow],102),0))+IFERROR(INDEX(M_RawMaterials[固定週次消費量_要入力],MATCH($A8,M_RawMaterials[Part Name],0)),0)</f>
        <v/>
      </c>
      <c r="CY8">
        <f>SUMPRODUCT((M_BOM[Part Name]=$A8)*M_BOM[RM_Qty_Per_Batch]*IFERROR(INDEX(PP_Grid[#Data],M_BOM[PPGridRow],103),0))+IFERROR(INDEX(M_RawMaterials[固定週次消費量_要入力],MATCH($A8,M_RawMaterials[Part Name],0)),0)</f>
        <v/>
      </c>
      <c r="CZ8">
        <f>SUMPRODUCT((M_BOM[Part Name]=$A8)*M_BOM[RM_Qty_Per_Batch]*IFERROR(INDEX(PP_Grid[#Data],M_BOM[PPGridRow],104),0))+IFERROR(INDEX(M_RawMaterials[固定週次消費量_要入力],MATCH($A8,M_RawMaterials[Part Name],0)),0)</f>
        <v/>
      </c>
      <c r="DA8">
        <f>SUMPRODUCT((M_BOM[Part Name]=$A8)*M_BOM[RM_Qty_Per_Batch]*IFERROR(INDEX(PP_Grid[#Data],M_BOM[PPGridRow],105),0))+IFERROR(INDEX(M_RawMaterials[固定週次消費量_要入力],MATCH($A8,M_RawMaterials[Part Name],0)),0)</f>
        <v/>
      </c>
    </row>
    <row r="9">
      <c r="A9" t="inlineStr">
        <is>
          <t>3TP</t>
        </is>
      </c>
      <c r="B9">
        <f>SUMPRODUCT((M_BOM[Part Name]=$A9)*M_BOM[RM_Qty_Per_Batch]*IFERROR(INDEX(PP_Grid[#Data],M_BOM[PPGridRow],2),0))+IFERROR(INDEX(M_RawMaterials[固定週次消費量_要入力],MATCH($A9,M_RawMaterials[Part Name],0)),0)</f>
        <v/>
      </c>
      <c r="C9">
        <f>SUMPRODUCT((M_BOM[Part Name]=$A9)*M_BOM[RM_Qty_Per_Batch]*IFERROR(INDEX(PP_Grid[#Data],M_BOM[PPGridRow],3),0))+IFERROR(INDEX(M_RawMaterials[固定週次消費量_要入力],MATCH($A9,M_RawMaterials[Part Name],0)),0)</f>
        <v/>
      </c>
      <c r="D9">
        <f>SUMPRODUCT((M_BOM[Part Name]=$A9)*M_BOM[RM_Qty_Per_Batch]*IFERROR(INDEX(PP_Grid[#Data],M_BOM[PPGridRow],4),0))+IFERROR(INDEX(M_RawMaterials[固定週次消費量_要入力],MATCH($A9,M_RawMaterials[Part Name],0)),0)</f>
        <v/>
      </c>
      <c r="E9">
        <f>SUMPRODUCT((M_BOM[Part Name]=$A9)*M_BOM[RM_Qty_Per_Batch]*IFERROR(INDEX(PP_Grid[#Data],M_BOM[PPGridRow],5),0))+IFERROR(INDEX(M_RawMaterials[固定週次消費量_要入力],MATCH($A9,M_RawMaterials[Part Name],0)),0)</f>
        <v/>
      </c>
      <c r="F9">
        <f>SUMPRODUCT((M_BOM[Part Name]=$A9)*M_BOM[RM_Qty_Per_Batch]*IFERROR(INDEX(PP_Grid[#Data],M_BOM[PPGridRow],6),0))+IFERROR(INDEX(M_RawMaterials[固定週次消費量_要入力],MATCH($A9,M_RawMaterials[Part Name],0)),0)</f>
        <v/>
      </c>
      <c r="G9">
        <f>SUMPRODUCT((M_BOM[Part Name]=$A9)*M_BOM[RM_Qty_Per_Batch]*IFERROR(INDEX(PP_Grid[#Data],M_BOM[PPGridRow],7),0))+IFERROR(INDEX(M_RawMaterials[固定週次消費量_要入力],MATCH($A9,M_RawMaterials[Part Name],0)),0)</f>
        <v/>
      </c>
      <c r="H9">
        <f>SUMPRODUCT((M_BOM[Part Name]=$A9)*M_BOM[RM_Qty_Per_Batch]*IFERROR(INDEX(PP_Grid[#Data],M_BOM[PPGridRow],8),0))+IFERROR(INDEX(M_RawMaterials[固定週次消費量_要入力],MATCH($A9,M_RawMaterials[Part Name],0)),0)</f>
        <v/>
      </c>
      <c r="I9">
        <f>SUMPRODUCT((M_BOM[Part Name]=$A9)*M_BOM[RM_Qty_Per_Batch]*IFERROR(INDEX(PP_Grid[#Data],M_BOM[PPGridRow],9),0))+IFERROR(INDEX(M_RawMaterials[固定週次消費量_要入力],MATCH($A9,M_RawMaterials[Part Name],0)),0)</f>
        <v/>
      </c>
      <c r="J9">
        <f>SUMPRODUCT((M_BOM[Part Name]=$A9)*M_BOM[RM_Qty_Per_Batch]*IFERROR(INDEX(PP_Grid[#Data],M_BOM[PPGridRow],10),0))+IFERROR(INDEX(M_RawMaterials[固定週次消費量_要入力],MATCH($A9,M_RawMaterials[Part Name],0)),0)</f>
        <v/>
      </c>
      <c r="K9">
        <f>SUMPRODUCT((M_BOM[Part Name]=$A9)*M_BOM[RM_Qty_Per_Batch]*IFERROR(INDEX(PP_Grid[#Data],M_BOM[PPGridRow],11),0))+IFERROR(INDEX(M_RawMaterials[固定週次消費量_要入力],MATCH($A9,M_RawMaterials[Part Name],0)),0)</f>
        <v/>
      </c>
      <c r="L9">
        <f>SUMPRODUCT((M_BOM[Part Name]=$A9)*M_BOM[RM_Qty_Per_Batch]*IFERROR(INDEX(PP_Grid[#Data],M_BOM[PPGridRow],12),0))+IFERROR(INDEX(M_RawMaterials[固定週次消費量_要入力],MATCH($A9,M_RawMaterials[Part Name],0)),0)</f>
        <v/>
      </c>
      <c r="M9">
        <f>SUMPRODUCT((M_BOM[Part Name]=$A9)*M_BOM[RM_Qty_Per_Batch]*IFERROR(INDEX(PP_Grid[#Data],M_BOM[PPGridRow],13),0))+IFERROR(INDEX(M_RawMaterials[固定週次消費量_要入力],MATCH($A9,M_RawMaterials[Part Name],0)),0)</f>
        <v/>
      </c>
      <c r="N9">
        <f>SUMPRODUCT((M_BOM[Part Name]=$A9)*M_BOM[RM_Qty_Per_Batch]*IFERROR(INDEX(PP_Grid[#Data],M_BOM[PPGridRow],14),0))+IFERROR(INDEX(M_RawMaterials[固定週次消費量_要入力],MATCH($A9,M_RawMaterials[Part Name],0)),0)</f>
        <v/>
      </c>
      <c r="O9">
        <f>SUMPRODUCT((M_BOM[Part Name]=$A9)*M_BOM[RM_Qty_Per_Batch]*IFERROR(INDEX(PP_Grid[#Data],M_BOM[PPGridRow],15),0))+IFERROR(INDEX(M_RawMaterials[固定週次消費量_要入力],MATCH($A9,M_RawMaterials[Part Name],0)),0)</f>
        <v/>
      </c>
      <c r="P9">
        <f>SUMPRODUCT((M_BOM[Part Name]=$A9)*M_BOM[RM_Qty_Per_Batch]*IFERROR(INDEX(PP_Grid[#Data],M_BOM[PPGridRow],16),0))+IFERROR(INDEX(M_RawMaterials[固定週次消費量_要入力],MATCH($A9,M_RawMaterials[Part Name],0)),0)</f>
        <v/>
      </c>
      <c r="Q9">
        <f>SUMPRODUCT((M_BOM[Part Name]=$A9)*M_BOM[RM_Qty_Per_Batch]*IFERROR(INDEX(PP_Grid[#Data],M_BOM[PPGridRow],17),0))+IFERROR(INDEX(M_RawMaterials[固定週次消費量_要入力],MATCH($A9,M_RawMaterials[Part Name],0)),0)</f>
        <v/>
      </c>
      <c r="R9">
        <f>SUMPRODUCT((M_BOM[Part Name]=$A9)*M_BOM[RM_Qty_Per_Batch]*IFERROR(INDEX(PP_Grid[#Data],M_BOM[PPGridRow],18),0))+IFERROR(INDEX(M_RawMaterials[固定週次消費量_要入力],MATCH($A9,M_RawMaterials[Part Name],0)),0)</f>
        <v/>
      </c>
      <c r="S9">
        <f>SUMPRODUCT((M_BOM[Part Name]=$A9)*M_BOM[RM_Qty_Per_Batch]*IFERROR(INDEX(PP_Grid[#Data],M_BOM[PPGridRow],19),0))+IFERROR(INDEX(M_RawMaterials[固定週次消費量_要入力],MATCH($A9,M_RawMaterials[Part Name],0)),0)</f>
        <v/>
      </c>
      <c r="T9">
        <f>SUMPRODUCT((M_BOM[Part Name]=$A9)*M_BOM[RM_Qty_Per_Batch]*IFERROR(INDEX(PP_Grid[#Data],M_BOM[PPGridRow],20),0))+IFERROR(INDEX(M_RawMaterials[固定週次消費量_要入力],MATCH($A9,M_RawMaterials[Part Name],0)),0)</f>
        <v/>
      </c>
      <c r="U9">
        <f>SUMPRODUCT((M_BOM[Part Name]=$A9)*M_BOM[RM_Qty_Per_Batch]*IFERROR(INDEX(PP_Grid[#Data],M_BOM[PPGridRow],21),0))+IFERROR(INDEX(M_RawMaterials[固定週次消費量_要入力],MATCH($A9,M_RawMaterials[Part Name],0)),0)</f>
        <v/>
      </c>
      <c r="V9">
        <f>SUMPRODUCT((M_BOM[Part Name]=$A9)*M_BOM[RM_Qty_Per_Batch]*IFERROR(INDEX(PP_Grid[#Data],M_BOM[PPGridRow],22),0))+IFERROR(INDEX(M_RawMaterials[固定週次消費量_要入力],MATCH($A9,M_RawMaterials[Part Name],0)),0)</f>
        <v/>
      </c>
      <c r="W9">
        <f>SUMPRODUCT((M_BOM[Part Name]=$A9)*M_BOM[RM_Qty_Per_Batch]*IFERROR(INDEX(PP_Grid[#Data],M_BOM[PPGridRow],23),0))+IFERROR(INDEX(M_RawMaterials[固定週次消費量_要入力],MATCH($A9,M_RawMaterials[Part Name],0)),0)</f>
        <v/>
      </c>
      <c r="X9">
        <f>SUMPRODUCT((M_BOM[Part Name]=$A9)*M_BOM[RM_Qty_Per_Batch]*IFERROR(INDEX(PP_Grid[#Data],M_BOM[PPGridRow],24),0))+IFERROR(INDEX(M_RawMaterials[固定週次消費量_要入力],MATCH($A9,M_RawMaterials[Part Name],0)),0)</f>
        <v/>
      </c>
      <c r="Y9">
        <f>SUMPRODUCT((M_BOM[Part Name]=$A9)*M_BOM[RM_Qty_Per_Batch]*IFERROR(INDEX(PP_Grid[#Data],M_BOM[PPGridRow],25),0))+IFERROR(INDEX(M_RawMaterials[固定週次消費量_要入力],MATCH($A9,M_RawMaterials[Part Name],0)),0)</f>
        <v/>
      </c>
      <c r="Z9">
        <f>SUMPRODUCT((M_BOM[Part Name]=$A9)*M_BOM[RM_Qty_Per_Batch]*IFERROR(INDEX(PP_Grid[#Data],M_BOM[PPGridRow],26),0))+IFERROR(INDEX(M_RawMaterials[固定週次消費量_要入力],MATCH($A9,M_RawMaterials[Part Name],0)),0)</f>
        <v/>
      </c>
      <c r="AA9">
        <f>SUMPRODUCT((M_BOM[Part Name]=$A9)*M_BOM[RM_Qty_Per_Batch]*IFERROR(INDEX(PP_Grid[#Data],M_BOM[PPGridRow],27),0))+IFERROR(INDEX(M_RawMaterials[固定週次消費量_要入力],MATCH($A9,M_RawMaterials[Part Name],0)),0)</f>
        <v/>
      </c>
      <c r="AB9">
        <f>SUMPRODUCT((M_BOM[Part Name]=$A9)*M_BOM[RM_Qty_Per_Batch]*IFERROR(INDEX(PP_Grid[#Data],M_BOM[PPGridRow],28),0))+IFERROR(INDEX(M_RawMaterials[固定週次消費量_要入力],MATCH($A9,M_RawMaterials[Part Name],0)),0)</f>
        <v/>
      </c>
      <c r="AC9">
        <f>SUMPRODUCT((M_BOM[Part Name]=$A9)*M_BOM[RM_Qty_Per_Batch]*IFERROR(INDEX(PP_Grid[#Data],M_BOM[PPGridRow],29),0))+IFERROR(INDEX(M_RawMaterials[固定週次消費量_要入力],MATCH($A9,M_RawMaterials[Part Name],0)),0)</f>
        <v/>
      </c>
      <c r="AD9">
        <f>SUMPRODUCT((M_BOM[Part Name]=$A9)*M_BOM[RM_Qty_Per_Batch]*IFERROR(INDEX(PP_Grid[#Data],M_BOM[PPGridRow],30),0))+IFERROR(INDEX(M_RawMaterials[固定週次消費量_要入力],MATCH($A9,M_RawMaterials[Part Name],0)),0)</f>
        <v/>
      </c>
      <c r="AE9">
        <f>SUMPRODUCT((M_BOM[Part Name]=$A9)*M_BOM[RM_Qty_Per_Batch]*IFERROR(INDEX(PP_Grid[#Data],M_BOM[PPGridRow],31),0))+IFERROR(INDEX(M_RawMaterials[固定週次消費量_要入力],MATCH($A9,M_RawMaterials[Part Name],0)),0)</f>
        <v/>
      </c>
      <c r="AF9">
        <f>SUMPRODUCT((M_BOM[Part Name]=$A9)*M_BOM[RM_Qty_Per_Batch]*IFERROR(INDEX(PP_Grid[#Data],M_BOM[PPGridRow],32),0))+IFERROR(INDEX(M_RawMaterials[固定週次消費量_要入力],MATCH($A9,M_RawMaterials[Part Name],0)),0)</f>
        <v/>
      </c>
      <c r="AG9">
        <f>SUMPRODUCT((M_BOM[Part Name]=$A9)*M_BOM[RM_Qty_Per_Batch]*IFERROR(INDEX(PP_Grid[#Data],M_BOM[PPGridRow],33),0))+IFERROR(INDEX(M_RawMaterials[固定週次消費量_要入力],MATCH($A9,M_RawMaterials[Part Name],0)),0)</f>
        <v/>
      </c>
      <c r="AH9">
        <f>SUMPRODUCT((M_BOM[Part Name]=$A9)*M_BOM[RM_Qty_Per_Batch]*IFERROR(INDEX(PP_Grid[#Data],M_BOM[PPGridRow],34),0))+IFERROR(INDEX(M_RawMaterials[固定週次消費量_要入力],MATCH($A9,M_RawMaterials[Part Name],0)),0)</f>
        <v/>
      </c>
      <c r="AI9">
        <f>SUMPRODUCT((M_BOM[Part Name]=$A9)*M_BOM[RM_Qty_Per_Batch]*IFERROR(INDEX(PP_Grid[#Data],M_BOM[PPGridRow],35),0))+IFERROR(INDEX(M_RawMaterials[固定週次消費量_要入力],MATCH($A9,M_RawMaterials[Part Name],0)),0)</f>
        <v/>
      </c>
      <c r="AJ9">
        <f>SUMPRODUCT((M_BOM[Part Name]=$A9)*M_BOM[RM_Qty_Per_Batch]*IFERROR(INDEX(PP_Grid[#Data],M_BOM[PPGridRow],36),0))+IFERROR(INDEX(M_RawMaterials[固定週次消費量_要入力],MATCH($A9,M_RawMaterials[Part Name],0)),0)</f>
        <v/>
      </c>
      <c r="AK9">
        <f>SUMPRODUCT((M_BOM[Part Name]=$A9)*M_BOM[RM_Qty_Per_Batch]*IFERROR(INDEX(PP_Grid[#Data],M_BOM[PPGridRow],37),0))+IFERROR(INDEX(M_RawMaterials[固定週次消費量_要入力],MATCH($A9,M_RawMaterials[Part Name],0)),0)</f>
        <v/>
      </c>
      <c r="AL9">
        <f>SUMPRODUCT((M_BOM[Part Name]=$A9)*M_BOM[RM_Qty_Per_Batch]*IFERROR(INDEX(PP_Grid[#Data],M_BOM[PPGridRow],38),0))+IFERROR(INDEX(M_RawMaterials[固定週次消費量_要入力],MATCH($A9,M_RawMaterials[Part Name],0)),0)</f>
        <v/>
      </c>
      <c r="AM9">
        <f>SUMPRODUCT((M_BOM[Part Name]=$A9)*M_BOM[RM_Qty_Per_Batch]*IFERROR(INDEX(PP_Grid[#Data],M_BOM[PPGridRow],39),0))+IFERROR(INDEX(M_RawMaterials[固定週次消費量_要入力],MATCH($A9,M_RawMaterials[Part Name],0)),0)</f>
        <v/>
      </c>
      <c r="AN9">
        <f>SUMPRODUCT((M_BOM[Part Name]=$A9)*M_BOM[RM_Qty_Per_Batch]*IFERROR(INDEX(PP_Grid[#Data],M_BOM[PPGridRow],40),0))+IFERROR(INDEX(M_RawMaterials[固定週次消費量_要入力],MATCH($A9,M_RawMaterials[Part Name],0)),0)</f>
        <v/>
      </c>
      <c r="AO9">
        <f>SUMPRODUCT((M_BOM[Part Name]=$A9)*M_BOM[RM_Qty_Per_Batch]*IFERROR(INDEX(PP_Grid[#Data],M_BOM[PPGridRow],41),0))+IFERROR(INDEX(M_RawMaterials[固定週次消費量_要入力],MATCH($A9,M_RawMaterials[Part Name],0)),0)</f>
        <v/>
      </c>
      <c r="AP9">
        <f>SUMPRODUCT((M_BOM[Part Name]=$A9)*M_BOM[RM_Qty_Per_Batch]*IFERROR(INDEX(PP_Grid[#Data],M_BOM[PPGridRow],42),0))+IFERROR(INDEX(M_RawMaterials[固定週次消費量_要入力],MATCH($A9,M_RawMaterials[Part Name],0)),0)</f>
        <v/>
      </c>
      <c r="AQ9">
        <f>SUMPRODUCT((M_BOM[Part Name]=$A9)*M_BOM[RM_Qty_Per_Batch]*IFERROR(INDEX(PP_Grid[#Data],M_BOM[PPGridRow],43),0))+IFERROR(INDEX(M_RawMaterials[固定週次消費量_要入力],MATCH($A9,M_RawMaterials[Part Name],0)),0)</f>
        <v/>
      </c>
      <c r="AR9">
        <f>SUMPRODUCT((M_BOM[Part Name]=$A9)*M_BOM[RM_Qty_Per_Batch]*IFERROR(INDEX(PP_Grid[#Data],M_BOM[PPGridRow],44),0))+IFERROR(INDEX(M_RawMaterials[固定週次消費量_要入力],MATCH($A9,M_RawMaterials[Part Name],0)),0)</f>
        <v/>
      </c>
      <c r="AS9">
        <f>SUMPRODUCT((M_BOM[Part Name]=$A9)*M_BOM[RM_Qty_Per_Batch]*IFERROR(INDEX(PP_Grid[#Data],M_BOM[PPGridRow],45),0))+IFERROR(INDEX(M_RawMaterials[固定週次消費量_要入力],MATCH($A9,M_RawMaterials[Part Name],0)),0)</f>
        <v/>
      </c>
      <c r="AT9">
        <f>SUMPRODUCT((M_BOM[Part Name]=$A9)*M_BOM[RM_Qty_Per_Batch]*IFERROR(INDEX(PP_Grid[#Data],M_BOM[PPGridRow],46),0))+IFERROR(INDEX(M_RawMaterials[固定週次消費量_要入力],MATCH($A9,M_RawMaterials[Part Name],0)),0)</f>
        <v/>
      </c>
      <c r="AU9">
        <f>SUMPRODUCT((M_BOM[Part Name]=$A9)*M_BOM[RM_Qty_Per_Batch]*IFERROR(INDEX(PP_Grid[#Data],M_BOM[PPGridRow],47),0))+IFERROR(INDEX(M_RawMaterials[固定週次消費量_要入力],MATCH($A9,M_RawMaterials[Part Name],0)),0)</f>
        <v/>
      </c>
      <c r="AV9">
        <f>SUMPRODUCT((M_BOM[Part Name]=$A9)*M_BOM[RM_Qty_Per_Batch]*IFERROR(INDEX(PP_Grid[#Data],M_BOM[PPGridRow],48),0))+IFERROR(INDEX(M_RawMaterials[固定週次消費量_要入力],MATCH($A9,M_RawMaterials[Part Name],0)),0)</f>
        <v/>
      </c>
      <c r="AW9">
        <f>SUMPRODUCT((M_BOM[Part Name]=$A9)*M_BOM[RM_Qty_Per_Batch]*IFERROR(INDEX(PP_Grid[#Data],M_BOM[PPGridRow],49),0))+IFERROR(INDEX(M_RawMaterials[固定週次消費量_要入力],MATCH($A9,M_RawMaterials[Part Name],0)),0)</f>
        <v/>
      </c>
      <c r="AX9">
        <f>SUMPRODUCT((M_BOM[Part Name]=$A9)*M_BOM[RM_Qty_Per_Batch]*IFERROR(INDEX(PP_Grid[#Data],M_BOM[PPGridRow],50),0))+IFERROR(INDEX(M_RawMaterials[固定週次消費量_要入力],MATCH($A9,M_RawMaterials[Part Name],0)),0)</f>
        <v/>
      </c>
      <c r="AY9">
        <f>SUMPRODUCT((M_BOM[Part Name]=$A9)*M_BOM[RM_Qty_Per_Batch]*IFERROR(INDEX(PP_Grid[#Data],M_BOM[PPGridRow],51),0))+IFERROR(INDEX(M_RawMaterials[固定週次消費量_要入力],MATCH($A9,M_RawMaterials[Part Name],0)),0)</f>
        <v/>
      </c>
      <c r="AZ9">
        <f>SUMPRODUCT((M_BOM[Part Name]=$A9)*M_BOM[RM_Qty_Per_Batch]*IFERROR(INDEX(PP_Grid[#Data],M_BOM[PPGridRow],52),0))+IFERROR(INDEX(M_RawMaterials[固定週次消費量_要入力],MATCH($A9,M_RawMaterials[Part Name],0)),0)</f>
        <v/>
      </c>
      <c r="BA9">
        <f>SUMPRODUCT((M_BOM[Part Name]=$A9)*M_BOM[RM_Qty_Per_Batch]*IFERROR(INDEX(PP_Grid[#Data],M_BOM[PPGridRow],53),0))+IFERROR(INDEX(M_RawMaterials[固定週次消費量_要入力],MATCH($A9,M_RawMaterials[Part Name],0)),0)</f>
        <v/>
      </c>
      <c r="BB9">
        <f>SUMPRODUCT((M_BOM[Part Name]=$A9)*M_BOM[RM_Qty_Per_Batch]*IFERROR(INDEX(PP_Grid[#Data],M_BOM[PPGridRow],54),0))+IFERROR(INDEX(M_RawMaterials[固定週次消費量_要入力],MATCH($A9,M_RawMaterials[Part Name],0)),0)</f>
        <v/>
      </c>
      <c r="BC9">
        <f>SUMPRODUCT((M_BOM[Part Name]=$A9)*M_BOM[RM_Qty_Per_Batch]*IFERROR(INDEX(PP_Grid[#Data],M_BOM[PPGridRow],55),0))+IFERROR(INDEX(M_RawMaterials[固定週次消費量_要入力],MATCH($A9,M_RawMaterials[Part Name],0)),0)</f>
        <v/>
      </c>
      <c r="BD9">
        <f>SUMPRODUCT((M_BOM[Part Name]=$A9)*M_BOM[RM_Qty_Per_Batch]*IFERROR(INDEX(PP_Grid[#Data],M_BOM[PPGridRow],56),0))+IFERROR(INDEX(M_RawMaterials[固定週次消費量_要入力],MATCH($A9,M_RawMaterials[Part Name],0)),0)</f>
        <v/>
      </c>
      <c r="BE9">
        <f>SUMPRODUCT((M_BOM[Part Name]=$A9)*M_BOM[RM_Qty_Per_Batch]*IFERROR(INDEX(PP_Grid[#Data],M_BOM[PPGridRow],57),0))+IFERROR(INDEX(M_RawMaterials[固定週次消費量_要入力],MATCH($A9,M_RawMaterials[Part Name],0)),0)</f>
        <v/>
      </c>
      <c r="BF9">
        <f>SUMPRODUCT((M_BOM[Part Name]=$A9)*M_BOM[RM_Qty_Per_Batch]*IFERROR(INDEX(PP_Grid[#Data],M_BOM[PPGridRow],58),0))+IFERROR(INDEX(M_RawMaterials[固定週次消費量_要入力],MATCH($A9,M_RawMaterials[Part Name],0)),0)</f>
        <v/>
      </c>
      <c r="BG9">
        <f>SUMPRODUCT((M_BOM[Part Name]=$A9)*M_BOM[RM_Qty_Per_Batch]*IFERROR(INDEX(PP_Grid[#Data],M_BOM[PPGridRow],59),0))+IFERROR(INDEX(M_RawMaterials[固定週次消費量_要入力],MATCH($A9,M_RawMaterials[Part Name],0)),0)</f>
        <v/>
      </c>
      <c r="BH9">
        <f>SUMPRODUCT((M_BOM[Part Name]=$A9)*M_BOM[RM_Qty_Per_Batch]*IFERROR(INDEX(PP_Grid[#Data],M_BOM[PPGridRow],60),0))+IFERROR(INDEX(M_RawMaterials[固定週次消費量_要入力],MATCH($A9,M_RawMaterials[Part Name],0)),0)</f>
        <v/>
      </c>
      <c r="BI9">
        <f>SUMPRODUCT((M_BOM[Part Name]=$A9)*M_BOM[RM_Qty_Per_Batch]*IFERROR(INDEX(PP_Grid[#Data],M_BOM[PPGridRow],61),0))+IFERROR(INDEX(M_RawMaterials[固定週次消費量_要入力],MATCH($A9,M_RawMaterials[Part Name],0)),0)</f>
        <v/>
      </c>
      <c r="BJ9">
        <f>SUMPRODUCT((M_BOM[Part Name]=$A9)*M_BOM[RM_Qty_Per_Batch]*IFERROR(INDEX(PP_Grid[#Data],M_BOM[PPGridRow],62),0))+IFERROR(INDEX(M_RawMaterials[固定週次消費量_要入力],MATCH($A9,M_RawMaterials[Part Name],0)),0)</f>
        <v/>
      </c>
      <c r="BK9">
        <f>SUMPRODUCT((M_BOM[Part Name]=$A9)*M_BOM[RM_Qty_Per_Batch]*IFERROR(INDEX(PP_Grid[#Data],M_BOM[PPGridRow],63),0))+IFERROR(INDEX(M_RawMaterials[固定週次消費量_要入力],MATCH($A9,M_RawMaterials[Part Name],0)),0)</f>
        <v/>
      </c>
      <c r="BL9">
        <f>SUMPRODUCT((M_BOM[Part Name]=$A9)*M_BOM[RM_Qty_Per_Batch]*IFERROR(INDEX(PP_Grid[#Data],M_BOM[PPGridRow],64),0))+IFERROR(INDEX(M_RawMaterials[固定週次消費量_要入力],MATCH($A9,M_RawMaterials[Part Name],0)),0)</f>
        <v/>
      </c>
      <c r="BM9">
        <f>SUMPRODUCT((M_BOM[Part Name]=$A9)*M_BOM[RM_Qty_Per_Batch]*IFERROR(INDEX(PP_Grid[#Data],M_BOM[PPGridRow],65),0))+IFERROR(INDEX(M_RawMaterials[固定週次消費量_要入力],MATCH($A9,M_RawMaterials[Part Name],0)),0)</f>
        <v/>
      </c>
      <c r="BN9">
        <f>SUMPRODUCT((M_BOM[Part Name]=$A9)*M_BOM[RM_Qty_Per_Batch]*IFERROR(INDEX(PP_Grid[#Data],M_BOM[PPGridRow],66),0))+IFERROR(INDEX(M_RawMaterials[固定週次消費量_要入力],MATCH($A9,M_RawMaterials[Part Name],0)),0)</f>
        <v/>
      </c>
      <c r="BO9">
        <f>SUMPRODUCT((M_BOM[Part Name]=$A9)*M_BOM[RM_Qty_Per_Batch]*IFERROR(INDEX(PP_Grid[#Data],M_BOM[PPGridRow],67),0))+IFERROR(INDEX(M_RawMaterials[固定週次消費量_要入力],MATCH($A9,M_RawMaterials[Part Name],0)),0)</f>
        <v/>
      </c>
      <c r="BP9">
        <f>SUMPRODUCT((M_BOM[Part Name]=$A9)*M_BOM[RM_Qty_Per_Batch]*IFERROR(INDEX(PP_Grid[#Data],M_BOM[PPGridRow],68),0))+IFERROR(INDEX(M_RawMaterials[固定週次消費量_要入力],MATCH($A9,M_RawMaterials[Part Name],0)),0)</f>
        <v/>
      </c>
      <c r="BQ9">
        <f>SUMPRODUCT((M_BOM[Part Name]=$A9)*M_BOM[RM_Qty_Per_Batch]*IFERROR(INDEX(PP_Grid[#Data],M_BOM[PPGridRow],69),0))+IFERROR(INDEX(M_RawMaterials[固定週次消費量_要入力],MATCH($A9,M_RawMaterials[Part Name],0)),0)</f>
        <v/>
      </c>
      <c r="BR9">
        <f>SUMPRODUCT((M_BOM[Part Name]=$A9)*M_BOM[RM_Qty_Per_Batch]*IFERROR(INDEX(PP_Grid[#Data],M_BOM[PPGridRow],70),0))+IFERROR(INDEX(M_RawMaterials[固定週次消費量_要入力],MATCH($A9,M_RawMaterials[Part Name],0)),0)</f>
        <v/>
      </c>
      <c r="BS9">
        <f>SUMPRODUCT((M_BOM[Part Name]=$A9)*M_BOM[RM_Qty_Per_Batch]*IFERROR(INDEX(PP_Grid[#Data],M_BOM[PPGridRow],71),0))+IFERROR(INDEX(M_RawMaterials[固定週次消費量_要入力],MATCH($A9,M_RawMaterials[Part Name],0)),0)</f>
        <v/>
      </c>
      <c r="BT9">
        <f>SUMPRODUCT((M_BOM[Part Name]=$A9)*M_BOM[RM_Qty_Per_Batch]*IFERROR(INDEX(PP_Grid[#Data],M_BOM[PPGridRow],72),0))+IFERROR(INDEX(M_RawMaterials[固定週次消費量_要入力],MATCH($A9,M_RawMaterials[Part Name],0)),0)</f>
        <v/>
      </c>
      <c r="BU9">
        <f>SUMPRODUCT((M_BOM[Part Name]=$A9)*M_BOM[RM_Qty_Per_Batch]*IFERROR(INDEX(PP_Grid[#Data],M_BOM[PPGridRow],73),0))+IFERROR(INDEX(M_RawMaterials[固定週次消費量_要入力],MATCH($A9,M_RawMaterials[Part Name],0)),0)</f>
        <v/>
      </c>
      <c r="BV9">
        <f>SUMPRODUCT((M_BOM[Part Name]=$A9)*M_BOM[RM_Qty_Per_Batch]*IFERROR(INDEX(PP_Grid[#Data],M_BOM[PPGridRow],74),0))+IFERROR(INDEX(M_RawMaterials[固定週次消費量_要入力],MATCH($A9,M_RawMaterials[Part Name],0)),0)</f>
        <v/>
      </c>
      <c r="BW9">
        <f>SUMPRODUCT((M_BOM[Part Name]=$A9)*M_BOM[RM_Qty_Per_Batch]*IFERROR(INDEX(PP_Grid[#Data],M_BOM[PPGridRow],75),0))+IFERROR(INDEX(M_RawMaterials[固定週次消費量_要入力],MATCH($A9,M_RawMaterials[Part Name],0)),0)</f>
        <v/>
      </c>
      <c r="BX9">
        <f>SUMPRODUCT((M_BOM[Part Name]=$A9)*M_BOM[RM_Qty_Per_Batch]*IFERROR(INDEX(PP_Grid[#Data],M_BOM[PPGridRow],76),0))+IFERROR(INDEX(M_RawMaterials[固定週次消費量_要入力],MATCH($A9,M_RawMaterials[Part Name],0)),0)</f>
        <v/>
      </c>
      <c r="BY9">
        <f>SUMPRODUCT((M_BOM[Part Name]=$A9)*M_BOM[RM_Qty_Per_Batch]*IFERROR(INDEX(PP_Grid[#Data],M_BOM[PPGridRow],77),0))+IFERROR(INDEX(M_RawMaterials[固定週次消費量_要入力],MATCH($A9,M_RawMaterials[Part Name],0)),0)</f>
        <v/>
      </c>
      <c r="BZ9">
        <f>SUMPRODUCT((M_BOM[Part Name]=$A9)*M_BOM[RM_Qty_Per_Batch]*IFERROR(INDEX(PP_Grid[#Data],M_BOM[PPGridRow],78),0))+IFERROR(INDEX(M_RawMaterials[固定週次消費量_要入力],MATCH($A9,M_RawMaterials[Part Name],0)),0)</f>
        <v/>
      </c>
      <c r="CA9">
        <f>SUMPRODUCT((M_BOM[Part Name]=$A9)*M_BOM[RM_Qty_Per_Batch]*IFERROR(INDEX(PP_Grid[#Data],M_BOM[PPGridRow],79),0))+IFERROR(INDEX(M_RawMaterials[固定週次消費量_要入力],MATCH($A9,M_RawMaterials[Part Name],0)),0)</f>
        <v/>
      </c>
      <c r="CB9">
        <f>SUMPRODUCT((M_BOM[Part Name]=$A9)*M_BOM[RM_Qty_Per_Batch]*IFERROR(INDEX(PP_Grid[#Data],M_BOM[PPGridRow],80),0))+IFERROR(INDEX(M_RawMaterials[固定週次消費量_要入力],MATCH($A9,M_RawMaterials[Part Name],0)),0)</f>
        <v/>
      </c>
      <c r="CC9">
        <f>SUMPRODUCT((M_BOM[Part Name]=$A9)*M_BOM[RM_Qty_Per_Batch]*IFERROR(INDEX(PP_Grid[#Data],M_BOM[PPGridRow],81),0))+IFERROR(INDEX(M_RawMaterials[固定週次消費量_要入力],MATCH($A9,M_RawMaterials[Part Name],0)),0)</f>
        <v/>
      </c>
      <c r="CD9">
        <f>SUMPRODUCT((M_BOM[Part Name]=$A9)*M_BOM[RM_Qty_Per_Batch]*IFERROR(INDEX(PP_Grid[#Data],M_BOM[PPGridRow],82),0))+IFERROR(INDEX(M_RawMaterials[固定週次消費量_要入力],MATCH($A9,M_RawMaterials[Part Name],0)),0)</f>
        <v/>
      </c>
      <c r="CE9">
        <f>SUMPRODUCT((M_BOM[Part Name]=$A9)*M_BOM[RM_Qty_Per_Batch]*IFERROR(INDEX(PP_Grid[#Data],M_BOM[PPGridRow],83),0))+IFERROR(INDEX(M_RawMaterials[固定週次消費量_要入力],MATCH($A9,M_RawMaterials[Part Name],0)),0)</f>
        <v/>
      </c>
      <c r="CF9">
        <f>SUMPRODUCT((M_BOM[Part Name]=$A9)*M_BOM[RM_Qty_Per_Batch]*IFERROR(INDEX(PP_Grid[#Data],M_BOM[PPGridRow],84),0))+IFERROR(INDEX(M_RawMaterials[固定週次消費量_要入力],MATCH($A9,M_RawMaterials[Part Name],0)),0)</f>
        <v/>
      </c>
      <c r="CG9">
        <f>SUMPRODUCT((M_BOM[Part Name]=$A9)*M_BOM[RM_Qty_Per_Batch]*IFERROR(INDEX(PP_Grid[#Data],M_BOM[PPGridRow],85),0))+IFERROR(INDEX(M_RawMaterials[固定週次消費量_要入力],MATCH($A9,M_RawMaterials[Part Name],0)),0)</f>
        <v/>
      </c>
      <c r="CH9">
        <f>SUMPRODUCT((M_BOM[Part Name]=$A9)*M_BOM[RM_Qty_Per_Batch]*IFERROR(INDEX(PP_Grid[#Data],M_BOM[PPGridRow],86),0))+IFERROR(INDEX(M_RawMaterials[固定週次消費量_要入力],MATCH($A9,M_RawMaterials[Part Name],0)),0)</f>
        <v/>
      </c>
      <c r="CI9">
        <f>SUMPRODUCT((M_BOM[Part Name]=$A9)*M_BOM[RM_Qty_Per_Batch]*IFERROR(INDEX(PP_Grid[#Data],M_BOM[PPGridRow],87),0))+IFERROR(INDEX(M_RawMaterials[固定週次消費量_要入力],MATCH($A9,M_RawMaterials[Part Name],0)),0)</f>
        <v/>
      </c>
      <c r="CJ9">
        <f>SUMPRODUCT((M_BOM[Part Name]=$A9)*M_BOM[RM_Qty_Per_Batch]*IFERROR(INDEX(PP_Grid[#Data],M_BOM[PPGridRow],88),0))+IFERROR(INDEX(M_RawMaterials[固定週次消費量_要入力],MATCH($A9,M_RawMaterials[Part Name],0)),0)</f>
        <v/>
      </c>
      <c r="CK9">
        <f>SUMPRODUCT((M_BOM[Part Name]=$A9)*M_BOM[RM_Qty_Per_Batch]*IFERROR(INDEX(PP_Grid[#Data],M_BOM[PPGridRow],89),0))+IFERROR(INDEX(M_RawMaterials[固定週次消費量_要入力],MATCH($A9,M_RawMaterials[Part Name],0)),0)</f>
        <v/>
      </c>
      <c r="CL9">
        <f>SUMPRODUCT((M_BOM[Part Name]=$A9)*M_BOM[RM_Qty_Per_Batch]*IFERROR(INDEX(PP_Grid[#Data],M_BOM[PPGridRow],90),0))+IFERROR(INDEX(M_RawMaterials[固定週次消費量_要入力],MATCH($A9,M_RawMaterials[Part Name],0)),0)</f>
        <v/>
      </c>
      <c r="CM9">
        <f>SUMPRODUCT((M_BOM[Part Name]=$A9)*M_BOM[RM_Qty_Per_Batch]*IFERROR(INDEX(PP_Grid[#Data],M_BOM[PPGridRow],91),0))+IFERROR(INDEX(M_RawMaterials[固定週次消費量_要入力],MATCH($A9,M_RawMaterials[Part Name],0)),0)</f>
        <v/>
      </c>
      <c r="CN9">
        <f>SUMPRODUCT((M_BOM[Part Name]=$A9)*M_BOM[RM_Qty_Per_Batch]*IFERROR(INDEX(PP_Grid[#Data],M_BOM[PPGridRow],92),0))+IFERROR(INDEX(M_RawMaterials[固定週次消費量_要入力],MATCH($A9,M_RawMaterials[Part Name],0)),0)</f>
        <v/>
      </c>
      <c r="CO9">
        <f>SUMPRODUCT((M_BOM[Part Name]=$A9)*M_BOM[RM_Qty_Per_Batch]*IFERROR(INDEX(PP_Grid[#Data],M_BOM[PPGridRow],93),0))+IFERROR(INDEX(M_RawMaterials[固定週次消費量_要入力],MATCH($A9,M_RawMaterials[Part Name],0)),0)</f>
        <v/>
      </c>
      <c r="CP9">
        <f>SUMPRODUCT((M_BOM[Part Name]=$A9)*M_BOM[RM_Qty_Per_Batch]*IFERROR(INDEX(PP_Grid[#Data],M_BOM[PPGridRow],94),0))+IFERROR(INDEX(M_RawMaterials[固定週次消費量_要入力],MATCH($A9,M_RawMaterials[Part Name],0)),0)</f>
        <v/>
      </c>
      <c r="CQ9">
        <f>SUMPRODUCT((M_BOM[Part Name]=$A9)*M_BOM[RM_Qty_Per_Batch]*IFERROR(INDEX(PP_Grid[#Data],M_BOM[PPGridRow],95),0))+IFERROR(INDEX(M_RawMaterials[固定週次消費量_要入力],MATCH($A9,M_RawMaterials[Part Name],0)),0)</f>
        <v/>
      </c>
      <c r="CR9">
        <f>SUMPRODUCT((M_BOM[Part Name]=$A9)*M_BOM[RM_Qty_Per_Batch]*IFERROR(INDEX(PP_Grid[#Data],M_BOM[PPGridRow],96),0))+IFERROR(INDEX(M_RawMaterials[固定週次消費量_要入力],MATCH($A9,M_RawMaterials[Part Name],0)),0)</f>
        <v/>
      </c>
      <c r="CS9">
        <f>SUMPRODUCT((M_BOM[Part Name]=$A9)*M_BOM[RM_Qty_Per_Batch]*IFERROR(INDEX(PP_Grid[#Data],M_BOM[PPGridRow],97),0))+IFERROR(INDEX(M_RawMaterials[固定週次消費量_要入力],MATCH($A9,M_RawMaterials[Part Name],0)),0)</f>
        <v/>
      </c>
      <c r="CT9">
        <f>SUMPRODUCT((M_BOM[Part Name]=$A9)*M_BOM[RM_Qty_Per_Batch]*IFERROR(INDEX(PP_Grid[#Data],M_BOM[PPGridRow],98),0))+IFERROR(INDEX(M_RawMaterials[固定週次消費量_要入力],MATCH($A9,M_RawMaterials[Part Name],0)),0)</f>
        <v/>
      </c>
      <c r="CU9">
        <f>SUMPRODUCT((M_BOM[Part Name]=$A9)*M_BOM[RM_Qty_Per_Batch]*IFERROR(INDEX(PP_Grid[#Data],M_BOM[PPGridRow],99),0))+IFERROR(INDEX(M_RawMaterials[固定週次消費量_要入力],MATCH($A9,M_RawMaterials[Part Name],0)),0)</f>
        <v/>
      </c>
      <c r="CV9">
        <f>SUMPRODUCT((M_BOM[Part Name]=$A9)*M_BOM[RM_Qty_Per_Batch]*IFERROR(INDEX(PP_Grid[#Data],M_BOM[PPGridRow],100),0))+IFERROR(INDEX(M_RawMaterials[固定週次消費量_要入力],MATCH($A9,M_RawMaterials[Part Name],0)),0)</f>
        <v/>
      </c>
      <c r="CW9">
        <f>SUMPRODUCT((M_BOM[Part Name]=$A9)*M_BOM[RM_Qty_Per_Batch]*IFERROR(INDEX(PP_Grid[#Data],M_BOM[PPGridRow],101),0))+IFERROR(INDEX(M_RawMaterials[固定週次消費量_要入力],MATCH($A9,M_RawMaterials[Part Name],0)),0)</f>
        <v/>
      </c>
      <c r="CX9">
        <f>SUMPRODUCT((M_BOM[Part Name]=$A9)*M_BOM[RM_Qty_Per_Batch]*IFERROR(INDEX(PP_Grid[#Data],M_BOM[PPGridRow],102),0))+IFERROR(INDEX(M_RawMaterials[固定週次消費量_要入力],MATCH($A9,M_RawMaterials[Part Name],0)),0)</f>
        <v/>
      </c>
      <c r="CY9">
        <f>SUMPRODUCT((M_BOM[Part Name]=$A9)*M_BOM[RM_Qty_Per_Batch]*IFERROR(INDEX(PP_Grid[#Data],M_BOM[PPGridRow],103),0))+IFERROR(INDEX(M_RawMaterials[固定週次消費量_要入力],MATCH($A9,M_RawMaterials[Part Name],0)),0)</f>
        <v/>
      </c>
      <c r="CZ9">
        <f>SUMPRODUCT((M_BOM[Part Name]=$A9)*M_BOM[RM_Qty_Per_Batch]*IFERROR(INDEX(PP_Grid[#Data],M_BOM[PPGridRow],104),0))+IFERROR(INDEX(M_RawMaterials[固定週次消費量_要入力],MATCH($A9,M_RawMaterials[Part Name],0)),0)</f>
        <v/>
      </c>
      <c r="DA9">
        <f>SUMPRODUCT((M_BOM[Part Name]=$A9)*M_BOM[RM_Qty_Per_Batch]*IFERROR(INDEX(PP_Grid[#Data],M_BOM[PPGridRow],105),0))+IFERROR(INDEX(M_RawMaterials[固定週次消費量_要入力],MATCH($A9,M_RawMaterials[Part Name],0)),0)</f>
        <v/>
      </c>
    </row>
    <row r="10">
      <c r="A10" t="inlineStr">
        <is>
          <t>KEJ</t>
        </is>
      </c>
      <c r="B10">
        <f>SUMPRODUCT((M_BOM[Part Name]=$A10)*M_BOM[RM_Qty_Per_Batch]*IFERROR(INDEX(PP_Grid[#Data],M_BOM[PPGridRow],2),0))+IFERROR(INDEX(M_RawMaterials[固定週次消費量_要入力],MATCH($A10,M_RawMaterials[Part Name],0)),0)</f>
        <v/>
      </c>
      <c r="C10">
        <f>SUMPRODUCT((M_BOM[Part Name]=$A10)*M_BOM[RM_Qty_Per_Batch]*IFERROR(INDEX(PP_Grid[#Data],M_BOM[PPGridRow],3),0))+IFERROR(INDEX(M_RawMaterials[固定週次消費量_要入力],MATCH($A10,M_RawMaterials[Part Name],0)),0)</f>
        <v/>
      </c>
      <c r="D10">
        <f>SUMPRODUCT((M_BOM[Part Name]=$A10)*M_BOM[RM_Qty_Per_Batch]*IFERROR(INDEX(PP_Grid[#Data],M_BOM[PPGridRow],4),0))+IFERROR(INDEX(M_RawMaterials[固定週次消費量_要入力],MATCH($A10,M_RawMaterials[Part Name],0)),0)</f>
        <v/>
      </c>
      <c r="E10">
        <f>SUMPRODUCT((M_BOM[Part Name]=$A10)*M_BOM[RM_Qty_Per_Batch]*IFERROR(INDEX(PP_Grid[#Data],M_BOM[PPGridRow],5),0))+IFERROR(INDEX(M_RawMaterials[固定週次消費量_要入力],MATCH($A10,M_RawMaterials[Part Name],0)),0)</f>
        <v/>
      </c>
      <c r="F10">
        <f>SUMPRODUCT((M_BOM[Part Name]=$A10)*M_BOM[RM_Qty_Per_Batch]*IFERROR(INDEX(PP_Grid[#Data],M_BOM[PPGridRow],6),0))+IFERROR(INDEX(M_RawMaterials[固定週次消費量_要入力],MATCH($A10,M_RawMaterials[Part Name],0)),0)</f>
        <v/>
      </c>
      <c r="G10">
        <f>SUMPRODUCT((M_BOM[Part Name]=$A10)*M_BOM[RM_Qty_Per_Batch]*IFERROR(INDEX(PP_Grid[#Data],M_BOM[PPGridRow],7),0))+IFERROR(INDEX(M_RawMaterials[固定週次消費量_要入力],MATCH($A10,M_RawMaterials[Part Name],0)),0)</f>
        <v/>
      </c>
      <c r="H10">
        <f>SUMPRODUCT((M_BOM[Part Name]=$A10)*M_BOM[RM_Qty_Per_Batch]*IFERROR(INDEX(PP_Grid[#Data],M_BOM[PPGridRow],8),0))+IFERROR(INDEX(M_RawMaterials[固定週次消費量_要入力],MATCH($A10,M_RawMaterials[Part Name],0)),0)</f>
        <v/>
      </c>
      <c r="I10">
        <f>SUMPRODUCT((M_BOM[Part Name]=$A10)*M_BOM[RM_Qty_Per_Batch]*IFERROR(INDEX(PP_Grid[#Data],M_BOM[PPGridRow],9),0))+IFERROR(INDEX(M_RawMaterials[固定週次消費量_要入力],MATCH($A10,M_RawMaterials[Part Name],0)),0)</f>
        <v/>
      </c>
      <c r="J10">
        <f>SUMPRODUCT((M_BOM[Part Name]=$A10)*M_BOM[RM_Qty_Per_Batch]*IFERROR(INDEX(PP_Grid[#Data],M_BOM[PPGridRow],10),0))+IFERROR(INDEX(M_RawMaterials[固定週次消費量_要入力],MATCH($A10,M_RawMaterials[Part Name],0)),0)</f>
        <v/>
      </c>
      <c r="K10">
        <f>SUMPRODUCT((M_BOM[Part Name]=$A10)*M_BOM[RM_Qty_Per_Batch]*IFERROR(INDEX(PP_Grid[#Data],M_BOM[PPGridRow],11),0))+IFERROR(INDEX(M_RawMaterials[固定週次消費量_要入力],MATCH($A10,M_RawMaterials[Part Name],0)),0)</f>
        <v/>
      </c>
      <c r="L10">
        <f>SUMPRODUCT((M_BOM[Part Name]=$A10)*M_BOM[RM_Qty_Per_Batch]*IFERROR(INDEX(PP_Grid[#Data],M_BOM[PPGridRow],12),0))+IFERROR(INDEX(M_RawMaterials[固定週次消費量_要入力],MATCH($A10,M_RawMaterials[Part Name],0)),0)</f>
        <v/>
      </c>
      <c r="M10">
        <f>SUMPRODUCT((M_BOM[Part Name]=$A10)*M_BOM[RM_Qty_Per_Batch]*IFERROR(INDEX(PP_Grid[#Data],M_BOM[PPGridRow],13),0))+IFERROR(INDEX(M_RawMaterials[固定週次消費量_要入力],MATCH($A10,M_RawMaterials[Part Name],0)),0)</f>
        <v/>
      </c>
      <c r="N10">
        <f>SUMPRODUCT((M_BOM[Part Name]=$A10)*M_BOM[RM_Qty_Per_Batch]*IFERROR(INDEX(PP_Grid[#Data],M_BOM[PPGridRow],14),0))+IFERROR(INDEX(M_RawMaterials[固定週次消費量_要入力],MATCH($A10,M_RawMaterials[Part Name],0)),0)</f>
        <v/>
      </c>
      <c r="O10">
        <f>SUMPRODUCT((M_BOM[Part Name]=$A10)*M_BOM[RM_Qty_Per_Batch]*IFERROR(INDEX(PP_Grid[#Data],M_BOM[PPGridRow],15),0))+IFERROR(INDEX(M_RawMaterials[固定週次消費量_要入力],MATCH($A10,M_RawMaterials[Part Name],0)),0)</f>
        <v/>
      </c>
      <c r="P10">
        <f>SUMPRODUCT((M_BOM[Part Name]=$A10)*M_BOM[RM_Qty_Per_Batch]*IFERROR(INDEX(PP_Grid[#Data],M_BOM[PPGridRow],16),0))+IFERROR(INDEX(M_RawMaterials[固定週次消費量_要入力],MATCH($A10,M_RawMaterials[Part Name],0)),0)</f>
        <v/>
      </c>
      <c r="Q10">
        <f>SUMPRODUCT((M_BOM[Part Name]=$A10)*M_BOM[RM_Qty_Per_Batch]*IFERROR(INDEX(PP_Grid[#Data],M_BOM[PPGridRow],17),0))+IFERROR(INDEX(M_RawMaterials[固定週次消費量_要入力],MATCH($A10,M_RawMaterials[Part Name],0)),0)</f>
        <v/>
      </c>
      <c r="R10">
        <f>SUMPRODUCT((M_BOM[Part Name]=$A10)*M_BOM[RM_Qty_Per_Batch]*IFERROR(INDEX(PP_Grid[#Data],M_BOM[PPGridRow],18),0))+IFERROR(INDEX(M_RawMaterials[固定週次消費量_要入力],MATCH($A10,M_RawMaterials[Part Name],0)),0)</f>
        <v/>
      </c>
      <c r="S10">
        <f>SUMPRODUCT((M_BOM[Part Name]=$A10)*M_BOM[RM_Qty_Per_Batch]*IFERROR(INDEX(PP_Grid[#Data],M_BOM[PPGridRow],19),0))+IFERROR(INDEX(M_RawMaterials[固定週次消費量_要入力],MATCH($A10,M_RawMaterials[Part Name],0)),0)</f>
        <v/>
      </c>
      <c r="T10">
        <f>SUMPRODUCT((M_BOM[Part Name]=$A10)*M_BOM[RM_Qty_Per_Batch]*IFERROR(INDEX(PP_Grid[#Data],M_BOM[PPGridRow],20),0))+IFERROR(INDEX(M_RawMaterials[固定週次消費量_要入力],MATCH($A10,M_RawMaterials[Part Name],0)),0)</f>
        <v/>
      </c>
      <c r="U10">
        <f>SUMPRODUCT((M_BOM[Part Name]=$A10)*M_BOM[RM_Qty_Per_Batch]*IFERROR(INDEX(PP_Grid[#Data],M_BOM[PPGridRow],21),0))+IFERROR(INDEX(M_RawMaterials[固定週次消費量_要入力],MATCH($A10,M_RawMaterials[Part Name],0)),0)</f>
        <v/>
      </c>
      <c r="V10">
        <f>SUMPRODUCT((M_BOM[Part Name]=$A10)*M_BOM[RM_Qty_Per_Batch]*IFERROR(INDEX(PP_Grid[#Data],M_BOM[PPGridRow],22),0))+IFERROR(INDEX(M_RawMaterials[固定週次消費量_要入力],MATCH($A10,M_RawMaterials[Part Name],0)),0)</f>
        <v/>
      </c>
      <c r="W10">
        <f>SUMPRODUCT((M_BOM[Part Name]=$A10)*M_BOM[RM_Qty_Per_Batch]*IFERROR(INDEX(PP_Grid[#Data],M_BOM[PPGridRow],23),0))+IFERROR(INDEX(M_RawMaterials[固定週次消費量_要入力],MATCH($A10,M_RawMaterials[Part Name],0)),0)</f>
        <v/>
      </c>
      <c r="X10">
        <f>SUMPRODUCT((M_BOM[Part Name]=$A10)*M_BOM[RM_Qty_Per_Batch]*IFERROR(INDEX(PP_Grid[#Data],M_BOM[PPGridRow],24),0))+IFERROR(INDEX(M_RawMaterials[固定週次消費量_要入力],MATCH($A10,M_RawMaterials[Part Name],0)),0)</f>
        <v/>
      </c>
      <c r="Y10">
        <f>SUMPRODUCT((M_BOM[Part Name]=$A10)*M_BOM[RM_Qty_Per_Batch]*IFERROR(INDEX(PP_Grid[#Data],M_BOM[PPGridRow],25),0))+IFERROR(INDEX(M_RawMaterials[固定週次消費量_要入力],MATCH($A10,M_RawMaterials[Part Name],0)),0)</f>
        <v/>
      </c>
      <c r="Z10">
        <f>SUMPRODUCT((M_BOM[Part Name]=$A10)*M_BOM[RM_Qty_Per_Batch]*IFERROR(INDEX(PP_Grid[#Data],M_BOM[PPGridRow],26),0))+IFERROR(INDEX(M_RawMaterials[固定週次消費量_要入力],MATCH($A10,M_RawMaterials[Part Name],0)),0)</f>
        <v/>
      </c>
      <c r="AA10">
        <f>SUMPRODUCT((M_BOM[Part Name]=$A10)*M_BOM[RM_Qty_Per_Batch]*IFERROR(INDEX(PP_Grid[#Data],M_BOM[PPGridRow],27),0))+IFERROR(INDEX(M_RawMaterials[固定週次消費量_要入力],MATCH($A10,M_RawMaterials[Part Name],0)),0)</f>
        <v/>
      </c>
      <c r="AB10">
        <f>SUMPRODUCT((M_BOM[Part Name]=$A10)*M_BOM[RM_Qty_Per_Batch]*IFERROR(INDEX(PP_Grid[#Data],M_BOM[PPGridRow],28),0))+IFERROR(INDEX(M_RawMaterials[固定週次消費量_要入力],MATCH($A10,M_RawMaterials[Part Name],0)),0)</f>
        <v/>
      </c>
      <c r="AC10">
        <f>SUMPRODUCT((M_BOM[Part Name]=$A10)*M_BOM[RM_Qty_Per_Batch]*IFERROR(INDEX(PP_Grid[#Data],M_BOM[PPGridRow],29),0))+IFERROR(INDEX(M_RawMaterials[固定週次消費量_要入力],MATCH($A10,M_RawMaterials[Part Name],0)),0)</f>
        <v/>
      </c>
      <c r="AD10">
        <f>SUMPRODUCT((M_BOM[Part Name]=$A10)*M_BOM[RM_Qty_Per_Batch]*IFERROR(INDEX(PP_Grid[#Data],M_BOM[PPGridRow],30),0))+IFERROR(INDEX(M_RawMaterials[固定週次消費量_要入力],MATCH($A10,M_RawMaterials[Part Name],0)),0)</f>
        <v/>
      </c>
      <c r="AE10">
        <f>SUMPRODUCT((M_BOM[Part Name]=$A10)*M_BOM[RM_Qty_Per_Batch]*IFERROR(INDEX(PP_Grid[#Data],M_BOM[PPGridRow],31),0))+IFERROR(INDEX(M_RawMaterials[固定週次消費量_要入力],MATCH($A10,M_RawMaterials[Part Name],0)),0)</f>
        <v/>
      </c>
      <c r="AF10">
        <f>SUMPRODUCT((M_BOM[Part Name]=$A10)*M_BOM[RM_Qty_Per_Batch]*IFERROR(INDEX(PP_Grid[#Data],M_BOM[PPGridRow],32),0))+IFERROR(INDEX(M_RawMaterials[固定週次消費量_要入力],MATCH($A10,M_RawMaterials[Part Name],0)),0)</f>
        <v/>
      </c>
      <c r="AG10">
        <f>SUMPRODUCT((M_BOM[Part Name]=$A10)*M_BOM[RM_Qty_Per_Batch]*IFERROR(INDEX(PP_Grid[#Data],M_BOM[PPGridRow],33),0))+IFERROR(INDEX(M_RawMaterials[固定週次消費量_要入力],MATCH($A10,M_RawMaterials[Part Name],0)),0)</f>
        <v/>
      </c>
      <c r="AH10">
        <f>SUMPRODUCT((M_BOM[Part Name]=$A10)*M_BOM[RM_Qty_Per_Batch]*IFERROR(INDEX(PP_Grid[#Data],M_BOM[PPGridRow],34),0))+IFERROR(INDEX(M_RawMaterials[固定週次消費量_要入力],MATCH($A10,M_RawMaterials[Part Name],0)),0)</f>
        <v/>
      </c>
      <c r="AI10">
        <f>SUMPRODUCT((M_BOM[Part Name]=$A10)*M_BOM[RM_Qty_Per_Batch]*IFERROR(INDEX(PP_Grid[#Data],M_BOM[PPGridRow],35),0))+IFERROR(INDEX(M_RawMaterials[固定週次消費量_要入力],MATCH($A10,M_RawMaterials[Part Name],0)),0)</f>
        <v/>
      </c>
      <c r="AJ10">
        <f>SUMPRODUCT((M_BOM[Part Name]=$A10)*M_BOM[RM_Qty_Per_Batch]*IFERROR(INDEX(PP_Grid[#Data],M_BOM[PPGridRow],36),0))+IFERROR(INDEX(M_RawMaterials[固定週次消費量_要入力],MATCH($A10,M_RawMaterials[Part Name],0)),0)</f>
        <v/>
      </c>
      <c r="AK10">
        <f>SUMPRODUCT((M_BOM[Part Name]=$A10)*M_BOM[RM_Qty_Per_Batch]*IFERROR(INDEX(PP_Grid[#Data],M_BOM[PPGridRow],37),0))+IFERROR(INDEX(M_RawMaterials[固定週次消費量_要入力],MATCH($A10,M_RawMaterials[Part Name],0)),0)</f>
        <v/>
      </c>
      <c r="AL10">
        <f>SUMPRODUCT((M_BOM[Part Name]=$A10)*M_BOM[RM_Qty_Per_Batch]*IFERROR(INDEX(PP_Grid[#Data],M_BOM[PPGridRow],38),0))+IFERROR(INDEX(M_RawMaterials[固定週次消費量_要入力],MATCH($A10,M_RawMaterials[Part Name],0)),0)</f>
        <v/>
      </c>
      <c r="AM10">
        <f>SUMPRODUCT((M_BOM[Part Name]=$A10)*M_BOM[RM_Qty_Per_Batch]*IFERROR(INDEX(PP_Grid[#Data],M_BOM[PPGridRow],39),0))+IFERROR(INDEX(M_RawMaterials[固定週次消費量_要入力],MATCH($A10,M_RawMaterials[Part Name],0)),0)</f>
        <v/>
      </c>
      <c r="AN10">
        <f>SUMPRODUCT((M_BOM[Part Name]=$A10)*M_BOM[RM_Qty_Per_Batch]*IFERROR(INDEX(PP_Grid[#Data],M_BOM[PPGridRow],40),0))+IFERROR(INDEX(M_RawMaterials[固定週次消費量_要入力],MATCH($A10,M_RawMaterials[Part Name],0)),0)</f>
        <v/>
      </c>
      <c r="AO10">
        <f>SUMPRODUCT((M_BOM[Part Name]=$A10)*M_BOM[RM_Qty_Per_Batch]*IFERROR(INDEX(PP_Grid[#Data],M_BOM[PPGridRow],41),0))+IFERROR(INDEX(M_RawMaterials[固定週次消費量_要入力],MATCH($A10,M_RawMaterials[Part Name],0)),0)</f>
        <v/>
      </c>
      <c r="AP10">
        <f>SUMPRODUCT((M_BOM[Part Name]=$A10)*M_BOM[RM_Qty_Per_Batch]*IFERROR(INDEX(PP_Grid[#Data],M_BOM[PPGridRow],42),0))+IFERROR(INDEX(M_RawMaterials[固定週次消費量_要入力],MATCH($A10,M_RawMaterials[Part Name],0)),0)</f>
        <v/>
      </c>
      <c r="AQ10">
        <f>SUMPRODUCT((M_BOM[Part Name]=$A10)*M_BOM[RM_Qty_Per_Batch]*IFERROR(INDEX(PP_Grid[#Data],M_BOM[PPGridRow],43),0))+IFERROR(INDEX(M_RawMaterials[固定週次消費量_要入力],MATCH($A10,M_RawMaterials[Part Name],0)),0)</f>
        <v/>
      </c>
      <c r="AR10">
        <f>SUMPRODUCT((M_BOM[Part Name]=$A10)*M_BOM[RM_Qty_Per_Batch]*IFERROR(INDEX(PP_Grid[#Data],M_BOM[PPGridRow],44),0))+IFERROR(INDEX(M_RawMaterials[固定週次消費量_要入力],MATCH($A10,M_RawMaterials[Part Name],0)),0)</f>
        <v/>
      </c>
      <c r="AS10">
        <f>SUMPRODUCT((M_BOM[Part Name]=$A10)*M_BOM[RM_Qty_Per_Batch]*IFERROR(INDEX(PP_Grid[#Data],M_BOM[PPGridRow],45),0))+IFERROR(INDEX(M_RawMaterials[固定週次消費量_要入力],MATCH($A10,M_RawMaterials[Part Name],0)),0)</f>
        <v/>
      </c>
      <c r="AT10">
        <f>SUMPRODUCT((M_BOM[Part Name]=$A10)*M_BOM[RM_Qty_Per_Batch]*IFERROR(INDEX(PP_Grid[#Data],M_BOM[PPGridRow],46),0))+IFERROR(INDEX(M_RawMaterials[固定週次消費量_要入力],MATCH($A10,M_RawMaterials[Part Name],0)),0)</f>
        <v/>
      </c>
      <c r="AU10">
        <f>SUMPRODUCT((M_BOM[Part Name]=$A10)*M_BOM[RM_Qty_Per_Batch]*IFERROR(INDEX(PP_Grid[#Data],M_BOM[PPGridRow],47),0))+IFERROR(INDEX(M_RawMaterials[固定週次消費量_要入力],MATCH($A10,M_RawMaterials[Part Name],0)),0)</f>
        <v/>
      </c>
      <c r="AV10">
        <f>SUMPRODUCT((M_BOM[Part Name]=$A10)*M_BOM[RM_Qty_Per_Batch]*IFERROR(INDEX(PP_Grid[#Data],M_BOM[PPGridRow],48),0))+IFERROR(INDEX(M_RawMaterials[固定週次消費量_要入力],MATCH($A10,M_RawMaterials[Part Name],0)),0)</f>
        <v/>
      </c>
      <c r="AW10">
        <f>SUMPRODUCT((M_BOM[Part Name]=$A10)*M_BOM[RM_Qty_Per_Batch]*IFERROR(INDEX(PP_Grid[#Data],M_BOM[PPGridRow],49),0))+IFERROR(INDEX(M_RawMaterials[固定週次消費量_要入力],MATCH($A10,M_RawMaterials[Part Name],0)),0)</f>
        <v/>
      </c>
      <c r="AX10">
        <f>SUMPRODUCT((M_BOM[Part Name]=$A10)*M_BOM[RM_Qty_Per_Batch]*IFERROR(INDEX(PP_Grid[#Data],M_BOM[PPGridRow],50),0))+IFERROR(INDEX(M_RawMaterials[固定週次消費量_要入力],MATCH($A10,M_RawMaterials[Part Name],0)),0)</f>
        <v/>
      </c>
      <c r="AY10">
        <f>SUMPRODUCT((M_BOM[Part Name]=$A10)*M_BOM[RM_Qty_Per_Batch]*IFERROR(INDEX(PP_Grid[#Data],M_BOM[PPGridRow],51),0))+IFERROR(INDEX(M_RawMaterials[固定週次消費量_要入力],MATCH($A10,M_RawMaterials[Part Name],0)),0)</f>
        <v/>
      </c>
      <c r="AZ10">
        <f>SUMPRODUCT((M_BOM[Part Name]=$A10)*M_BOM[RM_Qty_Per_Batch]*IFERROR(INDEX(PP_Grid[#Data],M_BOM[PPGridRow],52),0))+IFERROR(INDEX(M_RawMaterials[固定週次消費量_要入力],MATCH($A10,M_RawMaterials[Part Name],0)),0)</f>
        <v/>
      </c>
      <c r="BA10">
        <f>SUMPRODUCT((M_BOM[Part Name]=$A10)*M_BOM[RM_Qty_Per_Batch]*IFERROR(INDEX(PP_Grid[#Data],M_BOM[PPGridRow],53),0))+IFERROR(INDEX(M_RawMaterials[固定週次消費量_要入力],MATCH($A10,M_RawMaterials[Part Name],0)),0)</f>
        <v/>
      </c>
      <c r="BB10">
        <f>SUMPRODUCT((M_BOM[Part Name]=$A10)*M_BOM[RM_Qty_Per_Batch]*IFERROR(INDEX(PP_Grid[#Data],M_BOM[PPGridRow],54),0))+IFERROR(INDEX(M_RawMaterials[固定週次消費量_要入力],MATCH($A10,M_RawMaterials[Part Name],0)),0)</f>
        <v/>
      </c>
      <c r="BC10">
        <f>SUMPRODUCT((M_BOM[Part Name]=$A10)*M_BOM[RM_Qty_Per_Batch]*IFERROR(INDEX(PP_Grid[#Data],M_BOM[PPGridRow],55),0))+IFERROR(INDEX(M_RawMaterials[固定週次消費量_要入力],MATCH($A10,M_RawMaterials[Part Name],0)),0)</f>
        <v/>
      </c>
      <c r="BD10">
        <f>SUMPRODUCT((M_BOM[Part Name]=$A10)*M_BOM[RM_Qty_Per_Batch]*IFERROR(INDEX(PP_Grid[#Data],M_BOM[PPGridRow],56),0))+IFERROR(INDEX(M_RawMaterials[固定週次消費量_要入力],MATCH($A10,M_RawMaterials[Part Name],0)),0)</f>
        <v/>
      </c>
      <c r="BE10">
        <f>SUMPRODUCT((M_BOM[Part Name]=$A10)*M_BOM[RM_Qty_Per_Batch]*IFERROR(INDEX(PP_Grid[#Data],M_BOM[PPGridRow],57),0))+IFERROR(INDEX(M_RawMaterials[固定週次消費量_要入力],MATCH($A10,M_RawMaterials[Part Name],0)),0)</f>
        <v/>
      </c>
      <c r="BF10">
        <f>SUMPRODUCT((M_BOM[Part Name]=$A10)*M_BOM[RM_Qty_Per_Batch]*IFERROR(INDEX(PP_Grid[#Data],M_BOM[PPGridRow],58),0))+IFERROR(INDEX(M_RawMaterials[固定週次消費量_要入力],MATCH($A10,M_RawMaterials[Part Name],0)),0)</f>
        <v/>
      </c>
      <c r="BG10">
        <f>SUMPRODUCT((M_BOM[Part Name]=$A10)*M_BOM[RM_Qty_Per_Batch]*IFERROR(INDEX(PP_Grid[#Data],M_BOM[PPGridRow],59),0))+IFERROR(INDEX(M_RawMaterials[固定週次消費量_要入力],MATCH($A10,M_RawMaterials[Part Name],0)),0)</f>
        <v/>
      </c>
      <c r="BH10">
        <f>SUMPRODUCT((M_BOM[Part Name]=$A10)*M_BOM[RM_Qty_Per_Batch]*IFERROR(INDEX(PP_Grid[#Data],M_BOM[PPGridRow],60),0))+IFERROR(INDEX(M_RawMaterials[固定週次消費量_要入力],MATCH($A10,M_RawMaterials[Part Name],0)),0)</f>
        <v/>
      </c>
      <c r="BI10">
        <f>SUMPRODUCT((M_BOM[Part Name]=$A10)*M_BOM[RM_Qty_Per_Batch]*IFERROR(INDEX(PP_Grid[#Data],M_BOM[PPGridRow],61),0))+IFERROR(INDEX(M_RawMaterials[固定週次消費量_要入力],MATCH($A10,M_RawMaterials[Part Name],0)),0)</f>
        <v/>
      </c>
      <c r="BJ10">
        <f>SUMPRODUCT((M_BOM[Part Name]=$A10)*M_BOM[RM_Qty_Per_Batch]*IFERROR(INDEX(PP_Grid[#Data],M_BOM[PPGridRow],62),0))+IFERROR(INDEX(M_RawMaterials[固定週次消費量_要入力],MATCH($A10,M_RawMaterials[Part Name],0)),0)</f>
        <v/>
      </c>
      <c r="BK10">
        <f>SUMPRODUCT((M_BOM[Part Name]=$A10)*M_BOM[RM_Qty_Per_Batch]*IFERROR(INDEX(PP_Grid[#Data],M_BOM[PPGridRow],63),0))+IFERROR(INDEX(M_RawMaterials[固定週次消費量_要入力],MATCH($A10,M_RawMaterials[Part Name],0)),0)</f>
        <v/>
      </c>
      <c r="BL10">
        <f>SUMPRODUCT((M_BOM[Part Name]=$A10)*M_BOM[RM_Qty_Per_Batch]*IFERROR(INDEX(PP_Grid[#Data],M_BOM[PPGridRow],64),0))+IFERROR(INDEX(M_RawMaterials[固定週次消費量_要入力],MATCH($A10,M_RawMaterials[Part Name],0)),0)</f>
        <v/>
      </c>
      <c r="BM10">
        <f>SUMPRODUCT((M_BOM[Part Name]=$A10)*M_BOM[RM_Qty_Per_Batch]*IFERROR(INDEX(PP_Grid[#Data],M_BOM[PPGridRow],65),0))+IFERROR(INDEX(M_RawMaterials[固定週次消費量_要入力],MATCH($A10,M_RawMaterials[Part Name],0)),0)</f>
        <v/>
      </c>
      <c r="BN10">
        <f>SUMPRODUCT((M_BOM[Part Name]=$A10)*M_BOM[RM_Qty_Per_Batch]*IFERROR(INDEX(PP_Grid[#Data],M_BOM[PPGridRow],66),0))+IFERROR(INDEX(M_RawMaterials[固定週次消費量_要入力],MATCH($A10,M_RawMaterials[Part Name],0)),0)</f>
        <v/>
      </c>
      <c r="BO10">
        <f>SUMPRODUCT((M_BOM[Part Name]=$A10)*M_BOM[RM_Qty_Per_Batch]*IFERROR(INDEX(PP_Grid[#Data],M_BOM[PPGridRow],67),0))+IFERROR(INDEX(M_RawMaterials[固定週次消費量_要入力],MATCH($A10,M_RawMaterials[Part Name],0)),0)</f>
        <v/>
      </c>
      <c r="BP10">
        <f>SUMPRODUCT((M_BOM[Part Name]=$A10)*M_BOM[RM_Qty_Per_Batch]*IFERROR(INDEX(PP_Grid[#Data],M_BOM[PPGridRow],68),0))+IFERROR(INDEX(M_RawMaterials[固定週次消費量_要入力],MATCH($A10,M_RawMaterials[Part Name],0)),0)</f>
        <v/>
      </c>
      <c r="BQ10">
        <f>SUMPRODUCT((M_BOM[Part Name]=$A10)*M_BOM[RM_Qty_Per_Batch]*IFERROR(INDEX(PP_Grid[#Data],M_BOM[PPGridRow],69),0))+IFERROR(INDEX(M_RawMaterials[固定週次消費量_要入力],MATCH($A10,M_RawMaterials[Part Name],0)),0)</f>
        <v/>
      </c>
      <c r="BR10">
        <f>SUMPRODUCT((M_BOM[Part Name]=$A10)*M_BOM[RM_Qty_Per_Batch]*IFERROR(INDEX(PP_Grid[#Data],M_BOM[PPGridRow],70),0))+IFERROR(INDEX(M_RawMaterials[固定週次消費量_要入力],MATCH($A10,M_RawMaterials[Part Name],0)),0)</f>
        <v/>
      </c>
      <c r="BS10">
        <f>SUMPRODUCT((M_BOM[Part Name]=$A10)*M_BOM[RM_Qty_Per_Batch]*IFERROR(INDEX(PP_Grid[#Data],M_BOM[PPGridRow],71),0))+IFERROR(INDEX(M_RawMaterials[固定週次消費量_要入力],MATCH($A10,M_RawMaterials[Part Name],0)),0)</f>
        <v/>
      </c>
      <c r="BT10">
        <f>SUMPRODUCT((M_BOM[Part Name]=$A10)*M_BOM[RM_Qty_Per_Batch]*IFERROR(INDEX(PP_Grid[#Data],M_BOM[PPGridRow],72),0))+IFERROR(INDEX(M_RawMaterials[固定週次消費量_要入力],MATCH($A10,M_RawMaterials[Part Name],0)),0)</f>
        <v/>
      </c>
      <c r="BU10">
        <f>SUMPRODUCT((M_BOM[Part Name]=$A10)*M_BOM[RM_Qty_Per_Batch]*IFERROR(INDEX(PP_Grid[#Data],M_BOM[PPGridRow],73),0))+IFERROR(INDEX(M_RawMaterials[固定週次消費量_要入力],MATCH($A10,M_RawMaterials[Part Name],0)),0)</f>
        <v/>
      </c>
      <c r="BV10">
        <f>SUMPRODUCT((M_BOM[Part Name]=$A10)*M_BOM[RM_Qty_Per_Batch]*IFERROR(INDEX(PP_Grid[#Data],M_BOM[PPGridRow],74),0))+IFERROR(INDEX(M_RawMaterials[固定週次消費量_要入力],MATCH($A10,M_RawMaterials[Part Name],0)),0)</f>
        <v/>
      </c>
      <c r="BW10">
        <f>SUMPRODUCT((M_BOM[Part Name]=$A10)*M_BOM[RM_Qty_Per_Batch]*IFERROR(INDEX(PP_Grid[#Data],M_BOM[PPGridRow],75),0))+IFERROR(INDEX(M_RawMaterials[固定週次消費量_要入力],MATCH($A10,M_RawMaterials[Part Name],0)),0)</f>
        <v/>
      </c>
      <c r="BX10">
        <f>SUMPRODUCT((M_BOM[Part Name]=$A10)*M_BOM[RM_Qty_Per_Batch]*IFERROR(INDEX(PP_Grid[#Data],M_BOM[PPGridRow],76),0))+IFERROR(INDEX(M_RawMaterials[固定週次消費量_要入力],MATCH($A10,M_RawMaterials[Part Name],0)),0)</f>
        <v/>
      </c>
      <c r="BY10">
        <f>SUMPRODUCT((M_BOM[Part Name]=$A10)*M_BOM[RM_Qty_Per_Batch]*IFERROR(INDEX(PP_Grid[#Data],M_BOM[PPGridRow],77),0))+IFERROR(INDEX(M_RawMaterials[固定週次消費量_要入力],MATCH($A10,M_RawMaterials[Part Name],0)),0)</f>
        <v/>
      </c>
      <c r="BZ10">
        <f>SUMPRODUCT((M_BOM[Part Name]=$A10)*M_BOM[RM_Qty_Per_Batch]*IFERROR(INDEX(PP_Grid[#Data],M_BOM[PPGridRow],78),0))+IFERROR(INDEX(M_RawMaterials[固定週次消費量_要入力],MATCH($A10,M_RawMaterials[Part Name],0)),0)</f>
        <v/>
      </c>
      <c r="CA10">
        <f>SUMPRODUCT((M_BOM[Part Name]=$A10)*M_BOM[RM_Qty_Per_Batch]*IFERROR(INDEX(PP_Grid[#Data],M_BOM[PPGridRow],79),0))+IFERROR(INDEX(M_RawMaterials[固定週次消費量_要入力],MATCH($A10,M_RawMaterials[Part Name],0)),0)</f>
        <v/>
      </c>
      <c r="CB10">
        <f>SUMPRODUCT((M_BOM[Part Name]=$A10)*M_BOM[RM_Qty_Per_Batch]*IFERROR(INDEX(PP_Grid[#Data],M_BOM[PPGridRow],80),0))+IFERROR(INDEX(M_RawMaterials[固定週次消費量_要入力],MATCH($A10,M_RawMaterials[Part Name],0)),0)</f>
        <v/>
      </c>
      <c r="CC10">
        <f>SUMPRODUCT((M_BOM[Part Name]=$A10)*M_BOM[RM_Qty_Per_Batch]*IFERROR(INDEX(PP_Grid[#Data],M_BOM[PPGridRow],81),0))+IFERROR(INDEX(M_RawMaterials[固定週次消費量_要入力],MATCH($A10,M_RawMaterials[Part Name],0)),0)</f>
        <v/>
      </c>
      <c r="CD10">
        <f>SUMPRODUCT((M_BOM[Part Name]=$A10)*M_BOM[RM_Qty_Per_Batch]*IFERROR(INDEX(PP_Grid[#Data],M_BOM[PPGridRow],82),0))+IFERROR(INDEX(M_RawMaterials[固定週次消費量_要入力],MATCH($A10,M_RawMaterials[Part Name],0)),0)</f>
        <v/>
      </c>
      <c r="CE10">
        <f>SUMPRODUCT((M_BOM[Part Name]=$A10)*M_BOM[RM_Qty_Per_Batch]*IFERROR(INDEX(PP_Grid[#Data],M_BOM[PPGridRow],83),0))+IFERROR(INDEX(M_RawMaterials[固定週次消費量_要入力],MATCH($A10,M_RawMaterials[Part Name],0)),0)</f>
        <v/>
      </c>
      <c r="CF10">
        <f>SUMPRODUCT((M_BOM[Part Name]=$A10)*M_BOM[RM_Qty_Per_Batch]*IFERROR(INDEX(PP_Grid[#Data],M_BOM[PPGridRow],84),0))+IFERROR(INDEX(M_RawMaterials[固定週次消費量_要入力],MATCH($A10,M_RawMaterials[Part Name],0)),0)</f>
        <v/>
      </c>
      <c r="CG10">
        <f>SUMPRODUCT((M_BOM[Part Name]=$A10)*M_BOM[RM_Qty_Per_Batch]*IFERROR(INDEX(PP_Grid[#Data],M_BOM[PPGridRow],85),0))+IFERROR(INDEX(M_RawMaterials[固定週次消費量_要入力],MATCH($A10,M_RawMaterials[Part Name],0)),0)</f>
        <v/>
      </c>
      <c r="CH10">
        <f>SUMPRODUCT((M_BOM[Part Name]=$A10)*M_BOM[RM_Qty_Per_Batch]*IFERROR(INDEX(PP_Grid[#Data],M_BOM[PPGridRow],86),0))+IFERROR(INDEX(M_RawMaterials[固定週次消費量_要入力],MATCH($A10,M_RawMaterials[Part Name],0)),0)</f>
        <v/>
      </c>
      <c r="CI10">
        <f>SUMPRODUCT((M_BOM[Part Name]=$A10)*M_BOM[RM_Qty_Per_Batch]*IFERROR(INDEX(PP_Grid[#Data],M_BOM[PPGridRow],87),0))+IFERROR(INDEX(M_RawMaterials[固定週次消費量_要入力],MATCH($A10,M_RawMaterials[Part Name],0)),0)</f>
        <v/>
      </c>
      <c r="CJ10">
        <f>SUMPRODUCT((M_BOM[Part Name]=$A10)*M_BOM[RM_Qty_Per_Batch]*IFERROR(INDEX(PP_Grid[#Data],M_BOM[PPGridRow],88),0))+IFERROR(INDEX(M_RawMaterials[固定週次消費量_要入力],MATCH($A10,M_RawMaterials[Part Name],0)),0)</f>
        <v/>
      </c>
      <c r="CK10">
        <f>SUMPRODUCT((M_BOM[Part Name]=$A10)*M_BOM[RM_Qty_Per_Batch]*IFERROR(INDEX(PP_Grid[#Data],M_BOM[PPGridRow],89),0))+IFERROR(INDEX(M_RawMaterials[固定週次消費量_要入力],MATCH($A10,M_RawMaterials[Part Name],0)),0)</f>
        <v/>
      </c>
      <c r="CL10">
        <f>SUMPRODUCT((M_BOM[Part Name]=$A10)*M_BOM[RM_Qty_Per_Batch]*IFERROR(INDEX(PP_Grid[#Data],M_BOM[PPGridRow],90),0))+IFERROR(INDEX(M_RawMaterials[固定週次消費量_要入力],MATCH($A10,M_RawMaterials[Part Name],0)),0)</f>
        <v/>
      </c>
      <c r="CM10">
        <f>SUMPRODUCT((M_BOM[Part Name]=$A10)*M_BOM[RM_Qty_Per_Batch]*IFERROR(INDEX(PP_Grid[#Data],M_BOM[PPGridRow],91),0))+IFERROR(INDEX(M_RawMaterials[固定週次消費量_要入力],MATCH($A10,M_RawMaterials[Part Name],0)),0)</f>
        <v/>
      </c>
      <c r="CN10">
        <f>SUMPRODUCT((M_BOM[Part Name]=$A10)*M_BOM[RM_Qty_Per_Batch]*IFERROR(INDEX(PP_Grid[#Data],M_BOM[PPGridRow],92),0))+IFERROR(INDEX(M_RawMaterials[固定週次消費量_要入力],MATCH($A10,M_RawMaterials[Part Name],0)),0)</f>
        <v/>
      </c>
      <c r="CO10">
        <f>SUMPRODUCT((M_BOM[Part Name]=$A10)*M_BOM[RM_Qty_Per_Batch]*IFERROR(INDEX(PP_Grid[#Data],M_BOM[PPGridRow],93),0))+IFERROR(INDEX(M_RawMaterials[固定週次消費量_要入力],MATCH($A10,M_RawMaterials[Part Name],0)),0)</f>
        <v/>
      </c>
      <c r="CP10">
        <f>SUMPRODUCT((M_BOM[Part Name]=$A10)*M_BOM[RM_Qty_Per_Batch]*IFERROR(INDEX(PP_Grid[#Data],M_BOM[PPGridRow],94),0))+IFERROR(INDEX(M_RawMaterials[固定週次消費量_要入力],MATCH($A10,M_RawMaterials[Part Name],0)),0)</f>
        <v/>
      </c>
      <c r="CQ10">
        <f>SUMPRODUCT((M_BOM[Part Name]=$A10)*M_BOM[RM_Qty_Per_Batch]*IFERROR(INDEX(PP_Grid[#Data],M_BOM[PPGridRow],95),0))+IFERROR(INDEX(M_RawMaterials[固定週次消費量_要入力],MATCH($A10,M_RawMaterials[Part Name],0)),0)</f>
        <v/>
      </c>
      <c r="CR10">
        <f>SUMPRODUCT((M_BOM[Part Name]=$A10)*M_BOM[RM_Qty_Per_Batch]*IFERROR(INDEX(PP_Grid[#Data],M_BOM[PPGridRow],96),0))+IFERROR(INDEX(M_RawMaterials[固定週次消費量_要入力],MATCH($A10,M_RawMaterials[Part Name],0)),0)</f>
        <v/>
      </c>
      <c r="CS10">
        <f>SUMPRODUCT((M_BOM[Part Name]=$A10)*M_BOM[RM_Qty_Per_Batch]*IFERROR(INDEX(PP_Grid[#Data],M_BOM[PPGridRow],97),0))+IFERROR(INDEX(M_RawMaterials[固定週次消費量_要入力],MATCH($A10,M_RawMaterials[Part Name],0)),0)</f>
        <v/>
      </c>
      <c r="CT10">
        <f>SUMPRODUCT((M_BOM[Part Name]=$A10)*M_BOM[RM_Qty_Per_Batch]*IFERROR(INDEX(PP_Grid[#Data],M_BOM[PPGridRow],98),0))+IFERROR(INDEX(M_RawMaterials[固定週次消費量_要入力],MATCH($A10,M_RawMaterials[Part Name],0)),0)</f>
        <v/>
      </c>
      <c r="CU10">
        <f>SUMPRODUCT((M_BOM[Part Name]=$A10)*M_BOM[RM_Qty_Per_Batch]*IFERROR(INDEX(PP_Grid[#Data],M_BOM[PPGridRow],99),0))+IFERROR(INDEX(M_RawMaterials[固定週次消費量_要入力],MATCH($A10,M_RawMaterials[Part Name],0)),0)</f>
        <v/>
      </c>
      <c r="CV10">
        <f>SUMPRODUCT((M_BOM[Part Name]=$A10)*M_BOM[RM_Qty_Per_Batch]*IFERROR(INDEX(PP_Grid[#Data],M_BOM[PPGridRow],100),0))+IFERROR(INDEX(M_RawMaterials[固定週次消費量_要入力],MATCH($A10,M_RawMaterials[Part Name],0)),0)</f>
        <v/>
      </c>
      <c r="CW10">
        <f>SUMPRODUCT((M_BOM[Part Name]=$A10)*M_BOM[RM_Qty_Per_Batch]*IFERROR(INDEX(PP_Grid[#Data],M_BOM[PPGridRow],101),0))+IFERROR(INDEX(M_RawMaterials[固定週次消費量_要入力],MATCH($A10,M_RawMaterials[Part Name],0)),0)</f>
        <v/>
      </c>
      <c r="CX10">
        <f>SUMPRODUCT((M_BOM[Part Name]=$A10)*M_BOM[RM_Qty_Per_Batch]*IFERROR(INDEX(PP_Grid[#Data],M_BOM[PPGridRow],102),0))+IFERROR(INDEX(M_RawMaterials[固定週次消費量_要入力],MATCH($A10,M_RawMaterials[Part Name],0)),0)</f>
        <v/>
      </c>
      <c r="CY10">
        <f>SUMPRODUCT((M_BOM[Part Name]=$A10)*M_BOM[RM_Qty_Per_Batch]*IFERROR(INDEX(PP_Grid[#Data],M_BOM[PPGridRow],103),0))+IFERROR(INDEX(M_RawMaterials[固定週次消費量_要入力],MATCH($A10,M_RawMaterials[Part Name],0)),0)</f>
        <v/>
      </c>
      <c r="CZ10">
        <f>SUMPRODUCT((M_BOM[Part Name]=$A10)*M_BOM[RM_Qty_Per_Batch]*IFERROR(INDEX(PP_Grid[#Data],M_BOM[PPGridRow],104),0))+IFERROR(INDEX(M_RawMaterials[固定週次消費量_要入力],MATCH($A10,M_RawMaterials[Part Name],0)),0)</f>
        <v/>
      </c>
      <c r="DA10">
        <f>SUMPRODUCT((M_BOM[Part Name]=$A10)*M_BOM[RM_Qty_Per_Batch]*IFERROR(INDEX(PP_Grid[#Data],M_BOM[PPGridRow],105),0))+IFERROR(INDEX(M_RawMaterials[固定週次消費量_要入力],MATCH($A10,M_RawMaterials[Part Name],0)),0)</f>
        <v/>
      </c>
    </row>
    <row r="11">
      <c r="A11" t="inlineStr">
        <is>
          <t>JEJ</t>
        </is>
      </c>
      <c r="B11">
        <f>SUMPRODUCT((M_BOM[Part Name]=$A11)*M_BOM[RM_Qty_Per_Batch]*IFERROR(INDEX(PP_Grid[#Data],M_BOM[PPGridRow],2),0))+IFERROR(INDEX(M_RawMaterials[固定週次消費量_要入力],MATCH($A11,M_RawMaterials[Part Name],0)),0)</f>
        <v/>
      </c>
      <c r="C11">
        <f>SUMPRODUCT((M_BOM[Part Name]=$A11)*M_BOM[RM_Qty_Per_Batch]*IFERROR(INDEX(PP_Grid[#Data],M_BOM[PPGridRow],3),0))+IFERROR(INDEX(M_RawMaterials[固定週次消費量_要入力],MATCH($A11,M_RawMaterials[Part Name],0)),0)</f>
        <v/>
      </c>
      <c r="D11">
        <f>SUMPRODUCT((M_BOM[Part Name]=$A11)*M_BOM[RM_Qty_Per_Batch]*IFERROR(INDEX(PP_Grid[#Data],M_BOM[PPGridRow],4),0))+IFERROR(INDEX(M_RawMaterials[固定週次消費量_要入力],MATCH($A11,M_RawMaterials[Part Name],0)),0)</f>
        <v/>
      </c>
      <c r="E11">
        <f>SUMPRODUCT((M_BOM[Part Name]=$A11)*M_BOM[RM_Qty_Per_Batch]*IFERROR(INDEX(PP_Grid[#Data],M_BOM[PPGridRow],5),0))+IFERROR(INDEX(M_RawMaterials[固定週次消費量_要入力],MATCH($A11,M_RawMaterials[Part Name],0)),0)</f>
        <v/>
      </c>
      <c r="F11">
        <f>SUMPRODUCT((M_BOM[Part Name]=$A11)*M_BOM[RM_Qty_Per_Batch]*IFERROR(INDEX(PP_Grid[#Data],M_BOM[PPGridRow],6),0))+IFERROR(INDEX(M_RawMaterials[固定週次消費量_要入力],MATCH($A11,M_RawMaterials[Part Name],0)),0)</f>
        <v/>
      </c>
      <c r="G11">
        <f>SUMPRODUCT((M_BOM[Part Name]=$A11)*M_BOM[RM_Qty_Per_Batch]*IFERROR(INDEX(PP_Grid[#Data],M_BOM[PPGridRow],7),0))+IFERROR(INDEX(M_RawMaterials[固定週次消費量_要入力],MATCH($A11,M_RawMaterials[Part Name],0)),0)</f>
        <v/>
      </c>
      <c r="H11">
        <f>SUMPRODUCT((M_BOM[Part Name]=$A11)*M_BOM[RM_Qty_Per_Batch]*IFERROR(INDEX(PP_Grid[#Data],M_BOM[PPGridRow],8),0))+IFERROR(INDEX(M_RawMaterials[固定週次消費量_要入力],MATCH($A11,M_RawMaterials[Part Name],0)),0)</f>
        <v/>
      </c>
      <c r="I11">
        <f>SUMPRODUCT((M_BOM[Part Name]=$A11)*M_BOM[RM_Qty_Per_Batch]*IFERROR(INDEX(PP_Grid[#Data],M_BOM[PPGridRow],9),0))+IFERROR(INDEX(M_RawMaterials[固定週次消費量_要入力],MATCH($A11,M_RawMaterials[Part Name],0)),0)</f>
        <v/>
      </c>
      <c r="J11">
        <f>SUMPRODUCT((M_BOM[Part Name]=$A11)*M_BOM[RM_Qty_Per_Batch]*IFERROR(INDEX(PP_Grid[#Data],M_BOM[PPGridRow],10),0))+IFERROR(INDEX(M_RawMaterials[固定週次消費量_要入力],MATCH($A11,M_RawMaterials[Part Name],0)),0)</f>
        <v/>
      </c>
      <c r="K11">
        <f>SUMPRODUCT((M_BOM[Part Name]=$A11)*M_BOM[RM_Qty_Per_Batch]*IFERROR(INDEX(PP_Grid[#Data],M_BOM[PPGridRow],11),0))+IFERROR(INDEX(M_RawMaterials[固定週次消費量_要入力],MATCH($A11,M_RawMaterials[Part Name],0)),0)</f>
        <v/>
      </c>
      <c r="L11">
        <f>SUMPRODUCT((M_BOM[Part Name]=$A11)*M_BOM[RM_Qty_Per_Batch]*IFERROR(INDEX(PP_Grid[#Data],M_BOM[PPGridRow],12),0))+IFERROR(INDEX(M_RawMaterials[固定週次消費量_要入力],MATCH($A11,M_RawMaterials[Part Name],0)),0)</f>
        <v/>
      </c>
      <c r="M11">
        <f>SUMPRODUCT((M_BOM[Part Name]=$A11)*M_BOM[RM_Qty_Per_Batch]*IFERROR(INDEX(PP_Grid[#Data],M_BOM[PPGridRow],13),0))+IFERROR(INDEX(M_RawMaterials[固定週次消費量_要入力],MATCH($A11,M_RawMaterials[Part Name],0)),0)</f>
        <v/>
      </c>
      <c r="N11">
        <f>SUMPRODUCT((M_BOM[Part Name]=$A11)*M_BOM[RM_Qty_Per_Batch]*IFERROR(INDEX(PP_Grid[#Data],M_BOM[PPGridRow],14),0))+IFERROR(INDEX(M_RawMaterials[固定週次消費量_要入力],MATCH($A11,M_RawMaterials[Part Name],0)),0)</f>
        <v/>
      </c>
      <c r="O11">
        <f>SUMPRODUCT((M_BOM[Part Name]=$A11)*M_BOM[RM_Qty_Per_Batch]*IFERROR(INDEX(PP_Grid[#Data],M_BOM[PPGridRow],15),0))+IFERROR(INDEX(M_RawMaterials[固定週次消費量_要入力],MATCH($A11,M_RawMaterials[Part Name],0)),0)</f>
        <v/>
      </c>
      <c r="P11">
        <f>SUMPRODUCT((M_BOM[Part Name]=$A11)*M_BOM[RM_Qty_Per_Batch]*IFERROR(INDEX(PP_Grid[#Data],M_BOM[PPGridRow],16),0))+IFERROR(INDEX(M_RawMaterials[固定週次消費量_要入力],MATCH($A11,M_RawMaterials[Part Name],0)),0)</f>
        <v/>
      </c>
      <c r="Q11">
        <f>SUMPRODUCT((M_BOM[Part Name]=$A11)*M_BOM[RM_Qty_Per_Batch]*IFERROR(INDEX(PP_Grid[#Data],M_BOM[PPGridRow],17),0))+IFERROR(INDEX(M_RawMaterials[固定週次消費量_要入力],MATCH($A11,M_RawMaterials[Part Name],0)),0)</f>
        <v/>
      </c>
      <c r="R11">
        <f>SUMPRODUCT((M_BOM[Part Name]=$A11)*M_BOM[RM_Qty_Per_Batch]*IFERROR(INDEX(PP_Grid[#Data],M_BOM[PPGridRow],18),0))+IFERROR(INDEX(M_RawMaterials[固定週次消費量_要入力],MATCH($A11,M_RawMaterials[Part Name],0)),0)</f>
        <v/>
      </c>
      <c r="S11">
        <f>SUMPRODUCT((M_BOM[Part Name]=$A11)*M_BOM[RM_Qty_Per_Batch]*IFERROR(INDEX(PP_Grid[#Data],M_BOM[PPGridRow],19),0))+IFERROR(INDEX(M_RawMaterials[固定週次消費量_要入力],MATCH($A11,M_RawMaterials[Part Name],0)),0)</f>
        <v/>
      </c>
      <c r="T11">
        <f>SUMPRODUCT((M_BOM[Part Name]=$A11)*M_BOM[RM_Qty_Per_Batch]*IFERROR(INDEX(PP_Grid[#Data],M_BOM[PPGridRow],20),0))+IFERROR(INDEX(M_RawMaterials[固定週次消費量_要入力],MATCH($A11,M_RawMaterials[Part Name],0)),0)</f>
        <v/>
      </c>
      <c r="U11">
        <f>SUMPRODUCT((M_BOM[Part Name]=$A11)*M_BOM[RM_Qty_Per_Batch]*IFERROR(INDEX(PP_Grid[#Data],M_BOM[PPGridRow],21),0))+IFERROR(INDEX(M_RawMaterials[固定週次消費量_要入力],MATCH($A11,M_RawMaterials[Part Name],0)),0)</f>
        <v/>
      </c>
      <c r="V11">
        <f>SUMPRODUCT((M_BOM[Part Name]=$A11)*M_BOM[RM_Qty_Per_Batch]*IFERROR(INDEX(PP_Grid[#Data],M_BOM[PPGridRow],22),0))+IFERROR(INDEX(M_RawMaterials[固定週次消費量_要入力],MATCH($A11,M_RawMaterials[Part Name],0)),0)</f>
        <v/>
      </c>
      <c r="W11">
        <f>SUMPRODUCT((M_BOM[Part Name]=$A11)*M_BOM[RM_Qty_Per_Batch]*IFERROR(INDEX(PP_Grid[#Data],M_BOM[PPGridRow],23),0))+IFERROR(INDEX(M_RawMaterials[固定週次消費量_要入力],MATCH($A11,M_RawMaterials[Part Name],0)),0)</f>
        <v/>
      </c>
      <c r="X11">
        <f>SUMPRODUCT((M_BOM[Part Name]=$A11)*M_BOM[RM_Qty_Per_Batch]*IFERROR(INDEX(PP_Grid[#Data],M_BOM[PPGridRow],24),0))+IFERROR(INDEX(M_RawMaterials[固定週次消費量_要入力],MATCH($A11,M_RawMaterials[Part Name],0)),0)</f>
        <v/>
      </c>
      <c r="Y11">
        <f>SUMPRODUCT((M_BOM[Part Name]=$A11)*M_BOM[RM_Qty_Per_Batch]*IFERROR(INDEX(PP_Grid[#Data],M_BOM[PPGridRow],25),0))+IFERROR(INDEX(M_RawMaterials[固定週次消費量_要入力],MATCH($A11,M_RawMaterials[Part Name],0)),0)</f>
        <v/>
      </c>
      <c r="Z11">
        <f>SUMPRODUCT((M_BOM[Part Name]=$A11)*M_BOM[RM_Qty_Per_Batch]*IFERROR(INDEX(PP_Grid[#Data],M_BOM[PPGridRow],26),0))+IFERROR(INDEX(M_RawMaterials[固定週次消費量_要入力],MATCH($A11,M_RawMaterials[Part Name],0)),0)</f>
        <v/>
      </c>
      <c r="AA11">
        <f>SUMPRODUCT((M_BOM[Part Name]=$A11)*M_BOM[RM_Qty_Per_Batch]*IFERROR(INDEX(PP_Grid[#Data],M_BOM[PPGridRow],27),0))+IFERROR(INDEX(M_RawMaterials[固定週次消費量_要入力],MATCH($A11,M_RawMaterials[Part Name],0)),0)</f>
        <v/>
      </c>
      <c r="AB11">
        <f>SUMPRODUCT((M_BOM[Part Name]=$A11)*M_BOM[RM_Qty_Per_Batch]*IFERROR(INDEX(PP_Grid[#Data],M_BOM[PPGridRow],28),0))+IFERROR(INDEX(M_RawMaterials[固定週次消費量_要入力],MATCH($A11,M_RawMaterials[Part Name],0)),0)</f>
        <v/>
      </c>
      <c r="AC11">
        <f>SUMPRODUCT((M_BOM[Part Name]=$A11)*M_BOM[RM_Qty_Per_Batch]*IFERROR(INDEX(PP_Grid[#Data],M_BOM[PPGridRow],29),0))+IFERROR(INDEX(M_RawMaterials[固定週次消費量_要入力],MATCH($A11,M_RawMaterials[Part Name],0)),0)</f>
        <v/>
      </c>
      <c r="AD11">
        <f>SUMPRODUCT((M_BOM[Part Name]=$A11)*M_BOM[RM_Qty_Per_Batch]*IFERROR(INDEX(PP_Grid[#Data],M_BOM[PPGridRow],30),0))+IFERROR(INDEX(M_RawMaterials[固定週次消費量_要入力],MATCH($A11,M_RawMaterials[Part Name],0)),0)</f>
        <v/>
      </c>
      <c r="AE11">
        <f>SUMPRODUCT((M_BOM[Part Name]=$A11)*M_BOM[RM_Qty_Per_Batch]*IFERROR(INDEX(PP_Grid[#Data],M_BOM[PPGridRow],31),0))+IFERROR(INDEX(M_RawMaterials[固定週次消費量_要入力],MATCH($A11,M_RawMaterials[Part Name],0)),0)</f>
        <v/>
      </c>
      <c r="AF11">
        <f>SUMPRODUCT((M_BOM[Part Name]=$A11)*M_BOM[RM_Qty_Per_Batch]*IFERROR(INDEX(PP_Grid[#Data],M_BOM[PPGridRow],32),0))+IFERROR(INDEX(M_RawMaterials[固定週次消費量_要入力],MATCH($A11,M_RawMaterials[Part Name],0)),0)</f>
        <v/>
      </c>
      <c r="AG11">
        <f>SUMPRODUCT((M_BOM[Part Name]=$A11)*M_BOM[RM_Qty_Per_Batch]*IFERROR(INDEX(PP_Grid[#Data],M_BOM[PPGridRow],33),0))+IFERROR(INDEX(M_RawMaterials[固定週次消費量_要入力],MATCH($A11,M_RawMaterials[Part Name],0)),0)</f>
        <v/>
      </c>
      <c r="AH11">
        <f>SUMPRODUCT((M_BOM[Part Name]=$A11)*M_BOM[RM_Qty_Per_Batch]*IFERROR(INDEX(PP_Grid[#Data],M_BOM[PPGridRow],34),0))+IFERROR(INDEX(M_RawMaterials[固定週次消費量_要入力],MATCH($A11,M_RawMaterials[Part Name],0)),0)</f>
        <v/>
      </c>
      <c r="AI11">
        <f>SUMPRODUCT((M_BOM[Part Name]=$A11)*M_BOM[RM_Qty_Per_Batch]*IFERROR(INDEX(PP_Grid[#Data],M_BOM[PPGridRow],35),0))+IFERROR(INDEX(M_RawMaterials[固定週次消費量_要入力],MATCH($A11,M_RawMaterials[Part Name],0)),0)</f>
        <v/>
      </c>
      <c r="AJ11">
        <f>SUMPRODUCT((M_BOM[Part Name]=$A11)*M_BOM[RM_Qty_Per_Batch]*IFERROR(INDEX(PP_Grid[#Data],M_BOM[PPGridRow],36),0))+IFERROR(INDEX(M_RawMaterials[固定週次消費量_要入力],MATCH($A11,M_RawMaterials[Part Name],0)),0)</f>
        <v/>
      </c>
      <c r="AK11">
        <f>SUMPRODUCT((M_BOM[Part Name]=$A11)*M_BOM[RM_Qty_Per_Batch]*IFERROR(INDEX(PP_Grid[#Data],M_BOM[PPGridRow],37),0))+IFERROR(INDEX(M_RawMaterials[固定週次消費量_要入力],MATCH($A11,M_RawMaterials[Part Name],0)),0)</f>
        <v/>
      </c>
      <c r="AL11">
        <f>SUMPRODUCT((M_BOM[Part Name]=$A11)*M_BOM[RM_Qty_Per_Batch]*IFERROR(INDEX(PP_Grid[#Data],M_BOM[PPGridRow],38),0))+IFERROR(INDEX(M_RawMaterials[固定週次消費量_要入力],MATCH($A11,M_RawMaterials[Part Name],0)),0)</f>
        <v/>
      </c>
      <c r="AM11">
        <f>SUMPRODUCT((M_BOM[Part Name]=$A11)*M_BOM[RM_Qty_Per_Batch]*IFERROR(INDEX(PP_Grid[#Data],M_BOM[PPGridRow],39),0))+IFERROR(INDEX(M_RawMaterials[固定週次消費量_要入力],MATCH($A11,M_RawMaterials[Part Name],0)),0)</f>
        <v/>
      </c>
      <c r="AN11">
        <f>SUMPRODUCT((M_BOM[Part Name]=$A11)*M_BOM[RM_Qty_Per_Batch]*IFERROR(INDEX(PP_Grid[#Data],M_BOM[PPGridRow],40),0))+IFERROR(INDEX(M_RawMaterials[固定週次消費量_要入力],MATCH($A11,M_RawMaterials[Part Name],0)),0)</f>
        <v/>
      </c>
      <c r="AO11">
        <f>SUMPRODUCT((M_BOM[Part Name]=$A11)*M_BOM[RM_Qty_Per_Batch]*IFERROR(INDEX(PP_Grid[#Data],M_BOM[PPGridRow],41),0))+IFERROR(INDEX(M_RawMaterials[固定週次消費量_要入力],MATCH($A11,M_RawMaterials[Part Name],0)),0)</f>
        <v/>
      </c>
      <c r="AP11">
        <f>SUMPRODUCT((M_BOM[Part Name]=$A11)*M_BOM[RM_Qty_Per_Batch]*IFERROR(INDEX(PP_Grid[#Data],M_BOM[PPGridRow],42),0))+IFERROR(INDEX(M_RawMaterials[固定週次消費量_要入力],MATCH($A11,M_RawMaterials[Part Name],0)),0)</f>
        <v/>
      </c>
      <c r="AQ11">
        <f>SUMPRODUCT((M_BOM[Part Name]=$A11)*M_BOM[RM_Qty_Per_Batch]*IFERROR(INDEX(PP_Grid[#Data],M_BOM[PPGridRow],43),0))+IFERROR(INDEX(M_RawMaterials[固定週次消費量_要入力],MATCH($A11,M_RawMaterials[Part Name],0)),0)</f>
        <v/>
      </c>
      <c r="AR11">
        <f>SUMPRODUCT((M_BOM[Part Name]=$A11)*M_BOM[RM_Qty_Per_Batch]*IFERROR(INDEX(PP_Grid[#Data],M_BOM[PPGridRow],44),0))+IFERROR(INDEX(M_RawMaterials[固定週次消費量_要入力],MATCH($A11,M_RawMaterials[Part Name],0)),0)</f>
        <v/>
      </c>
      <c r="AS11">
        <f>SUMPRODUCT((M_BOM[Part Name]=$A11)*M_BOM[RM_Qty_Per_Batch]*IFERROR(INDEX(PP_Grid[#Data],M_BOM[PPGridRow],45),0))+IFERROR(INDEX(M_RawMaterials[固定週次消費量_要入力],MATCH($A11,M_RawMaterials[Part Name],0)),0)</f>
        <v/>
      </c>
      <c r="AT11">
        <f>SUMPRODUCT((M_BOM[Part Name]=$A11)*M_BOM[RM_Qty_Per_Batch]*IFERROR(INDEX(PP_Grid[#Data],M_BOM[PPGridRow],46),0))+IFERROR(INDEX(M_RawMaterials[固定週次消費量_要入力],MATCH($A11,M_RawMaterials[Part Name],0)),0)</f>
        <v/>
      </c>
      <c r="AU11">
        <f>SUMPRODUCT((M_BOM[Part Name]=$A11)*M_BOM[RM_Qty_Per_Batch]*IFERROR(INDEX(PP_Grid[#Data],M_BOM[PPGridRow],47),0))+IFERROR(INDEX(M_RawMaterials[固定週次消費量_要入力],MATCH($A11,M_RawMaterials[Part Name],0)),0)</f>
        <v/>
      </c>
      <c r="AV11">
        <f>SUMPRODUCT((M_BOM[Part Name]=$A11)*M_BOM[RM_Qty_Per_Batch]*IFERROR(INDEX(PP_Grid[#Data],M_BOM[PPGridRow],48),0))+IFERROR(INDEX(M_RawMaterials[固定週次消費量_要入力],MATCH($A11,M_RawMaterials[Part Name],0)),0)</f>
        <v/>
      </c>
      <c r="AW11">
        <f>SUMPRODUCT((M_BOM[Part Name]=$A11)*M_BOM[RM_Qty_Per_Batch]*IFERROR(INDEX(PP_Grid[#Data],M_BOM[PPGridRow],49),0))+IFERROR(INDEX(M_RawMaterials[固定週次消費量_要入力],MATCH($A11,M_RawMaterials[Part Name],0)),0)</f>
        <v/>
      </c>
      <c r="AX11">
        <f>SUMPRODUCT((M_BOM[Part Name]=$A11)*M_BOM[RM_Qty_Per_Batch]*IFERROR(INDEX(PP_Grid[#Data],M_BOM[PPGridRow],50),0))+IFERROR(INDEX(M_RawMaterials[固定週次消費量_要入力],MATCH($A11,M_RawMaterials[Part Name],0)),0)</f>
        <v/>
      </c>
      <c r="AY11">
        <f>SUMPRODUCT((M_BOM[Part Name]=$A11)*M_BOM[RM_Qty_Per_Batch]*IFERROR(INDEX(PP_Grid[#Data],M_BOM[PPGridRow],51),0))+IFERROR(INDEX(M_RawMaterials[固定週次消費量_要入力],MATCH($A11,M_RawMaterials[Part Name],0)),0)</f>
        <v/>
      </c>
      <c r="AZ11">
        <f>SUMPRODUCT((M_BOM[Part Name]=$A11)*M_BOM[RM_Qty_Per_Batch]*IFERROR(INDEX(PP_Grid[#Data],M_BOM[PPGridRow],52),0))+IFERROR(INDEX(M_RawMaterials[固定週次消費量_要入力],MATCH($A11,M_RawMaterials[Part Name],0)),0)</f>
        <v/>
      </c>
      <c r="BA11">
        <f>SUMPRODUCT((M_BOM[Part Name]=$A11)*M_BOM[RM_Qty_Per_Batch]*IFERROR(INDEX(PP_Grid[#Data],M_BOM[PPGridRow],53),0))+IFERROR(INDEX(M_RawMaterials[固定週次消費量_要入力],MATCH($A11,M_RawMaterials[Part Name],0)),0)</f>
        <v/>
      </c>
      <c r="BB11">
        <f>SUMPRODUCT((M_BOM[Part Name]=$A11)*M_BOM[RM_Qty_Per_Batch]*IFERROR(INDEX(PP_Grid[#Data],M_BOM[PPGridRow],54),0))+IFERROR(INDEX(M_RawMaterials[固定週次消費量_要入力],MATCH($A11,M_RawMaterials[Part Name],0)),0)</f>
        <v/>
      </c>
      <c r="BC11">
        <f>SUMPRODUCT((M_BOM[Part Name]=$A11)*M_BOM[RM_Qty_Per_Batch]*IFERROR(INDEX(PP_Grid[#Data],M_BOM[PPGridRow],55),0))+IFERROR(INDEX(M_RawMaterials[固定週次消費量_要入力],MATCH($A11,M_RawMaterials[Part Name],0)),0)</f>
        <v/>
      </c>
      <c r="BD11">
        <f>SUMPRODUCT((M_BOM[Part Name]=$A11)*M_BOM[RM_Qty_Per_Batch]*IFERROR(INDEX(PP_Grid[#Data],M_BOM[PPGridRow],56),0))+IFERROR(INDEX(M_RawMaterials[固定週次消費量_要入力],MATCH($A11,M_RawMaterials[Part Name],0)),0)</f>
        <v/>
      </c>
      <c r="BE11">
        <f>SUMPRODUCT((M_BOM[Part Name]=$A11)*M_BOM[RM_Qty_Per_Batch]*IFERROR(INDEX(PP_Grid[#Data],M_BOM[PPGridRow],57),0))+IFERROR(INDEX(M_RawMaterials[固定週次消費量_要入力],MATCH($A11,M_RawMaterials[Part Name],0)),0)</f>
        <v/>
      </c>
      <c r="BF11">
        <f>SUMPRODUCT((M_BOM[Part Name]=$A11)*M_BOM[RM_Qty_Per_Batch]*IFERROR(INDEX(PP_Grid[#Data],M_BOM[PPGridRow],58),0))+IFERROR(INDEX(M_RawMaterials[固定週次消費量_要入力],MATCH($A11,M_RawMaterials[Part Name],0)),0)</f>
        <v/>
      </c>
      <c r="BG11">
        <f>SUMPRODUCT((M_BOM[Part Name]=$A11)*M_BOM[RM_Qty_Per_Batch]*IFERROR(INDEX(PP_Grid[#Data],M_BOM[PPGridRow],59),0))+IFERROR(INDEX(M_RawMaterials[固定週次消費量_要入力],MATCH($A11,M_RawMaterials[Part Name],0)),0)</f>
        <v/>
      </c>
      <c r="BH11">
        <f>SUMPRODUCT((M_BOM[Part Name]=$A11)*M_BOM[RM_Qty_Per_Batch]*IFERROR(INDEX(PP_Grid[#Data],M_BOM[PPGridRow],60),0))+IFERROR(INDEX(M_RawMaterials[固定週次消費量_要入力],MATCH($A11,M_RawMaterials[Part Name],0)),0)</f>
        <v/>
      </c>
      <c r="BI11">
        <f>SUMPRODUCT((M_BOM[Part Name]=$A11)*M_BOM[RM_Qty_Per_Batch]*IFERROR(INDEX(PP_Grid[#Data],M_BOM[PPGridRow],61),0))+IFERROR(INDEX(M_RawMaterials[固定週次消費量_要入力],MATCH($A11,M_RawMaterials[Part Name],0)),0)</f>
        <v/>
      </c>
      <c r="BJ11">
        <f>SUMPRODUCT((M_BOM[Part Name]=$A11)*M_BOM[RM_Qty_Per_Batch]*IFERROR(INDEX(PP_Grid[#Data],M_BOM[PPGridRow],62),0))+IFERROR(INDEX(M_RawMaterials[固定週次消費量_要入力],MATCH($A11,M_RawMaterials[Part Name],0)),0)</f>
        <v/>
      </c>
      <c r="BK11">
        <f>SUMPRODUCT((M_BOM[Part Name]=$A11)*M_BOM[RM_Qty_Per_Batch]*IFERROR(INDEX(PP_Grid[#Data],M_BOM[PPGridRow],63),0))+IFERROR(INDEX(M_RawMaterials[固定週次消費量_要入力],MATCH($A11,M_RawMaterials[Part Name],0)),0)</f>
        <v/>
      </c>
      <c r="BL11">
        <f>SUMPRODUCT((M_BOM[Part Name]=$A11)*M_BOM[RM_Qty_Per_Batch]*IFERROR(INDEX(PP_Grid[#Data],M_BOM[PPGridRow],64),0))+IFERROR(INDEX(M_RawMaterials[固定週次消費量_要入力],MATCH($A11,M_RawMaterials[Part Name],0)),0)</f>
        <v/>
      </c>
      <c r="BM11">
        <f>SUMPRODUCT((M_BOM[Part Name]=$A11)*M_BOM[RM_Qty_Per_Batch]*IFERROR(INDEX(PP_Grid[#Data],M_BOM[PPGridRow],65),0))+IFERROR(INDEX(M_RawMaterials[固定週次消費量_要入力],MATCH($A11,M_RawMaterials[Part Name],0)),0)</f>
        <v/>
      </c>
      <c r="BN11">
        <f>SUMPRODUCT((M_BOM[Part Name]=$A11)*M_BOM[RM_Qty_Per_Batch]*IFERROR(INDEX(PP_Grid[#Data],M_BOM[PPGridRow],66),0))+IFERROR(INDEX(M_RawMaterials[固定週次消費量_要入力],MATCH($A11,M_RawMaterials[Part Name],0)),0)</f>
        <v/>
      </c>
      <c r="BO11">
        <f>SUMPRODUCT((M_BOM[Part Name]=$A11)*M_BOM[RM_Qty_Per_Batch]*IFERROR(INDEX(PP_Grid[#Data],M_BOM[PPGridRow],67),0))+IFERROR(INDEX(M_RawMaterials[固定週次消費量_要入力],MATCH($A11,M_RawMaterials[Part Name],0)),0)</f>
        <v/>
      </c>
      <c r="BP11">
        <f>SUMPRODUCT((M_BOM[Part Name]=$A11)*M_BOM[RM_Qty_Per_Batch]*IFERROR(INDEX(PP_Grid[#Data],M_BOM[PPGridRow],68),0))+IFERROR(INDEX(M_RawMaterials[固定週次消費量_要入力],MATCH($A11,M_RawMaterials[Part Name],0)),0)</f>
        <v/>
      </c>
      <c r="BQ11">
        <f>SUMPRODUCT((M_BOM[Part Name]=$A11)*M_BOM[RM_Qty_Per_Batch]*IFERROR(INDEX(PP_Grid[#Data],M_BOM[PPGridRow],69),0))+IFERROR(INDEX(M_RawMaterials[固定週次消費量_要入力],MATCH($A11,M_RawMaterials[Part Name],0)),0)</f>
        <v/>
      </c>
      <c r="BR11">
        <f>SUMPRODUCT((M_BOM[Part Name]=$A11)*M_BOM[RM_Qty_Per_Batch]*IFERROR(INDEX(PP_Grid[#Data],M_BOM[PPGridRow],70),0))+IFERROR(INDEX(M_RawMaterials[固定週次消費量_要入力],MATCH($A11,M_RawMaterials[Part Name],0)),0)</f>
        <v/>
      </c>
      <c r="BS11">
        <f>SUMPRODUCT((M_BOM[Part Name]=$A11)*M_BOM[RM_Qty_Per_Batch]*IFERROR(INDEX(PP_Grid[#Data],M_BOM[PPGridRow],71),0))+IFERROR(INDEX(M_RawMaterials[固定週次消費量_要入力],MATCH($A11,M_RawMaterials[Part Name],0)),0)</f>
        <v/>
      </c>
      <c r="BT11">
        <f>SUMPRODUCT((M_BOM[Part Name]=$A11)*M_BOM[RM_Qty_Per_Batch]*IFERROR(INDEX(PP_Grid[#Data],M_BOM[PPGridRow],72),0))+IFERROR(INDEX(M_RawMaterials[固定週次消費量_要入力],MATCH($A11,M_RawMaterials[Part Name],0)),0)</f>
        <v/>
      </c>
      <c r="BU11">
        <f>SUMPRODUCT((M_BOM[Part Name]=$A11)*M_BOM[RM_Qty_Per_Batch]*IFERROR(INDEX(PP_Grid[#Data],M_BOM[PPGridRow],73),0))+IFERROR(INDEX(M_RawMaterials[固定週次消費量_要入力],MATCH($A11,M_RawMaterials[Part Name],0)),0)</f>
        <v/>
      </c>
      <c r="BV11">
        <f>SUMPRODUCT((M_BOM[Part Name]=$A11)*M_BOM[RM_Qty_Per_Batch]*IFERROR(INDEX(PP_Grid[#Data],M_BOM[PPGridRow],74),0))+IFERROR(INDEX(M_RawMaterials[固定週次消費量_要入力],MATCH($A11,M_RawMaterials[Part Name],0)),0)</f>
        <v/>
      </c>
      <c r="BW11">
        <f>SUMPRODUCT((M_BOM[Part Name]=$A11)*M_BOM[RM_Qty_Per_Batch]*IFERROR(INDEX(PP_Grid[#Data],M_BOM[PPGridRow],75),0))+IFERROR(INDEX(M_RawMaterials[固定週次消費量_要入力],MATCH($A11,M_RawMaterials[Part Name],0)),0)</f>
        <v/>
      </c>
      <c r="BX11">
        <f>SUMPRODUCT((M_BOM[Part Name]=$A11)*M_BOM[RM_Qty_Per_Batch]*IFERROR(INDEX(PP_Grid[#Data],M_BOM[PPGridRow],76),0))+IFERROR(INDEX(M_RawMaterials[固定週次消費量_要入力],MATCH($A11,M_RawMaterials[Part Name],0)),0)</f>
        <v/>
      </c>
      <c r="BY11">
        <f>SUMPRODUCT((M_BOM[Part Name]=$A11)*M_BOM[RM_Qty_Per_Batch]*IFERROR(INDEX(PP_Grid[#Data],M_BOM[PPGridRow],77),0))+IFERROR(INDEX(M_RawMaterials[固定週次消費量_要入力],MATCH($A11,M_RawMaterials[Part Name],0)),0)</f>
        <v/>
      </c>
      <c r="BZ11">
        <f>SUMPRODUCT((M_BOM[Part Name]=$A11)*M_BOM[RM_Qty_Per_Batch]*IFERROR(INDEX(PP_Grid[#Data],M_BOM[PPGridRow],78),0))+IFERROR(INDEX(M_RawMaterials[固定週次消費量_要入力],MATCH($A11,M_RawMaterials[Part Name],0)),0)</f>
        <v/>
      </c>
      <c r="CA11">
        <f>SUMPRODUCT((M_BOM[Part Name]=$A11)*M_BOM[RM_Qty_Per_Batch]*IFERROR(INDEX(PP_Grid[#Data],M_BOM[PPGridRow],79),0))+IFERROR(INDEX(M_RawMaterials[固定週次消費量_要入力],MATCH($A11,M_RawMaterials[Part Name],0)),0)</f>
        <v/>
      </c>
      <c r="CB11">
        <f>SUMPRODUCT((M_BOM[Part Name]=$A11)*M_BOM[RM_Qty_Per_Batch]*IFERROR(INDEX(PP_Grid[#Data],M_BOM[PPGridRow],80),0))+IFERROR(INDEX(M_RawMaterials[固定週次消費量_要入力],MATCH($A11,M_RawMaterials[Part Name],0)),0)</f>
        <v/>
      </c>
      <c r="CC11">
        <f>SUMPRODUCT((M_BOM[Part Name]=$A11)*M_BOM[RM_Qty_Per_Batch]*IFERROR(INDEX(PP_Grid[#Data],M_BOM[PPGridRow],81),0))+IFERROR(INDEX(M_RawMaterials[固定週次消費量_要入力],MATCH($A11,M_RawMaterials[Part Name],0)),0)</f>
        <v/>
      </c>
      <c r="CD11">
        <f>SUMPRODUCT((M_BOM[Part Name]=$A11)*M_BOM[RM_Qty_Per_Batch]*IFERROR(INDEX(PP_Grid[#Data],M_BOM[PPGridRow],82),0))+IFERROR(INDEX(M_RawMaterials[固定週次消費量_要入力],MATCH($A11,M_RawMaterials[Part Name],0)),0)</f>
        <v/>
      </c>
      <c r="CE11">
        <f>SUMPRODUCT((M_BOM[Part Name]=$A11)*M_BOM[RM_Qty_Per_Batch]*IFERROR(INDEX(PP_Grid[#Data],M_BOM[PPGridRow],83),0))+IFERROR(INDEX(M_RawMaterials[固定週次消費量_要入力],MATCH($A11,M_RawMaterials[Part Name],0)),0)</f>
        <v/>
      </c>
      <c r="CF11">
        <f>SUMPRODUCT((M_BOM[Part Name]=$A11)*M_BOM[RM_Qty_Per_Batch]*IFERROR(INDEX(PP_Grid[#Data],M_BOM[PPGridRow],84),0))+IFERROR(INDEX(M_RawMaterials[固定週次消費量_要入力],MATCH($A11,M_RawMaterials[Part Name],0)),0)</f>
        <v/>
      </c>
      <c r="CG11">
        <f>SUMPRODUCT((M_BOM[Part Name]=$A11)*M_BOM[RM_Qty_Per_Batch]*IFERROR(INDEX(PP_Grid[#Data],M_BOM[PPGridRow],85),0))+IFERROR(INDEX(M_RawMaterials[固定週次消費量_要入力],MATCH($A11,M_RawMaterials[Part Name],0)),0)</f>
        <v/>
      </c>
      <c r="CH11">
        <f>SUMPRODUCT((M_BOM[Part Name]=$A11)*M_BOM[RM_Qty_Per_Batch]*IFERROR(INDEX(PP_Grid[#Data],M_BOM[PPGridRow],86),0))+IFERROR(INDEX(M_RawMaterials[固定週次消費量_要入力],MATCH($A11,M_RawMaterials[Part Name],0)),0)</f>
        <v/>
      </c>
      <c r="CI11">
        <f>SUMPRODUCT((M_BOM[Part Name]=$A11)*M_BOM[RM_Qty_Per_Batch]*IFERROR(INDEX(PP_Grid[#Data],M_BOM[PPGridRow],87),0))+IFERROR(INDEX(M_RawMaterials[固定週次消費量_要入力],MATCH($A11,M_RawMaterials[Part Name],0)),0)</f>
        <v/>
      </c>
      <c r="CJ11">
        <f>SUMPRODUCT((M_BOM[Part Name]=$A11)*M_BOM[RM_Qty_Per_Batch]*IFERROR(INDEX(PP_Grid[#Data],M_BOM[PPGridRow],88),0))+IFERROR(INDEX(M_RawMaterials[固定週次消費量_要入力],MATCH($A11,M_RawMaterials[Part Name],0)),0)</f>
        <v/>
      </c>
      <c r="CK11">
        <f>SUMPRODUCT((M_BOM[Part Name]=$A11)*M_BOM[RM_Qty_Per_Batch]*IFERROR(INDEX(PP_Grid[#Data],M_BOM[PPGridRow],89),0))+IFERROR(INDEX(M_RawMaterials[固定週次消費量_要入力],MATCH($A11,M_RawMaterials[Part Name],0)),0)</f>
        <v/>
      </c>
      <c r="CL11">
        <f>SUMPRODUCT((M_BOM[Part Name]=$A11)*M_BOM[RM_Qty_Per_Batch]*IFERROR(INDEX(PP_Grid[#Data],M_BOM[PPGridRow],90),0))+IFERROR(INDEX(M_RawMaterials[固定週次消費量_要入力],MATCH($A11,M_RawMaterials[Part Name],0)),0)</f>
        <v/>
      </c>
      <c r="CM11">
        <f>SUMPRODUCT((M_BOM[Part Name]=$A11)*M_BOM[RM_Qty_Per_Batch]*IFERROR(INDEX(PP_Grid[#Data],M_BOM[PPGridRow],91),0))+IFERROR(INDEX(M_RawMaterials[固定週次消費量_要入力],MATCH($A11,M_RawMaterials[Part Name],0)),0)</f>
        <v/>
      </c>
      <c r="CN11">
        <f>SUMPRODUCT((M_BOM[Part Name]=$A11)*M_BOM[RM_Qty_Per_Batch]*IFERROR(INDEX(PP_Grid[#Data],M_BOM[PPGridRow],92),0))+IFERROR(INDEX(M_RawMaterials[固定週次消費量_要入力],MATCH($A11,M_RawMaterials[Part Name],0)),0)</f>
        <v/>
      </c>
      <c r="CO11">
        <f>SUMPRODUCT((M_BOM[Part Name]=$A11)*M_BOM[RM_Qty_Per_Batch]*IFERROR(INDEX(PP_Grid[#Data],M_BOM[PPGridRow],93),0))+IFERROR(INDEX(M_RawMaterials[固定週次消費量_要入力],MATCH($A11,M_RawMaterials[Part Name],0)),0)</f>
        <v/>
      </c>
      <c r="CP11">
        <f>SUMPRODUCT((M_BOM[Part Name]=$A11)*M_BOM[RM_Qty_Per_Batch]*IFERROR(INDEX(PP_Grid[#Data],M_BOM[PPGridRow],94),0))+IFERROR(INDEX(M_RawMaterials[固定週次消費量_要入力],MATCH($A11,M_RawMaterials[Part Name],0)),0)</f>
        <v/>
      </c>
      <c r="CQ11">
        <f>SUMPRODUCT((M_BOM[Part Name]=$A11)*M_BOM[RM_Qty_Per_Batch]*IFERROR(INDEX(PP_Grid[#Data],M_BOM[PPGridRow],95),0))+IFERROR(INDEX(M_RawMaterials[固定週次消費量_要入力],MATCH($A11,M_RawMaterials[Part Name],0)),0)</f>
        <v/>
      </c>
      <c r="CR11">
        <f>SUMPRODUCT((M_BOM[Part Name]=$A11)*M_BOM[RM_Qty_Per_Batch]*IFERROR(INDEX(PP_Grid[#Data],M_BOM[PPGridRow],96),0))+IFERROR(INDEX(M_RawMaterials[固定週次消費量_要入力],MATCH($A11,M_RawMaterials[Part Name],0)),0)</f>
        <v/>
      </c>
      <c r="CS11">
        <f>SUMPRODUCT((M_BOM[Part Name]=$A11)*M_BOM[RM_Qty_Per_Batch]*IFERROR(INDEX(PP_Grid[#Data],M_BOM[PPGridRow],97),0))+IFERROR(INDEX(M_RawMaterials[固定週次消費量_要入力],MATCH($A11,M_RawMaterials[Part Name],0)),0)</f>
        <v/>
      </c>
      <c r="CT11">
        <f>SUMPRODUCT((M_BOM[Part Name]=$A11)*M_BOM[RM_Qty_Per_Batch]*IFERROR(INDEX(PP_Grid[#Data],M_BOM[PPGridRow],98),0))+IFERROR(INDEX(M_RawMaterials[固定週次消費量_要入力],MATCH($A11,M_RawMaterials[Part Name],0)),0)</f>
        <v/>
      </c>
      <c r="CU11">
        <f>SUMPRODUCT((M_BOM[Part Name]=$A11)*M_BOM[RM_Qty_Per_Batch]*IFERROR(INDEX(PP_Grid[#Data],M_BOM[PPGridRow],99),0))+IFERROR(INDEX(M_RawMaterials[固定週次消費量_要入力],MATCH($A11,M_RawMaterials[Part Name],0)),0)</f>
        <v/>
      </c>
      <c r="CV11">
        <f>SUMPRODUCT((M_BOM[Part Name]=$A11)*M_BOM[RM_Qty_Per_Batch]*IFERROR(INDEX(PP_Grid[#Data],M_BOM[PPGridRow],100),0))+IFERROR(INDEX(M_RawMaterials[固定週次消費量_要入力],MATCH($A11,M_RawMaterials[Part Name],0)),0)</f>
        <v/>
      </c>
      <c r="CW11">
        <f>SUMPRODUCT((M_BOM[Part Name]=$A11)*M_BOM[RM_Qty_Per_Batch]*IFERROR(INDEX(PP_Grid[#Data],M_BOM[PPGridRow],101),0))+IFERROR(INDEX(M_RawMaterials[固定週次消費量_要入力],MATCH($A11,M_RawMaterials[Part Name],0)),0)</f>
        <v/>
      </c>
      <c r="CX11">
        <f>SUMPRODUCT((M_BOM[Part Name]=$A11)*M_BOM[RM_Qty_Per_Batch]*IFERROR(INDEX(PP_Grid[#Data],M_BOM[PPGridRow],102),0))+IFERROR(INDEX(M_RawMaterials[固定週次消費量_要入力],MATCH($A11,M_RawMaterials[Part Name],0)),0)</f>
        <v/>
      </c>
      <c r="CY11">
        <f>SUMPRODUCT((M_BOM[Part Name]=$A11)*M_BOM[RM_Qty_Per_Batch]*IFERROR(INDEX(PP_Grid[#Data],M_BOM[PPGridRow],103),0))+IFERROR(INDEX(M_RawMaterials[固定週次消費量_要入力],MATCH($A11,M_RawMaterials[Part Name],0)),0)</f>
        <v/>
      </c>
      <c r="CZ11">
        <f>SUMPRODUCT((M_BOM[Part Name]=$A11)*M_BOM[RM_Qty_Per_Batch]*IFERROR(INDEX(PP_Grid[#Data],M_BOM[PPGridRow],104),0))+IFERROR(INDEX(M_RawMaterials[固定週次消費量_要入力],MATCH($A11,M_RawMaterials[Part Name],0)),0)</f>
        <v/>
      </c>
      <c r="DA11">
        <f>SUMPRODUCT((M_BOM[Part Name]=$A11)*M_BOM[RM_Qty_Per_Batch]*IFERROR(INDEX(PP_Grid[#Data],M_BOM[PPGridRow],105),0))+IFERROR(INDEX(M_RawMaterials[固定週次消費量_要入力],MATCH($A11,M_RawMaterials[Part Name],0)),0)</f>
        <v/>
      </c>
    </row>
    <row r="12">
      <c r="A12" t="inlineStr">
        <is>
          <t>YAN</t>
        </is>
      </c>
      <c r="B12">
        <f>SUMPRODUCT((M_BOM[Part Name]=$A12)*M_BOM[RM_Qty_Per_Batch]*IFERROR(INDEX(PP_Grid[#Data],M_BOM[PPGridRow],2),0))+IFERROR(INDEX(M_RawMaterials[固定週次消費量_要入力],MATCH($A12,M_RawMaterials[Part Name],0)),0)</f>
        <v/>
      </c>
      <c r="C12">
        <f>SUMPRODUCT((M_BOM[Part Name]=$A12)*M_BOM[RM_Qty_Per_Batch]*IFERROR(INDEX(PP_Grid[#Data],M_BOM[PPGridRow],3),0))+IFERROR(INDEX(M_RawMaterials[固定週次消費量_要入力],MATCH($A12,M_RawMaterials[Part Name],0)),0)</f>
        <v/>
      </c>
      <c r="D12">
        <f>SUMPRODUCT((M_BOM[Part Name]=$A12)*M_BOM[RM_Qty_Per_Batch]*IFERROR(INDEX(PP_Grid[#Data],M_BOM[PPGridRow],4),0))+IFERROR(INDEX(M_RawMaterials[固定週次消費量_要入力],MATCH($A12,M_RawMaterials[Part Name],0)),0)</f>
        <v/>
      </c>
      <c r="E12">
        <f>SUMPRODUCT((M_BOM[Part Name]=$A12)*M_BOM[RM_Qty_Per_Batch]*IFERROR(INDEX(PP_Grid[#Data],M_BOM[PPGridRow],5),0))+IFERROR(INDEX(M_RawMaterials[固定週次消費量_要入力],MATCH($A12,M_RawMaterials[Part Name],0)),0)</f>
        <v/>
      </c>
      <c r="F12">
        <f>SUMPRODUCT((M_BOM[Part Name]=$A12)*M_BOM[RM_Qty_Per_Batch]*IFERROR(INDEX(PP_Grid[#Data],M_BOM[PPGridRow],6),0))+IFERROR(INDEX(M_RawMaterials[固定週次消費量_要入力],MATCH($A12,M_RawMaterials[Part Name],0)),0)</f>
        <v/>
      </c>
      <c r="G12">
        <f>SUMPRODUCT((M_BOM[Part Name]=$A12)*M_BOM[RM_Qty_Per_Batch]*IFERROR(INDEX(PP_Grid[#Data],M_BOM[PPGridRow],7),0))+IFERROR(INDEX(M_RawMaterials[固定週次消費量_要入力],MATCH($A12,M_RawMaterials[Part Name],0)),0)</f>
        <v/>
      </c>
      <c r="H12">
        <f>SUMPRODUCT((M_BOM[Part Name]=$A12)*M_BOM[RM_Qty_Per_Batch]*IFERROR(INDEX(PP_Grid[#Data],M_BOM[PPGridRow],8),0))+IFERROR(INDEX(M_RawMaterials[固定週次消費量_要入力],MATCH($A12,M_RawMaterials[Part Name],0)),0)</f>
        <v/>
      </c>
      <c r="I12">
        <f>SUMPRODUCT((M_BOM[Part Name]=$A12)*M_BOM[RM_Qty_Per_Batch]*IFERROR(INDEX(PP_Grid[#Data],M_BOM[PPGridRow],9),0))+IFERROR(INDEX(M_RawMaterials[固定週次消費量_要入力],MATCH($A12,M_RawMaterials[Part Name],0)),0)</f>
        <v/>
      </c>
      <c r="J12">
        <f>SUMPRODUCT((M_BOM[Part Name]=$A12)*M_BOM[RM_Qty_Per_Batch]*IFERROR(INDEX(PP_Grid[#Data],M_BOM[PPGridRow],10),0))+IFERROR(INDEX(M_RawMaterials[固定週次消費量_要入力],MATCH($A12,M_RawMaterials[Part Name],0)),0)</f>
        <v/>
      </c>
      <c r="K12">
        <f>SUMPRODUCT((M_BOM[Part Name]=$A12)*M_BOM[RM_Qty_Per_Batch]*IFERROR(INDEX(PP_Grid[#Data],M_BOM[PPGridRow],11),0))+IFERROR(INDEX(M_RawMaterials[固定週次消費量_要入力],MATCH($A12,M_RawMaterials[Part Name],0)),0)</f>
        <v/>
      </c>
      <c r="L12">
        <f>SUMPRODUCT((M_BOM[Part Name]=$A12)*M_BOM[RM_Qty_Per_Batch]*IFERROR(INDEX(PP_Grid[#Data],M_BOM[PPGridRow],12),0))+IFERROR(INDEX(M_RawMaterials[固定週次消費量_要入力],MATCH($A12,M_RawMaterials[Part Name],0)),0)</f>
        <v/>
      </c>
      <c r="M12">
        <f>SUMPRODUCT((M_BOM[Part Name]=$A12)*M_BOM[RM_Qty_Per_Batch]*IFERROR(INDEX(PP_Grid[#Data],M_BOM[PPGridRow],13),0))+IFERROR(INDEX(M_RawMaterials[固定週次消費量_要入力],MATCH($A12,M_RawMaterials[Part Name],0)),0)</f>
        <v/>
      </c>
      <c r="N12">
        <f>SUMPRODUCT((M_BOM[Part Name]=$A12)*M_BOM[RM_Qty_Per_Batch]*IFERROR(INDEX(PP_Grid[#Data],M_BOM[PPGridRow],14),0))+IFERROR(INDEX(M_RawMaterials[固定週次消費量_要入力],MATCH($A12,M_RawMaterials[Part Name],0)),0)</f>
        <v/>
      </c>
      <c r="O12">
        <f>SUMPRODUCT((M_BOM[Part Name]=$A12)*M_BOM[RM_Qty_Per_Batch]*IFERROR(INDEX(PP_Grid[#Data],M_BOM[PPGridRow],15),0))+IFERROR(INDEX(M_RawMaterials[固定週次消費量_要入力],MATCH($A12,M_RawMaterials[Part Name],0)),0)</f>
        <v/>
      </c>
      <c r="P12">
        <f>SUMPRODUCT((M_BOM[Part Name]=$A12)*M_BOM[RM_Qty_Per_Batch]*IFERROR(INDEX(PP_Grid[#Data],M_BOM[PPGridRow],16),0))+IFERROR(INDEX(M_RawMaterials[固定週次消費量_要入力],MATCH($A12,M_RawMaterials[Part Name],0)),0)</f>
        <v/>
      </c>
      <c r="Q12">
        <f>SUMPRODUCT((M_BOM[Part Name]=$A12)*M_BOM[RM_Qty_Per_Batch]*IFERROR(INDEX(PP_Grid[#Data],M_BOM[PPGridRow],17),0))+IFERROR(INDEX(M_RawMaterials[固定週次消費量_要入力],MATCH($A12,M_RawMaterials[Part Name],0)),0)</f>
        <v/>
      </c>
      <c r="R12">
        <f>SUMPRODUCT((M_BOM[Part Name]=$A12)*M_BOM[RM_Qty_Per_Batch]*IFERROR(INDEX(PP_Grid[#Data],M_BOM[PPGridRow],18),0))+IFERROR(INDEX(M_RawMaterials[固定週次消費量_要入力],MATCH($A12,M_RawMaterials[Part Name],0)),0)</f>
        <v/>
      </c>
      <c r="S12">
        <f>SUMPRODUCT((M_BOM[Part Name]=$A12)*M_BOM[RM_Qty_Per_Batch]*IFERROR(INDEX(PP_Grid[#Data],M_BOM[PPGridRow],19),0))+IFERROR(INDEX(M_RawMaterials[固定週次消費量_要入力],MATCH($A12,M_RawMaterials[Part Name],0)),0)</f>
        <v/>
      </c>
      <c r="T12">
        <f>SUMPRODUCT((M_BOM[Part Name]=$A12)*M_BOM[RM_Qty_Per_Batch]*IFERROR(INDEX(PP_Grid[#Data],M_BOM[PPGridRow],20),0))+IFERROR(INDEX(M_RawMaterials[固定週次消費量_要入力],MATCH($A12,M_RawMaterials[Part Name],0)),0)</f>
        <v/>
      </c>
      <c r="U12">
        <f>SUMPRODUCT((M_BOM[Part Name]=$A12)*M_BOM[RM_Qty_Per_Batch]*IFERROR(INDEX(PP_Grid[#Data],M_BOM[PPGridRow],21),0))+IFERROR(INDEX(M_RawMaterials[固定週次消費量_要入力],MATCH($A12,M_RawMaterials[Part Name],0)),0)</f>
        <v/>
      </c>
      <c r="V12">
        <f>SUMPRODUCT((M_BOM[Part Name]=$A12)*M_BOM[RM_Qty_Per_Batch]*IFERROR(INDEX(PP_Grid[#Data],M_BOM[PPGridRow],22),0))+IFERROR(INDEX(M_RawMaterials[固定週次消費量_要入力],MATCH($A12,M_RawMaterials[Part Name],0)),0)</f>
        <v/>
      </c>
      <c r="W12">
        <f>SUMPRODUCT((M_BOM[Part Name]=$A12)*M_BOM[RM_Qty_Per_Batch]*IFERROR(INDEX(PP_Grid[#Data],M_BOM[PPGridRow],23),0))+IFERROR(INDEX(M_RawMaterials[固定週次消費量_要入力],MATCH($A12,M_RawMaterials[Part Name],0)),0)</f>
        <v/>
      </c>
      <c r="X12">
        <f>SUMPRODUCT((M_BOM[Part Name]=$A12)*M_BOM[RM_Qty_Per_Batch]*IFERROR(INDEX(PP_Grid[#Data],M_BOM[PPGridRow],24),0))+IFERROR(INDEX(M_RawMaterials[固定週次消費量_要入力],MATCH($A12,M_RawMaterials[Part Name],0)),0)</f>
        <v/>
      </c>
      <c r="Y12">
        <f>SUMPRODUCT((M_BOM[Part Name]=$A12)*M_BOM[RM_Qty_Per_Batch]*IFERROR(INDEX(PP_Grid[#Data],M_BOM[PPGridRow],25),0))+IFERROR(INDEX(M_RawMaterials[固定週次消費量_要入力],MATCH($A12,M_RawMaterials[Part Name],0)),0)</f>
        <v/>
      </c>
      <c r="Z12">
        <f>SUMPRODUCT((M_BOM[Part Name]=$A12)*M_BOM[RM_Qty_Per_Batch]*IFERROR(INDEX(PP_Grid[#Data],M_BOM[PPGridRow],26),0))+IFERROR(INDEX(M_RawMaterials[固定週次消費量_要入力],MATCH($A12,M_RawMaterials[Part Name],0)),0)</f>
        <v/>
      </c>
      <c r="AA12">
        <f>SUMPRODUCT((M_BOM[Part Name]=$A12)*M_BOM[RM_Qty_Per_Batch]*IFERROR(INDEX(PP_Grid[#Data],M_BOM[PPGridRow],27),0))+IFERROR(INDEX(M_RawMaterials[固定週次消費量_要入力],MATCH($A12,M_RawMaterials[Part Name],0)),0)</f>
        <v/>
      </c>
      <c r="AB12">
        <f>SUMPRODUCT((M_BOM[Part Name]=$A12)*M_BOM[RM_Qty_Per_Batch]*IFERROR(INDEX(PP_Grid[#Data],M_BOM[PPGridRow],28),0))+IFERROR(INDEX(M_RawMaterials[固定週次消費量_要入力],MATCH($A12,M_RawMaterials[Part Name],0)),0)</f>
        <v/>
      </c>
      <c r="AC12">
        <f>SUMPRODUCT((M_BOM[Part Name]=$A12)*M_BOM[RM_Qty_Per_Batch]*IFERROR(INDEX(PP_Grid[#Data],M_BOM[PPGridRow],29),0))+IFERROR(INDEX(M_RawMaterials[固定週次消費量_要入力],MATCH($A12,M_RawMaterials[Part Name],0)),0)</f>
        <v/>
      </c>
      <c r="AD12">
        <f>SUMPRODUCT((M_BOM[Part Name]=$A12)*M_BOM[RM_Qty_Per_Batch]*IFERROR(INDEX(PP_Grid[#Data],M_BOM[PPGridRow],30),0))+IFERROR(INDEX(M_RawMaterials[固定週次消費量_要入力],MATCH($A12,M_RawMaterials[Part Name],0)),0)</f>
        <v/>
      </c>
      <c r="AE12">
        <f>SUMPRODUCT((M_BOM[Part Name]=$A12)*M_BOM[RM_Qty_Per_Batch]*IFERROR(INDEX(PP_Grid[#Data],M_BOM[PPGridRow],31),0))+IFERROR(INDEX(M_RawMaterials[固定週次消費量_要入力],MATCH($A12,M_RawMaterials[Part Name],0)),0)</f>
        <v/>
      </c>
      <c r="AF12">
        <f>SUMPRODUCT((M_BOM[Part Name]=$A12)*M_BOM[RM_Qty_Per_Batch]*IFERROR(INDEX(PP_Grid[#Data],M_BOM[PPGridRow],32),0))+IFERROR(INDEX(M_RawMaterials[固定週次消費量_要入力],MATCH($A12,M_RawMaterials[Part Name],0)),0)</f>
        <v/>
      </c>
      <c r="AG12">
        <f>SUMPRODUCT((M_BOM[Part Name]=$A12)*M_BOM[RM_Qty_Per_Batch]*IFERROR(INDEX(PP_Grid[#Data],M_BOM[PPGridRow],33),0))+IFERROR(INDEX(M_RawMaterials[固定週次消費量_要入力],MATCH($A12,M_RawMaterials[Part Name],0)),0)</f>
        <v/>
      </c>
      <c r="AH12">
        <f>SUMPRODUCT((M_BOM[Part Name]=$A12)*M_BOM[RM_Qty_Per_Batch]*IFERROR(INDEX(PP_Grid[#Data],M_BOM[PPGridRow],34),0))+IFERROR(INDEX(M_RawMaterials[固定週次消費量_要入力],MATCH($A12,M_RawMaterials[Part Name],0)),0)</f>
        <v/>
      </c>
      <c r="AI12">
        <f>SUMPRODUCT((M_BOM[Part Name]=$A12)*M_BOM[RM_Qty_Per_Batch]*IFERROR(INDEX(PP_Grid[#Data],M_BOM[PPGridRow],35),0))+IFERROR(INDEX(M_RawMaterials[固定週次消費量_要入力],MATCH($A12,M_RawMaterials[Part Name],0)),0)</f>
        <v/>
      </c>
      <c r="AJ12">
        <f>SUMPRODUCT((M_BOM[Part Name]=$A12)*M_BOM[RM_Qty_Per_Batch]*IFERROR(INDEX(PP_Grid[#Data],M_BOM[PPGridRow],36),0))+IFERROR(INDEX(M_RawMaterials[固定週次消費量_要入力],MATCH($A12,M_RawMaterials[Part Name],0)),0)</f>
        <v/>
      </c>
      <c r="AK12">
        <f>SUMPRODUCT((M_BOM[Part Name]=$A12)*M_BOM[RM_Qty_Per_Batch]*IFERROR(INDEX(PP_Grid[#Data],M_BOM[PPGridRow],37),0))+IFERROR(INDEX(M_RawMaterials[固定週次消費量_要入力],MATCH($A12,M_RawMaterials[Part Name],0)),0)</f>
        <v/>
      </c>
      <c r="AL12">
        <f>SUMPRODUCT((M_BOM[Part Name]=$A12)*M_BOM[RM_Qty_Per_Batch]*IFERROR(INDEX(PP_Grid[#Data],M_BOM[PPGridRow],38),0))+IFERROR(INDEX(M_RawMaterials[固定週次消費量_要入力],MATCH($A12,M_RawMaterials[Part Name],0)),0)</f>
        <v/>
      </c>
      <c r="AM12">
        <f>SUMPRODUCT((M_BOM[Part Name]=$A12)*M_BOM[RM_Qty_Per_Batch]*IFERROR(INDEX(PP_Grid[#Data],M_BOM[PPGridRow],39),0))+IFERROR(INDEX(M_RawMaterials[固定週次消費量_要入力],MATCH($A12,M_RawMaterials[Part Name],0)),0)</f>
        <v/>
      </c>
      <c r="AN12">
        <f>SUMPRODUCT((M_BOM[Part Name]=$A12)*M_BOM[RM_Qty_Per_Batch]*IFERROR(INDEX(PP_Grid[#Data],M_BOM[PPGridRow],40),0))+IFERROR(INDEX(M_RawMaterials[固定週次消費量_要入力],MATCH($A12,M_RawMaterials[Part Name],0)),0)</f>
        <v/>
      </c>
      <c r="AO12">
        <f>SUMPRODUCT((M_BOM[Part Name]=$A12)*M_BOM[RM_Qty_Per_Batch]*IFERROR(INDEX(PP_Grid[#Data],M_BOM[PPGridRow],41),0))+IFERROR(INDEX(M_RawMaterials[固定週次消費量_要入力],MATCH($A12,M_RawMaterials[Part Name],0)),0)</f>
        <v/>
      </c>
      <c r="AP12">
        <f>SUMPRODUCT((M_BOM[Part Name]=$A12)*M_BOM[RM_Qty_Per_Batch]*IFERROR(INDEX(PP_Grid[#Data],M_BOM[PPGridRow],42),0))+IFERROR(INDEX(M_RawMaterials[固定週次消費量_要入力],MATCH($A12,M_RawMaterials[Part Name],0)),0)</f>
        <v/>
      </c>
      <c r="AQ12">
        <f>SUMPRODUCT((M_BOM[Part Name]=$A12)*M_BOM[RM_Qty_Per_Batch]*IFERROR(INDEX(PP_Grid[#Data],M_BOM[PPGridRow],43),0))+IFERROR(INDEX(M_RawMaterials[固定週次消費量_要入力],MATCH($A12,M_RawMaterials[Part Name],0)),0)</f>
        <v/>
      </c>
      <c r="AR12">
        <f>SUMPRODUCT((M_BOM[Part Name]=$A12)*M_BOM[RM_Qty_Per_Batch]*IFERROR(INDEX(PP_Grid[#Data],M_BOM[PPGridRow],44),0))+IFERROR(INDEX(M_RawMaterials[固定週次消費量_要入力],MATCH($A12,M_RawMaterials[Part Name],0)),0)</f>
        <v/>
      </c>
      <c r="AS12">
        <f>SUMPRODUCT((M_BOM[Part Name]=$A12)*M_BOM[RM_Qty_Per_Batch]*IFERROR(INDEX(PP_Grid[#Data],M_BOM[PPGridRow],45),0))+IFERROR(INDEX(M_RawMaterials[固定週次消費量_要入力],MATCH($A12,M_RawMaterials[Part Name],0)),0)</f>
        <v/>
      </c>
      <c r="AT12">
        <f>SUMPRODUCT((M_BOM[Part Name]=$A12)*M_BOM[RM_Qty_Per_Batch]*IFERROR(INDEX(PP_Grid[#Data],M_BOM[PPGridRow],46),0))+IFERROR(INDEX(M_RawMaterials[固定週次消費量_要入力],MATCH($A12,M_RawMaterials[Part Name],0)),0)</f>
        <v/>
      </c>
      <c r="AU12">
        <f>SUMPRODUCT((M_BOM[Part Name]=$A12)*M_BOM[RM_Qty_Per_Batch]*IFERROR(INDEX(PP_Grid[#Data],M_BOM[PPGridRow],47),0))+IFERROR(INDEX(M_RawMaterials[固定週次消費量_要入力],MATCH($A12,M_RawMaterials[Part Name],0)),0)</f>
        <v/>
      </c>
      <c r="AV12">
        <f>SUMPRODUCT((M_BOM[Part Name]=$A12)*M_BOM[RM_Qty_Per_Batch]*IFERROR(INDEX(PP_Grid[#Data],M_BOM[PPGridRow],48),0))+IFERROR(INDEX(M_RawMaterials[固定週次消費量_要入力],MATCH($A12,M_RawMaterials[Part Name],0)),0)</f>
        <v/>
      </c>
      <c r="AW12">
        <f>SUMPRODUCT((M_BOM[Part Name]=$A12)*M_BOM[RM_Qty_Per_Batch]*IFERROR(INDEX(PP_Grid[#Data],M_BOM[PPGridRow],49),0))+IFERROR(INDEX(M_RawMaterials[固定週次消費量_要入力],MATCH($A12,M_RawMaterials[Part Name],0)),0)</f>
        <v/>
      </c>
      <c r="AX12">
        <f>SUMPRODUCT((M_BOM[Part Name]=$A12)*M_BOM[RM_Qty_Per_Batch]*IFERROR(INDEX(PP_Grid[#Data],M_BOM[PPGridRow],50),0))+IFERROR(INDEX(M_RawMaterials[固定週次消費量_要入力],MATCH($A12,M_RawMaterials[Part Name],0)),0)</f>
        <v/>
      </c>
      <c r="AY12">
        <f>SUMPRODUCT((M_BOM[Part Name]=$A12)*M_BOM[RM_Qty_Per_Batch]*IFERROR(INDEX(PP_Grid[#Data],M_BOM[PPGridRow],51),0))+IFERROR(INDEX(M_RawMaterials[固定週次消費量_要入力],MATCH($A12,M_RawMaterials[Part Name],0)),0)</f>
        <v/>
      </c>
      <c r="AZ12">
        <f>SUMPRODUCT((M_BOM[Part Name]=$A12)*M_BOM[RM_Qty_Per_Batch]*IFERROR(INDEX(PP_Grid[#Data],M_BOM[PPGridRow],52),0))+IFERROR(INDEX(M_RawMaterials[固定週次消費量_要入力],MATCH($A12,M_RawMaterials[Part Name],0)),0)</f>
        <v/>
      </c>
      <c r="BA12">
        <f>SUMPRODUCT((M_BOM[Part Name]=$A12)*M_BOM[RM_Qty_Per_Batch]*IFERROR(INDEX(PP_Grid[#Data],M_BOM[PPGridRow],53),0))+IFERROR(INDEX(M_RawMaterials[固定週次消費量_要入力],MATCH($A12,M_RawMaterials[Part Name],0)),0)</f>
        <v/>
      </c>
      <c r="BB12">
        <f>SUMPRODUCT((M_BOM[Part Name]=$A12)*M_BOM[RM_Qty_Per_Batch]*IFERROR(INDEX(PP_Grid[#Data],M_BOM[PPGridRow],54),0))+IFERROR(INDEX(M_RawMaterials[固定週次消費量_要入力],MATCH($A12,M_RawMaterials[Part Name],0)),0)</f>
        <v/>
      </c>
      <c r="BC12">
        <f>SUMPRODUCT((M_BOM[Part Name]=$A12)*M_BOM[RM_Qty_Per_Batch]*IFERROR(INDEX(PP_Grid[#Data],M_BOM[PPGridRow],55),0))+IFERROR(INDEX(M_RawMaterials[固定週次消費量_要入力],MATCH($A12,M_RawMaterials[Part Name],0)),0)</f>
        <v/>
      </c>
      <c r="BD12">
        <f>SUMPRODUCT((M_BOM[Part Name]=$A12)*M_BOM[RM_Qty_Per_Batch]*IFERROR(INDEX(PP_Grid[#Data],M_BOM[PPGridRow],56),0))+IFERROR(INDEX(M_RawMaterials[固定週次消費量_要入力],MATCH($A12,M_RawMaterials[Part Name],0)),0)</f>
        <v/>
      </c>
      <c r="BE12">
        <f>SUMPRODUCT((M_BOM[Part Name]=$A12)*M_BOM[RM_Qty_Per_Batch]*IFERROR(INDEX(PP_Grid[#Data],M_BOM[PPGridRow],57),0))+IFERROR(INDEX(M_RawMaterials[固定週次消費量_要入力],MATCH($A12,M_RawMaterials[Part Name],0)),0)</f>
        <v/>
      </c>
      <c r="BF12">
        <f>SUMPRODUCT((M_BOM[Part Name]=$A12)*M_BOM[RM_Qty_Per_Batch]*IFERROR(INDEX(PP_Grid[#Data],M_BOM[PPGridRow],58),0))+IFERROR(INDEX(M_RawMaterials[固定週次消費量_要入力],MATCH($A12,M_RawMaterials[Part Name],0)),0)</f>
        <v/>
      </c>
      <c r="BG12">
        <f>SUMPRODUCT((M_BOM[Part Name]=$A12)*M_BOM[RM_Qty_Per_Batch]*IFERROR(INDEX(PP_Grid[#Data],M_BOM[PPGridRow],59),0))+IFERROR(INDEX(M_RawMaterials[固定週次消費量_要入力],MATCH($A12,M_RawMaterials[Part Name],0)),0)</f>
        <v/>
      </c>
      <c r="BH12">
        <f>SUMPRODUCT((M_BOM[Part Name]=$A12)*M_BOM[RM_Qty_Per_Batch]*IFERROR(INDEX(PP_Grid[#Data],M_BOM[PPGridRow],60),0))+IFERROR(INDEX(M_RawMaterials[固定週次消費量_要入力],MATCH($A12,M_RawMaterials[Part Name],0)),0)</f>
        <v/>
      </c>
      <c r="BI12">
        <f>SUMPRODUCT((M_BOM[Part Name]=$A12)*M_BOM[RM_Qty_Per_Batch]*IFERROR(INDEX(PP_Grid[#Data],M_BOM[PPGridRow],61),0))+IFERROR(INDEX(M_RawMaterials[固定週次消費量_要入力],MATCH($A12,M_RawMaterials[Part Name],0)),0)</f>
        <v/>
      </c>
      <c r="BJ12">
        <f>SUMPRODUCT((M_BOM[Part Name]=$A12)*M_BOM[RM_Qty_Per_Batch]*IFERROR(INDEX(PP_Grid[#Data],M_BOM[PPGridRow],62),0))+IFERROR(INDEX(M_RawMaterials[固定週次消費量_要入力],MATCH($A12,M_RawMaterials[Part Name],0)),0)</f>
        <v/>
      </c>
      <c r="BK12">
        <f>SUMPRODUCT((M_BOM[Part Name]=$A12)*M_BOM[RM_Qty_Per_Batch]*IFERROR(INDEX(PP_Grid[#Data],M_BOM[PPGridRow],63),0))+IFERROR(INDEX(M_RawMaterials[固定週次消費量_要入力],MATCH($A12,M_RawMaterials[Part Name],0)),0)</f>
        <v/>
      </c>
      <c r="BL12">
        <f>SUMPRODUCT((M_BOM[Part Name]=$A12)*M_BOM[RM_Qty_Per_Batch]*IFERROR(INDEX(PP_Grid[#Data],M_BOM[PPGridRow],64),0))+IFERROR(INDEX(M_RawMaterials[固定週次消費量_要入力],MATCH($A12,M_RawMaterials[Part Name],0)),0)</f>
        <v/>
      </c>
      <c r="BM12">
        <f>SUMPRODUCT((M_BOM[Part Name]=$A12)*M_BOM[RM_Qty_Per_Batch]*IFERROR(INDEX(PP_Grid[#Data],M_BOM[PPGridRow],65),0))+IFERROR(INDEX(M_RawMaterials[固定週次消費量_要入力],MATCH($A12,M_RawMaterials[Part Name],0)),0)</f>
        <v/>
      </c>
      <c r="BN12">
        <f>SUMPRODUCT((M_BOM[Part Name]=$A12)*M_BOM[RM_Qty_Per_Batch]*IFERROR(INDEX(PP_Grid[#Data],M_BOM[PPGridRow],66),0))+IFERROR(INDEX(M_RawMaterials[固定週次消費量_要入力],MATCH($A12,M_RawMaterials[Part Name],0)),0)</f>
        <v/>
      </c>
      <c r="BO12">
        <f>SUMPRODUCT((M_BOM[Part Name]=$A12)*M_BOM[RM_Qty_Per_Batch]*IFERROR(INDEX(PP_Grid[#Data],M_BOM[PPGridRow],67),0))+IFERROR(INDEX(M_RawMaterials[固定週次消費量_要入力],MATCH($A12,M_RawMaterials[Part Name],0)),0)</f>
        <v/>
      </c>
      <c r="BP12">
        <f>SUMPRODUCT((M_BOM[Part Name]=$A12)*M_BOM[RM_Qty_Per_Batch]*IFERROR(INDEX(PP_Grid[#Data],M_BOM[PPGridRow],68),0))+IFERROR(INDEX(M_RawMaterials[固定週次消費量_要入力],MATCH($A12,M_RawMaterials[Part Name],0)),0)</f>
        <v/>
      </c>
      <c r="BQ12">
        <f>SUMPRODUCT((M_BOM[Part Name]=$A12)*M_BOM[RM_Qty_Per_Batch]*IFERROR(INDEX(PP_Grid[#Data],M_BOM[PPGridRow],69),0))+IFERROR(INDEX(M_RawMaterials[固定週次消費量_要入力],MATCH($A12,M_RawMaterials[Part Name],0)),0)</f>
        <v/>
      </c>
      <c r="BR12">
        <f>SUMPRODUCT((M_BOM[Part Name]=$A12)*M_BOM[RM_Qty_Per_Batch]*IFERROR(INDEX(PP_Grid[#Data],M_BOM[PPGridRow],70),0))+IFERROR(INDEX(M_RawMaterials[固定週次消費量_要入力],MATCH($A12,M_RawMaterials[Part Name],0)),0)</f>
        <v/>
      </c>
      <c r="BS12">
        <f>SUMPRODUCT((M_BOM[Part Name]=$A12)*M_BOM[RM_Qty_Per_Batch]*IFERROR(INDEX(PP_Grid[#Data],M_BOM[PPGridRow],71),0))+IFERROR(INDEX(M_RawMaterials[固定週次消費量_要入力],MATCH($A12,M_RawMaterials[Part Name],0)),0)</f>
        <v/>
      </c>
      <c r="BT12">
        <f>SUMPRODUCT((M_BOM[Part Name]=$A12)*M_BOM[RM_Qty_Per_Batch]*IFERROR(INDEX(PP_Grid[#Data],M_BOM[PPGridRow],72),0))+IFERROR(INDEX(M_RawMaterials[固定週次消費量_要入力],MATCH($A12,M_RawMaterials[Part Name],0)),0)</f>
        <v/>
      </c>
      <c r="BU12">
        <f>SUMPRODUCT((M_BOM[Part Name]=$A12)*M_BOM[RM_Qty_Per_Batch]*IFERROR(INDEX(PP_Grid[#Data],M_BOM[PPGridRow],73),0))+IFERROR(INDEX(M_RawMaterials[固定週次消費量_要入力],MATCH($A12,M_RawMaterials[Part Name],0)),0)</f>
        <v/>
      </c>
      <c r="BV12">
        <f>SUMPRODUCT((M_BOM[Part Name]=$A12)*M_BOM[RM_Qty_Per_Batch]*IFERROR(INDEX(PP_Grid[#Data],M_BOM[PPGridRow],74),0))+IFERROR(INDEX(M_RawMaterials[固定週次消費量_要入力],MATCH($A12,M_RawMaterials[Part Name],0)),0)</f>
        <v/>
      </c>
      <c r="BW12">
        <f>SUMPRODUCT((M_BOM[Part Name]=$A12)*M_BOM[RM_Qty_Per_Batch]*IFERROR(INDEX(PP_Grid[#Data],M_BOM[PPGridRow],75),0))+IFERROR(INDEX(M_RawMaterials[固定週次消費量_要入力],MATCH($A12,M_RawMaterials[Part Name],0)),0)</f>
        <v/>
      </c>
      <c r="BX12">
        <f>SUMPRODUCT((M_BOM[Part Name]=$A12)*M_BOM[RM_Qty_Per_Batch]*IFERROR(INDEX(PP_Grid[#Data],M_BOM[PPGridRow],76),0))+IFERROR(INDEX(M_RawMaterials[固定週次消費量_要入力],MATCH($A12,M_RawMaterials[Part Name],0)),0)</f>
        <v/>
      </c>
      <c r="BY12">
        <f>SUMPRODUCT((M_BOM[Part Name]=$A12)*M_BOM[RM_Qty_Per_Batch]*IFERROR(INDEX(PP_Grid[#Data],M_BOM[PPGridRow],77),0))+IFERROR(INDEX(M_RawMaterials[固定週次消費量_要入力],MATCH($A12,M_RawMaterials[Part Name],0)),0)</f>
        <v/>
      </c>
      <c r="BZ12">
        <f>SUMPRODUCT((M_BOM[Part Name]=$A12)*M_BOM[RM_Qty_Per_Batch]*IFERROR(INDEX(PP_Grid[#Data],M_BOM[PPGridRow],78),0))+IFERROR(INDEX(M_RawMaterials[固定週次消費量_要入力],MATCH($A12,M_RawMaterials[Part Name],0)),0)</f>
        <v/>
      </c>
      <c r="CA12">
        <f>SUMPRODUCT((M_BOM[Part Name]=$A12)*M_BOM[RM_Qty_Per_Batch]*IFERROR(INDEX(PP_Grid[#Data],M_BOM[PPGridRow],79),0))+IFERROR(INDEX(M_RawMaterials[固定週次消費量_要入力],MATCH($A12,M_RawMaterials[Part Name],0)),0)</f>
        <v/>
      </c>
      <c r="CB12">
        <f>SUMPRODUCT((M_BOM[Part Name]=$A12)*M_BOM[RM_Qty_Per_Batch]*IFERROR(INDEX(PP_Grid[#Data],M_BOM[PPGridRow],80),0))+IFERROR(INDEX(M_RawMaterials[固定週次消費量_要入力],MATCH($A12,M_RawMaterials[Part Name],0)),0)</f>
        <v/>
      </c>
      <c r="CC12">
        <f>SUMPRODUCT((M_BOM[Part Name]=$A12)*M_BOM[RM_Qty_Per_Batch]*IFERROR(INDEX(PP_Grid[#Data],M_BOM[PPGridRow],81),0))+IFERROR(INDEX(M_RawMaterials[固定週次消費量_要入力],MATCH($A12,M_RawMaterials[Part Name],0)),0)</f>
        <v/>
      </c>
      <c r="CD12">
        <f>SUMPRODUCT((M_BOM[Part Name]=$A12)*M_BOM[RM_Qty_Per_Batch]*IFERROR(INDEX(PP_Grid[#Data],M_BOM[PPGridRow],82),0))+IFERROR(INDEX(M_RawMaterials[固定週次消費量_要入力],MATCH($A12,M_RawMaterials[Part Name],0)),0)</f>
        <v/>
      </c>
      <c r="CE12">
        <f>SUMPRODUCT((M_BOM[Part Name]=$A12)*M_BOM[RM_Qty_Per_Batch]*IFERROR(INDEX(PP_Grid[#Data],M_BOM[PPGridRow],83),0))+IFERROR(INDEX(M_RawMaterials[固定週次消費量_要入力],MATCH($A12,M_RawMaterials[Part Name],0)),0)</f>
        <v/>
      </c>
      <c r="CF12">
        <f>SUMPRODUCT((M_BOM[Part Name]=$A12)*M_BOM[RM_Qty_Per_Batch]*IFERROR(INDEX(PP_Grid[#Data],M_BOM[PPGridRow],84),0))+IFERROR(INDEX(M_RawMaterials[固定週次消費量_要入力],MATCH($A12,M_RawMaterials[Part Name],0)),0)</f>
        <v/>
      </c>
      <c r="CG12">
        <f>SUMPRODUCT((M_BOM[Part Name]=$A12)*M_BOM[RM_Qty_Per_Batch]*IFERROR(INDEX(PP_Grid[#Data],M_BOM[PPGridRow],85),0))+IFERROR(INDEX(M_RawMaterials[固定週次消費量_要入力],MATCH($A12,M_RawMaterials[Part Name],0)),0)</f>
        <v/>
      </c>
      <c r="CH12">
        <f>SUMPRODUCT((M_BOM[Part Name]=$A12)*M_BOM[RM_Qty_Per_Batch]*IFERROR(INDEX(PP_Grid[#Data],M_BOM[PPGridRow],86),0))+IFERROR(INDEX(M_RawMaterials[固定週次消費量_要入力],MATCH($A12,M_RawMaterials[Part Name],0)),0)</f>
        <v/>
      </c>
      <c r="CI12">
        <f>SUMPRODUCT((M_BOM[Part Name]=$A12)*M_BOM[RM_Qty_Per_Batch]*IFERROR(INDEX(PP_Grid[#Data],M_BOM[PPGridRow],87),0))+IFERROR(INDEX(M_RawMaterials[固定週次消費量_要入力],MATCH($A12,M_RawMaterials[Part Name],0)),0)</f>
        <v/>
      </c>
      <c r="CJ12">
        <f>SUMPRODUCT((M_BOM[Part Name]=$A12)*M_BOM[RM_Qty_Per_Batch]*IFERROR(INDEX(PP_Grid[#Data],M_BOM[PPGridRow],88),0))+IFERROR(INDEX(M_RawMaterials[固定週次消費量_要入力],MATCH($A12,M_RawMaterials[Part Name],0)),0)</f>
        <v/>
      </c>
      <c r="CK12">
        <f>SUMPRODUCT((M_BOM[Part Name]=$A12)*M_BOM[RM_Qty_Per_Batch]*IFERROR(INDEX(PP_Grid[#Data],M_BOM[PPGridRow],89),0))+IFERROR(INDEX(M_RawMaterials[固定週次消費量_要入力],MATCH($A12,M_RawMaterials[Part Name],0)),0)</f>
        <v/>
      </c>
      <c r="CL12">
        <f>SUMPRODUCT((M_BOM[Part Name]=$A12)*M_BOM[RM_Qty_Per_Batch]*IFERROR(INDEX(PP_Grid[#Data],M_BOM[PPGridRow],90),0))+IFERROR(INDEX(M_RawMaterials[固定週次消費量_要入力],MATCH($A12,M_RawMaterials[Part Name],0)),0)</f>
        <v/>
      </c>
      <c r="CM12">
        <f>SUMPRODUCT((M_BOM[Part Name]=$A12)*M_BOM[RM_Qty_Per_Batch]*IFERROR(INDEX(PP_Grid[#Data],M_BOM[PPGridRow],91),0))+IFERROR(INDEX(M_RawMaterials[固定週次消費量_要入力],MATCH($A12,M_RawMaterials[Part Name],0)),0)</f>
        <v/>
      </c>
      <c r="CN12">
        <f>SUMPRODUCT((M_BOM[Part Name]=$A12)*M_BOM[RM_Qty_Per_Batch]*IFERROR(INDEX(PP_Grid[#Data],M_BOM[PPGridRow],92),0))+IFERROR(INDEX(M_RawMaterials[固定週次消費量_要入力],MATCH($A12,M_RawMaterials[Part Name],0)),0)</f>
        <v/>
      </c>
      <c r="CO12">
        <f>SUMPRODUCT((M_BOM[Part Name]=$A12)*M_BOM[RM_Qty_Per_Batch]*IFERROR(INDEX(PP_Grid[#Data],M_BOM[PPGridRow],93),0))+IFERROR(INDEX(M_RawMaterials[固定週次消費量_要入力],MATCH($A12,M_RawMaterials[Part Name],0)),0)</f>
        <v/>
      </c>
      <c r="CP12">
        <f>SUMPRODUCT((M_BOM[Part Name]=$A12)*M_BOM[RM_Qty_Per_Batch]*IFERROR(INDEX(PP_Grid[#Data],M_BOM[PPGridRow],94),0))+IFERROR(INDEX(M_RawMaterials[固定週次消費量_要入力],MATCH($A12,M_RawMaterials[Part Name],0)),0)</f>
        <v/>
      </c>
      <c r="CQ12">
        <f>SUMPRODUCT((M_BOM[Part Name]=$A12)*M_BOM[RM_Qty_Per_Batch]*IFERROR(INDEX(PP_Grid[#Data],M_BOM[PPGridRow],95),0))+IFERROR(INDEX(M_RawMaterials[固定週次消費量_要入力],MATCH($A12,M_RawMaterials[Part Name],0)),0)</f>
        <v/>
      </c>
      <c r="CR12">
        <f>SUMPRODUCT((M_BOM[Part Name]=$A12)*M_BOM[RM_Qty_Per_Batch]*IFERROR(INDEX(PP_Grid[#Data],M_BOM[PPGridRow],96),0))+IFERROR(INDEX(M_RawMaterials[固定週次消費量_要入力],MATCH($A12,M_RawMaterials[Part Name],0)),0)</f>
        <v/>
      </c>
      <c r="CS12">
        <f>SUMPRODUCT((M_BOM[Part Name]=$A12)*M_BOM[RM_Qty_Per_Batch]*IFERROR(INDEX(PP_Grid[#Data],M_BOM[PPGridRow],97),0))+IFERROR(INDEX(M_RawMaterials[固定週次消費量_要入力],MATCH($A12,M_RawMaterials[Part Name],0)),0)</f>
        <v/>
      </c>
      <c r="CT12">
        <f>SUMPRODUCT((M_BOM[Part Name]=$A12)*M_BOM[RM_Qty_Per_Batch]*IFERROR(INDEX(PP_Grid[#Data],M_BOM[PPGridRow],98),0))+IFERROR(INDEX(M_RawMaterials[固定週次消費量_要入力],MATCH($A12,M_RawMaterials[Part Name],0)),0)</f>
        <v/>
      </c>
      <c r="CU12">
        <f>SUMPRODUCT((M_BOM[Part Name]=$A12)*M_BOM[RM_Qty_Per_Batch]*IFERROR(INDEX(PP_Grid[#Data],M_BOM[PPGridRow],99),0))+IFERROR(INDEX(M_RawMaterials[固定週次消費量_要入力],MATCH($A12,M_RawMaterials[Part Name],0)),0)</f>
        <v/>
      </c>
      <c r="CV12">
        <f>SUMPRODUCT((M_BOM[Part Name]=$A12)*M_BOM[RM_Qty_Per_Batch]*IFERROR(INDEX(PP_Grid[#Data],M_BOM[PPGridRow],100),0))+IFERROR(INDEX(M_RawMaterials[固定週次消費量_要入力],MATCH($A12,M_RawMaterials[Part Name],0)),0)</f>
        <v/>
      </c>
      <c r="CW12">
        <f>SUMPRODUCT((M_BOM[Part Name]=$A12)*M_BOM[RM_Qty_Per_Batch]*IFERROR(INDEX(PP_Grid[#Data],M_BOM[PPGridRow],101),0))+IFERROR(INDEX(M_RawMaterials[固定週次消費量_要入力],MATCH($A12,M_RawMaterials[Part Name],0)),0)</f>
        <v/>
      </c>
      <c r="CX12">
        <f>SUMPRODUCT((M_BOM[Part Name]=$A12)*M_BOM[RM_Qty_Per_Batch]*IFERROR(INDEX(PP_Grid[#Data],M_BOM[PPGridRow],102),0))+IFERROR(INDEX(M_RawMaterials[固定週次消費量_要入力],MATCH($A12,M_RawMaterials[Part Name],0)),0)</f>
        <v/>
      </c>
      <c r="CY12">
        <f>SUMPRODUCT((M_BOM[Part Name]=$A12)*M_BOM[RM_Qty_Per_Batch]*IFERROR(INDEX(PP_Grid[#Data],M_BOM[PPGridRow],103),0))+IFERROR(INDEX(M_RawMaterials[固定週次消費量_要入力],MATCH($A12,M_RawMaterials[Part Name],0)),0)</f>
        <v/>
      </c>
      <c r="CZ12">
        <f>SUMPRODUCT((M_BOM[Part Name]=$A12)*M_BOM[RM_Qty_Per_Batch]*IFERROR(INDEX(PP_Grid[#Data],M_BOM[PPGridRow],104),0))+IFERROR(INDEX(M_RawMaterials[固定週次消費量_要入力],MATCH($A12,M_RawMaterials[Part Name],0)),0)</f>
        <v/>
      </c>
      <c r="DA12">
        <f>SUMPRODUCT((M_BOM[Part Name]=$A12)*M_BOM[RM_Qty_Per_Batch]*IFERROR(INDEX(PP_Grid[#Data],M_BOM[PPGridRow],105),0))+IFERROR(INDEX(M_RawMaterials[固定週次消費量_要入力],MATCH($A12,M_RawMaterials[Part Name],0)),0)</f>
        <v/>
      </c>
    </row>
    <row r="13">
      <c r="A13" t="inlineStr">
        <is>
          <t>ABN</t>
        </is>
      </c>
      <c r="B13">
        <f>SUMPRODUCT((M_BOM[Part Name]=$A13)*M_BOM[RM_Qty_Per_Batch]*IFERROR(INDEX(PP_Grid[#Data],M_BOM[PPGridRow],2),0))+IFERROR(INDEX(M_RawMaterials[固定週次消費量_要入力],MATCH($A13,M_RawMaterials[Part Name],0)),0)</f>
        <v/>
      </c>
      <c r="C13">
        <f>SUMPRODUCT((M_BOM[Part Name]=$A13)*M_BOM[RM_Qty_Per_Batch]*IFERROR(INDEX(PP_Grid[#Data],M_BOM[PPGridRow],3),0))+IFERROR(INDEX(M_RawMaterials[固定週次消費量_要入力],MATCH($A13,M_RawMaterials[Part Name],0)),0)</f>
        <v/>
      </c>
      <c r="D13">
        <f>SUMPRODUCT((M_BOM[Part Name]=$A13)*M_BOM[RM_Qty_Per_Batch]*IFERROR(INDEX(PP_Grid[#Data],M_BOM[PPGridRow],4),0))+IFERROR(INDEX(M_RawMaterials[固定週次消費量_要入力],MATCH($A13,M_RawMaterials[Part Name],0)),0)</f>
        <v/>
      </c>
      <c r="E13">
        <f>SUMPRODUCT((M_BOM[Part Name]=$A13)*M_BOM[RM_Qty_Per_Batch]*IFERROR(INDEX(PP_Grid[#Data],M_BOM[PPGridRow],5),0))+IFERROR(INDEX(M_RawMaterials[固定週次消費量_要入力],MATCH($A13,M_RawMaterials[Part Name],0)),0)</f>
        <v/>
      </c>
      <c r="F13">
        <f>SUMPRODUCT((M_BOM[Part Name]=$A13)*M_BOM[RM_Qty_Per_Batch]*IFERROR(INDEX(PP_Grid[#Data],M_BOM[PPGridRow],6),0))+IFERROR(INDEX(M_RawMaterials[固定週次消費量_要入力],MATCH($A13,M_RawMaterials[Part Name],0)),0)</f>
        <v/>
      </c>
      <c r="G13">
        <f>SUMPRODUCT((M_BOM[Part Name]=$A13)*M_BOM[RM_Qty_Per_Batch]*IFERROR(INDEX(PP_Grid[#Data],M_BOM[PPGridRow],7),0))+IFERROR(INDEX(M_RawMaterials[固定週次消費量_要入力],MATCH($A13,M_RawMaterials[Part Name],0)),0)</f>
        <v/>
      </c>
      <c r="H13">
        <f>SUMPRODUCT((M_BOM[Part Name]=$A13)*M_BOM[RM_Qty_Per_Batch]*IFERROR(INDEX(PP_Grid[#Data],M_BOM[PPGridRow],8),0))+IFERROR(INDEX(M_RawMaterials[固定週次消費量_要入力],MATCH($A13,M_RawMaterials[Part Name],0)),0)</f>
        <v/>
      </c>
      <c r="I13">
        <f>SUMPRODUCT((M_BOM[Part Name]=$A13)*M_BOM[RM_Qty_Per_Batch]*IFERROR(INDEX(PP_Grid[#Data],M_BOM[PPGridRow],9),0))+IFERROR(INDEX(M_RawMaterials[固定週次消費量_要入力],MATCH($A13,M_RawMaterials[Part Name],0)),0)</f>
        <v/>
      </c>
      <c r="J13">
        <f>SUMPRODUCT((M_BOM[Part Name]=$A13)*M_BOM[RM_Qty_Per_Batch]*IFERROR(INDEX(PP_Grid[#Data],M_BOM[PPGridRow],10),0))+IFERROR(INDEX(M_RawMaterials[固定週次消費量_要入力],MATCH($A13,M_RawMaterials[Part Name],0)),0)</f>
        <v/>
      </c>
      <c r="K13">
        <f>SUMPRODUCT((M_BOM[Part Name]=$A13)*M_BOM[RM_Qty_Per_Batch]*IFERROR(INDEX(PP_Grid[#Data],M_BOM[PPGridRow],11),0))+IFERROR(INDEX(M_RawMaterials[固定週次消費量_要入力],MATCH($A13,M_RawMaterials[Part Name],0)),0)</f>
        <v/>
      </c>
      <c r="L13">
        <f>SUMPRODUCT((M_BOM[Part Name]=$A13)*M_BOM[RM_Qty_Per_Batch]*IFERROR(INDEX(PP_Grid[#Data],M_BOM[PPGridRow],12),0))+IFERROR(INDEX(M_RawMaterials[固定週次消費量_要入力],MATCH($A13,M_RawMaterials[Part Name],0)),0)</f>
        <v/>
      </c>
      <c r="M13">
        <f>SUMPRODUCT((M_BOM[Part Name]=$A13)*M_BOM[RM_Qty_Per_Batch]*IFERROR(INDEX(PP_Grid[#Data],M_BOM[PPGridRow],13),0))+IFERROR(INDEX(M_RawMaterials[固定週次消費量_要入力],MATCH($A13,M_RawMaterials[Part Name],0)),0)</f>
        <v/>
      </c>
      <c r="N13">
        <f>SUMPRODUCT((M_BOM[Part Name]=$A13)*M_BOM[RM_Qty_Per_Batch]*IFERROR(INDEX(PP_Grid[#Data],M_BOM[PPGridRow],14),0))+IFERROR(INDEX(M_RawMaterials[固定週次消費量_要入力],MATCH($A13,M_RawMaterials[Part Name],0)),0)</f>
        <v/>
      </c>
      <c r="O13">
        <f>SUMPRODUCT((M_BOM[Part Name]=$A13)*M_BOM[RM_Qty_Per_Batch]*IFERROR(INDEX(PP_Grid[#Data],M_BOM[PPGridRow],15),0))+IFERROR(INDEX(M_RawMaterials[固定週次消費量_要入力],MATCH($A13,M_RawMaterials[Part Name],0)),0)</f>
        <v/>
      </c>
      <c r="P13">
        <f>SUMPRODUCT((M_BOM[Part Name]=$A13)*M_BOM[RM_Qty_Per_Batch]*IFERROR(INDEX(PP_Grid[#Data],M_BOM[PPGridRow],16),0))+IFERROR(INDEX(M_RawMaterials[固定週次消費量_要入力],MATCH($A13,M_RawMaterials[Part Name],0)),0)</f>
        <v/>
      </c>
      <c r="Q13">
        <f>SUMPRODUCT((M_BOM[Part Name]=$A13)*M_BOM[RM_Qty_Per_Batch]*IFERROR(INDEX(PP_Grid[#Data],M_BOM[PPGridRow],17),0))+IFERROR(INDEX(M_RawMaterials[固定週次消費量_要入力],MATCH($A13,M_RawMaterials[Part Name],0)),0)</f>
        <v/>
      </c>
      <c r="R13">
        <f>SUMPRODUCT((M_BOM[Part Name]=$A13)*M_BOM[RM_Qty_Per_Batch]*IFERROR(INDEX(PP_Grid[#Data],M_BOM[PPGridRow],18),0))+IFERROR(INDEX(M_RawMaterials[固定週次消費量_要入力],MATCH($A13,M_RawMaterials[Part Name],0)),0)</f>
        <v/>
      </c>
      <c r="S13">
        <f>SUMPRODUCT((M_BOM[Part Name]=$A13)*M_BOM[RM_Qty_Per_Batch]*IFERROR(INDEX(PP_Grid[#Data],M_BOM[PPGridRow],19),0))+IFERROR(INDEX(M_RawMaterials[固定週次消費量_要入力],MATCH($A13,M_RawMaterials[Part Name],0)),0)</f>
        <v/>
      </c>
      <c r="T13">
        <f>SUMPRODUCT((M_BOM[Part Name]=$A13)*M_BOM[RM_Qty_Per_Batch]*IFERROR(INDEX(PP_Grid[#Data],M_BOM[PPGridRow],20),0))+IFERROR(INDEX(M_RawMaterials[固定週次消費量_要入力],MATCH($A13,M_RawMaterials[Part Name],0)),0)</f>
        <v/>
      </c>
      <c r="U13">
        <f>SUMPRODUCT((M_BOM[Part Name]=$A13)*M_BOM[RM_Qty_Per_Batch]*IFERROR(INDEX(PP_Grid[#Data],M_BOM[PPGridRow],21),0))+IFERROR(INDEX(M_RawMaterials[固定週次消費量_要入力],MATCH($A13,M_RawMaterials[Part Name],0)),0)</f>
        <v/>
      </c>
      <c r="V13">
        <f>SUMPRODUCT((M_BOM[Part Name]=$A13)*M_BOM[RM_Qty_Per_Batch]*IFERROR(INDEX(PP_Grid[#Data],M_BOM[PPGridRow],22),0))+IFERROR(INDEX(M_RawMaterials[固定週次消費量_要入力],MATCH($A13,M_RawMaterials[Part Name],0)),0)</f>
        <v/>
      </c>
      <c r="W13">
        <f>SUMPRODUCT((M_BOM[Part Name]=$A13)*M_BOM[RM_Qty_Per_Batch]*IFERROR(INDEX(PP_Grid[#Data],M_BOM[PPGridRow],23),0))+IFERROR(INDEX(M_RawMaterials[固定週次消費量_要入力],MATCH($A13,M_RawMaterials[Part Name],0)),0)</f>
        <v/>
      </c>
      <c r="X13">
        <f>SUMPRODUCT((M_BOM[Part Name]=$A13)*M_BOM[RM_Qty_Per_Batch]*IFERROR(INDEX(PP_Grid[#Data],M_BOM[PPGridRow],24),0))+IFERROR(INDEX(M_RawMaterials[固定週次消費量_要入力],MATCH($A13,M_RawMaterials[Part Name],0)),0)</f>
        <v/>
      </c>
      <c r="Y13">
        <f>SUMPRODUCT((M_BOM[Part Name]=$A13)*M_BOM[RM_Qty_Per_Batch]*IFERROR(INDEX(PP_Grid[#Data],M_BOM[PPGridRow],25),0))+IFERROR(INDEX(M_RawMaterials[固定週次消費量_要入力],MATCH($A13,M_RawMaterials[Part Name],0)),0)</f>
        <v/>
      </c>
      <c r="Z13">
        <f>SUMPRODUCT((M_BOM[Part Name]=$A13)*M_BOM[RM_Qty_Per_Batch]*IFERROR(INDEX(PP_Grid[#Data],M_BOM[PPGridRow],26),0))+IFERROR(INDEX(M_RawMaterials[固定週次消費量_要入力],MATCH($A13,M_RawMaterials[Part Name],0)),0)</f>
        <v/>
      </c>
      <c r="AA13">
        <f>SUMPRODUCT((M_BOM[Part Name]=$A13)*M_BOM[RM_Qty_Per_Batch]*IFERROR(INDEX(PP_Grid[#Data],M_BOM[PPGridRow],27),0))+IFERROR(INDEX(M_RawMaterials[固定週次消費量_要入力],MATCH($A13,M_RawMaterials[Part Name],0)),0)</f>
        <v/>
      </c>
      <c r="AB13">
        <f>SUMPRODUCT((M_BOM[Part Name]=$A13)*M_BOM[RM_Qty_Per_Batch]*IFERROR(INDEX(PP_Grid[#Data],M_BOM[PPGridRow],28),0))+IFERROR(INDEX(M_RawMaterials[固定週次消費量_要入力],MATCH($A13,M_RawMaterials[Part Name],0)),0)</f>
        <v/>
      </c>
      <c r="AC13">
        <f>SUMPRODUCT((M_BOM[Part Name]=$A13)*M_BOM[RM_Qty_Per_Batch]*IFERROR(INDEX(PP_Grid[#Data],M_BOM[PPGridRow],29),0))+IFERROR(INDEX(M_RawMaterials[固定週次消費量_要入力],MATCH($A13,M_RawMaterials[Part Name],0)),0)</f>
        <v/>
      </c>
      <c r="AD13">
        <f>SUMPRODUCT((M_BOM[Part Name]=$A13)*M_BOM[RM_Qty_Per_Batch]*IFERROR(INDEX(PP_Grid[#Data],M_BOM[PPGridRow],30),0))+IFERROR(INDEX(M_RawMaterials[固定週次消費量_要入力],MATCH($A13,M_RawMaterials[Part Name],0)),0)</f>
        <v/>
      </c>
      <c r="AE13">
        <f>SUMPRODUCT((M_BOM[Part Name]=$A13)*M_BOM[RM_Qty_Per_Batch]*IFERROR(INDEX(PP_Grid[#Data],M_BOM[PPGridRow],31),0))+IFERROR(INDEX(M_RawMaterials[固定週次消費量_要入力],MATCH($A13,M_RawMaterials[Part Name],0)),0)</f>
        <v/>
      </c>
      <c r="AF13">
        <f>SUMPRODUCT((M_BOM[Part Name]=$A13)*M_BOM[RM_Qty_Per_Batch]*IFERROR(INDEX(PP_Grid[#Data],M_BOM[PPGridRow],32),0))+IFERROR(INDEX(M_RawMaterials[固定週次消費量_要入力],MATCH($A13,M_RawMaterials[Part Name],0)),0)</f>
        <v/>
      </c>
      <c r="AG13">
        <f>SUMPRODUCT((M_BOM[Part Name]=$A13)*M_BOM[RM_Qty_Per_Batch]*IFERROR(INDEX(PP_Grid[#Data],M_BOM[PPGridRow],33),0))+IFERROR(INDEX(M_RawMaterials[固定週次消費量_要入力],MATCH($A13,M_RawMaterials[Part Name],0)),0)</f>
        <v/>
      </c>
      <c r="AH13">
        <f>SUMPRODUCT((M_BOM[Part Name]=$A13)*M_BOM[RM_Qty_Per_Batch]*IFERROR(INDEX(PP_Grid[#Data],M_BOM[PPGridRow],34),0))+IFERROR(INDEX(M_RawMaterials[固定週次消費量_要入力],MATCH($A13,M_RawMaterials[Part Name],0)),0)</f>
        <v/>
      </c>
      <c r="AI13">
        <f>SUMPRODUCT((M_BOM[Part Name]=$A13)*M_BOM[RM_Qty_Per_Batch]*IFERROR(INDEX(PP_Grid[#Data],M_BOM[PPGridRow],35),0))+IFERROR(INDEX(M_RawMaterials[固定週次消費量_要入力],MATCH($A13,M_RawMaterials[Part Name],0)),0)</f>
        <v/>
      </c>
      <c r="AJ13">
        <f>SUMPRODUCT((M_BOM[Part Name]=$A13)*M_BOM[RM_Qty_Per_Batch]*IFERROR(INDEX(PP_Grid[#Data],M_BOM[PPGridRow],36),0))+IFERROR(INDEX(M_RawMaterials[固定週次消費量_要入力],MATCH($A13,M_RawMaterials[Part Name],0)),0)</f>
        <v/>
      </c>
      <c r="AK13">
        <f>SUMPRODUCT((M_BOM[Part Name]=$A13)*M_BOM[RM_Qty_Per_Batch]*IFERROR(INDEX(PP_Grid[#Data],M_BOM[PPGridRow],37),0))+IFERROR(INDEX(M_RawMaterials[固定週次消費量_要入力],MATCH($A13,M_RawMaterials[Part Name],0)),0)</f>
        <v/>
      </c>
      <c r="AL13">
        <f>SUMPRODUCT((M_BOM[Part Name]=$A13)*M_BOM[RM_Qty_Per_Batch]*IFERROR(INDEX(PP_Grid[#Data],M_BOM[PPGridRow],38),0))+IFERROR(INDEX(M_RawMaterials[固定週次消費量_要入力],MATCH($A13,M_RawMaterials[Part Name],0)),0)</f>
        <v/>
      </c>
      <c r="AM13">
        <f>SUMPRODUCT((M_BOM[Part Name]=$A13)*M_BOM[RM_Qty_Per_Batch]*IFERROR(INDEX(PP_Grid[#Data],M_BOM[PPGridRow],39),0))+IFERROR(INDEX(M_RawMaterials[固定週次消費量_要入力],MATCH($A13,M_RawMaterials[Part Name],0)),0)</f>
        <v/>
      </c>
      <c r="AN13">
        <f>SUMPRODUCT((M_BOM[Part Name]=$A13)*M_BOM[RM_Qty_Per_Batch]*IFERROR(INDEX(PP_Grid[#Data],M_BOM[PPGridRow],40),0))+IFERROR(INDEX(M_RawMaterials[固定週次消費量_要入力],MATCH($A13,M_RawMaterials[Part Name],0)),0)</f>
        <v/>
      </c>
      <c r="AO13">
        <f>SUMPRODUCT((M_BOM[Part Name]=$A13)*M_BOM[RM_Qty_Per_Batch]*IFERROR(INDEX(PP_Grid[#Data],M_BOM[PPGridRow],41),0))+IFERROR(INDEX(M_RawMaterials[固定週次消費量_要入力],MATCH($A13,M_RawMaterials[Part Name],0)),0)</f>
        <v/>
      </c>
      <c r="AP13">
        <f>SUMPRODUCT((M_BOM[Part Name]=$A13)*M_BOM[RM_Qty_Per_Batch]*IFERROR(INDEX(PP_Grid[#Data],M_BOM[PPGridRow],42),0))+IFERROR(INDEX(M_RawMaterials[固定週次消費量_要入力],MATCH($A13,M_RawMaterials[Part Name],0)),0)</f>
        <v/>
      </c>
      <c r="AQ13">
        <f>SUMPRODUCT((M_BOM[Part Name]=$A13)*M_BOM[RM_Qty_Per_Batch]*IFERROR(INDEX(PP_Grid[#Data],M_BOM[PPGridRow],43),0))+IFERROR(INDEX(M_RawMaterials[固定週次消費量_要入力],MATCH($A13,M_RawMaterials[Part Name],0)),0)</f>
        <v/>
      </c>
      <c r="AR13">
        <f>SUMPRODUCT((M_BOM[Part Name]=$A13)*M_BOM[RM_Qty_Per_Batch]*IFERROR(INDEX(PP_Grid[#Data],M_BOM[PPGridRow],44),0))+IFERROR(INDEX(M_RawMaterials[固定週次消費量_要入力],MATCH($A13,M_RawMaterials[Part Name],0)),0)</f>
        <v/>
      </c>
      <c r="AS13">
        <f>SUMPRODUCT((M_BOM[Part Name]=$A13)*M_BOM[RM_Qty_Per_Batch]*IFERROR(INDEX(PP_Grid[#Data],M_BOM[PPGridRow],45),0))+IFERROR(INDEX(M_RawMaterials[固定週次消費量_要入力],MATCH($A13,M_RawMaterials[Part Name],0)),0)</f>
        <v/>
      </c>
      <c r="AT13">
        <f>SUMPRODUCT((M_BOM[Part Name]=$A13)*M_BOM[RM_Qty_Per_Batch]*IFERROR(INDEX(PP_Grid[#Data],M_BOM[PPGridRow],46),0))+IFERROR(INDEX(M_RawMaterials[固定週次消費量_要入力],MATCH($A13,M_RawMaterials[Part Name],0)),0)</f>
        <v/>
      </c>
      <c r="AU13">
        <f>SUMPRODUCT((M_BOM[Part Name]=$A13)*M_BOM[RM_Qty_Per_Batch]*IFERROR(INDEX(PP_Grid[#Data],M_BOM[PPGridRow],47),0))+IFERROR(INDEX(M_RawMaterials[固定週次消費量_要入力],MATCH($A13,M_RawMaterials[Part Name],0)),0)</f>
        <v/>
      </c>
      <c r="AV13">
        <f>SUMPRODUCT((M_BOM[Part Name]=$A13)*M_BOM[RM_Qty_Per_Batch]*IFERROR(INDEX(PP_Grid[#Data],M_BOM[PPGridRow],48),0))+IFERROR(INDEX(M_RawMaterials[固定週次消費量_要入力],MATCH($A13,M_RawMaterials[Part Name],0)),0)</f>
        <v/>
      </c>
      <c r="AW13">
        <f>SUMPRODUCT((M_BOM[Part Name]=$A13)*M_BOM[RM_Qty_Per_Batch]*IFERROR(INDEX(PP_Grid[#Data],M_BOM[PPGridRow],49),0))+IFERROR(INDEX(M_RawMaterials[固定週次消費量_要入力],MATCH($A13,M_RawMaterials[Part Name],0)),0)</f>
        <v/>
      </c>
      <c r="AX13">
        <f>SUMPRODUCT((M_BOM[Part Name]=$A13)*M_BOM[RM_Qty_Per_Batch]*IFERROR(INDEX(PP_Grid[#Data],M_BOM[PPGridRow],50),0))+IFERROR(INDEX(M_RawMaterials[固定週次消費量_要入力],MATCH($A13,M_RawMaterials[Part Name],0)),0)</f>
        <v/>
      </c>
      <c r="AY13">
        <f>SUMPRODUCT((M_BOM[Part Name]=$A13)*M_BOM[RM_Qty_Per_Batch]*IFERROR(INDEX(PP_Grid[#Data],M_BOM[PPGridRow],51),0))+IFERROR(INDEX(M_RawMaterials[固定週次消費量_要入力],MATCH($A13,M_RawMaterials[Part Name],0)),0)</f>
        <v/>
      </c>
      <c r="AZ13">
        <f>SUMPRODUCT((M_BOM[Part Name]=$A13)*M_BOM[RM_Qty_Per_Batch]*IFERROR(INDEX(PP_Grid[#Data],M_BOM[PPGridRow],52),0))+IFERROR(INDEX(M_RawMaterials[固定週次消費量_要入力],MATCH($A13,M_RawMaterials[Part Name],0)),0)</f>
        <v/>
      </c>
      <c r="BA13">
        <f>SUMPRODUCT((M_BOM[Part Name]=$A13)*M_BOM[RM_Qty_Per_Batch]*IFERROR(INDEX(PP_Grid[#Data],M_BOM[PPGridRow],53),0))+IFERROR(INDEX(M_RawMaterials[固定週次消費量_要入力],MATCH($A13,M_RawMaterials[Part Name],0)),0)</f>
        <v/>
      </c>
      <c r="BB13">
        <f>SUMPRODUCT((M_BOM[Part Name]=$A13)*M_BOM[RM_Qty_Per_Batch]*IFERROR(INDEX(PP_Grid[#Data],M_BOM[PPGridRow],54),0))+IFERROR(INDEX(M_RawMaterials[固定週次消費量_要入力],MATCH($A13,M_RawMaterials[Part Name],0)),0)</f>
        <v/>
      </c>
      <c r="BC13">
        <f>SUMPRODUCT((M_BOM[Part Name]=$A13)*M_BOM[RM_Qty_Per_Batch]*IFERROR(INDEX(PP_Grid[#Data],M_BOM[PPGridRow],55),0))+IFERROR(INDEX(M_RawMaterials[固定週次消費量_要入力],MATCH($A13,M_RawMaterials[Part Name],0)),0)</f>
        <v/>
      </c>
      <c r="BD13">
        <f>SUMPRODUCT((M_BOM[Part Name]=$A13)*M_BOM[RM_Qty_Per_Batch]*IFERROR(INDEX(PP_Grid[#Data],M_BOM[PPGridRow],56),0))+IFERROR(INDEX(M_RawMaterials[固定週次消費量_要入力],MATCH($A13,M_RawMaterials[Part Name],0)),0)</f>
        <v/>
      </c>
      <c r="BE13">
        <f>SUMPRODUCT((M_BOM[Part Name]=$A13)*M_BOM[RM_Qty_Per_Batch]*IFERROR(INDEX(PP_Grid[#Data],M_BOM[PPGridRow],57),0))+IFERROR(INDEX(M_RawMaterials[固定週次消費量_要入力],MATCH($A13,M_RawMaterials[Part Name],0)),0)</f>
        <v/>
      </c>
      <c r="BF13">
        <f>SUMPRODUCT((M_BOM[Part Name]=$A13)*M_BOM[RM_Qty_Per_Batch]*IFERROR(INDEX(PP_Grid[#Data],M_BOM[PPGridRow],58),0))+IFERROR(INDEX(M_RawMaterials[固定週次消費量_要入力],MATCH($A13,M_RawMaterials[Part Name],0)),0)</f>
        <v/>
      </c>
      <c r="BG13">
        <f>SUMPRODUCT((M_BOM[Part Name]=$A13)*M_BOM[RM_Qty_Per_Batch]*IFERROR(INDEX(PP_Grid[#Data],M_BOM[PPGridRow],59),0))+IFERROR(INDEX(M_RawMaterials[固定週次消費量_要入力],MATCH($A13,M_RawMaterials[Part Name],0)),0)</f>
        <v/>
      </c>
      <c r="BH13">
        <f>SUMPRODUCT((M_BOM[Part Name]=$A13)*M_BOM[RM_Qty_Per_Batch]*IFERROR(INDEX(PP_Grid[#Data],M_BOM[PPGridRow],60),0))+IFERROR(INDEX(M_RawMaterials[固定週次消費量_要入力],MATCH($A13,M_RawMaterials[Part Name],0)),0)</f>
        <v/>
      </c>
      <c r="BI13">
        <f>SUMPRODUCT((M_BOM[Part Name]=$A13)*M_BOM[RM_Qty_Per_Batch]*IFERROR(INDEX(PP_Grid[#Data],M_BOM[PPGridRow],61),0))+IFERROR(INDEX(M_RawMaterials[固定週次消費量_要入力],MATCH($A13,M_RawMaterials[Part Name],0)),0)</f>
        <v/>
      </c>
      <c r="BJ13">
        <f>SUMPRODUCT((M_BOM[Part Name]=$A13)*M_BOM[RM_Qty_Per_Batch]*IFERROR(INDEX(PP_Grid[#Data],M_BOM[PPGridRow],62),0))+IFERROR(INDEX(M_RawMaterials[固定週次消費量_要入力],MATCH($A13,M_RawMaterials[Part Name],0)),0)</f>
        <v/>
      </c>
      <c r="BK13">
        <f>SUMPRODUCT((M_BOM[Part Name]=$A13)*M_BOM[RM_Qty_Per_Batch]*IFERROR(INDEX(PP_Grid[#Data],M_BOM[PPGridRow],63),0))+IFERROR(INDEX(M_RawMaterials[固定週次消費量_要入力],MATCH($A13,M_RawMaterials[Part Name],0)),0)</f>
        <v/>
      </c>
      <c r="BL13">
        <f>SUMPRODUCT((M_BOM[Part Name]=$A13)*M_BOM[RM_Qty_Per_Batch]*IFERROR(INDEX(PP_Grid[#Data],M_BOM[PPGridRow],64),0))+IFERROR(INDEX(M_RawMaterials[固定週次消費量_要入力],MATCH($A13,M_RawMaterials[Part Name],0)),0)</f>
        <v/>
      </c>
      <c r="BM13">
        <f>SUMPRODUCT((M_BOM[Part Name]=$A13)*M_BOM[RM_Qty_Per_Batch]*IFERROR(INDEX(PP_Grid[#Data],M_BOM[PPGridRow],65),0))+IFERROR(INDEX(M_RawMaterials[固定週次消費量_要入力],MATCH($A13,M_RawMaterials[Part Name],0)),0)</f>
        <v/>
      </c>
      <c r="BN13">
        <f>SUMPRODUCT((M_BOM[Part Name]=$A13)*M_BOM[RM_Qty_Per_Batch]*IFERROR(INDEX(PP_Grid[#Data],M_BOM[PPGridRow],66),0))+IFERROR(INDEX(M_RawMaterials[固定週次消費量_要入力],MATCH($A13,M_RawMaterials[Part Name],0)),0)</f>
        <v/>
      </c>
      <c r="BO13">
        <f>SUMPRODUCT((M_BOM[Part Name]=$A13)*M_BOM[RM_Qty_Per_Batch]*IFERROR(INDEX(PP_Grid[#Data],M_BOM[PPGridRow],67),0))+IFERROR(INDEX(M_RawMaterials[固定週次消費量_要入力],MATCH($A13,M_RawMaterials[Part Name],0)),0)</f>
        <v/>
      </c>
      <c r="BP13">
        <f>SUMPRODUCT((M_BOM[Part Name]=$A13)*M_BOM[RM_Qty_Per_Batch]*IFERROR(INDEX(PP_Grid[#Data],M_BOM[PPGridRow],68),0))+IFERROR(INDEX(M_RawMaterials[固定週次消費量_要入力],MATCH($A13,M_RawMaterials[Part Name],0)),0)</f>
        <v/>
      </c>
      <c r="BQ13">
        <f>SUMPRODUCT((M_BOM[Part Name]=$A13)*M_BOM[RM_Qty_Per_Batch]*IFERROR(INDEX(PP_Grid[#Data],M_BOM[PPGridRow],69),0))+IFERROR(INDEX(M_RawMaterials[固定週次消費量_要入力],MATCH($A13,M_RawMaterials[Part Name],0)),0)</f>
        <v/>
      </c>
      <c r="BR13">
        <f>SUMPRODUCT((M_BOM[Part Name]=$A13)*M_BOM[RM_Qty_Per_Batch]*IFERROR(INDEX(PP_Grid[#Data],M_BOM[PPGridRow],70),0))+IFERROR(INDEX(M_RawMaterials[固定週次消費量_要入力],MATCH($A13,M_RawMaterials[Part Name],0)),0)</f>
        <v/>
      </c>
      <c r="BS13">
        <f>SUMPRODUCT((M_BOM[Part Name]=$A13)*M_BOM[RM_Qty_Per_Batch]*IFERROR(INDEX(PP_Grid[#Data],M_BOM[PPGridRow],71),0))+IFERROR(INDEX(M_RawMaterials[固定週次消費量_要入力],MATCH($A13,M_RawMaterials[Part Name],0)),0)</f>
        <v/>
      </c>
      <c r="BT13">
        <f>SUMPRODUCT((M_BOM[Part Name]=$A13)*M_BOM[RM_Qty_Per_Batch]*IFERROR(INDEX(PP_Grid[#Data],M_BOM[PPGridRow],72),0))+IFERROR(INDEX(M_RawMaterials[固定週次消費量_要入力],MATCH($A13,M_RawMaterials[Part Name],0)),0)</f>
        <v/>
      </c>
      <c r="BU13">
        <f>SUMPRODUCT((M_BOM[Part Name]=$A13)*M_BOM[RM_Qty_Per_Batch]*IFERROR(INDEX(PP_Grid[#Data],M_BOM[PPGridRow],73),0))+IFERROR(INDEX(M_RawMaterials[固定週次消費量_要入力],MATCH($A13,M_RawMaterials[Part Name],0)),0)</f>
        <v/>
      </c>
      <c r="BV13">
        <f>SUMPRODUCT((M_BOM[Part Name]=$A13)*M_BOM[RM_Qty_Per_Batch]*IFERROR(INDEX(PP_Grid[#Data],M_BOM[PPGridRow],74),0))+IFERROR(INDEX(M_RawMaterials[固定週次消費量_要入力],MATCH($A13,M_RawMaterials[Part Name],0)),0)</f>
        <v/>
      </c>
      <c r="BW13">
        <f>SUMPRODUCT((M_BOM[Part Name]=$A13)*M_BOM[RM_Qty_Per_Batch]*IFERROR(INDEX(PP_Grid[#Data],M_BOM[PPGridRow],75),0))+IFERROR(INDEX(M_RawMaterials[固定週次消費量_要入力],MATCH($A13,M_RawMaterials[Part Name],0)),0)</f>
        <v/>
      </c>
      <c r="BX13">
        <f>SUMPRODUCT((M_BOM[Part Name]=$A13)*M_BOM[RM_Qty_Per_Batch]*IFERROR(INDEX(PP_Grid[#Data],M_BOM[PPGridRow],76),0))+IFERROR(INDEX(M_RawMaterials[固定週次消費量_要入力],MATCH($A13,M_RawMaterials[Part Name],0)),0)</f>
        <v/>
      </c>
      <c r="BY13">
        <f>SUMPRODUCT((M_BOM[Part Name]=$A13)*M_BOM[RM_Qty_Per_Batch]*IFERROR(INDEX(PP_Grid[#Data],M_BOM[PPGridRow],77),0))+IFERROR(INDEX(M_RawMaterials[固定週次消費量_要入力],MATCH($A13,M_RawMaterials[Part Name],0)),0)</f>
        <v/>
      </c>
      <c r="BZ13">
        <f>SUMPRODUCT((M_BOM[Part Name]=$A13)*M_BOM[RM_Qty_Per_Batch]*IFERROR(INDEX(PP_Grid[#Data],M_BOM[PPGridRow],78),0))+IFERROR(INDEX(M_RawMaterials[固定週次消費量_要入力],MATCH($A13,M_RawMaterials[Part Name],0)),0)</f>
        <v/>
      </c>
      <c r="CA13">
        <f>SUMPRODUCT((M_BOM[Part Name]=$A13)*M_BOM[RM_Qty_Per_Batch]*IFERROR(INDEX(PP_Grid[#Data],M_BOM[PPGridRow],79),0))+IFERROR(INDEX(M_RawMaterials[固定週次消費量_要入力],MATCH($A13,M_RawMaterials[Part Name],0)),0)</f>
        <v/>
      </c>
      <c r="CB13">
        <f>SUMPRODUCT((M_BOM[Part Name]=$A13)*M_BOM[RM_Qty_Per_Batch]*IFERROR(INDEX(PP_Grid[#Data],M_BOM[PPGridRow],80),0))+IFERROR(INDEX(M_RawMaterials[固定週次消費量_要入力],MATCH($A13,M_RawMaterials[Part Name],0)),0)</f>
        <v/>
      </c>
      <c r="CC13">
        <f>SUMPRODUCT((M_BOM[Part Name]=$A13)*M_BOM[RM_Qty_Per_Batch]*IFERROR(INDEX(PP_Grid[#Data],M_BOM[PPGridRow],81),0))+IFERROR(INDEX(M_RawMaterials[固定週次消費量_要入力],MATCH($A13,M_RawMaterials[Part Name],0)),0)</f>
        <v/>
      </c>
      <c r="CD13">
        <f>SUMPRODUCT((M_BOM[Part Name]=$A13)*M_BOM[RM_Qty_Per_Batch]*IFERROR(INDEX(PP_Grid[#Data],M_BOM[PPGridRow],82),0))+IFERROR(INDEX(M_RawMaterials[固定週次消費量_要入力],MATCH($A13,M_RawMaterials[Part Name],0)),0)</f>
        <v/>
      </c>
      <c r="CE13">
        <f>SUMPRODUCT((M_BOM[Part Name]=$A13)*M_BOM[RM_Qty_Per_Batch]*IFERROR(INDEX(PP_Grid[#Data],M_BOM[PPGridRow],83),0))+IFERROR(INDEX(M_RawMaterials[固定週次消費量_要入力],MATCH($A13,M_RawMaterials[Part Name],0)),0)</f>
        <v/>
      </c>
      <c r="CF13">
        <f>SUMPRODUCT((M_BOM[Part Name]=$A13)*M_BOM[RM_Qty_Per_Batch]*IFERROR(INDEX(PP_Grid[#Data],M_BOM[PPGridRow],84),0))+IFERROR(INDEX(M_RawMaterials[固定週次消費量_要入力],MATCH($A13,M_RawMaterials[Part Name],0)),0)</f>
        <v/>
      </c>
      <c r="CG13">
        <f>SUMPRODUCT((M_BOM[Part Name]=$A13)*M_BOM[RM_Qty_Per_Batch]*IFERROR(INDEX(PP_Grid[#Data],M_BOM[PPGridRow],85),0))+IFERROR(INDEX(M_RawMaterials[固定週次消費量_要入力],MATCH($A13,M_RawMaterials[Part Name],0)),0)</f>
        <v/>
      </c>
      <c r="CH13">
        <f>SUMPRODUCT((M_BOM[Part Name]=$A13)*M_BOM[RM_Qty_Per_Batch]*IFERROR(INDEX(PP_Grid[#Data],M_BOM[PPGridRow],86),0))+IFERROR(INDEX(M_RawMaterials[固定週次消費量_要入力],MATCH($A13,M_RawMaterials[Part Name],0)),0)</f>
        <v/>
      </c>
      <c r="CI13">
        <f>SUMPRODUCT((M_BOM[Part Name]=$A13)*M_BOM[RM_Qty_Per_Batch]*IFERROR(INDEX(PP_Grid[#Data],M_BOM[PPGridRow],87),0))+IFERROR(INDEX(M_RawMaterials[固定週次消費量_要入力],MATCH($A13,M_RawMaterials[Part Name],0)),0)</f>
        <v/>
      </c>
      <c r="CJ13">
        <f>SUMPRODUCT((M_BOM[Part Name]=$A13)*M_BOM[RM_Qty_Per_Batch]*IFERROR(INDEX(PP_Grid[#Data],M_BOM[PPGridRow],88),0))+IFERROR(INDEX(M_RawMaterials[固定週次消費量_要入力],MATCH($A13,M_RawMaterials[Part Name],0)),0)</f>
        <v/>
      </c>
      <c r="CK13">
        <f>SUMPRODUCT((M_BOM[Part Name]=$A13)*M_BOM[RM_Qty_Per_Batch]*IFERROR(INDEX(PP_Grid[#Data],M_BOM[PPGridRow],89),0))+IFERROR(INDEX(M_RawMaterials[固定週次消費量_要入力],MATCH($A13,M_RawMaterials[Part Name],0)),0)</f>
        <v/>
      </c>
      <c r="CL13">
        <f>SUMPRODUCT((M_BOM[Part Name]=$A13)*M_BOM[RM_Qty_Per_Batch]*IFERROR(INDEX(PP_Grid[#Data],M_BOM[PPGridRow],90),0))+IFERROR(INDEX(M_RawMaterials[固定週次消費量_要入力],MATCH($A13,M_RawMaterials[Part Name],0)),0)</f>
        <v/>
      </c>
      <c r="CM13">
        <f>SUMPRODUCT((M_BOM[Part Name]=$A13)*M_BOM[RM_Qty_Per_Batch]*IFERROR(INDEX(PP_Grid[#Data],M_BOM[PPGridRow],91),0))+IFERROR(INDEX(M_RawMaterials[固定週次消費量_要入力],MATCH($A13,M_RawMaterials[Part Name],0)),0)</f>
        <v/>
      </c>
      <c r="CN13">
        <f>SUMPRODUCT((M_BOM[Part Name]=$A13)*M_BOM[RM_Qty_Per_Batch]*IFERROR(INDEX(PP_Grid[#Data],M_BOM[PPGridRow],92),0))+IFERROR(INDEX(M_RawMaterials[固定週次消費量_要入力],MATCH($A13,M_RawMaterials[Part Name],0)),0)</f>
        <v/>
      </c>
      <c r="CO13">
        <f>SUMPRODUCT((M_BOM[Part Name]=$A13)*M_BOM[RM_Qty_Per_Batch]*IFERROR(INDEX(PP_Grid[#Data],M_BOM[PPGridRow],93),0))+IFERROR(INDEX(M_RawMaterials[固定週次消費量_要入力],MATCH($A13,M_RawMaterials[Part Name],0)),0)</f>
        <v/>
      </c>
      <c r="CP13">
        <f>SUMPRODUCT((M_BOM[Part Name]=$A13)*M_BOM[RM_Qty_Per_Batch]*IFERROR(INDEX(PP_Grid[#Data],M_BOM[PPGridRow],94),0))+IFERROR(INDEX(M_RawMaterials[固定週次消費量_要入力],MATCH($A13,M_RawMaterials[Part Name],0)),0)</f>
        <v/>
      </c>
      <c r="CQ13">
        <f>SUMPRODUCT((M_BOM[Part Name]=$A13)*M_BOM[RM_Qty_Per_Batch]*IFERROR(INDEX(PP_Grid[#Data],M_BOM[PPGridRow],95),0))+IFERROR(INDEX(M_RawMaterials[固定週次消費量_要入力],MATCH($A13,M_RawMaterials[Part Name],0)),0)</f>
        <v/>
      </c>
      <c r="CR13">
        <f>SUMPRODUCT((M_BOM[Part Name]=$A13)*M_BOM[RM_Qty_Per_Batch]*IFERROR(INDEX(PP_Grid[#Data],M_BOM[PPGridRow],96),0))+IFERROR(INDEX(M_RawMaterials[固定週次消費量_要入力],MATCH($A13,M_RawMaterials[Part Name],0)),0)</f>
        <v/>
      </c>
      <c r="CS13">
        <f>SUMPRODUCT((M_BOM[Part Name]=$A13)*M_BOM[RM_Qty_Per_Batch]*IFERROR(INDEX(PP_Grid[#Data],M_BOM[PPGridRow],97),0))+IFERROR(INDEX(M_RawMaterials[固定週次消費量_要入力],MATCH($A13,M_RawMaterials[Part Name],0)),0)</f>
        <v/>
      </c>
      <c r="CT13">
        <f>SUMPRODUCT((M_BOM[Part Name]=$A13)*M_BOM[RM_Qty_Per_Batch]*IFERROR(INDEX(PP_Grid[#Data],M_BOM[PPGridRow],98),0))+IFERROR(INDEX(M_RawMaterials[固定週次消費量_要入力],MATCH($A13,M_RawMaterials[Part Name],0)),0)</f>
        <v/>
      </c>
      <c r="CU13">
        <f>SUMPRODUCT((M_BOM[Part Name]=$A13)*M_BOM[RM_Qty_Per_Batch]*IFERROR(INDEX(PP_Grid[#Data],M_BOM[PPGridRow],99),0))+IFERROR(INDEX(M_RawMaterials[固定週次消費量_要入力],MATCH($A13,M_RawMaterials[Part Name],0)),0)</f>
        <v/>
      </c>
      <c r="CV13">
        <f>SUMPRODUCT((M_BOM[Part Name]=$A13)*M_BOM[RM_Qty_Per_Batch]*IFERROR(INDEX(PP_Grid[#Data],M_BOM[PPGridRow],100),0))+IFERROR(INDEX(M_RawMaterials[固定週次消費量_要入力],MATCH($A13,M_RawMaterials[Part Name],0)),0)</f>
        <v/>
      </c>
      <c r="CW13">
        <f>SUMPRODUCT((M_BOM[Part Name]=$A13)*M_BOM[RM_Qty_Per_Batch]*IFERROR(INDEX(PP_Grid[#Data],M_BOM[PPGridRow],101),0))+IFERROR(INDEX(M_RawMaterials[固定週次消費量_要入力],MATCH($A13,M_RawMaterials[Part Name],0)),0)</f>
        <v/>
      </c>
      <c r="CX13">
        <f>SUMPRODUCT((M_BOM[Part Name]=$A13)*M_BOM[RM_Qty_Per_Batch]*IFERROR(INDEX(PP_Grid[#Data],M_BOM[PPGridRow],102),0))+IFERROR(INDEX(M_RawMaterials[固定週次消費量_要入力],MATCH($A13,M_RawMaterials[Part Name],0)),0)</f>
        <v/>
      </c>
      <c r="CY13">
        <f>SUMPRODUCT((M_BOM[Part Name]=$A13)*M_BOM[RM_Qty_Per_Batch]*IFERROR(INDEX(PP_Grid[#Data],M_BOM[PPGridRow],103),0))+IFERROR(INDEX(M_RawMaterials[固定週次消費量_要入力],MATCH($A13,M_RawMaterials[Part Name],0)),0)</f>
        <v/>
      </c>
      <c r="CZ13">
        <f>SUMPRODUCT((M_BOM[Part Name]=$A13)*M_BOM[RM_Qty_Per_Batch]*IFERROR(INDEX(PP_Grid[#Data],M_BOM[PPGridRow],104),0))+IFERROR(INDEX(M_RawMaterials[固定週次消費量_要入力],MATCH($A13,M_RawMaterials[Part Name],0)),0)</f>
        <v/>
      </c>
      <c r="DA13">
        <f>SUMPRODUCT((M_BOM[Part Name]=$A13)*M_BOM[RM_Qty_Per_Batch]*IFERROR(INDEX(PP_Grid[#Data],M_BOM[PPGridRow],105),0))+IFERROR(INDEX(M_RawMaterials[固定週次消費量_要入力],MATCH($A13,M_RawMaterials[Part Name],0)),0)</f>
        <v/>
      </c>
    </row>
    <row r="14">
      <c r="A14" t="inlineStr">
        <is>
          <t>OLJ</t>
        </is>
      </c>
      <c r="B14">
        <f>SUMPRODUCT((M_BOM[Part Name]=$A14)*M_BOM[RM_Qty_Per_Batch]*IFERROR(INDEX(PP_Grid[#Data],M_BOM[PPGridRow],2),0))+IFERROR(INDEX(M_RawMaterials[固定週次消費量_要入力],MATCH($A14,M_RawMaterials[Part Name],0)),0)</f>
        <v/>
      </c>
      <c r="C14">
        <f>SUMPRODUCT((M_BOM[Part Name]=$A14)*M_BOM[RM_Qty_Per_Batch]*IFERROR(INDEX(PP_Grid[#Data],M_BOM[PPGridRow],3),0))+IFERROR(INDEX(M_RawMaterials[固定週次消費量_要入力],MATCH($A14,M_RawMaterials[Part Name],0)),0)</f>
        <v/>
      </c>
      <c r="D14">
        <f>SUMPRODUCT((M_BOM[Part Name]=$A14)*M_BOM[RM_Qty_Per_Batch]*IFERROR(INDEX(PP_Grid[#Data],M_BOM[PPGridRow],4),0))+IFERROR(INDEX(M_RawMaterials[固定週次消費量_要入力],MATCH($A14,M_RawMaterials[Part Name],0)),0)</f>
        <v/>
      </c>
      <c r="E14">
        <f>SUMPRODUCT((M_BOM[Part Name]=$A14)*M_BOM[RM_Qty_Per_Batch]*IFERROR(INDEX(PP_Grid[#Data],M_BOM[PPGridRow],5),0))+IFERROR(INDEX(M_RawMaterials[固定週次消費量_要入力],MATCH($A14,M_RawMaterials[Part Name],0)),0)</f>
        <v/>
      </c>
      <c r="F14">
        <f>SUMPRODUCT((M_BOM[Part Name]=$A14)*M_BOM[RM_Qty_Per_Batch]*IFERROR(INDEX(PP_Grid[#Data],M_BOM[PPGridRow],6),0))+IFERROR(INDEX(M_RawMaterials[固定週次消費量_要入力],MATCH($A14,M_RawMaterials[Part Name],0)),0)</f>
        <v/>
      </c>
      <c r="G14">
        <f>SUMPRODUCT((M_BOM[Part Name]=$A14)*M_BOM[RM_Qty_Per_Batch]*IFERROR(INDEX(PP_Grid[#Data],M_BOM[PPGridRow],7),0))+IFERROR(INDEX(M_RawMaterials[固定週次消費量_要入力],MATCH($A14,M_RawMaterials[Part Name],0)),0)</f>
        <v/>
      </c>
      <c r="H14">
        <f>SUMPRODUCT((M_BOM[Part Name]=$A14)*M_BOM[RM_Qty_Per_Batch]*IFERROR(INDEX(PP_Grid[#Data],M_BOM[PPGridRow],8),0))+IFERROR(INDEX(M_RawMaterials[固定週次消費量_要入力],MATCH($A14,M_RawMaterials[Part Name],0)),0)</f>
        <v/>
      </c>
      <c r="I14">
        <f>SUMPRODUCT((M_BOM[Part Name]=$A14)*M_BOM[RM_Qty_Per_Batch]*IFERROR(INDEX(PP_Grid[#Data],M_BOM[PPGridRow],9),0))+IFERROR(INDEX(M_RawMaterials[固定週次消費量_要入力],MATCH($A14,M_RawMaterials[Part Name],0)),0)</f>
        <v/>
      </c>
      <c r="J14">
        <f>SUMPRODUCT((M_BOM[Part Name]=$A14)*M_BOM[RM_Qty_Per_Batch]*IFERROR(INDEX(PP_Grid[#Data],M_BOM[PPGridRow],10),0))+IFERROR(INDEX(M_RawMaterials[固定週次消費量_要入力],MATCH($A14,M_RawMaterials[Part Name],0)),0)</f>
        <v/>
      </c>
      <c r="K14">
        <f>SUMPRODUCT((M_BOM[Part Name]=$A14)*M_BOM[RM_Qty_Per_Batch]*IFERROR(INDEX(PP_Grid[#Data],M_BOM[PPGridRow],11),0))+IFERROR(INDEX(M_RawMaterials[固定週次消費量_要入力],MATCH($A14,M_RawMaterials[Part Name],0)),0)</f>
        <v/>
      </c>
      <c r="L14">
        <f>SUMPRODUCT((M_BOM[Part Name]=$A14)*M_BOM[RM_Qty_Per_Batch]*IFERROR(INDEX(PP_Grid[#Data],M_BOM[PPGridRow],12),0))+IFERROR(INDEX(M_RawMaterials[固定週次消費量_要入力],MATCH($A14,M_RawMaterials[Part Name],0)),0)</f>
        <v/>
      </c>
      <c r="M14">
        <f>SUMPRODUCT((M_BOM[Part Name]=$A14)*M_BOM[RM_Qty_Per_Batch]*IFERROR(INDEX(PP_Grid[#Data],M_BOM[PPGridRow],13),0))+IFERROR(INDEX(M_RawMaterials[固定週次消費量_要入力],MATCH($A14,M_RawMaterials[Part Name],0)),0)</f>
        <v/>
      </c>
      <c r="N14">
        <f>SUMPRODUCT((M_BOM[Part Name]=$A14)*M_BOM[RM_Qty_Per_Batch]*IFERROR(INDEX(PP_Grid[#Data],M_BOM[PPGridRow],14),0))+IFERROR(INDEX(M_RawMaterials[固定週次消費量_要入力],MATCH($A14,M_RawMaterials[Part Name],0)),0)</f>
        <v/>
      </c>
      <c r="O14">
        <f>SUMPRODUCT((M_BOM[Part Name]=$A14)*M_BOM[RM_Qty_Per_Batch]*IFERROR(INDEX(PP_Grid[#Data],M_BOM[PPGridRow],15),0))+IFERROR(INDEX(M_RawMaterials[固定週次消費量_要入力],MATCH($A14,M_RawMaterials[Part Name],0)),0)</f>
        <v/>
      </c>
      <c r="P14">
        <f>SUMPRODUCT((M_BOM[Part Name]=$A14)*M_BOM[RM_Qty_Per_Batch]*IFERROR(INDEX(PP_Grid[#Data],M_BOM[PPGridRow],16),0))+IFERROR(INDEX(M_RawMaterials[固定週次消費量_要入力],MATCH($A14,M_RawMaterials[Part Name],0)),0)</f>
        <v/>
      </c>
      <c r="Q14">
        <f>SUMPRODUCT((M_BOM[Part Name]=$A14)*M_BOM[RM_Qty_Per_Batch]*IFERROR(INDEX(PP_Grid[#Data],M_BOM[PPGridRow],17),0))+IFERROR(INDEX(M_RawMaterials[固定週次消費量_要入力],MATCH($A14,M_RawMaterials[Part Name],0)),0)</f>
        <v/>
      </c>
      <c r="R14">
        <f>SUMPRODUCT((M_BOM[Part Name]=$A14)*M_BOM[RM_Qty_Per_Batch]*IFERROR(INDEX(PP_Grid[#Data],M_BOM[PPGridRow],18),0))+IFERROR(INDEX(M_RawMaterials[固定週次消費量_要入力],MATCH($A14,M_RawMaterials[Part Name],0)),0)</f>
        <v/>
      </c>
      <c r="S14">
        <f>SUMPRODUCT((M_BOM[Part Name]=$A14)*M_BOM[RM_Qty_Per_Batch]*IFERROR(INDEX(PP_Grid[#Data],M_BOM[PPGridRow],19),0))+IFERROR(INDEX(M_RawMaterials[固定週次消費量_要入力],MATCH($A14,M_RawMaterials[Part Name],0)),0)</f>
        <v/>
      </c>
      <c r="T14">
        <f>SUMPRODUCT((M_BOM[Part Name]=$A14)*M_BOM[RM_Qty_Per_Batch]*IFERROR(INDEX(PP_Grid[#Data],M_BOM[PPGridRow],20),0))+IFERROR(INDEX(M_RawMaterials[固定週次消費量_要入力],MATCH($A14,M_RawMaterials[Part Name],0)),0)</f>
        <v/>
      </c>
      <c r="U14">
        <f>SUMPRODUCT((M_BOM[Part Name]=$A14)*M_BOM[RM_Qty_Per_Batch]*IFERROR(INDEX(PP_Grid[#Data],M_BOM[PPGridRow],21),0))+IFERROR(INDEX(M_RawMaterials[固定週次消費量_要入力],MATCH($A14,M_RawMaterials[Part Name],0)),0)</f>
        <v/>
      </c>
      <c r="V14">
        <f>SUMPRODUCT((M_BOM[Part Name]=$A14)*M_BOM[RM_Qty_Per_Batch]*IFERROR(INDEX(PP_Grid[#Data],M_BOM[PPGridRow],22),0))+IFERROR(INDEX(M_RawMaterials[固定週次消費量_要入力],MATCH($A14,M_RawMaterials[Part Name],0)),0)</f>
        <v/>
      </c>
      <c r="W14">
        <f>SUMPRODUCT((M_BOM[Part Name]=$A14)*M_BOM[RM_Qty_Per_Batch]*IFERROR(INDEX(PP_Grid[#Data],M_BOM[PPGridRow],23),0))+IFERROR(INDEX(M_RawMaterials[固定週次消費量_要入力],MATCH($A14,M_RawMaterials[Part Name],0)),0)</f>
        <v/>
      </c>
      <c r="X14">
        <f>SUMPRODUCT((M_BOM[Part Name]=$A14)*M_BOM[RM_Qty_Per_Batch]*IFERROR(INDEX(PP_Grid[#Data],M_BOM[PPGridRow],24),0))+IFERROR(INDEX(M_RawMaterials[固定週次消費量_要入力],MATCH($A14,M_RawMaterials[Part Name],0)),0)</f>
        <v/>
      </c>
      <c r="Y14">
        <f>SUMPRODUCT((M_BOM[Part Name]=$A14)*M_BOM[RM_Qty_Per_Batch]*IFERROR(INDEX(PP_Grid[#Data],M_BOM[PPGridRow],25),0))+IFERROR(INDEX(M_RawMaterials[固定週次消費量_要入力],MATCH($A14,M_RawMaterials[Part Name],0)),0)</f>
        <v/>
      </c>
      <c r="Z14">
        <f>SUMPRODUCT((M_BOM[Part Name]=$A14)*M_BOM[RM_Qty_Per_Batch]*IFERROR(INDEX(PP_Grid[#Data],M_BOM[PPGridRow],26),0))+IFERROR(INDEX(M_RawMaterials[固定週次消費量_要入力],MATCH($A14,M_RawMaterials[Part Name],0)),0)</f>
        <v/>
      </c>
      <c r="AA14">
        <f>SUMPRODUCT((M_BOM[Part Name]=$A14)*M_BOM[RM_Qty_Per_Batch]*IFERROR(INDEX(PP_Grid[#Data],M_BOM[PPGridRow],27),0))+IFERROR(INDEX(M_RawMaterials[固定週次消費量_要入力],MATCH($A14,M_RawMaterials[Part Name],0)),0)</f>
        <v/>
      </c>
      <c r="AB14">
        <f>SUMPRODUCT((M_BOM[Part Name]=$A14)*M_BOM[RM_Qty_Per_Batch]*IFERROR(INDEX(PP_Grid[#Data],M_BOM[PPGridRow],28),0))+IFERROR(INDEX(M_RawMaterials[固定週次消費量_要入力],MATCH($A14,M_RawMaterials[Part Name],0)),0)</f>
        <v/>
      </c>
      <c r="AC14">
        <f>SUMPRODUCT((M_BOM[Part Name]=$A14)*M_BOM[RM_Qty_Per_Batch]*IFERROR(INDEX(PP_Grid[#Data],M_BOM[PPGridRow],29),0))+IFERROR(INDEX(M_RawMaterials[固定週次消費量_要入力],MATCH($A14,M_RawMaterials[Part Name],0)),0)</f>
        <v/>
      </c>
      <c r="AD14">
        <f>SUMPRODUCT((M_BOM[Part Name]=$A14)*M_BOM[RM_Qty_Per_Batch]*IFERROR(INDEX(PP_Grid[#Data],M_BOM[PPGridRow],30),0))+IFERROR(INDEX(M_RawMaterials[固定週次消費量_要入力],MATCH($A14,M_RawMaterials[Part Name],0)),0)</f>
        <v/>
      </c>
      <c r="AE14">
        <f>SUMPRODUCT((M_BOM[Part Name]=$A14)*M_BOM[RM_Qty_Per_Batch]*IFERROR(INDEX(PP_Grid[#Data],M_BOM[PPGridRow],31),0))+IFERROR(INDEX(M_RawMaterials[固定週次消費量_要入力],MATCH($A14,M_RawMaterials[Part Name],0)),0)</f>
        <v/>
      </c>
      <c r="AF14">
        <f>SUMPRODUCT((M_BOM[Part Name]=$A14)*M_BOM[RM_Qty_Per_Batch]*IFERROR(INDEX(PP_Grid[#Data],M_BOM[PPGridRow],32),0))+IFERROR(INDEX(M_RawMaterials[固定週次消費量_要入力],MATCH($A14,M_RawMaterials[Part Name],0)),0)</f>
        <v/>
      </c>
      <c r="AG14">
        <f>SUMPRODUCT((M_BOM[Part Name]=$A14)*M_BOM[RM_Qty_Per_Batch]*IFERROR(INDEX(PP_Grid[#Data],M_BOM[PPGridRow],33),0))+IFERROR(INDEX(M_RawMaterials[固定週次消費量_要入力],MATCH($A14,M_RawMaterials[Part Name],0)),0)</f>
        <v/>
      </c>
      <c r="AH14">
        <f>SUMPRODUCT((M_BOM[Part Name]=$A14)*M_BOM[RM_Qty_Per_Batch]*IFERROR(INDEX(PP_Grid[#Data],M_BOM[PPGridRow],34),0))+IFERROR(INDEX(M_RawMaterials[固定週次消費量_要入力],MATCH($A14,M_RawMaterials[Part Name],0)),0)</f>
        <v/>
      </c>
      <c r="AI14">
        <f>SUMPRODUCT((M_BOM[Part Name]=$A14)*M_BOM[RM_Qty_Per_Batch]*IFERROR(INDEX(PP_Grid[#Data],M_BOM[PPGridRow],35),0))+IFERROR(INDEX(M_RawMaterials[固定週次消費量_要入力],MATCH($A14,M_RawMaterials[Part Name],0)),0)</f>
        <v/>
      </c>
      <c r="AJ14">
        <f>SUMPRODUCT((M_BOM[Part Name]=$A14)*M_BOM[RM_Qty_Per_Batch]*IFERROR(INDEX(PP_Grid[#Data],M_BOM[PPGridRow],36),0))+IFERROR(INDEX(M_RawMaterials[固定週次消費量_要入力],MATCH($A14,M_RawMaterials[Part Name],0)),0)</f>
        <v/>
      </c>
      <c r="AK14">
        <f>SUMPRODUCT((M_BOM[Part Name]=$A14)*M_BOM[RM_Qty_Per_Batch]*IFERROR(INDEX(PP_Grid[#Data],M_BOM[PPGridRow],37),0))+IFERROR(INDEX(M_RawMaterials[固定週次消費量_要入力],MATCH($A14,M_RawMaterials[Part Name],0)),0)</f>
        <v/>
      </c>
      <c r="AL14">
        <f>SUMPRODUCT((M_BOM[Part Name]=$A14)*M_BOM[RM_Qty_Per_Batch]*IFERROR(INDEX(PP_Grid[#Data],M_BOM[PPGridRow],38),0))+IFERROR(INDEX(M_RawMaterials[固定週次消費量_要入力],MATCH($A14,M_RawMaterials[Part Name],0)),0)</f>
        <v/>
      </c>
      <c r="AM14">
        <f>SUMPRODUCT((M_BOM[Part Name]=$A14)*M_BOM[RM_Qty_Per_Batch]*IFERROR(INDEX(PP_Grid[#Data],M_BOM[PPGridRow],39),0))+IFERROR(INDEX(M_RawMaterials[固定週次消費量_要入力],MATCH($A14,M_RawMaterials[Part Name],0)),0)</f>
        <v/>
      </c>
      <c r="AN14">
        <f>SUMPRODUCT((M_BOM[Part Name]=$A14)*M_BOM[RM_Qty_Per_Batch]*IFERROR(INDEX(PP_Grid[#Data],M_BOM[PPGridRow],40),0))+IFERROR(INDEX(M_RawMaterials[固定週次消費量_要入力],MATCH($A14,M_RawMaterials[Part Name],0)),0)</f>
        <v/>
      </c>
      <c r="AO14">
        <f>SUMPRODUCT((M_BOM[Part Name]=$A14)*M_BOM[RM_Qty_Per_Batch]*IFERROR(INDEX(PP_Grid[#Data],M_BOM[PPGridRow],41),0))+IFERROR(INDEX(M_RawMaterials[固定週次消費量_要入力],MATCH($A14,M_RawMaterials[Part Name],0)),0)</f>
        <v/>
      </c>
      <c r="AP14">
        <f>SUMPRODUCT((M_BOM[Part Name]=$A14)*M_BOM[RM_Qty_Per_Batch]*IFERROR(INDEX(PP_Grid[#Data],M_BOM[PPGridRow],42),0))+IFERROR(INDEX(M_RawMaterials[固定週次消費量_要入力],MATCH($A14,M_RawMaterials[Part Name],0)),0)</f>
        <v/>
      </c>
      <c r="AQ14">
        <f>SUMPRODUCT((M_BOM[Part Name]=$A14)*M_BOM[RM_Qty_Per_Batch]*IFERROR(INDEX(PP_Grid[#Data],M_BOM[PPGridRow],43),0))+IFERROR(INDEX(M_RawMaterials[固定週次消費量_要入力],MATCH($A14,M_RawMaterials[Part Name],0)),0)</f>
        <v/>
      </c>
      <c r="AR14">
        <f>SUMPRODUCT((M_BOM[Part Name]=$A14)*M_BOM[RM_Qty_Per_Batch]*IFERROR(INDEX(PP_Grid[#Data],M_BOM[PPGridRow],44),0))+IFERROR(INDEX(M_RawMaterials[固定週次消費量_要入力],MATCH($A14,M_RawMaterials[Part Name],0)),0)</f>
        <v/>
      </c>
      <c r="AS14">
        <f>SUMPRODUCT((M_BOM[Part Name]=$A14)*M_BOM[RM_Qty_Per_Batch]*IFERROR(INDEX(PP_Grid[#Data],M_BOM[PPGridRow],45),0))+IFERROR(INDEX(M_RawMaterials[固定週次消費量_要入力],MATCH($A14,M_RawMaterials[Part Name],0)),0)</f>
        <v/>
      </c>
      <c r="AT14">
        <f>SUMPRODUCT((M_BOM[Part Name]=$A14)*M_BOM[RM_Qty_Per_Batch]*IFERROR(INDEX(PP_Grid[#Data],M_BOM[PPGridRow],46),0))+IFERROR(INDEX(M_RawMaterials[固定週次消費量_要入力],MATCH($A14,M_RawMaterials[Part Name],0)),0)</f>
        <v/>
      </c>
      <c r="AU14">
        <f>SUMPRODUCT((M_BOM[Part Name]=$A14)*M_BOM[RM_Qty_Per_Batch]*IFERROR(INDEX(PP_Grid[#Data],M_BOM[PPGridRow],47),0))+IFERROR(INDEX(M_RawMaterials[固定週次消費量_要入力],MATCH($A14,M_RawMaterials[Part Name],0)),0)</f>
        <v/>
      </c>
      <c r="AV14">
        <f>SUMPRODUCT((M_BOM[Part Name]=$A14)*M_BOM[RM_Qty_Per_Batch]*IFERROR(INDEX(PP_Grid[#Data],M_BOM[PPGridRow],48),0))+IFERROR(INDEX(M_RawMaterials[固定週次消費量_要入力],MATCH($A14,M_RawMaterials[Part Name],0)),0)</f>
        <v/>
      </c>
      <c r="AW14">
        <f>SUMPRODUCT((M_BOM[Part Name]=$A14)*M_BOM[RM_Qty_Per_Batch]*IFERROR(INDEX(PP_Grid[#Data],M_BOM[PPGridRow],49),0))+IFERROR(INDEX(M_RawMaterials[固定週次消費量_要入力],MATCH($A14,M_RawMaterials[Part Name],0)),0)</f>
        <v/>
      </c>
      <c r="AX14">
        <f>SUMPRODUCT((M_BOM[Part Name]=$A14)*M_BOM[RM_Qty_Per_Batch]*IFERROR(INDEX(PP_Grid[#Data],M_BOM[PPGridRow],50),0))+IFERROR(INDEX(M_RawMaterials[固定週次消費量_要入力],MATCH($A14,M_RawMaterials[Part Name],0)),0)</f>
        <v/>
      </c>
      <c r="AY14">
        <f>SUMPRODUCT((M_BOM[Part Name]=$A14)*M_BOM[RM_Qty_Per_Batch]*IFERROR(INDEX(PP_Grid[#Data],M_BOM[PPGridRow],51),0))+IFERROR(INDEX(M_RawMaterials[固定週次消費量_要入力],MATCH($A14,M_RawMaterials[Part Name],0)),0)</f>
        <v/>
      </c>
      <c r="AZ14">
        <f>SUMPRODUCT((M_BOM[Part Name]=$A14)*M_BOM[RM_Qty_Per_Batch]*IFERROR(INDEX(PP_Grid[#Data],M_BOM[PPGridRow],52),0))+IFERROR(INDEX(M_RawMaterials[固定週次消費量_要入力],MATCH($A14,M_RawMaterials[Part Name],0)),0)</f>
        <v/>
      </c>
      <c r="BA14">
        <f>SUMPRODUCT((M_BOM[Part Name]=$A14)*M_BOM[RM_Qty_Per_Batch]*IFERROR(INDEX(PP_Grid[#Data],M_BOM[PPGridRow],53),0))+IFERROR(INDEX(M_RawMaterials[固定週次消費量_要入力],MATCH($A14,M_RawMaterials[Part Name],0)),0)</f>
        <v/>
      </c>
      <c r="BB14">
        <f>SUMPRODUCT((M_BOM[Part Name]=$A14)*M_BOM[RM_Qty_Per_Batch]*IFERROR(INDEX(PP_Grid[#Data],M_BOM[PPGridRow],54),0))+IFERROR(INDEX(M_RawMaterials[固定週次消費量_要入力],MATCH($A14,M_RawMaterials[Part Name],0)),0)</f>
        <v/>
      </c>
      <c r="BC14">
        <f>SUMPRODUCT((M_BOM[Part Name]=$A14)*M_BOM[RM_Qty_Per_Batch]*IFERROR(INDEX(PP_Grid[#Data],M_BOM[PPGridRow],55),0))+IFERROR(INDEX(M_RawMaterials[固定週次消費量_要入力],MATCH($A14,M_RawMaterials[Part Name],0)),0)</f>
        <v/>
      </c>
      <c r="BD14">
        <f>SUMPRODUCT((M_BOM[Part Name]=$A14)*M_BOM[RM_Qty_Per_Batch]*IFERROR(INDEX(PP_Grid[#Data],M_BOM[PPGridRow],56),0))+IFERROR(INDEX(M_RawMaterials[固定週次消費量_要入力],MATCH($A14,M_RawMaterials[Part Name],0)),0)</f>
        <v/>
      </c>
      <c r="BE14">
        <f>SUMPRODUCT((M_BOM[Part Name]=$A14)*M_BOM[RM_Qty_Per_Batch]*IFERROR(INDEX(PP_Grid[#Data],M_BOM[PPGridRow],57),0))+IFERROR(INDEX(M_RawMaterials[固定週次消費量_要入力],MATCH($A14,M_RawMaterials[Part Name],0)),0)</f>
        <v/>
      </c>
      <c r="BF14">
        <f>SUMPRODUCT((M_BOM[Part Name]=$A14)*M_BOM[RM_Qty_Per_Batch]*IFERROR(INDEX(PP_Grid[#Data],M_BOM[PPGridRow],58),0))+IFERROR(INDEX(M_RawMaterials[固定週次消費量_要入力],MATCH($A14,M_RawMaterials[Part Name],0)),0)</f>
        <v/>
      </c>
      <c r="BG14">
        <f>SUMPRODUCT((M_BOM[Part Name]=$A14)*M_BOM[RM_Qty_Per_Batch]*IFERROR(INDEX(PP_Grid[#Data],M_BOM[PPGridRow],59),0))+IFERROR(INDEX(M_RawMaterials[固定週次消費量_要入力],MATCH($A14,M_RawMaterials[Part Name],0)),0)</f>
        <v/>
      </c>
      <c r="BH14">
        <f>SUMPRODUCT((M_BOM[Part Name]=$A14)*M_BOM[RM_Qty_Per_Batch]*IFERROR(INDEX(PP_Grid[#Data],M_BOM[PPGridRow],60),0))+IFERROR(INDEX(M_RawMaterials[固定週次消費量_要入力],MATCH($A14,M_RawMaterials[Part Name],0)),0)</f>
        <v/>
      </c>
      <c r="BI14">
        <f>SUMPRODUCT((M_BOM[Part Name]=$A14)*M_BOM[RM_Qty_Per_Batch]*IFERROR(INDEX(PP_Grid[#Data],M_BOM[PPGridRow],61),0))+IFERROR(INDEX(M_RawMaterials[固定週次消費量_要入力],MATCH($A14,M_RawMaterials[Part Name],0)),0)</f>
        <v/>
      </c>
      <c r="BJ14">
        <f>SUMPRODUCT((M_BOM[Part Name]=$A14)*M_BOM[RM_Qty_Per_Batch]*IFERROR(INDEX(PP_Grid[#Data],M_BOM[PPGridRow],62),0))+IFERROR(INDEX(M_RawMaterials[固定週次消費量_要入力],MATCH($A14,M_RawMaterials[Part Name],0)),0)</f>
        <v/>
      </c>
      <c r="BK14">
        <f>SUMPRODUCT((M_BOM[Part Name]=$A14)*M_BOM[RM_Qty_Per_Batch]*IFERROR(INDEX(PP_Grid[#Data],M_BOM[PPGridRow],63),0))+IFERROR(INDEX(M_RawMaterials[固定週次消費量_要入力],MATCH($A14,M_RawMaterials[Part Name],0)),0)</f>
        <v/>
      </c>
      <c r="BL14">
        <f>SUMPRODUCT((M_BOM[Part Name]=$A14)*M_BOM[RM_Qty_Per_Batch]*IFERROR(INDEX(PP_Grid[#Data],M_BOM[PPGridRow],64),0))+IFERROR(INDEX(M_RawMaterials[固定週次消費量_要入力],MATCH($A14,M_RawMaterials[Part Name],0)),0)</f>
        <v/>
      </c>
      <c r="BM14">
        <f>SUMPRODUCT((M_BOM[Part Name]=$A14)*M_BOM[RM_Qty_Per_Batch]*IFERROR(INDEX(PP_Grid[#Data],M_BOM[PPGridRow],65),0))+IFERROR(INDEX(M_RawMaterials[固定週次消費量_要入力],MATCH($A14,M_RawMaterials[Part Name],0)),0)</f>
        <v/>
      </c>
      <c r="BN14">
        <f>SUMPRODUCT((M_BOM[Part Name]=$A14)*M_BOM[RM_Qty_Per_Batch]*IFERROR(INDEX(PP_Grid[#Data],M_BOM[PPGridRow],66),0))+IFERROR(INDEX(M_RawMaterials[固定週次消費量_要入力],MATCH($A14,M_RawMaterials[Part Name],0)),0)</f>
        <v/>
      </c>
      <c r="BO14">
        <f>SUMPRODUCT((M_BOM[Part Name]=$A14)*M_BOM[RM_Qty_Per_Batch]*IFERROR(INDEX(PP_Grid[#Data],M_BOM[PPGridRow],67),0))+IFERROR(INDEX(M_RawMaterials[固定週次消費量_要入力],MATCH($A14,M_RawMaterials[Part Name],0)),0)</f>
        <v/>
      </c>
      <c r="BP14">
        <f>SUMPRODUCT((M_BOM[Part Name]=$A14)*M_BOM[RM_Qty_Per_Batch]*IFERROR(INDEX(PP_Grid[#Data],M_BOM[PPGridRow],68),0))+IFERROR(INDEX(M_RawMaterials[固定週次消費量_要入力],MATCH($A14,M_RawMaterials[Part Name],0)),0)</f>
        <v/>
      </c>
      <c r="BQ14">
        <f>SUMPRODUCT((M_BOM[Part Name]=$A14)*M_BOM[RM_Qty_Per_Batch]*IFERROR(INDEX(PP_Grid[#Data],M_BOM[PPGridRow],69),0))+IFERROR(INDEX(M_RawMaterials[固定週次消費量_要入力],MATCH($A14,M_RawMaterials[Part Name],0)),0)</f>
        <v/>
      </c>
      <c r="BR14">
        <f>SUMPRODUCT((M_BOM[Part Name]=$A14)*M_BOM[RM_Qty_Per_Batch]*IFERROR(INDEX(PP_Grid[#Data],M_BOM[PPGridRow],70),0))+IFERROR(INDEX(M_RawMaterials[固定週次消費量_要入力],MATCH($A14,M_RawMaterials[Part Name],0)),0)</f>
        <v/>
      </c>
      <c r="BS14">
        <f>SUMPRODUCT((M_BOM[Part Name]=$A14)*M_BOM[RM_Qty_Per_Batch]*IFERROR(INDEX(PP_Grid[#Data],M_BOM[PPGridRow],71),0))+IFERROR(INDEX(M_RawMaterials[固定週次消費量_要入力],MATCH($A14,M_RawMaterials[Part Name],0)),0)</f>
        <v/>
      </c>
      <c r="BT14">
        <f>SUMPRODUCT((M_BOM[Part Name]=$A14)*M_BOM[RM_Qty_Per_Batch]*IFERROR(INDEX(PP_Grid[#Data],M_BOM[PPGridRow],72),0))+IFERROR(INDEX(M_RawMaterials[固定週次消費量_要入力],MATCH($A14,M_RawMaterials[Part Name],0)),0)</f>
        <v/>
      </c>
      <c r="BU14">
        <f>SUMPRODUCT((M_BOM[Part Name]=$A14)*M_BOM[RM_Qty_Per_Batch]*IFERROR(INDEX(PP_Grid[#Data],M_BOM[PPGridRow],73),0))+IFERROR(INDEX(M_RawMaterials[固定週次消費量_要入力],MATCH($A14,M_RawMaterials[Part Name],0)),0)</f>
        <v/>
      </c>
      <c r="BV14">
        <f>SUMPRODUCT((M_BOM[Part Name]=$A14)*M_BOM[RM_Qty_Per_Batch]*IFERROR(INDEX(PP_Grid[#Data],M_BOM[PPGridRow],74),0))+IFERROR(INDEX(M_RawMaterials[固定週次消費量_要入力],MATCH($A14,M_RawMaterials[Part Name],0)),0)</f>
        <v/>
      </c>
      <c r="BW14">
        <f>SUMPRODUCT((M_BOM[Part Name]=$A14)*M_BOM[RM_Qty_Per_Batch]*IFERROR(INDEX(PP_Grid[#Data],M_BOM[PPGridRow],75),0))+IFERROR(INDEX(M_RawMaterials[固定週次消費量_要入力],MATCH($A14,M_RawMaterials[Part Name],0)),0)</f>
        <v/>
      </c>
      <c r="BX14">
        <f>SUMPRODUCT((M_BOM[Part Name]=$A14)*M_BOM[RM_Qty_Per_Batch]*IFERROR(INDEX(PP_Grid[#Data],M_BOM[PPGridRow],76),0))+IFERROR(INDEX(M_RawMaterials[固定週次消費量_要入力],MATCH($A14,M_RawMaterials[Part Name],0)),0)</f>
        <v/>
      </c>
      <c r="BY14">
        <f>SUMPRODUCT((M_BOM[Part Name]=$A14)*M_BOM[RM_Qty_Per_Batch]*IFERROR(INDEX(PP_Grid[#Data],M_BOM[PPGridRow],77),0))+IFERROR(INDEX(M_RawMaterials[固定週次消費量_要入力],MATCH($A14,M_RawMaterials[Part Name],0)),0)</f>
        <v/>
      </c>
      <c r="BZ14">
        <f>SUMPRODUCT((M_BOM[Part Name]=$A14)*M_BOM[RM_Qty_Per_Batch]*IFERROR(INDEX(PP_Grid[#Data],M_BOM[PPGridRow],78),0))+IFERROR(INDEX(M_RawMaterials[固定週次消費量_要入力],MATCH($A14,M_RawMaterials[Part Name],0)),0)</f>
        <v/>
      </c>
      <c r="CA14">
        <f>SUMPRODUCT((M_BOM[Part Name]=$A14)*M_BOM[RM_Qty_Per_Batch]*IFERROR(INDEX(PP_Grid[#Data],M_BOM[PPGridRow],79),0))+IFERROR(INDEX(M_RawMaterials[固定週次消費量_要入力],MATCH($A14,M_RawMaterials[Part Name],0)),0)</f>
        <v/>
      </c>
      <c r="CB14">
        <f>SUMPRODUCT((M_BOM[Part Name]=$A14)*M_BOM[RM_Qty_Per_Batch]*IFERROR(INDEX(PP_Grid[#Data],M_BOM[PPGridRow],80),0))+IFERROR(INDEX(M_RawMaterials[固定週次消費量_要入力],MATCH($A14,M_RawMaterials[Part Name],0)),0)</f>
        <v/>
      </c>
      <c r="CC14">
        <f>SUMPRODUCT((M_BOM[Part Name]=$A14)*M_BOM[RM_Qty_Per_Batch]*IFERROR(INDEX(PP_Grid[#Data],M_BOM[PPGridRow],81),0))+IFERROR(INDEX(M_RawMaterials[固定週次消費量_要入力],MATCH($A14,M_RawMaterials[Part Name],0)),0)</f>
        <v/>
      </c>
      <c r="CD14">
        <f>SUMPRODUCT((M_BOM[Part Name]=$A14)*M_BOM[RM_Qty_Per_Batch]*IFERROR(INDEX(PP_Grid[#Data],M_BOM[PPGridRow],82),0))+IFERROR(INDEX(M_RawMaterials[固定週次消費量_要入力],MATCH($A14,M_RawMaterials[Part Name],0)),0)</f>
        <v/>
      </c>
      <c r="CE14">
        <f>SUMPRODUCT((M_BOM[Part Name]=$A14)*M_BOM[RM_Qty_Per_Batch]*IFERROR(INDEX(PP_Grid[#Data],M_BOM[PPGridRow],83),0))+IFERROR(INDEX(M_RawMaterials[固定週次消費量_要入力],MATCH($A14,M_RawMaterials[Part Name],0)),0)</f>
        <v/>
      </c>
      <c r="CF14">
        <f>SUMPRODUCT((M_BOM[Part Name]=$A14)*M_BOM[RM_Qty_Per_Batch]*IFERROR(INDEX(PP_Grid[#Data],M_BOM[PPGridRow],84),0))+IFERROR(INDEX(M_RawMaterials[固定週次消費量_要入力],MATCH($A14,M_RawMaterials[Part Name],0)),0)</f>
        <v/>
      </c>
      <c r="CG14">
        <f>SUMPRODUCT((M_BOM[Part Name]=$A14)*M_BOM[RM_Qty_Per_Batch]*IFERROR(INDEX(PP_Grid[#Data],M_BOM[PPGridRow],85),0))+IFERROR(INDEX(M_RawMaterials[固定週次消費量_要入力],MATCH($A14,M_RawMaterials[Part Name],0)),0)</f>
        <v/>
      </c>
      <c r="CH14">
        <f>SUMPRODUCT((M_BOM[Part Name]=$A14)*M_BOM[RM_Qty_Per_Batch]*IFERROR(INDEX(PP_Grid[#Data],M_BOM[PPGridRow],86),0))+IFERROR(INDEX(M_RawMaterials[固定週次消費量_要入力],MATCH($A14,M_RawMaterials[Part Name],0)),0)</f>
        <v/>
      </c>
      <c r="CI14">
        <f>SUMPRODUCT((M_BOM[Part Name]=$A14)*M_BOM[RM_Qty_Per_Batch]*IFERROR(INDEX(PP_Grid[#Data],M_BOM[PPGridRow],87),0))+IFERROR(INDEX(M_RawMaterials[固定週次消費量_要入力],MATCH($A14,M_RawMaterials[Part Name],0)),0)</f>
        <v/>
      </c>
      <c r="CJ14">
        <f>SUMPRODUCT((M_BOM[Part Name]=$A14)*M_BOM[RM_Qty_Per_Batch]*IFERROR(INDEX(PP_Grid[#Data],M_BOM[PPGridRow],88),0))+IFERROR(INDEX(M_RawMaterials[固定週次消費量_要入力],MATCH($A14,M_RawMaterials[Part Name],0)),0)</f>
        <v/>
      </c>
      <c r="CK14">
        <f>SUMPRODUCT((M_BOM[Part Name]=$A14)*M_BOM[RM_Qty_Per_Batch]*IFERROR(INDEX(PP_Grid[#Data],M_BOM[PPGridRow],89),0))+IFERROR(INDEX(M_RawMaterials[固定週次消費量_要入力],MATCH($A14,M_RawMaterials[Part Name],0)),0)</f>
        <v/>
      </c>
      <c r="CL14">
        <f>SUMPRODUCT((M_BOM[Part Name]=$A14)*M_BOM[RM_Qty_Per_Batch]*IFERROR(INDEX(PP_Grid[#Data],M_BOM[PPGridRow],90),0))+IFERROR(INDEX(M_RawMaterials[固定週次消費量_要入力],MATCH($A14,M_RawMaterials[Part Name],0)),0)</f>
        <v/>
      </c>
      <c r="CM14">
        <f>SUMPRODUCT((M_BOM[Part Name]=$A14)*M_BOM[RM_Qty_Per_Batch]*IFERROR(INDEX(PP_Grid[#Data],M_BOM[PPGridRow],91),0))+IFERROR(INDEX(M_RawMaterials[固定週次消費量_要入力],MATCH($A14,M_RawMaterials[Part Name],0)),0)</f>
        <v/>
      </c>
      <c r="CN14">
        <f>SUMPRODUCT((M_BOM[Part Name]=$A14)*M_BOM[RM_Qty_Per_Batch]*IFERROR(INDEX(PP_Grid[#Data],M_BOM[PPGridRow],92),0))+IFERROR(INDEX(M_RawMaterials[固定週次消費量_要入力],MATCH($A14,M_RawMaterials[Part Name],0)),0)</f>
        <v/>
      </c>
      <c r="CO14">
        <f>SUMPRODUCT((M_BOM[Part Name]=$A14)*M_BOM[RM_Qty_Per_Batch]*IFERROR(INDEX(PP_Grid[#Data],M_BOM[PPGridRow],93),0))+IFERROR(INDEX(M_RawMaterials[固定週次消費量_要入力],MATCH($A14,M_RawMaterials[Part Name],0)),0)</f>
        <v/>
      </c>
      <c r="CP14">
        <f>SUMPRODUCT((M_BOM[Part Name]=$A14)*M_BOM[RM_Qty_Per_Batch]*IFERROR(INDEX(PP_Grid[#Data],M_BOM[PPGridRow],94),0))+IFERROR(INDEX(M_RawMaterials[固定週次消費量_要入力],MATCH($A14,M_RawMaterials[Part Name],0)),0)</f>
        <v/>
      </c>
      <c r="CQ14">
        <f>SUMPRODUCT((M_BOM[Part Name]=$A14)*M_BOM[RM_Qty_Per_Batch]*IFERROR(INDEX(PP_Grid[#Data],M_BOM[PPGridRow],95),0))+IFERROR(INDEX(M_RawMaterials[固定週次消費量_要入力],MATCH($A14,M_RawMaterials[Part Name],0)),0)</f>
        <v/>
      </c>
      <c r="CR14">
        <f>SUMPRODUCT((M_BOM[Part Name]=$A14)*M_BOM[RM_Qty_Per_Batch]*IFERROR(INDEX(PP_Grid[#Data],M_BOM[PPGridRow],96),0))+IFERROR(INDEX(M_RawMaterials[固定週次消費量_要入力],MATCH($A14,M_RawMaterials[Part Name],0)),0)</f>
        <v/>
      </c>
      <c r="CS14">
        <f>SUMPRODUCT((M_BOM[Part Name]=$A14)*M_BOM[RM_Qty_Per_Batch]*IFERROR(INDEX(PP_Grid[#Data],M_BOM[PPGridRow],97),0))+IFERROR(INDEX(M_RawMaterials[固定週次消費量_要入力],MATCH($A14,M_RawMaterials[Part Name],0)),0)</f>
        <v/>
      </c>
      <c r="CT14">
        <f>SUMPRODUCT((M_BOM[Part Name]=$A14)*M_BOM[RM_Qty_Per_Batch]*IFERROR(INDEX(PP_Grid[#Data],M_BOM[PPGridRow],98),0))+IFERROR(INDEX(M_RawMaterials[固定週次消費量_要入力],MATCH($A14,M_RawMaterials[Part Name],0)),0)</f>
        <v/>
      </c>
      <c r="CU14">
        <f>SUMPRODUCT((M_BOM[Part Name]=$A14)*M_BOM[RM_Qty_Per_Batch]*IFERROR(INDEX(PP_Grid[#Data],M_BOM[PPGridRow],99),0))+IFERROR(INDEX(M_RawMaterials[固定週次消費量_要入力],MATCH($A14,M_RawMaterials[Part Name],0)),0)</f>
        <v/>
      </c>
      <c r="CV14">
        <f>SUMPRODUCT((M_BOM[Part Name]=$A14)*M_BOM[RM_Qty_Per_Batch]*IFERROR(INDEX(PP_Grid[#Data],M_BOM[PPGridRow],100),0))+IFERROR(INDEX(M_RawMaterials[固定週次消費量_要入力],MATCH($A14,M_RawMaterials[Part Name],0)),0)</f>
        <v/>
      </c>
      <c r="CW14">
        <f>SUMPRODUCT((M_BOM[Part Name]=$A14)*M_BOM[RM_Qty_Per_Batch]*IFERROR(INDEX(PP_Grid[#Data],M_BOM[PPGridRow],101),0))+IFERROR(INDEX(M_RawMaterials[固定週次消費量_要入力],MATCH($A14,M_RawMaterials[Part Name],0)),0)</f>
        <v/>
      </c>
      <c r="CX14">
        <f>SUMPRODUCT((M_BOM[Part Name]=$A14)*M_BOM[RM_Qty_Per_Batch]*IFERROR(INDEX(PP_Grid[#Data],M_BOM[PPGridRow],102),0))+IFERROR(INDEX(M_RawMaterials[固定週次消費量_要入力],MATCH($A14,M_RawMaterials[Part Name],0)),0)</f>
        <v/>
      </c>
      <c r="CY14">
        <f>SUMPRODUCT((M_BOM[Part Name]=$A14)*M_BOM[RM_Qty_Per_Batch]*IFERROR(INDEX(PP_Grid[#Data],M_BOM[PPGridRow],103),0))+IFERROR(INDEX(M_RawMaterials[固定週次消費量_要入力],MATCH($A14,M_RawMaterials[Part Name],0)),0)</f>
        <v/>
      </c>
      <c r="CZ14">
        <f>SUMPRODUCT((M_BOM[Part Name]=$A14)*M_BOM[RM_Qty_Per_Batch]*IFERROR(INDEX(PP_Grid[#Data],M_BOM[PPGridRow],104),0))+IFERROR(INDEX(M_RawMaterials[固定週次消費量_要入力],MATCH($A14,M_RawMaterials[Part Name],0)),0)</f>
        <v/>
      </c>
      <c r="DA14">
        <f>SUMPRODUCT((M_BOM[Part Name]=$A14)*M_BOM[RM_Qty_Per_Batch]*IFERROR(INDEX(PP_Grid[#Data],M_BOM[PPGridRow],105),0))+IFERROR(INDEX(M_RawMaterials[固定週次消費量_要入力],MATCH($A14,M_RawMaterials[Part Name],0)),0)</f>
        <v/>
      </c>
    </row>
    <row r="15">
      <c r="A15" t="inlineStr">
        <is>
          <t>5SN</t>
        </is>
      </c>
      <c r="B15">
        <f>SUMPRODUCT((M_BOM[Part Name]=$A15)*M_BOM[RM_Qty_Per_Batch]*IFERROR(INDEX(PP_Grid[#Data],M_BOM[PPGridRow],2),0))+IFERROR(INDEX(M_RawMaterials[固定週次消費量_要入力],MATCH($A15,M_RawMaterials[Part Name],0)),0)</f>
        <v/>
      </c>
      <c r="C15">
        <f>SUMPRODUCT((M_BOM[Part Name]=$A15)*M_BOM[RM_Qty_Per_Batch]*IFERROR(INDEX(PP_Grid[#Data],M_BOM[PPGridRow],3),0))+IFERROR(INDEX(M_RawMaterials[固定週次消費量_要入力],MATCH($A15,M_RawMaterials[Part Name],0)),0)</f>
        <v/>
      </c>
      <c r="D15">
        <f>SUMPRODUCT((M_BOM[Part Name]=$A15)*M_BOM[RM_Qty_Per_Batch]*IFERROR(INDEX(PP_Grid[#Data],M_BOM[PPGridRow],4),0))+IFERROR(INDEX(M_RawMaterials[固定週次消費量_要入力],MATCH($A15,M_RawMaterials[Part Name],0)),0)</f>
        <v/>
      </c>
      <c r="E15">
        <f>SUMPRODUCT((M_BOM[Part Name]=$A15)*M_BOM[RM_Qty_Per_Batch]*IFERROR(INDEX(PP_Grid[#Data],M_BOM[PPGridRow],5),0))+IFERROR(INDEX(M_RawMaterials[固定週次消費量_要入力],MATCH($A15,M_RawMaterials[Part Name],0)),0)</f>
        <v/>
      </c>
      <c r="F15">
        <f>SUMPRODUCT((M_BOM[Part Name]=$A15)*M_BOM[RM_Qty_Per_Batch]*IFERROR(INDEX(PP_Grid[#Data],M_BOM[PPGridRow],6),0))+IFERROR(INDEX(M_RawMaterials[固定週次消費量_要入力],MATCH($A15,M_RawMaterials[Part Name],0)),0)</f>
        <v/>
      </c>
      <c r="G15">
        <f>SUMPRODUCT((M_BOM[Part Name]=$A15)*M_BOM[RM_Qty_Per_Batch]*IFERROR(INDEX(PP_Grid[#Data],M_BOM[PPGridRow],7),0))+IFERROR(INDEX(M_RawMaterials[固定週次消費量_要入力],MATCH($A15,M_RawMaterials[Part Name],0)),0)</f>
        <v/>
      </c>
      <c r="H15">
        <f>SUMPRODUCT((M_BOM[Part Name]=$A15)*M_BOM[RM_Qty_Per_Batch]*IFERROR(INDEX(PP_Grid[#Data],M_BOM[PPGridRow],8),0))+IFERROR(INDEX(M_RawMaterials[固定週次消費量_要入力],MATCH($A15,M_RawMaterials[Part Name],0)),0)</f>
        <v/>
      </c>
      <c r="I15">
        <f>SUMPRODUCT((M_BOM[Part Name]=$A15)*M_BOM[RM_Qty_Per_Batch]*IFERROR(INDEX(PP_Grid[#Data],M_BOM[PPGridRow],9),0))+IFERROR(INDEX(M_RawMaterials[固定週次消費量_要入力],MATCH($A15,M_RawMaterials[Part Name],0)),0)</f>
        <v/>
      </c>
      <c r="J15">
        <f>SUMPRODUCT((M_BOM[Part Name]=$A15)*M_BOM[RM_Qty_Per_Batch]*IFERROR(INDEX(PP_Grid[#Data],M_BOM[PPGridRow],10),0))+IFERROR(INDEX(M_RawMaterials[固定週次消費量_要入力],MATCH($A15,M_RawMaterials[Part Name],0)),0)</f>
        <v/>
      </c>
      <c r="K15">
        <f>SUMPRODUCT((M_BOM[Part Name]=$A15)*M_BOM[RM_Qty_Per_Batch]*IFERROR(INDEX(PP_Grid[#Data],M_BOM[PPGridRow],11),0))+IFERROR(INDEX(M_RawMaterials[固定週次消費量_要入力],MATCH($A15,M_RawMaterials[Part Name],0)),0)</f>
        <v/>
      </c>
      <c r="L15">
        <f>SUMPRODUCT((M_BOM[Part Name]=$A15)*M_BOM[RM_Qty_Per_Batch]*IFERROR(INDEX(PP_Grid[#Data],M_BOM[PPGridRow],12),0))+IFERROR(INDEX(M_RawMaterials[固定週次消費量_要入力],MATCH($A15,M_RawMaterials[Part Name],0)),0)</f>
        <v/>
      </c>
      <c r="M15">
        <f>SUMPRODUCT((M_BOM[Part Name]=$A15)*M_BOM[RM_Qty_Per_Batch]*IFERROR(INDEX(PP_Grid[#Data],M_BOM[PPGridRow],13),0))+IFERROR(INDEX(M_RawMaterials[固定週次消費量_要入力],MATCH($A15,M_RawMaterials[Part Name],0)),0)</f>
        <v/>
      </c>
      <c r="N15">
        <f>SUMPRODUCT((M_BOM[Part Name]=$A15)*M_BOM[RM_Qty_Per_Batch]*IFERROR(INDEX(PP_Grid[#Data],M_BOM[PPGridRow],14),0))+IFERROR(INDEX(M_RawMaterials[固定週次消費量_要入力],MATCH($A15,M_RawMaterials[Part Name],0)),0)</f>
        <v/>
      </c>
      <c r="O15">
        <f>SUMPRODUCT((M_BOM[Part Name]=$A15)*M_BOM[RM_Qty_Per_Batch]*IFERROR(INDEX(PP_Grid[#Data],M_BOM[PPGridRow],15),0))+IFERROR(INDEX(M_RawMaterials[固定週次消費量_要入力],MATCH($A15,M_RawMaterials[Part Name],0)),0)</f>
        <v/>
      </c>
      <c r="P15">
        <f>SUMPRODUCT((M_BOM[Part Name]=$A15)*M_BOM[RM_Qty_Per_Batch]*IFERROR(INDEX(PP_Grid[#Data],M_BOM[PPGridRow],16),0))+IFERROR(INDEX(M_RawMaterials[固定週次消費量_要入力],MATCH($A15,M_RawMaterials[Part Name],0)),0)</f>
        <v/>
      </c>
      <c r="Q15">
        <f>SUMPRODUCT((M_BOM[Part Name]=$A15)*M_BOM[RM_Qty_Per_Batch]*IFERROR(INDEX(PP_Grid[#Data],M_BOM[PPGridRow],17),0))+IFERROR(INDEX(M_RawMaterials[固定週次消費量_要入力],MATCH($A15,M_RawMaterials[Part Name],0)),0)</f>
        <v/>
      </c>
      <c r="R15">
        <f>SUMPRODUCT((M_BOM[Part Name]=$A15)*M_BOM[RM_Qty_Per_Batch]*IFERROR(INDEX(PP_Grid[#Data],M_BOM[PPGridRow],18),0))+IFERROR(INDEX(M_RawMaterials[固定週次消費量_要入力],MATCH($A15,M_RawMaterials[Part Name],0)),0)</f>
        <v/>
      </c>
      <c r="S15">
        <f>SUMPRODUCT((M_BOM[Part Name]=$A15)*M_BOM[RM_Qty_Per_Batch]*IFERROR(INDEX(PP_Grid[#Data],M_BOM[PPGridRow],19),0))+IFERROR(INDEX(M_RawMaterials[固定週次消費量_要入力],MATCH($A15,M_RawMaterials[Part Name],0)),0)</f>
        <v/>
      </c>
      <c r="T15">
        <f>SUMPRODUCT((M_BOM[Part Name]=$A15)*M_BOM[RM_Qty_Per_Batch]*IFERROR(INDEX(PP_Grid[#Data],M_BOM[PPGridRow],20),0))+IFERROR(INDEX(M_RawMaterials[固定週次消費量_要入力],MATCH($A15,M_RawMaterials[Part Name],0)),0)</f>
        <v/>
      </c>
      <c r="U15">
        <f>SUMPRODUCT((M_BOM[Part Name]=$A15)*M_BOM[RM_Qty_Per_Batch]*IFERROR(INDEX(PP_Grid[#Data],M_BOM[PPGridRow],21),0))+IFERROR(INDEX(M_RawMaterials[固定週次消費量_要入力],MATCH($A15,M_RawMaterials[Part Name],0)),0)</f>
        <v/>
      </c>
      <c r="V15">
        <f>SUMPRODUCT((M_BOM[Part Name]=$A15)*M_BOM[RM_Qty_Per_Batch]*IFERROR(INDEX(PP_Grid[#Data],M_BOM[PPGridRow],22),0))+IFERROR(INDEX(M_RawMaterials[固定週次消費量_要入力],MATCH($A15,M_RawMaterials[Part Name],0)),0)</f>
        <v/>
      </c>
      <c r="W15">
        <f>SUMPRODUCT((M_BOM[Part Name]=$A15)*M_BOM[RM_Qty_Per_Batch]*IFERROR(INDEX(PP_Grid[#Data],M_BOM[PPGridRow],23),0))+IFERROR(INDEX(M_RawMaterials[固定週次消費量_要入力],MATCH($A15,M_RawMaterials[Part Name],0)),0)</f>
        <v/>
      </c>
      <c r="X15">
        <f>SUMPRODUCT((M_BOM[Part Name]=$A15)*M_BOM[RM_Qty_Per_Batch]*IFERROR(INDEX(PP_Grid[#Data],M_BOM[PPGridRow],24),0))+IFERROR(INDEX(M_RawMaterials[固定週次消費量_要入力],MATCH($A15,M_RawMaterials[Part Name],0)),0)</f>
        <v/>
      </c>
      <c r="Y15">
        <f>SUMPRODUCT((M_BOM[Part Name]=$A15)*M_BOM[RM_Qty_Per_Batch]*IFERROR(INDEX(PP_Grid[#Data],M_BOM[PPGridRow],25),0))+IFERROR(INDEX(M_RawMaterials[固定週次消費量_要入力],MATCH($A15,M_RawMaterials[Part Name],0)),0)</f>
        <v/>
      </c>
      <c r="Z15">
        <f>SUMPRODUCT((M_BOM[Part Name]=$A15)*M_BOM[RM_Qty_Per_Batch]*IFERROR(INDEX(PP_Grid[#Data],M_BOM[PPGridRow],26),0))+IFERROR(INDEX(M_RawMaterials[固定週次消費量_要入力],MATCH($A15,M_RawMaterials[Part Name],0)),0)</f>
        <v/>
      </c>
      <c r="AA15">
        <f>SUMPRODUCT((M_BOM[Part Name]=$A15)*M_BOM[RM_Qty_Per_Batch]*IFERROR(INDEX(PP_Grid[#Data],M_BOM[PPGridRow],27),0))+IFERROR(INDEX(M_RawMaterials[固定週次消費量_要入力],MATCH($A15,M_RawMaterials[Part Name],0)),0)</f>
        <v/>
      </c>
      <c r="AB15">
        <f>SUMPRODUCT((M_BOM[Part Name]=$A15)*M_BOM[RM_Qty_Per_Batch]*IFERROR(INDEX(PP_Grid[#Data],M_BOM[PPGridRow],28),0))+IFERROR(INDEX(M_RawMaterials[固定週次消費量_要入力],MATCH($A15,M_RawMaterials[Part Name],0)),0)</f>
        <v/>
      </c>
      <c r="AC15">
        <f>SUMPRODUCT((M_BOM[Part Name]=$A15)*M_BOM[RM_Qty_Per_Batch]*IFERROR(INDEX(PP_Grid[#Data],M_BOM[PPGridRow],29),0))+IFERROR(INDEX(M_RawMaterials[固定週次消費量_要入力],MATCH($A15,M_RawMaterials[Part Name],0)),0)</f>
        <v/>
      </c>
      <c r="AD15">
        <f>SUMPRODUCT((M_BOM[Part Name]=$A15)*M_BOM[RM_Qty_Per_Batch]*IFERROR(INDEX(PP_Grid[#Data],M_BOM[PPGridRow],30),0))+IFERROR(INDEX(M_RawMaterials[固定週次消費量_要入力],MATCH($A15,M_RawMaterials[Part Name],0)),0)</f>
        <v/>
      </c>
      <c r="AE15">
        <f>SUMPRODUCT((M_BOM[Part Name]=$A15)*M_BOM[RM_Qty_Per_Batch]*IFERROR(INDEX(PP_Grid[#Data],M_BOM[PPGridRow],31),0))+IFERROR(INDEX(M_RawMaterials[固定週次消費量_要入力],MATCH($A15,M_RawMaterials[Part Name],0)),0)</f>
        <v/>
      </c>
      <c r="AF15">
        <f>SUMPRODUCT((M_BOM[Part Name]=$A15)*M_BOM[RM_Qty_Per_Batch]*IFERROR(INDEX(PP_Grid[#Data],M_BOM[PPGridRow],32),0))+IFERROR(INDEX(M_RawMaterials[固定週次消費量_要入力],MATCH($A15,M_RawMaterials[Part Name],0)),0)</f>
        <v/>
      </c>
      <c r="AG15">
        <f>SUMPRODUCT((M_BOM[Part Name]=$A15)*M_BOM[RM_Qty_Per_Batch]*IFERROR(INDEX(PP_Grid[#Data],M_BOM[PPGridRow],33),0))+IFERROR(INDEX(M_RawMaterials[固定週次消費量_要入力],MATCH($A15,M_RawMaterials[Part Name],0)),0)</f>
        <v/>
      </c>
      <c r="AH15">
        <f>SUMPRODUCT((M_BOM[Part Name]=$A15)*M_BOM[RM_Qty_Per_Batch]*IFERROR(INDEX(PP_Grid[#Data],M_BOM[PPGridRow],34),0))+IFERROR(INDEX(M_RawMaterials[固定週次消費量_要入力],MATCH($A15,M_RawMaterials[Part Name],0)),0)</f>
        <v/>
      </c>
      <c r="AI15">
        <f>SUMPRODUCT((M_BOM[Part Name]=$A15)*M_BOM[RM_Qty_Per_Batch]*IFERROR(INDEX(PP_Grid[#Data],M_BOM[PPGridRow],35),0))+IFERROR(INDEX(M_RawMaterials[固定週次消費量_要入力],MATCH($A15,M_RawMaterials[Part Name],0)),0)</f>
        <v/>
      </c>
      <c r="AJ15">
        <f>SUMPRODUCT((M_BOM[Part Name]=$A15)*M_BOM[RM_Qty_Per_Batch]*IFERROR(INDEX(PP_Grid[#Data],M_BOM[PPGridRow],36),0))+IFERROR(INDEX(M_RawMaterials[固定週次消費量_要入力],MATCH($A15,M_RawMaterials[Part Name],0)),0)</f>
        <v/>
      </c>
      <c r="AK15">
        <f>SUMPRODUCT((M_BOM[Part Name]=$A15)*M_BOM[RM_Qty_Per_Batch]*IFERROR(INDEX(PP_Grid[#Data],M_BOM[PPGridRow],37),0))+IFERROR(INDEX(M_RawMaterials[固定週次消費量_要入力],MATCH($A15,M_RawMaterials[Part Name],0)),0)</f>
        <v/>
      </c>
      <c r="AL15">
        <f>SUMPRODUCT((M_BOM[Part Name]=$A15)*M_BOM[RM_Qty_Per_Batch]*IFERROR(INDEX(PP_Grid[#Data],M_BOM[PPGridRow],38),0))+IFERROR(INDEX(M_RawMaterials[固定週次消費量_要入力],MATCH($A15,M_RawMaterials[Part Name],0)),0)</f>
        <v/>
      </c>
      <c r="AM15">
        <f>SUMPRODUCT((M_BOM[Part Name]=$A15)*M_BOM[RM_Qty_Per_Batch]*IFERROR(INDEX(PP_Grid[#Data],M_BOM[PPGridRow],39),0))+IFERROR(INDEX(M_RawMaterials[固定週次消費量_要入力],MATCH($A15,M_RawMaterials[Part Name],0)),0)</f>
        <v/>
      </c>
      <c r="AN15">
        <f>SUMPRODUCT((M_BOM[Part Name]=$A15)*M_BOM[RM_Qty_Per_Batch]*IFERROR(INDEX(PP_Grid[#Data],M_BOM[PPGridRow],40),0))+IFERROR(INDEX(M_RawMaterials[固定週次消費量_要入力],MATCH($A15,M_RawMaterials[Part Name],0)),0)</f>
        <v/>
      </c>
      <c r="AO15">
        <f>SUMPRODUCT((M_BOM[Part Name]=$A15)*M_BOM[RM_Qty_Per_Batch]*IFERROR(INDEX(PP_Grid[#Data],M_BOM[PPGridRow],41),0))+IFERROR(INDEX(M_RawMaterials[固定週次消費量_要入力],MATCH($A15,M_RawMaterials[Part Name],0)),0)</f>
        <v/>
      </c>
      <c r="AP15">
        <f>SUMPRODUCT((M_BOM[Part Name]=$A15)*M_BOM[RM_Qty_Per_Batch]*IFERROR(INDEX(PP_Grid[#Data],M_BOM[PPGridRow],42),0))+IFERROR(INDEX(M_RawMaterials[固定週次消費量_要入力],MATCH($A15,M_RawMaterials[Part Name],0)),0)</f>
        <v/>
      </c>
      <c r="AQ15">
        <f>SUMPRODUCT((M_BOM[Part Name]=$A15)*M_BOM[RM_Qty_Per_Batch]*IFERROR(INDEX(PP_Grid[#Data],M_BOM[PPGridRow],43),0))+IFERROR(INDEX(M_RawMaterials[固定週次消費量_要入力],MATCH($A15,M_RawMaterials[Part Name],0)),0)</f>
        <v/>
      </c>
      <c r="AR15">
        <f>SUMPRODUCT((M_BOM[Part Name]=$A15)*M_BOM[RM_Qty_Per_Batch]*IFERROR(INDEX(PP_Grid[#Data],M_BOM[PPGridRow],44),0))+IFERROR(INDEX(M_RawMaterials[固定週次消費量_要入力],MATCH($A15,M_RawMaterials[Part Name],0)),0)</f>
        <v/>
      </c>
      <c r="AS15">
        <f>SUMPRODUCT((M_BOM[Part Name]=$A15)*M_BOM[RM_Qty_Per_Batch]*IFERROR(INDEX(PP_Grid[#Data],M_BOM[PPGridRow],45),0))+IFERROR(INDEX(M_RawMaterials[固定週次消費量_要入力],MATCH($A15,M_RawMaterials[Part Name],0)),0)</f>
        <v/>
      </c>
      <c r="AT15">
        <f>SUMPRODUCT((M_BOM[Part Name]=$A15)*M_BOM[RM_Qty_Per_Batch]*IFERROR(INDEX(PP_Grid[#Data],M_BOM[PPGridRow],46),0))+IFERROR(INDEX(M_RawMaterials[固定週次消費量_要入力],MATCH($A15,M_RawMaterials[Part Name],0)),0)</f>
        <v/>
      </c>
      <c r="AU15">
        <f>SUMPRODUCT((M_BOM[Part Name]=$A15)*M_BOM[RM_Qty_Per_Batch]*IFERROR(INDEX(PP_Grid[#Data],M_BOM[PPGridRow],47),0))+IFERROR(INDEX(M_RawMaterials[固定週次消費量_要入力],MATCH($A15,M_RawMaterials[Part Name],0)),0)</f>
        <v/>
      </c>
      <c r="AV15">
        <f>SUMPRODUCT((M_BOM[Part Name]=$A15)*M_BOM[RM_Qty_Per_Batch]*IFERROR(INDEX(PP_Grid[#Data],M_BOM[PPGridRow],48),0))+IFERROR(INDEX(M_RawMaterials[固定週次消費量_要入力],MATCH($A15,M_RawMaterials[Part Name],0)),0)</f>
        <v/>
      </c>
      <c r="AW15">
        <f>SUMPRODUCT((M_BOM[Part Name]=$A15)*M_BOM[RM_Qty_Per_Batch]*IFERROR(INDEX(PP_Grid[#Data],M_BOM[PPGridRow],49),0))+IFERROR(INDEX(M_RawMaterials[固定週次消費量_要入力],MATCH($A15,M_RawMaterials[Part Name],0)),0)</f>
        <v/>
      </c>
      <c r="AX15">
        <f>SUMPRODUCT((M_BOM[Part Name]=$A15)*M_BOM[RM_Qty_Per_Batch]*IFERROR(INDEX(PP_Grid[#Data],M_BOM[PPGridRow],50),0))+IFERROR(INDEX(M_RawMaterials[固定週次消費量_要入力],MATCH($A15,M_RawMaterials[Part Name],0)),0)</f>
        <v/>
      </c>
      <c r="AY15">
        <f>SUMPRODUCT((M_BOM[Part Name]=$A15)*M_BOM[RM_Qty_Per_Batch]*IFERROR(INDEX(PP_Grid[#Data],M_BOM[PPGridRow],51),0))+IFERROR(INDEX(M_RawMaterials[固定週次消費量_要入力],MATCH($A15,M_RawMaterials[Part Name],0)),0)</f>
        <v/>
      </c>
      <c r="AZ15">
        <f>SUMPRODUCT((M_BOM[Part Name]=$A15)*M_BOM[RM_Qty_Per_Batch]*IFERROR(INDEX(PP_Grid[#Data],M_BOM[PPGridRow],52),0))+IFERROR(INDEX(M_RawMaterials[固定週次消費量_要入力],MATCH($A15,M_RawMaterials[Part Name],0)),0)</f>
        <v/>
      </c>
      <c r="BA15">
        <f>SUMPRODUCT((M_BOM[Part Name]=$A15)*M_BOM[RM_Qty_Per_Batch]*IFERROR(INDEX(PP_Grid[#Data],M_BOM[PPGridRow],53),0))+IFERROR(INDEX(M_RawMaterials[固定週次消費量_要入力],MATCH($A15,M_RawMaterials[Part Name],0)),0)</f>
        <v/>
      </c>
      <c r="BB15">
        <f>SUMPRODUCT((M_BOM[Part Name]=$A15)*M_BOM[RM_Qty_Per_Batch]*IFERROR(INDEX(PP_Grid[#Data],M_BOM[PPGridRow],54),0))+IFERROR(INDEX(M_RawMaterials[固定週次消費量_要入力],MATCH($A15,M_RawMaterials[Part Name],0)),0)</f>
        <v/>
      </c>
      <c r="BC15">
        <f>SUMPRODUCT((M_BOM[Part Name]=$A15)*M_BOM[RM_Qty_Per_Batch]*IFERROR(INDEX(PP_Grid[#Data],M_BOM[PPGridRow],55),0))+IFERROR(INDEX(M_RawMaterials[固定週次消費量_要入力],MATCH($A15,M_RawMaterials[Part Name],0)),0)</f>
        <v/>
      </c>
      <c r="BD15">
        <f>SUMPRODUCT((M_BOM[Part Name]=$A15)*M_BOM[RM_Qty_Per_Batch]*IFERROR(INDEX(PP_Grid[#Data],M_BOM[PPGridRow],56),0))+IFERROR(INDEX(M_RawMaterials[固定週次消費量_要入力],MATCH($A15,M_RawMaterials[Part Name],0)),0)</f>
        <v/>
      </c>
      <c r="BE15">
        <f>SUMPRODUCT((M_BOM[Part Name]=$A15)*M_BOM[RM_Qty_Per_Batch]*IFERROR(INDEX(PP_Grid[#Data],M_BOM[PPGridRow],57),0))+IFERROR(INDEX(M_RawMaterials[固定週次消費量_要入力],MATCH($A15,M_RawMaterials[Part Name],0)),0)</f>
        <v/>
      </c>
      <c r="BF15">
        <f>SUMPRODUCT((M_BOM[Part Name]=$A15)*M_BOM[RM_Qty_Per_Batch]*IFERROR(INDEX(PP_Grid[#Data],M_BOM[PPGridRow],58),0))+IFERROR(INDEX(M_RawMaterials[固定週次消費量_要入力],MATCH($A15,M_RawMaterials[Part Name],0)),0)</f>
        <v/>
      </c>
      <c r="BG15">
        <f>SUMPRODUCT((M_BOM[Part Name]=$A15)*M_BOM[RM_Qty_Per_Batch]*IFERROR(INDEX(PP_Grid[#Data],M_BOM[PPGridRow],59),0))+IFERROR(INDEX(M_RawMaterials[固定週次消費量_要入力],MATCH($A15,M_RawMaterials[Part Name],0)),0)</f>
        <v/>
      </c>
      <c r="BH15">
        <f>SUMPRODUCT((M_BOM[Part Name]=$A15)*M_BOM[RM_Qty_Per_Batch]*IFERROR(INDEX(PP_Grid[#Data],M_BOM[PPGridRow],60),0))+IFERROR(INDEX(M_RawMaterials[固定週次消費量_要入力],MATCH($A15,M_RawMaterials[Part Name],0)),0)</f>
        <v/>
      </c>
      <c r="BI15">
        <f>SUMPRODUCT((M_BOM[Part Name]=$A15)*M_BOM[RM_Qty_Per_Batch]*IFERROR(INDEX(PP_Grid[#Data],M_BOM[PPGridRow],61),0))+IFERROR(INDEX(M_RawMaterials[固定週次消費量_要入力],MATCH($A15,M_RawMaterials[Part Name],0)),0)</f>
        <v/>
      </c>
      <c r="BJ15">
        <f>SUMPRODUCT((M_BOM[Part Name]=$A15)*M_BOM[RM_Qty_Per_Batch]*IFERROR(INDEX(PP_Grid[#Data],M_BOM[PPGridRow],62),0))+IFERROR(INDEX(M_RawMaterials[固定週次消費量_要入力],MATCH($A15,M_RawMaterials[Part Name],0)),0)</f>
        <v/>
      </c>
      <c r="BK15">
        <f>SUMPRODUCT((M_BOM[Part Name]=$A15)*M_BOM[RM_Qty_Per_Batch]*IFERROR(INDEX(PP_Grid[#Data],M_BOM[PPGridRow],63),0))+IFERROR(INDEX(M_RawMaterials[固定週次消費量_要入力],MATCH($A15,M_RawMaterials[Part Name],0)),0)</f>
        <v/>
      </c>
      <c r="BL15">
        <f>SUMPRODUCT((M_BOM[Part Name]=$A15)*M_BOM[RM_Qty_Per_Batch]*IFERROR(INDEX(PP_Grid[#Data],M_BOM[PPGridRow],64),0))+IFERROR(INDEX(M_RawMaterials[固定週次消費量_要入力],MATCH($A15,M_RawMaterials[Part Name],0)),0)</f>
        <v/>
      </c>
      <c r="BM15">
        <f>SUMPRODUCT((M_BOM[Part Name]=$A15)*M_BOM[RM_Qty_Per_Batch]*IFERROR(INDEX(PP_Grid[#Data],M_BOM[PPGridRow],65),0))+IFERROR(INDEX(M_RawMaterials[固定週次消費量_要入力],MATCH($A15,M_RawMaterials[Part Name],0)),0)</f>
        <v/>
      </c>
      <c r="BN15">
        <f>SUMPRODUCT((M_BOM[Part Name]=$A15)*M_BOM[RM_Qty_Per_Batch]*IFERROR(INDEX(PP_Grid[#Data],M_BOM[PPGridRow],66),0))+IFERROR(INDEX(M_RawMaterials[固定週次消費量_要入力],MATCH($A15,M_RawMaterials[Part Name],0)),0)</f>
        <v/>
      </c>
      <c r="BO15">
        <f>SUMPRODUCT((M_BOM[Part Name]=$A15)*M_BOM[RM_Qty_Per_Batch]*IFERROR(INDEX(PP_Grid[#Data],M_BOM[PPGridRow],67),0))+IFERROR(INDEX(M_RawMaterials[固定週次消費量_要入力],MATCH($A15,M_RawMaterials[Part Name],0)),0)</f>
        <v/>
      </c>
      <c r="BP15">
        <f>SUMPRODUCT((M_BOM[Part Name]=$A15)*M_BOM[RM_Qty_Per_Batch]*IFERROR(INDEX(PP_Grid[#Data],M_BOM[PPGridRow],68),0))+IFERROR(INDEX(M_RawMaterials[固定週次消費量_要入力],MATCH($A15,M_RawMaterials[Part Name],0)),0)</f>
        <v/>
      </c>
      <c r="BQ15">
        <f>SUMPRODUCT((M_BOM[Part Name]=$A15)*M_BOM[RM_Qty_Per_Batch]*IFERROR(INDEX(PP_Grid[#Data],M_BOM[PPGridRow],69),0))+IFERROR(INDEX(M_RawMaterials[固定週次消費量_要入力],MATCH($A15,M_RawMaterials[Part Name],0)),0)</f>
        <v/>
      </c>
      <c r="BR15">
        <f>SUMPRODUCT((M_BOM[Part Name]=$A15)*M_BOM[RM_Qty_Per_Batch]*IFERROR(INDEX(PP_Grid[#Data],M_BOM[PPGridRow],70),0))+IFERROR(INDEX(M_RawMaterials[固定週次消費量_要入力],MATCH($A15,M_RawMaterials[Part Name],0)),0)</f>
        <v/>
      </c>
      <c r="BS15">
        <f>SUMPRODUCT((M_BOM[Part Name]=$A15)*M_BOM[RM_Qty_Per_Batch]*IFERROR(INDEX(PP_Grid[#Data],M_BOM[PPGridRow],71),0))+IFERROR(INDEX(M_RawMaterials[固定週次消費量_要入力],MATCH($A15,M_RawMaterials[Part Name],0)),0)</f>
        <v/>
      </c>
      <c r="BT15">
        <f>SUMPRODUCT((M_BOM[Part Name]=$A15)*M_BOM[RM_Qty_Per_Batch]*IFERROR(INDEX(PP_Grid[#Data],M_BOM[PPGridRow],72),0))+IFERROR(INDEX(M_RawMaterials[固定週次消費量_要入力],MATCH($A15,M_RawMaterials[Part Name],0)),0)</f>
        <v/>
      </c>
      <c r="BU15">
        <f>SUMPRODUCT((M_BOM[Part Name]=$A15)*M_BOM[RM_Qty_Per_Batch]*IFERROR(INDEX(PP_Grid[#Data],M_BOM[PPGridRow],73),0))+IFERROR(INDEX(M_RawMaterials[固定週次消費量_要入力],MATCH($A15,M_RawMaterials[Part Name],0)),0)</f>
        <v/>
      </c>
      <c r="BV15">
        <f>SUMPRODUCT((M_BOM[Part Name]=$A15)*M_BOM[RM_Qty_Per_Batch]*IFERROR(INDEX(PP_Grid[#Data],M_BOM[PPGridRow],74),0))+IFERROR(INDEX(M_RawMaterials[固定週次消費量_要入力],MATCH($A15,M_RawMaterials[Part Name],0)),0)</f>
        <v/>
      </c>
      <c r="BW15">
        <f>SUMPRODUCT((M_BOM[Part Name]=$A15)*M_BOM[RM_Qty_Per_Batch]*IFERROR(INDEX(PP_Grid[#Data],M_BOM[PPGridRow],75),0))+IFERROR(INDEX(M_RawMaterials[固定週次消費量_要入力],MATCH($A15,M_RawMaterials[Part Name],0)),0)</f>
        <v/>
      </c>
      <c r="BX15">
        <f>SUMPRODUCT((M_BOM[Part Name]=$A15)*M_BOM[RM_Qty_Per_Batch]*IFERROR(INDEX(PP_Grid[#Data],M_BOM[PPGridRow],76),0))+IFERROR(INDEX(M_RawMaterials[固定週次消費量_要入力],MATCH($A15,M_RawMaterials[Part Name],0)),0)</f>
        <v/>
      </c>
      <c r="BY15">
        <f>SUMPRODUCT((M_BOM[Part Name]=$A15)*M_BOM[RM_Qty_Per_Batch]*IFERROR(INDEX(PP_Grid[#Data],M_BOM[PPGridRow],77),0))+IFERROR(INDEX(M_RawMaterials[固定週次消費量_要入力],MATCH($A15,M_RawMaterials[Part Name],0)),0)</f>
        <v/>
      </c>
      <c r="BZ15">
        <f>SUMPRODUCT((M_BOM[Part Name]=$A15)*M_BOM[RM_Qty_Per_Batch]*IFERROR(INDEX(PP_Grid[#Data],M_BOM[PPGridRow],78),0))+IFERROR(INDEX(M_RawMaterials[固定週次消費量_要入力],MATCH($A15,M_RawMaterials[Part Name],0)),0)</f>
        <v/>
      </c>
      <c r="CA15">
        <f>SUMPRODUCT((M_BOM[Part Name]=$A15)*M_BOM[RM_Qty_Per_Batch]*IFERROR(INDEX(PP_Grid[#Data],M_BOM[PPGridRow],79),0))+IFERROR(INDEX(M_RawMaterials[固定週次消費量_要入力],MATCH($A15,M_RawMaterials[Part Name],0)),0)</f>
        <v/>
      </c>
      <c r="CB15">
        <f>SUMPRODUCT((M_BOM[Part Name]=$A15)*M_BOM[RM_Qty_Per_Batch]*IFERROR(INDEX(PP_Grid[#Data],M_BOM[PPGridRow],80),0))+IFERROR(INDEX(M_RawMaterials[固定週次消費量_要入力],MATCH($A15,M_RawMaterials[Part Name],0)),0)</f>
        <v/>
      </c>
      <c r="CC15">
        <f>SUMPRODUCT((M_BOM[Part Name]=$A15)*M_BOM[RM_Qty_Per_Batch]*IFERROR(INDEX(PP_Grid[#Data],M_BOM[PPGridRow],81),0))+IFERROR(INDEX(M_RawMaterials[固定週次消費量_要入力],MATCH($A15,M_RawMaterials[Part Name],0)),0)</f>
        <v/>
      </c>
      <c r="CD15">
        <f>SUMPRODUCT((M_BOM[Part Name]=$A15)*M_BOM[RM_Qty_Per_Batch]*IFERROR(INDEX(PP_Grid[#Data],M_BOM[PPGridRow],82),0))+IFERROR(INDEX(M_RawMaterials[固定週次消費量_要入力],MATCH($A15,M_RawMaterials[Part Name],0)),0)</f>
        <v/>
      </c>
      <c r="CE15">
        <f>SUMPRODUCT((M_BOM[Part Name]=$A15)*M_BOM[RM_Qty_Per_Batch]*IFERROR(INDEX(PP_Grid[#Data],M_BOM[PPGridRow],83),0))+IFERROR(INDEX(M_RawMaterials[固定週次消費量_要入力],MATCH($A15,M_RawMaterials[Part Name],0)),0)</f>
        <v/>
      </c>
      <c r="CF15">
        <f>SUMPRODUCT((M_BOM[Part Name]=$A15)*M_BOM[RM_Qty_Per_Batch]*IFERROR(INDEX(PP_Grid[#Data],M_BOM[PPGridRow],84),0))+IFERROR(INDEX(M_RawMaterials[固定週次消費量_要入力],MATCH($A15,M_RawMaterials[Part Name],0)),0)</f>
        <v/>
      </c>
      <c r="CG15">
        <f>SUMPRODUCT((M_BOM[Part Name]=$A15)*M_BOM[RM_Qty_Per_Batch]*IFERROR(INDEX(PP_Grid[#Data],M_BOM[PPGridRow],85),0))+IFERROR(INDEX(M_RawMaterials[固定週次消費量_要入力],MATCH($A15,M_RawMaterials[Part Name],0)),0)</f>
        <v/>
      </c>
      <c r="CH15">
        <f>SUMPRODUCT((M_BOM[Part Name]=$A15)*M_BOM[RM_Qty_Per_Batch]*IFERROR(INDEX(PP_Grid[#Data],M_BOM[PPGridRow],86),0))+IFERROR(INDEX(M_RawMaterials[固定週次消費量_要入力],MATCH($A15,M_RawMaterials[Part Name],0)),0)</f>
        <v/>
      </c>
      <c r="CI15">
        <f>SUMPRODUCT((M_BOM[Part Name]=$A15)*M_BOM[RM_Qty_Per_Batch]*IFERROR(INDEX(PP_Grid[#Data],M_BOM[PPGridRow],87),0))+IFERROR(INDEX(M_RawMaterials[固定週次消費量_要入力],MATCH($A15,M_RawMaterials[Part Name],0)),0)</f>
        <v/>
      </c>
      <c r="CJ15">
        <f>SUMPRODUCT((M_BOM[Part Name]=$A15)*M_BOM[RM_Qty_Per_Batch]*IFERROR(INDEX(PP_Grid[#Data],M_BOM[PPGridRow],88),0))+IFERROR(INDEX(M_RawMaterials[固定週次消費量_要入力],MATCH($A15,M_RawMaterials[Part Name],0)),0)</f>
        <v/>
      </c>
      <c r="CK15">
        <f>SUMPRODUCT((M_BOM[Part Name]=$A15)*M_BOM[RM_Qty_Per_Batch]*IFERROR(INDEX(PP_Grid[#Data],M_BOM[PPGridRow],89),0))+IFERROR(INDEX(M_RawMaterials[固定週次消費量_要入力],MATCH($A15,M_RawMaterials[Part Name],0)),0)</f>
        <v/>
      </c>
      <c r="CL15">
        <f>SUMPRODUCT((M_BOM[Part Name]=$A15)*M_BOM[RM_Qty_Per_Batch]*IFERROR(INDEX(PP_Grid[#Data],M_BOM[PPGridRow],90),0))+IFERROR(INDEX(M_RawMaterials[固定週次消費量_要入力],MATCH($A15,M_RawMaterials[Part Name],0)),0)</f>
        <v/>
      </c>
      <c r="CM15">
        <f>SUMPRODUCT((M_BOM[Part Name]=$A15)*M_BOM[RM_Qty_Per_Batch]*IFERROR(INDEX(PP_Grid[#Data],M_BOM[PPGridRow],91),0))+IFERROR(INDEX(M_RawMaterials[固定週次消費量_要入力],MATCH($A15,M_RawMaterials[Part Name],0)),0)</f>
        <v/>
      </c>
      <c r="CN15">
        <f>SUMPRODUCT((M_BOM[Part Name]=$A15)*M_BOM[RM_Qty_Per_Batch]*IFERROR(INDEX(PP_Grid[#Data],M_BOM[PPGridRow],92),0))+IFERROR(INDEX(M_RawMaterials[固定週次消費量_要入力],MATCH($A15,M_RawMaterials[Part Name],0)),0)</f>
        <v/>
      </c>
      <c r="CO15">
        <f>SUMPRODUCT((M_BOM[Part Name]=$A15)*M_BOM[RM_Qty_Per_Batch]*IFERROR(INDEX(PP_Grid[#Data],M_BOM[PPGridRow],93),0))+IFERROR(INDEX(M_RawMaterials[固定週次消費量_要入力],MATCH($A15,M_RawMaterials[Part Name],0)),0)</f>
        <v/>
      </c>
      <c r="CP15">
        <f>SUMPRODUCT((M_BOM[Part Name]=$A15)*M_BOM[RM_Qty_Per_Batch]*IFERROR(INDEX(PP_Grid[#Data],M_BOM[PPGridRow],94),0))+IFERROR(INDEX(M_RawMaterials[固定週次消費量_要入力],MATCH($A15,M_RawMaterials[Part Name],0)),0)</f>
        <v/>
      </c>
      <c r="CQ15">
        <f>SUMPRODUCT((M_BOM[Part Name]=$A15)*M_BOM[RM_Qty_Per_Batch]*IFERROR(INDEX(PP_Grid[#Data],M_BOM[PPGridRow],95),0))+IFERROR(INDEX(M_RawMaterials[固定週次消費量_要入力],MATCH($A15,M_RawMaterials[Part Name],0)),0)</f>
        <v/>
      </c>
      <c r="CR15">
        <f>SUMPRODUCT((M_BOM[Part Name]=$A15)*M_BOM[RM_Qty_Per_Batch]*IFERROR(INDEX(PP_Grid[#Data],M_BOM[PPGridRow],96),0))+IFERROR(INDEX(M_RawMaterials[固定週次消費量_要入力],MATCH($A15,M_RawMaterials[Part Name],0)),0)</f>
        <v/>
      </c>
      <c r="CS15">
        <f>SUMPRODUCT((M_BOM[Part Name]=$A15)*M_BOM[RM_Qty_Per_Batch]*IFERROR(INDEX(PP_Grid[#Data],M_BOM[PPGridRow],97),0))+IFERROR(INDEX(M_RawMaterials[固定週次消費量_要入力],MATCH($A15,M_RawMaterials[Part Name],0)),0)</f>
        <v/>
      </c>
      <c r="CT15">
        <f>SUMPRODUCT((M_BOM[Part Name]=$A15)*M_BOM[RM_Qty_Per_Batch]*IFERROR(INDEX(PP_Grid[#Data],M_BOM[PPGridRow],98),0))+IFERROR(INDEX(M_RawMaterials[固定週次消費量_要入力],MATCH($A15,M_RawMaterials[Part Name],0)),0)</f>
        <v/>
      </c>
      <c r="CU15">
        <f>SUMPRODUCT((M_BOM[Part Name]=$A15)*M_BOM[RM_Qty_Per_Batch]*IFERROR(INDEX(PP_Grid[#Data],M_BOM[PPGridRow],99),0))+IFERROR(INDEX(M_RawMaterials[固定週次消費量_要入力],MATCH($A15,M_RawMaterials[Part Name],0)),0)</f>
        <v/>
      </c>
      <c r="CV15">
        <f>SUMPRODUCT((M_BOM[Part Name]=$A15)*M_BOM[RM_Qty_Per_Batch]*IFERROR(INDEX(PP_Grid[#Data],M_BOM[PPGridRow],100),0))+IFERROR(INDEX(M_RawMaterials[固定週次消費量_要入力],MATCH($A15,M_RawMaterials[Part Name],0)),0)</f>
        <v/>
      </c>
      <c r="CW15">
        <f>SUMPRODUCT((M_BOM[Part Name]=$A15)*M_BOM[RM_Qty_Per_Batch]*IFERROR(INDEX(PP_Grid[#Data],M_BOM[PPGridRow],101),0))+IFERROR(INDEX(M_RawMaterials[固定週次消費量_要入力],MATCH($A15,M_RawMaterials[Part Name],0)),0)</f>
        <v/>
      </c>
      <c r="CX15">
        <f>SUMPRODUCT((M_BOM[Part Name]=$A15)*M_BOM[RM_Qty_Per_Batch]*IFERROR(INDEX(PP_Grid[#Data],M_BOM[PPGridRow],102),0))+IFERROR(INDEX(M_RawMaterials[固定週次消費量_要入力],MATCH($A15,M_RawMaterials[Part Name],0)),0)</f>
        <v/>
      </c>
      <c r="CY15">
        <f>SUMPRODUCT((M_BOM[Part Name]=$A15)*M_BOM[RM_Qty_Per_Batch]*IFERROR(INDEX(PP_Grid[#Data],M_BOM[PPGridRow],103),0))+IFERROR(INDEX(M_RawMaterials[固定週次消費量_要入力],MATCH($A15,M_RawMaterials[Part Name],0)),0)</f>
        <v/>
      </c>
      <c r="CZ15">
        <f>SUMPRODUCT((M_BOM[Part Name]=$A15)*M_BOM[RM_Qty_Per_Batch]*IFERROR(INDEX(PP_Grid[#Data],M_BOM[PPGridRow],104),0))+IFERROR(INDEX(M_RawMaterials[固定週次消費量_要入力],MATCH($A15,M_RawMaterials[Part Name],0)),0)</f>
        <v/>
      </c>
      <c r="DA15">
        <f>SUMPRODUCT((M_BOM[Part Name]=$A15)*M_BOM[RM_Qty_Per_Batch]*IFERROR(INDEX(PP_Grid[#Data],M_BOM[PPGridRow],105),0))+IFERROR(INDEX(M_RawMaterials[固定週次消費量_要入力],MATCH($A15,M_RawMaterials[Part Name],0)),0)</f>
        <v/>
      </c>
    </row>
    <row r="16">
      <c r="A16" t="inlineStr">
        <is>
          <t>8EN</t>
        </is>
      </c>
      <c r="B16">
        <f>SUMPRODUCT((M_BOM[Part Name]=$A16)*M_BOM[RM_Qty_Per_Batch]*IFERROR(INDEX(PP_Grid[#Data],M_BOM[PPGridRow],2),0))+IFERROR(INDEX(M_RawMaterials[固定週次消費量_要入力],MATCH($A16,M_RawMaterials[Part Name],0)),0)</f>
        <v/>
      </c>
      <c r="C16">
        <f>SUMPRODUCT((M_BOM[Part Name]=$A16)*M_BOM[RM_Qty_Per_Batch]*IFERROR(INDEX(PP_Grid[#Data],M_BOM[PPGridRow],3),0))+IFERROR(INDEX(M_RawMaterials[固定週次消費量_要入力],MATCH($A16,M_RawMaterials[Part Name],0)),0)</f>
        <v/>
      </c>
      <c r="D16">
        <f>SUMPRODUCT((M_BOM[Part Name]=$A16)*M_BOM[RM_Qty_Per_Batch]*IFERROR(INDEX(PP_Grid[#Data],M_BOM[PPGridRow],4),0))+IFERROR(INDEX(M_RawMaterials[固定週次消費量_要入力],MATCH($A16,M_RawMaterials[Part Name],0)),0)</f>
        <v/>
      </c>
      <c r="E16">
        <f>SUMPRODUCT((M_BOM[Part Name]=$A16)*M_BOM[RM_Qty_Per_Batch]*IFERROR(INDEX(PP_Grid[#Data],M_BOM[PPGridRow],5),0))+IFERROR(INDEX(M_RawMaterials[固定週次消費量_要入力],MATCH($A16,M_RawMaterials[Part Name],0)),0)</f>
        <v/>
      </c>
      <c r="F16">
        <f>SUMPRODUCT((M_BOM[Part Name]=$A16)*M_BOM[RM_Qty_Per_Batch]*IFERROR(INDEX(PP_Grid[#Data],M_BOM[PPGridRow],6),0))+IFERROR(INDEX(M_RawMaterials[固定週次消費量_要入力],MATCH($A16,M_RawMaterials[Part Name],0)),0)</f>
        <v/>
      </c>
      <c r="G16">
        <f>SUMPRODUCT((M_BOM[Part Name]=$A16)*M_BOM[RM_Qty_Per_Batch]*IFERROR(INDEX(PP_Grid[#Data],M_BOM[PPGridRow],7),0))+IFERROR(INDEX(M_RawMaterials[固定週次消費量_要入力],MATCH($A16,M_RawMaterials[Part Name],0)),0)</f>
        <v/>
      </c>
      <c r="H16">
        <f>SUMPRODUCT((M_BOM[Part Name]=$A16)*M_BOM[RM_Qty_Per_Batch]*IFERROR(INDEX(PP_Grid[#Data],M_BOM[PPGridRow],8),0))+IFERROR(INDEX(M_RawMaterials[固定週次消費量_要入力],MATCH($A16,M_RawMaterials[Part Name],0)),0)</f>
        <v/>
      </c>
      <c r="I16">
        <f>SUMPRODUCT((M_BOM[Part Name]=$A16)*M_BOM[RM_Qty_Per_Batch]*IFERROR(INDEX(PP_Grid[#Data],M_BOM[PPGridRow],9),0))+IFERROR(INDEX(M_RawMaterials[固定週次消費量_要入力],MATCH($A16,M_RawMaterials[Part Name],0)),0)</f>
        <v/>
      </c>
      <c r="J16">
        <f>SUMPRODUCT((M_BOM[Part Name]=$A16)*M_BOM[RM_Qty_Per_Batch]*IFERROR(INDEX(PP_Grid[#Data],M_BOM[PPGridRow],10),0))+IFERROR(INDEX(M_RawMaterials[固定週次消費量_要入力],MATCH($A16,M_RawMaterials[Part Name],0)),0)</f>
        <v/>
      </c>
      <c r="K16">
        <f>SUMPRODUCT((M_BOM[Part Name]=$A16)*M_BOM[RM_Qty_Per_Batch]*IFERROR(INDEX(PP_Grid[#Data],M_BOM[PPGridRow],11),0))+IFERROR(INDEX(M_RawMaterials[固定週次消費量_要入力],MATCH($A16,M_RawMaterials[Part Name],0)),0)</f>
        <v/>
      </c>
      <c r="L16">
        <f>SUMPRODUCT((M_BOM[Part Name]=$A16)*M_BOM[RM_Qty_Per_Batch]*IFERROR(INDEX(PP_Grid[#Data],M_BOM[PPGridRow],12),0))+IFERROR(INDEX(M_RawMaterials[固定週次消費量_要入力],MATCH($A16,M_RawMaterials[Part Name],0)),0)</f>
        <v/>
      </c>
      <c r="M16">
        <f>SUMPRODUCT((M_BOM[Part Name]=$A16)*M_BOM[RM_Qty_Per_Batch]*IFERROR(INDEX(PP_Grid[#Data],M_BOM[PPGridRow],13),0))+IFERROR(INDEX(M_RawMaterials[固定週次消費量_要入力],MATCH($A16,M_RawMaterials[Part Name],0)),0)</f>
        <v/>
      </c>
      <c r="N16">
        <f>SUMPRODUCT((M_BOM[Part Name]=$A16)*M_BOM[RM_Qty_Per_Batch]*IFERROR(INDEX(PP_Grid[#Data],M_BOM[PPGridRow],14),0))+IFERROR(INDEX(M_RawMaterials[固定週次消費量_要入力],MATCH($A16,M_RawMaterials[Part Name],0)),0)</f>
        <v/>
      </c>
      <c r="O16">
        <f>SUMPRODUCT((M_BOM[Part Name]=$A16)*M_BOM[RM_Qty_Per_Batch]*IFERROR(INDEX(PP_Grid[#Data],M_BOM[PPGridRow],15),0))+IFERROR(INDEX(M_RawMaterials[固定週次消費量_要入力],MATCH($A16,M_RawMaterials[Part Name],0)),0)</f>
        <v/>
      </c>
      <c r="P16">
        <f>SUMPRODUCT((M_BOM[Part Name]=$A16)*M_BOM[RM_Qty_Per_Batch]*IFERROR(INDEX(PP_Grid[#Data],M_BOM[PPGridRow],16),0))+IFERROR(INDEX(M_RawMaterials[固定週次消費量_要入力],MATCH($A16,M_RawMaterials[Part Name],0)),0)</f>
        <v/>
      </c>
      <c r="Q16">
        <f>SUMPRODUCT((M_BOM[Part Name]=$A16)*M_BOM[RM_Qty_Per_Batch]*IFERROR(INDEX(PP_Grid[#Data],M_BOM[PPGridRow],17),0))+IFERROR(INDEX(M_RawMaterials[固定週次消費量_要入力],MATCH($A16,M_RawMaterials[Part Name],0)),0)</f>
        <v/>
      </c>
      <c r="R16">
        <f>SUMPRODUCT((M_BOM[Part Name]=$A16)*M_BOM[RM_Qty_Per_Batch]*IFERROR(INDEX(PP_Grid[#Data],M_BOM[PPGridRow],18),0))+IFERROR(INDEX(M_RawMaterials[固定週次消費量_要入力],MATCH($A16,M_RawMaterials[Part Name],0)),0)</f>
        <v/>
      </c>
      <c r="S16">
        <f>SUMPRODUCT((M_BOM[Part Name]=$A16)*M_BOM[RM_Qty_Per_Batch]*IFERROR(INDEX(PP_Grid[#Data],M_BOM[PPGridRow],19),0))+IFERROR(INDEX(M_RawMaterials[固定週次消費量_要入力],MATCH($A16,M_RawMaterials[Part Name],0)),0)</f>
        <v/>
      </c>
      <c r="T16">
        <f>SUMPRODUCT((M_BOM[Part Name]=$A16)*M_BOM[RM_Qty_Per_Batch]*IFERROR(INDEX(PP_Grid[#Data],M_BOM[PPGridRow],20),0))+IFERROR(INDEX(M_RawMaterials[固定週次消費量_要入力],MATCH($A16,M_RawMaterials[Part Name],0)),0)</f>
        <v/>
      </c>
      <c r="U16">
        <f>SUMPRODUCT((M_BOM[Part Name]=$A16)*M_BOM[RM_Qty_Per_Batch]*IFERROR(INDEX(PP_Grid[#Data],M_BOM[PPGridRow],21),0))+IFERROR(INDEX(M_RawMaterials[固定週次消費量_要入力],MATCH($A16,M_RawMaterials[Part Name],0)),0)</f>
        <v/>
      </c>
      <c r="V16">
        <f>SUMPRODUCT((M_BOM[Part Name]=$A16)*M_BOM[RM_Qty_Per_Batch]*IFERROR(INDEX(PP_Grid[#Data],M_BOM[PPGridRow],22),0))+IFERROR(INDEX(M_RawMaterials[固定週次消費量_要入力],MATCH($A16,M_RawMaterials[Part Name],0)),0)</f>
        <v/>
      </c>
      <c r="W16">
        <f>SUMPRODUCT((M_BOM[Part Name]=$A16)*M_BOM[RM_Qty_Per_Batch]*IFERROR(INDEX(PP_Grid[#Data],M_BOM[PPGridRow],23),0))+IFERROR(INDEX(M_RawMaterials[固定週次消費量_要入力],MATCH($A16,M_RawMaterials[Part Name],0)),0)</f>
        <v/>
      </c>
      <c r="X16">
        <f>SUMPRODUCT((M_BOM[Part Name]=$A16)*M_BOM[RM_Qty_Per_Batch]*IFERROR(INDEX(PP_Grid[#Data],M_BOM[PPGridRow],24),0))+IFERROR(INDEX(M_RawMaterials[固定週次消費量_要入力],MATCH($A16,M_RawMaterials[Part Name],0)),0)</f>
        <v/>
      </c>
      <c r="Y16">
        <f>SUMPRODUCT((M_BOM[Part Name]=$A16)*M_BOM[RM_Qty_Per_Batch]*IFERROR(INDEX(PP_Grid[#Data],M_BOM[PPGridRow],25),0))+IFERROR(INDEX(M_RawMaterials[固定週次消費量_要入力],MATCH($A16,M_RawMaterials[Part Name],0)),0)</f>
        <v/>
      </c>
      <c r="Z16">
        <f>SUMPRODUCT((M_BOM[Part Name]=$A16)*M_BOM[RM_Qty_Per_Batch]*IFERROR(INDEX(PP_Grid[#Data],M_BOM[PPGridRow],26),0))+IFERROR(INDEX(M_RawMaterials[固定週次消費量_要入力],MATCH($A16,M_RawMaterials[Part Name],0)),0)</f>
        <v/>
      </c>
      <c r="AA16">
        <f>SUMPRODUCT((M_BOM[Part Name]=$A16)*M_BOM[RM_Qty_Per_Batch]*IFERROR(INDEX(PP_Grid[#Data],M_BOM[PPGridRow],27),0))+IFERROR(INDEX(M_RawMaterials[固定週次消費量_要入力],MATCH($A16,M_RawMaterials[Part Name],0)),0)</f>
        <v/>
      </c>
      <c r="AB16">
        <f>SUMPRODUCT((M_BOM[Part Name]=$A16)*M_BOM[RM_Qty_Per_Batch]*IFERROR(INDEX(PP_Grid[#Data],M_BOM[PPGridRow],28),0))+IFERROR(INDEX(M_RawMaterials[固定週次消費量_要入力],MATCH($A16,M_RawMaterials[Part Name],0)),0)</f>
        <v/>
      </c>
      <c r="AC16">
        <f>SUMPRODUCT((M_BOM[Part Name]=$A16)*M_BOM[RM_Qty_Per_Batch]*IFERROR(INDEX(PP_Grid[#Data],M_BOM[PPGridRow],29),0))+IFERROR(INDEX(M_RawMaterials[固定週次消費量_要入力],MATCH($A16,M_RawMaterials[Part Name],0)),0)</f>
        <v/>
      </c>
      <c r="AD16">
        <f>SUMPRODUCT((M_BOM[Part Name]=$A16)*M_BOM[RM_Qty_Per_Batch]*IFERROR(INDEX(PP_Grid[#Data],M_BOM[PPGridRow],30),0))+IFERROR(INDEX(M_RawMaterials[固定週次消費量_要入力],MATCH($A16,M_RawMaterials[Part Name],0)),0)</f>
        <v/>
      </c>
      <c r="AE16">
        <f>SUMPRODUCT((M_BOM[Part Name]=$A16)*M_BOM[RM_Qty_Per_Batch]*IFERROR(INDEX(PP_Grid[#Data],M_BOM[PPGridRow],31),0))+IFERROR(INDEX(M_RawMaterials[固定週次消費量_要入力],MATCH($A16,M_RawMaterials[Part Name],0)),0)</f>
        <v/>
      </c>
      <c r="AF16">
        <f>SUMPRODUCT((M_BOM[Part Name]=$A16)*M_BOM[RM_Qty_Per_Batch]*IFERROR(INDEX(PP_Grid[#Data],M_BOM[PPGridRow],32),0))+IFERROR(INDEX(M_RawMaterials[固定週次消費量_要入力],MATCH($A16,M_RawMaterials[Part Name],0)),0)</f>
        <v/>
      </c>
      <c r="AG16">
        <f>SUMPRODUCT((M_BOM[Part Name]=$A16)*M_BOM[RM_Qty_Per_Batch]*IFERROR(INDEX(PP_Grid[#Data],M_BOM[PPGridRow],33),0))+IFERROR(INDEX(M_RawMaterials[固定週次消費量_要入力],MATCH($A16,M_RawMaterials[Part Name],0)),0)</f>
        <v/>
      </c>
      <c r="AH16">
        <f>SUMPRODUCT((M_BOM[Part Name]=$A16)*M_BOM[RM_Qty_Per_Batch]*IFERROR(INDEX(PP_Grid[#Data],M_BOM[PPGridRow],34),0))+IFERROR(INDEX(M_RawMaterials[固定週次消費量_要入力],MATCH($A16,M_RawMaterials[Part Name],0)),0)</f>
        <v/>
      </c>
      <c r="AI16">
        <f>SUMPRODUCT((M_BOM[Part Name]=$A16)*M_BOM[RM_Qty_Per_Batch]*IFERROR(INDEX(PP_Grid[#Data],M_BOM[PPGridRow],35),0))+IFERROR(INDEX(M_RawMaterials[固定週次消費量_要入力],MATCH($A16,M_RawMaterials[Part Name],0)),0)</f>
        <v/>
      </c>
      <c r="AJ16">
        <f>SUMPRODUCT((M_BOM[Part Name]=$A16)*M_BOM[RM_Qty_Per_Batch]*IFERROR(INDEX(PP_Grid[#Data],M_BOM[PPGridRow],36),0))+IFERROR(INDEX(M_RawMaterials[固定週次消費量_要入力],MATCH($A16,M_RawMaterials[Part Name],0)),0)</f>
        <v/>
      </c>
      <c r="AK16">
        <f>SUMPRODUCT((M_BOM[Part Name]=$A16)*M_BOM[RM_Qty_Per_Batch]*IFERROR(INDEX(PP_Grid[#Data],M_BOM[PPGridRow],37),0))+IFERROR(INDEX(M_RawMaterials[固定週次消費量_要入力],MATCH($A16,M_RawMaterials[Part Name],0)),0)</f>
        <v/>
      </c>
      <c r="AL16">
        <f>SUMPRODUCT((M_BOM[Part Name]=$A16)*M_BOM[RM_Qty_Per_Batch]*IFERROR(INDEX(PP_Grid[#Data],M_BOM[PPGridRow],38),0))+IFERROR(INDEX(M_RawMaterials[固定週次消費量_要入力],MATCH($A16,M_RawMaterials[Part Name],0)),0)</f>
        <v/>
      </c>
      <c r="AM16">
        <f>SUMPRODUCT((M_BOM[Part Name]=$A16)*M_BOM[RM_Qty_Per_Batch]*IFERROR(INDEX(PP_Grid[#Data],M_BOM[PPGridRow],39),0))+IFERROR(INDEX(M_RawMaterials[固定週次消費量_要入力],MATCH($A16,M_RawMaterials[Part Name],0)),0)</f>
        <v/>
      </c>
      <c r="AN16">
        <f>SUMPRODUCT((M_BOM[Part Name]=$A16)*M_BOM[RM_Qty_Per_Batch]*IFERROR(INDEX(PP_Grid[#Data],M_BOM[PPGridRow],40),0))+IFERROR(INDEX(M_RawMaterials[固定週次消費量_要入力],MATCH($A16,M_RawMaterials[Part Name],0)),0)</f>
        <v/>
      </c>
      <c r="AO16">
        <f>SUMPRODUCT((M_BOM[Part Name]=$A16)*M_BOM[RM_Qty_Per_Batch]*IFERROR(INDEX(PP_Grid[#Data],M_BOM[PPGridRow],41),0))+IFERROR(INDEX(M_RawMaterials[固定週次消費量_要入力],MATCH($A16,M_RawMaterials[Part Name],0)),0)</f>
        <v/>
      </c>
      <c r="AP16">
        <f>SUMPRODUCT((M_BOM[Part Name]=$A16)*M_BOM[RM_Qty_Per_Batch]*IFERROR(INDEX(PP_Grid[#Data],M_BOM[PPGridRow],42),0))+IFERROR(INDEX(M_RawMaterials[固定週次消費量_要入力],MATCH($A16,M_RawMaterials[Part Name],0)),0)</f>
        <v/>
      </c>
      <c r="AQ16">
        <f>SUMPRODUCT((M_BOM[Part Name]=$A16)*M_BOM[RM_Qty_Per_Batch]*IFERROR(INDEX(PP_Grid[#Data],M_BOM[PPGridRow],43),0))+IFERROR(INDEX(M_RawMaterials[固定週次消費量_要入力],MATCH($A16,M_RawMaterials[Part Name],0)),0)</f>
        <v/>
      </c>
      <c r="AR16">
        <f>SUMPRODUCT((M_BOM[Part Name]=$A16)*M_BOM[RM_Qty_Per_Batch]*IFERROR(INDEX(PP_Grid[#Data],M_BOM[PPGridRow],44),0))+IFERROR(INDEX(M_RawMaterials[固定週次消費量_要入力],MATCH($A16,M_RawMaterials[Part Name],0)),0)</f>
        <v/>
      </c>
      <c r="AS16">
        <f>SUMPRODUCT((M_BOM[Part Name]=$A16)*M_BOM[RM_Qty_Per_Batch]*IFERROR(INDEX(PP_Grid[#Data],M_BOM[PPGridRow],45),0))+IFERROR(INDEX(M_RawMaterials[固定週次消費量_要入力],MATCH($A16,M_RawMaterials[Part Name],0)),0)</f>
        <v/>
      </c>
      <c r="AT16">
        <f>SUMPRODUCT((M_BOM[Part Name]=$A16)*M_BOM[RM_Qty_Per_Batch]*IFERROR(INDEX(PP_Grid[#Data],M_BOM[PPGridRow],46),0))+IFERROR(INDEX(M_RawMaterials[固定週次消費量_要入力],MATCH($A16,M_RawMaterials[Part Name],0)),0)</f>
        <v/>
      </c>
      <c r="AU16">
        <f>SUMPRODUCT((M_BOM[Part Name]=$A16)*M_BOM[RM_Qty_Per_Batch]*IFERROR(INDEX(PP_Grid[#Data],M_BOM[PPGridRow],47),0))+IFERROR(INDEX(M_RawMaterials[固定週次消費量_要入力],MATCH($A16,M_RawMaterials[Part Name],0)),0)</f>
        <v/>
      </c>
      <c r="AV16">
        <f>SUMPRODUCT((M_BOM[Part Name]=$A16)*M_BOM[RM_Qty_Per_Batch]*IFERROR(INDEX(PP_Grid[#Data],M_BOM[PPGridRow],48),0))+IFERROR(INDEX(M_RawMaterials[固定週次消費量_要入力],MATCH($A16,M_RawMaterials[Part Name],0)),0)</f>
        <v/>
      </c>
      <c r="AW16">
        <f>SUMPRODUCT((M_BOM[Part Name]=$A16)*M_BOM[RM_Qty_Per_Batch]*IFERROR(INDEX(PP_Grid[#Data],M_BOM[PPGridRow],49),0))+IFERROR(INDEX(M_RawMaterials[固定週次消費量_要入力],MATCH($A16,M_RawMaterials[Part Name],0)),0)</f>
        <v/>
      </c>
      <c r="AX16">
        <f>SUMPRODUCT((M_BOM[Part Name]=$A16)*M_BOM[RM_Qty_Per_Batch]*IFERROR(INDEX(PP_Grid[#Data],M_BOM[PPGridRow],50),0))+IFERROR(INDEX(M_RawMaterials[固定週次消費量_要入力],MATCH($A16,M_RawMaterials[Part Name],0)),0)</f>
        <v/>
      </c>
      <c r="AY16">
        <f>SUMPRODUCT((M_BOM[Part Name]=$A16)*M_BOM[RM_Qty_Per_Batch]*IFERROR(INDEX(PP_Grid[#Data],M_BOM[PPGridRow],51),0))+IFERROR(INDEX(M_RawMaterials[固定週次消費量_要入力],MATCH($A16,M_RawMaterials[Part Name],0)),0)</f>
        <v/>
      </c>
      <c r="AZ16">
        <f>SUMPRODUCT((M_BOM[Part Name]=$A16)*M_BOM[RM_Qty_Per_Batch]*IFERROR(INDEX(PP_Grid[#Data],M_BOM[PPGridRow],52),0))+IFERROR(INDEX(M_RawMaterials[固定週次消費量_要入力],MATCH($A16,M_RawMaterials[Part Name],0)),0)</f>
        <v/>
      </c>
      <c r="BA16">
        <f>SUMPRODUCT((M_BOM[Part Name]=$A16)*M_BOM[RM_Qty_Per_Batch]*IFERROR(INDEX(PP_Grid[#Data],M_BOM[PPGridRow],53),0))+IFERROR(INDEX(M_RawMaterials[固定週次消費量_要入力],MATCH($A16,M_RawMaterials[Part Name],0)),0)</f>
        <v/>
      </c>
      <c r="BB16">
        <f>SUMPRODUCT((M_BOM[Part Name]=$A16)*M_BOM[RM_Qty_Per_Batch]*IFERROR(INDEX(PP_Grid[#Data],M_BOM[PPGridRow],54),0))+IFERROR(INDEX(M_RawMaterials[固定週次消費量_要入力],MATCH($A16,M_RawMaterials[Part Name],0)),0)</f>
        <v/>
      </c>
      <c r="BC16">
        <f>SUMPRODUCT((M_BOM[Part Name]=$A16)*M_BOM[RM_Qty_Per_Batch]*IFERROR(INDEX(PP_Grid[#Data],M_BOM[PPGridRow],55),0))+IFERROR(INDEX(M_RawMaterials[固定週次消費量_要入力],MATCH($A16,M_RawMaterials[Part Name],0)),0)</f>
        <v/>
      </c>
      <c r="BD16">
        <f>SUMPRODUCT((M_BOM[Part Name]=$A16)*M_BOM[RM_Qty_Per_Batch]*IFERROR(INDEX(PP_Grid[#Data],M_BOM[PPGridRow],56),0))+IFERROR(INDEX(M_RawMaterials[固定週次消費量_要入力],MATCH($A16,M_RawMaterials[Part Name],0)),0)</f>
        <v/>
      </c>
      <c r="BE16">
        <f>SUMPRODUCT((M_BOM[Part Name]=$A16)*M_BOM[RM_Qty_Per_Batch]*IFERROR(INDEX(PP_Grid[#Data],M_BOM[PPGridRow],57),0))+IFERROR(INDEX(M_RawMaterials[固定週次消費量_要入力],MATCH($A16,M_RawMaterials[Part Name],0)),0)</f>
        <v/>
      </c>
      <c r="BF16">
        <f>SUMPRODUCT((M_BOM[Part Name]=$A16)*M_BOM[RM_Qty_Per_Batch]*IFERROR(INDEX(PP_Grid[#Data],M_BOM[PPGridRow],58),0))+IFERROR(INDEX(M_RawMaterials[固定週次消費量_要入力],MATCH($A16,M_RawMaterials[Part Name],0)),0)</f>
        <v/>
      </c>
      <c r="BG16">
        <f>SUMPRODUCT((M_BOM[Part Name]=$A16)*M_BOM[RM_Qty_Per_Batch]*IFERROR(INDEX(PP_Grid[#Data],M_BOM[PPGridRow],59),0))+IFERROR(INDEX(M_RawMaterials[固定週次消費量_要入力],MATCH($A16,M_RawMaterials[Part Name],0)),0)</f>
        <v/>
      </c>
      <c r="BH16">
        <f>SUMPRODUCT((M_BOM[Part Name]=$A16)*M_BOM[RM_Qty_Per_Batch]*IFERROR(INDEX(PP_Grid[#Data],M_BOM[PPGridRow],60),0))+IFERROR(INDEX(M_RawMaterials[固定週次消費量_要入力],MATCH($A16,M_RawMaterials[Part Name],0)),0)</f>
        <v/>
      </c>
      <c r="BI16">
        <f>SUMPRODUCT((M_BOM[Part Name]=$A16)*M_BOM[RM_Qty_Per_Batch]*IFERROR(INDEX(PP_Grid[#Data],M_BOM[PPGridRow],61),0))+IFERROR(INDEX(M_RawMaterials[固定週次消費量_要入力],MATCH($A16,M_RawMaterials[Part Name],0)),0)</f>
        <v/>
      </c>
      <c r="BJ16">
        <f>SUMPRODUCT((M_BOM[Part Name]=$A16)*M_BOM[RM_Qty_Per_Batch]*IFERROR(INDEX(PP_Grid[#Data],M_BOM[PPGridRow],62),0))+IFERROR(INDEX(M_RawMaterials[固定週次消費量_要入力],MATCH($A16,M_RawMaterials[Part Name],0)),0)</f>
        <v/>
      </c>
      <c r="BK16">
        <f>SUMPRODUCT((M_BOM[Part Name]=$A16)*M_BOM[RM_Qty_Per_Batch]*IFERROR(INDEX(PP_Grid[#Data],M_BOM[PPGridRow],63),0))+IFERROR(INDEX(M_RawMaterials[固定週次消費量_要入力],MATCH($A16,M_RawMaterials[Part Name],0)),0)</f>
        <v/>
      </c>
      <c r="BL16">
        <f>SUMPRODUCT((M_BOM[Part Name]=$A16)*M_BOM[RM_Qty_Per_Batch]*IFERROR(INDEX(PP_Grid[#Data],M_BOM[PPGridRow],64),0))+IFERROR(INDEX(M_RawMaterials[固定週次消費量_要入力],MATCH($A16,M_RawMaterials[Part Name],0)),0)</f>
        <v/>
      </c>
      <c r="BM16">
        <f>SUMPRODUCT((M_BOM[Part Name]=$A16)*M_BOM[RM_Qty_Per_Batch]*IFERROR(INDEX(PP_Grid[#Data],M_BOM[PPGridRow],65),0))+IFERROR(INDEX(M_RawMaterials[固定週次消費量_要入力],MATCH($A16,M_RawMaterials[Part Name],0)),0)</f>
        <v/>
      </c>
      <c r="BN16">
        <f>SUMPRODUCT((M_BOM[Part Name]=$A16)*M_BOM[RM_Qty_Per_Batch]*IFERROR(INDEX(PP_Grid[#Data],M_BOM[PPGridRow],66),0))+IFERROR(INDEX(M_RawMaterials[固定週次消費量_要入力],MATCH($A16,M_RawMaterials[Part Name],0)),0)</f>
        <v/>
      </c>
      <c r="BO16">
        <f>SUMPRODUCT((M_BOM[Part Name]=$A16)*M_BOM[RM_Qty_Per_Batch]*IFERROR(INDEX(PP_Grid[#Data],M_BOM[PPGridRow],67),0))+IFERROR(INDEX(M_RawMaterials[固定週次消費量_要入力],MATCH($A16,M_RawMaterials[Part Name],0)),0)</f>
        <v/>
      </c>
      <c r="BP16">
        <f>SUMPRODUCT((M_BOM[Part Name]=$A16)*M_BOM[RM_Qty_Per_Batch]*IFERROR(INDEX(PP_Grid[#Data],M_BOM[PPGridRow],68),0))+IFERROR(INDEX(M_RawMaterials[固定週次消費量_要入力],MATCH($A16,M_RawMaterials[Part Name],0)),0)</f>
        <v/>
      </c>
      <c r="BQ16">
        <f>SUMPRODUCT((M_BOM[Part Name]=$A16)*M_BOM[RM_Qty_Per_Batch]*IFERROR(INDEX(PP_Grid[#Data],M_BOM[PPGridRow],69),0))+IFERROR(INDEX(M_RawMaterials[固定週次消費量_要入力],MATCH($A16,M_RawMaterials[Part Name],0)),0)</f>
        <v/>
      </c>
      <c r="BR16">
        <f>SUMPRODUCT((M_BOM[Part Name]=$A16)*M_BOM[RM_Qty_Per_Batch]*IFERROR(INDEX(PP_Grid[#Data],M_BOM[PPGridRow],70),0))+IFERROR(INDEX(M_RawMaterials[固定週次消費量_要入力],MATCH($A16,M_RawMaterials[Part Name],0)),0)</f>
        <v/>
      </c>
      <c r="BS16">
        <f>SUMPRODUCT((M_BOM[Part Name]=$A16)*M_BOM[RM_Qty_Per_Batch]*IFERROR(INDEX(PP_Grid[#Data],M_BOM[PPGridRow],71),0))+IFERROR(INDEX(M_RawMaterials[固定週次消費量_要入力],MATCH($A16,M_RawMaterials[Part Name],0)),0)</f>
        <v/>
      </c>
      <c r="BT16">
        <f>SUMPRODUCT((M_BOM[Part Name]=$A16)*M_BOM[RM_Qty_Per_Batch]*IFERROR(INDEX(PP_Grid[#Data],M_BOM[PPGridRow],72),0))+IFERROR(INDEX(M_RawMaterials[固定週次消費量_要入力],MATCH($A16,M_RawMaterials[Part Name],0)),0)</f>
        <v/>
      </c>
      <c r="BU16">
        <f>SUMPRODUCT((M_BOM[Part Name]=$A16)*M_BOM[RM_Qty_Per_Batch]*IFERROR(INDEX(PP_Grid[#Data],M_BOM[PPGridRow],73),0))+IFERROR(INDEX(M_RawMaterials[固定週次消費量_要入力],MATCH($A16,M_RawMaterials[Part Name],0)),0)</f>
        <v/>
      </c>
      <c r="BV16">
        <f>SUMPRODUCT((M_BOM[Part Name]=$A16)*M_BOM[RM_Qty_Per_Batch]*IFERROR(INDEX(PP_Grid[#Data],M_BOM[PPGridRow],74),0))+IFERROR(INDEX(M_RawMaterials[固定週次消費量_要入力],MATCH($A16,M_RawMaterials[Part Name],0)),0)</f>
        <v/>
      </c>
      <c r="BW16">
        <f>SUMPRODUCT((M_BOM[Part Name]=$A16)*M_BOM[RM_Qty_Per_Batch]*IFERROR(INDEX(PP_Grid[#Data],M_BOM[PPGridRow],75),0))+IFERROR(INDEX(M_RawMaterials[固定週次消費量_要入力],MATCH($A16,M_RawMaterials[Part Name],0)),0)</f>
        <v/>
      </c>
      <c r="BX16">
        <f>SUMPRODUCT((M_BOM[Part Name]=$A16)*M_BOM[RM_Qty_Per_Batch]*IFERROR(INDEX(PP_Grid[#Data],M_BOM[PPGridRow],76),0))+IFERROR(INDEX(M_RawMaterials[固定週次消費量_要入力],MATCH($A16,M_RawMaterials[Part Name],0)),0)</f>
        <v/>
      </c>
      <c r="BY16">
        <f>SUMPRODUCT((M_BOM[Part Name]=$A16)*M_BOM[RM_Qty_Per_Batch]*IFERROR(INDEX(PP_Grid[#Data],M_BOM[PPGridRow],77),0))+IFERROR(INDEX(M_RawMaterials[固定週次消費量_要入力],MATCH($A16,M_RawMaterials[Part Name],0)),0)</f>
        <v/>
      </c>
      <c r="BZ16">
        <f>SUMPRODUCT((M_BOM[Part Name]=$A16)*M_BOM[RM_Qty_Per_Batch]*IFERROR(INDEX(PP_Grid[#Data],M_BOM[PPGridRow],78),0))+IFERROR(INDEX(M_RawMaterials[固定週次消費量_要入力],MATCH($A16,M_RawMaterials[Part Name],0)),0)</f>
        <v/>
      </c>
      <c r="CA16">
        <f>SUMPRODUCT((M_BOM[Part Name]=$A16)*M_BOM[RM_Qty_Per_Batch]*IFERROR(INDEX(PP_Grid[#Data],M_BOM[PPGridRow],79),0))+IFERROR(INDEX(M_RawMaterials[固定週次消費量_要入力],MATCH($A16,M_RawMaterials[Part Name],0)),0)</f>
        <v/>
      </c>
      <c r="CB16">
        <f>SUMPRODUCT((M_BOM[Part Name]=$A16)*M_BOM[RM_Qty_Per_Batch]*IFERROR(INDEX(PP_Grid[#Data],M_BOM[PPGridRow],80),0))+IFERROR(INDEX(M_RawMaterials[固定週次消費量_要入力],MATCH($A16,M_RawMaterials[Part Name],0)),0)</f>
        <v/>
      </c>
      <c r="CC16">
        <f>SUMPRODUCT((M_BOM[Part Name]=$A16)*M_BOM[RM_Qty_Per_Batch]*IFERROR(INDEX(PP_Grid[#Data],M_BOM[PPGridRow],81),0))+IFERROR(INDEX(M_RawMaterials[固定週次消費量_要入力],MATCH($A16,M_RawMaterials[Part Name],0)),0)</f>
        <v/>
      </c>
      <c r="CD16">
        <f>SUMPRODUCT((M_BOM[Part Name]=$A16)*M_BOM[RM_Qty_Per_Batch]*IFERROR(INDEX(PP_Grid[#Data],M_BOM[PPGridRow],82),0))+IFERROR(INDEX(M_RawMaterials[固定週次消費量_要入力],MATCH($A16,M_RawMaterials[Part Name],0)),0)</f>
        <v/>
      </c>
      <c r="CE16">
        <f>SUMPRODUCT((M_BOM[Part Name]=$A16)*M_BOM[RM_Qty_Per_Batch]*IFERROR(INDEX(PP_Grid[#Data],M_BOM[PPGridRow],83),0))+IFERROR(INDEX(M_RawMaterials[固定週次消費量_要入力],MATCH($A16,M_RawMaterials[Part Name],0)),0)</f>
        <v/>
      </c>
      <c r="CF16">
        <f>SUMPRODUCT((M_BOM[Part Name]=$A16)*M_BOM[RM_Qty_Per_Batch]*IFERROR(INDEX(PP_Grid[#Data],M_BOM[PPGridRow],84),0))+IFERROR(INDEX(M_RawMaterials[固定週次消費量_要入力],MATCH($A16,M_RawMaterials[Part Name],0)),0)</f>
        <v/>
      </c>
      <c r="CG16">
        <f>SUMPRODUCT((M_BOM[Part Name]=$A16)*M_BOM[RM_Qty_Per_Batch]*IFERROR(INDEX(PP_Grid[#Data],M_BOM[PPGridRow],85),0))+IFERROR(INDEX(M_RawMaterials[固定週次消費量_要入力],MATCH($A16,M_RawMaterials[Part Name],0)),0)</f>
        <v/>
      </c>
      <c r="CH16">
        <f>SUMPRODUCT((M_BOM[Part Name]=$A16)*M_BOM[RM_Qty_Per_Batch]*IFERROR(INDEX(PP_Grid[#Data],M_BOM[PPGridRow],86),0))+IFERROR(INDEX(M_RawMaterials[固定週次消費量_要入力],MATCH($A16,M_RawMaterials[Part Name],0)),0)</f>
        <v/>
      </c>
      <c r="CI16">
        <f>SUMPRODUCT((M_BOM[Part Name]=$A16)*M_BOM[RM_Qty_Per_Batch]*IFERROR(INDEX(PP_Grid[#Data],M_BOM[PPGridRow],87),0))+IFERROR(INDEX(M_RawMaterials[固定週次消費量_要入力],MATCH($A16,M_RawMaterials[Part Name],0)),0)</f>
        <v/>
      </c>
      <c r="CJ16">
        <f>SUMPRODUCT((M_BOM[Part Name]=$A16)*M_BOM[RM_Qty_Per_Batch]*IFERROR(INDEX(PP_Grid[#Data],M_BOM[PPGridRow],88),0))+IFERROR(INDEX(M_RawMaterials[固定週次消費量_要入力],MATCH($A16,M_RawMaterials[Part Name],0)),0)</f>
        <v/>
      </c>
      <c r="CK16">
        <f>SUMPRODUCT((M_BOM[Part Name]=$A16)*M_BOM[RM_Qty_Per_Batch]*IFERROR(INDEX(PP_Grid[#Data],M_BOM[PPGridRow],89),0))+IFERROR(INDEX(M_RawMaterials[固定週次消費量_要入力],MATCH($A16,M_RawMaterials[Part Name],0)),0)</f>
        <v/>
      </c>
      <c r="CL16">
        <f>SUMPRODUCT((M_BOM[Part Name]=$A16)*M_BOM[RM_Qty_Per_Batch]*IFERROR(INDEX(PP_Grid[#Data],M_BOM[PPGridRow],90),0))+IFERROR(INDEX(M_RawMaterials[固定週次消費量_要入力],MATCH($A16,M_RawMaterials[Part Name],0)),0)</f>
        <v/>
      </c>
      <c r="CM16">
        <f>SUMPRODUCT((M_BOM[Part Name]=$A16)*M_BOM[RM_Qty_Per_Batch]*IFERROR(INDEX(PP_Grid[#Data],M_BOM[PPGridRow],91),0))+IFERROR(INDEX(M_RawMaterials[固定週次消費量_要入力],MATCH($A16,M_RawMaterials[Part Name],0)),0)</f>
        <v/>
      </c>
      <c r="CN16">
        <f>SUMPRODUCT((M_BOM[Part Name]=$A16)*M_BOM[RM_Qty_Per_Batch]*IFERROR(INDEX(PP_Grid[#Data],M_BOM[PPGridRow],92),0))+IFERROR(INDEX(M_RawMaterials[固定週次消費量_要入力],MATCH($A16,M_RawMaterials[Part Name],0)),0)</f>
        <v/>
      </c>
      <c r="CO16">
        <f>SUMPRODUCT((M_BOM[Part Name]=$A16)*M_BOM[RM_Qty_Per_Batch]*IFERROR(INDEX(PP_Grid[#Data],M_BOM[PPGridRow],93),0))+IFERROR(INDEX(M_RawMaterials[固定週次消費量_要入力],MATCH($A16,M_RawMaterials[Part Name],0)),0)</f>
        <v/>
      </c>
      <c r="CP16">
        <f>SUMPRODUCT((M_BOM[Part Name]=$A16)*M_BOM[RM_Qty_Per_Batch]*IFERROR(INDEX(PP_Grid[#Data],M_BOM[PPGridRow],94),0))+IFERROR(INDEX(M_RawMaterials[固定週次消費量_要入力],MATCH($A16,M_RawMaterials[Part Name],0)),0)</f>
        <v/>
      </c>
      <c r="CQ16">
        <f>SUMPRODUCT((M_BOM[Part Name]=$A16)*M_BOM[RM_Qty_Per_Batch]*IFERROR(INDEX(PP_Grid[#Data],M_BOM[PPGridRow],95),0))+IFERROR(INDEX(M_RawMaterials[固定週次消費量_要入力],MATCH($A16,M_RawMaterials[Part Name],0)),0)</f>
        <v/>
      </c>
      <c r="CR16">
        <f>SUMPRODUCT((M_BOM[Part Name]=$A16)*M_BOM[RM_Qty_Per_Batch]*IFERROR(INDEX(PP_Grid[#Data],M_BOM[PPGridRow],96),0))+IFERROR(INDEX(M_RawMaterials[固定週次消費量_要入力],MATCH($A16,M_RawMaterials[Part Name],0)),0)</f>
        <v/>
      </c>
      <c r="CS16">
        <f>SUMPRODUCT((M_BOM[Part Name]=$A16)*M_BOM[RM_Qty_Per_Batch]*IFERROR(INDEX(PP_Grid[#Data],M_BOM[PPGridRow],97),0))+IFERROR(INDEX(M_RawMaterials[固定週次消費量_要入力],MATCH($A16,M_RawMaterials[Part Name],0)),0)</f>
        <v/>
      </c>
      <c r="CT16">
        <f>SUMPRODUCT((M_BOM[Part Name]=$A16)*M_BOM[RM_Qty_Per_Batch]*IFERROR(INDEX(PP_Grid[#Data],M_BOM[PPGridRow],98),0))+IFERROR(INDEX(M_RawMaterials[固定週次消費量_要入力],MATCH($A16,M_RawMaterials[Part Name],0)),0)</f>
        <v/>
      </c>
      <c r="CU16">
        <f>SUMPRODUCT((M_BOM[Part Name]=$A16)*M_BOM[RM_Qty_Per_Batch]*IFERROR(INDEX(PP_Grid[#Data],M_BOM[PPGridRow],99),0))+IFERROR(INDEX(M_RawMaterials[固定週次消費量_要入力],MATCH($A16,M_RawMaterials[Part Name],0)),0)</f>
        <v/>
      </c>
      <c r="CV16">
        <f>SUMPRODUCT((M_BOM[Part Name]=$A16)*M_BOM[RM_Qty_Per_Batch]*IFERROR(INDEX(PP_Grid[#Data],M_BOM[PPGridRow],100),0))+IFERROR(INDEX(M_RawMaterials[固定週次消費量_要入力],MATCH($A16,M_RawMaterials[Part Name],0)),0)</f>
        <v/>
      </c>
      <c r="CW16">
        <f>SUMPRODUCT((M_BOM[Part Name]=$A16)*M_BOM[RM_Qty_Per_Batch]*IFERROR(INDEX(PP_Grid[#Data],M_BOM[PPGridRow],101),0))+IFERROR(INDEX(M_RawMaterials[固定週次消費量_要入力],MATCH($A16,M_RawMaterials[Part Name],0)),0)</f>
        <v/>
      </c>
      <c r="CX16">
        <f>SUMPRODUCT((M_BOM[Part Name]=$A16)*M_BOM[RM_Qty_Per_Batch]*IFERROR(INDEX(PP_Grid[#Data],M_BOM[PPGridRow],102),0))+IFERROR(INDEX(M_RawMaterials[固定週次消費量_要入力],MATCH($A16,M_RawMaterials[Part Name],0)),0)</f>
        <v/>
      </c>
      <c r="CY16">
        <f>SUMPRODUCT((M_BOM[Part Name]=$A16)*M_BOM[RM_Qty_Per_Batch]*IFERROR(INDEX(PP_Grid[#Data],M_BOM[PPGridRow],103),0))+IFERROR(INDEX(M_RawMaterials[固定週次消費量_要入力],MATCH($A16,M_RawMaterials[Part Name],0)),0)</f>
        <v/>
      </c>
      <c r="CZ16">
        <f>SUMPRODUCT((M_BOM[Part Name]=$A16)*M_BOM[RM_Qty_Per_Batch]*IFERROR(INDEX(PP_Grid[#Data],M_BOM[PPGridRow],104),0))+IFERROR(INDEX(M_RawMaterials[固定週次消費量_要入力],MATCH($A16,M_RawMaterials[Part Name],0)),0)</f>
        <v/>
      </c>
      <c r="DA16">
        <f>SUMPRODUCT((M_BOM[Part Name]=$A16)*M_BOM[RM_Qty_Per_Batch]*IFERROR(INDEX(PP_Grid[#Data],M_BOM[PPGridRow],105),0))+IFERROR(INDEX(M_RawMaterials[固定週次消費量_要入力],MATCH($A16,M_RawMaterials[Part Name],0)),0)</f>
        <v/>
      </c>
    </row>
    <row r="17">
      <c r="A17" t="inlineStr">
        <is>
          <t>9RJ</t>
        </is>
      </c>
      <c r="B17">
        <f>SUMPRODUCT((M_BOM[Part Name]=$A17)*M_BOM[RM_Qty_Per_Batch]*IFERROR(INDEX(PP_Grid[#Data],M_BOM[PPGridRow],2),0))+IFERROR(INDEX(M_RawMaterials[固定週次消費量_要入力],MATCH($A17,M_RawMaterials[Part Name],0)),0)</f>
        <v/>
      </c>
      <c r="C17">
        <f>SUMPRODUCT((M_BOM[Part Name]=$A17)*M_BOM[RM_Qty_Per_Batch]*IFERROR(INDEX(PP_Grid[#Data],M_BOM[PPGridRow],3),0))+IFERROR(INDEX(M_RawMaterials[固定週次消費量_要入力],MATCH($A17,M_RawMaterials[Part Name],0)),0)</f>
        <v/>
      </c>
      <c r="D17">
        <f>SUMPRODUCT((M_BOM[Part Name]=$A17)*M_BOM[RM_Qty_Per_Batch]*IFERROR(INDEX(PP_Grid[#Data],M_BOM[PPGridRow],4),0))+IFERROR(INDEX(M_RawMaterials[固定週次消費量_要入力],MATCH($A17,M_RawMaterials[Part Name],0)),0)</f>
        <v/>
      </c>
      <c r="E17">
        <f>SUMPRODUCT((M_BOM[Part Name]=$A17)*M_BOM[RM_Qty_Per_Batch]*IFERROR(INDEX(PP_Grid[#Data],M_BOM[PPGridRow],5),0))+IFERROR(INDEX(M_RawMaterials[固定週次消費量_要入力],MATCH($A17,M_RawMaterials[Part Name],0)),0)</f>
        <v/>
      </c>
      <c r="F17">
        <f>SUMPRODUCT((M_BOM[Part Name]=$A17)*M_BOM[RM_Qty_Per_Batch]*IFERROR(INDEX(PP_Grid[#Data],M_BOM[PPGridRow],6),0))+IFERROR(INDEX(M_RawMaterials[固定週次消費量_要入力],MATCH($A17,M_RawMaterials[Part Name],0)),0)</f>
        <v/>
      </c>
      <c r="G17">
        <f>SUMPRODUCT((M_BOM[Part Name]=$A17)*M_BOM[RM_Qty_Per_Batch]*IFERROR(INDEX(PP_Grid[#Data],M_BOM[PPGridRow],7),0))+IFERROR(INDEX(M_RawMaterials[固定週次消費量_要入力],MATCH($A17,M_RawMaterials[Part Name],0)),0)</f>
        <v/>
      </c>
      <c r="H17">
        <f>SUMPRODUCT((M_BOM[Part Name]=$A17)*M_BOM[RM_Qty_Per_Batch]*IFERROR(INDEX(PP_Grid[#Data],M_BOM[PPGridRow],8),0))+IFERROR(INDEX(M_RawMaterials[固定週次消費量_要入力],MATCH($A17,M_RawMaterials[Part Name],0)),0)</f>
        <v/>
      </c>
      <c r="I17">
        <f>SUMPRODUCT((M_BOM[Part Name]=$A17)*M_BOM[RM_Qty_Per_Batch]*IFERROR(INDEX(PP_Grid[#Data],M_BOM[PPGridRow],9),0))+IFERROR(INDEX(M_RawMaterials[固定週次消費量_要入力],MATCH($A17,M_RawMaterials[Part Name],0)),0)</f>
        <v/>
      </c>
      <c r="J17">
        <f>SUMPRODUCT((M_BOM[Part Name]=$A17)*M_BOM[RM_Qty_Per_Batch]*IFERROR(INDEX(PP_Grid[#Data],M_BOM[PPGridRow],10),0))+IFERROR(INDEX(M_RawMaterials[固定週次消費量_要入力],MATCH($A17,M_RawMaterials[Part Name],0)),0)</f>
        <v/>
      </c>
      <c r="K17">
        <f>SUMPRODUCT((M_BOM[Part Name]=$A17)*M_BOM[RM_Qty_Per_Batch]*IFERROR(INDEX(PP_Grid[#Data],M_BOM[PPGridRow],11),0))+IFERROR(INDEX(M_RawMaterials[固定週次消費量_要入力],MATCH($A17,M_RawMaterials[Part Name],0)),0)</f>
        <v/>
      </c>
      <c r="L17">
        <f>SUMPRODUCT((M_BOM[Part Name]=$A17)*M_BOM[RM_Qty_Per_Batch]*IFERROR(INDEX(PP_Grid[#Data],M_BOM[PPGridRow],12),0))+IFERROR(INDEX(M_RawMaterials[固定週次消費量_要入力],MATCH($A17,M_RawMaterials[Part Name],0)),0)</f>
        <v/>
      </c>
      <c r="M17">
        <f>SUMPRODUCT((M_BOM[Part Name]=$A17)*M_BOM[RM_Qty_Per_Batch]*IFERROR(INDEX(PP_Grid[#Data],M_BOM[PPGridRow],13),0))+IFERROR(INDEX(M_RawMaterials[固定週次消費量_要入力],MATCH($A17,M_RawMaterials[Part Name],0)),0)</f>
        <v/>
      </c>
      <c r="N17">
        <f>SUMPRODUCT((M_BOM[Part Name]=$A17)*M_BOM[RM_Qty_Per_Batch]*IFERROR(INDEX(PP_Grid[#Data],M_BOM[PPGridRow],14),0))+IFERROR(INDEX(M_RawMaterials[固定週次消費量_要入力],MATCH($A17,M_RawMaterials[Part Name],0)),0)</f>
        <v/>
      </c>
      <c r="O17">
        <f>SUMPRODUCT((M_BOM[Part Name]=$A17)*M_BOM[RM_Qty_Per_Batch]*IFERROR(INDEX(PP_Grid[#Data],M_BOM[PPGridRow],15),0))+IFERROR(INDEX(M_RawMaterials[固定週次消費量_要入力],MATCH($A17,M_RawMaterials[Part Name],0)),0)</f>
        <v/>
      </c>
      <c r="P17">
        <f>SUMPRODUCT((M_BOM[Part Name]=$A17)*M_BOM[RM_Qty_Per_Batch]*IFERROR(INDEX(PP_Grid[#Data],M_BOM[PPGridRow],16),0))+IFERROR(INDEX(M_RawMaterials[固定週次消費量_要入力],MATCH($A17,M_RawMaterials[Part Name],0)),0)</f>
        <v/>
      </c>
      <c r="Q17">
        <f>SUMPRODUCT((M_BOM[Part Name]=$A17)*M_BOM[RM_Qty_Per_Batch]*IFERROR(INDEX(PP_Grid[#Data],M_BOM[PPGridRow],17),0))+IFERROR(INDEX(M_RawMaterials[固定週次消費量_要入力],MATCH($A17,M_RawMaterials[Part Name],0)),0)</f>
        <v/>
      </c>
      <c r="R17">
        <f>SUMPRODUCT((M_BOM[Part Name]=$A17)*M_BOM[RM_Qty_Per_Batch]*IFERROR(INDEX(PP_Grid[#Data],M_BOM[PPGridRow],18),0))+IFERROR(INDEX(M_RawMaterials[固定週次消費量_要入力],MATCH($A17,M_RawMaterials[Part Name],0)),0)</f>
        <v/>
      </c>
      <c r="S17">
        <f>SUMPRODUCT((M_BOM[Part Name]=$A17)*M_BOM[RM_Qty_Per_Batch]*IFERROR(INDEX(PP_Grid[#Data],M_BOM[PPGridRow],19),0))+IFERROR(INDEX(M_RawMaterials[固定週次消費量_要入力],MATCH($A17,M_RawMaterials[Part Name],0)),0)</f>
        <v/>
      </c>
      <c r="T17">
        <f>SUMPRODUCT((M_BOM[Part Name]=$A17)*M_BOM[RM_Qty_Per_Batch]*IFERROR(INDEX(PP_Grid[#Data],M_BOM[PPGridRow],20),0))+IFERROR(INDEX(M_RawMaterials[固定週次消費量_要入力],MATCH($A17,M_RawMaterials[Part Name],0)),0)</f>
        <v/>
      </c>
      <c r="U17">
        <f>SUMPRODUCT((M_BOM[Part Name]=$A17)*M_BOM[RM_Qty_Per_Batch]*IFERROR(INDEX(PP_Grid[#Data],M_BOM[PPGridRow],21),0))+IFERROR(INDEX(M_RawMaterials[固定週次消費量_要入力],MATCH($A17,M_RawMaterials[Part Name],0)),0)</f>
        <v/>
      </c>
      <c r="V17">
        <f>SUMPRODUCT((M_BOM[Part Name]=$A17)*M_BOM[RM_Qty_Per_Batch]*IFERROR(INDEX(PP_Grid[#Data],M_BOM[PPGridRow],22),0))+IFERROR(INDEX(M_RawMaterials[固定週次消費量_要入力],MATCH($A17,M_RawMaterials[Part Name],0)),0)</f>
        <v/>
      </c>
      <c r="W17">
        <f>SUMPRODUCT((M_BOM[Part Name]=$A17)*M_BOM[RM_Qty_Per_Batch]*IFERROR(INDEX(PP_Grid[#Data],M_BOM[PPGridRow],23),0))+IFERROR(INDEX(M_RawMaterials[固定週次消費量_要入力],MATCH($A17,M_RawMaterials[Part Name],0)),0)</f>
        <v/>
      </c>
      <c r="X17">
        <f>SUMPRODUCT((M_BOM[Part Name]=$A17)*M_BOM[RM_Qty_Per_Batch]*IFERROR(INDEX(PP_Grid[#Data],M_BOM[PPGridRow],24),0))+IFERROR(INDEX(M_RawMaterials[固定週次消費量_要入力],MATCH($A17,M_RawMaterials[Part Name],0)),0)</f>
        <v/>
      </c>
      <c r="Y17">
        <f>SUMPRODUCT((M_BOM[Part Name]=$A17)*M_BOM[RM_Qty_Per_Batch]*IFERROR(INDEX(PP_Grid[#Data],M_BOM[PPGridRow],25),0))+IFERROR(INDEX(M_RawMaterials[固定週次消費量_要入力],MATCH($A17,M_RawMaterials[Part Name],0)),0)</f>
        <v/>
      </c>
      <c r="Z17">
        <f>SUMPRODUCT((M_BOM[Part Name]=$A17)*M_BOM[RM_Qty_Per_Batch]*IFERROR(INDEX(PP_Grid[#Data],M_BOM[PPGridRow],26),0))+IFERROR(INDEX(M_RawMaterials[固定週次消費量_要入力],MATCH($A17,M_RawMaterials[Part Name],0)),0)</f>
        <v/>
      </c>
      <c r="AA17">
        <f>SUMPRODUCT((M_BOM[Part Name]=$A17)*M_BOM[RM_Qty_Per_Batch]*IFERROR(INDEX(PP_Grid[#Data],M_BOM[PPGridRow],27),0))+IFERROR(INDEX(M_RawMaterials[固定週次消費量_要入力],MATCH($A17,M_RawMaterials[Part Name],0)),0)</f>
        <v/>
      </c>
      <c r="AB17">
        <f>SUMPRODUCT((M_BOM[Part Name]=$A17)*M_BOM[RM_Qty_Per_Batch]*IFERROR(INDEX(PP_Grid[#Data],M_BOM[PPGridRow],28),0))+IFERROR(INDEX(M_RawMaterials[固定週次消費量_要入力],MATCH($A17,M_RawMaterials[Part Name],0)),0)</f>
        <v/>
      </c>
      <c r="AC17">
        <f>SUMPRODUCT((M_BOM[Part Name]=$A17)*M_BOM[RM_Qty_Per_Batch]*IFERROR(INDEX(PP_Grid[#Data],M_BOM[PPGridRow],29),0))+IFERROR(INDEX(M_RawMaterials[固定週次消費量_要入力],MATCH($A17,M_RawMaterials[Part Name],0)),0)</f>
        <v/>
      </c>
      <c r="AD17">
        <f>SUMPRODUCT((M_BOM[Part Name]=$A17)*M_BOM[RM_Qty_Per_Batch]*IFERROR(INDEX(PP_Grid[#Data],M_BOM[PPGridRow],30),0))+IFERROR(INDEX(M_RawMaterials[固定週次消費量_要入力],MATCH($A17,M_RawMaterials[Part Name],0)),0)</f>
        <v/>
      </c>
      <c r="AE17">
        <f>SUMPRODUCT((M_BOM[Part Name]=$A17)*M_BOM[RM_Qty_Per_Batch]*IFERROR(INDEX(PP_Grid[#Data],M_BOM[PPGridRow],31),0))+IFERROR(INDEX(M_RawMaterials[固定週次消費量_要入力],MATCH($A17,M_RawMaterials[Part Name],0)),0)</f>
        <v/>
      </c>
      <c r="AF17">
        <f>SUMPRODUCT((M_BOM[Part Name]=$A17)*M_BOM[RM_Qty_Per_Batch]*IFERROR(INDEX(PP_Grid[#Data],M_BOM[PPGridRow],32),0))+IFERROR(INDEX(M_RawMaterials[固定週次消費量_要入力],MATCH($A17,M_RawMaterials[Part Name],0)),0)</f>
        <v/>
      </c>
      <c r="AG17">
        <f>SUMPRODUCT((M_BOM[Part Name]=$A17)*M_BOM[RM_Qty_Per_Batch]*IFERROR(INDEX(PP_Grid[#Data],M_BOM[PPGridRow],33),0))+IFERROR(INDEX(M_RawMaterials[固定週次消費量_要入力],MATCH($A17,M_RawMaterials[Part Name],0)),0)</f>
        <v/>
      </c>
      <c r="AH17">
        <f>SUMPRODUCT((M_BOM[Part Name]=$A17)*M_BOM[RM_Qty_Per_Batch]*IFERROR(INDEX(PP_Grid[#Data],M_BOM[PPGridRow],34),0))+IFERROR(INDEX(M_RawMaterials[固定週次消費量_要入力],MATCH($A17,M_RawMaterials[Part Name],0)),0)</f>
        <v/>
      </c>
      <c r="AI17">
        <f>SUMPRODUCT((M_BOM[Part Name]=$A17)*M_BOM[RM_Qty_Per_Batch]*IFERROR(INDEX(PP_Grid[#Data],M_BOM[PPGridRow],35),0))+IFERROR(INDEX(M_RawMaterials[固定週次消費量_要入力],MATCH($A17,M_RawMaterials[Part Name],0)),0)</f>
        <v/>
      </c>
      <c r="AJ17">
        <f>SUMPRODUCT((M_BOM[Part Name]=$A17)*M_BOM[RM_Qty_Per_Batch]*IFERROR(INDEX(PP_Grid[#Data],M_BOM[PPGridRow],36),0))+IFERROR(INDEX(M_RawMaterials[固定週次消費量_要入力],MATCH($A17,M_RawMaterials[Part Name],0)),0)</f>
        <v/>
      </c>
      <c r="AK17">
        <f>SUMPRODUCT((M_BOM[Part Name]=$A17)*M_BOM[RM_Qty_Per_Batch]*IFERROR(INDEX(PP_Grid[#Data],M_BOM[PPGridRow],37),0))+IFERROR(INDEX(M_RawMaterials[固定週次消費量_要入力],MATCH($A17,M_RawMaterials[Part Name],0)),0)</f>
        <v/>
      </c>
      <c r="AL17">
        <f>SUMPRODUCT((M_BOM[Part Name]=$A17)*M_BOM[RM_Qty_Per_Batch]*IFERROR(INDEX(PP_Grid[#Data],M_BOM[PPGridRow],38),0))+IFERROR(INDEX(M_RawMaterials[固定週次消費量_要入力],MATCH($A17,M_RawMaterials[Part Name],0)),0)</f>
        <v/>
      </c>
      <c r="AM17">
        <f>SUMPRODUCT((M_BOM[Part Name]=$A17)*M_BOM[RM_Qty_Per_Batch]*IFERROR(INDEX(PP_Grid[#Data],M_BOM[PPGridRow],39),0))+IFERROR(INDEX(M_RawMaterials[固定週次消費量_要入力],MATCH($A17,M_RawMaterials[Part Name],0)),0)</f>
        <v/>
      </c>
      <c r="AN17">
        <f>SUMPRODUCT((M_BOM[Part Name]=$A17)*M_BOM[RM_Qty_Per_Batch]*IFERROR(INDEX(PP_Grid[#Data],M_BOM[PPGridRow],40),0))+IFERROR(INDEX(M_RawMaterials[固定週次消費量_要入力],MATCH($A17,M_RawMaterials[Part Name],0)),0)</f>
        <v/>
      </c>
      <c r="AO17">
        <f>SUMPRODUCT((M_BOM[Part Name]=$A17)*M_BOM[RM_Qty_Per_Batch]*IFERROR(INDEX(PP_Grid[#Data],M_BOM[PPGridRow],41),0))+IFERROR(INDEX(M_RawMaterials[固定週次消費量_要入力],MATCH($A17,M_RawMaterials[Part Name],0)),0)</f>
        <v/>
      </c>
      <c r="AP17">
        <f>SUMPRODUCT((M_BOM[Part Name]=$A17)*M_BOM[RM_Qty_Per_Batch]*IFERROR(INDEX(PP_Grid[#Data],M_BOM[PPGridRow],42),0))+IFERROR(INDEX(M_RawMaterials[固定週次消費量_要入力],MATCH($A17,M_RawMaterials[Part Name],0)),0)</f>
        <v/>
      </c>
      <c r="AQ17">
        <f>SUMPRODUCT((M_BOM[Part Name]=$A17)*M_BOM[RM_Qty_Per_Batch]*IFERROR(INDEX(PP_Grid[#Data],M_BOM[PPGridRow],43),0))+IFERROR(INDEX(M_RawMaterials[固定週次消費量_要入力],MATCH($A17,M_RawMaterials[Part Name],0)),0)</f>
        <v/>
      </c>
      <c r="AR17">
        <f>SUMPRODUCT((M_BOM[Part Name]=$A17)*M_BOM[RM_Qty_Per_Batch]*IFERROR(INDEX(PP_Grid[#Data],M_BOM[PPGridRow],44),0))+IFERROR(INDEX(M_RawMaterials[固定週次消費量_要入力],MATCH($A17,M_RawMaterials[Part Name],0)),0)</f>
        <v/>
      </c>
      <c r="AS17">
        <f>SUMPRODUCT((M_BOM[Part Name]=$A17)*M_BOM[RM_Qty_Per_Batch]*IFERROR(INDEX(PP_Grid[#Data],M_BOM[PPGridRow],45),0))+IFERROR(INDEX(M_RawMaterials[固定週次消費量_要入力],MATCH($A17,M_RawMaterials[Part Name],0)),0)</f>
        <v/>
      </c>
      <c r="AT17">
        <f>SUMPRODUCT((M_BOM[Part Name]=$A17)*M_BOM[RM_Qty_Per_Batch]*IFERROR(INDEX(PP_Grid[#Data],M_BOM[PPGridRow],46),0))+IFERROR(INDEX(M_RawMaterials[固定週次消費量_要入力],MATCH($A17,M_RawMaterials[Part Name],0)),0)</f>
        <v/>
      </c>
      <c r="AU17">
        <f>SUMPRODUCT((M_BOM[Part Name]=$A17)*M_BOM[RM_Qty_Per_Batch]*IFERROR(INDEX(PP_Grid[#Data],M_BOM[PPGridRow],47),0))+IFERROR(INDEX(M_RawMaterials[固定週次消費量_要入力],MATCH($A17,M_RawMaterials[Part Name],0)),0)</f>
        <v/>
      </c>
      <c r="AV17">
        <f>SUMPRODUCT((M_BOM[Part Name]=$A17)*M_BOM[RM_Qty_Per_Batch]*IFERROR(INDEX(PP_Grid[#Data],M_BOM[PPGridRow],48),0))+IFERROR(INDEX(M_RawMaterials[固定週次消費量_要入力],MATCH($A17,M_RawMaterials[Part Name],0)),0)</f>
        <v/>
      </c>
      <c r="AW17">
        <f>SUMPRODUCT((M_BOM[Part Name]=$A17)*M_BOM[RM_Qty_Per_Batch]*IFERROR(INDEX(PP_Grid[#Data],M_BOM[PPGridRow],49),0))+IFERROR(INDEX(M_RawMaterials[固定週次消費量_要入力],MATCH($A17,M_RawMaterials[Part Name],0)),0)</f>
        <v/>
      </c>
      <c r="AX17">
        <f>SUMPRODUCT((M_BOM[Part Name]=$A17)*M_BOM[RM_Qty_Per_Batch]*IFERROR(INDEX(PP_Grid[#Data],M_BOM[PPGridRow],50),0))+IFERROR(INDEX(M_RawMaterials[固定週次消費量_要入力],MATCH($A17,M_RawMaterials[Part Name],0)),0)</f>
        <v/>
      </c>
      <c r="AY17">
        <f>SUMPRODUCT((M_BOM[Part Name]=$A17)*M_BOM[RM_Qty_Per_Batch]*IFERROR(INDEX(PP_Grid[#Data],M_BOM[PPGridRow],51),0))+IFERROR(INDEX(M_RawMaterials[固定週次消費量_要入力],MATCH($A17,M_RawMaterials[Part Name],0)),0)</f>
        <v/>
      </c>
      <c r="AZ17">
        <f>SUMPRODUCT((M_BOM[Part Name]=$A17)*M_BOM[RM_Qty_Per_Batch]*IFERROR(INDEX(PP_Grid[#Data],M_BOM[PPGridRow],52),0))+IFERROR(INDEX(M_RawMaterials[固定週次消費量_要入力],MATCH($A17,M_RawMaterials[Part Name],0)),0)</f>
        <v/>
      </c>
      <c r="BA17">
        <f>SUMPRODUCT((M_BOM[Part Name]=$A17)*M_BOM[RM_Qty_Per_Batch]*IFERROR(INDEX(PP_Grid[#Data],M_BOM[PPGridRow],53),0))+IFERROR(INDEX(M_RawMaterials[固定週次消費量_要入力],MATCH($A17,M_RawMaterials[Part Name],0)),0)</f>
        <v/>
      </c>
      <c r="BB17">
        <f>SUMPRODUCT((M_BOM[Part Name]=$A17)*M_BOM[RM_Qty_Per_Batch]*IFERROR(INDEX(PP_Grid[#Data],M_BOM[PPGridRow],54),0))+IFERROR(INDEX(M_RawMaterials[固定週次消費量_要入力],MATCH($A17,M_RawMaterials[Part Name],0)),0)</f>
        <v/>
      </c>
      <c r="BC17">
        <f>SUMPRODUCT((M_BOM[Part Name]=$A17)*M_BOM[RM_Qty_Per_Batch]*IFERROR(INDEX(PP_Grid[#Data],M_BOM[PPGridRow],55),0))+IFERROR(INDEX(M_RawMaterials[固定週次消費量_要入力],MATCH($A17,M_RawMaterials[Part Name],0)),0)</f>
        <v/>
      </c>
      <c r="BD17">
        <f>SUMPRODUCT((M_BOM[Part Name]=$A17)*M_BOM[RM_Qty_Per_Batch]*IFERROR(INDEX(PP_Grid[#Data],M_BOM[PPGridRow],56),0))+IFERROR(INDEX(M_RawMaterials[固定週次消費量_要入力],MATCH($A17,M_RawMaterials[Part Name],0)),0)</f>
        <v/>
      </c>
      <c r="BE17">
        <f>SUMPRODUCT((M_BOM[Part Name]=$A17)*M_BOM[RM_Qty_Per_Batch]*IFERROR(INDEX(PP_Grid[#Data],M_BOM[PPGridRow],57),0))+IFERROR(INDEX(M_RawMaterials[固定週次消費量_要入力],MATCH($A17,M_RawMaterials[Part Name],0)),0)</f>
        <v/>
      </c>
      <c r="BF17">
        <f>SUMPRODUCT((M_BOM[Part Name]=$A17)*M_BOM[RM_Qty_Per_Batch]*IFERROR(INDEX(PP_Grid[#Data],M_BOM[PPGridRow],58),0))+IFERROR(INDEX(M_RawMaterials[固定週次消費量_要入力],MATCH($A17,M_RawMaterials[Part Name],0)),0)</f>
        <v/>
      </c>
      <c r="BG17">
        <f>SUMPRODUCT((M_BOM[Part Name]=$A17)*M_BOM[RM_Qty_Per_Batch]*IFERROR(INDEX(PP_Grid[#Data],M_BOM[PPGridRow],59),0))+IFERROR(INDEX(M_RawMaterials[固定週次消費量_要入力],MATCH($A17,M_RawMaterials[Part Name],0)),0)</f>
        <v/>
      </c>
      <c r="BH17">
        <f>SUMPRODUCT((M_BOM[Part Name]=$A17)*M_BOM[RM_Qty_Per_Batch]*IFERROR(INDEX(PP_Grid[#Data],M_BOM[PPGridRow],60),0))+IFERROR(INDEX(M_RawMaterials[固定週次消費量_要入力],MATCH($A17,M_RawMaterials[Part Name],0)),0)</f>
        <v/>
      </c>
      <c r="BI17">
        <f>SUMPRODUCT((M_BOM[Part Name]=$A17)*M_BOM[RM_Qty_Per_Batch]*IFERROR(INDEX(PP_Grid[#Data],M_BOM[PPGridRow],61),0))+IFERROR(INDEX(M_RawMaterials[固定週次消費量_要入力],MATCH($A17,M_RawMaterials[Part Name],0)),0)</f>
        <v/>
      </c>
      <c r="BJ17">
        <f>SUMPRODUCT((M_BOM[Part Name]=$A17)*M_BOM[RM_Qty_Per_Batch]*IFERROR(INDEX(PP_Grid[#Data],M_BOM[PPGridRow],62),0))+IFERROR(INDEX(M_RawMaterials[固定週次消費量_要入力],MATCH($A17,M_RawMaterials[Part Name],0)),0)</f>
        <v/>
      </c>
      <c r="BK17">
        <f>SUMPRODUCT((M_BOM[Part Name]=$A17)*M_BOM[RM_Qty_Per_Batch]*IFERROR(INDEX(PP_Grid[#Data],M_BOM[PPGridRow],63),0))+IFERROR(INDEX(M_RawMaterials[固定週次消費量_要入力],MATCH($A17,M_RawMaterials[Part Name],0)),0)</f>
        <v/>
      </c>
      <c r="BL17">
        <f>SUMPRODUCT((M_BOM[Part Name]=$A17)*M_BOM[RM_Qty_Per_Batch]*IFERROR(INDEX(PP_Grid[#Data],M_BOM[PPGridRow],64),0))+IFERROR(INDEX(M_RawMaterials[固定週次消費量_要入力],MATCH($A17,M_RawMaterials[Part Name],0)),0)</f>
        <v/>
      </c>
      <c r="BM17">
        <f>SUMPRODUCT((M_BOM[Part Name]=$A17)*M_BOM[RM_Qty_Per_Batch]*IFERROR(INDEX(PP_Grid[#Data],M_BOM[PPGridRow],65),0))+IFERROR(INDEX(M_RawMaterials[固定週次消費量_要入力],MATCH($A17,M_RawMaterials[Part Name],0)),0)</f>
        <v/>
      </c>
      <c r="BN17">
        <f>SUMPRODUCT((M_BOM[Part Name]=$A17)*M_BOM[RM_Qty_Per_Batch]*IFERROR(INDEX(PP_Grid[#Data],M_BOM[PPGridRow],66),0))+IFERROR(INDEX(M_RawMaterials[固定週次消費量_要入力],MATCH($A17,M_RawMaterials[Part Name],0)),0)</f>
        <v/>
      </c>
      <c r="BO17">
        <f>SUMPRODUCT((M_BOM[Part Name]=$A17)*M_BOM[RM_Qty_Per_Batch]*IFERROR(INDEX(PP_Grid[#Data],M_BOM[PPGridRow],67),0))+IFERROR(INDEX(M_RawMaterials[固定週次消費量_要入力],MATCH($A17,M_RawMaterials[Part Name],0)),0)</f>
        <v/>
      </c>
      <c r="BP17">
        <f>SUMPRODUCT((M_BOM[Part Name]=$A17)*M_BOM[RM_Qty_Per_Batch]*IFERROR(INDEX(PP_Grid[#Data],M_BOM[PPGridRow],68),0))+IFERROR(INDEX(M_RawMaterials[固定週次消費量_要入力],MATCH($A17,M_RawMaterials[Part Name],0)),0)</f>
        <v/>
      </c>
      <c r="BQ17">
        <f>SUMPRODUCT((M_BOM[Part Name]=$A17)*M_BOM[RM_Qty_Per_Batch]*IFERROR(INDEX(PP_Grid[#Data],M_BOM[PPGridRow],69),0))+IFERROR(INDEX(M_RawMaterials[固定週次消費量_要入力],MATCH($A17,M_RawMaterials[Part Name],0)),0)</f>
        <v/>
      </c>
      <c r="BR17">
        <f>SUMPRODUCT((M_BOM[Part Name]=$A17)*M_BOM[RM_Qty_Per_Batch]*IFERROR(INDEX(PP_Grid[#Data],M_BOM[PPGridRow],70),0))+IFERROR(INDEX(M_RawMaterials[固定週次消費量_要入力],MATCH($A17,M_RawMaterials[Part Name],0)),0)</f>
        <v/>
      </c>
      <c r="BS17">
        <f>SUMPRODUCT((M_BOM[Part Name]=$A17)*M_BOM[RM_Qty_Per_Batch]*IFERROR(INDEX(PP_Grid[#Data],M_BOM[PPGridRow],71),0))+IFERROR(INDEX(M_RawMaterials[固定週次消費量_要入力],MATCH($A17,M_RawMaterials[Part Name],0)),0)</f>
        <v/>
      </c>
      <c r="BT17">
        <f>SUMPRODUCT((M_BOM[Part Name]=$A17)*M_BOM[RM_Qty_Per_Batch]*IFERROR(INDEX(PP_Grid[#Data],M_BOM[PPGridRow],72),0))+IFERROR(INDEX(M_RawMaterials[固定週次消費量_要入力],MATCH($A17,M_RawMaterials[Part Name],0)),0)</f>
        <v/>
      </c>
      <c r="BU17">
        <f>SUMPRODUCT((M_BOM[Part Name]=$A17)*M_BOM[RM_Qty_Per_Batch]*IFERROR(INDEX(PP_Grid[#Data],M_BOM[PPGridRow],73),0))+IFERROR(INDEX(M_RawMaterials[固定週次消費量_要入力],MATCH($A17,M_RawMaterials[Part Name],0)),0)</f>
        <v/>
      </c>
      <c r="BV17">
        <f>SUMPRODUCT((M_BOM[Part Name]=$A17)*M_BOM[RM_Qty_Per_Batch]*IFERROR(INDEX(PP_Grid[#Data],M_BOM[PPGridRow],74),0))+IFERROR(INDEX(M_RawMaterials[固定週次消費量_要入力],MATCH($A17,M_RawMaterials[Part Name],0)),0)</f>
        <v/>
      </c>
      <c r="BW17">
        <f>SUMPRODUCT((M_BOM[Part Name]=$A17)*M_BOM[RM_Qty_Per_Batch]*IFERROR(INDEX(PP_Grid[#Data],M_BOM[PPGridRow],75),0))+IFERROR(INDEX(M_RawMaterials[固定週次消費量_要入力],MATCH($A17,M_RawMaterials[Part Name],0)),0)</f>
        <v/>
      </c>
      <c r="BX17">
        <f>SUMPRODUCT((M_BOM[Part Name]=$A17)*M_BOM[RM_Qty_Per_Batch]*IFERROR(INDEX(PP_Grid[#Data],M_BOM[PPGridRow],76),0))+IFERROR(INDEX(M_RawMaterials[固定週次消費量_要入力],MATCH($A17,M_RawMaterials[Part Name],0)),0)</f>
        <v/>
      </c>
      <c r="BY17">
        <f>SUMPRODUCT((M_BOM[Part Name]=$A17)*M_BOM[RM_Qty_Per_Batch]*IFERROR(INDEX(PP_Grid[#Data],M_BOM[PPGridRow],77),0))+IFERROR(INDEX(M_RawMaterials[固定週次消費量_要入力],MATCH($A17,M_RawMaterials[Part Name],0)),0)</f>
        <v/>
      </c>
      <c r="BZ17">
        <f>SUMPRODUCT((M_BOM[Part Name]=$A17)*M_BOM[RM_Qty_Per_Batch]*IFERROR(INDEX(PP_Grid[#Data],M_BOM[PPGridRow],78),0))+IFERROR(INDEX(M_RawMaterials[固定週次消費量_要入力],MATCH($A17,M_RawMaterials[Part Name],0)),0)</f>
        <v/>
      </c>
      <c r="CA17">
        <f>SUMPRODUCT((M_BOM[Part Name]=$A17)*M_BOM[RM_Qty_Per_Batch]*IFERROR(INDEX(PP_Grid[#Data],M_BOM[PPGridRow],79),0))+IFERROR(INDEX(M_RawMaterials[固定週次消費量_要入力],MATCH($A17,M_RawMaterials[Part Name],0)),0)</f>
        <v/>
      </c>
      <c r="CB17">
        <f>SUMPRODUCT((M_BOM[Part Name]=$A17)*M_BOM[RM_Qty_Per_Batch]*IFERROR(INDEX(PP_Grid[#Data],M_BOM[PPGridRow],80),0))+IFERROR(INDEX(M_RawMaterials[固定週次消費量_要入力],MATCH($A17,M_RawMaterials[Part Name],0)),0)</f>
        <v/>
      </c>
      <c r="CC17">
        <f>SUMPRODUCT((M_BOM[Part Name]=$A17)*M_BOM[RM_Qty_Per_Batch]*IFERROR(INDEX(PP_Grid[#Data],M_BOM[PPGridRow],81),0))+IFERROR(INDEX(M_RawMaterials[固定週次消費量_要入力],MATCH($A17,M_RawMaterials[Part Name],0)),0)</f>
        <v/>
      </c>
      <c r="CD17">
        <f>SUMPRODUCT((M_BOM[Part Name]=$A17)*M_BOM[RM_Qty_Per_Batch]*IFERROR(INDEX(PP_Grid[#Data],M_BOM[PPGridRow],82),0))+IFERROR(INDEX(M_RawMaterials[固定週次消費量_要入力],MATCH($A17,M_RawMaterials[Part Name],0)),0)</f>
        <v/>
      </c>
      <c r="CE17">
        <f>SUMPRODUCT((M_BOM[Part Name]=$A17)*M_BOM[RM_Qty_Per_Batch]*IFERROR(INDEX(PP_Grid[#Data],M_BOM[PPGridRow],83),0))+IFERROR(INDEX(M_RawMaterials[固定週次消費量_要入力],MATCH($A17,M_RawMaterials[Part Name],0)),0)</f>
        <v/>
      </c>
      <c r="CF17">
        <f>SUMPRODUCT((M_BOM[Part Name]=$A17)*M_BOM[RM_Qty_Per_Batch]*IFERROR(INDEX(PP_Grid[#Data],M_BOM[PPGridRow],84),0))+IFERROR(INDEX(M_RawMaterials[固定週次消費量_要入力],MATCH($A17,M_RawMaterials[Part Name],0)),0)</f>
        <v/>
      </c>
      <c r="CG17">
        <f>SUMPRODUCT((M_BOM[Part Name]=$A17)*M_BOM[RM_Qty_Per_Batch]*IFERROR(INDEX(PP_Grid[#Data],M_BOM[PPGridRow],85),0))+IFERROR(INDEX(M_RawMaterials[固定週次消費量_要入力],MATCH($A17,M_RawMaterials[Part Name],0)),0)</f>
        <v/>
      </c>
      <c r="CH17">
        <f>SUMPRODUCT((M_BOM[Part Name]=$A17)*M_BOM[RM_Qty_Per_Batch]*IFERROR(INDEX(PP_Grid[#Data],M_BOM[PPGridRow],86),0))+IFERROR(INDEX(M_RawMaterials[固定週次消費量_要入力],MATCH($A17,M_RawMaterials[Part Name],0)),0)</f>
        <v/>
      </c>
      <c r="CI17">
        <f>SUMPRODUCT((M_BOM[Part Name]=$A17)*M_BOM[RM_Qty_Per_Batch]*IFERROR(INDEX(PP_Grid[#Data],M_BOM[PPGridRow],87),0))+IFERROR(INDEX(M_RawMaterials[固定週次消費量_要入力],MATCH($A17,M_RawMaterials[Part Name],0)),0)</f>
        <v/>
      </c>
      <c r="CJ17">
        <f>SUMPRODUCT((M_BOM[Part Name]=$A17)*M_BOM[RM_Qty_Per_Batch]*IFERROR(INDEX(PP_Grid[#Data],M_BOM[PPGridRow],88),0))+IFERROR(INDEX(M_RawMaterials[固定週次消費量_要入力],MATCH($A17,M_RawMaterials[Part Name],0)),0)</f>
        <v/>
      </c>
      <c r="CK17">
        <f>SUMPRODUCT((M_BOM[Part Name]=$A17)*M_BOM[RM_Qty_Per_Batch]*IFERROR(INDEX(PP_Grid[#Data],M_BOM[PPGridRow],89),0))+IFERROR(INDEX(M_RawMaterials[固定週次消費量_要入力],MATCH($A17,M_RawMaterials[Part Name],0)),0)</f>
        <v/>
      </c>
      <c r="CL17">
        <f>SUMPRODUCT((M_BOM[Part Name]=$A17)*M_BOM[RM_Qty_Per_Batch]*IFERROR(INDEX(PP_Grid[#Data],M_BOM[PPGridRow],90),0))+IFERROR(INDEX(M_RawMaterials[固定週次消費量_要入力],MATCH($A17,M_RawMaterials[Part Name],0)),0)</f>
        <v/>
      </c>
      <c r="CM17">
        <f>SUMPRODUCT((M_BOM[Part Name]=$A17)*M_BOM[RM_Qty_Per_Batch]*IFERROR(INDEX(PP_Grid[#Data],M_BOM[PPGridRow],91),0))+IFERROR(INDEX(M_RawMaterials[固定週次消費量_要入力],MATCH($A17,M_RawMaterials[Part Name],0)),0)</f>
        <v/>
      </c>
      <c r="CN17">
        <f>SUMPRODUCT((M_BOM[Part Name]=$A17)*M_BOM[RM_Qty_Per_Batch]*IFERROR(INDEX(PP_Grid[#Data],M_BOM[PPGridRow],92),0))+IFERROR(INDEX(M_RawMaterials[固定週次消費量_要入力],MATCH($A17,M_RawMaterials[Part Name],0)),0)</f>
        <v/>
      </c>
      <c r="CO17">
        <f>SUMPRODUCT((M_BOM[Part Name]=$A17)*M_BOM[RM_Qty_Per_Batch]*IFERROR(INDEX(PP_Grid[#Data],M_BOM[PPGridRow],93),0))+IFERROR(INDEX(M_RawMaterials[固定週次消費量_要入力],MATCH($A17,M_RawMaterials[Part Name],0)),0)</f>
        <v/>
      </c>
      <c r="CP17">
        <f>SUMPRODUCT((M_BOM[Part Name]=$A17)*M_BOM[RM_Qty_Per_Batch]*IFERROR(INDEX(PP_Grid[#Data],M_BOM[PPGridRow],94),0))+IFERROR(INDEX(M_RawMaterials[固定週次消費量_要入力],MATCH($A17,M_RawMaterials[Part Name],0)),0)</f>
        <v/>
      </c>
      <c r="CQ17">
        <f>SUMPRODUCT((M_BOM[Part Name]=$A17)*M_BOM[RM_Qty_Per_Batch]*IFERROR(INDEX(PP_Grid[#Data],M_BOM[PPGridRow],95),0))+IFERROR(INDEX(M_RawMaterials[固定週次消費量_要入力],MATCH($A17,M_RawMaterials[Part Name],0)),0)</f>
        <v/>
      </c>
      <c r="CR17">
        <f>SUMPRODUCT((M_BOM[Part Name]=$A17)*M_BOM[RM_Qty_Per_Batch]*IFERROR(INDEX(PP_Grid[#Data],M_BOM[PPGridRow],96),0))+IFERROR(INDEX(M_RawMaterials[固定週次消費量_要入力],MATCH($A17,M_RawMaterials[Part Name],0)),0)</f>
        <v/>
      </c>
      <c r="CS17">
        <f>SUMPRODUCT((M_BOM[Part Name]=$A17)*M_BOM[RM_Qty_Per_Batch]*IFERROR(INDEX(PP_Grid[#Data],M_BOM[PPGridRow],97),0))+IFERROR(INDEX(M_RawMaterials[固定週次消費量_要入力],MATCH($A17,M_RawMaterials[Part Name],0)),0)</f>
        <v/>
      </c>
      <c r="CT17">
        <f>SUMPRODUCT((M_BOM[Part Name]=$A17)*M_BOM[RM_Qty_Per_Batch]*IFERROR(INDEX(PP_Grid[#Data],M_BOM[PPGridRow],98),0))+IFERROR(INDEX(M_RawMaterials[固定週次消費量_要入力],MATCH($A17,M_RawMaterials[Part Name],0)),0)</f>
        <v/>
      </c>
      <c r="CU17">
        <f>SUMPRODUCT((M_BOM[Part Name]=$A17)*M_BOM[RM_Qty_Per_Batch]*IFERROR(INDEX(PP_Grid[#Data],M_BOM[PPGridRow],99),0))+IFERROR(INDEX(M_RawMaterials[固定週次消費量_要入力],MATCH($A17,M_RawMaterials[Part Name],0)),0)</f>
        <v/>
      </c>
      <c r="CV17">
        <f>SUMPRODUCT((M_BOM[Part Name]=$A17)*M_BOM[RM_Qty_Per_Batch]*IFERROR(INDEX(PP_Grid[#Data],M_BOM[PPGridRow],100),0))+IFERROR(INDEX(M_RawMaterials[固定週次消費量_要入力],MATCH($A17,M_RawMaterials[Part Name],0)),0)</f>
        <v/>
      </c>
      <c r="CW17">
        <f>SUMPRODUCT((M_BOM[Part Name]=$A17)*M_BOM[RM_Qty_Per_Batch]*IFERROR(INDEX(PP_Grid[#Data],M_BOM[PPGridRow],101),0))+IFERROR(INDEX(M_RawMaterials[固定週次消費量_要入力],MATCH($A17,M_RawMaterials[Part Name],0)),0)</f>
        <v/>
      </c>
      <c r="CX17">
        <f>SUMPRODUCT((M_BOM[Part Name]=$A17)*M_BOM[RM_Qty_Per_Batch]*IFERROR(INDEX(PP_Grid[#Data],M_BOM[PPGridRow],102),0))+IFERROR(INDEX(M_RawMaterials[固定週次消費量_要入力],MATCH($A17,M_RawMaterials[Part Name],0)),0)</f>
        <v/>
      </c>
      <c r="CY17">
        <f>SUMPRODUCT((M_BOM[Part Name]=$A17)*M_BOM[RM_Qty_Per_Batch]*IFERROR(INDEX(PP_Grid[#Data],M_BOM[PPGridRow],103),0))+IFERROR(INDEX(M_RawMaterials[固定週次消費量_要入力],MATCH($A17,M_RawMaterials[Part Name],0)),0)</f>
        <v/>
      </c>
      <c r="CZ17">
        <f>SUMPRODUCT((M_BOM[Part Name]=$A17)*M_BOM[RM_Qty_Per_Batch]*IFERROR(INDEX(PP_Grid[#Data],M_BOM[PPGridRow],104),0))+IFERROR(INDEX(M_RawMaterials[固定週次消費量_要入力],MATCH($A17,M_RawMaterials[Part Name],0)),0)</f>
        <v/>
      </c>
      <c r="DA17">
        <f>SUMPRODUCT((M_BOM[Part Name]=$A17)*M_BOM[RM_Qty_Per_Batch]*IFERROR(INDEX(PP_Grid[#Data],M_BOM[PPGridRow],105),0))+IFERROR(INDEX(M_RawMaterials[固定週次消費量_要入力],MATCH($A17,M_RawMaterials[Part Name],0)),0)</f>
        <v/>
      </c>
    </row>
    <row r="18">
      <c r="A18" t="inlineStr">
        <is>
          <t>5JK</t>
        </is>
      </c>
      <c r="B18">
        <f>SUMPRODUCT((M_BOM[Part Name]=$A18)*M_BOM[RM_Qty_Per_Batch]*IFERROR(INDEX(PP_Grid[#Data],M_BOM[PPGridRow],2),0))+IFERROR(INDEX(M_RawMaterials[固定週次消費量_要入力],MATCH($A18,M_RawMaterials[Part Name],0)),0)</f>
        <v/>
      </c>
      <c r="C18">
        <f>SUMPRODUCT((M_BOM[Part Name]=$A18)*M_BOM[RM_Qty_Per_Batch]*IFERROR(INDEX(PP_Grid[#Data],M_BOM[PPGridRow],3),0))+IFERROR(INDEX(M_RawMaterials[固定週次消費量_要入力],MATCH($A18,M_RawMaterials[Part Name],0)),0)</f>
        <v/>
      </c>
      <c r="D18">
        <f>SUMPRODUCT((M_BOM[Part Name]=$A18)*M_BOM[RM_Qty_Per_Batch]*IFERROR(INDEX(PP_Grid[#Data],M_BOM[PPGridRow],4),0))+IFERROR(INDEX(M_RawMaterials[固定週次消費量_要入力],MATCH($A18,M_RawMaterials[Part Name],0)),0)</f>
        <v/>
      </c>
      <c r="E18">
        <f>SUMPRODUCT((M_BOM[Part Name]=$A18)*M_BOM[RM_Qty_Per_Batch]*IFERROR(INDEX(PP_Grid[#Data],M_BOM[PPGridRow],5),0))+IFERROR(INDEX(M_RawMaterials[固定週次消費量_要入力],MATCH($A18,M_RawMaterials[Part Name],0)),0)</f>
        <v/>
      </c>
      <c r="F18">
        <f>SUMPRODUCT((M_BOM[Part Name]=$A18)*M_BOM[RM_Qty_Per_Batch]*IFERROR(INDEX(PP_Grid[#Data],M_BOM[PPGridRow],6),0))+IFERROR(INDEX(M_RawMaterials[固定週次消費量_要入力],MATCH($A18,M_RawMaterials[Part Name],0)),0)</f>
        <v/>
      </c>
      <c r="G18">
        <f>SUMPRODUCT((M_BOM[Part Name]=$A18)*M_BOM[RM_Qty_Per_Batch]*IFERROR(INDEX(PP_Grid[#Data],M_BOM[PPGridRow],7),0))+IFERROR(INDEX(M_RawMaterials[固定週次消費量_要入力],MATCH($A18,M_RawMaterials[Part Name],0)),0)</f>
        <v/>
      </c>
      <c r="H18">
        <f>SUMPRODUCT((M_BOM[Part Name]=$A18)*M_BOM[RM_Qty_Per_Batch]*IFERROR(INDEX(PP_Grid[#Data],M_BOM[PPGridRow],8),0))+IFERROR(INDEX(M_RawMaterials[固定週次消費量_要入力],MATCH($A18,M_RawMaterials[Part Name],0)),0)</f>
        <v/>
      </c>
      <c r="I18">
        <f>SUMPRODUCT((M_BOM[Part Name]=$A18)*M_BOM[RM_Qty_Per_Batch]*IFERROR(INDEX(PP_Grid[#Data],M_BOM[PPGridRow],9),0))+IFERROR(INDEX(M_RawMaterials[固定週次消費量_要入力],MATCH($A18,M_RawMaterials[Part Name],0)),0)</f>
        <v/>
      </c>
      <c r="J18">
        <f>SUMPRODUCT((M_BOM[Part Name]=$A18)*M_BOM[RM_Qty_Per_Batch]*IFERROR(INDEX(PP_Grid[#Data],M_BOM[PPGridRow],10),0))+IFERROR(INDEX(M_RawMaterials[固定週次消費量_要入力],MATCH($A18,M_RawMaterials[Part Name],0)),0)</f>
        <v/>
      </c>
      <c r="K18">
        <f>SUMPRODUCT((M_BOM[Part Name]=$A18)*M_BOM[RM_Qty_Per_Batch]*IFERROR(INDEX(PP_Grid[#Data],M_BOM[PPGridRow],11),0))+IFERROR(INDEX(M_RawMaterials[固定週次消費量_要入力],MATCH($A18,M_RawMaterials[Part Name],0)),0)</f>
        <v/>
      </c>
      <c r="L18">
        <f>SUMPRODUCT((M_BOM[Part Name]=$A18)*M_BOM[RM_Qty_Per_Batch]*IFERROR(INDEX(PP_Grid[#Data],M_BOM[PPGridRow],12),0))+IFERROR(INDEX(M_RawMaterials[固定週次消費量_要入力],MATCH($A18,M_RawMaterials[Part Name],0)),0)</f>
        <v/>
      </c>
      <c r="M18">
        <f>SUMPRODUCT((M_BOM[Part Name]=$A18)*M_BOM[RM_Qty_Per_Batch]*IFERROR(INDEX(PP_Grid[#Data],M_BOM[PPGridRow],13),0))+IFERROR(INDEX(M_RawMaterials[固定週次消費量_要入力],MATCH($A18,M_RawMaterials[Part Name],0)),0)</f>
        <v/>
      </c>
      <c r="N18">
        <f>SUMPRODUCT((M_BOM[Part Name]=$A18)*M_BOM[RM_Qty_Per_Batch]*IFERROR(INDEX(PP_Grid[#Data],M_BOM[PPGridRow],14),0))+IFERROR(INDEX(M_RawMaterials[固定週次消費量_要入力],MATCH($A18,M_RawMaterials[Part Name],0)),0)</f>
        <v/>
      </c>
      <c r="O18">
        <f>SUMPRODUCT((M_BOM[Part Name]=$A18)*M_BOM[RM_Qty_Per_Batch]*IFERROR(INDEX(PP_Grid[#Data],M_BOM[PPGridRow],15),0))+IFERROR(INDEX(M_RawMaterials[固定週次消費量_要入力],MATCH($A18,M_RawMaterials[Part Name],0)),0)</f>
        <v/>
      </c>
      <c r="P18">
        <f>SUMPRODUCT((M_BOM[Part Name]=$A18)*M_BOM[RM_Qty_Per_Batch]*IFERROR(INDEX(PP_Grid[#Data],M_BOM[PPGridRow],16),0))+IFERROR(INDEX(M_RawMaterials[固定週次消費量_要入力],MATCH($A18,M_RawMaterials[Part Name],0)),0)</f>
        <v/>
      </c>
      <c r="Q18">
        <f>SUMPRODUCT((M_BOM[Part Name]=$A18)*M_BOM[RM_Qty_Per_Batch]*IFERROR(INDEX(PP_Grid[#Data],M_BOM[PPGridRow],17),0))+IFERROR(INDEX(M_RawMaterials[固定週次消費量_要入力],MATCH($A18,M_RawMaterials[Part Name],0)),0)</f>
        <v/>
      </c>
      <c r="R18">
        <f>SUMPRODUCT((M_BOM[Part Name]=$A18)*M_BOM[RM_Qty_Per_Batch]*IFERROR(INDEX(PP_Grid[#Data],M_BOM[PPGridRow],18),0))+IFERROR(INDEX(M_RawMaterials[固定週次消費量_要入力],MATCH($A18,M_RawMaterials[Part Name],0)),0)</f>
        <v/>
      </c>
      <c r="S18">
        <f>SUMPRODUCT((M_BOM[Part Name]=$A18)*M_BOM[RM_Qty_Per_Batch]*IFERROR(INDEX(PP_Grid[#Data],M_BOM[PPGridRow],19),0))+IFERROR(INDEX(M_RawMaterials[固定週次消費量_要入力],MATCH($A18,M_RawMaterials[Part Name],0)),0)</f>
        <v/>
      </c>
      <c r="T18">
        <f>SUMPRODUCT((M_BOM[Part Name]=$A18)*M_BOM[RM_Qty_Per_Batch]*IFERROR(INDEX(PP_Grid[#Data],M_BOM[PPGridRow],20),0))+IFERROR(INDEX(M_RawMaterials[固定週次消費量_要入力],MATCH($A18,M_RawMaterials[Part Name],0)),0)</f>
        <v/>
      </c>
      <c r="U18">
        <f>SUMPRODUCT((M_BOM[Part Name]=$A18)*M_BOM[RM_Qty_Per_Batch]*IFERROR(INDEX(PP_Grid[#Data],M_BOM[PPGridRow],21),0))+IFERROR(INDEX(M_RawMaterials[固定週次消費量_要入力],MATCH($A18,M_RawMaterials[Part Name],0)),0)</f>
        <v/>
      </c>
      <c r="V18">
        <f>SUMPRODUCT((M_BOM[Part Name]=$A18)*M_BOM[RM_Qty_Per_Batch]*IFERROR(INDEX(PP_Grid[#Data],M_BOM[PPGridRow],22),0))+IFERROR(INDEX(M_RawMaterials[固定週次消費量_要入力],MATCH($A18,M_RawMaterials[Part Name],0)),0)</f>
        <v/>
      </c>
      <c r="W18">
        <f>SUMPRODUCT((M_BOM[Part Name]=$A18)*M_BOM[RM_Qty_Per_Batch]*IFERROR(INDEX(PP_Grid[#Data],M_BOM[PPGridRow],23),0))+IFERROR(INDEX(M_RawMaterials[固定週次消費量_要入力],MATCH($A18,M_RawMaterials[Part Name],0)),0)</f>
        <v/>
      </c>
      <c r="X18">
        <f>SUMPRODUCT((M_BOM[Part Name]=$A18)*M_BOM[RM_Qty_Per_Batch]*IFERROR(INDEX(PP_Grid[#Data],M_BOM[PPGridRow],24),0))+IFERROR(INDEX(M_RawMaterials[固定週次消費量_要入力],MATCH($A18,M_RawMaterials[Part Name],0)),0)</f>
        <v/>
      </c>
      <c r="Y18">
        <f>SUMPRODUCT((M_BOM[Part Name]=$A18)*M_BOM[RM_Qty_Per_Batch]*IFERROR(INDEX(PP_Grid[#Data],M_BOM[PPGridRow],25),0))+IFERROR(INDEX(M_RawMaterials[固定週次消費量_要入力],MATCH($A18,M_RawMaterials[Part Name],0)),0)</f>
        <v/>
      </c>
      <c r="Z18">
        <f>SUMPRODUCT((M_BOM[Part Name]=$A18)*M_BOM[RM_Qty_Per_Batch]*IFERROR(INDEX(PP_Grid[#Data],M_BOM[PPGridRow],26),0))+IFERROR(INDEX(M_RawMaterials[固定週次消費量_要入力],MATCH($A18,M_RawMaterials[Part Name],0)),0)</f>
        <v/>
      </c>
      <c r="AA18">
        <f>SUMPRODUCT((M_BOM[Part Name]=$A18)*M_BOM[RM_Qty_Per_Batch]*IFERROR(INDEX(PP_Grid[#Data],M_BOM[PPGridRow],27),0))+IFERROR(INDEX(M_RawMaterials[固定週次消費量_要入力],MATCH($A18,M_RawMaterials[Part Name],0)),0)</f>
        <v/>
      </c>
      <c r="AB18">
        <f>SUMPRODUCT((M_BOM[Part Name]=$A18)*M_BOM[RM_Qty_Per_Batch]*IFERROR(INDEX(PP_Grid[#Data],M_BOM[PPGridRow],28),0))+IFERROR(INDEX(M_RawMaterials[固定週次消費量_要入力],MATCH($A18,M_RawMaterials[Part Name],0)),0)</f>
        <v/>
      </c>
      <c r="AC18">
        <f>SUMPRODUCT((M_BOM[Part Name]=$A18)*M_BOM[RM_Qty_Per_Batch]*IFERROR(INDEX(PP_Grid[#Data],M_BOM[PPGridRow],29),0))+IFERROR(INDEX(M_RawMaterials[固定週次消費量_要入力],MATCH($A18,M_RawMaterials[Part Name],0)),0)</f>
        <v/>
      </c>
      <c r="AD18">
        <f>SUMPRODUCT((M_BOM[Part Name]=$A18)*M_BOM[RM_Qty_Per_Batch]*IFERROR(INDEX(PP_Grid[#Data],M_BOM[PPGridRow],30),0))+IFERROR(INDEX(M_RawMaterials[固定週次消費量_要入力],MATCH($A18,M_RawMaterials[Part Name],0)),0)</f>
        <v/>
      </c>
      <c r="AE18">
        <f>SUMPRODUCT((M_BOM[Part Name]=$A18)*M_BOM[RM_Qty_Per_Batch]*IFERROR(INDEX(PP_Grid[#Data],M_BOM[PPGridRow],31),0))+IFERROR(INDEX(M_RawMaterials[固定週次消費量_要入力],MATCH($A18,M_RawMaterials[Part Name],0)),0)</f>
        <v/>
      </c>
      <c r="AF18">
        <f>SUMPRODUCT((M_BOM[Part Name]=$A18)*M_BOM[RM_Qty_Per_Batch]*IFERROR(INDEX(PP_Grid[#Data],M_BOM[PPGridRow],32),0))+IFERROR(INDEX(M_RawMaterials[固定週次消費量_要入力],MATCH($A18,M_RawMaterials[Part Name],0)),0)</f>
        <v/>
      </c>
      <c r="AG18">
        <f>SUMPRODUCT((M_BOM[Part Name]=$A18)*M_BOM[RM_Qty_Per_Batch]*IFERROR(INDEX(PP_Grid[#Data],M_BOM[PPGridRow],33),0))+IFERROR(INDEX(M_RawMaterials[固定週次消費量_要入力],MATCH($A18,M_RawMaterials[Part Name],0)),0)</f>
        <v/>
      </c>
      <c r="AH18">
        <f>SUMPRODUCT((M_BOM[Part Name]=$A18)*M_BOM[RM_Qty_Per_Batch]*IFERROR(INDEX(PP_Grid[#Data],M_BOM[PPGridRow],34),0))+IFERROR(INDEX(M_RawMaterials[固定週次消費量_要入力],MATCH($A18,M_RawMaterials[Part Name],0)),0)</f>
        <v/>
      </c>
      <c r="AI18">
        <f>SUMPRODUCT((M_BOM[Part Name]=$A18)*M_BOM[RM_Qty_Per_Batch]*IFERROR(INDEX(PP_Grid[#Data],M_BOM[PPGridRow],35),0))+IFERROR(INDEX(M_RawMaterials[固定週次消費量_要入力],MATCH($A18,M_RawMaterials[Part Name],0)),0)</f>
        <v/>
      </c>
      <c r="AJ18">
        <f>SUMPRODUCT((M_BOM[Part Name]=$A18)*M_BOM[RM_Qty_Per_Batch]*IFERROR(INDEX(PP_Grid[#Data],M_BOM[PPGridRow],36),0))+IFERROR(INDEX(M_RawMaterials[固定週次消費量_要入力],MATCH($A18,M_RawMaterials[Part Name],0)),0)</f>
        <v/>
      </c>
      <c r="AK18">
        <f>SUMPRODUCT((M_BOM[Part Name]=$A18)*M_BOM[RM_Qty_Per_Batch]*IFERROR(INDEX(PP_Grid[#Data],M_BOM[PPGridRow],37),0))+IFERROR(INDEX(M_RawMaterials[固定週次消費量_要入力],MATCH($A18,M_RawMaterials[Part Name],0)),0)</f>
        <v/>
      </c>
      <c r="AL18">
        <f>SUMPRODUCT((M_BOM[Part Name]=$A18)*M_BOM[RM_Qty_Per_Batch]*IFERROR(INDEX(PP_Grid[#Data],M_BOM[PPGridRow],38),0))+IFERROR(INDEX(M_RawMaterials[固定週次消費量_要入力],MATCH($A18,M_RawMaterials[Part Name],0)),0)</f>
        <v/>
      </c>
      <c r="AM18">
        <f>SUMPRODUCT((M_BOM[Part Name]=$A18)*M_BOM[RM_Qty_Per_Batch]*IFERROR(INDEX(PP_Grid[#Data],M_BOM[PPGridRow],39),0))+IFERROR(INDEX(M_RawMaterials[固定週次消費量_要入力],MATCH($A18,M_RawMaterials[Part Name],0)),0)</f>
        <v/>
      </c>
      <c r="AN18">
        <f>SUMPRODUCT((M_BOM[Part Name]=$A18)*M_BOM[RM_Qty_Per_Batch]*IFERROR(INDEX(PP_Grid[#Data],M_BOM[PPGridRow],40),0))+IFERROR(INDEX(M_RawMaterials[固定週次消費量_要入力],MATCH($A18,M_RawMaterials[Part Name],0)),0)</f>
        <v/>
      </c>
      <c r="AO18">
        <f>SUMPRODUCT((M_BOM[Part Name]=$A18)*M_BOM[RM_Qty_Per_Batch]*IFERROR(INDEX(PP_Grid[#Data],M_BOM[PPGridRow],41),0))+IFERROR(INDEX(M_RawMaterials[固定週次消費量_要入力],MATCH($A18,M_RawMaterials[Part Name],0)),0)</f>
        <v/>
      </c>
      <c r="AP18">
        <f>SUMPRODUCT((M_BOM[Part Name]=$A18)*M_BOM[RM_Qty_Per_Batch]*IFERROR(INDEX(PP_Grid[#Data],M_BOM[PPGridRow],42),0))+IFERROR(INDEX(M_RawMaterials[固定週次消費量_要入力],MATCH($A18,M_RawMaterials[Part Name],0)),0)</f>
        <v/>
      </c>
      <c r="AQ18">
        <f>SUMPRODUCT((M_BOM[Part Name]=$A18)*M_BOM[RM_Qty_Per_Batch]*IFERROR(INDEX(PP_Grid[#Data],M_BOM[PPGridRow],43),0))+IFERROR(INDEX(M_RawMaterials[固定週次消費量_要入力],MATCH($A18,M_RawMaterials[Part Name],0)),0)</f>
        <v/>
      </c>
      <c r="AR18">
        <f>SUMPRODUCT((M_BOM[Part Name]=$A18)*M_BOM[RM_Qty_Per_Batch]*IFERROR(INDEX(PP_Grid[#Data],M_BOM[PPGridRow],44),0))+IFERROR(INDEX(M_RawMaterials[固定週次消費量_要入力],MATCH($A18,M_RawMaterials[Part Name],0)),0)</f>
        <v/>
      </c>
      <c r="AS18">
        <f>SUMPRODUCT((M_BOM[Part Name]=$A18)*M_BOM[RM_Qty_Per_Batch]*IFERROR(INDEX(PP_Grid[#Data],M_BOM[PPGridRow],45),0))+IFERROR(INDEX(M_RawMaterials[固定週次消費量_要入力],MATCH($A18,M_RawMaterials[Part Name],0)),0)</f>
        <v/>
      </c>
      <c r="AT18">
        <f>SUMPRODUCT((M_BOM[Part Name]=$A18)*M_BOM[RM_Qty_Per_Batch]*IFERROR(INDEX(PP_Grid[#Data],M_BOM[PPGridRow],46),0))+IFERROR(INDEX(M_RawMaterials[固定週次消費量_要入力],MATCH($A18,M_RawMaterials[Part Name],0)),0)</f>
        <v/>
      </c>
      <c r="AU18">
        <f>SUMPRODUCT((M_BOM[Part Name]=$A18)*M_BOM[RM_Qty_Per_Batch]*IFERROR(INDEX(PP_Grid[#Data],M_BOM[PPGridRow],47),0))+IFERROR(INDEX(M_RawMaterials[固定週次消費量_要入力],MATCH($A18,M_RawMaterials[Part Name],0)),0)</f>
        <v/>
      </c>
      <c r="AV18">
        <f>SUMPRODUCT((M_BOM[Part Name]=$A18)*M_BOM[RM_Qty_Per_Batch]*IFERROR(INDEX(PP_Grid[#Data],M_BOM[PPGridRow],48),0))+IFERROR(INDEX(M_RawMaterials[固定週次消費量_要入力],MATCH($A18,M_RawMaterials[Part Name],0)),0)</f>
        <v/>
      </c>
      <c r="AW18">
        <f>SUMPRODUCT((M_BOM[Part Name]=$A18)*M_BOM[RM_Qty_Per_Batch]*IFERROR(INDEX(PP_Grid[#Data],M_BOM[PPGridRow],49),0))+IFERROR(INDEX(M_RawMaterials[固定週次消費量_要入力],MATCH($A18,M_RawMaterials[Part Name],0)),0)</f>
        <v/>
      </c>
      <c r="AX18">
        <f>SUMPRODUCT((M_BOM[Part Name]=$A18)*M_BOM[RM_Qty_Per_Batch]*IFERROR(INDEX(PP_Grid[#Data],M_BOM[PPGridRow],50),0))+IFERROR(INDEX(M_RawMaterials[固定週次消費量_要入力],MATCH($A18,M_RawMaterials[Part Name],0)),0)</f>
        <v/>
      </c>
      <c r="AY18">
        <f>SUMPRODUCT((M_BOM[Part Name]=$A18)*M_BOM[RM_Qty_Per_Batch]*IFERROR(INDEX(PP_Grid[#Data],M_BOM[PPGridRow],51),0))+IFERROR(INDEX(M_RawMaterials[固定週次消費量_要入力],MATCH($A18,M_RawMaterials[Part Name],0)),0)</f>
        <v/>
      </c>
      <c r="AZ18">
        <f>SUMPRODUCT((M_BOM[Part Name]=$A18)*M_BOM[RM_Qty_Per_Batch]*IFERROR(INDEX(PP_Grid[#Data],M_BOM[PPGridRow],52),0))+IFERROR(INDEX(M_RawMaterials[固定週次消費量_要入力],MATCH($A18,M_RawMaterials[Part Name],0)),0)</f>
        <v/>
      </c>
      <c r="BA18">
        <f>SUMPRODUCT((M_BOM[Part Name]=$A18)*M_BOM[RM_Qty_Per_Batch]*IFERROR(INDEX(PP_Grid[#Data],M_BOM[PPGridRow],53),0))+IFERROR(INDEX(M_RawMaterials[固定週次消費量_要入力],MATCH($A18,M_RawMaterials[Part Name],0)),0)</f>
        <v/>
      </c>
      <c r="BB18">
        <f>SUMPRODUCT((M_BOM[Part Name]=$A18)*M_BOM[RM_Qty_Per_Batch]*IFERROR(INDEX(PP_Grid[#Data],M_BOM[PPGridRow],54),0))+IFERROR(INDEX(M_RawMaterials[固定週次消費量_要入力],MATCH($A18,M_RawMaterials[Part Name],0)),0)</f>
        <v/>
      </c>
      <c r="BC18">
        <f>SUMPRODUCT((M_BOM[Part Name]=$A18)*M_BOM[RM_Qty_Per_Batch]*IFERROR(INDEX(PP_Grid[#Data],M_BOM[PPGridRow],55),0))+IFERROR(INDEX(M_RawMaterials[固定週次消費量_要入力],MATCH($A18,M_RawMaterials[Part Name],0)),0)</f>
        <v/>
      </c>
      <c r="BD18">
        <f>SUMPRODUCT((M_BOM[Part Name]=$A18)*M_BOM[RM_Qty_Per_Batch]*IFERROR(INDEX(PP_Grid[#Data],M_BOM[PPGridRow],56),0))+IFERROR(INDEX(M_RawMaterials[固定週次消費量_要入力],MATCH($A18,M_RawMaterials[Part Name],0)),0)</f>
        <v/>
      </c>
      <c r="BE18">
        <f>SUMPRODUCT((M_BOM[Part Name]=$A18)*M_BOM[RM_Qty_Per_Batch]*IFERROR(INDEX(PP_Grid[#Data],M_BOM[PPGridRow],57),0))+IFERROR(INDEX(M_RawMaterials[固定週次消費量_要入力],MATCH($A18,M_RawMaterials[Part Name],0)),0)</f>
        <v/>
      </c>
      <c r="BF18">
        <f>SUMPRODUCT((M_BOM[Part Name]=$A18)*M_BOM[RM_Qty_Per_Batch]*IFERROR(INDEX(PP_Grid[#Data],M_BOM[PPGridRow],58),0))+IFERROR(INDEX(M_RawMaterials[固定週次消費量_要入力],MATCH($A18,M_RawMaterials[Part Name],0)),0)</f>
        <v/>
      </c>
      <c r="BG18">
        <f>SUMPRODUCT((M_BOM[Part Name]=$A18)*M_BOM[RM_Qty_Per_Batch]*IFERROR(INDEX(PP_Grid[#Data],M_BOM[PPGridRow],59),0))+IFERROR(INDEX(M_RawMaterials[固定週次消費量_要入力],MATCH($A18,M_RawMaterials[Part Name],0)),0)</f>
        <v/>
      </c>
      <c r="BH18">
        <f>SUMPRODUCT((M_BOM[Part Name]=$A18)*M_BOM[RM_Qty_Per_Batch]*IFERROR(INDEX(PP_Grid[#Data],M_BOM[PPGridRow],60),0))+IFERROR(INDEX(M_RawMaterials[固定週次消費量_要入力],MATCH($A18,M_RawMaterials[Part Name],0)),0)</f>
        <v/>
      </c>
      <c r="BI18">
        <f>SUMPRODUCT((M_BOM[Part Name]=$A18)*M_BOM[RM_Qty_Per_Batch]*IFERROR(INDEX(PP_Grid[#Data],M_BOM[PPGridRow],61),0))+IFERROR(INDEX(M_RawMaterials[固定週次消費量_要入力],MATCH($A18,M_RawMaterials[Part Name],0)),0)</f>
        <v/>
      </c>
      <c r="BJ18">
        <f>SUMPRODUCT((M_BOM[Part Name]=$A18)*M_BOM[RM_Qty_Per_Batch]*IFERROR(INDEX(PP_Grid[#Data],M_BOM[PPGridRow],62),0))+IFERROR(INDEX(M_RawMaterials[固定週次消費量_要入力],MATCH($A18,M_RawMaterials[Part Name],0)),0)</f>
        <v/>
      </c>
      <c r="BK18">
        <f>SUMPRODUCT((M_BOM[Part Name]=$A18)*M_BOM[RM_Qty_Per_Batch]*IFERROR(INDEX(PP_Grid[#Data],M_BOM[PPGridRow],63),0))+IFERROR(INDEX(M_RawMaterials[固定週次消費量_要入力],MATCH($A18,M_RawMaterials[Part Name],0)),0)</f>
        <v/>
      </c>
      <c r="BL18">
        <f>SUMPRODUCT((M_BOM[Part Name]=$A18)*M_BOM[RM_Qty_Per_Batch]*IFERROR(INDEX(PP_Grid[#Data],M_BOM[PPGridRow],64),0))+IFERROR(INDEX(M_RawMaterials[固定週次消費量_要入力],MATCH($A18,M_RawMaterials[Part Name],0)),0)</f>
        <v/>
      </c>
      <c r="BM18">
        <f>SUMPRODUCT((M_BOM[Part Name]=$A18)*M_BOM[RM_Qty_Per_Batch]*IFERROR(INDEX(PP_Grid[#Data],M_BOM[PPGridRow],65),0))+IFERROR(INDEX(M_RawMaterials[固定週次消費量_要入力],MATCH($A18,M_RawMaterials[Part Name],0)),0)</f>
        <v/>
      </c>
      <c r="BN18">
        <f>SUMPRODUCT((M_BOM[Part Name]=$A18)*M_BOM[RM_Qty_Per_Batch]*IFERROR(INDEX(PP_Grid[#Data],M_BOM[PPGridRow],66),0))+IFERROR(INDEX(M_RawMaterials[固定週次消費量_要入力],MATCH($A18,M_RawMaterials[Part Name],0)),0)</f>
        <v/>
      </c>
      <c r="BO18">
        <f>SUMPRODUCT((M_BOM[Part Name]=$A18)*M_BOM[RM_Qty_Per_Batch]*IFERROR(INDEX(PP_Grid[#Data],M_BOM[PPGridRow],67),0))+IFERROR(INDEX(M_RawMaterials[固定週次消費量_要入力],MATCH($A18,M_RawMaterials[Part Name],0)),0)</f>
        <v/>
      </c>
      <c r="BP18">
        <f>SUMPRODUCT((M_BOM[Part Name]=$A18)*M_BOM[RM_Qty_Per_Batch]*IFERROR(INDEX(PP_Grid[#Data],M_BOM[PPGridRow],68),0))+IFERROR(INDEX(M_RawMaterials[固定週次消費量_要入力],MATCH($A18,M_RawMaterials[Part Name],0)),0)</f>
        <v/>
      </c>
      <c r="BQ18">
        <f>SUMPRODUCT((M_BOM[Part Name]=$A18)*M_BOM[RM_Qty_Per_Batch]*IFERROR(INDEX(PP_Grid[#Data],M_BOM[PPGridRow],69),0))+IFERROR(INDEX(M_RawMaterials[固定週次消費量_要入力],MATCH($A18,M_RawMaterials[Part Name],0)),0)</f>
        <v/>
      </c>
      <c r="BR18">
        <f>SUMPRODUCT((M_BOM[Part Name]=$A18)*M_BOM[RM_Qty_Per_Batch]*IFERROR(INDEX(PP_Grid[#Data],M_BOM[PPGridRow],70),0))+IFERROR(INDEX(M_RawMaterials[固定週次消費量_要入力],MATCH($A18,M_RawMaterials[Part Name],0)),0)</f>
        <v/>
      </c>
      <c r="BS18">
        <f>SUMPRODUCT((M_BOM[Part Name]=$A18)*M_BOM[RM_Qty_Per_Batch]*IFERROR(INDEX(PP_Grid[#Data],M_BOM[PPGridRow],71),0))+IFERROR(INDEX(M_RawMaterials[固定週次消費量_要入力],MATCH($A18,M_RawMaterials[Part Name],0)),0)</f>
        <v/>
      </c>
      <c r="BT18">
        <f>SUMPRODUCT((M_BOM[Part Name]=$A18)*M_BOM[RM_Qty_Per_Batch]*IFERROR(INDEX(PP_Grid[#Data],M_BOM[PPGridRow],72),0))+IFERROR(INDEX(M_RawMaterials[固定週次消費量_要入力],MATCH($A18,M_RawMaterials[Part Name],0)),0)</f>
        <v/>
      </c>
      <c r="BU18">
        <f>SUMPRODUCT((M_BOM[Part Name]=$A18)*M_BOM[RM_Qty_Per_Batch]*IFERROR(INDEX(PP_Grid[#Data],M_BOM[PPGridRow],73),0))+IFERROR(INDEX(M_RawMaterials[固定週次消費量_要入力],MATCH($A18,M_RawMaterials[Part Name],0)),0)</f>
        <v/>
      </c>
      <c r="BV18">
        <f>SUMPRODUCT((M_BOM[Part Name]=$A18)*M_BOM[RM_Qty_Per_Batch]*IFERROR(INDEX(PP_Grid[#Data],M_BOM[PPGridRow],74),0))+IFERROR(INDEX(M_RawMaterials[固定週次消費量_要入力],MATCH($A18,M_RawMaterials[Part Name],0)),0)</f>
        <v/>
      </c>
      <c r="BW18">
        <f>SUMPRODUCT((M_BOM[Part Name]=$A18)*M_BOM[RM_Qty_Per_Batch]*IFERROR(INDEX(PP_Grid[#Data],M_BOM[PPGridRow],75),0))+IFERROR(INDEX(M_RawMaterials[固定週次消費量_要入力],MATCH($A18,M_RawMaterials[Part Name],0)),0)</f>
        <v/>
      </c>
      <c r="BX18">
        <f>SUMPRODUCT((M_BOM[Part Name]=$A18)*M_BOM[RM_Qty_Per_Batch]*IFERROR(INDEX(PP_Grid[#Data],M_BOM[PPGridRow],76),0))+IFERROR(INDEX(M_RawMaterials[固定週次消費量_要入力],MATCH($A18,M_RawMaterials[Part Name],0)),0)</f>
        <v/>
      </c>
      <c r="BY18">
        <f>SUMPRODUCT((M_BOM[Part Name]=$A18)*M_BOM[RM_Qty_Per_Batch]*IFERROR(INDEX(PP_Grid[#Data],M_BOM[PPGridRow],77),0))+IFERROR(INDEX(M_RawMaterials[固定週次消費量_要入力],MATCH($A18,M_RawMaterials[Part Name],0)),0)</f>
        <v/>
      </c>
      <c r="BZ18">
        <f>SUMPRODUCT((M_BOM[Part Name]=$A18)*M_BOM[RM_Qty_Per_Batch]*IFERROR(INDEX(PP_Grid[#Data],M_BOM[PPGridRow],78),0))+IFERROR(INDEX(M_RawMaterials[固定週次消費量_要入力],MATCH($A18,M_RawMaterials[Part Name],0)),0)</f>
        <v/>
      </c>
      <c r="CA18">
        <f>SUMPRODUCT((M_BOM[Part Name]=$A18)*M_BOM[RM_Qty_Per_Batch]*IFERROR(INDEX(PP_Grid[#Data],M_BOM[PPGridRow],79),0))+IFERROR(INDEX(M_RawMaterials[固定週次消費量_要入力],MATCH($A18,M_RawMaterials[Part Name],0)),0)</f>
        <v/>
      </c>
      <c r="CB18">
        <f>SUMPRODUCT((M_BOM[Part Name]=$A18)*M_BOM[RM_Qty_Per_Batch]*IFERROR(INDEX(PP_Grid[#Data],M_BOM[PPGridRow],80),0))+IFERROR(INDEX(M_RawMaterials[固定週次消費量_要入力],MATCH($A18,M_RawMaterials[Part Name],0)),0)</f>
        <v/>
      </c>
      <c r="CC18">
        <f>SUMPRODUCT((M_BOM[Part Name]=$A18)*M_BOM[RM_Qty_Per_Batch]*IFERROR(INDEX(PP_Grid[#Data],M_BOM[PPGridRow],81),0))+IFERROR(INDEX(M_RawMaterials[固定週次消費量_要入力],MATCH($A18,M_RawMaterials[Part Name],0)),0)</f>
        <v/>
      </c>
      <c r="CD18">
        <f>SUMPRODUCT((M_BOM[Part Name]=$A18)*M_BOM[RM_Qty_Per_Batch]*IFERROR(INDEX(PP_Grid[#Data],M_BOM[PPGridRow],82),0))+IFERROR(INDEX(M_RawMaterials[固定週次消費量_要入力],MATCH($A18,M_RawMaterials[Part Name],0)),0)</f>
        <v/>
      </c>
      <c r="CE18">
        <f>SUMPRODUCT((M_BOM[Part Name]=$A18)*M_BOM[RM_Qty_Per_Batch]*IFERROR(INDEX(PP_Grid[#Data],M_BOM[PPGridRow],83),0))+IFERROR(INDEX(M_RawMaterials[固定週次消費量_要入力],MATCH($A18,M_RawMaterials[Part Name],0)),0)</f>
        <v/>
      </c>
      <c r="CF18">
        <f>SUMPRODUCT((M_BOM[Part Name]=$A18)*M_BOM[RM_Qty_Per_Batch]*IFERROR(INDEX(PP_Grid[#Data],M_BOM[PPGridRow],84),0))+IFERROR(INDEX(M_RawMaterials[固定週次消費量_要入力],MATCH($A18,M_RawMaterials[Part Name],0)),0)</f>
        <v/>
      </c>
      <c r="CG18">
        <f>SUMPRODUCT((M_BOM[Part Name]=$A18)*M_BOM[RM_Qty_Per_Batch]*IFERROR(INDEX(PP_Grid[#Data],M_BOM[PPGridRow],85),0))+IFERROR(INDEX(M_RawMaterials[固定週次消費量_要入力],MATCH($A18,M_RawMaterials[Part Name],0)),0)</f>
        <v/>
      </c>
      <c r="CH18">
        <f>SUMPRODUCT((M_BOM[Part Name]=$A18)*M_BOM[RM_Qty_Per_Batch]*IFERROR(INDEX(PP_Grid[#Data],M_BOM[PPGridRow],86),0))+IFERROR(INDEX(M_RawMaterials[固定週次消費量_要入力],MATCH($A18,M_RawMaterials[Part Name],0)),0)</f>
        <v/>
      </c>
      <c r="CI18">
        <f>SUMPRODUCT((M_BOM[Part Name]=$A18)*M_BOM[RM_Qty_Per_Batch]*IFERROR(INDEX(PP_Grid[#Data],M_BOM[PPGridRow],87),0))+IFERROR(INDEX(M_RawMaterials[固定週次消費量_要入力],MATCH($A18,M_RawMaterials[Part Name],0)),0)</f>
        <v/>
      </c>
      <c r="CJ18">
        <f>SUMPRODUCT((M_BOM[Part Name]=$A18)*M_BOM[RM_Qty_Per_Batch]*IFERROR(INDEX(PP_Grid[#Data],M_BOM[PPGridRow],88),0))+IFERROR(INDEX(M_RawMaterials[固定週次消費量_要入力],MATCH($A18,M_RawMaterials[Part Name],0)),0)</f>
        <v/>
      </c>
      <c r="CK18">
        <f>SUMPRODUCT((M_BOM[Part Name]=$A18)*M_BOM[RM_Qty_Per_Batch]*IFERROR(INDEX(PP_Grid[#Data],M_BOM[PPGridRow],89),0))+IFERROR(INDEX(M_RawMaterials[固定週次消費量_要入力],MATCH($A18,M_RawMaterials[Part Name],0)),0)</f>
        <v/>
      </c>
      <c r="CL18">
        <f>SUMPRODUCT((M_BOM[Part Name]=$A18)*M_BOM[RM_Qty_Per_Batch]*IFERROR(INDEX(PP_Grid[#Data],M_BOM[PPGridRow],90),0))+IFERROR(INDEX(M_RawMaterials[固定週次消費量_要入力],MATCH($A18,M_RawMaterials[Part Name],0)),0)</f>
        <v/>
      </c>
      <c r="CM18">
        <f>SUMPRODUCT((M_BOM[Part Name]=$A18)*M_BOM[RM_Qty_Per_Batch]*IFERROR(INDEX(PP_Grid[#Data],M_BOM[PPGridRow],91),0))+IFERROR(INDEX(M_RawMaterials[固定週次消費量_要入力],MATCH($A18,M_RawMaterials[Part Name],0)),0)</f>
        <v/>
      </c>
      <c r="CN18">
        <f>SUMPRODUCT((M_BOM[Part Name]=$A18)*M_BOM[RM_Qty_Per_Batch]*IFERROR(INDEX(PP_Grid[#Data],M_BOM[PPGridRow],92),0))+IFERROR(INDEX(M_RawMaterials[固定週次消費量_要入力],MATCH($A18,M_RawMaterials[Part Name],0)),0)</f>
        <v/>
      </c>
      <c r="CO18">
        <f>SUMPRODUCT((M_BOM[Part Name]=$A18)*M_BOM[RM_Qty_Per_Batch]*IFERROR(INDEX(PP_Grid[#Data],M_BOM[PPGridRow],93),0))+IFERROR(INDEX(M_RawMaterials[固定週次消費量_要入力],MATCH($A18,M_RawMaterials[Part Name],0)),0)</f>
        <v/>
      </c>
      <c r="CP18">
        <f>SUMPRODUCT((M_BOM[Part Name]=$A18)*M_BOM[RM_Qty_Per_Batch]*IFERROR(INDEX(PP_Grid[#Data],M_BOM[PPGridRow],94),0))+IFERROR(INDEX(M_RawMaterials[固定週次消費量_要入力],MATCH($A18,M_RawMaterials[Part Name],0)),0)</f>
        <v/>
      </c>
      <c r="CQ18">
        <f>SUMPRODUCT((M_BOM[Part Name]=$A18)*M_BOM[RM_Qty_Per_Batch]*IFERROR(INDEX(PP_Grid[#Data],M_BOM[PPGridRow],95),0))+IFERROR(INDEX(M_RawMaterials[固定週次消費量_要入力],MATCH($A18,M_RawMaterials[Part Name],0)),0)</f>
        <v/>
      </c>
      <c r="CR18">
        <f>SUMPRODUCT((M_BOM[Part Name]=$A18)*M_BOM[RM_Qty_Per_Batch]*IFERROR(INDEX(PP_Grid[#Data],M_BOM[PPGridRow],96),0))+IFERROR(INDEX(M_RawMaterials[固定週次消費量_要入力],MATCH($A18,M_RawMaterials[Part Name],0)),0)</f>
        <v/>
      </c>
      <c r="CS18">
        <f>SUMPRODUCT((M_BOM[Part Name]=$A18)*M_BOM[RM_Qty_Per_Batch]*IFERROR(INDEX(PP_Grid[#Data],M_BOM[PPGridRow],97),0))+IFERROR(INDEX(M_RawMaterials[固定週次消費量_要入力],MATCH($A18,M_RawMaterials[Part Name],0)),0)</f>
        <v/>
      </c>
      <c r="CT18">
        <f>SUMPRODUCT((M_BOM[Part Name]=$A18)*M_BOM[RM_Qty_Per_Batch]*IFERROR(INDEX(PP_Grid[#Data],M_BOM[PPGridRow],98),0))+IFERROR(INDEX(M_RawMaterials[固定週次消費量_要入力],MATCH($A18,M_RawMaterials[Part Name],0)),0)</f>
        <v/>
      </c>
      <c r="CU18">
        <f>SUMPRODUCT((M_BOM[Part Name]=$A18)*M_BOM[RM_Qty_Per_Batch]*IFERROR(INDEX(PP_Grid[#Data],M_BOM[PPGridRow],99),0))+IFERROR(INDEX(M_RawMaterials[固定週次消費量_要入力],MATCH($A18,M_RawMaterials[Part Name],0)),0)</f>
        <v/>
      </c>
      <c r="CV18">
        <f>SUMPRODUCT((M_BOM[Part Name]=$A18)*M_BOM[RM_Qty_Per_Batch]*IFERROR(INDEX(PP_Grid[#Data],M_BOM[PPGridRow],100),0))+IFERROR(INDEX(M_RawMaterials[固定週次消費量_要入力],MATCH($A18,M_RawMaterials[Part Name],0)),0)</f>
        <v/>
      </c>
      <c r="CW18">
        <f>SUMPRODUCT((M_BOM[Part Name]=$A18)*M_BOM[RM_Qty_Per_Batch]*IFERROR(INDEX(PP_Grid[#Data],M_BOM[PPGridRow],101),0))+IFERROR(INDEX(M_RawMaterials[固定週次消費量_要入力],MATCH($A18,M_RawMaterials[Part Name],0)),0)</f>
        <v/>
      </c>
      <c r="CX18">
        <f>SUMPRODUCT((M_BOM[Part Name]=$A18)*M_BOM[RM_Qty_Per_Batch]*IFERROR(INDEX(PP_Grid[#Data],M_BOM[PPGridRow],102),0))+IFERROR(INDEX(M_RawMaterials[固定週次消費量_要入力],MATCH($A18,M_RawMaterials[Part Name],0)),0)</f>
        <v/>
      </c>
      <c r="CY18">
        <f>SUMPRODUCT((M_BOM[Part Name]=$A18)*M_BOM[RM_Qty_Per_Batch]*IFERROR(INDEX(PP_Grid[#Data],M_BOM[PPGridRow],103),0))+IFERROR(INDEX(M_RawMaterials[固定週次消費量_要入力],MATCH($A18,M_RawMaterials[Part Name],0)),0)</f>
        <v/>
      </c>
      <c r="CZ18">
        <f>SUMPRODUCT((M_BOM[Part Name]=$A18)*M_BOM[RM_Qty_Per_Batch]*IFERROR(INDEX(PP_Grid[#Data],M_BOM[PPGridRow],104),0))+IFERROR(INDEX(M_RawMaterials[固定週次消費量_要入力],MATCH($A18,M_RawMaterials[Part Name],0)),0)</f>
        <v/>
      </c>
      <c r="DA18">
        <f>SUMPRODUCT((M_BOM[Part Name]=$A18)*M_BOM[RM_Qty_Per_Batch]*IFERROR(INDEX(PP_Grid[#Data],M_BOM[PPGridRow],105),0))+IFERROR(INDEX(M_RawMaterials[固定週次消費量_要入力],MATCH($A18,M_RawMaterials[Part Name],0)),0)</f>
        <v/>
      </c>
    </row>
    <row r="19">
      <c r="A19" t="inlineStr">
        <is>
          <t>26F</t>
        </is>
      </c>
      <c r="B19">
        <f>SUMPRODUCT((M_BOM[Part Name]=$A19)*M_BOM[RM_Qty_Per_Batch]*IFERROR(INDEX(PP_Grid[#Data],M_BOM[PPGridRow],2),0))+IFERROR(INDEX(M_RawMaterials[固定週次消費量_要入力],MATCH($A19,M_RawMaterials[Part Name],0)),0)</f>
        <v/>
      </c>
      <c r="C19">
        <f>SUMPRODUCT((M_BOM[Part Name]=$A19)*M_BOM[RM_Qty_Per_Batch]*IFERROR(INDEX(PP_Grid[#Data],M_BOM[PPGridRow],3),0))+IFERROR(INDEX(M_RawMaterials[固定週次消費量_要入力],MATCH($A19,M_RawMaterials[Part Name],0)),0)</f>
        <v/>
      </c>
      <c r="D19">
        <f>SUMPRODUCT((M_BOM[Part Name]=$A19)*M_BOM[RM_Qty_Per_Batch]*IFERROR(INDEX(PP_Grid[#Data],M_BOM[PPGridRow],4),0))+IFERROR(INDEX(M_RawMaterials[固定週次消費量_要入力],MATCH($A19,M_RawMaterials[Part Name],0)),0)</f>
        <v/>
      </c>
      <c r="E19">
        <f>SUMPRODUCT((M_BOM[Part Name]=$A19)*M_BOM[RM_Qty_Per_Batch]*IFERROR(INDEX(PP_Grid[#Data],M_BOM[PPGridRow],5),0))+IFERROR(INDEX(M_RawMaterials[固定週次消費量_要入力],MATCH($A19,M_RawMaterials[Part Name],0)),0)</f>
        <v/>
      </c>
      <c r="F19">
        <f>SUMPRODUCT((M_BOM[Part Name]=$A19)*M_BOM[RM_Qty_Per_Batch]*IFERROR(INDEX(PP_Grid[#Data],M_BOM[PPGridRow],6),0))+IFERROR(INDEX(M_RawMaterials[固定週次消費量_要入力],MATCH($A19,M_RawMaterials[Part Name],0)),0)</f>
        <v/>
      </c>
      <c r="G19">
        <f>SUMPRODUCT((M_BOM[Part Name]=$A19)*M_BOM[RM_Qty_Per_Batch]*IFERROR(INDEX(PP_Grid[#Data],M_BOM[PPGridRow],7),0))+IFERROR(INDEX(M_RawMaterials[固定週次消費量_要入力],MATCH($A19,M_RawMaterials[Part Name],0)),0)</f>
        <v/>
      </c>
      <c r="H19">
        <f>SUMPRODUCT((M_BOM[Part Name]=$A19)*M_BOM[RM_Qty_Per_Batch]*IFERROR(INDEX(PP_Grid[#Data],M_BOM[PPGridRow],8),0))+IFERROR(INDEX(M_RawMaterials[固定週次消費量_要入力],MATCH($A19,M_RawMaterials[Part Name],0)),0)</f>
        <v/>
      </c>
      <c r="I19">
        <f>SUMPRODUCT((M_BOM[Part Name]=$A19)*M_BOM[RM_Qty_Per_Batch]*IFERROR(INDEX(PP_Grid[#Data],M_BOM[PPGridRow],9),0))+IFERROR(INDEX(M_RawMaterials[固定週次消費量_要入力],MATCH($A19,M_RawMaterials[Part Name],0)),0)</f>
        <v/>
      </c>
      <c r="J19">
        <f>SUMPRODUCT((M_BOM[Part Name]=$A19)*M_BOM[RM_Qty_Per_Batch]*IFERROR(INDEX(PP_Grid[#Data],M_BOM[PPGridRow],10),0))+IFERROR(INDEX(M_RawMaterials[固定週次消費量_要入力],MATCH($A19,M_RawMaterials[Part Name],0)),0)</f>
        <v/>
      </c>
      <c r="K19">
        <f>SUMPRODUCT((M_BOM[Part Name]=$A19)*M_BOM[RM_Qty_Per_Batch]*IFERROR(INDEX(PP_Grid[#Data],M_BOM[PPGridRow],11),0))+IFERROR(INDEX(M_RawMaterials[固定週次消費量_要入力],MATCH($A19,M_RawMaterials[Part Name],0)),0)</f>
        <v/>
      </c>
      <c r="L19">
        <f>SUMPRODUCT((M_BOM[Part Name]=$A19)*M_BOM[RM_Qty_Per_Batch]*IFERROR(INDEX(PP_Grid[#Data],M_BOM[PPGridRow],12),0))+IFERROR(INDEX(M_RawMaterials[固定週次消費量_要入力],MATCH($A19,M_RawMaterials[Part Name],0)),0)</f>
        <v/>
      </c>
      <c r="M19">
        <f>SUMPRODUCT((M_BOM[Part Name]=$A19)*M_BOM[RM_Qty_Per_Batch]*IFERROR(INDEX(PP_Grid[#Data],M_BOM[PPGridRow],13),0))+IFERROR(INDEX(M_RawMaterials[固定週次消費量_要入力],MATCH($A19,M_RawMaterials[Part Name],0)),0)</f>
        <v/>
      </c>
      <c r="N19">
        <f>SUMPRODUCT((M_BOM[Part Name]=$A19)*M_BOM[RM_Qty_Per_Batch]*IFERROR(INDEX(PP_Grid[#Data],M_BOM[PPGridRow],14),0))+IFERROR(INDEX(M_RawMaterials[固定週次消費量_要入力],MATCH($A19,M_RawMaterials[Part Name],0)),0)</f>
        <v/>
      </c>
      <c r="O19">
        <f>SUMPRODUCT((M_BOM[Part Name]=$A19)*M_BOM[RM_Qty_Per_Batch]*IFERROR(INDEX(PP_Grid[#Data],M_BOM[PPGridRow],15),0))+IFERROR(INDEX(M_RawMaterials[固定週次消費量_要入力],MATCH($A19,M_RawMaterials[Part Name],0)),0)</f>
        <v/>
      </c>
      <c r="P19">
        <f>SUMPRODUCT((M_BOM[Part Name]=$A19)*M_BOM[RM_Qty_Per_Batch]*IFERROR(INDEX(PP_Grid[#Data],M_BOM[PPGridRow],16),0))+IFERROR(INDEX(M_RawMaterials[固定週次消費量_要入力],MATCH($A19,M_RawMaterials[Part Name],0)),0)</f>
        <v/>
      </c>
      <c r="Q19">
        <f>SUMPRODUCT((M_BOM[Part Name]=$A19)*M_BOM[RM_Qty_Per_Batch]*IFERROR(INDEX(PP_Grid[#Data],M_BOM[PPGridRow],17),0))+IFERROR(INDEX(M_RawMaterials[固定週次消費量_要入力],MATCH($A19,M_RawMaterials[Part Name],0)),0)</f>
        <v/>
      </c>
      <c r="R19">
        <f>SUMPRODUCT((M_BOM[Part Name]=$A19)*M_BOM[RM_Qty_Per_Batch]*IFERROR(INDEX(PP_Grid[#Data],M_BOM[PPGridRow],18),0))+IFERROR(INDEX(M_RawMaterials[固定週次消費量_要入力],MATCH($A19,M_RawMaterials[Part Name],0)),0)</f>
        <v/>
      </c>
      <c r="S19">
        <f>SUMPRODUCT((M_BOM[Part Name]=$A19)*M_BOM[RM_Qty_Per_Batch]*IFERROR(INDEX(PP_Grid[#Data],M_BOM[PPGridRow],19),0))+IFERROR(INDEX(M_RawMaterials[固定週次消費量_要入力],MATCH($A19,M_RawMaterials[Part Name],0)),0)</f>
        <v/>
      </c>
      <c r="T19">
        <f>SUMPRODUCT((M_BOM[Part Name]=$A19)*M_BOM[RM_Qty_Per_Batch]*IFERROR(INDEX(PP_Grid[#Data],M_BOM[PPGridRow],20),0))+IFERROR(INDEX(M_RawMaterials[固定週次消費量_要入力],MATCH($A19,M_RawMaterials[Part Name],0)),0)</f>
        <v/>
      </c>
      <c r="U19">
        <f>SUMPRODUCT((M_BOM[Part Name]=$A19)*M_BOM[RM_Qty_Per_Batch]*IFERROR(INDEX(PP_Grid[#Data],M_BOM[PPGridRow],21),0))+IFERROR(INDEX(M_RawMaterials[固定週次消費量_要入力],MATCH($A19,M_RawMaterials[Part Name],0)),0)</f>
        <v/>
      </c>
      <c r="V19">
        <f>SUMPRODUCT((M_BOM[Part Name]=$A19)*M_BOM[RM_Qty_Per_Batch]*IFERROR(INDEX(PP_Grid[#Data],M_BOM[PPGridRow],22),0))+IFERROR(INDEX(M_RawMaterials[固定週次消費量_要入力],MATCH($A19,M_RawMaterials[Part Name],0)),0)</f>
        <v/>
      </c>
      <c r="W19">
        <f>SUMPRODUCT((M_BOM[Part Name]=$A19)*M_BOM[RM_Qty_Per_Batch]*IFERROR(INDEX(PP_Grid[#Data],M_BOM[PPGridRow],23),0))+IFERROR(INDEX(M_RawMaterials[固定週次消費量_要入力],MATCH($A19,M_RawMaterials[Part Name],0)),0)</f>
        <v/>
      </c>
      <c r="X19">
        <f>SUMPRODUCT((M_BOM[Part Name]=$A19)*M_BOM[RM_Qty_Per_Batch]*IFERROR(INDEX(PP_Grid[#Data],M_BOM[PPGridRow],24),0))+IFERROR(INDEX(M_RawMaterials[固定週次消費量_要入力],MATCH($A19,M_RawMaterials[Part Name],0)),0)</f>
        <v/>
      </c>
      <c r="Y19">
        <f>SUMPRODUCT((M_BOM[Part Name]=$A19)*M_BOM[RM_Qty_Per_Batch]*IFERROR(INDEX(PP_Grid[#Data],M_BOM[PPGridRow],25),0))+IFERROR(INDEX(M_RawMaterials[固定週次消費量_要入力],MATCH($A19,M_RawMaterials[Part Name],0)),0)</f>
        <v/>
      </c>
      <c r="Z19">
        <f>SUMPRODUCT((M_BOM[Part Name]=$A19)*M_BOM[RM_Qty_Per_Batch]*IFERROR(INDEX(PP_Grid[#Data],M_BOM[PPGridRow],26),0))+IFERROR(INDEX(M_RawMaterials[固定週次消費量_要入力],MATCH($A19,M_RawMaterials[Part Name],0)),0)</f>
        <v/>
      </c>
      <c r="AA19">
        <f>SUMPRODUCT((M_BOM[Part Name]=$A19)*M_BOM[RM_Qty_Per_Batch]*IFERROR(INDEX(PP_Grid[#Data],M_BOM[PPGridRow],27),0))+IFERROR(INDEX(M_RawMaterials[固定週次消費量_要入力],MATCH($A19,M_RawMaterials[Part Name],0)),0)</f>
        <v/>
      </c>
      <c r="AB19">
        <f>SUMPRODUCT((M_BOM[Part Name]=$A19)*M_BOM[RM_Qty_Per_Batch]*IFERROR(INDEX(PP_Grid[#Data],M_BOM[PPGridRow],28),0))+IFERROR(INDEX(M_RawMaterials[固定週次消費量_要入力],MATCH($A19,M_RawMaterials[Part Name],0)),0)</f>
        <v/>
      </c>
      <c r="AC19">
        <f>SUMPRODUCT((M_BOM[Part Name]=$A19)*M_BOM[RM_Qty_Per_Batch]*IFERROR(INDEX(PP_Grid[#Data],M_BOM[PPGridRow],29),0))+IFERROR(INDEX(M_RawMaterials[固定週次消費量_要入力],MATCH($A19,M_RawMaterials[Part Name],0)),0)</f>
        <v/>
      </c>
      <c r="AD19">
        <f>SUMPRODUCT((M_BOM[Part Name]=$A19)*M_BOM[RM_Qty_Per_Batch]*IFERROR(INDEX(PP_Grid[#Data],M_BOM[PPGridRow],30),0))+IFERROR(INDEX(M_RawMaterials[固定週次消費量_要入力],MATCH($A19,M_RawMaterials[Part Name],0)),0)</f>
        <v/>
      </c>
      <c r="AE19">
        <f>SUMPRODUCT((M_BOM[Part Name]=$A19)*M_BOM[RM_Qty_Per_Batch]*IFERROR(INDEX(PP_Grid[#Data],M_BOM[PPGridRow],31),0))+IFERROR(INDEX(M_RawMaterials[固定週次消費量_要入力],MATCH($A19,M_RawMaterials[Part Name],0)),0)</f>
        <v/>
      </c>
      <c r="AF19">
        <f>SUMPRODUCT((M_BOM[Part Name]=$A19)*M_BOM[RM_Qty_Per_Batch]*IFERROR(INDEX(PP_Grid[#Data],M_BOM[PPGridRow],32),0))+IFERROR(INDEX(M_RawMaterials[固定週次消費量_要入力],MATCH($A19,M_RawMaterials[Part Name],0)),0)</f>
        <v/>
      </c>
      <c r="AG19">
        <f>SUMPRODUCT((M_BOM[Part Name]=$A19)*M_BOM[RM_Qty_Per_Batch]*IFERROR(INDEX(PP_Grid[#Data],M_BOM[PPGridRow],33),0))+IFERROR(INDEX(M_RawMaterials[固定週次消費量_要入力],MATCH($A19,M_RawMaterials[Part Name],0)),0)</f>
        <v/>
      </c>
      <c r="AH19">
        <f>SUMPRODUCT((M_BOM[Part Name]=$A19)*M_BOM[RM_Qty_Per_Batch]*IFERROR(INDEX(PP_Grid[#Data],M_BOM[PPGridRow],34),0))+IFERROR(INDEX(M_RawMaterials[固定週次消費量_要入力],MATCH($A19,M_RawMaterials[Part Name],0)),0)</f>
        <v/>
      </c>
      <c r="AI19">
        <f>SUMPRODUCT((M_BOM[Part Name]=$A19)*M_BOM[RM_Qty_Per_Batch]*IFERROR(INDEX(PP_Grid[#Data],M_BOM[PPGridRow],35),0))+IFERROR(INDEX(M_RawMaterials[固定週次消費量_要入力],MATCH($A19,M_RawMaterials[Part Name],0)),0)</f>
        <v/>
      </c>
      <c r="AJ19">
        <f>SUMPRODUCT((M_BOM[Part Name]=$A19)*M_BOM[RM_Qty_Per_Batch]*IFERROR(INDEX(PP_Grid[#Data],M_BOM[PPGridRow],36),0))+IFERROR(INDEX(M_RawMaterials[固定週次消費量_要入力],MATCH($A19,M_RawMaterials[Part Name],0)),0)</f>
        <v/>
      </c>
      <c r="AK19">
        <f>SUMPRODUCT((M_BOM[Part Name]=$A19)*M_BOM[RM_Qty_Per_Batch]*IFERROR(INDEX(PP_Grid[#Data],M_BOM[PPGridRow],37),0))+IFERROR(INDEX(M_RawMaterials[固定週次消費量_要入力],MATCH($A19,M_RawMaterials[Part Name],0)),0)</f>
        <v/>
      </c>
      <c r="AL19">
        <f>SUMPRODUCT((M_BOM[Part Name]=$A19)*M_BOM[RM_Qty_Per_Batch]*IFERROR(INDEX(PP_Grid[#Data],M_BOM[PPGridRow],38),0))+IFERROR(INDEX(M_RawMaterials[固定週次消費量_要入力],MATCH($A19,M_RawMaterials[Part Name],0)),0)</f>
        <v/>
      </c>
      <c r="AM19">
        <f>SUMPRODUCT((M_BOM[Part Name]=$A19)*M_BOM[RM_Qty_Per_Batch]*IFERROR(INDEX(PP_Grid[#Data],M_BOM[PPGridRow],39),0))+IFERROR(INDEX(M_RawMaterials[固定週次消費量_要入力],MATCH($A19,M_RawMaterials[Part Name],0)),0)</f>
        <v/>
      </c>
      <c r="AN19">
        <f>SUMPRODUCT((M_BOM[Part Name]=$A19)*M_BOM[RM_Qty_Per_Batch]*IFERROR(INDEX(PP_Grid[#Data],M_BOM[PPGridRow],40),0))+IFERROR(INDEX(M_RawMaterials[固定週次消費量_要入力],MATCH($A19,M_RawMaterials[Part Name],0)),0)</f>
        <v/>
      </c>
      <c r="AO19">
        <f>SUMPRODUCT((M_BOM[Part Name]=$A19)*M_BOM[RM_Qty_Per_Batch]*IFERROR(INDEX(PP_Grid[#Data],M_BOM[PPGridRow],41),0))+IFERROR(INDEX(M_RawMaterials[固定週次消費量_要入力],MATCH($A19,M_RawMaterials[Part Name],0)),0)</f>
        <v/>
      </c>
      <c r="AP19">
        <f>SUMPRODUCT((M_BOM[Part Name]=$A19)*M_BOM[RM_Qty_Per_Batch]*IFERROR(INDEX(PP_Grid[#Data],M_BOM[PPGridRow],42),0))+IFERROR(INDEX(M_RawMaterials[固定週次消費量_要入力],MATCH($A19,M_RawMaterials[Part Name],0)),0)</f>
        <v/>
      </c>
      <c r="AQ19">
        <f>SUMPRODUCT((M_BOM[Part Name]=$A19)*M_BOM[RM_Qty_Per_Batch]*IFERROR(INDEX(PP_Grid[#Data],M_BOM[PPGridRow],43),0))+IFERROR(INDEX(M_RawMaterials[固定週次消費量_要入力],MATCH($A19,M_RawMaterials[Part Name],0)),0)</f>
        <v/>
      </c>
      <c r="AR19">
        <f>SUMPRODUCT((M_BOM[Part Name]=$A19)*M_BOM[RM_Qty_Per_Batch]*IFERROR(INDEX(PP_Grid[#Data],M_BOM[PPGridRow],44),0))+IFERROR(INDEX(M_RawMaterials[固定週次消費量_要入力],MATCH($A19,M_RawMaterials[Part Name],0)),0)</f>
        <v/>
      </c>
      <c r="AS19">
        <f>SUMPRODUCT((M_BOM[Part Name]=$A19)*M_BOM[RM_Qty_Per_Batch]*IFERROR(INDEX(PP_Grid[#Data],M_BOM[PPGridRow],45),0))+IFERROR(INDEX(M_RawMaterials[固定週次消費量_要入力],MATCH($A19,M_RawMaterials[Part Name],0)),0)</f>
        <v/>
      </c>
      <c r="AT19">
        <f>SUMPRODUCT((M_BOM[Part Name]=$A19)*M_BOM[RM_Qty_Per_Batch]*IFERROR(INDEX(PP_Grid[#Data],M_BOM[PPGridRow],46),0))+IFERROR(INDEX(M_RawMaterials[固定週次消費量_要入力],MATCH($A19,M_RawMaterials[Part Name],0)),0)</f>
        <v/>
      </c>
      <c r="AU19">
        <f>SUMPRODUCT((M_BOM[Part Name]=$A19)*M_BOM[RM_Qty_Per_Batch]*IFERROR(INDEX(PP_Grid[#Data],M_BOM[PPGridRow],47),0))+IFERROR(INDEX(M_RawMaterials[固定週次消費量_要入力],MATCH($A19,M_RawMaterials[Part Name],0)),0)</f>
        <v/>
      </c>
      <c r="AV19">
        <f>SUMPRODUCT((M_BOM[Part Name]=$A19)*M_BOM[RM_Qty_Per_Batch]*IFERROR(INDEX(PP_Grid[#Data],M_BOM[PPGridRow],48),0))+IFERROR(INDEX(M_RawMaterials[固定週次消費量_要入力],MATCH($A19,M_RawMaterials[Part Name],0)),0)</f>
        <v/>
      </c>
      <c r="AW19">
        <f>SUMPRODUCT((M_BOM[Part Name]=$A19)*M_BOM[RM_Qty_Per_Batch]*IFERROR(INDEX(PP_Grid[#Data],M_BOM[PPGridRow],49),0))+IFERROR(INDEX(M_RawMaterials[固定週次消費量_要入力],MATCH($A19,M_RawMaterials[Part Name],0)),0)</f>
        <v/>
      </c>
      <c r="AX19">
        <f>SUMPRODUCT((M_BOM[Part Name]=$A19)*M_BOM[RM_Qty_Per_Batch]*IFERROR(INDEX(PP_Grid[#Data],M_BOM[PPGridRow],50),0))+IFERROR(INDEX(M_RawMaterials[固定週次消費量_要入力],MATCH($A19,M_RawMaterials[Part Name],0)),0)</f>
        <v/>
      </c>
      <c r="AY19">
        <f>SUMPRODUCT((M_BOM[Part Name]=$A19)*M_BOM[RM_Qty_Per_Batch]*IFERROR(INDEX(PP_Grid[#Data],M_BOM[PPGridRow],51),0))+IFERROR(INDEX(M_RawMaterials[固定週次消費量_要入力],MATCH($A19,M_RawMaterials[Part Name],0)),0)</f>
        <v/>
      </c>
      <c r="AZ19">
        <f>SUMPRODUCT((M_BOM[Part Name]=$A19)*M_BOM[RM_Qty_Per_Batch]*IFERROR(INDEX(PP_Grid[#Data],M_BOM[PPGridRow],52),0))+IFERROR(INDEX(M_RawMaterials[固定週次消費量_要入力],MATCH($A19,M_RawMaterials[Part Name],0)),0)</f>
        <v/>
      </c>
      <c r="BA19">
        <f>SUMPRODUCT((M_BOM[Part Name]=$A19)*M_BOM[RM_Qty_Per_Batch]*IFERROR(INDEX(PP_Grid[#Data],M_BOM[PPGridRow],53),0))+IFERROR(INDEX(M_RawMaterials[固定週次消費量_要入力],MATCH($A19,M_RawMaterials[Part Name],0)),0)</f>
        <v/>
      </c>
      <c r="BB19">
        <f>SUMPRODUCT((M_BOM[Part Name]=$A19)*M_BOM[RM_Qty_Per_Batch]*IFERROR(INDEX(PP_Grid[#Data],M_BOM[PPGridRow],54),0))+IFERROR(INDEX(M_RawMaterials[固定週次消費量_要入力],MATCH($A19,M_RawMaterials[Part Name],0)),0)</f>
        <v/>
      </c>
      <c r="BC19">
        <f>SUMPRODUCT((M_BOM[Part Name]=$A19)*M_BOM[RM_Qty_Per_Batch]*IFERROR(INDEX(PP_Grid[#Data],M_BOM[PPGridRow],55),0))+IFERROR(INDEX(M_RawMaterials[固定週次消費量_要入力],MATCH($A19,M_RawMaterials[Part Name],0)),0)</f>
        <v/>
      </c>
      <c r="BD19">
        <f>SUMPRODUCT((M_BOM[Part Name]=$A19)*M_BOM[RM_Qty_Per_Batch]*IFERROR(INDEX(PP_Grid[#Data],M_BOM[PPGridRow],56),0))+IFERROR(INDEX(M_RawMaterials[固定週次消費量_要入力],MATCH($A19,M_RawMaterials[Part Name],0)),0)</f>
        <v/>
      </c>
      <c r="BE19">
        <f>SUMPRODUCT((M_BOM[Part Name]=$A19)*M_BOM[RM_Qty_Per_Batch]*IFERROR(INDEX(PP_Grid[#Data],M_BOM[PPGridRow],57),0))+IFERROR(INDEX(M_RawMaterials[固定週次消費量_要入力],MATCH($A19,M_RawMaterials[Part Name],0)),0)</f>
        <v/>
      </c>
      <c r="BF19">
        <f>SUMPRODUCT((M_BOM[Part Name]=$A19)*M_BOM[RM_Qty_Per_Batch]*IFERROR(INDEX(PP_Grid[#Data],M_BOM[PPGridRow],58),0))+IFERROR(INDEX(M_RawMaterials[固定週次消費量_要入力],MATCH($A19,M_RawMaterials[Part Name],0)),0)</f>
        <v/>
      </c>
      <c r="BG19">
        <f>SUMPRODUCT((M_BOM[Part Name]=$A19)*M_BOM[RM_Qty_Per_Batch]*IFERROR(INDEX(PP_Grid[#Data],M_BOM[PPGridRow],59),0))+IFERROR(INDEX(M_RawMaterials[固定週次消費量_要入力],MATCH($A19,M_RawMaterials[Part Name],0)),0)</f>
        <v/>
      </c>
      <c r="BH19">
        <f>SUMPRODUCT((M_BOM[Part Name]=$A19)*M_BOM[RM_Qty_Per_Batch]*IFERROR(INDEX(PP_Grid[#Data],M_BOM[PPGridRow],60),0))+IFERROR(INDEX(M_RawMaterials[固定週次消費量_要入力],MATCH($A19,M_RawMaterials[Part Name],0)),0)</f>
        <v/>
      </c>
      <c r="BI19">
        <f>SUMPRODUCT((M_BOM[Part Name]=$A19)*M_BOM[RM_Qty_Per_Batch]*IFERROR(INDEX(PP_Grid[#Data],M_BOM[PPGridRow],61),0))+IFERROR(INDEX(M_RawMaterials[固定週次消費量_要入力],MATCH($A19,M_RawMaterials[Part Name],0)),0)</f>
        <v/>
      </c>
      <c r="BJ19">
        <f>SUMPRODUCT((M_BOM[Part Name]=$A19)*M_BOM[RM_Qty_Per_Batch]*IFERROR(INDEX(PP_Grid[#Data],M_BOM[PPGridRow],62),0))+IFERROR(INDEX(M_RawMaterials[固定週次消費量_要入力],MATCH($A19,M_RawMaterials[Part Name],0)),0)</f>
        <v/>
      </c>
      <c r="BK19">
        <f>SUMPRODUCT((M_BOM[Part Name]=$A19)*M_BOM[RM_Qty_Per_Batch]*IFERROR(INDEX(PP_Grid[#Data],M_BOM[PPGridRow],63),0))+IFERROR(INDEX(M_RawMaterials[固定週次消費量_要入力],MATCH($A19,M_RawMaterials[Part Name],0)),0)</f>
        <v/>
      </c>
      <c r="BL19">
        <f>SUMPRODUCT((M_BOM[Part Name]=$A19)*M_BOM[RM_Qty_Per_Batch]*IFERROR(INDEX(PP_Grid[#Data],M_BOM[PPGridRow],64),0))+IFERROR(INDEX(M_RawMaterials[固定週次消費量_要入力],MATCH($A19,M_RawMaterials[Part Name],0)),0)</f>
        <v/>
      </c>
      <c r="BM19">
        <f>SUMPRODUCT((M_BOM[Part Name]=$A19)*M_BOM[RM_Qty_Per_Batch]*IFERROR(INDEX(PP_Grid[#Data],M_BOM[PPGridRow],65),0))+IFERROR(INDEX(M_RawMaterials[固定週次消費量_要入力],MATCH($A19,M_RawMaterials[Part Name],0)),0)</f>
        <v/>
      </c>
      <c r="BN19">
        <f>SUMPRODUCT((M_BOM[Part Name]=$A19)*M_BOM[RM_Qty_Per_Batch]*IFERROR(INDEX(PP_Grid[#Data],M_BOM[PPGridRow],66),0))+IFERROR(INDEX(M_RawMaterials[固定週次消費量_要入力],MATCH($A19,M_RawMaterials[Part Name],0)),0)</f>
        <v/>
      </c>
      <c r="BO19">
        <f>SUMPRODUCT((M_BOM[Part Name]=$A19)*M_BOM[RM_Qty_Per_Batch]*IFERROR(INDEX(PP_Grid[#Data],M_BOM[PPGridRow],67),0))+IFERROR(INDEX(M_RawMaterials[固定週次消費量_要入力],MATCH($A19,M_RawMaterials[Part Name],0)),0)</f>
        <v/>
      </c>
      <c r="BP19">
        <f>SUMPRODUCT((M_BOM[Part Name]=$A19)*M_BOM[RM_Qty_Per_Batch]*IFERROR(INDEX(PP_Grid[#Data],M_BOM[PPGridRow],68),0))+IFERROR(INDEX(M_RawMaterials[固定週次消費量_要入力],MATCH($A19,M_RawMaterials[Part Name],0)),0)</f>
        <v/>
      </c>
      <c r="BQ19">
        <f>SUMPRODUCT((M_BOM[Part Name]=$A19)*M_BOM[RM_Qty_Per_Batch]*IFERROR(INDEX(PP_Grid[#Data],M_BOM[PPGridRow],69),0))+IFERROR(INDEX(M_RawMaterials[固定週次消費量_要入力],MATCH($A19,M_RawMaterials[Part Name],0)),0)</f>
        <v/>
      </c>
      <c r="BR19">
        <f>SUMPRODUCT((M_BOM[Part Name]=$A19)*M_BOM[RM_Qty_Per_Batch]*IFERROR(INDEX(PP_Grid[#Data],M_BOM[PPGridRow],70),0))+IFERROR(INDEX(M_RawMaterials[固定週次消費量_要入力],MATCH($A19,M_RawMaterials[Part Name],0)),0)</f>
        <v/>
      </c>
      <c r="BS19">
        <f>SUMPRODUCT((M_BOM[Part Name]=$A19)*M_BOM[RM_Qty_Per_Batch]*IFERROR(INDEX(PP_Grid[#Data],M_BOM[PPGridRow],71),0))+IFERROR(INDEX(M_RawMaterials[固定週次消費量_要入力],MATCH($A19,M_RawMaterials[Part Name],0)),0)</f>
        <v/>
      </c>
      <c r="BT19">
        <f>SUMPRODUCT((M_BOM[Part Name]=$A19)*M_BOM[RM_Qty_Per_Batch]*IFERROR(INDEX(PP_Grid[#Data],M_BOM[PPGridRow],72),0))+IFERROR(INDEX(M_RawMaterials[固定週次消費量_要入力],MATCH($A19,M_RawMaterials[Part Name],0)),0)</f>
        <v/>
      </c>
      <c r="BU19">
        <f>SUMPRODUCT((M_BOM[Part Name]=$A19)*M_BOM[RM_Qty_Per_Batch]*IFERROR(INDEX(PP_Grid[#Data],M_BOM[PPGridRow],73),0))+IFERROR(INDEX(M_RawMaterials[固定週次消費量_要入力],MATCH($A19,M_RawMaterials[Part Name],0)),0)</f>
        <v/>
      </c>
      <c r="BV19">
        <f>SUMPRODUCT((M_BOM[Part Name]=$A19)*M_BOM[RM_Qty_Per_Batch]*IFERROR(INDEX(PP_Grid[#Data],M_BOM[PPGridRow],74),0))+IFERROR(INDEX(M_RawMaterials[固定週次消費量_要入力],MATCH($A19,M_RawMaterials[Part Name],0)),0)</f>
        <v/>
      </c>
      <c r="BW19">
        <f>SUMPRODUCT((M_BOM[Part Name]=$A19)*M_BOM[RM_Qty_Per_Batch]*IFERROR(INDEX(PP_Grid[#Data],M_BOM[PPGridRow],75),0))+IFERROR(INDEX(M_RawMaterials[固定週次消費量_要入力],MATCH($A19,M_RawMaterials[Part Name],0)),0)</f>
        <v/>
      </c>
      <c r="BX19">
        <f>SUMPRODUCT((M_BOM[Part Name]=$A19)*M_BOM[RM_Qty_Per_Batch]*IFERROR(INDEX(PP_Grid[#Data],M_BOM[PPGridRow],76),0))+IFERROR(INDEX(M_RawMaterials[固定週次消費量_要入力],MATCH($A19,M_RawMaterials[Part Name],0)),0)</f>
        <v/>
      </c>
      <c r="BY19">
        <f>SUMPRODUCT((M_BOM[Part Name]=$A19)*M_BOM[RM_Qty_Per_Batch]*IFERROR(INDEX(PP_Grid[#Data],M_BOM[PPGridRow],77),0))+IFERROR(INDEX(M_RawMaterials[固定週次消費量_要入力],MATCH($A19,M_RawMaterials[Part Name],0)),0)</f>
        <v/>
      </c>
      <c r="BZ19">
        <f>SUMPRODUCT((M_BOM[Part Name]=$A19)*M_BOM[RM_Qty_Per_Batch]*IFERROR(INDEX(PP_Grid[#Data],M_BOM[PPGridRow],78),0))+IFERROR(INDEX(M_RawMaterials[固定週次消費量_要入力],MATCH($A19,M_RawMaterials[Part Name],0)),0)</f>
        <v/>
      </c>
      <c r="CA19">
        <f>SUMPRODUCT((M_BOM[Part Name]=$A19)*M_BOM[RM_Qty_Per_Batch]*IFERROR(INDEX(PP_Grid[#Data],M_BOM[PPGridRow],79),0))+IFERROR(INDEX(M_RawMaterials[固定週次消費量_要入力],MATCH($A19,M_RawMaterials[Part Name],0)),0)</f>
        <v/>
      </c>
      <c r="CB19">
        <f>SUMPRODUCT((M_BOM[Part Name]=$A19)*M_BOM[RM_Qty_Per_Batch]*IFERROR(INDEX(PP_Grid[#Data],M_BOM[PPGridRow],80),0))+IFERROR(INDEX(M_RawMaterials[固定週次消費量_要入力],MATCH($A19,M_RawMaterials[Part Name],0)),0)</f>
        <v/>
      </c>
      <c r="CC19">
        <f>SUMPRODUCT((M_BOM[Part Name]=$A19)*M_BOM[RM_Qty_Per_Batch]*IFERROR(INDEX(PP_Grid[#Data],M_BOM[PPGridRow],81),0))+IFERROR(INDEX(M_RawMaterials[固定週次消費量_要入力],MATCH($A19,M_RawMaterials[Part Name],0)),0)</f>
        <v/>
      </c>
      <c r="CD19">
        <f>SUMPRODUCT((M_BOM[Part Name]=$A19)*M_BOM[RM_Qty_Per_Batch]*IFERROR(INDEX(PP_Grid[#Data],M_BOM[PPGridRow],82),0))+IFERROR(INDEX(M_RawMaterials[固定週次消費量_要入力],MATCH($A19,M_RawMaterials[Part Name],0)),0)</f>
        <v/>
      </c>
      <c r="CE19">
        <f>SUMPRODUCT((M_BOM[Part Name]=$A19)*M_BOM[RM_Qty_Per_Batch]*IFERROR(INDEX(PP_Grid[#Data],M_BOM[PPGridRow],83),0))+IFERROR(INDEX(M_RawMaterials[固定週次消費量_要入力],MATCH($A19,M_RawMaterials[Part Name],0)),0)</f>
        <v/>
      </c>
      <c r="CF19">
        <f>SUMPRODUCT((M_BOM[Part Name]=$A19)*M_BOM[RM_Qty_Per_Batch]*IFERROR(INDEX(PP_Grid[#Data],M_BOM[PPGridRow],84),0))+IFERROR(INDEX(M_RawMaterials[固定週次消費量_要入力],MATCH($A19,M_RawMaterials[Part Name],0)),0)</f>
        <v/>
      </c>
      <c r="CG19">
        <f>SUMPRODUCT((M_BOM[Part Name]=$A19)*M_BOM[RM_Qty_Per_Batch]*IFERROR(INDEX(PP_Grid[#Data],M_BOM[PPGridRow],85),0))+IFERROR(INDEX(M_RawMaterials[固定週次消費量_要入力],MATCH($A19,M_RawMaterials[Part Name],0)),0)</f>
        <v/>
      </c>
      <c r="CH19">
        <f>SUMPRODUCT((M_BOM[Part Name]=$A19)*M_BOM[RM_Qty_Per_Batch]*IFERROR(INDEX(PP_Grid[#Data],M_BOM[PPGridRow],86),0))+IFERROR(INDEX(M_RawMaterials[固定週次消費量_要入力],MATCH($A19,M_RawMaterials[Part Name],0)),0)</f>
        <v/>
      </c>
      <c r="CI19">
        <f>SUMPRODUCT((M_BOM[Part Name]=$A19)*M_BOM[RM_Qty_Per_Batch]*IFERROR(INDEX(PP_Grid[#Data],M_BOM[PPGridRow],87),0))+IFERROR(INDEX(M_RawMaterials[固定週次消費量_要入力],MATCH($A19,M_RawMaterials[Part Name],0)),0)</f>
        <v/>
      </c>
      <c r="CJ19">
        <f>SUMPRODUCT((M_BOM[Part Name]=$A19)*M_BOM[RM_Qty_Per_Batch]*IFERROR(INDEX(PP_Grid[#Data],M_BOM[PPGridRow],88),0))+IFERROR(INDEX(M_RawMaterials[固定週次消費量_要入力],MATCH($A19,M_RawMaterials[Part Name],0)),0)</f>
        <v/>
      </c>
      <c r="CK19">
        <f>SUMPRODUCT((M_BOM[Part Name]=$A19)*M_BOM[RM_Qty_Per_Batch]*IFERROR(INDEX(PP_Grid[#Data],M_BOM[PPGridRow],89),0))+IFERROR(INDEX(M_RawMaterials[固定週次消費量_要入力],MATCH($A19,M_RawMaterials[Part Name],0)),0)</f>
        <v/>
      </c>
      <c r="CL19">
        <f>SUMPRODUCT((M_BOM[Part Name]=$A19)*M_BOM[RM_Qty_Per_Batch]*IFERROR(INDEX(PP_Grid[#Data],M_BOM[PPGridRow],90),0))+IFERROR(INDEX(M_RawMaterials[固定週次消費量_要入力],MATCH($A19,M_RawMaterials[Part Name],0)),0)</f>
        <v/>
      </c>
      <c r="CM19">
        <f>SUMPRODUCT((M_BOM[Part Name]=$A19)*M_BOM[RM_Qty_Per_Batch]*IFERROR(INDEX(PP_Grid[#Data],M_BOM[PPGridRow],91),0))+IFERROR(INDEX(M_RawMaterials[固定週次消費量_要入力],MATCH($A19,M_RawMaterials[Part Name],0)),0)</f>
        <v/>
      </c>
      <c r="CN19">
        <f>SUMPRODUCT((M_BOM[Part Name]=$A19)*M_BOM[RM_Qty_Per_Batch]*IFERROR(INDEX(PP_Grid[#Data],M_BOM[PPGridRow],92),0))+IFERROR(INDEX(M_RawMaterials[固定週次消費量_要入力],MATCH($A19,M_RawMaterials[Part Name],0)),0)</f>
        <v/>
      </c>
      <c r="CO19">
        <f>SUMPRODUCT((M_BOM[Part Name]=$A19)*M_BOM[RM_Qty_Per_Batch]*IFERROR(INDEX(PP_Grid[#Data],M_BOM[PPGridRow],93),0))+IFERROR(INDEX(M_RawMaterials[固定週次消費量_要入力],MATCH($A19,M_RawMaterials[Part Name],0)),0)</f>
        <v/>
      </c>
      <c r="CP19">
        <f>SUMPRODUCT((M_BOM[Part Name]=$A19)*M_BOM[RM_Qty_Per_Batch]*IFERROR(INDEX(PP_Grid[#Data],M_BOM[PPGridRow],94),0))+IFERROR(INDEX(M_RawMaterials[固定週次消費量_要入力],MATCH($A19,M_RawMaterials[Part Name],0)),0)</f>
        <v/>
      </c>
      <c r="CQ19">
        <f>SUMPRODUCT((M_BOM[Part Name]=$A19)*M_BOM[RM_Qty_Per_Batch]*IFERROR(INDEX(PP_Grid[#Data],M_BOM[PPGridRow],95),0))+IFERROR(INDEX(M_RawMaterials[固定週次消費量_要入力],MATCH($A19,M_RawMaterials[Part Name],0)),0)</f>
        <v/>
      </c>
      <c r="CR19">
        <f>SUMPRODUCT((M_BOM[Part Name]=$A19)*M_BOM[RM_Qty_Per_Batch]*IFERROR(INDEX(PP_Grid[#Data],M_BOM[PPGridRow],96),0))+IFERROR(INDEX(M_RawMaterials[固定週次消費量_要入力],MATCH($A19,M_RawMaterials[Part Name],0)),0)</f>
        <v/>
      </c>
      <c r="CS19">
        <f>SUMPRODUCT((M_BOM[Part Name]=$A19)*M_BOM[RM_Qty_Per_Batch]*IFERROR(INDEX(PP_Grid[#Data],M_BOM[PPGridRow],97),0))+IFERROR(INDEX(M_RawMaterials[固定週次消費量_要入力],MATCH($A19,M_RawMaterials[Part Name],0)),0)</f>
        <v/>
      </c>
      <c r="CT19">
        <f>SUMPRODUCT((M_BOM[Part Name]=$A19)*M_BOM[RM_Qty_Per_Batch]*IFERROR(INDEX(PP_Grid[#Data],M_BOM[PPGridRow],98),0))+IFERROR(INDEX(M_RawMaterials[固定週次消費量_要入力],MATCH($A19,M_RawMaterials[Part Name],0)),0)</f>
        <v/>
      </c>
      <c r="CU19">
        <f>SUMPRODUCT((M_BOM[Part Name]=$A19)*M_BOM[RM_Qty_Per_Batch]*IFERROR(INDEX(PP_Grid[#Data],M_BOM[PPGridRow],99),0))+IFERROR(INDEX(M_RawMaterials[固定週次消費量_要入力],MATCH($A19,M_RawMaterials[Part Name],0)),0)</f>
        <v/>
      </c>
      <c r="CV19">
        <f>SUMPRODUCT((M_BOM[Part Name]=$A19)*M_BOM[RM_Qty_Per_Batch]*IFERROR(INDEX(PP_Grid[#Data],M_BOM[PPGridRow],100),0))+IFERROR(INDEX(M_RawMaterials[固定週次消費量_要入力],MATCH($A19,M_RawMaterials[Part Name],0)),0)</f>
        <v/>
      </c>
      <c r="CW19">
        <f>SUMPRODUCT((M_BOM[Part Name]=$A19)*M_BOM[RM_Qty_Per_Batch]*IFERROR(INDEX(PP_Grid[#Data],M_BOM[PPGridRow],101),0))+IFERROR(INDEX(M_RawMaterials[固定週次消費量_要入力],MATCH($A19,M_RawMaterials[Part Name],0)),0)</f>
        <v/>
      </c>
      <c r="CX19">
        <f>SUMPRODUCT((M_BOM[Part Name]=$A19)*M_BOM[RM_Qty_Per_Batch]*IFERROR(INDEX(PP_Grid[#Data],M_BOM[PPGridRow],102),0))+IFERROR(INDEX(M_RawMaterials[固定週次消費量_要入力],MATCH($A19,M_RawMaterials[Part Name],0)),0)</f>
        <v/>
      </c>
      <c r="CY19">
        <f>SUMPRODUCT((M_BOM[Part Name]=$A19)*M_BOM[RM_Qty_Per_Batch]*IFERROR(INDEX(PP_Grid[#Data],M_BOM[PPGridRow],103),0))+IFERROR(INDEX(M_RawMaterials[固定週次消費量_要入力],MATCH($A19,M_RawMaterials[Part Name],0)),0)</f>
        <v/>
      </c>
      <c r="CZ19">
        <f>SUMPRODUCT((M_BOM[Part Name]=$A19)*M_BOM[RM_Qty_Per_Batch]*IFERROR(INDEX(PP_Grid[#Data],M_BOM[PPGridRow],104),0))+IFERROR(INDEX(M_RawMaterials[固定週次消費量_要入力],MATCH($A19,M_RawMaterials[Part Name],0)),0)</f>
        <v/>
      </c>
      <c r="DA19">
        <f>SUMPRODUCT((M_BOM[Part Name]=$A19)*M_BOM[RM_Qty_Per_Batch]*IFERROR(INDEX(PP_Grid[#Data],M_BOM[PPGridRow],105),0))+IFERROR(INDEX(M_RawMaterials[固定週次消費量_要入力],MATCH($A19,M_RawMaterials[Part Name],0)),0)</f>
        <v/>
      </c>
    </row>
    <row r="20">
      <c r="A20" t="inlineStr">
        <is>
          <t>73K</t>
        </is>
      </c>
      <c r="B20">
        <f>SUMPRODUCT((M_BOM[Part Name]=$A20)*M_BOM[RM_Qty_Per_Batch]*IFERROR(INDEX(PP_Grid[#Data],M_BOM[PPGridRow],2),0))+IFERROR(INDEX(M_RawMaterials[固定週次消費量_要入力],MATCH($A20,M_RawMaterials[Part Name],0)),0)</f>
        <v/>
      </c>
      <c r="C20">
        <f>SUMPRODUCT((M_BOM[Part Name]=$A20)*M_BOM[RM_Qty_Per_Batch]*IFERROR(INDEX(PP_Grid[#Data],M_BOM[PPGridRow],3),0))+IFERROR(INDEX(M_RawMaterials[固定週次消費量_要入力],MATCH($A20,M_RawMaterials[Part Name],0)),0)</f>
        <v/>
      </c>
      <c r="D20">
        <f>SUMPRODUCT((M_BOM[Part Name]=$A20)*M_BOM[RM_Qty_Per_Batch]*IFERROR(INDEX(PP_Grid[#Data],M_BOM[PPGridRow],4),0))+IFERROR(INDEX(M_RawMaterials[固定週次消費量_要入力],MATCH($A20,M_RawMaterials[Part Name],0)),0)</f>
        <v/>
      </c>
      <c r="E20">
        <f>SUMPRODUCT((M_BOM[Part Name]=$A20)*M_BOM[RM_Qty_Per_Batch]*IFERROR(INDEX(PP_Grid[#Data],M_BOM[PPGridRow],5),0))+IFERROR(INDEX(M_RawMaterials[固定週次消費量_要入力],MATCH($A20,M_RawMaterials[Part Name],0)),0)</f>
        <v/>
      </c>
      <c r="F20">
        <f>SUMPRODUCT((M_BOM[Part Name]=$A20)*M_BOM[RM_Qty_Per_Batch]*IFERROR(INDEX(PP_Grid[#Data],M_BOM[PPGridRow],6),0))+IFERROR(INDEX(M_RawMaterials[固定週次消費量_要入力],MATCH($A20,M_RawMaterials[Part Name],0)),0)</f>
        <v/>
      </c>
      <c r="G20">
        <f>SUMPRODUCT((M_BOM[Part Name]=$A20)*M_BOM[RM_Qty_Per_Batch]*IFERROR(INDEX(PP_Grid[#Data],M_BOM[PPGridRow],7),0))+IFERROR(INDEX(M_RawMaterials[固定週次消費量_要入力],MATCH($A20,M_RawMaterials[Part Name],0)),0)</f>
        <v/>
      </c>
      <c r="H20">
        <f>SUMPRODUCT((M_BOM[Part Name]=$A20)*M_BOM[RM_Qty_Per_Batch]*IFERROR(INDEX(PP_Grid[#Data],M_BOM[PPGridRow],8),0))+IFERROR(INDEX(M_RawMaterials[固定週次消費量_要入力],MATCH($A20,M_RawMaterials[Part Name],0)),0)</f>
        <v/>
      </c>
      <c r="I20">
        <f>SUMPRODUCT((M_BOM[Part Name]=$A20)*M_BOM[RM_Qty_Per_Batch]*IFERROR(INDEX(PP_Grid[#Data],M_BOM[PPGridRow],9),0))+IFERROR(INDEX(M_RawMaterials[固定週次消費量_要入力],MATCH($A20,M_RawMaterials[Part Name],0)),0)</f>
        <v/>
      </c>
      <c r="J20">
        <f>SUMPRODUCT((M_BOM[Part Name]=$A20)*M_BOM[RM_Qty_Per_Batch]*IFERROR(INDEX(PP_Grid[#Data],M_BOM[PPGridRow],10),0))+IFERROR(INDEX(M_RawMaterials[固定週次消費量_要入力],MATCH($A20,M_RawMaterials[Part Name],0)),0)</f>
        <v/>
      </c>
      <c r="K20">
        <f>SUMPRODUCT((M_BOM[Part Name]=$A20)*M_BOM[RM_Qty_Per_Batch]*IFERROR(INDEX(PP_Grid[#Data],M_BOM[PPGridRow],11),0))+IFERROR(INDEX(M_RawMaterials[固定週次消費量_要入力],MATCH($A20,M_RawMaterials[Part Name],0)),0)</f>
        <v/>
      </c>
      <c r="L20">
        <f>SUMPRODUCT((M_BOM[Part Name]=$A20)*M_BOM[RM_Qty_Per_Batch]*IFERROR(INDEX(PP_Grid[#Data],M_BOM[PPGridRow],12),0))+IFERROR(INDEX(M_RawMaterials[固定週次消費量_要入力],MATCH($A20,M_RawMaterials[Part Name],0)),0)</f>
        <v/>
      </c>
      <c r="M20">
        <f>SUMPRODUCT((M_BOM[Part Name]=$A20)*M_BOM[RM_Qty_Per_Batch]*IFERROR(INDEX(PP_Grid[#Data],M_BOM[PPGridRow],13),0))+IFERROR(INDEX(M_RawMaterials[固定週次消費量_要入力],MATCH($A20,M_RawMaterials[Part Name],0)),0)</f>
        <v/>
      </c>
      <c r="N20">
        <f>SUMPRODUCT((M_BOM[Part Name]=$A20)*M_BOM[RM_Qty_Per_Batch]*IFERROR(INDEX(PP_Grid[#Data],M_BOM[PPGridRow],14),0))+IFERROR(INDEX(M_RawMaterials[固定週次消費量_要入力],MATCH($A20,M_RawMaterials[Part Name],0)),0)</f>
        <v/>
      </c>
      <c r="O20">
        <f>SUMPRODUCT((M_BOM[Part Name]=$A20)*M_BOM[RM_Qty_Per_Batch]*IFERROR(INDEX(PP_Grid[#Data],M_BOM[PPGridRow],15),0))+IFERROR(INDEX(M_RawMaterials[固定週次消費量_要入力],MATCH($A20,M_RawMaterials[Part Name],0)),0)</f>
        <v/>
      </c>
      <c r="P20">
        <f>SUMPRODUCT((M_BOM[Part Name]=$A20)*M_BOM[RM_Qty_Per_Batch]*IFERROR(INDEX(PP_Grid[#Data],M_BOM[PPGridRow],16),0))+IFERROR(INDEX(M_RawMaterials[固定週次消費量_要入力],MATCH($A20,M_RawMaterials[Part Name],0)),0)</f>
        <v/>
      </c>
      <c r="Q20">
        <f>SUMPRODUCT((M_BOM[Part Name]=$A20)*M_BOM[RM_Qty_Per_Batch]*IFERROR(INDEX(PP_Grid[#Data],M_BOM[PPGridRow],17),0))+IFERROR(INDEX(M_RawMaterials[固定週次消費量_要入力],MATCH($A20,M_RawMaterials[Part Name],0)),0)</f>
        <v/>
      </c>
      <c r="R20">
        <f>SUMPRODUCT((M_BOM[Part Name]=$A20)*M_BOM[RM_Qty_Per_Batch]*IFERROR(INDEX(PP_Grid[#Data],M_BOM[PPGridRow],18),0))+IFERROR(INDEX(M_RawMaterials[固定週次消費量_要入力],MATCH($A20,M_RawMaterials[Part Name],0)),0)</f>
        <v/>
      </c>
      <c r="S20">
        <f>SUMPRODUCT((M_BOM[Part Name]=$A20)*M_BOM[RM_Qty_Per_Batch]*IFERROR(INDEX(PP_Grid[#Data],M_BOM[PPGridRow],19),0))+IFERROR(INDEX(M_RawMaterials[固定週次消費量_要入力],MATCH($A20,M_RawMaterials[Part Name],0)),0)</f>
        <v/>
      </c>
      <c r="T20">
        <f>SUMPRODUCT((M_BOM[Part Name]=$A20)*M_BOM[RM_Qty_Per_Batch]*IFERROR(INDEX(PP_Grid[#Data],M_BOM[PPGridRow],20),0))+IFERROR(INDEX(M_RawMaterials[固定週次消費量_要入力],MATCH($A20,M_RawMaterials[Part Name],0)),0)</f>
        <v/>
      </c>
      <c r="U20">
        <f>SUMPRODUCT((M_BOM[Part Name]=$A20)*M_BOM[RM_Qty_Per_Batch]*IFERROR(INDEX(PP_Grid[#Data],M_BOM[PPGridRow],21),0))+IFERROR(INDEX(M_RawMaterials[固定週次消費量_要入力],MATCH($A20,M_RawMaterials[Part Name],0)),0)</f>
        <v/>
      </c>
      <c r="V20">
        <f>SUMPRODUCT((M_BOM[Part Name]=$A20)*M_BOM[RM_Qty_Per_Batch]*IFERROR(INDEX(PP_Grid[#Data],M_BOM[PPGridRow],22),0))+IFERROR(INDEX(M_RawMaterials[固定週次消費量_要入力],MATCH($A20,M_RawMaterials[Part Name],0)),0)</f>
        <v/>
      </c>
      <c r="W20">
        <f>SUMPRODUCT((M_BOM[Part Name]=$A20)*M_BOM[RM_Qty_Per_Batch]*IFERROR(INDEX(PP_Grid[#Data],M_BOM[PPGridRow],23),0))+IFERROR(INDEX(M_RawMaterials[固定週次消費量_要入力],MATCH($A20,M_RawMaterials[Part Name],0)),0)</f>
        <v/>
      </c>
      <c r="X20">
        <f>SUMPRODUCT((M_BOM[Part Name]=$A20)*M_BOM[RM_Qty_Per_Batch]*IFERROR(INDEX(PP_Grid[#Data],M_BOM[PPGridRow],24),0))+IFERROR(INDEX(M_RawMaterials[固定週次消費量_要入力],MATCH($A20,M_RawMaterials[Part Name],0)),0)</f>
        <v/>
      </c>
      <c r="Y20">
        <f>SUMPRODUCT((M_BOM[Part Name]=$A20)*M_BOM[RM_Qty_Per_Batch]*IFERROR(INDEX(PP_Grid[#Data],M_BOM[PPGridRow],25),0))+IFERROR(INDEX(M_RawMaterials[固定週次消費量_要入力],MATCH($A20,M_RawMaterials[Part Name],0)),0)</f>
        <v/>
      </c>
      <c r="Z20">
        <f>SUMPRODUCT((M_BOM[Part Name]=$A20)*M_BOM[RM_Qty_Per_Batch]*IFERROR(INDEX(PP_Grid[#Data],M_BOM[PPGridRow],26),0))+IFERROR(INDEX(M_RawMaterials[固定週次消費量_要入力],MATCH($A20,M_RawMaterials[Part Name],0)),0)</f>
        <v/>
      </c>
      <c r="AA20">
        <f>SUMPRODUCT((M_BOM[Part Name]=$A20)*M_BOM[RM_Qty_Per_Batch]*IFERROR(INDEX(PP_Grid[#Data],M_BOM[PPGridRow],27),0))+IFERROR(INDEX(M_RawMaterials[固定週次消費量_要入力],MATCH($A20,M_RawMaterials[Part Name],0)),0)</f>
        <v/>
      </c>
      <c r="AB20">
        <f>SUMPRODUCT((M_BOM[Part Name]=$A20)*M_BOM[RM_Qty_Per_Batch]*IFERROR(INDEX(PP_Grid[#Data],M_BOM[PPGridRow],28),0))+IFERROR(INDEX(M_RawMaterials[固定週次消費量_要入力],MATCH($A20,M_RawMaterials[Part Name],0)),0)</f>
        <v/>
      </c>
      <c r="AC20">
        <f>SUMPRODUCT((M_BOM[Part Name]=$A20)*M_BOM[RM_Qty_Per_Batch]*IFERROR(INDEX(PP_Grid[#Data],M_BOM[PPGridRow],29),0))+IFERROR(INDEX(M_RawMaterials[固定週次消費量_要入力],MATCH($A20,M_RawMaterials[Part Name],0)),0)</f>
        <v/>
      </c>
      <c r="AD20">
        <f>SUMPRODUCT((M_BOM[Part Name]=$A20)*M_BOM[RM_Qty_Per_Batch]*IFERROR(INDEX(PP_Grid[#Data],M_BOM[PPGridRow],30),0))+IFERROR(INDEX(M_RawMaterials[固定週次消費量_要入力],MATCH($A20,M_RawMaterials[Part Name],0)),0)</f>
        <v/>
      </c>
      <c r="AE20">
        <f>SUMPRODUCT((M_BOM[Part Name]=$A20)*M_BOM[RM_Qty_Per_Batch]*IFERROR(INDEX(PP_Grid[#Data],M_BOM[PPGridRow],31),0))+IFERROR(INDEX(M_RawMaterials[固定週次消費量_要入力],MATCH($A20,M_RawMaterials[Part Name],0)),0)</f>
        <v/>
      </c>
      <c r="AF20">
        <f>SUMPRODUCT((M_BOM[Part Name]=$A20)*M_BOM[RM_Qty_Per_Batch]*IFERROR(INDEX(PP_Grid[#Data],M_BOM[PPGridRow],32),0))+IFERROR(INDEX(M_RawMaterials[固定週次消費量_要入力],MATCH($A20,M_RawMaterials[Part Name],0)),0)</f>
        <v/>
      </c>
      <c r="AG20">
        <f>SUMPRODUCT((M_BOM[Part Name]=$A20)*M_BOM[RM_Qty_Per_Batch]*IFERROR(INDEX(PP_Grid[#Data],M_BOM[PPGridRow],33),0))+IFERROR(INDEX(M_RawMaterials[固定週次消費量_要入力],MATCH($A20,M_RawMaterials[Part Name],0)),0)</f>
        <v/>
      </c>
      <c r="AH20">
        <f>SUMPRODUCT((M_BOM[Part Name]=$A20)*M_BOM[RM_Qty_Per_Batch]*IFERROR(INDEX(PP_Grid[#Data],M_BOM[PPGridRow],34),0))+IFERROR(INDEX(M_RawMaterials[固定週次消費量_要入力],MATCH($A20,M_RawMaterials[Part Name],0)),0)</f>
        <v/>
      </c>
      <c r="AI20">
        <f>SUMPRODUCT((M_BOM[Part Name]=$A20)*M_BOM[RM_Qty_Per_Batch]*IFERROR(INDEX(PP_Grid[#Data],M_BOM[PPGridRow],35),0))+IFERROR(INDEX(M_RawMaterials[固定週次消費量_要入力],MATCH($A20,M_RawMaterials[Part Name],0)),0)</f>
        <v/>
      </c>
      <c r="AJ20">
        <f>SUMPRODUCT((M_BOM[Part Name]=$A20)*M_BOM[RM_Qty_Per_Batch]*IFERROR(INDEX(PP_Grid[#Data],M_BOM[PPGridRow],36),0))+IFERROR(INDEX(M_RawMaterials[固定週次消費量_要入力],MATCH($A20,M_RawMaterials[Part Name],0)),0)</f>
        <v/>
      </c>
      <c r="AK20">
        <f>SUMPRODUCT((M_BOM[Part Name]=$A20)*M_BOM[RM_Qty_Per_Batch]*IFERROR(INDEX(PP_Grid[#Data],M_BOM[PPGridRow],37),0))+IFERROR(INDEX(M_RawMaterials[固定週次消費量_要入力],MATCH($A20,M_RawMaterials[Part Name],0)),0)</f>
        <v/>
      </c>
      <c r="AL20">
        <f>SUMPRODUCT((M_BOM[Part Name]=$A20)*M_BOM[RM_Qty_Per_Batch]*IFERROR(INDEX(PP_Grid[#Data],M_BOM[PPGridRow],38),0))+IFERROR(INDEX(M_RawMaterials[固定週次消費量_要入力],MATCH($A20,M_RawMaterials[Part Name],0)),0)</f>
        <v/>
      </c>
      <c r="AM20">
        <f>SUMPRODUCT((M_BOM[Part Name]=$A20)*M_BOM[RM_Qty_Per_Batch]*IFERROR(INDEX(PP_Grid[#Data],M_BOM[PPGridRow],39),0))+IFERROR(INDEX(M_RawMaterials[固定週次消費量_要入力],MATCH($A20,M_RawMaterials[Part Name],0)),0)</f>
        <v/>
      </c>
      <c r="AN20">
        <f>SUMPRODUCT((M_BOM[Part Name]=$A20)*M_BOM[RM_Qty_Per_Batch]*IFERROR(INDEX(PP_Grid[#Data],M_BOM[PPGridRow],40),0))+IFERROR(INDEX(M_RawMaterials[固定週次消費量_要入力],MATCH($A20,M_RawMaterials[Part Name],0)),0)</f>
        <v/>
      </c>
      <c r="AO20">
        <f>SUMPRODUCT((M_BOM[Part Name]=$A20)*M_BOM[RM_Qty_Per_Batch]*IFERROR(INDEX(PP_Grid[#Data],M_BOM[PPGridRow],41),0))+IFERROR(INDEX(M_RawMaterials[固定週次消費量_要入力],MATCH($A20,M_RawMaterials[Part Name],0)),0)</f>
        <v/>
      </c>
      <c r="AP20">
        <f>SUMPRODUCT((M_BOM[Part Name]=$A20)*M_BOM[RM_Qty_Per_Batch]*IFERROR(INDEX(PP_Grid[#Data],M_BOM[PPGridRow],42),0))+IFERROR(INDEX(M_RawMaterials[固定週次消費量_要入力],MATCH($A20,M_RawMaterials[Part Name],0)),0)</f>
        <v/>
      </c>
      <c r="AQ20">
        <f>SUMPRODUCT((M_BOM[Part Name]=$A20)*M_BOM[RM_Qty_Per_Batch]*IFERROR(INDEX(PP_Grid[#Data],M_BOM[PPGridRow],43),0))+IFERROR(INDEX(M_RawMaterials[固定週次消費量_要入力],MATCH($A20,M_RawMaterials[Part Name],0)),0)</f>
        <v/>
      </c>
      <c r="AR20">
        <f>SUMPRODUCT((M_BOM[Part Name]=$A20)*M_BOM[RM_Qty_Per_Batch]*IFERROR(INDEX(PP_Grid[#Data],M_BOM[PPGridRow],44),0))+IFERROR(INDEX(M_RawMaterials[固定週次消費量_要入力],MATCH($A20,M_RawMaterials[Part Name],0)),0)</f>
        <v/>
      </c>
      <c r="AS20">
        <f>SUMPRODUCT((M_BOM[Part Name]=$A20)*M_BOM[RM_Qty_Per_Batch]*IFERROR(INDEX(PP_Grid[#Data],M_BOM[PPGridRow],45),0))+IFERROR(INDEX(M_RawMaterials[固定週次消費量_要入力],MATCH($A20,M_RawMaterials[Part Name],0)),0)</f>
        <v/>
      </c>
      <c r="AT20">
        <f>SUMPRODUCT((M_BOM[Part Name]=$A20)*M_BOM[RM_Qty_Per_Batch]*IFERROR(INDEX(PP_Grid[#Data],M_BOM[PPGridRow],46),0))+IFERROR(INDEX(M_RawMaterials[固定週次消費量_要入力],MATCH($A20,M_RawMaterials[Part Name],0)),0)</f>
        <v/>
      </c>
      <c r="AU20">
        <f>SUMPRODUCT((M_BOM[Part Name]=$A20)*M_BOM[RM_Qty_Per_Batch]*IFERROR(INDEX(PP_Grid[#Data],M_BOM[PPGridRow],47),0))+IFERROR(INDEX(M_RawMaterials[固定週次消費量_要入力],MATCH($A20,M_RawMaterials[Part Name],0)),0)</f>
        <v/>
      </c>
      <c r="AV20">
        <f>SUMPRODUCT((M_BOM[Part Name]=$A20)*M_BOM[RM_Qty_Per_Batch]*IFERROR(INDEX(PP_Grid[#Data],M_BOM[PPGridRow],48),0))+IFERROR(INDEX(M_RawMaterials[固定週次消費量_要入力],MATCH($A20,M_RawMaterials[Part Name],0)),0)</f>
        <v/>
      </c>
      <c r="AW20">
        <f>SUMPRODUCT((M_BOM[Part Name]=$A20)*M_BOM[RM_Qty_Per_Batch]*IFERROR(INDEX(PP_Grid[#Data],M_BOM[PPGridRow],49),0))+IFERROR(INDEX(M_RawMaterials[固定週次消費量_要入力],MATCH($A20,M_RawMaterials[Part Name],0)),0)</f>
        <v/>
      </c>
      <c r="AX20">
        <f>SUMPRODUCT((M_BOM[Part Name]=$A20)*M_BOM[RM_Qty_Per_Batch]*IFERROR(INDEX(PP_Grid[#Data],M_BOM[PPGridRow],50),0))+IFERROR(INDEX(M_RawMaterials[固定週次消費量_要入力],MATCH($A20,M_RawMaterials[Part Name],0)),0)</f>
        <v/>
      </c>
      <c r="AY20">
        <f>SUMPRODUCT((M_BOM[Part Name]=$A20)*M_BOM[RM_Qty_Per_Batch]*IFERROR(INDEX(PP_Grid[#Data],M_BOM[PPGridRow],51),0))+IFERROR(INDEX(M_RawMaterials[固定週次消費量_要入力],MATCH($A20,M_RawMaterials[Part Name],0)),0)</f>
        <v/>
      </c>
      <c r="AZ20">
        <f>SUMPRODUCT((M_BOM[Part Name]=$A20)*M_BOM[RM_Qty_Per_Batch]*IFERROR(INDEX(PP_Grid[#Data],M_BOM[PPGridRow],52),0))+IFERROR(INDEX(M_RawMaterials[固定週次消費量_要入力],MATCH($A20,M_RawMaterials[Part Name],0)),0)</f>
        <v/>
      </c>
      <c r="BA20">
        <f>SUMPRODUCT((M_BOM[Part Name]=$A20)*M_BOM[RM_Qty_Per_Batch]*IFERROR(INDEX(PP_Grid[#Data],M_BOM[PPGridRow],53),0))+IFERROR(INDEX(M_RawMaterials[固定週次消費量_要入力],MATCH($A20,M_RawMaterials[Part Name],0)),0)</f>
        <v/>
      </c>
      <c r="BB20">
        <f>SUMPRODUCT((M_BOM[Part Name]=$A20)*M_BOM[RM_Qty_Per_Batch]*IFERROR(INDEX(PP_Grid[#Data],M_BOM[PPGridRow],54),0))+IFERROR(INDEX(M_RawMaterials[固定週次消費量_要入力],MATCH($A20,M_RawMaterials[Part Name],0)),0)</f>
        <v/>
      </c>
      <c r="BC20">
        <f>SUMPRODUCT((M_BOM[Part Name]=$A20)*M_BOM[RM_Qty_Per_Batch]*IFERROR(INDEX(PP_Grid[#Data],M_BOM[PPGridRow],55),0))+IFERROR(INDEX(M_RawMaterials[固定週次消費量_要入力],MATCH($A20,M_RawMaterials[Part Name],0)),0)</f>
        <v/>
      </c>
      <c r="BD20">
        <f>SUMPRODUCT((M_BOM[Part Name]=$A20)*M_BOM[RM_Qty_Per_Batch]*IFERROR(INDEX(PP_Grid[#Data],M_BOM[PPGridRow],56),0))+IFERROR(INDEX(M_RawMaterials[固定週次消費量_要入力],MATCH($A20,M_RawMaterials[Part Name],0)),0)</f>
        <v/>
      </c>
      <c r="BE20">
        <f>SUMPRODUCT((M_BOM[Part Name]=$A20)*M_BOM[RM_Qty_Per_Batch]*IFERROR(INDEX(PP_Grid[#Data],M_BOM[PPGridRow],57),0))+IFERROR(INDEX(M_RawMaterials[固定週次消費量_要入力],MATCH($A20,M_RawMaterials[Part Name],0)),0)</f>
        <v/>
      </c>
      <c r="BF20">
        <f>SUMPRODUCT((M_BOM[Part Name]=$A20)*M_BOM[RM_Qty_Per_Batch]*IFERROR(INDEX(PP_Grid[#Data],M_BOM[PPGridRow],58),0))+IFERROR(INDEX(M_RawMaterials[固定週次消費量_要入力],MATCH($A20,M_RawMaterials[Part Name],0)),0)</f>
        <v/>
      </c>
      <c r="BG20">
        <f>SUMPRODUCT((M_BOM[Part Name]=$A20)*M_BOM[RM_Qty_Per_Batch]*IFERROR(INDEX(PP_Grid[#Data],M_BOM[PPGridRow],59),0))+IFERROR(INDEX(M_RawMaterials[固定週次消費量_要入力],MATCH($A20,M_RawMaterials[Part Name],0)),0)</f>
        <v/>
      </c>
      <c r="BH20">
        <f>SUMPRODUCT((M_BOM[Part Name]=$A20)*M_BOM[RM_Qty_Per_Batch]*IFERROR(INDEX(PP_Grid[#Data],M_BOM[PPGridRow],60),0))+IFERROR(INDEX(M_RawMaterials[固定週次消費量_要入力],MATCH($A20,M_RawMaterials[Part Name],0)),0)</f>
        <v/>
      </c>
      <c r="BI20">
        <f>SUMPRODUCT((M_BOM[Part Name]=$A20)*M_BOM[RM_Qty_Per_Batch]*IFERROR(INDEX(PP_Grid[#Data],M_BOM[PPGridRow],61),0))+IFERROR(INDEX(M_RawMaterials[固定週次消費量_要入力],MATCH($A20,M_RawMaterials[Part Name],0)),0)</f>
        <v/>
      </c>
      <c r="BJ20">
        <f>SUMPRODUCT((M_BOM[Part Name]=$A20)*M_BOM[RM_Qty_Per_Batch]*IFERROR(INDEX(PP_Grid[#Data],M_BOM[PPGridRow],62),0))+IFERROR(INDEX(M_RawMaterials[固定週次消費量_要入力],MATCH($A20,M_RawMaterials[Part Name],0)),0)</f>
        <v/>
      </c>
      <c r="BK20">
        <f>SUMPRODUCT((M_BOM[Part Name]=$A20)*M_BOM[RM_Qty_Per_Batch]*IFERROR(INDEX(PP_Grid[#Data],M_BOM[PPGridRow],63),0))+IFERROR(INDEX(M_RawMaterials[固定週次消費量_要入力],MATCH($A20,M_RawMaterials[Part Name],0)),0)</f>
        <v/>
      </c>
      <c r="BL20">
        <f>SUMPRODUCT((M_BOM[Part Name]=$A20)*M_BOM[RM_Qty_Per_Batch]*IFERROR(INDEX(PP_Grid[#Data],M_BOM[PPGridRow],64),0))+IFERROR(INDEX(M_RawMaterials[固定週次消費量_要入力],MATCH($A20,M_RawMaterials[Part Name],0)),0)</f>
        <v/>
      </c>
      <c r="BM20">
        <f>SUMPRODUCT((M_BOM[Part Name]=$A20)*M_BOM[RM_Qty_Per_Batch]*IFERROR(INDEX(PP_Grid[#Data],M_BOM[PPGridRow],65),0))+IFERROR(INDEX(M_RawMaterials[固定週次消費量_要入力],MATCH($A20,M_RawMaterials[Part Name],0)),0)</f>
        <v/>
      </c>
      <c r="BN20">
        <f>SUMPRODUCT((M_BOM[Part Name]=$A20)*M_BOM[RM_Qty_Per_Batch]*IFERROR(INDEX(PP_Grid[#Data],M_BOM[PPGridRow],66),0))+IFERROR(INDEX(M_RawMaterials[固定週次消費量_要入力],MATCH($A20,M_RawMaterials[Part Name],0)),0)</f>
        <v/>
      </c>
      <c r="BO20">
        <f>SUMPRODUCT((M_BOM[Part Name]=$A20)*M_BOM[RM_Qty_Per_Batch]*IFERROR(INDEX(PP_Grid[#Data],M_BOM[PPGridRow],67),0))+IFERROR(INDEX(M_RawMaterials[固定週次消費量_要入力],MATCH($A20,M_RawMaterials[Part Name],0)),0)</f>
        <v/>
      </c>
      <c r="BP20">
        <f>SUMPRODUCT((M_BOM[Part Name]=$A20)*M_BOM[RM_Qty_Per_Batch]*IFERROR(INDEX(PP_Grid[#Data],M_BOM[PPGridRow],68),0))+IFERROR(INDEX(M_RawMaterials[固定週次消費量_要入力],MATCH($A20,M_RawMaterials[Part Name],0)),0)</f>
        <v/>
      </c>
      <c r="BQ20">
        <f>SUMPRODUCT((M_BOM[Part Name]=$A20)*M_BOM[RM_Qty_Per_Batch]*IFERROR(INDEX(PP_Grid[#Data],M_BOM[PPGridRow],69),0))+IFERROR(INDEX(M_RawMaterials[固定週次消費量_要入力],MATCH($A20,M_RawMaterials[Part Name],0)),0)</f>
        <v/>
      </c>
      <c r="BR20">
        <f>SUMPRODUCT((M_BOM[Part Name]=$A20)*M_BOM[RM_Qty_Per_Batch]*IFERROR(INDEX(PP_Grid[#Data],M_BOM[PPGridRow],70),0))+IFERROR(INDEX(M_RawMaterials[固定週次消費量_要入力],MATCH($A20,M_RawMaterials[Part Name],0)),0)</f>
        <v/>
      </c>
      <c r="BS20">
        <f>SUMPRODUCT((M_BOM[Part Name]=$A20)*M_BOM[RM_Qty_Per_Batch]*IFERROR(INDEX(PP_Grid[#Data],M_BOM[PPGridRow],71),0))+IFERROR(INDEX(M_RawMaterials[固定週次消費量_要入力],MATCH($A20,M_RawMaterials[Part Name],0)),0)</f>
        <v/>
      </c>
      <c r="BT20">
        <f>SUMPRODUCT((M_BOM[Part Name]=$A20)*M_BOM[RM_Qty_Per_Batch]*IFERROR(INDEX(PP_Grid[#Data],M_BOM[PPGridRow],72),0))+IFERROR(INDEX(M_RawMaterials[固定週次消費量_要入力],MATCH($A20,M_RawMaterials[Part Name],0)),0)</f>
        <v/>
      </c>
      <c r="BU20">
        <f>SUMPRODUCT((M_BOM[Part Name]=$A20)*M_BOM[RM_Qty_Per_Batch]*IFERROR(INDEX(PP_Grid[#Data],M_BOM[PPGridRow],73),0))+IFERROR(INDEX(M_RawMaterials[固定週次消費量_要入力],MATCH($A20,M_RawMaterials[Part Name],0)),0)</f>
        <v/>
      </c>
      <c r="BV20">
        <f>SUMPRODUCT((M_BOM[Part Name]=$A20)*M_BOM[RM_Qty_Per_Batch]*IFERROR(INDEX(PP_Grid[#Data],M_BOM[PPGridRow],74),0))+IFERROR(INDEX(M_RawMaterials[固定週次消費量_要入力],MATCH($A20,M_RawMaterials[Part Name],0)),0)</f>
        <v/>
      </c>
      <c r="BW20">
        <f>SUMPRODUCT((M_BOM[Part Name]=$A20)*M_BOM[RM_Qty_Per_Batch]*IFERROR(INDEX(PP_Grid[#Data],M_BOM[PPGridRow],75),0))+IFERROR(INDEX(M_RawMaterials[固定週次消費量_要入力],MATCH($A20,M_RawMaterials[Part Name],0)),0)</f>
        <v/>
      </c>
      <c r="BX20">
        <f>SUMPRODUCT((M_BOM[Part Name]=$A20)*M_BOM[RM_Qty_Per_Batch]*IFERROR(INDEX(PP_Grid[#Data],M_BOM[PPGridRow],76),0))+IFERROR(INDEX(M_RawMaterials[固定週次消費量_要入力],MATCH($A20,M_RawMaterials[Part Name],0)),0)</f>
        <v/>
      </c>
      <c r="BY20">
        <f>SUMPRODUCT((M_BOM[Part Name]=$A20)*M_BOM[RM_Qty_Per_Batch]*IFERROR(INDEX(PP_Grid[#Data],M_BOM[PPGridRow],77),0))+IFERROR(INDEX(M_RawMaterials[固定週次消費量_要入力],MATCH($A20,M_RawMaterials[Part Name],0)),0)</f>
        <v/>
      </c>
      <c r="BZ20">
        <f>SUMPRODUCT((M_BOM[Part Name]=$A20)*M_BOM[RM_Qty_Per_Batch]*IFERROR(INDEX(PP_Grid[#Data],M_BOM[PPGridRow],78),0))+IFERROR(INDEX(M_RawMaterials[固定週次消費量_要入力],MATCH($A20,M_RawMaterials[Part Name],0)),0)</f>
        <v/>
      </c>
      <c r="CA20">
        <f>SUMPRODUCT((M_BOM[Part Name]=$A20)*M_BOM[RM_Qty_Per_Batch]*IFERROR(INDEX(PP_Grid[#Data],M_BOM[PPGridRow],79),0))+IFERROR(INDEX(M_RawMaterials[固定週次消費量_要入力],MATCH($A20,M_RawMaterials[Part Name],0)),0)</f>
        <v/>
      </c>
      <c r="CB20">
        <f>SUMPRODUCT((M_BOM[Part Name]=$A20)*M_BOM[RM_Qty_Per_Batch]*IFERROR(INDEX(PP_Grid[#Data],M_BOM[PPGridRow],80),0))+IFERROR(INDEX(M_RawMaterials[固定週次消費量_要入力],MATCH($A20,M_RawMaterials[Part Name],0)),0)</f>
        <v/>
      </c>
      <c r="CC20">
        <f>SUMPRODUCT((M_BOM[Part Name]=$A20)*M_BOM[RM_Qty_Per_Batch]*IFERROR(INDEX(PP_Grid[#Data],M_BOM[PPGridRow],81),0))+IFERROR(INDEX(M_RawMaterials[固定週次消費量_要入力],MATCH($A20,M_RawMaterials[Part Name],0)),0)</f>
        <v/>
      </c>
      <c r="CD20">
        <f>SUMPRODUCT((M_BOM[Part Name]=$A20)*M_BOM[RM_Qty_Per_Batch]*IFERROR(INDEX(PP_Grid[#Data],M_BOM[PPGridRow],82),0))+IFERROR(INDEX(M_RawMaterials[固定週次消費量_要入力],MATCH($A20,M_RawMaterials[Part Name],0)),0)</f>
        <v/>
      </c>
      <c r="CE20">
        <f>SUMPRODUCT((M_BOM[Part Name]=$A20)*M_BOM[RM_Qty_Per_Batch]*IFERROR(INDEX(PP_Grid[#Data],M_BOM[PPGridRow],83),0))+IFERROR(INDEX(M_RawMaterials[固定週次消費量_要入力],MATCH($A20,M_RawMaterials[Part Name],0)),0)</f>
        <v/>
      </c>
      <c r="CF20">
        <f>SUMPRODUCT((M_BOM[Part Name]=$A20)*M_BOM[RM_Qty_Per_Batch]*IFERROR(INDEX(PP_Grid[#Data],M_BOM[PPGridRow],84),0))+IFERROR(INDEX(M_RawMaterials[固定週次消費量_要入力],MATCH($A20,M_RawMaterials[Part Name],0)),0)</f>
        <v/>
      </c>
      <c r="CG20">
        <f>SUMPRODUCT((M_BOM[Part Name]=$A20)*M_BOM[RM_Qty_Per_Batch]*IFERROR(INDEX(PP_Grid[#Data],M_BOM[PPGridRow],85),0))+IFERROR(INDEX(M_RawMaterials[固定週次消費量_要入力],MATCH($A20,M_RawMaterials[Part Name],0)),0)</f>
        <v/>
      </c>
      <c r="CH20">
        <f>SUMPRODUCT((M_BOM[Part Name]=$A20)*M_BOM[RM_Qty_Per_Batch]*IFERROR(INDEX(PP_Grid[#Data],M_BOM[PPGridRow],86),0))+IFERROR(INDEX(M_RawMaterials[固定週次消費量_要入力],MATCH($A20,M_RawMaterials[Part Name],0)),0)</f>
        <v/>
      </c>
      <c r="CI20">
        <f>SUMPRODUCT((M_BOM[Part Name]=$A20)*M_BOM[RM_Qty_Per_Batch]*IFERROR(INDEX(PP_Grid[#Data],M_BOM[PPGridRow],87),0))+IFERROR(INDEX(M_RawMaterials[固定週次消費量_要入力],MATCH($A20,M_RawMaterials[Part Name],0)),0)</f>
        <v/>
      </c>
      <c r="CJ20">
        <f>SUMPRODUCT((M_BOM[Part Name]=$A20)*M_BOM[RM_Qty_Per_Batch]*IFERROR(INDEX(PP_Grid[#Data],M_BOM[PPGridRow],88),0))+IFERROR(INDEX(M_RawMaterials[固定週次消費量_要入力],MATCH($A20,M_RawMaterials[Part Name],0)),0)</f>
        <v/>
      </c>
      <c r="CK20">
        <f>SUMPRODUCT((M_BOM[Part Name]=$A20)*M_BOM[RM_Qty_Per_Batch]*IFERROR(INDEX(PP_Grid[#Data],M_BOM[PPGridRow],89),0))+IFERROR(INDEX(M_RawMaterials[固定週次消費量_要入力],MATCH($A20,M_RawMaterials[Part Name],0)),0)</f>
        <v/>
      </c>
      <c r="CL20">
        <f>SUMPRODUCT((M_BOM[Part Name]=$A20)*M_BOM[RM_Qty_Per_Batch]*IFERROR(INDEX(PP_Grid[#Data],M_BOM[PPGridRow],90),0))+IFERROR(INDEX(M_RawMaterials[固定週次消費量_要入力],MATCH($A20,M_RawMaterials[Part Name],0)),0)</f>
        <v/>
      </c>
      <c r="CM20">
        <f>SUMPRODUCT((M_BOM[Part Name]=$A20)*M_BOM[RM_Qty_Per_Batch]*IFERROR(INDEX(PP_Grid[#Data],M_BOM[PPGridRow],91),0))+IFERROR(INDEX(M_RawMaterials[固定週次消費量_要入力],MATCH($A20,M_RawMaterials[Part Name],0)),0)</f>
        <v/>
      </c>
      <c r="CN20">
        <f>SUMPRODUCT((M_BOM[Part Name]=$A20)*M_BOM[RM_Qty_Per_Batch]*IFERROR(INDEX(PP_Grid[#Data],M_BOM[PPGridRow],92),0))+IFERROR(INDEX(M_RawMaterials[固定週次消費量_要入力],MATCH($A20,M_RawMaterials[Part Name],0)),0)</f>
        <v/>
      </c>
      <c r="CO20">
        <f>SUMPRODUCT((M_BOM[Part Name]=$A20)*M_BOM[RM_Qty_Per_Batch]*IFERROR(INDEX(PP_Grid[#Data],M_BOM[PPGridRow],93),0))+IFERROR(INDEX(M_RawMaterials[固定週次消費量_要入力],MATCH($A20,M_RawMaterials[Part Name],0)),0)</f>
        <v/>
      </c>
      <c r="CP20">
        <f>SUMPRODUCT((M_BOM[Part Name]=$A20)*M_BOM[RM_Qty_Per_Batch]*IFERROR(INDEX(PP_Grid[#Data],M_BOM[PPGridRow],94),0))+IFERROR(INDEX(M_RawMaterials[固定週次消費量_要入力],MATCH($A20,M_RawMaterials[Part Name],0)),0)</f>
        <v/>
      </c>
      <c r="CQ20">
        <f>SUMPRODUCT((M_BOM[Part Name]=$A20)*M_BOM[RM_Qty_Per_Batch]*IFERROR(INDEX(PP_Grid[#Data],M_BOM[PPGridRow],95),0))+IFERROR(INDEX(M_RawMaterials[固定週次消費量_要入力],MATCH($A20,M_RawMaterials[Part Name],0)),0)</f>
        <v/>
      </c>
      <c r="CR20">
        <f>SUMPRODUCT((M_BOM[Part Name]=$A20)*M_BOM[RM_Qty_Per_Batch]*IFERROR(INDEX(PP_Grid[#Data],M_BOM[PPGridRow],96),0))+IFERROR(INDEX(M_RawMaterials[固定週次消費量_要入力],MATCH($A20,M_RawMaterials[Part Name],0)),0)</f>
        <v/>
      </c>
      <c r="CS20">
        <f>SUMPRODUCT((M_BOM[Part Name]=$A20)*M_BOM[RM_Qty_Per_Batch]*IFERROR(INDEX(PP_Grid[#Data],M_BOM[PPGridRow],97),0))+IFERROR(INDEX(M_RawMaterials[固定週次消費量_要入力],MATCH($A20,M_RawMaterials[Part Name],0)),0)</f>
        <v/>
      </c>
      <c r="CT20">
        <f>SUMPRODUCT((M_BOM[Part Name]=$A20)*M_BOM[RM_Qty_Per_Batch]*IFERROR(INDEX(PP_Grid[#Data],M_BOM[PPGridRow],98),0))+IFERROR(INDEX(M_RawMaterials[固定週次消費量_要入力],MATCH($A20,M_RawMaterials[Part Name],0)),0)</f>
        <v/>
      </c>
      <c r="CU20">
        <f>SUMPRODUCT((M_BOM[Part Name]=$A20)*M_BOM[RM_Qty_Per_Batch]*IFERROR(INDEX(PP_Grid[#Data],M_BOM[PPGridRow],99),0))+IFERROR(INDEX(M_RawMaterials[固定週次消費量_要入力],MATCH($A20,M_RawMaterials[Part Name],0)),0)</f>
        <v/>
      </c>
      <c r="CV20">
        <f>SUMPRODUCT((M_BOM[Part Name]=$A20)*M_BOM[RM_Qty_Per_Batch]*IFERROR(INDEX(PP_Grid[#Data],M_BOM[PPGridRow],100),0))+IFERROR(INDEX(M_RawMaterials[固定週次消費量_要入力],MATCH($A20,M_RawMaterials[Part Name],0)),0)</f>
        <v/>
      </c>
      <c r="CW20">
        <f>SUMPRODUCT((M_BOM[Part Name]=$A20)*M_BOM[RM_Qty_Per_Batch]*IFERROR(INDEX(PP_Grid[#Data],M_BOM[PPGridRow],101),0))+IFERROR(INDEX(M_RawMaterials[固定週次消費量_要入力],MATCH($A20,M_RawMaterials[Part Name],0)),0)</f>
        <v/>
      </c>
      <c r="CX20">
        <f>SUMPRODUCT((M_BOM[Part Name]=$A20)*M_BOM[RM_Qty_Per_Batch]*IFERROR(INDEX(PP_Grid[#Data],M_BOM[PPGridRow],102),0))+IFERROR(INDEX(M_RawMaterials[固定週次消費量_要入力],MATCH($A20,M_RawMaterials[Part Name],0)),0)</f>
        <v/>
      </c>
      <c r="CY20">
        <f>SUMPRODUCT((M_BOM[Part Name]=$A20)*M_BOM[RM_Qty_Per_Batch]*IFERROR(INDEX(PP_Grid[#Data],M_BOM[PPGridRow],103),0))+IFERROR(INDEX(M_RawMaterials[固定週次消費量_要入力],MATCH($A20,M_RawMaterials[Part Name],0)),0)</f>
        <v/>
      </c>
      <c r="CZ20">
        <f>SUMPRODUCT((M_BOM[Part Name]=$A20)*M_BOM[RM_Qty_Per_Batch]*IFERROR(INDEX(PP_Grid[#Data],M_BOM[PPGridRow],104),0))+IFERROR(INDEX(M_RawMaterials[固定週次消費量_要入力],MATCH($A20,M_RawMaterials[Part Name],0)),0)</f>
        <v/>
      </c>
      <c r="DA20">
        <f>SUMPRODUCT((M_BOM[Part Name]=$A20)*M_BOM[RM_Qty_Per_Batch]*IFERROR(INDEX(PP_Grid[#Data],M_BOM[PPGridRow],105),0))+IFERROR(INDEX(M_RawMaterials[固定週次消費量_要入力],MATCH($A20,M_RawMaterials[Part Name],0)),0)</f>
        <v/>
      </c>
    </row>
    <row r="21">
      <c r="A21" t="inlineStr">
        <is>
          <t>1JN</t>
        </is>
      </c>
      <c r="B21">
        <f>SUMPRODUCT((M_BOM[Part Name]=$A21)*M_BOM[RM_Qty_Per_Batch]*IFERROR(INDEX(PP_Grid[#Data],M_BOM[PPGridRow],2),0))+IFERROR(INDEX(M_RawMaterials[固定週次消費量_要入力],MATCH($A21,M_RawMaterials[Part Name],0)),0)</f>
        <v/>
      </c>
      <c r="C21">
        <f>SUMPRODUCT((M_BOM[Part Name]=$A21)*M_BOM[RM_Qty_Per_Batch]*IFERROR(INDEX(PP_Grid[#Data],M_BOM[PPGridRow],3),0))+IFERROR(INDEX(M_RawMaterials[固定週次消費量_要入力],MATCH($A21,M_RawMaterials[Part Name],0)),0)</f>
        <v/>
      </c>
      <c r="D21">
        <f>SUMPRODUCT((M_BOM[Part Name]=$A21)*M_BOM[RM_Qty_Per_Batch]*IFERROR(INDEX(PP_Grid[#Data],M_BOM[PPGridRow],4),0))+IFERROR(INDEX(M_RawMaterials[固定週次消費量_要入力],MATCH($A21,M_RawMaterials[Part Name],0)),0)</f>
        <v/>
      </c>
      <c r="E21">
        <f>SUMPRODUCT((M_BOM[Part Name]=$A21)*M_BOM[RM_Qty_Per_Batch]*IFERROR(INDEX(PP_Grid[#Data],M_BOM[PPGridRow],5),0))+IFERROR(INDEX(M_RawMaterials[固定週次消費量_要入力],MATCH($A21,M_RawMaterials[Part Name],0)),0)</f>
        <v/>
      </c>
      <c r="F21">
        <f>SUMPRODUCT((M_BOM[Part Name]=$A21)*M_BOM[RM_Qty_Per_Batch]*IFERROR(INDEX(PP_Grid[#Data],M_BOM[PPGridRow],6),0))+IFERROR(INDEX(M_RawMaterials[固定週次消費量_要入力],MATCH($A21,M_RawMaterials[Part Name],0)),0)</f>
        <v/>
      </c>
      <c r="G21">
        <f>SUMPRODUCT((M_BOM[Part Name]=$A21)*M_BOM[RM_Qty_Per_Batch]*IFERROR(INDEX(PP_Grid[#Data],M_BOM[PPGridRow],7),0))+IFERROR(INDEX(M_RawMaterials[固定週次消費量_要入力],MATCH($A21,M_RawMaterials[Part Name],0)),0)</f>
        <v/>
      </c>
      <c r="H21">
        <f>SUMPRODUCT((M_BOM[Part Name]=$A21)*M_BOM[RM_Qty_Per_Batch]*IFERROR(INDEX(PP_Grid[#Data],M_BOM[PPGridRow],8),0))+IFERROR(INDEX(M_RawMaterials[固定週次消費量_要入力],MATCH($A21,M_RawMaterials[Part Name],0)),0)</f>
        <v/>
      </c>
      <c r="I21">
        <f>SUMPRODUCT((M_BOM[Part Name]=$A21)*M_BOM[RM_Qty_Per_Batch]*IFERROR(INDEX(PP_Grid[#Data],M_BOM[PPGridRow],9),0))+IFERROR(INDEX(M_RawMaterials[固定週次消費量_要入力],MATCH($A21,M_RawMaterials[Part Name],0)),0)</f>
        <v/>
      </c>
      <c r="J21">
        <f>SUMPRODUCT((M_BOM[Part Name]=$A21)*M_BOM[RM_Qty_Per_Batch]*IFERROR(INDEX(PP_Grid[#Data],M_BOM[PPGridRow],10),0))+IFERROR(INDEX(M_RawMaterials[固定週次消費量_要入力],MATCH($A21,M_RawMaterials[Part Name],0)),0)</f>
        <v/>
      </c>
      <c r="K21">
        <f>SUMPRODUCT((M_BOM[Part Name]=$A21)*M_BOM[RM_Qty_Per_Batch]*IFERROR(INDEX(PP_Grid[#Data],M_BOM[PPGridRow],11),0))+IFERROR(INDEX(M_RawMaterials[固定週次消費量_要入力],MATCH($A21,M_RawMaterials[Part Name],0)),0)</f>
        <v/>
      </c>
      <c r="L21">
        <f>SUMPRODUCT((M_BOM[Part Name]=$A21)*M_BOM[RM_Qty_Per_Batch]*IFERROR(INDEX(PP_Grid[#Data],M_BOM[PPGridRow],12),0))+IFERROR(INDEX(M_RawMaterials[固定週次消費量_要入力],MATCH($A21,M_RawMaterials[Part Name],0)),0)</f>
        <v/>
      </c>
      <c r="M21">
        <f>SUMPRODUCT((M_BOM[Part Name]=$A21)*M_BOM[RM_Qty_Per_Batch]*IFERROR(INDEX(PP_Grid[#Data],M_BOM[PPGridRow],13),0))+IFERROR(INDEX(M_RawMaterials[固定週次消費量_要入力],MATCH($A21,M_RawMaterials[Part Name],0)),0)</f>
        <v/>
      </c>
      <c r="N21">
        <f>SUMPRODUCT((M_BOM[Part Name]=$A21)*M_BOM[RM_Qty_Per_Batch]*IFERROR(INDEX(PP_Grid[#Data],M_BOM[PPGridRow],14),0))+IFERROR(INDEX(M_RawMaterials[固定週次消費量_要入力],MATCH($A21,M_RawMaterials[Part Name],0)),0)</f>
        <v/>
      </c>
      <c r="O21">
        <f>SUMPRODUCT((M_BOM[Part Name]=$A21)*M_BOM[RM_Qty_Per_Batch]*IFERROR(INDEX(PP_Grid[#Data],M_BOM[PPGridRow],15),0))+IFERROR(INDEX(M_RawMaterials[固定週次消費量_要入力],MATCH($A21,M_RawMaterials[Part Name],0)),0)</f>
        <v/>
      </c>
      <c r="P21">
        <f>SUMPRODUCT((M_BOM[Part Name]=$A21)*M_BOM[RM_Qty_Per_Batch]*IFERROR(INDEX(PP_Grid[#Data],M_BOM[PPGridRow],16),0))+IFERROR(INDEX(M_RawMaterials[固定週次消費量_要入力],MATCH($A21,M_RawMaterials[Part Name],0)),0)</f>
        <v/>
      </c>
      <c r="Q21">
        <f>SUMPRODUCT((M_BOM[Part Name]=$A21)*M_BOM[RM_Qty_Per_Batch]*IFERROR(INDEX(PP_Grid[#Data],M_BOM[PPGridRow],17),0))+IFERROR(INDEX(M_RawMaterials[固定週次消費量_要入力],MATCH($A21,M_RawMaterials[Part Name],0)),0)</f>
        <v/>
      </c>
      <c r="R21">
        <f>SUMPRODUCT((M_BOM[Part Name]=$A21)*M_BOM[RM_Qty_Per_Batch]*IFERROR(INDEX(PP_Grid[#Data],M_BOM[PPGridRow],18),0))+IFERROR(INDEX(M_RawMaterials[固定週次消費量_要入力],MATCH($A21,M_RawMaterials[Part Name],0)),0)</f>
        <v/>
      </c>
      <c r="S21">
        <f>SUMPRODUCT((M_BOM[Part Name]=$A21)*M_BOM[RM_Qty_Per_Batch]*IFERROR(INDEX(PP_Grid[#Data],M_BOM[PPGridRow],19),0))+IFERROR(INDEX(M_RawMaterials[固定週次消費量_要入力],MATCH($A21,M_RawMaterials[Part Name],0)),0)</f>
        <v/>
      </c>
      <c r="T21">
        <f>SUMPRODUCT((M_BOM[Part Name]=$A21)*M_BOM[RM_Qty_Per_Batch]*IFERROR(INDEX(PP_Grid[#Data],M_BOM[PPGridRow],20),0))+IFERROR(INDEX(M_RawMaterials[固定週次消費量_要入力],MATCH($A21,M_RawMaterials[Part Name],0)),0)</f>
        <v/>
      </c>
      <c r="U21">
        <f>SUMPRODUCT((M_BOM[Part Name]=$A21)*M_BOM[RM_Qty_Per_Batch]*IFERROR(INDEX(PP_Grid[#Data],M_BOM[PPGridRow],21),0))+IFERROR(INDEX(M_RawMaterials[固定週次消費量_要入力],MATCH($A21,M_RawMaterials[Part Name],0)),0)</f>
        <v/>
      </c>
      <c r="V21">
        <f>SUMPRODUCT((M_BOM[Part Name]=$A21)*M_BOM[RM_Qty_Per_Batch]*IFERROR(INDEX(PP_Grid[#Data],M_BOM[PPGridRow],22),0))+IFERROR(INDEX(M_RawMaterials[固定週次消費量_要入力],MATCH($A21,M_RawMaterials[Part Name],0)),0)</f>
        <v/>
      </c>
      <c r="W21">
        <f>SUMPRODUCT((M_BOM[Part Name]=$A21)*M_BOM[RM_Qty_Per_Batch]*IFERROR(INDEX(PP_Grid[#Data],M_BOM[PPGridRow],23),0))+IFERROR(INDEX(M_RawMaterials[固定週次消費量_要入力],MATCH($A21,M_RawMaterials[Part Name],0)),0)</f>
        <v/>
      </c>
      <c r="X21">
        <f>SUMPRODUCT((M_BOM[Part Name]=$A21)*M_BOM[RM_Qty_Per_Batch]*IFERROR(INDEX(PP_Grid[#Data],M_BOM[PPGridRow],24),0))+IFERROR(INDEX(M_RawMaterials[固定週次消費量_要入力],MATCH($A21,M_RawMaterials[Part Name],0)),0)</f>
        <v/>
      </c>
      <c r="Y21">
        <f>SUMPRODUCT((M_BOM[Part Name]=$A21)*M_BOM[RM_Qty_Per_Batch]*IFERROR(INDEX(PP_Grid[#Data],M_BOM[PPGridRow],25),0))+IFERROR(INDEX(M_RawMaterials[固定週次消費量_要入力],MATCH($A21,M_RawMaterials[Part Name],0)),0)</f>
        <v/>
      </c>
      <c r="Z21">
        <f>SUMPRODUCT((M_BOM[Part Name]=$A21)*M_BOM[RM_Qty_Per_Batch]*IFERROR(INDEX(PP_Grid[#Data],M_BOM[PPGridRow],26),0))+IFERROR(INDEX(M_RawMaterials[固定週次消費量_要入力],MATCH($A21,M_RawMaterials[Part Name],0)),0)</f>
        <v/>
      </c>
      <c r="AA21">
        <f>SUMPRODUCT((M_BOM[Part Name]=$A21)*M_BOM[RM_Qty_Per_Batch]*IFERROR(INDEX(PP_Grid[#Data],M_BOM[PPGridRow],27),0))+IFERROR(INDEX(M_RawMaterials[固定週次消費量_要入力],MATCH($A21,M_RawMaterials[Part Name],0)),0)</f>
        <v/>
      </c>
      <c r="AB21">
        <f>SUMPRODUCT((M_BOM[Part Name]=$A21)*M_BOM[RM_Qty_Per_Batch]*IFERROR(INDEX(PP_Grid[#Data],M_BOM[PPGridRow],28),0))+IFERROR(INDEX(M_RawMaterials[固定週次消費量_要入力],MATCH($A21,M_RawMaterials[Part Name],0)),0)</f>
        <v/>
      </c>
      <c r="AC21">
        <f>SUMPRODUCT((M_BOM[Part Name]=$A21)*M_BOM[RM_Qty_Per_Batch]*IFERROR(INDEX(PP_Grid[#Data],M_BOM[PPGridRow],29),0))+IFERROR(INDEX(M_RawMaterials[固定週次消費量_要入力],MATCH($A21,M_RawMaterials[Part Name],0)),0)</f>
        <v/>
      </c>
      <c r="AD21">
        <f>SUMPRODUCT((M_BOM[Part Name]=$A21)*M_BOM[RM_Qty_Per_Batch]*IFERROR(INDEX(PP_Grid[#Data],M_BOM[PPGridRow],30),0))+IFERROR(INDEX(M_RawMaterials[固定週次消費量_要入力],MATCH($A21,M_RawMaterials[Part Name],0)),0)</f>
        <v/>
      </c>
      <c r="AE21">
        <f>SUMPRODUCT((M_BOM[Part Name]=$A21)*M_BOM[RM_Qty_Per_Batch]*IFERROR(INDEX(PP_Grid[#Data],M_BOM[PPGridRow],31),0))+IFERROR(INDEX(M_RawMaterials[固定週次消費量_要入力],MATCH($A21,M_RawMaterials[Part Name],0)),0)</f>
        <v/>
      </c>
      <c r="AF21">
        <f>SUMPRODUCT((M_BOM[Part Name]=$A21)*M_BOM[RM_Qty_Per_Batch]*IFERROR(INDEX(PP_Grid[#Data],M_BOM[PPGridRow],32),0))+IFERROR(INDEX(M_RawMaterials[固定週次消費量_要入力],MATCH($A21,M_RawMaterials[Part Name],0)),0)</f>
        <v/>
      </c>
      <c r="AG21">
        <f>SUMPRODUCT((M_BOM[Part Name]=$A21)*M_BOM[RM_Qty_Per_Batch]*IFERROR(INDEX(PP_Grid[#Data],M_BOM[PPGridRow],33),0))+IFERROR(INDEX(M_RawMaterials[固定週次消費量_要入力],MATCH($A21,M_RawMaterials[Part Name],0)),0)</f>
        <v/>
      </c>
      <c r="AH21">
        <f>SUMPRODUCT((M_BOM[Part Name]=$A21)*M_BOM[RM_Qty_Per_Batch]*IFERROR(INDEX(PP_Grid[#Data],M_BOM[PPGridRow],34),0))+IFERROR(INDEX(M_RawMaterials[固定週次消費量_要入力],MATCH($A21,M_RawMaterials[Part Name],0)),0)</f>
        <v/>
      </c>
      <c r="AI21">
        <f>SUMPRODUCT((M_BOM[Part Name]=$A21)*M_BOM[RM_Qty_Per_Batch]*IFERROR(INDEX(PP_Grid[#Data],M_BOM[PPGridRow],35),0))+IFERROR(INDEX(M_RawMaterials[固定週次消費量_要入力],MATCH($A21,M_RawMaterials[Part Name],0)),0)</f>
        <v/>
      </c>
      <c r="AJ21">
        <f>SUMPRODUCT((M_BOM[Part Name]=$A21)*M_BOM[RM_Qty_Per_Batch]*IFERROR(INDEX(PP_Grid[#Data],M_BOM[PPGridRow],36),0))+IFERROR(INDEX(M_RawMaterials[固定週次消費量_要入力],MATCH($A21,M_RawMaterials[Part Name],0)),0)</f>
        <v/>
      </c>
      <c r="AK21">
        <f>SUMPRODUCT((M_BOM[Part Name]=$A21)*M_BOM[RM_Qty_Per_Batch]*IFERROR(INDEX(PP_Grid[#Data],M_BOM[PPGridRow],37),0))+IFERROR(INDEX(M_RawMaterials[固定週次消費量_要入力],MATCH($A21,M_RawMaterials[Part Name],0)),0)</f>
        <v/>
      </c>
      <c r="AL21">
        <f>SUMPRODUCT((M_BOM[Part Name]=$A21)*M_BOM[RM_Qty_Per_Batch]*IFERROR(INDEX(PP_Grid[#Data],M_BOM[PPGridRow],38),0))+IFERROR(INDEX(M_RawMaterials[固定週次消費量_要入力],MATCH($A21,M_RawMaterials[Part Name],0)),0)</f>
        <v/>
      </c>
      <c r="AM21">
        <f>SUMPRODUCT((M_BOM[Part Name]=$A21)*M_BOM[RM_Qty_Per_Batch]*IFERROR(INDEX(PP_Grid[#Data],M_BOM[PPGridRow],39),0))+IFERROR(INDEX(M_RawMaterials[固定週次消費量_要入力],MATCH($A21,M_RawMaterials[Part Name],0)),0)</f>
        <v/>
      </c>
      <c r="AN21">
        <f>SUMPRODUCT((M_BOM[Part Name]=$A21)*M_BOM[RM_Qty_Per_Batch]*IFERROR(INDEX(PP_Grid[#Data],M_BOM[PPGridRow],40),0))+IFERROR(INDEX(M_RawMaterials[固定週次消費量_要入力],MATCH($A21,M_RawMaterials[Part Name],0)),0)</f>
        <v/>
      </c>
      <c r="AO21">
        <f>SUMPRODUCT((M_BOM[Part Name]=$A21)*M_BOM[RM_Qty_Per_Batch]*IFERROR(INDEX(PP_Grid[#Data],M_BOM[PPGridRow],41),0))+IFERROR(INDEX(M_RawMaterials[固定週次消費量_要入力],MATCH($A21,M_RawMaterials[Part Name],0)),0)</f>
        <v/>
      </c>
      <c r="AP21">
        <f>SUMPRODUCT((M_BOM[Part Name]=$A21)*M_BOM[RM_Qty_Per_Batch]*IFERROR(INDEX(PP_Grid[#Data],M_BOM[PPGridRow],42),0))+IFERROR(INDEX(M_RawMaterials[固定週次消費量_要入力],MATCH($A21,M_RawMaterials[Part Name],0)),0)</f>
        <v/>
      </c>
      <c r="AQ21">
        <f>SUMPRODUCT((M_BOM[Part Name]=$A21)*M_BOM[RM_Qty_Per_Batch]*IFERROR(INDEX(PP_Grid[#Data],M_BOM[PPGridRow],43),0))+IFERROR(INDEX(M_RawMaterials[固定週次消費量_要入力],MATCH($A21,M_RawMaterials[Part Name],0)),0)</f>
        <v/>
      </c>
      <c r="AR21">
        <f>SUMPRODUCT((M_BOM[Part Name]=$A21)*M_BOM[RM_Qty_Per_Batch]*IFERROR(INDEX(PP_Grid[#Data],M_BOM[PPGridRow],44),0))+IFERROR(INDEX(M_RawMaterials[固定週次消費量_要入力],MATCH($A21,M_RawMaterials[Part Name],0)),0)</f>
        <v/>
      </c>
      <c r="AS21">
        <f>SUMPRODUCT((M_BOM[Part Name]=$A21)*M_BOM[RM_Qty_Per_Batch]*IFERROR(INDEX(PP_Grid[#Data],M_BOM[PPGridRow],45),0))+IFERROR(INDEX(M_RawMaterials[固定週次消費量_要入力],MATCH($A21,M_RawMaterials[Part Name],0)),0)</f>
        <v/>
      </c>
      <c r="AT21">
        <f>SUMPRODUCT((M_BOM[Part Name]=$A21)*M_BOM[RM_Qty_Per_Batch]*IFERROR(INDEX(PP_Grid[#Data],M_BOM[PPGridRow],46),0))+IFERROR(INDEX(M_RawMaterials[固定週次消費量_要入力],MATCH($A21,M_RawMaterials[Part Name],0)),0)</f>
        <v/>
      </c>
      <c r="AU21">
        <f>SUMPRODUCT((M_BOM[Part Name]=$A21)*M_BOM[RM_Qty_Per_Batch]*IFERROR(INDEX(PP_Grid[#Data],M_BOM[PPGridRow],47),0))+IFERROR(INDEX(M_RawMaterials[固定週次消費量_要入力],MATCH($A21,M_RawMaterials[Part Name],0)),0)</f>
        <v/>
      </c>
      <c r="AV21">
        <f>SUMPRODUCT((M_BOM[Part Name]=$A21)*M_BOM[RM_Qty_Per_Batch]*IFERROR(INDEX(PP_Grid[#Data],M_BOM[PPGridRow],48),0))+IFERROR(INDEX(M_RawMaterials[固定週次消費量_要入力],MATCH($A21,M_RawMaterials[Part Name],0)),0)</f>
        <v/>
      </c>
      <c r="AW21">
        <f>SUMPRODUCT((M_BOM[Part Name]=$A21)*M_BOM[RM_Qty_Per_Batch]*IFERROR(INDEX(PP_Grid[#Data],M_BOM[PPGridRow],49),0))+IFERROR(INDEX(M_RawMaterials[固定週次消費量_要入力],MATCH($A21,M_RawMaterials[Part Name],0)),0)</f>
        <v/>
      </c>
      <c r="AX21">
        <f>SUMPRODUCT((M_BOM[Part Name]=$A21)*M_BOM[RM_Qty_Per_Batch]*IFERROR(INDEX(PP_Grid[#Data],M_BOM[PPGridRow],50),0))+IFERROR(INDEX(M_RawMaterials[固定週次消費量_要入力],MATCH($A21,M_RawMaterials[Part Name],0)),0)</f>
        <v/>
      </c>
      <c r="AY21">
        <f>SUMPRODUCT((M_BOM[Part Name]=$A21)*M_BOM[RM_Qty_Per_Batch]*IFERROR(INDEX(PP_Grid[#Data],M_BOM[PPGridRow],51),0))+IFERROR(INDEX(M_RawMaterials[固定週次消費量_要入力],MATCH($A21,M_RawMaterials[Part Name],0)),0)</f>
        <v/>
      </c>
      <c r="AZ21">
        <f>SUMPRODUCT((M_BOM[Part Name]=$A21)*M_BOM[RM_Qty_Per_Batch]*IFERROR(INDEX(PP_Grid[#Data],M_BOM[PPGridRow],52),0))+IFERROR(INDEX(M_RawMaterials[固定週次消費量_要入力],MATCH($A21,M_RawMaterials[Part Name],0)),0)</f>
        <v/>
      </c>
      <c r="BA21">
        <f>SUMPRODUCT((M_BOM[Part Name]=$A21)*M_BOM[RM_Qty_Per_Batch]*IFERROR(INDEX(PP_Grid[#Data],M_BOM[PPGridRow],53),0))+IFERROR(INDEX(M_RawMaterials[固定週次消費量_要入力],MATCH($A21,M_RawMaterials[Part Name],0)),0)</f>
        <v/>
      </c>
      <c r="BB21">
        <f>SUMPRODUCT((M_BOM[Part Name]=$A21)*M_BOM[RM_Qty_Per_Batch]*IFERROR(INDEX(PP_Grid[#Data],M_BOM[PPGridRow],54),0))+IFERROR(INDEX(M_RawMaterials[固定週次消費量_要入力],MATCH($A21,M_RawMaterials[Part Name],0)),0)</f>
        <v/>
      </c>
      <c r="BC21">
        <f>SUMPRODUCT((M_BOM[Part Name]=$A21)*M_BOM[RM_Qty_Per_Batch]*IFERROR(INDEX(PP_Grid[#Data],M_BOM[PPGridRow],55),0))+IFERROR(INDEX(M_RawMaterials[固定週次消費量_要入力],MATCH($A21,M_RawMaterials[Part Name],0)),0)</f>
        <v/>
      </c>
      <c r="BD21">
        <f>SUMPRODUCT((M_BOM[Part Name]=$A21)*M_BOM[RM_Qty_Per_Batch]*IFERROR(INDEX(PP_Grid[#Data],M_BOM[PPGridRow],56),0))+IFERROR(INDEX(M_RawMaterials[固定週次消費量_要入力],MATCH($A21,M_RawMaterials[Part Name],0)),0)</f>
        <v/>
      </c>
      <c r="BE21">
        <f>SUMPRODUCT((M_BOM[Part Name]=$A21)*M_BOM[RM_Qty_Per_Batch]*IFERROR(INDEX(PP_Grid[#Data],M_BOM[PPGridRow],57),0))+IFERROR(INDEX(M_RawMaterials[固定週次消費量_要入力],MATCH($A21,M_RawMaterials[Part Name],0)),0)</f>
        <v/>
      </c>
      <c r="BF21">
        <f>SUMPRODUCT((M_BOM[Part Name]=$A21)*M_BOM[RM_Qty_Per_Batch]*IFERROR(INDEX(PP_Grid[#Data],M_BOM[PPGridRow],58),0))+IFERROR(INDEX(M_RawMaterials[固定週次消費量_要入力],MATCH($A21,M_RawMaterials[Part Name],0)),0)</f>
        <v/>
      </c>
      <c r="BG21">
        <f>SUMPRODUCT((M_BOM[Part Name]=$A21)*M_BOM[RM_Qty_Per_Batch]*IFERROR(INDEX(PP_Grid[#Data],M_BOM[PPGridRow],59),0))+IFERROR(INDEX(M_RawMaterials[固定週次消費量_要入力],MATCH($A21,M_RawMaterials[Part Name],0)),0)</f>
        <v/>
      </c>
      <c r="BH21">
        <f>SUMPRODUCT((M_BOM[Part Name]=$A21)*M_BOM[RM_Qty_Per_Batch]*IFERROR(INDEX(PP_Grid[#Data],M_BOM[PPGridRow],60),0))+IFERROR(INDEX(M_RawMaterials[固定週次消費量_要入力],MATCH($A21,M_RawMaterials[Part Name],0)),0)</f>
        <v/>
      </c>
      <c r="BI21">
        <f>SUMPRODUCT((M_BOM[Part Name]=$A21)*M_BOM[RM_Qty_Per_Batch]*IFERROR(INDEX(PP_Grid[#Data],M_BOM[PPGridRow],61),0))+IFERROR(INDEX(M_RawMaterials[固定週次消費量_要入力],MATCH($A21,M_RawMaterials[Part Name],0)),0)</f>
        <v/>
      </c>
      <c r="BJ21">
        <f>SUMPRODUCT((M_BOM[Part Name]=$A21)*M_BOM[RM_Qty_Per_Batch]*IFERROR(INDEX(PP_Grid[#Data],M_BOM[PPGridRow],62),0))+IFERROR(INDEX(M_RawMaterials[固定週次消費量_要入力],MATCH($A21,M_RawMaterials[Part Name],0)),0)</f>
        <v/>
      </c>
      <c r="BK21">
        <f>SUMPRODUCT((M_BOM[Part Name]=$A21)*M_BOM[RM_Qty_Per_Batch]*IFERROR(INDEX(PP_Grid[#Data],M_BOM[PPGridRow],63),0))+IFERROR(INDEX(M_RawMaterials[固定週次消費量_要入力],MATCH($A21,M_RawMaterials[Part Name],0)),0)</f>
        <v/>
      </c>
      <c r="BL21">
        <f>SUMPRODUCT((M_BOM[Part Name]=$A21)*M_BOM[RM_Qty_Per_Batch]*IFERROR(INDEX(PP_Grid[#Data],M_BOM[PPGridRow],64),0))+IFERROR(INDEX(M_RawMaterials[固定週次消費量_要入力],MATCH($A21,M_RawMaterials[Part Name],0)),0)</f>
        <v/>
      </c>
      <c r="BM21">
        <f>SUMPRODUCT((M_BOM[Part Name]=$A21)*M_BOM[RM_Qty_Per_Batch]*IFERROR(INDEX(PP_Grid[#Data],M_BOM[PPGridRow],65),0))+IFERROR(INDEX(M_RawMaterials[固定週次消費量_要入力],MATCH($A21,M_RawMaterials[Part Name],0)),0)</f>
        <v/>
      </c>
      <c r="BN21">
        <f>SUMPRODUCT((M_BOM[Part Name]=$A21)*M_BOM[RM_Qty_Per_Batch]*IFERROR(INDEX(PP_Grid[#Data],M_BOM[PPGridRow],66),0))+IFERROR(INDEX(M_RawMaterials[固定週次消費量_要入力],MATCH($A21,M_RawMaterials[Part Name],0)),0)</f>
        <v/>
      </c>
      <c r="BO21">
        <f>SUMPRODUCT((M_BOM[Part Name]=$A21)*M_BOM[RM_Qty_Per_Batch]*IFERROR(INDEX(PP_Grid[#Data],M_BOM[PPGridRow],67),0))+IFERROR(INDEX(M_RawMaterials[固定週次消費量_要入力],MATCH($A21,M_RawMaterials[Part Name],0)),0)</f>
        <v/>
      </c>
      <c r="BP21">
        <f>SUMPRODUCT((M_BOM[Part Name]=$A21)*M_BOM[RM_Qty_Per_Batch]*IFERROR(INDEX(PP_Grid[#Data],M_BOM[PPGridRow],68),0))+IFERROR(INDEX(M_RawMaterials[固定週次消費量_要入力],MATCH($A21,M_RawMaterials[Part Name],0)),0)</f>
        <v/>
      </c>
      <c r="BQ21">
        <f>SUMPRODUCT((M_BOM[Part Name]=$A21)*M_BOM[RM_Qty_Per_Batch]*IFERROR(INDEX(PP_Grid[#Data],M_BOM[PPGridRow],69),0))+IFERROR(INDEX(M_RawMaterials[固定週次消費量_要入力],MATCH($A21,M_RawMaterials[Part Name],0)),0)</f>
        <v/>
      </c>
      <c r="BR21">
        <f>SUMPRODUCT((M_BOM[Part Name]=$A21)*M_BOM[RM_Qty_Per_Batch]*IFERROR(INDEX(PP_Grid[#Data],M_BOM[PPGridRow],70),0))+IFERROR(INDEX(M_RawMaterials[固定週次消費量_要入力],MATCH($A21,M_RawMaterials[Part Name],0)),0)</f>
        <v/>
      </c>
      <c r="BS21">
        <f>SUMPRODUCT((M_BOM[Part Name]=$A21)*M_BOM[RM_Qty_Per_Batch]*IFERROR(INDEX(PP_Grid[#Data],M_BOM[PPGridRow],71),0))+IFERROR(INDEX(M_RawMaterials[固定週次消費量_要入力],MATCH($A21,M_RawMaterials[Part Name],0)),0)</f>
        <v/>
      </c>
      <c r="BT21">
        <f>SUMPRODUCT((M_BOM[Part Name]=$A21)*M_BOM[RM_Qty_Per_Batch]*IFERROR(INDEX(PP_Grid[#Data],M_BOM[PPGridRow],72),0))+IFERROR(INDEX(M_RawMaterials[固定週次消費量_要入力],MATCH($A21,M_RawMaterials[Part Name],0)),0)</f>
        <v/>
      </c>
      <c r="BU21">
        <f>SUMPRODUCT((M_BOM[Part Name]=$A21)*M_BOM[RM_Qty_Per_Batch]*IFERROR(INDEX(PP_Grid[#Data],M_BOM[PPGridRow],73),0))+IFERROR(INDEX(M_RawMaterials[固定週次消費量_要入力],MATCH($A21,M_RawMaterials[Part Name],0)),0)</f>
        <v/>
      </c>
      <c r="BV21">
        <f>SUMPRODUCT((M_BOM[Part Name]=$A21)*M_BOM[RM_Qty_Per_Batch]*IFERROR(INDEX(PP_Grid[#Data],M_BOM[PPGridRow],74),0))+IFERROR(INDEX(M_RawMaterials[固定週次消費量_要入力],MATCH($A21,M_RawMaterials[Part Name],0)),0)</f>
        <v/>
      </c>
      <c r="BW21">
        <f>SUMPRODUCT((M_BOM[Part Name]=$A21)*M_BOM[RM_Qty_Per_Batch]*IFERROR(INDEX(PP_Grid[#Data],M_BOM[PPGridRow],75),0))+IFERROR(INDEX(M_RawMaterials[固定週次消費量_要入力],MATCH($A21,M_RawMaterials[Part Name],0)),0)</f>
        <v/>
      </c>
      <c r="BX21">
        <f>SUMPRODUCT((M_BOM[Part Name]=$A21)*M_BOM[RM_Qty_Per_Batch]*IFERROR(INDEX(PP_Grid[#Data],M_BOM[PPGridRow],76),0))+IFERROR(INDEX(M_RawMaterials[固定週次消費量_要入力],MATCH($A21,M_RawMaterials[Part Name],0)),0)</f>
        <v/>
      </c>
      <c r="BY21">
        <f>SUMPRODUCT((M_BOM[Part Name]=$A21)*M_BOM[RM_Qty_Per_Batch]*IFERROR(INDEX(PP_Grid[#Data],M_BOM[PPGridRow],77),0))+IFERROR(INDEX(M_RawMaterials[固定週次消費量_要入力],MATCH($A21,M_RawMaterials[Part Name],0)),0)</f>
        <v/>
      </c>
      <c r="BZ21">
        <f>SUMPRODUCT((M_BOM[Part Name]=$A21)*M_BOM[RM_Qty_Per_Batch]*IFERROR(INDEX(PP_Grid[#Data],M_BOM[PPGridRow],78),0))+IFERROR(INDEX(M_RawMaterials[固定週次消費量_要入力],MATCH($A21,M_RawMaterials[Part Name],0)),0)</f>
        <v/>
      </c>
      <c r="CA21">
        <f>SUMPRODUCT((M_BOM[Part Name]=$A21)*M_BOM[RM_Qty_Per_Batch]*IFERROR(INDEX(PP_Grid[#Data],M_BOM[PPGridRow],79),0))+IFERROR(INDEX(M_RawMaterials[固定週次消費量_要入力],MATCH($A21,M_RawMaterials[Part Name],0)),0)</f>
        <v/>
      </c>
      <c r="CB21">
        <f>SUMPRODUCT((M_BOM[Part Name]=$A21)*M_BOM[RM_Qty_Per_Batch]*IFERROR(INDEX(PP_Grid[#Data],M_BOM[PPGridRow],80),0))+IFERROR(INDEX(M_RawMaterials[固定週次消費量_要入力],MATCH($A21,M_RawMaterials[Part Name],0)),0)</f>
        <v/>
      </c>
      <c r="CC21">
        <f>SUMPRODUCT((M_BOM[Part Name]=$A21)*M_BOM[RM_Qty_Per_Batch]*IFERROR(INDEX(PP_Grid[#Data],M_BOM[PPGridRow],81),0))+IFERROR(INDEX(M_RawMaterials[固定週次消費量_要入力],MATCH($A21,M_RawMaterials[Part Name],0)),0)</f>
        <v/>
      </c>
      <c r="CD21">
        <f>SUMPRODUCT((M_BOM[Part Name]=$A21)*M_BOM[RM_Qty_Per_Batch]*IFERROR(INDEX(PP_Grid[#Data],M_BOM[PPGridRow],82),0))+IFERROR(INDEX(M_RawMaterials[固定週次消費量_要入力],MATCH($A21,M_RawMaterials[Part Name],0)),0)</f>
        <v/>
      </c>
      <c r="CE21">
        <f>SUMPRODUCT((M_BOM[Part Name]=$A21)*M_BOM[RM_Qty_Per_Batch]*IFERROR(INDEX(PP_Grid[#Data],M_BOM[PPGridRow],83),0))+IFERROR(INDEX(M_RawMaterials[固定週次消費量_要入力],MATCH($A21,M_RawMaterials[Part Name],0)),0)</f>
        <v/>
      </c>
      <c r="CF21">
        <f>SUMPRODUCT((M_BOM[Part Name]=$A21)*M_BOM[RM_Qty_Per_Batch]*IFERROR(INDEX(PP_Grid[#Data],M_BOM[PPGridRow],84),0))+IFERROR(INDEX(M_RawMaterials[固定週次消費量_要入力],MATCH($A21,M_RawMaterials[Part Name],0)),0)</f>
        <v/>
      </c>
      <c r="CG21">
        <f>SUMPRODUCT((M_BOM[Part Name]=$A21)*M_BOM[RM_Qty_Per_Batch]*IFERROR(INDEX(PP_Grid[#Data],M_BOM[PPGridRow],85),0))+IFERROR(INDEX(M_RawMaterials[固定週次消費量_要入力],MATCH($A21,M_RawMaterials[Part Name],0)),0)</f>
        <v/>
      </c>
      <c r="CH21">
        <f>SUMPRODUCT((M_BOM[Part Name]=$A21)*M_BOM[RM_Qty_Per_Batch]*IFERROR(INDEX(PP_Grid[#Data],M_BOM[PPGridRow],86),0))+IFERROR(INDEX(M_RawMaterials[固定週次消費量_要入力],MATCH($A21,M_RawMaterials[Part Name],0)),0)</f>
        <v/>
      </c>
      <c r="CI21">
        <f>SUMPRODUCT((M_BOM[Part Name]=$A21)*M_BOM[RM_Qty_Per_Batch]*IFERROR(INDEX(PP_Grid[#Data],M_BOM[PPGridRow],87),0))+IFERROR(INDEX(M_RawMaterials[固定週次消費量_要入力],MATCH($A21,M_RawMaterials[Part Name],0)),0)</f>
        <v/>
      </c>
      <c r="CJ21">
        <f>SUMPRODUCT((M_BOM[Part Name]=$A21)*M_BOM[RM_Qty_Per_Batch]*IFERROR(INDEX(PP_Grid[#Data],M_BOM[PPGridRow],88),0))+IFERROR(INDEX(M_RawMaterials[固定週次消費量_要入力],MATCH($A21,M_RawMaterials[Part Name],0)),0)</f>
        <v/>
      </c>
      <c r="CK21">
        <f>SUMPRODUCT((M_BOM[Part Name]=$A21)*M_BOM[RM_Qty_Per_Batch]*IFERROR(INDEX(PP_Grid[#Data],M_BOM[PPGridRow],89),0))+IFERROR(INDEX(M_RawMaterials[固定週次消費量_要入力],MATCH($A21,M_RawMaterials[Part Name],0)),0)</f>
        <v/>
      </c>
      <c r="CL21">
        <f>SUMPRODUCT((M_BOM[Part Name]=$A21)*M_BOM[RM_Qty_Per_Batch]*IFERROR(INDEX(PP_Grid[#Data],M_BOM[PPGridRow],90),0))+IFERROR(INDEX(M_RawMaterials[固定週次消費量_要入力],MATCH($A21,M_RawMaterials[Part Name],0)),0)</f>
        <v/>
      </c>
      <c r="CM21">
        <f>SUMPRODUCT((M_BOM[Part Name]=$A21)*M_BOM[RM_Qty_Per_Batch]*IFERROR(INDEX(PP_Grid[#Data],M_BOM[PPGridRow],91),0))+IFERROR(INDEX(M_RawMaterials[固定週次消費量_要入力],MATCH($A21,M_RawMaterials[Part Name],0)),0)</f>
        <v/>
      </c>
      <c r="CN21">
        <f>SUMPRODUCT((M_BOM[Part Name]=$A21)*M_BOM[RM_Qty_Per_Batch]*IFERROR(INDEX(PP_Grid[#Data],M_BOM[PPGridRow],92),0))+IFERROR(INDEX(M_RawMaterials[固定週次消費量_要入力],MATCH($A21,M_RawMaterials[Part Name],0)),0)</f>
        <v/>
      </c>
      <c r="CO21">
        <f>SUMPRODUCT((M_BOM[Part Name]=$A21)*M_BOM[RM_Qty_Per_Batch]*IFERROR(INDEX(PP_Grid[#Data],M_BOM[PPGridRow],93),0))+IFERROR(INDEX(M_RawMaterials[固定週次消費量_要入力],MATCH($A21,M_RawMaterials[Part Name],0)),0)</f>
        <v/>
      </c>
      <c r="CP21">
        <f>SUMPRODUCT((M_BOM[Part Name]=$A21)*M_BOM[RM_Qty_Per_Batch]*IFERROR(INDEX(PP_Grid[#Data],M_BOM[PPGridRow],94),0))+IFERROR(INDEX(M_RawMaterials[固定週次消費量_要入力],MATCH($A21,M_RawMaterials[Part Name],0)),0)</f>
        <v/>
      </c>
      <c r="CQ21">
        <f>SUMPRODUCT((M_BOM[Part Name]=$A21)*M_BOM[RM_Qty_Per_Batch]*IFERROR(INDEX(PP_Grid[#Data],M_BOM[PPGridRow],95),0))+IFERROR(INDEX(M_RawMaterials[固定週次消費量_要入力],MATCH($A21,M_RawMaterials[Part Name],0)),0)</f>
        <v/>
      </c>
      <c r="CR21">
        <f>SUMPRODUCT((M_BOM[Part Name]=$A21)*M_BOM[RM_Qty_Per_Batch]*IFERROR(INDEX(PP_Grid[#Data],M_BOM[PPGridRow],96),0))+IFERROR(INDEX(M_RawMaterials[固定週次消費量_要入力],MATCH($A21,M_RawMaterials[Part Name],0)),0)</f>
        <v/>
      </c>
      <c r="CS21">
        <f>SUMPRODUCT((M_BOM[Part Name]=$A21)*M_BOM[RM_Qty_Per_Batch]*IFERROR(INDEX(PP_Grid[#Data],M_BOM[PPGridRow],97),0))+IFERROR(INDEX(M_RawMaterials[固定週次消費量_要入力],MATCH($A21,M_RawMaterials[Part Name],0)),0)</f>
        <v/>
      </c>
      <c r="CT21">
        <f>SUMPRODUCT((M_BOM[Part Name]=$A21)*M_BOM[RM_Qty_Per_Batch]*IFERROR(INDEX(PP_Grid[#Data],M_BOM[PPGridRow],98),0))+IFERROR(INDEX(M_RawMaterials[固定週次消費量_要入力],MATCH($A21,M_RawMaterials[Part Name],0)),0)</f>
        <v/>
      </c>
      <c r="CU21">
        <f>SUMPRODUCT((M_BOM[Part Name]=$A21)*M_BOM[RM_Qty_Per_Batch]*IFERROR(INDEX(PP_Grid[#Data],M_BOM[PPGridRow],99),0))+IFERROR(INDEX(M_RawMaterials[固定週次消費量_要入力],MATCH($A21,M_RawMaterials[Part Name],0)),0)</f>
        <v/>
      </c>
      <c r="CV21">
        <f>SUMPRODUCT((M_BOM[Part Name]=$A21)*M_BOM[RM_Qty_Per_Batch]*IFERROR(INDEX(PP_Grid[#Data],M_BOM[PPGridRow],100),0))+IFERROR(INDEX(M_RawMaterials[固定週次消費量_要入力],MATCH($A21,M_RawMaterials[Part Name],0)),0)</f>
        <v/>
      </c>
      <c r="CW21">
        <f>SUMPRODUCT((M_BOM[Part Name]=$A21)*M_BOM[RM_Qty_Per_Batch]*IFERROR(INDEX(PP_Grid[#Data],M_BOM[PPGridRow],101),0))+IFERROR(INDEX(M_RawMaterials[固定週次消費量_要入力],MATCH($A21,M_RawMaterials[Part Name],0)),0)</f>
        <v/>
      </c>
      <c r="CX21">
        <f>SUMPRODUCT((M_BOM[Part Name]=$A21)*M_BOM[RM_Qty_Per_Batch]*IFERROR(INDEX(PP_Grid[#Data],M_BOM[PPGridRow],102),0))+IFERROR(INDEX(M_RawMaterials[固定週次消費量_要入力],MATCH($A21,M_RawMaterials[Part Name],0)),0)</f>
        <v/>
      </c>
      <c r="CY21">
        <f>SUMPRODUCT((M_BOM[Part Name]=$A21)*M_BOM[RM_Qty_Per_Batch]*IFERROR(INDEX(PP_Grid[#Data],M_BOM[PPGridRow],103),0))+IFERROR(INDEX(M_RawMaterials[固定週次消費量_要入力],MATCH($A21,M_RawMaterials[Part Name],0)),0)</f>
        <v/>
      </c>
      <c r="CZ21">
        <f>SUMPRODUCT((M_BOM[Part Name]=$A21)*M_BOM[RM_Qty_Per_Batch]*IFERROR(INDEX(PP_Grid[#Data],M_BOM[PPGridRow],104),0))+IFERROR(INDEX(M_RawMaterials[固定週次消費量_要入力],MATCH($A21,M_RawMaterials[Part Name],0)),0)</f>
        <v/>
      </c>
      <c r="DA21">
        <f>SUMPRODUCT((M_BOM[Part Name]=$A21)*M_BOM[RM_Qty_Per_Batch]*IFERROR(INDEX(PP_Grid[#Data],M_BOM[PPGridRow],105),0))+IFERROR(INDEX(M_RawMaterials[固定週次消費量_要入力],MATCH($A21,M_RawMaterials[Part Name],0)),0)</f>
        <v/>
      </c>
    </row>
    <row r="22">
      <c r="A22" t="inlineStr">
        <is>
          <t>CHEM-1670</t>
        </is>
      </c>
      <c r="B22">
        <f>SUMPRODUCT((M_BOM[Part Name]=$A22)*M_BOM[RM_Qty_Per_Batch]*IFERROR(INDEX(PP_Grid[#Data],M_BOM[PPGridRow],2),0))+IFERROR(INDEX(M_RawMaterials[固定週次消費量_要入力],MATCH($A22,M_RawMaterials[Part Name],0)),0)</f>
        <v/>
      </c>
      <c r="C22">
        <f>SUMPRODUCT((M_BOM[Part Name]=$A22)*M_BOM[RM_Qty_Per_Batch]*IFERROR(INDEX(PP_Grid[#Data],M_BOM[PPGridRow],3),0))+IFERROR(INDEX(M_RawMaterials[固定週次消費量_要入力],MATCH($A22,M_RawMaterials[Part Name],0)),0)</f>
        <v/>
      </c>
      <c r="D22">
        <f>SUMPRODUCT((M_BOM[Part Name]=$A22)*M_BOM[RM_Qty_Per_Batch]*IFERROR(INDEX(PP_Grid[#Data],M_BOM[PPGridRow],4),0))+IFERROR(INDEX(M_RawMaterials[固定週次消費量_要入力],MATCH($A22,M_RawMaterials[Part Name],0)),0)</f>
        <v/>
      </c>
      <c r="E22">
        <f>SUMPRODUCT((M_BOM[Part Name]=$A22)*M_BOM[RM_Qty_Per_Batch]*IFERROR(INDEX(PP_Grid[#Data],M_BOM[PPGridRow],5),0))+IFERROR(INDEX(M_RawMaterials[固定週次消費量_要入力],MATCH($A22,M_RawMaterials[Part Name],0)),0)</f>
        <v/>
      </c>
      <c r="F22">
        <f>SUMPRODUCT((M_BOM[Part Name]=$A22)*M_BOM[RM_Qty_Per_Batch]*IFERROR(INDEX(PP_Grid[#Data],M_BOM[PPGridRow],6),0))+IFERROR(INDEX(M_RawMaterials[固定週次消費量_要入力],MATCH($A22,M_RawMaterials[Part Name],0)),0)</f>
        <v/>
      </c>
      <c r="G22">
        <f>SUMPRODUCT((M_BOM[Part Name]=$A22)*M_BOM[RM_Qty_Per_Batch]*IFERROR(INDEX(PP_Grid[#Data],M_BOM[PPGridRow],7),0))+IFERROR(INDEX(M_RawMaterials[固定週次消費量_要入力],MATCH($A22,M_RawMaterials[Part Name],0)),0)</f>
        <v/>
      </c>
      <c r="H22">
        <f>SUMPRODUCT((M_BOM[Part Name]=$A22)*M_BOM[RM_Qty_Per_Batch]*IFERROR(INDEX(PP_Grid[#Data],M_BOM[PPGridRow],8),0))+IFERROR(INDEX(M_RawMaterials[固定週次消費量_要入力],MATCH($A22,M_RawMaterials[Part Name],0)),0)</f>
        <v/>
      </c>
      <c r="I22">
        <f>SUMPRODUCT((M_BOM[Part Name]=$A22)*M_BOM[RM_Qty_Per_Batch]*IFERROR(INDEX(PP_Grid[#Data],M_BOM[PPGridRow],9),0))+IFERROR(INDEX(M_RawMaterials[固定週次消費量_要入力],MATCH($A22,M_RawMaterials[Part Name],0)),0)</f>
        <v/>
      </c>
      <c r="J22">
        <f>SUMPRODUCT((M_BOM[Part Name]=$A22)*M_BOM[RM_Qty_Per_Batch]*IFERROR(INDEX(PP_Grid[#Data],M_BOM[PPGridRow],10),0))+IFERROR(INDEX(M_RawMaterials[固定週次消費量_要入力],MATCH($A22,M_RawMaterials[Part Name],0)),0)</f>
        <v/>
      </c>
      <c r="K22">
        <f>SUMPRODUCT((M_BOM[Part Name]=$A22)*M_BOM[RM_Qty_Per_Batch]*IFERROR(INDEX(PP_Grid[#Data],M_BOM[PPGridRow],11),0))+IFERROR(INDEX(M_RawMaterials[固定週次消費量_要入力],MATCH($A22,M_RawMaterials[Part Name],0)),0)</f>
        <v/>
      </c>
      <c r="L22">
        <f>SUMPRODUCT((M_BOM[Part Name]=$A22)*M_BOM[RM_Qty_Per_Batch]*IFERROR(INDEX(PP_Grid[#Data],M_BOM[PPGridRow],12),0))+IFERROR(INDEX(M_RawMaterials[固定週次消費量_要入力],MATCH($A22,M_RawMaterials[Part Name],0)),0)</f>
        <v/>
      </c>
      <c r="M22">
        <f>SUMPRODUCT((M_BOM[Part Name]=$A22)*M_BOM[RM_Qty_Per_Batch]*IFERROR(INDEX(PP_Grid[#Data],M_BOM[PPGridRow],13),0))+IFERROR(INDEX(M_RawMaterials[固定週次消費量_要入力],MATCH($A22,M_RawMaterials[Part Name],0)),0)</f>
        <v/>
      </c>
      <c r="N22">
        <f>SUMPRODUCT((M_BOM[Part Name]=$A22)*M_BOM[RM_Qty_Per_Batch]*IFERROR(INDEX(PP_Grid[#Data],M_BOM[PPGridRow],14),0))+IFERROR(INDEX(M_RawMaterials[固定週次消費量_要入力],MATCH($A22,M_RawMaterials[Part Name],0)),0)</f>
        <v/>
      </c>
      <c r="O22">
        <f>SUMPRODUCT((M_BOM[Part Name]=$A22)*M_BOM[RM_Qty_Per_Batch]*IFERROR(INDEX(PP_Grid[#Data],M_BOM[PPGridRow],15),0))+IFERROR(INDEX(M_RawMaterials[固定週次消費量_要入力],MATCH($A22,M_RawMaterials[Part Name],0)),0)</f>
        <v/>
      </c>
      <c r="P22">
        <f>SUMPRODUCT((M_BOM[Part Name]=$A22)*M_BOM[RM_Qty_Per_Batch]*IFERROR(INDEX(PP_Grid[#Data],M_BOM[PPGridRow],16),0))+IFERROR(INDEX(M_RawMaterials[固定週次消費量_要入力],MATCH($A22,M_RawMaterials[Part Name],0)),0)</f>
        <v/>
      </c>
      <c r="Q22">
        <f>SUMPRODUCT((M_BOM[Part Name]=$A22)*M_BOM[RM_Qty_Per_Batch]*IFERROR(INDEX(PP_Grid[#Data],M_BOM[PPGridRow],17),0))+IFERROR(INDEX(M_RawMaterials[固定週次消費量_要入力],MATCH($A22,M_RawMaterials[Part Name],0)),0)</f>
        <v/>
      </c>
      <c r="R22">
        <f>SUMPRODUCT((M_BOM[Part Name]=$A22)*M_BOM[RM_Qty_Per_Batch]*IFERROR(INDEX(PP_Grid[#Data],M_BOM[PPGridRow],18),0))+IFERROR(INDEX(M_RawMaterials[固定週次消費量_要入力],MATCH($A22,M_RawMaterials[Part Name],0)),0)</f>
        <v/>
      </c>
      <c r="S22">
        <f>SUMPRODUCT((M_BOM[Part Name]=$A22)*M_BOM[RM_Qty_Per_Batch]*IFERROR(INDEX(PP_Grid[#Data],M_BOM[PPGridRow],19),0))+IFERROR(INDEX(M_RawMaterials[固定週次消費量_要入力],MATCH($A22,M_RawMaterials[Part Name],0)),0)</f>
        <v/>
      </c>
      <c r="T22">
        <f>SUMPRODUCT((M_BOM[Part Name]=$A22)*M_BOM[RM_Qty_Per_Batch]*IFERROR(INDEX(PP_Grid[#Data],M_BOM[PPGridRow],20),0))+IFERROR(INDEX(M_RawMaterials[固定週次消費量_要入力],MATCH($A22,M_RawMaterials[Part Name],0)),0)</f>
        <v/>
      </c>
      <c r="U22">
        <f>SUMPRODUCT((M_BOM[Part Name]=$A22)*M_BOM[RM_Qty_Per_Batch]*IFERROR(INDEX(PP_Grid[#Data],M_BOM[PPGridRow],21),0))+IFERROR(INDEX(M_RawMaterials[固定週次消費量_要入力],MATCH($A22,M_RawMaterials[Part Name],0)),0)</f>
        <v/>
      </c>
      <c r="V22">
        <f>SUMPRODUCT((M_BOM[Part Name]=$A22)*M_BOM[RM_Qty_Per_Batch]*IFERROR(INDEX(PP_Grid[#Data],M_BOM[PPGridRow],22),0))+IFERROR(INDEX(M_RawMaterials[固定週次消費量_要入力],MATCH($A22,M_RawMaterials[Part Name],0)),0)</f>
        <v/>
      </c>
      <c r="W22">
        <f>SUMPRODUCT((M_BOM[Part Name]=$A22)*M_BOM[RM_Qty_Per_Batch]*IFERROR(INDEX(PP_Grid[#Data],M_BOM[PPGridRow],23),0))+IFERROR(INDEX(M_RawMaterials[固定週次消費量_要入力],MATCH($A22,M_RawMaterials[Part Name],0)),0)</f>
        <v/>
      </c>
      <c r="X22">
        <f>SUMPRODUCT((M_BOM[Part Name]=$A22)*M_BOM[RM_Qty_Per_Batch]*IFERROR(INDEX(PP_Grid[#Data],M_BOM[PPGridRow],24),0))+IFERROR(INDEX(M_RawMaterials[固定週次消費量_要入力],MATCH($A22,M_RawMaterials[Part Name],0)),0)</f>
        <v/>
      </c>
      <c r="Y22">
        <f>SUMPRODUCT((M_BOM[Part Name]=$A22)*M_BOM[RM_Qty_Per_Batch]*IFERROR(INDEX(PP_Grid[#Data],M_BOM[PPGridRow],25),0))+IFERROR(INDEX(M_RawMaterials[固定週次消費量_要入力],MATCH($A22,M_RawMaterials[Part Name],0)),0)</f>
        <v/>
      </c>
      <c r="Z22">
        <f>SUMPRODUCT((M_BOM[Part Name]=$A22)*M_BOM[RM_Qty_Per_Batch]*IFERROR(INDEX(PP_Grid[#Data],M_BOM[PPGridRow],26),0))+IFERROR(INDEX(M_RawMaterials[固定週次消費量_要入力],MATCH($A22,M_RawMaterials[Part Name],0)),0)</f>
        <v/>
      </c>
      <c r="AA22">
        <f>SUMPRODUCT((M_BOM[Part Name]=$A22)*M_BOM[RM_Qty_Per_Batch]*IFERROR(INDEX(PP_Grid[#Data],M_BOM[PPGridRow],27),0))+IFERROR(INDEX(M_RawMaterials[固定週次消費量_要入力],MATCH($A22,M_RawMaterials[Part Name],0)),0)</f>
        <v/>
      </c>
      <c r="AB22">
        <f>SUMPRODUCT((M_BOM[Part Name]=$A22)*M_BOM[RM_Qty_Per_Batch]*IFERROR(INDEX(PP_Grid[#Data],M_BOM[PPGridRow],28),0))+IFERROR(INDEX(M_RawMaterials[固定週次消費量_要入力],MATCH($A22,M_RawMaterials[Part Name],0)),0)</f>
        <v/>
      </c>
      <c r="AC22">
        <f>SUMPRODUCT((M_BOM[Part Name]=$A22)*M_BOM[RM_Qty_Per_Batch]*IFERROR(INDEX(PP_Grid[#Data],M_BOM[PPGridRow],29),0))+IFERROR(INDEX(M_RawMaterials[固定週次消費量_要入力],MATCH($A22,M_RawMaterials[Part Name],0)),0)</f>
        <v/>
      </c>
      <c r="AD22">
        <f>SUMPRODUCT((M_BOM[Part Name]=$A22)*M_BOM[RM_Qty_Per_Batch]*IFERROR(INDEX(PP_Grid[#Data],M_BOM[PPGridRow],30),0))+IFERROR(INDEX(M_RawMaterials[固定週次消費量_要入力],MATCH($A22,M_RawMaterials[Part Name],0)),0)</f>
        <v/>
      </c>
      <c r="AE22">
        <f>SUMPRODUCT((M_BOM[Part Name]=$A22)*M_BOM[RM_Qty_Per_Batch]*IFERROR(INDEX(PP_Grid[#Data],M_BOM[PPGridRow],31),0))+IFERROR(INDEX(M_RawMaterials[固定週次消費量_要入力],MATCH($A22,M_RawMaterials[Part Name],0)),0)</f>
        <v/>
      </c>
      <c r="AF22">
        <f>SUMPRODUCT((M_BOM[Part Name]=$A22)*M_BOM[RM_Qty_Per_Batch]*IFERROR(INDEX(PP_Grid[#Data],M_BOM[PPGridRow],32),0))+IFERROR(INDEX(M_RawMaterials[固定週次消費量_要入力],MATCH($A22,M_RawMaterials[Part Name],0)),0)</f>
        <v/>
      </c>
      <c r="AG22">
        <f>SUMPRODUCT((M_BOM[Part Name]=$A22)*M_BOM[RM_Qty_Per_Batch]*IFERROR(INDEX(PP_Grid[#Data],M_BOM[PPGridRow],33),0))+IFERROR(INDEX(M_RawMaterials[固定週次消費量_要入力],MATCH($A22,M_RawMaterials[Part Name],0)),0)</f>
        <v/>
      </c>
      <c r="AH22">
        <f>SUMPRODUCT((M_BOM[Part Name]=$A22)*M_BOM[RM_Qty_Per_Batch]*IFERROR(INDEX(PP_Grid[#Data],M_BOM[PPGridRow],34),0))+IFERROR(INDEX(M_RawMaterials[固定週次消費量_要入力],MATCH($A22,M_RawMaterials[Part Name],0)),0)</f>
        <v/>
      </c>
      <c r="AI22">
        <f>SUMPRODUCT((M_BOM[Part Name]=$A22)*M_BOM[RM_Qty_Per_Batch]*IFERROR(INDEX(PP_Grid[#Data],M_BOM[PPGridRow],35),0))+IFERROR(INDEX(M_RawMaterials[固定週次消費量_要入力],MATCH($A22,M_RawMaterials[Part Name],0)),0)</f>
        <v/>
      </c>
      <c r="AJ22">
        <f>SUMPRODUCT((M_BOM[Part Name]=$A22)*M_BOM[RM_Qty_Per_Batch]*IFERROR(INDEX(PP_Grid[#Data],M_BOM[PPGridRow],36),0))+IFERROR(INDEX(M_RawMaterials[固定週次消費量_要入力],MATCH($A22,M_RawMaterials[Part Name],0)),0)</f>
        <v/>
      </c>
      <c r="AK22">
        <f>SUMPRODUCT((M_BOM[Part Name]=$A22)*M_BOM[RM_Qty_Per_Batch]*IFERROR(INDEX(PP_Grid[#Data],M_BOM[PPGridRow],37),0))+IFERROR(INDEX(M_RawMaterials[固定週次消費量_要入力],MATCH($A22,M_RawMaterials[Part Name],0)),0)</f>
        <v/>
      </c>
      <c r="AL22">
        <f>SUMPRODUCT((M_BOM[Part Name]=$A22)*M_BOM[RM_Qty_Per_Batch]*IFERROR(INDEX(PP_Grid[#Data],M_BOM[PPGridRow],38),0))+IFERROR(INDEX(M_RawMaterials[固定週次消費量_要入力],MATCH($A22,M_RawMaterials[Part Name],0)),0)</f>
        <v/>
      </c>
      <c r="AM22">
        <f>SUMPRODUCT((M_BOM[Part Name]=$A22)*M_BOM[RM_Qty_Per_Batch]*IFERROR(INDEX(PP_Grid[#Data],M_BOM[PPGridRow],39),0))+IFERROR(INDEX(M_RawMaterials[固定週次消費量_要入力],MATCH($A22,M_RawMaterials[Part Name],0)),0)</f>
        <v/>
      </c>
      <c r="AN22">
        <f>SUMPRODUCT((M_BOM[Part Name]=$A22)*M_BOM[RM_Qty_Per_Batch]*IFERROR(INDEX(PP_Grid[#Data],M_BOM[PPGridRow],40),0))+IFERROR(INDEX(M_RawMaterials[固定週次消費量_要入力],MATCH($A22,M_RawMaterials[Part Name],0)),0)</f>
        <v/>
      </c>
      <c r="AO22">
        <f>SUMPRODUCT((M_BOM[Part Name]=$A22)*M_BOM[RM_Qty_Per_Batch]*IFERROR(INDEX(PP_Grid[#Data],M_BOM[PPGridRow],41),0))+IFERROR(INDEX(M_RawMaterials[固定週次消費量_要入力],MATCH($A22,M_RawMaterials[Part Name],0)),0)</f>
        <v/>
      </c>
      <c r="AP22">
        <f>SUMPRODUCT((M_BOM[Part Name]=$A22)*M_BOM[RM_Qty_Per_Batch]*IFERROR(INDEX(PP_Grid[#Data],M_BOM[PPGridRow],42),0))+IFERROR(INDEX(M_RawMaterials[固定週次消費量_要入力],MATCH($A22,M_RawMaterials[Part Name],0)),0)</f>
        <v/>
      </c>
      <c r="AQ22">
        <f>SUMPRODUCT((M_BOM[Part Name]=$A22)*M_BOM[RM_Qty_Per_Batch]*IFERROR(INDEX(PP_Grid[#Data],M_BOM[PPGridRow],43),0))+IFERROR(INDEX(M_RawMaterials[固定週次消費量_要入力],MATCH($A22,M_RawMaterials[Part Name],0)),0)</f>
        <v/>
      </c>
      <c r="AR22">
        <f>SUMPRODUCT((M_BOM[Part Name]=$A22)*M_BOM[RM_Qty_Per_Batch]*IFERROR(INDEX(PP_Grid[#Data],M_BOM[PPGridRow],44),0))+IFERROR(INDEX(M_RawMaterials[固定週次消費量_要入力],MATCH($A22,M_RawMaterials[Part Name],0)),0)</f>
        <v/>
      </c>
      <c r="AS22">
        <f>SUMPRODUCT((M_BOM[Part Name]=$A22)*M_BOM[RM_Qty_Per_Batch]*IFERROR(INDEX(PP_Grid[#Data],M_BOM[PPGridRow],45),0))+IFERROR(INDEX(M_RawMaterials[固定週次消費量_要入力],MATCH($A22,M_RawMaterials[Part Name],0)),0)</f>
        <v/>
      </c>
      <c r="AT22">
        <f>SUMPRODUCT((M_BOM[Part Name]=$A22)*M_BOM[RM_Qty_Per_Batch]*IFERROR(INDEX(PP_Grid[#Data],M_BOM[PPGridRow],46),0))+IFERROR(INDEX(M_RawMaterials[固定週次消費量_要入力],MATCH($A22,M_RawMaterials[Part Name],0)),0)</f>
        <v/>
      </c>
      <c r="AU22">
        <f>SUMPRODUCT((M_BOM[Part Name]=$A22)*M_BOM[RM_Qty_Per_Batch]*IFERROR(INDEX(PP_Grid[#Data],M_BOM[PPGridRow],47),0))+IFERROR(INDEX(M_RawMaterials[固定週次消費量_要入力],MATCH($A22,M_RawMaterials[Part Name],0)),0)</f>
        <v/>
      </c>
      <c r="AV22">
        <f>SUMPRODUCT((M_BOM[Part Name]=$A22)*M_BOM[RM_Qty_Per_Batch]*IFERROR(INDEX(PP_Grid[#Data],M_BOM[PPGridRow],48),0))+IFERROR(INDEX(M_RawMaterials[固定週次消費量_要入力],MATCH($A22,M_RawMaterials[Part Name],0)),0)</f>
        <v/>
      </c>
      <c r="AW22">
        <f>SUMPRODUCT((M_BOM[Part Name]=$A22)*M_BOM[RM_Qty_Per_Batch]*IFERROR(INDEX(PP_Grid[#Data],M_BOM[PPGridRow],49),0))+IFERROR(INDEX(M_RawMaterials[固定週次消費量_要入力],MATCH($A22,M_RawMaterials[Part Name],0)),0)</f>
        <v/>
      </c>
      <c r="AX22">
        <f>SUMPRODUCT((M_BOM[Part Name]=$A22)*M_BOM[RM_Qty_Per_Batch]*IFERROR(INDEX(PP_Grid[#Data],M_BOM[PPGridRow],50),0))+IFERROR(INDEX(M_RawMaterials[固定週次消費量_要入力],MATCH($A22,M_RawMaterials[Part Name],0)),0)</f>
        <v/>
      </c>
      <c r="AY22">
        <f>SUMPRODUCT((M_BOM[Part Name]=$A22)*M_BOM[RM_Qty_Per_Batch]*IFERROR(INDEX(PP_Grid[#Data],M_BOM[PPGridRow],51),0))+IFERROR(INDEX(M_RawMaterials[固定週次消費量_要入力],MATCH($A22,M_RawMaterials[Part Name],0)),0)</f>
        <v/>
      </c>
      <c r="AZ22">
        <f>SUMPRODUCT((M_BOM[Part Name]=$A22)*M_BOM[RM_Qty_Per_Batch]*IFERROR(INDEX(PP_Grid[#Data],M_BOM[PPGridRow],52),0))+IFERROR(INDEX(M_RawMaterials[固定週次消費量_要入力],MATCH($A22,M_RawMaterials[Part Name],0)),0)</f>
        <v/>
      </c>
      <c r="BA22">
        <f>SUMPRODUCT((M_BOM[Part Name]=$A22)*M_BOM[RM_Qty_Per_Batch]*IFERROR(INDEX(PP_Grid[#Data],M_BOM[PPGridRow],53),0))+IFERROR(INDEX(M_RawMaterials[固定週次消費量_要入力],MATCH($A22,M_RawMaterials[Part Name],0)),0)</f>
        <v/>
      </c>
      <c r="BB22">
        <f>SUMPRODUCT((M_BOM[Part Name]=$A22)*M_BOM[RM_Qty_Per_Batch]*IFERROR(INDEX(PP_Grid[#Data],M_BOM[PPGridRow],54),0))+IFERROR(INDEX(M_RawMaterials[固定週次消費量_要入力],MATCH($A22,M_RawMaterials[Part Name],0)),0)</f>
        <v/>
      </c>
      <c r="BC22">
        <f>SUMPRODUCT((M_BOM[Part Name]=$A22)*M_BOM[RM_Qty_Per_Batch]*IFERROR(INDEX(PP_Grid[#Data],M_BOM[PPGridRow],55),0))+IFERROR(INDEX(M_RawMaterials[固定週次消費量_要入力],MATCH($A22,M_RawMaterials[Part Name],0)),0)</f>
        <v/>
      </c>
      <c r="BD22">
        <f>SUMPRODUCT((M_BOM[Part Name]=$A22)*M_BOM[RM_Qty_Per_Batch]*IFERROR(INDEX(PP_Grid[#Data],M_BOM[PPGridRow],56),0))+IFERROR(INDEX(M_RawMaterials[固定週次消費量_要入力],MATCH($A22,M_RawMaterials[Part Name],0)),0)</f>
        <v/>
      </c>
      <c r="BE22">
        <f>SUMPRODUCT((M_BOM[Part Name]=$A22)*M_BOM[RM_Qty_Per_Batch]*IFERROR(INDEX(PP_Grid[#Data],M_BOM[PPGridRow],57),0))+IFERROR(INDEX(M_RawMaterials[固定週次消費量_要入力],MATCH($A22,M_RawMaterials[Part Name],0)),0)</f>
        <v/>
      </c>
      <c r="BF22">
        <f>SUMPRODUCT((M_BOM[Part Name]=$A22)*M_BOM[RM_Qty_Per_Batch]*IFERROR(INDEX(PP_Grid[#Data],M_BOM[PPGridRow],58),0))+IFERROR(INDEX(M_RawMaterials[固定週次消費量_要入力],MATCH($A22,M_RawMaterials[Part Name],0)),0)</f>
        <v/>
      </c>
      <c r="BG22">
        <f>SUMPRODUCT((M_BOM[Part Name]=$A22)*M_BOM[RM_Qty_Per_Batch]*IFERROR(INDEX(PP_Grid[#Data],M_BOM[PPGridRow],59),0))+IFERROR(INDEX(M_RawMaterials[固定週次消費量_要入力],MATCH($A22,M_RawMaterials[Part Name],0)),0)</f>
        <v/>
      </c>
      <c r="BH22">
        <f>SUMPRODUCT((M_BOM[Part Name]=$A22)*M_BOM[RM_Qty_Per_Batch]*IFERROR(INDEX(PP_Grid[#Data],M_BOM[PPGridRow],60),0))+IFERROR(INDEX(M_RawMaterials[固定週次消費量_要入力],MATCH($A22,M_RawMaterials[Part Name],0)),0)</f>
        <v/>
      </c>
      <c r="BI22">
        <f>SUMPRODUCT((M_BOM[Part Name]=$A22)*M_BOM[RM_Qty_Per_Batch]*IFERROR(INDEX(PP_Grid[#Data],M_BOM[PPGridRow],61),0))+IFERROR(INDEX(M_RawMaterials[固定週次消費量_要入力],MATCH($A22,M_RawMaterials[Part Name],0)),0)</f>
        <v/>
      </c>
      <c r="BJ22">
        <f>SUMPRODUCT((M_BOM[Part Name]=$A22)*M_BOM[RM_Qty_Per_Batch]*IFERROR(INDEX(PP_Grid[#Data],M_BOM[PPGridRow],62),0))+IFERROR(INDEX(M_RawMaterials[固定週次消費量_要入力],MATCH($A22,M_RawMaterials[Part Name],0)),0)</f>
        <v/>
      </c>
      <c r="BK22">
        <f>SUMPRODUCT((M_BOM[Part Name]=$A22)*M_BOM[RM_Qty_Per_Batch]*IFERROR(INDEX(PP_Grid[#Data],M_BOM[PPGridRow],63),0))+IFERROR(INDEX(M_RawMaterials[固定週次消費量_要入力],MATCH($A22,M_RawMaterials[Part Name],0)),0)</f>
        <v/>
      </c>
      <c r="BL22">
        <f>SUMPRODUCT((M_BOM[Part Name]=$A22)*M_BOM[RM_Qty_Per_Batch]*IFERROR(INDEX(PP_Grid[#Data],M_BOM[PPGridRow],64),0))+IFERROR(INDEX(M_RawMaterials[固定週次消費量_要入力],MATCH($A22,M_RawMaterials[Part Name],0)),0)</f>
        <v/>
      </c>
      <c r="BM22">
        <f>SUMPRODUCT((M_BOM[Part Name]=$A22)*M_BOM[RM_Qty_Per_Batch]*IFERROR(INDEX(PP_Grid[#Data],M_BOM[PPGridRow],65),0))+IFERROR(INDEX(M_RawMaterials[固定週次消費量_要入力],MATCH($A22,M_RawMaterials[Part Name],0)),0)</f>
        <v/>
      </c>
      <c r="BN22">
        <f>SUMPRODUCT((M_BOM[Part Name]=$A22)*M_BOM[RM_Qty_Per_Batch]*IFERROR(INDEX(PP_Grid[#Data],M_BOM[PPGridRow],66),0))+IFERROR(INDEX(M_RawMaterials[固定週次消費量_要入力],MATCH($A22,M_RawMaterials[Part Name],0)),0)</f>
        <v/>
      </c>
      <c r="BO22">
        <f>SUMPRODUCT((M_BOM[Part Name]=$A22)*M_BOM[RM_Qty_Per_Batch]*IFERROR(INDEX(PP_Grid[#Data],M_BOM[PPGridRow],67),0))+IFERROR(INDEX(M_RawMaterials[固定週次消費量_要入力],MATCH($A22,M_RawMaterials[Part Name],0)),0)</f>
        <v/>
      </c>
      <c r="BP22">
        <f>SUMPRODUCT((M_BOM[Part Name]=$A22)*M_BOM[RM_Qty_Per_Batch]*IFERROR(INDEX(PP_Grid[#Data],M_BOM[PPGridRow],68),0))+IFERROR(INDEX(M_RawMaterials[固定週次消費量_要入力],MATCH($A22,M_RawMaterials[Part Name],0)),0)</f>
        <v/>
      </c>
      <c r="BQ22">
        <f>SUMPRODUCT((M_BOM[Part Name]=$A22)*M_BOM[RM_Qty_Per_Batch]*IFERROR(INDEX(PP_Grid[#Data],M_BOM[PPGridRow],69),0))+IFERROR(INDEX(M_RawMaterials[固定週次消費量_要入力],MATCH($A22,M_RawMaterials[Part Name],0)),0)</f>
        <v/>
      </c>
      <c r="BR22">
        <f>SUMPRODUCT((M_BOM[Part Name]=$A22)*M_BOM[RM_Qty_Per_Batch]*IFERROR(INDEX(PP_Grid[#Data],M_BOM[PPGridRow],70),0))+IFERROR(INDEX(M_RawMaterials[固定週次消費量_要入力],MATCH($A22,M_RawMaterials[Part Name],0)),0)</f>
        <v/>
      </c>
      <c r="BS22">
        <f>SUMPRODUCT((M_BOM[Part Name]=$A22)*M_BOM[RM_Qty_Per_Batch]*IFERROR(INDEX(PP_Grid[#Data],M_BOM[PPGridRow],71),0))+IFERROR(INDEX(M_RawMaterials[固定週次消費量_要入力],MATCH($A22,M_RawMaterials[Part Name],0)),0)</f>
        <v/>
      </c>
      <c r="BT22">
        <f>SUMPRODUCT((M_BOM[Part Name]=$A22)*M_BOM[RM_Qty_Per_Batch]*IFERROR(INDEX(PP_Grid[#Data],M_BOM[PPGridRow],72),0))+IFERROR(INDEX(M_RawMaterials[固定週次消費量_要入力],MATCH($A22,M_RawMaterials[Part Name],0)),0)</f>
        <v/>
      </c>
      <c r="BU22">
        <f>SUMPRODUCT((M_BOM[Part Name]=$A22)*M_BOM[RM_Qty_Per_Batch]*IFERROR(INDEX(PP_Grid[#Data],M_BOM[PPGridRow],73),0))+IFERROR(INDEX(M_RawMaterials[固定週次消費量_要入力],MATCH($A22,M_RawMaterials[Part Name],0)),0)</f>
        <v/>
      </c>
      <c r="BV22">
        <f>SUMPRODUCT((M_BOM[Part Name]=$A22)*M_BOM[RM_Qty_Per_Batch]*IFERROR(INDEX(PP_Grid[#Data],M_BOM[PPGridRow],74),0))+IFERROR(INDEX(M_RawMaterials[固定週次消費量_要入力],MATCH($A22,M_RawMaterials[Part Name],0)),0)</f>
        <v/>
      </c>
      <c r="BW22">
        <f>SUMPRODUCT((M_BOM[Part Name]=$A22)*M_BOM[RM_Qty_Per_Batch]*IFERROR(INDEX(PP_Grid[#Data],M_BOM[PPGridRow],75),0))+IFERROR(INDEX(M_RawMaterials[固定週次消費量_要入力],MATCH($A22,M_RawMaterials[Part Name],0)),0)</f>
        <v/>
      </c>
      <c r="BX22">
        <f>SUMPRODUCT((M_BOM[Part Name]=$A22)*M_BOM[RM_Qty_Per_Batch]*IFERROR(INDEX(PP_Grid[#Data],M_BOM[PPGridRow],76),0))+IFERROR(INDEX(M_RawMaterials[固定週次消費量_要入力],MATCH($A22,M_RawMaterials[Part Name],0)),0)</f>
        <v/>
      </c>
      <c r="BY22">
        <f>SUMPRODUCT((M_BOM[Part Name]=$A22)*M_BOM[RM_Qty_Per_Batch]*IFERROR(INDEX(PP_Grid[#Data],M_BOM[PPGridRow],77),0))+IFERROR(INDEX(M_RawMaterials[固定週次消費量_要入力],MATCH($A22,M_RawMaterials[Part Name],0)),0)</f>
        <v/>
      </c>
      <c r="BZ22">
        <f>SUMPRODUCT((M_BOM[Part Name]=$A22)*M_BOM[RM_Qty_Per_Batch]*IFERROR(INDEX(PP_Grid[#Data],M_BOM[PPGridRow],78),0))+IFERROR(INDEX(M_RawMaterials[固定週次消費量_要入力],MATCH($A22,M_RawMaterials[Part Name],0)),0)</f>
        <v/>
      </c>
      <c r="CA22">
        <f>SUMPRODUCT((M_BOM[Part Name]=$A22)*M_BOM[RM_Qty_Per_Batch]*IFERROR(INDEX(PP_Grid[#Data],M_BOM[PPGridRow],79),0))+IFERROR(INDEX(M_RawMaterials[固定週次消費量_要入力],MATCH($A22,M_RawMaterials[Part Name],0)),0)</f>
        <v/>
      </c>
      <c r="CB22">
        <f>SUMPRODUCT((M_BOM[Part Name]=$A22)*M_BOM[RM_Qty_Per_Batch]*IFERROR(INDEX(PP_Grid[#Data],M_BOM[PPGridRow],80),0))+IFERROR(INDEX(M_RawMaterials[固定週次消費量_要入力],MATCH($A22,M_RawMaterials[Part Name],0)),0)</f>
        <v/>
      </c>
      <c r="CC22">
        <f>SUMPRODUCT((M_BOM[Part Name]=$A22)*M_BOM[RM_Qty_Per_Batch]*IFERROR(INDEX(PP_Grid[#Data],M_BOM[PPGridRow],81),0))+IFERROR(INDEX(M_RawMaterials[固定週次消費量_要入力],MATCH($A22,M_RawMaterials[Part Name],0)),0)</f>
        <v/>
      </c>
      <c r="CD22">
        <f>SUMPRODUCT((M_BOM[Part Name]=$A22)*M_BOM[RM_Qty_Per_Batch]*IFERROR(INDEX(PP_Grid[#Data],M_BOM[PPGridRow],82),0))+IFERROR(INDEX(M_RawMaterials[固定週次消費量_要入力],MATCH($A22,M_RawMaterials[Part Name],0)),0)</f>
        <v/>
      </c>
      <c r="CE22">
        <f>SUMPRODUCT((M_BOM[Part Name]=$A22)*M_BOM[RM_Qty_Per_Batch]*IFERROR(INDEX(PP_Grid[#Data],M_BOM[PPGridRow],83),0))+IFERROR(INDEX(M_RawMaterials[固定週次消費量_要入力],MATCH($A22,M_RawMaterials[Part Name],0)),0)</f>
        <v/>
      </c>
      <c r="CF22">
        <f>SUMPRODUCT((M_BOM[Part Name]=$A22)*M_BOM[RM_Qty_Per_Batch]*IFERROR(INDEX(PP_Grid[#Data],M_BOM[PPGridRow],84),0))+IFERROR(INDEX(M_RawMaterials[固定週次消費量_要入力],MATCH($A22,M_RawMaterials[Part Name],0)),0)</f>
        <v/>
      </c>
      <c r="CG22">
        <f>SUMPRODUCT((M_BOM[Part Name]=$A22)*M_BOM[RM_Qty_Per_Batch]*IFERROR(INDEX(PP_Grid[#Data],M_BOM[PPGridRow],85),0))+IFERROR(INDEX(M_RawMaterials[固定週次消費量_要入力],MATCH($A22,M_RawMaterials[Part Name],0)),0)</f>
        <v/>
      </c>
      <c r="CH22">
        <f>SUMPRODUCT((M_BOM[Part Name]=$A22)*M_BOM[RM_Qty_Per_Batch]*IFERROR(INDEX(PP_Grid[#Data],M_BOM[PPGridRow],86),0))+IFERROR(INDEX(M_RawMaterials[固定週次消費量_要入力],MATCH($A22,M_RawMaterials[Part Name],0)),0)</f>
        <v/>
      </c>
      <c r="CI22">
        <f>SUMPRODUCT((M_BOM[Part Name]=$A22)*M_BOM[RM_Qty_Per_Batch]*IFERROR(INDEX(PP_Grid[#Data],M_BOM[PPGridRow],87),0))+IFERROR(INDEX(M_RawMaterials[固定週次消費量_要入力],MATCH($A22,M_RawMaterials[Part Name],0)),0)</f>
        <v/>
      </c>
      <c r="CJ22">
        <f>SUMPRODUCT((M_BOM[Part Name]=$A22)*M_BOM[RM_Qty_Per_Batch]*IFERROR(INDEX(PP_Grid[#Data],M_BOM[PPGridRow],88),0))+IFERROR(INDEX(M_RawMaterials[固定週次消費量_要入力],MATCH($A22,M_RawMaterials[Part Name],0)),0)</f>
        <v/>
      </c>
      <c r="CK22">
        <f>SUMPRODUCT((M_BOM[Part Name]=$A22)*M_BOM[RM_Qty_Per_Batch]*IFERROR(INDEX(PP_Grid[#Data],M_BOM[PPGridRow],89),0))+IFERROR(INDEX(M_RawMaterials[固定週次消費量_要入力],MATCH($A22,M_RawMaterials[Part Name],0)),0)</f>
        <v/>
      </c>
      <c r="CL22">
        <f>SUMPRODUCT((M_BOM[Part Name]=$A22)*M_BOM[RM_Qty_Per_Batch]*IFERROR(INDEX(PP_Grid[#Data],M_BOM[PPGridRow],90),0))+IFERROR(INDEX(M_RawMaterials[固定週次消費量_要入力],MATCH($A22,M_RawMaterials[Part Name],0)),0)</f>
        <v/>
      </c>
      <c r="CM22">
        <f>SUMPRODUCT((M_BOM[Part Name]=$A22)*M_BOM[RM_Qty_Per_Batch]*IFERROR(INDEX(PP_Grid[#Data],M_BOM[PPGridRow],91),0))+IFERROR(INDEX(M_RawMaterials[固定週次消費量_要入力],MATCH($A22,M_RawMaterials[Part Name],0)),0)</f>
        <v/>
      </c>
      <c r="CN22">
        <f>SUMPRODUCT((M_BOM[Part Name]=$A22)*M_BOM[RM_Qty_Per_Batch]*IFERROR(INDEX(PP_Grid[#Data],M_BOM[PPGridRow],92),0))+IFERROR(INDEX(M_RawMaterials[固定週次消費量_要入力],MATCH($A22,M_RawMaterials[Part Name],0)),0)</f>
        <v/>
      </c>
      <c r="CO22">
        <f>SUMPRODUCT((M_BOM[Part Name]=$A22)*M_BOM[RM_Qty_Per_Batch]*IFERROR(INDEX(PP_Grid[#Data],M_BOM[PPGridRow],93),0))+IFERROR(INDEX(M_RawMaterials[固定週次消費量_要入力],MATCH($A22,M_RawMaterials[Part Name],0)),0)</f>
        <v/>
      </c>
      <c r="CP22">
        <f>SUMPRODUCT((M_BOM[Part Name]=$A22)*M_BOM[RM_Qty_Per_Batch]*IFERROR(INDEX(PP_Grid[#Data],M_BOM[PPGridRow],94),0))+IFERROR(INDEX(M_RawMaterials[固定週次消費量_要入力],MATCH($A22,M_RawMaterials[Part Name],0)),0)</f>
        <v/>
      </c>
      <c r="CQ22">
        <f>SUMPRODUCT((M_BOM[Part Name]=$A22)*M_BOM[RM_Qty_Per_Batch]*IFERROR(INDEX(PP_Grid[#Data],M_BOM[PPGridRow],95),0))+IFERROR(INDEX(M_RawMaterials[固定週次消費量_要入力],MATCH($A22,M_RawMaterials[Part Name],0)),0)</f>
        <v/>
      </c>
      <c r="CR22">
        <f>SUMPRODUCT((M_BOM[Part Name]=$A22)*M_BOM[RM_Qty_Per_Batch]*IFERROR(INDEX(PP_Grid[#Data],M_BOM[PPGridRow],96),0))+IFERROR(INDEX(M_RawMaterials[固定週次消費量_要入力],MATCH($A22,M_RawMaterials[Part Name],0)),0)</f>
        <v/>
      </c>
      <c r="CS22">
        <f>SUMPRODUCT((M_BOM[Part Name]=$A22)*M_BOM[RM_Qty_Per_Batch]*IFERROR(INDEX(PP_Grid[#Data],M_BOM[PPGridRow],97),0))+IFERROR(INDEX(M_RawMaterials[固定週次消費量_要入力],MATCH($A22,M_RawMaterials[Part Name],0)),0)</f>
        <v/>
      </c>
      <c r="CT22">
        <f>SUMPRODUCT((M_BOM[Part Name]=$A22)*M_BOM[RM_Qty_Per_Batch]*IFERROR(INDEX(PP_Grid[#Data],M_BOM[PPGridRow],98),0))+IFERROR(INDEX(M_RawMaterials[固定週次消費量_要入力],MATCH($A22,M_RawMaterials[Part Name],0)),0)</f>
        <v/>
      </c>
      <c r="CU22">
        <f>SUMPRODUCT((M_BOM[Part Name]=$A22)*M_BOM[RM_Qty_Per_Batch]*IFERROR(INDEX(PP_Grid[#Data],M_BOM[PPGridRow],99),0))+IFERROR(INDEX(M_RawMaterials[固定週次消費量_要入力],MATCH($A22,M_RawMaterials[Part Name],0)),0)</f>
        <v/>
      </c>
      <c r="CV22">
        <f>SUMPRODUCT((M_BOM[Part Name]=$A22)*M_BOM[RM_Qty_Per_Batch]*IFERROR(INDEX(PP_Grid[#Data],M_BOM[PPGridRow],100),0))+IFERROR(INDEX(M_RawMaterials[固定週次消費量_要入力],MATCH($A22,M_RawMaterials[Part Name],0)),0)</f>
        <v/>
      </c>
      <c r="CW22">
        <f>SUMPRODUCT((M_BOM[Part Name]=$A22)*M_BOM[RM_Qty_Per_Batch]*IFERROR(INDEX(PP_Grid[#Data],M_BOM[PPGridRow],101),0))+IFERROR(INDEX(M_RawMaterials[固定週次消費量_要入力],MATCH($A22,M_RawMaterials[Part Name],0)),0)</f>
        <v/>
      </c>
      <c r="CX22">
        <f>SUMPRODUCT((M_BOM[Part Name]=$A22)*M_BOM[RM_Qty_Per_Batch]*IFERROR(INDEX(PP_Grid[#Data],M_BOM[PPGridRow],102),0))+IFERROR(INDEX(M_RawMaterials[固定週次消費量_要入力],MATCH($A22,M_RawMaterials[Part Name],0)),0)</f>
        <v/>
      </c>
      <c r="CY22">
        <f>SUMPRODUCT((M_BOM[Part Name]=$A22)*M_BOM[RM_Qty_Per_Batch]*IFERROR(INDEX(PP_Grid[#Data],M_BOM[PPGridRow],103),0))+IFERROR(INDEX(M_RawMaterials[固定週次消費量_要入力],MATCH($A22,M_RawMaterials[Part Name],0)),0)</f>
        <v/>
      </c>
      <c r="CZ22">
        <f>SUMPRODUCT((M_BOM[Part Name]=$A22)*M_BOM[RM_Qty_Per_Batch]*IFERROR(INDEX(PP_Grid[#Data],M_BOM[PPGridRow],104),0))+IFERROR(INDEX(M_RawMaterials[固定週次消費量_要入力],MATCH($A22,M_RawMaterials[Part Name],0)),0)</f>
        <v/>
      </c>
      <c r="DA22">
        <f>SUMPRODUCT((M_BOM[Part Name]=$A22)*M_BOM[RM_Qty_Per_Batch]*IFERROR(INDEX(PP_Grid[#Data],M_BOM[PPGridRow],105),0))+IFERROR(INDEX(M_RawMaterials[固定週次消費量_要入力],MATCH($A22,M_RawMaterials[Part Name],0)),0)</f>
        <v/>
      </c>
    </row>
    <row r="23">
      <c r="A23" t="inlineStr">
        <is>
          <t>CHEM-1110</t>
        </is>
      </c>
      <c r="B23">
        <f>SUMPRODUCT((M_BOM[Part Name]=$A23)*M_BOM[RM_Qty_Per_Batch]*IFERROR(INDEX(PP_Grid[#Data],M_BOM[PPGridRow],2),0))+IFERROR(INDEX(M_RawMaterials[固定週次消費量_要入力],MATCH($A23,M_RawMaterials[Part Name],0)),0)</f>
        <v/>
      </c>
      <c r="C23">
        <f>SUMPRODUCT((M_BOM[Part Name]=$A23)*M_BOM[RM_Qty_Per_Batch]*IFERROR(INDEX(PP_Grid[#Data],M_BOM[PPGridRow],3),0))+IFERROR(INDEX(M_RawMaterials[固定週次消費量_要入力],MATCH($A23,M_RawMaterials[Part Name],0)),0)</f>
        <v/>
      </c>
      <c r="D23">
        <f>SUMPRODUCT((M_BOM[Part Name]=$A23)*M_BOM[RM_Qty_Per_Batch]*IFERROR(INDEX(PP_Grid[#Data],M_BOM[PPGridRow],4),0))+IFERROR(INDEX(M_RawMaterials[固定週次消費量_要入力],MATCH($A23,M_RawMaterials[Part Name],0)),0)</f>
        <v/>
      </c>
      <c r="E23">
        <f>SUMPRODUCT((M_BOM[Part Name]=$A23)*M_BOM[RM_Qty_Per_Batch]*IFERROR(INDEX(PP_Grid[#Data],M_BOM[PPGridRow],5),0))+IFERROR(INDEX(M_RawMaterials[固定週次消費量_要入力],MATCH($A23,M_RawMaterials[Part Name],0)),0)</f>
        <v/>
      </c>
      <c r="F23">
        <f>SUMPRODUCT((M_BOM[Part Name]=$A23)*M_BOM[RM_Qty_Per_Batch]*IFERROR(INDEX(PP_Grid[#Data],M_BOM[PPGridRow],6),0))+IFERROR(INDEX(M_RawMaterials[固定週次消費量_要入力],MATCH($A23,M_RawMaterials[Part Name],0)),0)</f>
        <v/>
      </c>
      <c r="G23">
        <f>SUMPRODUCT((M_BOM[Part Name]=$A23)*M_BOM[RM_Qty_Per_Batch]*IFERROR(INDEX(PP_Grid[#Data],M_BOM[PPGridRow],7),0))+IFERROR(INDEX(M_RawMaterials[固定週次消費量_要入力],MATCH($A23,M_RawMaterials[Part Name],0)),0)</f>
        <v/>
      </c>
      <c r="H23">
        <f>SUMPRODUCT((M_BOM[Part Name]=$A23)*M_BOM[RM_Qty_Per_Batch]*IFERROR(INDEX(PP_Grid[#Data],M_BOM[PPGridRow],8),0))+IFERROR(INDEX(M_RawMaterials[固定週次消費量_要入力],MATCH($A23,M_RawMaterials[Part Name],0)),0)</f>
        <v/>
      </c>
      <c r="I23">
        <f>SUMPRODUCT((M_BOM[Part Name]=$A23)*M_BOM[RM_Qty_Per_Batch]*IFERROR(INDEX(PP_Grid[#Data],M_BOM[PPGridRow],9),0))+IFERROR(INDEX(M_RawMaterials[固定週次消費量_要入力],MATCH($A23,M_RawMaterials[Part Name],0)),0)</f>
        <v/>
      </c>
      <c r="J23">
        <f>SUMPRODUCT((M_BOM[Part Name]=$A23)*M_BOM[RM_Qty_Per_Batch]*IFERROR(INDEX(PP_Grid[#Data],M_BOM[PPGridRow],10),0))+IFERROR(INDEX(M_RawMaterials[固定週次消費量_要入力],MATCH($A23,M_RawMaterials[Part Name],0)),0)</f>
        <v/>
      </c>
      <c r="K23">
        <f>SUMPRODUCT((M_BOM[Part Name]=$A23)*M_BOM[RM_Qty_Per_Batch]*IFERROR(INDEX(PP_Grid[#Data],M_BOM[PPGridRow],11),0))+IFERROR(INDEX(M_RawMaterials[固定週次消費量_要入力],MATCH($A23,M_RawMaterials[Part Name],0)),0)</f>
        <v/>
      </c>
      <c r="L23">
        <f>SUMPRODUCT((M_BOM[Part Name]=$A23)*M_BOM[RM_Qty_Per_Batch]*IFERROR(INDEX(PP_Grid[#Data],M_BOM[PPGridRow],12),0))+IFERROR(INDEX(M_RawMaterials[固定週次消費量_要入力],MATCH($A23,M_RawMaterials[Part Name],0)),0)</f>
        <v/>
      </c>
      <c r="M23">
        <f>SUMPRODUCT((M_BOM[Part Name]=$A23)*M_BOM[RM_Qty_Per_Batch]*IFERROR(INDEX(PP_Grid[#Data],M_BOM[PPGridRow],13),0))+IFERROR(INDEX(M_RawMaterials[固定週次消費量_要入力],MATCH($A23,M_RawMaterials[Part Name],0)),0)</f>
        <v/>
      </c>
      <c r="N23">
        <f>SUMPRODUCT((M_BOM[Part Name]=$A23)*M_BOM[RM_Qty_Per_Batch]*IFERROR(INDEX(PP_Grid[#Data],M_BOM[PPGridRow],14),0))+IFERROR(INDEX(M_RawMaterials[固定週次消費量_要入力],MATCH($A23,M_RawMaterials[Part Name],0)),0)</f>
        <v/>
      </c>
      <c r="O23">
        <f>SUMPRODUCT((M_BOM[Part Name]=$A23)*M_BOM[RM_Qty_Per_Batch]*IFERROR(INDEX(PP_Grid[#Data],M_BOM[PPGridRow],15),0))+IFERROR(INDEX(M_RawMaterials[固定週次消費量_要入力],MATCH($A23,M_RawMaterials[Part Name],0)),0)</f>
        <v/>
      </c>
      <c r="P23">
        <f>SUMPRODUCT((M_BOM[Part Name]=$A23)*M_BOM[RM_Qty_Per_Batch]*IFERROR(INDEX(PP_Grid[#Data],M_BOM[PPGridRow],16),0))+IFERROR(INDEX(M_RawMaterials[固定週次消費量_要入力],MATCH($A23,M_RawMaterials[Part Name],0)),0)</f>
        <v/>
      </c>
      <c r="Q23">
        <f>SUMPRODUCT((M_BOM[Part Name]=$A23)*M_BOM[RM_Qty_Per_Batch]*IFERROR(INDEX(PP_Grid[#Data],M_BOM[PPGridRow],17),0))+IFERROR(INDEX(M_RawMaterials[固定週次消費量_要入力],MATCH($A23,M_RawMaterials[Part Name],0)),0)</f>
        <v/>
      </c>
      <c r="R23">
        <f>SUMPRODUCT((M_BOM[Part Name]=$A23)*M_BOM[RM_Qty_Per_Batch]*IFERROR(INDEX(PP_Grid[#Data],M_BOM[PPGridRow],18),0))+IFERROR(INDEX(M_RawMaterials[固定週次消費量_要入力],MATCH($A23,M_RawMaterials[Part Name],0)),0)</f>
        <v/>
      </c>
      <c r="S23">
        <f>SUMPRODUCT((M_BOM[Part Name]=$A23)*M_BOM[RM_Qty_Per_Batch]*IFERROR(INDEX(PP_Grid[#Data],M_BOM[PPGridRow],19),0))+IFERROR(INDEX(M_RawMaterials[固定週次消費量_要入力],MATCH($A23,M_RawMaterials[Part Name],0)),0)</f>
        <v/>
      </c>
      <c r="T23">
        <f>SUMPRODUCT((M_BOM[Part Name]=$A23)*M_BOM[RM_Qty_Per_Batch]*IFERROR(INDEX(PP_Grid[#Data],M_BOM[PPGridRow],20),0))+IFERROR(INDEX(M_RawMaterials[固定週次消費量_要入力],MATCH($A23,M_RawMaterials[Part Name],0)),0)</f>
        <v/>
      </c>
      <c r="U23">
        <f>SUMPRODUCT((M_BOM[Part Name]=$A23)*M_BOM[RM_Qty_Per_Batch]*IFERROR(INDEX(PP_Grid[#Data],M_BOM[PPGridRow],21),0))+IFERROR(INDEX(M_RawMaterials[固定週次消費量_要入力],MATCH($A23,M_RawMaterials[Part Name],0)),0)</f>
        <v/>
      </c>
      <c r="V23">
        <f>SUMPRODUCT((M_BOM[Part Name]=$A23)*M_BOM[RM_Qty_Per_Batch]*IFERROR(INDEX(PP_Grid[#Data],M_BOM[PPGridRow],22),0))+IFERROR(INDEX(M_RawMaterials[固定週次消費量_要入力],MATCH($A23,M_RawMaterials[Part Name],0)),0)</f>
        <v/>
      </c>
      <c r="W23">
        <f>SUMPRODUCT((M_BOM[Part Name]=$A23)*M_BOM[RM_Qty_Per_Batch]*IFERROR(INDEX(PP_Grid[#Data],M_BOM[PPGridRow],23),0))+IFERROR(INDEX(M_RawMaterials[固定週次消費量_要入力],MATCH($A23,M_RawMaterials[Part Name],0)),0)</f>
        <v/>
      </c>
      <c r="X23">
        <f>SUMPRODUCT((M_BOM[Part Name]=$A23)*M_BOM[RM_Qty_Per_Batch]*IFERROR(INDEX(PP_Grid[#Data],M_BOM[PPGridRow],24),0))+IFERROR(INDEX(M_RawMaterials[固定週次消費量_要入力],MATCH($A23,M_RawMaterials[Part Name],0)),0)</f>
        <v/>
      </c>
      <c r="Y23">
        <f>SUMPRODUCT((M_BOM[Part Name]=$A23)*M_BOM[RM_Qty_Per_Batch]*IFERROR(INDEX(PP_Grid[#Data],M_BOM[PPGridRow],25),0))+IFERROR(INDEX(M_RawMaterials[固定週次消費量_要入力],MATCH($A23,M_RawMaterials[Part Name],0)),0)</f>
        <v/>
      </c>
      <c r="Z23">
        <f>SUMPRODUCT((M_BOM[Part Name]=$A23)*M_BOM[RM_Qty_Per_Batch]*IFERROR(INDEX(PP_Grid[#Data],M_BOM[PPGridRow],26),0))+IFERROR(INDEX(M_RawMaterials[固定週次消費量_要入力],MATCH($A23,M_RawMaterials[Part Name],0)),0)</f>
        <v/>
      </c>
      <c r="AA23">
        <f>SUMPRODUCT((M_BOM[Part Name]=$A23)*M_BOM[RM_Qty_Per_Batch]*IFERROR(INDEX(PP_Grid[#Data],M_BOM[PPGridRow],27),0))+IFERROR(INDEX(M_RawMaterials[固定週次消費量_要入力],MATCH($A23,M_RawMaterials[Part Name],0)),0)</f>
        <v/>
      </c>
      <c r="AB23">
        <f>SUMPRODUCT((M_BOM[Part Name]=$A23)*M_BOM[RM_Qty_Per_Batch]*IFERROR(INDEX(PP_Grid[#Data],M_BOM[PPGridRow],28),0))+IFERROR(INDEX(M_RawMaterials[固定週次消費量_要入力],MATCH($A23,M_RawMaterials[Part Name],0)),0)</f>
        <v/>
      </c>
      <c r="AC23">
        <f>SUMPRODUCT((M_BOM[Part Name]=$A23)*M_BOM[RM_Qty_Per_Batch]*IFERROR(INDEX(PP_Grid[#Data],M_BOM[PPGridRow],29),0))+IFERROR(INDEX(M_RawMaterials[固定週次消費量_要入力],MATCH($A23,M_RawMaterials[Part Name],0)),0)</f>
        <v/>
      </c>
      <c r="AD23">
        <f>SUMPRODUCT((M_BOM[Part Name]=$A23)*M_BOM[RM_Qty_Per_Batch]*IFERROR(INDEX(PP_Grid[#Data],M_BOM[PPGridRow],30),0))+IFERROR(INDEX(M_RawMaterials[固定週次消費量_要入力],MATCH($A23,M_RawMaterials[Part Name],0)),0)</f>
        <v/>
      </c>
      <c r="AE23">
        <f>SUMPRODUCT((M_BOM[Part Name]=$A23)*M_BOM[RM_Qty_Per_Batch]*IFERROR(INDEX(PP_Grid[#Data],M_BOM[PPGridRow],31),0))+IFERROR(INDEX(M_RawMaterials[固定週次消費量_要入力],MATCH($A23,M_RawMaterials[Part Name],0)),0)</f>
        <v/>
      </c>
      <c r="AF23">
        <f>SUMPRODUCT((M_BOM[Part Name]=$A23)*M_BOM[RM_Qty_Per_Batch]*IFERROR(INDEX(PP_Grid[#Data],M_BOM[PPGridRow],32),0))+IFERROR(INDEX(M_RawMaterials[固定週次消費量_要入力],MATCH($A23,M_RawMaterials[Part Name],0)),0)</f>
        <v/>
      </c>
      <c r="AG23">
        <f>SUMPRODUCT((M_BOM[Part Name]=$A23)*M_BOM[RM_Qty_Per_Batch]*IFERROR(INDEX(PP_Grid[#Data],M_BOM[PPGridRow],33),0))+IFERROR(INDEX(M_RawMaterials[固定週次消費量_要入力],MATCH($A23,M_RawMaterials[Part Name],0)),0)</f>
        <v/>
      </c>
      <c r="AH23">
        <f>SUMPRODUCT((M_BOM[Part Name]=$A23)*M_BOM[RM_Qty_Per_Batch]*IFERROR(INDEX(PP_Grid[#Data],M_BOM[PPGridRow],34),0))+IFERROR(INDEX(M_RawMaterials[固定週次消費量_要入力],MATCH($A23,M_RawMaterials[Part Name],0)),0)</f>
        <v/>
      </c>
      <c r="AI23">
        <f>SUMPRODUCT((M_BOM[Part Name]=$A23)*M_BOM[RM_Qty_Per_Batch]*IFERROR(INDEX(PP_Grid[#Data],M_BOM[PPGridRow],35),0))+IFERROR(INDEX(M_RawMaterials[固定週次消費量_要入力],MATCH($A23,M_RawMaterials[Part Name],0)),0)</f>
        <v/>
      </c>
      <c r="AJ23">
        <f>SUMPRODUCT((M_BOM[Part Name]=$A23)*M_BOM[RM_Qty_Per_Batch]*IFERROR(INDEX(PP_Grid[#Data],M_BOM[PPGridRow],36),0))+IFERROR(INDEX(M_RawMaterials[固定週次消費量_要入力],MATCH($A23,M_RawMaterials[Part Name],0)),0)</f>
        <v/>
      </c>
      <c r="AK23">
        <f>SUMPRODUCT((M_BOM[Part Name]=$A23)*M_BOM[RM_Qty_Per_Batch]*IFERROR(INDEX(PP_Grid[#Data],M_BOM[PPGridRow],37),0))+IFERROR(INDEX(M_RawMaterials[固定週次消費量_要入力],MATCH($A23,M_RawMaterials[Part Name],0)),0)</f>
        <v/>
      </c>
      <c r="AL23">
        <f>SUMPRODUCT((M_BOM[Part Name]=$A23)*M_BOM[RM_Qty_Per_Batch]*IFERROR(INDEX(PP_Grid[#Data],M_BOM[PPGridRow],38),0))+IFERROR(INDEX(M_RawMaterials[固定週次消費量_要入力],MATCH($A23,M_RawMaterials[Part Name],0)),0)</f>
        <v/>
      </c>
      <c r="AM23">
        <f>SUMPRODUCT((M_BOM[Part Name]=$A23)*M_BOM[RM_Qty_Per_Batch]*IFERROR(INDEX(PP_Grid[#Data],M_BOM[PPGridRow],39),0))+IFERROR(INDEX(M_RawMaterials[固定週次消費量_要入力],MATCH($A23,M_RawMaterials[Part Name],0)),0)</f>
        <v/>
      </c>
      <c r="AN23">
        <f>SUMPRODUCT((M_BOM[Part Name]=$A23)*M_BOM[RM_Qty_Per_Batch]*IFERROR(INDEX(PP_Grid[#Data],M_BOM[PPGridRow],40),0))+IFERROR(INDEX(M_RawMaterials[固定週次消費量_要入力],MATCH($A23,M_RawMaterials[Part Name],0)),0)</f>
        <v/>
      </c>
      <c r="AO23">
        <f>SUMPRODUCT((M_BOM[Part Name]=$A23)*M_BOM[RM_Qty_Per_Batch]*IFERROR(INDEX(PP_Grid[#Data],M_BOM[PPGridRow],41),0))+IFERROR(INDEX(M_RawMaterials[固定週次消費量_要入力],MATCH($A23,M_RawMaterials[Part Name],0)),0)</f>
        <v/>
      </c>
      <c r="AP23">
        <f>SUMPRODUCT((M_BOM[Part Name]=$A23)*M_BOM[RM_Qty_Per_Batch]*IFERROR(INDEX(PP_Grid[#Data],M_BOM[PPGridRow],42),0))+IFERROR(INDEX(M_RawMaterials[固定週次消費量_要入力],MATCH($A23,M_RawMaterials[Part Name],0)),0)</f>
        <v/>
      </c>
      <c r="AQ23">
        <f>SUMPRODUCT((M_BOM[Part Name]=$A23)*M_BOM[RM_Qty_Per_Batch]*IFERROR(INDEX(PP_Grid[#Data],M_BOM[PPGridRow],43),0))+IFERROR(INDEX(M_RawMaterials[固定週次消費量_要入力],MATCH($A23,M_RawMaterials[Part Name],0)),0)</f>
        <v/>
      </c>
      <c r="AR23">
        <f>SUMPRODUCT((M_BOM[Part Name]=$A23)*M_BOM[RM_Qty_Per_Batch]*IFERROR(INDEX(PP_Grid[#Data],M_BOM[PPGridRow],44),0))+IFERROR(INDEX(M_RawMaterials[固定週次消費量_要入力],MATCH($A23,M_RawMaterials[Part Name],0)),0)</f>
        <v/>
      </c>
      <c r="AS23">
        <f>SUMPRODUCT((M_BOM[Part Name]=$A23)*M_BOM[RM_Qty_Per_Batch]*IFERROR(INDEX(PP_Grid[#Data],M_BOM[PPGridRow],45),0))+IFERROR(INDEX(M_RawMaterials[固定週次消費量_要入力],MATCH($A23,M_RawMaterials[Part Name],0)),0)</f>
        <v/>
      </c>
      <c r="AT23">
        <f>SUMPRODUCT((M_BOM[Part Name]=$A23)*M_BOM[RM_Qty_Per_Batch]*IFERROR(INDEX(PP_Grid[#Data],M_BOM[PPGridRow],46),0))+IFERROR(INDEX(M_RawMaterials[固定週次消費量_要入力],MATCH($A23,M_RawMaterials[Part Name],0)),0)</f>
        <v/>
      </c>
      <c r="AU23">
        <f>SUMPRODUCT((M_BOM[Part Name]=$A23)*M_BOM[RM_Qty_Per_Batch]*IFERROR(INDEX(PP_Grid[#Data],M_BOM[PPGridRow],47),0))+IFERROR(INDEX(M_RawMaterials[固定週次消費量_要入力],MATCH($A23,M_RawMaterials[Part Name],0)),0)</f>
        <v/>
      </c>
      <c r="AV23">
        <f>SUMPRODUCT((M_BOM[Part Name]=$A23)*M_BOM[RM_Qty_Per_Batch]*IFERROR(INDEX(PP_Grid[#Data],M_BOM[PPGridRow],48),0))+IFERROR(INDEX(M_RawMaterials[固定週次消費量_要入力],MATCH($A23,M_RawMaterials[Part Name],0)),0)</f>
        <v/>
      </c>
      <c r="AW23">
        <f>SUMPRODUCT((M_BOM[Part Name]=$A23)*M_BOM[RM_Qty_Per_Batch]*IFERROR(INDEX(PP_Grid[#Data],M_BOM[PPGridRow],49),0))+IFERROR(INDEX(M_RawMaterials[固定週次消費量_要入力],MATCH($A23,M_RawMaterials[Part Name],0)),0)</f>
        <v/>
      </c>
      <c r="AX23">
        <f>SUMPRODUCT((M_BOM[Part Name]=$A23)*M_BOM[RM_Qty_Per_Batch]*IFERROR(INDEX(PP_Grid[#Data],M_BOM[PPGridRow],50),0))+IFERROR(INDEX(M_RawMaterials[固定週次消費量_要入力],MATCH($A23,M_RawMaterials[Part Name],0)),0)</f>
        <v/>
      </c>
      <c r="AY23">
        <f>SUMPRODUCT((M_BOM[Part Name]=$A23)*M_BOM[RM_Qty_Per_Batch]*IFERROR(INDEX(PP_Grid[#Data],M_BOM[PPGridRow],51),0))+IFERROR(INDEX(M_RawMaterials[固定週次消費量_要入力],MATCH($A23,M_RawMaterials[Part Name],0)),0)</f>
        <v/>
      </c>
      <c r="AZ23">
        <f>SUMPRODUCT((M_BOM[Part Name]=$A23)*M_BOM[RM_Qty_Per_Batch]*IFERROR(INDEX(PP_Grid[#Data],M_BOM[PPGridRow],52),0))+IFERROR(INDEX(M_RawMaterials[固定週次消費量_要入力],MATCH($A23,M_RawMaterials[Part Name],0)),0)</f>
        <v/>
      </c>
      <c r="BA23">
        <f>SUMPRODUCT((M_BOM[Part Name]=$A23)*M_BOM[RM_Qty_Per_Batch]*IFERROR(INDEX(PP_Grid[#Data],M_BOM[PPGridRow],53),0))+IFERROR(INDEX(M_RawMaterials[固定週次消費量_要入力],MATCH($A23,M_RawMaterials[Part Name],0)),0)</f>
        <v/>
      </c>
      <c r="BB23">
        <f>SUMPRODUCT((M_BOM[Part Name]=$A23)*M_BOM[RM_Qty_Per_Batch]*IFERROR(INDEX(PP_Grid[#Data],M_BOM[PPGridRow],54),0))+IFERROR(INDEX(M_RawMaterials[固定週次消費量_要入力],MATCH($A23,M_RawMaterials[Part Name],0)),0)</f>
        <v/>
      </c>
      <c r="BC23">
        <f>SUMPRODUCT((M_BOM[Part Name]=$A23)*M_BOM[RM_Qty_Per_Batch]*IFERROR(INDEX(PP_Grid[#Data],M_BOM[PPGridRow],55),0))+IFERROR(INDEX(M_RawMaterials[固定週次消費量_要入力],MATCH($A23,M_RawMaterials[Part Name],0)),0)</f>
        <v/>
      </c>
      <c r="BD23">
        <f>SUMPRODUCT((M_BOM[Part Name]=$A23)*M_BOM[RM_Qty_Per_Batch]*IFERROR(INDEX(PP_Grid[#Data],M_BOM[PPGridRow],56),0))+IFERROR(INDEX(M_RawMaterials[固定週次消費量_要入力],MATCH($A23,M_RawMaterials[Part Name],0)),0)</f>
        <v/>
      </c>
      <c r="BE23">
        <f>SUMPRODUCT((M_BOM[Part Name]=$A23)*M_BOM[RM_Qty_Per_Batch]*IFERROR(INDEX(PP_Grid[#Data],M_BOM[PPGridRow],57),0))+IFERROR(INDEX(M_RawMaterials[固定週次消費量_要入力],MATCH($A23,M_RawMaterials[Part Name],0)),0)</f>
        <v/>
      </c>
      <c r="BF23">
        <f>SUMPRODUCT((M_BOM[Part Name]=$A23)*M_BOM[RM_Qty_Per_Batch]*IFERROR(INDEX(PP_Grid[#Data],M_BOM[PPGridRow],58),0))+IFERROR(INDEX(M_RawMaterials[固定週次消費量_要入力],MATCH($A23,M_RawMaterials[Part Name],0)),0)</f>
        <v/>
      </c>
      <c r="BG23">
        <f>SUMPRODUCT((M_BOM[Part Name]=$A23)*M_BOM[RM_Qty_Per_Batch]*IFERROR(INDEX(PP_Grid[#Data],M_BOM[PPGridRow],59),0))+IFERROR(INDEX(M_RawMaterials[固定週次消費量_要入力],MATCH($A23,M_RawMaterials[Part Name],0)),0)</f>
        <v/>
      </c>
      <c r="BH23">
        <f>SUMPRODUCT((M_BOM[Part Name]=$A23)*M_BOM[RM_Qty_Per_Batch]*IFERROR(INDEX(PP_Grid[#Data],M_BOM[PPGridRow],60),0))+IFERROR(INDEX(M_RawMaterials[固定週次消費量_要入力],MATCH($A23,M_RawMaterials[Part Name],0)),0)</f>
        <v/>
      </c>
      <c r="BI23">
        <f>SUMPRODUCT((M_BOM[Part Name]=$A23)*M_BOM[RM_Qty_Per_Batch]*IFERROR(INDEX(PP_Grid[#Data],M_BOM[PPGridRow],61),0))+IFERROR(INDEX(M_RawMaterials[固定週次消費量_要入力],MATCH($A23,M_RawMaterials[Part Name],0)),0)</f>
        <v/>
      </c>
      <c r="BJ23">
        <f>SUMPRODUCT((M_BOM[Part Name]=$A23)*M_BOM[RM_Qty_Per_Batch]*IFERROR(INDEX(PP_Grid[#Data],M_BOM[PPGridRow],62),0))+IFERROR(INDEX(M_RawMaterials[固定週次消費量_要入力],MATCH($A23,M_RawMaterials[Part Name],0)),0)</f>
        <v/>
      </c>
      <c r="BK23">
        <f>SUMPRODUCT((M_BOM[Part Name]=$A23)*M_BOM[RM_Qty_Per_Batch]*IFERROR(INDEX(PP_Grid[#Data],M_BOM[PPGridRow],63),0))+IFERROR(INDEX(M_RawMaterials[固定週次消費量_要入力],MATCH($A23,M_RawMaterials[Part Name],0)),0)</f>
        <v/>
      </c>
      <c r="BL23">
        <f>SUMPRODUCT((M_BOM[Part Name]=$A23)*M_BOM[RM_Qty_Per_Batch]*IFERROR(INDEX(PP_Grid[#Data],M_BOM[PPGridRow],64),0))+IFERROR(INDEX(M_RawMaterials[固定週次消費量_要入力],MATCH($A23,M_RawMaterials[Part Name],0)),0)</f>
        <v/>
      </c>
      <c r="BM23">
        <f>SUMPRODUCT((M_BOM[Part Name]=$A23)*M_BOM[RM_Qty_Per_Batch]*IFERROR(INDEX(PP_Grid[#Data],M_BOM[PPGridRow],65),0))+IFERROR(INDEX(M_RawMaterials[固定週次消費量_要入力],MATCH($A23,M_RawMaterials[Part Name],0)),0)</f>
        <v/>
      </c>
      <c r="BN23">
        <f>SUMPRODUCT((M_BOM[Part Name]=$A23)*M_BOM[RM_Qty_Per_Batch]*IFERROR(INDEX(PP_Grid[#Data],M_BOM[PPGridRow],66),0))+IFERROR(INDEX(M_RawMaterials[固定週次消費量_要入力],MATCH($A23,M_RawMaterials[Part Name],0)),0)</f>
        <v/>
      </c>
      <c r="BO23">
        <f>SUMPRODUCT((M_BOM[Part Name]=$A23)*M_BOM[RM_Qty_Per_Batch]*IFERROR(INDEX(PP_Grid[#Data],M_BOM[PPGridRow],67),0))+IFERROR(INDEX(M_RawMaterials[固定週次消費量_要入力],MATCH($A23,M_RawMaterials[Part Name],0)),0)</f>
        <v/>
      </c>
      <c r="BP23">
        <f>SUMPRODUCT((M_BOM[Part Name]=$A23)*M_BOM[RM_Qty_Per_Batch]*IFERROR(INDEX(PP_Grid[#Data],M_BOM[PPGridRow],68),0))+IFERROR(INDEX(M_RawMaterials[固定週次消費量_要入力],MATCH($A23,M_RawMaterials[Part Name],0)),0)</f>
        <v/>
      </c>
      <c r="BQ23">
        <f>SUMPRODUCT((M_BOM[Part Name]=$A23)*M_BOM[RM_Qty_Per_Batch]*IFERROR(INDEX(PP_Grid[#Data],M_BOM[PPGridRow],69),0))+IFERROR(INDEX(M_RawMaterials[固定週次消費量_要入力],MATCH($A23,M_RawMaterials[Part Name],0)),0)</f>
        <v/>
      </c>
      <c r="BR23">
        <f>SUMPRODUCT((M_BOM[Part Name]=$A23)*M_BOM[RM_Qty_Per_Batch]*IFERROR(INDEX(PP_Grid[#Data],M_BOM[PPGridRow],70),0))+IFERROR(INDEX(M_RawMaterials[固定週次消費量_要入力],MATCH($A23,M_RawMaterials[Part Name],0)),0)</f>
        <v/>
      </c>
      <c r="BS23">
        <f>SUMPRODUCT((M_BOM[Part Name]=$A23)*M_BOM[RM_Qty_Per_Batch]*IFERROR(INDEX(PP_Grid[#Data],M_BOM[PPGridRow],71),0))+IFERROR(INDEX(M_RawMaterials[固定週次消費量_要入力],MATCH($A23,M_RawMaterials[Part Name],0)),0)</f>
        <v/>
      </c>
      <c r="BT23">
        <f>SUMPRODUCT((M_BOM[Part Name]=$A23)*M_BOM[RM_Qty_Per_Batch]*IFERROR(INDEX(PP_Grid[#Data],M_BOM[PPGridRow],72),0))+IFERROR(INDEX(M_RawMaterials[固定週次消費量_要入力],MATCH($A23,M_RawMaterials[Part Name],0)),0)</f>
        <v/>
      </c>
      <c r="BU23">
        <f>SUMPRODUCT((M_BOM[Part Name]=$A23)*M_BOM[RM_Qty_Per_Batch]*IFERROR(INDEX(PP_Grid[#Data],M_BOM[PPGridRow],73),0))+IFERROR(INDEX(M_RawMaterials[固定週次消費量_要入力],MATCH($A23,M_RawMaterials[Part Name],0)),0)</f>
        <v/>
      </c>
      <c r="BV23">
        <f>SUMPRODUCT((M_BOM[Part Name]=$A23)*M_BOM[RM_Qty_Per_Batch]*IFERROR(INDEX(PP_Grid[#Data],M_BOM[PPGridRow],74),0))+IFERROR(INDEX(M_RawMaterials[固定週次消費量_要入力],MATCH($A23,M_RawMaterials[Part Name],0)),0)</f>
        <v/>
      </c>
      <c r="BW23">
        <f>SUMPRODUCT((M_BOM[Part Name]=$A23)*M_BOM[RM_Qty_Per_Batch]*IFERROR(INDEX(PP_Grid[#Data],M_BOM[PPGridRow],75),0))+IFERROR(INDEX(M_RawMaterials[固定週次消費量_要入力],MATCH($A23,M_RawMaterials[Part Name],0)),0)</f>
        <v/>
      </c>
      <c r="BX23">
        <f>SUMPRODUCT((M_BOM[Part Name]=$A23)*M_BOM[RM_Qty_Per_Batch]*IFERROR(INDEX(PP_Grid[#Data],M_BOM[PPGridRow],76),0))+IFERROR(INDEX(M_RawMaterials[固定週次消費量_要入力],MATCH($A23,M_RawMaterials[Part Name],0)),0)</f>
        <v/>
      </c>
      <c r="BY23">
        <f>SUMPRODUCT((M_BOM[Part Name]=$A23)*M_BOM[RM_Qty_Per_Batch]*IFERROR(INDEX(PP_Grid[#Data],M_BOM[PPGridRow],77),0))+IFERROR(INDEX(M_RawMaterials[固定週次消費量_要入力],MATCH($A23,M_RawMaterials[Part Name],0)),0)</f>
        <v/>
      </c>
      <c r="BZ23">
        <f>SUMPRODUCT((M_BOM[Part Name]=$A23)*M_BOM[RM_Qty_Per_Batch]*IFERROR(INDEX(PP_Grid[#Data],M_BOM[PPGridRow],78),0))+IFERROR(INDEX(M_RawMaterials[固定週次消費量_要入力],MATCH($A23,M_RawMaterials[Part Name],0)),0)</f>
        <v/>
      </c>
      <c r="CA23">
        <f>SUMPRODUCT((M_BOM[Part Name]=$A23)*M_BOM[RM_Qty_Per_Batch]*IFERROR(INDEX(PP_Grid[#Data],M_BOM[PPGridRow],79),0))+IFERROR(INDEX(M_RawMaterials[固定週次消費量_要入力],MATCH($A23,M_RawMaterials[Part Name],0)),0)</f>
        <v/>
      </c>
      <c r="CB23">
        <f>SUMPRODUCT((M_BOM[Part Name]=$A23)*M_BOM[RM_Qty_Per_Batch]*IFERROR(INDEX(PP_Grid[#Data],M_BOM[PPGridRow],80),0))+IFERROR(INDEX(M_RawMaterials[固定週次消費量_要入力],MATCH($A23,M_RawMaterials[Part Name],0)),0)</f>
        <v/>
      </c>
      <c r="CC23">
        <f>SUMPRODUCT((M_BOM[Part Name]=$A23)*M_BOM[RM_Qty_Per_Batch]*IFERROR(INDEX(PP_Grid[#Data],M_BOM[PPGridRow],81),0))+IFERROR(INDEX(M_RawMaterials[固定週次消費量_要入力],MATCH($A23,M_RawMaterials[Part Name],0)),0)</f>
        <v/>
      </c>
      <c r="CD23">
        <f>SUMPRODUCT((M_BOM[Part Name]=$A23)*M_BOM[RM_Qty_Per_Batch]*IFERROR(INDEX(PP_Grid[#Data],M_BOM[PPGridRow],82),0))+IFERROR(INDEX(M_RawMaterials[固定週次消費量_要入力],MATCH($A23,M_RawMaterials[Part Name],0)),0)</f>
        <v/>
      </c>
      <c r="CE23">
        <f>SUMPRODUCT((M_BOM[Part Name]=$A23)*M_BOM[RM_Qty_Per_Batch]*IFERROR(INDEX(PP_Grid[#Data],M_BOM[PPGridRow],83),0))+IFERROR(INDEX(M_RawMaterials[固定週次消費量_要入力],MATCH($A23,M_RawMaterials[Part Name],0)),0)</f>
        <v/>
      </c>
      <c r="CF23">
        <f>SUMPRODUCT((M_BOM[Part Name]=$A23)*M_BOM[RM_Qty_Per_Batch]*IFERROR(INDEX(PP_Grid[#Data],M_BOM[PPGridRow],84),0))+IFERROR(INDEX(M_RawMaterials[固定週次消費量_要入力],MATCH($A23,M_RawMaterials[Part Name],0)),0)</f>
        <v/>
      </c>
      <c r="CG23">
        <f>SUMPRODUCT((M_BOM[Part Name]=$A23)*M_BOM[RM_Qty_Per_Batch]*IFERROR(INDEX(PP_Grid[#Data],M_BOM[PPGridRow],85),0))+IFERROR(INDEX(M_RawMaterials[固定週次消費量_要入力],MATCH($A23,M_RawMaterials[Part Name],0)),0)</f>
        <v/>
      </c>
      <c r="CH23">
        <f>SUMPRODUCT((M_BOM[Part Name]=$A23)*M_BOM[RM_Qty_Per_Batch]*IFERROR(INDEX(PP_Grid[#Data],M_BOM[PPGridRow],86),0))+IFERROR(INDEX(M_RawMaterials[固定週次消費量_要入力],MATCH($A23,M_RawMaterials[Part Name],0)),0)</f>
        <v/>
      </c>
      <c r="CI23">
        <f>SUMPRODUCT((M_BOM[Part Name]=$A23)*M_BOM[RM_Qty_Per_Batch]*IFERROR(INDEX(PP_Grid[#Data],M_BOM[PPGridRow],87),0))+IFERROR(INDEX(M_RawMaterials[固定週次消費量_要入力],MATCH($A23,M_RawMaterials[Part Name],0)),0)</f>
        <v/>
      </c>
      <c r="CJ23">
        <f>SUMPRODUCT((M_BOM[Part Name]=$A23)*M_BOM[RM_Qty_Per_Batch]*IFERROR(INDEX(PP_Grid[#Data],M_BOM[PPGridRow],88),0))+IFERROR(INDEX(M_RawMaterials[固定週次消費量_要入力],MATCH($A23,M_RawMaterials[Part Name],0)),0)</f>
        <v/>
      </c>
      <c r="CK23">
        <f>SUMPRODUCT((M_BOM[Part Name]=$A23)*M_BOM[RM_Qty_Per_Batch]*IFERROR(INDEX(PP_Grid[#Data],M_BOM[PPGridRow],89),0))+IFERROR(INDEX(M_RawMaterials[固定週次消費量_要入力],MATCH($A23,M_RawMaterials[Part Name],0)),0)</f>
        <v/>
      </c>
      <c r="CL23">
        <f>SUMPRODUCT((M_BOM[Part Name]=$A23)*M_BOM[RM_Qty_Per_Batch]*IFERROR(INDEX(PP_Grid[#Data],M_BOM[PPGridRow],90),0))+IFERROR(INDEX(M_RawMaterials[固定週次消費量_要入力],MATCH($A23,M_RawMaterials[Part Name],0)),0)</f>
        <v/>
      </c>
      <c r="CM23">
        <f>SUMPRODUCT((M_BOM[Part Name]=$A23)*M_BOM[RM_Qty_Per_Batch]*IFERROR(INDEX(PP_Grid[#Data],M_BOM[PPGridRow],91),0))+IFERROR(INDEX(M_RawMaterials[固定週次消費量_要入力],MATCH($A23,M_RawMaterials[Part Name],0)),0)</f>
        <v/>
      </c>
      <c r="CN23">
        <f>SUMPRODUCT((M_BOM[Part Name]=$A23)*M_BOM[RM_Qty_Per_Batch]*IFERROR(INDEX(PP_Grid[#Data],M_BOM[PPGridRow],92),0))+IFERROR(INDEX(M_RawMaterials[固定週次消費量_要入力],MATCH($A23,M_RawMaterials[Part Name],0)),0)</f>
        <v/>
      </c>
      <c r="CO23">
        <f>SUMPRODUCT((M_BOM[Part Name]=$A23)*M_BOM[RM_Qty_Per_Batch]*IFERROR(INDEX(PP_Grid[#Data],M_BOM[PPGridRow],93),0))+IFERROR(INDEX(M_RawMaterials[固定週次消費量_要入力],MATCH($A23,M_RawMaterials[Part Name],0)),0)</f>
        <v/>
      </c>
      <c r="CP23">
        <f>SUMPRODUCT((M_BOM[Part Name]=$A23)*M_BOM[RM_Qty_Per_Batch]*IFERROR(INDEX(PP_Grid[#Data],M_BOM[PPGridRow],94),0))+IFERROR(INDEX(M_RawMaterials[固定週次消費量_要入力],MATCH($A23,M_RawMaterials[Part Name],0)),0)</f>
        <v/>
      </c>
      <c r="CQ23">
        <f>SUMPRODUCT((M_BOM[Part Name]=$A23)*M_BOM[RM_Qty_Per_Batch]*IFERROR(INDEX(PP_Grid[#Data],M_BOM[PPGridRow],95),0))+IFERROR(INDEX(M_RawMaterials[固定週次消費量_要入力],MATCH($A23,M_RawMaterials[Part Name],0)),0)</f>
        <v/>
      </c>
      <c r="CR23">
        <f>SUMPRODUCT((M_BOM[Part Name]=$A23)*M_BOM[RM_Qty_Per_Batch]*IFERROR(INDEX(PP_Grid[#Data],M_BOM[PPGridRow],96),0))+IFERROR(INDEX(M_RawMaterials[固定週次消費量_要入力],MATCH($A23,M_RawMaterials[Part Name],0)),0)</f>
        <v/>
      </c>
      <c r="CS23">
        <f>SUMPRODUCT((M_BOM[Part Name]=$A23)*M_BOM[RM_Qty_Per_Batch]*IFERROR(INDEX(PP_Grid[#Data],M_BOM[PPGridRow],97),0))+IFERROR(INDEX(M_RawMaterials[固定週次消費量_要入力],MATCH($A23,M_RawMaterials[Part Name],0)),0)</f>
        <v/>
      </c>
      <c r="CT23">
        <f>SUMPRODUCT((M_BOM[Part Name]=$A23)*M_BOM[RM_Qty_Per_Batch]*IFERROR(INDEX(PP_Grid[#Data],M_BOM[PPGridRow],98),0))+IFERROR(INDEX(M_RawMaterials[固定週次消費量_要入力],MATCH($A23,M_RawMaterials[Part Name],0)),0)</f>
        <v/>
      </c>
      <c r="CU23">
        <f>SUMPRODUCT((M_BOM[Part Name]=$A23)*M_BOM[RM_Qty_Per_Batch]*IFERROR(INDEX(PP_Grid[#Data],M_BOM[PPGridRow],99),0))+IFERROR(INDEX(M_RawMaterials[固定週次消費量_要入力],MATCH($A23,M_RawMaterials[Part Name],0)),0)</f>
        <v/>
      </c>
      <c r="CV23">
        <f>SUMPRODUCT((M_BOM[Part Name]=$A23)*M_BOM[RM_Qty_Per_Batch]*IFERROR(INDEX(PP_Grid[#Data],M_BOM[PPGridRow],100),0))+IFERROR(INDEX(M_RawMaterials[固定週次消費量_要入力],MATCH($A23,M_RawMaterials[Part Name],0)),0)</f>
        <v/>
      </c>
      <c r="CW23">
        <f>SUMPRODUCT((M_BOM[Part Name]=$A23)*M_BOM[RM_Qty_Per_Batch]*IFERROR(INDEX(PP_Grid[#Data],M_BOM[PPGridRow],101),0))+IFERROR(INDEX(M_RawMaterials[固定週次消費量_要入力],MATCH($A23,M_RawMaterials[Part Name],0)),0)</f>
        <v/>
      </c>
      <c r="CX23">
        <f>SUMPRODUCT((M_BOM[Part Name]=$A23)*M_BOM[RM_Qty_Per_Batch]*IFERROR(INDEX(PP_Grid[#Data],M_BOM[PPGridRow],102),0))+IFERROR(INDEX(M_RawMaterials[固定週次消費量_要入力],MATCH($A23,M_RawMaterials[Part Name],0)),0)</f>
        <v/>
      </c>
      <c r="CY23">
        <f>SUMPRODUCT((M_BOM[Part Name]=$A23)*M_BOM[RM_Qty_Per_Batch]*IFERROR(INDEX(PP_Grid[#Data],M_BOM[PPGridRow],103),0))+IFERROR(INDEX(M_RawMaterials[固定週次消費量_要入力],MATCH($A23,M_RawMaterials[Part Name],0)),0)</f>
        <v/>
      </c>
      <c r="CZ23">
        <f>SUMPRODUCT((M_BOM[Part Name]=$A23)*M_BOM[RM_Qty_Per_Batch]*IFERROR(INDEX(PP_Grid[#Data],M_BOM[PPGridRow],104),0))+IFERROR(INDEX(M_RawMaterials[固定週次消費量_要入力],MATCH($A23,M_RawMaterials[Part Name],0)),0)</f>
        <v/>
      </c>
      <c r="DA23">
        <f>SUMPRODUCT((M_BOM[Part Name]=$A23)*M_BOM[RM_Qty_Per_Batch]*IFERROR(INDEX(PP_Grid[#Data],M_BOM[PPGridRow],105),0))+IFERROR(INDEX(M_RawMaterials[固定週次消費量_要入力],MATCH($A23,M_RawMaterials[Part Name],0)),0)</f>
        <v/>
      </c>
    </row>
    <row r="24">
      <c r="A24" t="inlineStr">
        <is>
          <t>CHEM-1240</t>
        </is>
      </c>
      <c r="B24">
        <f>SUMPRODUCT((M_BOM[Part Name]=$A24)*M_BOM[RM_Qty_Per_Batch]*IFERROR(INDEX(PP_Grid[#Data],M_BOM[PPGridRow],2),0))+IFERROR(INDEX(M_RawMaterials[固定週次消費量_要入力],MATCH($A24,M_RawMaterials[Part Name],0)),0)</f>
        <v/>
      </c>
      <c r="C24">
        <f>SUMPRODUCT((M_BOM[Part Name]=$A24)*M_BOM[RM_Qty_Per_Batch]*IFERROR(INDEX(PP_Grid[#Data],M_BOM[PPGridRow],3),0))+IFERROR(INDEX(M_RawMaterials[固定週次消費量_要入力],MATCH($A24,M_RawMaterials[Part Name],0)),0)</f>
        <v/>
      </c>
      <c r="D24">
        <f>SUMPRODUCT((M_BOM[Part Name]=$A24)*M_BOM[RM_Qty_Per_Batch]*IFERROR(INDEX(PP_Grid[#Data],M_BOM[PPGridRow],4),0))+IFERROR(INDEX(M_RawMaterials[固定週次消費量_要入力],MATCH($A24,M_RawMaterials[Part Name],0)),0)</f>
        <v/>
      </c>
      <c r="E24">
        <f>SUMPRODUCT((M_BOM[Part Name]=$A24)*M_BOM[RM_Qty_Per_Batch]*IFERROR(INDEX(PP_Grid[#Data],M_BOM[PPGridRow],5),0))+IFERROR(INDEX(M_RawMaterials[固定週次消費量_要入力],MATCH($A24,M_RawMaterials[Part Name],0)),0)</f>
        <v/>
      </c>
      <c r="F24">
        <f>SUMPRODUCT((M_BOM[Part Name]=$A24)*M_BOM[RM_Qty_Per_Batch]*IFERROR(INDEX(PP_Grid[#Data],M_BOM[PPGridRow],6),0))+IFERROR(INDEX(M_RawMaterials[固定週次消費量_要入力],MATCH($A24,M_RawMaterials[Part Name],0)),0)</f>
        <v/>
      </c>
      <c r="G24">
        <f>SUMPRODUCT((M_BOM[Part Name]=$A24)*M_BOM[RM_Qty_Per_Batch]*IFERROR(INDEX(PP_Grid[#Data],M_BOM[PPGridRow],7),0))+IFERROR(INDEX(M_RawMaterials[固定週次消費量_要入力],MATCH($A24,M_RawMaterials[Part Name],0)),0)</f>
        <v/>
      </c>
      <c r="H24">
        <f>SUMPRODUCT((M_BOM[Part Name]=$A24)*M_BOM[RM_Qty_Per_Batch]*IFERROR(INDEX(PP_Grid[#Data],M_BOM[PPGridRow],8),0))+IFERROR(INDEX(M_RawMaterials[固定週次消費量_要入力],MATCH($A24,M_RawMaterials[Part Name],0)),0)</f>
        <v/>
      </c>
      <c r="I24">
        <f>SUMPRODUCT((M_BOM[Part Name]=$A24)*M_BOM[RM_Qty_Per_Batch]*IFERROR(INDEX(PP_Grid[#Data],M_BOM[PPGridRow],9),0))+IFERROR(INDEX(M_RawMaterials[固定週次消費量_要入力],MATCH($A24,M_RawMaterials[Part Name],0)),0)</f>
        <v/>
      </c>
      <c r="J24">
        <f>SUMPRODUCT((M_BOM[Part Name]=$A24)*M_BOM[RM_Qty_Per_Batch]*IFERROR(INDEX(PP_Grid[#Data],M_BOM[PPGridRow],10),0))+IFERROR(INDEX(M_RawMaterials[固定週次消費量_要入力],MATCH($A24,M_RawMaterials[Part Name],0)),0)</f>
        <v/>
      </c>
      <c r="K24">
        <f>SUMPRODUCT((M_BOM[Part Name]=$A24)*M_BOM[RM_Qty_Per_Batch]*IFERROR(INDEX(PP_Grid[#Data],M_BOM[PPGridRow],11),0))+IFERROR(INDEX(M_RawMaterials[固定週次消費量_要入力],MATCH($A24,M_RawMaterials[Part Name],0)),0)</f>
        <v/>
      </c>
      <c r="L24">
        <f>SUMPRODUCT((M_BOM[Part Name]=$A24)*M_BOM[RM_Qty_Per_Batch]*IFERROR(INDEX(PP_Grid[#Data],M_BOM[PPGridRow],12),0))+IFERROR(INDEX(M_RawMaterials[固定週次消費量_要入力],MATCH($A24,M_RawMaterials[Part Name],0)),0)</f>
        <v/>
      </c>
      <c r="M24">
        <f>SUMPRODUCT((M_BOM[Part Name]=$A24)*M_BOM[RM_Qty_Per_Batch]*IFERROR(INDEX(PP_Grid[#Data],M_BOM[PPGridRow],13),0))+IFERROR(INDEX(M_RawMaterials[固定週次消費量_要入力],MATCH($A24,M_RawMaterials[Part Name],0)),0)</f>
        <v/>
      </c>
      <c r="N24">
        <f>SUMPRODUCT((M_BOM[Part Name]=$A24)*M_BOM[RM_Qty_Per_Batch]*IFERROR(INDEX(PP_Grid[#Data],M_BOM[PPGridRow],14),0))+IFERROR(INDEX(M_RawMaterials[固定週次消費量_要入力],MATCH($A24,M_RawMaterials[Part Name],0)),0)</f>
        <v/>
      </c>
      <c r="O24">
        <f>SUMPRODUCT((M_BOM[Part Name]=$A24)*M_BOM[RM_Qty_Per_Batch]*IFERROR(INDEX(PP_Grid[#Data],M_BOM[PPGridRow],15),0))+IFERROR(INDEX(M_RawMaterials[固定週次消費量_要入力],MATCH($A24,M_RawMaterials[Part Name],0)),0)</f>
        <v/>
      </c>
      <c r="P24">
        <f>SUMPRODUCT((M_BOM[Part Name]=$A24)*M_BOM[RM_Qty_Per_Batch]*IFERROR(INDEX(PP_Grid[#Data],M_BOM[PPGridRow],16),0))+IFERROR(INDEX(M_RawMaterials[固定週次消費量_要入力],MATCH($A24,M_RawMaterials[Part Name],0)),0)</f>
        <v/>
      </c>
      <c r="Q24">
        <f>SUMPRODUCT((M_BOM[Part Name]=$A24)*M_BOM[RM_Qty_Per_Batch]*IFERROR(INDEX(PP_Grid[#Data],M_BOM[PPGridRow],17),0))+IFERROR(INDEX(M_RawMaterials[固定週次消費量_要入力],MATCH($A24,M_RawMaterials[Part Name],0)),0)</f>
        <v/>
      </c>
      <c r="R24">
        <f>SUMPRODUCT((M_BOM[Part Name]=$A24)*M_BOM[RM_Qty_Per_Batch]*IFERROR(INDEX(PP_Grid[#Data],M_BOM[PPGridRow],18),0))+IFERROR(INDEX(M_RawMaterials[固定週次消費量_要入力],MATCH($A24,M_RawMaterials[Part Name],0)),0)</f>
        <v/>
      </c>
      <c r="S24">
        <f>SUMPRODUCT((M_BOM[Part Name]=$A24)*M_BOM[RM_Qty_Per_Batch]*IFERROR(INDEX(PP_Grid[#Data],M_BOM[PPGridRow],19),0))+IFERROR(INDEX(M_RawMaterials[固定週次消費量_要入力],MATCH($A24,M_RawMaterials[Part Name],0)),0)</f>
        <v/>
      </c>
      <c r="T24">
        <f>SUMPRODUCT((M_BOM[Part Name]=$A24)*M_BOM[RM_Qty_Per_Batch]*IFERROR(INDEX(PP_Grid[#Data],M_BOM[PPGridRow],20),0))+IFERROR(INDEX(M_RawMaterials[固定週次消費量_要入力],MATCH($A24,M_RawMaterials[Part Name],0)),0)</f>
        <v/>
      </c>
      <c r="U24">
        <f>SUMPRODUCT((M_BOM[Part Name]=$A24)*M_BOM[RM_Qty_Per_Batch]*IFERROR(INDEX(PP_Grid[#Data],M_BOM[PPGridRow],21),0))+IFERROR(INDEX(M_RawMaterials[固定週次消費量_要入力],MATCH($A24,M_RawMaterials[Part Name],0)),0)</f>
        <v/>
      </c>
      <c r="V24">
        <f>SUMPRODUCT((M_BOM[Part Name]=$A24)*M_BOM[RM_Qty_Per_Batch]*IFERROR(INDEX(PP_Grid[#Data],M_BOM[PPGridRow],22),0))+IFERROR(INDEX(M_RawMaterials[固定週次消費量_要入力],MATCH($A24,M_RawMaterials[Part Name],0)),0)</f>
        <v/>
      </c>
      <c r="W24">
        <f>SUMPRODUCT((M_BOM[Part Name]=$A24)*M_BOM[RM_Qty_Per_Batch]*IFERROR(INDEX(PP_Grid[#Data],M_BOM[PPGridRow],23),0))+IFERROR(INDEX(M_RawMaterials[固定週次消費量_要入力],MATCH($A24,M_RawMaterials[Part Name],0)),0)</f>
        <v/>
      </c>
      <c r="X24">
        <f>SUMPRODUCT((M_BOM[Part Name]=$A24)*M_BOM[RM_Qty_Per_Batch]*IFERROR(INDEX(PP_Grid[#Data],M_BOM[PPGridRow],24),0))+IFERROR(INDEX(M_RawMaterials[固定週次消費量_要入力],MATCH($A24,M_RawMaterials[Part Name],0)),0)</f>
        <v/>
      </c>
      <c r="Y24">
        <f>SUMPRODUCT((M_BOM[Part Name]=$A24)*M_BOM[RM_Qty_Per_Batch]*IFERROR(INDEX(PP_Grid[#Data],M_BOM[PPGridRow],25),0))+IFERROR(INDEX(M_RawMaterials[固定週次消費量_要入力],MATCH($A24,M_RawMaterials[Part Name],0)),0)</f>
        <v/>
      </c>
      <c r="Z24">
        <f>SUMPRODUCT((M_BOM[Part Name]=$A24)*M_BOM[RM_Qty_Per_Batch]*IFERROR(INDEX(PP_Grid[#Data],M_BOM[PPGridRow],26),0))+IFERROR(INDEX(M_RawMaterials[固定週次消費量_要入力],MATCH($A24,M_RawMaterials[Part Name],0)),0)</f>
        <v/>
      </c>
      <c r="AA24">
        <f>SUMPRODUCT((M_BOM[Part Name]=$A24)*M_BOM[RM_Qty_Per_Batch]*IFERROR(INDEX(PP_Grid[#Data],M_BOM[PPGridRow],27),0))+IFERROR(INDEX(M_RawMaterials[固定週次消費量_要入力],MATCH($A24,M_RawMaterials[Part Name],0)),0)</f>
        <v/>
      </c>
      <c r="AB24">
        <f>SUMPRODUCT((M_BOM[Part Name]=$A24)*M_BOM[RM_Qty_Per_Batch]*IFERROR(INDEX(PP_Grid[#Data],M_BOM[PPGridRow],28),0))+IFERROR(INDEX(M_RawMaterials[固定週次消費量_要入力],MATCH($A24,M_RawMaterials[Part Name],0)),0)</f>
        <v/>
      </c>
      <c r="AC24">
        <f>SUMPRODUCT((M_BOM[Part Name]=$A24)*M_BOM[RM_Qty_Per_Batch]*IFERROR(INDEX(PP_Grid[#Data],M_BOM[PPGridRow],29),0))+IFERROR(INDEX(M_RawMaterials[固定週次消費量_要入力],MATCH($A24,M_RawMaterials[Part Name],0)),0)</f>
        <v/>
      </c>
      <c r="AD24">
        <f>SUMPRODUCT((M_BOM[Part Name]=$A24)*M_BOM[RM_Qty_Per_Batch]*IFERROR(INDEX(PP_Grid[#Data],M_BOM[PPGridRow],30),0))+IFERROR(INDEX(M_RawMaterials[固定週次消費量_要入力],MATCH($A24,M_RawMaterials[Part Name],0)),0)</f>
        <v/>
      </c>
      <c r="AE24">
        <f>SUMPRODUCT((M_BOM[Part Name]=$A24)*M_BOM[RM_Qty_Per_Batch]*IFERROR(INDEX(PP_Grid[#Data],M_BOM[PPGridRow],31),0))+IFERROR(INDEX(M_RawMaterials[固定週次消費量_要入力],MATCH($A24,M_RawMaterials[Part Name],0)),0)</f>
        <v/>
      </c>
      <c r="AF24">
        <f>SUMPRODUCT((M_BOM[Part Name]=$A24)*M_BOM[RM_Qty_Per_Batch]*IFERROR(INDEX(PP_Grid[#Data],M_BOM[PPGridRow],32),0))+IFERROR(INDEX(M_RawMaterials[固定週次消費量_要入力],MATCH($A24,M_RawMaterials[Part Name],0)),0)</f>
        <v/>
      </c>
      <c r="AG24">
        <f>SUMPRODUCT((M_BOM[Part Name]=$A24)*M_BOM[RM_Qty_Per_Batch]*IFERROR(INDEX(PP_Grid[#Data],M_BOM[PPGridRow],33),0))+IFERROR(INDEX(M_RawMaterials[固定週次消費量_要入力],MATCH($A24,M_RawMaterials[Part Name],0)),0)</f>
        <v/>
      </c>
      <c r="AH24">
        <f>SUMPRODUCT((M_BOM[Part Name]=$A24)*M_BOM[RM_Qty_Per_Batch]*IFERROR(INDEX(PP_Grid[#Data],M_BOM[PPGridRow],34),0))+IFERROR(INDEX(M_RawMaterials[固定週次消費量_要入力],MATCH($A24,M_RawMaterials[Part Name],0)),0)</f>
        <v/>
      </c>
      <c r="AI24">
        <f>SUMPRODUCT((M_BOM[Part Name]=$A24)*M_BOM[RM_Qty_Per_Batch]*IFERROR(INDEX(PP_Grid[#Data],M_BOM[PPGridRow],35),0))+IFERROR(INDEX(M_RawMaterials[固定週次消費量_要入力],MATCH($A24,M_RawMaterials[Part Name],0)),0)</f>
        <v/>
      </c>
      <c r="AJ24">
        <f>SUMPRODUCT((M_BOM[Part Name]=$A24)*M_BOM[RM_Qty_Per_Batch]*IFERROR(INDEX(PP_Grid[#Data],M_BOM[PPGridRow],36),0))+IFERROR(INDEX(M_RawMaterials[固定週次消費量_要入力],MATCH($A24,M_RawMaterials[Part Name],0)),0)</f>
        <v/>
      </c>
      <c r="AK24">
        <f>SUMPRODUCT((M_BOM[Part Name]=$A24)*M_BOM[RM_Qty_Per_Batch]*IFERROR(INDEX(PP_Grid[#Data],M_BOM[PPGridRow],37),0))+IFERROR(INDEX(M_RawMaterials[固定週次消費量_要入力],MATCH($A24,M_RawMaterials[Part Name],0)),0)</f>
        <v/>
      </c>
      <c r="AL24">
        <f>SUMPRODUCT((M_BOM[Part Name]=$A24)*M_BOM[RM_Qty_Per_Batch]*IFERROR(INDEX(PP_Grid[#Data],M_BOM[PPGridRow],38),0))+IFERROR(INDEX(M_RawMaterials[固定週次消費量_要入力],MATCH($A24,M_RawMaterials[Part Name],0)),0)</f>
        <v/>
      </c>
      <c r="AM24">
        <f>SUMPRODUCT((M_BOM[Part Name]=$A24)*M_BOM[RM_Qty_Per_Batch]*IFERROR(INDEX(PP_Grid[#Data],M_BOM[PPGridRow],39),0))+IFERROR(INDEX(M_RawMaterials[固定週次消費量_要入力],MATCH($A24,M_RawMaterials[Part Name],0)),0)</f>
        <v/>
      </c>
      <c r="AN24">
        <f>SUMPRODUCT((M_BOM[Part Name]=$A24)*M_BOM[RM_Qty_Per_Batch]*IFERROR(INDEX(PP_Grid[#Data],M_BOM[PPGridRow],40),0))+IFERROR(INDEX(M_RawMaterials[固定週次消費量_要入力],MATCH($A24,M_RawMaterials[Part Name],0)),0)</f>
        <v/>
      </c>
      <c r="AO24">
        <f>SUMPRODUCT((M_BOM[Part Name]=$A24)*M_BOM[RM_Qty_Per_Batch]*IFERROR(INDEX(PP_Grid[#Data],M_BOM[PPGridRow],41),0))+IFERROR(INDEX(M_RawMaterials[固定週次消費量_要入力],MATCH($A24,M_RawMaterials[Part Name],0)),0)</f>
        <v/>
      </c>
      <c r="AP24">
        <f>SUMPRODUCT((M_BOM[Part Name]=$A24)*M_BOM[RM_Qty_Per_Batch]*IFERROR(INDEX(PP_Grid[#Data],M_BOM[PPGridRow],42),0))+IFERROR(INDEX(M_RawMaterials[固定週次消費量_要入力],MATCH($A24,M_RawMaterials[Part Name],0)),0)</f>
        <v/>
      </c>
      <c r="AQ24">
        <f>SUMPRODUCT((M_BOM[Part Name]=$A24)*M_BOM[RM_Qty_Per_Batch]*IFERROR(INDEX(PP_Grid[#Data],M_BOM[PPGridRow],43),0))+IFERROR(INDEX(M_RawMaterials[固定週次消費量_要入力],MATCH($A24,M_RawMaterials[Part Name],0)),0)</f>
        <v/>
      </c>
      <c r="AR24">
        <f>SUMPRODUCT((M_BOM[Part Name]=$A24)*M_BOM[RM_Qty_Per_Batch]*IFERROR(INDEX(PP_Grid[#Data],M_BOM[PPGridRow],44),0))+IFERROR(INDEX(M_RawMaterials[固定週次消費量_要入力],MATCH($A24,M_RawMaterials[Part Name],0)),0)</f>
        <v/>
      </c>
      <c r="AS24">
        <f>SUMPRODUCT((M_BOM[Part Name]=$A24)*M_BOM[RM_Qty_Per_Batch]*IFERROR(INDEX(PP_Grid[#Data],M_BOM[PPGridRow],45),0))+IFERROR(INDEX(M_RawMaterials[固定週次消費量_要入力],MATCH($A24,M_RawMaterials[Part Name],0)),0)</f>
        <v/>
      </c>
      <c r="AT24">
        <f>SUMPRODUCT((M_BOM[Part Name]=$A24)*M_BOM[RM_Qty_Per_Batch]*IFERROR(INDEX(PP_Grid[#Data],M_BOM[PPGridRow],46),0))+IFERROR(INDEX(M_RawMaterials[固定週次消費量_要入力],MATCH($A24,M_RawMaterials[Part Name],0)),0)</f>
        <v/>
      </c>
      <c r="AU24">
        <f>SUMPRODUCT((M_BOM[Part Name]=$A24)*M_BOM[RM_Qty_Per_Batch]*IFERROR(INDEX(PP_Grid[#Data],M_BOM[PPGridRow],47),0))+IFERROR(INDEX(M_RawMaterials[固定週次消費量_要入力],MATCH($A24,M_RawMaterials[Part Name],0)),0)</f>
        <v/>
      </c>
      <c r="AV24">
        <f>SUMPRODUCT((M_BOM[Part Name]=$A24)*M_BOM[RM_Qty_Per_Batch]*IFERROR(INDEX(PP_Grid[#Data],M_BOM[PPGridRow],48),0))+IFERROR(INDEX(M_RawMaterials[固定週次消費量_要入力],MATCH($A24,M_RawMaterials[Part Name],0)),0)</f>
        <v/>
      </c>
      <c r="AW24">
        <f>SUMPRODUCT((M_BOM[Part Name]=$A24)*M_BOM[RM_Qty_Per_Batch]*IFERROR(INDEX(PP_Grid[#Data],M_BOM[PPGridRow],49),0))+IFERROR(INDEX(M_RawMaterials[固定週次消費量_要入力],MATCH($A24,M_RawMaterials[Part Name],0)),0)</f>
        <v/>
      </c>
      <c r="AX24">
        <f>SUMPRODUCT((M_BOM[Part Name]=$A24)*M_BOM[RM_Qty_Per_Batch]*IFERROR(INDEX(PP_Grid[#Data],M_BOM[PPGridRow],50),0))+IFERROR(INDEX(M_RawMaterials[固定週次消費量_要入力],MATCH($A24,M_RawMaterials[Part Name],0)),0)</f>
        <v/>
      </c>
      <c r="AY24">
        <f>SUMPRODUCT((M_BOM[Part Name]=$A24)*M_BOM[RM_Qty_Per_Batch]*IFERROR(INDEX(PP_Grid[#Data],M_BOM[PPGridRow],51),0))+IFERROR(INDEX(M_RawMaterials[固定週次消費量_要入力],MATCH($A24,M_RawMaterials[Part Name],0)),0)</f>
        <v/>
      </c>
      <c r="AZ24">
        <f>SUMPRODUCT((M_BOM[Part Name]=$A24)*M_BOM[RM_Qty_Per_Batch]*IFERROR(INDEX(PP_Grid[#Data],M_BOM[PPGridRow],52),0))+IFERROR(INDEX(M_RawMaterials[固定週次消費量_要入力],MATCH($A24,M_RawMaterials[Part Name],0)),0)</f>
        <v/>
      </c>
      <c r="BA24">
        <f>SUMPRODUCT((M_BOM[Part Name]=$A24)*M_BOM[RM_Qty_Per_Batch]*IFERROR(INDEX(PP_Grid[#Data],M_BOM[PPGridRow],53),0))+IFERROR(INDEX(M_RawMaterials[固定週次消費量_要入力],MATCH($A24,M_RawMaterials[Part Name],0)),0)</f>
        <v/>
      </c>
      <c r="BB24">
        <f>SUMPRODUCT((M_BOM[Part Name]=$A24)*M_BOM[RM_Qty_Per_Batch]*IFERROR(INDEX(PP_Grid[#Data],M_BOM[PPGridRow],54),0))+IFERROR(INDEX(M_RawMaterials[固定週次消費量_要入力],MATCH($A24,M_RawMaterials[Part Name],0)),0)</f>
        <v/>
      </c>
      <c r="BC24">
        <f>SUMPRODUCT((M_BOM[Part Name]=$A24)*M_BOM[RM_Qty_Per_Batch]*IFERROR(INDEX(PP_Grid[#Data],M_BOM[PPGridRow],55),0))+IFERROR(INDEX(M_RawMaterials[固定週次消費量_要入力],MATCH($A24,M_RawMaterials[Part Name],0)),0)</f>
        <v/>
      </c>
      <c r="BD24">
        <f>SUMPRODUCT((M_BOM[Part Name]=$A24)*M_BOM[RM_Qty_Per_Batch]*IFERROR(INDEX(PP_Grid[#Data],M_BOM[PPGridRow],56),0))+IFERROR(INDEX(M_RawMaterials[固定週次消費量_要入力],MATCH($A24,M_RawMaterials[Part Name],0)),0)</f>
        <v/>
      </c>
      <c r="BE24">
        <f>SUMPRODUCT((M_BOM[Part Name]=$A24)*M_BOM[RM_Qty_Per_Batch]*IFERROR(INDEX(PP_Grid[#Data],M_BOM[PPGridRow],57),0))+IFERROR(INDEX(M_RawMaterials[固定週次消費量_要入力],MATCH($A24,M_RawMaterials[Part Name],0)),0)</f>
        <v/>
      </c>
      <c r="BF24">
        <f>SUMPRODUCT((M_BOM[Part Name]=$A24)*M_BOM[RM_Qty_Per_Batch]*IFERROR(INDEX(PP_Grid[#Data],M_BOM[PPGridRow],58),0))+IFERROR(INDEX(M_RawMaterials[固定週次消費量_要入力],MATCH($A24,M_RawMaterials[Part Name],0)),0)</f>
        <v/>
      </c>
      <c r="BG24">
        <f>SUMPRODUCT((M_BOM[Part Name]=$A24)*M_BOM[RM_Qty_Per_Batch]*IFERROR(INDEX(PP_Grid[#Data],M_BOM[PPGridRow],59),0))+IFERROR(INDEX(M_RawMaterials[固定週次消費量_要入力],MATCH($A24,M_RawMaterials[Part Name],0)),0)</f>
        <v/>
      </c>
      <c r="BH24">
        <f>SUMPRODUCT((M_BOM[Part Name]=$A24)*M_BOM[RM_Qty_Per_Batch]*IFERROR(INDEX(PP_Grid[#Data],M_BOM[PPGridRow],60),0))+IFERROR(INDEX(M_RawMaterials[固定週次消費量_要入力],MATCH($A24,M_RawMaterials[Part Name],0)),0)</f>
        <v/>
      </c>
      <c r="BI24">
        <f>SUMPRODUCT((M_BOM[Part Name]=$A24)*M_BOM[RM_Qty_Per_Batch]*IFERROR(INDEX(PP_Grid[#Data],M_BOM[PPGridRow],61),0))+IFERROR(INDEX(M_RawMaterials[固定週次消費量_要入力],MATCH($A24,M_RawMaterials[Part Name],0)),0)</f>
        <v/>
      </c>
      <c r="BJ24">
        <f>SUMPRODUCT((M_BOM[Part Name]=$A24)*M_BOM[RM_Qty_Per_Batch]*IFERROR(INDEX(PP_Grid[#Data],M_BOM[PPGridRow],62),0))+IFERROR(INDEX(M_RawMaterials[固定週次消費量_要入力],MATCH($A24,M_RawMaterials[Part Name],0)),0)</f>
        <v/>
      </c>
      <c r="BK24">
        <f>SUMPRODUCT((M_BOM[Part Name]=$A24)*M_BOM[RM_Qty_Per_Batch]*IFERROR(INDEX(PP_Grid[#Data],M_BOM[PPGridRow],63),0))+IFERROR(INDEX(M_RawMaterials[固定週次消費量_要入力],MATCH($A24,M_RawMaterials[Part Name],0)),0)</f>
        <v/>
      </c>
      <c r="BL24">
        <f>SUMPRODUCT((M_BOM[Part Name]=$A24)*M_BOM[RM_Qty_Per_Batch]*IFERROR(INDEX(PP_Grid[#Data],M_BOM[PPGridRow],64),0))+IFERROR(INDEX(M_RawMaterials[固定週次消費量_要入力],MATCH($A24,M_RawMaterials[Part Name],0)),0)</f>
        <v/>
      </c>
      <c r="BM24">
        <f>SUMPRODUCT((M_BOM[Part Name]=$A24)*M_BOM[RM_Qty_Per_Batch]*IFERROR(INDEX(PP_Grid[#Data],M_BOM[PPGridRow],65),0))+IFERROR(INDEX(M_RawMaterials[固定週次消費量_要入力],MATCH($A24,M_RawMaterials[Part Name],0)),0)</f>
        <v/>
      </c>
      <c r="BN24">
        <f>SUMPRODUCT((M_BOM[Part Name]=$A24)*M_BOM[RM_Qty_Per_Batch]*IFERROR(INDEX(PP_Grid[#Data],M_BOM[PPGridRow],66),0))+IFERROR(INDEX(M_RawMaterials[固定週次消費量_要入力],MATCH($A24,M_RawMaterials[Part Name],0)),0)</f>
        <v/>
      </c>
      <c r="BO24">
        <f>SUMPRODUCT((M_BOM[Part Name]=$A24)*M_BOM[RM_Qty_Per_Batch]*IFERROR(INDEX(PP_Grid[#Data],M_BOM[PPGridRow],67),0))+IFERROR(INDEX(M_RawMaterials[固定週次消費量_要入力],MATCH($A24,M_RawMaterials[Part Name],0)),0)</f>
        <v/>
      </c>
      <c r="BP24">
        <f>SUMPRODUCT((M_BOM[Part Name]=$A24)*M_BOM[RM_Qty_Per_Batch]*IFERROR(INDEX(PP_Grid[#Data],M_BOM[PPGridRow],68),0))+IFERROR(INDEX(M_RawMaterials[固定週次消費量_要入力],MATCH($A24,M_RawMaterials[Part Name],0)),0)</f>
        <v/>
      </c>
      <c r="BQ24">
        <f>SUMPRODUCT((M_BOM[Part Name]=$A24)*M_BOM[RM_Qty_Per_Batch]*IFERROR(INDEX(PP_Grid[#Data],M_BOM[PPGridRow],69),0))+IFERROR(INDEX(M_RawMaterials[固定週次消費量_要入力],MATCH($A24,M_RawMaterials[Part Name],0)),0)</f>
        <v/>
      </c>
      <c r="BR24">
        <f>SUMPRODUCT((M_BOM[Part Name]=$A24)*M_BOM[RM_Qty_Per_Batch]*IFERROR(INDEX(PP_Grid[#Data],M_BOM[PPGridRow],70),0))+IFERROR(INDEX(M_RawMaterials[固定週次消費量_要入力],MATCH($A24,M_RawMaterials[Part Name],0)),0)</f>
        <v/>
      </c>
      <c r="BS24">
        <f>SUMPRODUCT((M_BOM[Part Name]=$A24)*M_BOM[RM_Qty_Per_Batch]*IFERROR(INDEX(PP_Grid[#Data],M_BOM[PPGridRow],71),0))+IFERROR(INDEX(M_RawMaterials[固定週次消費量_要入力],MATCH($A24,M_RawMaterials[Part Name],0)),0)</f>
        <v/>
      </c>
      <c r="BT24">
        <f>SUMPRODUCT((M_BOM[Part Name]=$A24)*M_BOM[RM_Qty_Per_Batch]*IFERROR(INDEX(PP_Grid[#Data],M_BOM[PPGridRow],72),0))+IFERROR(INDEX(M_RawMaterials[固定週次消費量_要入力],MATCH($A24,M_RawMaterials[Part Name],0)),0)</f>
        <v/>
      </c>
      <c r="BU24">
        <f>SUMPRODUCT((M_BOM[Part Name]=$A24)*M_BOM[RM_Qty_Per_Batch]*IFERROR(INDEX(PP_Grid[#Data],M_BOM[PPGridRow],73),0))+IFERROR(INDEX(M_RawMaterials[固定週次消費量_要入力],MATCH($A24,M_RawMaterials[Part Name],0)),0)</f>
        <v/>
      </c>
      <c r="BV24">
        <f>SUMPRODUCT((M_BOM[Part Name]=$A24)*M_BOM[RM_Qty_Per_Batch]*IFERROR(INDEX(PP_Grid[#Data],M_BOM[PPGridRow],74),0))+IFERROR(INDEX(M_RawMaterials[固定週次消費量_要入力],MATCH($A24,M_RawMaterials[Part Name],0)),0)</f>
        <v/>
      </c>
      <c r="BW24">
        <f>SUMPRODUCT((M_BOM[Part Name]=$A24)*M_BOM[RM_Qty_Per_Batch]*IFERROR(INDEX(PP_Grid[#Data],M_BOM[PPGridRow],75),0))+IFERROR(INDEX(M_RawMaterials[固定週次消費量_要入力],MATCH($A24,M_RawMaterials[Part Name],0)),0)</f>
        <v/>
      </c>
      <c r="BX24">
        <f>SUMPRODUCT((M_BOM[Part Name]=$A24)*M_BOM[RM_Qty_Per_Batch]*IFERROR(INDEX(PP_Grid[#Data],M_BOM[PPGridRow],76),0))+IFERROR(INDEX(M_RawMaterials[固定週次消費量_要入力],MATCH($A24,M_RawMaterials[Part Name],0)),0)</f>
        <v/>
      </c>
      <c r="BY24">
        <f>SUMPRODUCT((M_BOM[Part Name]=$A24)*M_BOM[RM_Qty_Per_Batch]*IFERROR(INDEX(PP_Grid[#Data],M_BOM[PPGridRow],77),0))+IFERROR(INDEX(M_RawMaterials[固定週次消費量_要入力],MATCH($A24,M_RawMaterials[Part Name],0)),0)</f>
        <v/>
      </c>
      <c r="BZ24">
        <f>SUMPRODUCT((M_BOM[Part Name]=$A24)*M_BOM[RM_Qty_Per_Batch]*IFERROR(INDEX(PP_Grid[#Data],M_BOM[PPGridRow],78),0))+IFERROR(INDEX(M_RawMaterials[固定週次消費量_要入力],MATCH($A24,M_RawMaterials[Part Name],0)),0)</f>
        <v/>
      </c>
      <c r="CA24">
        <f>SUMPRODUCT((M_BOM[Part Name]=$A24)*M_BOM[RM_Qty_Per_Batch]*IFERROR(INDEX(PP_Grid[#Data],M_BOM[PPGridRow],79),0))+IFERROR(INDEX(M_RawMaterials[固定週次消費量_要入力],MATCH($A24,M_RawMaterials[Part Name],0)),0)</f>
        <v/>
      </c>
      <c r="CB24">
        <f>SUMPRODUCT((M_BOM[Part Name]=$A24)*M_BOM[RM_Qty_Per_Batch]*IFERROR(INDEX(PP_Grid[#Data],M_BOM[PPGridRow],80),0))+IFERROR(INDEX(M_RawMaterials[固定週次消費量_要入力],MATCH($A24,M_RawMaterials[Part Name],0)),0)</f>
        <v/>
      </c>
      <c r="CC24">
        <f>SUMPRODUCT((M_BOM[Part Name]=$A24)*M_BOM[RM_Qty_Per_Batch]*IFERROR(INDEX(PP_Grid[#Data],M_BOM[PPGridRow],81),0))+IFERROR(INDEX(M_RawMaterials[固定週次消費量_要入力],MATCH($A24,M_RawMaterials[Part Name],0)),0)</f>
        <v/>
      </c>
      <c r="CD24">
        <f>SUMPRODUCT((M_BOM[Part Name]=$A24)*M_BOM[RM_Qty_Per_Batch]*IFERROR(INDEX(PP_Grid[#Data],M_BOM[PPGridRow],82),0))+IFERROR(INDEX(M_RawMaterials[固定週次消費量_要入力],MATCH($A24,M_RawMaterials[Part Name],0)),0)</f>
        <v/>
      </c>
      <c r="CE24">
        <f>SUMPRODUCT((M_BOM[Part Name]=$A24)*M_BOM[RM_Qty_Per_Batch]*IFERROR(INDEX(PP_Grid[#Data],M_BOM[PPGridRow],83),0))+IFERROR(INDEX(M_RawMaterials[固定週次消費量_要入力],MATCH($A24,M_RawMaterials[Part Name],0)),0)</f>
        <v/>
      </c>
      <c r="CF24">
        <f>SUMPRODUCT((M_BOM[Part Name]=$A24)*M_BOM[RM_Qty_Per_Batch]*IFERROR(INDEX(PP_Grid[#Data],M_BOM[PPGridRow],84),0))+IFERROR(INDEX(M_RawMaterials[固定週次消費量_要入力],MATCH($A24,M_RawMaterials[Part Name],0)),0)</f>
        <v/>
      </c>
      <c r="CG24">
        <f>SUMPRODUCT((M_BOM[Part Name]=$A24)*M_BOM[RM_Qty_Per_Batch]*IFERROR(INDEX(PP_Grid[#Data],M_BOM[PPGridRow],85),0))+IFERROR(INDEX(M_RawMaterials[固定週次消費量_要入力],MATCH($A24,M_RawMaterials[Part Name],0)),0)</f>
        <v/>
      </c>
      <c r="CH24">
        <f>SUMPRODUCT((M_BOM[Part Name]=$A24)*M_BOM[RM_Qty_Per_Batch]*IFERROR(INDEX(PP_Grid[#Data],M_BOM[PPGridRow],86),0))+IFERROR(INDEX(M_RawMaterials[固定週次消費量_要入力],MATCH($A24,M_RawMaterials[Part Name],0)),0)</f>
        <v/>
      </c>
      <c r="CI24">
        <f>SUMPRODUCT((M_BOM[Part Name]=$A24)*M_BOM[RM_Qty_Per_Batch]*IFERROR(INDEX(PP_Grid[#Data],M_BOM[PPGridRow],87),0))+IFERROR(INDEX(M_RawMaterials[固定週次消費量_要入力],MATCH($A24,M_RawMaterials[Part Name],0)),0)</f>
        <v/>
      </c>
      <c r="CJ24">
        <f>SUMPRODUCT((M_BOM[Part Name]=$A24)*M_BOM[RM_Qty_Per_Batch]*IFERROR(INDEX(PP_Grid[#Data],M_BOM[PPGridRow],88),0))+IFERROR(INDEX(M_RawMaterials[固定週次消費量_要入力],MATCH($A24,M_RawMaterials[Part Name],0)),0)</f>
        <v/>
      </c>
      <c r="CK24">
        <f>SUMPRODUCT((M_BOM[Part Name]=$A24)*M_BOM[RM_Qty_Per_Batch]*IFERROR(INDEX(PP_Grid[#Data],M_BOM[PPGridRow],89),0))+IFERROR(INDEX(M_RawMaterials[固定週次消費量_要入力],MATCH($A24,M_RawMaterials[Part Name],0)),0)</f>
        <v/>
      </c>
      <c r="CL24">
        <f>SUMPRODUCT((M_BOM[Part Name]=$A24)*M_BOM[RM_Qty_Per_Batch]*IFERROR(INDEX(PP_Grid[#Data],M_BOM[PPGridRow],90),0))+IFERROR(INDEX(M_RawMaterials[固定週次消費量_要入力],MATCH($A24,M_RawMaterials[Part Name],0)),0)</f>
        <v/>
      </c>
      <c r="CM24">
        <f>SUMPRODUCT((M_BOM[Part Name]=$A24)*M_BOM[RM_Qty_Per_Batch]*IFERROR(INDEX(PP_Grid[#Data],M_BOM[PPGridRow],91),0))+IFERROR(INDEX(M_RawMaterials[固定週次消費量_要入力],MATCH($A24,M_RawMaterials[Part Name],0)),0)</f>
        <v/>
      </c>
      <c r="CN24">
        <f>SUMPRODUCT((M_BOM[Part Name]=$A24)*M_BOM[RM_Qty_Per_Batch]*IFERROR(INDEX(PP_Grid[#Data],M_BOM[PPGridRow],92),0))+IFERROR(INDEX(M_RawMaterials[固定週次消費量_要入力],MATCH($A24,M_RawMaterials[Part Name],0)),0)</f>
        <v/>
      </c>
      <c r="CO24">
        <f>SUMPRODUCT((M_BOM[Part Name]=$A24)*M_BOM[RM_Qty_Per_Batch]*IFERROR(INDEX(PP_Grid[#Data],M_BOM[PPGridRow],93),0))+IFERROR(INDEX(M_RawMaterials[固定週次消費量_要入力],MATCH($A24,M_RawMaterials[Part Name],0)),0)</f>
        <v/>
      </c>
      <c r="CP24">
        <f>SUMPRODUCT((M_BOM[Part Name]=$A24)*M_BOM[RM_Qty_Per_Batch]*IFERROR(INDEX(PP_Grid[#Data],M_BOM[PPGridRow],94),0))+IFERROR(INDEX(M_RawMaterials[固定週次消費量_要入力],MATCH($A24,M_RawMaterials[Part Name],0)),0)</f>
        <v/>
      </c>
      <c r="CQ24">
        <f>SUMPRODUCT((M_BOM[Part Name]=$A24)*M_BOM[RM_Qty_Per_Batch]*IFERROR(INDEX(PP_Grid[#Data],M_BOM[PPGridRow],95),0))+IFERROR(INDEX(M_RawMaterials[固定週次消費量_要入力],MATCH($A24,M_RawMaterials[Part Name],0)),0)</f>
        <v/>
      </c>
      <c r="CR24">
        <f>SUMPRODUCT((M_BOM[Part Name]=$A24)*M_BOM[RM_Qty_Per_Batch]*IFERROR(INDEX(PP_Grid[#Data],M_BOM[PPGridRow],96),0))+IFERROR(INDEX(M_RawMaterials[固定週次消費量_要入力],MATCH($A24,M_RawMaterials[Part Name],0)),0)</f>
        <v/>
      </c>
      <c r="CS24">
        <f>SUMPRODUCT((M_BOM[Part Name]=$A24)*M_BOM[RM_Qty_Per_Batch]*IFERROR(INDEX(PP_Grid[#Data],M_BOM[PPGridRow],97),0))+IFERROR(INDEX(M_RawMaterials[固定週次消費量_要入力],MATCH($A24,M_RawMaterials[Part Name],0)),0)</f>
        <v/>
      </c>
      <c r="CT24">
        <f>SUMPRODUCT((M_BOM[Part Name]=$A24)*M_BOM[RM_Qty_Per_Batch]*IFERROR(INDEX(PP_Grid[#Data],M_BOM[PPGridRow],98),0))+IFERROR(INDEX(M_RawMaterials[固定週次消費量_要入力],MATCH($A24,M_RawMaterials[Part Name],0)),0)</f>
        <v/>
      </c>
      <c r="CU24">
        <f>SUMPRODUCT((M_BOM[Part Name]=$A24)*M_BOM[RM_Qty_Per_Batch]*IFERROR(INDEX(PP_Grid[#Data],M_BOM[PPGridRow],99),0))+IFERROR(INDEX(M_RawMaterials[固定週次消費量_要入力],MATCH($A24,M_RawMaterials[Part Name],0)),0)</f>
        <v/>
      </c>
      <c r="CV24">
        <f>SUMPRODUCT((M_BOM[Part Name]=$A24)*M_BOM[RM_Qty_Per_Batch]*IFERROR(INDEX(PP_Grid[#Data],M_BOM[PPGridRow],100),0))+IFERROR(INDEX(M_RawMaterials[固定週次消費量_要入力],MATCH($A24,M_RawMaterials[Part Name],0)),0)</f>
        <v/>
      </c>
      <c r="CW24">
        <f>SUMPRODUCT((M_BOM[Part Name]=$A24)*M_BOM[RM_Qty_Per_Batch]*IFERROR(INDEX(PP_Grid[#Data],M_BOM[PPGridRow],101),0))+IFERROR(INDEX(M_RawMaterials[固定週次消費量_要入力],MATCH($A24,M_RawMaterials[Part Name],0)),0)</f>
        <v/>
      </c>
      <c r="CX24">
        <f>SUMPRODUCT((M_BOM[Part Name]=$A24)*M_BOM[RM_Qty_Per_Batch]*IFERROR(INDEX(PP_Grid[#Data],M_BOM[PPGridRow],102),0))+IFERROR(INDEX(M_RawMaterials[固定週次消費量_要入力],MATCH($A24,M_RawMaterials[Part Name],0)),0)</f>
        <v/>
      </c>
      <c r="CY24">
        <f>SUMPRODUCT((M_BOM[Part Name]=$A24)*M_BOM[RM_Qty_Per_Batch]*IFERROR(INDEX(PP_Grid[#Data],M_BOM[PPGridRow],103),0))+IFERROR(INDEX(M_RawMaterials[固定週次消費量_要入力],MATCH($A24,M_RawMaterials[Part Name],0)),0)</f>
        <v/>
      </c>
      <c r="CZ24">
        <f>SUMPRODUCT((M_BOM[Part Name]=$A24)*M_BOM[RM_Qty_Per_Batch]*IFERROR(INDEX(PP_Grid[#Data],M_BOM[PPGridRow],104),0))+IFERROR(INDEX(M_RawMaterials[固定週次消費量_要入力],MATCH($A24,M_RawMaterials[Part Name],0)),0)</f>
        <v/>
      </c>
      <c r="DA24">
        <f>SUMPRODUCT((M_BOM[Part Name]=$A24)*M_BOM[RM_Qty_Per_Batch]*IFERROR(INDEX(PP_Grid[#Data],M_BOM[PPGridRow],105),0))+IFERROR(INDEX(M_RawMaterials[固定週次消費量_要入力],MATCH($A24,M_RawMaterials[Part Name],0)),0)</f>
        <v/>
      </c>
    </row>
    <row r="25">
      <c r="A25" t="inlineStr">
        <is>
          <t>CHEM-1510</t>
        </is>
      </c>
      <c r="B25">
        <f>SUMPRODUCT((M_BOM[Part Name]=$A25)*M_BOM[RM_Qty_Per_Batch]*IFERROR(INDEX(PP_Grid[#Data],M_BOM[PPGridRow],2),0))+IFERROR(INDEX(M_RawMaterials[固定週次消費量_要入力],MATCH($A25,M_RawMaterials[Part Name],0)),0)</f>
        <v/>
      </c>
      <c r="C25">
        <f>SUMPRODUCT((M_BOM[Part Name]=$A25)*M_BOM[RM_Qty_Per_Batch]*IFERROR(INDEX(PP_Grid[#Data],M_BOM[PPGridRow],3),0))+IFERROR(INDEX(M_RawMaterials[固定週次消費量_要入力],MATCH($A25,M_RawMaterials[Part Name],0)),0)</f>
        <v/>
      </c>
      <c r="D25">
        <f>SUMPRODUCT((M_BOM[Part Name]=$A25)*M_BOM[RM_Qty_Per_Batch]*IFERROR(INDEX(PP_Grid[#Data],M_BOM[PPGridRow],4),0))+IFERROR(INDEX(M_RawMaterials[固定週次消費量_要入力],MATCH($A25,M_RawMaterials[Part Name],0)),0)</f>
        <v/>
      </c>
      <c r="E25">
        <f>SUMPRODUCT((M_BOM[Part Name]=$A25)*M_BOM[RM_Qty_Per_Batch]*IFERROR(INDEX(PP_Grid[#Data],M_BOM[PPGridRow],5),0))+IFERROR(INDEX(M_RawMaterials[固定週次消費量_要入力],MATCH($A25,M_RawMaterials[Part Name],0)),0)</f>
        <v/>
      </c>
      <c r="F25">
        <f>SUMPRODUCT((M_BOM[Part Name]=$A25)*M_BOM[RM_Qty_Per_Batch]*IFERROR(INDEX(PP_Grid[#Data],M_BOM[PPGridRow],6),0))+IFERROR(INDEX(M_RawMaterials[固定週次消費量_要入力],MATCH($A25,M_RawMaterials[Part Name],0)),0)</f>
        <v/>
      </c>
      <c r="G25">
        <f>SUMPRODUCT((M_BOM[Part Name]=$A25)*M_BOM[RM_Qty_Per_Batch]*IFERROR(INDEX(PP_Grid[#Data],M_BOM[PPGridRow],7),0))+IFERROR(INDEX(M_RawMaterials[固定週次消費量_要入力],MATCH($A25,M_RawMaterials[Part Name],0)),0)</f>
        <v/>
      </c>
      <c r="H25">
        <f>SUMPRODUCT((M_BOM[Part Name]=$A25)*M_BOM[RM_Qty_Per_Batch]*IFERROR(INDEX(PP_Grid[#Data],M_BOM[PPGridRow],8),0))+IFERROR(INDEX(M_RawMaterials[固定週次消費量_要入力],MATCH($A25,M_RawMaterials[Part Name],0)),0)</f>
        <v/>
      </c>
      <c r="I25">
        <f>SUMPRODUCT((M_BOM[Part Name]=$A25)*M_BOM[RM_Qty_Per_Batch]*IFERROR(INDEX(PP_Grid[#Data],M_BOM[PPGridRow],9),0))+IFERROR(INDEX(M_RawMaterials[固定週次消費量_要入力],MATCH($A25,M_RawMaterials[Part Name],0)),0)</f>
        <v/>
      </c>
      <c r="J25">
        <f>SUMPRODUCT((M_BOM[Part Name]=$A25)*M_BOM[RM_Qty_Per_Batch]*IFERROR(INDEX(PP_Grid[#Data],M_BOM[PPGridRow],10),0))+IFERROR(INDEX(M_RawMaterials[固定週次消費量_要入力],MATCH($A25,M_RawMaterials[Part Name],0)),0)</f>
        <v/>
      </c>
      <c r="K25">
        <f>SUMPRODUCT((M_BOM[Part Name]=$A25)*M_BOM[RM_Qty_Per_Batch]*IFERROR(INDEX(PP_Grid[#Data],M_BOM[PPGridRow],11),0))+IFERROR(INDEX(M_RawMaterials[固定週次消費量_要入力],MATCH($A25,M_RawMaterials[Part Name],0)),0)</f>
        <v/>
      </c>
      <c r="L25">
        <f>SUMPRODUCT((M_BOM[Part Name]=$A25)*M_BOM[RM_Qty_Per_Batch]*IFERROR(INDEX(PP_Grid[#Data],M_BOM[PPGridRow],12),0))+IFERROR(INDEX(M_RawMaterials[固定週次消費量_要入力],MATCH($A25,M_RawMaterials[Part Name],0)),0)</f>
        <v/>
      </c>
      <c r="M25">
        <f>SUMPRODUCT((M_BOM[Part Name]=$A25)*M_BOM[RM_Qty_Per_Batch]*IFERROR(INDEX(PP_Grid[#Data],M_BOM[PPGridRow],13),0))+IFERROR(INDEX(M_RawMaterials[固定週次消費量_要入力],MATCH($A25,M_RawMaterials[Part Name],0)),0)</f>
        <v/>
      </c>
      <c r="N25">
        <f>SUMPRODUCT((M_BOM[Part Name]=$A25)*M_BOM[RM_Qty_Per_Batch]*IFERROR(INDEX(PP_Grid[#Data],M_BOM[PPGridRow],14),0))+IFERROR(INDEX(M_RawMaterials[固定週次消費量_要入力],MATCH($A25,M_RawMaterials[Part Name],0)),0)</f>
        <v/>
      </c>
      <c r="O25">
        <f>SUMPRODUCT((M_BOM[Part Name]=$A25)*M_BOM[RM_Qty_Per_Batch]*IFERROR(INDEX(PP_Grid[#Data],M_BOM[PPGridRow],15),0))+IFERROR(INDEX(M_RawMaterials[固定週次消費量_要入力],MATCH($A25,M_RawMaterials[Part Name],0)),0)</f>
        <v/>
      </c>
      <c r="P25">
        <f>SUMPRODUCT((M_BOM[Part Name]=$A25)*M_BOM[RM_Qty_Per_Batch]*IFERROR(INDEX(PP_Grid[#Data],M_BOM[PPGridRow],16),0))+IFERROR(INDEX(M_RawMaterials[固定週次消費量_要入力],MATCH($A25,M_RawMaterials[Part Name],0)),0)</f>
        <v/>
      </c>
      <c r="Q25">
        <f>SUMPRODUCT((M_BOM[Part Name]=$A25)*M_BOM[RM_Qty_Per_Batch]*IFERROR(INDEX(PP_Grid[#Data],M_BOM[PPGridRow],17),0))+IFERROR(INDEX(M_RawMaterials[固定週次消費量_要入力],MATCH($A25,M_RawMaterials[Part Name],0)),0)</f>
        <v/>
      </c>
      <c r="R25">
        <f>SUMPRODUCT((M_BOM[Part Name]=$A25)*M_BOM[RM_Qty_Per_Batch]*IFERROR(INDEX(PP_Grid[#Data],M_BOM[PPGridRow],18),0))+IFERROR(INDEX(M_RawMaterials[固定週次消費量_要入力],MATCH($A25,M_RawMaterials[Part Name],0)),0)</f>
        <v/>
      </c>
      <c r="S25">
        <f>SUMPRODUCT((M_BOM[Part Name]=$A25)*M_BOM[RM_Qty_Per_Batch]*IFERROR(INDEX(PP_Grid[#Data],M_BOM[PPGridRow],19),0))+IFERROR(INDEX(M_RawMaterials[固定週次消費量_要入力],MATCH($A25,M_RawMaterials[Part Name],0)),0)</f>
        <v/>
      </c>
      <c r="T25">
        <f>SUMPRODUCT((M_BOM[Part Name]=$A25)*M_BOM[RM_Qty_Per_Batch]*IFERROR(INDEX(PP_Grid[#Data],M_BOM[PPGridRow],20),0))+IFERROR(INDEX(M_RawMaterials[固定週次消費量_要入力],MATCH($A25,M_RawMaterials[Part Name],0)),0)</f>
        <v/>
      </c>
      <c r="U25">
        <f>SUMPRODUCT((M_BOM[Part Name]=$A25)*M_BOM[RM_Qty_Per_Batch]*IFERROR(INDEX(PP_Grid[#Data],M_BOM[PPGridRow],21),0))+IFERROR(INDEX(M_RawMaterials[固定週次消費量_要入力],MATCH($A25,M_RawMaterials[Part Name],0)),0)</f>
        <v/>
      </c>
      <c r="V25">
        <f>SUMPRODUCT((M_BOM[Part Name]=$A25)*M_BOM[RM_Qty_Per_Batch]*IFERROR(INDEX(PP_Grid[#Data],M_BOM[PPGridRow],22),0))+IFERROR(INDEX(M_RawMaterials[固定週次消費量_要入力],MATCH($A25,M_RawMaterials[Part Name],0)),0)</f>
        <v/>
      </c>
      <c r="W25">
        <f>SUMPRODUCT((M_BOM[Part Name]=$A25)*M_BOM[RM_Qty_Per_Batch]*IFERROR(INDEX(PP_Grid[#Data],M_BOM[PPGridRow],23),0))+IFERROR(INDEX(M_RawMaterials[固定週次消費量_要入力],MATCH($A25,M_RawMaterials[Part Name],0)),0)</f>
        <v/>
      </c>
      <c r="X25">
        <f>SUMPRODUCT((M_BOM[Part Name]=$A25)*M_BOM[RM_Qty_Per_Batch]*IFERROR(INDEX(PP_Grid[#Data],M_BOM[PPGridRow],24),0))+IFERROR(INDEX(M_RawMaterials[固定週次消費量_要入力],MATCH($A25,M_RawMaterials[Part Name],0)),0)</f>
        <v/>
      </c>
      <c r="Y25">
        <f>SUMPRODUCT((M_BOM[Part Name]=$A25)*M_BOM[RM_Qty_Per_Batch]*IFERROR(INDEX(PP_Grid[#Data],M_BOM[PPGridRow],25),0))+IFERROR(INDEX(M_RawMaterials[固定週次消費量_要入力],MATCH($A25,M_RawMaterials[Part Name],0)),0)</f>
        <v/>
      </c>
      <c r="Z25">
        <f>SUMPRODUCT((M_BOM[Part Name]=$A25)*M_BOM[RM_Qty_Per_Batch]*IFERROR(INDEX(PP_Grid[#Data],M_BOM[PPGridRow],26),0))+IFERROR(INDEX(M_RawMaterials[固定週次消費量_要入力],MATCH($A25,M_RawMaterials[Part Name],0)),0)</f>
        <v/>
      </c>
      <c r="AA25">
        <f>SUMPRODUCT((M_BOM[Part Name]=$A25)*M_BOM[RM_Qty_Per_Batch]*IFERROR(INDEX(PP_Grid[#Data],M_BOM[PPGridRow],27),0))+IFERROR(INDEX(M_RawMaterials[固定週次消費量_要入力],MATCH($A25,M_RawMaterials[Part Name],0)),0)</f>
        <v/>
      </c>
      <c r="AB25">
        <f>SUMPRODUCT((M_BOM[Part Name]=$A25)*M_BOM[RM_Qty_Per_Batch]*IFERROR(INDEX(PP_Grid[#Data],M_BOM[PPGridRow],28),0))+IFERROR(INDEX(M_RawMaterials[固定週次消費量_要入力],MATCH($A25,M_RawMaterials[Part Name],0)),0)</f>
        <v/>
      </c>
      <c r="AC25">
        <f>SUMPRODUCT((M_BOM[Part Name]=$A25)*M_BOM[RM_Qty_Per_Batch]*IFERROR(INDEX(PP_Grid[#Data],M_BOM[PPGridRow],29),0))+IFERROR(INDEX(M_RawMaterials[固定週次消費量_要入力],MATCH($A25,M_RawMaterials[Part Name],0)),0)</f>
        <v/>
      </c>
      <c r="AD25">
        <f>SUMPRODUCT((M_BOM[Part Name]=$A25)*M_BOM[RM_Qty_Per_Batch]*IFERROR(INDEX(PP_Grid[#Data],M_BOM[PPGridRow],30),0))+IFERROR(INDEX(M_RawMaterials[固定週次消費量_要入力],MATCH($A25,M_RawMaterials[Part Name],0)),0)</f>
        <v/>
      </c>
      <c r="AE25">
        <f>SUMPRODUCT((M_BOM[Part Name]=$A25)*M_BOM[RM_Qty_Per_Batch]*IFERROR(INDEX(PP_Grid[#Data],M_BOM[PPGridRow],31),0))+IFERROR(INDEX(M_RawMaterials[固定週次消費量_要入力],MATCH($A25,M_RawMaterials[Part Name],0)),0)</f>
        <v/>
      </c>
      <c r="AF25">
        <f>SUMPRODUCT((M_BOM[Part Name]=$A25)*M_BOM[RM_Qty_Per_Batch]*IFERROR(INDEX(PP_Grid[#Data],M_BOM[PPGridRow],32),0))+IFERROR(INDEX(M_RawMaterials[固定週次消費量_要入力],MATCH($A25,M_RawMaterials[Part Name],0)),0)</f>
        <v/>
      </c>
      <c r="AG25">
        <f>SUMPRODUCT((M_BOM[Part Name]=$A25)*M_BOM[RM_Qty_Per_Batch]*IFERROR(INDEX(PP_Grid[#Data],M_BOM[PPGridRow],33),0))+IFERROR(INDEX(M_RawMaterials[固定週次消費量_要入力],MATCH($A25,M_RawMaterials[Part Name],0)),0)</f>
        <v/>
      </c>
      <c r="AH25">
        <f>SUMPRODUCT((M_BOM[Part Name]=$A25)*M_BOM[RM_Qty_Per_Batch]*IFERROR(INDEX(PP_Grid[#Data],M_BOM[PPGridRow],34),0))+IFERROR(INDEX(M_RawMaterials[固定週次消費量_要入力],MATCH($A25,M_RawMaterials[Part Name],0)),0)</f>
        <v/>
      </c>
      <c r="AI25">
        <f>SUMPRODUCT((M_BOM[Part Name]=$A25)*M_BOM[RM_Qty_Per_Batch]*IFERROR(INDEX(PP_Grid[#Data],M_BOM[PPGridRow],35),0))+IFERROR(INDEX(M_RawMaterials[固定週次消費量_要入力],MATCH($A25,M_RawMaterials[Part Name],0)),0)</f>
        <v/>
      </c>
      <c r="AJ25">
        <f>SUMPRODUCT((M_BOM[Part Name]=$A25)*M_BOM[RM_Qty_Per_Batch]*IFERROR(INDEX(PP_Grid[#Data],M_BOM[PPGridRow],36),0))+IFERROR(INDEX(M_RawMaterials[固定週次消費量_要入力],MATCH($A25,M_RawMaterials[Part Name],0)),0)</f>
        <v/>
      </c>
      <c r="AK25">
        <f>SUMPRODUCT((M_BOM[Part Name]=$A25)*M_BOM[RM_Qty_Per_Batch]*IFERROR(INDEX(PP_Grid[#Data],M_BOM[PPGridRow],37),0))+IFERROR(INDEX(M_RawMaterials[固定週次消費量_要入力],MATCH($A25,M_RawMaterials[Part Name],0)),0)</f>
        <v/>
      </c>
      <c r="AL25">
        <f>SUMPRODUCT((M_BOM[Part Name]=$A25)*M_BOM[RM_Qty_Per_Batch]*IFERROR(INDEX(PP_Grid[#Data],M_BOM[PPGridRow],38),0))+IFERROR(INDEX(M_RawMaterials[固定週次消費量_要入力],MATCH($A25,M_RawMaterials[Part Name],0)),0)</f>
        <v/>
      </c>
      <c r="AM25">
        <f>SUMPRODUCT((M_BOM[Part Name]=$A25)*M_BOM[RM_Qty_Per_Batch]*IFERROR(INDEX(PP_Grid[#Data],M_BOM[PPGridRow],39),0))+IFERROR(INDEX(M_RawMaterials[固定週次消費量_要入力],MATCH($A25,M_RawMaterials[Part Name],0)),0)</f>
        <v/>
      </c>
      <c r="AN25">
        <f>SUMPRODUCT((M_BOM[Part Name]=$A25)*M_BOM[RM_Qty_Per_Batch]*IFERROR(INDEX(PP_Grid[#Data],M_BOM[PPGridRow],40),0))+IFERROR(INDEX(M_RawMaterials[固定週次消費量_要入力],MATCH($A25,M_RawMaterials[Part Name],0)),0)</f>
        <v/>
      </c>
      <c r="AO25">
        <f>SUMPRODUCT((M_BOM[Part Name]=$A25)*M_BOM[RM_Qty_Per_Batch]*IFERROR(INDEX(PP_Grid[#Data],M_BOM[PPGridRow],41),0))+IFERROR(INDEX(M_RawMaterials[固定週次消費量_要入力],MATCH($A25,M_RawMaterials[Part Name],0)),0)</f>
        <v/>
      </c>
      <c r="AP25">
        <f>SUMPRODUCT((M_BOM[Part Name]=$A25)*M_BOM[RM_Qty_Per_Batch]*IFERROR(INDEX(PP_Grid[#Data],M_BOM[PPGridRow],42),0))+IFERROR(INDEX(M_RawMaterials[固定週次消費量_要入力],MATCH($A25,M_RawMaterials[Part Name],0)),0)</f>
        <v/>
      </c>
      <c r="AQ25">
        <f>SUMPRODUCT((M_BOM[Part Name]=$A25)*M_BOM[RM_Qty_Per_Batch]*IFERROR(INDEX(PP_Grid[#Data],M_BOM[PPGridRow],43),0))+IFERROR(INDEX(M_RawMaterials[固定週次消費量_要入力],MATCH($A25,M_RawMaterials[Part Name],0)),0)</f>
        <v/>
      </c>
      <c r="AR25">
        <f>SUMPRODUCT((M_BOM[Part Name]=$A25)*M_BOM[RM_Qty_Per_Batch]*IFERROR(INDEX(PP_Grid[#Data],M_BOM[PPGridRow],44),0))+IFERROR(INDEX(M_RawMaterials[固定週次消費量_要入力],MATCH($A25,M_RawMaterials[Part Name],0)),0)</f>
        <v/>
      </c>
      <c r="AS25">
        <f>SUMPRODUCT((M_BOM[Part Name]=$A25)*M_BOM[RM_Qty_Per_Batch]*IFERROR(INDEX(PP_Grid[#Data],M_BOM[PPGridRow],45),0))+IFERROR(INDEX(M_RawMaterials[固定週次消費量_要入力],MATCH($A25,M_RawMaterials[Part Name],0)),0)</f>
        <v/>
      </c>
      <c r="AT25">
        <f>SUMPRODUCT((M_BOM[Part Name]=$A25)*M_BOM[RM_Qty_Per_Batch]*IFERROR(INDEX(PP_Grid[#Data],M_BOM[PPGridRow],46),0))+IFERROR(INDEX(M_RawMaterials[固定週次消費量_要入力],MATCH($A25,M_RawMaterials[Part Name],0)),0)</f>
        <v/>
      </c>
      <c r="AU25">
        <f>SUMPRODUCT((M_BOM[Part Name]=$A25)*M_BOM[RM_Qty_Per_Batch]*IFERROR(INDEX(PP_Grid[#Data],M_BOM[PPGridRow],47),0))+IFERROR(INDEX(M_RawMaterials[固定週次消費量_要入力],MATCH($A25,M_RawMaterials[Part Name],0)),0)</f>
        <v/>
      </c>
      <c r="AV25">
        <f>SUMPRODUCT((M_BOM[Part Name]=$A25)*M_BOM[RM_Qty_Per_Batch]*IFERROR(INDEX(PP_Grid[#Data],M_BOM[PPGridRow],48),0))+IFERROR(INDEX(M_RawMaterials[固定週次消費量_要入力],MATCH($A25,M_RawMaterials[Part Name],0)),0)</f>
        <v/>
      </c>
      <c r="AW25">
        <f>SUMPRODUCT((M_BOM[Part Name]=$A25)*M_BOM[RM_Qty_Per_Batch]*IFERROR(INDEX(PP_Grid[#Data],M_BOM[PPGridRow],49),0))+IFERROR(INDEX(M_RawMaterials[固定週次消費量_要入力],MATCH($A25,M_RawMaterials[Part Name],0)),0)</f>
        <v/>
      </c>
      <c r="AX25">
        <f>SUMPRODUCT((M_BOM[Part Name]=$A25)*M_BOM[RM_Qty_Per_Batch]*IFERROR(INDEX(PP_Grid[#Data],M_BOM[PPGridRow],50),0))+IFERROR(INDEX(M_RawMaterials[固定週次消費量_要入力],MATCH($A25,M_RawMaterials[Part Name],0)),0)</f>
        <v/>
      </c>
      <c r="AY25">
        <f>SUMPRODUCT((M_BOM[Part Name]=$A25)*M_BOM[RM_Qty_Per_Batch]*IFERROR(INDEX(PP_Grid[#Data],M_BOM[PPGridRow],51),0))+IFERROR(INDEX(M_RawMaterials[固定週次消費量_要入力],MATCH($A25,M_RawMaterials[Part Name],0)),0)</f>
        <v/>
      </c>
      <c r="AZ25">
        <f>SUMPRODUCT((M_BOM[Part Name]=$A25)*M_BOM[RM_Qty_Per_Batch]*IFERROR(INDEX(PP_Grid[#Data],M_BOM[PPGridRow],52),0))+IFERROR(INDEX(M_RawMaterials[固定週次消費量_要入力],MATCH($A25,M_RawMaterials[Part Name],0)),0)</f>
        <v/>
      </c>
      <c r="BA25">
        <f>SUMPRODUCT((M_BOM[Part Name]=$A25)*M_BOM[RM_Qty_Per_Batch]*IFERROR(INDEX(PP_Grid[#Data],M_BOM[PPGridRow],53),0))+IFERROR(INDEX(M_RawMaterials[固定週次消費量_要入力],MATCH($A25,M_RawMaterials[Part Name],0)),0)</f>
        <v/>
      </c>
      <c r="BB25">
        <f>SUMPRODUCT((M_BOM[Part Name]=$A25)*M_BOM[RM_Qty_Per_Batch]*IFERROR(INDEX(PP_Grid[#Data],M_BOM[PPGridRow],54),0))+IFERROR(INDEX(M_RawMaterials[固定週次消費量_要入力],MATCH($A25,M_RawMaterials[Part Name],0)),0)</f>
        <v/>
      </c>
      <c r="BC25">
        <f>SUMPRODUCT((M_BOM[Part Name]=$A25)*M_BOM[RM_Qty_Per_Batch]*IFERROR(INDEX(PP_Grid[#Data],M_BOM[PPGridRow],55),0))+IFERROR(INDEX(M_RawMaterials[固定週次消費量_要入力],MATCH($A25,M_RawMaterials[Part Name],0)),0)</f>
        <v/>
      </c>
      <c r="BD25">
        <f>SUMPRODUCT((M_BOM[Part Name]=$A25)*M_BOM[RM_Qty_Per_Batch]*IFERROR(INDEX(PP_Grid[#Data],M_BOM[PPGridRow],56),0))+IFERROR(INDEX(M_RawMaterials[固定週次消費量_要入力],MATCH($A25,M_RawMaterials[Part Name],0)),0)</f>
        <v/>
      </c>
      <c r="BE25">
        <f>SUMPRODUCT((M_BOM[Part Name]=$A25)*M_BOM[RM_Qty_Per_Batch]*IFERROR(INDEX(PP_Grid[#Data],M_BOM[PPGridRow],57),0))+IFERROR(INDEX(M_RawMaterials[固定週次消費量_要入力],MATCH($A25,M_RawMaterials[Part Name],0)),0)</f>
        <v/>
      </c>
      <c r="BF25">
        <f>SUMPRODUCT((M_BOM[Part Name]=$A25)*M_BOM[RM_Qty_Per_Batch]*IFERROR(INDEX(PP_Grid[#Data],M_BOM[PPGridRow],58),0))+IFERROR(INDEX(M_RawMaterials[固定週次消費量_要入力],MATCH($A25,M_RawMaterials[Part Name],0)),0)</f>
        <v/>
      </c>
      <c r="BG25">
        <f>SUMPRODUCT((M_BOM[Part Name]=$A25)*M_BOM[RM_Qty_Per_Batch]*IFERROR(INDEX(PP_Grid[#Data],M_BOM[PPGridRow],59),0))+IFERROR(INDEX(M_RawMaterials[固定週次消費量_要入力],MATCH($A25,M_RawMaterials[Part Name],0)),0)</f>
        <v/>
      </c>
      <c r="BH25">
        <f>SUMPRODUCT((M_BOM[Part Name]=$A25)*M_BOM[RM_Qty_Per_Batch]*IFERROR(INDEX(PP_Grid[#Data],M_BOM[PPGridRow],60),0))+IFERROR(INDEX(M_RawMaterials[固定週次消費量_要入力],MATCH($A25,M_RawMaterials[Part Name],0)),0)</f>
        <v/>
      </c>
      <c r="BI25">
        <f>SUMPRODUCT((M_BOM[Part Name]=$A25)*M_BOM[RM_Qty_Per_Batch]*IFERROR(INDEX(PP_Grid[#Data],M_BOM[PPGridRow],61),0))+IFERROR(INDEX(M_RawMaterials[固定週次消費量_要入力],MATCH($A25,M_RawMaterials[Part Name],0)),0)</f>
        <v/>
      </c>
      <c r="BJ25">
        <f>SUMPRODUCT((M_BOM[Part Name]=$A25)*M_BOM[RM_Qty_Per_Batch]*IFERROR(INDEX(PP_Grid[#Data],M_BOM[PPGridRow],62),0))+IFERROR(INDEX(M_RawMaterials[固定週次消費量_要入力],MATCH($A25,M_RawMaterials[Part Name],0)),0)</f>
        <v/>
      </c>
      <c r="BK25">
        <f>SUMPRODUCT((M_BOM[Part Name]=$A25)*M_BOM[RM_Qty_Per_Batch]*IFERROR(INDEX(PP_Grid[#Data],M_BOM[PPGridRow],63),0))+IFERROR(INDEX(M_RawMaterials[固定週次消費量_要入力],MATCH($A25,M_RawMaterials[Part Name],0)),0)</f>
        <v/>
      </c>
      <c r="BL25">
        <f>SUMPRODUCT((M_BOM[Part Name]=$A25)*M_BOM[RM_Qty_Per_Batch]*IFERROR(INDEX(PP_Grid[#Data],M_BOM[PPGridRow],64),0))+IFERROR(INDEX(M_RawMaterials[固定週次消費量_要入力],MATCH($A25,M_RawMaterials[Part Name],0)),0)</f>
        <v/>
      </c>
      <c r="BM25">
        <f>SUMPRODUCT((M_BOM[Part Name]=$A25)*M_BOM[RM_Qty_Per_Batch]*IFERROR(INDEX(PP_Grid[#Data],M_BOM[PPGridRow],65),0))+IFERROR(INDEX(M_RawMaterials[固定週次消費量_要入力],MATCH($A25,M_RawMaterials[Part Name],0)),0)</f>
        <v/>
      </c>
      <c r="BN25">
        <f>SUMPRODUCT((M_BOM[Part Name]=$A25)*M_BOM[RM_Qty_Per_Batch]*IFERROR(INDEX(PP_Grid[#Data],M_BOM[PPGridRow],66),0))+IFERROR(INDEX(M_RawMaterials[固定週次消費量_要入力],MATCH($A25,M_RawMaterials[Part Name],0)),0)</f>
        <v/>
      </c>
      <c r="BO25">
        <f>SUMPRODUCT((M_BOM[Part Name]=$A25)*M_BOM[RM_Qty_Per_Batch]*IFERROR(INDEX(PP_Grid[#Data],M_BOM[PPGridRow],67),0))+IFERROR(INDEX(M_RawMaterials[固定週次消費量_要入力],MATCH($A25,M_RawMaterials[Part Name],0)),0)</f>
        <v/>
      </c>
      <c r="BP25">
        <f>SUMPRODUCT((M_BOM[Part Name]=$A25)*M_BOM[RM_Qty_Per_Batch]*IFERROR(INDEX(PP_Grid[#Data],M_BOM[PPGridRow],68),0))+IFERROR(INDEX(M_RawMaterials[固定週次消費量_要入力],MATCH($A25,M_RawMaterials[Part Name],0)),0)</f>
        <v/>
      </c>
      <c r="BQ25">
        <f>SUMPRODUCT((M_BOM[Part Name]=$A25)*M_BOM[RM_Qty_Per_Batch]*IFERROR(INDEX(PP_Grid[#Data],M_BOM[PPGridRow],69),0))+IFERROR(INDEX(M_RawMaterials[固定週次消費量_要入力],MATCH($A25,M_RawMaterials[Part Name],0)),0)</f>
        <v/>
      </c>
      <c r="BR25">
        <f>SUMPRODUCT((M_BOM[Part Name]=$A25)*M_BOM[RM_Qty_Per_Batch]*IFERROR(INDEX(PP_Grid[#Data],M_BOM[PPGridRow],70),0))+IFERROR(INDEX(M_RawMaterials[固定週次消費量_要入力],MATCH($A25,M_RawMaterials[Part Name],0)),0)</f>
        <v/>
      </c>
      <c r="BS25">
        <f>SUMPRODUCT((M_BOM[Part Name]=$A25)*M_BOM[RM_Qty_Per_Batch]*IFERROR(INDEX(PP_Grid[#Data],M_BOM[PPGridRow],71),0))+IFERROR(INDEX(M_RawMaterials[固定週次消費量_要入力],MATCH($A25,M_RawMaterials[Part Name],0)),0)</f>
        <v/>
      </c>
      <c r="BT25">
        <f>SUMPRODUCT((M_BOM[Part Name]=$A25)*M_BOM[RM_Qty_Per_Batch]*IFERROR(INDEX(PP_Grid[#Data],M_BOM[PPGridRow],72),0))+IFERROR(INDEX(M_RawMaterials[固定週次消費量_要入力],MATCH($A25,M_RawMaterials[Part Name],0)),0)</f>
        <v/>
      </c>
      <c r="BU25">
        <f>SUMPRODUCT((M_BOM[Part Name]=$A25)*M_BOM[RM_Qty_Per_Batch]*IFERROR(INDEX(PP_Grid[#Data],M_BOM[PPGridRow],73),0))+IFERROR(INDEX(M_RawMaterials[固定週次消費量_要入力],MATCH($A25,M_RawMaterials[Part Name],0)),0)</f>
        <v/>
      </c>
      <c r="BV25">
        <f>SUMPRODUCT((M_BOM[Part Name]=$A25)*M_BOM[RM_Qty_Per_Batch]*IFERROR(INDEX(PP_Grid[#Data],M_BOM[PPGridRow],74),0))+IFERROR(INDEX(M_RawMaterials[固定週次消費量_要入力],MATCH($A25,M_RawMaterials[Part Name],0)),0)</f>
        <v/>
      </c>
      <c r="BW25">
        <f>SUMPRODUCT((M_BOM[Part Name]=$A25)*M_BOM[RM_Qty_Per_Batch]*IFERROR(INDEX(PP_Grid[#Data],M_BOM[PPGridRow],75),0))+IFERROR(INDEX(M_RawMaterials[固定週次消費量_要入力],MATCH($A25,M_RawMaterials[Part Name],0)),0)</f>
        <v/>
      </c>
      <c r="BX25">
        <f>SUMPRODUCT((M_BOM[Part Name]=$A25)*M_BOM[RM_Qty_Per_Batch]*IFERROR(INDEX(PP_Grid[#Data],M_BOM[PPGridRow],76),0))+IFERROR(INDEX(M_RawMaterials[固定週次消費量_要入力],MATCH($A25,M_RawMaterials[Part Name],0)),0)</f>
        <v/>
      </c>
      <c r="BY25">
        <f>SUMPRODUCT((M_BOM[Part Name]=$A25)*M_BOM[RM_Qty_Per_Batch]*IFERROR(INDEX(PP_Grid[#Data],M_BOM[PPGridRow],77),0))+IFERROR(INDEX(M_RawMaterials[固定週次消費量_要入力],MATCH($A25,M_RawMaterials[Part Name],0)),0)</f>
        <v/>
      </c>
      <c r="BZ25">
        <f>SUMPRODUCT((M_BOM[Part Name]=$A25)*M_BOM[RM_Qty_Per_Batch]*IFERROR(INDEX(PP_Grid[#Data],M_BOM[PPGridRow],78),0))+IFERROR(INDEX(M_RawMaterials[固定週次消費量_要入力],MATCH($A25,M_RawMaterials[Part Name],0)),0)</f>
        <v/>
      </c>
      <c r="CA25">
        <f>SUMPRODUCT((M_BOM[Part Name]=$A25)*M_BOM[RM_Qty_Per_Batch]*IFERROR(INDEX(PP_Grid[#Data],M_BOM[PPGridRow],79),0))+IFERROR(INDEX(M_RawMaterials[固定週次消費量_要入力],MATCH($A25,M_RawMaterials[Part Name],0)),0)</f>
        <v/>
      </c>
      <c r="CB25">
        <f>SUMPRODUCT((M_BOM[Part Name]=$A25)*M_BOM[RM_Qty_Per_Batch]*IFERROR(INDEX(PP_Grid[#Data],M_BOM[PPGridRow],80),0))+IFERROR(INDEX(M_RawMaterials[固定週次消費量_要入力],MATCH($A25,M_RawMaterials[Part Name],0)),0)</f>
        <v/>
      </c>
      <c r="CC25">
        <f>SUMPRODUCT((M_BOM[Part Name]=$A25)*M_BOM[RM_Qty_Per_Batch]*IFERROR(INDEX(PP_Grid[#Data],M_BOM[PPGridRow],81),0))+IFERROR(INDEX(M_RawMaterials[固定週次消費量_要入力],MATCH($A25,M_RawMaterials[Part Name],0)),0)</f>
        <v/>
      </c>
      <c r="CD25">
        <f>SUMPRODUCT((M_BOM[Part Name]=$A25)*M_BOM[RM_Qty_Per_Batch]*IFERROR(INDEX(PP_Grid[#Data],M_BOM[PPGridRow],82),0))+IFERROR(INDEX(M_RawMaterials[固定週次消費量_要入力],MATCH($A25,M_RawMaterials[Part Name],0)),0)</f>
        <v/>
      </c>
      <c r="CE25">
        <f>SUMPRODUCT((M_BOM[Part Name]=$A25)*M_BOM[RM_Qty_Per_Batch]*IFERROR(INDEX(PP_Grid[#Data],M_BOM[PPGridRow],83),0))+IFERROR(INDEX(M_RawMaterials[固定週次消費量_要入力],MATCH($A25,M_RawMaterials[Part Name],0)),0)</f>
        <v/>
      </c>
      <c r="CF25">
        <f>SUMPRODUCT((M_BOM[Part Name]=$A25)*M_BOM[RM_Qty_Per_Batch]*IFERROR(INDEX(PP_Grid[#Data],M_BOM[PPGridRow],84),0))+IFERROR(INDEX(M_RawMaterials[固定週次消費量_要入力],MATCH($A25,M_RawMaterials[Part Name],0)),0)</f>
        <v/>
      </c>
      <c r="CG25">
        <f>SUMPRODUCT((M_BOM[Part Name]=$A25)*M_BOM[RM_Qty_Per_Batch]*IFERROR(INDEX(PP_Grid[#Data],M_BOM[PPGridRow],85),0))+IFERROR(INDEX(M_RawMaterials[固定週次消費量_要入力],MATCH($A25,M_RawMaterials[Part Name],0)),0)</f>
        <v/>
      </c>
      <c r="CH25">
        <f>SUMPRODUCT((M_BOM[Part Name]=$A25)*M_BOM[RM_Qty_Per_Batch]*IFERROR(INDEX(PP_Grid[#Data],M_BOM[PPGridRow],86),0))+IFERROR(INDEX(M_RawMaterials[固定週次消費量_要入力],MATCH($A25,M_RawMaterials[Part Name],0)),0)</f>
        <v/>
      </c>
      <c r="CI25">
        <f>SUMPRODUCT((M_BOM[Part Name]=$A25)*M_BOM[RM_Qty_Per_Batch]*IFERROR(INDEX(PP_Grid[#Data],M_BOM[PPGridRow],87),0))+IFERROR(INDEX(M_RawMaterials[固定週次消費量_要入力],MATCH($A25,M_RawMaterials[Part Name],0)),0)</f>
        <v/>
      </c>
      <c r="CJ25">
        <f>SUMPRODUCT((M_BOM[Part Name]=$A25)*M_BOM[RM_Qty_Per_Batch]*IFERROR(INDEX(PP_Grid[#Data],M_BOM[PPGridRow],88),0))+IFERROR(INDEX(M_RawMaterials[固定週次消費量_要入力],MATCH($A25,M_RawMaterials[Part Name],0)),0)</f>
        <v/>
      </c>
      <c r="CK25">
        <f>SUMPRODUCT((M_BOM[Part Name]=$A25)*M_BOM[RM_Qty_Per_Batch]*IFERROR(INDEX(PP_Grid[#Data],M_BOM[PPGridRow],89),0))+IFERROR(INDEX(M_RawMaterials[固定週次消費量_要入力],MATCH($A25,M_RawMaterials[Part Name],0)),0)</f>
        <v/>
      </c>
      <c r="CL25">
        <f>SUMPRODUCT((M_BOM[Part Name]=$A25)*M_BOM[RM_Qty_Per_Batch]*IFERROR(INDEX(PP_Grid[#Data],M_BOM[PPGridRow],90),0))+IFERROR(INDEX(M_RawMaterials[固定週次消費量_要入力],MATCH($A25,M_RawMaterials[Part Name],0)),0)</f>
        <v/>
      </c>
      <c r="CM25">
        <f>SUMPRODUCT((M_BOM[Part Name]=$A25)*M_BOM[RM_Qty_Per_Batch]*IFERROR(INDEX(PP_Grid[#Data],M_BOM[PPGridRow],91),0))+IFERROR(INDEX(M_RawMaterials[固定週次消費量_要入力],MATCH($A25,M_RawMaterials[Part Name],0)),0)</f>
        <v/>
      </c>
      <c r="CN25">
        <f>SUMPRODUCT((M_BOM[Part Name]=$A25)*M_BOM[RM_Qty_Per_Batch]*IFERROR(INDEX(PP_Grid[#Data],M_BOM[PPGridRow],92),0))+IFERROR(INDEX(M_RawMaterials[固定週次消費量_要入力],MATCH($A25,M_RawMaterials[Part Name],0)),0)</f>
        <v/>
      </c>
      <c r="CO25">
        <f>SUMPRODUCT((M_BOM[Part Name]=$A25)*M_BOM[RM_Qty_Per_Batch]*IFERROR(INDEX(PP_Grid[#Data],M_BOM[PPGridRow],93),0))+IFERROR(INDEX(M_RawMaterials[固定週次消費量_要入力],MATCH($A25,M_RawMaterials[Part Name],0)),0)</f>
        <v/>
      </c>
      <c r="CP25">
        <f>SUMPRODUCT((M_BOM[Part Name]=$A25)*M_BOM[RM_Qty_Per_Batch]*IFERROR(INDEX(PP_Grid[#Data],M_BOM[PPGridRow],94),0))+IFERROR(INDEX(M_RawMaterials[固定週次消費量_要入力],MATCH($A25,M_RawMaterials[Part Name],0)),0)</f>
        <v/>
      </c>
      <c r="CQ25">
        <f>SUMPRODUCT((M_BOM[Part Name]=$A25)*M_BOM[RM_Qty_Per_Batch]*IFERROR(INDEX(PP_Grid[#Data],M_BOM[PPGridRow],95),0))+IFERROR(INDEX(M_RawMaterials[固定週次消費量_要入力],MATCH($A25,M_RawMaterials[Part Name],0)),0)</f>
        <v/>
      </c>
      <c r="CR25">
        <f>SUMPRODUCT((M_BOM[Part Name]=$A25)*M_BOM[RM_Qty_Per_Batch]*IFERROR(INDEX(PP_Grid[#Data],M_BOM[PPGridRow],96),0))+IFERROR(INDEX(M_RawMaterials[固定週次消費量_要入力],MATCH($A25,M_RawMaterials[Part Name],0)),0)</f>
        <v/>
      </c>
      <c r="CS25">
        <f>SUMPRODUCT((M_BOM[Part Name]=$A25)*M_BOM[RM_Qty_Per_Batch]*IFERROR(INDEX(PP_Grid[#Data],M_BOM[PPGridRow],97),0))+IFERROR(INDEX(M_RawMaterials[固定週次消費量_要入力],MATCH($A25,M_RawMaterials[Part Name],0)),0)</f>
        <v/>
      </c>
      <c r="CT25">
        <f>SUMPRODUCT((M_BOM[Part Name]=$A25)*M_BOM[RM_Qty_Per_Batch]*IFERROR(INDEX(PP_Grid[#Data],M_BOM[PPGridRow],98),0))+IFERROR(INDEX(M_RawMaterials[固定週次消費量_要入力],MATCH($A25,M_RawMaterials[Part Name],0)),0)</f>
        <v/>
      </c>
      <c r="CU25">
        <f>SUMPRODUCT((M_BOM[Part Name]=$A25)*M_BOM[RM_Qty_Per_Batch]*IFERROR(INDEX(PP_Grid[#Data],M_BOM[PPGridRow],99),0))+IFERROR(INDEX(M_RawMaterials[固定週次消費量_要入力],MATCH($A25,M_RawMaterials[Part Name],0)),0)</f>
        <v/>
      </c>
      <c r="CV25">
        <f>SUMPRODUCT((M_BOM[Part Name]=$A25)*M_BOM[RM_Qty_Per_Batch]*IFERROR(INDEX(PP_Grid[#Data],M_BOM[PPGridRow],100),0))+IFERROR(INDEX(M_RawMaterials[固定週次消費量_要入力],MATCH($A25,M_RawMaterials[Part Name],0)),0)</f>
        <v/>
      </c>
      <c r="CW25">
        <f>SUMPRODUCT((M_BOM[Part Name]=$A25)*M_BOM[RM_Qty_Per_Batch]*IFERROR(INDEX(PP_Grid[#Data],M_BOM[PPGridRow],101),0))+IFERROR(INDEX(M_RawMaterials[固定週次消費量_要入力],MATCH($A25,M_RawMaterials[Part Name],0)),0)</f>
        <v/>
      </c>
      <c r="CX25">
        <f>SUMPRODUCT((M_BOM[Part Name]=$A25)*M_BOM[RM_Qty_Per_Batch]*IFERROR(INDEX(PP_Grid[#Data],M_BOM[PPGridRow],102),0))+IFERROR(INDEX(M_RawMaterials[固定週次消費量_要入力],MATCH($A25,M_RawMaterials[Part Name],0)),0)</f>
        <v/>
      </c>
      <c r="CY25">
        <f>SUMPRODUCT((M_BOM[Part Name]=$A25)*M_BOM[RM_Qty_Per_Batch]*IFERROR(INDEX(PP_Grid[#Data],M_BOM[PPGridRow],103),0))+IFERROR(INDEX(M_RawMaterials[固定週次消費量_要入力],MATCH($A25,M_RawMaterials[Part Name],0)),0)</f>
        <v/>
      </c>
      <c r="CZ25">
        <f>SUMPRODUCT((M_BOM[Part Name]=$A25)*M_BOM[RM_Qty_Per_Batch]*IFERROR(INDEX(PP_Grid[#Data],M_BOM[PPGridRow],104),0))+IFERROR(INDEX(M_RawMaterials[固定週次消費量_要入力],MATCH($A25,M_RawMaterials[Part Name],0)),0)</f>
        <v/>
      </c>
      <c r="DA25">
        <f>SUMPRODUCT((M_BOM[Part Name]=$A25)*M_BOM[RM_Qty_Per_Batch]*IFERROR(INDEX(PP_Grid[#Data],M_BOM[PPGridRow],105),0))+IFERROR(INDEX(M_RawMaterials[固定週次消費量_要入力],MATCH($A25,M_RawMaterials[Part Name],0)),0)</f>
        <v/>
      </c>
    </row>
    <row r="26">
      <c r="A26" t="inlineStr">
        <is>
          <t>CHEM-1580</t>
        </is>
      </c>
      <c r="B26">
        <f>SUMPRODUCT((M_BOM[Part Name]=$A26)*M_BOM[RM_Qty_Per_Batch]*IFERROR(INDEX(PP_Grid[#Data],M_BOM[PPGridRow],2),0))+IFERROR(INDEX(M_RawMaterials[固定週次消費量_要入力],MATCH($A26,M_RawMaterials[Part Name],0)),0)</f>
        <v/>
      </c>
      <c r="C26">
        <f>SUMPRODUCT((M_BOM[Part Name]=$A26)*M_BOM[RM_Qty_Per_Batch]*IFERROR(INDEX(PP_Grid[#Data],M_BOM[PPGridRow],3),0))+IFERROR(INDEX(M_RawMaterials[固定週次消費量_要入力],MATCH($A26,M_RawMaterials[Part Name],0)),0)</f>
        <v/>
      </c>
      <c r="D26">
        <f>SUMPRODUCT((M_BOM[Part Name]=$A26)*M_BOM[RM_Qty_Per_Batch]*IFERROR(INDEX(PP_Grid[#Data],M_BOM[PPGridRow],4),0))+IFERROR(INDEX(M_RawMaterials[固定週次消費量_要入力],MATCH($A26,M_RawMaterials[Part Name],0)),0)</f>
        <v/>
      </c>
      <c r="E26">
        <f>SUMPRODUCT((M_BOM[Part Name]=$A26)*M_BOM[RM_Qty_Per_Batch]*IFERROR(INDEX(PP_Grid[#Data],M_BOM[PPGridRow],5),0))+IFERROR(INDEX(M_RawMaterials[固定週次消費量_要入力],MATCH($A26,M_RawMaterials[Part Name],0)),0)</f>
        <v/>
      </c>
      <c r="F26">
        <f>SUMPRODUCT((M_BOM[Part Name]=$A26)*M_BOM[RM_Qty_Per_Batch]*IFERROR(INDEX(PP_Grid[#Data],M_BOM[PPGridRow],6),0))+IFERROR(INDEX(M_RawMaterials[固定週次消費量_要入力],MATCH($A26,M_RawMaterials[Part Name],0)),0)</f>
        <v/>
      </c>
      <c r="G26">
        <f>SUMPRODUCT((M_BOM[Part Name]=$A26)*M_BOM[RM_Qty_Per_Batch]*IFERROR(INDEX(PP_Grid[#Data],M_BOM[PPGridRow],7),0))+IFERROR(INDEX(M_RawMaterials[固定週次消費量_要入力],MATCH($A26,M_RawMaterials[Part Name],0)),0)</f>
        <v/>
      </c>
      <c r="H26">
        <f>SUMPRODUCT((M_BOM[Part Name]=$A26)*M_BOM[RM_Qty_Per_Batch]*IFERROR(INDEX(PP_Grid[#Data],M_BOM[PPGridRow],8),0))+IFERROR(INDEX(M_RawMaterials[固定週次消費量_要入力],MATCH($A26,M_RawMaterials[Part Name],0)),0)</f>
        <v/>
      </c>
      <c r="I26">
        <f>SUMPRODUCT((M_BOM[Part Name]=$A26)*M_BOM[RM_Qty_Per_Batch]*IFERROR(INDEX(PP_Grid[#Data],M_BOM[PPGridRow],9),0))+IFERROR(INDEX(M_RawMaterials[固定週次消費量_要入力],MATCH($A26,M_RawMaterials[Part Name],0)),0)</f>
        <v/>
      </c>
      <c r="J26">
        <f>SUMPRODUCT((M_BOM[Part Name]=$A26)*M_BOM[RM_Qty_Per_Batch]*IFERROR(INDEX(PP_Grid[#Data],M_BOM[PPGridRow],10),0))+IFERROR(INDEX(M_RawMaterials[固定週次消費量_要入力],MATCH($A26,M_RawMaterials[Part Name],0)),0)</f>
        <v/>
      </c>
      <c r="K26">
        <f>SUMPRODUCT((M_BOM[Part Name]=$A26)*M_BOM[RM_Qty_Per_Batch]*IFERROR(INDEX(PP_Grid[#Data],M_BOM[PPGridRow],11),0))+IFERROR(INDEX(M_RawMaterials[固定週次消費量_要入力],MATCH($A26,M_RawMaterials[Part Name],0)),0)</f>
        <v/>
      </c>
      <c r="L26">
        <f>SUMPRODUCT((M_BOM[Part Name]=$A26)*M_BOM[RM_Qty_Per_Batch]*IFERROR(INDEX(PP_Grid[#Data],M_BOM[PPGridRow],12),0))+IFERROR(INDEX(M_RawMaterials[固定週次消費量_要入力],MATCH($A26,M_RawMaterials[Part Name],0)),0)</f>
        <v/>
      </c>
      <c r="M26">
        <f>SUMPRODUCT((M_BOM[Part Name]=$A26)*M_BOM[RM_Qty_Per_Batch]*IFERROR(INDEX(PP_Grid[#Data],M_BOM[PPGridRow],13),0))+IFERROR(INDEX(M_RawMaterials[固定週次消費量_要入力],MATCH($A26,M_RawMaterials[Part Name],0)),0)</f>
        <v/>
      </c>
      <c r="N26">
        <f>SUMPRODUCT((M_BOM[Part Name]=$A26)*M_BOM[RM_Qty_Per_Batch]*IFERROR(INDEX(PP_Grid[#Data],M_BOM[PPGridRow],14),0))+IFERROR(INDEX(M_RawMaterials[固定週次消費量_要入力],MATCH($A26,M_RawMaterials[Part Name],0)),0)</f>
        <v/>
      </c>
      <c r="O26">
        <f>SUMPRODUCT((M_BOM[Part Name]=$A26)*M_BOM[RM_Qty_Per_Batch]*IFERROR(INDEX(PP_Grid[#Data],M_BOM[PPGridRow],15),0))+IFERROR(INDEX(M_RawMaterials[固定週次消費量_要入力],MATCH($A26,M_RawMaterials[Part Name],0)),0)</f>
        <v/>
      </c>
      <c r="P26">
        <f>SUMPRODUCT((M_BOM[Part Name]=$A26)*M_BOM[RM_Qty_Per_Batch]*IFERROR(INDEX(PP_Grid[#Data],M_BOM[PPGridRow],16),0))+IFERROR(INDEX(M_RawMaterials[固定週次消費量_要入力],MATCH($A26,M_RawMaterials[Part Name],0)),0)</f>
        <v/>
      </c>
      <c r="Q26">
        <f>SUMPRODUCT((M_BOM[Part Name]=$A26)*M_BOM[RM_Qty_Per_Batch]*IFERROR(INDEX(PP_Grid[#Data],M_BOM[PPGridRow],17),0))+IFERROR(INDEX(M_RawMaterials[固定週次消費量_要入力],MATCH($A26,M_RawMaterials[Part Name],0)),0)</f>
        <v/>
      </c>
      <c r="R26">
        <f>SUMPRODUCT((M_BOM[Part Name]=$A26)*M_BOM[RM_Qty_Per_Batch]*IFERROR(INDEX(PP_Grid[#Data],M_BOM[PPGridRow],18),0))+IFERROR(INDEX(M_RawMaterials[固定週次消費量_要入力],MATCH($A26,M_RawMaterials[Part Name],0)),0)</f>
        <v/>
      </c>
      <c r="S26">
        <f>SUMPRODUCT((M_BOM[Part Name]=$A26)*M_BOM[RM_Qty_Per_Batch]*IFERROR(INDEX(PP_Grid[#Data],M_BOM[PPGridRow],19),0))+IFERROR(INDEX(M_RawMaterials[固定週次消費量_要入力],MATCH($A26,M_RawMaterials[Part Name],0)),0)</f>
        <v/>
      </c>
      <c r="T26">
        <f>SUMPRODUCT((M_BOM[Part Name]=$A26)*M_BOM[RM_Qty_Per_Batch]*IFERROR(INDEX(PP_Grid[#Data],M_BOM[PPGridRow],20),0))+IFERROR(INDEX(M_RawMaterials[固定週次消費量_要入力],MATCH($A26,M_RawMaterials[Part Name],0)),0)</f>
        <v/>
      </c>
      <c r="U26">
        <f>SUMPRODUCT((M_BOM[Part Name]=$A26)*M_BOM[RM_Qty_Per_Batch]*IFERROR(INDEX(PP_Grid[#Data],M_BOM[PPGridRow],21),0))+IFERROR(INDEX(M_RawMaterials[固定週次消費量_要入力],MATCH($A26,M_RawMaterials[Part Name],0)),0)</f>
        <v/>
      </c>
      <c r="V26">
        <f>SUMPRODUCT((M_BOM[Part Name]=$A26)*M_BOM[RM_Qty_Per_Batch]*IFERROR(INDEX(PP_Grid[#Data],M_BOM[PPGridRow],22),0))+IFERROR(INDEX(M_RawMaterials[固定週次消費量_要入力],MATCH($A26,M_RawMaterials[Part Name],0)),0)</f>
        <v/>
      </c>
      <c r="W26">
        <f>SUMPRODUCT((M_BOM[Part Name]=$A26)*M_BOM[RM_Qty_Per_Batch]*IFERROR(INDEX(PP_Grid[#Data],M_BOM[PPGridRow],23),0))+IFERROR(INDEX(M_RawMaterials[固定週次消費量_要入力],MATCH($A26,M_RawMaterials[Part Name],0)),0)</f>
        <v/>
      </c>
      <c r="X26">
        <f>SUMPRODUCT((M_BOM[Part Name]=$A26)*M_BOM[RM_Qty_Per_Batch]*IFERROR(INDEX(PP_Grid[#Data],M_BOM[PPGridRow],24),0))+IFERROR(INDEX(M_RawMaterials[固定週次消費量_要入力],MATCH($A26,M_RawMaterials[Part Name],0)),0)</f>
        <v/>
      </c>
      <c r="Y26">
        <f>SUMPRODUCT((M_BOM[Part Name]=$A26)*M_BOM[RM_Qty_Per_Batch]*IFERROR(INDEX(PP_Grid[#Data],M_BOM[PPGridRow],25),0))+IFERROR(INDEX(M_RawMaterials[固定週次消費量_要入力],MATCH($A26,M_RawMaterials[Part Name],0)),0)</f>
        <v/>
      </c>
      <c r="Z26">
        <f>SUMPRODUCT((M_BOM[Part Name]=$A26)*M_BOM[RM_Qty_Per_Batch]*IFERROR(INDEX(PP_Grid[#Data],M_BOM[PPGridRow],26),0))+IFERROR(INDEX(M_RawMaterials[固定週次消費量_要入力],MATCH($A26,M_RawMaterials[Part Name],0)),0)</f>
        <v/>
      </c>
      <c r="AA26">
        <f>SUMPRODUCT((M_BOM[Part Name]=$A26)*M_BOM[RM_Qty_Per_Batch]*IFERROR(INDEX(PP_Grid[#Data],M_BOM[PPGridRow],27),0))+IFERROR(INDEX(M_RawMaterials[固定週次消費量_要入力],MATCH($A26,M_RawMaterials[Part Name],0)),0)</f>
        <v/>
      </c>
      <c r="AB26">
        <f>SUMPRODUCT((M_BOM[Part Name]=$A26)*M_BOM[RM_Qty_Per_Batch]*IFERROR(INDEX(PP_Grid[#Data],M_BOM[PPGridRow],28),0))+IFERROR(INDEX(M_RawMaterials[固定週次消費量_要入力],MATCH($A26,M_RawMaterials[Part Name],0)),0)</f>
        <v/>
      </c>
      <c r="AC26">
        <f>SUMPRODUCT((M_BOM[Part Name]=$A26)*M_BOM[RM_Qty_Per_Batch]*IFERROR(INDEX(PP_Grid[#Data],M_BOM[PPGridRow],29),0))+IFERROR(INDEX(M_RawMaterials[固定週次消費量_要入力],MATCH($A26,M_RawMaterials[Part Name],0)),0)</f>
        <v/>
      </c>
      <c r="AD26">
        <f>SUMPRODUCT((M_BOM[Part Name]=$A26)*M_BOM[RM_Qty_Per_Batch]*IFERROR(INDEX(PP_Grid[#Data],M_BOM[PPGridRow],30),0))+IFERROR(INDEX(M_RawMaterials[固定週次消費量_要入力],MATCH($A26,M_RawMaterials[Part Name],0)),0)</f>
        <v/>
      </c>
      <c r="AE26">
        <f>SUMPRODUCT((M_BOM[Part Name]=$A26)*M_BOM[RM_Qty_Per_Batch]*IFERROR(INDEX(PP_Grid[#Data],M_BOM[PPGridRow],31),0))+IFERROR(INDEX(M_RawMaterials[固定週次消費量_要入力],MATCH($A26,M_RawMaterials[Part Name],0)),0)</f>
        <v/>
      </c>
      <c r="AF26">
        <f>SUMPRODUCT((M_BOM[Part Name]=$A26)*M_BOM[RM_Qty_Per_Batch]*IFERROR(INDEX(PP_Grid[#Data],M_BOM[PPGridRow],32),0))+IFERROR(INDEX(M_RawMaterials[固定週次消費量_要入力],MATCH($A26,M_RawMaterials[Part Name],0)),0)</f>
        <v/>
      </c>
      <c r="AG26">
        <f>SUMPRODUCT((M_BOM[Part Name]=$A26)*M_BOM[RM_Qty_Per_Batch]*IFERROR(INDEX(PP_Grid[#Data],M_BOM[PPGridRow],33),0))+IFERROR(INDEX(M_RawMaterials[固定週次消費量_要入力],MATCH($A26,M_RawMaterials[Part Name],0)),0)</f>
        <v/>
      </c>
      <c r="AH26">
        <f>SUMPRODUCT((M_BOM[Part Name]=$A26)*M_BOM[RM_Qty_Per_Batch]*IFERROR(INDEX(PP_Grid[#Data],M_BOM[PPGridRow],34),0))+IFERROR(INDEX(M_RawMaterials[固定週次消費量_要入力],MATCH($A26,M_RawMaterials[Part Name],0)),0)</f>
        <v/>
      </c>
      <c r="AI26">
        <f>SUMPRODUCT((M_BOM[Part Name]=$A26)*M_BOM[RM_Qty_Per_Batch]*IFERROR(INDEX(PP_Grid[#Data],M_BOM[PPGridRow],35),0))+IFERROR(INDEX(M_RawMaterials[固定週次消費量_要入力],MATCH($A26,M_RawMaterials[Part Name],0)),0)</f>
        <v/>
      </c>
      <c r="AJ26">
        <f>SUMPRODUCT((M_BOM[Part Name]=$A26)*M_BOM[RM_Qty_Per_Batch]*IFERROR(INDEX(PP_Grid[#Data],M_BOM[PPGridRow],36),0))+IFERROR(INDEX(M_RawMaterials[固定週次消費量_要入力],MATCH($A26,M_RawMaterials[Part Name],0)),0)</f>
        <v/>
      </c>
      <c r="AK26">
        <f>SUMPRODUCT((M_BOM[Part Name]=$A26)*M_BOM[RM_Qty_Per_Batch]*IFERROR(INDEX(PP_Grid[#Data],M_BOM[PPGridRow],37),0))+IFERROR(INDEX(M_RawMaterials[固定週次消費量_要入力],MATCH($A26,M_RawMaterials[Part Name],0)),0)</f>
        <v/>
      </c>
      <c r="AL26">
        <f>SUMPRODUCT((M_BOM[Part Name]=$A26)*M_BOM[RM_Qty_Per_Batch]*IFERROR(INDEX(PP_Grid[#Data],M_BOM[PPGridRow],38),0))+IFERROR(INDEX(M_RawMaterials[固定週次消費量_要入力],MATCH($A26,M_RawMaterials[Part Name],0)),0)</f>
        <v/>
      </c>
      <c r="AM26">
        <f>SUMPRODUCT((M_BOM[Part Name]=$A26)*M_BOM[RM_Qty_Per_Batch]*IFERROR(INDEX(PP_Grid[#Data],M_BOM[PPGridRow],39),0))+IFERROR(INDEX(M_RawMaterials[固定週次消費量_要入力],MATCH($A26,M_RawMaterials[Part Name],0)),0)</f>
        <v/>
      </c>
      <c r="AN26">
        <f>SUMPRODUCT((M_BOM[Part Name]=$A26)*M_BOM[RM_Qty_Per_Batch]*IFERROR(INDEX(PP_Grid[#Data],M_BOM[PPGridRow],40),0))+IFERROR(INDEX(M_RawMaterials[固定週次消費量_要入力],MATCH($A26,M_RawMaterials[Part Name],0)),0)</f>
        <v/>
      </c>
      <c r="AO26">
        <f>SUMPRODUCT((M_BOM[Part Name]=$A26)*M_BOM[RM_Qty_Per_Batch]*IFERROR(INDEX(PP_Grid[#Data],M_BOM[PPGridRow],41),0))+IFERROR(INDEX(M_RawMaterials[固定週次消費量_要入力],MATCH($A26,M_RawMaterials[Part Name],0)),0)</f>
        <v/>
      </c>
      <c r="AP26">
        <f>SUMPRODUCT((M_BOM[Part Name]=$A26)*M_BOM[RM_Qty_Per_Batch]*IFERROR(INDEX(PP_Grid[#Data],M_BOM[PPGridRow],42),0))+IFERROR(INDEX(M_RawMaterials[固定週次消費量_要入力],MATCH($A26,M_RawMaterials[Part Name],0)),0)</f>
        <v/>
      </c>
      <c r="AQ26">
        <f>SUMPRODUCT((M_BOM[Part Name]=$A26)*M_BOM[RM_Qty_Per_Batch]*IFERROR(INDEX(PP_Grid[#Data],M_BOM[PPGridRow],43),0))+IFERROR(INDEX(M_RawMaterials[固定週次消費量_要入力],MATCH($A26,M_RawMaterials[Part Name],0)),0)</f>
        <v/>
      </c>
      <c r="AR26">
        <f>SUMPRODUCT((M_BOM[Part Name]=$A26)*M_BOM[RM_Qty_Per_Batch]*IFERROR(INDEX(PP_Grid[#Data],M_BOM[PPGridRow],44),0))+IFERROR(INDEX(M_RawMaterials[固定週次消費量_要入力],MATCH($A26,M_RawMaterials[Part Name],0)),0)</f>
        <v/>
      </c>
      <c r="AS26">
        <f>SUMPRODUCT((M_BOM[Part Name]=$A26)*M_BOM[RM_Qty_Per_Batch]*IFERROR(INDEX(PP_Grid[#Data],M_BOM[PPGridRow],45),0))+IFERROR(INDEX(M_RawMaterials[固定週次消費量_要入力],MATCH($A26,M_RawMaterials[Part Name],0)),0)</f>
        <v/>
      </c>
      <c r="AT26">
        <f>SUMPRODUCT((M_BOM[Part Name]=$A26)*M_BOM[RM_Qty_Per_Batch]*IFERROR(INDEX(PP_Grid[#Data],M_BOM[PPGridRow],46),0))+IFERROR(INDEX(M_RawMaterials[固定週次消費量_要入力],MATCH($A26,M_RawMaterials[Part Name],0)),0)</f>
        <v/>
      </c>
      <c r="AU26">
        <f>SUMPRODUCT((M_BOM[Part Name]=$A26)*M_BOM[RM_Qty_Per_Batch]*IFERROR(INDEX(PP_Grid[#Data],M_BOM[PPGridRow],47),0))+IFERROR(INDEX(M_RawMaterials[固定週次消費量_要入力],MATCH($A26,M_RawMaterials[Part Name],0)),0)</f>
        <v/>
      </c>
      <c r="AV26">
        <f>SUMPRODUCT((M_BOM[Part Name]=$A26)*M_BOM[RM_Qty_Per_Batch]*IFERROR(INDEX(PP_Grid[#Data],M_BOM[PPGridRow],48),0))+IFERROR(INDEX(M_RawMaterials[固定週次消費量_要入力],MATCH($A26,M_RawMaterials[Part Name],0)),0)</f>
        <v/>
      </c>
      <c r="AW26">
        <f>SUMPRODUCT((M_BOM[Part Name]=$A26)*M_BOM[RM_Qty_Per_Batch]*IFERROR(INDEX(PP_Grid[#Data],M_BOM[PPGridRow],49),0))+IFERROR(INDEX(M_RawMaterials[固定週次消費量_要入力],MATCH($A26,M_RawMaterials[Part Name],0)),0)</f>
        <v/>
      </c>
      <c r="AX26">
        <f>SUMPRODUCT((M_BOM[Part Name]=$A26)*M_BOM[RM_Qty_Per_Batch]*IFERROR(INDEX(PP_Grid[#Data],M_BOM[PPGridRow],50),0))+IFERROR(INDEX(M_RawMaterials[固定週次消費量_要入力],MATCH($A26,M_RawMaterials[Part Name],0)),0)</f>
        <v/>
      </c>
      <c r="AY26">
        <f>SUMPRODUCT((M_BOM[Part Name]=$A26)*M_BOM[RM_Qty_Per_Batch]*IFERROR(INDEX(PP_Grid[#Data],M_BOM[PPGridRow],51),0))+IFERROR(INDEX(M_RawMaterials[固定週次消費量_要入力],MATCH($A26,M_RawMaterials[Part Name],0)),0)</f>
        <v/>
      </c>
      <c r="AZ26">
        <f>SUMPRODUCT((M_BOM[Part Name]=$A26)*M_BOM[RM_Qty_Per_Batch]*IFERROR(INDEX(PP_Grid[#Data],M_BOM[PPGridRow],52),0))+IFERROR(INDEX(M_RawMaterials[固定週次消費量_要入力],MATCH($A26,M_RawMaterials[Part Name],0)),0)</f>
        <v/>
      </c>
      <c r="BA26">
        <f>SUMPRODUCT((M_BOM[Part Name]=$A26)*M_BOM[RM_Qty_Per_Batch]*IFERROR(INDEX(PP_Grid[#Data],M_BOM[PPGridRow],53),0))+IFERROR(INDEX(M_RawMaterials[固定週次消費量_要入力],MATCH($A26,M_RawMaterials[Part Name],0)),0)</f>
        <v/>
      </c>
      <c r="BB26">
        <f>SUMPRODUCT((M_BOM[Part Name]=$A26)*M_BOM[RM_Qty_Per_Batch]*IFERROR(INDEX(PP_Grid[#Data],M_BOM[PPGridRow],54),0))+IFERROR(INDEX(M_RawMaterials[固定週次消費量_要入力],MATCH($A26,M_RawMaterials[Part Name],0)),0)</f>
        <v/>
      </c>
      <c r="BC26">
        <f>SUMPRODUCT((M_BOM[Part Name]=$A26)*M_BOM[RM_Qty_Per_Batch]*IFERROR(INDEX(PP_Grid[#Data],M_BOM[PPGridRow],55),0))+IFERROR(INDEX(M_RawMaterials[固定週次消費量_要入力],MATCH($A26,M_RawMaterials[Part Name],0)),0)</f>
        <v/>
      </c>
      <c r="BD26">
        <f>SUMPRODUCT((M_BOM[Part Name]=$A26)*M_BOM[RM_Qty_Per_Batch]*IFERROR(INDEX(PP_Grid[#Data],M_BOM[PPGridRow],56),0))+IFERROR(INDEX(M_RawMaterials[固定週次消費量_要入力],MATCH($A26,M_RawMaterials[Part Name],0)),0)</f>
        <v/>
      </c>
      <c r="BE26">
        <f>SUMPRODUCT((M_BOM[Part Name]=$A26)*M_BOM[RM_Qty_Per_Batch]*IFERROR(INDEX(PP_Grid[#Data],M_BOM[PPGridRow],57),0))+IFERROR(INDEX(M_RawMaterials[固定週次消費量_要入力],MATCH($A26,M_RawMaterials[Part Name],0)),0)</f>
        <v/>
      </c>
      <c r="BF26">
        <f>SUMPRODUCT((M_BOM[Part Name]=$A26)*M_BOM[RM_Qty_Per_Batch]*IFERROR(INDEX(PP_Grid[#Data],M_BOM[PPGridRow],58),0))+IFERROR(INDEX(M_RawMaterials[固定週次消費量_要入力],MATCH($A26,M_RawMaterials[Part Name],0)),0)</f>
        <v/>
      </c>
      <c r="BG26">
        <f>SUMPRODUCT((M_BOM[Part Name]=$A26)*M_BOM[RM_Qty_Per_Batch]*IFERROR(INDEX(PP_Grid[#Data],M_BOM[PPGridRow],59),0))+IFERROR(INDEX(M_RawMaterials[固定週次消費量_要入力],MATCH($A26,M_RawMaterials[Part Name],0)),0)</f>
        <v/>
      </c>
      <c r="BH26">
        <f>SUMPRODUCT((M_BOM[Part Name]=$A26)*M_BOM[RM_Qty_Per_Batch]*IFERROR(INDEX(PP_Grid[#Data],M_BOM[PPGridRow],60),0))+IFERROR(INDEX(M_RawMaterials[固定週次消費量_要入力],MATCH($A26,M_RawMaterials[Part Name],0)),0)</f>
        <v/>
      </c>
      <c r="BI26">
        <f>SUMPRODUCT((M_BOM[Part Name]=$A26)*M_BOM[RM_Qty_Per_Batch]*IFERROR(INDEX(PP_Grid[#Data],M_BOM[PPGridRow],61),0))+IFERROR(INDEX(M_RawMaterials[固定週次消費量_要入力],MATCH($A26,M_RawMaterials[Part Name],0)),0)</f>
        <v/>
      </c>
      <c r="BJ26">
        <f>SUMPRODUCT((M_BOM[Part Name]=$A26)*M_BOM[RM_Qty_Per_Batch]*IFERROR(INDEX(PP_Grid[#Data],M_BOM[PPGridRow],62),0))+IFERROR(INDEX(M_RawMaterials[固定週次消費量_要入力],MATCH($A26,M_RawMaterials[Part Name],0)),0)</f>
        <v/>
      </c>
      <c r="BK26">
        <f>SUMPRODUCT((M_BOM[Part Name]=$A26)*M_BOM[RM_Qty_Per_Batch]*IFERROR(INDEX(PP_Grid[#Data],M_BOM[PPGridRow],63),0))+IFERROR(INDEX(M_RawMaterials[固定週次消費量_要入力],MATCH($A26,M_RawMaterials[Part Name],0)),0)</f>
        <v/>
      </c>
      <c r="BL26">
        <f>SUMPRODUCT((M_BOM[Part Name]=$A26)*M_BOM[RM_Qty_Per_Batch]*IFERROR(INDEX(PP_Grid[#Data],M_BOM[PPGridRow],64),0))+IFERROR(INDEX(M_RawMaterials[固定週次消費量_要入力],MATCH($A26,M_RawMaterials[Part Name],0)),0)</f>
        <v/>
      </c>
      <c r="BM26">
        <f>SUMPRODUCT((M_BOM[Part Name]=$A26)*M_BOM[RM_Qty_Per_Batch]*IFERROR(INDEX(PP_Grid[#Data],M_BOM[PPGridRow],65),0))+IFERROR(INDEX(M_RawMaterials[固定週次消費量_要入力],MATCH($A26,M_RawMaterials[Part Name],0)),0)</f>
        <v/>
      </c>
      <c r="BN26">
        <f>SUMPRODUCT((M_BOM[Part Name]=$A26)*M_BOM[RM_Qty_Per_Batch]*IFERROR(INDEX(PP_Grid[#Data],M_BOM[PPGridRow],66),0))+IFERROR(INDEX(M_RawMaterials[固定週次消費量_要入力],MATCH($A26,M_RawMaterials[Part Name],0)),0)</f>
        <v/>
      </c>
      <c r="BO26">
        <f>SUMPRODUCT((M_BOM[Part Name]=$A26)*M_BOM[RM_Qty_Per_Batch]*IFERROR(INDEX(PP_Grid[#Data],M_BOM[PPGridRow],67),0))+IFERROR(INDEX(M_RawMaterials[固定週次消費量_要入力],MATCH($A26,M_RawMaterials[Part Name],0)),0)</f>
        <v/>
      </c>
      <c r="BP26">
        <f>SUMPRODUCT((M_BOM[Part Name]=$A26)*M_BOM[RM_Qty_Per_Batch]*IFERROR(INDEX(PP_Grid[#Data],M_BOM[PPGridRow],68),0))+IFERROR(INDEX(M_RawMaterials[固定週次消費量_要入力],MATCH($A26,M_RawMaterials[Part Name],0)),0)</f>
        <v/>
      </c>
      <c r="BQ26">
        <f>SUMPRODUCT((M_BOM[Part Name]=$A26)*M_BOM[RM_Qty_Per_Batch]*IFERROR(INDEX(PP_Grid[#Data],M_BOM[PPGridRow],69),0))+IFERROR(INDEX(M_RawMaterials[固定週次消費量_要入力],MATCH($A26,M_RawMaterials[Part Name],0)),0)</f>
        <v/>
      </c>
      <c r="BR26">
        <f>SUMPRODUCT((M_BOM[Part Name]=$A26)*M_BOM[RM_Qty_Per_Batch]*IFERROR(INDEX(PP_Grid[#Data],M_BOM[PPGridRow],70),0))+IFERROR(INDEX(M_RawMaterials[固定週次消費量_要入力],MATCH($A26,M_RawMaterials[Part Name],0)),0)</f>
        <v/>
      </c>
      <c r="BS26">
        <f>SUMPRODUCT((M_BOM[Part Name]=$A26)*M_BOM[RM_Qty_Per_Batch]*IFERROR(INDEX(PP_Grid[#Data],M_BOM[PPGridRow],71),0))+IFERROR(INDEX(M_RawMaterials[固定週次消費量_要入力],MATCH($A26,M_RawMaterials[Part Name],0)),0)</f>
        <v/>
      </c>
      <c r="BT26">
        <f>SUMPRODUCT((M_BOM[Part Name]=$A26)*M_BOM[RM_Qty_Per_Batch]*IFERROR(INDEX(PP_Grid[#Data],M_BOM[PPGridRow],72),0))+IFERROR(INDEX(M_RawMaterials[固定週次消費量_要入力],MATCH($A26,M_RawMaterials[Part Name],0)),0)</f>
        <v/>
      </c>
      <c r="BU26">
        <f>SUMPRODUCT((M_BOM[Part Name]=$A26)*M_BOM[RM_Qty_Per_Batch]*IFERROR(INDEX(PP_Grid[#Data],M_BOM[PPGridRow],73),0))+IFERROR(INDEX(M_RawMaterials[固定週次消費量_要入力],MATCH($A26,M_RawMaterials[Part Name],0)),0)</f>
        <v/>
      </c>
      <c r="BV26">
        <f>SUMPRODUCT((M_BOM[Part Name]=$A26)*M_BOM[RM_Qty_Per_Batch]*IFERROR(INDEX(PP_Grid[#Data],M_BOM[PPGridRow],74),0))+IFERROR(INDEX(M_RawMaterials[固定週次消費量_要入力],MATCH($A26,M_RawMaterials[Part Name],0)),0)</f>
        <v/>
      </c>
      <c r="BW26">
        <f>SUMPRODUCT((M_BOM[Part Name]=$A26)*M_BOM[RM_Qty_Per_Batch]*IFERROR(INDEX(PP_Grid[#Data],M_BOM[PPGridRow],75),0))+IFERROR(INDEX(M_RawMaterials[固定週次消費量_要入力],MATCH($A26,M_RawMaterials[Part Name],0)),0)</f>
        <v/>
      </c>
      <c r="BX26">
        <f>SUMPRODUCT((M_BOM[Part Name]=$A26)*M_BOM[RM_Qty_Per_Batch]*IFERROR(INDEX(PP_Grid[#Data],M_BOM[PPGridRow],76),0))+IFERROR(INDEX(M_RawMaterials[固定週次消費量_要入力],MATCH($A26,M_RawMaterials[Part Name],0)),0)</f>
        <v/>
      </c>
      <c r="BY26">
        <f>SUMPRODUCT((M_BOM[Part Name]=$A26)*M_BOM[RM_Qty_Per_Batch]*IFERROR(INDEX(PP_Grid[#Data],M_BOM[PPGridRow],77),0))+IFERROR(INDEX(M_RawMaterials[固定週次消費量_要入力],MATCH($A26,M_RawMaterials[Part Name],0)),0)</f>
        <v/>
      </c>
      <c r="BZ26">
        <f>SUMPRODUCT((M_BOM[Part Name]=$A26)*M_BOM[RM_Qty_Per_Batch]*IFERROR(INDEX(PP_Grid[#Data],M_BOM[PPGridRow],78),0))+IFERROR(INDEX(M_RawMaterials[固定週次消費量_要入力],MATCH($A26,M_RawMaterials[Part Name],0)),0)</f>
        <v/>
      </c>
      <c r="CA26">
        <f>SUMPRODUCT((M_BOM[Part Name]=$A26)*M_BOM[RM_Qty_Per_Batch]*IFERROR(INDEX(PP_Grid[#Data],M_BOM[PPGridRow],79),0))+IFERROR(INDEX(M_RawMaterials[固定週次消費量_要入力],MATCH($A26,M_RawMaterials[Part Name],0)),0)</f>
        <v/>
      </c>
      <c r="CB26">
        <f>SUMPRODUCT((M_BOM[Part Name]=$A26)*M_BOM[RM_Qty_Per_Batch]*IFERROR(INDEX(PP_Grid[#Data],M_BOM[PPGridRow],80),0))+IFERROR(INDEX(M_RawMaterials[固定週次消費量_要入力],MATCH($A26,M_RawMaterials[Part Name],0)),0)</f>
        <v/>
      </c>
      <c r="CC26">
        <f>SUMPRODUCT((M_BOM[Part Name]=$A26)*M_BOM[RM_Qty_Per_Batch]*IFERROR(INDEX(PP_Grid[#Data],M_BOM[PPGridRow],81),0))+IFERROR(INDEX(M_RawMaterials[固定週次消費量_要入力],MATCH($A26,M_RawMaterials[Part Name],0)),0)</f>
        <v/>
      </c>
      <c r="CD26">
        <f>SUMPRODUCT((M_BOM[Part Name]=$A26)*M_BOM[RM_Qty_Per_Batch]*IFERROR(INDEX(PP_Grid[#Data],M_BOM[PPGridRow],82),0))+IFERROR(INDEX(M_RawMaterials[固定週次消費量_要入力],MATCH($A26,M_RawMaterials[Part Name],0)),0)</f>
        <v/>
      </c>
      <c r="CE26">
        <f>SUMPRODUCT((M_BOM[Part Name]=$A26)*M_BOM[RM_Qty_Per_Batch]*IFERROR(INDEX(PP_Grid[#Data],M_BOM[PPGridRow],83),0))+IFERROR(INDEX(M_RawMaterials[固定週次消費量_要入力],MATCH($A26,M_RawMaterials[Part Name],0)),0)</f>
        <v/>
      </c>
      <c r="CF26">
        <f>SUMPRODUCT((M_BOM[Part Name]=$A26)*M_BOM[RM_Qty_Per_Batch]*IFERROR(INDEX(PP_Grid[#Data],M_BOM[PPGridRow],84),0))+IFERROR(INDEX(M_RawMaterials[固定週次消費量_要入力],MATCH($A26,M_RawMaterials[Part Name],0)),0)</f>
        <v/>
      </c>
      <c r="CG26">
        <f>SUMPRODUCT((M_BOM[Part Name]=$A26)*M_BOM[RM_Qty_Per_Batch]*IFERROR(INDEX(PP_Grid[#Data],M_BOM[PPGridRow],85),0))+IFERROR(INDEX(M_RawMaterials[固定週次消費量_要入力],MATCH($A26,M_RawMaterials[Part Name],0)),0)</f>
        <v/>
      </c>
      <c r="CH26">
        <f>SUMPRODUCT((M_BOM[Part Name]=$A26)*M_BOM[RM_Qty_Per_Batch]*IFERROR(INDEX(PP_Grid[#Data],M_BOM[PPGridRow],86),0))+IFERROR(INDEX(M_RawMaterials[固定週次消費量_要入力],MATCH($A26,M_RawMaterials[Part Name],0)),0)</f>
        <v/>
      </c>
      <c r="CI26">
        <f>SUMPRODUCT((M_BOM[Part Name]=$A26)*M_BOM[RM_Qty_Per_Batch]*IFERROR(INDEX(PP_Grid[#Data],M_BOM[PPGridRow],87),0))+IFERROR(INDEX(M_RawMaterials[固定週次消費量_要入力],MATCH($A26,M_RawMaterials[Part Name],0)),0)</f>
        <v/>
      </c>
      <c r="CJ26">
        <f>SUMPRODUCT((M_BOM[Part Name]=$A26)*M_BOM[RM_Qty_Per_Batch]*IFERROR(INDEX(PP_Grid[#Data],M_BOM[PPGridRow],88),0))+IFERROR(INDEX(M_RawMaterials[固定週次消費量_要入力],MATCH($A26,M_RawMaterials[Part Name],0)),0)</f>
        <v/>
      </c>
      <c r="CK26">
        <f>SUMPRODUCT((M_BOM[Part Name]=$A26)*M_BOM[RM_Qty_Per_Batch]*IFERROR(INDEX(PP_Grid[#Data],M_BOM[PPGridRow],89),0))+IFERROR(INDEX(M_RawMaterials[固定週次消費量_要入力],MATCH($A26,M_RawMaterials[Part Name],0)),0)</f>
        <v/>
      </c>
      <c r="CL26">
        <f>SUMPRODUCT((M_BOM[Part Name]=$A26)*M_BOM[RM_Qty_Per_Batch]*IFERROR(INDEX(PP_Grid[#Data],M_BOM[PPGridRow],90),0))+IFERROR(INDEX(M_RawMaterials[固定週次消費量_要入力],MATCH($A26,M_RawMaterials[Part Name],0)),0)</f>
        <v/>
      </c>
      <c r="CM26">
        <f>SUMPRODUCT((M_BOM[Part Name]=$A26)*M_BOM[RM_Qty_Per_Batch]*IFERROR(INDEX(PP_Grid[#Data],M_BOM[PPGridRow],91),0))+IFERROR(INDEX(M_RawMaterials[固定週次消費量_要入力],MATCH($A26,M_RawMaterials[Part Name],0)),0)</f>
        <v/>
      </c>
      <c r="CN26">
        <f>SUMPRODUCT((M_BOM[Part Name]=$A26)*M_BOM[RM_Qty_Per_Batch]*IFERROR(INDEX(PP_Grid[#Data],M_BOM[PPGridRow],92),0))+IFERROR(INDEX(M_RawMaterials[固定週次消費量_要入力],MATCH($A26,M_RawMaterials[Part Name],0)),0)</f>
        <v/>
      </c>
      <c r="CO26">
        <f>SUMPRODUCT((M_BOM[Part Name]=$A26)*M_BOM[RM_Qty_Per_Batch]*IFERROR(INDEX(PP_Grid[#Data],M_BOM[PPGridRow],93),0))+IFERROR(INDEX(M_RawMaterials[固定週次消費量_要入力],MATCH($A26,M_RawMaterials[Part Name],0)),0)</f>
        <v/>
      </c>
      <c r="CP26">
        <f>SUMPRODUCT((M_BOM[Part Name]=$A26)*M_BOM[RM_Qty_Per_Batch]*IFERROR(INDEX(PP_Grid[#Data],M_BOM[PPGridRow],94),0))+IFERROR(INDEX(M_RawMaterials[固定週次消費量_要入力],MATCH($A26,M_RawMaterials[Part Name],0)),0)</f>
        <v/>
      </c>
      <c r="CQ26">
        <f>SUMPRODUCT((M_BOM[Part Name]=$A26)*M_BOM[RM_Qty_Per_Batch]*IFERROR(INDEX(PP_Grid[#Data],M_BOM[PPGridRow],95),0))+IFERROR(INDEX(M_RawMaterials[固定週次消費量_要入力],MATCH($A26,M_RawMaterials[Part Name],0)),0)</f>
        <v/>
      </c>
      <c r="CR26">
        <f>SUMPRODUCT((M_BOM[Part Name]=$A26)*M_BOM[RM_Qty_Per_Batch]*IFERROR(INDEX(PP_Grid[#Data],M_BOM[PPGridRow],96),0))+IFERROR(INDEX(M_RawMaterials[固定週次消費量_要入力],MATCH($A26,M_RawMaterials[Part Name],0)),0)</f>
        <v/>
      </c>
      <c r="CS26">
        <f>SUMPRODUCT((M_BOM[Part Name]=$A26)*M_BOM[RM_Qty_Per_Batch]*IFERROR(INDEX(PP_Grid[#Data],M_BOM[PPGridRow],97),0))+IFERROR(INDEX(M_RawMaterials[固定週次消費量_要入力],MATCH($A26,M_RawMaterials[Part Name],0)),0)</f>
        <v/>
      </c>
      <c r="CT26">
        <f>SUMPRODUCT((M_BOM[Part Name]=$A26)*M_BOM[RM_Qty_Per_Batch]*IFERROR(INDEX(PP_Grid[#Data],M_BOM[PPGridRow],98),0))+IFERROR(INDEX(M_RawMaterials[固定週次消費量_要入力],MATCH($A26,M_RawMaterials[Part Name],0)),0)</f>
        <v/>
      </c>
      <c r="CU26">
        <f>SUMPRODUCT((M_BOM[Part Name]=$A26)*M_BOM[RM_Qty_Per_Batch]*IFERROR(INDEX(PP_Grid[#Data],M_BOM[PPGridRow],99),0))+IFERROR(INDEX(M_RawMaterials[固定週次消費量_要入力],MATCH($A26,M_RawMaterials[Part Name],0)),0)</f>
        <v/>
      </c>
      <c r="CV26">
        <f>SUMPRODUCT((M_BOM[Part Name]=$A26)*M_BOM[RM_Qty_Per_Batch]*IFERROR(INDEX(PP_Grid[#Data],M_BOM[PPGridRow],100),0))+IFERROR(INDEX(M_RawMaterials[固定週次消費量_要入力],MATCH($A26,M_RawMaterials[Part Name],0)),0)</f>
        <v/>
      </c>
      <c r="CW26">
        <f>SUMPRODUCT((M_BOM[Part Name]=$A26)*M_BOM[RM_Qty_Per_Batch]*IFERROR(INDEX(PP_Grid[#Data],M_BOM[PPGridRow],101),0))+IFERROR(INDEX(M_RawMaterials[固定週次消費量_要入力],MATCH($A26,M_RawMaterials[Part Name],0)),0)</f>
        <v/>
      </c>
      <c r="CX26">
        <f>SUMPRODUCT((M_BOM[Part Name]=$A26)*M_BOM[RM_Qty_Per_Batch]*IFERROR(INDEX(PP_Grid[#Data],M_BOM[PPGridRow],102),0))+IFERROR(INDEX(M_RawMaterials[固定週次消費量_要入力],MATCH($A26,M_RawMaterials[Part Name],0)),0)</f>
        <v/>
      </c>
      <c r="CY26">
        <f>SUMPRODUCT((M_BOM[Part Name]=$A26)*M_BOM[RM_Qty_Per_Batch]*IFERROR(INDEX(PP_Grid[#Data],M_BOM[PPGridRow],103),0))+IFERROR(INDEX(M_RawMaterials[固定週次消費量_要入力],MATCH($A26,M_RawMaterials[Part Name],0)),0)</f>
        <v/>
      </c>
      <c r="CZ26">
        <f>SUMPRODUCT((M_BOM[Part Name]=$A26)*M_BOM[RM_Qty_Per_Batch]*IFERROR(INDEX(PP_Grid[#Data],M_BOM[PPGridRow],104),0))+IFERROR(INDEX(M_RawMaterials[固定週次消費量_要入力],MATCH($A26,M_RawMaterials[Part Name],0)),0)</f>
        <v/>
      </c>
      <c r="DA26">
        <f>SUMPRODUCT((M_BOM[Part Name]=$A26)*M_BOM[RM_Qty_Per_Batch]*IFERROR(INDEX(PP_Grid[#Data],M_BOM[PPGridRow],105),0))+IFERROR(INDEX(M_RawMaterials[固定週次消費量_要入力],MATCH($A26,M_RawMaterials[Part Name],0)),0)</f>
        <v/>
      </c>
    </row>
    <row r="27">
      <c r="A27" t="inlineStr">
        <is>
          <t>CHEM-1250</t>
        </is>
      </c>
      <c r="B27">
        <f>SUMPRODUCT((M_BOM[Part Name]=$A27)*M_BOM[RM_Qty_Per_Batch]*IFERROR(INDEX(PP_Grid[#Data],M_BOM[PPGridRow],2),0))+IFERROR(INDEX(M_RawMaterials[固定週次消費量_要入力],MATCH($A27,M_RawMaterials[Part Name],0)),0)</f>
        <v/>
      </c>
      <c r="C27">
        <f>SUMPRODUCT((M_BOM[Part Name]=$A27)*M_BOM[RM_Qty_Per_Batch]*IFERROR(INDEX(PP_Grid[#Data],M_BOM[PPGridRow],3),0))+IFERROR(INDEX(M_RawMaterials[固定週次消費量_要入力],MATCH($A27,M_RawMaterials[Part Name],0)),0)</f>
        <v/>
      </c>
      <c r="D27">
        <f>SUMPRODUCT((M_BOM[Part Name]=$A27)*M_BOM[RM_Qty_Per_Batch]*IFERROR(INDEX(PP_Grid[#Data],M_BOM[PPGridRow],4),0))+IFERROR(INDEX(M_RawMaterials[固定週次消費量_要入力],MATCH($A27,M_RawMaterials[Part Name],0)),0)</f>
        <v/>
      </c>
      <c r="E27">
        <f>SUMPRODUCT((M_BOM[Part Name]=$A27)*M_BOM[RM_Qty_Per_Batch]*IFERROR(INDEX(PP_Grid[#Data],M_BOM[PPGridRow],5),0))+IFERROR(INDEX(M_RawMaterials[固定週次消費量_要入力],MATCH($A27,M_RawMaterials[Part Name],0)),0)</f>
        <v/>
      </c>
      <c r="F27">
        <f>SUMPRODUCT((M_BOM[Part Name]=$A27)*M_BOM[RM_Qty_Per_Batch]*IFERROR(INDEX(PP_Grid[#Data],M_BOM[PPGridRow],6),0))+IFERROR(INDEX(M_RawMaterials[固定週次消費量_要入力],MATCH($A27,M_RawMaterials[Part Name],0)),0)</f>
        <v/>
      </c>
      <c r="G27">
        <f>SUMPRODUCT((M_BOM[Part Name]=$A27)*M_BOM[RM_Qty_Per_Batch]*IFERROR(INDEX(PP_Grid[#Data],M_BOM[PPGridRow],7),0))+IFERROR(INDEX(M_RawMaterials[固定週次消費量_要入力],MATCH($A27,M_RawMaterials[Part Name],0)),0)</f>
        <v/>
      </c>
      <c r="H27">
        <f>SUMPRODUCT((M_BOM[Part Name]=$A27)*M_BOM[RM_Qty_Per_Batch]*IFERROR(INDEX(PP_Grid[#Data],M_BOM[PPGridRow],8),0))+IFERROR(INDEX(M_RawMaterials[固定週次消費量_要入力],MATCH($A27,M_RawMaterials[Part Name],0)),0)</f>
        <v/>
      </c>
      <c r="I27">
        <f>SUMPRODUCT((M_BOM[Part Name]=$A27)*M_BOM[RM_Qty_Per_Batch]*IFERROR(INDEX(PP_Grid[#Data],M_BOM[PPGridRow],9),0))+IFERROR(INDEX(M_RawMaterials[固定週次消費量_要入力],MATCH($A27,M_RawMaterials[Part Name],0)),0)</f>
        <v/>
      </c>
      <c r="J27">
        <f>SUMPRODUCT((M_BOM[Part Name]=$A27)*M_BOM[RM_Qty_Per_Batch]*IFERROR(INDEX(PP_Grid[#Data],M_BOM[PPGridRow],10),0))+IFERROR(INDEX(M_RawMaterials[固定週次消費量_要入力],MATCH($A27,M_RawMaterials[Part Name],0)),0)</f>
        <v/>
      </c>
      <c r="K27">
        <f>SUMPRODUCT((M_BOM[Part Name]=$A27)*M_BOM[RM_Qty_Per_Batch]*IFERROR(INDEX(PP_Grid[#Data],M_BOM[PPGridRow],11),0))+IFERROR(INDEX(M_RawMaterials[固定週次消費量_要入力],MATCH($A27,M_RawMaterials[Part Name],0)),0)</f>
        <v/>
      </c>
      <c r="L27">
        <f>SUMPRODUCT((M_BOM[Part Name]=$A27)*M_BOM[RM_Qty_Per_Batch]*IFERROR(INDEX(PP_Grid[#Data],M_BOM[PPGridRow],12),0))+IFERROR(INDEX(M_RawMaterials[固定週次消費量_要入力],MATCH($A27,M_RawMaterials[Part Name],0)),0)</f>
        <v/>
      </c>
      <c r="M27">
        <f>SUMPRODUCT((M_BOM[Part Name]=$A27)*M_BOM[RM_Qty_Per_Batch]*IFERROR(INDEX(PP_Grid[#Data],M_BOM[PPGridRow],13),0))+IFERROR(INDEX(M_RawMaterials[固定週次消費量_要入力],MATCH($A27,M_RawMaterials[Part Name],0)),0)</f>
        <v/>
      </c>
      <c r="N27">
        <f>SUMPRODUCT((M_BOM[Part Name]=$A27)*M_BOM[RM_Qty_Per_Batch]*IFERROR(INDEX(PP_Grid[#Data],M_BOM[PPGridRow],14),0))+IFERROR(INDEX(M_RawMaterials[固定週次消費量_要入力],MATCH($A27,M_RawMaterials[Part Name],0)),0)</f>
        <v/>
      </c>
      <c r="O27">
        <f>SUMPRODUCT((M_BOM[Part Name]=$A27)*M_BOM[RM_Qty_Per_Batch]*IFERROR(INDEX(PP_Grid[#Data],M_BOM[PPGridRow],15),0))+IFERROR(INDEX(M_RawMaterials[固定週次消費量_要入力],MATCH($A27,M_RawMaterials[Part Name],0)),0)</f>
        <v/>
      </c>
      <c r="P27">
        <f>SUMPRODUCT((M_BOM[Part Name]=$A27)*M_BOM[RM_Qty_Per_Batch]*IFERROR(INDEX(PP_Grid[#Data],M_BOM[PPGridRow],16),0))+IFERROR(INDEX(M_RawMaterials[固定週次消費量_要入力],MATCH($A27,M_RawMaterials[Part Name],0)),0)</f>
        <v/>
      </c>
      <c r="Q27">
        <f>SUMPRODUCT((M_BOM[Part Name]=$A27)*M_BOM[RM_Qty_Per_Batch]*IFERROR(INDEX(PP_Grid[#Data],M_BOM[PPGridRow],17),0))+IFERROR(INDEX(M_RawMaterials[固定週次消費量_要入力],MATCH($A27,M_RawMaterials[Part Name],0)),0)</f>
        <v/>
      </c>
      <c r="R27">
        <f>SUMPRODUCT((M_BOM[Part Name]=$A27)*M_BOM[RM_Qty_Per_Batch]*IFERROR(INDEX(PP_Grid[#Data],M_BOM[PPGridRow],18),0))+IFERROR(INDEX(M_RawMaterials[固定週次消費量_要入力],MATCH($A27,M_RawMaterials[Part Name],0)),0)</f>
        <v/>
      </c>
      <c r="S27">
        <f>SUMPRODUCT((M_BOM[Part Name]=$A27)*M_BOM[RM_Qty_Per_Batch]*IFERROR(INDEX(PP_Grid[#Data],M_BOM[PPGridRow],19),0))+IFERROR(INDEX(M_RawMaterials[固定週次消費量_要入力],MATCH($A27,M_RawMaterials[Part Name],0)),0)</f>
        <v/>
      </c>
      <c r="T27">
        <f>SUMPRODUCT((M_BOM[Part Name]=$A27)*M_BOM[RM_Qty_Per_Batch]*IFERROR(INDEX(PP_Grid[#Data],M_BOM[PPGridRow],20),0))+IFERROR(INDEX(M_RawMaterials[固定週次消費量_要入力],MATCH($A27,M_RawMaterials[Part Name],0)),0)</f>
        <v/>
      </c>
      <c r="U27">
        <f>SUMPRODUCT((M_BOM[Part Name]=$A27)*M_BOM[RM_Qty_Per_Batch]*IFERROR(INDEX(PP_Grid[#Data],M_BOM[PPGridRow],21),0))+IFERROR(INDEX(M_RawMaterials[固定週次消費量_要入力],MATCH($A27,M_RawMaterials[Part Name],0)),0)</f>
        <v/>
      </c>
      <c r="V27">
        <f>SUMPRODUCT((M_BOM[Part Name]=$A27)*M_BOM[RM_Qty_Per_Batch]*IFERROR(INDEX(PP_Grid[#Data],M_BOM[PPGridRow],22),0))+IFERROR(INDEX(M_RawMaterials[固定週次消費量_要入力],MATCH($A27,M_RawMaterials[Part Name],0)),0)</f>
        <v/>
      </c>
      <c r="W27">
        <f>SUMPRODUCT((M_BOM[Part Name]=$A27)*M_BOM[RM_Qty_Per_Batch]*IFERROR(INDEX(PP_Grid[#Data],M_BOM[PPGridRow],23),0))+IFERROR(INDEX(M_RawMaterials[固定週次消費量_要入力],MATCH($A27,M_RawMaterials[Part Name],0)),0)</f>
        <v/>
      </c>
      <c r="X27">
        <f>SUMPRODUCT((M_BOM[Part Name]=$A27)*M_BOM[RM_Qty_Per_Batch]*IFERROR(INDEX(PP_Grid[#Data],M_BOM[PPGridRow],24),0))+IFERROR(INDEX(M_RawMaterials[固定週次消費量_要入力],MATCH($A27,M_RawMaterials[Part Name],0)),0)</f>
        <v/>
      </c>
      <c r="Y27">
        <f>SUMPRODUCT((M_BOM[Part Name]=$A27)*M_BOM[RM_Qty_Per_Batch]*IFERROR(INDEX(PP_Grid[#Data],M_BOM[PPGridRow],25),0))+IFERROR(INDEX(M_RawMaterials[固定週次消費量_要入力],MATCH($A27,M_RawMaterials[Part Name],0)),0)</f>
        <v/>
      </c>
      <c r="Z27">
        <f>SUMPRODUCT((M_BOM[Part Name]=$A27)*M_BOM[RM_Qty_Per_Batch]*IFERROR(INDEX(PP_Grid[#Data],M_BOM[PPGridRow],26),0))+IFERROR(INDEX(M_RawMaterials[固定週次消費量_要入力],MATCH($A27,M_RawMaterials[Part Name],0)),0)</f>
        <v/>
      </c>
      <c r="AA27">
        <f>SUMPRODUCT((M_BOM[Part Name]=$A27)*M_BOM[RM_Qty_Per_Batch]*IFERROR(INDEX(PP_Grid[#Data],M_BOM[PPGridRow],27),0))+IFERROR(INDEX(M_RawMaterials[固定週次消費量_要入力],MATCH($A27,M_RawMaterials[Part Name],0)),0)</f>
        <v/>
      </c>
      <c r="AB27">
        <f>SUMPRODUCT((M_BOM[Part Name]=$A27)*M_BOM[RM_Qty_Per_Batch]*IFERROR(INDEX(PP_Grid[#Data],M_BOM[PPGridRow],28),0))+IFERROR(INDEX(M_RawMaterials[固定週次消費量_要入力],MATCH($A27,M_RawMaterials[Part Name],0)),0)</f>
        <v/>
      </c>
      <c r="AC27">
        <f>SUMPRODUCT((M_BOM[Part Name]=$A27)*M_BOM[RM_Qty_Per_Batch]*IFERROR(INDEX(PP_Grid[#Data],M_BOM[PPGridRow],29),0))+IFERROR(INDEX(M_RawMaterials[固定週次消費量_要入力],MATCH($A27,M_RawMaterials[Part Name],0)),0)</f>
        <v/>
      </c>
      <c r="AD27">
        <f>SUMPRODUCT((M_BOM[Part Name]=$A27)*M_BOM[RM_Qty_Per_Batch]*IFERROR(INDEX(PP_Grid[#Data],M_BOM[PPGridRow],30),0))+IFERROR(INDEX(M_RawMaterials[固定週次消費量_要入力],MATCH($A27,M_RawMaterials[Part Name],0)),0)</f>
        <v/>
      </c>
      <c r="AE27">
        <f>SUMPRODUCT((M_BOM[Part Name]=$A27)*M_BOM[RM_Qty_Per_Batch]*IFERROR(INDEX(PP_Grid[#Data],M_BOM[PPGridRow],31),0))+IFERROR(INDEX(M_RawMaterials[固定週次消費量_要入力],MATCH($A27,M_RawMaterials[Part Name],0)),0)</f>
        <v/>
      </c>
      <c r="AF27">
        <f>SUMPRODUCT((M_BOM[Part Name]=$A27)*M_BOM[RM_Qty_Per_Batch]*IFERROR(INDEX(PP_Grid[#Data],M_BOM[PPGridRow],32),0))+IFERROR(INDEX(M_RawMaterials[固定週次消費量_要入力],MATCH($A27,M_RawMaterials[Part Name],0)),0)</f>
        <v/>
      </c>
      <c r="AG27">
        <f>SUMPRODUCT((M_BOM[Part Name]=$A27)*M_BOM[RM_Qty_Per_Batch]*IFERROR(INDEX(PP_Grid[#Data],M_BOM[PPGridRow],33),0))+IFERROR(INDEX(M_RawMaterials[固定週次消費量_要入力],MATCH($A27,M_RawMaterials[Part Name],0)),0)</f>
        <v/>
      </c>
      <c r="AH27">
        <f>SUMPRODUCT((M_BOM[Part Name]=$A27)*M_BOM[RM_Qty_Per_Batch]*IFERROR(INDEX(PP_Grid[#Data],M_BOM[PPGridRow],34),0))+IFERROR(INDEX(M_RawMaterials[固定週次消費量_要入力],MATCH($A27,M_RawMaterials[Part Name],0)),0)</f>
        <v/>
      </c>
      <c r="AI27">
        <f>SUMPRODUCT((M_BOM[Part Name]=$A27)*M_BOM[RM_Qty_Per_Batch]*IFERROR(INDEX(PP_Grid[#Data],M_BOM[PPGridRow],35),0))+IFERROR(INDEX(M_RawMaterials[固定週次消費量_要入力],MATCH($A27,M_RawMaterials[Part Name],0)),0)</f>
        <v/>
      </c>
      <c r="AJ27">
        <f>SUMPRODUCT((M_BOM[Part Name]=$A27)*M_BOM[RM_Qty_Per_Batch]*IFERROR(INDEX(PP_Grid[#Data],M_BOM[PPGridRow],36),0))+IFERROR(INDEX(M_RawMaterials[固定週次消費量_要入力],MATCH($A27,M_RawMaterials[Part Name],0)),0)</f>
        <v/>
      </c>
      <c r="AK27">
        <f>SUMPRODUCT((M_BOM[Part Name]=$A27)*M_BOM[RM_Qty_Per_Batch]*IFERROR(INDEX(PP_Grid[#Data],M_BOM[PPGridRow],37),0))+IFERROR(INDEX(M_RawMaterials[固定週次消費量_要入力],MATCH($A27,M_RawMaterials[Part Name],0)),0)</f>
        <v/>
      </c>
      <c r="AL27">
        <f>SUMPRODUCT((M_BOM[Part Name]=$A27)*M_BOM[RM_Qty_Per_Batch]*IFERROR(INDEX(PP_Grid[#Data],M_BOM[PPGridRow],38),0))+IFERROR(INDEX(M_RawMaterials[固定週次消費量_要入力],MATCH($A27,M_RawMaterials[Part Name],0)),0)</f>
        <v/>
      </c>
      <c r="AM27">
        <f>SUMPRODUCT((M_BOM[Part Name]=$A27)*M_BOM[RM_Qty_Per_Batch]*IFERROR(INDEX(PP_Grid[#Data],M_BOM[PPGridRow],39),0))+IFERROR(INDEX(M_RawMaterials[固定週次消費量_要入力],MATCH($A27,M_RawMaterials[Part Name],0)),0)</f>
        <v/>
      </c>
      <c r="AN27">
        <f>SUMPRODUCT((M_BOM[Part Name]=$A27)*M_BOM[RM_Qty_Per_Batch]*IFERROR(INDEX(PP_Grid[#Data],M_BOM[PPGridRow],40),0))+IFERROR(INDEX(M_RawMaterials[固定週次消費量_要入力],MATCH($A27,M_RawMaterials[Part Name],0)),0)</f>
        <v/>
      </c>
      <c r="AO27">
        <f>SUMPRODUCT((M_BOM[Part Name]=$A27)*M_BOM[RM_Qty_Per_Batch]*IFERROR(INDEX(PP_Grid[#Data],M_BOM[PPGridRow],41),0))+IFERROR(INDEX(M_RawMaterials[固定週次消費量_要入力],MATCH($A27,M_RawMaterials[Part Name],0)),0)</f>
        <v/>
      </c>
      <c r="AP27">
        <f>SUMPRODUCT((M_BOM[Part Name]=$A27)*M_BOM[RM_Qty_Per_Batch]*IFERROR(INDEX(PP_Grid[#Data],M_BOM[PPGridRow],42),0))+IFERROR(INDEX(M_RawMaterials[固定週次消費量_要入力],MATCH($A27,M_RawMaterials[Part Name],0)),0)</f>
        <v/>
      </c>
      <c r="AQ27">
        <f>SUMPRODUCT((M_BOM[Part Name]=$A27)*M_BOM[RM_Qty_Per_Batch]*IFERROR(INDEX(PP_Grid[#Data],M_BOM[PPGridRow],43),0))+IFERROR(INDEX(M_RawMaterials[固定週次消費量_要入力],MATCH($A27,M_RawMaterials[Part Name],0)),0)</f>
        <v/>
      </c>
      <c r="AR27">
        <f>SUMPRODUCT((M_BOM[Part Name]=$A27)*M_BOM[RM_Qty_Per_Batch]*IFERROR(INDEX(PP_Grid[#Data],M_BOM[PPGridRow],44),0))+IFERROR(INDEX(M_RawMaterials[固定週次消費量_要入力],MATCH($A27,M_RawMaterials[Part Name],0)),0)</f>
        <v/>
      </c>
      <c r="AS27">
        <f>SUMPRODUCT((M_BOM[Part Name]=$A27)*M_BOM[RM_Qty_Per_Batch]*IFERROR(INDEX(PP_Grid[#Data],M_BOM[PPGridRow],45),0))+IFERROR(INDEX(M_RawMaterials[固定週次消費量_要入力],MATCH($A27,M_RawMaterials[Part Name],0)),0)</f>
        <v/>
      </c>
      <c r="AT27">
        <f>SUMPRODUCT((M_BOM[Part Name]=$A27)*M_BOM[RM_Qty_Per_Batch]*IFERROR(INDEX(PP_Grid[#Data],M_BOM[PPGridRow],46),0))+IFERROR(INDEX(M_RawMaterials[固定週次消費量_要入力],MATCH($A27,M_RawMaterials[Part Name],0)),0)</f>
        <v/>
      </c>
      <c r="AU27">
        <f>SUMPRODUCT((M_BOM[Part Name]=$A27)*M_BOM[RM_Qty_Per_Batch]*IFERROR(INDEX(PP_Grid[#Data],M_BOM[PPGridRow],47),0))+IFERROR(INDEX(M_RawMaterials[固定週次消費量_要入力],MATCH($A27,M_RawMaterials[Part Name],0)),0)</f>
        <v/>
      </c>
      <c r="AV27">
        <f>SUMPRODUCT((M_BOM[Part Name]=$A27)*M_BOM[RM_Qty_Per_Batch]*IFERROR(INDEX(PP_Grid[#Data],M_BOM[PPGridRow],48),0))+IFERROR(INDEX(M_RawMaterials[固定週次消費量_要入力],MATCH($A27,M_RawMaterials[Part Name],0)),0)</f>
        <v/>
      </c>
      <c r="AW27">
        <f>SUMPRODUCT((M_BOM[Part Name]=$A27)*M_BOM[RM_Qty_Per_Batch]*IFERROR(INDEX(PP_Grid[#Data],M_BOM[PPGridRow],49),0))+IFERROR(INDEX(M_RawMaterials[固定週次消費量_要入力],MATCH($A27,M_RawMaterials[Part Name],0)),0)</f>
        <v/>
      </c>
      <c r="AX27">
        <f>SUMPRODUCT((M_BOM[Part Name]=$A27)*M_BOM[RM_Qty_Per_Batch]*IFERROR(INDEX(PP_Grid[#Data],M_BOM[PPGridRow],50),0))+IFERROR(INDEX(M_RawMaterials[固定週次消費量_要入力],MATCH($A27,M_RawMaterials[Part Name],0)),0)</f>
        <v/>
      </c>
      <c r="AY27">
        <f>SUMPRODUCT((M_BOM[Part Name]=$A27)*M_BOM[RM_Qty_Per_Batch]*IFERROR(INDEX(PP_Grid[#Data],M_BOM[PPGridRow],51),0))+IFERROR(INDEX(M_RawMaterials[固定週次消費量_要入力],MATCH($A27,M_RawMaterials[Part Name],0)),0)</f>
        <v/>
      </c>
      <c r="AZ27">
        <f>SUMPRODUCT((M_BOM[Part Name]=$A27)*M_BOM[RM_Qty_Per_Batch]*IFERROR(INDEX(PP_Grid[#Data],M_BOM[PPGridRow],52),0))+IFERROR(INDEX(M_RawMaterials[固定週次消費量_要入力],MATCH($A27,M_RawMaterials[Part Name],0)),0)</f>
        <v/>
      </c>
      <c r="BA27">
        <f>SUMPRODUCT((M_BOM[Part Name]=$A27)*M_BOM[RM_Qty_Per_Batch]*IFERROR(INDEX(PP_Grid[#Data],M_BOM[PPGridRow],53),0))+IFERROR(INDEX(M_RawMaterials[固定週次消費量_要入力],MATCH($A27,M_RawMaterials[Part Name],0)),0)</f>
        <v/>
      </c>
      <c r="BB27">
        <f>SUMPRODUCT((M_BOM[Part Name]=$A27)*M_BOM[RM_Qty_Per_Batch]*IFERROR(INDEX(PP_Grid[#Data],M_BOM[PPGridRow],54),0))+IFERROR(INDEX(M_RawMaterials[固定週次消費量_要入力],MATCH($A27,M_RawMaterials[Part Name],0)),0)</f>
        <v/>
      </c>
      <c r="BC27">
        <f>SUMPRODUCT((M_BOM[Part Name]=$A27)*M_BOM[RM_Qty_Per_Batch]*IFERROR(INDEX(PP_Grid[#Data],M_BOM[PPGridRow],55),0))+IFERROR(INDEX(M_RawMaterials[固定週次消費量_要入力],MATCH($A27,M_RawMaterials[Part Name],0)),0)</f>
        <v/>
      </c>
      <c r="BD27">
        <f>SUMPRODUCT((M_BOM[Part Name]=$A27)*M_BOM[RM_Qty_Per_Batch]*IFERROR(INDEX(PP_Grid[#Data],M_BOM[PPGridRow],56),0))+IFERROR(INDEX(M_RawMaterials[固定週次消費量_要入力],MATCH($A27,M_RawMaterials[Part Name],0)),0)</f>
        <v/>
      </c>
      <c r="BE27">
        <f>SUMPRODUCT((M_BOM[Part Name]=$A27)*M_BOM[RM_Qty_Per_Batch]*IFERROR(INDEX(PP_Grid[#Data],M_BOM[PPGridRow],57),0))+IFERROR(INDEX(M_RawMaterials[固定週次消費量_要入力],MATCH($A27,M_RawMaterials[Part Name],0)),0)</f>
        <v/>
      </c>
      <c r="BF27">
        <f>SUMPRODUCT((M_BOM[Part Name]=$A27)*M_BOM[RM_Qty_Per_Batch]*IFERROR(INDEX(PP_Grid[#Data],M_BOM[PPGridRow],58),0))+IFERROR(INDEX(M_RawMaterials[固定週次消費量_要入力],MATCH($A27,M_RawMaterials[Part Name],0)),0)</f>
        <v/>
      </c>
      <c r="BG27">
        <f>SUMPRODUCT((M_BOM[Part Name]=$A27)*M_BOM[RM_Qty_Per_Batch]*IFERROR(INDEX(PP_Grid[#Data],M_BOM[PPGridRow],59),0))+IFERROR(INDEX(M_RawMaterials[固定週次消費量_要入力],MATCH($A27,M_RawMaterials[Part Name],0)),0)</f>
        <v/>
      </c>
      <c r="BH27">
        <f>SUMPRODUCT((M_BOM[Part Name]=$A27)*M_BOM[RM_Qty_Per_Batch]*IFERROR(INDEX(PP_Grid[#Data],M_BOM[PPGridRow],60),0))+IFERROR(INDEX(M_RawMaterials[固定週次消費量_要入力],MATCH($A27,M_RawMaterials[Part Name],0)),0)</f>
        <v/>
      </c>
      <c r="BI27">
        <f>SUMPRODUCT((M_BOM[Part Name]=$A27)*M_BOM[RM_Qty_Per_Batch]*IFERROR(INDEX(PP_Grid[#Data],M_BOM[PPGridRow],61),0))+IFERROR(INDEX(M_RawMaterials[固定週次消費量_要入力],MATCH($A27,M_RawMaterials[Part Name],0)),0)</f>
        <v/>
      </c>
      <c r="BJ27">
        <f>SUMPRODUCT((M_BOM[Part Name]=$A27)*M_BOM[RM_Qty_Per_Batch]*IFERROR(INDEX(PP_Grid[#Data],M_BOM[PPGridRow],62),0))+IFERROR(INDEX(M_RawMaterials[固定週次消費量_要入力],MATCH($A27,M_RawMaterials[Part Name],0)),0)</f>
        <v/>
      </c>
      <c r="BK27">
        <f>SUMPRODUCT((M_BOM[Part Name]=$A27)*M_BOM[RM_Qty_Per_Batch]*IFERROR(INDEX(PP_Grid[#Data],M_BOM[PPGridRow],63),0))+IFERROR(INDEX(M_RawMaterials[固定週次消費量_要入力],MATCH($A27,M_RawMaterials[Part Name],0)),0)</f>
        <v/>
      </c>
      <c r="BL27">
        <f>SUMPRODUCT((M_BOM[Part Name]=$A27)*M_BOM[RM_Qty_Per_Batch]*IFERROR(INDEX(PP_Grid[#Data],M_BOM[PPGridRow],64),0))+IFERROR(INDEX(M_RawMaterials[固定週次消費量_要入力],MATCH($A27,M_RawMaterials[Part Name],0)),0)</f>
        <v/>
      </c>
      <c r="BM27">
        <f>SUMPRODUCT((M_BOM[Part Name]=$A27)*M_BOM[RM_Qty_Per_Batch]*IFERROR(INDEX(PP_Grid[#Data],M_BOM[PPGridRow],65),0))+IFERROR(INDEX(M_RawMaterials[固定週次消費量_要入力],MATCH($A27,M_RawMaterials[Part Name],0)),0)</f>
        <v/>
      </c>
      <c r="BN27">
        <f>SUMPRODUCT((M_BOM[Part Name]=$A27)*M_BOM[RM_Qty_Per_Batch]*IFERROR(INDEX(PP_Grid[#Data],M_BOM[PPGridRow],66),0))+IFERROR(INDEX(M_RawMaterials[固定週次消費量_要入力],MATCH($A27,M_RawMaterials[Part Name],0)),0)</f>
        <v/>
      </c>
      <c r="BO27">
        <f>SUMPRODUCT((M_BOM[Part Name]=$A27)*M_BOM[RM_Qty_Per_Batch]*IFERROR(INDEX(PP_Grid[#Data],M_BOM[PPGridRow],67),0))+IFERROR(INDEX(M_RawMaterials[固定週次消費量_要入力],MATCH($A27,M_RawMaterials[Part Name],0)),0)</f>
        <v/>
      </c>
      <c r="BP27">
        <f>SUMPRODUCT((M_BOM[Part Name]=$A27)*M_BOM[RM_Qty_Per_Batch]*IFERROR(INDEX(PP_Grid[#Data],M_BOM[PPGridRow],68),0))+IFERROR(INDEX(M_RawMaterials[固定週次消費量_要入力],MATCH($A27,M_RawMaterials[Part Name],0)),0)</f>
        <v/>
      </c>
      <c r="BQ27">
        <f>SUMPRODUCT((M_BOM[Part Name]=$A27)*M_BOM[RM_Qty_Per_Batch]*IFERROR(INDEX(PP_Grid[#Data],M_BOM[PPGridRow],69),0))+IFERROR(INDEX(M_RawMaterials[固定週次消費量_要入力],MATCH($A27,M_RawMaterials[Part Name],0)),0)</f>
        <v/>
      </c>
      <c r="BR27">
        <f>SUMPRODUCT((M_BOM[Part Name]=$A27)*M_BOM[RM_Qty_Per_Batch]*IFERROR(INDEX(PP_Grid[#Data],M_BOM[PPGridRow],70),0))+IFERROR(INDEX(M_RawMaterials[固定週次消費量_要入力],MATCH($A27,M_RawMaterials[Part Name],0)),0)</f>
        <v/>
      </c>
      <c r="BS27">
        <f>SUMPRODUCT((M_BOM[Part Name]=$A27)*M_BOM[RM_Qty_Per_Batch]*IFERROR(INDEX(PP_Grid[#Data],M_BOM[PPGridRow],71),0))+IFERROR(INDEX(M_RawMaterials[固定週次消費量_要入力],MATCH($A27,M_RawMaterials[Part Name],0)),0)</f>
        <v/>
      </c>
      <c r="BT27">
        <f>SUMPRODUCT((M_BOM[Part Name]=$A27)*M_BOM[RM_Qty_Per_Batch]*IFERROR(INDEX(PP_Grid[#Data],M_BOM[PPGridRow],72),0))+IFERROR(INDEX(M_RawMaterials[固定週次消費量_要入力],MATCH($A27,M_RawMaterials[Part Name],0)),0)</f>
        <v/>
      </c>
      <c r="BU27">
        <f>SUMPRODUCT((M_BOM[Part Name]=$A27)*M_BOM[RM_Qty_Per_Batch]*IFERROR(INDEX(PP_Grid[#Data],M_BOM[PPGridRow],73),0))+IFERROR(INDEX(M_RawMaterials[固定週次消費量_要入力],MATCH($A27,M_RawMaterials[Part Name],0)),0)</f>
        <v/>
      </c>
      <c r="BV27">
        <f>SUMPRODUCT((M_BOM[Part Name]=$A27)*M_BOM[RM_Qty_Per_Batch]*IFERROR(INDEX(PP_Grid[#Data],M_BOM[PPGridRow],74),0))+IFERROR(INDEX(M_RawMaterials[固定週次消費量_要入力],MATCH($A27,M_RawMaterials[Part Name],0)),0)</f>
        <v/>
      </c>
      <c r="BW27">
        <f>SUMPRODUCT((M_BOM[Part Name]=$A27)*M_BOM[RM_Qty_Per_Batch]*IFERROR(INDEX(PP_Grid[#Data],M_BOM[PPGridRow],75),0))+IFERROR(INDEX(M_RawMaterials[固定週次消費量_要入力],MATCH($A27,M_RawMaterials[Part Name],0)),0)</f>
        <v/>
      </c>
      <c r="BX27">
        <f>SUMPRODUCT((M_BOM[Part Name]=$A27)*M_BOM[RM_Qty_Per_Batch]*IFERROR(INDEX(PP_Grid[#Data],M_BOM[PPGridRow],76),0))+IFERROR(INDEX(M_RawMaterials[固定週次消費量_要入力],MATCH($A27,M_RawMaterials[Part Name],0)),0)</f>
        <v/>
      </c>
      <c r="BY27">
        <f>SUMPRODUCT((M_BOM[Part Name]=$A27)*M_BOM[RM_Qty_Per_Batch]*IFERROR(INDEX(PP_Grid[#Data],M_BOM[PPGridRow],77),0))+IFERROR(INDEX(M_RawMaterials[固定週次消費量_要入力],MATCH($A27,M_RawMaterials[Part Name],0)),0)</f>
        <v/>
      </c>
      <c r="BZ27">
        <f>SUMPRODUCT((M_BOM[Part Name]=$A27)*M_BOM[RM_Qty_Per_Batch]*IFERROR(INDEX(PP_Grid[#Data],M_BOM[PPGridRow],78),0))+IFERROR(INDEX(M_RawMaterials[固定週次消費量_要入力],MATCH($A27,M_RawMaterials[Part Name],0)),0)</f>
        <v/>
      </c>
      <c r="CA27">
        <f>SUMPRODUCT((M_BOM[Part Name]=$A27)*M_BOM[RM_Qty_Per_Batch]*IFERROR(INDEX(PP_Grid[#Data],M_BOM[PPGridRow],79),0))+IFERROR(INDEX(M_RawMaterials[固定週次消費量_要入力],MATCH($A27,M_RawMaterials[Part Name],0)),0)</f>
        <v/>
      </c>
      <c r="CB27">
        <f>SUMPRODUCT((M_BOM[Part Name]=$A27)*M_BOM[RM_Qty_Per_Batch]*IFERROR(INDEX(PP_Grid[#Data],M_BOM[PPGridRow],80),0))+IFERROR(INDEX(M_RawMaterials[固定週次消費量_要入力],MATCH($A27,M_RawMaterials[Part Name],0)),0)</f>
        <v/>
      </c>
      <c r="CC27">
        <f>SUMPRODUCT((M_BOM[Part Name]=$A27)*M_BOM[RM_Qty_Per_Batch]*IFERROR(INDEX(PP_Grid[#Data],M_BOM[PPGridRow],81),0))+IFERROR(INDEX(M_RawMaterials[固定週次消費量_要入力],MATCH($A27,M_RawMaterials[Part Name],0)),0)</f>
        <v/>
      </c>
      <c r="CD27">
        <f>SUMPRODUCT((M_BOM[Part Name]=$A27)*M_BOM[RM_Qty_Per_Batch]*IFERROR(INDEX(PP_Grid[#Data],M_BOM[PPGridRow],82),0))+IFERROR(INDEX(M_RawMaterials[固定週次消費量_要入力],MATCH($A27,M_RawMaterials[Part Name],0)),0)</f>
        <v/>
      </c>
      <c r="CE27">
        <f>SUMPRODUCT((M_BOM[Part Name]=$A27)*M_BOM[RM_Qty_Per_Batch]*IFERROR(INDEX(PP_Grid[#Data],M_BOM[PPGridRow],83),0))+IFERROR(INDEX(M_RawMaterials[固定週次消費量_要入力],MATCH($A27,M_RawMaterials[Part Name],0)),0)</f>
        <v/>
      </c>
      <c r="CF27">
        <f>SUMPRODUCT((M_BOM[Part Name]=$A27)*M_BOM[RM_Qty_Per_Batch]*IFERROR(INDEX(PP_Grid[#Data],M_BOM[PPGridRow],84),0))+IFERROR(INDEX(M_RawMaterials[固定週次消費量_要入力],MATCH($A27,M_RawMaterials[Part Name],0)),0)</f>
        <v/>
      </c>
      <c r="CG27">
        <f>SUMPRODUCT((M_BOM[Part Name]=$A27)*M_BOM[RM_Qty_Per_Batch]*IFERROR(INDEX(PP_Grid[#Data],M_BOM[PPGridRow],85),0))+IFERROR(INDEX(M_RawMaterials[固定週次消費量_要入力],MATCH($A27,M_RawMaterials[Part Name],0)),0)</f>
        <v/>
      </c>
      <c r="CH27">
        <f>SUMPRODUCT((M_BOM[Part Name]=$A27)*M_BOM[RM_Qty_Per_Batch]*IFERROR(INDEX(PP_Grid[#Data],M_BOM[PPGridRow],86),0))+IFERROR(INDEX(M_RawMaterials[固定週次消費量_要入力],MATCH($A27,M_RawMaterials[Part Name],0)),0)</f>
        <v/>
      </c>
      <c r="CI27">
        <f>SUMPRODUCT((M_BOM[Part Name]=$A27)*M_BOM[RM_Qty_Per_Batch]*IFERROR(INDEX(PP_Grid[#Data],M_BOM[PPGridRow],87),0))+IFERROR(INDEX(M_RawMaterials[固定週次消費量_要入力],MATCH($A27,M_RawMaterials[Part Name],0)),0)</f>
        <v/>
      </c>
      <c r="CJ27">
        <f>SUMPRODUCT((M_BOM[Part Name]=$A27)*M_BOM[RM_Qty_Per_Batch]*IFERROR(INDEX(PP_Grid[#Data],M_BOM[PPGridRow],88),0))+IFERROR(INDEX(M_RawMaterials[固定週次消費量_要入力],MATCH($A27,M_RawMaterials[Part Name],0)),0)</f>
        <v/>
      </c>
      <c r="CK27">
        <f>SUMPRODUCT((M_BOM[Part Name]=$A27)*M_BOM[RM_Qty_Per_Batch]*IFERROR(INDEX(PP_Grid[#Data],M_BOM[PPGridRow],89),0))+IFERROR(INDEX(M_RawMaterials[固定週次消費量_要入力],MATCH($A27,M_RawMaterials[Part Name],0)),0)</f>
        <v/>
      </c>
      <c r="CL27">
        <f>SUMPRODUCT((M_BOM[Part Name]=$A27)*M_BOM[RM_Qty_Per_Batch]*IFERROR(INDEX(PP_Grid[#Data],M_BOM[PPGridRow],90),0))+IFERROR(INDEX(M_RawMaterials[固定週次消費量_要入力],MATCH($A27,M_RawMaterials[Part Name],0)),0)</f>
        <v/>
      </c>
      <c r="CM27">
        <f>SUMPRODUCT((M_BOM[Part Name]=$A27)*M_BOM[RM_Qty_Per_Batch]*IFERROR(INDEX(PP_Grid[#Data],M_BOM[PPGridRow],91),0))+IFERROR(INDEX(M_RawMaterials[固定週次消費量_要入力],MATCH($A27,M_RawMaterials[Part Name],0)),0)</f>
        <v/>
      </c>
      <c r="CN27">
        <f>SUMPRODUCT((M_BOM[Part Name]=$A27)*M_BOM[RM_Qty_Per_Batch]*IFERROR(INDEX(PP_Grid[#Data],M_BOM[PPGridRow],92),0))+IFERROR(INDEX(M_RawMaterials[固定週次消費量_要入力],MATCH($A27,M_RawMaterials[Part Name],0)),0)</f>
        <v/>
      </c>
      <c r="CO27">
        <f>SUMPRODUCT((M_BOM[Part Name]=$A27)*M_BOM[RM_Qty_Per_Batch]*IFERROR(INDEX(PP_Grid[#Data],M_BOM[PPGridRow],93),0))+IFERROR(INDEX(M_RawMaterials[固定週次消費量_要入力],MATCH($A27,M_RawMaterials[Part Name],0)),0)</f>
        <v/>
      </c>
      <c r="CP27">
        <f>SUMPRODUCT((M_BOM[Part Name]=$A27)*M_BOM[RM_Qty_Per_Batch]*IFERROR(INDEX(PP_Grid[#Data],M_BOM[PPGridRow],94),0))+IFERROR(INDEX(M_RawMaterials[固定週次消費量_要入力],MATCH($A27,M_RawMaterials[Part Name],0)),0)</f>
        <v/>
      </c>
      <c r="CQ27">
        <f>SUMPRODUCT((M_BOM[Part Name]=$A27)*M_BOM[RM_Qty_Per_Batch]*IFERROR(INDEX(PP_Grid[#Data],M_BOM[PPGridRow],95),0))+IFERROR(INDEX(M_RawMaterials[固定週次消費量_要入力],MATCH($A27,M_RawMaterials[Part Name],0)),0)</f>
        <v/>
      </c>
      <c r="CR27">
        <f>SUMPRODUCT((M_BOM[Part Name]=$A27)*M_BOM[RM_Qty_Per_Batch]*IFERROR(INDEX(PP_Grid[#Data],M_BOM[PPGridRow],96),0))+IFERROR(INDEX(M_RawMaterials[固定週次消費量_要入力],MATCH($A27,M_RawMaterials[Part Name],0)),0)</f>
        <v/>
      </c>
      <c r="CS27">
        <f>SUMPRODUCT((M_BOM[Part Name]=$A27)*M_BOM[RM_Qty_Per_Batch]*IFERROR(INDEX(PP_Grid[#Data],M_BOM[PPGridRow],97),0))+IFERROR(INDEX(M_RawMaterials[固定週次消費量_要入力],MATCH($A27,M_RawMaterials[Part Name],0)),0)</f>
        <v/>
      </c>
      <c r="CT27">
        <f>SUMPRODUCT((M_BOM[Part Name]=$A27)*M_BOM[RM_Qty_Per_Batch]*IFERROR(INDEX(PP_Grid[#Data],M_BOM[PPGridRow],98),0))+IFERROR(INDEX(M_RawMaterials[固定週次消費量_要入力],MATCH($A27,M_RawMaterials[Part Name],0)),0)</f>
        <v/>
      </c>
      <c r="CU27">
        <f>SUMPRODUCT((M_BOM[Part Name]=$A27)*M_BOM[RM_Qty_Per_Batch]*IFERROR(INDEX(PP_Grid[#Data],M_BOM[PPGridRow],99),0))+IFERROR(INDEX(M_RawMaterials[固定週次消費量_要入力],MATCH($A27,M_RawMaterials[Part Name],0)),0)</f>
        <v/>
      </c>
      <c r="CV27">
        <f>SUMPRODUCT((M_BOM[Part Name]=$A27)*M_BOM[RM_Qty_Per_Batch]*IFERROR(INDEX(PP_Grid[#Data],M_BOM[PPGridRow],100),0))+IFERROR(INDEX(M_RawMaterials[固定週次消費量_要入力],MATCH($A27,M_RawMaterials[Part Name],0)),0)</f>
        <v/>
      </c>
      <c r="CW27">
        <f>SUMPRODUCT((M_BOM[Part Name]=$A27)*M_BOM[RM_Qty_Per_Batch]*IFERROR(INDEX(PP_Grid[#Data],M_BOM[PPGridRow],101),0))+IFERROR(INDEX(M_RawMaterials[固定週次消費量_要入力],MATCH($A27,M_RawMaterials[Part Name],0)),0)</f>
        <v/>
      </c>
      <c r="CX27">
        <f>SUMPRODUCT((M_BOM[Part Name]=$A27)*M_BOM[RM_Qty_Per_Batch]*IFERROR(INDEX(PP_Grid[#Data],M_BOM[PPGridRow],102),0))+IFERROR(INDEX(M_RawMaterials[固定週次消費量_要入力],MATCH($A27,M_RawMaterials[Part Name],0)),0)</f>
        <v/>
      </c>
      <c r="CY27">
        <f>SUMPRODUCT((M_BOM[Part Name]=$A27)*M_BOM[RM_Qty_Per_Batch]*IFERROR(INDEX(PP_Grid[#Data],M_BOM[PPGridRow],103),0))+IFERROR(INDEX(M_RawMaterials[固定週次消費量_要入力],MATCH($A27,M_RawMaterials[Part Name],0)),0)</f>
        <v/>
      </c>
      <c r="CZ27">
        <f>SUMPRODUCT((M_BOM[Part Name]=$A27)*M_BOM[RM_Qty_Per_Batch]*IFERROR(INDEX(PP_Grid[#Data],M_BOM[PPGridRow],104),0))+IFERROR(INDEX(M_RawMaterials[固定週次消費量_要入力],MATCH($A27,M_RawMaterials[Part Name],0)),0)</f>
        <v/>
      </c>
      <c r="DA27">
        <f>SUMPRODUCT((M_BOM[Part Name]=$A27)*M_BOM[RM_Qty_Per_Batch]*IFERROR(INDEX(PP_Grid[#Data],M_BOM[PPGridRow],105),0))+IFERROR(INDEX(M_RawMaterials[固定週次消費量_要入力],MATCH($A27,M_RawMaterials[Part Name],0)),0)</f>
        <v/>
      </c>
    </row>
    <row r="28">
      <c r="A28" t="inlineStr">
        <is>
          <t>CHEM-1600</t>
        </is>
      </c>
      <c r="B28">
        <f>SUMPRODUCT((M_BOM[Part Name]=$A28)*M_BOM[RM_Qty_Per_Batch]*IFERROR(INDEX(PP_Grid[#Data],M_BOM[PPGridRow],2),0))+IFERROR(INDEX(M_RawMaterials[固定週次消費量_要入力],MATCH($A28,M_RawMaterials[Part Name],0)),0)</f>
        <v/>
      </c>
      <c r="C28">
        <f>SUMPRODUCT((M_BOM[Part Name]=$A28)*M_BOM[RM_Qty_Per_Batch]*IFERROR(INDEX(PP_Grid[#Data],M_BOM[PPGridRow],3),0))+IFERROR(INDEX(M_RawMaterials[固定週次消費量_要入力],MATCH($A28,M_RawMaterials[Part Name],0)),0)</f>
        <v/>
      </c>
      <c r="D28">
        <f>SUMPRODUCT((M_BOM[Part Name]=$A28)*M_BOM[RM_Qty_Per_Batch]*IFERROR(INDEX(PP_Grid[#Data],M_BOM[PPGridRow],4),0))+IFERROR(INDEX(M_RawMaterials[固定週次消費量_要入力],MATCH($A28,M_RawMaterials[Part Name],0)),0)</f>
        <v/>
      </c>
      <c r="E28">
        <f>SUMPRODUCT((M_BOM[Part Name]=$A28)*M_BOM[RM_Qty_Per_Batch]*IFERROR(INDEX(PP_Grid[#Data],M_BOM[PPGridRow],5),0))+IFERROR(INDEX(M_RawMaterials[固定週次消費量_要入力],MATCH($A28,M_RawMaterials[Part Name],0)),0)</f>
        <v/>
      </c>
      <c r="F28">
        <f>SUMPRODUCT((M_BOM[Part Name]=$A28)*M_BOM[RM_Qty_Per_Batch]*IFERROR(INDEX(PP_Grid[#Data],M_BOM[PPGridRow],6),0))+IFERROR(INDEX(M_RawMaterials[固定週次消費量_要入力],MATCH($A28,M_RawMaterials[Part Name],0)),0)</f>
        <v/>
      </c>
      <c r="G28">
        <f>SUMPRODUCT((M_BOM[Part Name]=$A28)*M_BOM[RM_Qty_Per_Batch]*IFERROR(INDEX(PP_Grid[#Data],M_BOM[PPGridRow],7),0))+IFERROR(INDEX(M_RawMaterials[固定週次消費量_要入力],MATCH($A28,M_RawMaterials[Part Name],0)),0)</f>
        <v/>
      </c>
      <c r="H28">
        <f>SUMPRODUCT((M_BOM[Part Name]=$A28)*M_BOM[RM_Qty_Per_Batch]*IFERROR(INDEX(PP_Grid[#Data],M_BOM[PPGridRow],8),0))+IFERROR(INDEX(M_RawMaterials[固定週次消費量_要入力],MATCH($A28,M_RawMaterials[Part Name],0)),0)</f>
        <v/>
      </c>
      <c r="I28">
        <f>SUMPRODUCT((M_BOM[Part Name]=$A28)*M_BOM[RM_Qty_Per_Batch]*IFERROR(INDEX(PP_Grid[#Data],M_BOM[PPGridRow],9),0))+IFERROR(INDEX(M_RawMaterials[固定週次消費量_要入力],MATCH($A28,M_RawMaterials[Part Name],0)),0)</f>
        <v/>
      </c>
      <c r="J28">
        <f>SUMPRODUCT((M_BOM[Part Name]=$A28)*M_BOM[RM_Qty_Per_Batch]*IFERROR(INDEX(PP_Grid[#Data],M_BOM[PPGridRow],10),0))+IFERROR(INDEX(M_RawMaterials[固定週次消費量_要入力],MATCH($A28,M_RawMaterials[Part Name],0)),0)</f>
        <v/>
      </c>
      <c r="K28">
        <f>SUMPRODUCT((M_BOM[Part Name]=$A28)*M_BOM[RM_Qty_Per_Batch]*IFERROR(INDEX(PP_Grid[#Data],M_BOM[PPGridRow],11),0))+IFERROR(INDEX(M_RawMaterials[固定週次消費量_要入力],MATCH($A28,M_RawMaterials[Part Name],0)),0)</f>
        <v/>
      </c>
      <c r="L28">
        <f>SUMPRODUCT((M_BOM[Part Name]=$A28)*M_BOM[RM_Qty_Per_Batch]*IFERROR(INDEX(PP_Grid[#Data],M_BOM[PPGridRow],12),0))+IFERROR(INDEX(M_RawMaterials[固定週次消費量_要入力],MATCH($A28,M_RawMaterials[Part Name],0)),0)</f>
        <v/>
      </c>
      <c r="M28">
        <f>SUMPRODUCT((M_BOM[Part Name]=$A28)*M_BOM[RM_Qty_Per_Batch]*IFERROR(INDEX(PP_Grid[#Data],M_BOM[PPGridRow],13),0))+IFERROR(INDEX(M_RawMaterials[固定週次消費量_要入力],MATCH($A28,M_RawMaterials[Part Name],0)),0)</f>
        <v/>
      </c>
      <c r="N28">
        <f>SUMPRODUCT((M_BOM[Part Name]=$A28)*M_BOM[RM_Qty_Per_Batch]*IFERROR(INDEX(PP_Grid[#Data],M_BOM[PPGridRow],14),0))+IFERROR(INDEX(M_RawMaterials[固定週次消費量_要入力],MATCH($A28,M_RawMaterials[Part Name],0)),0)</f>
        <v/>
      </c>
      <c r="O28">
        <f>SUMPRODUCT((M_BOM[Part Name]=$A28)*M_BOM[RM_Qty_Per_Batch]*IFERROR(INDEX(PP_Grid[#Data],M_BOM[PPGridRow],15),0))+IFERROR(INDEX(M_RawMaterials[固定週次消費量_要入力],MATCH($A28,M_RawMaterials[Part Name],0)),0)</f>
        <v/>
      </c>
      <c r="P28">
        <f>SUMPRODUCT((M_BOM[Part Name]=$A28)*M_BOM[RM_Qty_Per_Batch]*IFERROR(INDEX(PP_Grid[#Data],M_BOM[PPGridRow],16),0))+IFERROR(INDEX(M_RawMaterials[固定週次消費量_要入力],MATCH($A28,M_RawMaterials[Part Name],0)),0)</f>
        <v/>
      </c>
      <c r="Q28">
        <f>SUMPRODUCT((M_BOM[Part Name]=$A28)*M_BOM[RM_Qty_Per_Batch]*IFERROR(INDEX(PP_Grid[#Data],M_BOM[PPGridRow],17),0))+IFERROR(INDEX(M_RawMaterials[固定週次消費量_要入力],MATCH($A28,M_RawMaterials[Part Name],0)),0)</f>
        <v/>
      </c>
      <c r="R28">
        <f>SUMPRODUCT((M_BOM[Part Name]=$A28)*M_BOM[RM_Qty_Per_Batch]*IFERROR(INDEX(PP_Grid[#Data],M_BOM[PPGridRow],18),0))+IFERROR(INDEX(M_RawMaterials[固定週次消費量_要入力],MATCH($A28,M_RawMaterials[Part Name],0)),0)</f>
        <v/>
      </c>
      <c r="S28">
        <f>SUMPRODUCT((M_BOM[Part Name]=$A28)*M_BOM[RM_Qty_Per_Batch]*IFERROR(INDEX(PP_Grid[#Data],M_BOM[PPGridRow],19),0))+IFERROR(INDEX(M_RawMaterials[固定週次消費量_要入力],MATCH($A28,M_RawMaterials[Part Name],0)),0)</f>
        <v/>
      </c>
      <c r="T28">
        <f>SUMPRODUCT((M_BOM[Part Name]=$A28)*M_BOM[RM_Qty_Per_Batch]*IFERROR(INDEX(PP_Grid[#Data],M_BOM[PPGridRow],20),0))+IFERROR(INDEX(M_RawMaterials[固定週次消費量_要入力],MATCH($A28,M_RawMaterials[Part Name],0)),0)</f>
        <v/>
      </c>
      <c r="U28">
        <f>SUMPRODUCT((M_BOM[Part Name]=$A28)*M_BOM[RM_Qty_Per_Batch]*IFERROR(INDEX(PP_Grid[#Data],M_BOM[PPGridRow],21),0))+IFERROR(INDEX(M_RawMaterials[固定週次消費量_要入力],MATCH($A28,M_RawMaterials[Part Name],0)),0)</f>
        <v/>
      </c>
      <c r="V28">
        <f>SUMPRODUCT((M_BOM[Part Name]=$A28)*M_BOM[RM_Qty_Per_Batch]*IFERROR(INDEX(PP_Grid[#Data],M_BOM[PPGridRow],22),0))+IFERROR(INDEX(M_RawMaterials[固定週次消費量_要入力],MATCH($A28,M_RawMaterials[Part Name],0)),0)</f>
        <v/>
      </c>
      <c r="W28">
        <f>SUMPRODUCT((M_BOM[Part Name]=$A28)*M_BOM[RM_Qty_Per_Batch]*IFERROR(INDEX(PP_Grid[#Data],M_BOM[PPGridRow],23),0))+IFERROR(INDEX(M_RawMaterials[固定週次消費量_要入力],MATCH($A28,M_RawMaterials[Part Name],0)),0)</f>
        <v/>
      </c>
      <c r="X28">
        <f>SUMPRODUCT((M_BOM[Part Name]=$A28)*M_BOM[RM_Qty_Per_Batch]*IFERROR(INDEX(PP_Grid[#Data],M_BOM[PPGridRow],24),0))+IFERROR(INDEX(M_RawMaterials[固定週次消費量_要入力],MATCH($A28,M_RawMaterials[Part Name],0)),0)</f>
        <v/>
      </c>
      <c r="Y28">
        <f>SUMPRODUCT((M_BOM[Part Name]=$A28)*M_BOM[RM_Qty_Per_Batch]*IFERROR(INDEX(PP_Grid[#Data],M_BOM[PPGridRow],25),0))+IFERROR(INDEX(M_RawMaterials[固定週次消費量_要入力],MATCH($A28,M_RawMaterials[Part Name],0)),0)</f>
        <v/>
      </c>
      <c r="Z28">
        <f>SUMPRODUCT((M_BOM[Part Name]=$A28)*M_BOM[RM_Qty_Per_Batch]*IFERROR(INDEX(PP_Grid[#Data],M_BOM[PPGridRow],26),0))+IFERROR(INDEX(M_RawMaterials[固定週次消費量_要入力],MATCH($A28,M_RawMaterials[Part Name],0)),0)</f>
        <v/>
      </c>
      <c r="AA28">
        <f>SUMPRODUCT((M_BOM[Part Name]=$A28)*M_BOM[RM_Qty_Per_Batch]*IFERROR(INDEX(PP_Grid[#Data],M_BOM[PPGridRow],27),0))+IFERROR(INDEX(M_RawMaterials[固定週次消費量_要入力],MATCH($A28,M_RawMaterials[Part Name],0)),0)</f>
        <v/>
      </c>
      <c r="AB28">
        <f>SUMPRODUCT((M_BOM[Part Name]=$A28)*M_BOM[RM_Qty_Per_Batch]*IFERROR(INDEX(PP_Grid[#Data],M_BOM[PPGridRow],28),0))+IFERROR(INDEX(M_RawMaterials[固定週次消費量_要入力],MATCH($A28,M_RawMaterials[Part Name],0)),0)</f>
        <v/>
      </c>
      <c r="AC28">
        <f>SUMPRODUCT((M_BOM[Part Name]=$A28)*M_BOM[RM_Qty_Per_Batch]*IFERROR(INDEX(PP_Grid[#Data],M_BOM[PPGridRow],29),0))+IFERROR(INDEX(M_RawMaterials[固定週次消費量_要入力],MATCH($A28,M_RawMaterials[Part Name],0)),0)</f>
        <v/>
      </c>
      <c r="AD28">
        <f>SUMPRODUCT((M_BOM[Part Name]=$A28)*M_BOM[RM_Qty_Per_Batch]*IFERROR(INDEX(PP_Grid[#Data],M_BOM[PPGridRow],30),0))+IFERROR(INDEX(M_RawMaterials[固定週次消費量_要入力],MATCH($A28,M_RawMaterials[Part Name],0)),0)</f>
        <v/>
      </c>
      <c r="AE28">
        <f>SUMPRODUCT((M_BOM[Part Name]=$A28)*M_BOM[RM_Qty_Per_Batch]*IFERROR(INDEX(PP_Grid[#Data],M_BOM[PPGridRow],31),0))+IFERROR(INDEX(M_RawMaterials[固定週次消費量_要入力],MATCH($A28,M_RawMaterials[Part Name],0)),0)</f>
        <v/>
      </c>
      <c r="AF28">
        <f>SUMPRODUCT((M_BOM[Part Name]=$A28)*M_BOM[RM_Qty_Per_Batch]*IFERROR(INDEX(PP_Grid[#Data],M_BOM[PPGridRow],32),0))+IFERROR(INDEX(M_RawMaterials[固定週次消費量_要入力],MATCH($A28,M_RawMaterials[Part Name],0)),0)</f>
        <v/>
      </c>
      <c r="AG28">
        <f>SUMPRODUCT((M_BOM[Part Name]=$A28)*M_BOM[RM_Qty_Per_Batch]*IFERROR(INDEX(PP_Grid[#Data],M_BOM[PPGridRow],33),0))+IFERROR(INDEX(M_RawMaterials[固定週次消費量_要入力],MATCH($A28,M_RawMaterials[Part Name],0)),0)</f>
        <v/>
      </c>
      <c r="AH28">
        <f>SUMPRODUCT((M_BOM[Part Name]=$A28)*M_BOM[RM_Qty_Per_Batch]*IFERROR(INDEX(PP_Grid[#Data],M_BOM[PPGridRow],34),0))+IFERROR(INDEX(M_RawMaterials[固定週次消費量_要入力],MATCH($A28,M_RawMaterials[Part Name],0)),0)</f>
        <v/>
      </c>
      <c r="AI28">
        <f>SUMPRODUCT((M_BOM[Part Name]=$A28)*M_BOM[RM_Qty_Per_Batch]*IFERROR(INDEX(PP_Grid[#Data],M_BOM[PPGridRow],35),0))+IFERROR(INDEX(M_RawMaterials[固定週次消費量_要入力],MATCH($A28,M_RawMaterials[Part Name],0)),0)</f>
        <v/>
      </c>
      <c r="AJ28">
        <f>SUMPRODUCT((M_BOM[Part Name]=$A28)*M_BOM[RM_Qty_Per_Batch]*IFERROR(INDEX(PP_Grid[#Data],M_BOM[PPGridRow],36),0))+IFERROR(INDEX(M_RawMaterials[固定週次消費量_要入力],MATCH($A28,M_RawMaterials[Part Name],0)),0)</f>
        <v/>
      </c>
      <c r="AK28">
        <f>SUMPRODUCT((M_BOM[Part Name]=$A28)*M_BOM[RM_Qty_Per_Batch]*IFERROR(INDEX(PP_Grid[#Data],M_BOM[PPGridRow],37),0))+IFERROR(INDEX(M_RawMaterials[固定週次消費量_要入力],MATCH($A28,M_RawMaterials[Part Name],0)),0)</f>
        <v/>
      </c>
      <c r="AL28">
        <f>SUMPRODUCT((M_BOM[Part Name]=$A28)*M_BOM[RM_Qty_Per_Batch]*IFERROR(INDEX(PP_Grid[#Data],M_BOM[PPGridRow],38),0))+IFERROR(INDEX(M_RawMaterials[固定週次消費量_要入力],MATCH($A28,M_RawMaterials[Part Name],0)),0)</f>
        <v/>
      </c>
      <c r="AM28">
        <f>SUMPRODUCT((M_BOM[Part Name]=$A28)*M_BOM[RM_Qty_Per_Batch]*IFERROR(INDEX(PP_Grid[#Data],M_BOM[PPGridRow],39),0))+IFERROR(INDEX(M_RawMaterials[固定週次消費量_要入力],MATCH($A28,M_RawMaterials[Part Name],0)),0)</f>
        <v/>
      </c>
      <c r="AN28">
        <f>SUMPRODUCT((M_BOM[Part Name]=$A28)*M_BOM[RM_Qty_Per_Batch]*IFERROR(INDEX(PP_Grid[#Data],M_BOM[PPGridRow],40),0))+IFERROR(INDEX(M_RawMaterials[固定週次消費量_要入力],MATCH($A28,M_RawMaterials[Part Name],0)),0)</f>
        <v/>
      </c>
      <c r="AO28">
        <f>SUMPRODUCT((M_BOM[Part Name]=$A28)*M_BOM[RM_Qty_Per_Batch]*IFERROR(INDEX(PP_Grid[#Data],M_BOM[PPGridRow],41),0))+IFERROR(INDEX(M_RawMaterials[固定週次消費量_要入力],MATCH($A28,M_RawMaterials[Part Name],0)),0)</f>
        <v/>
      </c>
      <c r="AP28">
        <f>SUMPRODUCT((M_BOM[Part Name]=$A28)*M_BOM[RM_Qty_Per_Batch]*IFERROR(INDEX(PP_Grid[#Data],M_BOM[PPGridRow],42),0))+IFERROR(INDEX(M_RawMaterials[固定週次消費量_要入力],MATCH($A28,M_RawMaterials[Part Name],0)),0)</f>
        <v/>
      </c>
      <c r="AQ28">
        <f>SUMPRODUCT((M_BOM[Part Name]=$A28)*M_BOM[RM_Qty_Per_Batch]*IFERROR(INDEX(PP_Grid[#Data],M_BOM[PPGridRow],43),0))+IFERROR(INDEX(M_RawMaterials[固定週次消費量_要入力],MATCH($A28,M_RawMaterials[Part Name],0)),0)</f>
        <v/>
      </c>
      <c r="AR28">
        <f>SUMPRODUCT((M_BOM[Part Name]=$A28)*M_BOM[RM_Qty_Per_Batch]*IFERROR(INDEX(PP_Grid[#Data],M_BOM[PPGridRow],44),0))+IFERROR(INDEX(M_RawMaterials[固定週次消費量_要入力],MATCH($A28,M_RawMaterials[Part Name],0)),0)</f>
        <v/>
      </c>
      <c r="AS28">
        <f>SUMPRODUCT((M_BOM[Part Name]=$A28)*M_BOM[RM_Qty_Per_Batch]*IFERROR(INDEX(PP_Grid[#Data],M_BOM[PPGridRow],45),0))+IFERROR(INDEX(M_RawMaterials[固定週次消費量_要入力],MATCH($A28,M_RawMaterials[Part Name],0)),0)</f>
        <v/>
      </c>
      <c r="AT28">
        <f>SUMPRODUCT((M_BOM[Part Name]=$A28)*M_BOM[RM_Qty_Per_Batch]*IFERROR(INDEX(PP_Grid[#Data],M_BOM[PPGridRow],46),0))+IFERROR(INDEX(M_RawMaterials[固定週次消費量_要入力],MATCH($A28,M_RawMaterials[Part Name],0)),0)</f>
        <v/>
      </c>
      <c r="AU28">
        <f>SUMPRODUCT((M_BOM[Part Name]=$A28)*M_BOM[RM_Qty_Per_Batch]*IFERROR(INDEX(PP_Grid[#Data],M_BOM[PPGridRow],47),0))+IFERROR(INDEX(M_RawMaterials[固定週次消費量_要入力],MATCH($A28,M_RawMaterials[Part Name],0)),0)</f>
        <v/>
      </c>
      <c r="AV28">
        <f>SUMPRODUCT((M_BOM[Part Name]=$A28)*M_BOM[RM_Qty_Per_Batch]*IFERROR(INDEX(PP_Grid[#Data],M_BOM[PPGridRow],48),0))+IFERROR(INDEX(M_RawMaterials[固定週次消費量_要入力],MATCH($A28,M_RawMaterials[Part Name],0)),0)</f>
        <v/>
      </c>
      <c r="AW28">
        <f>SUMPRODUCT((M_BOM[Part Name]=$A28)*M_BOM[RM_Qty_Per_Batch]*IFERROR(INDEX(PP_Grid[#Data],M_BOM[PPGridRow],49),0))+IFERROR(INDEX(M_RawMaterials[固定週次消費量_要入力],MATCH($A28,M_RawMaterials[Part Name],0)),0)</f>
        <v/>
      </c>
      <c r="AX28">
        <f>SUMPRODUCT((M_BOM[Part Name]=$A28)*M_BOM[RM_Qty_Per_Batch]*IFERROR(INDEX(PP_Grid[#Data],M_BOM[PPGridRow],50),0))+IFERROR(INDEX(M_RawMaterials[固定週次消費量_要入力],MATCH($A28,M_RawMaterials[Part Name],0)),0)</f>
        <v/>
      </c>
      <c r="AY28">
        <f>SUMPRODUCT((M_BOM[Part Name]=$A28)*M_BOM[RM_Qty_Per_Batch]*IFERROR(INDEX(PP_Grid[#Data],M_BOM[PPGridRow],51),0))+IFERROR(INDEX(M_RawMaterials[固定週次消費量_要入力],MATCH($A28,M_RawMaterials[Part Name],0)),0)</f>
        <v/>
      </c>
      <c r="AZ28">
        <f>SUMPRODUCT((M_BOM[Part Name]=$A28)*M_BOM[RM_Qty_Per_Batch]*IFERROR(INDEX(PP_Grid[#Data],M_BOM[PPGridRow],52),0))+IFERROR(INDEX(M_RawMaterials[固定週次消費量_要入力],MATCH($A28,M_RawMaterials[Part Name],0)),0)</f>
        <v/>
      </c>
      <c r="BA28">
        <f>SUMPRODUCT((M_BOM[Part Name]=$A28)*M_BOM[RM_Qty_Per_Batch]*IFERROR(INDEX(PP_Grid[#Data],M_BOM[PPGridRow],53),0))+IFERROR(INDEX(M_RawMaterials[固定週次消費量_要入力],MATCH($A28,M_RawMaterials[Part Name],0)),0)</f>
        <v/>
      </c>
      <c r="BB28">
        <f>SUMPRODUCT((M_BOM[Part Name]=$A28)*M_BOM[RM_Qty_Per_Batch]*IFERROR(INDEX(PP_Grid[#Data],M_BOM[PPGridRow],54),0))+IFERROR(INDEX(M_RawMaterials[固定週次消費量_要入力],MATCH($A28,M_RawMaterials[Part Name],0)),0)</f>
        <v/>
      </c>
      <c r="BC28">
        <f>SUMPRODUCT((M_BOM[Part Name]=$A28)*M_BOM[RM_Qty_Per_Batch]*IFERROR(INDEX(PP_Grid[#Data],M_BOM[PPGridRow],55),0))+IFERROR(INDEX(M_RawMaterials[固定週次消費量_要入力],MATCH($A28,M_RawMaterials[Part Name],0)),0)</f>
        <v/>
      </c>
      <c r="BD28">
        <f>SUMPRODUCT((M_BOM[Part Name]=$A28)*M_BOM[RM_Qty_Per_Batch]*IFERROR(INDEX(PP_Grid[#Data],M_BOM[PPGridRow],56),0))+IFERROR(INDEX(M_RawMaterials[固定週次消費量_要入力],MATCH($A28,M_RawMaterials[Part Name],0)),0)</f>
        <v/>
      </c>
      <c r="BE28">
        <f>SUMPRODUCT((M_BOM[Part Name]=$A28)*M_BOM[RM_Qty_Per_Batch]*IFERROR(INDEX(PP_Grid[#Data],M_BOM[PPGridRow],57),0))+IFERROR(INDEX(M_RawMaterials[固定週次消費量_要入力],MATCH($A28,M_RawMaterials[Part Name],0)),0)</f>
        <v/>
      </c>
      <c r="BF28">
        <f>SUMPRODUCT((M_BOM[Part Name]=$A28)*M_BOM[RM_Qty_Per_Batch]*IFERROR(INDEX(PP_Grid[#Data],M_BOM[PPGridRow],58),0))+IFERROR(INDEX(M_RawMaterials[固定週次消費量_要入力],MATCH($A28,M_RawMaterials[Part Name],0)),0)</f>
        <v/>
      </c>
      <c r="BG28">
        <f>SUMPRODUCT((M_BOM[Part Name]=$A28)*M_BOM[RM_Qty_Per_Batch]*IFERROR(INDEX(PP_Grid[#Data],M_BOM[PPGridRow],59),0))+IFERROR(INDEX(M_RawMaterials[固定週次消費量_要入力],MATCH($A28,M_RawMaterials[Part Name],0)),0)</f>
        <v/>
      </c>
      <c r="BH28">
        <f>SUMPRODUCT((M_BOM[Part Name]=$A28)*M_BOM[RM_Qty_Per_Batch]*IFERROR(INDEX(PP_Grid[#Data],M_BOM[PPGridRow],60),0))+IFERROR(INDEX(M_RawMaterials[固定週次消費量_要入力],MATCH($A28,M_RawMaterials[Part Name],0)),0)</f>
        <v/>
      </c>
      <c r="BI28">
        <f>SUMPRODUCT((M_BOM[Part Name]=$A28)*M_BOM[RM_Qty_Per_Batch]*IFERROR(INDEX(PP_Grid[#Data],M_BOM[PPGridRow],61),0))+IFERROR(INDEX(M_RawMaterials[固定週次消費量_要入力],MATCH($A28,M_RawMaterials[Part Name],0)),0)</f>
        <v/>
      </c>
      <c r="BJ28">
        <f>SUMPRODUCT((M_BOM[Part Name]=$A28)*M_BOM[RM_Qty_Per_Batch]*IFERROR(INDEX(PP_Grid[#Data],M_BOM[PPGridRow],62),0))+IFERROR(INDEX(M_RawMaterials[固定週次消費量_要入力],MATCH($A28,M_RawMaterials[Part Name],0)),0)</f>
        <v/>
      </c>
      <c r="BK28">
        <f>SUMPRODUCT((M_BOM[Part Name]=$A28)*M_BOM[RM_Qty_Per_Batch]*IFERROR(INDEX(PP_Grid[#Data],M_BOM[PPGridRow],63),0))+IFERROR(INDEX(M_RawMaterials[固定週次消費量_要入力],MATCH($A28,M_RawMaterials[Part Name],0)),0)</f>
        <v/>
      </c>
      <c r="BL28">
        <f>SUMPRODUCT((M_BOM[Part Name]=$A28)*M_BOM[RM_Qty_Per_Batch]*IFERROR(INDEX(PP_Grid[#Data],M_BOM[PPGridRow],64),0))+IFERROR(INDEX(M_RawMaterials[固定週次消費量_要入力],MATCH($A28,M_RawMaterials[Part Name],0)),0)</f>
        <v/>
      </c>
      <c r="BM28">
        <f>SUMPRODUCT((M_BOM[Part Name]=$A28)*M_BOM[RM_Qty_Per_Batch]*IFERROR(INDEX(PP_Grid[#Data],M_BOM[PPGridRow],65),0))+IFERROR(INDEX(M_RawMaterials[固定週次消費量_要入力],MATCH($A28,M_RawMaterials[Part Name],0)),0)</f>
        <v/>
      </c>
      <c r="BN28">
        <f>SUMPRODUCT((M_BOM[Part Name]=$A28)*M_BOM[RM_Qty_Per_Batch]*IFERROR(INDEX(PP_Grid[#Data],M_BOM[PPGridRow],66),0))+IFERROR(INDEX(M_RawMaterials[固定週次消費量_要入力],MATCH($A28,M_RawMaterials[Part Name],0)),0)</f>
        <v/>
      </c>
      <c r="BO28">
        <f>SUMPRODUCT((M_BOM[Part Name]=$A28)*M_BOM[RM_Qty_Per_Batch]*IFERROR(INDEX(PP_Grid[#Data],M_BOM[PPGridRow],67),0))+IFERROR(INDEX(M_RawMaterials[固定週次消費量_要入力],MATCH($A28,M_RawMaterials[Part Name],0)),0)</f>
        <v/>
      </c>
      <c r="BP28">
        <f>SUMPRODUCT((M_BOM[Part Name]=$A28)*M_BOM[RM_Qty_Per_Batch]*IFERROR(INDEX(PP_Grid[#Data],M_BOM[PPGridRow],68),0))+IFERROR(INDEX(M_RawMaterials[固定週次消費量_要入力],MATCH($A28,M_RawMaterials[Part Name],0)),0)</f>
        <v/>
      </c>
      <c r="BQ28">
        <f>SUMPRODUCT((M_BOM[Part Name]=$A28)*M_BOM[RM_Qty_Per_Batch]*IFERROR(INDEX(PP_Grid[#Data],M_BOM[PPGridRow],69),0))+IFERROR(INDEX(M_RawMaterials[固定週次消費量_要入力],MATCH($A28,M_RawMaterials[Part Name],0)),0)</f>
        <v/>
      </c>
      <c r="BR28">
        <f>SUMPRODUCT((M_BOM[Part Name]=$A28)*M_BOM[RM_Qty_Per_Batch]*IFERROR(INDEX(PP_Grid[#Data],M_BOM[PPGridRow],70),0))+IFERROR(INDEX(M_RawMaterials[固定週次消費量_要入力],MATCH($A28,M_RawMaterials[Part Name],0)),0)</f>
        <v/>
      </c>
      <c r="BS28">
        <f>SUMPRODUCT((M_BOM[Part Name]=$A28)*M_BOM[RM_Qty_Per_Batch]*IFERROR(INDEX(PP_Grid[#Data],M_BOM[PPGridRow],71),0))+IFERROR(INDEX(M_RawMaterials[固定週次消費量_要入力],MATCH($A28,M_RawMaterials[Part Name],0)),0)</f>
        <v/>
      </c>
      <c r="BT28">
        <f>SUMPRODUCT((M_BOM[Part Name]=$A28)*M_BOM[RM_Qty_Per_Batch]*IFERROR(INDEX(PP_Grid[#Data],M_BOM[PPGridRow],72),0))+IFERROR(INDEX(M_RawMaterials[固定週次消費量_要入力],MATCH($A28,M_RawMaterials[Part Name],0)),0)</f>
        <v/>
      </c>
      <c r="BU28">
        <f>SUMPRODUCT((M_BOM[Part Name]=$A28)*M_BOM[RM_Qty_Per_Batch]*IFERROR(INDEX(PP_Grid[#Data],M_BOM[PPGridRow],73),0))+IFERROR(INDEX(M_RawMaterials[固定週次消費量_要入力],MATCH($A28,M_RawMaterials[Part Name],0)),0)</f>
        <v/>
      </c>
      <c r="BV28">
        <f>SUMPRODUCT((M_BOM[Part Name]=$A28)*M_BOM[RM_Qty_Per_Batch]*IFERROR(INDEX(PP_Grid[#Data],M_BOM[PPGridRow],74),0))+IFERROR(INDEX(M_RawMaterials[固定週次消費量_要入力],MATCH($A28,M_RawMaterials[Part Name],0)),0)</f>
        <v/>
      </c>
      <c r="BW28">
        <f>SUMPRODUCT((M_BOM[Part Name]=$A28)*M_BOM[RM_Qty_Per_Batch]*IFERROR(INDEX(PP_Grid[#Data],M_BOM[PPGridRow],75),0))+IFERROR(INDEX(M_RawMaterials[固定週次消費量_要入力],MATCH($A28,M_RawMaterials[Part Name],0)),0)</f>
        <v/>
      </c>
      <c r="BX28">
        <f>SUMPRODUCT((M_BOM[Part Name]=$A28)*M_BOM[RM_Qty_Per_Batch]*IFERROR(INDEX(PP_Grid[#Data],M_BOM[PPGridRow],76),0))+IFERROR(INDEX(M_RawMaterials[固定週次消費量_要入力],MATCH($A28,M_RawMaterials[Part Name],0)),0)</f>
        <v/>
      </c>
      <c r="BY28">
        <f>SUMPRODUCT((M_BOM[Part Name]=$A28)*M_BOM[RM_Qty_Per_Batch]*IFERROR(INDEX(PP_Grid[#Data],M_BOM[PPGridRow],77),0))+IFERROR(INDEX(M_RawMaterials[固定週次消費量_要入力],MATCH($A28,M_RawMaterials[Part Name],0)),0)</f>
        <v/>
      </c>
      <c r="BZ28">
        <f>SUMPRODUCT((M_BOM[Part Name]=$A28)*M_BOM[RM_Qty_Per_Batch]*IFERROR(INDEX(PP_Grid[#Data],M_BOM[PPGridRow],78),0))+IFERROR(INDEX(M_RawMaterials[固定週次消費量_要入力],MATCH($A28,M_RawMaterials[Part Name],0)),0)</f>
        <v/>
      </c>
      <c r="CA28">
        <f>SUMPRODUCT((M_BOM[Part Name]=$A28)*M_BOM[RM_Qty_Per_Batch]*IFERROR(INDEX(PP_Grid[#Data],M_BOM[PPGridRow],79),0))+IFERROR(INDEX(M_RawMaterials[固定週次消費量_要入力],MATCH($A28,M_RawMaterials[Part Name],0)),0)</f>
        <v/>
      </c>
      <c r="CB28">
        <f>SUMPRODUCT((M_BOM[Part Name]=$A28)*M_BOM[RM_Qty_Per_Batch]*IFERROR(INDEX(PP_Grid[#Data],M_BOM[PPGridRow],80),0))+IFERROR(INDEX(M_RawMaterials[固定週次消費量_要入力],MATCH($A28,M_RawMaterials[Part Name],0)),0)</f>
        <v/>
      </c>
      <c r="CC28">
        <f>SUMPRODUCT((M_BOM[Part Name]=$A28)*M_BOM[RM_Qty_Per_Batch]*IFERROR(INDEX(PP_Grid[#Data],M_BOM[PPGridRow],81),0))+IFERROR(INDEX(M_RawMaterials[固定週次消費量_要入力],MATCH($A28,M_RawMaterials[Part Name],0)),0)</f>
        <v/>
      </c>
      <c r="CD28">
        <f>SUMPRODUCT((M_BOM[Part Name]=$A28)*M_BOM[RM_Qty_Per_Batch]*IFERROR(INDEX(PP_Grid[#Data],M_BOM[PPGridRow],82),0))+IFERROR(INDEX(M_RawMaterials[固定週次消費量_要入力],MATCH($A28,M_RawMaterials[Part Name],0)),0)</f>
        <v/>
      </c>
      <c r="CE28">
        <f>SUMPRODUCT((M_BOM[Part Name]=$A28)*M_BOM[RM_Qty_Per_Batch]*IFERROR(INDEX(PP_Grid[#Data],M_BOM[PPGridRow],83),0))+IFERROR(INDEX(M_RawMaterials[固定週次消費量_要入力],MATCH($A28,M_RawMaterials[Part Name],0)),0)</f>
        <v/>
      </c>
      <c r="CF28">
        <f>SUMPRODUCT((M_BOM[Part Name]=$A28)*M_BOM[RM_Qty_Per_Batch]*IFERROR(INDEX(PP_Grid[#Data],M_BOM[PPGridRow],84),0))+IFERROR(INDEX(M_RawMaterials[固定週次消費量_要入力],MATCH($A28,M_RawMaterials[Part Name],0)),0)</f>
        <v/>
      </c>
      <c r="CG28">
        <f>SUMPRODUCT((M_BOM[Part Name]=$A28)*M_BOM[RM_Qty_Per_Batch]*IFERROR(INDEX(PP_Grid[#Data],M_BOM[PPGridRow],85),0))+IFERROR(INDEX(M_RawMaterials[固定週次消費量_要入力],MATCH($A28,M_RawMaterials[Part Name],0)),0)</f>
        <v/>
      </c>
      <c r="CH28">
        <f>SUMPRODUCT((M_BOM[Part Name]=$A28)*M_BOM[RM_Qty_Per_Batch]*IFERROR(INDEX(PP_Grid[#Data],M_BOM[PPGridRow],86),0))+IFERROR(INDEX(M_RawMaterials[固定週次消費量_要入力],MATCH($A28,M_RawMaterials[Part Name],0)),0)</f>
        <v/>
      </c>
      <c r="CI28">
        <f>SUMPRODUCT((M_BOM[Part Name]=$A28)*M_BOM[RM_Qty_Per_Batch]*IFERROR(INDEX(PP_Grid[#Data],M_BOM[PPGridRow],87),0))+IFERROR(INDEX(M_RawMaterials[固定週次消費量_要入力],MATCH($A28,M_RawMaterials[Part Name],0)),0)</f>
        <v/>
      </c>
      <c r="CJ28">
        <f>SUMPRODUCT((M_BOM[Part Name]=$A28)*M_BOM[RM_Qty_Per_Batch]*IFERROR(INDEX(PP_Grid[#Data],M_BOM[PPGridRow],88),0))+IFERROR(INDEX(M_RawMaterials[固定週次消費量_要入力],MATCH($A28,M_RawMaterials[Part Name],0)),0)</f>
        <v/>
      </c>
      <c r="CK28">
        <f>SUMPRODUCT((M_BOM[Part Name]=$A28)*M_BOM[RM_Qty_Per_Batch]*IFERROR(INDEX(PP_Grid[#Data],M_BOM[PPGridRow],89),0))+IFERROR(INDEX(M_RawMaterials[固定週次消費量_要入力],MATCH($A28,M_RawMaterials[Part Name],0)),0)</f>
        <v/>
      </c>
      <c r="CL28">
        <f>SUMPRODUCT((M_BOM[Part Name]=$A28)*M_BOM[RM_Qty_Per_Batch]*IFERROR(INDEX(PP_Grid[#Data],M_BOM[PPGridRow],90),0))+IFERROR(INDEX(M_RawMaterials[固定週次消費量_要入力],MATCH($A28,M_RawMaterials[Part Name],0)),0)</f>
        <v/>
      </c>
      <c r="CM28">
        <f>SUMPRODUCT((M_BOM[Part Name]=$A28)*M_BOM[RM_Qty_Per_Batch]*IFERROR(INDEX(PP_Grid[#Data],M_BOM[PPGridRow],91),0))+IFERROR(INDEX(M_RawMaterials[固定週次消費量_要入力],MATCH($A28,M_RawMaterials[Part Name],0)),0)</f>
        <v/>
      </c>
      <c r="CN28">
        <f>SUMPRODUCT((M_BOM[Part Name]=$A28)*M_BOM[RM_Qty_Per_Batch]*IFERROR(INDEX(PP_Grid[#Data],M_BOM[PPGridRow],92),0))+IFERROR(INDEX(M_RawMaterials[固定週次消費量_要入力],MATCH($A28,M_RawMaterials[Part Name],0)),0)</f>
        <v/>
      </c>
      <c r="CO28">
        <f>SUMPRODUCT((M_BOM[Part Name]=$A28)*M_BOM[RM_Qty_Per_Batch]*IFERROR(INDEX(PP_Grid[#Data],M_BOM[PPGridRow],93),0))+IFERROR(INDEX(M_RawMaterials[固定週次消費量_要入力],MATCH($A28,M_RawMaterials[Part Name],0)),0)</f>
        <v/>
      </c>
      <c r="CP28">
        <f>SUMPRODUCT((M_BOM[Part Name]=$A28)*M_BOM[RM_Qty_Per_Batch]*IFERROR(INDEX(PP_Grid[#Data],M_BOM[PPGridRow],94),0))+IFERROR(INDEX(M_RawMaterials[固定週次消費量_要入力],MATCH($A28,M_RawMaterials[Part Name],0)),0)</f>
        <v/>
      </c>
      <c r="CQ28">
        <f>SUMPRODUCT((M_BOM[Part Name]=$A28)*M_BOM[RM_Qty_Per_Batch]*IFERROR(INDEX(PP_Grid[#Data],M_BOM[PPGridRow],95),0))+IFERROR(INDEX(M_RawMaterials[固定週次消費量_要入力],MATCH($A28,M_RawMaterials[Part Name],0)),0)</f>
        <v/>
      </c>
      <c r="CR28">
        <f>SUMPRODUCT((M_BOM[Part Name]=$A28)*M_BOM[RM_Qty_Per_Batch]*IFERROR(INDEX(PP_Grid[#Data],M_BOM[PPGridRow],96),0))+IFERROR(INDEX(M_RawMaterials[固定週次消費量_要入力],MATCH($A28,M_RawMaterials[Part Name],0)),0)</f>
        <v/>
      </c>
      <c r="CS28">
        <f>SUMPRODUCT((M_BOM[Part Name]=$A28)*M_BOM[RM_Qty_Per_Batch]*IFERROR(INDEX(PP_Grid[#Data],M_BOM[PPGridRow],97),0))+IFERROR(INDEX(M_RawMaterials[固定週次消費量_要入力],MATCH($A28,M_RawMaterials[Part Name],0)),0)</f>
        <v/>
      </c>
      <c r="CT28">
        <f>SUMPRODUCT((M_BOM[Part Name]=$A28)*M_BOM[RM_Qty_Per_Batch]*IFERROR(INDEX(PP_Grid[#Data],M_BOM[PPGridRow],98),0))+IFERROR(INDEX(M_RawMaterials[固定週次消費量_要入力],MATCH($A28,M_RawMaterials[Part Name],0)),0)</f>
        <v/>
      </c>
      <c r="CU28">
        <f>SUMPRODUCT((M_BOM[Part Name]=$A28)*M_BOM[RM_Qty_Per_Batch]*IFERROR(INDEX(PP_Grid[#Data],M_BOM[PPGridRow],99),0))+IFERROR(INDEX(M_RawMaterials[固定週次消費量_要入力],MATCH($A28,M_RawMaterials[Part Name],0)),0)</f>
        <v/>
      </c>
      <c r="CV28">
        <f>SUMPRODUCT((M_BOM[Part Name]=$A28)*M_BOM[RM_Qty_Per_Batch]*IFERROR(INDEX(PP_Grid[#Data],M_BOM[PPGridRow],100),0))+IFERROR(INDEX(M_RawMaterials[固定週次消費量_要入力],MATCH($A28,M_RawMaterials[Part Name],0)),0)</f>
        <v/>
      </c>
      <c r="CW28">
        <f>SUMPRODUCT((M_BOM[Part Name]=$A28)*M_BOM[RM_Qty_Per_Batch]*IFERROR(INDEX(PP_Grid[#Data],M_BOM[PPGridRow],101),0))+IFERROR(INDEX(M_RawMaterials[固定週次消費量_要入力],MATCH($A28,M_RawMaterials[Part Name],0)),0)</f>
        <v/>
      </c>
      <c r="CX28">
        <f>SUMPRODUCT((M_BOM[Part Name]=$A28)*M_BOM[RM_Qty_Per_Batch]*IFERROR(INDEX(PP_Grid[#Data],M_BOM[PPGridRow],102),0))+IFERROR(INDEX(M_RawMaterials[固定週次消費量_要入力],MATCH($A28,M_RawMaterials[Part Name],0)),0)</f>
        <v/>
      </c>
      <c r="CY28">
        <f>SUMPRODUCT((M_BOM[Part Name]=$A28)*M_BOM[RM_Qty_Per_Batch]*IFERROR(INDEX(PP_Grid[#Data],M_BOM[PPGridRow],103),0))+IFERROR(INDEX(M_RawMaterials[固定週次消費量_要入力],MATCH($A28,M_RawMaterials[Part Name],0)),0)</f>
        <v/>
      </c>
      <c r="CZ28">
        <f>SUMPRODUCT((M_BOM[Part Name]=$A28)*M_BOM[RM_Qty_Per_Batch]*IFERROR(INDEX(PP_Grid[#Data],M_BOM[PPGridRow],104),0))+IFERROR(INDEX(M_RawMaterials[固定週次消費量_要入力],MATCH($A28,M_RawMaterials[Part Name],0)),0)</f>
        <v/>
      </c>
      <c r="DA28">
        <f>SUMPRODUCT((M_BOM[Part Name]=$A28)*M_BOM[RM_Qty_Per_Batch]*IFERROR(INDEX(PP_Grid[#Data],M_BOM[PPGridRow],105),0))+IFERROR(INDEX(M_RawMaterials[固定週次消費量_要入力],MATCH($A28,M_RawMaterials[Part Name],0)),0)</f>
        <v/>
      </c>
    </row>
    <row r="29">
      <c r="A29" t="inlineStr">
        <is>
          <t>CHEM-1120</t>
        </is>
      </c>
      <c r="B29">
        <f>SUMPRODUCT((M_BOM[Part Name]=$A29)*M_BOM[RM_Qty_Per_Batch]*IFERROR(INDEX(PP_Grid[#Data],M_BOM[PPGridRow],2),0))+IFERROR(INDEX(M_RawMaterials[固定週次消費量_要入力],MATCH($A29,M_RawMaterials[Part Name],0)),0)</f>
        <v/>
      </c>
      <c r="C29">
        <f>SUMPRODUCT((M_BOM[Part Name]=$A29)*M_BOM[RM_Qty_Per_Batch]*IFERROR(INDEX(PP_Grid[#Data],M_BOM[PPGridRow],3),0))+IFERROR(INDEX(M_RawMaterials[固定週次消費量_要入力],MATCH($A29,M_RawMaterials[Part Name],0)),0)</f>
        <v/>
      </c>
      <c r="D29">
        <f>SUMPRODUCT((M_BOM[Part Name]=$A29)*M_BOM[RM_Qty_Per_Batch]*IFERROR(INDEX(PP_Grid[#Data],M_BOM[PPGridRow],4),0))+IFERROR(INDEX(M_RawMaterials[固定週次消費量_要入力],MATCH($A29,M_RawMaterials[Part Name],0)),0)</f>
        <v/>
      </c>
      <c r="E29">
        <f>SUMPRODUCT((M_BOM[Part Name]=$A29)*M_BOM[RM_Qty_Per_Batch]*IFERROR(INDEX(PP_Grid[#Data],M_BOM[PPGridRow],5),0))+IFERROR(INDEX(M_RawMaterials[固定週次消費量_要入力],MATCH($A29,M_RawMaterials[Part Name],0)),0)</f>
        <v/>
      </c>
      <c r="F29">
        <f>SUMPRODUCT((M_BOM[Part Name]=$A29)*M_BOM[RM_Qty_Per_Batch]*IFERROR(INDEX(PP_Grid[#Data],M_BOM[PPGridRow],6),0))+IFERROR(INDEX(M_RawMaterials[固定週次消費量_要入力],MATCH($A29,M_RawMaterials[Part Name],0)),0)</f>
        <v/>
      </c>
      <c r="G29">
        <f>SUMPRODUCT((M_BOM[Part Name]=$A29)*M_BOM[RM_Qty_Per_Batch]*IFERROR(INDEX(PP_Grid[#Data],M_BOM[PPGridRow],7),0))+IFERROR(INDEX(M_RawMaterials[固定週次消費量_要入力],MATCH($A29,M_RawMaterials[Part Name],0)),0)</f>
        <v/>
      </c>
      <c r="H29">
        <f>SUMPRODUCT((M_BOM[Part Name]=$A29)*M_BOM[RM_Qty_Per_Batch]*IFERROR(INDEX(PP_Grid[#Data],M_BOM[PPGridRow],8),0))+IFERROR(INDEX(M_RawMaterials[固定週次消費量_要入力],MATCH($A29,M_RawMaterials[Part Name],0)),0)</f>
        <v/>
      </c>
      <c r="I29">
        <f>SUMPRODUCT((M_BOM[Part Name]=$A29)*M_BOM[RM_Qty_Per_Batch]*IFERROR(INDEX(PP_Grid[#Data],M_BOM[PPGridRow],9),0))+IFERROR(INDEX(M_RawMaterials[固定週次消費量_要入力],MATCH($A29,M_RawMaterials[Part Name],0)),0)</f>
        <v/>
      </c>
      <c r="J29">
        <f>SUMPRODUCT((M_BOM[Part Name]=$A29)*M_BOM[RM_Qty_Per_Batch]*IFERROR(INDEX(PP_Grid[#Data],M_BOM[PPGridRow],10),0))+IFERROR(INDEX(M_RawMaterials[固定週次消費量_要入力],MATCH($A29,M_RawMaterials[Part Name],0)),0)</f>
        <v/>
      </c>
      <c r="K29">
        <f>SUMPRODUCT((M_BOM[Part Name]=$A29)*M_BOM[RM_Qty_Per_Batch]*IFERROR(INDEX(PP_Grid[#Data],M_BOM[PPGridRow],11),0))+IFERROR(INDEX(M_RawMaterials[固定週次消費量_要入力],MATCH($A29,M_RawMaterials[Part Name],0)),0)</f>
        <v/>
      </c>
      <c r="L29">
        <f>SUMPRODUCT((M_BOM[Part Name]=$A29)*M_BOM[RM_Qty_Per_Batch]*IFERROR(INDEX(PP_Grid[#Data],M_BOM[PPGridRow],12),0))+IFERROR(INDEX(M_RawMaterials[固定週次消費量_要入力],MATCH($A29,M_RawMaterials[Part Name],0)),0)</f>
        <v/>
      </c>
      <c r="M29">
        <f>SUMPRODUCT((M_BOM[Part Name]=$A29)*M_BOM[RM_Qty_Per_Batch]*IFERROR(INDEX(PP_Grid[#Data],M_BOM[PPGridRow],13),0))+IFERROR(INDEX(M_RawMaterials[固定週次消費量_要入力],MATCH($A29,M_RawMaterials[Part Name],0)),0)</f>
        <v/>
      </c>
      <c r="N29">
        <f>SUMPRODUCT((M_BOM[Part Name]=$A29)*M_BOM[RM_Qty_Per_Batch]*IFERROR(INDEX(PP_Grid[#Data],M_BOM[PPGridRow],14),0))+IFERROR(INDEX(M_RawMaterials[固定週次消費量_要入力],MATCH($A29,M_RawMaterials[Part Name],0)),0)</f>
        <v/>
      </c>
      <c r="O29">
        <f>SUMPRODUCT((M_BOM[Part Name]=$A29)*M_BOM[RM_Qty_Per_Batch]*IFERROR(INDEX(PP_Grid[#Data],M_BOM[PPGridRow],15),0))+IFERROR(INDEX(M_RawMaterials[固定週次消費量_要入力],MATCH($A29,M_RawMaterials[Part Name],0)),0)</f>
        <v/>
      </c>
      <c r="P29">
        <f>SUMPRODUCT((M_BOM[Part Name]=$A29)*M_BOM[RM_Qty_Per_Batch]*IFERROR(INDEX(PP_Grid[#Data],M_BOM[PPGridRow],16),0))+IFERROR(INDEX(M_RawMaterials[固定週次消費量_要入力],MATCH($A29,M_RawMaterials[Part Name],0)),0)</f>
        <v/>
      </c>
      <c r="Q29">
        <f>SUMPRODUCT((M_BOM[Part Name]=$A29)*M_BOM[RM_Qty_Per_Batch]*IFERROR(INDEX(PP_Grid[#Data],M_BOM[PPGridRow],17),0))+IFERROR(INDEX(M_RawMaterials[固定週次消費量_要入力],MATCH($A29,M_RawMaterials[Part Name],0)),0)</f>
        <v/>
      </c>
      <c r="R29">
        <f>SUMPRODUCT((M_BOM[Part Name]=$A29)*M_BOM[RM_Qty_Per_Batch]*IFERROR(INDEX(PP_Grid[#Data],M_BOM[PPGridRow],18),0))+IFERROR(INDEX(M_RawMaterials[固定週次消費量_要入力],MATCH($A29,M_RawMaterials[Part Name],0)),0)</f>
        <v/>
      </c>
      <c r="S29">
        <f>SUMPRODUCT((M_BOM[Part Name]=$A29)*M_BOM[RM_Qty_Per_Batch]*IFERROR(INDEX(PP_Grid[#Data],M_BOM[PPGridRow],19),0))+IFERROR(INDEX(M_RawMaterials[固定週次消費量_要入力],MATCH($A29,M_RawMaterials[Part Name],0)),0)</f>
        <v/>
      </c>
      <c r="T29">
        <f>SUMPRODUCT((M_BOM[Part Name]=$A29)*M_BOM[RM_Qty_Per_Batch]*IFERROR(INDEX(PP_Grid[#Data],M_BOM[PPGridRow],20),0))+IFERROR(INDEX(M_RawMaterials[固定週次消費量_要入力],MATCH($A29,M_RawMaterials[Part Name],0)),0)</f>
        <v/>
      </c>
      <c r="U29">
        <f>SUMPRODUCT((M_BOM[Part Name]=$A29)*M_BOM[RM_Qty_Per_Batch]*IFERROR(INDEX(PP_Grid[#Data],M_BOM[PPGridRow],21),0))+IFERROR(INDEX(M_RawMaterials[固定週次消費量_要入力],MATCH($A29,M_RawMaterials[Part Name],0)),0)</f>
        <v/>
      </c>
      <c r="V29">
        <f>SUMPRODUCT((M_BOM[Part Name]=$A29)*M_BOM[RM_Qty_Per_Batch]*IFERROR(INDEX(PP_Grid[#Data],M_BOM[PPGridRow],22),0))+IFERROR(INDEX(M_RawMaterials[固定週次消費量_要入力],MATCH($A29,M_RawMaterials[Part Name],0)),0)</f>
        <v/>
      </c>
      <c r="W29">
        <f>SUMPRODUCT((M_BOM[Part Name]=$A29)*M_BOM[RM_Qty_Per_Batch]*IFERROR(INDEX(PP_Grid[#Data],M_BOM[PPGridRow],23),0))+IFERROR(INDEX(M_RawMaterials[固定週次消費量_要入力],MATCH($A29,M_RawMaterials[Part Name],0)),0)</f>
        <v/>
      </c>
      <c r="X29">
        <f>SUMPRODUCT((M_BOM[Part Name]=$A29)*M_BOM[RM_Qty_Per_Batch]*IFERROR(INDEX(PP_Grid[#Data],M_BOM[PPGridRow],24),0))+IFERROR(INDEX(M_RawMaterials[固定週次消費量_要入力],MATCH($A29,M_RawMaterials[Part Name],0)),0)</f>
        <v/>
      </c>
      <c r="Y29">
        <f>SUMPRODUCT((M_BOM[Part Name]=$A29)*M_BOM[RM_Qty_Per_Batch]*IFERROR(INDEX(PP_Grid[#Data],M_BOM[PPGridRow],25),0))+IFERROR(INDEX(M_RawMaterials[固定週次消費量_要入力],MATCH($A29,M_RawMaterials[Part Name],0)),0)</f>
        <v/>
      </c>
      <c r="Z29">
        <f>SUMPRODUCT((M_BOM[Part Name]=$A29)*M_BOM[RM_Qty_Per_Batch]*IFERROR(INDEX(PP_Grid[#Data],M_BOM[PPGridRow],26),0))+IFERROR(INDEX(M_RawMaterials[固定週次消費量_要入力],MATCH($A29,M_RawMaterials[Part Name],0)),0)</f>
        <v/>
      </c>
      <c r="AA29">
        <f>SUMPRODUCT((M_BOM[Part Name]=$A29)*M_BOM[RM_Qty_Per_Batch]*IFERROR(INDEX(PP_Grid[#Data],M_BOM[PPGridRow],27),0))+IFERROR(INDEX(M_RawMaterials[固定週次消費量_要入力],MATCH($A29,M_RawMaterials[Part Name],0)),0)</f>
        <v/>
      </c>
      <c r="AB29">
        <f>SUMPRODUCT((M_BOM[Part Name]=$A29)*M_BOM[RM_Qty_Per_Batch]*IFERROR(INDEX(PP_Grid[#Data],M_BOM[PPGridRow],28),0))+IFERROR(INDEX(M_RawMaterials[固定週次消費量_要入力],MATCH($A29,M_RawMaterials[Part Name],0)),0)</f>
        <v/>
      </c>
      <c r="AC29">
        <f>SUMPRODUCT((M_BOM[Part Name]=$A29)*M_BOM[RM_Qty_Per_Batch]*IFERROR(INDEX(PP_Grid[#Data],M_BOM[PPGridRow],29),0))+IFERROR(INDEX(M_RawMaterials[固定週次消費量_要入力],MATCH($A29,M_RawMaterials[Part Name],0)),0)</f>
        <v/>
      </c>
      <c r="AD29">
        <f>SUMPRODUCT((M_BOM[Part Name]=$A29)*M_BOM[RM_Qty_Per_Batch]*IFERROR(INDEX(PP_Grid[#Data],M_BOM[PPGridRow],30),0))+IFERROR(INDEX(M_RawMaterials[固定週次消費量_要入力],MATCH($A29,M_RawMaterials[Part Name],0)),0)</f>
        <v/>
      </c>
      <c r="AE29">
        <f>SUMPRODUCT((M_BOM[Part Name]=$A29)*M_BOM[RM_Qty_Per_Batch]*IFERROR(INDEX(PP_Grid[#Data],M_BOM[PPGridRow],31),0))+IFERROR(INDEX(M_RawMaterials[固定週次消費量_要入力],MATCH($A29,M_RawMaterials[Part Name],0)),0)</f>
        <v/>
      </c>
      <c r="AF29">
        <f>SUMPRODUCT((M_BOM[Part Name]=$A29)*M_BOM[RM_Qty_Per_Batch]*IFERROR(INDEX(PP_Grid[#Data],M_BOM[PPGridRow],32),0))+IFERROR(INDEX(M_RawMaterials[固定週次消費量_要入力],MATCH($A29,M_RawMaterials[Part Name],0)),0)</f>
        <v/>
      </c>
      <c r="AG29">
        <f>SUMPRODUCT((M_BOM[Part Name]=$A29)*M_BOM[RM_Qty_Per_Batch]*IFERROR(INDEX(PP_Grid[#Data],M_BOM[PPGridRow],33),0))+IFERROR(INDEX(M_RawMaterials[固定週次消費量_要入力],MATCH($A29,M_RawMaterials[Part Name],0)),0)</f>
        <v/>
      </c>
      <c r="AH29">
        <f>SUMPRODUCT((M_BOM[Part Name]=$A29)*M_BOM[RM_Qty_Per_Batch]*IFERROR(INDEX(PP_Grid[#Data],M_BOM[PPGridRow],34),0))+IFERROR(INDEX(M_RawMaterials[固定週次消費量_要入力],MATCH($A29,M_RawMaterials[Part Name],0)),0)</f>
        <v/>
      </c>
      <c r="AI29">
        <f>SUMPRODUCT((M_BOM[Part Name]=$A29)*M_BOM[RM_Qty_Per_Batch]*IFERROR(INDEX(PP_Grid[#Data],M_BOM[PPGridRow],35),0))+IFERROR(INDEX(M_RawMaterials[固定週次消費量_要入力],MATCH($A29,M_RawMaterials[Part Name],0)),0)</f>
        <v/>
      </c>
      <c r="AJ29">
        <f>SUMPRODUCT((M_BOM[Part Name]=$A29)*M_BOM[RM_Qty_Per_Batch]*IFERROR(INDEX(PP_Grid[#Data],M_BOM[PPGridRow],36),0))+IFERROR(INDEX(M_RawMaterials[固定週次消費量_要入力],MATCH($A29,M_RawMaterials[Part Name],0)),0)</f>
        <v/>
      </c>
      <c r="AK29">
        <f>SUMPRODUCT((M_BOM[Part Name]=$A29)*M_BOM[RM_Qty_Per_Batch]*IFERROR(INDEX(PP_Grid[#Data],M_BOM[PPGridRow],37),0))+IFERROR(INDEX(M_RawMaterials[固定週次消費量_要入力],MATCH($A29,M_RawMaterials[Part Name],0)),0)</f>
        <v/>
      </c>
      <c r="AL29">
        <f>SUMPRODUCT((M_BOM[Part Name]=$A29)*M_BOM[RM_Qty_Per_Batch]*IFERROR(INDEX(PP_Grid[#Data],M_BOM[PPGridRow],38),0))+IFERROR(INDEX(M_RawMaterials[固定週次消費量_要入力],MATCH($A29,M_RawMaterials[Part Name],0)),0)</f>
        <v/>
      </c>
      <c r="AM29">
        <f>SUMPRODUCT((M_BOM[Part Name]=$A29)*M_BOM[RM_Qty_Per_Batch]*IFERROR(INDEX(PP_Grid[#Data],M_BOM[PPGridRow],39),0))+IFERROR(INDEX(M_RawMaterials[固定週次消費量_要入力],MATCH($A29,M_RawMaterials[Part Name],0)),0)</f>
        <v/>
      </c>
      <c r="AN29">
        <f>SUMPRODUCT((M_BOM[Part Name]=$A29)*M_BOM[RM_Qty_Per_Batch]*IFERROR(INDEX(PP_Grid[#Data],M_BOM[PPGridRow],40),0))+IFERROR(INDEX(M_RawMaterials[固定週次消費量_要入力],MATCH($A29,M_RawMaterials[Part Name],0)),0)</f>
        <v/>
      </c>
      <c r="AO29">
        <f>SUMPRODUCT((M_BOM[Part Name]=$A29)*M_BOM[RM_Qty_Per_Batch]*IFERROR(INDEX(PP_Grid[#Data],M_BOM[PPGridRow],41),0))+IFERROR(INDEX(M_RawMaterials[固定週次消費量_要入力],MATCH($A29,M_RawMaterials[Part Name],0)),0)</f>
        <v/>
      </c>
      <c r="AP29">
        <f>SUMPRODUCT((M_BOM[Part Name]=$A29)*M_BOM[RM_Qty_Per_Batch]*IFERROR(INDEX(PP_Grid[#Data],M_BOM[PPGridRow],42),0))+IFERROR(INDEX(M_RawMaterials[固定週次消費量_要入力],MATCH($A29,M_RawMaterials[Part Name],0)),0)</f>
        <v/>
      </c>
      <c r="AQ29">
        <f>SUMPRODUCT((M_BOM[Part Name]=$A29)*M_BOM[RM_Qty_Per_Batch]*IFERROR(INDEX(PP_Grid[#Data],M_BOM[PPGridRow],43),0))+IFERROR(INDEX(M_RawMaterials[固定週次消費量_要入力],MATCH($A29,M_RawMaterials[Part Name],0)),0)</f>
        <v/>
      </c>
      <c r="AR29">
        <f>SUMPRODUCT((M_BOM[Part Name]=$A29)*M_BOM[RM_Qty_Per_Batch]*IFERROR(INDEX(PP_Grid[#Data],M_BOM[PPGridRow],44),0))+IFERROR(INDEX(M_RawMaterials[固定週次消費量_要入力],MATCH($A29,M_RawMaterials[Part Name],0)),0)</f>
        <v/>
      </c>
      <c r="AS29">
        <f>SUMPRODUCT((M_BOM[Part Name]=$A29)*M_BOM[RM_Qty_Per_Batch]*IFERROR(INDEX(PP_Grid[#Data],M_BOM[PPGridRow],45),0))+IFERROR(INDEX(M_RawMaterials[固定週次消費量_要入力],MATCH($A29,M_RawMaterials[Part Name],0)),0)</f>
        <v/>
      </c>
      <c r="AT29">
        <f>SUMPRODUCT((M_BOM[Part Name]=$A29)*M_BOM[RM_Qty_Per_Batch]*IFERROR(INDEX(PP_Grid[#Data],M_BOM[PPGridRow],46),0))+IFERROR(INDEX(M_RawMaterials[固定週次消費量_要入力],MATCH($A29,M_RawMaterials[Part Name],0)),0)</f>
        <v/>
      </c>
      <c r="AU29">
        <f>SUMPRODUCT((M_BOM[Part Name]=$A29)*M_BOM[RM_Qty_Per_Batch]*IFERROR(INDEX(PP_Grid[#Data],M_BOM[PPGridRow],47),0))+IFERROR(INDEX(M_RawMaterials[固定週次消費量_要入力],MATCH($A29,M_RawMaterials[Part Name],0)),0)</f>
        <v/>
      </c>
      <c r="AV29">
        <f>SUMPRODUCT((M_BOM[Part Name]=$A29)*M_BOM[RM_Qty_Per_Batch]*IFERROR(INDEX(PP_Grid[#Data],M_BOM[PPGridRow],48),0))+IFERROR(INDEX(M_RawMaterials[固定週次消費量_要入力],MATCH($A29,M_RawMaterials[Part Name],0)),0)</f>
        <v/>
      </c>
      <c r="AW29">
        <f>SUMPRODUCT((M_BOM[Part Name]=$A29)*M_BOM[RM_Qty_Per_Batch]*IFERROR(INDEX(PP_Grid[#Data],M_BOM[PPGridRow],49),0))+IFERROR(INDEX(M_RawMaterials[固定週次消費量_要入力],MATCH($A29,M_RawMaterials[Part Name],0)),0)</f>
        <v/>
      </c>
      <c r="AX29">
        <f>SUMPRODUCT((M_BOM[Part Name]=$A29)*M_BOM[RM_Qty_Per_Batch]*IFERROR(INDEX(PP_Grid[#Data],M_BOM[PPGridRow],50),0))+IFERROR(INDEX(M_RawMaterials[固定週次消費量_要入力],MATCH($A29,M_RawMaterials[Part Name],0)),0)</f>
        <v/>
      </c>
      <c r="AY29">
        <f>SUMPRODUCT((M_BOM[Part Name]=$A29)*M_BOM[RM_Qty_Per_Batch]*IFERROR(INDEX(PP_Grid[#Data],M_BOM[PPGridRow],51),0))+IFERROR(INDEX(M_RawMaterials[固定週次消費量_要入力],MATCH($A29,M_RawMaterials[Part Name],0)),0)</f>
        <v/>
      </c>
      <c r="AZ29">
        <f>SUMPRODUCT((M_BOM[Part Name]=$A29)*M_BOM[RM_Qty_Per_Batch]*IFERROR(INDEX(PP_Grid[#Data],M_BOM[PPGridRow],52),0))+IFERROR(INDEX(M_RawMaterials[固定週次消費量_要入力],MATCH($A29,M_RawMaterials[Part Name],0)),0)</f>
        <v/>
      </c>
      <c r="BA29">
        <f>SUMPRODUCT((M_BOM[Part Name]=$A29)*M_BOM[RM_Qty_Per_Batch]*IFERROR(INDEX(PP_Grid[#Data],M_BOM[PPGridRow],53),0))+IFERROR(INDEX(M_RawMaterials[固定週次消費量_要入力],MATCH($A29,M_RawMaterials[Part Name],0)),0)</f>
        <v/>
      </c>
      <c r="BB29">
        <f>SUMPRODUCT((M_BOM[Part Name]=$A29)*M_BOM[RM_Qty_Per_Batch]*IFERROR(INDEX(PP_Grid[#Data],M_BOM[PPGridRow],54),0))+IFERROR(INDEX(M_RawMaterials[固定週次消費量_要入力],MATCH($A29,M_RawMaterials[Part Name],0)),0)</f>
        <v/>
      </c>
      <c r="BC29">
        <f>SUMPRODUCT((M_BOM[Part Name]=$A29)*M_BOM[RM_Qty_Per_Batch]*IFERROR(INDEX(PP_Grid[#Data],M_BOM[PPGridRow],55),0))+IFERROR(INDEX(M_RawMaterials[固定週次消費量_要入力],MATCH($A29,M_RawMaterials[Part Name],0)),0)</f>
        <v/>
      </c>
      <c r="BD29">
        <f>SUMPRODUCT((M_BOM[Part Name]=$A29)*M_BOM[RM_Qty_Per_Batch]*IFERROR(INDEX(PP_Grid[#Data],M_BOM[PPGridRow],56),0))+IFERROR(INDEX(M_RawMaterials[固定週次消費量_要入力],MATCH($A29,M_RawMaterials[Part Name],0)),0)</f>
        <v/>
      </c>
      <c r="BE29">
        <f>SUMPRODUCT((M_BOM[Part Name]=$A29)*M_BOM[RM_Qty_Per_Batch]*IFERROR(INDEX(PP_Grid[#Data],M_BOM[PPGridRow],57),0))+IFERROR(INDEX(M_RawMaterials[固定週次消費量_要入力],MATCH($A29,M_RawMaterials[Part Name],0)),0)</f>
        <v/>
      </c>
      <c r="BF29">
        <f>SUMPRODUCT((M_BOM[Part Name]=$A29)*M_BOM[RM_Qty_Per_Batch]*IFERROR(INDEX(PP_Grid[#Data],M_BOM[PPGridRow],58),0))+IFERROR(INDEX(M_RawMaterials[固定週次消費量_要入力],MATCH($A29,M_RawMaterials[Part Name],0)),0)</f>
        <v/>
      </c>
      <c r="BG29">
        <f>SUMPRODUCT((M_BOM[Part Name]=$A29)*M_BOM[RM_Qty_Per_Batch]*IFERROR(INDEX(PP_Grid[#Data],M_BOM[PPGridRow],59),0))+IFERROR(INDEX(M_RawMaterials[固定週次消費量_要入力],MATCH($A29,M_RawMaterials[Part Name],0)),0)</f>
        <v/>
      </c>
      <c r="BH29">
        <f>SUMPRODUCT((M_BOM[Part Name]=$A29)*M_BOM[RM_Qty_Per_Batch]*IFERROR(INDEX(PP_Grid[#Data],M_BOM[PPGridRow],60),0))+IFERROR(INDEX(M_RawMaterials[固定週次消費量_要入力],MATCH($A29,M_RawMaterials[Part Name],0)),0)</f>
        <v/>
      </c>
      <c r="BI29">
        <f>SUMPRODUCT((M_BOM[Part Name]=$A29)*M_BOM[RM_Qty_Per_Batch]*IFERROR(INDEX(PP_Grid[#Data],M_BOM[PPGridRow],61),0))+IFERROR(INDEX(M_RawMaterials[固定週次消費量_要入力],MATCH($A29,M_RawMaterials[Part Name],0)),0)</f>
        <v/>
      </c>
      <c r="BJ29">
        <f>SUMPRODUCT((M_BOM[Part Name]=$A29)*M_BOM[RM_Qty_Per_Batch]*IFERROR(INDEX(PP_Grid[#Data],M_BOM[PPGridRow],62),0))+IFERROR(INDEX(M_RawMaterials[固定週次消費量_要入力],MATCH($A29,M_RawMaterials[Part Name],0)),0)</f>
        <v/>
      </c>
      <c r="BK29">
        <f>SUMPRODUCT((M_BOM[Part Name]=$A29)*M_BOM[RM_Qty_Per_Batch]*IFERROR(INDEX(PP_Grid[#Data],M_BOM[PPGridRow],63),0))+IFERROR(INDEX(M_RawMaterials[固定週次消費量_要入力],MATCH($A29,M_RawMaterials[Part Name],0)),0)</f>
        <v/>
      </c>
      <c r="BL29">
        <f>SUMPRODUCT((M_BOM[Part Name]=$A29)*M_BOM[RM_Qty_Per_Batch]*IFERROR(INDEX(PP_Grid[#Data],M_BOM[PPGridRow],64),0))+IFERROR(INDEX(M_RawMaterials[固定週次消費量_要入力],MATCH($A29,M_RawMaterials[Part Name],0)),0)</f>
        <v/>
      </c>
      <c r="BM29">
        <f>SUMPRODUCT((M_BOM[Part Name]=$A29)*M_BOM[RM_Qty_Per_Batch]*IFERROR(INDEX(PP_Grid[#Data],M_BOM[PPGridRow],65),0))+IFERROR(INDEX(M_RawMaterials[固定週次消費量_要入力],MATCH($A29,M_RawMaterials[Part Name],0)),0)</f>
        <v/>
      </c>
      <c r="BN29">
        <f>SUMPRODUCT((M_BOM[Part Name]=$A29)*M_BOM[RM_Qty_Per_Batch]*IFERROR(INDEX(PP_Grid[#Data],M_BOM[PPGridRow],66),0))+IFERROR(INDEX(M_RawMaterials[固定週次消費量_要入力],MATCH($A29,M_RawMaterials[Part Name],0)),0)</f>
        <v/>
      </c>
      <c r="BO29">
        <f>SUMPRODUCT((M_BOM[Part Name]=$A29)*M_BOM[RM_Qty_Per_Batch]*IFERROR(INDEX(PP_Grid[#Data],M_BOM[PPGridRow],67),0))+IFERROR(INDEX(M_RawMaterials[固定週次消費量_要入力],MATCH($A29,M_RawMaterials[Part Name],0)),0)</f>
        <v/>
      </c>
      <c r="BP29">
        <f>SUMPRODUCT((M_BOM[Part Name]=$A29)*M_BOM[RM_Qty_Per_Batch]*IFERROR(INDEX(PP_Grid[#Data],M_BOM[PPGridRow],68),0))+IFERROR(INDEX(M_RawMaterials[固定週次消費量_要入力],MATCH($A29,M_RawMaterials[Part Name],0)),0)</f>
        <v/>
      </c>
      <c r="BQ29">
        <f>SUMPRODUCT((M_BOM[Part Name]=$A29)*M_BOM[RM_Qty_Per_Batch]*IFERROR(INDEX(PP_Grid[#Data],M_BOM[PPGridRow],69),0))+IFERROR(INDEX(M_RawMaterials[固定週次消費量_要入力],MATCH($A29,M_RawMaterials[Part Name],0)),0)</f>
        <v/>
      </c>
      <c r="BR29">
        <f>SUMPRODUCT((M_BOM[Part Name]=$A29)*M_BOM[RM_Qty_Per_Batch]*IFERROR(INDEX(PP_Grid[#Data],M_BOM[PPGridRow],70),0))+IFERROR(INDEX(M_RawMaterials[固定週次消費量_要入力],MATCH($A29,M_RawMaterials[Part Name],0)),0)</f>
        <v/>
      </c>
      <c r="BS29">
        <f>SUMPRODUCT((M_BOM[Part Name]=$A29)*M_BOM[RM_Qty_Per_Batch]*IFERROR(INDEX(PP_Grid[#Data],M_BOM[PPGridRow],71),0))+IFERROR(INDEX(M_RawMaterials[固定週次消費量_要入力],MATCH($A29,M_RawMaterials[Part Name],0)),0)</f>
        <v/>
      </c>
      <c r="BT29">
        <f>SUMPRODUCT((M_BOM[Part Name]=$A29)*M_BOM[RM_Qty_Per_Batch]*IFERROR(INDEX(PP_Grid[#Data],M_BOM[PPGridRow],72),0))+IFERROR(INDEX(M_RawMaterials[固定週次消費量_要入力],MATCH($A29,M_RawMaterials[Part Name],0)),0)</f>
        <v/>
      </c>
      <c r="BU29">
        <f>SUMPRODUCT((M_BOM[Part Name]=$A29)*M_BOM[RM_Qty_Per_Batch]*IFERROR(INDEX(PP_Grid[#Data],M_BOM[PPGridRow],73),0))+IFERROR(INDEX(M_RawMaterials[固定週次消費量_要入力],MATCH($A29,M_RawMaterials[Part Name],0)),0)</f>
        <v/>
      </c>
      <c r="BV29">
        <f>SUMPRODUCT((M_BOM[Part Name]=$A29)*M_BOM[RM_Qty_Per_Batch]*IFERROR(INDEX(PP_Grid[#Data],M_BOM[PPGridRow],74),0))+IFERROR(INDEX(M_RawMaterials[固定週次消費量_要入力],MATCH($A29,M_RawMaterials[Part Name],0)),0)</f>
        <v/>
      </c>
      <c r="BW29">
        <f>SUMPRODUCT((M_BOM[Part Name]=$A29)*M_BOM[RM_Qty_Per_Batch]*IFERROR(INDEX(PP_Grid[#Data],M_BOM[PPGridRow],75),0))+IFERROR(INDEX(M_RawMaterials[固定週次消費量_要入力],MATCH($A29,M_RawMaterials[Part Name],0)),0)</f>
        <v/>
      </c>
      <c r="BX29">
        <f>SUMPRODUCT((M_BOM[Part Name]=$A29)*M_BOM[RM_Qty_Per_Batch]*IFERROR(INDEX(PP_Grid[#Data],M_BOM[PPGridRow],76),0))+IFERROR(INDEX(M_RawMaterials[固定週次消費量_要入力],MATCH($A29,M_RawMaterials[Part Name],0)),0)</f>
        <v/>
      </c>
      <c r="BY29">
        <f>SUMPRODUCT((M_BOM[Part Name]=$A29)*M_BOM[RM_Qty_Per_Batch]*IFERROR(INDEX(PP_Grid[#Data],M_BOM[PPGridRow],77),0))+IFERROR(INDEX(M_RawMaterials[固定週次消費量_要入力],MATCH($A29,M_RawMaterials[Part Name],0)),0)</f>
        <v/>
      </c>
      <c r="BZ29">
        <f>SUMPRODUCT((M_BOM[Part Name]=$A29)*M_BOM[RM_Qty_Per_Batch]*IFERROR(INDEX(PP_Grid[#Data],M_BOM[PPGridRow],78),0))+IFERROR(INDEX(M_RawMaterials[固定週次消費量_要入力],MATCH($A29,M_RawMaterials[Part Name],0)),0)</f>
        <v/>
      </c>
      <c r="CA29">
        <f>SUMPRODUCT((M_BOM[Part Name]=$A29)*M_BOM[RM_Qty_Per_Batch]*IFERROR(INDEX(PP_Grid[#Data],M_BOM[PPGridRow],79),0))+IFERROR(INDEX(M_RawMaterials[固定週次消費量_要入力],MATCH($A29,M_RawMaterials[Part Name],0)),0)</f>
        <v/>
      </c>
      <c r="CB29">
        <f>SUMPRODUCT((M_BOM[Part Name]=$A29)*M_BOM[RM_Qty_Per_Batch]*IFERROR(INDEX(PP_Grid[#Data],M_BOM[PPGridRow],80),0))+IFERROR(INDEX(M_RawMaterials[固定週次消費量_要入力],MATCH($A29,M_RawMaterials[Part Name],0)),0)</f>
        <v/>
      </c>
      <c r="CC29">
        <f>SUMPRODUCT((M_BOM[Part Name]=$A29)*M_BOM[RM_Qty_Per_Batch]*IFERROR(INDEX(PP_Grid[#Data],M_BOM[PPGridRow],81),0))+IFERROR(INDEX(M_RawMaterials[固定週次消費量_要入力],MATCH($A29,M_RawMaterials[Part Name],0)),0)</f>
        <v/>
      </c>
      <c r="CD29">
        <f>SUMPRODUCT((M_BOM[Part Name]=$A29)*M_BOM[RM_Qty_Per_Batch]*IFERROR(INDEX(PP_Grid[#Data],M_BOM[PPGridRow],82),0))+IFERROR(INDEX(M_RawMaterials[固定週次消費量_要入力],MATCH($A29,M_RawMaterials[Part Name],0)),0)</f>
        <v/>
      </c>
      <c r="CE29">
        <f>SUMPRODUCT((M_BOM[Part Name]=$A29)*M_BOM[RM_Qty_Per_Batch]*IFERROR(INDEX(PP_Grid[#Data],M_BOM[PPGridRow],83),0))+IFERROR(INDEX(M_RawMaterials[固定週次消費量_要入力],MATCH($A29,M_RawMaterials[Part Name],0)),0)</f>
        <v/>
      </c>
      <c r="CF29">
        <f>SUMPRODUCT((M_BOM[Part Name]=$A29)*M_BOM[RM_Qty_Per_Batch]*IFERROR(INDEX(PP_Grid[#Data],M_BOM[PPGridRow],84),0))+IFERROR(INDEX(M_RawMaterials[固定週次消費量_要入力],MATCH($A29,M_RawMaterials[Part Name],0)),0)</f>
        <v/>
      </c>
      <c r="CG29">
        <f>SUMPRODUCT((M_BOM[Part Name]=$A29)*M_BOM[RM_Qty_Per_Batch]*IFERROR(INDEX(PP_Grid[#Data],M_BOM[PPGridRow],85),0))+IFERROR(INDEX(M_RawMaterials[固定週次消費量_要入力],MATCH($A29,M_RawMaterials[Part Name],0)),0)</f>
        <v/>
      </c>
      <c r="CH29">
        <f>SUMPRODUCT((M_BOM[Part Name]=$A29)*M_BOM[RM_Qty_Per_Batch]*IFERROR(INDEX(PP_Grid[#Data],M_BOM[PPGridRow],86),0))+IFERROR(INDEX(M_RawMaterials[固定週次消費量_要入力],MATCH($A29,M_RawMaterials[Part Name],0)),0)</f>
        <v/>
      </c>
      <c r="CI29">
        <f>SUMPRODUCT((M_BOM[Part Name]=$A29)*M_BOM[RM_Qty_Per_Batch]*IFERROR(INDEX(PP_Grid[#Data],M_BOM[PPGridRow],87),0))+IFERROR(INDEX(M_RawMaterials[固定週次消費量_要入力],MATCH($A29,M_RawMaterials[Part Name],0)),0)</f>
        <v/>
      </c>
      <c r="CJ29">
        <f>SUMPRODUCT((M_BOM[Part Name]=$A29)*M_BOM[RM_Qty_Per_Batch]*IFERROR(INDEX(PP_Grid[#Data],M_BOM[PPGridRow],88),0))+IFERROR(INDEX(M_RawMaterials[固定週次消費量_要入力],MATCH($A29,M_RawMaterials[Part Name],0)),0)</f>
        <v/>
      </c>
      <c r="CK29">
        <f>SUMPRODUCT((M_BOM[Part Name]=$A29)*M_BOM[RM_Qty_Per_Batch]*IFERROR(INDEX(PP_Grid[#Data],M_BOM[PPGridRow],89),0))+IFERROR(INDEX(M_RawMaterials[固定週次消費量_要入力],MATCH($A29,M_RawMaterials[Part Name],0)),0)</f>
        <v/>
      </c>
      <c r="CL29">
        <f>SUMPRODUCT((M_BOM[Part Name]=$A29)*M_BOM[RM_Qty_Per_Batch]*IFERROR(INDEX(PP_Grid[#Data],M_BOM[PPGridRow],90),0))+IFERROR(INDEX(M_RawMaterials[固定週次消費量_要入力],MATCH($A29,M_RawMaterials[Part Name],0)),0)</f>
        <v/>
      </c>
      <c r="CM29">
        <f>SUMPRODUCT((M_BOM[Part Name]=$A29)*M_BOM[RM_Qty_Per_Batch]*IFERROR(INDEX(PP_Grid[#Data],M_BOM[PPGridRow],91),0))+IFERROR(INDEX(M_RawMaterials[固定週次消費量_要入力],MATCH($A29,M_RawMaterials[Part Name],0)),0)</f>
        <v/>
      </c>
      <c r="CN29">
        <f>SUMPRODUCT((M_BOM[Part Name]=$A29)*M_BOM[RM_Qty_Per_Batch]*IFERROR(INDEX(PP_Grid[#Data],M_BOM[PPGridRow],92),0))+IFERROR(INDEX(M_RawMaterials[固定週次消費量_要入力],MATCH($A29,M_RawMaterials[Part Name],0)),0)</f>
        <v/>
      </c>
      <c r="CO29">
        <f>SUMPRODUCT((M_BOM[Part Name]=$A29)*M_BOM[RM_Qty_Per_Batch]*IFERROR(INDEX(PP_Grid[#Data],M_BOM[PPGridRow],93),0))+IFERROR(INDEX(M_RawMaterials[固定週次消費量_要入力],MATCH($A29,M_RawMaterials[Part Name],0)),0)</f>
        <v/>
      </c>
      <c r="CP29">
        <f>SUMPRODUCT((M_BOM[Part Name]=$A29)*M_BOM[RM_Qty_Per_Batch]*IFERROR(INDEX(PP_Grid[#Data],M_BOM[PPGridRow],94),0))+IFERROR(INDEX(M_RawMaterials[固定週次消費量_要入力],MATCH($A29,M_RawMaterials[Part Name],0)),0)</f>
        <v/>
      </c>
      <c r="CQ29">
        <f>SUMPRODUCT((M_BOM[Part Name]=$A29)*M_BOM[RM_Qty_Per_Batch]*IFERROR(INDEX(PP_Grid[#Data],M_BOM[PPGridRow],95),0))+IFERROR(INDEX(M_RawMaterials[固定週次消費量_要入力],MATCH($A29,M_RawMaterials[Part Name],0)),0)</f>
        <v/>
      </c>
      <c r="CR29">
        <f>SUMPRODUCT((M_BOM[Part Name]=$A29)*M_BOM[RM_Qty_Per_Batch]*IFERROR(INDEX(PP_Grid[#Data],M_BOM[PPGridRow],96),0))+IFERROR(INDEX(M_RawMaterials[固定週次消費量_要入力],MATCH($A29,M_RawMaterials[Part Name],0)),0)</f>
        <v/>
      </c>
      <c r="CS29">
        <f>SUMPRODUCT((M_BOM[Part Name]=$A29)*M_BOM[RM_Qty_Per_Batch]*IFERROR(INDEX(PP_Grid[#Data],M_BOM[PPGridRow],97),0))+IFERROR(INDEX(M_RawMaterials[固定週次消費量_要入力],MATCH($A29,M_RawMaterials[Part Name],0)),0)</f>
        <v/>
      </c>
      <c r="CT29">
        <f>SUMPRODUCT((M_BOM[Part Name]=$A29)*M_BOM[RM_Qty_Per_Batch]*IFERROR(INDEX(PP_Grid[#Data],M_BOM[PPGridRow],98),0))+IFERROR(INDEX(M_RawMaterials[固定週次消費量_要入力],MATCH($A29,M_RawMaterials[Part Name],0)),0)</f>
        <v/>
      </c>
      <c r="CU29">
        <f>SUMPRODUCT((M_BOM[Part Name]=$A29)*M_BOM[RM_Qty_Per_Batch]*IFERROR(INDEX(PP_Grid[#Data],M_BOM[PPGridRow],99),0))+IFERROR(INDEX(M_RawMaterials[固定週次消費量_要入力],MATCH($A29,M_RawMaterials[Part Name],0)),0)</f>
        <v/>
      </c>
      <c r="CV29">
        <f>SUMPRODUCT((M_BOM[Part Name]=$A29)*M_BOM[RM_Qty_Per_Batch]*IFERROR(INDEX(PP_Grid[#Data],M_BOM[PPGridRow],100),0))+IFERROR(INDEX(M_RawMaterials[固定週次消費量_要入力],MATCH($A29,M_RawMaterials[Part Name],0)),0)</f>
        <v/>
      </c>
      <c r="CW29">
        <f>SUMPRODUCT((M_BOM[Part Name]=$A29)*M_BOM[RM_Qty_Per_Batch]*IFERROR(INDEX(PP_Grid[#Data],M_BOM[PPGridRow],101),0))+IFERROR(INDEX(M_RawMaterials[固定週次消費量_要入力],MATCH($A29,M_RawMaterials[Part Name],0)),0)</f>
        <v/>
      </c>
      <c r="CX29">
        <f>SUMPRODUCT((M_BOM[Part Name]=$A29)*M_BOM[RM_Qty_Per_Batch]*IFERROR(INDEX(PP_Grid[#Data],M_BOM[PPGridRow],102),0))+IFERROR(INDEX(M_RawMaterials[固定週次消費量_要入力],MATCH($A29,M_RawMaterials[Part Name],0)),0)</f>
        <v/>
      </c>
      <c r="CY29">
        <f>SUMPRODUCT((M_BOM[Part Name]=$A29)*M_BOM[RM_Qty_Per_Batch]*IFERROR(INDEX(PP_Grid[#Data],M_BOM[PPGridRow],103),0))+IFERROR(INDEX(M_RawMaterials[固定週次消費量_要入力],MATCH($A29,M_RawMaterials[Part Name],0)),0)</f>
        <v/>
      </c>
      <c r="CZ29">
        <f>SUMPRODUCT((M_BOM[Part Name]=$A29)*M_BOM[RM_Qty_Per_Batch]*IFERROR(INDEX(PP_Grid[#Data],M_BOM[PPGridRow],104),0))+IFERROR(INDEX(M_RawMaterials[固定週次消費量_要入力],MATCH($A29,M_RawMaterials[Part Name],0)),0)</f>
        <v/>
      </c>
      <c r="DA29">
        <f>SUMPRODUCT((M_BOM[Part Name]=$A29)*M_BOM[RM_Qty_Per_Batch]*IFERROR(INDEX(PP_Grid[#Data],M_BOM[PPGridRow],105),0))+IFERROR(INDEX(M_RawMaterials[固定週次消費量_要入力],MATCH($A29,M_RawMaterials[Part Name],0)),0)</f>
        <v/>
      </c>
    </row>
    <row r="30">
      <c r="A30" t="inlineStr">
        <is>
          <t>CHEM-1550</t>
        </is>
      </c>
      <c r="B30">
        <f>SUMPRODUCT((M_BOM[Part Name]=$A30)*M_BOM[RM_Qty_Per_Batch]*IFERROR(INDEX(PP_Grid[#Data],M_BOM[PPGridRow],2),0))+IFERROR(INDEX(M_RawMaterials[固定週次消費量_要入力],MATCH($A30,M_RawMaterials[Part Name],0)),0)</f>
        <v/>
      </c>
      <c r="C30">
        <f>SUMPRODUCT((M_BOM[Part Name]=$A30)*M_BOM[RM_Qty_Per_Batch]*IFERROR(INDEX(PP_Grid[#Data],M_BOM[PPGridRow],3),0))+IFERROR(INDEX(M_RawMaterials[固定週次消費量_要入力],MATCH($A30,M_RawMaterials[Part Name],0)),0)</f>
        <v/>
      </c>
      <c r="D30">
        <f>SUMPRODUCT((M_BOM[Part Name]=$A30)*M_BOM[RM_Qty_Per_Batch]*IFERROR(INDEX(PP_Grid[#Data],M_BOM[PPGridRow],4),0))+IFERROR(INDEX(M_RawMaterials[固定週次消費量_要入力],MATCH($A30,M_RawMaterials[Part Name],0)),0)</f>
        <v/>
      </c>
      <c r="E30">
        <f>SUMPRODUCT((M_BOM[Part Name]=$A30)*M_BOM[RM_Qty_Per_Batch]*IFERROR(INDEX(PP_Grid[#Data],M_BOM[PPGridRow],5),0))+IFERROR(INDEX(M_RawMaterials[固定週次消費量_要入力],MATCH($A30,M_RawMaterials[Part Name],0)),0)</f>
        <v/>
      </c>
      <c r="F30">
        <f>SUMPRODUCT((M_BOM[Part Name]=$A30)*M_BOM[RM_Qty_Per_Batch]*IFERROR(INDEX(PP_Grid[#Data],M_BOM[PPGridRow],6),0))+IFERROR(INDEX(M_RawMaterials[固定週次消費量_要入力],MATCH($A30,M_RawMaterials[Part Name],0)),0)</f>
        <v/>
      </c>
      <c r="G30">
        <f>SUMPRODUCT((M_BOM[Part Name]=$A30)*M_BOM[RM_Qty_Per_Batch]*IFERROR(INDEX(PP_Grid[#Data],M_BOM[PPGridRow],7),0))+IFERROR(INDEX(M_RawMaterials[固定週次消費量_要入力],MATCH($A30,M_RawMaterials[Part Name],0)),0)</f>
        <v/>
      </c>
      <c r="H30">
        <f>SUMPRODUCT((M_BOM[Part Name]=$A30)*M_BOM[RM_Qty_Per_Batch]*IFERROR(INDEX(PP_Grid[#Data],M_BOM[PPGridRow],8),0))+IFERROR(INDEX(M_RawMaterials[固定週次消費量_要入力],MATCH($A30,M_RawMaterials[Part Name],0)),0)</f>
        <v/>
      </c>
      <c r="I30">
        <f>SUMPRODUCT((M_BOM[Part Name]=$A30)*M_BOM[RM_Qty_Per_Batch]*IFERROR(INDEX(PP_Grid[#Data],M_BOM[PPGridRow],9),0))+IFERROR(INDEX(M_RawMaterials[固定週次消費量_要入力],MATCH($A30,M_RawMaterials[Part Name],0)),0)</f>
        <v/>
      </c>
      <c r="J30">
        <f>SUMPRODUCT((M_BOM[Part Name]=$A30)*M_BOM[RM_Qty_Per_Batch]*IFERROR(INDEX(PP_Grid[#Data],M_BOM[PPGridRow],10),0))+IFERROR(INDEX(M_RawMaterials[固定週次消費量_要入力],MATCH($A30,M_RawMaterials[Part Name],0)),0)</f>
        <v/>
      </c>
      <c r="K30">
        <f>SUMPRODUCT((M_BOM[Part Name]=$A30)*M_BOM[RM_Qty_Per_Batch]*IFERROR(INDEX(PP_Grid[#Data],M_BOM[PPGridRow],11),0))+IFERROR(INDEX(M_RawMaterials[固定週次消費量_要入力],MATCH($A30,M_RawMaterials[Part Name],0)),0)</f>
        <v/>
      </c>
      <c r="L30">
        <f>SUMPRODUCT((M_BOM[Part Name]=$A30)*M_BOM[RM_Qty_Per_Batch]*IFERROR(INDEX(PP_Grid[#Data],M_BOM[PPGridRow],12),0))+IFERROR(INDEX(M_RawMaterials[固定週次消費量_要入力],MATCH($A30,M_RawMaterials[Part Name],0)),0)</f>
        <v/>
      </c>
      <c r="M30">
        <f>SUMPRODUCT((M_BOM[Part Name]=$A30)*M_BOM[RM_Qty_Per_Batch]*IFERROR(INDEX(PP_Grid[#Data],M_BOM[PPGridRow],13),0))+IFERROR(INDEX(M_RawMaterials[固定週次消費量_要入力],MATCH($A30,M_RawMaterials[Part Name],0)),0)</f>
        <v/>
      </c>
      <c r="N30">
        <f>SUMPRODUCT((M_BOM[Part Name]=$A30)*M_BOM[RM_Qty_Per_Batch]*IFERROR(INDEX(PP_Grid[#Data],M_BOM[PPGridRow],14),0))+IFERROR(INDEX(M_RawMaterials[固定週次消費量_要入力],MATCH($A30,M_RawMaterials[Part Name],0)),0)</f>
        <v/>
      </c>
      <c r="O30">
        <f>SUMPRODUCT((M_BOM[Part Name]=$A30)*M_BOM[RM_Qty_Per_Batch]*IFERROR(INDEX(PP_Grid[#Data],M_BOM[PPGridRow],15),0))+IFERROR(INDEX(M_RawMaterials[固定週次消費量_要入力],MATCH($A30,M_RawMaterials[Part Name],0)),0)</f>
        <v/>
      </c>
      <c r="P30">
        <f>SUMPRODUCT((M_BOM[Part Name]=$A30)*M_BOM[RM_Qty_Per_Batch]*IFERROR(INDEX(PP_Grid[#Data],M_BOM[PPGridRow],16),0))+IFERROR(INDEX(M_RawMaterials[固定週次消費量_要入力],MATCH($A30,M_RawMaterials[Part Name],0)),0)</f>
        <v/>
      </c>
      <c r="Q30">
        <f>SUMPRODUCT((M_BOM[Part Name]=$A30)*M_BOM[RM_Qty_Per_Batch]*IFERROR(INDEX(PP_Grid[#Data],M_BOM[PPGridRow],17),0))+IFERROR(INDEX(M_RawMaterials[固定週次消費量_要入力],MATCH($A30,M_RawMaterials[Part Name],0)),0)</f>
        <v/>
      </c>
      <c r="R30">
        <f>SUMPRODUCT((M_BOM[Part Name]=$A30)*M_BOM[RM_Qty_Per_Batch]*IFERROR(INDEX(PP_Grid[#Data],M_BOM[PPGridRow],18),0))+IFERROR(INDEX(M_RawMaterials[固定週次消費量_要入力],MATCH($A30,M_RawMaterials[Part Name],0)),0)</f>
        <v/>
      </c>
      <c r="S30">
        <f>SUMPRODUCT((M_BOM[Part Name]=$A30)*M_BOM[RM_Qty_Per_Batch]*IFERROR(INDEX(PP_Grid[#Data],M_BOM[PPGridRow],19),0))+IFERROR(INDEX(M_RawMaterials[固定週次消費量_要入力],MATCH($A30,M_RawMaterials[Part Name],0)),0)</f>
        <v/>
      </c>
      <c r="T30">
        <f>SUMPRODUCT((M_BOM[Part Name]=$A30)*M_BOM[RM_Qty_Per_Batch]*IFERROR(INDEX(PP_Grid[#Data],M_BOM[PPGridRow],20),0))+IFERROR(INDEX(M_RawMaterials[固定週次消費量_要入力],MATCH($A30,M_RawMaterials[Part Name],0)),0)</f>
        <v/>
      </c>
      <c r="U30">
        <f>SUMPRODUCT((M_BOM[Part Name]=$A30)*M_BOM[RM_Qty_Per_Batch]*IFERROR(INDEX(PP_Grid[#Data],M_BOM[PPGridRow],21),0))+IFERROR(INDEX(M_RawMaterials[固定週次消費量_要入力],MATCH($A30,M_RawMaterials[Part Name],0)),0)</f>
        <v/>
      </c>
      <c r="V30">
        <f>SUMPRODUCT((M_BOM[Part Name]=$A30)*M_BOM[RM_Qty_Per_Batch]*IFERROR(INDEX(PP_Grid[#Data],M_BOM[PPGridRow],22),0))+IFERROR(INDEX(M_RawMaterials[固定週次消費量_要入力],MATCH($A30,M_RawMaterials[Part Name],0)),0)</f>
        <v/>
      </c>
      <c r="W30">
        <f>SUMPRODUCT((M_BOM[Part Name]=$A30)*M_BOM[RM_Qty_Per_Batch]*IFERROR(INDEX(PP_Grid[#Data],M_BOM[PPGridRow],23),0))+IFERROR(INDEX(M_RawMaterials[固定週次消費量_要入力],MATCH($A30,M_RawMaterials[Part Name],0)),0)</f>
        <v/>
      </c>
      <c r="X30">
        <f>SUMPRODUCT((M_BOM[Part Name]=$A30)*M_BOM[RM_Qty_Per_Batch]*IFERROR(INDEX(PP_Grid[#Data],M_BOM[PPGridRow],24),0))+IFERROR(INDEX(M_RawMaterials[固定週次消費量_要入力],MATCH($A30,M_RawMaterials[Part Name],0)),0)</f>
        <v/>
      </c>
      <c r="Y30">
        <f>SUMPRODUCT((M_BOM[Part Name]=$A30)*M_BOM[RM_Qty_Per_Batch]*IFERROR(INDEX(PP_Grid[#Data],M_BOM[PPGridRow],25),0))+IFERROR(INDEX(M_RawMaterials[固定週次消費量_要入力],MATCH($A30,M_RawMaterials[Part Name],0)),0)</f>
        <v/>
      </c>
      <c r="Z30">
        <f>SUMPRODUCT((M_BOM[Part Name]=$A30)*M_BOM[RM_Qty_Per_Batch]*IFERROR(INDEX(PP_Grid[#Data],M_BOM[PPGridRow],26),0))+IFERROR(INDEX(M_RawMaterials[固定週次消費量_要入力],MATCH($A30,M_RawMaterials[Part Name],0)),0)</f>
        <v/>
      </c>
      <c r="AA30">
        <f>SUMPRODUCT((M_BOM[Part Name]=$A30)*M_BOM[RM_Qty_Per_Batch]*IFERROR(INDEX(PP_Grid[#Data],M_BOM[PPGridRow],27),0))+IFERROR(INDEX(M_RawMaterials[固定週次消費量_要入力],MATCH($A30,M_RawMaterials[Part Name],0)),0)</f>
        <v/>
      </c>
      <c r="AB30">
        <f>SUMPRODUCT((M_BOM[Part Name]=$A30)*M_BOM[RM_Qty_Per_Batch]*IFERROR(INDEX(PP_Grid[#Data],M_BOM[PPGridRow],28),0))+IFERROR(INDEX(M_RawMaterials[固定週次消費量_要入力],MATCH($A30,M_RawMaterials[Part Name],0)),0)</f>
        <v/>
      </c>
      <c r="AC30">
        <f>SUMPRODUCT((M_BOM[Part Name]=$A30)*M_BOM[RM_Qty_Per_Batch]*IFERROR(INDEX(PP_Grid[#Data],M_BOM[PPGridRow],29),0))+IFERROR(INDEX(M_RawMaterials[固定週次消費量_要入力],MATCH($A30,M_RawMaterials[Part Name],0)),0)</f>
        <v/>
      </c>
      <c r="AD30">
        <f>SUMPRODUCT((M_BOM[Part Name]=$A30)*M_BOM[RM_Qty_Per_Batch]*IFERROR(INDEX(PP_Grid[#Data],M_BOM[PPGridRow],30),0))+IFERROR(INDEX(M_RawMaterials[固定週次消費量_要入力],MATCH($A30,M_RawMaterials[Part Name],0)),0)</f>
        <v/>
      </c>
      <c r="AE30">
        <f>SUMPRODUCT((M_BOM[Part Name]=$A30)*M_BOM[RM_Qty_Per_Batch]*IFERROR(INDEX(PP_Grid[#Data],M_BOM[PPGridRow],31),0))+IFERROR(INDEX(M_RawMaterials[固定週次消費量_要入力],MATCH($A30,M_RawMaterials[Part Name],0)),0)</f>
        <v/>
      </c>
      <c r="AF30">
        <f>SUMPRODUCT((M_BOM[Part Name]=$A30)*M_BOM[RM_Qty_Per_Batch]*IFERROR(INDEX(PP_Grid[#Data],M_BOM[PPGridRow],32),0))+IFERROR(INDEX(M_RawMaterials[固定週次消費量_要入力],MATCH($A30,M_RawMaterials[Part Name],0)),0)</f>
        <v/>
      </c>
      <c r="AG30">
        <f>SUMPRODUCT((M_BOM[Part Name]=$A30)*M_BOM[RM_Qty_Per_Batch]*IFERROR(INDEX(PP_Grid[#Data],M_BOM[PPGridRow],33),0))+IFERROR(INDEX(M_RawMaterials[固定週次消費量_要入力],MATCH($A30,M_RawMaterials[Part Name],0)),0)</f>
        <v/>
      </c>
      <c r="AH30">
        <f>SUMPRODUCT((M_BOM[Part Name]=$A30)*M_BOM[RM_Qty_Per_Batch]*IFERROR(INDEX(PP_Grid[#Data],M_BOM[PPGridRow],34),0))+IFERROR(INDEX(M_RawMaterials[固定週次消費量_要入力],MATCH($A30,M_RawMaterials[Part Name],0)),0)</f>
        <v/>
      </c>
      <c r="AI30">
        <f>SUMPRODUCT((M_BOM[Part Name]=$A30)*M_BOM[RM_Qty_Per_Batch]*IFERROR(INDEX(PP_Grid[#Data],M_BOM[PPGridRow],35),0))+IFERROR(INDEX(M_RawMaterials[固定週次消費量_要入力],MATCH($A30,M_RawMaterials[Part Name],0)),0)</f>
        <v/>
      </c>
      <c r="AJ30">
        <f>SUMPRODUCT((M_BOM[Part Name]=$A30)*M_BOM[RM_Qty_Per_Batch]*IFERROR(INDEX(PP_Grid[#Data],M_BOM[PPGridRow],36),0))+IFERROR(INDEX(M_RawMaterials[固定週次消費量_要入力],MATCH($A30,M_RawMaterials[Part Name],0)),0)</f>
        <v/>
      </c>
      <c r="AK30">
        <f>SUMPRODUCT((M_BOM[Part Name]=$A30)*M_BOM[RM_Qty_Per_Batch]*IFERROR(INDEX(PP_Grid[#Data],M_BOM[PPGridRow],37),0))+IFERROR(INDEX(M_RawMaterials[固定週次消費量_要入力],MATCH($A30,M_RawMaterials[Part Name],0)),0)</f>
        <v/>
      </c>
      <c r="AL30">
        <f>SUMPRODUCT((M_BOM[Part Name]=$A30)*M_BOM[RM_Qty_Per_Batch]*IFERROR(INDEX(PP_Grid[#Data],M_BOM[PPGridRow],38),0))+IFERROR(INDEX(M_RawMaterials[固定週次消費量_要入力],MATCH($A30,M_RawMaterials[Part Name],0)),0)</f>
        <v/>
      </c>
      <c r="AM30">
        <f>SUMPRODUCT((M_BOM[Part Name]=$A30)*M_BOM[RM_Qty_Per_Batch]*IFERROR(INDEX(PP_Grid[#Data],M_BOM[PPGridRow],39),0))+IFERROR(INDEX(M_RawMaterials[固定週次消費量_要入力],MATCH($A30,M_RawMaterials[Part Name],0)),0)</f>
        <v/>
      </c>
      <c r="AN30">
        <f>SUMPRODUCT((M_BOM[Part Name]=$A30)*M_BOM[RM_Qty_Per_Batch]*IFERROR(INDEX(PP_Grid[#Data],M_BOM[PPGridRow],40),0))+IFERROR(INDEX(M_RawMaterials[固定週次消費量_要入力],MATCH($A30,M_RawMaterials[Part Name],0)),0)</f>
        <v/>
      </c>
      <c r="AO30">
        <f>SUMPRODUCT((M_BOM[Part Name]=$A30)*M_BOM[RM_Qty_Per_Batch]*IFERROR(INDEX(PP_Grid[#Data],M_BOM[PPGridRow],41),0))+IFERROR(INDEX(M_RawMaterials[固定週次消費量_要入力],MATCH($A30,M_RawMaterials[Part Name],0)),0)</f>
        <v/>
      </c>
      <c r="AP30">
        <f>SUMPRODUCT((M_BOM[Part Name]=$A30)*M_BOM[RM_Qty_Per_Batch]*IFERROR(INDEX(PP_Grid[#Data],M_BOM[PPGridRow],42),0))+IFERROR(INDEX(M_RawMaterials[固定週次消費量_要入力],MATCH($A30,M_RawMaterials[Part Name],0)),0)</f>
        <v/>
      </c>
      <c r="AQ30">
        <f>SUMPRODUCT((M_BOM[Part Name]=$A30)*M_BOM[RM_Qty_Per_Batch]*IFERROR(INDEX(PP_Grid[#Data],M_BOM[PPGridRow],43),0))+IFERROR(INDEX(M_RawMaterials[固定週次消費量_要入力],MATCH($A30,M_RawMaterials[Part Name],0)),0)</f>
        <v/>
      </c>
      <c r="AR30">
        <f>SUMPRODUCT((M_BOM[Part Name]=$A30)*M_BOM[RM_Qty_Per_Batch]*IFERROR(INDEX(PP_Grid[#Data],M_BOM[PPGridRow],44),0))+IFERROR(INDEX(M_RawMaterials[固定週次消費量_要入力],MATCH($A30,M_RawMaterials[Part Name],0)),0)</f>
        <v/>
      </c>
      <c r="AS30">
        <f>SUMPRODUCT((M_BOM[Part Name]=$A30)*M_BOM[RM_Qty_Per_Batch]*IFERROR(INDEX(PP_Grid[#Data],M_BOM[PPGridRow],45),0))+IFERROR(INDEX(M_RawMaterials[固定週次消費量_要入力],MATCH($A30,M_RawMaterials[Part Name],0)),0)</f>
        <v/>
      </c>
      <c r="AT30">
        <f>SUMPRODUCT((M_BOM[Part Name]=$A30)*M_BOM[RM_Qty_Per_Batch]*IFERROR(INDEX(PP_Grid[#Data],M_BOM[PPGridRow],46),0))+IFERROR(INDEX(M_RawMaterials[固定週次消費量_要入力],MATCH($A30,M_RawMaterials[Part Name],0)),0)</f>
        <v/>
      </c>
      <c r="AU30">
        <f>SUMPRODUCT((M_BOM[Part Name]=$A30)*M_BOM[RM_Qty_Per_Batch]*IFERROR(INDEX(PP_Grid[#Data],M_BOM[PPGridRow],47),0))+IFERROR(INDEX(M_RawMaterials[固定週次消費量_要入力],MATCH($A30,M_RawMaterials[Part Name],0)),0)</f>
        <v/>
      </c>
      <c r="AV30">
        <f>SUMPRODUCT((M_BOM[Part Name]=$A30)*M_BOM[RM_Qty_Per_Batch]*IFERROR(INDEX(PP_Grid[#Data],M_BOM[PPGridRow],48),0))+IFERROR(INDEX(M_RawMaterials[固定週次消費量_要入力],MATCH($A30,M_RawMaterials[Part Name],0)),0)</f>
        <v/>
      </c>
      <c r="AW30">
        <f>SUMPRODUCT((M_BOM[Part Name]=$A30)*M_BOM[RM_Qty_Per_Batch]*IFERROR(INDEX(PP_Grid[#Data],M_BOM[PPGridRow],49),0))+IFERROR(INDEX(M_RawMaterials[固定週次消費量_要入力],MATCH($A30,M_RawMaterials[Part Name],0)),0)</f>
        <v/>
      </c>
      <c r="AX30">
        <f>SUMPRODUCT((M_BOM[Part Name]=$A30)*M_BOM[RM_Qty_Per_Batch]*IFERROR(INDEX(PP_Grid[#Data],M_BOM[PPGridRow],50),0))+IFERROR(INDEX(M_RawMaterials[固定週次消費量_要入力],MATCH($A30,M_RawMaterials[Part Name],0)),0)</f>
        <v/>
      </c>
      <c r="AY30">
        <f>SUMPRODUCT((M_BOM[Part Name]=$A30)*M_BOM[RM_Qty_Per_Batch]*IFERROR(INDEX(PP_Grid[#Data],M_BOM[PPGridRow],51),0))+IFERROR(INDEX(M_RawMaterials[固定週次消費量_要入力],MATCH($A30,M_RawMaterials[Part Name],0)),0)</f>
        <v/>
      </c>
      <c r="AZ30">
        <f>SUMPRODUCT((M_BOM[Part Name]=$A30)*M_BOM[RM_Qty_Per_Batch]*IFERROR(INDEX(PP_Grid[#Data],M_BOM[PPGridRow],52),0))+IFERROR(INDEX(M_RawMaterials[固定週次消費量_要入力],MATCH($A30,M_RawMaterials[Part Name],0)),0)</f>
        <v/>
      </c>
      <c r="BA30">
        <f>SUMPRODUCT((M_BOM[Part Name]=$A30)*M_BOM[RM_Qty_Per_Batch]*IFERROR(INDEX(PP_Grid[#Data],M_BOM[PPGridRow],53),0))+IFERROR(INDEX(M_RawMaterials[固定週次消費量_要入力],MATCH($A30,M_RawMaterials[Part Name],0)),0)</f>
        <v/>
      </c>
      <c r="BB30">
        <f>SUMPRODUCT((M_BOM[Part Name]=$A30)*M_BOM[RM_Qty_Per_Batch]*IFERROR(INDEX(PP_Grid[#Data],M_BOM[PPGridRow],54),0))+IFERROR(INDEX(M_RawMaterials[固定週次消費量_要入力],MATCH($A30,M_RawMaterials[Part Name],0)),0)</f>
        <v/>
      </c>
      <c r="BC30">
        <f>SUMPRODUCT((M_BOM[Part Name]=$A30)*M_BOM[RM_Qty_Per_Batch]*IFERROR(INDEX(PP_Grid[#Data],M_BOM[PPGridRow],55),0))+IFERROR(INDEX(M_RawMaterials[固定週次消費量_要入力],MATCH($A30,M_RawMaterials[Part Name],0)),0)</f>
        <v/>
      </c>
      <c r="BD30">
        <f>SUMPRODUCT((M_BOM[Part Name]=$A30)*M_BOM[RM_Qty_Per_Batch]*IFERROR(INDEX(PP_Grid[#Data],M_BOM[PPGridRow],56),0))+IFERROR(INDEX(M_RawMaterials[固定週次消費量_要入力],MATCH($A30,M_RawMaterials[Part Name],0)),0)</f>
        <v/>
      </c>
      <c r="BE30">
        <f>SUMPRODUCT((M_BOM[Part Name]=$A30)*M_BOM[RM_Qty_Per_Batch]*IFERROR(INDEX(PP_Grid[#Data],M_BOM[PPGridRow],57),0))+IFERROR(INDEX(M_RawMaterials[固定週次消費量_要入力],MATCH($A30,M_RawMaterials[Part Name],0)),0)</f>
        <v/>
      </c>
      <c r="BF30">
        <f>SUMPRODUCT((M_BOM[Part Name]=$A30)*M_BOM[RM_Qty_Per_Batch]*IFERROR(INDEX(PP_Grid[#Data],M_BOM[PPGridRow],58),0))+IFERROR(INDEX(M_RawMaterials[固定週次消費量_要入力],MATCH($A30,M_RawMaterials[Part Name],0)),0)</f>
        <v/>
      </c>
      <c r="BG30">
        <f>SUMPRODUCT((M_BOM[Part Name]=$A30)*M_BOM[RM_Qty_Per_Batch]*IFERROR(INDEX(PP_Grid[#Data],M_BOM[PPGridRow],59),0))+IFERROR(INDEX(M_RawMaterials[固定週次消費量_要入力],MATCH($A30,M_RawMaterials[Part Name],0)),0)</f>
        <v/>
      </c>
      <c r="BH30">
        <f>SUMPRODUCT((M_BOM[Part Name]=$A30)*M_BOM[RM_Qty_Per_Batch]*IFERROR(INDEX(PP_Grid[#Data],M_BOM[PPGridRow],60),0))+IFERROR(INDEX(M_RawMaterials[固定週次消費量_要入力],MATCH($A30,M_RawMaterials[Part Name],0)),0)</f>
        <v/>
      </c>
      <c r="BI30">
        <f>SUMPRODUCT((M_BOM[Part Name]=$A30)*M_BOM[RM_Qty_Per_Batch]*IFERROR(INDEX(PP_Grid[#Data],M_BOM[PPGridRow],61),0))+IFERROR(INDEX(M_RawMaterials[固定週次消費量_要入力],MATCH($A30,M_RawMaterials[Part Name],0)),0)</f>
        <v/>
      </c>
      <c r="BJ30">
        <f>SUMPRODUCT((M_BOM[Part Name]=$A30)*M_BOM[RM_Qty_Per_Batch]*IFERROR(INDEX(PP_Grid[#Data],M_BOM[PPGridRow],62),0))+IFERROR(INDEX(M_RawMaterials[固定週次消費量_要入力],MATCH($A30,M_RawMaterials[Part Name],0)),0)</f>
        <v/>
      </c>
      <c r="BK30">
        <f>SUMPRODUCT((M_BOM[Part Name]=$A30)*M_BOM[RM_Qty_Per_Batch]*IFERROR(INDEX(PP_Grid[#Data],M_BOM[PPGridRow],63),0))+IFERROR(INDEX(M_RawMaterials[固定週次消費量_要入力],MATCH($A30,M_RawMaterials[Part Name],0)),0)</f>
        <v/>
      </c>
      <c r="BL30">
        <f>SUMPRODUCT((M_BOM[Part Name]=$A30)*M_BOM[RM_Qty_Per_Batch]*IFERROR(INDEX(PP_Grid[#Data],M_BOM[PPGridRow],64),0))+IFERROR(INDEX(M_RawMaterials[固定週次消費量_要入力],MATCH($A30,M_RawMaterials[Part Name],0)),0)</f>
        <v/>
      </c>
      <c r="BM30">
        <f>SUMPRODUCT((M_BOM[Part Name]=$A30)*M_BOM[RM_Qty_Per_Batch]*IFERROR(INDEX(PP_Grid[#Data],M_BOM[PPGridRow],65),0))+IFERROR(INDEX(M_RawMaterials[固定週次消費量_要入力],MATCH($A30,M_RawMaterials[Part Name],0)),0)</f>
        <v/>
      </c>
      <c r="BN30">
        <f>SUMPRODUCT((M_BOM[Part Name]=$A30)*M_BOM[RM_Qty_Per_Batch]*IFERROR(INDEX(PP_Grid[#Data],M_BOM[PPGridRow],66),0))+IFERROR(INDEX(M_RawMaterials[固定週次消費量_要入力],MATCH($A30,M_RawMaterials[Part Name],0)),0)</f>
        <v/>
      </c>
      <c r="BO30">
        <f>SUMPRODUCT((M_BOM[Part Name]=$A30)*M_BOM[RM_Qty_Per_Batch]*IFERROR(INDEX(PP_Grid[#Data],M_BOM[PPGridRow],67),0))+IFERROR(INDEX(M_RawMaterials[固定週次消費量_要入力],MATCH($A30,M_RawMaterials[Part Name],0)),0)</f>
        <v/>
      </c>
      <c r="BP30">
        <f>SUMPRODUCT((M_BOM[Part Name]=$A30)*M_BOM[RM_Qty_Per_Batch]*IFERROR(INDEX(PP_Grid[#Data],M_BOM[PPGridRow],68),0))+IFERROR(INDEX(M_RawMaterials[固定週次消費量_要入力],MATCH($A30,M_RawMaterials[Part Name],0)),0)</f>
        <v/>
      </c>
      <c r="BQ30">
        <f>SUMPRODUCT((M_BOM[Part Name]=$A30)*M_BOM[RM_Qty_Per_Batch]*IFERROR(INDEX(PP_Grid[#Data],M_BOM[PPGridRow],69),0))+IFERROR(INDEX(M_RawMaterials[固定週次消費量_要入力],MATCH($A30,M_RawMaterials[Part Name],0)),0)</f>
        <v/>
      </c>
      <c r="BR30">
        <f>SUMPRODUCT((M_BOM[Part Name]=$A30)*M_BOM[RM_Qty_Per_Batch]*IFERROR(INDEX(PP_Grid[#Data],M_BOM[PPGridRow],70),0))+IFERROR(INDEX(M_RawMaterials[固定週次消費量_要入力],MATCH($A30,M_RawMaterials[Part Name],0)),0)</f>
        <v/>
      </c>
      <c r="BS30">
        <f>SUMPRODUCT((M_BOM[Part Name]=$A30)*M_BOM[RM_Qty_Per_Batch]*IFERROR(INDEX(PP_Grid[#Data],M_BOM[PPGridRow],71),0))+IFERROR(INDEX(M_RawMaterials[固定週次消費量_要入力],MATCH($A30,M_RawMaterials[Part Name],0)),0)</f>
        <v/>
      </c>
      <c r="BT30">
        <f>SUMPRODUCT((M_BOM[Part Name]=$A30)*M_BOM[RM_Qty_Per_Batch]*IFERROR(INDEX(PP_Grid[#Data],M_BOM[PPGridRow],72),0))+IFERROR(INDEX(M_RawMaterials[固定週次消費量_要入力],MATCH($A30,M_RawMaterials[Part Name],0)),0)</f>
        <v/>
      </c>
      <c r="BU30">
        <f>SUMPRODUCT((M_BOM[Part Name]=$A30)*M_BOM[RM_Qty_Per_Batch]*IFERROR(INDEX(PP_Grid[#Data],M_BOM[PPGridRow],73),0))+IFERROR(INDEX(M_RawMaterials[固定週次消費量_要入力],MATCH($A30,M_RawMaterials[Part Name],0)),0)</f>
        <v/>
      </c>
      <c r="BV30">
        <f>SUMPRODUCT((M_BOM[Part Name]=$A30)*M_BOM[RM_Qty_Per_Batch]*IFERROR(INDEX(PP_Grid[#Data],M_BOM[PPGridRow],74),0))+IFERROR(INDEX(M_RawMaterials[固定週次消費量_要入力],MATCH($A30,M_RawMaterials[Part Name],0)),0)</f>
        <v/>
      </c>
      <c r="BW30">
        <f>SUMPRODUCT((M_BOM[Part Name]=$A30)*M_BOM[RM_Qty_Per_Batch]*IFERROR(INDEX(PP_Grid[#Data],M_BOM[PPGridRow],75),0))+IFERROR(INDEX(M_RawMaterials[固定週次消費量_要入力],MATCH($A30,M_RawMaterials[Part Name],0)),0)</f>
        <v/>
      </c>
      <c r="BX30">
        <f>SUMPRODUCT((M_BOM[Part Name]=$A30)*M_BOM[RM_Qty_Per_Batch]*IFERROR(INDEX(PP_Grid[#Data],M_BOM[PPGridRow],76),0))+IFERROR(INDEX(M_RawMaterials[固定週次消費量_要入力],MATCH($A30,M_RawMaterials[Part Name],0)),0)</f>
        <v/>
      </c>
      <c r="BY30">
        <f>SUMPRODUCT((M_BOM[Part Name]=$A30)*M_BOM[RM_Qty_Per_Batch]*IFERROR(INDEX(PP_Grid[#Data],M_BOM[PPGridRow],77),0))+IFERROR(INDEX(M_RawMaterials[固定週次消費量_要入力],MATCH($A30,M_RawMaterials[Part Name],0)),0)</f>
        <v/>
      </c>
      <c r="BZ30">
        <f>SUMPRODUCT((M_BOM[Part Name]=$A30)*M_BOM[RM_Qty_Per_Batch]*IFERROR(INDEX(PP_Grid[#Data],M_BOM[PPGridRow],78),0))+IFERROR(INDEX(M_RawMaterials[固定週次消費量_要入力],MATCH($A30,M_RawMaterials[Part Name],0)),0)</f>
        <v/>
      </c>
      <c r="CA30">
        <f>SUMPRODUCT((M_BOM[Part Name]=$A30)*M_BOM[RM_Qty_Per_Batch]*IFERROR(INDEX(PP_Grid[#Data],M_BOM[PPGridRow],79),0))+IFERROR(INDEX(M_RawMaterials[固定週次消費量_要入力],MATCH($A30,M_RawMaterials[Part Name],0)),0)</f>
        <v/>
      </c>
      <c r="CB30">
        <f>SUMPRODUCT((M_BOM[Part Name]=$A30)*M_BOM[RM_Qty_Per_Batch]*IFERROR(INDEX(PP_Grid[#Data],M_BOM[PPGridRow],80),0))+IFERROR(INDEX(M_RawMaterials[固定週次消費量_要入力],MATCH($A30,M_RawMaterials[Part Name],0)),0)</f>
        <v/>
      </c>
      <c r="CC30">
        <f>SUMPRODUCT((M_BOM[Part Name]=$A30)*M_BOM[RM_Qty_Per_Batch]*IFERROR(INDEX(PP_Grid[#Data],M_BOM[PPGridRow],81),0))+IFERROR(INDEX(M_RawMaterials[固定週次消費量_要入力],MATCH($A30,M_RawMaterials[Part Name],0)),0)</f>
        <v/>
      </c>
      <c r="CD30">
        <f>SUMPRODUCT((M_BOM[Part Name]=$A30)*M_BOM[RM_Qty_Per_Batch]*IFERROR(INDEX(PP_Grid[#Data],M_BOM[PPGridRow],82),0))+IFERROR(INDEX(M_RawMaterials[固定週次消費量_要入力],MATCH($A30,M_RawMaterials[Part Name],0)),0)</f>
        <v/>
      </c>
      <c r="CE30">
        <f>SUMPRODUCT((M_BOM[Part Name]=$A30)*M_BOM[RM_Qty_Per_Batch]*IFERROR(INDEX(PP_Grid[#Data],M_BOM[PPGridRow],83),0))+IFERROR(INDEX(M_RawMaterials[固定週次消費量_要入力],MATCH($A30,M_RawMaterials[Part Name],0)),0)</f>
        <v/>
      </c>
      <c r="CF30">
        <f>SUMPRODUCT((M_BOM[Part Name]=$A30)*M_BOM[RM_Qty_Per_Batch]*IFERROR(INDEX(PP_Grid[#Data],M_BOM[PPGridRow],84),0))+IFERROR(INDEX(M_RawMaterials[固定週次消費量_要入力],MATCH($A30,M_RawMaterials[Part Name],0)),0)</f>
        <v/>
      </c>
      <c r="CG30">
        <f>SUMPRODUCT((M_BOM[Part Name]=$A30)*M_BOM[RM_Qty_Per_Batch]*IFERROR(INDEX(PP_Grid[#Data],M_BOM[PPGridRow],85),0))+IFERROR(INDEX(M_RawMaterials[固定週次消費量_要入力],MATCH($A30,M_RawMaterials[Part Name],0)),0)</f>
        <v/>
      </c>
      <c r="CH30">
        <f>SUMPRODUCT((M_BOM[Part Name]=$A30)*M_BOM[RM_Qty_Per_Batch]*IFERROR(INDEX(PP_Grid[#Data],M_BOM[PPGridRow],86),0))+IFERROR(INDEX(M_RawMaterials[固定週次消費量_要入力],MATCH($A30,M_RawMaterials[Part Name],0)),0)</f>
        <v/>
      </c>
      <c r="CI30">
        <f>SUMPRODUCT((M_BOM[Part Name]=$A30)*M_BOM[RM_Qty_Per_Batch]*IFERROR(INDEX(PP_Grid[#Data],M_BOM[PPGridRow],87),0))+IFERROR(INDEX(M_RawMaterials[固定週次消費量_要入力],MATCH($A30,M_RawMaterials[Part Name],0)),0)</f>
        <v/>
      </c>
      <c r="CJ30">
        <f>SUMPRODUCT((M_BOM[Part Name]=$A30)*M_BOM[RM_Qty_Per_Batch]*IFERROR(INDEX(PP_Grid[#Data],M_BOM[PPGridRow],88),0))+IFERROR(INDEX(M_RawMaterials[固定週次消費量_要入力],MATCH($A30,M_RawMaterials[Part Name],0)),0)</f>
        <v/>
      </c>
      <c r="CK30">
        <f>SUMPRODUCT((M_BOM[Part Name]=$A30)*M_BOM[RM_Qty_Per_Batch]*IFERROR(INDEX(PP_Grid[#Data],M_BOM[PPGridRow],89),0))+IFERROR(INDEX(M_RawMaterials[固定週次消費量_要入力],MATCH($A30,M_RawMaterials[Part Name],0)),0)</f>
        <v/>
      </c>
      <c r="CL30">
        <f>SUMPRODUCT((M_BOM[Part Name]=$A30)*M_BOM[RM_Qty_Per_Batch]*IFERROR(INDEX(PP_Grid[#Data],M_BOM[PPGridRow],90),0))+IFERROR(INDEX(M_RawMaterials[固定週次消費量_要入力],MATCH($A30,M_RawMaterials[Part Name],0)),0)</f>
        <v/>
      </c>
      <c r="CM30">
        <f>SUMPRODUCT((M_BOM[Part Name]=$A30)*M_BOM[RM_Qty_Per_Batch]*IFERROR(INDEX(PP_Grid[#Data],M_BOM[PPGridRow],91),0))+IFERROR(INDEX(M_RawMaterials[固定週次消費量_要入力],MATCH($A30,M_RawMaterials[Part Name],0)),0)</f>
        <v/>
      </c>
      <c r="CN30">
        <f>SUMPRODUCT((M_BOM[Part Name]=$A30)*M_BOM[RM_Qty_Per_Batch]*IFERROR(INDEX(PP_Grid[#Data],M_BOM[PPGridRow],92),0))+IFERROR(INDEX(M_RawMaterials[固定週次消費量_要入力],MATCH($A30,M_RawMaterials[Part Name],0)),0)</f>
        <v/>
      </c>
      <c r="CO30">
        <f>SUMPRODUCT((M_BOM[Part Name]=$A30)*M_BOM[RM_Qty_Per_Batch]*IFERROR(INDEX(PP_Grid[#Data],M_BOM[PPGridRow],93),0))+IFERROR(INDEX(M_RawMaterials[固定週次消費量_要入力],MATCH($A30,M_RawMaterials[Part Name],0)),0)</f>
        <v/>
      </c>
      <c r="CP30">
        <f>SUMPRODUCT((M_BOM[Part Name]=$A30)*M_BOM[RM_Qty_Per_Batch]*IFERROR(INDEX(PP_Grid[#Data],M_BOM[PPGridRow],94),0))+IFERROR(INDEX(M_RawMaterials[固定週次消費量_要入力],MATCH($A30,M_RawMaterials[Part Name],0)),0)</f>
        <v/>
      </c>
      <c r="CQ30">
        <f>SUMPRODUCT((M_BOM[Part Name]=$A30)*M_BOM[RM_Qty_Per_Batch]*IFERROR(INDEX(PP_Grid[#Data],M_BOM[PPGridRow],95),0))+IFERROR(INDEX(M_RawMaterials[固定週次消費量_要入力],MATCH($A30,M_RawMaterials[Part Name],0)),0)</f>
        <v/>
      </c>
      <c r="CR30">
        <f>SUMPRODUCT((M_BOM[Part Name]=$A30)*M_BOM[RM_Qty_Per_Batch]*IFERROR(INDEX(PP_Grid[#Data],M_BOM[PPGridRow],96),0))+IFERROR(INDEX(M_RawMaterials[固定週次消費量_要入力],MATCH($A30,M_RawMaterials[Part Name],0)),0)</f>
        <v/>
      </c>
      <c r="CS30">
        <f>SUMPRODUCT((M_BOM[Part Name]=$A30)*M_BOM[RM_Qty_Per_Batch]*IFERROR(INDEX(PP_Grid[#Data],M_BOM[PPGridRow],97),0))+IFERROR(INDEX(M_RawMaterials[固定週次消費量_要入力],MATCH($A30,M_RawMaterials[Part Name],0)),0)</f>
        <v/>
      </c>
      <c r="CT30">
        <f>SUMPRODUCT((M_BOM[Part Name]=$A30)*M_BOM[RM_Qty_Per_Batch]*IFERROR(INDEX(PP_Grid[#Data],M_BOM[PPGridRow],98),0))+IFERROR(INDEX(M_RawMaterials[固定週次消費量_要入力],MATCH($A30,M_RawMaterials[Part Name],0)),0)</f>
        <v/>
      </c>
      <c r="CU30">
        <f>SUMPRODUCT((M_BOM[Part Name]=$A30)*M_BOM[RM_Qty_Per_Batch]*IFERROR(INDEX(PP_Grid[#Data],M_BOM[PPGridRow],99),0))+IFERROR(INDEX(M_RawMaterials[固定週次消費量_要入力],MATCH($A30,M_RawMaterials[Part Name],0)),0)</f>
        <v/>
      </c>
      <c r="CV30">
        <f>SUMPRODUCT((M_BOM[Part Name]=$A30)*M_BOM[RM_Qty_Per_Batch]*IFERROR(INDEX(PP_Grid[#Data],M_BOM[PPGridRow],100),0))+IFERROR(INDEX(M_RawMaterials[固定週次消費量_要入力],MATCH($A30,M_RawMaterials[Part Name],0)),0)</f>
        <v/>
      </c>
      <c r="CW30">
        <f>SUMPRODUCT((M_BOM[Part Name]=$A30)*M_BOM[RM_Qty_Per_Batch]*IFERROR(INDEX(PP_Grid[#Data],M_BOM[PPGridRow],101),0))+IFERROR(INDEX(M_RawMaterials[固定週次消費量_要入力],MATCH($A30,M_RawMaterials[Part Name],0)),0)</f>
        <v/>
      </c>
      <c r="CX30">
        <f>SUMPRODUCT((M_BOM[Part Name]=$A30)*M_BOM[RM_Qty_Per_Batch]*IFERROR(INDEX(PP_Grid[#Data],M_BOM[PPGridRow],102),0))+IFERROR(INDEX(M_RawMaterials[固定週次消費量_要入力],MATCH($A30,M_RawMaterials[Part Name],0)),0)</f>
        <v/>
      </c>
      <c r="CY30">
        <f>SUMPRODUCT((M_BOM[Part Name]=$A30)*M_BOM[RM_Qty_Per_Batch]*IFERROR(INDEX(PP_Grid[#Data],M_BOM[PPGridRow],103),0))+IFERROR(INDEX(M_RawMaterials[固定週次消費量_要入力],MATCH($A30,M_RawMaterials[Part Name],0)),0)</f>
        <v/>
      </c>
      <c r="CZ30">
        <f>SUMPRODUCT((M_BOM[Part Name]=$A30)*M_BOM[RM_Qty_Per_Batch]*IFERROR(INDEX(PP_Grid[#Data],M_BOM[PPGridRow],104),0))+IFERROR(INDEX(M_RawMaterials[固定週次消費量_要入力],MATCH($A30,M_RawMaterials[Part Name],0)),0)</f>
        <v/>
      </c>
      <c r="DA30">
        <f>SUMPRODUCT((M_BOM[Part Name]=$A30)*M_BOM[RM_Qty_Per_Batch]*IFERROR(INDEX(PP_Grid[#Data],M_BOM[PPGridRow],105),0))+IFERROR(INDEX(M_RawMaterials[固定週次消費量_要入力],MATCH($A30,M_RawMaterials[Part Name],0)),0)</f>
        <v/>
      </c>
    </row>
    <row r="31">
      <c r="A31" t="inlineStr">
        <is>
          <t>CHEM-1440</t>
        </is>
      </c>
      <c r="B31">
        <f>SUMPRODUCT((M_BOM[Part Name]=$A31)*M_BOM[RM_Qty_Per_Batch]*IFERROR(INDEX(PP_Grid[#Data],M_BOM[PPGridRow],2),0))+IFERROR(INDEX(M_RawMaterials[固定週次消費量_要入力],MATCH($A31,M_RawMaterials[Part Name],0)),0)</f>
        <v/>
      </c>
      <c r="C31">
        <f>SUMPRODUCT((M_BOM[Part Name]=$A31)*M_BOM[RM_Qty_Per_Batch]*IFERROR(INDEX(PP_Grid[#Data],M_BOM[PPGridRow],3),0))+IFERROR(INDEX(M_RawMaterials[固定週次消費量_要入力],MATCH($A31,M_RawMaterials[Part Name],0)),0)</f>
        <v/>
      </c>
      <c r="D31">
        <f>SUMPRODUCT((M_BOM[Part Name]=$A31)*M_BOM[RM_Qty_Per_Batch]*IFERROR(INDEX(PP_Grid[#Data],M_BOM[PPGridRow],4),0))+IFERROR(INDEX(M_RawMaterials[固定週次消費量_要入力],MATCH($A31,M_RawMaterials[Part Name],0)),0)</f>
        <v/>
      </c>
      <c r="E31">
        <f>SUMPRODUCT((M_BOM[Part Name]=$A31)*M_BOM[RM_Qty_Per_Batch]*IFERROR(INDEX(PP_Grid[#Data],M_BOM[PPGridRow],5),0))+IFERROR(INDEX(M_RawMaterials[固定週次消費量_要入力],MATCH($A31,M_RawMaterials[Part Name],0)),0)</f>
        <v/>
      </c>
      <c r="F31">
        <f>SUMPRODUCT((M_BOM[Part Name]=$A31)*M_BOM[RM_Qty_Per_Batch]*IFERROR(INDEX(PP_Grid[#Data],M_BOM[PPGridRow],6),0))+IFERROR(INDEX(M_RawMaterials[固定週次消費量_要入力],MATCH($A31,M_RawMaterials[Part Name],0)),0)</f>
        <v/>
      </c>
      <c r="G31">
        <f>SUMPRODUCT((M_BOM[Part Name]=$A31)*M_BOM[RM_Qty_Per_Batch]*IFERROR(INDEX(PP_Grid[#Data],M_BOM[PPGridRow],7),0))+IFERROR(INDEX(M_RawMaterials[固定週次消費量_要入力],MATCH($A31,M_RawMaterials[Part Name],0)),0)</f>
        <v/>
      </c>
      <c r="H31">
        <f>SUMPRODUCT((M_BOM[Part Name]=$A31)*M_BOM[RM_Qty_Per_Batch]*IFERROR(INDEX(PP_Grid[#Data],M_BOM[PPGridRow],8),0))+IFERROR(INDEX(M_RawMaterials[固定週次消費量_要入力],MATCH($A31,M_RawMaterials[Part Name],0)),0)</f>
        <v/>
      </c>
      <c r="I31">
        <f>SUMPRODUCT((M_BOM[Part Name]=$A31)*M_BOM[RM_Qty_Per_Batch]*IFERROR(INDEX(PP_Grid[#Data],M_BOM[PPGridRow],9),0))+IFERROR(INDEX(M_RawMaterials[固定週次消費量_要入力],MATCH($A31,M_RawMaterials[Part Name],0)),0)</f>
        <v/>
      </c>
      <c r="J31">
        <f>SUMPRODUCT((M_BOM[Part Name]=$A31)*M_BOM[RM_Qty_Per_Batch]*IFERROR(INDEX(PP_Grid[#Data],M_BOM[PPGridRow],10),0))+IFERROR(INDEX(M_RawMaterials[固定週次消費量_要入力],MATCH($A31,M_RawMaterials[Part Name],0)),0)</f>
        <v/>
      </c>
      <c r="K31">
        <f>SUMPRODUCT((M_BOM[Part Name]=$A31)*M_BOM[RM_Qty_Per_Batch]*IFERROR(INDEX(PP_Grid[#Data],M_BOM[PPGridRow],11),0))+IFERROR(INDEX(M_RawMaterials[固定週次消費量_要入力],MATCH($A31,M_RawMaterials[Part Name],0)),0)</f>
        <v/>
      </c>
      <c r="L31">
        <f>SUMPRODUCT((M_BOM[Part Name]=$A31)*M_BOM[RM_Qty_Per_Batch]*IFERROR(INDEX(PP_Grid[#Data],M_BOM[PPGridRow],12),0))+IFERROR(INDEX(M_RawMaterials[固定週次消費量_要入力],MATCH($A31,M_RawMaterials[Part Name],0)),0)</f>
        <v/>
      </c>
      <c r="M31">
        <f>SUMPRODUCT((M_BOM[Part Name]=$A31)*M_BOM[RM_Qty_Per_Batch]*IFERROR(INDEX(PP_Grid[#Data],M_BOM[PPGridRow],13),0))+IFERROR(INDEX(M_RawMaterials[固定週次消費量_要入力],MATCH($A31,M_RawMaterials[Part Name],0)),0)</f>
        <v/>
      </c>
      <c r="N31">
        <f>SUMPRODUCT((M_BOM[Part Name]=$A31)*M_BOM[RM_Qty_Per_Batch]*IFERROR(INDEX(PP_Grid[#Data],M_BOM[PPGridRow],14),0))+IFERROR(INDEX(M_RawMaterials[固定週次消費量_要入力],MATCH($A31,M_RawMaterials[Part Name],0)),0)</f>
        <v/>
      </c>
      <c r="O31">
        <f>SUMPRODUCT((M_BOM[Part Name]=$A31)*M_BOM[RM_Qty_Per_Batch]*IFERROR(INDEX(PP_Grid[#Data],M_BOM[PPGridRow],15),0))+IFERROR(INDEX(M_RawMaterials[固定週次消費量_要入力],MATCH($A31,M_RawMaterials[Part Name],0)),0)</f>
        <v/>
      </c>
      <c r="P31">
        <f>SUMPRODUCT((M_BOM[Part Name]=$A31)*M_BOM[RM_Qty_Per_Batch]*IFERROR(INDEX(PP_Grid[#Data],M_BOM[PPGridRow],16),0))+IFERROR(INDEX(M_RawMaterials[固定週次消費量_要入力],MATCH($A31,M_RawMaterials[Part Name],0)),0)</f>
        <v/>
      </c>
      <c r="Q31">
        <f>SUMPRODUCT((M_BOM[Part Name]=$A31)*M_BOM[RM_Qty_Per_Batch]*IFERROR(INDEX(PP_Grid[#Data],M_BOM[PPGridRow],17),0))+IFERROR(INDEX(M_RawMaterials[固定週次消費量_要入力],MATCH($A31,M_RawMaterials[Part Name],0)),0)</f>
        <v/>
      </c>
      <c r="R31">
        <f>SUMPRODUCT((M_BOM[Part Name]=$A31)*M_BOM[RM_Qty_Per_Batch]*IFERROR(INDEX(PP_Grid[#Data],M_BOM[PPGridRow],18),0))+IFERROR(INDEX(M_RawMaterials[固定週次消費量_要入力],MATCH($A31,M_RawMaterials[Part Name],0)),0)</f>
        <v/>
      </c>
      <c r="S31">
        <f>SUMPRODUCT((M_BOM[Part Name]=$A31)*M_BOM[RM_Qty_Per_Batch]*IFERROR(INDEX(PP_Grid[#Data],M_BOM[PPGridRow],19),0))+IFERROR(INDEX(M_RawMaterials[固定週次消費量_要入力],MATCH($A31,M_RawMaterials[Part Name],0)),0)</f>
        <v/>
      </c>
      <c r="T31">
        <f>SUMPRODUCT((M_BOM[Part Name]=$A31)*M_BOM[RM_Qty_Per_Batch]*IFERROR(INDEX(PP_Grid[#Data],M_BOM[PPGridRow],20),0))+IFERROR(INDEX(M_RawMaterials[固定週次消費量_要入力],MATCH($A31,M_RawMaterials[Part Name],0)),0)</f>
        <v/>
      </c>
      <c r="U31">
        <f>SUMPRODUCT((M_BOM[Part Name]=$A31)*M_BOM[RM_Qty_Per_Batch]*IFERROR(INDEX(PP_Grid[#Data],M_BOM[PPGridRow],21),0))+IFERROR(INDEX(M_RawMaterials[固定週次消費量_要入力],MATCH($A31,M_RawMaterials[Part Name],0)),0)</f>
        <v/>
      </c>
      <c r="V31">
        <f>SUMPRODUCT((M_BOM[Part Name]=$A31)*M_BOM[RM_Qty_Per_Batch]*IFERROR(INDEX(PP_Grid[#Data],M_BOM[PPGridRow],22),0))+IFERROR(INDEX(M_RawMaterials[固定週次消費量_要入力],MATCH($A31,M_RawMaterials[Part Name],0)),0)</f>
        <v/>
      </c>
      <c r="W31">
        <f>SUMPRODUCT((M_BOM[Part Name]=$A31)*M_BOM[RM_Qty_Per_Batch]*IFERROR(INDEX(PP_Grid[#Data],M_BOM[PPGridRow],23),0))+IFERROR(INDEX(M_RawMaterials[固定週次消費量_要入力],MATCH($A31,M_RawMaterials[Part Name],0)),0)</f>
        <v/>
      </c>
      <c r="X31">
        <f>SUMPRODUCT((M_BOM[Part Name]=$A31)*M_BOM[RM_Qty_Per_Batch]*IFERROR(INDEX(PP_Grid[#Data],M_BOM[PPGridRow],24),0))+IFERROR(INDEX(M_RawMaterials[固定週次消費量_要入力],MATCH($A31,M_RawMaterials[Part Name],0)),0)</f>
        <v/>
      </c>
      <c r="Y31">
        <f>SUMPRODUCT((M_BOM[Part Name]=$A31)*M_BOM[RM_Qty_Per_Batch]*IFERROR(INDEX(PP_Grid[#Data],M_BOM[PPGridRow],25),0))+IFERROR(INDEX(M_RawMaterials[固定週次消費量_要入力],MATCH($A31,M_RawMaterials[Part Name],0)),0)</f>
        <v/>
      </c>
      <c r="Z31">
        <f>SUMPRODUCT((M_BOM[Part Name]=$A31)*M_BOM[RM_Qty_Per_Batch]*IFERROR(INDEX(PP_Grid[#Data],M_BOM[PPGridRow],26),0))+IFERROR(INDEX(M_RawMaterials[固定週次消費量_要入力],MATCH($A31,M_RawMaterials[Part Name],0)),0)</f>
        <v/>
      </c>
      <c r="AA31">
        <f>SUMPRODUCT((M_BOM[Part Name]=$A31)*M_BOM[RM_Qty_Per_Batch]*IFERROR(INDEX(PP_Grid[#Data],M_BOM[PPGridRow],27),0))+IFERROR(INDEX(M_RawMaterials[固定週次消費量_要入力],MATCH($A31,M_RawMaterials[Part Name],0)),0)</f>
        <v/>
      </c>
      <c r="AB31">
        <f>SUMPRODUCT((M_BOM[Part Name]=$A31)*M_BOM[RM_Qty_Per_Batch]*IFERROR(INDEX(PP_Grid[#Data],M_BOM[PPGridRow],28),0))+IFERROR(INDEX(M_RawMaterials[固定週次消費量_要入力],MATCH($A31,M_RawMaterials[Part Name],0)),0)</f>
        <v/>
      </c>
      <c r="AC31">
        <f>SUMPRODUCT((M_BOM[Part Name]=$A31)*M_BOM[RM_Qty_Per_Batch]*IFERROR(INDEX(PP_Grid[#Data],M_BOM[PPGridRow],29),0))+IFERROR(INDEX(M_RawMaterials[固定週次消費量_要入力],MATCH($A31,M_RawMaterials[Part Name],0)),0)</f>
        <v/>
      </c>
      <c r="AD31">
        <f>SUMPRODUCT((M_BOM[Part Name]=$A31)*M_BOM[RM_Qty_Per_Batch]*IFERROR(INDEX(PP_Grid[#Data],M_BOM[PPGridRow],30),0))+IFERROR(INDEX(M_RawMaterials[固定週次消費量_要入力],MATCH($A31,M_RawMaterials[Part Name],0)),0)</f>
        <v/>
      </c>
      <c r="AE31">
        <f>SUMPRODUCT((M_BOM[Part Name]=$A31)*M_BOM[RM_Qty_Per_Batch]*IFERROR(INDEX(PP_Grid[#Data],M_BOM[PPGridRow],31),0))+IFERROR(INDEX(M_RawMaterials[固定週次消費量_要入力],MATCH($A31,M_RawMaterials[Part Name],0)),0)</f>
        <v/>
      </c>
      <c r="AF31">
        <f>SUMPRODUCT((M_BOM[Part Name]=$A31)*M_BOM[RM_Qty_Per_Batch]*IFERROR(INDEX(PP_Grid[#Data],M_BOM[PPGridRow],32),0))+IFERROR(INDEX(M_RawMaterials[固定週次消費量_要入力],MATCH($A31,M_RawMaterials[Part Name],0)),0)</f>
        <v/>
      </c>
      <c r="AG31">
        <f>SUMPRODUCT((M_BOM[Part Name]=$A31)*M_BOM[RM_Qty_Per_Batch]*IFERROR(INDEX(PP_Grid[#Data],M_BOM[PPGridRow],33),0))+IFERROR(INDEX(M_RawMaterials[固定週次消費量_要入力],MATCH($A31,M_RawMaterials[Part Name],0)),0)</f>
        <v/>
      </c>
      <c r="AH31">
        <f>SUMPRODUCT((M_BOM[Part Name]=$A31)*M_BOM[RM_Qty_Per_Batch]*IFERROR(INDEX(PP_Grid[#Data],M_BOM[PPGridRow],34),0))+IFERROR(INDEX(M_RawMaterials[固定週次消費量_要入力],MATCH($A31,M_RawMaterials[Part Name],0)),0)</f>
        <v/>
      </c>
      <c r="AI31">
        <f>SUMPRODUCT((M_BOM[Part Name]=$A31)*M_BOM[RM_Qty_Per_Batch]*IFERROR(INDEX(PP_Grid[#Data],M_BOM[PPGridRow],35),0))+IFERROR(INDEX(M_RawMaterials[固定週次消費量_要入力],MATCH($A31,M_RawMaterials[Part Name],0)),0)</f>
        <v/>
      </c>
      <c r="AJ31">
        <f>SUMPRODUCT((M_BOM[Part Name]=$A31)*M_BOM[RM_Qty_Per_Batch]*IFERROR(INDEX(PP_Grid[#Data],M_BOM[PPGridRow],36),0))+IFERROR(INDEX(M_RawMaterials[固定週次消費量_要入力],MATCH($A31,M_RawMaterials[Part Name],0)),0)</f>
        <v/>
      </c>
      <c r="AK31">
        <f>SUMPRODUCT((M_BOM[Part Name]=$A31)*M_BOM[RM_Qty_Per_Batch]*IFERROR(INDEX(PP_Grid[#Data],M_BOM[PPGridRow],37),0))+IFERROR(INDEX(M_RawMaterials[固定週次消費量_要入力],MATCH($A31,M_RawMaterials[Part Name],0)),0)</f>
        <v/>
      </c>
      <c r="AL31">
        <f>SUMPRODUCT((M_BOM[Part Name]=$A31)*M_BOM[RM_Qty_Per_Batch]*IFERROR(INDEX(PP_Grid[#Data],M_BOM[PPGridRow],38),0))+IFERROR(INDEX(M_RawMaterials[固定週次消費量_要入力],MATCH($A31,M_RawMaterials[Part Name],0)),0)</f>
        <v/>
      </c>
      <c r="AM31">
        <f>SUMPRODUCT((M_BOM[Part Name]=$A31)*M_BOM[RM_Qty_Per_Batch]*IFERROR(INDEX(PP_Grid[#Data],M_BOM[PPGridRow],39),0))+IFERROR(INDEX(M_RawMaterials[固定週次消費量_要入力],MATCH($A31,M_RawMaterials[Part Name],0)),0)</f>
        <v/>
      </c>
      <c r="AN31">
        <f>SUMPRODUCT((M_BOM[Part Name]=$A31)*M_BOM[RM_Qty_Per_Batch]*IFERROR(INDEX(PP_Grid[#Data],M_BOM[PPGridRow],40),0))+IFERROR(INDEX(M_RawMaterials[固定週次消費量_要入力],MATCH($A31,M_RawMaterials[Part Name],0)),0)</f>
        <v/>
      </c>
      <c r="AO31">
        <f>SUMPRODUCT((M_BOM[Part Name]=$A31)*M_BOM[RM_Qty_Per_Batch]*IFERROR(INDEX(PP_Grid[#Data],M_BOM[PPGridRow],41),0))+IFERROR(INDEX(M_RawMaterials[固定週次消費量_要入力],MATCH($A31,M_RawMaterials[Part Name],0)),0)</f>
        <v/>
      </c>
      <c r="AP31">
        <f>SUMPRODUCT((M_BOM[Part Name]=$A31)*M_BOM[RM_Qty_Per_Batch]*IFERROR(INDEX(PP_Grid[#Data],M_BOM[PPGridRow],42),0))+IFERROR(INDEX(M_RawMaterials[固定週次消費量_要入力],MATCH($A31,M_RawMaterials[Part Name],0)),0)</f>
        <v/>
      </c>
      <c r="AQ31">
        <f>SUMPRODUCT((M_BOM[Part Name]=$A31)*M_BOM[RM_Qty_Per_Batch]*IFERROR(INDEX(PP_Grid[#Data],M_BOM[PPGridRow],43),0))+IFERROR(INDEX(M_RawMaterials[固定週次消費量_要入力],MATCH($A31,M_RawMaterials[Part Name],0)),0)</f>
        <v/>
      </c>
      <c r="AR31">
        <f>SUMPRODUCT((M_BOM[Part Name]=$A31)*M_BOM[RM_Qty_Per_Batch]*IFERROR(INDEX(PP_Grid[#Data],M_BOM[PPGridRow],44),0))+IFERROR(INDEX(M_RawMaterials[固定週次消費量_要入力],MATCH($A31,M_RawMaterials[Part Name],0)),0)</f>
        <v/>
      </c>
      <c r="AS31">
        <f>SUMPRODUCT((M_BOM[Part Name]=$A31)*M_BOM[RM_Qty_Per_Batch]*IFERROR(INDEX(PP_Grid[#Data],M_BOM[PPGridRow],45),0))+IFERROR(INDEX(M_RawMaterials[固定週次消費量_要入力],MATCH($A31,M_RawMaterials[Part Name],0)),0)</f>
        <v/>
      </c>
      <c r="AT31">
        <f>SUMPRODUCT((M_BOM[Part Name]=$A31)*M_BOM[RM_Qty_Per_Batch]*IFERROR(INDEX(PP_Grid[#Data],M_BOM[PPGridRow],46),0))+IFERROR(INDEX(M_RawMaterials[固定週次消費量_要入力],MATCH($A31,M_RawMaterials[Part Name],0)),0)</f>
        <v/>
      </c>
      <c r="AU31">
        <f>SUMPRODUCT((M_BOM[Part Name]=$A31)*M_BOM[RM_Qty_Per_Batch]*IFERROR(INDEX(PP_Grid[#Data],M_BOM[PPGridRow],47),0))+IFERROR(INDEX(M_RawMaterials[固定週次消費量_要入力],MATCH($A31,M_RawMaterials[Part Name],0)),0)</f>
        <v/>
      </c>
      <c r="AV31">
        <f>SUMPRODUCT((M_BOM[Part Name]=$A31)*M_BOM[RM_Qty_Per_Batch]*IFERROR(INDEX(PP_Grid[#Data],M_BOM[PPGridRow],48),0))+IFERROR(INDEX(M_RawMaterials[固定週次消費量_要入力],MATCH($A31,M_RawMaterials[Part Name],0)),0)</f>
        <v/>
      </c>
      <c r="AW31">
        <f>SUMPRODUCT((M_BOM[Part Name]=$A31)*M_BOM[RM_Qty_Per_Batch]*IFERROR(INDEX(PP_Grid[#Data],M_BOM[PPGridRow],49),0))+IFERROR(INDEX(M_RawMaterials[固定週次消費量_要入力],MATCH($A31,M_RawMaterials[Part Name],0)),0)</f>
        <v/>
      </c>
      <c r="AX31">
        <f>SUMPRODUCT((M_BOM[Part Name]=$A31)*M_BOM[RM_Qty_Per_Batch]*IFERROR(INDEX(PP_Grid[#Data],M_BOM[PPGridRow],50),0))+IFERROR(INDEX(M_RawMaterials[固定週次消費量_要入力],MATCH($A31,M_RawMaterials[Part Name],0)),0)</f>
        <v/>
      </c>
      <c r="AY31">
        <f>SUMPRODUCT((M_BOM[Part Name]=$A31)*M_BOM[RM_Qty_Per_Batch]*IFERROR(INDEX(PP_Grid[#Data],M_BOM[PPGridRow],51),0))+IFERROR(INDEX(M_RawMaterials[固定週次消費量_要入力],MATCH($A31,M_RawMaterials[Part Name],0)),0)</f>
        <v/>
      </c>
      <c r="AZ31">
        <f>SUMPRODUCT((M_BOM[Part Name]=$A31)*M_BOM[RM_Qty_Per_Batch]*IFERROR(INDEX(PP_Grid[#Data],M_BOM[PPGridRow],52),0))+IFERROR(INDEX(M_RawMaterials[固定週次消費量_要入力],MATCH($A31,M_RawMaterials[Part Name],0)),0)</f>
        <v/>
      </c>
      <c r="BA31">
        <f>SUMPRODUCT((M_BOM[Part Name]=$A31)*M_BOM[RM_Qty_Per_Batch]*IFERROR(INDEX(PP_Grid[#Data],M_BOM[PPGridRow],53),0))+IFERROR(INDEX(M_RawMaterials[固定週次消費量_要入力],MATCH($A31,M_RawMaterials[Part Name],0)),0)</f>
        <v/>
      </c>
      <c r="BB31">
        <f>SUMPRODUCT((M_BOM[Part Name]=$A31)*M_BOM[RM_Qty_Per_Batch]*IFERROR(INDEX(PP_Grid[#Data],M_BOM[PPGridRow],54),0))+IFERROR(INDEX(M_RawMaterials[固定週次消費量_要入力],MATCH($A31,M_RawMaterials[Part Name],0)),0)</f>
        <v/>
      </c>
      <c r="BC31">
        <f>SUMPRODUCT((M_BOM[Part Name]=$A31)*M_BOM[RM_Qty_Per_Batch]*IFERROR(INDEX(PP_Grid[#Data],M_BOM[PPGridRow],55),0))+IFERROR(INDEX(M_RawMaterials[固定週次消費量_要入力],MATCH($A31,M_RawMaterials[Part Name],0)),0)</f>
        <v/>
      </c>
      <c r="BD31">
        <f>SUMPRODUCT((M_BOM[Part Name]=$A31)*M_BOM[RM_Qty_Per_Batch]*IFERROR(INDEX(PP_Grid[#Data],M_BOM[PPGridRow],56),0))+IFERROR(INDEX(M_RawMaterials[固定週次消費量_要入力],MATCH($A31,M_RawMaterials[Part Name],0)),0)</f>
        <v/>
      </c>
      <c r="BE31">
        <f>SUMPRODUCT((M_BOM[Part Name]=$A31)*M_BOM[RM_Qty_Per_Batch]*IFERROR(INDEX(PP_Grid[#Data],M_BOM[PPGridRow],57),0))+IFERROR(INDEX(M_RawMaterials[固定週次消費量_要入力],MATCH($A31,M_RawMaterials[Part Name],0)),0)</f>
        <v/>
      </c>
      <c r="BF31">
        <f>SUMPRODUCT((M_BOM[Part Name]=$A31)*M_BOM[RM_Qty_Per_Batch]*IFERROR(INDEX(PP_Grid[#Data],M_BOM[PPGridRow],58),0))+IFERROR(INDEX(M_RawMaterials[固定週次消費量_要入力],MATCH($A31,M_RawMaterials[Part Name],0)),0)</f>
        <v/>
      </c>
      <c r="BG31">
        <f>SUMPRODUCT((M_BOM[Part Name]=$A31)*M_BOM[RM_Qty_Per_Batch]*IFERROR(INDEX(PP_Grid[#Data],M_BOM[PPGridRow],59),0))+IFERROR(INDEX(M_RawMaterials[固定週次消費量_要入力],MATCH($A31,M_RawMaterials[Part Name],0)),0)</f>
        <v/>
      </c>
      <c r="BH31">
        <f>SUMPRODUCT((M_BOM[Part Name]=$A31)*M_BOM[RM_Qty_Per_Batch]*IFERROR(INDEX(PP_Grid[#Data],M_BOM[PPGridRow],60),0))+IFERROR(INDEX(M_RawMaterials[固定週次消費量_要入力],MATCH($A31,M_RawMaterials[Part Name],0)),0)</f>
        <v/>
      </c>
      <c r="BI31">
        <f>SUMPRODUCT((M_BOM[Part Name]=$A31)*M_BOM[RM_Qty_Per_Batch]*IFERROR(INDEX(PP_Grid[#Data],M_BOM[PPGridRow],61),0))+IFERROR(INDEX(M_RawMaterials[固定週次消費量_要入力],MATCH($A31,M_RawMaterials[Part Name],0)),0)</f>
        <v/>
      </c>
      <c r="BJ31">
        <f>SUMPRODUCT((M_BOM[Part Name]=$A31)*M_BOM[RM_Qty_Per_Batch]*IFERROR(INDEX(PP_Grid[#Data],M_BOM[PPGridRow],62),0))+IFERROR(INDEX(M_RawMaterials[固定週次消費量_要入力],MATCH($A31,M_RawMaterials[Part Name],0)),0)</f>
        <v/>
      </c>
      <c r="BK31">
        <f>SUMPRODUCT((M_BOM[Part Name]=$A31)*M_BOM[RM_Qty_Per_Batch]*IFERROR(INDEX(PP_Grid[#Data],M_BOM[PPGridRow],63),0))+IFERROR(INDEX(M_RawMaterials[固定週次消費量_要入力],MATCH($A31,M_RawMaterials[Part Name],0)),0)</f>
        <v/>
      </c>
      <c r="BL31">
        <f>SUMPRODUCT((M_BOM[Part Name]=$A31)*M_BOM[RM_Qty_Per_Batch]*IFERROR(INDEX(PP_Grid[#Data],M_BOM[PPGridRow],64),0))+IFERROR(INDEX(M_RawMaterials[固定週次消費量_要入力],MATCH($A31,M_RawMaterials[Part Name],0)),0)</f>
        <v/>
      </c>
      <c r="BM31">
        <f>SUMPRODUCT((M_BOM[Part Name]=$A31)*M_BOM[RM_Qty_Per_Batch]*IFERROR(INDEX(PP_Grid[#Data],M_BOM[PPGridRow],65),0))+IFERROR(INDEX(M_RawMaterials[固定週次消費量_要入力],MATCH($A31,M_RawMaterials[Part Name],0)),0)</f>
        <v/>
      </c>
      <c r="BN31">
        <f>SUMPRODUCT((M_BOM[Part Name]=$A31)*M_BOM[RM_Qty_Per_Batch]*IFERROR(INDEX(PP_Grid[#Data],M_BOM[PPGridRow],66),0))+IFERROR(INDEX(M_RawMaterials[固定週次消費量_要入力],MATCH($A31,M_RawMaterials[Part Name],0)),0)</f>
        <v/>
      </c>
      <c r="BO31">
        <f>SUMPRODUCT((M_BOM[Part Name]=$A31)*M_BOM[RM_Qty_Per_Batch]*IFERROR(INDEX(PP_Grid[#Data],M_BOM[PPGridRow],67),0))+IFERROR(INDEX(M_RawMaterials[固定週次消費量_要入力],MATCH($A31,M_RawMaterials[Part Name],0)),0)</f>
        <v/>
      </c>
      <c r="BP31">
        <f>SUMPRODUCT((M_BOM[Part Name]=$A31)*M_BOM[RM_Qty_Per_Batch]*IFERROR(INDEX(PP_Grid[#Data],M_BOM[PPGridRow],68),0))+IFERROR(INDEX(M_RawMaterials[固定週次消費量_要入力],MATCH($A31,M_RawMaterials[Part Name],0)),0)</f>
        <v/>
      </c>
      <c r="BQ31">
        <f>SUMPRODUCT((M_BOM[Part Name]=$A31)*M_BOM[RM_Qty_Per_Batch]*IFERROR(INDEX(PP_Grid[#Data],M_BOM[PPGridRow],69),0))+IFERROR(INDEX(M_RawMaterials[固定週次消費量_要入力],MATCH($A31,M_RawMaterials[Part Name],0)),0)</f>
        <v/>
      </c>
      <c r="BR31">
        <f>SUMPRODUCT((M_BOM[Part Name]=$A31)*M_BOM[RM_Qty_Per_Batch]*IFERROR(INDEX(PP_Grid[#Data],M_BOM[PPGridRow],70),0))+IFERROR(INDEX(M_RawMaterials[固定週次消費量_要入力],MATCH($A31,M_RawMaterials[Part Name],0)),0)</f>
        <v/>
      </c>
      <c r="BS31">
        <f>SUMPRODUCT((M_BOM[Part Name]=$A31)*M_BOM[RM_Qty_Per_Batch]*IFERROR(INDEX(PP_Grid[#Data],M_BOM[PPGridRow],71),0))+IFERROR(INDEX(M_RawMaterials[固定週次消費量_要入力],MATCH($A31,M_RawMaterials[Part Name],0)),0)</f>
        <v/>
      </c>
      <c r="BT31">
        <f>SUMPRODUCT((M_BOM[Part Name]=$A31)*M_BOM[RM_Qty_Per_Batch]*IFERROR(INDEX(PP_Grid[#Data],M_BOM[PPGridRow],72),0))+IFERROR(INDEX(M_RawMaterials[固定週次消費量_要入力],MATCH($A31,M_RawMaterials[Part Name],0)),0)</f>
        <v/>
      </c>
      <c r="BU31">
        <f>SUMPRODUCT((M_BOM[Part Name]=$A31)*M_BOM[RM_Qty_Per_Batch]*IFERROR(INDEX(PP_Grid[#Data],M_BOM[PPGridRow],73),0))+IFERROR(INDEX(M_RawMaterials[固定週次消費量_要入力],MATCH($A31,M_RawMaterials[Part Name],0)),0)</f>
        <v/>
      </c>
      <c r="BV31">
        <f>SUMPRODUCT((M_BOM[Part Name]=$A31)*M_BOM[RM_Qty_Per_Batch]*IFERROR(INDEX(PP_Grid[#Data],M_BOM[PPGridRow],74),0))+IFERROR(INDEX(M_RawMaterials[固定週次消費量_要入力],MATCH($A31,M_RawMaterials[Part Name],0)),0)</f>
        <v/>
      </c>
      <c r="BW31">
        <f>SUMPRODUCT((M_BOM[Part Name]=$A31)*M_BOM[RM_Qty_Per_Batch]*IFERROR(INDEX(PP_Grid[#Data],M_BOM[PPGridRow],75),0))+IFERROR(INDEX(M_RawMaterials[固定週次消費量_要入力],MATCH($A31,M_RawMaterials[Part Name],0)),0)</f>
        <v/>
      </c>
      <c r="BX31">
        <f>SUMPRODUCT((M_BOM[Part Name]=$A31)*M_BOM[RM_Qty_Per_Batch]*IFERROR(INDEX(PP_Grid[#Data],M_BOM[PPGridRow],76),0))+IFERROR(INDEX(M_RawMaterials[固定週次消費量_要入力],MATCH($A31,M_RawMaterials[Part Name],0)),0)</f>
        <v/>
      </c>
      <c r="BY31">
        <f>SUMPRODUCT((M_BOM[Part Name]=$A31)*M_BOM[RM_Qty_Per_Batch]*IFERROR(INDEX(PP_Grid[#Data],M_BOM[PPGridRow],77),0))+IFERROR(INDEX(M_RawMaterials[固定週次消費量_要入力],MATCH($A31,M_RawMaterials[Part Name],0)),0)</f>
        <v/>
      </c>
      <c r="BZ31">
        <f>SUMPRODUCT((M_BOM[Part Name]=$A31)*M_BOM[RM_Qty_Per_Batch]*IFERROR(INDEX(PP_Grid[#Data],M_BOM[PPGridRow],78),0))+IFERROR(INDEX(M_RawMaterials[固定週次消費量_要入力],MATCH($A31,M_RawMaterials[Part Name],0)),0)</f>
        <v/>
      </c>
      <c r="CA31">
        <f>SUMPRODUCT((M_BOM[Part Name]=$A31)*M_BOM[RM_Qty_Per_Batch]*IFERROR(INDEX(PP_Grid[#Data],M_BOM[PPGridRow],79),0))+IFERROR(INDEX(M_RawMaterials[固定週次消費量_要入力],MATCH($A31,M_RawMaterials[Part Name],0)),0)</f>
        <v/>
      </c>
      <c r="CB31">
        <f>SUMPRODUCT((M_BOM[Part Name]=$A31)*M_BOM[RM_Qty_Per_Batch]*IFERROR(INDEX(PP_Grid[#Data],M_BOM[PPGridRow],80),0))+IFERROR(INDEX(M_RawMaterials[固定週次消費量_要入力],MATCH($A31,M_RawMaterials[Part Name],0)),0)</f>
        <v/>
      </c>
      <c r="CC31">
        <f>SUMPRODUCT((M_BOM[Part Name]=$A31)*M_BOM[RM_Qty_Per_Batch]*IFERROR(INDEX(PP_Grid[#Data],M_BOM[PPGridRow],81),0))+IFERROR(INDEX(M_RawMaterials[固定週次消費量_要入力],MATCH($A31,M_RawMaterials[Part Name],0)),0)</f>
        <v/>
      </c>
      <c r="CD31">
        <f>SUMPRODUCT((M_BOM[Part Name]=$A31)*M_BOM[RM_Qty_Per_Batch]*IFERROR(INDEX(PP_Grid[#Data],M_BOM[PPGridRow],82),0))+IFERROR(INDEX(M_RawMaterials[固定週次消費量_要入力],MATCH($A31,M_RawMaterials[Part Name],0)),0)</f>
        <v/>
      </c>
      <c r="CE31">
        <f>SUMPRODUCT((M_BOM[Part Name]=$A31)*M_BOM[RM_Qty_Per_Batch]*IFERROR(INDEX(PP_Grid[#Data],M_BOM[PPGridRow],83),0))+IFERROR(INDEX(M_RawMaterials[固定週次消費量_要入力],MATCH($A31,M_RawMaterials[Part Name],0)),0)</f>
        <v/>
      </c>
      <c r="CF31">
        <f>SUMPRODUCT((M_BOM[Part Name]=$A31)*M_BOM[RM_Qty_Per_Batch]*IFERROR(INDEX(PP_Grid[#Data],M_BOM[PPGridRow],84),0))+IFERROR(INDEX(M_RawMaterials[固定週次消費量_要入力],MATCH($A31,M_RawMaterials[Part Name],0)),0)</f>
        <v/>
      </c>
      <c r="CG31">
        <f>SUMPRODUCT((M_BOM[Part Name]=$A31)*M_BOM[RM_Qty_Per_Batch]*IFERROR(INDEX(PP_Grid[#Data],M_BOM[PPGridRow],85),0))+IFERROR(INDEX(M_RawMaterials[固定週次消費量_要入力],MATCH($A31,M_RawMaterials[Part Name],0)),0)</f>
        <v/>
      </c>
      <c r="CH31">
        <f>SUMPRODUCT((M_BOM[Part Name]=$A31)*M_BOM[RM_Qty_Per_Batch]*IFERROR(INDEX(PP_Grid[#Data],M_BOM[PPGridRow],86),0))+IFERROR(INDEX(M_RawMaterials[固定週次消費量_要入力],MATCH($A31,M_RawMaterials[Part Name],0)),0)</f>
        <v/>
      </c>
      <c r="CI31">
        <f>SUMPRODUCT((M_BOM[Part Name]=$A31)*M_BOM[RM_Qty_Per_Batch]*IFERROR(INDEX(PP_Grid[#Data],M_BOM[PPGridRow],87),0))+IFERROR(INDEX(M_RawMaterials[固定週次消費量_要入力],MATCH($A31,M_RawMaterials[Part Name],0)),0)</f>
        <v/>
      </c>
      <c r="CJ31">
        <f>SUMPRODUCT((M_BOM[Part Name]=$A31)*M_BOM[RM_Qty_Per_Batch]*IFERROR(INDEX(PP_Grid[#Data],M_BOM[PPGridRow],88),0))+IFERROR(INDEX(M_RawMaterials[固定週次消費量_要入力],MATCH($A31,M_RawMaterials[Part Name],0)),0)</f>
        <v/>
      </c>
      <c r="CK31">
        <f>SUMPRODUCT((M_BOM[Part Name]=$A31)*M_BOM[RM_Qty_Per_Batch]*IFERROR(INDEX(PP_Grid[#Data],M_BOM[PPGridRow],89),0))+IFERROR(INDEX(M_RawMaterials[固定週次消費量_要入力],MATCH($A31,M_RawMaterials[Part Name],0)),0)</f>
        <v/>
      </c>
      <c r="CL31">
        <f>SUMPRODUCT((M_BOM[Part Name]=$A31)*M_BOM[RM_Qty_Per_Batch]*IFERROR(INDEX(PP_Grid[#Data],M_BOM[PPGridRow],90),0))+IFERROR(INDEX(M_RawMaterials[固定週次消費量_要入力],MATCH($A31,M_RawMaterials[Part Name],0)),0)</f>
        <v/>
      </c>
      <c r="CM31">
        <f>SUMPRODUCT((M_BOM[Part Name]=$A31)*M_BOM[RM_Qty_Per_Batch]*IFERROR(INDEX(PP_Grid[#Data],M_BOM[PPGridRow],91),0))+IFERROR(INDEX(M_RawMaterials[固定週次消費量_要入力],MATCH($A31,M_RawMaterials[Part Name],0)),0)</f>
        <v/>
      </c>
      <c r="CN31">
        <f>SUMPRODUCT((M_BOM[Part Name]=$A31)*M_BOM[RM_Qty_Per_Batch]*IFERROR(INDEX(PP_Grid[#Data],M_BOM[PPGridRow],92),0))+IFERROR(INDEX(M_RawMaterials[固定週次消費量_要入力],MATCH($A31,M_RawMaterials[Part Name],0)),0)</f>
        <v/>
      </c>
      <c r="CO31">
        <f>SUMPRODUCT((M_BOM[Part Name]=$A31)*M_BOM[RM_Qty_Per_Batch]*IFERROR(INDEX(PP_Grid[#Data],M_BOM[PPGridRow],93),0))+IFERROR(INDEX(M_RawMaterials[固定週次消費量_要入力],MATCH($A31,M_RawMaterials[Part Name],0)),0)</f>
        <v/>
      </c>
      <c r="CP31">
        <f>SUMPRODUCT((M_BOM[Part Name]=$A31)*M_BOM[RM_Qty_Per_Batch]*IFERROR(INDEX(PP_Grid[#Data],M_BOM[PPGridRow],94),0))+IFERROR(INDEX(M_RawMaterials[固定週次消費量_要入力],MATCH($A31,M_RawMaterials[Part Name],0)),0)</f>
        <v/>
      </c>
      <c r="CQ31">
        <f>SUMPRODUCT((M_BOM[Part Name]=$A31)*M_BOM[RM_Qty_Per_Batch]*IFERROR(INDEX(PP_Grid[#Data],M_BOM[PPGridRow],95),0))+IFERROR(INDEX(M_RawMaterials[固定週次消費量_要入力],MATCH($A31,M_RawMaterials[Part Name],0)),0)</f>
        <v/>
      </c>
      <c r="CR31">
        <f>SUMPRODUCT((M_BOM[Part Name]=$A31)*M_BOM[RM_Qty_Per_Batch]*IFERROR(INDEX(PP_Grid[#Data],M_BOM[PPGridRow],96),0))+IFERROR(INDEX(M_RawMaterials[固定週次消費量_要入力],MATCH($A31,M_RawMaterials[Part Name],0)),0)</f>
        <v/>
      </c>
      <c r="CS31">
        <f>SUMPRODUCT((M_BOM[Part Name]=$A31)*M_BOM[RM_Qty_Per_Batch]*IFERROR(INDEX(PP_Grid[#Data],M_BOM[PPGridRow],97),0))+IFERROR(INDEX(M_RawMaterials[固定週次消費量_要入力],MATCH($A31,M_RawMaterials[Part Name],0)),0)</f>
        <v/>
      </c>
      <c r="CT31">
        <f>SUMPRODUCT((M_BOM[Part Name]=$A31)*M_BOM[RM_Qty_Per_Batch]*IFERROR(INDEX(PP_Grid[#Data],M_BOM[PPGridRow],98),0))+IFERROR(INDEX(M_RawMaterials[固定週次消費量_要入力],MATCH($A31,M_RawMaterials[Part Name],0)),0)</f>
        <v/>
      </c>
      <c r="CU31">
        <f>SUMPRODUCT((M_BOM[Part Name]=$A31)*M_BOM[RM_Qty_Per_Batch]*IFERROR(INDEX(PP_Grid[#Data],M_BOM[PPGridRow],99),0))+IFERROR(INDEX(M_RawMaterials[固定週次消費量_要入力],MATCH($A31,M_RawMaterials[Part Name],0)),0)</f>
        <v/>
      </c>
      <c r="CV31">
        <f>SUMPRODUCT((M_BOM[Part Name]=$A31)*M_BOM[RM_Qty_Per_Batch]*IFERROR(INDEX(PP_Grid[#Data],M_BOM[PPGridRow],100),0))+IFERROR(INDEX(M_RawMaterials[固定週次消費量_要入力],MATCH($A31,M_RawMaterials[Part Name],0)),0)</f>
        <v/>
      </c>
      <c r="CW31">
        <f>SUMPRODUCT((M_BOM[Part Name]=$A31)*M_BOM[RM_Qty_Per_Batch]*IFERROR(INDEX(PP_Grid[#Data],M_BOM[PPGridRow],101),0))+IFERROR(INDEX(M_RawMaterials[固定週次消費量_要入力],MATCH($A31,M_RawMaterials[Part Name],0)),0)</f>
        <v/>
      </c>
      <c r="CX31">
        <f>SUMPRODUCT((M_BOM[Part Name]=$A31)*M_BOM[RM_Qty_Per_Batch]*IFERROR(INDEX(PP_Grid[#Data],M_BOM[PPGridRow],102),0))+IFERROR(INDEX(M_RawMaterials[固定週次消費量_要入力],MATCH($A31,M_RawMaterials[Part Name],0)),0)</f>
        <v/>
      </c>
      <c r="CY31">
        <f>SUMPRODUCT((M_BOM[Part Name]=$A31)*M_BOM[RM_Qty_Per_Batch]*IFERROR(INDEX(PP_Grid[#Data],M_BOM[PPGridRow],103),0))+IFERROR(INDEX(M_RawMaterials[固定週次消費量_要入力],MATCH($A31,M_RawMaterials[Part Name],0)),0)</f>
        <v/>
      </c>
      <c r="CZ31">
        <f>SUMPRODUCT((M_BOM[Part Name]=$A31)*M_BOM[RM_Qty_Per_Batch]*IFERROR(INDEX(PP_Grid[#Data],M_BOM[PPGridRow],104),0))+IFERROR(INDEX(M_RawMaterials[固定週次消費量_要入力],MATCH($A31,M_RawMaterials[Part Name],0)),0)</f>
        <v/>
      </c>
      <c r="DA31">
        <f>SUMPRODUCT((M_BOM[Part Name]=$A31)*M_BOM[RM_Qty_Per_Batch]*IFERROR(INDEX(PP_Grid[#Data],M_BOM[PPGridRow],105),0))+IFERROR(INDEX(M_RawMaterials[固定週次消費量_要入力],MATCH($A31,M_RawMaterials[Part Name],0)),0)</f>
        <v/>
      </c>
    </row>
    <row r="32">
      <c r="A32" t="inlineStr">
        <is>
          <t>CHEM-1780</t>
        </is>
      </c>
      <c r="B32">
        <f>SUMPRODUCT((M_BOM[Part Name]=$A32)*M_BOM[RM_Qty_Per_Batch]*IFERROR(INDEX(PP_Grid[#Data],M_BOM[PPGridRow],2),0))+IFERROR(INDEX(M_RawMaterials[固定週次消費量_要入力],MATCH($A32,M_RawMaterials[Part Name],0)),0)</f>
        <v/>
      </c>
      <c r="C32">
        <f>SUMPRODUCT((M_BOM[Part Name]=$A32)*M_BOM[RM_Qty_Per_Batch]*IFERROR(INDEX(PP_Grid[#Data],M_BOM[PPGridRow],3),0))+IFERROR(INDEX(M_RawMaterials[固定週次消費量_要入力],MATCH($A32,M_RawMaterials[Part Name],0)),0)</f>
        <v/>
      </c>
      <c r="D32">
        <f>SUMPRODUCT((M_BOM[Part Name]=$A32)*M_BOM[RM_Qty_Per_Batch]*IFERROR(INDEX(PP_Grid[#Data],M_BOM[PPGridRow],4),0))+IFERROR(INDEX(M_RawMaterials[固定週次消費量_要入力],MATCH($A32,M_RawMaterials[Part Name],0)),0)</f>
        <v/>
      </c>
      <c r="E32">
        <f>SUMPRODUCT((M_BOM[Part Name]=$A32)*M_BOM[RM_Qty_Per_Batch]*IFERROR(INDEX(PP_Grid[#Data],M_BOM[PPGridRow],5),0))+IFERROR(INDEX(M_RawMaterials[固定週次消費量_要入力],MATCH($A32,M_RawMaterials[Part Name],0)),0)</f>
        <v/>
      </c>
      <c r="F32">
        <f>SUMPRODUCT((M_BOM[Part Name]=$A32)*M_BOM[RM_Qty_Per_Batch]*IFERROR(INDEX(PP_Grid[#Data],M_BOM[PPGridRow],6),0))+IFERROR(INDEX(M_RawMaterials[固定週次消費量_要入力],MATCH($A32,M_RawMaterials[Part Name],0)),0)</f>
        <v/>
      </c>
      <c r="G32">
        <f>SUMPRODUCT((M_BOM[Part Name]=$A32)*M_BOM[RM_Qty_Per_Batch]*IFERROR(INDEX(PP_Grid[#Data],M_BOM[PPGridRow],7),0))+IFERROR(INDEX(M_RawMaterials[固定週次消費量_要入力],MATCH($A32,M_RawMaterials[Part Name],0)),0)</f>
        <v/>
      </c>
      <c r="H32">
        <f>SUMPRODUCT((M_BOM[Part Name]=$A32)*M_BOM[RM_Qty_Per_Batch]*IFERROR(INDEX(PP_Grid[#Data],M_BOM[PPGridRow],8),0))+IFERROR(INDEX(M_RawMaterials[固定週次消費量_要入力],MATCH($A32,M_RawMaterials[Part Name],0)),0)</f>
        <v/>
      </c>
      <c r="I32">
        <f>SUMPRODUCT((M_BOM[Part Name]=$A32)*M_BOM[RM_Qty_Per_Batch]*IFERROR(INDEX(PP_Grid[#Data],M_BOM[PPGridRow],9),0))+IFERROR(INDEX(M_RawMaterials[固定週次消費量_要入力],MATCH($A32,M_RawMaterials[Part Name],0)),0)</f>
        <v/>
      </c>
      <c r="J32">
        <f>SUMPRODUCT((M_BOM[Part Name]=$A32)*M_BOM[RM_Qty_Per_Batch]*IFERROR(INDEX(PP_Grid[#Data],M_BOM[PPGridRow],10),0))+IFERROR(INDEX(M_RawMaterials[固定週次消費量_要入力],MATCH($A32,M_RawMaterials[Part Name],0)),0)</f>
        <v/>
      </c>
      <c r="K32">
        <f>SUMPRODUCT((M_BOM[Part Name]=$A32)*M_BOM[RM_Qty_Per_Batch]*IFERROR(INDEX(PP_Grid[#Data],M_BOM[PPGridRow],11),0))+IFERROR(INDEX(M_RawMaterials[固定週次消費量_要入力],MATCH($A32,M_RawMaterials[Part Name],0)),0)</f>
        <v/>
      </c>
      <c r="L32">
        <f>SUMPRODUCT((M_BOM[Part Name]=$A32)*M_BOM[RM_Qty_Per_Batch]*IFERROR(INDEX(PP_Grid[#Data],M_BOM[PPGridRow],12),0))+IFERROR(INDEX(M_RawMaterials[固定週次消費量_要入力],MATCH($A32,M_RawMaterials[Part Name],0)),0)</f>
        <v/>
      </c>
      <c r="M32">
        <f>SUMPRODUCT((M_BOM[Part Name]=$A32)*M_BOM[RM_Qty_Per_Batch]*IFERROR(INDEX(PP_Grid[#Data],M_BOM[PPGridRow],13),0))+IFERROR(INDEX(M_RawMaterials[固定週次消費量_要入力],MATCH($A32,M_RawMaterials[Part Name],0)),0)</f>
        <v/>
      </c>
      <c r="N32">
        <f>SUMPRODUCT((M_BOM[Part Name]=$A32)*M_BOM[RM_Qty_Per_Batch]*IFERROR(INDEX(PP_Grid[#Data],M_BOM[PPGridRow],14),0))+IFERROR(INDEX(M_RawMaterials[固定週次消費量_要入力],MATCH($A32,M_RawMaterials[Part Name],0)),0)</f>
        <v/>
      </c>
      <c r="O32">
        <f>SUMPRODUCT((M_BOM[Part Name]=$A32)*M_BOM[RM_Qty_Per_Batch]*IFERROR(INDEX(PP_Grid[#Data],M_BOM[PPGridRow],15),0))+IFERROR(INDEX(M_RawMaterials[固定週次消費量_要入力],MATCH($A32,M_RawMaterials[Part Name],0)),0)</f>
        <v/>
      </c>
      <c r="P32">
        <f>SUMPRODUCT((M_BOM[Part Name]=$A32)*M_BOM[RM_Qty_Per_Batch]*IFERROR(INDEX(PP_Grid[#Data],M_BOM[PPGridRow],16),0))+IFERROR(INDEX(M_RawMaterials[固定週次消費量_要入力],MATCH($A32,M_RawMaterials[Part Name],0)),0)</f>
        <v/>
      </c>
      <c r="Q32">
        <f>SUMPRODUCT((M_BOM[Part Name]=$A32)*M_BOM[RM_Qty_Per_Batch]*IFERROR(INDEX(PP_Grid[#Data],M_BOM[PPGridRow],17),0))+IFERROR(INDEX(M_RawMaterials[固定週次消費量_要入力],MATCH($A32,M_RawMaterials[Part Name],0)),0)</f>
        <v/>
      </c>
      <c r="R32">
        <f>SUMPRODUCT((M_BOM[Part Name]=$A32)*M_BOM[RM_Qty_Per_Batch]*IFERROR(INDEX(PP_Grid[#Data],M_BOM[PPGridRow],18),0))+IFERROR(INDEX(M_RawMaterials[固定週次消費量_要入力],MATCH($A32,M_RawMaterials[Part Name],0)),0)</f>
        <v/>
      </c>
      <c r="S32">
        <f>SUMPRODUCT((M_BOM[Part Name]=$A32)*M_BOM[RM_Qty_Per_Batch]*IFERROR(INDEX(PP_Grid[#Data],M_BOM[PPGridRow],19),0))+IFERROR(INDEX(M_RawMaterials[固定週次消費量_要入力],MATCH($A32,M_RawMaterials[Part Name],0)),0)</f>
        <v/>
      </c>
      <c r="T32">
        <f>SUMPRODUCT((M_BOM[Part Name]=$A32)*M_BOM[RM_Qty_Per_Batch]*IFERROR(INDEX(PP_Grid[#Data],M_BOM[PPGridRow],20),0))+IFERROR(INDEX(M_RawMaterials[固定週次消費量_要入力],MATCH($A32,M_RawMaterials[Part Name],0)),0)</f>
        <v/>
      </c>
      <c r="U32">
        <f>SUMPRODUCT((M_BOM[Part Name]=$A32)*M_BOM[RM_Qty_Per_Batch]*IFERROR(INDEX(PP_Grid[#Data],M_BOM[PPGridRow],21),0))+IFERROR(INDEX(M_RawMaterials[固定週次消費量_要入力],MATCH($A32,M_RawMaterials[Part Name],0)),0)</f>
        <v/>
      </c>
      <c r="V32">
        <f>SUMPRODUCT((M_BOM[Part Name]=$A32)*M_BOM[RM_Qty_Per_Batch]*IFERROR(INDEX(PP_Grid[#Data],M_BOM[PPGridRow],22),0))+IFERROR(INDEX(M_RawMaterials[固定週次消費量_要入力],MATCH($A32,M_RawMaterials[Part Name],0)),0)</f>
        <v/>
      </c>
      <c r="W32">
        <f>SUMPRODUCT((M_BOM[Part Name]=$A32)*M_BOM[RM_Qty_Per_Batch]*IFERROR(INDEX(PP_Grid[#Data],M_BOM[PPGridRow],23),0))+IFERROR(INDEX(M_RawMaterials[固定週次消費量_要入力],MATCH($A32,M_RawMaterials[Part Name],0)),0)</f>
        <v/>
      </c>
      <c r="X32">
        <f>SUMPRODUCT((M_BOM[Part Name]=$A32)*M_BOM[RM_Qty_Per_Batch]*IFERROR(INDEX(PP_Grid[#Data],M_BOM[PPGridRow],24),0))+IFERROR(INDEX(M_RawMaterials[固定週次消費量_要入力],MATCH($A32,M_RawMaterials[Part Name],0)),0)</f>
        <v/>
      </c>
      <c r="Y32">
        <f>SUMPRODUCT((M_BOM[Part Name]=$A32)*M_BOM[RM_Qty_Per_Batch]*IFERROR(INDEX(PP_Grid[#Data],M_BOM[PPGridRow],25),0))+IFERROR(INDEX(M_RawMaterials[固定週次消費量_要入力],MATCH($A32,M_RawMaterials[Part Name],0)),0)</f>
        <v/>
      </c>
      <c r="Z32">
        <f>SUMPRODUCT((M_BOM[Part Name]=$A32)*M_BOM[RM_Qty_Per_Batch]*IFERROR(INDEX(PP_Grid[#Data],M_BOM[PPGridRow],26),0))+IFERROR(INDEX(M_RawMaterials[固定週次消費量_要入力],MATCH($A32,M_RawMaterials[Part Name],0)),0)</f>
        <v/>
      </c>
      <c r="AA32">
        <f>SUMPRODUCT((M_BOM[Part Name]=$A32)*M_BOM[RM_Qty_Per_Batch]*IFERROR(INDEX(PP_Grid[#Data],M_BOM[PPGridRow],27),0))+IFERROR(INDEX(M_RawMaterials[固定週次消費量_要入力],MATCH($A32,M_RawMaterials[Part Name],0)),0)</f>
        <v/>
      </c>
      <c r="AB32">
        <f>SUMPRODUCT((M_BOM[Part Name]=$A32)*M_BOM[RM_Qty_Per_Batch]*IFERROR(INDEX(PP_Grid[#Data],M_BOM[PPGridRow],28),0))+IFERROR(INDEX(M_RawMaterials[固定週次消費量_要入力],MATCH($A32,M_RawMaterials[Part Name],0)),0)</f>
        <v/>
      </c>
      <c r="AC32">
        <f>SUMPRODUCT((M_BOM[Part Name]=$A32)*M_BOM[RM_Qty_Per_Batch]*IFERROR(INDEX(PP_Grid[#Data],M_BOM[PPGridRow],29),0))+IFERROR(INDEX(M_RawMaterials[固定週次消費量_要入力],MATCH($A32,M_RawMaterials[Part Name],0)),0)</f>
        <v/>
      </c>
      <c r="AD32">
        <f>SUMPRODUCT((M_BOM[Part Name]=$A32)*M_BOM[RM_Qty_Per_Batch]*IFERROR(INDEX(PP_Grid[#Data],M_BOM[PPGridRow],30),0))+IFERROR(INDEX(M_RawMaterials[固定週次消費量_要入力],MATCH($A32,M_RawMaterials[Part Name],0)),0)</f>
        <v/>
      </c>
      <c r="AE32">
        <f>SUMPRODUCT((M_BOM[Part Name]=$A32)*M_BOM[RM_Qty_Per_Batch]*IFERROR(INDEX(PP_Grid[#Data],M_BOM[PPGridRow],31),0))+IFERROR(INDEX(M_RawMaterials[固定週次消費量_要入力],MATCH($A32,M_RawMaterials[Part Name],0)),0)</f>
        <v/>
      </c>
      <c r="AF32">
        <f>SUMPRODUCT((M_BOM[Part Name]=$A32)*M_BOM[RM_Qty_Per_Batch]*IFERROR(INDEX(PP_Grid[#Data],M_BOM[PPGridRow],32),0))+IFERROR(INDEX(M_RawMaterials[固定週次消費量_要入力],MATCH($A32,M_RawMaterials[Part Name],0)),0)</f>
        <v/>
      </c>
      <c r="AG32">
        <f>SUMPRODUCT((M_BOM[Part Name]=$A32)*M_BOM[RM_Qty_Per_Batch]*IFERROR(INDEX(PP_Grid[#Data],M_BOM[PPGridRow],33),0))+IFERROR(INDEX(M_RawMaterials[固定週次消費量_要入力],MATCH($A32,M_RawMaterials[Part Name],0)),0)</f>
        <v/>
      </c>
      <c r="AH32">
        <f>SUMPRODUCT((M_BOM[Part Name]=$A32)*M_BOM[RM_Qty_Per_Batch]*IFERROR(INDEX(PP_Grid[#Data],M_BOM[PPGridRow],34),0))+IFERROR(INDEX(M_RawMaterials[固定週次消費量_要入力],MATCH($A32,M_RawMaterials[Part Name],0)),0)</f>
        <v/>
      </c>
      <c r="AI32">
        <f>SUMPRODUCT((M_BOM[Part Name]=$A32)*M_BOM[RM_Qty_Per_Batch]*IFERROR(INDEX(PP_Grid[#Data],M_BOM[PPGridRow],35),0))+IFERROR(INDEX(M_RawMaterials[固定週次消費量_要入力],MATCH($A32,M_RawMaterials[Part Name],0)),0)</f>
        <v/>
      </c>
      <c r="AJ32">
        <f>SUMPRODUCT((M_BOM[Part Name]=$A32)*M_BOM[RM_Qty_Per_Batch]*IFERROR(INDEX(PP_Grid[#Data],M_BOM[PPGridRow],36),0))+IFERROR(INDEX(M_RawMaterials[固定週次消費量_要入力],MATCH($A32,M_RawMaterials[Part Name],0)),0)</f>
        <v/>
      </c>
      <c r="AK32">
        <f>SUMPRODUCT((M_BOM[Part Name]=$A32)*M_BOM[RM_Qty_Per_Batch]*IFERROR(INDEX(PP_Grid[#Data],M_BOM[PPGridRow],37),0))+IFERROR(INDEX(M_RawMaterials[固定週次消費量_要入力],MATCH($A32,M_RawMaterials[Part Name],0)),0)</f>
        <v/>
      </c>
      <c r="AL32">
        <f>SUMPRODUCT((M_BOM[Part Name]=$A32)*M_BOM[RM_Qty_Per_Batch]*IFERROR(INDEX(PP_Grid[#Data],M_BOM[PPGridRow],38),0))+IFERROR(INDEX(M_RawMaterials[固定週次消費量_要入力],MATCH($A32,M_RawMaterials[Part Name],0)),0)</f>
        <v/>
      </c>
      <c r="AM32">
        <f>SUMPRODUCT((M_BOM[Part Name]=$A32)*M_BOM[RM_Qty_Per_Batch]*IFERROR(INDEX(PP_Grid[#Data],M_BOM[PPGridRow],39),0))+IFERROR(INDEX(M_RawMaterials[固定週次消費量_要入力],MATCH($A32,M_RawMaterials[Part Name],0)),0)</f>
        <v/>
      </c>
      <c r="AN32">
        <f>SUMPRODUCT((M_BOM[Part Name]=$A32)*M_BOM[RM_Qty_Per_Batch]*IFERROR(INDEX(PP_Grid[#Data],M_BOM[PPGridRow],40),0))+IFERROR(INDEX(M_RawMaterials[固定週次消費量_要入力],MATCH($A32,M_RawMaterials[Part Name],0)),0)</f>
        <v/>
      </c>
      <c r="AO32">
        <f>SUMPRODUCT((M_BOM[Part Name]=$A32)*M_BOM[RM_Qty_Per_Batch]*IFERROR(INDEX(PP_Grid[#Data],M_BOM[PPGridRow],41),0))+IFERROR(INDEX(M_RawMaterials[固定週次消費量_要入力],MATCH($A32,M_RawMaterials[Part Name],0)),0)</f>
        <v/>
      </c>
      <c r="AP32">
        <f>SUMPRODUCT((M_BOM[Part Name]=$A32)*M_BOM[RM_Qty_Per_Batch]*IFERROR(INDEX(PP_Grid[#Data],M_BOM[PPGridRow],42),0))+IFERROR(INDEX(M_RawMaterials[固定週次消費量_要入力],MATCH($A32,M_RawMaterials[Part Name],0)),0)</f>
        <v/>
      </c>
      <c r="AQ32">
        <f>SUMPRODUCT((M_BOM[Part Name]=$A32)*M_BOM[RM_Qty_Per_Batch]*IFERROR(INDEX(PP_Grid[#Data],M_BOM[PPGridRow],43),0))+IFERROR(INDEX(M_RawMaterials[固定週次消費量_要入力],MATCH($A32,M_RawMaterials[Part Name],0)),0)</f>
        <v/>
      </c>
      <c r="AR32">
        <f>SUMPRODUCT((M_BOM[Part Name]=$A32)*M_BOM[RM_Qty_Per_Batch]*IFERROR(INDEX(PP_Grid[#Data],M_BOM[PPGridRow],44),0))+IFERROR(INDEX(M_RawMaterials[固定週次消費量_要入力],MATCH($A32,M_RawMaterials[Part Name],0)),0)</f>
        <v/>
      </c>
      <c r="AS32">
        <f>SUMPRODUCT((M_BOM[Part Name]=$A32)*M_BOM[RM_Qty_Per_Batch]*IFERROR(INDEX(PP_Grid[#Data],M_BOM[PPGridRow],45),0))+IFERROR(INDEX(M_RawMaterials[固定週次消費量_要入力],MATCH($A32,M_RawMaterials[Part Name],0)),0)</f>
        <v/>
      </c>
      <c r="AT32">
        <f>SUMPRODUCT((M_BOM[Part Name]=$A32)*M_BOM[RM_Qty_Per_Batch]*IFERROR(INDEX(PP_Grid[#Data],M_BOM[PPGridRow],46),0))+IFERROR(INDEX(M_RawMaterials[固定週次消費量_要入力],MATCH($A32,M_RawMaterials[Part Name],0)),0)</f>
        <v/>
      </c>
      <c r="AU32">
        <f>SUMPRODUCT((M_BOM[Part Name]=$A32)*M_BOM[RM_Qty_Per_Batch]*IFERROR(INDEX(PP_Grid[#Data],M_BOM[PPGridRow],47),0))+IFERROR(INDEX(M_RawMaterials[固定週次消費量_要入力],MATCH($A32,M_RawMaterials[Part Name],0)),0)</f>
        <v/>
      </c>
      <c r="AV32">
        <f>SUMPRODUCT((M_BOM[Part Name]=$A32)*M_BOM[RM_Qty_Per_Batch]*IFERROR(INDEX(PP_Grid[#Data],M_BOM[PPGridRow],48),0))+IFERROR(INDEX(M_RawMaterials[固定週次消費量_要入力],MATCH($A32,M_RawMaterials[Part Name],0)),0)</f>
        <v/>
      </c>
      <c r="AW32">
        <f>SUMPRODUCT((M_BOM[Part Name]=$A32)*M_BOM[RM_Qty_Per_Batch]*IFERROR(INDEX(PP_Grid[#Data],M_BOM[PPGridRow],49),0))+IFERROR(INDEX(M_RawMaterials[固定週次消費量_要入力],MATCH($A32,M_RawMaterials[Part Name],0)),0)</f>
        <v/>
      </c>
      <c r="AX32">
        <f>SUMPRODUCT((M_BOM[Part Name]=$A32)*M_BOM[RM_Qty_Per_Batch]*IFERROR(INDEX(PP_Grid[#Data],M_BOM[PPGridRow],50),0))+IFERROR(INDEX(M_RawMaterials[固定週次消費量_要入力],MATCH($A32,M_RawMaterials[Part Name],0)),0)</f>
        <v/>
      </c>
      <c r="AY32">
        <f>SUMPRODUCT((M_BOM[Part Name]=$A32)*M_BOM[RM_Qty_Per_Batch]*IFERROR(INDEX(PP_Grid[#Data],M_BOM[PPGridRow],51),0))+IFERROR(INDEX(M_RawMaterials[固定週次消費量_要入力],MATCH($A32,M_RawMaterials[Part Name],0)),0)</f>
        <v/>
      </c>
      <c r="AZ32">
        <f>SUMPRODUCT((M_BOM[Part Name]=$A32)*M_BOM[RM_Qty_Per_Batch]*IFERROR(INDEX(PP_Grid[#Data],M_BOM[PPGridRow],52),0))+IFERROR(INDEX(M_RawMaterials[固定週次消費量_要入力],MATCH($A32,M_RawMaterials[Part Name],0)),0)</f>
        <v/>
      </c>
      <c r="BA32">
        <f>SUMPRODUCT((M_BOM[Part Name]=$A32)*M_BOM[RM_Qty_Per_Batch]*IFERROR(INDEX(PP_Grid[#Data],M_BOM[PPGridRow],53),0))+IFERROR(INDEX(M_RawMaterials[固定週次消費量_要入力],MATCH($A32,M_RawMaterials[Part Name],0)),0)</f>
        <v/>
      </c>
      <c r="BB32">
        <f>SUMPRODUCT((M_BOM[Part Name]=$A32)*M_BOM[RM_Qty_Per_Batch]*IFERROR(INDEX(PP_Grid[#Data],M_BOM[PPGridRow],54),0))+IFERROR(INDEX(M_RawMaterials[固定週次消費量_要入力],MATCH($A32,M_RawMaterials[Part Name],0)),0)</f>
        <v/>
      </c>
      <c r="BC32">
        <f>SUMPRODUCT((M_BOM[Part Name]=$A32)*M_BOM[RM_Qty_Per_Batch]*IFERROR(INDEX(PP_Grid[#Data],M_BOM[PPGridRow],55),0))+IFERROR(INDEX(M_RawMaterials[固定週次消費量_要入力],MATCH($A32,M_RawMaterials[Part Name],0)),0)</f>
        <v/>
      </c>
      <c r="BD32">
        <f>SUMPRODUCT((M_BOM[Part Name]=$A32)*M_BOM[RM_Qty_Per_Batch]*IFERROR(INDEX(PP_Grid[#Data],M_BOM[PPGridRow],56),0))+IFERROR(INDEX(M_RawMaterials[固定週次消費量_要入力],MATCH($A32,M_RawMaterials[Part Name],0)),0)</f>
        <v/>
      </c>
      <c r="BE32">
        <f>SUMPRODUCT((M_BOM[Part Name]=$A32)*M_BOM[RM_Qty_Per_Batch]*IFERROR(INDEX(PP_Grid[#Data],M_BOM[PPGridRow],57),0))+IFERROR(INDEX(M_RawMaterials[固定週次消費量_要入力],MATCH($A32,M_RawMaterials[Part Name],0)),0)</f>
        <v/>
      </c>
      <c r="BF32">
        <f>SUMPRODUCT((M_BOM[Part Name]=$A32)*M_BOM[RM_Qty_Per_Batch]*IFERROR(INDEX(PP_Grid[#Data],M_BOM[PPGridRow],58),0))+IFERROR(INDEX(M_RawMaterials[固定週次消費量_要入力],MATCH($A32,M_RawMaterials[Part Name],0)),0)</f>
        <v/>
      </c>
      <c r="BG32">
        <f>SUMPRODUCT((M_BOM[Part Name]=$A32)*M_BOM[RM_Qty_Per_Batch]*IFERROR(INDEX(PP_Grid[#Data],M_BOM[PPGridRow],59),0))+IFERROR(INDEX(M_RawMaterials[固定週次消費量_要入力],MATCH($A32,M_RawMaterials[Part Name],0)),0)</f>
        <v/>
      </c>
      <c r="BH32">
        <f>SUMPRODUCT((M_BOM[Part Name]=$A32)*M_BOM[RM_Qty_Per_Batch]*IFERROR(INDEX(PP_Grid[#Data],M_BOM[PPGridRow],60),0))+IFERROR(INDEX(M_RawMaterials[固定週次消費量_要入力],MATCH($A32,M_RawMaterials[Part Name],0)),0)</f>
        <v/>
      </c>
      <c r="BI32">
        <f>SUMPRODUCT((M_BOM[Part Name]=$A32)*M_BOM[RM_Qty_Per_Batch]*IFERROR(INDEX(PP_Grid[#Data],M_BOM[PPGridRow],61),0))+IFERROR(INDEX(M_RawMaterials[固定週次消費量_要入力],MATCH($A32,M_RawMaterials[Part Name],0)),0)</f>
        <v/>
      </c>
      <c r="BJ32">
        <f>SUMPRODUCT((M_BOM[Part Name]=$A32)*M_BOM[RM_Qty_Per_Batch]*IFERROR(INDEX(PP_Grid[#Data],M_BOM[PPGridRow],62),0))+IFERROR(INDEX(M_RawMaterials[固定週次消費量_要入力],MATCH($A32,M_RawMaterials[Part Name],0)),0)</f>
        <v/>
      </c>
      <c r="BK32">
        <f>SUMPRODUCT((M_BOM[Part Name]=$A32)*M_BOM[RM_Qty_Per_Batch]*IFERROR(INDEX(PP_Grid[#Data],M_BOM[PPGridRow],63),0))+IFERROR(INDEX(M_RawMaterials[固定週次消費量_要入力],MATCH($A32,M_RawMaterials[Part Name],0)),0)</f>
        <v/>
      </c>
      <c r="BL32">
        <f>SUMPRODUCT((M_BOM[Part Name]=$A32)*M_BOM[RM_Qty_Per_Batch]*IFERROR(INDEX(PP_Grid[#Data],M_BOM[PPGridRow],64),0))+IFERROR(INDEX(M_RawMaterials[固定週次消費量_要入力],MATCH($A32,M_RawMaterials[Part Name],0)),0)</f>
        <v/>
      </c>
      <c r="BM32">
        <f>SUMPRODUCT((M_BOM[Part Name]=$A32)*M_BOM[RM_Qty_Per_Batch]*IFERROR(INDEX(PP_Grid[#Data],M_BOM[PPGridRow],65),0))+IFERROR(INDEX(M_RawMaterials[固定週次消費量_要入力],MATCH($A32,M_RawMaterials[Part Name],0)),0)</f>
        <v/>
      </c>
      <c r="BN32">
        <f>SUMPRODUCT((M_BOM[Part Name]=$A32)*M_BOM[RM_Qty_Per_Batch]*IFERROR(INDEX(PP_Grid[#Data],M_BOM[PPGridRow],66),0))+IFERROR(INDEX(M_RawMaterials[固定週次消費量_要入力],MATCH($A32,M_RawMaterials[Part Name],0)),0)</f>
        <v/>
      </c>
      <c r="BO32">
        <f>SUMPRODUCT((M_BOM[Part Name]=$A32)*M_BOM[RM_Qty_Per_Batch]*IFERROR(INDEX(PP_Grid[#Data],M_BOM[PPGridRow],67),0))+IFERROR(INDEX(M_RawMaterials[固定週次消費量_要入力],MATCH($A32,M_RawMaterials[Part Name],0)),0)</f>
        <v/>
      </c>
      <c r="BP32">
        <f>SUMPRODUCT((M_BOM[Part Name]=$A32)*M_BOM[RM_Qty_Per_Batch]*IFERROR(INDEX(PP_Grid[#Data],M_BOM[PPGridRow],68),0))+IFERROR(INDEX(M_RawMaterials[固定週次消費量_要入力],MATCH($A32,M_RawMaterials[Part Name],0)),0)</f>
        <v/>
      </c>
      <c r="BQ32">
        <f>SUMPRODUCT((M_BOM[Part Name]=$A32)*M_BOM[RM_Qty_Per_Batch]*IFERROR(INDEX(PP_Grid[#Data],M_BOM[PPGridRow],69),0))+IFERROR(INDEX(M_RawMaterials[固定週次消費量_要入力],MATCH($A32,M_RawMaterials[Part Name],0)),0)</f>
        <v/>
      </c>
      <c r="BR32">
        <f>SUMPRODUCT((M_BOM[Part Name]=$A32)*M_BOM[RM_Qty_Per_Batch]*IFERROR(INDEX(PP_Grid[#Data],M_BOM[PPGridRow],70),0))+IFERROR(INDEX(M_RawMaterials[固定週次消費量_要入力],MATCH($A32,M_RawMaterials[Part Name],0)),0)</f>
        <v/>
      </c>
      <c r="BS32">
        <f>SUMPRODUCT((M_BOM[Part Name]=$A32)*M_BOM[RM_Qty_Per_Batch]*IFERROR(INDEX(PP_Grid[#Data],M_BOM[PPGridRow],71),0))+IFERROR(INDEX(M_RawMaterials[固定週次消費量_要入力],MATCH($A32,M_RawMaterials[Part Name],0)),0)</f>
        <v/>
      </c>
      <c r="BT32">
        <f>SUMPRODUCT((M_BOM[Part Name]=$A32)*M_BOM[RM_Qty_Per_Batch]*IFERROR(INDEX(PP_Grid[#Data],M_BOM[PPGridRow],72),0))+IFERROR(INDEX(M_RawMaterials[固定週次消費量_要入力],MATCH($A32,M_RawMaterials[Part Name],0)),0)</f>
        <v/>
      </c>
      <c r="BU32">
        <f>SUMPRODUCT((M_BOM[Part Name]=$A32)*M_BOM[RM_Qty_Per_Batch]*IFERROR(INDEX(PP_Grid[#Data],M_BOM[PPGridRow],73),0))+IFERROR(INDEX(M_RawMaterials[固定週次消費量_要入力],MATCH($A32,M_RawMaterials[Part Name],0)),0)</f>
        <v/>
      </c>
      <c r="BV32">
        <f>SUMPRODUCT((M_BOM[Part Name]=$A32)*M_BOM[RM_Qty_Per_Batch]*IFERROR(INDEX(PP_Grid[#Data],M_BOM[PPGridRow],74),0))+IFERROR(INDEX(M_RawMaterials[固定週次消費量_要入力],MATCH($A32,M_RawMaterials[Part Name],0)),0)</f>
        <v/>
      </c>
      <c r="BW32">
        <f>SUMPRODUCT((M_BOM[Part Name]=$A32)*M_BOM[RM_Qty_Per_Batch]*IFERROR(INDEX(PP_Grid[#Data],M_BOM[PPGridRow],75),0))+IFERROR(INDEX(M_RawMaterials[固定週次消費量_要入力],MATCH($A32,M_RawMaterials[Part Name],0)),0)</f>
        <v/>
      </c>
      <c r="BX32">
        <f>SUMPRODUCT((M_BOM[Part Name]=$A32)*M_BOM[RM_Qty_Per_Batch]*IFERROR(INDEX(PP_Grid[#Data],M_BOM[PPGridRow],76),0))+IFERROR(INDEX(M_RawMaterials[固定週次消費量_要入力],MATCH($A32,M_RawMaterials[Part Name],0)),0)</f>
        <v/>
      </c>
      <c r="BY32">
        <f>SUMPRODUCT((M_BOM[Part Name]=$A32)*M_BOM[RM_Qty_Per_Batch]*IFERROR(INDEX(PP_Grid[#Data],M_BOM[PPGridRow],77),0))+IFERROR(INDEX(M_RawMaterials[固定週次消費量_要入力],MATCH($A32,M_RawMaterials[Part Name],0)),0)</f>
        <v/>
      </c>
      <c r="BZ32">
        <f>SUMPRODUCT((M_BOM[Part Name]=$A32)*M_BOM[RM_Qty_Per_Batch]*IFERROR(INDEX(PP_Grid[#Data],M_BOM[PPGridRow],78),0))+IFERROR(INDEX(M_RawMaterials[固定週次消費量_要入力],MATCH($A32,M_RawMaterials[Part Name],0)),0)</f>
        <v/>
      </c>
      <c r="CA32">
        <f>SUMPRODUCT((M_BOM[Part Name]=$A32)*M_BOM[RM_Qty_Per_Batch]*IFERROR(INDEX(PP_Grid[#Data],M_BOM[PPGridRow],79),0))+IFERROR(INDEX(M_RawMaterials[固定週次消費量_要入力],MATCH($A32,M_RawMaterials[Part Name],0)),0)</f>
        <v/>
      </c>
      <c r="CB32">
        <f>SUMPRODUCT((M_BOM[Part Name]=$A32)*M_BOM[RM_Qty_Per_Batch]*IFERROR(INDEX(PP_Grid[#Data],M_BOM[PPGridRow],80),0))+IFERROR(INDEX(M_RawMaterials[固定週次消費量_要入力],MATCH($A32,M_RawMaterials[Part Name],0)),0)</f>
        <v/>
      </c>
      <c r="CC32">
        <f>SUMPRODUCT((M_BOM[Part Name]=$A32)*M_BOM[RM_Qty_Per_Batch]*IFERROR(INDEX(PP_Grid[#Data],M_BOM[PPGridRow],81),0))+IFERROR(INDEX(M_RawMaterials[固定週次消費量_要入力],MATCH($A32,M_RawMaterials[Part Name],0)),0)</f>
        <v/>
      </c>
      <c r="CD32">
        <f>SUMPRODUCT((M_BOM[Part Name]=$A32)*M_BOM[RM_Qty_Per_Batch]*IFERROR(INDEX(PP_Grid[#Data],M_BOM[PPGridRow],82),0))+IFERROR(INDEX(M_RawMaterials[固定週次消費量_要入力],MATCH($A32,M_RawMaterials[Part Name],0)),0)</f>
        <v/>
      </c>
      <c r="CE32">
        <f>SUMPRODUCT((M_BOM[Part Name]=$A32)*M_BOM[RM_Qty_Per_Batch]*IFERROR(INDEX(PP_Grid[#Data],M_BOM[PPGridRow],83),0))+IFERROR(INDEX(M_RawMaterials[固定週次消費量_要入力],MATCH($A32,M_RawMaterials[Part Name],0)),0)</f>
        <v/>
      </c>
      <c r="CF32">
        <f>SUMPRODUCT((M_BOM[Part Name]=$A32)*M_BOM[RM_Qty_Per_Batch]*IFERROR(INDEX(PP_Grid[#Data],M_BOM[PPGridRow],84),0))+IFERROR(INDEX(M_RawMaterials[固定週次消費量_要入力],MATCH($A32,M_RawMaterials[Part Name],0)),0)</f>
        <v/>
      </c>
      <c r="CG32">
        <f>SUMPRODUCT((M_BOM[Part Name]=$A32)*M_BOM[RM_Qty_Per_Batch]*IFERROR(INDEX(PP_Grid[#Data],M_BOM[PPGridRow],85),0))+IFERROR(INDEX(M_RawMaterials[固定週次消費量_要入力],MATCH($A32,M_RawMaterials[Part Name],0)),0)</f>
        <v/>
      </c>
      <c r="CH32">
        <f>SUMPRODUCT((M_BOM[Part Name]=$A32)*M_BOM[RM_Qty_Per_Batch]*IFERROR(INDEX(PP_Grid[#Data],M_BOM[PPGridRow],86),0))+IFERROR(INDEX(M_RawMaterials[固定週次消費量_要入力],MATCH($A32,M_RawMaterials[Part Name],0)),0)</f>
        <v/>
      </c>
      <c r="CI32">
        <f>SUMPRODUCT((M_BOM[Part Name]=$A32)*M_BOM[RM_Qty_Per_Batch]*IFERROR(INDEX(PP_Grid[#Data],M_BOM[PPGridRow],87),0))+IFERROR(INDEX(M_RawMaterials[固定週次消費量_要入力],MATCH($A32,M_RawMaterials[Part Name],0)),0)</f>
        <v/>
      </c>
      <c r="CJ32">
        <f>SUMPRODUCT((M_BOM[Part Name]=$A32)*M_BOM[RM_Qty_Per_Batch]*IFERROR(INDEX(PP_Grid[#Data],M_BOM[PPGridRow],88),0))+IFERROR(INDEX(M_RawMaterials[固定週次消費量_要入力],MATCH($A32,M_RawMaterials[Part Name],0)),0)</f>
        <v/>
      </c>
      <c r="CK32">
        <f>SUMPRODUCT((M_BOM[Part Name]=$A32)*M_BOM[RM_Qty_Per_Batch]*IFERROR(INDEX(PP_Grid[#Data],M_BOM[PPGridRow],89),0))+IFERROR(INDEX(M_RawMaterials[固定週次消費量_要入力],MATCH($A32,M_RawMaterials[Part Name],0)),0)</f>
        <v/>
      </c>
      <c r="CL32">
        <f>SUMPRODUCT((M_BOM[Part Name]=$A32)*M_BOM[RM_Qty_Per_Batch]*IFERROR(INDEX(PP_Grid[#Data],M_BOM[PPGridRow],90),0))+IFERROR(INDEX(M_RawMaterials[固定週次消費量_要入力],MATCH($A32,M_RawMaterials[Part Name],0)),0)</f>
        <v/>
      </c>
      <c r="CM32">
        <f>SUMPRODUCT((M_BOM[Part Name]=$A32)*M_BOM[RM_Qty_Per_Batch]*IFERROR(INDEX(PP_Grid[#Data],M_BOM[PPGridRow],91),0))+IFERROR(INDEX(M_RawMaterials[固定週次消費量_要入力],MATCH($A32,M_RawMaterials[Part Name],0)),0)</f>
        <v/>
      </c>
      <c r="CN32">
        <f>SUMPRODUCT((M_BOM[Part Name]=$A32)*M_BOM[RM_Qty_Per_Batch]*IFERROR(INDEX(PP_Grid[#Data],M_BOM[PPGridRow],92),0))+IFERROR(INDEX(M_RawMaterials[固定週次消費量_要入力],MATCH($A32,M_RawMaterials[Part Name],0)),0)</f>
        <v/>
      </c>
      <c r="CO32">
        <f>SUMPRODUCT((M_BOM[Part Name]=$A32)*M_BOM[RM_Qty_Per_Batch]*IFERROR(INDEX(PP_Grid[#Data],M_BOM[PPGridRow],93),0))+IFERROR(INDEX(M_RawMaterials[固定週次消費量_要入力],MATCH($A32,M_RawMaterials[Part Name],0)),0)</f>
        <v/>
      </c>
      <c r="CP32">
        <f>SUMPRODUCT((M_BOM[Part Name]=$A32)*M_BOM[RM_Qty_Per_Batch]*IFERROR(INDEX(PP_Grid[#Data],M_BOM[PPGridRow],94),0))+IFERROR(INDEX(M_RawMaterials[固定週次消費量_要入力],MATCH($A32,M_RawMaterials[Part Name],0)),0)</f>
        <v/>
      </c>
      <c r="CQ32">
        <f>SUMPRODUCT((M_BOM[Part Name]=$A32)*M_BOM[RM_Qty_Per_Batch]*IFERROR(INDEX(PP_Grid[#Data],M_BOM[PPGridRow],95),0))+IFERROR(INDEX(M_RawMaterials[固定週次消費量_要入力],MATCH($A32,M_RawMaterials[Part Name],0)),0)</f>
        <v/>
      </c>
      <c r="CR32">
        <f>SUMPRODUCT((M_BOM[Part Name]=$A32)*M_BOM[RM_Qty_Per_Batch]*IFERROR(INDEX(PP_Grid[#Data],M_BOM[PPGridRow],96),0))+IFERROR(INDEX(M_RawMaterials[固定週次消費量_要入力],MATCH($A32,M_RawMaterials[Part Name],0)),0)</f>
        <v/>
      </c>
      <c r="CS32">
        <f>SUMPRODUCT((M_BOM[Part Name]=$A32)*M_BOM[RM_Qty_Per_Batch]*IFERROR(INDEX(PP_Grid[#Data],M_BOM[PPGridRow],97),0))+IFERROR(INDEX(M_RawMaterials[固定週次消費量_要入力],MATCH($A32,M_RawMaterials[Part Name],0)),0)</f>
        <v/>
      </c>
      <c r="CT32">
        <f>SUMPRODUCT((M_BOM[Part Name]=$A32)*M_BOM[RM_Qty_Per_Batch]*IFERROR(INDEX(PP_Grid[#Data],M_BOM[PPGridRow],98),0))+IFERROR(INDEX(M_RawMaterials[固定週次消費量_要入力],MATCH($A32,M_RawMaterials[Part Name],0)),0)</f>
        <v/>
      </c>
      <c r="CU32">
        <f>SUMPRODUCT((M_BOM[Part Name]=$A32)*M_BOM[RM_Qty_Per_Batch]*IFERROR(INDEX(PP_Grid[#Data],M_BOM[PPGridRow],99),0))+IFERROR(INDEX(M_RawMaterials[固定週次消費量_要入力],MATCH($A32,M_RawMaterials[Part Name],0)),0)</f>
        <v/>
      </c>
      <c r="CV32">
        <f>SUMPRODUCT((M_BOM[Part Name]=$A32)*M_BOM[RM_Qty_Per_Batch]*IFERROR(INDEX(PP_Grid[#Data],M_BOM[PPGridRow],100),0))+IFERROR(INDEX(M_RawMaterials[固定週次消費量_要入力],MATCH($A32,M_RawMaterials[Part Name],0)),0)</f>
        <v/>
      </c>
      <c r="CW32">
        <f>SUMPRODUCT((M_BOM[Part Name]=$A32)*M_BOM[RM_Qty_Per_Batch]*IFERROR(INDEX(PP_Grid[#Data],M_BOM[PPGridRow],101),0))+IFERROR(INDEX(M_RawMaterials[固定週次消費量_要入力],MATCH($A32,M_RawMaterials[Part Name],0)),0)</f>
        <v/>
      </c>
      <c r="CX32">
        <f>SUMPRODUCT((M_BOM[Part Name]=$A32)*M_BOM[RM_Qty_Per_Batch]*IFERROR(INDEX(PP_Grid[#Data],M_BOM[PPGridRow],102),0))+IFERROR(INDEX(M_RawMaterials[固定週次消費量_要入力],MATCH($A32,M_RawMaterials[Part Name],0)),0)</f>
        <v/>
      </c>
      <c r="CY32">
        <f>SUMPRODUCT((M_BOM[Part Name]=$A32)*M_BOM[RM_Qty_Per_Batch]*IFERROR(INDEX(PP_Grid[#Data],M_BOM[PPGridRow],103),0))+IFERROR(INDEX(M_RawMaterials[固定週次消費量_要入力],MATCH($A32,M_RawMaterials[Part Name],0)),0)</f>
        <v/>
      </c>
      <c r="CZ32">
        <f>SUMPRODUCT((M_BOM[Part Name]=$A32)*M_BOM[RM_Qty_Per_Batch]*IFERROR(INDEX(PP_Grid[#Data],M_BOM[PPGridRow],104),0))+IFERROR(INDEX(M_RawMaterials[固定週次消費量_要入力],MATCH($A32,M_RawMaterials[Part Name],0)),0)</f>
        <v/>
      </c>
      <c r="DA32">
        <f>SUMPRODUCT((M_BOM[Part Name]=$A32)*M_BOM[RM_Qty_Per_Batch]*IFERROR(INDEX(PP_Grid[#Data],M_BOM[PPGridRow],105),0))+IFERROR(INDEX(M_RawMaterials[固定週次消費量_要入力],MATCH($A32,M_RawMaterials[Part Name],0)),0)</f>
        <v/>
      </c>
    </row>
    <row r="33">
      <c r="A33" t="inlineStr">
        <is>
          <t>CHEM-1400</t>
        </is>
      </c>
      <c r="B33">
        <f>SUMPRODUCT((M_BOM[Part Name]=$A33)*M_BOM[RM_Qty_Per_Batch]*IFERROR(INDEX(PP_Grid[#Data],M_BOM[PPGridRow],2),0))+IFERROR(INDEX(M_RawMaterials[固定週次消費量_要入力],MATCH($A33,M_RawMaterials[Part Name],0)),0)</f>
        <v/>
      </c>
      <c r="C33">
        <f>SUMPRODUCT((M_BOM[Part Name]=$A33)*M_BOM[RM_Qty_Per_Batch]*IFERROR(INDEX(PP_Grid[#Data],M_BOM[PPGridRow],3),0))+IFERROR(INDEX(M_RawMaterials[固定週次消費量_要入力],MATCH($A33,M_RawMaterials[Part Name],0)),0)</f>
        <v/>
      </c>
      <c r="D33">
        <f>SUMPRODUCT((M_BOM[Part Name]=$A33)*M_BOM[RM_Qty_Per_Batch]*IFERROR(INDEX(PP_Grid[#Data],M_BOM[PPGridRow],4),0))+IFERROR(INDEX(M_RawMaterials[固定週次消費量_要入力],MATCH($A33,M_RawMaterials[Part Name],0)),0)</f>
        <v/>
      </c>
      <c r="E33">
        <f>SUMPRODUCT((M_BOM[Part Name]=$A33)*M_BOM[RM_Qty_Per_Batch]*IFERROR(INDEX(PP_Grid[#Data],M_BOM[PPGridRow],5),0))+IFERROR(INDEX(M_RawMaterials[固定週次消費量_要入力],MATCH($A33,M_RawMaterials[Part Name],0)),0)</f>
        <v/>
      </c>
      <c r="F33">
        <f>SUMPRODUCT((M_BOM[Part Name]=$A33)*M_BOM[RM_Qty_Per_Batch]*IFERROR(INDEX(PP_Grid[#Data],M_BOM[PPGridRow],6),0))+IFERROR(INDEX(M_RawMaterials[固定週次消費量_要入力],MATCH($A33,M_RawMaterials[Part Name],0)),0)</f>
        <v/>
      </c>
      <c r="G33">
        <f>SUMPRODUCT((M_BOM[Part Name]=$A33)*M_BOM[RM_Qty_Per_Batch]*IFERROR(INDEX(PP_Grid[#Data],M_BOM[PPGridRow],7),0))+IFERROR(INDEX(M_RawMaterials[固定週次消費量_要入力],MATCH($A33,M_RawMaterials[Part Name],0)),0)</f>
        <v/>
      </c>
      <c r="H33">
        <f>SUMPRODUCT((M_BOM[Part Name]=$A33)*M_BOM[RM_Qty_Per_Batch]*IFERROR(INDEX(PP_Grid[#Data],M_BOM[PPGridRow],8),0))+IFERROR(INDEX(M_RawMaterials[固定週次消費量_要入力],MATCH($A33,M_RawMaterials[Part Name],0)),0)</f>
        <v/>
      </c>
      <c r="I33">
        <f>SUMPRODUCT((M_BOM[Part Name]=$A33)*M_BOM[RM_Qty_Per_Batch]*IFERROR(INDEX(PP_Grid[#Data],M_BOM[PPGridRow],9),0))+IFERROR(INDEX(M_RawMaterials[固定週次消費量_要入力],MATCH($A33,M_RawMaterials[Part Name],0)),0)</f>
        <v/>
      </c>
      <c r="J33">
        <f>SUMPRODUCT((M_BOM[Part Name]=$A33)*M_BOM[RM_Qty_Per_Batch]*IFERROR(INDEX(PP_Grid[#Data],M_BOM[PPGridRow],10),0))+IFERROR(INDEX(M_RawMaterials[固定週次消費量_要入力],MATCH($A33,M_RawMaterials[Part Name],0)),0)</f>
        <v/>
      </c>
      <c r="K33">
        <f>SUMPRODUCT((M_BOM[Part Name]=$A33)*M_BOM[RM_Qty_Per_Batch]*IFERROR(INDEX(PP_Grid[#Data],M_BOM[PPGridRow],11),0))+IFERROR(INDEX(M_RawMaterials[固定週次消費量_要入力],MATCH($A33,M_RawMaterials[Part Name],0)),0)</f>
        <v/>
      </c>
      <c r="L33">
        <f>SUMPRODUCT((M_BOM[Part Name]=$A33)*M_BOM[RM_Qty_Per_Batch]*IFERROR(INDEX(PP_Grid[#Data],M_BOM[PPGridRow],12),0))+IFERROR(INDEX(M_RawMaterials[固定週次消費量_要入力],MATCH($A33,M_RawMaterials[Part Name],0)),0)</f>
        <v/>
      </c>
      <c r="M33">
        <f>SUMPRODUCT((M_BOM[Part Name]=$A33)*M_BOM[RM_Qty_Per_Batch]*IFERROR(INDEX(PP_Grid[#Data],M_BOM[PPGridRow],13),0))+IFERROR(INDEX(M_RawMaterials[固定週次消費量_要入力],MATCH($A33,M_RawMaterials[Part Name],0)),0)</f>
        <v/>
      </c>
      <c r="N33">
        <f>SUMPRODUCT((M_BOM[Part Name]=$A33)*M_BOM[RM_Qty_Per_Batch]*IFERROR(INDEX(PP_Grid[#Data],M_BOM[PPGridRow],14),0))+IFERROR(INDEX(M_RawMaterials[固定週次消費量_要入力],MATCH($A33,M_RawMaterials[Part Name],0)),0)</f>
        <v/>
      </c>
      <c r="O33">
        <f>SUMPRODUCT((M_BOM[Part Name]=$A33)*M_BOM[RM_Qty_Per_Batch]*IFERROR(INDEX(PP_Grid[#Data],M_BOM[PPGridRow],15),0))+IFERROR(INDEX(M_RawMaterials[固定週次消費量_要入力],MATCH($A33,M_RawMaterials[Part Name],0)),0)</f>
        <v/>
      </c>
      <c r="P33">
        <f>SUMPRODUCT((M_BOM[Part Name]=$A33)*M_BOM[RM_Qty_Per_Batch]*IFERROR(INDEX(PP_Grid[#Data],M_BOM[PPGridRow],16),0))+IFERROR(INDEX(M_RawMaterials[固定週次消費量_要入力],MATCH($A33,M_RawMaterials[Part Name],0)),0)</f>
        <v/>
      </c>
      <c r="Q33">
        <f>SUMPRODUCT((M_BOM[Part Name]=$A33)*M_BOM[RM_Qty_Per_Batch]*IFERROR(INDEX(PP_Grid[#Data],M_BOM[PPGridRow],17),0))+IFERROR(INDEX(M_RawMaterials[固定週次消費量_要入力],MATCH($A33,M_RawMaterials[Part Name],0)),0)</f>
        <v/>
      </c>
      <c r="R33">
        <f>SUMPRODUCT((M_BOM[Part Name]=$A33)*M_BOM[RM_Qty_Per_Batch]*IFERROR(INDEX(PP_Grid[#Data],M_BOM[PPGridRow],18),0))+IFERROR(INDEX(M_RawMaterials[固定週次消費量_要入力],MATCH($A33,M_RawMaterials[Part Name],0)),0)</f>
        <v/>
      </c>
      <c r="S33">
        <f>SUMPRODUCT((M_BOM[Part Name]=$A33)*M_BOM[RM_Qty_Per_Batch]*IFERROR(INDEX(PP_Grid[#Data],M_BOM[PPGridRow],19),0))+IFERROR(INDEX(M_RawMaterials[固定週次消費量_要入力],MATCH($A33,M_RawMaterials[Part Name],0)),0)</f>
        <v/>
      </c>
      <c r="T33">
        <f>SUMPRODUCT((M_BOM[Part Name]=$A33)*M_BOM[RM_Qty_Per_Batch]*IFERROR(INDEX(PP_Grid[#Data],M_BOM[PPGridRow],20),0))+IFERROR(INDEX(M_RawMaterials[固定週次消費量_要入力],MATCH($A33,M_RawMaterials[Part Name],0)),0)</f>
        <v/>
      </c>
      <c r="U33">
        <f>SUMPRODUCT((M_BOM[Part Name]=$A33)*M_BOM[RM_Qty_Per_Batch]*IFERROR(INDEX(PP_Grid[#Data],M_BOM[PPGridRow],21),0))+IFERROR(INDEX(M_RawMaterials[固定週次消費量_要入力],MATCH($A33,M_RawMaterials[Part Name],0)),0)</f>
        <v/>
      </c>
      <c r="V33">
        <f>SUMPRODUCT((M_BOM[Part Name]=$A33)*M_BOM[RM_Qty_Per_Batch]*IFERROR(INDEX(PP_Grid[#Data],M_BOM[PPGridRow],22),0))+IFERROR(INDEX(M_RawMaterials[固定週次消費量_要入力],MATCH($A33,M_RawMaterials[Part Name],0)),0)</f>
        <v/>
      </c>
      <c r="W33">
        <f>SUMPRODUCT((M_BOM[Part Name]=$A33)*M_BOM[RM_Qty_Per_Batch]*IFERROR(INDEX(PP_Grid[#Data],M_BOM[PPGridRow],23),0))+IFERROR(INDEX(M_RawMaterials[固定週次消費量_要入力],MATCH($A33,M_RawMaterials[Part Name],0)),0)</f>
        <v/>
      </c>
      <c r="X33">
        <f>SUMPRODUCT((M_BOM[Part Name]=$A33)*M_BOM[RM_Qty_Per_Batch]*IFERROR(INDEX(PP_Grid[#Data],M_BOM[PPGridRow],24),0))+IFERROR(INDEX(M_RawMaterials[固定週次消費量_要入力],MATCH($A33,M_RawMaterials[Part Name],0)),0)</f>
        <v/>
      </c>
      <c r="Y33">
        <f>SUMPRODUCT((M_BOM[Part Name]=$A33)*M_BOM[RM_Qty_Per_Batch]*IFERROR(INDEX(PP_Grid[#Data],M_BOM[PPGridRow],25),0))+IFERROR(INDEX(M_RawMaterials[固定週次消費量_要入力],MATCH($A33,M_RawMaterials[Part Name],0)),0)</f>
        <v/>
      </c>
      <c r="Z33">
        <f>SUMPRODUCT((M_BOM[Part Name]=$A33)*M_BOM[RM_Qty_Per_Batch]*IFERROR(INDEX(PP_Grid[#Data],M_BOM[PPGridRow],26),0))+IFERROR(INDEX(M_RawMaterials[固定週次消費量_要入力],MATCH($A33,M_RawMaterials[Part Name],0)),0)</f>
        <v/>
      </c>
      <c r="AA33">
        <f>SUMPRODUCT((M_BOM[Part Name]=$A33)*M_BOM[RM_Qty_Per_Batch]*IFERROR(INDEX(PP_Grid[#Data],M_BOM[PPGridRow],27),0))+IFERROR(INDEX(M_RawMaterials[固定週次消費量_要入力],MATCH($A33,M_RawMaterials[Part Name],0)),0)</f>
        <v/>
      </c>
      <c r="AB33">
        <f>SUMPRODUCT((M_BOM[Part Name]=$A33)*M_BOM[RM_Qty_Per_Batch]*IFERROR(INDEX(PP_Grid[#Data],M_BOM[PPGridRow],28),0))+IFERROR(INDEX(M_RawMaterials[固定週次消費量_要入力],MATCH($A33,M_RawMaterials[Part Name],0)),0)</f>
        <v/>
      </c>
      <c r="AC33">
        <f>SUMPRODUCT((M_BOM[Part Name]=$A33)*M_BOM[RM_Qty_Per_Batch]*IFERROR(INDEX(PP_Grid[#Data],M_BOM[PPGridRow],29),0))+IFERROR(INDEX(M_RawMaterials[固定週次消費量_要入力],MATCH($A33,M_RawMaterials[Part Name],0)),0)</f>
        <v/>
      </c>
      <c r="AD33">
        <f>SUMPRODUCT((M_BOM[Part Name]=$A33)*M_BOM[RM_Qty_Per_Batch]*IFERROR(INDEX(PP_Grid[#Data],M_BOM[PPGridRow],30),0))+IFERROR(INDEX(M_RawMaterials[固定週次消費量_要入力],MATCH($A33,M_RawMaterials[Part Name],0)),0)</f>
        <v/>
      </c>
      <c r="AE33">
        <f>SUMPRODUCT((M_BOM[Part Name]=$A33)*M_BOM[RM_Qty_Per_Batch]*IFERROR(INDEX(PP_Grid[#Data],M_BOM[PPGridRow],31),0))+IFERROR(INDEX(M_RawMaterials[固定週次消費量_要入力],MATCH($A33,M_RawMaterials[Part Name],0)),0)</f>
        <v/>
      </c>
      <c r="AF33">
        <f>SUMPRODUCT((M_BOM[Part Name]=$A33)*M_BOM[RM_Qty_Per_Batch]*IFERROR(INDEX(PP_Grid[#Data],M_BOM[PPGridRow],32),0))+IFERROR(INDEX(M_RawMaterials[固定週次消費量_要入力],MATCH($A33,M_RawMaterials[Part Name],0)),0)</f>
        <v/>
      </c>
      <c r="AG33">
        <f>SUMPRODUCT((M_BOM[Part Name]=$A33)*M_BOM[RM_Qty_Per_Batch]*IFERROR(INDEX(PP_Grid[#Data],M_BOM[PPGridRow],33),0))+IFERROR(INDEX(M_RawMaterials[固定週次消費量_要入力],MATCH($A33,M_RawMaterials[Part Name],0)),0)</f>
        <v/>
      </c>
      <c r="AH33">
        <f>SUMPRODUCT((M_BOM[Part Name]=$A33)*M_BOM[RM_Qty_Per_Batch]*IFERROR(INDEX(PP_Grid[#Data],M_BOM[PPGridRow],34),0))+IFERROR(INDEX(M_RawMaterials[固定週次消費量_要入力],MATCH($A33,M_RawMaterials[Part Name],0)),0)</f>
        <v/>
      </c>
      <c r="AI33">
        <f>SUMPRODUCT((M_BOM[Part Name]=$A33)*M_BOM[RM_Qty_Per_Batch]*IFERROR(INDEX(PP_Grid[#Data],M_BOM[PPGridRow],35),0))+IFERROR(INDEX(M_RawMaterials[固定週次消費量_要入力],MATCH($A33,M_RawMaterials[Part Name],0)),0)</f>
        <v/>
      </c>
      <c r="AJ33">
        <f>SUMPRODUCT((M_BOM[Part Name]=$A33)*M_BOM[RM_Qty_Per_Batch]*IFERROR(INDEX(PP_Grid[#Data],M_BOM[PPGridRow],36),0))+IFERROR(INDEX(M_RawMaterials[固定週次消費量_要入力],MATCH($A33,M_RawMaterials[Part Name],0)),0)</f>
        <v/>
      </c>
      <c r="AK33">
        <f>SUMPRODUCT((M_BOM[Part Name]=$A33)*M_BOM[RM_Qty_Per_Batch]*IFERROR(INDEX(PP_Grid[#Data],M_BOM[PPGridRow],37),0))+IFERROR(INDEX(M_RawMaterials[固定週次消費量_要入力],MATCH($A33,M_RawMaterials[Part Name],0)),0)</f>
        <v/>
      </c>
      <c r="AL33">
        <f>SUMPRODUCT((M_BOM[Part Name]=$A33)*M_BOM[RM_Qty_Per_Batch]*IFERROR(INDEX(PP_Grid[#Data],M_BOM[PPGridRow],38),0))+IFERROR(INDEX(M_RawMaterials[固定週次消費量_要入力],MATCH($A33,M_RawMaterials[Part Name],0)),0)</f>
        <v/>
      </c>
      <c r="AM33">
        <f>SUMPRODUCT((M_BOM[Part Name]=$A33)*M_BOM[RM_Qty_Per_Batch]*IFERROR(INDEX(PP_Grid[#Data],M_BOM[PPGridRow],39),0))+IFERROR(INDEX(M_RawMaterials[固定週次消費量_要入力],MATCH($A33,M_RawMaterials[Part Name],0)),0)</f>
        <v/>
      </c>
      <c r="AN33">
        <f>SUMPRODUCT((M_BOM[Part Name]=$A33)*M_BOM[RM_Qty_Per_Batch]*IFERROR(INDEX(PP_Grid[#Data],M_BOM[PPGridRow],40),0))+IFERROR(INDEX(M_RawMaterials[固定週次消費量_要入力],MATCH($A33,M_RawMaterials[Part Name],0)),0)</f>
        <v/>
      </c>
      <c r="AO33">
        <f>SUMPRODUCT((M_BOM[Part Name]=$A33)*M_BOM[RM_Qty_Per_Batch]*IFERROR(INDEX(PP_Grid[#Data],M_BOM[PPGridRow],41),0))+IFERROR(INDEX(M_RawMaterials[固定週次消費量_要入力],MATCH($A33,M_RawMaterials[Part Name],0)),0)</f>
        <v/>
      </c>
      <c r="AP33">
        <f>SUMPRODUCT((M_BOM[Part Name]=$A33)*M_BOM[RM_Qty_Per_Batch]*IFERROR(INDEX(PP_Grid[#Data],M_BOM[PPGridRow],42),0))+IFERROR(INDEX(M_RawMaterials[固定週次消費量_要入力],MATCH($A33,M_RawMaterials[Part Name],0)),0)</f>
        <v/>
      </c>
      <c r="AQ33">
        <f>SUMPRODUCT((M_BOM[Part Name]=$A33)*M_BOM[RM_Qty_Per_Batch]*IFERROR(INDEX(PP_Grid[#Data],M_BOM[PPGridRow],43),0))+IFERROR(INDEX(M_RawMaterials[固定週次消費量_要入力],MATCH($A33,M_RawMaterials[Part Name],0)),0)</f>
        <v/>
      </c>
      <c r="AR33">
        <f>SUMPRODUCT((M_BOM[Part Name]=$A33)*M_BOM[RM_Qty_Per_Batch]*IFERROR(INDEX(PP_Grid[#Data],M_BOM[PPGridRow],44),0))+IFERROR(INDEX(M_RawMaterials[固定週次消費量_要入力],MATCH($A33,M_RawMaterials[Part Name],0)),0)</f>
        <v/>
      </c>
      <c r="AS33">
        <f>SUMPRODUCT((M_BOM[Part Name]=$A33)*M_BOM[RM_Qty_Per_Batch]*IFERROR(INDEX(PP_Grid[#Data],M_BOM[PPGridRow],45),0))+IFERROR(INDEX(M_RawMaterials[固定週次消費量_要入力],MATCH($A33,M_RawMaterials[Part Name],0)),0)</f>
        <v/>
      </c>
      <c r="AT33">
        <f>SUMPRODUCT((M_BOM[Part Name]=$A33)*M_BOM[RM_Qty_Per_Batch]*IFERROR(INDEX(PP_Grid[#Data],M_BOM[PPGridRow],46),0))+IFERROR(INDEX(M_RawMaterials[固定週次消費量_要入力],MATCH($A33,M_RawMaterials[Part Name],0)),0)</f>
        <v/>
      </c>
      <c r="AU33">
        <f>SUMPRODUCT((M_BOM[Part Name]=$A33)*M_BOM[RM_Qty_Per_Batch]*IFERROR(INDEX(PP_Grid[#Data],M_BOM[PPGridRow],47),0))+IFERROR(INDEX(M_RawMaterials[固定週次消費量_要入力],MATCH($A33,M_RawMaterials[Part Name],0)),0)</f>
        <v/>
      </c>
      <c r="AV33">
        <f>SUMPRODUCT((M_BOM[Part Name]=$A33)*M_BOM[RM_Qty_Per_Batch]*IFERROR(INDEX(PP_Grid[#Data],M_BOM[PPGridRow],48),0))+IFERROR(INDEX(M_RawMaterials[固定週次消費量_要入力],MATCH($A33,M_RawMaterials[Part Name],0)),0)</f>
        <v/>
      </c>
      <c r="AW33">
        <f>SUMPRODUCT((M_BOM[Part Name]=$A33)*M_BOM[RM_Qty_Per_Batch]*IFERROR(INDEX(PP_Grid[#Data],M_BOM[PPGridRow],49),0))+IFERROR(INDEX(M_RawMaterials[固定週次消費量_要入力],MATCH($A33,M_RawMaterials[Part Name],0)),0)</f>
        <v/>
      </c>
      <c r="AX33">
        <f>SUMPRODUCT((M_BOM[Part Name]=$A33)*M_BOM[RM_Qty_Per_Batch]*IFERROR(INDEX(PP_Grid[#Data],M_BOM[PPGridRow],50),0))+IFERROR(INDEX(M_RawMaterials[固定週次消費量_要入力],MATCH($A33,M_RawMaterials[Part Name],0)),0)</f>
        <v/>
      </c>
      <c r="AY33">
        <f>SUMPRODUCT((M_BOM[Part Name]=$A33)*M_BOM[RM_Qty_Per_Batch]*IFERROR(INDEX(PP_Grid[#Data],M_BOM[PPGridRow],51),0))+IFERROR(INDEX(M_RawMaterials[固定週次消費量_要入力],MATCH($A33,M_RawMaterials[Part Name],0)),0)</f>
        <v/>
      </c>
      <c r="AZ33">
        <f>SUMPRODUCT((M_BOM[Part Name]=$A33)*M_BOM[RM_Qty_Per_Batch]*IFERROR(INDEX(PP_Grid[#Data],M_BOM[PPGridRow],52),0))+IFERROR(INDEX(M_RawMaterials[固定週次消費量_要入力],MATCH($A33,M_RawMaterials[Part Name],0)),0)</f>
        <v/>
      </c>
      <c r="BA33">
        <f>SUMPRODUCT((M_BOM[Part Name]=$A33)*M_BOM[RM_Qty_Per_Batch]*IFERROR(INDEX(PP_Grid[#Data],M_BOM[PPGridRow],53),0))+IFERROR(INDEX(M_RawMaterials[固定週次消費量_要入力],MATCH($A33,M_RawMaterials[Part Name],0)),0)</f>
        <v/>
      </c>
      <c r="BB33">
        <f>SUMPRODUCT((M_BOM[Part Name]=$A33)*M_BOM[RM_Qty_Per_Batch]*IFERROR(INDEX(PP_Grid[#Data],M_BOM[PPGridRow],54),0))+IFERROR(INDEX(M_RawMaterials[固定週次消費量_要入力],MATCH($A33,M_RawMaterials[Part Name],0)),0)</f>
        <v/>
      </c>
      <c r="BC33">
        <f>SUMPRODUCT((M_BOM[Part Name]=$A33)*M_BOM[RM_Qty_Per_Batch]*IFERROR(INDEX(PP_Grid[#Data],M_BOM[PPGridRow],55),0))+IFERROR(INDEX(M_RawMaterials[固定週次消費量_要入力],MATCH($A33,M_RawMaterials[Part Name],0)),0)</f>
        <v/>
      </c>
      <c r="BD33">
        <f>SUMPRODUCT((M_BOM[Part Name]=$A33)*M_BOM[RM_Qty_Per_Batch]*IFERROR(INDEX(PP_Grid[#Data],M_BOM[PPGridRow],56),0))+IFERROR(INDEX(M_RawMaterials[固定週次消費量_要入力],MATCH($A33,M_RawMaterials[Part Name],0)),0)</f>
        <v/>
      </c>
      <c r="BE33">
        <f>SUMPRODUCT((M_BOM[Part Name]=$A33)*M_BOM[RM_Qty_Per_Batch]*IFERROR(INDEX(PP_Grid[#Data],M_BOM[PPGridRow],57),0))+IFERROR(INDEX(M_RawMaterials[固定週次消費量_要入力],MATCH($A33,M_RawMaterials[Part Name],0)),0)</f>
        <v/>
      </c>
      <c r="BF33">
        <f>SUMPRODUCT((M_BOM[Part Name]=$A33)*M_BOM[RM_Qty_Per_Batch]*IFERROR(INDEX(PP_Grid[#Data],M_BOM[PPGridRow],58),0))+IFERROR(INDEX(M_RawMaterials[固定週次消費量_要入力],MATCH($A33,M_RawMaterials[Part Name],0)),0)</f>
        <v/>
      </c>
      <c r="BG33">
        <f>SUMPRODUCT((M_BOM[Part Name]=$A33)*M_BOM[RM_Qty_Per_Batch]*IFERROR(INDEX(PP_Grid[#Data],M_BOM[PPGridRow],59),0))+IFERROR(INDEX(M_RawMaterials[固定週次消費量_要入力],MATCH($A33,M_RawMaterials[Part Name],0)),0)</f>
        <v/>
      </c>
      <c r="BH33">
        <f>SUMPRODUCT((M_BOM[Part Name]=$A33)*M_BOM[RM_Qty_Per_Batch]*IFERROR(INDEX(PP_Grid[#Data],M_BOM[PPGridRow],60),0))+IFERROR(INDEX(M_RawMaterials[固定週次消費量_要入力],MATCH($A33,M_RawMaterials[Part Name],0)),0)</f>
        <v/>
      </c>
      <c r="BI33">
        <f>SUMPRODUCT((M_BOM[Part Name]=$A33)*M_BOM[RM_Qty_Per_Batch]*IFERROR(INDEX(PP_Grid[#Data],M_BOM[PPGridRow],61),0))+IFERROR(INDEX(M_RawMaterials[固定週次消費量_要入力],MATCH($A33,M_RawMaterials[Part Name],0)),0)</f>
        <v/>
      </c>
      <c r="BJ33">
        <f>SUMPRODUCT((M_BOM[Part Name]=$A33)*M_BOM[RM_Qty_Per_Batch]*IFERROR(INDEX(PP_Grid[#Data],M_BOM[PPGridRow],62),0))+IFERROR(INDEX(M_RawMaterials[固定週次消費量_要入力],MATCH($A33,M_RawMaterials[Part Name],0)),0)</f>
        <v/>
      </c>
      <c r="BK33">
        <f>SUMPRODUCT((M_BOM[Part Name]=$A33)*M_BOM[RM_Qty_Per_Batch]*IFERROR(INDEX(PP_Grid[#Data],M_BOM[PPGridRow],63),0))+IFERROR(INDEX(M_RawMaterials[固定週次消費量_要入力],MATCH($A33,M_RawMaterials[Part Name],0)),0)</f>
        <v/>
      </c>
      <c r="BL33">
        <f>SUMPRODUCT((M_BOM[Part Name]=$A33)*M_BOM[RM_Qty_Per_Batch]*IFERROR(INDEX(PP_Grid[#Data],M_BOM[PPGridRow],64),0))+IFERROR(INDEX(M_RawMaterials[固定週次消費量_要入力],MATCH($A33,M_RawMaterials[Part Name],0)),0)</f>
        <v/>
      </c>
      <c r="BM33">
        <f>SUMPRODUCT((M_BOM[Part Name]=$A33)*M_BOM[RM_Qty_Per_Batch]*IFERROR(INDEX(PP_Grid[#Data],M_BOM[PPGridRow],65),0))+IFERROR(INDEX(M_RawMaterials[固定週次消費量_要入力],MATCH($A33,M_RawMaterials[Part Name],0)),0)</f>
        <v/>
      </c>
      <c r="BN33">
        <f>SUMPRODUCT((M_BOM[Part Name]=$A33)*M_BOM[RM_Qty_Per_Batch]*IFERROR(INDEX(PP_Grid[#Data],M_BOM[PPGridRow],66),0))+IFERROR(INDEX(M_RawMaterials[固定週次消費量_要入力],MATCH($A33,M_RawMaterials[Part Name],0)),0)</f>
        <v/>
      </c>
      <c r="BO33">
        <f>SUMPRODUCT((M_BOM[Part Name]=$A33)*M_BOM[RM_Qty_Per_Batch]*IFERROR(INDEX(PP_Grid[#Data],M_BOM[PPGridRow],67),0))+IFERROR(INDEX(M_RawMaterials[固定週次消費量_要入力],MATCH($A33,M_RawMaterials[Part Name],0)),0)</f>
        <v/>
      </c>
      <c r="BP33">
        <f>SUMPRODUCT((M_BOM[Part Name]=$A33)*M_BOM[RM_Qty_Per_Batch]*IFERROR(INDEX(PP_Grid[#Data],M_BOM[PPGridRow],68),0))+IFERROR(INDEX(M_RawMaterials[固定週次消費量_要入力],MATCH($A33,M_RawMaterials[Part Name],0)),0)</f>
        <v/>
      </c>
      <c r="BQ33">
        <f>SUMPRODUCT((M_BOM[Part Name]=$A33)*M_BOM[RM_Qty_Per_Batch]*IFERROR(INDEX(PP_Grid[#Data],M_BOM[PPGridRow],69),0))+IFERROR(INDEX(M_RawMaterials[固定週次消費量_要入力],MATCH($A33,M_RawMaterials[Part Name],0)),0)</f>
        <v/>
      </c>
      <c r="BR33">
        <f>SUMPRODUCT((M_BOM[Part Name]=$A33)*M_BOM[RM_Qty_Per_Batch]*IFERROR(INDEX(PP_Grid[#Data],M_BOM[PPGridRow],70),0))+IFERROR(INDEX(M_RawMaterials[固定週次消費量_要入力],MATCH($A33,M_RawMaterials[Part Name],0)),0)</f>
        <v/>
      </c>
      <c r="BS33">
        <f>SUMPRODUCT((M_BOM[Part Name]=$A33)*M_BOM[RM_Qty_Per_Batch]*IFERROR(INDEX(PP_Grid[#Data],M_BOM[PPGridRow],71),0))+IFERROR(INDEX(M_RawMaterials[固定週次消費量_要入力],MATCH($A33,M_RawMaterials[Part Name],0)),0)</f>
        <v/>
      </c>
      <c r="BT33">
        <f>SUMPRODUCT((M_BOM[Part Name]=$A33)*M_BOM[RM_Qty_Per_Batch]*IFERROR(INDEX(PP_Grid[#Data],M_BOM[PPGridRow],72),0))+IFERROR(INDEX(M_RawMaterials[固定週次消費量_要入力],MATCH($A33,M_RawMaterials[Part Name],0)),0)</f>
        <v/>
      </c>
      <c r="BU33">
        <f>SUMPRODUCT((M_BOM[Part Name]=$A33)*M_BOM[RM_Qty_Per_Batch]*IFERROR(INDEX(PP_Grid[#Data],M_BOM[PPGridRow],73),0))+IFERROR(INDEX(M_RawMaterials[固定週次消費量_要入力],MATCH($A33,M_RawMaterials[Part Name],0)),0)</f>
        <v/>
      </c>
      <c r="BV33">
        <f>SUMPRODUCT((M_BOM[Part Name]=$A33)*M_BOM[RM_Qty_Per_Batch]*IFERROR(INDEX(PP_Grid[#Data],M_BOM[PPGridRow],74),0))+IFERROR(INDEX(M_RawMaterials[固定週次消費量_要入力],MATCH($A33,M_RawMaterials[Part Name],0)),0)</f>
        <v/>
      </c>
      <c r="BW33">
        <f>SUMPRODUCT((M_BOM[Part Name]=$A33)*M_BOM[RM_Qty_Per_Batch]*IFERROR(INDEX(PP_Grid[#Data],M_BOM[PPGridRow],75),0))+IFERROR(INDEX(M_RawMaterials[固定週次消費量_要入力],MATCH($A33,M_RawMaterials[Part Name],0)),0)</f>
        <v/>
      </c>
      <c r="BX33">
        <f>SUMPRODUCT((M_BOM[Part Name]=$A33)*M_BOM[RM_Qty_Per_Batch]*IFERROR(INDEX(PP_Grid[#Data],M_BOM[PPGridRow],76),0))+IFERROR(INDEX(M_RawMaterials[固定週次消費量_要入力],MATCH($A33,M_RawMaterials[Part Name],0)),0)</f>
        <v/>
      </c>
      <c r="BY33">
        <f>SUMPRODUCT((M_BOM[Part Name]=$A33)*M_BOM[RM_Qty_Per_Batch]*IFERROR(INDEX(PP_Grid[#Data],M_BOM[PPGridRow],77),0))+IFERROR(INDEX(M_RawMaterials[固定週次消費量_要入力],MATCH($A33,M_RawMaterials[Part Name],0)),0)</f>
        <v/>
      </c>
      <c r="BZ33">
        <f>SUMPRODUCT((M_BOM[Part Name]=$A33)*M_BOM[RM_Qty_Per_Batch]*IFERROR(INDEX(PP_Grid[#Data],M_BOM[PPGridRow],78),0))+IFERROR(INDEX(M_RawMaterials[固定週次消費量_要入力],MATCH($A33,M_RawMaterials[Part Name],0)),0)</f>
        <v/>
      </c>
      <c r="CA33">
        <f>SUMPRODUCT((M_BOM[Part Name]=$A33)*M_BOM[RM_Qty_Per_Batch]*IFERROR(INDEX(PP_Grid[#Data],M_BOM[PPGridRow],79),0))+IFERROR(INDEX(M_RawMaterials[固定週次消費量_要入力],MATCH($A33,M_RawMaterials[Part Name],0)),0)</f>
        <v/>
      </c>
      <c r="CB33">
        <f>SUMPRODUCT((M_BOM[Part Name]=$A33)*M_BOM[RM_Qty_Per_Batch]*IFERROR(INDEX(PP_Grid[#Data],M_BOM[PPGridRow],80),0))+IFERROR(INDEX(M_RawMaterials[固定週次消費量_要入力],MATCH($A33,M_RawMaterials[Part Name],0)),0)</f>
        <v/>
      </c>
      <c r="CC33">
        <f>SUMPRODUCT((M_BOM[Part Name]=$A33)*M_BOM[RM_Qty_Per_Batch]*IFERROR(INDEX(PP_Grid[#Data],M_BOM[PPGridRow],81),0))+IFERROR(INDEX(M_RawMaterials[固定週次消費量_要入力],MATCH($A33,M_RawMaterials[Part Name],0)),0)</f>
        <v/>
      </c>
      <c r="CD33">
        <f>SUMPRODUCT((M_BOM[Part Name]=$A33)*M_BOM[RM_Qty_Per_Batch]*IFERROR(INDEX(PP_Grid[#Data],M_BOM[PPGridRow],82),0))+IFERROR(INDEX(M_RawMaterials[固定週次消費量_要入力],MATCH($A33,M_RawMaterials[Part Name],0)),0)</f>
        <v/>
      </c>
      <c r="CE33">
        <f>SUMPRODUCT((M_BOM[Part Name]=$A33)*M_BOM[RM_Qty_Per_Batch]*IFERROR(INDEX(PP_Grid[#Data],M_BOM[PPGridRow],83),0))+IFERROR(INDEX(M_RawMaterials[固定週次消費量_要入力],MATCH($A33,M_RawMaterials[Part Name],0)),0)</f>
        <v/>
      </c>
      <c r="CF33">
        <f>SUMPRODUCT((M_BOM[Part Name]=$A33)*M_BOM[RM_Qty_Per_Batch]*IFERROR(INDEX(PP_Grid[#Data],M_BOM[PPGridRow],84),0))+IFERROR(INDEX(M_RawMaterials[固定週次消費量_要入力],MATCH($A33,M_RawMaterials[Part Name],0)),0)</f>
        <v/>
      </c>
      <c r="CG33">
        <f>SUMPRODUCT((M_BOM[Part Name]=$A33)*M_BOM[RM_Qty_Per_Batch]*IFERROR(INDEX(PP_Grid[#Data],M_BOM[PPGridRow],85),0))+IFERROR(INDEX(M_RawMaterials[固定週次消費量_要入力],MATCH($A33,M_RawMaterials[Part Name],0)),0)</f>
        <v/>
      </c>
      <c r="CH33">
        <f>SUMPRODUCT((M_BOM[Part Name]=$A33)*M_BOM[RM_Qty_Per_Batch]*IFERROR(INDEX(PP_Grid[#Data],M_BOM[PPGridRow],86),0))+IFERROR(INDEX(M_RawMaterials[固定週次消費量_要入力],MATCH($A33,M_RawMaterials[Part Name],0)),0)</f>
        <v/>
      </c>
      <c r="CI33">
        <f>SUMPRODUCT((M_BOM[Part Name]=$A33)*M_BOM[RM_Qty_Per_Batch]*IFERROR(INDEX(PP_Grid[#Data],M_BOM[PPGridRow],87),0))+IFERROR(INDEX(M_RawMaterials[固定週次消費量_要入力],MATCH($A33,M_RawMaterials[Part Name],0)),0)</f>
        <v/>
      </c>
      <c r="CJ33">
        <f>SUMPRODUCT((M_BOM[Part Name]=$A33)*M_BOM[RM_Qty_Per_Batch]*IFERROR(INDEX(PP_Grid[#Data],M_BOM[PPGridRow],88),0))+IFERROR(INDEX(M_RawMaterials[固定週次消費量_要入力],MATCH($A33,M_RawMaterials[Part Name],0)),0)</f>
        <v/>
      </c>
      <c r="CK33">
        <f>SUMPRODUCT((M_BOM[Part Name]=$A33)*M_BOM[RM_Qty_Per_Batch]*IFERROR(INDEX(PP_Grid[#Data],M_BOM[PPGridRow],89),0))+IFERROR(INDEX(M_RawMaterials[固定週次消費量_要入力],MATCH($A33,M_RawMaterials[Part Name],0)),0)</f>
        <v/>
      </c>
      <c r="CL33">
        <f>SUMPRODUCT((M_BOM[Part Name]=$A33)*M_BOM[RM_Qty_Per_Batch]*IFERROR(INDEX(PP_Grid[#Data],M_BOM[PPGridRow],90),0))+IFERROR(INDEX(M_RawMaterials[固定週次消費量_要入力],MATCH($A33,M_RawMaterials[Part Name],0)),0)</f>
        <v/>
      </c>
      <c r="CM33">
        <f>SUMPRODUCT((M_BOM[Part Name]=$A33)*M_BOM[RM_Qty_Per_Batch]*IFERROR(INDEX(PP_Grid[#Data],M_BOM[PPGridRow],91),0))+IFERROR(INDEX(M_RawMaterials[固定週次消費量_要入力],MATCH($A33,M_RawMaterials[Part Name],0)),0)</f>
        <v/>
      </c>
      <c r="CN33">
        <f>SUMPRODUCT((M_BOM[Part Name]=$A33)*M_BOM[RM_Qty_Per_Batch]*IFERROR(INDEX(PP_Grid[#Data],M_BOM[PPGridRow],92),0))+IFERROR(INDEX(M_RawMaterials[固定週次消費量_要入力],MATCH($A33,M_RawMaterials[Part Name],0)),0)</f>
        <v/>
      </c>
      <c r="CO33">
        <f>SUMPRODUCT((M_BOM[Part Name]=$A33)*M_BOM[RM_Qty_Per_Batch]*IFERROR(INDEX(PP_Grid[#Data],M_BOM[PPGridRow],93),0))+IFERROR(INDEX(M_RawMaterials[固定週次消費量_要入力],MATCH($A33,M_RawMaterials[Part Name],0)),0)</f>
        <v/>
      </c>
      <c r="CP33">
        <f>SUMPRODUCT((M_BOM[Part Name]=$A33)*M_BOM[RM_Qty_Per_Batch]*IFERROR(INDEX(PP_Grid[#Data],M_BOM[PPGridRow],94),0))+IFERROR(INDEX(M_RawMaterials[固定週次消費量_要入力],MATCH($A33,M_RawMaterials[Part Name],0)),0)</f>
        <v/>
      </c>
      <c r="CQ33">
        <f>SUMPRODUCT((M_BOM[Part Name]=$A33)*M_BOM[RM_Qty_Per_Batch]*IFERROR(INDEX(PP_Grid[#Data],M_BOM[PPGridRow],95),0))+IFERROR(INDEX(M_RawMaterials[固定週次消費量_要入力],MATCH($A33,M_RawMaterials[Part Name],0)),0)</f>
        <v/>
      </c>
      <c r="CR33">
        <f>SUMPRODUCT((M_BOM[Part Name]=$A33)*M_BOM[RM_Qty_Per_Batch]*IFERROR(INDEX(PP_Grid[#Data],M_BOM[PPGridRow],96),0))+IFERROR(INDEX(M_RawMaterials[固定週次消費量_要入力],MATCH($A33,M_RawMaterials[Part Name],0)),0)</f>
        <v/>
      </c>
      <c r="CS33">
        <f>SUMPRODUCT((M_BOM[Part Name]=$A33)*M_BOM[RM_Qty_Per_Batch]*IFERROR(INDEX(PP_Grid[#Data],M_BOM[PPGridRow],97),0))+IFERROR(INDEX(M_RawMaterials[固定週次消費量_要入力],MATCH($A33,M_RawMaterials[Part Name],0)),0)</f>
        <v/>
      </c>
      <c r="CT33">
        <f>SUMPRODUCT((M_BOM[Part Name]=$A33)*M_BOM[RM_Qty_Per_Batch]*IFERROR(INDEX(PP_Grid[#Data],M_BOM[PPGridRow],98),0))+IFERROR(INDEX(M_RawMaterials[固定週次消費量_要入力],MATCH($A33,M_RawMaterials[Part Name],0)),0)</f>
        <v/>
      </c>
      <c r="CU33">
        <f>SUMPRODUCT((M_BOM[Part Name]=$A33)*M_BOM[RM_Qty_Per_Batch]*IFERROR(INDEX(PP_Grid[#Data],M_BOM[PPGridRow],99),0))+IFERROR(INDEX(M_RawMaterials[固定週次消費量_要入力],MATCH($A33,M_RawMaterials[Part Name],0)),0)</f>
        <v/>
      </c>
      <c r="CV33">
        <f>SUMPRODUCT((M_BOM[Part Name]=$A33)*M_BOM[RM_Qty_Per_Batch]*IFERROR(INDEX(PP_Grid[#Data],M_BOM[PPGridRow],100),0))+IFERROR(INDEX(M_RawMaterials[固定週次消費量_要入力],MATCH($A33,M_RawMaterials[Part Name],0)),0)</f>
        <v/>
      </c>
      <c r="CW33">
        <f>SUMPRODUCT((M_BOM[Part Name]=$A33)*M_BOM[RM_Qty_Per_Batch]*IFERROR(INDEX(PP_Grid[#Data],M_BOM[PPGridRow],101),0))+IFERROR(INDEX(M_RawMaterials[固定週次消費量_要入力],MATCH($A33,M_RawMaterials[Part Name],0)),0)</f>
        <v/>
      </c>
      <c r="CX33">
        <f>SUMPRODUCT((M_BOM[Part Name]=$A33)*M_BOM[RM_Qty_Per_Batch]*IFERROR(INDEX(PP_Grid[#Data],M_BOM[PPGridRow],102),0))+IFERROR(INDEX(M_RawMaterials[固定週次消費量_要入力],MATCH($A33,M_RawMaterials[Part Name],0)),0)</f>
        <v/>
      </c>
      <c r="CY33">
        <f>SUMPRODUCT((M_BOM[Part Name]=$A33)*M_BOM[RM_Qty_Per_Batch]*IFERROR(INDEX(PP_Grid[#Data],M_BOM[PPGridRow],103),0))+IFERROR(INDEX(M_RawMaterials[固定週次消費量_要入力],MATCH($A33,M_RawMaterials[Part Name],0)),0)</f>
        <v/>
      </c>
      <c r="CZ33">
        <f>SUMPRODUCT((M_BOM[Part Name]=$A33)*M_BOM[RM_Qty_Per_Batch]*IFERROR(INDEX(PP_Grid[#Data],M_BOM[PPGridRow],104),0))+IFERROR(INDEX(M_RawMaterials[固定週次消費量_要入力],MATCH($A33,M_RawMaterials[Part Name],0)),0)</f>
        <v/>
      </c>
      <c r="DA33">
        <f>SUMPRODUCT((M_BOM[Part Name]=$A33)*M_BOM[RM_Qty_Per_Batch]*IFERROR(INDEX(PP_Grid[#Data],M_BOM[PPGridRow],105),0))+IFERROR(INDEX(M_RawMaterials[固定週次消費量_要入力],MATCH($A33,M_RawMaterials[Part Name],0)),0)</f>
        <v/>
      </c>
    </row>
    <row r="34">
      <c r="A34" t="inlineStr">
        <is>
          <t>CHEM-1650</t>
        </is>
      </c>
      <c r="B34">
        <f>SUMPRODUCT((M_BOM[Part Name]=$A34)*M_BOM[RM_Qty_Per_Batch]*IFERROR(INDEX(PP_Grid[#Data],M_BOM[PPGridRow],2),0))+IFERROR(INDEX(M_RawMaterials[固定週次消費量_要入力],MATCH($A34,M_RawMaterials[Part Name],0)),0)</f>
        <v/>
      </c>
      <c r="C34">
        <f>SUMPRODUCT((M_BOM[Part Name]=$A34)*M_BOM[RM_Qty_Per_Batch]*IFERROR(INDEX(PP_Grid[#Data],M_BOM[PPGridRow],3),0))+IFERROR(INDEX(M_RawMaterials[固定週次消費量_要入力],MATCH($A34,M_RawMaterials[Part Name],0)),0)</f>
        <v/>
      </c>
      <c r="D34">
        <f>SUMPRODUCT((M_BOM[Part Name]=$A34)*M_BOM[RM_Qty_Per_Batch]*IFERROR(INDEX(PP_Grid[#Data],M_BOM[PPGridRow],4),0))+IFERROR(INDEX(M_RawMaterials[固定週次消費量_要入力],MATCH($A34,M_RawMaterials[Part Name],0)),0)</f>
        <v/>
      </c>
      <c r="E34">
        <f>SUMPRODUCT((M_BOM[Part Name]=$A34)*M_BOM[RM_Qty_Per_Batch]*IFERROR(INDEX(PP_Grid[#Data],M_BOM[PPGridRow],5),0))+IFERROR(INDEX(M_RawMaterials[固定週次消費量_要入力],MATCH($A34,M_RawMaterials[Part Name],0)),0)</f>
        <v/>
      </c>
      <c r="F34">
        <f>SUMPRODUCT((M_BOM[Part Name]=$A34)*M_BOM[RM_Qty_Per_Batch]*IFERROR(INDEX(PP_Grid[#Data],M_BOM[PPGridRow],6),0))+IFERROR(INDEX(M_RawMaterials[固定週次消費量_要入力],MATCH($A34,M_RawMaterials[Part Name],0)),0)</f>
        <v/>
      </c>
      <c r="G34">
        <f>SUMPRODUCT((M_BOM[Part Name]=$A34)*M_BOM[RM_Qty_Per_Batch]*IFERROR(INDEX(PP_Grid[#Data],M_BOM[PPGridRow],7),0))+IFERROR(INDEX(M_RawMaterials[固定週次消費量_要入力],MATCH($A34,M_RawMaterials[Part Name],0)),0)</f>
        <v/>
      </c>
      <c r="H34">
        <f>SUMPRODUCT((M_BOM[Part Name]=$A34)*M_BOM[RM_Qty_Per_Batch]*IFERROR(INDEX(PP_Grid[#Data],M_BOM[PPGridRow],8),0))+IFERROR(INDEX(M_RawMaterials[固定週次消費量_要入力],MATCH($A34,M_RawMaterials[Part Name],0)),0)</f>
        <v/>
      </c>
      <c r="I34">
        <f>SUMPRODUCT((M_BOM[Part Name]=$A34)*M_BOM[RM_Qty_Per_Batch]*IFERROR(INDEX(PP_Grid[#Data],M_BOM[PPGridRow],9),0))+IFERROR(INDEX(M_RawMaterials[固定週次消費量_要入力],MATCH($A34,M_RawMaterials[Part Name],0)),0)</f>
        <v/>
      </c>
      <c r="J34">
        <f>SUMPRODUCT((M_BOM[Part Name]=$A34)*M_BOM[RM_Qty_Per_Batch]*IFERROR(INDEX(PP_Grid[#Data],M_BOM[PPGridRow],10),0))+IFERROR(INDEX(M_RawMaterials[固定週次消費量_要入力],MATCH($A34,M_RawMaterials[Part Name],0)),0)</f>
        <v/>
      </c>
      <c r="K34">
        <f>SUMPRODUCT((M_BOM[Part Name]=$A34)*M_BOM[RM_Qty_Per_Batch]*IFERROR(INDEX(PP_Grid[#Data],M_BOM[PPGridRow],11),0))+IFERROR(INDEX(M_RawMaterials[固定週次消費量_要入力],MATCH($A34,M_RawMaterials[Part Name],0)),0)</f>
        <v/>
      </c>
      <c r="L34">
        <f>SUMPRODUCT((M_BOM[Part Name]=$A34)*M_BOM[RM_Qty_Per_Batch]*IFERROR(INDEX(PP_Grid[#Data],M_BOM[PPGridRow],12),0))+IFERROR(INDEX(M_RawMaterials[固定週次消費量_要入力],MATCH($A34,M_RawMaterials[Part Name],0)),0)</f>
        <v/>
      </c>
      <c r="M34">
        <f>SUMPRODUCT((M_BOM[Part Name]=$A34)*M_BOM[RM_Qty_Per_Batch]*IFERROR(INDEX(PP_Grid[#Data],M_BOM[PPGridRow],13),0))+IFERROR(INDEX(M_RawMaterials[固定週次消費量_要入力],MATCH($A34,M_RawMaterials[Part Name],0)),0)</f>
        <v/>
      </c>
      <c r="N34">
        <f>SUMPRODUCT((M_BOM[Part Name]=$A34)*M_BOM[RM_Qty_Per_Batch]*IFERROR(INDEX(PP_Grid[#Data],M_BOM[PPGridRow],14),0))+IFERROR(INDEX(M_RawMaterials[固定週次消費量_要入力],MATCH($A34,M_RawMaterials[Part Name],0)),0)</f>
        <v/>
      </c>
      <c r="O34">
        <f>SUMPRODUCT((M_BOM[Part Name]=$A34)*M_BOM[RM_Qty_Per_Batch]*IFERROR(INDEX(PP_Grid[#Data],M_BOM[PPGridRow],15),0))+IFERROR(INDEX(M_RawMaterials[固定週次消費量_要入力],MATCH($A34,M_RawMaterials[Part Name],0)),0)</f>
        <v/>
      </c>
      <c r="P34">
        <f>SUMPRODUCT((M_BOM[Part Name]=$A34)*M_BOM[RM_Qty_Per_Batch]*IFERROR(INDEX(PP_Grid[#Data],M_BOM[PPGridRow],16),0))+IFERROR(INDEX(M_RawMaterials[固定週次消費量_要入力],MATCH($A34,M_RawMaterials[Part Name],0)),0)</f>
        <v/>
      </c>
      <c r="Q34">
        <f>SUMPRODUCT((M_BOM[Part Name]=$A34)*M_BOM[RM_Qty_Per_Batch]*IFERROR(INDEX(PP_Grid[#Data],M_BOM[PPGridRow],17),0))+IFERROR(INDEX(M_RawMaterials[固定週次消費量_要入力],MATCH($A34,M_RawMaterials[Part Name],0)),0)</f>
        <v/>
      </c>
      <c r="R34">
        <f>SUMPRODUCT((M_BOM[Part Name]=$A34)*M_BOM[RM_Qty_Per_Batch]*IFERROR(INDEX(PP_Grid[#Data],M_BOM[PPGridRow],18),0))+IFERROR(INDEX(M_RawMaterials[固定週次消費量_要入力],MATCH($A34,M_RawMaterials[Part Name],0)),0)</f>
        <v/>
      </c>
      <c r="S34">
        <f>SUMPRODUCT((M_BOM[Part Name]=$A34)*M_BOM[RM_Qty_Per_Batch]*IFERROR(INDEX(PP_Grid[#Data],M_BOM[PPGridRow],19),0))+IFERROR(INDEX(M_RawMaterials[固定週次消費量_要入力],MATCH($A34,M_RawMaterials[Part Name],0)),0)</f>
        <v/>
      </c>
      <c r="T34">
        <f>SUMPRODUCT((M_BOM[Part Name]=$A34)*M_BOM[RM_Qty_Per_Batch]*IFERROR(INDEX(PP_Grid[#Data],M_BOM[PPGridRow],20),0))+IFERROR(INDEX(M_RawMaterials[固定週次消費量_要入力],MATCH($A34,M_RawMaterials[Part Name],0)),0)</f>
        <v/>
      </c>
      <c r="U34">
        <f>SUMPRODUCT((M_BOM[Part Name]=$A34)*M_BOM[RM_Qty_Per_Batch]*IFERROR(INDEX(PP_Grid[#Data],M_BOM[PPGridRow],21),0))+IFERROR(INDEX(M_RawMaterials[固定週次消費量_要入力],MATCH($A34,M_RawMaterials[Part Name],0)),0)</f>
        <v/>
      </c>
      <c r="V34">
        <f>SUMPRODUCT((M_BOM[Part Name]=$A34)*M_BOM[RM_Qty_Per_Batch]*IFERROR(INDEX(PP_Grid[#Data],M_BOM[PPGridRow],22),0))+IFERROR(INDEX(M_RawMaterials[固定週次消費量_要入力],MATCH($A34,M_RawMaterials[Part Name],0)),0)</f>
        <v/>
      </c>
      <c r="W34">
        <f>SUMPRODUCT((M_BOM[Part Name]=$A34)*M_BOM[RM_Qty_Per_Batch]*IFERROR(INDEX(PP_Grid[#Data],M_BOM[PPGridRow],23),0))+IFERROR(INDEX(M_RawMaterials[固定週次消費量_要入力],MATCH($A34,M_RawMaterials[Part Name],0)),0)</f>
        <v/>
      </c>
      <c r="X34">
        <f>SUMPRODUCT((M_BOM[Part Name]=$A34)*M_BOM[RM_Qty_Per_Batch]*IFERROR(INDEX(PP_Grid[#Data],M_BOM[PPGridRow],24),0))+IFERROR(INDEX(M_RawMaterials[固定週次消費量_要入力],MATCH($A34,M_RawMaterials[Part Name],0)),0)</f>
        <v/>
      </c>
      <c r="Y34">
        <f>SUMPRODUCT((M_BOM[Part Name]=$A34)*M_BOM[RM_Qty_Per_Batch]*IFERROR(INDEX(PP_Grid[#Data],M_BOM[PPGridRow],25),0))+IFERROR(INDEX(M_RawMaterials[固定週次消費量_要入力],MATCH($A34,M_RawMaterials[Part Name],0)),0)</f>
        <v/>
      </c>
      <c r="Z34">
        <f>SUMPRODUCT((M_BOM[Part Name]=$A34)*M_BOM[RM_Qty_Per_Batch]*IFERROR(INDEX(PP_Grid[#Data],M_BOM[PPGridRow],26),0))+IFERROR(INDEX(M_RawMaterials[固定週次消費量_要入力],MATCH($A34,M_RawMaterials[Part Name],0)),0)</f>
        <v/>
      </c>
      <c r="AA34">
        <f>SUMPRODUCT((M_BOM[Part Name]=$A34)*M_BOM[RM_Qty_Per_Batch]*IFERROR(INDEX(PP_Grid[#Data],M_BOM[PPGridRow],27),0))+IFERROR(INDEX(M_RawMaterials[固定週次消費量_要入力],MATCH($A34,M_RawMaterials[Part Name],0)),0)</f>
        <v/>
      </c>
      <c r="AB34">
        <f>SUMPRODUCT((M_BOM[Part Name]=$A34)*M_BOM[RM_Qty_Per_Batch]*IFERROR(INDEX(PP_Grid[#Data],M_BOM[PPGridRow],28),0))+IFERROR(INDEX(M_RawMaterials[固定週次消費量_要入力],MATCH($A34,M_RawMaterials[Part Name],0)),0)</f>
        <v/>
      </c>
      <c r="AC34">
        <f>SUMPRODUCT((M_BOM[Part Name]=$A34)*M_BOM[RM_Qty_Per_Batch]*IFERROR(INDEX(PP_Grid[#Data],M_BOM[PPGridRow],29),0))+IFERROR(INDEX(M_RawMaterials[固定週次消費量_要入力],MATCH($A34,M_RawMaterials[Part Name],0)),0)</f>
        <v/>
      </c>
      <c r="AD34">
        <f>SUMPRODUCT((M_BOM[Part Name]=$A34)*M_BOM[RM_Qty_Per_Batch]*IFERROR(INDEX(PP_Grid[#Data],M_BOM[PPGridRow],30),0))+IFERROR(INDEX(M_RawMaterials[固定週次消費量_要入力],MATCH($A34,M_RawMaterials[Part Name],0)),0)</f>
        <v/>
      </c>
      <c r="AE34">
        <f>SUMPRODUCT((M_BOM[Part Name]=$A34)*M_BOM[RM_Qty_Per_Batch]*IFERROR(INDEX(PP_Grid[#Data],M_BOM[PPGridRow],31),0))+IFERROR(INDEX(M_RawMaterials[固定週次消費量_要入力],MATCH($A34,M_RawMaterials[Part Name],0)),0)</f>
        <v/>
      </c>
      <c r="AF34">
        <f>SUMPRODUCT((M_BOM[Part Name]=$A34)*M_BOM[RM_Qty_Per_Batch]*IFERROR(INDEX(PP_Grid[#Data],M_BOM[PPGridRow],32),0))+IFERROR(INDEX(M_RawMaterials[固定週次消費量_要入力],MATCH($A34,M_RawMaterials[Part Name],0)),0)</f>
        <v/>
      </c>
      <c r="AG34">
        <f>SUMPRODUCT((M_BOM[Part Name]=$A34)*M_BOM[RM_Qty_Per_Batch]*IFERROR(INDEX(PP_Grid[#Data],M_BOM[PPGridRow],33),0))+IFERROR(INDEX(M_RawMaterials[固定週次消費量_要入力],MATCH($A34,M_RawMaterials[Part Name],0)),0)</f>
        <v/>
      </c>
      <c r="AH34">
        <f>SUMPRODUCT((M_BOM[Part Name]=$A34)*M_BOM[RM_Qty_Per_Batch]*IFERROR(INDEX(PP_Grid[#Data],M_BOM[PPGridRow],34),0))+IFERROR(INDEX(M_RawMaterials[固定週次消費量_要入力],MATCH($A34,M_RawMaterials[Part Name],0)),0)</f>
        <v/>
      </c>
      <c r="AI34">
        <f>SUMPRODUCT((M_BOM[Part Name]=$A34)*M_BOM[RM_Qty_Per_Batch]*IFERROR(INDEX(PP_Grid[#Data],M_BOM[PPGridRow],35),0))+IFERROR(INDEX(M_RawMaterials[固定週次消費量_要入力],MATCH($A34,M_RawMaterials[Part Name],0)),0)</f>
        <v/>
      </c>
      <c r="AJ34">
        <f>SUMPRODUCT((M_BOM[Part Name]=$A34)*M_BOM[RM_Qty_Per_Batch]*IFERROR(INDEX(PP_Grid[#Data],M_BOM[PPGridRow],36),0))+IFERROR(INDEX(M_RawMaterials[固定週次消費量_要入力],MATCH($A34,M_RawMaterials[Part Name],0)),0)</f>
        <v/>
      </c>
      <c r="AK34">
        <f>SUMPRODUCT((M_BOM[Part Name]=$A34)*M_BOM[RM_Qty_Per_Batch]*IFERROR(INDEX(PP_Grid[#Data],M_BOM[PPGridRow],37),0))+IFERROR(INDEX(M_RawMaterials[固定週次消費量_要入力],MATCH($A34,M_RawMaterials[Part Name],0)),0)</f>
        <v/>
      </c>
      <c r="AL34">
        <f>SUMPRODUCT((M_BOM[Part Name]=$A34)*M_BOM[RM_Qty_Per_Batch]*IFERROR(INDEX(PP_Grid[#Data],M_BOM[PPGridRow],38),0))+IFERROR(INDEX(M_RawMaterials[固定週次消費量_要入力],MATCH($A34,M_RawMaterials[Part Name],0)),0)</f>
        <v/>
      </c>
      <c r="AM34">
        <f>SUMPRODUCT((M_BOM[Part Name]=$A34)*M_BOM[RM_Qty_Per_Batch]*IFERROR(INDEX(PP_Grid[#Data],M_BOM[PPGridRow],39),0))+IFERROR(INDEX(M_RawMaterials[固定週次消費量_要入力],MATCH($A34,M_RawMaterials[Part Name],0)),0)</f>
        <v/>
      </c>
      <c r="AN34">
        <f>SUMPRODUCT((M_BOM[Part Name]=$A34)*M_BOM[RM_Qty_Per_Batch]*IFERROR(INDEX(PP_Grid[#Data],M_BOM[PPGridRow],40),0))+IFERROR(INDEX(M_RawMaterials[固定週次消費量_要入力],MATCH($A34,M_RawMaterials[Part Name],0)),0)</f>
        <v/>
      </c>
      <c r="AO34">
        <f>SUMPRODUCT((M_BOM[Part Name]=$A34)*M_BOM[RM_Qty_Per_Batch]*IFERROR(INDEX(PP_Grid[#Data],M_BOM[PPGridRow],41),0))+IFERROR(INDEX(M_RawMaterials[固定週次消費量_要入力],MATCH($A34,M_RawMaterials[Part Name],0)),0)</f>
        <v/>
      </c>
      <c r="AP34">
        <f>SUMPRODUCT((M_BOM[Part Name]=$A34)*M_BOM[RM_Qty_Per_Batch]*IFERROR(INDEX(PP_Grid[#Data],M_BOM[PPGridRow],42),0))+IFERROR(INDEX(M_RawMaterials[固定週次消費量_要入力],MATCH($A34,M_RawMaterials[Part Name],0)),0)</f>
        <v/>
      </c>
      <c r="AQ34">
        <f>SUMPRODUCT((M_BOM[Part Name]=$A34)*M_BOM[RM_Qty_Per_Batch]*IFERROR(INDEX(PP_Grid[#Data],M_BOM[PPGridRow],43),0))+IFERROR(INDEX(M_RawMaterials[固定週次消費量_要入力],MATCH($A34,M_RawMaterials[Part Name],0)),0)</f>
        <v/>
      </c>
      <c r="AR34">
        <f>SUMPRODUCT((M_BOM[Part Name]=$A34)*M_BOM[RM_Qty_Per_Batch]*IFERROR(INDEX(PP_Grid[#Data],M_BOM[PPGridRow],44),0))+IFERROR(INDEX(M_RawMaterials[固定週次消費量_要入力],MATCH($A34,M_RawMaterials[Part Name],0)),0)</f>
        <v/>
      </c>
      <c r="AS34">
        <f>SUMPRODUCT((M_BOM[Part Name]=$A34)*M_BOM[RM_Qty_Per_Batch]*IFERROR(INDEX(PP_Grid[#Data],M_BOM[PPGridRow],45),0))+IFERROR(INDEX(M_RawMaterials[固定週次消費量_要入力],MATCH($A34,M_RawMaterials[Part Name],0)),0)</f>
        <v/>
      </c>
      <c r="AT34">
        <f>SUMPRODUCT((M_BOM[Part Name]=$A34)*M_BOM[RM_Qty_Per_Batch]*IFERROR(INDEX(PP_Grid[#Data],M_BOM[PPGridRow],46),0))+IFERROR(INDEX(M_RawMaterials[固定週次消費量_要入力],MATCH($A34,M_RawMaterials[Part Name],0)),0)</f>
        <v/>
      </c>
      <c r="AU34">
        <f>SUMPRODUCT((M_BOM[Part Name]=$A34)*M_BOM[RM_Qty_Per_Batch]*IFERROR(INDEX(PP_Grid[#Data],M_BOM[PPGridRow],47),0))+IFERROR(INDEX(M_RawMaterials[固定週次消費量_要入力],MATCH($A34,M_RawMaterials[Part Name],0)),0)</f>
        <v/>
      </c>
      <c r="AV34">
        <f>SUMPRODUCT((M_BOM[Part Name]=$A34)*M_BOM[RM_Qty_Per_Batch]*IFERROR(INDEX(PP_Grid[#Data],M_BOM[PPGridRow],48),0))+IFERROR(INDEX(M_RawMaterials[固定週次消費量_要入力],MATCH($A34,M_RawMaterials[Part Name],0)),0)</f>
        <v/>
      </c>
      <c r="AW34">
        <f>SUMPRODUCT((M_BOM[Part Name]=$A34)*M_BOM[RM_Qty_Per_Batch]*IFERROR(INDEX(PP_Grid[#Data],M_BOM[PPGridRow],49),0))+IFERROR(INDEX(M_RawMaterials[固定週次消費量_要入力],MATCH($A34,M_RawMaterials[Part Name],0)),0)</f>
        <v/>
      </c>
      <c r="AX34">
        <f>SUMPRODUCT((M_BOM[Part Name]=$A34)*M_BOM[RM_Qty_Per_Batch]*IFERROR(INDEX(PP_Grid[#Data],M_BOM[PPGridRow],50),0))+IFERROR(INDEX(M_RawMaterials[固定週次消費量_要入力],MATCH($A34,M_RawMaterials[Part Name],0)),0)</f>
        <v/>
      </c>
      <c r="AY34">
        <f>SUMPRODUCT((M_BOM[Part Name]=$A34)*M_BOM[RM_Qty_Per_Batch]*IFERROR(INDEX(PP_Grid[#Data],M_BOM[PPGridRow],51),0))+IFERROR(INDEX(M_RawMaterials[固定週次消費量_要入力],MATCH($A34,M_RawMaterials[Part Name],0)),0)</f>
        <v/>
      </c>
      <c r="AZ34">
        <f>SUMPRODUCT((M_BOM[Part Name]=$A34)*M_BOM[RM_Qty_Per_Batch]*IFERROR(INDEX(PP_Grid[#Data],M_BOM[PPGridRow],52),0))+IFERROR(INDEX(M_RawMaterials[固定週次消費量_要入力],MATCH($A34,M_RawMaterials[Part Name],0)),0)</f>
        <v/>
      </c>
      <c r="BA34">
        <f>SUMPRODUCT((M_BOM[Part Name]=$A34)*M_BOM[RM_Qty_Per_Batch]*IFERROR(INDEX(PP_Grid[#Data],M_BOM[PPGridRow],53),0))+IFERROR(INDEX(M_RawMaterials[固定週次消費量_要入力],MATCH($A34,M_RawMaterials[Part Name],0)),0)</f>
        <v/>
      </c>
      <c r="BB34">
        <f>SUMPRODUCT((M_BOM[Part Name]=$A34)*M_BOM[RM_Qty_Per_Batch]*IFERROR(INDEX(PP_Grid[#Data],M_BOM[PPGridRow],54),0))+IFERROR(INDEX(M_RawMaterials[固定週次消費量_要入力],MATCH($A34,M_RawMaterials[Part Name],0)),0)</f>
        <v/>
      </c>
      <c r="BC34">
        <f>SUMPRODUCT((M_BOM[Part Name]=$A34)*M_BOM[RM_Qty_Per_Batch]*IFERROR(INDEX(PP_Grid[#Data],M_BOM[PPGridRow],55),0))+IFERROR(INDEX(M_RawMaterials[固定週次消費量_要入力],MATCH($A34,M_RawMaterials[Part Name],0)),0)</f>
        <v/>
      </c>
      <c r="BD34">
        <f>SUMPRODUCT((M_BOM[Part Name]=$A34)*M_BOM[RM_Qty_Per_Batch]*IFERROR(INDEX(PP_Grid[#Data],M_BOM[PPGridRow],56),0))+IFERROR(INDEX(M_RawMaterials[固定週次消費量_要入力],MATCH($A34,M_RawMaterials[Part Name],0)),0)</f>
        <v/>
      </c>
      <c r="BE34">
        <f>SUMPRODUCT((M_BOM[Part Name]=$A34)*M_BOM[RM_Qty_Per_Batch]*IFERROR(INDEX(PP_Grid[#Data],M_BOM[PPGridRow],57),0))+IFERROR(INDEX(M_RawMaterials[固定週次消費量_要入力],MATCH($A34,M_RawMaterials[Part Name],0)),0)</f>
        <v/>
      </c>
      <c r="BF34">
        <f>SUMPRODUCT((M_BOM[Part Name]=$A34)*M_BOM[RM_Qty_Per_Batch]*IFERROR(INDEX(PP_Grid[#Data],M_BOM[PPGridRow],58),0))+IFERROR(INDEX(M_RawMaterials[固定週次消費量_要入力],MATCH($A34,M_RawMaterials[Part Name],0)),0)</f>
        <v/>
      </c>
      <c r="BG34">
        <f>SUMPRODUCT((M_BOM[Part Name]=$A34)*M_BOM[RM_Qty_Per_Batch]*IFERROR(INDEX(PP_Grid[#Data],M_BOM[PPGridRow],59),0))+IFERROR(INDEX(M_RawMaterials[固定週次消費量_要入力],MATCH($A34,M_RawMaterials[Part Name],0)),0)</f>
        <v/>
      </c>
      <c r="BH34">
        <f>SUMPRODUCT((M_BOM[Part Name]=$A34)*M_BOM[RM_Qty_Per_Batch]*IFERROR(INDEX(PP_Grid[#Data],M_BOM[PPGridRow],60),0))+IFERROR(INDEX(M_RawMaterials[固定週次消費量_要入力],MATCH($A34,M_RawMaterials[Part Name],0)),0)</f>
        <v/>
      </c>
      <c r="BI34">
        <f>SUMPRODUCT((M_BOM[Part Name]=$A34)*M_BOM[RM_Qty_Per_Batch]*IFERROR(INDEX(PP_Grid[#Data],M_BOM[PPGridRow],61),0))+IFERROR(INDEX(M_RawMaterials[固定週次消費量_要入力],MATCH($A34,M_RawMaterials[Part Name],0)),0)</f>
        <v/>
      </c>
      <c r="BJ34">
        <f>SUMPRODUCT((M_BOM[Part Name]=$A34)*M_BOM[RM_Qty_Per_Batch]*IFERROR(INDEX(PP_Grid[#Data],M_BOM[PPGridRow],62),0))+IFERROR(INDEX(M_RawMaterials[固定週次消費量_要入力],MATCH($A34,M_RawMaterials[Part Name],0)),0)</f>
        <v/>
      </c>
      <c r="BK34">
        <f>SUMPRODUCT((M_BOM[Part Name]=$A34)*M_BOM[RM_Qty_Per_Batch]*IFERROR(INDEX(PP_Grid[#Data],M_BOM[PPGridRow],63),0))+IFERROR(INDEX(M_RawMaterials[固定週次消費量_要入力],MATCH($A34,M_RawMaterials[Part Name],0)),0)</f>
        <v/>
      </c>
      <c r="BL34">
        <f>SUMPRODUCT((M_BOM[Part Name]=$A34)*M_BOM[RM_Qty_Per_Batch]*IFERROR(INDEX(PP_Grid[#Data],M_BOM[PPGridRow],64),0))+IFERROR(INDEX(M_RawMaterials[固定週次消費量_要入力],MATCH($A34,M_RawMaterials[Part Name],0)),0)</f>
        <v/>
      </c>
      <c r="BM34">
        <f>SUMPRODUCT((M_BOM[Part Name]=$A34)*M_BOM[RM_Qty_Per_Batch]*IFERROR(INDEX(PP_Grid[#Data],M_BOM[PPGridRow],65),0))+IFERROR(INDEX(M_RawMaterials[固定週次消費量_要入力],MATCH($A34,M_RawMaterials[Part Name],0)),0)</f>
        <v/>
      </c>
      <c r="BN34">
        <f>SUMPRODUCT((M_BOM[Part Name]=$A34)*M_BOM[RM_Qty_Per_Batch]*IFERROR(INDEX(PP_Grid[#Data],M_BOM[PPGridRow],66),0))+IFERROR(INDEX(M_RawMaterials[固定週次消費量_要入力],MATCH($A34,M_RawMaterials[Part Name],0)),0)</f>
        <v/>
      </c>
      <c r="BO34">
        <f>SUMPRODUCT((M_BOM[Part Name]=$A34)*M_BOM[RM_Qty_Per_Batch]*IFERROR(INDEX(PP_Grid[#Data],M_BOM[PPGridRow],67),0))+IFERROR(INDEX(M_RawMaterials[固定週次消費量_要入力],MATCH($A34,M_RawMaterials[Part Name],0)),0)</f>
        <v/>
      </c>
      <c r="BP34">
        <f>SUMPRODUCT((M_BOM[Part Name]=$A34)*M_BOM[RM_Qty_Per_Batch]*IFERROR(INDEX(PP_Grid[#Data],M_BOM[PPGridRow],68),0))+IFERROR(INDEX(M_RawMaterials[固定週次消費量_要入力],MATCH($A34,M_RawMaterials[Part Name],0)),0)</f>
        <v/>
      </c>
      <c r="BQ34">
        <f>SUMPRODUCT((M_BOM[Part Name]=$A34)*M_BOM[RM_Qty_Per_Batch]*IFERROR(INDEX(PP_Grid[#Data],M_BOM[PPGridRow],69),0))+IFERROR(INDEX(M_RawMaterials[固定週次消費量_要入力],MATCH($A34,M_RawMaterials[Part Name],0)),0)</f>
        <v/>
      </c>
      <c r="BR34">
        <f>SUMPRODUCT((M_BOM[Part Name]=$A34)*M_BOM[RM_Qty_Per_Batch]*IFERROR(INDEX(PP_Grid[#Data],M_BOM[PPGridRow],70),0))+IFERROR(INDEX(M_RawMaterials[固定週次消費量_要入力],MATCH($A34,M_RawMaterials[Part Name],0)),0)</f>
        <v/>
      </c>
      <c r="BS34">
        <f>SUMPRODUCT((M_BOM[Part Name]=$A34)*M_BOM[RM_Qty_Per_Batch]*IFERROR(INDEX(PP_Grid[#Data],M_BOM[PPGridRow],71),0))+IFERROR(INDEX(M_RawMaterials[固定週次消費量_要入力],MATCH($A34,M_RawMaterials[Part Name],0)),0)</f>
        <v/>
      </c>
      <c r="BT34">
        <f>SUMPRODUCT((M_BOM[Part Name]=$A34)*M_BOM[RM_Qty_Per_Batch]*IFERROR(INDEX(PP_Grid[#Data],M_BOM[PPGridRow],72),0))+IFERROR(INDEX(M_RawMaterials[固定週次消費量_要入力],MATCH($A34,M_RawMaterials[Part Name],0)),0)</f>
        <v/>
      </c>
      <c r="BU34">
        <f>SUMPRODUCT((M_BOM[Part Name]=$A34)*M_BOM[RM_Qty_Per_Batch]*IFERROR(INDEX(PP_Grid[#Data],M_BOM[PPGridRow],73),0))+IFERROR(INDEX(M_RawMaterials[固定週次消費量_要入力],MATCH($A34,M_RawMaterials[Part Name],0)),0)</f>
        <v/>
      </c>
      <c r="BV34">
        <f>SUMPRODUCT((M_BOM[Part Name]=$A34)*M_BOM[RM_Qty_Per_Batch]*IFERROR(INDEX(PP_Grid[#Data],M_BOM[PPGridRow],74),0))+IFERROR(INDEX(M_RawMaterials[固定週次消費量_要入力],MATCH($A34,M_RawMaterials[Part Name],0)),0)</f>
        <v/>
      </c>
      <c r="BW34">
        <f>SUMPRODUCT((M_BOM[Part Name]=$A34)*M_BOM[RM_Qty_Per_Batch]*IFERROR(INDEX(PP_Grid[#Data],M_BOM[PPGridRow],75),0))+IFERROR(INDEX(M_RawMaterials[固定週次消費量_要入力],MATCH($A34,M_RawMaterials[Part Name],0)),0)</f>
        <v/>
      </c>
      <c r="BX34">
        <f>SUMPRODUCT((M_BOM[Part Name]=$A34)*M_BOM[RM_Qty_Per_Batch]*IFERROR(INDEX(PP_Grid[#Data],M_BOM[PPGridRow],76),0))+IFERROR(INDEX(M_RawMaterials[固定週次消費量_要入力],MATCH($A34,M_RawMaterials[Part Name],0)),0)</f>
        <v/>
      </c>
      <c r="BY34">
        <f>SUMPRODUCT((M_BOM[Part Name]=$A34)*M_BOM[RM_Qty_Per_Batch]*IFERROR(INDEX(PP_Grid[#Data],M_BOM[PPGridRow],77),0))+IFERROR(INDEX(M_RawMaterials[固定週次消費量_要入力],MATCH($A34,M_RawMaterials[Part Name],0)),0)</f>
        <v/>
      </c>
      <c r="BZ34">
        <f>SUMPRODUCT((M_BOM[Part Name]=$A34)*M_BOM[RM_Qty_Per_Batch]*IFERROR(INDEX(PP_Grid[#Data],M_BOM[PPGridRow],78),0))+IFERROR(INDEX(M_RawMaterials[固定週次消費量_要入力],MATCH($A34,M_RawMaterials[Part Name],0)),0)</f>
        <v/>
      </c>
      <c r="CA34">
        <f>SUMPRODUCT((M_BOM[Part Name]=$A34)*M_BOM[RM_Qty_Per_Batch]*IFERROR(INDEX(PP_Grid[#Data],M_BOM[PPGridRow],79),0))+IFERROR(INDEX(M_RawMaterials[固定週次消費量_要入力],MATCH($A34,M_RawMaterials[Part Name],0)),0)</f>
        <v/>
      </c>
      <c r="CB34">
        <f>SUMPRODUCT((M_BOM[Part Name]=$A34)*M_BOM[RM_Qty_Per_Batch]*IFERROR(INDEX(PP_Grid[#Data],M_BOM[PPGridRow],80),0))+IFERROR(INDEX(M_RawMaterials[固定週次消費量_要入力],MATCH($A34,M_RawMaterials[Part Name],0)),0)</f>
        <v/>
      </c>
      <c r="CC34">
        <f>SUMPRODUCT((M_BOM[Part Name]=$A34)*M_BOM[RM_Qty_Per_Batch]*IFERROR(INDEX(PP_Grid[#Data],M_BOM[PPGridRow],81),0))+IFERROR(INDEX(M_RawMaterials[固定週次消費量_要入力],MATCH($A34,M_RawMaterials[Part Name],0)),0)</f>
        <v/>
      </c>
      <c r="CD34">
        <f>SUMPRODUCT((M_BOM[Part Name]=$A34)*M_BOM[RM_Qty_Per_Batch]*IFERROR(INDEX(PP_Grid[#Data],M_BOM[PPGridRow],82),0))+IFERROR(INDEX(M_RawMaterials[固定週次消費量_要入力],MATCH($A34,M_RawMaterials[Part Name],0)),0)</f>
        <v/>
      </c>
      <c r="CE34">
        <f>SUMPRODUCT((M_BOM[Part Name]=$A34)*M_BOM[RM_Qty_Per_Batch]*IFERROR(INDEX(PP_Grid[#Data],M_BOM[PPGridRow],83),0))+IFERROR(INDEX(M_RawMaterials[固定週次消費量_要入力],MATCH($A34,M_RawMaterials[Part Name],0)),0)</f>
        <v/>
      </c>
      <c r="CF34">
        <f>SUMPRODUCT((M_BOM[Part Name]=$A34)*M_BOM[RM_Qty_Per_Batch]*IFERROR(INDEX(PP_Grid[#Data],M_BOM[PPGridRow],84),0))+IFERROR(INDEX(M_RawMaterials[固定週次消費量_要入力],MATCH($A34,M_RawMaterials[Part Name],0)),0)</f>
        <v/>
      </c>
      <c r="CG34">
        <f>SUMPRODUCT((M_BOM[Part Name]=$A34)*M_BOM[RM_Qty_Per_Batch]*IFERROR(INDEX(PP_Grid[#Data],M_BOM[PPGridRow],85),0))+IFERROR(INDEX(M_RawMaterials[固定週次消費量_要入力],MATCH($A34,M_RawMaterials[Part Name],0)),0)</f>
        <v/>
      </c>
      <c r="CH34">
        <f>SUMPRODUCT((M_BOM[Part Name]=$A34)*M_BOM[RM_Qty_Per_Batch]*IFERROR(INDEX(PP_Grid[#Data],M_BOM[PPGridRow],86),0))+IFERROR(INDEX(M_RawMaterials[固定週次消費量_要入力],MATCH($A34,M_RawMaterials[Part Name],0)),0)</f>
        <v/>
      </c>
      <c r="CI34">
        <f>SUMPRODUCT((M_BOM[Part Name]=$A34)*M_BOM[RM_Qty_Per_Batch]*IFERROR(INDEX(PP_Grid[#Data],M_BOM[PPGridRow],87),0))+IFERROR(INDEX(M_RawMaterials[固定週次消費量_要入力],MATCH($A34,M_RawMaterials[Part Name],0)),0)</f>
        <v/>
      </c>
      <c r="CJ34">
        <f>SUMPRODUCT((M_BOM[Part Name]=$A34)*M_BOM[RM_Qty_Per_Batch]*IFERROR(INDEX(PP_Grid[#Data],M_BOM[PPGridRow],88),0))+IFERROR(INDEX(M_RawMaterials[固定週次消費量_要入力],MATCH($A34,M_RawMaterials[Part Name],0)),0)</f>
        <v/>
      </c>
      <c r="CK34">
        <f>SUMPRODUCT((M_BOM[Part Name]=$A34)*M_BOM[RM_Qty_Per_Batch]*IFERROR(INDEX(PP_Grid[#Data],M_BOM[PPGridRow],89),0))+IFERROR(INDEX(M_RawMaterials[固定週次消費量_要入力],MATCH($A34,M_RawMaterials[Part Name],0)),0)</f>
        <v/>
      </c>
      <c r="CL34">
        <f>SUMPRODUCT((M_BOM[Part Name]=$A34)*M_BOM[RM_Qty_Per_Batch]*IFERROR(INDEX(PP_Grid[#Data],M_BOM[PPGridRow],90),0))+IFERROR(INDEX(M_RawMaterials[固定週次消費量_要入力],MATCH($A34,M_RawMaterials[Part Name],0)),0)</f>
        <v/>
      </c>
      <c r="CM34">
        <f>SUMPRODUCT((M_BOM[Part Name]=$A34)*M_BOM[RM_Qty_Per_Batch]*IFERROR(INDEX(PP_Grid[#Data],M_BOM[PPGridRow],91),0))+IFERROR(INDEX(M_RawMaterials[固定週次消費量_要入力],MATCH($A34,M_RawMaterials[Part Name],0)),0)</f>
        <v/>
      </c>
      <c r="CN34">
        <f>SUMPRODUCT((M_BOM[Part Name]=$A34)*M_BOM[RM_Qty_Per_Batch]*IFERROR(INDEX(PP_Grid[#Data],M_BOM[PPGridRow],92),0))+IFERROR(INDEX(M_RawMaterials[固定週次消費量_要入力],MATCH($A34,M_RawMaterials[Part Name],0)),0)</f>
        <v/>
      </c>
      <c r="CO34">
        <f>SUMPRODUCT((M_BOM[Part Name]=$A34)*M_BOM[RM_Qty_Per_Batch]*IFERROR(INDEX(PP_Grid[#Data],M_BOM[PPGridRow],93),0))+IFERROR(INDEX(M_RawMaterials[固定週次消費量_要入力],MATCH($A34,M_RawMaterials[Part Name],0)),0)</f>
        <v/>
      </c>
      <c r="CP34">
        <f>SUMPRODUCT((M_BOM[Part Name]=$A34)*M_BOM[RM_Qty_Per_Batch]*IFERROR(INDEX(PP_Grid[#Data],M_BOM[PPGridRow],94),0))+IFERROR(INDEX(M_RawMaterials[固定週次消費量_要入力],MATCH($A34,M_RawMaterials[Part Name],0)),0)</f>
        <v/>
      </c>
      <c r="CQ34">
        <f>SUMPRODUCT((M_BOM[Part Name]=$A34)*M_BOM[RM_Qty_Per_Batch]*IFERROR(INDEX(PP_Grid[#Data],M_BOM[PPGridRow],95),0))+IFERROR(INDEX(M_RawMaterials[固定週次消費量_要入力],MATCH($A34,M_RawMaterials[Part Name],0)),0)</f>
        <v/>
      </c>
      <c r="CR34">
        <f>SUMPRODUCT((M_BOM[Part Name]=$A34)*M_BOM[RM_Qty_Per_Batch]*IFERROR(INDEX(PP_Grid[#Data],M_BOM[PPGridRow],96),0))+IFERROR(INDEX(M_RawMaterials[固定週次消費量_要入力],MATCH($A34,M_RawMaterials[Part Name],0)),0)</f>
        <v/>
      </c>
      <c r="CS34">
        <f>SUMPRODUCT((M_BOM[Part Name]=$A34)*M_BOM[RM_Qty_Per_Batch]*IFERROR(INDEX(PP_Grid[#Data],M_BOM[PPGridRow],97),0))+IFERROR(INDEX(M_RawMaterials[固定週次消費量_要入力],MATCH($A34,M_RawMaterials[Part Name],0)),0)</f>
        <v/>
      </c>
      <c r="CT34">
        <f>SUMPRODUCT((M_BOM[Part Name]=$A34)*M_BOM[RM_Qty_Per_Batch]*IFERROR(INDEX(PP_Grid[#Data],M_BOM[PPGridRow],98),0))+IFERROR(INDEX(M_RawMaterials[固定週次消費量_要入力],MATCH($A34,M_RawMaterials[Part Name],0)),0)</f>
        <v/>
      </c>
      <c r="CU34">
        <f>SUMPRODUCT((M_BOM[Part Name]=$A34)*M_BOM[RM_Qty_Per_Batch]*IFERROR(INDEX(PP_Grid[#Data],M_BOM[PPGridRow],99),0))+IFERROR(INDEX(M_RawMaterials[固定週次消費量_要入力],MATCH($A34,M_RawMaterials[Part Name],0)),0)</f>
        <v/>
      </c>
      <c r="CV34">
        <f>SUMPRODUCT((M_BOM[Part Name]=$A34)*M_BOM[RM_Qty_Per_Batch]*IFERROR(INDEX(PP_Grid[#Data],M_BOM[PPGridRow],100),0))+IFERROR(INDEX(M_RawMaterials[固定週次消費量_要入力],MATCH($A34,M_RawMaterials[Part Name],0)),0)</f>
        <v/>
      </c>
      <c r="CW34">
        <f>SUMPRODUCT((M_BOM[Part Name]=$A34)*M_BOM[RM_Qty_Per_Batch]*IFERROR(INDEX(PP_Grid[#Data],M_BOM[PPGridRow],101),0))+IFERROR(INDEX(M_RawMaterials[固定週次消費量_要入力],MATCH($A34,M_RawMaterials[Part Name],0)),0)</f>
        <v/>
      </c>
      <c r="CX34">
        <f>SUMPRODUCT((M_BOM[Part Name]=$A34)*M_BOM[RM_Qty_Per_Batch]*IFERROR(INDEX(PP_Grid[#Data],M_BOM[PPGridRow],102),0))+IFERROR(INDEX(M_RawMaterials[固定週次消費量_要入力],MATCH($A34,M_RawMaterials[Part Name],0)),0)</f>
        <v/>
      </c>
      <c r="CY34">
        <f>SUMPRODUCT((M_BOM[Part Name]=$A34)*M_BOM[RM_Qty_Per_Batch]*IFERROR(INDEX(PP_Grid[#Data],M_BOM[PPGridRow],103),0))+IFERROR(INDEX(M_RawMaterials[固定週次消費量_要入力],MATCH($A34,M_RawMaterials[Part Name],0)),0)</f>
        <v/>
      </c>
      <c r="CZ34">
        <f>SUMPRODUCT((M_BOM[Part Name]=$A34)*M_BOM[RM_Qty_Per_Batch]*IFERROR(INDEX(PP_Grid[#Data],M_BOM[PPGridRow],104),0))+IFERROR(INDEX(M_RawMaterials[固定週次消費量_要入力],MATCH($A34,M_RawMaterials[Part Name],0)),0)</f>
        <v/>
      </c>
      <c r="DA34">
        <f>SUMPRODUCT((M_BOM[Part Name]=$A34)*M_BOM[RM_Qty_Per_Batch]*IFERROR(INDEX(PP_Grid[#Data],M_BOM[PPGridRow],105),0))+IFERROR(INDEX(M_RawMaterials[固定週次消費量_要入力],MATCH($A34,M_RawMaterials[Part Name],0)),0)</f>
        <v/>
      </c>
    </row>
    <row r="35">
      <c r="A35" t="inlineStr">
        <is>
          <t>CHEM-1660</t>
        </is>
      </c>
      <c r="B35">
        <f>SUMPRODUCT((M_BOM[Part Name]=$A35)*M_BOM[RM_Qty_Per_Batch]*IFERROR(INDEX(PP_Grid[#Data],M_BOM[PPGridRow],2),0))+IFERROR(INDEX(M_RawMaterials[固定週次消費量_要入力],MATCH($A35,M_RawMaterials[Part Name],0)),0)</f>
        <v/>
      </c>
      <c r="C35">
        <f>SUMPRODUCT((M_BOM[Part Name]=$A35)*M_BOM[RM_Qty_Per_Batch]*IFERROR(INDEX(PP_Grid[#Data],M_BOM[PPGridRow],3),0))+IFERROR(INDEX(M_RawMaterials[固定週次消費量_要入力],MATCH($A35,M_RawMaterials[Part Name],0)),0)</f>
        <v/>
      </c>
      <c r="D35">
        <f>SUMPRODUCT((M_BOM[Part Name]=$A35)*M_BOM[RM_Qty_Per_Batch]*IFERROR(INDEX(PP_Grid[#Data],M_BOM[PPGridRow],4),0))+IFERROR(INDEX(M_RawMaterials[固定週次消費量_要入力],MATCH($A35,M_RawMaterials[Part Name],0)),0)</f>
        <v/>
      </c>
      <c r="E35">
        <f>SUMPRODUCT((M_BOM[Part Name]=$A35)*M_BOM[RM_Qty_Per_Batch]*IFERROR(INDEX(PP_Grid[#Data],M_BOM[PPGridRow],5),0))+IFERROR(INDEX(M_RawMaterials[固定週次消費量_要入力],MATCH($A35,M_RawMaterials[Part Name],0)),0)</f>
        <v/>
      </c>
      <c r="F35">
        <f>SUMPRODUCT((M_BOM[Part Name]=$A35)*M_BOM[RM_Qty_Per_Batch]*IFERROR(INDEX(PP_Grid[#Data],M_BOM[PPGridRow],6),0))+IFERROR(INDEX(M_RawMaterials[固定週次消費量_要入力],MATCH($A35,M_RawMaterials[Part Name],0)),0)</f>
        <v/>
      </c>
      <c r="G35">
        <f>SUMPRODUCT((M_BOM[Part Name]=$A35)*M_BOM[RM_Qty_Per_Batch]*IFERROR(INDEX(PP_Grid[#Data],M_BOM[PPGridRow],7),0))+IFERROR(INDEX(M_RawMaterials[固定週次消費量_要入力],MATCH($A35,M_RawMaterials[Part Name],0)),0)</f>
        <v/>
      </c>
      <c r="H35">
        <f>SUMPRODUCT((M_BOM[Part Name]=$A35)*M_BOM[RM_Qty_Per_Batch]*IFERROR(INDEX(PP_Grid[#Data],M_BOM[PPGridRow],8),0))+IFERROR(INDEX(M_RawMaterials[固定週次消費量_要入力],MATCH($A35,M_RawMaterials[Part Name],0)),0)</f>
        <v/>
      </c>
      <c r="I35">
        <f>SUMPRODUCT((M_BOM[Part Name]=$A35)*M_BOM[RM_Qty_Per_Batch]*IFERROR(INDEX(PP_Grid[#Data],M_BOM[PPGridRow],9),0))+IFERROR(INDEX(M_RawMaterials[固定週次消費量_要入力],MATCH($A35,M_RawMaterials[Part Name],0)),0)</f>
        <v/>
      </c>
      <c r="J35">
        <f>SUMPRODUCT((M_BOM[Part Name]=$A35)*M_BOM[RM_Qty_Per_Batch]*IFERROR(INDEX(PP_Grid[#Data],M_BOM[PPGridRow],10),0))+IFERROR(INDEX(M_RawMaterials[固定週次消費量_要入力],MATCH($A35,M_RawMaterials[Part Name],0)),0)</f>
        <v/>
      </c>
      <c r="K35">
        <f>SUMPRODUCT((M_BOM[Part Name]=$A35)*M_BOM[RM_Qty_Per_Batch]*IFERROR(INDEX(PP_Grid[#Data],M_BOM[PPGridRow],11),0))+IFERROR(INDEX(M_RawMaterials[固定週次消費量_要入力],MATCH($A35,M_RawMaterials[Part Name],0)),0)</f>
        <v/>
      </c>
      <c r="L35">
        <f>SUMPRODUCT((M_BOM[Part Name]=$A35)*M_BOM[RM_Qty_Per_Batch]*IFERROR(INDEX(PP_Grid[#Data],M_BOM[PPGridRow],12),0))+IFERROR(INDEX(M_RawMaterials[固定週次消費量_要入力],MATCH($A35,M_RawMaterials[Part Name],0)),0)</f>
        <v/>
      </c>
      <c r="M35">
        <f>SUMPRODUCT((M_BOM[Part Name]=$A35)*M_BOM[RM_Qty_Per_Batch]*IFERROR(INDEX(PP_Grid[#Data],M_BOM[PPGridRow],13),0))+IFERROR(INDEX(M_RawMaterials[固定週次消費量_要入力],MATCH($A35,M_RawMaterials[Part Name],0)),0)</f>
        <v/>
      </c>
      <c r="N35">
        <f>SUMPRODUCT((M_BOM[Part Name]=$A35)*M_BOM[RM_Qty_Per_Batch]*IFERROR(INDEX(PP_Grid[#Data],M_BOM[PPGridRow],14),0))+IFERROR(INDEX(M_RawMaterials[固定週次消費量_要入力],MATCH($A35,M_RawMaterials[Part Name],0)),0)</f>
        <v/>
      </c>
      <c r="O35">
        <f>SUMPRODUCT((M_BOM[Part Name]=$A35)*M_BOM[RM_Qty_Per_Batch]*IFERROR(INDEX(PP_Grid[#Data],M_BOM[PPGridRow],15),0))+IFERROR(INDEX(M_RawMaterials[固定週次消費量_要入力],MATCH($A35,M_RawMaterials[Part Name],0)),0)</f>
        <v/>
      </c>
      <c r="P35">
        <f>SUMPRODUCT((M_BOM[Part Name]=$A35)*M_BOM[RM_Qty_Per_Batch]*IFERROR(INDEX(PP_Grid[#Data],M_BOM[PPGridRow],16),0))+IFERROR(INDEX(M_RawMaterials[固定週次消費量_要入力],MATCH($A35,M_RawMaterials[Part Name],0)),0)</f>
        <v/>
      </c>
      <c r="Q35">
        <f>SUMPRODUCT((M_BOM[Part Name]=$A35)*M_BOM[RM_Qty_Per_Batch]*IFERROR(INDEX(PP_Grid[#Data],M_BOM[PPGridRow],17),0))+IFERROR(INDEX(M_RawMaterials[固定週次消費量_要入力],MATCH($A35,M_RawMaterials[Part Name],0)),0)</f>
        <v/>
      </c>
      <c r="R35">
        <f>SUMPRODUCT((M_BOM[Part Name]=$A35)*M_BOM[RM_Qty_Per_Batch]*IFERROR(INDEX(PP_Grid[#Data],M_BOM[PPGridRow],18),0))+IFERROR(INDEX(M_RawMaterials[固定週次消費量_要入力],MATCH($A35,M_RawMaterials[Part Name],0)),0)</f>
        <v/>
      </c>
      <c r="S35">
        <f>SUMPRODUCT((M_BOM[Part Name]=$A35)*M_BOM[RM_Qty_Per_Batch]*IFERROR(INDEX(PP_Grid[#Data],M_BOM[PPGridRow],19),0))+IFERROR(INDEX(M_RawMaterials[固定週次消費量_要入力],MATCH($A35,M_RawMaterials[Part Name],0)),0)</f>
        <v/>
      </c>
      <c r="T35">
        <f>SUMPRODUCT((M_BOM[Part Name]=$A35)*M_BOM[RM_Qty_Per_Batch]*IFERROR(INDEX(PP_Grid[#Data],M_BOM[PPGridRow],20),0))+IFERROR(INDEX(M_RawMaterials[固定週次消費量_要入力],MATCH($A35,M_RawMaterials[Part Name],0)),0)</f>
        <v/>
      </c>
      <c r="U35">
        <f>SUMPRODUCT((M_BOM[Part Name]=$A35)*M_BOM[RM_Qty_Per_Batch]*IFERROR(INDEX(PP_Grid[#Data],M_BOM[PPGridRow],21),0))+IFERROR(INDEX(M_RawMaterials[固定週次消費量_要入力],MATCH($A35,M_RawMaterials[Part Name],0)),0)</f>
        <v/>
      </c>
      <c r="V35">
        <f>SUMPRODUCT((M_BOM[Part Name]=$A35)*M_BOM[RM_Qty_Per_Batch]*IFERROR(INDEX(PP_Grid[#Data],M_BOM[PPGridRow],22),0))+IFERROR(INDEX(M_RawMaterials[固定週次消費量_要入力],MATCH($A35,M_RawMaterials[Part Name],0)),0)</f>
        <v/>
      </c>
      <c r="W35">
        <f>SUMPRODUCT((M_BOM[Part Name]=$A35)*M_BOM[RM_Qty_Per_Batch]*IFERROR(INDEX(PP_Grid[#Data],M_BOM[PPGridRow],23),0))+IFERROR(INDEX(M_RawMaterials[固定週次消費量_要入力],MATCH($A35,M_RawMaterials[Part Name],0)),0)</f>
        <v/>
      </c>
      <c r="X35">
        <f>SUMPRODUCT((M_BOM[Part Name]=$A35)*M_BOM[RM_Qty_Per_Batch]*IFERROR(INDEX(PP_Grid[#Data],M_BOM[PPGridRow],24),0))+IFERROR(INDEX(M_RawMaterials[固定週次消費量_要入力],MATCH($A35,M_RawMaterials[Part Name],0)),0)</f>
        <v/>
      </c>
      <c r="Y35">
        <f>SUMPRODUCT((M_BOM[Part Name]=$A35)*M_BOM[RM_Qty_Per_Batch]*IFERROR(INDEX(PP_Grid[#Data],M_BOM[PPGridRow],25),0))+IFERROR(INDEX(M_RawMaterials[固定週次消費量_要入力],MATCH($A35,M_RawMaterials[Part Name],0)),0)</f>
        <v/>
      </c>
      <c r="Z35">
        <f>SUMPRODUCT((M_BOM[Part Name]=$A35)*M_BOM[RM_Qty_Per_Batch]*IFERROR(INDEX(PP_Grid[#Data],M_BOM[PPGridRow],26),0))+IFERROR(INDEX(M_RawMaterials[固定週次消費量_要入力],MATCH($A35,M_RawMaterials[Part Name],0)),0)</f>
        <v/>
      </c>
      <c r="AA35">
        <f>SUMPRODUCT((M_BOM[Part Name]=$A35)*M_BOM[RM_Qty_Per_Batch]*IFERROR(INDEX(PP_Grid[#Data],M_BOM[PPGridRow],27),0))+IFERROR(INDEX(M_RawMaterials[固定週次消費量_要入力],MATCH($A35,M_RawMaterials[Part Name],0)),0)</f>
        <v/>
      </c>
      <c r="AB35">
        <f>SUMPRODUCT((M_BOM[Part Name]=$A35)*M_BOM[RM_Qty_Per_Batch]*IFERROR(INDEX(PP_Grid[#Data],M_BOM[PPGridRow],28),0))+IFERROR(INDEX(M_RawMaterials[固定週次消費量_要入力],MATCH($A35,M_RawMaterials[Part Name],0)),0)</f>
        <v/>
      </c>
      <c r="AC35">
        <f>SUMPRODUCT((M_BOM[Part Name]=$A35)*M_BOM[RM_Qty_Per_Batch]*IFERROR(INDEX(PP_Grid[#Data],M_BOM[PPGridRow],29),0))+IFERROR(INDEX(M_RawMaterials[固定週次消費量_要入力],MATCH($A35,M_RawMaterials[Part Name],0)),0)</f>
        <v/>
      </c>
      <c r="AD35">
        <f>SUMPRODUCT((M_BOM[Part Name]=$A35)*M_BOM[RM_Qty_Per_Batch]*IFERROR(INDEX(PP_Grid[#Data],M_BOM[PPGridRow],30),0))+IFERROR(INDEX(M_RawMaterials[固定週次消費量_要入力],MATCH($A35,M_RawMaterials[Part Name],0)),0)</f>
        <v/>
      </c>
      <c r="AE35">
        <f>SUMPRODUCT((M_BOM[Part Name]=$A35)*M_BOM[RM_Qty_Per_Batch]*IFERROR(INDEX(PP_Grid[#Data],M_BOM[PPGridRow],31),0))+IFERROR(INDEX(M_RawMaterials[固定週次消費量_要入力],MATCH($A35,M_RawMaterials[Part Name],0)),0)</f>
        <v/>
      </c>
      <c r="AF35">
        <f>SUMPRODUCT((M_BOM[Part Name]=$A35)*M_BOM[RM_Qty_Per_Batch]*IFERROR(INDEX(PP_Grid[#Data],M_BOM[PPGridRow],32),0))+IFERROR(INDEX(M_RawMaterials[固定週次消費量_要入力],MATCH($A35,M_RawMaterials[Part Name],0)),0)</f>
        <v/>
      </c>
      <c r="AG35">
        <f>SUMPRODUCT((M_BOM[Part Name]=$A35)*M_BOM[RM_Qty_Per_Batch]*IFERROR(INDEX(PP_Grid[#Data],M_BOM[PPGridRow],33),0))+IFERROR(INDEX(M_RawMaterials[固定週次消費量_要入力],MATCH($A35,M_RawMaterials[Part Name],0)),0)</f>
        <v/>
      </c>
      <c r="AH35">
        <f>SUMPRODUCT((M_BOM[Part Name]=$A35)*M_BOM[RM_Qty_Per_Batch]*IFERROR(INDEX(PP_Grid[#Data],M_BOM[PPGridRow],34),0))+IFERROR(INDEX(M_RawMaterials[固定週次消費量_要入力],MATCH($A35,M_RawMaterials[Part Name],0)),0)</f>
        <v/>
      </c>
      <c r="AI35">
        <f>SUMPRODUCT((M_BOM[Part Name]=$A35)*M_BOM[RM_Qty_Per_Batch]*IFERROR(INDEX(PP_Grid[#Data],M_BOM[PPGridRow],35),0))+IFERROR(INDEX(M_RawMaterials[固定週次消費量_要入力],MATCH($A35,M_RawMaterials[Part Name],0)),0)</f>
        <v/>
      </c>
      <c r="AJ35">
        <f>SUMPRODUCT((M_BOM[Part Name]=$A35)*M_BOM[RM_Qty_Per_Batch]*IFERROR(INDEX(PP_Grid[#Data],M_BOM[PPGridRow],36),0))+IFERROR(INDEX(M_RawMaterials[固定週次消費量_要入力],MATCH($A35,M_RawMaterials[Part Name],0)),0)</f>
        <v/>
      </c>
      <c r="AK35">
        <f>SUMPRODUCT((M_BOM[Part Name]=$A35)*M_BOM[RM_Qty_Per_Batch]*IFERROR(INDEX(PP_Grid[#Data],M_BOM[PPGridRow],37),0))+IFERROR(INDEX(M_RawMaterials[固定週次消費量_要入力],MATCH($A35,M_RawMaterials[Part Name],0)),0)</f>
        <v/>
      </c>
      <c r="AL35">
        <f>SUMPRODUCT((M_BOM[Part Name]=$A35)*M_BOM[RM_Qty_Per_Batch]*IFERROR(INDEX(PP_Grid[#Data],M_BOM[PPGridRow],38),0))+IFERROR(INDEX(M_RawMaterials[固定週次消費量_要入力],MATCH($A35,M_RawMaterials[Part Name],0)),0)</f>
        <v/>
      </c>
      <c r="AM35">
        <f>SUMPRODUCT((M_BOM[Part Name]=$A35)*M_BOM[RM_Qty_Per_Batch]*IFERROR(INDEX(PP_Grid[#Data],M_BOM[PPGridRow],39),0))+IFERROR(INDEX(M_RawMaterials[固定週次消費量_要入力],MATCH($A35,M_RawMaterials[Part Name],0)),0)</f>
        <v/>
      </c>
      <c r="AN35">
        <f>SUMPRODUCT((M_BOM[Part Name]=$A35)*M_BOM[RM_Qty_Per_Batch]*IFERROR(INDEX(PP_Grid[#Data],M_BOM[PPGridRow],40),0))+IFERROR(INDEX(M_RawMaterials[固定週次消費量_要入力],MATCH($A35,M_RawMaterials[Part Name],0)),0)</f>
        <v/>
      </c>
      <c r="AO35">
        <f>SUMPRODUCT((M_BOM[Part Name]=$A35)*M_BOM[RM_Qty_Per_Batch]*IFERROR(INDEX(PP_Grid[#Data],M_BOM[PPGridRow],41),0))+IFERROR(INDEX(M_RawMaterials[固定週次消費量_要入力],MATCH($A35,M_RawMaterials[Part Name],0)),0)</f>
        <v/>
      </c>
      <c r="AP35">
        <f>SUMPRODUCT((M_BOM[Part Name]=$A35)*M_BOM[RM_Qty_Per_Batch]*IFERROR(INDEX(PP_Grid[#Data],M_BOM[PPGridRow],42),0))+IFERROR(INDEX(M_RawMaterials[固定週次消費量_要入力],MATCH($A35,M_RawMaterials[Part Name],0)),0)</f>
        <v/>
      </c>
      <c r="AQ35">
        <f>SUMPRODUCT((M_BOM[Part Name]=$A35)*M_BOM[RM_Qty_Per_Batch]*IFERROR(INDEX(PP_Grid[#Data],M_BOM[PPGridRow],43),0))+IFERROR(INDEX(M_RawMaterials[固定週次消費量_要入力],MATCH($A35,M_RawMaterials[Part Name],0)),0)</f>
        <v/>
      </c>
      <c r="AR35">
        <f>SUMPRODUCT((M_BOM[Part Name]=$A35)*M_BOM[RM_Qty_Per_Batch]*IFERROR(INDEX(PP_Grid[#Data],M_BOM[PPGridRow],44),0))+IFERROR(INDEX(M_RawMaterials[固定週次消費量_要入力],MATCH($A35,M_RawMaterials[Part Name],0)),0)</f>
        <v/>
      </c>
      <c r="AS35">
        <f>SUMPRODUCT((M_BOM[Part Name]=$A35)*M_BOM[RM_Qty_Per_Batch]*IFERROR(INDEX(PP_Grid[#Data],M_BOM[PPGridRow],45),0))+IFERROR(INDEX(M_RawMaterials[固定週次消費量_要入力],MATCH($A35,M_RawMaterials[Part Name],0)),0)</f>
        <v/>
      </c>
      <c r="AT35">
        <f>SUMPRODUCT((M_BOM[Part Name]=$A35)*M_BOM[RM_Qty_Per_Batch]*IFERROR(INDEX(PP_Grid[#Data],M_BOM[PPGridRow],46),0))+IFERROR(INDEX(M_RawMaterials[固定週次消費量_要入力],MATCH($A35,M_RawMaterials[Part Name],0)),0)</f>
        <v/>
      </c>
      <c r="AU35">
        <f>SUMPRODUCT((M_BOM[Part Name]=$A35)*M_BOM[RM_Qty_Per_Batch]*IFERROR(INDEX(PP_Grid[#Data],M_BOM[PPGridRow],47),0))+IFERROR(INDEX(M_RawMaterials[固定週次消費量_要入力],MATCH($A35,M_RawMaterials[Part Name],0)),0)</f>
        <v/>
      </c>
      <c r="AV35">
        <f>SUMPRODUCT((M_BOM[Part Name]=$A35)*M_BOM[RM_Qty_Per_Batch]*IFERROR(INDEX(PP_Grid[#Data],M_BOM[PPGridRow],48),0))+IFERROR(INDEX(M_RawMaterials[固定週次消費量_要入力],MATCH($A35,M_RawMaterials[Part Name],0)),0)</f>
        <v/>
      </c>
      <c r="AW35">
        <f>SUMPRODUCT((M_BOM[Part Name]=$A35)*M_BOM[RM_Qty_Per_Batch]*IFERROR(INDEX(PP_Grid[#Data],M_BOM[PPGridRow],49),0))+IFERROR(INDEX(M_RawMaterials[固定週次消費量_要入力],MATCH($A35,M_RawMaterials[Part Name],0)),0)</f>
        <v/>
      </c>
      <c r="AX35">
        <f>SUMPRODUCT((M_BOM[Part Name]=$A35)*M_BOM[RM_Qty_Per_Batch]*IFERROR(INDEX(PP_Grid[#Data],M_BOM[PPGridRow],50),0))+IFERROR(INDEX(M_RawMaterials[固定週次消費量_要入力],MATCH($A35,M_RawMaterials[Part Name],0)),0)</f>
        <v/>
      </c>
      <c r="AY35">
        <f>SUMPRODUCT((M_BOM[Part Name]=$A35)*M_BOM[RM_Qty_Per_Batch]*IFERROR(INDEX(PP_Grid[#Data],M_BOM[PPGridRow],51),0))+IFERROR(INDEX(M_RawMaterials[固定週次消費量_要入力],MATCH($A35,M_RawMaterials[Part Name],0)),0)</f>
        <v/>
      </c>
      <c r="AZ35">
        <f>SUMPRODUCT((M_BOM[Part Name]=$A35)*M_BOM[RM_Qty_Per_Batch]*IFERROR(INDEX(PP_Grid[#Data],M_BOM[PPGridRow],52),0))+IFERROR(INDEX(M_RawMaterials[固定週次消費量_要入力],MATCH($A35,M_RawMaterials[Part Name],0)),0)</f>
        <v/>
      </c>
      <c r="BA35">
        <f>SUMPRODUCT((M_BOM[Part Name]=$A35)*M_BOM[RM_Qty_Per_Batch]*IFERROR(INDEX(PP_Grid[#Data],M_BOM[PPGridRow],53),0))+IFERROR(INDEX(M_RawMaterials[固定週次消費量_要入力],MATCH($A35,M_RawMaterials[Part Name],0)),0)</f>
        <v/>
      </c>
      <c r="BB35">
        <f>SUMPRODUCT((M_BOM[Part Name]=$A35)*M_BOM[RM_Qty_Per_Batch]*IFERROR(INDEX(PP_Grid[#Data],M_BOM[PPGridRow],54),0))+IFERROR(INDEX(M_RawMaterials[固定週次消費量_要入力],MATCH($A35,M_RawMaterials[Part Name],0)),0)</f>
        <v/>
      </c>
      <c r="BC35">
        <f>SUMPRODUCT((M_BOM[Part Name]=$A35)*M_BOM[RM_Qty_Per_Batch]*IFERROR(INDEX(PP_Grid[#Data],M_BOM[PPGridRow],55),0))+IFERROR(INDEX(M_RawMaterials[固定週次消費量_要入力],MATCH($A35,M_RawMaterials[Part Name],0)),0)</f>
        <v/>
      </c>
      <c r="BD35">
        <f>SUMPRODUCT((M_BOM[Part Name]=$A35)*M_BOM[RM_Qty_Per_Batch]*IFERROR(INDEX(PP_Grid[#Data],M_BOM[PPGridRow],56),0))+IFERROR(INDEX(M_RawMaterials[固定週次消費量_要入力],MATCH($A35,M_RawMaterials[Part Name],0)),0)</f>
        <v/>
      </c>
      <c r="BE35">
        <f>SUMPRODUCT((M_BOM[Part Name]=$A35)*M_BOM[RM_Qty_Per_Batch]*IFERROR(INDEX(PP_Grid[#Data],M_BOM[PPGridRow],57),0))+IFERROR(INDEX(M_RawMaterials[固定週次消費量_要入力],MATCH($A35,M_RawMaterials[Part Name],0)),0)</f>
        <v/>
      </c>
      <c r="BF35">
        <f>SUMPRODUCT((M_BOM[Part Name]=$A35)*M_BOM[RM_Qty_Per_Batch]*IFERROR(INDEX(PP_Grid[#Data],M_BOM[PPGridRow],58),0))+IFERROR(INDEX(M_RawMaterials[固定週次消費量_要入力],MATCH($A35,M_RawMaterials[Part Name],0)),0)</f>
        <v/>
      </c>
      <c r="BG35">
        <f>SUMPRODUCT((M_BOM[Part Name]=$A35)*M_BOM[RM_Qty_Per_Batch]*IFERROR(INDEX(PP_Grid[#Data],M_BOM[PPGridRow],59),0))+IFERROR(INDEX(M_RawMaterials[固定週次消費量_要入力],MATCH($A35,M_RawMaterials[Part Name],0)),0)</f>
        <v/>
      </c>
      <c r="BH35">
        <f>SUMPRODUCT((M_BOM[Part Name]=$A35)*M_BOM[RM_Qty_Per_Batch]*IFERROR(INDEX(PP_Grid[#Data],M_BOM[PPGridRow],60),0))+IFERROR(INDEX(M_RawMaterials[固定週次消費量_要入力],MATCH($A35,M_RawMaterials[Part Name],0)),0)</f>
        <v/>
      </c>
      <c r="BI35">
        <f>SUMPRODUCT((M_BOM[Part Name]=$A35)*M_BOM[RM_Qty_Per_Batch]*IFERROR(INDEX(PP_Grid[#Data],M_BOM[PPGridRow],61),0))+IFERROR(INDEX(M_RawMaterials[固定週次消費量_要入力],MATCH($A35,M_RawMaterials[Part Name],0)),0)</f>
        <v/>
      </c>
      <c r="BJ35">
        <f>SUMPRODUCT((M_BOM[Part Name]=$A35)*M_BOM[RM_Qty_Per_Batch]*IFERROR(INDEX(PP_Grid[#Data],M_BOM[PPGridRow],62),0))+IFERROR(INDEX(M_RawMaterials[固定週次消費量_要入力],MATCH($A35,M_RawMaterials[Part Name],0)),0)</f>
        <v/>
      </c>
      <c r="BK35">
        <f>SUMPRODUCT((M_BOM[Part Name]=$A35)*M_BOM[RM_Qty_Per_Batch]*IFERROR(INDEX(PP_Grid[#Data],M_BOM[PPGridRow],63),0))+IFERROR(INDEX(M_RawMaterials[固定週次消費量_要入力],MATCH($A35,M_RawMaterials[Part Name],0)),0)</f>
        <v/>
      </c>
      <c r="BL35">
        <f>SUMPRODUCT((M_BOM[Part Name]=$A35)*M_BOM[RM_Qty_Per_Batch]*IFERROR(INDEX(PP_Grid[#Data],M_BOM[PPGridRow],64),0))+IFERROR(INDEX(M_RawMaterials[固定週次消費量_要入力],MATCH($A35,M_RawMaterials[Part Name],0)),0)</f>
        <v/>
      </c>
      <c r="BM35">
        <f>SUMPRODUCT((M_BOM[Part Name]=$A35)*M_BOM[RM_Qty_Per_Batch]*IFERROR(INDEX(PP_Grid[#Data],M_BOM[PPGridRow],65),0))+IFERROR(INDEX(M_RawMaterials[固定週次消費量_要入力],MATCH($A35,M_RawMaterials[Part Name],0)),0)</f>
        <v/>
      </c>
      <c r="BN35">
        <f>SUMPRODUCT((M_BOM[Part Name]=$A35)*M_BOM[RM_Qty_Per_Batch]*IFERROR(INDEX(PP_Grid[#Data],M_BOM[PPGridRow],66),0))+IFERROR(INDEX(M_RawMaterials[固定週次消費量_要入力],MATCH($A35,M_RawMaterials[Part Name],0)),0)</f>
        <v/>
      </c>
      <c r="BO35">
        <f>SUMPRODUCT((M_BOM[Part Name]=$A35)*M_BOM[RM_Qty_Per_Batch]*IFERROR(INDEX(PP_Grid[#Data],M_BOM[PPGridRow],67),0))+IFERROR(INDEX(M_RawMaterials[固定週次消費量_要入力],MATCH($A35,M_RawMaterials[Part Name],0)),0)</f>
        <v/>
      </c>
      <c r="BP35">
        <f>SUMPRODUCT((M_BOM[Part Name]=$A35)*M_BOM[RM_Qty_Per_Batch]*IFERROR(INDEX(PP_Grid[#Data],M_BOM[PPGridRow],68),0))+IFERROR(INDEX(M_RawMaterials[固定週次消費量_要入力],MATCH($A35,M_RawMaterials[Part Name],0)),0)</f>
        <v/>
      </c>
      <c r="BQ35">
        <f>SUMPRODUCT((M_BOM[Part Name]=$A35)*M_BOM[RM_Qty_Per_Batch]*IFERROR(INDEX(PP_Grid[#Data],M_BOM[PPGridRow],69),0))+IFERROR(INDEX(M_RawMaterials[固定週次消費量_要入力],MATCH($A35,M_RawMaterials[Part Name],0)),0)</f>
        <v/>
      </c>
      <c r="BR35">
        <f>SUMPRODUCT((M_BOM[Part Name]=$A35)*M_BOM[RM_Qty_Per_Batch]*IFERROR(INDEX(PP_Grid[#Data],M_BOM[PPGridRow],70),0))+IFERROR(INDEX(M_RawMaterials[固定週次消費量_要入力],MATCH($A35,M_RawMaterials[Part Name],0)),0)</f>
        <v/>
      </c>
      <c r="BS35">
        <f>SUMPRODUCT((M_BOM[Part Name]=$A35)*M_BOM[RM_Qty_Per_Batch]*IFERROR(INDEX(PP_Grid[#Data],M_BOM[PPGridRow],71),0))+IFERROR(INDEX(M_RawMaterials[固定週次消費量_要入力],MATCH($A35,M_RawMaterials[Part Name],0)),0)</f>
        <v/>
      </c>
      <c r="BT35">
        <f>SUMPRODUCT((M_BOM[Part Name]=$A35)*M_BOM[RM_Qty_Per_Batch]*IFERROR(INDEX(PP_Grid[#Data],M_BOM[PPGridRow],72),0))+IFERROR(INDEX(M_RawMaterials[固定週次消費量_要入力],MATCH($A35,M_RawMaterials[Part Name],0)),0)</f>
        <v/>
      </c>
      <c r="BU35">
        <f>SUMPRODUCT((M_BOM[Part Name]=$A35)*M_BOM[RM_Qty_Per_Batch]*IFERROR(INDEX(PP_Grid[#Data],M_BOM[PPGridRow],73),0))+IFERROR(INDEX(M_RawMaterials[固定週次消費量_要入力],MATCH($A35,M_RawMaterials[Part Name],0)),0)</f>
        <v/>
      </c>
      <c r="BV35">
        <f>SUMPRODUCT((M_BOM[Part Name]=$A35)*M_BOM[RM_Qty_Per_Batch]*IFERROR(INDEX(PP_Grid[#Data],M_BOM[PPGridRow],74),0))+IFERROR(INDEX(M_RawMaterials[固定週次消費量_要入力],MATCH($A35,M_RawMaterials[Part Name],0)),0)</f>
        <v/>
      </c>
      <c r="BW35">
        <f>SUMPRODUCT((M_BOM[Part Name]=$A35)*M_BOM[RM_Qty_Per_Batch]*IFERROR(INDEX(PP_Grid[#Data],M_BOM[PPGridRow],75),0))+IFERROR(INDEX(M_RawMaterials[固定週次消費量_要入力],MATCH($A35,M_RawMaterials[Part Name],0)),0)</f>
        <v/>
      </c>
      <c r="BX35">
        <f>SUMPRODUCT((M_BOM[Part Name]=$A35)*M_BOM[RM_Qty_Per_Batch]*IFERROR(INDEX(PP_Grid[#Data],M_BOM[PPGridRow],76),0))+IFERROR(INDEX(M_RawMaterials[固定週次消費量_要入力],MATCH($A35,M_RawMaterials[Part Name],0)),0)</f>
        <v/>
      </c>
      <c r="BY35">
        <f>SUMPRODUCT((M_BOM[Part Name]=$A35)*M_BOM[RM_Qty_Per_Batch]*IFERROR(INDEX(PP_Grid[#Data],M_BOM[PPGridRow],77),0))+IFERROR(INDEX(M_RawMaterials[固定週次消費量_要入力],MATCH($A35,M_RawMaterials[Part Name],0)),0)</f>
        <v/>
      </c>
      <c r="BZ35">
        <f>SUMPRODUCT((M_BOM[Part Name]=$A35)*M_BOM[RM_Qty_Per_Batch]*IFERROR(INDEX(PP_Grid[#Data],M_BOM[PPGridRow],78),0))+IFERROR(INDEX(M_RawMaterials[固定週次消費量_要入力],MATCH($A35,M_RawMaterials[Part Name],0)),0)</f>
        <v/>
      </c>
      <c r="CA35">
        <f>SUMPRODUCT((M_BOM[Part Name]=$A35)*M_BOM[RM_Qty_Per_Batch]*IFERROR(INDEX(PP_Grid[#Data],M_BOM[PPGridRow],79),0))+IFERROR(INDEX(M_RawMaterials[固定週次消費量_要入力],MATCH($A35,M_RawMaterials[Part Name],0)),0)</f>
        <v/>
      </c>
      <c r="CB35">
        <f>SUMPRODUCT((M_BOM[Part Name]=$A35)*M_BOM[RM_Qty_Per_Batch]*IFERROR(INDEX(PP_Grid[#Data],M_BOM[PPGridRow],80),0))+IFERROR(INDEX(M_RawMaterials[固定週次消費量_要入力],MATCH($A35,M_RawMaterials[Part Name],0)),0)</f>
        <v/>
      </c>
      <c r="CC35">
        <f>SUMPRODUCT((M_BOM[Part Name]=$A35)*M_BOM[RM_Qty_Per_Batch]*IFERROR(INDEX(PP_Grid[#Data],M_BOM[PPGridRow],81),0))+IFERROR(INDEX(M_RawMaterials[固定週次消費量_要入力],MATCH($A35,M_RawMaterials[Part Name],0)),0)</f>
        <v/>
      </c>
      <c r="CD35">
        <f>SUMPRODUCT((M_BOM[Part Name]=$A35)*M_BOM[RM_Qty_Per_Batch]*IFERROR(INDEX(PP_Grid[#Data],M_BOM[PPGridRow],82),0))+IFERROR(INDEX(M_RawMaterials[固定週次消費量_要入力],MATCH($A35,M_RawMaterials[Part Name],0)),0)</f>
        <v/>
      </c>
      <c r="CE35">
        <f>SUMPRODUCT((M_BOM[Part Name]=$A35)*M_BOM[RM_Qty_Per_Batch]*IFERROR(INDEX(PP_Grid[#Data],M_BOM[PPGridRow],83),0))+IFERROR(INDEX(M_RawMaterials[固定週次消費量_要入力],MATCH($A35,M_RawMaterials[Part Name],0)),0)</f>
        <v/>
      </c>
      <c r="CF35">
        <f>SUMPRODUCT((M_BOM[Part Name]=$A35)*M_BOM[RM_Qty_Per_Batch]*IFERROR(INDEX(PP_Grid[#Data],M_BOM[PPGridRow],84),0))+IFERROR(INDEX(M_RawMaterials[固定週次消費量_要入力],MATCH($A35,M_RawMaterials[Part Name],0)),0)</f>
        <v/>
      </c>
      <c r="CG35">
        <f>SUMPRODUCT((M_BOM[Part Name]=$A35)*M_BOM[RM_Qty_Per_Batch]*IFERROR(INDEX(PP_Grid[#Data],M_BOM[PPGridRow],85),0))+IFERROR(INDEX(M_RawMaterials[固定週次消費量_要入力],MATCH($A35,M_RawMaterials[Part Name],0)),0)</f>
        <v/>
      </c>
      <c r="CH35">
        <f>SUMPRODUCT((M_BOM[Part Name]=$A35)*M_BOM[RM_Qty_Per_Batch]*IFERROR(INDEX(PP_Grid[#Data],M_BOM[PPGridRow],86),0))+IFERROR(INDEX(M_RawMaterials[固定週次消費量_要入力],MATCH($A35,M_RawMaterials[Part Name],0)),0)</f>
        <v/>
      </c>
      <c r="CI35">
        <f>SUMPRODUCT((M_BOM[Part Name]=$A35)*M_BOM[RM_Qty_Per_Batch]*IFERROR(INDEX(PP_Grid[#Data],M_BOM[PPGridRow],87),0))+IFERROR(INDEX(M_RawMaterials[固定週次消費量_要入力],MATCH($A35,M_RawMaterials[Part Name],0)),0)</f>
        <v/>
      </c>
      <c r="CJ35">
        <f>SUMPRODUCT((M_BOM[Part Name]=$A35)*M_BOM[RM_Qty_Per_Batch]*IFERROR(INDEX(PP_Grid[#Data],M_BOM[PPGridRow],88),0))+IFERROR(INDEX(M_RawMaterials[固定週次消費量_要入力],MATCH($A35,M_RawMaterials[Part Name],0)),0)</f>
        <v/>
      </c>
      <c r="CK35">
        <f>SUMPRODUCT((M_BOM[Part Name]=$A35)*M_BOM[RM_Qty_Per_Batch]*IFERROR(INDEX(PP_Grid[#Data],M_BOM[PPGridRow],89),0))+IFERROR(INDEX(M_RawMaterials[固定週次消費量_要入力],MATCH($A35,M_RawMaterials[Part Name],0)),0)</f>
        <v/>
      </c>
      <c r="CL35">
        <f>SUMPRODUCT((M_BOM[Part Name]=$A35)*M_BOM[RM_Qty_Per_Batch]*IFERROR(INDEX(PP_Grid[#Data],M_BOM[PPGridRow],90),0))+IFERROR(INDEX(M_RawMaterials[固定週次消費量_要入力],MATCH($A35,M_RawMaterials[Part Name],0)),0)</f>
        <v/>
      </c>
      <c r="CM35">
        <f>SUMPRODUCT((M_BOM[Part Name]=$A35)*M_BOM[RM_Qty_Per_Batch]*IFERROR(INDEX(PP_Grid[#Data],M_BOM[PPGridRow],91),0))+IFERROR(INDEX(M_RawMaterials[固定週次消費量_要入力],MATCH($A35,M_RawMaterials[Part Name],0)),0)</f>
        <v/>
      </c>
      <c r="CN35">
        <f>SUMPRODUCT((M_BOM[Part Name]=$A35)*M_BOM[RM_Qty_Per_Batch]*IFERROR(INDEX(PP_Grid[#Data],M_BOM[PPGridRow],92),0))+IFERROR(INDEX(M_RawMaterials[固定週次消費量_要入力],MATCH($A35,M_RawMaterials[Part Name],0)),0)</f>
        <v/>
      </c>
      <c r="CO35">
        <f>SUMPRODUCT((M_BOM[Part Name]=$A35)*M_BOM[RM_Qty_Per_Batch]*IFERROR(INDEX(PP_Grid[#Data],M_BOM[PPGridRow],93),0))+IFERROR(INDEX(M_RawMaterials[固定週次消費量_要入力],MATCH($A35,M_RawMaterials[Part Name],0)),0)</f>
        <v/>
      </c>
      <c r="CP35">
        <f>SUMPRODUCT((M_BOM[Part Name]=$A35)*M_BOM[RM_Qty_Per_Batch]*IFERROR(INDEX(PP_Grid[#Data],M_BOM[PPGridRow],94),0))+IFERROR(INDEX(M_RawMaterials[固定週次消費量_要入力],MATCH($A35,M_RawMaterials[Part Name],0)),0)</f>
        <v/>
      </c>
      <c r="CQ35">
        <f>SUMPRODUCT((M_BOM[Part Name]=$A35)*M_BOM[RM_Qty_Per_Batch]*IFERROR(INDEX(PP_Grid[#Data],M_BOM[PPGridRow],95),0))+IFERROR(INDEX(M_RawMaterials[固定週次消費量_要入力],MATCH($A35,M_RawMaterials[Part Name],0)),0)</f>
        <v/>
      </c>
      <c r="CR35">
        <f>SUMPRODUCT((M_BOM[Part Name]=$A35)*M_BOM[RM_Qty_Per_Batch]*IFERROR(INDEX(PP_Grid[#Data],M_BOM[PPGridRow],96),0))+IFERROR(INDEX(M_RawMaterials[固定週次消費量_要入力],MATCH($A35,M_RawMaterials[Part Name],0)),0)</f>
        <v/>
      </c>
      <c r="CS35">
        <f>SUMPRODUCT((M_BOM[Part Name]=$A35)*M_BOM[RM_Qty_Per_Batch]*IFERROR(INDEX(PP_Grid[#Data],M_BOM[PPGridRow],97),0))+IFERROR(INDEX(M_RawMaterials[固定週次消費量_要入力],MATCH($A35,M_RawMaterials[Part Name],0)),0)</f>
        <v/>
      </c>
      <c r="CT35">
        <f>SUMPRODUCT((M_BOM[Part Name]=$A35)*M_BOM[RM_Qty_Per_Batch]*IFERROR(INDEX(PP_Grid[#Data],M_BOM[PPGridRow],98),0))+IFERROR(INDEX(M_RawMaterials[固定週次消費量_要入力],MATCH($A35,M_RawMaterials[Part Name],0)),0)</f>
        <v/>
      </c>
      <c r="CU35">
        <f>SUMPRODUCT((M_BOM[Part Name]=$A35)*M_BOM[RM_Qty_Per_Batch]*IFERROR(INDEX(PP_Grid[#Data],M_BOM[PPGridRow],99),0))+IFERROR(INDEX(M_RawMaterials[固定週次消費量_要入力],MATCH($A35,M_RawMaterials[Part Name],0)),0)</f>
        <v/>
      </c>
      <c r="CV35">
        <f>SUMPRODUCT((M_BOM[Part Name]=$A35)*M_BOM[RM_Qty_Per_Batch]*IFERROR(INDEX(PP_Grid[#Data],M_BOM[PPGridRow],100),0))+IFERROR(INDEX(M_RawMaterials[固定週次消費量_要入力],MATCH($A35,M_RawMaterials[Part Name],0)),0)</f>
        <v/>
      </c>
      <c r="CW35">
        <f>SUMPRODUCT((M_BOM[Part Name]=$A35)*M_BOM[RM_Qty_Per_Batch]*IFERROR(INDEX(PP_Grid[#Data],M_BOM[PPGridRow],101),0))+IFERROR(INDEX(M_RawMaterials[固定週次消費量_要入力],MATCH($A35,M_RawMaterials[Part Name],0)),0)</f>
        <v/>
      </c>
      <c r="CX35">
        <f>SUMPRODUCT((M_BOM[Part Name]=$A35)*M_BOM[RM_Qty_Per_Batch]*IFERROR(INDEX(PP_Grid[#Data],M_BOM[PPGridRow],102),0))+IFERROR(INDEX(M_RawMaterials[固定週次消費量_要入力],MATCH($A35,M_RawMaterials[Part Name],0)),0)</f>
        <v/>
      </c>
      <c r="CY35">
        <f>SUMPRODUCT((M_BOM[Part Name]=$A35)*M_BOM[RM_Qty_Per_Batch]*IFERROR(INDEX(PP_Grid[#Data],M_BOM[PPGridRow],103),0))+IFERROR(INDEX(M_RawMaterials[固定週次消費量_要入力],MATCH($A35,M_RawMaterials[Part Name],0)),0)</f>
        <v/>
      </c>
      <c r="CZ35">
        <f>SUMPRODUCT((M_BOM[Part Name]=$A35)*M_BOM[RM_Qty_Per_Batch]*IFERROR(INDEX(PP_Grid[#Data],M_BOM[PPGridRow],104),0))+IFERROR(INDEX(M_RawMaterials[固定週次消費量_要入力],MATCH($A35,M_RawMaterials[Part Name],0)),0)</f>
        <v/>
      </c>
      <c r="DA35">
        <f>SUMPRODUCT((M_BOM[Part Name]=$A35)*M_BOM[RM_Qty_Per_Batch]*IFERROR(INDEX(PP_Grid[#Data],M_BOM[PPGridRow],105),0))+IFERROR(INDEX(M_RawMaterials[固定週次消費量_要入力],MATCH($A35,M_RawMaterials[Part Name],0)),0)</f>
        <v/>
      </c>
    </row>
    <row r="36">
      <c r="A36" t="inlineStr">
        <is>
          <t>CHEM-1420</t>
        </is>
      </c>
      <c r="B36">
        <f>SUMPRODUCT((M_BOM[Part Name]=$A36)*M_BOM[RM_Qty_Per_Batch]*IFERROR(INDEX(PP_Grid[#Data],M_BOM[PPGridRow],2),0))+IFERROR(INDEX(M_RawMaterials[固定週次消費量_要入力],MATCH($A36,M_RawMaterials[Part Name],0)),0)</f>
        <v/>
      </c>
      <c r="C36">
        <f>SUMPRODUCT((M_BOM[Part Name]=$A36)*M_BOM[RM_Qty_Per_Batch]*IFERROR(INDEX(PP_Grid[#Data],M_BOM[PPGridRow],3),0))+IFERROR(INDEX(M_RawMaterials[固定週次消費量_要入力],MATCH($A36,M_RawMaterials[Part Name],0)),0)</f>
        <v/>
      </c>
      <c r="D36">
        <f>SUMPRODUCT((M_BOM[Part Name]=$A36)*M_BOM[RM_Qty_Per_Batch]*IFERROR(INDEX(PP_Grid[#Data],M_BOM[PPGridRow],4),0))+IFERROR(INDEX(M_RawMaterials[固定週次消費量_要入力],MATCH($A36,M_RawMaterials[Part Name],0)),0)</f>
        <v/>
      </c>
      <c r="E36">
        <f>SUMPRODUCT((M_BOM[Part Name]=$A36)*M_BOM[RM_Qty_Per_Batch]*IFERROR(INDEX(PP_Grid[#Data],M_BOM[PPGridRow],5),0))+IFERROR(INDEX(M_RawMaterials[固定週次消費量_要入力],MATCH($A36,M_RawMaterials[Part Name],0)),0)</f>
        <v/>
      </c>
      <c r="F36">
        <f>SUMPRODUCT((M_BOM[Part Name]=$A36)*M_BOM[RM_Qty_Per_Batch]*IFERROR(INDEX(PP_Grid[#Data],M_BOM[PPGridRow],6),0))+IFERROR(INDEX(M_RawMaterials[固定週次消費量_要入力],MATCH($A36,M_RawMaterials[Part Name],0)),0)</f>
        <v/>
      </c>
      <c r="G36">
        <f>SUMPRODUCT((M_BOM[Part Name]=$A36)*M_BOM[RM_Qty_Per_Batch]*IFERROR(INDEX(PP_Grid[#Data],M_BOM[PPGridRow],7),0))+IFERROR(INDEX(M_RawMaterials[固定週次消費量_要入力],MATCH($A36,M_RawMaterials[Part Name],0)),0)</f>
        <v/>
      </c>
      <c r="H36">
        <f>SUMPRODUCT((M_BOM[Part Name]=$A36)*M_BOM[RM_Qty_Per_Batch]*IFERROR(INDEX(PP_Grid[#Data],M_BOM[PPGridRow],8),0))+IFERROR(INDEX(M_RawMaterials[固定週次消費量_要入力],MATCH($A36,M_RawMaterials[Part Name],0)),0)</f>
        <v/>
      </c>
      <c r="I36">
        <f>SUMPRODUCT((M_BOM[Part Name]=$A36)*M_BOM[RM_Qty_Per_Batch]*IFERROR(INDEX(PP_Grid[#Data],M_BOM[PPGridRow],9),0))+IFERROR(INDEX(M_RawMaterials[固定週次消費量_要入力],MATCH($A36,M_RawMaterials[Part Name],0)),0)</f>
        <v/>
      </c>
      <c r="J36">
        <f>SUMPRODUCT((M_BOM[Part Name]=$A36)*M_BOM[RM_Qty_Per_Batch]*IFERROR(INDEX(PP_Grid[#Data],M_BOM[PPGridRow],10),0))+IFERROR(INDEX(M_RawMaterials[固定週次消費量_要入力],MATCH($A36,M_RawMaterials[Part Name],0)),0)</f>
        <v/>
      </c>
      <c r="K36">
        <f>SUMPRODUCT((M_BOM[Part Name]=$A36)*M_BOM[RM_Qty_Per_Batch]*IFERROR(INDEX(PP_Grid[#Data],M_BOM[PPGridRow],11),0))+IFERROR(INDEX(M_RawMaterials[固定週次消費量_要入力],MATCH($A36,M_RawMaterials[Part Name],0)),0)</f>
        <v/>
      </c>
      <c r="L36">
        <f>SUMPRODUCT((M_BOM[Part Name]=$A36)*M_BOM[RM_Qty_Per_Batch]*IFERROR(INDEX(PP_Grid[#Data],M_BOM[PPGridRow],12),0))+IFERROR(INDEX(M_RawMaterials[固定週次消費量_要入力],MATCH($A36,M_RawMaterials[Part Name],0)),0)</f>
        <v/>
      </c>
      <c r="M36">
        <f>SUMPRODUCT((M_BOM[Part Name]=$A36)*M_BOM[RM_Qty_Per_Batch]*IFERROR(INDEX(PP_Grid[#Data],M_BOM[PPGridRow],13),0))+IFERROR(INDEX(M_RawMaterials[固定週次消費量_要入力],MATCH($A36,M_RawMaterials[Part Name],0)),0)</f>
        <v/>
      </c>
      <c r="N36">
        <f>SUMPRODUCT((M_BOM[Part Name]=$A36)*M_BOM[RM_Qty_Per_Batch]*IFERROR(INDEX(PP_Grid[#Data],M_BOM[PPGridRow],14),0))+IFERROR(INDEX(M_RawMaterials[固定週次消費量_要入力],MATCH($A36,M_RawMaterials[Part Name],0)),0)</f>
        <v/>
      </c>
      <c r="O36">
        <f>SUMPRODUCT((M_BOM[Part Name]=$A36)*M_BOM[RM_Qty_Per_Batch]*IFERROR(INDEX(PP_Grid[#Data],M_BOM[PPGridRow],15),0))+IFERROR(INDEX(M_RawMaterials[固定週次消費量_要入力],MATCH($A36,M_RawMaterials[Part Name],0)),0)</f>
        <v/>
      </c>
      <c r="P36">
        <f>SUMPRODUCT((M_BOM[Part Name]=$A36)*M_BOM[RM_Qty_Per_Batch]*IFERROR(INDEX(PP_Grid[#Data],M_BOM[PPGridRow],16),0))+IFERROR(INDEX(M_RawMaterials[固定週次消費量_要入力],MATCH($A36,M_RawMaterials[Part Name],0)),0)</f>
        <v/>
      </c>
      <c r="Q36">
        <f>SUMPRODUCT((M_BOM[Part Name]=$A36)*M_BOM[RM_Qty_Per_Batch]*IFERROR(INDEX(PP_Grid[#Data],M_BOM[PPGridRow],17),0))+IFERROR(INDEX(M_RawMaterials[固定週次消費量_要入力],MATCH($A36,M_RawMaterials[Part Name],0)),0)</f>
        <v/>
      </c>
      <c r="R36">
        <f>SUMPRODUCT((M_BOM[Part Name]=$A36)*M_BOM[RM_Qty_Per_Batch]*IFERROR(INDEX(PP_Grid[#Data],M_BOM[PPGridRow],18),0))+IFERROR(INDEX(M_RawMaterials[固定週次消費量_要入力],MATCH($A36,M_RawMaterials[Part Name],0)),0)</f>
        <v/>
      </c>
      <c r="S36">
        <f>SUMPRODUCT((M_BOM[Part Name]=$A36)*M_BOM[RM_Qty_Per_Batch]*IFERROR(INDEX(PP_Grid[#Data],M_BOM[PPGridRow],19),0))+IFERROR(INDEX(M_RawMaterials[固定週次消費量_要入力],MATCH($A36,M_RawMaterials[Part Name],0)),0)</f>
        <v/>
      </c>
      <c r="T36">
        <f>SUMPRODUCT((M_BOM[Part Name]=$A36)*M_BOM[RM_Qty_Per_Batch]*IFERROR(INDEX(PP_Grid[#Data],M_BOM[PPGridRow],20),0))+IFERROR(INDEX(M_RawMaterials[固定週次消費量_要入力],MATCH($A36,M_RawMaterials[Part Name],0)),0)</f>
        <v/>
      </c>
      <c r="U36">
        <f>SUMPRODUCT((M_BOM[Part Name]=$A36)*M_BOM[RM_Qty_Per_Batch]*IFERROR(INDEX(PP_Grid[#Data],M_BOM[PPGridRow],21),0))+IFERROR(INDEX(M_RawMaterials[固定週次消費量_要入力],MATCH($A36,M_RawMaterials[Part Name],0)),0)</f>
        <v/>
      </c>
      <c r="V36">
        <f>SUMPRODUCT((M_BOM[Part Name]=$A36)*M_BOM[RM_Qty_Per_Batch]*IFERROR(INDEX(PP_Grid[#Data],M_BOM[PPGridRow],22),0))+IFERROR(INDEX(M_RawMaterials[固定週次消費量_要入力],MATCH($A36,M_RawMaterials[Part Name],0)),0)</f>
        <v/>
      </c>
      <c r="W36">
        <f>SUMPRODUCT((M_BOM[Part Name]=$A36)*M_BOM[RM_Qty_Per_Batch]*IFERROR(INDEX(PP_Grid[#Data],M_BOM[PPGridRow],23),0))+IFERROR(INDEX(M_RawMaterials[固定週次消費量_要入力],MATCH($A36,M_RawMaterials[Part Name],0)),0)</f>
        <v/>
      </c>
      <c r="X36">
        <f>SUMPRODUCT((M_BOM[Part Name]=$A36)*M_BOM[RM_Qty_Per_Batch]*IFERROR(INDEX(PP_Grid[#Data],M_BOM[PPGridRow],24),0))+IFERROR(INDEX(M_RawMaterials[固定週次消費量_要入力],MATCH($A36,M_RawMaterials[Part Name],0)),0)</f>
        <v/>
      </c>
      <c r="Y36">
        <f>SUMPRODUCT((M_BOM[Part Name]=$A36)*M_BOM[RM_Qty_Per_Batch]*IFERROR(INDEX(PP_Grid[#Data],M_BOM[PPGridRow],25),0))+IFERROR(INDEX(M_RawMaterials[固定週次消費量_要入力],MATCH($A36,M_RawMaterials[Part Name],0)),0)</f>
        <v/>
      </c>
      <c r="Z36">
        <f>SUMPRODUCT((M_BOM[Part Name]=$A36)*M_BOM[RM_Qty_Per_Batch]*IFERROR(INDEX(PP_Grid[#Data],M_BOM[PPGridRow],26),0))+IFERROR(INDEX(M_RawMaterials[固定週次消費量_要入力],MATCH($A36,M_RawMaterials[Part Name],0)),0)</f>
        <v/>
      </c>
      <c r="AA36">
        <f>SUMPRODUCT((M_BOM[Part Name]=$A36)*M_BOM[RM_Qty_Per_Batch]*IFERROR(INDEX(PP_Grid[#Data],M_BOM[PPGridRow],27),0))+IFERROR(INDEX(M_RawMaterials[固定週次消費量_要入力],MATCH($A36,M_RawMaterials[Part Name],0)),0)</f>
        <v/>
      </c>
      <c r="AB36">
        <f>SUMPRODUCT((M_BOM[Part Name]=$A36)*M_BOM[RM_Qty_Per_Batch]*IFERROR(INDEX(PP_Grid[#Data],M_BOM[PPGridRow],28),0))+IFERROR(INDEX(M_RawMaterials[固定週次消費量_要入力],MATCH($A36,M_RawMaterials[Part Name],0)),0)</f>
        <v/>
      </c>
      <c r="AC36">
        <f>SUMPRODUCT((M_BOM[Part Name]=$A36)*M_BOM[RM_Qty_Per_Batch]*IFERROR(INDEX(PP_Grid[#Data],M_BOM[PPGridRow],29),0))+IFERROR(INDEX(M_RawMaterials[固定週次消費量_要入力],MATCH($A36,M_RawMaterials[Part Name],0)),0)</f>
        <v/>
      </c>
      <c r="AD36">
        <f>SUMPRODUCT((M_BOM[Part Name]=$A36)*M_BOM[RM_Qty_Per_Batch]*IFERROR(INDEX(PP_Grid[#Data],M_BOM[PPGridRow],30),0))+IFERROR(INDEX(M_RawMaterials[固定週次消費量_要入力],MATCH($A36,M_RawMaterials[Part Name],0)),0)</f>
        <v/>
      </c>
      <c r="AE36">
        <f>SUMPRODUCT((M_BOM[Part Name]=$A36)*M_BOM[RM_Qty_Per_Batch]*IFERROR(INDEX(PP_Grid[#Data],M_BOM[PPGridRow],31),0))+IFERROR(INDEX(M_RawMaterials[固定週次消費量_要入力],MATCH($A36,M_RawMaterials[Part Name],0)),0)</f>
        <v/>
      </c>
      <c r="AF36">
        <f>SUMPRODUCT((M_BOM[Part Name]=$A36)*M_BOM[RM_Qty_Per_Batch]*IFERROR(INDEX(PP_Grid[#Data],M_BOM[PPGridRow],32),0))+IFERROR(INDEX(M_RawMaterials[固定週次消費量_要入力],MATCH($A36,M_RawMaterials[Part Name],0)),0)</f>
        <v/>
      </c>
      <c r="AG36">
        <f>SUMPRODUCT((M_BOM[Part Name]=$A36)*M_BOM[RM_Qty_Per_Batch]*IFERROR(INDEX(PP_Grid[#Data],M_BOM[PPGridRow],33),0))+IFERROR(INDEX(M_RawMaterials[固定週次消費量_要入力],MATCH($A36,M_RawMaterials[Part Name],0)),0)</f>
        <v/>
      </c>
      <c r="AH36">
        <f>SUMPRODUCT((M_BOM[Part Name]=$A36)*M_BOM[RM_Qty_Per_Batch]*IFERROR(INDEX(PP_Grid[#Data],M_BOM[PPGridRow],34),0))+IFERROR(INDEX(M_RawMaterials[固定週次消費量_要入力],MATCH($A36,M_RawMaterials[Part Name],0)),0)</f>
        <v/>
      </c>
      <c r="AI36">
        <f>SUMPRODUCT((M_BOM[Part Name]=$A36)*M_BOM[RM_Qty_Per_Batch]*IFERROR(INDEX(PP_Grid[#Data],M_BOM[PPGridRow],35),0))+IFERROR(INDEX(M_RawMaterials[固定週次消費量_要入力],MATCH($A36,M_RawMaterials[Part Name],0)),0)</f>
        <v/>
      </c>
      <c r="AJ36">
        <f>SUMPRODUCT((M_BOM[Part Name]=$A36)*M_BOM[RM_Qty_Per_Batch]*IFERROR(INDEX(PP_Grid[#Data],M_BOM[PPGridRow],36),0))+IFERROR(INDEX(M_RawMaterials[固定週次消費量_要入力],MATCH($A36,M_RawMaterials[Part Name],0)),0)</f>
        <v/>
      </c>
      <c r="AK36">
        <f>SUMPRODUCT((M_BOM[Part Name]=$A36)*M_BOM[RM_Qty_Per_Batch]*IFERROR(INDEX(PP_Grid[#Data],M_BOM[PPGridRow],37),0))+IFERROR(INDEX(M_RawMaterials[固定週次消費量_要入力],MATCH($A36,M_RawMaterials[Part Name],0)),0)</f>
        <v/>
      </c>
      <c r="AL36">
        <f>SUMPRODUCT((M_BOM[Part Name]=$A36)*M_BOM[RM_Qty_Per_Batch]*IFERROR(INDEX(PP_Grid[#Data],M_BOM[PPGridRow],38),0))+IFERROR(INDEX(M_RawMaterials[固定週次消費量_要入力],MATCH($A36,M_RawMaterials[Part Name],0)),0)</f>
        <v/>
      </c>
      <c r="AM36">
        <f>SUMPRODUCT((M_BOM[Part Name]=$A36)*M_BOM[RM_Qty_Per_Batch]*IFERROR(INDEX(PP_Grid[#Data],M_BOM[PPGridRow],39),0))+IFERROR(INDEX(M_RawMaterials[固定週次消費量_要入力],MATCH($A36,M_RawMaterials[Part Name],0)),0)</f>
        <v/>
      </c>
      <c r="AN36">
        <f>SUMPRODUCT((M_BOM[Part Name]=$A36)*M_BOM[RM_Qty_Per_Batch]*IFERROR(INDEX(PP_Grid[#Data],M_BOM[PPGridRow],40),0))+IFERROR(INDEX(M_RawMaterials[固定週次消費量_要入力],MATCH($A36,M_RawMaterials[Part Name],0)),0)</f>
        <v/>
      </c>
      <c r="AO36">
        <f>SUMPRODUCT((M_BOM[Part Name]=$A36)*M_BOM[RM_Qty_Per_Batch]*IFERROR(INDEX(PP_Grid[#Data],M_BOM[PPGridRow],41),0))+IFERROR(INDEX(M_RawMaterials[固定週次消費量_要入力],MATCH($A36,M_RawMaterials[Part Name],0)),0)</f>
        <v/>
      </c>
      <c r="AP36">
        <f>SUMPRODUCT((M_BOM[Part Name]=$A36)*M_BOM[RM_Qty_Per_Batch]*IFERROR(INDEX(PP_Grid[#Data],M_BOM[PPGridRow],42),0))+IFERROR(INDEX(M_RawMaterials[固定週次消費量_要入力],MATCH($A36,M_RawMaterials[Part Name],0)),0)</f>
        <v/>
      </c>
      <c r="AQ36">
        <f>SUMPRODUCT((M_BOM[Part Name]=$A36)*M_BOM[RM_Qty_Per_Batch]*IFERROR(INDEX(PP_Grid[#Data],M_BOM[PPGridRow],43),0))+IFERROR(INDEX(M_RawMaterials[固定週次消費量_要入力],MATCH($A36,M_RawMaterials[Part Name],0)),0)</f>
        <v/>
      </c>
      <c r="AR36">
        <f>SUMPRODUCT((M_BOM[Part Name]=$A36)*M_BOM[RM_Qty_Per_Batch]*IFERROR(INDEX(PP_Grid[#Data],M_BOM[PPGridRow],44),0))+IFERROR(INDEX(M_RawMaterials[固定週次消費量_要入力],MATCH($A36,M_RawMaterials[Part Name],0)),0)</f>
        <v/>
      </c>
      <c r="AS36">
        <f>SUMPRODUCT((M_BOM[Part Name]=$A36)*M_BOM[RM_Qty_Per_Batch]*IFERROR(INDEX(PP_Grid[#Data],M_BOM[PPGridRow],45),0))+IFERROR(INDEX(M_RawMaterials[固定週次消費量_要入力],MATCH($A36,M_RawMaterials[Part Name],0)),0)</f>
        <v/>
      </c>
      <c r="AT36">
        <f>SUMPRODUCT((M_BOM[Part Name]=$A36)*M_BOM[RM_Qty_Per_Batch]*IFERROR(INDEX(PP_Grid[#Data],M_BOM[PPGridRow],46),0))+IFERROR(INDEX(M_RawMaterials[固定週次消費量_要入力],MATCH($A36,M_RawMaterials[Part Name],0)),0)</f>
        <v/>
      </c>
      <c r="AU36">
        <f>SUMPRODUCT((M_BOM[Part Name]=$A36)*M_BOM[RM_Qty_Per_Batch]*IFERROR(INDEX(PP_Grid[#Data],M_BOM[PPGridRow],47),0))+IFERROR(INDEX(M_RawMaterials[固定週次消費量_要入力],MATCH($A36,M_RawMaterials[Part Name],0)),0)</f>
        <v/>
      </c>
      <c r="AV36">
        <f>SUMPRODUCT((M_BOM[Part Name]=$A36)*M_BOM[RM_Qty_Per_Batch]*IFERROR(INDEX(PP_Grid[#Data],M_BOM[PPGridRow],48),0))+IFERROR(INDEX(M_RawMaterials[固定週次消費量_要入力],MATCH($A36,M_RawMaterials[Part Name],0)),0)</f>
        <v/>
      </c>
      <c r="AW36">
        <f>SUMPRODUCT((M_BOM[Part Name]=$A36)*M_BOM[RM_Qty_Per_Batch]*IFERROR(INDEX(PP_Grid[#Data],M_BOM[PPGridRow],49),0))+IFERROR(INDEX(M_RawMaterials[固定週次消費量_要入力],MATCH($A36,M_RawMaterials[Part Name],0)),0)</f>
        <v/>
      </c>
      <c r="AX36">
        <f>SUMPRODUCT((M_BOM[Part Name]=$A36)*M_BOM[RM_Qty_Per_Batch]*IFERROR(INDEX(PP_Grid[#Data],M_BOM[PPGridRow],50),0))+IFERROR(INDEX(M_RawMaterials[固定週次消費量_要入力],MATCH($A36,M_RawMaterials[Part Name],0)),0)</f>
        <v/>
      </c>
      <c r="AY36">
        <f>SUMPRODUCT((M_BOM[Part Name]=$A36)*M_BOM[RM_Qty_Per_Batch]*IFERROR(INDEX(PP_Grid[#Data],M_BOM[PPGridRow],51),0))+IFERROR(INDEX(M_RawMaterials[固定週次消費量_要入力],MATCH($A36,M_RawMaterials[Part Name],0)),0)</f>
        <v/>
      </c>
      <c r="AZ36">
        <f>SUMPRODUCT((M_BOM[Part Name]=$A36)*M_BOM[RM_Qty_Per_Batch]*IFERROR(INDEX(PP_Grid[#Data],M_BOM[PPGridRow],52),0))+IFERROR(INDEX(M_RawMaterials[固定週次消費量_要入力],MATCH($A36,M_RawMaterials[Part Name],0)),0)</f>
        <v/>
      </c>
      <c r="BA36">
        <f>SUMPRODUCT((M_BOM[Part Name]=$A36)*M_BOM[RM_Qty_Per_Batch]*IFERROR(INDEX(PP_Grid[#Data],M_BOM[PPGridRow],53),0))+IFERROR(INDEX(M_RawMaterials[固定週次消費量_要入力],MATCH($A36,M_RawMaterials[Part Name],0)),0)</f>
        <v/>
      </c>
      <c r="BB36">
        <f>SUMPRODUCT((M_BOM[Part Name]=$A36)*M_BOM[RM_Qty_Per_Batch]*IFERROR(INDEX(PP_Grid[#Data],M_BOM[PPGridRow],54),0))+IFERROR(INDEX(M_RawMaterials[固定週次消費量_要入力],MATCH($A36,M_RawMaterials[Part Name],0)),0)</f>
        <v/>
      </c>
      <c r="BC36">
        <f>SUMPRODUCT((M_BOM[Part Name]=$A36)*M_BOM[RM_Qty_Per_Batch]*IFERROR(INDEX(PP_Grid[#Data],M_BOM[PPGridRow],55),0))+IFERROR(INDEX(M_RawMaterials[固定週次消費量_要入力],MATCH($A36,M_RawMaterials[Part Name],0)),0)</f>
        <v/>
      </c>
      <c r="BD36">
        <f>SUMPRODUCT((M_BOM[Part Name]=$A36)*M_BOM[RM_Qty_Per_Batch]*IFERROR(INDEX(PP_Grid[#Data],M_BOM[PPGridRow],56),0))+IFERROR(INDEX(M_RawMaterials[固定週次消費量_要入力],MATCH($A36,M_RawMaterials[Part Name],0)),0)</f>
        <v/>
      </c>
      <c r="BE36">
        <f>SUMPRODUCT((M_BOM[Part Name]=$A36)*M_BOM[RM_Qty_Per_Batch]*IFERROR(INDEX(PP_Grid[#Data],M_BOM[PPGridRow],57),0))+IFERROR(INDEX(M_RawMaterials[固定週次消費量_要入力],MATCH($A36,M_RawMaterials[Part Name],0)),0)</f>
        <v/>
      </c>
      <c r="BF36">
        <f>SUMPRODUCT((M_BOM[Part Name]=$A36)*M_BOM[RM_Qty_Per_Batch]*IFERROR(INDEX(PP_Grid[#Data],M_BOM[PPGridRow],58),0))+IFERROR(INDEX(M_RawMaterials[固定週次消費量_要入力],MATCH($A36,M_RawMaterials[Part Name],0)),0)</f>
        <v/>
      </c>
      <c r="BG36">
        <f>SUMPRODUCT((M_BOM[Part Name]=$A36)*M_BOM[RM_Qty_Per_Batch]*IFERROR(INDEX(PP_Grid[#Data],M_BOM[PPGridRow],59),0))+IFERROR(INDEX(M_RawMaterials[固定週次消費量_要入力],MATCH($A36,M_RawMaterials[Part Name],0)),0)</f>
        <v/>
      </c>
      <c r="BH36">
        <f>SUMPRODUCT((M_BOM[Part Name]=$A36)*M_BOM[RM_Qty_Per_Batch]*IFERROR(INDEX(PP_Grid[#Data],M_BOM[PPGridRow],60),0))+IFERROR(INDEX(M_RawMaterials[固定週次消費量_要入力],MATCH($A36,M_RawMaterials[Part Name],0)),0)</f>
        <v/>
      </c>
      <c r="BI36">
        <f>SUMPRODUCT((M_BOM[Part Name]=$A36)*M_BOM[RM_Qty_Per_Batch]*IFERROR(INDEX(PP_Grid[#Data],M_BOM[PPGridRow],61),0))+IFERROR(INDEX(M_RawMaterials[固定週次消費量_要入力],MATCH($A36,M_RawMaterials[Part Name],0)),0)</f>
        <v/>
      </c>
      <c r="BJ36">
        <f>SUMPRODUCT((M_BOM[Part Name]=$A36)*M_BOM[RM_Qty_Per_Batch]*IFERROR(INDEX(PP_Grid[#Data],M_BOM[PPGridRow],62),0))+IFERROR(INDEX(M_RawMaterials[固定週次消費量_要入力],MATCH($A36,M_RawMaterials[Part Name],0)),0)</f>
        <v/>
      </c>
      <c r="BK36">
        <f>SUMPRODUCT((M_BOM[Part Name]=$A36)*M_BOM[RM_Qty_Per_Batch]*IFERROR(INDEX(PP_Grid[#Data],M_BOM[PPGridRow],63),0))+IFERROR(INDEX(M_RawMaterials[固定週次消費量_要入力],MATCH($A36,M_RawMaterials[Part Name],0)),0)</f>
        <v/>
      </c>
      <c r="BL36">
        <f>SUMPRODUCT((M_BOM[Part Name]=$A36)*M_BOM[RM_Qty_Per_Batch]*IFERROR(INDEX(PP_Grid[#Data],M_BOM[PPGridRow],64),0))+IFERROR(INDEX(M_RawMaterials[固定週次消費量_要入力],MATCH($A36,M_RawMaterials[Part Name],0)),0)</f>
        <v/>
      </c>
      <c r="BM36">
        <f>SUMPRODUCT((M_BOM[Part Name]=$A36)*M_BOM[RM_Qty_Per_Batch]*IFERROR(INDEX(PP_Grid[#Data],M_BOM[PPGridRow],65),0))+IFERROR(INDEX(M_RawMaterials[固定週次消費量_要入力],MATCH($A36,M_RawMaterials[Part Name],0)),0)</f>
        <v/>
      </c>
      <c r="BN36">
        <f>SUMPRODUCT((M_BOM[Part Name]=$A36)*M_BOM[RM_Qty_Per_Batch]*IFERROR(INDEX(PP_Grid[#Data],M_BOM[PPGridRow],66),0))+IFERROR(INDEX(M_RawMaterials[固定週次消費量_要入力],MATCH($A36,M_RawMaterials[Part Name],0)),0)</f>
        <v/>
      </c>
      <c r="BO36">
        <f>SUMPRODUCT((M_BOM[Part Name]=$A36)*M_BOM[RM_Qty_Per_Batch]*IFERROR(INDEX(PP_Grid[#Data],M_BOM[PPGridRow],67),0))+IFERROR(INDEX(M_RawMaterials[固定週次消費量_要入力],MATCH($A36,M_RawMaterials[Part Name],0)),0)</f>
        <v/>
      </c>
      <c r="BP36">
        <f>SUMPRODUCT((M_BOM[Part Name]=$A36)*M_BOM[RM_Qty_Per_Batch]*IFERROR(INDEX(PP_Grid[#Data],M_BOM[PPGridRow],68),0))+IFERROR(INDEX(M_RawMaterials[固定週次消費量_要入力],MATCH($A36,M_RawMaterials[Part Name],0)),0)</f>
        <v/>
      </c>
      <c r="BQ36">
        <f>SUMPRODUCT((M_BOM[Part Name]=$A36)*M_BOM[RM_Qty_Per_Batch]*IFERROR(INDEX(PP_Grid[#Data],M_BOM[PPGridRow],69),0))+IFERROR(INDEX(M_RawMaterials[固定週次消費量_要入力],MATCH($A36,M_RawMaterials[Part Name],0)),0)</f>
        <v/>
      </c>
      <c r="BR36">
        <f>SUMPRODUCT((M_BOM[Part Name]=$A36)*M_BOM[RM_Qty_Per_Batch]*IFERROR(INDEX(PP_Grid[#Data],M_BOM[PPGridRow],70),0))+IFERROR(INDEX(M_RawMaterials[固定週次消費量_要入力],MATCH($A36,M_RawMaterials[Part Name],0)),0)</f>
        <v/>
      </c>
      <c r="BS36">
        <f>SUMPRODUCT((M_BOM[Part Name]=$A36)*M_BOM[RM_Qty_Per_Batch]*IFERROR(INDEX(PP_Grid[#Data],M_BOM[PPGridRow],71),0))+IFERROR(INDEX(M_RawMaterials[固定週次消費量_要入力],MATCH($A36,M_RawMaterials[Part Name],0)),0)</f>
        <v/>
      </c>
      <c r="BT36">
        <f>SUMPRODUCT((M_BOM[Part Name]=$A36)*M_BOM[RM_Qty_Per_Batch]*IFERROR(INDEX(PP_Grid[#Data],M_BOM[PPGridRow],72),0))+IFERROR(INDEX(M_RawMaterials[固定週次消費量_要入力],MATCH($A36,M_RawMaterials[Part Name],0)),0)</f>
        <v/>
      </c>
      <c r="BU36">
        <f>SUMPRODUCT((M_BOM[Part Name]=$A36)*M_BOM[RM_Qty_Per_Batch]*IFERROR(INDEX(PP_Grid[#Data],M_BOM[PPGridRow],73),0))+IFERROR(INDEX(M_RawMaterials[固定週次消費量_要入力],MATCH($A36,M_RawMaterials[Part Name],0)),0)</f>
        <v/>
      </c>
      <c r="BV36">
        <f>SUMPRODUCT((M_BOM[Part Name]=$A36)*M_BOM[RM_Qty_Per_Batch]*IFERROR(INDEX(PP_Grid[#Data],M_BOM[PPGridRow],74),0))+IFERROR(INDEX(M_RawMaterials[固定週次消費量_要入力],MATCH($A36,M_RawMaterials[Part Name],0)),0)</f>
        <v/>
      </c>
      <c r="BW36">
        <f>SUMPRODUCT((M_BOM[Part Name]=$A36)*M_BOM[RM_Qty_Per_Batch]*IFERROR(INDEX(PP_Grid[#Data],M_BOM[PPGridRow],75),0))+IFERROR(INDEX(M_RawMaterials[固定週次消費量_要入力],MATCH($A36,M_RawMaterials[Part Name],0)),0)</f>
        <v/>
      </c>
      <c r="BX36">
        <f>SUMPRODUCT((M_BOM[Part Name]=$A36)*M_BOM[RM_Qty_Per_Batch]*IFERROR(INDEX(PP_Grid[#Data],M_BOM[PPGridRow],76),0))+IFERROR(INDEX(M_RawMaterials[固定週次消費量_要入力],MATCH($A36,M_RawMaterials[Part Name],0)),0)</f>
        <v/>
      </c>
      <c r="BY36">
        <f>SUMPRODUCT((M_BOM[Part Name]=$A36)*M_BOM[RM_Qty_Per_Batch]*IFERROR(INDEX(PP_Grid[#Data],M_BOM[PPGridRow],77),0))+IFERROR(INDEX(M_RawMaterials[固定週次消費量_要入力],MATCH($A36,M_RawMaterials[Part Name],0)),0)</f>
        <v/>
      </c>
      <c r="BZ36">
        <f>SUMPRODUCT((M_BOM[Part Name]=$A36)*M_BOM[RM_Qty_Per_Batch]*IFERROR(INDEX(PP_Grid[#Data],M_BOM[PPGridRow],78),0))+IFERROR(INDEX(M_RawMaterials[固定週次消費量_要入力],MATCH($A36,M_RawMaterials[Part Name],0)),0)</f>
        <v/>
      </c>
      <c r="CA36">
        <f>SUMPRODUCT((M_BOM[Part Name]=$A36)*M_BOM[RM_Qty_Per_Batch]*IFERROR(INDEX(PP_Grid[#Data],M_BOM[PPGridRow],79),0))+IFERROR(INDEX(M_RawMaterials[固定週次消費量_要入力],MATCH($A36,M_RawMaterials[Part Name],0)),0)</f>
        <v/>
      </c>
      <c r="CB36">
        <f>SUMPRODUCT((M_BOM[Part Name]=$A36)*M_BOM[RM_Qty_Per_Batch]*IFERROR(INDEX(PP_Grid[#Data],M_BOM[PPGridRow],80),0))+IFERROR(INDEX(M_RawMaterials[固定週次消費量_要入力],MATCH($A36,M_RawMaterials[Part Name],0)),0)</f>
        <v/>
      </c>
      <c r="CC36">
        <f>SUMPRODUCT((M_BOM[Part Name]=$A36)*M_BOM[RM_Qty_Per_Batch]*IFERROR(INDEX(PP_Grid[#Data],M_BOM[PPGridRow],81),0))+IFERROR(INDEX(M_RawMaterials[固定週次消費量_要入力],MATCH($A36,M_RawMaterials[Part Name],0)),0)</f>
        <v/>
      </c>
      <c r="CD36">
        <f>SUMPRODUCT((M_BOM[Part Name]=$A36)*M_BOM[RM_Qty_Per_Batch]*IFERROR(INDEX(PP_Grid[#Data],M_BOM[PPGridRow],82),0))+IFERROR(INDEX(M_RawMaterials[固定週次消費量_要入力],MATCH($A36,M_RawMaterials[Part Name],0)),0)</f>
        <v/>
      </c>
      <c r="CE36">
        <f>SUMPRODUCT((M_BOM[Part Name]=$A36)*M_BOM[RM_Qty_Per_Batch]*IFERROR(INDEX(PP_Grid[#Data],M_BOM[PPGridRow],83),0))+IFERROR(INDEX(M_RawMaterials[固定週次消費量_要入力],MATCH($A36,M_RawMaterials[Part Name],0)),0)</f>
        <v/>
      </c>
      <c r="CF36">
        <f>SUMPRODUCT((M_BOM[Part Name]=$A36)*M_BOM[RM_Qty_Per_Batch]*IFERROR(INDEX(PP_Grid[#Data],M_BOM[PPGridRow],84),0))+IFERROR(INDEX(M_RawMaterials[固定週次消費量_要入力],MATCH($A36,M_RawMaterials[Part Name],0)),0)</f>
        <v/>
      </c>
      <c r="CG36">
        <f>SUMPRODUCT((M_BOM[Part Name]=$A36)*M_BOM[RM_Qty_Per_Batch]*IFERROR(INDEX(PP_Grid[#Data],M_BOM[PPGridRow],85),0))+IFERROR(INDEX(M_RawMaterials[固定週次消費量_要入力],MATCH($A36,M_RawMaterials[Part Name],0)),0)</f>
        <v/>
      </c>
      <c r="CH36">
        <f>SUMPRODUCT((M_BOM[Part Name]=$A36)*M_BOM[RM_Qty_Per_Batch]*IFERROR(INDEX(PP_Grid[#Data],M_BOM[PPGridRow],86),0))+IFERROR(INDEX(M_RawMaterials[固定週次消費量_要入力],MATCH($A36,M_RawMaterials[Part Name],0)),0)</f>
        <v/>
      </c>
      <c r="CI36">
        <f>SUMPRODUCT((M_BOM[Part Name]=$A36)*M_BOM[RM_Qty_Per_Batch]*IFERROR(INDEX(PP_Grid[#Data],M_BOM[PPGridRow],87),0))+IFERROR(INDEX(M_RawMaterials[固定週次消費量_要入力],MATCH($A36,M_RawMaterials[Part Name],0)),0)</f>
        <v/>
      </c>
      <c r="CJ36">
        <f>SUMPRODUCT((M_BOM[Part Name]=$A36)*M_BOM[RM_Qty_Per_Batch]*IFERROR(INDEX(PP_Grid[#Data],M_BOM[PPGridRow],88),0))+IFERROR(INDEX(M_RawMaterials[固定週次消費量_要入力],MATCH($A36,M_RawMaterials[Part Name],0)),0)</f>
        <v/>
      </c>
      <c r="CK36">
        <f>SUMPRODUCT((M_BOM[Part Name]=$A36)*M_BOM[RM_Qty_Per_Batch]*IFERROR(INDEX(PP_Grid[#Data],M_BOM[PPGridRow],89),0))+IFERROR(INDEX(M_RawMaterials[固定週次消費量_要入力],MATCH($A36,M_RawMaterials[Part Name],0)),0)</f>
        <v/>
      </c>
      <c r="CL36">
        <f>SUMPRODUCT((M_BOM[Part Name]=$A36)*M_BOM[RM_Qty_Per_Batch]*IFERROR(INDEX(PP_Grid[#Data],M_BOM[PPGridRow],90),0))+IFERROR(INDEX(M_RawMaterials[固定週次消費量_要入力],MATCH($A36,M_RawMaterials[Part Name],0)),0)</f>
        <v/>
      </c>
      <c r="CM36">
        <f>SUMPRODUCT((M_BOM[Part Name]=$A36)*M_BOM[RM_Qty_Per_Batch]*IFERROR(INDEX(PP_Grid[#Data],M_BOM[PPGridRow],91),0))+IFERROR(INDEX(M_RawMaterials[固定週次消費量_要入力],MATCH($A36,M_RawMaterials[Part Name],0)),0)</f>
        <v/>
      </c>
      <c r="CN36">
        <f>SUMPRODUCT((M_BOM[Part Name]=$A36)*M_BOM[RM_Qty_Per_Batch]*IFERROR(INDEX(PP_Grid[#Data],M_BOM[PPGridRow],92),0))+IFERROR(INDEX(M_RawMaterials[固定週次消費量_要入力],MATCH($A36,M_RawMaterials[Part Name],0)),0)</f>
        <v/>
      </c>
      <c r="CO36">
        <f>SUMPRODUCT((M_BOM[Part Name]=$A36)*M_BOM[RM_Qty_Per_Batch]*IFERROR(INDEX(PP_Grid[#Data],M_BOM[PPGridRow],93),0))+IFERROR(INDEX(M_RawMaterials[固定週次消費量_要入力],MATCH($A36,M_RawMaterials[Part Name],0)),0)</f>
        <v/>
      </c>
      <c r="CP36">
        <f>SUMPRODUCT((M_BOM[Part Name]=$A36)*M_BOM[RM_Qty_Per_Batch]*IFERROR(INDEX(PP_Grid[#Data],M_BOM[PPGridRow],94),0))+IFERROR(INDEX(M_RawMaterials[固定週次消費量_要入力],MATCH($A36,M_RawMaterials[Part Name],0)),0)</f>
        <v/>
      </c>
      <c r="CQ36">
        <f>SUMPRODUCT((M_BOM[Part Name]=$A36)*M_BOM[RM_Qty_Per_Batch]*IFERROR(INDEX(PP_Grid[#Data],M_BOM[PPGridRow],95),0))+IFERROR(INDEX(M_RawMaterials[固定週次消費量_要入力],MATCH($A36,M_RawMaterials[Part Name],0)),0)</f>
        <v/>
      </c>
      <c r="CR36">
        <f>SUMPRODUCT((M_BOM[Part Name]=$A36)*M_BOM[RM_Qty_Per_Batch]*IFERROR(INDEX(PP_Grid[#Data],M_BOM[PPGridRow],96),0))+IFERROR(INDEX(M_RawMaterials[固定週次消費量_要入力],MATCH($A36,M_RawMaterials[Part Name],0)),0)</f>
        <v/>
      </c>
      <c r="CS36">
        <f>SUMPRODUCT((M_BOM[Part Name]=$A36)*M_BOM[RM_Qty_Per_Batch]*IFERROR(INDEX(PP_Grid[#Data],M_BOM[PPGridRow],97),0))+IFERROR(INDEX(M_RawMaterials[固定週次消費量_要入力],MATCH($A36,M_RawMaterials[Part Name],0)),0)</f>
        <v/>
      </c>
      <c r="CT36">
        <f>SUMPRODUCT((M_BOM[Part Name]=$A36)*M_BOM[RM_Qty_Per_Batch]*IFERROR(INDEX(PP_Grid[#Data],M_BOM[PPGridRow],98),0))+IFERROR(INDEX(M_RawMaterials[固定週次消費量_要入力],MATCH($A36,M_RawMaterials[Part Name],0)),0)</f>
        <v/>
      </c>
      <c r="CU36">
        <f>SUMPRODUCT((M_BOM[Part Name]=$A36)*M_BOM[RM_Qty_Per_Batch]*IFERROR(INDEX(PP_Grid[#Data],M_BOM[PPGridRow],99),0))+IFERROR(INDEX(M_RawMaterials[固定週次消費量_要入力],MATCH($A36,M_RawMaterials[Part Name],0)),0)</f>
        <v/>
      </c>
      <c r="CV36">
        <f>SUMPRODUCT((M_BOM[Part Name]=$A36)*M_BOM[RM_Qty_Per_Batch]*IFERROR(INDEX(PP_Grid[#Data],M_BOM[PPGridRow],100),0))+IFERROR(INDEX(M_RawMaterials[固定週次消費量_要入力],MATCH($A36,M_RawMaterials[Part Name],0)),0)</f>
        <v/>
      </c>
      <c r="CW36">
        <f>SUMPRODUCT((M_BOM[Part Name]=$A36)*M_BOM[RM_Qty_Per_Batch]*IFERROR(INDEX(PP_Grid[#Data],M_BOM[PPGridRow],101),0))+IFERROR(INDEX(M_RawMaterials[固定週次消費量_要入力],MATCH($A36,M_RawMaterials[Part Name],0)),0)</f>
        <v/>
      </c>
      <c r="CX36">
        <f>SUMPRODUCT((M_BOM[Part Name]=$A36)*M_BOM[RM_Qty_Per_Batch]*IFERROR(INDEX(PP_Grid[#Data],M_BOM[PPGridRow],102),0))+IFERROR(INDEX(M_RawMaterials[固定週次消費量_要入力],MATCH($A36,M_RawMaterials[Part Name],0)),0)</f>
        <v/>
      </c>
      <c r="CY36">
        <f>SUMPRODUCT((M_BOM[Part Name]=$A36)*M_BOM[RM_Qty_Per_Batch]*IFERROR(INDEX(PP_Grid[#Data],M_BOM[PPGridRow],103),0))+IFERROR(INDEX(M_RawMaterials[固定週次消費量_要入力],MATCH($A36,M_RawMaterials[Part Name],0)),0)</f>
        <v/>
      </c>
      <c r="CZ36">
        <f>SUMPRODUCT((M_BOM[Part Name]=$A36)*M_BOM[RM_Qty_Per_Batch]*IFERROR(INDEX(PP_Grid[#Data],M_BOM[PPGridRow],104),0))+IFERROR(INDEX(M_RawMaterials[固定週次消費量_要入力],MATCH($A36,M_RawMaterials[Part Name],0)),0)</f>
        <v/>
      </c>
      <c r="DA36">
        <f>SUMPRODUCT((M_BOM[Part Name]=$A36)*M_BOM[RM_Qty_Per_Batch]*IFERROR(INDEX(PP_Grid[#Data],M_BOM[PPGridRow],105),0))+IFERROR(INDEX(M_RawMaterials[固定週次消費量_要入力],MATCH($A36,M_RawMaterials[Part Name],0)),0)</f>
        <v/>
      </c>
    </row>
    <row r="37">
      <c r="A37" t="inlineStr">
        <is>
          <t>CHEM-1080</t>
        </is>
      </c>
      <c r="B37">
        <f>SUMPRODUCT((M_BOM[Part Name]=$A37)*M_BOM[RM_Qty_Per_Batch]*IFERROR(INDEX(PP_Grid[#Data],M_BOM[PPGridRow],2),0))+IFERROR(INDEX(M_RawMaterials[固定週次消費量_要入力],MATCH($A37,M_RawMaterials[Part Name],0)),0)</f>
        <v/>
      </c>
      <c r="C37">
        <f>SUMPRODUCT((M_BOM[Part Name]=$A37)*M_BOM[RM_Qty_Per_Batch]*IFERROR(INDEX(PP_Grid[#Data],M_BOM[PPGridRow],3),0))+IFERROR(INDEX(M_RawMaterials[固定週次消費量_要入力],MATCH($A37,M_RawMaterials[Part Name],0)),0)</f>
        <v/>
      </c>
      <c r="D37">
        <f>SUMPRODUCT((M_BOM[Part Name]=$A37)*M_BOM[RM_Qty_Per_Batch]*IFERROR(INDEX(PP_Grid[#Data],M_BOM[PPGridRow],4),0))+IFERROR(INDEX(M_RawMaterials[固定週次消費量_要入力],MATCH($A37,M_RawMaterials[Part Name],0)),0)</f>
        <v/>
      </c>
      <c r="E37">
        <f>SUMPRODUCT((M_BOM[Part Name]=$A37)*M_BOM[RM_Qty_Per_Batch]*IFERROR(INDEX(PP_Grid[#Data],M_BOM[PPGridRow],5),0))+IFERROR(INDEX(M_RawMaterials[固定週次消費量_要入力],MATCH($A37,M_RawMaterials[Part Name],0)),0)</f>
        <v/>
      </c>
      <c r="F37">
        <f>SUMPRODUCT((M_BOM[Part Name]=$A37)*M_BOM[RM_Qty_Per_Batch]*IFERROR(INDEX(PP_Grid[#Data],M_BOM[PPGridRow],6),0))+IFERROR(INDEX(M_RawMaterials[固定週次消費量_要入力],MATCH($A37,M_RawMaterials[Part Name],0)),0)</f>
        <v/>
      </c>
      <c r="G37">
        <f>SUMPRODUCT((M_BOM[Part Name]=$A37)*M_BOM[RM_Qty_Per_Batch]*IFERROR(INDEX(PP_Grid[#Data],M_BOM[PPGridRow],7),0))+IFERROR(INDEX(M_RawMaterials[固定週次消費量_要入力],MATCH($A37,M_RawMaterials[Part Name],0)),0)</f>
        <v/>
      </c>
      <c r="H37">
        <f>SUMPRODUCT((M_BOM[Part Name]=$A37)*M_BOM[RM_Qty_Per_Batch]*IFERROR(INDEX(PP_Grid[#Data],M_BOM[PPGridRow],8),0))+IFERROR(INDEX(M_RawMaterials[固定週次消費量_要入力],MATCH($A37,M_RawMaterials[Part Name],0)),0)</f>
        <v/>
      </c>
      <c r="I37">
        <f>SUMPRODUCT((M_BOM[Part Name]=$A37)*M_BOM[RM_Qty_Per_Batch]*IFERROR(INDEX(PP_Grid[#Data],M_BOM[PPGridRow],9),0))+IFERROR(INDEX(M_RawMaterials[固定週次消費量_要入力],MATCH($A37,M_RawMaterials[Part Name],0)),0)</f>
        <v/>
      </c>
      <c r="J37">
        <f>SUMPRODUCT((M_BOM[Part Name]=$A37)*M_BOM[RM_Qty_Per_Batch]*IFERROR(INDEX(PP_Grid[#Data],M_BOM[PPGridRow],10),0))+IFERROR(INDEX(M_RawMaterials[固定週次消費量_要入力],MATCH($A37,M_RawMaterials[Part Name],0)),0)</f>
        <v/>
      </c>
      <c r="K37">
        <f>SUMPRODUCT((M_BOM[Part Name]=$A37)*M_BOM[RM_Qty_Per_Batch]*IFERROR(INDEX(PP_Grid[#Data],M_BOM[PPGridRow],11),0))+IFERROR(INDEX(M_RawMaterials[固定週次消費量_要入力],MATCH($A37,M_RawMaterials[Part Name],0)),0)</f>
        <v/>
      </c>
      <c r="L37">
        <f>SUMPRODUCT((M_BOM[Part Name]=$A37)*M_BOM[RM_Qty_Per_Batch]*IFERROR(INDEX(PP_Grid[#Data],M_BOM[PPGridRow],12),0))+IFERROR(INDEX(M_RawMaterials[固定週次消費量_要入力],MATCH($A37,M_RawMaterials[Part Name],0)),0)</f>
        <v/>
      </c>
      <c r="M37">
        <f>SUMPRODUCT((M_BOM[Part Name]=$A37)*M_BOM[RM_Qty_Per_Batch]*IFERROR(INDEX(PP_Grid[#Data],M_BOM[PPGridRow],13),0))+IFERROR(INDEX(M_RawMaterials[固定週次消費量_要入力],MATCH($A37,M_RawMaterials[Part Name],0)),0)</f>
        <v/>
      </c>
      <c r="N37">
        <f>SUMPRODUCT((M_BOM[Part Name]=$A37)*M_BOM[RM_Qty_Per_Batch]*IFERROR(INDEX(PP_Grid[#Data],M_BOM[PPGridRow],14),0))+IFERROR(INDEX(M_RawMaterials[固定週次消費量_要入力],MATCH($A37,M_RawMaterials[Part Name],0)),0)</f>
        <v/>
      </c>
      <c r="O37">
        <f>SUMPRODUCT((M_BOM[Part Name]=$A37)*M_BOM[RM_Qty_Per_Batch]*IFERROR(INDEX(PP_Grid[#Data],M_BOM[PPGridRow],15),0))+IFERROR(INDEX(M_RawMaterials[固定週次消費量_要入力],MATCH($A37,M_RawMaterials[Part Name],0)),0)</f>
        <v/>
      </c>
      <c r="P37">
        <f>SUMPRODUCT((M_BOM[Part Name]=$A37)*M_BOM[RM_Qty_Per_Batch]*IFERROR(INDEX(PP_Grid[#Data],M_BOM[PPGridRow],16),0))+IFERROR(INDEX(M_RawMaterials[固定週次消費量_要入力],MATCH($A37,M_RawMaterials[Part Name],0)),0)</f>
        <v/>
      </c>
      <c r="Q37">
        <f>SUMPRODUCT((M_BOM[Part Name]=$A37)*M_BOM[RM_Qty_Per_Batch]*IFERROR(INDEX(PP_Grid[#Data],M_BOM[PPGridRow],17),0))+IFERROR(INDEX(M_RawMaterials[固定週次消費量_要入力],MATCH($A37,M_RawMaterials[Part Name],0)),0)</f>
        <v/>
      </c>
      <c r="R37">
        <f>SUMPRODUCT((M_BOM[Part Name]=$A37)*M_BOM[RM_Qty_Per_Batch]*IFERROR(INDEX(PP_Grid[#Data],M_BOM[PPGridRow],18),0))+IFERROR(INDEX(M_RawMaterials[固定週次消費量_要入力],MATCH($A37,M_RawMaterials[Part Name],0)),0)</f>
        <v/>
      </c>
      <c r="S37">
        <f>SUMPRODUCT((M_BOM[Part Name]=$A37)*M_BOM[RM_Qty_Per_Batch]*IFERROR(INDEX(PP_Grid[#Data],M_BOM[PPGridRow],19),0))+IFERROR(INDEX(M_RawMaterials[固定週次消費量_要入力],MATCH($A37,M_RawMaterials[Part Name],0)),0)</f>
        <v/>
      </c>
      <c r="T37">
        <f>SUMPRODUCT((M_BOM[Part Name]=$A37)*M_BOM[RM_Qty_Per_Batch]*IFERROR(INDEX(PP_Grid[#Data],M_BOM[PPGridRow],20),0))+IFERROR(INDEX(M_RawMaterials[固定週次消費量_要入力],MATCH($A37,M_RawMaterials[Part Name],0)),0)</f>
        <v/>
      </c>
      <c r="U37">
        <f>SUMPRODUCT((M_BOM[Part Name]=$A37)*M_BOM[RM_Qty_Per_Batch]*IFERROR(INDEX(PP_Grid[#Data],M_BOM[PPGridRow],21),0))+IFERROR(INDEX(M_RawMaterials[固定週次消費量_要入力],MATCH($A37,M_RawMaterials[Part Name],0)),0)</f>
        <v/>
      </c>
      <c r="V37">
        <f>SUMPRODUCT((M_BOM[Part Name]=$A37)*M_BOM[RM_Qty_Per_Batch]*IFERROR(INDEX(PP_Grid[#Data],M_BOM[PPGridRow],22),0))+IFERROR(INDEX(M_RawMaterials[固定週次消費量_要入力],MATCH($A37,M_RawMaterials[Part Name],0)),0)</f>
        <v/>
      </c>
      <c r="W37">
        <f>SUMPRODUCT((M_BOM[Part Name]=$A37)*M_BOM[RM_Qty_Per_Batch]*IFERROR(INDEX(PP_Grid[#Data],M_BOM[PPGridRow],23),0))+IFERROR(INDEX(M_RawMaterials[固定週次消費量_要入力],MATCH($A37,M_RawMaterials[Part Name],0)),0)</f>
        <v/>
      </c>
      <c r="X37">
        <f>SUMPRODUCT((M_BOM[Part Name]=$A37)*M_BOM[RM_Qty_Per_Batch]*IFERROR(INDEX(PP_Grid[#Data],M_BOM[PPGridRow],24),0))+IFERROR(INDEX(M_RawMaterials[固定週次消費量_要入力],MATCH($A37,M_RawMaterials[Part Name],0)),0)</f>
        <v/>
      </c>
      <c r="Y37">
        <f>SUMPRODUCT((M_BOM[Part Name]=$A37)*M_BOM[RM_Qty_Per_Batch]*IFERROR(INDEX(PP_Grid[#Data],M_BOM[PPGridRow],25),0))+IFERROR(INDEX(M_RawMaterials[固定週次消費量_要入力],MATCH($A37,M_RawMaterials[Part Name],0)),0)</f>
        <v/>
      </c>
      <c r="Z37">
        <f>SUMPRODUCT((M_BOM[Part Name]=$A37)*M_BOM[RM_Qty_Per_Batch]*IFERROR(INDEX(PP_Grid[#Data],M_BOM[PPGridRow],26),0))+IFERROR(INDEX(M_RawMaterials[固定週次消費量_要入力],MATCH($A37,M_RawMaterials[Part Name],0)),0)</f>
        <v/>
      </c>
      <c r="AA37">
        <f>SUMPRODUCT((M_BOM[Part Name]=$A37)*M_BOM[RM_Qty_Per_Batch]*IFERROR(INDEX(PP_Grid[#Data],M_BOM[PPGridRow],27),0))+IFERROR(INDEX(M_RawMaterials[固定週次消費量_要入力],MATCH($A37,M_RawMaterials[Part Name],0)),0)</f>
        <v/>
      </c>
      <c r="AB37">
        <f>SUMPRODUCT((M_BOM[Part Name]=$A37)*M_BOM[RM_Qty_Per_Batch]*IFERROR(INDEX(PP_Grid[#Data],M_BOM[PPGridRow],28),0))+IFERROR(INDEX(M_RawMaterials[固定週次消費量_要入力],MATCH($A37,M_RawMaterials[Part Name],0)),0)</f>
        <v/>
      </c>
      <c r="AC37">
        <f>SUMPRODUCT((M_BOM[Part Name]=$A37)*M_BOM[RM_Qty_Per_Batch]*IFERROR(INDEX(PP_Grid[#Data],M_BOM[PPGridRow],29),0))+IFERROR(INDEX(M_RawMaterials[固定週次消費量_要入力],MATCH($A37,M_RawMaterials[Part Name],0)),0)</f>
        <v/>
      </c>
      <c r="AD37">
        <f>SUMPRODUCT((M_BOM[Part Name]=$A37)*M_BOM[RM_Qty_Per_Batch]*IFERROR(INDEX(PP_Grid[#Data],M_BOM[PPGridRow],30),0))+IFERROR(INDEX(M_RawMaterials[固定週次消費量_要入力],MATCH($A37,M_RawMaterials[Part Name],0)),0)</f>
        <v/>
      </c>
      <c r="AE37">
        <f>SUMPRODUCT((M_BOM[Part Name]=$A37)*M_BOM[RM_Qty_Per_Batch]*IFERROR(INDEX(PP_Grid[#Data],M_BOM[PPGridRow],31),0))+IFERROR(INDEX(M_RawMaterials[固定週次消費量_要入力],MATCH($A37,M_RawMaterials[Part Name],0)),0)</f>
        <v/>
      </c>
      <c r="AF37">
        <f>SUMPRODUCT((M_BOM[Part Name]=$A37)*M_BOM[RM_Qty_Per_Batch]*IFERROR(INDEX(PP_Grid[#Data],M_BOM[PPGridRow],32),0))+IFERROR(INDEX(M_RawMaterials[固定週次消費量_要入力],MATCH($A37,M_RawMaterials[Part Name],0)),0)</f>
        <v/>
      </c>
      <c r="AG37">
        <f>SUMPRODUCT((M_BOM[Part Name]=$A37)*M_BOM[RM_Qty_Per_Batch]*IFERROR(INDEX(PP_Grid[#Data],M_BOM[PPGridRow],33),0))+IFERROR(INDEX(M_RawMaterials[固定週次消費量_要入力],MATCH($A37,M_RawMaterials[Part Name],0)),0)</f>
        <v/>
      </c>
      <c r="AH37">
        <f>SUMPRODUCT((M_BOM[Part Name]=$A37)*M_BOM[RM_Qty_Per_Batch]*IFERROR(INDEX(PP_Grid[#Data],M_BOM[PPGridRow],34),0))+IFERROR(INDEX(M_RawMaterials[固定週次消費量_要入力],MATCH($A37,M_RawMaterials[Part Name],0)),0)</f>
        <v/>
      </c>
      <c r="AI37">
        <f>SUMPRODUCT((M_BOM[Part Name]=$A37)*M_BOM[RM_Qty_Per_Batch]*IFERROR(INDEX(PP_Grid[#Data],M_BOM[PPGridRow],35),0))+IFERROR(INDEX(M_RawMaterials[固定週次消費量_要入力],MATCH($A37,M_RawMaterials[Part Name],0)),0)</f>
        <v/>
      </c>
      <c r="AJ37">
        <f>SUMPRODUCT((M_BOM[Part Name]=$A37)*M_BOM[RM_Qty_Per_Batch]*IFERROR(INDEX(PP_Grid[#Data],M_BOM[PPGridRow],36),0))+IFERROR(INDEX(M_RawMaterials[固定週次消費量_要入力],MATCH($A37,M_RawMaterials[Part Name],0)),0)</f>
        <v/>
      </c>
      <c r="AK37">
        <f>SUMPRODUCT((M_BOM[Part Name]=$A37)*M_BOM[RM_Qty_Per_Batch]*IFERROR(INDEX(PP_Grid[#Data],M_BOM[PPGridRow],37),0))+IFERROR(INDEX(M_RawMaterials[固定週次消費量_要入力],MATCH($A37,M_RawMaterials[Part Name],0)),0)</f>
        <v/>
      </c>
      <c r="AL37">
        <f>SUMPRODUCT((M_BOM[Part Name]=$A37)*M_BOM[RM_Qty_Per_Batch]*IFERROR(INDEX(PP_Grid[#Data],M_BOM[PPGridRow],38),0))+IFERROR(INDEX(M_RawMaterials[固定週次消費量_要入力],MATCH($A37,M_RawMaterials[Part Name],0)),0)</f>
        <v/>
      </c>
      <c r="AM37">
        <f>SUMPRODUCT((M_BOM[Part Name]=$A37)*M_BOM[RM_Qty_Per_Batch]*IFERROR(INDEX(PP_Grid[#Data],M_BOM[PPGridRow],39),0))+IFERROR(INDEX(M_RawMaterials[固定週次消費量_要入力],MATCH($A37,M_RawMaterials[Part Name],0)),0)</f>
        <v/>
      </c>
      <c r="AN37">
        <f>SUMPRODUCT((M_BOM[Part Name]=$A37)*M_BOM[RM_Qty_Per_Batch]*IFERROR(INDEX(PP_Grid[#Data],M_BOM[PPGridRow],40),0))+IFERROR(INDEX(M_RawMaterials[固定週次消費量_要入力],MATCH($A37,M_RawMaterials[Part Name],0)),0)</f>
        <v/>
      </c>
      <c r="AO37">
        <f>SUMPRODUCT((M_BOM[Part Name]=$A37)*M_BOM[RM_Qty_Per_Batch]*IFERROR(INDEX(PP_Grid[#Data],M_BOM[PPGridRow],41),0))+IFERROR(INDEX(M_RawMaterials[固定週次消費量_要入力],MATCH($A37,M_RawMaterials[Part Name],0)),0)</f>
        <v/>
      </c>
      <c r="AP37">
        <f>SUMPRODUCT((M_BOM[Part Name]=$A37)*M_BOM[RM_Qty_Per_Batch]*IFERROR(INDEX(PP_Grid[#Data],M_BOM[PPGridRow],42),0))+IFERROR(INDEX(M_RawMaterials[固定週次消費量_要入力],MATCH($A37,M_RawMaterials[Part Name],0)),0)</f>
        <v/>
      </c>
      <c r="AQ37">
        <f>SUMPRODUCT((M_BOM[Part Name]=$A37)*M_BOM[RM_Qty_Per_Batch]*IFERROR(INDEX(PP_Grid[#Data],M_BOM[PPGridRow],43),0))+IFERROR(INDEX(M_RawMaterials[固定週次消費量_要入力],MATCH($A37,M_RawMaterials[Part Name],0)),0)</f>
        <v/>
      </c>
      <c r="AR37">
        <f>SUMPRODUCT((M_BOM[Part Name]=$A37)*M_BOM[RM_Qty_Per_Batch]*IFERROR(INDEX(PP_Grid[#Data],M_BOM[PPGridRow],44),0))+IFERROR(INDEX(M_RawMaterials[固定週次消費量_要入力],MATCH($A37,M_RawMaterials[Part Name],0)),0)</f>
        <v/>
      </c>
      <c r="AS37">
        <f>SUMPRODUCT((M_BOM[Part Name]=$A37)*M_BOM[RM_Qty_Per_Batch]*IFERROR(INDEX(PP_Grid[#Data],M_BOM[PPGridRow],45),0))+IFERROR(INDEX(M_RawMaterials[固定週次消費量_要入力],MATCH($A37,M_RawMaterials[Part Name],0)),0)</f>
        <v/>
      </c>
      <c r="AT37">
        <f>SUMPRODUCT((M_BOM[Part Name]=$A37)*M_BOM[RM_Qty_Per_Batch]*IFERROR(INDEX(PP_Grid[#Data],M_BOM[PPGridRow],46),0))+IFERROR(INDEX(M_RawMaterials[固定週次消費量_要入力],MATCH($A37,M_RawMaterials[Part Name],0)),0)</f>
        <v/>
      </c>
      <c r="AU37">
        <f>SUMPRODUCT((M_BOM[Part Name]=$A37)*M_BOM[RM_Qty_Per_Batch]*IFERROR(INDEX(PP_Grid[#Data],M_BOM[PPGridRow],47),0))+IFERROR(INDEX(M_RawMaterials[固定週次消費量_要入力],MATCH($A37,M_RawMaterials[Part Name],0)),0)</f>
        <v/>
      </c>
      <c r="AV37">
        <f>SUMPRODUCT((M_BOM[Part Name]=$A37)*M_BOM[RM_Qty_Per_Batch]*IFERROR(INDEX(PP_Grid[#Data],M_BOM[PPGridRow],48),0))+IFERROR(INDEX(M_RawMaterials[固定週次消費量_要入力],MATCH($A37,M_RawMaterials[Part Name],0)),0)</f>
        <v/>
      </c>
      <c r="AW37">
        <f>SUMPRODUCT((M_BOM[Part Name]=$A37)*M_BOM[RM_Qty_Per_Batch]*IFERROR(INDEX(PP_Grid[#Data],M_BOM[PPGridRow],49),0))+IFERROR(INDEX(M_RawMaterials[固定週次消費量_要入力],MATCH($A37,M_RawMaterials[Part Name],0)),0)</f>
        <v/>
      </c>
      <c r="AX37">
        <f>SUMPRODUCT((M_BOM[Part Name]=$A37)*M_BOM[RM_Qty_Per_Batch]*IFERROR(INDEX(PP_Grid[#Data],M_BOM[PPGridRow],50),0))+IFERROR(INDEX(M_RawMaterials[固定週次消費量_要入力],MATCH($A37,M_RawMaterials[Part Name],0)),0)</f>
        <v/>
      </c>
      <c r="AY37">
        <f>SUMPRODUCT((M_BOM[Part Name]=$A37)*M_BOM[RM_Qty_Per_Batch]*IFERROR(INDEX(PP_Grid[#Data],M_BOM[PPGridRow],51),0))+IFERROR(INDEX(M_RawMaterials[固定週次消費量_要入力],MATCH($A37,M_RawMaterials[Part Name],0)),0)</f>
        <v/>
      </c>
      <c r="AZ37">
        <f>SUMPRODUCT((M_BOM[Part Name]=$A37)*M_BOM[RM_Qty_Per_Batch]*IFERROR(INDEX(PP_Grid[#Data],M_BOM[PPGridRow],52),0))+IFERROR(INDEX(M_RawMaterials[固定週次消費量_要入力],MATCH($A37,M_RawMaterials[Part Name],0)),0)</f>
        <v/>
      </c>
      <c r="BA37">
        <f>SUMPRODUCT((M_BOM[Part Name]=$A37)*M_BOM[RM_Qty_Per_Batch]*IFERROR(INDEX(PP_Grid[#Data],M_BOM[PPGridRow],53),0))+IFERROR(INDEX(M_RawMaterials[固定週次消費量_要入力],MATCH($A37,M_RawMaterials[Part Name],0)),0)</f>
        <v/>
      </c>
      <c r="BB37">
        <f>SUMPRODUCT((M_BOM[Part Name]=$A37)*M_BOM[RM_Qty_Per_Batch]*IFERROR(INDEX(PP_Grid[#Data],M_BOM[PPGridRow],54),0))+IFERROR(INDEX(M_RawMaterials[固定週次消費量_要入力],MATCH($A37,M_RawMaterials[Part Name],0)),0)</f>
        <v/>
      </c>
      <c r="BC37">
        <f>SUMPRODUCT((M_BOM[Part Name]=$A37)*M_BOM[RM_Qty_Per_Batch]*IFERROR(INDEX(PP_Grid[#Data],M_BOM[PPGridRow],55),0))+IFERROR(INDEX(M_RawMaterials[固定週次消費量_要入力],MATCH($A37,M_RawMaterials[Part Name],0)),0)</f>
        <v/>
      </c>
      <c r="BD37">
        <f>SUMPRODUCT((M_BOM[Part Name]=$A37)*M_BOM[RM_Qty_Per_Batch]*IFERROR(INDEX(PP_Grid[#Data],M_BOM[PPGridRow],56),0))+IFERROR(INDEX(M_RawMaterials[固定週次消費量_要入力],MATCH($A37,M_RawMaterials[Part Name],0)),0)</f>
        <v/>
      </c>
      <c r="BE37">
        <f>SUMPRODUCT((M_BOM[Part Name]=$A37)*M_BOM[RM_Qty_Per_Batch]*IFERROR(INDEX(PP_Grid[#Data],M_BOM[PPGridRow],57),0))+IFERROR(INDEX(M_RawMaterials[固定週次消費量_要入力],MATCH($A37,M_RawMaterials[Part Name],0)),0)</f>
        <v/>
      </c>
      <c r="BF37">
        <f>SUMPRODUCT((M_BOM[Part Name]=$A37)*M_BOM[RM_Qty_Per_Batch]*IFERROR(INDEX(PP_Grid[#Data],M_BOM[PPGridRow],58),0))+IFERROR(INDEX(M_RawMaterials[固定週次消費量_要入力],MATCH($A37,M_RawMaterials[Part Name],0)),0)</f>
        <v/>
      </c>
      <c r="BG37">
        <f>SUMPRODUCT((M_BOM[Part Name]=$A37)*M_BOM[RM_Qty_Per_Batch]*IFERROR(INDEX(PP_Grid[#Data],M_BOM[PPGridRow],59),0))+IFERROR(INDEX(M_RawMaterials[固定週次消費量_要入力],MATCH($A37,M_RawMaterials[Part Name],0)),0)</f>
        <v/>
      </c>
      <c r="BH37">
        <f>SUMPRODUCT((M_BOM[Part Name]=$A37)*M_BOM[RM_Qty_Per_Batch]*IFERROR(INDEX(PP_Grid[#Data],M_BOM[PPGridRow],60),0))+IFERROR(INDEX(M_RawMaterials[固定週次消費量_要入力],MATCH($A37,M_RawMaterials[Part Name],0)),0)</f>
        <v/>
      </c>
      <c r="BI37">
        <f>SUMPRODUCT((M_BOM[Part Name]=$A37)*M_BOM[RM_Qty_Per_Batch]*IFERROR(INDEX(PP_Grid[#Data],M_BOM[PPGridRow],61),0))+IFERROR(INDEX(M_RawMaterials[固定週次消費量_要入力],MATCH($A37,M_RawMaterials[Part Name],0)),0)</f>
        <v/>
      </c>
      <c r="BJ37">
        <f>SUMPRODUCT((M_BOM[Part Name]=$A37)*M_BOM[RM_Qty_Per_Batch]*IFERROR(INDEX(PP_Grid[#Data],M_BOM[PPGridRow],62),0))+IFERROR(INDEX(M_RawMaterials[固定週次消費量_要入力],MATCH($A37,M_RawMaterials[Part Name],0)),0)</f>
        <v/>
      </c>
      <c r="BK37">
        <f>SUMPRODUCT((M_BOM[Part Name]=$A37)*M_BOM[RM_Qty_Per_Batch]*IFERROR(INDEX(PP_Grid[#Data],M_BOM[PPGridRow],63),0))+IFERROR(INDEX(M_RawMaterials[固定週次消費量_要入力],MATCH($A37,M_RawMaterials[Part Name],0)),0)</f>
        <v/>
      </c>
      <c r="BL37">
        <f>SUMPRODUCT((M_BOM[Part Name]=$A37)*M_BOM[RM_Qty_Per_Batch]*IFERROR(INDEX(PP_Grid[#Data],M_BOM[PPGridRow],64),0))+IFERROR(INDEX(M_RawMaterials[固定週次消費量_要入力],MATCH($A37,M_RawMaterials[Part Name],0)),0)</f>
        <v/>
      </c>
      <c r="BM37">
        <f>SUMPRODUCT((M_BOM[Part Name]=$A37)*M_BOM[RM_Qty_Per_Batch]*IFERROR(INDEX(PP_Grid[#Data],M_BOM[PPGridRow],65),0))+IFERROR(INDEX(M_RawMaterials[固定週次消費量_要入力],MATCH($A37,M_RawMaterials[Part Name],0)),0)</f>
        <v/>
      </c>
      <c r="BN37">
        <f>SUMPRODUCT((M_BOM[Part Name]=$A37)*M_BOM[RM_Qty_Per_Batch]*IFERROR(INDEX(PP_Grid[#Data],M_BOM[PPGridRow],66),0))+IFERROR(INDEX(M_RawMaterials[固定週次消費量_要入力],MATCH($A37,M_RawMaterials[Part Name],0)),0)</f>
        <v/>
      </c>
      <c r="BO37">
        <f>SUMPRODUCT((M_BOM[Part Name]=$A37)*M_BOM[RM_Qty_Per_Batch]*IFERROR(INDEX(PP_Grid[#Data],M_BOM[PPGridRow],67),0))+IFERROR(INDEX(M_RawMaterials[固定週次消費量_要入力],MATCH($A37,M_RawMaterials[Part Name],0)),0)</f>
        <v/>
      </c>
      <c r="BP37">
        <f>SUMPRODUCT((M_BOM[Part Name]=$A37)*M_BOM[RM_Qty_Per_Batch]*IFERROR(INDEX(PP_Grid[#Data],M_BOM[PPGridRow],68),0))+IFERROR(INDEX(M_RawMaterials[固定週次消費量_要入力],MATCH($A37,M_RawMaterials[Part Name],0)),0)</f>
        <v/>
      </c>
      <c r="BQ37">
        <f>SUMPRODUCT((M_BOM[Part Name]=$A37)*M_BOM[RM_Qty_Per_Batch]*IFERROR(INDEX(PP_Grid[#Data],M_BOM[PPGridRow],69),0))+IFERROR(INDEX(M_RawMaterials[固定週次消費量_要入力],MATCH($A37,M_RawMaterials[Part Name],0)),0)</f>
        <v/>
      </c>
      <c r="BR37">
        <f>SUMPRODUCT((M_BOM[Part Name]=$A37)*M_BOM[RM_Qty_Per_Batch]*IFERROR(INDEX(PP_Grid[#Data],M_BOM[PPGridRow],70),0))+IFERROR(INDEX(M_RawMaterials[固定週次消費量_要入力],MATCH($A37,M_RawMaterials[Part Name],0)),0)</f>
        <v/>
      </c>
      <c r="BS37">
        <f>SUMPRODUCT((M_BOM[Part Name]=$A37)*M_BOM[RM_Qty_Per_Batch]*IFERROR(INDEX(PP_Grid[#Data],M_BOM[PPGridRow],71),0))+IFERROR(INDEX(M_RawMaterials[固定週次消費量_要入力],MATCH($A37,M_RawMaterials[Part Name],0)),0)</f>
        <v/>
      </c>
      <c r="BT37">
        <f>SUMPRODUCT((M_BOM[Part Name]=$A37)*M_BOM[RM_Qty_Per_Batch]*IFERROR(INDEX(PP_Grid[#Data],M_BOM[PPGridRow],72),0))+IFERROR(INDEX(M_RawMaterials[固定週次消費量_要入力],MATCH($A37,M_RawMaterials[Part Name],0)),0)</f>
        <v/>
      </c>
      <c r="BU37">
        <f>SUMPRODUCT((M_BOM[Part Name]=$A37)*M_BOM[RM_Qty_Per_Batch]*IFERROR(INDEX(PP_Grid[#Data],M_BOM[PPGridRow],73),0))+IFERROR(INDEX(M_RawMaterials[固定週次消費量_要入力],MATCH($A37,M_RawMaterials[Part Name],0)),0)</f>
        <v/>
      </c>
      <c r="BV37">
        <f>SUMPRODUCT((M_BOM[Part Name]=$A37)*M_BOM[RM_Qty_Per_Batch]*IFERROR(INDEX(PP_Grid[#Data],M_BOM[PPGridRow],74),0))+IFERROR(INDEX(M_RawMaterials[固定週次消費量_要入力],MATCH($A37,M_RawMaterials[Part Name],0)),0)</f>
        <v/>
      </c>
      <c r="BW37">
        <f>SUMPRODUCT((M_BOM[Part Name]=$A37)*M_BOM[RM_Qty_Per_Batch]*IFERROR(INDEX(PP_Grid[#Data],M_BOM[PPGridRow],75),0))+IFERROR(INDEX(M_RawMaterials[固定週次消費量_要入力],MATCH($A37,M_RawMaterials[Part Name],0)),0)</f>
        <v/>
      </c>
      <c r="BX37">
        <f>SUMPRODUCT((M_BOM[Part Name]=$A37)*M_BOM[RM_Qty_Per_Batch]*IFERROR(INDEX(PP_Grid[#Data],M_BOM[PPGridRow],76),0))+IFERROR(INDEX(M_RawMaterials[固定週次消費量_要入力],MATCH($A37,M_RawMaterials[Part Name],0)),0)</f>
        <v/>
      </c>
      <c r="BY37">
        <f>SUMPRODUCT((M_BOM[Part Name]=$A37)*M_BOM[RM_Qty_Per_Batch]*IFERROR(INDEX(PP_Grid[#Data],M_BOM[PPGridRow],77),0))+IFERROR(INDEX(M_RawMaterials[固定週次消費量_要入力],MATCH($A37,M_RawMaterials[Part Name],0)),0)</f>
        <v/>
      </c>
      <c r="BZ37">
        <f>SUMPRODUCT((M_BOM[Part Name]=$A37)*M_BOM[RM_Qty_Per_Batch]*IFERROR(INDEX(PP_Grid[#Data],M_BOM[PPGridRow],78),0))+IFERROR(INDEX(M_RawMaterials[固定週次消費量_要入力],MATCH($A37,M_RawMaterials[Part Name],0)),0)</f>
        <v/>
      </c>
      <c r="CA37">
        <f>SUMPRODUCT((M_BOM[Part Name]=$A37)*M_BOM[RM_Qty_Per_Batch]*IFERROR(INDEX(PP_Grid[#Data],M_BOM[PPGridRow],79),0))+IFERROR(INDEX(M_RawMaterials[固定週次消費量_要入力],MATCH($A37,M_RawMaterials[Part Name],0)),0)</f>
        <v/>
      </c>
      <c r="CB37">
        <f>SUMPRODUCT((M_BOM[Part Name]=$A37)*M_BOM[RM_Qty_Per_Batch]*IFERROR(INDEX(PP_Grid[#Data],M_BOM[PPGridRow],80),0))+IFERROR(INDEX(M_RawMaterials[固定週次消費量_要入力],MATCH($A37,M_RawMaterials[Part Name],0)),0)</f>
        <v/>
      </c>
      <c r="CC37">
        <f>SUMPRODUCT((M_BOM[Part Name]=$A37)*M_BOM[RM_Qty_Per_Batch]*IFERROR(INDEX(PP_Grid[#Data],M_BOM[PPGridRow],81),0))+IFERROR(INDEX(M_RawMaterials[固定週次消費量_要入力],MATCH($A37,M_RawMaterials[Part Name],0)),0)</f>
        <v/>
      </c>
      <c r="CD37">
        <f>SUMPRODUCT((M_BOM[Part Name]=$A37)*M_BOM[RM_Qty_Per_Batch]*IFERROR(INDEX(PP_Grid[#Data],M_BOM[PPGridRow],82),0))+IFERROR(INDEX(M_RawMaterials[固定週次消費量_要入力],MATCH($A37,M_RawMaterials[Part Name],0)),0)</f>
        <v/>
      </c>
      <c r="CE37">
        <f>SUMPRODUCT((M_BOM[Part Name]=$A37)*M_BOM[RM_Qty_Per_Batch]*IFERROR(INDEX(PP_Grid[#Data],M_BOM[PPGridRow],83),0))+IFERROR(INDEX(M_RawMaterials[固定週次消費量_要入力],MATCH($A37,M_RawMaterials[Part Name],0)),0)</f>
        <v/>
      </c>
      <c r="CF37">
        <f>SUMPRODUCT((M_BOM[Part Name]=$A37)*M_BOM[RM_Qty_Per_Batch]*IFERROR(INDEX(PP_Grid[#Data],M_BOM[PPGridRow],84),0))+IFERROR(INDEX(M_RawMaterials[固定週次消費量_要入力],MATCH($A37,M_RawMaterials[Part Name],0)),0)</f>
        <v/>
      </c>
      <c r="CG37">
        <f>SUMPRODUCT((M_BOM[Part Name]=$A37)*M_BOM[RM_Qty_Per_Batch]*IFERROR(INDEX(PP_Grid[#Data],M_BOM[PPGridRow],85),0))+IFERROR(INDEX(M_RawMaterials[固定週次消費量_要入力],MATCH($A37,M_RawMaterials[Part Name],0)),0)</f>
        <v/>
      </c>
      <c r="CH37">
        <f>SUMPRODUCT((M_BOM[Part Name]=$A37)*M_BOM[RM_Qty_Per_Batch]*IFERROR(INDEX(PP_Grid[#Data],M_BOM[PPGridRow],86),0))+IFERROR(INDEX(M_RawMaterials[固定週次消費量_要入力],MATCH($A37,M_RawMaterials[Part Name],0)),0)</f>
        <v/>
      </c>
      <c r="CI37">
        <f>SUMPRODUCT((M_BOM[Part Name]=$A37)*M_BOM[RM_Qty_Per_Batch]*IFERROR(INDEX(PP_Grid[#Data],M_BOM[PPGridRow],87),0))+IFERROR(INDEX(M_RawMaterials[固定週次消費量_要入力],MATCH($A37,M_RawMaterials[Part Name],0)),0)</f>
        <v/>
      </c>
      <c r="CJ37">
        <f>SUMPRODUCT((M_BOM[Part Name]=$A37)*M_BOM[RM_Qty_Per_Batch]*IFERROR(INDEX(PP_Grid[#Data],M_BOM[PPGridRow],88),0))+IFERROR(INDEX(M_RawMaterials[固定週次消費量_要入力],MATCH($A37,M_RawMaterials[Part Name],0)),0)</f>
        <v/>
      </c>
      <c r="CK37">
        <f>SUMPRODUCT((M_BOM[Part Name]=$A37)*M_BOM[RM_Qty_Per_Batch]*IFERROR(INDEX(PP_Grid[#Data],M_BOM[PPGridRow],89),0))+IFERROR(INDEX(M_RawMaterials[固定週次消費量_要入力],MATCH($A37,M_RawMaterials[Part Name],0)),0)</f>
        <v/>
      </c>
      <c r="CL37">
        <f>SUMPRODUCT((M_BOM[Part Name]=$A37)*M_BOM[RM_Qty_Per_Batch]*IFERROR(INDEX(PP_Grid[#Data],M_BOM[PPGridRow],90),0))+IFERROR(INDEX(M_RawMaterials[固定週次消費量_要入力],MATCH($A37,M_RawMaterials[Part Name],0)),0)</f>
        <v/>
      </c>
      <c r="CM37">
        <f>SUMPRODUCT((M_BOM[Part Name]=$A37)*M_BOM[RM_Qty_Per_Batch]*IFERROR(INDEX(PP_Grid[#Data],M_BOM[PPGridRow],91),0))+IFERROR(INDEX(M_RawMaterials[固定週次消費量_要入力],MATCH($A37,M_RawMaterials[Part Name],0)),0)</f>
        <v/>
      </c>
      <c r="CN37">
        <f>SUMPRODUCT((M_BOM[Part Name]=$A37)*M_BOM[RM_Qty_Per_Batch]*IFERROR(INDEX(PP_Grid[#Data],M_BOM[PPGridRow],92),0))+IFERROR(INDEX(M_RawMaterials[固定週次消費量_要入力],MATCH($A37,M_RawMaterials[Part Name],0)),0)</f>
        <v/>
      </c>
      <c r="CO37">
        <f>SUMPRODUCT((M_BOM[Part Name]=$A37)*M_BOM[RM_Qty_Per_Batch]*IFERROR(INDEX(PP_Grid[#Data],M_BOM[PPGridRow],93),0))+IFERROR(INDEX(M_RawMaterials[固定週次消費量_要入力],MATCH($A37,M_RawMaterials[Part Name],0)),0)</f>
        <v/>
      </c>
      <c r="CP37">
        <f>SUMPRODUCT((M_BOM[Part Name]=$A37)*M_BOM[RM_Qty_Per_Batch]*IFERROR(INDEX(PP_Grid[#Data],M_BOM[PPGridRow],94),0))+IFERROR(INDEX(M_RawMaterials[固定週次消費量_要入力],MATCH($A37,M_RawMaterials[Part Name],0)),0)</f>
        <v/>
      </c>
      <c r="CQ37">
        <f>SUMPRODUCT((M_BOM[Part Name]=$A37)*M_BOM[RM_Qty_Per_Batch]*IFERROR(INDEX(PP_Grid[#Data],M_BOM[PPGridRow],95),0))+IFERROR(INDEX(M_RawMaterials[固定週次消費量_要入力],MATCH($A37,M_RawMaterials[Part Name],0)),0)</f>
        <v/>
      </c>
      <c r="CR37">
        <f>SUMPRODUCT((M_BOM[Part Name]=$A37)*M_BOM[RM_Qty_Per_Batch]*IFERROR(INDEX(PP_Grid[#Data],M_BOM[PPGridRow],96),0))+IFERROR(INDEX(M_RawMaterials[固定週次消費量_要入力],MATCH($A37,M_RawMaterials[Part Name],0)),0)</f>
        <v/>
      </c>
      <c r="CS37">
        <f>SUMPRODUCT((M_BOM[Part Name]=$A37)*M_BOM[RM_Qty_Per_Batch]*IFERROR(INDEX(PP_Grid[#Data],M_BOM[PPGridRow],97),0))+IFERROR(INDEX(M_RawMaterials[固定週次消費量_要入力],MATCH($A37,M_RawMaterials[Part Name],0)),0)</f>
        <v/>
      </c>
      <c r="CT37">
        <f>SUMPRODUCT((M_BOM[Part Name]=$A37)*M_BOM[RM_Qty_Per_Batch]*IFERROR(INDEX(PP_Grid[#Data],M_BOM[PPGridRow],98),0))+IFERROR(INDEX(M_RawMaterials[固定週次消費量_要入力],MATCH($A37,M_RawMaterials[Part Name],0)),0)</f>
        <v/>
      </c>
      <c r="CU37">
        <f>SUMPRODUCT((M_BOM[Part Name]=$A37)*M_BOM[RM_Qty_Per_Batch]*IFERROR(INDEX(PP_Grid[#Data],M_BOM[PPGridRow],99),0))+IFERROR(INDEX(M_RawMaterials[固定週次消費量_要入力],MATCH($A37,M_RawMaterials[Part Name],0)),0)</f>
        <v/>
      </c>
      <c r="CV37">
        <f>SUMPRODUCT((M_BOM[Part Name]=$A37)*M_BOM[RM_Qty_Per_Batch]*IFERROR(INDEX(PP_Grid[#Data],M_BOM[PPGridRow],100),0))+IFERROR(INDEX(M_RawMaterials[固定週次消費量_要入力],MATCH($A37,M_RawMaterials[Part Name],0)),0)</f>
        <v/>
      </c>
      <c r="CW37">
        <f>SUMPRODUCT((M_BOM[Part Name]=$A37)*M_BOM[RM_Qty_Per_Batch]*IFERROR(INDEX(PP_Grid[#Data],M_BOM[PPGridRow],101),0))+IFERROR(INDEX(M_RawMaterials[固定週次消費量_要入力],MATCH($A37,M_RawMaterials[Part Name],0)),0)</f>
        <v/>
      </c>
      <c r="CX37">
        <f>SUMPRODUCT((M_BOM[Part Name]=$A37)*M_BOM[RM_Qty_Per_Batch]*IFERROR(INDEX(PP_Grid[#Data],M_BOM[PPGridRow],102),0))+IFERROR(INDEX(M_RawMaterials[固定週次消費量_要入力],MATCH($A37,M_RawMaterials[Part Name],0)),0)</f>
        <v/>
      </c>
      <c r="CY37">
        <f>SUMPRODUCT((M_BOM[Part Name]=$A37)*M_BOM[RM_Qty_Per_Batch]*IFERROR(INDEX(PP_Grid[#Data],M_BOM[PPGridRow],103),0))+IFERROR(INDEX(M_RawMaterials[固定週次消費量_要入力],MATCH($A37,M_RawMaterials[Part Name],0)),0)</f>
        <v/>
      </c>
      <c r="CZ37">
        <f>SUMPRODUCT((M_BOM[Part Name]=$A37)*M_BOM[RM_Qty_Per_Batch]*IFERROR(INDEX(PP_Grid[#Data],M_BOM[PPGridRow],104),0))+IFERROR(INDEX(M_RawMaterials[固定週次消費量_要入力],MATCH($A37,M_RawMaterials[Part Name],0)),0)</f>
        <v/>
      </c>
      <c r="DA37">
        <f>SUMPRODUCT((M_BOM[Part Name]=$A37)*M_BOM[RM_Qty_Per_Batch]*IFERROR(INDEX(PP_Grid[#Data],M_BOM[PPGridRow],105),0))+IFERROR(INDEX(M_RawMaterials[固定週次消費量_要入力],MATCH($A37,M_RawMaterials[Part Name],0)),0)</f>
        <v/>
      </c>
    </row>
    <row r="38">
      <c r="A38" t="inlineStr">
        <is>
          <t>CHEM-1530</t>
        </is>
      </c>
      <c r="B38">
        <f>SUMPRODUCT((M_BOM[Part Name]=$A38)*M_BOM[RM_Qty_Per_Batch]*IFERROR(INDEX(PP_Grid[#Data],M_BOM[PPGridRow],2),0))+IFERROR(INDEX(M_RawMaterials[固定週次消費量_要入力],MATCH($A38,M_RawMaterials[Part Name],0)),0)</f>
        <v/>
      </c>
      <c r="C38">
        <f>SUMPRODUCT((M_BOM[Part Name]=$A38)*M_BOM[RM_Qty_Per_Batch]*IFERROR(INDEX(PP_Grid[#Data],M_BOM[PPGridRow],3),0))+IFERROR(INDEX(M_RawMaterials[固定週次消費量_要入力],MATCH($A38,M_RawMaterials[Part Name],0)),0)</f>
        <v/>
      </c>
      <c r="D38">
        <f>SUMPRODUCT((M_BOM[Part Name]=$A38)*M_BOM[RM_Qty_Per_Batch]*IFERROR(INDEX(PP_Grid[#Data],M_BOM[PPGridRow],4),0))+IFERROR(INDEX(M_RawMaterials[固定週次消費量_要入力],MATCH($A38,M_RawMaterials[Part Name],0)),0)</f>
        <v/>
      </c>
      <c r="E38">
        <f>SUMPRODUCT((M_BOM[Part Name]=$A38)*M_BOM[RM_Qty_Per_Batch]*IFERROR(INDEX(PP_Grid[#Data],M_BOM[PPGridRow],5),0))+IFERROR(INDEX(M_RawMaterials[固定週次消費量_要入力],MATCH($A38,M_RawMaterials[Part Name],0)),0)</f>
        <v/>
      </c>
      <c r="F38">
        <f>SUMPRODUCT((M_BOM[Part Name]=$A38)*M_BOM[RM_Qty_Per_Batch]*IFERROR(INDEX(PP_Grid[#Data],M_BOM[PPGridRow],6),0))+IFERROR(INDEX(M_RawMaterials[固定週次消費量_要入力],MATCH($A38,M_RawMaterials[Part Name],0)),0)</f>
        <v/>
      </c>
      <c r="G38">
        <f>SUMPRODUCT((M_BOM[Part Name]=$A38)*M_BOM[RM_Qty_Per_Batch]*IFERROR(INDEX(PP_Grid[#Data],M_BOM[PPGridRow],7),0))+IFERROR(INDEX(M_RawMaterials[固定週次消費量_要入力],MATCH($A38,M_RawMaterials[Part Name],0)),0)</f>
        <v/>
      </c>
      <c r="H38">
        <f>SUMPRODUCT((M_BOM[Part Name]=$A38)*M_BOM[RM_Qty_Per_Batch]*IFERROR(INDEX(PP_Grid[#Data],M_BOM[PPGridRow],8),0))+IFERROR(INDEX(M_RawMaterials[固定週次消費量_要入力],MATCH($A38,M_RawMaterials[Part Name],0)),0)</f>
        <v/>
      </c>
      <c r="I38">
        <f>SUMPRODUCT((M_BOM[Part Name]=$A38)*M_BOM[RM_Qty_Per_Batch]*IFERROR(INDEX(PP_Grid[#Data],M_BOM[PPGridRow],9),0))+IFERROR(INDEX(M_RawMaterials[固定週次消費量_要入力],MATCH($A38,M_RawMaterials[Part Name],0)),0)</f>
        <v/>
      </c>
      <c r="J38">
        <f>SUMPRODUCT((M_BOM[Part Name]=$A38)*M_BOM[RM_Qty_Per_Batch]*IFERROR(INDEX(PP_Grid[#Data],M_BOM[PPGridRow],10),0))+IFERROR(INDEX(M_RawMaterials[固定週次消費量_要入力],MATCH($A38,M_RawMaterials[Part Name],0)),0)</f>
        <v/>
      </c>
      <c r="K38">
        <f>SUMPRODUCT((M_BOM[Part Name]=$A38)*M_BOM[RM_Qty_Per_Batch]*IFERROR(INDEX(PP_Grid[#Data],M_BOM[PPGridRow],11),0))+IFERROR(INDEX(M_RawMaterials[固定週次消費量_要入力],MATCH($A38,M_RawMaterials[Part Name],0)),0)</f>
        <v/>
      </c>
      <c r="L38">
        <f>SUMPRODUCT((M_BOM[Part Name]=$A38)*M_BOM[RM_Qty_Per_Batch]*IFERROR(INDEX(PP_Grid[#Data],M_BOM[PPGridRow],12),0))+IFERROR(INDEX(M_RawMaterials[固定週次消費量_要入力],MATCH($A38,M_RawMaterials[Part Name],0)),0)</f>
        <v/>
      </c>
      <c r="M38">
        <f>SUMPRODUCT((M_BOM[Part Name]=$A38)*M_BOM[RM_Qty_Per_Batch]*IFERROR(INDEX(PP_Grid[#Data],M_BOM[PPGridRow],13),0))+IFERROR(INDEX(M_RawMaterials[固定週次消費量_要入力],MATCH($A38,M_RawMaterials[Part Name],0)),0)</f>
        <v/>
      </c>
      <c r="N38">
        <f>SUMPRODUCT((M_BOM[Part Name]=$A38)*M_BOM[RM_Qty_Per_Batch]*IFERROR(INDEX(PP_Grid[#Data],M_BOM[PPGridRow],14),0))+IFERROR(INDEX(M_RawMaterials[固定週次消費量_要入力],MATCH($A38,M_RawMaterials[Part Name],0)),0)</f>
        <v/>
      </c>
      <c r="O38">
        <f>SUMPRODUCT((M_BOM[Part Name]=$A38)*M_BOM[RM_Qty_Per_Batch]*IFERROR(INDEX(PP_Grid[#Data],M_BOM[PPGridRow],15),0))+IFERROR(INDEX(M_RawMaterials[固定週次消費量_要入力],MATCH($A38,M_RawMaterials[Part Name],0)),0)</f>
        <v/>
      </c>
      <c r="P38">
        <f>SUMPRODUCT((M_BOM[Part Name]=$A38)*M_BOM[RM_Qty_Per_Batch]*IFERROR(INDEX(PP_Grid[#Data],M_BOM[PPGridRow],16),0))+IFERROR(INDEX(M_RawMaterials[固定週次消費量_要入力],MATCH($A38,M_RawMaterials[Part Name],0)),0)</f>
        <v/>
      </c>
      <c r="Q38">
        <f>SUMPRODUCT((M_BOM[Part Name]=$A38)*M_BOM[RM_Qty_Per_Batch]*IFERROR(INDEX(PP_Grid[#Data],M_BOM[PPGridRow],17),0))+IFERROR(INDEX(M_RawMaterials[固定週次消費量_要入力],MATCH($A38,M_RawMaterials[Part Name],0)),0)</f>
        <v/>
      </c>
      <c r="R38">
        <f>SUMPRODUCT((M_BOM[Part Name]=$A38)*M_BOM[RM_Qty_Per_Batch]*IFERROR(INDEX(PP_Grid[#Data],M_BOM[PPGridRow],18),0))+IFERROR(INDEX(M_RawMaterials[固定週次消費量_要入力],MATCH($A38,M_RawMaterials[Part Name],0)),0)</f>
        <v/>
      </c>
      <c r="S38">
        <f>SUMPRODUCT((M_BOM[Part Name]=$A38)*M_BOM[RM_Qty_Per_Batch]*IFERROR(INDEX(PP_Grid[#Data],M_BOM[PPGridRow],19),0))+IFERROR(INDEX(M_RawMaterials[固定週次消費量_要入力],MATCH($A38,M_RawMaterials[Part Name],0)),0)</f>
        <v/>
      </c>
      <c r="T38">
        <f>SUMPRODUCT((M_BOM[Part Name]=$A38)*M_BOM[RM_Qty_Per_Batch]*IFERROR(INDEX(PP_Grid[#Data],M_BOM[PPGridRow],20),0))+IFERROR(INDEX(M_RawMaterials[固定週次消費量_要入力],MATCH($A38,M_RawMaterials[Part Name],0)),0)</f>
        <v/>
      </c>
      <c r="U38">
        <f>SUMPRODUCT((M_BOM[Part Name]=$A38)*M_BOM[RM_Qty_Per_Batch]*IFERROR(INDEX(PP_Grid[#Data],M_BOM[PPGridRow],21),0))+IFERROR(INDEX(M_RawMaterials[固定週次消費量_要入力],MATCH($A38,M_RawMaterials[Part Name],0)),0)</f>
        <v/>
      </c>
      <c r="V38">
        <f>SUMPRODUCT((M_BOM[Part Name]=$A38)*M_BOM[RM_Qty_Per_Batch]*IFERROR(INDEX(PP_Grid[#Data],M_BOM[PPGridRow],22),0))+IFERROR(INDEX(M_RawMaterials[固定週次消費量_要入力],MATCH($A38,M_RawMaterials[Part Name],0)),0)</f>
        <v/>
      </c>
      <c r="W38">
        <f>SUMPRODUCT((M_BOM[Part Name]=$A38)*M_BOM[RM_Qty_Per_Batch]*IFERROR(INDEX(PP_Grid[#Data],M_BOM[PPGridRow],23),0))+IFERROR(INDEX(M_RawMaterials[固定週次消費量_要入力],MATCH($A38,M_RawMaterials[Part Name],0)),0)</f>
        <v/>
      </c>
      <c r="X38">
        <f>SUMPRODUCT((M_BOM[Part Name]=$A38)*M_BOM[RM_Qty_Per_Batch]*IFERROR(INDEX(PP_Grid[#Data],M_BOM[PPGridRow],24),0))+IFERROR(INDEX(M_RawMaterials[固定週次消費量_要入力],MATCH($A38,M_RawMaterials[Part Name],0)),0)</f>
        <v/>
      </c>
      <c r="Y38">
        <f>SUMPRODUCT((M_BOM[Part Name]=$A38)*M_BOM[RM_Qty_Per_Batch]*IFERROR(INDEX(PP_Grid[#Data],M_BOM[PPGridRow],25),0))+IFERROR(INDEX(M_RawMaterials[固定週次消費量_要入力],MATCH($A38,M_RawMaterials[Part Name],0)),0)</f>
        <v/>
      </c>
      <c r="Z38">
        <f>SUMPRODUCT((M_BOM[Part Name]=$A38)*M_BOM[RM_Qty_Per_Batch]*IFERROR(INDEX(PP_Grid[#Data],M_BOM[PPGridRow],26),0))+IFERROR(INDEX(M_RawMaterials[固定週次消費量_要入力],MATCH($A38,M_RawMaterials[Part Name],0)),0)</f>
        <v/>
      </c>
      <c r="AA38">
        <f>SUMPRODUCT((M_BOM[Part Name]=$A38)*M_BOM[RM_Qty_Per_Batch]*IFERROR(INDEX(PP_Grid[#Data],M_BOM[PPGridRow],27),0))+IFERROR(INDEX(M_RawMaterials[固定週次消費量_要入力],MATCH($A38,M_RawMaterials[Part Name],0)),0)</f>
        <v/>
      </c>
      <c r="AB38">
        <f>SUMPRODUCT((M_BOM[Part Name]=$A38)*M_BOM[RM_Qty_Per_Batch]*IFERROR(INDEX(PP_Grid[#Data],M_BOM[PPGridRow],28),0))+IFERROR(INDEX(M_RawMaterials[固定週次消費量_要入力],MATCH($A38,M_RawMaterials[Part Name],0)),0)</f>
        <v/>
      </c>
      <c r="AC38">
        <f>SUMPRODUCT((M_BOM[Part Name]=$A38)*M_BOM[RM_Qty_Per_Batch]*IFERROR(INDEX(PP_Grid[#Data],M_BOM[PPGridRow],29),0))+IFERROR(INDEX(M_RawMaterials[固定週次消費量_要入力],MATCH($A38,M_RawMaterials[Part Name],0)),0)</f>
        <v/>
      </c>
      <c r="AD38">
        <f>SUMPRODUCT((M_BOM[Part Name]=$A38)*M_BOM[RM_Qty_Per_Batch]*IFERROR(INDEX(PP_Grid[#Data],M_BOM[PPGridRow],30),0))+IFERROR(INDEX(M_RawMaterials[固定週次消費量_要入力],MATCH($A38,M_RawMaterials[Part Name],0)),0)</f>
        <v/>
      </c>
      <c r="AE38">
        <f>SUMPRODUCT((M_BOM[Part Name]=$A38)*M_BOM[RM_Qty_Per_Batch]*IFERROR(INDEX(PP_Grid[#Data],M_BOM[PPGridRow],31),0))+IFERROR(INDEX(M_RawMaterials[固定週次消費量_要入力],MATCH($A38,M_RawMaterials[Part Name],0)),0)</f>
        <v/>
      </c>
      <c r="AF38">
        <f>SUMPRODUCT((M_BOM[Part Name]=$A38)*M_BOM[RM_Qty_Per_Batch]*IFERROR(INDEX(PP_Grid[#Data],M_BOM[PPGridRow],32),0))+IFERROR(INDEX(M_RawMaterials[固定週次消費量_要入力],MATCH($A38,M_RawMaterials[Part Name],0)),0)</f>
        <v/>
      </c>
      <c r="AG38">
        <f>SUMPRODUCT((M_BOM[Part Name]=$A38)*M_BOM[RM_Qty_Per_Batch]*IFERROR(INDEX(PP_Grid[#Data],M_BOM[PPGridRow],33),0))+IFERROR(INDEX(M_RawMaterials[固定週次消費量_要入力],MATCH($A38,M_RawMaterials[Part Name],0)),0)</f>
        <v/>
      </c>
      <c r="AH38">
        <f>SUMPRODUCT((M_BOM[Part Name]=$A38)*M_BOM[RM_Qty_Per_Batch]*IFERROR(INDEX(PP_Grid[#Data],M_BOM[PPGridRow],34),0))+IFERROR(INDEX(M_RawMaterials[固定週次消費量_要入力],MATCH($A38,M_RawMaterials[Part Name],0)),0)</f>
        <v/>
      </c>
      <c r="AI38">
        <f>SUMPRODUCT((M_BOM[Part Name]=$A38)*M_BOM[RM_Qty_Per_Batch]*IFERROR(INDEX(PP_Grid[#Data],M_BOM[PPGridRow],35),0))+IFERROR(INDEX(M_RawMaterials[固定週次消費量_要入力],MATCH($A38,M_RawMaterials[Part Name],0)),0)</f>
        <v/>
      </c>
      <c r="AJ38">
        <f>SUMPRODUCT((M_BOM[Part Name]=$A38)*M_BOM[RM_Qty_Per_Batch]*IFERROR(INDEX(PP_Grid[#Data],M_BOM[PPGridRow],36),0))+IFERROR(INDEX(M_RawMaterials[固定週次消費量_要入力],MATCH($A38,M_RawMaterials[Part Name],0)),0)</f>
        <v/>
      </c>
      <c r="AK38">
        <f>SUMPRODUCT((M_BOM[Part Name]=$A38)*M_BOM[RM_Qty_Per_Batch]*IFERROR(INDEX(PP_Grid[#Data],M_BOM[PPGridRow],37),0))+IFERROR(INDEX(M_RawMaterials[固定週次消費量_要入力],MATCH($A38,M_RawMaterials[Part Name],0)),0)</f>
        <v/>
      </c>
      <c r="AL38">
        <f>SUMPRODUCT((M_BOM[Part Name]=$A38)*M_BOM[RM_Qty_Per_Batch]*IFERROR(INDEX(PP_Grid[#Data],M_BOM[PPGridRow],38),0))+IFERROR(INDEX(M_RawMaterials[固定週次消費量_要入力],MATCH($A38,M_RawMaterials[Part Name],0)),0)</f>
        <v/>
      </c>
      <c r="AM38">
        <f>SUMPRODUCT((M_BOM[Part Name]=$A38)*M_BOM[RM_Qty_Per_Batch]*IFERROR(INDEX(PP_Grid[#Data],M_BOM[PPGridRow],39),0))+IFERROR(INDEX(M_RawMaterials[固定週次消費量_要入力],MATCH($A38,M_RawMaterials[Part Name],0)),0)</f>
        <v/>
      </c>
      <c r="AN38">
        <f>SUMPRODUCT((M_BOM[Part Name]=$A38)*M_BOM[RM_Qty_Per_Batch]*IFERROR(INDEX(PP_Grid[#Data],M_BOM[PPGridRow],40),0))+IFERROR(INDEX(M_RawMaterials[固定週次消費量_要入力],MATCH($A38,M_RawMaterials[Part Name],0)),0)</f>
        <v/>
      </c>
      <c r="AO38">
        <f>SUMPRODUCT((M_BOM[Part Name]=$A38)*M_BOM[RM_Qty_Per_Batch]*IFERROR(INDEX(PP_Grid[#Data],M_BOM[PPGridRow],41),0))+IFERROR(INDEX(M_RawMaterials[固定週次消費量_要入力],MATCH($A38,M_RawMaterials[Part Name],0)),0)</f>
        <v/>
      </c>
      <c r="AP38">
        <f>SUMPRODUCT((M_BOM[Part Name]=$A38)*M_BOM[RM_Qty_Per_Batch]*IFERROR(INDEX(PP_Grid[#Data],M_BOM[PPGridRow],42),0))+IFERROR(INDEX(M_RawMaterials[固定週次消費量_要入力],MATCH($A38,M_RawMaterials[Part Name],0)),0)</f>
        <v/>
      </c>
      <c r="AQ38">
        <f>SUMPRODUCT((M_BOM[Part Name]=$A38)*M_BOM[RM_Qty_Per_Batch]*IFERROR(INDEX(PP_Grid[#Data],M_BOM[PPGridRow],43),0))+IFERROR(INDEX(M_RawMaterials[固定週次消費量_要入力],MATCH($A38,M_RawMaterials[Part Name],0)),0)</f>
        <v/>
      </c>
      <c r="AR38">
        <f>SUMPRODUCT((M_BOM[Part Name]=$A38)*M_BOM[RM_Qty_Per_Batch]*IFERROR(INDEX(PP_Grid[#Data],M_BOM[PPGridRow],44),0))+IFERROR(INDEX(M_RawMaterials[固定週次消費量_要入力],MATCH($A38,M_RawMaterials[Part Name],0)),0)</f>
        <v/>
      </c>
      <c r="AS38">
        <f>SUMPRODUCT((M_BOM[Part Name]=$A38)*M_BOM[RM_Qty_Per_Batch]*IFERROR(INDEX(PP_Grid[#Data],M_BOM[PPGridRow],45),0))+IFERROR(INDEX(M_RawMaterials[固定週次消費量_要入力],MATCH($A38,M_RawMaterials[Part Name],0)),0)</f>
        <v/>
      </c>
      <c r="AT38">
        <f>SUMPRODUCT((M_BOM[Part Name]=$A38)*M_BOM[RM_Qty_Per_Batch]*IFERROR(INDEX(PP_Grid[#Data],M_BOM[PPGridRow],46),0))+IFERROR(INDEX(M_RawMaterials[固定週次消費量_要入力],MATCH($A38,M_RawMaterials[Part Name],0)),0)</f>
        <v/>
      </c>
      <c r="AU38">
        <f>SUMPRODUCT((M_BOM[Part Name]=$A38)*M_BOM[RM_Qty_Per_Batch]*IFERROR(INDEX(PP_Grid[#Data],M_BOM[PPGridRow],47),0))+IFERROR(INDEX(M_RawMaterials[固定週次消費量_要入力],MATCH($A38,M_RawMaterials[Part Name],0)),0)</f>
        <v/>
      </c>
      <c r="AV38">
        <f>SUMPRODUCT((M_BOM[Part Name]=$A38)*M_BOM[RM_Qty_Per_Batch]*IFERROR(INDEX(PP_Grid[#Data],M_BOM[PPGridRow],48),0))+IFERROR(INDEX(M_RawMaterials[固定週次消費量_要入力],MATCH($A38,M_RawMaterials[Part Name],0)),0)</f>
        <v/>
      </c>
      <c r="AW38">
        <f>SUMPRODUCT((M_BOM[Part Name]=$A38)*M_BOM[RM_Qty_Per_Batch]*IFERROR(INDEX(PP_Grid[#Data],M_BOM[PPGridRow],49),0))+IFERROR(INDEX(M_RawMaterials[固定週次消費量_要入力],MATCH($A38,M_RawMaterials[Part Name],0)),0)</f>
        <v/>
      </c>
      <c r="AX38">
        <f>SUMPRODUCT((M_BOM[Part Name]=$A38)*M_BOM[RM_Qty_Per_Batch]*IFERROR(INDEX(PP_Grid[#Data],M_BOM[PPGridRow],50),0))+IFERROR(INDEX(M_RawMaterials[固定週次消費量_要入力],MATCH($A38,M_RawMaterials[Part Name],0)),0)</f>
        <v/>
      </c>
      <c r="AY38">
        <f>SUMPRODUCT((M_BOM[Part Name]=$A38)*M_BOM[RM_Qty_Per_Batch]*IFERROR(INDEX(PP_Grid[#Data],M_BOM[PPGridRow],51),0))+IFERROR(INDEX(M_RawMaterials[固定週次消費量_要入力],MATCH($A38,M_RawMaterials[Part Name],0)),0)</f>
        <v/>
      </c>
      <c r="AZ38">
        <f>SUMPRODUCT((M_BOM[Part Name]=$A38)*M_BOM[RM_Qty_Per_Batch]*IFERROR(INDEX(PP_Grid[#Data],M_BOM[PPGridRow],52),0))+IFERROR(INDEX(M_RawMaterials[固定週次消費量_要入力],MATCH($A38,M_RawMaterials[Part Name],0)),0)</f>
        <v/>
      </c>
      <c r="BA38">
        <f>SUMPRODUCT((M_BOM[Part Name]=$A38)*M_BOM[RM_Qty_Per_Batch]*IFERROR(INDEX(PP_Grid[#Data],M_BOM[PPGridRow],53),0))+IFERROR(INDEX(M_RawMaterials[固定週次消費量_要入力],MATCH($A38,M_RawMaterials[Part Name],0)),0)</f>
        <v/>
      </c>
      <c r="BB38">
        <f>SUMPRODUCT((M_BOM[Part Name]=$A38)*M_BOM[RM_Qty_Per_Batch]*IFERROR(INDEX(PP_Grid[#Data],M_BOM[PPGridRow],54),0))+IFERROR(INDEX(M_RawMaterials[固定週次消費量_要入力],MATCH($A38,M_RawMaterials[Part Name],0)),0)</f>
        <v/>
      </c>
      <c r="BC38">
        <f>SUMPRODUCT((M_BOM[Part Name]=$A38)*M_BOM[RM_Qty_Per_Batch]*IFERROR(INDEX(PP_Grid[#Data],M_BOM[PPGridRow],55),0))+IFERROR(INDEX(M_RawMaterials[固定週次消費量_要入力],MATCH($A38,M_RawMaterials[Part Name],0)),0)</f>
        <v/>
      </c>
      <c r="BD38">
        <f>SUMPRODUCT((M_BOM[Part Name]=$A38)*M_BOM[RM_Qty_Per_Batch]*IFERROR(INDEX(PP_Grid[#Data],M_BOM[PPGridRow],56),0))+IFERROR(INDEX(M_RawMaterials[固定週次消費量_要入力],MATCH($A38,M_RawMaterials[Part Name],0)),0)</f>
        <v/>
      </c>
      <c r="BE38">
        <f>SUMPRODUCT((M_BOM[Part Name]=$A38)*M_BOM[RM_Qty_Per_Batch]*IFERROR(INDEX(PP_Grid[#Data],M_BOM[PPGridRow],57),0))+IFERROR(INDEX(M_RawMaterials[固定週次消費量_要入力],MATCH($A38,M_RawMaterials[Part Name],0)),0)</f>
        <v/>
      </c>
      <c r="BF38">
        <f>SUMPRODUCT((M_BOM[Part Name]=$A38)*M_BOM[RM_Qty_Per_Batch]*IFERROR(INDEX(PP_Grid[#Data],M_BOM[PPGridRow],58),0))+IFERROR(INDEX(M_RawMaterials[固定週次消費量_要入力],MATCH($A38,M_RawMaterials[Part Name],0)),0)</f>
        <v/>
      </c>
      <c r="BG38">
        <f>SUMPRODUCT((M_BOM[Part Name]=$A38)*M_BOM[RM_Qty_Per_Batch]*IFERROR(INDEX(PP_Grid[#Data],M_BOM[PPGridRow],59),0))+IFERROR(INDEX(M_RawMaterials[固定週次消費量_要入力],MATCH($A38,M_RawMaterials[Part Name],0)),0)</f>
        <v/>
      </c>
      <c r="BH38">
        <f>SUMPRODUCT((M_BOM[Part Name]=$A38)*M_BOM[RM_Qty_Per_Batch]*IFERROR(INDEX(PP_Grid[#Data],M_BOM[PPGridRow],60),0))+IFERROR(INDEX(M_RawMaterials[固定週次消費量_要入力],MATCH($A38,M_RawMaterials[Part Name],0)),0)</f>
        <v/>
      </c>
      <c r="BI38">
        <f>SUMPRODUCT((M_BOM[Part Name]=$A38)*M_BOM[RM_Qty_Per_Batch]*IFERROR(INDEX(PP_Grid[#Data],M_BOM[PPGridRow],61),0))+IFERROR(INDEX(M_RawMaterials[固定週次消費量_要入力],MATCH($A38,M_RawMaterials[Part Name],0)),0)</f>
        <v/>
      </c>
      <c r="BJ38">
        <f>SUMPRODUCT((M_BOM[Part Name]=$A38)*M_BOM[RM_Qty_Per_Batch]*IFERROR(INDEX(PP_Grid[#Data],M_BOM[PPGridRow],62),0))+IFERROR(INDEX(M_RawMaterials[固定週次消費量_要入力],MATCH($A38,M_RawMaterials[Part Name],0)),0)</f>
        <v/>
      </c>
      <c r="BK38">
        <f>SUMPRODUCT((M_BOM[Part Name]=$A38)*M_BOM[RM_Qty_Per_Batch]*IFERROR(INDEX(PP_Grid[#Data],M_BOM[PPGridRow],63),0))+IFERROR(INDEX(M_RawMaterials[固定週次消費量_要入力],MATCH($A38,M_RawMaterials[Part Name],0)),0)</f>
        <v/>
      </c>
      <c r="BL38">
        <f>SUMPRODUCT((M_BOM[Part Name]=$A38)*M_BOM[RM_Qty_Per_Batch]*IFERROR(INDEX(PP_Grid[#Data],M_BOM[PPGridRow],64),0))+IFERROR(INDEX(M_RawMaterials[固定週次消費量_要入力],MATCH($A38,M_RawMaterials[Part Name],0)),0)</f>
        <v/>
      </c>
      <c r="BM38">
        <f>SUMPRODUCT((M_BOM[Part Name]=$A38)*M_BOM[RM_Qty_Per_Batch]*IFERROR(INDEX(PP_Grid[#Data],M_BOM[PPGridRow],65),0))+IFERROR(INDEX(M_RawMaterials[固定週次消費量_要入力],MATCH($A38,M_RawMaterials[Part Name],0)),0)</f>
        <v/>
      </c>
      <c r="BN38">
        <f>SUMPRODUCT((M_BOM[Part Name]=$A38)*M_BOM[RM_Qty_Per_Batch]*IFERROR(INDEX(PP_Grid[#Data],M_BOM[PPGridRow],66),0))+IFERROR(INDEX(M_RawMaterials[固定週次消費量_要入力],MATCH($A38,M_RawMaterials[Part Name],0)),0)</f>
        <v/>
      </c>
      <c r="BO38">
        <f>SUMPRODUCT((M_BOM[Part Name]=$A38)*M_BOM[RM_Qty_Per_Batch]*IFERROR(INDEX(PP_Grid[#Data],M_BOM[PPGridRow],67),0))+IFERROR(INDEX(M_RawMaterials[固定週次消費量_要入力],MATCH($A38,M_RawMaterials[Part Name],0)),0)</f>
        <v/>
      </c>
      <c r="BP38">
        <f>SUMPRODUCT((M_BOM[Part Name]=$A38)*M_BOM[RM_Qty_Per_Batch]*IFERROR(INDEX(PP_Grid[#Data],M_BOM[PPGridRow],68),0))+IFERROR(INDEX(M_RawMaterials[固定週次消費量_要入力],MATCH($A38,M_RawMaterials[Part Name],0)),0)</f>
        <v/>
      </c>
      <c r="BQ38">
        <f>SUMPRODUCT((M_BOM[Part Name]=$A38)*M_BOM[RM_Qty_Per_Batch]*IFERROR(INDEX(PP_Grid[#Data],M_BOM[PPGridRow],69),0))+IFERROR(INDEX(M_RawMaterials[固定週次消費量_要入力],MATCH($A38,M_RawMaterials[Part Name],0)),0)</f>
        <v/>
      </c>
      <c r="BR38">
        <f>SUMPRODUCT((M_BOM[Part Name]=$A38)*M_BOM[RM_Qty_Per_Batch]*IFERROR(INDEX(PP_Grid[#Data],M_BOM[PPGridRow],70),0))+IFERROR(INDEX(M_RawMaterials[固定週次消費量_要入力],MATCH($A38,M_RawMaterials[Part Name],0)),0)</f>
        <v/>
      </c>
      <c r="BS38">
        <f>SUMPRODUCT((M_BOM[Part Name]=$A38)*M_BOM[RM_Qty_Per_Batch]*IFERROR(INDEX(PP_Grid[#Data],M_BOM[PPGridRow],71),0))+IFERROR(INDEX(M_RawMaterials[固定週次消費量_要入力],MATCH($A38,M_RawMaterials[Part Name],0)),0)</f>
        <v/>
      </c>
      <c r="BT38">
        <f>SUMPRODUCT((M_BOM[Part Name]=$A38)*M_BOM[RM_Qty_Per_Batch]*IFERROR(INDEX(PP_Grid[#Data],M_BOM[PPGridRow],72),0))+IFERROR(INDEX(M_RawMaterials[固定週次消費量_要入力],MATCH($A38,M_RawMaterials[Part Name],0)),0)</f>
        <v/>
      </c>
      <c r="BU38">
        <f>SUMPRODUCT((M_BOM[Part Name]=$A38)*M_BOM[RM_Qty_Per_Batch]*IFERROR(INDEX(PP_Grid[#Data],M_BOM[PPGridRow],73),0))+IFERROR(INDEX(M_RawMaterials[固定週次消費量_要入力],MATCH($A38,M_RawMaterials[Part Name],0)),0)</f>
        <v/>
      </c>
      <c r="BV38">
        <f>SUMPRODUCT((M_BOM[Part Name]=$A38)*M_BOM[RM_Qty_Per_Batch]*IFERROR(INDEX(PP_Grid[#Data],M_BOM[PPGridRow],74),0))+IFERROR(INDEX(M_RawMaterials[固定週次消費量_要入力],MATCH($A38,M_RawMaterials[Part Name],0)),0)</f>
        <v/>
      </c>
      <c r="BW38">
        <f>SUMPRODUCT((M_BOM[Part Name]=$A38)*M_BOM[RM_Qty_Per_Batch]*IFERROR(INDEX(PP_Grid[#Data],M_BOM[PPGridRow],75),0))+IFERROR(INDEX(M_RawMaterials[固定週次消費量_要入力],MATCH($A38,M_RawMaterials[Part Name],0)),0)</f>
        <v/>
      </c>
      <c r="BX38">
        <f>SUMPRODUCT((M_BOM[Part Name]=$A38)*M_BOM[RM_Qty_Per_Batch]*IFERROR(INDEX(PP_Grid[#Data],M_BOM[PPGridRow],76),0))+IFERROR(INDEX(M_RawMaterials[固定週次消費量_要入力],MATCH($A38,M_RawMaterials[Part Name],0)),0)</f>
        <v/>
      </c>
      <c r="BY38">
        <f>SUMPRODUCT((M_BOM[Part Name]=$A38)*M_BOM[RM_Qty_Per_Batch]*IFERROR(INDEX(PP_Grid[#Data],M_BOM[PPGridRow],77),0))+IFERROR(INDEX(M_RawMaterials[固定週次消費量_要入力],MATCH($A38,M_RawMaterials[Part Name],0)),0)</f>
        <v/>
      </c>
      <c r="BZ38">
        <f>SUMPRODUCT((M_BOM[Part Name]=$A38)*M_BOM[RM_Qty_Per_Batch]*IFERROR(INDEX(PP_Grid[#Data],M_BOM[PPGridRow],78),0))+IFERROR(INDEX(M_RawMaterials[固定週次消費量_要入力],MATCH($A38,M_RawMaterials[Part Name],0)),0)</f>
        <v/>
      </c>
      <c r="CA38">
        <f>SUMPRODUCT((M_BOM[Part Name]=$A38)*M_BOM[RM_Qty_Per_Batch]*IFERROR(INDEX(PP_Grid[#Data],M_BOM[PPGridRow],79),0))+IFERROR(INDEX(M_RawMaterials[固定週次消費量_要入力],MATCH($A38,M_RawMaterials[Part Name],0)),0)</f>
        <v/>
      </c>
      <c r="CB38">
        <f>SUMPRODUCT((M_BOM[Part Name]=$A38)*M_BOM[RM_Qty_Per_Batch]*IFERROR(INDEX(PP_Grid[#Data],M_BOM[PPGridRow],80),0))+IFERROR(INDEX(M_RawMaterials[固定週次消費量_要入力],MATCH($A38,M_RawMaterials[Part Name],0)),0)</f>
        <v/>
      </c>
      <c r="CC38">
        <f>SUMPRODUCT((M_BOM[Part Name]=$A38)*M_BOM[RM_Qty_Per_Batch]*IFERROR(INDEX(PP_Grid[#Data],M_BOM[PPGridRow],81),0))+IFERROR(INDEX(M_RawMaterials[固定週次消費量_要入力],MATCH($A38,M_RawMaterials[Part Name],0)),0)</f>
        <v/>
      </c>
      <c r="CD38">
        <f>SUMPRODUCT((M_BOM[Part Name]=$A38)*M_BOM[RM_Qty_Per_Batch]*IFERROR(INDEX(PP_Grid[#Data],M_BOM[PPGridRow],82),0))+IFERROR(INDEX(M_RawMaterials[固定週次消費量_要入力],MATCH($A38,M_RawMaterials[Part Name],0)),0)</f>
        <v/>
      </c>
      <c r="CE38">
        <f>SUMPRODUCT((M_BOM[Part Name]=$A38)*M_BOM[RM_Qty_Per_Batch]*IFERROR(INDEX(PP_Grid[#Data],M_BOM[PPGridRow],83),0))+IFERROR(INDEX(M_RawMaterials[固定週次消費量_要入力],MATCH($A38,M_RawMaterials[Part Name],0)),0)</f>
        <v/>
      </c>
      <c r="CF38">
        <f>SUMPRODUCT((M_BOM[Part Name]=$A38)*M_BOM[RM_Qty_Per_Batch]*IFERROR(INDEX(PP_Grid[#Data],M_BOM[PPGridRow],84),0))+IFERROR(INDEX(M_RawMaterials[固定週次消費量_要入力],MATCH($A38,M_RawMaterials[Part Name],0)),0)</f>
        <v/>
      </c>
      <c r="CG38">
        <f>SUMPRODUCT((M_BOM[Part Name]=$A38)*M_BOM[RM_Qty_Per_Batch]*IFERROR(INDEX(PP_Grid[#Data],M_BOM[PPGridRow],85),0))+IFERROR(INDEX(M_RawMaterials[固定週次消費量_要入力],MATCH($A38,M_RawMaterials[Part Name],0)),0)</f>
        <v/>
      </c>
      <c r="CH38">
        <f>SUMPRODUCT((M_BOM[Part Name]=$A38)*M_BOM[RM_Qty_Per_Batch]*IFERROR(INDEX(PP_Grid[#Data],M_BOM[PPGridRow],86),0))+IFERROR(INDEX(M_RawMaterials[固定週次消費量_要入力],MATCH($A38,M_RawMaterials[Part Name],0)),0)</f>
        <v/>
      </c>
      <c r="CI38">
        <f>SUMPRODUCT((M_BOM[Part Name]=$A38)*M_BOM[RM_Qty_Per_Batch]*IFERROR(INDEX(PP_Grid[#Data],M_BOM[PPGridRow],87),0))+IFERROR(INDEX(M_RawMaterials[固定週次消費量_要入力],MATCH($A38,M_RawMaterials[Part Name],0)),0)</f>
        <v/>
      </c>
      <c r="CJ38">
        <f>SUMPRODUCT((M_BOM[Part Name]=$A38)*M_BOM[RM_Qty_Per_Batch]*IFERROR(INDEX(PP_Grid[#Data],M_BOM[PPGridRow],88),0))+IFERROR(INDEX(M_RawMaterials[固定週次消費量_要入力],MATCH($A38,M_RawMaterials[Part Name],0)),0)</f>
        <v/>
      </c>
      <c r="CK38">
        <f>SUMPRODUCT((M_BOM[Part Name]=$A38)*M_BOM[RM_Qty_Per_Batch]*IFERROR(INDEX(PP_Grid[#Data],M_BOM[PPGridRow],89),0))+IFERROR(INDEX(M_RawMaterials[固定週次消費量_要入力],MATCH($A38,M_RawMaterials[Part Name],0)),0)</f>
        <v/>
      </c>
      <c r="CL38">
        <f>SUMPRODUCT((M_BOM[Part Name]=$A38)*M_BOM[RM_Qty_Per_Batch]*IFERROR(INDEX(PP_Grid[#Data],M_BOM[PPGridRow],90),0))+IFERROR(INDEX(M_RawMaterials[固定週次消費量_要入力],MATCH($A38,M_RawMaterials[Part Name],0)),0)</f>
        <v/>
      </c>
      <c r="CM38">
        <f>SUMPRODUCT((M_BOM[Part Name]=$A38)*M_BOM[RM_Qty_Per_Batch]*IFERROR(INDEX(PP_Grid[#Data],M_BOM[PPGridRow],91),0))+IFERROR(INDEX(M_RawMaterials[固定週次消費量_要入力],MATCH($A38,M_RawMaterials[Part Name],0)),0)</f>
        <v/>
      </c>
      <c r="CN38">
        <f>SUMPRODUCT((M_BOM[Part Name]=$A38)*M_BOM[RM_Qty_Per_Batch]*IFERROR(INDEX(PP_Grid[#Data],M_BOM[PPGridRow],92),0))+IFERROR(INDEX(M_RawMaterials[固定週次消費量_要入力],MATCH($A38,M_RawMaterials[Part Name],0)),0)</f>
        <v/>
      </c>
      <c r="CO38">
        <f>SUMPRODUCT((M_BOM[Part Name]=$A38)*M_BOM[RM_Qty_Per_Batch]*IFERROR(INDEX(PP_Grid[#Data],M_BOM[PPGridRow],93),0))+IFERROR(INDEX(M_RawMaterials[固定週次消費量_要入力],MATCH($A38,M_RawMaterials[Part Name],0)),0)</f>
        <v/>
      </c>
      <c r="CP38">
        <f>SUMPRODUCT((M_BOM[Part Name]=$A38)*M_BOM[RM_Qty_Per_Batch]*IFERROR(INDEX(PP_Grid[#Data],M_BOM[PPGridRow],94),0))+IFERROR(INDEX(M_RawMaterials[固定週次消費量_要入力],MATCH($A38,M_RawMaterials[Part Name],0)),0)</f>
        <v/>
      </c>
      <c r="CQ38">
        <f>SUMPRODUCT((M_BOM[Part Name]=$A38)*M_BOM[RM_Qty_Per_Batch]*IFERROR(INDEX(PP_Grid[#Data],M_BOM[PPGridRow],95),0))+IFERROR(INDEX(M_RawMaterials[固定週次消費量_要入力],MATCH($A38,M_RawMaterials[Part Name],0)),0)</f>
        <v/>
      </c>
      <c r="CR38">
        <f>SUMPRODUCT((M_BOM[Part Name]=$A38)*M_BOM[RM_Qty_Per_Batch]*IFERROR(INDEX(PP_Grid[#Data],M_BOM[PPGridRow],96),0))+IFERROR(INDEX(M_RawMaterials[固定週次消費量_要入力],MATCH($A38,M_RawMaterials[Part Name],0)),0)</f>
        <v/>
      </c>
      <c r="CS38">
        <f>SUMPRODUCT((M_BOM[Part Name]=$A38)*M_BOM[RM_Qty_Per_Batch]*IFERROR(INDEX(PP_Grid[#Data],M_BOM[PPGridRow],97),0))+IFERROR(INDEX(M_RawMaterials[固定週次消費量_要入力],MATCH($A38,M_RawMaterials[Part Name],0)),0)</f>
        <v/>
      </c>
      <c r="CT38">
        <f>SUMPRODUCT((M_BOM[Part Name]=$A38)*M_BOM[RM_Qty_Per_Batch]*IFERROR(INDEX(PP_Grid[#Data],M_BOM[PPGridRow],98),0))+IFERROR(INDEX(M_RawMaterials[固定週次消費量_要入力],MATCH($A38,M_RawMaterials[Part Name],0)),0)</f>
        <v/>
      </c>
      <c r="CU38">
        <f>SUMPRODUCT((M_BOM[Part Name]=$A38)*M_BOM[RM_Qty_Per_Batch]*IFERROR(INDEX(PP_Grid[#Data],M_BOM[PPGridRow],99),0))+IFERROR(INDEX(M_RawMaterials[固定週次消費量_要入力],MATCH($A38,M_RawMaterials[Part Name],0)),0)</f>
        <v/>
      </c>
      <c r="CV38">
        <f>SUMPRODUCT((M_BOM[Part Name]=$A38)*M_BOM[RM_Qty_Per_Batch]*IFERROR(INDEX(PP_Grid[#Data],M_BOM[PPGridRow],100),0))+IFERROR(INDEX(M_RawMaterials[固定週次消費量_要入力],MATCH($A38,M_RawMaterials[Part Name],0)),0)</f>
        <v/>
      </c>
      <c r="CW38">
        <f>SUMPRODUCT((M_BOM[Part Name]=$A38)*M_BOM[RM_Qty_Per_Batch]*IFERROR(INDEX(PP_Grid[#Data],M_BOM[PPGridRow],101),0))+IFERROR(INDEX(M_RawMaterials[固定週次消費量_要入力],MATCH($A38,M_RawMaterials[Part Name],0)),0)</f>
        <v/>
      </c>
      <c r="CX38">
        <f>SUMPRODUCT((M_BOM[Part Name]=$A38)*M_BOM[RM_Qty_Per_Batch]*IFERROR(INDEX(PP_Grid[#Data],M_BOM[PPGridRow],102),0))+IFERROR(INDEX(M_RawMaterials[固定週次消費量_要入力],MATCH($A38,M_RawMaterials[Part Name],0)),0)</f>
        <v/>
      </c>
      <c r="CY38">
        <f>SUMPRODUCT((M_BOM[Part Name]=$A38)*M_BOM[RM_Qty_Per_Batch]*IFERROR(INDEX(PP_Grid[#Data],M_BOM[PPGridRow],103),0))+IFERROR(INDEX(M_RawMaterials[固定週次消費量_要入力],MATCH($A38,M_RawMaterials[Part Name],0)),0)</f>
        <v/>
      </c>
      <c r="CZ38">
        <f>SUMPRODUCT((M_BOM[Part Name]=$A38)*M_BOM[RM_Qty_Per_Batch]*IFERROR(INDEX(PP_Grid[#Data],M_BOM[PPGridRow],104),0))+IFERROR(INDEX(M_RawMaterials[固定週次消費量_要入力],MATCH($A38,M_RawMaterials[Part Name],0)),0)</f>
        <v/>
      </c>
      <c r="DA38">
        <f>SUMPRODUCT((M_BOM[Part Name]=$A38)*M_BOM[RM_Qty_Per_Batch]*IFERROR(INDEX(PP_Grid[#Data],M_BOM[PPGridRow],105),0))+IFERROR(INDEX(M_RawMaterials[固定週次消費量_要入力],MATCH($A38,M_RawMaterials[Part Name],0)),0)</f>
        <v/>
      </c>
    </row>
    <row r="39">
      <c r="A39" t="inlineStr">
        <is>
          <t>CHEM-1480</t>
        </is>
      </c>
      <c r="B39">
        <f>SUMPRODUCT((M_BOM[Part Name]=$A39)*M_BOM[RM_Qty_Per_Batch]*IFERROR(INDEX(PP_Grid[#Data],M_BOM[PPGridRow],2),0))+IFERROR(INDEX(M_RawMaterials[固定週次消費量_要入力],MATCH($A39,M_RawMaterials[Part Name],0)),0)</f>
        <v/>
      </c>
      <c r="C39">
        <f>SUMPRODUCT((M_BOM[Part Name]=$A39)*M_BOM[RM_Qty_Per_Batch]*IFERROR(INDEX(PP_Grid[#Data],M_BOM[PPGridRow],3),0))+IFERROR(INDEX(M_RawMaterials[固定週次消費量_要入力],MATCH($A39,M_RawMaterials[Part Name],0)),0)</f>
        <v/>
      </c>
      <c r="D39">
        <f>SUMPRODUCT((M_BOM[Part Name]=$A39)*M_BOM[RM_Qty_Per_Batch]*IFERROR(INDEX(PP_Grid[#Data],M_BOM[PPGridRow],4),0))+IFERROR(INDEX(M_RawMaterials[固定週次消費量_要入力],MATCH($A39,M_RawMaterials[Part Name],0)),0)</f>
        <v/>
      </c>
      <c r="E39">
        <f>SUMPRODUCT((M_BOM[Part Name]=$A39)*M_BOM[RM_Qty_Per_Batch]*IFERROR(INDEX(PP_Grid[#Data],M_BOM[PPGridRow],5),0))+IFERROR(INDEX(M_RawMaterials[固定週次消費量_要入力],MATCH($A39,M_RawMaterials[Part Name],0)),0)</f>
        <v/>
      </c>
      <c r="F39">
        <f>SUMPRODUCT((M_BOM[Part Name]=$A39)*M_BOM[RM_Qty_Per_Batch]*IFERROR(INDEX(PP_Grid[#Data],M_BOM[PPGridRow],6),0))+IFERROR(INDEX(M_RawMaterials[固定週次消費量_要入力],MATCH($A39,M_RawMaterials[Part Name],0)),0)</f>
        <v/>
      </c>
      <c r="G39">
        <f>SUMPRODUCT((M_BOM[Part Name]=$A39)*M_BOM[RM_Qty_Per_Batch]*IFERROR(INDEX(PP_Grid[#Data],M_BOM[PPGridRow],7),0))+IFERROR(INDEX(M_RawMaterials[固定週次消費量_要入力],MATCH($A39,M_RawMaterials[Part Name],0)),0)</f>
        <v/>
      </c>
      <c r="H39">
        <f>SUMPRODUCT((M_BOM[Part Name]=$A39)*M_BOM[RM_Qty_Per_Batch]*IFERROR(INDEX(PP_Grid[#Data],M_BOM[PPGridRow],8),0))+IFERROR(INDEX(M_RawMaterials[固定週次消費量_要入力],MATCH($A39,M_RawMaterials[Part Name],0)),0)</f>
        <v/>
      </c>
      <c r="I39">
        <f>SUMPRODUCT((M_BOM[Part Name]=$A39)*M_BOM[RM_Qty_Per_Batch]*IFERROR(INDEX(PP_Grid[#Data],M_BOM[PPGridRow],9),0))+IFERROR(INDEX(M_RawMaterials[固定週次消費量_要入力],MATCH($A39,M_RawMaterials[Part Name],0)),0)</f>
        <v/>
      </c>
      <c r="J39">
        <f>SUMPRODUCT((M_BOM[Part Name]=$A39)*M_BOM[RM_Qty_Per_Batch]*IFERROR(INDEX(PP_Grid[#Data],M_BOM[PPGridRow],10),0))+IFERROR(INDEX(M_RawMaterials[固定週次消費量_要入力],MATCH($A39,M_RawMaterials[Part Name],0)),0)</f>
        <v/>
      </c>
      <c r="K39">
        <f>SUMPRODUCT((M_BOM[Part Name]=$A39)*M_BOM[RM_Qty_Per_Batch]*IFERROR(INDEX(PP_Grid[#Data],M_BOM[PPGridRow],11),0))+IFERROR(INDEX(M_RawMaterials[固定週次消費量_要入力],MATCH($A39,M_RawMaterials[Part Name],0)),0)</f>
        <v/>
      </c>
      <c r="L39">
        <f>SUMPRODUCT((M_BOM[Part Name]=$A39)*M_BOM[RM_Qty_Per_Batch]*IFERROR(INDEX(PP_Grid[#Data],M_BOM[PPGridRow],12),0))+IFERROR(INDEX(M_RawMaterials[固定週次消費量_要入力],MATCH($A39,M_RawMaterials[Part Name],0)),0)</f>
        <v/>
      </c>
      <c r="M39">
        <f>SUMPRODUCT((M_BOM[Part Name]=$A39)*M_BOM[RM_Qty_Per_Batch]*IFERROR(INDEX(PP_Grid[#Data],M_BOM[PPGridRow],13),0))+IFERROR(INDEX(M_RawMaterials[固定週次消費量_要入力],MATCH($A39,M_RawMaterials[Part Name],0)),0)</f>
        <v/>
      </c>
      <c r="N39">
        <f>SUMPRODUCT((M_BOM[Part Name]=$A39)*M_BOM[RM_Qty_Per_Batch]*IFERROR(INDEX(PP_Grid[#Data],M_BOM[PPGridRow],14),0))+IFERROR(INDEX(M_RawMaterials[固定週次消費量_要入力],MATCH($A39,M_RawMaterials[Part Name],0)),0)</f>
        <v/>
      </c>
      <c r="O39">
        <f>SUMPRODUCT((M_BOM[Part Name]=$A39)*M_BOM[RM_Qty_Per_Batch]*IFERROR(INDEX(PP_Grid[#Data],M_BOM[PPGridRow],15),0))+IFERROR(INDEX(M_RawMaterials[固定週次消費量_要入力],MATCH($A39,M_RawMaterials[Part Name],0)),0)</f>
        <v/>
      </c>
      <c r="P39">
        <f>SUMPRODUCT((M_BOM[Part Name]=$A39)*M_BOM[RM_Qty_Per_Batch]*IFERROR(INDEX(PP_Grid[#Data],M_BOM[PPGridRow],16),0))+IFERROR(INDEX(M_RawMaterials[固定週次消費量_要入力],MATCH($A39,M_RawMaterials[Part Name],0)),0)</f>
        <v/>
      </c>
      <c r="Q39">
        <f>SUMPRODUCT((M_BOM[Part Name]=$A39)*M_BOM[RM_Qty_Per_Batch]*IFERROR(INDEX(PP_Grid[#Data],M_BOM[PPGridRow],17),0))+IFERROR(INDEX(M_RawMaterials[固定週次消費量_要入力],MATCH($A39,M_RawMaterials[Part Name],0)),0)</f>
        <v/>
      </c>
      <c r="R39">
        <f>SUMPRODUCT((M_BOM[Part Name]=$A39)*M_BOM[RM_Qty_Per_Batch]*IFERROR(INDEX(PP_Grid[#Data],M_BOM[PPGridRow],18),0))+IFERROR(INDEX(M_RawMaterials[固定週次消費量_要入力],MATCH($A39,M_RawMaterials[Part Name],0)),0)</f>
        <v/>
      </c>
      <c r="S39">
        <f>SUMPRODUCT((M_BOM[Part Name]=$A39)*M_BOM[RM_Qty_Per_Batch]*IFERROR(INDEX(PP_Grid[#Data],M_BOM[PPGridRow],19),0))+IFERROR(INDEX(M_RawMaterials[固定週次消費量_要入力],MATCH($A39,M_RawMaterials[Part Name],0)),0)</f>
        <v/>
      </c>
      <c r="T39">
        <f>SUMPRODUCT((M_BOM[Part Name]=$A39)*M_BOM[RM_Qty_Per_Batch]*IFERROR(INDEX(PP_Grid[#Data],M_BOM[PPGridRow],20),0))+IFERROR(INDEX(M_RawMaterials[固定週次消費量_要入力],MATCH($A39,M_RawMaterials[Part Name],0)),0)</f>
        <v/>
      </c>
      <c r="U39">
        <f>SUMPRODUCT((M_BOM[Part Name]=$A39)*M_BOM[RM_Qty_Per_Batch]*IFERROR(INDEX(PP_Grid[#Data],M_BOM[PPGridRow],21),0))+IFERROR(INDEX(M_RawMaterials[固定週次消費量_要入力],MATCH($A39,M_RawMaterials[Part Name],0)),0)</f>
        <v/>
      </c>
      <c r="V39">
        <f>SUMPRODUCT((M_BOM[Part Name]=$A39)*M_BOM[RM_Qty_Per_Batch]*IFERROR(INDEX(PP_Grid[#Data],M_BOM[PPGridRow],22),0))+IFERROR(INDEX(M_RawMaterials[固定週次消費量_要入力],MATCH($A39,M_RawMaterials[Part Name],0)),0)</f>
        <v/>
      </c>
      <c r="W39">
        <f>SUMPRODUCT((M_BOM[Part Name]=$A39)*M_BOM[RM_Qty_Per_Batch]*IFERROR(INDEX(PP_Grid[#Data],M_BOM[PPGridRow],23),0))+IFERROR(INDEX(M_RawMaterials[固定週次消費量_要入力],MATCH($A39,M_RawMaterials[Part Name],0)),0)</f>
        <v/>
      </c>
      <c r="X39">
        <f>SUMPRODUCT((M_BOM[Part Name]=$A39)*M_BOM[RM_Qty_Per_Batch]*IFERROR(INDEX(PP_Grid[#Data],M_BOM[PPGridRow],24),0))+IFERROR(INDEX(M_RawMaterials[固定週次消費量_要入力],MATCH($A39,M_RawMaterials[Part Name],0)),0)</f>
        <v/>
      </c>
      <c r="Y39">
        <f>SUMPRODUCT((M_BOM[Part Name]=$A39)*M_BOM[RM_Qty_Per_Batch]*IFERROR(INDEX(PP_Grid[#Data],M_BOM[PPGridRow],25),0))+IFERROR(INDEX(M_RawMaterials[固定週次消費量_要入力],MATCH($A39,M_RawMaterials[Part Name],0)),0)</f>
        <v/>
      </c>
      <c r="Z39">
        <f>SUMPRODUCT((M_BOM[Part Name]=$A39)*M_BOM[RM_Qty_Per_Batch]*IFERROR(INDEX(PP_Grid[#Data],M_BOM[PPGridRow],26),0))+IFERROR(INDEX(M_RawMaterials[固定週次消費量_要入力],MATCH($A39,M_RawMaterials[Part Name],0)),0)</f>
        <v/>
      </c>
      <c r="AA39">
        <f>SUMPRODUCT((M_BOM[Part Name]=$A39)*M_BOM[RM_Qty_Per_Batch]*IFERROR(INDEX(PP_Grid[#Data],M_BOM[PPGridRow],27),0))+IFERROR(INDEX(M_RawMaterials[固定週次消費量_要入力],MATCH($A39,M_RawMaterials[Part Name],0)),0)</f>
        <v/>
      </c>
      <c r="AB39">
        <f>SUMPRODUCT((M_BOM[Part Name]=$A39)*M_BOM[RM_Qty_Per_Batch]*IFERROR(INDEX(PP_Grid[#Data],M_BOM[PPGridRow],28),0))+IFERROR(INDEX(M_RawMaterials[固定週次消費量_要入力],MATCH($A39,M_RawMaterials[Part Name],0)),0)</f>
        <v/>
      </c>
      <c r="AC39">
        <f>SUMPRODUCT((M_BOM[Part Name]=$A39)*M_BOM[RM_Qty_Per_Batch]*IFERROR(INDEX(PP_Grid[#Data],M_BOM[PPGridRow],29),0))+IFERROR(INDEX(M_RawMaterials[固定週次消費量_要入力],MATCH($A39,M_RawMaterials[Part Name],0)),0)</f>
        <v/>
      </c>
      <c r="AD39">
        <f>SUMPRODUCT((M_BOM[Part Name]=$A39)*M_BOM[RM_Qty_Per_Batch]*IFERROR(INDEX(PP_Grid[#Data],M_BOM[PPGridRow],30),0))+IFERROR(INDEX(M_RawMaterials[固定週次消費量_要入力],MATCH($A39,M_RawMaterials[Part Name],0)),0)</f>
        <v/>
      </c>
      <c r="AE39">
        <f>SUMPRODUCT((M_BOM[Part Name]=$A39)*M_BOM[RM_Qty_Per_Batch]*IFERROR(INDEX(PP_Grid[#Data],M_BOM[PPGridRow],31),0))+IFERROR(INDEX(M_RawMaterials[固定週次消費量_要入力],MATCH($A39,M_RawMaterials[Part Name],0)),0)</f>
        <v/>
      </c>
      <c r="AF39">
        <f>SUMPRODUCT((M_BOM[Part Name]=$A39)*M_BOM[RM_Qty_Per_Batch]*IFERROR(INDEX(PP_Grid[#Data],M_BOM[PPGridRow],32),0))+IFERROR(INDEX(M_RawMaterials[固定週次消費量_要入力],MATCH($A39,M_RawMaterials[Part Name],0)),0)</f>
        <v/>
      </c>
      <c r="AG39">
        <f>SUMPRODUCT((M_BOM[Part Name]=$A39)*M_BOM[RM_Qty_Per_Batch]*IFERROR(INDEX(PP_Grid[#Data],M_BOM[PPGridRow],33),0))+IFERROR(INDEX(M_RawMaterials[固定週次消費量_要入力],MATCH($A39,M_RawMaterials[Part Name],0)),0)</f>
        <v/>
      </c>
      <c r="AH39">
        <f>SUMPRODUCT((M_BOM[Part Name]=$A39)*M_BOM[RM_Qty_Per_Batch]*IFERROR(INDEX(PP_Grid[#Data],M_BOM[PPGridRow],34),0))+IFERROR(INDEX(M_RawMaterials[固定週次消費量_要入力],MATCH($A39,M_RawMaterials[Part Name],0)),0)</f>
        <v/>
      </c>
      <c r="AI39">
        <f>SUMPRODUCT((M_BOM[Part Name]=$A39)*M_BOM[RM_Qty_Per_Batch]*IFERROR(INDEX(PP_Grid[#Data],M_BOM[PPGridRow],35),0))+IFERROR(INDEX(M_RawMaterials[固定週次消費量_要入力],MATCH($A39,M_RawMaterials[Part Name],0)),0)</f>
        <v/>
      </c>
      <c r="AJ39">
        <f>SUMPRODUCT((M_BOM[Part Name]=$A39)*M_BOM[RM_Qty_Per_Batch]*IFERROR(INDEX(PP_Grid[#Data],M_BOM[PPGridRow],36),0))+IFERROR(INDEX(M_RawMaterials[固定週次消費量_要入力],MATCH($A39,M_RawMaterials[Part Name],0)),0)</f>
        <v/>
      </c>
      <c r="AK39">
        <f>SUMPRODUCT((M_BOM[Part Name]=$A39)*M_BOM[RM_Qty_Per_Batch]*IFERROR(INDEX(PP_Grid[#Data],M_BOM[PPGridRow],37),0))+IFERROR(INDEX(M_RawMaterials[固定週次消費量_要入力],MATCH($A39,M_RawMaterials[Part Name],0)),0)</f>
        <v/>
      </c>
      <c r="AL39">
        <f>SUMPRODUCT((M_BOM[Part Name]=$A39)*M_BOM[RM_Qty_Per_Batch]*IFERROR(INDEX(PP_Grid[#Data],M_BOM[PPGridRow],38),0))+IFERROR(INDEX(M_RawMaterials[固定週次消費量_要入力],MATCH($A39,M_RawMaterials[Part Name],0)),0)</f>
        <v/>
      </c>
      <c r="AM39">
        <f>SUMPRODUCT((M_BOM[Part Name]=$A39)*M_BOM[RM_Qty_Per_Batch]*IFERROR(INDEX(PP_Grid[#Data],M_BOM[PPGridRow],39),0))+IFERROR(INDEX(M_RawMaterials[固定週次消費量_要入力],MATCH($A39,M_RawMaterials[Part Name],0)),0)</f>
        <v/>
      </c>
      <c r="AN39">
        <f>SUMPRODUCT((M_BOM[Part Name]=$A39)*M_BOM[RM_Qty_Per_Batch]*IFERROR(INDEX(PP_Grid[#Data],M_BOM[PPGridRow],40),0))+IFERROR(INDEX(M_RawMaterials[固定週次消費量_要入力],MATCH($A39,M_RawMaterials[Part Name],0)),0)</f>
        <v/>
      </c>
      <c r="AO39">
        <f>SUMPRODUCT((M_BOM[Part Name]=$A39)*M_BOM[RM_Qty_Per_Batch]*IFERROR(INDEX(PP_Grid[#Data],M_BOM[PPGridRow],41),0))+IFERROR(INDEX(M_RawMaterials[固定週次消費量_要入力],MATCH($A39,M_RawMaterials[Part Name],0)),0)</f>
        <v/>
      </c>
      <c r="AP39">
        <f>SUMPRODUCT((M_BOM[Part Name]=$A39)*M_BOM[RM_Qty_Per_Batch]*IFERROR(INDEX(PP_Grid[#Data],M_BOM[PPGridRow],42),0))+IFERROR(INDEX(M_RawMaterials[固定週次消費量_要入力],MATCH($A39,M_RawMaterials[Part Name],0)),0)</f>
        <v/>
      </c>
      <c r="AQ39">
        <f>SUMPRODUCT((M_BOM[Part Name]=$A39)*M_BOM[RM_Qty_Per_Batch]*IFERROR(INDEX(PP_Grid[#Data],M_BOM[PPGridRow],43),0))+IFERROR(INDEX(M_RawMaterials[固定週次消費量_要入力],MATCH($A39,M_RawMaterials[Part Name],0)),0)</f>
        <v/>
      </c>
      <c r="AR39">
        <f>SUMPRODUCT((M_BOM[Part Name]=$A39)*M_BOM[RM_Qty_Per_Batch]*IFERROR(INDEX(PP_Grid[#Data],M_BOM[PPGridRow],44),0))+IFERROR(INDEX(M_RawMaterials[固定週次消費量_要入力],MATCH($A39,M_RawMaterials[Part Name],0)),0)</f>
        <v/>
      </c>
      <c r="AS39">
        <f>SUMPRODUCT((M_BOM[Part Name]=$A39)*M_BOM[RM_Qty_Per_Batch]*IFERROR(INDEX(PP_Grid[#Data],M_BOM[PPGridRow],45),0))+IFERROR(INDEX(M_RawMaterials[固定週次消費量_要入力],MATCH($A39,M_RawMaterials[Part Name],0)),0)</f>
        <v/>
      </c>
      <c r="AT39">
        <f>SUMPRODUCT((M_BOM[Part Name]=$A39)*M_BOM[RM_Qty_Per_Batch]*IFERROR(INDEX(PP_Grid[#Data],M_BOM[PPGridRow],46),0))+IFERROR(INDEX(M_RawMaterials[固定週次消費量_要入力],MATCH($A39,M_RawMaterials[Part Name],0)),0)</f>
        <v/>
      </c>
      <c r="AU39">
        <f>SUMPRODUCT((M_BOM[Part Name]=$A39)*M_BOM[RM_Qty_Per_Batch]*IFERROR(INDEX(PP_Grid[#Data],M_BOM[PPGridRow],47),0))+IFERROR(INDEX(M_RawMaterials[固定週次消費量_要入力],MATCH($A39,M_RawMaterials[Part Name],0)),0)</f>
        <v/>
      </c>
      <c r="AV39">
        <f>SUMPRODUCT((M_BOM[Part Name]=$A39)*M_BOM[RM_Qty_Per_Batch]*IFERROR(INDEX(PP_Grid[#Data],M_BOM[PPGridRow],48),0))+IFERROR(INDEX(M_RawMaterials[固定週次消費量_要入力],MATCH($A39,M_RawMaterials[Part Name],0)),0)</f>
        <v/>
      </c>
      <c r="AW39">
        <f>SUMPRODUCT((M_BOM[Part Name]=$A39)*M_BOM[RM_Qty_Per_Batch]*IFERROR(INDEX(PP_Grid[#Data],M_BOM[PPGridRow],49),0))+IFERROR(INDEX(M_RawMaterials[固定週次消費量_要入力],MATCH($A39,M_RawMaterials[Part Name],0)),0)</f>
        <v/>
      </c>
      <c r="AX39">
        <f>SUMPRODUCT((M_BOM[Part Name]=$A39)*M_BOM[RM_Qty_Per_Batch]*IFERROR(INDEX(PP_Grid[#Data],M_BOM[PPGridRow],50),0))+IFERROR(INDEX(M_RawMaterials[固定週次消費量_要入力],MATCH($A39,M_RawMaterials[Part Name],0)),0)</f>
        <v/>
      </c>
      <c r="AY39">
        <f>SUMPRODUCT((M_BOM[Part Name]=$A39)*M_BOM[RM_Qty_Per_Batch]*IFERROR(INDEX(PP_Grid[#Data],M_BOM[PPGridRow],51),0))+IFERROR(INDEX(M_RawMaterials[固定週次消費量_要入力],MATCH($A39,M_RawMaterials[Part Name],0)),0)</f>
        <v/>
      </c>
      <c r="AZ39">
        <f>SUMPRODUCT((M_BOM[Part Name]=$A39)*M_BOM[RM_Qty_Per_Batch]*IFERROR(INDEX(PP_Grid[#Data],M_BOM[PPGridRow],52),0))+IFERROR(INDEX(M_RawMaterials[固定週次消費量_要入力],MATCH($A39,M_RawMaterials[Part Name],0)),0)</f>
        <v/>
      </c>
      <c r="BA39">
        <f>SUMPRODUCT((M_BOM[Part Name]=$A39)*M_BOM[RM_Qty_Per_Batch]*IFERROR(INDEX(PP_Grid[#Data],M_BOM[PPGridRow],53),0))+IFERROR(INDEX(M_RawMaterials[固定週次消費量_要入力],MATCH($A39,M_RawMaterials[Part Name],0)),0)</f>
        <v/>
      </c>
      <c r="BB39">
        <f>SUMPRODUCT((M_BOM[Part Name]=$A39)*M_BOM[RM_Qty_Per_Batch]*IFERROR(INDEX(PP_Grid[#Data],M_BOM[PPGridRow],54),0))+IFERROR(INDEX(M_RawMaterials[固定週次消費量_要入力],MATCH($A39,M_RawMaterials[Part Name],0)),0)</f>
        <v/>
      </c>
      <c r="BC39">
        <f>SUMPRODUCT((M_BOM[Part Name]=$A39)*M_BOM[RM_Qty_Per_Batch]*IFERROR(INDEX(PP_Grid[#Data],M_BOM[PPGridRow],55),0))+IFERROR(INDEX(M_RawMaterials[固定週次消費量_要入力],MATCH($A39,M_RawMaterials[Part Name],0)),0)</f>
        <v/>
      </c>
      <c r="BD39">
        <f>SUMPRODUCT((M_BOM[Part Name]=$A39)*M_BOM[RM_Qty_Per_Batch]*IFERROR(INDEX(PP_Grid[#Data],M_BOM[PPGridRow],56),0))+IFERROR(INDEX(M_RawMaterials[固定週次消費量_要入力],MATCH($A39,M_RawMaterials[Part Name],0)),0)</f>
        <v/>
      </c>
      <c r="BE39">
        <f>SUMPRODUCT((M_BOM[Part Name]=$A39)*M_BOM[RM_Qty_Per_Batch]*IFERROR(INDEX(PP_Grid[#Data],M_BOM[PPGridRow],57),0))+IFERROR(INDEX(M_RawMaterials[固定週次消費量_要入力],MATCH($A39,M_RawMaterials[Part Name],0)),0)</f>
        <v/>
      </c>
      <c r="BF39">
        <f>SUMPRODUCT((M_BOM[Part Name]=$A39)*M_BOM[RM_Qty_Per_Batch]*IFERROR(INDEX(PP_Grid[#Data],M_BOM[PPGridRow],58),0))+IFERROR(INDEX(M_RawMaterials[固定週次消費量_要入力],MATCH($A39,M_RawMaterials[Part Name],0)),0)</f>
        <v/>
      </c>
      <c r="BG39">
        <f>SUMPRODUCT((M_BOM[Part Name]=$A39)*M_BOM[RM_Qty_Per_Batch]*IFERROR(INDEX(PP_Grid[#Data],M_BOM[PPGridRow],59),0))+IFERROR(INDEX(M_RawMaterials[固定週次消費量_要入力],MATCH($A39,M_RawMaterials[Part Name],0)),0)</f>
        <v/>
      </c>
      <c r="BH39">
        <f>SUMPRODUCT((M_BOM[Part Name]=$A39)*M_BOM[RM_Qty_Per_Batch]*IFERROR(INDEX(PP_Grid[#Data],M_BOM[PPGridRow],60),0))+IFERROR(INDEX(M_RawMaterials[固定週次消費量_要入力],MATCH($A39,M_RawMaterials[Part Name],0)),0)</f>
        <v/>
      </c>
      <c r="BI39">
        <f>SUMPRODUCT((M_BOM[Part Name]=$A39)*M_BOM[RM_Qty_Per_Batch]*IFERROR(INDEX(PP_Grid[#Data],M_BOM[PPGridRow],61),0))+IFERROR(INDEX(M_RawMaterials[固定週次消費量_要入力],MATCH($A39,M_RawMaterials[Part Name],0)),0)</f>
        <v/>
      </c>
      <c r="BJ39">
        <f>SUMPRODUCT((M_BOM[Part Name]=$A39)*M_BOM[RM_Qty_Per_Batch]*IFERROR(INDEX(PP_Grid[#Data],M_BOM[PPGridRow],62),0))+IFERROR(INDEX(M_RawMaterials[固定週次消費量_要入力],MATCH($A39,M_RawMaterials[Part Name],0)),0)</f>
        <v/>
      </c>
      <c r="BK39">
        <f>SUMPRODUCT((M_BOM[Part Name]=$A39)*M_BOM[RM_Qty_Per_Batch]*IFERROR(INDEX(PP_Grid[#Data],M_BOM[PPGridRow],63),0))+IFERROR(INDEX(M_RawMaterials[固定週次消費量_要入力],MATCH($A39,M_RawMaterials[Part Name],0)),0)</f>
        <v/>
      </c>
      <c r="BL39">
        <f>SUMPRODUCT((M_BOM[Part Name]=$A39)*M_BOM[RM_Qty_Per_Batch]*IFERROR(INDEX(PP_Grid[#Data],M_BOM[PPGridRow],64),0))+IFERROR(INDEX(M_RawMaterials[固定週次消費量_要入力],MATCH($A39,M_RawMaterials[Part Name],0)),0)</f>
        <v/>
      </c>
      <c r="BM39">
        <f>SUMPRODUCT((M_BOM[Part Name]=$A39)*M_BOM[RM_Qty_Per_Batch]*IFERROR(INDEX(PP_Grid[#Data],M_BOM[PPGridRow],65),0))+IFERROR(INDEX(M_RawMaterials[固定週次消費量_要入力],MATCH($A39,M_RawMaterials[Part Name],0)),0)</f>
        <v/>
      </c>
      <c r="BN39">
        <f>SUMPRODUCT((M_BOM[Part Name]=$A39)*M_BOM[RM_Qty_Per_Batch]*IFERROR(INDEX(PP_Grid[#Data],M_BOM[PPGridRow],66),0))+IFERROR(INDEX(M_RawMaterials[固定週次消費量_要入力],MATCH($A39,M_RawMaterials[Part Name],0)),0)</f>
        <v/>
      </c>
      <c r="BO39">
        <f>SUMPRODUCT((M_BOM[Part Name]=$A39)*M_BOM[RM_Qty_Per_Batch]*IFERROR(INDEX(PP_Grid[#Data],M_BOM[PPGridRow],67),0))+IFERROR(INDEX(M_RawMaterials[固定週次消費量_要入力],MATCH($A39,M_RawMaterials[Part Name],0)),0)</f>
        <v/>
      </c>
      <c r="BP39">
        <f>SUMPRODUCT((M_BOM[Part Name]=$A39)*M_BOM[RM_Qty_Per_Batch]*IFERROR(INDEX(PP_Grid[#Data],M_BOM[PPGridRow],68),0))+IFERROR(INDEX(M_RawMaterials[固定週次消費量_要入力],MATCH($A39,M_RawMaterials[Part Name],0)),0)</f>
        <v/>
      </c>
      <c r="BQ39">
        <f>SUMPRODUCT((M_BOM[Part Name]=$A39)*M_BOM[RM_Qty_Per_Batch]*IFERROR(INDEX(PP_Grid[#Data],M_BOM[PPGridRow],69),0))+IFERROR(INDEX(M_RawMaterials[固定週次消費量_要入力],MATCH($A39,M_RawMaterials[Part Name],0)),0)</f>
        <v/>
      </c>
      <c r="BR39">
        <f>SUMPRODUCT((M_BOM[Part Name]=$A39)*M_BOM[RM_Qty_Per_Batch]*IFERROR(INDEX(PP_Grid[#Data],M_BOM[PPGridRow],70),0))+IFERROR(INDEX(M_RawMaterials[固定週次消費量_要入力],MATCH($A39,M_RawMaterials[Part Name],0)),0)</f>
        <v/>
      </c>
      <c r="BS39">
        <f>SUMPRODUCT((M_BOM[Part Name]=$A39)*M_BOM[RM_Qty_Per_Batch]*IFERROR(INDEX(PP_Grid[#Data],M_BOM[PPGridRow],71),0))+IFERROR(INDEX(M_RawMaterials[固定週次消費量_要入力],MATCH($A39,M_RawMaterials[Part Name],0)),0)</f>
        <v/>
      </c>
      <c r="BT39">
        <f>SUMPRODUCT((M_BOM[Part Name]=$A39)*M_BOM[RM_Qty_Per_Batch]*IFERROR(INDEX(PP_Grid[#Data],M_BOM[PPGridRow],72),0))+IFERROR(INDEX(M_RawMaterials[固定週次消費量_要入力],MATCH($A39,M_RawMaterials[Part Name],0)),0)</f>
        <v/>
      </c>
      <c r="BU39">
        <f>SUMPRODUCT((M_BOM[Part Name]=$A39)*M_BOM[RM_Qty_Per_Batch]*IFERROR(INDEX(PP_Grid[#Data],M_BOM[PPGridRow],73),0))+IFERROR(INDEX(M_RawMaterials[固定週次消費量_要入力],MATCH($A39,M_RawMaterials[Part Name],0)),0)</f>
        <v/>
      </c>
      <c r="BV39">
        <f>SUMPRODUCT((M_BOM[Part Name]=$A39)*M_BOM[RM_Qty_Per_Batch]*IFERROR(INDEX(PP_Grid[#Data],M_BOM[PPGridRow],74),0))+IFERROR(INDEX(M_RawMaterials[固定週次消費量_要入力],MATCH($A39,M_RawMaterials[Part Name],0)),0)</f>
        <v/>
      </c>
      <c r="BW39">
        <f>SUMPRODUCT((M_BOM[Part Name]=$A39)*M_BOM[RM_Qty_Per_Batch]*IFERROR(INDEX(PP_Grid[#Data],M_BOM[PPGridRow],75),0))+IFERROR(INDEX(M_RawMaterials[固定週次消費量_要入力],MATCH($A39,M_RawMaterials[Part Name],0)),0)</f>
        <v/>
      </c>
      <c r="BX39">
        <f>SUMPRODUCT((M_BOM[Part Name]=$A39)*M_BOM[RM_Qty_Per_Batch]*IFERROR(INDEX(PP_Grid[#Data],M_BOM[PPGridRow],76),0))+IFERROR(INDEX(M_RawMaterials[固定週次消費量_要入力],MATCH($A39,M_RawMaterials[Part Name],0)),0)</f>
        <v/>
      </c>
      <c r="BY39">
        <f>SUMPRODUCT((M_BOM[Part Name]=$A39)*M_BOM[RM_Qty_Per_Batch]*IFERROR(INDEX(PP_Grid[#Data],M_BOM[PPGridRow],77),0))+IFERROR(INDEX(M_RawMaterials[固定週次消費量_要入力],MATCH($A39,M_RawMaterials[Part Name],0)),0)</f>
        <v/>
      </c>
      <c r="BZ39">
        <f>SUMPRODUCT((M_BOM[Part Name]=$A39)*M_BOM[RM_Qty_Per_Batch]*IFERROR(INDEX(PP_Grid[#Data],M_BOM[PPGridRow],78),0))+IFERROR(INDEX(M_RawMaterials[固定週次消費量_要入力],MATCH($A39,M_RawMaterials[Part Name],0)),0)</f>
        <v/>
      </c>
      <c r="CA39">
        <f>SUMPRODUCT((M_BOM[Part Name]=$A39)*M_BOM[RM_Qty_Per_Batch]*IFERROR(INDEX(PP_Grid[#Data],M_BOM[PPGridRow],79),0))+IFERROR(INDEX(M_RawMaterials[固定週次消費量_要入力],MATCH($A39,M_RawMaterials[Part Name],0)),0)</f>
        <v/>
      </c>
      <c r="CB39">
        <f>SUMPRODUCT((M_BOM[Part Name]=$A39)*M_BOM[RM_Qty_Per_Batch]*IFERROR(INDEX(PP_Grid[#Data],M_BOM[PPGridRow],80),0))+IFERROR(INDEX(M_RawMaterials[固定週次消費量_要入力],MATCH($A39,M_RawMaterials[Part Name],0)),0)</f>
        <v/>
      </c>
      <c r="CC39">
        <f>SUMPRODUCT((M_BOM[Part Name]=$A39)*M_BOM[RM_Qty_Per_Batch]*IFERROR(INDEX(PP_Grid[#Data],M_BOM[PPGridRow],81),0))+IFERROR(INDEX(M_RawMaterials[固定週次消費量_要入力],MATCH($A39,M_RawMaterials[Part Name],0)),0)</f>
        <v/>
      </c>
      <c r="CD39">
        <f>SUMPRODUCT((M_BOM[Part Name]=$A39)*M_BOM[RM_Qty_Per_Batch]*IFERROR(INDEX(PP_Grid[#Data],M_BOM[PPGridRow],82),0))+IFERROR(INDEX(M_RawMaterials[固定週次消費量_要入力],MATCH($A39,M_RawMaterials[Part Name],0)),0)</f>
        <v/>
      </c>
      <c r="CE39">
        <f>SUMPRODUCT((M_BOM[Part Name]=$A39)*M_BOM[RM_Qty_Per_Batch]*IFERROR(INDEX(PP_Grid[#Data],M_BOM[PPGridRow],83),0))+IFERROR(INDEX(M_RawMaterials[固定週次消費量_要入力],MATCH($A39,M_RawMaterials[Part Name],0)),0)</f>
        <v/>
      </c>
      <c r="CF39">
        <f>SUMPRODUCT((M_BOM[Part Name]=$A39)*M_BOM[RM_Qty_Per_Batch]*IFERROR(INDEX(PP_Grid[#Data],M_BOM[PPGridRow],84),0))+IFERROR(INDEX(M_RawMaterials[固定週次消費量_要入力],MATCH($A39,M_RawMaterials[Part Name],0)),0)</f>
        <v/>
      </c>
      <c r="CG39">
        <f>SUMPRODUCT((M_BOM[Part Name]=$A39)*M_BOM[RM_Qty_Per_Batch]*IFERROR(INDEX(PP_Grid[#Data],M_BOM[PPGridRow],85),0))+IFERROR(INDEX(M_RawMaterials[固定週次消費量_要入力],MATCH($A39,M_RawMaterials[Part Name],0)),0)</f>
        <v/>
      </c>
      <c r="CH39">
        <f>SUMPRODUCT((M_BOM[Part Name]=$A39)*M_BOM[RM_Qty_Per_Batch]*IFERROR(INDEX(PP_Grid[#Data],M_BOM[PPGridRow],86),0))+IFERROR(INDEX(M_RawMaterials[固定週次消費量_要入力],MATCH($A39,M_RawMaterials[Part Name],0)),0)</f>
        <v/>
      </c>
      <c r="CI39">
        <f>SUMPRODUCT((M_BOM[Part Name]=$A39)*M_BOM[RM_Qty_Per_Batch]*IFERROR(INDEX(PP_Grid[#Data],M_BOM[PPGridRow],87),0))+IFERROR(INDEX(M_RawMaterials[固定週次消費量_要入力],MATCH($A39,M_RawMaterials[Part Name],0)),0)</f>
        <v/>
      </c>
      <c r="CJ39">
        <f>SUMPRODUCT((M_BOM[Part Name]=$A39)*M_BOM[RM_Qty_Per_Batch]*IFERROR(INDEX(PP_Grid[#Data],M_BOM[PPGridRow],88),0))+IFERROR(INDEX(M_RawMaterials[固定週次消費量_要入力],MATCH($A39,M_RawMaterials[Part Name],0)),0)</f>
        <v/>
      </c>
      <c r="CK39">
        <f>SUMPRODUCT((M_BOM[Part Name]=$A39)*M_BOM[RM_Qty_Per_Batch]*IFERROR(INDEX(PP_Grid[#Data],M_BOM[PPGridRow],89),0))+IFERROR(INDEX(M_RawMaterials[固定週次消費量_要入力],MATCH($A39,M_RawMaterials[Part Name],0)),0)</f>
        <v/>
      </c>
      <c r="CL39">
        <f>SUMPRODUCT((M_BOM[Part Name]=$A39)*M_BOM[RM_Qty_Per_Batch]*IFERROR(INDEX(PP_Grid[#Data],M_BOM[PPGridRow],90),0))+IFERROR(INDEX(M_RawMaterials[固定週次消費量_要入力],MATCH($A39,M_RawMaterials[Part Name],0)),0)</f>
        <v/>
      </c>
      <c r="CM39">
        <f>SUMPRODUCT((M_BOM[Part Name]=$A39)*M_BOM[RM_Qty_Per_Batch]*IFERROR(INDEX(PP_Grid[#Data],M_BOM[PPGridRow],91),0))+IFERROR(INDEX(M_RawMaterials[固定週次消費量_要入力],MATCH($A39,M_RawMaterials[Part Name],0)),0)</f>
        <v/>
      </c>
      <c r="CN39">
        <f>SUMPRODUCT((M_BOM[Part Name]=$A39)*M_BOM[RM_Qty_Per_Batch]*IFERROR(INDEX(PP_Grid[#Data],M_BOM[PPGridRow],92),0))+IFERROR(INDEX(M_RawMaterials[固定週次消費量_要入力],MATCH($A39,M_RawMaterials[Part Name],0)),0)</f>
        <v/>
      </c>
      <c r="CO39">
        <f>SUMPRODUCT((M_BOM[Part Name]=$A39)*M_BOM[RM_Qty_Per_Batch]*IFERROR(INDEX(PP_Grid[#Data],M_BOM[PPGridRow],93),0))+IFERROR(INDEX(M_RawMaterials[固定週次消費量_要入力],MATCH($A39,M_RawMaterials[Part Name],0)),0)</f>
        <v/>
      </c>
      <c r="CP39">
        <f>SUMPRODUCT((M_BOM[Part Name]=$A39)*M_BOM[RM_Qty_Per_Batch]*IFERROR(INDEX(PP_Grid[#Data],M_BOM[PPGridRow],94),0))+IFERROR(INDEX(M_RawMaterials[固定週次消費量_要入力],MATCH($A39,M_RawMaterials[Part Name],0)),0)</f>
        <v/>
      </c>
      <c r="CQ39">
        <f>SUMPRODUCT((M_BOM[Part Name]=$A39)*M_BOM[RM_Qty_Per_Batch]*IFERROR(INDEX(PP_Grid[#Data],M_BOM[PPGridRow],95),0))+IFERROR(INDEX(M_RawMaterials[固定週次消費量_要入力],MATCH($A39,M_RawMaterials[Part Name],0)),0)</f>
        <v/>
      </c>
      <c r="CR39">
        <f>SUMPRODUCT((M_BOM[Part Name]=$A39)*M_BOM[RM_Qty_Per_Batch]*IFERROR(INDEX(PP_Grid[#Data],M_BOM[PPGridRow],96),0))+IFERROR(INDEX(M_RawMaterials[固定週次消費量_要入力],MATCH($A39,M_RawMaterials[Part Name],0)),0)</f>
        <v/>
      </c>
      <c r="CS39">
        <f>SUMPRODUCT((M_BOM[Part Name]=$A39)*M_BOM[RM_Qty_Per_Batch]*IFERROR(INDEX(PP_Grid[#Data],M_BOM[PPGridRow],97),0))+IFERROR(INDEX(M_RawMaterials[固定週次消費量_要入力],MATCH($A39,M_RawMaterials[Part Name],0)),0)</f>
        <v/>
      </c>
      <c r="CT39">
        <f>SUMPRODUCT((M_BOM[Part Name]=$A39)*M_BOM[RM_Qty_Per_Batch]*IFERROR(INDEX(PP_Grid[#Data],M_BOM[PPGridRow],98),0))+IFERROR(INDEX(M_RawMaterials[固定週次消費量_要入力],MATCH($A39,M_RawMaterials[Part Name],0)),0)</f>
        <v/>
      </c>
      <c r="CU39">
        <f>SUMPRODUCT((M_BOM[Part Name]=$A39)*M_BOM[RM_Qty_Per_Batch]*IFERROR(INDEX(PP_Grid[#Data],M_BOM[PPGridRow],99),0))+IFERROR(INDEX(M_RawMaterials[固定週次消費量_要入力],MATCH($A39,M_RawMaterials[Part Name],0)),0)</f>
        <v/>
      </c>
      <c r="CV39">
        <f>SUMPRODUCT((M_BOM[Part Name]=$A39)*M_BOM[RM_Qty_Per_Batch]*IFERROR(INDEX(PP_Grid[#Data],M_BOM[PPGridRow],100),0))+IFERROR(INDEX(M_RawMaterials[固定週次消費量_要入力],MATCH($A39,M_RawMaterials[Part Name],0)),0)</f>
        <v/>
      </c>
      <c r="CW39">
        <f>SUMPRODUCT((M_BOM[Part Name]=$A39)*M_BOM[RM_Qty_Per_Batch]*IFERROR(INDEX(PP_Grid[#Data],M_BOM[PPGridRow],101),0))+IFERROR(INDEX(M_RawMaterials[固定週次消費量_要入力],MATCH($A39,M_RawMaterials[Part Name],0)),0)</f>
        <v/>
      </c>
      <c r="CX39">
        <f>SUMPRODUCT((M_BOM[Part Name]=$A39)*M_BOM[RM_Qty_Per_Batch]*IFERROR(INDEX(PP_Grid[#Data],M_BOM[PPGridRow],102),0))+IFERROR(INDEX(M_RawMaterials[固定週次消費量_要入力],MATCH($A39,M_RawMaterials[Part Name],0)),0)</f>
        <v/>
      </c>
      <c r="CY39">
        <f>SUMPRODUCT((M_BOM[Part Name]=$A39)*M_BOM[RM_Qty_Per_Batch]*IFERROR(INDEX(PP_Grid[#Data],M_BOM[PPGridRow],103),0))+IFERROR(INDEX(M_RawMaterials[固定週次消費量_要入力],MATCH($A39,M_RawMaterials[Part Name],0)),0)</f>
        <v/>
      </c>
      <c r="CZ39">
        <f>SUMPRODUCT((M_BOM[Part Name]=$A39)*M_BOM[RM_Qty_Per_Batch]*IFERROR(INDEX(PP_Grid[#Data],M_BOM[PPGridRow],104),0))+IFERROR(INDEX(M_RawMaterials[固定週次消費量_要入力],MATCH($A39,M_RawMaterials[Part Name],0)),0)</f>
        <v/>
      </c>
      <c r="DA39">
        <f>SUMPRODUCT((M_BOM[Part Name]=$A39)*M_BOM[RM_Qty_Per_Batch]*IFERROR(INDEX(PP_Grid[#Data],M_BOM[PPGridRow],105),0))+IFERROR(INDEX(M_RawMaterials[固定週次消費量_要入力],MATCH($A39,M_RawMaterials[Part Name],0)),0)</f>
        <v/>
      </c>
    </row>
    <row r="40">
      <c r="A40" t="inlineStr">
        <is>
          <t>CHEM-1540</t>
        </is>
      </c>
      <c r="B40">
        <f>SUMPRODUCT((M_BOM[Part Name]=$A40)*M_BOM[RM_Qty_Per_Batch]*IFERROR(INDEX(PP_Grid[#Data],M_BOM[PPGridRow],2),0))+IFERROR(INDEX(M_RawMaterials[固定週次消費量_要入力],MATCH($A40,M_RawMaterials[Part Name],0)),0)</f>
        <v/>
      </c>
      <c r="C40">
        <f>SUMPRODUCT((M_BOM[Part Name]=$A40)*M_BOM[RM_Qty_Per_Batch]*IFERROR(INDEX(PP_Grid[#Data],M_BOM[PPGridRow],3),0))+IFERROR(INDEX(M_RawMaterials[固定週次消費量_要入力],MATCH($A40,M_RawMaterials[Part Name],0)),0)</f>
        <v/>
      </c>
      <c r="D40">
        <f>SUMPRODUCT((M_BOM[Part Name]=$A40)*M_BOM[RM_Qty_Per_Batch]*IFERROR(INDEX(PP_Grid[#Data],M_BOM[PPGridRow],4),0))+IFERROR(INDEX(M_RawMaterials[固定週次消費量_要入力],MATCH($A40,M_RawMaterials[Part Name],0)),0)</f>
        <v/>
      </c>
      <c r="E40">
        <f>SUMPRODUCT((M_BOM[Part Name]=$A40)*M_BOM[RM_Qty_Per_Batch]*IFERROR(INDEX(PP_Grid[#Data],M_BOM[PPGridRow],5),0))+IFERROR(INDEX(M_RawMaterials[固定週次消費量_要入力],MATCH($A40,M_RawMaterials[Part Name],0)),0)</f>
        <v/>
      </c>
      <c r="F40">
        <f>SUMPRODUCT((M_BOM[Part Name]=$A40)*M_BOM[RM_Qty_Per_Batch]*IFERROR(INDEX(PP_Grid[#Data],M_BOM[PPGridRow],6),0))+IFERROR(INDEX(M_RawMaterials[固定週次消費量_要入力],MATCH($A40,M_RawMaterials[Part Name],0)),0)</f>
        <v/>
      </c>
      <c r="G40">
        <f>SUMPRODUCT((M_BOM[Part Name]=$A40)*M_BOM[RM_Qty_Per_Batch]*IFERROR(INDEX(PP_Grid[#Data],M_BOM[PPGridRow],7),0))+IFERROR(INDEX(M_RawMaterials[固定週次消費量_要入力],MATCH($A40,M_RawMaterials[Part Name],0)),0)</f>
        <v/>
      </c>
      <c r="H40">
        <f>SUMPRODUCT((M_BOM[Part Name]=$A40)*M_BOM[RM_Qty_Per_Batch]*IFERROR(INDEX(PP_Grid[#Data],M_BOM[PPGridRow],8),0))+IFERROR(INDEX(M_RawMaterials[固定週次消費量_要入力],MATCH($A40,M_RawMaterials[Part Name],0)),0)</f>
        <v/>
      </c>
      <c r="I40">
        <f>SUMPRODUCT((M_BOM[Part Name]=$A40)*M_BOM[RM_Qty_Per_Batch]*IFERROR(INDEX(PP_Grid[#Data],M_BOM[PPGridRow],9),0))+IFERROR(INDEX(M_RawMaterials[固定週次消費量_要入力],MATCH($A40,M_RawMaterials[Part Name],0)),0)</f>
        <v/>
      </c>
      <c r="J40">
        <f>SUMPRODUCT((M_BOM[Part Name]=$A40)*M_BOM[RM_Qty_Per_Batch]*IFERROR(INDEX(PP_Grid[#Data],M_BOM[PPGridRow],10),0))+IFERROR(INDEX(M_RawMaterials[固定週次消費量_要入力],MATCH($A40,M_RawMaterials[Part Name],0)),0)</f>
        <v/>
      </c>
      <c r="K40">
        <f>SUMPRODUCT((M_BOM[Part Name]=$A40)*M_BOM[RM_Qty_Per_Batch]*IFERROR(INDEX(PP_Grid[#Data],M_BOM[PPGridRow],11),0))+IFERROR(INDEX(M_RawMaterials[固定週次消費量_要入力],MATCH($A40,M_RawMaterials[Part Name],0)),0)</f>
        <v/>
      </c>
      <c r="L40">
        <f>SUMPRODUCT((M_BOM[Part Name]=$A40)*M_BOM[RM_Qty_Per_Batch]*IFERROR(INDEX(PP_Grid[#Data],M_BOM[PPGridRow],12),0))+IFERROR(INDEX(M_RawMaterials[固定週次消費量_要入力],MATCH($A40,M_RawMaterials[Part Name],0)),0)</f>
        <v/>
      </c>
      <c r="M40">
        <f>SUMPRODUCT((M_BOM[Part Name]=$A40)*M_BOM[RM_Qty_Per_Batch]*IFERROR(INDEX(PP_Grid[#Data],M_BOM[PPGridRow],13),0))+IFERROR(INDEX(M_RawMaterials[固定週次消費量_要入力],MATCH($A40,M_RawMaterials[Part Name],0)),0)</f>
        <v/>
      </c>
      <c r="N40">
        <f>SUMPRODUCT((M_BOM[Part Name]=$A40)*M_BOM[RM_Qty_Per_Batch]*IFERROR(INDEX(PP_Grid[#Data],M_BOM[PPGridRow],14),0))+IFERROR(INDEX(M_RawMaterials[固定週次消費量_要入力],MATCH($A40,M_RawMaterials[Part Name],0)),0)</f>
        <v/>
      </c>
      <c r="O40">
        <f>SUMPRODUCT((M_BOM[Part Name]=$A40)*M_BOM[RM_Qty_Per_Batch]*IFERROR(INDEX(PP_Grid[#Data],M_BOM[PPGridRow],15),0))+IFERROR(INDEX(M_RawMaterials[固定週次消費量_要入力],MATCH($A40,M_RawMaterials[Part Name],0)),0)</f>
        <v/>
      </c>
      <c r="P40">
        <f>SUMPRODUCT((M_BOM[Part Name]=$A40)*M_BOM[RM_Qty_Per_Batch]*IFERROR(INDEX(PP_Grid[#Data],M_BOM[PPGridRow],16),0))+IFERROR(INDEX(M_RawMaterials[固定週次消費量_要入力],MATCH($A40,M_RawMaterials[Part Name],0)),0)</f>
        <v/>
      </c>
      <c r="Q40">
        <f>SUMPRODUCT((M_BOM[Part Name]=$A40)*M_BOM[RM_Qty_Per_Batch]*IFERROR(INDEX(PP_Grid[#Data],M_BOM[PPGridRow],17),0))+IFERROR(INDEX(M_RawMaterials[固定週次消費量_要入力],MATCH($A40,M_RawMaterials[Part Name],0)),0)</f>
        <v/>
      </c>
      <c r="R40">
        <f>SUMPRODUCT((M_BOM[Part Name]=$A40)*M_BOM[RM_Qty_Per_Batch]*IFERROR(INDEX(PP_Grid[#Data],M_BOM[PPGridRow],18),0))+IFERROR(INDEX(M_RawMaterials[固定週次消費量_要入力],MATCH($A40,M_RawMaterials[Part Name],0)),0)</f>
        <v/>
      </c>
      <c r="S40">
        <f>SUMPRODUCT((M_BOM[Part Name]=$A40)*M_BOM[RM_Qty_Per_Batch]*IFERROR(INDEX(PP_Grid[#Data],M_BOM[PPGridRow],19),0))+IFERROR(INDEX(M_RawMaterials[固定週次消費量_要入力],MATCH($A40,M_RawMaterials[Part Name],0)),0)</f>
        <v/>
      </c>
      <c r="T40">
        <f>SUMPRODUCT((M_BOM[Part Name]=$A40)*M_BOM[RM_Qty_Per_Batch]*IFERROR(INDEX(PP_Grid[#Data],M_BOM[PPGridRow],20),0))+IFERROR(INDEX(M_RawMaterials[固定週次消費量_要入力],MATCH($A40,M_RawMaterials[Part Name],0)),0)</f>
        <v/>
      </c>
      <c r="U40">
        <f>SUMPRODUCT((M_BOM[Part Name]=$A40)*M_BOM[RM_Qty_Per_Batch]*IFERROR(INDEX(PP_Grid[#Data],M_BOM[PPGridRow],21),0))+IFERROR(INDEX(M_RawMaterials[固定週次消費量_要入力],MATCH($A40,M_RawMaterials[Part Name],0)),0)</f>
        <v/>
      </c>
      <c r="V40">
        <f>SUMPRODUCT((M_BOM[Part Name]=$A40)*M_BOM[RM_Qty_Per_Batch]*IFERROR(INDEX(PP_Grid[#Data],M_BOM[PPGridRow],22),0))+IFERROR(INDEX(M_RawMaterials[固定週次消費量_要入力],MATCH($A40,M_RawMaterials[Part Name],0)),0)</f>
        <v/>
      </c>
      <c r="W40">
        <f>SUMPRODUCT((M_BOM[Part Name]=$A40)*M_BOM[RM_Qty_Per_Batch]*IFERROR(INDEX(PP_Grid[#Data],M_BOM[PPGridRow],23),0))+IFERROR(INDEX(M_RawMaterials[固定週次消費量_要入力],MATCH($A40,M_RawMaterials[Part Name],0)),0)</f>
        <v/>
      </c>
      <c r="X40">
        <f>SUMPRODUCT((M_BOM[Part Name]=$A40)*M_BOM[RM_Qty_Per_Batch]*IFERROR(INDEX(PP_Grid[#Data],M_BOM[PPGridRow],24),0))+IFERROR(INDEX(M_RawMaterials[固定週次消費量_要入力],MATCH($A40,M_RawMaterials[Part Name],0)),0)</f>
        <v/>
      </c>
      <c r="Y40">
        <f>SUMPRODUCT((M_BOM[Part Name]=$A40)*M_BOM[RM_Qty_Per_Batch]*IFERROR(INDEX(PP_Grid[#Data],M_BOM[PPGridRow],25),0))+IFERROR(INDEX(M_RawMaterials[固定週次消費量_要入力],MATCH($A40,M_RawMaterials[Part Name],0)),0)</f>
        <v/>
      </c>
      <c r="Z40">
        <f>SUMPRODUCT((M_BOM[Part Name]=$A40)*M_BOM[RM_Qty_Per_Batch]*IFERROR(INDEX(PP_Grid[#Data],M_BOM[PPGridRow],26),0))+IFERROR(INDEX(M_RawMaterials[固定週次消費量_要入力],MATCH($A40,M_RawMaterials[Part Name],0)),0)</f>
        <v/>
      </c>
      <c r="AA40">
        <f>SUMPRODUCT((M_BOM[Part Name]=$A40)*M_BOM[RM_Qty_Per_Batch]*IFERROR(INDEX(PP_Grid[#Data],M_BOM[PPGridRow],27),0))+IFERROR(INDEX(M_RawMaterials[固定週次消費量_要入力],MATCH($A40,M_RawMaterials[Part Name],0)),0)</f>
        <v/>
      </c>
      <c r="AB40">
        <f>SUMPRODUCT((M_BOM[Part Name]=$A40)*M_BOM[RM_Qty_Per_Batch]*IFERROR(INDEX(PP_Grid[#Data],M_BOM[PPGridRow],28),0))+IFERROR(INDEX(M_RawMaterials[固定週次消費量_要入力],MATCH($A40,M_RawMaterials[Part Name],0)),0)</f>
        <v/>
      </c>
      <c r="AC40">
        <f>SUMPRODUCT((M_BOM[Part Name]=$A40)*M_BOM[RM_Qty_Per_Batch]*IFERROR(INDEX(PP_Grid[#Data],M_BOM[PPGridRow],29),0))+IFERROR(INDEX(M_RawMaterials[固定週次消費量_要入力],MATCH($A40,M_RawMaterials[Part Name],0)),0)</f>
        <v/>
      </c>
      <c r="AD40">
        <f>SUMPRODUCT((M_BOM[Part Name]=$A40)*M_BOM[RM_Qty_Per_Batch]*IFERROR(INDEX(PP_Grid[#Data],M_BOM[PPGridRow],30),0))+IFERROR(INDEX(M_RawMaterials[固定週次消費量_要入力],MATCH($A40,M_RawMaterials[Part Name],0)),0)</f>
        <v/>
      </c>
      <c r="AE40">
        <f>SUMPRODUCT((M_BOM[Part Name]=$A40)*M_BOM[RM_Qty_Per_Batch]*IFERROR(INDEX(PP_Grid[#Data],M_BOM[PPGridRow],31),0))+IFERROR(INDEX(M_RawMaterials[固定週次消費量_要入力],MATCH($A40,M_RawMaterials[Part Name],0)),0)</f>
        <v/>
      </c>
      <c r="AF40">
        <f>SUMPRODUCT((M_BOM[Part Name]=$A40)*M_BOM[RM_Qty_Per_Batch]*IFERROR(INDEX(PP_Grid[#Data],M_BOM[PPGridRow],32),0))+IFERROR(INDEX(M_RawMaterials[固定週次消費量_要入力],MATCH($A40,M_RawMaterials[Part Name],0)),0)</f>
        <v/>
      </c>
      <c r="AG40">
        <f>SUMPRODUCT((M_BOM[Part Name]=$A40)*M_BOM[RM_Qty_Per_Batch]*IFERROR(INDEX(PP_Grid[#Data],M_BOM[PPGridRow],33),0))+IFERROR(INDEX(M_RawMaterials[固定週次消費量_要入力],MATCH($A40,M_RawMaterials[Part Name],0)),0)</f>
        <v/>
      </c>
      <c r="AH40">
        <f>SUMPRODUCT((M_BOM[Part Name]=$A40)*M_BOM[RM_Qty_Per_Batch]*IFERROR(INDEX(PP_Grid[#Data],M_BOM[PPGridRow],34),0))+IFERROR(INDEX(M_RawMaterials[固定週次消費量_要入力],MATCH($A40,M_RawMaterials[Part Name],0)),0)</f>
        <v/>
      </c>
      <c r="AI40">
        <f>SUMPRODUCT((M_BOM[Part Name]=$A40)*M_BOM[RM_Qty_Per_Batch]*IFERROR(INDEX(PP_Grid[#Data],M_BOM[PPGridRow],35),0))+IFERROR(INDEX(M_RawMaterials[固定週次消費量_要入力],MATCH($A40,M_RawMaterials[Part Name],0)),0)</f>
        <v/>
      </c>
      <c r="AJ40">
        <f>SUMPRODUCT((M_BOM[Part Name]=$A40)*M_BOM[RM_Qty_Per_Batch]*IFERROR(INDEX(PP_Grid[#Data],M_BOM[PPGridRow],36),0))+IFERROR(INDEX(M_RawMaterials[固定週次消費量_要入力],MATCH($A40,M_RawMaterials[Part Name],0)),0)</f>
        <v/>
      </c>
      <c r="AK40">
        <f>SUMPRODUCT((M_BOM[Part Name]=$A40)*M_BOM[RM_Qty_Per_Batch]*IFERROR(INDEX(PP_Grid[#Data],M_BOM[PPGridRow],37),0))+IFERROR(INDEX(M_RawMaterials[固定週次消費量_要入力],MATCH($A40,M_RawMaterials[Part Name],0)),0)</f>
        <v/>
      </c>
      <c r="AL40">
        <f>SUMPRODUCT((M_BOM[Part Name]=$A40)*M_BOM[RM_Qty_Per_Batch]*IFERROR(INDEX(PP_Grid[#Data],M_BOM[PPGridRow],38),0))+IFERROR(INDEX(M_RawMaterials[固定週次消費量_要入力],MATCH($A40,M_RawMaterials[Part Name],0)),0)</f>
        <v/>
      </c>
      <c r="AM40">
        <f>SUMPRODUCT((M_BOM[Part Name]=$A40)*M_BOM[RM_Qty_Per_Batch]*IFERROR(INDEX(PP_Grid[#Data],M_BOM[PPGridRow],39),0))+IFERROR(INDEX(M_RawMaterials[固定週次消費量_要入力],MATCH($A40,M_RawMaterials[Part Name],0)),0)</f>
        <v/>
      </c>
      <c r="AN40">
        <f>SUMPRODUCT((M_BOM[Part Name]=$A40)*M_BOM[RM_Qty_Per_Batch]*IFERROR(INDEX(PP_Grid[#Data],M_BOM[PPGridRow],40),0))+IFERROR(INDEX(M_RawMaterials[固定週次消費量_要入力],MATCH($A40,M_RawMaterials[Part Name],0)),0)</f>
        <v/>
      </c>
      <c r="AO40">
        <f>SUMPRODUCT((M_BOM[Part Name]=$A40)*M_BOM[RM_Qty_Per_Batch]*IFERROR(INDEX(PP_Grid[#Data],M_BOM[PPGridRow],41),0))+IFERROR(INDEX(M_RawMaterials[固定週次消費量_要入力],MATCH($A40,M_RawMaterials[Part Name],0)),0)</f>
        <v/>
      </c>
      <c r="AP40">
        <f>SUMPRODUCT((M_BOM[Part Name]=$A40)*M_BOM[RM_Qty_Per_Batch]*IFERROR(INDEX(PP_Grid[#Data],M_BOM[PPGridRow],42),0))+IFERROR(INDEX(M_RawMaterials[固定週次消費量_要入力],MATCH($A40,M_RawMaterials[Part Name],0)),0)</f>
        <v/>
      </c>
      <c r="AQ40">
        <f>SUMPRODUCT((M_BOM[Part Name]=$A40)*M_BOM[RM_Qty_Per_Batch]*IFERROR(INDEX(PP_Grid[#Data],M_BOM[PPGridRow],43),0))+IFERROR(INDEX(M_RawMaterials[固定週次消費量_要入力],MATCH($A40,M_RawMaterials[Part Name],0)),0)</f>
        <v/>
      </c>
      <c r="AR40">
        <f>SUMPRODUCT((M_BOM[Part Name]=$A40)*M_BOM[RM_Qty_Per_Batch]*IFERROR(INDEX(PP_Grid[#Data],M_BOM[PPGridRow],44),0))+IFERROR(INDEX(M_RawMaterials[固定週次消費量_要入力],MATCH($A40,M_RawMaterials[Part Name],0)),0)</f>
        <v/>
      </c>
      <c r="AS40">
        <f>SUMPRODUCT((M_BOM[Part Name]=$A40)*M_BOM[RM_Qty_Per_Batch]*IFERROR(INDEX(PP_Grid[#Data],M_BOM[PPGridRow],45),0))+IFERROR(INDEX(M_RawMaterials[固定週次消費量_要入力],MATCH($A40,M_RawMaterials[Part Name],0)),0)</f>
        <v/>
      </c>
      <c r="AT40">
        <f>SUMPRODUCT((M_BOM[Part Name]=$A40)*M_BOM[RM_Qty_Per_Batch]*IFERROR(INDEX(PP_Grid[#Data],M_BOM[PPGridRow],46),0))+IFERROR(INDEX(M_RawMaterials[固定週次消費量_要入力],MATCH($A40,M_RawMaterials[Part Name],0)),0)</f>
        <v/>
      </c>
      <c r="AU40">
        <f>SUMPRODUCT((M_BOM[Part Name]=$A40)*M_BOM[RM_Qty_Per_Batch]*IFERROR(INDEX(PP_Grid[#Data],M_BOM[PPGridRow],47),0))+IFERROR(INDEX(M_RawMaterials[固定週次消費量_要入力],MATCH($A40,M_RawMaterials[Part Name],0)),0)</f>
        <v/>
      </c>
      <c r="AV40">
        <f>SUMPRODUCT((M_BOM[Part Name]=$A40)*M_BOM[RM_Qty_Per_Batch]*IFERROR(INDEX(PP_Grid[#Data],M_BOM[PPGridRow],48),0))+IFERROR(INDEX(M_RawMaterials[固定週次消費量_要入力],MATCH($A40,M_RawMaterials[Part Name],0)),0)</f>
        <v/>
      </c>
      <c r="AW40">
        <f>SUMPRODUCT((M_BOM[Part Name]=$A40)*M_BOM[RM_Qty_Per_Batch]*IFERROR(INDEX(PP_Grid[#Data],M_BOM[PPGridRow],49),0))+IFERROR(INDEX(M_RawMaterials[固定週次消費量_要入力],MATCH($A40,M_RawMaterials[Part Name],0)),0)</f>
        <v/>
      </c>
      <c r="AX40">
        <f>SUMPRODUCT((M_BOM[Part Name]=$A40)*M_BOM[RM_Qty_Per_Batch]*IFERROR(INDEX(PP_Grid[#Data],M_BOM[PPGridRow],50),0))+IFERROR(INDEX(M_RawMaterials[固定週次消費量_要入力],MATCH($A40,M_RawMaterials[Part Name],0)),0)</f>
        <v/>
      </c>
      <c r="AY40">
        <f>SUMPRODUCT((M_BOM[Part Name]=$A40)*M_BOM[RM_Qty_Per_Batch]*IFERROR(INDEX(PP_Grid[#Data],M_BOM[PPGridRow],51),0))+IFERROR(INDEX(M_RawMaterials[固定週次消費量_要入力],MATCH($A40,M_RawMaterials[Part Name],0)),0)</f>
        <v/>
      </c>
      <c r="AZ40">
        <f>SUMPRODUCT((M_BOM[Part Name]=$A40)*M_BOM[RM_Qty_Per_Batch]*IFERROR(INDEX(PP_Grid[#Data],M_BOM[PPGridRow],52),0))+IFERROR(INDEX(M_RawMaterials[固定週次消費量_要入力],MATCH($A40,M_RawMaterials[Part Name],0)),0)</f>
        <v/>
      </c>
      <c r="BA40">
        <f>SUMPRODUCT((M_BOM[Part Name]=$A40)*M_BOM[RM_Qty_Per_Batch]*IFERROR(INDEX(PP_Grid[#Data],M_BOM[PPGridRow],53),0))+IFERROR(INDEX(M_RawMaterials[固定週次消費量_要入力],MATCH($A40,M_RawMaterials[Part Name],0)),0)</f>
        <v/>
      </c>
      <c r="BB40">
        <f>SUMPRODUCT((M_BOM[Part Name]=$A40)*M_BOM[RM_Qty_Per_Batch]*IFERROR(INDEX(PP_Grid[#Data],M_BOM[PPGridRow],54),0))+IFERROR(INDEX(M_RawMaterials[固定週次消費量_要入力],MATCH($A40,M_RawMaterials[Part Name],0)),0)</f>
        <v/>
      </c>
      <c r="BC40">
        <f>SUMPRODUCT((M_BOM[Part Name]=$A40)*M_BOM[RM_Qty_Per_Batch]*IFERROR(INDEX(PP_Grid[#Data],M_BOM[PPGridRow],55),0))+IFERROR(INDEX(M_RawMaterials[固定週次消費量_要入力],MATCH($A40,M_RawMaterials[Part Name],0)),0)</f>
        <v/>
      </c>
      <c r="BD40">
        <f>SUMPRODUCT((M_BOM[Part Name]=$A40)*M_BOM[RM_Qty_Per_Batch]*IFERROR(INDEX(PP_Grid[#Data],M_BOM[PPGridRow],56),0))+IFERROR(INDEX(M_RawMaterials[固定週次消費量_要入力],MATCH($A40,M_RawMaterials[Part Name],0)),0)</f>
        <v/>
      </c>
      <c r="BE40">
        <f>SUMPRODUCT((M_BOM[Part Name]=$A40)*M_BOM[RM_Qty_Per_Batch]*IFERROR(INDEX(PP_Grid[#Data],M_BOM[PPGridRow],57),0))+IFERROR(INDEX(M_RawMaterials[固定週次消費量_要入力],MATCH($A40,M_RawMaterials[Part Name],0)),0)</f>
        <v/>
      </c>
      <c r="BF40">
        <f>SUMPRODUCT((M_BOM[Part Name]=$A40)*M_BOM[RM_Qty_Per_Batch]*IFERROR(INDEX(PP_Grid[#Data],M_BOM[PPGridRow],58),0))+IFERROR(INDEX(M_RawMaterials[固定週次消費量_要入力],MATCH($A40,M_RawMaterials[Part Name],0)),0)</f>
        <v/>
      </c>
      <c r="BG40">
        <f>SUMPRODUCT((M_BOM[Part Name]=$A40)*M_BOM[RM_Qty_Per_Batch]*IFERROR(INDEX(PP_Grid[#Data],M_BOM[PPGridRow],59),0))+IFERROR(INDEX(M_RawMaterials[固定週次消費量_要入力],MATCH($A40,M_RawMaterials[Part Name],0)),0)</f>
        <v/>
      </c>
      <c r="BH40">
        <f>SUMPRODUCT((M_BOM[Part Name]=$A40)*M_BOM[RM_Qty_Per_Batch]*IFERROR(INDEX(PP_Grid[#Data],M_BOM[PPGridRow],60),0))+IFERROR(INDEX(M_RawMaterials[固定週次消費量_要入力],MATCH($A40,M_RawMaterials[Part Name],0)),0)</f>
        <v/>
      </c>
      <c r="BI40">
        <f>SUMPRODUCT((M_BOM[Part Name]=$A40)*M_BOM[RM_Qty_Per_Batch]*IFERROR(INDEX(PP_Grid[#Data],M_BOM[PPGridRow],61),0))+IFERROR(INDEX(M_RawMaterials[固定週次消費量_要入力],MATCH($A40,M_RawMaterials[Part Name],0)),0)</f>
        <v/>
      </c>
      <c r="BJ40">
        <f>SUMPRODUCT((M_BOM[Part Name]=$A40)*M_BOM[RM_Qty_Per_Batch]*IFERROR(INDEX(PP_Grid[#Data],M_BOM[PPGridRow],62),0))+IFERROR(INDEX(M_RawMaterials[固定週次消費量_要入力],MATCH($A40,M_RawMaterials[Part Name],0)),0)</f>
        <v/>
      </c>
      <c r="BK40">
        <f>SUMPRODUCT((M_BOM[Part Name]=$A40)*M_BOM[RM_Qty_Per_Batch]*IFERROR(INDEX(PP_Grid[#Data],M_BOM[PPGridRow],63),0))+IFERROR(INDEX(M_RawMaterials[固定週次消費量_要入力],MATCH($A40,M_RawMaterials[Part Name],0)),0)</f>
        <v/>
      </c>
      <c r="BL40">
        <f>SUMPRODUCT((M_BOM[Part Name]=$A40)*M_BOM[RM_Qty_Per_Batch]*IFERROR(INDEX(PP_Grid[#Data],M_BOM[PPGridRow],64),0))+IFERROR(INDEX(M_RawMaterials[固定週次消費量_要入力],MATCH($A40,M_RawMaterials[Part Name],0)),0)</f>
        <v/>
      </c>
      <c r="BM40">
        <f>SUMPRODUCT((M_BOM[Part Name]=$A40)*M_BOM[RM_Qty_Per_Batch]*IFERROR(INDEX(PP_Grid[#Data],M_BOM[PPGridRow],65),0))+IFERROR(INDEX(M_RawMaterials[固定週次消費量_要入力],MATCH($A40,M_RawMaterials[Part Name],0)),0)</f>
        <v/>
      </c>
      <c r="BN40">
        <f>SUMPRODUCT((M_BOM[Part Name]=$A40)*M_BOM[RM_Qty_Per_Batch]*IFERROR(INDEX(PP_Grid[#Data],M_BOM[PPGridRow],66),0))+IFERROR(INDEX(M_RawMaterials[固定週次消費量_要入力],MATCH($A40,M_RawMaterials[Part Name],0)),0)</f>
        <v/>
      </c>
      <c r="BO40">
        <f>SUMPRODUCT((M_BOM[Part Name]=$A40)*M_BOM[RM_Qty_Per_Batch]*IFERROR(INDEX(PP_Grid[#Data],M_BOM[PPGridRow],67),0))+IFERROR(INDEX(M_RawMaterials[固定週次消費量_要入力],MATCH($A40,M_RawMaterials[Part Name],0)),0)</f>
        <v/>
      </c>
      <c r="BP40">
        <f>SUMPRODUCT((M_BOM[Part Name]=$A40)*M_BOM[RM_Qty_Per_Batch]*IFERROR(INDEX(PP_Grid[#Data],M_BOM[PPGridRow],68),0))+IFERROR(INDEX(M_RawMaterials[固定週次消費量_要入力],MATCH($A40,M_RawMaterials[Part Name],0)),0)</f>
        <v/>
      </c>
      <c r="BQ40">
        <f>SUMPRODUCT((M_BOM[Part Name]=$A40)*M_BOM[RM_Qty_Per_Batch]*IFERROR(INDEX(PP_Grid[#Data],M_BOM[PPGridRow],69),0))+IFERROR(INDEX(M_RawMaterials[固定週次消費量_要入力],MATCH($A40,M_RawMaterials[Part Name],0)),0)</f>
        <v/>
      </c>
      <c r="BR40">
        <f>SUMPRODUCT((M_BOM[Part Name]=$A40)*M_BOM[RM_Qty_Per_Batch]*IFERROR(INDEX(PP_Grid[#Data],M_BOM[PPGridRow],70),0))+IFERROR(INDEX(M_RawMaterials[固定週次消費量_要入力],MATCH($A40,M_RawMaterials[Part Name],0)),0)</f>
        <v/>
      </c>
      <c r="BS40">
        <f>SUMPRODUCT((M_BOM[Part Name]=$A40)*M_BOM[RM_Qty_Per_Batch]*IFERROR(INDEX(PP_Grid[#Data],M_BOM[PPGridRow],71),0))+IFERROR(INDEX(M_RawMaterials[固定週次消費量_要入力],MATCH($A40,M_RawMaterials[Part Name],0)),0)</f>
        <v/>
      </c>
      <c r="BT40">
        <f>SUMPRODUCT((M_BOM[Part Name]=$A40)*M_BOM[RM_Qty_Per_Batch]*IFERROR(INDEX(PP_Grid[#Data],M_BOM[PPGridRow],72),0))+IFERROR(INDEX(M_RawMaterials[固定週次消費量_要入力],MATCH($A40,M_RawMaterials[Part Name],0)),0)</f>
        <v/>
      </c>
      <c r="BU40">
        <f>SUMPRODUCT((M_BOM[Part Name]=$A40)*M_BOM[RM_Qty_Per_Batch]*IFERROR(INDEX(PP_Grid[#Data],M_BOM[PPGridRow],73),0))+IFERROR(INDEX(M_RawMaterials[固定週次消費量_要入力],MATCH($A40,M_RawMaterials[Part Name],0)),0)</f>
        <v/>
      </c>
      <c r="BV40">
        <f>SUMPRODUCT((M_BOM[Part Name]=$A40)*M_BOM[RM_Qty_Per_Batch]*IFERROR(INDEX(PP_Grid[#Data],M_BOM[PPGridRow],74),0))+IFERROR(INDEX(M_RawMaterials[固定週次消費量_要入力],MATCH($A40,M_RawMaterials[Part Name],0)),0)</f>
        <v/>
      </c>
      <c r="BW40">
        <f>SUMPRODUCT((M_BOM[Part Name]=$A40)*M_BOM[RM_Qty_Per_Batch]*IFERROR(INDEX(PP_Grid[#Data],M_BOM[PPGridRow],75),0))+IFERROR(INDEX(M_RawMaterials[固定週次消費量_要入力],MATCH($A40,M_RawMaterials[Part Name],0)),0)</f>
        <v/>
      </c>
      <c r="BX40">
        <f>SUMPRODUCT((M_BOM[Part Name]=$A40)*M_BOM[RM_Qty_Per_Batch]*IFERROR(INDEX(PP_Grid[#Data],M_BOM[PPGridRow],76),0))+IFERROR(INDEX(M_RawMaterials[固定週次消費量_要入力],MATCH($A40,M_RawMaterials[Part Name],0)),0)</f>
        <v/>
      </c>
      <c r="BY40">
        <f>SUMPRODUCT((M_BOM[Part Name]=$A40)*M_BOM[RM_Qty_Per_Batch]*IFERROR(INDEX(PP_Grid[#Data],M_BOM[PPGridRow],77),0))+IFERROR(INDEX(M_RawMaterials[固定週次消費量_要入力],MATCH($A40,M_RawMaterials[Part Name],0)),0)</f>
        <v/>
      </c>
      <c r="BZ40">
        <f>SUMPRODUCT((M_BOM[Part Name]=$A40)*M_BOM[RM_Qty_Per_Batch]*IFERROR(INDEX(PP_Grid[#Data],M_BOM[PPGridRow],78),0))+IFERROR(INDEX(M_RawMaterials[固定週次消費量_要入力],MATCH($A40,M_RawMaterials[Part Name],0)),0)</f>
        <v/>
      </c>
      <c r="CA40">
        <f>SUMPRODUCT((M_BOM[Part Name]=$A40)*M_BOM[RM_Qty_Per_Batch]*IFERROR(INDEX(PP_Grid[#Data],M_BOM[PPGridRow],79),0))+IFERROR(INDEX(M_RawMaterials[固定週次消費量_要入力],MATCH($A40,M_RawMaterials[Part Name],0)),0)</f>
        <v/>
      </c>
      <c r="CB40">
        <f>SUMPRODUCT((M_BOM[Part Name]=$A40)*M_BOM[RM_Qty_Per_Batch]*IFERROR(INDEX(PP_Grid[#Data],M_BOM[PPGridRow],80),0))+IFERROR(INDEX(M_RawMaterials[固定週次消費量_要入力],MATCH($A40,M_RawMaterials[Part Name],0)),0)</f>
        <v/>
      </c>
      <c r="CC40">
        <f>SUMPRODUCT((M_BOM[Part Name]=$A40)*M_BOM[RM_Qty_Per_Batch]*IFERROR(INDEX(PP_Grid[#Data],M_BOM[PPGridRow],81),0))+IFERROR(INDEX(M_RawMaterials[固定週次消費量_要入力],MATCH($A40,M_RawMaterials[Part Name],0)),0)</f>
        <v/>
      </c>
      <c r="CD40">
        <f>SUMPRODUCT((M_BOM[Part Name]=$A40)*M_BOM[RM_Qty_Per_Batch]*IFERROR(INDEX(PP_Grid[#Data],M_BOM[PPGridRow],82),0))+IFERROR(INDEX(M_RawMaterials[固定週次消費量_要入力],MATCH($A40,M_RawMaterials[Part Name],0)),0)</f>
        <v/>
      </c>
      <c r="CE40">
        <f>SUMPRODUCT((M_BOM[Part Name]=$A40)*M_BOM[RM_Qty_Per_Batch]*IFERROR(INDEX(PP_Grid[#Data],M_BOM[PPGridRow],83),0))+IFERROR(INDEX(M_RawMaterials[固定週次消費量_要入力],MATCH($A40,M_RawMaterials[Part Name],0)),0)</f>
        <v/>
      </c>
      <c r="CF40">
        <f>SUMPRODUCT((M_BOM[Part Name]=$A40)*M_BOM[RM_Qty_Per_Batch]*IFERROR(INDEX(PP_Grid[#Data],M_BOM[PPGridRow],84),0))+IFERROR(INDEX(M_RawMaterials[固定週次消費量_要入力],MATCH($A40,M_RawMaterials[Part Name],0)),0)</f>
        <v/>
      </c>
      <c r="CG40">
        <f>SUMPRODUCT((M_BOM[Part Name]=$A40)*M_BOM[RM_Qty_Per_Batch]*IFERROR(INDEX(PP_Grid[#Data],M_BOM[PPGridRow],85),0))+IFERROR(INDEX(M_RawMaterials[固定週次消費量_要入力],MATCH($A40,M_RawMaterials[Part Name],0)),0)</f>
        <v/>
      </c>
      <c r="CH40">
        <f>SUMPRODUCT((M_BOM[Part Name]=$A40)*M_BOM[RM_Qty_Per_Batch]*IFERROR(INDEX(PP_Grid[#Data],M_BOM[PPGridRow],86),0))+IFERROR(INDEX(M_RawMaterials[固定週次消費量_要入力],MATCH($A40,M_RawMaterials[Part Name],0)),0)</f>
        <v/>
      </c>
      <c r="CI40">
        <f>SUMPRODUCT((M_BOM[Part Name]=$A40)*M_BOM[RM_Qty_Per_Batch]*IFERROR(INDEX(PP_Grid[#Data],M_BOM[PPGridRow],87),0))+IFERROR(INDEX(M_RawMaterials[固定週次消費量_要入力],MATCH($A40,M_RawMaterials[Part Name],0)),0)</f>
        <v/>
      </c>
      <c r="CJ40">
        <f>SUMPRODUCT((M_BOM[Part Name]=$A40)*M_BOM[RM_Qty_Per_Batch]*IFERROR(INDEX(PP_Grid[#Data],M_BOM[PPGridRow],88),0))+IFERROR(INDEX(M_RawMaterials[固定週次消費量_要入力],MATCH($A40,M_RawMaterials[Part Name],0)),0)</f>
        <v/>
      </c>
      <c r="CK40">
        <f>SUMPRODUCT((M_BOM[Part Name]=$A40)*M_BOM[RM_Qty_Per_Batch]*IFERROR(INDEX(PP_Grid[#Data],M_BOM[PPGridRow],89),0))+IFERROR(INDEX(M_RawMaterials[固定週次消費量_要入力],MATCH($A40,M_RawMaterials[Part Name],0)),0)</f>
        <v/>
      </c>
      <c r="CL40">
        <f>SUMPRODUCT((M_BOM[Part Name]=$A40)*M_BOM[RM_Qty_Per_Batch]*IFERROR(INDEX(PP_Grid[#Data],M_BOM[PPGridRow],90),0))+IFERROR(INDEX(M_RawMaterials[固定週次消費量_要入力],MATCH($A40,M_RawMaterials[Part Name],0)),0)</f>
        <v/>
      </c>
      <c r="CM40">
        <f>SUMPRODUCT((M_BOM[Part Name]=$A40)*M_BOM[RM_Qty_Per_Batch]*IFERROR(INDEX(PP_Grid[#Data],M_BOM[PPGridRow],91),0))+IFERROR(INDEX(M_RawMaterials[固定週次消費量_要入力],MATCH($A40,M_RawMaterials[Part Name],0)),0)</f>
        <v/>
      </c>
      <c r="CN40">
        <f>SUMPRODUCT((M_BOM[Part Name]=$A40)*M_BOM[RM_Qty_Per_Batch]*IFERROR(INDEX(PP_Grid[#Data],M_BOM[PPGridRow],92),0))+IFERROR(INDEX(M_RawMaterials[固定週次消費量_要入力],MATCH($A40,M_RawMaterials[Part Name],0)),0)</f>
        <v/>
      </c>
      <c r="CO40">
        <f>SUMPRODUCT((M_BOM[Part Name]=$A40)*M_BOM[RM_Qty_Per_Batch]*IFERROR(INDEX(PP_Grid[#Data],M_BOM[PPGridRow],93),0))+IFERROR(INDEX(M_RawMaterials[固定週次消費量_要入力],MATCH($A40,M_RawMaterials[Part Name],0)),0)</f>
        <v/>
      </c>
      <c r="CP40">
        <f>SUMPRODUCT((M_BOM[Part Name]=$A40)*M_BOM[RM_Qty_Per_Batch]*IFERROR(INDEX(PP_Grid[#Data],M_BOM[PPGridRow],94),0))+IFERROR(INDEX(M_RawMaterials[固定週次消費量_要入力],MATCH($A40,M_RawMaterials[Part Name],0)),0)</f>
        <v/>
      </c>
      <c r="CQ40">
        <f>SUMPRODUCT((M_BOM[Part Name]=$A40)*M_BOM[RM_Qty_Per_Batch]*IFERROR(INDEX(PP_Grid[#Data],M_BOM[PPGridRow],95),0))+IFERROR(INDEX(M_RawMaterials[固定週次消費量_要入力],MATCH($A40,M_RawMaterials[Part Name],0)),0)</f>
        <v/>
      </c>
      <c r="CR40">
        <f>SUMPRODUCT((M_BOM[Part Name]=$A40)*M_BOM[RM_Qty_Per_Batch]*IFERROR(INDEX(PP_Grid[#Data],M_BOM[PPGridRow],96),0))+IFERROR(INDEX(M_RawMaterials[固定週次消費量_要入力],MATCH($A40,M_RawMaterials[Part Name],0)),0)</f>
        <v/>
      </c>
      <c r="CS40">
        <f>SUMPRODUCT((M_BOM[Part Name]=$A40)*M_BOM[RM_Qty_Per_Batch]*IFERROR(INDEX(PP_Grid[#Data],M_BOM[PPGridRow],97),0))+IFERROR(INDEX(M_RawMaterials[固定週次消費量_要入力],MATCH($A40,M_RawMaterials[Part Name],0)),0)</f>
        <v/>
      </c>
      <c r="CT40">
        <f>SUMPRODUCT((M_BOM[Part Name]=$A40)*M_BOM[RM_Qty_Per_Batch]*IFERROR(INDEX(PP_Grid[#Data],M_BOM[PPGridRow],98),0))+IFERROR(INDEX(M_RawMaterials[固定週次消費量_要入力],MATCH($A40,M_RawMaterials[Part Name],0)),0)</f>
        <v/>
      </c>
      <c r="CU40">
        <f>SUMPRODUCT((M_BOM[Part Name]=$A40)*M_BOM[RM_Qty_Per_Batch]*IFERROR(INDEX(PP_Grid[#Data],M_BOM[PPGridRow],99),0))+IFERROR(INDEX(M_RawMaterials[固定週次消費量_要入力],MATCH($A40,M_RawMaterials[Part Name],0)),0)</f>
        <v/>
      </c>
      <c r="CV40">
        <f>SUMPRODUCT((M_BOM[Part Name]=$A40)*M_BOM[RM_Qty_Per_Batch]*IFERROR(INDEX(PP_Grid[#Data],M_BOM[PPGridRow],100),0))+IFERROR(INDEX(M_RawMaterials[固定週次消費量_要入力],MATCH($A40,M_RawMaterials[Part Name],0)),0)</f>
        <v/>
      </c>
      <c r="CW40">
        <f>SUMPRODUCT((M_BOM[Part Name]=$A40)*M_BOM[RM_Qty_Per_Batch]*IFERROR(INDEX(PP_Grid[#Data],M_BOM[PPGridRow],101),0))+IFERROR(INDEX(M_RawMaterials[固定週次消費量_要入力],MATCH($A40,M_RawMaterials[Part Name],0)),0)</f>
        <v/>
      </c>
      <c r="CX40">
        <f>SUMPRODUCT((M_BOM[Part Name]=$A40)*M_BOM[RM_Qty_Per_Batch]*IFERROR(INDEX(PP_Grid[#Data],M_BOM[PPGridRow],102),0))+IFERROR(INDEX(M_RawMaterials[固定週次消費量_要入力],MATCH($A40,M_RawMaterials[Part Name],0)),0)</f>
        <v/>
      </c>
      <c r="CY40">
        <f>SUMPRODUCT((M_BOM[Part Name]=$A40)*M_BOM[RM_Qty_Per_Batch]*IFERROR(INDEX(PP_Grid[#Data],M_BOM[PPGridRow],103),0))+IFERROR(INDEX(M_RawMaterials[固定週次消費量_要入力],MATCH($A40,M_RawMaterials[Part Name],0)),0)</f>
        <v/>
      </c>
      <c r="CZ40">
        <f>SUMPRODUCT((M_BOM[Part Name]=$A40)*M_BOM[RM_Qty_Per_Batch]*IFERROR(INDEX(PP_Grid[#Data],M_BOM[PPGridRow],104),0))+IFERROR(INDEX(M_RawMaterials[固定週次消費量_要入力],MATCH($A40,M_RawMaterials[Part Name],0)),0)</f>
        <v/>
      </c>
      <c r="DA40">
        <f>SUMPRODUCT((M_BOM[Part Name]=$A40)*M_BOM[RM_Qty_Per_Batch]*IFERROR(INDEX(PP_Grid[#Data],M_BOM[PPGridRow],105),0))+IFERROR(INDEX(M_RawMaterials[固定週次消費量_要入力],MATCH($A40,M_RawMaterials[Part Name],0)),0)</f>
        <v/>
      </c>
    </row>
    <row r="41">
      <c r="A41" t="inlineStr">
        <is>
          <t>CHEM-1680</t>
        </is>
      </c>
      <c r="B41">
        <f>SUMPRODUCT((M_BOM[Part Name]=$A41)*M_BOM[RM_Qty_Per_Batch]*IFERROR(INDEX(PP_Grid[#Data],M_BOM[PPGridRow],2),0))+IFERROR(INDEX(M_RawMaterials[固定週次消費量_要入力],MATCH($A41,M_RawMaterials[Part Name],0)),0)</f>
        <v/>
      </c>
      <c r="C41">
        <f>SUMPRODUCT((M_BOM[Part Name]=$A41)*M_BOM[RM_Qty_Per_Batch]*IFERROR(INDEX(PP_Grid[#Data],M_BOM[PPGridRow],3),0))+IFERROR(INDEX(M_RawMaterials[固定週次消費量_要入力],MATCH($A41,M_RawMaterials[Part Name],0)),0)</f>
        <v/>
      </c>
      <c r="D41">
        <f>SUMPRODUCT((M_BOM[Part Name]=$A41)*M_BOM[RM_Qty_Per_Batch]*IFERROR(INDEX(PP_Grid[#Data],M_BOM[PPGridRow],4),0))+IFERROR(INDEX(M_RawMaterials[固定週次消費量_要入力],MATCH($A41,M_RawMaterials[Part Name],0)),0)</f>
        <v/>
      </c>
      <c r="E41">
        <f>SUMPRODUCT((M_BOM[Part Name]=$A41)*M_BOM[RM_Qty_Per_Batch]*IFERROR(INDEX(PP_Grid[#Data],M_BOM[PPGridRow],5),0))+IFERROR(INDEX(M_RawMaterials[固定週次消費量_要入力],MATCH($A41,M_RawMaterials[Part Name],0)),0)</f>
        <v/>
      </c>
      <c r="F41">
        <f>SUMPRODUCT((M_BOM[Part Name]=$A41)*M_BOM[RM_Qty_Per_Batch]*IFERROR(INDEX(PP_Grid[#Data],M_BOM[PPGridRow],6),0))+IFERROR(INDEX(M_RawMaterials[固定週次消費量_要入力],MATCH($A41,M_RawMaterials[Part Name],0)),0)</f>
        <v/>
      </c>
      <c r="G41">
        <f>SUMPRODUCT((M_BOM[Part Name]=$A41)*M_BOM[RM_Qty_Per_Batch]*IFERROR(INDEX(PP_Grid[#Data],M_BOM[PPGridRow],7),0))+IFERROR(INDEX(M_RawMaterials[固定週次消費量_要入力],MATCH($A41,M_RawMaterials[Part Name],0)),0)</f>
        <v/>
      </c>
      <c r="H41">
        <f>SUMPRODUCT((M_BOM[Part Name]=$A41)*M_BOM[RM_Qty_Per_Batch]*IFERROR(INDEX(PP_Grid[#Data],M_BOM[PPGridRow],8),0))+IFERROR(INDEX(M_RawMaterials[固定週次消費量_要入力],MATCH($A41,M_RawMaterials[Part Name],0)),0)</f>
        <v/>
      </c>
      <c r="I41">
        <f>SUMPRODUCT((M_BOM[Part Name]=$A41)*M_BOM[RM_Qty_Per_Batch]*IFERROR(INDEX(PP_Grid[#Data],M_BOM[PPGridRow],9),0))+IFERROR(INDEX(M_RawMaterials[固定週次消費量_要入力],MATCH($A41,M_RawMaterials[Part Name],0)),0)</f>
        <v/>
      </c>
      <c r="J41">
        <f>SUMPRODUCT((M_BOM[Part Name]=$A41)*M_BOM[RM_Qty_Per_Batch]*IFERROR(INDEX(PP_Grid[#Data],M_BOM[PPGridRow],10),0))+IFERROR(INDEX(M_RawMaterials[固定週次消費量_要入力],MATCH($A41,M_RawMaterials[Part Name],0)),0)</f>
        <v/>
      </c>
      <c r="K41">
        <f>SUMPRODUCT((M_BOM[Part Name]=$A41)*M_BOM[RM_Qty_Per_Batch]*IFERROR(INDEX(PP_Grid[#Data],M_BOM[PPGridRow],11),0))+IFERROR(INDEX(M_RawMaterials[固定週次消費量_要入力],MATCH($A41,M_RawMaterials[Part Name],0)),0)</f>
        <v/>
      </c>
      <c r="L41">
        <f>SUMPRODUCT((M_BOM[Part Name]=$A41)*M_BOM[RM_Qty_Per_Batch]*IFERROR(INDEX(PP_Grid[#Data],M_BOM[PPGridRow],12),0))+IFERROR(INDEX(M_RawMaterials[固定週次消費量_要入力],MATCH($A41,M_RawMaterials[Part Name],0)),0)</f>
        <v/>
      </c>
      <c r="M41">
        <f>SUMPRODUCT((M_BOM[Part Name]=$A41)*M_BOM[RM_Qty_Per_Batch]*IFERROR(INDEX(PP_Grid[#Data],M_BOM[PPGridRow],13),0))+IFERROR(INDEX(M_RawMaterials[固定週次消費量_要入力],MATCH($A41,M_RawMaterials[Part Name],0)),0)</f>
        <v/>
      </c>
      <c r="N41">
        <f>SUMPRODUCT((M_BOM[Part Name]=$A41)*M_BOM[RM_Qty_Per_Batch]*IFERROR(INDEX(PP_Grid[#Data],M_BOM[PPGridRow],14),0))+IFERROR(INDEX(M_RawMaterials[固定週次消費量_要入力],MATCH($A41,M_RawMaterials[Part Name],0)),0)</f>
        <v/>
      </c>
      <c r="O41">
        <f>SUMPRODUCT((M_BOM[Part Name]=$A41)*M_BOM[RM_Qty_Per_Batch]*IFERROR(INDEX(PP_Grid[#Data],M_BOM[PPGridRow],15),0))+IFERROR(INDEX(M_RawMaterials[固定週次消費量_要入力],MATCH($A41,M_RawMaterials[Part Name],0)),0)</f>
        <v/>
      </c>
      <c r="P41">
        <f>SUMPRODUCT((M_BOM[Part Name]=$A41)*M_BOM[RM_Qty_Per_Batch]*IFERROR(INDEX(PP_Grid[#Data],M_BOM[PPGridRow],16),0))+IFERROR(INDEX(M_RawMaterials[固定週次消費量_要入力],MATCH($A41,M_RawMaterials[Part Name],0)),0)</f>
        <v/>
      </c>
      <c r="Q41">
        <f>SUMPRODUCT((M_BOM[Part Name]=$A41)*M_BOM[RM_Qty_Per_Batch]*IFERROR(INDEX(PP_Grid[#Data],M_BOM[PPGridRow],17),0))+IFERROR(INDEX(M_RawMaterials[固定週次消費量_要入力],MATCH($A41,M_RawMaterials[Part Name],0)),0)</f>
        <v/>
      </c>
      <c r="R41">
        <f>SUMPRODUCT((M_BOM[Part Name]=$A41)*M_BOM[RM_Qty_Per_Batch]*IFERROR(INDEX(PP_Grid[#Data],M_BOM[PPGridRow],18),0))+IFERROR(INDEX(M_RawMaterials[固定週次消費量_要入力],MATCH($A41,M_RawMaterials[Part Name],0)),0)</f>
        <v/>
      </c>
      <c r="S41">
        <f>SUMPRODUCT((M_BOM[Part Name]=$A41)*M_BOM[RM_Qty_Per_Batch]*IFERROR(INDEX(PP_Grid[#Data],M_BOM[PPGridRow],19),0))+IFERROR(INDEX(M_RawMaterials[固定週次消費量_要入力],MATCH($A41,M_RawMaterials[Part Name],0)),0)</f>
        <v/>
      </c>
      <c r="T41">
        <f>SUMPRODUCT((M_BOM[Part Name]=$A41)*M_BOM[RM_Qty_Per_Batch]*IFERROR(INDEX(PP_Grid[#Data],M_BOM[PPGridRow],20),0))+IFERROR(INDEX(M_RawMaterials[固定週次消費量_要入力],MATCH($A41,M_RawMaterials[Part Name],0)),0)</f>
        <v/>
      </c>
      <c r="U41">
        <f>SUMPRODUCT((M_BOM[Part Name]=$A41)*M_BOM[RM_Qty_Per_Batch]*IFERROR(INDEX(PP_Grid[#Data],M_BOM[PPGridRow],21),0))+IFERROR(INDEX(M_RawMaterials[固定週次消費量_要入力],MATCH($A41,M_RawMaterials[Part Name],0)),0)</f>
        <v/>
      </c>
      <c r="V41">
        <f>SUMPRODUCT((M_BOM[Part Name]=$A41)*M_BOM[RM_Qty_Per_Batch]*IFERROR(INDEX(PP_Grid[#Data],M_BOM[PPGridRow],22),0))+IFERROR(INDEX(M_RawMaterials[固定週次消費量_要入力],MATCH($A41,M_RawMaterials[Part Name],0)),0)</f>
        <v/>
      </c>
      <c r="W41">
        <f>SUMPRODUCT((M_BOM[Part Name]=$A41)*M_BOM[RM_Qty_Per_Batch]*IFERROR(INDEX(PP_Grid[#Data],M_BOM[PPGridRow],23),0))+IFERROR(INDEX(M_RawMaterials[固定週次消費量_要入力],MATCH($A41,M_RawMaterials[Part Name],0)),0)</f>
        <v/>
      </c>
      <c r="X41">
        <f>SUMPRODUCT((M_BOM[Part Name]=$A41)*M_BOM[RM_Qty_Per_Batch]*IFERROR(INDEX(PP_Grid[#Data],M_BOM[PPGridRow],24),0))+IFERROR(INDEX(M_RawMaterials[固定週次消費量_要入力],MATCH($A41,M_RawMaterials[Part Name],0)),0)</f>
        <v/>
      </c>
      <c r="Y41">
        <f>SUMPRODUCT((M_BOM[Part Name]=$A41)*M_BOM[RM_Qty_Per_Batch]*IFERROR(INDEX(PP_Grid[#Data],M_BOM[PPGridRow],25),0))+IFERROR(INDEX(M_RawMaterials[固定週次消費量_要入力],MATCH($A41,M_RawMaterials[Part Name],0)),0)</f>
        <v/>
      </c>
      <c r="Z41">
        <f>SUMPRODUCT((M_BOM[Part Name]=$A41)*M_BOM[RM_Qty_Per_Batch]*IFERROR(INDEX(PP_Grid[#Data],M_BOM[PPGridRow],26),0))+IFERROR(INDEX(M_RawMaterials[固定週次消費量_要入力],MATCH($A41,M_RawMaterials[Part Name],0)),0)</f>
        <v/>
      </c>
      <c r="AA41">
        <f>SUMPRODUCT((M_BOM[Part Name]=$A41)*M_BOM[RM_Qty_Per_Batch]*IFERROR(INDEX(PP_Grid[#Data],M_BOM[PPGridRow],27),0))+IFERROR(INDEX(M_RawMaterials[固定週次消費量_要入力],MATCH($A41,M_RawMaterials[Part Name],0)),0)</f>
        <v/>
      </c>
      <c r="AB41">
        <f>SUMPRODUCT((M_BOM[Part Name]=$A41)*M_BOM[RM_Qty_Per_Batch]*IFERROR(INDEX(PP_Grid[#Data],M_BOM[PPGridRow],28),0))+IFERROR(INDEX(M_RawMaterials[固定週次消費量_要入力],MATCH($A41,M_RawMaterials[Part Name],0)),0)</f>
        <v/>
      </c>
      <c r="AC41">
        <f>SUMPRODUCT((M_BOM[Part Name]=$A41)*M_BOM[RM_Qty_Per_Batch]*IFERROR(INDEX(PP_Grid[#Data],M_BOM[PPGridRow],29),0))+IFERROR(INDEX(M_RawMaterials[固定週次消費量_要入力],MATCH($A41,M_RawMaterials[Part Name],0)),0)</f>
        <v/>
      </c>
      <c r="AD41">
        <f>SUMPRODUCT((M_BOM[Part Name]=$A41)*M_BOM[RM_Qty_Per_Batch]*IFERROR(INDEX(PP_Grid[#Data],M_BOM[PPGridRow],30),0))+IFERROR(INDEX(M_RawMaterials[固定週次消費量_要入力],MATCH($A41,M_RawMaterials[Part Name],0)),0)</f>
        <v/>
      </c>
      <c r="AE41">
        <f>SUMPRODUCT((M_BOM[Part Name]=$A41)*M_BOM[RM_Qty_Per_Batch]*IFERROR(INDEX(PP_Grid[#Data],M_BOM[PPGridRow],31),0))+IFERROR(INDEX(M_RawMaterials[固定週次消費量_要入力],MATCH($A41,M_RawMaterials[Part Name],0)),0)</f>
        <v/>
      </c>
      <c r="AF41">
        <f>SUMPRODUCT((M_BOM[Part Name]=$A41)*M_BOM[RM_Qty_Per_Batch]*IFERROR(INDEX(PP_Grid[#Data],M_BOM[PPGridRow],32),0))+IFERROR(INDEX(M_RawMaterials[固定週次消費量_要入力],MATCH($A41,M_RawMaterials[Part Name],0)),0)</f>
        <v/>
      </c>
      <c r="AG41">
        <f>SUMPRODUCT((M_BOM[Part Name]=$A41)*M_BOM[RM_Qty_Per_Batch]*IFERROR(INDEX(PP_Grid[#Data],M_BOM[PPGridRow],33),0))+IFERROR(INDEX(M_RawMaterials[固定週次消費量_要入力],MATCH($A41,M_RawMaterials[Part Name],0)),0)</f>
        <v/>
      </c>
      <c r="AH41">
        <f>SUMPRODUCT((M_BOM[Part Name]=$A41)*M_BOM[RM_Qty_Per_Batch]*IFERROR(INDEX(PP_Grid[#Data],M_BOM[PPGridRow],34),0))+IFERROR(INDEX(M_RawMaterials[固定週次消費量_要入力],MATCH($A41,M_RawMaterials[Part Name],0)),0)</f>
        <v/>
      </c>
      <c r="AI41">
        <f>SUMPRODUCT((M_BOM[Part Name]=$A41)*M_BOM[RM_Qty_Per_Batch]*IFERROR(INDEX(PP_Grid[#Data],M_BOM[PPGridRow],35),0))+IFERROR(INDEX(M_RawMaterials[固定週次消費量_要入力],MATCH($A41,M_RawMaterials[Part Name],0)),0)</f>
        <v/>
      </c>
      <c r="AJ41">
        <f>SUMPRODUCT((M_BOM[Part Name]=$A41)*M_BOM[RM_Qty_Per_Batch]*IFERROR(INDEX(PP_Grid[#Data],M_BOM[PPGridRow],36),0))+IFERROR(INDEX(M_RawMaterials[固定週次消費量_要入力],MATCH($A41,M_RawMaterials[Part Name],0)),0)</f>
        <v/>
      </c>
      <c r="AK41">
        <f>SUMPRODUCT((M_BOM[Part Name]=$A41)*M_BOM[RM_Qty_Per_Batch]*IFERROR(INDEX(PP_Grid[#Data],M_BOM[PPGridRow],37),0))+IFERROR(INDEX(M_RawMaterials[固定週次消費量_要入力],MATCH($A41,M_RawMaterials[Part Name],0)),0)</f>
        <v/>
      </c>
      <c r="AL41">
        <f>SUMPRODUCT((M_BOM[Part Name]=$A41)*M_BOM[RM_Qty_Per_Batch]*IFERROR(INDEX(PP_Grid[#Data],M_BOM[PPGridRow],38),0))+IFERROR(INDEX(M_RawMaterials[固定週次消費量_要入力],MATCH($A41,M_RawMaterials[Part Name],0)),0)</f>
        <v/>
      </c>
      <c r="AM41">
        <f>SUMPRODUCT((M_BOM[Part Name]=$A41)*M_BOM[RM_Qty_Per_Batch]*IFERROR(INDEX(PP_Grid[#Data],M_BOM[PPGridRow],39),0))+IFERROR(INDEX(M_RawMaterials[固定週次消費量_要入力],MATCH($A41,M_RawMaterials[Part Name],0)),0)</f>
        <v/>
      </c>
      <c r="AN41">
        <f>SUMPRODUCT((M_BOM[Part Name]=$A41)*M_BOM[RM_Qty_Per_Batch]*IFERROR(INDEX(PP_Grid[#Data],M_BOM[PPGridRow],40),0))+IFERROR(INDEX(M_RawMaterials[固定週次消費量_要入力],MATCH($A41,M_RawMaterials[Part Name],0)),0)</f>
        <v/>
      </c>
      <c r="AO41">
        <f>SUMPRODUCT((M_BOM[Part Name]=$A41)*M_BOM[RM_Qty_Per_Batch]*IFERROR(INDEX(PP_Grid[#Data],M_BOM[PPGridRow],41),0))+IFERROR(INDEX(M_RawMaterials[固定週次消費量_要入力],MATCH($A41,M_RawMaterials[Part Name],0)),0)</f>
        <v/>
      </c>
      <c r="AP41">
        <f>SUMPRODUCT((M_BOM[Part Name]=$A41)*M_BOM[RM_Qty_Per_Batch]*IFERROR(INDEX(PP_Grid[#Data],M_BOM[PPGridRow],42),0))+IFERROR(INDEX(M_RawMaterials[固定週次消費量_要入力],MATCH($A41,M_RawMaterials[Part Name],0)),0)</f>
        <v/>
      </c>
      <c r="AQ41">
        <f>SUMPRODUCT((M_BOM[Part Name]=$A41)*M_BOM[RM_Qty_Per_Batch]*IFERROR(INDEX(PP_Grid[#Data],M_BOM[PPGridRow],43),0))+IFERROR(INDEX(M_RawMaterials[固定週次消費量_要入力],MATCH($A41,M_RawMaterials[Part Name],0)),0)</f>
        <v/>
      </c>
      <c r="AR41">
        <f>SUMPRODUCT((M_BOM[Part Name]=$A41)*M_BOM[RM_Qty_Per_Batch]*IFERROR(INDEX(PP_Grid[#Data],M_BOM[PPGridRow],44),0))+IFERROR(INDEX(M_RawMaterials[固定週次消費量_要入力],MATCH($A41,M_RawMaterials[Part Name],0)),0)</f>
        <v/>
      </c>
      <c r="AS41">
        <f>SUMPRODUCT((M_BOM[Part Name]=$A41)*M_BOM[RM_Qty_Per_Batch]*IFERROR(INDEX(PP_Grid[#Data],M_BOM[PPGridRow],45),0))+IFERROR(INDEX(M_RawMaterials[固定週次消費量_要入力],MATCH($A41,M_RawMaterials[Part Name],0)),0)</f>
        <v/>
      </c>
      <c r="AT41">
        <f>SUMPRODUCT((M_BOM[Part Name]=$A41)*M_BOM[RM_Qty_Per_Batch]*IFERROR(INDEX(PP_Grid[#Data],M_BOM[PPGridRow],46),0))+IFERROR(INDEX(M_RawMaterials[固定週次消費量_要入力],MATCH($A41,M_RawMaterials[Part Name],0)),0)</f>
        <v/>
      </c>
      <c r="AU41">
        <f>SUMPRODUCT((M_BOM[Part Name]=$A41)*M_BOM[RM_Qty_Per_Batch]*IFERROR(INDEX(PP_Grid[#Data],M_BOM[PPGridRow],47),0))+IFERROR(INDEX(M_RawMaterials[固定週次消費量_要入力],MATCH($A41,M_RawMaterials[Part Name],0)),0)</f>
        <v/>
      </c>
      <c r="AV41">
        <f>SUMPRODUCT((M_BOM[Part Name]=$A41)*M_BOM[RM_Qty_Per_Batch]*IFERROR(INDEX(PP_Grid[#Data],M_BOM[PPGridRow],48),0))+IFERROR(INDEX(M_RawMaterials[固定週次消費量_要入力],MATCH($A41,M_RawMaterials[Part Name],0)),0)</f>
        <v/>
      </c>
      <c r="AW41">
        <f>SUMPRODUCT((M_BOM[Part Name]=$A41)*M_BOM[RM_Qty_Per_Batch]*IFERROR(INDEX(PP_Grid[#Data],M_BOM[PPGridRow],49),0))+IFERROR(INDEX(M_RawMaterials[固定週次消費量_要入力],MATCH($A41,M_RawMaterials[Part Name],0)),0)</f>
        <v/>
      </c>
      <c r="AX41">
        <f>SUMPRODUCT((M_BOM[Part Name]=$A41)*M_BOM[RM_Qty_Per_Batch]*IFERROR(INDEX(PP_Grid[#Data],M_BOM[PPGridRow],50),0))+IFERROR(INDEX(M_RawMaterials[固定週次消費量_要入力],MATCH($A41,M_RawMaterials[Part Name],0)),0)</f>
        <v/>
      </c>
      <c r="AY41">
        <f>SUMPRODUCT((M_BOM[Part Name]=$A41)*M_BOM[RM_Qty_Per_Batch]*IFERROR(INDEX(PP_Grid[#Data],M_BOM[PPGridRow],51),0))+IFERROR(INDEX(M_RawMaterials[固定週次消費量_要入力],MATCH($A41,M_RawMaterials[Part Name],0)),0)</f>
        <v/>
      </c>
      <c r="AZ41">
        <f>SUMPRODUCT((M_BOM[Part Name]=$A41)*M_BOM[RM_Qty_Per_Batch]*IFERROR(INDEX(PP_Grid[#Data],M_BOM[PPGridRow],52),0))+IFERROR(INDEX(M_RawMaterials[固定週次消費量_要入力],MATCH($A41,M_RawMaterials[Part Name],0)),0)</f>
        <v/>
      </c>
      <c r="BA41">
        <f>SUMPRODUCT((M_BOM[Part Name]=$A41)*M_BOM[RM_Qty_Per_Batch]*IFERROR(INDEX(PP_Grid[#Data],M_BOM[PPGridRow],53),0))+IFERROR(INDEX(M_RawMaterials[固定週次消費量_要入力],MATCH($A41,M_RawMaterials[Part Name],0)),0)</f>
        <v/>
      </c>
      <c r="BB41">
        <f>SUMPRODUCT((M_BOM[Part Name]=$A41)*M_BOM[RM_Qty_Per_Batch]*IFERROR(INDEX(PP_Grid[#Data],M_BOM[PPGridRow],54),0))+IFERROR(INDEX(M_RawMaterials[固定週次消費量_要入力],MATCH($A41,M_RawMaterials[Part Name],0)),0)</f>
        <v/>
      </c>
      <c r="BC41">
        <f>SUMPRODUCT((M_BOM[Part Name]=$A41)*M_BOM[RM_Qty_Per_Batch]*IFERROR(INDEX(PP_Grid[#Data],M_BOM[PPGridRow],55),0))+IFERROR(INDEX(M_RawMaterials[固定週次消費量_要入力],MATCH($A41,M_RawMaterials[Part Name],0)),0)</f>
        <v/>
      </c>
      <c r="BD41">
        <f>SUMPRODUCT((M_BOM[Part Name]=$A41)*M_BOM[RM_Qty_Per_Batch]*IFERROR(INDEX(PP_Grid[#Data],M_BOM[PPGridRow],56),0))+IFERROR(INDEX(M_RawMaterials[固定週次消費量_要入力],MATCH($A41,M_RawMaterials[Part Name],0)),0)</f>
        <v/>
      </c>
      <c r="BE41">
        <f>SUMPRODUCT((M_BOM[Part Name]=$A41)*M_BOM[RM_Qty_Per_Batch]*IFERROR(INDEX(PP_Grid[#Data],M_BOM[PPGridRow],57),0))+IFERROR(INDEX(M_RawMaterials[固定週次消費量_要入力],MATCH($A41,M_RawMaterials[Part Name],0)),0)</f>
        <v/>
      </c>
      <c r="BF41">
        <f>SUMPRODUCT((M_BOM[Part Name]=$A41)*M_BOM[RM_Qty_Per_Batch]*IFERROR(INDEX(PP_Grid[#Data],M_BOM[PPGridRow],58),0))+IFERROR(INDEX(M_RawMaterials[固定週次消費量_要入力],MATCH($A41,M_RawMaterials[Part Name],0)),0)</f>
        <v/>
      </c>
      <c r="BG41">
        <f>SUMPRODUCT((M_BOM[Part Name]=$A41)*M_BOM[RM_Qty_Per_Batch]*IFERROR(INDEX(PP_Grid[#Data],M_BOM[PPGridRow],59),0))+IFERROR(INDEX(M_RawMaterials[固定週次消費量_要入力],MATCH($A41,M_RawMaterials[Part Name],0)),0)</f>
        <v/>
      </c>
      <c r="BH41">
        <f>SUMPRODUCT((M_BOM[Part Name]=$A41)*M_BOM[RM_Qty_Per_Batch]*IFERROR(INDEX(PP_Grid[#Data],M_BOM[PPGridRow],60),0))+IFERROR(INDEX(M_RawMaterials[固定週次消費量_要入力],MATCH($A41,M_RawMaterials[Part Name],0)),0)</f>
        <v/>
      </c>
      <c r="BI41">
        <f>SUMPRODUCT((M_BOM[Part Name]=$A41)*M_BOM[RM_Qty_Per_Batch]*IFERROR(INDEX(PP_Grid[#Data],M_BOM[PPGridRow],61),0))+IFERROR(INDEX(M_RawMaterials[固定週次消費量_要入力],MATCH($A41,M_RawMaterials[Part Name],0)),0)</f>
        <v/>
      </c>
      <c r="BJ41">
        <f>SUMPRODUCT((M_BOM[Part Name]=$A41)*M_BOM[RM_Qty_Per_Batch]*IFERROR(INDEX(PP_Grid[#Data],M_BOM[PPGridRow],62),0))+IFERROR(INDEX(M_RawMaterials[固定週次消費量_要入力],MATCH($A41,M_RawMaterials[Part Name],0)),0)</f>
        <v/>
      </c>
      <c r="BK41">
        <f>SUMPRODUCT((M_BOM[Part Name]=$A41)*M_BOM[RM_Qty_Per_Batch]*IFERROR(INDEX(PP_Grid[#Data],M_BOM[PPGridRow],63),0))+IFERROR(INDEX(M_RawMaterials[固定週次消費量_要入力],MATCH($A41,M_RawMaterials[Part Name],0)),0)</f>
        <v/>
      </c>
      <c r="BL41">
        <f>SUMPRODUCT((M_BOM[Part Name]=$A41)*M_BOM[RM_Qty_Per_Batch]*IFERROR(INDEX(PP_Grid[#Data],M_BOM[PPGridRow],64),0))+IFERROR(INDEX(M_RawMaterials[固定週次消費量_要入力],MATCH($A41,M_RawMaterials[Part Name],0)),0)</f>
        <v/>
      </c>
      <c r="BM41">
        <f>SUMPRODUCT((M_BOM[Part Name]=$A41)*M_BOM[RM_Qty_Per_Batch]*IFERROR(INDEX(PP_Grid[#Data],M_BOM[PPGridRow],65),0))+IFERROR(INDEX(M_RawMaterials[固定週次消費量_要入力],MATCH($A41,M_RawMaterials[Part Name],0)),0)</f>
        <v/>
      </c>
      <c r="BN41">
        <f>SUMPRODUCT((M_BOM[Part Name]=$A41)*M_BOM[RM_Qty_Per_Batch]*IFERROR(INDEX(PP_Grid[#Data],M_BOM[PPGridRow],66),0))+IFERROR(INDEX(M_RawMaterials[固定週次消費量_要入力],MATCH($A41,M_RawMaterials[Part Name],0)),0)</f>
        <v/>
      </c>
      <c r="BO41">
        <f>SUMPRODUCT((M_BOM[Part Name]=$A41)*M_BOM[RM_Qty_Per_Batch]*IFERROR(INDEX(PP_Grid[#Data],M_BOM[PPGridRow],67),0))+IFERROR(INDEX(M_RawMaterials[固定週次消費量_要入力],MATCH($A41,M_RawMaterials[Part Name],0)),0)</f>
        <v/>
      </c>
      <c r="BP41">
        <f>SUMPRODUCT((M_BOM[Part Name]=$A41)*M_BOM[RM_Qty_Per_Batch]*IFERROR(INDEX(PP_Grid[#Data],M_BOM[PPGridRow],68),0))+IFERROR(INDEX(M_RawMaterials[固定週次消費量_要入力],MATCH($A41,M_RawMaterials[Part Name],0)),0)</f>
        <v/>
      </c>
      <c r="BQ41">
        <f>SUMPRODUCT((M_BOM[Part Name]=$A41)*M_BOM[RM_Qty_Per_Batch]*IFERROR(INDEX(PP_Grid[#Data],M_BOM[PPGridRow],69),0))+IFERROR(INDEX(M_RawMaterials[固定週次消費量_要入力],MATCH($A41,M_RawMaterials[Part Name],0)),0)</f>
        <v/>
      </c>
      <c r="BR41">
        <f>SUMPRODUCT((M_BOM[Part Name]=$A41)*M_BOM[RM_Qty_Per_Batch]*IFERROR(INDEX(PP_Grid[#Data],M_BOM[PPGridRow],70),0))+IFERROR(INDEX(M_RawMaterials[固定週次消費量_要入力],MATCH($A41,M_RawMaterials[Part Name],0)),0)</f>
        <v/>
      </c>
      <c r="BS41">
        <f>SUMPRODUCT((M_BOM[Part Name]=$A41)*M_BOM[RM_Qty_Per_Batch]*IFERROR(INDEX(PP_Grid[#Data],M_BOM[PPGridRow],71),0))+IFERROR(INDEX(M_RawMaterials[固定週次消費量_要入力],MATCH($A41,M_RawMaterials[Part Name],0)),0)</f>
        <v/>
      </c>
      <c r="BT41">
        <f>SUMPRODUCT((M_BOM[Part Name]=$A41)*M_BOM[RM_Qty_Per_Batch]*IFERROR(INDEX(PP_Grid[#Data],M_BOM[PPGridRow],72),0))+IFERROR(INDEX(M_RawMaterials[固定週次消費量_要入力],MATCH($A41,M_RawMaterials[Part Name],0)),0)</f>
        <v/>
      </c>
      <c r="BU41">
        <f>SUMPRODUCT((M_BOM[Part Name]=$A41)*M_BOM[RM_Qty_Per_Batch]*IFERROR(INDEX(PP_Grid[#Data],M_BOM[PPGridRow],73),0))+IFERROR(INDEX(M_RawMaterials[固定週次消費量_要入力],MATCH($A41,M_RawMaterials[Part Name],0)),0)</f>
        <v/>
      </c>
      <c r="BV41">
        <f>SUMPRODUCT((M_BOM[Part Name]=$A41)*M_BOM[RM_Qty_Per_Batch]*IFERROR(INDEX(PP_Grid[#Data],M_BOM[PPGridRow],74),0))+IFERROR(INDEX(M_RawMaterials[固定週次消費量_要入力],MATCH($A41,M_RawMaterials[Part Name],0)),0)</f>
        <v/>
      </c>
      <c r="BW41">
        <f>SUMPRODUCT((M_BOM[Part Name]=$A41)*M_BOM[RM_Qty_Per_Batch]*IFERROR(INDEX(PP_Grid[#Data],M_BOM[PPGridRow],75),0))+IFERROR(INDEX(M_RawMaterials[固定週次消費量_要入力],MATCH($A41,M_RawMaterials[Part Name],0)),0)</f>
        <v/>
      </c>
      <c r="BX41">
        <f>SUMPRODUCT((M_BOM[Part Name]=$A41)*M_BOM[RM_Qty_Per_Batch]*IFERROR(INDEX(PP_Grid[#Data],M_BOM[PPGridRow],76),0))+IFERROR(INDEX(M_RawMaterials[固定週次消費量_要入力],MATCH($A41,M_RawMaterials[Part Name],0)),0)</f>
        <v/>
      </c>
      <c r="BY41">
        <f>SUMPRODUCT((M_BOM[Part Name]=$A41)*M_BOM[RM_Qty_Per_Batch]*IFERROR(INDEX(PP_Grid[#Data],M_BOM[PPGridRow],77),0))+IFERROR(INDEX(M_RawMaterials[固定週次消費量_要入力],MATCH($A41,M_RawMaterials[Part Name],0)),0)</f>
        <v/>
      </c>
      <c r="BZ41">
        <f>SUMPRODUCT((M_BOM[Part Name]=$A41)*M_BOM[RM_Qty_Per_Batch]*IFERROR(INDEX(PP_Grid[#Data],M_BOM[PPGridRow],78),0))+IFERROR(INDEX(M_RawMaterials[固定週次消費量_要入力],MATCH($A41,M_RawMaterials[Part Name],0)),0)</f>
        <v/>
      </c>
      <c r="CA41">
        <f>SUMPRODUCT((M_BOM[Part Name]=$A41)*M_BOM[RM_Qty_Per_Batch]*IFERROR(INDEX(PP_Grid[#Data],M_BOM[PPGridRow],79),0))+IFERROR(INDEX(M_RawMaterials[固定週次消費量_要入力],MATCH($A41,M_RawMaterials[Part Name],0)),0)</f>
        <v/>
      </c>
      <c r="CB41">
        <f>SUMPRODUCT((M_BOM[Part Name]=$A41)*M_BOM[RM_Qty_Per_Batch]*IFERROR(INDEX(PP_Grid[#Data],M_BOM[PPGridRow],80),0))+IFERROR(INDEX(M_RawMaterials[固定週次消費量_要入力],MATCH($A41,M_RawMaterials[Part Name],0)),0)</f>
        <v/>
      </c>
      <c r="CC41">
        <f>SUMPRODUCT((M_BOM[Part Name]=$A41)*M_BOM[RM_Qty_Per_Batch]*IFERROR(INDEX(PP_Grid[#Data],M_BOM[PPGridRow],81),0))+IFERROR(INDEX(M_RawMaterials[固定週次消費量_要入力],MATCH($A41,M_RawMaterials[Part Name],0)),0)</f>
        <v/>
      </c>
      <c r="CD41">
        <f>SUMPRODUCT((M_BOM[Part Name]=$A41)*M_BOM[RM_Qty_Per_Batch]*IFERROR(INDEX(PP_Grid[#Data],M_BOM[PPGridRow],82),0))+IFERROR(INDEX(M_RawMaterials[固定週次消費量_要入力],MATCH($A41,M_RawMaterials[Part Name],0)),0)</f>
        <v/>
      </c>
      <c r="CE41">
        <f>SUMPRODUCT((M_BOM[Part Name]=$A41)*M_BOM[RM_Qty_Per_Batch]*IFERROR(INDEX(PP_Grid[#Data],M_BOM[PPGridRow],83),0))+IFERROR(INDEX(M_RawMaterials[固定週次消費量_要入力],MATCH($A41,M_RawMaterials[Part Name],0)),0)</f>
        <v/>
      </c>
      <c r="CF41">
        <f>SUMPRODUCT((M_BOM[Part Name]=$A41)*M_BOM[RM_Qty_Per_Batch]*IFERROR(INDEX(PP_Grid[#Data],M_BOM[PPGridRow],84),0))+IFERROR(INDEX(M_RawMaterials[固定週次消費量_要入力],MATCH($A41,M_RawMaterials[Part Name],0)),0)</f>
        <v/>
      </c>
      <c r="CG41">
        <f>SUMPRODUCT((M_BOM[Part Name]=$A41)*M_BOM[RM_Qty_Per_Batch]*IFERROR(INDEX(PP_Grid[#Data],M_BOM[PPGridRow],85),0))+IFERROR(INDEX(M_RawMaterials[固定週次消費量_要入力],MATCH($A41,M_RawMaterials[Part Name],0)),0)</f>
        <v/>
      </c>
      <c r="CH41">
        <f>SUMPRODUCT((M_BOM[Part Name]=$A41)*M_BOM[RM_Qty_Per_Batch]*IFERROR(INDEX(PP_Grid[#Data],M_BOM[PPGridRow],86),0))+IFERROR(INDEX(M_RawMaterials[固定週次消費量_要入力],MATCH($A41,M_RawMaterials[Part Name],0)),0)</f>
        <v/>
      </c>
      <c r="CI41">
        <f>SUMPRODUCT((M_BOM[Part Name]=$A41)*M_BOM[RM_Qty_Per_Batch]*IFERROR(INDEX(PP_Grid[#Data],M_BOM[PPGridRow],87),0))+IFERROR(INDEX(M_RawMaterials[固定週次消費量_要入力],MATCH($A41,M_RawMaterials[Part Name],0)),0)</f>
        <v/>
      </c>
      <c r="CJ41">
        <f>SUMPRODUCT((M_BOM[Part Name]=$A41)*M_BOM[RM_Qty_Per_Batch]*IFERROR(INDEX(PP_Grid[#Data],M_BOM[PPGridRow],88),0))+IFERROR(INDEX(M_RawMaterials[固定週次消費量_要入力],MATCH($A41,M_RawMaterials[Part Name],0)),0)</f>
        <v/>
      </c>
      <c r="CK41">
        <f>SUMPRODUCT((M_BOM[Part Name]=$A41)*M_BOM[RM_Qty_Per_Batch]*IFERROR(INDEX(PP_Grid[#Data],M_BOM[PPGridRow],89),0))+IFERROR(INDEX(M_RawMaterials[固定週次消費量_要入力],MATCH($A41,M_RawMaterials[Part Name],0)),0)</f>
        <v/>
      </c>
      <c r="CL41">
        <f>SUMPRODUCT((M_BOM[Part Name]=$A41)*M_BOM[RM_Qty_Per_Batch]*IFERROR(INDEX(PP_Grid[#Data],M_BOM[PPGridRow],90),0))+IFERROR(INDEX(M_RawMaterials[固定週次消費量_要入力],MATCH($A41,M_RawMaterials[Part Name],0)),0)</f>
        <v/>
      </c>
      <c r="CM41">
        <f>SUMPRODUCT((M_BOM[Part Name]=$A41)*M_BOM[RM_Qty_Per_Batch]*IFERROR(INDEX(PP_Grid[#Data],M_BOM[PPGridRow],91),0))+IFERROR(INDEX(M_RawMaterials[固定週次消費量_要入力],MATCH($A41,M_RawMaterials[Part Name],0)),0)</f>
        <v/>
      </c>
      <c r="CN41">
        <f>SUMPRODUCT((M_BOM[Part Name]=$A41)*M_BOM[RM_Qty_Per_Batch]*IFERROR(INDEX(PP_Grid[#Data],M_BOM[PPGridRow],92),0))+IFERROR(INDEX(M_RawMaterials[固定週次消費量_要入力],MATCH($A41,M_RawMaterials[Part Name],0)),0)</f>
        <v/>
      </c>
      <c r="CO41">
        <f>SUMPRODUCT((M_BOM[Part Name]=$A41)*M_BOM[RM_Qty_Per_Batch]*IFERROR(INDEX(PP_Grid[#Data],M_BOM[PPGridRow],93),0))+IFERROR(INDEX(M_RawMaterials[固定週次消費量_要入力],MATCH($A41,M_RawMaterials[Part Name],0)),0)</f>
        <v/>
      </c>
      <c r="CP41">
        <f>SUMPRODUCT((M_BOM[Part Name]=$A41)*M_BOM[RM_Qty_Per_Batch]*IFERROR(INDEX(PP_Grid[#Data],M_BOM[PPGridRow],94),0))+IFERROR(INDEX(M_RawMaterials[固定週次消費量_要入力],MATCH($A41,M_RawMaterials[Part Name],0)),0)</f>
        <v/>
      </c>
      <c r="CQ41">
        <f>SUMPRODUCT((M_BOM[Part Name]=$A41)*M_BOM[RM_Qty_Per_Batch]*IFERROR(INDEX(PP_Grid[#Data],M_BOM[PPGridRow],95),0))+IFERROR(INDEX(M_RawMaterials[固定週次消費量_要入力],MATCH($A41,M_RawMaterials[Part Name],0)),0)</f>
        <v/>
      </c>
      <c r="CR41">
        <f>SUMPRODUCT((M_BOM[Part Name]=$A41)*M_BOM[RM_Qty_Per_Batch]*IFERROR(INDEX(PP_Grid[#Data],M_BOM[PPGridRow],96),0))+IFERROR(INDEX(M_RawMaterials[固定週次消費量_要入力],MATCH($A41,M_RawMaterials[Part Name],0)),0)</f>
        <v/>
      </c>
      <c r="CS41">
        <f>SUMPRODUCT((M_BOM[Part Name]=$A41)*M_BOM[RM_Qty_Per_Batch]*IFERROR(INDEX(PP_Grid[#Data],M_BOM[PPGridRow],97),0))+IFERROR(INDEX(M_RawMaterials[固定週次消費量_要入力],MATCH($A41,M_RawMaterials[Part Name],0)),0)</f>
        <v/>
      </c>
      <c r="CT41">
        <f>SUMPRODUCT((M_BOM[Part Name]=$A41)*M_BOM[RM_Qty_Per_Batch]*IFERROR(INDEX(PP_Grid[#Data],M_BOM[PPGridRow],98),0))+IFERROR(INDEX(M_RawMaterials[固定週次消費量_要入力],MATCH($A41,M_RawMaterials[Part Name],0)),0)</f>
        <v/>
      </c>
      <c r="CU41">
        <f>SUMPRODUCT((M_BOM[Part Name]=$A41)*M_BOM[RM_Qty_Per_Batch]*IFERROR(INDEX(PP_Grid[#Data],M_BOM[PPGridRow],99),0))+IFERROR(INDEX(M_RawMaterials[固定週次消費量_要入力],MATCH($A41,M_RawMaterials[Part Name],0)),0)</f>
        <v/>
      </c>
      <c r="CV41">
        <f>SUMPRODUCT((M_BOM[Part Name]=$A41)*M_BOM[RM_Qty_Per_Batch]*IFERROR(INDEX(PP_Grid[#Data],M_BOM[PPGridRow],100),0))+IFERROR(INDEX(M_RawMaterials[固定週次消費量_要入力],MATCH($A41,M_RawMaterials[Part Name],0)),0)</f>
        <v/>
      </c>
      <c r="CW41">
        <f>SUMPRODUCT((M_BOM[Part Name]=$A41)*M_BOM[RM_Qty_Per_Batch]*IFERROR(INDEX(PP_Grid[#Data],M_BOM[PPGridRow],101),0))+IFERROR(INDEX(M_RawMaterials[固定週次消費量_要入力],MATCH($A41,M_RawMaterials[Part Name],0)),0)</f>
        <v/>
      </c>
      <c r="CX41">
        <f>SUMPRODUCT((M_BOM[Part Name]=$A41)*M_BOM[RM_Qty_Per_Batch]*IFERROR(INDEX(PP_Grid[#Data],M_BOM[PPGridRow],102),0))+IFERROR(INDEX(M_RawMaterials[固定週次消費量_要入力],MATCH($A41,M_RawMaterials[Part Name],0)),0)</f>
        <v/>
      </c>
      <c r="CY41">
        <f>SUMPRODUCT((M_BOM[Part Name]=$A41)*M_BOM[RM_Qty_Per_Batch]*IFERROR(INDEX(PP_Grid[#Data],M_BOM[PPGridRow],103),0))+IFERROR(INDEX(M_RawMaterials[固定週次消費量_要入力],MATCH($A41,M_RawMaterials[Part Name],0)),0)</f>
        <v/>
      </c>
      <c r="CZ41">
        <f>SUMPRODUCT((M_BOM[Part Name]=$A41)*M_BOM[RM_Qty_Per_Batch]*IFERROR(INDEX(PP_Grid[#Data],M_BOM[PPGridRow],104),0))+IFERROR(INDEX(M_RawMaterials[固定週次消費量_要入力],MATCH($A41,M_RawMaterials[Part Name],0)),0)</f>
        <v/>
      </c>
      <c r="DA41">
        <f>SUMPRODUCT((M_BOM[Part Name]=$A41)*M_BOM[RM_Qty_Per_Batch]*IFERROR(INDEX(PP_Grid[#Data],M_BOM[PPGridRow],105),0))+IFERROR(INDEX(M_RawMaterials[固定週次消費量_要入力],MATCH($A41,M_RawMaterials[Part Name],0)),0)</f>
        <v/>
      </c>
    </row>
    <row r="42">
      <c r="A42" t="inlineStr">
        <is>
          <t>CHEM-1730</t>
        </is>
      </c>
      <c r="B42">
        <f>SUMPRODUCT((M_BOM[Part Name]=$A42)*M_BOM[RM_Qty_Per_Batch]*IFERROR(INDEX(PP_Grid[#Data],M_BOM[PPGridRow],2),0))+IFERROR(INDEX(M_RawMaterials[固定週次消費量_要入力],MATCH($A42,M_RawMaterials[Part Name],0)),0)</f>
        <v/>
      </c>
      <c r="C42">
        <f>SUMPRODUCT((M_BOM[Part Name]=$A42)*M_BOM[RM_Qty_Per_Batch]*IFERROR(INDEX(PP_Grid[#Data],M_BOM[PPGridRow],3),0))+IFERROR(INDEX(M_RawMaterials[固定週次消費量_要入力],MATCH($A42,M_RawMaterials[Part Name],0)),0)</f>
        <v/>
      </c>
      <c r="D42">
        <f>SUMPRODUCT((M_BOM[Part Name]=$A42)*M_BOM[RM_Qty_Per_Batch]*IFERROR(INDEX(PP_Grid[#Data],M_BOM[PPGridRow],4),0))+IFERROR(INDEX(M_RawMaterials[固定週次消費量_要入力],MATCH($A42,M_RawMaterials[Part Name],0)),0)</f>
        <v/>
      </c>
      <c r="E42">
        <f>SUMPRODUCT((M_BOM[Part Name]=$A42)*M_BOM[RM_Qty_Per_Batch]*IFERROR(INDEX(PP_Grid[#Data],M_BOM[PPGridRow],5),0))+IFERROR(INDEX(M_RawMaterials[固定週次消費量_要入力],MATCH($A42,M_RawMaterials[Part Name],0)),0)</f>
        <v/>
      </c>
      <c r="F42">
        <f>SUMPRODUCT((M_BOM[Part Name]=$A42)*M_BOM[RM_Qty_Per_Batch]*IFERROR(INDEX(PP_Grid[#Data],M_BOM[PPGridRow],6),0))+IFERROR(INDEX(M_RawMaterials[固定週次消費量_要入力],MATCH($A42,M_RawMaterials[Part Name],0)),0)</f>
        <v/>
      </c>
      <c r="G42">
        <f>SUMPRODUCT((M_BOM[Part Name]=$A42)*M_BOM[RM_Qty_Per_Batch]*IFERROR(INDEX(PP_Grid[#Data],M_BOM[PPGridRow],7),0))+IFERROR(INDEX(M_RawMaterials[固定週次消費量_要入力],MATCH($A42,M_RawMaterials[Part Name],0)),0)</f>
        <v/>
      </c>
      <c r="H42">
        <f>SUMPRODUCT((M_BOM[Part Name]=$A42)*M_BOM[RM_Qty_Per_Batch]*IFERROR(INDEX(PP_Grid[#Data],M_BOM[PPGridRow],8),0))+IFERROR(INDEX(M_RawMaterials[固定週次消費量_要入力],MATCH($A42,M_RawMaterials[Part Name],0)),0)</f>
        <v/>
      </c>
      <c r="I42">
        <f>SUMPRODUCT((M_BOM[Part Name]=$A42)*M_BOM[RM_Qty_Per_Batch]*IFERROR(INDEX(PP_Grid[#Data],M_BOM[PPGridRow],9),0))+IFERROR(INDEX(M_RawMaterials[固定週次消費量_要入力],MATCH($A42,M_RawMaterials[Part Name],0)),0)</f>
        <v/>
      </c>
      <c r="J42">
        <f>SUMPRODUCT((M_BOM[Part Name]=$A42)*M_BOM[RM_Qty_Per_Batch]*IFERROR(INDEX(PP_Grid[#Data],M_BOM[PPGridRow],10),0))+IFERROR(INDEX(M_RawMaterials[固定週次消費量_要入力],MATCH($A42,M_RawMaterials[Part Name],0)),0)</f>
        <v/>
      </c>
      <c r="K42">
        <f>SUMPRODUCT((M_BOM[Part Name]=$A42)*M_BOM[RM_Qty_Per_Batch]*IFERROR(INDEX(PP_Grid[#Data],M_BOM[PPGridRow],11),0))+IFERROR(INDEX(M_RawMaterials[固定週次消費量_要入力],MATCH($A42,M_RawMaterials[Part Name],0)),0)</f>
        <v/>
      </c>
      <c r="L42">
        <f>SUMPRODUCT((M_BOM[Part Name]=$A42)*M_BOM[RM_Qty_Per_Batch]*IFERROR(INDEX(PP_Grid[#Data],M_BOM[PPGridRow],12),0))+IFERROR(INDEX(M_RawMaterials[固定週次消費量_要入力],MATCH($A42,M_RawMaterials[Part Name],0)),0)</f>
        <v/>
      </c>
      <c r="M42">
        <f>SUMPRODUCT((M_BOM[Part Name]=$A42)*M_BOM[RM_Qty_Per_Batch]*IFERROR(INDEX(PP_Grid[#Data],M_BOM[PPGridRow],13),0))+IFERROR(INDEX(M_RawMaterials[固定週次消費量_要入力],MATCH($A42,M_RawMaterials[Part Name],0)),0)</f>
        <v/>
      </c>
      <c r="N42">
        <f>SUMPRODUCT((M_BOM[Part Name]=$A42)*M_BOM[RM_Qty_Per_Batch]*IFERROR(INDEX(PP_Grid[#Data],M_BOM[PPGridRow],14),0))+IFERROR(INDEX(M_RawMaterials[固定週次消費量_要入力],MATCH($A42,M_RawMaterials[Part Name],0)),0)</f>
        <v/>
      </c>
      <c r="O42">
        <f>SUMPRODUCT((M_BOM[Part Name]=$A42)*M_BOM[RM_Qty_Per_Batch]*IFERROR(INDEX(PP_Grid[#Data],M_BOM[PPGridRow],15),0))+IFERROR(INDEX(M_RawMaterials[固定週次消費量_要入力],MATCH($A42,M_RawMaterials[Part Name],0)),0)</f>
        <v/>
      </c>
      <c r="P42">
        <f>SUMPRODUCT((M_BOM[Part Name]=$A42)*M_BOM[RM_Qty_Per_Batch]*IFERROR(INDEX(PP_Grid[#Data],M_BOM[PPGridRow],16),0))+IFERROR(INDEX(M_RawMaterials[固定週次消費量_要入力],MATCH($A42,M_RawMaterials[Part Name],0)),0)</f>
        <v/>
      </c>
      <c r="Q42">
        <f>SUMPRODUCT((M_BOM[Part Name]=$A42)*M_BOM[RM_Qty_Per_Batch]*IFERROR(INDEX(PP_Grid[#Data],M_BOM[PPGridRow],17),0))+IFERROR(INDEX(M_RawMaterials[固定週次消費量_要入力],MATCH($A42,M_RawMaterials[Part Name],0)),0)</f>
        <v/>
      </c>
      <c r="R42">
        <f>SUMPRODUCT((M_BOM[Part Name]=$A42)*M_BOM[RM_Qty_Per_Batch]*IFERROR(INDEX(PP_Grid[#Data],M_BOM[PPGridRow],18),0))+IFERROR(INDEX(M_RawMaterials[固定週次消費量_要入力],MATCH($A42,M_RawMaterials[Part Name],0)),0)</f>
        <v/>
      </c>
      <c r="S42">
        <f>SUMPRODUCT((M_BOM[Part Name]=$A42)*M_BOM[RM_Qty_Per_Batch]*IFERROR(INDEX(PP_Grid[#Data],M_BOM[PPGridRow],19),0))+IFERROR(INDEX(M_RawMaterials[固定週次消費量_要入力],MATCH($A42,M_RawMaterials[Part Name],0)),0)</f>
        <v/>
      </c>
      <c r="T42">
        <f>SUMPRODUCT((M_BOM[Part Name]=$A42)*M_BOM[RM_Qty_Per_Batch]*IFERROR(INDEX(PP_Grid[#Data],M_BOM[PPGridRow],20),0))+IFERROR(INDEX(M_RawMaterials[固定週次消費量_要入力],MATCH($A42,M_RawMaterials[Part Name],0)),0)</f>
        <v/>
      </c>
      <c r="U42">
        <f>SUMPRODUCT((M_BOM[Part Name]=$A42)*M_BOM[RM_Qty_Per_Batch]*IFERROR(INDEX(PP_Grid[#Data],M_BOM[PPGridRow],21),0))+IFERROR(INDEX(M_RawMaterials[固定週次消費量_要入力],MATCH($A42,M_RawMaterials[Part Name],0)),0)</f>
        <v/>
      </c>
      <c r="V42">
        <f>SUMPRODUCT((M_BOM[Part Name]=$A42)*M_BOM[RM_Qty_Per_Batch]*IFERROR(INDEX(PP_Grid[#Data],M_BOM[PPGridRow],22),0))+IFERROR(INDEX(M_RawMaterials[固定週次消費量_要入力],MATCH($A42,M_RawMaterials[Part Name],0)),0)</f>
        <v/>
      </c>
      <c r="W42">
        <f>SUMPRODUCT((M_BOM[Part Name]=$A42)*M_BOM[RM_Qty_Per_Batch]*IFERROR(INDEX(PP_Grid[#Data],M_BOM[PPGridRow],23),0))+IFERROR(INDEX(M_RawMaterials[固定週次消費量_要入力],MATCH($A42,M_RawMaterials[Part Name],0)),0)</f>
        <v/>
      </c>
      <c r="X42">
        <f>SUMPRODUCT((M_BOM[Part Name]=$A42)*M_BOM[RM_Qty_Per_Batch]*IFERROR(INDEX(PP_Grid[#Data],M_BOM[PPGridRow],24),0))+IFERROR(INDEX(M_RawMaterials[固定週次消費量_要入力],MATCH($A42,M_RawMaterials[Part Name],0)),0)</f>
        <v/>
      </c>
      <c r="Y42">
        <f>SUMPRODUCT((M_BOM[Part Name]=$A42)*M_BOM[RM_Qty_Per_Batch]*IFERROR(INDEX(PP_Grid[#Data],M_BOM[PPGridRow],25),0))+IFERROR(INDEX(M_RawMaterials[固定週次消費量_要入力],MATCH($A42,M_RawMaterials[Part Name],0)),0)</f>
        <v/>
      </c>
      <c r="Z42">
        <f>SUMPRODUCT((M_BOM[Part Name]=$A42)*M_BOM[RM_Qty_Per_Batch]*IFERROR(INDEX(PP_Grid[#Data],M_BOM[PPGridRow],26),0))+IFERROR(INDEX(M_RawMaterials[固定週次消費量_要入力],MATCH($A42,M_RawMaterials[Part Name],0)),0)</f>
        <v/>
      </c>
      <c r="AA42">
        <f>SUMPRODUCT((M_BOM[Part Name]=$A42)*M_BOM[RM_Qty_Per_Batch]*IFERROR(INDEX(PP_Grid[#Data],M_BOM[PPGridRow],27),0))+IFERROR(INDEX(M_RawMaterials[固定週次消費量_要入力],MATCH($A42,M_RawMaterials[Part Name],0)),0)</f>
        <v/>
      </c>
      <c r="AB42">
        <f>SUMPRODUCT((M_BOM[Part Name]=$A42)*M_BOM[RM_Qty_Per_Batch]*IFERROR(INDEX(PP_Grid[#Data],M_BOM[PPGridRow],28),0))+IFERROR(INDEX(M_RawMaterials[固定週次消費量_要入力],MATCH($A42,M_RawMaterials[Part Name],0)),0)</f>
        <v/>
      </c>
      <c r="AC42">
        <f>SUMPRODUCT((M_BOM[Part Name]=$A42)*M_BOM[RM_Qty_Per_Batch]*IFERROR(INDEX(PP_Grid[#Data],M_BOM[PPGridRow],29),0))+IFERROR(INDEX(M_RawMaterials[固定週次消費量_要入力],MATCH($A42,M_RawMaterials[Part Name],0)),0)</f>
        <v/>
      </c>
      <c r="AD42">
        <f>SUMPRODUCT((M_BOM[Part Name]=$A42)*M_BOM[RM_Qty_Per_Batch]*IFERROR(INDEX(PP_Grid[#Data],M_BOM[PPGridRow],30),0))+IFERROR(INDEX(M_RawMaterials[固定週次消費量_要入力],MATCH($A42,M_RawMaterials[Part Name],0)),0)</f>
        <v/>
      </c>
      <c r="AE42">
        <f>SUMPRODUCT((M_BOM[Part Name]=$A42)*M_BOM[RM_Qty_Per_Batch]*IFERROR(INDEX(PP_Grid[#Data],M_BOM[PPGridRow],31),0))+IFERROR(INDEX(M_RawMaterials[固定週次消費量_要入力],MATCH($A42,M_RawMaterials[Part Name],0)),0)</f>
        <v/>
      </c>
      <c r="AF42">
        <f>SUMPRODUCT((M_BOM[Part Name]=$A42)*M_BOM[RM_Qty_Per_Batch]*IFERROR(INDEX(PP_Grid[#Data],M_BOM[PPGridRow],32),0))+IFERROR(INDEX(M_RawMaterials[固定週次消費量_要入力],MATCH($A42,M_RawMaterials[Part Name],0)),0)</f>
        <v/>
      </c>
      <c r="AG42">
        <f>SUMPRODUCT((M_BOM[Part Name]=$A42)*M_BOM[RM_Qty_Per_Batch]*IFERROR(INDEX(PP_Grid[#Data],M_BOM[PPGridRow],33),0))+IFERROR(INDEX(M_RawMaterials[固定週次消費量_要入力],MATCH($A42,M_RawMaterials[Part Name],0)),0)</f>
        <v/>
      </c>
      <c r="AH42">
        <f>SUMPRODUCT((M_BOM[Part Name]=$A42)*M_BOM[RM_Qty_Per_Batch]*IFERROR(INDEX(PP_Grid[#Data],M_BOM[PPGridRow],34),0))+IFERROR(INDEX(M_RawMaterials[固定週次消費量_要入力],MATCH($A42,M_RawMaterials[Part Name],0)),0)</f>
        <v/>
      </c>
      <c r="AI42">
        <f>SUMPRODUCT((M_BOM[Part Name]=$A42)*M_BOM[RM_Qty_Per_Batch]*IFERROR(INDEX(PP_Grid[#Data],M_BOM[PPGridRow],35),0))+IFERROR(INDEX(M_RawMaterials[固定週次消費量_要入力],MATCH($A42,M_RawMaterials[Part Name],0)),0)</f>
        <v/>
      </c>
      <c r="AJ42">
        <f>SUMPRODUCT((M_BOM[Part Name]=$A42)*M_BOM[RM_Qty_Per_Batch]*IFERROR(INDEX(PP_Grid[#Data],M_BOM[PPGridRow],36),0))+IFERROR(INDEX(M_RawMaterials[固定週次消費量_要入力],MATCH($A42,M_RawMaterials[Part Name],0)),0)</f>
        <v/>
      </c>
      <c r="AK42">
        <f>SUMPRODUCT((M_BOM[Part Name]=$A42)*M_BOM[RM_Qty_Per_Batch]*IFERROR(INDEX(PP_Grid[#Data],M_BOM[PPGridRow],37),0))+IFERROR(INDEX(M_RawMaterials[固定週次消費量_要入力],MATCH($A42,M_RawMaterials[Part Name],0)),0)</f>
        <v/>
      </c>
      <c r="AL42">
        <f>SUMPRODUCT((M_BOM[Part Name]=$A42)*M_BOM[RM_Qty_Per_Batch]*IFERROR(INDEX(PP_Grid[#Data],M_BOM[PPGridRow],38),0))+IFERROR(INDEX(M_RawMaterials[固定週次消費量_要入力],MATCH($A42,M_RawMaterials[Part Name],0)),0)</f>
        <v/>
      </c>
      <c r="AM42">
        <f>SUMPRODUCT((M_BOM[Part Name]=$A42)*M_BOM[RM_Qty_Per_Batch]*IFERROR(INDEX(PP_Grid[#Data],M_BOM[PPGridRow],39),0))+IFERROR(INDEX(M_RawMaterials[固定週次消費量_要入力],MATCH($A42,M_RawMaterials[Part Name],0)),0)</f>
        <v/>
      </c>
      <c r="AN42">
        <f>SUMPRODUCT((M_BOM[Part Name]=$A42)*M_BOM[RM_Qty_Per_Batch]*IFERROR(INDEX(PP_Grid[#Data],M_BOM[PPGridRow],40),0))+IFERROR(INDEX(M_RawMaterials[固定週次消費量_要入力],MATCH($A42,M_RawMaterials[Part Name],0)),0)</f>
        <v/>
      </c>
      <c r="AO42">
        <f>SUMPRODUCT((M_BOM[Part Name]=$A42)*M_BOM[RM_Qty_Per_Batch]*IFERROR(INDEX(PP_Grid[#Data],M_BOM[PPGridRow],41),0))+IFERROR(INDEX(M_RawMaterials[固定週次消費量_要入力],MATCH($A42,M_RawMaterials[Part Name],0)),0)</f>
        <v/>
      </c>
      <c r="AP42">
        <f>SUMPRODUCT((M_BOM[Part Name]=$A42)*M_BOM[RM_Qty_Per_Batch]*IFERROR(INDEX(PP_Grid[#Data],M_BOM[PPGridRow],42),0))+IFERROR(INDEX(M_RawMaterials[固定週次消費量_要入力],MATCH($A42,M_RawMaterials[Part Name],0)),0)</f>
        <v/>
      </c>
      <c r="AQ42">
        <f>SUMPRODUCT((M_BOM[Part Name]=$A42)*M_BOM[RM_Qty_Per_Batch]*IFERROR(INDEX(PP_Grid[#Data],M_BOM[PPGridRow],43),0))+IFERROR(INDEX(M_RawMaterials[固定週次消費量_要入力],MATCH($A42,M_RawMaterials[Part Name],0)),0)</f>
        <v/>
      </c>
      <c r="AR42">
        <f>SUMPRODUCT((M_BOM[Part Name]=$A42)*M_BOM[RM_Qty_Per_Batch]*IFERROR(INDEX(PP_Grid[#Data],M_BOM[PPGridRow],44),0))+IFERROR(INDEX(M_RawMaterials[固定週次消費量_要入力],MATCH($A42,M_RawMaterials[Part Name],0)),0)</f>
        <v/>
      </c>
      <c r="AS42">
        <f>SUMPRODUCT((M_BOM[Part Name]=$A42)*M_BOM[RM_Qty_Per_Batch]*IFERROR(INDEX(PP_Grid[#Data],M_BOM[PPGridRow],45),0))+IFERROR(INDEX(M_RawMaterials[固定週次消費量_要入力],MATCH($A42,M_RawMaterials[Part Name],0)),0)</f>
        <v/>
      </c>
      <c r="AT42">
        <f>SUMPRODUCT((M_BOM[Part Name]=$A42)*M_BOM[RM_Qty_Per_Batch]*IFERROR(INDEX(PP_Grid[#Data],M_BOM[PPGridRow],46),0))+IFERROR(INDEX(M_RawMaterials[固定週次消費量_要入力],MATCH($A42,M_RawMaterials[Part Name],0)),0)</f>
        <v/>
      </c>
      <c r="AU42">
        <f>SUMPRODUCT((M_BOM[Part Name]=$A42)*M_BOM[RM_Qty_Per_Batch]*IFERROR(INDEX(PP_Grid[#Data],M_BOM[PPGridRow],47),0))+IFERROR(INDEX(M_RawMaterials[固定週次消費量_要入力],MATCH($A42,M_RawMaterials[Part Name],0)),0)</f>
        <v/>
      </c>
      <c r="AV42">
        <f>SUMPRODUCT((M_BOM[Part Name]=$A42)*M_BOM[RM_Qty_Per_Batch]*IFERROR(INDEX(PP_Grid[#Data],M_BOM[PPGridRow],48),0))+IFERROR(INDEX(M_RawMaterials[固定週次消費量_要入力],MATCH($A42,M_RawMaterials[Part Name],0)),0)</f>
        <v/>
      </c>
      <c r="AW42">
        <f>SUMPRODUCT((M_BOM[Part Name]=$A42)*M_BOM[RM_Qty_Per_Batch]*IFERROR(INDEX(PP_Grid[#Data],M_BOM[PPGridRow],49),0))+IFERROR(INDEX(M_RawMaterials[固定週次消費量_要入力],MATCH($A42,M_RawMaterials[Part Name],0)),0)</f>
        <v/>
      </c>
      <c r="AX42">
        <f>SUMPRODUCT((M_BOM[Part Name]=$A42)*M_BOM[RM_Qty_Per_Batch]*IFERROR(INDEX(PP_Grid[#Data],M_BOM[PPGridRow],50),0))+IFERROR(INDEX(M_RawMaterials[固定週次消費量_要入力],MATCH($A42,M_RawMaterials[Part Name],0)),0)</f>
        <v/>
      </c>
      <c r="AY42">
        <f>SUMPRODUCT((M_BOM[Part Name]=$A42)*M_BOM[RM_Qty_Per_Batch]*IFERROR(INDEX(PP_Grid[#Data],M_BOM[PPGridRow],51),0))+IFERROR(INDEX(M_RawMaterials[固定週次消費量_要入力],MATCH($A42,M_RawMaterials[Part Name],0)),0)</f>
        <v/>
      </c>
      <c r="AZ42">
        <f>SUMPRODUCT((M_BOM[Part Name]=$A42)*M_BOM[RM_Qty_Per_Batch]*IFERROR(INDEX(PP_Grid[#Data],M_BOM[PPGridRow],52),0))+IFERROR(INDEX(M_RawMaterials[固定週次消費量_要入力],MATCH($A42,M_RawMaterials[Part Name],0)),0)</f>
        <v/>
      </c>
      <c r="BA42">
        <f>SUMPRODUCT((M_BOM[Part Name]=$A42)*M_BOM[RM_Qty_Per_Batch]*IFERROR(INDEX(PP_Grid[#Data],M_BOM[PPGridRow],53),0))+IFERROR(INDEX(M_RawMaterials[固定週次消費量_要入力],MATCH($A42,M_RawMaterials[Part Name],0)),0)</f>
        <v/>
      </c>
      <c r="BB42">
        <f>SUMPRODUCT((M_BOM[Part Name]=$A42)*M_BOM[RM_Qty_Per_Batch]*IFERROR(INDEX(PP_Grid[#Data],M_BOM[PPGridRow],54),0))+IFERROR(INDEX(M_RawMaterials[固定週次消費量_要入力],MATCH($A42,M_RawMaterials[Part Name],0)),0)</f>
        <v/>
      </c>
      <c r="BC42">
        <f>SUMPRODUCT((M_BOM[Part Name]=$A42)*M_BOM[RM_Qty_Per_Batch]*IFERROR(INDEX(PP_Grid[#Data],M_BOM[PPGridRow],55),0))+IFERROR(INDEX(M_RawMaterials[固定週次消費量_要入力],MATCH($A42,M_RawMaterials[Part Name],0)),0)</f>
        <v/>
      </c>
      <c r="BD42">
        <f>SUMPRODUCT((M_BOM[Part Name]=$A42)*M_BOM[RM_Qty_Per_Batch]*IFERROR(INDEX(PP_Grid[#Data],M_BOM[PPGridRow],56),0))+IFERROR(INDEX(M_RawMaterials[固定週次消費量_要入力],MATCH($A42,M_RawMaterials[Part Name],0)),0)</f>
        <v/>
      </c>
      <c r="BE42">
        <f>SUMPRODUCT((M_BOM[Part Name]=$A42)*M_BOM[RM_Qty_Per_Batch]*IFERROR(INDEX(PP_Grid[#Data],M_BOM[PPGridRow],57),0))+IFERROR(INDEX(M_RawMaterials[固定週次消費量_要入力],MATCH($A42,M_RawMaterials[Part Name],0)),0)</f>
        <v/>
      </c>
      <c r="BF42">
        <f>SUMPRODUCT((M_BOM[Part Name]=$A42)*M_BOM[RM_Qty_Per_Batch]*IFERROR(INDEX(PP_Grid[#Data],M_BOM[PPGridRow],58),0))+IFERROR(INDEX(M_RawMaterials[固定週次消費量_要入力],MATCH($A42,M_RawMaterials[Part Name],0)),0)</f>
        <v/>
      </c>
      <c r="BG42">
        <f>SUMPRODUCT((M_BOM[Part Name]=$A42)*M_BOM[RM_Qty_Per_Batch]*IFERROR(INDEX(PP_Grid[#Data],M_BOM[PPGridRow],59),0))+IFERROR(INDEX(M_RawMaterials[固定週次消費量_要入力],MATCH($A42,M_RawMaterials[Part Name],0)),0)</f>
        <v/>
      </c>
      <c r="BH42">
        <f>SUMPRODUCT((M_BOM[Part Name]=$A42)*M_BOM[RM_Qty_Per_Batch]*IFERROR(INDEX(PP_Grid[#Data],M_BOM[PPGridRow],60),0))+IFERROR(INDEX(M_RawMaterials[固定週次消費量_要入力],MATCH($A42,M_RawMaterials[Part Name],0)),0)</f>
        <v/>
      </c>
      <c r="BI42">
        <f>SUMPRODUCT((M_BOM[Part Name]=$A42)*M_BOM[RM_Qty_Per_Batch]*IFERROR(INDEX(PP_Grid[#Data],M_BOM[PPGridRow],61),0))+IFERROR(INDEX(M_RawMaterials[固定週次消費量_要入力],MATCH($A42,M_RawMaterials[Part Name],0)),0)</f>
        <v/>
      </c>
      <c r="BJ42">
        <f>SUMPRODUCT((M_BOM[Part Name]=$A42)*M_BOM[RM_Qty_Per_Batch]*IFERROR(INDEX(PP_Grid[#Data],M_BOM[PPGridRow],62),0))+IFERROR(INDEX(M_RawMaterials[固定週次消費量_要入力],MATCH($A42,M_RawMaterials[Part Name],0)),0)</f>
        <v/>
      </c>
      <c r="BK42">
        <f>SUMPRODUCT((M_BOM[Part Name]=$A42)*M_BOM[RM_Qty_Per_Batch]*IFERROR(INDEX(PP_Grid[#Data],M_BOM[PPGridRow],63),0))+IFERROR(INDEX(M_RawMaterials[固定週次消費量_要入力],MATCH($A42,M_RawMaterials[Part Name],0)),0)</f>
        <v/>
      </c>
      <c r="BL42">
        <f>SUMPRODUCT((M_BOM[Part Name]=$A42)*M_BOM[RM_Qty_Per_Batch]*IFERROR(INDEX(PP_Grid[#Data],M_BOM[PPGridRow],64),0))+IFERROR(INDEX(M_RawMaterials[固定週次消費量_要入力],MATCH($A42,M_RawMaterials[Part Name],0)),0)</f>
        <v/>
      </c>
      <c r="BM42">
        <f>SUMPRODUCT((M_BOM[Part Name]=$A42)*M_BOM[RM_Qty_Per_Batch]*IFERROR(INDEX(PP_Grid[#Data],M_BOM[PPGridRow],65),0))+IFERROR(INDEX(M_RawMaterials[固定週次消費量_要入力],MATCH($A42,M_RawMaterials[Part Name],0)),0)</f>
        <v/>
      </c>
      <c r="BN42">
        <f>SUMPRODUCT((M_BOM[Part Name]=$A42)*M_BOM[RM_Qty_Per_Batch]*IFERROR(INDEX(PP_Grid[#Data],M_BOM[PPGridRow],66),0))+IFERROR(INDEX(M_RawMaterials[固定週次消費量_要入力],MATCH($A42,M_RawMaterials[Part Name],0)),0)</f>
        <v/>
      </c>
      <c r="BO42">
        <f>SUMPRODUCT((M_BOM[Part Name]=$A42)*M_BOM[RM_Qty_Per_Batch]*IFERROR(INDEX(PP_Grid[#Data],M_BOM[PPGridRow],67),0))+IFERROR(INDEX(M_RawMaterials[固定週次消費量_要入力],MATCH($A42,M_RawMaterials[Part Name],0)),0)</f>
        <v/>
      </c>
      <c r="BP42">
        <f>SUMPRODUCT((M_BOM[Part Name]=$A42)*M_BOM[RM_Qty_Per_Batch]*IFERROR(INDEX(PP_Grid[#Data],M_BOM[PPGridRow],68),0))+IFERROR(INDEX(M_RawMaterials[固定週次消費量_要入力],MATCH($A42,M_RawMaterials[Part Name],0)),0)</f>
        <v/>
      </c>
      <c r="BQ42">
        <f>SUMPRODUCT((M_BOM[Part Name]=$A42)*M_BOM[RM_Qty_Per_Batch]*IFERROR(INDEX(PP_Grid[#Data],M_BOM[PPGridRow],69),0))+IFERROR(INDEX(M_RawMaterials[固定週次消費量_要入力],MATCH($A42,M_RawMaterials[Part Name],0)),0)</f>
        <v/>
      </c>
      <c r="BR42">
        <f>SUMPRODUCT((M_BOM[Part Name]=$A42)*M_BOM[RM_Qty_Per_Batch]*IFERROR(INDEX(PP_Grid[#Data],M_BOM[PPGridRow],70),0))+IFERROR(INDEX(M_RawMaterials[固定週次消費量_要入力],MATCH($A42,M_RawMaterials[Part Name],0)),0)</f>
        <v/>
      </c>
      <c r="BS42">
        <f>SUMPRODUCT((M_BOM[Part Name]=$A42)*M_BOM[RM_Qty_Per_Batch]*IFERROR(INDEX(PP_Grid[#Data],M_BOM[PPGridRow],71),0))+IFERROR(INDEX(M_RawMaterials[固定週次消費量_要入力],MATCH($A42,M_RawMaterials[Part Name],0)),0)</f>
        <v/>
      </c>
      <c r="BT42">
        <f>SUMPRODUCT((M_BOM[Part Name]=$A42)*M_BOM[RM_Qty_Per_Batch]*IFERROR(INDEX(PP_Grid[#Data],M_BOM[PPGridRow],72),0))+IFERROR(INDEX(M_RawMaterials[固定週次消費量_要入力],MATCH($A42,M_RawMaterials[Part Name],0)),0)</f>
        <v/>
      </c>
      <c r="BU42">
        <f>SUMPRODUCT((M_BOM[Part Name]=$A42)*M_BOM[RM_Qty_Per_Batch]*IFERROR(INDEX(PP_Grid[#Data],M_BOM[PPGridRow],73),0))+IFERROR(INDEX(M_RawMaterials[固定週次消費量_要入力],MATCH($A42,M_RawMaterials[Part Name],0)),0)</f>
        <v/>
      </c>
      <c r="BV42">
        <f>SUMPRODUCT((M_BOM[Part Name]=$A42)*M_BOM[RM_Qty_Per_Batch]*IFERROR(INDEX(PP_Grid[#Data],M_BOM[PPGridRow],74),0))+IFERROR(INDEX(M_RawMaterials[固定週次消費量_要入力],MATCH($A42,M_RawMaterials[Part Name],0)),0)</f>
        <v/>
      </c>
      <c r="BW42">
        <f>SUMPRODUCT((M_BOM[Part Name]=$A42)*M_BOM[RM_Qty_Per_Batch]*IFERROR(INDEX(PP_Grid[#Data],M_BOM[PPGridRow],75),0))+IFERROR(INDEX(M_RawMaterials[固定週次消費量_要入力],MATCH($A42,M_RawMaterials[Part Name],0)),0)</f>
        <v/>
      </c>
      <c r="BX42">
        <f>SUMPRODUCT((M_BOM[Part Name]=$A42)*M_BOM[RM_Qty_Per_Batch]*IFERROR(INDEX(PP_Grid[#Data],M_BOM[PPGridRow],76),0))+IFERROR(INDEX(M_RawMaterials[固定週次消費量_要入力],MATCH($A42,M_RawMaterials[Part Name],0)),0)</f>
        <v/>
      </c>
      <c r="BY42">
        <f>SUMPRODUCT((M_BOM[Part Name]=$A42)*M_BOM[RM_Qty_Per_Batch]*IFERROR(INDEX(PP_Grid[#Data],M_BOM[PPGridRow],77),0))+IFERROR(INDEX(M_RawMaterials[固定週次消費量_要入力],MATCH($A42,M_RawMaterials[Part Name],0)),0)</f>
        <v/>
      </c>
      <c r="BZ42">
        <f>SUMPRODUCT((M_BOM[Part Name]=$A42)*M_BOM[RM_Qty_Per_Batch]*IFERROR(INDEX(PP_Grid[#Data],M_BOM[PPGridRow],78),0))+IFERROR(INDEX(M_RawMaterials[固定週次消費量_要入力],MATCH($A42,M_RawMaterials[Part Name],0)),0)</f>
        <v/>
      </c>
      <c r="CA42">
        <f>SUMPRODUCT((M_BOM[Part Name]=$A42)*M_BOM[RM_Qty_Per_Batch]*IFERROR(INDEX(PP_Grid[#Data],M_BOM[PPGridRow],79),0))+IFERROR(INDEX(M_RawMaterials[固定週次消費量_要入力],MATCH($A42,M_RawMaterials[Part Name],0)),0)</f>
        <v/>
      </c>
      <c r="CB42">
        <f>SUMPRODUCT((M_BOM[Part Name]=$A42)*M_BOM[RM_Qty_Per_Batch]*IFERROR(INDEX(PP_Grid[#Data],M_BOM[PPGridRow],80),0))+IFERROR(INDEX(M_RawMaterials[固定週次消費量_要入力],MATCH($A42,M_RawMaterials[Part Name],0)),0)</f>
        <v/>
      </c>
      <c r="CC42">
        <f>SUMPRODUCT((M_BOM[Part Name]=$A42)*M_BOM[RM_Qty_Per_Batch]*IFERROR(INDEX(PP_Grid[#Data],M_BOM[PPGridRow],81),0))+IFERROR(INDEX(M_RawMaterials[固定週次消費量_要入力],MATCH($A42,M_RawMaterials[Part Name],0)),0)</f>
        <v/>
      </c>
      <c r="CD42">
        <f>SUMPRODUCT((M_BOM[Part Name]=$A42)*M_BOM[RM_Qty_Per_Batch]*IFERROR(INDEX(PP_Grid[#Data],M_BOM[PPGridRow],82),0))+IFERROR(INDEX(M_RawMaterials[固定週次消費量_要入力],MATCH($A42,M_RawMaterials[Part Name],0)),0)</f>
        <v/>
      </c>
      <c r="CE42">
        <f>SUMPRODUCT((M_BOM[Part Name]=$A42)*M_BOM[RM_Qty_Per_Batch]*IFERROR(INDEX(PP_Grid[#Data],M_BOM[PPGridRow],83),0))+IFERROR(INDEX(M_RawMaterials[固定週次消費量_要入力],MATCH($A42,M_RawMaterials[Part Name],0)),0)</f>
        <v/>
      </c>
      <c r="CF42">
        <f>SUMPRODUCT((M_BOM[Part Name]=$A42)*M_BOM[RM_Qty_Per_Batch]*IFERROR(INDEX(PP_Grid[#Data],M_BOM[PPGridRow],84),0))+IFERROR(INDEX(M_RawMaterials[固定週次消費量_要入力],MATCH($A42,M_RawMaterials[Part Name],0)),0)</f>
        <v/>
      </c>
      <c r="CG42">
        <f>SUMPRODUCT((M_BOM[Part Name]=$A42)*M_BOM[RM_Qty_Per_Batch]*IFERROR(INDEX(PP_Grid[#Data],M_BOM[PPGridRow],85),0))+IFERROR(INDEX(M_RawMaterials[固定週次消費量_要入力],MATCH($A42,M_RawMaterials[Part Name],0)),0)</f>
        <v/>
      </c>
      <c r="CH42">
        <f>SUMPRODUCT((M_BOM[Part Name]=$A42)*M_BOM[RM_Qty_Per_Batch]*IFERROR(INDEX(PP_Grid[#Data],M_BOM[PPGridRow],86),0))+IFERROR(INDEX(M_RawMaterials[固定週次消費量_要入力],MATCH($A42,M_RawMaterials[Part Name],0)),0)</f>
        <v/>
      </c>
      <c r="CI42">
        <f>SUMPRODUCT((M_BOM[Part Name]=$A42)*M_BOM[RM_Qty_Per_Batch]*IFERROR(INDEX(PP_Grid[#Data],M_BOM[PPGridRow],87),0))+IFERROR(INDEX(M_RawMaterials[固定週次消費量_要入力],MATCH($A42,M_RawMaterials[Part Name],0)),0)</f>
        <v/>
      </c>
      <c r="CJ42">
        <f>SUMPRODUCT((M_BOM[Part Name]=$A42)*M_BOM[RM_Qty_Per_Batch]*IFERROR(INDEX(PP_Grid[#Data],M_BOM[PPGridRow],88),0))+IFERROR(INDEX(M_RawMaterials[固定週次消費量_要入力],MATCH($A42,M_RawMaterials[Part Name],0)),0)</f>
        <v/>
      </c>
      <c r="CK42">
        <f>SUMPRODUCT((M_BOM[Part Name]=$A42)*M_BOM[RM_Qty_Per_Batch]*IFERROR(INDEX(PP_Grid[#Data],M_BOM[PPGridRow],89),0))+IFERROR(INDEX(M_RawMaterials[固定週次消費量_要入力],MATCH($A42,M_RawMaterials[Part Name],0)),0)</f>
        <v/>
      </c>
      <c r="CL42">
        <f>SUMPRODUCT((M_BOM[Part Name]=$A42)*M_BOM[RM_Qty_Per_Batch]*IFERROR(INDEX(PP_Grid[#Data],M_BOM[PPGridRow],90),0))+IFERROR(INDEX(M_RawMaterials[固定週次消費量_要入力],MATCH($A42,M_RawMaterials[Part Name],0)),0)</f>
        <v/>
      </c>
      <c r="CM42">
        <f>SUMPRODUCT((M_BOM[Part Name]=$A42)*M_BOM[RM_Qty_Per_Batch]*IFERROR(INDEX(PP_Grid[#Data],M_BOM[PPGridRow],91),0))+IFERROR(INDEX(M_RawMaterials[固定週次消費量_要入力],MATCH($A42,M_RawMaterials[Part Name],0)),0)</f>
        <v/>
      </c>
      <c r="CN42">
        <f>SUMPRODUCT((M_BOM[Part Name]=$A42)*M_BOM[RM_Qty_Per_Batch]*IFERROR(INDEX(PP_Grid[#Data],M_BOM[PPGridRow],92),0))+IFERROR(INDEX(M_RawMaterials[固定週次消費量_要入力],MATCH($A42,M_RawMaterials[Part Name],0)),0)</f>
        <v/>
      </c>
      <c r="CO42">
        <f>SUMPRODUCT((M_BOM[Part Name]=$A42)*M_BOM[RM_Qty_Per_Batch]*IFERROR(INDEX(PP_Grid[#Data],M_BOM[PPGridRow],93),0))+IFERROR(INDEX(M_RawMaterials[固定週次消費量_要入力],MATCH($A42,M_RawMaterials[Part Name],0)),0)</f>
        <v/>
      </c>
      <c r="CP42">
        <f>SUMPRODUCT((M_BOM[Part Name]=$A42)*M_BOM[RM_Qty_Per_Batch]*IFERROR(INDEX(PP_Grid[#Data],M_BOM[PPGridRow],94),0))+IFERROR(INDEX(M_RawMaterials[固定週次消費量_要入力],MATCH($A42,M_RawMaterials[Part Name],0)),0)</f>
        <v/>
      </c>
      <c r="CQ42">
        <f>SUMPRODUCT((M_BOM[Part Name]=$A42)*M_BOM[RM_Qty_Per_Batch]*IFERROR(INDEX(PP_Grid[#Data],M_BOM[PPGridRow],95),0))+IFERROR(INDEX(M_RawMaterials[固定週次消費量_要入力],MATCH($A42,M_RawMaterials[Part Name],0)),0)</f>
        <v/>
      </c>
      <c r="CR42">
        <f>SUMPRODUCT((M_BOM[Part Name]=$A42)*M_BOM[RM_Qty_Per_Batch]*IFERROR(INDEX(PP_Grid[#Data],M_BOM[PPGridRow],96),0))+IFERROR(INDEX(M_RawMaterials[固定週次消費量_要入力],MATCH($A42,M_RawMaterials[Part Name],0)),0)</f>
        <v/>
      </c>
      <c r="CS42">
        <f>SUMPRODUCT((M_BOM[Part Name]=$A42)*M_BOM[RM_Qty_Per_Batch]*IFERROR(INDEX(PP_Grid[#Data],M_BOM[PPGridRow],97),0))+IFERROR(INDEX(M_RawMaterials[固定週次消費量_要入力],MATCH($A42,M_RawMaterials[Part Name],0)),0)</f>
        <v/>
      </c>
      <c r="CT42">
        <f>SUMPRODUCT((M_BOM[Part Name]=$A42)*M_BOM[RM_Qty_Per_Batch]*IFERROR(INDEX(PP_Grid[#Data],M_BOM[PPGridRow],98),0))+IFERROR(INDEX(M_RawMaterials[固定週次消費量_要入力],MATCH($A42,M_RawMaterials[Part Name],0)),0)</f>
        <v/>
      </c>
      <c r="CU42">
        <f>SUMPRODUCT((M_BOM[Part Name]=$A42)*M_BOM[RM_Qty_Per_Batch]*IFERROR(INDEX(PP_Grid[#Data],M_BOM[PPGridRow],99),0))+IFERROR(INDEX(M_RawMaterials[固定週次消費量_要入力],MATCH($A42,M_RawMaterials[Part Name],0)),0)</f>
        <v/>
      </c>
      <c r="CV42">
        <f>SUMPRODUCT((M_BOM[Part Name]=$A42)*M_BOM[RM_Qty_Per_Batch]*IFERROR(INDEX(PP_Grid[#Data],M_BOM[PPGridRow],100),0))+IFERROR(INDEX(M_RawMaterials[固定週次消費量_要入力],MATCH($A42,M_RawMaterials[Part Name],0)),0)</f>
        <v/>
      </c>
      <c r="CW42">
        <f>SUMPRODUCT((M_BOM[Part Name]=$A42)*M_BOM[RM_Qty_Per_Batch]*IFERROR(INDEX(PP_Grid[#Data],M_BOM[PPGridRow],101),0))+IFERROR(INDEX(M_RawMaterials[固定週次消費量_要入力],MATCH($A42,M_RawMaterials[Part Name],0)),0)</f>
        <v/>
      </c>
      <c r="CX42">
        <f>SUMPRODUCT((M_BOM[Part Name]=$A42)*M_BOM[RM_Qty_Per_Batch]*IFERROR(INDEX(PP_Grid[#Data],M_BOM[PPGridRow],102),0))+IFERROR(INDEX(M_RawMaterials[固定週次消費量_要入力],MATCH($A42,M_RawMaterials[Part Name],0)),0)</f>
        <v/>
      </c>
      <c r="CY42">
        <f>SUMPRODUCT((M_BOM[Part Name]=$A42)*M_BOM[RM_Qty_Per_Batch]*IFERROR(INDEX(PP_Grid[#Data],M_BOM[PPGridRow],103),0))+IFERROR(INDEX(M_RawMaterials[固定週次消費量_要入力],MATCH($A42,M_RawMaterials[Part Name],0)),0)</f>
        <v/>
      </c>
      <c r="CZ42">
        <f>SUMPRODUCT((M_BOM[Part Name]=$A42)*M_BOM[RM_Qty_Per_Batch]*IFERROR(INDEX(PP_Grid[#Data],M_BOM[PPGridRow],104),0))+IFERROR(INDEX(M_RawMaterials[固定週次消費量_要入力],MATCH($A42,M_RawMaterials[Part Name],0)),0)</f>
        <v/>
      </c>
      <c r="DA42">
        <f>SUMPRODUCT((M_BOM[Part Name]=$A42)*M_BOM[RM_Qty_Per_Batch]*IFERROR(INDEX(PP_Grid[#Data],M_BOM[PPGridRow],105),0))+IFERROR(INDEX(M_RawMaterials[固定週次消費量_要入力],MATCH($A42,M_RawMaterials[Part Name],0)),0)</f>
        <v/>
      </c>
    </row>
    <row r="43">
      <c r="A43" t="inlineStr">
        <is>
          <t>CHEM-1280</t>
        </is>
      </c>
      <c r="B43">
        <f>SUMPRODUCT((M_BOM[Part Name]=$A43)*M_BOM[RM_Qty_Per_Batch]*IFERROR(INDEX(PP_Grid[#Data],M_BOM[PPGridRow],2),0))+IFERROR(INDEX(M_RawMaterials[固定週次消費量_要入力],MATCH($A43,M_RawMaterials[Part Name],0)),0)</f>
        <v/>
      </c>
      <c r="C43">
        <f>SUMPRODUCT((M_BOM[Part Name]=$A43)*M_BOM[RM_Qty_Per_Batch]*IFERROR(INDEX(PP_Grid[#Data],M_BOM[PPGridRow],3),0))+IFERROR(INDEX(M_RawMaterials[固定週次消費量_要入力],MATCH($A43,M_RawMaterials[Part Name],0)),0)</f>
        <v/>
      </c>
      <c r="D43">
        <f>SUMPRODUCT((M_BOM[Part Name]=$A43)*M_BOM[RM_Qty_Per_Batch]*IFERROR(INDEX(PP_Grid[#Data],M_BOM[PPGridRow],4),0))+IFERROR(INDEX(M_RawMaterials[固定週次消費量_要入力],MATCH($A43,M_RawMaterials[Part Name],0)),0)</f>
        <v/>
      </c>
      <c r="E43">
        <f>SUMPRODUCT((M_BOM[Part Name]=$A43)*M_BOM[RM_Qty_Per_Batch]*IFERROR(INDEX(PP_Grid[#Data],M_BOM[PPGridRow],5),0))+IFERROR(INDEX(M_RawMaterials[固定週次消費量_要入力],MATCH($A43,M_RawMaterials[Part Name],0)),0)</f>
        <v/>
      </c>
      <c r="F43">
        <f>SUMPRODUCT((M_BOM[Part Name]=$A43)*M_BOM[RM_Qty_Per_Batch]*IFERROR(INDEX(PP_Grid[#Data],M_BOM[PPGridRow],6),0))+IFERROR(INDEX(M_RawMaterials[固定週次消費量_要入力],MATCH($A43,M_RawMaterials[Part Name],0)),0)</f>
        <v/>
      </c>
      <c r="G43">
        <f>SUMPRODUCT((M_BOM[Part Name]=$A43)*M_BOM[RM_Qty_Per_Batch]*IFERROR(INDEX(PP_Grid[#Data],M_BOM[PPGridRow],7),0))+IFERROR(INDEX(M_RawMaterials[固定週次消費量_要入力],MATCH($A43,M_RawMaterials[Part Name],0)),0)</f>
        <v/>
      </c>
      <c r="H43">
        <f>SUMPRODUCT((M_BOM[Part Name]=$A43)*M_BOM[RM_Qty_Per_Batch]*IFERROR(INDEX(PP_Grid[#Data],M_BOM[PPGridRow],8),0))+IFERROR(INDEX(M_RawMaterials[固定週次消費量_要入力],MATCH($A43,M_RawMaterials[Part Name],0)),0)</f>
        <v/>
      </c>
      <c r="I43">
        <f>SUMPRODUCT((M_BOM[Part Name]=$A43)*M_BOM[RM_Qty_Per_Batch]*IFERROR(INDEX(PP_Grid[#Data],M_BOM[PPGridRow],9),0))+IFERROR(INDEX(M_RawMaterials[固定週次消費量_要入力],MATCH($A43,M_RawMaterials[Part Name],0)),0)</f>
        <v/>
      </c>
      <c r="J43">
        <f>SUMPRODUCT((M_BOM[Part Name]=$A43)*M_BOM[RM_Qty_Per_Batch]*IFERROR(INDEX(PP_Grid[#Data],M_BOM[PPGridRow],10),0))+IFERROR(INDEX(M_RawMaterials[固定週次消費量_要入力],MATCH($A43,M_RawMaterials[Part Name],0)),0)</f>
        <v/>
      </c>
      <c r="K43">
        <f>SUMPRODUCT((M_BOM[Part Name]=$A43)*M_BOM[RM_Qty_Per_Batch]*IFERROR(INDEX(PP_Grid[#Data],M_BOM[PPGridRow],11),0))+IFERROR(INDEX(M_RawMaterials[固定週次消費量_要入力],MATCH($A43,M_RawMaterials[Part Name],0)),0)</f>
        <v/>
      </c>
      <c r="L43">
        <f>SUMPRODUCT((M_BOM[Part Name]=$A43)*M_BOM[RM_Qty_Per_Batch]*IFERROR(INDEX(PP_Grid[#Data],M_BOM[PPGridRow],12),0))+IFERROR(INDEX(M_RawMaterials[固定週次消費量_要入力],MATCH($A43,M_RawMaterials[Part Name],0)),0)</f>
        <v/>
      </c>
      <c r="M43">
        <f>SUMPRODUCT((M_BOM[Part Name]=$A43)*M_BOM[RM_Qty_Per_Batch]*IFERROR(INDEX(PP_Grid[#Data],M_BOM[PPGridRow],13),0))+IFERROR(INDEX(M_RawMaterials[固定週次消費量_要入力],MATCH($A43,M_RawMaterials[Part Name],0)),0)</f>
        <v/>
      </c>
      <c r="N43">
        <f>SUMPRODUCT((M_BOM[Part Name]=$A43)*M_BOM[RM_Qty_Per_Batch]*IFERROR(INDEX(PP_Grid[#Data],M_BOM[PPGridRow],14),0))+IFERROR(INDEX(M_RawMaterials[固定週次消費量_要入力],MATCH($A43,M_RawMaterials[Part Name],0)),0)</f>
        <v/>
      </c>
      <c r="O43">
        <f>SUMPRODUCT((M_BOM[Part Name]=$A43)*M_BOM[RM_Qty_Per_Batch]*IFERROR(INDEX(PP_Grid[#Data],M_BOM[PPGridRow],15),0))+IFERROR(INDEX(M_RawMaterials[固定週次消費量_要入力],MATCH($A43,M_RawMaterials[Part Name],0)),0)</f>
        <v/>
      </c>
      <c r="P43">
        <f>SUMPRODUCT((M_BOM[Part Name]=$A43)*M_BOM[RM_Qty_Per_Batch]*IFERROR(INDEX(PP_Grid[#Data],M_BOM[PPGridRow],16),0))+IFERROR(INDEX(M_RawMaterials[固定週次消費量_要入力],MATCH($A43,M_RawMaterials[Part Name],0)),0)</f>
        <v/>
      </c>
      <c r="Q43">
        <f>SUMPRODUCT((M_BOM[Part Name]=$A43)*M_BOM[RM_Qty_Per_Batch]*IFERROR(INDEX(PP_Grid[#Data],M_BOM[PPGridRow],17),0))+IFERROR(INDEX(M_RawMaterials[固定週次消費量_要入力],MATCH($A43,M_RawMaterials[Part Name],0)),0)</f>
        <v/>
      </c>
      <c r="R43">
        <f>SUMPRODUCT((M_BOM[Part Name]=$A43)*M_BOM[RM_Qty_Per_Batch]*IFERROR(INDEX(PP_Grid[#Data],M_BOM[PPGridRow],18),0))+IFERROR(INDEX(M_RawMaterials[固定週次消費量_要入力],MATCH($A43,M_RawMaterials[Part Name],0)),0)</f>
        <v/>
      </c>
      <c r="S43">
        <f>SUMPRODUCT((M_BOM[Part Name]=$A43)*M_BOM[RM_Qty_Per_Batch]*IFERROR(INDEX(PP_Grid[#Data],M_BOM[PPGridRow],19),0))+IFERROR(INDEX(M_RawMaterials[固定週次消費量_要入力],MATCH($A43,M_RawMaterials[Part Name],0)),0)</f>
        <v/>
      </c>
      <c r="T43">
        <f>SUMPRODUCT((M_BOM[Part Name]=$A43)*M_BOM[RM_Qty_Per_Batch]*IFERROR(INDEX(PP_Grid[#Data],M_BOM[PPGridRow],20),0))+IFERROR(INDEX(M_RawMaterials[固定週次消費量_要入力],MATCH($A43,M_RawMaterials[Part Name],0)),0)</f>
        <v/>
      </c>
      <c r="U43">
        <f>SUMPRODUCT((M_BOM[Part Name]=$A43)*M_BOM[RM_Qty_Per_Batch]*IFERROR(INDEX(PP_Grid[#Data],M_BOM[PPGridRow],21),0))+IFERROR(INDEX(M_RawMaterials[固定週次消費量_要入力],MATCH($A43,M_RawMaterials[Part Name],0)),0)</f>
        <v/>
      </c>
      <c r="V43">
        <f>SUMPRODUCT((M_BOM[Part Name]=$A43)*M_BOM[RM_Qty_Per_Batch]*IFERROR(INDEX(PP_Grid[#Data],M_BOM[PPGridRow],22),0))+IFERROR(INDEX(M_RawMaterials[固定週次消費量_要入力],MATCH($A43,M_RawMaterials[Part Name],0)),0)</f>
        <v/>
      </c>
      <c r="W43">
        <f>SUMPRODUCT((M_BOM[Part Name]=$A43)*M_BOM[RM_Qty_Per_Batch]*IFERROR(INDEX(PP_Grid[#Data],M_BOM[PPGridRow],23),0))+IFERROR(INDEX(M_RawMaterials[固定週次消費量_要入力],MATCH($A43,M_RawMaterials[Part Name],0)),0)</f>
        <v/>
      </c>
      <c r="X43">
        <f>SUMPRODUCT((M_BOM[Part Name]=$A43)*M_BOM[RM_Qty_Per_Batch]*IFERROR(INDEX(PP_Grid[#Data],M_BOM[PPGridRow],24),0))+IFERROR(INDEX(M_RawMaterials[固定週次消費量_要入力],MATCH($A43,M_RawMaterials[Part Name],0)),0)</f>
        <v/>
      </c>
      <c r="Y43">
        <f>SUMPRODUCT((M_BOM[Part Name]=$A43)*M_BOM[RM_Qty_Per_Batch]*IFERROR(INDEX(PP_Grid[#Data],M_BOM[PPGridRow],25),0))+IFERROR(INDEX(M_RawMaterials[固定週次消費量_要入力],MATCH($A43,M_RawMaterials[Part Name],0)),0)</f>
        <v/>
      </c>
      <c r="Z43">
        <f>SUMPRODUCT((M_BOM[Part Name]=$A43)*M_BOM[RM_Qty_Per_Batch]*IFERROR(INDEX(PP_Grid[#Data],M_BOM[PPGridRow],26),0))+IFERROR(INDEX(M_RawMaterials[固定週次消費量_要入力],MATCH($A43,M_RawMaterials[Part Name],0)),0)</f>
        <v/>
      </c>
      <c r="AA43">
        <f>SUMPRODUCT((M_BOM[Part Name]=$A43)*M_BOM[RM_Qty_Per_Batch]*IFERROR(INDEX(PP_Grid[#Data],M_BOM[PPGridRow],27),0))+IFERROR(INDEX(M_RawMaterials[固定週次消費量_要入力],MATCH($A43,M_RawMaterials[Part Name],0)),0)</f>
        <v/>
      </c>
      <c r="AB43">
        <f>SUMPRODUCT((M_BOM[Part Name]=$A43)*M_BOM[RM_Qty_Per_Batch]*IFERROR(INDEX(PP_Grid[#Data],M_BOM[PPGridRow],28),0))+IFERROR(INDEX(M_RawMaterials[固定週次消費量_要入力],MATCH($A43,M_RawMaterials[Part Name],0)),0)</f>
        <v/>
      </c>
      <c r="AC43">
        <f>SUMPRODUCT((M_BOM[Part Name]=$A43)*M_BOM[RM_Qty_Per_Batch]*IFERROR(INDEX(PP_Grid[#Data],M_BOM[PPGridRow],29),0))+IFERROR(INDEX(M_RawMaterials[固定週次消費量_要入力],MATCH($A43,M_RawMaterials[Part Name],0)),0)</f>
        <v/>
      </c>
      <c r="AD43">
        <f>SUMPRODUCT((M_BOM[Part Name]=$A43)*M_BOM[RM_Qty_Per_Batch]*IFERROR(INDEX(PP_Grid[#Data],M_BOM[PPGridRow],30),0))+IFERROR(INDEX(M_RawMaterials[固定週次消費量_要入力],MATCH($A43,M_RawMaterials[Part Name],0)),0)</f>
        <v/>
      </c>
      <c r="AE43">
        <f>SUMPRODUCT((M_BOM[Part Name]=$A43)*M_BOM[RM_Qty_Per_Batch]*IFERROR(INDEX(PP_Grid[#Data],M_BOM[PPGridRow],31),0))+IFERROR(INDEX(M_RawMaterials[固定週次消費量_要入力],MATCH($A43,M_RawMaterials[Part Name],0)),0)</f>
        <v/>
      </c>
      <c r="AF43">
        <f>SUMPRODUCT((M_BOM[Part Name]=$A43)*M_BOM[RM_Qty_Per_Batch]*IFERROR(INDEX(PP_Grid[#Data],M_BOM[PPGridRow],32),0))+IFERROR(INDEX(M_RawMaterials[固定週次消費量_要入力],MATCH($A43,M_RawMaterials[Part Name],0)),0)</f>
        <v/>
      </c>
      <c r="AG43">
        <f>SUMPRODUCT((M_BOM[Part Name]=$A43)*M_BOM[RM_Qty_Per_Batch]*IFERROR(INDEX(PP_Grid[#Data],M_BOM[PPGridRow],33),0))+IFERROR(INDEX(M_RawMaterials[固定週次消費量_要入力],MATCH($A43,M_RawMaterials[Part Name],0)),0)</f>
        <v/>
      </c>
      <c r="AH43">
        <f>SUMPRODUCT((M_BOM[Part Name]=$A43)*M_BOM[RM_Qty_Per_Batch]*IFERROR(INDEX(PP_Grid[#Data],M_BOM[PPGridRow],34),0))+IFERROR(INDEX(M_RawMaterials[固定週次消費量_要入力],MATCH($A43,M_RawMaterials[Part Name],0)),0)</f>
        <v/>
      </c>
      <c r="AI43">
        <f>SUMPRODUCT((M_BOM[Part Name]=$A43)*M_BOM[RM_Qty_Per_Batch]*IFERROR(INDEX(PP_Grid[#Data],M_BOM[PPGridRow],35),0))+IFERROR(INDEX(M_RawMaterials[固定週次消費量_要入力],MATCH($A43,M_RawMaterials[Part Name],0)),0)</f>
        <v/>
      </c>
      <c r="AJ43">
        <f>SUMPRODUCT((M_BOM[Part Name]=$A43)*M_BOM[RM_Qty_Per_Batch]*IFERROR(INDEX(PP_Grid[#Data],M_BOM[PPGridRow],36),0))+IFERROR(INDEX(M_RawMaterials[固定週次消費量_要入力],MATCH($A43,M_RawMaterials[Part Name],0)),0)</f>
        <v/>
      </c>
      <c r="AK43">
        <f>SUMPRODUCT((M_BOM[Part Name]=$A43)*M_BOM[RM_Qty_Per_Batch]*IFERROR(INDEX(PP_Grid[#Data],M_BOM[PPGridRow],37),0))+IFERROR(INDEX(M_RawMaterials[固定週次消費量_要入力],MATCH($A43,M_RawMaterials[Part Name],0)),0)</f>
        <v/>
      </c>
      <c r="AL43">
        <f>SUMPRODUCT((M_BOM[Part Name]=$A43)*M_BOM[RM_Qty_Per_Batch]*IFERROR(INDEX(PP_Grid[#Data],M_BOM[PPGridRow],38),0))+IFERROR(INDEX(M_RawMaterials[固定週次消費量_要入力],MATCH($A43,M_RawMaterials[Part Name],0)),0)</f>
        <v/>
      </c>
      <c r="AM43">
        <f>SUMPRODUCT((M_BOM[Part Name]=$A43)*M_BOM[RM_Qty_Per_Batch]*IFERROR(INDEX(PP_Grid[#Data],M_BOM[PPGridRow],39),0))+IFERROR(INDEX(M_RawMaterials[固定週次消費量_要入力],MATCH($A43,M_RawMaterials[Part Name],0)),0)</f>
        <v/>
      </c>
      <c r="AN43">
        <f>SUMPRODUCT((M_BOM[Part Name]=$A43)*M_BOM[RM_Qty_Per_Batch]*IFERROR(INDEX(PP_Grid[#Data],M_BOM[PPGridRow],40),0))+IFERROR(INDEX(M_RawMaterials[固定週次消費量_要入力],MATCH($A43,M_RawMaterials[Part Name],0)),0)</f>
        <v/>
      </c>
      <c r="AO43">
        <f>SUMPRODUCT((M_BOM[Part Name]=$A43)*M_BOM[RM_Qty_Per_Batch]*IFERROR(INDEX(PP_Grid[#Data],M_BOM[PPGridRow],41),0))+IFERROR(INDEX(M_RawMaterials[固定週次消費量_要入力],MATCH($A43,M_RawMaterials[Part Name],0)),0)</f>
        <v/>
      </c>
      <c r="AP43">
        <f>SUMPRODUCT((M_BOM[Part Name]=$A43)*M_BOM[RM_Qty_Per_Batch]*IFERROR(INDEX(PP_Grid[#Data],M_BOM[PPGridRow],42),0))+IFERROR(INDEX(M_RawMaterials[固定週次消費量_要入力],MATCH($A43,M_RawMaterials[Part Name],0)),0)</f>
        <v/>
      </c>
      <c r="AQ43">
        <f>SUMPRODUCT((M_BOM[Part Name]=$A43)*M_BOM[RM_Qty_Per_Batch]*IFERROR(INDEX(PP_Grid[#Data],M_BOM[PPGridRow],43),0))+IFERROR(INDEX(M_RawMaterials[固定週次消費量_要入力],MATCH($A43,M_RawMaterials[Part Name],0)),0)</f>
        <v/>
      </c>
      <c r="AR43">
        <f>SUMPRODUCT((M_BOM[Part Name]=$A43)*M_BOM[RM_Qty_Per_Batch]*IFERROR(INDEX(PP_Grid[#Data],M_BOM[PPGridRow],44),0))+IFERROR(INDEX(M_RawMaterials[固定週次消費量_要入力],MATCH($A43,M_RawMaterials[Part Name],0)),0)</f>
        <v/>
      </c>
      <c r="AS43">
        <f>SUMPRODUCT((M_BOM[Part Name]=$A43)*M_BOM[RM_Qty_Per_Batch]*IFERROR(INDEX(PP_Grid[#Data],M_BOM[PPGridRow],45),0))+IFERROR(INDEX(M_RawMaterials[固定週次消費量_要入力],MATCH($A43,M_RawMaterials[Part Name],0)),0)</f>
        <v/>
      </c>
      <c r="AT43">
        <f>SUMPRODUCT((M_BOM[Part Name]=$A43)*M_BOM[RM_Qty_Per_Batch]*IFERROR(INDEX(PP_Grid[#Data],M_BOM[PPGridRow],46),0))+IFERROR(INDEX(M_RawMaterials[固定週次消費量_要入力],MATCH($A43,M_RawMaterials[Part Name],0)),0)</f>
        <v/>
      </c>
      <c r="AU43">
        <f>SUMPRODUCT((M_BOM[Part Name]=$A43)*M_BOM[RM_Qty_Per_Batch]*IFERROR(INDEX(PP_Grid[#Data],M_BOM[PPGridRow],47),0))+IFERROR(INDEX(M_RawMaterials[固定週次消費量_要入力],MATCH($A43,M_RawMaterials[Part Name],0)),0)</f>
        <v/>
      </c>
      <c r="AV43">
        <f>SUMPRODUCT((M_BOM[Part Name]=$A43)*M_BOM[RM_Qty_Per_Batch]*IFERROR(INDEX(PP_Grid[#Data],M_BOM[PPGridRow],48),0))+IFERROR(INDEX(M_RawMaterials[固定週次消費量_要入力],MATCH($A43,M_RawMaterials[Part Name],0)),0)</f>
        <v/>
      </c>
      <c r="AW43">
        <f>SUMPRODUCT((M_BOM[Part Name]=$A43)*M_BOM[RM_Qty_Per_Batch]*IFERROR(INDEX(PP_Grid[#Data],M_BOM[PPGridRow],49),0))+IFERROR(INDEX(M_RawMaterials[固定週次消費量_要入力],MATCH($A43,M_RawMaterials[Part Name],0)),0)</f>
        <v/>
      </c>
      <c r="AX43">
        <f>SUMPRODUCT((M_BOM[Part Name]=$A43)*M_BOM[RM_Qty_Per_Batch]*IFERROR(INDEX(PP_Grid[#Data],M_BOM[PPGridRow],50),0))+IFERROR(INDEX(M_RawMaterials[固定週次消費量_要入力],MATCH($A43,M_RawMaterials[Part Name],0)),0)</f>
        <v/>
      </c>
      <c r="AY43">
        <f>SUMPRODUCT((M_BOM[Part Name]=$A43)*M_BOM[RM_Qty_Per_Batch]*IFERROR(INDEX(PP_Grid[#Data],M_BOM[PPGridRow],51),0))+IFERROR(INDEX(M_RawMaterials[固定週次消費量_要入力],MATCH($A43,M_RawMaterials[Part Name],0)),0)</f>
        <v/>
      </c>
      <c r="AZ43">
        <f>SUMPRODUCT((M_BOM[Part Name]=$A43)*M_BOM[RM_Qty_Per_Batch]*IFERROR(INDEX(PP_Grid[#Data],M_BOM[PPGridRow],52),0))+IFERROR(INDEX(M_RawMaterials[固定週次消費量_要入力],MATCH($A43,M_RawMaterials[Part Name],0)),0)</f>
        <v/>
      </c>
      <c r="BA43">
        <f>SUMPRODUCT((M_BOM[Part Name]=$A43)*M_BOM[RM_Qty_Per_Batch]*IFERROR(INDEX(PP_Grid[#Data],M_BOM[PPGridRow],53),0))+IFERROR(INDEX(M_RawMaterials[固定週次消費量_要入力],MATCH($A43,M_RawMaterials[Part Name],0)),0)</f>
        <v/>
      </c>
      <c r="BB43">
        <f>SUMPRODUCT((M_BOM[Part Name]=$A43)*M_BOM[RM_Qty_Per_Batch]*IFERROR(INDEX(PP_Grid[#Data],M_BOM[PPGridRow],54),0))+IFERROR(INDEX(M_RawMaterials[固定週次消費量_要入力],MATCH($A43,M_RawMaterials[Part Name],0)),0)</f>
        <v/>
      </c>
      <c r="BC43">
        <f>SUMPRODUCT((M_BOM[Part Name]=$A43)*M_BOM[RM_Qty_Per_Batch]*IFERROR(INDEX(PP_Grid[#Data],M_BOM[PPGridRow],55),0))+IFERROR(INDEX(M_RawMaterials[固定週次消費量_要入力],MATCH($A43,M_RawMaterials[Part Name],0)),0)</f>
        <v/>
      </c>
      <c r="BD43">
        <f>SUMPRODUCT((M_BOM[Part Name]=$A43)*M_BOM[RM_Qty_Per_Batch]*IFERROR(INDEX(PP_Grid[#Data],M_BOM[PPGridRow],56),0))+IFERROR(INDEX(M_RawMaterials[固定週次消費量_要入力],MATCH($A43,M_RawMaterials[Part Name],0)),0)</f>
        <v/>
      </c>
      <c r="BE43">
        <f>SUMPRODUCT((M_BOM[Part Name]=$A43)*M_BOM[RM_Qty_Per_Batch]*IFERROR(INDEX(PP_Grid[#Data],M_BOM[PPGridRow],57),0))+IFERROR(INDEX(M_RawMaterials[固定週次消費量_要入力],MATCH($A43,M_RawMaterials[Part Name],0)),0)</f>
        <v/>
      </c>
      <c r="BF43">
        <f>SUMPRODUCT((M_BOM[Part Name]=$A43)*M_BOM[RM_Qty_Per_Batch]*IFERROR(INDEX(PP_Grid[#Data],M_BOM[PPGridRow],58),0))+IFERROR(INDEX(M_RawMaterials[固定週次消費量_要入力],MATCH($A43,M_RawMaterials[Part Name],0)),0)</f>
        <v/>
      </c>
      <c r="BG43">
        <f>SUMPRODUCT((M_BOM[Part Name]=$A43)*M_BOM[RM_Qty_Per_Batch]*IFERROR(INDEX(PP_Grid[#Data],M_BOM[PPGridRow],59),0))+IFERROR(INDEX(M_RawMaterials[固定週次消費量_要入力],MATCH($A43,M_RawMaterials[Part Name],0)),0)</f>
        <v/>
      </c>
      <c r="BH43">
        <f>SUMPRODUCT((M_BOM[Part Name]=$A43)*M_BOM[RM_Qty_Per_Batch]*IFERROR(INDEX(PP_Grid[#Data],M_BOM[PPGridRow],60),0))+IFERROR(INDEX(M_RawMaterials[固定週次消費量_要入力],MATCH($A43,M_RawMaterials[Part Name],0)),0)</f>
        <v/>
      </c>
      <c r="BI43">
        <f>SUMPRODUCT((M_BOM[Part Name]=$A43)*M_BOM[RM_Qty_Per_Batch]*IFERROR(INDEX(PP_Grid[#Data],M_BOM[PPGridRow],61),0))+IFERROR(INDEX(M_RawMaterials[固定週次消費量_要入力],MATCH($A43,M_RawMaterials[Part Name],0)),0)</f>
        <v/>
      </c>
      <c r="BJ43">
        <f>SUMPRODUCT((M_BOM[Part Name]=$A43)*M_BOM[RM_Qty_Per_Batch]*IFERROR(INDEX(PP_Grid[#Data],M_BOM[PPGridRow],62),0))+IFERROR(INDEX(M_RawMaterials[固定週次消費量_要入力],MATCH($A43,M_RawMaterials[Part Name],0)),0)</f>
        <v/>
      </c>
      <c r="BK43">
        <f>SUMPRODUCT((M_BOM[Part Name]=$A43)*M_BOM[RM_Qty_Per_Batch]*IFERROR(INDEX(PP_Grid[#Data],M_BOM[PPGridRow],63),0))+IFERROR(INDEX(M_RawMaterials[固定週次消費量_要入力],MATCH($A43,M_RawMaterials[Part Name],0)),0)</f>
        <v/>
      </c>
      <c r="BL43">
        <f>SUMPRODUCT((M_BOM[Part Name]=$A43)*M_BOM[RM_Qty_Per_Batch]*IFERROR(INDEX(PP_Grid[#Data],M_BOM[PPGridRow],64),0))+IFERROR(INDEX(M_RawMaterials[固定週次消費量_要入力],MATCH($A43,M_RawMaterials[Part Name],0)),0)</f>
        <v/>
      </c>
      <c r="BM43">
        <f>SUMPRODUCT((M_BOM[Part Name]=$A43)*M_BOM[RM_Qty_Per_Batch]*IFERROR(INDEX(PP_Grid[#Data],M_BOM[PPGridRow],65),0))+IFERROR(INDEX(M_RawMaterials[固定週次消費量_要入力],MATCH($A43,M_RawMaterials[Part Name],0)),0)</f>
        <v/>
      </c>
      <c r="BN43">
        <f>SUMPRODUCT((M_BOM[Part Name]=$A43)*M_BOM[RM_Qty_Per_Batch]*IFERROR(INDEX(PP_Grid[#Data],M_BOM[PPGridRow],66),0))+IFERROR(INDEX(M_RawMaterials[固定週次消費量_要入力],MATCH($A43,M_RawMaterials[Part Name],0)),0)</f>
        <v/>
      </c>
      <c r="BO43">
        <f>SUMPRODUCT((M_BOM[Part Name]=$A43)*M_BOM[RM_Qty_Per_Batch]*IFERROR(INDEX(PP_Grid[#Data],M_BOM[PPGridRow],67),0))+IFERROR(INDEX(M_RawMaterials[固定週次消費量_要入力],MATCH($A43,M_RawMaterials[Part Name],0)),0)</f>
        <v/>
      </c>
      <c r="BP43">
        <f>SUMPRODUCT((M_BOM[Part Name]=$A43)*M_BOM[RM_Qty_Per_Batch]*IFERROR(INDEX(PP_Grid[#Data],M_BOM[PPGridRow],68),0))+IFERROR(INDEX(M_RawMaterials[固定週次消費量_要入力],MATCH($A43,M_RawMaterials[Part Name],0)),0)</f>
        <v/>
      </c>
      <c r="BQ43">
        <f>SUMPRODUCT((M_BOM[Part Name]=$A43)*M_BOM[RM_Qty_Per_Batch]*IFERROR(INDEX(PP_Grid[#Data],M_BOM[PPGridRow],69),0))+IFERROR(INDEX(M_RawMaterials[固定週次消費量_要入力],MATCH($A43,M_RawMaterials[Part Name],0)),0)</f>
        <v/>
      </c>
      <c r="BR43">
        <f>SUMPRODUCT((M_BOM[Part Name]=$A43)*M_BOM[RM_Qty_Per_Batch]*IFERROR(INDEX(PP_Grid[#Data],M_BOM[PPGridRow],70),0))+IFERROR(INDEX(M_RawMaterials[固定週次消費量_要入力],MATCH($A43,M_RawMaterials[Part Name],0)),0)</f>
        <v/>
      </c>
      <c r="BS43">
        <f>SUMPRODUCT((M_BOM[Part Name]=$A43)*M_BOM[RM_Qty_Per_Batch]*IFERROR(INDEX(PP_Grid[#Data],M_BOM[PPGridRow],71),0))+IFERROR(INDEX(M_RawMaterials[固定週次消費量_要入力],MATCH($A43,M_RawMaterials[Part Name],0)),0)</f>
        <v/>
      </c>
      <c r="BT43">
        <f>SUMPRODUCT((M_BOM[Part Name]=$A43)*M_BOM[RM_Qty_Per_Batch]*IFERROR(INDEX(PP_Grid[#Data],M_BOM[PPGridRow],72),0))+IFERROR(INDEX(M_RawMaterials[固定週次消費量_要入力],MATCH($A43,M_RawMaterials[Part Name],0)),0)</f>
        <v/>
      </c>
      <c r="BU43">
        <f>SUMPRODUCT((M_BOM[Part Name]=$A43)*M_BOM[RM_Qty_Per_Batch]*IFERROR(INDEX(PP_Grid[#Data],M_BOM[PPGridRow],73),0))+IFERROR(INDEX(M_RawMaterials[固定週次消費量_要入力],MATCH($A43,M_RawMaterials[Part Name],0)),0)</f>
        <v/>
      </c>
      <c r="BV43">
        <f>SUMPRODUCT((M_BOM[Part Name]=$A43)*M_BOM[RM_Qty_Per_Batch]*IFERROR(INDEX(PP_Grid[#Data],M_BOM[PPGridRow],74),0))+IFERROR(INDEX(M_RawMaterials[固定週次消費量_要入力],MATCH($A43,M_RawMaterials[Part Name],0)),0)</f>
        <v/>
      </c>
      <c r="BW43">
        <f>SUMPRODUCT((M_BOM[Part Name]=$A43)*M_BOM[RM_Qty_Per_Batch]*IFERROR(INDEX(PP_Grid[#Data],M_BOM[PPGridRow],75),0))+IFERROR(INDEX(M_RawMaterials[固定週次消費量_要入力],MATCH($A43,M_RawMaterials[Part Name],0)),0)</f>
        <v/>
      </c>
      <c r="BX43">
        <f>SUMPRODUCT((M_BOM[Part Name]=$A43)*M_BOM[RM_Qty_Per_Batch]*IFERROR(INDEX(PP_Grid[#Data],M_BOM[PPGridRow],76),0))+IFERROR(INDEX(M_RawMaterials[固定週次消費量_要入力],MATCH($A43,M_RawMaterials[Part Name],0)),0)</f>
        <v/>
      </c>
      <c r="BY43">
        <f>SUMPRODUCT((M_BOM[Part Name]=$A43)*M_BOM[RM_Qty_Per_Batch]*IFERROR(INDEX(PP_Grid[#Data],M_BOM[PPGridRow],77),0))+IFERROR(INDEX(M_RawMaterials[固定週次消費量_要入力],MATCH($A43,M_RawMaterials[Part Name],0)),0)</f>
        <v/>
      </c>
      <c r="BZ43">
        <f>SUMPRODUCT((M_BOM[Part Name]=$A43)*M_BOM[RM_Qty_Per_Batch]*IFERROR(INDEX(PP_Grid[#Data],M_BOM[PPGridRow],78),0))+IFERROR(INDEX(M_RawMaterials[固定週次消費量_要入力],MATCH($A43,M_RawMaterials[Part Name],0)),0)</f>
        <v/>
      </c>
      <c r="CA43">
        <f>SUMPRODUCT((M_BOM[Part Name]=$A43)*M_BOM[RM_Qty_Per_Batch]*IFERROR(INDEX(PP_Grid[#Data],M_BOM[PPGridRow],79),0))+IFERROR(INDEX(M_RawMaterials[固定週次消費量_要入力],MATCH($A43,M_RawMaterials[Part Name],0)),0)</f>
        <v/>
      </c>
      <c r="CB43">
        <f>SUMPRODUCT((M_BOM[Part Name]=$A43)*M_BOM[RM_Qty_Per_Batch]*IFERROR(INDEX(PP_Grid[#Data],M_BOM[PPGridRow],80),0))+IFERROR(INDEX(M_RawMaterials[固定週次消費量_要入力],MATCH($A43,M_RawMaterials[Part Name],0)),0)</f>
        <v/>
      </c>
      <c r="CC43">
        <f>SUMPRODUCT((M_BOM[Part Name]=$A43)*M_BOM[RM_Qty_Per_Batch]*IFERROR(INDEX(PP_Grid[#Data],M_BOM[PPGridRow],81),0))+IFERROR(INDEX(M_RawMaterials[固定週次消費量_要入力],MATCH($A43,M_RawMaterials[Part Name],0)),0)</f>
        <v/>
      </c>
      <c r="CD43">
        <f>SUMPRODUCT((M_BOM[Part Name]=$A43)*M_BOM[RM_Qty_Per_Batch]*IFERROR(INDEX(PP_Grid[#Data],M_BOM[PPGridRow],82),0))+IFERROR(INDEX(M_RawMaterials[固定週次消費量_要入力],MATCH($A43,M_RawMaterials[Part Name],0)),0)</f>
        <v/>
      </c>
      <c r="CE43">
        <f>SUMPRODUCT((M_BOM[Part Name]=$A43)*M_BOM[RM_Qty_Per_Batch]*IFERROR(INDEX(PP_Grid[#Data],M_BOM[PPGridRow],83),0))+IFERROR(INDEX(M_RawMaterials[固定週次消費量_要入力],MATCH($A43,M_RawMaterials[Part Name],0)),0)</f>
        <v/>
      </c>
      <c r="CF43">
        <f>SUMPRODUCT((M_BOM[Part Name]=$A43)*M_BOM[RM_Qty_Per_Batch]*IFERROR(INDEX(PP_Grid[#Data],M_BOM[PPGridRow],84),0))+IFERROR(INDEX(M_RawMaterials[固定週次消費量_要入力],MATCH($A43,M_RawMaterials[Part Name],0)),0)</f>
        <v/>
      </c>
      <c r="CG43">
        <f>SUMPRODUCT((M_BOM[Part Name]=$A43)*M_BOM[RM_Qty_Per_Batch]*IFERROR(INDEX(PP_Grid[#Data],M_BOM[PPGridRow],85),0))+IFERROR(INDEX(M_RawMaterials[固定週次消費量_要入力],MATCH($A43,M_RawMaterials[Part Name],0)),0)</f>
        <v/>
      </c>
      <c r="CH43">
        <f>SUMPRODUCT((M_BOM[Part Name]=$A43)*M_BOM[RM_Qty_Per_Batch]*IFERROR(INDEX(PP_Grid[#Data],M_BOM[PPGridRow],86),0))+IFERROR(INDEX(M_RawMaterials[固定週次消費量_要入力],MATCH($A43,M_RawMaterials[Part Name],0)),0)</f>
        <v/>
      </c>
      <c r="CI43">
        <f>SUMPRODUCT((M_BOM[Part Name]=$A43)*M_BOM[RM_Qty_Per_Batch]*IFERROR(INDEX(PP_Grid[#Data],M_BOM[PPGridRow],87),0))+IFERROR(INDEX(M_RawMaterials[固定週次消費量_要入力],MATCH($A43,M_RawMaterials[Part Name],0)),0)</f>
        <v/>
      </c>
      <c r="CJ43">
        <f>SUMPRODUCT((M_BOM[Part Name]=$A43)*M_BOM[RM_Qty_Per_Batch]*IFERROR(INDEX(PP_Grid[#Data],M_BOM[PPGridRow],88),0))+IFERROR(INDEX(M_RawMaterials[固定週次消費量_要入力],MATCH($A43,M_RawMaterials[Part Name],0)),0)</f>
        <v/>
      </c>
      <c r="CK43">
        <f>SUMPRODUCT((M_BOM[Part Name]=$A43)*M_BOM[RM_Qty_Per_Batch]*IFERROR(INDEX(PP_Grid[#Data],M_BOM[PPGridRow],89),0))+IFERROR(INDEX(M_RawMaterials[固定週次消費量_要入力],MATCH($A43,M_RawMaterials[Part Name],0)),0)</f>
        <v/>
      </c>
      <c r="CL43">
        <f>SUMPRODUCT((M_BOM[Part Name]=$A43)*M_BOM[RM_Qty_Per_Batch]*IFERROR(INDEX(PP_Grid[#Data],M_BOM[PPGridRow],90),0))+IFERROR(INDEX(M_RawMaterials[固定週次消費量_要入力],MATCH($A43,M_RawMaterials[Part Name],0)),0)</f>
        <v/>
      </c>
      <c r="CM43">
        <f>SUMPRODUCT((M_BOM[Part Name]=$A43)*M_BOM[RM_Qty_Per_Batch]*IFERROR(INDEX(PP_Grid[#Data],M_BOM[PPGridRow],91),0))+IFERROR(INDEX(M_RawMaterials[固定週次消費量_要入力],MATCH($A43,M_RawMaterials[Part Name],0)),0)</f>
        <v/>
      </c>
      <c r="CN43">
        <f>SUMPRODUCT((M_BOM[Part Name]=$A43)*M_BOM[RM_Qty_Per_Batch]*IFERROR(INDEX(PP_Grid[#Data],M_BOM[PPGridRow],92),0))+IFERROR(INDEX(M_RawMaterials[固定週次消費量_要入力],MATCH($A43,M_RawMaterials[Part Name],0)),0)</f>
        <v/>
      </c>
      <c r="CO43">
        <f>SUMPRODUCT((M_BOM[Part Name]=$A43)*M_BOM[RM_Qty_Per_Batch]*IFERROR(INDEX(PP_Grid[#Data],M_BOM[PPGridRow],93),0))+IFERROR(INDEX(M_RawMaterials[固定週次消費量_要入力],MATCH($A43,M_RawMaterials[Part Name],0)),0)</f>
        <v/>
      </c>
      <c r="CP43">
        <f>SUMPRODUCT((M_BOM[Part Name]=$A43)*M_BOM[RM_Qty_Per_Batch]*IFERROR(INDEX(PP_Grid[#Data],M_BOM[PPGridRow],94),0))+IFERROR(INDEX(M_RawMaterials[固定週次消費量_要入力],MATCH($A43,M_RawMaterials[Part Name],0)),0)</f>
        <v/>
      </c>
      <c r="CQ43">
        <f>SUMPRODUCT((M_BOM[Part Name]=$A43)*M_BOM[RM_Qty_Per_Batch]*IFERROR(INDEX(PP_Grid[#Data],M_BOM[PPGridRow],95),0))+IFERROR(INDEX(M_RawMaterials[固定週次消費量_要入力],MATCH($A43,M_RawMaterials[Part Name],0)),0)</f>
        <v/>
      </c>
      <c r="CR43">
        <f>SUMPRODUCT((M_BOM[Part Name]=$A43)*M_BOM[RM_Qty_Per_Batch]*IFERROR(INDEX(PP_Grid[#Data],M_BOM[PPGridRow],96),0))+IFERROR(INDEX(M_RawMaterials[固定週次消費量_要入力],MATCH($A43,M_RawMaterials[Part Name],0)),0)</f>
        <v/>
      </c>
      <c r="CS43">
        <f>SUMPRODUCT((M_BOM[Part Name]=$A43)*M_BOM[RM_Qty_Per_Batch]*IFERROR(INDEX(PP_Grid[#Data],M_BOM[PPGridRow],97),0))+IFERROR(INDEX(M_RawMaterials[固定週次消費量_要入力],MATCH($A43,M_RawMaterials[Part Name],0)),0)</f>
        <v/>
      </c>
      <c r="CT43">
        <f>SUMPRODUCT((M_BOM[Part Name]=$A43)*M_BOM[RM_Qty_Per_Batch]*IFERROR(INDEX(PP_Grid[#Data],M_BOM[PPGridRow],98),0))+IFERROR(INDEX(M_RawMaterials[固定週次消費量_要入力],MATCH($A43,M_RawMaterials[Part Name],0)),0)</f>
        <v/>
      </c>
      <c r="CU43">
        <f>SUMPRODUCT((M_BOM[Part Name]=$A43)*M_BOM[RM_Qty_Per_Batch]*IFERROR(INDEX(PP_Grid[#Data],M_BOM[PPGridRow],99),0))+IFERROR(INDEX(M_RawMaterials[固定週次消費量_要入力],MATCH($A43,M_RawMaterials[Part Name],0)),0)</f>
        <v/>
      </c>
      <c r="CV43">
        <f>SUMPRODUCT((M_BOM[Part Name]=$A43)*M_BOM[RM_Qty_Per_Batch]*IFERROR(INDEX(PP_Grid[#Data],M_BOM[PPGridRow],100),0))+IFERROR(INDEX(M_RawMaterials[固定週次消費量_要入力],MATCH($A43,M_RawMaterials[Part Name],0)),0)</f>
        <v/>
      </c>
      <c r="CW43">
        <f>SUMPRODUCT((M_BOM[Part Name]=$A43)*M_BOM[RM_Qty_Per_Batch]*IFERROR(INDEX(PP_Grid[#Data],M_BOM[PPGridRow],101),0))+IFERROR(INDEX(M_RawMaterials[固定週次消費量_要入力],MATCH($A43,M_RawMaterials[Part Name],0)),0)</f>
        <v/>
      </c>
      <c r="CX43">
        <f>SUMPRODUCT((M_BOM[Part Name]=$A43)*M_BOM[RM_Qty_Per_Batch]*IFERROR(INDEX(PP_Grid[#Data],M_BOM[PPGridRow],102),0))+IFERROR(INDEX(M_RawMaterials[固定週次消費量_要入力],MATCH($A43,M_RawMaterials[Part Name],0)),0)</f>
        <v/>
      </c>
      <c r="CY43">
        <f>SUMPRODUCT((M_BOM[Part Name]=$A43)*M_BOM[RM_Qty_Per_Batch]*IFERROR(INDEX(PP_Grid[#Data],M_BOM[PPGridRow],103),0))+IFERROR(INDEX(M_RawMaterials[固定週次消費量_要入力],MATCH($A43,M_RawMaterials[Part Name],0)),0)</f>
        <v/>
      </c>
      <c r="CZ43">
        <f>SUMPRODUCT((M_BOM[Part Name]=$A43)*M_BOM[RM_Qty_Per_Batch]*IFERROR(INDEX(PP_Grid[#Data],M_BOM[PPGridRow],104),0))+IFERROR(INDEX(M_RawMaterials[固定週次消費量_要入力],MATCH($A43,M_RawMaterials[Part Name],0)),0)</f>
        <v/>
      </c>
      <c r="DA43">
        <f>SUMPRODUCT((M_BOM[Part Name]=$A43)*M_BOM[RM_Qty_Per_Batch]*IFERROR(INDEX(PP_Grid[#Data],M_BOM[PPGridRow],105),0))+IFERROR(INDEX(M_RawMaterials[固定週次消費量_要入力],MATCH($A43,M_RawMaterials[Part Name],0)),0)</f>
        <v/>
      </c>
    </row>
    <row r="44">
      <c r="A44" t="inlineStr">
        <is>
          <t>CHEM-1570</t>
        </is>
      </c>
      <c r="B44">
        <f>SUMPRODUCT((M_BOM[Part Name]=$A44)*M_BOM[RM_Qty_Per_Batch]*IFERROR(INDEX(PP_Grid[#Data],M_BOM[PPGridRow],2),0))+IFERROR(INDEX(M_RawMaterials[固定週次消費量_要入力],MATCH($A44,M_RawMaterials[Part Name],0)),0)</f>
        <v/>
      </c>
      <c r="C44">
        <f>SUMPRODUCT((M_BOM[Part Name]=$A44)*M_BOM[RM_Qty_Per_Batch]*IFERROR(INDEX(PP_Grid[#Data],M_BOM[PPGridRow],3),0))+IFERROR(INDEX(M_RawMaterials[固定週次消費量_要入力],MATCH($A44,M_RawMaterials[Part Name],0)),0)</f>
        <v/>
      </c>
      <c r="D44">
        <f>SUMPRODUCT((M_BOM[Part Name]=$A44)*M_BOM[RM_Qty_Per_Batch]*IFERROR(INDEX(PP_Grid[#Data],M_BOM[PPGridRow],4),0))+IFERROR(INDEX(M_RawMaterials[固定週次消費量_要入力],MATCH($A44,M_RawMaterials[Part Name],0)),0)</f>
        <v/>
      </c>
      <c r="E44">
        <f>SUMPRODUCT((M_BOM[Part Name]=$A44)*M_BOM[RM_Qty_Per_Batch]*IFERROR(INDEX(PP_Grid[#Data],M_BOM[PPGridRow],5),0))+IFERROR(INDEX(M_RawMaterials[固定週次消費量_要入力],MATCH($A44,M_RawMaterials[Part Name],0)),0)</f>
        <v/>
      </c>
      <c r="F44">
        <f>SUMPRODUCT((M_BOM[Part Name]=$A44)*M_BOM[RM_Qty_Per_Batch]*IFERROR(INDEX(PP_Grid[#Data],M_BOM[PPGridRow],6),0))+IFERROR(INDEX(M_RawMaterials[固定週次消費量_要入力],MATCH($A44,M_RawMaterials[Part Name],0)),0)</f>
        <v/>
      </c>
      <c r="G44">
        <f>SUMPRODUCT((M_BOM[Part Name]=$A44)*M_BOM[RM_Qty_Per_Batch]*IFERROR(INDEX(PP_Grid[#Data],M_BOM[PPGridRow],7),0))+IFERROR(INDEX(M_RawMaterials[固定週次消費量_要入力],MATCH($A44,M_RawMaterials[Part Name],0)),0)</f>
        <v/>
      </c>
      <c r="H44">
        <f>SUMPRODUCT((M_BOM[Part Name]=$A44)*M_BOM[RM_Qty_Per_Batch]*IFERROR(INDEX(PP_Grid[#Data],M_BOM[PPGridRow],8),0))+IFERROR(INDEX(M_RawMaterials[固定週次消費量_要入力],MATCH($A44,M_RawMaterials[Part Name],0)),0)</f>
        <v/>
      </c>
      <c r="I44">
        <f>SUMPRODUCT((M_BOM[Part Name]=$A44)*M_BOM[RM_Qty_Per_Batch]*IFERROR(INDEX(PP_Grid[#Data],M_BOM[PPGridRow],9),0))+IFERROR(INDEX(M_RawMaterials[固定週次消費量_要入力],MATCH($A44,M_RawMaterials[Part Name],0)),0)</f>
        <v/>
      </c>
      <c r="J44">
        <f>SUMPRODUCT((M_BOM[Part Name]=$A44)*M_BOM[RM_Qty_Per_Batch]*IFERROR(INDEX(PP_Grid[#Data],M_BOM[PPGridRow],10),0))+IFERROR(INDEX(M_RawMaterials[固定週次消費量_要入力],MATCH($A44,M_RawMaterials[Part Name],0)),0)</f>
        <v/>
      </c>
      <c r="K44">
        <f>SUMPRODUCT((M_BOM[Part Name]=$A44)*M_BOM[RM_Qty_Per_Batch]*IFERROR(INDEX(PP_Grid[#Data],M_BOM[PPGridRow],11),0))+IFERROR(INDEX(M_RawMaterials[固定週次消費量_要入力],MATCH($A44,M_RawMaterials[Part Name],0)),0)</f>
        <v/>
      </c>
      <c r="L44">
        <f>SUMPRODUCT((M_BOM[Part Name]=$A44)*M_BOM[RM_Qty_Per_Batch]*IFERROR(INDEX(PP_Grid[#Data],M_BOM[PPGridRow],12),0))+IFERROR(INDEX(M_RawMaterials[固定週次消費量_要入力],MATCH($A44,M_RawMaterials[Part Name],0)),0)</f>
        <v/>
      </c>
      <c r="M44">
        <f>SUMPRODUCT((M_BOM[Part Name]=$A44)*M_BOM[RM_Qty_Per_Batch]*IFERROR(INDEX(PP_Grid[#Data],M_BOM[PPGridRow],13),0))+IFERROR(INDEX(M_RawMaterials[固定週次消費量_要入力],MATCH($A44,M_RawMaterials[Part Name],0)),0)</f>
        <v/>
      </c>
      <c r="N44">
        <f>SUMPRODUCT((M_BOM[Part Name]=$A44)*M_BOM[RM_Qty_Per_Batch]*IFERROR(INDEX(PP_Grid[#Data],M_BOM[PPGridRow],14),0))+IFERROR(INDEX(M_RawMaterials[固定週次消費量_要入力],MATCH($A44,M_RawMaterials[Part Name],0)),0)</f>
        <v/>
      </c>
      <c r="O44">
        <f>SUMPRODUCT((M_BOM[Part Name]=$A44)*M_BOM[RM_Qty_Per_Batch]*IFERROR(INDEX(PP_Grid[#Data],M_BOM[PPGridRow],15),0))+IFERROR(INDEX(M_RawMaterials[固定週次消費量_要入力],MATCH($A44,M_RawMaterials[Part Name],0)),0)</f>
        <v/>
      </c>
      <c r="P44">
        <f>SUMPRODUCT((M_BOM[Part Name]=$A44)*M_BOM[RM_Qty_Per_Batch]*IFERROR(INDEX(PP_Grid[#Data],M_BOM[PPGridRow],16),0))+IFERROR(INDEX(M_RawMaterials[固定週次消費量_要入力],MATCH($A44,M_RawMaterials[Part Name],0)),0)</f>
        <v/>
      </c>
      <c r="Q44">
        <f>SUMPRODUCT((M_BOM[Part Name]=$A44)*M_BOM[RM_Qty_Per_Batch]*IFERROR(INDEX(PP_Grid[#Data],M_BOM[PPGridRow],17),0))+IFERROR(INDEX(M_RawMaterials[固定週次消費量_要入力],MATCH($A44,M_RawMaterials[Part Name],0)),0)</f>
        <v/>
      </c>
      <c r="R44">
        <f>SUMPRODUCT((M_BOM[Part Name]=$A44)*M_BOM[RM_Qty_Per_Batch]*IFERROR(INDEX(PP_Grid[#Data],M_BOM[PPGridRow],18),0))+IFERROR(INDEX(M_RawMaterials[固定週次消費量_要入力],MATCH($A44,M_RawMaterials[Part Name],0)),0)</f>
        <v/>
      </c>
      <c r="S44">
        <f>SUMPRODUCT((M_BOM[Part Name]=$A44)*M_BOM[RM_Qty_Per_Batch]*IFERROR(INDEX(PP_Grid[#Data],M_BOM[PPGridRow],19),0))+IFERROR(INDEX(M_RawMaterials[固定週次消費量_要入力],MATCH($A44,M_RawMaterials[Part Name],0)),0)</f>
        <v/>
      </c>
      <c r="T44">
        <f>SUMPRODUCT((M_BOM[Part Name]=$A44)*M_BOM[RM_Qty_Per_Batch]*IFERROR(INDEX(PP_Grid[#Data],M_BOM[PPGridRow],20),0))+IFERROR(INDEX(M_RawMaterials[固定週次消費量_要入力],MATCH($A44,M_RawMaterials[Part Name],0)),0)</f>
        <v/>
      </c>
      <c r="U44">
        <f>SUMPRODUCT((M_BOM[Part Name]=$A44)*M_BOM[RM_Qty_Per_Batch]*IFERROR(INDEX(PP_Grid[#Data],M_BOM[PPGridRow],21),0))+IFERROR(INDEX(M_RawMaterials[固定週次消費量_要入力],MATCH($A44,M_RawMaterials[Part Name],0)),0)</f>
        <v/>
      </c>
      <c r="V44">
        <f>SUMPRODUCT((M_BOM[Part Name]=$A44)*M_BOM[RM_Qty_Per_Batch]*IFERROR(INDEX(PP_Grid[#Data],M_BOM[PPGridRow],22),0))+IFERROR(INDEX(M_RawMaterials[固定週次消費量_要入力],MATCH($A44,M_RawMaterials[Part Name],0)),0)</f>
        <v/>
      </c>
      <c r="W44">
        <f>SUMPRODUCT((M_BOM[Part Name]=$A44)*M_BOM[RM_Qty_Per_Batch]*IFERROR(INDEX(PP_Grid[#Data],M_BOM[PPGridRow],23),0))+IFERROR(INDEX(M_RawMaterials[固定週次消費量_要入力],MATCH($A44,M_RawMaterials[Part Name],0)),0)</f>
        <v/>
      </c>
      <c r="X44">
        <f>SUMPRODUCT((M_BOM[Part Name]=$A44)*M_BOM[RM_Qty_Per_Batch]*IFERROR(INDEX(PP_Grid[#Data],M_BOM[PPGridRow],24),0))+IFERROR(INDEX(M_RawMaterials[固定週次消費量_要入力],MATCH($A44,M_RawMaterials[Part Name],0)),0)</f>
        <v/>
      </c>
      <c r="Y44">
        <f>SUMPRODUCT((M_BOM[Part Name]=$A44)*M_BOM[RM_Qty_Per_Batch]*IFERROR(INDEX(PP_Grid[#Data],M_BOM[PPGridRow],25),0))+IFERROR(INDEX(M_RawMaterials[固定週次消費量_要入力],MATCH($A44,M_RawMaterials[Part Name],0)),0)</f>
        <v/>
      </c>
      <c r="Z44">
        <f>SUMPRODUCT((M_BOM[Part Name]=$A44)*M_BOM[RM_Qty_Per_Batch]*IFERROR(INDEX(PP_Grid[#Data],M_BOM[PPGridRow],26),0))+IFERROR(INDEX(M_RawMaterials[固定週次消費量_要入力],MATCH($A44,M_RawMaterials[Part Name],0)),0)</f>
        <v/>
      </c>
      <c r="AA44">
        <f>SUMPRODUCT((M_BOM[Part Name]=$A44)*M_BOM[RM_Qty_Per_Batch]*IFERROR(INDEX(PP_Grid[#Data],M_BOM[PPGridRow],27),0))+IFERROR(INDEX(M_RawMaterials[固定週次消費量_要入力],MATCH($A44,M_RawMaterials[Part Name],0)),0)</f>
        <v/>
      </c>
      <c r="AB44">
        <f>SUMPRODUCT((M_BOM[Part Name]=$A44)*M_BOM[RM_Qty_Per_Batch]*IFERROR(INDEX(PP_Grid[#Data],M_BOM[PPGridRow],28),0))+IFERROR(INDEX(M_RawMaterials[固定週次消費量_要入力],MATCH($A44,M_RawMaterials[Part Name],0)),0)</f>
        <v/>
      </c>
      <c r="AC44">
        <f>SUMPRODUCT((M_BOM[Part Name]=$A44)*M_BOM[RM_Qty_Per_Batch]*IFERROR(INDEX(PP_Grid[#Data],M_BOM[PPGridRow],29),0))+IFERROR(INDEX(M_RawMaterials[固定週次消費量_要入力],MATCH($A44,M_RawMaterials[Part Name],0)),0)</f>
        <v/>
      </c>
      <c r="AD44">
        <f>SUMPRODUCT((M_BOM[Part Name]=$A44)*M_BOM[RM_Qty_Per_Batch]*IFERROR(INDEX(PP_Grid[#Data],M_BOM[PPGridRow],30),0))+IFERROR(INDEX(M_RawMaterials[固定週次消費量_要入力],MATCH($A44,M_RawMaterials[Part Name],0)),0)</f>
        <v/>
      </c>
      <c r="AE44">
        <f>SUMPRODUCT((M_BOM[Part Name]=$A44)*M_BOM[RM_Qty_Per_Batch]*IFERROR(INDEX(PP_Grid[#Data],M_BOM[PPGridRow],31),0))+IFERROR(INDEX(M_RawMaterials[固定週次消費量_要入力],MATCH($A44,M_RawMaterials[Part Name],0)),0)</f>
        <v/>
      </c>
      <c r="AF44">
        <f>SUMPRODUCT((M_BOM[Part Name]=$A44)*M_BOM[RM_Qty_Per_Batch]*IFERROR(INDEX(PP_Grid[#Data],M_BOM[PPGridRow],32),0))+IFERROR(INDEX(M_RawMaterials[固定週次消費量_要入力],MATCH($A44,M_RawMaterials[Part Name],0)),0)</f>
        <v/>
      </c>
      <c r="AG44">
        <f>SUMPRODUCT((M_BOM[Part Name]=$A44)*M_BOM[RM_Qty_Per_Batch]*IFERROR(INDEX(PP_Grid[#Data],M_BOM[PPGridRow],33),0))+IFERROR(INDEX(M_RawMaterials[固定週次消費量_要入力],MATCH($A44,M_RawMaterials[Part Name],0)),0)</f>
        <v/>
      </c>
      <c r="AH44">
        <f>SUMPRODUCT((M_BOM[Part Name]=$A44)*M_BOM[RM_Qty_Per_Batch]*IFERROR(INDEX(PP_Grid[#Data],M_BOM[PPGridRow],34),0))+IFERROR(INDEX(M_RawMaterials[固定週次消費量_要入力],MATCH($A44,M_RawMaterials[Part Name],0)),0)</f>
        <v/>
      </c>
      <c r="AI44">
        <f>SUMPRODUCT((M_BOM[Part Name]=$A44)*M_BOM[RM_Qty_Per_Batch]*IFERROR(INDEX(PP_Grid[#Data],M_BOM[PPGridRow],35),0))+IFERROR(INDEX(M_RawMaterials[固定週次消費量_要入力],MATCH($A44,M_RawMaterials[Part Name],0)),0)</f>
        <v/>
      </c>
      <c r="AJ44">
        <f>SUMPRODUCT((M_BOM[Part Name]=$A44)*M_BOM[RM_Qty_Per_Batch]*IFERROR(INDEX(PP_Grid[#Data],M_BOM[PPGridRow],36),0))+IFERROR(INDEX(M_RawMaterials[固定週次消費量_要入力],MATCH($A44,M_RawMaterials[Part Name],0)),0)</f>
        <v/>
      </c>
      <c r="AK44">
        <f>SUMPRODUCT((M_BOM[Part Name]=$A44)*M_BOM[RM_Qty_Per_Batch]*IFERROR(INDEX(PP_Grid[#Data],M_BOM[PPGridRow],37),0))+IFERROR(INDEX(M_RawMaterials[固定週次消費量_要入力],MATCH($A44,M_RawMaterials[Part Name],0)),0)</f>
        <v/>
      </c>
      <c r="AL44">
        <f>SUMPRODUCT((M_BOM[Part Name]=$A44)*M_BOM[RM_Qty_Per_Batch]*IFERROR(INDEX(PP_Grid[#Data],M_BOM[PPGridRow],38),0))+IFERROR(INDEX(M_RawMaterials[固定週次消費量_要入力],MATCH($A44,M_RawMaterials[Part Name],0)),0)</f>
        <v/>
      </c>
      <c r="AM44">
        <f>SUMPRODUCT((M_BOM[Part Name]=$A44)*M_BOM[RM_Qty_Per_Batch]*IFERROR(INDEX(PP_Grid[#Data],M_BOM[PPGridRow],39),0))+IFERROR(INDEX(M_RawMaterials[固定週次消費量_要入力],MATCH($A44,M_RawMaterials[Part Name],0)),0)</f>
        <v/>
      </c>
      <c r="AN44">
        <f>SUMPRODUCT((M_BOM[Part Name]=$A44)*M_BOM[RM_Qty_Per_Batch]*IFERROR(INDEX(PP_Grid[#Data],M_BOM[PPGridRow],40),0))+IFERROR(INDEX(M_RawMaterials[固定週次消費量_要入力],MATCH($A44,M_RawMaterials[Part Name],0)),0)</f>
        <v/>
      </c>
      <c r="AO44">
        <f>SUMPRODUCT((M_BOM[Part Name]=$A44)*M_BOM[RM_Qty_Per_Batch]*IFERROR(INDEX(PP_Grid[#Data],M_BOM[PPGridRow],41),0))+IFERROR(INDEX(M_RawMaterials[固定週次消費量_要入力],MATCH($A44,M_RawMaterials[Part Name],0)),0)</f>
        <v/>
      </c>
      <c r="AP44">
        <f>SUMPRODUCT((M_BOM[Part Name]=$A44)*M_BOM[RM_Qty_Per_Batch]*IFERROR(INDEX(PP_Grid[#Data],M_BOM[PPGridRow],42),0))+IFERROR(INDEX(M_RawMaterials[固定週次消費量_要入力],MATCH($A44,M_RawMaterials[Part Name],0)),0)</f>
        <v/>
      </c>
      <c r="AQ44">
        <f>SUMPRODUCT((M_BOM[Part Name]=$A44)*M_BOM[RM_Qty_Per_Batch]*IFERROR(INDEX(PP_Grid[#Data],M_BOM[PPGridRow],43),0))+IFERROR(INDEX(M_RawMaterials[固定週次消費量_要入力],MATCH($A44,M_RawMaterials[Part Name],0)),0)</f>
        <v/>
      </c>
      <c r="AR44">
        <f>SUMPRODUCT((M_BOM[Part Name]=$A44)*M_BOM[RM_Qty_Per_Batch]*IFERROR(INDEX(PP_Grid[#Data],M_BOM[PPGridRow],44),0))+IFERROR(INDEX(M_RawMaterials[固定週次消費量_要入力],MATCH($A44,M_RawMaterials[Part Name],0)),0)</f>
        <v/>
      </c>
      <c r="AS44">
        <f>SUMPRODUCT((M_BOM[Part Name]=$A44)*M_BOM[RM_Qty_Per_Batch]*IFERROR(INDEX(PP_Grid[#Data],M_BOM[PPGridRow],45),0))+IFERROR(INDEX(M_RawMaterials[固定週次消費量_要入力],MATCH($A44,M_RawMaterials[Part Name],0)),0)</f>
        <v/>
      </c>
      <c r="AT44">
        <f>SUMPRODUCT((M_BOM[Part Name]=$A44)*M_BOM[RM_Qty_Per_Batch]*IFERROR(INDEX(PP_Grid[#Data],M_BOM[PPGridRow],46),0))+IFERROR(INDEX(M_RawMaterials[固定週次消費量_要入力],MATCH($A44,M_RawMaterials[Part Name],0)),0)</f>
        <v/>
      </c>
      <c r="AU44">
        <f>SUMPRODUCT((M_BOM[Part Name]=$A44)*M_BOM[RM_Qty_Per_Batch]*IFERROR(INDEX(PP_Grid[#Data],M_BOM[PPGridRow],47),0))+IFERROR(INDEX(M_RawMaterials[固定週次消費量_要入力],MATCH($A44,M_RawMaterials[Part Name],0)),0)</f>
        <v/>
      </c>
      <c r="AV44">
        <f>SUMPRODUCT((M_BOM[Part Name]=$A44)*M_BOM[RM_Qty_Per_Batch]*IFERROR(INDEX(PP_Grid[#Data],M_BOM[PPGridRow],48),0))+IFERROR(INDEX(M_RawMaterials[固定週次消費量_要入力],MATCH($A44,M_RawMaterials[Part Name],0)),0)</f>
        <v/>
      </c>
      <c r="AW44">
        <f>SUMPRODUCT((M_BOM[Part Name]=$A44)*M_BOM[RM_Qty_Per_Batch]*IFERROR(INDEX(PP_Grid[#Data],M_BOM[PPGridRow],49),0))+IFERROR(INDEX(M_RawMaterials[固定週次消費量_要入力],MATCH($A44,M_RawMaterials[Part Name],0)),0)</f>
        <v/>
      </c>
      <c r="AX44">
        <f>SUMPRODUCT((M_BOM[Part Name]=$A44)*M_BOM[RM_Qty_Per_Batch]*IFERROR(INDEX(PP_Grid[#Data],M_BOM[PPGridRow],50),0))+IFERROR(INDEX(M_RawMaterials[固定週次消費量_要入力],MATCH($A44,M_RawMaterials[Part Name],0)),0)</f>
        <v/>
      </c>
      <c r="AY44">
        <f>SUMPRODUCT((M_BOM[Part Name]=$A44)*M_BOM[RM_Qty_Per_Batch]*IFERROR(INDEX(PP_Grid[#Data],M_BOM[PPGridRow],51),0))+IFERROR(INDEX(M_RawMaterials[固定週次消費量_要入力],MATCH($A44,M_RawMaterials[Part Name],0)),0)</f>
        <v/>
      </c>
      <c r="AZ44">
        <f>SUMPRODUCT((M_BOM[Part Name]=$A44)*M_BOM[RM_Qty_Per_Batch]*IFERROR(INDEX(PP_Grid[#Data],M_BOM[PPGridRow],52),0))+IFERROR(INDEX(M_RawMaterials[固定週次消費量_要入力],MATCH($A44,M_RawMaterials[Part Name],0)),0)</f>
        <v/>
      </c>
      <c r="BA44">
        <f>SUMPRODUCT((M_BOM[Part Name]=$A44)*M_BOM[RM_Qty_Per_Batch]*IFERROR(INDEX(PP_Grid[#Data],M_BOM[PPGridRow],53),0))+IFERROR(INDEX(M_RawMaterials[固定週次消費量_要入力],MATCH($A44,M_RawMaterials[Part Name],0)),0)</f>
        <v/>
      </c>
      <c r="BB44">
        <f>SUMPRODUCT((M_BOM[Part Name]=$A44)*M_BOM[RM_Qty_Per_Batch]*IFERROR(INDEX(PP_Grid[#Data],M_BOM[PPGridRow],54),0))+IFERROR(INDEX(M_RawMaterials[固定週次消費量_要入力],MATCH($A44,M_RawMaterials[Part Name],0)),0)</f>
        <v/>
      </c>
      <c r="BC44">
        <f>SUMPRODUCT((M_BOM[Part Name]=$A44)*M_BOM[RM_Qty_Per_Batch]*IFERROR(INDEX(PP_Grid[#Data],M_BOM[PPGridRow],55),0))+IFERROR(INDEX(M_RawMaterials[固定週次消費量_要入力],MATCH($A44,M_RawMaterials[Part Name],0)),0)</f>
        <v/>
      </c>
      <c r="BD44">
        <f>SUMPRODUCT((M_BOM[Part Name]=$A44)*M_BOM[RM_Qty_Per_Batch]*IFERROR(INDEX(PP_Grid[#Data],M_BOM[PPGridRow],56),0))+IFERROR(INDEX(M_RawMaterials[固定週次消費量_要入力],MATCH($A44,M_RawMaterials[Part Name],0)),0)</f>
        <v/>
      </c>
      <c r="BE44">
        <f>SUMPRODUCT((M_BOM[Part Name]=$A44)*M_BOM[RM_Qty_Per_Batch]*IFERROR(INDEX(PP_Grid[#Data],M_BOM[PPGridRow],57),0))+IFERROR(INDEX(M_RawMaterials[固定週次消費量_要入力],MATCH($A44,M_RawMaterials[Part Name],0)),0)</f>
        <v/>
      </c>
      <c r="BF44">
        <f>SUMPRODUCT((M_BOM[Part Name]=$A44)*M_BOM[RM_Qty_Per_Batch]*IFERROR(INDEX(PP_Grid[#Data],M_BOM[PPGridRow],58),0))+IFERROR(INDEX(M_RawMaterials[固定週次消費量_要入力],MATCH($A44,M_RawMaterials[Part Name],0)),0)</f>
        <v/>
      </c>
      <c r="BG44">
        <f>SUMPRODUCT((M_BOM[Part Name]=$A44)*M_BOM[RM_Qty_Per_Batch]*IFERROR(INDEX(PP_Grid[#Data],M_BOM[PPGridRow],59),0))+IFERROR(INDEX(M_RawMaterials[固定週次消費量_要入力],MATCH($A44,M_RawMaterials[Part Name],0)),0)</f>
        <v/>
      </c>
      <c r="BH44">
        <f>SUMPRODUCT((M_BOM[Part Name]=$A44)*M_BOM[RM_Qty_Per_Batch]*IFERROR(INDEX(PP_Grid[#Data],M_BOM[PPGridRow],60),0))+IFERROR(INDEX(M_RawMaterials[固定週次消費量_要入力],MATCH($A44,M_RawMaterials[Part Name],0)),0)</f>
        <v/>
      </c>
      <c r="BI44">
        <f>SUMPRODUCT((M_BOM[Part Name]=$A44)*M_BOM[RM_Qty_Per_Batch]*IFERROR(INDEX(PP_Grid[#Data],M_BOM[PPGridRow],61),0))+IFERROR(INDEX(M_RawMaterials[固定週次消費量_要入力],MATCH($A44,M_RawMaterials[Part Name],0)),0)</f>
        <v/>
      </c>
      <c r="BJ44">
        <f>SUMPRODUCT((M_BOM[Part Name]=$A44)*M_BOM[RM_Qty_Per_Batch]*IFERROR(INDEX(PP_Grid[#Data],M_BOM[PPGridRow],62),0))+IFERROR(INDEX(M_RawMaterials[固定週次消費量_要入力],MATCH($A44,M_RawMaterials[Part Name],0)),0)</f>
        <v/>
      </c>
      <c r="BK44">
        <f>SUMPRODUCT((M_BOM[Part Name]=$A44)*M_BOM[RM_Qty_Per_Batch]*IFERROR(INDEX(PP_Grid[#Data],M_BOM[PPGridRow],63),0))+IFERROR(INDEX(M_RawMaterials[固定週次消費量_要入力],MATCH($A44,M_RawMaterials[Part Name],0)),0)</f>
        <v/>
      </c>
      <c r="BL44">
        <f>SUMPRODUCT((M_BOM[Part Name]=$A44)*M_BOM[RM_Qty_Per_Batch]*IFERROR(INDEX(PP_Grid[#Data],M_BOM[PPGridRow],64),0))+IFERROR(INDEX(M_RawMaterials[固定週次消費量_要入力],MATCH($A44,M_RawMaterials[Part Name],0)),0)</f>
        <v/>
      </c>
      <c r="BM44">
        <f>SUMPRODUCT((M_BOM[Part Name]=$A44)*M_BOM[RM_Qty_Per_Batch]*IFERROR(INDEX(PP_Grid[#Data],M_BOM[PPGridRow],65),0))+IFERROR(INDEX(M_RawMaterials[固定週次消費量_要入力],MATCH($A44,M_RawMaterials[Part Name],0)),0)</f>
        <v/>
      </c>
      <c r="BN44">
        <f>SUMPRODUCT((M_BOM[Part Name]=$A44)*M_BOM[RM_Qty_Per_Batch]*IFERROR(INDEX(PP_Grid[#Data],M_BOM[PPGridRow],66),0))+IFERROR(INDEX(M_RawMaterials[固定週次消費量_要入力],MATCH($A44,M_RawMaterials[Part Name],0)),0)</f>
        <v/>
      </c>
      <c r="BO44">
        <f>SUMPRODUCT((M_BOM[Part Name]=$A44)*M_BOM[RM_Qty_Per_Batch]*IFERROR(INDEX(PP_Grid[#Data],M_BOM[PPGridRow],67),0))+IFERROR(INDEX(M_RawMaterials[固定週次消費量_要入力],MATCH($A44,M_RawMaterials[Part Name],0)),0)</f>
        <v/>
      </c>
      <c r="BP44">
        <f>SUMPRODUCT((M_BOM[Part Name]=$A44)*M_BOM[RM_Qty_Per_Batch]*IFERROR(INDEX(PP_Grid[#Data],M_BOM[PPGridRow],68),0))+IFERROR(INDEX(M_RawMaterials[固定週次消費量_要入力],MATCH($A44,M_RawMaterials[Part Name],0)),0)</f>
        <v/>
      </c>
      <c r="BQ44">
        <f>SUMPRODUCT((M_BOM[Part Name]=$A44)*M_BOM[RM_Qty_Per_Batch]*IFERROR(INDEX(PP_Grid[#Data],M_BOM[PPGridRow],69),0))+IFERROR(INDEX(M_RawMaterials[固定週次消費量_要入力],MATCH($A44,M_RawMaterials[Part Name],0)),0)</f>
        <v/>
      </c>
      <c r="BR44">
        <f>SUMPRODUCT((M_BOM[Part Name]=$A44)*M_BOM[RM_Qty_Per_Batch]*IFERROR(INDEX(PP_Grid[#Data],M_BOM[PPGridRow],70),0))+IFERROR(INDEX(M_RawMaterials[固定週次消費量_要入力],MATCH($A44,M_RawMaterials[Part Name],0)),0)</f>
        <v/>
      </c>
      <c r="BS44">
        <f>SUMPRODUCT((M_BOM[Part Name]=$A44)*M_BOM[RM_Qty_Per_Batch]*IFERROR(INDEX(PP_Grid[#Data],M_BOM[PPGridRow],71),0))+IFERROR(INDEX(M_RawMaterials[固定週次消費量_要入力],MATCH($A44,M_RawMaterials[Part Name],0)),0)</f>
        <v/>
      </c>
      <c r="BT44">
        <f>SUMPRODUCT((M_BOM[Part Name]=$A44)*M_BOM[RM_Qty_Per_Batch]*IFERROR(INDEX(PP_Grid[#Data],M_BOM[PPGridRow],72),0))+IFERROR(INDEX(M_RawMaterials[固定週次消費量_要入力],MATCH($A44,M_RawMaterials[Part Name],0)),0)</f>
        <v/>
      </c>
      <c r="BU44">
        <f>SUMPRODUCT((M_BOM[Part Name]=$A44)*M_BOM[RM_Qty_Per_Batch]*IFERROR(INDEX(PP_Grid[#Data],M_BOM[PPGridRow],73),0))+IFERROR(INDEX(M_RawMaterials[固定週次消費量_要入力],MATCH($A44,M_RawMaterials[Part Name],0)),0)</f>
        <v/>
      </c>
      <c r="BV44">
        <f>SUMPRODUCT((M_BOM[Part Name]=$A44)*M_BOM[RM_Qty_Per_Batch]*IFERROR(INDEX(PP_Grid[#Data],M_BOM[PPGridRow],74),0))+IFERROR(INDEX(M_RawMaterials[固定週次消費量_要入力],MATCH($A44,M_RawMaterials[Part Name],0)),0)</f>
        <v/>
      </c>
      <c r="BW44">
        <f>SUMPRODUCT((M_BOM[Part Name]=$A44)*M_BOM[RM_Qty_Per_Batch]*IFERROR(INDEX(PP_Grid[#Data],M_BOM[PPGridRow],75),0))+IFERROR(INDEX(M_RawMaterials[固定週次消費量_要入力],MATCH($A44,M_RawMaterials[Part Name],0)),0)</f>
        <v/>
      </c>
      <c r="BX44">
        <f>SUMPRODUCT((M_BOM[Part Name]=$A44)*M_BOM[RM_Qty_Per_Batch]*IFERROR(INDEX(PP_Grid[#Data],M_BOM[PPGridRow],76),0))+IFERROR(INDEX(M_RawMaterials[固定週次消費量_要入力],MATCH($A44,M_RawMaterials[Part Name],0)),0)</f>
        <v/>
      </c>
      <c r="BY44">
        <f>SUMPRODUCT((M_BOM[Part Name]=$A44)*M_BOM[RM_Qty_Per_Batch]*IFERROR(INDEX(PP_Grid[#Data],M_BOM[PPGridRow],77),0))+IFERROR(INDEX(M_RawMaterials[固定週次消費量_要入力],MATCH($A44,M_RawMaterials[Part Name],0)),0)</f>
        <v/>
      </c>
      <c r="BZ44">
        <f>SUMPRODUCT((M_BOM[Part Name]=$A44)*M_BOM[RM_Qty_Per_Batch]*IFERROR(INDEX(PP_Grid[#Data],M_BOM[PPGridRow],78),0))+IFERROR(INDEX(M_RawMaterials[固定週次消費量_要入力],MATCH($A44,M_RawMaterials[Part Name],0)),0)</f>
        <v/>
      </c>
      <c r="CA44">
        <f>SUMPRODUCT((M_BOM[Part Name]=$A44)*M_BOM[RM_Qty_Per_Batch]*IFERROR(INDEX(PP_Grid[#Data],M_BOM[PPGridRow],79),0))+IFERROR(INDEX(M_RawMaterials[固定週次消費量_要入力],MATCH($A44,M_RawMaterials[Part Name],0)),0)</f>
        <v/>
      </c>
      <c r="CB44">
        <f>SUMPRODUCT((M_BOM[Part Name]=$A44)*M_BOM[RM_Qty_Per_Batch]*IFERROR(INDEX(PP_Grid[#Data],M_BOM[PPGridRow],80),0))+IFERROR(INDEX(M_RawMaterials[固定週次消費量_要入力],MATCH($A44,M_RawMaterials[Part Name],0)),0)</f>
        <v/>
      </c>
      <c r="CC44">
        <f>SUMPRODUCT((M_BOM[Part Name]=$A44)*M_BOM[RM_Qty_Per_Batch]*IFERROR(INDEX(PP_Grid[#Data],M_BOM[PPGridRow],81),0))+IFERROR(INDEX(M_RawMaterials[固定週次消費量_要入力],MATCH($A44,M_RawMaterials[Part Name],0)),0)</f>
        <v/>
      </c>
      <c r="CD44">
        <f>SUMPRODUCT((M_BOM[Part Name]=$A44)*M_BOM[RM_Qty_Per_Batch]*IFERROR(INDEX(PP_Grid[#Data],M_BOM[PPGridRow],82),0))+IFERROR(INDEX(M_RawMaterials[固定週次消費量_要入力],MATCH($A44,M_RawMaterials[Part Name],0)),0)</f>
        <v/>
      </c>
      <c r="CE44">
        <f>SUMPRODUCT((M_BOM[Part Name]=$A44)*M_BOM[RM_Qty_Per_Batch]*IFERROR(INDEX(PP_Grid[#Data],M_BOM[PPGridRow],83),0))+IFERROR(INDEX(M_RawMaterials[固定週次消費量_要入力],MATCH($A44,M_RawMaterials[Part Name],0)),0)</f>
        <v/>
      </c>
      <c r="CF44">
        <f>SUMPRODUCT((M_BOM[Part Name]=$A44)*M_BOM[RM_Qty_Per_Batch]*IFERROR(INDEX(PP_Grid[#Data],M_BOM[PPGridRow],84),0))+IFERROR(INDEX(M_RawMaterials[固定週次消費量_要入力],MATCH($A44,M_RawMaterials[Part Name],0)),0)</f>
        <v/>
      </c>
      <c r="CG44">
        <f>SUMPRODUCT((M_BOM[Part Name]=$A44)*M_BOM[RM_Qty_Per_Batch]*IFERROR(INDEX(PP_Grid[#Data],M_BOM[PPGridRow],85),0))+IFERROR(INDEX(M_RawMaterials[固定週次消費量_要入力],MATCH($A44,M_RawMaterials[Part Name],0)),0)</f>
        <v/>
      </c>
      <c r="CH44">
        <f>SUMPRODUCT((M_BOM[Part Name]=$A44)*M_BOM[RM_Qty_Per_Batch]*IFERROR(INDEX(PP_Grid[#Data],M_BOM[PPGridRow],86),0))+IFERROR(INDEX(M_RawMaterials[固定週次消費量_要入力],MATCH($A44,M_RawMaterials[Part Name],0)),0)</f>
        <v/>
      </c>
      <c r="CI44">
        <f>SUMPRODUCT((M_BOM[Part Name]=$A44)*M_BOM[RM_Qty_Per_Batch]*IFERROR(INDEX(PP_Grid[#Data],M_BOM[PPGridRow],87),0))+IFERROR(INDEX(M_RawMaterials[固定週次消費量_要入力],MATCH($A44,M_RawMaterials[Part Name],0)),0)</f>
        <v/>
      </c>
      <c r="CJ44">
        <f>SUMPRODUCT((M_BOM[Part Name]=$A44)*M_BOM[RM_Qty_Per_Batch]*IFERROR(INDEX(PP_Grid[#Data],M_BOM[PPGridRow],88),0))+IFERROR(INDEX(M_RawMaterials[固定週次消費量_要入力],MATCH($A44,M_RawMaterials[Part Name],0)),0)</f>
        <v/>
      </c>
      <c r="CK44">
        <f>SUMPRODUCT((M_BOM[Part Name]=$A44)*M_BOM[RM_Qty_Per_Batch]*IFERROR(INDEX(PP_Grid[#Data],M_BOM[PPGridRow],89),0))+IFERROR(INDEX(M_RawMaterials[固定週次消費量_要入力],MATCH($A44,M_RawMaterials[Part Name],0)),0)</f>
        <v/>
      </c>
      <c r="CL44">
        <f>SUMPRODUCT((M_BOM[Part Name]=$A44)*M_BOM[RM_Qty_Per_Batch]*IFERROR(INDEX(PP_Grid[#Data],M_BOM[PPGridRow],90),0))+IFERROR(INDEX(M_RawMaterials[固定週次消費量_要入力],MATCH($A44,M_RawMaterials[Part Name],0)),0)</f>
        <v/>
      </c>
      <c r="CM44">
        <f>SUMPRODUCT((M_BOM[Part Name]=$A44)*M_BOM[RM_Qty_Per_Batch]*IFERROR(INDEX(PP_Grid[#Data],M_BOM[PPGridRow],91),0))+IFERROR(INDEX(M_RawMaterials[固定週次消費量_要入力],MATCH($A44,M_RawMaterials[Part Name],0)),0)</f>
        <v/>
      </c>
      <c r="CN44">
        <f>SUMPRODUCT((M_BOM[Part Name]=$A44)*M_BOM[RM_Qty_Per_Batch]*IFERROR(INDEX(PP_Grid[#Data],M_BOM[PPGridRow],92),0))+IFERROR(INDEX(M_RawMaterials[固定週次消費量_要入力],MATCH($A44,M_RawMaterials[Part Name],0)),0)</f>
        <v/>
      </c>
      <c r="CO44">
        <f>SUMPRODUCT((M_BOM[Part Name]=$A44)*M_BOM[RM_Qty_Per_Batch]*IFERROR(INDEX(PP_Grid[#Data],M_BOM[PPGridRow],93),0))+IFERROR(INDEX(M_RawMaterials[固定週次消費量_要入力],MATCH($A44,M_RawMaterials[Part Name],0)),0)</f>
        <v/>
      </c>
      <c r="CP44">
        <f>SUMPRODUCT((M_BOM[Part Name]=$A44)*M_BOM[RM_Qty_Per_Batch]*IFERROR(INDEX(PP_Grid[#Data],M_BOM[PPGridRow],94),0))+IFERROR(INDEX(M_RawMaterials[固定週次消費量_要入力],MATCH($A44,M_RawMaterials[Part Name],0)),0)</f>
        <v/>
      </c>
      <c r="CQ44">
        <f>SUMPRODUCT((M_BOM[Part Name]=$A44)*M_BOM[RM_Qty_Per_Batch]*IFERROR(INDEX(PP_Grid[#Data],M_BOM[PPGridRow],95),0))+IFERROR(INDEX(M_RawMaterials[固定週次消費量_要入力],MATCH($A44,M_RawMaterials[Part Name],0)),0)</f>
        <v/>
      </c>
      <c r="CR44">
        <f>SUMPRODUCT((M_BOM[Part Name]=$A44)*M_BOM[RM_Qty_Per_Batch]*IFERROR(INDEX(PP_Grid[#Data],M_BOM[PPGridRow],96),0))+IFERROR(INDEX(M_RawMaterials[固定週次消費量_要入力],MATCH($A44,M_RawMaterials[Part Name],0)),0)</f>
        <v/>
      </c>
      <c r="CS44">
        <f>SUMPRODUCT((M_BOM[Part Name]=$A44)*M_BOM[RM_Qty_Per_Batch]*IFERROR(INDEX(PP_Grid[#Data],M_BOM[PPGridRow],97),0))+IFERROR(INDEX(M_RawMaterials[固定週次消費量_要入力],MATCH($A44,M_RawMaterials[Part Name],0)),0)</f>
        <v/>
      </c>
      <c r="CT44">
        <f>SUMPRODUCT((M_BOM[Part Name]=$A44)*M_BOM[RM_Qty_Per_Batch]*IFERROR(INDEX(PP_Grid[#Data],M_BOM[PPGridRow],98),0))+IFERROR(INDEX(M_RawMaterials[固定週次消費量_要入力],MATCH($A44,M_RawMaterials[Part Name],0)),0)</f>
        <v/>
      </c>
      <c r="CU44">
        <f>SUMPRODUCT((M_BOM[Part Name]=$A44)*M_BOM[RM_Qty_Per_Batch]*IFERROR(INDEX(PP_Grid[#Data],M_BOM[PPGridRow],99),0))+IFERROR(INDEX(M_RawMaterials[固定週次消費量_要入力],MATCH($A44,M_RawMaterials[Part Name],0)),0)</f>
        <v/>
      </c>
      <c r="CV44">
        <f>SUMPRODUCT((M_BOM[Part Name]=$A44)*M_BOM[RM_Qty_Per_Batch]*IFERROR(INDEX(PP_Grid[#Data],M_BOM[PPGridRow],100),0))+IFERROR(INDEX(M_RawMaterials[固定週次消費量_要入力],MATCH($A44,M_RawMaterials[Part Name],0)),0)</f>
        <v/>
      </c>
      <c r="CW44">
        <f>SUMPRODUCT((M_BOM[Part Name]=$A44)*M_BOM[RM_Qty_Per_Batch]*IFERROR(INDEX(PP_Grid[#Data],M_BOM[PPGridRow],101),0))+IFERROR(INDEX(M_RawMaterials[固定週次消費量_要入力],MATCH($A44,M_RawMaterials[Part Name],0)),0)</f>
        <v/>
      </c>
      <c r="CX44">
        <f>SUMPRODUCT((M_BOM[Part Name]=$A44)*M_BOM[RM_Qty_Per_Batch]*IFERROR(INDEX(PP_Grid[#Data],M_BOM[PPGridRow],102),0))+IFERROR(INDEX(M_RawMaterials[固定週次消費量_要入力],MATCH($A44,M_RawMaterials[Part Name],0)),0)</f>
        <v/>
      </c>
      <c r="CY44">
        <f>SUMPRODUCT((M_BOM[Part Name]=$A44)*M_BOM[RM_Qty_Per_Batch]*IFERROR(INDEX(PP_Grid[#Data],M_BOM[PPGridRow],103),0))+IFERROR(INDEX(M_RawMaterials[固定週次消費量_要入力],MATCH($A44,M_RawMaterials[Part Name],0)),0)</f>
        <v/>
      </c>
      <c r="CZ44">
        <f>SUMPRODUCT((M_BOM[Part Name]=$A44)*M_BOM[RM_Qty_Per_Batch]*IFERROR(INDEX(PP_Grid[#Data],M_BOM[PPGridRow],104),0))+IFERROR(INDEX(M_RawMaterials[固定週次消費量_要入力],MATCH($A44,M_RawMaterials[Part Name],0)),0)</f>
        <v/>
      </c>
      <c r="DA44">
        <f>SUMPRODUCT((M_BOM[Part Name]=$A44)*M_BOM[RM_Qty_Per_Batch]*IFERROR(INDEX(PP_Grid[#Data],M_BOM[PPGridRow],105),0))+IFERROR(INDEX(M_RawMaterials[固定週次消費量_要入力],MATCH($A44,M_RawMaterials[Part Name],0)),0)</f>
        <v/>
      </c>
    </row>
    <row r="45">
      <c r="A45" t="inlineStr">
        <is>
          <t>CHEM-1450</t>
        </is>
      </c>
      <c r="B45">
        <f>SUMPRODUCT((M_BOM[Part Name]=$A45)*M_BOM[RM_Qty_Per_Batch]*IFERROR(INDEX(PP_Grid[#Data],M_BOM[PPGridRow],2),0))+IFERROR(INDEX(M_RawMaterials[固定週次消費量_要入力],MATCH($A45,M_RawMaterials[Part Name],0)),0)</f>
        <v/>
      </c>
      <c r="C45">
        <f>SUMPRODUCT((M_BOM[Part Name]=$A45)*M_BOM[RM_Qty_Per_Batch]*IFERROR(INDEX(PP_Grid[#Data],M_BOM[PPGridRow],3),0))+IFERROR(INDEX(M_RawMaterials[固定週次消費量_要入力],MATCH($A45,M_RawMaterials[Part Name],0)),0)</f>
        <v/>
      </c>
      <c r="D45">
        <f>SUMPRODUCT((M_BOM[Part Name]=$A45)*M_BOM[RM_Qty_Per_Batch]*IFERROR(INDEX(PP_Grid[#Data],M_BOM[PPGridRow],4),0))+IFERROR(INDEX(M_RawMaterials[固定週次消費量_要入力],MATCH($A45,M_RawMaterials[Part Name],0)),0)</f>
        <v/>
      </c>
      <c r="E45">
        <f>SUMPRODUCT((M_BOM[Part Name]=$A45)*M_BOM[RM_Qty_Per_Batch]*IFERROR(INDEX(PP_Grid[#Data],M_BOM[PPGridRow],5),0))+IFERROR(INDEX(M_RawMaterials[固定週次消費量_要入力],MATCH($A45,M_RawMaterials[Part Name],0)),0)</f>
        <v/>
      </c>
      <c r="F45">
        <f>SUMPRODUCT((M_BOM[Part Name]=$A45)*M_BOM[RM_Qty_Per_Batch]*IFERROR(INDEX(PP_Grid[#Data],M_BOM[PPGridRow],6),0))+IFERROR(INDEX(M_RawMaterials[固定週次消費量_要入力],MATCH($A45,M_RawMaterials[Part Name],0)),0)</f>
        <v/>
      </c>
      <c r="G45">
        <f>SUMPRODUCT((M_BOM[Part Name]=$A45)*M_BOM[RM_Qty_Per_Batch]*IFERROR(INDEX(PP_Grid[#Data],M_BOM[PPGridRow],7),0))+IFERROR(INDEX(M_RawMaterials[固定週次消費量_要入力],MATCH($A45,M_RawMaterials[Part Name],0)),0)</f>
        <v/>
      </c>
      <c r="H45">
        <f>SUMPRODUCT((M_BOM[Part Name]=$A45)*M_BOM[RM_Qty_Per_Batch]*IFERROR(INDEX(PP_Grid[#Data],M_BOM[PPGridRow],8),0))+IFERROR(INDEX(M_RawMaterials[固定週次消費量_要入力],MATCH($A45,M_RawMaterials[Part Name],0)),0)</f>
        <v/>
      </c>
      <c r="I45">
        <f>SUMPRODUCT((M_BOM[Part Name]=$A45)*M_BOM[RM_Qty_Per_Batch]*IFERROR(INDEX(PP_Grid[#Data],M_BOM[PPGridRow],9),0))+IFERROR(INDEX(M_RawMaterials[固定週次消費量_要入力],MATCH($A45,M_RawMaterials[Part Name],0)),0)</f>
        <v/>
      </c>
      <c r="J45">
        <f>SUMPRODUCT((M_BOM[Part Name]=$A45)*M_BOM[RM_Qty_Per_Batch]*IFERROR(INDEX(PP_Grid[#Data],M_BOM[PPGridRow],10),0))+IFERROR(INDEX(M_RawMaterials[固定週次消費量_要入力],MATCH($A45,M_RawMaterials[Part Name],0)),0)</f>
        <v/>
      </c>
      <c r="K45">
        <f>SUMPRODUCT((M_BOM[Part Name]=$A45)*M_BOM[RM_Qty_Per_Batch]*IFERROR(INDEX(PP_Grid[#Data],M_BOM[PPGridRow],11),0))+IFERROR(INDEX(M_RawMaterials[固定週次消費量_要入力],MATCH($A45,M_RawMaterials[Part Name],0)),0)</f>
        <v/>
      </c>
      <c r="L45">
        <f>SUMPRODUCT((M_BOM[Part Name]=$A45)*M_BOM[RM_Qty_Per_Batch]*IFERROR(INDEX(PP_Grid[#Data],M_BOM[PPGridRow],12),0))+IFERROR(INDEX(M_RawMaterials[固定週次消費量_要入力],MATCH($A45,M_RawMaterials[Part Name],0)),0)</f>
        <v/>
      </c>
      <c r="M45">
        <f>SUMPRODUCT((M_BOM[Part Name]=$A45)*M_BOM[RM_Qty_Per_Batch]*IFERROR(INDEX(PP_Grid[#Data],M_BOM[PPGridRow],13),0))+IFERROR(INDEX(M_RawMaterials[固定週次消費量_要入力],MATCH($A45,M_RawMaterials[Part Name],0)),0)</f>
        <v/>
      </c>
      <c r="N45">
        <f>SUMPRODUCT((M_BOM[Part Name]=$A45)*M_BOM[RM_Qty_Per_Batch]*IFERROR(INDEX(PP_Grid[#Data],M_BOM[PPGridRow],14),0))+IFERROR(INDEX(M_RawMaterials[固定週次消費量_要入力],MATCH($A45,M_RawMaterials[Part Name],0)),0)</f>
        <v/>
      </c>
      <c r="O45">
        <f>SUMPRODUCT((M_BOM[Part Name]=$A45)*M_BOM[RM_Qty_Per_Batch]*IFERROR(INDEX(PP_Grid[#Data],M_BOM[PPGridRow],15),0))+IFERROR(INDEX(M_RawMaterials[固定週次消費量_要入力],MATCH($A45,M_RawMaterials[Part Name],0)),0)</f>
        <v/>
      </c>
      <c r="P45">
        <f>SUMPRODUCT((M_BOM[Part Name]=$A45)*M_BOM[RM_Qty_Per_Batch]*IFERROR(INDEX(PP_Grid[#Data],M_BOM[PPGridRow],16),0))+IFERROR(INDEX(M_RawMaterials[固定週次消費量_要入力],MATCH($A45,M_RawMaterials[Part Name],0)),0)</f>
        <v/>
      </c>
      <c r="Q45">
        <f>SUMPRODUCT((M_BOM[Part Name]=$A45)*M_BOM[RM_Qty_Per_Batch]*IFERROR(INDEX(PP_Grid[#Data],M_BOM[PPGridRow],17),0))+IFERROR(INDEX(M_RawMaterials[固定週次消費量_要入力],MATCH($A45,M_RawMaterials[Part Name],0)),0)</f>
        <v/>
      </c>
      <c r="R45">
        <f>SUMPRODUCT((M_BOM[Part Name]=$A45)*M_BOM[RM_Qty_Per_Batch]*IFERROR(INDEX(PP_Grid[#Data],M_BOM[PPGridRow],18),0))+IFERROR(INDEX(M_RawMaterials[固定週次消費量_要入力],MATCH($A45,M_RawMaterials[Part Name],0)),0)</f>
        <v/>
      </c>
      <c r="S45">
        <f>SUMPRODUCT((M_BOM[Part Name]=$A45)*M_BOM[RM_Qty_Per_Batch]*IFERROR(INDEX(PP_Grid[#Data],M_BOM[PPGridRow],19),0))+IFERROR(INDEX(M_RawMaterials[固定週次消費量_要入力],MATCH($A45,M_RawMaterials[Part Name],0)),0)</f>
        <v/>
      </c>
      <c r="T45">
        <f>SUMPRODUCT((M_BOM[Part Name]=$A45)*M_BOM[RM_Qty_Per_Batch]*IFERROR(INDEX(PP_Grid[#Data],M_BOM[PPGridRow],20),0))+IFERROR(INDEX(M_RawMaterials[固定週次消費量_要入力],MATCH($A45,M_RawMaterials[Part Name],0)),0)</f>
        <v/>
      </c>
      <c r="U45">
        <f>SUMPRODUCT((M_BOM[Part Name]=$A45)*M_BOM[RM_Qty_Per_Batch]*IFERROR(INDEX(PP_Grid[#Data],M_BOM[PPGridRow],21),0))+IFERROR(INDEX(M_RawMaterials[固定週次消費量_要入力],MATCH($A45,M_RawMaterials[Part Name],0)),0)</f>
        <v/>
      </c>
      <c r="V45">
        <f>SUMPRODUCT((M_BOM[Part Name]=$A45)*M_BOM[RM_Qty_Per_Batch]*IFERROR(INDEX(PP_Grid[#Data],M_BOM[PPGridRow],22),0))+IFERROR(INDEX(M_RawMaterials[固定週次消費量_要入力],MATCH($A45,M_RawMaterials[Part Name],0)),0)</f>
        <v/>
      </c>
      <c r="W45">
        <f>SUMPRODUCT((M_BOM[Part Name]=$A45)*M_BOM[RM_Qty_Per_Batch]*IFERROR(INDEX(PP_Grid[#Data],M_BOM[PPGridRow],23),0))+IFERROR(INDEX(M_RawMaterials[固定週次消費量_要入力],MATCH($A45,M_RawMaterials[Part Name],0)),0)</f>
        <v/>
      </c>
      <c r="X45">
        <f>SUMPRODUCT((M_BOM[Part Name]=$A45)*M_BOM[RM_Qty_Per_Batch]*IFERROR(INDEX(PP_Grid[#Data],M_BOM[PPGridRow],24),0))+IFERROR(INDEX(M_RawMaterials[固定週次消費量_要入力],MATCH($A45,M_RawMaterials[Part Name],0)),0)</f>
        <v/>
      </c>
      <c r="Y45">
        <f>SUMPRODUCT((M_BOM[Part Name]=$A45)*M_BOM[RM_Qty_Per_Batch]*IFERROR(INDEX(PP_Grid[#Data],M_BOM[PPGridRow],25),0))+IFERROR(INDEX(M_RawMaterials[固定週次消費量_要入力],MATCH($A45,M_RawMaterials[Part Name],0)),0)</f>
        <v/>
      </c>
      <c r="Z45">
        <f>SUMPRODUCT((M_BOM[Part Name]=$A45)*M_BOM[RM_Qty_Per_Batch]*IFERROR(INDEX(PP_Grid[#Data],M_BOM[PPGridRow],26),0))+IFERROR(INDEX(M_RawMaterials[固定週次消費量_要入力],MATCH($A45,M_RawMaterials[Part Name],0)),0)</f>
        <v/>
      </c>
      <c r="AA45">
        <f>SUMPRODUCT((M_BOM[Part Name]=$A45)*M_BOM[RM_Qty_Per_Batch]*IFERROR(INDEX(PP_Grid[#Data],M_BOM[PPGridRow],27),0))+IFERROR(INDEX(M_RawMaterials[固定週次消費量_要入力],MATCH($A45,M_RawMaterials[Part Name],0)),0)</f>
        <v/>
      </c>
      <c r="AB45">
        <f>SUMPRODUCT((M_BOM[Part Name]=$A45)*M_BOM[RM_Qty_Per_Batch]*IFERROR(INDEX(PP_Grid[#Data],M_BOM[PPGridRow],28),0))+IFERROR(INDEX(M_RawMaterials[固定週次消費量_要入力],MATCH($A45,M_RawMaterials[Part Name],0)),0)</f>
        <v/>
      </c>
      <c r="AC45">
        <f>SUMPRODUCT((M_BOM[Part Name]=$A45)*M_BOM[RM_Qty_Per_Batch]*IFERROR(INDEX(PP_Grid[#Data],M_BOM[PPGridRow],29),0))+IFERROR(INDEX(M_RawMaterials[固定週次消費量_要入力],MATCH($A45,M_RawMaterials[Part Name],0)),0)</f>
        <v/>
      </c>
      <c r="AD45">
        <f>SUMPRODUCT((M_BOM[Part Name]=$A45)*M_BOM[RM_Qty_Per_Batch]*IFERROR(INDEX(PP_Grid[#Data],M_BOM[PPGridRow],30),0))+IFERROR(INDEX(M_RawMaterials[固定週次消費量_要入力],MATCH($A45,M_RawMaterials[Part Name],0)),0)</f>
        <v/>
      </c>
      <c r="AE45">
        <f>SUMPRODUCT((M_BOM[Part Name]=$A45)*M_BOM[RM_Qty_Per_Batch]*IFERROR(INDEX(PP_Grid[#Data],M_BOM[PPGridRow],31),0))+IFERROR(INDEX(M_RawMaterials[固定週次消費量_要入力],MATCH($A45,M_RawMaterials[Part Name],0)),0)</f>
        <v/>
      </c>
      <c r="AF45">
        <f>SUMPRODUCT((M_BOM[Part Name]=$A45)*M_BOM[RM_Qty_Per_Batch]*IFERROR(INDEX(PP_Grid[#Data],M_BOM[PPGridRow],32),0))+IFERROR(INDEX(M_RawMaterials[固定週次消費量_要入力],MATCH($A45,M_RawMaterials[Part Name],0)),0)</f>
        <v/>
      </c>
      <c r="AG45">
        <f>SUMPRODUCT((M_BOM[Part Name]=$A45)*M_BOM[RM_Qty_Per_Batch]*IFERROR(INDEX(PP_Grid[#Data],M_BOM[PPGridRow],33),0))+IFERROR(INDEX(M_RawMaterials[固定週次消費量_要入力],MATCH($A45,M_RawMaterials[Part Name],0)),0)</f>
        <v/>
      </c>
      <c r="AH45">
        <f>SUMPRODUCT((M_BOM[Part Name]=$A45)*M_BOM[RM_Qty_Per_Batch]*IFERROR(INDEX(PP_Grid[#Data],M_BOM[PPGridRow],34),0))+IFERROR(INDEX(M_RawMaterials[固定週次消費量_要入力],MATCH($A45,M_RawMaterials[Part Name],0)),0)</f>
        <v/>
      </c>
      <c r="AI45">
        <f>SUMPRODUCT((M_BOM[Part Name]=$A45)*M_BOM[RM_Qty_Per_Batch]*IFERROR(INDEX(PP_Grid[#Data],M_BOM[PPGridRow],35),0))+IFERROR(INDEX(M_RawMaterials[固定週次消費量_要入力],MATCH($A45,M_RawMaterials[Part Name],0)),0)</f>
        <v/>
      </c>
      <c r="AJ45">
        <f>SUMPRODUCT((M_BOM[Part Name]=$A45)*M_BOM[RM_Qty_Per_Batch]*IFERROR(INDEX(PP_Grid[#Data],M_BOM[PPGridRow],36),0))+IFERROR(INDEX(M_RawMaterials[固定週次消費量_要入力],MATCH($A45,M_RawMaterials[Part Name],0)),0)</f>
        <v/>
      </c>
      <c r="AK45">
        <f>SUMPRODUCT((M_BOM[Part Name]=$A45)*M_BOM[RM_Qty_Per_Batch]*IFERROR(INDEX(PP_Grid[#Data],M_BOM[PPGridRow],37),0))+IFERROR(INDEX(M_RawMaterials[固定週次消費量_要入力],MATCH($A45,M_RawMaterials[Part Name],0)),0)</f>
        <v/>
      </c>
      <c r="AL45">
        <f>SUMPRODUCT((M_BOM[Part Name]=$A45)*M_BOM[RM_Qty_Per_Batch]*IFERROR(INDEX(PP_Grid[#Data],M_BOM[PPGridRow],38),0))+IFERROR(INDEX(M_RawMaterials[固定週次消費量_要入力],MATCH($A45,M_RawMaterials[Part Name],0)),0)</f>
        <v/>
      </c>
      <c r="AM45">
        <f>SUMPRODUCT((M_BOM[Part Name]=$A45)*M_BOM[RM_Qty_Per_Batch]*IFERROR(INDEX(PP_Grid[#Data],M_BOM[PPGridRow],39),0))+IFERROR(INDEX(M_RawMaterials[固定週次消費量_要入力],MATCH($A45,M_RawMaterials[Part Name],0)),0)</f>
        <v/>
      </c>
      <c r="AN45">
        <f>SUMPRODUCT((M_BOM[Part Name]=$A45)*M_BOM[RM_Qty_Per_Batch]*IFERROR(INDEX(PP_Grid[#Data],M_BOM[PPGridRow],40),0))+IFERROR(INDEX(M_RawMaterials[固定週次消費量_要入力],MATCH($A45,M_RawMaterials[Part Name],0)),0)</f>
        <v/>
      </c>
      <c r="AO45">
        <f>SUMPRODUCT((M_BOM[Part Name]=$A45)*M_BOM[RM_Qty_Per_Batch]*IFERROR(INDEX(PP_Grid[#Data],M_BOM[PPGridRow],41),0))+IFERROR(INDEX(M_RawMaterials[固定週次消費量_要入力],MATCH($A45,M_RawMaterials[Part Name],0)),0)</f>
        <v/>
      </c>
      <c r="AP45">
        <f>SUMPRODUCT((M_BOM[Part Name]=$A45)*M_BOM[RM_Qty_Per_Batch]*IFERROR(INDEX(PP_Grid[#Data],M_BOM[PPGridRow],42),0))+IFERROR(INDEX(M_RawMaterials[固定週次消費量_要入力],MATCH($A45,M_RawMaterials[Part Name],0)),0)</f>
        <v/>
      </c>
      <c r="AQ45">
        <f>SUMPRODUCT((M_BOM[Part Name]=$A45)*M_BOM[RM_Qty_Per_Batch]*IFERROR(INDEX(PP_Grid[#Data],M_BOM[PPGridRow],43),0))+IFERROR(INDEX(M_RawMaterials[固定週次消費量_要入力],MATCH($A45,M_RawMaterials[Part Name],0)),0)</f>
        <v/>
      </c>
      <c r="AR45">
        <f>SUMPRODUCT((M_BOM[Part Name]=$A45)*M_BOM[RM_Qty_Per_Batch]*IFERROR(INDEX(PP_Grid[#Data],M_BOM[PPGridRow],44),0))+IFERROR(INDEX(M_RawMaterials[固定週次消費量_要入力],MATCH($A45,M_RawMaterials[Part Name],0)),0)</f>
        <v/>
      </c>
      <c r="AS45">
        <f>SUMPRODUCT((M_BOM[Part Name]=$A45)*M_BOM[RM_Qty_Per_Batch]*IFERROR(INDEX(PP_Grid[#Data],M_BOM[PPGridRow],45),0))+IFERROR(INDEX(M_RawMaterials[固定週次消費量_要入力],MATCH($A45,M_RawMaterials[Part Name],0)),0)</f>
        <v/>
      </c>
      <c r="AT45">
        <f>SUMPRODUCT((M_BOM[Part Name]=$A45)*M_BOM[RM_Qty_Per_Batch]*IFERROR(INDEX(PP_Grid[#Data],M_BOM[PPGridRow],46),0))+IFERROR(INDEX(M_RawMaterials[固定週次消費量_要入力],MATCH($A45,M_RawMaterials[Part Name],0)),0)</f>
        <v/>
      </c>
      <c r="AU45">
        <f>SUMPRODUCT((M_BOM[Part Name]=$A45)*M_BOM[RM_Qty_Per_Batch]*IFERROR(INDEX(PP_Grid[#Data],M_BOM[PPGridRow],47),0))+IFERROR(INDEX(M_RawMaterials[固定週次消費量_要入力],MATCH($A45,M_RawMaterials[Part Name],0)),0)</f>
        <v/>
      </c>
      <c r="AV45">
        <f>SUMPRODUCT((M_BOM[Part Name]=$A45)*M_BOM[RM_Qty_Per_Batch]*IFERROR(INDEX(PP_Grid[#Data],M_BOM[PPGridRow],48),0))+IFERROR(INDEX(M_RawMaterials[固定週次消費量_要入力],MATCH($A45,M_RawMaterials[Part Name],0)),0)</f>
        <v/>
      </c>
      <c r="AW45">
        <f>SUMPRODUCT((M_BOM[Part Name]=$A45)*M_BOM[RM_Qty_Per_Batch]*IFERROR(INDEX(PP_Grid[#Data],M_BOM[PPGridRow],49),0))+IFERROR(INDEX(M_RawMaterials[固定週次消費量_要入力],MATCH($A45,M_RawMaterials[Part Name],0)),0)</f>
        <v/>
      </c>
      <c r="AX45">
        <f>SUMPRODUCT((M_BOM[Part Name]=$A45)*M_BOM[RM_Qty_Per_Batch]*IFERROR(INDEX(PP_Grid[#Data],M_BOM[PPGridRow],50),0))+IFERROR(INDEX(M_RawMaterials[固定週次消費量_要入力],MATCH($A45,M_RawMaterials[Part Name],0)),0)</f>
        <v/>
      </c>
      <c r="AY45">
        <f>SUMPRODUCT((M_BOM[Part Name]=$A45)*M_BOM[RM_Qty_Per_Batch]*IFERROR(INDEX(PP_Grid[#Data],M_BOM[PPGridRow],51),0))+IFERROR(INDEX(M_RawMaterials[固定週次消費量_要入力],MATCH($A45,M_RawMaterials[Part Name],0)),0)</f>
        <v/>
      </c>
      <c r="AZ45">
        <f>SUMPRODUCT((M_BOM[Part Name]=$A45)*M_BOM[RM_Qty_Per_Batch]*IFERROR(INDEX(PP_Grid[#Data],M_BOM[PPGridRow],52),0))+IFERROR(INDEX(M_RawMaterials[固定週次消費量_要入力],MATCH($A45,M_RawMaterials[Part Name],0)),0)</f>
        <v/>
      </c>
      <c r="BA45">
        <f>SUMPRODUCT((M_BOM[Part Name]=$A45)*M_BOM[RM_Qty_Per_Batch]*IFERROR(INDEX(PP_Grid[#Data],M_BOM[PPGridRow],53),0))+IFERROR(INDEX(M_RawMaterials[固定週次消費量_要入力],MATCH($A45,M_RawMaterials[Part Name],0)),0)</f>
        <v/>
      </c>
      <c r="BB45">
        <f>SUMPRODUCT((M_BOM[Part Name]=$A45)*M_BOM[RM_Qty_Per_Batch]*IFERROR(INDEX(PP_Grid[#Data],M_BOM[PPGridRow],54),0))+IFERROR(INDEX(M_RawMaterials[固定週次消費量_要入力],MATCH($A45,M_RawMaterials[Part Name],0)),0)</f>
        <v/>
      </c>
      <c r="BC45">
        <f>SUMPRODUCT((M_BOM[Part Name]=$A45)*M_BOM[RM_Qty_Per_Batch]*IFERROR(INDEX(PP_Grid[#Data],M_BOM[PPGridRow],55),0))+IFERROR(INDEX(M_RawMaterials[固定週次消費量_要入力],MATCH($A45,M_RawMaterials[Part Name],0)),0)</f>
        <v/>
      </c>
      <c r="BD45">
        <f>SUMPRODUCT((M_BOM[Part Name]=$A45)*M_BOM[RM_Qty_Per_Batch]*IFERROR(INDEX(PP_Grid[#Data],M_BOM[PPGridRow],56),0))+IFERROR(INDEX(M_RawMaterials[固定週次消費量_要入力],MATCH($A45,M_RawMaterials[Part Name],0)),0)</f>
        <v/>
      </c>
      <c r="BE45">
        <f>SUMPRODUCT((M_BOM[Part Name]=$A45)*M_BOM[RM_Qty_Per_Batch]*IFERROR(INDEX(PP_Grid[#Data],M_BOM[PPGridRow],57),0))+IFERROR(INDEX(M_RawMaterials[固定週次消費量_要入力],MATCH($A45,M_RawMaterials[Part Name],0)),0)</f>
        <v/>
      </c>
      <c r="BF45">
        <f>SUMPRODUCT((M_BOM[Part Name]=$A45)*M_BOM[RM_Qty_Per_Batch]*IFERROR(INDEX(PP_Grid[#Data],M_BOM[PPGridRow],58),0))+IFERROR(INDEX(M_RawMaterials[固定週次消費量_要入力],MATCH($A45,M_RawMaterials[Part Name],0)),0)</f>
        <v/>
      </c>
      <c r="BG45">
        <f>SUMPRODUCT((M_BOM[Part Name]=$A45)*M_BOM[RM_Qty_Per_Batch]*IFERROR(INDEX(PP_Grid[#Data],M_BOM[PPGridRow],59),0))+IFERROR(INDEX(M_RawMaterials[固定週次消費量_要入力],MATCH($A45,M_RawMaterials[Part Name],0)),0)</f>
        <v/>
      </c>
      <c r="BH45">
        <f>SUMPRODUCT((M_BOM[Part Name]=$A45)*M_BOM[RM_Qty_Per_Batch]*IFERROR(INDEX(PP_Grid[#Data],M_BOM[PPGridRow],60),0))+IFERROR(INDEX(M_RawMaterials[固定週次消費量_要入力],MATCH($A45,M_RawMaterials[Part Name],0)),0)</f>
        <v/>
      </c>
      <c r="BI45">
        <f>SUMPRODUCT((M_BOM[Part Name]=$A45)*M_BOM[RM_Qty_Per_Batch]*IFERROR(INDEX(PP_Grid[#Data],M_BOM[PPGridRow],61),0))+IFERROR(INDEX(M_RawMaterials[固定週次消費量_要入力],MATCH($A45,M_RawMaterials[Part Name],0)),0)</f>
        <v/>
      </c>
      <c r="BJ45">
        <f>SUMPRODUCT((M_BOM[Part Name]=$A45)*M_BOM[RM_Qty_Per_Batch]*IFERROR(INDEX(PP_Grid[#Data],M_BOM[PPGridRow],62),0))+IFERROR(INDEX(M_RawMaterials[固定週次消費量_要入力],MATCH($A45,M_RawMaterials[Part Name],0)),0)</f>
        <v/>
      </c>
      <c r="BK45">
        <f>SUMPRODUCT((M_BOM[Part Name]=$A45)*M_BOM[RM_Qty_Per_Batch]*IFERROR(INDEX(PP_Grid[#Data],M_BOM[PPGridRow],63),0))+IFERROR(INDEX(M_RawMaterials[固定週次消費量_要入力],MATCH($A45,M_RawMaterials[Part Name],0)),0)</f>
        <v/>
      </c>
      <c r="BL45">
        <f>SUMPRODUCT((M_BOM[Part Name]=$A45)*M_BOM[RM_Qty_Per_Batch]*IFERROR(INDEX(PP_Grid[#Data],M_BOM[PPGridRow],64),0))+IFERROR(INDEX(M_RawMaterials[固定週次消費量_要入力],MATCH($A45,M_RawMaterials[Part Name],0)),0)</f>
        <v/>
      </c>
      <c r="BM45">
        <f>SUMPRODUCT((M_BOM[Part Name]=$A45)*M_BOM[RM_Qty_Per_Batch]*IFERROR(INDEX(PP_Grid[#Data],M_BOM[PPGridRow],65),0))+IFERROR(INDEX(M_RawMaterials[固定週次消費量_要入力],MATCH($A45,M_RawMaterials[Part Name],0)),0)</f>
        <v/>
      </c>
      <c r="BN45">
        <f>SUMPRODUCT((M_BOM[Part Name]=$A45)*M_BOM[RM_Qty_Per_Batch]*IFERROR(INDEX(PP_Grid[#Data],M_BOM[PPGridRow],66),0))+IFERROR(INDEX(M_RawMaterials[固定週次消費量_要入力],MATCH($A45,M_RawMaterials[Part Name],0)),0)</f>
        <v/>
      </c>
      <c r="BO45">
        <f>SUMPRODUCT((M_BOM[Part Name]=$A45)*M_BOM[RM_Qty_Per_Batch]*IFERROR(INDEX(PP_Grid[#Data],M_BOM[PPGridRow],67),0))+IFERROR(INDEX(M_RawMaterials[固定週次消費量_要入力],MATCH($A45,M_RawMaterials[Part Name],0)),0)</f>
        <v/>
      </c>
      <c r="BP45">
        <f>SUMPRODUCT((M_BOM[Part Name]=$A45)*M_BOM[RM_Qty_Per_Batch]*IFERROR(INDEX(PP_Grid[#Data],M_BOM[PPGridRow],68),0))+IFERROR(INDEX(M_RawMaterials[固定週次消費量_要入力],MATCH($A45,M_RawMaterials[Part Name],0)),0)</f>
        <v/>
      </c>
      <c r="BQ45">
        <f>SUMPRODUCT((M_BOM[Part Name]=$A45)*M_BOM[RM_Qty_Per_Batch]*IFERROR(INDEX(PP_Grid[#Data],M_BOM[PPGridRow],69),0))+IFERROR(INDEX(M_RawMaterials[固定週次消費量_要入力],MATCH($A45,M_RawMaterials[Part Name],0)),0)</f>
        <v/>
      </c>
      <c r="BR45">
        <f>SUMPRODUCT((M_BOM[Part Name]=$A45)*M_BOM[RM_Qty_Per_Batch]*IFERROR(INDEX(PP_Grid[#Data],M_BOM[PPGridRow],70),0))+IFERROR(INDEX(M_RawMaterials[固定週次消費量_要入力],MATCH($A45,M_RawMaterials[Part Name],0)),0)</f>
        <v/>
      </c>
      <c r="BS45">
        <f>SUMPRODUCT((M_BOM[Part Name]=$A45)*M_BOM[RM_Qty_Per_Batch]*IFERROR(INDEX(PP_Grid[#Data],M_BOM[PPGridRow],71),0))+IFERROR(INDEX(M_RawMaterials[固定週次消費量_要入力],MATCH($A45,M_RawMaterials[Part Name],0)),0)</f>
        <v/>
      </c>
      <c r="BT45">
        <f>SUMPRODUCT((M_BOM[Part Name]=$A45)*M_BOM[RM_Qty_Per_Batch]*IFERROR(INDEX(PP_Grid[#Data],M_BOM[PPGridRow],72),0))+IFERROR(INDEX(M_RawMaterials[固定週次消費量_要入力],MATCH($A45,M_RawMaterials[Part Name],0)),0)</f>
        <v/>
      </c>
      <c r="BU45">
        <f>SUMPRODUCT((M_BOM[Part Name]=$A45)*M_BOM[RM_Qty_Per_Batch]*IFERROR(INDEX(PP_Grid[#Data],M_BOM[PPGridRow],73),0))+IFERROR(INDEX(M_RawMaterials[固定週次消費量_要入力],MATCH($A45,M_RawMaterials[Part Name],0)),0)</f>
        <v/>
      </c>
      <c r="BV45">
        <f>SUMPRODUCT((M_BOM[Part Name]=$A45)*M_BOM[RM_Qty_Per_Batch]*IFERROR(INDEX(PP_Grid[#Data],M_BOM[PPGridRow],74),0))+IFERROR(INDEX(M_RawMaterials[固定週次消費量_要入力],MATCH($A45,M_RawMaterials[Part Name],0)),0)</f>
        <v/>
      </c>
      <c r="BW45">
        <f>SUMPRODUCT((M_BOM[Part Name]=$A45)*M_BOM[RM_Qty_Per_Batch]*IFERROR(INDEX(PP_Grid[#Data],M_BOM[PPGridRow],75),0))+IFERROR(INDEX(M_RawMaterials[固定週次消費量_要入力],MATCH($A45,M_RawMaterials[Part Name],0)),0)</f>
        <v/>
      </c>
      <c r="BX45">
        <f>SUMPRODUCT((M_BOM[Part Name]=$A45)*M_BOM[RM_Qty_Per_Batch]*IFERROR(INDEX(PP_Grid[#Data],M_BOM[PPGridRow],76),0))+IFERROR(INDEX(M_RawMaterials[固定週次消費量_要入力],MATCH($A45,M_RawMaterials[Part Name],0)),0)</f>
        <v/>
      </c>
      <c r="BY45">
        <f>SUMPRODUCT((M_BOM[Part Name]=$A45)*M_BOM[RM_Qty_Per_Batch]*IFERROR(INDEX(PP_Grid[#Data],M_BOM[PPGridRow],77),0))+IFERROR(INDEX(M_RawMaterials[固定週次消費量_要入力],MATCH($A45,M_RawMaterials[Part Name],0)),0)</f>
        <v/>
      </c>
      <c r="BZ45">
        <f>SUMPRODUCT((M_BOM[Part Name]=$A45)*M_BOM[RM_Qty_Per_Batch]*IFERROR(INDEX(PP_Grid[#Data],M_BOM[PPGridRow],78),0))+IFERROR(INDEX(M_RawMaterials[固定週次消費量_要入力],MATCH($A45,M_RawMaterials[Part Name],0)),0)</f>
        <v/>
      </c>
      <c r="CA45">
        <f>SUMPRODUCT((M_BOM[Part Name]=$A45)*M_BOM[RM_Qty_Per_Batch]*IFERROR(INDEX(PP_Grid[#Data],M_BOM[PPGridRow],79),0))+IFERROR(INDEX(M_RawMaterials[固定週次消費量_要入力],MATCH($A45,M_RawMaterials[Part Name],0)),0)</f>
        <v/>
      </c>
      <c r="CB45">
        <f>SUMPRODUCT((M_BOM[Part Name]=$A45)*M_BOM[RM_Qty_Per_Batch]*IFERROR(INDEX(PP_Grid[#Data],M_BOM[PPGridRow],80),0))+IFERROR(INDEX(M_RawMaterials[固定週次消費量_要入力],MATCH($A45,M_RawMaterials[Part Name],0)),0)</f>
        <v/>
      </c>
      <c r="CC45">
        <f>SUMPRODUCT((M_BOM[Part Name]=$A45)*M_BOM[RM_Qty_Per_Batch]*IFERROR(INDEX(PP_Grid[#Data],M_BOM[PPGridRow],81),0))+IFERROR(INDEX(M_RawMaterials[固定週次消費量_要入力],MATCH($A45,M_RawMaterials[Part Name],0)),0)</f>
        <v/>
      </c>
      <c r="CD45">
        <f>SUMPRODUCT((M_BOM[Part Name]=$A45)*M_BOM[RM_Qty_Per_Batch]*IFERROR(INDEX(PP_Grid[#Data],M_BOM[PPGridRow],82),0))+IFERROR(INDEX(M_RawMaterials[固定週次消費量_要入力],MATCH($A45,M_RawMaterials[Part Name],0)),0)</f>
        <v/>
      </c>
      <c r="CE45">
        <f>SUMPRODUCT((M_BOM[Part Name]=$A45)*M_BOM[RM_Qty_Per_Batch]*IFERROR(INDEX(PP_Grid[#Data],M_BOM[PPGridRow],83),0))+IFERROR(INDEX(M_RawMaterials[固定週次消費量_要入力],MATCH($A45,M_RawMaterials[Part Name],0)),0)</f>
        <v/>
      </c>
      <c r="CF45">
        <f>SUMPRODUCT((M_BOM[Part Name]=$A45)*M_BOM[RM_Qty_Per_Batch]*IFERROR(INDEX(PP_Grid[#Data],M_BOM[PPGridRow],84),0))+IFERROR(INDEX(M_RawMaterials[固定週次消費量_要入力],MATCH($A45,M_RawMaterials[Part Name],0)),0)</f>
        <v/>
      </c>
      <c r="CG45">
        <f>SUMPRODUCT((M_BOM[Part Name]=$A45)*M_BOM[RM_Qty_Per_Batch]*IFERROR(INDEX(PP_Grid[#Data],M_BOM[PPGridRow],85),0))+IFERROR(INDEX(M_RawMaterials[固定週次消費量_要入力],MATCH($A45,M_RawMaterials[Part Name],0)),0)</f>
        <v/>
      </c>
      <c r="CH45">
        <f>SUMPRODUCT((M_BOM[Part Name]=$A45)*M_BOM[RM_Qty_Per_Batch]*IFERROR(INDEX(PP_Grid[#Data],M_BOM[PPGridRow],86),0))+IFERROR(INDEX(M_RawMaterials[固定週次消費量_要入力],MATCH($A45,M_RawMaterials[Part Name],0)),0)</f>
        <v/>
      </c>
      <c r="CI45">
        <f>SUMPRODUCT((M_BOM[Part Name]=$A45)*M_BOM[RM_Qty_Per_Batch]*IFERROR(INDEX(PP_Grid[#Data],M_BOM[PPGridRow],87),0))+IFERROR(INDEX(M_RawMaterials[固定週次消費量_要入力],MATCH($A45,M_RawMaterials[Part Name],0)),0)</f>
        <v/>
      </c>
      <c r="CJ45">
        <f>SUMPRODUCT((M_BOM[Part Name]=$A45)*M_BOM[RM_Qty_Per_Batch]*IFERROR(INDEX(PP_Grid[#Data],M_BOM[PPGridRow],88),0))+IFERROR(INDEX(M_RawMaterials[固定週次消費量_要入力],MATCH($A45,M_RawMaterials[Part Name],0)),0)</f>
        <v/>
      </c>
      <c r="CK45">
        <f>SUMPRODUCT((M_BOM[Part Name]=$A45)*M_BOM[RM_Qty_Per_Batch]*IFERROR(INDEX(PP_Grid[#Data],M_BOM[PPGridRow],89),0))+IFERROR(INDEX(M_RawMaterials[固定週次消費量_要入力],MATCH($A45,M_RawMaterials[Part Name],0)),0)</f>
        <v/>
      </c>
      <c r="CL45">
        <f>SUMPRODUCT((M_BOM[Part Name]=$A45)*M_BOM[RM_Qty_Per_Batch]*IFERROR(INDEX(PP_Grid[#Data],M_BOM[PPGridRow],90),0))+IFERROR(INDEX(M_RawMaterials[固定週次消費量_要入力],MATCH($A45,M_RawMaterials[Part Name],0)),0)</f>
        <v/>
      </c>
      <c r="CM45">
        <f>SUMPRODUCT((M_BOM[Part Name]=$A45)*M_BOM[RM_Qty_Per_Batch]*IFERROR(INDEX(PP_Grid[#Data],M_BOM[PPGridRow],91),0))+IFERROR(INDEX(M_RawMaterials[固定週次消費量_要入力],MATCH($A45,M_RawMaterials[Part Name],0)),0)</f>
        <v/>
      </c>
      <c r="CN45">
        <f>SUMPRODUCT((M_BOM[Part Name]=$A45)*M_BOM[RM_Qty_Per_Batch]*IFERROR(INDEX(PP_Grid[#Data],M_BOM[PPGridRow],92),0))+IFERROR(INDEX(M_RawMaterials[固定週次消費量_要入力],MATCH($A45,M_RawMaterials[Part Name],0)),0)</f>
        <v/>
      </c>
      <c r="CO45">
        <f>SUMPRODUCT((M_BOM[Part Name]=$A45)*M_BOM[RM_Qty_Per_Batch]*IFERROR(INDEX(PP_Grid[#Data],M_BOM[PPGridRow],93),0))+IFERROR(INDEX(M_RawMaterials[固定週次消費量_要入力],MATCH($A45,M_RawMaterials[Part Name],0)),0)</f>
        <v/>
      </c>
      <c r="CP45">
        <f>SUMPRODUCT((M_BOM[Part Name]=$A45)*M_BOM[RM_Qty_Per_Batch]*IFERROR(INDEX(PP_Grid[#Data],M_BOM[PPGridRow],94),0))+IFERROR(INDEX(M_RawMaterials[固定週次消費量_要入力],MATCH($A45,M_RawMaterials[Part Name],0)),0)</f>
        <v/>
      </c>
      <c r="CQ45">
        <f>SUMPRODUCT((M_BOM[Part Name]=$A45)*M_BOM[RM_Qty_Per_Batch]*IFERROR(INDEX(PP_Grid[#Data],M_BOM[PPGridRow],95),0))+IFERROR(INDEX(M_RawMaterials[固定週次消費量_要入力],MATCH($A45,M_RawMaterials[Part Name],0)),0)</f>
        <v/>
      </c>
      <c r="CR45">
        <f>SUMPRODUCT((M_BOM[Part Name]=$A45)*M_BOM[RM_Qty_Per_Batch]*IFERROR(INDEX(PP_Grid[#Data],M_BOM[PPGridRow],96),0))+IFERROR(INDEX(M_RawMaterials[固定週次消費量_要入力],MATCH($A45,M_RawMaterials[Part Name],0)),0)</f>
        <v/>
      </c>
      <c r="CS45">
        <f>SUMPRODUCT((M_BOM[Part Name]=$A45)*M_BOM[RM_Qty_Per_Batch]*IFERROR(INDEX(PP_Grid[#Data],M_BOM[PPGridRow],97),0))+IFERROR(INDEX(M_RawMaterials[固定週次消費量_要入力],MATCH($A45,M_RawMaterials[Part Name],0)),0)</f>
        <v/>
      </c>
      <c r="CT45">
        <f>SUMPRODUCT((M_BOM[Part Name]=$A45)*M_BOM[RM_Qty_Per_Batch]*IFERROR(INDEX(PP_Grid[#Data],M_BOM[PPGridRow],98),0))+IFERROR(INDEX(M_RawMaterials[固定週次消費量_要入力],MATCH($A45,M_RawMaterials[Part Name],0)),0)</f>
        <v/>
      </c>
      <c r="CU45">
        <f>SUMPRODUCT((M_BOM[Part Name]=$A45)*M_BOM[RM_Qty_Per_Batch]*IFERROR(INDEX(PP_Grid[#Data],M_BOM[PPGridRow],99),0))+IFERROR(INDEX(M_RawMaterials[固定週次消費量_要入力],MATCH($A45,M_RawMaterials[Part Name],0)),0)</f>
        <v/>
      </c>
      <c r="CV45">
        <f>SUMPRODUCT((M_BOM[Part Name]=$A45)*M_BOM[RM_Qty_Per_Batch]*IFERROR(INDEX(PP_Grid[#Data],M_BOM[PPGridRow],100),0))+IFERROR(INDEX(M_RawMaterials[固定週次消費量_要入力],MATCH($A45,M_RawMaterials[Part Name],0)),0)</f>
        <v/>
      </c>
      <c r="CW45">
        <f>SUMPRODUCT((M_BOM[Part Name]=$A45)*M_BOM[RM_Qty_Per_Batch]*IFERROR(INDEX(PP_Grid[#Data],M_BOM[PPGridRow],101),0))+IFERROR(INDEX(M_RawMaterials[固定週次消費量_要入力],MATCH($A45,M_RawMaterials[Part Name],0)),0)</f>
        <v/>
      </c>
      <c r="CX45">
        <f>SUMPRODUCT((M_BOM[Part Name]=$A45)*M_BOM[RM_Qty_Per_Batch]*IFERROR(INDEX(PP_Grid[#Data],M_BOM[PPGridRow],102),0))+IFERROR(INDEX(M_RawMaterials[固定週次消費量_要入力],MATCH($A45,M_RawMaterials[Part Name],0)),0)</f>
        <v/>
      </c>
      <c r="CY45">
        <f>SUMPRODUCT((M_BOM[Part Name]=$A45)*M_BOM[RM_Qty_Per_Batch]*IFERROR(INDEX(PP_Grid[#Data],M_BOM[PPGridRow],103),0))+IFERROR(INDEX(M_RawMaterials[固定週次消費量_要入力],MATCH($A45,M_RawMaterials[Part Name],0)),0)</f>
        <v/>
      </c>
      <c r="CZ45">
        <f>SUMPRODUCT((M_BOM[Part Name]=$A45)*M_BOM[RM_Qty_Per_Batch]*IFERROR(INDEX(PP_Grid[#Data],M_BOM[PPGridRow],104),0))+IFERROR(INDEX(M_RawMaterials[固定週次消費量_要入力],MATCH($A45,M_RawMaterials[Part Name],0)),0)</f>
        <v/>
      </c>
      <c r="DA45">
        <f>SUMPRODUCT((M_BOM[Part Name]=$A45)*M_BOM[RM_Qty_Per_Batch]*IFERROR(INDEX(PP_Grid[#Data],M_BOM[PPGridRow],105),0))+IFERROR(INDEX(M_RawMaterials[固定週次消費量_要入力],MATCH($A45,M_RawMaterials[Part Name],0)),0)</f>
        <v/>
      </c>
    </row>
    <row r="46">
      <c r="A46" t="inlineStr">
        <is>
          <t>CHEM-1770</t>
        </is>
      </c>
      <c r="B46">
        <f>SUMPRODUCT((M_BOM[Part Name]=$A46)*M_BOM[RM_Qty_Per_Batch]*IFERROR(INDEX(PP_Grid[#Data],M_BOM[PPGridRow],2),0))+IFERROR(INDEX(M_RawMaterials[固定週次消費量_要入力],MATCH($A46,M_RawMaterials[Part Name],0)),0)</f>
        <v/>
      </c>
      <c r="C46">
        <f>SUMPRODUCT((M_BOM[Part Name]=$A46)*M_BOM[RM_Qty_Per_Batch]*IFERROR(INDEX(PP_Grid[#Data],M_BOM[PPGridRow],3),0))+IFERROR(INDEX(M_RawMaterials[固定週次消費量_要入力],MATCH($A46,M_RawMaterials[Part Name],0)),0)</f>
        <v/>
      </c>
      <c r="D46">
        <f>SUMPRODUCT((M_BOM[Part Name]=$A46)*M_BOM[RM_Qty_Per_Batch]*IFERROR(INDEX(PP_Grid[#Data],M_BOM[PPGridRow],4),0))+IFERROR(INDEX(M_RawMaterials[固定週次消費量_要入力],MATCH($A46,M_RawMaterials[Part Name],0)),0)</f>
        <v/>
      </c>
      <c r="E46">
        <f>SUMPRODUCT((M_BOM[Part Name]=$A46)*M_BOM[RM_Qty_Per_Batch]*IFERROR(INDEX(PP_Grid[#Data],M_BOM[PPGridRow],5),0))+IFERROR(INDEX(M_RawMaterials[固定週次消費量_要入力],MATCH($A46,M_RawMaterials[Part Name],0)),0)</f>
        <v/>
      </c>
      <c r="F46">
        <f>SUMPRODUCT((M_BOM[Part Name]=$A46)*M_BOM[RM_Qty_Per_Batch]*IFERROR(INDEX(PP_Grid[#Data],M_BOM[PPGridRow],6),0))+IFERROR(INDEX(M_RawMaterials[固定週次消費量_要入力],MATCH($A46,M_RawMaterials[Part Name],0)),0)</f>
        <v/>
      </c>
      <c r="G46">
        <f>SUMPRODUCT((M_BOM[Part Name]=$A46)*M_BOM[RM_Qty_Per_Batch]*IFERROR(INDEX(PP_Grid[#Data],M_BOM[PPGridRow],7),0))+IFERROR(INDEX(M_RawMaterials[固定週次消費量_要入力],MATCH($A46,M_RawMaterials[Part Name],0)),0)</f>
        <v/>
      </c>
      <c r="H46">
        <f>SUMPRODUCT((M_BOM[Part Name]=$A46)*M_BOM[RM_Qty_Per_Batch]*IFERROR(INDEX(PP_Grid[#Data],M_BOM[PPGridRow],8),0))+IFERROR(INDEX(M_RawMaterials[固定週次消費量_要入力],MATCH($A46,M_RawMaterials[Part Name],0)),0)</f>
        <v/>
      </c>
      <c r="I46">
        <f>SUMPRODUCT((M_BOM[Part Name]=$A46)*M_BOM[RM_Qty_Per_Batch]*IFERROR(INDEX(PP_Grid[#Data],M_BOM[PPGridRow],9),0))+IFERROR(INDEX(M_RawMaterials[固定週次消費量_要入力],MATCH($A46,M_RawMaterials[Part Name],0)),0)</f>
        <v/>
      </c>
      <c r="J46">
        <f>SUMPRODUCT((M_BOM[Part Name]=$A46)*M_BOM[RM_Qty_Per_Batch]*IFERROR(INDEX(PP_Grid[#Data],M_BOM[PPGridRow],10),0))+IFERROR(INDEX(M_RawMaterials[固定週次消費量_要入力],MATCH($A46,M_RawMaterials[Part Name],0)),0)</f>
        <v/>
      </c>
      <c r="K46">
        <f>SUMPRODUCT((M_BOM[Part Name]=$A46)*M_BOM[RM_Qty_Per_Batch]*IFERROR(INDEX(PP_Grid[#Data],M_BOM[PPGridRow],11),0))+IFERROR(INDEX(M_RawMaterials[固定週次消費量_要入力],MATCH($A46,M_RawMaterials[Part Name],0)),0)</f>
        <v/>
      </c>
      <c r="L46">
        <f>SUMPRODUCT((M_BOM[Part Name]=$A46)*M_BOM[RM_Qty_Per_Batch]*IFERROR(INDEX(PP_Grid[#Data],M_BOM[PPGridRow],12),0))+IFERROR(INDEX(M_RawMaterials[固定週次消費量_要入力],MATCH($A46,M_RawMaterials[Part Name],0)),0)</f>
        <v/>
      </c>
      <c r="M46">
        <f>SUMPRODUCT((M_BOM[Part Name]=$A46)*M_BOM[RM_Qty_Per_Batch]*IFERROR(INDEX(PP_Grid[#Data],M_BOM[PPGridRow],13),0))+IFERROR(INDEX(M_RawMaterials[固定週次消費量_要入力],MATCH($A46,M_RawMaterials[Part Name],0)),0)</f>
        <v/>
      </c>
      <c r="N46">
        <f>SUMPRODUCT((M_BOM[Part Name]=$A46)*M_BOM[RM_Qty_Per_Batch]*IFERROR(INDEX(PP_Grid[#Data],M_BOM[PPGridRow],14),0))+IFERROR(INDEX(M_RawMaterials[固定週次消費量_要入力],MATCH($A46,M_RawMaterials[Part Name],0)),0)</f>
        <v/>
      </c>
      <c r="O46">
        <f>SUMPRODUCT((M_BOM[Part Name]=$A46)*M_BOM[RM_Qty_Per_Batch]*IFERROR(INDEX(PP_Grid[#Data],M_BOM[PPGridRow],15),0))+IFERROR(INDEX(M_RawMaterials[固定週次消費量_要入力],MATCH($A46,M_RawMaterials[Part Name],0)),0)</f>
        <v/>
      </c>
      <c r="P46">
        <f>SUMPRODUCT((M_BOM[Part Name]=$A46)*M_BOM[RM_Qty_Per_Batch]*IFERROR(INDEX(PP_Grid[#Data],M_BOM[PPGridRow],16),0))+IFERROR(INDEX(M_RawMaterials[固定週次消費量_要入力],MATCH($A46,M_RawMaterials[Part Name],0)),0)</f>
        <v/>
      </c>
      <c r="Q46">
        <f>SUMPRODUCT((M_BOM[Part Name]=$A46)*M_BOM[RM_Qty_Per_Batch]*IFERROR(INDEX(PP_Grid[#Data],M_BOM[PPGridRow],17),0))+IFERROR(INDEX(M_RawMaterials[固定週次消費量_要入力],MATCH($A46,M_RawMaterials[Part Name],0)),0)</f>
        <v/>
      </c>
      <c r="R46">
        <f>SUMPRODUCT((M_BOM[Part Name]=$A46)*M_BOM[RM_Qty_Per_Batch]*IFERROR(INDEX(PP_Grid[#Data],M_BOM[PPGridRow],18),0))+IFERROR(INDEX(M_RawMaterials[固定週次消費量_要入力],MATCH($A46,M_RawMaterials[Part Name],0)),0)</f>
        <v/>
      </c>
      <c r="S46">
        <f>SUMPRODUCT((M_BOM[Part Name]=$A46)*M_BOM[RM_Qty_Per_Batch]*IFERROR(INDEX(PP_Grid[#Data],M_BOM[PPGridRow],19),0))+IFERROR(INDEX(M_RawMaterials[固定週次消費量_要入力],MATCH($A46,M_RawMaterials[Part Name],0)),0)</f>
        <v/>
      </c>
      <c r="T46">
        <f>SUMPRODUCT((M_BOM[Part Name]=$A46)*M_BOM[RM_Qty_Per_Batch]*IFERROR(INDEX(PP_Grid[#Data],M_BOM[PPGridRow],20),0))+IFERROR(INDEX(M_RawMaterials[固定週次消費量_要入力],MATCH($A46,M_RawMaterials[Part Name],0)),0)</f>
        <v/>
      </c>
      <c r="U46">
        <f>SUMPRODUCT((M_BOM[Part Name]=$A46)*M_BOM[RM_Qty_Per_Batch]*IFERROR(INDEX(PP_Grid[#Data],M_BOM[PPGridRow],21),0))+IFERROR(INDEX(M_RawMaterials[固定週次消費量_要入力],MATCH($A46,M_RawMaterials[Part Name],0)),0)</f>
        <v/>
      </c>
      <c r="V46">
        <f>SUMPRODUCT((M_BOM[Part Name]=$A46)*M_BOM[RM_Qty_Per_Batch]*IFERROR(INDEX(PP_Grid[#Data],M_BOM[PPGridRow],22),0))+IFERROR(INDEX(M_RawMaterials[固定週次消費量_要入力],MATCH($A46,M_RawMaterials[Part Name],0)),0)</f>
        <v/>
      </c>
      <c r="W46">
        <f>SUMPRODUCT((M_BOM[Part Name]=$A46)*M_BOM[RM_Qty_Per_Batch]*IFERROR(INDEX(PP_Grid[#Data],M_BOM[PPGridRow],23),0))+IFERROR(INDEX(M_RawMaterials[固定週次消費量_要入力],MATCH($A46,M_RawMaterials[Part Name],0)),0)</f>
        <v/>
      </c>
      <c r="X46">
        <f>SUMPRODUCT((M_BOM[Part Name]=$A46)*M_BOM[RM_Qty_Per_Batch]*IFERROR(INDEX(PP_Grid[#Data],M_BOM[PPGridRow],24),0))+IFERROR(INDEX(M_RawMaterials[固定週次消費量_要入力],MATCH($A46,M_RawMaterials[Part Name],0)),0)</f>
        <v/>
      </c>
      <c r="Y46">
        <f>SUMPRODUCT((M_BOM[Part Name]=$A46)*M_BOM[RM_Qty_Per_Batch]*IFERROR(INDEX(PP_Grid[#Data],M_BOM[PPGridRow],25),0))+IFERROR(INDEX(M_RawMaterials[固定週次消費量_要入力],MATCH($A46,M_RawMaterials[Part Name],0)),0)</f>
        <v/>
      </c>
      <c r="Z46">
        <f>SUMPRODUCT((M_BOM[Part Name]=$A46)*M_BOM[RM_Qty_Per_Batch]*IFERROR(INDEX(PP_Grid[#Data],M_BOM[PPGridRow],26),0))+IFERROR(INDEX(M_RawMaterials[固定週次消費量_要入力],MATCH($A46,M_RawMaterials[Part Name],0)),0)</f>
        <v/>
      </c>
      <c r="AA46">
        <f>SUMPRODUCT((M_BOM[Part Name]=$A46)*M_BOM[RM_Qty_Per_Batch]*IFERROR(INDEX(PP_Grid[#Data],M_BOM[PPGridRow],27),0))+IFERROR(INDEX(M_RawMaterials[固定週次消費量_要入力],MATCH($A46,M_RawMaterials[Part Name],0)),0)</f>
        <v/>
      </c>
      <c r="AB46">
        <f>SUMPRODUCT((M_BOM[Part Name]=$A46)*M_BOM[RM_Qty_Per_Batch]*IFERROR(INDEX(PP_Grid[#Data],M_BOM[PPGridRow],28),0))+IFERROR(INDEX(M_RawMaterials[固定週次消費量_要入力],MATCH($A46,M_RawMaterials[Part Name],0)),0)</f>
        <v/>
      </c>
      <c r="AC46">
        <f>SUMPRODUCT((M_BOM[Part Name]=$A46)*M_BOM[RM_Qty_Per_Batch]*IFERROR(INDEX(PP_Grid[#Data],M_BOM[PPGridRow],29),0))+IFERROR(INDEX(M_RawMaterials[固定週次消費量_要入力],MATCH($A46,M_RawMaterials[Part Name],0)),0)</f>
        <v/>
      </c>
      <c r="AD46">
        <f>SUMPRODUCT((M_BOM[Part Name]=$A46)*M_BOM[RM_Qty_Per_Batch]*IFERROR(INDEX(PP_Grid[#Data],M_BOM[PPGridRow],30),0))+IFERROR(INDEX(M_RawMaterials[固定週次消費量_要入力],MATCH($A46,M_RawMaterials[Part Name],0)),0)</f>
        <v/>
      </c>
      <c r="AE46">
        <f>SUMPRODUCT((M_BOM[Part Name]=$A46)*M_BOM[RM_Qty_Per_Batch]*IFERROR(INDEX(PP_Grid[#Data],M_BOM[PPGridRow],31),0))+IFERROR(INDEX(M_RawMaterials[固定週次消費量_要入力],MATCH($A46,M_RawMaterials[Part Name],0)),0)</f>
        <v/>
      </c>
      <c r="AF46">
        <f>SUMPRODUCT((M_BOM[Part Name]=$A46)*M_BOM[RM_Qty_Per_Batch]*IFERROR(INDEX(PP_Grid[#Data],M_BOM[PPGridRow],32),0))+IFERROR(INDEX(M_RawMaterials[固定週次消費量_要入力],MATCH($A46,M_RawMaterials[Part Name],0)),0)</f>
        <v/>
      </c>
      <c r="AG46">
        <f>SUMPRODUCT((M_BOM[Part Name]=$A46)*M_BOM[RM_Qty_Per_Batch]*IFERROR(INDEX(PP_Grid[#Data],M_BOM[PPGridRow],33),0))+IFERROR(INDEX(M_RawMaterials[固定週次消費量_要入力],MATCH($A46,M_RawMaterials[Part Name],0)),0)</f>
        <v/>
      </c>
      <c r="AH46">
        <f>SUMPRODUCT((M_BOM[Part Name]=$A46)*M_BOM[RM_Qty_Per_Batch]*IFERROR(INDEX(PP_Grid[#Data],M_BOM[PPGridRow],34),0))+IFERROR(INDEX(M_RawMaterials[固定週次消費量_要入力],MATCH($A46,M_RawMaterials[Part Name],0)),0)</f>
        <v/>
      </c>
      <c r="AI46">
        <f>SUMPRODUCT((M_BOM[Part Name]=$A46)*M_BOM[RM_Qty_Per_Batch]*IFERROR(INDEX(PP_Grid[#Data],M_BOM[PPGridRow],35),0))+IFERROR(INDEX(M_RawMaterials[固定週次消費量_要入力],MATCH($A46,M_RawMaterials[Part Name],0)),0)</f>
        <v/>
      </c>
      <c r="AJ46">
        <f>SUMPRODUCT((M_BOM[Part Name]=$A46)*M_BOM[RM_Qty_Per_Batch]*IFERROR(INDEX(PP_Grid[#Data],M_BOM[PPGridRow],36),0))+IFERROR(INDEX(M_RawMaterials[固定週次消費量_要入力],MATCH($A46,M_RawMaterials[Part Name],0)),0)</f>
        <v/>
      </c>
      <c r="AK46">
        <f>SUMPRODUCT((M_BOM[Part Name]=$A46)*M_BOM[RM_Qty_Per_Batch]*IFERROR(INDEX(PP_Grid[#Data],M_BOM[PPGridRow],37),0))+IFERROR(INDEX(M_RawMaterials[固定週次消費量_要入力],MATCH($A46,M_RawMaterials[Part Name],0)),0)</f>
        <v/>
      </c>
      <c r="AL46">
        <f>SUMPRODUCT((M_BOM[Part Name]=$A46)*M_BOM[RM_Qty_Per_Batch]*IFERROR(INDEX(PP_Grid[#Data],M_BOM[PPGridRow],38),0))+IFERROR(INDEX(M_RawMaterials[固定週次消費量_要入力],MATCH($A46,M_RawMaterials[Part Name],0)),0)</f>
        <v/>
      </c>
      <c r="AM46">
        <f>SUMPRODUCT((M_BOM[Part Name]=$A46)*M_BOM[RM_Qty_Per_Batch]*IFERROR(INDEX(PP_Grid[#Data],M_BOM[PPGridRow],39),0))+IFERROR(INDEX(M_RawMaterials[固定週次消費量_要入力],MATCH($A46,M_RawMaterials[Part Name],0)),0)</f>
        <v/>
      </c>
      <c r="AN46">
        <f>SUMPRODUCT((M_BOM[Part Name]=$A46)*M_BOM[RM_Qty_Per_Batch]*IFERROR(INDEX(PP_Grid[#Data],M_BOM[PPGridRow],40),0))+IFERROR(INDEX(M_RawMaterials[固定週次消費量_要入力],MATCH($A46,M_RawMaterials[Part Name],0)),0)</f>
        <v/>
      </c>
      <c r="AO46">
        <f>SUMPRODUCT((M_BOM[Part Name]=$A46)*M_BOM[RM_Qty_Per_Batch]*IFERROR(INDEX(PP_Grid[#Data],M_BOM[PPGridRow],41),0))+IFERROR(INDEX(M_RawMaterials[固定週次消費量_要入力],MATCH($A46,M_RawMaterials[Part Name],0)),0)</f>
        <v/>
      </c>
      <c r="AP46">
        <f>SUMPRODUCT((M_BOM[Part Name]=$A46)*M_BOM[RM_Qty_Per_Batch]*IFERROR(INDEX(PP_Grid[#Data],M_BOM[PPGridRow],42),0))+IFERROR(INDEX(M_RawMaterials[固定週次消費量_要入力],MATCH($A46,M_RawMaterials[Part Name],0)),0)</f>
        <v/>
      </c>
      <c r="AQ46">
        <f>SUMPRODUCT((M_BOM[Part Name]=$A46)*M_BOM[RM_Qty_Per_Batch]*IFERROR(INDEX(PP_Grid[#Data],M_BOM[PPGridRow],43),0))+IFERROR(INDEX(M_RawMaterials[固定週次消費量_要入力],MATCH($A46,M_RawMaterials[Part Name],0)),0)</f>
        <v/>
      </c>
      <c r="AR46">
        <f>SUMPRODUCT((M_BOM[Part Name]=$A46)*M_BOM[RM_Qty_Per_Batch]*IFERROR(INDEX(PP_Grid[#Data],M_BOM[PPGridRow],44),0))+IFERROR(INDEX(M_RawMaterials[固定週次消費量_要入力],MATCH($A46,M_RawMaterials[Part Name],0)),0)</f>
        <v/>
      </c>
      <c r="AS46">
        <f>SUMPRODUCT((M_BOM[Part Name]=$A46)*M_BOM[RM_Qty_Per_Batch]*IFERROR(INDEX(PP_Grid[#Data],M_BOM[PPGridRow],45),0))+IFERROR(INDEX(M_RawMaterials[固定週次消費量_要入力],MATCH($A46,M_RawMaterials[Part Name],0)),0)</f>
        <v/>
      </c>
      <c r="AT46">
        <f>SUMPRODUCT((M_BOM[Part Name]=$A46)*M_BOM[RM_Qty_Per_Batch]*IFERROR(INDEX(PP_Grid[#Data],M_BOM[PPGridRow],46),0))+IFERROR(INDEX(M_RawMaterials[固定週次消費量_要入力],MATCH($A46,M_RawMaterials[Part Name],0)),0)</f>
        <v/>
      </c>
      <c r="AU46">
        <f>SUMPRODUCT((M_BOM[Part Name]=$A46)*M_BOM[RM_Qty_Per_Batch]*IFERROR(INDEX(PP_Grid[#Data],M_BOM[PPGridRow],47),0))+IFERROR(INDEX(M_RawMaterials[固定週次消費量_要入力],MATCH($A46,M_RawMaterials[Part Name],0)),0)</f>
        <v/>
      </c>
      <c r="AV46">
        <f>SUMPRODUCT((M_BOM[Part Name]=$A46)*M_BOM[RM_Qty_Per_Batch]*IFERROR(INDEX(PP_Grid[#Data],M_BOM[PPGridRow],48),0))+IFERROR(INDEX(M_RawMaterials[固定週次消費量_要入力],MATCH($A46,M_RawMaterials[Part Name],0)),0)</f>
        <v/>
      </c>
      <c r="AW46">
        <f>SUMPRODUCT((M_BOM[Part Name]=$A46)*M_BOM[RM_Qty_Per_Batch]*IFERROR(INDEX(PP_Grid[#Data],M_BOM[PPGridRow],49),0))+IFERROR(INDEX(M_RawMaterials[固定週次消費量_要入力],MATCH($A46,M_RawMaterials[Part Name],0)),0)</f>
        <v/>
      </c>
      <c r="AX46">
        <f>SUMPRODUCT((M_BOM[Part Name]=$A46)*M_BOM[RM_Qty_Per_Batch]*IFERROR(INDEX(PP_Grid[#Data],M_BOM[PPGridRow],50),0))+IFERROR(INDEX(M_RawMaterials[固定週次消費量_要入力],MATCH($A46,M_RawMaterials[Part Name],0)),0)</f>
        <v/>
      </c>
      <c r="AY46">
        <f>SUMPRODUCT((M_BOM[Part Name]=$A46)*M_BOM[RM_Qty_Per_Batch]*IFERROR(INDEX(PP_Grid[#Data],M_BOM[PPGridRow],51),0))+IFERROR(INDEX(M_RawMaterials[固定週次消費量_要入力],MATCH($A46,M_RawMaterials[Part Name],0)),0)</f>
        <v/>
      </c>
      <c r="AZ46">
        <f>SUMPRODUCT((M_BOM[Part Name]=$A46)*M_BOM[RM_Qty_Per_Batch]*IFERROR(INDEX(PP_Grid[#Data],M_BOM[PPGridRow],52),0))+IFERROR(INDEX(M_RawMaterials[固定週次消費量_要入力],MATCH($A46,M_RawMaterials[Part Name],0)),0)</f>
        <v/>
      </c>
      <c r="BA46">
        <f>SUMPRODUCT((M_BOM[Part Name]=$A46)*M_BOM[RM_Qty_Per_Batch]*IFERROR(INDEX(PP_Grid[#Data],M_BOM[PPGridRow],53),0))+IFERROR(INDEX(M_RawMaterials[固定週次消費量_要入力],MATCH($A46,M_RawMaterials[Part Name],0)),0)</f>
        <v/>
      </c>
      <c r="BB46">
        <f>SUMPRODUCT((M_BOM[Part Name]=$A46)*M_BOM[RM_Qty_Per_Batch]*IFERROR(INDEX(PP_Grid[#Data],M_BOM[PPGridRow],54),0))+IFERROR(INDEX(M_RawMaterials[固定週次消費量_要入力],MATCH($A46,M_RawMaterials[Part Name],0)),0)</f>
        <v/>
      </c>
      <c r="BC46">
        <f>SUMPRODUCT((M_BOM[Part Name]=$A46)*M_BOM[RM_Qty_Per_Batch]*IFERROR(INDEX(PP_Grid[#Data],M_BOM[PPGridRow],55),0))+IFERROR(INDEX(M_RawMaterials[固定週次消費量_要入力],MATCH($A46,M_RawMaterials[Part Name],0)),0)</f>
        <v/>
      </c>
      <c r="BD46">
        <f>SUMPRODUCT((M_BOM[Part Name]=$A46)*M_BOM[RM_Qty_Per_Batch]*IFERROR(INDEX(PP_Grid[#Data],M_BOM[PPGridRow],56),0))+IFERROR(INDEX(M_RawMaterials[固定週次消費量_要入力],MATCH($A46,M_RawMaterials[Part Name],0)),0)</f>
        <v/>
      </c>
      <c r="BE46">
        <f>SUMPRODUCT((M_BOM[Part Name]=$A46)*M_BOM[RM_Qty_Per_Batch]*IFERROR(INDEX(PP_Grid[#Data],M_BOM[PPGridRow],57),0))+IFERROR(INDEX(M_RawMaterials[固定週次消費量_要入力],MATCH($A46,M_RawMaterials[Part Name],0)),0)</f>
        <v/>
      </c>
      <c r="BF46">
        <f>SUMPRODUCT((M_BOM[Part Name]=$A46)*M_BOM[RM_Qty_Per_Batch]*IFERROR(INDEX(PP_Grid[#Data],M_BOM[PPGridRow],58),0))+IFERROR(INDEX(M_RawMaterials[固定週次消費量_要入力],MATCH($A46,M_RawMaterials[Part Name],0)),0)</f>
        <v/>
      </c>
      <c r="BG46">
        <f>SUMPRODUCT((M_BOM[Part Name]=$A46)*M_BOM[RM_Qty_Per_Batch]*IFERROR(INDEX(PP_Grid[#Data],M_BOM[PPGridRow],59),0))+IFERROR(INDEX(M_RawMaterials[固定週次消費量_要入力],MATCH($A46,M_RawMaterials[Part Name],0)),0)</f>
        <v/>
      </c>
      <c r="BH46">
        <f>SUMPRODUCT((M_BOM[Part Name]=$A46)*M_BOM[RM_Qty_Per_Batch]*IFERROR(INDEX(PP_Grid[#Data],M_BOM[PPGridRow],60),0))+IFERROR(INDEX(M_RawMaterials[固定週次消費量_要入力],MATCH($A46,M_RawMaterials[Part Name],0)),0)</f>
        <v/>
      </c>
      <c r="BI46">
        <f>SUMPRODUCT((M_BOM[Part Name]=$A46)*M_BOM[RM_Qty_Per_Batch]*IFERROR(INDEX(PP_Grid[#Data],M_BOM[PPGridRow],61),0))+IFERROR(INDEX(M_RawMaterials[固定週次消費量_要入力],MATCH($A46,M_RawMaterials[Part Name],0)),0)</f>
        <v/>
      </c>
      <c r="BJ46">
        <f>SUMPRODUCT((M_BOM[Part Name]=$A46)*M_BOM[RM_Qty_Per_Batch]*IFERROR(INDEX(PP_Grid[#Data],M_BOM[PPGridRow],62),0))+IFERROR(INDEX(M_RawMaterials[固定週次消費量_要入力],MATCH($A46,M_RawMaterials[Part Name],0)),0)</f>
        <v/>
      </c>
      <c r="BK46">
        <f>SUMPRODUCT((M_BOM[Part Name]=$A46)*M_BOM[RM_Qty_Per_Batch]*IFERROR(INDEX(PP_Grid[#Data],M_BOM[PPGridRow],63),0))+IFERROR(INDEX(M_RawMaterials[固定週次消費量_要入力],MATCH($A46,M_RawMaterials[Part Name],0)),0)</f>
        <v/>
      </c>
      <c r="BL46">
        <f>SUMPRODUCT((M_BOM[Part Name]=$A46)*M_BOM[RM_Qty_Per_Batch]*IFERROR(INDEX(PP_Grid[#Data],M_BOM[PPGridRow],64),0))+IFERROR(INDEX(M_RawMaterials[固定週次消費量_要入力],MATCH($A46,M_RawMaterials[Part Name],0)),0)</f>
        <v/>
      </c>
      <c r="BM46">
        <f>SUMPRODUCT((M_BOM[Part Name]=$A46)*M_BOM[RM_Qty_Per_Batch]*IFERROR(INDEX(PP_Grid[#Data],M_BOM[PPGridRow],65),0))+IFERROR(INDEX(M_RawMaterials[固定週次消費量_要入力],MATCH($A46,M_RawMaterials[Part Name],0)),0)</f>
        <v/>
      </c>
      <c r="BN46">
        <f>SUMPRODUCT((M_BOM[Part Name]=$A46)*M_BOM[RM_Qty_Per_Batch]*IFERROR(INDEX(PP_Grid[#Data],M_BOM[PPGridRow],66),0))+IFERROR(INDEX(M_RawMaterials[固定週次消費量_要入力],MATCH($A46,M_RawMaterials[Part Name],0)),0)</f>
        <v/>
      </c>
      <c r="BO46">
        <f>SUMPRODUCT((M_BOM[Part Name]=$A46)*M_BOM[RM_Qty_Per_Batch]*IFERROR(INDEX(PP_Grid[#Data],M_BOM[PPGridRow],67),0))+IFERROR(INDEX(M_RawMaterials[固定週次消費量_要入力],MATCH($A46,M_RawMaterials[Part Name],0)),0)</f>
        <v/>
      </c>
      <c r="BP46">
        <f>SUMPRODUCT((M_BOM[Part Name]=$A46)*M_BOM[RM_Qty_Per_Batch]*IFERROR(INDEX(PP_Grid[#Data],M_BOM[PPGridRow],68),0))+IFERROR(INDEX(M_RawMaterials[固定週次消費量_要入力],MATCH($A46,M_RawMaterials[Part Name],0)),0)</f>
        <v/>
      </c>
      <c r="BQ46">
        <f>SUMPRODUCT((M_BOM[Part Name]=$A46)*M_BOM[RM_Qty_Per_Batch]*IFERROR(INDEX(PP_Grid[#Data],M_BOM[PPGridRow],69),0))+IFERROR(INDEX(M_RawMaterials[固定週次消費量_要入力],MATCH($A46,M_RawMaterials[Part Name],0)),0)</f>
        <v/>
      </c>
      <c r="BR46">
        <f>SUMPRODUCT((M_BOM[Part Name]=$A46)*M_BOM[RM_Qty_Per_Batch]*IFERROR(INDEX(PP_Grid[#Data],M_BOM[PPGridRow],70),0))+IFERROR(INDEX(M_RawMaterials[固定週次消費量_要入力],MATCH($A46,M_RawMaterials[Part Name],0)),0)</f>
        <v/>
      </c>
      <c r="BS46">
        <f>SUMPRODUCT((M_BOM[Part Name]=$A46)*M_BOM[RM_Qty_Per_Batch]*IFERROR(INDEX(PP_Grid[#Data],M_BOM[PPGridRow],71),0))+IFERROR(INDEX(M_RawMaterials[固定週次消費量_要入力],MATCH($A46,M_RawMaterials[Part Name],0)),0)</f>
        <v/>
      </c>
      <c r="BT46">
        <f>SUMPRODUCT((M_BOM[Part Name]=$A46)*M_BOM[RM_Qty_Per_Batch]*IFERROR(INDEX(PP_Grid[#Data],M_BOM[PPGridRow],72),0))+IFERROR(INDEX(M_RawMaterials[固定週次消費量_要入力],MATCH($A46,M_RawMaterials[Part Name],0)),0)</f>
        <v/>
      </c>
      <c r="BU46">
        <f>SUMPRODUCT((M_BOM[Part Name]=$A46)*M_BOM[RM_Qty_Per_Batch]*IFERROR(INDEX(PP_Grid[#Data],M_BOM[PPGridRow],73),0))+IFERROR(INDEX(M_RawMaterials[固定週次消費量_要入力],MATCH($A46,M_RawMaterials[Part Name],0)),0)</f>
        <v/>
      </c>
      <c r="BV46">
        <f>SUMPRODUCT((M_BOM[Part Name]=$A46)*M_BOM[RM_Qty_Per_Batch]*IFERROR(INDEX(PP_Grid[#Data],M_BOM[PPGridRow],74),0))+IFERROR(INDEX(M_RawMaterials[固定週次消費量_要入力],MATCH($A46,M_RawMaterials[Part Name],0)),0)</f>
        <v/>
      </c>
      <c r="BW46">
        <f>SUMPRODUCT((M_BOM[Part Name]=$A46)*M_BOM[RM_Qty_Per_Batch]*IFERROR(INDEX(PP_Grid[#Data],M_BOM[PPGridRow],75),0))+IFERROR(INDEX(M_RawMaterials[固定週次消費量_要入力],MATCH($A46,M_RawMaterials[Part Name],0)),0)</f>
        <v/>
      </c>
      <c r="BX46">
        <f>SUMPRODUCT((M_BOM[Part Name]=$A46)*M_BOM[RM_Qty_Per_Batch]*IFERROR(INDEX(PP_Grid[#Data],M_BOM[PPGridRow],76),0))+IFERROR(INDEX(M_RawMaterials[固定週次消費量_要入力],MATCH($A46,M_RawMaterials[Part Name],0)),0)</f>
        <v/>
      </c>
      <c r="BY46">
        <f>SUMPRODUCT((M_BOM[Part Name]=$A46)*M_BOM[RM_Qty_Per_Batch]*IFERROR(INDEX(PP_Grid[#Data],M_BOM[PPGridRow],77),0))+IFERROR(INDEX(M_RawMaterials[固定週次消費量_要入力],MATCH($A46,M_RawMaterials[Part Name],0)),0)</f>
        <v/>
      </c>
      <c r="BZ46">
        <f>SUMPRODUCT((M_BOM[Part Name]=$A46)*M_BOM[RM_Qty_Per_Batch]*IFERROR(INDEX(PP_Grid[#Data],M_BOM[PPGridRow],78),0))+IFERROR(INDEX(M_RawMaterials[固定週次消費量_要入力],MATCH($A46,M_RawMaterials[Part Name],0)),0)</f>
        <v/>
      </c>
      <c r="CA46">
        <f>SUMPRODUCT((M_BOM[Part Name]=$A46)*M_BOM[RM_Qty_Per_Batch]*IFERROR(INDEX(PP_Grid[#Data],M_BOM[PPGridRow],79),0))+IFERROR(INDEX(M_RawMaterials[固定週次消費量_要入力],MATCH($A46,M_RawMaterials[Part Name],0)),0)</f>
        <v/>
      </c>
      <c r="CB46">
        <f>SUMPRODUCT((M_BOM[Part Name]=$A46)*M_BOM[RM_Qty_Per_Batch]*IFERROR(INDEX(PP_Grid[#Data],M_BOM[PPGridRow],80),0))+IFERROR(INDEX(M_RawMaterials[固定週次消費量_要入力],MATCH($A46,M_RawMaterials[Part Name],0)),0)</f>
        <v/>
      </c>
      <c r="CC46">
        <f>SUMPRODUCT((M_BOM[Part Name]=$A46)*M_BOM[RM_Qty_Per_Batch]*IFERROR(INDEX(PP_Grid[#Data],M_BOM[PPGridRow],81),0))+IFERROR(INDEX(M_RawMaterials[固定週次消費量_要入力],MATCH($A46,M_RawMaterials[Part Name],0)),0)</f>
        <v/>
      </c>
      <c r="CD46">
        <f>SUMPRODUCT((M_BOM[Part Name]=$A46)*M_BOM[RM_Qty_Per_Batch]*IFERROR(INDEX(PP_Grid[#Data],M_BOM[PPGridRow],82),0))+IFERROR(INDEX(M_RawMaterials[固定週次消費量_要入力],MATCH($A46,M_RawMaterials[Part Name],0)),0)</f>
        <v/>
      </c>
      <c r="CE46">
        <f>SUMPRODUCT((M_BOM[Part Name]=$A46)*M_BOM[RM_Qty_Per_Batch]*IFERROR(INDEX(PP_Grid[#Data],M_BOM[PPGridRow],83),0))+IFERROR(INDEX(M_RawMaterials[固定週次消費量_要入力],MATCH($A46,M_RawMaterials[Part Name],0)),0)</f>
        <v/>
      </c>
      <c r="CF46">
        <f>SUMPRODUCT((M_BOM[Part Name]=$A46)*M_BOM[RM_Qty_Per_Batch]*IFERROR(INDEX(PP_Grid[#Data],M_BOM[PPGridRow],84),0))+IFERROR(INDEX(M_RawMaterials[固定週次消費量_要入力],MATCH($A46,M_RawMaterials[Part Name],0)),0)</f>
        <v/>
      </c>
      <c r="CG46">
        <f>SUMPRODUCT((M_BOM[Part Name]=$A46)*M_BOM[RM_Qty_Per_Batch]*IFERROR(INDEX(PP_Grid[#Data],M_BOM[PPGridRow],85),0))+IFERROR(INDEX(M_RawMaterials[固定週次消費量_要入力],MATCH($A46,M_RawMaterials[Part Name],0)),0)</f>
        <v/>
      </c>
      <c r="CH46">
        <f>SUMPRODUCT((M_BOM[Part Name]=$A46)*M_BOM[RM_Qty_Per_Batch]*IFERROR(INDEX(PP_Grid[#Data],M_BOM[PPGridRow],86),0))+IFERROR(INDEX(M_RawMaterials[固定週次消費量_要入力],MATCH($A46,M_RawMaterials[Part Name],0)),0)</f>
        <v/>
      </c>
      <c r="CI46">
        <f>SUMPRODUCT((M_BOM[Part Name]=$A46)*M_BOM[RM_Qty_Per_Batch]*IFERROR(INDEX(PP_Grid[#Data],M_BOM[PPGridRow],87),0))+IFERROR(INDEX(M_RawMaterials[固定週次消費量_要入力],MATCH($A46,M_RawMaterials[Part Name],0)),0)</f>
        <v/>
      </c>
      <c r="CJ46">
        <f>SUMPRODUCT((M_BOM[Part Name]=$A46)*M_BOM[RM_Qty_Per_Batch]*IFERROR(INDEX(PP_Grid[#Data],M_BOM[PPGridRow],88),0))+IFERROR(INDEX(M_RawMaterials[固定週次消費量_要入力],MATCH($A46,M_RawMaterials[Part Name],0)),0)</f>
        <v/>
      </c>
      <c r="CK46">
        <f>SUMPRODUCT((M_BOM[Part Name]=$A46)*M_BOM[RM_Qty_Per_Batch]*IFERROR(INDEX(PP_Grid[#Data],M_BOM[PPGridRow],89),0))+IFERROR(INDEX(M_RawMaterials[固定週次消費量_要入力],MATCH($A46,M_RawMaterials[Part Name],0)),0)</f>
        <v/>
      </c>
      <c r="CL46">
        <f>SUMPRODUCT((M_BOM[Part Name]=$A46)*M_BOM[RM_Qty_Per_Batch]*IFERROR(INDEX(PP_Grid[#Data],M_BOM[PPGridRow],90),0))+IFERROR(INDEX(M_RawMaterials[固定週次消費量_要入力],MATCH($A46,M_RawMaterials[Part Name],0)),0)</f>
        <v/>
      </c>
      <c r="CM46">
        <f>SUMPRODUCT((M_BOM[Part Name]=$A46)*M_BOM[RM_Qty_Per_Batch]*IFERROR(INDEX(PP_Grid[#Data],M_BOM[PPGridRow],91),0))+IFERROR(INDEX(M_RawMaterials[固定週次消費量_要入力],MATCH($A46,M_RawMaterials[Part Name],0)),0)</f>
        <v/>
      </c>
      <c r="CN46">
        <f>SUMPRODUCT((M_BOM[Part Name]=$A46)*M_BOM[RM_Qty_Per_Batch]*IFERROR(INDEX(PP_Grid[#Data],M_BOM[PPGridRow],92),0))+IFERROR(INDEX(M_RawMaterials[固定週次消費量_要入力],MATCH($A46,M_RawMaterials[Part Name],0)),0)</f>
        <v/>
      </c>
      <c r="CO46">
        <f>SUMPRODUCT((M_BOM[Part Name]=$A46)*M_BOM[RM_Qty_Per_Batch]*IFERROR(INDEX(PP_Grid[#Data],M_BOM[PPGridRow],93),0))+IFERROR(INDEX(M_RawMaterials[固定週次消費量_要入力],MATCH($A46,M_RawMaterials[Part Name],0)),0)</f>
        <v/>
      </c>
      <c r="CP46">
        <f>SUMPRODUCT((M_BOM[Part Name]=$A46)*M_BOM[RM_Qty_Per_Batch]*IFERROR(INDEX(PP_Grid[#Data],M_BOM[PPGridRow],94),0))+IFERROR(INDEX(M_RawMaterials[固定週次消費量_要入力],MATCH($A46,M_RawMaterials[Part Name],0)),0)</f>
        <v/>
      </c>
      <c r="CQ46">
        <f>SUMPRODUCT((M_BOM[Part Name]=$A46)*M_BOM[RM_Qty_Per_Batch]*IFERROR(INDEX(PP_Grid[#Data],M_BOM[PPGridRow],95),0))+IFERROR(INDEX(M_RawMaterials[固定週次消費量_要入力],MATCH($A46,M_RawMaterials[Part Name],0)),0)</f>
        <v/>
      </c>
      <c r="CR46">
        <f>SUMPRODUCT((M_BOM[Part Name]=$A46)*M_BOM[RM_Qty_Per_Batch]*IFERROR(INDEX(PP_Grid[#Data],M_BOM[PPGridRow],96),0))+IFERROR(INDEX(M_RawMaterials[固定週次消費量_要入力],MATCH($A46,M_RawMaterials[Part Name],0)),0)</f>
        <v/>
      </c>
      <c r="CS46">
        <f>SUMPRODUCT((M_BOM[Part Name]=$A46)*M_BOM[RM_Qty_Per_Batch]*IFERROR(INDEX(PP_Grid[#Data],M_BOM[PPGridRow],97),0))+IFERROR(INDEX(M_RawMaterials[固定週次消費量_要入力],MATCH($A46,M_RawMaterials[Part Name],0)),0)</f>
        <v/>
      </c>
      <c r="CT46">
        <f>SUMPRODUCT((M_BOM[Part Name]=$A46)*M_BOM[RM_Qty_Per_Batch]*IFERROR(INDEX(PP_Grid[#Data],M_BOM[PPGridRow],98),0))+IFERROR(INDEX(M_RawMaterials[固定週次消費量_要入力],MATCH($A46,M_RawMaterials[Part Name],0)),0)</f>
        <v/>
      </c>
      <c r="CU46">
        <f>SUMPRODUCT((M_BOM[Part Name]=$A46)*M_BOM[RM_Qty_Per_Batch]*IFERROR(INDEX(PP_Grid[#Data],M_BOM[PPGridRow],99),0))+IFERROR(INDEX(M_RawMaterials[固定週次消費量_要入力],MATCH($A46,M_RawMaterials[Part Name],0)),0)</f>
        <v/>
      </c>
      <c r="CV46">
        <f>SUMPRODUCT((M_BOM[Part Name]=$A46)*M_BOM[RM_Qty_Per_Batch]*IFERROR(INDEX(PP_Grid[#Data],M_BOM[PPGridRow],100),0))+IFERROR(INDEX(M_RawMaterials[固定週次消費量_要入力],MATCH($A46,M_RawMaterials[Part Name],0)),0)</f>
        <v/>
      </c>
      <c r="CW46">
        <f>SUMPRODUCT((M_BOM[Part Name]=$A46)*M_BOM[RM_Qty_Per_Batch]*IFERROR(INDEX(PP_Grid[#Data],M_BOM[PPGridRow],101),0))+IFERROR(INDEX(M_RawMaterials[固定週次消費量_要入力],MATCH($A46,M_RawMaterials[Part Name],0)),0)</f>
        <v/>
      </c>
      <c r="CX46">
        <f>SUMPRODUCT((M_BOM[Part Name]=$A46)*M_BOM[RM_Qty_Per_Batch]*IFERROR(INDEX(PP_Grid[#Data],M_BOM[PPGridRow],102),0))+IFERROR(INDEX(M_RawMaterials[固定週次消費量_要入力],MATCH($A46,M_RawMaterials[Part Name],0)),0)</f>
        <v/>
      </c>
      <c r="CY46">
        <f>SUMPRODUCT((M_BOM[Part Name]=$A46)*M_BOM[RM_Qty_Per_Batch]*IFERROR(INDEX(PP_Grid[#Data],M_BOM[PPGridRow],103),0))+IFERROR(INDEX(M_RawMaterials[固定週次消費量_要入力],MATCH($A46,M_RawMaterials[Part Name],0)),0)</f>
        <v/>
      </c>
      <c r="CZ46">
        <f>SUMPRODUCT((M_BOM[Part Name]=$A46)*M_BOM[RM_Qty_Per_Batch]*IFERROR(INDEX(PP_Grid[#Data],M_BOM[PPGridRow],104),0))+IFERROR(INDEX(M_RawMaterials[固定週次消費量_要入力],MATCH($A46,M_RawMaterials[Part Name],0)),0)</f>
        <v/>
      </c>
      <c r="DA46">
        <f>SUMPRODUCT((M_BOM[Part Name]=$A46)*M_BOM[RM_Qty_Per_Batch]*IFERROR(INDEX(PP_Grid[#Data],M_BOM[PPGridRow],105),0))+IFERROR(INDEX(M_RawMaterials[固定週次消費量_要入力],MATCH($A46,M_RawMaterials[Part Name],0)),0)</f>
        <v/>
      </c>
    </row>
    <row r="47">
      <c r="A47" t="inlineStr">
        <is>
          <t>CHEM-1430</t>
        </is>
      </c>
      <c r="B47">
        <f>SUMPRODUCT((M_BOM[Part Name]=$A47)*M_BOM[RM_Qty_Per_Batch]*IFERROR(INDEX(PP_Grid[#Data],M_BOM[PPGridRow],2),0))+IFERROR(INDEX(M_RawMaterials[固定週次消費量_要入力],MATCH($A47,M_RawMaterials[Part Name],0)),0)</f>
        <v/>
      </c>
      <c r="C47">
        <f>SUMPRODUCT((M_BOM[Part Name]=$A47)*M_BOM[RM_Qty_Per_Batch]*IFERROR(INDEX(PP_Grid[#Data],M_BOM[PPGridRow],3),0))+IFERROR(INDEX(M_RawMaterials[固定週次消費量_要入力],MATCH($A47,M_RawMaterials[Part Name],0)),0)</f>
        <v/>
      </c>
      <c r="D47">
        <f>SUMPRODUCT((M_BOM[Part Name]=$A47)*M_BOM[RM_Qty_Per_Batch]*IFERROR(INDEX(PP_Grid[#Data],M_BOM[PPGridRow],4),0))+IFERROR(INDEX(M_RawMaterials[固定週次消費量_要入力],MATCH($A47,M_RawMaterials[Part Name],0)),0)</f>
        <v/>
      </c>
      <c r="E47">
        <f>SUMPRODUCT((M_BOM[Part Name]=$A47)*M_BOM[RM_Qty_Per_Batch]*IFERROR(INDEX(PP_Grid[#Data],M_BOM[PPGridRow],5),0))+IFERROR(INDEX(M_RawMaterials[固定週次消費量_要入力],MATCH($A47,M_RawMaterials[Part Name],0)),0)</f>
        <v/>
      </c>
      <c r="F47">
        <f>SUMPRODUCT((M_BOM[Part Name]=$A47)*M_BOM[RM_Qty_Per_Batch]*IFERROR(INDEX(PP_Grid[#Data],M_BOM[PPGridRow],6),0))+IFERROR(INDEX(M_RawMaterials[固定週次消費量_要入力],MATCH($A47,M_RawMaterials[Part Name],0)),0)</f>
        <v/>
      </c>
      <c r="G47">
        <f>SUMPRODUCT((M_BOM[Part Name]=$A47)*M_BOM[RM_Qty_Per_Batch]*IFERROR(INDEX(PP_Grid[#Data],M_BOM[PPGridRow],7),0))+IFERROR(INDEX(M_RawMaterials[固定週次消費量_要入力],MATCH($A47,M_RawMaterials[Part Name],0)),0)</f>
        <v/>
      </c>
      <c r="H47">
        <f>SUMPRODUCT((M_BOM[Part Name]=$A47)*M_BOM[RM_Qty_Per_Batch]*IFERROR(INDEX(PP_Grid[#Data],M_BOM[PPGridRow],8),0))+IFERROR(INDEX(M_RawMaterials[固定週次消費量_要入力],MATCH($A47,M_RawMaterials[Part Name],0)),0)</f>
        <v/>
      </c>
      <c r="I47">
        <f>SUMPRODUCT((M_BOM[Part Name]=$A47)*M_BOM[RM_Qty_Per_Batch]*IFERROR(INDEX(PP_Grid[#Data],M_BOM[PPGridRow],9),0))+IFERROR(INDEX(M_RawMaterials[固定週次消費量_要入力],MATCH($A47,M_RawMaterials[Part Name],0)),0)</f>
        <v/>
      </c>
      <c r="J47">
        <f>SUMPRODUCT((M_BOM[Part Name]=$A47)*M_BOM[RM_Qty_Per_Batch]*IFERROR(INDEX(PP_Grid[#Data],M_BOM[PPGridRow],10),0))+IFERROR(INDEX(M_RawMaterials[固定週次消費量_要入力],MATCH($A47,M_RawMaterials[Part Name],0)),0)</f>
        <v/>
      </c>
      <c r="K47">
        <f>SUMPRODUCT((M_BOM[Part Name]=$A47)*M_BOM[RM_Qty_Per_Batch]*IFERROR(INDEX(PP_Grid[#Data],M_BOM[PPGridRow],11),0))+IFERROR(INDEX(M_RawMaterials[固定週次消費量_要入力],MATCH($A47,M_RawMaterials[Part Name],0)),0)</f>
        <v/>
      </c>
      <c r="L47">
        <f>SUMPRODUCT((M_BOM[Part Name]=$A47)*M_BOM[RM_Qty_Per_Batch]*IFERROR(INDEX(PP_Grid[#Data],M_BOM[PPGridRow],12),0))+IFERROR(INDEX(M_RawMaterials[固定週次消費量_要入力],MATCH($A47,M_RawMaterials[Part Name],0)),0)</f>
        <v/>
      </c>
      <c r="M47">
        <f>SUMPRODUCT((M_BOM[Part Name]=$A47)*M_BOM[RM_Qty_Per_Batch]*IFERROR(INDEX(PP_Grid[#Data],M_BOM[PPGridRow],13),0))+IFERROR(INDEX(M_RawMaterials[固定週次消費量_要入力],MATCH($A47,M_RawMaterials[Part Name],0)),0)</f>
        <v/>
      </c>
      <c r="N47">
        <f>SUMPRODUCT((M_BOM[Part Name]=$A47)*M_BOM[RM_Qty_Per_Batch]*IFERROR(INDEX(PP_Grid[#Data],M_BOM[PPGridRow],14),0))+IFERROR(INDEX(M_RawMaterials[固定週次消費量_要入力],MATCH($A47,M_RawMaterials[Part Name],0)),0)</f>
        <v/>
      </c>
      <c r="O47">
        <f>SUMPRODUCT((M_BOM[Part Name]=$A47)*M_BOM[RM_Qty_Per_Batch]*IFERROR(INDEX(PP_Grid[#Data],M_BOM[PPGridRow],15),0))+IFERROR(INDEX(M_RawMaterials[固定週次消費量_要入力],MATCH($A47,M_RawMaterials[Part Name],0)),0)</f>
        <v/>
      </c>
      <c r="P47">
        <f>SUMPRODUCT((M_BOM[Part Name]=$A47)*M_BOM[RM_Qty_Per_Batch]*IFERROR(INDEX(PP_Grid[#Data],M_BOM[PPGridRow],16),0))+IFERROR(INDEX(M_RawMaterials[固定週次消費量_要入力],MATCH($A47,M_RawMaterials[Part Name],0)),0)</f>
        <v/>
      </c>
      <c r="Q47">
        <f>SUMPRODUCT((M_BOM[Part Name]=$A47)*M_BOM[RM_Qty_Per_Batch]*IFERROR(INDEX(PP_Grid[#Data],M_BOM[PPGridRow],17),0))+IFERROR(INDEX(M_RawMaterials[固定週次消費量_要入力],MATCH($A47,M_RawMaterials[Part Name],0)),0)</f>
        <v/>
      </c>
      <c r="R47">
        <f>SUMPRODUCT((M_BOM[Part Name]=$A47)*M_BOM[RM_Qty_Per_Batch]*IFERROR(INDEX(PP_Grid[#Data],M_BOM[PPGridRow],18),0))+IFERROR(INDEX(M_RawMaterials[固定週次消費量_要入力],MATCH($A47,M_RawMaterials[Part Name],0)),0)</f>
        <v/>
      </c>
      <c r="S47">
        <f>SUMPRODUCT((M_BOM[Part Name]=$A47)*M_BOM[RM_Qty_Per_Batch]*IFERROR(INDEX(PP_Grid[#Data],M_BOM[PPGridRow],19),0))+IFERROR(INDEX(M_RawMaterials[固定週次消費量_要入力],MATCH($A47,M_RawMaterials[Part Name],0)),0)</f>
        <v/>
      </c>
      <c r="T47">
        <f>SUMPRODUCT((M_BOM[Part Name]=$A47)*M_BOM[RM_Qty_Per_Batch]*IFERROR(INDEX(PP_Grid[#Data],M_BOM[PPGridRow],20),0))+IFERROR(INDEX(M_RawMaterials[固定週次消費量_要入力],MATCH($A47,M_RawMaterials[Part Name],0)),0)</f>
        <v/>
      </c>
      <c r="U47">
        <f>SUMPRODUCT((M_BOM[Part Name]=$A47)*M_BOM[RM_Qty_Per_Batch]*IFERROR(INDEX(PP_Grid[#Data],M_BOM[PPGridRow],21),0))+IFERROR(INDEX(M_RawMaterials[固定週次消費量_要入力],MATCH($A47,M_RawMaterials[Part Name],0)),0)</f>
        <v/>
      </c>
      <c r="V47">
        <f>SUMPRODUCT((M_BOM[Part Name]=$A47)*M_BOM[RM_Qty_Per_Batch]*IFERROR(INDEX(PP_Grid[#Data],M_BOM[PPGridRow],22),0))+IFERROR(INDEX(M_RawMaterials[固定週次消費量_要入力],MATCH($A47,M_RawMaterials[Part Name],0)),0)</f>
        <v/>
      </c>
      <c r="W47">
        <f>SUMPRODUCT((M_BOM[Part Name]=$A47)*M_BOM[RM_Qty_Per_Batch]*IFERROR(INDEX(PP_Grid[#Data],M_BOM[PPGridRow],23),0))+IFERROR(INDEX(M_RawMaterials[固定週次消費量_要入力],MATCH($A47,M_RawMaterials[Part Name],0)),0)</f>
        <v/>
      </c>
      <c r="X47">
        <f>SUMPRODUCT((M_BOM[Part Name]=$A47)*M_BOM[RM_Qty_Per_Batch]*IFERROR(INDEX(PP_Grid[#Data],M_BOM[PPGridRow],24),0))+IFERROR(INDEX(M_RawMaterials[固定週次消費量_要入力],MATCH($A47,M_RawMaterials[Part Name],0)),0)</f>
        <v/>
      </c>
      <c r="Y47">
        <f>SUMPRODUCT((M_BOM[Part Name]=$A47)*M_BOM[RM_Qty_Per_Batch]*IFERROR(INDEX(PP_Grid[#Data],M_BOM[PPGridRow],25),0))+IFERROR(INDEX(M_RawMaterials[固定週次消費量_要入力],MATCH($A47,M_RawMaterials[Part Name],0)),0)</f>
        <v/>
      </c>
      <c r="Z47">
        <f>SUMPRODUCT((M_BOM[Part Name]=$A47)*M_BOM[RM_Qty_Per_Batch]*IFERROR(INDEX(PP_Grid[#Data],M_BOM[PPGridRow],26),0))+IFERROR(INDEX(M_RawMaterials[固定週次消費量_要入力],MATCH($A47,M_RawMaterials[Part Name],0)),0)</f>
        <v/>
      </c>
      <c r="AA47">
        <f>SUMPRODUCT((M_BOM[Part Name]=$A47)*M_BOM[RM_Qty_Per_Batch]*IFERROR(INDEX(PP_Grid[#Data],M_BOM[PPGridRow],27),0))+IFERROR(INDEX(M_RawMaterials[固定週次消費量_要入力],MATCH($A47,M_RawMaterials[Part Name],0)),0)</f>
        <v/>
      </c>
      <c r="AB47">
        <f>SUMPRODUCT((M_BOM[Part Name]=$A47)*M_BOM[RM_Qty_Per_Batch]*IFERROR(INDEX(PP_Grid[#Data],M_BOM[PPGridRow],28),0))+IFERROR(INDEX(M_RawMaterials[固定週次消費量_要入力],MATCH($A47,M_RawMaterials[Part Name],0)),0)</f>
        <v/>
      </c>
      <c r="AC47">
        <f>SUMPRODUCT((M_BOM[Part Name]=$A47)*M_BOM[RM_Qty_Per_Batch]*IFERROR(INDEX(PP_Grid[#Data],M_BOM[PPGridRow],29),0))+IFERROR(INDEX(M_RawMaterials[固定週次消費量_要入力],MATCH($A47,M_RawMaterials[Part Name],0)),0)</f>
        <v/>
      </c>
      <c r="AD47">
        <f>SUMPRODUCT((M_BOM[Part Name]=$A47)*M_BOM[RM_Qty_Per_Batch]*IFERROR(INDEX(PP_Grid[#Data],M_BOM[PPGridRow],30),0))+IFERROR(INDEX(M_RawMaterials[固定週次消費量_要入力],MATCH($A47,M_RawMaterials[Part Name],0)),0)</f>
        <v/>
      </c>
      <c r="AE47">
        <f>SUMPRODUCT((M_BOM[Part Name]=$A47)*M_BOM[RM_Qty_Per_Batch]*IFERROR(INDEX(PP_Grid[#Data],M_BOM[PPGridRow],31),0))+IFERROR(INDEX(M_RawMaterials[固定週次消費量_要入力],MATCH($A47,M_RawMaterials[Part Name],0)),0)</f>
        <v/>
      </c>
      <c r="AF47">
        <f>SUMPRODUCT((M_BOM[Part Name]=$A47)*M_BOM[RM_Qty_Per_Batch]*IFERROR(INDEX(PP_Grid[#Data],M_BOM[PPGridRow],32),0))+IFERROR(INDEX(M_RawMaterials[固定週次消費量_要入力],MATCH($A47,M_RawMaterials[Part Name],0)),0)</f>
        <v/>
      </c>
      <c r="AG47">
        <f>SUMPRODUCT((M_BOM[Part Name]=$A47)*M_BOM[RM_Qty_Per_Batch]*IFERROR(INDEX(PP_Grid[#Data],M_BOM[PPGridRow],33),0))+IFERROR(INDEX(M_RawMaterials[固定週次消費量_要入力],MATCH($A47,M_RawMaterials[Part Name],0)),0)</f>
        <v/>
      </c>
      <c r="AH47">
        <f>SUMPRODUCT((M_BOM[Part Name]=$A47)*M_BOM[RM_Qty_Per_Batch]*IFERROR(INDEX(PP_Grid[#Data],M_BOM[PPGridRow],34),0))+IFERROR(INDEX(M_RawMaterials[固定週次消費量_要入力],MATCH($A47,M_RawMaterials[Part Name],0)),0)</f>
        <v/>
      </c>
      <c r="AI47">
        <f>SUMPRODUCT((M_BOM[Part Name]=$A47)*M_BOM[RM_Qty_Per_Batch]*IFERROR(INDEX(PP_Grid[#Data],M_BOM[PPGridRow],35),0))+IFERROR(INDEX(M_RawMaterials[固定週次消費量_要入力],MATCH($A47,M_RawMaterials[Part Name],0)),0)</f>
        <v/>
      </c>
      <c r="AJ47">
        <f>SUMPRODUCT((M_BOM[Part Name]=$A47)*M_BOM[RM_Qty_Per_Batch]*IFERROR(INDEX(PP_Grid[#Data],M_BOM[PPGridRow],36),0))+IFERROR(INDEX(M_RawMaterials[固定週次消費量_要入力],MATCH($A47,M_RawMaterials[Part Name],0)),0)</f>
        <v/>
      </c>
      <c r="AK47">
        <f>SUMPRODUCT((M_BOM[Part Name]=$A47)*M_BOM[RM_Qty_Per_Batch]*IFERROR(INDEX(PP_Grid[#Data],M_BOM[PPGridRow],37),0))+IFERROR(INDEX(M_RawMaterials[固定週次消費量_要入力],MATCH($A47,M_RawMaterials[Part Name],0)),0)</f>
        <v/>
      </c>
      <c r="AL47">
        <f>SUMPRODUCT((M_BOM[Part Name]=$A47)*M_BOM[RM_Qty_Per_Batch]*IFERROR(INDEX(PP_Grid[#Data],M_BOM[PPGridRow],38),0))+IFERROR(INDEX(M_RawMaterials[固定週次消費量_要入力],MATCH($A47,M_RawMaterials[Part Name],0)),0)</f>
        <v/>
      </c>
      <c r="AM47">
        <f>SUMPRODUCT((M_BOM[Part Name]=$A47)*M_BOM[RM_Qty_Per_Batch]*IFERROR(INDEX(PP_Grid[#Data],M_BOM[PPGridRow],39),0))+IFERROR(INDEX(M_RawMaterials[固定週次消費量_要入力],MATCH($A47,M_RawMaterials[Part Name],0)),0)</f>
        <v/>
      </c>
      <c r="AN47">
        <f>SUMPRODUCT((M_BOM[Part Name]=$A47)*M_BOM[RM_Qty_Per_Batch]*IFERROR(INDEX(PP_Grid[#Data],M_BOM[PPGridRow],40),0))+IFERROR(INDEX(M_RawMaterials[固定週次消費量_要入力],MATCH($A47,M_RawMaterials[Part Name],0)),0)</f>
        <v/>
      </c>
      <c r="AO47">
        <f>SUMPRODUCT((M_BOM[Part Name]=$A47)*M_BOM[RM_Qty_Per_Batch]*IFERROR(INDEX(PP_Grid[#Data],M_BOM[PPGridRow],41),0))+IFERROR(INDEX(M_RawMaterials[固定週次消費量_要入力],MATCH($A47,M_RawMaterials[Part Name],0)),0)</f>
        <v/>
      </c>
      <c r="AP47">
        <f>SUMPRODUCT((M_BOM[Part Name]=$A47)*M_BOM[RM_Qty_Per_Batch]*IFERROR(INDEX(PP_Grid[#Data],M_BOM[PPGridRow],42),0))+IFERROR(INDEX(M_RawMaterials[固定週次消費量_要入力],MATCH($A47,M_RawMaterials[Part Name],0)),0)</f>
        <v/>
      </c>
      <c r="AQ47">
        <f>SUMPRODUCT((M_BOM[Part Name]=$A47)*M_BOM[RM_Qty_Per_Batch]*IFERROR(INDEX(PP_Grid[#Data],M_BOM[PPGridRow],43),0))+IFERROR(INDEX(M_RawMaterials[固定週次消費量_要入力],MATCH($A47,M_RawMaterials[Part Name],0)),0)</f>
        <v/>
      </c>
      <c r="AR47">
        <f>SUMPRODUCT((M_BOM[Part Name]=$A47)*M_BOM[RM_Qty_Per_Batch]*IFERROR(INDEX(PP_Grid[#Data],M_BOM[PPGridRow],44),0))+IFERROR(INDEX(M_RawMaterials[固定週次消費量_要入力],MATCH($A47,M_RawMaterials[Part Name],0)),0)</f>
        <v/>
      </c>
      <c r="AS47">
        <f>SUMPRODUCT((M_BOM[Part Name]=$A47)*M_BOM[RM_Qty_Per_Batch]*IFERROR(INDEX(PP_Grid[#Data],M_BOM[PPGridRow],45),0))+IFERROR(INDEX(M_RawMaterials[固定週次消費量_要入力],MATCH($A47,M_RawMaterials[Part Name],0)),0)</f>
        <v/>
      </c>
      <c r="AT47">
        <f>SUMPRODUCT((M_BOM[Part Name]=$A47)*M_BOM[RM_Qty_Per_Batch]*IFERROR(INDEX(PP_Grid[#Data],M_BOM[PPGridRow],46),0))+IFERROR(INDEX(M_RawMaterials[固定週次消費量_要入力],MATCH($A47,M_RawMaterials[Part Name],0)),0)</f>
        <v/>
      </c>
      <c r="AU47">
        <f>SUMPRODUCT((M_BOM[Part Name]=$A47)*M_BOM[RM_Qty_Per_Batch]*IFERROR(INDEX(PP_Grid[#Data],M_BOM[PPGridRow],47),0))+IFERROR(INDEX(M_RawMaterials[固定週次消費量_要入力],MATCH($A47,M_RawMaterials[Part Name],0)),0)</f>
        <v/>
      </c>
      <c r="AV47">
        <f>SUMPRODUCT((M_BOM[Part Name]=$A47)*M_BOM[RM_Qty_Per_Batch]*IFERROR(INDEX(PP_Grid[#Data],M_BOM[PPGridRow],48),0))+IFERROR(INDEX(M_RawMaterials[固定週次消費量_要入力],MATCH($A47,M_RawMaterials[Part Name],0)),0)</f>
        <v/>
      </c>
      <c r="AW47">
        <f>SUMPRODUCT((M_BOM[Part Name]=$A47)*M_BOM[RM_Qty_Per_Batch]*IFERROR(INDEX(PP_Grid[#Data],M_BOM[PPGridRow],49),0))+IFERROR(INDEX(M_RawMaterials[固定週次消費量_要入力],MATCH($A47,M_RawMaterials[Part Name],0)),0)</f>
        <v/>
      </c>
      <c r="AX47">
        <f>SUMPRODUCT((M_BOM[Part Name]=$A47)*M_BOM[RM_Qty_Per_Batch]*IFERROR(INDEX(PP_Grid[#Data],M_BOM[PPGridRow],50),0))+IFERROR(INDEX(M_RawMaterials[固定週次消費量_要入力],MATCH($A47,M_RawMaterials[Part Name],0)),0)</f>
        <v/>
      </c>
      <c r="AY47">
        <f>SUMPRODUCT((M_BOM[Part Name]=$A47)*M_BOM[RM_Qty_Per_Batch]*IFERROR(INDEX(PP_Grid[#Data],M_BOM[PPGridRow],51),0))+IFERROR(INDEX(M_RawMaterials[固定週次消費量_要入力],MATCH($A47,M_RawMaterials[Part Name],0)),0)</f>
        <v/>
      </c>
      <c r="AZ47">
        <f>SUMPRODUCT((M_BOM[Part Name]=$A47)*M_BOM[RM_Qty_Per_Batch]*IFERROR(INDEX(PP_Grid[#Data],M_BOM[PPGridRow],52),0))+IFERROR(INDEX(M_RawMaterials[固定週次消費量_要入力],MATCH($A47,M_RawMaterials[Part Name],0)),0)</f>
        <v/>
      </c>
      <c r="BA47">
        <f>SUMPRODUCT((M_BOM[Part Name]=$A47)*M_BOM[RM_Qty_Per_Batch]*IFERROR(INDEX(PP_Grid[#Data],M_BOM[PPGridRow],53),0))+IFERROR(INDEX(M_RawMaterials[固定週次消費量_要入力],MATCH($A47,M_RawMaterials[Part Name],0)),0)</f>
        <v/>
      </c>
      <c r="BB47">
        <f>SUMPRODUCT((M_BOM[Part Name]=$A47)*M_BOM[RM_Qty_Per_Batch]*IFERROR(INDEX(PP_Grid[#Data],M_BOM[PPGridRow],54),0))+IFERROR(INDEX(M_RawMaterials[固定週次消費量_要入力],MATCH($A47,M_RawMaterials[Part Name],0)),0)</f>
        <v/>
      </c>
      <c r="BC47">
        <f>SUMPRODUCT((M_BOM[Part Name]=$A47)*M_BOM[RM_Qty_Per_Batch]*IFERROR(INDEX(PP_Grid[#Data],M_BOM[PPGridRow],55),0))+IFERROR(INDEX(M_RawMaterials[固定週次消費量_要入力],MATCH($A47,M_RawMaterials[Part Name],0)),0)</f>
        <v/>
      </c>
      <c r="BD47">
        <f>SUMPRODUCT((M_BOM[Part Name]=$A47)*M_BOM[RM_Qty_Per_Batch]*IFERROR(INDEX(PP_Grid[#Data],M_BOM[PPGridRow],56),0))+IFERROR(INDEX(M_RawMaterials[固定週次消費量_要入力],MATCH($A47,M_RawMaterials[Part Name],0)),0)</f>
        <v/>
      </c>
      <c r="BE47">
        <f>SUMPRODUCT((M_BOM[Part Name]=$A47)*M_BOM[RM_Qty_Per_Batch]*IFERROR(INDEX(PP_Grid[#Data],M_BOM[PPGridRow],57),0))+IFERROR(INDEX(M_RawMaterials[固定週次消費量_要入力],MATCH($A47,M_RawMaterials[Part Name],0)),0)</f>
        <v/>
      </c>
      <c r="BF47">
        <f>SUMPRODUCT((M_BOM[Part Name]=$A47)*M_BOM[RM_Qty_Per_Batch]*IFERROR(INDEX(PP_Grid[#Data],M_BOM[PPGridRow],58),0))+IFERROR(INDEX(M_RawMaterials[固定週次消費量_要入力],MATCH($A47,M_RawMaterials[Part Name],0)),0)</f>
        <v/>
      </c>
      <c r="BG47">
        <f>SUMPRODUCT((M_BOM[Part Name]=$A47)*M_BOM[RM_Qty_Per_Batch]*IFERROR(INDEX(PP_Grid[#Data],M_BOM[PPGridRow],59),0))+IFERROR(INDEX(M_RawMaterials[固定週次消費量_要入力],MATCH($A47,M_RawMaterials[Part Name],0)),0)</f>
        <v/>
      </c>
      <c r="BH47">
        <f>SUMPRODUCT((M_BOM[Part Name]=$A47)*M_BOM[RM_Qty_Per_Batch]*IFERROR(INDEX(PP_Grid[#Data],M_BOM[PPGridRow],60),0))+IFERROR(INDEX(M_RawMaterials[固定週次消費量_要入力],MATCH($A47,M_RawMaterials[Part Name],0)),0)</f>
        <v/>
      </c>
      <c r="BI47">
        <f>SUMPRODUCT((M_BOM[Part Name]=$A47)*M_BOM[RM_Qty_Per_Batch]*IFERROR(INDEX(PP_Grid[#Data],M_BOM[PPGridRow],61),0))+IFERROR(INDEX(M_RawMaterials[固定週次消費量_要入力],MATCH($A47,M_RawMaterials[Part Name],0)),0)</f>
        <v/>
      </c>
      <c r="BJ47">
        <f>SUMPRODUCT((M_BOM[Part Name]=$A47)*M_BOM[RM_Qty_Per_Batch]*IFERROR(INDEX(PP_Grid[#Data],M_BOM[PPGridRow],62),0))+IFERROR(INDEX(M_RawMaterials[固定週次消費量_要入力],MATCH($A47,M_RawMaterials[Part Name],0)),0)</f>
        <v/>
      </c>
      <c r="BK47">
        <f>SUMPRODUCT((M_BOM[Part Name]=$A47)*M_BOM[RM_Qty_Per_Batch]*IFERROR(INDEX(PP_Grid[#Data],M_BOM[PPGridRow],63),0))+IFERROR(INDEX(M_RawMaterials[固定週次消費量_要入力],MATCH($A47,M_RawMaterials[Part Name],0)),0)</f>
        <v/>
      </c>
      <c r="BL47">
        <f>SUMPRODUCT((M_BOM[Part Name]=$A47)*M_BOM[RM_Qty_Per_Batch]*IFERROR(INDEX(PP_Grid[#Data],M_BOM[PPGridRow],64),0))+IFERROR(INDEX(M_RawMaterials[固定週次消費量_要入力],MATCH($A47,M_RawMaterials[Part Name],0)),0)</f>
        <v/>
      </c>
      <c r="BM47">
        <f>SUMPRODUCT((M_BOM[Part Name]=$A47)*M_BOM[RM_Qty_Per_Batch]*IFERROR(INDEX(PP_Grid[#Data],M_BOM[PPGridRow],65),0))+IFERROR(INDEX(M_RawMaterials[固定週次消費量_要入力],MATCH($A47,M_RawMaterials[Part Name],0)),0)</f>
        <v/>
      </c>
      <c r="BN47">
        <f>SUMPRODUCT((M_BOM[Part Name]=$A47)*M_BOM[RM_Qty_Per_Batch]*IFERROR(INDEX(PP_Grid[#Data],M_BOM[PPGridRow],66),0))+IFERROR(INDEX(M_RawMaterials[固定週次消費量_要入力],MATCH($A47,M_RawMaterials[Part Name],0)),0)</f>
        <v/>
      </c>
      <c r="BO47">
        <f>SUMPRODUCT((M_BOM[Part Name]=$A47)*M_BOM[RM_Qty_Per_Batch]*IFERROR(INDEX(PP_Grid[#Data],M_BOM[PPGridRow],67),0))+IFERROR(INDEX(M_RawMaterials[固定週次消費量_要入力],MATCH($A47,M_RawMaterials[Part Name],0)),0)</f>
        <v/>
      </c>
      <c r="BP47">
        <f>SUMPRODUCT((M_BOM[Part Name]=$A47)*M_BOM[RM_Qty_Per_Batch]*IFERROR(INDEX(PP_Grid[#Data],M_BOM[PPGridRow],68),0))+IFERROR(INDEX(M_RawMaterials[固定週次消費量_要入力],MATCH($A47,M_RawMaterials[Part Name],0)),0)</f>
        <v/>
      </c>
      <c r="BQ47">
        <f>SUMPRODUCT((M_BOM[Part Name]=$A47)*M_BOM[RM_Qty_Per_Batch]*IFERROR(INDEX(PP_Grid[#Data],M_BOM[PPGridRow],69),0))+IFERROR(INDEX(M_RawMaterials[固定週次消費量_要入力],MATCH($A47,M_RawMaterials[Part Name],0)),0)</f>
        <v/>
      </c>
      <c r="BR47">
        <f>SUMPRODUCT((M_BOM[Part Name]=$A47)*M_BOM[RM_Qty_Per_Batch]*IFERROR(INDEX(PP_Grid[#Data],M_BOM[PPGridRow],70),0))+IFERROR(INDEX(M_RawMaterials[固定週次消費量_要入力],MATCH($A47,M_RawMaterials[Part Name],0)),0)</f>
        <v/>
      </c>
      <c r="BS47">
        <f>SUMPRODUCT((M_BOM[Part Name]=$A47)*M_BOM[RM_Qty_Per_Batch]*IFERROR(INDEX(PP_Grid[#Data],M_BOM[PPGridRow],71),0))+IFERROR(INDEX(M_RawMaterials[固定週次消費量_要入力],MATCH($A47,M_RawMaterials[Part Name],0)),0)</f>
        <v/>
      </c>
      <c r="BT47">
        <f>SUMPRODUCT((M_BOM[Part Name]=$A47)*M_BOM[RM_Qty_Per_Batch]*IFERROR(INDEX(PP_Grid[#Data],M_BOM[PPGridRow],72),0))+IFERROR(INDEX(M_RawMaterials[固定週次消費量_要入力],MATCH($A47,M_RawMaterials[Part Name],0)),0)</f>
        <v/>
      </c>
      <c r="BU47">
        <f>SUMPRODUCT((M_BOM[Part Name]=$A47)*M_BOM[RM_Qty_Per_Batch]*IFERROR(INDEX(PP_Grid[#Data],M_BOM[PPGridRow],73),0))+IFERROR(INDEX(M_RawMaterials[固定週次消費量_要入力],MATCH($A47,M_RawMaterials[Part Name],0)),0)</f>
        <v/>
      </c>
      <c r="BV47">
        <f>SUMPRODUCT((M_BOM[Part Name]=$A47)*M_BOM[RM_Qty_Per_Batch]*IFERROR(INDEX(PP_Grid[#Data],M_BOM[PPGridRow],74),0))+IFERROR(INDEX(M_RawMaterials[固定週次消費量_要入力],MATCH($A47,M_RawMaterials[Part Name],0)),0)</f>
        <v/>
      </c>
      <c r="BW47">
        <f>SUMPRODUCT((M_BOM[Part Name]=$A47)*M_BOM[RM_Qty_Per_Batch]*IFERROR(INDEX(PP_Grid[#Data],M_BOM[PPGridRow],75),0))+IFERROR(INDEX(M_RawMaterials[固定週次消費量_要入力],MATCH($A47,M_RawMaterials[Part Name],0)),0)</f>
        <v/>
      </c>
      <c r="BX47">
        <f>SUMPRODUCT((M_BOM[Part Name]=$A47)*M_BOM[RM_Qty_Per_Batch]*IFERROR(INDEX(PP_Grid[#Data],M_BOM[PPGridRow],76),0))+IFERROR(INDEX(M_RawMaterials[固定週次消費量_要入力],MATCH($A47,M_RawMaterials[Part Name],0)),0)</f>
        <v/>
      </c>
      <c r="BY47">
        <f>SUMPRODUCT((M_BOM[Part Name]=$A47)*M_BOM[RM_Qty_Per_Batch]*IFERROR(INDEX(PP_Grid[#Data],M_BOM[PPGridRow],77),0))+IFERROR(INDEX(M_RawMaterials[固定週次消費量_要入力],MATCH($A47,M_RawMaterials[Part Name],0)),0)</f>
        <v/>
      </c>
      <c r="BZ47">
        <f>SUMPRODUCT((M_BOM[Part Name]=$A47)*M_BOM[RM_Qty_Per_Batch]*IFERROR(INDEX(PP_Grid[#Data],M_BOM[PPGridRow],78),0))+IFERROR(INDEX(M_RawMaterials[固定週次消費量_要入力],MATCH($A47,M_RawMaterials[Part Name],0)),0)</f>
        <v/>
      </c>
      <c r="CA47">
        <f>SUMPRODUCT((M_BOM[Part Name]=$A47)*M_BOM[RM_Qty_Per_Batch]*IFERROR(INDEX(PP_Grid[#Data],M_BOM[PPGridRow],79),0))+IFERROR(INDEX(M_RawMaterials[固定週次消費量_要入力],MATCH($A47,M_RawMaterials[Part Name],0)),0)</f>
        <v/>
      </c>
      <c r="CB47">
        <f>SUMPRODUCT((M_BOM[Part Name]=$A47)*M_BOM[RM_Qty_Per_Batch]*IFERROR(INDEX(PP_Grid[#Data],M_BOM[PPGridRow],80),0))+IFERROR(INDEX(M_RawMaterials[固定週次消費量_要入力],MATCH($A47,M_RawMaterials[Part Name],0)),0)</f>
        <v/>
      </c>
      <c r="CC47">
        <f>SUMPRODUCT((M_BOM[Part Name]=$A47)*M_BOM[RM_Qty_Per_Batch]*IFERROR(INDEX(PP_Grid[#Data],M_BOM[PPGridRow],81),0))+IFERROR(INDEX(M_RawMaterials[固定週次消費量_要入力],MATCH($A47,M_RawMaterials[Part Name],0)),0)</f>
        <v/>
      </c>
      <c r="CD47">
        <f>SUMPRODUCT((M_BOM[Part Name]=$A47)*M_BOM[RM_Qty_Per_Batch]*IFERROR(INDEX(PP_Grid[#Data],M_BOM[PPGridRow],82),0))+IFERROR(INDEX(M_RawMaterials[固定週次消費量_要入力],MATCH($A47,M_RawMaterials[Part Name],0)),0)</f>
        <v/>
      </c>
      <c r="CE47">
        <f>SUMPRODUCT((M_BOM[Part Name]=$A47)*M_BOM[RM_Qty_Per_Batch]*IFERROR(INDEX(PP_Grid[#Data],M_BOM[PPGridRow],83),0))+IFERROR(INDEX(M_RawMaterials[固定週次消費量_要入力],MATCH($A47,M_RawMaterials[Part Name],0)),0)</f>
        <v/>
      </c>
      <c r="CF47">
        <f>SUMPRODUCT((M_BOM[Part Name]=$A47)*M_BOM[RM_Qty_Per_Batch]*IFERROR(INDEX(PP_Grid[#Data],M_BOM[PPGridRow],84),0))+IFERROR(INDEX(M_RawMaterials[固定週次消費量_要入力],MATCH($A47,M_RawMaterials[Part Name],0)),0)</f>
        <v/>
      </c>
      <c r="CG47">
        <f>SUMPRODUCT((M_BOM[Part Name]=$A47)*M_BOM[RM_Qty_Per_Batch]*IFERROR(INDEX(PP_Grid[#Data],M_BOM[PPGridRow],85),0))+IFERROR(INDEX(M_RawMaterials[固定週次消費量_要入力],MATCH($A47,M_RawMaterials[Part Name],0)),0)</f>
        <v/>
      </c>
      <c r="CH47">
        <f>SUMPRODUCT((M_BOM[Part Name]=$A47)*M_BOM[RM_Qty_Per_Batch]*IFERROR(INDEX(PP_Grid[#Data],M_BOM[PPGridRow],86),0))+IFERROR(INDEX(M_RawMaterials[固定週次消費量_要入力],MATCH($A47,M_RawMaterials[Part Name],0)),0)</f>
        <v/>
      </c>
      <c r="CI47">
        <f>SUMPRODUCT((M_BOM[Part Name]=$A47)*M_BOM[RM_Qty_Per_Batch]*IFERROR(INDEX(PP_Grid[#Data],M_BOM[PPGridRow],87),0))+IFERROR(INDEX(M_RawMaterials[固定週次消費量_要入力],MATCH($A47,M_RawMaterials[Part Name],0)),0)</f>
        <v/>
      </c>
      <c r="CJ47">
        <f>SUMPRODUCT((M_BOM[Part Name]=$A47)*M_BOM[RM_Qty_Per_Batch]*IFERROR(INDEX(PP_Grid[#Data],M_BOM[PPGridRow],88),0))+IFERROR(INDEX(M_RawMaterials[固定週次消費量_要入力],MATCH($A47,M_RawMaterials[Part Name],0)),0)</f>
        <v/>
      </c>
      <c r="CK47">
        <f>SUMPRODUCT((M_BOM[Part Name]=$A47)*M_BOM[RM_Qty_Per_Batch]*IFERROR(INDEX(PP_Grid[#Data],M_BOM[PPGridRow],89),0))+IFERROR(INDEX(M_RawMaterials[固定週次消費量_要入力],MATCH($A47,M_RawMaterials[Part Name],0)),0)</f>
        <v/>
      </c>
      <c r="CL47">
        <f>SUMPRODUCT((M_BOM[Part Name]=$A47)*M_BOM[RM_Qty_Per_Batch]*IFERROR(INDEX(PP_Grid[#Data],M_BOM[PPGridRow],90),0))+IFERROR(INDEX(M_RawMaterials[固定週次消費量_要入力],MATCH($A47,M_RawMaterials[Part Name],0)),0)</f>
        <v/>
      </c>
      <c r="CM47">
        <f>SUMPRODUCT((M_BOM[Part Name]=$A47)*M_BOM[RM_Qty_Per_Batch]*IFERROR(INDEX(PP_Grid[#Data],M_BOM[PPGridRow],91),0))+IFERROR(INDEX(M_RawMaterials[固定週次消費量_要入力],MATCH($A47,M_RawMaterials[Part Name],0)),0)</f>
        <v/>
      </c>
      <c r="CN47">
        <f>SUMPRODUCT((M_BOM[Part Name]=$A47)*M_BOM[RM_Qty_Per_Batch]*IFERROR(INDEX(PP_Grid[#Data],M_BOM[PPGridRow],92),0))+IFERROR(INDEX(M_RawMaterials[固定週次消費量_要入力],MATCH($A47,M_RawMaterials[Part Name],0)),0)</f>
        <v/>
      </c>
      <c r="CO47">
        <f>SUMPRODUCT((M_BOM[Part Name]=$A47)*M_BOM[RM_Qty_Per_Batch]*IFERROR(INDEX(PP_Grid[#Data],M_BOM[PPGridRow],93),0))+IFERROR(INDEX(M_RawMaterials[固定週次消費量_要入力],MATCH($A47,M_RawMaterials[Part Name],0)),0)</f>
        <v/>
      </c>
      <c r="CP47">
        <f>SUMPRODUCT((M_BOM[Part Name]=$A47)*M_BOM[RM_Qty_Per_Batch]*IFERROR(INDEX(PP_Grid[#Data],M_BOM[PPGridRow],94),0))+IFERROR(INDEX(M_RawMaterials[固定週次消費量_要入力],MATCH($A47,M_RawMaterials[Part Name],0)),0)</f>
        <v/>
      </c>
      <c r="CQ47">
        <f>SUMPRODUCT((M_BOM[Part Name]=$A47)*M_BOM[RM_Qty_Per_Batch]*IFERROR(INDEX(PP_Grid[#Data],M_BOM[PPGridRow],95),0))+IFERROR(INDEX(M_RawMaterials[固定週次消費量_要入力],MATCH($A47,M_RawMaterials[Part Name],0)),0)</f>
        <v/>
      </c>
      <c r="CR47">
        <f>SUMPRODUCT((M_BOM[Part Name]=$A47)*M_BOM[RM_Qty_Per_Batch]*IFERROR(INDEX(PP_Grid[#Data],M_BOM[PPGridRow],96),0))+IFERROR(INDEX(M_RawMaterials[固定週次消費量_要入力],MATCH($A47,M_RawMaterials[Part Name],0)),0)</f>
        <v/>
      </c>
      <c r="CS47">
        <f>SUMPRODUCT((M_BOM[Part Name]=$A47)*M_BOM[RM_Qty_Per_Batch]*IFERROR(INDEX(PP_Grid[#Data],M_BOM[PPGridRow],97),0))+IFERROR(INDEX(M_RawMaterials[固定週次消費量_要入力],MATCH($A47,M_RawMaterials[Part Name],0)),0)</f>
        <v/>
      </c>
      <c r="CT47">
        <f>SUMPRODUCT((M_BOM[Part Name]=$A47)*M_BOM[RM_Qty_Per_Batch]*IFERROR(INDEX(PP_Grid[#Data],M_BOM[PPGridRow],98),0))+IFERROR(INDEX(M_RawMaterials[固定週次消費量_要入力],MATCH($A47,M_RawMaterials[Part Name],0)),0)</f>
        <v/>
      </c>
      <c r="CU47">
        <f>SUMPRODUCT((M_BOM[Part Name]=$A47)*M_BOM[RM_Qty_Per_Batch]*IFERROR(INDEX(PP_Grid[#Data],M_BOM[PPGridRow],99),0))+IFERROR(INDEX(M_RawMaterials[固定週次消費量_要入力],MATCH($A47,M_RawMaterials[Part Name],0)),0)</f>
        <v/>
      </c>
      <c r="CV47">
        <f>SUMPRODUCT((M_BOM[Part Name]=$A47)*M_BOM[RM_Qty_Per_Batch]*IFERROR(INDEX(PP_Grid[#Data],M_BOM[PPGridRow],100),0))+IFERROR(INDEX(M_RawMaterials[固定週次消費量_要入力],MATCH($A47,M_RawMaterials[Part Name],0)),0)</f>
        <v/>
      </c>
      <c r="CW47">
        <f>SUMPRODUCT((M_BOM[Part Name]=$A47)*M_BOM[RM_Qty_Per_Batch]*IFERROR(INDEX(PP_Grid[#Data],M_BOM[PPGridRow],101),0))+IFERROR(INDEX(M_RawMaterials[固定週次消費量_要入力],MATCH($A47,M_RawMaterials[Part Name],0)),0)</f>
        <v/>
      </c>
      <c r="CX47">
        <f>SUMPRODUCT((M_BOM[Part Name]=$A47)*M_BOM[RM_Qty_Per_Batch]*IFERROR(INDEX(PP_Grid[#Data],M_BOM[PPGridRow],102),0))+IFERROR(INDEX(M_RawMaterials[固定週次消費量_要入力],MATCH($A47,M_RawMaterials[Part Name],0)),0)</f>
        <v/>
      </c>
      <c r="CY47">
        <f>SUMPRODUCT((M_BOM[Part Name]=$A47)*M_BOM[RM_Qty_Per_Batch]*IFERROR(INDEX(PP_Grid[#Data],M_BOM[PPGridRow],103),0))+IFERROR(INDEX(M_RawMaterials[固定週次消費量_要入力],MATCH($A47,M_RawMaterials[Part Name],0)),0)</f>
        <v/>
      </c>
      <c r="CZ47">
        <f>SUMPRODUCT((M_BOM[Part Name]=$A47)*M_BOM[RM_Qty_Per_Batch]*IFERROR(INDEX(PP_Grid[#Data],M_BOM[PPGridRow],104),0))+IFERROR(INDEX(M_RawMaterials[固定週次消費量_要入力],MATCH($A47,M_RawMaterials[Part Name],0)),0)</f>
        <v/>
      </c>
      <c r="DA47">
        <f>SUMPRODUCT((M_BOM[Part Name]=$A47)*M_BOM[RM_Qty_Per_Batch]*IFERROR(INDEX(PP_Grid[#Data],M_BOM[PPGridRow],105),0))+IFERROR(INDEX(M_RawMaterials[固定週次消費量_要入力],MATCH($A47,M_RawMaterials[Part Name],0)),0)</f>
        <v/>
      </c>
    </row>
    <row r="48">
      <c r="A48" t="inlineStr">
        <is>
          <t>CHEM-1470</t>
        </is>
      </c>
      <c r="B48">
        <f>SUMPRODUCT((M_BOM[Part Name]=$A48)*M_BOM[RM_Qty_Per_Batch]*IFERROR(INDEX(PP_Grid[#Data],M_BOM[PPGridRow],2),0))+IFERROR(INDEX(M_RawMaterials[固定週次消費量_要入力],MATCH($A48,M_RawMaterials[Part Name],0)),0)</f>
        <v/>
      </c>
      <c r="C48">
        <f>SUMPRODUCT((M_BOM[Part Name]=$A48)*M_BOM[RM_Qty_Per_Batch]*IFERROR(INDEX(PP_Grid[#Data],M_BOM[PPGridRow],3),0))+IFERROR(INDEX(M_RawMaterials[固定週次消費量_要入力],MATCH($A48,M_RawMaterials[Part Name],0)),0)</f>
        <v/>
      </c>
      <c r="D48">
        <f>SUMPRODUCT((M_BOM[Part Name]=$A48)*M_BOM[RM_Qty_Per_Batch]*IFERROR(INDEX(PP_Grid[#Data],M_BOM[PPGridRow],4),0))+IFERROR(INDEX(M_RawMaterials[固定週次消費量_要入力],MATCH($A48,M_RawMaterials[Part Name],0)),0)</f>
        <v/>
      </c>
      <c r="E48">
        <f>SUMPRODUCT((M_BOM[Part Name]=$A48)*M_BOM[RM_Qty_Per_Batch]*IFERROR(INDEX(PP_Grid[#Data],M_BOM[PPGridRow],5),0))+IFERROR(INDEX(M_RawMaterials[固定週次消費量_要入力],MATCH($A48,M_RawMaterials[Part Name],0)),0)</f>
        <v/>
      </c>
      <c r="F48">
        <f>SUMPRODUCT((M_BOM[Part Name]=$A48)*M_BOM[RM_Qty_Per_Batch]*IFERROR(INDEX(PP_Grid[#Data],M_BOM[PPGridRow],6),0))+IFERROR(INDEX(M_RawMaterials[固定週次消費量_要入力],MATCH($A48,M_RawMaterials[Part Name],0)),0)</f>
        <v/>
      </c>
      <c r="G48">
        <f>SUMPRODUCT((M_BOM[Part Name]=$A48)*M_BOM[RM_Qty_Per_Batch]*IFERROR(INDEX(PP_Grid[#Data],M_BOM[PPGridRow],7),0))+IFERROR(INDEX(M_RawMaterials[固定週次消費量_要入力],MATCH($A48,M_RawMaterials[Part Name],0)),0)</f>
        <v/>
      </c>
      <c r="H48">
        <f>SUMPRODUCT((M_BOM[Part Name]=$A48)*M_BOM[RM_Qty_Per_Batch]*IFERROR(INDEX(PP_Grid[#Data],M_BOM[PPGridRow],8),0))+IFERROR(INDEX(M_RawMaterials[固定週次消費量_要入力],MATCH($A48,M_RawMaterials[Part Name],0)),0)</f>
        <v/>
      </c>
      <c r="I48">
        <f>SUMPRODUCT((M_BOM[Part Name]=$A48)*M_BOM[RM_Qty_Per_Batch]*IFERROR(INDEX(PP_Grid[#Data],M_BOM[PPGridRow],9),0))+IFERROR(INDEX(M_RawMaterials[固定週次消費量_要入力],MATCH($A48,M_RawMaterials[Part Name],0)),0)</f>
        <v/>
      </c>
      <c r="J48">
        <f>SUMPRODUCT((M_BOM[Part Name]=$A48)*M_BOM[RM_Qty_Per_Batch]*IFERROR(INDEX(PP_Grid[#Data],M_BOM[PPGridRow],10),0))+IFERROR(INDEX(M_RawMaterials[固定週次消費量_要入力],MATCH($A48,M_RawMaterials[Part Name],0)),0)</f>
        <v/>
      </c>
      <c r="K48">
        <f>SUMPRODUCT((M_BOM[Part Name]=$A48)*M_BOM[RM_Qty_Per_Batch]*IFERROR(INDEX(PP_Grid[#Data],M_BOM[PPGridRow],11),0))+IFERROR(INDEX(M_RawMaterials[固定週次消費量_要入力],MATCH($A48,M_RawMaterials[Part Name],0)),0)</f>
        <v/>
      </c>
      <c r="L48">
        <f>SUMPRODUCT((M_BOM[Part Name]=$A48)*M_BOM[RM_Qty_Per_Batch]*IFERROR(INDEX(PP_Grid[#Data],M_BOM[PPGridRow],12),0))+IFERROR(INDEX(M_RawMaterials[固定週次消費量_要入力],MATCH($A48,M_RawMaterials[Part Name],0)),0)</f>
        <v/>
      </c>
      <c r="M48">
        <f>SUMPRODUCT((M_BOM[Part Name]=$A48)*M_BOM[RM_Qty_Per_Batch]*IFERROR(INDEX(PP_Grid[#Data],M_BOM[PPGridRow],13),0))+IFERROR(INDEX(M_RawMaterials[固定週次消費量_要入力],MATCH($A48,M_RawMaterials[Part Name],0)),0)</f>
        <v/>
      </c>
      <c r="N48">
        <f>SUMPRODUCT((M_BOM[Part Name]=$A48)*M_BOM[RM_Qty_Per_Batch]*IFERROR(INDEX(PP_Grid[#Data],M_BOM[PPGridRow],14),0))+IFERROR(INDEX(M_RawMaterials[固定週次消費量_要入力],MATCH($A48,M_RawMaterials[Part Name],0)),0)</f>
        <v/>
      </c>
      <c r="O48">
        <f>SUMPRODUCT((M_BOM[Part Name]=$A48)*M_BOM[RM_Qty_Per_Batch]*IFERROR(INDEX(PP_Grid[#Data],M_BOM[PPGridRow],15),0))+IFERROR(INDEX(M_RawMaterials[固定週次消費量_要入力],MATCH($A48,M_RawMaterials[Part Name],0)),0)</f>
        <v/>
      </c>
      <c r="P48">
        <f>SUMPRODUCT((M_BOM[Part Name]=$A48)*M_BOM[RM_Qty_Per_Batch]*IFERROR(INDEX(PP_Grid[#Data],M_BOM[PPGridRow],16),0))+IFERROR(INDEX(M_RawMaterials[固定週次消費量_要入力],MATCH($A48,M_RawMaterials[Part Name],0)),0)</f>
        <v/>
      </c>
      <c r="Q48">
        <f>SUMPRODUCT((M_BOM[Part Name]=$A48)*M_BOM[RM_Qty_Per_Batch]*IFERROR(INDEX(PP_Grid[#Data],M_BOM[PPGridRow],17),0))+IFERROR(INDEX(M_RawMaterials[固定週次消費量_要入力],MATCH($A48,M_RawMaterials[Part Name],0)),0)</f>
        <v/>
      </c>
      <c r="R48">
        <f>SUMPRODUCT((M_BOM[Part Name]=$A48)*M_BOM[RM_Qty_Per_Batch]*IFERROR(INDEX(PP_Grid[#Data],M_BOM[PPGridRow],18),0))+IFERROR(INDEX(M_RawMaterials[固定週次消費量_要入力],MATCH($A48,M_RawMaterials[Part Name],0)),0)</f>
        <v/>
      </c>
      <c r="S48">
        <f>SUMPRODUCT((M_BOM[Part Name]=$A48)*M_BOM[RM_Qty_Per_Batch]*IFERROR(INDEX(PP_Grid[#Data],M_BOM[PPGridRow],19),0))+IFERROR(INDEX(M_RawMaterials[固定週次消費量_要入力],MATCH($A48,M_RawMaterials[Part Name],0)),0)</f>
        <v/>
      </c>
      <c r="T48">
        <f>SUMPRODUCT((M_BOM[Part Name]=$A48)*M_BOM[RM_Qty_Per_Batch]*IFERROR(INDEX(PP_Grid[#Data],M_BOM[PPGridRow],20),0))+IFERROR(INDEX(M_RawMaterials[固定週次消費量_要入力],MATCH($A48,M_RawMaterials[Part Name],0)),0)</f>
        <v/>
      </c>
      <c r="U48">
        <f>SUMPRODUCT((M_BOM[Part Name]=$A48)*M_BOM[RM_Qty_Per_Batch]*IFERROR(INDEX(PP_Grid[#Data],M_BOM[PPGridRow],21),0))+IFERROR(INDEX(M_RawMaterials[固定週次消費量_要入力],MATCH($A48,M_RawMaterials[Part Name],0)),0)</f>
        <v/>
      </c>
      <c r="V48">
        <f>SUMPRODUCT((M_BOM[Part Name]=$A48)*M_BOM[RM_Qty_Per_Batch]*IFERROR(INDEX(PP_Grid[#Data],M_BOM[PPGridRow],22),0))+IFERROR(INDEX(M_RawMaterials[固定週次消費量_要入力],MATCH($A48,M_RawMaterials[Part Name],0)),0)</f>
        <v/>
      </c>
      <c r="W48">
        <f>SUMPRODUCT((M_BOM[Part Name]=$A48)*M_BOM[RM_Qty_Per_Batch]*IFERROR(INDEX(PP_Grid[#Data],M_BOM[PPGridRow],23),0))+IFERROR(INDEX(M_RawMaterials[固定週次消費量_要入力],MATCH($A48,M_RawMaterials[Part Name],0)),0)</f>
        <v/>
      </c>
      <c r="X48">
        <f>SUMPRODUCT((M_BOM[Part Name]=$A48)*M_BOM[RM_Qty_Per_Batch]*IFERROR(INDEX(PP_Grid[#Data],M_BOM[PPGridRow],24),0))+IFERROR(INDEX(M_RawMaterials[固定週次消費量_要入力],MATCH($A48,M_RawMaterials[Part Name],0)),0)</f>
        <v/>
      </c>
      <c r="Y48">
        <f>SUMPRODUCT((M_BOM[Part Name]=$A48)*M_BOM[RM_Qty_Per_Batch]*IFERROR(INDEX(PP_Grid[#Data],M_BOM[PPGridRow],25),0))+IFERROR(INDEX(M_RawMaterials[固定週次消費量_要入力],MATCH($A48,M_RawMaterials[Part Name],0)),0)</f>
        <v/>
      </c>
      <c r="Z48">
        <f>SUMPRODUCT((M_BOM[Part Name]=$A48)*M_BOM[RM_Qty_Per_Batch]*IFERROR(INDEX(PP_Grid[#Data],M_BOM[PPGridRow],26),0))+IFERROR(INDEX(M_RawMaterials[固定週次消費量_要入力],MATCH($A48,M_RawMaterials[Part Name],0)),0)</f>
        <v/>
      </c>
      <c r="AA48">
        <f>SUMPRODUCT((M_BOM[Part Name]=$A48)*M_BOM[RM_Qty_Per_Batch]*IFERROR(INDEX(PP_Grid[#Data],M_BOM[PPGridRow],27),0))+IFERROR(INDEX(M_RawMaterials[固定週次消費量_要入力],MATCH($A48,M_RawMaterials[Part Name],0)),0)</f>
        <v/>
      </c>
      <c r="AB48">
        <f>SUMPRODUCT((M_BOM[Part Name]=$A48)*M_BOM[RM_Qty_Per_Batch]*IFERROR(INDEX(PP_Grid[#Data],M_BOM[PPGridRow],28),0))+IFERROR(INDEX(M_RawMaterials[固定週次消費量_要入力],MATCH($A48,M_RawMaterials[Part Name],0)),0)</f>
        <v/>
      </c>
      <c r="AC48">
        <f>SUMPRODUCT((M_BOM[Part Name]=$A48)*M_BOM[RM_Qty_Per_Batch]*IFERROR(INDEX(PP_Grid[#Data],M_BOM[PPGridRow],29),0))+IFERROR(INDEX(M_RawMaterials[固定週次消費量_要入力],MATCH($A48,M_RawMaterials[Part Name],0)),0)</f>
        <v/>
      </c>
      <c r="AD48">
        <f>SUMPRODUCT((M_BOM[Part Name]=$A48)*M_BOM[RM_Qty_Per_Batch]*IFERROR(INDEX(PP_Grid[#Data],M_BOM[PPGridRow],30),0))+IFERROR(INDEX(M_RawMaterials[固定週次消費量_要入力],MATCH($A48,M_RawMaterials[Part Name],0)),0)</f>
        <v/>
      </c>
      <c r="AE48">
        <f>SUMPRODUCT((M_BOM[Part Name]=$A48)*M_BOM[RM_Qty_Per_Batch]*IFERROR(INDEX(PP_Grid[#Data],M_BOM[PPGridRow],31),0))+IFERROR(INDEX(M_RawMaterials[固定週次消費量_要入力],MATCH($A48,M_RawMaterials[Part Name],0)),0)</f>
        <v/>
      </c>
      <c r="AF48">
        <f>SUMPRODUCT((M_BOM[Part Name]=$A48)*M_BOM[RM_Qty_Per_Batch]*IFERROR(INDEX(PP_Grid[#Data],M_BOM[PPGridRow],32),0))+IFERROR(INDEX(M_RawMaterials[固定週次消費量_要入力],MATCH($A48,M_RawMaterials[Part Name],0)),0)</f>
        <v/>
      </c>
      <c r="AG48">
        <f>SUMPRODUCT((M_BOM[Part Name]=$A48)*M_BOM[RM_Qty_Per_Batch]*IFERROR(INDEX(PP_Grid[#Data],M_BOM[PPGridRow],33),0))+IFERROR(INDEX(M_RawMaterials[固定週次消費量_要入力],MATCH($A48,M_RawMaterials[Part Name],0)),0)</f>
        <v/>
      </c>
      <c r="AH48">
        <f>SUMPRODUCT((M_BOM[Part Name]=$A48)*M_BOM[RM_Qty_Per_Batch]*IFERROR(INDEX(PP_Grid[#Data],M_BOM[PPGridRow],34),0))+IFERROR(INDEX(M_RawMaterials[固定週次消費量_要入力],MATCH($A48,M_RawMaterials[Part Name],0)),0)</f>
        <v/>
      </c>
      <c r="AI48">
        <f>SUMPRODUCT((M_BOM[Part Name]=$A48)*M_BOM[RM_Qty_Per_Batch]*IFERROR(INDEX(PP_Grid[#Data],M_BOM[PPGridRow],35),0))+IFERROR(INDEX(M_RawMaterials[固定週次消費量_要入力],MATCH($A48,M_RawMaterials[Part Name],0)),0)</f>
        <v/>
      </c>
      <c r="AJ48">
        <f>SUMPRODUCT((M_BOM[Part Name]=$A48)*M_BOM[RM_Qty_Per_Batch]*IFERROR(INDEX(PP_Grid[#Data],M_BOM[PPGridRow],36),0))+IFERROR(INDEX(M_RawMaterials[固定週次消費量_要入力],MATCH($A48,M_RawMaterials[Part Name],0)),0)</f>
        <v/>
      </c>
      <c r="AK48">
        <f>SUMPRODUCT((M_BOM[Part Name]=$A48)*M_BOM[RM_Qty_Per_Batch]*IFERROR(INDEX(PP_Grid[#Data],M_BOM[PPGridRow],37),0))+IFERROR(INDEX(M_RawMaterials[固定週次消費量_要入力],MATCH($A48,M_RawMaterials[Part Name],0)),0)</f>
        <v/>
      </c>
      <c r="AL48">
        <f>SUMPRODUCT((M_BOM[Part Name]=$A48)*M_BOM[RM_Qty_Per_Batch]*IFERROR(INDEX(PP_Grid[#Data],M_BOM[PPGridRow],38),0))+IFERROR(INDEX(M_RawMaterials[固定週次消費量_要入力],MATCH($A48,M_RawMaterials[Part Name],0)),0)</f>
        <v/>
      </c>
      <c r="AM48">
        <f>SUMPRODUCT((M_BOM[Part Name]=$A48)*M_BOM[RM_Qty_Per_Batch]*IFERROR(INDEX(PP_Grid[#Data],M_BOM[PPGridRow],39),0))+IFERROR(INDEX(M_RawMaterials[固定週次消費量_要入力],MATCH($A48,M_RawMaterials[Part Name],0)),0)</f>
        <v/>
      </c>
      <c r="AN48">
        <f>SUMPRODUCT((M_BOM[Part Name]=$A48)*M_BOM[RM_Qty_Per_Batch]*IFERROR(INDEX(PP_Grid[#Data],M_BOM[PPGridRow],40),0))+IFERROR(INDEX(M_RawMaterials[固定週次消費量_要入力],MATCH($A48,M_RawMaterials[Part Name],0)),0)</f>
        <v/>
      </c>
      <c r="AO48">
        <f>SUMPRODUCT((M_BOM[Part Name]=$A48)*M_BOM[RM_Qty_Per_Batch]*IFERROR(INDEX(PP_Grid[#Data],M_BOM[PPGridRow],41),0))+IFERROR(INDEX(M_RawMaterials[固定週次消費量_要入力],MATCH($A48,M_RawMaterials[Part Name],0)),0)</f>
        <v/>
      </c>
      <c r="AP48">
        <f>SUMPRODUCT((M_BOM[Part Name]=$A48)*M_BOM[RM_Qty_Per_Batch]*IFERROR(INDEX(PP_Grid[#Data],M_BOM[PPGridRow],42),0))+IFERROR(INDEX(M_RawMaterials[固定週次消費量_要入力],MATCH($A48,M_RawMaterials[Part Name],0)),0)</f>
        <v/>
      </c>
      <c r="AQ48">
        <f>SUMPRODUCT((M_BOM[Part Name]=$A48)*M_BOM[RM_Qty_Per_Batch]*IFERROR(INDEX(PP_Grid[#Data],M_BOM[PPGridRow],43),0))+IFERROR(INDEX(M_RawMaterials[固定週次消費量_要入力],MATCH($A48,M_RawMaterials[Part Name],0)),0)</f>
        <v/>
      </c>
      <c r="AR48">
        <f>SUMPRODUCT((M_BOM[Part Name]=$A48)*M_BOM[RM_Qty_Per_Batch]*IFERROR(INDEX(PP_Grid[#Data],M_BOM[PPGridRow],44),0))+IFERROR(INDEX(M_RawMaterials[固定週次消費量_要入力],MATCH($A48,M_RawMaterials[Part Name],0)),0)</f>
        <v/>
      </c>
      <c r="AS48">
        <f>SUMPRODUCT((M_BOM[Part Name]=$A48)*M_BOM[RM_Qty_Per_Batch]*IFERROR(INDEX(PP_Grid[#Data],M_BOM[PPGridRow],45),0))+IFERROR(INDEX(M_RawMaterials[固定週次消費量_要入力],MATCH($A48,M_RawMaterials[Part Name],0)),0)</f>
        <v/>
      </c>
      <c r="AT48">
        <f>SUMPRODUCT((M_BOM[Part Name]=$A48)*M_BOM[RM_Qty_Per_Batch]*IFERROR(INDEX(PP_Grid[#Data],M_BOM[PPGridRow],46),0))+IFERROR(INDEX(M_RawMaterials[固定週次消費量_要入力],MATCH($A48,M_RawMaterials[Part Name],0)),0)</f>
        <v/>
      </c>
      <c r="AU48">
        <f>SUMPRODUCT((M_BOM[Part Name]=$A48)*M_BOM[RM_Qty_Per_Batch]*IFERROR(INDEX(PP_Grid[#Data],M_BOM[PPGridRow],47),0))+IFERROR(INDEX(M_RawMaterials[固定週次消費量_要入力],MATCH($A48,M_RawMaterials[Part Name],0)),0)</f>
        <v/>
      </c>
      <c r="AV48">
        <f>SUMPRODUCT((M_BOM[Part Name]=$A48)*M_BOM[RM_Qty_Per_Batch]*IFERROR(INDEX(PP_Grid[#Data],M_BOM[PPGridRow],48),0))+IFERROR(INDEX(M_RawMaterials[固定週次消費量_要入力],MATCH($A48,M_RawMaterials[Part Name],0)),0)</f>
        <v/>
      </c>
      <c r="AW48">
        <f>SUMPRODUCT((M_BOM[Part Name]=$A48)*M_BOM[RM_Qty_Per_Batch]*IFERROR(INDEX(PP_Grid[#Data],M_BOM[PPGridRow],49),0))+IFERROR(INDEX(M_RawMaterials[固定週次消費量_要入力],MATCH($A48,M_RawMaterials[Part Name],0)),0)</f>
        <v/>
      </c>
      <c r="AX48">
        <f>SUMPRODUCT((M_BOM[Part Name]=$A48)*M_BOM[RM_Qty_Per_Batch]*IFERROR(INDEX(PP_Grid[#Data],M_BOM[PPGridRow],50),0))+IFERROR(INDEX(M_RawMaterials[固定週次消費量_要入力],MATCH($A48,M_RawMaterials[Part Name],0)),0)</f>
        <v/>
      </c>
      <c r="AY48">
        <f>SUMPRODUCT((M_BOM[Part Name]=$A48)*M_BOM[RM_Qty_Per_Batch]*IFERROR(INDEX(PP_Grid[#Data],M_BOM[PPGridRow],51),0))+IFERROR(INDEX(M_RawMaterials[固定週次消費量_要入力],MATCH($A48,M_RawMaterials[Part Name],0)),0)</f>
        <v/>
      </c>
      <c r="AZ48">
        <f>SUMPRODUCT((M_BOM[Part Name]=$A48)*M_BOM[RM_Qty_Per_Batch]*IFERROR(INDEX(PP_Grid[#Data],M_BOM[PPGridRow],52),0))+IFERROR(INDEX(M_RawMaterials[固定週次消費量_要入力],MATCH($A48,M_RawMaterials[Part Name],0)),0)</f>
        <v/>
      </c>
      <c r="BA48">
        <f>SUMPRODUCT((M_BOM[Part Name]=$A48)*M_BOM[RM_Qty_Per_Batch]*IFERROR(INDEX(PP_Grid[#Data],M_BOM[PPGridRow],53),0))+IFERROR(INDEX(M_RawMaterials[固定週次消費量_要入力],MATCH($A48,M_RawMaterials[Part Name],0)),0)</f>
        <v/>
      </c>
      <c r="BB48">
        <f>SUMPRODUCT((M_BOM[Part Name]=$A48)*M_BOM[RM_Qty_Per_Batch]*IFERROR(INDEX(PP_Grid[#Data],M_BOM[PPGridRow],54),0))+IFERROR(INDEX(M_RawMaterials[固定週次消費量_要入力],MATCH($A48,M_RawMaterials[Part Name],0)),0)</f>
        <v/>
      </c>
      <c r="BC48">
        <f>SUMPRODUCT((M_BOM[Part Name]=$A48)*M_BOM[RM_Qty_Per_Batch]*IFERROR(INDEX(PP_Grid[#Data],M_BOM[PPGridRow],55),0))+IFERROR(INDEX(M_RawMaterials[固定週次消費量_要入力],MATCH($A48,M_RawMaterials[Part Name],0)),0)</f>
        <v/>
      </c>
      <c r="BD48">
        <f>SUMPRODUCT((M_BOM[Part Name]=$A48)*M_BOM[RM_Qty_Per_Batch]*IFERROR(INDEX(PP_Grid[#Data],M_BOM[PPGridRow],56),0))+IFERROR(INDEX(M_RawMaterials[固定週次消費量_要入力],MATCH($A48,M_RawMaterials[Part Name],0)),0)</f>
        <v/>
      </c>
      <c r="BE48">
        <f>SUMPRODUCT((M_BOM[Part Name]=$A48)*M_BOM[RM_Qty_Per_Batch]*IFERROR(INDEX(PP_Grid[#Data],M_BOM[PPGridRow],57),0))+IFERROR(INDEX(M_RawMaterials[固定週次消費量_要入力],MATCH($A48,M_RawMaterials[Part Name],0)),0)</f>
        <v/>
      </c>
      <c r="BF48">
        <f>SUMPRODUCT((M_BOM[Part Name]=$A48)*M_BOM[RM_Qty_Per_Batch]*IFERROR(INDEX(PP_Grid[#Data],M_BOM[PPGridRow],58),0))+IFERROR(INDEX(M_RawMaterials[固定週次消費量_要入力],MATCH($A48,M_RawMaterials[Part Name],0)),0)</f>
        <v/>
      </c>
      <c r="BG48">
        <f>SUMPRODUCT((M_BOM[Part Name]=$A48)*M_BOM[RM_Qty_Per_Batch]*IFERROR(INDEX(PP_Grid[#Data],M_BOM[PPGridRow],59),0))+IFERROR(INDEX(M_RawMaterials[固定週次消費量_要入力],MATCH($A48,M_RawMaterials[Part Name],0)),0)</f>
        <v/>
      </c>
      <c r="BH48">
        <f>SUMPRODUCT((M_BOM[Part Name]=$A48)*M_BOM[RM_Qty_Per_Batch]*IFERROR(INDEX(PP_Grid[#Data],M_BOM[PPGridRow],60),0))+IFERROR(INDEX(M_RawMaterials[固定週次消費量_要入力],MATCH($A48,M_RawMaterials[Part Name],0)),0)</f>
        <v/>
      </c>
      <c r="BI48">
        <f>SUMPRODUCT((M_BOM[Part Name]=$A48)*M_BOM[RM_Qty_Per_Batch]*IFERROR(INDEX(PP_Grid[#Data],M_BOM[PPGridRow],61),0))+IFERROR(INDEX(M_RawMaterials[固定週次消費量_要入力],MATCH($A48,M_RawMaterials[Part Name],0)),0)</f>
        <v/>
      </c>
      <c r="BJ48">
        <f>SUMPRODUCT((M_BOM[Part Name]=$A48)*M_BOM[RM_Qty_Per_Batch]*IFERROR(INDEX(PP_Grid[#Data],M_BOM[PPGridRow],62),0))+IFERROR(INDEX(M_RawMaterials[固定週次消費量_要入力],MATCH($A48,M_RawMaterials[Part Name],0)),0)</f>
        <v/>
      </c>
      <c r="BK48">
        <f>SUMPRODUCT((M_BOM[Part Name]=$A48)*M_BOM[RM_Qty_Per_Batch]*IFERROR(INDEX(PP_Grid[#Data],M_BOM[PPGridRow],63),0))+IFERROR(INDEX(M_RawMaterials[固定週次消費量_要入力],MATCH($A48,M_RawMaterials[Part Name],0)),0)</f>
        <v/>
      </c>
      <c r="BL48">
        <f>SUMPRODUCT((M_BOM[Part Name]=$A48)*M_BOM[RM_Qty_Per_Batch]*IFERROR(INDEX(PP_Grid[#Data],M_BOM[PPGridRow],64),0))+IFERROR(INDEX(M_RawMaterials[固定週次消費量_要入力],MATCH($A48,M_RawMaterials[Part Name],0)),0)</f>
        <v/>
      </c>
      <c r="BM48">
        <f>SUMPRODUCT((M_BOM[Part Name]=$A48)*M_BOM[RM_Qty_Per_Batch]*IFERROR(INDEX(PP_Grid[#Data],M_BOM[PPGridRow],65),0))+IFERROR(INDEX(M_RawMaterials[固定週次消費量_要入力],MATCH($A48,M_RawMaterials[Part Name],0)),0)</f>
        <v/>
      </c>
      <c r="BN48">
        <f>SUMPRODUCT((M_BOM[Part Name]=$A48)*M_BOM[RM_Qty_Per_Batch]*IFERROR(INDEX(PP_Grid[#Data],M_BOM[PPGridRow],66),0))+IFERROR(INDEX(M_RawMaterials[固定週次消費量_要入力],MATCH($A48,M_RawMaterials[Part Name],0)),0)</f>
        <v/>
      </c>
      <c r="BO48">
        <f>SUMPRODUCT((M_BOM[Part Name]=$A48)*M_BOM[RM_Qty_Per_Batch]*IFERROR(INDEX(PP_Grid[#Data],M_BOM[PPGridRow],67),0))+IFERROR(INDEX(M_RawMaterials[固定週次消費量_要入力],MATCH($A48,M_RawMaterials[Part Name],0)),0)</f>
        <v/>
      </c>
      <c r="BP48">
        <f>SUMPRODUCT((M_BOM[Part Name]=$A48)*M_BOM[RM_Qty_Per_Batch]*IFERROR(INDEX(PP_Grid[#Data],M_BOM[PPGridRow],68),0))+IFERROR(INDEX(M_RawMaterials[固定週次消費量_要入力],MATCH($A48,M_RawMaterials[Part Name],0)),0)</f>
        <v/>
      </c>
      <c r="BQ48">
        <f>SUMPRODUCT((M_BOM[Part Name]=$A48)*M_BOM[RM_Qty_Per_Batch]*IFERROR(INDEX(PP_Grid[#Data],M_BOM[PPGridRow],69),0))+IFERROR(INDEX(M_RawMaterials[固定週次消費量_要入力],MATCH($A48,M_RawMaterials[Part Name],0)),0)</f>
        <v/>
      </c>
      <c r="BR48">
        <f>SUMPRODUCT((M_BOM[Part Name]=$A48)*M_BOM[RM_Qty_Per_Batch]*IFERROR(INDEX(PP_Grid[#Data],M_BOM[PPGridRow],70),0))+IFERROR(INDEX(M_RawMaterials[固定週次消費量_要入力],MATCH($A48,M_RawMaterials[Part Name],0)),0)</f>
        <v/>
      </c>
      <c r="BS48">
        <f>SUMPRODUCT((M_BOM[Part Name]=$A48)*M_BOM[RM_Qty_Per_Batch]*IFERROR(INDEX(PP_Grid[#Data],M_BOM[PPGridRow],71),0))+IFERROR(INDEX(M_RawMaterials[固定週次消費量_要入力],MATCH($A48,M_RawMaterials[Part Name],0)),0)</f>
        <v/>
      </c>
      <c r="BT48">
        <f>SUMPRODUCT((M_BOM[Part Name]=$A48)*M_BOM[RM_Qty_Per_Batch]*IFERROR(INDEX(PP_Grid[#Data],M_BOM[PPGridRow],72),0))+IFERROR(INDEX(M_RawMaterials[固定週次消費量_要入力],MATCH($A48,M_RawMaterials[Part Name],0)),0)</f>
        <v/>
      </c>
      <c r="BU48">
        <f>SUMPRODUCT((M_BOM[Part Name]=$A48)*M_BOM[RM_Qty_Per_Batch]*IFERROR(INDEX(PP_Grid[#Data],M_BOM[PPGridRow],73),0))+IFERROR(INDEX(M_RawMaterials[固定週次消費量_要入力],MATCH($A48,M_RawMaterials[Part Name],0)),0)</f>
        <v/>
      </c>
      <c r="BV48">
        <f>SUMPRODUCT((M_BOM[Part Name]=$A48)*M_BOM[RM_Qty_Per_Batch]*IFERROR(INDEX(PP_Grid[#Data],M_BOM[PPGridRow],74),0))+IFERROR(INDEX(M_RawMaterials[固定週次消費量_要入力],MATCH($A48,M_RawMaterials[Part Name],0)),0)</f>
        <v/>
      </c>
      <c r="BW48">
        <f>SUMPRODUCT((M_BOM[Part Name]=$A48)*M_BOM[RM_Qty_Per_Batch]*IFERROR(INDEX(PP_Grid[#Data],M_BOM[PPGridRow],75),0))+IFERROR(INDEX(M_RawMaterials[固定週次消費量_要入力],MATCH($A48,M_RawMaterials[Part Name],0)),0)</f>
        <v/>
      </c>
      <c r="BX48">
        <f>SUMPRODUCT((M_BOM[Part Name]=$A48)*M_BOM[RM_Qty_Per_Batch]*IFERROR(INDEX(PP_Grid[#Data],M_BOM[PPGridRow],76),0))+IFERROR(INDEX(M_RawMaterials[固定週次消費量_要入力],MATCH($A48,M_RawMaterials[Part Name],0)),0)</f>
        <v/>
      </c>
      <c r="BY48">
        <f>SUMPRODUCT((M_BOM[Part Name]=$A48)*M_BOM[RM_Qty_Per_Batch]*IFERROR(INDEX(PP_Grid[#Data],M_BOM[PPGridRow],77),0))+IFERROR(INDEX(M_RawMaterials[固定週次消費量_要入力],MATCH($A48,M_RawMaterials[Part Name],0)),0)</f>
        <v/>
      </c>
      <c r="BZ48">
        <f>SUMPRODUCT((M_BOM[Part Name]=$A48)*M_BOM[RM_Qty_Per_Batch]*IFERROR(INDEX(PP_Grid[#Data],M_BOM[PPGridRow],78),0))+IFERROR(INDEX(M_RawMaterials[固定週次消費量_要入力],MATCH($A48,M_RawMaterials[Part Name],0)),0)</f>
        <v/>
      </c>
      <c r="CA48">
        <f>SUMPRODUCT((M_BOM[Part Name]=$A48)*M_BOM[RM_Qty_Per_Batch]*IFERROR(INDEX(PP_Grid[#Data],M_BOM[PPGridRow],79),0))+IFERROR(INDEX(M_RawMaterials[固定週次消費量_要入力],MATCH($A48,M_RawMaterials[Part Name],0)),0)</f>
        <v/>
      </c>
      <c r="CB48">
        <f>SUMPRODUCT((M_BOM[Part Name]=$A48)*M_BOM[RM_Qty_Per_Batch]*IFERROR(INDEX(PP_Grid[#Data],M_BOM[PPGridRow],80),0))+IFERROR(INDEX(M_RawMaterials[固定週次消費量_要入力],MATCH($A48,M_RawMaterials[Part Name],0)),0)</f>
        <v/>
      </c>
      <c r="CC48">
        <f>SUMPRODUCT((M_BOM[Part Name]=$A48)*M_BOM[RM_Qty_Per_Batch]*IFERROR(INDEX(PP_Grid[#Data],M_BOM[PPGridRow],81),0))+IFERROR(INDEX(M_RawMaterials[固定週次消費量_要入力],MATCH($A48,M_RawMaterials[Part Name],0)),0)</f>
        <v/>
      </c>
      <c r="CD48">
        <f>SUMPRODUCT((M_BOM[Part Name]=$A48)*M_BOM[RM_Qty_Per_Batch]*IFERROR(INDEX(PP_Grid[#Data],M_BOM[PPGridRow],82),0))+IFERROR(INDEX(M_RawMaterials[固定週次消費量_要入力],MATCH($A48,M_RawMaterials[Part Name],0)),0)</f>
        <v/>
      </c>
      <c r="CE48">
        <f>SUMPRODUCT((M_BOM[Part Name]=$A48)*M_BOM[RM_Qty_Per_Batch]*IFERROR(INDEX(PP_Grid[#Data],M_BOM[PPGridRow],83),0))+IFERROR(INDEX(M_RawMaterials[固定週次消費量_要入力],MATCH($A48,M_RawMaterials[Part Name],0)),0)</f>
        <v/>
      </c>
      <c r="CF48">
        <f>SUMPRODUCT((M_BOM[Part Name]=$A48)*M_BOM[RM_Qty_Per_Batch]*IFERROR(INDEX(PP_Grid[#Data],M_BOM[PPGridRow],84),0))+IFERROR(INDEX(M_RawMaterials[固定週次消費量_要入力],MATCH($A48,M_RawMaterials[Part Name],0)),0)</f>
        <v/>
      </c>
      <c r="CG48">
        <f>SUMPRODUCT((M_BOM[Part Name]=$A48)*M_BOM[RM_Qty_Per_Batch]*IFERROR(INDEX(PP_Grid[#Data],M_BOM[PPGridRow],85),0))+IFERROR(INDEX(M_RawMaterials[固定週次消費量_要入力],MATCH($A48,M_RawMaterials[Part Name],0)),0)</f>
        <v/>
      </c>
      <c r="CH48">
        <f>SUMPRODUCT((M_BOM[Part Name]=$A48)*M_BOM[RM_Qty_Per_Batch]*IFERROR(INDEX(PP_Grid[#Data],M_BOM[PPGridRow],86),0))+IFERROR(INDEX(M_RawMaterials[固定週次消費量_要入力],MATCH($A48,M_RawMaterials[Part Name],0)),0)</f>
        <v/>
      </c>
      <c r="CI48">
        <f>SUMPRODUCT((M_BOM[Part Name]=$A48)*M_BOM[RM_Qty_Per_Batch]*IFERROR(INDEX(PP_Grid[#Data],M_BOM[PPGridRow],87),0))+IFERROR(INDEX(M_RawMaterials[固定週次消費量_要入力],MATCH($A48,M_RawMaterials[Part Name],0)),0)</f>
        <v/>
      </c>
      <c r="CJ48">
        <f>SUMPRODUCT((M_BOM[Part Name]=$A48)*M_BOM[RM_Qty_Per_Batch]*IFERROR(INDEX(PP_Grid[#Data],M_BOM[PPGridRow],88),0))+IFERROR(INDEX(M_RawMaterials[固定週次消費量_要入力],MATCH($A48,M_RawMaterials[Part Name],0)),0)</f>
        <v/>
      </c>
      <c r="CK48">
        <f>SUMPRODUCT((M_BOM[Part Name]=$A48)*M_BOM[RM_Qty_Per_Batch]*IFERROR(INDEX(PP_Grid[#Data],M_BOM[PPGridRow],89),0))+IFERROR(INDEX(M_RawMaterials[固定週次消費量_要入力],MATCH($A48,M_RawMaterials[Part Name],0)),0)</f>
        <v/>
      </c>
      <c r="CL48">
        <f>SUMPRODUCT((M_BOM[Part Name]=$A48)*M_BOM[RM_Qty_Per_Batch]*IFERROR(INDEX(PP_Grid[#Data],M_BOM[PPGridRow],90),0))+IFERROR(INDEX(M_RawMaterials[固定週次消費量_要入力],MATCH($A48,M_RawMaterials[Part Name],0)),0)</f>
        <v/>
      </c>
      <c r="CM48">
        <f>SUMPRODUCT((M_BOM[Part Name]=$A48)*M_BOM[RM_Qty_Per_Batch]*IFERROR(INDEX(PP_Grid[#Data],M_BOM[PPGridRow],91),0))+IFERROR(INDEX(M_RawMaterials[固定週次消費量_要入力],MATCH($A48,M_RawMaterials[Part Name],0)),0)</f>
        <v/>
      </c>
      <c r="CN48">
        <f>SUMPRODUCT((M_BOM[Part Name]=$A48)*M_BOM[RM_Qty_Per_Batch]*IFERROR(INDEX(PP_Grid[#Data],M_BOM[PPGridRow],92),0))+IFERROR(INDEX(M_RawMaterials[固定週次消費量_要入力],MATCH($A48,M_RawMaterials[Part Name],0)),0)</f>
        <v/>
      </c>
      <c r="CO48">
        <f>SUMPRODUCT((M_BOM[Part Name]=$A48)*M_BOM[RM_Qty_Per_Batch]*IFERROR(INDEX(PP_Grid[#Data],M_BOM[PPGridRow],93),0))+IFERROR(INDEX(M_RawMaterials[固定週次消費量_要入力],MATCH($A48,M_RawMaterials[Part Name],0)),0)</f>
        <v/>
      </c>
      <c r="CP48">
        <f>SUMPRODUCT((M_BOM[Part Name]=$A48)*M_BOM[RM_Qty_Per_Batch]*IFERROR(INDEX(PP_Grid[#Data],M_BOM[PPGridRow],94),0))+IFERROR(INDEX(M_RawMaterials[固定週次消費量_要入力],MATCH($A48,M_RawMaterials[Part Name],0)),0)</f>
        <v/>
      </c>
      <c r="CQ48">
        <f>SUMPRODUCT((M_BOM[Part Name]=$A48)*M_BOM[RM_Qty_Per_Batch]*IFERROR(INDEX(PP_Grid[#Data],M_BOM[PPGridRow],95),0))+IFERROR(INDEX(M_RawMaterials[固定週次消費量_要入力],MATCH($A48,M_RawMaterials[Part Name],0)),0)</f>
        <v/>
      </c>
      <c r="CR48">
        <f>SUMPRODUCT((M_BOM[Part Name]=$A48)*M_BOM[RM_Qty_Per_Batch]*IFERROR(INDEX(PP_Grid[#Data],M_BOM[PPGridRow],96),0))+IFERROR(INDEX(M_RawMaterials[固定週次消費量_要入力],MATCH($A48,M_RawMaterials[Part Name],0)),0)</f>
        <v/>
      </c>
      <c r="CS48">
        <f>SUMPRODUCT((M_BOM[Part Name]=$A48)*M_BOM[RM_Qty_Per_Batch]*IFERROR(INDEX(PP_Grid[#Data],M_BOM[PPGridRow],97),0))+IFERROR(INDEX(M_RawMaterials[固定週次消費量_要入力],MATCH($A48,M_RawMaterials[Part Name],0)),0)</f>
        <v/>
      </c>
      <c r="CT48">
        <f>SUMPRODUCT((M_BOM[Part Name]=$A48)*M_BOM[RM_Qty_Per_Batch]*IFERROR(INDEX(PP_Grid[#Data],M_BOM[PPGridRow],98),0))+IFERROR(INDEX(M_RawMaterials[固定週次消費量_要入力],MATCH($A48,M_RawMaterials[Part Name],0)),0)</f>
        <v/>
      </c>
      <c r="CU48">
        <f>SUMPRODUCT((M_BOM[Part Name]=$A48)*M_BOM[RM_Qty_Per_Batch]*IFERROR(INDEX(PP_Grid[#Data],M_BOM[PPGridRow],99),0))+IFERROR(INDEX(M_RawMaterials[固定週次消費量_要入力],MATCH($A48,M_RawMaterials[Part Name],0)),0)</f>
        <v/>
      </c>
      <c r="CV48">
        <f>SUMPRODUCT((M_BOM[Part Name]=$A48)*M_BOM[RM_Qty_Per_Batch]*IFERROR(INDEX(PP_Grid[#Data],M_BOM[PPGridRow],100),0))+IFERROR(INDEX(M_RawMaterials[固定週次消費量_要入力],MATCH($A48,M_RawMaterials[Part Name],0)),0)</f>
        <v/>
      </c>
      <c r="CW48">
        <f>SUMPRODUCT((M_BOM[Part Name]=$A48)*M_BOM[RM_Qty_Per_Batch]*IFERROR(INDEX(PP_Grid[#Data],M_BOM[PPGridRow],101),0))+IFERROR(INDEX(M_RawMaterials[固定週次消費量_要入力],MATCH($A48,M_RawMaterials[Part Name],0)),0)</f>
        <v/>
      </c>
      <c r="CX48">
        <f>SUMPRODUCT((M_BOM[Part Name]=$A48)*M_BOM[RM_Qty_Per_Batch]*IFERROR(INDEX(PP_Grid[#Data],M_BOM[PPGridRow],102),0))+IFERROR(INDEX(M_RawMaterials[固定週次消費量_要入力],MATCH($A48,M_RawMaterials[Part Name],0)),0)</f>
        <v/>
      </c>
      <c r="CY48">
        <f>SUMPRODUCT((M_BOM[Part Name]=$A48)*M_BOM[RM_Qty_Per_Batch]*IFERROR(INDEX(PP_Grid[#Data],M_BOM[PPGridRow],103),0))+IFERROR(INDEX(M_RawMaterials[固定週次消費量_要入力],MATCH($A48,M_RawMaterials[Part Name],0)),0)</f>
        <v/>
      </c>
      <c r="CZ48">
        <f>SUMPRODUCT((M_BOM[Part Name]=$A48)*M_BOM[RM_Qty_Per_Batch]*IFERROR(INDEX(PP_Grid[#Data],M_BOM[PPGridRow],104),0))+IFERROR(INDEX(M_RawMaterials[固定週次消費量_要入力],MATCH($A48,M_RawMaterials[Part Name],0)),0)</f>
        <v/>
      </c>
      <c r="DA48">
        <f>SUMPRODUCT((M_BOM[Part Name]=$A48)*M_BOM[RM_Qty_Per_Batch]*IFERROR(INDEX(PP_Grid[#Data],M_BOM[PPGridRow],105),0))+IFERROR(INDEX(M_RawMaterials[固定週次消費量_要入力],MATCH($A48,M_RawMaterials[Part Name],0)),0)</f>
        <v/>
      </c>
    </row>
    <row r="49">
      <c r="A49" t="inlineStr">
        <is>
          <t>CHEM-1010</t>
        </is>
      </c>
      <c r="B49">
        <f>SUMPRODUCT((M_BOM[Part Name]=$A49)*M_BOM[RM_Qty_Per_Batch]*IFERROR(INDEX(PP_Grid[#Data],M_BOM[PPGridRow],2),0))+IFERROR(INDEX(M_RawMaterials[固定週次消費量_要入力],MATCH($A49,M_RawMaterials[Part Name],0)),0)</f>
        <v/>
      </c>
      <c r="C49">
        <f>SUMPRODUCT((M_BOM[Part Name]=$A49)*M_BOM[RM_Qty_Per_Batch]*IFERROR(INDEX(PP_Grid[#Data],M_BOM[PPGridRow],3),0))+IFERROR(INDEX(M_RawMaterials[固定週次消費量_要入力],MATCH($A49,M_RawMaterials[Part Name],0)),0)</f>
        <v/>
      </c>
      <c r="D49">
        <f>SUMPRODUCT((M_BOM[Part Name]=$A49)*M_BOM[RM_Qty_Per_Batch]*IFERROR(INDEX(PP_Grid[#Data],M_BOM[PPGridRow],4),0))+IFERROR(INDEX(M_RawMaterials[固定週次消費量_要入力],MATCH($A49,M_RawMaterials[Part Name],0)),0)</f>
        <v/>
      </c>
      <c r="E49">
        <f>SUMPRODUCT((M_BOM[Part Name]=$A49)*M_BOM[RM_Qty_Per_Batch]*IFERROR(INDEX(PP_Grid[#Data],M_BOM[PPGridRow],5),0))+IFERROR(INDEX(M_RawMaterials[固定週次消費量_要入力],MATCH($A49,M_RawMaterials[Part Name],0)),0)</f>
        <v/>
      </c>
      <c r="F49">
        <f>SUMPRODUCT((M_BOM[Part Name]=$A49)*M_BOM[RM_Qty_Per_Batch]*IFERROR(INDEX(PP_Grid[#Data],M_BOM[PPGridRow],6),0))+IFERROR(INDEX(M_RawMaterials[固定週次消費量_要入力],MATCH($A49,M_RawMaterials[Part Name],0)),0)</f>
        <v/>
      </c>
      <c r="G49">
        <f>SUMPRODUCT((M_BOM[Part Name]=$A49)*M_BOM[RM_Qty_Per_Batch]*IFERROR(INDEX(PP_Grid[#Data],M_BOM[PPGridRow],7),0))+IFERROR(INDEX(M_RawMaterials[固定週次消費量_要入力],MATCH($A49,M_RawMaterials[Part Name],0)),0)</f>
        <v/>
      </c>
      <c r="H49">
        <f>SUMPRODUCT((M_BOM[Part Name]=$A49)*M_BOM[RM_Qty_Per_Batch]*IFERROR(INDEX(PP_Grid[#Data],M_BOM[PPGridRow],8),0))+IFERROR(INDEX(M_RawMaterials[固定週次消費量_要入力],MATCH($A49,M_RawMaterials[Part Name],0)),0)</f>
        <v/>
      </c>
      <c r="I49">
        <f>SUMPRODUCT((M_BOM[Part Name]=$A49)*M_BOM[RM_Qty_Per_Batch]*IFERROR(INDEX(PP_Grid[#Data],M_BOM[PPGridRow],9),0))+IFERROR(INDEX(M_RawMaterials[固定週次消費量_要入力],MATCH($A49,M_RawMaterials[Part Name],0)),0)</f>
        <v/>
      </c>
      <c r="J49">
        <f>SUMPRODUCT((M_BOM[Part Name]=$A49)*M_BOM[RM_Qty_Per_Batch]*IFERROR(INDEX(PP_Grid[#Data],M_BOM[PPGridRow],10),0))+IFERROR(INDEX(M_RawMaterials[固定週次消費量_要入力],MATCH($A49,M_RawMaterials[Part Name],0)),0)</f>
        <v/>
      </c>
      <c r="K49">
        <f>SUMPRODUCT((M_BOM[Part Name]=$A49)*M_BOM[RM_Qty_Per_Batch]*IFERROR(INDEX(PP_Grid[#Data],M_BOM[PPGridRow],11),0))+IFERROR(INDEX(M_RawMaterials[固定週次消費量_要入力],MATCH($A49,M_RawMaterials[Part Name],0)),0)</f>
        <v/>
      </c>
      <c r="L49">
        <f>SUMPRODUCT((M_BOM[Part Name]=$A49)*M_BOM[RM_Qty_Per_Batch]*IFERROR(INDEX(PP_Grid[#Data],M_BOM[PPGridRow],12),0))+IFERROR(INDEX(M_RawMaterials[固定週次消費量_要入力],MATCH($A49,M_RawMaterials[Part Name],0)),0)</f>
        <v/>
      </c>
      <c r="M49">
        <f>SUMPRODUCT((M_BOM[Part Name]=$A49)*M_BOM[RM_Qty_Per_Batch]*IFERROR(INDEX(PP_Grid[#Data],M_BOM[PPGridRow],13),0))+IFERROR(INDEX(M_RawMaterials[固定週次消費量_要入力],MATCH($A49,M_RawMaterials[Part Name],0)),0)</f>
        <v/>
      </c>
      <c r="N49">
        <f>SUMPRODUCT((M_BOM[Part Name]=$A49)*M_BOM[RM_Qty_Per_Batch]*IFERROR(INDEX(PP_Grid[#Data],M_BOM[PPGridRow],14),0))+IFERROR(INDEX(M_RawMaterials[固定週次消費量_要入力],MATCH($A49,M_RawMaterials[Part Name],0)),0)</f>
        <v/>
      </c>
      <c r="O49">
        <f>SUMPRODUCT((M_BOM[Part Name]=$A49)*M_BOM[RM_Qty_Per_Batch]*IFERROR(INDEX(PP_Grid[#Data],M_BOM[PPGridRow],15),0))+IFERROR(INDEX(M_RawMaterials[固定週次消費量_要入力],MATCH($A49,M_RawMaterials[Part Name],0)),0)</f>
        <v/>
      </c>
      <c r="P49">
        <f>SUMPRODUCT((M_BOM[Part Name]=$A49)*M_BOM[RM_Qty_Per_Batch]*IFERROR(INDEX(PP_Grid[#Data],M_BOM[PPGridRow],16),0))+IFERROR(INDEX(M_RawMaterials[固定週次消費量_要入力],MATCH($A49,M_RawMaterials[Part Name],0)),0)</f>
        <v/>
      </c>
      <c r="Q49">
        <f>SUMPRODUCT((M_BOM[Part Name]=$A49)*M_BOM[RM_Qty_Per_Batch]*IFERROR(INDEX(PP_Grid[#Data],M_BOM[PPGridRow],17),0))+IFERROR(INDEX(M_RawMaterials[固定週次消費量_要入力],MATCH($A49,M_RawMaterials[Part Name],0)),0)</f>
        <v/>
      </c>
      <c r="R49">
        <f>SUMPRODUCT((M_BOM[Part Name]=$A49)*M_BOM[RM_Qty_Per_Batch]*IFERROR(INDEX(PP_Grid[#Data],M_BOM[PPGridRow],18),0))+IFERROR(INDEX(M_RawMaterials[固定週次消費量_要入力],MATCH($A49,M_RawMaterials[Part Name],0)),0)</f>
        <v/>
      </c>
      <c r="S49">
        <f>SUMPRODUCT((M_BOM[Part Name]=$A49)*M_BOM[RM_Qty_Per_Batch]*IFERROR(INDEX(PP_Grid[#Data],M_BOM[PPGridRow],19),0))+IFERROR(INDEX(M_RawMaterials[固定週次消費量_要入力],MATCH($A49,M_RawMaterials[Part Name],0)),0)</f>
        <v/>
      </c>
      <c r="T49">
        <f>SUMPRODUCT((M_BOM[Part Name]=$A49)*M_BOM[RM_Qty_Per_Batch]*IFERROR(INDEX(PP_Grid[#Data],M_BOM[PPGridRow],20),0))+IFERROR(INDEX(M_RawMaterials[固定週次消費量_要入力],MATCH($A49,M_RawMaterials[Part Name],0)),0)</f>
        <v/>
      </c>
      <c r="U49">
        <f>SUMPRODUCT((M_BOM[Part Name]=$A49)*M_BOM[RM_Qty_Per_Batch]*IFERROR(INDEX(PP_Grid[#Data],M_BOM[PPGridRow],21),0))+IFERROR(INDEX(M_RawMaterials[固定週次消費量_要入力],MATCH($A49,M_RawMaterials[Part Name],0)),0)</f>
        <v/>
      </c>
      <c r="V49">
        <f>SUMPRODUCT((M_BOM[Part Name]=$A49)*M_BOM[RM_Qty_Per_Batch]*IFERROR(INDEX(PP_Grid[#Data],M_BOM[PPGridRow],22),0))+IFERROR(INDEX(M_RawMaterials[固定週次消費量_要入力],MATCH($A49,M_RawMaterials[Part Name],0)),0)</f>
        <v/>
      </c>
      <c r="W49">
        <f>SUMPRODUCT((M_BOM[Part Name]=$A49)*M_BOM[RM_Qty_Per_Batch]*IFERROR(INDEX(PP_Grid[#Data],M_BOM[PPGridRow],23),0))+IFERROR(INDEX(M_RawMaterials[固定週次消費量_要入力],MATCH($A49,M_RawMaterials[Part Name],0)),0)</f>
        <v/>
      </c>
      <c r="X49">
        <f>SUMPRODUCT((M_BOM[Part Name]=$A49)*M_BOM[RM_Qty_Per_Batch]*IFERROR(INDEX(PP_Grid[#Data],M_BOM[PPGridRow],24),0))+IFERROR(INDEX(M_RawMaterials[固定週次消費量_要入力],MATCH($A49,M_RawMaterials[Part Name],0)),0)</f>
        <v/>
      </c>
      <c r="Y49">
        <f>SUMPRODUCT((M_BOM[Part Name]=$A49)*M_BOM[RM_Qty_Per_Batch]*IFERROR(INDEX(PP_Grid[#Data],M_BOM[PPGridRow],25),0))+IFERROR(INDEX(M_RawMaterials[固定週次消費量_要入力],MATCH($A49,M_RawMaterials[Part Name],0)),0)</f>
        <v/>
      </c>
      <c r="Z49">
        <f>SUMPRODUCT((M_BOM[Part Name]=$A49)*M_BOM[RM_Qty_Per_Batch]*IFERROR(INDEX(PP_Grid[#Data],M_BOM[PPGridRow],26),0))+IFERROR(INDEX(M_RawMaterials[固定週次消費量_要入力],MATCH($A49,M_RawMaterials[Part Name],0)),0)</f>
        <v/>
      </c>
      <c r="AA49">
        <f>SUMPRODUCT((M_BOM[Part Name]=$A49)*M_BOM[RM_Qty_Per_Batch]*IFERROR(INDEX(PP_Grid[#Data],M_BOM[PPGridRow],27),0))+IFERROR(INDEX(M_RawMaterials[固定週次消費量_要入力],MATCH($A49,M_RawMaterials[Part Name],0)),0)</f>
        <v/>
      </c>
      <c r="AB49">
        <f>SUMPRODUCT((M_BOM[Part Name]=$A49)*M_BOM[RM_Qty_Per_Batch]*IFERROR(INDEX(PP_Grid[#Data],M_BOM[PPGridRow],28),0))+IFERROR(INDEX(M_RawMaterials[固定週次消費量_要入力],MATCH($A49,M_RawMaterials[Part Name],0)),0)</f>
        <v/>
      </c>
      <c r="AC49">
        <f>SUMPRODUCT((M_BOM[Part Name]=$A49)*M_BOM[RM_Qty_Per_Batch]*IFERROR(INDEX(PP_Grid[#Data],M_BOM[PPGridRow],29),0))+IFERROR(INDEX(M_RawMaterials[固定週次消費量_要入力],MATCH($A49,M_RawMaterials[Part Name],0)),0)</f>
        <v/>
      </c>
      <c r="AD49">
        <f>SUMPRODUCT((M_BOM[Part Name]=$A49)*M_BOM[RM_Qty_Per_Batch]*IFERROR(INDEX(PP_Grid[#Data],M_BOM[PPGridRow],30),0))+IFERROR(INDEX(M_RawMaterials[固定週次消費量_要入力],MATCH($A49,M_RawMaterials[Part Name],0)),0)</f>
        <v/>
      </c>
      <c r="AE49">
        <f>SUMPRODUCT((M_BOM[Part Name]=$A49)*M_BOM[RM_Qty_Per_Batch]*IFERROR(INDEX(PP_Grid[#Data],M_BOM[PPGridRow],31),0))+IFERROR(INDEX(M_RawMaterials[固定週次消費量_要入力],MATCH($A49,M_RawMaterials[Part Name],0)),0)</f>
        <v/>
      </c>
      <c r="AF49">
        <f>SUMPRODUCT((M_BOM[Part Name]=$A49)*M_BOM[RM_Qty_Per_Batch]*IFERROR(INDEX(PP_Grid[#Data],M_BOM[PPGridRow],32),0))+IFERROR(INDEX(M_RawMaterials[固定週次消費量_要入力],MATCH($A49,M_RawMaterials[Part Name],0)),0)</f>
        <v/>
      </c>
      <c r="AG49">
        <f>SUMPRODUCT((M_BOM[Part Name]=$A49)*M_BOM[RM_Qty_Per_Batch]*IFERROR(INDEX(PP_Grid[#Data],M_BOM[PPGridRow],33),0))+IFERROR(INDEX(M_RawMaterials[固定週次消費量_要入力],MATCH($A49,M_RawMaterials[Part Name],0)),0)</f>
        <v/>
      </c>
      <c r="AH49">
        <f>SUMPRODUCT((M_BOM[Part Name]=$A49)*M_BOM[RM_Qty_Per_Batch]*IFERROR(INDEX(PP_Grid[#Data],M_BOM[PPGridRow],34),0))+IFERROR(INDEX(M_RawMaterials[固定週次消費量_要入力],MATCH($A49,M_RawMaterials[Part Name],0)),0)</f>
        <v/>
      </c>
      <c r="AI49">
        <f>SUMPRODUCT((M_BOM[Part Name]=$A49)*M_BOM[RM_Qty_Per_Batch]*IFERROR(INDEX(PP_Grid[#Data],M_BOM[PPGridRow],35),0))+IFERROR(INDEX(M_RawMaterials[固定週次消費量_要入力],MATCH($A49,M_RawMaterials[Part Name],0)),0)</f>
        <v/>
      </c>
      <c r="AJ49">
        <f>SUMPRODUCT((M_BOM[Part Name]=$A49)*M_BOM[RM_Qty_Per_Batch]*IFERROR(INDEX(PP_Grid[#Data],M_BOM[PPGridRow],36),0))+IFERROR(INDEX(M_RawMaterials[固定週次消費量_要入力],MATCH($A49,M_RawMaterials[Part Name],0)),0)</f>
        <v/>
      </c>
      <c r="AK49">
        <f>SUMPRODUCT((M_BOM[Part Name]=$A49)*M_BOM[RM_Qty_Per_Batch]*IFERROR(INDEX(PP_Grid[#Data],M_BOM[PPGridRow],37),0))+IFERROR(INDEX(M_RawMaterials[固定週次消費量_要入力],MATCH($A49,M_RawMaterials[Part Name],0)),0)</f>
        <v/>
      </c>
      <c r="AL49">
        <f>SUMPRODUCT((M_BOM[Part Name]=$A49)*M_BOM[RM_Qty_Per_Batch]*IFERROR(INDEX(PP_Grid[#Data],M_BOM[PPGridRow],38),0))+IFERROR(INDEX(M_RawMaterials[固定週次消費量_要入力],MATCH($A49,M_RawMaterials[Part Name],0)),0)</f>
        <v/>
      </c>
      <c r="AM49">
        <f>SUMPRODUCT((M_BOM[Part Name]=$A49)*M_BOM[RM_Qty_Per_Batch]*IFERROR(INDEX(PP_Grid[#Data],M_BOM[PPGridRow],39),0))+IFERROR(INDEX(M_RawMaterials[固定週次消費量_要入力],MATCH($A49,M_RawMaterials[Part Name],0)),0)</f>
        <v/>
      </c>
      <c r="AN49">
        <f>SUMPRODUCT((M_BOM[Part Name]=$A49)*M_BOM[RM_Qty_Per_Batch]*IFERROR(INDEX(PP_Grid[#Data],M_BOM[PPGridRow],40),0))+IFERROR(INDEX(M_RawMaterials[固定週次消費量_要入力],MATCH($A49,M_RawMaterials[Part Name],0)),0)</f>
        <v/>
      </c>
      <c r="AO49">
        <f>SUMPRODUCT((M_BOM[Part Name]=$A49)*M_BOM[RM_Qty_Per_Batch]*IFERROR(INDEX(PP_Grid[#Data],M_BOM[PPGridRow],41),0))+IFERROR(INDEX(M_RawMaterials[固定週次消費量_要入力],MATCH($A49,M_RawMaterials[Part Name],0)),0)</f>
        <v/>
      </c>
      <c r="AP49">
        <f>SUMPRODUCT((M_BOM[Part Name]=$A49)*M_BOM[RM_Qty_Per_Batch]*IFERROR(INDEX(PP_Grid[#Data],M_BOM[PPGridRow],42),0))+IFERROR(INDEX(M_RawMaterials[固定週次消費量_要入力],MATCH($A49,M_RawMaterials[Part Name],0)),0)</f>
        <v/>
      </c>
      <c r="AQ49">
        <f>SUMPRODUCT((M_BOM[Part Name]=$A49)*M_BOM[RM_Qty_Per_Batch]*IFERROR(INDEX(PP_Grid[#Data],M_BOM[PPGridRow],43),0))+IFERROR(INDEX(M_RawMaterials[固定週次消費量_要入力],MATCH($A49,M_RawMaterials[Part Name],0)),0)</f>
        <v/>
      </c>
      <c r="AR49">
        <f>SUMPRODUCT((M_BOM[Part Name]=$A49)*M_BOM[RM_Qty_Per_Batch]*IFERROR(INDEX(PP_Grid[#Data],M_BOM[PPGridRow],44),0))+IFERROR(INDEX(M_RawMaterials[固定週次消費量_要入力],MATCH($A49,M_RawMaterials[Part Name],0)),0)</f>
        <v/>
      </c>
      <c r="AS49">
        <f>SUMPRODUCT((M_BOM[Part Name]=$A49)*M_BOM[RM_Qty_Per_Batch]*IFERROR(INDEX(PP_Grid[#Data],M_BOM[PPGridRow],45),0))+IFERROR(INDEX(M_RawMaterials[固定週次消費量_要入力],MATCH($A49,M_RawMaterials[Part Name],0)),0)</f>
        <v/>
      </c>
      <c r="AT49">
        <f>SUMPRODUCT((M_BOM[Part Name]=$A49)*M_BOM[RM_Qty_Per_Batch]*IFERROR(INDEX(PP_Grid[#Data],M_BOM[PPGridRow],46),0))+IFERROR(INDEX(M_RawMaterials[固定週次消費量_要入力],MATCH($A49,M_RawMaterials[Part Name],0)),0)</f>
        <v/>
      </c>
      <c r="AU49">
        <f>SUMPRODUCT((M_BOM[Part Name]=$A49)*M_BOM[RM_Qty_Per_Batch]*IFERROR(INDEX(PP_Grid[#Data],M_BOM[PPGridRow],47),0))+IFERROR(INDEX(M_RawMaterials[固定週次消費量_要入力],MATCH($A49,M_RawMaterials[Part Name],0)),0)</f>
        <v/>
      </c>
      <c r="AV49">
        <f>SUMPRODUCT((M_BOM[Part Name]=$A49)*M_BOM[RM_Qty_Per_Batch]*IFERROR(INDEX(PP_Grid[#Data],M_BOM[PPGridRow],48),0))+IFERROR(INDEX(M_RawMaterials[固定週次消費量_要入力],MATCH($A49,M_RawMaterials[Part Name],0)),0)</f>
        <v/>
      </c>
      <c r="AW49">
        <f>SUMPRODUCT((M_BOM[Part Name]=$A49)*M_BOM[RM_Qty_Per_Batch]*IFERROR(INDEX(PP_Grid[#Data],M_BOM[PPGridRow],49),0))+IFERROR(INDEX(M_RawMaterials[固定週次消費量_要入力],MATCH($A49,M_RawMaterials[Part Name],0)),0)</f>
        <v/>
      </c>
      <c r="AX49">
        <f>SUMPRODUCT((M_BOM[Part Name]=$A49)*M_BOM[RM_Qty_Per_Batch]*IFERROR(INDEX(PP_Grid[#Data],M_BOM[PPGridRow],50),0))+IFERROR(INDEX(M_RawMaterials[固定週次消費量_要入力],MATCH($A49,M_RawMaterials[Part Name],0)),0)</f>
        <v/>
      </c>
      <c r="AY49">
        <f>SUMPRODUCT((M_BOM[Part Name]=$A49)*M_BOM[RM_Qty_Per_Batch]*IFERROR(INDEX(PP_Grid[#Data],M_BOM[PPGridRow],51),0))+IFERROR(INDEX(M_RawMaterials[固定週次消費量_要入力],MATCH($A49,M_RawMaterials[Part Name],0)),0)</f>
        <v/>
      </c>
      <c r="AZ49">
        <f>SUMPRODUCT((M_BOM[Part Name]=$A49)*M_BOM[RM_Qty_Per_Batch]*IFERROR(INDEX(PP_Grid[#Data],M_BOM[PPGridRow],52),0))+IFERROR(INDEX(M_RawMaterials[固定週次消費量_要入力],MATCH($A49,M_RawMaterials[Part Name],0)),0)</f>
        <v/>
      </c>
      <c r="BA49">
        <f>SUMPRODUCT((M_BOM[Part Name]=$A49)*M_BOM[RM_Qty_Per_Batch]*IFERROR(INDEX(PP_Grid[#Data],M_BOM[PPGridRow],53),0))+IFERROR(INDEX(M_RawMaterials[固定週次消費量_要入力],MATCH($A49,M_RawMaterials[Part Name],0)),0)</f>
        <v/>
      </c>
      <c r="BB49">
        <f>SUMPRODUCT((M_BOM[Part Name]=$A49)*M_BOM[RM_Qty_Per_Batch]*IFERROR(INDEX(PP_Grid[#Data],M_BOM[PPGridRow],54),0))+IFERROR(INDEX(M_RawMaterials[固定週次消費量_要入力],MATCH($A49,M_RawMaterials[Part Name],0)),0)</f>
        <v/>
      </c>
      <c r="BC49">
        <f>SUMPRODUCT((M_BOM[Part Name]=$A49)*M_BOM[RM_Qty_Per_Batch]*IFERROR(INDEX(PP_Grid[#Data],M_BOM[PPGridRow],55),0))+IFERROR(INDEX(M_RawMaterials[固定週次消費量_要入力],MATCH($A49,M_RawMaterials[Part Name],0)),0)</f>
        <v/>
      </c>
      <c r="BD49">
        <f>SUMPRODUCT((M_BOM[Part Name]=$A49)*M_BOM[RM_Qty_Per_Batch]*IFERROR(INDEX(PP_Grid[#Data],M_BOM[PPGridRow],56),0))+IFERROR(INDEX(M_RawMaterials[固定週次消費量_要入力],MATCH($A49,M_RawMaterials[Part Name],0)),0)</f>
        <v/>
      </c>
      <c r="BE49">
        <f>SUMPRODUCT((M_BOM[Part Name]=$A49)*M_BOM[RM_Qty_Per_Batch]*IFERROR(INDEX(PP_Grid[#Data],M_BOM[PPGridRow],57),0))+IFERROR(INDEX(M_RawMaterials[固定週次消費量_要入力],MATCH($A49,M_RawMaterials[Part Name],0)),0)</f>
        <v/>
      </c>
      <c r="BF49">
        <f>SUMPRODUCT((M_BOM[Part Name]=$A49)*M_BOM[RM_Qty_Per_Batch]*IFERROR(INDEX(PP_Grid[#Data],M_BOM[PPGridRow],58),0))+IFERROR(INDEX(M_RawMaterials[固定週次消費量_要入力],MATCH($A49,M_RawMaterials[Part Name],0)),0)</f>
        <v/>
      </c>
      <c r="BG49">
        <f>SUMPRODUCT((M_BOM[Part Name]=$A49)*M_BOM[RM_Qty_Per_Batch]*IFERROR(INDEX(PP_Grid[#Data],M_BOM[PPGridRow],59),0))+IFERROR(INDEX(M_RawMaterials[固定週次消費量_要入力],MATCH($A49,M_RawMaterials[Part Name],0)),0)</f>
        <v/>
      </c>
      <c r="BH49">
        <f>SUMPRODUCT((M_BOM[Part Name]=$A49)*M_BOM[RM_Qty_Per_Batch]*IFERROR(INDEX(PP_Grid[#Data],M_BOM[PPGridRow],60),0))+IFERROR(INDEX(M_RawMaterials[固定週次消費量_要入力],MATCH($A49,M_RawMaterials[Part Name],0)),0)</f>
        <v/>
      </c>
      <c r="BI49">
        <f>SUMPRODUCT((M_BOM[Part Name]=$A49)*M_BOM[RM_Qty_Per_Batch]*IFERROR(INDEX(PP_Grid[#Data],M_BOM[PPGridRow],61),0))+IFERROR(INDEX(M_RawMaterials[固定週次消費量_要入力],MATCH($A49,M_RawMaterials[Part Name],0)),0)</f>
        <v/>
      </c>
      <c r="BJ49">
        <f>SUMPRODUCT((M_BOM[Part Name]=$A49)*M_BOM[RM_Qty_Per_Batch]*IFERROR(INDEX(PP_Grid[#Data],M_BOM[PPGridRow],62),0))+IFERROR(INDEX(M_RawMaterials[固定週次消費量_要入力],MATCH($A49,M_RawMaterials[Part Name],0)),0)</f>
        <v/>
      </c>
      <c r="BK49">
        <f>SUMPRODUCT((M_BOM[Part Name]=$A49)*M_BOM[RM_Qty_Per_Batch]*IFERROR(INDEX(PP_Grid[#Data],M_BOM[PPGridRow],63),0))+IFERROR(INDEX(M_RawMaterials[固定週次消費量_要入力],MATCH($A49,M_RawMaterials[Part Name],0)),0)</f>
        <v/>
      </c>
      <c r="BL49">
        <f>SUMPRODUCT((M_BOM[Part Name]=$A49)*M_BOM[RM_Qty_Per_Batch]*IFERROR(INDEX(PP_Grid[#Data],M_BOM[PPGridRow],64),0))+IFERROR(INDEX(M_RawMaterials[固定週次消費量_要入力],MATCH($A49,M_RawMaterials[Part Name],0)),0)</f>
        <v/>
      </c>
      <c r="BM49">
        <f>SUMPRODUCT((M_BOM[Part Name]=$A49)*M_BOM[RM_Qty_Per_Batch]*IFERROR(INDEX(PP_Grid[#Data],M_BOM[PPGridRow],65),0))+IFERROR(INDEX(M_RawMaterials[固定週次消費量_要入力],MATCH($A49,M_RawMaterials[Part Name],0)),0)</f>
        <v/>
      </c>
      <c r="BN49">
        <f>SUMPRODUCT((M_BOM[Part Name]=$A49)*M_BOM[RM_Qty_Per_Batch]*IFERROR(INDEX(PP_Grid[#Data],M_BOM[PPGridRow],66),0))+IFERROR(INDEX(M_RawMaterials[固定週次消費量_要入力],MATCH($A49,M_RawMaterials[Part Name],0)),0)</f>
        <v/>
      </c>
      <c r="BO49">
        <f>SUMPRODUCT((M_BOM[Part Name]=$A49)*M_BOM[RM_Qty_Per_Batch]*IFERROR(INDEX(PP_Grid[#Data],M_BOM[PPGridRow],67),0))+IFERROR(INDEX(M_RawMaterials[固定週次消費量_要入力],MATCH($A49,M_RawMaterials[Part Name],0)),0)</f>
        <v/>
      </c>
      <c r="BP49">
        <f>SUMPRODUCT((M_BOM[Part Name]=$A49)*M_BOM[RM_Qty_Per_Batch]*IFERROR(INDEX(PP_Grid[#Data],M_BOM[PPGridRow],68),0))+IFERROR(INDEX(M_RawMaterials[固定週次消費量_要入力],MATCH($A49,M_RawMaterials[Part Name],0)),0)</f>
        <v/>
      </c>
      <c r="BQ49">
        <f>SUMPRODUCT((M_BOM[Part Name]=$A49)*M_BOM[RM_Qty_Per_Batch]*IFERROR(INDEX(PP_Grid[#Data],M_BOM[PPGridRow],69),0))+IFERROR(INDEX(M_RawMaterials[固定週次消費量_要入力],MATCH($A49,M_RawMaterials[Part Name],0)),0)</f>
        <v/>
      </c>
      <c r="BR49">
        <f>SUMPRODUCT((M_BOM[Part Name]=$A49)*M_BOM[RM_Qty_Per_Batch]*IFERROR(INDEX(PP_Grid[#Data],M_BOM[PPGridRow],70),0))+IFERROR(INDEX(M_RawMaterials[固定週次消費量_要入力],MATCH($A49,M_RawMaterials[Part Name],0)),0)</f>
        <v/>
      </c>
      <c r="BS49">
        <f>SUMPRODUCT((M_BOM[Part Name]=$A49)*M_BOM[RM_Qty_Per_Batch]*IFERROR(INDEX(PP_Grid[#Data],M_BOM[PPGridRow],71),0))+IFERROR(INDEX(M_RawMaterials[固定週次消費量_要入力],MATCH($A49,M_RawMaterials[Part Name],0)),0)</f>
        <v/>
      </c>
      <c r="BT49">
        <f>SUMPRODUCT((M_BOM[Part Name]=$A49)*M_BOM[RM_Qty_Per_Batch]*IFERROR(INDEX(PP_Grid[#Data],M_BOM[PPGridRow],72),0))+IFERROR(INDEX(M_RawMaterials[固定週次消費量_要入力],MATCH($A49,M_RawMaterials[Part Name],0)),0)</f>
        <v/>
      </c>
      <c r="BU49">
        <f>SUMPRODUCT((M_BOM[Part Name]=$A49)*M_BOM[RM_Qty_Per_Batch]*IFERROR(INDEX(PP_Grid[#Data],M_BOM[PPGridRow],73),0))+IFERROR(INDEX(M_RawMaterials[固定週次消費量_要入力],MATCH($A49,M_RawMaterials[Part Name],0)),0)</f>
        <v/>
      </c>
      <c r="BV49">
        <f>SUMPRODUCT((M_BOM[Part Name]=$A49)*M_BOM[RM_Qty_Per_Batch]*IFERROR(INDEX(PP_Grid[#Data],M_BOM[PPGridRow],74),0))+IFERROR(INDEX(M_RawMaterials[固定週次消費量_要入力],MATCH($A49,M_RawMaterials[Part Name],0)),0)</f>
        <v/>
      </c>
      <c r="BW49">
        <f>SUMPRODUCT((M_BOM[Part Name]=$A49)*M_BOM[RM_Qty_Per_Batch]*IFERROR(INDEX(PP_Grid[#Data],M_BOM[PPGridRow],75),0))+IFERROR(INDEX(M_RawMaterials[固定週次消費量_要入力],MATCH($A49,M_RawMaterials[Part Name],0)),0)</f>
        <v/>
      </c>
      <c r="BX49">
        <f>SUMPRODUCT((M_BOM[Part Name]=$A49)*M_BOM[RM_Qty_Per_Batch]*IFERROR(INDEX(PP_Grid[#Data],M_BOM[PPGridRow],76),0))+IFERROR(INDEX(M_RawMaterials[固定週次消費量_要入力],MATCH($A49,M_RawMaterials[Part Name],0)),0)</f>
        <v/>
      </c>
      <c r="BY49">
        <f>SUMPRODUCT((M_BOM[Part Name]=$A49)*M_BOM[RM_Qty_Per_Batch]*IFERROR(INDEX(PP_Grid[#Data],M_BOM[PPGridRow],77),0))+IFERROR(INDEX(M_RawMaterials[固定週次消費量_要入力],MATCH($A49,M_RawMaterials[Part Name],0)),0)</f>
        <v/>
      </c>
      <c r="BZ49">
        <f>SUMPRODUCT((M_BOM[Part Name]=$A49)*M_BOM[RM_Qty_Per_Batch]*IFERROR(INDEX(PP_Grid[#Data],M_BOM[PPGridRow],78),0))+IFERROR(INDEX(M_RawMaterials[固定週次消費量_要入力],MATCH($A49,M_RawMaterials[Part Name],0)),0)</f>
        <v/>
      </c>
      <c r="CA49">
        <f>SUMPRODUCT((M_BOM[Part Name]=$A49)*M_BOM[RM_Qty_Per_Batch]*IFERROR(INDEX(PP_Grid[#Data],M_BOM[PPGridRow],79),0))+IFERROR(INDEX(M_RawMaterials[固定週次消費量_要入力],MATCH($A49,M_RawMaterials[Part Name],0)),0)</f>
        <v/>
      </c>
      <c r="CB49">
        <f>SUMPRODUCT((M_BOM[Part Name]=$A49)*M_BOM[RM_Qty_Per_Batch]*IFERROR(INDEX(PP_Grid[#Data],M_BOM[PPGridRow],80),0))+IFERROR(INDEX(M_RawMaterials[固定週次消費量_要入力],MATCH($A49,M_RawMaterials[Part Name],0)),0)</f>
        <v/>
      </c>
      <c r="CC49">
        <f>SUMPRODUCT((M_BOM[Part Name]=$A49)*M_BOM[RM_Qty_Per_Batch]*IFERROR(INDEX(PP_Grid[#Data],M_BOM[PPGridRow],81),0))+IFERROR(INDEX(M_RawMaterials[固定週次消費量_要入力],MATCH($A49,M_RawMaterials[Part Name],0)),0)</f>
        <v/>
      </c>
      <c r="CD49">
        <f>SUMPRODUCT((M_BOM[Part Name]=$A49)*M_BOM[RM_Qty_Per_Batch]*IFERROR(INDEX(PP_Grid[#Data],M_BOM[PPGridRow],82),0))+IFERROR(INDEX(M_RawMaterials[固定週次消費量_要入力],MATCH($A49,M_RawMaterials[Part Name],0)),0)</f>
        <v/>
      </c>
      <c r="CE49">
        <f>SUMPRODUCT((M_BOM[Part Name]=$A49)*M_BOM[RM_Qty_Per_Batch]*IFERROR(INDEX(PP_Grid[#Data],M_BOM[PPGridRow],83),0))+IFERROR(INDEX(M_RawMaterials[固定週次消費量_要入力],MATCH($A49,M_RawMaterials[Part Name],0)),0)</f>
        <v/>
      </c>
      <c r="CF49">
        <f>SUMPRODUCT((M_BOM[Part Name]=$A49)*M_BOM[RM_Qty_Per_Batch]*IFERROR(INDEX(PP_Grid[#Data],M_BOM[PPGridRow],84),0))+IFERROR(INDEX(M_RawMaterials[固定週次消費量_要入力],MATCH($A49,M_RawMaterials[Part Name],0)),0)</f>
        <v/>
      </c>
      <c r="CG49">
        <f>SUMPRODUCT((M_BOM[Part Name]=$A49)*M_BOM[RM_Qty_Per_Batch]*IFERROR(INDEX(PP_Grid[#Data],M_BOM[PPGridRow],85),0))+IFERROR(INDEX(M_RawMaterials[固定週次消費量_要入力],MATCH($A49,M_RawMaterials[Part Name],0)),0)</f>
        <v/>
      </c>
      <c r="CH49">
        <f>SUMPRODUCT((M_BOM[Part Name]=$A49)*M_BOM[RM_Qty_Per_Batch]*IFERROR(INDEX(PP_Grid[#Data],M_BOM[PPGridRow],86),0))+IFERROR(INDEX(M_RawMaterials[固定週次消費量_要入力],MATCH($A49,M_RawMaterials[Part Name],0)),0)</f>
        <v/>
      </c>
      <c r="CI49">
        <f>SUMPRODUCT((M_BOM[Part Name]=$A49)*M_BOM[RM_Qty_Per_Batch]*IFERROR(INDEX(PP_Grid[#Data],M_BOM[PPGridRow],87),0))+IFERROR(INDEX(M_RawMaterials[固定週次消費量_要入力],MATCH($A49,M_RawMaterials[Part Name],0)),0)</f>
        <v/>
      </c>
      <c r="CJ49">
        <f>SUMPRODUCT((M_BOM[Part Name]=$A49)*M_BOM[RM_Qty_Per_Batch]*IFERROR(INDEX(PP_Grid[#Data],M_BOM[PPGridRow],88),0))+IFERROR(INDEX(M_RawMaterials[固定週次消費量_要入力],MATCH($A49,M_RawMaterials[Part Name],0)),0)</f>
        <v/>
      </c>
      <c r="CK49">
        <f>SUMPRODUCT((M_BOM[Part Name]=$A49)*M_BOM[RM_Qty_Per_Batch]*IFERROR(INDEX(PP_Grid[#Data],M_BOM[PPGridRow],89),0))+IFERROR(INDEX(M_RawMaterials[固定週次消費量_要入力],MATCH($A49,M_RawMaterials[Part Name],0)),0)</f>
        <v/>
      </c>
      <c r="CL49">
        <f>SUMPRODUCT((M_BOM[Part Name]=$A49)*M_BOM[RM_Qty_Per_Batch]*IFERROR(INDEX(PP_Grid[#Data],M_BOM[PPGridRow],90),0))+IFERROR(INDEX(M_RawMaterials[固定週次消費量_要入力],MATCH($A49,M_RawMaterials[Part Name],0)),0)</f>
        <v/>
      </c>
      <c r="CM49">
        <f>SUMPRODUCT((M_BOM[Part Name]=$A49)*M_BOM[RM_Qty_Per_Batch]*IFERROR(INDEX(PP_Grid[#Data],M_BOM[PPGridRow],91),0))+IFERROR(INDEX(M_RawMaterials[固定週次消費量_要入力],MATCH($A49,M_RawMaterials[Part Name],0)),0)</f>
        <v/>
      </c>
      <c r="CN49">
        <f>SUMPRODUCT((M_BOM[Part Name]=$A49)*M_BOM[RM_Qty_Per_Batch]*IFERROR(INDEX(PP_Grid[#Data],M_BOM[PPGridRow],92),0))+IFERROR(INDEX(M_RawMaterials[固定週次消費量_要入力],MATCH($A49,M_RawMaterials[Part Name],0)),0)</f>
        <v/>
      </c>
      <c r="CO49">
        <f>SUMPRODUCT((M_BOM[Part Name]=$A49)*M_BOM[RM_Qty_Per_Batch]*IFERROR(INDEX(PP_Grid[#Data],M_BOM[PPGridRow],93),0))+IFERROR(INDEX(M_RawMaterials[固定週次消費量_要入力],MATCH($A49,M_RawMaterials[Part Name],0)),0)</f>
        <v/>
      </c>
      <c r="CP49">
        <f>SUMPRODUCT((M_BOM[Part Name]=$A49)*M_BOM[RM_Qty_Per_Batch]*IFERROR(INDEX(PP_Grid[#Data],M_BOM[PPGridRow],94),0))+IFERROR(INDEX(M_RawMaterials[固定週次消費量_要入力],MATCH($A49,M_RawMaterials[Part Name],0)),0)</f>
        <v/>
      </c>
      <c r="CQ49">
        <f>SUMPRODUCT((M_BOM[Part Name]=$A49)*M_BOM[RM_Qty_Per_Batch]*IFERROR(INDEX(PP_Grid[#Data],M_BOM[PPGridRow],95),0))+IFERROR(INDEX(M_RawMaterials[固定週次消費量_要入力],MATCH($A49,M_RawMaterials[Part Name],0)),0)</f>
        <v/>
      </c>
      <c r="CR49">
        <f>SUMPRODUCT((M_BOM[Part Name]=$A49)*M_BOM[RM_Qty_Per_Batch]*IFERROR(INDEX(PP_Grid[#Data],M_BOM[PPGridRow],96),0))+IFERROR(INDEX(M_RawMaterials[固定週次消費量_要入力],MATCH($A49,M_RawMaterials[Part Name],0)),0)</f>
        <v/>
      </c>
      <c r="CS49">
        <f>SUMPRODUCT((M_BOM[Part Name]=$A49)*M_BOM[RM_Qty_Per_Batch]*IFERROR(INDEX(PP_Grid[#Data],M_BOM[PPGridRow],97),0))+IFERROR(INDEX(M_RawMaterials[固定週次消費量_要入力],MATCH($A49,M_RawMaterials[Part Name],0)),0)</f>
        <v/>
      </c>
      <c r="CT49">
        <f>SUMPRODUCT((M_BOM[Part Name]=$A49)*M_BOM[RM_Qty_Per_Batch]*IFERROR(INDEX(PP_Grid[#Data],M_BOM[PPGridRow],98),0))+IFERROR(INDEX(M_RawMaterials[固定週次消費量_要入力],MATCH($A49,M_RawMaterials[Part Name],0)),0)</f>
        <v/>
      </c>
      <c r="CU49">
        <f>SUMPRODUCT((M_BOM[Part Name]=$A49)*M_BOM[RM_Qty_Per_Batch]*IFERROR(INDEX(PP_Grid[#Data],M_BOM[PPGridRow],99),0))+IFERROR(INDEX(M_RawMaterials[固定週次消費量_要入力],MATCH($A49,M_RawMaterials[Part Name],0)),0)</f>
        <v/>
      </c>
      <c r="CV49">
        <f>SUMPRODUCT((M_BOM[Part Name]=$A49)*M_BOM[RM_Qty_Per_Batch]*IFERROR(INDEX(PP_Grid[#Data],M_BOM[PPGridRow],100),0))+IFERROR(INDEX(M_RawMaterials[固定週次消費量_要入力],MATCH($A49,M_RawMaterials[Part Name],0)),0)</f>
        <v/>
      </c>
      <c r="CW49">
        <f>SUMPRODUCT((M_BOM[Part Name]=$A49)*M_BOM[RM_Qty_Per_Batch]*IFERROR(INDEX(PP_Grid[#Data],M_BOM[PPGridRow],101),0))+IFERROR(INDEX(M_RawMaterials[固定週次消費量_要入力],MATCH($A49,M_RawMaterials[Part Name],0)),0)</f>
        <v/>
      </c>
      <c r="CX49">
        <f>SUMPRODUCT((M_BOM[Part Name]=$A49)*M_BOM[RM_Qty_Per_Batch]*IFERROR(INDEX(PP_Grid[#Data],M_BOM[PPGridRow],102),0))+IFERROR(INDEX(M_RawMaterials[固定週次消費量_要入力],MATCH($A49,M_RawMaterials[Part Name],0)),0)</f>
        <v/>
      </c>
      <c r="CY49">
        <f>SUMPRODUCT((M_BOM[Part Name]=$A49)*M_BOM[RM_Qty_Per_Batch]*IFERROR(INDEX(PP_Grid[#Data],M_BOM[PPGridRow],103),0))+IFERROR(INDEX(M_RawMaterials[固定週次消費量_要入力],MATCH($A49,M_RawMaterials[Part Name],0)),0)</f>
        <v/>
      </c>
      <c r="CZ49">
        <f>SUMPRODUCT((M_BOM[Part Name]=$A49)*M_BOM[RM_Qty_Per_Batch]*IFERROR(INDEX(PP_Grid[#Data],M_BOM[PPGridRow],104),0))+IFERROR(INDEX(M_RawMaterials[固定週次消費量_要入力],MATCH($A49,M_RawMaterials[Part Name],0)),0)</f>
        <v/>
      </c>
      <c r="DA49">
        <f>SUMPRODUCT((M_BOM[Part Name]=$A49)*M_BOM[RM_Qty_Per_Batch]*IFERROR(INDEX(PP_Grid[#Data],M_BOM[PPGridRow],105),0))+IFERROR(INDEX(M_RawMaterials[固定週次消費量_要入力],MATCH($A49,M_RawMaterials[Part Name],0)),0)</f>
        <v/>
      </c>
    </row>
    <row r="50">
      <c r="A50" t="inlineStr">
        <is>
          <t>CHEM-1760</t>
        </is>
      </c>
      <c r="B50">
        <f>SUMPRODUCT((M_BOM[Part Name]=$A50)*M_BOM[RM_Qty_Per_Batch]*IFERROR(INDEX(PP_Grid[#Data],M_BOM[PPGridRow],2),0))+IFERROR(INDEX(M_RawMaterials[固定週次消費量_要入力],MATCH($A50,M_RawMaterials[Part Name],0)),0)</f>
        <v/>
      </c>
      <c r="C50">
        <f>SUMPRODUCT((M_BOM[Part Name]=$A50)*M_BOM[RM_Qty_Per_Batch]*IFERROR(INDEX(PP_Grid[#Data],M_BOM[PPGridRow],3),0))+IFERROR(INDEX(M_RawMaterials[固定週次消費量_要入力],MATCH($A50,M_RawMaterials[Part Name],0)),0)</f>
        <v/>
      </c>
      <c r="D50">
        <f>SUMPRODUCT((M_BOM[Part Name]=$A50)*M_BOM[RM_Qty_Per_Batch]*IFERROR(INDEX(PP_Grid[#Data],M_BOM[PPGridRow],4),0))+IFERROR(INDEX(M_RawMaterials[固定週次消費量_要入力],MATCH($A50,M_RawMaterials[Part Name],0)),0)</f>
        <v/>
      </c>
      <c r="E50">
        <f>SUMPRODUCT((M_BOM[Part Name]=$A50)*M_BOM[RM_Qty_Per_Batch]*IFERROR(INDEX(PP_Grid[#Data],M_BOM[PPGridRow],5),0))+IFERROR(INDEX(M_RawMaterials[固定週次消費量_要入力],MATCH($A50,M_RawMaterials[Part Name],0)),0)</f>
        <v/>
      </c>
      <c r="F50">
        <f>SUMPRODUCT((M_BOM[Part Name]=$A50)*M_BOM[RM_Qty_Per_Batch]*IFERROR(INDEX(PP_Grid[#Data],M_BOM[PPGridRow],6),0))+IFERROR(INDEX(M_RawMaterials[固定週次消費量_要入力],MATCH($A50,M_RawMaterials[Part Name],0)),0)</f>
        <v/>
      </c>
      <c r="G50">
        <f>SUMPRODUCT((M_BOM[Part Name]=$A50)*M_BOM[RM_Qty_Per_Batch]*IFERROR(INDEX(PP_Grid[#Data],M_BOM[PPGridRow],7),0))+IFERROR(INDEX(M_RawMaterials[固定週次消費量_要入力],MATCH($A50,M_RawMaterials[Part Name],0)),0)</f>
        <v/>
      </c>
      <c r="H50">
        <f>SUMPRODUCT((M_BOM[Part Name]=$A50)*M_BOM[RM_Qty_Per_Batch]*IFERROR(INDEX(PP_Grid[#Data],M_BOM[PPGridRow],8),0))+IFERROR(INDEX(M_RawMaterials[固定週次消費量_要入力],MATCH($A50,M_RawMaterials[Part Name],0)),0)</f>
        <v/>
      </c>
      <c r="I50">
        <f>SUMPRODUCT((M_BOM[Part Name]=$A50)*M_BOM[RM_Qty_Per_Batch]*IFERROR(INDEX(PP_Grid[#Data],M_BOM[PPGridRow],9),0))+IFERROR(INDEX(M_RawMaterials[固定週次消費量_要入力],MATCH($A50,M_RawMaterials[Part Name],0)),0)</f>
        <v/>
      </c>
      <c r="J50">
        <f>SUMPRODUCT((M_BOM[Part Name]=$A50)*M_BOM[RM_Qty_Per_Batch]*IFERROR(INDEX(PP_Grid[#Data],M_BOM[PPGridRow],10),0))+IFERROR(INDEX(M_RawMaterials[固定週次消費量_要入力],MATCH($A50,M_RawMaterials[Part Name],0)),0)</f>
        <v/>
      </c>
      <c r="K50">
        <f>SUMPRODUCT((M_BOM[Part Name]=$A50)*M_BOM[RM_Qty_Per_Batch]*IFERROR(INDEX(PP_Grid[#Data],M_BOM[PPGridRow],11),0))+IFERROR(INDEX(M_RawMaterials[固定週次消費量_要入力],MATCH($A50,M_RawMaterials[Part Name],0)),0)</f>
        <v/>
      </c>
      <c r="L50">
        <f>SUMPRODUCT((M_BOM[Part Name]=$A50)*M_BOM[RM_Qty_Per_Batch]*IFERROR(INDEX(PP_Grid[#Data],M_BOM[PPGridRow],12),0))+IFERROR(INDEX(M_RawMaterials[固定週次消費量_要入力],MATCH($A50,M_RawMaterials[Part Name],0)),0)</f>
        <v/>
      </c>
      <c r="M50">
        <f>SUMPRODUCT((M_BOM[Part Name]=$A50)*M_BOM[RM_Qty_Per_Batch]*IFERROR(INDEX(PP_Grid[#Data],M_BOM[PPGridRow],13),0))+IFERROR(INDEX(M_RawMaterials[固定週次消費量_要入力],MATCH($A50,M_RawMaterials[Part Name],0)),0)</f>
        <v/>
      </c>
      <c r="N50">
        <f>SUMPRODUCT((M_BOM[Part Name]=$A50)*M_BOM[RM_Qty_Per_Batch]*IFERROR(INDEX(PP_Grid[#Data],M_BOM[PPGridRow],14),0))+IFERROR(INDEX(M_RawMaterials[固定週次消費量_要入力],MATCH($A50,M_RawMaterials[Part Name],0)),0)</f>
        <v/>
      </c>
      <c r="O50">
        <f>SUMPRODUCT((M_BOM[Part Name]=$A50)*M_BOM[RM_Qty_Per_Batch]*IFERROR(INDEX(PP_Grid[#Data],M_BOM[PPGridRow],15),0))+IFERROR(INDEX(M_RawMaterials[固定週次消費量_要入力],MATCH($A50,M_RawMaterials[Part Name],0)),0)</f>
        <v/>
      </c>
      <c r="P50">
        <f>SUMPRODUCT((M_BOM[Part Name]=$A50)*M_BOM[RM_Qty_Per_Batch]*IFERROR(INDEX(PP_Grid[#Data],M_BOM[PPGridRow],16),0))+IFERROR(INDEX(M_RawMaterials[固定週次消費量_要入力],MATCH($A50,M_RawMaterials[Part Name],0)),0)</f>
        <v/>
      </c>
      <c r="Q50">
        <f>SUMPRODUCT((M_BOM[Part Name]=$A50)*M_BOM[RM_Qty_Per_Batch]*IFERROR(INDEX(PP_Grid[#Data],M_BOM[PPGridRow],17),0))+IFERROR(INDEX(M_RawMaterials[固定週次消費量_要入力],MATCH($A50,M_RawMaterials[Part Name],0)),0)</f>
        <v/>
      </c>
      <c r="R50">
        <f>SUMPRODUCT((M_BOM[Part Name]=$A50)*M_BOM[RM_Qty_Per_Batch]*IFERROR(INDEX(PP_Grid[#Data],M_BOM[PPGridRow],18),0))+IFERROR(INDEX(M_RawMaterials[固定週次消費量_要入力],MATCH($A50,M_RawMaterials[Part Name],0)),0)</f>
        <v/>
      </c>
      <c r="S50">
        <f>SUMPRODUCT((M_BOM[Part Name]=$A50)*M_BOM[RM_Qty_Per_Batch]*IFERROR(INDEX(PP_Grid[#Data],M_BOM[PPGridRow],19),0))+IFERROR(INDEX(M_RawMaterials[固定週次消費量_要入力],MATCH($A50,M_RawMaterials[Part Name],0)),0)</f>
        <v/>
      </c>
      <c r="T50">
        <f>SUMPRODUCT((M_BOM[Part Name]=$A50)*M_BOM[RM_Qty_Per_Batch]*IFERROR(INDEX(PP_Grid[#Data],M_BOM[PPGridRow],20),0))+IFERROR(INDEX(M_RawMaterials[固定週次消費量_要入力],MATCH($A50,M_RawMaterials[Part Name],0)),0)</f>
        <v/>
      </c>
      <c r="U50">
        <f>SUMPRODUCT((M_BOM[Part Name]=$A50)*M_BOM[RM_Qty_Per_Batch]*IFERROR(INDEX(PP_Grid[#Data],M_BOM[PPGridRow],21),0))+IFERROR(INDEX(M_RawMaterials[固定週次消費量_要入力],MATCH($A50,M_RawMaterials[Part Name],0)),0)</f>
        <v/>
      </c>
      <c r="V50">
        <f>SUMPRODUCT((M_BOM[Part Name]=$A50)*M_BOM[RM_Qty_Per_Batch]*IFERROR(INDEX(PP_Grid[#Data],M_BOM[PPGridRow],22),0))+IFERROR(INDEX(M_RawMaterials[固定週次消費量_要入力],MATCH($A50,M_RawMaterials[Part Name],0)),0)</f>
        <v/>
      </c>
      <c r="W50">
        <f>SUMPRODUCT((M_BOM[Part Name]=$A50)*M_BOM[RM_Qty_Per_Batch]*IFERROR(INDEX(PP_Grid[#Data],M_BOM[PPGridRow],23),0))+IFERROR(INDEX(M_RawMaterials[固定週次消費量_要入力],MATCH($A50,M_RawMaterials[Part Name],0)),0)</f>
        <v/>
      </c>
      <c r="X50">
        <f>SUMPRODUCT((M_BOM[Part Name]=$A50)*M_BOM[RM_Qty_Per_Batch]*IFERROR(INDEX(PP_Grid[#Data],M_BOM[PPGridRow],24),0))+IFERROR(INDEX(M_RawMaterials[固定週次消費量_要入力],MATCH($A50,M_RawMaterials[Part Name],0)),0)</f>
        <v/>
      </c>
      <c r="Y50">
        <f>SUMPRODUCT((M_BOM[Part Name]=$A50)*M_BOM[RM_Qty_Per_Batch]*IFERROR(INDEX(PP_Grid[#Data],M_BOM[PPGridRow],25),0))+IFERROR(INDEX(M_RawMaterials[固定週次消費量_要入力],MATCH($A50,M_RawMaterials[Part Name],0)),0)</f>
        <v/>
      </c>
      <c r="Z50">
        <f>SUMPRODUCT((M_BOM[Part Name]=$A50)*M_BOM[RM_Qty_Per_Batch]*IFERROR(INDEX(PP_Grid[#Data],M_BOM[PPGridRow],26),0))+IFERROR(INDEX(M_RawMaterials[固定週次消費量_要入力],MATCH($A50,M_RawMaterials[Part Name],0)),0)</f>
        <v/>
      </c>
      <c r="AA50">
        <f>SUMPRODUCT((M_BOM[Part Name]=$A50)*M_BOM[RM_Qty_Per_Batch]*IFERROR(INDEX(PP_Grid[#Data],M_BOM[PPGridRow],27),0))+IFERROR(INDEX(M_RawMaterials[固定週次消費量_要入力],MATCH($A50,M_RawMaterials[Part Name],0)),0)</f>
        <v/>
      </c>
      <c r="AB50">
        <f>SUMPRODUCT((M_BOM[Part Name]=$A50)*M_BOM[RM_Qty_Per_Batch]*IFERROR(INDEX(PP_Grid[#Data],M_BOM[PPGridRow],28),0))+IFERROR(INDEX(M_RawMaterials[固定週次消費量_要入力],MATCH($A50,M_RawMaterials[Part Name],0)),0)</f>
        <v/>
      </c>
      <c r="AC50">
        <f>SUMPRODUCT((M_BOM[Part Name]=$A50)*M_BOM[RM_Qty_Per_Batch]*IFERROR(INDEX(PP_Grid[#Data],M_BOM[PPGridRow],29),0))+IFERROR(INDEX(M_RawMaterials[固定週次消費量_要入力],MATCH($A50,M_RawMaterials[Part Name],0)),0)</f>
        <v/>
      </c>
      <c r="AD50">
        <f>SUMPRODUCT((M_BOM[Part Name]=$A50)*M_BOM[RM_Qty_Per_Batch]*IFERROR(INDEX(PP_Grid[#Data],M_BOM[PPGridRow],30),0))+IFERROR(INDEX(M_RawMaterials[固定週次消費量_要入力],MATCH($A50,M_RawMaterials[Part Name],0)),0)</f>
        <v/>
      </c>
      <c r="AE50">
        <f>SUMPRODUCT((M_BOM[Part Name]=$A50)*M_BOM[RM_Qty_Per_Batch]*IFERROR(INDEX(PP_Grid[#Data],M_BOM[PPGridRow],31),0))+IFERROR(INDEX(M_RawMaterials[固定週次消費量_要入力],MATCH($A50,M_RawMaterials[Part Name],0)),0)</f>
        <v/>
      </c>
      <c r="AF50">
        <f>SUMPRODUCT((M_BOM[Part Name]=$A50)*M_BOM[RM_Qty_Per_Batch]*IFERROR(INDEX(PP_Grid[#Data],M_BOM[PPGridRow],32),0))+IFERROR(INDEX(M_RawMaterials[固定週次消費量_要入力],MATCH($A50,M_RawMaterials[Part Name],0)),0)</f>
        <v/>
      </c>
      <c r="AG50">
        <f>SUMPRODUCT((M_BOM[Part Name]=$A50)*M_BOM[RM_Qty_Per_Batch]*IFERROR(INDEX(PP_Grid[#Data],M_BOM[PPGridRow],33),0))+IFERROR(INDEX(M_RawMaterials[固定週次消費量_要入力],MATCH($A50,M_RawMaterials[Part Name],0)),0)</f>
        <v/>
      </c>
      <c r="AH50">
        <f>SUMPRODUCT((M_BOM[Part Name]=$A50)*M_BOM[RM_Qty_Per_Batch]*IFERROR(INDEX(PP_Grid[#Data],M_BOM[PPGridRow],34),0))+IFERROR(INDEX(M_RawMaterials[固定週次消費量_要入力],MATCH($A50,M_RawMaterials[Part Name],0)),0)</f>
        <v/>
      </c>
      <c r="AI50">
        <f>SUMPRODUCT((M_BOM[Part Name]=$A50)*M_BOM[RM_Qty_Per_Batch]*IFERROR(INDEX(PP_Grid[#Data],M_BOM[PPGridRow],35),0))+IFERROR(INDEX(M_RawMaterials[固定週次消費量_要入力],MATCH($A50,M_RawMaterials[Part Name],0)),0)</f>
        <v/>
      </c>
      <c r="AJ50">
        <f>SUMPRODUCT((M_BOM[Part Name]=$A50)*M_BOM[RM_Qty_Per_Batch]*IFERROR(INDEX(PP_Grid[#Data],M_BOM[PPGridRow],36),0))+IFERROR(INDEX(M_RawMaterials[固定週次消費量_要入力],MATCH($A50,M_RawMaterials[Part Name],0)),0)</f>
        <v/>
      </c>
      <c r="AK50">
        <f>SUMPRODUCT((M_BOM[Part Name]=$A50)*M_BOM[RM_Qty_Per_Batch]*IFERROR(INDEX(PP_Grid[#Data],M_BOM[PPGridRow],37),0))+IFERROR(INDEX(M_RawMaterials[固定週次消費量_要入力],MATCH($A50,M_RawMaterials[Part Name],0)),0)</f>
        <v/>
      </c>
      <c r="AL50">
        <f>SUMPRODUCT((M_BOM[Part Name]=$A50)*M_BOM[RM_Qty_Per_Batch]*IFERROR(INDEX(PP_Grid[#Data],M_BOM[PPGridRow],38),0))+IFERROR(INDEX(M_RawMaterials[固定週次消費量_要入力],MATCH($A50,M_RawMaterials[Part Name],0)),0)</f>
        <v/>
      </c>
      <c r="AM50">
        <f>SUMPRODUCT((M_BOM[Part Name]=$A50)*M_BOM[RM_Qty_Per_Batch]*IFERROR(INDEX(PP_Grid[#Data],M_BOM[PPGridRow],39),0))+IFERROR(INDEX(M_RawMaterials[固定週次消費量_要入力],MATCH($A50,M_RawMaterials[Part Name],0)),0)</f>
        <v/>
      </c>
      <c r="AN50">
        <f>SUMPRODUCT((M_BOM[Part Name]=$A50)*M_BOM[RM_Qty_Per_Batch]*IFERROR(INDEX(PP_Grid[#Data],M_BOM[PPGridRow],40),0))+IFERROR(INDEX(M_RawMaterials[固定週次消費量_要入力],MATCH($A50,M_RawMaterials[Part Name],0)),0)</f>
        <v/>
      </c>
      <c r="AO50">
        <f>SUMPRODUCT((M_BOM[Part Name]=$A50)*M_BOM[RM_Qty_Per_Batch]*IFERROR(INDEX(PP_Grid[#Data],M_BOM[PPGridRow],41),0))+IFERROR(INDEX(M_RawMaterials[固定週次消費量_要入力],MATCH($A50,M_RawMaterials[Part Name],0)),0)</f>
        <v/>
      </c>
      <c r="AP50">
        <f>SUMPRODUCT((M_BOM[Part Name]=$A50)*M_BOM[RM_Qty_Per_Batch]*IFERROR(INDEX(PP_Grid[#Data],M_BOM[PPGridRow],42),0))+IFERROR(INDEX(M_RawMaterials[固定週次消費量_要入力],MATCH($A50,M_RawMaterials[Part Name],0)),0)</f>
        <v/>
      </c>
      <c r="AQ50">
        <f>SUMPRODUCT((M_BOM[Part Name]=$A50)*M_BOM[RM_Qty_Per_Batch]*IFERROR(INDEX(PP_Grid[#Data],M_BOM[PPGridRow],43),0))+IFERROR(INDEX(M_RawMaterials[固定週次消費量_要入力],MATCH($A50,M_RawMaterials[Part Name],0)),0)</f>
        <v/>
      </c>
      <c r="AR50">
        <f>SUMPRODUCT((M_BOM[Part Name]=$A50)*M_BOM[RM_Qty_Per_Batch]*IFERROR(INDEX(PP_Grid[#Data],M_BOM[PPGridRow],44),0))+IFERROR(INDEX(M_RawMaterials[固定週次消費量_要入力],MATCH($A50,M_RawMaterials[Part Name],0)),0)</f>
        <v/>
      </c>
      <c r="AS50">
        <f>SUMPRODUCT((M_BOM[Part Name]=$A50)*M_BOM[RM_Qty_Per_Batch]*IFERROR(INDEX(PP_Grid[#Data],M_BOM[PPGridRow],45),0))+IFERROR(INDEX(M_RawMaterials[固定週次消費量_要入力],MATCH($A50,M_RawMaterials[Part Name],0)),0)</f>
        <v/>
      </c>
      <c r="AT50">
        <f>SUMPRODUCT((M_BOM[Part Name]=$A50)*M_BOM[RM_Qty_Per_Batch]*IFERROR(INDEX(PP_Grid[#Data],M_BOM[PPGridRow],46),0))+IFERROR(INDEX(M_RawMaterials[固定週次消費量_要入力],MATCH($A50,M_RawMaterials[Part Name],0)),0)</f>
        <v/>
      </c>
      <c r="AU50">
        <f>SUMPRODUCT((M_BOM[Part Name]=$A50)*M_BOM[RM_Qty_Per_Batch]*IFERROR(INDEX(PP_Grid[#Data],M_BOM[PPGridRow],47),0))+IFERROR(INDEX(M_RawMaterials[固定週次消費量_要入力],MATCH($A50,M_RawMaterials[Part Name],0)),0)</f>
        <v/>
      </c>
      <c r="AV50">
        <f>SUMPRODUCT((M_BOM[Part Name]=$A50)*M_BOM[RM_Qty_Per_Batch]*IFERROR(INDEX(PP_Grid[#Data],M_BOM[PPGridRow],48),0))+IFERROR(INDEX(M_RawMaterials[固定週次消費量_要入力],MATCH($A50,M_RawMaterials[Part Name],0)),0)</f>
        <v/>
      </c>
      <c r="AW50">
        <f>SUMPRODUCT((M_BOM[Part Name]=$A50)*M_BOM[RM_Qty_Per_Batch]*IFERROR(INDEX(PP_Grid[#Data],M_BOM[PPGridRow],49),0))+IFERROR(INDEX(M_RawMaterials[固定週次消費量_要入力],MATCH($A50,M_RawMaterials[Part Name],0)),0)</f>
        <v/>
      </c>
      <c r="AX50">
        <f>SUMPRODUCT((M_BOM[Part Name]=$A50)*M_BOM[RM_Qty_Per_Batch]*IFERROR(INDEX(PP_Grid[#Data],M_BOM[PPGridRow],50),0))+IFERROR(INDEX(M_RawMaterials[固定週次消費量_要入力],MATCH($A50,M_RawMaterials[Part Name],0)),0)</f>
        <v/>
      </c>
      <c r="AY50">
        <f>SUMPRODUCT((M_BOM[Part Name]=$A50)*M_BOM[RM_Qty_Per_Batch]*IFERROR(INDEX(PP_Grid[#Data],M_BOM[PPGridRow],51),0))+IFERROR(INDEX(M_RawMaterials[固定週次消費量_要入力],MATCH($A50,M_RawMaterials[Part Name],0)),0)</f>
        <v/>
      </c>
      <c r="AZ50">
        <f>SUMPRODUCT((M_BOM[Part Name]=$A50)*M_BOM[RM_Qty_Per_Batch]*IFERROR(INDEX(PP_Grid[#Data],M_BOM[PPGridRow],52),0))+IFERROR(INDEX(M_RawMaterials[固定週次消費量_要入力],MATCH($A50,M_RawMaterials[Part Name],0)),0)</f>
        <v/>
      </c>
      <c r="BA50">
        <f>SUMPRODUCT((M_BOM[Part Name]=$A50)*M_BOM[RM_Qty_Per_Batch]*IFERROR(INDEX(PP_Grid[#Data],M_BOM[PPGridRow],53),0))+IFERROR(INDEX(M_RawMaterials[固定週次消費量_要入力],MATCH($A50,M_RawMaterials[Part Name],0)),0)</f>
        <v/>
      </c>
      <c r="BB50">
        <f>SUMPRODUCT((M_BOM[Part Name]=$A50)*M_BOM[RM_Qty_Per_Batch]*IFERROR(INDEX(PP_Grid[#Data],M_BOM[PPGridRow],54),0))+IFERROR(INDEX(M_RawMaterials[固定週次消費量_要入力],MATCH($A50,M_RawMaterials[Part Name],0)),0)</f>
        <v/>
      </c>
      <c r="BC50">
        <f>SUMPRODUCT((M_BOM[Part Name]=$A50)*M_BOM[RM_Qty_Per_Batch]*IFERROR(INDEX(PP_Grid[#Data],M_BOM[PPGridRow],55),0))+IFERROR(INDEX(M_RawMaterials[固定週次消費量_要入力],MATCH($A50,M_RawMaterials[Part Name],0)),0)</f>
        <v/>
      </c>
      <c r="BD50">
        <f>SUMPRODUCT((M_BOM[Part Name]=$A50)*M_BOM[RM_Qty_Per_Batch]*IFERROR(INDEX(PP_Grid[#Data],M_BOM[PPGridRow],56),0))+IFERROR(INDEX(M_RawMaterials[固定週次消費量_要入力],MATCH($A50,M_RawMaterials[Part Name],0)),0)</f>
        <v/>
      </c>
      <c r="BE50">
        <f>SUMPRODUCT((M_BOM[Part Name]=$A50)*M_BOM[RM_Qty_Per_Batch]*IFERROR(INDEX(PP_Grid[#Data],M_BOM[PPGridRow],57),0))+IFERROR(INDEX(M_RawMaterials[固定週次消費量_要入力],MATCH($A50,M_RawMaterials[Part Name],0)),0)</f>
        <v/>
      </c>
      <c r="BF50">
        <f>SUMPRODUCT((M_BOM[Part Name]=$A50)*M_BOM[RM_Qty_Per_Batch]*IFERROR(INDEX(PP_Grid[#Data],M_BOM[PPGridRow],58),0))+IFERROR(INDEX(M_RawMaterials[固定週次消費量_要入力],MATCH($A50,M_RawMaterials[Part Name],0)),0)</f>
        <v/>
      </c>
      <c r="BG50">
        <f>SUMPRODUCT((M_BOM[Part Name]=$A50)*M_BOM[RM_Qty_Per_Batch]*IFERROR(INDEX(PP_Grid[#Data],M_BOM[PPGridRow],59),0))+IFERROR(INDEX(M_RawMaterials[固定週次消費量_要入力],MATCH($A50,M_RawMaterials[Part Name],0)),0)</f>
        <v/>
      </c>
      <c r="BH50">
        <f>SUMPRODUCT((M_BOM[Part Name]=$A50)*M_BOM[RM_Qty_Per_Batch]*IFERROR(INDEX(PP_Grid[#Data],M_BOM[PPGridRow],60),0))+IFERROR(INDEX(M_RawMaterials[固定週次消費量_要入力],MATCH($A50,M_RawMaterials[Part Name],0)),0)</f>
        <v/>
      </c>
      <c r="BI50">
        <f>SUMPRODUCT((M_BOM[Part Name]=$A50)*M_BOM[RM_Qty_Per_Batch]*IFERROR(INDEX(PP_Grid[#Data],M_BOM[PPGridRow],61),0))+IFERROR(INDEX(M_RawMaterials[固定週次消費量_要入力],MATCH($A50,M_RawMaterials[Part Name],0)),0)</f>
        <v/>
      </c>
      <c r="BJ50">
        <f>SUMPRODUCT((M_BOM[Part Name]=$A50)*M_BOM[RM_Qty_Per_Batch]*IFERROR(INDEX(PP_Grid[#Data],M_BOM[PPGridRow],62),0))+IFERROR(INDEX(M_RawMaterials[固定週次消費量_要入力],MATCH($A50,M_RawMaterials[Part Name],0)),0)</f>
        <v/>
      </c>
      <c r="BK50">
        <f>SUMPRODUCT((M_BOM[Part Name]=$A50)*M_BOM[RM_Qty_Per_Batch]*IFERROR(INDEX(PP_Grid[#Data],M_BOM[PPGridRow],63),0))+IFERROR(INDEX(M_RawMaterials[固定週次消費量_要入力],MATCH($A50,M_RawMaterials[Part Name],0)),0)</f>
        <v/>
      </c>
      <c r="BL50">
        <f>SUMPRODUCT((M_BOM[Part Name]=$A50)*M_BOM[RM_Qty_Per_Batch]*IFERROR(INDEX(PP_Grid[#Data],M_BOM[PPGridRow],64),0))+IFERROR(INDEX(M_RawMaterials[固定週次消費量_要入力],MATCH($A50,M_RawMaterials[Part Name],0)),0)</f>
        <v/>
      </c>
      <c r="BM50">
        <f>SUMPRODUCT((M_BOM[Part Name]=$A50)*M_BOM[RM_Qty_Per_Batch]*IFERROR(INDEX(PP_Grid[#Data],M_BOM[PPGridRow],65),0))+IFERROR(INDEX(M_RawMaterials[固定週次消費量_要入力],MATCH($A50,M_RawMaterials[Part Name],0)),0)</f>
        <v/>
      </c>
      <c r="BN50">
        <f>SUMPRODUCT((M_BOM[Part Name]=$A50)*M_BOM[RM_Qty_Per_Batch]*IFERROR(INDEX(PP_Grid[#Data],M_BOM[PPGridRow],66),0))+IFERROR(INDEX(M_RawMaterials[固定週次消費量_要入力],MATCH($A50,M_RawMaterials[Part Name],0)),0)</f>
        <v/>
      </c>
      <c r="BO50">
        <f>SUMPRODUCT((M_BOM[Part Name]=$A50)*M_BOM[RM_Qty_Per_Batch]*IFERROR(INDEX(PP_Grid[#Data],M_BOM[PPGridRow],67),0))+IFERROR(INDEX(M_RawMaterials[固定週次消費量_要入力],MATCH($A50,M_RawMaterials[Part Name],0)),0)</f>
        <v/>
      </c>
      <c r="BP50">
        <f>SUMPRODUCT((M_BOM[Part Name]=$A50)*M_BOM[RM_Qty_Per_Batch]*IFERROR(INDEX(PP_Grid[#Data],M_BOM[PPGridRow],68),0))+IFERROR(INDEX(M_RawMaterials[固定週次消費量_要入力],MATCH($A50,M_RawMaterials[Part Name],0)),0)</f>
        <v/>
      </c>
      <c r="BQ50">
        <f>SUMPRODUCT((M_BOM[Part Name]=$A50)*M_BOM[RM_Qty_Per_Batch]*IFERROR(INDEX(PP_Grid[#Data],M_BOM[PPGridRow],69),0))+IFERROR(INDEX(M_RawMaterials[固定週次消費量_要入力],MATCH($A50,M_RawMaterials[Part Name],0)),0)</f>
        <v/>
      </c>
      <c r="BR50">
        <f>SUMPRODUCT((M_BOM[Part Name]=$A50)*M_BOM[RM_Qty_Per_Batch]*IFERROR(INDEX(PP_Grid[#Data],M_BOM[PPGridRow],70),0))+IFERROR(INDEX(M_RawMaterials[固定週次消費量_要入力],MATCH($A50,M_RawMaterials[Part Name],0)),0)</f>
        <v/>
      </c>
      <c r="BS50">
        <f>SUMPRODUCT((M_BOM[Part Name]=$A50)*M_BOM[RM_Qty_Per_Batch]*IFERROR(INDEX(PP_Grid[#Data],M_BOM[PPGridRow],71),0))+IFERROR(INDEX(M_RawMaterials[固定週次消費量_要入力],MATCH($A50,M_RawMaterials[Part Name],0)),0)</f>
        <v/>
      </c>
      <c r="BT50">
        <f>SUMPRODUCT((M_BOM[Part Name]=$A50)*M_BOM[RM_Qty_Per_Batch]*IFERROR(INDEX(PP_Grid[#Data],M_BOM[PPGridRow],72),0))+IFERROR(INDEX(M_RawMaterials[固定週次消費量_要入力],MATCH($A50,M_RawMaterials[Part Name],0)),0)</f>
        <v/>
      </c>
      <c r="BU50">
        <f>SUMPRODUCT((M_BOM[Part Name]=$A50)*M_BOM[RM_Qty_Per_Batch]*IFERROR(INDEX(PP_Grid[#Data],M_BOM[PPGridRow],73),0))+IFERROR(INDEX(M_RawMaterials[固定週次消費量_要入力],MATCH($A50,M_RawMaterials[Part Name],0)),0)</f>
        <v/>
      </c>
      <c r="BV50">
        <f>SUMPRODUCT((M_BOM[Part Name]=$A50)*M_BOM[RM_Qty_Per_Batch]*IFERROR(INDEX(PP_Grid[#Data],M_BOM[PPGridRow],74),0))+IFERROR(INDEX(M_RawMaterials[固定週次消費量_要入力],MATCH($A50,M_RawMaterials[Part Name],0)),0)</f>
        <v/>
      </c>
      <c r="BW50">
        <f>SUMPRODUCT((M_BOM[Part Name]=$A50)*M_BOM[RM_Qty_Per_Batch]*IFERROR(INDEX(PP_Grid[#Data],M_BOM[PPGridRow],75),0))+IFERROR(INDEX(M_RawMaterials[固定週次消費量_要入力],MATCH($A50,M_RawMaterials[Part Name],0)),0)</f>
        <v/>
      </c>
      <c r="BX50">
        <f>SUMPRODUCT((M_BOM[Part Name]=$A50)*M_BOM[RM_Qty_Per_Batch]*IFERROR(INDEX(PP_Grid[#Data],M_BOM[PPGridRow],76),0))+IFERROR(INDEX(M_RawMaterials[固定週次消費量_要入力],MATCH($A50,M_RawMaterials[Part Name],0)),0)</f>
        <v/>
      </c>
      <c r="BY50">
        <f>SUMPRODUCT((M_BOM[Part Name]=$A50)*M_BOM[RM_Qty_Per_Batch]*IFERROR(INDEX(PP_Grid[#Data],M_BOM[PPGridRow],77),0))+IFERROR(INDEX(M_RawMaterials[固定週次消費量_要入力],MATCH($A50,M_RawMaterials[Part Name],0)),0)</f>
        <v/>
      </c>
      <c r="BZ50">
        <f>SUMPRODUCT((M_BOM[Part Name]=$A50)*M_BOM[RM_Qty_Per_Batch]*IFERROR(INDEX(PP_Grid[#Data],M_BOM[PPGridRow],78),0))+IFERROR(INDEX(M_RawMaterials[固定週次消費量_要入力],MATCH($A50,M_RawMaterials[Part Name],0)),0)</f>
        <v/>
      </c>
      <c r="CA50">
        <f>SUMPRODUCT((M_BOM[Part Name]=$A50)*M_BOM[RM_Qty_Per_Batch]*IFERROR(INDEX(PP_Grid[#Data],M_BOM[PPGridRow],79),0))+IFERROR(INDEX(M_RawMaterials[固定週次消費量_要入力],MATCH($A50,M_RawMaterials[Part Name],0)),0)</f>
        <v/>
      </c>
      <c r="CB50">
        <f>SUMPRODUCT((M_BOM[Part Name]=$A50)*M_BOM[RM_Qty_Per_Batch]*IFERROR(INDEX(PP_Grid[#Data],M_BOM[PPGridRow],80),0))+IFERROR(INDEX(M_RawMaterials[固定週次消費量_要入力],MATCH($A50,M_RawMaterials[Part Name],0)),0)</f>
        <v/>
      </c>
      <c r="CC50">
        <f>SUMPRODUCT((M_BOM[Part Name]=$A50)*M_BOM[RM_Qty_Per_Batch]*IFERROR(INDEX(PP_Grid[#Data],M_BOM[PPGridRow],81),0))+IFERROR(INDEX(M_RawMaterials[固定週次消費量_要入力],MATCH($A50,M_RawMaterials[Part Name],0)),0)</f>
        <v/>
      </c>
      <c r="CD50">
        <f>SUMPRODUCT((M_BOM[Part Name]=$A50)*M_BOM[RM_Qty_Per_Batch]*IFERROR(INDEX(PP_Grid[#Data],M_BOM[PPGridRow],82),0))+IFERROR(INDEX(M_RawMaterials[固定週次消費量_要入力],MATCH($A50,M_RawMaterials[Part Name],0)),0)</f>
        <v/>
      </c>
      <c r="CE50">
        <f>SUMPRODUCT((M_BOM[Part Name]=$A50)*M_BOM[RM_Qty_Per_Batch]*IFERROR(INDEX(PP_Grid[#Data],M_BOM[PPGridRow],83),0))+IFERROR(INDEX(M_RawMaterials[固定週次消費量_要入力],MATCH($A50,M_RawMaterials[Part Name],0)),0)</f>
        <v/>
      </c>
      <c r="CF50">
        <f>SUMPRODUCT((M_BOM[Part Name]=$A50)*M_BOM[RM_Qty_Per_Batch]*IFERROR(INDEX(PP_Grid[#Data],M_BOM[PPGridRow],84),0))+IFERROR(INDEX(M_RawMaterials[固定週次消費量_要入力],MATCH($A50,M_RawMaterials[Part Name],0)),0)</f>
        <v/>
      </c>
      <c r="CG50">
        <f>SUMPRODUCT((M_BOM[Part Name]=$A50)*M_BOM[RM_Qty_Per_Batch]*IFERROR(INDEX(PP_Grid[#Data],M_BOM[PPGridRow],85),0))+IFERROR(INDEX(M_RawMaterials[固定週次消費量_要入力],MATCH($A50,M_RawMaterials[Part Name],0)),0)</f>
        <v/>
      </c>
      <c r="CH50">
        <f>SUMPRODUCT((M_BOM[Part Name]=$A50)*M_BOM[RM_Qty_Per_Batch]*IFERROR(INDEX(PP_Grid[#Data],M_BOM[PPGridRow],86),0))+IFERROR(INDEX(M_RawMaterials[固定週次消費量_要入力],MATCH($A50,M_RawMaterials[Part Name],0)),0)</f>
        <v/>
      </c>
      <c r="CI50">
        <f>SUMPRODUCT((M_BOM[Part Name]=$A50)*M_BOM[RM_Qty_Per_Batch]*IFERROR(INDEX(PP_Grid[#Data],M_BOM[PPGridRow],87),0))+IFERROR(INDEX(M_RawMaterials[固定週次消費量_要入力],MATCH($A50,M_RawMaterials[Part Name],0)),0)</f>
        <v/>
      </c>
      <c r="CJ50">
        <f>SUMPRODUCT((M_BOM[Part Name]=$A50)*M_BOM[RM_Qty_Per_Batch]*IFERROR(INDEX(PP_Grid[#Data],M_BOM[PPGridRow],88),0))+IFERROR(INDEX(M_RawMaterials[固定週次消費量_要入力],MATCH($A50,M_RawMaterials[Part Name],0)),0)</f>
        <v/>
      </c>
      <c r="CK50">
        <f>SUMPRODUCT((M_BOM[Part Name]=$A50)*M_BOM[RM_Qty_Per_Batch]*IFERROR(INDEX(PP_Grid[#Data],M_BOM[PPGridRow],89),0))+IFERROR(INDEX(M_RawMaterials[固定週次消費量_要入力],MATCH($A50,M_RawMaterials[Part Name],0)),0)</f>
        <v/>
      </c>
      <c r="CL50">
        <f>SUMPRODUCT((M_BOM[Part Name]=$A50)*M_BOM[RM_Qty_Per_Batch]*IFERROR(INDEX(PP_Grid[#Data],M_BOM[PPGridRow],90),0))+IFERROR(INDEX(M_RawMaterials[固定週次消費量_要入力],MATCH($A50,M_RawMaterials[Part Name],0)),0)</f>
        <v/>
      </c>
      <c r="CM50">
        <f>SUMPRODUCT((M_BOM[Part Name]=$A50)*M_BOM[RM_Qty_Per_Batch]*IFERROR(INDEX(PP_Grid[#Data],M_BOM[PPGridRow],91),0))+IFERROR(INDEX(M_RawMaterials[固定週次消費量_要入力],MATCH($A50,M_RawMaterials[Part Name],0)),0)</f>
        <v/>
      </c>
      <c r="CN50">
        <f>SUMPRODUCT((M_BOM[Part Name]=$A50)*M_BOM[RM_Qty_Per_Batch]*IFERROR(INDEX(PP_Grid[#Data],M_BOM[PPGridRow],92),0))+IFERROR(INDEX(M_RawMaterials[固定週次消費量_要入力],MATCH($A50,M_RawMaterials[Part Name],0)),0)</f>
        <v/>
      </c>
      <c r="CO50">
        <f>SUMPRODUCT((M_BOM[Part Name]=$A50)*M_BOM[RM_Qty_Per_Batch]*IFERROR(INDEX(PP_Grid[#Data],M_BOM[PPGridRow],93),0))+IFERROR(INDEX(M_RawMaterials[固定週次消費量_要入力],MATCH($A50,M_RawMaterials[Part Name],0)),0)</f>
        <v/>
      </c>
      <c r="CP50">
        <f>SUMPRODUCT((M_BOM[Part Name]=$A50)*M_BOM[RM_Qty_Per_Batch]*IFERROR(INDEX(PP_Grid[#Data],M_BOM[PPGridRow],94),0))+IFERROR(INDEX(M_RawMaterials[固定週次消費量_要入力],MATCH($A50,M_RawMaterials[Part Name],0)),0)</f>
        <v/>
      </c>
      <c r="CQ50">
        <f>SUMPRODUCT((M_BOM[Part Name]=$A50)*M_BOM[RM_Qty_Per_Batch]*IFERROR(INDEX(PP_Grid[#Data],M_BOM[PPGridRow],95),0))+IFERROR(INDEX(M_RawMaterials[固定週次消費量_要入力],MATCH($A50,M_RawMaterials[Part Name],0)),0)</f>
        <v/>
      </c>
      <c r="CR50">
        <f>SUMPRODUCT((M_BOM[Part Name]=$A50)*M_BOM[RM_Qty_Per_Batch]*IFERROR(INDEX(PP_Grid[#Data],M_BOM[PPGridRow],96),0))+IFERROR(INDEX(M_RawMaterials[固定週次消費量_要入力],MATCH($A50,M_RawMaterials[Part Name],0)),0)</f>
        <v/>
      </c>
      <c r="CS50">
        <f>SUMPRODUCT((M_BOM[Part Name]=$A50)*M_BOM[RM_Qty_Per_Batch]*IFERROR(INDEX(PP_Grid[#Data],M_BOM[PPGridRow],97),0))+IFERROR(INDEX(M_RawMaterials[固定週次消費量_要入力],MATCH($A50,M_RawMaterials[Part Name],0)),0)</f>
        <v/>
      </c>
      <c r="CT50">
        <f>SUMPRODUCT((M_BOM[Part Name]=$A50)*M_BOM[RM_Qty_Per_Batch]*IFERROR(INDEX(PP_Grid[#Data],M_BOM[PPGridRow],98),0))+IFERROR(INDEX(M_RawMaterials[固定週次消費量_要入力],MATCH($A50,M_RawMaterials[Part Name],0)),0)</f>
        <v/>
      </c>
      <c r="CU50">
        <f>SUMPRODUCT((M_BOM[Part Name]=$A50)*M_BOM[RM_Qty_Per_Batch]*IFERROR(INDEX(PP_Grid[#Data],M_BOM[PPGridRow],99),0))+IFERROR(INDEX(M_RawMaterials[固定週次消費量_要入力],MATCH($A50,M_RawMaterials[Part Name],0)),0)</f>
        <v/>
      </c>
      <c r="CV50">
        <f>SUMPRODUCT((M_BOM[Part Name]=$A50)*M_BOM[RM_Qty_Per_Batch]*IFERROR(INDEX(PP_Grid[#Data],M_BOM[PPGridRow],100),0))+IFERROR(INDEX(M_RawMaterials[固定週次消費量_要入力],MATCH($A50,M_RawMaterials[Part Name],0)),0)</f>
        <v/>
      </c>
      <c r="CW50">
        <f>SUMPRODUCT((M_BOM[Part Name]=$A50)*M_BOM[RM_Qty_Per_Batch]*IFERROR(INDEX(PP_Grid[#Data],M_BOM[PPGridRow],101),0))+IFERROR(INDEX(M_RawMaterials[固定週次消費量_要入力],MATCH($A50,M_RawMaterials[Part Name],0)),0)</f>
        <v/>
      </c>
      <c r="CX50">
        <f>SUMPRODUCT((M_BOM[Part Name]=$A50)*M_BOM[RM_Qty_Per_Batch]*IFERROR(INDEX(PP_Grid[#Data],M_BOM[PPGridRow],102),0))+IFERROR(INDEX(M_RawMaterials[固定週次消費量_要入力],MATCH($A50,M_RawMaterials[Part Name],0)),0)</f>
        <v/>
      </c>
      <c r="CY50">
        <f>SUMPRODUCT((M_BOM[Part Name]=$A50)*M_BOM[RM_Qty_Per_Batch]*IFERROR(INDEX(PP_Grid[#Data],M_BOM[PPGridRow],103),0))+IFERROR(INDEX(M_RawMaterials[固定週次消費量_要入力],MATCH($A50,M_RawMaterials[Part Name],0)),0)</f>
        <v/>
      </c>
      <c r="CZ50">
        <f>SUMPRODUCT((M_BOM[Part Name]=$A50)*M_BOM[RM_Qty_Per_Batch]*IFERROR(INDEX(PP_Grid[#Data],M_BOM[PPGridRow],104),0))+IFERROR(INDEX(M_RawMaterials[固定週次消費量_要入力],MATCH($A50,M_RawMaterials[Part Name],0)),0)</f>
        <v/>
      </c>
      <c r="DA50">
        <f>SUMPRODUCT((M_BOM[Part Name]=$A50)*M_BOM[RM_Qty_Per_Batch]*IFERROR(INDEX(PP_Grid[#Data],M_BOM[PPGridRow],105),0))+IFERROR(INDEX(M_RawMaterials[固定週次消費量_要入力],MATCH($A50,M_RawMaterials[Part Name],0)),0)</f>
        <v/>
      </c>
    </row>
    <row r="51">
      <c r="A51" t="inlineStr">
        <is>
          <t>CHEM-1700</t>
        </is>
      </c>
      <c r="B51">
        <f>SUMPRODUCT((M_BOM[Part Name]=$A51)*M_BOM[RM_Qty_Per_Batch]*IFERROR(INDEX(PP_Grid[#Data],M_BOM[PPGridRow],2),0))+IFERROR(INDEX(M_RawMaterials[固定週次消費量_要入力],MATCH($A51,M_RawMaterials[Part Name],0)),0)</f>
        <v/>
      </c>
      <c r="C51">
        <f>SUMPRODUCT((M_BOM[Part Name]=$A51)*M_BOM[RM_Qty_Per_Batch]*IFERROR(INDEX(PP_Grid[#Data],M_BOM[PPGridRow],3),0))+IFERROR(INDEX(M_RawMaterials[固定週次消費量_要入力],MATCH($A51,M_RawMaterials[Part Name],0)),0)</f>
        <v/>
      </c>
      <c r="D51">
        <f>SUMPRODUCT((M_BOM[Part Name]=$A51)*M_BOM[RM_Qty_Per_Batch]*IFERROR(INDEX(PP_Grid[#Data],M_BOM[PPGridRow],4),0))+IFERROR(INDEX(M_RawMaterials[固定週次消費量_要入力],MATCH($A51,M_RawMaterials[Part Name],0)),0)</f>
        <v/>
      </c>
      <c r="E51">
        <f>SUMPRODUCT((M_BOM[Part Name]=$A51)*M_BOM[RM_Qty_Per_Batch]*IFERROR(INDEX(PP_Grid[#Data],M_BOM[PPGridRow],5),0))+IFERROR(INDEX(M_RawMaterials[固定週次消費量_要入力],MATCH($A51,M_RawMaterials[Part Name],0)),0)</f>
        <v/>
      </c>
      <c r="F51">
        <f>SUMPRODUCT((M_BOM[Part Name]=$A51)*M_BOM[RM_Qty_Per_Batch]*IFERROR(INDEX(PP_Grid[#Data],M_BOM[PPGridRow],6),0))+IFERROR(INDEX(M_RawMaterials[固定週次消費量_要入力],MATCH($A51,M_RawMaterials[Part Name],0)),0)</f>
        <v/>
      </c>
      <c r="G51">
        <f>SUMPRODUCT((M_BOM[Part Name]=$A51)*M_BOM[RM_Qty_Per_Batch]*IFERROR(INDEX(PP_Grid[#Data],M_BOM[PPGridRow],7),0))+IFERROR(INDEX(M_RawMaterials[固定週次消費量_要入力],MATCH($A51,M_RawMaterials[Part Name],0)),0)</f>
        <v/>
      </c>
      <c r="H51">
        <f>SUMPRODUCT((M_BOM[Part Name]=$A51)*M_BOM[RM_Qty_Per_Batch]*IFERROR(INDEX(PP_Grid[#Data],M_BOM[PPGridRow],8),0))+IFERROR(INDEX(M_RawMaterials[固定週次消費量_要入力],MATCH($A51,M_RawMaterials[Part Name],0)),0)</f>
        <v/>
      </c>
      <c r="I51">
        <f>SUMPRODUCT((M_BOM[Part Name]=$A51)*M_BOM[RM_Qty_Per_Batch]*IFERROR(INDEX(PP_Grid[#Data],M_BOM[PPGridRow],9),0))+IFERROR(INDEX(M_RawMaterials[固定週次消費量_要入力],MATCH($A51,M_RawMaterials[Part Name],0)),0)</f>
        <v/>
      </c>
      <c r="J51">
        <f>SUMPRODUCT((M_BOM[Part Name]=$A51)*M_BOM[RM_Qty_Per_Batch]*IFERROR(INDEX(PP_Grid[#Data],M_BOM[PPGridRow],10),0))+IFERROR(INDEX(M_RawMaterials[固定週次消費量_要入力],MATCH($A51,M_RawMaterials[Part Name],0)),0)</f>
        <v/>
      </c>
      <c r="K51">
        <f>SUMPRODUCT((M_BOM[Part Name]=$A51)*M_BOM[RM_Qty_Per_Batch]*IFERROR(INDEX(PP_Grid[#Data],M_BOM[PPGridRow],11),0))+IFERROR(INDEX(M_RawMaterials[固定週次消費量_要入力],MATCH($A51,M_RawMaterials[Part Name],0)),0)</f>
        <v/>
      </c>
      <c r="L51">
        <f>SUMPRODUCT((M_BOM[Part Name]=$A51)*M_BOM[RM_Qty_Per_Batch]*IFERROR(INDEX(PP_Grid[#Data],M_BOM[PPGridRow],12),0))+IFERROR(INDEX(M_RawMaterials[固定週次消費量_要入力],MATCH($A51,M_RawMaterials[Part Name],0)),0)</f>
        <v/>
      </c>
      <c r="M51">
        <f>SUMPRODUCT((M_BOM[Part Name]=$A51)*M_BOM[RM_Qty_Per_Batch]*IFERROR(INDEX(PP_Grid[#Data],M_BOM[PPGridRow],13),0))+IFERROR(INDEX(M_RawMaterials[固定週次消費量_要入力],MATCH($A51,M_RawMaterials[Part Name],0)),0)</f>
        <v/>
      </c>
      <c r="N51">
        <f>SUMPRODUCT((M_BOM[Part Name]=$A51)*M_BOM[RM_Qty_Per_Batch]*IFERROR(INDEX(PP_Grid[#Data],M_BOM[PPGridRow],14),0))+IFERROR(INDEX(M_RawMaterials[固定週次消費量_要入力],MATCH($A51,M_RawMaterials[Part Name],0)),0)</f>
        <v/>
      </c>
      <c r="O51">
        <f>SUMPRODUCT((M_BOM[Part Name]=$A51)*M_BOM[RM_Qty_Per_Batch]*IFERROR(INDEX(PP_Grid[#Data],M_BOM[PPGridRow],15),0))+IFERROR(INDEX(M_RawMaterials[固定週次消費量_要入力],MATCH($A51,M_RawMaterials[Part Name],0)),0)</f>
        <v/>
      </c>
      <c r="P51">
        <f>SUMPRODUCT((M_BOM[Part Name]=$A51)*M_BOM[RM_Qty_Per_Batch]*IFERROR(INDEX(PP_Grid[#Data],M_BOM[PPGridRow],16),0))+IFERROR(INDEX(M_RawMaterials[固定週次消費量_要入力],MATCH($A51,M_RawMaterials[Part Name],0)),0)</f>
        <v/>
      </c>
      <c r="Q51">
        <f>SUMPRODUCT((M_BOM[Part Name]=$A51)*M_BOM[RM_Qty_Per_Batch]*IFERROR(INDEX(PP_Grid[#Data],M_BOM[PPGridRow],17),0))+IFERROR(INDEX(M_RawMaterials[固定週次消費量_要入力],MATCH($A51,M_RawMaterials[Part Name],0)),0)</f>
        <v/>
      </c>
      <c r="R51">
        <f>SUMPRODUCT((M_BOM[Part Name]=$A51)*M_BOM[RM_Qty_Per_Batch]*IFERROR(INDEX(PP_Grid[#Data],M_BOM[PPGridRow],18),0))+IFERROR(INDEX(M_RawMaterials[固定週次消費量_要入力],MATCH($A51,M_RawMaterials[Part Name],0)),0)</f>
        <v/>
      </c>
      <c r="S51">
        <f>SUMPRODUCT((M_BOM[Part Name]=$A51)*M_BOM[RM_Qty_Per_Batch]*IFERROR(INDEX(PP_Grid[#Data],M_BOM[PPGridRow],19),0))+IFERROR(INDEX(M_RawMaterials[固定週次消費量_要入力],MATCH($A51,M_RawMaterials[Part Name],0)),0)</f>
        <v/>
      </c>
      <c r="T51">
        <f>SUMPRODUCT((M_BOM[Part Name]=$A51)*M_BOM[RM_Qty_Per_Batch]*IFERROR(INDEX(PP_Grid[#Data],M_BOM[PPGridRow],20),0))+IFERROR(INDEX(M_RawMaterials[固定週次消費量_要入力],MATCH($A51,M_RawMaterials[Part Name],0)),0)</f>
        <v/>
      </c>
      <c r="U51">
        <f>SUMPRODUCT((M_BOM[Part Name]=$A51)*M_BOM[RM_Qty_Per_Batch]*IFERROR(INDEX(PP_Grid[#Data],M_BOM[PPGridRow],21),0))+IFERROR(INDEX(M_RawMaterials[固定週次消費量_要入力],MATCH($A51,M_RawMaterials[Part Name],0)),0)</f>
        <v/>
      </c>
      <c r="V51">
        <f>SUMPRODUCT((M_BOM[Part Name]=$A51)*M_BOM[RM_Qty_Per_Batch]*IFERROR(INDEX(PP_Grid[#Data],M_BOM[PPGridRow],22),0))+IFERROR(INDEX(M_RawMaterials[固定週次消費量_要入力],MATCH($A51,M_RawMaterials[Part Name],0)),0)</f>
        <v/>
      </c>
      <c r="W51">
        <f>SUMPRODUCT((M_BOM[Part Name]=$A51)*M_BOM[RM_Qty_Per_Batch]*IFERROR(INDEX(PP_Grid[#Data],M_BOM[PPGridRow],23),0))+IFERROR(INDEX(M_RawMaterials[固定週次消費量_要入力],MATCH($A51,M_RawMaterials[Part Name],0)),0)</f>
        <v/>
      </c>
      <c r="X51">
        <f>SUMPRODUCT((M_BOM[Part Name]=$A51)*M_BOM[RM_Qty_Per_Batch]*IFERROR(INDEX(PP_Grid[#Data],M_BOM[PPGridRow],24),0))+IFERROR(INDEX(M_RawMaterials[固定週次消費量_要入力],MATCH($A51,M_RawMaterials[Part Name],0)),0)</f>
        <v/>
      </c>
      <c r="Y51">
        <f>SUMPRODUCT((M_BOM[Part Name]=$A51)*M_BOM[RM_Qty_Per_Batch]*IFERROR(INDEX(PP_Grid[#Data],M_BOM[PPGridRow],25),0))+IFERROR(INDEX(M_RawMaterials[固定週次消費量_要入力],MATCH($A51,M_RawMaterials[Part Name],0)),0)</f>
        <v/>
      </c>
      <c r="Z51">
        <f>SUMPRODUCT((M_BOM[Part Name]=$A51)*M_BOM[RM_Qty_Per_Batch]*IFERROR(INDEX(PP_Grid[#Data],M_BOM[PPGridRow],26),0))+IFERROR(INDEX(M_RawMaterials[固定週次消費量_要入力],MATCH($A51,M_RawMaterials[Part Name],0)),0)</f>
        <v/>
      </c>
      <c r="AA51">
        <f>SUMPRODUCT((M_BOM[Part Name]=$A51)*M_BOM[RM_Qty_Per_Batch]*IFERROR(INDEX(PP_Grid[#Data],M_BOM[PPGridRow],27),0))+IFERROR(INDEX(M_RawMaterials[固定週次消費量_要入力],MATCH($A51,M_RawMaterials[Part Name],0)),0)</f>
        <v/>
      </c>
      <c r="AB51">
        <f>SUMPRODUCT((M_BOM[Part Name]=$A51)*M_BOM[RM_Qty_Per_Batch]*IFERROR(INDEX(PP_Grid[#Data],M_BOM[PPGridRow],28),0))+IFERROR(INDEX(M_RawMaterials[固定週次消費量_要入力],MATCH($A51,M_RawMaterials[Part Name],0)),0)</f>
        <v/>
      </c>
      <c r="AC51">
        <f>SUMPRODUCT((M_BOM[Part Name]=$A51)*M_BOM[RM_Qty_Per_Batch]*IFERROR(INDEX(PP_Grid[#Data],M_BOM[PPGridRow],29),0))+IFERROR(INDEX(M_RawMaterials[固定週次消費量_要入力],MATCH($A51,M_RawMaterials[Part Name],0)),0)</f>
        <v/>
      </c>
      <c r="AD51">
        <f>SUMPRODUCT((M_BOM[Part Name]=$A51)*M_BOM[RM_Qty_Per_Batch]*IFERROR(INDEX(PP_Grid[#Data],M_BOM[PPGridRow],30),0))+IFERROR(INDEX(M_RawMaterials[固定週次消費量_要入力],MATCH($A51,M_RawMaterials[Part Name],0)),0)</f>
        <v/>
      </c>
      <c r="AE51">
        <f>SUMPRODUCT((M_BOM[Part Name]=$A51)*M_BOM[RM_Qty_Per_Batch]*IFERROR(INDEX(PP_Grid[#Data],M_BOM[PPGridRow],31),0))+IFERROR(INDEX(M_RawMaterials[固定週次消費量_要入力],MATCH($A51,M_RawMaterials[Part Name],0)),0)</f>
        <v/>
      </c>
      <c r="AF51">
        <f>SUMPRODUCT((M_BOM[Part Name]=$A51)*M_BOM[RM_Qty_Per_Batch]*IFERROR(INDEX(PP_Grid[#Data],M_BOM[PPGridRow],32),0))+IFERROR(INDEX(M_RawMaterials[固定週次消費量_要入力],MATCH($A51,M_RawMaterials[Part Name],0)),0)</f>
        <v/>
      </c>
      <c r="AG51">
        <f>SUMPRODUCT((M_BOM[Part Name]=$A51)*M_BOM[RM_Qty_Per_Batch]*IFERROR(INDEX(PP_Grid[#Data],M_BOM[PPGridRow],33),0))+IFERROR(INDEX(M_RawMaterials[固定週次消費量_要入力],MATCH($A51,M_RawMaterials[Part Name],0)),0)</f>
        <v/>
      </c>
      <c r="AH51">
        <f>SUMPRODUCT((M_BOM[Part Name]=$A51)*M_BOM[RM_Qty_Per_Batch]*IFERROR(INDEX(PP_Grid[#Data],M_BOM[PPGridRow],34),0))+IFERROR(INDEX(M_RawMaterials[固定週次消費量_要入力],MATCH($A51,M_RawMaterials[Part Name],0)),0)</f>
        <v/>
      </c>
      <c r="AI51">
        <f>SUMPRODUCT((M_BOM[Part Name]=$A51)*M_BOM[RM_Qty_Per_Batch]*IFERROR(INDEX(PP_Grid[#Data],M_BOM[PPGridRow],35),0))+IFERROR(INDEX(M_RawMaterials[固定週次消費量_要入力],MATCH($A51,M_RawMaterials[Part Name],0)),0)</f>
        <v/>
      </c>
      <c r="AJ51">
        <f>SUMPRODUCT((M_BOM[Part Name]=$A51)*M_BOM[RM_Qty_Per_Batch]*IFERROR(INDEX(PP_Grid[#Data],M_BOM[PPGridRow],36),0))+IFERROR(INDEX(M_RawMaterials[固定週次消費量_要入力],MATCH($A51,M_RawMaterials[Part Name],0)),0)</f>
        <v/>
      </c>
      <c r="AK51">
        <f>SUMPRODUCT((M_BOM[Part Name]=$A51)*M_BOM[RM_Qty_Per_Batch]*IFERROR(INDEX(PP_Grid[#Data],M_BOM[PPGridRow],37),0))+IFERROR(INDEX(M_RawMaterials[固定週次消費量_要入力],MATCH($A51,M_RawMaterials[Part Name],0)),0)</f>
        <v/>
      </c>
      <c r="AL51">
        <f>SUMPRODUCT((M_BOM[Part Name]=$A51)*M_BOM[RM_Qty_Per_Batch]*IFERROR(INDEX(PP_Grid[#Data],M_BOM[PPGridRow],38),0))+IFERROR(INDEX(M_RawMaterials[固定週次消費量_要入力],MATCH($A51,M_RawMaterials[Part Name],0)),0)</f>
        <v/>
      </c>
      <c r="AM51">
        <f>SUMPRODUCT((M_BOM[Part Name]=$A51)*M_BOM[RM_Qty_Per_Batch]*IFERROR(INDEX(PP_Grid[#Data],M_BOM[PPGridRow],39),0))+IFERROR(INDEX(M_RawMaterials[固定週次消費量_要入力],MATCH($A51,M_RawMaterials[Part Name],0)),0)</f>
        <v/>
      </c>
      <c r="AN51">
        <f>SUMPRODUCT((M_BOM[Part Name]=$A51)*M_BOM[RM_Qty_Per_Batch]*IFERROR(INDEX(PP_Grid[#Data],M_BOM[PPGridRow],40),0))+IFERROR(INDEX(M_RawMaterials[固定週次消費量_要入力],MATCH($A51,M_RawMaterials[Part Name],0)),0)</f>
        <v/>
      </c>
      <c r="AO51">
        <f>SUMPRODUCT((M_BOM[Part Name]=$A51)*M_BOM[RM_Qty_Per_Batch]*IFERROR(INDEX(PP_Grid[#Data],M_BOM[PPGridRow],41),0))+IFERROR(INDEX(M_RawMaterials[固定週次消費量_要入力],MATCH($A51,M_RawMaterials[Part Name],0)),0)</f>
        <v/>
      </c>
      <c r="AP51">
        <f>SUMPRODUCT((M_BOM[Part Name]=$A51)*M_BOM[RM_Qty_Per_Batch]*IFERROR(INDEX(PP_Grid[#Data],M_BOM[PPGridRow],42),0))+IFERROR(INDEX(M_RawMaterials[固定週次消費量_要入力],MATCH($A51,M_RawMaterials[Part Name],0)),0)</f>
        <v/>
      </c>
      <c r="AQ51">
        <f>SUMPRODUCT((M_BOM[Part Name]=$A51)*M_BOM[RM_Qty_Per_Batch]*IFERROR(INDEX(PP_Grid[#Data],M_BOM[PPGridRow],43),0))+IFERROR(INDEX(M_RawMaterials[固定週次消費量_要入力],MATCH($A51,M_RawMaterials[Part Name],0)),0)</f>
        <v/>
      </c>
      <c r="AR51">
        <f>SUMPRODUCT((M_BOM[Part Name]=$A51)*M_BOM[RM_Qty_Per_Batch]*IFERROR(INDEX(PP_Grid[#Data],M_BOM[PPGridRow],44),0))+IFERROR(INDEX(M_RawMaterials[固定週次消費量_要入力],MATCH($A51,M_RawMaterials[Part Name],0)),0)</f>
        <v/>
      </c>
      <c r="AS51">
        <f>SUMPRODUCT((M_BOM[Part Name]=$A51)*M_BOM[RM_Qty_Per_Batch]*IFERROR(INDEX(PP_Grid[#Data],M_BOM[PPGridRow],45),0))+IFERROR(INDEX(M_RawMaterials[固定週次消費量_要入力],MATCH($A51,M_RawMaterials[Part Name],0)),0)</f>
        <v/>
      </c>
      <c r="AT51">
        <f>SUMPRODUCT((M_BOM[Part Name]=$A51)*M_BOM[RM_Qty_Per_Batch]*IFERROR(INDEX(PP_Grid[#Data],M_BOM[PPGridRow],46),0))+IFERROR(INDEX(M_RawMaterials[固定週次消費量_要入力],MATCH($A51,M_RawMaterials[Part Name],0)),0)</f>
        <v/>
      </c>
      <c r="AU51">
        <f>SUMPRODUCT((M_BOM[Part Name]=$A51)*M_BOM[RM_Qty_Per_Batch]*IFERROR(INDEX(PP_Grid[#Data],M_BOM[PPGridRow],47),0))+IFERROR(INDEX(M_RawMaterials[固定週次消費量_要入力],MATCH($A51,M_RawMaterials[Part Name],0)),0)</f>
        <v/>
      </c>
      <c r="AV51">
        <f>SUMPRODUCT((M_BOM[Part Name]=$A51)*M_BOM[RM_Qty_Per_Batch]*IFERROR(INDEX(PP_Grid[#Data],M_BOM[PPGridRow],48),0))+IFERROR(INDEX(M_RawMaterials[固定週次消費量_要入力],MATCH($A51,M_RawMaterials[Part Name],0)),0)</f>
        <v/>
      </c>
      <c r="AW51">
        <f>SUMPRODUCT((M_BOM[Part Name]=$A51)*M_BOM[RM_Qty_Per_Batch]*IFERROR(INDEX(PP_Grid[#Data],M_BOM[PPGridRow],49),0))+IFERROR(INDEX(M_RawMaterials[固定週次消費量_要入力],MATCH($A51,M_RawMaterials[Part Name],0)),0)</f>
        <v/>
      </c>
      <c r="AX51">
        <f>SUMPRODUCT((M_BOM[Part Name]=$A51)*M_BOM[RM_Qty_Per_Batch]*IFERROR(INDEX(PP_Grid[#Data],M_BOM[PPGridRow],50),0))+IFERROR(INDEX(M_RawMaterials[固定週次消費量_要入力],MATCH($A51,M_RawMaterials[Part Name],0)),0)</f>
        <v/>
      </c>
      <c r="AY51">
        <f>SUMPRODUCT((M_BOM[Part Name]=$A51)*M_BOM[RM_Qty_Per_Batch]*IFERROR(INDEX(PP_Grid[#Data],M_BOM[PPGridRow],51),0))+IFERROR(INDEX(M_RawMaterials[固定週次消費量_要入力],MATCH($A51,M_RawMaterials[Part Name],0)),0)</f>
        <v/>
      </c>
      <c r="AZ51">
        <f>SUMPRODUCT((M_BOM[Part Name]=$A51)*M_BOM[RM_Qty_Per_Batch]*IFERROR(INDEX(PP_Grid[#Data],M_BOM[PPGridRow],52),0))+IFERROR(INDEX(M_RawMaterials[固定週次消費量_要入力],MATCH($A51,M_RawMaterials[Part Name],0)),0)</f>
        <v/>
      </c>
      <c r="BA51">
        <f>SUMPRODUCT((M_BOM[Part Name]=$A51)*M_BOM[RM_Qty_Per_Batch]*IFERROR(INDEX(PP_Grid[#Data],M_BOM[PPGridRow],53),0))+IFERROR(INDEX(M_RawMaterials[固定週次消費量_要入力],MATCH($A51,M_RawMaterials[Part Name],0)),0)</f>
        <v/>
      </c>
      <c r="BB51">
        <f>SUMPRODUCT((M_BOM[Part Name]=$A51)*M_BOM[RM_Qty_Per_Batch]*IFERROR(INDEX(PP_Grid[#Data],M_BOM[PPGridRow],54),0))+IFERROR(INDEX(M_RawMaterials[固定週次消費量_要入力],MATCH($A51,M_RawMaterials[Part Name],0)),0)</f>
        <v/>
      </c>
      <c r="BC51">
        <f>SUMPRODUCT((M_BOM[Part Name]=$A51)*M_BOM[RM_Qty_Per_Batch]*IFERROR(INDEX(PP_Grid[#Data],M_BOM[PPGridRow],55),0))+IFERROR(INDEX(M_RawMaterials[固定週次消費量_要入力],MATCH($A51,M_RawMaterials[Part Name],0)),0)</f>
        <v/>
      </c>
      <c r="BD51">
        <f>SUMPRODUCT((M_BOM[Part Name]=$A51)*M_BOM[RM_Qty_Per_Batch]*IFERROR(INDEX(PP_Grid[#Data],M_BOM[PPGridRow],56),0))+IFERROR(INDEX(M_RawMaterials[固定週次消費量_要入力],MATCH($A51,M_RawMaterials[Part Name],0)),0)</f>
        <v/>
      </c>
      <c r="BE51">
        <f>SUMPRODUCT((M_BOM[Part Name]=$A51)*M_BOM[RM_Qty_Per_Batch]*IFERROR(INDEX(PP_Grid[#Data],M_BOM[PPGridRow],57),0))+IFERROR(INDEX(M_RawMaterials[固定週次消費量_要入力],MATCH($A51,M_RawMaterials[Part Name],0)),0)</f>
        <v/>
      </c>
      <c r="BF51">
        <f>SUMPRODUCT((M_BOM[Part Name]=$A51)*M_BOM[RM_Qty_Per_Batch]*IFERROR(INDEX(PP_Grid[#Data],M_BOM[PPGridRow],58),0))+IFERROR(INDEX(M_RawMaterials[固定週次消費量_要入力],MATCH($A51,M_RawMaterials[Part Name],0)),0)</f>
        <v/>
      </c>
      <c r="BG51">
        <f>SUMPRODUCT((M_BOM[Part Name]=$A51)*M_BOM[RM_Qty_Per_Batch]*IFERROR(INDEX(PP_Grid[#Data],M_BOM[PPGridRow],59),0))+IFERROR(INDEX(M_RawMaterials[固定週次消費量_要入力],MATCH($A51,M_RawMaterials[Part Name],0)),0)</f>
        <v/>
      </c>
      <c r="BH51">
        <f>SUMPRODUCT((M_BOM[Part Name]=$A51)*M_BOM[RM_Qty_Per_Batch]*IFERROR(INDEX(PP_Grid[#Data],M_BOM[PPGridRow],60),0))+IFERROR(INDEX(M_RawMaterials[固定週次消費量_要入力],MATCH($A51,M_RawMaterials[Part Name],0)),0)</f>
        <v/>
      </c>
      <c r="BI51">
        <f>SUMPRODUCT((M_BOM[Part Name]=$A51)*M_BOM[RM_Qty_Per_Batch]*IFERROR(INDEX(PP_Grid[#Data],M_BOM[PPGridRow],61),0))+IFERROR(INDEX(M_RawMaterials[固定週次消費量_要入力],MATCH($A51,M_RawMaterials[Part Name],0)),0)</f>
        <v/>
      </c>
      <c r="BJ51">
        <f>SUMPRODUCT((M_BOM[Part Name]=$A51)*M_BOM[RM_Qty_Per_Batch]*IFERROR(INDEX(PP_Grid[#Data],M_BOM[PPGridRow],62),0))+IFERROR(INDEX(M_RawMaterials[固定週次消費量_要入力],MATCH($A51,M_RawMaterials[Part Name],0)),0)</f>
        <v/>
      </c>
      <c r="BK51">
        <f>SUMPRODUCT((M_BOM[Part Name]=$A51)*M_BOM[RM_Qty_Per_Batch]*IFERROR(INDEX(PP_Grid[#Data],M_BOM[PPGridRow],63),0))+IFERROR(INDEX(M_RawMaterials[固定週次消費量_要入力],MATCH($A51,M_RawMaterials[Part Name],0)),0)</f>
        <v/>
      </c>
      <c r="BL51">
        <f>SUMPRODUCT((M_BOM[Part Name]=$A51)*M_BOM[RM_Qty_Per_Batch]*IFERROR(INDEX(PP_Grid[#Data],M_BOM[PPGridRow],64),0))+IFERROR(INDEX(M_RawMaterials[固定週次消費量_要入力],MATCH($A51,M_RawMaterials[Part Name],0)),0)</f>
        <v/>
      </c>
      <c r="BM51">
        <f>SUMPRODUCT((M_BOM[Part Name]=$A51)*M_BOM[RM_Qty_Per_Batch]*IFERROR(INDEX(PP_Grid[#Data],M_BOM[PPGridRow],65),0))+IFERROR(INDEX(M_RawMaterials[固定週次消費量_要入力],MATCH($A51,M_RawMaterials[Part Name],0)),0)</f>
        <v/>
      </c>
      <c r="BN51">
        <f>SUMPRODUCT((M_BOM[Part Name]=$A51)*M_BOM[RM_Qty_Per_Batch]*IFERROR(INDEX(PP_Grid[#Data],M_BOM[PPGridRow],66),0))+IFERROR(INDEX(M_RawMaterials[固定週次消費量_要入力],MATCH($A51,M_RawMaterials[Part Name],0)),0)</f>
        <v/>
      </c>
      <c r="BO51">
        <f>SUMPRODUCT((M_BOM[Part Name]=$A51)*M_BOM[RM_Qty_Per_Batch]*IFERROR(INDEX(PP_Grid[#Data],M_BOM[PPGridRow],67),0))+IFERROR(INDEX(M_RawMaterials[固定週次消費量_要入力],MATCH($A51,M_RawMaterials[Part Name],0)),0)</f>
        <v/>
      </c>
      <c r="BP51">
        <f>SUMPRODUCT((M_BOM[Part Name]=$A51)*M_BOM[RM_Qty_Per_Batch]*IFERROR(INDEX(PP_Grid[#Data],M_BOM[PPGridRow],68),0))+IFERROR(INDEX(M_RawMaterials[固定週次消費量_要入力],MATCH($A51,M_RawMaterials[Part Name],0)),0)</f>
        <v/>
      </c>
      <c r="BQ51">
        <f>SUMPRODUCT((M_BOM[Part Name]=$A51)*M_BOM[RM_Qty_Per_Batch]*IFERROR(INDEX(PP_Grid[#Data],M_BOM[PPGridRow],69),0))+IFERROR(INDEX(M_RawMaterials[固定週次消費量_要入力],MATCH($A51,M_RawMaterials[Part Name],0)),0)</f>
        <v/>
      </c>
      <c r="BR51">
        <f>SUMPRODUCT((M_BOM[Part Name]=$A51)*M_BOM[RM_Qty_Per_Batch]*IFERROR(INDEX(PP_Grid[#Data],M_BOM[PPGridRow],70),0))+IFERROR(INDEX(M_RawMaterials[固定週次消費量_要入力],MATCH($A51,M_RawMaterials[Part Name],0)),0)</f>
        <v/>
      </c>
      <c r="BS51">
        <f>SUMPRODUCT((M_BOM[Part Name]=$A51)*M_BOM[RM_Qty_Per_Batch]*IFERROR(INDEX(PP_Grid[#Data],M_BOM[PPGridRow],71),0))+IFERROR(INDEX(M_RawMaterials[固定週次消費量_要入力],MATCH($A51,M_RawMaterials[Part Name],0)),0)</f>
        <v/>
      </c>
      <c r="BT51">
        <f>SUMPRODUCT((M_BOM[Part Name]=$A51)*M_BOM[RM_Qty_Per_Batch]*IFERROR(INDEX(PP_Grid[#Data],M_BOM[PPGridRow],72),0))+IFERROR(INDEX(M_RawMaterials[固定週次消費量_要入力],MATCH($A51,M_RawMaterials[Part Name],0)),0)</f>
        <v/>
      </c>
      <c r="BU51">
        <f>SUMPRODUCT((M_BOM[Part Name]=$A51)*M_BOM[RM_Qty_Per_Batch]*IFERROR(INDEX(PP_Grid[#Data],M_BOM[PPGridRow],73),0))+IFERROR(INDEX(M_RawMaterials[固定週次消費量_要入力],MATCH($A51,M_RawMaterials[Part Name],0)),0)</f>
        <v/>
      </c>
      <c r="BV51">
        <f>SUMPRODUCT((M_BOM[Part Name]=$A51)*M_BOM[RM_Qty_Per_Batch]*IFERROR(INDEX(PP_Grid[#Data],M_BOM[PPGridRow],74),0))+IFERROR(INDEX(M_RawMaterials[固定週次消費量_要入力],MATCH($A51,M_RawMaterials[Part Name],0)),0)</f>
        <v/>
      </c>
      <c r="BW51">
        <f>SUMPRODUCT((M_BOM[Part Name]=$A51)*M_BOM[RM_Qty_Per_Batch]*IFERROR(INDEX(PP_Grid[#Data],M_BOM[PPGridRow],75),0))+IFERROR(INDEX(M_RawMaterials[固定週次消費量_要入力],MATCH($A51,M_RawMaterials[Part Name],0)),0)</f>
        <v/>
      </c>
      <c r="BX51">
        <f>SUMPRODUCT((M_BOM[Part Name]=$A51)*M_BOM[RM_Qty_Per_Batch]*IFERROR(INDEX(PP_Grid[#Data],M_BOM[PPGridRow],76),0))+IFERROR(INDEX(M_RawMaterials[固定週次消費量_要入力],MATCH($A51,M_RawMaterials[Part Name],0)),0)</f>
        <v/>
      </c>
      <c r="BY51">
        <f>SUMPRODUCT((M_BOM[Part Name]=$A51)*M_BOM[RM_Qty_Per_Batch]*IFERROR(INDEX(PP_Grid[#Data],M_BOM[PPGridRow],77),0))+IFERROR(INDEX(M_RawMaterials[固定週次消費量_要入力],MATCH($A51,M_RawMaterials[Part Name],0)),0)</f>
        <v/>
      </c>
      <c r="BZ51">
        <f>SUMPRODUCT((M_BOM[Part Name]=$A51)*M_BOM[RM_Qty_Per_Batch]*IFERROR(INDEX(PP_Grid[#Data],M_BOM[PPGridRow],78),0))+IFERROR(INDEX(M_RawMaterials[固定週次消費量_要入力],MATCH($A51,M_RawMaterials[Part Name],0)),0)</f>
        <v/>
      </c>
      <c r="CA51">
        <f>SUMPRODUCT((M_BOM[Part Name]=$A51)*M_BOM[RM_Qty_Per_Batch]*IFERROR(INDEX(PP_Grid[#Data],M_BOM[PPGridRow],79),0))+IFERROR(INDEX(M_RawMaterials[固定週次消費量_要入力],MATCH($A51,M_RawMaterials[Part Name],0)),0)</f>
        <v/>
      </c>
      <c r="CB51">
        <f>SUMPRODUCT((M_BOM[Part Name]=$A51)*M_BOM[RM_Qty_Per_Batch]*IFERROR(INDEX(PP_Grid[#Data],M_BOM[PPGridRow],80),0))+IFERROR(INDEX(M_RawMaterials[固定週次消費量_要入力],MATCH($A51,M_RawMaterials[Part Name],0)),0)</f>
        <v/>
      </c>
      <c r="CC51">
        <f>SUMPRODUCT((M_BOM[Part Name]=$A51)*M_BOM[RM_Qty_Per_Batch]*IFERROR(INDEX(PP_Grid[#Data],M_BOM[PPGridRow],81),0))+IFERROR(INDEX(M_RawMaterials[固定週次消費量_要入力],MATCH($A51,M_RawMaterials[Part Name],0)),0)</f>
        <v/>
      </c>
      <c r="CD51">
        <f>SUMPRODUCT((M_BOM[Part Name]=$A51)*M_BOM[RM_Qty_Per_Batch]*IFERROR(INDEX(PP_Grid[#Data],M_BOM[PPGridRow],82),0))+IFERROR(INDEX(M_RawMaterials[固定週次消費量_要入力],MATCH($A51,M_RawMaterials[Part Name],0)),0)</f>
        <v/>
      </c>
      <c r="CE51">
        <f>SUMPRODUCT((M_BOM[Part Name]=$A51)*M_BOM[RM_Qty_Per_Batch]*IFERROR(INDEX(PP_Grid[#Data],M_BOM[PPGridRow],83),0))+IFERROR(INDEX(M_RawMaterials[固定週次消費量_要入力],MATCH($A51,M_RawMaterials[Part Name],0)),0)</f>
        <v/>
      </c>
      <c r="CF51">
        <f>SUMPRODUCT((M_BOM[Part Name]=$A51)*M_BOM[RM_Qty_Per_Batch]*IFERROR(INDEX(PP_Grid[#Data],M_BOM[PPGridRow],84),0))+IFERROR(INDEX(M_RawMaterials[固定週次消費量_要入力],MATCH($A51,M_RawMaterials[Part Name],0)),0)</f>
        <v/>
      </c>
      <c r="CG51">
        <f>SUMPRODUCT((M_BOM[Part Name]=$A51)*M_BOM[RM_Qty_Per_Batch]*IFERROR(INDEX(PP_Grid[#Data],M_BOM[PPGridRow],85),0))+IFERROR(INDEX(M_RawMaterials[固定週次消費量_要入力],MATCH($A51,M_RawMaterials[Part Name],0)),0)</f>
        <v/>
      </c>
      <c r="CH51">
        <f>SUMPRODUCT((M_BOM[Part Name]=$A51)*M_BOM[RM_Qty_Per_Batch]*IFERROR(INDEX(PP_Grid[#Data],M_BOM[PPGridRow],86),0))+IFERROR(INDEX(M_RawMaterials[固定週次消費量_要入力],MATCH($A51,M_RawMaterials[Part Name],0)),0)</f>
        <v/>
      </c>
      <c r="CI51">
        <f>SUMPRODUCT((M_BOM[Part Name]=$A51)*M_BOM[RM_Qty_Per_Batch]*IFERROR(INDEX(PP_Grid[#Data],M_BOM[PPGridRow],87),0))+IFERROR(INDEX(M_RawMaterials[固定週次消費量_要入力],MATCH($A51,M_RawMaterials[Part Name],0)),0)</f>
        <v/>
      </c>
      <c r="CJ51">
        <f>SUMPRODUCT((M_BOM[Part Name]=$A51)*M_BOM[RM_Qty_Per_Batch]*IFERROR(INDEX(PP_Grid[#Data],M_BOM[PPGridRow],88),0))+IFERROR(INDEX(M_RawMaterials[固定週次消費量_要入力],MATCH($A51,M_RawMaterials[Part Name],0)),0)</f>
        <v/>
      </c>
      <c r="CK51">
        <f>SUMPRODUCT((M_BOM[Part Name]=$A51)*M_BOM[RM_Qty_Per_Batch]*IFERROR(INDEX(PP_Grid[#Data],M_BOM[PPGridRow],89),0))+IFERROR(INDEX(M_RawMaterials[固定週次消費量_要入力],MATCH($A51,M_RawMaterials[Part Name],0)),0)</f>
        <v/>
      </c>
      <c r="CL51">
        <f>SUMPRODUCT((M_BOM[Part Name]=$A51)*M_BOM[RM_Qty_Per_Batch]*IFERROR(INDEX(PP_Grid[#Data],M_BOM[PPGridRow],90),0))+IFERROR(INDEX(M_RawMaterials[固定週次消費量_要入力],MATCH($A51,M_RawMaterials[Part Name],0)),0)</f>
        <v/>
      </c>
      <c r="CM51">
        <f>SUMPRODUCT((M_BOM[Part Name]=$A51)*M_BOM[RM_Qty_Per_Batch]*IFERROR(INDEX(PP_Grid[#Data],M_BOM[PPGridRow],91),0))+IFERROR(INDEX(M_RawMaterials[固定週次消費量_要入力],MATCH($A51,M_RawMaterials[Part Name],0)),0)</f>
        <v/>
      </c>
      <c r="CN51">
        <f>SUMPRODUCT((M_BOM[Part Name]=$A51)*M_BOM[RM_Qty_Per_Batch]*IFERROR(INDEX(PP_Grid[#Data],M_BOM[PPGridRow],92),0))+IFERROR(INDEX(M_RawMaterials[固定週次消費量_要入力],MATCH($A51,M_RawMaterials[Part Name],0)),0)</f>
        <v/>
      </c>
      <c r="CO51">
        <f>SUMPRODUCT((M_BOM[Part Name]=$A51)*M_BOM[RM_Qty_Per_Batch]*IFERROR(INDEX(PP_Grid[#Data],M_BOM[PPGridRow],93),0))+IFERROR(INDEX(M_RawMaterials[固定週次消費量_要入力],MATCH($A51,M_RawMaterials[Part Name],0)),0)</f>
        <v/>
      </c>
      <c r="CP51">
        <f>SUMPRODUCT((M_BOM[Part Name]=$A51)*M_BOM[RM_Qty_Per_Batch]*IFERROR(INDEX(PP_Grid[#Data],M_BOM[PPGridRow],94),0))+IFERROR(INDEX(M_RawMaterials[固定週次消費量_要入力],MATCH($A51,M_RawMaterials[Part Name],0)),0)</f>
        <v/>
      </c>
      <c r="CQ51">
        <f>SUMPRODUCT((M_BOM[Part Name]=$A51)*M_BOM[RM_Qty_Per_Batch]*IFERROR(INDEX(PP_Grid[#Data],M_BOM[PPGridRow],95),0))+IFERROR(INDEX(M_RawMaterials[固定週次消費量_要入力],MATCH($A51,M_RawMaterials[Part Name],0)),0)</f>
        <v/>
      </c>
      <c r="CR51">
        <f>SUMPRODUCT((M_BOM[Part Name]=$A51)*M_BOM[RM_Qty_Per_Batch]*IFERROR(INDEX(PP_Grid[#Data],M_BOM[PPGridRow],96),0))+IFERROR(INDEX(M_RawMaterials[固定週次消費量_要入力],MATCH($A51,M_RawMaterials[Part Name],0)),0)</f>
        <v/>
      </c>
      <c r="CS51">
        <f>SUMPRODUCT((M_BOM[Part Name]=$A51)*M_BOM[RM_Qty_Per_Batch]*IFERROR(INDEX(PP_Grid[#Data],M_BOM[PPGridRow],97),0))+IFERROR(INDEX(M_RawMaterials[固定週次消費量_要入力],MATCH($A51,M_RawMaterials[Part Name],0)),0)</f>
        <v/>
      </c>
      <c r="CT51">
        <f>SUMPRODUCT((M_BOM[Part Name]=$A51)*M_BOM[RM_Qty_Per_Batch]*IFERROR(INDEX(PP_Grid[#Data],M_BOM[PPGridRow],98),0))+IFERROR(INDEX(M_RawMaterials[固定週次消費量_要入力],MATCH($A51,M_RawMaterials[Part Name],0)),0)</f>
        <v/>
      </c>
      <c r="CU51">
        <f>SUMPRODUCT((M_BOM[Part Name]=$A51)*M_BOM[RM_Qty_Per_Batch]*IFERROR(INDEX(PP_Grid[#Data],M_BOM[PPGridRow],99),0))+IFERROR(INDEX(M_RawMaterials[固定週次消費量_要入力],MATCH($A51,M_RawMaterials[Part Name],0)),0)</f>
        <v/>
      </c>
      <c r="CV51">
        <f>SUMPRODUCT((M_BOM[Part Name]=$A51)*M_BOM[RM_Qty_Per_Batch]*IFERROR(INDEX(PP_Grid[#Data],M_BOM[PPGridRow],100),0))+IFERROR(INDEX(M_RawMaterials[固定週次消費量_要入力],MATCH($A51,M_RawMaterials[Part Name],0)),0)</f>
        <v/>
      </c>
      <c r="CW51">
        <f>SUMPRODUCT((M_BOM[Part Name]=$A51)*M_BOM[RM_Qty_Per_Batch]*IFERROR(INDEX(PP_Grid[#Data],M_BOM[PPGridRow],101),0))+IFERROR(INDEX(M_RawMaterials[固定週次消費量_要入力],MATCH($A51,M_RawMaterials[Part Name],0)),0)</f>
        <v/>
      </c>
      <c r="CX51">
        <f>SUMPRODUCT((M_BOM[Part Name]=$A51)*M_BOM[RM_Qty_Per_Batch]*IFERROR(INDEX(PP_Grid[#Data],M_BOM[PPGridRow],102),0))+IFERROR(INDEX(M_RawMaterials[固定週次消費量_要入力],MATCH($A51,M_RawMaterials[Part Name],0)),0)</f>
        <v/>
      </c>
      <c r="CY51">
        <f>SUMPRODUCT((M_BOM[Part Name]=$A51)*M_BOM[RM_Qty_Per_Batch]*IFERROR(INDEX(PP_Grid[#Data],M_BOM[PPGridRow],103),0))+IFERROR(INDEX(M_RawMaterials[固定週次消費量_要入力],MATCH($A51,M_RawMaterials[Part Name],0)),0)</f>
        <v/>
      </c>
      <c r="CZ51">
        <f>SUMPRODUCT((M_BOM[Part Name]=$A51)*M_BOM[RM_Qty_Per_Batch]*IFERROR(INDEX(PP_Grid[#Data],M_BOM[PPGridRow],104),0))+IFERROR(INDEX(M_RawMaterials[固定週次消費量_要入力],MATCH($A51,M_RawMaterials[Part Name],0)),0)</f>
        <v/>
      </c>
      <c r="DA51">
        <f>SUMPRODUCT((M_BOM[Part Name]=$A51)*M_BOM[RM_Qty_Per_Batch]*IFERROR(INDEX(PP_Grid[#Data],M_BOM[PPGridRow],105),0))+IFERROR(INDEX(M_RawMaterials[固定週次消費量_要入力],MATCH($A51,M_RawMaterials[Part Name],0)),0)</f>
        <v/>
      </c>
    </row>
    <row r="52">
      <c r="A52" t="inlineStr">
        <is>
          <t>CHEM-1850</t>
        </is>
      </c>
      <c r="B52">
        <f>SUMPRODUCT((M_BOM[Part Name]=$A52)*M_BOM[RM_Qty_Per_Batch]*IFERROR(INDEX(PP_Grid[#Data],M_BOM[PPGridRow],2),0))+IFERROR(INDEX(M_RawMaterials[固定週次消費量_要入力],MATCH($A52,M_RawMaterials[Part Name],0)),0)</f>
        <v/>
      </c>
      <c r="C52">
        <f>SUMPRODUCT((M_BOM[Part Name]=$A52)*M_BOM[RM_Qty_Per_Batch]*IFERROR(INDEX(PP_Grid[#Data],M_BOM[PPGridRow],3),0))+IFERROR(INDEX(M_RawMaterials[固定週次消費量_要入力],MATCH($A52,M_RawMaterials[Part Name],0)),0)</f>
        <v/>
      </c>
      <c r="D52">
        <f>SUMPRODUCT((M_BOM[Part Name]=$A52)*M_BOM[RM_Qty_Per_Batch]*IFERROR(INDEX(PP_Grid[#Data],M_BOM[PPGridRow],4),0))+IFERROR(INDEX(M_RawMaterials[固定週次消費量_要入力],MATCH($A52,M_RawMaterials[Part Name],0)),0)</f>
        <v/>
      </c>
      <c r="E52">
        <f>SUMPRODUCT((M_BOM[Part Name]=$A52)*M_BOM[RM_Qty_Per_Batch]*IFERROR(INDEX(PP_Grid[#Data],M_BOM[PPGridRow],5),0))+IFERROR(INDEX(M_RawMaterials[固定週次消費量_要入力],MATCH($A52,M_RawMaterials[Part Name],0)),0)</f>
        <v/>
      </c>
      <c r="F52">
        <f>SUMPRODUCT((M_BOM[Part Name]=$A52)*M_BOM[RM_Qty_Per_Batch]*IFERROR(INDEX(PP_Grid[#Data],M_BOM[PPGridRow],6),0))+IFERROR(INDEX(M_RawMaterials[固定週次消費量_要入力],MATCH($A52,M_RawMaterials[Part Name],0)),0)</f>
        <v/>
      </c>
      <c r="G52">
        <f>SUMPRODUCT((M_BOM[Part Name]=$A52)*M_BOM[RM_Qty_Per_Batch]*IFERROR(INDEX(PP_Grid[#Data],M_BOM[PPGridRow],7),0))+IFERROR(INDEX(M_RawMaterials[固定週次消費量_要入力],MATCH($A52,M_RawMaterials[Part Name],0)),0)</f>
        <v/>
      </c>
      <c r="H52">
        <f>SUMPRODUCT((M_BOM[Part Name]=$A52)*M_BOM[RM_Qty_Per_Batch]*IFERROR(INDEX(PP_Grid[#Data],M_BOM[PPGridRow],8),0))+IFERROR(INDEX(M_RawMaterials[固定週次消費量_要入力],MATCH($A52,M_RawMaterials[Part Name],0)),0)</f>
        <v/>
      </c>
      <c r="I52">
        <f>SUMPRODUCT((M_BOM[Part Name]=$A52)*M_BOM[RM_Qty_Per_Batch]*IFERROR(INDEX(PP_Grid[#Data],M_BOM[PPGridRow],9),0))+IFERROR(INDEX(M_RawMaterials[固定週次消費量_要入力],MATCH($A52,M_RawMaterials[Part Name],0)),0)</f>
        <v/>
      </c>
      <c r="J52">
        <f>SUMPRODUCT((M_BOM[Part Name]=$A52)*M_BOM[RM_Qty_Per_Batch]*IFERROR(INDEX(PP_Grid[#Data],M_BOM[PPGridRow],10),0))+IFERROR(INDEX(M_RawMaterials[固定週次消費量_要入力],MATCH($A52,M_RawMaterials[Part Name],0)),0)</f>
        <v/>
      </c>
      <c r="K52">
        <f>SUMPRODUCT((M_BOM[Part Name]=$A52)*M_BOM[RM_Qty_Per_Batch]*IFERROR(INDEX(PP_Grid[#Data],M_BOM[PPGridRow],11),0))+IFERROR(INDEX(M_RawMaterials[固定週次消費量_要入力],MATCH($A52,M_RawMaterials[Part Name],0)),0)</f>
        <v/>
      </c>
      <c r="L52">
        <f>SUMPRODUCT((M_BOM[Part Name]=$A52)*M_BOM[RM_Qty_Per_Batch]*IFERROR(INDEX(PP_Grid[#Data],M_BOM[PPGridRow],12),0))+IFERROR(INDEX(M_RawMaterials[固定週次消費量_要入力],MATCH($A52,M_RawMaterials[Part Name],0)),0)</f>
        <v/>
      </c>
      <c r="M52">
        <f>SUMPRODUCT((M_BOM[Part Name]=$A52)*M_BOM[RM_Qty_Per_Batch]*IFERROR(INDEX(PP_Grid[#Data],M_BOM[PPGridRow],13),0))+IFERROR(INDEX(M_RawMaterials[固定週次消費量_要入力],MATCH($A52,M_RawMaterials[Part Name],0)),0)</f>
        <v/>
      </c>
      <c r="N52">
        <f>SUMPRODUCT((M_BOM[Part Name]=$A52)*M_BOM[RM_Qty_Per_Batch]*IFERROR(INDEX(PP_Grid[#Data],M_BOM[PPGridRow],14),0))+IFERROR(INDEX(M_RawMaterials[固定週次消費量_要入力],MATCH($A52,M_RawMaterials[Part Name],0)),0)</f>
        <v/>
      </c>
      <c r="O52">
        <f>SUMPRODUCT((M_BOM[Part Name]=$A52)*M_BOM[RM_Qty_Per_Batch]*IFERROR(INDEX(PP_Grid[#Data],M_BOM[PPGridRow],15),0))+IFERROR(INDEX(M_RawMaterials[固定週次消費量_要入力],MATCH($A52,M_RawMaterials[Part Name],0)),0)</f>
        <v/>
      </c>
      <c r="P52">
        <f>SUMPRODUCT((M_BOM[Part Name]=$A52)*M_BOM[RM_Qty_Per_Batch]*IFERROR(INDEX(PP_Grid[#Data],M_BOM[PPGridRow],16),0))+IFERROR(INDEX(M_RawMaterials[固定週次消費量_要入力],MATCH($A52,M_RawMaterials[Part Name],0)),0)</f>
        <v/>
      </c>
      <c r="Q52">
        <f>SUMPRODUCT((M_BOM[Part Name]=$A52)*M_BOM[RM_Qty_Per_Batch]*IFERROR(INDEX(PP_Grid[#Data],M_BOM[PPGridRow],17),0))+IFERROR(INDEX(M_RawMaterials[固定週次消費量_要入力],MATCH($A52,M_RawMaterials[Part Name],0)),0)</f>
        <v/>
      </c>
      <c r="R52">
        <f>SUMPRODUCT((M_BOM[Part Name]=$A52)*M_BOM[RM_Qty_Per_Batch]*IFERROR(INDEX(PP_Grid[#Data],M_BOM[PPGridRow],18),0))+IFERROR(INDEX(M_RawMaterials[固定週次消費量_要入力],MATCH($A52,M_RawMaterials[Part Name],0)),0)</f>
        <v/>
      </c>
      <c r="S52">
        <f>SUMPRODUCT((M_BOM[Part Name]=$A52)*M_BOM[RM_Qty_Per_Batch]*IFERROR(INDEX(PP_Grid[#Data],M_BOM[PPGridRow],19),0))+IFERROR(INDEX(M_RawMaterials[固定週次消費量_要入力],MATCH($A52,M_RawMaterials[Part Name],0)),0)</f>
        <v/>
      </c>
      <c r="T52">
        <f>SUMPRODUCT((M_BOM[Part Name]=$A52)*M_BOM[RM_Qty_Per_Batch]*IFERROR(INDEX(PP_Grid[#Data],M_BOM[PPGridRow],20),0))+IFERROR(INDEX(M_RawMaterials[固定週次消費量_要入力],MATCH($A52,M_RawMaterials[Part Name],0)),0)</f>
        <v/>
      </c>
      <c r="U52">
        <f>SUMPRODUCT((M_BOM[Part Name]=$A52)*M_BOM[RM_Qty_Per_Batch]*IFERROR(INDEX(PP_Grid[#Data],M_BOM[PPGridRow],21),0))+IFERROR(INDEX(M_RawMaterials[固定週次消費量_要入力],MATCH($A52,M_RawMaterials[Part Name],0)),0)</f>
        <v/>
      </c>
      <c r="V52">
        <f>SUMPRODUCT((M_BOM[Part Name]=$A52)*M_BOM[RM_Qty_Per_Batch]*IFERROR(INDEX(PP_Grid[#Data],M_BOM[PPGridRow],22),0))+IFERROR(INDEX(M_RawMaterials[固定週次消費量_要入力],MATCH($A52,M_RawMaterials[Part Name],0)),0)</f>
        <v/>
      </c>
      <c r="W52">
        <f>SUMPRODUCT((M_BOM[Part Name]=$A52)*M_BOM[RM_Qty_Per_Batch]*IFERROR(INDEX(PP_Grid[#Data],M_BOM[PPGridRow],23),0))+IFERROR(INDEX(M_RawMaterials[固定週次消費量_要入力],MATCH($A52,M_RawMaterials[Part Name],0)),0)</f>
        <v/>
      </c>
      <c r="X52">
        <f>SUMPRODUCT((M_BOM[Part Name]=$A52)*M_BOM[RM_Qty_Per_Batch]*IFERROR(INDEX(PP_Grid[#Data],M_BOM[PPGridRow],24),0))+IFERROR(INDEX(M_RawMaterials[固定週次消費量_要入力],MATCH($A52,M_RawMaterials[Part Name],0)),0)</f>
        <v/>
      </c>
      <c r="Y52">
        <f>SUMPRODUCT((M_BOM[Part Name]=$A52)*M_BOM[RM_Qty_Per_Batch]*IFERROR(INDEX(PP_Grid[#Data],M_BOM[PPGridRow],25),0))+IFERROR(INDEX(M_RawMaterials[固定週次消費量_要入力],MATCH($A52,M_RawMaterials[Part Name],0)),0)</f>
        <v/>
      </c>
      <c r="Z52">
        <f>SUMPRODUCT((M_BOM[Part Name]=$A52)*M_BOM[RM_Qty_Per_Batch]*IFERROR(INDEX(PP_Grid[#Data],M_BOM[PPGridRow],26),0))+IFERROR(INDEX(M_RawMaterials[固定週次消費量_要入力],MATCH($A52,M_RawMaterials[Part Name],0)),0)</f>
        <v/>
      </c>
      <c r="AA52">
        <f>SUMPRODUCT((M_BOM[Part Name]=$A52)*M_BOM[RM_Qty_Per_Batch]*IFERROR(INDEX(PP_Grid[#Data],M_BOM[PPGridRow],27),0))+IFERROR(INDEX(M_RawMaterials[固定週次消費量_要入力],MATCH($A52,M_RawMaterials[Part Name],0)),0)</f>
        <v/>
      </c>
      <c r="AB52">
        <f>SUMPRODUCT((M_BOM[Part Name]=$A52)*M_BOM[RM_Qty_Per_Batch]*IFERROR(INDEX(PP_Grid[#Data],M_BOM[PPGridRow],28),0))+IFERROR(INDEX(M_RawMaterials[固定週次消費量_要入力],MATCH($A52,M_RawMaterials[Part Name],0)),0)</f>
        <v/>
      </c>
      <c r="AC52">
        <f>SUMPRODUCT((M_BOM[Part Name]=$A52)*M_BOM[RM_Qty_Per_Batch]*IFERROR(INDEX(PP_Grid[#Data],M_BOM[PPGridRow],29),0))+IFERROR(INDEX(M_RawMaterials[固定週次消費量_要入力],MATCH($A52,M_RawMaterials[Part Name],0)),0)</f>
        <v/>
      </c>
      <c r="AD52">
        <f>SUMPRODUCT((M_BOM[Part Name]=$A52)*M_BOM[RM_Qty_Per_Batch]*IFERROR(INDEX(PP_Grid[#Data],M_BOM[PPGridRow],30),0))+IFERROR(INDEX(M_RawMaterials[固定週次消費量_要入力],MATCH($A52,M_RawMaterials[Part Name],0)),0)</f>
        <v/>
      </c>
      <c r="AE52">
        <f>SUMPRODUCT((M_BOM[Part Name]=$A52)*M_BOM[RM_Qty_Per_Batch]*IFERROR(INDEX(PP_Grid[#Data],M_BOM[PPGridRow],31),0))+IFERROR(INDEX(M_RawMaterials[固定週次消費量_要入力],MATCH($A52,M_RawMaterials[Part Name],0)),0)</f>
        <v/>
      </c>
      <c r="AF52">
        <f>SUMPRODUCT((M_BOM[Part Name]=$A52)*M_BOM[RM_Qty_Per_Batch]*IFERROR(INDEX(PP_Grid[#Data],M_BOM[PPGridRow],32),0))+IFERROR(INDEX(M_RawMaterials[固定週次消費量_要入力],MATCH($A52,M_RawMaterials[Part Name],0)),0)</f>
        <v/>
      </c>
      <c r="AG52">
        <f>SUMPRODUCT((M_BOM[Part Name]=$A52)*M_BOM[RM_Qty_Per_Batch]*IFERROR(INDEX(PP_Grid[#Data],M_BOM[PPGridRow],33),0))+IFERROR(INDEX(M_RawMaterials[固定週次消費量_要入力],MATCH($A52,M_RawMaterials[Part Name],0)),0)</f>
        <v/>
      </c>
      <c r="AH52">
        <f>SUMPRODUCT((M_BOM[Part Name]=$A52)*M_BOM[RM_Qty_Per_Batch]*IFERROR(INDEX(PP_Grid[#Data],M_BOM[PPGridRow],34),0))+IFERROR(INDEX(M_RawMaterials[固定週次消費量_要入力],MATCH($A52,M_RawMaterials[Part Name],0)),0)</f>
        <v/>
      </c>
      <c r="AI52">
        <f>SUMPRODUCT((M_BOM[Part Name]=$A52)*M_BOM[RM_Qty_Per_Batch]*IFERROR(INDEX(PP_Grid[#Data],M_BOM[PPGridRow],35),0))+IFERROR(INDEX(M_RawMaterials[固定週次消費量_要入力],MATCH($A52,M_RawMaterials[Part Name],0)),0)</f>
        <v/>
      </c>
      <c r="AJ52">
        <f>SUMPRODUCT((M_BOM[Part Name]=$A52)*M_BOM[RM_Qty_Per_Batch]*IFERROR(INDEX(PP_Grid[#Data],M_BOM[PPGridRow],36),0))+IFERROR(INDEX(M_RawMaterials[固定週次消費量_要入力],MATCH($A52,M_RawMaterials[Part Name],0)),0)</f>
        <v/>
      </c>
      <c r="AK52">
        <f>SUMPRODUCT((M_BOM[Part Name]=$A52)*M_BOM[RM_Qty_Per_Batch]*IFERROR(INDEX(PP_Grid[#Data],M_BOM[PPGridRow],37),0))+IFERROR(INDEX(M_RawMaterials[固定週次消費量_要入力],MATCH($A52,M_RawMaterials[Part Name],0)),0)</f>
        <v/>
      </c>
      <c r="AL52">
        <f>SUMPRODUCT((M_BOM[Part Name]=$A52)*M_BOM[RM_Qty_Per_Batch]*IFERROR(INDEX(PP_Grid[#Data],M_BOM[PPGridRow],38),0))+IFERROR(INDEX(M_RawMaterials[固定週次消費量_要入力],MATCH($A52,M_RawMaterials[Part Name],0)),0)</f>
        <v/>
      </c>
      <c r="AM52">
        <f>SUMPRODUCT((M_BOM[Part Name]=$A52)*M_BOM[RM_Qty_Per_Batch]*IFERROR(INDEX(PP_Grid[#Data],M_BOM[PPGridRow],39),0))+IFERROR(INDEX(M_RawMaterials[固定週次消費量_要入力],MATCH($A52,M_RawMaterials[Part Name],0)),0)</f>
        <v/>
      </c>
      <c r="AN52">
        <f>SUMPRODUCT((M_BOM[Part Name]=$A52)*M_BOM[RM_Qty_Per_Batch]*IFERROR(INDEX(PP_Grid[#Data],M_BOM[PPGridRow],40),0))+IFERROR(INDEX(M_RawMaterials[固定週次消費量_要入力],MATCH($A52,M_RawMaterials[Part Name],0)),0)</f>
        <v/>
      </c>
      <c r="AO52">
        <f>SUMPRODUCT((M_BOM[Part Name]=$A52)*M_BOM[RM_Qty_Per_Batch]*IFERROR(INDEX(PP_Grid[#Data],M_BOM[PPGridRow],41),0))+IFERROR(INDEX(M_RawMaterials[固定週次消費量_要入力],MATCH($A52,M_RawMaterials[Part Name],0)),0)</f>
        <v/>
      </c>
      <c r="AP52">
        <f>SUMPRODUCT((M_BOM[Part Name]=$A52)*M_BOM[RM_Qty_Per_Batch]*IFERROR(INDEX(PP_Grid[#Data],M_BOM[PPGridRow],42),0))+IFERROR(INDEX(M_RawMaterials[固定週次消費量_要入力],MATCH($A52,M_RawMaterials[Part Name],0)),0)</f>
        <v/>
      </c>
      <c r="AQ52">
        <f>SUMPRODUCT((M_BOM[Part Name]=$A52)*M_BOM[RM_Qty_Per_Batch]*IFERROR(INDEX(PP_Grid[#Data],M_BOM[PPGridRow],43),0))+IFERROR(INDEX(M_RawMaterials[固定週次消費量_要入力],MATCH($A52,M_RawMaterials[Part Name],0)),0)</f>
        <v/>
      </c>
      <c r="AR52">
        <f>SUMPRODUCT((M_BOM[Part Name]=$A52)*M_BOM[RM_Qty_Per_Batch]*IFERROR(INDEX(PP_Grid[#Data],M_BOM[PPGridRow],44),0))+IFERROR(INDEX(M_RawMaterials[固定週次消費量_要入力],MATCH($A52,M_RawMaterials[Part Name],0)),0)</f>
        <v/>
      </c>
      <c r="AS52">
        <f>SUMPRODUCT((M_BOM[Part Name]=$A52)*M_BOM[RM_Qty_Per_Batch]*IFERROR(INDEX(PP_Grid[#Data],M_BOM[PPGridRow],45),0))+IFERROR(INDEX(M_RawMaterials[固定週次消費量_要入力],MATCH($A52,M_RawMaterials[Part Name],0)),0)</f>
        <v/>
      </c>
      <c r="AT52">
        <f>SUMPRODUCT((M_BOM[Part Name]=$A52)*M_BOM[RM_Qty_Per_Batch]*IFERROR(INDEX(PP_Grid[#Data],M_BOM[PPGridRow],46),0))+IFERROR(INDEX(M_RawMaterials[固定週次消費量_要入力],MATCH($A52,M_RawMaterials[Part Name],0)),0)</f>
        <v/>
      </c>
      <c r="AU52">
        <f>SUMPRODUCT((M_BOM[Part Name]=$A52)*M_BOM[RM_Qty_Per_Batch]*IFERROR(INDEX(PP_Grid[#Data],M_BOM[PPGridRow],47),0))+IFERROR(INDEX(M_RawMaterials[固定週次消費量_要入力],MATCH($A52,M_RawMaterials[Part Name],0)),0)</f>
        <v/>
      </c>
      <c r="AV52">
        <f>SUMPRODUCT((M_BOM[Part Name]=$A52)*M_BOM[RM_Qty_Per_Batch]*IFERROR(INDEX(PP_Grid[#Data],M_BOM[PPGridRow],48),0))+IFERROR(INDEX(M_RawMaterials[固定週次消費量_要入力],MATCH($A52,M_RawMaterials[Part Name],0)),0)</f>
        <v/>
      </c>
      <c r="AW52">
        <f>SUMPRODUCT((M_BOM[Part Name]=$A52)*M_BOM[RM_Qty_Per_Batch]*IFERROR(INDEX(PP_Grid[#Data],M_BOM[PPGridRow],49),0))+IFERROR(INDEX(M_RawMaterials[固定週次消費量_要入力],MATCH($A52,M_RawMaterials[Part Name],0)),0)</f>
        <v/>
      </c>
      <c r="AX52">
        <f>SUMPRODUCT((M_BOM[Part Name]=$A52)*M_BOM[RM_Qty_Per_Batch]*IFERROR(INDEX(PP_Grid[#Data],M_BOM[PPGridRow],50),0))+IFERROR(INDEX(M_RawMaterials[固定週次消費量_要入力],MATCH($A52,M_RawMaterials[Part Name],0)),0)</f>
        <v/>
      </c>
      <c r="AY52">
        <f>SUMPRODUCT((M_BOM[Part Name]=$A52)*M_BOM[RM_Qty_Per_Batch]*IFERROR(INDEX(PP_Grid[#Data],M_BOM[PPGridRow],51),0))+IFERROR(INDEX(M_RawMaterials[固定週次消費量_要入力],MATCH($A52,M_RawMaterials[Part Name],0)),0)</f>
        <v/>
      </c>
      <c r="AZ52">
        <f>SUMPRODUCT((M_BOM[Part Name]=$A52)*M_BOM[RM_Qty_Per_Batch]*IFERROR(INDEX(PP_Grid[#Data],M_BOM[PPGridRow],52),0))+IFERROR(INDEX(M_RawMaterials[固定週次消費量_要入力],MATCH($A52,M_RawMaterials[Part Name],0)),0)</f>
        <v/>
      </c>
      <c r="BA52">
        <f>SUMPRODUCT((M_BOM[Part Name]=$A52)*M_BOM[RM_Qty_Per_Batch]*IFERROR(INDEX(PP_Grid[#Data],M_BOM[PPGridRow],53),0))+IFERROR(INDEX(M_RawMaterials[固定週次消費量_要入力],MATCH($A52,M_RawMaterials[Part Name],0)),0)</f>
        <v/>
      </c>
      <c r="BB52">
        <f>SUMPRODUCT((M_BOM[Part Name]=$A52)*M_BOM[RM_Qty_Per_Batch]*IFERROR(INDEX(PP_Grid[#Data],M_BOM[PPGridRow],54),0))+IFERROR(INDEX(M_RawMaterials[固定週次消費量_要入力],MATCH($A52,M_RawMaterials[Part Name],0)),0)</f>
        <v/>
      </c>
      <c r="BC52">
        <f>SUMPRODUCT((M_BOM[Part Name]=$A52)*M_BOM[RM_Qty_Per_Batch]*IFERROR(INDEX(PP_Grid[#Data],M_BOM[PPGridRow],55),0))+IFERROR(INDEX(M_RawMaterials[固定週次消費量_要入力],MATCH($A52,M_RawMaterials[Part Name],0)),0)</f>
        <v/>
      </c>
      <c r="BD52">
        <f>SUMPRODUCT((M_BOM[Part Name]=$A52)*M_BOM[RM_Qty_Per_Batch]*IFERROR(INDEX(PP_Grid[#Data],M_BOM[PPGridRow],56),0))+IFERROR(INDEX(M_RawMaterials[固定週次消費量_要入力],MATCH($A52,M_RawMaterials[Part Name],0)),0)</f>
        <v/>
      </c>
      <c r="BE52">
        <f>SUMPRODUCT((M_BOM[Part Name]=$A52)*M_BOM[RM_Qty_Per_Batch]*IFERROR(INDEX(PP_Grid[#Data],M_BOM[PPGridRow],57),0))+IFERROR(INDEX(M_RawMaterials[固定週次消費量_要入力],MATCH($A52,M_RawMaterials[Part Name],0)),0)</f>
        <v/>
      </c>
      <c r="BF52">
        <f>SUMPRODUCT((M_BOM[Part Name]=$A52)*M_BOM[RM_Qty_Per_Batch]*IFERROR(INDEX(PP_Grid[#Data],M_BOM[PPGridRow],58),0))+IFERROR(INDEX(M_RawMaterials[固定週次消費量_要入力],MATCH($A52,M_RawMaterials[Part Name],0)),0)</f>
        <v/>
      </c>
      <c r="BG52">
        <f>SUMPRODUCT((M_BOM[Part Name]=$A52)*M_BOM[RM_Qty_Per_Batch]*IFERROR(INDEX(PP_Grid[#Data],M_BOM[PPGridRow],59),0))+IFERROR(INDEX(M_RawMaterials[固定週次消費量_要入力],MATCH($A52,M_RawMaterials[Part Name],0)),0)</f>
        <v/>
      </c>
      <c r="BH52">
        <f>SUMPRODUCT((M_BOM[Part Name]=$A52)*M_BOM[RM_Qty_Per_Batch]*IFERROR(INDEX(PP_Grid[#Data],M_BOM[PPGridRow],60),0))+IFERROR(INDEX(M_RawMaterials[固定週次消費量_要入力],MATCH($A52,M_RawMaterials[Part Name],0)),0)</f>
        <v/>
      </c>
      <c r="BI52">
        <f>SUMPRODUCT((M_BOM[Part Name]=$A52)*M_BOM[RM_Qty_Per_Batch]*IFERROR(INDEX(PP_Grid[#Data],M_BOM[PPGridRow],61),0))+IFERROR(INDEX(M_RawMaterials[固定週次消費量_要入力],MATCH($A52,M_RawMaterials[Part Name],0)),0)</f>
        <v/>
      </c>
      <c r="BJ52">
        <f>SUMPRODUCT((M_BOM[Part Name]=$A52)*M_BOM[RM_Qty_Per_Batch]*IFERROR(INDEX(PP_Grid[#Data],M_BOM[PPGridRow],62),0))+IFERROR(INDEX(M_RawMaterials[固定週次消費量_要入力],MATCH($A52,M_RawMaterials[Part Name],0)),0)</f>
        <v/>
      </c>
      <c r="BK52">
        <f>SUMPRODUCT((M_BOM[Part Name]=$A52)*M_BOM[RM_Qty_Per_Batch]*IFERROR(INDEX(PP_Grid[#Data],M_BOM[PPGridRow],63),0))+IFERROR(INDEX(M_RawMaterials[固定週次消費量_要入力],MATCH($A52,M_RawMaterials[Part Name],0)),0)</f>
        <v/>
      </c>
      <c r="BL52">
        <f>SUMPRODUCT((M_BOM[Part Name]=$A52)*M_BOM[RM_Qty_Per_Batch]*IFERROR(INDEX(PP_Grid[#Data],M_BOM[PPGridRow],64),0))+IFERROR(INDEX(M_RawMaterials[固定週次消費量_要入力],MATCH($A52,M_RawMaterials[Part Name],0)),0)</f>
        <v/>
      </c>
      <c r="BM52">
        <f>SUMPRODUCT((M_BOM[Part Name]=$A52)*M_BOM[RM_Qty_Per_Batch]*IFERROR(INDEX(PP_Grid[#Data],M_BOM[PPGridRow],65),0))+IFERROR(INDEX(M_RawMaterials[固定週次消費量_要入力],MATCH($A52,M_RawMaterials[Part Name],0)),0)</f>
        <v/>
      </c>
      <c r="BN52">
        <f>SUMPRODUCT((M_BOM[Part Name]=$A52)*M_BOM[RM_Qty_Per_Batch]*IFERROR(INDEX(PP_Grid[#Data],M_BOM[PPGridRow],66),0))+IFERROR(INDEX(M_RawMaterials[固定週次消費量_要入力],MATCH($A52,M_RawMaterials[Part Name],0)),0)</f>
        <v/>
      </c>
      <c r="BO52">
        <f>SUMPRODUCT((M_BOM[Part Name]=$A52)*M_BOM[RM_Qty_Per_Batch]*IFERROR(INDEX(PP_Grid[#Data],M_BOM[PPGridRow],67),0))+IFERROR(INDEX(M_RawMaterials[固定週次消費量_要入力],MATCH($A52,M_RawMaterials[Part Name],0)),0)</f>
        <v/>
      </c>
      <c r="BP52">
        <f>SUMPRODUCT((M_BOM[Part Name]=$A52)*M_BOM[RM_Qty_Per_Batch]*IFERROR(INDEX(PP_Grid[#Data],M_BOM[PPGridRow],68),0))+IFERROR(INDEX(M_RawMaterials[固定週次消費量_要入力],MATCH($A52,M_RawMaterials[Part Name],0)),0)</f>
        <v/>
      </c>
      <c r="BQ52">
        <f>SUMPRODUCT((M_BOM[Part Name]=$A52)*M_BOM[RM_Qty_Per_Batch]*IFERROR(INDEX(PP_Grid[#Data],M_BOM[PPGridRow],69),0))+IFERROR(INDEX(M_RawMaterials[固定週次消費量_要入力],MATCH($A52,M_RawMaterials[Part Name],0)),0)</f>
        <v/>
      </c>
      <c r="BR52">
        <f>SUMPRODUCT((M_BOM[Part Name]=$A52)*M_BOM[RM_Qty_Per_Batch]*IFERROR(INDEX(PP_Grid[#Data],M_BOM[PPGridRow],70),0))+IFERROR(INDEX(M_RawMaterials[固定週次消費量_要入力],MATCH($A52,M_RawMaterials[Part Name],0)),0)</f>
        <v/>
      </c>
      <c r="BS52">
        <f>SUMPRODUCT((M_BOM[Part Name]=$A52)*M_BOM[RM_Qty_Per_Batch]*IFERROR(INDEX(PP_Grid[#Data],M_BOM[PPGridRow],71),0))+IFERROR(INDEX(M_RawMaterials[固定週次消費量_要入力],MATCH($A52,M_RawMaterials[Part Name],0)),0)</f>
        <v/>
      </c>
      <c r="BT52">
        <f>SUMPRODUCT((M_BOM[Part Name]=$A52)*M_BOM[RM_Qty_Per_Batch]*IFERROR(INDEX(PP_Grid[#Data],M_BOM[PPGridRow],72),0))+IFERROR(INDEX(M_RawMaterials[固定週次消費量_要入力],MATCH($A52,M_RawMaterials[Part Name],0)),0)</f>
        <v/>
      </c>
      <c r="BU52">
        <f>SUMPRODUCT((M_BOM[Part Name]=$A52)*M_BOM[RM_Qty_Per_Batch]*IFERROR(INDEX(PP_Grid[#Data],M_BOM[PPGridRow],73),0))+IFERROR(INDEX(M_RawMaterials[固定週次消費量_要入力],MATCH($A52,M_RawMaterials[Part Name],0)),0)</f>
        <v/>
      </c>
      <c r="BV52">
        <f>SUMPRODUCT((M_BOM[Part Name]=$A52)*M_BOM[RM_Qty_Per_Batch]*IFERROR(INDEX(PP_Grid[#Data],M_BOM[PPGridRow],74),0))+IFERROR(INDEX(M_RawMaterials[固定週次消費量_要入力],MATCH($A52,M_RawMaterials[Part Name],0)),0)</f>
        <v/>
      </c>
      <c r="BW52">
        <f>SUMPRODUCT((M_BOM[Part Name]=$A52)*M_BOM[RM_Qty_Per_Batch]*IFERROR(INDEX(PP_Grid[#Data],M_BOM[PPGridRow],75),0))+IFERROR(INDEX(M_RawMaterials[固定週次消費量_要入力],MATCH($A52,M_RawMaterials[Part Name],0)),0)</f>
        <v/>
      </c>
      <c r="BX52">
        <f>SUMPRODUCT((M_BOM[Part Name]=$A52)*M_BOM[RM_Qty_Per_Batch]*IFERROR(INDEX(PP_Grid[#Data],M_BOM[PPGridRow],76),0))+IFERROR(INDEX(M_RawMaterials[固定週次消費量_要入力],MATCH($A52,M_RawMaterials[Part Name],0)),0)</f>
        <v/>
      </c>
      <c r="BY52">
        <f>SUMPRODUCT((M_BOM[Part Name]=$A52)*M_BOM[RM_Qty_Per_Batch]*IFERROR(INDEX(PP_Grid[#Data],M_BOM[PPGridRow],77),0))+IFERROR(INDEX(M_RawMaterials[固定週次消費量_要入力],MATCH($A52,M_RawMaterials[Part Name],0)),0)</f>
        <v/>
      </c>
      <c r="BZ52">
        <f>SUMPRODUCT((M_BOM[Part Name]=$A52)*M_BOM[RM_Qty_Per_Batch]*IFERROR(INDEX(PP_Grid[#Data],M_BOM[PPGridRow],78),0))+IFERROR(INDEX(M_RawMaterials[固定週次消費量_要入力],MATCH($A52,M_RawMaterials[Part Name],0)),0)</f>
        <v/>
      </c>
      <c r="CA52">
        <f>SUMPRODUCT((M_BOM[Part Name]=$A52)*M_BOM[RM_Qty_Per_Batch]*IFERROR(INDEX(PP_Grid[#Data],M_BOM[PPGridRow],79),0))+IFERROR(INDEX(M_RawMaterials[固定週次消費量_要入力],MATCH($A52,M_RawMaterials[Part Name],0)),0)</f>
        <v/>
      </c>
      <c r="CB52">
        <f>SUMPRODUCT((M_BOM[Part Name]=$A52)*M_BOM[RM_Qty_Per_Batch]*IFERROR(INDEX(PP_Grid[#Data],M_BOM[PPGridRow],80),0))+IFERROR(INDEX(M_RawMaterials[固定週次消費量_要入力],MATCH($A52,M_RawMaterials[Part Name],0)),0)</f>
        <v/>
      </c>
      <c r="CC52">
        <f>SUMPRODUCT((M_BOM[Part Name]=$A52)*M_BOM[RM_Qty_Per_Batch]*IFERROR(INDEX(PP_Grid[#Data],M_BOM[PPGridRow],81),0))+IFERROR(INDEX(M_RawMaterials[固定週次消費量_要入力],MATCH($A52,M_RawMaterials[Part Name],0)),0)</f>
        <v/>
      </c>
      <c r="CD52">
        <f>SUMPRODUCT((M_BOM[Part Name]=$A52)*M_BOM[RM_Qty_Per_Batch]*IFERROR(INDEX(PP_Grid[#Data],M_BOM[PPGridRow],82),0))+IFERROR(INDEX(M_RawMaterials[固定週次消費量_要入力],MATCH($A52,M_RawMaterials[Part Name],0)),0)</f>
        <v/>
      </c>
      <c r="CE52">
        <f>SUMPRODUCT((M_BOM[Part Name]=$A52)*M_BOM[RM_Qty_Per_Batch]*IFERROR(INDEX(PP_Grid[#Data],M_BOM[PPGridRow],83),0))+IFERROR(INDEX(M_RawMaterials[固定週次消費量_要入力],MATCH($A52,M_RawMaterials[Part Name],0)),0)</f>
        <v/>
      </c>
      <c r="CF52">
        <f>SUMPRODUCT((M_BOM[Part Name]=$A52)*M_BOM[RM_Qty_Per_Batch]*IFERROR(INDEX(PP_Grid[#Data],M_BOM[PPGridRow],84),0))+IFERROR(INDEX(M_RawMaterials[固定週次消費量_要入力],MATCH($A52,M_RawMaterials[Part Name],0)),0)</f>
        <v/>
      </c>
      <c r="CG52">
        <f>SUMPRODUCT((M_BOM[Part Name]=$A52)*M_BOM[RM_Qty_Per_Batch]*IFERROR(INDEX(PP_Grid[#Data],M_BOM[PPGridRow],85),0))+IFERROR(INDEX(M_RawMaterials[固定週次消費量_要入力],MATCH($A52,M_RawMaterials[Part Name],0)),0)</f>
        <v/>
      </c>
      <c r="CH52">
        <f>SUMPRODUCT((M_BOM[Part Name]=$A52)*M_BOM[RM_Qty_Per_Batch]*IFERROR(INDEX(PP_Grid[#Data],M_BOM[PPGridRow],86),0))+IFERROR(INDEX(M_RawMaterials[固定週次消費量_要入力],MATCH($A52,M_RawMaterials[Part Name],0)),0)</f>
        <v/>
      </c>
      <c r="CI52">
        <f>SUMPRODUCT((M_BOM[Part Name]=$A52)*M_BOM[RM_Qty_Per_Batch]*IFERROR(INDEX(PP_Grid[#Data],M_BOM[PPGridRow],87),0))+IFERROR(INDEX(M_RawMaterials[固定週次消費量_要入力],MATCH($A52,M_RawMaterials[Part Name],0)),0)</f>
        <v/>
      </c>
      <c r="CJ52">
        <f>SUMPRODUCT((M_BOM[Part Name]=$A52)*M_BOM[RM_Qty_Per_Batch]*IFERROR(INDEX(PP_Grid[#Data],M_BOM[PPGridRow],88),0))+IFERROR(INDEX(M_RawMaterials[固定週次消費量_要入力],MATCH($A52,M_RawMaterials[Part Name],0)),0)</f>
        <v/>
      </c>
      <c r="CK52">
        <f>SUMPRODUCT((M_BOM[Part Name]=$A52)*M_BOM[RM_Qty_Per_Batch]*IFERROR(INDEX(PP_Grid[#Data],M_BOM[PPGridRow],89),0))+IFERROR(INDEX(M_RawMaterials[固定週次消費量_要入力],MATCH($A52,M_RawMaterials[Part Name],0)),0)</f>
        <v/>
      </c>
      <c r="CL52">
        <f>SUMPRODUCT((M_BOM[Part Name]=$A52)*M_BOM[RM_Qty_Per_Batch]*IFERROR(INDEX(PP_Grid[#Data],M_BOM[PPGridRow],90),0))+IFERROR(INDEX(M_RawMaterials[固定週次消費量_要入力],MATCH($A52,M_RawMaterials[Part Name],0)),0)</f>
        <v/>
      </c>
      <c r="CM52">
        <f>SUMPRODUCT((M_BOM[Part Name]=$A52)*M_BOM[RM_Qty_Per_Batch]*IFERROR(INDEX(PP_Grid[#Data],M_BOM[PPGridRow],91),0))+IFERROR(INDEX(M_RawMaterials[固定週次消費量_要入力],MATCH($A52,M_RawMaterials[Part Name],0)),0)</f>
        <v/>
      </c>
      <c r="CN52">
        <f>SUMPRODUCT((M_BOM[Part Name]=$A52)*M_BOM[RM_Qty_Per_Batch]*IFERROR(INDEX(PP_Grid[#Data],M_BOM[PPGridRow],92),0))+IFERROR(INDEX(M_RawMaterials[固定週次消費量_要入力],MATCH($A52,M_RawMaterials[Part Name],0)),0)</f>
        <v/>
      </c>
      <c r="CO52">
        <f>SUMPRODUCT((M_BOM[Part Name]=$A52)*M_BOM[RM_Qty_Per_Batch]*IFERROR(INDEX(PP_Grid[#Data],M_BOM[PPGridRow],93),0))+IFERROR(INDEX(M_RawMaterials[固定週次消費量_要入力],MATCH($A52,M_RawMaterials[Part Name],0)),0)</f>
        <v/>
      </c>
      <c r="CP52">
        <f>SUMPRODUCT((M_BOM[Part Name]=$A52)*M_BOM[RM_Qty_Per_Batch]*IFERROR(INDEX(PP_Grid[#Data],M_BOM[PPGridRow],94),0))+IFERROR(INDEX(M_RawMaterials[固定週次消費量_要入力],MATCH($A52,M_RawMaterials[Part Name],0)),0)</f>
        <v/>
      </c>
      <c r="CQ52">
        <f>SUMPRODUCT((M_BOM[Part Name]=$A52)*M_BOM[RM_Qty_Per_Batch]*IFERROR(INDEX(PP_Grid[#Data],M_BOM[PPGridRow],95),0))+IFERROR(INDEX(M_RawMaterials[固定週次消費量_要入力],MATCH($A52,M_RawMaterials[Part Name],0)),0)</f>
        <v/>
      </c>
      <c r="CR52">
        <f>SUMPRODUCT((M_BOM[Part Name]=$A52)*M_BOM[RM_Qty_Per_Batch]*IFERROR(INDEX(PP_Grid[#Data],M_BOM[PPGridRow],96),0))+IFERROR(INDEX(M_RawMaterials[固定週次消費量_要入力],MATCH($A52,M_RawMaterials[Part Name],0)),0)</f>
        <v/>
      </c>
      <c r="CS52">
        <f>SUMPRODUCT((M_BOM[Part Name]=$A52)*M_BOM[RM_Qty_Per_Batch]*IFERROR(INDEX(PP_Grid[#Data],M_BOM[PPGridRow],97),0))+IFERROR(INDEX(M_RawMaterials[固定週次消費量_要入力],MATCH($A52,M_RawMaterials[Part Name],0)),0)</f>
        <v/>
      </c>
      <c r="CT52">
        <f>SUMPRODUCT((M_BOM[Part Name]=$A52)*M_BOM[RM_Qty_Per_Batch]*IFERROR(INDEX(PP_Grid[#Data],M_BOM[PPGridRow],98),0))+IFERROR(INDEX(M_RawMaterials[固定週次消費量_要入力],MATCH($A52,M_RawMaterials[Part Name],0)),0)</f>
        <v/>
      </c>
      <c r="CU52">
        <f>SUMPRODUCT((M_BOM[Part Name]=$A52)*M_BOM[RM_Qty_Per_Batch]*IFERROR(INDEX(PP_Grid[#Data],M_BOM[PPGridRow],99),0))+IFERROR(INDEX(M_RawMaterials[固定週次消費量_要入力],MATCH($A52,M_RawMaterials[Part Name],0)),0)</f>
        <v/>
      </c>
      <c r="CV52">
        <f>SUMPRODUCT((M_BOM[Part Name]=$A52)*M_BOM[RM_Qty_Per_Batch]*IFERROR(INDEX(PP_Grid[#Data],M_BOM[PPGridRow],100),0))+IFERROR(INDEX(M_RawMaterials[固定週次消費量_要入力],MATCH($A52,M_RawMaterials[Part Name],0)),0)</f>
        <v/>
      </c>
      <c r="CW52">
        <f>SUMPRODUCT((M_BOM[Part Name]=$A52)*M_BOM[RM_Qty_Per_Batch]*IFERROR(INDEX(PP_Grid[#Data],M_BOM[PPGridRow],101),0))+IFERROR(INDEX(M_RawMaterials[固定週次消費量_要入力],MATCH($A52,M_RawMaterials[Part Name],0)),0)</f>
        <v/>
      </c>
      <c r="CX52">
        <f>SUMPRODUCT((M_BOM[Part Name]=$A52)*M_BOM[RM_Qty_Per_Batch]*IFERROR(INDEX(PP_Grid[#Data],M_BOM[PPGridRow],102),0))+IFERROR(INDEX(M_RawMaterials[固定週次消費量_要入力],MATCH($A52,M_RawMaterials[Part Name],0)),0)</f>
        <v/>
      </c>
      <c r="CY52">
        <f>SUMPRODUCT((M_BOM[Part Name]=$A52)*M_BOM[RM_Qty_Per_Batch]*IFERROR(INDEX(PP_Grid[#Data],M_BOM[PPGridRow],103),0))+IFERROR(INDEX(M_RawMaterials[固定週次消費量_要入力],MATCH($A52,M_RawMaterials[Part Name],0)),0)</f>
        <v/>
      </c>
      <c r="CZ52">
        <f>SUMPRODUCT((M_BOM[Part Name]=$A52)*M_BOM[RM_Qty_Per_Batch]*IFERROR(INDEX(PP_Grid[#Data],M_BOM[PPGridRow],104),0))+IFERROR(INDEX(M_RawMaterials[固定週次消費量_要入力],MATCH($A52,M_RawMaterials[Part Name],0)),0)</f>
        <v/>
      </c>
      <c r="DA52">
        <f>SUMPRODUCT((M_BOM[Part Name]=$A52)*M_BOM[RM_Qty_Per_Batch]*IFERROR(INDEX(PP_Grid[#Data],M_BOM[PPGridRow],105),0))+IFERROR(INDEX(M_RawMaterials[固定週次消費量_要入力],MATCH($A52,M_RawMaterials[Part Name],0)),0)</f>
        <v/>
      </c>
    </row>
    <row r="53">
      <c r="A53" t="inlineStr">
        <is>
          <t>18456-50041</t>
        </is>
      </c>
      <c r="B53">
        <f>SUMPRODUCT((M_BOM[Part Name]=$A53)*M_BOM[RM_Qty_Per_Batch]*IFERROR(INDEX(PP_Grid[#Data],M_BOM[PPGridRow],2),0))+IFERROR(INDEX(M_RawMaterials[固定週次消費量_要入力],MATCH($A53,M_RawMaterials[Part Name],0)),0)</f>
        <v/>
      </c>
      <c r="C53">
        <f>SUMPRODUCT((M_BOM[Part Name]=$A53)*M_BOM[RM_Qty_Per_Batch]*IFERROR(INDEX(PP_Grid[#Data],M_BOM[PPGridRow],3),0))+IFERROR(INDEX(M_RawMaterials[固定週次消費量_要入力],MATCH($A53,M_RawMaterials[Part Name],0)),0)</f>
        <v/>
      </c>
      <c r="D53">
        <f>SUMPRODUCT((M_BOM[Part Name]=$A53)*M_BOM[RM_Qty_Per_Batch]*IFERROR(INDEX(PP_Grid[#Data],M_BOM[PPGridRow],4),0))+IFERROR(INDEX(M_RawMaterials[固定週次消費量_要入力],MATCH($A53,M_RawMaterials[Part Name],0)),0)</f>
        <v/>
      </c>
      <c r="E53">
        <f>SUMPRODUCT((M_BOM[Part Name]=$A53)*M_BOM[RM_Qty_Per_Batch]*IFERROR(INDEX(PP_Grid[#Data],M_BOM[PPGridRow],5),0))+IFERROR(INDEX(M_RawMaterials[固定週次消費量_要入力],MATCH($A53,M_RawMaterials[Part Name],0)),0)</f>
        <v/>
      </c>
      <c r="F53">
        <f>SUMPRODUCT((M_BOM[Part Name]=$A53)*M_BOM[RM_Qty_Per_Batch]*IFERROR(INDEX(PP_Grid[#Data],M_BOM[PPGridRow],6),0))+IFERROR(INDEX(M_RawMaterials[固定週次消費量_要入力],MATCH($A53,M_RawMaterials[Part Name],0)),0)</f>
        <v/>
      </c>
      <c r="G53">
        <f>SUMPRODUCT((M_BOM[Part Name]=$A53)*M_BOM[RM_Qty_Per_Batch]*IFERROR(INDEX(PP_Grid[#Data],M_BOM[PPGridRow],7),0))+IFERROR(INDEX(M_RawMaterials[固定週次消費量_要入力],MATCH($A53,M_RawMaterials[Part Name],0)),0)</f>
        <v/>
      </c>
      <c r="H53">
        <f>SUMPRODUCT((M_BOM[Part Name]=$A53)*M_BOM[RM_Qty_Per_Batch]*IFERROR(INDEX(PP_Grid[#Data],M_BOM[PPGridRow],8),0))+IFERROR(INDEX(M_RawMaterials[固定週次消費量_要入力],MATCH($A53,M_RawMaterials[Part Name],0)),0)</f>
        <v/>
      </c>
      <c r="I53">
        <f>SUMPRODUCT((M_BOM[Part Name]=$A53)*M_BOM[RM_Qty_Per_Batch]*IFERROR(INDEX(PP_Grid[#Data],M_BOM[PPGridRow],9),0))+IFERROR(INDEX(M_RawMaterials[固定週次消費量_要入力],MATCH($A53,M_RawMaterials[Part Name],0)),0)</f>
        <v/>
      </c>
      <c r="J53">
        <f>SUMPRODUCT((M_BOM[Part Name]=$A53)*M_BOM[RM_Qty_Per_Batch]*IFERROR(INDEX(PP_Grid[#Data],M_BOM[PPGridRow],10),0))+IFERROR(INDEX(M_RawMaterials[固定週次消費量_要入力],MATCH($A53,M_RawMaterials[Part Name],0)),0)</f>
        <v/>
      </c>
      <c r="K53">
        <f>SUMPRODUCT((M_BOM[Part Name]=$A53)*M_BOM[RM_Qty_Per_Batch]*IFERROR(INDEX(PP_Grid[#Data],M_BOM[PPGridRow],11),0))+IFERROR(INDEX(M_RawMaterials[固定週次消費量_要入力],MATCH($A53,M_RawMaterials[Part Name],0)),0)</f>
        <v/>
      </c>
      <c r="L53">
        <f>SUMPRODUCT((M_BOM[Part Name]=$A53)*M_BOM[RM_Qty_Per_Batch]*IFERROR(INDEX(PP_Grid[#Data],M_BOM[PPGridRow],12),0))+IFERROR(INDEX(M_RawMaterials[固定週次消費量_要入力],MATCH($A53,M_RawMaterials[Part Name],0)),0)</f>
        <v/>
      </c>
      <c r="M53">
        <f>SUMPRODUCT((M_BOM[Part Name]=$A53)*M_BOM[RM_Qty_Per_Batch]*IFERROR(INDEX(PP_Grid[#Data],M_BOM[PPGridRow],13),0))+IFERROR(INDEX(M_RawMaterials[固定週次消費量_要入力],MATCH($A53,M_RawMaterials[Part Name],0)),0)</f>
        <v/>
      </c>
      <c r="N53">
        <f>SUMPRODUCT((M_BOM[Part Name]=$A53)*M_BOM[RM_Qty_Per_Batch]*IFERROR(INDEX(PP_Grid[#Data],M_BOM[PPGridRow],14),0))+IFERROR(INDEX(M_RawMaterials[固定週次消費量_要入力],MATCH($A53,M_RawMaterials[Part Name],0)),0)</f>
        <v/>
      </c>
      <c r="O53">
        <f>SUMPRODUCT((M_BOM[Part Name]=$A53)*M_BOM[RM_Qty_Per_Batch]*IFERROR(INDEX(PP_Grid[#Data],M_BOM[PPGridRow],15),0))+IFERROR(INDEX(M_RawMaterials[固定週次消費量_要入力],MATCH($A53,M_RawMaterials[Part Name],0)),0)</f>
        <v/>
      </c>
      <c r="P53">
        <f>SUMPRODUCT((M_BOM[Part Name]=$A53)*M_BOM[RM_Qty_Per_Batch]*IFERROR(INDEX(PP_Grid[#Data],M_BOM[PPGridRow],16),0))+IFERROR(INDEX(M_RawMaterials[固定週次消費量_要入力],MATCH($A53,M_RawMaterials[Part Name],0)),0)</f>
        <v/>
      </c>
      <c r="Q53">
        <f>SUMPRODUCT((M_BOM[Part Name]=$A53)*M_BOM[RM_Qty_Per_Batch]*IFERROR(INDEX(PP_Grid[#Data],M_BOM[PPGridRow],17),0))+IFERROR(INDEX(M_RawMaterials[固定週次消費量_要入力],MATCH($A53,M_RawMaterials[Part Name],0)),0)</f>
        <v/>
      </c>
      <c r="R53">
        <f>SUMPRODUCT((M_BOM[Part Name]=$A53)*M_BOM[RM_Qty_Per_Batch]*IFERROR(INDEX(PP_Grid[#Data],M_BOM[PPGridRow],18),0))+IFERROR(INDEX(M_RawMaterials[固定週次消費量_要入力],MATCH($A53,M_RawMaterials[Part Name],0)),0)</f>
        <v/>
      </c>
      <c r="S53">
        <f>SUMPRODUCT((M_BOM[Part Name]=$A53)*M_BOM[RM_Qty_Per_Batch]*IFERROR(INDEX(PP_Grid[#Data],M_BOM[PPGridRow],19),0))+IFERROR(INDEX(M_RawMaterials[固定週次消費量_要入力],MATCH($A53,M_RawMaterials[Part Name],0)),0)</f>
        <v/>
      </c>
      <c r="T53">
        <f>SUMPRODUCT((M_BOM[Part Name]=$A53)*M_BOM[RM_Qty_Per_Batch]*IFERROR(INDEX(PP_Grid[#Data],M_BOM[PPGridRow],20),0))+IFERROR(INDEX(M_RawMaterials[固定週次消費量_要入力],MATCH($A53,M_RawMaterials[Part Name],0)),0)</f>
        <v/>
      </c>
      <c r="U53">
        <f>SUMPRODUCT((M_BOM[Part Name]=$A53)*M_BOM[RM_Qty_Per_Batch]*IFERROR(INDEX(PP_Grid[#Data],M_BOM[PPGridRow],21),0))+IFERROR(INDEX(M_RawMaterials[固定週次消費量_要入力],MATCH($A53,M_RawMaterials[Part Name],0)),0)</f>
        <v/>
      </c>
      <c r="V53">
        <f>SUMPRODUCT((M_BOM[Part Name]=$A53)*M_BOM[RM_Qty_Per_Batch]*IFERROR(INDEX(PP_Grid[#Data],M_BOM[PPGridRow],22),0))+IFERROR(INDEX(M_RawMaterials[固定週次消費量_要入力],MATCH($A53,M_RawMaterials[Part Name],0)),0)</f>
        <v/>
      </c>
      <c r="W53">
        <f>SUMPRODUCT((M_BOM[Part Name]=$A53)*M_BOM[RM_Qty_Per_Batch]*IFERROR(INDEX(PP_Grid[#Data],M_BOM[PPGridRow],23),0))+IFERROR(INDEX(M_RawMaterials[固定週次消費量_要入力],MATCH($A53,M_RawMaterials[Part Name],0)),0)</f>
        <v/>
      </c>
      <c r="X53">
        <f>SUMPRODUCT((M_BOM[Part Name]=$A53)*M_BOM[RM_Qty_Per_Batch]*IFERROR(INDEX(PP_Grid[#Data],M_BOM[PPGridRow],24),0))+IFERROR(INDEX(M_RawMaterials[固定週次消費量_要入力],MATCH($A53,M_RawMaterials[Part Name],0)),0)</f>
        <v/>
      </c>
      <c r="Y53">
        <f>SUMPRODUCT((M_BOM[Part Name]=$A53)*M_BOM[RM_Qty_Per_Batch]*IFERROR(INDEX(PP_Grid[#Data],M_BOM[PPGridRow],25),0))+IFERROR(INDEX(M_RawMaterials[固定週次消費量_要入力],MATCH($A53,M_RawMaterials[Part Name],0)),0)</f>
        <v/>
      </c>
      <c r="Z53">
        <f>SUMPRODUCT((M_BOM[Part Name]=$A53)*M_BOM[RM_Qty_Per_Batch]*IFERROR(INDEX(PP_Grid[#Data],M_BOM[PPGridRow],26),0))+IFERROR(INDEX(M_RawMaterials[固定週次消費量_要入力],MATCH($A53,M_RawMaterials[Part Name],0)),0)</f>
        <v/>
      </c>
      <c r="AA53">
        <f>SUMPRODUCT((M_BOM[Part Name]=$A53)*M_BOM[RM_Qty_Per_Batch]*IFERROR(INDEX(PP_Grid[#Data],M_BOM[PPGridRow],27),0))+IFERROR(INDEX(M_RawMaterials[固定週次消費量_要入力],MATCH($A53,M_RawMaterials[Part Name],0)),0)</f>
        <v/>
      </c>
      <c r="AB53">
        <f>SUMPRODUCT((M_BOM[Part Name]=$A53)*M_BOM[RM_Qty_Per_Batch]*IFERROR(INDEX(PP_Grid[#Data],M_BOM[PPGridRow],28),0))+IFERROR(INDEX(M_RawMaterials[固定週次消費量_要入力],MATCH($A53,M_RawMaterials[Part Name],0)),0)</f>
        <v/>
      </c>
      <c r="AC53">
        <f>SUMPRODUCT((M_BOM[Part Name]=$A53)*M_BOM[RM_Qty_Per_Batch]*IFERROR(INDEX(PP_Grid[#Data],M_BOM[PPGridRow],29),0))+IFERROR(INDEX(M_RawMaterials[固定週次消費量_要入力],MATCH($A53,M_RawMaterials[Part Name],0)),0)</f>
        <v/>
      </c>
      <c r="AD53">
        <f>SUMPRODUCT((M_BOM[Part Name]=$A53)*M_BOM[RM_Qty_Per_Batch]*IFERROR(INDEX(PP_Grid[#Data],M_BOM[PPGridRow],30),0))+IFERROR(INDEX(M_RawMaterials[固定週次消費量_要入力],MATCH($A53,M_RawMaterials[Part Name],0)),0)</f>
        <v/>
      </c>
      <c r="AE53">
        <f>SUMPRODUCT((M_BOM[Part Name]=$A53)*M_BOM[RM_Qty_Per_Batch]*IFERROR(INDEX(PP_Grid[#Data],M_BOM[PPGridRow],31),0))+IFERROR(INDEX(M_RawMaterials[固定週次消費量_要入力],MATCH($A53,M_RawMaterials[Part Name],0)),0)</f>
        <v/>
      </c>
      <c r="AF53">
        <f>SUMPRODUCT((M_BOM[Part Name]=$A53)*M_BOM[RM_Qty_Per_Batch]*IFERROR(INDEX(PP_Grid[#Data],M_BOM[PPGridRow],32),0))+IFERROR(INDEX(M_RawMaterials[固定週次消費量_要入力],MATCH($A53,M_RawMaterials[Part Name],0)),0)</f>
        <v/>
      </c>
      <c r="AG53">
        <f>SUMPRODUCT((M_BOM[Part Name]=$A53)*M_BOM[RM_Qty_Per_Batch]*IFERROR(INDEX(PP_Grid[#Data],M_BOM[PPGridRow],33),0))+IFERROR(INDEX(M_RawMaterials[固定週次消費量_要入力],MATCH($A53,M_RawMaterials[Part Name],0)),0)</f>
        <v/>
      </c>
      <c r="AH53">
        <f>SUMPRODUCT((M_BOM[Part Name]=$A53)*M_BOM[RM_Qty_Per_Batch]*IFERROR(INDEX(PP_Grid[#Data],M_BOM[PPGridRow],34),0))+IFERROR(INDEX(M_RawMaterials[固定週次消費量_要入力],MATCH($A53,M_RawMaterials[Part Name],0)),0)</f>
        <v/>
      </c>
      <c r="AI53">
        <f>SUMPRODUCT((M_BOM[Part Name]=$A53)*M_BOM[RM_Qty_Per_Batch]*IFERROR(INDEX(PP_Grid[#Data],M_BOM[PPGridRow],35),0))+IFERROR(INDEX(M_RawMaterials[固定週次消費量_要入力],MATCH($A53,M_RawMaterials[Part Name],0)),0)</f>
        <v/>
      </c>
      <c r="AJ53">
        <f>SUMPRODUCT((M_BOM[Part Name]=$A53)*M_BOM[RM_Qty_Per_Batch]*IFERROR(INDEX(PP_Grid[#Data],M_BOM[PPGridRow],36),0))+IFERROR(INDEX(M_RawMaterials[固定週次消費量_要入力],MATCH($A53,M_RawMaterials[Part Name],0)),0)</f>
        <v/>
      </c>
      <c r="AK53">
        <f>SUMPRODUCT((M_BOM[Part Name]=$A53)*M_BOM[RM_Qty_Per_Batch]*IFERROR(INDEX(PP_Grid[#Data],M_BOM[PPGridRow],37),0))+IFERROR(INDEX(M_RawMaterials[固定週次消費量_要入力],MATCH($A53,M_RawMaterials[Part Name],0)),0)</f>
        <v/>
      </c>
      <c r="AL53">
        <f>SUMPRODUCT((M_BOM[Part Name]=$A53)*M_BOM[RM_Qty_Per_Batch]*IFERROR(INDEX(PP_Grid[#Data],M_BOM[PPGridRow],38),0))+IFERROR(INDEX(M_RawMaterials[固定週次消費量_要入力],MATCH($A53,M_RawMaterials[Part Name],0)),0)</f>
        <v/>
      </c>
      <c r="AM53">
        <f>SUMPRODUCT((M_BOM[Part Name]=$A53)*M_BOM[RM_Qty_Per_Batch]*IFERROR(INDEX(PP_Grid[#Data],M_BOM[PPGridRow],39),0))+IFERROR(INDEX(M_RawMaterials[固定週次消費量_要入力],MATCH($A53,M_RawMaterials[Part Name],0)),0)</f>
        <v/>
      </c>
      <c r="AN53">
        <f>SUMPRODUCT((M_BOM[Part Name]=$A53)*M_BOM[RM_Qty_Per_Batch]*IFERROR(INDEX(PP_Grid[#Data],M_BOM[PPGridRow],40),0))+IFERROR(INDEX(M_RawMaterials[固定週次消費量_要入力],MATCH($A53,M_RawMaterials[Part Name],0)),0)</f>
        <v/>
      </c>
      <c r="AO53">
        <f>SUMPRODUCT((M_BOM[Part Name]=$A53)*M_BOM[RM_Qty_Per_Batch]*IFERROR(INDEX(PP_Grid[#Data],M_BOM[PPGridRow],41),0))+IFERROR(INDEX(M_RawMaterials[固定週次消費量_要入力],MATCH($A53,M_RawMaterials[Part Name],0)),0)</f>
        <v/>
      </c>
      <c r="AP53">
        <f>SUMPRODUCT((M_BOM[Part Name]=$A53)*M_BOM[RM_Qty_Per_Batch]*IFERROR(INDEX(PP_Grid[#Data],M_BOM[PPGridRow],42),0))+IFERROR(INDEX(M_RawMaterials[固定週次消費量_要入力],MATCH($A53,M_RawMaterials[Part Name],0)),0)</f>
        <v/>
      </c>
      <c r="AQ53">
        <f>SUMPRODUCT((M_BOM[Part Name]=$A53)*M_BOM[RM_Qty_Per_Batch]*IFERROR(INDEX(PP_Grid[#Data],M_BOM[PPGridRow],43),0))+IFERROR(INDEX(M_RawMaterials[固定週次消費量_要入力],MATCH($A53,M_RawMaterials[Part Name],0)),0)</f>
        <v/>
      </c>
      <c r="AR53">
        <f>SUMPRODUCT((M_BOM[Part Name]=$A53)*M_BOM[RM_Qty_Per_Batch]*IFERROR(INDEX(PP_Grid[#Data],M_BOM[PPGridRow],44),0))+IFERROR(INDEX(M_RawMaterials[固定週次消費量_要入力],MATCH($A53,M_RawMaterials[Part Name],0)),0)</f>
        <v/>
      </c>
      <c r="AS53">
        <f>SUMPRODUCT((M_BOM[Part Name]=$A53)*M_BOM[RM_Qty_Per_Batch]*IFERROR(INDEX(PP_Grid[#Data],M_BOM[PPGridRow],45),0))+IFERROR(INDEX(M_RawMaterials[固定週次消費量_要入力],MATCH($A53,M_RawMaterials[Part Name],0)),0)</f>
        <v/>
      </c>
      <c r="AT53">
        <f>SUMPRODUCT((M_BOM[Part Name]=$A53)*M_BOM[RM_Qty_Per_Batch]*IFERROR(INDEX(PP_Grid[#Data],M_BOM[PPGridRow],46),0))+IFERROR(INDEX(M_RawMaterials[固定週次消費量_要入力],MATCH($A53,M_RawMaterials[Part Name],0)),0)</f>
        <v/>
      </c>
      <c r="AU53">
        <f>SUMPRODUCT((M_BOM[Part Name]=$A53)*M_BOM[RM_Qty_Per_Batch]*IFERROR(INDEX(PP_Grid[#Data],M_BOM[PPGridRow],47),0))+IFERROR(INDEX(M_RawMaterials[固定週次消費量_要入力],MATCH($A53,M_RawMaterials[Part Name],0)),0)</f>
        <v/>
      </c>
      <c r="AV53">
        <f>SUMPRODUCT((M_BOM[Part Name]=$A53)*M_BOM[RM_Qty_Per_Batch]*IFERROR(INDEX(PP_Grid[#Data],M_BOM[PPGridRow],48),0))+IFERROR(INDEX(M_RawMaterials[固定週次消費量_要入力],MATCH($A53,M_RawMaterials[Part Name],0)),0)</f>
        <v/>
      </c>
      <c r="AW53">
        <f>SUMPRODUCT((M_BOM[Part Name]=$A53)*M_BOM[RM_Qty_Per_Batch]*IFERROR(INDEX(PP_Grid[#Data],M_BOM[PPGridRow],49),0))+IFERROR(INDEX(M_RawMaterials[固定週次消費量_要入力],MATCH($A53,M_RawMaterials[Part Name],0)),0)</f>
        <v/>
      </c>
      <c r="AX53">
        <f>SUMPRODUCT((M_BOM[Part Name]=$A53)*M_BOM[RM_Qty_Per_Batch]*IFERROR(INDEX(PP_Grid[#Data],M_BOM[PPGridRow],50),0))+IFERROR(INDEX(M_RawMaterials[固定週次消費量_要入力],MATCH($A53,M_RawMaterials[Part Name],0)),0)</f>
        <v/>
      </c>
      <c r="AY53">
        <f>SUMPRODUCT((M_BOM[Part Name]=$A53)*M_BOM[RM_Qty_Per_Batch]*IFERROR(INDEX(PP_Grid[#Data],M_BOM[PPGridRow],51),0))+IFERROR(INDEX(M_RawMaterials[固定週次消費量_要入力],MATCH($A53,M_RawMaterials[Part Name],0)),0)</f>
        <v/>
      </c>
      <c r="AZ53">
        <f>SUMPRODUCT((M_BOM[Part Name]=$A53)*M_BOM[RM_Qty_Per_Batch]*IFERROR(INDEX(PP_Grid[#Data],M_BOM[PPGridRow],52),0))+IFERROR(INDEX(M_RawMaterials[固定週次消費量_要入力],MATCH($A53,M_RawMaterials[Part Name],0)),0)</f>
        <v/>
      </c>
      <c r="BA53">
        <f>SUMPRODUCT((M_BOM[Part Name]=$A53)*M_BOM[RM_Qty_Per_Batch]*IFERROR(INDEX(PP_Grid[#Data],M_BOM[PPGridRow],53),0))+IFERROR(INDEX(M_RawMaterials[固定週次消費量_要入力],MATCH($A53,M_RawMaterials[Part Name],0)),0)</f>
        <v/>
      </c>
      <c r="BB53">
        <f>SUMPRODUCT((M_BOM[Part Name]=$A53)*M_BOM[RM_Qty_Per_Batch]*IFERROR(INDEX(PP_Grid[#Data],M_BOM[PPGridRow],54),0))+IFERROR(INDEX(M_RawMaterials[固定週次消費量_要入力],MATCH($A53,M_RawMaterials[Part Name],0)),0)</f>
        <v/>
      </c>
      <c r="BC53">
        <f>SUMPRODUCT((M_BOM[Part Name]=$A53)*M_BOM[RM_Qty_Per_Batch]*IFERROR(INDEX(PP_Grid[#Data],M_BOM[PPGridRow],55),0))+IFERROR(INDEX(M_RawMaterials[固定週次消費量_要入力],MATCH($A53,M_RawMaterials[Part Name],0)),0)</f>
        <v/>
      </c>
      <c r="BD53">
        <f>SUMPRODUCT((M_BOM[Part Name]=$A53)*M_BOM[RM_Qty_Per_Batch]*IFERROR(INDEX(PP_Grid[#Data],M_BOM[PPGridRow],56),0))+IFERROR(INDEX(M_RawMaterials[固定週次消費量_要入力],MATCH($A53,M_RawMaterials[Part Name],0)),0)</f>
        <v/>
      </c>
      <c r="BE53">
        <f>SUMPRODUCT((M_BOM[Part Name]=$A53)*M_BOM[RM_Qty_Per_Batch]*IFERROR(INDEX(PP_Grid[#Data],M_BOM[PPGridRow],57),0))+IFERROR(INDEX(M_RawMaterials[固定週次消費量_要入力],MATCH($A53,M_RawMaterials[Part Name],0)),0)</f>
        <v/>
      </c>
      <c r="BF53">
        <f>SUMPRODUCT((M_BOM[Part Name]=$A53)*M_BOM[RM_Qty_Per_Batch]*IFERROR(INDEX(PP_Grid[#Data],M_BOM[PPGridRow],58),0))+IFERROR(INDEX(M_RawMaterials[固定週次消費量_要入力],MATCH($A53,M_RawMaterials[Part Name],0)),0)</f>
        <v/>
      </c>
      <c r="BG53">
        <f>SUMPRODUCT((M_BOM[Part Name]=$A53)*M_BOM[RM_Qty_Per_Batch]*IFERROR(INDEX(PP_Grid[#Data],M_BOM[PPGridRow],59),0))+IFERROR(INDEX(M_RawMaterials[固定週次消費量_要入力],MATCH($A53,M_RawMaterials[Part Name],0)),0)</f>
        <v/>
      </c>
      <c r="BH53">
        <f>SUMPRODUCT((M_BOM[Part Name]=$A53)*M_BOM[RM_Qty_Per_Batch]*IFERROR(INDEX(PP_Grid[#Data],M_BOM[PPGridRow],60),0))+IFERROR(INDEX(M_RawMaterials[固定週次消費量_要入力],MATCH($A53,M_RawMaterials[Part Name],0)),0)</f>
        <v/>
      </c>
      <c r="BI53">
        <f>SUMPRODUCT((M_BOM[Part Name]=$A53)*M_BOM[RM_Qty_Per_Batch]*IFERROR(INDEX(PP_Grid[#Data],M_BOM[PPGridRow],61),0))+IFERROR(INDEX(M_RawMaterials[固定週次消費量_要入力],MATCH($A53,M_RawMaterials[Part Name],0)),0)</f>
        <v/>
      </c>
      <c r="BJ53">
        <f>SUMPRODUCT((M_BOM[Part Name]=$A53)*M_BOM[RM_Qty_Per_Batch]*IFERROR(INDEX(PP_Grid[#Data],M_BOM[PPGridRow],62),0))+IFERROR(INDEX(M_RawMaterials[固定週次消費量_要入力],MATCH($A53,M_RawMaterials[Part Name],0)),0)</f>
        <v/>
      </c>
      <c r="BK53">
        <f>SUMPRODUCT((M_BOM[Part Name]=$A53)*M_BOM[RM_Qty_Per_Batch]*IFERROR(INDEX(PP_Grid[#Data],M_BOM[PPGridRow],63),0))+IFERROR(INDEX(M_RawMaterials[固定週次消費量_要入力],MATCH($A53,M_RawMaterials[Part Name],0)),0)</f>
        <v/>
      </c>
      <c r="BL53">
        <f>SUMPRODUCT((M_BOM[Part Name]=$A53)*M_BOM[RM_Qty_Per_Batch]*IFERROR(INDEX(PP_Grid[#Data],M_BOM[PPGridRow],64),0))+IFERROR(INDEX(M_RawMaterials[固定週次消費量_要入力],MATCH($A53,M_RawMaterials[Part Name],0)),0)</f>
        <v/>
      </c>
      <c r="BM53">
        <f>SUMPRODUCT((M_BOM[Part Name]=$A53)*M_BOM[RM_Qty_Per_Batch]*IFERROR(INDEX(PP_Grid[#Data],M_BOM[PPGridRow],65),0))+IFERROR(INDEX(M_RawMaterials[固定週次消費量_要入力],MATCH($A53,M_RawMaterials[Part Name],0)),0)</f>
        <v/>
      </c>
      <c r="BN53">
        <f>SUMPRODUCT((M_BOM[Part Name]=$A53)*M_BOM[RM_Qty_Per_Batch]*IFERROR(INDEX(PP_Grid[#Data],M_BOM[PPGridRow],66),0))+IFERROR(INDEX(M_RawMaterials[固定週次消費量_要入力],MATCH($A53,M_RawMaterials[Part Name],0)),0)</f>
        <v/>
      </c>
      <c r="BO53">
        <f>SUMPRODUCT((M_BOM[Part Name]=$A53)*M_BOM[RM_Qty_Per_Batch]*IFERROR(INDEX(PP_Grid[#Data],M_BOM[PPGridRow],67),0))+IFERROR(INDEX(M_RawMaterials[固定週次消費量_要入力],MATCH($A53,M_RawMaterials[Part Name],0)),0)</f>
        <v/>
      </c>
      <c r="BP53">
        <f>SUMPRODUCT((M_BOM[Part Name]=$A53)*M_BOM[RM_Qty_Per_Batch]*IFERROR(INDEX(PP_Grid[#Data],M_BOM[PPGridRow],68),0))+IFERROR(INDEX(M_RawMaterials[固定週次消費量_要入力],MATCH($A53,M_RawMaterials[Part Name],0)),0)</f>
        <v/>
      </c>
      <c r="BQ53">
        <f>SUMPRODUCT((M_BOM[Part Name]=$A53)*M_BOM[RM_Qty_Per_Batch]*IFERROR(INDEX(PP_Grid[#Data],M_BOM[PPGridRow],69),0))+IFERROR(INDEX(M_RawMaterials[固定週次消費量_要入力],MATCH($A53,M_RawMaterials[Part Name],0)),0)</f>
        <v/>
      </c>
      <c r="BR53">
        <f>SUMPRODUCT((M_BOM[Part Name]=$A53)*M_BOM[RM_Qty_Per_Batch]*IFERROR(INDEX(PP_Grid[#Data],M_BOM[PPGridRow],70),0))+IFERROR(INDEX(M_RawMaterials[固定週次消費量_要入力],MATCH($A53,M_RawMaterials[Part Name],0)),0)</f>
        <v/>
      </c>
      <c r="BS53">
        <f>SUMPRODUCT((M_BOM[Part Name]=$A53)*M_BOM[RM_Qty_Per_Batch]*IFERROR(INDEX(PP_Grid[#Data],M_BOM[PPGridRow],71),0))+IFERROR(INDEX(M_RawMaterials[固定週次消費量_要入力],MATCH($A53,M_RawMaterials[Part Name],0)),0)</f>
        <v/>
      </c>
      <c r="BT53">
        <f>SUMPRODUCT((M_BOM[Part Name]=$A53)*M_BOM[RM_Qty_Per_Batch]*IFERROR(INDEX(PP_Grid[#Data],M_BOM[PPGridRow],72),0))+IFERROR(INDEX(M_RawMaterials[固定週次消費量_要入力],MATCH($A53,M_RawMaterials[Part Name],0)),0)</f>
        <v/>
      </c>
      <c r="BU53">
        <f>SUMPRODUCT((M_BOM[Part Name]=$A53)*M_BOM[RM_Qty_Per_Batch]*IFERROR(INDEX(PP_Grid[#Data],M_BOM[PPGridRow],73),0))+IFERROR(INDEX(M_RawMaterials[固定週次消費量_要入力],MATCH($A53,M_RawMaterials[Part Name],0)),0)</f>
        <v/>
      </c>
      <c r="BV53">
        <f>SUMPRODUCT((M_BOM[Part Name]=$A53)*M_BOM[RM_Qty_Per_Batch]*IFERROR(INDEX(PP_Grid[#Data],M_BOM[PPGridRow],74),0))+IFERROR(INDEX(M_RawMaterials[固定週次消費量_要入力],MATCH($A53,M_RawMaterials[Part Name],0)),0)</f>
        <v/>
      </c>
      <c r="BW53">
        <f>SUMPRODUCT((M_BOM[Part Name]=$A53)*M_BOM[RM_Qty_Per_Batch]*IFERROR(INDEX(PP_Grid[#Data],M_BOM[PPGridRow],75),0))+IFERROR(INDEX(M_RawMaterials[固定週次消費量_要入力],MATCH($A53,M_RawMaterials[Part Name],0)),0)</f>
        <v/>
      </c>
      <c r="BX53">
        <f>SUMPRODUCT((M_BOM[Part Name]=$A53)*M_BOM[RM_Qty_Per_Batch]*IFERROR(INDEX(PP_Grid[#Data],M_BOM[PPGridRow],76),0))+IFERROR(INDEX(M_RawMaterials[固定週次消費量_要入力],MATCH($A53,M_RawMaterials[Part Name],0)),0)</f>
        <v/>
      </c>
      <c r="BY53">
        <f>SUMPRODUCT((M_BOM[Part Name]=$A53)*M_BOM[RM_Qty_Per_Batch]*IFERROR(INDEX(PP_Grid[#Data],M_BOM[PPGridRow],77),0))+IFERROR(INDEX(M_RawMaterials[固定週次消費量_要入力],MATCH($A53,M_RawMaterials[Part Name],0)),0)</f>
        <v/>
      </c>
      <c r="BZ53">
        <f>SUMPRODUCT((M_BOM[Part Name]=$A53)*M_BOM[RM_Qty_Per_Batch]*IFERROR(INDEX(PP_Grid[#Data],M_BOM[PPGridRow],78),0))+IFERROR(INDEX(M_RawMaterials[固定週次消費量_要入力],MATCH($A53,M_RawMaterials[Part Name],0)),0)</f>
        <v/>
      </c>
      <c r="CA53">
        <f>SUMPRODUCT((M_BOM[Part Name]=$A53)*M_BOM[RM_Qty_Per_Batch]*IFERROR(INDEX(PP_Grid[#Data],M_BOM[PPGridRow],79),0))+IFERROR(INDEX(M_RawMaterials[固定週次消費量_要入力],MATCH($A53,M_RawMaterials[Part Name],0)),0)</f>
        <v/>
      </c>
      <c r="CB53">
        <f>SUMPRODUCT((M_BOM[Part Name]=$A53)*M_BOM[RM_Qty_Per_Batch]*IFERROR(INDEX(PP_Grid[#Data],M_BOM[PPGridRow],80),0))+IFERROR(INDEX(M_RawMaterials[固定週次消費量_要入力],MATCH($A53,M_RawMaterials[Part Name],0)),0)</f>
        <v/>
      </c>
      <c r="CC53">
        <f>SUMPRODUCT((M_BOM[Part Name]=$A53)*M_BOM[RM_Qty_Per_Batch]*IFERROR(INDEX(PP_Grid[#Data],M_BOM[PPGridRow],81),0))+IFERROR(INDEX(M_RawMaterials[固定週次消費量_要入力],MATCH($A53,M_RawMaterials[Part Name],0)),0)</f>
        <v/>
      </c>
      <c r="CD53">
        <f>SUMPRODUCT((M_BOM[Part Name]=$A53)*M_BOM[RM_Qty_Per_Batch]*IFERROR(INDEX(PP_Grid[#Data],M_BOM[PPGridRow],82),0))+IFERROR(INDEX(M_RawMaterials[固定週次消費量_要入力],MATCH($A53,M_RawMaterials[Part Name],0)),0)</f>
        <v/>
      </c>
      <c r="CE53">
        <f>SUMPRODUCT((M_BOM[Part Name]=$A53)*M_BOM[RM_Qty_Per_Batch]*IFERROR(INDEX(PP_Grid[#Data],M_BOM[PPGridRow],83),0))+IFERROR(INDEX(M_RawMaterials[固定週次消費量_要入力],MATCH($A53,M_RawMaterials[Part Name],0)),0)</f>
        <v/>
      </c>
      <c r="CF53">
        <f>SUMPRODUCT((M_BOM[Part Name]=$A53)*M_BOM[RM_Qty_Per_Batch]*IFERROR(INDEX(PP_Grid[#Data],M_BOM[PPGridRow],84),0))+IFERROR(INDEX(M_RawMaterials[固定週次消費量_要入力],MATCH($A53,M_RawMaterials[Part Name],0)),0)</f>
        <v/>
      </c>
      <c r="CG53">
        <f>SUMPRODUCT((M_BOM[Part Name]=$A53)*M_BOM[RM_Qty_Per_Batch]*IFERROR(INDEX(PP_Grid[#Data],M_BOM[PPGridRow],85),0))+IFERROR(INDEX(M_RawMaterials[固定週次消費量_要入力],MATCH($A53,M_RawMaterials[Part Name],0)),0)</f>
        <v/>
      </c>
      <c r="CH53">
        <f>SUMPRODUCT((M_BOM[Part Name]=$A53)*M_BOM[RM_Qty_Per_Batch]*IFERROR(INDEX(PP_Grid[#Data],M_BOM[PPGridRow],86),0))+IFERROR(INDEX(M_RawMaterials[固定週次消費量_要入力],MATCH($A53,M_RawMaterials[Part Name],0)),0)</f>
        <v/>
      </c>
      <c r="CI53">
        <f>SUMPRODUCT((M_BOM[Part Name]=$A53)*M_BOM[RM_Qty_Per_Batch]*IFERROR(INDEX(PP_Grid[#Data],M_BOM[PPGridRow],87),0))+IFERROR(INDEX(M_RawMaterials[固定週次消費量_要入力],MATCH($A53,M_RawMaterials[Part Name],0)),0)</f>
        <v/>
      </c>
      <c r="CJ53">
        <f>SUMPRODUCT((M_BOM[Part Name]=$A53)*M_BOM[RM_Qty_Per_Batch]*IFERROR(INDEX(PP_Grid[#Data],M_BOM[PPGridRow],88),0))+IFERROR(INDEX(M_RawMaterials[固定週次消費量_要入力],MATCH($A53,M_RawMaterials[Part Name],0)),0)</f>
        <v/>
      </c>
      <c r="CK53">
        <f>SUMPRODUCT((M_BOM[Part Name]=$A53)*M_BOM[RM_Qty_Per_Batch]*IFERROR(INDEX(PP_Grid[#Data],M_BOM[PPGridRow],89),0))+IFERROR(INDEX(M_RawMaterials[固定週次消費量_要入力],MATCH($A53,M_RawMaterials[Part Name],0)),0)</f>
        <v/>
      </c>
      <c r="CL53">
        <f>SUMPRODUCT((M_BOM[Part Name]=$A53)*M_BOM[RM_Qty_Per_Batch]*IFERROR(INDEX(PP_Grid[#Data],M_BOM[PPGridRow],90),0))+IFERROR(INDEX(M_RawMaterials[固定週次消費量_要入力],MATCH($A53,M_RawMaterials[Part Name],0)),0)</f>
        <v/>
      </c>
      <c r="CM53">
        <f>SUMPRODUCT((M_BOM[Part Name]=$A53)*M_BOM[RM_Qty_Per_Batch]*IFERROR(INDEX(PP_Grid[#Data],M_BOM[PPGridRow],91),0))+IFERROR(INDEX(M_RawMaterials[固定週次消費量_要入力],MATCH($A53,M_RawMaterials[Part Name],0)),0)</f>
        <v/>
      </c>
      <c r="CN53">
        <f>SUMPRODUCT((M_BOM[Part Name]=$A53)*M_BOM[RM_Qty_Per_Batch]*IFERROR(INDEX(PP_Grid[#Data],M_BOM[PPGridRow],92),0))+IFERROR(INDEX(M_RawMaterials[固定週次消費量_要入力],MATCH($A53,M_RawMaterials[Part Name],0)),0)</f>
        <v/>
      </c>
      <c r="CO53">
        <f>SUMPRODUCT((M_BOM[Part Name]=$A53)*M_BOM[RM_Qty_Per_Batch]*IFERROR(INDEX(PP_Grid[#Data],M_BOM[PPGridRow],93),0))+IFERROR(INDEX(M_RawMaterials[固定週次消費量_要入力],MATCH($A53,M_RawMaterials[Part Name],0)),0)</f>
        <v/>
      </c>
      <c r="CP53">
        <f>SUMPRODUCT((M_BOM[Part Name]=$A53)*M_BOM[RM_Qty_Per_Batch]*IFERROR(INDEX(PP_Grid[#Data],M_BOM[PPGridRow],94),0))+IFERROR(INDEX(M_RawMaterials[固定週次消費量_要入力],MATCH($A53,M_RawMaterials[Part Name],0)),0)</f>
        <v/>
      </c>
      <c r="CQ53">
        <f>SUMPRODUCT((M_BOM[Part Name]=$A53)*M_BOM[RM_Qty_Per_Batch]*IFERROR(INDEX(PP_Grid[#Data],M_BOM[PPGridRow],95),0))+IFERROR(INDEX(M_RawMaterials[固定週次消費量_要入力],MATCH($A53,M_RawMaterials[Part Name],0)),0)</f>
        <v/>
      </c>
      <c r="CR53">
        <f>SUMPRODUCT((M_BOM[Part Name]=$A53)*M_BOM[RM_Qty_Per_Batch]*IFERROR(INDEX(PP_Grid[#Data],M_BOM[PPGridRow],96),0))+IFERROR(INDEX(M_RawMaterials[固定週次消費量_要入力],MATCH($A53,M_RawMaterials[Part Name],0)),0)</f>
        <v/>
      </c>
      <c r="CS53">
        <f>SUMPRODUCT((M_BOM[Part Name]=$A53)*M_BOM[RM_Qty_Per_Batch]*IFERROR(INDEX(PP_Grid[#Data],M_BOM[PPGridRow],97),0))+IFERROR(INDEX(M_RawMaterials[固定週次消費量_要入力],MATCH($A53,M_RawMaterials[Part Name],0)),0)</f>
        <v/>
      </c>
      <c r="CT53">
        <f>SUMPRODUCT((M_BOM[Part Name]=$A53)*M_BOM[RM_Qty_Per_Batch]*IFERROR(INDEX(PP_Grid[#Data],M_BOM[PPGridRow],98),0))+IFERROR(INDEX(M_RawMaterials[固定週次消費量_要入力],MATCH($A53,M_RawMaterials[Part Name],0)),0)</f>
        <v/>
      </c>
      <c r="CU53">
        <f>SUMPRODUCT((M_BOM[Part Name]=$A53)*M_BOM[RM_Qty_Per_Batch]*IFERROR(INDEX(PP_Grid[#Data],M_BOM[PPGridRow],99),0))+IFERROR(INDEX(M_RawMaterials[固定週次消費量_要入力],MATCH($A53,M_RawMaterials[Part Name],0)),0)</f>
        <v/>
      </c>
      <c r="CV53">
        <f>SUMPRODUCT((M_BOM[Part Name]=$A53)*M_BOM[RM_Qty_Per_Batch]*IFERROR(INDEX(PP_Grid[#Data],M_BOM[PPGridRow],100),0))+IFERROR(INDEX(M_RawMaterials[固定週次消費量_要入力],MATCH($A53,M_RawMaterials[Part Name],0)),0)</f>
        <v/>
      </c>
      <c r="CW53">
        <f>SUMPRODUCT((M_BOM[Part Name]=$A53)*M_BOM[RM_Qty_Per_Batch]*IFERROR(INDEX(PP_Grid[#Data],M_BOM[PPGridRow],101),0))+IFERROR(INDEX(M_RawMaterials[固定週次消費量_要入力],MATCH($A53,M_RawMaterials[Part Name],0)),0)</f>
        <v/>
      </c>
      <c r="CX53">
        <f>SUMPRODUCT((M_BOM[Part Name]=$A53)*M_BOM[RM_Qty_Per_Batch]*IFERROR(INDEX(PP_Grid[#Data],M_BOM[PPGridRow],102),0))+IFERROR(INDEX(M_RawMaterials[固定週次消費量_要入力],MATCH($A53,M_RawMaterials[Part Name],0)),0)</f>
        <v/>
      </c>
      <c r="CY53">
        <f>SUMPRODUCT((M_BOM[Part Name]=$A53)*M_BOM[RM_Qty_Per_Batch]*IFERROR(INDEX(PP_Grid[#Data],M_BOM[PPGridRow],103),0))+IFERROR(INDEX(M_RawMaterials[固定週次消費量_要入力],MATCH($A53,M_RawMaterials[Part Name],0)),0)</f>
        <v/>
      </c>
      <c r="CZ53">
        <f>SUMPRODUCT((M_BOM[Part Name]=$A53)*M_BOM[RM_Qty_Per_Batch]*IFERROR(INDEX(PP_Grid[#Data],M_BOM[PPGridRow],104),0))+IFERROR(INDEX(M_RawMaterials[固定週次消費量_要入力],MATCH($A53,M_RawMaterials[Part Name],0)),0)</f>
        <v/>
      </c>
      <c r="DA53">
        <f>SUMPRODUCT((M_BOM[Part Name]=$A53)*M_BOM[RM_Qty_Per_Batch]*IFERROR(INDEX(PP_Grid[#Data],M_BOM[PPGridRow],105),0))+IFERROR(INDEX(M_RawMaterials[固定週次消費量_要入力],MATCH($A53,M_RawMaterials[Part Name],0)),0)</f>
        <v/>
      </c>
    </row>
    <row r="54">
      <c r="A54" t="inlineStr">
        <is>
          <t>18456-50061</t>
        </is>
      </c>
      <c r="B54">
        <f>SUMPRODUCT((M_BOM[Part Name]=$A54)*M_BOM[RM_Qty_Per_Batch]*IFERROR(INDEX(PP_Grid[#Data],M_BOM[PPGridRow],2),0))+IFERROR(INDEX(M_RawMaterials[固定週次消費量_要入力],MATCH($A54,M_RawMaterials[Part Name],0)),0)</f>
        <v/>
      </c>
      <c r="C54">
        <f>SUMPRODUCT((M_BOM[Part Name]=$A54)*M_BOM[RM_Qty_Per_Batch]*IFERROR(INDEX(PP_Grid[#Data],M_BOM[PPGridRow],3),0))+IFERROR(INDEX(M_RawMaterials[固定週次消費量_要入力],MATCH($A54,M_RawMaterials[Part Name],0)),0)</f>
        <v/>
      </c>
      <c r="D54">
        <f>SUMPRODUCT((M_BOM[Part Name]=$A54)*M_BOM[RM_Qty_Per_Batch]*IFERROR(INDEX(PP_Grid[#Data],M_BOM[PPGridRow],4),0))+IFERROR(INDEX(M_RawMaterials[固定週次消費量_要入力],MATCH($A54,M_RawMaterials[Part Name],0)),0)</f>
        <v/>
      </c>
      <c r="E54">
        <f>SUMPRODUCT((M_BOM[Part Name]=$A54)*M_BOM[RM_Qty_Per_Batch]*IFERROR(INDEX(PP_Grid[#Data],M_BOM[PPGridRow],5),0))+IFERROR(INDEX(M_RawMaterials[固定週次消費量_要入力],MATCH($A54,M_RawMaterials[Part Name],0)),0)</f>
        <v/>
      </c>
      <c r="F54">
        <f>SUMPRODUCT((M_BOM[Part Name]=$A54)*M_BOM[RM_Qty_Per_Batch]*IFERROR(INDEX(PP_Grid[#Data],M_BOM[PPGridRow],6),0))+IFERROR(INDEX(M_RawMaterials[固定週次消費量_要入力],MATCH($A54,M_RawMaterials[Part Name],0)),0)</f>
        <v/>
      </c>
      <c r="G54">
        <f>SUMPRODUCT((M_BOM[Part Name]=$A54)*M_BOM[RM_Qty_Per_Batch]*IFERROR(INDEX(PP_Grid[#Data],M_BOM[PPGridRow],7),0))+IFERROR(INDEX(M_RawMaterials[固定週次消費量_要入力],MATCH($A54,M_RawMaterials[Part Name],0)),0)</f>
        <v/>
      </c>
      <c r="H54">
        <f>SUMPRODUCT((M_BOM[Part Name]=$A54)*M_BOM[RM_Qty_Per_Batch]*IFERROR(INDEX(PP_Grid[#Data],M_BOM[PPGridRow],8),0))+IFERROR(INDEX(M_RawMaterials[固定週次消費量_要入力],MATCH($A54,M_RawMaterials[Part Name],0)),0)</f>
        <v/>
      </c>
      <c r="I54">
        <f>SUMPRODUCT((M_BOM[Part Name]=$A54)*M_BOM[RM_Qty_Per_Batch]*IFERROR(INDEX(PP_Grid[#Data],M_BOM[PPGridRow],9),0))+IFERROR(INDEX(M_RawMaterials[固定週次消費量_要入力],MATCH($A54,M_RawMaterials[Part Name],0)),0)</f>
        <v/>
      </c>
      <c r="J54">
        <f>SUMPRODUCT((M_BOM[Part Name]=$A54)*M_BOM[RM_Qty_Per_Batch]*IFERROR(INDEX(PP_Grid[#Data],M_BOM[PPGridRow],10),0))+IFERROR(INDEX(M_RawMaterials[固定週次消費量_要入力],MATCH($A54,M_RawMaterials[Part Name],0)),0)</f>
        <v/>
      </c>
      <c r="K54">
        <f>SUMPRODUCT((M_BOM[Part Name]=$A54)*M_BOM[RM_Qty_Per_Batch]*IFERROR(INDEX(PP_Grid[#Data],M_BOM[PPGridRow],11),0))+IFERROR(INDEX(M_RawMaterials[固定週次消費量_要入力],MATCH($A54,M_RawMaterials[Part Name],0)),0)</f>
        <v/>
      </c>
      <c r="L54">
        <f>SUMPRODUCT((M_BOM[Part Name]=$A54)*M_BOM[RM_Qty_Per_Batch]*IFERROR(INDEX(PP_Grid[#Data],M_BOM[PPGridRow],12),0))+IFERROR(INDEX(M_RawMaterials[固定週次消費量_要入力],MATCH($A54,M_RawMaterials[Part Name],0)),0)</f>
        <v/>
      </c>
      <c r="M54">
        <f>SUMPRODUCT((M_BOM[Part Name]=$A54)*M_BOM[RM_Qty_Per_Batch]*IFERROR(INDEX(PP_Grid[#Data],M_BOM[PPGridRow],13),0))+IFERROR(INDEX(M_RawMaterials[固定週次消費量_要入力],MATCH($A54,M_RawMaterials[Part Name],0)),0)</f>
        <v/>
      </c>
      <c r="N54">
        <f>SUMPRODUCT((M_BOM[Part Name]=$A54)*M_BOM[RM_Qty_Per_Batch]*IFERROR(INDEX(PP_Grid[#Data],M_BOM[PPGridRow],14),0))+IFERROR(INDEX(M_RawMaterials[固定週次消費量_要入力],MATCH($A54,M_RawMaterials[Part Name],0)),0)</f>
        <v/>
      </c>
      <c r="O54">
        <f>SUMPRODUCT((M_BOM[Part Name]=$A54)*M_BOM[RM_Qty_Per_Batch]*IFERROR(INDEX(PP_Grid[#Data],M_BOM[PPGridRow],15),0))+IFERROR(INDEX(M_RawMaterials[固定週次消費量_要入力],MATCH($A54,M_RawMaterials[Part Name],0)),0)</f>
        <v/>
      </c>
      <c r="P54">
        <f>SUMPRODUCT((M_BOM[Part Name]=$A54)*M_BOM[RM_Qty_Per_Batch]*IFERROR(INDEX(PP_Grid[#Data],M_BOM[PPGridRow],16),0))+IFERROR(INDEX(M_RawMaterials[固定週次消費量_要入力],MATCH($A54,M_RawMaterials[Part Name],0)),0)</f>
        <v/>
      </c>
      <c r="Q54">
        <f>SUMPRODUCT((M_BOM[Part Name]=$A54)*M_BOM[RM_Qty_Per_Batch]*IFERROR(INDEX(PP_Grid[#Data],M_BOM[PPGridRow],17),0))+IFERROR(INDEX(M_RawMaterials[固定週次消費量_要入力],MATCH($A54,M_RawMaterials[Part Name],0)),0)</f>
        <v/>
      </c>
      <c r="R54">
        <f>SUMPRODUCT((M_BOM[Part Name]=$A54)*M_BOM[RM_Qty_Per_Batch]*IFERROR(INDEX(PP_Grid[#Data],M_BOM[PPGridRow],18),0))+IFERROR(INDEX(M_RawMaterials[固定週次消費量_要入力],MATCH($A54,M_RawMaterials[Part Name],0)),0)</f>
        <v/>
      </c>
      <c r="S54">
        <f>SUMPRODUCT((M_BOM[Part Name]=$A54)*M_BOM[RM_Qty_Per_Batch]*IFERROR(INDEX(PP_Grid[#Data],M_BOM[PPGridRow],19),0))+IFERROR(INDEX(M_RawMaterials[固定週次消費量_要入力],MATCH($A54,M_RawMaterials[Part Name],0)),0)</f>
        <v/>
      </c>
      <c r="T54">
        <f>SUMPRODUCT((M_BOM[Part Name]=$A54)*M_BOM[RM_Qty_Per_Batch]*IFERROR(INDEX(PP_Grid[#Data],M_BOM[PPGridRow],20),0))+IFERROR(INDEX(M_RawMaterials[固定週次消費量_要入力],MATCH($A54,M_RawMaterials[Part Name],0)),0)</f>
        <v/>
      </c>
      <c r="U54">
        <f>SUMPRODUCT((M_BOM[Part Name]=$A54)*M_BOM[RM_Qty_Per_Batch]*IFERROR(INDEX(PP_Grid[#Data],M_BOM[PPGridRow],21),0))+IFERROR(INDEX(M_RawMaterials[固定週次消費量_要入力],MATCH($A54,M_RawMaterials[Part Name],0)),0)</f>
        <v/>
      </c>
      <c r="V54">
        <f>SUMPRODUCT((M_BOM[Part Name]=$A54)*M_BOM[RM_Qty_Per_Batch]*IFERROR(INDEX(PP_Grid[#Data],M_BOM[PPGridRow],22),0))+IFERROR(INDEX(M_RawMaterials[固定週次消費量_要入力],MATCH($A54,M_RawMaterials[Part Name],0)),0)</f>
        <v/>
      </c>
      <c r="W54">
        <f>SUMPRODUCT((M_BOM[Part Name]=$A54)*M_BOM[RM_Qty_Per_Batch]*IFERROR(INDEX(PP_Grid[#Data],M_BOM[PPGridRow],23),0))+IFERROR(INDEX(M_RawMaterials[固定週次消費量_要入力],MATCH($A54,M_RawMaterials[Part Name],0)),0)</f>
        <v/>
      </c>
      <c r="X54">
        <f>SUMPRODUCT((M_BOM[Part Name]=$A54)*M_BOM[RM_Qty_Per_Batch]*IFERROR(INDEX(PP_Grid[#Data],M_BOM[PPGridRow],24),0))+IFERROR(INDEX(M_RawMaterials[固定週次消費量_要入力],MATCH($A54,M_RawMaterials[Part Name],0)),0)</f>
        <v/>
      </c>
      <c r="Y54">
        <f>SUMPRODUCT((M_BOM[Part Name]=$A54)*M_BOM[RM_Qty_Per_Batch]*IFERROR(INDEX(PP_Grid[#Data],M_BOM[PPGridRow],25),0))+IFERROR(INDEX(M_RawMaterials[固定週次消費量_要入力],MATCH($A54,M_RawMaterials[Part Name],0)),0)</f>
        <v/>
      </c>
      <c r="Z54">
        <f>SUMPRODUCT((M_BOM[Part Name]=$A54)*M_BOM[RM_Qty_Per_Batch]*IFERROR(INDEX(PP_Grid[#Data],M_BOM[PPGridRow],26),0))+IFERROR(INDEX(M_RawMaterials[固定週次消費量_要入力],MATCH($A54,M_RawMaterials[Part Name],0)),0)</f>
        <v/>
      </c>
      <c r="AA54">
        <f>SUMPRODUCT((M_BOM[Part Name]=$A54)*M_BOM[RM_Qty_Per_Batch]*IFERROR(INDEX(PP_Grid[#Data],M_BOM[PPGridRow],27),0))+IFERROR(INDEX(M_RawMaterials[固定週次消費量_要入力],MATCH($A54,M_RawMaterials[Part Name],0)),0)</f>
        <v/>
      </c>
      <c r="AB54">
        <f>SUMPRODUCT((M_BOM[Part Name]=$A54)*M_BOM[RM_Qty_Per_Batch]*IFERROR(INDEX(PP_Grid[#Data],M_BOM[PPGridRow],28),0))+IFERROR(INDEX(M_RawMaterials[固定週次消費量_要入力],MATCH($A54,M_RawMaterials[Part Name],0)),0)</f>
        <v/>
      </c>
      <c r="AC54">
        <f>SUMPRODUCT((M_BOM[Part Name]=$A54)*M_BOM[RM_Qty_Per_Batch]*IFERROR(INDEX(PP_Grid[#Data],M_BOM[PPGridRow],29),0))+IFERROR(INDEX(M_RawMaterials[固定週次消費量_要入力],MATCH($A54,M_RawMaterials[Part Name],0)),0)</f>
        <v/>
      </c>
      <c r="AD54">
        <f>SUMPRODUCT((M_BOM[Part Name]=$A54)*M_BOM[RM_Qty_Per_Batch]*IFERROR(INDEX(PP_Grid[#Data],M_BOM[PPGridRow],30),0))+IFERROR(INDEX(M_RawMaterials[固定週次消費量_要入力],MATCH($A54,M_RawMaterials[Part Name],0)),0)</f>
        <v/>
      </c>
      <c r="AE54">
        <f>SUMPRODUCT((M_BOM[Part Name]=$A54)*M_BOM[RM_Qty_Per_Batch]*IFERROR(INDEX(PP_Grid[#Data],M_BOM[PPGridRow],31),0))+IFERROR(INDEX(M_RawMaterials[固定週次消費量_要入力],MATCH($A54,M_RawMaterials[Part Name],0)),0)</f>
        <v/>
      </c>
      <c r="AF54">
        <f>SUMPRODUCT((M_BOM[Part Name]=$A54)*M_BOM[RM_Qty_Per_Batch]*IFERROR(INDEX(PP_Grid[#Data],M_BOM[PPGridRow],32),0))+IFERROR(INDEX(M_RawMaterials[固定週次消費量_要入力],MATCH($A54,M_RawMaterials[Part Name],0)),0)</f>
        <v/>
      </c>
      <c r="AG54">
        <f>SUMPRODUCT((M_BOM[Part Name]=$A54)*M_BOM[RM_Qty_Per_Batch]*IFERROR(INDEX(PP_Grid[#Data],M_BOM[PPGridRow],33),0))+IFERROR(INDEX(M_RawMaterials[固定週次消費量_要入力],MATCH($A54,M_RawMaterials[Part Name],0)),0)</f>
        <v/>
      </c>
      <c r="AH54">
        <f>SUMPRODUCT((M_BOM[Part Name]=$A54)*M_BOM[RM_Qty_Per_Batch]*IFERROR(INDEX(PP_Grid[#Data],M_BOM[PPGridRow],34),0))+IFERROR(INDEX(M_RawMaterials[固定週次消費量_要入力],MATCH($A54,M_RawMaterials[Part Name],0)),0)</f>
        <v/>
      </c>
      <c r="AI54">
        <f>SUMPRODUCT((M_BOM[Part Name]=$A54)*M_BOM[RM_Qty_Per_Batch]*IFERROR(INDEX(PP_Grid[#Data],M_BOM[PPGridRow],35),0))+IFERROR(INDEX(M_RawMaterials[固定週次消費量_要入力],MATCH($A54,M_RawMaterials[Part Name],0)),0)</f>
        <v/>
      </c>
      <c r="AJ54">
        <f>SUMPRODUCT((M_BOM[Part Name]=$A54)*M_BOM[RM_Qty_Per_Batch]*IFERROR(INDEX(PP_Grid[#Data],M_BOM[PPGridRow],36),0))+IFERROR(INDEX(M_RawMaterials[固定週次消費量_要入力],MATCH($A54,M_RawMaterials[Part Name],0)),0)</f>
        <v/>
      </c>
      <c r="AK54">
        <f>SUMPRODUCT((M_BOM[Part Name]=$A54)*M_BOM[RM_Qty_Per_Batch]*IFERROR(INDEX(PP_Grid[#Data],M_BOM[PPGridRow],37),0))+IFERROR(INDEX(M_RawMaterials[固定週次消費量_要入力],MATCH($A54,M_RawMaterials[Part Name],0)),0)</f>
        <v/>
      </c>
      <c r="AL54">
        <f>SUMPRODUCT((M_BOM[Part Name]=$A54)*M_BOM[RM_Qty_Per_Batch]*IFERROR(INDEX(PP_Grid[#Data],M_BOM[PPGridRow],38),0))+IFERROR(INDEX(M_RawMaterials[固定週次消費量_要入力],MATCH($A54,M_RawMaterials[Part Name],0)),0)</f>
        <v/>
      </c>
      <c r="AM54">
        <f>SUMPRODUCT((M_BOM[Part Name]=$A54)*M_BOM[RM_Qty_Per_Batch]*IFERROR(INDEX(PP_Grid[#Data],M_BOM[PPGridRow],39),0))+IFERROR(INDEX(M_RawMaterials[固定週次消費量_要入力],MATCH($A54,M_RawMaterials[Part Name],0)),0)</f>
        <v/>
      </c>
      <c r="AN54">
        <f>SUMPRODUCT((M_BOM[Part Name]=$A54)*M_BOM[RM_Qty_Per_Batch]*IFERROR(INDEX(PP_Grid[#Data],M_BOM[PPGridRow],40),0))+IFERROR(INDEX(M_RawMaterials[固定週次消費量_要入力],MATCH($A54,M_RawMaterials[Part Name],0)),0)</f>
        <v/>
      </c>
      <c r="AO54">
        <f>SUMPRODUCT((M_BOM[Part Name]=$A54)*M_BOM[RM_Qty_Per_Batch]*IFERROR(INDEX(PP_Grid[#Data],M_BOM[PPGridRow],41),0))+IFERROR(INDEX(M_RawMaterials[固定週次消費量_要入力],MATCH($A54,M_RawMaterials[Part Name],0)),0)</f>
        <v/>
      </c>
      <c r="AP54">
        <f>SUMPRODUCT((M_BOM[Part Name]=$A54)*M_BOM[RM_Qty_Per_Batch]*IFERROR(INDEX(PP_Grid[#Data],M_BOM[PPGridRow],42),0))+IFERROR(INDEX(M_RawMaterials[固定週次消費量_要入力],MATCH($A54,M_RawMaterials[Part Name],0)),0)</f>
        <v/>
      </c>
      <c r="AQ54">
        <f>SUMPRODUCT((M_BOM[Part Name]=$A54)*M_BOM[RM_Qty_Per_Batch]*IFERROR(INDEX(PP_Grid[#Data],M_BOM[PPGridRow],43),0))+IFERROR(INDEX(M_RawMaterials[固定週次消費量_要入力],MATCH($A54,M_RawMaterials[Part Name],0)),0)</f>
        <v/>
      </c>
      <c r="AR54">
        <f>SUMPRODUCT((M_BOM[Part Name]=$A54)*M_BOM[RM_Qty_Per_Batch]*IFERROR(INDEX(PP_Grid[#Data],M_BOM[PPGridRow],44),0))+IFERROR(INDEX(M_RawMaterials[固定週次消費量_要入力],MATCH($A54,M_RawMaterials[Part Name],0)),0)</f>
        <v/>
      </c>
      <c r="AS54">
        <f>SUMPRODUCT((M_BOM[Part Name]=$A54)*M_BOM[RM_Qty_Per_Batch]*IFERROR(INDEX(PP_Grid[#Data],M_BOM[PPGridRow],45),0))+IFERROR(INDEX(M_RawMaterials[固定週次消費量_要入力],MATCH($A54,M_RawMaterials[Part Name],0)),0)</f>
        <v/>
      </c>
      <c r="AT54">
        <f>SUMPRODUCT((M_BOM[Part Name]=$A54)*M_BOM[RM_Qty_Per_Batch]*IFERROR(INDEX(PP_Grid[#Data],M_BOM[PPGridRow],46),0))+IFERROR(INDEX(M_RawMaterials[固定週次消費量_要入力],MATCH($A54,M_RawMaterials[Part Name],0)),0)</f>
        <v/>
      </c>
      <c r="AU54">
        <f>SUMPRODUCT((M_BOM[Part Name]=$A54)*M_BOM[RM_Qty_Per_Batch]*IFERROR(INDEX(PP_Grid[#Data],M_BOM[PPGridRow],47),0))+IFERROR(INDEX(M_RawMaterials[固定週次消費量_要入力],MATCH($A54,M_RawMaterials[Part Name],0)),0)</f>
        <v/>
      </c>
      <c r="AV54">
        <f>SUMPRODUCT((M_BOM[Part Name]=$A54)*M_BOM[RM_Qty_Per_Batch]*IFERROR(INDEX(PP_Grid[#Data],M_BOM[PPGridRow],48),0))+IFERROR(INDEX(M_RawMaterials[固定週次消費量_要入力],MATCH($A54,M_RawMaterials[Part Name],0)),0)</f>
        <v/>
      </c>
      <c r="AW54">
        <f>SUMPRODUCT((M_BOM[Part Name]=$A54)*M_BOM[RM_Qty_Per_Batch]*IFERROR(INDEX(PP_Grid[#Data],M_BOM[PPGridRow],49),0))+IFERROR(INDEX(M_RawMaterials[固定週次消費量_要入力],MATCH($A54,M_RawMaterials[Part Name],0)),0)</f>
        <v/>
      </c>
      <c r="AX54">
        <f>SUMPRODUCT((M_BOM[Part Name]=$A54)*M_BOM[RM_Qty_Per_Batch]*IFERROR(INDEX(PP_Grid[#Data],M_BOM[PPGridRow],50),0))+IFERROR(INDEX(M_RawMaterials[固定週次消費量_要入力],MATCH($A54,M_RawMaterials[Part Name],0)),0)</f>
        <v/>
      </c>
      <c r="AY54">
        <f>SUMPRODUCT((M_BOM[Part Name]=$A54)*M_BOM[RM_Qty_Per_Batch]*IFERROR(INDEX(PP_Grid[#Data],M_BOM[PPGridRow],51),0))+IFERROR(INDEX(M_RawMaterials[固定週次消費量_要入力],MATCH($A54,M_RawMaterials[Part Name],0)),0)</f>
        <v/>
      </c>
      <c r="AZ54">
        <f>SUMPRODUCT((M_BOM[Part Name]=$A54)*M_BOM[RM_Qty_Per_Batch]*IFERROR(INDEX(PP_Grid[#Data],M_BOM[PPGridRow],52),0))+IFERROR(INDEX(M_RawMaterials[固定週次消費量_要入力],MATCH($A54,M_RawMaterials[Part Name],0)),0)</f>
        <v/>
      </c>
      <c r="BA54">
        <f>SUMPRODUCT((M_BOM[Part Name]=$A54)*M_BOM[RM_Qty_Per_Batch]*IFERROR(INDEX(PP_Grid[#Data],M_BOM[PPGridRow],53),0))+IFERROR(INDEX(M_RawMaterials[固定週次消費量_要入力],MATCH($A54,M_RawMaterials[Part Name],0)),0)</f>
        <v/>
      </c>
      <c r="BB54">
        <f>SUMPRODUCT((M_BOM[Part Name]=$A54)*M_BOM[RM_Qty_Per_Batch]*IFERROR(INDEX(PP_Grid[#Data],M_BOM[PPGridRow],54),0))+IFERROR(INDEX(M_RawMaterials[固定週次消費量_要入力],MATCH($A54,M_RawMaterials[Part Name],0)),0)</f>
        <v/>
      </c>
      <c r="BC54">
        <f>SUMPRODUCT((M_BOM[Part Name]=$A54)*M_BOM[RM_Qty_Per_Batch]*IFERROR(INDEX(PP_Grid[#Data],M_BOM[PPGridRow],55),0))+IFERROR(INDEX(M_RawMaterials[固定週次消費量_要入力],MATCH($A54,M_RawMaterials[Part Name],0)),0)</f>
        <v/>
      </c>
      <c r="BD54">
        <f>SUMPRODUCT((M_BOM[Part Name]=$A54)*M_BOM[RM_Qty_Per_Batch]*IFERROR(INDEX(PP_Grid[#Data],M_BOM[PPGridRow],56),0))+IFERROR(INDEX(M_RawMaterials[固定週次消費量_要入力],MATCH($A54,M_RawMaterials[Part Name],0)),0)</f>
        <v/>
      </c>
      <c r="BE54">
        <f>SUMPRODUCT((M_BOM[Part Name]=$A54)*M_BOM[RM_Qty_Per_Batch]*IFERROR(INDEX(PP_Grid[#Data],M_BOM[PPGridRow],57),0))+IFERROR(INDEX(M_RawMaterials[固定週次消費量_要入力],MATCH($A54,M_RawMaterials[Part Name],0)),0)</f>
        <v/>
      </c>
      <c r="BF54">
        <f>SUMPRODUCT((M_BOM[Part Name]=$A54)*M_BOM[RM_Qty_Per_Batch]*IFERROR(INDEX(PP_Grid[#Data],M_BOM[PPGridRow],58),0))+IFERROR(INDEX(M_RawMaterials[固定週次消費量_要入力],MATCH($A54,M_RawMaterials[Part Name],0)),0)</f>
        <v/>
      </c>
      <c r="BG54">
        <f>SUMPRODUCT((M_BOM[Part Name]=$A54)*M_BOM[RM_Qty_Per_Batch]*IFERROR(INDEX(PP_Grid[#Data],M_BOM[PPGridRow],59),0))+IFERROR(INDEX(M_RawMaterials[固定週次消費量_要入力],MATCH($A54,M_RawMaterials[Part Name],0)),0)</f>
        <v/>
      </c>
      <c r="BH54">
        <f>SUMPRODUCT((M_BOM[Part Name]=$A54)*M_BOM[RM_Qty_Per_Batch]*IFERROR(INDEX(PP_Grid[#Data],M_BOM[PPGridRow],60),0))+IFERROR(INDEX(M_RawMaterials[固定週次消費量_要入力],MATCH($A54,M_RawMaterials[Part Name],0)),0)</f>
        <v/>
      </c>
      <c r="BI54">
        <f>SUMPRODUCT((M_BOM[Part Name]=$A54)*M_BOM[RM_Qty_Per_Batch]*IFERROR(INDEX(PP_Grid[#Data],M_BOM[PPGridRow],61),0))+IFERROR(INDEX(M_RawMaterials[固定週次消費量_要入力],MATCH($A54,M_RawMaterials[Part Name],0)),0)</f>
        <v/>
      </c>
      <c r="BJ54">
        <f>SUMPRODUCT((M_BOM[Part Name]=$A54)*M_BOM[RM_Qty_Per_Batch]*IFERROR(INDEX(PP_Grid[#Data],M_BOM[PPGridRow],62),0))+IFERROR(INDEX(M_RawMaterials[固定週次消費量_要入力],MATCH($A54,M_RawMaterials[Part Name],0)),0)</f>
        <v/>
      </c>
      <c r="BK54">
        <f>SUMPRODUCT((M_BOM[Part Name]=$A54)*M_BOM[RM_Qty_Per_Batch]*IFERROR(INDEX(PP_Grid[#Data],M_BOM[PPGridRow],63),0))+IFERROR(INDEX(M_RawMaterials[固定週次消費量_要入力],MATCH($A54,M_RawMaterials[Part Name],0)),0)</f>
        <v/>
      </c>
      <c r="BL54">
        <f>SUMPRODUCT((M_BOM[Part Name]=$A54)*M_BOM[RM_Qty_Per_Batch]*IFERROR(INDEX(PP_Grid[#Data],M_BOM[PPGridRow],64),0))+IFERROR(INDEX(M_RawMaterials[固定週次消費量_要入力],MATCH($A54,M_RawMaterials[Part Name],0)),0)</f>
        <v/>
      </c>
      <c r="BM54">
        <f>SUMPRODUCT((M_BOM[Part Name]=$A54)*M_BOM[RM_Qty_Per_Batch]*IFERROR(INDEX(PP_Grid[#Data],M_BOM[PPGridRow],65),0))+IFERROR(INDEX(M_RawMaterials[固定週次消費量_要入力],MATCH($A54,M_RawMaterials[Part Name],0)),0)</f>
        <v/>
      </c>
      <c r="BN54">
        <f>SUMPRODUCT((M_BOM[Part Name]=$A54)*M_BOM[RM_Qty_Per_Batch]*IFERROR(INDEX(PP_Grid[#Data],M_BOM[PPGridRow],66),0))+IFERROR(INDEX(M_RawMaterials[固定週次消費量_要入力],MATCH($A54,M_RawMaterials[Part Name],0)),0)</f>
        <v/>
      </c>
      <c r="BO54">
        <f>SUMPRODUCT((M_BOM[Part Name]=$A54)*M_BOM[RM_Qty_Per_Batch]*IFERROR(INDEX(PP_Grid[#Data],M_BOM[PPGridRow],67),0))+IFERROR(INDEX(M_RawMaterials[固定週次消費量_要入力],MATCH($A54,M_RawMaterials[Part Name],0)),0)</f>
        <v/>
      </c>
      <c r="BP54">
        <f>SUMPRODUCT((M_BOM[Part Name]=$A54)*M_BOM[RM_Qty_Per_Batch]*IFERROR(INDEX(PP_Grid[#Data],M_BOM[PPGridRow],68),0))+IFERROR(INDEX(M_RawMaterials[固定週次消費量_要入力],MATCH($A54,M_RawMaterials[Part Name],0)),0)</f>
        <v/>
      </c>
      <c r="BQ54">
        <f>SUMPRODUCT((M_BOM[Part Name]=$A54)*M_BOM[RM_Qty_Per_Batch]*IFERROR(INDEX(PP_Grid[#Data],M_BOM[PPGridRow],69),0))+IFERROR(INDEX(M_RawMaterials[固定週次消費量_要入力],MATCH($A54,M_RawMaterials[Part Name],0)),0)</f>
        <v/>
      </c>
      <c r="BR54">
        <f>SUMPRODUCT((M_BOM[Part Name]=$A54)*M_BOM[RM_Qty_Per_Batch]*IFERROR(INDEX(PP_Grid[#Data],M_BOM[PPGridRow],70),0))+IFERROR(INDEX(M_RawMaterials[固定週次消費量_要入力],MATCH($A54,M_RawMaterials[Part Name],0)),0)</f>
        <v/>
      </c>
      <c r="BS54">
        <f>SUMPRODUCT((M_BOM[Part Name]=$A54)*M_BOM[RM_Qty_Per_Batch]*IFERROR(INDEX(PP_Grid[#Data],M_BOM[PPGridRow],71),0))+IFERROR(INDEX(M_RawMaterials[固定週次消費量_要入力],MATCH($A54,M_RawMaterials[Part Name],0)),0)</f>
        <v/>
      </c>
      <c r="BT54">
        <f>SUMPRODUCT((M_BOM[Part Name]=$A54)*M_BOM[RM_Qty_Per_Batch]*IFERROR(INDEX(PP_Grid[#Data],M_BOM[PPGridRow],72),0))+IFERROR(INDEX(M_RawMaterials[固定週次消費量_要入力],MATCH($A54,M_RawMaterials[Part Name],0)),0)</f>
        <v/>
      </c>
      <c r="BU54">
        <f>SUMPRODUCT((M_BOM[Part Name]=$A54)*M_BOM[RM_Qty_Per_Batch]*IFERROR(INDEX(PP_Grid[#Data],M_BOM[PPGridRow],73),0))+IFERROR(INDEX(M_RawMaterials[固定週次消費量_要入力],MATCH($A54,M_RawMaterials[Part Name],0)),0)</f>
        <v/>
      </c>
      <c r="BV54">
        <f>SUMPRODUCT((M_BOM[Part Name]=$A54)*M_BOM[RM_Qty_Per_Batch]*IFERROR(INDEX(PP_Grid[#Data],M_BOM[PPGridRow],74),0))+IFERROR(INDEX(M_RawMaterials[固定週次消費量_要入力],MATCH($A54,M_RawMaterials[Part Name],0)),0)</f>
        <v/>
      </c>
      <c r="BW54">
        <f>SUMPRODUCT((M_BOM[Part Name]=$A54)*M_BOM[RM_Qty_Per_Batch]*IFERROR(INDEX(PP_Grid[#Data],M_BOM[PPGridRow],75),0))+IFERROR(INDEX(M_RawMaterials[固定週次消費量_要入力],MATCH($A54,M_RawMaterials[Part Name],0)),0)</f>
        <v/>
      </c>
      <c r="BX54">
        <f>SUMPRODUCT((M_BOM[Part Name]=$A54)*M_BOM[RM_Qty_Per_Batch]*IFERROR(INDEX(PP_Grid[#Data],M_BOM[PPGridRow],76),0))+IFERROR(INDEX(M_RawMaterials[固定週次消費量_要入力],MATCH($A54,M_RawMaterials[Part Name],0)),0)</f>
        <v/>
      </c>
      <c r="BY54">
        <f>SUMPRODUCT((M_BOM[Part Name]=$A54)*M_BOM[RM_Qty_Per_Batch]*IFERROR(INDEX(PP_Grid[#Data],M_BOM[PPGridRow],77),0))+IFERROR(INDEX(M_RawMaterials[固定週次消費量_要入力],MATCH($A54,M_RawMaterials[Part Name],0)),0)</f>
        <v/>
      </c>
      <c r="BZ54">
        <f>SUMPRODUCT((M_BOM[Part Name]=$A54)*M_BOM[RM_Qty_Per_Batch]*IFERROR(INDEX(PP_Grid[#Data],M_BOM[PPGridRow],78),0))+IFERROR(INDEX(M_RawMaterials[固定週次消費量_要入力],MATCH($A54,M_RawMaterials[Part Name],0)),0)</f>
        <v/>
      </c>
      <c r="CA54">
        <f>SUMPRODUCT((M_BOM[Part Name]=$A54)*M_BOM[RM_Qty_Per_Batch]*IFERROR(INDEX(PP_Grid[#Data],M_BOM[PPGridRow],79),0))+IFERROR(INDEX(M_RawMaterials[固定週次消費量_要入力],MATCH($A54,M_RawMaterials[Part Name],0)),0)</f>
        <v/>
      </c>
      <c r="CB54">
        <f>SUMPRODUCT((M_BOM[Part Name]=$A54)*M_BOM[RM_Qty_Per_Batch]*IFERROR(INDEX(PP_Grid[#Data],M_BOM[PPGridRow],80),0))+IFERROR(INDEX(M_RawMaterials[固定週次消費量_要入力],MATCH($A54,M_RawMaterials[Part Name],0)),0)</f>
        <v/>
      </c>
      <c r="CC54">
        <f>SUMPRODUCT((M_BOM[Part Name]=$A54)*M_BOM[RM_Qty_Per_Batch]*IFERROR(INDEX(PP_Grid[#Data],M_BOM[PPGridRow],81),0))+IFERROR(INDEX(M_RawMaterials[固定週次消費量_要入力],MATCH($A54,M_RawMaterials[Part Name],0)),0)</f>
        <v/>
      </c>
      <c r="CD54">
        <f>SUMPRODUCT((M_BOM[Part Name]=$A54)*M_BOM[RM_Qty_Per_Batch]*IFERROR(INDEX(PP_Grid[#Data],M_BOM[PPGridRow],82),0))+IFERROR(INDEX(M_RawMaterials[固定週次消費量_要入力],MATCH($A54,M_RawMaterials[Part Name],0)),0)</f>
        <v/>
      </c>
      <c r="CE54">
        <f>SUMPRODUCT((M_BOM[Part Name]=$A54)*M_BOM[RM_Qty_Per_Batch]*IFERROR(INDEX(PP_Grid[#Data],M_BOM[PPGridRow],83),0))+IFERROR(INDEX(M_RawMaterials[固定週次消費量_要入力],MATCH($A54,M_RawMaterials[Part Name],0)),0)</f>
        <v/>
      </c>
      <c r="CF54">
        <f>SUMPRODUCT((M_BOM[Part Name]=$A54)*M_BOM[RM_Qty_Per_Batch]*IFERROR(INDEX(PP_Grid[#Data],M_BOM[PPGridRow],84),0))+IFERROR(INDEX(M_RawMaterials[固定週次消費量_要入力],MATCH($A54,M_RawMaterials[Part Name],0)),0)</f>
        <v/>
      </c>
      <c r="CG54">
        <f>SUMPRODUCT((M_BOM[Part Name]=$A54)*M_BOM[RM_Qty_Per_Batch]*IFERROR(INDEX(PP_Grid[#Data],M_BOM[PPGridRow],85),0))+IFERROR(INDEX(M_RawMaterials[固定週次消費量_要入力],MATCH($A54,M_RawMaterials[Part Name],0)),0)</f>
        <v/>
      </c>
      <c r="CH54">
        <f>SUMPRODUCT((M_BOM[Part Name]=$A54)*M_BOM[RM_Qty_Per_Batch]*IFERROR(INDEX(PP_Grid[#Data],M_BOM[PPGridRow],86),0))+IFERROR(INDEX(M_RawMaterials[固定週次消費量_要入力],MATCH($A54,M_RawMaterials[Part Name],0)),0)</f>
        <v/>
      </c>
      <c r="CI54">
        <f>SUMPRODUCT((M_BOM[Part Name]=$A54)*M_BOM[RM_Qty_Per_Batch]*IFERROR(INDEX(PP_Grid[#Data],M_BOM[PPGridRow],87),0))+IFERROR(INDEX(M_RawMaterials[固定週次消費量_要入力],MATCH($A54,M_RawMaterials[Part Name],0)),0)</f>
        <v/>
      </c>
      <c r="CJ54">
        <f>SUMPRODUCT((M_BOM[Part Name]=$A54)*M_BOM[RM_Qty_Per_Batch]*IFERROR(INDEX(PP_Grid[#Data],M_BOM[PPGridRow],88),0))+IFERROR(INDEX(M_RawMaterials[固定週次消費量_要入力],MATCH($A54,M_RawMaterials[Part Name],0)),0)</f>
        <v/>
      </c>
      <c r="CK54">
        <f>SUMPRODUCT((M_BOM[Part Name]=$A54)*M_BOM[RM_Qty_Per_Batch]*IFERROR(INDEX(PP_Grid[#Data],M_BOM[PPGridRow],89),0))+IFERROR(INDEX(M_RawMaterials[固定週次消費量_要入力],MATCH($A54,M_RawMaterials[Part Name],0)),0)</f>
        <v/>
      </c>
      <c r="CL54">
        <f>SUMPRODUCT((M_BOM[Part Name]=$A54)*M_BOM[RM_Qty_Per_Batch]*IFERROR(INDEX(PP_Grid[#Data],M_BOM[PPGridRow],90),0))+IFERROR(INDEX(M_RawMaterials[固定週次消費量_要入力],MATCH($A54,M_RawMaterials[Part Name],0)),0)</f>
        <v/>
      </c>
      <c r="CM54">
        <f>SUMPRODUCT((M_BOM[Part Name]=$A54)*M_BOM[RM_Qty_Per_Batch]*IFERROR(INDEX(PP_Grid[#Data],M_BOM[PPGridRow],91),0))+IFERROR(INDEX(M_RawMaterials[固定週次消費量_要入力],MATCH($A54,M_RawMaterials[Part Name],0)),0)</f>
        <v/>
      </c>
      <c r="CN54">
        <f>SUMPRODUCT((M_BOM[Part Name]=$A54)*M_BOM[RM_Qty_Per_Batch]*IFERROR(INDEX(PP_Grid[#Data],M_BOM[PPGridRow],92),0))+IFERROR(INDEX(M_RawMaterials[固定週次消費量_要入力],MATCH($A54,M_RawMaterials[Part Name],0)),0)</f>
        <v/>
      </c>
      <c r="CO54">
        <f>SUMPRODUCT((M_BOM[Part Name]=$A54)*M_BOM[RM_Qty_Per_Batch]*IFERROR(INDEX(PP_Grid[#Data],M_BOM[PPGridRow],93),0))+IFERROR(INDEX(M_RawMaterials[固定週次消費量_要入力],MATCH($A54,M_RawMaterials[Part Name],0)),0)</f>
        <v/>
      </c>
      <c r="CP54">
        <f>SUMPRODUCT((M_BOM[Part Name]=$A54)*M_BOM[RM_Qty_Per_Batch]*IFERROR(INDEX(PP_Grid[#Data],M_BOM[PPGridRow],94),0))+IFERROR(INDEX(M_RawMaterials[固定週次消費量_要入力],MATCH($A54,M_RawMaterials[Part Name],0)),0)</f>
        <v/>
      </c>
      <c r="CQ54">
        <f>SUMPRODUCT((M_BOM[Part Name]=$A54)*M_BOM[RM_Qty_Per_Batch]*IFERROR(INDEX(PP_Grid[#Data],M_BOM[PPGridRow],95),0))+IFERROR(INDEX(M_RawMaterials[固定週次消費量_要入力],MATCH($A54,M_RawMaterials[Part Name],0)),0)</f>
        <v/>
      </c>
      <c r="CR54">
        <f>SUMPRODUCT((M_BOM[Part Name]=$A54)*M_BOM[RM_Qty_Per_Batch]*IFERROR(INDEX(PP_Grid[#Data],M_BOM[PPGridRow],96),0))+IFERROR(INDEX(M_RawMaterials[固定週次消費量_要入力],MATCH($A54,M_RawMaterials[Part Name],0)),0)</f>
        <v/>
      </c>
      <c r="CS54">
        <f>SUMPRODUCT((M_BOM[Part Name]=$A54)*M_BOM[RM_Qty_Per_Batch]*IFERROR(INDEX(PP_Grid[#Data],M_BOM[PPGridRow],97),0))+IFERROR(INDEX(M_RawMaterials[固定週次消費量_要入力],MATCH($A54,M_RawMaterials[Part Name],0)),0)</f>
        <v/>
      </c>
      <c r="CT54">
        <f>SUMPRODUCT((M_BOM[Part Name]=$A54)*M_BOM[RM_Qty_Per_Batch]*IFERROR(INDEX(PP_Grid[#Data],M_BOM[PPGridRow],98),0))+IFERROR(INDEX(M_RawMaterials[固定週次消費量_要入力],MATCH($A54,M_RawMaterials[Part Name],0)),0)</f>
        <v/>
      </c>
      <c r="CU54">
        <f>SUMPRODUCT((M_BOM[Part Name]=$A54)*M_BOM[RM_Qty_Per_Batch]*IFERROR(INDEX(PP_Grid[#Data],M_BOM[PPGridRow],99),0))+IFERROR(INDEX(M_RawMaterials[固定週次消費量_要入力],MATCH($A54,M_RawMaterials[Part Name],0)),0)</f>
        <v/>
      </c>
      <c r="CV54">
        <f>SUMPRODUCT((M_BOM[Part Name]=$A54)*M_BOM[RM_Qty_Per_Batch]*IFERROR(INDEX(PP_Grid[#Data],M_BOM[PPGridRow],100),0))+IFERROR(INDEX(M_RawMaterials[固定週次消費量_要入力],MATCH($A54,M_RawMaterials[Part Name],0)),0)</f>
        <v/>
      </c>
      <c r="CW54">
        <f>SUMPRODUCT((M_BOM[Part Name]=$A54)*M_BOM[RM_Qty_Per_Batch]*IFERROR(INDEX(PP_Grid[#Data],M_BOM[PPGridRow],101),0))+IFERROR(INDEX(M_RawMaterials[固定週次消費量_要入力],MATCH($A54,M_RawMaterials[Part Name],0)),0)</f>
        <v/>
      </c>
      <c r="CX54">
        <f>SUMPRODUCT((M_BOM[Part Name]=$A54)*M_BOM[RM_Qty_Per_Batch]*IFERROR(INDEX(PP_Grid[#Data],M_BOM[PPGridRow],102),0))+IFERROR(INDEX(M_RawMaterials[固定週次消費量_要入力],MATCH($A54,M_RawMaterials[Part Name],0)),0)</f>
        <v/>
      </c>
      <c r="CY54">
        <f>SUMPRODUCT((M_BOM[Part Name]=$A54)*M_BOM[RM_Qty_Per_Batch]*IFERROR(INDEX(PP_Grid[#Data],M_BOM[PPGridRow],103),0))+IFERROR(INDEX(M_RawMaterials[固定週次消費量_要入力],MATCH($A54,M_RawMaterials[Part Name],0)),0)</f>
        <v/>
      </c>
      <c r="CZ54">
        <f>SUMPRODUCT((M_BOM[Part Name]=$A54)*M_BOM[RM_Qty_Per_Batch]*IFERROR(INDEX(PP_Grid[#Data],M_BOM[PPGridRow],104),0))+IFERROR(INDEX(M_RawMaterials[固定週次消費量_要入力],MATCH($A54,M_RawMaterials[Part Name],0)),0)</f>
        <v/>
      </c>
      <c r="DA54">
        <f>SUMPRODUCT((M_BOM[Part Name]=$A54)*M_BOM[RM_Qty_Per_Batch]*IFERROR(INDEX(PP_Grid[#Data],M_BOM[PPGridRow],105),0))+IFERROR(INDEX(M_RawMaterials[固定週次消費量_要入力],MATCH($A54,M_RawMaterials[Part Name],0)),0)</f>
        <v/>
      </c>
    </row>
    <row r="55">
      <c r="A55" t="inlineStr">
        <is>
          <t>Original Towel</t>
        </is>
      </c>
      <c r="B55">
        <f>SUMPRODUCT((M_BOM[Part Name]=$A55)*M_BOM[RM_Qty_Per_Batch]*IFERROR(INDEX(PP_Grid[#Data],M_BOM[PPGridRow],2),0))+IFERROR(INDEX(M_RawMaterials[固定週次消費量_要入力],MATCH($A55,M_RawMaterials[Part Name],0)),0)</f>
        <v/>
      </c>
      <c r="C55">
        <f>SUMPRODUCT((M_BOM[Part Name]=$A55)*M_BOM[RM_Qty_Per_Batch]*IFERROR(INDEX(PP_Grid[#Data],M_BOM[PPGridRow],3),0))+IFERROR(INDEX(M_RawMaterials[固定週次消費量_要入力],MATCH($A55,M_RawMaterials[Part Name],0)),0)</f>
        <v/>
      </c>
      <c r="D55">
        <f>SUMPRODUCT((M_BOM[Part Name]=$A55)*M_BOM[RM_Qty_Per_Batch]*IFERROR(INDEX(PP_Grid[#Data],M_BOM[PPGridRow],4),0))+IFERROR(INDEX(M_RawMaterials[固定週次消費量_要入力],MATCH($A55,M_RawMaterials[Part Name],0)),0)</f>
        <v/>
      </c>
      <c r="E55">
        <f>SUMPRODUCT((M_BOM[Part Name]=$A55)*M_BOM[RM_Qty_Per_Batch]*IFERROR(INDEX(PP_Grid[#Data],M_BOM[PPGridRow],5),0))+IFERROR(INDEX(M_RawMaterials[固定週次消費量_要入力],MATCH($A55,M_RawMaterials[Part Name],0)),0)</f>
        <v/>
      </c>
      <c r="F55">
        <f>SUMPRODUCT((M_BOM[Part Name]=$A55)*M_BOM[RM_Qty_Per_Batch]*IFERROR(INDEX(PP_Grid[#Data],M_BOM[PPGridRow],6),0))+IFERROR(INDEX(M_RawMaterials[固定週次消費量_要入力],MATCH($A55,M_RawMaterials[Part Name],0)),0)</f>
        <v/>
      </c>
      <c r="G55">
        <f>SUMPRODUCT((M_BOM[Part Name]=$A55)*M_BOM[RM_Qty_Per_Batch]*IFERROR(INDEX(PP_Grid[#Data],M_BOM[PPGridRow],7),0))+IFERROR(INDEX(M_RawMaterials[固定週次消費量_要入力],MATCH($A55,M_RawMaterials[Part Name],0)),0)</f>
        <v/>
      </c>
      <c r="H55">
        <f>SUMPRODUCT((M_BOM[Part Name]=$A55)*M_BOM[RM_Qty_Per_Batch]*IFERROR(INDEX(PP_Grid[#Data],M_BOM[PPGridRow],8),0))+IFERROR(INDEX(M_RawMaterials[固定週次消費量_要入力],MATCH($A55,M_RawMaterials[Part Name],0)),0)</f>
        <v/>
      </c>
      <c r="I55">
        <f>SUMPRODUCT((M_BOM[Part Name]=$A55)*M_BOM[RM_Qty_Per_Batch]*IFERROR(INDEX(PP_Grid[#Data],M_BOM[PPGridRow],9),0))+IFERROR(INDEX(M_RawMaterials[固定週次消費量_要入力],MATCH($A55,M_RawMaterials[Part Name],0)),0)</f>
        <v/>
      </c>
      <c r="J55">
        <f>SUMPRODUCT((M_BOM[Part Name]=$A55)*M_BOM[RM_Qty_Per_Batch]*IFERROR(INDEX(PP_Grid[#Data],M_BOM[PPGridRow],10),0))+IFERROR(INDEX(M_RawMaterials[固定週次消費量_要入力],MATCH($A55,M_RawMaterials[Part Name],0)),0)</f>
        <v/>
      </c>
      <c r="K55">
        <f>SUMPRODUCT((M_BOM[Part Name]=$A55)*M_BOM[RM_Qty_Per_Batch]*IFERROR(INDEX(PP_Grid[#Data],M_BOM[PPGridRow],11),0))+IFERROR(INDEX(M_RawMaterials[固定週次消費量_要入力],MATCH($A55,M_RawMaterials[Part Name],0)),0)</f>
        <v/>
      </c>
      <c r="L55">
        <f>SUMPRODUCT((M_BOM[Part Name]=$A55)*M_BOM[RM_Qty_Per_Batch]*IFERROR(INDEX(PP_Grid[#Data],M_BOM[PPGridRow],12),0))+IFERROR(INDEX(M_RawMaterials[固定週次消費量_要入力],MATCH($A55,M_RawMaterials[Part Name],0)),0)</f>
        <v/>
      </c>
      <c r="M55">
        <f>SUMPRODUCT((M_BOM[Part Name]=$A55)*M_BOM[RM_Qty_Per_Batch]*IFERROR(INDEX(PP_Grid[#Data],M_BOM[PPGridRow],13),0))+IFERROR(INDEX(M_RawMaterials[固定週次消費量_要入力],MATCH($A55,M_RawMaterials[Part Name],0)),0)</f>
        <v/>
      </c>
      <c r="N55">
        <f>SUMPRODUCT((M_BOM[Part Name]=$A55)*M_BOM[RM_Qty_Per_Batch]*IFERROR(INDEX(PP_Grid[#Data],M_BOM[PPGridRow],14),0))+IFERROR(INDEX(M_RawMaterials[固定週次消費量_要入力],MATCH($A55,M_RawMaterials[Part Name],0)),0)</f>
        <v/>
      </c>
      <c r="O55">
        <f>SUMPRODUCT((M_BOM[Part Name]=$A55)*M_BOM[RM_Qty_Per_Batch]*IFERROR(INDEX(PP_Grid[#Data],M_BOM[PPGridRow],15),0))+IFERROR(INDEX(M_RawMaterials[固定週次消費量_要入力],MATCH($A55,M_RawMaterials[Part Name],0)),0)</f>
        <v/>
      </c>
      <c r="P55">
        <f>SUMPRODUCT((M_BOM[Part Name]=$A55)*M_BOM[RM_Qty_Per_Batch]*IFERROR(INDEX(PP_Grid[#Data],M_BOM[PPGridRow],16),0))+IFERROR(INDEX(M_RawMaterials[固定週次消費量_要入力],MATCH($A55,M_RawMaterials[Part Name],0)),0)</f>
        <v/>
      </c>
      <c r="Q55">
        <f>SUMPRODUCT((M_BOM[Part Name]=$A55)*M_BOM[RM_Qty_Per_Batch]*IFERROR(INDEX(PP_Grid[#Data],M_BOM[PPGridRow],17),0))+IFERROR(INDEX(M_RawMaterials[固定週次消費量_要入力],MATCH($A55,M_RawMaterials[Part Name],0)),0)</f>
        <v/>
      </c>
      <c r="R55">
        <f>SUMPRODUCT((M_BOM[Part Name]=$A55)*M_BOM[RM_Qty_Per_Batch]*IFERROR(INDEX(PP_Grid[#Data],M_BOM[PPGridRow],18),0))+IFERROR(INDEX(M_RawMaterials[固定週次消費量_要入力],MATCH($A55,M_RawMaterials[Part Name],0)),0)</f>
        <v/>
      </c>
      <c r="S55">
        <f>SUMPRODUCT((M_BOM[Part Name]=$A55)*M_BOM[RM_Qty_Per_Batch]*IFERROR(INDEX(PP_Grid[#Data],M_BOM[PPGridRow],19),0))+IFERROR(INDEX(M_RawMaterials[固定週次消費量_要入力],MATCH($A55,M_RawMaterials[Part Name],0)),0)</f>
        <v/>
      </c>
      <c r="T55">
        <f>SUMPRODUCT((M_BOM[Part Name]=$A55)*M_BOM[RM_Qty_Per_Batch]*IFERROR(INDEX(PP_Grid[#Data],M_BOM[PPGridRow],20),0))+IFERROR(INDEX(M_RawMaterials[固定週次消費量_要入力],MATCH($A55,M_RawMaterials[Part Name],0)),0)</f>
        <v/>
      </c>
      <c r="U55">
        <f>SUMPRODUCT((M_BOM[Part Name]=$A55)*M_BOM[RM_Qty_Per_Batch]*IFERROR(INDEX(PP_Grid[#Data],M_BOM[PPGridRow],21),0))+IFERROR(INDEX(M_RawMaterials[固定週次消費量_要入力],MATCH($A55,M_RawMaterials[Part Name],0)),0)</f>
        <v/>
      </c>
      <c r="V55">
        <f>SUMPRODUCT((M_BOM[Part Name]=$A55)*M_BOM[RM_Qty_Per_Batch]*IFERROR(INDEX(PP_Grid[#Data],M_BOM[PPGridRow],22),0))+IFERROR(INDEX(M_RawMaterials[固定週次消費量_要入力],MATCH($A55,M_RawMaterials[Part Name],0)),0)</f>
        <v/>
      </c>
      <c r="W55">
        <f>SUMPRODUCT((M_BOM[Part Name]=$A55)*M_BOM[RM_Qty_Per_Batch]*IFERROR(INDEX(PP_Grid[#Data],M_BOM[PPGridRow],23),0))+IFERROR(INDEX(M_RawMaterials[固定週次消費量_要入力],MATCH($A55,M_RawMaterials[Part Name],0)),0)</f>
        <v/>
      </c>
      <c r="X55">
        <f>SUMPRODUCT((M_BOM[Part Name]=$A55)*M_BOM[RM_Qty_Per_Batch]*IFERROR(INDEX(PP_Grid[#Data],M_BOM[PPGridRow],24),0))+IFERROR(INDEX(M_RawMaterials[固定週次消費量_要入力],MATCH($A55,M_RawMaterials[Part Name],0)),0)</f>
        <v/>
      </c>
      <c r="Y55">
        <f>SUMPRODUCT((M_BOM[Part Name]=$A55)*M_BOM[RM_Qty_Per_Batch]*IFERROR(INDEX(PP_Grid[#Data],M_BOM[PPGridRow],25),0))+IFERROR(INDEX(M_RawMaterials[固定週次消費量_要入力],MATCH($A55,M_RawMaterials[Part Name],0)),0)</f>
        <v/>
      </c>
      <c r="Z55">
        <f>SUMPRODUCT((M_BOM[Part Name]=$A55)*M_BOM[RM_Qty_Per_Batch]*IFERROR(INDEX(PP_Grid[#Data],M_BOM[PPGridRow],26),0))+IFERROR(INDEX(M_RawMaterials[固定週次消費量_要入力],MATCH($A55,M_RawMaterials[Part Name],0)),0)</f>
        <v/>
      </c>
      <c r="AA55">
        <f>SUMPRODUCT((M_BOM[Part Name]=$A55)*M_BOM[RM_Qty_Per_Batch]*IFERROR(INDEX(PP_Grid[#Data],M_BOM[PPGridRow],27),0))+IFERROR(INDEX(M_RawMaterials[固定週次消費量_要入力],MATCH($A55,M_RawMaterials[Part Name],0)),0)</f>
        <v/>
      </c>
      <c r="AB55">
        <f>SUMPRODUCT((M_BOM[Part Name]=$A55)*M_BOM[RM_Qty_Per_Batch]*IFERROR(INDEX(PP_Grid[#Data],M_BOM[PPGridRow],28),0))+IFERROR(INDEX(M_RawMaterials[固定週次消費量_要入力],MATCH($A55,M_RawMaterials[Part Name],0)),0)</f>
        <v/>
      </c>
      <c r="AC55">
        <f>SUMPRODUCT((M_BOM[Part Name]=$A55)*M_BOM[RM_Qty_Per_Batch]*IFERROR(INDEX(PP_Grid[#Data],M_BOM[PPGridRow],29),0))+IFERROR(INDEX(M_RawMaterials[固定週次消費量_要入力],MATCH($A55,M_RawMaterials[Part Name],0)),0)</f>
        <v/>
      </c>
      <c r="AD55">
        <f>SUMPRODUCT((M_BOM[Part Name]=$A55)*M_BOM[RM_Qty_Per_Batch]*IFERROR(INDEX(PP_Grid[#Data],M_BOM[PPGridRow],30),0))+IFERROR(INDEX(M_RawMaterials[固定週次消費量_要入力],MATCH($A55,M_RawMaterials[Part Name],0)),0)</f>
        <v/>
      </c>
      <c r="AE55">
        <f>SUMPRODUCT((M_BOM[Part Name]=$A55)*M_BOM[RM_Qty_Per_Batch]*IFERROR(INDEX(PP_Grid[#Data],M_BOM[PPGridRow],31),0))+IFERROR(INDEX(M_RawMaterials[固定週次消費量_要入力],MATCH($A55,M_RawMaterials[Part Name],0)),0)</f>
        <v/>
      </c>
      <c r="AF55">
        <f>SUMPRODUCT((M_BOM[Part Name]=$A55)*M_BOM[RM_Qty_Per_Batch]*IFERROR(INDEX(PP_Grid[#Data],M_BOM[PPGridRow],32),0))+IFERROR(INDEX(M_RawMaterials[固定週次消費量_要入力],MATCH($A55,M_RawMaterials[Part Name],0)),0)</f>
        <v/>
      </c>
      <c r="AG55">
        <f>SUMPRODUCT((M_BOM[Part Name]=$A55)*M_BOM[RM_Qty_Per_Batch]*IFERROR(INDEX(PP_Grid[#Data],M_BOM[PPGridRow],33),0))+IFERROR(INDEX(M_RawMaterials[固定週次消費量_要入力],MATCH($A55,M_RawMaterials[Part Name],0)),0)</f>
        <v/>
      </c>
      <c r="AH55">
        <f>SUMPRODUCT((M_BOM[Part Name]=$A55)*M_BOM[RM_Qty_Per_Batch]*IFERROR(INDEX(PP_Grid[#Data],M_BOM[PPGridRow],34),0))+IFERROR(INDEX(M_RawMaterials[固定週次消費量_要入力],MATCH($A55,M_RawMaterials[Part Name],0)),0)</f>
        <v/>
      </c>
      <c r="AI55">
        <f>SUMPRODUCT((M_BOM[Part Name]=$A55)*M_BOM[RM_Qty_Per_Batch]*IFERROR(INDEX(PP_Grid[#Data],M_BOM[PPGridRow],35),0))+IFERROR(INDEX(M_RawMaterials[固定週次消費量_要入力],MATCH($A55,M_RawMaterials[Part Name],0)),0)</f>
        <v/>
      </c>
      <c r="AJ55">
        <f>SUMPRODUCT((M_BOM[Part Name]=$A55)*M_BOM[RM_Qty_Per_Batch]*IFERROR(INDEX(PP_Grid[#Data],M_BOM[PPGridRow],36),0))+IFERROR(INDEX(M_RawMaterials[固定週次消費量_要入力],MATCH($A55,M_RawMaterials[Part Name],0)),0)</f>
        <v/>
      </c>
      <c r="AK55">
        <f>SUMPRODUCT((M_BOM[Part Name]=$A55)*M_BOM[RM_Qty_Per_Batch]*IFERROR(INDEX(PP_Grid[#Data],M_BOM[PPGridRow],37),0))+IFERROR(INDEX(M_RawMaterials[固定週次消費量_要入力],MATCH($A55,M_RawMaterials[Part Name],0)),0)</f>
        <v/>
      </c>
      <c r="AL55">
        <f>SUMPRODUCT((M_BOM[Part Name]=$A55)*M_BOM[RM_Qty_Per_Batch]*IFERROR(INDEX(PP_Grid[#Data],M_BOM[PPGridRow],38),0))+IFERROR(INDEX(M_RawMaterials[固定週次消費量_要入力],MATCH($A55,M_RawMaterials[Part Name],0)),0)</f>
        <v/>
      </c>
      <c r="AM55">
        <f>SUMPRODUCT((M_BOM[Part Name]=$A55)*M_BOM[RM_Qty_Per_Batch]*IFERROR(INDEX(PP_Grid[#Data],M_BOM[PPGridRow],39),0))+IFERROR(INDEX(M_RawMaterials[固定週次消費量_要入力],MATCH($A55,M_RawMaterials[Part Name],0)),0)</f>
        <v/>
      </c>
      <c r="AN55">
        <f>SUMPRODUCT((M_BOM[Part Name]=$A55)*M_BOM[RM_Qty_Per_Batch]*IFERROR(INDEX(PP_Grid[#Data],M_BOM[PPGridRow],40),0))+IFERROR(INDEX(M_RawMaterials[固定週次消費量_要入力],MATCH($A55,M_RawMaterials[Part Name],0)),0)</f>
        <v/>
      </c>
      <c r="AO55">
        <f>SUMPRODUCT((M_BOM[Part Name]=$A55)*M_BOM[RM_Qty_Per_Batch]*IFERROR(INDEX(PP_Grid[#Data],M_BOM[PPGridRow],41),0))+IFERROR(INDEX(M_RawMaterials[固定週次消費量_要入力],MATCH($A55,M_RawMaterials[Part Name],0)),0)</f>
        <v/>
      </c>
      <c r="AP55">
        <f>SUMPRODUCT((M_BOM[Part Name]=$A55)*M_BOM[RM_Qty_Per_Batch]*IFERROR(INDEX(PP_Grid[#Data],M_BOM[PPGridRow],42),0))+IFERROR(INDEX(M_RawMaterials[固定週次消費量_要入力],MATCH($A55,M_RawMaterials[Part Name],0)),0)</f>
        <v/>
      </c>
      <c r="AQ55">
        <f>SUMPRODUCT((M_BOM[Part Name]=$A55)*M_BOM[RM_Qty_Per_Batch]*IFERROR(INDEX(PP_Grid[#Data],M_BOM[PPGridRow],43),0))+IFERROR(INDEX(M_RawMaterials[固定週次消費量_要入力],MATCH($A55,M_RawMaterials[Part Name],0)),0)</f>
        <v/>
      </c>
      <c r="AR55">
        <f>SUMPRODUCT((M_BOM[Part Name]=$A55)*M_BOM[RM_Qty_Per_Batch]*IFERROR(INDEX(PP_Grid[#Data],M_BOM[PPGridRow],44),0))+IFERROR(INDEX(M_RawMaterials[固定週次消費量_要入力],MATCH($A55,M_RawMaterials[Part Name],0)),0)</f>
        <v/>
      </c>
      <c r="AS55">
        <f>SUMPRODUCT((M_BOM[Part Name]=$A55)*M_BOM[RM_Qty_Per_Batch]*IFERROR(INDEX(PP_Grid[#Data],M_BOM[PPGridRow],45),0))+IFERROR(INDEX(M_RawMaterials[固定週次消費量_要入力],MATCH($A55,M_RawMaterials[Part Name],0)),0)</f>
        <v/>
      </c>
      <c r="AT55">
        <f>SUMPRODUCT((M_BOM[Part Name]=$A55)*M_BOM[RM_Qty_Per_Batch]*IFERROR(INDEX(PP_Grid[#Data],M_BOM[PPGridRow],46),0))+IFERROR(INDEX(M_RawMaterials[固定週次消費量_要入力],MATCH($A55,M_RawMaterials[Part Name],0)),0)</f>
        <v/>
      </c>
      <c r="AU55">
        <f>SUMPRODUCT((M_BOM[Part Name]=$A55)*M_BOM[RM_Qty_Per_Batch]*IFERROR(INDEX(PP_Grid[#Data],M_BOM[PPGridRow],47),0))+IFERROR(INDEX(M_RawMaterials[固定週次消費量_要入力],MATCH($A55,M_RawMaterials[Part Name],0)),0)</f>
        <v/>
      </c>
      <c r="AV55">
        <f>SUMPRODUCT((M_BOM[Part Name]=$A55)*M_BOM[RM_Qty_Per_Batch]*IFERROR(INDEX(PP_Grid[#Data],M_BOM[PPGridRow],48),0))+IFERROR(INDEX(M_RawMaterials[固定週次消費量_要入力],MATCH($A55,M_RawMaterials[Part Name],0)),0)</f>
        <v/>
      </c>
      <c r="AW55">
        <f>SUMPRODUCT((M_BOM[Part Name]=$A55)*M_BOM[RM_Qty_Per_Batch]*IFERROR(INDEX(PP_Grid[#Data],M_BOM[PPGridRow],49),0))+IFERROR(INDEX(M_RawMaterials[固定週次消費量_要入力],MATCH($A55,M_RawMaterials[Part Name],0)),0)</f>
        <v/>
      </c>
      <c r="AX55">
        <f>SUMPRODUCT((M_BOM[Part Name]=$A55)*M_BOM[RM_Qty_Per_Batch]*IFERROR(INDEX(PP_Grid[#Data],M_BOM[PPGridRow],50),0))+IFERROR(INDEX(M_RawMaterials[固定週次消費量_要入力],MATCH($A55,M_RawMaterials[Part Name],0)),0)</f>
        <v/>
      </c>
      <c r="AY55">
        <f>SUMPRODUCT((M_BOM[Part Name]=$A55)*M_BOM[RM_Qty_Per_Batch]*IFERROR(INDEX(PP_Grid[#Data],M_BOM[PPGridRow],51),0))+IFERROR(INDEX(M_RawMaterials[固定週次消費量_要入力],MATCH($A55,M_RawMaterials[Part Name],0)),0)</f>
        <v/>
      </c>
      <c r="AZ55">
        <f>SUMPRODUCT((M_BOM[Part Name]=$A55)*M_BOM[RM_Qty_Per_Batch]*IFERROR(INDEX(PP_Grid[#Data],M_BOM[PPGridRow],52),0))+IFERROR(INDEX(M_RawMaterials[固定週次消費量_要入力],MATCH($A55,M_RawMaterials[Part Name],0)),0)</f>
        <v/>
      </c>
      <c r="BA55">
        <f>SUMPRODUCT((M_BOM[Part Name]=$A55)*M_BOM[RM_Qty_Per_Batch]*IFERROR(INDEX(PP_Grid[#Data],M_BOM[PPGridRow],53),0))+IFERROR(INDEX(M_RawMaterials[固定週次消費量_要入力],MATCH($A55,M_RawMaterials[Part Name],0)),0)</f>
        <v/>
      </c>
      <c r="BB55">
        <f>SUMPRODUCT((M_BOM[Part Name]=$A55)*M_BOM[RM_Qty_Per_Batch]*IFERROR(INDEX(PP_Grid[#Data],M_BOM[PPGridRow],54),0))+IFERROR(INDEX(M_RawMaterials[固定週次消費量_要入力],MATCH($A55,M_RawMaterials[Part Name],0)),0)</f>
        <v/>
      </c>
      <c r="BC55">
        <f>SUMPRODUCT((M_BOM[Part Name]=$A55)*M_BOM[RM_Qty_Per_Batch]*IFERROR(INDEX(PP_Grid[#Data],M_BOM[PPGridRow],55),0))+IFERROR(INDEX(M_RawMaterials[固定週次消費量_要入力],MATCH($A55,M_RawMaterials[Part Name],0)),0)</f>
        <v/>
      </c>
      <c r="BD55">
        <f>SUMPRODUCT((M_BOM[Part Name]=$A55)*M_BOM[RM_Qty_Per_Batch]*IFERROR(INDEX(PP_Grid[#Data],M_BOM[PPGridRow],56),0))+IFERROR(INDEX(M_RawMaterials[固定週次消費量_要入力],MATCH($A55,M_RawMaterials[Part Name],0)),0)</f>
        <v/>
      </c>
      <c r="BE55">
        <f>SUMPRODUCT((M_BOM[Part Name]=$A55)*M_BOM[RM_Qty_Per_Batch]*IFERROR(INDEX(PP_Grid[#Data],M_BOM[PPGridRow],57),0))+IFERROR(INDEX(M_RawMaterials[固定週次消費量_要入力],MATCH($A55,M_RawMaterials[Part Name],0)),0)</f>
        <v/>
      </c>
      <c r="BF55">
        <f>SUMPRODUCT((M_BOM[Part Name]=$A55)*M_BOM[RM_Qty_Per_Batch]*IFERROR(INDEX(PP_Grid[#Data],M_BOM[PPGridRow],58),0))+IFERROR(INDEX(M_RawMaterials[固定週次消費量_要入力],MATCH($A55,M_RawMaterials[Part Name],0)),0)</f>
        <v/>
      </c>
      <c r="BG55">
        <f>SUMPRODUCT((M_BOM[Part Name]=$A55)*M_BOM[RM_Qty_Per_Batch]*IFERROR(INDEX(PP_Grid[#Data],M_BOM[PPGridRow],59),0))+IFERROR(INDEX(M_RawMaterials[固定週次消費量_要入力],MATCH($A55,M_RawMaterials[Part Name],0)),0)</f>
        <v/>
      </c>
      <c r="BH55">
        <f>SUMPRODUCT((M_BOM[Part Name]=$A55)*M_BOM[RM_Qty_Per_Batch]*IFERROR(INDEX(PP_Grid[#Data],M_BOM[PPGridRow],60),0))+IFERROR(INDEX(M_RawMaterials[固定週次消費量_要入力],MATCH($A55,M_RawMaterials[Part Name],0)),0)</f>
        <v/>
      </c>
      <c r="BI55">
        <f>SUMPRODUCT((M_BOM[Part Name]=$A55)*M_BOM[RM_Qty_Per_Batch]*IFERROR(INDEX(PP_Grid[#Data],M_BOM[PPGridRow],61),0))+IFERROR(INDEX(M_RawMaterials[固定週次消費量_要入力],MATCH($A55,M_RawMaterials[Part Name],0)),0)</f>
        <v/>
      </c>
      <c r="BJ55">
        <f>SUMPRODUCT((M_BOM[Part Name]=$A55)*M_BOM[RM_Qty_Per_Batch]*IFERROR(INDEX(PP_Grid[#Data],M_BOM[PPGridRow],62),0))+IFERROR(INDEX(M_RawMaterials[固定週次消費量_要入力],MATCH($A55,M_RawMaterials[Part Name],0)),0)</f>
        <v/>
      </c>
      <c r="BK55">
        <f>SUMPRODUCT((M_BOM[Part Name]=$A55)*M_BOM[RM_Qty_Per_Batch]*IFERROR(INDEX(PP_Grid[#Data],M_BOM[PPGridRow],63),0))+IFERROR(INDEX(M_RawMaterials[固定週次消費量_要入力],MATCH($A55,M_RawMaterials[Part Name],0)),0)</f>
        <v/>
      </c>
      <c r="BL55">
        <f>SUMPRODUCT((M_BOM[Part Name]=$A55)*M_BOM[RM_Qty_Per_Batch]*IFERROR(INDEX(PP_Grid[#Data],M_BOM[PPGridRow],64),0))+IFERROR(INDEX(M_RawMaterials[固定週次消費量_要入力],MATCH($A55,M_RawMaterials[Part Name],0)),0)</f>
        <v/>
      </c>
      <c r="BM55">
        <f>SUMPRODUCT((M_BOM[Part Name]=$A55)*M_BOM[RM_Qty_Per_Batch]*IFERROR(INDEX(PP_Grid[#Data],M_BOM[PPGridRow],65),0))+IFERROR(INDEX(M_RawMaterials[固定週次消費量_要入力],MATCH($A55,M_RawMaterials[Part Name],0)),0)</f>
        <v/>
      </c>
      <c r="BN55">
        <f>SUMPRODUCT((M_BOM[Part Name]=$A55)*M_BOM[RM_Qty_Per_Batch]*IFERROR(INDEX(PP_Grid[#Data],M_BOM[PPGridRow],66),0))+IFERROR(INDEX(M_RawMaterials[固定週次消費量_要入力],MATCH($A55,M_RawMaterials[Part Name],0)),0)</f>
        <v/>
      </c>
      <c r="BO55">
        <f>SUMPRODUCT((M_BOM[Part Name]=$A55)*M_BOM[RM_Qty_Per_Batch]*IFERROR(INDEX(PP_Grid[#Data],M_BOM[PPGridRow],67),0))+IFERROR(INDEX(M_RawMaterials[固定週次消費量_要入力],MATCH($A55,M_RawMaterials[Part Name],0)),0)</f>
        <v/>
      </c>
      <c r="BP55">
        <f>SUMPRODUCT((M_BOM[Part Name]=$A55)*M_BOM[RM_Qty_Per_Batch]*IFERROR(INDEX(PP_Grid[#Data],M_BOM[PPGridRow],68),0))+IFERROR(INDEX(M_RawMaterials[固定週次消費量_要入力],MATCH($A55,M_RawMaterials[Part Name],0)),0)</f>
        <v/>
      </c>
      <c r="BQ55">
        <f>SUMPRODUCT((M_BOM[Part Name]=$A55)*M_BOM[RM_Qty_Per_Batch]*IFERROR(INDEX(PP_Grid[#Data],M_BOM[PPGridRow],69),0))+IFERROR(INDEX(M_RawMaterials[固定週次消費量_要入力],MATCH($A55,M_RawMaterials[Part Name],0)),0)</f>
        <v/>
      </c>
      <c r="BR55">
        <f>SUMPRODUCT((M_BOM[Part Name]=$A55)*M_BOM[RM_Qty_Per_Batch]*IFERROR(INDEX(PP_Grid[#Data],M_BOM[PPGridRow],70),0))+IFERROR(INDEX(M_RawMaterials[固定週次消費量_要入力],MATCH($A55,M_RawMaterials[Part Name],0)),0)</f>
        <v/>
      </c>
      <c r="BS55">
        <f>SUMPRODUCT((M_BOM[Part Name]=$A55)*M_BOM[RM_Qty_Per_Batch]*IFERROR(INDEX(PP_Grid[#Data],M_BOM[PPGridRow],71),0))+IFERROR(INDEX(M_RawMaterials[固定週次消費量_要入力],MATCH($A55,M_RawMaterials[Part Name],0)),0)</f>
        <v/>
      </c>
      <c r="BT55">
        <f>SUMPRODUCT((M_BOM[Part Name]=$A55)*M_BOM[RM_Qty_Per_Batch]*IFERROR(INDEX(PP_Grid[#Data],M_BOM[PPGridRow],72),0))+IFERROR(INDEX(M_RawMaterials[固定週次消費量_要入力],MATCH($A55,M_RawMaterials[Part Name],0)),0)</f>
        <v/>
      </c>
      <c r="BU55">
        <f>SUMPRODUCT((M_BOM[Part Name]=$A55)*M_BOM[RM_Qty_Per_Batch]*IFERROR(INDEX(PP_Grid[#Data],M_BOM[PPGridRow],73),0))+IFERROR(INDEX(M_RawMaterials[固定週次消費量_要入力],MATCH($A55,M_RawMaterials[Part Name],0)),0)</f>
        <v/>
      </c>
      <c r="BV55">
        <f>SUMPRODUCT((M_BOM[Part Name]=$A55)*M_BOM[RM_Qty_Per_Batch]*IFERROR(INDEX(PP_Grid[#Data],M_BOM[PPGridRow],74),0))+IFERROR(INDEX(M_RawMaterials[固定週次消費量_要入力],MATCH($A55,M_RawMaterials[Part Name],0)),0)</f>
        <v/>
      </c>
      <c r="BW55">
        <f>SUMPRODUCT((M_BOM[Part Name]=$A55)*M_BOM[RM_Qty_Per_Batch]*IFERROR(INDEX(PP_Grid[#Data],M_BOM[PPGridRow],75),0))+IFERROR(INDEX(M_RawMaterials[固定週次消費量_要入力],MATCH($A55,M_RawMaterials[Part Name],0)),0)</f>
        <v/>
      </c>
      <c r="BX55">
        <f>SUMPRODUCT((M_BOM[Part Name]=$A55)*M_BOM[RM_Qty_Per_Batch]*IFERROR(INDEX(PP_Grid[#Data],M_BOM[PPGridRow],76),0))+IFERROR(INDEX(M_RawMaterials[固定週次消費量_要入力],MATCH($A55,M_RawMaterials[Part Name],0)),0)</f>
        <v/>
      </c>
      <c r="BY55">
        <f>SUMPRODUCT((M_BOM[Part Name]=$A55)*M_BOM[RM_Qty_Per_Batch]*IFERROR(INDEX(PP_Grid[#Data],M_BOM[PPGridRow],77),0))+IFERROR(INDEX(M_RawMaterials[固定週次消費量_要入力],MATCH($A55,M_RawMaterials[Part Name],0)),0)</f>
        <v/>
      </c>
      <c r="BZ55">
        <f>SUMPRODUCT((M_BOM[Part Name]=$A55)*M_BOM[RM_Qty_Per_Batch]*IFERROR(INDEX(PP_Grid[#Data],M_BOM[PPGridRow],78),0))+IFERROR(INDEX(M_RawMaterials[固定週次消費量_要入力],MATCH($A55,M_RawMaterials[Part Name],0)),0)</f>
        <v/>
      </c>
      <c r="CA55">
        <f>SUMPRODUCT((M_BOM[Part Name]=$A55)*M_BOM[RM_Qty_Per_Batch]*IFERROR(INDEX(PP_Grid[#Data],M_BOM[PPGridRow],79),0))+IFERROR(INDEX(M_RawMaterials[固定週次消費量_要入力],MATCH($A55,M_RawMaterials[Part Name],0)),0)</f>
        <v/>
      </c>
      <c r="CB55">
        <f>SUMPRODUCT((M_BOM[Part Name]=$A55)*M_BOM[RM_Qty_Per_Batch]*IFERROR(INDEX(PP_Grid[#Data],M_BOM[PPGridRow],80),0))+IFERROR(INDEX(M_RawMaterials[固定週次消費量_要入力],MATCH($A55,M_RawMaterials[Part Name],0)),0)</f>
        <v/>
      </c>
      <c r="CC55">
        <f>SUMPRODUCT((M_BOM[Part Name]=$A55)*M_BOM[RM_Qty_Per_Batch]*IFERROR(INDEX(PP_Grid[#Data],M_BOM[PPGridRow],81),0))+IFERROR(INDEX(M_RawMaterials[固定週次消費量_要入力],MATCH($A55,M_RawMaterials[Part Name],0)),0)</f>
        <v/>
      </c>
      <c r="CD55">
        <f>SUMPRODUCT((M_BOM[Part Name]=$A55)*M_BOM[RM_Qty_Per_Batch]*IFERROR(INDEX(PP_Grid[#Data],M_BOM[PPGridRow],82),0))+IFERROR(INDEX(M_RawMaterials[固定週次消費量_要入力],MATCH($A55,M_RawMaterials[Part Name],0)),0)</f>
        <v/>
      </c>
      <c r="CE55">
        <f>SUMPRODUCT((M_BOM[Part Name]=$A55)*M_BOM[RM_Qty_Per_Batch]*IFERROR(INDEX(PP_Grid[#Data],M_BOM[PPGridRow],83),0))+IFERROR(INDEX(M_RawMaterials[固定週次消費量_要入力],MATCH($A55,M_RawMaterials[Part Name],0)),0)</f>
        <v/>
      </c>
      <c r="CF55">
        <f>SUMPRODUCT((M_BOM[Part Name]=$A55)*M_BOM[RM_Qty_Per_Batch]*IFERROR(INDEX(PP_Grid[#Data],M_BOM[PPGridRow],84),0))+IFERROR(INDEX(M_RawMaterials[固定週次消費量_要入力],MATCH($A55,M_RawMaterials[Part Name],0)),0)</f>
        <v/>
      </c>
      <c r="CG55">
        <f>SUMPRODUCT((M_BOM[Part Name]=$A55)*M_BOM[RM_Qty_Per_Batch]*IFERROR(INDEX(PP_Grid[#Data],M_BOM[PPGridRow],85),0))+IFERROR(INDEX(M_RawMaterials[固定週次消費量_要入力],MATCH($A55,M_RawMaterials[Part Name],0)),0)</f>
        <v/>
      </c>
      <c r="CH55">
        <f>SUMPRODUCT((M_BOM[Part Name]=$A55)*M_BOM[RM_Qty_Per_Batch]*IFERROR(INDEX(PP_Grid[#Data],M_BOM[PPGridRow],86),0))+IFERROR(INDEX(M_RawMaterials[固定週次消費量_要入力],MATCH($A55,M_RawMaterials[Part Name],0)),0)</f>
        <v/>
      </c>
      <c r="CI55">
        <f>SUMPRODUCT((M_BOM[Part Name]=$A55)*M_BOM[RM_Qty_Per_Batch]*IFERROR(INDEX(PP_Grid[#Data],M_BOM[PPGridRow],87),0))+IFERROR(INDEX(M_RawMaterials[固定週次消費量_要入力],MATCH($A55,M_RawMaterials[Part Name],0)),0)</f>
        <v/>
      </c>
      <c r="CJ55">
        <f>SUMPRODUCT((M_BOM[Part Name]=$A55)*M_BOM[RM_Qty_Per_Batch]*IFERROR(INDEX(PP_Grid[#Data],M_BOM[PPGridRow],88),0))+IFERROR(INDEX(M_RawMaterials[固定週次消費量_要入力],MATCH($A55,M_RawMaterials[Part Name],0)),0)</f>
        <v/>
      </c>
      <c r="CK55">
        <f>SUMPRODUCT((M_BOM[Part Name]=$A55)*M_BOM[RM_Qty_Per_Batch]*IFERROR(INDEX(PP_Grid[#Data],M_BOM[PPGridRow],89),0))+IFERROR(INDEX(M_RawMaterials[固定週次消費量_要入力],MATCH($A55,M_RawMaterials[Part Name],0)),0)</f>
        <v/>
      </c>
      <c r="CL55">
        <f>SUMPRODUCT((M_BOM[Part Name]=$A55)*M_BOM[RM_Qty_Per_Batch]*IFERROR(INDEX(PP_Grid[#Data],M_BOM[PPGridRow],90),0))+IFERROR(INDEX(M_RawMaterials[固定週次消費量_要入力],MATCH($A55,M_RawMaterials[Part Name],0)),0)</f>
        <v/>
      </c>
      <c r="CM55">
        <f>SUMPRODUCT((M_BOM[Part Name]=$A55)*M_BOM[RM_Qty_Per_Batch]*IFERROR(INDEX(PP_Grid[#Data],M_BOM[PPGridRow],91),0))+IFERROR(INDEX(M_RawMaterials[固定週次消費量_要入力],MATCH($A55,M_RawMaterials[Part Name],0)),0)</f>
        <v/>
      </c>
      <c r="CN55">
        <f>SUMPRODUCT((M_BOM[Part Name]=$A55)*M_BOM[RM_Qty_Per_Batch]*IFERROR(INDEX(PP_Grid[#Data],M_BOM[PPGridRow],92),0))+IFERROR(INDEX(M_RawMaterials[固定週次消費量_要入力],MATCH($A55,M_RawMaterials[Part Name],0)),0)</f>
        <v/>
      </c>
      <c r="CO55">
        <f>SUMPRODUCT((M_BOM[Part Name]=$A55)*M_BOM[RM_Qty_Per_Batch]*IFERROR(INDEX(PP_Grid[#Data],M_BOM[PPGridRow],93),0))+IFERROR(INDEX(M_RawMaterials[固定週次消費量_要入力],MATCH($A55,M_RawMaterials[Part Name],0)),0)</f>
        <v/>
      </c>
      <c r="CP55">
        <f>SUMPRODUCT((M_BOM[Part Name]=$A55)*M_BOM[RM_Qty_Per_Batch]*IFERROR(INDEX(PP_Grid[#Data],M_BOM[PPGridRow],94),0))+IFERROR(INDEX(M_RawMaterials[固定週次消費量_要入力],MATCH($A55,M_RawMaterials[Part Name],0)),0)</f>
        <v/>
      </c>
      <c r="CQ55">
        <f>SUMPRODUCT((M_BOM[Part Name]=$A55)*M_BOM[RM_Qty_Per_Batch]*IFERROR(INDEX(PP_Grid[#Data],M_BOM[PPGridRow],95),0))+IFERROR(INDEX(M_RawMaterials[固定週次消費量_要入力],MATCH($A55,M_RawMaterials[Part Name],0)),0)</f>
        <v/>
      </c>
      <c r="CR55">
        <f>SUMPRODUCT((M_BOM[Part Name]=$A55)*M_BOM[RM_Qty_Per_Batch]*IFERROR(INDEX(PP_Grid[#Data],M_BOM[PPGridRow],96),0))+IFERROR(INDEX(M_RawMaterials[固定週次消費量_要入力],MATCH($A55,M_RawMaterials[Part Name],0)),0)</f>
        <v/>
      </c>
      <c r="CS55">
        <f>SUMPRODUCT((M_BOM[Part Name]=$A55)*M_BOM[RM_Qty_Per_Batch]*IFERROR(INDEX(PP_Grid[#Data],M_BOM[PPGridRow],97),0))+IFERROR(INDEX(M_RawMaterials[固定週次消費量_要入力],MATCH($A55,M_RawMaterials[Part Name],0)),0)</f>
        <v/>
      </c>
      <c r="CT55">
        <f>SUMPRODUCT((M_BOM[Part Name]=$A55)*M_BOM[RM_Qty_Per_Batch]*IFERROR(INDEX(PP_Grid[#Data],M_BOM[PPGridRow],98),0))+IFERROR(INDEX(M_RawMaterials[固定週次消費量_要入力],MATCH($A55,M_RawMaterials[Part Name],0)),0)</f>
        <v/>
      </c>
      <c r="CU55">
        <f>SUMPRODUCT((M_BOM[Part Name]=$A55)*M_BOM[RM_Qty_Per_Batch]*IFERROR(INDEX(PP_Grid[#Data],M_BOM[PPGridRow],99),0))+IFERROR(INDEX(M_RawMaterials[固定週次消費量_要入力],MATCH($A55,M_RawMaterials[Part Name],0)),0)</f>
        <v/>
      </c>
      <c r="CV55">
        <f>SUMPRODUCT((M_BOM[Part Name]=$A55)*M_BOM[RM_Qty_Per_Batch]*IFERROR(INDEX(PP_Grid[#Data],M_BOM[PPGridRow],100),0))+IFERROR(INDEX(M_RawMaterials[固定週次消費量_要入力],MATCH($A55,M_RawMaterials[Part Name],0)),0)</f>
        <v/>
      </c>
      <c r="CW55">
        <f>SUMPRODUCT((M_BOM[Part Name]=$A55)*M_BOM[RM_Qty_Per_Batch]*IFERROR(INDEX(PP_Grid[#Data],M_BOM[PPGridRow],101),0))+IFERROR(INDEX(M_RawMaterials[固定週次消費量_要入力],MATCH($A55,M_RawMaterials[Part Name],0)),0)</f>
        <v/>
      </c>
      <c r="CX55">
        <f>SUMPRODUCT((M_BOM[Part Name]=$A55)*M_BOM[RM_Qty_Per_Batch]*IFERROR(INDEX(PP_Grid[#Data],M_BOM[PPGridRow],102),0))+IFERROR(INDEX(M_RawMaterials[固定週次消費量_要入力],MATCH($A55,M_RawMaterials[Part Name],0)),0)</f>
        <v/>
      </c>
      <c r="CY55">
        <f>SUMPRODUCT((M_BOM[Part Name]=$A55)*M_BOM[RM_Qty_Per_Batch]*IFERROR(INDEX(PP_Grid[#Data],M_BOM[PPGridRow],103),0))+IFERROR(INDEX(M_RawMaterials[固定週次消費量_要入力],MATCH($A55,M_RawMaterials[Part Name],0)),0)</f>
        <v/>
      </c>
      <c r="CZ55">
        <f>SUMPRODUCT((M_BOM[Part Name]=$A55)*M_BOM[RM_Qty_Per_Batch]*IFERROR(INDEX(PP_Grid[#Data],M_BOM[PPGridRow],104),0))+IFERROR(INDEX(M_RawMaterials[固定週次消費量_要入力],MATCH($A55,M_RawMaterials[Part Name],0)),0)</f>
        <v/>
      </c>
      <c r="DA55">
        <f>SUMPRODUCT((M_BOM[Part Name]=$A55)*M_BOM[RM_Qty_Per_Batch]*IFERROR(INDEX(PP_Grid[#Data],M_BOM[PPGridRow],105),0))+IFERROR(INDEX(M_RawMaterials[固定週次消費量_要入力],MATCH($A55,M_RawMaterials[Part Name],0)),0)</f>
        <v/>
      </c>
    </row>
    <row r="56">
      <c r="A56" t="inlineStr">
        <is>
          <t>PP Film</t>
        </is>
      </c>
      <c r="B56">
        <f>SUMPRODUCT((M_BOM[Part Name]=$A56)*M_BOM[RM_Qty_Per_Batch]*IFERROR(INDEX(PP_Grid[#Data],M_BOM[PPGridRow],2),0))+IFERROR(INDEX(M_RawMaterials[固定週次消費量_要入力],MATCH($A56,M_RawMaterials[Part Name],0)),0)</f>
        <v/>
      </c>
      <c r="C56">
        <f>SUMPRODUCT((M_BOM[Part Name]=$A56)*M_BOM[RM_Qty_Per_Batch]*IFERROR(INDEX(PP_Grid[#Data],M_BOM[PPGridRow],3),0))+IFERROR(INDEX(M_RawMaterials[固定週次消費量_要入力],MATCH($A56,M_RawMaterials[Part Name],0)),0)</f>
        <v/>
      </c>
      <c r="D56">
        <f>SUMPRODUCT((M_BOM[Part Name]=$A56)*M_BOM[RM_Qty_Per_Batch]*IFERROR(INDEX(PP_Grid[#Data],M_BOM[PPGridRow],4),0))+IFERROR(INDEX(M_RawMaterials[固定週次消費量_要入力],MATCH($A56,M_RawMaterials[Part Name],0)),0)</f>
        <v/>
      </c>
      <c r="E56">
        <f>SUMPRODUCT((M_BOM[Part Name]=$A56)*M_BOM[RM_Qty_Per_Batch]*IFERROR(INDEX(PP_Grid[#Data],M_BOM[PPGridRow],5),0))+IFERROR(INDEX(M_RawMaterials[固定週次消費量_要入力],MATCH($A56,M_RawMaterials[Part Name],0)),0)</f>
        <v/>
      </c>
      <c r="F56">
        <f>SUMPRODUCT((M_BOM[Part Name]=$A56)*M_BOM[RM_Qty_Per_Batch]*IFERROR(INDEX(PP_Grid[#Data],M_BOM[PPGridRow],6),0))+IFERROR(INDEX(M_RawMaterials[固定週次消費量_要入力],MATCH($A56,M_RawMaterials[Part Name],0)),0)</f>
        <v/>
      </c>
      <c r="G56">
        <f>SUMPRODUCT((M_BOM[Part Name]=$A56)*M_BOM[RM_Qty_Per_Batch]*IFERROR(INDEX(PP_Grid[#Data],M_BOM[PPGridRow],7),0))+IFERROR(INDEX(M_RawMaterials[固定週次消費量_要入力],MATCH($A56,M_RawMaterials[Part Name],0)),0)</f>
        <v/>
      </c>
      <c r="H56">
        <f>SUMPRODUCT((M_BOM[Part Name]=$A56)*M_BOM[RM_Qty_Per_Batch]*IFERROR(INDEX(PP_Grid[#Data],M_BOM[PPGridRow],8),0))+IFERROR(INDEX(M_RawMaterials[固定週次消費量_要入力],MATCH($A56,M_RawMaterials[Part Name],0)),0)</f>
        <v/>
      </c>
      <c r="I56">
        <f>SUMPRODUCT((M_BOM[Part Name]=$A56)*M_BOM[RM_Qty_Per_Batch]*IFERROR(INDEX(PP_Grid[#Data],M_BOM[PPGridRow],9),0))+IFERROR(INDEX(M_RawMaterials[固定週次消費量_要入力],MATCH($A56,M_RawMaterials[Part Name],0)),0)</f>
        <v/>
      </c>
      <c r="J56">
        <f>SUMPRODUCT((M_BOM[Part Name]=$A56)*M_BOM[RM_Qty_Per_Batch]*IFERROR(INDEX(PP_Grid[#Data],M_BOM[PPGridRow],10),0))+IFERROR(INDEX(M_RawMaterials[固定週次消費量_要入力],MATCH($A56,M_RawMaterials[Part Name],0)),0)</f>
        <v/>
      </c>
      <c r="K56">
        <f>SUMPRODUCT((M_BOM[Part Name]=$A56)*M_BOM[RM_Qty_Per_Batch]*IFERROR(INDEX(PP_Grid[#Data],M_BOM[PPGridRow],11),0))+IFERROR(INDEX(M_RawMaterials[固定週次消費量_要入力],MATCH($A56,M_RawMaterials[Part Name],0)),0)</f>
        <v/>
      </c>
      <c r="L56">
        <f>SUMPRODUCT((M_BOM[Part Name]=$A56)*M_BOM[RM_Qty_Per_Batch]*IFERROR(INDEX(PP_Grid[#Data],M_BOM[PPGridRow],12),0))+IFERROR(INDEX(M_RawMaterials[固定週次消費量_要入力],MATCH($A56,M_RawMaterials[Part Name],0)),0)</f>
        <v/>
      </c>
      <c r="M56">
        <f>SUMPRODUCT((M_BOM[Part Name]=$A56)*M_BOM[RM_Qty_Per_Batch]*IFERROR(INDEX(PP_Grid[#Data],M_BOM[PPGridRow],13),0))+IFERROR(INDEX(M_RawMaterials[固定週次消費量_要入力],MATCH($A56,M_RawMaterials[Part Name],0)),0)</f>
        <v/>
      </c>
      <c r="N56">
        <f>SUMPRODUCT((M_BOM[Part Name]=$A56)*M_BOM[RM_Qty_Per_Batch]*IFERROR(INDEX(PP_Grid[#Data],M_BOM[PPGridRow],14),0))+IFERROR(INDEX(M_RawMaterials[固定週次消費量_要入力],MATCH($A56,M_RawMaterials[Part Name],0)),0)</f>
        <v/>
      </c>
      <c r="O56">
        <f>SUMPRODUCT((M_BOM[Part Name]=$A56)*M_BOM[RM_Qty_Per_Batch]*IFERROR(INDEX(PP_Grid[#Data],M_BOM[PPGridRow],15),0))+IFERROR(INDEX(M_RawMaterials[固定週次消費量_要入力],MATCH($A56,M_RawMaterials[Part Name],0)),0)</f>
        <v/>
      </c>
      <c r="P56">
        <f>SUMPRODUCT((M_BOM[Part Name]=$A56)*M_BOM[RM_Qty_Per_Batch]*IFERROR(INDEX(PP_Grid[#Data],M_BOM[PPGridRow],16),0))+IFERROR(INDEX(M_RawMaterials[固定週次消費量_要入力],MATCH($A56,M_RawMaterials[Part Name],0)),0)</f>
        <v/>
      </c>
      <c r="Q56">
        <f>SUMPRODUCT((M_BOM[Part Name]=$A56)*M_BOM[RM_Qty_Per_Batch]*IFERROR(INDEX(PP_Grid[#Data],M_BOM[PPGridRow],17),0))+IFERROR(INDEX(M_RawMaterials[固定週次消費量_要入力],MATCH($A56,M_RawMaterials[Part Name],0)),0)</f>
        <v/>
      </c>
      <c r="R56">
        <f>SUMPRODUCT((M_BOM[Part Name]=$A56)*M_BOM[RM_Qty_Per_Batch]*IFERROR(INDEX(PP_Grid[#Data],M_BOM[PPGridRow],18),0))+IFERROR(INDEX(M_RawMaterials[固定週次消費量_要入力],MATCH($A56,M_RawMaterials[Part Name],0)),0)</f>
        <v/>
      </c>
      <c r="S56">
        <f>SUMPRODUCT((M_BOM[Part Name]=$A56)*M_BOM[RM_Qty_Per_Batch]*IFERROR(INDEX(PP_Grid[#Data],M_BOM[PPGridRow],19),0))+IFERROR(INDEX(M_RawMaterials[固定週次消費量_要入力],MATCH($A56,M_RawMaterials[Part Name],0)),0)</f>
        <v/>
      </c>
      <c r="T56">
        <f>SUMPRODUCT((M_BOM[Part Name]=$A56)*M_BOM[RM_Qty_Per_Batch]*IFERROR(INDEX(PP_Grid[#Data],M_BOM[PPGridRow],20),0))+IFERROR(INDEX(M_RawMaterials[固定週次消費量_要入力],MATCH($A56,M_RawMaterials[Part Name],0)),0)</f>
        <v/>
      </c>
      <c r="U56">
        <f>SUMPRODUCT((M_BOM[Part Name]=$A56)*M_BOM[RM_Qty_Per_Batch]*IFERROR(INDEX(PP_Grid[#Data],M_BOM[PPGridRow],21),0))+IFERROR(INDEX(M_RawMaterials[固定週次消費量_要入力],MATCH($A56,M_RawMaterials[Part Name],0)),0)</f>
        <v/>
      </c>
      <c r="V56">
        <f>SUMPRODUCT((M_BOM[Part Name]=$A56)*M_BOM[RM_Qty_Per_Batch]*IFERROR(INDEX(PP_Grid[#Data],M_BOM[PPGridRow],22),0))+IFERROR(INDEX(M_RawMaterials[固定週次消費量_要入力],MATCH($A56,M_RawMaterials[Part Name],0)),0)</f>
        <v/>
      </c>
      <c r="W56">
        <f>SUMPRODUCT((M_BOM[Part Name]=$A56)*M_BOM[RM_Qty_Per_Batch]*IFERROR(INDEX(PP_Grid[#Data],M_BOM[PPGridRow],23),0))+IFERROR(INDEX(M_RawMaterials[固定週次消費量_要入力],MATCH($A56,M_RawMaterials[Part Name],0)),0)</f>
        <v/>
      </c>
      <c r="X56">
        <f>SUMPRODUCT((M_BOM[Part Name]=$A56)*M_BOM[RM_Qty_Per_Batch]*IFERROR(INDEX(PP_Grid[#Data],M_BOM[PPGridRow],24),0))+IFERROR(INDEX(M_RawMaterials[固定週次消費量_要入力],MATCH($A56,M_RawMaterials[Part Name],0)),0)</f>
        <v/>
      </c>
      <c r="Y56">
        <f>SUMPRODUCT((M_BOM[Part Name]=$A56)*M_BOM[RM_Qty_Per_Batch]*IFERROR(INDEX(PP_Grid[#Data],M_BOM[PPGridRow],25),0))+IFERROR(INDEX(M_RawMaterials[固定週次消費量_要入力],MATCH($A56,M_RawMaterials[Part Name],0)),0)</f>
        <v/>
      </c>
      <c r="Z56">
        <f>SUMPRODUCT((M_BOM[Part Name]=$A56)*M_BOM[RM_Qty_Per_Batch]*IFERROR(INDEX(PP_Grid[#Data],M_BOM[PPGridRow],26),0))+IFERROR(INDEX(M_RawMaterials[固定週次消費量_要入力],MATCH($A56,M_RawMaterials[Part Name],0)),0)</f>
        <v/>
      </c>
      <c r="AA56">
        <f>SUMPRODUCT((M_BOM[Part Name]=$A56)*M_BOM[RM_Qty_Per_Batch]*IFERROR(INDEX(PP_Grid[#Data],M_BOM[PPGridRow],27),0))+IFERROR(INDEX(M_RawMaterials[固定週次消費量_要入力],MATCH($A56,M_RawMaterials[Part Name],0)),0)</f>
        <v/>
      </c>
      <c r="AB56">
        <f>SUMPRODUCT((M_BOM[Part Name]=$A56)*M_BOM[RM_Qty_Per_Batch]*IFERROR(INDEX(PP_Grid[#Data],M_BOM[PPGridRow],28),0))+IFERROR(INDEX(M_RawMaterials[固定週次消費量_要入力],MATCH($A56,M_RawMaterials[Part Name],0)),0)</f>
        <v/>
      </c>
      <c r="AC56">
        <f>SUMPRODUCT((M_BOM[Part Name]=$A56)*M_BOM[RM_Qty_Per_Batch]*IFERROR(INDEX(PP_Grid[#Data],M_BOM[PPGridRow],29),0))+IFERROR(INDEX(M_RawMaterials[固定週次消費量_要入力],MATCH($A56,M_RawMaterials[Part Name],0)),0)</f>
        <v/>
      </c>
      <c r="AD56">
        <f>SUMPRODUCT((M_BOM[Part Name]=$A56)*M_BOM[RM_Qty_Per_Batch]*IFERROR(INDEX(PP_Grid[#Data],M_BOM[PPGridRow],30),0))+IFERROR(INDEX(M_RawMaterials[固定週次消費量_要入力],MATCH($A56,M_RawMaterials[Part Name],0)),0)</f>
        <v/>
      </c>
      <c r="AE56">
        <f>SUMPRODUCT((M_BOM[Part Name]=$A56)*M_BOM[RM_Qty_Per_Batch]*IFERROR(INDEX(PP_Grid[#Data],M_BOM[PPGridRow],31),0))+IFERROR(INDEX(M_RawMaterials[固定週次消費量_要入力],MATCH($A56,M_RawMaterials[Part Name],0)),0)</f>
        <v/>
      </c>
      <c r="AF56">
        <f>SUMPRODUCT((M_BOM[Part Name]=$A56)*M_BOM[RM_Qty_Per_Batch]*IFERROR(INDEX(PP_Grid[#Data],M_BOM[PPGridRow],32),0))+IFERROR(INDEX(M_RawMaterials[固定週次消費量_要入力],MATCH($A56,M_RawMaterials[Part Name],0)),0)</f>
        <v/>
      </c>
      <c r="AG56">
        <f>SUMPRODUCT((M_BOM[Part Name]=$A56)*M_BOM[RM_Qty_Per_Batch]*IFERROR(INDEX(PP_Grid[#Data],M_BOM[PPGridRow],33),0))+IFERROR(INDEX(M_RawMaterials[固定週次消費量_要入力],MATCH($A56,M_RawMaterials[Part Name],0)),0)</f>
        <v/>
      </c>
      <c r="AH56">
        <f>SUMPRODUCT((M_BOM[Part Name]=$A56)*M_BOM[RM_Qty_Per_Batch]*IFERROR(INDEX(PP_Grid[#Data],M_BOM[PPGridRow],34),0))+IFERROR(INDEX(M_RawMaterials[固定週次消費量_要入力],MATCH($A56,M_RawMaterials[Part Name],0)),0)</f>
        <v/>
      </c>
      <c r="AI56">
        <f>SUMPRODUCT((M_BOM[Part Name]=$A56)*M_BOM[RM_Qty_Per_Batch]*IFERROR(INDEX(PP_Grid[#Data],M_BOM[PPGridRow],35),0))+IFERROR(INDEX(M_RawMaterials[固定週次消費量_要入力],MATCH($A56,M_RawMaterials[Part Name],0)),0)</f>
        <v/>
      </c>
      <c r="AJ56">
        <f>SUMPRODUCT((M_BOM[Part Name]=$A56)*M_BOM[RM_Qty_Per_Batch]*IFERROR(INDEX(PP_Grid[#Data],M_BOM[PPGridRow],36),0))+IFERROR(INDEX(M_RawMaterials[固定週次消費量_要入力],MATCH($A56,M_RawMaterials[Part Name],0)),0)</f>
        <v/>
      </c>
      <c r="AK56">
        <f>SUMPRODUCT((M_BOM[Part Name]=$A56)*M_BOM[RM_Qty_Per_Batch]*IFERROR(INDEX(PP_Grid[#Data],M_BOM[PPGridRow],37),0))+IFERROR(INDEX(M_RawMaterials[固定週次消費量_要入力],MATCH($A56,M_RawMaterials[Part Name],0)),0)</f>
        <v/>
      </c>
      <c r="AL56">
        <f>SUMPRODUCT((M_BOM[Part Name]=$A56)*M_BOM[RM_Qty_Per_Batch]*IFERROR(INDEX(PP_Grid[#Data],M_BOM[PPGridRow],38),0))+IFERROR(INDEX(M_RawMaterials[固定週次消費量_要入力],MATCH($A56,M_RawMaterials[Part Name],0)),0)</f>
        <v/>
      </c>
      <c r="AM56">
        <f>SUMPRODUCT((M_BOM[Part Name]=$A56)*M_BOM[RM_Qty_Per_Batch]*IFERROR(INDEX(PP_Grid[#Data],M_BOM[PPGridRow],39),0))+IFERROR(INDEX(M_RawMaterials[固定週次消費量_要入力],MATCH($A56,M_RawMaterials[Part Name],0)),0)</f>
        <v/>
      </c>
      <c r="AN56">
        <f>SUMPRODUCT((M_BOM[Part Name]=$A56)*M_BOM[RM_Qty_Per_Batch]*IFERROR(INDEX(PP_Grid[#Data],M_BOM[PPGridRow],40),0))+IFERROR(INDEX(M_RawMaterials[固定週次消費量_要入力],MATCH($A56,M_RawMaterials[Part Name],0)),0)</f>
        <v/>
      </c>
      <c r="AO56">
        <f>SUMPRODUCT((M_BOM[Part Name]=$A56)*M_BOM[RM_Qty_Per_Batch]*IFERROR(INDEX(PP_Grid[#Data],M_BOM[PPGridRow],41),0))+IFERROR(INDEX(M_RawMaterials[固定週次消費量_要入力],MATCH($A56,M_RawMaterials[Part Name],0)),0)</f>
        <v/>
      </c>
      <c r="AP56">
        <f>SUMPRODUCT((M_BOM[Part Name]=$A56)*M_BOM[RM_Qty_Per_Batch]*IFERROR(INDEX(PP_Grid[#Data],M_BOM[PPGridRow],42),0))+IFERROR(INDEX(M_RawMaterials[固定週次消費量_要入力],MATCH($A56,M_RawMaterials[Part Name],0)),0)</f>
        <v/>
      </c>
      <c r="AQ56">
        <f>SUMPRODUCT((M_BOM[Part Name]=$A56)*M_BOM[RM_Qty_Per_Batch]*IFERROR(INDEX(PP_Grid[#Data],M_BOM[PPGridRow],43),0))+IFERROR(INDEX(M_RawMaterials[固定週次消費量_要入力],MATCH($A56,M_RawMaterials[Part Name],0)),0)</f>
        <v/>
      </c>
      <c r="AR56">
        <f>SUMPRODUCT((M_BOM[Part Name]=$A56)*M_BOM[RM_Qty_Per_Batch]*IFERROR(INDEX(PP_Grid[#Data],M_BOM[PPGridRow],44),0))+IFERROR(INDEX(M_RawMaterials[固定週次消費量_要入力],MATCH($A56,M_RawMaterials[Part Name],0)),0)</f>
        <v/>
      </c>
      <c r="AS56">
        <f>SUMPRODUCT((M_BOM[Part Name]=$A56)*M_BOM[RM_Qty_Per_Batch]*IFERROR(INDEX(PP_Grid[#Data],M_BOM[PPGridRow],45),0))+IFERROR(INDEX(M_RawMaterials[固定週次消費量_要入力],MATCH($A56,M_RawMaterials[Part Name],0)),0)</f>
        <v/>
      </c>
      <c r="AT56">
        <f>SUMPRODUCT((M_BOM[Part Name]=$A56)*M_BOM[RM_Qty_Per_Batch]*IFERROR(INDEX(PP_Grid[#Data],M_BOM[PPGridRow],46),0))+IFERROR(INDEX(M_RawMaterials[固定週次消費量_要入力],MATCH($A56,M_RawMaterials[Part Name],0)),0)</f>
        <v/>
      </c>
      <c r="AU56">
        <f>SUMPRODUCT((M_BOM[Part Name]=$A56)*M_BOM[RM_Qty_Per_Batch]*IFERROR(INDEX(PP_Grid[#Data],M_BOM[PPGridRow],47),0))+IFERROR(INDEX(M_RawMaterials[固定週次消費量_要入力],MATCH($A56,M_RawMaterials[Part Name],0)),0)</f>
        <v/>
      </c>
      <c r="AV56">
        <f>SUMPRODUCT((M_BOM[Part Name]=$A56)*M_BOM[RM_Qty_Per_Batch]*IFERROR(INDEX(PP_Grid[#Data],M_BOM[PPGridRow],48),0))+IFERROR(INDEX(M_RawMaterials[固定週次消費量_要入力],MATCH($A56,M_RawMaterials[Part Name],0)),0)</f>
        <v/>
      </c>
      <c r="AW56">
        <f>SUMPRODUCT((M_BOM[Part Name]=$A56)*M_BOM[RM_Qty_Per_Batch]*IFERROR(INDEX(PP_Grid[#Data],M_BOM[PPGridRow],49),0))+IFERROR(INDEX(M_RawMaterials[固定週次消費量_要入力],MATCH($A56,M_RawMaterials[Part Name],0)),0)</f>
        <v/>
      </c>
      <c r="AX56">
        <f>SUMPRODUCT((M_BOM[Part Name]=$A56)*M_BOM[RM_Qty_Per_Batch]*IFERROR(INDEX(PP_Grid[#Data],M_BOM[PPGridRow],50),0))+IFERROR(INDEX(M_RawMaterials[固定週次消費量_要入力],MATCH($A56,M_RawMaterials[Part Name],0)),0)</f>
        <v/>
      </c>
      <c r="AY56">
        <f>SUMPRODUCT((M_BOM[Part Name]=$A56)*M_BOM[RM_Qty_Per_Batch]*IFERROR(INDEX(PP_Grid[#Data],M_BOM[PPGridRow],51),0))+IFERROR(INDEX(M_RawMaterials[固定週次消費量_要入力],MATCH($A56,M_RawMaterials[Part Name],0)),0)</f>
        <v/>
      </c>
      <c r="AZ56">
        <f>SUMPRODUCT((M_BOM[Part Name]=$A56)*M_BOM[RM_Qty_Per_Batch]*IFERROR(INDEX(PP_Grid[#Data],M_BOM[PPGridRow],52),0))+IFERROR(INDEX(M_RawMaterials[固定週次消費量_要入力],MATCH($A56,M_RawMaterials[Part Name],0)),0)</f>
        <v/>
      </c>
      <c r="BA56">
        <f>SUMPRODUCT((M_BOM[Part Name]=$A56)*M_BOM[RM_Qty_Per_Batch]*IFERROR(INDEX(PP_Grid[#Data],M_BOM[PPGridRow],53),0))+IFERROR(INDEX(M_RawMaterials[固定週次消費量_要入力],MATCH($A56,M_RawMaterials[Part Name],0)),0)</f>
        <v/>
      </c>
      <c r="BB56">
        <f>SUMPRODUCT((M_BOM[Part Name]=$A56)*M_BOM[RM_Qty_Per_Batch]*IFERROR(INDEX(PP_Grid[#Data],M_BOM[PPGridRow],54),0))+IFERROR(INDEX(M_RawMaterials[固定週次消費量_要入力],MATCH($A56,M_RawMaterials[Part Name],0)),0)</f>
        <v/>
      </c>
      <c r="BC56">
        <f>SUMPRODUCT((M_BOM[Part Name]=$A56)*M_BOM[RM_Qty_Per_Batch]*IFERROR(INDEX(PP_Grid[#Data],M_BOM[PPGridRow],55),0))+IFERROR(INDEX(M_RawMaterials[固定週次消費量_要入力],MATCH($A56,M_RawMaterials[Part Name],0)),0)</f>
        <v/>
      </c>
      <c r="BD56">
        <f>SUMPRODUCT((M_BOM[Part Name]=$A56)*M_BOM[RM_Qty_Per_Batch]*IFERROR(INDEX(PP_Grid[#Data],M_BOM[PPGridRow],56),0))+IFERROR(INDEX(M_RawMaterials[固定週次消費量_要入力],MATCH($A56,M_RawMaterials[Part Name],0)),0)</f>
        <v/>
      </c>
      <c r="BE56">
        <f>SUMPRODUCT((M_BOM[Part Name]=$A56)*M_BOM[RM_Qty_Per_Batch]*IFERROR(INDEX(PP_Grid[#Data],M_BOM[PPGridRow],57),0))+IFERROR(INDEX(M_RawMaterials[固定週次消費量_要入力],MATCH($A56,M_RawMaterials[Part Name],0)),0)</f>
        <v/>
      </c>
      <c r="BF56">
        <f>SUMPRODUCT((M_BOM[Part Name]=$A56)*M_BOM[RM_Qty_Per_Batch]*IFERROR(INDEX(PP_Grid[#Data],M_BOM[PPGridRow],58),0))+IFERROR(INDEX(M_RawMaterials[固定週次消費量_要入力],MATCH($A56,M_RawMaterials[Part Name],0)),0)</f>
        <v/>
      </c>
      <c r="BG56">
        <f>SUMPRODUCT((M_BOM[Part Name]=$A56)*M_BOM[RM_Qty_Per_Batch]*IFERROR(INDEX(PP_Grid[#Data],M_BOM[PPGridRow],59),0))+IFERROR(INDEX(M_RawMaterials[固定週次消費量_要入力],MATCH($A56,M_RawMaterials[Part Name],0)),0)</f>
        <v/>
      </c>
      <c r="BH56">
        <f>SUMPRODUCT((M_BOM[Part Name]=$A56)*M_BOM[RM_Qty_Per_Batch]*IFERROR(INDEX(PP_Grid[#Data],M_BOM[PPGridRow],60),0))+IFERROR(INDEX(M_RawMaterials[固定週次消費量_要入力],MATCH($A56,M_RawMaterials[Part Name],0)),0)</f>
        <v/>
      </c>
      <c r="BI56">
        <f>SUMPRODUCT((M_BOM[Part Name]=$A56)*M_BOM[RM_Qty_Per_Batch]*IFERROR(INDEX(PP_Grid[#Data],M_BOM[PPGridRow],61),0))+IFERROR(INDEX(M_RawMaterials[固定週次消費量_要入力],MATCH($A56,M_RawMaterials[Part Name],0)),0)</f>
        <v/>
      </c>
      <c r="BJ56">
        <f>SUMPRODUCT((M_BOM[Part Name]=$A56)*M_BOM[RM_Qty_Per_Batch]*IFERROR(INDEX(PP_Grid[#Data],M_BOM[PPGridRow],62),0))+IFERROR(INDEX(M_RawMaterials[固定週次消費量_要入力],MATCH($A56,M_RawMaterials[Part Name],0)),0)</f>
        <v/>
      </c>
      <c r="BK56">
        <f>SUMPRODUCT((M_BOM[Part Name]=$A56)*M_BOM[RM_Qty_Per_Batch]*IFERROR(INDEX(PP_Grid[#Data],M_BOM[PPGridRow],63),0))+IFERROR(INDEX(M_RawMaterials[固定週次消費量_要入力],MATCH($A56,M_RawMaterials[Part Name],0)),0)</f>
        <v/>
      </c>
      <c r="BL56">
        <f>SUMPRODUCT((M_BOM[Part Name]=$A56)*M_BOM[RM_Qty_Per_Batch]*IFERROR(INDEX(PP_Grid[#Data],M_BOM[PPGridRow],64),0))+IFERROR(INDEX(M_RawMaterials[固定週次消費量_要入力],MATCH($A56,M_RawMaterials[Part Name],0)),0)</f>
        <v/>
      </c>
      <c r="BM56">
        <f>SUMPRODUCT((M_BOM[Part Name]=$A56)*M_BOM[RM_Qty_Per_Batch]*IFERROR(INDEX(PP_Grid[#Data],M_BOM[PPGridRow],65),0))+IFERROR(INDEX(M_RawMaterials[固定週次消費量_要入力],MATCH($A56,M_RawMaterials[Part Name],0)),0)</f>
        <v/>
      </c>
      <c r="BN56">
        <f>SUMPRODUCT((M_BOM[Part Name]=$A56)*M_BOM[RM_Qty_Per_Batch]*IFERROR(INDEX(PP_Grid[#Data],M_BOM[PPGridRow],66),0))+IFERROR(INDEX(M_RawMaterials[固定週次消費量_要入力],MATCH($A56,M_RawMaterials[Part Name],0)),0)</f>
        <v/>
      </c>
      <c r="BO56">
        <f>SUMPRODUCT((M_BOM[Part Name]=$A56)*M_BOM[RM_Qty_Per_Batch]*IFERROR(INDEX(PP_Grid[#Data],M_BOM[PPGridRow],67),0))+IFERROR(INDEX(M_RawMaterials[固定週次消費量_要入力],MATCH($A56,M_RawMaterials[Part Name],0)),0)</f>
        <v/>
      </c>
      <c r="BP56">
        <f>SUMPRODUCT((M_BOM[Part Name]=$A56)*M_BOM[RM_Qty_Per_Batch]*IFERROR(INDEX(PP_Grid[#Data],M_BOM[PPGridRow],68),0))+IFERROR(INDEX(M_RawMaterials[固定週次消費量_要入力],MATCH($A56,M_RawMaterials[Part Name],0)),0)</f>
        <v/>
      </c>
      <c r="BQ56">
        <f>SUMPRODUCT((M_BOM[Part Name]=$A56)*M_BOM[RM_Qty_Per_Batch]*IFERROR(INDEX(PP_Grid[#Data],M_BOM[PPGridRow],69),0))+IFERROR(INDEX(M_RawMaterials[固定週次消費量_要入力],MATCH($A56,M_RawMaterials[Part Name],0)),0)</f>
        <v/>
      </c>
      <c r="BR56">
        <f>SUMPRODUCT((M_BOM[Part Name]=$A56)*M_BOM[RM_Qty_Per_Batch]*IFERROR(INDEX(PP_Grid[#Data],M_BOM[PPGridRow],70),0))+IFERROR(INDEX(M_RawMaterials[固定週次消費量_要入力],MATCH($A56,M_RawMaterials[Part Name],0)),0)</f>
        <v/>
      </c>
      <c r="BS56">
        <f>SUMPRODUCT((M_BOM[Part Name]=$A56)*M_BOM[RM_Qty_Per_Batch]*IFERROR(INDEX(PP_Grid[#Data],M_BOM[PPGridRow],71),0))+IFERROR(INDEX(M_RawMaterials[固定週次消費量_要入力],MATCH($A56,M_RawMaterials[Part Name],0)),0)</f>
        <v/>
      </c>
      <c r="BT56">
        <f>SUMPRODUCT((M_BOM[Part Name]=$A56)*M_BOM[RM_Qty_Per_Batch]*IFERROR(INDEX(PP_Grid[#Data],M_BOM[PPGridRow],72),0))+IFERROR(INDEX(M_RawMaterials[固定週次消費量_要入力],MATCH($A56,M_RawMaterials[Part Name],0)),0)</f>
        <v/>
      </c>
      <c r="BU56">
        <f>SUMPRODUCT((M_BOM[Part Name]=$A56)*M_BOM[RM_Qty_Per_Batch]*IFERROR(INDEX(PP_Grid[#Data],M_BOM[PPGridRow],73),0))+IFERROR(INDEX(M_RawMaterials[固定週次消費量_要入力],MATCH($A56,M_RawMaterials[Part Name],0)),0)</f>
        <v/>
      </c>
      <c r="BV56">
        <f>SUMPRODUCT((M_BOM[Part Name]=$A56)*M_BOM[RM_Qty_Per_Batch]*IFERROR(INDEX(PP_Grid[#Data],M_BOM[PPGridRow],74),0))+IFERROR(INDEX(M_RawMaterials[固定週次消費量_要入力],MATCH($A56,M_RawMaterials[Part Name],0)),0)</f>
        <v/>
      </c>
      <c r="BW56">
        <f>SUMPRODUCT((M_BOM[Part Name]=$A56)*M_BOM[RM_Qty_Per_Batch]*IFERROR(INDEX(PP_Grid[#Data],M_BOM[PPGridRow],75),0))+IFERROR(INDEX(M_RawMaterials[固定週次消費量_要入力],MATCH($A56,M_RawMaterials[Part Name],0)),0)</f>
        <v/>
      </c>
      <c r="BX56">
        <f>SUMPRODUCT((M_BOM[Part Name]=$A56)*M_BOM[RM_Qty_Per_Batch]*IFERROR(INDEX(PP_Grid[#Data],M_BOM[PPGridRow],76),0))+IFERROR(INDEX(M_RawMaterials[固定週次消費量_要入力],MATCH($A56,M_RawMaterials[Part Name],0)),0)</f>
        <v/>
      </c>
      <c r="BY56">
        <f>SUMPRODUCT((M_BOM[Part Name]=$A56)*M_BOM[RM_Qty_Per_Batch]*IFERROR(INDEX(PP_Grid[#Data],M_BOM[PPGridRow],77),0))+IFERROR(INDEX(M_RawMaterials[固定週次消費量_要入力],MATCH($A56,M_RawMaterials[Part Name],0)),0)</f>
        <v/>
      </c>
      <c r="BZ56">
        <f>SUMPRODUCT((M_BOM[Part Name]=$A56)*M_BOM[RM_Qty_Per_Batch]*IFERROR(INDEX(PP_Grid[#Data],M_BOM[PPGridRow],78),0))+IFERROR(INDEX(M_RawMaterials[固定週次消費量_要入力],MATCH($A56,M_RawMaterials[Part Name],0)),0)</f>
        <v/>
      </c>
      <c r="CA56">
        <f>SUMPRODUCT((M_BOM[Part Name]=$A56)*M_BOM[RM_Qty_Per_Batch]*IFERROR(INDEX(PP_Grid[#Data],M_BOM[PPGridRow],79),0))+IFERROR(INDEX(M_RawMaterials[固定週次消費量_要入力],MATCH($A56,M_RawMaterials[Part Name],0)),0)</f>
        <v/>
      </c>
      <c r="CB56">
        <f>SUMPRODUCT((M_BOM[Part Name]=$A56)*M_BOM[RM_Qty_Per_Batch]*IFERROR(INDEX(PP_Grid[#Data],M_BOM[PPGridRow],80),0))+IFERROR(INDEX(M_RawMaterials[固定週次消費量_要入力],MATCH($A56,M_RawMaterials[Part Name],0)),0)</f>
        <v/>
      </c>
      <c r="CC56">
        <f>SUMPRODUCT((M_BOM[Part Name]=$A56)*M_BOM[RM_Qty_Per_Batch]*IFERROR(INDEX(PP_Grid[#Data],M_BOM[PPGridRow],81),0))+IFERROR(INDEX(M_RawMaterials[固定週次消費量_要入力],MATCH($A56,M_RawMaterials[Part Name],0)),0)</f>
        <v/>
      </c>
      <c r="CD56">
        <f>SUMPRODUCT((M_BOM[Part Name]=$A56)*M_BOM[RM_Qty_Per_Batch]*IFERROR(INDEX(PP_Grid[#Data],M_BOM[PPGridRow],82),0))+IFERROR(INDEX(M_RawMaterials[固定週次消費量_要入力],MATCH($A56,M_RawMaterials[Part Name],0)),0)</f>
        <v/>
      </c>
      <c r="CE56">
        <f>SUMPRODUCT((M_BOM[Part Name]=$A56)*M_BOM[RM_Qty_Per_Batch]*IFERROR(INDEX(PP_Grid[#Data],M_BOM[PPGridRow],83),0))+IFERROR(INDEX(M_RawMaterials[固定週次消費量_要入力],MATCH($A56,M_RawMaterials[Part Name],0)),0)</f>
        <v/>
      </c>
      <c r="CF56">
        <f>SUMPRODUCT((M_BOM[Part Name]=$A56)*M_BOM[RM_Qty_Per_Batch]*IFERROR(INDEX(PP_Grid[#Data],M_BOM[PPGridRow],84),0))+IFERROR(INDEX(M_RawMaterials[固定週次消費量_要入力],MATCH($A56,M_RawMaterials[Part Name],0)),0)</f>
        <v/>
      </c>
      <c r="CG56">
        <f>SUMPRODUCT((M_BOM[Part Name]=$A56)*M_BOM[RM_Qty_Per_Batch]*IFERROR(INDEX(PP_Grid[#Data],M_BOM[PPGridRow],85),0))+IFERROR(INDEX(M_RawMaterials[固定週次消費量_要入力],MATCH($A56,M_RawMaterials[Part Name],0)),0)</f>
        <v/>
      </c>
      <c r="CH56">
        <f>SUMPRODUCT((M_BOM[Part Name]=$A56)*M_BOM[RM_Qty_Per_Batch]*IFERROR(INDEX(PP_Grid[#Data],M_BOM[PPGridRow],86),0))+IFERROR(INDEX(M_RawMaterials[固定週次消費量_要入力],MATCH($A56,M_RawMaterials[Part Name],0)),0)</f>
        <v/>
      </c>
      <c r="CI56">
        <f>SUMPRODUCT((M_BOM[Part Name]=$A56)*M_BOM[RM_Qty_Per_Batch]*IFERROR(INDEX(PP_Grid[#Data],M_BOM[PPGridRow],87),0))+IFERROR(INDEX(M_RawMaterials[固定週次消費量_要入力],MATCH($A56,M_RawMaterials[Part Name],0)),0)</f>
        <v/>
      </c>
      <c r="CJ56">
        <f>SUMPRODUCT((M_BOM[Part Name]=$A56)*M_BOM[RM_Qty_Per_Batch]*IFERROR(INDEX(PP_Grid[#Data],M_BOM[PPGridRow],88),0))+IFERROR(INDEX(M_RawMaterials[固定週次消費量_要入力],MATCH($A56,M_RawMaterials[Part Name],0)),0)</f>
        <v/>
      </c>
      <c r="CK56">
        <f>SUMPRODUCT((M_BOM[Part Name]=$A56)*M_BOM[RM_Qty_Per_Batch]*IFERROR(INDEX(PP_Grid[#Data],M_BOM[PPGridRow],89),0))+IFERROR(INDEX(M_RawMaterials[固定週次消費量_要入力],MATCH($A56,M_RawMaterials[Part Name],0)),0)</f>
        <v/>
      </c>
      <c r="CL56">
        <f>SUMPRODUCT((M_BOM[Part Name]=$A56)*M_BOM[RM_Qty_Per_Batch]*IFERROR(INDEX(PP_Grid[#Data],M_BOM[PPGridRow],90),0))+IFERROR(INDEX(M_RawMaterials[固定週次消費量_要入力],MATCH($A56,M_RawMaterials[Part Name],0)),0)</f>
        <v/>
      </c>
      <c r="CM56">
        <f>SUMPRODUCT((M_BOM[Part Name]=$A56)*M_BOM[RM_Qty_Per_Batch]*IFERROR(INDEX(PP_Grid[#Data],M_BOM[PPGridRow],91),0))+IFERROR(INDEX(M_RawMaterials[固定週次消費量_要入力],MATCH($A56,M_RawMaterials[Part Name],0)),0)</f>
        <v/>
      </c>
      <c r="CN56">
        <f>SUMPRODUCT((M_BOM[Part Name]=$A56)*M_BOM[RM_Qty_Per_Batch]*IFERROR(INDEX(PP_Grid[#Data],M_BOM[PPGridRow],92),0))+IFERROR(INDEX(M_RawMaterials[固定週次消費量_要入力],MATCH($A56,M_RawMaterials[Part Name],0)),0)</f>
        <v/>
      </c>
      <c r="CO56">
        <f>SUMPRODUCT((M_BOM[Part Name]=$A56)*M_BOM[RM_Qty_Per_Batch]*IFERROR(INDEX(PP_Grid[#Data],M_BOM[PPGridRow],93),0))+IFERROR(INDEX(M_RawMaterials[固定週次消費量_要入力],MATCH($A56,M_RawMaterials[Part Name],0)),0)</f>
        <v/>
      </c>
      <c r="CP56">
        <f>SUMPRODUCT((M_BOM[Part Name]=$A56)*M_BOM[RM_Qty_Per_Batch]*IFERROR(INDEX(PP_Grid[#Data],M_BOM[PPGridRow],94),0))+IFERROR(INDEX(M_RawMaterials[固定週次消費量_要入力],MATCH($A56,M_RawMaterials[Part Name],0)),0)</f>
        <v/>
      </c>
      <c r="CQ56">
        <f>SUMPRODUCT((M_BOM[Part Name]=$A56)*M_BOM[RM_Qty_Per_Batch]*IFERROR(INDEX(PP_Grid[#Data],M_BOM[PPGridRow],95),0))+IFERROR(INDEX(M_RawMaterials[固定週次消費量_要入力],MATCH($A56,M_RawMaterials[Part Name],0)),0)</f>
        <v/>
      </c>
      <c r="CR56">
        <f>SUMPRODUCT((M_BOM[Part Name]=$A56)*M_BOM[RM_Qty_Per_Batch]*IFERROR(INDEX(PP_Grid[#Data],M_BOM[PPGridRow],96),0))+IFERROR(INDEX(M_RawMaterials[固定週次消費量_要入力],MATCH($A56,M_RawMaterials[Part Name],0)),0)</f>
        <v/>
      </c>
      <c r="CS56">
        <f>SUMPRODUCT((M_BOM[Part Name]=$A56)*M_BOM[RM_Qty_Per_Batch]*IFERROR(INDEX(PP_Grid[#Data],M_BOM[PPGridRow],97),0))+IFERROR(INDEX(M_RawMaterials[固定週次消費量_要入力],MATCH($A56,M_RawMaterials[Part Name],0)),0)</f>
        <v/>
      </c>
      <c r="CT56">
        <f>SUMPRODUCT((M_BOM[Part Name]=$A56)*M_BOM[RM_Qty_Per_Batch]*IFERROR(INDEX(PP_Grid[#Data],M_BOM[PPGridRow],98),0))+IFERROR(INDEX(M_RawMaterials[固定週次消費量_要入力],MATCH($A56,M_RawMaterials[Part Name],0)),0)</f>
        <v/>
      </c>
      <c r="CU56">
        <f>SUMPRODUCT((M_BOM[Part Name]=$A56)*M_BOM[RM_Qty_Per_Batch]*IFERROR(INDEX(PP_Grid[#Data],M_BOM[PPGridRow],99),0))+IFERROR(INDEX(M_RawMaterials[固定週次消費量_要入力],MATCH($A56,M_RawMaterials[Part Name],0)),0)</f>
        <v/>
      </c>
      <c r="CV56">
        <f>SUMPRODUCT((M_BOM[Part Name]=$A56)*M_BOM[RM_Qty_Per_Batch]*IFERROR(INDEX(PP_Grid[#Data],M_BOM[PPGridRow],100),0))+IFERROR(INDEX(M_RawMaterials[固定週次消費量_要入力],MATCH($A56,M_RawMaterials[Part Name],0)),0)</f>
        <v/>
      </c>
      <c r="CW56">
        <f>SUMPRODUCT((M_BOM[Part Name]=$A56)*M_BOM[RM_Qty_Per_Batch]*IFERROR(INDEX(PP_Grid[#Data],M_BOM[PPGridRow],101),0))+IFERROR(INDEX(M_RawMaterials[固定週次消費量_要入力],MATCH($A56,M_RawMaterials[Part Name],0)),0)</f>
        <v/>
      </c>
      <c r="CX56">
        <f>SUMPRODUCT((M_BOM[Part Name]=$A56)*M_BOM[RM_Qty_Per_Batch]*IFERROR(INDEX(PP_Grid[#Data],M_BOM[PPGridRow],102),0))+IFERROR(INDEX(M_RawMaterials[固定週次消費量_要入力],MATCH($A56,M_RawMaterials[Part Name],0)),0)</f>
        <v/>
      </c>
      <c r="CY56">
        <f>SUMPRODUCT((M_BOM[Part Name]=$A56)*M_BOM[RM_Qty_Per_Batch]*IFERROR(INDEX(PP_Grid[#Data],M_BOM[PPGridRow],103),0))+IFERROR(INDEX(M_RawMaterials[固定週次消費量_要入力],MATCH($A56,M_RawMaterials[Part Name],0)),0)</f>
        <v/>
      </c>
      <c r="CZ56">
        <f>SUMPRODUCT((M_BOM[Part Name]=$A56)*M_BOM[RM_Qty_Per_Batch]*IFERROR(INDEX(PP_Grid[#Data],M_BOM[PPGridRow],104),0))+IFERROR(INDEX(M_RawMaterials[固定週次消費量_要入力],MATCH($A56,M_RawMaterials[Part Name],0)),0)</f>
        <v/>
      </c>
      <c r="DA56">
        <f>SUMPRODUCT((M_BOM[Part Name]=$A56)*M_BOM[RM_Qty_Per_Batch]*IFERROR(INDEX(PP_Grid[#Data],M_BOM[PPGridRow],105),0))+IFERROR(INDEX(M_RawMaterials[固定週次消費量_要入力],MATCH($A56,M_RawMaterials[Part Name],0)),0)</f>
        <v/>
      </c>
    </row>
    <row r="57">
      <c r="A57" t="inlineStr">
        <is>
          <t>Ester Film</t>
        </is>
      </c>
      <c r="B57">
        <f>SUMPRODUCT((M_BOM[Part Name]=$A57)*M_BOM[RM_Qty_Per_Batch]*IFERROR(INDEX(PP_Grid[#Data],M_BOM[PPGridRow],2),0))+IFERROR(INDEX(M_RawMaterials[固定週次消費量_要入力],MATCH($A57,M_RawMaterials[Part Name],0)),0)</f>
        <v/>
      </c>
      <c r="C57">
        <f>SUMPRODUCT((M_BOM[Part Name]=$A57)*M_BOM[RM_Qty_Per_Batch]*IFERROR(INDEX(PP_Grid[#Data],M_BOM[PPGridRow],3),0))+IFERROR(INDEX(M_RawMaterials[固定週次消費量_要入力],MATCH($A57,M_RawMaterials[Part Name],0)),0)</f>
        <v/>
      </c>
      <c r="D57">
        <f>SUMPRODUCT((M_BOM[Part Name]=$A57)*M_BOM[RM_Qty_Per_Batch]*IFERROR(INDEX(PP_Grid[#Data],M_BOM[PPGridRow],4),0))+IFERROR(INDEX(M_RawMaterials[固定週次消費量_要入力],MATCH($A57,M_RawMaterials[Part Name],0)),0)</f>
        <v/>
      </c>
      <c r="E57">
        <f>SUMPRODUCT((M_BOM[Part Name]=$A57)*M_BOM[RM_Qty_Per_Batch]*IFERROR(INDEX(PP_Grid[#Data],M_BOM[PPGridRow],5),0))+IFERROR(INDEX(M_RawMaterials[固定週次消費量_要入力],MATCH($A57,M_RawMaterials[Part Name],0)),0)</f>
        <v/>
      </c>
      <c r="F57">
        <f>SUMPRODUCT((M_BOM[Part Name]=$A57)*M_BOM[RM_Qty_Per_Batch]*IFERROR(INDEX(PP_Grid[#Data],M_BOM[PPGridRow],6),0))+IFERROR(INDEX(M_RawMaterials[固定週次消費量_要入力],MATCH($A57,M_RawMaterials[Part Name],0)),0)</f>
        <v/>
      </c>
      <c r="G57">
        <f>SUMPRODUCT((M_BOM[Part Name]=$A57)*M_BOM[RM_Qty_Per_Batch]*IFERROR(INDEX(PP_Grid[#Data],M_BOM[PPGridRow],7),0))+IFERROR(INDEX(M_RawMaterials[固定週次消費量_要入力],MATCH($A57,M_RawMaterials[Part Name],0)),0)</f>
        <v/>
      </c>
      <c r="H57">
        <f>SUMPRODUCT((M_BOM[Part Name]=$A57)*M_BOM[RM_Qty_Per_Batch]*IFERROR(INDEX(PP_Grid[#Data],M_BOM[PPGridRow],8),0))+IFERROR(INDEX(M_RawMaterials[固定週次消費量_要入力],MATCH($A57,M_RawMaterials[Part Name],0)),0)</f>
        <v/>
      </c>
      <c r="I57">
        <f>SUMPRODUCT((M_BOM[Part Name]=$A57)*M_BOM[RM_Qty_Per_Batch]*IFERROR(INDEX(PP_Grid[#Data],M_BOM[PPGridRow],9),0))+IFERROR(INDEX(M_RawMaterials[固定週次消費量_要入力],MATCH($A57,M_RawMaterials[Part Name],0)),0)</f>
        <v/>
      </c>
      <c r="J57">
        <f>SUMPRODUCT((M_BOM[Part Name]=$A57)*M_BOM[RM_Qty_Per_Batch]*IFERROR(INDEX(PP_Grid[#Data],M_BOM[PPGridRow],10),0))+IFERROR(INDEX(M_RawMaterials[固定週次消費量_要入力],MATCH($A57,M_RawMaterials[Part Name],0)),0)</f>
        <v/>
      </c>
      <c r="K57">
        <f>SUMPRODUCT((M_BOM[Part Name]=$A57)*M_BOM[RM_Qty_Per_Batch]*IFERROR(INDEX(PP_Grid[#Data],M_BOM[PPGridRow],11),0))+IFERROR(INDEX(M_RawMaterials[固定週次消費量_要入力],MATCH($A57,M_RawMaterials[Part Name],0)),0)</f>
        <v/>
      </c>
      <c r="L57">
        <f>SUMPRODUCT((M_BOM[Part Name]=$A57)*M_BOM[RM_Qty_Per_Batch]*IFERROR(INDEX(PP_Grid[#Data],M_BOM[PPGridRow],12),0))+IFERROR(INDEX(M_RawMaterials[固定週次消費量_要入力],MATCH($A57,M_RawMaterials[Part Name],0)),0)</f>
        <v/>
      </c>
      <c r="M57">
        <f>SUMPRODUCT((M_BOM[Part Name]=$A57)*M_BOM[RM_Qty_Per_Batch]*IFERROR(INDEX(PP_Grid[#Data],M_BOM[PPGridRow],13),0))+IFERROR(INDEX(M_RawMaterials[固定週次消費量_要入力],MATCH($A57,M_RawMaterials[Part Name],0)),0)</f>
        <v/>
      </c>
      <c r="N57">
        <f>SUMPRODUCT((M_BOM[Part Name]=$A57)*M_BOM[RM_Qty_Per_Batch]*IFERROR(INDEX(PP_Grid[#Data],M_BOM[PPGridRow],14),0))+IFERROR(INDEX(M_RawMaterials[固定週次消費量_要入力],MATCH($A57,M_RawMaterials[Part Name],0)),0)</f>
        <v/>
      </c>
      <c r="O57">
        <f>SUMPRODUCT((M_BOM[Part Name]=$A57)*M_BOM[RM_Qty_Per_Batch]*IFERROR(INDEX(PP_Grid[#Data],M_BOM[PPGridRow],15),0))+IFERROR(INDEX(M_RawMaterials[固定週次消費量_要入力],MATCH($A57,M_RawMaterials[Part Name],0)),0)</f>
        <v/>
      </c>
      <c r="P57">
        <f>SUMPRODUCT((M_BOM[Part Name]=$A57)*M_BOM[RM_Qty_Per_Batch]*IFERROR(INDEX(PP_Grid[#Data],M_BOM[PPGridRow],16),0))+IFERROR(INDEX(M_RawMaterials[固定週次消費量_要入力],MATCH($A57,M_RawMaterials[Part Name],0)),0)</f>
        <v/>
      </c>
      <c r="Q57">
        <f>SUMPRODUCT((M_BOM[Part Name]=$A57)*M_BOM[RM_Qty_Per_Batch]*IFERROR(INDEX(PP_Grid[#Data],M_BOM[PPGridRow],17),0))+IFERROR(INDEX(M_RawMaterials[固定週次消費量_要入力],MATCH($A57,M_RawMaterials[Part Name],0)),0)</f>
        <v/>
      </c>
      <c r="R57">
        <f>SUMPRODUCT((M_BOM[Part Name]=$A57)*M_BOM[RM_Qty_Per_Batch]*IFERROR(INDEX(PP_Grid[#Data],M_BOM[PPGridRow],18),0))+IFERROR(INDEX(M_RawMaterials[固定週次消費量_要入力],MATCH($A57,M_RawMaterials[Part Name],0)),0)</f>
        <v/>
      </c>
      <c r="S57">
        <f>SUMPRODUCT((M_BOM[Part Name]=$A57)*M_BOM[RM_Qty_Per_Batch]*IFERROR(INDEX(PP_Grid[#Data],M_BOM[PPGridRow],19),0))+IFERROR(INDEX(M_RawMaterials[固定週次消費量_要入力],MATCH($A57,M_RawMaterials[Part Name],0)),0)</f>
        <v/>
      </c>
      <c r="T57">
        <f>SUMPRODUCT((M_BOM[Part Name]=$A57)*M_BOM[RM_Qty_Per_Batch]*IFERROR(INDEX(PP_Grid[#Data],M_BOM[PPGridRow],20),0))+IFERROR(INDEX(M_RawMaterials[固定週次消費量_要入力],MATCH($A57,M_RawMaterials[Part Name],0)),0)</f>
        <v/>
      </c>
      <c r="U57">
        <f>SUMPRODUCT((M_BOM[Part Name]=$A57)*M_BOM[RM_Qty_Per_Batch]*IFERROR(INDEX(PP_Grid[#Data],M_BOM[PPGridRow],21),0))+IFERROR(INDEX(M_RawMaterials[固定週次消費量_要入力],MATCH($A57,M_RawMaterials[Part Name],0)),0)</f>
        <v/>
      </c>
      <c r="V57">
        <f>SUMPRODUCT((M_BOM[Part Name]=$A57)*M_BOM[RM_Qty_Per_Batch]*IFERROR(INDEX(PP_Grid[#Data],M_BOM[PPGridRow],22),0))+IFERROR(INDEX(M_RawMaterials[固定週次消費量_要入力],MATCH($A57,M_RawMaterials[Part Name],0)),0)</f>
        <v/>
      </c>
      <c r="W57">
        <f>SUMPRODUCT((M_BOM[Part Name]=$A57)*M_BOM[RM_Qty_Per_Batch]*IFERROR(INDEX(PP_Grid[#Data],M_BOM[PPGridRow],23),0))+IFERROR(INDEX(M_RawMaterials[固定週次消費量_要入力],MATCH($A57,M_RawMaterials[Part Name],0)),0)</f>
        <v/>
      </c>
      <c r="X57">
        <f>SUMPRODUCT((M_BOM[Part Name]=$A57)*M_BOM[RM_Qty_Per_Batch]*IFERROR(INDEX(PP_Grid[#Data],M_BOM[PPGridRow],24),0))+IFERROR(INDEX(M_RawMaterials[固定週次消費量_要入力],MATCH($A57,M_RawMaterials[Part Name],0)),0)</f>
        <v/>
      </c>
      <c r="Y57">
        <f>SUMPRODUCT((M_BOM[Part Name]=$A57)*M_BOM[RM_Qty_Per_Batch]*IFERROR(INDEX(PP_Grid[#Data],M_BOM[PPGridRow],25),0))+IFERROR(INDEX(M_RawMaterials[固定週次消費量_要入力],MATCH($A57,M_RawMaterials[Part Name],0)),0)</f>
        <v/>
      </c>
      <c r="Z57">
        <f>SUMPRODUCT((M_BOM[Part Name]=$A57)*M_BOM[RM_Qty_Per_Batch]*IFERROR(INDEX(PP_Grid[#Data],M_BOM[PPGridRow],26),0))+IFERROR(INDEX(M_RawMaterials[固定週次消費量_要入力],MATCH($A57,M_RawMaterials[Part Name],0)),0)</f>
        <v/>
      </c>
      <c r="AA57">
        <f>SUMPRODUCT((M_BOM[Part Name]=$A57)*M_BOM[RM_Qty_Per_Batch]*IFERROR(INDEX(PP_Grid[#Data],M_BOM[PPGridRow],27),0))+IFERROR(INDEX(M_RawMaterials[固定週次消費量_要入力],MATCH($A57,M_RawMaterials[Part Name],0)),0)</f>
        <v/>
      </c>
      <c r="AB57">
        <f>SUMPRODUCT((M_BOM[Part Name]=$A57)*M_BOM[RM_Qty_Per_Batch]*IFERROR(INDEX(PP_Grid[#Data],M_BOM[PPGridRow],28),0))+IFERROR(INDEX(M_RawMaterials[固定週次消費量_要入力],MATCH($A57,M_RawMaterials[Part Name],0)),0)</f>
        <v/>
      </c>
      <c r="AC57">
        <f>SUMPRODUCT((M_BOM[Part Name]=$A57)*M_BOM[RM_Qty_Per_Batch]*IFERROR(INDEX(PP_Grid[#Data],M_BOM[PPGridRow],29),0))+IFERROR(INDEX(M_RawMaterials[固定週次消費量_要入力],MATCH($A57,M_RawMaterials[Part Name],0)),0)</f>
        <v/>
      </c>
      <c r="AD57">
        <f>SUMPRODUCT((M_BOM[Part Name]=$A57)*M_BOM[RM_Qty_Per_Batch]*IFERROR(INDEX(PP_Grid[#Data],M_BOM[PPGridRow],30),0))+IFERROR(INDEX(M_RawMaterials[固定週次消費量_要入力],MATCH($A57,M_RawMaterials[Part Name],0)),0)</f>
        <v/>
      </c>
      <c r="AE57">
        <f>SUMPRODUCT((M_BOM[Part Name]=$A57)*M_BOM[RM_Qty_Per_Batch]*IFERROR(INDEX(PP_Grid[#Data],M_BOM[PPGridRow],31),0))+IFERROR(INDEX(M_RawMaterials[固定週次消費量_要入力],MATCH($A57,M_RawMaterials[Part Name],0)),0)</f>
        <v/>
      </c>
      <c r="AF57">
        <f>SUMPRODUCT((M_BOM[Part Name]=$A57)*M_BOM[RM_Qty_Per_Batch]*IFERROR(INDEX(PP_Grid[#Data],M_BOM[PPGridRow],32),0))+IFERROR(INDEX(M_RawMaterials[固定週次消費量_要入力],MATCH($A57,M_RawMaterials[Part Name],0)),0)</f>
        <v/>
      </c>
      <c r="AG57">
        <f>SUMPRODUCT((M_BOM[Part Name]=$A57)*M_BOM[RM_Qty_Per_Batch]*IFERROR(INDEX(PP_Grid[#Data],M_BOM[PPGridRow],33),0))+IFERROR(INDEX(M_RawMaterials[固定週次消費量_要入力],MATCH($A57,M_RawMaterials[Part Name],0)),0)</f>
        <v/>
      </c>
      <c r="AH57">
        <f>SUMPRODUCT((M_BOM[Part Name]=$A57)*M_BOM[RM_Qty_Per_Batch]*IFERROR(INDEX(PP_Grid[#Data],M_BOM[PPGridRow],34),0))+IFERROR(INDEX(M_RawMaterials[固定週次消費量_要入力],MATCH($A57,M_RawMaterials[Part Name],0)),0)</f>
        <v/>
      </c>
      <c r="AI57">
        <f>SUMPRODUCT((M_BOM[Part Name]=$A57)*M_BOM[RM_Qty_Per_Batch]*IFERROR(INDEX(PP_Grid[#Data],M_BOM[PPGridRow],35),0))+IFERROR(INDEX(M_RawMaterials[固定週次消費量_要入力],MATCH($A57,M_RawMaterials[Part Name],0)),0)</f>
        <v/>
      </c>
      <c r="AJ57">
        <f>SUMPRODUCT((M_BOM[Part Name]=$A57)*M_BOM[RM_Qty_Per_Batch]*IFERROR(INDEX(PP_Grid[#Data],M_BOM[PPGridRow],36),0))+IFERROR(INDEX(M_RawMaterials[固定週次消費量_要入力],MATCH($A57,M_RawMaterials[Part Name],0)),0)</f>
        <v/>
      </c>
      <c r="AK57">
        <f>SUMPRODUCT((M_BOM[Part Name]=$A57)*M_BOM[RM_Qty_Per_Batch]*IFERROR(INDEX(PP_Grid[#Data],M_BOM[PPGridRow],37),0))+IFERROR(INDEX(M_RawMaterials[固定週次消費量_要入力],MATCH($A57,M_RawMaterials[Part Name],0)),0)</f>
        <v/>
      </c>
      <c r="AL57">
        <f>SUMPRODUCT((M_BOM[Part Name]=$A57)*M_BOM[RM_Qty_Per_Batch]*IFERROR(INDEX(PP_Grid[#Data],M_BOM[PPGridRow],38),0))+IFERROR(INDEX(M_RawMaterials[固定週次消費量_要入力],MATCH($A57,M_RawMaterials[Part Name],0)),0)</f>
        <v/>
      </c>
      <c r="AM57">
        <f>SUMPRODUCT((M_BOM[Part Name]=$A57)*M_BOM[RM_Qty_Per_Batch]*IFERROR(INDEX(PP_Grid[#Data],M_BOM[PPGridRow],39),0))+IFERROR(INDEX(M_RawMaterials[固定週次消費量_要入力],MATCH($A57,M_RawMaterials[Part Name],0)),0)</f>
        <v/>
      </c>
      <c r="AN57">
        <f>SUMPRODUCT((M_BOM[Part Name]=$A57)*M_BOM[RM_Qty_Per_Batch]*IFERROR(INDEX(PP_Grid[#Data],M_BOM[PPGridRow],40),0))+IFERROR(INDEX(M_RawMaterials[固定週次消費量_要入力],MATCH($A57,M_RawMaterials[Part Name],0)),0)</f>
        <v/>
      </c>
      <c r="AO57">
        <f>SUMPRODUCT((M_BOM[Part Name]=$A57)*M_BOM[RM_Qty_Per_Batch]*IFERROR(INDEX(PP_Grid[#Data],M_BOM[PPGridRow],41),0))+IFERROR(INDEX(M_RawMaterials[固定週次消費量_要入力],MATCH($A57,M_RawMaterials[Part Name],0)),0)</f>
        <v/>
      </c>
      <c r="AP57">
        <f>SUMPRODUCT((M_BOM[Part Name]=$A57)*M_BOM[RM_Qty_Per_Batch]*IFERROR(INDEX(PP_Grid[#Data],M_BOM[PPGridRow],42),0))+IFERROR(INDEX(M_RawMaterials[固定週次消費量_要入力],MATCH($A57,M_RawMaterials[Part Name],0)),0)</f>
        <v/>
      </c>
      <c r="AQ57">
        <f>SUMPRODUCT((M_BOM[Part Name]=$A57)*M_BOM[RM_Qty_Per_Batch]*IFERROR(INDEX(PP_Grid[#Data],M_BOM[PPGridRow],43),0))+IFERROR(INDEX(M_RawMaterials[固定週次消費量_要入力],MATCH($A57,M_RawMaterials[Part Name],0)),0)</f>
        <v/>
      </c>
      <c r="AR57">
        <f>SUMPRODUCT((M_BOM[Part Name]=$A57)*M_BOM[RM_Qty_Per_Batch]*IFERROR(INDEX(PP_Grid[#Data],M_BOM[PPGridRow],44),0))+IFERROR(INDEX(M_RawMaterials[固定週次消費量_要入力],MATCH($A57,M_RawMaterials[Part Name],0)),0)</f>
        <v/>
      </c>
      <c r="AS57">
        <f>SUMPRODUCT((M_BOM[Part Name]=$A57)*M_BOM[RM_Qty_Per_Batch]*IFERROR(INDEX(PP_Grid[#Data],M_BOM[PPGridRow],45),0))+IFERROR(INDEX(M_RawMaterials[固定週次消費量_要入力],MATCH($A57,M_RawMaterials[Part Name],0)),0)</f>
        <v/>
      </c>
      <c r="AT57">
        <f>SUMPRODUCT((M_BOM[Part Name]=$A57)*M_BOM[RM_Qty_Per_Batch]*IFERROR(INDEX(PP_Grid[#Data],M_BOM[PPGridRow],46),0))+IFERROR(INDEX(M_RawMaterials[固定週次消費量_要入力],MATCH($A57,M_RawMaterials[Part Name],0)),0)</f>
        <v/>
      </c>
      <c r="AU57">
        <f>SUMPRODUCT((M_BOM[Part Name]=$A57)*M_BOM[RM_Qty_Per_Batch]*IFERROR(INDEX(PP_Grid[#Data],M_BOM[PPGridRow],47),0))+IFERROR(INDEX(M_RawMaterials[固定週次消費量_要入力],MATCH($A57,M_RawMaterials[Part Name],0)),0)</f>
        <v/>
      </c>
      <c r="AV57">
        <f>SUMPRODUCT((M_BOM[Part Name]=$A57)*M_BOM[RM_Qty_Per_Batch]*IFERROR(INDEX(PP_Grid[#Data],M_BOM[PPGridRow],48),0))+IFERROR(INDEX(M_RawMaterials[固定週次消費量_要入力],MATCH($A57,M_RawMaterials[Part Name],0)),0)</f>
        <v/>
      </c>
      <c r="AW57">
        <f>SUMPRODUCT((M_BOM[Part Name]=$A57)*M_BOM[RM_Qty_Per_Batch]*IFERROR(INDEX(PP_Grid[#Data],M_BOM[PPGridRow],49),0))+IFERROR(INDEX(M_RawMaterials[固定週次消費量_要入力],MATCH($A57,M_RawMaterials[Part Name],0)),0)</f>
        <v/>
      </c>
      <c r="AX57">
        <f>SUMPRODUCT((M_BOM[Part Name]=$A57)*M_BOM[RM_Qty_Per_Batch]*IFERROR(INDEX(PP_Grid[#Data],M_BOM[PPGridRow],50),0))+IFERROR(INDEX(M_RawMaterials[固定週次消費量_要入力],MATCH($A57,M_RawMaterials[Part Name],0)),0)</f>
        <v/>
      </c>
      <c r="AY57">
        <f>SUMPRODUCT((M_BOM[Part Name]=$A57)*M_BOM[RM_Qty_Per_Batch]*IFERROR(INDEX(PP_Grid[#Data],M_BOM[PPGridRow],51),0))+IFERROR(INDEX(M_RawMaterials[固定週次消費量_要入力],MATCH($A57,M_RawMaterials[Part Name],0)),0)</f>
        <v/>
      </c>
      <c r="AZ57">
        <f>SUMPRODUCT((M_BOM[Part Name]=$A57)*M_BOM[RM_Qty_Per_Batch]*IFERROR(INDEX(PP_Grid[#Data],M_BOM[PPGridRow],52),0))+IFERROR(INDEX(M_RawMaterials[固定週次消費量_要入力],MATCH($A57,M_RawMaterials[Part Name],0)),0)</f>
        <v/>
      </c>
      <c r="BA57">
        <f>SUMPRODUCT((M_BOM[Part Name]=$A57)*M_BOM[RM_Qty_Per_Batch]*IFERROR(INDEX(PP_Grid[#Data],M_BOM[PPGridRow],53),0))+IFERROR(INDEX(M_RawMaterials[固定週次消費量_要入力],MATCH($A57,M_RawMaterials[Part Name],0)),0)</f>
        <v/>
      </c>
      <c r="BB57">
        <f>SUMPRODUCT((M_BOM[Part Name]=$A57)*M_BOM[RM_Qty_Per_Batch]*IFERROR(INDEX(PP_Grid[#Data],M_BOM[PPGridRow],54),0))+IFERROR(INDEX(M_RawMaterials[固定週次消費量_要入力],MATCH($A57,M_RawMaterials[Part Name],0)),0)</f>
        <v/>
      </c>
      <c r="BC57">
        <f>SUMPRODUCT((M_BOM[Part Name]=$A57)*M_BOM[RM_Qty_Per_Batch]*IFERROR(INDEX(PP_Grid[#Data],M_BOM[PPGridRow],55),0))+IFERROR(INDEX(M_RawMaterials[固定週次消費量_要入力],MATCH($A57,M_RawMaterials[Part Name],0)),0)</f>
        <v/>
      </c>
      <c r="BD57">
        <f>SUMPRODUCT((M_BOM[Part Name]=$A57)*M_BOM[RM_Qty_Per_Batch]*IFERROR(INDEX(PP_Grid[#Data],M_BOM[PPGridRow],56),0))+IFERROR(INDEX(M_RawMaterials[固定週次消費量_要入力],MATCH($A57,M_RawMaterials[Part Name],0)),0)</f>
        <v/>
      </c>
      <c r="BE57">
        <f>SUMPRODUCT((M_BOM[Part Name]=$A57)*M_BOM[RM_Qty_Per_Batch]*IFERROR(INDEX(PP_Grid[#Data],M_BOM[PPGridRow],57),0))+IFERROR(INDEX(M_RawMaterials[固定週次消費量_要入力],MATCH($A57,M_RawMaterials[Part Name],0)),0)</f>
        <v/>
      </c>
      <c r="BF57">
        <f>SUMPRODUCT((M_BOM[Part Name]=$A57)*M_BOM[RM_Qty_Per_Batch]*IFERROR(INDEX(PP_Grid[#Data],M_BOM[PPGridRow],58),0))+IFERROR(INDEX(M_RawMaterials[固定週次消費量_要入力],MATCH($A57,M_RawMaterials[Part Name],0)),0)</f>
        <v/>
      </c>
      <c r="BG57">
        <f>SUMPRODUCT((M_BOM[Part Name]=$A57)*M_BOM[RM_Qty_Per_Batch]*IFERROR(INDEX(PP_Grid[#Data],M_BOM[PPGridRow],59),0))+IFERROR(INDEX(M_RawMaterials[固定週次消費量_要入力],MATCH($A57,M_RawMaterials[Part Name],0)),0)</f>
        <v/>
      </c>
      <c r="BH57">
        <f>SUMPRODUCT((M_BOM[Part Name]=$A57)*M_BOM[RM_Qty_Per_Batch]*IFERROR(INDEX(PP_Grid[#Data],M_BOM[PPGridRow],60),0))+IFERROR(INDEX(M_RawMaterials[固定週次消費量_要入力],MATCH($A57,M_RawMaterials[Part Name],0)),0)</f>
        <v/>
      </c>
      <c r="BI57">
        <f>SUMPRODUCT((M_BOM[Part Name]=$A57)*M_BOM[RM_Qty_Per_Batch]*IFERROR(INDEX(PP_Grid[#Data],M_BOM[PPGridRow],61),0))+IFERROR(INDEX(M_RawMaterials[固定週次消費量_要入力],MATCH($A57,M_RawMaterials[Part Name],0)),0)</f>
        <v/>
      </c>
      <c r="BJ57">
        <f>SUMPRODUCT((M_BOM[Part Name]=$A57)*M_BOM[RM_Qty_Per_Batch]*IFERROR(INDEX(PP_Grid[#Data],M_BOM[PPGridRow],62),0))+IFERROR(INDEX(M_RawMaterials[固定週次消費量_要入力],MATCH($A57,M_RawMaterials[Part Name],0)),0)</f>
        <v/>
      </c>
      <c r="BK57">
        <f>SUMPRODUCT((M_BOM[Part Name]=$A57)*M_BOM[RM_Qty_Per_Batch]*IFERROR(INDEX(PP_Grid[#Data],M_BOM[PPGridRow],63),0))+IFERROR(INDEX(M_RawMaterials[固定週次消費量_要入力],MATCH($A57,M_RawMaterials[Part Name],0)),0)</f>
        <v/>
      </c>
      <c r="BL57">
        <f>SUMPRODUCT((M_BOM[Part Name]=$A57)*M_BOM[RM_Qty_Per_Batch]*IFERROR(INDEX(PP_Grid[#Data],M_BOM[PPGridRow],64),0))+IFERROR(INDEX(M_RawMaterials[固定週次消費量_要入力],MATCH($A57,M_RawMaterials[Part Name],0)),0)</f>
        <v/>
      </c>
      <c r="BM57">
        <f>SUMPRODUCT((M_BOM[Part Name]=$A57)*M_BOM[RM_Qty_Per_Batch]*IFERROR(INDEX(PP_Grid[#Data],M_BOM[PPGridRow],65),0))+IFERROR(INDEX(M_RawMaterials[固定週次消費量_要入力],MATCH($A57,M_RawMaterials[Part Name],0)),0)</f>
        <v/>
      </c>
      <c r="BN57">
        <f>SUMPRODUCT((M_BOM[Part Name]=$A57)*M_BOM[RM_Qty_Per_Batch]*IFERROR(INDEX(PP_Grid[#Data],M_BOM[PPGridRow],66),0))+IFERROR(INDEX(M_RawMaterials[固定週次消費量_要入力],MATCH($A57,M_RawMaterials[Part Name],0)),0)</f>
        <v/>
      </c>
      <c r="BO57">
        <f>SUMPRODUCT((M_BOM[Part Name]=$A57)*M_BOM[RM_Qty_Per_Batch]*IFERROR(INDEX(PP_Grid[#Data],M_BOM[PPGridRow],67),0))+IFERROR(INDEX(M_RawMaterials[固定週次消費量_要入力],MATCH($A57,M_RawMaterials[Part Name],0)),0)</f>
        <v/>
      </c>
      <c r="BP57">
        <f>SUMPRODUCT((M_BOM[Part Name]=$A57)*M_BOM[RM_Qty_Per_Batch]*IFERROR(INDEX(PP_Grid[#Data],M_BOM[PPGridRow],68),0))+IFERROR(INDEX(M_RawMaterials[固定週次消費量_要入力],MATCH($A57,M_RawMaterials[Part Name],0)),0)</f>
        <v/>
      </c>
      <c r="BQ57">
        <f>SUMPRODUCT((M_BOM[Part Name]=$A57)*M_BOM[RM_Qty_Per_Batch]*IFERROR(INDEX(PP_Grid[#Data],M_BOM[PPGridRow],69),0))+IFERROR(INDEX(M_RawMaterials[固定週次消費量_要入力],MATCH($A57,M_RawMaterials[Part Name],0)),0)</f>
        <v/>
      </c>
      <c r="BR57">
        <f>SUMPRODUCT((M_BOM[Part Name]=$A57)*M_BOM[RM_Qty_Per_Batch]*IFERROR(INDEX(PP_Grid[#Data],M_BOM[PPGridRow],70),0))+IFERROR(INDEX(M_RawMaterials[固定週次消費量_要入力],MATCH($A57,M_RawMaterials[Part Name],0)),0)</f>
        <v/>
      </c>
      <c r="BS57">
        <f>SUMPRODUCT((M_BOM[Part Name]=$A57)*M_BOM[RM_Qty_Per_Batch]*IFERROR(INDEX(PP_Grid[#Data],M_BOM[PPGridRow],71),0))+IFERROR(INDEX(M_RawMaterials[固定週次消費量_要入力],MATCH($A57,M_RawMaterials[Part Name],0)),0)</f>
        <v/>
      </c>
      <c r="BT57">
        <f>SUMPRODUCT((M_BOM[Part Name]=$A57)*M_BOM[RM_Qty_Per_Batch]*IFERROR(INDEX(PP_Grid[#Data],M_BOM[PPGridRow],72),0))+IFERROR(INDEX(M_RawMaterials[固定週次消費量_要入力],MATCH($A57,M_RawMaterials[Part Name],0)),0)</f>
        <v/>
      </c>
      <c r="BU57">
        <f>SUMPRODUCT((M_BOM[Part Name]=$A57)*M_BOM[RM_Qty_Per_Batch]*IFERROR(INDEX(PP_Grid[#Data],M_BOM[PPGridRow],73),0))+IFERROR(INDEX(M_RawMaterials[固定週次消費量_要入力],MATCH($A57,M_RawMaterials[Part Name],0)),0)</f>
        <v/>
      </c>
      <c r="BV57">
        <f>SUMPRODUCT((M_BOM[Part Name]=$A57)*M_BOM[RM_Qty_Per_Batch]*IFERROR(INDEX(PP_Grid[#Data],M_BOM[PPGridRow],74),0))+IFERROR(INDEX(M_RawMaterials[固定週次消費量_要入力],MATCH($A57,M_RawMaterials[Part Name],0)),0)</f>
        <v/>
      </c>
      <c r="BW57">
        <f>SUMPRODUCT((M_BOM[Part Name]=$A57)*M_BOM[RM_Qty_Per_Batch]*IFERROR(INDEX(PP_Grid[#Data],M_BOM[PPGridRow],75),0))+IFERROR(INDEX(M_RawMaterials[固定週次消費量_要入力],MATCH($A57,M_RawMaterials[Part Name],0)),0)</f>
        <v/>
      </c>
      <c r="BX57">
        <f>SUMPRODUCT((M_BOM[Part Name]=$A57)*M_BOM[RM_Qty_Per_Batch]*IFERROR(INDEX(PP_Grid[#Data],M_BOM[PPGridRow],76),0))+IFERROR(INDEX(M_RawMaterials[固定週次消費量_要入力],MATCH($A57,M_RawMaterials[Part Name],0)),0)</f>
        <v/>
      </c>
      <c r="BY57">
        <f>SUMPRODUCT((M_BOM[Part Name]=$A57)*M_BOM[RM_Qty_Per_Batch]*IFERROR(INDEX(PP_Grid[#Data],M_BOM[PPGridRow],77),0))+IFERROR(INDEX(M_RawMaterials[固定週次消費量_要入力],MATCH($A57,M_RawMaterials[Part Name],0)),0)</f>
        <v/>
      </c>
      <c r="BZ57">
        <f>SUMPRODUCT((M_BOM[Part Name]=$A57)*M_BOM[RM_Qty_Per_Batch]*IFERROR(INDEX(PP_Grid[#Data],M_BOM[PPGridRow],78),0))+IFERROR(INDEX(M_RawMaterials[固定週次消費量_要入力],MATCH($A57,M_RawMaterials[Part Name],0)),0)</f>
        <v/>
      </c>
      <c r="CA57">
        <f>SUMPRODUCT((M_BOM[Part Name]=$A57)*M_BOM[RM_Qty_Per_Batch]*IFERROR(INDEX(PP_Grid[#Data],M_BOM[PPGridRow],79),0))+IFERROR(INDEX(M_RawMaterials[固定週次消費量_要入力],MATCH($A57,M_RawMaterials[Part Name],0)),0)</f>
        <v/>
      </c>
      <c r="CB57">
        <f>SUMPRODUCT((M_BOM[Part Name]=$A57)*M_BOM[RM_Qty_Per_Batch]*IFERROR(INDEX(PP_Grid[#Data],M_BOM[PPGridRow],80),0))+IFERROR(INDEX(M_RawMaterials[固定週次消費量_要入力],MATCH($A57,M_RawMaterials[Part Name],0)),0)</f>
        <v/>
      </c>
      <c r="CC57">
        <f>SUMPRODUCT((M_BOM[Part Name]=$A57)*M_BOM[RM_Qty_Per_Batch]*IFERROR(INDEX(PP_Grid[#Data],M_BOM[PPGridRow],81),0))+IFERROR(INDEX(M_RawMaterials[固定週次消費量_要入力],MATCH($A57,M_RawMaterials[Part Name],0)),0)</f>
        <v/>
      </c>
      <c r="CD57">
        <f>SUMPRODUCT((M_BOM[Part Name]=$A57)*M_BOM[RM_Qty_Per_Batch]*IFERROR(INDEX(PP_Grid[#Data],M_BOM[PPGridRow],82),0))+IFERROR(INDEX(M_RawMaterials[固定週次消費量_要入力],MATCH($A57,M_RawMaterials[Part Name],0)),0)</f>
        <v/>
      </c>
      <c r="CE57">
        <f>SUMPRODUCT((M_BOM[Part Name]=$A57)*M_BOM[RM_Qty_Per_Batch]*IFERROR(INDEX(PP_Grid[#Data],M_BOM[PPGridRow],83),0))+IFERROR(INDEX(M_RawMaterials[固定週次消費量_要入力],MATCH($A57,M_RawMaterials[Part Name],0)),0)</f>
        <v/>
      </c>
      <c r="CF57">
        <f>SUMPRODUCT((M_BOM[Part Name]=$A57)*M_BOM[RM_Qty_Per_Batch]*IFERROR(INDEX(PP_Grid[#Data],M_BOM[PPGridRow],84),0))+IFERROR(INDEX(M_RawMaterials[固定週次消費量_要入力],MATCH($A57,M_RawMaterials[Part Name],0)),0)</f>
        <v/>
      </c>
      <c r="CG57">
        <f>SUMPRODUCT((M_BOM[Part Name]=$A57)*M_BOM[RM_Qty_Per_Batch]*IFERROR(INDEX(PP_Grid[#Data],M_BOM[PPGridRow],85),0))+IFERROR(INDEX(M_RawMaterials[固定週次消費量_要入力],MATCH($A57,M_RawMaterials[Part Name],0)),0)</f>
        <v/>
      </c>
      <c r="CH57">
        <f>SUMPRODUCT((M_BOM[Part Name]=$A57)*M_BOM[RM_Qty_Per_Batch]*IFERROR(INDEX(PP_Grid[#Data],M_BOM[PPGridRow],86),0))+IFERROR(INDEX(M_RawMaterials[固定週次消費量_要入力],MATCH($A57,M_RawMaterials[Part Name],0)),0)</f>
        <v/>
      </c>
      <c r="CI57">
        <f>SUMPRODUCT((M_BOM[Part Name]=$A57)*M_BOM[RM_Qty_Per_Batch]*IFERROR(INDEX(PP_Grid[#Data],M_BOM[PPGridRow],87),0))+IFERROR(INDEX(M_RawMaterials[固定週次消費量_要入力],MATCH($A57,M_RawMaterials[Part Name],0)),0)</f>
        <v/>
      </c>
      <c r="CJ57">
        <f>SUMPRODUCT((M_BOM[Part Name]=$A57)*M_BOM[RM_Qty_Per_Batch]*IFERROR(INDEX(PP_Grid[#Data],M_BOM[PPGridRow],88),0))+IFERROR(INDEX(M_RawMaterials[固定週次消費量_要入力],MATCH($A57,M_RawMaterials[Part Name],0)),0)</f>
        <v/>
      </c>
      <c r="CK57">
        <f>SUMPRODUCT((M_BOM[Part Name]=$A57)*M_BOM[RM_Qty_Per_Batch]*IFERROR(INDEX(PP_Grid[#Data],M_BOM[PPGridRow],89),0))+IFERROR(INDEX(M_RawMaterials[固定週次消費量_要入力],MATCH($A57,M_RawMaterials[Part Name],0)),0)</f>
        <v/>
      </c>
      <c r="CL57">
        <f>SUMPRODUCT((M_BOM[Part Name]=$A57)*M_BOM[RM_Qty_Per_Batch]*IFERROR(INDEX(PP_Grid[#Data],M_BOM[PPGridRow],90),0))+IFERROR(INDEX(M_RawMaterials[固定週次消費量_要入力],MATCH($A57,M_RawMaterials[Part Name],0)),0)</f>
        <v/>
      </c>
      <c r="CM57">
        <f>SUMPRODUCT((M_BOM[Part Name]=$A57)*M_BOM[RM_Qty_Per_Batch]*IFERROR(INDEX(PP_Grid[#Data],M_BOM[PPGridRow],91),0))+IFERROR(INDEX(M_RawMaterials[固定週次消費量_要入力],MATCH($A57,M_RawMaterials[Part Name],0)),0)</f>
        <v/>
      </c>
      <c r="CN57">
        <f>SUMPRODUCT((M_BOM[Part Name]=$A57)*M_BOM[RM_Qty_Per_Batch]*IFERROR(INDEX(PP_Grid[#Data],M_BOM[PPGridRow],92),0))+IFERROR(INDEX(M_RawMaterials[固定週次消費量_要入力],MATCH($A57,M_RawMaterials[Part Name],0)),0)</f>
        <v/>
      </c>
      <c r="CO57">
        <f>SUMPRODUCT((M_BOM[Part Name]=$A57)*M_BOM[RM_Qty_Per_Batch]*IFERROR(INDEX(PP_Grid[#Data],M_BOM[PPGridRow],93),0))+IFERROR(INDEX(M_RawMaterials[固定週次消費量_要入力],MATCH($A57,M_RawMaterials[Part Name],0)),0)</f>
        <v/>
      </c>
      <c r="CP57">
        <f>SUMPRODUCT((M_BOM[Part Name]=$A57)*M_BOM[RM_Qty_Per_Batch]*IFERROR(INDEX(PP_Grid[#Data],M_BOM[PPGridRow],94),0))+IFERROR(INDEX(M_RawMaterials[固定週次消費量_要入力],MATCH($A57,M_RawMaterials[Part Name],0)),0)</f>
        <v/>
      </c>
      <c r="CQ57">
        <f>SUMPRODUCT((M_BOM[Part Name]=$A57)*M_BOM[RM_Qty_Per_Batch]*IFERROR(INDEX(PP_Grid[#Data],M_BOM[PPGridRow],95),0))+IFERROR(INDEX(M_RawMaterials[固定週次消費量_要入力],MATCH($A57,M_RawMaterials[Part Name],0)),0)</f>
        <v/>
      </c>
      <c r="CR57">
        <f>SUMPRODUCT((M_BOM[Part Name]=$A57)*M_BOM[RM_Qty_Per_Batch]*IFERROR(INDEX(PP_Grid[#Data],M_BOM[PPGridRow],96),0))+IFERROR(INDEX(M_RawMaterials[固定週次消費量_要入力],MATCH($A57,M_RawMaterials[Part Name],0)),0)</f>
        <v/>
      </c>
      <c r="CS57">
        <f>SUMPRODUCT((M_BOM[Part Name]=$A57)*M_BOM[RM_Qty_Per_Batch]*IFERROR(INDEX(PP_Grid[#Data],M_BOM[PPGridRow],97),0))+IFERROR(INDEX(M_RawMaterials[固定週次消費量_要入力],MATCH($A57,M_RawMaterials[Part Name],0)),0)</f>
        <v/>
      </c>
      <c r="CT57">
        <f>SUMPRODUCT((M_BOM[Part Name]=$A57)*M_BOM[RM_Qty_Per_Batch]*IFERROR(INDEX(PP_Grid[#Data],M_BOM[PPGridRow],98),0))+IFERROR(INDEX(M_RawMaterials[固定週次消費量_要入力],MATCH($A57,M_RawMaterials[Part Name],0)),0)</f>
        <v/>
      </c>
      <c r="CU57">
        <f>SUMPRODUCT((M_BOM[Part Name]=$A57)*M_BOM[RM_Qty_Per_Batch]*IFERROR(INDEX(PP_Grid[#Data],M_BOM[PPGridRow],99),0))+IFERROR(INDEX(M_RawMaterials[固定週次消費量_要入力],MATCH($A57,M_RawMaterials[Part Name],0)),0)</f>
        <v/>
      </c>
      <c r="CV57">
        <f>SUMPRODUCT((M_BOM[Part Name]=$A57)*M_BOM[RM_Qty_Per_Batch]*IFERROR(INDEX(PP_Grid[#Data],M_BOM[PPGridRow],100),0))+IFERROR(INDEX(M_RawMaterials[固定週次消費量_要入力],MATCH($A57,M_RawMaterials[Part Name],0)),0)</f>
        <v/>
      </c>
      <c r="CW57">
        <f>SUMPRODUCT((M_BOM[Part Name]=$A57)*M_BOM[RM_Qty_Per_Batch]*IFERROR(INDEX(PP_Grid[#Data],M_BOM[PPGridRow],101),0))+IFERROR(INDEX(M_RawMaterials[固定週次消費量_要入力],MATCH($A57,M_RawMaterials[Part Name],0)),0)</f>
        <v/>
      </c>
      <c r="CX57">
        <f>SUMPRODUCT((M_BOM[Part Name]=$A57)*M_BOM[RM_Qty_Per_Batch]*IFERROR(INDEX(PP_Grid[#Data],M_BOM[PPGridRow],102),0))+IFERROR(INDEX(M_RawMaterials[固定週次消費量_要入力],MATCH($A57,M_RawMaterials[Part Name],0)),0)</f>
        <v/>
      </c>
      <c r="CY57">
        <f>SUMPRODUCT((M_BOM[Part Name]=$A57)*M_BOM[RM_Qty_Per_Batch]*IFERROR(INDEX(PP_Grid[#Data],M_BOM[PPGridRow],103),0))+IFERROR(INDEX(M_RawMaterials[固定週次消費量_要入力],MATCH($A57,M_RawMaterials[Part Name],0)),0)</f>
        <v/>
      </c>
      <c r="CZ57">
        <f>SUMPRODUCT((M_BOM[Part Name]=$A57)*M_BOM[RM_Qty_Per_Batch]*IFERROR(INDEX(PP_Grid[#Data],M_BOM[PPGridRow],104),0))+IFERROR(INDEX(M_RawMaterials[固定週次消費量_要入力],MATCH($A57,M_RawMaterials[Part Name],0)),0)</f>
        <v/>
      </c>
      <c r="DA57">
        <f>SUMPRODUCT((M_BOM[Part Name]=$A57)*M_BOM[RM_Qty_Per_Batch]*IFERROR(INDEX(PP_Grid[#Data],M_BOM[PPGridRow],105),0))+IFERROR(INDEX(M_RawMaterials[固定週次消費量_要入力],MATCH($A57,M_RawMaterials[Part Name],0)),0)</f>
        <v/>
      </c>
    </row>
    <row r="58">
      <c r="A58" t="inlineStr">
        <is>
          <t>CHEM-1870</t>
        </is>
      </c>
      <c r="B58">
        <f>SUMPRODUCT((M_BOM[Part Name]=$A58)*M_BOM[RM_Qty_Per_Batch]*IFERROR(INDEX(PP_Grid[#Data],M_BOM[PPGridRow],2),0))+IFERROR(INDEX(M_RawMaterials[固定週次消費量_要入力],MATCH($A58,M_RawMaterials[Part Name],0)),0)</f>
        <v/>
      </c>
      <c r="C58">
        <f>SUMPRODUCT((M_BOM[Part Name]=$A58)*M_BOM[RM_Qty_Per_Batch]*IFERROR(INDEX(PP_Grid[#Data],M_BOM[PPGridRow],3),0))+IFERROR(INDEX(M_RawMaterials[固定週次消費量_要入力],MATCH($A58,M_RawMaterials[Part Name],0)),0)</f>
        <v/>
      </c>
      <c r="D58">
        <f>SUMPRODUCT((M_BOM[Part Name]=$A58)*M_BOM[RM_Qty_Per_Batch]*IFERROR(INDEX(PP_Grid[#Data],M_BOM[PPGridRow],4),0))+IFERROR(INDEX(M_RawMaterials[固定週次消費量_要入力],MATCH($A58,M_RawMaterials[Part Name],0)),0)</f>
        <v/>
      </c>
      <c r="E58">
        <f>SUMPRODUCT((M_BOM[Part Name]=$A58)*M_BOM[RM_Qty_Per_Batch]*IFERROR(INDEX(PP_Grid[#Data],M_BOM[PPGridRow],5),0))+IFERROR(INDEX(M_RawMaterials[固定週次消費量_要入力],MATCH($A58,M_RawMaterials[Part Name],0)),0)</f>
        <v/>
      </c>
      <c r="F58">
        <f>SUMPRODUCT((M_BOM[Part Name]=$A58)*M_BOM[RM_Qty_Per_Batch]*IFERROR(INDEX(PP_Grid[#Data],M_BOM[PPGridRow],6),0))+IFERROR(INDEX(M_RawMaterials[固定週次消費量_要入力],MATCH($A58,M_RawMaterials[Part Name],0)),0)</f>
        <v/>
      </c>
      <c r="G58">
        <f>SUMPRODUCT((M_BOM[Part Name]=$A58)*M_BOM[RM_Qty_Per_Batch]*IFERROR(INDEX(PP_Grid[#Data],M_BOM[PPGridRow],7),0))+IFERROR(INDEX(M_RawMaterials[固定週次消費量_要入力],MATCH($A58,M_RawMaterials[Part Name],0)),0)</f>
        <v/>
      </c>
      <c r="H58">
        <f>SUMPRODUCT((M_BOM[Part Name]=$A58)*M_BOM[RM_Qty_Per_Batch]*IFERROR(INDEX(PP_Grid[#Data],M_BOM[PPGridRow],8),0))+IFERROR(INDEX(M_RawMaterials[固定週次消費量_要入力],MATCH($A58,M_RawMaterials[Part Name],0)),0)</f>
        <v/>
      </c>
      <c r="I58">
        <f>SUMPRODUCT((M_BOM[Part Name]=$A58)*M_BOM[RM_Qty_Per_Batch]*IFERROR(INDEX(PP_Grid[#Data],M_BOM[PPGridRow],9),0))+IFERROR(INDEX(M_RawMaterials[固定週次消費量_要入力],MATCH($A58,M_RawMaterials[Part Name],0)),0)</f>
        <v/>
      </c>
      <c r="J58">
        <f>SUMPRODUCT((M_BOM[Part Name]=$A58)*M_BOM[RM_Qty_Per_Batch]*IFERROR(INDEX(PP_Grid[#Data],M_BOM[PPGridRow],10),0))+IFERROR(INDEX(M_RawMaterials[固定週次消費量_要入力],MATCH($A58,M_RawMaterials[Part Name],0)),0)</f>
        <v/>
      </c>
      <c r="K58">
        <f>SUMPRODUCT((M_BOM[Part Name]=$A58)*M_BOM[RM_Qty_Per_Batch]*IFERROR(INDEX(PP_Grid[#Data],M_BOM[PPGridRow],11),0))+IFERROR(INDEX(M_RawMaterials[固定週次消費量_要入力],MATCH($A58,M_RawMaterials[Part Name],0)),0)</f>
        <v/>
      </c>
      <c r="L58">
        <f>SUMPRODUCT((M_BOM[Part Name]=$A58)*M_BOM[RM_Qty_Per_Batch]*IFERROR(INDEX(PP_Grid[#Data],M_BOM[PPGridRow],12),0))+IFERROR(INDEX(M_RawMaterials[固定週次消費量_要入力],MATCH($A58,M_RawMaterials[Part Name],0)),0)</f>
        <v/>
      </c>
      <c r="M58">
        <f>SUMPRODUCT((M_BOM[Part Name]=$A58)*M_BOM[RM_Qty_Per_Batch]*IFERROR(INDEX(PP_Grid[#Data],M_BOM[PPGridRow],13),0))+IFERROR(INDEX(M_RawMaterials[固定週次消費量_要入力],MATCH($A58,M_RawMaterials[Part Name],0)),0)</f>
        <v/>
      </c>
      <c r="N58">
        <f>SUMPRODUCT((M_BOM[Part Name]=$A58)*M_BOM[RM_Qty_Per_Batch]*IFERROR(INDEX(PP_Grid[#Data],M_BOM[PPGridRow],14),0))+IFERROR(INDEX(M_RawMaterials[固定週次消費量_要入力],MATCH($A58,M_RawMaterials[Part Name],0)),0)</f>
        <v/>
      </c>
      <c r="O58">
        <f>SUMPRODUCT((M_BOM[Part Name]=$A58)*M_BOM[RM_Qty_Per_Batch]*IFERROR(INDEX(PP_Grid[#Data],M_BOM[PPGridRow],15),0))+IFERROR(INDEX(M_RawMaterials[固定週次消費量_要入力],MATCH($A58,M_RawMaterials[Part Name],0)),0)</f>
        <v/>
      </c>
      <c r="P58">
        <f>SUMPRODUCT((M_BOM[Part Name]=$A58)*M_BOM[RM_Qty_Per_Batch]*IFERROR(INDEX(PP_Grid[#Data],M_BOM[PPGridRow],16),0))+IFERROR(INDEX(M_RawMaterials[固定週次消費量_要入力],MATCH($A58,M_RawMaterials[Part Name],0)),0)</f>
        <v/>
      </c>
      <c r="Q58">
        <f>SUMPRODUCT((M_BOM[Part Name]=$A58)*M_BOM[RM_Qty_Per_Batch]*IFERROR(INDEX(PP_Grid[#Data],M_BOM[PPGridRow],17),0))+IFERROR(INDEX(M_RawMaterials[固定週次消費量_要入力],MATCH($A58,M_RawMaterials[Part Name],0)),0)</f>
        <v/>
      </c>
      <c r="R58">
        <f>SUMPRODUCT((M_BOM[Part Name]=$A58)*M_BOM[RM_Qty_Per_Batch]*IFERROR(INDEX(PP_Grid[#Data],M_BOM[PPGridRow],18),0))+IFERROR(INDEX(M_RawMaterials[固定週次消費量_要入力],MATCH($A58,M_RawMaterials[Part Name],0)),0)</f>
        <v/>
      </c>
      <c r="S58">
        <f>SUMPRODUCT((M_BOM[Part Name]=$A58)*M_BOM[RM_Qty_Per_Batch]*IFERROR(INDEX(PP_Grid[#Data],M_BOM[PPGridRow],19),0))+IFERROR(INDEX(M_RawMaterials[固定週次消費量_要入力],MATCH($A58,M_RawMaterials[Part Name],0)),0)</f>
        <v/>
      </c>
      <c r="T58">
        <f>SUMPRODUCT((M_BOM[Part Name]=$A58)*M_BOM[RM_Qty_Per_Batch]*IFERROR(INDEX(PP_Grid[#Data],M_BOM[PPGridRow],20),0))+IFERROR(INDEX(M_RawMaterials[固定週次消費量_要入力],MATCH($A58,M_RawMaterials[Part Name],0)),0)</f>
        <v/>
      </c>
      <c r="U58">
        <f>SUMPRODUCT((M_BOM[Part Name]=$A58)*M_BOM[RM_Qty_Per_Batch]*IFERROR(INDEX(PP_Grid[#Data],M_BOM[PPGridRow],21),0))+IFERROR(INDEX(M_RawMaterials[固定週次消費量_要入力],MATCH($A58,M_RawMaterials[Part Name],0)),0)</f>
        <v/>
      </c>
      <c r="V58">
        <f>SUMPRODUCT((M_BOM[Part Name]=$A58)*M_BOM[RM_Qty_Per_Batch]*IFERROR(INDEX(PP_Grid[#Data],M_BOM[PPGridRow],22),0))+IFERROR(INDEX(M_RawMaterials[固定週次消費量_要入力],MATCH($A58,M_RawMaterials[Part Name],0)),0)</f>
        <v/>
      </c>
      <c r="W58">
        <f>SUMPRODUCT((M_BOM[Part Name]=$A58)*M_BOM[RM_Qty_Per_Batch]*IFERROR(INDEX(PP_Grid[#Data],M_BOM[PPGridRow],23),0))+IFERROR(INDEX(M_RawMaterials[固定週次消費量_要入力],MATCH($A58,M_RawMaterials[Part Name],0)),0)</f>
        <v/>
      </c>
      <c r="X58">
        <f>SUMPRODUCT((M_BOM[Part Name]=$A58)*M_BOM[RM_Qty_Per_Batch]*IFERROR(INDEX(PP_Grid[#Data],M_BOM[PPGridRow],24),0))+IFERROR(INDEX(M_RawMaterials[固定週次消費量_要入力],MATCH($A58,M_RawMaterials[Part Name],0)),0)</f>
        <v/>
      </c>
      <c r="Y58">
        <f>SUMPRODUCT((M_BOM[Part Name]=$A58)*M_BOM[RM_Qty_Per_Batch]*IFERROR(INDEX(PP_Grid[#Data],M_BOM[PPGridRow],25),0))+IFERROR(INDEX(M_RawMaterials[固定週次消費量_要入力],MATCH($A58,M_RawMaterials[Part Name],0)),0)</f>
        <v/>
      </c>
      <c r="Z58">
        <f>SUMPRODUCT((M_BOM[Part Name]=$A58)*M_BOM[RM_Qty_Per_Batch]*IFERROR(INDEX(PP_Grid[#Data],M_BOM[PPGridRow],26),0))+IFERROR(INDEX(M_RawMaterials[固定週次消費量_要入力],MATCH($A58,M_RawMaterials[Part Name],0)),0)</f>
        <v/>
      </c>
      <c r="AA58">
        <f>SUMPRODUCT((M_BOM[Part Name]=$A58)*M_BOM[RM_Qty_Per_Batch]*IFERROR(INDEX(PP_Grid[#Data],M_BOM[PPGridRow],27),0))+IFERROR(INDEX(M_RawMaterials[固定週次消費量_要入力],MATCH($A58,M_RawMaterials[Part Name],0)),0)</f>
        <v/>
      </c>
      <c r="AB58">
        <f>SUMPRODUCT((M_BOM[Part Name]=$A58)*M_BOM[RM_Qty_Per_Batch]*IFERROR(INDEX(PP_Grid[#Data],M_BOM[PPGridRow],28),0))+IFERROR(INDEX(M_RawMaterials[固定週次消費量_要入力],MATCH($A58,M_RawMaterials[Part Name],0)),0)</f>
        <v/>
      </c>
      <c r="AC58">
        <f>SUMPRODUCT((M_BOM[Part Name]=$A58)*M_BOM[RM_Qty_Per_Batch]*IFERROR(INDEX(PP_Grid[#Data],M_BOM[PPGridRow],29),0))+IFERROR(INDEX(M_RawMaterials[固定週次消費量_要入力],MATCH($A58,M_RawMaterials[Part Name],0)),0)</f>
        <v/>
      </c>
      <c r="AD58">
        <f>SUMPRODUCT((M_BOM[Part Name]=$A58)*M_BOM[RM_Qty_Per_Batch]*IFERROR(INDEX(PP_Grid[#Data],M_BOM[PPGridRow],30),0))+IFERROR(INDEX(M_RawMaterials[固定週次消費量_要入力],MATCH($A58,M_RawMaterials[Part Name],0)),0)</f>
        <v/>
      </c>
      <c r="AE58">
        <f>SUMPRODUCT((M_BOM[Part Name]=$A58)*M_BOM[RM_Qty_Per_Batch]*IFERROR(INDEX(PP_Grid[#Data],M_BOM[PPGridRow],31),0))+IFERROR(INDEX(M_RawMaterials[固定週次消費量_要入力],MATCH($A58,M_RawMaterials[Part Name],0)),0)</f>
        <v/>
      </c>
      <c r="AF58">
        <f>SUMPRODUCT((M_BOM[Part Name]=$A58)*M_BOM[RM_Qty_Per_Batch]*IFERROR(INDEX(PP_Grid[#Data],M_BOM[PPGridRow],32),0))+IFERROR(INDEX(M_RawMaterials[固定週次消費量_要入力],MATCH($A58,M_RawMaterials[Part Name],0)),0)</f>
        <v/>
      </c>
      <c r="AG58">
        <f>SUMPRODUCT((M_BOM[Part Name]=$A58)*M_BOM[RM_Qty_Per_Batch]*IFERROR(INDEX(PP_Grid[#Data],M_BOM[PPGridRow],33),0))+IFERROR(INDEX(M_RawMaterials[固定週次消費量_要入力],MATCH($A58,M_RawMaterials[Part Name],0)),0)</f>
        <v/>
      </c>
      <c r="AH58">
        <f>SUMPRODUCT((M_BOM[Part Name]=$A58)*M_BOM[RM_Qty_Per_Batch]*IFERROR(INDEX(PP_Grid[#Data],M_BOM[PPGridRow],34),0))+IFERROR(INDEX(M_RawMaterials[固定週次消費量_要入力],MATCH($A58,M_RawMaterials[Part Name],0)),0)</f>
        <v/>
      </c>
      <c r="AI58">
        <f>SUMPRODUCT((M_BOM[Part Name]=$A58)*M_BOM[RM_Qty_Per_Batch]*IFERROR(INDEX(PP_Grid[#Data],M_BOM[PPGridRow],35),0))+IFERROR(INDEX(M_RawMaterials[固定週次消費量_要入力],MATCH($A58,M_RawMaterials[Part Name],0)),0)</f>
        <v/>
      </c>
      <c r="AJ58">
        <f>SUMPRODUCT((M_BOM[Part Name]=$A58)*M_BOM[RM_Qty_Per_Batch]*IFERROR(INDEX(PP_Grid[#Data],M_BOM[PPGridRow],36),0))+IFERROR(INDEX(M_RawMaterials[固定週次消費量_要入力],MATCH($A58,M_RawMaterials[Part Name],0)),0)</f>
        <v/>
      </c>
      <c r="AK58">
        <f>SUMPRODUCT((M_BOM[Part Name]=$A58)*M_BOM[RM_Qty_Per_Batch]*IFERROR(INDEX(PP_Grid[#Data],M_BOM[PPGridRow],37),0))+IFERROR(INDEX(M_RawMaterials[固定週次消費量_要入力],MATCH($A58,M_RawMaterials[Part Name],0)),0)</f>
        <v/>
      </c>
      <c r="AL58">
        <f>SUMPRODUCT((M_BOM[Part Name]=$A58)*M_BOM[RM_Qty_Per_Batch]*IFERROR(INDEX(PP_Grid[#Data],M_BOM[PPGridRow],38),0))+IFERROR(INDEX(M_RawMaterials[固定週次消費量_要入力],MATCH($A58,M_RawMaterials[Part Name],0)),0)</f>
        <v/>
      </c>
      <c r="AM58">
        <f>SUMPRODUCT((M_BOM[Part Name]=$A58)*M_BOM[RM_Qty_Per_Batch]*IFERROR(INDEX(PP_Grid[#Data],M_BOM[PPGridRow],39),0))+IFERROR(INDEX(M_RawMaterials[固定週次消費量_要入力],MATCH($A58,M_RawMaterials[Part Name],0)),0)</f>
        <v/>
      </c>
      <c r="AN58">
        <f>SUMPRODUCT((M_BOM[Part Name]=$A58)*M_BOM[RM_Qty_Per_Batch]*IFERROR(INDEX(PP_Grid[#Data],M_BOM[PPGridRow],40),0))+IFERROR(INDEX(M_RawMaterials[固定週次消費量_要入力],MATCH($A58,M_RawMaterials[Part Name],0)),0)</f>
        <v/>
      </c>
      <c r="AO58">
        <f>SUMPRODUCT((M_BOM[Part Name]=$A58)*M_BOM[RM_Qty_Per_Batch]*IFERROR(INDEX(PP_Grid[#Data],M_BOM[PPGridRow],41),0))+IFERROR(INDEX(M_RawMaterials[固定週次消費量_要入力],MATCH($A58,M_RawMaterials[Part Name],0)),0)</f>
        <v/>
      </c>
      <c r="AP58">
        <f>SUMPRODUCT((M_BOM[Part Name]=$A58)*M_BOM[RM_Qty_Per_Batch]*IFERROR(INDEX(PP_Grid[#Data],M_BOM[PPGridRow],42),0))+IFERROR(INDEX(M_RawMaterials[固定週次消費量_要入力],MATCH($A58,M_RawMaterials[Part Name],0)),0)</f>
        <v/>
      </c>
      <c r="AQ58">
        <f>SUMPRODUCT((M_BOM[Part Name]=$A58)*M_BOM[RM_Qty_Per_Batch]*IFERROR(INDEX(PP_Grid[#Data],M_BOM[PPGridRow],43),0))+IFERROR(INDEX(M_RawMaterials[固定週次消費量_要入力],MATCH($A58,M_RawMaterials[Part Name],0)),0)</f>
        <v/>
      </c>
      <c r="AR58">
        <f>SUMPRODUCT((M_BOM[Part Name]=$A58)*M_BOM[RM_Qty_Per_Batch]*IFERROR(INDEX(PP_Grid[#Data],M_BOM[PPGridRow],44),0))+IFERROR(INDEX(M_RawMaterials[固定週次消費量_要入力],MATCH($A58,M_RawMaterials[Part Name],0)),0)</f>
        <v/>
      </c>
      <c r="AS58">
        <f>SUMPRODUCT((M_BOM[Part Name]=$A58)*M_BOM[RM_Qty_Per_Batch]*IFERROR(INDEX(PP_Grid[#Data],M_BOM[PPGridRow],45),0))+IFERROR(INDEX(M_RawMaterials[固定週次消費量_要入力],MATCH($A58,M_RawMaterials[Part Name],0)),0)</f>
        <v/>
      </c>
      <c r="AT58">
        <f>SUMPRODUCT((M_BOM[Part Name]=$A58)*M_BOM[RM_Qty_Per_Batch]*IFERROR(INDEX(PP_Grid[#Data],M_BOM[PPGridRow],46),0))+IFERROR(INDEX(M_RawMaterials[固定週次消費量_要入力],MATCH($A58,M_RawMaterials[Part Name],0)),0)</f>
        <v/>
      </c>
      <c r="AU58">
        <f>SUMPRODUCT((M_BOM[Part Name]=$A58)*M_BOM[RM_Qty_Per_Batch]*IFERROR(INDEX(PP_Grid[#Data],M_BOM[PPGridRow],47),0))+IFERROR(INDEX(M_RawMaterials[固定週次消費量_要入力],MATCH($A58,M_RawMaterials[Part Name],0)),0)</f>
        <v/>
      </c>
      <c r="AV58">
        <f>SUMPRODUCT((M_BOM[Part Name]=$A58)*M_BOM[RM_Qty_Per_Batch]*IFERROR(INDEX(PP_Grid[#Data],M_BOM[PPGridRow],48),0))+IFERROR(INDEX(M_RawMaterials[固定週次消費量_要入力],MATCH($A58,M_RawMaterials[Part Name],0)),0)</f>
        <v/>
      </c>
      <c r="AW58">
        <f>SUMPRODUCT((M_BOM[Part Name]=$A58)*M_BOM[RM_Qty_Per_Batch]*IFERROR(INDEX(PP_Grid[#Data],M_BOM[PPGridRow],49),0))+IFERROR(INDEX(M_RawMaterials[固定週次消費量_要入力],MATCH($A58,M_RawMaterials[Part Name],0)),0)</f>
        <v/>
      </c>
      <c r="AX58">
        <f>SUMPRODUCT((M_BOM[Part Name]=$A58)*M_BOM[RM_Qty_Per_Batch]*IFERROR(INDEX(PP_Grid[#Data],M_BOM[PPGridRow],50),0))+IFERROR(INDEX(M_RawMaterials[固定週次消費量_要入力],MATCH($A58,M_RawMaterials[Part Name],0)),0)</f>
        <v/>
      </c>
      <c r="AY58">
        <f>SUMPRODUCT((M_BOM[Part Name]=$A58)*M_BOM[RM_Qty_Per_Batch]*IFERROR(INDEX(PP_Grid[#Data],M_BOM[PPGridRow],51),0))+IFERROR(INDEX(M_RawMaterials[固定週次消費量_要入力],MATCH($A58,M_RawMaterials[Part Name],0)),0)</f>
        <v/>
      </c>
      <c r="AZ58">
        <f>SUMPRODUCT((M_BOM[Part Name]=$A58)*M_BOM[RM_Qty_Per_Batch]*IFERROR(INDEX(PP_Grid[#Data],M_BOM[PPGridRow],52),0))+IFERROR(INDEX(M_RawMaterials[固定週次消費量_要入力],MATCH($A58,M_RawMaterials[Part Name],0)),0)</f>
        <v/>
      </c>
      <c r="BA58">
        <f>SUMPRODUCT((M_BOM[Part Name]=$A58)*M_BOM[RM_Qty_Per_Batch]*IFERROR(INDEX(PP_Grid[#Data],M_BOM[PPGridRow],53),0))+IFERROR(INDEX(M_RawMaterials[固定週次消費量_要入力],MATCH($A58,M_RawMaterials[Part Name],0)),0)</f>
        <v/>
      </c>
      <c r="BB58">
        <f>SUMPRODUCT((M_BOM[Part Name]=$A58)*M_BOM[RM_Qty_Per_Batch]*IFERROR(INDEX(PP_Grid[#Data],M_BOM[PPGridRow],54),0))+IFERROR(INDEX(M_RawMaterials[固定週次消費量_要入力],MATCH($A58,M_RawMaterials[Part Name],0)),0)</f>
        <v/>
      </c>
      <c r="BC58">
        <f>SUMPRODUCT((M_BOM[Part Name]=$A58)*M_BOM[RM_Qty_Per_Batch]*IFERROR(INDEX(PP_Grid[#Data],M_BOM[PPGridRow],55),0))+IFERROR(INDEX(M_RawMaterials[固定週次消費量_要入力],MATCH($A58,M_RawMaterials[Part Name],0)),0)</f>
        <v/>
      </c>
      <c r="BD58">
        <f>SUMPRODUCT((M_BOM[Part Name]=$A58)*M_BOM[RM_Qty_Per_Batch]*IFERROR(INDEX(PP_Grid[#Data],M_BOM[PPGridRow],56),0))+IFERROR(INDEX(M_RawMaterials[固定週次消費量_要入力],MATCH($A58,M_RawMaterials[Part Name],0)),0)</f>
        <v/>
      </c>
      <c r="BE58">
        <f>SUMPRODUCT((M_BOM[Part Name]=$A58)*M_BOM[RM_Qty_Per_Batch]*IFERROR(INDEX(PP_Grid[#Data],M_BOM[PPGridRow],57),0))+IFERROR(INDEX(M_RawMaterials[固定週次消費量_要入力],MATCH($A58,M_RawMaterials[Part Name],0)),0)</f>
        <v/>
      </c>
      <c r="BF58">
        <f>SUMPRODUCT((M_BOM[Part Name]=$A58)*M_BOM[RM_Qty_Per_Batch]*IFERROR(INDEX(PP_Grid[#Data],M_BOM[PPGridRow],58),0))+IFERROR(INDEX(M_RawMaterials[固定週次消費量_要入力],MATCH($A58,M_RawMaterials[Part Name],0)),0)</f>
        <v/>
      </c>
      <c r="BG58">
        <f>SUMPRODUCT((M_BOM[Part Name]=$A58)*M_BOM[RM_Qty_Per_Batch]*IFERROR(INDEX(PP_Grid[#Data],M_BOM[PPGridRow],59),0))+IFERROR(INDEX(M_RawMaterials[固定週次消費量_要入力],MATCH($A58,M_RawMaterials[Part Name],0)),0)</f>
        <v/>
      </c>
      <c r="BH58">
        <f>SUMPRODUCT((M_BOM[Part Name]=$A58)*M_BOM[RM_Qty_Per_Batch]*IFERROR(INDEX(PP_Grid[#Data],M_BOM[PPGridRow],60),0))+IFERROR(INDEX(M_RawMaterials[固定週次消費量_要入力],MATCH($A58,M_RawMaterials[Part Name],0)),0)</f>
        <v/>
      </c>
      <c r="BI58">
        <f>SUMPRODUCT((M_BOM[Part Name]=$A58)*M_BOM[RM_Qty_Per_Batch]*IFERROR(INDEX(PP_Grid[#Data],M_BOM[PPGridRow],61),0))+IFERROR(INDEX(M_RawMaterials[固定週次消費量_要入力],MATCH($A58,M_RawMaterials[Part Name],0)),0)</f>
        <v/>
      </c>
      <c r="BJ58">
        <f>SUMPRODUCT((M_BOM[Part Name]=$A58)*M_BOM[RM_Qty_Per_Batch]*IFERROR(INDEX(PP_Grid[#Data],M_BOM[PPGridRow],62),0))+IFERROR(INDEX(M_RawMaterials[固定週次消費量_要入力],MATCH($A58,M_RawMaterials[Part Name],0)),0)</f>
        <v/>
      </c>
      <c r="BK58">
        <f>SUMPRODUCT((M_BOM[Part Name]=$A58)*M_BOM[RM_Qty_Per_Batch]*IFERROR(INDEX(PP_Grid[#Data],M_BOM[PPGridRow],63),0))+IFERROR(INDEX(M_RawMaterials[固定週次消費量_要入力],MATCH($A58,M_RawMaterials[Part Name],0)),0)</f>
        <v/>
      </c>
      <c r="BL58">
        <f>SUMPRODUCT((M_BOM[Part Name]=$A58)*M_BOM[RM_Qty_Per_Batch]*IFERROR(INDEX(PP_Grid[#Data],M_BOM[PPGridRow],64),0))+IFERROR(INDEX(M_RawMaterials[固定週次消費量_要入力],MATCH($A58,M_RawMaterials[Part Name],0)),0)</f>
        <v/>
      </c>
      <c r="BM58">
        <f>SUMPRODUCT((M_BOM[Part Name]=$A58)*M_BOM[RM_Qty_Per_Batch]*IFERROR(INDEX(PP_Grid[#Data],M_BOM[PPGridRow],65),0))+IFERROR(INDEX(M_RawMaterials[固定週次消費量_要入力],MATCH($A58,M_RawMaterials[Part Name],0)),0)</f>
        <v/>
      </c>
      <c r="BN58">
        <f>SUMPRODUCT((M_BOM[Part Name]=$A58)*M_BOM[RM_Qty_Per_Batch]*IFERROR(INDEX(PP_Grid[#Data],M_BOM[PPGridRow],66),0))+IFERROR(INDEX(M_RawMaterials[固定週次消費量_要入力],MATCH($A58,M_RawMaterials[Part Name],0)),0)</f>
        <v/>
      </c>
      <c r="BO58">
        <f>SUMPRODUCT((M_BOM[Part Name]=$A58)*M_BOM[RM_Qty_Per_Batch]*IFERROR(INDEX(PP_Grid[#Data],M_BOM[PPGridRow],67),0))+IFERROR(INDEX(M_RawMaterials[固定週次消費量_要入力],MATCH($A58,M_RawMaterials[Part Name],0)),0)</f>
        <v/>
      </c>
      <c r="BP58">
        <f>SUMPRODUCT((M_BOM[Part Name]=$A58)*M_BOM[RM_Qty_Per_Batch]*IFERROR(INDEX(PP_Grid[#Data],M_BOM[PPGridRow],68),0))+IFERROR(INDEX(M_RawMaterials[固定週次消費量_要入力],MATCH($A58,M_RawMaterials[Part Name],0)),0)</f>
        <v/>
      </c>
      <c r="BQ58">
        <f>SUMPRODUCT((M_BOM[Part Name]=$A58)*M_BOM[RM_Qty_Per_Batch]*IFERROR(INDEX(PP_Grid[#Data],M_BOM[PPGridRow],69),0))+IFERROR(INDEX(M_RawMaterials[固定週次消費量_要入力],MATCH($A58,M_RawMaterials[Part Name],0)),0)</f>
        <v/>
      </c>
      <c r="BR58">
        <f>SUMPRODUCT((M_BOM[Part Name]=$A58)*M_BOM[RM_Qty_Per_Batch]*IFERROR(INDEX(PP_Grid[#Data],M_BOM[PPGridRow],70),0))+IFERROR(INDEX(M_RawMaterials[固定週次消費量_要入力],MATCH($A58,M_RawMaterials[Part Name],0)),0)</f>
        <v/>
      </c>
      <c r="BS58">
        <f>SUMPRODUCT((M_BOM[Part Name]=$A58)*M_BOM[RM_Qty_Per_Batch]*IFERROR(INDEX(PP_Grid[#Data],M_BOM[PPGridRow],71),0))+IFERROR(INDEX(M_RawMaterials[固定週次消費量_要入力],MATCH($A58,M_RawMaterials[Part Name],0)),0)</f>
        <v/>
      </c>
      <c r="BT58">
        <f>SUMPRODUCT((M_BOM[Part Name]=$A58)*M_BOM[RM_Qty_Per_Batch]*IFERROR(INDEX(PP_Grid[#Data],M_BOM[PPGridRow],72),0))+IFERROR(INDEX(M_RawMaterials[固定週次消費量_要入力],MATCH($A58,M_RawMaterials[Part Name],0)),0)</f>
        <v/>
      </c>
      <c r="BU58">
        <f>SUMPRODUCT((M_BOM[Part Name]=$A58)*M_BOM[RM_Qty_Per_Batch]*IFERROR(INDEX(PP_Grid[#Data],M_BOM[PPGridRow],73),0))+IFERROR(INDEX(M_RawMaterials[固定週次消費量_要入力],MATCH($A58,M_RawMaterials[Part Name],0)),0)</f>
        <v/>
      </c>
      <c r="BV58">
        <f>SUMPRODUCT((M_BOM[Part Name]=$A58)*M_BOM[RM_Qty_Per_Batch]*IFERROR(INDEX(PP_Grid[#Data],M_BOM[PPGridRow],74),0))+IFERROR(INDEX(M_RawMaterials[固定週次消費量_要入力],MATCH($A58,M_RawMaterials[Part Name],0)),0)</f>
        <v/>
      </c>
      <c r="BW58">
        <f>SUMPRODUCT((M_BOM[Part Name]=$A58)*M_BOM[RM_Qty_Per_Batch]*IFERROR(INDEX(PP_Grid[#Data],M_BOM[PPGridRow],75),0))+IFERROR(INDEX(M_RawMaterials[固定週次消費量_要入力],MATCH($A58,M_RawMaterials[Part Name],0)),0)</f>
        <v/>
      </c>
      <c r="BX58">
        <f>SUMPRODUCT((M_BOM[Part Name]=$A58)*M_BOM[RM_Qty_Per_Batch]*IFERROR(INDEX(PP_Grid[#Data],M_BOM[PPGridRow],76),0))+IFERROR(INDEX(M_RawMaterials[固定週次消費量_要入力],MATCH($A58,M_RawMaterials[Part Name],0)),0)</f>
        <v/>
      </c>
      <c r="BY58">
        <f>SUMPRODUCT((M_BOM[Part Name]=$A58)*M_BOM[RM_Qty_Per_Batch]*IFERROR(INDEX(PP_Grid[#Data],M_BOM[PPGridRow],77),0))+IFERROR(INDEX(M_RawMaterials[固定週次消費量_要入力],MATCH($A58,M_RawMaterials[Part Name],0)),0)</f>
        <v/>
      </c>
      <c r="BZ58">
        <f>SUMPRODUCT((M_BOM[Part Name]=$A58)*M_BOM[RM_Qty_Per_Batch]*IFERROR(INDEX(PP_Grid[#Data],M_BOM[PPGridRow],78),0))+IFERROR(INDEX(M_RawMaterials[固定週次消費量_要入力],MATCH($A58,M_RawMaterials[Part Name],0)),0)</f>
        <v/>
      </c>
      <c r="CA58">
        <f>SUMPRODUCT((M_BOM[Part Name]=$A58)*M_BOM[RM_Qty_Per_Batch]*IFERROR(INDEX(PP_Grid[#Data],M_BOM[PPGridRow],79),0))+IFERROR(INDEX(M_RawMaterials[固定週次消費量_要入力],MATCH($A58,M_RawMaterials[Part Name],0)),0)</f>
        <v/>
      </c>
      <c r="CB58">
        <f>SUMPRODUCT((M_BOM[Part Name]=$A58)*M_BOM[RM_Qty_Per_Batch]*IFERROR(INDEX(PP_Grid[#Data],M_BOM[PPGridRow],80),0))+IFERROR(INDEX(M_RawMaterials[固定週次消費量_要入力],MATCH($A58,M_RawMaterials[Part Name],0)),0)</f>
        <v/>
      </c>
      <c r="CC58">
        <f>SUMPRODUCT((M_BOM[Part Name]=$A58)*M_BOM[RM_Qty_Per_Batch]*IFERROR(INDEX(PP_Grid[#Data],M_BOM[PPGridRow],81),0))+IFERROR(INDEX(M_RawMaterials[固定週次消費量_要入力],MATCH($A58,M_RawMaterials[Part Name],0)),0)</f>
        <v/>
      </c>
      <c r="CD58">
        <f>SUMPRODUCT((M_BOM[Part Name]=$A58)*M_BOM[RM_Qty_Per_Batch]*IFERROR(INDEX(PP_Grid[#Data],M_BOM[PPGridRow],82),0))+IFERROR(INDEX(M_RawMaterials[固定週次消費量_要入力],MATCH($A58,M_RawMaterials[Part Name],0)),0)</f>
        <v/>
      </c>
      <c r="CE58">
        <f>SUMPRODUCT((M_BOM[Part Name]=$A58)*M_BOM[RM_Qty_Per_Batch]*IFERROR(INDEX(PP_Grid[#Data],M_BOM[PPGridRow],83),0))+IFERROR(INDEX(M_RawMaterials[固定週次消費量_要入力],MATCH($A58,M_RawMaterials[Part Name],0)),0)</f>
        <v/>
      </c>
      <c r="CF58">
        <f>SUMPRODUCT((M_BOM[Part Name]=$A58)*M_BOM[RM_Qty_Per_Batch]*IFERROR(INDEX(PP_Grid[#Data],M_BOM[PPGridRow],84),0))+IFERROR(INDEX(M_RawMaterials[固定週次消費量_要入力],MATCH($A58,M_RawMaterials[Part Name],0)),0)</f>
        <v/>
      </c>
      <c r="CG58">
        <f>SUMPRODUCT((M_BOM[Part Name]=$A58)*M_BOM[RM_Qty_Per_Batch]*IFERROR(INDEX(PP_Grid[#Data],M_BOM[PPGridRow],85),0))+IFERROR(INDEX(M_RawMaterials[固定週次消費量_要入力],MATCH($A58,M_RawMaterials[Part Name],0)),0)</f>
        <v/>
      </c>
      <c r="CH58">
        <f>SUMPRODUCT((M_BOM[Part Name]=$A58)*M_BOM[RM_Qty_Per_Batch]*IFERROR(INDEX(PP_Grid[#Data],M_BOM[PPGridRow],86),0))+IFERROR(INDEX(M_RawMaterials[固定週次消費量_要入力],MATCH($A58,M_RawMaterials[Part Name],0)),0)</f>
        <v/>
      </c>
      <c r="CI58">
        <f>SUMPRODUCT((M_BOM[Part Name]=$A58)*M_BOM[RM_Qty_Per_Batch]*IFERROR(INDEX(PP_Grid[#Data],M_BOM[PPGridRow],87),0))+IFERROR(INDEX(M_RawMaterials[固定週次消費量_要入力],MATCH($A58,M_RawMaterials[Part Name],0)),0)</f>
        <v/>
      </c>
      <c r="CJ58">
        <f>SUMPRODUCT((M_BOM[Part Name]=$A58)*M_BOM[RM_Qty_Per_Batch]*IFERROR(INDEX(PP_Grid[#Data],M_BOM[PPGridRow],88),0))+IFERROR(INDEX(M_RawMaterials[固定週次消費量_要入力],MATCH($A58,M_RawMaterials[Part Name],0)),0)</f>
        <v/>
      </c>
      <c r="CK58">
        <f>SUMPRODUCT((M_BOM[Part Name]=$A58)*M_BOM[RM_Qty_Per_Batch]*IFERROR(INDEX(PP_Grid[#Data],M_BOM[PPGridRow],89),0))+IFERROR(INDEX(M_RawMaterials[固定週次消費量_要入力],MATCH($A58,M_RawMaterials[Part Name],0)),0)</f>
        <v/>
      </c>
      <c r="CL58">
        <f>SUMPRODUCT((M_BOM[Part Name]=$A58)*M_BOM[RM_Qty_Per_Batch]*IFERROR(INDEX(PP_Grid[#Data],M_BOM[PPGridRow],90),0))+IFERROR(INDEX(M_RawMaterials[固定週次消費量_要入力],MATCH($A58,M_RawMaterials[Part Name],0)),0)</f>
        <v/>
      </c>
      <c r="CM58">
        <f>SUMPRODUCT((M_BOM[Part Name]=$A58)*M_BOM[RM_Qty_Per_Batch]*IFERROR(INDEX(PP_Grid[#Data],M_BOM[PPGridRow],91),0))+IFERROR(INDEX(M_RawMaterials[固定週次消費量_要入力],MATCH($A58,M_RawMaterials[Part Name],0)),0)</f>
        <v/>
      </c>
      <c r="CN58">
        <f>SUMPRODUCT((M_BOM[Part Name]=$A58)*M_BOM[RM_Qty_Per_Batch]*IFERROR(INDEX(PP_Grid[#Data],M_BOM[PPGridRow],92),0))+IFERROR(INDEX(M_RawMaterials[固定週次消費量_要入力],MATCH($A58,M_RawMaterials[Part Name],0)),0)</f>
        <v/>
      </c>
      <c r="CO58">
        <f>SUMPRODUCT((M_BOM[Part Name]=$A58)*M_BOM[RM_Qty_Per_Batch]*IFERROR(INDEX(PP_Grid[#Data],M_BOM[PPGridRow],93),0))+IFERROR(INDEX(M_RawMaterials[固定週次消費量_要入力],MATCH($A58,M_RawMaterials[Part Name],0)),0)</f>
        <v/>
      </c>
      <c r="CP58">
        <f>SUMPRODUCT((M_BOM[Part Name]=$A58)*M_BOM[RM_Qty_Per_Batch]*IFERROR(INDEX(PP_Grid[#Data],M_BOM[PPGridRow],94),0))+IFERROR(INDEX(M_RawMaterials[固定週次消費量_要入力],MATCH($A58,M_RawMaterials[Part Name],0)),0)</f>
        <v/>
      </c>
      <c r="CQ58">
        <f>SUMPRODUCT((M_BOM[Part Name]=$A58)*M_BOM[RM_Qty_Per_Batch]*IFERROR(INDEX(PP_Grid[#Data],M_BOM[PPGridRow],95),0))+IFERROR(INDEX(M_RawMaterials[固定週次消費量_要入力],MATCH($A58,M_RawMaterials[Part Name],0)),0)</f>
        <v/>
      </c>
      <c r="CR58">
        <f>SUMPRODUCT((M_BOM[Part Name]=$A58)*M_BOM[RM_Qty_Per_Batch]*IFERROR(INDEX(PP_Grid[#Data],M_BOM[PPGridRow],96),0))+IFERROR(INDEX(M_RawMaterials[固定週次消費量_要入力],MATCH($A58,M_RawMaterials[Part Name],0)),0)</f>
        <v/>
      </c>
      <c r="CS58">
        <f>SUMPRODUCT((M_BOM[Part Name]=$A58)*M_BOM[RM_Qty_Per_Batch]*IFERROR(INDEX(PP_Grid[#Data],M_BOM[PPGridRow],97),0))+IFERROR(INDEX(M_RawMaterials[固定週次消費量_要入力],MATCH($A58,M_RawMaterials[Part Name],0)),0)</f>
        <v/>
      </c>
      <c r="CT58">
        <f>SUMPRODUCT((M_BOM[Part Name]=$A58)*M_BOM[RM_Qty_Per_Batch]*IFERROR(INDEX(PP_Grid[#Data],M_BOM[PPGridRow],98),0))+IFERROR(INDEX(M_RawMaterials[固定週次消費量_要入力],MATCH($A58,M_RawMaterials[Part Name],0)),0)</f>
        <v/>
      </c>
      <c r="CU58">
        <f>SUMPRODUCT((M_BOM[Part Name]=$A58)*M_BOM[RM_Qty_Per_Batch]*IFERROR(INDEX(PP_Grid[#Data],M_BOM[PPGridRow],99),0))+IFERROR(INDEX(M_RawMaterials[固定週次消費量_要入力],MATCH($A58,M_RawMaterials[Part Name],0)),0)</f>
        <v/>
      </c>
      <c r="CV58">
        <f>SUMPRODUCT((M_BOM[Part Name]=$A58)*M_BOM[RM_Qty_Per_Batch]*IFERROR(INDEX(PP_Grid[#Data],M_BOM[PPGridRow],100),0))+IFERROR(INDEX(M_RawMaterials[固定週次消費量_要入力],MATCH($A58,M_RawMaterials[Part Name],0)),0)</f>
        <v/>
      </c>
      <c r="CW58">
        <f>SUMPRODUCT((M_BOM[Part Name]=$A58)*M_BOM[RM_Qty_Per_Batch]*IFERROR(INDEX(PP_Grid[#Data],M_BOM[PPGridRow],101),0))+IFERROR(INDEX(M_RawMaterials[固定週次消費量_要入力],MATCH($A58,M_RawMaterials[Part Name],0)),0)</f>
        <v/>
      </c>
      <c r="CX58">
        <f>SUMPRODUCT((M_BOM[Part Name]=$A58)*M_BOM[RM_Qty_Per_Batch]*IFERROR(INDEX(PP_Grid[#Data],M_BOM[PPGridRow],102),0))+IFERROR(INDEX(M_RawMaterials[固定週次消費量_要入力],MATCH($A58,M_RawMaterials[Part Name],0)),0)</f>
        <v/>
      </c>
      <c r="CY58">
        <f>SUMPRODUCT((M_BOM[Part Name]=$A58)*M_BOM[RM_Qty_Per_Batch]*IFERROR(INDEX(PP_Grid[#Data],M_BOM[PPGridRow],103),0))+IFERROR(INDEX(M_RawMaterials[固定週次消費量_要入力],MATCH($A58,M_RawMaterials[Part Name],0)),0)</f>
        <v/>
      </c>
      <c r="CZ58">
        <f>SUMPRODUCT((M_BOM[Part Name]=$A58)*M_BOM[RM_Qty_Per_Batch]*IFERROR(INDEX(PP_Grid[#Data],M_BOM[PPGridRow],104),0))+IFERROR(INDEX(M_RawMaterials[固定週次消費量_要入力],MATCH($A58,M_RawMaterials[Part Name],0)),0)</f>
        <v/>
      </c>
      <c r="DA58">
        <f>SUMPRODUCT((M_BOM[Part Name]=$A58)*M_BOM[RM_Qty_Per_Batch]*IFERROR(INDEX(PP_Grid[#Data],M_BOM[PPGridRow],105),0))+IFERROR(INDEX(M_RawMaterials[固定週次消費量_要入力],MATCH($A58,M_RawMaterials[Part Name],0)),0)</f>
        <v/>
      </c>
    </row>
    <row r="59">
      <c r="A59" t="inlineStr">
        <is>
          <t>CHEM-1560</t>
        </is>
      </c>
      <c r="B59">
        <f>SUMPRODUCT((M_BOM[Part Name]=$A59)*M_BOM[RM_Qty_Per_Batch]*IFERROR(INDEX(PP_Grid[#Data],M_BOM[PPGridRow],2),0))+IFERROR(INDEX(M_RawMaterials[固定週次消費量_要入力],MATCH($A59,M_RawMaterials[Part Name],0)),0)</f>
        <v/>
      </c>
      <c r="C59">
        <f>SUMPRODUCT((M_BOM[Part Name]=$A59)*M_BOM[RM_Qty_Per_Batch]*IFERROR(INDEX(PP_Grid[#Data],M_BOM[PPGridRow],3),0))+IFERROR(INDEX(M_RawMaterials[固定週次消費量_要入力],MATCH($A59,M_RawMaterials[Part Name],0)),0)</f>
        <v/>
      </c>
      <c r="D59">
        <f>SUMPRODUCT((M_BOM[Part Name]=$A59)*M_BOM[RM_Qty_Per_Batch]*IFERROR(INDEX(PP_Grid[#Data],M_BOM[PPGridRow],4),0))+IFERROR(INDEX(M_RawMaterials[固定週次消費量_要入力],MATCH($A59,M_RawMaterials[Part Name],0)),0)</f>
        <v/>
      </c>
      <c r="E59">
        <f>SUMPRODUCT((M_BOM[Part Name]=$A59)*M_BOM[RM_Qty_Per_Batch]*IFERROR(INDEX(PP_Grid[#Data],M_BOM[PPGridRow],5),0))+IFERROR(INDEX(M_RawMaterials[固定週次消費量_要入力],MATCH($A59,M_RawMaterials[Part Name],0)),0)</f>
        <v/>
      </c>
      <c r="F59">
        <f>SUMPRODUCT((M_BOM[Part Name]=$A59)*M_BOM[RM_Qty_Per_Batch]*IFERROR(INDEX(PP_Grid[#Data],M_BOM[PPGridRow],6),0))+IFERROR(INDEX(M_RawMaterials[固定週次消費量_要入力],MATCH($A59,M_RawMaterials[Part Name],0)),0)</f>
        <v/>
      </c>
      <c r="G59">
        <f>SUMPRODUCT((M_BOM[Part Name]=$A59)*M_BOM[RM_Qty_Per_Batch]*IFERROR(INDEX(PP_Grid[#Data],M_BOM[PPGridRow],7),0))+IFERROR(INDEX(M_RawMaterials[固定週次消費量_要入力],MATCH($A59,M_RawMaterials[Part Name],0)),0)</f>
        <v/>
      </c>
      <c r="H59">
        <f>SUMPRODUCT((M_BOM[Part Name]=$A59)*M_BOM[RM_Qty_Per_Batch]*IFERROR(INDEX(PP_Grid[#Data],M_BOM[PPGridRow],8),0))+IFERROR(INDEX(M_RawMaterials[固定週次消費量_要入力],MATCH($A59,M_RawMaterials[Part Name],0)),0)</f>
        <v/>
      </c>
      <c r="I59">
        <f>SUMPRODUCT((M_BOM[Part Name]=$A59)*M_BOM[RM_Qty_Per_Batch]*IFERROR(INDEX(PP_Grid[#Data],M_BOM[PPGridRow],9),0))+IFERROR(INDEX(M_RawMaterials[固定週次消費量_要入力],MATCH($A59,M_RawMaterials[Part Name],0)),0)</f>
        <v/>
      </c>
      <c r="J59">
        <f>SUMPRODUCT((M_BOM[Part Name]=$A59)*M_BOM[RM_Qty_Per_Batch]*IFERROR(INDEX(PP_Grid[#Data],M_BOM[PPGridRow],10),0))+IFERROR(INDEX(M_RawMaterials[固定週次消費量_要入力],MATCH($A59,M_RawMaterials[Part Name],0)),0)</f>
        <v/>
      </c>
      <c r="K59">
        <f>SUMPRODUCT((M_BOM[Part Name]=$A59)*M_BOM[RM_Qty_Per_Batch]*IFERROR(INDEX(PP_Grid[#Data],M_BOM[PPGridRow],11),0))+IFERROR(INDEX(M_RawMaterials[固定週次消費量_要入力],MATCH($A59,M_RawMaterials[Part Name],0)),0)</f>
        <v/>
      </c>
      <c r="L59">
        <f>SUMPRODUCT((M_BOM[Part Name]=$A59)*M_BOM[RM_Qty_Per_Batch]*IFERROR(INDEX(PP_Grid[#Data],M_BOM[PPGridRow],12),0))+IFERROR(INDEX(M_RawMaterials[固定週次消費量_要入力],MATCH($A59,M_RawMaterials[Part Name],0)),0)</f>
        <v/>
      </c>
      <c r="M59">
        <f>SUMPRODUCT((M_BOM[Part Name]=$A59)*M_BOM[RM_Qty_Per_Batch]*IFERROR(INDEX(PP_Grid[#Data],M_BOM[PPGridRow],13),0))+IFERROR(INDEX(M_RawMaterials[固定週次消費量_要入力],MATCH($A59,M_RawMaterials[Part Name],0)),0)</f>
        <v/>
      </c>
      <c r="N59">
        <f>SUMPRODUCT((M_BOM[Part Name]=$A59)*M_BOM[RM_Qty_Per_Batch]*IFERROR(INDEX(PP_Grid[#Data],M_BOM[PPGridRow],14),0))+IFERROR(INDEX(M_RawMaterials[固定週次消費量_要入力],MATCH($A59,M_RawMaterials[Part Name],0)),0)</f>
        <v/>
      </c>
      <c r="O59">
        <f>SUMPRODUCT((M_BOM[Part Name]=$A59)*M_BOM[RM_Qty_Per_Batch]*IFERROR(INDEX(PP_Grid[#Data],M_BOM[PPGridRow],15),0))+IFERROR(INDEX(M_RawMaterials[固定週次消費量_要入力],MATCH($A59,M_RawMaterials[Part Name],0)),0)</f>
        <v/>
      </c>
      <c r="P59">
        <f>SUMPRODUCT((M_BOM[Part Name]=$A59)*M_BOM[RM_Qty_Per_Batch]*IFERROR(INDEX(PP_Grid[#Data],M_BOM[PPGridRow],16),0))+IFERROR(INDEX(M_RawMaterials[固定週次消費量_要入力],MATCH($A59,M_RawMaterials[Part Name],0)),0)</f>
        <v/>
      </c>
      <c r="Q59">
        <f>SUMPRODUCT((M_BOM[Part Name]=$A59)*M_BOM[RM_Qty_Per_Batch]*IFERROR(INDEX(PP_Grid[#Data],M_BOM[PPGridRow],17),0))+IFERROR(INDEX(M_RawMaterials[固定週次消費量_要入力],MATCH($A59,M_RawMaterials[Part Name],0)),0)</f>
        <v/>
      </c>
      <c r="R59">
        <f>SUMPRODUCT((M_BOM[Part Name]=$A59)*M_BOM[RM_Qty_Per_Batch]*IFERROR(INDEX(PP_Grid[#Data],M_BOM[PPGridRow],18),0))+IFERROR(INDEX(M_RawMaterials[固定週次消費量_要入力],MATCH($A59,M_RawMaterials[Part Name],0)),0)</f>
        <v/>
      </c>
      <c r="S59">
        <f>SUMPRODUCT((M_BOM[Part Name]=$A59)*M_BOM[RM_Qty_Per_Batch]*IFERROR(INDEX(PP_Grid[#Data],M_BOM[PPGridRow],19),0))+IFERROR(INDEX(M_RawMaterials[固定週次消費量_要入力],MATCH($A59,M_RawMaterials[Part Name],0)),0)</f>
        <v/>
      </c>
      <c r="T59">
        <f>SUMPRODUCT((M_BOM[Part Name]=$A59)*M_BOM[RM_Qty_Per_Batch]*IFERROR(INDEX(PP_Grid[#Data],M_BOM[PPGridRow],20),0))+IFERROR(INDEX(M_RawMaterials[固定週次消費量_要入力],MATCH($A59,M_RawMaterials[Part Name],0)),0)</f>
        <v/>
      </c>
      <c r="U59">
        <f>SUMPRODUCT((M_BOM[Part Name]=$A59)*M_BOM[RM_Qty_Per_Batch]*IFERROR(INDEX(PP_Grid[#Data],M_BOM[PPGridRow],21),0))+IFERROR(INDEX(M_RawMaterials[固定週次消費量_要入力],MATCH($A59,M_RawMaterials[Part Name],0)),0)</f>
        <v/>
      </c>
      <c r="V59">
        <f>SUMPRODUCT((M_BOM[Part Name]=$A59)*M_BOM[RM_Qty_Per_Batch]*IFERROR(INDEX(PP_Grid[#Data],M_BOM[PPGridRow],22),0))+IFERROR(INDEX(M_RawMaterials[固定週次消費量_要入力],MATCH($A59,M_RawMaterials[Part Name],0)),0)</f>
        <v/>
      </c>
      <c r="W59">
        <f>SUMPRODUCT((M_BOM[Part Name]=$A59)*M_BOM[RM_Qty_Per_Batch]*IFERROR(INDEX(PP_Grid[#Data],M_BOM[PPGridRow],23),0))+IFERROR(INDEX(M_RawMaterials[固定週次消費量_要入力],MATCH($A59,M_RawMaterials[Part Name],0)),0)</f>
        <v/>
      </c>
      <c r="X59">
        <f>SUMPRODUCT((M_BOM[Part Name]=$A59)*M_BOM[RM_Qty_Per_Batch]*IFERROR(INDEX(PP_Grid[#Data],M_BOM[PPGridRow],24),0))+IFERROR(INDEX(M_RawMaterials[固定週次消費量_要入力],MATCH($A59,M_RawMaterials[Part Name],0)),0)</f>
        <v/>
      </c>
      <c r="Y59">
        <f>SUMPRODUCT((M_BOM[Part Name]=$A59)*M_BOM[RM_Qty_Per_Batch]*IFERROR(INDEX(PP_Grid[#Data],M_BOM[PPGridRow],25),0))+IFERROR(INDEX(M_RawMaterials[固定週次消費量_要入力],MATCH($A59,M_RawMaterials[Part Name],0)),0)</f>
        <v/>
      </c>
      <c r="Z59">
        <f>SUMPRODUCT((M_BOM[Part Name]=$A59)*M_BOM[RM_Qty_Per_Batch]*IFERROR(INDEX(PP_Grid[#Data],M_BOM[PPGridRow],26),0))+IFERROR(INDEX(M_RawMaterials[固定週次消費量_要入力],MATCH($A59,M_RawMaterials[Part Name],0)),0)</f>
        <v/>
      </c>
      <c r="AA59">
        <f>SUMPRODUCT((M_BOM[Part Name]=$A59)*M_BOM[RM_Qty_Per_Batch]*IFERROR(INDEX(PP_Grid[#Data],M_BOM[PPGridRow],27),0))+IFERROR(INDEX(M_RawMaterials[固定週次消費量_要入力],MATCH($A59,M_RawMaterials[Part Name],0)),0)</f>
        <v/>
      </c>
      <c r="AB59">
        <f>SUMPRODUCT((M_BOM[Part Name]=$A59)*M_BOM[RM_Qty_Per_Batch]*IFERROR(INDEX(PP_Grid[#Data],M_BOM[PPGridRow],28),0))+IFERROR(INDEX(M_RawMaterials[固定週次消費量_要入力],MATCH($A59,M_RawMaterials[Part Name],0)),0)</f>
        <v/>
      </c>
      <c r="AC59">
        <f>SUMPRODUCT((M_BOM[Part Name]=$A59)*M_BOM[RM_Qty_Per_Batch]*IFERROR(INDEX(PP_Grid[#Data],M_BOM[PPGridRow],29),0))+IFERROR(INDEX(M_RawMaterials[固定週次消費量_要入力],MATCH($A59,M_RawMaterials[Part Name],0)),0)</f>
        <v/>
      </c>
      <c r="AD59">
        <f>SUMPRODUCT((M_BOM[Part Name]=$A59)*M_BOM[RM_Qty_Per_Batch]*IFERROR(INDEX(PP_Grid[#Data],M_BOM[PPGridRow],30),0))+IFERROR(INDEX(M_RawMaterials[固定週次消費量_要入力],MATCH($A59,M_RawMaterials[Part Name],0)),0)</f>
        <v/>
      </c>
      <c r="AE59">
        <f>SUMPRODUCT((M_BOM[Part Name]=$A59)*M_BOM[RM_Qty_Per_Batch]*IFERROR(INDEX(PP_Grid[#Data],M_BOM[PPGridRow],31),0))+IFERROR(INDEX(M_RawMaterials[固定週次消費量_要入力],MATCH($A59,M_RawMaterials[Part Name],0)),0)</f>
        <v/>
      </c>
      <c r="AF59">
        <f>SUMPRODUCT((M_BOM[Part Name]=$A59)*M_BOM[RM_Qty_Per_Batch]*IFERROR(INDEX(PP_Grid[#Data],M_BOM[PPGridRow],32),0))+IFERROR(INDEX(M_RawMaterials[固定週次消費量_要入力],MATCH($A59,M_RawMaterials[Part Name],0)),0)</f>
        <v/>
      </c>
      <c r="AG59">
        <f>SUMPRODUCT((M_BOM[Part Name]=$A59)*M_BOM[RM_Qty_Per_Batch]*IFERROR(INDEX(PP_Grid[#Data],M_BOM[PPGridRow],33),0))+IFERROR(INDEX(M_RawMaterials[固定週次消費量_要入力],MATCH($A59,M_RawMaterials[Part Name],0)),0)</f>
        <v/>
      </c>
      <c r="AH59">
        <f>SUMPRODUCT((M_BOM[Part Name]=$A59)*M_BOM[RM_Qty_Per_Batch]*IFERROR(INDEX(PP_Grid[#Data],M_BOM[PPGridRow],34),0))+IFERROR(INDEX(M_RawMaterials[固定週次消費量_要入力],MATCH($A59,M_RawMaterials[Part Name],0)),0)</f>
        <v/>
      </c>
      <c r="AI59">
        <f>SUMPRODUCT((M_BOM[Part Name]=$A59)*M_BOM[RM_Qty_Per_Batch]*IFERROR(INDEX(PP_Grid[#Data],M_BOM[PPGridRow],35),0))+IFERROR(INDEX(M_RawMaterials[固定週次消費量_要入力],MATCH($A59,M_RawMaterials[Part Name],0)),0)</f>
        <v/>
      </c>
      <c r="AJ59">
        <f>SUMPRODUCT((M_BOM[Part Name]=$A59)*M_BOM[RM_Qty_Per_Batch]*IFERROR(INDEX(PP_Grid[#Data],M_BOM[PPGridRow],36),0))+IFERROR(INDEX(M_RawMaterials[固定週次消費量_要入力],MATCH($A59,M_RawMaterials[Part Name],0)),0)</f>
        <v/>
      </c>
      <c r="AK59">
        <f>SUMPRODUCT((M_BOM[Part Name]=$A59)*M_BOM[RM_Qty_Per_Batch]*IFERROR(INDEX(PP_Grid[#Data],M_BOM[PPGridRow],37),0))+IFERROR(INDEX(M_RawMaterials[固定週次消費量_要入力],MATCH($A59,M_RawMaterials[Part Name],0)),0)</f>
        <v/>
      </c>
      <c r="AL59">
        <f>SUMPRODUCT((M_BOM[Part Name]=$A59)*M_BOM[RM_Qty_Per_Batch]*IFERROR(INDEX(PP_Grid[#Data],M_BOM[PPGridRow],38),0))+IFERROR(INDEX(M_RawMaterials[固定週次消費量_要入力],MATCH($A59,M_RawMaterials[Part Name],0)),0)</f>
        <v/>
      </c>
      <c r="AM59">
        <f>SUMPRODUCT((M_BOM[Part Name]=$A59)*M_BOM[RM_Qty_Per_Batch]*IFERROR(INDEX(PP_Grid[#Data],M_BOM[PPGridRow],39),0))+IFERROR(INDEX(M_RawMaterials[固定週次消費量_要入力],MATCH($A59,M_RawMaterials[Part Name],0)),0)</f>
        <v/>
      </c>
      <c r="AN59">
        <f>SUMPRODUCT((M_BOM[Part Name]=$A59)*M_BOM[RM_Qty_Per_Batch]*IFERROR(INDEX(PP_Grid[#Data],M_BOM[PPGridRow],40),0))+IFERROR(INDEX(M_RawMaterials[固定週次消費量_要入力],MATCH($A59,M_RawMaterials[Part Name],0)),0)</f>
        <v/>
      </c>
      <c r="AO59">
        <f>SUMPRODUCT((M_BOM[Part Name]=$A59)*M_BOM[RM_Qty_Per_Batch]*IFERROR(INDEX(PP_Grid[#Data],M_BOM[PPGridRow],41),0))+IFERROR(INDEX(M_RawMaterials[固定週次消費量_要入力],MATCH($A59,M_RawMaterials[Part Name],0)),0)</f>
        <v/>
      </c>
      <c r="AP59">
        <f>SUMPRODUCT((M_BOM[Part Name]=$A59)*M_BOM[RM_Qty_Per_Batch]*IFERROR(INDEX(PP_Grid[#Data],M_BOM[PPGridRow],42),0))+IFERROR(INDEX(M_RawMaterials[固定週次消費量_要入力],MATCH($A59,M_RawMaterials[Part Name],0)),0)</f>
        <v/>
      </c>
      <c r="AQ59">
        <f>SUMPRODUCT((M_BOM[Part Name]=$A59)*M_BOM[RM_Qty_Per_Batch]*IFERROR(INDEX(PP_Grid[#Data],M_BOM[PPGridRow],43),0))+IFERROR(INDEX(M_RawMaterials[固定週次消費量_要入力],MATCH($A59,M_RawMaterials[Part Name],0)),0)</f>
        <v/>
      </c>
      <c r="AR59">
        <f>SUMPRODUCT((M_BOM[Part Name]=$A59)*M_BOM[RM_Qty_Per_Batch]*IFERROR(INDEX(PP_Grid[#Data],M_BOM[PPGridRow],44),0))+IFERROR(INDEX(M_RawMaterials[固定週次消費量_要入力],MATCH($A59,M_RawMaterials[Part Name],0)),0)</f>
        <v/>
      </c>
      <c r="AS59">
        <f>SUMPRODUCT((M_BOM[Part Name]=$A59)*M_BOM[RM_Qty_Per_Batch]*IFERROR(INDEX(PP_Grid[#Data],M_BOM[PPGridRow],45),0))+IFERROR(INDEX(M_RawMaterials[固定週次消費量_要入力],MATCH($A59,M_RawMaterials[Part Name],0)),0)</f>
        <v/>
      </c>
      <c r="AT59">
        <f>SUMPRODUCT((M_BOM[Part Name]=$A59)*M_BOM[RM_Qty_Per_Batch]*IFERROR(INDEX(PP_Grid[#Data],M_BOM[PPGridRow],46),0))+IFERROR(INDEX(M_RawMaterials[固定週次消費量_要入力],MATCH($A59,M_RawMaterials[Part Name],0)),0)</f>
        <v/>
      </c>
      <c r="AU59">
        <f>SUMPRODUCT((M_BOM[Part Name]=$A59)*M_BOM[RM_Qty_Per_Batch]*IFERROR(INDEX(PP_Grid[#Data],M_BOM[PPGridRow],47),0))+IFERROR(INDEX(M_RawMaterials[固定週次消費量_要入力],MATCH($A59,M_RawMaterials[Part Name],0)),0)</f>
        <v/>
      </c>
      <c r="AV59">
        <f>SUMPRODUCT((M_BOM[Part Name]=$A59)*M_BOM[RM_Qty_Per_Batch]*IFERROR(INDEX(PP_Grid[#Data],M_BOM[PPGridRow],48),0))+IFERROR(INDEX(M_RawMaterials[固定週次消費量_要入力],MATCH($A59,M_RawMaterials[Part Name],0)),0)</f>
        <v/>
      </c>
      <c r="AW59">
        <f>SUMPRODUCT((M_BOM[Part Name]=$A59)*M_BOM[RM_Qty_Per_Batch]*IFERROR(INDEX(PP_Grid[#Data],M_BOM[PPGridRow],49),0))+IFERROR(INDEX(M_RawMaterials[固定週次消費量_要入力],MATCH($A59,M_RawMaterials[Part Name],0)),0)</f>
        <v/>
      </c>
      <c r="AX59">
        <f>SUMPRODUCT((M_BOM[Part Name]=$A59)*M_BOM[RM_Qty_Per_Batch]*IFERROR(INDEX(PP_Grid[#Data],M_BOM[PPGridRow],50),0))+IFERROR(INDEX(M_RawMaterials[固定週次消費量_要入力],MATCH($A59,M_RawMaterials[Part Name],0)),0)</f>
        <v/>
      </c>
      <c r="AY59">
        <f>SUMPRODUCT((M_BOM[Part Name]=$A59)*M_BOM[RM_Qty_Per_Batch]*IFERROR(INDEX(PP_Grid[#Data],M_BOM[PPGridRow],51),0))+IFERROR(INDEX(M_RawMaterials[固定週次消費量_要入力],MATCH($A59,M_RawMaterials[Part Name],0)),0)</f>
        <v/>
      </c>
      <c r="AZ59">
        <f>SUMPRODUCT((M_BOM[Part Name]=$A59)*M_BOM[RM_Qty_Per_Batch]*IFERROR(INDEX(PP_Grid[#Data],M_BOM[PPGridRow],52),0))+IFERROR(INDEX(M_RawMaterials[固定週次消費量_要入力],MATCH($A59,M_RawMaterials[Part Name],0)),0)</f>
        <v/>
      </c>
      <c r="BA59">
        <f>SUMPRODUCT((M_BOM[Part Name]=$A59)*M_BOM[RM_Qty_Per_Batch]*IFERROR(INDEX(PP_Grid[#Data],M_BOM[PPGridRow],53),0))+IFERROR(INDEX(M_RawMaterials[固定週次消費量_要入力],MATCH($A59,M_RawMaterials[Part Name],0)),0)</f>
        <v/>
      </c>
      <c r="BB59">
        <f>SUMPRODUCT((M_BOM[Part Name]=$A59)*M_BOM[RM_Qty_Per_Batch]*IFERROR(INDEX(PP_Grid[#Data],M_BOM[PPGridRow],54),0))+IFERROR(INDEX(M_RawMaterials[固定週次消費量_要入力],MATCH($A59,M_RawMaterials[Part Name],0)),0)</f>
        <v/>
      </c>
      <c r="BC59">
        <f>SUMPRODUCT((M_BOM[Part Name]=$A59)*M_BOM[RM_Qty_Per_Batch]*IFERROR(INDEX(PP_Grid[#Data],M_BOM[PPGridRow],55),0))+IFERROR(INDEX(M_RawMaterials[固定週次消費量_要入力],MATCH($A59,M_RawMaterials[Part Name],0)),0)</f>
        <v/>
      </c>
      <c r="BD59">
        <f>SUMPRODUCT((M_BOM[Part Name]=$A59)*M_BOM[RM_Qty_Per_Batch]*IFERROR(INDEX(PP_Grid[#Data],M_BOM[PPGridRow],56),0))+IFERROR(INDEX(M_RawMaterials[固定週次消費量_要入力],MATCH($A59,M_RawMaterials[Part Name],0)),0)</f>
        <v/>
      </c>
      <c r="BE59">
        <f>SUMPRODUCT((M_BOM[Part Name]=$A59)*M_BOM[RM_Qty_Per_Batch]*IFERROR(INDEX(PP_Grid[#Data],M_BOM[PPGridRow],57),0))+IFERROR(INDEX(M_RawMaterials[固定週次消費量_要入力],MATCH($A59,M_RawMaterials[Part Name],0)),0)</f>
        <v/>
      </c>
      <c r="BF59">
        <f>SUMPRODUCT((M_BOM[Part Name]=$A59)*M_BOM[RM_Qty_Per_Batch]*IFERROR(INDEX(PP_Grid[#Data],M_BOM[PPGridRow],58),0))+IFERROR(INDEX(M_RawMaterials[固定週次消費量_要入力],MATCH($A59,M_RawMaterials[Part Name],0)),0)</f>
        <v/>
      </c>
      <c r="BG59">
        <f>SUMPRODUCT((M_BOM[Part Name]=$A59)*M_BOM[RM_Qty_Per_Batch]*IFERROR(INDEX(PP_Grid[#Data],M_BOM[PPGridRow],59),0))+IFERROR(INDEX(M_RawMaterials[固定週次消費量_要入力],MATCH($A59,M_RawMaterials[Part Name],0)),0)</f>
        <v/>
      </c>
      <c r="BH59">
        <f>SUMPRODUCT((M_BOM[Part Name]=$A59)*M_BOM[RM_Qty_Per_Batch]*IFERROR(INDEX(PP_Grid[#Data],M_BOM[PPGridRow],60),0))+IFERROR(INDEX(M_RawMaterials[固定週次消費量_要入力],MATCH($A59,M_RawMaterials[Part Name],0)),0)</f>
        <v/>
      </c>
      <c r="BI59">
        <f>SUMPRODUCT((M_BOM[Part Name]=$A59)*M_BOM[RM_Qty_Per_Batch]*IFERROR(INDEX(PP_Grid[#Data],M_BOM[PPGridRow],61),0))+IFERROR(INDEX(M_RawMaterials[固定週次消費量_要入力],MATCH($A59,M_RawMaterials[Part Name],0)),0)</f>
        <v/>
      </c>
      <c r="BJ59">
        <f>SUMPRODUCT((M_BOM[Part Name]=$A59)*M_BOM[RM_Qty_Per_Batch]*IFERROR(INDEX(PP_Grid[#Data],M_BOM[PPGridRow],62),0))+IFERROR(INDEX(M_RawMaterials[固定週次消費量_要入力],MATCH($A59,M_RawMaterials[Part Name],0)),0)</f>
        <v/>
      </c>
      <c r="BK59">
        <f>SUMPRODUCT((M_BOM[Part Name]=$A59)*M_BOM[RM_Qty_Per_Batch]*IFERROR(INDEX(PP_Grid[#Data],M_BOM[PPGridRow],63),0))+IFERROR(INDEX(M_RawMaterials[固定週次消費量_要入力],MATCH($A59,M_RawMaterials[Part Name],0)),0)</f>
        <v/>
      </c>
      <c r="BL59">
        <f>SUMPRODUCT((M_BOM[Part Name]=$A59)*M_BOM[RM_Qty_Per_Batch]*IFERROR(INDEX(PP_Grid[#Data],M_BOM[PPGridRow],64),0))+IFERROR(INDEX(M_RawMaterials[固定週次消費量_要入力],MATCH($A59,M_RawMaterials[Part Name],0)),0)</f>
        <v/>
      </c>
      <c r="BM59">
        <f>SUMPRODUCT((M_BOM[Part Name]=$A59)*M_BOM[RM_Qty_Per_Batch]*IFERROR(INDEX(PP_Grid[#Data],M_BOM[PPGridRow],65),0))+IFERROR(INDEX(M_RawMaterials[固定週次消費量_要入力],MATCH($A59,M_RawMaterials[Part Name],0)),0)</f>
        <v/>
      </c>
      <c r="BN59">
        <f>SUMPRODUCT((M_BOM[Part Name]=$A59)*M_BOM[RM_Qty_Per_Batch]*IFERROR(INDEX(PP_Grid[#Data],M_BOM[PPGridRow],66),0))+IFERROR(INDEX(M_RawMaterials[固定週次消費量_要入力],MATCH($A59,M_RawMaterials[Part Name],0)),0)</f>
        <v/>
      </c>
      <c r="BO59">
        <f>SUMPRODUCT((M_BOM[Part Name]=$A59)*M_BOM[RM_Qty_Per_Batch]*IFERROR(INDEX(PP_Grid[#Data],M_BOM[PPGridRow],67),0))+IFERROR(INDEX(M_RawMaterials[固定週次消費量_要入力],MATCH($A59,M_RawMaterials[Part Name],0)),0)</f>
        <v/>
      </c>
      <c r="BP59">
        <f>SUMPRODUCT((M_BOM[Part Name]=$A59)*M_BOM[RM_Qty_Per_Batch]*IFERROR(INDEX(PP_Grid[#Data],M_BOM[PPGridRow],68),0))+IFERROR(INDEX(M_RawMaterials[固定週次消費量_要入力],MATCH($A59,M_RawMaterials[Part Name],0)),0)</f>
        <v/>
      </c>
      <c r="BQ59">
        <f>SUMPRODUCT((M_BOM[Part Name]=$A59)*M_BOM[RM_Qty_Per_Batch]*IFERROR(INDEX(PP_Grid[#Data],M_BOM[PPGridRow],69),0))+IFERROR(INDEX(M_RawMaterials[固定週次消費量_要入力],MATCH($A59,M_RawMaterials[Part Name],0)),0)</f>
        <v/>
      </c>
      <c r="BR59">
        <f>SUMPRODUCT((M_BOM[Part Name]=$A59)*M_BOM[RM_Qty_Per_Batch]*IFERROR(INDEX(PP_Grid[#Data],M_BOM[PPGridRow],70),0))+IFERROR(INDEX(M_RawMaterials[固定週次消費量_要入力],MATCH($A59,M_RawMaterials[Part Name],0)),0)</f>
        <v/>
      </c>
      <c r="BS59">
        <f>SUMPRODUCT((M_BOM[Part Name]=$A59)*M_BOM[RM_Qty_Per_Batch]*IFERROR(INDEX(PP_Grid[#Data],M_BOM[PPGridRow],71),0))+IFERROR(INDEX(M_RawMaterials[固定週次消費量_要入力],MATCH($A59,M_RawMaterials[Part Name],0)),0)</f>
        <v/>
      </c>
      <c r="BT59">
        <f>SUMPRODUCT((M_BOM[Part Name]=$A59)*M_BOM[RM_Qty_Per_Batch]*IFERROR(INDEX(PP_Grid[#Data],M_BOM[PPGridRow],72),0))+IFERROR(INDEX(M_RawMaterials[固定週次消費量_要入力],MATCH($A59,M_RawMaterials[Part Name],0)),0)</f>
        <v/>
      </c>
      <c r="BU59">
        <f>SUMPRODUCT((M_BOM[Part Name]=$A59)*M_BOM[RM_Qty_Per_Batch]*IFERROR(INDEX(PP_Grid[#Data],M_BOM[PPGridRow],73),0))+IFERROR(INDEX(M_RawMaterials[固定週次消費量_要入力],MATCH($A59,M_RawMaterials[Part Name],0)),0)</f>
        <v/>
      </c>
      <c r="BV59">
        <f>SUMPRODUCT((M_BOM[Part Name]=$A59)*M_BOM[RM_Qty_Per_Batch]*IFERROR(INDEX(PP_Grid[#Data],M_BOM[PPGridRow],74),0))+IFERROR(INDEX(M_RawMaterials[固定週次消費量_要入力],MATCH($A59,M_RawMaterials[Part Name],0)),0)</f>
        <v/>
      </c>
      <c r="BW59">
        <f>SUMPRODUCT((M_BOM[Part Name]=$A59)*M_BOM[RM_Qty_Per_Batch]*IFERROR(INDEX(PP_Grid[#Data],M_BOM[PPGridRow],75),0))+IFERROR(INDEX(M_RawMaterials[固定週次消費量_要入力],MATCH($A59,M_RawMaterials[Part Name],0)),0)</f>
        <v/>
      </c>
      <c r="BX59">
        <f>SUMPRODUCT((M_BOM[Part Name]=$A59)*M_BOM[RM_Qty_Per_Batch]*IFERROR(INDEX(PP_Grid[#Data],M_BOM[PPGridRow],76),0))+IFERROR(INDEX(M_RawMaterials[固定週次消費量_要入力],MATCH($A59,M_RawMaterials[Part Name],0)),0)</f>
        <v/>
      </c>
      <c r="BY59">
        <f>SUMPRODUCT((M_BOM[Part Name]=$A59)*M_BOM[RM_Qty_Per_Batch]*IFERROR(INDEX(PP_Grid[#Data],M_BOM[PPGridRow],77),0))+IFERROR(INDEX(M_RawMaterials[固定週次消費量_要入力],MATCH($A59,M_RawMaterials[Part Name],0)),0)</f>
        <v/>
      </c>
      <c r="BZ59">
        <f>SUMPRODUCT((M_BOM[Part Name]=$A59)*M_BOM[RM_Qty_Per_Batch]*IFERROR(INDEX(PP_Grid[#Data],M_BOM[PPGridRow],78),0))+IFERROR(INDEX(M_RawMaterials[固定週次消費量_要入力],MATCH($A59,M_RawMaterials[Part Name],0)),0)</f>
        <v/>
      </c>
      <c r="CA59">
        <f>SUMPRODUCT((M_BOM[Part Name]=$A59)*M_BOM[RM_Qty_Per_Batch]*IFERROR(INDEX(PP_Grid[#Data],M_BOM[PPGridRow],79),0))+IFERROR(INDEX(M_RawMaterials[固定週次消費量_要入力],MATCH($A59,M_RawMaterials[Part Name],0)),0)</f>
        <v/>
      </c>
      <c r="CB59">
        <f>SUMPRODUCT((M_BOM[Part Name]=$A59)*M_BOM[RM_Qty_Per_Batch]*IFERROR(INDEX(PP_Grid[#Data],M_BOM[PPGridRow],80),0))+IFERROR(INDEX(M_RawMaterials[固定週次消費量_要入力],MATCH($A59,M_RawMaterials[Part Name],0)),0)</f>
        <v/>
      </c>
      <c r="CC59">
        <f>SUMPRODUCT((M_BOM[Part Name]=$A59)*M_BOM[RM_Qty_Per_Batch]*IFERROR(INDEX(PP_Grid[#Data],M_BOM[PPGridRow],81),0))+IFERROR(INDEX(M_RawMaterials[固定週次消費量_要入力],MATCH($A59,M_RawMaterials[Part Name],0)),0)</f>
        <v/>
      </c>
      <c r="CD59">
        <f>SUMPRODUCT((M_BOM[Part Name]=$A59)*M_BOM[RM_Qty_Per_Batch]*IFERROR(INDEX(PP_Grid[#Data],M_BOM[PPGridRow],82),0))+IFERROR(INDEX(M_RawMaterials[固定週次消費量_要入力],MATCH($A59,M_RawMaterials[Part Name],0)),0)</f>
        <v/>
      </c>
      <c r="CE59">
        <f>SUMPRODUCT((M_BOM[Part Name]=$A59)*M_BOM[RM_Qty_Per_Batch]*IFERROR(INDEX(PP_Grid[#Data],M_BOM[PPGridRow],83),0))+IFERROR(INDEX(M_RawMaterials[固定週次消費量_要入力],MATCH($A59,M_RawMaterials[Part Name],0)),0)</f>
        <v/>
      </c>
      <c r="CF59">
        <f>SUMPRODUCT((M_BOM[Part Name]=$A59)*M_BOM[RM_Qty_Per_Batch]*IFERROR(INDEX(PP_Grid[#Data],M_BOM[PPGridRow],84),0))+IFERROR(INDEX(M_RawMaterials[固定週次消費量_要入力],MATCH($A59,M_RawMaterials[Part Name],0)),0)</f>
        <v/>
      </c>
      <c r="CG59">
        <f>SUMPRODUCT((M_BOM[Part Name]=$A59)*M_BOM[RM_Qty_Per_Batch]*IFERROR(INDEX(PP_Grid[#Data],M_BOM[PPGridRow],85),0))+IFERROR(INDEX(M_RawMaterials[固定週次消費量_要入力],MATCH($A59,M_RawMaterials[Part Name],0)),0)</f>
        <v/>
      </c>
      <c r="CH59">
        <f>SUMPRODUCT((M_BOM[Part Name]=$A59)*M_BOM[RM_Qty_Per_Batch]*IFERROR(INDEX(PP_Grid[#Data],M_BOM[PPGridRow],86),0))+IFERROR(INDEX(M_RawMaterials[固定週次消費量_要入力],MATCH($A59,M_RawMaterials[Part Name],0)),0)</f>
        <v/>
      </c>
      <c r="CI59">
        <f>SUMPRODUCT((M_BOM[Part Name]=$A59)*M_BOM[RM_Qty_Per_Batch]*IFERROR(INDEX(PP_Grid[#Data],M_BOM[PPGridRow],87),0))+IFERROR(INDEX(M_RawMaterials[固定週次消費量_要入力],MATCH($A59,M_RawMaterials[Part Name],0)),0)</f>
        <v/>
      </c>
      <c r="CJ59">
        <f>SUMPRODUCT((M_BOM[Part Name]=$A59)*M_BOM[RM_Qty_Per_Batch]*IFERROR(INDEX(PP_Grid[#Data],M_BOM[PPGridRow],88),0))+IFERROR(INDEX(M_RawMaterials[固定週次消費量_要入力],MATCH($A59,M_RawMaterials[Part Name],0)),0)</f>
        <v/>
      </c>
      <c r="CK59">
        <f>SUMPRODUCT((M_BOM[Part Name]=$A59)*M_BOM[RM_Qty_Per_Batch]*IFERROR(INDEX(PP_Grid[#Data],M_BOM[PPGridRow],89),0))+IFERROR(INDEX(M_RawMaterials[固定週次消費量_要入力],MATCH($A59,M_RawMaterials[Part Name],0)),0)</f>
        <v/>
      </c>
      <c r="CL59">
        <f>SUMPRODUCT((M_BOM[Part Name]=$A59)*M_BOM[RM_Qty_Per_Batch]*IFERROR(INDEX(PP_Grid[#Data],M_BOM[PPGridRow],90),0))+IFERROR(INDEX(M_RawMaterials[固定週次消費量_要入力],MATCH($A59,M_RawMaterials[Part Name],0)),0)</f>
        <v/>
      </c>
      <c r="CM59">
        <f>SUMPRODUCT((M_BOM[Part Name]=$A59)*M_BOM[RM_Qty_Per_Batch]*IFERROR(INDEX(PP_Grid[#Data],M_BOM[PPGridRow],91),0))+IFERROR(INDEX(M_RawMaterials[固定週次消費量_要入力],MATCH($A59,M_RawMaterials[Part Name],0)),0)</f>
        <v/>
      </c>
      <c r="CN59">
        <f>SUMPRODUCT((M_BOM[Part Name]=$A59)*M_BOM[RM_Qty_Per_Batch]*IFERROR(INDEX(PP_Grid[#Data],M_BOM[PPGridRow],92),0))+IFERROR(INDEX(M_RawMaterials[固定週次消費量_要入力],MATCH($A59,M_RawMaterials[Part Name],0)),0)</f>
        <v/>
      </c>
      <c r="CO59">
        <f>SUMPRODUCT((M_BOM[Part Name]=$A59)*M_BOM[RM_Qty_Per_Batch]*IFERROR(INDEX(PP_Grid[#Data],M_BOM[PPGridRow],93),0))+IFERROR(INDEX(M_RawMaterials[固定週次消費量_要入力],MATCH($A59,M_RawMaterials[Part Name],0)),0)</f>
        <v/>
      </c>
      <c r="CP59">
        <f>SUMPRODUCT((M_BOM[Part Name]=$A59)*M_BOM[RM_Qty_Per_Batch]*IFERROR(INDEX(PP_Grid[#Data],M_BOM[PPGridRow],94),0))+IFERROR(INDEX(M_RawMaterials[固定週次消費量_要入力],MATCH($A59,M_RawMaterials[Part Name],0)),0)</f>
        <v/>
      </c>
      <c r="CQ59">
        <f>SUMPRODUCT((M_BOM[Part Name]=$A59)*M_BOM[RM_Qty_Per_Batch]*IFERROR(INDEX(PP_Grid[#Data],M_BOM[PPGridRow],95),0))+IFERROR(INDEX(M_RawMaterials[固定週次消費量_要入力],MATCH($A59,M_RawMaterials[Part Name],0)),0)</f>
        <v/>
      </c>
      <c r="CR59">
        <f>SUMPRODUCT((M_BOM[Part Name]=$A59)*M_BOM[RM_Qty_Per_Batch]*IFERROR(INDEX(PP_Grid[#Data],M_BOM[PPGridRow],96),0))+IFERROR(INDEX(M_RawMaterials[固定週次消費量_要入力],MATCH($A59,M_RawMaterials[Part Name],0)),0)</f>
        <v/>
      </c>
      <c r="CS59">
        <f>SUMPRODUCT((M_BOM[Part Name]=$A59)*M_BOM[RM_Qty_Per_Batch]*IFERROR(INDEX(PP_Grid[#Data],M_BOM[PPGridRow],97),0))+IFERROR(INDEX(M_RawMaterials[固定週次消費量_要入力],MATCH($A59,M_RawMaterials[Part Name],0)),0)</f>
        <v/>
      </c>
      <c r="CT59">
        <f>SUMPRODUCT((M_BOM[Part Name]=$A59)*M_BOM[RM_Qty_Per_Batch]*IFERROR(INDEX(PP_Grid[#Data],M_BOM[PPGridRow],98),0))+IFERROR(INDEX(M_RawMaterials[固定週次消費量_要入力],MATCH($A59,M_RawMaterials[Part Name],0)),0)</f>
        <v/>
      </c>
      <c r="CU59">
        <f>SUMPRODUCT((M_BOM[Part Name]=$A59)*M_BOM[RM_Qty_Per_Batch]*IFERROR(INDEX(PP_Grid[#Data],M_BOM[PPGridRow],99),0))+IFERROR(INDEX(M_RawMaterials[固定週次消費量_要入力],MATCH($A59,M_RawMaterials[Part Name],0)),0)</f>
        <v/>
      </c>
      <c r="CV59">
        <f>SUMPRODUCT((M_BOM[Part Name]=$A59)*M_BOM[RM_Qty_Per_Batch]*IFERROR(INDEX(PP_Grid[#Data],M_BOM[PPGridRow],100),0))+IFERROR(INDEX(M_RawMaterials[固定週次消費量_要入力],MATCH($A59,M_RawMaterials[Part Name],0)),0)</f>
        <v/>
      </c>
      <c r="CW59">
        <f>SUMPRODUCT((M_BOM[Part Name]=$A59)*M_BOM[RM_Qty_Per_Batch]*IFERROR(INDEX(PP_Grid[#Data],M_BOM[PPGridRow],101),0))+IFERROR(INDEX(M_RawMaterials[固定週次消費量_要入力],MATCH($A59,M_RawMaterials[Part Name],0)),0)</f>
        <v/>
      </c>
      <c r="CX59">
        <f>SUMPRODUCT((M_BOM[Part Name]=$A59)*M_BOM[RM_Qty_Per_Batch]*IFERROR(INDEX(PP_Grid[#Data],M_BOM[PPGridRow],102),0))+IFERROR(INDEX(M_RawMaterials[固定週次消費量_要入力],MATCH($A59,M_RawMaterials[Part Name],0)),0)</f>
        <v/>
      </c>
      <c r="CY59">
        <f>SUMPRODUCT((M_BOM[Part Name]=$A59)*M_BOM[RM_Qty_Per_Batch]*IFERROR(INDEX(PP_Grid[#Data],M_BOM[PPGridRow],103),0))+IFERROR(INDEX(M_RawMaterials[固定週次消費量_要入力],MATCH($A59,M_RawMaterials[Part Name],0)),0)</f>
        <v/>
      </c>
      <c r="CZ59">
        <f>SUMPRODUCT((M_BOM[Part Name]=$A59)*M_BOM[RM_Qty_Per_Batch]*IFERROR(INDEX(PP_Grid[#Data],M_BOM[PPGridRow],104),0))+IFERROR(INDEX(M_RawMaterials[固定週次消費量_要入力],MATCH($A59,M_RawMaterials[Part Name],0)),0)</f>
        <v/>
      </c>
      <c r="DA59">
        <f>SUMPRODUCT((M_BOM[Part Name]=$A59)*M_BOM[RM_Qty_Per_Batch]*IFERROR(INDEX(PP_Grid[#Data],M_BOM[PPGridRow],105),0))+IFERROR(INDEX(M_RawMaterials[固定週次消費量_要入力],MATCH($A59,M_RawMaterials[Part Name],0)),0)</f>
        <v/>
      </c>
    </row>
    <row r="60">
      <c r="A60" t="inlineStr">
        <is>
          <t>CHEM-1690</t>
        </is>
      </c>
      <c r="B60">
        <f>SUMPRODUCT((M_BOM[Part Name]=$A60)*M_BOM[RM_Qty_Per_Batch]*IFERROR(INDEX(PP_Grid[#Data],M_BOM[PPGridRow],2),0))+IFERROR(INDEX(M_RawMaterials[固定週次消費量_要入力],MATCH($A60,M_RawMaterials[Part Name],0)),0)</f>
        <v/>
      </c>
      <c r="C60">
        <f>SUMPRODUCT((M_BOM[Part Name]=$A60)*M_BOM[RM_Qty_Per_Batch]*IFERROR(INDEX(PP_Grid[#Data],M_BOM[PPGridRow],3),0))+IFERROR(INDEX(M_RawMaterials[固定週次消費量_要入力],MATCH($A60,M_RawMaterials[Part Name],0)),0)</f>
        <v/>
      </c>
      <c r="D60">
        <f>SUMPRODUCT((M_BOM[Part Name]=$A60)*M_BOM[RM_Qty_Per_Batch]*IFERROR(INDEX(PP_Grid[#Data],M_BOM[PPGridRow],4),0))+IFERROR(INDEX(M_RawMaterials[固定週次消費量_要入力],MATCH($A60,M_RawMaterials[Part Name],0)),0)</f>
        <v/>
      </c>
      <c r="E60">
        <f>SUMPRODUCT((M_BOM[Part Name]=$A60)*M_BOM[RM_Qty_Per_Batch]*IFERROR(INDEX(PP_Grid[#Data],M_BOM[PPGridRow],5),0))+IFERROR(INDEX(M_RawMaterials[固定週次消費量_要入力],MATCH($A60,M_RawMaterials[Part Name],0)),0)</f>
        <v/>
      </c>
      <c r="F60">
        <f>SUMPRODUCT((M_BOM[Part Name]=$A60)*M_BOM[RM_Qty_Per_Batch]*IFERROR(INDEX(PP_Grid[#Data],M_BOM[PPGridRow],6),0))+IFERROR(INDEX(M_RawMaterials[固定週次消費量_要入力],MATCH($A60,M_RawMaterials[Part Name],0)),0)</f>
        <v/>
      </c>
      <c r="G60">
        <f>SUMPRODUCT((M_BOM[Part Name]=$A60)*M_BOM[RM_Qty_Per_Batch]*IFERROR(INDEX(PP_Grid[#Data],M_BOM[PPGridRow],7),0))+IFERROR(INDEX(M_RawMaterials[固定週次消費量_要入力],MATCH($A60,M_RawMaterials[Part Name],0)),0)</f>
        <v/>
      </c>
      <c r="H60">
        <f>SUMPRODUCT((M_BOM[Part Name]=$A60)*M_BOM[RM_Qty_Per_Batch]*IFERROR(INDEX(PP_Grid[#Data],M_BOM[PPGridRow],8),0))+IFERROR(INDEX(M_RawMaterials[固定週次消費量_要入力],MATCH($A60,M_RawMaterials[Part Name],0)),0)</f>
        <v/>
      </c>
      <c r="I60">
        <f>SUMPRODUCT((M_BOM[Part Name]=$A60)*M_BOM[RM_Qty_Per_Batch]*IFERROR(INDEX(PP_Grid[#Data],M_BOM[PPGridRow],9),0))+IFERROR(INDEX(M_RawMaterials[固定週次消費量_要入力],MATCH($A60,M_RawMaterials[Part Name],0)),0)</f>
        <v/>
      </c>
      <c r="J60">
        <f>SUMPRODUCT((M_BOM[Part Name]=$A60)*M_BOM[RM_Qty_Per_Batch]*IFERROR(INDEX(PP_Grid[#Data],M_BOM[PPGridRow],10),0))+IFERROR(INDEX(M_RawMaterials[固定週次消費量_要入力],MATCH($A60,M_RawMaterials[Part Name],0)),0)</f>
        <v/>
      </c>
      <c r="K60">
        <f>SUMPRODUCT((M_BOM[Part Name]=$A60)*M_BOM[RM_Qty_Per_Batch]*IFERROR(INDEX(PP_Grid[#Data],M_BOM[PPGridRow],11),0))+IFERROR(INDEX(M_RawMaterials[固定週次消費量_要入力],MATCH($A60,M_RawMaterials[Part Name],0)),0)</f>
        <v/>
      </c>
      <c r="L60">
        <f>SUMPRODUCT((M_BOM[Part Name]=$A60)*M_BOM[RM_Qty_Per_Batch]*IFERROR(INDEX(PP_Grid[#Data],M_BOM[PPGridRow],12),0))+IFERROR(INDEX(M_RawMaterials[固定週次消費量_要入力],MATCH($A60,M_RawMaterials[Part Name],0)),0)</f>
        <v/>
      </c>
      <c r="M60">
        <f>SUMPRODUCT((M_BOM[Part Name]=$A60)*M_BOM[RM_Qty_Per_Batch]*IFERROR(INDEX(PP_Grid[#Data],M_BOM[PPGridRow],13),0))+IFERROR(INDEX(M_RawMaterials[固定週次消費量_要入力],MATCH($A60,M_RawMaterials[Part Name],0)),0)</f>
        <v/>
      </c>
      <c r="N60">
        <f>SUMPRODUCT((M_BOM[Part Name]=$A60)*M_BOM[RM_Qty_Per_Batch]*IFERROR(INDEX(PP_Grid[#Data],M_BOM[PPGridRow],14),0))+IFERROR(INDEX(M_RawMaterials[固定週次消費量_要入力],MATCH($A60,M_RawMaterials[Part Name],0)),0)</f>
        <v/>
      </c>
      <c r="O60">
        <f>SUMPRODUCT((M_BOM[Part Name]=$A60)*M_BOM[RM_Qty_Per_Batch]*IFERROR(INDEX(PP_Grid[#Data],M_BOM[PPGridRow],15),0))+IFERROR(INDEX(M_RawMaterials[固定週次消費量_要入力],MATCH($A60,M_RawMaterials[Part Name],0)),0)</f>
        <v/>
      </c>
      <c r="P60">
        <f>SUMPRODUCT((M_BOM[Part Name]=$A60)*M_BOM[RM_Qty_Per_Batch]*IFERROR(INDEX(PP_Grid[#Data],M_BOM[PPGridRow],16),0))+IFERROR(INDEX(M_RawMaterials[固定週次消費量_要入力],MATCH($A60,M_RawMaterials[Part Name],0)),0)</f>
        <v/>
      </c>
      <c r="Q60">
        <f>SUMPRODUCT((M_BOM[Part Name]=$A60)*M_BOM[RM_Qty_Per_Batch]*IFERROR(INDEX(PP_Grid[#Data],M_BOM[PPGridRow],17),0))+IFERROR(INDEX(M_RawMaterials[固定週次消費量_要入力],MATCH($A60,M_RawMaterials[Part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Name]=$A60)*M_BOM[RM_Qty_Per_Batch]*IFERROR(INDEX(PP_Grid[#Data],M_BOM[PPGridRow],18),0))+IFERROR(INDEX(M_RawMaterials[固定週次消費量_要入力],MATCH($A60,M_RawMaterials[Part Name],0)),0)</f>
        <v/>
      </c>
      <c r="S60">
        <f>SUMPRODUCT((M_BOM[Part Name]=$A60)*M_BOM[RM_Qty_Per_Batch]*IFERROR(INDEX(PP_Grid[#Data],M_BOM[PPGridRow],19),0))+IFERROR(INDEX(M_RawMaterials[固定週次消費量_要入力],MATCH($A60,M_RawMaterials[Part Name],0)),0)</f>
        <v/>
      </c>
      <c r="T60">
        <f>SUMPRODUCT((M_BOM[Part Name]=$A60)*M_BOM[RM_Qty_Per_Batch]*IFERROR(INDEX(PP_Grid[#Data],M_BOM[PPGridRow],20),0))+IFERROR(INDEX(M_RawMaterials[固定週次消費量_要入力],MATCH($A60,M_RawMaterials[Part Name],0)),0)</f>
        <v/>
      </c>
      <c r="U60">
        <f>SUMPRODUCT((M_BOM[Part Name]=$A60)*M_BOM[RM_Qty_Per_Batch]*IFERROR(INDEX(PP_Grid[#Data],M_BOM[PPGridRow],21),0))+IFERROR(INDEX(M_RawMaterials[固定週次消費量_要入力],MATCH($A60,M_RawMaterials[Part Name],0)),0)</f>
        <v/>
      </c>
      <c r="V60">
        <f>SUMPRODUCT((M_BOM[Part Name]=$A60)*M_BOM[RM_Qty_Per_Batch]*IFERROR(INDEX(PP_Grid[#Data],M_BOM[PPGridRow],22),0))+IFERROR(INDEX(M_RawMaterials[固定週次消費量_要入力],MATCH($A60,M_RawMaterials[Part Name],0)),0)</f>
        <v/>
      </c>
      <c r="W60">
        <f>SUMPRODUCT((M_BOM[Part Name]=$A60)*M_BOM[RM_Qty_Per_Batch]*IFERROR(INDEX(PP_Grid[#Data],M_BOM[PPGridRow],23),0))+IFERROR(INDEX(M_RawMaterials[固定週次消費量_要入力],MATCH($A60,M_RawMaterials[Part Name],0)),0)</f>
        <v/>
      </c>
      <c r="X60">
        <f>SUMPRODUCT((M_BOM[Part Name]=$A60)*M_BOM[RM_Qty_Per_Batch]*IFERROR(INDEX(PP_Grid[#Data],M_BOM[PPGridRow],24),0))+IFERROR(INDEX(M_RawMaterials[固定週次消費量_要入力],MATCH($A60,M_RawMaterials[Part Name],0)),0)</f>
        <v/>
      </c>
      <c r="Y60">
        <f>SUMPRODUCT((M_BOM[Part Name]=$A60)*M_BOM[RM_Qty_Per_Batch]*IFERROR(INDEX(PP_Grid[#Data],M_BOM[PPGridRow],25),0))+IFERROR(INDEX(M_RawMaterials[固定週次消費量_要入力],MATCH($A60,M_RawMaterials[Part Name],0)),0)</f>
        <v/>
      </c>
      <c r="Z60">
        <f>SUMPRODUCT((M_BOM[Part Name]=$A60)*M_BOM[RM_Qty_Per_Batch]*IFERROR(INDEX(PP_Grid[#Data],M_BOM[PPGridRow],26),0))+IFERROR(INDEX(M_RawMaterials[固定週次消費量_要入力],MATCH($A60,M_RawMaterials[Part Name],0)),0)</f>
        <v/>
      </c>
      <c r="AA60">
        <f>SUMPRODUCT((M_BOM[Part Name]=$A60)*M_BOM[RM_Qty_Per_Batch]*IFERROR(INDEX(PP_Grid[#Data],M_BOM[PPGridRow],27),0))+IFERROR(INDEX(M_RawMaterials[固定週次消費量_要入力],MATCH($A60,M_RawMaterials[Part Name],0)),0)</f>
        <v/>
      </c>
      <c r="AB60">
        <f>SUMPRODUCT((M_BOM[Part Name]=$A60)*M_BOM[RM_Qty_Per_Batch]*IFERROR(INDEX(PP_Grid[#Data],M_BOM[PPGridRow],28),0))+IFERROR(INDEX(M_RawMaterials[固定週次消費量_要入力],MATCH($A60,M_RawMaterials[Part Name],0)),0)</f>
        <v/>
      </c>
      <c r="AC60">
        <f>SUMPRODUCT((M_BOM[Part Name]=$A60)*M_BOM[RM_Qty_Per_Batch]*IFERROR(INDEX(PP_Grid[#Data],M_BOM[PPGridRow],29),0))+IFERROR(INDEX(M_RawMaterials[固定週次消費量_要入力],MATCH($A60,M_RawMaterials[Part Name],0)),0)</f>
        <v/>
      </c>
      <c r="AD60">
        <f>SUMPRODUCT((M_BOM[Part Name]=$A60)*M_BOM[RM_Qty_Per_Batch]*IFERROR(INDEX(PP_Grid[#Data],M_BOM[PPGridRow],30),0))+IFERROR(INDEX(M_RawMaterials[固定週次消費量_要入力],MATCH($A60,M_RawMaterials[Part Name],0)),0)</f>
        <v/>
      </c>
      <c r="AE60">
        <f>SUMPRODUCT((M_BOM[Part Name]=$A60)*M_BOM[RM_Qty_Per_Batch]*IFERROR(INDEX(PP_Grid[#Data],M_BOM[PPGridRow],31),0))+IFERROR(INDEX(M_RawMaterials[固定週次消費量_要入力],MATCH($A60,M_RawMaterials[Part Name],0)),0)</f>
        <v/>
      </c>
      <c r="AF60">
        <f>SUMPRODUCT((M_BOM[Part Name]=$A60)*M_BOM[RM_Qty_Per_Batch]*IFERROR(INDEX(PP_Grid[#Data],M_BOM[PPGridRow],32),0))+IFERROR(INDEX(M_RawMaterials[固定週次消費量_要入力],MATCH($A60,M_RawMaterials[Part Name],0)),0)</f>
        <v/>
      </c>
      <c r="AG60">
        <f>SUMPRODUCT((M_BOM[Part Name]=$A60)*M_BOM[RM_Qty_Per_Batch]*IFERROR(INDEX(PP_Grid[#Data],M_BOM[PPGridRow],33),0))+IFERROR(INDEX(M_RawMaterials[固定週次消費量_要入力],MATCH($A60,M_RawMaterials[Part Name],0)),0)</f>
        <v/>
      </c>
      <c r="AH60">
        <f>SUMPRODUCT((M_BOM[Part Name]=$A60)*M_BOM[RM_Qty_Per_Batch]*IFERROR(INDEX(PP_Grid[#Data],M_BOM[PPGridRow],34),0))+IFERROR(INDEX(M_RawMaterials[固定週次消費量_要入力],MATCH($A60,M_RawMaterials[Part Name],0)),0)</f>
        <v/>
      </c>
      <c r="AI60">
        <f>SUMPRODUCT((M_BOM[Part Name]=$A60)*M_BOM[RM_Qty_Per_Batch]*IFERROR(INDEX(PP_Grid[#Data],M_BOM[PPGridRow],35),0))+IFERROR(INDEX(M_RawMaterials[固定週次消費量_要入力],MATCH($A60,M_RawMaterials[Part Name],0)),0)</f>
        <v/>
      </c>
      <c r="AJ60">
        <f>SUMPRODUCT((M_BOM[Part Name]=$A60)*M_BOM[RM_Qty_Per_Batch]*IFERROR(INDEX(PP_Grid[#Data],M_BOM[PPGridRow],36),0))+IFERROR(INDEX(M_RawMaterials[固定週次消費量_要入力],MATCH($A60,M_RawMaterials[Part Name],0)),0)</f>
        <v/>
      </c>
      <c r="AK60">
        <f>SUMPRODUCT((M_BOM[Part Name]=$A60)*M_BOM[RM_Qty_Per_Batch]*IFERROR(INDEX(PP_Grid[#Data],M_BOM[PPGridRow],37),0))+IFERROR(INDEX(M_RawMaterials[固定週次消費量_要入力],MATCH($A60,M_RawMaterials[Part Name],0)),0)</f>
        <v/>
      </c>
      <c r="AL60">
        <f>SUMPRODUCT((M_BOM[Part Name]=$A60)*M_BOM[RM_Qty_Per_Batch]*IFERROR(INDEX(PP_Grid[#Data],M_BOM[PPGridRow],38),0))+IFERROR(INDEX(M_RawMaterials[固定週次消費量_要入力],MATCH($A60,M_RawMaterials[Part Name],0)),0)</f>
        <v/>
      </c>
      <c r="AM60">
        <f>SUMPRODUCT((M_BOM[Part Name]=$A60)*M_BOM[RM_Qty_Per_Batch]*IFERROR(INDEX(PP_Grid[#Data],M_BOM[PPGridRow],39),0))+IFERROR(INDEX(M_RawMaterials[固定週次消費量_要入力],MATCH($A60,M_RawMaterials[Part Name],0)),0)</f>
        <v/>
      </c>
      <c r="AN60">
        <f>SUMPRODUCT((M_BOM[Part Name]=$A60)*M_BOM[RM_Qty_Per_Batch]*IFERROR(INDEX(PP_Grid[#Data],M_BOM[PPGridRow],40),0))+IFERROR(INDEX(M_RawMaterials[固定週次消費量_要入力],MATCH($A60,M_RawMaterials[Part Name],0)),0)</f>
        <v/>
      </c>
      <c r="AO60">
        <f>SUMPRODUCT((M_BOM[Part Name]=$A60)*M_BOM[RM_Qty_Per_Batch]*IFERROR(INDEX(PP_Grid[#Data],M_BOM[PPGridRow],41),0))+IFERROR(INDEX(M_RawMaterials[固定週次消費量_要入力],MATCH($A60,M_RawMaterials[Part Name],0)),0)</f>
        <v/>
      </c>
      <c r="AP60">
        <f>SUMPRODUCT((M_BOM[Part Name]=$A60)*M_BOM[RM_Qty_Per_Batch]*IFERROR(INDEX(PP_Grid[#Data],M_BOM[PPGridRow],42),0))+IFERROR(INDEX(M_RawMaterials[固定週次消費量_要入力],MATCH($A60,M_RawMaterials[Part Name],0)),0)</f>
        <v/>
      </c>
      <c r="AQ60">
        <f>SUMPRODUCT((M_BOM[Part Name]=$A60)*M_BOM[RM_Qty_Per_Batch]*IFERROR(INDEX(PP_Grid[#Data],M_BOM[PPGridRow],43),0))+IFERROR(INDEX(M_RawMaterials[固定週次消費量_要入力],MATCH($A60,M_RawMaterials[Part Name],0)),0)</f>
        <v/>
      </c>
      <c r="AR60">
        <f>SUMPRODUCT((M_BOM[Part Name]=$A60)*M_BOM[RM_Qty_Per_Batch]*IFERROR(INDEX(PP_Grid[#Data],M_BOM[PPGridRow],44),0))+IFERROR(INDEX(M_RawMaterials[固定週次消費量_要入力],MATCH($A60,M_RawMaterials[Part Name],0)),0)</f>
        <v/>
      </c>
      <c r="AS60">
        <f>SUMPRODUCT((M_BOM[Part Name]=$A60)*M_BOM[RM_Qty_Per_Batch]*IFERROR(INDEX(PP_Grid[#Data],M_BOM[PPGridRow],45),0))+IFERROR(INDEX(M_RawMaterials[固定週次消費量_要入力],MATCH($A60,M_RawMaterials[Part Name],0)),0)</f>
        <v/>
      </c>
      <c r="AT60">
        <f>SUMPRODUCT((M_BOM[Part Name]=$A60)*M_BOM[RM_Qty_Per_Batch]*IFERROR(INDEX(PP_Grid[#Data],M_BOM[PPGridRow],46),0))+IFERROR(INDEX(M_RawMaterials[固定週次消費量_要入力],MATCH($A60,M_RawMaterials[Part Name],0)),0)</f>
        <v/>
      </c>
      <c r="AU60">
        <f>SUMPRODUCT((M_BOM[Part Name]=$A60)*M_BOM[RM_Qty_Per_Batch]*IFERROR(INDEX(PP_Grid[#Data],M_BOM[PPGridRow],47),0))+IFERROR(INDEX(M_RawMaterials[固定週次消費量_要入力],MATCH($A60,M_RawMaterials[Part Name],0)),0)</f>
        <v/>
      </c>
      <c r="AV60">
        <f>SUMPRODUCT((M_BOM[Part Name]=$A60)*M_BOM[RM_Qty_Per_Batch]*IFERROR(INDEX(PP_Grid[#Data],M_BOM[PPGridRow],48),0))+IFERROR(INDEX(M_RawMaterials[固定週次消費量_要入力],MATCH($A60,M_RawMaterials[Part Name],0)),0)</f>
        <v/>
      </c>
      <c r="AW60">
        <f>SUMPRODUCT((M_BOM[Part Name]=$A60)*M_BOM[RM_Qty_Per_Batch]*IFERROR(INDEX(PP_Grid[#Data],M_BOM[PPGridRow],49),0))+IFERROR(INDEX(M_RawMaterials[固定週次消費量_要入力],MATCH($A60,M_RawMaterials[Part Name],0)),0)</f>
        <v/>
      </c>
      <c r="AX60">
        <f>SUMPRODUCT((M_BOM[Part Name]=$A60)*M_BOM[RM_Qty_Per_Batch]*IFERROR(INDEX(PP_Grid[#Data],M_BOM[PPGridRow],50),0))+IFERROR(INDEX(M_RawMaterials[固定週次消費量_要入力],MATCH($A60,M_RawMaterials[Part Name],0)),0)</f>
        <v/>
      </c>
      <c r="AY60">
        <f>SUMPRODUCT((M_BOM[Part Name]=$A60)*M_BOM[RM_Qty_Per_Batch]*IFERROR(INDEX(PP_Grid[#Data],M_BOM[PPGridRow],51),0))+IFERROR(INDEX(M_RawMaterials[固定週次消費量_要入力],MATCH($A60,M_RawMaterials[Part Name],0)),0)</f>
        <v/>
      </c>
      <c r="AZ60">
        <f>SUMPRODUCT((M_BOM[Part Name]=$A60)*M_BOM[RM_Qty_Per_Batch]*IFERROR(INDEX(PP_Grid[#Data],M_BOM[PPGridRow],52),0))+IFERROR(INDEX(M_RawMaterials[固定週次消費量_要入力],MATCH($A60,M_RawMaterials[Part Name],0)),0)</f>
        <v/>
      </c>
      <c r="BA60">
        <f>SUMPRODUCT((M_BOM[Part Name]=$A60)*M_BOM[RM_Qty_Per_Batch]*IFERROR(INDEX(PP_Grid[#Data],M_BOM[PPGridRow],53),0))+IFERROR(INDEX(M_RawMaterials[固定週次消費量_要入力],MATCH($A60,M_RawMaterials[Part Name],0)),0)</f>
        <v/>
      </c>
      <c r="BB60">
        <f>SUMPRODUCT((M_BOM[Part Name]=$A60)*M_BOM[RM_Qty_Per_Batch]*IFERROR(INDEX(PP_Grid[#Data],M_BOM[PPGridRow],54),0))+IFERROR(INDEX(M_RawMaterials[固定週次消費量_要入力],MATCH($A60,M_RawMaterials[Part Name],0)),0)</f>
        <v/>
      </c>
      <c r="BC60">
        <f>SUMPRODUCT((M_BOM[Part Name]=$A60)*M_BOM[RM_Qty_Per_Batch]*IFERROR(INDEX(PP_Grid[#Data],M_BOM[PPGridRow],55),0))+IFERROR(INDEX(M_RawMaterials[固定週次消費量_要入力],MATCH($A60,M_RawMaterials[Part Name],0)),0)</f>
        <v/>
      </c>
      <c r="BD60">
        <f>SUMPRODUCT((M_BOM[Part Name]=$A60)*M_BOM[RM_Qty_Per_Batch]*IFERROR(INDEX(PP_Grid[#Data],M_BOM[PPGridRow],56),0))+IFERROR(INDEX(M_RawMaterials[固定週次消費量_要入力],MATCH($A60,M_RawMaterials[Part Name],0)),0)</f>
        <v/>
      </c>
      <c r="BE60">
        <f>SUMPRODUCT((M_BOM[Part Name]=$A60)*M_BOM[RM_Qty_Per_Batch]*IFERROR(INDEX(PP_Grid[#Data],M_BOM[PPGridRow],57),0))+IFERROR(INDEX(M_RawMaterials[固定週次消費量_要入力],MATCH($A60,M_RawMaterials[Part Name],0)),0)</f>
        <v/>
      </c>
      <c r="BF60">
        <f>SUMPRODUCT((M_BOM[Part Name]=$A60)*M_BOM[RM_Qty_Per_Batch]*IFERROR(INDEX(PP_Grid[#Data],M_BOM[PPGridRow],58),0))+IFERROR(INDEX(M_RawMaterials[固定週次消費量_要入力],MATCH($A60,M_RawMaterials[Part Name],0)),0)</f>
        <v/>
      </c>
      <c r="BG60">
        <f>SUMPRODUCT((M_BOM[Part Name]=$A60)*M_BOM[RM_Qty_Per_Batch]*IFERROR(INDEX(PP_Grid[#Data],M_BOM[PPGridRow],59),0))+IFERROR(INDEX(M_RawMaterials[固定週次消費量_要入力],MATCH($A60,M_RawMaterials[Part Name],0)),0)</f>
        <v/>
      </c>
      <c r="BH60">
        <f>SUMPRODUCT((M_BOM[Part Name]=$A60)*M_BOM[RM_Qty_Per_Batch]*IFERROR(INDEX(PP_Grid[#Data],M_BOM[PPGridRow],60),0))+IFERROR(INDEX(M_RawMaterials[固定週次消費量_要入力],MATCH($A60,M_RawMaterials[Part Name],0)),0)</f>
        <v/>
      </c>
      <c r="BI60">
        <f>SUMPRODUCT((M_BOM[Part Name]=$A60)*M_BOM[RM_Qty_Per_Batch]*IFERROR(INDEX(PP_Grid[#Data],M_BOM[PPGridRow],61),0))+IFERROR(INDEX(M_RawMaterials[固定週次消費量_要入力],MATCH($A60,M_RawMaterials[Part Name],0)),0)</f>
        <v/>
      </c>
      <c r="BJ60">
        <f>SUMPRODUCT((M_BOM[Part Name]=$A60)*M_BOM[RM_Qty_Per_Batch]*IFERROR(INDEX(PP_Grid[#Data],M_BOM[PPGridRow],62),0))+IFERROR(INDEX(M_RawMaterials[固定週次消費量_要入力],MATCH($A60,M_RawMaterials[Part Name],0)),0)</f>
        <v/>
      </c>
      <c r="BK60">
        <f>SUMPRODUCT((M_BOM[Part Name]=$A60)*M_BOM[RM_Qty_Per_Batch]*IFERROR(INDEX(PP_Grid[#Data],M_BOM[PPGridRow],63),0))+IFERROR(INDEX(M_RawMaterials[固定週次消費量_要入力],MATCH($A60,M_RawMaterials[Part Name],0)),0)</f>
        <v/>
      </c>
      <c r="BL60">
        <f>SUMPRODUCT((M_BOM[Part Name]=$A60)*M_BOM[RM_Qty_Per_Batch]*IFERROR(INDEX(PP_Grid[#Data],M_BOM[PPGridRow],64),0))+IFERROR(INDEX(M_RawMaterials[固定週次消費量_要入力],MATCH($A60,M_RawMaterials[Part Name],0)),0)</f>
        <v/>
      </c>
      <c r="BM60">
        <f>SUMPRODUCT((M_BOM[Part Name]=$A60)*M_BOM[RM_Qty_Per_Batch]*IFERROR(INDEX(PP_Grid[#Data],M_BOM[PPGridRow],65),0))+IFERROR(INDEX(M_RawMaterials[固定週次消費量_要入力],MATCH($A60,M_RawMaterials[Part Name],0)),0)</f>
        <v/>
      </c>
      <c r="BN60">
        <f>SUMPRODUCT((M_BOM[Part Name]=$A60)*M_BOM[RM_Qty_Per_Batch]*IFERROR(INDEX(PP_Grid[#Data],M_BOM[PPGridRow],66),0))+IFERROR(INDEX(M_RawMaterials[固定週次消費量_要入力],MATCH($A60,M_RawMaterials[Part Name],0)),0)</f>
        <v/>
      </c>
      <c r="BO60">
        <f>SUMPRODUCT((M_BOM[Part Name]=$A60)*M_BOM[RM_Qty_Per_Batch]*IFERROR(INDEX(PP_Grid[#Data],M_BOM[PPGridRow],67),0))+IFERROR(INDEX(M_RawMaterials[固定週次消費量_要入力],MATCH($A60,M_RawMaterials[Part Name],0)),0)</f>
        <v/>
      </c>
      <c r="BP60">
        <f>SUMPRODUCT((M_BOM[Part Name]=$A60)*M_BOM[RM_Qty_Per_Batch]*IFERROR(INDEX(PP_Grid[#Data],M_BOM[PPGridRow],68),0))+IFERROR(INDEX(M_RawMaterials[固定週次消費量_要入力],MATCH($A60,M_RawMaterials[Part Name],0)),0)</f>
        <v/>
      </c>
      <c r="BQ60">
        <f>SUMPRODUCT((M_BOM[Part Name]=$A60)*M_BOM[RM_Qty_Per_Batch]*IFERROR(INDEX(PP_Grid[#Data],M_BOM[PPGridRow],69),0))+IFERROR(INDEX(M_RawMaterials[固定週次消費量_要入力],MATCH($A60,M_RawMaterials[Part Name],0)),0)</f>
        <v/>
      </c>
      <c r="BR60">
        <f>SUMPRODUCT((M_BOM[Part Name]=$A60)*M_BOM[RM_Qty_Per_Batch]*IFERROR(INDEX(PP_Grid[#Data],M_BOM[PPGridRow],70),0))+IFERROR(INDEX(M_RawMaterials[固定週次消費量_要入力],MATCH($A60,M_RawMaterials[Part Name],0)),0)</f>
        <v/>
      </c>
      <c r="BS60">
        <f>SUMPRODUCT((M_BOM[Part Name]=$A60)*M_BOM[RM_Qty_Per_Batch]*IFERROR(INDEX(PP_Grid[#Data],M_BOM[PPGridRow],71),0))+IFERROR(INDEX(M_RawMaterials[固定週次消費量_要入力],MATCH($A60,M_RawMaterials[Part Name],0)),0)</f>
        <v/>
      </c>
      <c r="BT60">
        <f>SUMPRODUCT((M_BOM[Part Name]=$A60)*M_BOM[RM_Qty_Per_Batch]*IFERROR(INDEX(PP_Grid[#Data],M_BOM[PPGridRow],72),0))+IFERROR(INDEX(M_RawMaterials[固定週次消費量_要入力],MATCH($A60,M_RawMaterials[Part Name],0)),0)</f>
        <v/>
      </c>
      <c r="BU60">
        <f>SUMPRODUCT((M_BOM[Part Name]=$A60)*M_BOM[RM_Qty_Per_Batch]*IFERROR(INDEX(PP_Grid[#Data],M_BOM[PPGridRow],73),0))+IFERROR(INDEX(M_RawMaterials[固定週次消費量_要入力],MATCH($A60,M_RawMaterials[Part Name],0)),0)</f>
        <v/>
      </c>
      <c r="BV60">
        <f>SUMPRODUCT((M_BOM[Part Name]=$A60)*M_BOM[RM_Qty_Per_Batch]*IFERROR(INDEX(PP_Grid[#Data],M_BOM[PPGridRow],74),0))+IFERROR(INDEX(M_RawMaterials[固定週次消費量_要入力],MATCH($A60,M_RawMaterials[Part Name],0)),0)</f>
        <v/>
      </c>
      <c r="BW60">
        <f>SUMPRODUCT((M_BOM[Part Name]=$A60)*M_BOM[RM_Qty_Per_Batch]*IFERROR(INDEX(PP_Grid[#Data],M_BOM[PPGridRow],75),0))+IFERROR(INDEX(M_RawMaterials[固定週次消費量_要入力],MATCH($A60,M_RawMaterials[Part Name],0)),0)</f>
        <v/>
      </c>
      <c r="BX60">
        <f>SUMPRODUCT((M_BOM[Part Name]=$A60)*M_BOM[RM_Qty_Per_Batch]*IFERROR(INDEX(PP_Grid[#Data],M_BOM[PPGridRow],76),0))+IFERROR(INDEX(M_RawMaterials[固定週次消費量_要入力],MATCH($A60,M_RawMaterials[Part Name],0)),0)</f>
        <v/>
      </c>
      <c r="BY60">
        <f>SUMPRODUCT((M_BOM[Part Name]=$A60)*M_BOM[RM_Qty_Per_Batch]*IFERROR(INDEX(PP_Grid[#Data],M_BOM[PPGridRow],77),0))+IFERROR(INDEX(M_RawMaterials[固定週次消費量_要入力],MATCH($A60,M_RawMaterials[Part Name],0)),0)</f>
        <v/>
      </c>
      <c r="BZ60">
        <f>SUMPRODUCT((M_BOM[Part Name]=$A60)*M_BOM[RM_Qty_Per_Batch]*IFERROR(INDEX(PP_Grid[#Data],M_BOM[PPGridRow],78),0))+IFERROR(INDEX(M_RawMaterials[固定週次消費量_要入力],MATCH($A60,M_RawMaterials[Part Name],0)),0)</f>
        <v/>
      </c>
      <c r="CA60">
        <f>SUMPRODUCT((M_BOM[Part Name]=$A60)*M_BOM[RM_Qty_Per_Batch]*IFERROR(INDEX(PP_Grid[#Data],M_BOM[PPGridRow],79),0))+IFERROR(INDEX(M_RawMaterials[固定週次消費量_要入力],MATCH($A60,M_RawMaterials[Part Name],0)),0)</f>
        <v/>
      </c>
      <c r="CB60">
        <f>SUMPRODUCT((M_BOM[Part Name]=$A60)*M_BOM[RM_Qty_Per_Batch]*IFERROR(INDEX(PP_Grid[#Data],M_BOM[PPGridRow],80),0))+IFERROR(INDEX(M_RawMaterials[固定週次消費量_要入力],MATCH($A60,M_RawMaterials[Part Name],0)),0)</f>
        <v/>
      </c>
      <c r="CC60">
        <f>SUMPRODUCT((M_BOM[Part Name]=$A60)*M_BOM[RM_Qty_Per_Batch]*IFERROR(INDEX(PP_Grid[#Data],M_BOM[PPGridRow],81),0))+IFERROR(INDEX(M_RawMaterials[固定週次消費量_要入力],MATCH($A60,M_RawMaterials[Part Name],0)),0)</f>
        <v/>
      </c>
      <c r="CD60">
        <f>SUMPRODUCT((M_BOM[Part Name]=$A60)*M_BOM[RM_Qty_Per_Batch]*IFERROR(INDEX(PP_Grid[#Data],M_BOM[PPGridRow],82),0))+IFERROR(INDEX(M_RawMaterials[固定週次消費量_要入力],MATCH($A60,M_RawMaterials[Part Name],0)),0)</f>
        <v/>
      </c>
      <c r="CE60">
        <f>SUMPRODUCT((M_BOM[Part Name]=$A60)*M_BOM[RM_Qty_Per_Batch]*IFERROR(INDEX(PP_Grid[#Data],M_BOM[PPGridRow],83),0))+IFERROR(INDEX(M_RawMaterials[固定週次消費量_要入力],MATCH($A60,M_RawMaterials[Part Name],0)),0)</f>
        <v/>
      </c>
      <c r="CF60">
        <f>SUMPRODUCT((M_BOM[Part Name]=$A60)*M_BOM[RM_Qty_Per_Batch]*IFERROR(INDEX(PP_Grid[#Data],M_BOM[PPGridRow],84),0))+IFERROR(INDEX(M_RawMaterials[固定週次消費量_要入力],MATCH($A60,M_RawMaterials[Part Name],0)),0)</f>
        <v/>
      </c>
      <c r="CG60">
        <f>SUMPRODUCT((M_BOM[Part Name]=$A60)*M_BOM[RM_Qty_Per_Batch]*IFERROR(INDEX(PP_Grid[#Data],M_BOM[PPGridRow],85),0))+IFERROR(INDEX(M_RawMaterials[固定週次消費量_要入力],MATCH($A60,M_RawMaterials[Part Name],0)),0)</f>
        <v/>
      </c>
      <c r="CH60">
        <f>SUMPRODUCT((M_BOM[Part Name]=$A60)*M_BOM[RM_Qty_Per_Batch]*IFERROR(INDEX(PP_Grid[#Data],M_BOM[PPGridRow],86),0))+IFERROR(INDEX(M_RawMaterials[固定週次消費量_要入力],MATCH($A60,M_RawMaterials[Part Name],0)),0)</f>
        <v/>
      </c>
      <c r="CI60">
        <f>SUMPRODUCT((M_BOM[Part Name]=$A60)*M_BOM[RM_Qty_Per_Batch]*IFERROR(INDEX(PP_Grid[#Data],M_BOM[PPGridRow],87),0))+IFERROR(INDEX(M_RawMaterials[固定週次消費量_要入力],MATCH($A60,M_RawMaterials[Part Name],0)),0)</f>
        <v/>
      </c>
      <c r="CJ60">
        <f>SUMPRODUCT((M_BOM[Part Name]=$A60)*M_BOM[RM_Qty_Per_Batch]*IFERROR(INDEX(PP_Grid[#Data],M_BOM[PPGridRow],88),0))+IFERROR(INDEX(M_RawMaterials[固定週次消費量_要入力],MATCH($A60,M_RawMaterials[Part Name],0)),0)</f>
        <v/>
      </c>
      <c r="CK60">
        <f>SUMPRODUCT((M_BOM[Part Name]=$A60)*M_BOM[RM_Qty_Per_Batch]*IFERROR(INDEX(PP_Grid[#Data],M_BOM[PPGridRow],89),0))+IFERROR(INDEX(M_RawMaterials[固定週次消費量_要入力],MATCH($A60,M_RawMaterials[Part Name],0)),0)</f>
        <v/>
      </c>
      <c r="CL60">
        <f>SUMPRODUCT((M_BOM[Part Name]=$A60)*M_BOM[RM_Qty_Per_Batch]*IFERROR(INDEX(PP_Grid[#Data],M_BOM[PPGridRow],90),0))+IFERROR(INDEX(M_RawMaterials[固定週次消費量_要入力],MATCH($A60,M_RawMaterials[Part Name],0)),0)</f>
        <v/>
      </c>
      <c r="CM60">
        <f>SUMPRODUCT((M_BOM[Part Name]=$A60)*M_BOM[RM_Qty_Per_Batch]*IFERROR(INDEX(PP_Grid[#Data],M_BOM[PPGridRow],91),0))+IFERROR(INDEX(M_RawMaterials[固定週次消費量_要入力],MATCH($A60,M_RawMaterials[Part Name],0)),0)</f>
        <v/>
      </c>
      <c r="CN60">
        <f>SUMPRODUCT((M_BOM[Part Name]=$A60)*M_BOM[RM_Qty_Per_Batch]*IFERROR(INDEX(PP_Grid[#Data],M_BOM[PPGridRow],92),0))+IFERROR(INDEX(M_RawMaterials[固定週次消費量_要入力],MATCH($A60,M_RawMaterials[Part Name],0)),0)</f>
        <v/>
      </c>
      <c r="CO60">
        <f>SUMPRODUCT((M_BOM[Part Name]=$A60)*M_BOM[RM_Qty_Per_Batch]*IFERROR(INDEX(PP_Grid[#Data],M_BOM[PPGridRow],93),0))+IFERROR(INDEX(M_RawMaterials[固定週次消費量_要入力],MATCH($A60,M_RawMaterials[Part Name],0)),0)</f>
        <v/>
      </c>
      <c r="CP60">
        <f>SUMPRODUCT((M_BOM[Part Name]=$A60)*M_BOM[RM_Qty_Per_Batch]*IFERROR(INDEX(PP_Grid[#Data],M_BOM[PPGridRow],94),0))+IFERROR(INDEX(M_RawMaterials[固定週次消費量_要入力],MATCH($A60,M_RawMaterials[Part Name],0)),0)</f>
        <v/>
      </c>
      <c r="CQ60">
        <f>SUMPRODUCT((M_BOM[Part Name]=$A60)*M_BOM[RM_Qty_Per_Batch]*IFERROR(INDEX(PP_Grid[#Data],M_BOM[PPGridRow],95),0))+IFERROR(INDEX(M_RawMaterials[固定週次消費量_要入力],MATCH($A60,M_RawMaterials[Part Name],0)),0)</f>
        <v/>
      </c>
      <c r="CR60">
        <f>SUMPRODUCT((M_BOM[Part Name]=$A60)*M_BOM[RM_Qty_Per_Batch]*IFERROR(INDEX(PP_Grid[#Data],M_BOM[PPGridRow],96),0))+IFERROR(INDEX(M_RawMaterials[固定週次消費量_要入力],MATCH($A60,M_RawMaterials[Part Name],0)),0)</f>
        <v/>
      </c>
      <c r="CS60">
        <f>SUMPRODUCT((M_BOM[Part Name]=$A60)*M_BOM[RM_Qty_Per_Batch]*IFERROR(INDEX(PP_Grid[#Data],M_BOM[PPGridRow],97),0))+IFERROR(INDEX(M_RawMaterials[固定週次消費量_要入力],MATCH($A60,M_RawMaterials[Part Name],0)),0)</f>
        <v/>
      </c>
      <c r="CT60">
        <f>SUMPRODUCT((M_BOM[Part Name]=$A60)*M_BOM[RM_Qty_Per_Batch]*IFERROR(INDEX(PP_Grid[#Data],M_BOM[PPGridRow],98),0))+IFERROR(INDEX(M_RawMaterials[固定週次消費量_要入力],MATCH($A60,M_RawMaterials[Part Name],0)),0)</f>
        <v/>
      </c>
      <c r="CU60">
        <f>SUMPRODUCT((M_BOM[Part Name]=$A60)*M_BOM[RM_Qty_Per_Batch]*IFERROR(INDEX(PP_Grid[#Data],M_BOM[PPGridRow],99),0))+IFERROR(INDEX(M_RawMaterials[固定週次消費量_要入力],MATCH($A60,M_RawMaterials[Part Name],0)),0)</f>
        <v/>
      </c>
      <c r="CV60">
        <f>SUMPRODUCT((M_BOM[Part Name]=$A60)*M_BOM[RM_Qty_Per_Batch]*IFERROR(INDEX(PP_Grid[#Data],M_BOM[PPGridRow],100),0))+IFERROR(INDEX(M_RawMaterials[固定週次消費量_要入力],MATCH($A60,M_RawMaterials[Part Name],0)),0)</f>
        <v/>
      </c>
      <c r="CW60">
        <f>SUMPRODUCT((M_BOM[Part Name]=$A60)*M_BOM[RM_Qty_Per_Batch]*IFERROR(INDEX(PP_Grid[#Data],M_BOM[PPGridRow],101),0))+IFERROR(INDEX(M_RawMaterials[固定週次消費量_要入力],MATCH($A60,M_RawMaterials[Part Name],0)),0)</f>
        <v/>
      </c>
      <c r="CX60">
        <f>SUMPRODUCT((M_BOM[Part Name]=$A60)*M_BOM[RM_Qty_Per_Batch]*IFERROR(INDEX(PP_Grid[#Data],M_BOM[PPGridRow],102),0))+IFERROR(INDEX(M_RawMaterials[固定週次消費量_要入力],MATCH($A60,M_RawMaterials[Part Name],0)),0)</f>
        <v/>
      </c>
      <c r="CY60">
        <f>SUMPRODUCT((M_BOM[Part Name]=$A60)*M_BOM[RM_Qty_Per_Batch]*IFERROR(INDEX(PP_Grid[#Data],M_BOM[PPGridRow],103),0))+IFERROR(INDEX(M_RawMaterials[固定週次消費量_要入力],MATCH($A60,M_RawMaterials[Part Name],0)),0)</f>
        <v/>
      </c>
      <c r="CZ60">
        <f>SUMPRODUCT((M_BOM[Part Name]=$A60)*M_BOM[RM_Qty_Per_Batch]*IFERROR(INDEX(PP_Grid[#Data],M_BOM[PPGridRow],104),0))+IFERROR(INDEX(M_RawMaterials[固定週次消費量_要入力],MATCH($A60,M_RawMaterials[Part Name],0)),0)</f>
        <v/>
      </c>
      <c r="DA60">
        <f>SUMPRODUCT((M_BOM[Part Name]=$A60)*M_BOM[RM_Qty_Per_Batch]*IFERROR(INDEX(PP_Grid[#Data],M_BOM[PPGridRow],105),0))+IFERROR(INDEX(M_RawMaterials[固定週次消費量_要入力],MATCH($A60,M_RawMaterials[Part Name],0)),0)</f>
        <v/>
      </c>
    </row>
    <row r="61">
      <c r="A61" t="inlineStr">
        <is>
          <t>CHEM-1720</t>
        </is>
      </c>
      <c r="B61">
        <f>SUMPRODUCT((M_BOM[Part Name]=$A61)*M_BOM[RM_Qty_Per_Batch]*IFERROR(INDEX(PP_Grid[#Data],M_BOM[PPGridRow],2),0))+IFERROR(INDEX(M_RawMaterials[固定週次消費量_要入力],MATCH($A61,M_RawMaterials[Part Name],0)),0)</f>
        <v/>
      </c>
      <c r="C61">
        <f>SUMPRODUCT((M_BOM[Part Name]=$A61)*M_BOM[RM_Qty_Per_Batch]*IFERROR(INDEX(PP_Grid[#Data],M_BOM[PPGridRow],3),0))+IFERROR(INDEX(M_RawMaterials[固定週次消費量_要入力],MATCH($A61,M_RawMaterials[Part Name],0)),0)</f>
        <v/>
      </c>
      <c r="D61">
        <f>SUMPRODUCT((M_BOM[Part Name]=$A61)*M_BOM[RM_Qty_Per_Batch]*IFERROR(INDEX(PP_Grid[#Data],M_BOM[PPGridRow],4),0))+IFERROR(INDEX(M_RawMaterials[固定週次消費量_要入力],MATCH($A61,M_RawMaterials[Part Name],0)),0)</f>
        <v/>
      </c>
      <c r="E61">
        <f>SUMPRODUCT((M_BOM[Part Name]=$A61)*M_BOM[RM_Qty_Per_Batch]*IFERROR(INDEX(PP_Grid[#Data],M_BOM[PPGridRow],5),0))+IFERROR(INDEX(M_RawMaterials[固定週次消費量_要入力],MATCH($A61,M_RawMaterials[Part Name],0)),0)</f>
        <v/>
      </c>
      <c r="F61">
        <f>SUMPRODUCT((M_BOM[Part Name]=$A61)*M_BOM[RM_Qty_Per_Batch]*IFERROR(INDEX(PP_Grid[#Data],M_BOM[PPGridRow],6),0))+IFERROR(INDEX(M_RawMaterials[固定週次消費量_要入力],MATCH($A61,M_RawMaterials[Part Name],0)),0)</f>
        <v/>
      </c>
      <c r="G61">
        <f>SUMPRODUCT((M_BOM[Part Name]=$A61)*M_BOM[RM_Qty_Per_Batch]*IFERROR(INDEX(PP_Grid[#Data],M_BOM[PPGridRow],7),0))+IFERROR(INDEX(M_RawMaterials[固定週次消費量_要入力],MATCH($A61,M_RawMaterials[Part Name],0)),0)</f>
        <v/>
      </c>
      <c r="H61">
        <f>SUMPRODUCT((M_BOM[Part Name]=$A61)*M_BOM[RM_Qty_Per_Batch]*IFERROR(INDEX(PP_Grid[#Data],M_BOM[PPGridRow],8),0))+IFERROR(INDEX(M_RawMaterials[固定週次消費量_要入力],MATCH($A61,M_RawMaterials[Part Name],0)),0)</f>
        <v/>
      </c>
      <c r="I61">
        <f>SUMPRODUCT((M_BOM[Part Name]=$A61)*M_BOM[RM_Qty_Per_Batch]*IFERROR(INDEX(PP_Grid[#Data],M_BOM[PPGridRow],9),0))+IFERROR(INDEX(M_RawMaterials[固定週次消費量_要入力],MATCH($A61,M_RawMaterials[Part Name],0)),0)</f>
        <v/>
      </c>
      <c r="J61">
        <f>SUMPRODUCT((M_BOM[Part Name]=$A61)*M_BOM[RM_Qty_Per_Batch]*IFERROR(INDEX(PP_Grid[#Data],M_BOM[PPGridRow],10),0))+IFERROR(INDEX(M_RawMaterials[固定週次消費量_要入力],MATCH($A61,M_RawMaterials[Part Name],0)),0)</f>
        <v/>
      </c>
      <c r="K61">
        <f>SUMPRODUCT((M_BOM[Part Name]=$A61)*M_BOM[RM_Qty_Per_Batch]*IFERROR(INDEX(PP_Grid[#Data],M_BOM[PPGridRow],11),0))+IFERROR(INDEX(M_RawMaterials[固定週次消費量_要入力],MATCH($A61,M_RawMaterials[Part Name],0)),0)</f>
        <v/>
      </c>
      <c r="L61">
        <f>SUMPRODUCT((M_BOM[Part Name]=$A61)*M_BOM[RM_Qty_Per_Batch]*IFERROR(INDEX(PP_Grid[#Data],M_BOM[PPGridRow],12),0))+IFERROR(INDEX(M_RawMaterials[固定週次消費量_要入力],MATCH($A61,M_RawMaterials[Part Name],0)),0)</f>
        <v/>
      </c>
      <c r="M61">
        <f>SUMPRODUCT((M_BOM[Part Name]=$A61)*M_BOM[RM_Qty_Per_Batch]*IFERROR(INDEX(PP_Grid[#Data],M_BOM[PPGridRow],13),0))+IFERROR(INDEX(M_RawMaterials[固定週次消費量_要入力],MATCH($A61,M_RawMaterials[Part Name],0)),0)</f>
        <v/>
      </c>
      <c r="N61">
        <f>SUMPRODUCT((M_BOM[Part Name]=$A61)*M_BOM[RM_Qty_Per_Batch]*IFERROR(INDEX(PP_Grid[#Data],M_BOM[PPGridRow],14),0))+IFERROR(INDEX(M_RawMaterials[固定週次消費量_要入力],MATCH($A61,M_RawMaterials[Part Name],0)),0)</f>
        <v/>
      </c>
      <c r="O61">
        <f>SUMPRODUCT((M_BOM[Part Name]=$A61)*M_BOM[RM_Qty_Per_Batch]*IFERROR(INDEX(PP_Grid[#Data],M_BOM[PPGridRow],15),0))+IFERROR(INDEX(M_RawMaterials[固定週次消費量_要入力],MATCH($A61,M_RawMaterials[Part Name],0)),0)</f>
        <v/>
      </c>
      <c r="P61">
        <f>SUMPRODUCT((M_BOM[Part Name]=$A61)*M_BOM[RM_Qty_Per_Batch]*IFERROR(INDEX(PP_Grid[#Data],M_BOM[PPGridRow],16),0))+IFERROR(INDEX(M_RawMaterials[固定週次消費量_要入力],MATCH($A61,M_RawMaterials[Part Name],0)),0)</f>
        <v/>
      </c>
      <c r="Q61">
        <f>SUMPRODUCT((M_BOM[Part Name]=$A61)*M_BOM[RM_Qty_Per_Batch]*IFERROR(INDEX(PP_Grid[#Data],M_BOM[PPGridRow],17),0))+IFERROR(INDEX(M_RawMaterials[固定週次消費量_要入力],MATCH($A61,M_RawMaterials[Part Name],0)),0)</f>
        <v/>
      </c>
      <c r="R61">
        <f>SUMPRODUCT((M_BOM[Part Name]=$A61)*M_BOM[RM_Qty_Per_Batch]*IFERROR(INDEX(PP_Grid[#Data],M_BOM[PPGridRow],18),0))+IFERROR(INDEX(M_RawMaterials[固定週次消費量_要入力],MATCH($A61,M_RawMaterials[Part Name],0)),0)</f>
        <v/>
      </c>
      <c r="S61">
        <f>SUMPRODUCT((M_BOM[Part Name]=$A61)*M_BOM[RM_Qty_Per_Batch]*IFERROR(INDEX(PP_Grid[#Data],M_BOM[PPGridRow],19),0))+IFERROR(INDEX(M_RawMaterials[固定週次消費量_要入力],MATCH($A61,M_RawMaterials[Part Name],0)),0)</f>
        <v/>
      </c>
      <c r="T61">
        <f>SUMPRODUCT((M_BOM[Part Name]=$A61)*M_BOM[RM_Qty_Per_Batch]*IFERROR(INDEX(PP_Grid[#Data],M_BOM[PPGridRow],20),0))+IFERROR(INDEX(M_RawMaterials[固定週次消費量_要入力],MATCH($A61,M_RawMaterials[Part Name],0)),0)</f>
        <v/>
      </c>
      <c r="U61">
        <f>SUMPRODUCT((M_BOM[Part Name]=$A61)*M_BOM[RM_Qty_Per_Batch]*IFERROR(INDEX(PP_Grid[#Data],M_BOM[PPGridRow],21),0))+IFERROR(INDEX(M_RawMaterials[固定週次消費量_要入力],MATCH($A61,M_RawMaterials[Part Name],0)),0)</f>
        <v/>
      </c>
      <c r="V61">
        <f>SUMPRODUCT((M_BOM[Part Name]=$A61)*M_BOM[RM_Qty_Per_Batch]*IFERROR(INDEX(PP_Grid[#Data],M_BOM[PPGridRow],22),0))+IFERROR(INDEX(M_RawMaterials[固定週次消費量_要入力],MATCH($A61,M_RawMaterials[Part Name],0)),0)</f>
        <v/>
      </c>
      <c r="W61">
        <f>SUMPRODUCT((M_BOM[Part Name]=$A61)*M_BOM[RM_Qty_Per_Batch]*IFERROR(INDEX(PP_Grid[#Data],M_BOM[PPGridRow],23),0))+IFERROR(INDEX(M_RawMaterials[固定週次消費量_要入力],MATCH($A61,M_RawMaterials[Part Name],0)),0)</f>
        <v/>
      </c>
      <c r="X61">
        <f>SUMPRODUCT((M_BOM[Part Name]=$A61)*M_BOM[RM_Qty_Per_Batch]*IFERROR(INDEX(PP_Grid[#Data],M_BOM[PPGridRow],24),0))+IFERROR(INDEX(M_RawMaterials[固定週次消費量_要入力],MATCH($A61,M_RawMaterials[Part Name],0)),0)</f>
        <v/>
      </c>
      <c r="Y61">
        <f>SUMPRODUCT((M_BOM[Part Name]=$A61)*M_BOM[RM_Qty_Per_Batch]*IFERROR(INDEX(PP_Grid[#Data],M_BOM[PPGridRow],25),0))+IFERROR(INDEX(M_RawMaterials[固定週次消費量_要入力],MATCH($A61,M_RawMaterials[Part Name],0)),0)</f>
        <v/>
      </c>
      <c r="Z61">
        <f>SUMPRODUCT((M_BOM[Part Name]=$A61)*M_BOM[RM_Qty_Per_Batch]*IFERROR(INDEX(PP_Grid[#Data],M_BOM[PPGridRow],26),0))+IFERROR(INDEX(M_RawMaterials[固定週次消費量_要入力],MATCH($A61,M_RawMaterials[Part Name],0)),0)</f>
        <v/>
      </c>
      <c r="AA61">
        <f>SUMPRODUCT((M_BOM[Part Name]=$A61)*M_BOM[RM_Qty_Per_Batch]*IFERROR(INDEX(PP_Grid[#Data],M_BOM[PPGridRow],27),0))+IFERROR(INDEX(M_RawMaterials[固定週次消費量_要入力],MATCH($A61,M_RawMaterials[Part Name],0)),0)</f>
        <v/>
      </c>
      <c r="AB61">
        <f>SUMPRODUCT((M_BOM[Part Name]=$A61)*M_BOM[RM_Qty_Per_Batch]*IFERROR(INDEX(PP_Grid[#Data],M_BOM[PPGridRow],28),0))+IFERROR(INDEX(M_RawMaterials[固定週次消費量_要入力],MATCH($A61,M_RawMaterials[Part Name],0)),0)</f>
        <v/>
      </c>
      <c r="AC61">
        <f>SUMPRODUCT((M_BOM[Part Name]=$A61)*M_BOM[RM_Qty_Per_Batch]*IFERROR(INDEX(PP_Grid[#Data],M_BOM[PPGridRow],29),0))+IFERROR(INDEX(M_RawMaterials[固定週次消費量_要入力],MATCH($A61,M_RawMaterials[Part Name],0)),0)</f>
        <v/>
      </c>
      <c r="AD61">
        <f>SUMPRODUCT((M_BOM[Part Name]=$A61)*M_BOM[RM_Qty_Per_Batch]*IFERROR(INDEX(PP_Grid[#Data],M_BOM[PPGridRow],30),0))+IFERROR(INDEX(M_RawMaterials[固定週次消費量_要入力],MATCH($A61,M_RawMaterials[Part Name],0)),0)</f>
        <v/>
      </c>
      <c r="AE61">
        <f>SUMPRODUCT((M_BOM[Part Name]=$A61)*M_BOM[RM_Qty_Per_Batch]*IFERROR(INDEX(PP_Grid[#Data],M_BOM[PPGridRow],31),0))+IFERROR(INDEX(M_RawMaterials[固定週次消費量_要入力],MATCH($A61,M_RawMaterials[Part Name],0)),0)</f>
        <v/>
      </c>
      <c r="AF61">
        <f>SUMPRODUCT((M_BOM[Part Name]=$A61)*M_BOM[RM_Qty_Per_Batch]*IFERROR(INDEX(PP_Grid[#Data],M_BOM[PPGridRow],32),0))+IFERROR(INDEX(M_RawMaterials[固定週次消費量_要入力],MATCH($A61,M_RawMaterials[Part Name],0)),0)</f>
        <v/>
      </c>
      <c r="AG61">
        <f>SUMPRODUCT((M_BOM[Part Name]=$A61)*M_BOM[RM_Qty_Per_Batch]*IFERROR(INDEX(PP_Grid[#Data],M_BOM[PPGridRow],33),0))+IFERROR(INDEX(M_RawMaterials[固定週次消費量_要入力],MATCH($A61,M_RawMaterials[Part Name],0)),0)</f>
        <v/>
      </c>
      <c r="AH61">
        <f>SUMPRODUCT((M_BOM[Part Name]=$A61)*M_BOM[RM_Qty_Per_Batch]*IFERROR(INDEX(PP_Grid[#Data],M_BOM[PPGridRow],34),0))+IFERROR(INDEX(M_RawMaterials[固定週次消費量_要入力],MATCH($A61,M_RawMaterials[Part Name],0)),0)</f>
        <v/>
      </c>
      <c r="AI61">
        <f>SUMPRODUCT((M_BOM[Part Name]=$A61)*M_BOM[RM_Qty_Per_Batch]*IFERROR(INDEX(PP_Grid[#Data],M_BOM[PPGridRow],35),0))+IFERROR(INDEX(M_RawMaterials[固定週次消費量_要入力],MATCH($A61,M_RawMaterials[Part Name],0)),0)</f>
        <v/>
      </c>
      <c r="AJ61">
        <f>SUMPRODUCT((M_BOM[Part Name]=$A61)*M_BOM[RM_Qty_Per_Batch]*IFERROR(INDEX(PP_Grid[#Data],M_BOM[PPGridRow],36),0))+IFERROR(INDEX(M_RawMaterials[固定週次消費量_要入力],MATCH($A61,M_RawMaterials[Part Name],0)),0)</f>
        <v/>
      </c>
      <c r="AK61">
        <f>SUMPRODUCT((M_BOM[Part Name]=$A61)*M_BOM[RM_Qty_Per_Batch]*IFERROR(INDEX(PP_Grid[#Data],M_BOM[PPGridRow],37),0))+IFERROR(INDEX(M_RawMaterials[固定週次消費量_要入力],MATCH($A61,M_RawMaterials[Part Name],0)),0)</f>
        <v/>
      </c>
      <c r="AL61">
        <f>SUMPRODUCT((M_BOM[Part Name]=$A61)*M_BOM[RM_Qty_Per_Batch]*IFERROR(INDEX(PP_Grid[#Data],M_BOM[PPGridRow],38),0))+IFERROR(INDEX(M_RawMaterials[固定週次消費量_要入力],MATCH($A61,M_RawMaterials[Part Name],0)),0)</f>
        <v/>
      </c>
      <c r="AM61">
        <f>SUMPRODUCT((M_BOM[Part Name]=$A61)*M_BOM[RM_Qty_Per_Batch]*IFERROR(INDEX(PP_Grid[#Data],M_BOM[PPGridRow],39),0))+IFERROR(INDEX(M_RawMaterials[固定週次消費量_要入力],MATCH($A61,M_RawMaterials[Part Name],0)),0)</f>
        <v/>
      </c>
      <c r="AN61">
        <f>SUMPRODUCT((M_BOM[Part Name]=$A61)*M_BOM[RM_Qty_Per_Batch]*IFERROR(INDEX(PP_Grid[#Data],M_BOM[PPGridRow],40),0))+IFERROR(INDEX(M_RawMaterials[固定週次消費量_要入力],MATCH($A61,M_RawMaterials[Part Name],0)),0)</f>
        <v/>
      </c>
      <c r="AO61">
        <f>SUMPRODUCT((M_BOM[Part Name]=$A61)*M_BOM[RM_Qty_Per_Batch]*IFERROR(INDEX(PP_Grid[#Data],M_BOM[PPGridRow],41),0))+IFERROR(INDEX(M_RawMaterials[固定週次消費量_要入力],MATCH($A61,M_RawMaterials[Part Name],0)),0)</f>
        <v/>
      </c>
      <c r="AP61">
        <f>SUMPRODUCT((M_BOM[Part Name]=$A61)*M_BOM[RM_Qty_Per_Batch]*IFERROR(INDEX(PP_Grid[#Data],M_BOM[PPGridRow],42),0))+IFERROR(INDEX(M_RawMaterials[固定週次消費量_要入力],MATCH($A61,M_RawMaterials[Part Name],0)),0)</f>
        <v/>
      </c>
      <c r="AQ61">
        <f>SUMPRODUCT((M_BOM[Part Name]=$A61)*M_BOM[RM_Qty_Per_Batch]*IFERROR(INDEX(PP_Grid[#Data],M_BOM[PPGridRow],43),0))+IFERROR(INDEX(M_RawMaterials[固定週次消費量_要入力],MATCH($A61,M_RawMaterials[Part Name],0)),0)</f>
        <v/>
      </c>
      <c r="AR61">
        <f>SUMPRODUCT((M_BOM[Part Name]=$A61)*M_BOM[RM_Qty_Per_Batch]*IFERROR(INDEX(PP_Grid[#Data],M_BOM[PPGridRow],44),0))+IFERROR(INDEX(M_RawMaterials[固定週次消費量_要入力],MATCH($A61,M_RawMaterials[Part Name],0)),0)</f>
        <v/>
      </c>
      <c r="AS61">
        <f>SUMPRODUCT((M_BOM[Part Name]=$A61)*M_BOM[RM_Qty_Per_Batch]*IFERROR(INDEX(PP_Grid[#Data],M_BOM[PPGridRow],45),0))+IFERROR(INDEX(M_RawMaterials[固定週次消費量_要入力],MATCH($A61,M_RawMaterials[Part Name],0)),0)</f>
        <v/>
      </c>
      <c r="AT61">
        <f>SUMPRODUCT((M_BOM[Part Name]=$A61)*M_BOM[RM_Qty_Per_Batch]*IFERROR(INDEX(PP_Grid[#Data],M_BOM[PPGridRow],46),0))+IFERROR(INDEX(M_RawMaterials[固定週次消費量_要入力],MATCH($A61,M_RawMaterials[Part Name],0)),0)</f>
        <v/>
      </c>
      <c r="AU61">
        <f>SUMPRODUCT((M_BOM[Part Name]=$A61)*M_BOM[RM_Qty_Per_Batch]*IFERROR(INDEX(PP_Grid[#Data],M_BOM[PPGridRow],47),0))+IFERROR(INDEX(M_RawMaterials[固定週次消費量_要入力],MATCH($A61,M_RawMaterials[Part Name],0)),0)</f>
        <v/>
      </c>
      <c r="AV61">
        <f>SUMPRODUCT((M_BOM[Part Name]=$A61)*M_BOM[RM_Qty_Per_Batch]*IFERROR(INDEX(PP_Grid[#Data],M_BOM[PPGridRow],48),0))+IFERROR(INDEX(M_RawMaterials[固定週次消費量_要入力],MATCH($A61,M_RawMaterials[Part Name],0)),0)</f>
        <v/>
      </c>
      <c r="AW61">
        <f>SUMPRODUCT((M_BOM[Part Name]=$A61)*M_BOM[RM_Qty_Per_Batch]*IFERROR(INDEX(PP_Grid[#Data],M_BOM[PPGridRow],49),0))+IFERROR(INDEX(M_RawMaterials[固定週次消費量_要入力],MATCH($A61,M_RawMaterials[Part Name],0)),0)</f>
        <v/>
      </c>
      <c r="AX61">
        <f>SUMPRODUCT((M_BOM[Part Name]=$A61)*M_BOM[RM_Qty_Per_Batch]*IFERROR(INDEX(PP_Grid[#Data],M_BOM[PPGridRow],50),0))+IFERROR(INDEX(M_RawMaterials[固定週次消費量_要入力],MATCH($A61,M_RawMaterials[Part Name],0)),0)</f>
        <v/>
      </c>
      <c r="AY61">
        <f>SUMPRODUCT((M_BOM[Part Name]=$A61)*M_BOM[RM_Qty_Per_Batch]*IFERROR(INDEX(PP_Grid[#Data],M_BOM[PPGridRow],51),0))+IFERROR(INDEX(M_RawMaterials[固定週次消費量_要入力],MATCH($A61,M_RawMaterials[Part Name],0)),0)</f>
        <v/>
      </c>
      <c r="AZ61">
        <f>SUMPRODUCT((M_BOM[Part Name]=$A61)*M_BOM[RM_Qty_Per_Batch]*IFERROR(INDEX(PP_Grid[#Data],M_BOM[PPGridRow],52),0))+IFERROR(INDEX(M_RawMaterials[固定週次消費量_要入力],MATCH($A61,M_RawMaterials[Part Name],0)),0)</f>
        <v/>
      </c>
      <c r="BA61">
        <f>SUMPRODUCT((M_BOM[Part Name]=$A61)*M_BOM[RM_Qty_Per_Batch]*IFERROR(INDEX(PP_Grid[#Data],M_BOM[PPGridRow],53),0))+IFERROR(INDEX(M_RawMaterials[固定週次消費量_要入力],MATCH($A61,M_RawMaterials[Part Name],0)),0)</f>
        <v/>
      </c>
      <c r="BB61">
        <f>SUMPRODUCT((M_BOM[Part Name]=$A61)*M_BOM[RM_Qty_Per_Batch]*IFERROR(INDEX(PP_Grid[#Data],M_BOM[PPGridRow],54),0))+IFERROR(INDEX(M_RawMaterials[固定週次消費量_要入力],MATCH($A61,M_RawMaterials[Part Name],0)),0)</f>
        <v/>
      </c>
      <c r="BC61">
        <f>SUMPRODUCT((M_BOM[Part Name]=$A61)*M_BOM[RM_Qty_Per_Batch]*IFERROR(INDEX(PP_Grid[#Data],M_BOM[PPGridRow],55),0))+IFERROR(INDEX(M_RawMaterials[固定週次消費量_要入力],MATCH($A61,M_RawMaterials[Part Name],0)),0)</f>
        <v/>
      </c>
      <c r="BD61">
        <f>SUMPRODUCT((M_BOM[Part Name]=$A61)*M_BOM[RM_Qty_Per_Batch]*IFERROR(INDEX(PP_Grid[#Data],M_BOM[PPGridRow],56),0))+IFERROR(INDEX(M_RawMaterials[固定週次消費量_要入力],MATCH($A61,M_RawMaterials[Part Name],0)),0)</f>
        <v/>
      </c>
      <c r="BE61">
        <f>SUMPRODUCT((M_BOM[Part Name]=$A61)*M_BOM[RM_Qty_Per_Batch]*IFERROR(INDEX(PP_Grid[#Data],M_BOM[PPGridRow],57),0))+IFERROR(INDEX(M_RawMaterials[固定週次消費量_要入力],MATCH($A61,M_RawMaterials[Part Name],0)),0)</f>
        <v/>
      </c>
      <c r="BF61">
        <f>SUMPRODUCT((M_BOM[Part Name]=$A61)*M_BOM[RM_Qty_Per_Batch]*IFERROR(INDEX(PP_Grid[#Data],M_BOM[PPGridRow],58),0))+IFERROR(INDEX(M_RawMaterials[固定週次消費量_要入力],MATCH($A61,M_RawMaterials[Part Name],0)),0)</f>
        <v/>
      </c>
      <c r="BG61">
        <f>SUMPRODUCT((M_BOM[Part Name]=$A61)*M_BOM[RM_Qty_Per_Batch]*IFERROR(INDEX(PP_Grid[#Data],M_BOM[PPGridRow],59),0))+IFERROR(INDEX(M_RawMaterials[固定週次消費量_要入力],MATCH($A61,M_RawMaterials[Part Name],0)),0)</f>
        <v/>
      </c>
      <c r="BH61">
        <f>SUMPRODUCT((M_BOM[Part Name]=$A61)*M_BOM[RM_Qty_Per_Batch]*IFERROR(INDEX(PP_Grid[#Data],M_BOM[PPGridRow],60),0))+IFERROR(INDEX(M_RawMaterials[固定週次消費量_要入力],MATCH($A61,M_RawMaterials[Part Name],0)),0)</f>
        <v/>
      </c>
      <c r="BI61">
        <f>SUMPRODUCT((M_BOM[Part Name]=$A61)*M_BOM[RM_Qty_Per_Batch]*IFERROR(INDEX(PP_Grid[#Data],M_BOM[PPGridRow],61),0))+IFERROR(INDEX(M_RawMaterials[固定週次消費量_要入力],MATCH($A61,M_RawMaterials[Part Name],0)),0)</f>
        <v/>
      </c>
      <c r="BJ61">
        <f>SUMPRODUCT((M_BOM[Part Name]=$A61)*M_BOM[RM_Qty_Per_Batch]*IFERROR(INDEX(PP_Grid[#Data],M_BOM[PPGridRow],62),0))+IFERROR(INDEX(M_RawMaterials[固定週次消費量_要入力],MATCH($A61,M_RawMaterials[Part Name],0)),0)</f>
        <v/>
      </c>
      <c r="BK61">
        <f>SUMPRODUCT((M_BOM[Part Name]=$A61)*M_BOM[RM_Qty_Per_Batch]*IFERROR(INDEX(PP_Grid[#Data],M_BOM[PPGridRow],63),0))+IFERROR(INDEX(M_RawMaterials[固定週次消費量_要入力],MATCH($A61,M_RawMaterials[Part Name],0)),0)</f>
        <v/>
      </c>
      <c r="BL61">
        <f>SUMPRODUCT((M_BOM[Part Name]=$A61)*M_BOM[RM_Qty_Per_Batch]*IFERROR(INDEX(PP_Grid[#Data],M_BOM[PPGridRow],64),0))+IFERROR(INDEX(M_RawMaterials[固定週次消費量_要入力],MATCH($A61,M_RawMaterials[Part Name],0)),0)</f>
        <v/>
      </c>
      <c r="BM61">
        <f>SUMPRODUCT((M_BOM[Part Name]=$A61)*M_BOM[RM_Qty_Per_Batch]*IFERROR(INDEX(PP_Grid[#Data],M_BOM[PPGridRow],65),0))+IFERROR(INDEX(M_RawMaterials[固定週次消費量_要入力],MATCH($A61,M_RawMaterials[Part Name],0)),0)</f>
        <v/>
      </c>
      <c r="BN61">
        <f>SUMPRODUCT((M_BOM[Part Name]=$A61)*M_BOM[RM_Qty_Per_Batch]*IFERROR(INDEX(PP_Grid[#Data],M_BOM[PPGridRow],66),0))+IFERROR(INDEX(M_RawMaterials[固定週次消費量_要入力],MATCH($A61,M_RawMaterials[Part Name],0)),0)</f>
        <v/>
      </c>
      <c r="BO61">
        <f>SUMPRODUCT((M_BOM[Part Name]=$A61)*M_BOM[RM_Qty_Per_Batch]*IFERROR(INDEX(PP_Grid[#Data],M_BOM[PPGridRow],67),0))+IFERROR(INDEX(M_RawMaterials[固定週次消費量_要入力],MATCH($A61,M_RawMaterials[Part Name],0)),0)</f>
        <v/>
      </c>
      <c r="BP61">
        <f>SUMPRODUCT((M_BOM[Part Name]=$A61)*M_BOM[RM_Qty_Per_Batch]*IFERROR(INDEX(PP_Grid[#Data],M_BOM[PPGridRow],68),0))+IFERROR(INDEX(M_RawMaterials[固定週次消費量_要入力],MATCH($A61,M_RawMaterials[Part Name],0)),0)</f>
        <v/>
      </c>
      <c r="BQ61">
        <f>SUMPRODUCT((M_BOM[Part Name]=$A61)*M_BOM[RM_Qty_Per_Batch]*IFERROR(INDEX(PP_Grid[#Data],M_BOM[PPGridRow],69),0))+IFERROR(INDEX(M_RawMaterials[固定週次消費量_要入力],MATCH($A61,M_RawMaterials[Part Name],0)),0)</f>
        <v/>
      </c>
      <c r="BR61">
        <f>SUMPRODUCT((M_BOM[Part Name]=$A61)*M_BOM[RM_Qty_Per_Batch]*IFERROR(INDEX(PP_Grid[#Data],M_BOM[PPGridRow],70),0))+IFERROR(INDEX(M_RawMaterials[固定週次消費量_要入力],MATCH($A61,M_RawMaterials[Part Name],0)),0)</f>
        <v/>
      </c>
      <c r="BS61">
        <f>SUMPRODUCT((M_BOM[Part Name]=$A61)*M_BOM[RM_Qty_Per_Batch]*IFERROR(INDEX(PP_Grid[#Data],M_BOM[PPGridRow],71),0))+IFERROR(INDEX(M_RawMaterials[固定週次消費量_要入力],MATCH($A61,M_RawMaterials[Part Name],0)),0)</f>
        <v/>
      </c>
      <c r="BT61">
        <f>SUMPRODUCT((M_BOM[Part Name]=$A61)*M_BOM[RM_Qty_Per_Batch]*IFERROR(INDEX(PP_Grid[#Data],M_BOM[PPGridRow],72),0))+IFERROR(INDEX(M_RawMaterials[固定週次消費量_要入力],MATCH($A61,M_RawMaterials[Part Name],0)),0)</f>
        <v/>
      </c>
      <c r="BU61">
        <f>SUMPRODUCT((M_BOM[Part Name]=$A61)*M_BOM[RM_Qty_Per_Batch]*IFERROR(INDEX(PP_Grid[#Data],M_BOM[PPGridRow],73),0))+IFERROR(INDEX(M_RawMaterials[固定週次消費量_要入力],MATCH($A61,M_RawMaterials[Part Name],0)),0)</f>
        <v/>
      </c>
      <c r="BV61">
        <f>SUMPRODUCT((M_BOM[Part Name]=$A61)*M_BOM[RM_Qty_Per_Batch]*IFERROR(INDEX(PP_Grid[#Data],M_BOM[PPGridRow],74),0))+IFERROR(INDEX(M_RawMaterials[固定週次消費量_要入力],MATCH($A61,M_RawMaterials[Part Name],0)),0)</f>
        <v/>
      </c>
      <c r="BW61">
        <f>SUMPRODUCT((M_BOM[Part Name]=$A61)*M_BOM[RM_Qty_Per_Batch]*IFERROR(INDEX(PP_Grid[#Data],M_BOM[PPGridRow],75),0))+IFERROR(INDEX(M_RawMaterials[固定週次消費量_要入力],MATCH($A61,M_RawMaterials[Part Name],0)),0)</f>
        <v/>
      </c>
      <c r="BX61">
        <f>SUMPRODUCT((M_BOM[Part Name]=$A61)*M_BOM[RM_Qty_Per_Batch]*IFERROR(INDEX(PP_Grid[#Data],M_BOM[PPGridRow],76),0))+IFERROR(INDEX(M_RawMaterials[固定週次消費量_要入力],MATCH($A61,M_RawMaterials[Part Name],0)),0)</f>
        <v/>
      </c>
      <c r="BY61">
        <f>SUMPRODUCT((M_BOM[Part Name]=$A61)*M_BOM[RM_Qty_Per_Batch]*IFERROR(INDEX(PP_Grid[#Data],M_BOM[PPGridRow],77),0))+IFERROR(INDEX(M_RawMaterials[固定週次消費量_要入力],MATCH($A61,M_RawMaterials[Part Name],0)),0)</f>
        <v/>
      </c>
      <c r="BZ61">
        <f>SUMPRODUCT((M_BOM[Part Name]=$A61)*M_BOM[RM_Qty_Per_Batch]*IFERROR(INDEX(PP_Grid[#Data],M_BOM[PPGridRow],78),0))+IFERROR(INDEX(M_RawMaterials[固定週次消費量_要入力],MATCH($A61,M_RawMaterials[Part Name],0)),0)</f>
        <v/>
      </c>
      <c r="CA61">
        <f>SUMPRODUCT((M_BOM[Part Name]=$A61)*M_BOM[RM_Qty_Per_Batch]*IFERROR(INDEX(PP_Grid[#Data],M_BOM[PPGridRow],79),0))+IFERROR(INDEX(M_RawMaterials[固定週次消費量_要入力],MATCH($A61,M_RawMaterials[Part Name],0)),0)</f>
        <v/>
      </c>
      <c r="CB61">
        <f>SUMPRODUCT((M_BOM[Part Name]=$A61)*M_BOM[RM_Qty_Per_Batch]*IFERROR(INDEX(PP_Grid[#Data],M_BOM[PPGridRow],80),0))+IFERROR(INDEX(M_RawMaterials[固定週次消費量_要入力],MATCH($A61,M_RawMaterials[Part Name],0)),0)</f>
        <v/>
      </c>
      <c r="CC61">
        <f>SUMPRODUCT((M_BOM[Part Name]=$A61)*M_BOM[RM_Qty_Per_Batch]*IFERROR(INDEX(PP_Grid[#Data],M_BOM[PPGridRow],81),0))+IFERROR(INDEX(M_RawMaterials[固定週次消費量_要入力],MATCH($A61,M_RawMaterials[Part Name],0)),0)</f>
        <v/>
      </c>
      <c r="CD61">
        <f>SUMPRODUCT((M_BOM[Part Name]=$A61)*M_BOM[RM_Qty_Per_Batch]*IFERROR(INDEX(PP_Grid[#Data],M_BOM[PPGridRow],82),0))+IFERROR(INDEX(M_RawMaterials[固定週次消費量_要入力],MATCH($A61,M_RawMaterials[Part Name],0)),0)</f>
        <v/>
      </c>
      <c r="CE61">
        <f>SUMPRODUCT((M_BOM[Part Name]=$A61)*M_BOM[RM_Qty_Per_Batch]*IFERROR(INDEX(PP_Grid[#Data],M_BOM[PPGridRow],83),0))+IFERROR(INDEX(M_RawMaterials[固定週次消費量_要入力],MATCH($A61,M_RawMaterials[Part Name],0)),0)</f>
        <v/>
      </c>
      <c r="CF61">
        <f>SUMPRODUCT((M_BOM[Part Name]=$A61)*M_BOM[RM_Qty_Per_Batch]*IFERROR(INDEX(PP_Grid[#Data],M_BOM[PPGridRow],84),0))+IFERROR(INDEX(M_RawMaterials[固定週次消費量_要入力],MATCH($A61,M_RawMaterials[Part Name],0)),0)</f>
        <v/>
      </c>
      <c r="CG61">
        <f>SUMPRODUCT((M_BOM[Part Name]=$A61)*M_BOM[RM_Qty_Per_Batch]*IFERROR(INDEX(PP_Grid[#Data],M_BOM[PPGridRow],85),0))+IFERROR(INDEX(M_RawMaterials[固定週次消費量_要入力],MATCH($A61,M_RawMaterials[Part Name],0)),0)</f>
        <v/>
      </c>
      <c r="CH61">
        <f>SUMPRODUCT((M_BOM[Part Name]=$A61)*M_BOM[RM_Qty_Per_Batch]*IFERROR(INDEX(PP_Grid[#Data],M_BOM[PPGridRow],86),0))+IFERROR(INDEX(M_RawMaterials[固定週次消費量_要入力],MATCH($A61,M_RawMaterials[Part Name],0)),0)</f>
        <v/>
      </c>
      <c r="CI61">
        <f>SUMPRODUCT((M_BOM[Part Name]=$A61)*M_BOM[RM_Qty_Per_Batch]*IFERROR(INDEX(PP_Grid[#Data],M_BOM[PPGridRow],87),0))+IFERROR(INDEX(M_RawMaterials[固定週次消費量_要入力],MATCH($A61,M_RawMaterials[Part Name],0)),0)</f>
        <v/>
      </c>
      <c r="CJ61">
        <f>SUMPRODUCT((M_BOM[Part Name]=$A61)*M_BOM[RM_Qty_Per_Batch]*IFERROR(INDEX(PP_Grid[#Data],M_BOM[PPGridRow],88),0))+IFERROR(INDEX(M_RawMaterials[固定週次消費量_要入力],MATCH($A61,M_RawMaterials[Part Name],0)),0)</f>
        <v/>
      </c>
      <c r="CK61">
        <f>SUMPRODUCT((M_BOM[Part Name]=$A61)*M_BOM[RM_Qty_Per_Batch]*IFERROR(INDEX(PP_Grid[#Data],M_BOM[PPGridRow],89),0))+IFERROR(INDEX(M_RawMaterials[固定週次消費量_要入力],MATCH($A61,M_RawMaterials[Part Name],0)),0)</f>
        <v/>
      </c>
      <c r="CL61">
        <f>SUMPRODUCT((M_BOM[Part Name]=$A61)*M_BOM[RM_Qty_Per_Batch]*IFERROR(INDEX(PP_Grid[#Data],M_BOM[PPGridRow],90),0))+IFERROR(INDEX(M_RawMaterials[固定週次消費量_要入力],MATCH($A61,M_RawMaterials[Part Name],0)),0)</f>
        <v/>
      </c>
      <c r="CM61">
        <f>SUMPRODUCT((M_BOM[Part Name]=$A61)*M_BOM[RM_Qty_Per_Batch]*IFERROR(INDEX(PP_Grid[#Data],M_BOM[PPGridRow],91),0))+IFERROR(INDEX(M_RawMaterials[固定週次消費量_要入力],MATCH($A61,M_RawMaterials[Part Name],0)),0)</f>
        <v/>
      </c>
      <c r="CN61">
        <f>SUMPRODUCT((M_BOM[Part Name]=$A61)*M_BOM[RM_Qty_Per_Batch]*IFERROR(INDEX(PP_Grid[#Data],M_BOM[PPGridRow],92),0))+IFERROR(INDEX(M_RawMaterials[固定週次消費量_要入力],MATCH($A61,M_RawMaterials[Part Name],0)),0)</f>
        <v/>
      </c>
      <c r="CO61">
        <f>SUMPRODUCT((M_BOM[Part Name]=$A61)*M_BOM[RM_Qty_Per_Batch]*IFERROR(INDEX(PP_Grid[#Data],M_BOM[PPGridRow],93),0))+IFERROR(INDEX(M_RawMaterials[固定週次消費量_要入力],MATCH($A61,M_RawMaterials[Part Name],0)),0)</f>
        <v/>
      </c>
      <c r="CP61">
        <f>SUMPRODUCT((M_BOM[Part Name]=$A61)*M_BOM[RM_Qty_Per_Batch]*IFERROR(INDEX(PP_Grid[#Data],M_BOM[PPGridRow],94),0))+IFERROR(INDEX(M_RawMaterials[固定週次消費量_要入力],MATCH($A61,M_RawMaterials[Part Name],0)),0)</f>
        <v/>
      </c>
      <c r="CQ61">
        <f>SUMPRODUCT((M_BOM[Part Name]=$A61)*M_BOM[RM_Qty_Per_Batch]*IFERROR(INDEX(PP_Grid[#Data],M_BOM[PPGridRow],95),0))+IFERROR(INDEX(M_RawMaterials[固定週次消費量_要入力],MATCH($A61,M_RawMaterials[Part Name],0)),0)</f>
        <v/>
      </c>
      <c r="CR61">
        <f>SUMPRODUCT((M_BOM[Part Name]=$A61)*M_BOM[RM_Qty_Per_Batch]*IFERROR(INDEX(PP_Grid[#Data],M_BOM[PPGridRow],96),0))+IFERROR(INDEX(M_RawMaterials[固定週次消費量_要入力],MATCH($A61,M_RawMaterials[Part Name],0)),0)</f>
        <v/>
      </c>
      <c r="CS61">
        <f>SUMPRODUCT((M_BOM[Part Name]=$A61)*M_BOM[RM_Qty_Per_Batch]*IFERROR(INDEX(PP_Grid[#Data],M_BOM[PPGridRow],97),0))+IFERROR(INDEX(M_RawMaterials[固定週次消費量_要入力],MATCH($A61,M_RawMaterials[Part Name],0)),0)</f>
        <v/>
      </c>
      <c r="CT61">
        <f>SUMPRODUCT((M_BOM[Part Name]=$A61)*M_BOM[RM_Qty_Per_Batch]*IFERROR(INDEX(PP_Grid[#Data],M_BOM[PPGridRow],98),0))+IFERROR(INDEX(M_RawMaterials[固定週次消費量_要入力],MATCH($A61,M_RawMaterials[Part Name],0)),0)</f>
        <v/>
      </c>
      <c r="CU61">
        <f>SUMPRODUCT((M_BOM[Part Name]=$A61)*M_BOM[RM_Qty_Per_Batch]*IFERROR(INDEX(PP_Grid[#Data],M_BOM[PPGridRow],99),0))+IFERROR(INDEX(M_RawMaterials[固定週次消費量_要入力],MATCH($A61,M_RawMaterials[Part Name],0)),0)</f>
        <v/>
      </c>
      <c r="CV61">
        <f>SUMPRODUCT((M_BOM[Part Name]=$A61)*M_BOM[RM_Qty_Per_Batch]*IFERROR(INDEX(PP_Grid[#Data],M_BOM[PPGridRow],100),0))+IFERROR(INDEX(M_RawMaterials[固定週次消費量_要入力],MATCH($A61,M_RawMaterials[Part Name],0)),0)</f>
        <v/>
      </c>
      <c r="CW61">
        <f>SUMPRODUCT((M_BOM[Part Name]=$A61)*M_BOM[RM_Qty_Per_Batch]*IFERROR(INDEX(PP_Grid[#Data],M_BOM[PPGridRow],101),0))+IFERROR(INDEX(M_RawMaterials[固定週次消費量_要入力],MATCH($A61,M_RawMaterials[Part Name],0)),0)</f>
        <v/>
      </c>
      <c r="CX61">
        <f>SUMPRODUCT((M_BOM[Part Name]=$A61)*M_BOM[RM_Qty_Per_Batch]*IFERROR(INDEX(PP_Grid[#Data],M_BOM[PPGridRow],102),0))+IFERROR(INDEX(M_RawMaterials[固定週次消費量_要入力],MATCH($A61,M_RawMaterials[Part Name],0)),0)</f>
        <v/>
      </c>
      <c r="CY61">
        <f>SUMPRODUCT((M_BOM[Part Name]=$A61)*M_BOM[RM_Qty_Per_Batch]*IFERROR(INDEX(PP_Grid[#Data],M_BOM[PPGridRow],103),0))+IFERROR(INDEX(M_RawMaterials[固定週次消費量_要入力],MATCH($A61,M_RawMaterials[Part Name],0)),0)</f>
        <v/>
      </c>
      <c r="CZ61">
        <f>SUMPRODUCT((M_BOM[Part Name]=$A61)*M_BOM[RM_Qty_Per_Batch]*IFERROR(INDEX(PP_Grid[#Data],M_BOM[PPGridRow],104),0))+IFERROR(INDEX(M_RawMaterials[固定週次消費量_要入力],MATCH($A61,M_RawMaterials[Part Name],0)),0)</f>
        <v/>
      </c>
      <c r="DA61">
        <f>SUMPRODUCT((M_BOM[Part Name]=$A61)*M_BOM[RM_Qty_Per_Batch]*IFERROR(INDEX(PP_Grid[#Data],M_BOM[PPGridRow],105),0))+IFERROR(INDEX(M_RawMaterials[固定週次消費量_要入力],MATCH($A61,M_RawMaterials[Part Name],0)),0)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A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</cols>
  <sheetData>
    <row r="1">
      <c r="A1" s="6" t="inlineStr">
        <is>
          <t>Part Name</t>
        </is>
      </c>
      <c r="B1" s="6" t="inlineStr">
        <is>
          <t>2026-W01</t>
        </is>
      </c>
      <c r="C1" s="6" t="inlineStr">
        <is>
          <t>2026-W02</t>
        </is>
      </c>
      <c r="D1" s="6" t="inlineStr">
        <is>
          <t>2026-W03</t>
        </is>
      </c>
      <c r="E1" s="6" t="inlineStr">
        <is>
          <t>2026-W04</t>
        </is>
      </c>
      <c r="F1" s="6" t="inlineStr">
        <is>
          <t>2026-W05</t>
        </is>
      </c>
      <c r="G1" s="6" t="inlineStr">
        <is>
          <t>2026-W06</t>
        </is>
      </c>
      <c r="H1" s="6" t="inlineStr">
        <is>
          <t>2026-W07</t>
        </is>
      </c>
      <c r="I1" s="6" t="inlineStr">
        <is>
          <t>2026-W08</t>
        </is>
      </c>
      <c r="J1" s="6" t="inlineStr">
        <is>
          <t>2026-W09</t>
        </is>
      </c>
      <c r="K1" s="6" t="inlineStr">
        <is>
          <t>2026-W10</t>
        </is>
      </c>
      <c r="L1" s="6" t="inlineStr">
        <is>
          <t>2026-W11</t>
        </is>
      </c>
      <c r="M1" s="6" t="inlineStr">
        <is>
          <t>2026-W12</t>
        </is>
      </c>
      <c r="N1" s="6" t="inlineStr">
        <is>
          <t>2026-W13</t>
        </is>
      </c>
      <c r="O1" s="6" t="inlineStr">
        <is>
          <t>2026-W14</t>
        </is>
      </c>
      <c r="P1" s="6" t="inlineStr">
        <is>
          <t>2026-W15</t>
        </is>
      </c>
      <c r="Q1" s="6" t="inlineStr">
        <is>
          <t>2026-W16</t>
        </is>
      </c>
      <c r="R1" s="6" t="inlineStr">
        <is>
          <t>2026-W17</t>
        </is>
      </c>
      <c r="S1" s="6" t="inlineStr">
        <is>
          <t>2026-W18</t>
        </is>
      </c>
      <c r="T1" s="6" t="inlineStr">
        <is>
          <t>2026-W19</t>
        </is>
      </c>
      <c r="U1" s="6" t="inlineStr">
        <is>
          <t>2026-W20</t>
        </is>
      </c>
      <c r="V1" s="6" t="inlineStr">
        <is>
          <t>2026-W21</t>
        </is>
      </c>
      <c r="W1" s="6" t="inlineStr">
        <is>
          <t>2026-W22</t>
        </is>
      </c>
      <c r="X1" s="6" t="inlineStr">
        <is>
          <t>2026-W23</t>
        </is>
      </c>
      <c r="Y1" s="6" t="inlineStr">
        <is>
          <t>2026-W24</t>
        </is>
      </c>
      <c r="Z1" s="6" t="inlineStr">
        <is>
          <t>2026-W25</t>
        </is>
      </c>
      <c r="AA1" s="6" t="inlineStr">
        <is>
          <t>2026-W26</t>
        </is>
      </c>
      <c r="AB1" s="6" t="inlineStr">
        <is>
          <t>2026-W27</t>
        </is>
      </c>
      <c r="AC1" s="6" t="inlineStr">
        <is>
          <t>2026-W28</t>
        </is>
      </c>
      <c r="AD1" s="6" t="inlineStr">
        <is>
          <t>2026-W29</t>
        </is>
      </c>
      <c r="AE1" s="6" t="inlineStr">
        <is>
          <t>2026-W30</t>
        </is>
      </c>
      <c r="AF1" s="6" t="inlineStr">
        <is>
          <t>2026-W31</t>
        </is>
      </c>
      <c r="AG1" s="6" t="inlineStr">
        <is>
          <t>2026-W32</t>
        </is>
      </c>
      <c r="AH1" s="6" t="inlineStr">
        <is>
          <t>2026-W33</t>
        </is>
      </c>
      <c r="AI1" s="6" t="inlineStr">
        <is>
          <t>2026-W34</t>
        </is>
      </c>
      <c r="AJ1" s="6" t="inlineStr">
        <is>
          <t>2026-W35</t>
        </is>
      </c>
      <c r="AK1" s="6" t="inlineStr">
        <is>
          <t>2026-W36</t>
        </is>
      </c>
      <c r="AL1" s="6" t="inlineStr">
        <is>
          <t>2026-W37</t>
        </is>
      </c>
      <c r="AM1" s="6" t="inlineStr">
        <is>
          <t>2026-W38</t>
        </is>
      </c>
      <c r="AN1" s="6" t="inlineStr">
        <is>
          <t>2026-W39</t>
        </is>
      </c>
      <c r="AO1" s="6" t="inlineStr">
        <is>
          <t>2026-W40</t>
        </is>
      </c>
      <c r="AP1" s="6" t="inlineStr">
        <is>
          <t>2026-W41</t>
        </is>
      </c>
      <c r="AQ1" s="6" t="inlineStr">
        <is>
          <t>2026-W42</t>
        </is>
      </c>
      <c r="AR1" s="6" t="inlineStr">
        <is>
          <t>2026-W43</t>
        </is>
      </c>
      <c r="AS1" s="6" t="inlineStr">
        <is>
          <t>2026-W44</t>
        </is>
      </c>
      <c r="AT1" s="6" t="inlineStr">
        <is>
          <t>2026-W45</t>
        </is>
      </c>
      <c r="AU1" s="6" t="inlineStr">
        <is>
          <t>2026-W46</t>
        </is>
      </c>
      <c r="AV1" s="6" t="inlineStr">
        <is>
          <t>2026-W47</t>
        </is>
      </c>
      <c r="AW1" s="6" t="inlineStr">
        <is>
          <t>2026-W48</t>
        </is>
      </c>
      <c r="AX1" s="6" t="inlineStr">
        <is>
          <t>2026-W49</t>
        </is>
      </c>
      <c r="AY1" s="6" t="inlineStr">
        <is>
          <t>2026-W50</t>
        </is>
      </c>
      <c r="AZ1" s="6" t="inlineStr">
        <is>
          <t>2026-W51</t>
        </is>
      </c>
      <c r="BA1" s="6" t="inlineStr">
        <is>
          <t>2026-W52</t>
        </is>
      </c>
      <c r="BB1" s="6" t="inlineStr">
        <is>
          <t>2027-W01</t>
        </is>
      </c>
      <c r="BC1" s="6" t="inlineStr">
        <is>
          <t>2027-W02</t>
        </is>
      </c>
      <c r="BD1" s="6" t="inlineStr">
        <is>
          <t>2027-W03</t>
        </is>
      </c>
      <c r="BE1" s="6" t="inlineStr">
        <is>
          <t>2027-W04</t>
        </is>
      </c>
      <c r="BF1" s="6" t="inlineStr">
        <is>
          <t>2027-W05</t>
        </is>
      </c>
      <c r="BG1" s="6" t="inlineStr">
        <is>
          <t>2027-W06</t>
        </is>
      </c>
      <c r="BH1" s="6" t="inlineStr">
        <is>
          <t>2027-W07</t>
        </is>
      </c>
      <c r="BI1" s="6" t="inlineStr">
        <is>
          <t>2027-W08</t>
        </is>
      </c>
      <c r="BJ1" s="6" t="inlineStr">
        <is>
          <t>2027-W09</t>
        </is>
      </c>
      <c r="BK1" s="6" t="inlineStr">
        <is>
          <t>2027-W10</t>
        </is>
      </c>
      <c r="BL1" s="6" t="inlineStr">
        <is>
          <t>2027-W11</t>
        </is>
      </c>
      <c r="BM1" s="6" t="inlineStr">
        <is>
          <t>2027-W12</t>
        </is>
      </c>
      <c r="BN1" s="6" t="inlineStr">
        <is>
          <t>2027-W13</t>
        </is>
      </c>
      <c r="BO1" s="6" t="inlineStr">
        <is>
          <t>2027-W14</t>
        </is>
      </c>
      <c r="BP1" s="6" t="inlineStr">
        <is>
          <t>2027-W15</t>
        </is>
      </c>
      <c r="BQ1" s="6" t="inlineStr">
        <is>
          <t>2027-W16</t>
        </is>
      </c>
      <c r="BR1" s="6" t="inlineStr">
        <is>
          <t>2027-W17</t>
        </is>
      </c>
      <c r="BS1" s="6" t="inlineStr">
        <is>
          <t>2027-W18</t>
        </is>
      </c>
      <c r="BT1" s="6" t="inlineStr">
        <is>
          <t>2027-W19</t>
        </is>
      </c>
      <c r="BU1" s="6" t="inlineStr">
        <is>
          <t>2027-W20</t>
        </is>
      </c>
      <c r="BV1" s="6" t="inlineStr">
        <is>
          <t>2027-W21</t>
        </is>
      </c>
      <c r="BW1" s="6" t="inlineStr">
        <is>
          <t>2027-W22</t>
        </is>
      </c>
      <c r="BX1" s="6" t="inlineStr">
        <is>
          <t>2027-W23</t>
        </is>
      </c>
      <c r="BY1" s="6" t="inlineStr">
        <is>
          <t>2027-W24</t>
        </is>
      </c>
      <c r="BZ1" s="6" t="inlineStr">
        <is>
          <t>2027-W25</t>
        </is>
      </c>
      <c r="CA1" s="6" t="inlineStr">
        <is>
          <t>2027-W26</t>
        </is>
      </c>
      <c r="CB1" s="6" t="inlineStr">
        <is>
          <t>2027-W27</t>
        </is>
      </c>
      <c r="CC1" s="6" t="inlineStr">
        <is>
          <t>2027-W28</t>
        </is>
      </c>
      <c r="CD1" s="6" t="inlineStr">
        <is>
          <t>2027-W29</t>
        </is>
      </c>
      <c r="CE1" s="6" t="inlineStr">
        <is>
          <t>2027-W30</t>
        </is>
      </c>
      <c r="CF1" s="6" t="inlineStr">
        <is>
          <t>2027-W31</t>
        </is>
      </c>
      <c r="CG1" s="6" t="inlineStr">
        <is>
          <t>2027-W32</t>
        </is>
      </c>
      <c r="CH1" s="6" t="inlineStr">
        <is>
          <t>2027-W33</t>
        </is>
      </c>
      <c r="CI1" s="6" t="inlineStr">
        <is>
          <t>2027-W34</t>
        </is>
      </c>
      <c r="CJ1" s="6" t="inlineStr">
        <is>
          <t>2027-W35</t>
        </is>
      </c>
      <c r="CK1" s="6" t="inlineStr">
        <is>
          <t>2027-W36</t>
        </is>
      </c>
      <c r="CL1" s="6" t="inlineStr">
        <is>
          <t>2027-W37</t>
        </is>
      </c>
      <c r="CM1" s="6" t="inlineStr">
        <is>
          <t>2027-W38</t>
        </is>
      </c>
      <c r="CN1" s="6" t="inlineStr">
        <is>
          <t>2027-W39</t>
        </is>
      </c>
      <c r="CO1" s="6" t="inlineStr">
        <is>
          <t>2027-W40</t>
        </is>
      </c>
      <c r="CP1" s="6" t="inlineStr">
        <is>
          <t>2027-W41</t>
        </is>
      </c>
      <c r="CQ1" s="6" t="inlineStr">
        <is>
          <t>2027-W42</t>
        </is>
      </c>
      <c r="CR1" s="6" t="inlineStr">
        <is>
          <t>2027-W43</t>
        </is>
      </c>
      <c r="CS1" s="6" t="inlineStr">
        <is>
          <t>2027-W44</t>
        </is>
      </c>
      <c r="CT1" s="6" t="inlineStr">
        <is>
          <t>2027-W45</t>
        </is>
      </c>
      <c r="CU1" s="6" t="inlineStr">
        <is>
          <t>2027-W46</t>
        </is>
      </c>
      <c r="CV1" s="6" t="inlineStr">
        <is>
          <t>2027-W47</t>
        </is>
      </c>
      <c r="CW1" s="6" t="inlineStr">
        <is>
          <t>2027-W48</t>
        </is>
      </c>
      <c r="CX1" s="6" t="inlineStr">
        <is>
          <t>2027-W49</t>
        </is>
      </c>
      <c r="CY1" s="6" t="inlineStr">
        <is>
          <t>2027-W50</t>
        </is>
      </c>
      <c r="CZ1" s="6" t="inlineStr">
        <is>
          <t>2027-W51</t>
        </is>
      </c>
      <c r="DA1" s="6" t="inlineStr">
        <is>
          <t>2027-W52</t>
        </is>
      </c>
    </row>
    <row r="2">
      <c r="A2" t="inlineStr">
        <is>
          <t>7EP</t>
        </is>
      </c>
      <c r="B2">
        <f>IF(COUNTIF(Material_Detail!$DE:$DE,$A2)&gt;0,IF(ISNUMBER(SEARCH("[済]",INDEX(Material_Detail!$D:$DC,MATCH($A2,Material_Detail!$DE:$DE,0)+1,1))),0,IFERROR(INDEX(Material_Detail!$D:$DC,MATCH($A2,Material_Detail!$DE:$DE,0),1),0)),SUMIFS(T_Shipments[Confirmed_Qty],T_Shipments[Part Name],$A2,T_Shipments[Effective_Week],1))</f>
        <v/>
      </c>
      <c r="C2">
        <f>IF(COUNTIF(Material_Detail!$DE:$DE,$A2)&gt;0,IF(ISNUMBER(SEARCH("[済]",INDEX(Material_Detail!$D:$DC,MATCH($A2,Material_Detail!$DE:$DE,0)+1,2))),0,IFERROR(INDEX(Material_Detail!$D:$DC,MATCH($A2,Material_Detail!$DE:$DE,0),2),0)),SUMIFS(T_Shipments[Confirmed_Qty],T_Shipments[Part Name],$A2,T_Shipments[Effective_Week],2))</f>
        <v/>
      </c>
      <c r="D2">
        <f>IF(COUNTIF(Material_Detail!$DE:$DE,$A2)&gt;0,IF(ISNUMBER(SEARCH("[済]",INDEX(Material_Detail!$D:$DC,MATCH($A2,Material_Detail!$DE:$DE,0)+1,3))),0,IFERROR(INDEX(Material_Detail!$D:$DC,MATCH($A2,Material_Detail!$DE:$DE,0),3),0)),SUMIFS(T_Shipments[Confirmed_Qty],T_Shipments[Part Name],$A2,T_Shipments[Effective_Week],3))</f>
        <v/>
      </c>
      <c r="E2">
        <f>IF(COUNTIF(Material_Detail!$DE:$DE,$A2)&gt;0,IF(ISNUMBER(SEARCH("[済]",INDEX(Material_Detail!$D:$DC,MATCH($A2,Material_Detail!$DE:$DE,0)+1,4))),0,IFERROR(INDEX(Material_Detail!$D:$DC,MATCH($A2,Material_Detail!$DE:$DE,0),4),0)),SUMIFS(T_Shipments[Confirmed_Qty],T_Shipments[Part Name],$A2,T_Shipments[Effective_Week],4))</f>
        <v/>
      </c>
      <c r="F2">
        <f>IF(COUNTIF(Material_Detail!$DE:$DE,$A2)&gt;0,IF(ISNUMBER(SEARCH("[済]",INDEX(Material_Detail!$D:$DC,MATCH($A2,Material_Detail!$DE:$DE,0)+1,5))),0,IFERROR(INDEX(Material_Detail!$D:$DC,MATCH($A2,Material_Detail!$DE:$DE,0),5),0)),SUMIFS(T_Shipments[Confirmed_Qty],T_Shipments[Part Name],$A2,T_Shipments[Effective_Week],5))</f>
        <v/>
      </c>
      <c r="G2">
        <f>IF(COUNTIF(Material_Detail!$DE:$DE,$A2)&gt;0,IF(ISNUMBER(SEARCH("[済]",INDEX(Material_Detail!$D:$DC,MATCH($A2,Material_Detail!$DE:$DE,0)+1,6))),0,IFERROR(INDEX(Material_Detail!$D:$DC,MATCH($A2,Material_Detail!$DE:$DE,0),6),0)),SUMIFS(T_Shipments[Confirmed_Qty],T_Shipments[Part Name],$A2,T_Shipments[Effective_Week],6))</f>
        <v/>
      </c>
      <c r="H2">
        <f>IF(COUNTIF(Material_Detail!$DE:$DE,$A2)&gt;0,IF(ISNUMBER(SEARCH("[済]",INDEX(Material_Detail!$D:$DC,MATCH($A2,Material_Detail!$DE:$DE,0)+1,7))),0,IFERROR(INDEX(Material_Detail!$D:$DC,MATCH($A2,Material_Detail!$DE:$DE,0),7),0)),SUMIFS(T_Shipments[Confirmed_Qty],T_Shipments[Part Name],$A2,T_Shipments[Effective_Week],7))</f>
        <v/>
      </c>
      <c r="I2">
        <f>IF(COUNTIF(Material_Detail!$DE:$DE,$A2)&gt;0,IF(ISNUMBER(SEARCH("[済]",INDEX(Material_Detail!$D:$DC,MATCH($A2,Material_Detail!$DE:$DE,0)+1,8))),0,IFERROR(INDEX(Material_Detail!$D:$DC,MATCH($A2,Material_Detail!$DE:$DE,0),8),0)),SUMIFS(T_Shipments[Confirmed_Qty],T_Shipments[Part Name],$A2,T_Shipments[Effective_Week],8))</f>
        <v/>
      </c>
      <c r="J2">
        <f>IF(COUNTIF(Material_Detail!$DE:$DE,$A2)&gt;0,IF(ISNUMBER(SEARCH("[済]",INDEX(Material_Detail!$D:$DC,MATCH($A2,Material_Detail!$DE:$DE,0)+1,9))),0,IFERROR(INDEX(Material_Detail!$D:$DC,MATCH($A2,Material_Detail!$DE:$DE,0),9),0)),SUMIFS(T_Shipments[Confirmed_Qty],T_Shipments[Part Name],$A2,T_Shipments[Effective_Week],9))</f>
        <v/>
      </c>
      <c r="K2">
        <f>IF(COUNTIF(Material_Detail!$DE:$DE,$A2)&gt;0,IF(ISNUMBER(SEARCH("[済]",INDEX(Material_Detail!$D:$DC,MATCH($A2,Material_Detail!$DE:$DE,0)+1,10))),0,IFERROR(INDEX(Material_Detail!$D:$DC,MATCH($A2,Material_Detail!$DE:$DE,0),10),0)),SUMIFS(T_Shipments[Confirmed_Qty],T_Shipments[Part Name],$A2,T_Shipments[Effective_Week],10))</f>
        <v/>
      </c>
      <c r="L2">
        <f>IF(COUNTIF(Material_Detail!$DE:$DE,$A2)&gt;0,IF(ISNUMBER(SEARCH("[済]",INDEX(Material_Detail!$D:$DC,MATCH($A2,Material_Detail!$DE:$DE,0)+1,11))),0,IFERROR(INDEX(Material_Detail!$D:$DC,MATCH($A2,Material_Detail!$DE:$DE,0),11),0)),SUMIFS(T_Shipments[Confirmed_Qty],T_Shipments[Part Name],$A2,T_Shipments[Effective_Week],11))</f>
        <v/>
      </c>
      <c r="M2">
        <f>IF(COUNTIF(Material_Detail!$DE:$DE,$A2)&gt;0,IF(ISNUMBER(SEARCH("[済]",INDEX(Material_Detail!$D:$DC,MATCH($A2,Material_Detail!$DE:$DE,0)+1,12))),0,IFERROR(INDEX(Material_Detail!$D:$DC,MATCH($A2,Material_Detail!$DE:$DE,0),12),0)),SUMIFS(T_Shipments[Confirmed_Qty],T_Shipments[Part Name],$A2,T_Shipments[Effective_Week],12))</f>
        <v/>
      </c>
      <c r="N2">
        <f>IF(COUNTIF(Material_Detail!$DE:$DE,$A2)&gt;0,IF(ISNUMBER(SEARCH("[済]",INDEX(Material_Detail!$D:$DC,MATCH($A2,Material_Detail!$DE:$DE,0)+1,13))),0,IFERROR(INDEX(Material_Detail!$D:$DC,MATCH($A2,Material_Detail!$DE:$DE,0),13),0)),SUMIFS(T_Shipments[Confirmed_Qty],T_Shipments[Part Name],$A2,T_Shipments[Effective_Week],13))</f>
        <v/>
      </c>
      <c r="O2">
        <f>IF(COUNTIF(Material_Detail!$DE:$DE,$A2)&gt;0,IF(ISNUMBER(SEARCH("[済]",INDEX(Material_Detail!$D:$DC,MATCH($A2,Material_Detail!$DE:$DE,0)+1,14))),0,IFERROR(INDEX(Material_Detail!$D:$DC,MATCH($A2,Material_Detail!$DE:$DE,0),14),0)),SUMIFS(T_Shipments[Confirmed_Qty],T_Shipments[Part Name],$A2,T_Shipments[Effective_Week],14))</f>
        <v/>
      </c>
      <c r="P2">
        <f>IF(COUNTIF(Material_Detail!$DE:$DE,$A2)&gt;0,IF(ISNUMBER(SEARCH("[済]",INDEX(Material_Detail!$D:$DC,MATCH($A2,Material_Detail!$DE:$DE,0)+1,15))),0,IFERROR(INDEX(Material_Detail!$D:$DC,MATCH($A2,Material_Detail!$DE:$DE,0),15),0)),SUMIFS(T_Shipments[Confirmed_Qty],T_Shipments[Part Name],$A2,T_Shipments[Effective_Week],15))</f>
        <v/>
      </c>
      <c r="Q2">
        <f>IF(COUNTIF(Material_Detail!$DE:$DE,$A2)&gt;0,IF(ISNUMBER(SEARCH("[済]",INDEX(Material_Detail!$D:$DC,MATCH($A2,Material_Detail!$DE:$DE,0)+1,16))),0,IFERROR(INDEX(Material_Detail!$D:$DC,MATCH($A2,Material_Detail!$DE:$DE,0),16),0)),SUMIFS(T_Shipments[Confirmed_Qty],T_Shipments[Part Name],$A2,T_Shipments[Effective_Week],16))</f>
        <v/>
      </c>
      <c r="R2">
        <f>IF(COUNTIF(Material_Detail!$DE:$DE,$A2)&gt;0,IF(ISNUMBER(SEARCH("[済]",INDEX(Material_Detail!$D:$DC,MATCH($A2,Material_Detail!$DE:$DE,0)+1,17))),0,IFERROR(INDEX(Material_Detail!$D:$DC,MATCH($A2,Material_Detail!$DE:$DE,0),17),0)),SUMIFS(T_Shipments[Confirmed_Qty],T_Shipments[Part Name],$A2,T_Shipments[Effective_Week],17))</f>
        <v/>
      </c>
      <c r="S2">
        <f>IF(COUNTIF(Material_Detail!$DE:$DE,$A2)&gt;0,IF(ISNUMBER(SEARCH("[済]",INDEX(Material_Detail!$D:$DC,MATCH($A2,Material_Detail!$DE:$DE,0)+1,18))),0,IFERROR(INDEX(Material_Detail!$D:$DC,MATCH($A2,Material_Detail!$DE:$DE,0),18),0)),SUMIFS(T_Shipments[Confirmed_Qty],T_Shipments[Part Name],$A2,T_Shipments[Effective_Week],18))</f>
        <v/>
      </c>
      <c r="T2">
        <f>IF(COUNTIF(Material_Detail!$DE:$DE,$A2)&gt;0,IF(ISNUMBER(SEARCH("[済]",INDEX(Material_Detail!$D:$DC,MATCH($A2,Material_Detail!$DE:$DE,0)+1,19))),0,IFERROR(INDEX(Material_Detail!$D:$DC,MATCH($A2,Material_Detail!$DE:$DE,0),19),0)),SUMIFS(T_Shipments[Confirmed_Qty],T_Shipments[Part Name],$A2,T_Shipments[Effective_Week],19))</f>
        <v/>
      </c>
      <c r="U2">
        <f>IF(COUNTIF(Material_Detail!$DE:$DE,$A2)&gt;0,IF(ISNUMBER(SEARCH("[済]",INDEX(Material_Detail!$D:$DC,MATCH($A2,Material_Detail!$DE:$DE,0)+1,20))),0,IFERROR(INDEX(Material_Detail!$D:$DC,MATCH($A2,Material_Detail!$DE:$DE,0),20),0)),SUMIFS(T_Shipments[Confirmed_Qty],T_Shipments[Part Name],$A2,T_Shipments[Effective_Week],20))</f>
        <v/>
      </c>
      <c r="V2">
        <f>IF(COUNTIF(Material_Detail!$DE:$DE,$A2)&gt;0,IF(ISNUMBER(SEARCH("[済]",INDEX(Material_Detail!$D:$DC,MATCH($A2,Material_Detail!$DE:$DE,0)+1,21))),0,IFERROR(INDEX(Material_Detail!$D:$DC,MATCH($A2,Material_Detail!$DE:$DE,0),21),0)),SUMIFS(T_Shipments[Confirmed_Qty],T_Shipments[Part Name],$A2,T_Shipments[Effective_Week],21))</f>
        <v/>
      </c>
      <c r="W2">
        <f>IF(COUNTIF(Material_Detail!$DE:$DE,$A2)&gt;0,IF(ISNUMBER(SEARCH("[済]",INDEX(Material_Detail!$D:$DC,MATCH($A2,Material_Detail!$DE:$DE,0)+1,22))),0,IFERROR(INDEX(Material_Detail!$D:$DC,MATCH($A2,Material_Detail!$DE:$DE,0),22),0)),SUMIFS(T_Shipments[Confirmed_Qty],T_Shipments[Part Name],$A2,T_Shipments[Effective_Week],22))</f>
        <v/>
      </c>
      <c r="X2">
        <f>IF(COUNTIF(Material_Detail!$DE:$DE,$A2)&gt;0,IF(ISNUMBER(SEARCH("[済]",INDEX(Material_Detail!$D:$DC,MATCH($A2,Material_Detail!$DE:$DE,0)+1,23))),0,IFERROR(INDEX(Material_Detail!$D:$DC,MATCH($A2,Material_Detail!$DE:$DE,0),23),0)),SUMIFS(T_Shipments[Confirmed_Qty],T_Shipments[Part Name],$A2,T_Shipments[Effective_Week],23))</f>
        <v/>
      </c>
      <c r="Y2">
        <f>IF(COUNTIF(Material_Detail!$DE:$DE,$A2)&gt;0,IF(ISNUMBER(SEARCH("[済]",INDEX(Material_Detail!$D:$DC,MATCH($A2,Material_Detail!$DE:$DE,0)+1,24))),0,IFERROR(INDEX(Material_Detail!$D:$DC,MATCH($A2,Material_Detail!$DE:$DE,0),24),0)),SUMIFS(T_Shipments[Confirmed_Qty],T_Shipments[Part Name],$A2,T_Shipments[Effective_Week],24))</f>
        <v/>
      </c>
      <c r="Z2">
        <f>IF(COUNTIF(Material_Detail!$DE:$DE,$A2)&gt;0,IF(ISNUMBER(SEARCH("[済]",INDEX(Material_Detail!$D:$DC,MATCH($A2,Material_Detail!$DE:$DE,0)+1,25))),0,IFERROR(INDEX(Material_Detail!$D:$DC,MATCH($A2,Material_Detail!$DE:$DE,0),25),0)),SUMIFS(T_Shipments[Confirmed_Qty],T_Shipments[Part Name],$A2,T_Shipments[Effective_Week],25))</f>
        <v/>
      </c>
      <c r="AA2">
        <f>IF(COUNTIF(Material_Detail!$DE:$DE,$A2)&gt;0,IF(ISNUMBER(SEARCH("[済]",INDEX(Material_Detail!$D:$DC,MATCH($A2,Material_Detail!$DE:$DE,0)+1,26))),0,IFERROR(INDEX(Material_Detail!$D:$DC,MATCH($A2,Material_Detail!$DE:$DE,0),26),0)),SUMIFS(T_Shipments[Confirmed_Qty],T_Shipments[Part Name],$A2,T_Shipments[Effective_Week],26))</f>
        <v/>
      </c>
      <c r="AB2">
        <f>IF(COUNTIF(Material_Detail!$DE:$DE,$A2)&gt;0,IF(ISNUMBER(SEARCH("[済]",INDEX(Material_Detail!$D:$DC,MATCH($A2,Material_Detail!$DE:$DE,0)+1,27))),0,IFERROR(INDEX(Material_Detail!$D:$DC,MATCH($A2,Material_Detail!$DE:$DE,0),27),0)),SUMIFS(T_Shipments[Confirmed_Qty],T_Shipments[Part Name],$A2,T_Shipments[Effective_Week],27))</f>
        <v/>
      </c>
      <c r="AC2">
        <f>IF(COUNTIF(Material_Detail!$DE:$DE,$A2)&gt;0,IF(ISNUMBER(SEARCH("[済]",INDEX(Material_Detail!$D:$DC,MATCH($A2,Material_Detail!$DE:$DE,0)+1,28))),0,IFERROR(INDEX(Material_Detail!$D:$DC,MATCH($A2,Material_Detail!$DE:$DE,0),28),0)),SUMIFS(T_Shipments[Confirmed_Qty],T_Shipments[Part Name],$A2,T_Shipments[Effective_Week],28))</f>
        <v/>
      </c>
      <c r="AD2">
        <f>IF(COUNTIF(Material_Detail!$DE:$DE,$A2)&gt;0,IF(ISNUMBER(SEARCH("[済]",INDEX(Material_Detail!$D:$DC,MATCH($A2,Material_Detail!$DE:$DE,0)+1,29))),0,IFERROR(INDEX(Material_Detail!$D:$DC,MATCH($A2,Material_Detail!$DE:$DE,0),29),0)),SUMIFS(T_Shipments[Confirmed_Qty],T_Shipments[Part Name],$A2,T_Shipments[Effective_Week],29))</f>
        <v/>
      </c>
      <c r="AE2">
        <f>IF(COUNTIF(Material_Detail!$DE:$DE,$A2)&gt;0,IF(ISNUMBER(SEARCH("[済]",INDEX(Material_Detail!$D:$DC,MATCH($A2,Material_Detail!$DE:$DE,0)+1,30))),0,IFERROR(INDEX(Material_Detail!$D:$DC,MATCH($A2,Material_Detail!$DE:$DE,0),30),0)),SUMIFS(T_Shipments[Confirmed_Qty],T_Shipments[Part Name],$A2,T_Shipments[Effective_Week],30))</f>
        <v/>
      </c>
      <c r="AF2">
        <f>IF(COUNTIF(Material_Detail!$DE:$DE,$A2)&gt;0,IF(ISNUMBER(SEARCH("[済]",INDEX(Material_Detail!$D:$DC,MATCH($A2,Material_Detail!$DE:$DE,0)+1,31))),0,IFERROR(INDEX(Material_Detail!$D:$DC,MATCH($A2,Material_Detail!$DE:$DE,0),31),0)),SUMIFS(T_Shipments[Confirmed_Qty],T_Shipments[Part Name],$A2,T_Shipments[Effective_Week],31))</f>
        <v/>
      </c>
      <c r="AG2">
        <f>IF(COUNTIF(Material_Detail!$DE:$DE,$A2)&gt;0,IF(ISNUMBER(SEARCH("[済]",INDEX(Material_Detail!$D:$DC,MATCH($A2,Material_Detail!$DE:$DE,0)+1,32))),0,IFERROR(INDEX(Material_Detail!$D:$DC,MATCH($A2,Material_Detail!$DE:$DE,0),32),0)),SUMIFS(T_Shipments[Confirmed_Qty],T_Shipments[Part Name],$A2,T_Shipments[Effective_Week],32))</f>
        <v/>
      </c>
      <c r="AH2">
        <f>IF(COUNTIF(Material_Detail!$DE:$DE,$A2)&gt;0,IF(ISNUMBER(SEARCH("[済]",INDEX(Material_Detail!$D:$DC,MATCH($A2,Material_Detail!$DE:$DE,0)+1,33))),0,IFERROR(INDEX(Material_Detail!$D:$DC,MATCH($A2,Material_Detail!$DE:$DE,0),33),0)),SUMIFS(T_Shipments[Confirmed_Qty],T_Shipments[Part Name],$A2,T_Shipments[Effective_Week],33))</f>
        <v/>
      </c>
      <c r="AI2">
        <f>IF(COUNTIF(Material_Detail!$DE:$DE,$A2)&gt;0,IF(ISNUMBER(SEARCH("[済]",INDEX(Material_Detail!$D:$DC,MATCH($A2,Material_Detail!$DE:$DE,0)+1,34))),0,IFERROR(INDEX(Material_Detail!$D:$DC,MATCH($A2,Material_Detail!$DE:$DE,0),34),0)),SUMIFS(T_Shipments[Confirmed_Qty],T_Shipments[Part Name],$A2,T_Shipments[Effective_Week],34))</f>
        <v/>
      </c>
      <c r="AJ2">
        <f>IF(COUNTIF(Material_Detail!$DE:$DE,$A2)&gt;0,IF(ISNUMBER(SEARCH("[済]",INDEX(Material_Detail!$D:$DC,MATCH($A2,Material_Detail!$DE:$DE,0)+1,35))),0,IFERROR(INDEX(Material_Detail!$D:$DC,MATCH($A2,Material_Detail!$DE:$DE,0),35),0)),SUMIFS(T_Shipments[Confirmed_Qty],T_Shipments[Part Name],$A2,T_Shipments[Effective_Week],35))</f>
        <v/>
      </c>
      <c r="AK2">
        <f>IF(COUNTIF(Material_Detail!$DE:$DE,$A2)&gt;0,IF(ISNUMBER(SEARCH("[済]",INDEX(Material_Detail!$D:$DC,MATCH($A2,Material_Detail!$DE:$DE,0)+1,36))),0,IFERROR(INDEX(Material_Detail!$D:$DC,MATCH($A2,Material_Detail!$DE:$DE,0),36),0)),SUMIFS(T_Shipments[Confirmed_Qty],T_Shipments[Part Name],$A2,T_Shipments[Effective_Week],36))</f>
        <v/>
      </c>
      <c r="AL2">
        <f>IF(COUNTIF(Material_Detail!$DE:$DE,$A2)&gt;0,IF(ISNUMBER(SEARCH("[済]",INDEX(Material_Detail!$D:$DC,MATCH($A2,Material_Detail!$DE:$DE,0)+1,37))),0,IFERROR(INDEX(Material_Detail!$D:$DC,MATCH($A2,Material_Detail!$DE:$DE,0),37),0)),SUMIFS(T_Shipments[Confirmed_Qty],T_Shipments[Part Name],$A2,T_Shipments[Effective_Week],37))</f>
        <v/>
      </c>
      <c r="AM2">
        <f>IF(COUNTIF(Material_Detail!$DE:$DE,$A2)&gt;0,IF(ISNUMBER(SEARCH("[済]",INDEX(Material_Detail!$D:$DC,MATCH($A2,Material_Detail!$DE:$DE,0)+1,38))),0,IFERROR(INDEX(Material_Detail!$D:$DC,MATCH($A2,Material_Detail!$DE:$DE,0),38),0)),SUMIFS(T_Shipments[Confirmed_Qty],T_Shipments[Part Name],$A2,T_Shipments[Effective_Week],38))</f>
        <v/>
      </c>
      <c r="AN2">
        <f>IF(COUNTIF(Material_Detail!$DE:$DE,$A2)&gt;0,IF(ISNUMBER(SEARCH("[済]",INDEX(Material_Detail!$D:$DC,MATCH($A2,Material_Detail!$DE:$DE,0)+1,39))),0,IFERROR(INDEX(Material_Detail!$D:$DC,MATCH($A2,Material_Detail!$DE:$DE,0),39),0)),SUMIFS(T_Shipments[Confirmed_Qty],T_Shipments[Part Name],$A2,T_Shipments[Effective_Week],39))</f>
        <v/>
      </c>
      <c r="AO2">
        <f>IF(COUNTIF(Material_Detail!$DE:$DE,$A2)&gt;0,IF(ISNUMBER(SEARCH("[済]",INDEX(Material_Detail!$D:$DC,MATCH($A2,Material_Detail!$DE:$DE,0)+1,40))),0,IFERROR(INDEX(Material_Detail!$D:$DC,MATCH($A2,Material_Detail!$DE:$DE,0),40),0)),SUMIFS(T_Shipments[Confirmed_Qty],T_Shipments[Part Name],$A2,T_Shipments[Effective_Week],40))</f>
        <v/>
      </c>
      <c r="AP2">
        <f>IF(COUNTIF(Material_Detail!$DE:$DE,$A2)&gt;0,IF(ISNUMBER(SEARCH("[済]",INDEX(Material_Detail!$D:$DC,MATCH($A2,Material_Detail!$DE:$DE,0)+1,41))),0,IFERROR(INDEX(Material_Detail!$D:$DC,MATCH($A2,Material_Detail!$DE:$DE,0),41),0)),SUMIFS(T_Shipments[Confirmed_Qty],T_Shipments[Part Name],$A2,T_Shipments[Effective_Week],41))</f>
        <v/>
      </c>
      <c r="AQ2">
        <f>IF(COUNTIF(Material_Detail!$DE:$DE,$A2)&gt;0,IF(ISNUMBER(SEARCH("[済]",INDEX(Material_Detail!$D:$DC,MATCH($A2,Material_Detail!$DE:$DE,0)+1,42))),0,IFERROR(INDEX(Material_Detail!$D:$DC,MATCH($A2,Material_Detail!$DE:$DE,0),42),0)),SUMIFS(T_Shipments[Confirmed_Qty],T_Shipments[Part Name],$A2,T_Shipments[Effective_Week],42))</f>
        <v/>
      </c>
      <c r="AR2">
        <f>IF(COUNTIF(Material_Detail!$DE:$DE,$A2)&gt;0,IF(ISNUMBER(SEARCH("[済]",INDEX(Material_Detail!$D:$DC,MATCH($A2,Material_Detail!$DE:$DE,0)+1,43))),0,IFERROR(INDEX(Material_Detail!$D:$DC,MATCH($A2,Material_Detail!$DE:$DE,0),43),0)),SUMIFS(T_Shipments[Confirmed_Qty],T_Shipments[Part Name],$A2,T_Shipments[Effective_Week],43))</f>
        <v/>
      </c>
      <c r="AS2">
        <f>IF(COUNTIF(Material_Detail!$DE:$DE,$A2)&gt;0,IF(ISNUMBER(SEARCH("[済]",INDEX(Material_Detail!$D:$DC,MATCH($A2,Material_Detail!$DE:$DE,0)+1,44))),0,IFERROR(INDEX(Material_Detail!$D:$DC,MATCH($A2,Material_Detail!$DE:$DE,0),44),0)),SUMIFS(T_Shipments[Confirmed_Qty],T_Shipments[Part Name],$A2,T_Shipments[Effective_Week],44))</f>
        <v/>
      </c>
      <c r="AT2">
        <f>IF(COUNTIF(Material_Detail!$DE:$DE,$A2)&gt;0,IF(ISNUMBER(SEARCH("[済]",INDEX(Material_Detail!$D:$DC,MATCH($A2,Material_Detail!$DE:$DE,0)+1,45))),0,IFERROR(INDEX(Material_Detail!$D:$DC,MATCH($A2,Material_Detail!$DE:$DE,0),45),0)),SUMIFS(T_Shipments[Confirmed_Qty],T_Shipments[Part Name],$A2,T_Shipments[Effective_Week],45))</f>
        <v/>
      </c>
      <c r="AU2">
        <f>IF(COUNTIF(Material_Detail!$DE:$DE,$A2)&gt;0,IF(ISNUMBER(SEARCH("[済]",INDEX(Material_Detail!$D:$DC,MATCH($A2,Material_Detail!$DE:$DE,0)+1,46))),0,IFERROR(INDEX(Material_Detail!$D:$DC,MATCH($A2,Material_Detail!$DE:$DE,0),46),0)),SUMIFS(T_Shipments[Confirmed_Qty],T_Shipments[Part Name],$A2,T_Shipments[Effective_Week],46))</f>
        <v/>
      </c>
      <c r="AV2">
        <f>IF(COUNTIF(Material_Detail!$DE:$DE,$A2)&gt;0,IF(ISNUMBER(SEARCH("[済]",INDEX(Material_Detail!$D:$DC,MATCH($A2,Material_Detail!$DE:$DE,0)+1,47))),0,IFERROR(INDEX(Material_Detail!$D:$DC,MATCH($A2,Material_Detail!$DE:$DE,0),47),0)),SUMIFS(T_Shipments[Confirmed_Qty],T_Shipments[Part Name],$A2,T_Shipments[Effective_Week],47))</f>
        <v/>
      </c>
      <c r="AW2">
        <f>IF(COUNTIF(Material_Detail!$DE:$DE,$A2)&gt;0,IF(ISNUMBER(SEARCH("[済]",INDEX(Material_Detail!$D:$DC,MATCH($A2,Material_Detail!$DE:$DE,0)+1,48))),0,IFERROR(INDEX(Material_Detail!$D:$DC,MATCH($A2,Material_Detail!$DE:$DE,0),48),0)),SUMIFS(T_Shipments[Confirmed_Qty],T_Shipments[Part Name],$A2,T_Shipments[Effective_Week],48))</f>
        <v/>
      </c>
      <c r="AX2">
        <f>IF(COUNTIF(Material_Detail!$DE:$DE,$A2)&gt;0,IF(ISNUMBER(SEARCH("[済]",INDEX(Material_Detail!$D:$DC,MATCH($A2,Material_Detail!$DE:$DE,0)+1,49))),0,IFERROR(INDEX(Material_Detail!$D:$DC,MATCH($A2,Material_Detail!$DE:$DE,0),49),0)),SUMIFS(T_Shipments[Confirmed_Qty],T_Shipments[Part Name],$A2,T_Shipments[Effective_Week],49))</f>
        <v/>
      </c>
      <c r="AY2">
        <f>IF(COUNTIF(Material_Detail!$DE:$DE,$A2)&gt;0,IF(ISNUMBER(SEARCH("[済]",INDEX(Material_Detail!$D:$DC,MATCH($A2,Material_Detail!$DE:$DE,0)+1,50))),0,IFERROR(INDEX(Material_Detail!$D:$DC,MATCH($A2,Material_Detail!$DE:$DE,0),50),0)),SUMIFS(T_Shipments[Confirmed_Qty],T_Shipments[Part Name],$A2,T_Shipments[Effective_Week],50))</f>
        <v/>
      </c>
      <c r="AZ2">
        <f>IF(COUNTIF(Material_Detail!$DE:$DE,$A2)&gt;0,IF(ISNUMBER(SEARCH("[済]",INDEX(Material_Detail!$D:$DC,MATCH($A2,Material_Detail!$DE:$DE,0)+1,51))),0,IFERROR(INDEX(Material_Detail!$D:$DC,MATCH($A2,Material_Detail!$DE:$DE,0),51),0)),SUMIFS(T_Shipments[Confirmed_Qty],T_Shipments[Part Name],$A2,T_Shipments[Effective_Week],51))</f>
        <v/>
      </c>
      <c r="BA2">
        <f>IF(COUNTIF(Material_Detail!$DE:$DE,$A2)&gt;0,IF(ISNUMBER(SEARCH("[済]",INDEX(Material_Detail!$D:$DC,MATCH($A2,Material_Detail!$DE:$DE,0)+1,52))),0,IFERROR(INDEX(Material_Detail!$D:$DC,MATCH($A2,Material_Detail!$DE:$DE,0),52),0)),SUMIFS(T_Shipments[Confirmed_Qty],T_Shipments[Part Name],$A2,T_Shipments[Effective_Week],52))</f>
        <v/>
      </c>
      <c r="BB2">
        <f>IF(COUNTIF(Material_Detail!$DE:$DE,$A2)&gt;0,IF(ISNUMBER(SEARCH("[済]",INDEX(Material_Detail!$D:$DC,MATCH($A2,Material_Detail!$DE:$DE,0)+1,53))),0,IFERROR(INDEX(Material_Detail!$D:$DC,MATCH($A2,Material_Detail!$DE:$DE,0),53),0)),SUMIFS(T_Shipments[Confirmed_Qty],T_Shipments[Part Name],$A2,T_Shipments[Effective_Week],53))</f>
        <v/>
      </c>
      <c r="BC2">
        <f>IF(COUNTIF(Material_Detail!$DE:$DE,$A2)&gt;0,IF(ISNUMBER(SEARCH("[済]",INDEX(Material_Detail!$D:$DC,MATCH($A2,Material_Detail!$DE:$DE,0)+1,54))),0,IFERROR(INDEX(Material_Detail!$D:$DC,MATCH($A2,Material_Detail!$DE:$DE,0),54),0)),SUMIFS(T_Shipments[Confirmed_Qty],T_Shipments[Part Name],$A2,T_Shipments[Effective_Week],54))</f>
        <v/>
      </c>
      <c r="BD2">
        <f>IF(COUNTIF(Material_Detail!$DE:$DE,$A2)&gt;0,IF(ISNUMBER(SEARCH("[済]",INDEX(Material_Detail!$D:$DC,MATCH($A2,Material_Detail!$DE:$DE,0)+1,55))),0,IFERROR(INDEX(Material_Detail!$D:$DC,MATCH($A2,Material_Detail!$DE:$DE,0),55),0)),SUMIFS(T_Shipments[Confirmed_Qty],T_Shipments[Part Name],$A2,T_Shipments[Effective_Week],55))</f>
        <v/>
      </c>
      <c r="BE2">
        <f>IF(COUNTIF(Material_Detail!$DE:$DE,$A2)&gt;0,IF(ISNUMBER(SEARCH("[済]",INDEX(Material_Detail!$D:$DC,MATCH($A2,Material_Detail!$DE:$DE,0)+1,56))),0,IFERROR(INDEX(Material_Detail!$D:$DC,MATCH($A2,Material_Detail!$DE:$DE,0),56),0)),SUMIFS(T_Shipments[Confirmed_Qty],T_Shipments[Part Name],$A2,T_Shipments[Effective_Week],56))</f>
        <v/>
      </c>
      <c r="BF2">
        <f>IF(COUNTIF(Material_Detail!$DE:$DE,$A2)&gt;0,IF(ISNUMBER(SEARCH("[済]",INDEX(Material_Detail!$D:$DC,MATCH($A2,Material_Detail!$DE:$DE,0)+1,57))),0,IFERROR(INDEX(Material_Detail!$D:$DC,MATCH($A2,Material_Detail!$DE:$DE,0),57),0)),SUMIFS(T_Shipments[Confirmed_Qty],T_Shipments[Part Name],$A2,T_Shipments[Effective_Week],57))</f>
        <v/>
      </c>
      <c r="BG2">
        <f>IF(COUNTIF(Material_Detail!$DE:$DE,$A2)&gt;0,IF(ISNUMBER(SEARCH("[済]",INDEX(Material_Detail!$D:$DC,MATCH($A2,Material_Detail!$DE:$DE,0)+1,58))),0,IFERROR(INDEX(Material_Detail!$D:$DC,MATCH($A2,Material_Detail!$DE:$DE,0),58),0)),SUMIFS(T_Shipments[Confirmed_Qty],T_Shipments[Part Name],$A2,T_Shipments[Effective_Week],58))</f>
        <v/>
      </c>
      <c r="BH2">
        <f>IF(COUNTIF(Material_Detail!$DE:$DE,$A2)&gt;0,IF(ISNUMBER(SEARCH("[済]",INDEX(Material_Detail!$D:$DC,MATCH($A2,Material_Detail!$DE:$DE,0)+1,59))),0,IFERROR(INDEX(Material_Detail!$D:$DC,MATCH($A2,Material_Detail!$DE:$DE,0),59),0)),SUMIFS(T_Shipments[Confirmed_Qty],T_Shipments[Part Name],$A2,T_Shipments[Effective_Week],59))</f>
        <v/>
      </c>
      <c r="BI2">
        <f>IF(COUNTIF(Material_Detail!$DE:$DE,$A2)&gt;0,IF(ISNUMBER(SEARCH("[済]",INDEX(Material_Detail!$D:$DC,MATCH($A2,Material_Detail!$DE:$DE,0)+1,60))),0,IFERROR(INDEX(Material_Detail!$D:$DC,MATCH($A2,Material_Detail!$DE:$DE,0),60),0)),SUMIFS(T_Shipments[Confirmed_Qty],T_Shipments[Part Name],$A2,T_Shipments[Effective_Week],60))</f>
        <v/>
      </c>
      <c r="BJ2">
        <f>IF(COUNTIF(Material_Detail!$DE:$DE,$A2)&gt;0,IF(ISNUMBER(SEARCH("[済]",INDEX(Material_Detail!$D:$DC,MATCH($A2,Material_Detail!$DE:$DE,0)+1,61))),0,IFERROR(INDEX(Material_Detail!$D:$DC,MATCH($A2,Material_Detail!$DE:$DE,0),61),0)),SUMIFS(T_Shipments[Confirmed_Qty],T_Shipments[Part Name],$A2,T_Shipments[Effective_Week],61))</f>
        <v/>
      </c>
      <c r="BK2">
        <f>IF(COUNTIF(Material_Detail!$DE:$DE,$A2)&gt;0,IF(ISNUMBER(SEARCH("[済]",INDEX(Material_Detail!$D:$DC,MATCH($A2,Material_Detail!$DE:$DE,0)+1,62))),0,IFERROR(INDEX(Material_Detail!$D:$DC,MATCH($A2,Material_Detail!$DE:$DE,0),62),0)),SUMIFS(T_Shipments[Confirmed_Qty],T_Shipments[Part Name],$A2,T_Shipments[Effective_Week],62))</f>
        <v/>
      </c>
      <c r="BL2">
        <f>IF(COUNTIF(Material_Detail!$DE:$DE,$A2)&gt;0,IF(ISNUMBER(SEARCH("[済]",INDEX(Material_Detail!$D:$DC,MATCH($A2,Material_Detail!$DE:$DE,0)+1,63))),0,IFERROR(INDEX(Material_Detail!$D:$DC,MATCH($A2,Material_Detail!$DE:$DE,0),63),0)),SUMIFS(T_Shipments[Confirmed_Qty],T_Shipments[Part Name],$A2,T_Shipments[Effective_Week],63))</f>
        <v/>
      </c>
      <c r="BM2">
        <f>IF(COUNTIF(Material_Detail!$DE:$DE,$A2)&gt;0,IF(ISNUMBER(SEARCH("[済]",INDEX(Material_Detail!$D:$DC,MATCH($A2,Material_Detail!$DE:$DE,0)+1,64))),0,IFERROR(INDEX(Material_Detail!$D:$DC,MATCH($A2,Material_Detail!$DE:$DE,0),64),0)),SUMIFS(T_Shipments[Confirmed_Qty],T_Shipments[Part Name],$A2,T_Shipments[Effective_Week],64))</f>
        <v/>
      </c>
      <c r="BN2">
        <f>IF(COUNTIF(Material_Detail!$DE:$DE,$A2)&gt;0,IF(ISNUMBER(SEARCH("[済]",INDEX(Material_Detail!$D:$DC,MATCH($A2,Material_Detail!$DE:$DE,0)+1,65))),0,IFERROR(INDEX(Material_Detail!$D:$DC,MATCH($A2,Material_Detail!$DE:$DE,0),65),0)),SUMIFS(T_Shipments[Confirmed_Qty],T_Shipments[Part Name],$A2,T_Shipments[Effective_Week],65))</f>
        <v/>
      </c>
      <c r="BO2">
        <f>IF(COUNTIF(Material_Detail!$DE:$DE,$A2)&gt;0,IF(ISNUMBER(SEARCH("[済]",INDEX(Material_Detail!$D:$DC,MATCH($A2,Material_Detail!$DE:$DE,0)+1,66))),0,IFERROR(INDEX(Material_Detail!$D:$DC,MATCH($A2,Material_Detail!$DE:$DE,0),66),0)),SUMIFS(T_Shipments[Confirmed_Qty],T_Shipments[Part Name],$A2,T_Shipments[Effective_Week],66))</f>
        <v/>
      </c>
      <c r="BP2">
        <f>IF(COUNTIF(Material_Detail!$DE:$DE,$A2)&gt;0,IF(ISNUMBER(SEARCH("[済]",INDEX(Material_Detail!$D:$DC,MATCH($A2,Material_Detail!$DE:$DE,0)+1,67))),0,IFERROR(INDEX(Material_Detail!$D:$DC,MATCH($A2,Material_Detail!$DE:$DE,0),67),0)),SUMIFS(T_Shipments[Confirmed_Qty],T_Shipments[Part Name],$A2,T_Shipments[Effective_Week],67))</f>
        <v/>
      </c>
      <c r="BQ2">
        <f>IF(COUNTIF(Material_Detail!$DE:$DE,$A2)&gt;0,IF(ISNUMBER(SEARCH("[済]",INDEX(Material_Detail!$D:$DC,MATCH($A2,Material_Detail!$DE:$DE,0)+1,68))),0,IFERROR(INDEX(Material_Detail!$D:$DC,MATCH($A2,Material_Detail!$DE:$DE,0),68),0)),SUMIFS(T_Shipments[Confirmed_Qty],T_Shipments[Part Name],$A2,T_Shipments[Effective_Week],68))</f>
        <v/>
      </c>
      <c r="BR2">
        <f>IF(COUNTIF(Material_Detail!$DE:$DE,$A2)&gt;0,IF(ISNUMBER(SEARCH("[済]",INDEX(Material_Detail!$D:$DC,MATCH($A2,Material_Detail!$DE:$DE,0)+1,69))),0,IFERROR(INDEX(Material_Detail!$D:$DC,MATCH($A2,Material_Detail!$DE:$DE,0),69),0)),SUMIFS(T_Shipments[Confirmed_Qty],T_Shipments[Part Name],$A2,T_Shipments[Effective_Week],69))</f>
        <v/>
      </c>
      <c r="BS2">
        <f>IF(COUNTIF(Material_Detail!$DE:$DE,$A2)&gt;0,IF(ISNUMBER(SEARCH("[済]",INDEX(Material_Detail!$D:$DC,MATCH($A2,Material_Detail!$DE:$DE,0)+1,70))),0,IFERROR(INDEX(Material_Detail!$D:$DC,MATCH($A2,Material_Detail!$DE:$DE,0),70),0)),SUMIFS(T_Shipments[Confirmed_Qty],T_Shipments[Part Name],$A2,T_Shipments[Effective_Week],70))</f>
        <v/>
      </c>
      <c r="BT2">
        <f>IF(COUNTIF(Material_Detail!$DE:$DE,$A2)&gt;0,IF(ISNUMBER(SEARCH("[済]",INDEX(Material_Detail!$D:$DC,MATCH($A2,Material_Detail!$DE:$DE,0)+1,71))),0,IFERROR(INDEX(Material_Detail!$D:$DC,MATCH($A2,Material_Detail!$DE:$DE,0),71),0)),SUMIFS(T_Shipments[Confirmed_Qty],T_Shipments[Part Name],$A2,T_Shipments[Effective_Week],71))</f>
        <v/>
      </c>
      <c r="BU2">
        <f>IF(COUNTIF(Material_Detail!$DE:$DE,$A2)&gt;0,IF(ISNUMBER(SEARCH("[済]",INDEX(Material_Detail!$D:$DC,MATCH($A2,Material_Detail!$DE:$DE,0)+1,72))),0,IFERROR(INDEX(Material_Detail!$D:$DC,MATCH($A2,Material_Detail!$DE:$DE,0),72),0)),SUMIFS(T_Shipments[Confirmed_Qty],T_Shipments[Part Name],$A2,T_Shipments[Effective_Week],72))</f>
        <v/>
      </c>
      <c r="BV2">
        <f>IF(COUNTIF(Material_Detail!$DE:$DE,$A2)&gt;0,IF(ISNUMBER(SEARCH("[済]",INDEX(Material_Detail!$D:$DC,MATCH($A2,Material_Detail!$DE:$DE,0)+1,73))),0,IFERROR(INDEX(Material_Detail!$D:$DC,MATCH($A2,Material_Detail!$DE:$DE,0),73),0)),SUMIFS(T_Shipments[Confirmed_Qty],T_Shipments[Part Name],$A2,T_Shipments[Effective_Week],73))</f>
        <v/>
      </c>
      <c r="BW2">
        <f>IF(COUNTIF(Material_Detail!$DE:$DE,$A2)&gt;0,IF(ISNUMBER(SEARCH("[済]",INDEX(Material_Detail!$D:$DC,MATCH($A2,Material_Detail!$DE:$DE,0)+1,74))),0,IFERROR(INDEX(Material_Detail!$D:$DC,MATCH($A2,Material_Detail!$DE:$DE,0),74),0)),SUMIFS(T_Shipments[Confirmed_Qty],T_Shipments[Part Name],$A2,T_Shipments[Effective_Week],74))</f>
        <v/>
      </c>
      <c r="BX2">
        <f>IF(COUNTIF(Material_Detail!$DE:$DE,$A2)&gt;0,IF(ISNUMBER(SEARCH("[済]",INDEX(Material_Detail!$D:$DC,MATCH($A2,Material_Detail!$DE:$DE,0)+1,75))),0,IFERROR(INDEX(Material_Detail!$D:$DC,MATCH($A2,Material_Detail!$DE:$DE,0),75),0)),SUMIFS(T_Shipments[Confirmed_Qty],T_Shipments[Part Name],$A2,T_Shipments[Effective_Week],75))</f>
        <v/>
      </c>
      <c r="BY2">
        <f>IF(COUNTIF(Material_Detail!$DE:$DE,$A2)&gt;0,IF(ISNUMBER(SEARCH("[済]",INDEX(Material_Detail!$D:$DC,MATCH($A2,Material_Detail!$DE:$DE,0)+1,76))),0,IFERROR(INDEX(Material_Detail!$D:$DC,MATCH($A2,Material_Detail!$DE:$DE,0),76),0)),SUMIFS(T_Shipments[Confirmed_Qty],T_Shipments[Part Name],$A2,T_Shipments[Effective_Week],76))</f>
        <v/>
      </c>
      <c r="BZ2">
        <f>IF(COUNTIF(Material_Detail!$DE:$DE,$A2)&gt;0,IF(ISNUMBER(SEARCH("[済]",INDEX(Material_Detail!$D:$DC,MATCH($A2,Material_Detail!$DE:$DE,0)+1,77))),0,IFERROR(INDEX(Material_Detail!$D:$DC,MATCH($A2,Material_Detail!$DE:$DE,0),77),0)),SUMIFS(T_Shipments[Confirmed_Qty],T_Shipments[Part Name],$A2,T_Shipments[Effective_Week],77))</f>
        <v/>
      </c>
      <c r="CA2">
        <f>IF(COUNTIF(Material_Detail!$DE:$DE,$A2)&gt;0,IF(ISNUMBER(SEARCH("[済]",INDEX(Material_Detail!$D:$DC,MATCH($A2,Material_Detail!$DE:$DE,0)+1,78))),0,IFERROR(INDEX(Material_Detail!$D:$DC,MATCH($A2,Material_Detail!$DE:$DE,0),78),0)),SUMIFS(T_Shipments[Confirmed_Qty],T_Shipments[Part Name],$A2,T_Shipments[Effective_Week],78))</f>
        <v/>
      </c>
      <c r="CB2">
        <f>IF(COUNTIF(Material_Detail!$DE:$DE,$A2)&gt;0,IF(ISNUMBER(SEARCH("[済]",INDEX(Material_Detail!$D:$DC,MATCH($A2,Material_Detail!$DE:$DE,0)+1,79))),0,IFERROR(INDEX(Material_Detail!$D:$DC,MATCH($A2,Material_Detail!$DE:$DE,0),79),0)),SUMIFS(T_Shipments[Confirmed_Qty],T_Shipments[Part Name],$A2,T_Shipments[Effective_Week],79))</f>
        <v/>
      </c>
      <c r="CC2">
        <f>IF(COUNTIF(Material_Detail!$DE:$DE,$A2)&gt;0,IF(ISNUMBER(SEARCH("[済]",INDEX(Material_Detail!$D:$DC,MATCH($A2,Material_Detail!$DE:$DE,0)+1,80))),0,IFERROR(INDEX(Material_Detail!$D:$DC,MATCH($A2,Material_Detail!$DE:$DE,0),80),0)),SUMIFS(T_Shipments[Confirmed_Qty],T_Shipments[Part Name],$A2,T_Shipments[Effective_Week],80))</f>
        <v/>
      </c>
      <c r="CD2">
        <f>IF(COUNTIF(Material_Detail!$DE:$DE,$A2)&gt;0,IF(ISNUMBER(SEARCH("[済]",INDEX(Material_Detail!$D:$DC,MATCH($A2,Material_Detail!$DE:$DE,0)+1,81))),0,IFERROR(INDEX(Material_Detail!$D:$DC,MATCH($A2,Material_Detail!$DE:$DE,0),81),0)),SUMIFS(T_Shipments[Confirmed_Qty],T_Shipments[Part Name],$A2,T_Shipments[Effective_Week],81))</f>
        <v/>
      </c>
      <c r="CE2">
        <f>IF(COUNTIF(Material_Detail!$DE:$DE,$A2)&gt;0,IF(ISNUMBER(SEARCH("[済]",INDEX(Material_Detail!$D:$DC,MATCH($A2,Material_Detail!$DE:$DE,0)+1,82))),0,IFERROR(INDEX(Material_Detail!$D:$DC,MATCH($A2,Material_Detail!$DE:$DE,0),82),0)),SUMIFS(T_Shipments[Confirmed_Qty],T_Shipments[Part Name],$A2,T_Shipments[Effective_Week],82))</f>
        <v/>
      </c>
      <c r="CF2">
        <f>IF(COUNTIF(Material_Detail!$DE:$DE,$A2)&gt;0,IF(ISNUMBER(SEARCH("[済]",INDEX(Material_Detail!$D:$DC,MATCH($A2,Material_Detail!$DE:$DE,0)+1,83))),0,IFERROR(INDEX(Material_Detail!$D:$DC,MATCH($A2,Material_Detail!$DE:$DE,0),83),0)),SUMIFS(T_Shipments[Confirmed_Qty],T_Shipments[Part Name],$A2,T_Shipments[Effective_Week],83))</f>
        <v/>
      </c>
      <c r="CG2">
        <f>IF(COUNTIF(Material_Detail!$DE:$DE,$A2)&gt;0,IF(ISNUMBER(SEARCH("[済]",INDEX(Material_Detail!$D:$DC,MATCH($A2,Material_Detail!$DE:$DE,0)+1,84))),0,IFERROR(INDEX(Material_Detail!$D:$DC,MATCH($A2,Material_Detail!$DE:$DE,0),84),0)),SUMIFS(T_Shipments[Confirmed_Qty],T_Shipments[Part Name],$A2,T_Shipments[Effective_Week],84))</f>
        <v/>
      </c>
      <c r="CH2">
        <f>IF(COUNTIF(Material_Detail!$DE:$DE,$A2)&gt;0,IF(ISNUMBER(SEARCH("[済]",INDEX(Material_Detail!$D:$DC,MATCH($A2,Material_Detail!$DE:$DE,0)+1,85))),0,IFERROR(INDEX(Material_Detail!$D:$DC,MATCH($A2,Material_Detail!$DE:$DE,0),85),0)),SUMIFS(T_Shipments[Confirmed_Qty],T_Shipments[Part Name],$A2,T_Shipments[Effective_Week],85))</f>
        <v/>
      </c>
      <c r="CI2">
        <f>IF(COUNTIF(Material_Detail!$DE:$DE,$A2)&gt;0,IF(ISNUMBER(SEARCH("[済]",INDEX(Material_Detail!$D:$DC,MATCH($A2,Material_Detail!$DE:$DE,0)+1,86))),0,IFERROR(INDEX(Material_Detail!$D:$DC,MATCH($A2,Material_Detail!$DE:$DE,0),86),0)),SUMIFS(T_Shipments[Confirmed_Qty],T_Shipments[Part Name],$A2,T_Shipments[Effective_Week],86))</f>
        <v/>
      </c>
      <c r="CJ2">
        <f>IF(COUNTIF(Material_Detail!$DE:$DE,$A2)&gt;0,IF(ISNUMBER(SEARCH("[済]",INDEX(Material_Detail!$D:$DC,MATCH($A2,Material_Detail!$DE:$DE,0)+1,87))),0,IFERROR(INDEX(Material_Detail!$D:$DC,MATCH($A2,Material_Detail!$DE:$DE,0),87),0)),SUMIFS(T_Shipments[Confirmed_Qty],T_Shipments[Part Name],$A2,T_Shipments[Effective_Week],87))</f>
        <v/>
      </c>
      <c r="CK2">
        <f>IF(COUNTIF(Material_Detail!$DE:$DE,$A2)&gt;0,IF(ISNUMBER(SEARCH("[済]",INDEX(Material_Detail!$D:$DC,MATCH($A2,Material_Detail!$DE:$DE,0)+1,88))),0,IFERROR(INDEX(Material_Detail!$D:$DC,MATCH($A2,Material_Detail!$DE:$DE,0),88),0)),SUMIFS(T_Shipments[Confirmed_Qty],T_Shipments[Part Name],$A2,T_Shipments[Effective_Week],88))</f>
        <v/>
      </c>
      <c r="CL2">
        <f>IF(COUNTIF(Material_Detail!$DE:$DE,$A2)&gt;0,IF(ISNUMBER(SEARCH("[済]",INDEX(Material_Detail!$D:$DC,MATCH($A2,Material_Detail!$DE:$DE,0)+1,89))),0,IFERROR(INDEX(Material_Detail!$D:$DC,MATCH($A2,Material_Detail!$DE:$DE,0),89),0)),SUMIFS(T_Shipments[Confirmed_Qty],T_Shipments[Part Name],$A2,T_Shipments[Effective_Week],89))</f>
        <v/>
      </c>
      <c r="CM2">
        <f>IF(COUNTIF(Material_Detail!$DE:$DE,$A2)&gt;0,IF(ISNUMBER(SEARCH("[済]",INDEX(Material_Detail!$D:$DC,MATCH($A2,Material_Detail!$DE:$DE,0)+1,90))),0,IFERROR(INDEX(Material_Detail!$D:$DC,MATCH($A2,Material_Detail!$DE:$DE,0),90),0)),SUMIFS(T_Shipments[Confirmed_Qty],T_Shipments[Part Name],$A2,T_Shipments[Effective_Week],90))</f>
        <v/>
      </c>
      <c r="CN2">
        <f>IF(COUNTIF(Material_Detail!$DE:$DE,$A2)&gt;0,IF(ISNUMBER(SEARCH("[済]",INDEX(Material_Detail!$D:$DC,MATCH($A2,Material_Detail!$DE:$DE,0)+1,91))),0,IFERROR(INDEX(Material_Detail!$D:$DC,MATCH($A2,Material_Detail!$DE:$DE,0),91),0)),SUMIFS(T_Shipments[Confirmed_Qty],T_Shipments[Part Name],$A2,T_Shipments[Effective_Week],91))</f>
        <v/>
      </c>
      <c r="CO2">
        <f>IF(COUNTIF(Material_Detail!$DE:$DE,$A2)&gt;0,IF(ISNUMBER(SEARCH("[済]",INDEX(Material_Detail!$D:$DC,MATCH($A2,Material_Detail!$DE:$DE,0)+1,92))),0,IFERROR(INDEX(Material_Detail!$D:$DC,MATCH($A2,Material_Detail!$DE:$DE,0),92),0)),SUMIFS(T_Shipments[Confirmed_Qty],T_Shipments[Part Name],$A2,T_Shipments[Effective_Week],92))</f>
        <v/>
      </c>
      <c r="CP2">
        <f>IF(COUNTIF(Material_Detail!$DE:$DE,$A2)&gt;0,IF(ISNUMBER(SEARCH("[済]",INDEX(Material_Detail!$D:$DC,MATCH($A2,Material_Detail!$DE:$DE,0)+1,93))),0,IFERROR(INDEX(Material_Detail!$D:$DC,MATCH($A2,Material_Detail!$DE:$DE,0),93),0)),SUMIFS(T_Shipments[Confirmed_Qty],T_Shipments[Part Name],$A2,T_Shipments[Effective_Week],93))</f>
        <v/>
      </c>
      <c r="CQ2">
        <f>IF(COUNTIF(Material_Detail!$DE:$DE,$A2)&gt;0,IF(ISNUMBER(SEARCH("[済]",INDEX(Material_Detail!$D:$DC,MATCH($A2,Material_Detail!$DE:$DE,0)+1,94))),0,IFERROR(INDEX(Material_Detail!$D:$DC,MATCH($A2,Material_Detail!$DE:$DE,0),94),0)),SUMIFS(T_Shipments[Confirmed_Qty],T_Shipments[Part Name],$A2,T_Shipments[Effective_Week],94))</f>
        <v/>
      </c>
      <c r="CR2">
        <f>IF(COUNTIF(Material_Detail!$DE:$DE,$A2)&gt;0,IF(ISNUMBER(SEARCH("[済]",INDEX(Material_Detail!$D:$DC,MATCH($A2,Material_Detail!$DE:$DE,0)+1,95))),0,IFERROR(INDEX(Material_Detail!$D:$DC,MATCH($A2,Material_Detail!$DE:$DE,0),95),0)),SUMIFS(T_Shipments[Confirmed_Qty],T_Shipments[Part Name],$A2,T_Shipments[Effective_Week],95))</f>
        <v/>
      </c>
      <c r="CS2">
        <f>IF(COUNTIF(Material_Detail!$DE:$DE,$A2)&gt;0,IF(ISNUMBER(SEARCH("[済]",INDEX(Material_Detail!$D:$DC,MATCH($A2,Material_Detail!$DE:$DE,0)+1,96))),0,IFERROR(INDEX(Material_Detail!$D:$DC,MATCH($A2,Material_Detail!$DE:$DE,0),96),0)),SUMIFS(T_Shipments[Confirmed_Qty],T_Shipments[Part Name],$A2,T_Shipments[Effective_Week],96))</f>
        <v/>
      </c>
      <c r="CT2">
        <f>IF(COUNTIF(Material_Detail!$DE:$DE,$A2)&gt;0,IF(ISNUMBER(SEARCH("[済]",INDEX(Material_Detail!$D:$DC,MATCH($A2,Material_Detail!$DE:$DE,0)+1,97))),0,IFERROR(INDEX(Material_Detail!$D:$DC,MATCH($A2,Material_Detail!$DE:$DE,0),97),0)),SUMIFS(T_Shipments[Confirmed_Qty],T_Shipments[Part Name],$A2,T_Shipments[Effective_Week],97))</f>
        <v/>
      </c>
      <c r="CU2">
        <f>IF(COUNTIF(Material_Detail!$DE:$DE,$A2)&gt;0,IF(ISNUMBER(SEARCH("[済]",INDEX(Material_Detail!$D:$DC,MATCH($A2,Material_Detail!$DE:$DE,0)+1,98))),0,IFERROR(INDEX(Material_Detail!$D:$DC,MATCH($A2,Material_Detail!$DE:$DE,0),98),0)),SUMIFS(T_Shipments[Confirmed_Qty],T_Shipments[Part Name],$A2,T_Shipments[Effective_Week],98))</f>
        <v/>
      </c>
      <c r="CV2">
        <f>IF(COUNTIF(Material_Detail!$DE:$DE,$A2)&gt;0,IF(ISNUMBER(SEARCH("[済]",INDEX(Material_Detail!$D:$DC,MATCH($A2,Material_Detail!$DE:$DE,0)+1,99))),0,IFERROR(INDEX(Material_Detail!$D:$DC,MATCH($A2,Material_Detail!$DE:$DE,0),99),0)),SUMIFS(T_Shipments[Confirmed_Qty],T_Shipments[Part Name],$A2,T_Shipments[Effective_Week],99))</f>
        <v/>
      </c>
      <c r="CW2">
        <f>IF(COUNTIF(Material_Detail!$DE:$DE,$A2)&gt;0,IF(ISNUMBER(SEARCH("[済]",INDEX(Material_Detail!$D:$DC,MATCH($A2,Material_Detail!$DE:$DE,0)+1,100))),0,IFERROR(INDEX(Material_Detail!$D:$DC,MATCH($A2,Material_Detail!$DE:$DE,0),100),0)),SUMIFS(T_Shipments[Confirmed_Qty],T_Shipments[Part Name],$A2,T_Shipments[Effective_Week],100))</f>
        <v/>
      </c>
      <c r="CX2">
        <f>IF(COUNTIF(Material_Detail!$DE:$DE,$A2)&gt;0,IF(ISNUMBER(SEARCH("[済]",INDEX(Material_Detail!$D:$DC,MATCH($A2,Material_Detail!$DE:$DE,0)+1,101))),0,IFERROR(INDEX(Material_Detail!$D:$DC,MATCH($A2,Material_Detail!$DE:$DE,0),101),0)),SUMIFS(T_Shipments[Confirmed_Qty],T_Shipments[Part Name],$A2,T_Shipments[Effective_Week],101))</f>
        <v/>
      </c>
      <c r="CY2">
        <f>IF(COUNTIF(Material_Detail!$DE:$DE,$A2)&gt;0,IF(ISNUMBER(SEARCH("[済]",INDEX(Material_Detail!$D:$DC,MATCH($A2,Material_Detail!$DE:$DE,0)+1,102))),0,IFERROR(INDEX(Material_Detail!$D:$DC,MATCH($A2,Material_Detail!$DE:$DE,0),102),0)),SUMIFS(T_Shipments[Confirmed_Qty],T_Shipments[Part Name],$A2,T_Shipments[Effective_Week],102))</f>
        <v/>
      </c>
      <c r="CZ2">
        <f>IF(COUNTIF(Material_Detail!$DE:$DE,$A2)&gt;0,IF(ISNUMBER(SEARCH("[済]",INDEX(Material_Detail!$D:$DC,MATCH($A2,Material_Detail!$DE:$DE,0)+1,103))),0,IFERROR(INDEX(Material_Detail!$D:$DC,MATCH($A2,Material_Detail!$DE:$DE,0),103),0)),SUMIFS(T_Shipments[Confirmed_Qty],T_Shipments[Part Name],$A2,T_Shipments[Effective_Week],103))</f>
        <v/>
      </c>
      <c r="DA2">
        <f>IF(COUNTIF(Material_Detail!$DE:$DE,$A2)&gt;0,IF(ISNUMBER(SEARCH("[済]",INDEX(Material_Detail!$D:$DC,MATCH($A2,Material_Detail!$DE:$DE,0)+1,104))),0,IFERROR(INDEX(Material_Detail!$D:$DC,MATCH($A2,Material_Detail!$DE:$DE,0),104),0)),SUMIFS(T_Shipments[Confirmed_Qty],T_Shipments[Part Name],$A2,T_Shipments[Effective_Week],104))</f>
        <v/>
      </c>
    </row>
    <row r="3">
      <c r="A3" t="inlineStr">
        <is>
          <t>1EK</t>
        </is>
      </c>
      <c r="B3">
        <f>IF(COUNTIF(Material_Detail!$DE:$DE,$A3)&gt;0,IF(ISNUMBER(SEARCH("[済]",INDEX(Material_Detail!$D:$DC,MATCH($A3,Material_Detail!$DE:$DE,0)+1,1))),0,IFERROR(INDEX(Material_Detail!$D:$DC,MATCH($A3,Material_Detail!$DE:$DE,0),1),0)),SUMIFS(T_Shipments[Confirmed_Qty],T_Shipments[Part Name],$A3,T_Shipments[Effective_Week],1))</f>
        <v/>
      </c>
      <c r="C3">
        <f>IF(COUNTIF(Material_Detail!$DE:$DE,$A3)&gt;0,IF(ISNUMBER(SEARCH("[済]",INDEX(Material_Detail!$D:$DC,MATCH($A3,Material_Detail!$DE:$DE,0)+1,2))),0,IFERROR(INDEX(Material_Detail!$D:$DC,MATCH($A3,Material_Detail!$DE:$DE,0),2),0)),SUMIFS(T_Shipments[Confirmed_Qty],T_Shipments[Part Name],$A3,T_Shipments[Effective_Week],2))</f>
        <v/>
      </c>
      <c r="D3">
        <f>IF(COUNTIF(Material_Detail!$DE:$DE,$A3)&gt;0,IF(ISNUMBER(SEARCH("[済]",INDEX(Material_Detail!$D:$DC,MATCH($A3,Material_Detail!$DE:$DE,0)+1,3))),0,IFERROR(INDEX(Material_Detail!$D:$DC,MATCH($A3,Material_Detail!$DE:$DE,0),3),0)),SUMIFS(T_Shipments[Confirmed_Qty],T_Shipments[Part Name],$A3,T_Shipments[Effective_Week],3))</f>
        <v/>
      </c>
      <c r="E3">
        <f>IF(COUNTIF(Material_Detail!$DE:$DE,$A3)&gt;0,IF(ISNUMBER(SEARCH("[済]",INDEX(Material_Detail!$D:$DC,MATCH($A3,Material_Detail!$DE:$DE,0)+1,4))),0,IFERROR(INDEX(Material_Detail!$D:$DC,MATCH($A3,Material_Detail!$DE:$DE,0),4),0)),SUMIFS(T_Shipments[Confirmed_Qty],T_Shipments[Part Name],$A3,T_Shipments[Effective_Week],4))</f>
        <v/>
      </c>
      <c r="F3">
        <f>IF(COUNTIF(Material_Detail!$DE:$DE,$A3)&gt;0,IF(ISNUMBER(SEARCH("[済]",INDEX(Material_Detail!$D:$DC,MATCH($A3,Material_Detail!$DE:$DE,0)+1,5))),0,IFERROR(INDEX(Material_Detail!$D:$DC,MATCH($A3,Material_Detail!$DE:$DE,0),5),0)),SUMIFS(T_Shipments[Confirmed_Qty],T_Shipments[Part Name],$A3,T_Shipments[Effective_Week],5))</f>
        <v/>
      </c>
      <c r="G3">
        <f>IF(COUNTIF(Material_Detail!$DE:$DE,$A3)&gt;0,IF(ISNUMBER(SEARCH("[済]",INDEX(Material_Detail!$D:$DC,MATCH($A3,Material_Detail!$DE:$DE,0)+1,6))),0,IFERROR(INDEX(Material_Detail!$D:$DC,MATCH($A3,Material_Detail!$DE:$DE,0),6),0)),SUMIFS(T_Shipments[Confirmed_Qty],T_Shipments[Part Name],$A3,T_Shipments[Effective_Week],6))</f>
        <v/>
      </c>
      <c r="H3">
        <f>IF(COUNTIF(Material_Detail!$DE:$DE,$A3)&gt;0,IF(ISNUMBER(SEARCH("[済]",INDEX(Material_Detail!$D:$DC,MATCH($A3,Material_Detail!$DE:$DE,0)+1,7))),0,IFERROR(INDEX(Material_Detail!$D:$DC,MATCH($A3,Material_Detail!$DE:$DE,0),7),0)),SUMIFS(T_Shipments[Confirmed_Qty],T_Shipments[Part Name],$A3,T_Shipments[Effective_Week],7))</f>
        <v/>
      </c>
      <c r="I3">
        <f>IF(COUNTIF(Material_Detail!$DE:$DE,$A3)&gt;0,IF(ISNUMBER(SEARCH("[済]",INDEX(Material_Detail!$D:$DC,MATCH($A3,Material_Detail!$DE:$DE,0)+1,8))),0,IFERROR(INDEX(Material_Detail!$D:$DC,MATCH($A3,Material_Detail!$DE:$DE,0),8),0)),SUMIFS(T_Shipments[Confirmed_Qty],T_Shipments[Part Name],$A3,T_Shipments[Effective_Week],8))</f>
        <v/>
      </c>
      <c r="J3">
        <f>IF(COUNTIF(Material_Detail!$DE:$DE,$A3)&gt;0,IF(ISNUMBER(SEARCH("[済]",INDEX(Material_Detail!$D:$DC,MATCH($A3,Material_Detail!$DE:$DE,0)+1,9))),0,IFERROR(INDEX(Material_Detail!$D:$DC,MATCH($A3,Material_Detail!$DE:$DE,0),9),0)),SUMIFS(T_Shipments[Confirmed_Qty],T_Shipments[Part Name],$A3,T_Shipments[Effective_Week],9))</f>
        <v/>
      </c>
      <c r="K3">
        <f>IF(COUNTIF(Material_Detail!$DE:$DE,$A3)&gt;0,IF(ISNUMBER(SEARCH("[済]",INDEX(Material_Detail!$D:$DC,MATCH($A3,Material_Detail!$DE:$DE,0)+1,10))),0,IFERROR(INDEX(Material_Detail!$D:$DC,MATCH($A3,Material_Detail!$DE:$DE,0),10),0)),SUMIFS(T_Shipments[Confirmed_Qty],T_Shipments[Part Name],$A3,T_Shipments[Effective_Week],10))</f>
        <v/>
      </c>
      <c r="L3">
        <f>IF(COUNTIF(Material_Detail!$DE:$DE,$A3)&gt;0,IF(ISNUMBER(SEARCH("[済]",INDEX(Material_Detail!$D:$DC,MATCH($A3,Material_Detail!$DE:$DE,0)+1,11))),0,IFERROR(INDEX(Material_Detail!$D:$DC,MATCH($A3,Material_Detail!$DE:$DE,0),11),0)),SUMIFS(T_Shipments[Confirmed_Qty],T_Shipments[Part Name],$A3,T_Shipments[Effective_Week],11))</f>
        <v/>
      </c>
      <c r="M3">
        <f>IF(COUNTIF(Material_Detail!$DE:$DE,$A3)&gt;0,IF(ISNUMBER(SEARCH("[済]",INDEX(Material_Detail!$D:$DC,MATCH($A3,Material_Detail!$DE:$DE,0)+1,12))),0,IFERROR(INDEX(Material_Detail!$D:$DC,MATCH($A3,Material_Detail!$DE:$DE,0),12),0)),SUMIFS(T_Shipments[Confirmed_Qty],T_Shipments[Part Name],$A3,T_Shipments[Effective_Week],12))</f>
        <v/>
      </c>
      <c r="N3">
        <f>IF(COUNTIF(Material_Detail!$DE:$DE,$A3)&gt;0,IF(ISNUMBER(SEARCH("[済]",INDEX(Material_Detail!$D:$DC,MATCH($A3,Material_Detail!$DE:$DE,0)+1,13))),0,IFERROR(INDEX(Material_Detail!$D:$DC,MATCH($A3,Material_Detail!$DE:$DE,0),13),0)),SUMIFS(T_Shipments[Confirmed_Qty],T_Shipments[Part Name],$A3,T_Shipments[Effective_Week],13))</f>
        <v/>
      </c>
      <c r="O3">
        <f>IF(COUNTIF(Material_Detail!$DE:$DE,$A3)&gt;0,IF(ISNUMBER(SEARCH("[済]",INDEX(Material_Detail!$D:$DC,MATCH($A3,Material_Detail!$DE:$DE,0)+1,14))),0,IFERROR(INDEX(Material_Detail!$D:$DC,MATCH($A3,Material_Detail!$DE:$DE,0),14),0)),SUMIFS(T_Shipments[Confirmed_Qty],T_Shipments[Part Name],$A3,T_Shipments[Effective_Week],14))</f>
        <v/>
      </c>
      <c r="P3">
        <f>IF(COUNTIF(Material_Detail!$DE:$DE,$A3)&gt;0,IF(ISNUMBER(SEARCH("[済]",INDEX(Material_Detail!$D:$DC,MATCH($A3,Material_Detail!$DE:$DE,0)+1,15))),0,IFERROR(INDEX(Material_Detail!$D:$DC,MATCH($A3,Material_Detail!$DE:$DE,0),15),0)),SUMIFS(T_Shipments[Confirmed_Qty],T_Shipments[Part Name],$A3,T_Shipments[Effective_Week],15))</f>
        <v/>
      </c>
      <c r="Q3">
        <f>IF(COUNTIF(Material_Detail!$DE:$DE,$A3)&gt;0,IF(ISNUMBER(SEARCH("[済]",INDEX(Material_Detail!$D:$DC,MATCH($A3,Material_Detail!$DE:$DE,0)+1,16))),0,IFERROR(INDEX(Material_Detail!$D:$DC,MATCH($A3,Material_Detail!$DE:$DE,0),16),0)),SUMIFS(T_Shipments[Confirmed_Qty],T_Shipments[Part Name],$A3,T_Shipments[Effective_Week],16))</f>
        <v/>
      </c>
      <c r="R3">
        <f>IF(COUNTIF(Material_Detail!$DE:$DE,$A3)&gt;0,IF(ISNUMBER(SEARCH("[済]",INDEX(Material_Detail!$D:$DC,MATCH($A3,Material_Detail!$DE:$DE,0)+1,17))),0,IFERROR(INDEX(Material_Detail!$D:$DC,MATCH($A3,Material_Detail!$DE:$DE,0),17),0)),SUMIFS(T_Shipments[Confirmed_Qty],T_Shipments[Part Name],$A3,T_Shipments[Effective_Week],17))</f>
        <v/>
      </c>
      <c r="S3">
        <f>IF(COUNTIF(Material_Detail!$DE:$DE,$A3)&gt;0,IF(ISNUMBER(SEARCH("[済]",INDEX(Material_Detail!$D:$DC,MATCH($A3,Material_Detail!$DE:$DE,0)+1,18))),0,IFERROR(INDEX(Material_Detail!$D:$DC,MATCH($A3,Material_Detail!$DE:$DE,0),18),0)),SUMIFS(T_Shipments[Confirmed_Qty],T_Shipments[Part Name],$A3,T_Shipments[Effective_Week],18))</f>
        <v/>
      </c>
      <c r="T3">
        <f>IF(COUNTIF(Material_Detail!$DE:$DE,$A3)&gt;0,IF(ISNUMBER(SEARCH("[済]",INDEX(Material_Detail!$D:$DC,MATCH($A3,Material_Detail!$DE:$DE,0)+1,19))),0,IFERROR(INDEX(Material_Detail!$D:$DC,MATCH($A3,Material_Detail!$DE:$DE,0),19),0)),SUMIFS(T_Shipments[Confirmed_Qty],T_Shipments[Part Name],$A3,T_Shipments[Effective_Week],19))</f>
        <v/>
      </c>
      <c r="U3">
        <f>IF(COUNTIF(Material_Detail!$DE:$DE,$A3)&gt;0,IF(ISNUMBER(SEARCH("[済]",INDEX(Material_Detail!$D:$DC,MATCH($A3,Material_Detail!$DE:$DE,0)+1,20))),0,IFERROR(INDEX(Material_Detail!$D:$DC,MATCH($A3,Material_Detail!$DE:$DE,0),20),0)),SUMIFS(T_Shipments[Confirmed_Qty],T_Shipments[Part Name],$A3,T_Shipments[Effective_Week],20))</f>
        <v/>
      </c>
      <c r="V3">
        <f>IF(COUNTIF(Material_Detail!$DE:$DE,$A3)&gt;0,IF(ISNUMBER(SEARCH("[済]",INDEX(Material_Detail!$D:$DC,MATCH($A3,Material_Detail!$DE:$DE,0)+1,21))),0,IFERROR(INDEX(Material_Detail!$D:$DC,MATCH($A3,Material_Detail!$DE:$DE,0),21),0)),SUMIFS(T_Shipments[Confirmed_Qty],T_Shipments[Part Name],$A3,T_Shipments[Effective_Week],21))</f>
        <v/>
      </c>
      <c r="W3">
        <f>IF(COUNTIF(Material_Detail!$DE:$DE,$A3)&gt;0,IF(ISNUMBER(SEARCH("[済]",INDEX(Material_Detail!$D:$DC,MATCH($A3,Material_Detail!$DE:$DE,0)+1,22))),0,IFERROR(INDEX(Material_Detail!$D:$DC,MATCH($A3,Material_Detail!$DE:$DE,0),22),0)),SUMIFS(T_Shipments[Confirmed_Qty],T_Shipments[Part Name],$A3,T_Shipments[Effective_Week],22))</f>
        <v/>
      </c>
      <c r="X3">
        <f>IF(COUNTIF(Material_Detail!$DE:$DE,$A3)&gt;0,IF(ISNUMBER(SEARCH("[済]",INDEX(Material_Detail!$D:$DC,MATCH($A3,Material_Detail!$DE:$DE,0)+1,23))),0,IFERROR(INDEX(Material_Detail!$D:$DC,MATCH($A3,Material_Detail!$DE:$DE,0),23),0)),SUMIFS(T_Shipments[Confirmed_Qty],T_Shipments[Part Name],$A3,T_Shipments[Effective_Week],23))</f>
        <v/>
      </c>
      <c r="Y3">
        <f>IF(COUNTIF(Material_Detail!$DE:$DE,$A3)&gt;0,IF(ISNUMBER(SEARCH("[済]",INDEX(Material_Detail!$D:$DC,MATCH($A3,Material_Detail!$DE:$DE,0)+1,24))),0,IFERROR(INDEX(Material_Detail!$D:$DC,MATCH($A3,Material_Detail!$DE:$DE,0),24),0)),SUMIFS(T_Shipments[Confirmed_Qty],T_Shipments[Part Name],$A3,T_Shipments[Effective_Week],24))</f>
        <v/>
      </c>
      <c r="Z3">
        <f>IF(COUNTIF(Material_Detail!$DE:$DE,$A3)&gt;0,IF(ISNUMBER(SEARCH("[済]",INDEX(Material_Detail!$D:$DC,MATCH($A3,Material_Detail!$DE:$DE,0)+1,25))),0,IFERROR(INDEX(Material_Detail!$D:$DC,MATCH($A3,Material_Detail!$DE:$DE,0),25),0)),SUMIFS(T_Shipments[Confirmed_Qty],T_Shipments[Part Name],$A3,T_Shipments[Effective_Week],25))</f>
        <v/>
      </c>
      <c r="AA3">
        <f>IF(COUNTIF(Material_Detail!$DE:$DE,$A3)&gt;0,IF(ISNUMBER(SEARCH("[済]",INDEX(Material_Detail!$D:$DC,MATCH($A3,Material_Detail!$DE:$DE,0)+1,26))),0,IFERROR(INDEX(Material_Detail!$D:$DC,MATCH($A3,Material_Detail!$DE:$DE,0),26),0)),SUMIFS(T_Shipments[Confirmed_Qty],T_Shipments[Part Name],$A3,T_Shipments[Effective_Week],26))</f>
        <v/>
      </c>
      <c r="AB3">
        <f>IF(COUNTIF(Material_Detail!$DE:$DE,$A3)&gt;0,IF(ISNUMBER(SEARCH("[済]",INDEX(Material_Detail!$D:$DC,MATCH($A3,Material_Detail!$DE:$DE,0)+1,27))),0,IFERROR(INDEX(Material_Detail!$D:$DC,MATCH($A3,Material_Detail!$DE:$DE,0),27),0)),SUMIFS(T_Shipments[Confirmed_Qty],T_Shipments[Part Name],$A3,T_Shipments[Effective_Week],27))</f>
        <v/>
      </c>
      <c r="AC3">
        <f>IF(COUNTIF(Material_Detail!$DE:$DE,$A3)&gt;0,IF(ISNUMBER(SEARCH("[済]",INDEX(Material_Detail!$D:$DC,MATCH($A3,Material_Detail!$DE:$DE,0)+1,28))),0,IFERROR(INDEX(Material_Detail!$D:$DC,MATCH($A3,Material_Detail!$DE:$DE,0),28),0)),SUMIFS(T_Shipments[Confirmed_Qty],T_Shipments[Part Name],$A3,T_Shipments[Effective_Week],28))</f>
        <v/>
      </c>
      <c r="AD3">
        <f>IF(COUNTIF(Material_Detail!$DE:$DE,$A3)&gt;0,IF(ISNUMBER(SEARCH("[済]",INDEX(Material_Detail!$D:$DC,MATCH($A3,Material_Detail!$DE:$DE,0)+1,29))),0,IFERROR(INDEX(Material_Detail!$D:$DC,MATCH($A3,Material_Detail!$DE:$DE,0),29),0)),SUMIFS(T_Shipments[Confirmed_Qty],T_Shipments[Part Name],$A3,T_Shipments[Effective_Week],29))</f>
        <v/>
      </c>
      <c r="AE3">
        <f>IF(COUNTIF(Material_Detail!$DE:$DE,$A3)&gt;0,IF(ISNUMBER(SEARCH("[済]",INDEX(Material_Detail!$D:$DC,MATCH($A3,Material_Detail!$DE:$DE,0)+1,30))),0,IFERROR(INDEX(Material_Detail!$D:$DC,MATCH($A3,Material_Detail!$DE:$DE,0),30),0)),SUMIFS(T_Shipments[Confirmed_Qty],T_Shipments[Part Name],$A3,T_Shipments[Effective_Week],30))</f>
        <v/>
      </c>
      <c r="AF3">
        <f>IF(COUNTIF(Material_Detail!$DE:$DE,$A3)&gt;0,IF(ISNUMBER(SEARCH("[済]",INDEX(Material_Detail!$D:$DC,MATCH($A3,Material_Detail!$DE:$DE,0)+1,31))),0,IFERROR(INDEX(Material_Detail!$D:$DC,MATCH($A3,Material_Detail!$DE:$DE,0),31),0)),SUMIFS(T_Shipments[Confirmed_Qty],T_Shipments[Part Name],$A3,T_Shipments[Effective_Week],31))</f>
        <v/>
      </c>
      <c r="AG3">
        <f>IF(COUNTIF(Material_Detail!$DE:$DE,$A3)&gt;0,IF(ISNUMBER(SEARCH("[済]",INDEX(Material_Detail!$D:$DC,MATCH($A3,Material_Detail!$DE:$DE,0)+1,32))),0,IFERROR(INDEX(Material_Detail!$D:$DC,MATCH($A3,Material_Detail!$DE:$DE,0),32),0)),SUMIFS(T_Shipments[Confirmed_Qty],T_Shipments[Part Name],$A3,T_Shipments[Effective_Week],32))</f>
        <v/>
      </c>
      <c r="AH3">
        <f>IF(COUNTIF(Material_Detail!$DE:$DE,$A3)&gt;0,IF(ISNUMBER(SEARCH("[済]",INDEX(Material_Detail!$D:$DC,MATCH($A3,Material_Detail!$DE:$DE,0)+1,33))),0,IFERROR(INDEX(Material_Detail!$D:$DC,MATCH($A3,Material_Detail!$DE:$DE,0),33),0)),SUMIFS(T_Shipments[Confirmed_Qty],T_Shipments[Part Name],$A3,T_Shipments[Effective_Week],33))</f>
        <v/>
      </c>
      <c r="AI3">
        <f>IF(COUNTIF(Material_Detail!$DE:$DE,$A3)&gt;0,IF(ISNUMBER(SEARCH("[済]",INDEX(Material_Detail!$D:$DC,MATCH($A3,Material_Detail!$DE:$DE,0)+1,34))),0,IFERROR(INDEX(Material_Detail!$D:$DC,MATCH($A3,Material_Detail!$DE:$DE,0),34),0)),SUMIFS(T_Shipments[Confirmed_Qty],T_Shipments[Part Name],$A3,T_Shipments[Effective_Week],34))</f>
        <v/>
      </c>
      <c r="AJ3">
        <f>IF(COUNTIF(Material_Detail!$DE:$DE,$A3)&gt;0,IF(ISNUMBER(SEARCH("[済]",INDEX(Material_Detail!$D:$DC,MATCH($A3,Material_Detail!$DE:$DE,0)+1,35))),0,IFERROR(INDEX(Material_Detail!$D:$DC,MATCH($A3,Material_Detail!$DE:$DE,0),35),0)),SUMIFS(T_Shipments[Confirmed_Qty],T_Shipments[Part Name],$A3,T_Shipments[Effective_Week],35))</f>
        <v/>
      </c>
      <c r="AK3">
        <f>IF(COUNTIF(Material_Detail!$DE:$DE,$A3)&gt;0,IF(ISNUMBER(SEARCH("[済]",INDEX(Material_Detail!$D:$DC,MATCH($A3,Material_Detail!$DE:$DE,0)+1,36))),0,IFERROR(INDEX(Material_Detail!$D:$DC,MATCH($A3,Material_Detail!$DE:$DE,0),36),0)),SUMIFS(T_Shipments[Confirmed_Qty],T_Shipments[Part Name],$A3,T_Shipments[Effective_Week],36))</f>
        <v/>
      </c>
      <c r="AL3">
        <f>IF(COUNTIF(Material_Detail!$DE:$DE,$A3)&gt;0,IF(ISNUMBER(SEARCH("[済]",INDEX(Material_Detail!$D:$DC,MATCH($A3,Material_Detail!$DE:$DE,0)+1,37))),0,IFERROR(INDEX(Material_Detail!$D:$DC,MATCH($A3,Material_Detail!$DE:$DE,0),37),0)),SUMIFS(T_Shipments[Confirmed_Qty],T_Shipments[Part Name],$A3,T_Shipments[Effective_Week],37))</f>
        <v/>
      </c>
      <c r="AM3">
        <f>IF(COUNTIF(Material_Detail!$DE:$DE,$A3)&gt;0,IF(ISNUMBER(SEARCH("[済]",INDEX(Material_Detail!$D:$DC,MATCH($A3,Material_Detail!$DE:$DE,0)+1,38))),0,IFERROR(INDEX(Material_Detail!$D:$DC,MATCH($A3,Material_Detail!$DE:$DE,0),38),0)),SUMIFS(T_Shipments[Confirmed_Qty],T_Shipments[Part Name],$A3,T_Shipments[Effective_Week],38))</f>
        <v/>
      </c>
      <c r="AN3">
        <f>IF(COUNTIF(Material_Detail!$DE:$DE,$A3)&gt;0,IF(ISNUMBER(SEARCH("[済]",INDEX(Material_Detail!$D:$DC,MATCH($A3,Material_Detail!$DE:$DE,0)+1,39))),0,IFERROR(INDEX(Material_Detail!$D:$DC,MATCH($A3,Material_Detail!$DE:$DE,0),39),0)),SUMIFS(T_Shipments[Confirmed_Qty],T_Shipments[Part Name],$A3,T_Shipments[Effective_Week],39))</f>
        <v/>
      </c>
      <c r="AO3">
        <f>IF(COUNTIF(Material_Detail!$DE:$DE,$A3)&gt;0,IF(ISNUMBER(SEARCH("[済]",INDEX(Material_Detail!$D:$DC,MATCH($A3,Material_Detail!$DE:$DE,0)+1,40))),0,IFERROR(INDEX(Material_Detail!$D:$DC,MATCH($A3,Material_Detail!$DE:$DE,0),40),0)),SUMIFS(T_Shipments[Confirmed_Qty],T_Shipments[Part Name],$A3,T_Shipments[Effective_Week],40))</f>
        <v/>
      </c>
      <c r="AP3">
        <f>IF(COUNTIF(Material_Detail!$DE:$DE,$A3)&gt;0,IF(ISNUMBER(SEARCH("[済]",INDEX(Material_Detail!$D:$DC,MATCH($A3,Material_Detail!$DE:$DE,0)+1,41))),0,IFERROR(INDEX(Material_Detail!$D:$DC,MATCH($A3,Material_Detail!$DE:$DE,0),41),0)),SUMIFS(T_Shipments[Confirmed_Qty],T_Shipments[Part Name],$A3,T_Shipments[Effective_Week],41))</f>
        <v/>
      </c>
      <c r="AQ3">
        <f>IF(COUNTIF(Material_Detail!$DE:$DE,$A3)&gt;0,IF(ISNUMBER(SEARCH("[済]",INDEX(Material_Detail!$D:$DC,MATCH($A3,Material_Detail!$DE:$DE,0)+1,42))),0,IFERROR(INDEX(Material_Detail!$D:$DC,MATCH($A3,Material_Detail!$DE:$DE,0),42),0)),SUMIFS(T_Shipments[Confirmed_Qty],T_Shipments[Part Name],$A3,T_Shipments[Effective_Week],42))</f>
        <v/>
      </c>
      <c r="AR3">
        <f>IF(COUNTIF(Material_Detail!$DE:$DE,$A3)&gt;0,IF(ISNUMBER(SEARCH("[済]",INDEX(Material_Detail!$D:$DC,MATCH($A3,Material_Detail!$DE:$DE,0)+1,43))),0,IFERROR(INDEX(Material_Detail!$D:$DC,MATCH($A3,Material_Detail!$DE:$DE,0),43),0)),SUMIFS(T_Shipments[Confirmed_Qty],T_Shipments[Part Name],$A3,T_Shipments[Effective_Week],43))</f>
        <v/>
      </c>
      <c r="AS3">
        <f>IF(COUNTIF(Material_Detail!$DE:$DE,$A3)&gt;0,IF(ISNUMBER(SEARCH("[済]",INDEX(Material_Detail!$D:$DC,MATCH($A3,Material_Detail!$DE:$DE,0)+1,44))),0,IFERROR(INDEX(Material_Detail!$D:$DC,MATCH($A3,Material_Detail!$DE:$DE,0),44),0)),SUMIFS(T_Shipments[Confirmed_Qty],T_Shipments[Part Name],$A3,T_Shipments[Effective_Week],44))</f>
        <v/>
      </c>
      <c r="AT3">
        <f>IF(COUNTIF(Material_Detail!$DE:$DE,$A3)&gt;0,IF(ISNUMBER(SEARCH("[済]",INDEX(Material_Detail!$D:$DC,MATCH($A3,Material_Detail!$DE:$DE,0)+1,45))),0,IFERROR(INDEX(Material_Detail!$D:$DC,MATCH($A3,Material_Detail!$DE:$DE,0),45),0)),SUMIFS(T_Shipments[Confirmed_Qty],T_Shipments[Part Name],$A3,T_Shipments[Effective_Week],45))</f>
        <v/>
      </c>
      <c r="AU3">
        <f>IF(COUNTIF(Material_Detail!$DE:$DE,$A3)&gt;0,IF(ISNUMBER(SEARCH("[済]",INDEX(Material_Detail!$D:$DC,MATCH($A3,Material_Detail!$DE:$DE,0)+1,46))),0,IFERROR(INDEX(Material_Detail!$D:$DC,MATCH($A3,Material_Detail!$DE:$DE,0),46),0)),SUMIFS(T_Shipments[Confirmed_Qty],T_Shipments[Part Name],$A3,T_Shipments[Effective_Week],46))</f>
        <v/>
      </c>
      <c r="AV3">
        <f>IF(COUNTIF(Material_Detail!$DE:$DE,$A3)&gt;0,IF(ISNUMBER(SEARCH("[済]",INDEX(Material_Detail!$D:$DC,MATCH($A3,Material_Detail!$DE:$DE,0)+1,47))),0,IFERROR(INDEX(Material_Detail!$D:$DC,MATCH($A3,Material_Detail!$DE:$DE,0),47),0)),SUMIFS(T_Shipments[Confirmed_Qty],T_Shipments[Part Name],$A3,T_Shipments[Effective_Week],47))</f>
        <v/>
      </c>
      <c r="AW3">
        <f>IF(COUNTIF(Material_Detail!$DE:$DE,$A3)&gt;0,IF(ISNUMBER(SEARCH("[済]",INDEX(Material_Detail!$D:$DC,MATCH($A3,Material_Detail!$DE:$DE,0)+1,48))),0,IFERROR(INDEX(Material_Detail!$D:$DC,MATCH($A3,Material_Detail!$DE:$DE,0),48),0)),SUMIFS(T_Shipments[Confirmed_Qty],T_Shipments[Part Name],$A3,T_Shipments[Effective_Week],48))</f>
        <v/>
      </c>
      <c r="AX3">
        <f>IF(COUNTIF(Material_Detail!$DE:$DE,$A3)&gt;0,IF(ISNUMBER(SEARCH("[済]",INDEX(Material_Detail!$D:$DC,MATCH($A3,Material_Detail!$DE:$DE,0)+1,49))),0,IFERROR(INDEX(Material_Detail!$D:$DC,MATCH($A3,Material_Detail!$DE:$DE,0),49),0)),SUMIFS(T_Shipments[Confirmed_Qty],T_Shipments[Part Name],$A3,T_Shipments[Effective_Week],49))</f>
        <v/>
      </c>
      <c r="AY3">
        <f>IF(COUNTIF(Material_Detail!$DE:$DE,$A3)&gt;0,IF(ISNUMBER(SEARCH("[済]",INDEX(Material_Detail!$D:$DC,MATCH($A3,Material_Detail!$DE:$DE,0)+1,50))),0,IFERROR(INDEX(Material_Detail!$D:$DC,MATCH($A3,Material_Detail!$DE:$DE,0),50),0)),SUMIFS(T_Shipments[Confirmed_Qty],T_Shipments[Part Name],$A3,T_Shipments[Effective_Week],50))</f>
        <v/>
      </c>
      <c r="AZ3">
        <f>IF(COUNTIF(Material_Detail!$DE:$DE,$A3)&gt;0,IF(ISNUMBER(SEARCH("[済]",INDEX(Material_Detail!$D:$DC,MATCH($A3,Material_Detail!$DE:$DE,0)+1,51))),0,IFERROR(INDEX(Material_Detail!$D:$DC,MATCH($A3,Material_Detail!$DE:$DE,0),51),0)),SUMIFS(T_Shipments[Confirmed_Qty],T_Shipments[Part Name],$A3,T_Shipments[Effective_Week],51))</f>
        <v/>
      </c>
      <c r="BA3">
        <f>IF(COUNTIF(Material_Detail!$DE:$DE,$A3)&gt;0,IF(ISNUMBER(SEARCH("[済]",INDEX(Material_Detail!$D:$DC,MATCH($A3,Material_Detail!$DE:$DE,0)+1,52))),0,IFERROR(INDEX(Material_Detail!$D:$DC,MATCH($A3,Material_Detail!$DE:$DE,0),52),0)),SUMIFS(T_Shipments[Confirmed_Qty],T_Shipments[Part Name],$A3,T_Shipments[Effective_Week],52))</f>
        <v/>
      </c>
      <c r="BB3">
        <f>IF(COUNTIF(Material_Detail!$DE:$DE,$A3)&gt;0,IF(ISNUMBER(SEARCH("[済]",INDEX(Material_Detail!$D:$DC,MATCH($A3,Material_Detail!$DE:$DE,0)+1,53))),0,IFERROR(INDEX(Material_Detail!$D:$DC,MATCH($A3,Material_Detail!$DE:$DE,0),53),0)),SUMIFS(T_Shipments[Confirmed_Qty],T_Shipments[Part Name],$A3,T_Shipments[Effective_Week],53))</f>
        <v/>
      </c>
      <c r="BC3">
        <f>IF(COUNTIF(Material_Detail!$DE:$DE,$A3)&gt;0,IF(ISNUMBER(SEARCH("[済]",INDEX(Material_Detail!$D:$DC,MATCH($A3,Material_Detail!$DE:$DE,0)+1,54))),0,IFERROR(INDEX(Material_Detail!$D:$DC,MATCH($A3,Material_Detail!$DE:$DE,0),54),0)),SUMIFS(T_Shipments[Confirmed_Qty],T_Shipments[Part Name],$A3,T_Shipments[Effective_Week],54))</f>
        <v/>
      </c>
      <c r="BD3">
        <f>IF(COUNTIF(Material_Detail!$DE:$DE,$A3)&gt;0,IF(ISNUMBER(SEARCH("[済]",INDEX(Material_Detail!$D:$DC,MATCH($A3,Material_Detail!$DE:$DE,0)+1,55))),0,IFERROR(INDEX(Material_Detail!$D:$DC,MATCH($A3,Material_Detail!$DE:$DE,0),55),0)),SUMIFS(T_Shipments[Confirmed_Qty],T_Shipments[Part Name],$A3,T_Shipments[Effective_Week],55))</f>
        <v/>
      </c>
      <c r="BE3">
        <f>IF(COUNTIF(Material_Detail!$DE:$DE,$A3)&gt;0,IF(ISNUMBER(SEARCH("[済]",INDEX(Material_Detail!$D:$DC,MATCH($A3,Material_Detail!$DE:$DE,0)+1,56))),0,IFERROR(INDEX(Material_Detail!$D:$DC,MATCH($A3,Material_Detail!$DE:$DE,0),56),0)),SUMIFS(T_Shipments[Confirmed_Qty],T_Shipments[Part Name],$A3,T_Shipments[Effective_Week],56))</f>
        <v/>
      </c>
      <c r="BF3">
        <f>IF(COUNTIF(Material_Detail!$DE:$DE,$A3)&gt;0,IF(ISNUMBER(SEARCH("[済]",INDEX(Material_Detail!$D:$DC,MATCH($A3,Material_Detail!$DE:$DE,0)+1,57))),0,IFERROR(INDEX(Material_Detail!$D:$DC,MATCH($A3,Material_Detail!$DE:$DE,0),57),0)),SUMIFS(T_Shipments[Confirmed_Qty],T_Shipments[Part Name],$A3,T_Shipments[Effective_Week],57))</f>
        <v/>
      </c>
      <c r="BG3">
        <f>IF(COUNTIF(Material_Detail!$DE:$DE,$A3)&gt;0,IF(ISNUMBER(SEARCH("[済]",INDEX(Material_Detail!$D:$DC,MATCH($A3,Material_Detail!$DE:$DE,0)+1,58))),0,IFERROR(INDEX(Material_Detail!$D:$DC,MATCH($A3,Material_Detail!$DE:$DE,0),58),0)),SUMIFS(T_Shipments[Confirmed_Qty],T_Shipments[Part Name],$A3,T_Shipments[Effective_Week],58))</f>
        <v/>
      </c>
      <c r="BH3">
        <f>IF(COUNTIF(Material_Detail!$DE:$DE,$A3)&gt;0,IF(ISNUMBER(SEARCH("[済]",INDEX(Material_Detail!$D:$DC,MATCH($A3,Material_Detail!$DE:$DE,0)+1,59))),0,IFERROR(INDEX(Material_Detail!$D:$DC,MATCH($A3,Material_Detail!$DE:$DE,0),59),0)),SUMIFS(T_Shipments[Confirmed_Qty],T_Shipments[Part Name],$A3,T_Shipments[Effective_Week],59))</f>
        <v/>
      </c>
      <c r="BI3">
        <f>IF(COUNTIF(Material_Detail!$DE:$DE,$A3)&gt;0,IF(ISNUMBER(SEARCH("[済]",INDEX(Material_Detail!$D:$DC,MATCH($A3,Material_Detail!$DE:$DE,0)+1,60))),0,IFERROR(INDEX(Material_Detail!$D:$DC,MATCH($A3,Material_Detail!$DE:$DE,0),60),0)),SUMIFS(T_Shipments[Confirmed_Qty],T_Shipments[Part Name],$A3,T_Shipments[Effective_Week],60))</f>
        <v/>
      </c>
      <c r="BJ3">
        <f>IF(COUNTIF(Material_Detail!$DE:$DE,$A3)&gt;0,IF(ISNUMBER(SEARCH("[済]",INDEX(Material_Detail!$D:$DC,MATCH($A3,Material_Detail!$DE:$DE,0)+1,61))),0,IFERROR(INDEX(Material_Detail!$D:$DC,MATCH($A3,Material_Detail!$DE:$DE,0),61),0)),SUMIFS(T_Shipments[Confirmed_Qty],T_Shipments[Part Name],$A3,T_Shipments[Effective_Week],61))</f>
        <v/>
      </c>
      <c r="BK3">
        <f>IF(COUNTIF(Material_Detail!$DE:$DE,$A3)&gt;0,IF(ISNUMBER(SEARCH("[済]",INDEX(Material_Detail!$D:$DC,MATCH($A3,Material_Detail!$DE:$DE,0)+1,62))),0,IFERROR(INDEX(Material_Detail!$D:$DC,MATCH($A3,Material_Detail!$DE:$DE,0),62),0)),SUMIFS(T_Shipments[Confirmed_Qty],T_Shipments[Part Name],$A3,T_Shipments[Effective_Week],62))</f>
        <v/>
      </c>
      <c r="BL3">
        <f>IF(COUNTIF(Material_Detail!$DE:$DE,$A3)&gt;0,IF(ISNUMBER(SEARCH("[済]",INDEX(Material_Detail!$D:$DC,MATCH($A3,Material_Detail!$DE:$DE,0)+1,63))),0,IFERROR(INDEX(Material_Detail!$D:$DC,MATCH($A3,Material_Detail!$DE:$DE,0),63),0)),SUMIFS(T_Shipments[Confirmed_Qty],T_Shipments[Part Name],$A3,T_Shipments[Effective_Week],63))</f>
        <v/>
      </c>
      <c r="BM3">
        <f>IF(COUNTIF(Material_Detail!$DE:$DE,$A3)&gt;0,IF(ISNUMBER(SEARCH("[済]",INDEX(Material_Detail!$D:$DC,MATCH($A3,Material_Detail!$DE:$DE,0)+1,64))),0,IFERROR(INDEX(Material_Detail!$D:$DC,MATCH($A3,Material_Detail!$DE:$DE,0),64),0)),SUMIFS(T_Shipments[Confirmed_Qty],T_Shipments[Part Name],$A3,T_Shipments[Effective_Week],64))</f>
        <v/>
      </c>
      <c r="BN3">
        <f>IF(COUNTIF(Material_Detail!$DE:$DE,$A3)&gt;0,IF(ISNUMBER(SEARCH("[済]",INDEX(Material_Detail!$D:$DC,MATCH($A3,Material_Detail!$DE:$DE,0)+1,65))),0,IFERROR(INDEX(Material_Detail!$D:$DC,MATCH($A3,Material_Detail!$DE:$DE,0),65),0)),SUMIFS(T_Shipments[Confirmed_Qty],T_Shipments[Part Name],$A3,T_Shipments[Effective_Week],65))</f>
        <v/>
      </c>
      <c r="BO3">
        <f>IF(COUNTIF(Material_Detail!$DE:$DE,$A3)&gt;0,IF(ISNUMBER(SEARCH("[済]",INDEX(Material_Detail!$D:$DC,MATCH($A3,Material_Detail!$DE:$DE,0)+1,66))),0,IFERROR(INDEX(Material_Detail!$D:$DC,MATCH($A3,Material_Detail!$DE:$DE,0),66),0)),SUMIFS(T_Shipments[Confirmed_Qty],T_Shipments[Part Name],$A3,T_Shipments[Effective_Week],66))</f>
        <v/>
      </c>
      <c r="BP3">
        <f>IF(COUNTIF(Material_Detail!$DE:$DE,$A3)&gt;0,IF(ISNUMBER(SEARCH("[済]",INDEX(Material_Detail!$D:$DC,MATCH($A3,Material_Detail!$DE:$DE,0)+1,67))),0,IFERROR(INDEX(Material_Detail!$D:$DC,MATCH($A3,Material_Detail!$DE:$DE,0),67),0)),SUMIFS(T_Shipments[Confirmed_Qty],T_Shipments[Part Name],$A3,T_Shipments[Effective_Week],67))</f>
        <v/>
      </c>
      <c r="BQ3">
        <f>IF(COUNTIF(Material_Detail!$DE:$DE,$A3)&gt;0,IF(ISNUMBER(SEARCH("[済]",INDEX(Material_Detail!$D:$DC,MATCH($A3,Material_Detail!$DE:$DE,0)+1,68))),0,IFERROR(INDEX(Material_Detail!$D:$DC,MATCH($A3,Material_Detail!$DE:$DE,0),68),0)),SUMIFS(T_Shipments[Confirmed_Qty],T_Shipments[Part Name],$A3,T_Shipments[Effective_Week],68))</f>
        <v/>
      </c>
      <c r="BR3">
        <f>IF(COUNTIF(Material_Detail!$DE:$DE,$A3)&gt;0,IF(ISNUMBER(SEARCH("[済]",INDEX(Material_Detail!$D:$DC,MATCH($A3,Material_Detail!$DE:$DE,0)+1,69))),0,IFERROR(INDEX(Material_Detail!$D:$DC,MATCH($A3,Material_Detail!$DE:$DE,0),69),0)),SUMIFS(T_Shipments[Confirmed_Qty],T_Shipments[Part Name],$A3,T_Shipments[Effective_Week],69))</f>
        <v/>
      </c>
      <c r="BS3">
        <f>IF(COUNTIF(Material_Detail!$DE:$DE,$A3)&gt;0,IF(ISNUMBER(SEARCH("[済]",INDEX(Material_Detail!$D:$DC,MATCH($A3,Material_Detail!$DE:$DE,0)+1,70))),0,IFERROR(INDEX(Material_Detail!$D:$DC,MATCH($A3,Material_Detail!$DE:$DE,0),70),0)),SUMIFS(T_Shipments[Confirmed_Qty],T_Shipments[Part Name],$A3,T_Shipments[Effective_Week],70))</f>
        <v/>
      </c>
      <c r="BT3">
        <f>IF(COUNTIF(Material_Detail!$DE:$DE,$A3)&gt;0,IF(ISNUMBER(SEARCH("[済]",INDEX(Material_Detail!$D:$DC,MATCH($A3,Material_Detail!$DE:$DE,0)+1,71))),0,IFERROR(INDEX(Material_Detail!$D:$DC,MATCH($A3,Material_Detail!$DE:$DE,0),71),0)),SUMIFS(T_Shipments[Confirmed_Qty],T_Shipments[Part Name],$A3,T_Shipments[Effective_Week],71))</f>
        <v/>
      </c>
      <c r="BU3">
        <f>IF(COUNTIF(Material_Detail!$DE:$DE,$A3)&gt;0,IF(ISNUMBER(SEARCH("[済]",INDEX(Material_Detail!$D:$DC,MATCH($A3,Material_Detail!$DE:$DE,0)+1,72))),0,IFERROR(INDEX(Material_Detail!$D:$DC,MATCH($A3,Material_Detail!$DE:$DE,0),72),0)),SUMIFS(T_Shipments[Confirmed_Qty],T_Shipments[Part Name],$A3,T_Shipments[Effective_Week],72))</f>
        <v/>
      </c>
      <c r="BV3">
        <f>IF(COUNTIF(Material_Detail!$DE:$DE,$A3)&gt;0,IF(ISNUMBER(SEARCH("[済]",INDEX(Material_Detail!$D:$DC,MATCH($A3,Material_Detail!$DE:$DE,0)+1,73))),0,IFERROR(INDEX(Material_Detail!$D:$DC,MATCH($A3,Material_Detail!$DE:$DE,0),73),0)),SUMIFS(T_Shipments[Confirmed_Qty],T_Shipments[Part Name],$A3,T_Shipments[Effective_Week],73))</f>
        <v/>
      </c>
      <c r="BW3">
        <f>IF(COUNTIF(Material_Detail!$DE:$DE,$A3)&gt;0,IF(ISNUMBER(SEARCH("[済]",INDEX(Material_Detail!$D:$DC,MATCH($A3,Material_Detail!$DE:$DE,0)+1,74))),0,IFERROR(INDEX(Material_Detail!$D:$DC,MATCH($A3,Material_Detail!$DE:$DE,0),74),0)),SUMIFS(T_Shipments[Confirmed_Qty],T_Shipments[Part Name],$A3,T_Shipments[Effective_Week],74))</f>
        <v/>
      </c>
      <c r="BX3">
        <f>IF(COUNTIF(Material_Detail!$DE:$DE,$A3)&gt;0,IF(ISNUMBER(SEARCH("[済]",INDEX(Material_Detail!$D:$DC,MATCH($A3,Material_Detail!$DE:$DE,0)+1,75))),0,IFERROR(INDEX(Material_Detail!$D:$DC,MATCH($A3,Material_Detail!$DE:$DE,0),75),0)),SUMIFS(T_Shipments[Confirmed_Qty],T_Shipments[Part Name],$A3,T_Shipments[Effective_Week],75))</f>
        <v/>
      </c>
      <c r="BY3">
        <f>IF(COUNTIF(Material_Detail!$DE:$DE,$A3)&gt;0,IF(ISNUMBER(SEARCH("[済]",INDEX(Material_Detail!$D:$DC,MATCH($A3,Material_Detail!$DE:$DE,0)+1,76))),0,IFERROR(INDEX(Material_Detail!$D:$DC,MATCH($A3,Material_Detail!$DE:$DE,0),76),0)),SUMIFS(T_Shipments[Confirmed_Qty],T_Shipments[Part Name],$A3,T_Shipments[Effective_Week],76))</f>
        <v/>
      </c>
      <c r="BZ3">
        <f>IF(COUNTIF(Material_Detail!$DE:$DE,$A3)&gt;0,IF(ISNUMBER(SEARCH("[済]",INDEX(Material_Detail!$D:$DC,MATCH($A3,Material_Detail!$DE:$DE,0)+1,77))),0,IFERROR(INDEX(Material_Detail!$D:$DC,MATCH($A3,Material_Detail!$DE:$DE,0),77),0)),SUMIFS(T_Shipments[Confirmed_Qty],T_Shipments[Part Name],$A3,T_Shipments[Effective_Week],77))</f>
        <v/>
      </c>
      <c r="CA3">
        <f>IF(COUNTIF(Material_Detail!$DE:$DE,$A3)&gt;0,IF(ISNUMBER(SEARCH("[済]",INDEX(Material_Detail!$D:$DC,MATCH($A3,Material_Detail!$DE:$DE,0)+1,78))),0,IFERROR(INDEX(Material_Detail!$D:$DC,MATCH($A3,Material_Detail!$DE:$DE,0),78),0)),SUMIFS(T_Shipments[Confirmed_Qty],T_Shipments[Part Name],$A3,T_Shipments[Effective_Week],78))</f>
        <v/>
      </c>
      <c r="CB3">
        <f>IF(COUNTIF(Material_Detail!$DE:$DE,$A3)&gt;0,IF(ISNUMBER(SEARCH("[済]",INDEX(Material_Detail!$D:$DC,MATCH($A3,Material_Detail!$DE:$DE,0)+1,79))),0,IFERROR(INDEX(Material_Detail!$D:$DC,MATCH($A3,Material_Detail!$DE:$DE,0),79),0)),SUMIFS(T_Shipments[Confirmed_Qty],T_Shipments[Part Name],$A3,T_Shipments[Effective_Week],79))</f>
        <v/>
      </c>
      <c r="CC3">
        <f>IF(COUNTIF(Material_Detail!$DE:$DE,$A3)&gt;0,IF(ISNUMBER(SEARCH("[済]",INDEX(Material_Detail!$D:$DC,MATCH($A3,Material_Detail!$DE:$DE,0)+1,80))),0,IFERROR(INDEX(Material_Detail!$D:$DC,MATCH($A3,Material_Detail!$DE:$DE,0),80),0)),SUMIFS(T_Shipments[Confirmed_Qty],T_Shipments[Part Name],$A3,T_Shipments[Effective_Week],80))</f>
        <v/>
      </c>
      <c r="CD3">
        <f>IF(COUNTIF(Material_Detail!$DE:$DE,$A3)&gt;0,IF(ISNUMBER(SEARCH("[済]",INDEX(Material_Detail!$D:$DC,MATCH($A3,Material_Detail!$DE:$DE,0)+1,81))),0,IFERROR(INDEX(Material_Detail!$D:$DC,MATCH($A3,Material_Detail!$DE:$DE,0),81),0)),SUMIFS(T_Shipments[Confirmed_Qty],T_Shipments[Part Name],$A3,T_Shipments[Effective_Week],81))</f>
        <v/>
      </c>
      <c r="CE3">
        <f>IF(COUNTIF(Material_Detail!$DE:$DE,$A3)&gt;0,IF(ISNUMBER(SEARCH("[済]",INDEX(Material_Detail!$D:$DC,MATCH($A3,Material_Detail!$DE:$DE,0)+1,82))),0,IFERROR(INDEX(Material_Detail!$D:$DC,MATCH($A3,Material_Detail!$DE:$DE,0),82),0)),SUMIFS(T_Shipments[Confirmed_Qty],T_Shipments[Part Name],$A3,T_Shipments[Effective_Week],82))</f>
        <v/>
      </c>
      <c r="CF3">
        <f>IF(COUNTIF(Material_Detail!$DE:$DE,$A3)&gt;0,IF(ISNUMBER(SEARCH("[済]",INDEX(Material_Detail!$D:$DC,MATCH($A3,Material_Detail!$DE:$DE,0)+1,83))),0,IFERROR(INDEX(Material_Detail!$D:$DC,MATCH($A3,Material_Detail!$DE:$DE,0),83),0)),SUMIFS(T_Shipments[Confirmed_Qty],T_Shipments[Part Name],$A3,T_Shipments[Effective_Week],83))</f>
        <v/>
      </c>
      <c r="CG3">
        <f>IF(COUNTIF(Material_Detail!$DE:$DE,$A3)&gt;0,IF(ISNUMBER(SEARCH("[済]",INDEX(Material_Detail!$D:$DC,MATCH($A3,Material_Detail!$DE:$DE,0)+1,84))),0,IFERROR(INDEX(Material_Detail!$D:$DC,MATCH($A3,Material_Detail!$DE:$DE,0),84),0)),SUMIFS(T_Shipments[Confirmed_Qty],T_Shipments[Part Name],$A3,T_Shipments[Effective_Week],84))</f>
        <v/>
      </c>
      <c r="CH3">
        <f>IF(COUNTIF(Material_Detail!$DE:$DE,$A3)&gt;0,IF(ISNUMBER(SEARCH("[済]",INDEX(Material_Detail!$D:$DC,MATCH($A3,Material_Detail!$DE:$DE,0)+1,85))),0,IFERROR(INDEX(Material_Detail!$D:$DC,MATCH($A3,Material_Detail!$DE:$DE,0),85),0)),SUMIFS(T_Shipments[Confirmed_Qty],T_Shipments[Part Name],$A3,T_Shipments[Effective_Week],85))</f>
        <v/>
      </c>
      <c r="CI3">
        <f>IF(COUNTIF(Material_Detail!$DE:$DE,$A3)&gt;0,IF(ISNUMBER(SEARCH("[済]",INDEX(Material_Detail!$D:$DC,MATCH($A3,Material_Detail!$DE:$DE,0)+1,86))),0,IFERROR(INDEX(Material_Detail!$D:$DC,MATCH($A3,Material_Detail!$DE:$DE,0),86),0)),SUMIFS(T_Shipments[Confirmed_Qty],T_Shipments[Part Name],$A3,T_Shipments[Effective_Week],86))</f>
        <v/>
      </c>
      <c r="CJ3">
        <f>IF(COUNTIF(Material_Detail!$DE:$DE,$A3)&gt;0,IF(ISNUMBER(SEARCH("[済]",INDEX(Material_Detail!$D:$DC,MATCH($A3,Material_Detail!$DE:$DE,0)+1,87))),0,IFERROR(INDEX(Material_Detail!$D:$DC,MATCH($A3,Material_Detail!$DE:$DE,0),87),0)),SUMIFS(T_Shipments[Confirmed_Qty],T_Shipments[Part Name],$A3,T_Shipments[Effective_Week],87))</f>
        <v/>
      </c>
      <c r="CK3">
        <f>IF(COUNTIF(Material_Detail!$DE:$DE,$A3)&gt;0,IF(ISNUMBER(SEARCH("[済]",INDEX(Material_Detail!$D:$DC,MATCH($A3,Material_Detail!$DE:$DE,0)+1,88))),0,IFERROR(INDEX(Material_Detail!$D:$DC,MATCH($A3,Material_Detail!$DE:$DE,0),88),0)),SUMIFS(T_Shipments[Confirmed_Qty],T_Shipments[Part Name],$A3,T_Shipments[Effective_Week],88))</f>
        <v/>
      </c>
      <c r="CL3">
        <f>IF(COUNTIF(Material_Detail!$DE:$DE,$A3)&gt;0,IF(ISNUMBER(SEARCH("[済]",INDEX(Material_Detail!$D:$DC,MATCH($A3,Material_Detail!$DE:$DE,0)+1,89))),0,IFERROR(INDEX(Material_Detail!$D:$DC,MATCH($A3,Material_Detail!$DE:$DE,0),89),0)),SUMIFS(T_Shipments[Confirmed_Qty],T_Shipments[Part Name],$A3,T_Shipments[Effective_Week],89))</f>
        <v/>
      </c>
      <c r="CM3">
        <f>IF(COUNTIF(Material_Detail!$DE:$DE,$A3)&gt;0,IF(ISNUMBER(SEARCH("[済]",INDEX(Material_Detail!$D:$DC,MATCH($A3,Material_Detail!$DE:$DE,0)+1,90))),0,IFERROR(INDEX(Material_Detail!$D:$DC,MATCH($A3,Material_Detail!$DE:$DE,0),90),0)),SUMIFS(T_Shipments[Confirmed_Qty],T_Shipments[Part Name],$A3,T_Shipments[Effective_Week],90))</f>
        <v/>
      </c>
      <c r="CN3">
        <f>IF(COUNTIF(Material_Detail!$DE:$DE,$A3)&gt;0,IF(ISNUMBER(SEARCH("[済]",INDEX(Material_Detail!$D:$DC,MATCH($A3,Material_Detail!$DE:$DE,0)+1,91))),0,IFERROR(INDEX(Material_Detail!$D:$DC,MATCH($A3,Material_Detail!$DE:$DE,0),91),0)),SUMIFS(T_Shipments[Confirmed_Qty],T_Shipments[Part Name],$A3,T_Shipments[Effective_Week],91))</f>
        <v/>
      </c>
      <c r="CO3">
        <f>IF(COUNTIF(Material_Detail!$DE:$DE,$A3)&gt;0,IF(ISNUMBER(SEARCH("[済]",INDEX(Material_Detail!$D:$DC,MATCH($A3,Material_Detail!$DE:$DE,0)+1,92))),0,IFERROR(INDEX(Material_Detail!$D:$DC,MATCH($A3,Material_Detail!$DE:$DE,0),92),0)),SUMIFS(T_Shipments[Confirmed_Qty],T_Shipments[Part Name],$A3,T_Shipments[Effective_Week],92))</f>
        <v/>
      </c>
      <c r="CP3">
        <f>IF(COUNTIF(Material_Detail!$DE:$DE,$A3)&gt;0,IF(ISNUMBER(SEARCH("[済]",INDEX(Material_Detail!$D:$DC,MATCH($A3,Material_Detail!$DE:$DE,0)+1,93))),0,IFERROR(INDEX(Material_Detail!$D:$DC,MATCH($A3,Material_Detail!$DE:$DE,0),93),0)),SUMIFS(T_Shipments[Confirmed_Qty],T_Shipments[Part Name],$A3,T_Shipments[Effective_Week],93))</f>
        <v/>
      </c>
      <c r="CQ3">
        <f>IF(COUNTIF(Material_Detail!$DE:$DE,$A3)&gt;0,IF(ISNUMBER(SEARCH("[済]",INDEX(Material_Detail!$D:$DC,MATCH($A3,Material_Detail!$DE:$DE,0)+1,94))),0,IFERROR(INDEX(Material_Detail!$D:$DC,MATCH($A3,Material_Detail!$DE:$DE,0),94),0)),SUMIFS(T_Shipments[Confirmed_Qty],T_Shipments[Part Name],$A3,T_Shipments[Effective_Week],94))</f>
        <v/>
      </c>
      <c r="CR3">
        <f>IF(COUNTIF(Material_Detail!$DE:$DE,$A3)&gt;0,IF(ISNUMBER(SEARCH("[済]",INDEX(Material_Detail!$D:$DC,MATCH($A3,Material_Detail!$DE:$DE,0)+1,95))),0,IFERROR(INDEX(Material_Detail!$D:$DC,MATCH($A3,Material_Detail!$DE:$DE,0),95),0)),SUMIFS(T_Shipments[Confirmed_Qty],T_Shipments[Part Name],$A3,T_Shipments[Effective_Week],95))</f>
        <v/>
      </c>
      <c r="CS3">
        <f>IF(COUNTIF(Material_Detail!$DE:$DE,$A3)&gt;0,IF(ISNUMBER(SEARCH("[済]",INDEX(Material_Detail!$D:$DC,MATCH($A3,Material_Detail!$DE:$DE,0)+1,96))),0,IFERROR(INDEX(Material_Detail!$D:$DC,MATCH($A3,Material_Detail!$DE:$DE,0),96),0)),SUMIFS(T_Shipments[Confirmed_Qty],T_Shipments[Part Name],$A3,T_Shipments[Effective_Week],96))</f>
        <v/>
      </c>
      <c r="CT3">
        <f>IF(COUNTIF(Material_Detail!$DE:$DE,$A3)&gt;0,IF(ISNUMBER(SEARCH("[済]",INDEX(Material_Detail!$D:$DC,MATCH($A3,Material_Detail!$DE:$DE,0)+1,97))),0,IFERROR(INDEX(Material_Detail!$D:$DC,MATCH($A3,Material_Detail!$DE:$DE,0),97),0)),SUMIFS(T_Shipments[Confirmed_Qty],T_Shipments[Part Name],$A3,T_Shipments[Effective_Week],97))</f>
        <v/>
      </c>
      <c r="CU3">
        <f>IF(COUNTIF(Material_Detail!$DE:$DE,$A3)&gt;0,IF(ISNUMBER(SEARCH("[済]",INDEX(Material_Detail!$D:$DC,MATCH($A3,Material_Detail!$DE:$DE,0)+1,98))),0,IFERROR(INDEX(Material_Detail!$D:$DC,MATCH($A3,Material_Detail!$DE:$DE,0),98),0)),SUMIFS(T_Shipments[Confirmed_Qty],T_Shipments[Part Name],$A3,T_Shipments[Effective_Week],98))</f>
        <v/>
      </c>
      <c r="CV3">
        <f>IF(COUNTIF(Material_Detail!$DE:$DE,$A3)&gt;0,IF(ISNUMBER(SEARCH("[済]",INDEX(Material_Detail!$D:$DC,MATCH($A3,Material_Detail!$DE:$DE,0)+1,99))),0,IFERROR(INDEX(Material_Detail!$D:$DC,MATCH($A3,Material_Detail!$DE:$DE,0),99),0)),SUMIFS(T_Shipments[Confirmed_Qty],T_Shipments[Part Name],$A3,T_Shipments[Effective_Week],99))</f>
        <v/>
      </c>
      <c r="CW3">
        <f>IF(COUNTIF(Material_Detail!$DE:$DE,$A3)&gt;0,IF(ISNUMBER(SEARCH("[済]",INDEX(Material_Detail!$D:$DC,MATCH($A3,Material_Detail!$DE:$DE,0)+1,100))),0,IFERROR(INDEX(Material_Detail!$D:$DC,MATCH($A3,Material_Detail!$DE:$DE,0),100),0)),SUMIFS(T_Shipments[Confirmed_Qty],T_Shipments[Part Name],$A3,T_Shipments[Effective_Week],100))</f>
        <v/>
      </c>
      <c r="CX3">
        <f>IF(COUNTIF(Material_Detail!$DE:$DE,$A3)&gt;0,IF(ISNUMBER(SEARCH("[済]",INDEX(Material_Detail!$D:$DC,MATCH($A3,Material_Detail!$DE:$DE,0)+1,101))),0,IFERROR(INDEX(Material_Detail!$D:$DC,MATCH($A3,Material_Detail!$DE:$DE,0),101),0)),SUMIFS(T_Shipments[Confirmed_Qty],T_Shipments[Part Name],$A3,T_Shipments[Effective_Week],101))</f>
        <v/>
      </c>
      <c r="CY3">
        <f>IF(COUNTIF(Material_Detail!$DE:$DE,$A3)&gt;0,IF(ISNUMBER(SEARCH("[済]",INDEX(Material_Detail!$D:$DC,MATCH($A3,Material_Detail!$DE:$DE,0)+1,102))),0,IFERROR(INDEX(Material_Detail!$D:$DC,MATCH($A3,Material_Detail!$DE:$DE,0),102),0)),SUMIFS(T_Shipments[Confirmed_Qty],T_Shipments[Part Name],$A3,T_Shipments[Effective_Week],102))</f>
        <v/>
      </c>
      <c r="CZ3">
        <f>IF(COUNTIF(Material_Detail!$DE:$DE,$A3)&gt;0,IF(ISNUMBER(SEARCH("[済]",INDEX(Material_Detail!$D:$DC,MATCH($A3,Material_Detail!$DE:$DE,0)+1,103))),0,IFERROR(INDEX(Material_Detail!$D:$DC,MATCH($A3,Material_Detail!$DE:$DE,0),103),0)),SUMIFS(T_Shipments[Confirmed_Qty],T_Shipments[Part Name],$A3,T_Shipments[Effective_Week],103))</f>
        <v/>
      </c>
      <c r="DA3">
        <f>IF(COUNTIF(Material_Detail!$DE:$DE,$A3)&gt;0,IF(ISNUMBER(SEARCH("[済]",INDEX(Material_Detail!$D:$DC,MATCH($A3,Material_Detail!$DE:$DE,0)+1,104))),0,IFERROR(INDEX(Material_Detail!$D:$DC,MATCH($A3,Material_Detail!$DE:$DE,0),104),0)),SUMIFS(T_Shipments[Confirmed_Qty],T_Shipments[Part Name],$A3,T_Shipments[Effective_Week],104))</f>
        <v/>
      </c>
    </row>
    <row r="4">
      <c r="A4" t="inlineStr">
        <is>
          <t>4HL</t>
        </is>
      </c>
      <c r="B4">
        <f>IF(COUNTIF(Material_Detail!$DE:$DE,$A4)&gt;0,IF(ISNUMBER(SEARCH("[済]",INDEX(Material_Detail!$D:$DC,MATCH($A4,Material_Detail!$DE:$DE,0)+1,1))),0,IFERROR(INDEX(Material_Detail!$D:$DC,MATCH($A4,Material_Detail!$DE:$DE,0),1),0)),SUMIFS(T_Shipments[Confirmed_Qty],T_Shipments[Part Name],$A4,T_Shipments[Effective_Week],1))</f>
        <v/>
      </c>
      <c r="C4">
        <f>IF(COUNTIF(Material_Detail!$DE:$DE,$A4)&gt;0,IF(ISNUMBER(SEARCH("[済]",INDEX(Material_Detail!$D:$DC,MATCH($A4,Material_Detail!$DE:$DE,0)+1,2))),0,IFERROR(INDEX(Material_Detail!$D:$DC,MATCH($A4,Material_Detail!$DE:$DE,0),2),0)),SUMIFS(T_Shipments[Confirmed_Qty],T_Shipments[Part Name],$A4,T_Shipments[Effective_Week],2))</f>
        <v/>
      </c>
      <c r="D4">
        <f>IF(COUNTIF(Material_Detail!$DE:$DE,$A4)&gt;0,IF(ISNUMBER(SEARCH("[済]",INDEX(Material_Detail!$D:$DC,MATCH($A4,Material_Detail!$DE:$DE,0)+1,3))),0,IFERROR(INDEX(Material_Detail!$D:$DC,MATCH($A4,Material_Detail!$DE:$DE,0),3),0)),SUMIFS(T_Shipments[Confirmed_Qty],T_Shipments[Part Name],$A4,T_Shipments[Effective_Week],3))</f>
        <v/>
      </c>
      <c r="E4">
        <f>IF(COUNTIF(Material_Detail!$DE:$DE,$A4)&gt;0,IF(ISNUMBER(SEARCH("[済]",INDEX(Material_Detail!$D:$DC,MATCH($A4,Material_Detail!$DE:$DE,0)+1,4))),0,IFERROR(INDEX(Material_Detail!$D:$DC,MATCH($A4,Material_Detail!$DE:$DE,0),4),0)),SUMIFS(T_Shipments[Confirmed_Qty],T_Shipments[Part Name],$A4,T_Shipments[Effective_Week],4))</f>
        <v/>
      </c>
      <c r="F4">
        <f>IF(COUNTIF(Material_Detail!$DE:$DE,$A4)&gt;0,IF(ISNUMBER(SEARCH("[済]",INDEX(Material_Detail!$D:$DC,MATCH($A4,Material_Detail!$DE:$DE,0)+1,5))),0,IFERROR(INDEX(Material_Detail!$D:$DC,MATCH($A4,Material_Detail!$DE:$DE,0),5),0)),SUMIFS(T_Shipments[Confirmed_Qty],T_Shipments[Part Name],$A4,T_Shipments[Effective_Week],5))</f>
        <v/>
      </c>
      <c r="G4">
        <f>IF(COUNTIF(Material_Detail!$DE:$DE,$A4)&gt;0,IF(ISNUMBER(SEARCH("[済]",INDEX(Material_Detail!$D:$DC,MATCH($A4,Material_Detail!$DE:$DE,0)+1,6))),0,IFERROR(INDEX(Material_Detail!$D:$DC,MATCH($A4,Material_Detail!$DE:$DE,0),6),0)),SUMIFS(T_Shipments[Confirmed_Qty],T_Shipments[Part Name],$A4,T_Shipments[Effective_Week],6))</f>
        <v/>
      </c>
      <c r="H4">
        <f>IF(COUNTIF(Material_Detail!$DE:$DE,$A4)&gt;0,IF(ISNUMBER(SEARCH("[済]",INDEX(Material_Detail!$D:$DC,MATCH($A4,Material_Detail!$DE:$DE,0)+1,7))),0,IFERROR(INDEX(Material_Detail!$D:$DC,MATCH($A4,Material_Detail!$DE:$DE,0),7),0)),SUMIFS(T_Shipments[Confirmed_Qty],T_Shipments[Part Name],$A4,T_Shipments[Effective_Week],7))</f>
        <v/>
      </c>
      <c r="I4">
        <f>IF(COUNTIF(Material_Detail!$DE:$DE,$A4)&gt;0,IF(ISNUMBER(SEARCH("[済]",INDEX(Material_Detail!$D:$DC,MATCH($A4,Material_Detail!$DE:$DE,0)+1,8))),0,IFERROR(INDEX(Material_Detail!$D:$DC,MATCH($A4,Material_Detail!$DE:$DE,0),8),0)),SUMIFS(T_Shipments[Confirmed_Qty],T_Shipments[Part Name],$A4,T_Shipments[Effective_Week],8))</f>
        <v/>
      </c>
      <c r="J4">
        <f>IF(COUNTIF(Material_Detail!$DE:$DE,$A4)&gt;0,IF(ISNUMBER(SEARCH("[済]",INDEX(Material_Detail!$D:$DC,MATCH($A4,Material_Detail!$DE:$DE,0)+1,9))),0,IFERROR(INDEX(Material_Detail!$D:$DC,MATCH($A4,Material_Detail!$DE:$DE,0),9),0)),SUMIFS(T_Shipments[Confirmed_Qty],T_Shipments[Part Name],$A4,T_Shipments[Effective_Week],9))</f>
        <v/>
      </c>
      <c r="K4">
        <f>IF(COUNTIF(Material_Detail!$DE:$DE,$A4)&gt;0,IF(ISNUMBER(SEARCH("[済]",INDEX(Material_Detail!$D:$DC,MATCH($A4,Material_Detail!$DE:$DE,0)+1,10))),0,IFERROR(INDEX(Material_Detail!$D:$DC,MATCH($A4,Material_Detail!$DE:$DE,0),10),0)),SUMIFS(T_Shipments[Confirmed_Qty],T_Shipments[Part Name],$A4,T_Shipments[Effective_Week],10))</f>
        <v/>
      </c>
      <c r="L4">
        <f>IF(COUNTIF(Material_Detail!$DE:$DE,$A4)&gt;0,IF(ISNUMBER(SEARCH("[済]",INDEX(Material_Detail!$D:$DC,MATCH($A4,Material_Detail!$DE:$DE,0)+1,11))),0,IFERROR(INDEX(Material_Detail!$D:$DC,MATCH($A4,Material_Detail!$DE:$DE,0),11),0)),SUMIFS(T_Shipments[Confirmed_Qty],T_Shipments[Part Name],$A4,T_Shipments[Effective_Week],11))</f>
        <v/>
      </c>
      <c r="M4">
        <f>IF(COUNTIF(Material_Detail!$DE:$DE,$A4)&gt;0,IF(ISNUMBER(SEARCH("[済]",INDEX(Material_Detail!$D:$DC,MATCH($A4,Material_Detail!$DE:$DE,0)+1,12))),0,IFERROR(INDEX(Material_Detail!$D:$DC,MATCH($A4,Material_Detail!$DE:$DE,0),12),0)),SUMIFS(T_Shipments[Confirmed_Qty],T_Shipments[Part Name],$A4,T_Shipments[Effective_Week],12))</f>
        <v/>
      </c>
      <c r="N4">
        <f>IF(COUNTIF(Material_Detail!$DE:$DE,$A4)&gt;0,IF(ISNUMBER(SEARCH("[済]",INDEX(Material_Detail!$D:$DC,MATCH($A4,Material_Detail!$DE:$DE,0)+1,13))),0,IFERROR(INDEX(Material_Detail!$D:$DC,MATCH($A4,Material_Detail!$DE:$DE,0),13),0)),SUMIFS(T_Shipments[Confirmed_Qty],T_Shipments[Part Name],$A4,T_Shipments[Effective_Week],13))</f>
        <v/>
      </c>
      <c r="O4">
        <f>IF(COUNTIF(Material_Detail!$DE:$DE,$A4)&gt;0,IF(ISNUMBER(SEARCH("[済]",INDEX(Material_Detail!$D:$DC,MATCH($A4,Material_Detail!$DE:$DE,0)+1,14))),0,IFERROR(INDEX(Material_Detail!$D:$DC,MATCH($A4,Material_Detail!$DE:$DE,0),14),0)),SUMIFS(T_Shipments[Confirmed_Qty],T_Shipments[Part Name],$A4,T_Shipments[Effective_Week],14))</f>
        <v/>
      </c>
      <c r="P4">
        <f>IF(COUNTIF(Material_Detail!$DE:$DE,$A4)&gt;0,IF(ISNUMBER(SEARCH("[済]",INDEX(Material_Detail!$D:$DC,MATCH($A4,Material_Detail!$DE:$DE,0)+1,15))),0,IFERROR(INDEX(Material_Detail!$D:$DC,MATCH($A4,Material_Detail!$DE:$DE,0),15),0)),SUMIFS(T_Shipments[Confirmed_Qty],T_Shipments[Part Name],$A4,T_Shipments[Effective_Week],15))</f>
        <v/>
      </c>
      <c r="Q4">
        <f>IF(COUNTIF(Material_Detail!$DE:$DE,$A4)&gt;0,IF(ISNUMBER(SEARCH("[済]",INDEX(Material_Detail!$D:$DC,MATCH($A4,Material_Detail!$DE:$DE,0)+1,16))),0,IFERROR(INDEX(Material_Detail!$D:$DC,MATCH($A4,Material_Detail!$DE:$DE,0),16),0)),SUMIFS(T_Shipments[Confirmed_Qty],T_Shipments[Part Name],$A4,T_Shipments[Effective_Week],16))</f>
        <v/>
      </c>
      <c r="R4">
        <f>IF(COUNTIF(Material_Detail!$DE:$DE,$A4)&gt;0,IF(ISNUMBER(SEARCH("[済]",INDEX(Material_Detail!$D:$DC,MATCH($A4,Material_Detail!$DE:$DE,0)+1,17))),0,IFERROR(INDEX(Material_Detail!$D:$DC,MATCH($A4,Material_Detail!$DE:$DE,0),17),0)),SUMIFS(T_Shipments[Confirmed_Qty],T_Shipments[Part Name],$A4,T_Shipments[Effective_Week],17))</f>
        <v/>
      </c>
      <c r="S4">
        <f>IF(COUNTIF(Material_Detail!$DE:$DE,$A4)&gt;0,IF(ISNUMBER(SEARCH("[済]",INDEX(Material_Detail!$D:$DC,MATCH($A4,Material_Detail!$DE:$DE,0)+1,18))),0,IFERROR(INDEX(Material_Detail!$D:$DC,MATCH($A4,Material_Detail!$DE:$DE,0),18),0)),SUMIFS(T_Shipments[Confirmed_Qty],T_Shipments[Part Name],$A4,T_Shipments[Effective_Week],18))</f>
        <v/>
      </c>
      <c r="T4">
        <f>IF(COUNTIF(Material_Detail!$DE:$DE,$A4)&gt;0,IF(ISNUMBER(SEARCH("[済]",INDEX(Material_Detail!$D:$DC,MATCH($A4,Material_Detail!$DE:$DE,0)+1,19))),0,IFERROR(INDEX(Material_Detail!$D:$DC,MATCH($A4,Material_Detail!$DE:$DE,0),19),0)),SUMIFS(T_Shipments[Confirmed_Qty],T_Shipments[Part Name],$A4,T_Shipments[Effective_Week],19))</f>
        <v/>
      </c>
      <c r="U4">
        <f>IF(COUNTIF(Material_Detail!$DE:$DE,$A4)&gt;0,IF(ISNUMBER(SEARCH("[済]",INDEX(Material_Detail!$D:$DC,MATCH($A4,Material_Detail!$DE:$DE,0)+1,20))),0,IFERROR(INDEX(Material_Detail!$D:$DC,MATCH($A4,Material_Detail!$DE:$DE,0),20),0)),SUMIFS(T_Shipments[Confirmed_Qty],T_Shipments[Part Name],$A4,T_Shipments[Effective_Week],20))</f>
        <v/>
      </c>
      <c r="V4">
        <f>IF(COUNTIF(Material_Detail!$DE:$DE,$A4)&gt;0,IF(ISNUMBER(SEARCH("[済]",INDEX(Material_Detail!$D:$DC,MATCH($A4,Material_Detail!$DE:$DE,0)+1,21))),0,IFERROR(INDEX(Material_Detail!$D:$DC,MATCH($A4,Material_Detail!$DE:$DE,0),21),0)),SUMIFS(T_Shipments[Confirmed_Qty],T_Shipments[Part Name],$A4,T_Shipments[Effective_Week],21))</f>
        <v/>
      </c>
      <c r="W4">
        <f>IF(COUNTIF(Material_Detail!$DE:$DE,$A4)&gt;0,IF(ISNUMBER(SEARCH("[済]",INDEX(Material_Detail!$D:$DC,MATCH($A4,Material_Detail!$DE:$DE,0)+1,22))),0,IFERROR(INDEX(Material_Detail!$D:$DC,MATCH($A4,Material_Detail!$DE:$DE,0),22),0)),SUMIFS(T_Shipments[Confirmed_Qty],T_Shipments[Part Name],$A4,T_Shipments[Effective_Week],22))</f>
        <v/>
      </c>
      <c r="X4">
        <f>IF(COUNTIF(Material_Detail!$DE:$DE,$A4)&gt;0,IF(ISNUMBER(SEARCH("[済]",INDEX(Material_Detail!$D:$DC,MATCH($A4,Material_Detail!$DE:$DE,0)+1,23))),0,IFERROR(INDEX(Material_Detail!$D:$DC,MATCH($A4,Material_Detail!$DE:$DE,0),23),0)),SUMIFS(T_Shipments[Confirmed_Qty],T_Shipments[Part Name],$A4,T_Shipments[Effective_Week],23))</f>
        <v/>
      </c>
      <c r="Y4">
        <f>IF(COUNTIF(Material_Detail!$DE:$DE,$A4)&gt;0,IF(ISNUMBER(SEARCH("[済]",INDEX(Material_Detail!$D:$DC,MATCH($A4,Material_Detail!$DE:$DE,0)+1,24))),0,IFERROR(INDEX(Material_Detail!$D:$DC,MATCH($A4,Material_Detail!$DE:$DE,0),24),0)),SUMIFS(T_Shipments[Confirmed_Qty],T_Shipments[Part Name],$A4,T_Shipments[Effective_Week],24))</f>
        <v/>
      </c>
      <c r="Z4">
        <f>IF(COUNTIF(Material_Detail!$DE:$DE,$A4)&gt;0,IF(ISNUMBER(SEARCH("[済]",INDEX(Material_Detail!$D:$DC,MATCH($A4,Material_Detail!$DE:$DE,0)+1,25))),0,IFERROR(INDEX(Material_Detail!$D:$DC,MATCH($A4,Material_Detail!$DE:$DE,0),25),0)),SUMIFS(T_Shipments[Confirmed_Qty],T_Shipments[Part Name],$A4,T_Shipments[Effective_Week],25))</f>
        <v/>
      </c>
      <c r="AA4">
        <f>IF(COUNTIF(Material_Detail!$DE:$DE,$A4)&gt;0,IF(ISNUMBER(SEARCH("[済]",INDEX(Material_Detail!$D:$DC,MATCH($A4,Material_Detail!$DE:$DE,0)+1,26))),0,IFERROR(INDEX(Material_Detail!$D:$DC,MATCH($A4,Material_Detail!$DE:$DE,0),26),0)),SUMIFS(T_Shipments[Confirmed_Qty],T_Shipments[Part Name],$A4,T_Shipments[Effective_Week],26))</f>
        <v/>
      </c>
      <c r="AB4">
        <f>IF(COUNTIF(Material_Detail!$DE:$DE,$A4)&gt;0,IF(ISNUMBER(SEARCH("[済]",INDEX(Material_Detail!$D:$DC,MATCH($A4,Material_Detail!$DE:$DE,0)+1,27))),0,IFERROR(INDEX(Material_Detail!$D:$DC,MATCH($A4,Material_Detail!$DE:$DE,0),27),0)),SUMIFS(T_Shipments[Confirmed_Qty],T_Shipments[Part Name],$A4,T_Shipments[Effective_Week],27))</f>
        <v/>
      </c>
      <c r="AC4">
        <f>IF(COUNTIF(Material_Detail!$DE:$DE,$A4)&gt;0,IF(ISNUMBER(SEARCH("[済]",INDEX(Material_Detail!$D:$DC,MATCH($A4,Material_Detail!$DE:$DE,0)+1,28))),0,IFERROR(INDEX(Material_Detail!$D:$DC,MATCH($A4,Material_Detail!$DE:$DE,0),28),0)),SUMIFS(T_Shipments[Confirmed_Qty],T_Shipments[Part Name],$A4,T_Shipments[Effective_Week],28))</f>
        <v/>
      </c>
      <c r="AD4">
        <f>IF(COUNTIF(Material_Detail!$DE:$DE,$A4)&gt;0,IF(ISNUMBER(SEARCH("[済]",INDEX(Material_Detail!$D:$DC,MATCH($A4,Material_Detail!$DE:$DE,0)+1,29))),0,IFERROR(INDEX(Material_Detail!$D:$DC,MATCH($A4,Material_Detail!$DE:$DE,0),29),0)),SUMIFS(T_Shipments[Confirmed_Qty],T_Shipments[Part Name],$A4,T_Shipments[Effective_Week],29))</f>
        <v/>
      </c>
      <c r="AE4">
        <f>IF(COUNTIF(Material_Detail!$DE:$DE,$A4)&gt;0,IF(ISNUMBER(SEARCH("[済]",INDEX(Material_Detail!$D:$DC,MATCH($A4,Material_Detail!$DE:$DE,0)+1,30))),0,IFERROR(INDEX(Material_Detail!$D:$DC,MATCH($A4,Material_Detail!$DE:$DE,0),30),0)),SUMIFS(T_Shipments[Confirmed_Qty],T_Shipments[Part Name],$A4,T_Shipments[Effective_Week],30))</f>
        <v/>
      </c>
      <c r="AF4">
        <f>IF(COUNTIF(Material_Detail!$DE:$DE,$A4)&gt;0,IF(ISNUMBER(SEARCH("[済]",INDEX(Material_Detail!$D:$DC,MATCH($A4,Material_Detail!$DE:$DE,0)+1,31))),0,IFERROR(INDEX(Material_Detail!$D:$DC,MATCH($A4,Material_Detail!$DE:$DE,0),31),0)),SUMIFS(T_Shipments[Confirmed_Qty],T_Shipments[Part Name],$A4,T_Shipments[Effective_Week],31))</f>
        <v/>
      </c>
      <c r="AG4">
        <f>IF(COUNTIF(Material_Detail!$DE:$DE,$A4)&gt;0,IF(ISNUMBER(SEARCH("[済]",INDEX(Material_Detail!$D:$DC,MATCH($A4,Material_Detail!$DE:$DE,0)+1,32))),0,IFERROR(INDEX(Material_Detail!$D:$DC,MATCH($A4,Material_Detail!$DE:$DE,0),32),0)),SUMIFS(T_Shipments[Confirmed_Qty],T_Shipments[Part Name],$A4,T_Shipments[Effective_Week],32))</f>
        <v/>
      </c>
      <c r="AH4">
        <f>IF(COUNTIF(Material_Detail!$DE:$DE,$A4)&gt;0,IF(ISNUMBER(SEARCH("[済]",INDEX(Material_Detail!$D:$DC,MATCH($A4,Material_Detail!$DE:$DE,0)+1,33))),0,IFERROR(INDEX(Material_Detail!$D:$DC,MATCH($A4,Material_Detail!$DE:$DE,0),33),0)),SUMIFS(T_Shipments[Confirmed_Qty],T_Shipments[Part Name],$A4,T_Shipments[Effective_Week],33))</f>
        <v/>
      </c>
      <c r="AI4">
        <f>IF(COUNTIF(Material_Detail!$DE:$DE,$A4)&gt;0,IF(ISNUMBER(SEARCH("[済]",INDEX(Material_Detail!$D:$DC,MATCH($A4,Material_Detail!$DE:$DE,0)+1,34))),0,IFERROR(INDEX(Material_Detail!$D:$DC,MATCH($A4,Material_Detail!$DE:$DE,0),34),0)),SUMIFS(T_Shipments[Confirmed_Qty],T_Shipments[Part Name],$A4,T_Shipments[Effective_Week],34))</f>
        <v/>
      </c>
      <c r="AJ4">
        <f>IF(COUNTIF(Material_Detail!$DE:$DE,$A4)&gt;0,IF(ISNUMBER(SEARCH("[済]",INDEX(Material_Detail!$D:$DC,MATCH($A4,Material_Detail!$DE:$DE,0)+1,35))),0,IFERROR(INDEX(Material_Detail!$D:$DC,MATCH($A4,Material_Detail!$DE:$DE,0),35),0)),SUMIFS(T_Shipments[Confirmed_Qty],T_Shipments[Part Name],$A4,T_Shipments[Effective_Week],35))</f>
        <v/>
      </c>
      <c r="AK4">
        <f>IF(COUNTIF(Material_Detail!$DE:$DE,$A4)&gt;0,IF(ISNUMBER(SEARCH("[済]",INDEX(Material_Detail!$D:$DC,MATCH($A4,Material_Detail!$DE:$DE,0)+1,36))),0,IFERROR(INDEX(Material_Detail!$D:$DC,MATCH($A4,Material_Detail!$DE:$DE,0),36),0)),SUMIFS(T_Shipments[Confirmed_Qty],T_Shipments[Part Name],$A4,T_Shipments[Effective_Week],36))</f>
        <v/>
      </c>
      <c r="AL4">
        <f>IF(COUNTIF(Material_Detail!$DE:$DE,$A4)&gt;0,IF(ISNUMBER(SEARCH("[済]",INDEX(Material_Detail!$D:$DC,MATCH($A4,Material_Detail!$DE:$DE,0)+1,37))),0,IFERROR(INDEX(Material_Detail!$D:$DC,MATCH($A4,Material_Detail!$DE:$DE,0),37),0)),SUMIFS(T_Shipments[Confirmed_Qty],T_Shipments[Part Name],$A4,T_Shipments[Effective_Week],37))</f>
        <v/>
      </c>
      <c r="AM4">
        <f>IF(COUNTIF(Material_Detail!$DE:$DE,$A4)&gt;0,IF(ISNUMBER(SEARCH("[済]",INDEX(Material_Detail!$D:$DC,MATCH($A4,Material_Detail!$DE:$DE,0)+1,38))),0,IFERROR(INDEX(Material_Detail!$D:$DC,MATCH($A4,Material_Detail!$DE:$DE,0),38),0)),SUMIFS(T_Shipments[Confirmed_Qty],T_Shipments[Part Name],$A4,T_Shipments[Effective_Week],38))</f>
        <v/>
      </c>
      <c r="AN4">
        <f>IF(COUNTIF(Material_Detail!$DE:$DE,$A4)&gt;0,IF(ISNUMBER(SEARCH("[済]",INDEX(Material_Detail!$D:$DC,MATCH($A4,Material_Detail!$DE:$DE,0)+1,39))),0,IFERROR(INDEX(Material_Detail!$D:$DC,MATCH($A4,Material_Detail!$DE:$DE,0),39),0)),SUMIFS(T_Shipments[Confirmed_Qty],T_Shipments[Part Name],$A4,T_Shipments[Effective_Week],39))</f>
        <v/>
      </c>
      <c r="AO4">
        <f>IF(COUNTIF(Material_Detail!$DE:$DE,$A4)&gt;0,IF(ISNUMBER(SEARCH("[済]",INDEX(Material_Detail!$D:$DC,MATCH($A4,Material_Detail!$DE:$DE,0)+1,40))),0,IFERROR(INDEX(Material_Detail!$D:$DC,MATCH($A4,Material_Detail!$DE:$DE,0),40),0)),SUMIFS(T_Shipments[Confirmed_Qty],T_Shipments[Part Name],$A4,T_Shipments[Effective_Week],40))</f>
        <v/>
      </c>
      <c r="AP4">
        <f>IF(COUNTIF(Material_Detail!$DE:$DE,$A4)&gt;0,IF(ISNUMBER(SEARCH("[済]",INDEX(Material_Detail!$D:$DC,MATCH($A4,Material_Detail!$DE:$DE,0)+1,41))),0,IFERROR(INDEX(Material_Detail!$D:$DC,MATCH($A4,Material_Detail!$DE:$DE,0),41),0)),SUMIFS(T_Shipments[Confirmed_Qty],T_Shipments[Part Name],$A4,T_Shipments[Effective_Week],41))</f>
        <v/>
      </c>
      <c r="AQ4">
        <f>IF(COUNTIF(Material_Detail!$DE:$DE,$A4)&gt;0,IF(ISNUMBER(SEARCH("[済]",INDEX(Material_Detail!$D:$DC,MATCH($A4,Material_Detail!$DE:$DE,0)+1,42))),0,IFERROR(INDEX(Material_Detail!$D:$DC,MATCH($A4,Material_Detail!$DE:$DE,0),42),0)),SUMIFS(T_Shipments[Confirmed_Qty],T_Shipments[Part Name],$A4,T_Shipments[Effective_Week],42))</f>
        <v/>
      </c>
      <c r="AR4">
        <f>IF(COUNTIF(Material_Detail!$DE:$DE,$A4)&gt;0,IF(ISNUMBER(SEARCH("[済]",INDEX(Material_Detail!$D:$DC,MATCH($A4,Material_Detail!$DE:$DE,0)+1,43))),0,IFERROR(INDEX(Material_Detail!$D:$DC,MATCH($A4,Material_Detail!$DE:$DE,0),43),0)),SUMIFS(T_Shipments[Confirmed_Qty],T_Shipments[Part Name],$A4,T_Shipments[Effective_Week],43))</f>
        <v/>
      </c>
      <c r="AS4">
        <f>IF(COUNTIF(Material_Detail!$DE:$DE,$A4)&gt;0,IF(ISNUMBER(SEARCH("[済]",INDEX(Material_Detail!$D:$DC,MATCH($A4,Material_Detail!$DE:$DE,0)+1,44))),0,IFERROR(INDEX(Material_Detail!$D:$DC,MATCH($A4,Material_Detail!$DE:$DE,0),44),0)),SUMIFS(T_Shipments[Confirmed_Qty],T_Shipments[Part Name],$A4,T_Shipments[Effective_Week],44))</f>
        <v/>
      </c>
      <c r="AT4">
        <f>IF(COUNTIF(Material_Detail!$DE:$DE,$A4)&gt;0,IF(ISNUMBER(SEARCH("[済]",INDEX(Material_Detail!$D:$DC,MATCH($A4,Material_Detail!$DE:$DE,0)+1,45))),0,IFERROR(INDEX(Material_Detail!$D:$DC,MATCH($A4,Material_Detail!$DE:$DE,0),45),0)),SUMIFS(T_Shipments[Confirmed_Qty],T_Shipments[Part Name],$A4,T_Shipments[Effective_Week],45))</f>
        <v/>
      </c>
      <c r="AU4">
        <f>IF(COUNTIF(Material_Detail!$DE:$DE,$A4)&gt;0,IF(ISNUMBER(SEARCH("[済]",INDEX(Material_Detail!$D:$DC,MATCH($A4,Material_Detail!$DE:$DE,0)+1,46))),0,IFERROR(INDEX(Material_Detail!$D:$DC,MATCH($A4,Material_Detail!$DE:$DE,0),46),0)),SUMIFS(T_Shipments[Confirmed_Qty],T_Shipments[Part Name],$A4,T_Shipments[Effective_Week],46))</f>
        <v/>
      </c>
      <c r="AV4">
        <f>IF(COUNTIF(Material_Detail!$DE:$DE,$A4)&gt;0,IF(ISNUMBER(SEARCH("[済]",INDEX(Material_Detail!$D:$DC,MATCH($A4,Material_Detail!$DE:$DE,0)+1,47))),0,IFERROR(INDEX(Material_Detail!$D:$DC,MATCH($A4,Material_Detail!$DE:$DE,0),47),0)),SUMIFS(T_Shipments[Confirmed_Qty],T_Shipments[Part Name],$A4,T_Shipments[Effective_Week],47))</f>
        <v/>
      </c>
      <c r="AW4">
        <f>IF(COUNTIF(Material_Detail!$DE:$DE,$A4)&gt;0,IF(ISNUMBER(SEARCH("[済]",INDEX(Material_Detail!$D:$DC,MATCH($A4,Material_Detail!$DE:$DE,0)+1,48))),0,IFERROR(INDEX(Material_Detail!$D:$DC,MATCH($A4,Material_Detail!$DE:$DE,0),48),0)),SUMIFS(T_Shipments[Confirmed_Qty],T_Shipments[Part Name],$A4,T_Shipments[Effective_Week],48))</f>
        <v/>
      </c>
      <c r="AX4">
        <f>IF(COUNTIF(Material_Detail!$DE:$DE,$A4)&gt;0,IF(ISNUMBER(SEARCH("[済]",INDEX(Material_Detail!$D:$DC,MATCH($A4,Material_Detail!$DE:$DE,0)+1,49))),0,IFERROR(INDEX(Material_Detail!$D:$DC,MATCH($A4,Material_Detail!$DE:$DE,0),49),0)),SUMIFS(T_Shipments[Confirmed_Qty],T_Shipments[Part Name],$A4,T_Shipments[Effective_Week],49))</f>
        <v/>
      </c>
      <c r="AY4">
        <f>IF(COUNTIF(Material_Detail!$DE:$DE,$A4)&gt;0,IF(ISNUMBER(SEARCH("[済]",INDEX(Material_Detail!$D:$DC,MATCH($A4,Material_Detail!$DE:$DE,0)+1,50))),0,IFERROR(INDEX(Material_Detail!$D:$DC,MATCH($A4,Material_Detail!$DE:$DE,0),50),0)),SUMIFS(T_Shipments[Confirmed_Qty],T_Shipments[Part Name],$A4,T_Shipments[Effective_Week],50))</f>
        <v/>
      </c>
      <c r="AZ4">
        <f>IF(COUNTIF(Material_Detail!$DE:$DE,$A4)&gt;0,IF(ISNUMBER(SEARCH("[済]",INDEX(Material_Detail!$D:$DC,MATCH($A4,Material_Detail!$DE:$DE,0)+1,51))),0,IFERROR(INDEX(Material_Detail!$D:$DC,MATCH($A4,Material_Detail!$DE:$DE,0),51),0)),SUMIFS(T_Shipments[Confirmed_Qty],T_Shipments[Part Name],$A4,T_Shipments[Effective_Week],51))</f>
        <v/>
      </c>
      <c r="BA4">
        <f>IF(COUNTIF(Material_Detail!$DE:$DE,$A4)&gt;0,IF(ISNUMBER(SEARCH("[済]",INDEX(Material_Detail!$D:$DC,MATCH($A4,Material_Detail!$DE:$DE,0)+1,52))),0,IFERROR(INDEX(Material_Detail!$D:$DC,MATCH($A4,Material_Detail!$DE:$DE,0),52),0)),SUMIFS(T_Shipments[Confirmed_Qty],T_Shipments[Part Name],$A4,T_Shipments[Effective_Week],52))</f>
        <v/>
      </c>
      <c r="BB4">
        <f>IF(COUNTIF(Material_Detail!$DE:$DE,$A4)&gt;0,IF(ISNUMBER(SEARCH("[済]",INDEX(Material_Detail!$D:$DC,MATCH($A4,Material_Detail!$DE:$DE,0)+1,53))),0,IFERROR(INDEX(Material_Detail!$D:$DC,MATCH($A4,Material_Detail!$DE:$DE,0),53),0)),SUMIFS(T_Shipments[Confirmed_Qty],T_Shipments[Part Name],$A4,T_Shipments[Effective_Week],53))</f>
        <v/>
      </c>
      <c r="BC4">
        <f>IF(COUNTIF(Material_Detail!$DE:$DE,$A4)&gt;0,IF(ISNUMBER(SEARCH("[済]",INDEX(Material_Detail!$D:$DC,MATCH($A4,Material_Detail!$DE:$DE,0)+1,54))),0,IFERROR(INDEX(Material_Detail!$D:$DC,MATCH($A4,Material_Detail!$DE:$DE,0),54),0)),SUMIFS(T_Shipments[Confirmed_Qty],T_Shipments[Part Name],$A4,T_Shipments[Effective_Week],54))</f>
        <v/>
      </c>
      <c r="BD4">
        <f>IF(COUNTIF(Material_Detail!$DE:$DE,$A4)&gt;0,IF(ISNUMBER(SEARCH("[済]",INDEX(Material_Detail!$D:$DC,MATCH($A4,Material_Detail!$DE:$DE,0)+1,55))),0,IFERROR(INDEX(Material_Detail!$D:$DC,MATCH($A4,Material_Detail!$DE:$DE,0),55),0)),SUMIFS(T_Shipments[Confirmed_Qty],T_Shipments[Part Name],$A4,T_Shipments[Effective_Week],55))</f>
        <v/>
      </c>
      <c r="BE4">
        <f>IF(COUNTIF(Material_Detail!$DE:$DE,$A4)&gt;0,IF(ISNUMBER(SEARCH("[済]",INDEX(Material_Detail!$D:$DC,MATCH($A4,Material_Detail!$DE:$DE,0)+1,56))),0,IFERROR(INDEX(Material_Detail!$D:$DC,MATCH($A4,Material_Detail!$DE:$DE,0),56),0)),SUMIFS(T_Shipments[Confirmed_Qty],T_Shipments[Part Name],$A4,T_Shipments[Effective_Week],56))</f>
        <v/>
      </c>
      <c r="BF4">
        <f>IF(COUNTIF(Material_Detail!$DE:$DE,$A4)&gt;0,IF(ISNUMBER(SEARCH("[済]",INDEX(Material_Detail!$D:$DC,MATCH($A4,Material_Detail!$DE:$DE,0)+1,57))),0,IFERROR(INDEX(Material_Detail!$D:$DC,MATCH($A4,Material_Detail!$DE:$DE,0),57),0)),SUMIFS(T_Shipments[Confirmed_Qty],T_Shipments[Part Name],$A4,T_Shipments[Effective_Week],57))</f>
        <v/>
      </c>
      <c r="BG4">
        <f>IF(COUNTIF(Material_Detail!$DE:$DE,$A4)&gt;0,IF(ISNUMBER(SEARCH("[済]",INDEX(Material_Detail!$D:$DC,MATCH($A4,Material_Detail!$DE:$DE,0)+1,58))),0,IFERROR(INDEX(Material_Detail!$D:$DC,MATCH($A4,Material_Detail!$DE:$DE,0),58),0)),SUMIFS(T_Shipments[Confirmed_Qty],T_Shipments[Part Name],$A4,T_Shipments[Effective_Week],58))</f>
        <v/>
      </c>
      <c r="BH4">
        <f>IF(COUNTIF(Material_Detail!$DE:$DE,$A4)&gt;0,IF(ISNUMBER(SEARCH("[済]",INDEX(Material_Detail!$D:$DC,MATCH($A4,Material_Detail!$DE:$DE,0)+1,59))),0,IFERROR(INDEX(Material_Detail!$D:$DC,MATCH($A4,Material_Detail!$DE:$DE,0),59),0)),SUMIFS(T_Shipments[Confirmed_Qty],T_Shipments[Part Name],$A4,T_Shipments[Effective_Week],59))</f>
        <v/>
      </c>
      <c r="BI4">
        <f>IF(COUNTIF(Material_Detail!$DE:$DE,$A4)&gt;0,IF(ISNUMBER(SEARCH("[済]",INDEX(Material_Detail!$D:$DC,MATCH($A4,Material_Detail!$DE:$DE,0)+1,60))),0,IFERROR(INDEX(Material_Detail!$D:$DC,MATCH($A4,Material_Detail!$DE:$DE,0),60),0)),SUMIFS(T_Shipments[Confirmed_Qty],T_Shipments[Part Name],$A4,T_Shipments[Effective_Week],60))</f>
        <v/>
      </c>
      <c r="BJ4">
        <f>IF(COUNTIF(Material_Detail!$DE:$DE,$A4)&gt;0,IF(ISNUMBER(SEARCH("[済]",INDEX(Material_Detail!$D:$DC,MATCH($A4,Material_Detail!$DE:$DE,0)+1,61))),0,IFERROR(INDEX(Material_Detail!$D:$DC,MATCH($A4,Material_Detail!$DE:$DE,0),61),0)),SUMIFS(T_Shipments[Confirmed_Qty],T_Shipments[Part Name],$A4,T_Shipments[Effective_Week],61))</f>
        <v/>
      </c>
      <c r="BK4">
        <f>IF(COUNTIF(Material_Detail!$DE:$DE,$A4)&gt;0,IF(ISNUMBER(SEARCH("[済]",INDEX(Material_Detail!$D:$DC,MATCH($A4,Material_Detail!$DE:$DE,0)+1,62))),0,IFERROR(INDEX(Material_Detail!$D:$DC,MATCH($A4,Material_Detail!$DE:$DE,0),62),0)),SUMIFS(T_Shipments[Confirmed_Qty],T_Shipments[Part Name],$A4,T_Shipments[Effective_Week],62))</f>
        <v/>
      </c>
      <c r="BL4">
        <f>IF(COUNTIF(Material_Detail!$DE:$DE,$A4)&gt;0,IF(ISNUMBER(SEARCH("[済]",INDEX(Material_Detail!$D:$DC,MATCH($A4,Material_Detail!$DE:$DE,0)+1,63))),0,IFERROR(INDEX(Material_Detail!$D:$DC,MATCH($A4,Material_Detail!$DE:$DE,0),63),0)),SUMIFS(T_Shipments[Confirmed_Qty],T_Shipments[Part Name],$A4,T_Shipments[Effective_Week],63))</f>
        <v/>
      </c>
      <c r="BM4">
        <f>IF(COUNTIF(Material_Detail!$DE:$DE,$A4)&gt;0,IF(ISNUMBER(SEARCH("[済]",INDEX(Material_Detail!$D:$DC,MATCH($A4,Material_Detail!$DE:$DE,0)+1,64))),0,IFERROR(INDEX(Material_Detail!$D:$DC,MATCH($A4,Material_Detail!$DE:$DE,0),64),0)),SUMIFS(T_Shipments[Confirmed_Qty],T_Shipments[Part Name],$A4,T_Shipments[Effective_Week],64))</f>
        <v/>
      </c>
      <c r="BN4">
        <f>IF(COUNTIF(Material_Detail!$DE:$DE,$A4)&gt;0,IF(ISNUMBER(SEARCH("[済]",INDEX(Material_Detail!$D:$DC,MATCH($A4,Material_Detail!$DE:$DE,0)+1,65))),0,IFERROR(INDEX(Material_Detail!$D:$DC,MATCH($A4,Material_Detail!$DE:$DE,0),65),0)),SUMIFS(T_Shipments[Confirmed_Qty],T_Shipments[Part Name],$A4,T_Shipments[Effective_Week],65))</f>
        <v/>
      </c>
      <c r="BO4">
        <f>IF(COUNTIF(Material_Detail!$DE:$DE,$A4)&gt;0,IF(ISNUMBER(SEARCH("[済]",INDEX(Material_Detail!$D:$DC,MATCH($A4,Material_Detail!$DE:$DE,0)+1,66))),0,IFERROR(INDEX(Material_Detail!$D:$DC,MATCH($A4,Material_Detail!$DE:$DE,0),66),0)),SUMIFS(T_Shipments[Confirmed_Qty],T_Shipments[Part Name],$A4,T_Shipments[Effective_Week],66))</f>
        <v/>
      </c>
      <c r="BP4">
        <f>IF(COUNTIF(Material_Detail!$DE:$DE,$A4)&gt;0,IF(ISNUMBER(SEARCH("[済]",INDEX(Material_Detail!$D:$DC,MATCH($A4,Material_Detail!$DE:$DE,0)+1,67))),0,IFERROR(INDEX(Material_Detail!$D:$DC,MATCH($A4,Material_Detail!$DE:$DE,0),67),0)),SUMIFS(T_Shipments[Confirmed_Qty],T_Shipments[Part Name],$A4,T_Shipments[Effective_Week],67))</f>
        <v/>
      </c>
      <c r="BQ4">
        <f>IF(COUNTIF(Material_Detail!$DE:$DE,$A4)&gt;0,IF(ISNUMBER(SEARCH("[済]",INDEX(Material_Detail!$D:$DC,MATCH($A4,Material_Detail!$DE:$DE,0)+1,68))),0,IFERROR(INDEX(Material_Detail!$D:$DC,MATCH($A4,Material_Detail!$DE:$DE,0),68),0)),SUMIFS(T_Shipments[Confirmed_Qty],T_Shipments[Part Name],$A4,T_Shipments[Effective_Week],68))</f>
        <v/>
      </c>
      <c r="BR4">
        <f>IF(COUNTIF(Material_Detail!$DE:$DE,$A4)&gt;0,IF(ISNUMBER(SEARCH("[済]",INDEX(Material_Detail!$D:$DC,MATCH($A4,Material_Detail!$DE:$DE,0)+1,69))),0,IFERROR(INDEX(Material_Detail!$D:$DC,MATCH($A4,Material_Detail!$DE:$DE,0),69),0)),SUMIFS(T_Shipments[Confirmed_Qty],T_Shipments[Part Name],$A4,T_Shipments[Effective_Week],69))</f>
        <v/>
      </c>
      <c r="BS4">
        <f>IF(COUNTIF(Material_Detail!$DE:$DE,$A4)&gt;0,IF(ISNUMBER(SEARCH("[済]",INDEX(Material_Detail!$D:$DC,MATCH($A4,Material_Detail!$DE:$DE,0)+1,70))),0,IFERROR(INDEX(Material_Detail!$D:$DC,MATCH($A4,Material_Detail!$DE:$DE,0),70),0)),SUMIFS(T_Shipments[Confirmed_Qty],T_Shipments[Part Name],$A4,T_Shipments[Effective_Week],70))</f>
        <v/>
      </c>
      <c r="BT4">
        <f>IF(COUNTIF(Material_Detail!$DE:$DE,$A4)&gt;0,IF(ISNUMBER(SEARCH("[済]",INDEX(Material_Detail!$D:$DC,MATCH($A4,Material_Detail!$DE:$DE,0)+1,71))),0,IFERROR(INDEX(Material_Detail!$D:$DC,MATCH($A4,Material_Detail!$DE:$DE,0),71),0)),SUMIFS(T_Shipments[Confirmed_Qty],T_Shipments[Part Name],$A4,T_Shipments[Effective_Week],71))</f>
        <v/>
      </c>
      <c r="BU4">
        <f>IF(COUNTIF(Material_Detail!$DE:$DE,$A4)&gt;0,IF(ISNUMBER(SEARCH("[済]",INDEX(Material_Detail!$D:$DC,MATCH($A4,Material_Detail!$DE:$DE,0)+1,72))),0,IFERROR(INDEX(Material_Detail!$D:$DC,MATCH($A4,Material_Detail!$DE:$DE,0),72),0)),SUMIFS(T_Shipments[Confirmed_Qty],T_Shipments[Part Name],$A4,T_Shipments[Effective_Week],72))</f>
        <v/>
      </c>
      <c r="BV4">
        <f>IF(COUNTIF(Material_Detail!$DE:$DE,$A4)&gt;0,IF(ISNUMBER(SEARCH("[済]",INDEX(Material_Detail!$D:$DC,MATCH($A4,Material_Detail!$DE:$DE,0)+1,73))),0,IFERROR(INDEX(Material_Detail!$D:$DC,MATCH($A4,Material_Detail!$DE:$DE,0),73),0)),SUMIFS(T_Shipments[Confirmed_Qty],T_Shipments[Part Name],$A4,T_Shipments[Effective_Week],73))</f>
        <v/>
      </c>
      <c r="BW4">
        <f>IF(COUNTIF(Material_Detail!$DE:$DE,$A4)&gt;0,IF(ISNUMBER(SEARCH("[済]",INDEX(Material_Detail!$D:$DC,MATCH($A4,Material_Detail!$DE:$DE,0)+1,74))),0,IFERROR(INDEX(Material_Detail!$D:$DC,MATCH($A4,Material_Detail!$DE:$DE,0),74),0)),SUMIFS(T_Shipments[Confirmed_Qty],T_Shipments[Part Name],$A4,T_Shipments[Effective_Week],74))</f>
        <v/>
      </c>
      <c r="BX4">
        <f>IF(COUNTIF(Material_Detail!$DE:$DE,$A4)&gt;0,IF(ISNUMBER(SEARCH("[済]",INDEX(Material_Detail!$D:$DC,MATCH($A4,Material_Detail!$DE:$DE,0)+1,75))),0,IFERROR(INDEX(Material_Detail!$D:$DC,MATCH($A4,Material_Detail!$DE:$DE,0),75),0)),SUMIFS(T_Shipments[Confirmed_Qty],T_Shipments[Part Name],$A4,T_Shipments[Effective_Week],75))</f>
        <v/>
      </c>
      <c r="BY4">
        <f>IF(COUNTIF(Material_Detail!$DE:$DE,$A4)&gt;0,IF(ISNUMBER(SEARCH("[済]",INDEX(Material_Detail!$D:$DC,MATCH($A4,Material_Detail!$DE:$DE,0)+1,76))),0,IFERROR(INDEX(Material_Detail!$D:$DC,MATCH($A4,Material_Detail!$DE:$DE,0),76),0)),SUMIFS(T_Shipments[Confirmed_Qty],T_Shipments[Part Name],$A4,T_Shipments[Effective_Week],76))</f>
        <v/>
      </c>
      <c r="BZ4">
        <f>IF(COUNTIF(Material_Detail!$DE:$DE,$A4)&gt;0,IF(ISNUMBER(SEARCH("[済]",INDEX(Material_Detail!$D:$DC,MATCH($A4,Material_Detail!$DE:$DE,0)+1,77))),0,IFERROR(INDEX(Material_Detail!$D:$DC,MATCH($A4,Material_Detail!$DE:$DE,0),77),0)),SUMIFS(T_Shipments[Confirmed_Qty],T_Shipments[Part Name],$A4,T_Shipments[Effective_Week],77))</f>
        <v/>
      </c>
      <c r="CA4">
        <f>IF(COUNTIF(Material_Detail!$DE:$DE,$A4)&gt;0,IF(ISNUMBER(SEARCH("[済]",INDEX(Material_Detail!$D:$DC,MATCH($A4,Material_Detail!$DE:$DE,0)+1,78))),0,IFERROR(INDEX(Material_Detail!$D:$DC,MATCH($A4,Material_Detail!$DE:$DE,0),78),0)),SUMIFS(T_Shipments[Confirmed_Qty],T_Shipments[Part Name],$A4,T_Shipments[Effective_Week],78))</f>
        <v/>
      </c>
      <c r="CB4">
        <f>IF(COUNTIF(Material_Detail!$DE:$DE,$A4)&gt;0,IF(ISNUMBER(SEARCH("[済]",INDEX(Material_Detail!$D:$DC,MATCH($A4,Material_Detail!$DE:$DE,0)+1,79))),0,IFERROR(INDEX(Material_Detail!$D:$DC,MATCH($A4,Material_Detail!$DE:$DE,0),79),0)),SUMIFS(T_Shipments[Confirmed_Qty],T_Shipments[Part Name],$A4,T_Shipments[Effective_Week],79))</f>
        <v/>
      </c>
      <c r="CC4">
        <f>IF(COUNTIF(Material_Detail!$DE:$DE,$A4)&gt;0,IF(ISNUMBER(SEARCH("[済]",INDEX(Material_Detail!$D:$DC,MATCH($A4,Material_Detail!$DE:$DE,0)+1,80))),0,IFERROR(INDEX(Material_Detail!$D:$DC,MATCH($A4,Material_Detail!$DE:$DE,0),80),0)),SUMIFS(T_Shipments[Confirmed_Qty],T_Shipments[Part Name],$A4,T_Shipments[Effective_Week],80))</f>
        <v/>
      </c>
      <c r="CD4">
        <f>IF(COUNTIF(Material_Detail!$DE:$DE,$A4)&gt;0,IF(ISNUMBER(SEARCH("[済]",INDEX(Material_Detail!$D:$DC,MATCH($A4,Material_Detail!$DE:$DE,0)+1,81))),0,IFERROR(INDEX(Material_Detail!$D:$DC,MATCH($A4,Material_Detail!$DE:$DE,0),81),0)),SUMIFS(T_Shipments[Confirmed_Qty],T_Shipments[Part Name],$A4,T_Shipments[Effective_Week],81))</f>
        <v/>
      </c>
      <c r="CE4">
        <f>IF(COUNTIF(Material_Detail!$DE:$DE,$A4)&gt;0,IF(ISNUMBER(SEARCH("[済]",INDEX(Material_Detail!$D:$DC,MATCH($A4,Material_Detail!$DE:$DE,0)+1,82))),0,IFERROR(INDEX(Material_Detail!$D:$DC,MATCH($A4,Material_Detail!$DE:$DE,0),82),0)),SUMIFS(T_Shipments[Confirmed_Qty],T_Shipments[Part Name],$A4,T_Shipments[Effective_Week],82))</f>
        <v/>
      </c>
      <c r="CF4">
        <f>IF(COUNTIF(Material_Detail!$DE:$DE,$A4)&gt;0,IF(ISNUMBER(SEARCH("[済]",INDEX(Material_Detail!$D:$DC,MATCH($A4,Material_Detail!$DE:$DE,0)+1,83))),0,IFERROR(INDEX(Material_Detail!$D:$DC,MATCH($A4,Material_Detail!$DE:$DE,0),83),0)),SUMIFS(T_Shipments[Confirmed_Qty],T_Shipments[Part Name],$A4,T_Shipments[Effective_Week],83))</f>
        <v/>
      </c>
      <c r="CG4">
        <f>IF(COUNTIF(Material_Detail!$DE:$DE,$A4)&gt;0,IF(ISNUMBER(SEARCH("[済]",INDEX(Material_Detail!$D:$DC,MATCH($A4,Material_Detail!$DE:$DE,0)+1,84))),0,IFERROR(INDEX(Material_Detail!$D:$DC,MATCH($A4,Material_Detail!$DE:$DE,0),84),0)),SUMIFS(T_Shipments[Confirmed_Qty],T_Shipments[Part Name],$A4,T_Shipments[Effective_Week],84))</f>
        <v/>
      </c>
      <c r="CH4">
        <f>IF(COUNTIF(Material_Detail!$DE:$DE,$A4)&gt;0,IF(ISNUMBER(SEARCH("[済]",INDEX(Material_Detail!$D:$DC,MATCH($A4,Material_Detail!$DE:$DE,0)+1,85))),0,IFERROR(INDEX(Material_Detail!$D:$DC,MATCH($A4,Material_Detail!$DE:$DE,0),85),0)),SUMIFS(T_Shipments[Confirmed_Qty],T_Shipments[Part Name],$A4,T_Shipments[Effective_Week],85))</f>
        <v/>
      </c>
      <c r="CI4">
        <f>IF(COUNTIF(Material_Detail!$DE:$DE,$A4)&gt;0,IF(ISNUMBER(SEARCH("[済]",INDEX(Material_Detail!$D:$DC,MATCH($A4,Material_Detail!$DE:$DE,0)+1,86))),0,IFERROR(INDEX(Material_Detail!$D:$DC,MATCH($A4,Material_Detail!$DE:$DE,0),86),0)),SUMIFS(T_Shipments[Confirmed_Qty],T_Shipments[Part Name],$A4,T_Shipments[Effective_Week],86))</f>
        <v/>
      </c>
      <c r="CJ4">
        <f>IF(COUNTIF(Material_Detail!$DE:$DE,$A4)&gt;0,IF(ISNUMBER(SEARCH("[済]",INDEX(Material_Detail!$D:$DC,MATCH($A4,Material_Detail!$DE:$DE,0)+1,87))),0,IFERROR(INDEX(Material_Detail!$D:$DC,MATCH($A4,Material_Detail!$DE:$DE,0),87),0)),SUMIFS(T_Shipments[Confirmed_Qty],T_Shipments[Part Name],$A4,T_Shipments[Effective_Week],87))</f>
        <v/>
      </c>
      <c r="CK4">
        <f>IF(COUNTIF(Material_Detail!$DE:$DE,$A4)&gt;0,IF(ISNUMBER(SEARCH("[済]",INDEX(Material_Detail!$D:$DC,MATCH($A4,Material_Detail!$DE:$DE,0)+1,88))),0,IFERROR(INDEX(Material_Detail!$D:$DC,MATCH($A4,Material_Detail!$DE:$DE,0),88),0)),SUMIFS(T_Shipments[Confirmed_Qty],T_Shipments[Part Name],$A4,T_Shipments[Effective_Week],88))</f>
        <v/>
      </c>
      <c r="CL4">
        <f>IF(COUNTIF(Material_Detail!$DE:$DE,$A4)&gt;0,IF(ISNUMBER(SEARCH("[済]",INDEX(Material_Detail!$D:$DC,MATCH($A4,Material_Detail!$DE:$DE,0)+1,89))),0,IFERROR(INDEX(Material_Detail!$D:$DC,MATCH($A4,Material_Detail!$DE:$DE,0),89),0)),SUMIFS(T_Shipments[Confirmed_Qty],T_Shipments[Part Name],$A4,T_Shipments[Effective_Week],89))</f>
        <v/>
      </c>
      <c r="CM4">
        <f>IF(COUNTIF(Material_Detail!$DE:$DE,$A4)&gt;0,IF(ISNUMBER(SEARCH("[済]",INDEX(Material_Detail!$D:$DC,MATCH($A4,Material_Detail!$DE:$DE,0)+1,90))),0,IFERROR(INDEX(Material_Detail!$D:$DC,MATCH($A4,Material_Detail!$DE:$DE,0),90),0)),SUMIFS(T_Shipments[Confirmed_Qty],T_Shipments[Part Name],$A4,T_Shipments[Effective_Week],90))</f>
        <v/>
      </c>
      <c r="CN4">
        <f>IF(COUNTIF(Material_Detail!$DE:$DE,$A4)&gt;0,IF(ISNUMBER(SEARCH("[済]",INDEX(Material_Detail!$D:$DC,MATCH($A4,Material_Detail!$DE:$DE,0)+1,91))),0,IFERROR(INDEX(Material_Detail!$D:$DC,MATCH($A4,Material_Detail!$DE:$DE,0),91),0)),SUMIFS(T_Shipments[Confirmed_Qty],T_Shipments[Part Name],$A4,T_Shipments[Effective_Week],91))</f>
        <v/>
      </c>
      <c r="CO4">
        <f>IF(COUNTIF(Material_Detail!$DE:$DE,$A4)&gt;0,IF(ISNUMBER(SEARCH("[済]",INDEX(Material_Detail!$D:$DC,MATCH($A4,Material_Detail!$DE:$DE,0)+1,92))),0,IFERROR(INDEX(Material_Detail!$D:$DC,MATCH($A4,Material_Detail!$DE:$DE,0),92),0)),SUMIFS(T_Shipments[Confirmed_Qty],T_Shipments[Part Name],$A4,T_Shipments[Effective_Week],92))</f>
        <v/>
      </c>
      <c r="CP4">
        <f>IF(COUNTIF(Material_Detail!$DE:$DE,$A4)&gt;0,IF(ISNUMBER(SEARCH("[済]",INDEX(Material_Detail!$D:$DC,MATCH($A4,Material_Detail!$DE:$DE,0)+1,93))),0,IFERROR(INDEX(Material_Detail!$D:$DC,MATCH($A4,Material_Detail!$DE:$DE,0),93),0)),SUMIFS(T_Shipments[Confirmed_Qty],T_Shipments[Part Name],$A4,T_Shipments[Effective_Week],93))</f>
        <v/>
      </c>
      <c r="CQ4">
        <f>IF(COUNTIF(Material_Detail!$DE:$DE,$A4)&gt;0,IF(ISNUMBER(SEARCH("[済]",INDEX(Material_Detail!$D:$DC,MATCH($A4,Material_Detail!$DE:$DE,0)+1,94))),0,IFERROR(INDEX(Material_Detail!$D:$DC,MATCH($A4,Material_Detail!$DE:$DE,0),94),0)),SUMIFS(T_Shipments[Confirmed_Qty],T_Shipments[Part Name],$A4,T_Shipments[Effective_Week],94))</f>
        <v/>
      </c>
      <c r="CR4">
        <f>IF(COUNTIF(Material_Detail!$DE:$DE,$A4)&gt;0,IF(ISNUMBER(SEARCH("[済]",INDEX(Material_Detail!$D:$DC,MATCH($A4,Material_Detail!$DE:$DE,0)+1,95))),0,IFERROR(INDEX(Material_Detail!$D:$DC,MATCH($A4,Material_Detail!$DE:$DE,0),95),0)),SUMIFS(T_Shipments[Confirmed_Qty],T_Shipments[Part Name],$A4,T_Shipments[Effective_Week],95))</f>
        <v/>
      </c>
      <c r="CS4">
        <f>IF(COUNTIF(Material_Detail!$DE:$DE,$A4)&gt;0,IF(ISNUMBER(SEARCH("[済]",INDEX(Material_Detail!$D:$DC,MATCH($A4,Material_Detail!$DE:$DE,0)+1,96))),0,IFERROR(INDEX(Material_Detail!$D:$DC,MATCH($A4,Material_Detail!$DE:$DE,0),96),0)),SUMIFS(T_Shipments[Confirmed_Qty],T_Shipments[Part Name],$A4,T_Shipments[Effective_Week],96))</f>
        <v/>
      </c>
      <c r="CT4">
        <f>IF(COUNTIF(Material_Detail!$DE:$DE,$A4)&gt;0,IF(ISNUMBER(SEARCH("[済]",INDEX(Material_Detail!$D:$DC,MATCH($A4,Material_Detail!$DE:$DE,0)+1,97))),0,IFERROR(INDEX(Material_Detail!$D:$DC,MATCH($A4,Material_Detail!$DE:$DE,0),97),0)),SUMIFS(T_Shipments[Confirmed_Qty],T_Shipments[Part Name],$A4,T_Shipments[Effective_Week],97))</f>
        <v/>
      </c>
      <c r="CU4">
        <f>IF(COUNTIF(Material_Detail!$DE:$DE,$A4)&gt;0,IF(ISNUMBER(SEARCH("[済]",INDEX(Material_Detail!$D:$DC,MATCH($A4,Material_Detail!$DE:$DE,0)+1,98))),0,IFERROR(INDEX(Material_Detail!$D:$DC,MATCH($A4,Material_Detail!$DE:$DE,0),98),0)),SUMIFS(T_Shipments[Confirmed_Qty],T_Shipments[Part Name],$A4,T_Shipments[Effective_Week],98))</f>
        <v/>
      </c>
      <c r="CV4">
        <f>IF(COUNTIF(Material_Detail!$DE:$DE,$A4)&gt;0,IF(ISNUMBER(SEARCH("[済]",INDEX(Material_Detail!$D:$DC,MATCH($A4,Material_Detail!$DE:$DE,0)+1,99))),0,IFERROR(INDEX(Material_Detail!$D:$DC,MATCH($A4,Material_Detail!$DE:$DE,0),99),0)),SUMIFS(T_Shipments[Confirmed_Qty],T_Shipments[Part Name],$A4,T_Shipments[Effective_Week],99))</f>
        <v/>
      </c>
      <c r="CW4">
        <f>IF(COUNTIF(Material_Detail!$DE:$DE,$A4)&gt;0,IF(ISNUMBER(SEARCH("[済]",INDEX(Material_Detail!$D:$DC,MATCH($A4,Material_Detail!$DE:$DE,0)+1,100))),0,IFERROR(INDEX(Material_Detail!$D:$DC,MATCH($A4,Material_Detail!$DE:$DE,0),100),0)),SUMIFS(T_Shipments[Confirmed_Qty],T_Shipments[Part Name],$A4,T_Shipments[Effective_Week],100))</f>
        <v/>
      </c>
      <c r="CX4">
        <f>IF(COUNTIF(Material_Detail!$DE:$DE,$A4)&gt;0,IF(ISNUMBER(SEARCH("[済]",INDEX(Material_Detail!$D:$DC,MATCH($A4,Material_Detail!$DE:$DE,0)+1,101))),0,IFERROR(INDEX(Material_Detail!$D:$DC,MATCH($A4,Material_Detail!$DE:$DE,0),101),0)),SUMIFS(T_Shipments[Confirmed_Qty],T_Shipments[Part Name],$A4,T_Shipments[Effective_Week],101))</f>
        <v/>
      </c>
      <c r="CY4">
        <f>IF(COUNTIF(Material_Detail!$DE:$DE,$A4)&gt;0,IF(ISNUMBER(SEARCH("[済]",INDEX(Material_Detail!$D:$DC,MATCH($A4,Material_Detail!$DE:$DE,0)+1,102))),0,IFERROR(INDEX(Material_Detail!$D:$DC,MATCH($A4,Material_Detail!$DE:$DE,0),102),0)),SUMIFS(T_Shipments[Confirmed_Qty],T_Shipments[Part Name],$A4,T_Shipments[Effective_Week],102))</f>
        <v/>
      </c>
      <c r="CZ4">
        <f>IF(COUNTIF(Material_Detail!$DE:$DE,$A4)&gt;0,IF(ISNUMBER(SEARCH("[済]",INDEX(Material_Detail!$D:$DC,MATCH($A4,Material_Detail!$DE:$DE,0)+1,103))),0,IFERROR(INDEX(Material_Detail!$D:$DC,MATCH($A4,Material_Detail!$DE:$DE,0),103),0)),SUMIFS(T_Shipments[Confirmed_Qty],T_Shipments[Part Name],$A4,T_Shipments[Effective_Week],103))</f>
        <v/>
      </c>
      <c r="DA4">
        <f>IF(COUNTIF(Material_Detail!$DE:$DE,$A4)&gt;0,IF(ISNUMBER(SEARCH("[済]",INDEX(Material_Detail!$D:$DC,MATCH($A4,Material_Detail!$DE:$DE,0)+1,104))),0,IFERROR(INDEX(Material_Detail!$D:$DC,MATCH($A4,Material_Detail!$DE:$DE,0),104),0)),SUMIFS(T_Shipments[Confirmed_Qty],T_Shipments[Part Name],$A4,T_Shipments[Effective_Week],104))</f>
        <v/>
      </c>
    </row>
    <row r="5">
      <c r="A5" t="inlineStr">
        <is>
          <t>9RN</t>
        </is>
      </c>
      <c r="B5">
        <f>IF(COUNTIF(Material_Detail!$DE:$DE,$A5)&gt;0,IF(ISNUMBER(SEARCH("[済]",INDEX(Material_Detail!$D:$DC,MATCH($A5,Material_Detail!$DE:$DE,0)+1,1))),0,IFERROR(INDEX(Material_Detail!$D:$DC,MATCH($A5,Material_Detail!$DE:$DE,0),1),0)),SUMIFS(T_Shipments[Confirmed_Qty],T_Shipments[Part Name],$A5,T_Shipments[Effective_Week],1))</f>
        <v/>
      </c>
      <c r="C5">
        <f>IF(COUNTIF(Material_Detail!$DE:$DE,$A5)&gt;0,IF(ISNUMBER(SEARCH("[済]",INDEX(Material_Detail!$D:$DC,MATCH($A5,Material_Detail!$DE:$DE,0)+1,2))),0,IFERROR(INDEX(Material_Detail!$D:$DC,MATCH($A5,Material_Detail!$DE:$DE,0),2),0)),SUMIFS(T_Shipments[Confirmed_Qty],T_Shipments[Part Name],$A5,T_Shipments[Effective_Week],2))</f>
        <v/>
      </c>
      <c r="D5">
        <f>IF(COUNTIF(Material_Detail!$DE:$DE,$A5)&gt;0,IF(ISNUMBER(SEARCH("[済]",INDEX(Material_Detail!$D:$DC,MATCH($A5,Material_Detail!$DE:$DE,0)+1,3))),0,IFERROR(INDEX(Material_Detail!$D:$DC,MATCH($A5,Material_Detail!$DE:$DE,0),3),0)),SUMIFS(T_Shipments[Confirmed_Qty],T_Shipments[Part Name],$A5,T_Shipments[Effective_Week],3))</f>
        <v/>
      </c>
      <c r="E5">
        <f>IF(COUNTIF(Material_Detail!$DE:$DE,$A5)&gt;0,IF(ISNUMBER(SEARCH("[済]",INDEX(Material_Detail!$D:$DC,MATCH($A5,Material_Detail!$DE:$DE,0)+1,4))),0,IFERROR(INDEX(Material_Detail!$D:$DC,MATCH($A5,Material_Detail!$DE:$DE,0),4),0)),SUMIFS(T_Shipments[Confirmed_Qty],T_Shipments[Part Name],$A5,T_Shipments[Effective_Week],4))</f>
        <v/>
      </c>
      <c r="F5">
        <f>IF(COUNTIF(Material_Detail!$DE:$DE,$A5)&gt;0,IF(ISNUMBER(SEARCH("[済]",INDEX(Material_Detail!$D:$DC,MATCH($A5,Material_Detail!$DE:$DE,0)+1,5))),0,IFERROR(INDEX(Material_Detail!$D:$DC,MATCH($A5,Material_Detail!$DE:$DE,0),5),0)),SUMIFS(T_Shipments[Confirmed_Qty],T_Shipments[Part Name],$A5,T_Shipments[Effective_Week],5))</f>
        <v/>
      </c>
      <c r="G5">
        <f>IF(COUNTIF(Material_Detail!$DE:$DE,$A5)&gt;0,IF(ISNUMBER(SEARCH("[済]",INDEX(Material_Detail!$D:$DC,MATCH($A5,Material_Detail!$DE:$DE,0)+1,6))),0,IFERROR(INDEX(Material_Detail!$D:$DC,MATCH($A5,Material_Detail!$DE:$DE,0),6),0)),SUMIFS(T_Shipments[Confirmed_Qty],T_Shipments[Part Name],$A5,T_Shipments[Effective_Week],6))</f>
        <v/>
      </c>
      <c r="H5">
        <f>IF(COUNTIF(Material_Detail!$DE:$DE,$A5)&gt;0,IF(ISNUMBER(SEARCH("[済]",INDEX(Material_Detail!$D:$DC,MATCH($A5,Material_Detail!$DE:$DE,0)+1,7))),0,IFERROR(INDEX(Material_Detail!$D:$DC,MATCH($A5,Material_Detail!$DE:$DE,0),7),0)),SUMIFS(T_Shipments[Confirmed_Qty],T_Shipments[Part Name],$A5,T_Shipments[Effective_Week],7))</f>
        <v/>
      </c>
      <c r="I5">
        <f>IF(COUNTIF(Material_Detail!$DE:$DE,$A5)&gt;0,IF(ISNUMBER(SEARCH("[済]",INDEX(Material_Detail!$D:$DC,MATCH($A5,Material_Detail!$DE:$DE,0)+1,8))),0,IFERROR(INDEX(Material_Detail!$D:$DC,MATCH($A5,Material_Detail!$DE:$DE,0),8),0)),SUMIFS(T_Shipments[Confirmed_Qty],T_Shipments[Part Name],$A5,T_Shipments[Effective_Week],8))</f>
        <v/>
      </c>
      <c r="J5">
        <f>IF(COUNTIF(Material_Detail!$DE:$DE,$A5)&gt;0,IF(ISNUMBER(SEARCH("[済]",INDEX(Material_Detail!$D:$DC,MATCH($A5,Material_Detail!$DE:$DE,0)+1,9))),0,IFERROR(INDEX(Material_Detail!$D:$DC,MATCH($A5,Material_Detail!$DE:$DE,0),9),0)),SUMIFS(T_Shipments[Confirmed_Qty],T_Shipments[Part Name],$A5,T_Shipments[Effective_Week],9))</f>
        <v/>
      </c>
      <c r="K5">
        <f>IF(COUNTIF(Material_Detail!$DE:$DE,$A5)&gt;0,IF(ISNUMBER(SEARCH("[済]",INDEX(Material_Detail!$D:$DC,MATCH($A5,Material_Detail!$DE:$DE,0)+1,10))),0,IFERROR(INDEX(Material_Detail!$D:$DC,MATCH($A5,Material_Detail!$DE:$DE,0),10),0)),SUMIFS(T_Shipments[Confirmed_Qty],T_Shipments[Part Name],$A5,T_Shipments[Effective_Week],10))</f>
        <v/>
      </c>
      <c r="L5">
        <f>IF(COUNTIF(Material_Detail!$DE:$DE,$A5)&gt;0,IF(ISNUMBER(SEARCH("[済]",INDEX(Material_Detail!$D:$DC,MATCH($A5,Material_Detail!$DE:$DE,0)+1,11))),0,IFERROR(INDEX(Material_Detail!$D:$DC,MATCH($A5,Material_Detail!$DE:$DE,0),11),0)),SUMIFS(T_Shipments[Confirmed_Qty],T_Shipments[Part Name],$A5,T_Shipments[Effective_Week],11))</f>
        <v/>
      </c>
      <c r="M5">
        <f>IF(COUNTIF(Material_Detail!$DE:$DE,$A5)&gt;0,IF(ISNUMBER(SEARCH("[済]",INDEX(Material_Detail!$D:$DC,MATCH($A5,Material_Detail!$DE:$DE,0)+1,12))),0,IFERROR(INDEX(Material_Detail!$D:$DC,MATCH($A5,Material_Detail!$DE:$DE,0),12),0)),SUMIFS(T_Shipments[Confirmed_Qty],T_Shipments[Part Name],$A5,T_Shipments[Effective_Week],12))</f>
        <v/>
      </c>
      <c r="N5">
        <f>IF(COUNTIF(Material_Detail!$DE:$DE,$A5)&gt;0,IF(ISNUMBER(SEARCH("[済]",INDEX(Material_Detail!$D:$DC,MATCH($A5,Material_Detail!$DE:$DE,0)+1,13))),0,IFERROR(INDEX(Material_Detail!$D:$DC,MATCH($A5,Material_Detail!$DE:$DE,0),13),0)),SUMIFS(T_Shipments[Confirmed_Qty],T_Shipments[Part Name],$A5,T_Shipments[Effective_Week],13))</f>
        <v/>
      </c>
      <c r="O5">
        <f>IF(COUNTIF(Material_Detail!$DE:$DE,$A5)&gt;0,IF(ISNUMBER(SEARCH("[済]",INDEX(Material_Detail!$D:$DC,MATCH($A5,Material_Detail!$DE:$DE,0)+1,14))),0,IFERROR(INDEX(Material_Detail!$D:$DC,MATCH($A5,Material_Detail!$DE:$DE,0),14),0)),SUMIFS(T_Shipments[Confirmed_Qty],T_Shipments[Part Name],$A5,T_Shipments[Effective_Week],14))</f>
        <v/>
      </c>
      <c r="P5">
        <f>IF(COUNTIF(Material_Detail!$DE:$DE,$A5)&gt;0,IF(ISNUMBER(SEARCH("[済]",INDEX(Material_Detail!$D:$DC,MATCH($A5,Material_Detail!$DE:$DE,0)+1,15))),0,IFERROR(INDEX(Material_Detail!$D:$DC,MATCH($A5,Material_Detail!$DE:$DE,0),15),0)),SUMIFS(T_Shipments[Confirmed_Qty],T_Shipments[Part Name],$A5,T_Shipments[Effective_Week],15))</f>
        <v/>
      </c>
      <c r="Q5">
        <f>IF(COUNTIF(Material_Detail!$DE:$DE,$A5)&gt;0,IF(ISNUMBER(SEARCH("[済]",INDEX(Material_Detail!$D:$DC,MATCH($A5,Material_Detail!$DE:$DE,0)+1,16))),0,IFERROR(INDEX(Material_Detail!$D:$DC,MATCH($A5,Material_Detail!$DE:$DE,0),16),0)),SUMIFS(T_Shipments[Confirmed_Qty],T_Shipments[Part Name],$A5,T_Shipments[Effective_Week],16))</f>
        <v/>
      </c>
      <c r="R5">
        <f>IF(COUNTIF(Material_Detail!$DE:$DE,$A5)&gt;0,IF(ISNUMBER(SEARCH("[済]",INDEX(Material_Detail!$D:$DC,MATCH($A5,Material_Detail!$DE:$DE,0)+1,17))),0,IFERROR(INDEX(Material_Detail!$D:$DC,MATCH($A5,Material_Detail!$DE:$DE,0),17),0)),SUMIFS(T_Shipments[Confirmed_Qty],T_Shipments[Part Name],$A5,T_Shipments[Effective_Week],17))</f>
        <v/>
      </c>
      <c r="S5">
        <f>IF(COUNTIF(Material_Detail!$DE:$DE,$A5)&gt;0,IF(ISNUMBER(SEARCH("[済]",INDEX(Material_Detail!$D:$DC,MATCH($A5,Material_Detail!$DE:$DE,0)+1,18))),0,IFERROR(INDEX(Material_Detail!$D:$DC,MATCH($A5,Material_Detail!$DE:$DE,0),18),0)),SUMIFS(T_Shipments[Confirmed_Qty],T_Shipments[Part Name],$A5,T_Shipments[Effective_Week],18))</f>
        <v/>
      </c>
      <c r="T5">
        <f>IF(COUNTIF(Material_Detail!$DE:$DE,$A5)&gt;0,IF(ISNUMBER(SEARCH("[済]",INDEX(Material_Detail!$D:$DC,MATCH($A5,Material_Detail!$DE:$DE,0)+1,19))),0,IFERROR(INDEX(Material_Detail!$D:$DC,MATCH($A5,Material_Detail!$DE:$DE,0),19),0)),SUMIFS(T_Shipments[Confirmed_Qty],T_Shipments[Part Name],$A5,T_Shipments[Effective_Week],19))</f>
        <v/>
      </c>
      <c r="U5">
        <f>IF(COUNTIF(Material_Detail!$DE:$DE,$A5)&gt;0,IF(ISNUMBER(SEARCH("[済]",INDEX(Material_Detail!$D:$DC,MATCH($A5,Material_Detail!$DE:$DE,0)+1,20))),0,IFERROR(INDEX(Material_Detail!$D:$DC,MATCH($A5,Material_Detail!$DE:$DE,0),20),0)),SUMIFS(T_Shipments[Confirmed_Qty],T_Shipments[Part Name],$A5,T_Shipments[Effective_Week],20))</f>
        <v/>
      </c>
      <c r="V5">
        <f>IF(COUNTIF(Material_Detail!$DE:$DE,$A5)&gt;0,IF(ISNUMBER(SEARCH("[済]",INDEX(Material_Detail!$D:$DC,MATCH($A5,Material_Detail!$DE:$DE,0)+1,21))),0,IFERROR(INDEX(Material_Detail!$D:$DC,MATCH($A5,Material_Detail!$DE:$DE,0),21),0)),SUMIFS(T_Shipments[Confirmed_Qty],T_Shipments[Part Name],$A5,T_Shipments[Effective_Week],21))</f>
        <v/>
      </c>
      <c r="W5">
        <f>IF(COUNTIF(Material_Detail!$DE:$DE,$A5)&gt;0,IF(ISNUMBER(SEARCH("[済]",INDEX(Material_Detail!$D:$DC,MATCH($A5,Material_Detail!$DE:$DE,0)+1,22))),0,IFERROR(INDEX(Material_Detail!$D:$DC,MATCH($A5,Material_Detail!$DE:$DE,0),22),0)),SUMIFS(T_Shipments[Confirmed_Qty],T_Shipments[Part Name],$A5,T_Shipments[Effective_Week],22))</f>
        <v/>
      </c>
      <c r="X5">
        <f>IF(COUNTIF(Material_Detail!$DE:$DE,$A5)&gt;0,IF(ISNUMBER(SEARCH("[済]",INDEX(Material_Detail!$D:$DC,MATCH($A5,Material_Detail!$DE:$DE,0)+1,23))),0,IFERROR(INDEX(Material_Detail!$D:$DC,MATCH($A5,Material_Detail!$DE:$DE,0),23),0)),SUMIFS(T_Shipments[Confirmed_Qty],T_Shipments[Part Name],$A5,T_Shipments[Effective_Week],23))</f>
        <v/>
      </c>
      <c r="Y5">
        <f>IF(COUNTIF(Material_Detail!$DE:$DE,$A5)&gt;0,IF(ISNUMBER(SEARCH("[済]",INDEX(Material_Detail!$D:$DC,MATCH($A5,Material_Detail!$DE:$DE,0)+1,24))),0,IFERROR(INDEX(Material_Detail!$D:$DC,MATCH($A5,Material_Detail!$DE:$DE,0),24),0)),SUMIFS(T_Shipments[Confirmed_Qty],T_Shipments[Part Name],$A5,T_Shipments[Effective_Week],24))</f>
        <v/>
      </c>
      <c r="Z5">
        <f>IF(COUNTIF(Material_Detail!$DE:$DE,$A5)&gt;0,IF(ISNUMBER(SEARCH("[済]",INDEX(Material_Detail!$D:$DC,MATCH($A5,Material_Detail!$DE:$DE,0)+1,25))),0,IFERROR(INDEX(Material_Detail!$D:$DC,MATCH($A5,Material_Detail!$DE:$DE,0),25),0)),SUMIFS(T_Shipments[Confirmed_Qty],T_Shipments[Part Name],$A5,T_Shipments[Effective_Week],25))</f>
        <v/>
      </c>
      <c r="AA5">
        <f>IF(COUNTIF(Material_Detail!$DE:$DE,$A5)&gt;0,IF(ISNUMBER(SEARCH("[済]",INDEX(Material_Detail!$D:$DC,MATCH($A5,Material_Detail!$DE:$DE,0)+1,26))),0,IFERROR(INDEX(Material_Detail!$D:$DC,MATCH($A5,Material_Detail!$DE:$DE,0),26),0)),SUMIFS(T_Shipments[Confirmed_Qty],T_Shipments[Part Name],$A5,T_Shipments[Effective_Week],26))</f>
        <v/>
      </c>
      <c r="AB5">
        <f>IF(COUNTIF(Material_Detail!$DE:$DE,$A5)&gt;0,IF(ISNUMBER(SEARCH("[済]",INDEX(Material_Detail!$D:$DC,MATCH($A5,Material_Detail!$DE:$DE,0)+1,27))),0,IFERROR(INDEX(Material_Detail!$D:$DC,MATCH($A5,Material_Detail!$DE:$DE,0),27),0)),SUMIFS(T_Shipments[Confirmed_Qty],T_Shipments[Part Name],$A5,T_Shipments[Effective_Week],27))</f>
        <v/>
      </c>
      <c r="AC5">
        <f>IF(COUNTIF(Material_Detail!$DE:$DE,$A5)&gt;0,IF(ISNUMBER(SEARCH("[済]",INDEX(Material_Detail!$D:$DC,MATCH($A5,Material_Detail!$DE:$DE,0)+1,28))),0,IFERROR(INDEX(Material_Detail!$D:$DC,MATCH($A5,Material_Detail!$DE:$DE,0),28),0)),SUMIFS(T_Shipments[Confirmed_Qty],T_Shipments[Part Name],$A5,T_Shipments[Effective_Week],28))</f>
        <v/>
      </c>
      <c r="AD5">
        <f>IF(COUNTIF(Material_Detail!$DE:$DE,$A5)&gt;0,IF(ISNUMBER(SEARCH("[済]",INDEX(Material_Detail!$D:$DC,MATCH($A5,Material_Detail!$DE:$DE,0)+1,29))),0,IFERROR(INDEX(Material_Detail!$D:$DC,MATCH($A5,Material_Detail!$DE:$DE,0),29),0)),SUMIFS(T_Shipments[Confirmed_Qty],T_Shipments[Part Name],$A5,T_Shipments[Effective_Week],29))</f>
        <v/>
      </c>
      <c r="AE5">
        <f>IF(COUNTIF(Material_Detail!$DE:$DE,$A5)&gt;0,IF(ISNUMBER(SEARCH("[済]",INDEX(Material_Detail!$D:$DC,MATCH($A5,Material_Detail!$DE:$DE,0)+1,30))),0,IFERROR(INDEX(Material_Detail!$D:$DC,MATCH($A5,Material_Detail!$DE:$DE,0),30),0)),SUMIFS(T_Shipments[Confirmed_Qty],T_Shipments[Part Name],$A5,T_Shipments[Effective_Week],30))</f>
        <v/>
      </c>
      <c r="AF5">
        <f>IF(COUNTIF(Material_Detail!$DE:$DE,$A5)&gt;0,IF(ISNUMBER(SEARCH("[済]",INDEX(Material_Detail!$D:$DC,MATCH($A5,Material_Detail!$DE:$DE,0)+1,31))),0,IFERROR(INDEX(Material_Detail!$D:$DC,MATCH($A5,Material_Detail!$DE:$DE,0),31),0)),SUMIFS(T_Shipments[Confirmed_Qty],T_Shipments[Part Name],$A5,T_Shipments[Effective_Week],31))</f>
        <v/>
      </c>
      <c r="AG5">
        <f>IF(COUNTIF(Material_Detail!$DE:$DE,$A5)&gt;0,IF(ISNUMBER(SEARCH("[済]",INDEX(Material_Detail!$D:$DC,MATCH($A5,Material_Detail!$DE:$DE,0)+1,32))),0,IFERROR(INDEX(Material_Detail!$D:$DC,MATCH($A5,Material_Detail!$DE:$DE,0),32),0)),SUMIFS(T_Shipments[Confirmed_Qty],T_Shipments[Part Name],$A5,T_Shipments[Effective_Week],32))</f>
        <v/>
      </c>
      <c r="AH5">
        <f>IF(COUNTIF(Material_Detail!$DE:$DE,$A5)&gt;0,IF(ISNUMBER(SEARCH("[済]",INDEX(Material_Detail!$D:$DC,MATCH($A5,Material_Detail!$DE:$DE,0)+1,33))),0,IFERROR(INDEX(Material_Detail!$D:$DC,MATCH($A5,Material_Detail!$DE:$DE,0),33),0)),SUMIFS(T_Shipments[Confirmed_Qty],T_Shipments[Part Name],$A5,T_Shipments[Effective_Week],33))</f>
        <v/>
      </c>
      <c r="AI5">
        <f>IF(COUNTIF(Material_Detail!$DE:$DE,$A5)&gt;0,IF(ISNUMBER(SEARCH("[済]",INDEX(Material_Detail!$D:$DC,MATCH($A5,Material_Detail!$DE:$DE,0)+1,34))),0,IFERROR(INDEX(Material_Detail!$D:$DC,MATCH($A5,Material_Detail!$DE:$DE,0),34),0)),SUMIFS(T_Shipments[Confirmed_Qty],T_Shipments[Part Name],$A5,T_Shipments[Effective_Week],34))</f>
        <v/>
      </c>
      <c r="AJ5">
        <f>IF(COUNTIF(Material_Detail!$DE:$DE,$A5)&gt;0,IF(ISNUMBER(SEARCH("[済]",INDEX(Material_Detail!$D:$DC,MATCH($A5,Material_Detail!$DE:$DE,0)+1,35))),0,IFERROR(INDEX(Material_Detail!$D:$DC,MATCH($A5,Material_Detail!$DE:$DE,0),35),0)),SUMIFS(T_Shipments[Confirmed_Qty],T_Shipments[Part Name],$A5,T_Shipments[Effective_Week],35))</f>
        <v/>
      </c>
      <c r="AK5">
        <f>IF(COUNTIF(Material_Detail!$DE:$DE,$A5)&gt;0,IF(ISNUMBER(SEARCH("[済]",INDEX(Material_Detail!$D:$DC,MATCH($A5,Material_Detail!$DE:$DE,0)+1,36))),0,IFERROR(INDEX(Material_Detail!$D:$DC,MATCH($A5,Material_Detail!$DE:$DE,0),36),0)),SUMIFS(T_Shipments[Confirmed_Qty],T_Shipments[Part Name],$A5,T_Shipments[Effective_Week],36))</f>
        <v/>
      </c>
      <c r="AL5">
        <f>IF(COUNTIF(Material_Detail!$DE:$DE,$A5)&gt;0,IF(ISNUMBER(SEARCH("[済]",INDEX(Material_Detail!$D:$DC,MATCH($A5,Material_Detail!$DE:$DE,0)+1,37))),0,IFERROR(INDEX(Material_Detail!$D:$DC,MATCH($A5,Material_Detail!$DE:$DE,0),37),0)),SUMIFS(T_Shipments[Confirmed_Qty],T_Shipments[Part Name],$A5,T_Shipments[Effective_Week],37))</f>
        <v/>
      </c>
      <c r="AM5">
        <f>IF(COUNTIF(Material_Detail!$DE:$DE,$A5)&gt;0,IF(ISNUMBER(SEARCH("[済]",INDEX(Material_Detail!$D:$DC,MATCH($A5,Material_Detail!$DE:$DE,0)+1,38))),0,IFERROR(INDEX(Material_Detail!$D:$DC,MATCH($A5,Material_Detail!$DE:$DE,0),38),0)),SUMIFS(T_Shipments[Confirmed_Qty],T_Shipments[Part Name],$A5,T_Shipments[Effective_Week],38))</f>
        <v/>
      </c>
      <c r="AN5">
        <f>IF(COUNTIF(Material_Detail!$DE:$DE,$A5)&gt;0,IF(ISNUMBER(SEARCH("[済]",INDEX(Material_Detail!$D:$DC,MATCH($A5,Material_Detail!$DE:$DE,0)+1,39))),0,IFERROR(INDEX(Material_Detail!$D:$DC,MATCH($A5,Material_Detail!$DE:$DE,0),39),0)),SUMIFS(T_Shipments[Confirmed_Qty],T_Shipments[Part Name],$A5,T_Shipments[Effective_Week],39))</f>
        <v/>
      </c>
      <c r="AO5">
        <f>IF(COUNTIF(Material_Detail!$DE:$DE,$A5)&gt;0,IF(ISNUMBER(SEARCH("[済]",INDEX(Material_Detail!$D:$DC,MATCH($A5,Material_Detail!$DE:$DE,0)+1,40))),0,IFERROR(INDEX(Material_Detail!$D:$DC,MATCH($A5,Material_Detail!$DE:$DE,0),40),0)),SUMIFS(T_Shipments[Confirmed_Qty],T_Shipments[Part Name],$A5,T_Shipments[Effective_Week],40))</f>
        <v/>
      </c>
      <c r="AP5">
        <f>IF(COUNTIF(Material_Detail!$DE:$DE,$A5)&gt;0,IF(ISNUMBER(SEARCH("[済]",INDEX(Material_Detail!$D:$DC,MATCH($A5,Material_Detail!$DE:$DE,0)+1,41))),0,IFERROR(INDEX(Material_Detail!$D:$DC,MATCH($A5,Material_Detail!$DE:$DE,0),41),0)),SUMIFS(T_Shipments[Confirmed_Qty],T_Shipments[Part Name],$A5,T_Shipments[Effective_Week],41))</f>
        <v/>
      </c>
      <c r="AQ5">
        <f>IF(COUNTIF(Material_Detail!$DE:$DE,$A5)&gt;0,IF(ISNUMBER(SEARCH("[済]",INDEX(Material_Detail!$D:$DC,MATCH($A5,Material_Detail!$DE:$DE,0)+1,42))),0,IFERROR(INDEX(Material_Detail!$D:$DC,MATCH($A5,Material_Detail!$DE:$DE,0),42),0)),SUMIFS(T_Shipments[Confirmed_Qty],T_Shipments[Part Name],$A5,T_Shipments[Effective_Week],42))</f>
        <v/>
      </c>
      <c r="AR5">
        <f>IF(COUNTIF(Material_Detail!$DE:$DE,$A5)&gt;0,IF(ISNUMBER(SEARCH("[済]",INDEX(Material_Detail!$D:$DC,MATCH($A5,Material_Detail!$DE:$DE,0)+1,43))),0,IFERROR(INDEX(Material_Detail!$D:$DC,MATCH($A5,Material_Detail!$DE:$DE,0),43),0)),SUMIFS(T_Shipments[Confirmed_Qty],T_Shipments[Part Name],$A5,T_Shipments[Effective_Week],43))</f>
        <v/>
      </c>
      <c r="AS5">
        <f>IF(COUNTIF(Material_Detail!$DE:$DE,$A5)&gt;0,IF(ISNUMBER(SEARCH("[済]",INDEX(Material_Detail!$D:$DC,MATCH($A5,Material_Detail!$DE:$DE,0)+1,44))),0,IFERROR(INDEX(Material_Detail!$D:$DC,MATCH($A5,Material_Detail!$DE:$DE,0),44),0)),SUMIFS(T_Shipments[Confirmed_Qty],T_Shipments[Part Name],$A5,T_Shipments[Effective_Week],44))</f>
        <v/>
      </c>
      <c r="AT5">
        <f>IF(COUNTIF(Material_Detail!$DE:$DE,$A5)&gt;0,IF(ISNUMBER(SEARCH("[済]",INDEX(Material_Detail!$D:$DC,MATCH($A5,Material_Detail!$DE:$DE,0)+1,45))),0,IFERROR(INDEX(Material_Detail!$D:$DC,MATCH($A5,Material_Detail!$DE:$DE,0),45),0)),SUMIFS(T_Shipments[Confirmed_Qty],T_Shipments[Part Name],$A5,T_Shipments[Effective_Week],45))</f>
        <v/>
      </c>
      <c r="AU5">
        <f>IF(COUNTIF(Material_Detail!$DE:$DE,$A5)&gt;0,IF(ISNUMBER(SEARCH("[済]",INDEX(Material_Detail!$D:$DC,MATCH($A5,Material_Detail!$DE:$DE,0)+1,46))),0,IFERROR(INDEX(Material_Detail!$D:$DC,MATCH($A5,Material_Detail!$DE:$DE,0),46),0)),SUMIFS(T_Shipments[Confirmed_Qty],T_Shipments[Part Name],$A5,T_Shipments[Effective_Week],46))</f>
        <v/>
      </c>
      <c r="AV5">
        <f>IF(COUNTIF(Material_Detail!$DE:$DE,$A5)&gt;0,IF(ISNUMBER(SEARCH("[済]",INDEX(Material_Detail!$D:$DC,MATCH($A5,Material_Detail!$DE:$DE,0)+1,47))),0,IFERROR(INDEX(Material_Detail!$D:$DC,MATCH($A5,Material_Detail!$DE:$DE,0),47),0)),SUMIFS(T_Shipments[Confirmed_Qty],T_Shipments[Part Name],$A5,T_Shipments[Effective_Week],47))</f>
        <v/>
      </c>
      <c r="AW5">
        <f>IF(COUNTIF(Material_Detail!$DE:$DE,$A5)&gt;0,IF(ISNUMBER(SEARCH("[済]",INDEX(Material_Detail!$D:$DC,MATCH($A5,Material_Detail!$DE:$DE,0)+1,48))),0,IFERROR(INDEX(Material_Detail!$D:$DC,MATCH($A5,Material_Detail!$DE:$DE,0),48),0)),SUMIFS(T_Shipments[Confirmed_Qty],T_Shipments[Part Name],$A5,T_Shipments[Effective_Week],48))</f>
        <v/>
      </c>
      <c r="AX5">
        <f>IF(COUNTIF(Material_Detail!$DE:$DE,$A5)&gt;0,IF(ISNUMBER(SEARCH("[済]",INDEX(Material_Detail!$D:$DC,MATCH($A5,Material_Detail!$DE:$DE,0)+1,49))),0,IFERROR(INDEX(Material_Detail!$D:$DC,MATCH($A5,Material_Detail!$DE:$DE,0),49),0)),SUMIFS(T_Shipments[Confirmed_Qty],T_Shipments[Part Name],$A5,T_Shipments[Effective_Week],49))</f>
        <v/>
      </c>
      <c r="AY5">
        <f>IF(COUNTIF(Material_Detail!$DE:$DE,$A5)&gt;0,IF(ISNUMBER(SEARCH("[済]",INDEX(Material_Detail!$D:$DC,MATCH($A5,Material_Detail!$DE:$DE,0)+1,50))),0,IFERROR(INDEX(Material_Detail!$D:$DC,MATCH($A5,Material_Detail!$DE:$DE,0),50),0)),SUMIFS(T_Shipments[Confirmed_Qty],T_Shipments[Part Name],$A5,T_Shipments[Effective_Week],50))</f>
        <v/>
      </c>
      <c r="AZ5">
        <f>IF(COUNTIF(Material_Detail!$DE:$DE,$A5)&gt;0,IF(ISNUMBER(SEARCH("[済]",INDEX(Material_Detail!$D:$DC,MATCH($A5,Material_Detail!$DE:$DE,0)+1,51))),0,IFERROR(INDEX(Material_Detail!$D:$DC,MATCH($A5,Material_Detail!$DE:$DE,0),51),0)),SUMIFS(T_Shipments[Confirmed_Qty],T_Shipments[Part Name],$A5,T_Shipments[Effective_Week],51))</f>
        <v/>
      </c>
      <c r="BA5">
        <f>IF(COUNTIF(Material_Detail!$DE:$DE,$A5)&gt;0,IF(ISNUMBER(SEARCH("[済]",INDEX(Material_Detail!$D:$DC,MATCH($A5,Material_Detail!$DE:$DE,0)+1,52))),0,IFERROR(INDEX(Material_Detail!$D:$DC,MATCH($A5,Material_Detail!$DE:$DE,0),52),0)),SUMIFS(T_Shipments[Confirmed_Qty],T_Shipments[Part Name],$A5,T_Shipments[Effective_Week],52))</f>
        <v/>
      </c>
      <c r="BB5">
        <f>IF(COUNTIF(Material_Detail!$DE:$DE,$A5)&gt;0,IF(ISNUMBER(SEARCH("[済]",INDEX(Material_Detail!$D:$DC,MATCH($A5,Material_Detail!$DE:$DE,0)+1,53))),0,IFERROR(INDEX(Material_Detail!$D:$DC,MATCH($A5,Material_Detail!$DE:$DE,0),53),0)),SUMIFS(T_Shipments[Confirmed_Qty],T_Shipments[Part Name],$A5,T_Shipments[Effective_Week],53))</f>
        <v/>
      </c>
      <c r="BC5">
        <f>IF(COUNTIF(Material_Detail!$DE:$DE,$A5)&gt;0,IF(ISNUMBER(SEARCH("[済]",INDEX(Material_Detail!$D:$DC,MATCH($A5,Material_Detail!$DE:$DE,0)+1,54))),0,IFERROR(INDEX(Material_Detail!$D:$DC,MATCH($A5,Material_Detail!$DE:$DE,0),54),0)),SUMIFS(T_Shipments[Confirmed_Qty],T_Shipments[Part Name],$A5,T_Shipments[Effective_Week],54))</f>
        <v/>
      </c>
      <c r="BD5">
        <f>IF(COUNTIF(Material_Detail!$DE:$DE,$A5)&gt;0,IF(ISNUMBER(SEARCH("[済]",INDEX(Material_Detail!$D:$DC,MATCH($A5,Material_Detail!$DE:$DE,0)+1,55))),0,IFERROR(INDEX(Material_Detail!$D:$DC,MATCH($A5,Material_Detail!$DE:$DE,0),55),0)),SUMIFS(T_Shipments[Confirmed_Qty],T_Shipments[Part Name],$A5,T_Shipments[Effective_Week],55))</f>
        <v/>
      </c>
      <c r="BE5">
        <f>IF(COUNTIF(Material_Detail!$DE:$DE,$A5)&gt;0,IF(ISNUMBER(SEARCH("[済]",INDEX(Material_Detail!$D:$DC,MATCH($A5,Material_Detail!$DE:$DE,0)+1,56))),0,IFERROR(INDEX(Material_Detail!$D:$DC,MATCH($A5,Material_Detail!$DE:$DE,0),56),0)),SUMIFS(T_Shipments[Confirmed_Qty],T_Shipments[Part Name],$A5,T_Shipments[Effective_Week],56))</f>
        <v/>
      </c>
      <c r="BF5">
        <f>IF(COUNTIF(Material_Detail!$DE:$DE,$A5)&gt;0,IF(ISNUMBER(SEARCH("[済]",INDEX(Material_Detail!$D:$DC,MATCH($A5,Material_Detail!$DE:$DE,0)+1,57))),0,IFERROR(INDEX(Material_Detail!$D:$DC,MATCH($A5,Material_Detail!$DE:$DE,0),57),0)),SUMIFS(T_Shipments[Confirmed_Qty],T_Shipments[Part Name],$A5,T_Shipments[Effective_Week],57))</f>
        <v/>
      </c>
      <c r="BG5">
        <f>IF(COUNTIF(Material_Detail!$DE:$DE,$A5)&gt;0,IF(ISNUMBER(SEARCH("[済]",INDEX(Material_Detail!$D:$DC,MATCH($A5,Material_Detail!$DE:$DE,0)+1,58))),0,IFERROR(INDEX(Material_Detail!$D:$DC,MATCH($A5,Material_Detail!$DE:$DE,0),58),0)),SUMIFS(T_Shipments[Confirmed_Qty],T_Shipments[Part Name],$A5,T_Shipments[Effective_Week],58))</f>
        <v/>
      </c>
      <c r="BH5">
        <f>IF(COUNTIF(Material_Detail!$DE:$DE,$A5)&gt;0,IF(ISNUMBER(SEARCH("[済]",INDEX(Material_Detail!$D:$DC,MATCH($A5,Material_Detail!$DE:$DE,0)+1,59))),0,IFERROR(INDEX(Material_Detail!$D:$DC,MATCH($A5,Material_Detail!$DE:$DE,0),59),0)),SUMIFS(T_Shipments[Confirmed_Qty],T_Shipments[Part Name],$A5,T_Shipments[Effective_Week],59))</f>
        <v/>
      </c>
      <c r="BI5">
        <f>IF(COUNTIF(Material_Detail!$DE:$DE,$A5)&gt;0,IF(ISNUMBER(SEARCH("[済]",INDEX(Material_Detail!$D:$DC,MATCH($A5,Material_Detail!$DE:$DE,0)+1,60))),0,IFERROR(INDEX(Material_Detail!$D:$DC,MATCH($A5,Material_Detail!$DE:$DE,0),60),0)),SUMIFS(T_Shipments[Confirmed_Qty],T_Shipments[Part Name],$A5,T_Shipments[Effective_Week],60))</f>
        <v/>
      </c>
      <c r="BJ5">
        <f>IF(COUNTIF(Material_Detail!$DE:$DE,$A5)&gt;0,IF(ISNUMBER(SEARCH("[済]",INDEX(Material_Detail!$D:$DC,MATCH($A5,Material_Detail!$DE:$DE,0)+1,61))),0,IFERROR(INDEX(Material_Detail!$D:$DC,MATCH($A5,Material_Detail!$DE:$DE,0),61),0)),SUMIFS(T_Shipments[Confirmed_Qty],T_Shipments[Part Name],$A5,T_Shipments[Effective_Week],61))</f>
        <v/>
      </c>
      <c r="BK5">
        <f>IF(COUNTIF(Material_Detail!$DE:$DE,$A5)&gt;0,IF(ISNUMBER(SEARCH("[済]",INDEX(Material_Detail!$D:$DC,MATCH($A5,Material_Detail!$DE:$DE,0)+1,62))),0,IFERROR(INDEX(Material_Detail!$D:$DC,MATCH($A5,Material_Detail!$DE:$DE,0),62),0)),SUMIFS(T_Shipments[Confirmed_Qty],T_Shipments[Part Name],$A5,T_Shipments[Effective_Week],62))</f>
        <v/>
      </c>
      <c r="BL5">
        <f>IF(COUNTIF(Material_Detail!$DE:$DE,$A5)&gt;0,IF(ISNUMBER(SEARCH("[済]",INDEX(Material_Detail!$D:$DC,MATCH($A5,Material_Detail!$DE:$DE,0)+1,63))),0,IFERROR(INDEX(Material_Detail!$D:$DC,MATCH($A5,Material_Detail!$DE:$DE,0),63),0)),SUMIFS(T_Shipments[Confirmed_Qty],T_Shipments[Part Name],$A5,T_Shipments[Effective_Week],63))</f>
        <v/>
      </c>
      <c r="BM5">
        <f>IF(COUNTIF(Material_Detail!$DE:$DE,$A5)&gt;0,IF(ISNUMBER(SEARCH("[済]",INDEX(Material_Detail!$D:$DC,MATCH($A5,Material_Detail!$DE:$DE,0)+1,64))),0,IFERROR(INDEX(Material_Detail!$D:$DC,MATCH($A5,Material_Detail!$DE:$DE,0),64),0)),SUMIFS(T_Shipments[Confirmed_Qty],T_Shipments[Part Name],$A5,T_Shipments[Effective_Week],64))</f>
        <v/>
      </c>
      <c r="BN5">
        <f>IF(COUNTIF(Material_Detail!$DE:$DE,$A5)&gt;0,IF(ISNUMBER(SEARCH("[済]",INDEX(Material_Detail!$D:$DC,MATCH($A5,Material_Detail!$DE:$DE,0)+1,65))),0,IFERROR(INDEX(Material_Detail!$D:$DC,MATCH($A5,Material_Detail!$DE:$DE,0),65),0)),SUMIFS(T_Shipments[Confirmed_Qty],T_Shipments[Part Name],$A5,T_Shipments[Effective_Week],65))</f>
        <v/>
      </c>
      <c r="BO5">
        <f>IF(COUNTIF(Material_Detail!$DE:$DE,$A5)&gt;0,IF(ISNUMBER(SEARCH("[済]",INDEX(Material_Detail!$D:$DC,MATCH($A5,Material_Detail!$DE:$DE,0)+1,66))),0,IFERROR(INDEX(Material_Detail!$D:$DC,MATCH($A5,Material_Detail!$DE:$DE,0),66),0)),SUMIFS(T_Shipments[Confirmed_Qty],T_Shipments[Part Name],$A5,T_Shipments[Effective_Week],66))</f>
        <v/>
      </c>
      <c r="BP5">
        <f>IF(COUNTIF(Material_Detail!$DE:$DE,$A5)&gt;0,IF(ISNUMBER(SEARCH("[済]",INDEX(Material_Detail!$D:$DC,MATCH($A5,Material_Detail!$DE:$DE,0)+1,67))),0,IFERROR(INDEX(Material_Detail!$D:$DC,MATCH($A5,Material_Detail!$DE:$DE,0),67),0)),SUMIFS(T_Shipments[Confirmed_Qty],T_Shipments[Part Name],$A5,T_Shipments[Effective_Week],67))</f>
        <v/>
      </c>
      <c r="BQ5">
        <f>IF(COUNTIF(Material_Detail!$DE:$DE,$A5)&gt;0,IF(ISNUMBER(SEARCH("[済]",INDEX(Material_Detail!$D:$DC,MATCH($A5,Material_Detail!$DE:$DE,0)+1,68))),0,IFERROR(INDEX(Material_Detail!$D:$DC,MATCH($A5,Material_Detail!$DE:$DE,0),68),0)),SUMIFS(T_Shipments[Confirmed_Qty],T_Shipments[Part Name],$A5,T_Shipments[Effective_Week],68))</f>
        <v/>
      </c>
      <c r="BR5">
        <f>IF(COUNTIF(Material_Detail!$DE:$DE,$A5)&gt;0,IF(ISNUMBER(SEARCH("[済]",INDEX(Material_Detail!$D:$DC,MATCH($A5,Material_Detail!$DE:$DE,0)+1,69))),0,IFERROR(INDEX(Material_Detail!$D:$DC,MATCH($A5,Material_Detail!$DE:$DE,0),69),0)),SUMIFS(T_Shipments[Confirmed_Qty],T_Shipments[Part Name],$A5,T_Shipments[Effective_Week],69))</f>
        <v/>
      </c>
      <c r="BS5">
        <f>IF(COUNTIF(Material_Detail!$DE:$DE,$A5)&gt;0,IF(ISNUMBER(SEARCH("[済]",INDEX(Material_Detail!$D:$DC,MATCH($A5,Material_Detail!$DE:$DE,0)+1,70))),0,IFERROR(INDEX(Material_Detail!$D:$DC,MATCH($A5,Material_Detail!$DE:$DE,0),70),0)),SUMIFS(T_Shipments[Confirmed_Qty],T_Shipments[Part Name],$A5,T_Shipments[Effective_Week],70))</f>
        <v/>
      </c>
      <c r="BT5">
        <f>IF(COUNTIF(Material_Detail!$DE:$DE,$A5)&gt;0,IF(ISNUMBER(SEARCH("[済]",INDEX(Material_Detail!$D:$DC,MATCH($A5,Material_Detail!$DE:$DE,0)+1,71))),0,IFERROR(INDEX(Material_Detail!$D:$DC,MATCH($A5,Material_Detail!$DE:$DE,0),71),0)),SUMIFS(T_Shipments[Confirmed_Qty],T_Shipments[Part Name],$A5,T_Shipments[Effective_Week],71))</f>
        <v/>
      </c>
      <c r="BU5">
        <f>IF(COUNTIF(Material_Detail!$DE:$DE,$A5)&gt;0,IF(ISNUMBER(SEARCH("[済]",INDEX(Material_Detail!$D:$DC,MATCH($A5,Material_Detail!$DE:$DE,0)+1,72))),0,IFERROR(INDEX(Material_Detail!$D:$DC,MATCH($A5,Material_Detail!$DE:$DE,0),72),0)),SUMIFS(T_Shipments[Confirmed_Qty],T_Shipments[Part Name],$A5,T_Shipments[Effective_Week],72))</f>
        <v/>
      </c>
      <c r="BV5">
        <f>IF(COUNTIF(Material_Detail!$DE:$DE,$A5)&gt;0,IF(ISNUMBER(SEARCH("[済]",INDEX(Material_Detail!$D:$DC,MATCH($A5,Material_Detail!$DE:$DE,0)+1,73))),0,IFERROR(INDEX(Material_Detail!$D:$DC,MATCH($A5,Material_Detail!$DE:$DE,0),73),0)),SUMIFS(T_Shipments[Confirmed_Qty],T_Shipments[Part Name],$A5,T_Shipments[Effective_Week],73))</f>
        <v/>
      </c>
      <c r="BW5">
        <f>IF(COUNTIF(Material_Detail!$DE:$DE,$A5)&gt;0,IF(ISNUMBER(SEARCH("[済]",INDEX(Material_Detail!$D:$DC,MATCH($A5,Material_Detail!$DE:$DE,0)+1,74))),0,IFERROR(INDEX(Material_Detail!$D:$DC,MATCH($A5,Material_Detail!$DE:$DE,0),74),0)),SUMIFS(T_Shipments[Confirmed_Qty],T_Shipments[Part Name],$A5,T_Shipments[Effective_Week],74))</f>
        <v/>
      </c>
      <c r="BX5">
        <f>IF(COUNTIF(Material_Detail!$DE:$DE,$A5)&gt;0,IF(ISNUMBER(SEARCH("[済]",INDEX(Material_Detail!$D:$DC,MATCH($A5,Material_Detail!$DE:$DE,0)+1,75))),0,IFERROR(INDEX(Material_Detail!$D:$DC,MATCH($A5,Material_Detail!$DE:$DE,0),75),0)),SUMIFS(T_Shipments[Confirmed_Qty],T_Shipments[Part Name],$A5,T_Shipments[Effective_Week],75))</f>
        <v/>
      </c>
      <c r="BY5">
        <f>IF(COUNTIF(Material_Detail!$DE:$DE,$A5)&gt;0,IF(ISNUMBER(SEARCH("[済]",INDEX(Material_Detail!$D:$DC,MATCH($A5,Material_Detail!$DE:$DE,0)+1,76))),0,IFERROR(INDEX(Material_Detail!$D:$DC,MATCH($A5,Material_Detail!$DE:$DE,0),76),0)),SUMIFS(T_Shipments[Confirmed_Qty],T_Shipments[Part Name],$A5,T_Shipments[Effective_Week],76))</f>
        <v/>
      </c>
      <c r="BZ5">
        <f>IF(COUNTIF(Material_Detail!$DE:$DE,$A5)&gt;0,IF(ISNUMBER(SEARCH("[済]",INDEX(Material_Detail!$D:$DC,MATCH($A5,Material_Detail!$DE:$DE,0)+1,77))),0,IFERROR(INDEX(Material_Detail!$D:$DC,MATCH($A5,Material_Detail!$DE:$DE,0),77),0)),SUMIFS(T_Shipments[Confirmed_Qty],T_Shipments[Part Name],$A5,T_Shipments[Effective_Week],77))</f>
        <v/>
      </c>
      <c r="CA5">
        <f>IF(COUNTIF(Material_Detail!$DE:$DE,$A5)&gt;0,IF(ISNUMBER(SEARCH("[済]",INDEX(Material_Detail!$D:$DC,MATCH($A5,Material_Detail!$DE:$DE,0)+1,78))),0,IFERROR(INDEX(Material_Detail!$D:$DC,MATCH($A5,Material_Detail!$DE:$DE,0),78),0)),SUMIFS(T_Shipments[Confirmed_Qty],T_Shipments[Part Name],$A5,T_Shipments[Effective_Week],78))</f>
        <v/>
      </c>
      <c r="CB5">
        <f>IF(COUNTIF(Material_Detail!$DE:$DE,$A5)&gt;0,IF(ISNUMBER(SEARCH("[済]",INDEX(Material_Detail!$D:$DC,MATCH($A5,Material_Detail!$DE:$DE,0)+1,79))),0,IFERROR(INDEX(Material_Detail!$D:$DC,MATCH($A5,Material_Detail!$DE:$DE,0),79),0)),SUMIFS(T_Shipments[Confirmed_Qty],T_Shipments[Part Name],$A5,T_Shipments[Effective_Week],79))</f>
        <v/>
      </c>
      <c r="CC5">
        <f>IF(COUNTIF(Material_Detail!$DE:$DE,$A5)&gt;0,IF(ISNUMBER(SEARCH("[済]",INDEX(Material_Detail!$D:$DC,MATCH($A5,Material_Detail!$DE:$DE,0)+1,80))),0,IFERROR(INDEX(Material_Detail!$D:$DC,MATCH($A5,Material_Detail!$DE:$DE,0),80),0)),SUMIFS(T_Shipments[Confirmed_Qty],T_Shipments[Part Name],$A5,T_Shipments[Effective_Week],80))</f>
        <v/>
      </c>
      <c r="CD5">
        <f>IF(COUNTIF(Material_Detail!$DE:$DE,$A5)&gt;0,IF(ISNUMBER(SEARCH("[済]",INDEX(Material_Detail!$D:$DC,MATCH($A5,Material_Detail!$DE:$DE,0)+1,81))),0,IFERROR(INDEX(Material_Detail!$D:$DC,MATCH($A5,Material_Detail!$DE:$DE,0),81),0)),SUMIFS(T_Shipments[Confirmed_Qty],T_Shipments[Part Name],$A5,T_Shipments[Effective_Week],81))</f>
        <v/>
      </c>
      <c r="CE5">
        <f>IF(COUNTIF(Material_Detail!$DE:$DE,$A5)&gt;0,IF(ISNUMBER(SEARCH("[済]",INDEX(Material_Detail!$D:$DC,MATCH($A5,Material_Detail!$DE:$DE,0)+1,82))),0,IFERROR(INDEX(Material_Detail!$D:$DC,MATCH($A5,Material_Detail!$DE:$DE,0),82),0)),SUMIFS(T_Shipments[Confirmed_Qty],T_Shipments[Part Name],$A5,T_Shipments[Effective_Week],82))</f>
        <v/>
      </c>
      <c r="CF5">
        <f>IF(COUNTIF(Material_Detail!$DE:$DE,$A5)&gt;0,IF(ISNUMBER(SEARCH("[済]",INDEX(Material_Detail!$D:$DC,MATCH($A5,Material_Detail!$DE:$DE,0)+1,83))),0,IFERROR(INDEX(Material_Detail!$D:$DC,MATCH($A5,Material_Detail!$DE:$DE,0),83),0)),SUMIFS(T_Shipments[Confirmed_Qty],T_Shipments[Part Name],$A5,T_Shipments[Effective_Week],83))</f>
        <v/>
      </c>
      <c r="CG5">
        <f>IF(COUNTIF(Material_Detail!$DE:$DE,$A5)&gt;0,IF(ISNUMBER(SEARCH("[済]",INDEX(Material_Detail!$D:$DC,MATCH($A5,Material_Detail!$DE:$DE,0)+1,84))),0,IFERROR(INDEX(Material_Detail!$D:$DC,MATCH($A5,Material_Detail!$DE:$DE,0),84),0)),SUMIFS(T_Shipments[Confirmed_Qty],T_Shipments[Part Name],$A5,T_Shipments[Effective_Week],84))</f>
        <v/>
      </c>
      <c r="CH5">
        <f>IF(COUNTIF(Material_Detail!$DE:$DE,$A5)&gt;0,IF(ISNUMBER(SEARCH("[済]",INDEX(Material_Detail!$D:$DC,MATCH($A5,Material_Detail!$DE:$DE,0)+1,85))),0,IFERROR(INDEX(Material_Detail!$D:$DC,MATCH($A5,Material_Detail!$DE:$DE,0),85),0)),SUMIFS(T_Shipments[Confirmed_Qty],T_Shipments[Part Name],$A5,T_Shipments[Effective_Week],85))</f>
        <v/>
      </c>
      <c r="CI5">
        <f>IF(COUNTIF(Material_Detail!$DE:$DE,$A5)&gt;0,IF(ISNUMBER(SEARCH("[済]",INDEX(Material_Detail!$D:$DC,MATCH($A5,Material_Detail!$DE:$DE,0)+1,86))),0,IFERROR(INDEX(Material_Detail!$D:$DC,MATCH($A5,Material_Detail!$DE:$DE,0),86),0)),SUMIFS(T_Shipments[Confirmed_Qty],T_Shipments[Part Name],$A5,T_Shipments[Effective_Week],86))</f>
        <v/>
      </c>
      <c r="CJ5">
        <f>IF(COUNTIF(Material_Detail!$DE:$DE,$A5)&gt;0,IF(ISNUMBER(SEARCH("[済]",INDEX(Material_Detail!$D:$DC,MATCH($A5,Material_Detail!$DE:$DE,0)+1,87))),0,IFERROR(INDEX(Material_Detail!$D:$DC,MATCH($A5,Material_Detail!$DE:$DE,0),87),0)),SUMIFS(T_Shipments[Confirmed_Qty],T_Shipments[Part Name],$A5,T_Shipments[Effective_Week],87))</f>
        <v/>
      </c>
      <c r="CK5">
        <f>IF(COUNTIF(Material_Detail!$DE:$DE,$A5)&gt;0,IF(ISNUMBER(SEARCH("[済]",INDEX(Material_Detail!$D:$DC,MATCH($A5,Material_Detail!$DE:$DE,0)+1,88))),0,IFERROR(INDEX(Material_Detail!$D:$DC,MATCH($A5,Material_Detail!$DE:$DE,0),88),0)),SUMIFS(T_Shipments[Confirmed_Qty],T_Shipments[Part Name],$A5,T_Shipments[Effective_Week],88))</f>
        <v/>
      </c>
      <c r="CL5">
        <f>IF(COUNTIF(Material_Detail!$DE:$DE,$A5)&gt;0,IF(ISNUMBER(SEARCH("[済]",INDEX(Material_Detail!$D:$DC,MATCH($A5,Material_Detail!$DE:$DE,0)+1,89))),0,IFERROR(INDEX(Material_Detail!$D:$DC,MATCH($A5,Material_Detail!$DE:$DE,0),89),0)),SUMIFS(T_Shipments[Confirmed_Qty],T_Shipments[Part Name],$A5,T_Shipments[Effective_Week],89))</f>
        <v/>
      </c>
      <c r="CM5">
        <f>IF(COUNTIF(Material_Detail!$DE:$DE,$A5)&gt;0,IF(ISNUMBER(SEARCH("[済]",INDEX(Material_Detail!$D:$DC,MATCH($A5,Material_Detail!$DE:$DE,0)+1,90))),0,IFERROR(INDEX(Material_Detail!$D:$DC,MATCH($A5,Material_Detail!$DE:$DE,0),90),0)),SUMIFS(T_Shipments[Confirmed_Qty],T_Shipments[Part Name],$A5,T_Shipments[Effective_Week],90))</f>
        <v/>
      </c>
      <c r="CN5">
        <f>IF(COUNTIF(Material_Detail!$DE:$DE,$A5)&gt;0,IF(ISNUMBER(SEARCH("[済]",INDEX(Material_Detail!$D:$DC,MATCH($A5,Material_Detail!$DE:$DE,0)+1,91))),0,IFERROR(INDEX(Material_Detail!$D:$DC,MATCH($A5,Material_Detail!$DE:$DE,0),91),0)),SUMIFS(T_Shipments[Confirmed_Qty],T_Shipments[Part Name],$A5,T_Shipments[Effective_Week],91))</f>
        <v/>
      </c>
      <c r="CO5">
        <f>IF(COUNTIF(Material_Detail!$DE:$DE,$A5)&gt;0,IF(ISNUMBER(SEARCH("[済]",INDEX(Material_Detail!$D:$DC,MATCH($A5,Material_Detail!$DE:$DE,0)+1,92))),0,IFERROR(INDEX(Material_Detail!$D:$DC,MATCH($A5,Material_Detail!$DE:$DE,0),92),0)),SUMIFS(T_Shipments[Confirmed_Qty],T_Shipments[Part Name],$A5,T_Shipments[Effective_Week],92))</f>
        <v/>
      </c>
      <c r="CP5">
        <f>IF(COUNTIF(Material_Detail!$DE:$DE,$A5)&gt;0,IF(ISNUMBER(SEARCH("[済]",INDEX(Material_Detail!$D:$DC,MATCH($A5,Material_Detail!$DE:$DE,0)+1,93))),0,IFERROR(INDEX(Material_Detail!$D:$DC,MATCH($A5,Material_Detail!$DE:$DE,0),93),0)),SUMIFS(T_Shipments[Confirmed_Qty],T_Shipments[Part Name],$A5,T_Shipments[Effective_Week],93))</f>
        <v/>
      </c>
      <c r="CQ5">
        <f>IF(COUNTIF(Material_Detail!$DE:$DE,$A5)&gt;0,IF(ISNUMBER(SEARCH("[済]",INDEX(Material_Detail!$D:$DC,MATCH($A5,Material_Detail!$DE:$DE,0)+1,94))),0,IFERROR(INDEX(Material_Detail!$D:$DC,MATCH($A5,Material_Detail!$DE:$DE,0),94),0)),SUMIFS(T_Shipments[Confirmed_Qty],T_Shipments[Part Name],$A5,T_Shipments[Effective_Week],94))</f>
        <v/>
      </c>
      <c r="CR5">
        <f>IF(COUNTIF(Material_Detail!$DE:$DE,$A5)&gt;0,IF(ISNUMBER(SEARCH("[済]",INDEX(Material_Detail!$D:$DC,MATCH($A5,Material_Detail!$DE:$DE,0)+1,95))),0,IFERROR(INDEX(Material_Detail!$D:$DC,MATCH($A5,Material_Detail!$DE:$DE,0),95),0)),SUMIFS(T_Shipments[Confirmed_Qty],T_Shipments[Part Name],$A5,T_Shipments[Effective_Week],95))</f>
        <v/>
      </c>
      <c r="CS5">
        <f>IF(COUNTIF(Material_Detail!$DE:$DE,$A5)&gt;0,IF(ISNUMBER(SEARCH("[済]",INDEX(Material_Detail!$D:$DC,MATCH($A5,Material_Detail!$DE:$DE,0)+1,96))),0,IFERROR(INDEX(Material_Detail!$D:$DC,MATCH($A5,Material_Detail!$DE:$DE,0),96),0)),SUMIFS(T_Shipments[Confirmed_Qty],T_Shipments[Part Name],$A5,T_Shipments[Effective_Week],96))</f>
        <v/>
      </c>
      <c r="CT5">
        <f>IF(COUNTIF(Material_Detail!$DE:$DE,$A5)&gt;0,IF(ISNUMBER(SEARCH("[済]",INDEX(Material_Detail!$D:$DC,MATCH($A5,Material_Detail!$DE:$DE,0)+1,97))),0,IFERROR(INDEX(Material_Detail!$D:$DC,MATCH($A5,Material_Detail!$DE:$DE,0),97),0)),SUMIFS(T_Shipments[Confirmed_Qty],T_Shipments[Part Name],$A5,T_Shipments[Effective_Week],97))</f>
        <v/>
      </c>
      <c r="CU5">
        <f>IF(COUNTIF(Material_Detail!$DE:$DE,$A5)&gt;0,IF(ISNUMBER(SEARCH("[済]",INDEX(Material_Detail!$D:$DC,MATCH($A5,Material_Detail!$DE:$DE,0)+1,98))),0,IFERROR(INDEX(Material_Detail!$D:$DC,MATCH($A5,Material_Detail!$DE:$DE,0),98),0)),SUMIFS(T_Shipments[Confirmed_Qty],T_Shipments[Part Name],$A5,T_Shipments[Effective_Week],98))</f>
        <v/>
      </c>
      <c r="CV5">
        <f>IF(COUNTIF(Material_Detail!$DE:$DE,$A5)&gt;0,IF(ISNUMBER(SEARCH("[済]",INDEX(Material_Detail!$D:$DC,MATCH($A5,Material_Detail!$DE:$DE,0)+1,99))),0,IFERROR(INDEX(Material_Detail!$D:$DC,MATCH($A5,Material_Detail!$DE:$DE,0),99),0)),SUMIFS(T_Shipments[Confirmed_Qty],T_Shipments[Part Name],$A5,T_Shipments[Effective_Week],99))</f>
        <v/>
      </c>
      <c r="CW5">
        <f>IF(COUNTIF(Material_Detail!$DE:$DE,$A5)&gt;0,IF(ISNUMBER(SEARCH("[済]",INDEX(Material_Detail!$D:$DC,MATCH($A5,Material_Detail!$DE:$DE,0)+1,100))),0,IFERROR(INDEX(Material_Detail!$D:$DC,MATCH($A5,Material_Detail!$DE:$DE,0),100),0)),SUMIFS(T_Shipments[Confirmed_Qty],T_Shipments[Part Name],$A5,T_Shipments[Effective_Week],100))</f>
        <v/>
      </c>
      <c r="CX5">
        <f>IF(COUNTIF(Material_Detail!$DE:$DE,$A5)&gt;0,IF(ISNUMBER(SEARCH("[済]",INDEX(Material_Detail!$D:$DC,MATCH($A5,Material_Detail!$DE:$DE,0)+1,101))),0,IFERROR(INDEX(Material_Detail!$D:$DC,MATCH($A5,Material_Detail!$DE:$DE,0),101),0)),SUMIFS(T_Shipments[Confirmed_Qty],T_Shipments[Part Name],$A5,T_Shipments[Effective_Week],101))</f>
        <v/>
      </c>
      <c r="CY5">
        <f>IF(COUNTIF(Material_Detail!$DE:$DE,$A5)&gt;0,IF(ISNUMBER(SEARCH("[済]",INDEX(Material_Detail!$D:$DC,MATCH($A5,Material_Detail!$DE:$DE,0)+1,102))),0,IFERROR(INDEX(Material_Detail!$D:$DC,MATCH($A5,Material_Detail!$DE:$DE,0),102),0)),SUMIFS(T_Shipments[Confirmed_Qty],T_Shipments[Part Name],$A5,T_Shipments[Effective_Week],102))</f>
        <v/>
      </c>
      <c r="CZ5">
        <f>IF(COUNTIF(Material_Detail!$DE:$DE,$A5)&gt;0,IF(ISNUMBER(SEARCH("[済]",INDEX(Material_Detail!$D:$DC,MATCH($A5,Material_Detail!$DE:$DE,0)+1,103))),0,IFERROR(INDEX(Material_Detail!$D:$DC,MATCH($A5,Material_Detail!$DE:$DE,0),103),0)),SUMIFS(T_Shipments[Confirmed_Qty],T_Shipments[Part Name],$A5,T_Shipments[Effective_Week],103))</f>
        <v/>
      </c>
      <c r="DA5">
        <f>IF(COUNTIF(Material_Detail!$DE:$DE,$A5)&gt;0,IF(ISNUMBER(SEARCH("[済]",INDEX(Material_Detail!$D:$DC,MATCH($A5,Material_Detail!$DE:$DE,0)+1,104))),0,IFERROR(INDEX(Material_Detail!$D:$DC,MATCH($A5,Material_Detail!$DE:$DE,0),104),0)),SUMIFS(T_Shipments[Confirmed_Qty],T_Shipments[Part Name],$A5,T_Shipments[Effective_Week],104))</f>
        <v/>
      </c>
    </row>
    <row r="6">
      <c r="A6" t="inlineStr">
        <is>
          <t>7CL</t>
        </is>
      </c>
      <c r="B6">
        <f>IF(COUNTIF(Material_Detail!$DE:$DE,$A6)&gt;0,IF(ISNUMBER(SEARCH("[済]",INDEX(Material_Detail!$D:$DC,MATCH($A6,Material_Detail!$DE:$DE,0)+1,1))),0,IFERROR(INDEX(Material_Detail!$D:$DC,MATCH($A6,Material_Detail!$DE:$DE,0),1),0)),SUMIFS(T_Shipments[Confirmed_Qty],T_Shipments[Part Name],$A6,T_Shipments[Effective_Week],1))</f>
        <v/>
      </c>
      <c r="C6">
        <f>IF(COUNTIF(Material_Detail!$DE:$DE,$A6)&gt;0,IF(ISNUMBER(SEARCH("[済]",INDEX(Material_Detail!$D:$DC,MATCH($A6,Material_Detail!$DE:$DE,0)+1,2))),0,IFERROR(INDEX(Material_Detail!$D:$DC,MATCH($A6,Material_Detail!$DE:$DE,0),2),0)),SUMIFS(T_Shipments[Confirmed_Qty],T_Shipments[Part Name],$A6,T_Shipments[Effective_Week],2))</f>
        <v/>
      </c>
      <c r="D6">
        <f>IF(COUNTIF(Material_Detail!$DE:$DE,$A6)&gt;0,IF(ISNUMBER(SEARCH("[済]",INDEX(Material_Detail!$D:$DC,MATCH($A6,Material_Detail!$DE:$DE,0)+1,3))),0,IFERROR(INDEX(Material_Detail!$D:$DC,MATCH($A6,Material_Detail!$DE:$DE,0),3),0)),SUMIFS(T_Shipments[Confirmed_Qty],T_Shipments[Part Name],$A6,T_Shipments[Effective_Week],3))</f>
        <v/>
      </c>
      <c r="E6">
        <f>IF(COUNTIF(Material_Detail!$DE:$DE,$A6)&gt;0,IF(ISNUMBER(SEARCH("[済]",INDEX(Material_Detail!$D:$DC,MATCH($A6,Material_Detail!$DE:$DE,0)+1,4))),0,IFERROR(INDEX(Material_Detail!$D:$DC,MATCH($A6,Material_Detail!$DE:$DE,0),4),0)),SUMIFS(T_Shipments[Confirmed_Qty],T_Shipments[Part Name],$A6,T_Shipments[Effective_Week],4))</f>
        <v/>
      </c>
      <c r="F6">
        <f>IF(COUNTIF(Material_Detail!$DE:$DE,$A6)&gt;0,IF(ISNUMBER(SEARCH("[済]",INDEX(Material_Detail!$D:$DC,MATCH($A6,Material_Detail!$DE:$DE,0)+1,5))),0,IFERROR(INDEX(Material_Detail!$D:$DC,MATCH($A6,Material_Detail!$DE:$DE,0),5),0)),SUMIFS(T_Shipments[Confirmed_Qty],T_Shipments[Part Name],$A6,T_Shipments[Effective_Week],5))</f>
        <v/>
      </c>
      <c r="G6">
        <f>IF(COUNTIF(Material_Detail!$DE:$DE,$A6)&gt;0,IF(ISNUMBER(SEARCH("[済]",INDEX(Material_Detail!$D:$DC,MATCH($A6,Material_Detail!$DE:$DE,0)+1,6))),0,IFERROR(INDEX(Material_Detail!$D:$DC,MATCH($A6,Material_Detail!$DE:$DE,0),6),0)),SUMIFS(T_Shipments[Confirmed_Qty],T_Shipments[Part Name],$A6,T_Shipments[Effective_Week],6))</f>
        <v/>
      </c>
      <c r="H6">
        <f>IF(COUNTIF(Material_Detail!$DE:$DE,$A6)&gt;0,IF(ISNUMBER(SEARCH("[済]",INDEX(Material_Detail!$D:$DC,MATCH($A6,Material_Detail!$DE:$DE,0)+1,7))),0,IFERROR(INDEX(Material_Detail!$D:$DC,MATCH($A6,Material_Detail!$DE:$DE,0),7),0)),SUMIFS(T_Shipments[Confirmed_Qty],T_Shipments[Part Name],$A6,T_Shipments[Effective_Week],7))</f>
        <v/>
      </c>
      <c r="I6">
        <f>IF(COUNTIF(Material_Detail!$DE:$DE,$A6)&gt;0,IF(ISNUMBER(SEARCH("[済]",INDEX(Material_Detail!$D:$DC,MATCH($A6,Material_Detail!$DE:$DE,0)+1,8))),0,IFERROR(INDEX(Material_Detail!$D:$DC,MATCH($A6,Material_Detail!$DE:$DE,0),8),0)),SUMIFS(T_Shipments[Confirmed_Qty],T_Shipments[Part Name],$A6,T_Shipments[Effective_Week],8))</f>
        <v/>
      </c>
      <c r="J6">
        <f>IF(COUNTIF(Material_Detail!$DE:$DE,$A6)&gt;0,IF(ISNUMBER(SEARCH("[済]",INDEX(Material_Detail!$D:$DC,MATCH($A6,Material_Detail!$DE:$DE,0)+1,9))),0,IFERROR(INDEX(Material_Detail!$D:$DC,MATCH($A6,Material_Detail!$DE:$DE,0),9),0)),SUMIFS(T_Shipments[Confirmed_Qty],T_Shipments[Part Name],$A6,T_Shipments[Effective_Week],9))</f>
        <v/>
      </c>
      <c r="K6">
        <f>IF(COUNTIF(Material_Detail!$DE:$DE,$A6)&gt;0,IF(ISNUMBER(SEARCH("[済]",INDEX(Material_Detail!$D:$DC,MATCH($A6,Material_Detail!$DE:$DE,0)+1,10))),0,IFERROR(INDEX(Material_Detail!$D:$DC,MATCH($A6,Material_Detail!$DE:$DE,0),10),0)),SUMIFS(T_Shipments[Confirmed_Qty],T_Shipments[Part Name],$A6,T_Shipments[Effective_Week],10))</f>
        <v/>
      </c>
      <c r="L6">
        <f>IF(COUNTIF(Material_Detail!$DE:$DE,$A6)&gt;0,IF(ISNUMBER(SEARCH("[済]",INDEX(Material_Detail!$D:$DC,MATCH($A6,Material_Detail!$DE:$DE,0)+1,11))),0,IFERROR(INDEX(Material_Detail!$D:$DC,MATCH($A6,Material_Detail!$DE:$DE,0),11),0)),SUMIFS(T_Shipments[Confirmed_Qty],T_Shipments[Part Name],$A6,T_Shipments[Effective_Week],11))</f>
        <v/>
      </c>
      <c r="M6">
        <f>IF(COUNTIF(Material_Detail!$DE:$DE,$A6)&gt;0,IF(ISNUMBER(SEARCH("[済]",INDEX(Material_Detail!$D:$DC,MATCH($A6,Material_Detail!$DE:$DE,0)+1,12))),0,IFERROR(INDEX(Material_Detail!$D:$DC,MATCH($A6,Material_Detail!$DE:$DE,0),12),0)),SUMIFS(T_Shipments[Confirmed_Qty],T_Shipments[Part Name],$A6,T_Shipments[Effective_Week],12))</f>
        <v/>
      </c>
      <c r="N6">
        <f>IF(COUNTIF(Material_Detail!$DE:$DE,$A6)&gt;0,IF(ISNUMBER(SEARCH("[済]",INDEX(Material_Detail!$D:$DC,MATCH($A6,Material_Detail!$DE:$DE,0)+1,13))),0,IFERROR(INDEX(Material_Detail!$D:$DC,MATCH($A6,Material_Detail!$DE:$DE,0),13),0)),SUMIFS(T_Shipments[Confirmed_Qty],T_Shipments[Part Name],$A6,T_Shipments[Effective_Week],13))</f>
        <v/>
      </c>
      <c r="O6">
        <f>IF(COUNTIF(Material_Detail!$DE:$DE,$A6)&gt;0,IF(ISNUMBER(SEARCH("[済]",INDEX(Material_Detail!$D:$DC,MATCH($A6,Material_Detail!$DE:$DE,0)+1,14))),0,IFERROR(INDEX(Material_Detail!$D:$DC,MATCH($A6,Material_Detail!$DE:$DE,0),14),0)),SUMIFS(T_Shipments[Confirmed_Qty],T_Shipments[Part Name],$A6,T_Shipments[Effective_Week],14))</f>
        <v/>
      </c>
      <c r="P6">
        <f>IF(COUNTIF(Material_Detail!$DE:$DE,$A6)&gt;0,IF(ISNUMBER(SEARCH("[済]",INDEX(Material_Detail!$D:$DC,MATCH($A6,Material_Detail!$DE:$DE,0)+1,15))),0,IFERROR(INDEX(Material_Detail!$D:$DC,MATCH($A6,Material_Detail!$DE:$DE,0),15),0)),SUMIFS(T_Shipments[Confirmed_Qty],T_Shipments[Part Name],$A6,T_Shipments[Effective_Week],15))</f>
        <v/>
      </c>
      <c r="Q6">
        <f>IF(COUNTIF(Material_Detail!$DE:$DE,$A6)&gt;0,IF(ISNUMBER(SEARCH("[済]",INDEX(Material_Detail!$D:$DC,MATCH($A6,Material_Detail!$DE:$DE,0)+1,16))),0,IFERROR(INDEX(Material_Detail!$D:$DC,MATCH($A6,Material_Detail!$DE:$DE,0),16),0)),SUMIFS(T_Shipments[Confirmed_Qty],T_Shipments[Part Name],$A6,T_Shipments[Effective_Week],16))</f>
        <v/>
      </c>
      <c r="R6">
        <f>IF(COUNTIF(Material_Detail!$DE:$DE,$A6)&gt;0,IF(ISNUMBER(SEARCH("[済]",INDEX(Material_Detail!$D:$DC,MATCH($A6,Material_Detail!$DE:$DE,0)+1,17))),0,IFERROR(INDEX(Material_Detail!$D:$DC,MATCH($A6,Material_Detail!$DE:$DE,0),17),0)),SUMIFS(T_Shipments[Confirmed_Qty],T_Shipments[Part Name],$A6,T_Shipments[Effective_Week],17))</f>
        <v/>
      </c>
      <c r="S6">
        <f>IF(COUNTIF(Material_Detail!$DE:$DE,$A6)&gt;0,IF(ISNUMBER(SEARCH("[済]",INDEX(Material_Detail!$D:$DC,MATCH($A6,Material_Detail!$DE:$DE,0)+1,18))),0,IFERROR(INDEX(Material_Detail!$D:$DC,MATCH($A6,Material_Detail!$DE:$DE,0),18),0)),SUMIFS(T_Shipments[Confirmed_Qty],T_Shipments[Part Name],$A6,T_Shipments[Effective_Week],18))</f>
        <v/>
      </c>
      <c r="T6">
        <f>IF(COUNTIF(Material_Detail!$DE:$DE,$A6)&gt;0,IF(ISNUMBER(SEARCH("[済]",INDEX(Material_Detail!$D:$DC,MATCH($A6,Material_Detail!$DE:$DE,0)+1,19))),0,IFERROR(INDEX(Material_Detail!$D:$DC,MATCH($A6,Material_Detail!$DE:$DE,0),19),0)),SUMIFS(T_Shipments[Confirmed_Qty],T_Shipments[Part Name],$A6,T_Shipments[Effective_Week],19))</f>
        <v/>
      </c>
      <c r="U6">
        <f>IF(COUNTIF(Material_Detail!$DE:$DE,$A6)&gt;0,IF(ISNUMBER(SEARCH("[済]",INDEX(Material_Detail!$D:$DC,MATCH($A6,Material_Detail!$DE:$DE,0)+1,20))),0,IFERROR(INDEX(Material_Detail!$D:$DC,MATCH($A6,Material_Detail!$DE:$DE,0),20),0)),SUMIFS(T_Shipments[Confirmed_Qty],T_Shipments[Part Name],$A6,T_Shipments[Effective_Week],20))</f>
        <v/>
      </c>
      <c r="V6">
        <f>IF(COUNTIF(Material_Detail!$DE:$DE,$A6)&gt;0,IF(ISNUMBER(SEARCH("[済]",INDEX(Material_Detail!$D:$DC,MATCH($A6,Material_Detail!$DE:$DE,0)+1,21))),0,IFERROR(INDEX(Material_Detail!$D:$DC,MATCH($A6,Material_Detail!$DE:$DE,0),21),0)),SUMIFS(T_Shipments[Confirmed_Qty],T_Shipments[Part Name],$A6,T_Shipments[Effective_Week],21))</f>
        <v/>
      </c>
      <c r="W6">
        <f>IF(COUNTIF(Material_Detail!$DE:$DE,$A6)&gt;0,IF(ISNUMBER(SEARCH("[済]",INDEX(Material_Detail!$D:$DC,MATCH($A6,Material_Detail!$DE:$DE,0)+1,22))),0,IFERROR(INDEX(Material_Detail!$D:$DC,MATCH($A6,Material_Detail!$DE:$DE,0),22),0)),SUMIFS(T_Shipments[Confirmed_Qty],T_Shipments[Part Name],$A6,T_Shipments[Effective_Week],22))</f>
        <v/>
      </c>
      <c r="X6">
        <f>IF(COUNTIF(Material_Detail!$DE:$DE,$A6)&gt;0,IF(ISNUMBER(SEARCH("[済]",INDEX(Material_Detail!$D:$DC,MATCH($A6,Material_Detail!$DE:$DE,0)+1,23))),0,IFERROR(INDEX(Material_Detail!$D:$DC,MATCH($A6,Material_Detail!$DE:$DE,0),23),0)),SUMIFS(T_Shipments[Confirmed_Qty],T_Shipments[Part Name],$A6,T_Shipments[Effective_Week],23))</f>
        <v/>
      </c>
      <c r="Y6">
        <f>IF(COUNTIF(Material_Detail!$DE:$DE,$A6)&gt;0,IF(ISNUMBER(SEARCH("[済]",INDEX(Material_Detail!$D:$DC,MATCH($A6,Material_Detail!$DE:$DE,0)+1,24))),0,IFERROR(INDEX(Material_Detail!$D:$DC,MATCH($A6,Material_Detail!$DE:$DE,0),24),0)),SUMIFS(T_Shipments[Confirmed_Qty],T_Shipments[Part Name],$A6,T_Shipments[Effective_Week],24))</f>
        <v/>
      </c>
      <c r="Z6">
        <f>IF(COUNTIF(Material_Detail!$DE:$DE,$A6)&gt;0,IF(ISNUMBER(SEARCH("[済]",INDEX(Material_Detail!$D:$DC,MATCH($A6,Material_Detail!$DE:$DE,0)+1,25))),0,IFERROR(INDEX(Material_Detail!$D:$DC,MATCH($A6,Material_Detail!$DE:$DE,0),25),0)),SUMIFS(T_Shipments[Confirmed_Qty],T_Shipments[Part Name],$A6,T_Shipments[Effective_Week],25))</f>
        <v/>
      </c>
      <c r="AA6">
        <f>IF(COUNTIF(Material_Detail!$DE:$DE,$A6)&gt;0,IF(ISNUMBER(SEARCH("[済]",INDEX(Material_Detail!$D:$DC,MATCH($A6,Material_Detail!$DE:$DE,0)+1,26))),0,IFERROR(INDEX(Material_Detail!$D:$DC,MATCH($A6,Material_Detail!$DE:$DE,0),26),0)),SUMIFS(T_Shipments[Confirmed_Qty],T_Shipments[Part Name],$A6,T_Shipments[Effective_Week],26))</f>
        <v/>
      </c>
      <c r="AB6">
        <f>IF(COUNTIF(Material_Detail!$DE:$DE,$A6)&gt;0,IF(ISNUMBER(SEARCH("[済]",INDEX(Material_Detail!$D:$DC,MATCH($A6,Material_Detail!$DE:$DE,0)+1,27))),0,IFERROR(INDEX(Material_Detail!$D:$DC,MATCH($A6,Material_Detail!$DE:$DE,0),27),0)),SUMIFS(T_Shipments[Confirmed_Qty],T_Shipments[Part Name],$A6,T_Shipments[Effective_Week],27))</f>
        <v/>
      </c>
      <c r="AC6">
        <f>IF(COUNTIF(Material_Detail!$DE:$DE,$A6)&gt;0,IF(ISNUMBER(SEARCH("[済]",INDEX(Material_Detail!$D:$DC,MATCH($A6,Material_Detail!$DE:$DE,0)+1,28))),0,IFERROR(INDEX(Material_Detail!$D:$DC,MATCH($A6,Material_Detail!$DE:$DE,0),28),0)),SUMIFS(T_Shipments[Confirmed_Qty],T_Shipments[Part Name],$A6,T_Shipments[Effective_Week],28))</f>
        <v/>
      </c>
      <c r="AD6">
        <f>IF(COUNTIF(Material_Detail!$DE:$DE,$A6)&gt;0,IF(ISNUMBER(SEARCH("[済]",INDEX(Material_Detail!$D:$DC,MATCH($A6,Material_Detail!$DE:$DE,0)+1,29))),0,IFERROR(INDEX(Material_Detail!$D:$DC,MATCH($A6,Material_Detail!$DE:$DE,0),29),0)),SUMIFS(T_Shipments[Confirmed_Qty],T_Shipments[Part Name],$A6,T_Shipments[Effective_Week],29))</f>
        <v/>
      </c>
      <c r="AE6">
        <f>IF(COUNTIF(Material_Detail!$DE:$DE,$A6)&gt;0,IF(ISNUMBER(SEARCH("[済]",INDEX(Material_Detail!$D:$DC,MATCH($A6,Material_Detail!$DE:$DE,0)+1,30))),0,IFERROR(INDEX(Material_Detail!$D:$DC,MATCH($A6,Material_Detail!$DE:$DE,0),30),0)),SUMIFS(T_Shipments[Confirmed_Qty],T_Shipments[Part Name],$A6,T_Shipments[Effective_Week],30))</f>
        <v/>
      </c>
      <c r="AF6">
        <f>IF(COUNTIF(Material_Detail!$DE:$DE,$A6)&gt;0,IF(ISNUMBER(SEARCH("[済]",INDEX(Material_Detail!$D:$DC,MATCH($A6,Material_Detail!$DE:$DE,0)+1,31))),0,IFERROR(INDEX(Material_Detail!$D:$DC,MATCH($A6,Material_Detail!$DE:$DE,0),31),0)),SUMIFS(T_Shipments[Confirmed_Qty],T_Shipments[Part Name],$A6,T_Shipments[Effective_Week],31))</f>
        <v/>
      </c>
      <c r="AG6">
        <f>IF(COUNTIF(Material_Detail!$DE:$DE,$A6)&gt;0,IF(ISNUMBER(SEARCH("[済]",INDEX(Material_Detail!$D:$DC,MATCH($A6,Material_Detail!$DE:$DE,0)+1,32))),0,IFERROR(INDEX(Material_Detail!$D:$DC,MATCH($A6,Material_Detail!$DE:$DE,0),32),0)),SUMIFS(T_Shipments[Confirmed_Qty],T_Shipments[Part Name],$A6,T_Shipments[Effective_Week],32))</f>
        <v/>
      </c>
      <c r="AH6">
        <f>IF(COUNTIF(Material_Detail!$DE:$DE,$A6)&gt;0,IF(ISNUMBER(SEARCH("[済]",INDEX(Material_Detail!$D:$DC,MATCH($A6,Material_Detail!$DE:$DE,0)+1,33))),0,IFERROR(INDEX(Material_Detail!$D:$DC,MATCH($A6,Material_Detail!$DE:$DE,0),33),0)),SUMIFS(T_Shipments[Confirmed_Qty],T_Shipments[Part Name],$A6,T_Shipments[Effective_Week],33))</f>
        <v/>
      </c>
      <c r="AI6">
        <f>IF(COUNTIF(Material_Detail!$DE:$DE,$A6)&gt;0,IF(ISNUMBER(SEARCH("[済]",INDEX(Material_Detail!$D:$DC,MATCH($A6,Material_Detail!$DE:$DE,0)+1,34))),0,IFERROR(INDEX(Material_Detail!$D:$DC,MATCH($A6,Material_Detail!$DE:$DE,0),34),0)),SUMIFS(T_Shipments[Confirmed_Qty],T_Shipments[Part Name],$A6,T_Shipments[Effective_Week],34))</f>
        <v/>
      </c>
      <c r="AJ6">
        <f>IF(COUNTIF(Material_Detail!$DE:$DE,$A6)&gt;0,IF(ISNUMBER(SEARCH("[済]",INDEX(Material_Detail!$D:$DC,MATCH($A6,Material_Detail!$DE:$DE,0)+1,35))),0,IFERROR(INDEX(Material_Detail!$D:$DC,MATCH($A6,Material_Detail!$DE:$DE,0),35),0)),SUMIFS(T_Shipments[Confirmed_Qty],T_Shipments[Part Name],$A6,T_Shipments[Effective_Week],35))</f>
        <v/>
      </c>
      <c r="AK6">
        <f>IF(COUNTIF(Material_Detail!$DE:$DE,$A6)&gt;0,IF(ISNUMBER(SEARCH("[済]",INDEX(Material_Detail!$D:$DC,MATCH($A6,Material_Detail!$DE:$DE,0)+1,36))),0,IFERROR(INDEX(Material_Detail!$D:$DC,MATCH($A6,Material_Detail!$DE:$DE,0),36),0)),SUMIFS(T_Shipments[Confirmed_Qty],T_Shipments[Part Name],$A6,T_Shipments[Effective_Week],36))</f>
        <v/>
      </c>
      <c r="AL6">
        <f>IF(COUNTIF(Material_Detail!$DE:$DE,$A6)&gt;0,IF(ISNUMBER(SEARCH("[済]",INDEX(Material_Detail!$D:$DC,MATCH($A6,Material_Detail!$DE:$DE,0)+1,37))),0,IFERROR(INDEX(Material_Detail!$D:$DC,MATCH($A6,Material_Detail!$DE:$DE,0),37),0)),SUMIFS(T_Shipments[Confirmed_Qty],T_Shipments[Part Name],$A6,T_Shipments[Effective_Week],37))</f>
        <v/>
      </c>
      <c r="AM6">
        <f>IF(COUNTIF(Material_Detail!$DE:$DE,$A6)&gt;0,IF(ISNUMBER(SEARCH("[済]",INDEX(Material_Detail!$D:$DC,MATCH($A6,Material_Detail!$DE:$DE,0)+1,38))),0,IFERROR(INDEX(Material_Detail!$D:$DC,MATCH($A6,Material_Detail!$DE:$DE,0),38),0)),SUMIFS(T_Shipments[Confirmed_Qty],T_Shipments[Part Name],$A6,T_Shipments[Effective_Week],38))</f>
        <v/>
      </c>
      <c r="AN6">
        <f>IF(COUNTIF(Material_Detail!$DE:$DE,$A6)&gt;0,IF(ISNUMBER(SEARCH("[済]",INDEX(Material_Detail!$D:$DC,MATCH($A6,Material_Detail!$DE:$DE,0)+1,39))),0,IFERROR(INDEX(Material_Detail!$D:$DC,MATCH($A6,Material_Detail!$DE:$DE,0),39),0)),SUMIFS(T_Shipments[Confirmed_Qty],T_Shipments[Part Name],$A6,T_Shipments[Effective_Week],39))</f>
        <v/>
      </c>
      <c r="AO6">
        <f>IF(COUNTIF(Material_Detail!$DE:$DE,$A6)&gt;0,IF(ISNUMBER(SEARCH("[済]",INDEX(Material_Detail!$D:$DC,MATCH($A6,Material_Detail!$DE:$DE,0)+1,40))),0,IFERROR(INDEX(Material_Detail!$D:$DC,MATCH($A6,Material_Detail!$DE:$DE,0),40),0)),SUMIFS(T_Shipments[Confirmed_Qty],T_Shipments[Part Name],$A6,T_Shipments[Effective_Week],40))</f>
        <v/>
      </c>
      <c r="AP6">
        <f>IF(COUNTIF(Material_Detail!$DE:$DE,$A6)&gt;0,IF(ISNUMBER(SEARCH("[済]",INDEX(Material_Detail!$D:$DC,MATCH($A6,Material_Detail!$DE:$DE,0)+1,41))),0,IFERROR(INDEX(Material_Detail!$D:$DC,MATCH($A6,Material_Detail!$DE:$DE,0),41),0)),SUMIFS(T_Shipments[Confirmed_Qty],T_Shipments[Part Name],$A6,T_Shipments[Effective_Week],41))</f>
        <v/>
      </c>
      <c r="AQ6">
        <f>IF(COUNTIF(Material_Detail!$DE:$DE,$A6)&gt;0,IF(ISNUMBER(SEARCH("[済]",INDEX(Material_Detail!$D:$DC,MATCH($A6,Material_Detail!$DE:$DE,0)+1,42))),0,IFERROR(INDEX(Material_Detail!$D:$DC,MATCH($A6,Material_Detail!$DE:$DE,0),42),0)),SUMIFS(T_Shipments[Confirmed_Qty],T_Shipments[Part Name],$A6,T_Shipments[Effective_Week],42))</f>
        <v/>
      </c>
      <c r="AR6">
        <f>IF(COUNTIF(Material_Detail!$DE:$DE,$A6)&gt;0,IF(ISNUMBER(SEARCH("[済]",INDEX(Material_Detail!$D:$DC,MATCH($A6,Material_Detail!$DE:$DE,0)+1,43))),0,IFERROR(INDEX(Material_Detail!$D:$DC,MATCH($A6,Material_Detail!$DE:$DE,0),43),0)),SUMIFS(T_Shipments[Confirmed_Qty],T_Shipments[Part Name],$A6,T_Shipments[Effective_Week],43))</f>
        <v/>
      </c>
      <c r="AS6">
        <f>IF(COUNTIF(Material_Detail!$DE:$DE,$A6)&gt;0,IF(ISNUMBER(SEARCH("[済]",INDEX(Material_Detail!$D:$DC,MATCH($A6,Material_Detail!$DE:$DE,0)+1,44))),0,IFERROR(INDEX(Material_Detail!$D:$DC,MATCH($A6,Material_Detail!$DE:$DE,0),44),0)),SUMIFS(T_Shipments[Confirmed_Qty],T_Shipments[Part Name],$A6,T_Shipments[Effective_Week],44))</f>
        <v/>
      </c>
      <c r="AT6">
        <f>IF(COUNTIF(Material_Detail!$DE:$DE,$A6)&gt;0,IF(ISNUMBER(SEARCH("[済]",INDEX(Material_Detail!$D:$DC,MATCH($A6,Material_Detail!$DE:$DE,0)+1,45))),0,IFERROR(INDEX(Material_Detail!$D:$DC,MATCH($A6,Material_Detail!$DE:$DE,0),45),0)),SUMIFS(T_Shipments[Confirmed_Qty],T_Shipments[Part Name],$A6,T_Shipments[Effective_Week],45))</f>
        <v/>
      </c>
      <c r="AU6">
        <f>IF(COUNTIF(Material_Detail!$DE:$DE,$A6)&gt;0,IF(ISNUMBER(SEARCH("[済]",INDEX(Material_Detail!$D:$DC,MATCH($A6,Material_Detail!$DE:$DE,0)+1,46))),0,IFERROR(INDEX(Material_Detail!$D:$DC,MATCH($A6,Material_Detail!$DE:$DE,0),46),0)),SUMIFS(T_Shipments[Confirmed_Qty],T_Shipments[Part Name],$A6,T_Shipments[Effective_Week],46))</f>
        <v/>
      </c>
      <c r="AV6">
        <f>IF(COUNTIF(Material_Detail!$DE:$DE,$A6)&gt;0,IF(ISNUMBER(SEARCH("[済]",INDEX(Material_Detail!$D:$DC,MATCH($A6,Material_Detail!$DE:$DE,0)+1,47))),0,IFERROR(INDEX(Material_Detail!$D:$DC,MATCH($A6,Material_Detail!$DE:$DE,0),47),0)),SUMIFS(T_Shipments[Confirmed_Qty],T_Shipments[Part Name],$A6,T_Shipments[Effective_Week],47))</f>
        <v/>
      </c>
      <c r="AW6">
        <f>IF(COUNTIF(Material_Detail!$DE:$DE,$A6)&gt;0,IF(ISNUMBER(SEARCH("[済]",INDEX(Material_Detail!$D:$DC,MATCH($A6,Material_Detail!$DE:$DE,0)+1,48))),0,IFERROR(INDEX(Material_Detail!$D:$DC,MATCH($A6,Material_Detail!$DE:$DE,0),48),0)),SUMIFS(T_Shipments[Confirmed_Qty],T_Shipments[Part Name],$A6,T_Shipments[Effective_Week],48))</f>
        <v/>
      </c>
      <c r="AX6">
        <f>IF(COUNTIF(Material_Detail!$DE:$DE,$A6)&gt;0,IF(ISNUMBER(SEARCH("[済]",INDEX(Material_Detail!$D:$DC,MATCH($A6,Material_Detail!$DE:$DE,0)+1,49))),0,IFERROR(INDEX(Material_Detail!$D:$DC,MATCH($A6,Material_Detail!$DE:$DE,0),49),0)),SUMIFS(T_Shipments[Confirmed_Qty],T_Shipments[Part Name],$A6,T_Shipments[Effective_Week],49))</f>
        <v/>
      </c>
      <c r="AY6">
        <f>IF(COUNTIF(Material_Detail!$DE:$DE,$A6)&gt;0,IF(ISNUMBER(SEARCH("[済]",INDEX(Material_Detail!$D:$DC,MATCH($A6,Material_Detail!$DE:$DE,0)+1,50))),0,IFERROR(INDEX(Material_Detail!$D:$DC,MATCH($A6,Material_Detail!$DE:$DE,0),50),0)),SUMIFS(T_Shipments[Confirmed_Qty],T_Shipments[Part Name],$A6,T_Shipments[Effective_Week],50))</f>
        <v/>
      </c>
      <c r="AZ6">
        <f>IF(COUNTIF(Material_Detail!$DE:$DE,$A6)&gt;0,IF(ISNUMBER(SEARCH("[済]",INDEX(Material_Detail!$D:$DC,MATCH($A6,Material_Detail!$DE:$DE,0)+1,51))),0,IFERROR(INDEX(Material_Detail!$D:$DC,MATCH($A6,Material_Detail!$DE:$DE,0),51),0)),SUMIFS(T_Shipments[Confirmed_Qty],T_Shipments[Part Name],$A6,T_Shipments[Effective_Week],51))</f>
        <v/>
      </c>
      <c r="BA6">
        <f>IF(COUNTIF(Material_Detail!$DE:$DE,$A6)&gt;0,IF(ISNUMBER(SEARCH("[済]",INDEX(Material_Detail!$D:$DC,MATCH($A6,Material_Detail!$DE:$DE,0)+1,52))),0,IFERROR(INDEX(Material_Detail!$D:$DC,MATCH($A6,Material_Detail!$DE:$DE,0),52),0)),SUMIFS(T_Shipments[Confirmed_Qty],T_Shipments[Part Name],$A6,T_Shipments[Effective_Week],52))</f>
        <v/>
      </c>
      <c r="BB6">
        <f>IF(COUNTIF(Material_Detail!$DE:$DE,$A6)&gt;0,IF(ISNUMBER(SEARCH("[済]",INDEX(Material_Detail!$D:$DC,MATCH($A6,Material_Detail!$DE:$DE,0)+1,53))),0,IFERROR(INDEX(Material_Detail!$D:$DC,MATCH($A6,Material_Detail!$DE:$DE,0),53),0)),SUMIFS(T_Shipments[Confirmed_Qty],T_Shipments[Part Name],$A6,T_Shipments[Effective_Week],53))</f>
        <v/>
      </c>
      <c r="BC6">
        <f>IF(COUNTIF(Material_Detail!$DE:$DE,$A6)&gt;0,IF(ISNUMBER(SEARCH("[済]",INDEX(Material_Detail!$D:$DC,MATCH($A6,Material_Detail!$DE:$DE,0)+1,54))),0,IFERROR(INDEX(Material_Detail!$D:$DC,MATCH($A6,Material_Detail!$DE:$DE,0),54),0)),SUMIFS(T_Shipments[Confirmed_Qty],T_Shipments[Part Name],$A6,T_Shipments[Effective_Week],54))</f>
        <v/>
      </c>
      <c r="BD6">
        <f>IF(COUNTIF(Material_Detail!$DE:$DE,$A6)&gt;0,IF(ISNUMBER(SEARCH("[済]",INDEX(Material_Detail!$D:$DC,MATCH($A6,Material_Detail!$DE:$DE,0)+1,55))),0,IFERROR(INDEX(Material_Detail!$D:$DC,MATCH($A6,Material_Detail!$DE:$DE,0),55),0)),SUMIFS(T_Shipments[Confirmed_Qty],T_Shipments[Part Name],$A6,T_Shipments[Effective_Week],55))</f>
        <v/>
      </c>
      <c r="BE6">
        <f>IF(COUNTIF(Material_Detail!$DE:$DE,$A6)&gt;0,IF(ISNUMBER(SEARCH("[済]",INDEX(Material_Detail!$D:$DC,MATCH($A6,Material_Detail!$DE:$DE,0)+1,56))),0,IFERROR(INDEX(Material_Detail!$D:$DC,MATCH($A6,Material_Detail!$DE:$DE,0),56),0)),SUMIFS(T_Shipments[Confirmed_Qty],T_Shipments[Part Name],$A6,T_Shipments[Effective_Week],56))</f>
        <v/>
      </c>
      <c r="BF6">
        <f>IF(COUNTIF(Material_Detail!$DE:$DE,$A6)&gt;0,IF(ISNUMBER(SEARCH("[済]",INDEX(Material_Detail!$D:$DC,MATCH($A6,Material_Detail!$DE:$DE,0)+1,57))),0,IFERROR(INDEX(Material_Detail!$D:$DC,MATCH($A6,Material_Detail!$DE:$DE,0),57),0)),SUMIFS(T_Shipments[Confirmed_Qty],T_Shipments[Part Name],$A6,T_Shipments[Effective_Week],57))</f>
        <v/>
      </c>
      <c r="BG6">
        <f>IF(COUNTIF(Material_Detail!$DE:$DE,$A6)&gt;0,IF(ISNUMBER(SEARCH("[済]",INDEX(Material_Detail!$D:$DC,MATCH($A6,Material_Detail!$DE:$DE,0)+1,58))),0,IFERROR(INDEX(Material_Detail!$D:$DC,MATCH($A6,Material_Detail!$DE:$DE,0),58),0)),SUMIFS(T_Shipments[Confirmed_Qty],T_Shipments[Part Name],$A6,T_Shipments[Effective_Week],58))</f>
        <v/>
      </c>
      <c r="BH6">
        <f>IF(COUNTIF(Material_Detail!$DE:$DE,$A6)&gt;0,IF(ISNUMBER(SEARCH("[済]",INDEX(Material_Detail!$D:$DC,MATCH($A6,Material_Detail!$DE:$DE,0)+1,59))),0,IFERROR(INDEX(Material_Detail!$D:$DC,MATCH($A6,Material_Detail!$DE:$DE,0),59),0)),SUMIFS(T_Shipments[Confirmed_Qty],T_Shipments[Part Name],$A6,T_Shipments[Effective_Week],59))</f>
        <v/>
      </c>
      <c r="BI6">
        <f>IF(COUNTIF(Material_Detail!$DE:$DE,$A6)&gt;0,IF(ISNUMBER(SEARCH("[済]",INDEX(Material_Detail!$D:$DC,MATCH($A6,Material_Detail!$DE:$DE,0)+1,60))),0,IFERROR(INDEX(Material_Detail!$D:$DC,MATCH($A6,Material_Detail!$DE:$DE,0),60),0)),SUMIFS(T_Shipments[Confirmed_Qty],T_Shipments[Part Name],$A6,T_Shipments[Effective_Week],60))</f>
        <v/>
      </c>
      <c r="BJ6">
        <f>IF(COUNTIF(Material_Detail!$DE:$DE,$A6)&gt;0,IF(ISNUMBER(SEARCH("[済]",INDEX(Material_Detail!$D:$DC,MATCH($A6,Material_Detail!$DE:$DE,0)+1,61))),0,IFERROR(INDEX(Material_Detail!$D:$DC,MATCH($A6,Material_Detail!$DE:$DE,0),61),0)),SUMIFS(T_Shipments[Confirmed_Qty],T_Shipments[Part Name],$A6,T_Shipments[Effective_Week],61))</f>
        <v/>
      </c>
      <c r="BK6">
        <f>IF(COUNTIF(Material_Detail!$DE:$DE,$A6)&gt;0,IF(ISNUMBER(SEARCH("[済]",INDEX(Material_Detail!$D:$DC,MATCH($A6,Material_Detail!$DE:$DE,0)+1,62))),0,IFERROR(INDEX(Material_Detail!$D:$DC,MATCH($A6,Material_Detail!$DE:$DE,0),62),0)),SUMIFS(T_Shipments[Confirmed_Qty],T_Shipments[Part Name],$A6,T_Shipments[Effective_Week],62))</f>
        <v/>
      </c>
      <c r="BL6">
        <f>IF(COUNTIF(Material_Detail!$DE:$DE,$A6)&gt;0,IF(ISNUMBER(SEARCH("[済]",INDEX(Material_Detail!$D:$DC,MATCH($A6,Material_Detail!$DE:$DE,0)+1,63))),0,IFERROR(INDEX(Material_Detail!$D:$DC,MATCH($A6,Material_Detail!$DE:$DE,0),63),0)),SUMIFS(T_Shipments[Confirmed_Qty],T_Shipments[Part Name],$A6,T_Shipments[Effective_Week],63))</f>
        <v/>
      </c>
      <c r="BM6">
        <f>IF(COUNTIF(Material_Detail!$DE:$DE,$A6)&gt;0,IF(ISNUMBER(SEARCH("[済]",INDEX(Material_Detail!$D:$DC,MATCH($A6,Material_Detail!$DE:$DE,0)+1,64))),0,IFERROR(INDEX(Material_Detail!$D:$DC,MATCH($A6,Material_Detail!$DE:$DE,0),64),0)),SUMIFS(T_Shipments[Confirmed_Qty],T_Shipments[Part Name],$A6,T_Shipments[Effective_Week],64))</f>
        <v/>
      </c>
      <c r="BN6">
        <f>IF(COUNTIF(Material_Detail!$DE:$DE,$A6)&gt;0,IF(ISNUMBER(SEARCH("[済]",INDEX(Material_Detail!$D:$DC,MATCH($A6,Material_Detail!$DE:$DE,0)+1,65))),0,IFERROR(INDEX(Material_Detail!$D:$DC,MATCH($A6,Material_Detail!$DE:$DE,0),65),0)),SUMIFS(T_Shipments[Confirmed_Qty],T_Shipments[Part Name],$A6,T_Shipments[Effective_Week],65))</f>
        <v/>
      </c>
      <c r="BO6">
        <f>IF(COUNTIF(Material_Detail!$DE:$DE,$A6)&gt;0,IF(ISNUMBER(SEARCH("[済]",INDEX(Material_Detail!$D:$DC,MATCH($A6,Material_Detail!$DE:$DE,0)+1,66))),0,IFERROR(INDEX(Material_Detail!$D:$DC,MATCH($A6,Material_Detail!$DE:$DE,0),66),0)),SUMIFS(T_Shipments[Confirmed_Qty],T_Shipments[Part Name],$A6,T_Shipments[Effective_Week],66))</f>
        <v/>
      </c>
      <c r="BP6">
        <f>IF(COUNTIF(Material_Detail!$DE:$DE,$A6)&gt;0,IF(ISNUMBER(SEARCH("[済]",INDEX(Material_Detail!$D:$DC,MATCH($A6,Material_Detail!$DE:$DE,0)+1,67))),0,IFERROR(INDEX(Material_Detail!$D:$DC,MATCH($A6,Material_Detail!$DE:$DE,0),67),0)),SUMIFS(T_Shipments[Confirmed_Qty],T_Shipments[Part Name],$A6,T_Shipments[Effective_Week],67))</f>
        <v/>
      </c>
      <c r="BQ6">
        <f>IF(COUNTIF(Material_Detail!$DE:$DE,$A6)&gt;0,IF(ISNUMBER(SEARCH("[済]",INDEX(Material_Detail!$D:$DC,MATCH($A6,Material_Detail!$DE:$DE,0)+1,68))),0,IFERROR(INDEX(Material_Detail!$D:$DC,MATCH($A6,Material_Detail!$DE:$DE,0),68),0)),SUMIFS(T_Shipments[Confirmed_Qty],T_Shipments[Part Name],$A6,T_Shipments[Effective_Week],68))</f>
        <v/>
      </c>
      <c r="BR6">
        <f>IF(COUNTIF(Material_Detail!$DE:$DE,$A6)&gt;0,IF(ISNUMBER(SEARCH("[済]",INDEX(Material_Detail!$D:$DC,MATCH($A6,Material_Detail!$DE:$DE,0)+1,69))),0,IFERROR(INDEX(Material_Detail!$D:$DC,MATCH($A6,Material_Detail!$DE:$DE,0),69),0)),SUMIFS(T_Shipments[Confirmed_Qty],T_Shipments[Part Name],$A6,T_Shipments[Effective_Week],69))</f>
        <v/>
      </c>
      <c r="BS6">
        <f>IF(COUNTIF(Material_Detail!$DE:$DE,$A6)&gt;0,IF(ISNUMBER(SEARCH("[済]",INDEX(Material_Detail!$D:$DC,MATCH($A6,Material_Detail!$DE:$DE,0)+1,70))),0,IFERROR(INDEX(Material_Detail!$D:$DC,MATCH($A6,Material_Detail!$DE:$DE,0),70),0)),SUMIFS(T_Shipments[Confirmed_Qty],T_Shipments[Part Name],$A6,T_Shipments[Effective_Week],70))</f>
        <v/>
      </c>
      <c r="BT6">
        <f>IF(COUNTIF(Material_Detail!$DE:$DE,$A6)&gt;0,IF(ISNUMBER(SEARCH("[済]",INDEX(Material_Detail!$D:$DC,MATCH($A6,Material_Detail!$DE:$DE,0)+1,71))),0,IFERROR(INDEX(Material_Detail!$D:$DC,MATCH($A6,Material_Detail!$DE:$DE,0),71),0)),SUMIFS(T_Shipments[Confirmed_Qty],T_Shipments[Part Name],$A6,T_Shipments[Effective_Week],71))</f>
        <v/>
      </c>
      <c r="BU6">
        <f>IF(COUNTIF(Material_Detail!$DE:$DE,$A6)&gt;0,IF(ISNUMBER(SEARCH("[済]",INDEX(Material_Detail!$D:$DC,MATCH($A6,Material_Detail!$DE:$DE,0)+1,72))),0,IFERROR(INDEX(Material_Detail!$D:$DC,MATCH($A6,Material_Detail!$DE:$DE,0),72),0)),SUMIFS(T_Shipments[Confirmed_Qty],T_Shipments[Part Name],$A6,T_Shipments[Effective_Week],72))</f>
        <v/>
      </c>
      <c r="BV6">
        <f>IF(COUNTIF(Material_Detail!$DE:$DE,$A6)&gt;0,IF(ISNUMBER(SEARCH("[済]",INDEX(Material_Detail!$D:$DC,MATCH($A6,Material_Detail!$DE:$DE,0)+1,73))),0,IFERROR(INDEX(Material_Detail!$D:$DC,MATCH($A6,Material_Detail!$DE:$DE,0),73),0)),SUMIFS(T_Shipments[Confirmed_Qty],T_Shipments[Part Name],$A6,T_Shipments[Effective_Week],73))</f>
        <v/>
      </c>
      <c r="BW6">
        <f>IF(COUNTIF(Material_Detail!$DE:$DE,$A6)&gt;0,IF(ISNUMBER(SEARCH("[済]",INDEX(Material_Detail!$D:$DC,MATCH($A6,Material_Detail!$DE:$DE,0)+1,74))),0,IFERROR(INDEX(Material_Detail!$D:$DC,MATCH($A6,Material_Detail!$DE:$DE,0),74),0)),SUMIFS(T_Shipments[Confirmed_Qty],T_Shipments[Part Name],$A6,T_Shipments[Effective_Week],74))</f>
        <v/>
      </c>
      <c r="BX6">
        <f>IF(COUNTIF(Material_Detail!$DE:$DE,$A6)&gt;0,IF(ISNUMBER(SEARCH("[済]",INDEX(Material_Detail!$D:$DC,MATCH($A6,Material_Detail!$DE:$DE,0)+1,75))),0,IFERROR(INDEX(Material_Detail!$D:$DC,MATCH($A6,Material_Detail!$DE:$DE,0),75),0)),SUMIFS(T_Shipments[Confirmed_Qty],T_Shipments[Part Name],$A6,T_Shipments[Effective_Week],75))</f>
        <v/>
      </c>
      <c r="BY6">
        <f>IF(COUNTIF(Material_Detail!$DE:$DE,$A6)&gt;0,IF(ISNUMBER(SEARCH("[済]",INDEX(Material_Detail!$D:$DC,MATCH($A6,Material_Detail!$DE:$DE,0)+1,76))),0,IFERROR(INDEX(Material_Detail!$D:$DC,MATCH($A6,Material_Detail!$DE:$DE,0),76),0)),SUMIFS(T_Shipments[Confirmed_Qty],T_Shipments[Part Name],$A6,T_Shipments[Effective_Week],76))</f>
        <v/>
      </c>
      <c r="BZ6">
        <f>IF(COUNTIF(Material_Detail!$DE:$DE,$A6)&gt;0,IF(ISNUMBER(SEARCH("[済]",INDEX(Material_Detail!$D:$DC,MATCH($A6,Material_Detail!$DE:$DE,0)+1,77))),0,IFERROR(INDEX(Material_Detail!$D:$DC,MATCH($A6,Material_Detail!$DE:$DE,0),77),0)),SUMIFS(T_Shipments[Confirmed_Qty],T_Shipments[Part Name],$A6,T_Shipments[Effective_Week],77))</f>
        <v/>
      </c>
      <c r="CA6">
        <f>IF(COUNTIF(Material_Detail!$DE:$DE,$A6)&gt;0,IF(ISNUMBER(SEARCH("[済]",INDEX(Material_Detail!$D:$DC,MATCH($A6,Material_Detail!$DE:$DE,0)+1,78))),0,IFERROR(INDEX(Material_Detail!$D:$DC,MATCH($A6,Material_Detail!$DE:$DE,0),78),0)),SUMIFS(T_Shipments[Confirmed_Qty],T_Shipments[Part Name],$A6,T_Shipments[Effective_Week],78))</f>
        <v/>
      </c>
      <c r="CB6">
        <f>IF(COUNTIF(Material_Detail!$DE:$DE,$A6)&gt;0,IF(ISNUMBER(SEARCH("[済]",INDEX(Material_Detail!$D:$DC,MATCH($A6,Material_Detail!$DE:$DE,0)+1,79))),0,IFERROR(INDEX(Material_Detail!$D:$DC,MATCH($A6,Material_Detail!$DE:$DE,0),79),0)),SUMIFS(T_Shipments[Confirmed_Qty],T_Shipments[Part Name],$A6,T_Shipments[Effective_Week],79))</f>
        <v/>
      </c>
      <c r="CC6">
        <f>IF(COUNTIF(Material_Detail!$DE:$DE,$A6)&gt;0,IF(ISNUMBER(SEARCH("[済]",INDEX(Material_Detail!$D:$DC,MATCH($A6,Material_Detail!$DE:$DE,0)+1,80))),0,IFERROR(INDEX(Material_Detail!$D:$DC,MATCH($A6,Material_Detail!$DE:$DE,0),80),0)),SUMIFS(T_Shipments[Confirmed_Qty],T_Shipments[Part Name],$A6,T_Shipments[Effective_Week],80))</f>
        <v/>
      </c>
      <c r="CD6">
        <f>IF(COUNTIF(Material_Detail!$DE:$DE,$A6)&gt;0,IF(ISNUMBER(SEARCH("[済]",INDEX(Material_Detail!$D:$DC,MATCH($A6,Material_Detail!$DE:$DE,0)+1,81))),0,IFERROR(INDEX(Material_Detail!$D:$DC,MATCH($A6,Material_Detail!$DE:$DE,0),81),0)),SUMIFS(T_Shipments[Confirmed_Qty],T_Shipments[Part Name],$A6,T_Shipments[Effective_Week],81))</f>
        <v/>
      </c>
      <c r="CE6">
        <f>IF(COUNTIF(Material_Detail!$DE:$DE,$A6)&gt;0,IF(ISNUMBER(SEARCH("[済]",INDEX(Material_Detail!$D:$DC,MATCH($A6,Material_Detail!$DE:$DE,0)+1,82))),0,IFERROR(INDEX(Material_Detail!$D:$DC,MATCH($A6,Material_Detail!$DE:$DE,0),82),0)),SUMIFS(T_Shipments[Confirmed_Qty],T_Shipments[Part Name],$A6,T_Shipments[Effective_Week],82))</f>
        <v/>
      </c>
      <c r="CF6">
        <f>IF(COUNTIF(Material_Detail!$DE:$DE,$A6)&gt;0,IF(ISNUMBER(SEARCH("[済]",INDEX(Material_Detail!$D:$DC,MATCH($A6,Material_Detail!$DE:$DE,0)+1,83))),0,IFERROR(INDEX(Material_Detail!$D:$DC,MATCH($A6,Material_Detail!$DE:$DE,0),83),0)),SUMIFS(T_Shipments[Confirmed_Qty],T_Shipments[Part Name],$A6,T_Shipments[Effective_Week],83))</f>
        <v/>
      </c>
      <c r="CG6">
        <f>IF(COUNTIF(Material_Detail!$DE:$DE,$A6)&gt;0,IF(ISNUMBER(SEARCH("[済]",INDEX(Material_Detail!$D:$DC,MATCH($A6,Material_Detail!$DE:$DE,0)+1,84))),0,IFERROR(INDEX(Material_Detail!$D:$DC,MATCH($A6,Material_Detail!$DE:$DE,0),84),0)),SUMIFS(T_Shipments[Confirmed_Qty],T_Shipments[Part Name],$A6,T_Shipments[Effective_Week],84))</f>
        <v/>
      </c>
      <c r="CH6">
        <f>IF(COUNTIF(Material_Detail!$DE:$DE,$A6)&gt;0,IF(ISNUMBER(SEARCH("[済]",INDEX(Material_Detail!$D:$DC,MATCH($A6,Material_Detail!$DE:$DE,0)+1,85))),0,IFERROR(INDEX(Material_Detail!$D:$DC,MATCH($A6,Material_Detail!$DE:$DE,0),85),0)),SUMIFS(T_Shipments[Confirmed_Qty],T_Shipments[Part Name],$A6,T_Shipments[Effective_Week],85))</f>
        <v/>
      </c>
      <c r="CI6">
        <f>IF(COUNTIF(Material_Detail!$DE:$DE,$A6)&gt;0,IF(ISNUMBER(SEARCH("[済]",INDEX(Material_Detail!$D:$DC,MATCH($A6,Material_Detail!$DE:$DE,0)+1,86))),0,IFERROR(INDEX(Material_Detail!$D:$DC,MATCH($A6,Material_Detail!$DE:$DE,0),86),0)),SUMIFS(T_Shipments[Confirmed_Qty],T_Shipments[Part Name],$A6,T_Shipments[Effective_Week],86))</f>
        <v/>
      </c>
      <c r="CJ6">
        <f>IF(COUNTIF(Material_Detail!$DE:$DE,$A6)&gt;0,IF(ISNUMBER(SEARCH("[済]",INDEX(Material_Detail!$D:$DC,MATCH($A6,Material_Detail!$DE:$DE,0)+1,87))),0,IFERROR(INDEX(Material_Detail!$D:$DC,MATCH($A6,Material_Detail!$DE:$DE,0),87),0)),SUMIFS(T_Shipments[Confirmed_Qty],T_Shipments[Part Name],$A6,T_Shipments[Effective_Week],87))</f>
        <v/>
      </c>
      <c r="CK6">
        <f>IF(COUNTIF(Material_Detail!$DE:$DE,$A6)&gt;0,IF(ISNUMBER(SEARCH("[済]",INDEX(Material_Detail!$D:$DC,MATCH($A6,Material_Detail!$DE:$DE,0)+1,88))),0,IFERROR(INDEX(Material_Detail!$D:$DC,MATCH($A6,Material_Detail!$DE:$DE,0),88),0)),SUMIFS(T_Shipments[Confirmed_Qty],T_Shipments[Part Name],$A6,T_Shipments[Effective_Week],88))</f>
        <v/>
      </c>
      <c r="CL6">
        <f>IF(COUNTIF(Material_Detail!$DE:$DE,$A6)&gt;0,IF(ISNUMBER(SEARCH("[済]",INDEX(Material_Detail!$D:$DC,MATCH($A6,Material_Detail!$DE:$DE,0)+1,89))),0,IFERROR(INDEX(Material_Detail!$D:$DC,MATCH($A6,Material_Detail!$DE:$DE,0),89),0)),SUMIFS(T_Shipments[Confirmed_Qty],T_Shipments[Part Name],$A6,T_Shipments[Effective_Week],89))</f>
        <v/>
      </c>
      <c r="CM6">
        <f>IF(COUNTIF(Material_Detail!$DE:$DE,$A6)&gt;0,IF(ISNUMBER(SEARCH("[済]",INDEX(Material_Detail!$D:$DC,MATCH($A6,Material_Detail!$DE:$DE,0)+1,90))),0,IFERROR(INDEX(Material_Detail!$D:$DC,MATCH($A6,Material_Detail!$DE:$DE,0),90),0)),SUMIFS(T_Shipments[Confirmed_Qty],T_Shipments[Part Name],$A6,T_Shipments[Effective_Week],90))</f>
        <v/>
      </c>
      <c r="CN6">
        <f>IF(COUNTIF(Material_Detail!$DE:$DE,$A6)&gt;0,IF(ISNUMBER(SEARCH("[済]",INDEX(Material_Detail!$D:$DC,MATCH($A6,Material_Detail!$DE:$DE,0)+1,91))),0,IFERROR(INDEX(Material_Detail!$D:$DC,MATCH($A6,Material_Detail!$DE:$DE,0),91),0)),SUMIFS(T_Shipments[Confirmed_Qty],T_Shipments[Part Name],$A6,T_Shipments[Effective_Week],91))</f>
        <v/>
      </c>
      <c r="CO6">
        <f>IF(COUNTIF(Material_Detail!$DE:$DE,$A6)&gt;0,IF(ISNUMBER(SEARCH("[済]",INDEX(Material_Detail!$D:$DC,MATCH($A6,Material_Detail!$DE:$DE,0)+1,92))),0,IFERROR(INDEX(Material_Detail!$D:$DC,MATCH($A6,Material_Detail!$DE:$DE,0),92),0)),SUMIFS(T_Shipments[Confirmed_Qty],T_Shipments[Part Name],$A6,T_Shipments[Effective_Week],92))</f>
        <v/>
      </c>
      <c r="CP6">
        <f>IF(COUNTIF(Material_Detail!$DE:$DE,$A6)&gt;0,IF(ISNUMBER(SEARCH("[済]",INDEX(Material_Detail!$D:$DC,MATCH($A6,Material_Detail!$DE:$DE,0)+1,93))),0,IFERROR(INDEX(Material_Detail!$D:$DC,MATCH($A6,Material_Detail!$DE:$DE,0),93),0)),SUMIFS(T_Shipments[Confirmed_Qty],T_Shipments[Part Name],$A6,T_Shipments[Effective_Week],93))</f>
        <v/>
      </c>
      <c r="CQ6">
        <f>IF(COUNTIF(Material_Detail!$DE:$DE,$A6)&gt;0,IF(ISNUMBER(SEARCH("[済]",INDEX(Material_Detail!$D:$DC,MATCH($A6,Material_Detail!$DE:$DE,0)+1,94))),0,IFERROR(INDEX(Material_Detail!$D:$DC,MATCH($A6,Material_Detail!$DE:$DE,0),94),0)),SUMIFS(T_Shipments[Confirmed_Qty],T_Shipments[Part Name],$A6,T_Shipments[Effective_Week],94))</f>
        <v/>
      </c>
      <c r="CR6">
        <f>IF(COUNTIF(Material_Detail!$DE:$DE,$A6)&gt;0,IF(ISNUMBER(SEARCH("[済]",INDEX(Material_Detail!$D:$DC,MATCH($A6,Material_Detail!$DE:$DE,0)+1,95))),0,IFERROR(INDEX(Material_Detail!$D:$DC,MATCH($A6,Material_Detail!$DE:$DE,0),95),0)),SUMIFS(T_Shipments[Confirmed_Qty],T_Shipments[Part Name],$A6,T_Shipments[Effective_Week],95))</f>
        <v/>
      </c>
      <c r="CS6">
        <f>IF(COUNTIF(Material_Detail!$DE:$DE,$A6)&gt;0,IF(ISNUMBER(SEARCH("[済]",INDEX(Material_Detail!$D:$DC,MATCH($A6,Material_Detail!$DE:$DE,0)+1,96))),0,IFERROR(INDEX(Material_Detail!$D:$DC,MATCH($A6,Material_Detail!$DE:$DE,0),96),0)),SUMIFS(T_Shipments[Confirmed_Qty],T_Shipments[Part Name],$A6,T_Shipments[Effective_Week],96))</f>
        <v/>
      </c>
      <c r="CT6">
        <f>IF(COUNTIF(Material_Detail!$DE:$DE,$A6)&gt;0,IF(ISNUMBER(SEARCH("[済]",INDEX(Material_Detail!$D:$DC,MATCH($A6,Material_Detail!$DE:$DE,0)+1,97))),0,IFERROR(INDEX(Material_Detail!$D:$DC,MATCH($A6,Material_Detail!$DE:$DE,0),97),0)),SUMIFS(T_Shipments[Confirmed_Qty],T_Shipments[Part Name],$A6,T_Shipments[Effective_Week],97))</f>
        <v/>
      </c>
      <c r="CU6">
        <f>IF(COUNTIF(Material_Detail!$DE:$DE,$A6)&gt;0,IF(ISNUMBER(SEARCH("[済]",INDEX(Material_Detail!$D:$DC,MATCH($A6,Material_Detail!$DE:$DE,0)+1,98))),0,IFERROR(INDEX(Material_Detail!$D:$DC,MATCH($A6,Material_Detail!$DE:$DE,0),98),0)),SUMIFS(T_Shipments[Confirmed_Qty],T_Shipments[Part Name],$A6,T_Shipments[Effective_Week],98))</f>
        <v/>
      </c>
      <c r="CV6">
        <f>IF(COUNTIF(Material_Detail!$DE:$DE,$A6)&gt;0,IF(ISNUMBER(SEARCH("[済]",INDEX(Material_Detail!$D:$DC,MATCH($A6,Material_Detail!$DE:$DE,0)+1,99))),0,IFERROR(INDEX(Material_Detail!$D:$DC,MATCH($A6,Material_Detail!$DE:$DE,0),99),0)),SUMIFS(T_Shipments[Confirmed_Qty],T_Shipments[Part Name],$A6,T_Shipments[Effective_Week],99))</f>
        <v/>
      </c>
      <c r="CW6">
        <f>IF(COUNTIF(Material_Detail!$DE:$DE,$A6)&gt;0,IF(ISNUMBER(SEARCH("[済]",INDEX(Material_Detail!$D:$DC,MATCH($A6,Material_Detail!$DE:$DE,0)+1,100))),0,IFERROR(INDEX(Material_Detail!$D:$DC,MATCH($A6,Material_Detail!$DE:$DE,0),100),0)),SUMIFS(T_Shipments[Confirmed_Qty],T_Shipments[Part Name],$A6,T_Shipments[Effective_Week],100))</f>
        <v/>
      </c>
      <c r="CX6">
        <f>IF(COUNTIF(Material_Detail!$DE:$DE,$A6)&gt;0,IF(ISNUMBER(SEARCH("[済]",INDEX(Material_Detail!$D:$DC,MATCH($A6,Material_Detail!$DE:$DE,0)+1,101))),0,IFERROR(INDEX(Material_Detail!$D:$DC,MATCH($A6,Material_Detail!$DE:$DE,0),101),0)),SUMIFS(T_Shipments[Confirmed_Qty],T_Shipments[Part Name],$A6,T_Shipments[Effective_Week],101))</f>
        <v/>
      </c>
      <c r="CY6">
        <f>IF(COUNTIF(Material_Detail!$DE:$DE,$A6)&gt;0,IF(ISNUMBER(SEARCH("[済]",INDEX(Material_Detail!$D:$DC,MATCH($A6,Material_Detail!$DE:$DE,0)+1,102))),0,IFERROR(INDEX(Material_Detail!$D:$DC,MATCH($A6,Material_Detail!$DE:$DE,0),102),0)),SUMIFS(T_Shipments[Confirmed_Qty],T_Shipments[Part Name],$A6,T_Shipments[Effective_Week],102))</f>
        <v/>
      </c>
      <c r="CZ6">
        <f>IF(COUNTIF(Material_Detail!$DE:$DE,$A6)&gt;0,IF(ISNUMBER(SEARCH("[済]",INDEX(Material_Detail!$D:$DC,MATCH($A6,Material_Detail!$DE:$DE,0)+1,103))),0,IFERROR(INDEX(Material_Detail!$D:$DC,MATCH($A6,Material_Detail!$DE:$DE,0),103),0)),SUMIFS(T_Shipments[Confirmed_Qty],T_Shipments[Part Name],$A6,T_Shipments[Effective_Week],103))</f>
        <v/>
      </c>
      <c r="DA6">
        <f>IF(COUNTIF(Material_Detail!$DE:$DE,$A6)&gt;0,IF(ISNUMBER(SEARCH("[済]",INDEX(Material_Detail!$D:$DC,MATCH($A6,Material_Detail!$DE:$DE,0)+1,104))),0,IFERROR(INDEX(Material_Detail!$D:$DC,MATCH($A6,Material_Detail!$DE:$DE,0),104),0)),SUMIFS(T_Shipments[Confirmed_Qty],T_Shipments[Part Name],$A6,T_Shipments[Effective_Week],104))</f>
        <v/>
      </c>
    </row>
    <row r="7">
      <c r="A7" t="inlineStr">
        <is>
          <t>OJN</t>
        </is>
      </c>
      <c r="B7">
        <f>IF(COUNTIF(Material_Detail!$DE:$DE,$A7)&gt;0,IF(ISNUMBER(SEARCH("[済]",INDEX(Material_Detail!$D:$DC,MATCH($A7,Material_Detail!$DE:$DE,0)+1,1))),0,IFERROR(INDEX(Material_Detail!$D:$DC,MATCH($A7,Material_Detail!$DE:$DE,0),1),0)),SUMIFS(T_Shipments[Confirmed_Qty],T_Shipments[Part Name],$A7,T_Shipments[Effective_Week],1))</f>
        <v/>
      </c>
      <c r="C7">
        <f>IF(COUNTIF(Material_Detail!$DE:$DE,$A7)&gt;0,IF(ISNUMBER(SEARCH("[済]",INDEX(Material_Detail!$D:$DC,MATCH($A7,Material_Detail!$DE:$DE,0)+1,2))),0,IFERROR(INDEX(Material_Detail!$D:$DC,MATCH($A7,Material_Detail!$DE:$DE,0),2),0)),SUMIFS(T_Shipments[Confirmed_Qty],T_Shipments[Part Name],$A7,T_Shipments[Effective_Week],2))</f>
        <v/>
      </c>
      <c r="D7">
        <f>IF(COUNTIF(Material_Detail!$DE:$DE,$A7)&gt;0,IF(ISNUMBER(SEARCH("[済]",INDEX(Material_Detail!$D:$DC,MATCH($A7,Material_Detail!$DE:$DE,0)+1,3))),0,IFERROR(INDEX(Material_Detail!$D:$DC,MATCH($A7,Material_Detail!$DE:$DE,0),3),0)),SUMIFS(T_Shipments[Confirmed_Qty],T_Shipments[Part Name],$A7,T_Shipments[Effective_Week],3))</f>
        <v/>
      </c>
      <c r="E7">
        <f>IF(COUNTIF(Material_Detail!$DE:$DE,$A7)&gt;0,IF(ISNUMBER(SEARCH("[済]",INDEX(Material_Detail!$D:$DC,MATCH($A7,Material_Detail!$DE:$DE,0)+1,4))),0,IFERROR(INDEX(Material_Detail!$D:$DC,MATCH($A7,Material_Detail!$DE:$DE,0),4),0)),SUMIFS(T_Shipments[Confirmed_Qty],T_Shipments[Part Name],$A7,T_Shipments[Effective_Week],4))</f>
        <v/>
      </c>
      <c r="F7">
        <f>IF(COUNTIF(Material_Detail!$DE:$DE,$A7)&gt;0,IF(ISNUMBER(SEARCH("[済]",INDEX(Material_Detail!$D:$DC,MATCH($A7,Material_Detail!$DE:$DE,0)+1,5))),0,IFERROR(INDEX(Material_Detail!$D:$DC,MATCH($A7,Material_Detail!$DE:$DE,0),5),0)),SUMIFS(T_Shipments[Confirmed_Qty],T_Shipments[Part Name],$A7,T_Shipments[Effective_Week],5))</f>
        <v/>
      </c>
      <c r="G7">
        <f>IF(COUNTIF(Material_Detail!$DE:$DE,$A7)&gt;0,IF(ISNUMBER(SEARCH("[済]",INDEX(Material_Detail!$D:$DC,MATCH($A7,Material_Detail!$DE:$DE,0)+1,6))),0,IFERROR(INDEX(Material_Detail!$D:$DC,MATCH($A7,Material_Detail!$DE:$DE,0),6),0)),SUMIFS(T_Shipments[Confirmed_Qty],T_Shipments[Part Name],$A7,T_Shipments[Effective_Week],6))</f>
        <v/>
      </c>
      <c r="H7">
        <f>IF(COUNTIF(Material_Detail!$DE:$DE,$A7)&gt;0,IF(ISNUMBER(SEARCH("[済]",INDEX(Material_Detail!$D:$DC,MATCH($A7,Material_Detail!$DE:$DE,0)+1,7))),0,IFERROR(INDEX(Material_Detail!$D:$DC,MATCH($A7,Material_Detail!$DE:$DE,0),7),0)),SUMIFS(T_Shipments[Confirmed_Qty],T_Shipments[Part Name],$A7,T_Shipments[Effective_Week],7))</f>
        <v/>
      </c>
      <c r="I7">
        <f>IF(COUNTIF(Material_Detail!$DE:$DE,$A7)&gt;0,IF(ISNUMBER(SEARCH("[済]",INDEX(Material_Detail!$D:$DC,MATCH($A7,Material_Detail!$DE:$DE,0)+1,8))),0,IFERROR(INDEX(Material_Detail!$D:$DC,MATCH($A7,Material_Detail!$DE:$DE,0),8),0)),SUMIFS(T_Shipments[Confirmed_Qty],T_Shipments[Part Name],$A7,T_Shipments[Effective_Week],8))</f>
        <v/>
      </c>
      <c r="J7">
        <f>IF(COUNTIF(Material_Detail!$DE:$DE,$A7)&gt;0,IF(ISNUMBER(SEARCH("[済]",INDEX(Material_Detail!$D:$DC,MATCH($A7,Material_Detail!$DE:$DE,0)+1,9))),0,IFERROR(INDEX(Material_Detail!$D:$DC,MATCH($A7,Material_Detail!$DE:$DE,0),9),0)),SUMIFS(T_Shipments[Confirmed_Qty],T_Shipments[Part Name],$A7,T_Shipments[Effective_Week],9))</f>
        <v/>
      </c>
      <c r="K7">
        <f>IF(COUNTIF(Material_Detail!$DE:$DE,$A7)&gt;0,IF(ISNUMBER(SEARCH("[済]",INDEX(Material_Detail!$D:$DC,MATCH($A7,Material_Detail!$DE:$DE,0)+1,10))),0,IFERROR(INDEX(Material_Detail!$D:$DC,MATCH($A7,Material_Detail!$DE:$DE,0),10),0)),SUMIFS(T_Shipments[Confirmed_Qty],T_Shipments[Part Name],$A7,T_Shipments[Effective_Week],10))</f>
        <v/>
      </c>
      <c r="L7">
        <f>IF(COUNTIF(Material_Detail!$DE:$DE,$A7)&gt;0,IF(ISNUMBER(SEARCH("[済]",INDEX(Material_Detail!$D:$DC,MATCH($A7,Material_Detail!$DE:$DE,0)+1,11))),0,IFERROR(INDEX(Material_Detail!$D:$DC,MATCH($A7,Material_Detail!$DE:$DE,0),11),0)),SUMIFS(T_Shipments[Confirmed_Qty],T_Shipments[Part Name],$A7,T_Shipments[Effective_Week],11))</f>
        <v/>
      </c>
      <c r="M7">
        <f>IF(COUNTIF(Material_Detail!$DE:$DE,$A7)&gt;0,IF(ISNUMBER(SEARCH("[済]",INDEX(Material_Detail!$D:$DC,MATCH($A7,Material_Detail!$DE:$DE,0)+1,12))),0,IFERROR(INDEX(Material_Detail!$D:$DC,MATCH($A7,Material_Detail!$DE:$DE,0),12),0)),SUMIFS(T_Shipments[Confirmed_Qty],T_Shipments[Part Name],$A7,T_Shipments[Effective_Week],12))</f>
        <v/>
      </c>
      <c r="N7">
        <f>IF(COUNTIF(Material_Detail!$DE:$DE,$A7)&gt;0,IF(ISNUMBER(SEARCH("[済]",INDEX(Material_Detail!$D:$DC,MATCH($A7,Material_Detail!$DE:$DE,0)+1,13))),0,IFERROR(INDEX(Material_Detail!$D:$DC,MATCH($A7,Material_Detail!$DE:$DE,0),13),0)),SUMIFS(T_Shipments[Confirmed_Qty],T_Shipments[Part Name],$A7,T_Shipments[Effective_Week],13))</f>
        <v/>
      </c>
      <c r="O7">
        <f>IF(COUNTIF(Material_Detail!$DE:$DE,$A7)&gt;0,IF(ISNUMBER(SEARCH("[済]",INDEX(Material_Detail!$D:$DC,MATCH($A7,Material_Detail!$DE:$DE,0)+1,14))),0,IFERROR(INDEX(Material_Detail!$D:$DC,MATCH($A7,Material_Detail!$DE:$DE,0),14),0)),SUMIFS(T_Shipments[Confirmed_Qty],T_Shipments[Part Name],$A7,T_Shipments[Effective_Week],14))</f>
        <v/>
      </c>
      <c r="P7">
        <f>IF(COUNTIF(Material_Detail!$DE:$DE,$A7)&gt;0,IF(ISNUMBER(SEARCH("[済]",INDEX(Material_Detail!$D:$DC,MATCH($A7,Material_Detail!$DE:$DE,0)+1,15))),0,IFERROR(INDEX(Material_Detail!$D:$DC,MATCH($A7,Material_Detail!$DE:$DE,0),15),0)),SUMIFS(T_Shipments[Confirmed_Qty],T_Shipments[Part Name],$A7,T_Shipments[Effective_Week],15))</f>
        <v/>
      </c>
      <c r="Q7">
        <f>IF(COUNTIF(Material_Detail!$DE:$DE,$A7)&gt;0,IF(ISNUMBER(SEARCH("[済]",INDEX(Material_Detail!$D:$DC,MATCH($A7,Material_Detail!$DE:$DE,0)+1,16))),0,IFERROR(INDEX(Material_Detail!$D:$DC,MATCH($A7,Material_Detail!$DE:$DE,0),16),0)),SUMIFS(T_Shipments[Confirmed_Qty],T_Shipments[Part Name],$A7,T_Shipments[Effective_Week],16))</f>
        <v/>
      </c>
      <c r="R7">
        <f>IF(COUNTIF(Material_Detail!$DE:$DE,$A7)&gt;0,IF(ISNUMBER(SEARCH("[済]",INDEX(Material_Detail!$D:$DC,MATCH($A7,Material_Detail!$DE:$DE,0)+1,17))),0,IFERROR(INDEX(Material_Detail!$D:$DC,MATCH($A7,Material_Detail!$DE:$DE,0),17),0)),SUMIFS(T_Shipments[Confirmed_Qty],T_Shipments[Part Name],$A7,T_Shipments[Effective_Week],17))</f>
        <v/>
      </c>
      <c r="S7">
        <f>IF(COUNTIF(Material_Detail!$DE:$DE,$A7)&gt;0,IF(ISNUMBER(SEARCH("[済]",INDEX(Material_Detail!$D:$DC,MATCH($A7,Material_Detail!$DE:$DE,0)+1,18))),0,IFERROR(INDEX(Material_Detail!$D:$DC,MATCH($A7,Material_Detail!$DE:$DE,0),18),0)),SUMIFS(T_Shipments[Confirmed_Qty],T_Shipments[Part Name],$A7,T_Shipments[Effective_Week],18))</f>
        <v/>
      </c>
      <c r="T7">
        <f>IF(COUNTIF(Material_Detail!$DE:$DE,$A7)&gt;0,IF(ISNUMBER(SEARCH("[済]",INDEX(Material_Detail!$D:$DC,MATCH($A7,Material_Detail!$DE:$DE,0)+1,19))),0,IFERROR(INDEX(Material_Detail!$D:$DC,MATCH($A7,Material_Detail!$DE:$DE,0),19),0)),SUMIFS(T_Shipments[Confirmed_Qty],T_Shipments[Part Name],$A7,T_Shipments[Effective_Week],19))</f>
        <v/>
      </c>
      <c r="U7">
        <f>IF(COUNTIF(Material_Detail!$DE:$DE,$A7)&gt;0,IF(ISNUMBER(SEARCH("[済]",INDEX(Material_Detail!$D:$DC,MATCH($A7,Material_Detail!$DE:$DE,0)+1,20))),0,IFERROR(INDEX(Material_Detail!$D:$DC,MATCH($A7,Material_Detail!$DE:$DE,0),20),0)),SUMIFS(T_Shipments[Confirmed_Qty],T_Shipments[Part Name],$A7,T_Shipments[Effective_Week],20))</f>
        <v/>
      </c>
      <c r="V7">
        <f>IF(COUNTIF(Material_Detail!$DE:$DE,$A7)&gt;0,IF(ISNUMBER(SEARCH("[済]",INDEX(Material_Detail!$D:$DC,MATCH($A7,Material_Detail!$DE:$DE,0)+1,21))),0,IFERROR(INDEX(Material_Detail!$D:$DC,MATCH($A7,Material_Detail!$DE:$DE,0),21),0)),SUMIFS(T_Shipments[Confirmed_Qty],T_Shipments[Part Name],$A7,T_Shipments[Effective_Week],21))</f>
        <v/>
      </c>
      <c r="W7">
        <f>IF(COUNTIF(Material_Detail!$DE:$DE,$A7)&gt;0,IF(ISNUMBER(SEARCH("[済]",INDEX(Material_Detail!$D:$DC,MATCH($A7,Material_Detail!$DE:$DE,0)+1,22))),0,IFERROR(INDEX(Material_Detail!$D:$DC,MATCH($A7,Material_Detail!$DE:$DE,0),22),0)),SUMIFS(T_Shipments[Confirmed_Qty],T_Shipments[Part Name],$A7,T_Shipments[Effective_Week],22))</f>
        <v/>
      </c>
      <c r="X7">
        <f>IF(COUNTIF(Material_Detail!$DE:$DE,$A7)&gt;0,IF(ISNUMBER(SEARCH("[済]",INDEX(Material_Detail!$D:$DC,MATCH($A7,Material_Detail!$DE:$DE,0)+1,23))),0,IFERROR(INDEX(Material_Detail!$D:$DC,MATCH($A7,Material_Detail!$DE:$DE,0),23),0)),SUMIFS(T_Shipments[Confirmed_Qty],T_Shipments[Part Name],$A7,T_Shipments[Effective_Week],23))</f>
        <v/>
      </c>
      <c r="Y7">
        <f>IF(COUNTIF(Material_Detail!$DE:$DE,$A7)&gt;0,IF(ISNUMBER(SEARCH("[済]",INDEX(Material_Detail!$D:$DC,MATCH($A7,Material_Detail!$DE:$DE,0)+1,24))),0,IFERROR(INDEX(Material_Detail!$D:$DC,MATCH($A7,Material_Detail!$DE:$DE,0),24),0)),SUMIFS(T_Shipments[Confirmed_Qty],T_Shipments[Part Name],$A7,T_Shipments[Effective_Week],24))</f>
        <v/>
      </c>
      <c r="Z7">
        <f>IF(COUNTIF(Material_Detail!$DE:$DE,$A7)&gt;0,IF(ISNUMBER(SEARCH("[済]",INDEX(Material_Detail!$D:$DC,MATCH($A7,Material_Detail!$DE:$DE,0)+1,25))),0,IFERROR(INDEX(Material_Detail!$D:$DC,MATCH($A7,Material_Detail!$DE:$DE,0),25),0)),SUMIFS(T_Shipments[Confirmed_Qty],T_Shipments[Part Name],$A7,T_Shipments[Effective_Week],25))</f>
        <v/>
      </c>
      <c r="AA7">
        <f>IF(COUNTIF(Material_Detail!$DE:$DE,$A7)&gt;0,IF(ISNUMBER(SEARCH("[済]",INDEX(Material_Detail!$D:$DC,MATCH($A7,Material_Detail!$DE:$DE,0)+1,26))),0,IFERROR(INDEX(Material_Detail!$D:$DC,MATCH($A7,Material_Detail!$DE:$DE,0),26),0)),SUMIFS(T_Shipments[Confirmed_Qty],T_Shipments[Part Name],$A7,T_Shipments[Effective_Week],26))</f>
        <v/>
      </c>
      <c r="AB7">
        <f>IF(COUNTIF(Material_Detail!$DE:$DE,$A7)&gt;0,IF(ISNUMBER(SEARCH("[済]",INDEX(Material_Detail!$D:$DC,MATCH($A7,Material_Detail!$DE:$DE,0)+1,27))),0,IFERROR(INDEX(Material_Detail!$D:$DC,MATCH($A7,Material_Detail!$DE:$DE,0),27),0)),SUMIFS(T_Shipments[Confirmed_Qty],T_Shipments[Part Name],$A7,T_Shipments[Effective_Week],27))</f>
        <v/>
      </c>
      <c r="AC7">
        <f>IF(COUNTIF(Material_Detail!$DE:$DE,$A7)&gt;0,IF(ISNUMBER(SEARCH("[済]",INDEX(Material_Detail!$D:$DC,MATCH($A7,Material_Detail!$DE:$DE,0)+1,28))),0,IFERROR(INDEX(Material_Detail!$D:$DC,MATCH($A7,Material_Detail!$DE:$DE,0),28),0)),SUMIFS(T_Shipments[Confirmed_Qty],T_Shipments[Part Name],$A7,T_Shipments[Effective_Week],28))</f>
        <v/>
      </c>
      <c r="AD7">
        <f>IF(COUNTIF(Material_Detail!$DE:$DE,$A7)&gt;0,IF(ISNUMBER(SEARCH("[済]",INDEX(Material_Detail!$D:$DC,MATCH($A7,Material_Detail!$DE:$DE,0)+1,29))),0,IFERROR(INDEX(Material_Detail!$D:$DC,MATCH($A7,Material_Detail!$DE:$DE,0),29),0)),SUMIFS(T_Shipments[Confirmed_Qty],T_Shipments[Part Name],$A7,T_Shipments[Effective_Week],29))</f>
        <v/>
      </c>
      <c r="AE7">
        <f>IF(COUNTIF(Material_Detail!$DE:$DE,$A7)&gt;0,IF(ISNUMBER(SEARCH("[済]",INDEX(Material_Detail!$D:$DC,MATCH($A7,Material_Detail!$DE:$DE,0)+1,30))),0,IFERROR(INDEX(Material_Detail!$D:$DC,MATCH($A7,Material_Detail!$DE:$DE,0),30),0)),SUMIFS(T_Shipments[Confirmed_Qty],T_Shipments[Part Name],$A7,T_Shipments[Effective_Week],30))</f>
        <v/>
      </c>
      <c r="AF7">
        <f>IF(COUNTIF(Material_Detail!$DE:$DE,$A7)&gt;0,IF(ISNUMBER(SEARCH("[済]",INDEX(Material_Detail!$D:$DC,MATCH($A7,Material_Detail!$DE:$DE,0)+1,31))),0,IFERROR(INDEX(Material_Detail!$D:$DC,MATCH($A7,Material_Detail!$DE:$DE,0),31),0)),SUMIFS(T_Shipments[Confirmed_Qty],T_Shipments[Part Name],$A7,T_Shipments[Effective_Week],31))</f>
        <v/>
      </c>
      <c r="AG7">
        <f>IF(COUNTIF(Material_Detail!$DE:$DE,$A7)&gt;0,IF(ISNUMBER(SEARCH("[済]",INDEX(Material_Detail!$D:$DC,MATCH($A7,Material_Detail!$DE:$DE,0)+1,32))),0,IFERROR(INDEX(Material_Detail!$D:$DC,MATCH($A7,Material_Detail!$DE:$DE,0),32),0)),SUMIFS(T_Shipments[Confirmed_Qty],T_Shipments[Part Name],$A7,T_Shipments[Effective_Week],32))</f>
        <v/>
      </c>
      <c r="AH7">
        <f>IF(COUNTIF(Material_Detail!$DE:$DE,$A7)&gt;0,IF(ISNUMBER(SEARCH("[済]",INDEX(Material_Detail!$D:$DC,MATCH($A7,Material_Detail!$DE:$DE,0)+1,33))),0,IFERROR(INDEX(Material_Detail!$D:$DC,MATCH($A7,Material_Detail!$DE:$DE,0),33),0)),SUMIFS(T_Shipments[Confirmed_Qty],T_Shipments[Part Name],$A7,T_Shipments[Effective_Week],33))</f>
        <v/>
      </c>
      <c r="AI7">
        <f>IF(COUNTIF(Material_Detail!$DE:$DE,$A7)&gt;0,IF(ISNUMBER(SEARCH("[済]",INDEX(Material_Detail!$D:$DC,MATCH($A7,Material_Detail!$DE:$DE,0)+1,34))),0,IFERROR(INDEX(Material_Detail!$D:$DC,MATCH($A7,Material_Detail!$DE:$DE,0),34),0)),SUMIFS(T_Shipments[Confirmed_Qty],T_Shipments[Part Name],$A7,T_Shipments[Effective_Week],34))</f>
        <v/>
      </c>
      <c r="AJ7">
        <f>IF(COUNTIF(Material_Detail!$DE:$DE,$A7)&gt;0,IF(ISNUMBER(SEARCH("[済]",INDEX(Material_Detail!$D:$DC,MATCH($A7,Material_Detail!$DE:$DE,0)+1,35))),0,IFERROR(INDEX(Material_Detail!$D:$DC,MATCH($A7,Material_Detail!$DE:$DE,0),35),0)),SUMIFS(T_Shipments[Confirmed_Qty],T_Shipments[Part Name],$A7,T_Shipments[Effective_Week],35))</f>
        <v/>
      </c>
      <c r="AK7">
        <f>IF(COUNTIF(Material_Detail!$DE:$DE,$A7)&gt;0,IF(ISNUMBER(SEARCH("[済]",INDEX(Material_Detail!$D:$DC,MATCH($A7,Material_Detail!$DE:$DE,0)+1,36))),0,IFERROR(INDEX(Material_Detail!$D:$DC,MATCH($A7,Material_Detail!$DE:$DE,0),36),0)),SUMIFS(T_Shipments[Confirmed_Qty],T_Shipments[Part Name],$A7,T_Shipments[Effective_Week],36))</f>
        <v/>
      </c>
      <c r="AL7">
        <f>IF(COUNTIF(Material_Detail!$DE:$DE,$A7)&gt;0,IF(ISNUMBER(SEARCH("[済]",INDEX(Material_Detail!$D:$DC,MATCH($A7,Material_Detail!$DE:$DE,0)+1,37))),0,IFERROR(INDEX(Material_Detail!$D:$DC,MATCH($A7,Material_Detail!$DE:$DE,0),37),0)),SUMIFS(T_Shipments[Confirmed_Qty],T_Shipments[Part Name],$A7,T_Shipments[Effective_Week],37))</f>
        <v/>
      </c>
      <c r="AM7">
        <f>IF(COUNTIF(Material_Detail!$DE:$DE,$A7)&gt;0,IF(ISNUMBER(SEARCH("[済]",INDEX(Material_Detail!$D:$DC,MATCH($A7,Material_Detail!$DE:$DE,0)+1,38))),0,IFERROR(INDEX(Material_Detail!$D:$DC,MATCH($A7,Material_Detail!$DE:$DE,0),38),0)),SUMIFS(T_Shipments[Confirmed_Qty],T_Shipments[Part Name],$A7,T_Shipments[Effective_Week],38))</f>
        <v/>
      </c>
      <c r="AN7">
        <f>IF(COUNTIF(Material_Detail!$DE:$DE,$A7)&gt;0,IF(ISNUMBER(SEARCH("[済]",INDEX(Material_Detail!$D:$DC,MATCH($A7,Material_Detail!$DE:$DE,0)+1,39))),0,IFERROR(INDEX(Material_Detail!$D:$DC,MATCH($A7,Material_Detail!$DE:$DE,0),39),0)),SUMIFS(T_Shipments[Confirmed_Qty],T_Shipments[Part Name],$A7,T_Shipments[Effective_Week],39))</f>
        <v/>
      </c>
      <c r="AO7">
        <f>IF(COUNTIF(Material_Detail!$DE:$DE,$A7)&gt;0,IF(ISNUMBER(SEARCH("[済]",INDEX(Material_Detail!$D:$DC,MATCH($A7,Material_Detail!$DE:$DE,0)+1,40))),0,IFERROR(INDEX(Material_Detail!$D:$DC,MATCH($A7,Material_Detail!$DE:$DE,0),40),0)),SUMIFS(T_Shipments[Confirmed_Qty],T_Shipments[Part Name],$A7,T_Shipments[Effective_Week],40))</f>
        <v/>
      </c>
      <c r="AP7">
        <f>IF(COUNTIF(Material_Detail!$DE:$DE,$A7)&gt;0,IF(ISNUMBER(SEARCH("[済]",INDEX(Material_Detail!$D:$DC,MATCH($A7,Material_Detail!$DE:$DE,0)+1,41))),0,IFERROR(INDEX(Material_Detail!$D:$DC,MATCH($A7,Material_Detail!$DE:$DE,0),41),0)),SUMIFS(T_Shipments[Confirmed_Qty],T_Shipments[Part Name],$A7,T_Shipments[Effective_Week],41))</f>
        <v/>
      </c>
      <c r="AQ7">
        <f>IF(COUNTIF(Material_Detail!$DE:$DE,$A7)&gt;0,IF(ISNUMBER(SEARCH("[済]",INDEX(Material_Detail!$D:$DC,MATCH($A7,Material_Detail!$DE:$DE,0)+1,42))),0,IFERROR(INDEX(Material_Detail!$D:$DC,MATCH($A7,Material_Detail!$DE:$DE,0),42),0)),SUMIFS(T_Shipments[Confirmed_Qty],T_Shipments[Part Name],$A7,T_Shipments[Effective_Week],42))</f>
        <v/>
      </c>
      <c r="AR7">
        <f>IF(COUNTIF(Material_Detail!$DE:$DE,$A7)&gt;0,IF(ISNUMBER(SEARCH("[済]",INDEX(Material_Detail!$D:$DC,MATCH($A7,Material_Detail!$DE:$DE,0)+1,43))),0,IFERROR(INDEX(Material_Detail!$D:$DC,MATCH($A7,Material_Detail!$DE:$DE,0),43),0)),SUMIFS(T_Shipments[Confirmed_Qty],T_Shipments[Part Name],$A7,T_Shipments[Effective_Week],43))</f>
        <v/>
      </c>
      <c r="AS7">
        <f>IF(COUNTIF(Material_Detail!$DE:$DE,$A7)&gt;0,IF(ISNUMBER(SEARCH("[済]",INDEX(Material_Detail!$D:$DC,MATCH($A7,Material_Detail!$DE:$DE,0)+1,44))),0,IFERROR(INDEX(Material_Detail!$D:$DC,MATCH($A7,Material_Detail!$DE:$DE,0),44),0)),SUMIFS(T_Shipments[Confirmed_Qty],T_Shipments[Part Name],$A7,T_Shipments[Effective_Week],44))</f>
        <v/>
      </c>
      <c r="AT7">
        <f>IF(COUNTIF(Material_Detail!$DE:$DE,$A7)&gt;0,IF(ISNUMBER(SEARCH("[済]",INDEX(Material_Detail!$D:$DC,MATCH($A7,Material_Detail!$DE:$DE,0)+1,45))),0,IFERROR(INDEX(Material_Detail!$D:$DC,MATCH($A7,Material_Detail!$DE:$DE,0),45),0)),SUMIFS(T_Shipments[Confirmed_Qty],T_Shipments[Part Name],$A7,T_Shipments[Effective_Week],45))</f>
        <v/>
      </c>
      <c r="AU7">
        <f>IF(COUNTIF(Material_Detail!$DE:$DE,$A7)&gt;0,IF(ISNUMBER(SEARCH("[済]",INDEX(Material_Detail!$D:$DC,MATCH($A7,Material_Detail!$DE:$DE,0)+1,46))),0,IFERROR(INDEX(Material_Detail!$D:$DC,MATCH($A7,Material_Detail!$DE:$DE,0),46),0)),SUMIFS(T_Shipments[Confirmed_Qty],T_Shipments[Part Name],$A7,T_Shipments[Effective_Week],46))</f>
        <v/>
      </c>
      <c r="AV7">
        <f>IF(COUNTIF(Material_Detail!$DE:$DE,$A7)&gt;0,IF(ISNUMBER(SEARCH("[済]",INDEX(Material_Detail!$D:$DC,MATCH($A7,Material_Detail!$DE:$DE,0)+1,47))),0,IFERROR(INDEX(Material_Detail!$D:$DC,MATCH($A7,Material_Detail!$DE:$DE,0),47),0)),SUMIFS(T_Shipments[Confirmed_Qty],T_Shipments[Part Name],$A7,T_Shipments[Effective_Week],47))</f>
        <v/>
      </c>
      <c r="AW7">
        <f>IF(COUNTIF(Material_Detail!$DE:$DE,$A7)&gt;0,IF(ISNUMBER(SEARCH("[済]",INDEX(Material_Detail!$D:$DC,MATCH($A7,Material_Detail!$DE:$DE,0)+1,48))),0,IFERROR(INDEX(Material_Detail!$D:$DC,MATCH($A7,Material_Detail!$DE:$DE,0),48),0)),SUMIFS(T_Shipments[Confirmed_Qty],T_Shipments[Part Name],$A7,T_Shipments[Effective_Week],48))</f>
        <v/>
      </c>
      <c r="AX7">
        <f>IF(COUNTIF(Material_Detail!$DE:$DE,$A7)&gt;0,IF(ISNUMBER(SEARCH("[済]",INDEX(Material_Detail!$D:$DC,MATCH($A7,Material_Detail!$DE:$DE,0)+1,49))),0,IFERROR(INDEX(Material_Detail!$D:$DC,MATCH($A7,Material_Detail!$DE:$DE,0),49),0)),SUMIFS(T_Shipments[Confirmed_Qty],T_Shipments[Part Name],$A7,T_Shipments[Effective_Week],49))</f>
        <v/>
      </c>
      <c r="AY7">
        <f>IF(COUNTIF(Material_Detail!$DE:$DE,$A7)&gt;0,IF(ISNUMBER(SEARCH("[済]",INDEX(Material_Detail!$D:$DC,MATCH($A7,Material_Detail!$DE:$DE,0)+1,50))),0,IFERROR(INDEX(Material_Detail!$D:$DC,MATCH($A7,Material_Detail!$DE:$DE,0),50),0)),SUMIFS(T_Shipments[Confirmed_Qty],T_Shipments[Part Name],$A7,T_Shipments[Effective_Week],50))</f>
        <v/>
      </c>
      <c r="AZ7">
        <f>IF(COUNTIF(Material_Detail!$DE:$DE,$A7)&gt;0,IF(ISNUMBER(SEARCH("[済]",INDEX(Material_Detail!$D:$DC,MATCH($A7,Material_Detail!$DE:$DE,0)+1,51))),0,IFERROR(INDEX(Material_Detail!$D:$DC,MATCH($A7,Material_Detail!$DE:$DE,0),51),0)),SUMIFS(T_Shipments[Confirmed_Qty],T_Shipments[Part Name],$A7,T_Shipments[Effective_Week],51))</f>
        <v/>
      </c>
      <c r="BA7">
        <f>IF(COUNTIF(Material_Detail!$DE:$DE,$A7)&gt;0,IF(ISNUMBER(SEARCH("[済]",INDEX(Material_Detail!$D:$DC,MATCH($A7,Material_Detail!$DE:$DE,0)+1,52))),0,IFERROR(INDEX(Material_Detail!$D:$DC,MATCH($A7,Material_Detail!$DE:$DE,0),52),0)),SUMIFS(T_Shipments[Confirmed_Qty],T_Shipments[Part Name],$A7,T_Shipments[Effective_Week],52))</f>
        <v/>
      </c>
      <c r="BB7">
        <f>IF(COUNTIF(Material_Detail!$DE:$DE,$A7)&gt;0,IF(ISNUMBER(SEARCH("[済]",INDEX(Material_Detail!$D:$DC,MATCH($A7,Material_Detail!$DE:$DE,0)+1,53))),0,IFERROR(INDEX(Material_Detail!$D:$DC,MATCH($A7,Material_Detail!$DE:$DE,0),53),0)),SUMIFS(T_Shipments[Confirmed_Qty],T_Shipments[Part Name],$A7,T_Shipments[Effective_Week],53))</f>
        <v/>
      </c>
      <c r="BC7">
        <f>IF(COUNTIF(Material_Detail!$DE:$DE,$A7)&gt;0,IF(ISNUMBER(SEARCH("[済]",INDEX(Material_Detail!$D:$DC,MATCH($A7,Material_Detail!$DE:$DE,0)+1,54))),0,IFERROR(INDEX(Material_Detail!$D:$DC,MATCH($A7,Material_Detail!$DE:$DE,0),54),0)),SUMIFS(T_Shipments[Confirmed_Qty],T_Shipments[Part Name],$A7,T_Shipments[Effective_Week],54))</f>
        <v/>
      </c>
      <c r="BD7">
        <f>IF(COUNTIF(Material_Detail!$DE:$DE,$A7)&gt;0,IF(ISNUMBER(SEARCH("[済]",INDEX(Material_Detail!$D:$DC,MATCH($A7,Material_Detail!$DE:$DE,0)+1,55))),0,IFERROR(INDEX(Material_Detail!$D:$DC,MATCH($A7,Material_Detail!$DE:$DE,0),55),0)),SUMIFS(T_Shipments[Confirmed_Qty],T_Shipments[Part Name],$A7,T_Shipments[Effective_Week],55))</f>
        <v/>
      </c>
      <c r="BE7">
        <f>IF(COUNTIF(Material_Detail!$DE:$DE,$A7)&gt;0,IF(ISNUMBER(SEARCH("[済]",INDEX(Material_Detail!$D:$DC,MATCH($A7,Material_Detail!$DE:$DE,0)+1,56))),0,IFERROR(INDEX(Material_Detail!$D:$DC,MATCH($A7,Material_Detail!$DE:$DE,0),56),0)),SUMIFS(T_Shipments[Confirmed_Qty],T_Shipments[Part Name],$A7,T_Shipments[Effective_Week],56))</f>
        <v/>
      </c>
      <c r="BF7">
        <f>IF(COUNTIF(Material_Detail!$DE:$DE,$A7)&gt;0,IF(ISNUMBER(SEARCH("[済]",INDEX(Material_Detail!$D:$DC,MATCH($A7,Material_Detail!$DE:$DE,0)+1,57))),0,IFERROR(INDEX(Material_Detail!$D:$DC,MATCH($A7,Material_Detail!$DE:$DE,0),57),0)),SUMIFS(T_Shipments[Confirmed_Qty],T_Shipments[Part Name],$A7,T_Shipments[Effective_Week],57))</f>
        <v/>
      </c>
      <c r="BG7">
        <f>IF(COUNTIF(Material_Detail!$DE:$DE,$A7)&gt;0,IF(ISNUMBER(SEARCH("[済]",INDEX(Material_Detail!$D:$DC,MATCH($A7,Material_Detail!$DE:$DE,0)+1,58))),0,IFERROR(INDEX(Material_Detail!$D:$DC,MATCH($A7,Material_Detail!$DE:$DE,0),58),0)),SUMIFS(T_Shipments[Confirmed_Qty],T_Shipments[Part Name],$A7,T_Shipments[Effective_Week],58))</f>
        <v/>
      </c>
      <c r="BH7">
        <f>IF(COUNTIF(Material_Detail!$DE:$DE,$A7)&gt;0,IF(ISNUMBER(SEARCH("[済]",INDEX(Material_Detail!$D:$DC,MATCH($A7,Material_Detail!$DE:$DE,0)+1,59))),0,IFERROR(INDEX(Material_Detail!$D:$DC,MATCH($A7,Material_Detail!$DE:$DE,0),59),0)),SUMIFS(T_Shipments[Confirmed_Qty],T_Shipments[Part Name],$A7,T_Shipments[Effective_Week],59))</f>
        <v/>
      </c>
      <c r="BI7">
        <f>IF(COUNTIF(Material_Detail!$DE:$DE,$A7)&gt;0,IF(ISNUMBER(SEARCH("[済]",INDEX(Material_Detail!$D:$DC,MATCH($A7,Material_Detail!$DE:$DE,0)+1,60))),0,IFERROR(INDEX(Material_Detail!$D:$DC,MATCH($A7,Material_Detail!$DE:$DE,0),60),0)),SUMIFS(T_Shipments[Confirmed_Qty],T_Shipments[Part Name],$A7,T_Shipments[Effective_Week],60))</f>
        <v/>
      </c>
      <c r="BJ7">
        <f>IF(COUNTIF(Material_Detail!$DE:$DE,$A7)&gt;0,IF(ISNUMBER(SEARCH("[済]",INDEX(Material_Detail!$D:$DC,MATCH($A7,Material_Detail!$DE:$DE,0)+1,61))),0,IFERROR(INDEX(Material_Detail!$D:$DC,MATCH($A7,Material_Detail!$DE:$DE,0),61),0)),SUMIFS(T_Shipments[Confirmed_Qty],T_Shipments[Part Name],$A7,T_Shipments[Effective_Week],61))</f>
        <v/>
      </c>
      <c r="BK7">
        <f>IF(COUNTIF(Material_Detail!$DE:$DE,$A7)&gt;0,IF(ISNUMBER(SEARCH("[済]",INDEX(Material_Detail!$D:$DC,MATCH($A7,Material_Detail!$DE:$DE,0)+1,62))),0,IFERROR(INDEX(Material_Detail!$D:$DC,MATCH($A7,Material_Detail!$DE:$DE,0),62),0)),SUMIFS(T_Shipments[Confirmed_Qty],T_Shipments[Part Name],$A7,T_Shipments[Effective_Week],62))</f>
        <v/>
      </c>
      <c r="BL7">
        <f>IF(COUNTIF(Material_Detail!$DE:$DE,$A7)&gt;0,IF(ISNUMBER(SEARCH("[済]",INDEX(Material_Detail!$D:$DC,MATCH($A7,Material_Detail!$DE:$DE,0)+1,63))),0,IFERROR(INDEX(Material_Detail!$D:$DC,MATCH($A7,Material_Detail!$DE:$DE,0),63),0)),SUMIFS(T_Shipments[Confirmed_Qty],T_Shipments[Part Name],$A7,T_Shipments[Effective_Week],63))</f>
        <v/>
      </c>
      <c r="BM7">
        <f>IF(COUNTIF(Material_Detail!$DE:$DE,$A7)&gt;0,IF(ISNUMBER(SEARCH("[済]",INDEX(Material_Detail!$D:$DC,MATCH($A7,Material_Detail!$DE:$DE,0)+1,64))),0,IFERROR(INDEX(Material_Detail!$D:$DC,MATCH($A7,Material_Detail!$DE:$DE,0),64),0)),SUMIFS(T_Shipments[Confirmed_Qty],T_Shipments[Part Name],$A7,T_Shipments[Effective_Week],64))</f>
        <v/>
      </c>
      <c r="BN7">
        <f>IF(COUNTIF(Material_Detail!$DE:$DE,$A7)&gt;0,IF(ISNUMBER(SEARCH("[済]",INDEX(Material_Detail!$D:$DC,MATCH($A7,Material_Detail!$DE:$DE,0)+1,65))),0,IFERROR(INDEX(Material_Detail!$D:$DC,MATCH($A7,Material_Detail!$DE:$DE,0),65),0)),SUMIFS(T_Shipments[Confirmed_Qty],T_Shipments[Part Name],$A7,T_Shipments[Effective_Week],65))</f>
        <v/>
      </c>
      <c r="BO7">
        <f>IF(COUNTIF(Material_Detail!$DE:$DE,$A7)&gt;0,IF(ISNUMBER(SEARCH("[済]",INDEX(Material_Detail!$D:$DC,MATCH($A7,Material_Detail!$DE:$DE,0)+1,66))),0,IFERROR(INDEX(Material_Detail!$D:$DC,MATCH($A7,Material_Detail!$DE:$DE,0),66),0)),SUMIFS(T_Shipments[Confirmed_Qty],T_Shipments[Part Name],$A7,T_Shipments[Effective_Week],66))</f>
        <v/>
      </c>
      <c r="BP7">
        <f>IF(COUNTIF(Material_Detail!$DE:$DE,$A7)&gt;0,IF(ISNUMBER(SEARCH("[済]",INDEX(Material_Detail!$D:$DC,MATCH($A7,Material_Detail!$DE:$DE,0)+1,67))),0,IFERROR(INDEX(Material_Detail!$D:$DC,MATCH($A7,Material_Detail!$DE:$DE,0),67),0)),SUMIFS(T_Shipments[Confirmed_Qty],T_Shipments[Part Name],$A7,T_Shipments[Effective_Week],67))</f>
        <v/>
      </c>
      <c r="BQ7">
        <f>IF(COUNTIF(Material_Detail!$DE:$DE,$A7)&gt;0,IF(ISNUMBER(SEARCH("[済]",INDEX(Material_Detail!$D:$DC,MATCH($A7,Material_Detail!$DE:$DE,0)+1,68))),0,IFERROR(INDEX(Material_Detail!$D:$DC,MATCH($A7,Material_Detail!$DE:$DE,0),68),0)),SUMIFS(T_Shipments[Confirmed_Qty],T_Shipments[Part Name],$A7,T_Shipments[Effective_Week],68))</f>
        <v/>
      </c>
      <c r="BR7">
        <f>IF(COUNTIF(Material_Detail!$DE:$DE,$A7)&gt;0,IF(ISNUMBER(SEARCH("[済]",INDEX(Material_Detail!$D:$DC,MATCH($A7,Material_Detail!$DE:$DE,0)+1,69))),0,IFERROR(INDEX(Material_Detail!$D:$DC,MATCH($A7,Material_Detail!$DE:$DE,0),69),0)),SUMIFS(T_Shipments[Confirmed_Qty],T_Shipments[Part Name],$A7,T_Shipments[Effective_Week],69))</f>
        <v/>
      </c>
      <c r="BS7">
        <f>IF(COUNTIF(Material_Detail!$DE:$DE,$A7)&gt;0,IF(ISNUMBER(SEARCH("[済]",INDEX(Material_Detail!$D:$DC,MATCH($A7,Material_Detail!$DE:$DE,0)+1,70))),0,IFERROR(INDEX(Material_Detail!$D:$DC,MATCH($A7,Material_Detail!$DE:$DE,0),70),0)),SUMIFS(T_Shipments[Confirmed_Qty],T_Shipments[Part Name],$A7,T_Shipments[Effective_Week],70))</f>
        <v/>
      </c>
      <c r="BT7">
        <f>IF(COUNTIF(Material_Detail!$DE:$DE,$A7)&gt;0,IF(ISNUMBER(SEARCH("[済]",INDEX(Material_Detail!$D:$DC,MATCH($A7,Material_Detail!$DE:$DE,0)+1,71))),0,IFERROR(INDEX(Material_Detail!$D:$DC,MATCH($A7,Material_Detail!$DE:$DE,0),71),0)),SUMIFS(T_Shipments[Confirmed_Qty],T_Shipments[Part Name],$A7,T_Shipments[Effective_Week],71))</f>
        <v/>
      </c>
      <c r="BU7">
        <f>IF(COUNTIF(Material_Detail!$DE:$DE,$A7)&gt;0,IF(ISNUMBER(SEARCH("[済]",INDEX(Material_Detail!$D:$DC,MATCH($A7,Material_Detail!$DE:$DE,0)+1,72))),0,IFERROR(INDEX(Material_Detail!$D:$DC,MATCH($A7,Material_Detail!$DE:$DE,0),72),0)),SUMIFS(T_Shipments[Confirmed_Qty],T_Shipments[Part Name],$A7,T_Shipments[Effective_Week],72))</f>
        <v/>
      </c>
      <c r="BV7">
        <f>IF(COUNTIF(Material_Detail!$DE:$DE,$A7)&gt;0,IF(ISNUMBER(SEARCH("[済]",INDEX(Material_Detail!$D:$DC,MATCH($A7,Material_Detail!$DE:$DE,0)+1,73))),0,IFERROR(INDEX(Material_Detail!$D:$DC,MATCH($A7,Material_Detail!$DE:$DE,0),73),0)),SUMIFS(T_Shipments[Confirmed_Qty],T_Shipments[Part Name],$A7,T_Shipments[Effective_Week],73))</f>
        <v/>
      </c>
      <c r="BW7">
        <f>IF(COUNTIF(Material_Detail!$DE:$DE,$A7)&gt;0,IF(ISNUMBER(SEARCH("[済]",INDEX(Material_Detail!$D:$DC,MATCH($A7,Material_Detail!$DE:$DE,0)+1,74))),0,IFERROR(INDEX(Material_Detail!$D:$DC,MATCH($A7,Material_Detail!$DE:$DE,0),74),0)),SUMIFS(T_Shipments[Confirmed_Qty],T_Shipments[Part Name],$A7,T_Shipments[Effective_Week],74))</f>
        <v/>
      </c>
      <c r="BX7">
        <f>IF(COUNTIF(Material_Detail!$DE:$DE,$A7)&gt;0,IF(ISNUMBER(SEARCH("[済]",INDEX(Material_Detail!$D:$DC,MATCH($A7,Material_Detail!$DE:$DE,0)+1,75))),0,IFERROR(INDEX(Material_Detail!$D:$DC,MATCH($A7,Material_Detail!$DE:$DE,0),75),0)),SUMIFS(T_Shipments[Confirmed_Qty],T_Shipments[Part Name],$A7,T_Shipments[Effective_Week],75))</f>
        <v/>
      </c>
      <c r="BY7">
        <f>IF(COUNTIF(Material_Detail!$DE:$DE,$A7)&gt;0,IF(ISNUMBER(SEARCH("[済]",INDEX(Material_Detail!$D:$DC,MATCH($A7,Material_Detail!$DE:$DE,0)+1,76))),0,IFERROR(INDEX(Material_Detail!$D:$DC,MATCH($A7,Material_Detail!$DE:$DE,0),76),0)),SUMIFS(T_Shipments[Confirmed_Qty],T_Shipments[Part Name],$A7,T_Shipments[Effective_Week],76))</f>
        <v/>
      </c>
      <c r="BZ7">
        <f>IF(COUNTIF(Material_Detail!$DE:$DE,$A7)&gt;0,IF(ISNUMBER(SEARCH("[済]",INDEX(Material_Detail!$D:$DC,MATCH($A7,Material_Detail!$DE:$DE,0)+1,77))),0,IFERROR(INDEX(Material_Detail!$D:$DC,MATCH($A7,Material_Detail!$DE:$DE,0),77),0)),SUMIFS(T_Shipments[Confirmed_Qty],T_Shipments[Part Name],$A7,T_Shipments[Effective_Week],77))</f>
        <v/>
      </c>
      <c r="CA7">
        <f>IF(COUNTIF(Material_Detail!$DE:$DE,$A7)&gt;0,IF(ISNUMBER(SEARCH("[済]",INDEX(Material_Detail!$D:$DC,MATCH($A7,Material_Detail!$DE:$DE,0)+1,78))),0,IFERROR(INDEX(Material_Detail!$D:$DC,MATCH($A7,Material_Detail!$DE:$DE,0),78),0)),SUMIFS(T_Shipments[Confirmed_Qty],T_Shipments[Part Name],$A7,T_Shipments[Effective_Week],78))</f>
        <v/>
      </c>
      <c r="CB7">
        <f>IF(COUNTIF(Material_Detail!$DE:$DE,$A7)&gt;0,IF(ISNUMBER(SEARCH("[済]",INDEX(Material_Detail!$D:$DC,MATCH($A7,Material_Detail!$DE:$DE,0)+1,79))),0,IFERROR(INDEX(Material_Detail!$D:$DC,MATCH($A7,Material_Detail!$DE:$DE,0),79),0)),SUMIFS(T_Shipments[Confirmed_Qty],T_Shipments[Part Name],$A7,T_Shipments[Effective_Week],79))</f>
        <v/>
      </c>
      <c r="CC7">
        <f>IF(COUNTIF(Material_Detail!$DE:$DE,$A7)&gt;0,IF(ISNUMBER(SEARCH("[済]",INDEX(Material_Detail!$D:$DC,MATCH($A7,Material_Detail!$DE:$DE,0)+1,80))),0,IFERROR(INDEX(Material_Detail!$D:$DC,MATCH($A7,Material_Detail!$DE:$DE,0),80),0)),SUMIFS(T_Shipments[Confirmed_Qty],T_Shipments[Part Name],$A7,T_Shipments[Effective_Week],80))</f>
        <v/>
      </c>
      <c r="CD7">
        <f>IF(COUNTIF(Material_Detail!$DE:$DE,$A7)&gt;0,IF(ISNUMBER(SEARCH("[済]",INDEX(Material_Detail!$D:$DC,MATCH($A7,Material_Detail!$DE:$DE,0)+1,81))),0,IFERROR(INDEX(Material_Detail!$D:$DC,MATCH($A7,Material_Detail!$DE:$DE,0),81),0)),SUMIFS(T_Shipments[Confirmed_Qty],T_Shipments[Part Name],$A7,T_Shipments[Effective_Week],81))</f>
        <v/>
      </c>
      <c r="CE7">
        <f>IF(COUNTIF(Material_Detail!$DE:$DE,$A7)&gt;0,IF(ISNUMBER(SEARCH("[済]",INDEX(Material_Detail!$D:$DC,MATCH($A7,Material_Detail!$DE:$DE,0)+1,82))),0,IFERROR(INDEX(Material_Detail!$D:$DC,MATCH($A7,Material_Detail!$DE:$DE,0),82),0)),SUMIFS(T_Shipments[Confirmed_Qty],T_Shipments[Part Name],$A7,T_Shipments[Effective_Week],82))</f>
        <v/>
      </c>
      <c r="CF7">
        <f>IF(COUNTIF(Material_Detail!$DE:$DE,$A7)&gt;0,IF(ISNUMBER(SEARCH("[済]",INDEX(Material_Detail!$D:$DC,MATCH($A7,Material_Detail!$DE:$DE,0)+1,83))),0,IFERROR(INDEX(Material_Detail!$D:$DC,MATCH($A7,Material_Detail!$DE:$DE,0),83),0)),SUMIFS(T_Shipments[Confirmed_Qty],T_Shipments[Part Name],$A7,T_Shipments[Effective_Week],83))</f>
        <v/>
      </c>
      <c r="CG7">
        <f>IF(COUNTIF(Material_Detail!$DE:$DE,$A7)&gt;0,IF(ISNUMBER(SEARCH("[済]",INDEX(Material_Detail!$D:$DC,MATCH($A7,Material_Detail!$DE:$DE,0)+1,84))),0,IFERROR(INDEX(Material_Detail!$D:$DC,MATCH($A7,Material_Detail!$DE:$DE,0),84),0)),SUMIFS(T_Shipments[Confirmed_Qty],T_Shipments[Part Name],$A7,T_Shipments[Effective_Week],84))</f>
        <v/>
      </c>
      <c r="CH7">
        <f>IF(COUNTIF(Material_Detail!$DE:$DE,$A7)&gt;0,IF(ISNUMBER(SEARCH("[済]",INDEX(Material_Detail!$D:$DC,MATCH($A7,Material_Detail!$DE:$DE,0)+1,85))),0,IFERROR(INDEX(Material_Detail!$D:$DC,MATCH($A7,Material_Detail!$DE:$DE,0),85),0)),SUMIFS(T_Shipments[Confirmed_Qty],T_Shipments[Part Name],$A7,T_Shipments[Effective_Week],85))</f>
        <v/>
      </c>
      <c r="CI7">
        <f>IF(COUNTIF(Material_Detail!$DE:$DE,$A7)&gt;0,IF(ISNUMBER(SEARCH("[済]",INDEX(Material_Detail!$D:$DC,MATCH($A7,Material_Detail!$DE:$DE,0)+1,86))),0,IFERROR(INDEX(Material_Detail!$D:$DC,MATCH($A7,Material_Detail!$DE:$DE,0),86),0)),SUMIFS(T_Shipments[Confirmed_Qty],T_Shipments[Part Name],$A7,T_Shipments[Effective_Week],86))</f>
        <v/>
      </c>
      <c r="CJ7">
        <f>IF(COUNTIF(Material_Detail!$DE:$DE,$A7)&gt;0,IF(ISNUMBER(SEARCH("[済]",INDEX(Material_Detail!$D:$DC,MATCH($A7,Material_Detail!$DE:$DE,0)+1,87))),0,IFERROR(INDEX(Material_Detail!$D:$DC,MATCH($A7,Material_Detail!$DE:$DE,0),87),0)),SUMIFS(T_Shipments[Confirmed_Qty],T_Shipments[Part Name],$A7,T_Shipments[Effective_Week],87))</f>
        <v/>
      </c>
      <c r="CK7">
        <f>IF(COUNTIF(Material_Detail!$DE:$DE,$A7)&gt;0,IF(ISNUMBER(SEARCH("[済]",INDEX(Material_Detail!$D:$DC,MATCH($A7,Material_Detail!$DE:$DE,0)+1,88))),0,IFERROR(INDEX(Material_Detail!$D:$DC,MATCH($A7,Material_Detail!$DE:$DE,0),88),0)),SUMIFS(T_Shipments[Confirmed_Qty],T_Shipments[Part Name],$A7,T_Shipments[Effective_Week],88))</f>
        <v/>
      </c>
      <c r="CL7">
        <f>IF(COUNTIF(Material_Detail!$DE:$DE,$A7)&gt;0,IF(ISNUMBER(SEARCH("[済]",INDEX(Material_Detail!$D:$DC,MATCH($A7,Material_Detail!$DE:$DE,0)+1,89))),0,IFERROR(INDEX(Material_Detail!$D:$DC,MATCH($A7,Material_Detail!$DE:$DE,0),89),0)),SUMIFS(T_Shipments[Confirmed_Qty],T_Shipments[Part Name],$A7,T_Shipments[Effective_Week],89))</f>
        <v/>
      </c>
      <c r="CM7">
        <f>IF(COUNTIF(Material_Detail!$DE:$DE,$A7)&gt;0,IF(ISNUMBER(SEARCH("[済]",INDEX(Material_Detail!$D:$DC,MATCH($A7,Material_Detail!$DE:$DE,0)+1,90))),0,IFERROR(INDEX(Material_Detail!$D:$DC,MATCH($A7,Material_Detail!$DE:$DE,0),90),0)),SUMIFS(T_Shipments[Confirmed_Qty],T_Shipments[Part Name],$A7,T_Shipments[Effective_Week],90))</f>
        <v/>
      </c>
      <c r="CN7">
        <f>IF(COUNTIF(Material_Detail!$DE:$DE,$A7)&gt;0,IF(ISNUMBER(SEARCH("[済]",INDEX(Material_Detail!$D:$DC,MATCH($A7,Material_Detail!$DE:$DE,0)+1,91))),0,IFERROR(INDEX(Material_Detail!$D:$DC,MATCH($A7,Material_Detail!$DE:$DE,0),91),0)),SUMIFS(T_Shipments[Confirmed_Qty],T_Shipments[Part Name],$A7,T_Shipments[Effective_Week],91))</f>
        <v/>
      </c>
      <c r="CO7">
        <f>IF(COUNTIF(Material_Detail!$DE:$DE,$A7)&gt;0,IF(ISNUMBER(SEARCH("[済]",INDEX(Material_Detail!$D:$DC,MATCH($A7,Material_Detail!$DE:$DE,0)+1,92))),0,IFERROR(INDEX(Material_Detail!$D:$DC,MATCH($A7,Material_Detail!$DE:$DE,0),92),0)),SUMIFS(T_Shipments[Confirmed_Qty],T_Shipments[Part Name],$A7,T_Shipments[Effective_Week],92))</f>
        <v/>
      </c>
      <c r="CP7">
        <f>IF(COUNTIF(Material_Detail!$DE:$DE,$A7)&gt;0,IF(ISNUMBER(SEARCH("[済]",INDEX(Material_Detail!$D:$DC,MATCH($A7,Material_Detail!$DE:$DE,0)+1,93))),0,IFERROR(INDEX(Material_Detail!$D:$DC,MATCH($A7,Material_Detail!$DE:$DE,0),93),0)),SUMIFS(T_Shipments[Confirmed_Qty],T_Shipments[Part Name],$A7,T_Shipments[Effective_Week],93))</f>
        <v/>
      </c>
      <c r="CQ7">
        <f>IF(COUNTIF(Material_Detail!$DE:$DE,$A7)&gt;0,IF(ISNUMBER(SEARCH("[済]",INDEX(Material_Detail!$D:$DC,MATCH($A7,Material_Detail!$DE:$DE,0)+1,94))),0,IFERROR(INDEX(Material_Detail!$D:$DC,MATCH($A7,Material_Detail!$DE:$DE,0),94),0)),SUMIFS(T_Shipments[Confirmed_Qty],T_Shipments[Part Name],$A7,T_Shipments[Effective_Week],94))</f>
        <v/>
      </c>
      <c r="CR7">
        <f>IF(COUNTIF(Material_Detail!$DE:$DE,$A7)&gt;0,IF(ISNUMBER(SEARCH("[済]",INDEX(Material_Detail!$D:$DC,MATCH($A7,Material_Detail!$DE:$DE,0)+1,95))),0,IFERROR(INDEX(Material_Detail!$D:$DC,MATCH($A7,Material_Detail!$DE:$DE,0),95),0)),SUMIFS(T_Shipments[Confirmed_Qty],T_Shipments[Part Name],$A7,T_Shipments[Effective_Week],95))</f>
        <v/>
      </c>
      <c r="CS7">
        <f>IF(COUNTIF(Material_Detail!$DE:$DE,$A7)&gt;0,IF(ISNUMBER(SEARCH("[済]",INDEX(Material_Detail!$D:$DC,MATCH($A7,Material_Detail!$DE:$DE,0)+1,96))),0,IFERROR(INDEX(Material_Detail!$D:$DC,MATCH($A7,Material_Detail!$DE:$DE,0),96),0)),SUMIFS(T_Shipments[Confirmed_Qty],T_Shipments[Part Name],$A7,T_Shipments[Effective_Week],96))</f>
        <v/>
      </c>
      <c r="CT7">
        <f>IF(COUNTIF(Material_Detail!$DE:$DE,$A7)&gt;0,IF(ISNUMBER(SEARCH("[済]",INDEX(Material_Detail!$D:$DC,MATCH($A7,Material_Detail!$DE:$DE,0)+1,97))),0,IFERROR(INDEX(Material_Detail!$D:$DC,MATCH($A7,Material_Detail!$DE:$DE,0),97),0)),SUMIFS(T_Shipments[Confirmed_Qty],T_Shipments[Part Name],$A7,T_Shipments[Effective_Week],97))</f>
        <v/>
      </c>
      <c r="CU7">
        <f>IF(COUNTIF(Material_Detail!$DE:$DE,$A7)&gt;0,IF(ISNUMBER(SEARCH("[済]",INDEX(Material_Detail!$D:$DC,MATCH($A7,Material_Detail!$DE:$DE,0)+1,98))),0,IFERROR(INDEX(Material_Detail!$D:$DC,MATCH($A7,Material_Detail!$DE:$DE,0),98),0)),SUMIFS(T_Shipments[Confirmed_Qty],T_Shipments[Part Name],$A7,T_Shipments[Effective_Week],98))</f>
        <v/>
      </c>
      <c r="CV7">
        <f>IF(COUNTIF(Material_Detail!$DE:$DE,$A7)&gt;0,IF(ISNUMBER(SEARCH("[済]",INDEX(Material_Detail!$D:$DC,MATCH($A7,Material_Detail!$DE:$DE,0)+1,99))),0,IFERROR(INDEX(Material_Detail!$D:$DC,MATCH($A7,Material_Detail!$DE:$DE,0),99),0)),SUMIFS(T_Shipments[Confirmed_Qty],T_Shipments[Part Name],$A7,T_Shipments[Effective_Week],99))</f>
        <v/>
      </c>
      <c r="CW7">
        <f>IF(COUNTIF(Material_Detail!$DE:$DE,$A7)&gt;0,IF(ISNUMBER(SEARCH("[済]",INDEX(Material_Detail!$D:$DC,MATCH($A7,Material_Detail!$DE:$DE,0)+1,100))),0,IFERROR(INDEX(Material_Detail!$D:$DC,MATCH($A7,Material_Detail!$DE:$DE,0),100),0)),SUMIFS(T_Shipments[Confirmed_Qty],T_Shipments[Part Name],$A7,T_Shipments[Effective_Week],100))</f>
        <v/>
      </c>
      <c r="CX7">
        <f>IF(COUNTIF(Material_Detail!$DE:$DE,$A7)&gt;0,IF(ISNUMBER(SEARCH("[済]",INDEX(Material_Detail!$D:$DC,MATCH($A7,Material_Detail!$DE:$DE,0)+1,101))),0,IFERROR(INDEX(Material_Detail!$D:$DC,MATCH($A7,Material_Detail!$DE:$DE,0),101),0)),SUMIFS(T_Shipments[Confirmed_Qty],T_Shipments[Part Name],$A7,T_Shipments[Effective_Week],101))</f>
        <v/>
      </c>
      <c r="CY7">
        <f>IF(COUNTIF(Material_Detail!$DE:$DE,$A7)&gt;0,IF(ISNUMBER(SEARCH("[済]",INDEX(Material_Detail!$D:$DC,MATCH($A7,Material_Detail!$DE:$DE,0)+1,102))),0,IFERROR(INDEX(Material_Detail!$D:$DC,MATCH($A7,Material_Detail!$DE:$DE,0),102),0)),SUMIFS(T_Shipments[Confirmed_Qty],T_Shipments[Part Name],$A7,T_Shipments[Effective_Week],102))</f>
        <v/>
      </c>
      <c r="CZ7">
        <f>IF(COUNTIF(Material_Detail!$DE:$DE,$A7)&gt;0,IF(ISNUMBER(SEARCH("[済]",INDEX(Material_Detail!$D:$DC,MATCH($A7,Material_Detail!$DE:$DE,0)+1,103))),0,IFERROR(INDEX(Material_Detail!$D:$DC,MATCH($A7,Material_Detail!$DE:$DE,0),103),0)),SUMIFS(T_Shipments[Confirmed_Qty],T_Shipments[Part Name],$A7,T_Shipments[Effective_Week],103))</f>
        <v/>
      </c>
      <c r="DA7">
        <f>IF(COUNTIF(Material_Detail!$DE:$DE,$A7)&gt;0,IF(ISNUMBER(SEARCH("[済]",INDEX(Material_Detail!$D:$DC,MATCH($A7,Material_Detail!$DE:$DE,0)+1,104))),0,IFERROR(INDEX(Material_Detail!$D:$DC,MATCH($A7,Material_Detail!$DE:$DE,0),104),0)),SUMIFS(T_Shipments[Confirmed_Qty],T_Shipments[Part Name],$A7,T_Shipments[Effective_Week],104))</f>
        <v/>
      </c>
    </row>
    <row r="8">
      <c r="A8" t="inlineStr">
        <is>
          <t>TDJ</t>
        </is>
      </c>
      <c r="B8">
        <f>IF(COUNTIF(Material_Detail!$DE:$DE,$A8)&gt;0,IF(ISNUMBER(SEARCH("[済]",INDEX(Material_Detail!$D:$DC,MATCH($A8,Material_Detail!$DE:$DE,0)+1,1))),0,IFERROR(INDEX(Material_Detail!$D:$DC,MATCH($A8,Material_Detail!$DE:$DE,0),1),0)),SUMIFS(T_Shipments[Confirmed_Qty],T_Shipments[Part Name],$A8,T_Shipments[Effective_Week],1))</f>
        <v/>
      </c>
      <c r="C8">
        <f>IF(COUNTIF(Material_Detail!$DE:$DE,$A8)&gt;0,IF(ISNUMBER(SEARCH("[済]",INDEX(Material_Detail!$D:$DC,MATCH($A8,Material_Detail!$DE:$DE,0)+1,2))),0,IFERROR(INDEX(Material_Detail!$D:$DC,MATCH($A8,Material_Detail!$DE:$DE,0),2),0)),SUMIFS(T_Shipments[Confirmed_Qty],T_Shipments[Part Name],$A8,T_Shipments[Effective_Week],2))</f>
        <v/>
      </c>
      <c r="D8">
        <f>IF(COUNTIF(Material_Detail!$DE:$DE,$A8)&gt;0,IF(ISNUMBER(SEARCH("[済]",INDEX(Material_Detail!$D:$DC,MATCH($A8,Material_Detail!$DE:$DE,0)+1,3))),0,IFERROR(INDEX(Material_Detail!$D:$DC,MATCH($A8,Material_Detail!$DE:$DE,0),3),0)),SUMIFS(T_Shipments[Confirmed_Qty],T_Shipments[Part Name],$A8,T_Shipments[Effective_Week],3))</f>
        <v/>
      </c>
      <c r="E8">
        <f>IF(COUNTIF(Material_Detail!$DE:$DE,$A8)&gt;0,IF(ISNUMBER(SEARCH("[済]",INDEX(Material_Detail!$D:$DC,MATCH($A8,Material_Detail!$DE:$DE,0)+1,4))),0,IFERROR(INDEX(Material_Detail!$D:$DC,MATCH($A8,Material_Detail!$DE:$DE,0),4),0)),SUMIFS(T_Shipments[Confirmed_Qty],T_Shipments[Part Name],$A8,T_Shipments[Effective_Week],4))</f>
        <v/>
      </c>
      <c r="F8">
        <f>IF(COUNTIF(Material_Detail!$DE:$DE,$A8)&gt;0,IF(ISNUMBER(SEARCH("[済]",INDEX(Material_Detail!$D:$DC,MATCH($A8,Material_Detail!$DE:$DE,0)+1,5))),0,IFERROR(INDEX(Material_Detail!$D:$DC,MATCH($A8,Material_Detail!$DE:$DE,0),5),0)),SUMIFS(T_Shipments[Confirmed_Qty],T_Shipments[Part Name],$A8,T_Shipments[Effective_Week],5))</f>
        <v/>
      </c>
      <c r="G8">
        <f>IF(COUNTIF(Material_Detail!$DE:$DE,$A8)&gt;0,IF(ISNUMBER(SEARCH("[済]",INDEX(Material_Detail!$D:$DC,MATCH($A8,Material_Detail!$DE:$DE,0)+1,6))),0,IFERROR(INDEX(Material_Detail!$D:$DC,MATCH($A8,Material_Detail!$DE:$DE,0),6),0)),SUMIFS(T_Shipments[Confirmed_Qty],T_Shipments[Part Name],$A8,T_Shipments[Effective_Week],6))</f>
        <v/>
      </c>
      <c r="H8">
        <f>IF(COUNTIF(Material_Detail!$DE:$DE,$A8)&gt;0,IF(ISNUMBER(SEARCH("[済]",INDEX(Material_Detail!$D:$DC,MATCH($A8,Material_Detail!$DE:$DE,0)+1,7))),0,IFERROR(INDEX(Material_Detail!$D:$DC,MATCH($A8,Material_Detail!$DE:$DE,0),7),0)),SUMIFS(T_Shipments[Confirmed_Qty],T_Shipments[Part Name],$A8,T_Shipments[Effective_Week],7))</f>
        <v/>
      </c>
      <c r="I8">
        <f>IF(COUNTIF(Material_Detail!$DE:$DE,$A8)&gt;0,IF(ISNUMBER(SEARCH("[済]",INDEX(Material_Detail!$D:$DC,MATCH($A8,Material_Detail!$DE:$DE,0)+1,8))),0,IFERROR(INDEX(Material_Detail!$D:$DC,MATCH($A8,Material_Detail!$DE:$DE,0),8),0)),SUMIFS(T_Shipments[Confirmed_Qty],T_Shipments[Part Name],$A8,T_Shipments[Effective_Week],8))</f>
        <v/>
      </c>
      <c r="J8">
        <f>IF(COUNTIF(Material_Detail!$DE:$DE,$A8)&gt;0,IF(ISNUMBER(SEARCH("[済]",INDEX(Material_Detail!$D:$DC,MATCH($A8,Material_Detail!$DE:$DE,0)+1,9))),0,IFERROR(INDEX(Material_Detail!$D:$DC,MATCH($A8,Material_Detail!$DE:$DE,0),9),0)),SUMIFS(T_Shipments[Confirmed_Qty],T_Shipments[Part Name],$A8,T_Shipments[Effective_Week],9))</f>
        <v/>
      </c>
      <c r="K8">
        <f>IF(COUNTIF(Material_Detail!$DE:$DE,$A8)&gt;0,IF(ISNUMBER(SEARCH("[済]",INDEX(Material_Detail!$D:$DC,MATCH($A8,Material_Detail!$DE:$DE,0)+1,10))),0,IFERROR(INDEX(Material_Detail!$D:$DC,MATCH($A8,Material_Detail!$DE:$DE,0),10),0)),SUMIFS(T_Shipments[Confirmed_Qty],T_Shipments[Part Name],$A8,T_Shipments[Effective_Week],10))</f>
        <v/>
      </c>
      <c r="L8">
        <f>IF(COUNTIF(Material_Detail!$DE:$DE,$A8)&gt;0,IF(ISNUMBER(SEARCH("[済]",INDEX(Material_Detail!$D:$DC,MATCH($A8,Material_Detail!$DE:$DE,0)+1,11))),0,IFERROR(INDEX(Material_Detail!$D:$DC,MATCH($A8,Material_Detail!$DE:$DE,0),11),0)),SUMIFS(T_Shipments[Confirmed_Qty],T_Shipments[Part Name],$A8,T_Shipments[Effective_Week],11))</f>
        <v/>
      </c>
      <c r="M8">
        <f>IF(COUNTIF(Material_Detail!$DE:$DE,$A8)&gt;0,IF(ISNUMBER(SEARCH("[済]",INDEX(Material_Detail!$D:$DC,MATCH($A8,Material_Detail!$DE:$DE,0)+1,12))),0,IFERROR(INDEX(Material_Detail!$D:$DC,MATCH($A8,Material_Detail!$DE:$DE,0),12),0)),SUMIFS(T_Shipments[Confirmed_Qty],T_Shipments[Part Name],$A8,T_Shipments[Effective_Week],12))</f>
        <v/>
      </c>
      <c r="N8">
        <f>IF(COUNTIF(Material_Detail!$DE:$DE,$A8)&gt;0,IF(ISNUMBER(SEARCH("[済]",INDEX(Material_Detail!$D:$DC,MATCH($A8,Material_Detail!$DE:$DE,0)+1,13))),0,IFERROR(INDEX(Material_Detail!$D:$DC,MATCH($A8,Material_Detail!$DE:$DE,0),13),0)),SUMIFS(T_Shipments[Confirmed_Qty],T_Shipments[Part Name],$A8,T_Shipments[Effective_Week],13))</f>
        <v/>
      </c>
      <c r="O8">
        <f>IF(COUNTIF(Material_Detail!$DE:$DE,$A8)&gt;0,IF(ISNUMBER(SEARCH("[済]",INDEX(Material_Detail!$D:$DC,MATCH($A8,Material_Detail!$DE:$DE,0)+1,14))),0,IFERROR(INDEX(Material_Detail!$D:$DC,MATCH($A8,Material_Detail!$DE:$DE,0),14),0)),SUMIFS(T_Shipments[Confirmed_Qty],T_Shipments[Part Name],$A8,T_Shipments[Effective_Week],14))</f>
        <v/>
      </c>
      <c r="P8">
        <f>IF(COUNTIF(Material_Detail!$DE:$DE,$A8)&gt;0,IF(ISNUMBER(SEARCH("[済]",INDEX(Material_Detail!$D:$DC,MATCH($A8,Material_Detail!$DE:$DE,0)+1,15))),0,IFERROR(INDEX(Material_Detail!$D:$DC,MATCH($A8,Material_Detail!$DE:$DE,0),15),0)),SUMIFS(T_Shipments[Confirmed_Qty],T_Shipments[Part Name],$A8,T_Shipments[Effective_Week],15))</f>
        <v/>
      </c>
      <c r="Q8">
        <f>IF(COUNTIF(Material_Detail!$DE:$DE,$A8)&gt;0,IF(ISNUMBER(SEARCH("[済]",INDEX(Material_Detail!$D:$DC,MATCH($A8,Material_Detail!$DE:$DE,0)+1,16))),0,IFERROR(INDEX(Material_Detail!$D:$DC,MATCH($A8,Material_Detail!$DE:$DE,0),16),0)),SUMIFS(T_Shipments[Confirmed_Qty],T_Shipments[Part Name],$A8,T_Shipments[Effective_Week],16))</f>
        <v/>
      </c>
      <c r="R8">
        <f>IF(COUNTIF(Material_Detail!$DE:$DE,$A8)&gt;0,IF(ISNUMBER(SEARCH("[済]",INDEX(Material_Detail!$D:$DC,MATCH($A8,Material_Detail!$DE:$DE,0)+1,17))),0,IFERROR(INDEX(Material_Detail!$D:$DC,MATCH($A8,Material_Detail!$DE:$DE,0),17),0)),SUMIFS(T_Shipments[Confirmed_Qty],T_Shipments[Part Name],$A8,T_Shipments[Effective_Week],17))</f>
        <v/>
      </c>
      <c r="S8">
        <f>IF(COUNTIF(Material_Detail!$DE:$DE,$A8)&gt;0,IF(ISNUMBER(SEARCH("[済]",INDEX(Material_Detail!$D:$DC,MATCH($A8,Material_Detail!$DE:$DE,0)+1,18))),0,IFERROR(INDEX(Material_Detail!$D:$DC,MATCH($A8,Material_Detail!$DE:$DE,0),18),0)),SUMIFS(T_Shipments[Confirmed_Qty],T_Shipments[Part Name],$A8,T_Shipments[Effective_Week],18))</f>
        <v/>
      </c>
      <c r="T8">
        <f>IF(COUNTIF(Material_Detail!$DE:$DE,$A8)&gt;0,IF(ISNUMBER(SEARCH("[済]",INDEX(Material_Detail!$D:$DC,MATCH($A8,Material_Detail!$DE:$DE,0)+1,19))),0,IFERROR(INDEX(Material_Detail!$D:$DC,MATCH($A8,Material_Detail!$DE:$DE,0),19),0)),SUMIFS(T_Shipments[Confirmed_Qty],T_Shipments[Part Name],$A8,T_Shipments[Effective_Week],19))</f>
        <v/>
      </c>
      <c r="U8">
        <f>IF(COUNTIF(Material_Detail!$DE:$DE,$A8)&gt;0,IF(ISNUMBER(SEARCH("[済]",INDEX(Material_Detail!$D:$DC,MATCH($A8,Material_Detail!$DE:$DE,0)+1,20))),0,IFERROR(INDEX(Material_Detail!$D:$DC,MATCH($A8,Material_Detail!$DE:$DE,0),20),0)),SUMIFS(T_Shipments[Confirmed_Qty],T_Shipments[Part Name],$A8,T_Shipments[Effective_Week],20))</f>
        <v/>
      </c>
      <c r="V8">
        <f>IF(COUNTIF(Material_Detail!$DE:$DE,$A8)&gt;0,IF(ISNUMBER(SEARCH("[済]",INDEX(Material_Detail!$D:$DC,MATCH($A8,Material_Detail!$DE:$DE,0)+1,21))),0,IFERROR(INDEX(Material_Detail!$D:$DC,MATCH($A8,Material_Detail!$DE:$DE,0),21),0)),SUMIFS(T_Shipments[Confirmed_Qty],T_Shipments[Part Name],$A8,T_Shipments[Effective_Week],21))</f>
        <v/>
      </c>
      <c r="W8">
        <f>IF(COUNTIF(Material_Detail!$DE:$DE,$A8)&gt;0,IF(ISNUMBER(SEARCH("[済]",INDEX(Material_Detail!$D:$DC,MATCH($A8,Material_Detail!$DE:$DE,0)+1,22))),0,IFERROR(INDEX(Material_Detail!$D:$DC,MATCH($A8,Material_Detail!$DE:$DE,0),22),0)),SUMIFS(T_Shipments[Confirmed_Qty],T_Shipments[Part Name],$A8,T_Shipments[Effective_Week],22))</f>
        <v/>
      </c>
      <c r="X8">
        <f>IF(COUNTIF(Material_Detail!$DE:$DE,$A8)&gt;0,IF(ISNUMBER(SEARCH("[済]",INDEX(Material_Detail!$D:$DC,MATCH($A8,Material_Detail!$DE:$DE,0)+1,23))),0,IFERROR(INDEX(Material_Detail!$D:$DC,MATCH($A8,Material_Detail!$DE:$DE,0),23),0)),SUMIFS(T_Shipments[Confirmed_Qty],T_Shipments[Part Name],$A8,T_Shipments[Effective_Week],23))</f>
        <v/>
      </c>
      <c r="Y8">
        <f>IF(COUNTIF(Material_Detail!$DE:$DE,$A8)&gt;0,IF(ISNUMBER(SEARCH("[済]",INDEX(Material_Detail!$D:$DC,MATCH($A8,Material_Detail!$DE:$DE,0)+1,24))),0,IFERROR(INDEX(Material_Detail!$D:$DC,MATCH($A8,Material_Detail!$DE:$DE,0),24),0)),SUMIFS(T_Shipments[Confirmed_Qty],T_Shipments[Part Name],$A8,T_Shipments[Effective_Week],24))</f>
        <v/>
      </c>
      <c r="Z8">
        <f>IF(COUNTIF(Material_Detail!$DE:$DE,$A8)&gt;0,IF(ISNUMBER(SEARCH("[済]",INDEX(Material_Detail!$D:$DC,MATCH($A8,Material_Detail!$DE:$DE,0)+1,25))),0,IFERROR(INDEX(Material_Detail!$D:$DC,MATCH($A8,Material_Detail!$DE:$DE,0),25),0)),SUMIFS(T_Shipments[Confirmed_Qty],T_Shipments[Part Name],$A8,T_Shipments[Effective_Week],25))</f>
        <v/>
      </c>
      <c r="AA8">
        <f>IF(COUNTIF(Material_Detail!$DE:$DE,$A8)&gt;0,IF(ISNUMBER(SEARCH("[済]",INDEX(Material_Detail!$D:$DC,MATCH($A8,Material_Detail!$DE:$DE,0)+1,26))),0,IFERROR(INDEX(Material_Detail!$D:$DC,MATCH($A8,Material_Detail!$DE:$DE,0),26),0)),SUMIFS(T_Shipments[Confirmed_Qty],T_Shipments[Part Name],$A8,T_Shipments[Effective_Week],26))</f>
        <v/>
      </c>
      <c r="AB8">
        <f>IF(COUNTIF(Material_Detail!$DE:$DE,$A8)&gt;0,IF(ISNUMBER(SEARCH("[済]",INDEX(Material_Detail!$D:$DC,MATCH($A8,Material_Detail!$DE:$DE,0)+1,27))),0,IFERROR(INDEX(Material_Detail!$D:$DC,MATCH($A8,Material_Detail!$DE:$DE,0),27),0)),SUMIFS(T_Shipments[Confirmed_Qty],T_Shipments[Part Name],$A8,T_Shipments[Effective_Week],27))</f>
        <v/>
      </c>
      <c r="AC8">
        <f>IF(COUNTIF(Material_Detail!$DE:$DE,$A8)&gt;0,IF(ISNUMBER(SEARCH("[済]",INDEX(Material_Detail!$D:$DC,MATCH($A8,Material_Detail!$DE:$DE,0)+1,28))),0,IFERROR(INDEX(Material_Detail!$D:$DC,MATCH($A8,Material_Detail!$DE:$DE,0),28),0)),SUMIFS(T_Shipments[Confirmed_Qty],T_Shipments[Part Name],$A8,T_Shipments[Effective_Week],28))</f>
        <v/>
      </c>
      <c r="AD8">
        <f>IF(COUNTIF(Material_Detail!$DE:$DE,$A8)&gt;0,IF(ISNUMBER(SEARCH("[済]",INDEX(Material_Detail!$D:$DC,MATCH($A8,Material_Detail!$DE:$DE,0)+1,29))),0,IFERROR(INDEX(Material_Detail!$D:$DC,MATCH($A8,Material_Detail!$DE:$DE,0),29),0)),SUMIFS(T_Shipments[Confirmed_Qty],T_Shipments[Part Name],$A8,T_Shipments[Effective_Week],29))</f>
        <v/>
      </c>
      <c r="AE8">
        <f>IF(COUNTIF(Material_Detail!$DE:$DE,$A8)&gt;0,IF(ISNUMBER(SEARCH("[済]",INDEX(Material_Detail!$D:$DC,MATCH($A8,Material_Detail!$DE:$DE,0)+1,30))),0,IFERROR(INDEX(Material_Detail!$D:$DC,MATCH($A8,Material_Detail!$DE:$DE,0),30),0)),SUMIFS(T_Shipments[Confirmed_Qty],T_Shipments[Part Name],$A8,T_Shipments[Effective_Week],30))</f>
        <v/>
      </c>
      <c r="AF8">
        <f>IF(COUNTIF(Material_Detail!$DE:$DE,$A8)&gt;0,IF(ISNUMBER(SEARCH("[済]",INDEX(Material_Detail!$D:$DC,MATCH($A8,Material_Detail!$DE:$DE,0)+1,31))),0,IFERROR(INDEX(Material_Detail!$D:$DC,MATCH($A8,Material_Detail!$DE:$DE,0),31),0)),SUMIFS(T_Shipments[Confirmed_Qty],T_Shipments[Part Name],$A8,T_Shipments[Effective_Week],31))</f>
        <v/>
      </c>
      <c r="AG8">
        <f>IF(COUNTIF(Material_Detail!$DE:$DE,$A8)&gt;0,IF(ISNUMBER(SEARCH("[済]",INDEX(Material_Detail!$D:$DC,MATCH($A8,Material_Detail!$DE:$DE,0)+1,32))),0,IFERROR(INDEX(Material_Detail!$D:$DC,MATCH($A8,Material_Detail!$DE:$DE,0),32),0)),SUMIFS(T_Shipments[Confirmed_Qty],T_Shipments[Part Name],$A8,T_Shipments[Effective_Week],32))</f>
        <v/>
      </c>
      <c r="AH8">
        <f>IF(COUNTIF(Material_Detail!$DE:$DE,$A8)&gt;0,IF(ISNUMBER(SEARCH("[済]",INDEX(Material_Detail!$D:$DC,MATCH($A8,Material_Detail!$DE:$DE,0)+1,33))),0,IFERROR(INDEX(Material_Detail!$D:$DC,MATCH($A8,Material_Detail!$DE:$DE,0),33),0)),SUMIFS(T_Shipments[Confirmed_Qty],T_Shipments[Part Name],$A8,T_Shipments[Effective_Week],33))</f>
        <v/>
      </c>
      <c r="AI8">
        <f>IF(COUNTIF(Material_Detail!$DE:$DE,$A8)&gt;0,IF(ISNUMBER(SEARCH("[済]",INDEX(Material_Detail!$D:$DC,MATCH($A8,Material_Detail!$DE:$DE,0)+1,34))),0,IFERROR(INDEX(Material_Detail!$D:$DC,MATCH($A8,Material_Detail!$DE:$DE,0),34),0)),SUMIFS(T_Shipments[Confirmed_Qty],T_Shipments[Part Name],$A8,T_Shipments[Effective_Week],34))</f>
        <v/>
      </c>
      <c r="AJ8">
        <f>IF(COUNTIF(Material_Detail!$DE:$DE,$A8)&gt;0,IF(ISNUMBER(SEARCH("[済]",INDEX(Material_Detail!$D:$DC,MATCH($A8,Material_Detail!$DE:$DE,0)+1,35))),0,IFERROR(INDEX(Material_Detail!$D:$DC,MATCH($A8,Material_Detail!$DE:$DE,0),35),0)),SUMIFS(T_Shipments[Confirmed_Qty],T_Shipments[Part Name],$A8,T_Shipments[Effective_Week],35))</f>
        <v/>
      </c>
      <c r="AK8">
        <f>IF(COUNTIF(Material_Detail!$DE:$DE,$A8)&gt;0,IF(ISNUMBER(SEARCH("[済]",INDEX(Material_Detail!$D:$DC,MATCH($A8,Material_Detail!$DE:$DE,0)+1,36))),0,IFERROR(INDEX(Material_Detail!$D:$DC,MATCH($A8,Material_Detail!$DE:$DE,0),36),0)),SUMIFS(T_Shipments[Confirmed_Qty],T_Shipments[Part Name],$A8,T_Shipments[Effective_Week],36))</f>
        <v/>
      </c>
      <c r="AL8">
        <f>IF(COUNTIF(Material_Detail!$DE:$DE,$A8)&gt;0,IF(ISNUMBER(SEARCH("[済]",INDEX(Material_Detail!$D:$DC,MATCH($A8,Material_Detail!$DE:$DE,0)+1,37))),0,IFERROR(INDEX(Material_Detail!$D:$DC,MATCH($A8,Material_Detail!$DE:$DE,0),37),0)),SUMIFS(T_Shipments[Confirmed_Qty],T_Shipments[Part Name],$A8,T_Shipments[Effective_Week],37))</f>
        <v/>
      </c>
      <c r="AM8">
        <f>IF(COUNTIF(Material_Detail!$DE:$DE,$A8)&gt;0,IF(ISNUMBER(SEARCH("[済]",INDEX(Material_Detail!$D:$DC,MATCH($A8,Material_Detail!$DE:$DE,0)+1,38))),0,IFERROR(INDEX(Material_Detail!$D:$DC,MATCH($A8,Material_Detail!$DE:$DE,0),38),0)),SUMIFS(T_Shipments[Confirmed_Qty],T_Shipments[Part Name],$A8,T_Shipments[Effective_Week],38))</f>
        <v/>
      </c>
      <c r="AN8">
        <f>IF(COUNTIF(Material_Detail!$DE:$DE,$A8)&gt;0,IF(ISNUMBER(SEARCH("[済]",INDEX(Material_Detail!$D:$DC,MATCH($A8,Material_Detail!$DE:$DE,0)+1,39))),0,IFERROR(INDEX(Material_Detail!$D:$DC,MATCH($A8,Material_Detail!$DE:$DE,0),39),0)),SUMIFS(T_Shipments[Confirmed_Qty],T_Shipments[Part Name],$A8,T_Shipments[Effective_Week],39))</f>
        <v/>
      </c>
      <c r="AO8">
        <f>IF(COUNTIF(Material_Detail!$DE:$DE,$A8)&gt;0,IF(ISNUMBER(SEARCH("[済]",INDEX(Material_Detail!$D:$DC,MATCH($A8,Material_Detail!$DE:$DE,0)+1,40))),0,IFERROR(INDEX(Material_Detail!$D:$DC,MATCH($A8,Material_Detail!$DE:$DE,0),40),0)),SUMIFS(T_Shipments[Confirmed_Qty],T_Shipments[Part Name],$A8,T_Shipments[Effective_Week],40))</f>
        <v/>
      </c>
      <c r="AP8">
        <f>IF(COUNTIF(Material_Detail!$DE:$DE,$A8)&gt;0,IF(ISNUMBER(SEARCH("[済]",INDEX(Material_Detail!$D:$DC,MATCH($A8,Material_Detail!$DE:$DE,0)+1,41))),0,IFERROR(INDEX(Material_Detail!$D:$DC,MATCH($A8,Material_Detail!$DE:$DE,0),41),0)),SUMIFS(T_Shipments[Confirmed_Qty],T_Shipments[Part Name],$A8,T_Shipments[Effective_Week],41))</f>
        <v/>
      </c>
      <c r="AQ8">
        <f>IF(COUNTIF(Material_Detail!$DE:$DE,$A8)&gt;0,IF(ISNUMBER(SEARCH("[済]",INDEX(Material_Detail!$D:$DC,MATCH($A8,Material_Detail!$DE:$DE,0)+1,42))),0,IFERROR(INDEX(Material_Detail!$D:$DC,MATCH($A8,Material_Detail!$DE:$DE,0),42),0)),SUMIFS(T_Shipments[Confirmed_Qty],T_Shipments[Part Name],$A8,T_Shipments[Effective_Week],42))</f>
        <v/>
      </c>
      <c r="AR8">
        <f>IF(COUNTIF(Material_Detail!$DE:$DE,$A8)&gt;0,IF(ISNUMBER(SEARCH("[済]",INDEX(Material_Detail!$D:$DC,MATCH($A8,Material_Detail!$DE:$DE,0)+1,43))),0,IFERROR(INDEX(Material_Detail!$D:$DC,MATCH($A8,Material_Detail!$DE:$DE,0),43),0)),SUMIFS(T_Shipments[Confirmed_Qty],T_Shipments[Part Name],$A8,T_Shipments[Effective_Week],43))</f>
        <v/>
      </c>
      <c r="AS8">
        <f>IF(COUNTIF(Material_Detail!$DE:$DE,$A8)&gt;0,IF(ISNUMBER(SEARCH("[済]",INDEX(Material_Detail!$D:$DC,MATCH($A8,Material_Detail!$DE:$DE,0)+1,44))),0,IFERROR(INDEX(Material_Detail!$D:$DC,MATCH($A8,Material_Detail!$DE:$DE,0),44),0)),SUMIFS(T_Shipments[Confirmed_Qty],T_Shipments[Part Name],$A8,T_Shipments[Effective_Week],44))</f>
        <v/>
      </c>
      <c r="AT8">
        <f>IF(COUNTIF(Material_Detail!$DE:$DE,$A8)&gt;0,IF(ISNUMBER(SEARCH("[済]",INDEX(Material_Detail!$D:$DC,MATCH($A8,Material_Detail!$DE:$DE,0)+1,45))),0,IFERROR(INDEX(Material_Detail!$D:$DC,MATCH($A8,Material_Detail!$DE:$DE,0),45),0)),SUMIFS(T_Shipments[Confirmed_Qty],T_Shipments[Part Name],$A8,T_Shipments[Effective_Week],45))</f>
        <v/>
      </c>
      <c r="AU8">
        <f>IF(COUNTIF(Material_Detail!$DE:$DE,$A8)&gt;0,IF(ISNUMBER(SEARCH("[済]",INDEX(Material_Detail!$D:$DC,MATCH($A8,Material_Detail!$DE:$DE,0)+1,46))),0,IFERROR(INDEX(Material_Detail!$D:$DC,MATCH($A8,Material_Detail!$DE:$DE,0),46),0)),SUMIFS(T_Shipments[Confirmed_Qty],T_Shipments[Part Name],$A8,T_Shipments[Effective_Week],46))</f>
        <v/>
      </c>
      <c r="AV8">
        <f>IF(COUNTIF(Material_Detail!$DE:$DE,$A8)&gt;0,IF(ISNUMBER(SEARCH("[済]",INDEX(Material_Detail!$D:$DC,MATCH($A8,Material_Detail!$DE:$DE,0)+1,47))),0,IFERROR(INDEX(Material_Detail!$D:$DC,MATCH($A8,Material_Detail!$DE:$DE,0),47),0)),SUMIFS(T_Shipments[Confirmed_Qty],T_Shipments[Part Name],$A8,T_Shipments[Effective_Week],47))</f>
        <v/>
      </c>
      <c r="AW8">
        <f>IF(COUNTIF(Material_Detail!$DE:$DE,$A8)&gt;0,IF(ISNUMBER(SEARCH("[済]",INDEX(Material_Detail!$D:$DC,MATCH($A8,Material_Detail!$DE:$DE,0)+1,48))),0,IFERROR(INDEX(Material_Detail!$D:$DC,MATCH($A8,Material_Detail!$DE:$DE,0),48),0)),SUMIFS(T_Shipments[Confirmed_Qty],T_Shipments[Part Name],$A8,T_Shipments[Effective_Week],48))</f>
        <v/>
      </c>
      <c r="AX8">
        <f>IF(COUNTIF(Material_Detail!$DE:$DE,$A8)&gt;0,IF(ISNUMBER(SEARCH("[済]",INDEX(Material_Detail!$D:$DC,MATCH($A8,Material_Detail!$DE:$DE,0)+1,49))),0,IFERROR(INDEX(Material_Detail!$D:$DC,MATCH($A8,Material_Detail!$DE:$DE,0),49),0)),SUMIFS(T_Shipments[Confirmed_Qty],T_Shipments[Part Name],$A8,T_Shipments[Effective_Week],49))</f>
        <v/>
      </c>
      <c r="AY8">
        <f>IF(COUNTIF(Material_Detail!$DE:$DE,$A8)&gt;0,IF(ISNUMBER(SEARCH("[済]",INDEX(Material_Detail!$D:$DC,MATCH($A8,Material_Detail!$DE:$DE,0)+1,50))),0,IFERROR(INDEX(Material_Detail!$D:$DC,MATCH($A8,Material_Detail!$DE:$DE,0),50),0)),SUMIFS(T_Shipments[Confirmed_Qty],T_Shipments[Part Name],$A8,T_Shipments[Effective_Week],50))</f>
        <v/>
      </c>
      <c r="AZ8">
        <f>IF(COUNTIF(Material_Detail!$DE:$DE,$A8)&gt;0,IF(ISNUMBER(SEARCH("[済]",INDEX(Material_Detail!$D:$DC,MATCH($A8,Material_Detail!$DE:$DE,0)+1,51))),0,IFERROR(INDEX(Material_Detail!$D:$DC,MATCH($A8,Material_Detail!$DE:$DE,0),51),0)),SUMIFS(T_Shipments[Confirmed_Qty],T_Shipments[Part Name],$A8,T_Shipments[Effective_Week],51))</f>
        <v/>
      </c>
      <c r="BA8">
        <f>IF(COUNTIF(Material_Detail!$DE:$DE,$A8)&gt;0,IF(ISNUMBER(SEARCH("[済]",INDEX(Material_Detail!$D:$DC,MATCH($A8,Material_Detail!$DE:$DE,0)+1,52))),0,IFERROR(INDEX(Material_Detail!$D:$DC,MATCH($A8,Material_Detail!$DE:$DE,0),52),0)),SUMIFS(T_Shipments[Confirmed_Qty],T_Shipments[Part Name],$A8,T_Shipments[Effective_Week],52))</f>
        <v/>
      </c>
      <c r="BB8">
        <f>IF(COUNTIF(Material_Detail!$DE:$DE,$A8)&gt;0,IF(ISNUMBER(SEARCH("[済]",INDEX(Material_Detail!$D:$DC,MATCH($A8,Material_Detail!$DE:$DE,0)+1,53))),0,IFERROR(INDEX(Material_Detail!$D:$DC,MATCH($A8,Material_Detail!$DE:$DE,0),53),0)),SUMIFS(T_Shipments[Confirmed_Qty],T_Shipments[Part Name],$A8,T_Shipments[Effective_Week],53))</f>
        <v/>
      </c>
      <c r="BC8">
        <f>IF(COUNTIF(Material_Detail!$DE:$DE,$A8)&gt;0,IF(ISNUMBER(SEARCH("[済]",INDEX(Material_Detail!$D:$DC,MATCH($A8,Material_Detail!$DE:$DE,0)+1,54))),0,IFERROR(INDEX(Material_Detail!$D:$DC,MATCH($A8,Material_Detail!$DE:$DE,0),54),0)),SUMIFS(T_Shipments[Confirmed_Qty],T_Shipments[Part Name],$A8,T_Shipments[Effective_Week],54))</f>
        <v/>
      </c>
      <c r="BD8">
        <f>IF(COUNTIF(Material_Detail!$DE:$DE,$A8)&gt;0,IF(ISNUMBER(SEARCH("[済]",INDEX(Material_Detail!$D:$DC,MATCH($A8,Material_Detail!$DE:$DE,0)+1,55))),0,IFERROR(INDEX(Material_Detail!$D:$DC,MATCH($A8,Material_Detail!$DE:$DE,0),55),0)),SUMIFS(T_Shipments[Confirmed_Qty],T_Shipments[Part Name],$A8,T_Shipments[Effective_Week],55))</f>
        <v/>
      </c>
      <c r="BE8">
        <f>IF(COUNTIF(Material_Detail!$DE:$DE,$A8)&gt;0,IF(ISNUMBER(SEARCH("[済]",INDEX(Material_Detail!$D:$DC,MATCH($A8,Material_Detail!$DE:$DE,0)+1,56))),0,IFERROR(INDEX(Material_Detail!$D:$DC,MATCH($A8,Material_Detail!$DE:$DE,0),56),0)),SUMIFS(T_Shipments[Confirmed_Qty],T_Shipments[Part Name],$A8,T_Shipments[Effective_Week],56))</f>
        <v/>
      </c>
      <c r="BF8">
        <f>IF(COUNTIF(Material_Detail!$DE:$DE,$A8)&gt;0,IF(ISNUMBER(SEARCH("[済]",INDEX(Material_Detail!$D:$DC,MATCH($A8,Material_Detail!$DE:$DE,0)+1,57))),0,IFERROR(INDEX(Material_Detail!$D:$DC,MATCH($A8,Material_Detail!$DE:$DE,0),57),0)),SUMIFS(T_Shipments[Confirmed_Qty],T_Shipments[Part Name],$A8,T_Shipments[Effective_Week],57))</f>
        <v/>
      </c>
      <c r="BG8">
        <f>IF(COUNTIF(Material_Detail!$DE:$DE,$A8)&gt;0,IF(ISNUMBER(SEARCH("[済]",INDEX(Material_Detail!$D:$DC,MATCH($A8,Material_Detail!$DE:$DE,0)+1,58))),0,IFERROR(INDEX(Material_Detail!$D:$DC,MATCH($A8,Material_Detail!$DE:$DE,0),58),0)),SUMIFS(T_Shipments[Confirmed_Qty],T_Shipments[Part Name],$A8,T_Shipments[Effective_Week],58))</f>
        <v/>
      </c>
      <c r="BH8">
        <f>IF(COUNTIF(Material_Detail!$DE:$DE,$A8)&gt;0,IF(ISNUMBER(SEARCH("[済]",INDEX(Material_Detail!$D:$DC,MATCH($A8,Material_Detail!$DE:$DE,0)+1,59))),0,IFERROR(INDEX(Material_Detail!$D:$DC,MATCH($A8,Material_Detail!$DE:$DE,0),59),0)),SUMIFS(T_Shipments[Confirmed_Qty],T_Shipments[Part Name],$A8,T_Shipments[Effective_Week],59))</f>
        <v/>
      </c>
      <c r="BI8">
        <f>IF(COUNTIF(Material_Detail!$DE:$DE,$A8)&gt;0,IF(ISNUMBER(SEARCH("[済]",INDEX(Material_Detail!$D:$DC,MATCH($A8,Material_Detail!$DE:$DE,0)+1,60))),0,IFERROR(INDEX(Material_Detail!$D:$DC,MATCH($A8,Material_Detail!$DE:$DE,0),60),0)),SUMIFS(T_Shipments[Confirmed_Qty],T_Shipments[Part Name],$A8,T_Shipments[Effective_Week],60))</f>
        <v/>
      </c>
      <c r="BJ8">
        <f>IF(COUNTIF(Material_Detail!$DE:$DE,$A8)&gt;0,IF(ISNUMBER(SEARCH("[済]",INDEX(Material_Detail!$D:$DC,MATCH($A8,Material_Detail!$DE:$DE,0)+1,61))),0,IFERROR(INDEX(Material_Detail!$D:$DC,MATCH($A8,Material_Detail!$DE:$DE,0),61),0)),SUMIFS(T_Shipments[Confirmed_Qty],T_Shipments[Part Name],$A8,T_Shipments[Effective_Week],61))</f>
        <v/>
      </c>
      <c r="BK8">
        <f>IF(COUNTIF(Material_Detail!$DE:$DE,$A8)&gt;0,IF(ISNUMBER(SEARCH("[済]",INDEX(Material_Detail!$D:$DC,MATCH($A8,Material_Detail!$DE:$DE,0)+1,62))),0,IFERROR(INDEX(Material_Detail!$D:$DC,MATCH($A8,Material_Detail!$DE:$DE,0),62),0)),SUMIFS(T_Shipments[Confirmed_Qty],T_Shipments[Part Name],$A8,T_Shipments[Effective_Week],62))</f>
        <v/>
      </c>
      <c r="BL8">
        <f>IF(COUNTIF(Material_Detail!$DE:$DE,$A8)&gt;0,IF(ISNUMBER(SEARCH("[済]",INDEX(Material_Detail!$D:$DC,MATCH($A8,Material_Detail!$DE:$DE,0)+1,63))),0,IFERROR(INDEX(Material_Detail!$D:$DC,MATCH($A8,Material_Detail!$DE:$DE,0),63),0)),SUMIFS(T_Shipments[Confirmed_Qty],T_Shipments[Part Name],$A8,T_Shipments[Effective_Week],63))</f>
        <v/>
      </c>
      <c r="BM8">
        <f>IF(COUNTIF(Material_Detail!$DE:$DE,$A8)&gt;0,IF(ISNUMBER(SEARCH("[済]",INDEX(Material_Detail!$D:$DC,MATCH($A8,Material_Detail!$DE:$DE,0)+1,64))),0,IFERROR(INDEX(Material_Detail!$D:$DC,MATCH($A8,Material_Detail!$DE:$DE,0),64),0)),SUMIFS(T_Shipments[Confirmed_Qty],T_Shipments[Part Name],$A8,T_Shipments[Effective_Week],64))</f>
        <v/>
      </c>
      <c r="BN8">
        <f>IF(COUNTIF(Material_Detail!$DE:$DE,$A8)&gt;0,IF(ISNUMBER(SEARCH("[済]",INDEX(Material_Detail!$D:$DC,MATCH($A8,Material_Detail!$DE:$DE,0)+1,65))),0,IFERROR(INDEX(Material_Detail!$D:$DC,MATCH($A8,Material_Detail!$DE:$DE,0),65),0)),SUMIFS(T_Shipments[Confirmed_Qty],T_Shipments[Part Name],$A8,T_Shipments[Effective_Week],65))</f>
        <v/>
      </c>
      <c r="BO8">
        <f>IF(COUNTIF(Material_Detail!$DE:$DE,$A8)&gt;0,IF(ISNUMBER(SEARCH("[済]",INDEX(Material_Detail!$D:$DC,MATCH($A8,Material_Detail!$DE:$DE,0)+1,66))),0,IFERROR(INDEX(Material_Detail!$D:$DC,MATCH($A8,Material_Detail!$DE:$DE,0),66),0)),SUMIFS(T_Shipments[Confirmed_Qty],T_Shipments[Part Name],$A8,T_Shipments[Effective_Week],66))</f>
        <v/>
      </c>
      <c r="BP8">
        <f>IF(COUNTIF(Material_Detail!$DE:$DE,$A8)&gt;0,IF(ISNUMBER(SEARCH("[済]",INDEX(Material_Detail!$D:$DC,MATCH($A8,Material_Detail!$DE:$DE,0)+1,67))),0,IFERROR(INDEX(Material_Detail!$D:$DC,MATCH($A8,Material_Detail!$DE:$DE,0),67),0)),SUMIFS(T_Shipments[Confirmed_Qty],T_Shipments[Part Name],$A8,T_Shipments[Effective_Week],67))</f>
        <v/>
      </c>
      <c r="BQ8">
        <f>IF(COUNTIF(Material_Detail!$DE:$DE,$A8)&gt;0,IF(ISNUMBER(SEARCH("[済]",INDEX(Material_Detail!$D:$DC,MATCH($A8,Material_Detail!$DE:$DE,0)+1,68))),0,IFERROR(INDEX(Material_Detail!$D:$DC,MATCH($A8,Material_Detail!$DE:$DE,0),68),0)),SUMIFS(T_Shipments[Confirmed_Qty],T_Shipments[Part Name],$A8,T_Shipments[Effective_Week],68))</f>
        <v/>
      </c>
      <c r="BR8">
        <f>IF(COUNTIF(Material_Detail!$DE:$DE,$A8)&gt;0,IF(ISNUMBER(SEARCH("[済]",INDEX(Material_Detail!$D:$DC,MATCH($A8,Material_Detail!$DE:$DE,0)+1,69))),0,IFERROR(INDEX(Material_Detail!$D:$DC,MATCH($A8,Material_Detail!$DE:$DE,0),69),0)),SUMIFS(T_Shipments[Confirmed_Qty],T_Shipments[Part Name],$A8,T_Shipments[Effective_Week],69))</f>
        <v/>
      </c>
      <c r="BS8">
        <f>IF(COUNTIF(Material_Detail!$DE:$DE,$A8)&gt;0,IF(ISNUMBER(SEARCH("[済]",INDEX(Material_Detail!$D:$DC,MATCH($A8,Material_Detail!$DE:$DE,0)+1,70))),0,IFERROR(INDEX(Material_Detail!$D:$DC,MATCH($A8,Material_Detail!$DE:$DE,0),70),0)),SUMIFS(T_Shipments[Confirmed_Qty],T_Shipments[Part Name],$A8,T_Shipments[Effective_Week],70))</f>
        <v/>
      </c>
      <c r="BT8">
        <f>IF(COUNTIF(Material_Detail!$DE:$DE,$A8)&gt;0,IF(ISNUMBER(SEARCH("[済]",INDEX(Material_Detail!$D:$DC,MATCH($A8,Material_Detail!$DE:$DE,0)+1,71))),0,IFERROR(INDEX(Material_Detail!$D:$DC,MATCH($A8,Material_Detail!$DE:$DE,0),71),0)),SUMIFS(T_Shipments[Confirmed_Qty],T_Shipments[Part Name],$A8,T_Shipments[Effective_Week],71))</f>
        <v/>
      </c>
      <c r="BU8">
        <f>IF(COUNTIF(Material_Detail!$DE:$DE,$A8)&gt;0,IF(ISNUMBER(SEARCH("[済]",INDEX(Material_Detail!$D:$DC,MATCH($A8,Material_Detail!$DE:$DE,0)+1,72))),0,IFERROR(INDEX(Material_Detail!$D:$DC,MATCH($A8,Material_Detail!$DE:$DE,0),72),0)),SUMIFS(T_Shipments[Confirmed_Qty],T_Shipments[Part Name],$A8,T_Shipments[Effective_Week],72))</f>
        <v/>
      </c>
      <c r="BV8">
        <f>IF(COUNTIF(Material_Detail!$DE:$DE,$A8)&gt;0,IF(ISNUMBER(SEARCH("[済]",INDEX(Material_Detail!$D:$DC,MATCH($A8,Material_Detail!$DE:$DE,0)+1,73))),0,IFERROR(INDEX(Material_Detail!$D:$DC,MATCH($A8,Material_Detail!$DE:$DE,0),73),0)),SUMIFS(T_Shipments[Confirmed_Qty],T_Shipments[Part Name],$A8,T_Shipments[Effective_Week],73))</f>
        <v/>
      </c>
      <c r="BW8">
        <f>IF(COUNTIF(Material_Detail!$DE:$DE,$A8)&gt;0,IF(ISNUMBER(SEARCH("[済]",INDEX(Material_Detail!$D:$DC,MATCH($A8,Material_Detail!$DE:$DE,0)+1,74))),0,IFERROR(INDEX(Material_Detail!$D:$DC,MATCH($A8,Material_Detail!$DE:$DE,0),74),0)),SUMIFS(T_Shipments[Confirmed_Qty],T_Shipments[Part Name],$A8,T_Shipments[Effective_Week],74))</f>
        <v/>
      </c>
      <c r="BX8">
        <f>IF(COUNTIF(Material_Detail!$DE:$DE,$A8)&gt;0,IF(ISNUMBER(SEARCH("[済]",INDEX(Material_Detail!$D:$DC,MATCH($A8,Material_Detail!$DE:$DE,0)+1,75))),0,IFERROR(INDEX(Material_Detail!$D:$DC,MATCH($A8,Material_Detail!$DE:$DE,0),75),0)),SUMIFS(T_Shipments[Confirmed_Qty],T_Shipments[Part Name],$A8,T_Shipments[Effective_Week],75))</f>
        <v/>
      </c>
      <c r="BY8">
        <f>IF(COUNTIF(Material_Detail!$DE:$DE,$A8)&gt;0,IF(ISNUMBER(SEARCH("[済]",INDEX(Material_Detail!$D:$DC,MATCH($A8,Material_Detail!$DE:$DE,0)+1,76))),0,IFERROR(INDEX(Material_Detail!$D:$DC,MATCH($A8,Material_Detail!$DE:$DE,0),76),0)),SUMIFS(T_Shipments[Confirmed_Qty],T_Shipments[Part Name],$A8,T_Shipments[Effective_Week],76))</f>
        <v/>
      </c>
      <c r="BZ8">
        <f>IF(COUNTIF(Material_Detail!$DE:$DE,$A8)&gt;0,IF(ISNUMBER(SEARCH("[済]",INDEX(Material_Detail!$D:$DC,MATCH($A8,Material_Detail!$DE:$DE,0)+1,77))),0,IFERROR(INDEX(Material_Detail!$D:$DC,MATCH($A8,Material_Detail!$DE:$DE,0),77),0)),SUMIFS(T_Shipments[Confirmed_Qty],T_Shipments[Part Name],$A8,T_Shipments[Effective_Week],77))</f>
        <v/>
      </c>
      <c r="CA8">
        <f>IF(COUNTIF(Material_Detail!$DE:$DE,$A8)&gt;0,IF(ISNUMBER(SEARCH("[済]",INDEX(Material_Detail!$D:$DC,MATCH($A8,Material_Detail!$DE:$DE,0)+1,78))),0,IFERROR(INDEX(Material_Detail!$D:$DC,MATCH($A8,Material_Detail!$DE:$DE,0),78),0)),SUMIFS(T_Shipments[Confirmed_Qty],T_Shipments[Part Name],$A8,T_Shipments[Effective_Week],78))</f>
        <v/>
      </c>
      <c r="CB8">
        <f>IF(COUNTIF(Material_Detail!$DE:$DE,$A8)&gt;0,IF(ISNUMBER(SEARCH("[済]",INDEX(Material_Detail!$D:$DC,MATCH($A8,Material_Detail!$DE:$DE,0)+1,79))),0,IFERROR(INDEX(Material_Detail!$D:$DC,MATCH($A8,Material_Detail!$DE:$DE,0),79),0)),SUMIFS(T_Shipments[Confirmed_Qty],T_Shipments[Part Name],$A8,T_Shipments[Effective_Week],79))</f>
        <v/>
      </c>
      <c r="CC8">
        <f>IF(COUNTIF(Material_Detail!$DE:$DE,$A8)&gt;0,IF(ISNUMBER(SEARCH("[済]",INDEX(Material_Detail!$D:$DC,MATCH($A8,Material_Detail!$DE:$DE,0)+1,80))),0,IFERROR(INDEX(Material_Detail!$D:$DC,MATCH($A8,Material_Detail!$DE:$DE,0),80),0)),SUMIFS(T_Shipments[Confirmed_Qty],T_Shipments[Part Name],$A8,T_Shipments[Effective_Week],80))</f>
        <v/>
      </c>
      <c r="CD8">
        <f>IF(COUNTIF(Material_Detail!$DE:$DE,$A8)&gt;0,IF(ISNUMBER(SEARCH("[済]",INDEX(Material_Detail!$D:$DC,MATCH($A8,Material_Detail!$DE:$DE,0)+1,81))),0,IFERROR(INDEX(Material_Detail!$D:$DC,MATCH($A8,Material_Detail!$DE:$DE,0),81),0)),SUMIFS(T_Shipments[Confirmed_Qty],T_Shipments[Part Name],$A8,T_Shipments[Effective_Week],81))</f>
        <v/>
      </c>
      <c r="CE8">
        <f>IF(COUNTIF(Material_Detail!$DE:$DE,$A8)&gt;0,IF(ISNUMBER(SEARCH("[済]",INDEX(Material_Detail!$D:$DC,MATCH($A8,Material_Detail!$DE:$DE,0)+1,82))),0,IFERROR(INDEX(Material_Detail!$D:$DC,MATCH($A8,Material_Detail!$DE:$DE,0),82),0)),SUMIFS(T_Shipments[Confirmed_Qty],T_Shipments[Part Name],$A8,T_Shipments[Effective_Week],82))</f>
        <v/>
      </c>
      <c r="CF8">
        <f>IF(COUNTIF(Material_Detail!$DE:$DE,$A8)&gt;0,IF(ISNUMBER(SEARCH("[済]",INDEX(Material_Detail!$D:$DC,MATCH($A8,Material_Detail!$DE:$DE,0)+1,83))),0,IFERROR(INDEX(Material_Detail!$D:$DC,MATCH($A8,Material_Detail!$DE:$DE,0),83),0)),SUMIFS(T_Shipments[Confirmed_Qty],T_Shipments[Part Name],$A8,T_Shipments[Effective_Week],83))</f>
        <v/>
      </c>
      <c r="CG8">
        <f>IF(COUNTIF(Material_Detail!$DE:$DE,$A8)&gt;0,IF(ISNUMBER(SEARCH("[済]",INDEX(Material_Detail!$D:$DC,MATCH($A8,Material_Detail!$DE:$DE,0)+1,84))),0,IFERROR(INDEX(Material_Detail!$D:$DC,MATCH($A8,Material_Detail!$DE:$DE,0),84),0)),SUMIFS(T_Shipments[Confirmed_Qty],T_Shipments[Part Name],$A8,T_Shipments[Effective_Week],84))</f>
        <v/>
      </c>
      <c r="CH8">
        <f>IF(COUNTIF(Material_Detail!$DE:$DE,$A8)&gt;0,IF(ISNUMBER(SEARCH("[済]",INDEX(Material_Detail!$D:$DC,MATCH($A8,Material_Detail!$DE:$DE,0)+1,85))),0,IFERROR(INDEX(Material_Detail!$D:$DC,MATCH($A8,Material_Detail!$DE:$DE,0),85),0)),SUMIFS(T_Shipments[Confirmed_Qty],T_Shipments[Part Name],$A8,T_Shipments[Effective_Week],85))</f>
        <v/>
      </c>
      <c r="CI8">
        <f>IF(COUNTIF(Material_Detail!$DE:$DE,$A8)&gt;0,IF(ISNUMBER(SEARCH("[済]",INDEX(Material_Detail!$D:$DC,MATCH($A8,Material_Detail!$DE:$DE,0)+1,86))),0,IFERROR(INDEX(Material_Detail!$D:$DC,MATCH($A8,Material_Detail!$DE:$DE,0),86),0)),SUMIFS(T_Shipments[Confirmed_Qty],T_Shipments[Part Name],$A8,T_Shipments[Effective_Week],86))</f>
        <v/>
      </c>
      <c r="CJ8">
        <f>IF(COUNTIF(Material_Detail!$DE:$DE,$A8)&gt;0,IF(ISNUMBER(SEARCH("[済]",INDEX(Material_Detail!$D:$DC,MATCH($A8,Material_Detail!$DE:$DE,0)+1,87))),0,IFERROR(INDEX(Material_Detail!$D:$DC,MATCH($A8,Material_Detail!$DE:$DE,0),87),0)),SUMIFS(T_Shipments[Confirmed_Qty],T_Shipments[Part Name],$A8,T_Shipments[Effective_Week],87))</f>
        <v/>
      </c>
      <c r="CK8">
        <f>IF(COUNTIF(Material_Detail!$DE:$DE,$A8)&gt;0,IF(ISNUMBER(SEARCH("[済]",INDEX(Material_Detail!$D:$DC,MATCH($A8,Material_Detail!$DE:$DE,0)+1,88))),0,IFERROR(INDEX(Material_Detail!$D:$DC,MATCH($A8,Material_Detail!$DE:$DE,0),88),0)),SUMIFS(T_Shipments[Confirmed_Qty],T_Shipments[Part Name],$A8,T_Shipments[Effective_Week],88))</f>
        <v/>
      </c>
      <c r="CL8">
        <f>IF(COUNTIF(Material_Detail!$DE:$DE,$A8)&gt;0,IF(ISNUMBER(SEARCH("[済]",INDEX(Material_Detail!$D:$DC,MATCH($A8,Material_Detail!$DE:$DE,0)+1,89))),0,IFERROR(INDEX(Material_Detail!$D:$DC,MATCH($A8,Material_Detail!$DE:$DE,0),89),0)),SUMIFS(T_Shipments[Confirmed_Qty],T_Shipments[Part Name],$A8,T_Shipments[Effective_Week],89))</f>
        <v/>
      </c>
      <c r="CM8">
        <f>IF(COUNTIF(Material_Detail!$DE:$DE,$A8)&gt;0,IF(ISNUMBER(SEARCH("[済]",INDEX(Material_Detail!$D:$DC,MATCH($A8,Material_Detail!$DE:$DE,0)+1,90))),0,IFERROR(INDEX(Material_Detail!$D:$DC,MATCH($A8,Material_Detail!$DE:$DE,0),90),0)),SUMIFS(T_Shipments[Confirmed_Qty],T_Shipments[Part Name],$A8,T_Shipments[Effective_Week],90))</f>
        <v/>
      </c>
      <c r="CN8">
        <f>IF(COUNTIF(Material_Detail!$DE:$DE,$A8)&gt;0,IF(ISNUMBER(SEARCH("[済]",INDEX(Material_Detail!$D:$DC,MATCH($A8,Material_Detail!$DE:$DE,0)+1,91))),0,IFERROR(INDEX(Material_Detail!$D:$DC,MATCH($A8,Material_Detail!$DE:$DE,0),91),0)),SUMIFS(T_Shipments[Confirmed_Qty],T_Shipments[Part Name],$A8,T_Shipments[Effective_Week],91))</f>
        <v/>
      </c>
      <c r="CO8">
        <f>IF(COUNTIF(Material_Detail!$DE:$DE,$A8)&gt;0,IF(ISNUMBER(SEARCH("[済]",INDEX(Material_Detail!$D:$DC,MATCH($A8,Material_Detail!$DE:$DE,0)+1,92))),0,IFERROR(INDEX(Material_Detail!$D:$DC,MATCH($A8,Material_Detail!$DE:$DE,0),92),0)),SUMIFS(T_Shipments[Confirmed_Qty],T_Shipments[Part Name],$A8,T_Shipments[Effective_Week],92))</f>
        <v/>
      </c>
      <c r="CP8">
        <f>IF(COUNTIF(Material_Detail!$DE:$DE,$A8)&gt;0,IF(ISNUMBER(SEARCH("[済]",INDEX(Material_Detail!$D:$DC,MATCH($A8,Material_Detail!$DE:$DE,0)+1,93))),0,IFERROR(INDEX(Material_Detail!$D:$DC,MATCH($A8,Material_Detail!$DE:$DE,0),93),0)),SUMIFS(T_Shipments[Confirmed_Qty],T_Shipments[Part Name],$A8,T_Shipments[Effective_Week],93))</f>
        <v/>
      </c>
      <c r="CQ8">
        <f>IF(COUNTIF(Material_Detail!$DE:$DE,$A8)&gt;0,IF(ISNUMBER(SEARCH("[済]",INDEX(Material_Detail!$D:$DC,MATCH($A8,Material_Detail!$DE:$DE,0)+1,94))),0,IFERROR(INDEX(Material_Detail!$D:$DC,MATCH($A8,Material_Detail!$DE:$DE,0),94),0)),SUMIFS(T_Shipments[Confirmed_Qty],T_Shipments[Part Name],$A8,T_Shipments[Effective_Week],94))</f>
        <v/>
      </c>
      <c r="CR8">
        <f>IF(COUNTIF(Material_Detail!$DE:$DE,$A8)&gt;0,IF(ISNUMBER(SEARCH("[済]",INDEX(Material_Detail!$D:$DC,MATCH($A8,Material_Detail!$DE:$DE,0)+1,95))),0,IFERROR(INDEX(Material_Detail!$D:$DC,MATCH($A8,Material_Detail!$DE:$DE,0),95),0)),SUMIFS(T_Shipments[Confirmed_Qty],T_Shipments[Part Name],$A8,T_Shipments[Effective_Week],95))</f>
        <v/>
      </c>
      <c r="CS8">
        <f>IF(COUNTIF(Material_Detail!$DE:$DE,$A8)&gt;0,IF(ISNUMBER(SEARCH("[済]",INDEX(Material_Detail!$D:$DC,MATCH($A8,Material_Detail!$DE:$DE,0)+1,96))),0,IFERROR(INDEX(Material_Detail!$D:$DC,MATCH($A8,Material_Detail!$DE:$DE,0),96),0)),SUMIFS(T_Shipments[Confirmed_Qty],T_Shipments[Part Name],$A8,T_Shipments[Effective_Week],96))</f>
        <v/>
      </c>
      <c r="CT8">
        <f>IF(COUNTIF(Material_Detail!$DE:$DE,$A8)&gt;0,IF(ISNUMBER(SEARCH("[済]",INDEX(Material_Detail!$D:$DC,MATCH($A8,Material_Detail!$DE:$DE,0)+1,97))),0,IFERROR(INDEX(Material_Detail!$D:$DC,MATCH($A8,Material_Detail!$DE:$DE,0),97),0)),SUMIFS(T_Shipments[Confirmed_Qty],T_Shipments[Part Name],$A8,T_Shipments[Effective_Week],97))</f>
        <v/>
      </c>
      <c r="CU8">
        <f>IF(COUNTIF(Material_Detail!$DE:$DE,$A8)&gt;0,IF(ISNUMBER(SEARCH("[済]",INDEX(Material_Detail!$D:$DC,MATCH($A8,Material_Detail!$DE:$DE,0)+1,98))),0,IFERROR(INDEX(Material_Detail!$D:$DC,MATCH($A8,Material_Detail!$DE:$DE,0),98),0)),SUMIFS(T_Shipments[Confirmed_Qty],T_Shipments[Part Name],$A8,T_Shipments[Effective_Week],98))</f>
        <v/>
      </c>
      <c r="CV8">
        <f>IF(COUNTIF(Material_Detail!$DE:$DE,$A8)&gt;0,IF(ISNUMBER(SEARCH("[済]",INDEX(Material_Detail!$D:$DC,MATCH($A8,Material_Detail!$DE:$DE,0)+1,99))),0,IFERROR(INDEX(Material_Detail!$D:$DC,MATCH($A8,Material_Detail!$DE:$DE,0),99),0)),SUMIFS(T_Shipments[Confirmed_Qty],T_Shipments[Part Name],$A8,T_Shipments[Effective_Week],99))</f>
        <v/>
      </c>
      <c r="CW8">
        <f>IF(COUNTIF(Material_Detail!$DE:$DE,$A8)&gt;0,IF(ISNUMBER(SEARCH("[済]",INDEX(Material_Detail!$D:$DC,MATCH($A8,Material_Detail!$DE:$DE,0)+1,100))),0,IFERROR(INDEX(Material_Detail!$D:$DC,MATCH($A8,Material_Detail!$DE:$DE,0),100),0)),SUMIFS(T_Shipments[Confirmed_Qty],T_Shipments[Part Name],$A8,T_Shipments[Effective_Week],100))</f>
        <v/>
      </c>
      <c r="CX8">
        <f>IF(COUNTIF(Material_Detail!$DE:$DE,$A8)&gt;0,IF(ISNUMBER(SEARCH("[済]",INDEX(Material_Detail!$D:$DC,MATCH($A8,Material_Detail!$DE:$DE,0)+1,101))),0,IFERROR(INDEX(Material_Detail!$D:$DC,MATCH($A8,Material_Detail!$DE:$DE,0),101),0)),SUMIFS(T_Shipments[Confirmed_Qty],T_Shipments[Part Name],$A8,T_Shipments[Effective_Week],101))</f>
        <v/>
      </c>
      <c r="CY8">
        <f>IF(COUNTIF(Material_Detail!$DE:$DE,$A8)&gt;0,IF(ISNUMBER(SEARCH("[済]",INDEX(Material_Detail!$D:$DC,MATCH($A8,Material_Detail!$DE:$DE,0)+1,102))),0,IFERROR(INDEX(Material_Detail!$D:$DC,MATCH($A8,Material_Detail!$DE:$DE,0),102),0)),SUMIFS(T_Shipments[Confirmed_Qty],T_Shipments[Part Name],$A8,T_Shipments[Effective_Week],102))</f>
        <v/>
      </c>
      <c r="CZ8">
        <f>IF(COUNTIF(Material_Detail!$DE:$DE,$A8)&gt;0,IF(ISNUMBER(SEARCH("[済]",INDEX(Material_Detail!$D:$DC,MATCH($A8,Material_Detail!$DE:$DE,0)+1,103))),0,IFERROR(INDEX(Material_Detail!$D:$DC,MATCH($A8,Material_Detail!$DE:$DE,0),103),0)),SUMIFS(T_Shipments[Confirmed_Qty],T_Shipments[Part Name],$A8,T_Shipments[Effective_Week],103))</f>
        <v/>
      </c>
      <c r="DA8">
        <f>IF(COUNTIF(Material_Detail!$DE:$DE,$A8)&gt;0,IF(ISNUMBER(SEARCH("[済]",INDEX(Material_Detail!$D:$DC,MATCH($A8,Material_Detail!$DE:$DE,0)+1,104))),0,IFERROR(INDEX(Material_Detail!$D:$DC,MATCH($A8,Material_Detail!$DE:$DE,0),104),0)),SUMIFS(T_Shipments[Confirmed_Qty],T_Shipments[Part Name],$A8,T_Shipments[Effective_Week],104))</f>
        <v/>
      </c>
    </row>
    <row r="9">
      <c r="A9" t="inlineStr">
        <is>
          <t>3TP</t>
        </is>
      </c>
      <c r="B9">
        <f>IF(COUNTIF(Material_Detail!$DE:$DE,$A9)&gt;0,IF(ISNUMBER(SEARCH("[済]",INDEX(Material_Detail!$D:$DC,MATCH($A9,Material_Detail!$DE:$DE,0)+1,1))),0,IFERROR(INDEX(Material_Detail!$D:$DC,MATCH($A9,Material_Detail!$DE:$DE,0),1),0)),SUMIFS(T_Shipments[Confirmed_Qty],T_Shipments[Part Name],$A9,T_Shipments[Effective_Week],1))</f>
        <v/>
      </c>
      <c r="C9">
        <f>IF(COUNTIF(Material_Detail!$DE:$DE,$A9)&gt;0,IF(ISNUMBER(SEARCH("[済]",INDEX(Material_Detail!$D:$DC,MATCH($A9,Material_Detail!$DE:$DE,0)+1,2))),0,IFERROR(INDEX(Material_Detail!$D:$DC,MATCH($A9,Material_Detail!$DE:$DE,0),2),0)),SUMIFS(T_Shipments[Confirmed_Qty],T_Shipments[Part Name],$A9,T_Shipments[Effective_Week],2))</f>
        <v/>
      </c>
      <c r="D9">
        <f>IF(COUNTIF(Material_Detail!$DE:$DE,$A9)&gt;0,IF(ISNUMBER(SEARCH("[済]",INDEX(Material_Detail!$D:$DC,MATCH($A9,Material_Detail!$DE:$DE,0)+1,3))),0,IFERROR(INDEX(Material_Detail!$D:$DC,MATCH($A9,Material_Detail!$DE:$DE,0),3),0)),SUMIFS(T_Shipments[Confirmed_Qty],T_Shipments[Part Name],$A9,T_Shipments[Effective_Week],3))</f>
        <v/>
      </c>
      <c r="E9">
        <f>IF(COUNTIF(Material_Detail!$DE:$DE,$A9)&gt;0,IF(ISNUMBER(SEARCH("[済]",INDEX(Material_Detail!$D:$DC,MATCH($A9,Material_Detail!$DE:$DE,0)+1,4))),0,IFERROR(INDEX(Material_Detail!$D:$DC,MATCH($A9,Material_Detail!$DE:$DE,0),4),0)),SUMIFS(T_Shipments[Confirmed_Qty],T_Shipments[Part Name],$A9,T_Shipments[Effective_Week],4))</f>
        <v/>
      </c>
      <c r="F9">
        <f>IF(COUNTIF(Material_Detail!$DE:$DE,$A9)&gt;0,IF(ISNUMBER(SEARCH("[済]",INDEX(Material_Detail!$D:$DC,MATCH($A9,Material_Detail!$DE:$DE,0)+1,5))),0,IFERROR(INDEX(Material_Detail!$D:$DC,MATCH($A9,Material_Detail!$DE:$DE,0),5),0)),SUMIFS(T_Shipments[Confirmed_Qty],T_Shipments[Part Name],$A9,T_Shipments[Effective_Week],5))</f>
        <v/>
      </c>
      <c r="G9">
        <f>IF(COUNTIF(Material_Detail!$DE:$DE,$A9)&gt;0,IF(ISNUMBER(SEARCH("[済]",INDEX(Material_Detail!$D:$DC,MATCH($A9,Material_Detail!$DE:$DE,0)+1,6))),0,IFERROR(INDEX(Material_Detail!$D:$DC,MATCH($A9,Material_Detail!$DE:$DE,0),6),0)),SUMIFS(T_Shipments[Confirmed_Qty],T_Shipments[Part Name],$A9,T_Shipments[Effective_Week],6))</f>
        <v/>
      </c>
      <c r="H9">
        <f>IF(COUNTIF(Material_Detail!$DE:$DE,$A9)&gt;0,IF(ISNUMBER(SEARCH("[済]",INDEX(Material_Detail!$D:$DC,MATCH($A9,Material_Detail!$DE:$DE,0)+1,7))),0,IFERROR(INDEX(Material_Detail!$D:$DC,MATCH($A9,Material_Detail!$DE:$DE,0),7),0)),SUMIFS(T_Shipments[Confirmed_Qty],T_Shipments[Part Name],$A9,T_Shipments[Effective_Week],7))</f>
        <v/>
      </c>
      <c r="I9">
        <f>IF(COUNTIF(Material_Detail!$DE:$DE,$A9)&gt;0,IF(ISNUMBER(SEARCH("[済]",INDEX(Material_Detail!$D:$DC,MATCH($A9,Material_Detail!$DE:$DE,0)+1,8))),0,IFERROR(INDEX(Material_Detail!$D:$DC,MATCH($A9,Material_Detail!$DE:$DE,0),8),0)),SUMIFS(T_Shipments[Confirmed_Qty],T_Shipments[Part Name],$A9,T_Shipments[Effective_Week],8))</f>
        <v/>
      </c>
      <c r="J9">
        <f>IF(COUNTIF(Material_Detail!$DE:$DE,$A9)&gt;0,IF(ISNUMBER(SEARCH("[済]",INDEX(Material_Detail!$D:$DC,MATCH($A9,Material_Detail!$DE:$DE,0)+1,9))),0,IFERROR(INDEX(Material_Detail!$D:$DC,MATCH($A9,Material_Detail!$DE:$DE,0),9),0)),SUMIFS(T_Shipments[Confirmed_Qty],T_Shipments[Part Name],$A9,T_Shipments[Effective_Week],9))</f>
        <v/>
      </c>
      <c r="K9">
        <f>IF(COUNTIF(Material_Detail!$DE:$DE,$A9)&gt;0,IF(ISNUMBER(SEARCH("[済]",INDEX(Material_Detail!$D:$DC,MATCH($A9,Material_Detail!$DE:$DE,0)+1,10))),0,IFERROR(INDEX(Material_Detail!$D:$DC,MATCH($A9,Material_Detail!$DE:$DE,0),10),0)),SUMIFS(T_Shipments[Confirmed_Qty],T_Shipments[Part Name],$A9,T_Shipments[Effective_Week],10))</f>
        <v/>
      </c>
      <c r="L9">
        <f>IF(COUNTIF(Material_Detail!$DE:$DE,$A9)&gt;0,IF(ISNUMBER(SEARCH("[済]",INDEX(Material_Detail!$D:$DC,MATCH($A9,Material_Detail!$DE:$DE,0)+1,11))),0,IFERROR(INDEX(Material_Detail!$D:$DC,MATCH($A9,Material_Detail!$DE:$DE,0),11),0)),SUMIFS(T_Shipments[Confirmed_Qty],T_Shipments[Part Name],$A9,T_Shipments[Effective_Week],11))</f>
        <v/>
      </c>
      <c r="M9">
        <f>IF(COUNTIF(Material_Detail!$DE:$DE,$A9)&gt;0,IF(ISNUMBER(SEARCH("[済]",INDEX(Material_Detail!$D:$DC,MATCH($A9,Material_Detail!$DE:$DE,0)+1,12))),0,IFERROR(INDEX(Material_Detail!$D:$DC,MATCH($A9,Material_Detail!$DE:$DE,0),12),0)),SUMIFS(T_Shipments[Confirmed_Qty],T_Shipments[Part Name],$A9,T_Shipments[Effective_Week],12))</f>
        <v/>
      </c>
      <c r="N9">
        <f>IF(COUNTIF(Material_Detail!$DE:$DE,$A9)&gt;0,IF(ISNUMBER(SEARCH("[済]",INDEX(Material_Detail!$D:$DC,MATCH($A9,Material_Detail!$DE:$DE,0)+1,13))),0,IFERROR(INDEX(Material_Detail!$D:$DC,MATCH($A9,Material_Detail!$DE:$DE,0),13),0)),SUMIFS(T_Shipments[Confirmed_Qty],T_Shipments[Part Name],$A9,T_Shipments[Effective_Week],13))</f>
        <v/>
      </c>
      <c r="O9">
        <f>IF(COUNTIF(Material_Detail!$DE:$DE,$A9)&gt;0,IF(ISNUMBER(SEARCH("[済]",INDEX(Material_Detail!$D:$DC,MATCH($A9,Material_Detail!$DE:$DE,0)+1,14))),0,IFERROR(INDEX(Material_Detail!$D:$DC,MATCH($A9,Material_Detail!$DE:$DE,0),14),0)),SUMIFS(T_Shipments[Confirmed_Qty],T_Shipments[Part Name],$A9,T_Shipments[Effective_Week],14))</f>
        <v/>
      </c>
      <c r="P9">
        <f>IF(COUNTIF(Material_Detail!$DE:$DE,$A9)&gt;0,IF(ISNUMBER(SEARCH("[済]",INDEX(Material_Detail!$D:$DC,MATCH($A9,Material_Detail!$DE:$DE,0)+1,15))),0,IFERROR(INDEX(Material_Detail!$D:$DC,MATCH($A9,Material_Detail!$DE:$DE,0),15),0)),SUMIFS(T_Shipments[Confirmed_Qty],T_Shipments[Part Name],$A9,T_Shipments[Effective_Week],15))</f>
        <v/>
      </c>
      <c r="Q9">
        <f>IF(COUNTIF(Material_Detail!$DE:$DE,$A9)&gt;0,IF(ISNUMBER(SEARCH("[済]",INDEX(Material_Detail!$D:$DC,MATCH($A9,Material_Detail!$DE:$DE,0)+1,16))),0,IFERROR(INDEX(Material_Detail!$D:$DC,MATCH($A9,Material_Detail!$DE:$DE,0),16),0)),SUMIFS(T_Shipments[Confirmed_Qty],T_Shipments[Part Name],$A9,T_Shipments[Effective_Week],16))</f>
        <v/>
      </c>
      <c r="R9">
        <f>IF(COUNTIF(Material_Detail!$DE:$DE,$A9)&gt;0,IF(ISNUMBER(SEARCH("[済]",INDEX(Material_Detail!$D:$DC,MATCH($A9,Material_Detail!$DE:$DE,0)+1,17))),0,IFERROR(INDEX(Material_Detail!$D:$DC,MATCH($A9,Material_Detail!$DE:$DE,0),17),0)),SUMIFS(T_Shipments[Confirmed_Qty],T_Shipments[Part Name],$A9,T_Shipments[Effective_Week],17))</f>
        <v/>
      </c>
      <c r="S9">
        <f>IF(COUNTIF(Material_Detail!$DE:$DE,$A9)&gt;0,IF(ISNUMBER(SEARCH("[済]",INDEX(Material_Detail!$D:$DC,MATCH($A9,Material_Detail!$DE:$DE,0)+1,18))),0,IFERROR(INDEX(Material_Detail!$D:$DC,MATCH($A9,Material_Detail!$DE:$DE,0),18),0)),SUMIFS(T_Shipments[Confirmed_Qty],T_Shipments[Part Name],$A9,T_Shipments[Effective_Week],18))</f>
        <v/>
      </c>
      <c r="T9">
        <f>IF(COUNTIF(Material_Detail!$DE:$DE,$A9)&gt;0,IF(ISNUMBER(SEARCH("[済]",INDEX(Material_Detail!$D:$DC,MATCH($A9,Material_Detail!$DE:$DE,0)+1,19))),0,IFERROR(INDEX(Material_Detail!$D:$DC,MATCH($A9,Material_Detail!$DE:$DE,0),19),0)),SUMIFS(T_Shipments[Confirmed_Qty],T_Shipments[Part Name],$A9,T_Shipments[Effective_Week],19))</f>
        <v/>
      </c>
      <c r="U9">
        <f>IF(COUNTIF(Material_Detail!$DE:$DE,$A9)&gt;0,IF(ISNUMBER(SEARCH("[済]",INDEX(Material_Detail!$D:$DC,MATCH($A9,Material_Detail!$DE:$DE,0)+1,20))),0,IFERROR(INDEX(Material_Detail!$D:$DC,MATCH($A9,Material_Detail!$DE:$DE,0),20),0)),SUMIFS(T_Shipments[Confirmed_Qty],T_Shipments[Part Name],$A9,T_Shipments[Effective_Week],20))</f>
        <v/>
      </c>
      <c r="V9">
        <f>IF(COUNTIF(Material_Detail!$DE:$DE,$A9)&gt;0,IF(ISNUMBER(SEARCH("[済]",INDEX(Material_Detail!$D:$DC,MATCH($A9,Material_Detail!$DE:$DE,0)+1,21))),0,IFERROR(INDEX(Material_Detail!$D:$DC,MATCH($A9,Material_Detail!$DE:$DE,0),21),0)),SUMIFS(T_Shipments[Confirmed_Qty],T_Shipments[Part Name],$A9,T_Shipments[Effective_Week],21))</f>
        <v/>
      </c>
      <c r="W9">
        <f>IF(COUNTIF(Material_Detail!$DE:$DE,$A9)&gt;0,IF(ISNUMBER(SEARCH("[済]",INDEX(Material_Detail!$D:$DC,MATCH($A9,Material_Detail!$DE:$DE,0)+1,22))),0,IFERROR(INDEX(Material_Detail!$D:$DC,MATCH($A9,Material_Detail!$DE:$DE,0),22),0)),SUMIFS(T_Shipments[Confirmed_Qty],T_Shipments[Part Name],$A9,T_Shipments[Effective_Week],22))</f>
        <v/>
      </c>
      <c r="X9">
        <f>IF(COUNTIF(Material_Detail!$DE:$DE,$A9)&gt;0,IF(ISNUMBER(SEARCH("[済]",INDEX(Material_Detail!$D:$DC,MATCH($A9,Material_Detail!$DE:$DE,0)+1,23))),0,IFERROR(INDEX(Material_Detail!$D:$DC,MATCH($A9,Material_Detail!$DE:$DE,0),23),0)),SUMIFS(T_Shipments[Confirmed_Qty],T_Shipments[Part Name],$A9,T_Shipments[Effective_Week],23))</f>
        <v/>
      </c>
      <c r="Y9">
        <f>IF(COUNTIF(Material_Detail!$DE:$DE,$A9)&gt;0,IF(ISNUMBER(SEARCH("[済]",INDEX(Material_Detail!$D:$DC,MATCH($A9,Material_Detail!$DE:$DE,0)+1,24))),0,IFERROR(INDEX(Material_Detail!$D:$DC,MATCH($A9,Material_Detail!$DE:$DE,0),24),0)),SUMIFS(T_Shipments[Confirmed_Qty],T_Shipments[Part Name],$A9,T_Shipments[Effective_Week],24))</f>
        <v/>
      </c>
      <c r="Z9">
        <f>IF(COUNTIF(Material_Detail!$DE:$DE,$A9)&gt;0,IF(ISNUMBER(SEARCH("[済]",INDEX(Material_Detail!$D:$DC,MATCH($A9,Material_Detail!$DE:$DE,0)+1,25))),0,IFERROR(INDEX(Material_Detail!$D:$DC,MATCH($A9,Material_Detail!$DE:$DE,0),25),0)),SUMIFS(T_Shipments[Confirmed_Qty],T_Shipments[Part Name],$A9,T_Shipments[Effective_Week],25))</f>
        <v/>
      </c>
      <c r="AA9">
        <f>IF(COUNTIF(Material_Detail!$DE:$DE,$A9)&gt;0,IF(ISNUMBER(SEARCH("[済]",INDEX(Material_Detail!$D:$DC,MATCH($A9,Material_Detail!$DE:$DE,0)+1,26))),0,IFERROR(INDEX(Material_Detail!$D:$DC,MATCH($A9,Material_Detail!$DE:$DE,0),26),0)),SUMIFS(T_Shipments[Confirmed_Qty],T_Shipments[Part Name],$A9,T_Shipments[Effective_Week],26))</f>
        <v/>
      </c>
      <c r="AB9">
        <f>IF(COUNTIF(Material_Detail!$DE:$DE,$A9)&gt;0,IF(ISNUMBER(SEARCH("[済]",INDEX(Material_Detail!$D:$DC,MATCH($A9,Material_Detail!$DE:$DE,0)+1,27))),0,IFERROR(INDEX(Material_Detail!$D:$DC,MATCH($A9,Material_Detail!$DE:$DE,0),27),0)),SUMIFS(T_Shipments[Confirmed_Qty],T_Shipments[Part Name],$A9,T_Shipments[Effective_Week],27))</f>
        <v/>
      </c>
      <c r="AC9">
        <f>IF(COUNTIF(Material_Detail!$DE:$DE,$A9)&gt;0,IF(ISNUMBER(SEARCH("[済]",INDEX(Material_Detail!$D:$DC,MATCH($A9,Material_Detail!$DE:$DE,0)+1,28))),0,IFERROR(INDEX(Material_Detail!$D:$DC,MATCH($A9,Material_Detail!$DE:$DE,0),28),0)),SUMIFS(T_Shipments[Confirmed_Qty],T_Shipments[Part Name],$A9,T_Shipments[Effective_Week],28))</f>
        <v/>
      </c>
      <c r="AD9">
        <f>IF(COUNTIF(Material_Detail!$DE:$DE,$A9)&gt;0,IF(ISNUMBER(SEARCH("[済]",INDEX(Material_Detail!$D:$DC,MATCH($A9,Material_Detail!$DE:$DE,0)+1,29))),0,IFERROR(INDEX(Material_Detail!$D:$DC,MATCH($A9,Material_Detail!$DE:$DE,0),29),0)),SUMIFS(T_Shipments[Confirmed_Qty],T_Shipments[Part Name],$A9,T_Shipments[Effective_Week],29))</f>
        <v/>
      </c>
      <c r="AE9">
        <f>IF(COUNTIF(Material_Detail!$DE:$DE,$A9)&gt;0,IF(ISNUMBER(SEARCH("[済]",INDEX(Material_Detail!$D:$DC,MATCH($A9,Material_Detail!$DE:$DE,0)+1,30))),0,IFERROR(INDEX(Material_Detail!$D:$DC,MATCH($A9,Material_Detail!$DE:$DE,0),30),0)),SUMIFS(T_Shipments[Confirmed_Qty],T_Shipments[Part Name],$A9,T_Shipments[Effective_Week],30))</f>
        <v/>
      </c>
      <c r="AF9">
        <f>IF(COUNTIF(Material_Detail!$DE:$DE,$A9)&gt;0,IF(ISNUMBER(SEARCH("[済]",INDEX(Material_Detail!$D:$DC,MATCH($A9,Material_Detail!$DE:$DE,0)+1,31))),0,IFERROR(INDEX(Material_Detail!$D:$DC,MATCH($A9,Material_Detail!$DE:$DE,0),31),0)),SUMIFS(T_Shipments[Confirmed_Qty],T_Shipments[Part Name],$A9,T_Shipments[Effective_Week],31))</f>
        <v/>
      </c>
      <c r="AG9">
        <f>IF(COUNTIF(Material_Detail!$DE:$DE,$A9)&gt;0,IF(ISNUMBER(SEARCH("[済]",INDEX(Material_Detail!$D:$DC,MATCH($A9,Material_Detail!$DE:$DE,0)+1,32))),0,IFERROR(INDEX(Material_Detail!$D:$DC,MATCH($A9,Material_Detail!$DE:$DE,0),32),0)),SUMIFS(T_Shipments[Confirmed_Qty],T_Shipments[Part Name],$A9,T_Shipments[Effective_Week],32))</f>
        <v/>
      </c>
      <c r="AH9">
        <f>IF(COUNTIF(Material_Detail!$DE:$DE,$A9)&gt;0,IF(ISNUMBER(SEARCH("[済]",INDEX(Material_Detail!$D:$DC,MATCH($A9,Material_Detail!$DE:$DE,0)+1,33))),0,IFERROR(INDEX(Material_Detail!$D:$DC,MATCH($A9,Material_Detail!$DE:$DE,0),33),0)),SUMIFS(T_Shipments[Confirmed_Qty],T_Shipments[Part Name],$A9,T_Shipments[Effective_Week],33))</f>
        <v/>
      </c>
      <c r="AI9">
        <f>IF(COUNTIF(Material_Detail!$DE:$DE,$A9)&gt;0,IF(ISNUMBER(SEARCH("[済]",INDEX(Material_Detail!$D:$DC,MATCH($A9,Material_Detail!$DE:$DE,0)+1,34))),0,IFERROR(INDEX(Material_Detail!$D:$DC,MATCH($A9,Material_Detail!$DE:$DE,0),34),0)),SUMIFS(T_Shipments[Confirmed_Qty],T_Shipments[Part Name],$A9,T_Shipments[Effective_Week],34))</f>
        <v/>
      </c>
      <c r="AJ9">
        <f>IF(COUNTIF(Material_Detail!$DE:$DE,$A9)&gt;0,IF(ISNUMBER(SEARCH("[済]",INDEX(Material_Detail!$D:$DC,MATCH($A9,Material_Detail!$DE:$DE,0)+1,35))),0,IFERROR(INDEX(Material_Detail!$D:$DC,MATCH($A9,Material_Detail!$DE:$DE,0),35),0)),SUMIFS(T_Shipments[Confirmed_Qty],T_Shipments[Part Name],$A9,T_Shipments[Effective_Week],35))</f>
        <v/>
      </c>
      <c r="AK9">
        <f>IF(COUNTIF(Material_Detail!$DE:$DE,$A9)&gt;0,IF(ISNUMBER(SEARCH("[済]",INDEX(Material_Detail!$D:$DC,MATCH($A9,Material_Detail!$DE:$DE,0)+1,36))),0,IFERROR(INDEX(Material_Detail!$D:$DC,MATCH($A9,Material_Detail!$DE:$DE,0),36),0)),SUMIFS(T_Shipments[Confirmed_Qty],T_Shipments[Part Name],$A9,T_Shipments[Effective_Week],36))</f>
        <v/>
      </c>
      <c r="AL9">
        <f>IF(COUNTIF(Material_Detail!$DE:$DE,$A9)&gt;0,IF(ISNUMBER(SEARCH("[済]",INDEX(Material_Detail!$D:$DC,MATCH($A9,Material_Detail!$DE:$DE,0)+1,37))),0,IFERROR(INDEX(Material_Detail!$D:$DC,MATCH($A9,Material_Detail!$DE:$DE,0),37),0)),SUMIFS(T_Shipments[Confirmed_Qty],T_Shipments[Part Name],$A9,T_Shipments[Effective_Week],37))</f>
        <v/>
      </c>
      <c r="AM9">
        <f>IF(COUNTIF(Material_Detail!$DE:$DE,$A9)&gt;0,IF(ISNUMBER(SEARCH("[済]",INDEX(Material_Detail!$D:$DC,MATCH($A9,Material_Detail!$DE:$DE,0)+1,38))),0,IFERROR(INDEX(Material_Detail!$D:$DC,MATCH($A9,Material_Detail!$DE:$DE,0),38),0)),SUMIFS(T_Shipments[Confirmed_Qty],T_Shipments[Part Name],$A9,T_Shipments[Effective_Week],38))</f>
        <v/>
      </c>
      <c r="AN9">
        <f>IF(COUNTIF(Material_Detail!$DE:$DE,$A9)&gt;0,IF(ISNUMBER(SEARCH("[済]",INDEX(Material_Detail!$D:$DC,MATCH($A9,Material_Detail!$DE:$DE,0)+1,39))),0,IFERROR(INDEX(Material_Detail!$D:$DC,MATCH($A9,Material_Detail!$DE:$DE,0),39),0)),SUMIFS(T_Shipments[Confirmed_Qty],T_Shipments[Part Name],$A9,T_Shipments[Effective_Week],39))</f>
        <v/>
      </c>
      <c r="AO9">
        <f>IF(COUNTIF(Material_Detail!$DE:$DE,$A9)&gt;0,IF(ISNUMBER(SEARCH("[済]",INDEX(Material_Detail!$D:$DC,MATCH($A9,Material_Detail!$DE:$DE,0)+1,40))),0,IFERROR(INDEX(Material_Detail!$D:$DC,MATCH($A9,Material_Detail!$DE:$DE,0),40),0)),SUMIFS(T_Shipments[Confirmed_Qty],T_Shipments[Part Name],$A9,T_Shipments[Effective_Week],40))</f>
        <v/>
      </c>
      <c r="AP9">
        <f>IF(COUNTIF(Material_Detail!$DE:$DE,$A9)&gt;0,IF(ISNUMBER(SEARCH("[済]",INDEX(Material_Detail!$D:$DC,MATCH($A9,Material_Detail!$DE:$DE,0)+1,41))),0,IFERROR(INDEX(Material_Detail!$D:$DC,MATCH($A9,Material_Detail!$DE:$DE,0),41),0)),SUMIFS(T_Shipments[Confirmed_Qty],T_Shipments[Part Name],$A9,T_Shipments[Effective_Week],41))</f>
        <v/>
      </c>
      <c r="AQ9">
        <f>IF(COUNTIF(Material_Detail!$DE:$DE,$A9)&gt;0,IF(ISNUMBER(SEARCH("[済]",INDEX(Material_Detail!$D:$DC,MATCH($A9,Material_Detail!$DE:$DE,0)+1,42))),0,IFERROR(INDEX(Material_Detail!$D:$DC,MATCH($A9,Material_Detail!$DE:$DE,0),42),0)),SUMIFS(T_Shipments[Confirmed_Qty],T_Shipments[Part Name],$A9,T_Shipments[Effective_Week],42))</f>
        <v/>
      </c>
      <c r="AR9">
        <f>IF(COUNTIF(Material_Detail!$DE:$DE,$A9)&gt;0,IF(ISNUMBER(SEARCH("[済]",INDEX(Material_Detail!$D:$DC,MATCH($A9,Material_Detail!$DE:$DE,0)+1,43))),0,IFERROR(INDEX(Material_Detail!$D:$DC,MATCH($A9,Material_Detail!$DE:$DE,0),43),0)),SUMIFS(T_Shipments[Confirmed_Qty],T_Shipments[Part Name],$A9,T_Shipments[Effective_Week],43))</f>
        <v/>
      </c>
      <c r="AS9">
        <f>IF(COUNTIF(Material_Detail!$DE:$DE,$A9)&gt;0,IF(ISNUMBER(SEARCH("[済]",INDEX(Material_Detail!$D:$DC,MATCH($A9,Material_Detail!$DE:$DE,0)+1,44))),0,IFERROR(INDEX(Material_Detail!$D:$DC,MATCH($A9,Material_Detail!$DE:$DE,0),44),0)),SUMIFS(T_Shipments[Confirmed_Qty],T_Shipments[Part Name],$A9,T_Shipments[Effective_Week],44))</f>
        <v/>
      </c>
      <c r="AT9">
        <f>IF(COUNTIF(Material_Detail!$DE:$DE,$A9)&gt;0,IF(ISNUMBER(SEARCH("[済]",INDEX(Material_Detail!$D:$DC,MATCH($A9,Material_Detail!$DE:$DE,0)+1,45))),0,IFERROR(INDEX(Material_Detail!$D:$DC,MATCH($A9,Material_Detail!$DE:$DE,0),45),0)),SUMIFS(T_Shipments[Confirmed_Qty],T_Shipments[Part Name],$A9,T_Shipments[Effective_Week],45))</f>
        <v/>
      </c>
      <c r="AU9">
        <f>IF(COUNTIF(Material_Detail!$DE:$DE,$A9)&gt;0,IF(ISNUMBER(SEARCH("[済]",INDEX(Material_Detail!$D:$DC,MATCH($A9,Material_Detail!$DE:$DE,0)+1,46))),0,IFERROR(INDEX(Material_Detail!$D:$DC,MATCH($A9,Material_Detail!$DE:$DE,0),46),0)),SUMIFS(T_Shipments[Confirmed_Qty],T_Shipments[Part Name],$A9,T_Shipments[Effective_Week],46))</f>
        <v/>
      </c>
      <c r="AV9">
        <f>IF(COUNTIF(Material_Detail!$DE:$DE,$A9)&gt;0,IF(ISNUMBER(SEARCH("[済]",INDEX(Material_Detail!$D:$DC,MATCH($A9,Material_Detail!$DE:$DE,0)+1,47))),0,IFERROR(INDEX(Material_Detail!$D:$DC,MATCH($A9,Material_Detail!$DE:$DE,0),47),0)),SUMIFS(T_Shipments[Confirmed_Qty],T_Shipments[Part Name],$A9,T_Shipments[Effective_Week],47))</f>
        <v/>
      </c>
      <c r="AW9">
        <f>IF(COUNTIF(Material_Detail!$DE:$DE,$A9)&gt;0,IF(ISNUMBER(SEARCH("[済]",INDEX(Material_Detail!$D:$DC,MATCH($A9,Material_Detail!$DE:$DE,0)+1,48))),0,IFERROR(INDEX(Material_Detail!$D:$DC,MATCH($A9,Material_Detail!$DE:$DE,0),48),0)),SUMIFS(T_Shipments[Confirmed_Qty],T_Shipments[Part Name],$A9,T_Shipments[Effective_Week],48))</f>
        <v/>
      </c>
      <c r="AX9">
        <f>IF(COUNTIF(Material_Detail!$DE:$DE,$A9)&gt;0,IF(ISNUMBER(SEARCH("[済]",INDEX(Material_Detail!$D:$DC,MATCH($A9,Material_Detail!$DE:$DE,0)+1,49))),0,IFERROR(INDEX(Material_Detail!$D:$DC,MATCH($A9,Material_Detail!$DE:$DE,0),49),0)),SUMIFS(T_Shipments[Confirmed_Qty],T_Shipments[Part Name],$A9,T_Shipments[Effective_Week],49))</f>
        <v/>
      </c>
      <c r="AY9">
        <f>IF(COUNTIF(Material_Detail!$DE:$DE,$A9)&gt;0,IF(ISNUMBER(SEARCH("[済]",INDEX(Material_Detail!$D:$DC,MATCH($A9,Material_Detail!$DE:$DE,0)+1,50))),0,IFERROR(INDEX(Material_Detail!$D:$DC,MATCH($A9,Material_Detail!$DE:$DE,0),50),0)),SUMIFS(T_Shipments[Confirmed_Qty],T_Shipments[Part Name],$A9,T_Shipments[Effective_Week],50))</f>
        <v/>
      </c>
      <c r="AZ9">
        <f>IF(COUNTIF(Material_Detail!$DE:$DE,$A9)&gt;0,IF(ISNUMBER(SEARCH("[済]",INDEX(Material_Detail!$D:$DC,MATCH($A9,Material_Detail!$DE:$DE,0)+1,51))),0,IFERROR(INDEX(Material_Detail!$D:$DC,MATCH($A9,Material_Detail!$DE:$DE,0),51),0)),SUMIFS(T_Shipments[Confirmed_Qty],T_Shipments[Part Name],$A9,T_Shipments[Effective_Week],51))</f>
        <v/>
      </c>
      <c r="BA9">
        <f>IF(COUNTIF(Material_Detail!$DE:$DE,$A9)&gt;0,IF(ISNUMBER(SEARCH("[済]",INDEX(Material_Detail!$D:$DC,MATCH($A9,Material_Detail!$DE:$DE,0)+1,52))),0,IFERROR(INDEX(Material_Detail!$D:$DC,MATCH($A9,Material_Detail!$DE:$DE,0),52),0)),SUMIFS(T_Shipments[Confirmed_Qty],T_Shipments[Part Name],$A9,T_Shipments[Effective_Week],52))</f>
        <v/>
      </c>
      <c r="BB9">
        <f>IF(COUNTIF(Material_Detail!$DE:$DE,$A9)&gt;0,IF(ISNUMBER(SEARCH("[済]",INDEX(Material_Detail!$D:$DC,MATCH($A9,Material_Detail!$DE:$DE,0)+1,53))),0,IFERROR(INDEX(Material_Detail!$D:$DC,MATCH($A9,Material_Detail!$DE:$DE,0),53),0)),SUMIFS(T_Shipments[Confirmed_Qty],T_Shipments[Part Name],$A9,T_Shipments[Effective_Week],53))</f>
        <v/>
      </c>
      <c r="BC9">
        <f>IF(COUNTIF(Material_Detail!$DE:$DE,$A9)&gt;0,IF(ISNUMBER(SEARCH("[済]",INDEX(Material_Detail!$D:$DC,MATCH($A9,Material_Detail!$DE:$DE,0)+1,54))),0,IFERROR(INDEX(Material_Detail!$D:$DC,MATCH($A9,Material_Detail!$DE:$DE,0),54),0)),SUMIFS(T_Shipments[Confirmed_Qty],T_Shipments[Part Name],$A9,T_Shipments[Effective_Week],54))</f>
        <v/>
      </c>
      <c r="BD9">
        <f>IF(COUNTIF(Material_Detail!$DE:$DE,$A9)&gt;0,IF(ISNUMBER(SEARCH("[済]",INDEX(Material_Detail!$D:$DC,MATCH($A9,Material_Detail!$DE:$DE,0)+1,55))),0,IFERROR(INDEX(Material_Detail!$D:$DC,MATCH($A9,Material_Detail!$DE:$DE,0),55),0)),SUMIFS(T_Shipments[Confirmed_Qty],T_Shipments[Part Name],$A9,T_Shipments[Effective_Week],55))</f>
        <v/>
      </c>
      <c r="BE9">
        <f>IF(COUNTIF(Material_Detail!$DE:$DE,$A9)&gt;0,IF(ISNUMBER(SEARCH("[済]",INDEX(Material_Detail!$D:$DC,MATCH($A9,Material_Detail!$DE:$DE,0)+1,56))),0,IFERROR(INDEX(Material_Detail!$D:$DC,MATCH($A9,Material_Detail!$DE:$DE,0),56),0)),SUMIFS(T_Shipments[Confirmed_Qty],T_Shipments[Part Name],$A9,T_Shipments[Effective_Week],56))</f>
        <v/>
      </c>
      <c r="BF9">
        <f>IF(COUNTIF(Material_Detail!$DE:$DE,$A9)&gt;0,IF(ISNUMBER(SEARCH("[済]",INDEX(Material_Detail!$D:$DC,MATCH($A9,Material_Detail!$DE:$DE,0)+1,57))),0,IFERROR(INDEX(Material_Detail!$D:$DC,MATCH($A9,Material_Detail!$DE:$DE,0),57),0)),SUMIFS(T_Shipments[Confirmed_Qty],T_Shipments[Part Name],$A9,T_Shipments[Effective_Week],57))</f>
        <v/>
      </c>
      <c r="BG9">
        <f>IF(COUNTIF(Material_Detail!$DE:$DE,$A9)&gt;0,IF(ISNUMBER(SEARCH("[済]",INDEX(Material_Detail!$D:$DC,MATCH($A9,Material_Detail!$DE:$DE,0)+1,58))),0,IFERROR(INDEX(Material_Detail!$D:$DC,MATCH($A9,Material_Detail!$DE:$DE,0),58),0)),SUMIFS(T_Shipments[Confirmed_Qty],T_Shipments[Part Name],$A9,T_Shipments[Effective_Week],58))</f>
        <v/>
      </c>
      <c r="BH9">
        <f>IF(COUNTIF(Material_Detail!$DE:$DE,$A9)&gt;0,IF(ISNUMBER(SEARCH("[済]",INDEX(Material_Detail!$D:$DC,MATCH($A9,Material_Detail!$DE:$DE,0)+1,59))),0,IFERROR(INDEX(Material_Detail!$D:$DC,MATCH($A9,Material_Detail!$DE:$DE,0),59),0)),SUMIFS(T_Shipments[Confirmed_Qty],T_Shipments[Part Name],$A9,T_Shipments[Effective_Week],59))</f>
        <v/>
      </c>
      <c r="BI9">
        <f>IF(COUNTIF(Material_Detail!$DE:$DE,$A9)&gt;0,IF(ISNUMBER(SEARCH("[済]",INDEX(Material_Detail!$D:$DC,MATCH($A9,Material_Detail!$DE:$DE,0)+1,60))),0,IFERROR(INDEX(Material_Detail!$D:$DC,MATCH($A9,Material_Detail!$DE:$DE,0),60),0)),SUMIFS(T_Shipments[Confirmed_Qty],T_Shipments[Part Name],$A9,T_Shipments[Effective_Week],60))</f>
        <v/>
      </c>
      <c r="BJ9">
        <f>IF(COUNTIF(Material_Detail!$DE:$DE,$A9)&gt;0,IF(ISNUMBER(SEARCH("[済]",INDEX(Material_Detail!$D:$DC,MATCH($A9,Material_Detail!$DE:$DE,0)+1,61))),0,IFERROR(INDEX(Material_Detail!$D:$DC,MATCH($A9,Material_Detail!$DE:$DE,0),61),0)),SUMIFS(T_Shipments[Confirmed_Qty],T_Shipments[Part Name],$A9,T_Shipments[Effective_Week],61))</f>
        <v/>
      </c>
      <c r="BK9">
        <f>IF(COUNTIF(Material_Detail!$DE:$DE,$A9)&gt;0,IF(ISNUMBER(SEARCH("[済]",INDEX(Material_Detail!$D:$DC,MATCH($A9,Material_Detail!$DE:$DE,0)+1,62))),0,IFERROR(INDEX(Material_Detail!$D:$DC,MATCH($A9,Material_Detail!$DE:$DE,0),62),0)),SUMIFS(T_Shipments[Confirmed_Qty],T_Shipments[Part Name],$A9,T_Shipments[Effective_Week],62))</f>
        <v/>
      </c>
      <c r="BL9">
        <f>IF(COUNTIF(Material_Detail!$DE:$DE,$A9)&gt;0,IF(ISNUMBER(SEARCH("[済]",INDEX(Material_Detail!$D:$DC,MATCH($A9,Material_Detail!$DE:$DE,0)+1,63))),0,IFERROR(INDEX(Material_Detail!$D:$DC,MATCH($A9,Material_Detail!$DE:$DE,0),63),0)),SUMIFS(T_Shipments[Confirmed_Qty],T_Shipments[Part Name],$A9,T_Shipments[Effective_Week],63))</f>
        <v/>
      </c>
      <c r="BM9">
        <f>IF(COUNTIF(Material_Detail!$DE:$DE,$A9)&gt;0,IF(ISNUMBER(SEARCH("[済]",INDEX(Material_Detail!$D:$DC,MATCH($A9,Material_Detail!$DE:$DE,0)+1,64))),0,IFERROR(INDEX(Material_Detail!$D:$DC,MATCH($A9,Material_Detail!$DE:$DE,0),64),0)),SUMIFS(T_Shipments[Confirmed_Qty],T_Shipments[Part Name],$A9,T_Shipments[Effective_Week],64))</f>
        <v/>
      </c>
      <c r="BN9">
        <f>IF(COUNTIF(Material_Detail!$DE:$DE,$A9)&gt;0,IF(ISNUMBER(SEARCH("[済]",INDEX(Material_Detail!$D:$DC,MATCH($A9,Material_Detail!$DE:$DE,0)+1,65))),0,IFERROR(INDEX(Material_Detail!$D:$DC,MATCH($A9,Material_Detail!$DE:$DE,0),65),0)),SUMIFS(T_Shipments[Confirmed_Qty],T_Shipments[Part Name],$A9,T_Shipments[Effective_Week],65))</f>
        <v/>
      </c>
      <c r="BO9">
        <f>IF(COUNTIF(Material_Detail!$DE:$DE,$A9)&gt;0,IF(ISNUMBER(SEARCH("[済]",INDEX(Material_Detail!$D:$DC,MATCH($A9,Material_Detail!$DE:$DE,0)+1,66))),0,IFERROR(INDEX(Material_Detail!$D:$DC,MATCH($A9,Material_Detail!$DE:$DE,0),66),0)),SUMIFS(T_Shipments[Confirmed_Qty],T_Shipments[Part Name],$A9,T_Shipments[Effective_Week],66))</f>
        <v/>
      </c>
      <c r="BP9">
        <f>IF(COUNTIF(Material_Detail!$DE:$DE,$A9)&gt;0,IF(ISNUMBER(SEARCH("[済]",INDEX(Material_Detail!$D:$DC,MATCH($A9,Material_Detail!$DE:$DE,0)+1,67))),0,IFERROR(INDEX(Material_Detail!$D:$DC,MATCH($A9,Material_Detail!$DE:$DE,0),67),0)),SUMIFS(T_Shipments[Confirmed_Qty],T_Shipments[Part Name],$A9,T_Shipments[Effective_Week],67))</f>
        <v/>
      </c>
      <c r="BQ9">
        <f>IF(COUNTIF(Material_Detail!$DE:$DE,$A9)&gt;0,IF(ISNUMBER(SEARCH("[済]",INDEX(Material_Detail!$D:$DC,MATCH($A9,Material_Detail!$DE:$DE,0)+1,68))),0,IFERROR(INDEX(Material_Detail!$D:$DC,MATCH($A9,Material_Detail!$DE:$DE,0),68),0)),SUMIFS(T_Shipments[Confirmed_Qty],T_Shipments[Part Name],$A9,T_Shipments[Effective_Week],68))</f>
        <v/>
      </c>
      <c r="BR9">
        <f>IF(COUNTIF(Material_Detail!$DE:$DE,$A9)&gt;0,IF(ISNUMBER(SEARCH("[済]",INDEX(Material_Detail!$D:$DC,MATCH($A9,Material_Detail!$DE:$DE,0)+1,69))),0,IFERROR(INDEX(Material_Detail!$D:$DC,MATCH($A9,Material_Detail!$DE:$DE,0),69),0)),SUMIFS(T_Shipments[Confirmed_Qty],T_Shipments[Part Name],$A9,T_Shipments[Effective_Week],69))</f>
        <v/>
      </c>
      <c r="BS9">
        <f>IF(COUNTIF(Material_Detail!$DE:$DE,$A9)&gt;0,IF(ISNUMBER(SEARCH("[済]",INDEX(Material_Detail!$D:$DC,MATCH($A9,Material_Detail!$DE:$DE,0)+1,70))),0,IFERROR(INDEX(Material_Detail!$D:$DC,MATCH($A9,Material_Detail!$DE:$DE,0),70),0)),SUMIFS(T_Shipments[Confirmed_Qty],T_Shipments[Part Name],$A9,T_Shipments[Effective_Week],70))</f>
        <v/>
      </c>
      <c r="BT9">
        <f>IF(COUNTIF(Material_Detail!$DE:$DE,$A9)&gt;0,IF(ISNUMBER(SEARCH("[済]",INDEX(Material_Detail!$D:$DC,MATCH($A9,Material_Detail!$DE:$DE,0)+1,71))),0,IFERROR(INDEX(Material_Detail!$D:$DC,MATCH($A9,Material_Detail!$DE:$DE,0),71),0)),SUMIFS(T_Shipments[Confirmed_Qty],T_Shipments[Part Name],$A9,T_Shipments[Effective_Week],71))</f>
        <v/>
      </c>
      <c r="BU9">
        <f>IF(COUNTIF(Material_Detail!$DE:$DE,$A9)&gt;0,IF(ISNUMBER(SEARCH("[済]",INDEX(Material_Detail!$D:$DC,MATCH($A9,Material_Detail!$DE:$DE,0)+1,72))),0,IFERROR(INDEX(Material_Detail!$D:$DC,MATCH($A9,Material_Detail!$DE:$DE,0),72),0)),SUMIFS(T_Shipments[Confirmed_Qty],T_Shipments[Part Name],$A9,T_Shipments[Effective_Week],72))</f>
        <v/>
      </c>
      <c r="BV9">
        <f>IF(COUNTIF(Material_Detail!$DE:$DE,$A9)&gt;0,IF(ISNUMBER(SEARCH("[済]",INDEX(Material_Detail!$D:$DC,MATCH($A9,Material_Detail!$DE:$DE,0)+1,73))),0,IFERROR(INDEX(Material_Detail!$D:$DC,MATCH($A9,Material_Detail!$DE:$DE,0),73),0)),SUMIFS(T_Shipments[Confirmed_Qty],T_Shipments[Part Name],$A9,T_Shipments[Effective_Week],73))</f>
        <v/>
      </c>
      <c r="BW9">
        <f>IF(COUNTIF(Material_Detail!$DE:$DE,$A9)&gt;0,IF(ISNUMBER(SEARCH("[済]",INDEX(Material_Detail!$D:$DC,MATCH($A9,Material_Detail!$DE:$DE,0)+1,74))),0,IFERROR(INDEX(Material_Detail!$D:$DC,MATCH($A9,Material_Detail!$DE:$DE,0),74),0)),SUMIFS(T_Shipments[Confirmed_Qty],T_Shipments[Part Name],$A9,T_Shipments[Effective_Week],74))</f>
        <v/>
      </c>
      <c r="BX9">
        <f>IF(COUNTIF(Material_Detail!$DE:$DE,$A9)&gt;0,IF(ISNUMBER(SEARCH("[済]",INDEX(Material_Detail!$D:$DC,MATCH($A9,Material_Detail!$DE:$DE,0)+1,75))),0,IFERROR(INDEX(Material_Detail!$D:$DC,MATCH($A9,Material_Detail!$DE:$DE,0),75),0)),SUMIFS(T_Shipments[Confirmed_Qty],T_Shipments[Part Name],$A9,T_Shipments[Effective_Week],75))</f>
        <v/>
      </c>
      <c r="BY9">
        <f>IF(COUNTIF(Material_Detail!$DE:$DE,$A9)&gt;0,IF(ISNUMBER(SEARCH("[済]",INDEX(Material_Detail!$D:$DC,MATCH($A9,Material_Detail!$DE:$DE,0)+1,76))),0,IFERROR(INDEX(Material_Detail!$D:$DC,MATCH($A9,Material_Detail!$DE:$DE,0),76),0)),SUMIFS(T_Shipments[Confirmed_Qty],T_Shipments[Part Name],$A9,T_Shipments[Effective_Week],76))</f>
        <v/>
      </c>
      <c r="BZ9">
        <f>IF(COUNTIF(Material_Detail!$DE:$DE,$A9)&gt;0,IF(ISNUMBER(SEARCH("[済]",INDEX(Material_Detail!$D:$DC,MATCH($A9,Material_Detail!$DE:$DE,0)+1,77))),0,IFERROR(INDEX(Material_Detail!$D:$DC,MATCH($A9,Material_Detail!$DE:$DE,0),77),0)),SUMIFS(T_Shipments[Confirmed_Qty],T_Shipments[Part Name],$A9,T_Shipments[Effective_Week],77))</f>
        <v/>
      </c>
      <c r="CA9">
        <f>IF(COUNTIF(Material_Detail!$DE:$DE,$A9)&gt;0,IF(ISNUMBER(SEARCH("[済]",INDEX(Material_Detail!$D:$DC,MATCH($A9,Material_Detail!$DE:$DE,0)+1,78))),0,IFERROR(INDEX(Material_Detail!$D:$DC,MATCH($A9,Material_Detail!$DE:$DE,0),78),0)),SUMIFS(T_Shipments[Confirmed_Qty],T_Shipments[Part Name],$A9,T_Shipments[Effective_Week],78))</f>
        <v/>
      </c>
      <c r="CB9">
        <f>IF(COUNTIF(Material_Detail!$DE:$DE,$A9)&gt;0,IF(ISNUMBER(SEARCH("[済]",INDEX(Material_Detail!$D:$DC,MATCH($A9,Material_Detail!$DE:$DE,0)+1,79))),0,IFERROR(INDEX(Material_Detail!$D:$DC,MATCH($A9,Material_Detail!$DE:$DE,0),79),0)),SUMIFS(T_Shipments[Confirmed_Qty],T_Shipments[Part Name],$A9,T_Shipments[Effective_Week],79))</f>
        <v/>
      </c>
      <c r="CC9">
        <f>IF(COUNTIF(Material_Detail!$DE:$DE,$A9)&gt;0,IF(ISNUMBER(SEARCH("[済]",INDEX(Material_Detail!$D:$DC,MATCH($A9,Material_Detail!$DE:$DE,0)+1,80))),0,IFERROR(INDEX(Material_Detail!$D:$DC,MATCH($A9,Material_Detail!$DE:$DE,0),80),0)),SUMIFS(T_Shipments[Confirmed_Qty],T_Shipments[Part Name],$A9,T_Shipments[Effective_Week],80))</f>
        <v/>
      </c>
      <c r="CD9">
        <f>IF(COUNTIF(Material_Detail!$DE:$DE,$A9)&gt;0,IF(ISNUMBER(SEARCH("[済]",INDEX(Material_Detail!$D:$DC,MATCH($A9,Material_Detail!$DE:$DE,0)+1,81))),0,IFERROR(INDEX(Material_Detail!$D:$DC,MATCH($A9,Material_Detail!$DE:$DE,0),81),0)),SUMIFS(T_Shipments[Confirmed_Qty],T_Shipments[Part Name],$A9,T_Shipments[Effective_Week],81))</f>
        <v/>
      </c>
      <c r="CE9">
        <f>IF(COUNTIF(Material_Detail!$DE:$DE,$A9)&gt;0,IF(ISNUMBER(SEARCH("[済]",INDEX(Material_Detail!$D:$DC,MATCH($A9,Material_Detail!$DE:$DE,0)+1,82))),0,IFERROR(INDEX(Material_Detail!$D:$DC,MATCH($A9,Material_Detail!$DE:$DE,0),82),0)),SUMIFS(T_Shipments[Confirmed_Qty],T_Shipments[Part Name],$A9,T_Shipments[Effective_Week],82))</f>
        <v/>
      </c>
      <c r="CF9">
        <f>IF(COUNTIF(Material_Detail!$DE:$DE,$A9)&gt;0,IF(ISNUMBER(SEARCH("[済]",INDEX(Material_Detail!$D:$DC,MATCH($A9,Material_Detail!$DE:$DE,0)+1,83))),0,IFERROR(INDEX(Material_Detail!$D:$DC,MATCH($A9,Material_Detail!$DE:$DE,0),83),0)),SUMIFS(T_Shipments[Confirmed_Qty],T_Shipments[Part Name],$A9,T_Shipments[Effective_Week],83))</f>
        <v/>
      </c>
      <c r="CG9">
        <f>IF(COUNTIF(Material_Detail!$DE:$DE,$A9)&gt;0,IF(ISNUMBER(SEARCH("[済]",INDEX(Material_Detail!$D:$DC,MATCH($A9,Material_Detail!$DE:$DE,0)+1,84))),0,IFERROR(INDEX(Material_Detail!$D:$DC,MATCH($A9,Material_Detail!$DE:$DE,0),84),0)),SUMIFS(T_Shipments[Confirmed_Qty],T_Shipments[Part Name],$A9,T_Shipments[Effective_Week],84))</f>
        <v/>
      </c>
      <c r="CH9">
        <f>IF(COUNTIF(Material_Detail!$DE:$DE,$A9)&gt;0,IF(ISNUMBER(SEARCH("[済]",INDEX(Material_Detail!$D:$DC,MATCH($A9,Material_Detail!$DE:$DE,0)+1,85))),0,IFERROR(INDEX(Material_Detail!$D:$DC,MATCH($A9,Material_Detail!$DE:$DE,0),85),0)),SUMIFS(T_Shipments[Confirmed_Qty],T_Shipments[Part Name],$A9,T_Shipments[Effective_Week],85))</f>
        <v/>
      </c>
      <c r="CI9">
        <f>IF(COUNTIF(Material_Detail!$DE:$DE,$A9)&gt;0,IF(ISNUMBER(SEARCH("[済]",INDEX(Material_Detail!$D:$DC,MATCH($A9,Material_Detail!$DE:$DE,0)+1,86))),0,IFERROR(INDEX(Material_Detail!$D:$DC,MATCH($A9,Material_Detail!$DE:$DE,0),86),0)),SUMIFS(T_Shipments[Confirmed_Qty],T_Shipments[Part Name],$A9,T_Shipments[Effective_Week],86))</f>
        <v/>
      </c>
      <c r="CJ9">
        <f>IF(COUNTIF(Material_Detail!$DE:$DE,$A9)&gt;0,IF(ISNUMBER(SEARCH("[済]",INDEX(Material_Detail!$D:$DC,MATCH($A9,Material_Detail!$DE:$DE,0)+1,87))),0,IFERROR(INDEX(Material_Detail!$D:$DC,MATCH($A9,Material_Detail!$DE:$DE,0),87),0)),SUMIFS(T_Shipments[Confirmed_Qty],T_Shipments[Part Name],$A9,T_Shipments[Effective_Week],87))</f>
        <v/>
      </c>
      <c r="CK9">
        <f>IF(COUNTIF(Material_Detail!$DE:$DE,$A9)&gt;0,IF(ISNUMBER(SEARCH("[済]",INDEX(Material_Detail!$D:$DC,MATCH($A9,Material_Detail!$DE:$DE,0)+1,88))),0,IFERROR(INDEX(Material_Detail!$D:$DC,MATCH($A9,Material_Detail!$DE:$DE,0),88),0)),SUMIFS(T_Shipments[Confirmed_Qty],T_Shipments[Part Name],$A9,T_Shipments[Effective_Week],88))</f>
        <v/>
      </c>
      <c r="CL9">
        <f>IF(COUNTIF(Material_Detail!$DE:$DE,$A9)&gt;0,IF(ISNUMBER(SEARCH("[済]",INDEX(Material_Detail!$D:$DC,MATCH($A9,Material_Detail!$DE:$DE,0)+1,89))),0,IFERROR(INDEX(Material_Detail!$D:$DC,MATCH($A9,Material_Detail!$DE:$DE,0),89),0)),SUMIFS(T_Shipments[Confirmed_Qty],T_Shipments[Part Name],$A9,T_Shipments[Effective_Week],89))</f>
        <v/>
      </c>
      <c r="CM9">
        <f>IF(COUNTIF(Material_Detail!$DE:$DE,$A9)&gt;0,IF(ISNUMBER(SEARCH("[済]",INDEX(Material_Detail!$D:$DC,MATCH($A9,Material_Detail!$DE:$DE,0)+1,90))),0,IFERROR(INDEX(Material_Detail!$D:$DC,MATCH($A9,Material_Detail!$DE:$DE,0),90),0)),SUMIFS(T_Shipments[Confirmed_Qty],T_Shipments[Part Name],$A9,T_Shipments[Effective_Week],90))</f>
        <v/>
      </c>
      <c r="CN9">
        <f>IF(COUNTIF(Material_Detail!$DE:$DE,$A9)&gt;0,IF(ISNUMBER(SEARCH("[済]",INDEX(Material_Detail!$D:$DC,MATCH($A9,Material_Detail!$DE:$DE,0)+1,91))),0,IFERROR(INDEX(Material_Detail!$D:$DC,MATCH($A9,Material_Detail!$DE:$DE,0),91),0)),SUMIFS(T_Shipments[Confirmed_Qty],T_Shipments[Part Name],$A9,T_Shipments[Effective_Week],91))</f>
        <v/>
      </c>
      <c r="CO9">
        <f>IF(COUNTIF(Material_Detail!$DE:$DE,$A9)&gt;0,IF(ISNUMBER(SEARCH("[済]",INDEX(Material_Detail!$D:$DC,MATCH($A9,Material_Detail!$DE:$DE,0)+1,92))),0,IFERROR(INDEX(Material_Detail!$D:$DC,MATCH($A9,Material_Detail!$DE:$DE,0),92),0)),SUMIFS(T_Shipments[Confirmed_Qty],T_Shipments[Part Name],$A9,T_Shipments[Effective_Week],92))</f>
        <v/>
      </c>
      <c r="CP9">
        <f>IF(COUNTIF(Material_Detail!$DE:$DE,$A9)&gt;0,IF(ISNUMBER(SEARCH("[済]",INDEX(Material_Detail!$D:$DC,MATCH($A9,Material_Detail!$DE:$DE,0)+1,93))),0,IFERROR(INDEX(Material_Detail!$D:$DC,MATCH($A9,Material_Detail!$DE:$DE,0),93),0)),SUMIFS(T_Shipments[Confirmed_Qty],T_Shipments[Part Name],$A9,T_Shipments[Effective_Week],93))</f>
        <v/>
      </c>
      <c r="CQ9">
        <f>IF(COUNTIF(Material_Detail!$DE:$DE,$A9)&gt;0,IF(ISNUMBER(SEARCH("[済]",INDEX(Material_Detail!$D:$DC,MATCH($A9,Material_Detail!$DE:$DE,0)+1,94))),0,IFERROR(INDEX(Material_Detail!$D:$DC,MATCH($A9,Material_Detail!$DE:$DE,0),94),0)),SUMIFS(T_Shipments[Confirmed_Qty],T_Shipments[Part Name],$A9,T_Shipments[Effective_Week],94))</f>
        <v/>
      </c>
      <c r="CR9">
        <f>IF(COUNTIF(Material_Detail!$DE:$DE,$A9)&gt;0,IF(ISNUMBER(SEARCH("[済]",INDEX(Material_Detail!$D:$DC,MATCH($A9,Material_Detail!$DE:$DE,0)+1,95))),0,IFERROR(INDEX(Material_Detail!$D:$DC,MATCH($A9,Material_Detail!$DE:$DE,0),95),0)),SUMIFS(T_Shipments[Confirmed_Qty],T_Shipments[Part Name],$A9,T_Shipments[Effective_Week],95))</f>
        <v/>
      </c>
      <c r="CS9">
        <f>IF(COUNTIF(Material_Detail!$DE:$DE,$A9)&gt;0,IF(ISNUMBER(SEARCH("[済]",INDEX(Material_Detail!$D:$DC,MATCH($A9,Material_Detail!$DE:$DE,0)+1,96))),0,IFERROR(INDEX(Material_Detail!$D:$DC,MATCH($A9,Material_Detail!$DE:$DE,0),96),0)),SUMIFS(T_Shipments[Confirmed_Qty],T_Shipments[Part Name],$A9,T_Shipments[Effective_Week],96))</f>
        <v/>
      </c>
      <c r="CT9">
        <f>IF(COUNTIF(Material_Detail!$DE:$DE,$A9)&gt;0,IF(ISNUMBER(SEARCH("[済]",INDEX(Material_Detail!$D:$DC,MATCH($A9,Material_Detail!$DE:$DE,0)+1,97))),0,IFERROR(INDEX(Material_Detail!$D:$DC,MATCH($A9,Material_Detail!$DE:$DE,0),97),0)),SUMIFS(T_Shipments[Confirmed_Qty],T_Shipments[Part Name],$A9,T_Shipments[Effective_Week],97))</f>
        <v/>
      </c>
      <c r="CU9">
        <f>IF(COUNTIF(Material_Detail!$DE:$DE,$A9)&gt;0,IF(ISNUMBER(SEARCH("[済]",INDEX(Material_Detail!$D:$DC,MATCH($A9,Material_Detail!$DE:$DE,0)+1,98))),0,IFERROR(INDEX(Material_Detail!$D:$DC,MATCH($A9,Material_Detail!$DE:$DE,0),98),0)),SUMIFS(T_Shipments[Confirmed_Qty],T_Shipments[Part Name],$A9,T_Shipments[Effective_Week],98))</f>
        <v/>
      </c>
      <c r="CV9">
        <f>IF(COUNTIF(Material_Detail!$DE:$DE,$A9)&gt;0,IF(ISNUMBER(SEARCH("[済]",INDEX(Material_Detail!$D:$DC,MATCH($A9,Material_Detail!$DE:$DE,0)+1,99))),0,IFERROR(INDEX(Material_Detail!$D:$DC,MATCH($A9,Material_Detail!$DE:$DE,0),99),0)),SUMIFS(T_Shipments[Confirmed_Qty],T_Shipments[Part Name],$A9,T_Shipments[Effective_Week],99))</f>
        <v/>
      </c>
      <c r="CW9">
        <f>IF(COUNTIF(Material_Detail!$DE:$DE,$A9)&gt;0,IF(ISNUMBER(SEARCH("[済]",INDEX(Material_Detail!$D:$DC,MATCH($A9,Material_Detail!$DE:$DE,0)+1,100))),0,IFERROR(INDEX(Material_Detail!$D:$DC,MATCH($A9,Material_Detail!$DE:$DE,0),100),0)),SUMIFS(T_Shipments[Confirmed_Qty],T_Shipments[Part Name],$A9,T_Shipments[Effective_Week],100))</f>
        <v/>
      </c>
      <c r="CX9">
        <f>IF(COUNTIF(Material_Detail!$DE:$DE,$A9)&gt;0,IF(ISNUMBER(SEARCH("[済]",INDEX(Material_Detail!$D:$DC,MATCH($A9,Material_Detail!$DE:$DE,0)+1,101))),0,IFERROR(INDEX(Material_Detail!$D:$DC,MATCH($A9,Material_Detail!$DE:$DE,0),101),0)),SUMIFS(T_Shipments[Confirmed_Qty],T_Shipments[Part Name],$A9,T_Shipments[Effective_Week],101))</f>
        <v/>
      </c>
      <c r="CY9">
        <f>IF(COUNTIF(Material_Detail!$DE:$DE,$A9)&gt;0,IF(ISNUMBER(SEARCH("[済]",INDEX(Material_Detail!$D:$DC,MATCH($A9,Material_Detail!$DE:$DE,0)+1,102))),0,IFERROR(INDEX(Material_Detail!$D:$DC,MATCH($A9,Material_Detail!$DE:$DE,0),102),0)),SUMIFS(T_Shipments[Confirmed_Qty],T_Shipments[Part Name],$A9,T_Shipments[Effective_Week],102))</f>
        <v/>
      </c>
      <c r="CZ9">
        <f>IF(COUNTIF(Material_Detail!$DE:$DE,$A9)&gt;0,IF(ISNUMBER(SEARCH("[済]",INDEX(Material_Detail!$D:$DC,MATCH($A9,Material_Detail!$DE:$DE,0)+1,103))),0,IFERROR(INDEX(Material_Detail!$D:$DC,MATCH($A9,Material_Detail!$DE:$DE,0),103),0)),SUMIFS(T_Shipments[Confirmed_Qty],T_Shipments[Part Name],$A9,T_Shipments[Effective_Week],103))</f>
        <v/>
      </c>
      <c r="DA9">
        <f>IF(COUNTIF(Material_Detail!$DE:$DE,$A9)&gt;0,IF(ISNUMBER(SEARCH("[済]",INDEX(Material_Detail!$D:$DC,MATCH($A9,Material_Detail!$DE:$DE,0)+1,104))),0,IFERROR(INDEX(Material_Detail!$D:$DC,MATCH($A9,Material_Detail!$DE:$DE,0),104),0)),SUMIFS(T_Shipments[Confirmed_Qty],T_Shipments[Part Name],$A9,T_Shipments[Effective_Week],104))</f>
        <v/>
      </c>
    </row>
    <row r="10">
      <c r="A10" t="inlineStr">
        <is>
          <t>KEJ</t>
        </is>
      </c>
      <c r="B10">
        <f>IF(COUNTIF(Material_Detail!$DE:$DE,$A10)&gt;0,IF(ISNUMBER(SEARCH("[済]",INDEX(Material_Detail!$D:$DC,MATCH($A10,Material_Detail!$DE:$DE,0)+1,1))),0,IFERROR(INDEX(Material_Detail!$D:$DC,MATCH($A10,Material_Detail!$DE:$DE,0),1),0)),SUMIFS(T_Shipments[Confirmed_Qty],T_Shipments[Part Name],$A10,T_Shipments[Effective_Week],1))</f>
        <v/>
      </c>
      <c r="C10">
        <f>IF(COUNTIF(Material_Detail!$DE:$DE,$A10)&gt;0,IF(ISNUMBER(SEARCH("[済]",INDEX(Material_Detail!$D:$DC,MATCH($A10,Material_Detail!$DE:$DE,0)+1,2))),0,IFERROR(INDEX(Material_Detail!$D:$DC,MATCH($A10,Material_Detail!$DE:$DE,0),2),0)),SUMIFS(T_Shipments[Confirmed_Qty],T_Shipments[Part Name],$A10,T_Shipments[Effective_Week],2))</f>
        <v/>
      </c>
      <c r="D10">
        <f>IF(COUNTIF(Material_Detail!$DE:$DE,$A10)&gt;0,IF(ISNUMBER(SEARCH("[済]",INDEX(Material_Detail!$D:$DC,MATCH($A10,Material_Detail!$DE:$DE,0)+1,3))),0,IFERROR(INDEX(Material_Detail!$D:$DC,MATCH($A10,Material_Detail!$DE:$DE,0),3),0)),SUMIFS(T_Shipments[Confirmed_Qty],T_Shipments[Part Name],$A10,T_Shipments[Effective_Week],3))</f>
        <v/>
      </c>
      <c r="E10">
        <f>IF(COUNTIF(Material_Detail!$DE:$DE,$A10)&gt;0,IF(ISNUMBER(SEARCH("[済]",INDEX(Material_Detail!$D:$DC,MATCH($A10,Material_Detail!$DE:$DE,0)+1,4))),0,IFERROR(INDEX(Material_Detail!$D:$DC,MATCH($A10,Material_Detail!$DE:$DE,0),4),0)),SUMIFS(T_Shipments[Confirmed_Qty],T_Shipments[Part Name],$A10,T_Shipments[Effective_Week],4))</f>
        <v/>
      </c>
      <c r="F10">
        <f>IF(COUNTIF(Material_Detail!$DE:$DE,$A10)&gt;0,IF(ISNUMBER(SEARCH("[済]",INDEX(Material_Detail!$D:$DC,MATCH($A10,Material_Detail!$DE:$DE,0)+1,5))),0,IFERROR(INDEX(Material_Detail!$D:$DC,MATCH($A10,Material_Detail!$DE:$DE,0),5),0)),SUMIFS(T_Shipments[Confirmed_Qty],T_Shipments[Part Name],$A10,T_Shipments[Effective_Week],5))</f>
        <v/>
      </c>
      <c r="G10">
        <f>IF(COUNTIF(Material_Detail!$DE:$DE,$A10)&gt;0,IF(ISNUMBER(SEARCH("[済]",INDEX(Material_Detail!$D:$DC,MATCH($A10,Material_Detail!$DE:$DE,0)+1,6))),0,IFERROR(INDEX(Material_Detail!$D:$DC,MATCH($A10,Material_Detail!$DE:$DE,0),6),0)),SUMIFS(T_Shipments[Confirmed_Qty],T_Shipments[Part Name],$A10,T_Shipments[Effective_Week],6))</f>
        <v/>
      </c>
      <c r="H10">
        <f>IF(COUNTIF(Material_Detail!$DE:$DE,$A10)&gt;0,IF(ISNUMBER(SEARCH("[済]",INDEX(Material_Detail!$D:$DC,MATCH($A10,Material_Detail!$DE:$DE,0)+1,7))),0,IFERROR(INDEX(Material_Detail!$D:$DC,MATCH($A10,Material_Detail!$DE:$DE,0),7),0)),SUMIFS(T_Shipments[Confirmed_Qty],T_Shipments[Part Name],$A10,T_Shipments[Effective_Week],7))</f>
        <v/>
      </c>
      <c r="I10">
        <f>IF(COUNTIF(Material_Detail!$DE:$DE,$A10)&gt;0,IF(ISNUMBER(SEARCH("[済]",INDEX(Material_Detail!$D:$DC,MATCH($A10,Material_Detail!$DE:$DE,0)+1,8))),0,IFERROR(INDEX(Material_Detail!$D:$DC,MATCH($A10,Material_Detail!$DE:$DE,0),8),0)),SUMIFS(T_Shipments[Confirmed_Qty],T_Shipments[Part Name],$A10,T_Shipments[Effective_Week],8))</f>
        <v/>
      </c>
      <c r="J10">
        <f>IF(COUNTIF(Material_Detail!$DE:$DE,$A10)&gt;0,IF(ISNUMBER(SEARCH("[済]",INDEX(Material_Detail!$D:$DC,MATCH($A10,Material_Detail!$DE:$DE,0)+1,9))),0,IFERROR(INDEX(Material_Detail!$D:$DC,MATCH($A10,Material_Detail!$DE:$DE,0),9),0)),SUMIFS(T_Shipments[Confirmed_Qty],T_Shipments[Part Name],$A10,T_Shipments[Effective_Week],9))</f>
        <v/>
      </c>
      <c r="K10">
        <f>IF(COUNTIF(Material_Detail!$DE:$DE,$A10)&gt;0,IF(ISNUMBER(SEARCH("[済]",INDEX(Material_Detail!$D:$DC,MATCH($A10,Material_Detail!$DE:$DE,0)+1,10))),0,IFERROR(INDEX(Material_Detail!$D:$DC,MATCH($A10,Material_Detail!$DE:$DE,0),10),0)),SUMIFS(T_Shipments[Confirmed_Qty],T_Shipments[Part Name],$A10,T_Shipments[Effective_Week],10))</f>
        <v/>
      </c>
      <c r="L10">
        <f>IF(COUNTIF(Material_Detail!$DE:$DE,$A10)&gt;0,IF(ISNUMBER(SEARCH("[済]",INDEX(Material_Detail!$D:$DC,MATCH($A10,Material_Detail!$DE:$DE,0)+1,11))),0,IFERROR(INDEX(Material_Detail!$D:$DC,MATCH($A10,Material_Detail!$DE:$DE,0),11),0)),SUMIFS(T_Shipments[Confirmed_Qty],T_Shipments[Part Name],$A10,T_Shipments[Effective_Week],11))</f>
        <v/>
      </c>
      <c r="M10">
        <f>IF(COUNTIF(Material_Detail!$DE:$DE,$A10)&gt;0,IF(ISNUMBER(SEARCH("[済]",INDEX(Material_Detail!$D:$DC,MATCH($A10,Material_Detail!$DE:$DE,0)+1,12))),0,IFERROR(INDEX(Material_Detail!$D:$DC,MATCH($A10,Material_Detail!$DE:$DE,0),12),0)),SUMIFS(T_Shipments[Confirmed_Qty],T_Shipments[Part Name],$A10,T_Shipments[Effective_Week],12))</f>
        <v/>
      </c>
      <c r="N10">
        <f>IF(COUNTIF(Material_Detail!$DE:$DE,$A10)&gt;0,IF(ISNUMBER(SEARCH("[済]",INDEX(Material_Detail!$D:$DC,MATCH($A10,Material_Detail!$DE:$DE,0)+1,13))),0,IFERROR(INDEX(Material_Detail!$D:$DC,MATCH($A10,Material_Detail!$DE:$DE,0),13),0)),SUMIFS(T_Shipments[Confirmed_Qty],T_Shipments[Part Name],$A10,T_Shipments[Effective_Week],13))</f>
        <v/>
      </c>
      <c r="O10">
        <f>IF(COUNTIF(Material_Detail!$DE:$DE,$A10)&gt;0,IF(ISNUMBER(SEARCH("[済]",INDEX(Material_Detail!$D:$DC,MATCH($A10,Material_Detail!$DE:$DE,0)+1,14))),0,IFERROR(INDEX(Material_Detail!$D:$DC,MATCH($A10,Material_Detail!$DE:$DE,0),14),0)),SUMIFS(T_Shipments[Confirmed_Qty],T_Shipments[Part Name],$A10,T_Shipments[Effective_Week],14))</f>
        <v/>
      </c>
      <c r="P10">
        <f>IF(COUNTIF(Material_Detail!$DE:$DE,$A10)&gt;0,IF(ISNUMBER(SEARCH("[済]",INDEX(Material_Detail!$D:$DC,MATCH($A10,Material_Detail!$DE:$DE,0)+1,15))),0,IFERROR(INDEX(Material_Detail!$D:$DC,MATCH($A10,Material_Detail!$DE:$DE,0),15),0)),SUMIFS(T_Shipments[Confirmed_Qty],T_Shipments[Part Name],$A10,T_Shipments[Effective_Week],15))</f>
        <v/>
      </c>
      <c r="Q10">
        <f>IF(COUNTIF(Material_Detail!$DE:$DE,$A10)&gt;0,IF(ISNUMBER(SEARCH("[済]",INDEX(Material_Detail!$D:$DC,MATCH($A10,Material_Detail!$DE:$DE,0)+1,16))),0,IFERROR(INDEX(Material_Detail!$D:$DC,MATCH($A10,Material_Detail!$DE:$DE,0),16),0)),SUMIFS(T_Shipments[Confirmed_Qty],T_Shipments[Part Name],$A10,T_Shipments[Effective_Week],16))</f>
        <v/>
      </c>
      <c r="R10">
        <f>IF(COUNTIF(Material_Detail!$DE:$DE,$A10)&gt;0,IF(ISNUMBER(SEARCH("[済]",INDEX(Material_Detail!$D:$DC,MATCH($A10,Material_Detail!$DE:$DE,0)+1,17))),0,IFERROR(INDEX(Material_Detail!$D:$DC,MATCH($A10,Material_Detail!$DE:$DE,0),17),0)),SUMIFS(T_Shipments[Confirmed_Qty],T_Shipments[Part Name],$A10,T_Shipments[Effective_Week],17))</f>
        <v/>
      </c>
      <c r="S10">
        <f>IF(COUNTIF(Material_Detail!$DE:$DE,$A10)&gt;0,IF(ISNUMBER(SEARCH("[済]",INDEX(Material_Detail!$D:$DC,MATCH($A10,Material_Detail!$DE:$DE,0)+1,18))),0,IFERROR(INDEX(Material_Detail!$D:$DC,MATCH($A10,Material_Detail!$DE:$DE,0),18),0)),SUMIFS(T_Shipments[Confirmed_Qty],T_Shipments[Part Name],$A10,T_Shipments[Effective_Week],18))</f>
        <v/>
      </c>
      <c r="T10">
        <f>IF(COUNTIF(Material_Detail!$DE:$DE,$A10)&gt;0,IF(ISNUMBER(SEARCH("[済]",INDEX(Material_Detail!$D:$DC,MATCH($A10,Material_Detail!$DE:$DE,0)+1,19))),0,IFERROR(INDEX(Material_Detail!$D:$DC,MATCH($A10,Material_Detail!$DE:$DE,0),19),0)),SUMIFS(T_Shipments[Confirmed_Qty],T_Shipments[Part Name],$A10,T_Shipments[Effective_Week],19))</f>
        <v/>
      </c>
      <c r="U10">
        <f>IF(COUNTIF(Material_Detail!$DE:$DE,$A10)&gt;0,IF(ISNUMBER(SEARCH("[済]",INDEX(Material_Detail!$D:$DC,MATCH($A10,Material_Detail!$DE:$DE,0)+1,20))),0,IFERROR(INDEX(Material_Detail!$D:$DC,MATCH($A10,Material_Detail!$DE:$DE,0),20),0)),SUMIFS(T_Shipments[Confirmed_Qty],T_Shipments[Part Name],$A10,T_Shipments[Effective_Week],20))</f>
        <v/>
      </c>
      <c r="V10">
        <f>IF(COUNTIF(Material_Detail!$DE:$DE,$A10)&gt;0,IF(ISNUMBER(SEARCH("[済]",INDEX(Material_Detail!$D:$DC,MATCH($A10,Material_Detail!$DE:$DE,0)+1,21))),0,IFERROR(INDEX(Material_Detail!$D:$DC,MATCH($A10,Material_Detail!$DE:$DE,0),21),0)),SUMIFS(T_Shipments[Confirmed_Qty],T_Shipments[Part Name],$A10,T_Shipments[Effective_Week],21))</f>
        <v/>
      </c>
      <c r="W10">
        <f>IF(COUNTIF(Material_Detail!$DE:$DE,$A10)&gt;0,IF(ISNUMBER(SEARCH("[済]",INDEX(Material_Detail!$D:$DC,MATCH($A10,Material_Detail!$DE:$DE,0)+1,22))),0,IFERROR(INDEX(Material_Detail!$D:$DC,MATCH($A10,Material_Detail!$DE:$DE,0),22),0)),SUMIFS(T_Shipments[Confirmed_Qty],T_Shipments[Part Name],$A10,T_Shipments[Effective_Week],22))</f>
        <v/>
      </c>
      <c r="X10">
        <f>IF(COUNTIF(Material_Detail!$DE:$DE,$A10)&gt;0,IF(ISNUMBER(SEARCH("[済]",INDEX(Material_Detail!$D:$DC,MATCH($A10,Material_Detail!$DE:$DE,0)+1,23))),0,IFERROR(INDEX(Material_Detail!$D:$DC,MATCH($A10,Material_Detail!$DE:$DE,0),23),0)),SUMIFS(T_Shipments[Confirmed_Qty],T_Shipments[Part Name],$A10,T_Shipments[Effective_Week],23))</f>
        <v/>
      </c>
      <c r="Y10">
        <f>IF(COUNTIF(Material_Detail!$DE:$DE,$A10)&gt;0,IF(ISNUMBER(SEARCH("[済]",INDEX(Material_Detail!$D:$DC,MATCH($A10,Material_Detail!$DE:$DE,0)+1,24))),0,IFERROR(INDEX(Material_Detail!$D:$DC,MATCH($A10,Material_Detail!$DE:$DE,0),24),0)),SUMIFS(T_Shipments[Confirmed_Qty],T_Shipments[Part Name],$A10,T_Shipments[Effective_Week],24))</f>
        <v/>
      </c>
      <c r="Z10">
        <f>IF(COUNTIF(Material_Detail!$DE:$DE,$A10)&gt;0,IF(ISNUMBER(SEARCH("[済]",INDEX(Material_Detail!$D:$DC,MATCH($A10,Material_Detail!$DE:$DE,0)+1,25))),0,IFERROR(INDEX(Material_Detail!$D:$DC,MATCH($A10,Material_Detail!$DE:$DE,0),25),0)),SUMIFS(T_Shipments[Confirmed_Qty],T_Shipments[Part Name],$A10,T_Shipments[Effective_Week],25))</f>
        <v/>
      </c>
      <c r="AA10">
        <f>IF(COUNTIF(Material_Detail!$DE:$DE,$A10)&gt;0,IF(ISNUMBER(SEARCH("[済]",INDEX(Material_Detail!$D:$DC,MATCH($A10,Material_Detail!$DE:$DE,0)+1,26))),0,IFERROR(INDEX(Material_Detail!$D:$DC,MATCH($A10,Material_Detail!$DE:$DE,0),26),0)),SUMIFS(T_Shipments[Confirmed_Qty],T_Shipments[Part Name],$A10,T_Shipments[Effective_Week],26))</f>
        <v/>
      </c>
      <c r="AB10">
        <f>IF(COUNTIF(Material_Detail!$DE:$DE,$A10)&gt;0,IF(ISNUMBER(SEARCH("[済]",INDEX(Material_Detail!$D:$DC,MATCH($A10,Material_Detail!$DE:$DE,0)+1,27))),0,IFERROR(INDEX(Material_Detail!$D:$DC,MATCH($A10,Material_Detail!$DE:$DE,0),27),0)),SUMIFS(T_Shipments[Confirmed_Qty],T_Shipments[Part Name],$A10,T_Shipments[Effective_Week],27))</f>
        <v/>
      </c>
      <c r="AC10">
        <f>IF(COUNTIF(Material_Detail!$DE:$DE,$A10)&gt;0,IF(ISNUMBER(SEARCH("[済]",INDEX(Material_Detail!$D:$DC,MATCH($A10,Material_Detail!$DE:$DE,0)+1,28))),0,IFERROR(INDEX(Material_Detail!$D:$DC,MATCH($A10,Material_Detail!$DE:$DE,0),28),0)),SUMIFS(T_Shipments[Confirmed_Qty],T_Shipments[Part Name],$A10,T_Shipments[Effective_Week],28))</f>
        <v/>
      </c>
      <c r="AD10">
        <f>IF(COUNTIF(Material_Detail!$DE:$DE,$A10)&gt;0,IF(ISNUMBER(SEARCH("[済]",INDEX(Material_Detail!$D:$DC,MATCH($A10,Material_Detail!$DE:$DE,0)+1,29))),0,IFERROR(INDEX(Material_Detail!$D:$DC,MATCH($A10,Material_Detail!$DE:$DE,0),29),0)),SUMIFS(T_Shipments[Confirmed_Qty],T_Shipments[Part Name],$A10,T_Shipments[Effective_Week],29))</f>
        <v/>
      </c>
      <c r="AE10">
        <f>IF(COUNTIF(Material_Detail!$DE:$DE,$A10)&gt;0,IF(ISNUMBER(SEARCH("[済]",INDEX(Material_Detail!$D:$DC,MATCH($A10,Material_Detail!$DE:$DE,0)+1,30))),0,IFERROR(INDEX(Material_Detail!$D:$DC,MATCH($A10,Material_Detail!$DE:$DE,0),30),0)),SUMIFS(T_Shipments[Confirmed_Qty],T_Shipments[Part Name],$A10,T_Shipments[Effective_Week],30))</f>
        <v/>
      </c>
      <c r="AF10">
        <f>IF(COUNTIF(Material_Detail!$DE:$DE,$A10)&gt;0,IF(ISNUMBER(SEARCH("[済]",INDEX(Material_Detail!$D:$DC,MATCH($A10,Material_Detail!$DE:$DE,0)+1,31))),0,IFERROR(INDEX(Material_Detail!$D:$DC,MATCH($A10,Material_Detail!$DE:$DE,0),31),0)),SUMIFS(T_Shipments[Confirmed_Qty],T_Shipments[Part Name],$A10,T_Shipments[Effective_Week],31))</f>
        <v/>
      </c>
      <c r="AG10">
        <f>IF(COUNTIF(Material_Detail!$DE:$DE,$A10)&gt;0,IF(ISNUMBER(SEARCH("[済]",INDEX(Material_Detail!$D:$DC,MATCH($A10,Material_Detail!$DE:$DE,0)+1,32))),0,IFERROR(INDEX(Material_Detail!$D:$DC,MATCH($A10,Material_Detail!$DE:$DE,0),32),0)),SUMIFS(T_Shipments[Confirmed_Qty],T_Shipments[Part Name],$A10,T_Shipments[Effective_Week],32))</f>
        <v/>
      </c>
      <c r="AH10">
        <f>IF(COUNTIF(Material_Detail!$DE:$DE,$A10)&gt;0,IF(ISNUMBER(SEARCH("[済]",INDEX(Material_Detail!$D:$DC,MATCH($A10,Material_Detail!$DE:$DE,0)+1,33))),0,IFERROR(INDEX(Material_Detail!$D:$DC,MATCH($A10,Material_Detail!$DE:$DE,0),33),0)),SUMIFS(T_Shipments[Confirmed_Qty],T_Shipments[Part Name],$A10,T_Shipments[Effective_Week],33))</f>
        <v/>
      </c>
      <c r="AI10">
        <f>IF(COUNTIF(Material_Detail!$DE:$DE,$A10)&gt;0,IF(ISNUMBER(SEARCH("[済]",INDEX(Material_Detail!$D:$DC,MATCH($A10,Material_Detail!$DE:$DE,0)+1,34))),0,IFERROR(INDEX(Material_Detail!$D:$DC,MATCH($A10,Material_Detail!$DE:$DE,0),34),0)),SUMIFS(T_Shipments[Confirmed_Qty],T_Shipments[Part Name],$A10,T_Shipments[Effective_Week],34))</f>
        <v/>
      </c>
      <c r="AJ10">
        <f>IF(COUNTIF(Material_Detail!$DE:$DE,$A10)&gt;0,IF(ISNUMBER(SEARCH("[済]",INDEX(Material_Detail!$D:$DC,MATCH($A10,Material_Detail!$DE:$DE,0)+1,35))),0,IFERROR(INDEX(Material_Detail!$D:$DC,MATCH($A10,Material_Detail!$DE:$DE,0),35),0)),SUMIFS(T_Shipments[Confirmed_Qty],T_Shipments[Part Name],$A10,T_Shipments[Effective_Week],35))</f>
        <v/>
      </c>
      <c r="AK10">
        <f>IF(COUNTIF(Material_Detail!$DE:$DE,$A10)&gt;0,IF(ISNUMBER(SEARCH("[済]",INDEX(Material_Detail!$D:$DC,MATCH($A10,Material_Detail!$DE:$DE,0)+1,36))),0,IFERROR(INDEX(Material_Detail!$D:$DC,MATCH($A10,Material_Detail!$DE:$DE,0),36),0)),SUMIFS(T_Shipments[Confirmed_Qty],T_Shipments[Part Name],$A10,T_Shipments[Effective_Week],36))</f>
        <v/>
      </c>
      <c r="AL10">
        <f>IF(COUNTIF(Material_Detail!$DE:$DE,$A10)&gt;0,IF(ISNUMBER(SEARCH("[済]",INDEX(Material_Detail!$D:$DC,MATCH($A10,Material_Detail!$DE:$DE,0)+1,37))),0,IFERROR(INDEX(Material_Detail!$D:$DC,MATCH($A10,Material_Detail!$DE:$DE,0),37),0)),SUMIFS(T_Shipments[Confirmed_Qty],T_Shipments[Part Name],$A10,T_Shipments[Effective_Week],37))</f>
        <v/>
      </c>
      <c r="AM10">
        <f>IF(COUNTIF(Material_Detail!$DE:$DE,$A10)&gt;0,IF(ISNUMBER(SEARCH("[済]",INDEX(Material_Detail!$D:$DC,MATCH($A10,Material_Detail!$DE:$DE,0)+1,38))),0,IFERROR(INDEX(Material_Detail!$D:$DC,MATCH($A10,Material_Detail!$DE:$DE,0),38),0)),SUMIFS(T_Shipments[Confirmed_Qty],T_Shipments[Part Name],$A10,T_Shipments[Effective_Week],38))</f>
        <v/>
      </c>
      <c r="AN10">
        <f>IF(COUNTIF(Material_Detail!$DE:$DE,$A10)&gt;0,IF(ISNUMBER(SEARCH("[済]",INDEX(Material_Detail!$D:$DC,MATCH($A10,Material_Detail!$DE:$DE,0)+1,39))),0,IFERROR(INDEX(Material_Detail!$D:$DC,MATCH($A10,Material_Detail!$DE:$DE,0),39),0)),SUMIFS(T_Shipments[Confirmed_Qty],T_Shipments[Part Name],$A10,T_Shipments[Effective_Week],39))</f>
        <v/>
      </c>
      <c r="AO10">
        <f>IF(COUNTIF(Material_Detail!$DE:$DE,$A10)&gt;0,IF(ISNUMBER(SEARCH("[済]",INDEX(Material_Detail!$D:$DC,MATCH($A10,Material_Detail!$DE:$DE,0)+1,40))),0,IFERROR(INDEX(Material_Detail!$D:$DC,MATCH($A10,Material_Detail!$DE:$DE,0),40),0)),SUMIFS(T_Shipments[Confirmed_Qty],T_Shipments[Part Name],$A10,T_Shipments[Effective_Week],40))</f>
        <v/>
      </c>
      <c r="AP10">
        <f>IF(COUNTIF(Material_Detail!$DE:$DE,$A10)&gt;0,IF(ISNUMBER(SEARCH("[済]",INDEX(Material_Detail!$D:$DC,MATCH($A10,Material_Detail!$DE:$DE,0)+1,41))),0,IFERROR(INDEX(Material_Detail!$D:$DC,MATCH($A10,Material_Detail!$DE:$DE,0),41),0)),SUMIFS(T_Shipments[Confirmed_Qty],T_Shipments[Part Name],$A10,T_Shipments[Effective_Week],41))</f>
        <v/>
      </c>
      <c r="AQ10">
        <f>IF(COUNTIF(Material_Detail!$DE:$DE,$A10)&gt;0,IF(ISNUMBER(SEARCH("[済]",INDEX(Material_Detail!$D:$DC,MATCH($A10,Material_Detail!$DE:$DE,0)+1,42))),0,IFERROR(INDEX(Material_Detail!$D:$DC,MATCH($A10,Material_Detail!$DE:$DE,0),42),0)),SUMIFS(T_Shipments[Confirmed_Qty],T_Shipments[Part Name],$A10,T_Shipments[Effective_Week],42))</f>
        <v/>
      </c>
      <c r="AR10">
        <f>IF(COUNTIF(Material_Detail!$DE:$DE,$A10)&gt;0,IF(ISNUMBER(SEARCH("[済]",INDEX(Material_Detail!$D:$DC,MATCH($A10,Material_Detail!$DE:$DE,0)+1,43))),0,IFERROR(INDEX(Material_Detail!$D:$DC,MATCH($A10,Material_Detail!$DE:$DE,0),43),0)),SUMIFS(T_Shipments[Confirmed_Qty],T_Shipments[Part Name],$A10,T_Shipments[Effective_Week],43))</f>
        <v/>
      </c>
      <c r="AS10">
        <f>IF(COUNTIF(Material_Detail!$DE:$DE,$A10)&gt;0,IF(ISNUMBER(SEARCH("[済]",INDEX(Material_Detail!$D:$DC,MATCH($A10,Material_Detail!$DE:$DE,0)+1,44))),0,IFERROR(INDEX(Material_Detail!$D:$DC,MATCH($A10,Material_Detail!$DE:$DE,0),44),0)),SUMIFS(T_Shipments[Confirmed_Qty],T_Shipments[Part Name],$A10,T_Shipments[Effective_Week],44))</f>
        <v/>
      </c>
      <c r="AT10">
        <f>IF(COUNTIF(Material_Detail!$DE:$DE,$A10)&gt;0,IF(ISNUMBER(SEARCH("[済]",INDEX(Material_Detail!$D:$DC,MATCH($A10,Material_Detail!$DE:$DE,0)+1,45))),0,IFERROR(INDEX(Material_Detail!$D:$DC,MATCH($A10,Material_Detail!$DE:$DE,0),45),0)),SUMIFS(T_Shipments[Confirmed_Qty],T_Shipments[Part Name],$A10,T_Shipments[Effective_Week],45))</f>
        <v/>
      </c>
      <c r="AU10">
        <f>IF(COUNTIF(Material_Detail!$DE:$DE,$A10)&gt;0,IF(ISNUMBER(SEARCH("[済]",INDEX(Material_Detail!$D:$DC,MATCH($A10,Material_Detail!$DE:$DE,0)+1,46))),0,IFERROR(INDEX(Material_Detail!$D:$DC,MATCH($A10,Material_Detail!$DE:$DE,0),46),0)),SUMIFS(T_Shipments[Confirmed_Qty],T_Shipments[Part Name],$A10,T_Shipments[Effective_Week],46))</f>
        <v/>
      </c>
      <c r="AV10">
        <f>IF(COUNTIF(Material_Detail!$DE:$DE,$A10)&gt;0,IF(ISNUMBER(SEARCH("[済]",INDEX(Material_Detail!$D:$DC,MATCH($A10,Material_Detail!$DE:$DE,0)+1,47))),0,IFERROR(INDEX(Material_Detail!$D:$DC,MATCH($A10,Material_Detail!$DE:$DE,0),47),0)),SUMIFS(T_Shipments[Confirmed_Qty],T_Shipments[Part Name],$A10,T_Shipments[Effective_Week],47))</f>
        <v/>
      </c>
      <c r="AW10">
        <f>IF(COUNTIF(Material_Detail!$DE:$DE,$A10)&gt;0,IF(ISNUMBER(SEARCH("[済]",INDEX(Material_Detail!$D:$DC,MATCH($A10,Material_Detail!$DE:$DE,0)+1,48))),0,IFERROR(INDEX(Material_Detail!$D:$DC,MATCH($A10,Material_Detail!$DE:$DE,0),48),0)),SUMIFS(T_Shipments[Confirmed_Qty],T_Shipments[Part Name],$A10,T_Shipments[Effective_Week],48))</f>
        <v/>
      </c>
      <c r="AX10">
        <f>IF(COUNTIF(Material_Detail!$DE:$DE,$A10)&gt;0,IF(ISNUMBER(SEARCH("[済]",INDEX(Material_Detail!$D:$DC,MATCH($A10,Material_Detail!$DE:$DE,0)+1,49))),0,IFERROR(INDEX(Material_Detail!$D:$DC,MATCH($A10,Material_Detail!$DE:$DE,0),49),0)),SUMIFS(T_Shipments[Confirmed_Qty],T_Shipments[Part Name],$A10,T_Shipments[Effective_Week],49))</f>
        <v/>
      </c>
      <c r="AY10">
        <f>IF(COUNTIF(Material_Detail!$DE:$DE,$A10)&gt;0,IF(ISNUMBER(SEARCH("[済]",INDEX(Material_Detail!$D:$DC,MATCH($A10,Material_Detail!$DE:$DE,0)+1,50))),0,IFERROR(INDEX(Material_Detail!$D:$DC,MATCH($A10,Material_Detail!$DE:$DE,0),50),0)),SUMIFS(T_Shipments[Confirmed_Qty],T_Shipments[Part Name],$A10,T_Shipments[Effective_Week],50))</f>
        <v/>
      </c>
      <c r="AZ10">
        <f>IF(COUNTIF(Material_Detail!$DE:$DE,$A10)&gt;0,IF(ISNUMBER(SEARCH("[済]",INDEX(Material_Detail!$D:$DC,MATCH($A10,Material_Detail!$DE:$DE,0)+1,51))),0,IFERROR(INDEX(Material_Detail!$D:$DC,MATCH($A10,Material_Detail!$DE:$DE,0),51),0)),SUMIFS(T_Shipments[Confirmed_Qty],T_Shipments[Part Name],$A10,T_Shipments[Effective_Week],51))</f>
        <v/>
      </c>
      <c r="BA10">
        <f>IF(COUNTIF(Material_Detail!$DE:$DE,$A10)&gt;0,IF(ISNUMBER(SEARCH("[済]",INDEX(Material_Detail!$D:$DC,MATCH($A10,Material_Detail!$DE:$DE,0)+1,52))),0,IFERROR(INDEX(Material_Detail!$D:$DC,MATCH($A10,Material_Detail!$DE:$DE,0),52),0)),SUMIFS(T_Shipments[Confirmed_Qty],T_Shipments[Part Name],$A10,T_Shipments[Effective_Week],52))</f>
        <v/>
      </c>
      <c r="BB10">
        <f>IF(COUNTIF(Material_Detail!$DE:$DE,$A10)&gt;0,IF(ISNUMBER(SEARCH("[済]",INDEX(Material_Detail!$D:$DC,MATCH($A10,Material_Detail!$DE:$DE,0)+1,53))),0,IFERROR(INDEX(Material_Detail!$D:$DC,MATCH($A10,Material_Detail!$DE:$DE,0),53),0)),SUMIFS(T_Shipments[Confirmed_Qty],T_Shipments[Part Name],$A10,T_Shipments[Effective_Week],53))</f>
        <v/>
      </c>
      <c r="BC10">
        <f>IF(COUNTIF(Material_Detail!$DE:$DE,$A10)&gt;0,IF(ISNUMBER(SEARCH("[済]",INDEX(Material_Detail!$D:$DC,MATCH($A10,Material_Detail!$DE:$DE,0)+1,54))),0,IFERROR(INDEX(Material_Detail!$D:$DC,MATCH($A10,Material_Detail!$DE:$DE,0),54),0)),SUMIFS(T_Shipments[Confirmed_Qty],T_Shipments[Part Name],$A10,T_Shipments[Effective_Week],54))</f>
        <v/>
      </c>
      <c r="BD10">
        <f>IF(COUNTIF(Material_Detail!$DE:$DE,$A10)&gt;0,IF(ISNUMBER(SEARCH("[済]",INDEX(Material_Detail!$D:$DC,MATCH($A10,Material_Detail!$DE:$DE,0)+1,55))),0,IFERROR(INDEX(Material_Detail!$D:$DC,MATCH($A10,Material_Detail!$DE:$DE,0),55),0)),SUMIFS(T_Shipments[Confirmed_Qty],T_Shipments[Part Name],$A10,T_Shipments[Effective_Week],55))</f>
        <v/>
      </c>
      <c r="BE10">
        <f>IF(COUNTIF(Material_Detail!$DE:$DE,$A10)&gt;0,IF(ISNUMBER(SEARCH("[済]",INDEX(Material_Detail!$D:$DC,MATCH($A10,Material_Detail!$DE:$DE,0)+1,56))),0,IFERROR(INDEX(Material_Detail!$D:$DC,MATCH($A10,Material_Detail!$DE:$DE,0),56),0)),SUMIFS(T_Shipments[Confirmed_Qty],T_Shipments[Part Name],$A10,T_Shipments[Effective_Week],56))</f>
        <v/>
      </c>
      <c r="BF10">
        <f>IF(COUNTIF(Material_Detail!$DE:$DE,$A10)&gt;0,IF(ISNUMBER(SEARCH("[済]",INDEX(Material_Detail!$D:$DC,MATCH($A10,Material_Detail!$DE:$DE,0)+1,57))),0,IFERROR(INDEX(Material_Detail!$D:$DC,MATCH($A10,Material_Detail!$DE:$DE,0),57),0)),SUMIFS(T_Shipments[Confirmed_Qty],T_Shipments[Part Name],$A10,T_Shipments[Effective_Week],57))</f>
        <v/>
      </c>
      <c r="BG10">
        <f>IF(COUNTIF(Material_Detail!$DE:$DE,$A10)&gt;0,IF(ISNUMBER(SEARCH("[済]",INDEX(Material_Detail!$D:$DC,MATCH($A10,Material_Detail!$DE:$DE,0)+1,58))),0,IFERROR(INDEX(Material_Detail!$D:$DC,MATCH($A10,Material_Detail!$DE:$DE,0),58),0)),SUMIFS(T_Shipments[Confirmed_Qty],T_Shipments[Part Name],$A10,T_Shipments[Effective_Week],58))</f>
        <v/>
      </c>
      <c r="BH10">
        <f>IF(COUNTIF(Material_Detail!$DE:$DE,$A10)&gt;0,IF(ISNUMBER(SEARCH("[済]",INDEX(Material_Detail!$D:$DC,MATCH($A10,Material_Detail!$DE:$DE,0)+1,59))),0,IFERROR(INDEX(Material_Detail!$D:$DC,MATCH($A10,Material_Detail!$DE:$DE,0),59),0)),SUMIFS(T_Shipments[Confirmed_Qty],T_Shipments[Part Name],$A10,T_Shipments[Effective_Week],59))</f>
        <v/>
      </c>
      <c r="BI10">
        <f>IF(COUNTIF(Material_Detail!$DE:$DE,$A10)&gt;0,IF(ISNUMBER(SEARCH("[済]",INDEX(Material_Detail!$D:$DC,MATCH($A10,Material_Detail!$DE:$DE,0)+1,60))),0,IFERROR(INDEX(Material_Detail!$D:$DC,MATCH($A10,Material_Detail!$DE:$DE,0),60),0)),SUMIFS(T_Shipments[Confirmed_Qty],T_Shipments[Part Name],$A10,T_Shipments[Effective_Week],60))</f>
        <v/>
      </c>
      <c r="BJ10">
        <f>IF(COUNTIF(Material_Detail!$DE:$DE,$A10)&gt;0,IF(ISNUMBER(SEARCH("[済]",INDEX(Material_Detail!$D:$DC,MATCH($A10,Material_Detail!$DE:$DE,0)+1,61))),0,IFERROR(INDEX(Material_Detail!$D:$DC,MATCH($A10,Material_Detail!$DE:$DE,0),61),0)),SUMIFS(T_Shipments[Confirmed_Qty],T_Shipments[Part Name],$A10,T_Shipments[Effective_Week],61))</f>
        <v/>
      </c>
      <c r="BK10">
        <f>IF(COUNTIF(Material_Detail!$DE:$DE,$A10)&gt;0,IF(ISNUMBER(SEARCH("[済]",INDEX(Material_Detail!$D:$DC,MATCH($A10,Material_Detail!$DE:$DE,0)+1,62))),0,IFERROR(INDEX(Material_Detail!$D:$DC,MATCH($A10,Material_Detail!$DE:$DE,0),62),0)),SUMIFS(T_Shipments[Confirmed_Qty],T_Shipments[Part Name],$A10,T_Shipments[Effective_Week],62))</f>
        <v/>
      </c>
      <c r="BL10">
        <f>IF(COUNTIF(Material_Detail!$DE:$DE,$A10)&gt;0,IF(ISNUMBER(SEARCH("[済]",INDEX(Material_Detail!$D:$DC,MATCH($A10,Material_Detail!$DE:$DE,0)+1,63))),0,IFERROR(INDEX(Material_Detail!$D:$DC,MATCH($A10,Material_Detail!$DE:$DE,0),63),0)),SUMIFS(T_Shipments[Confirmed_Qty],T_Shipments[Part Name],$A10,T_Shipments[Effective_Week],63))</f>
        <v/>
      </c>
      <c r="BM10">
        <f>IF(COUNTIF(Material_Detail!$DE:$DE,$A10)&gt;0,IF(ISNUMBER(SEARCH("[済]",INDEX(Material_Detail!$D:$DC,MATCH($A10,Material_Detail!$DE:$DE,0)+1,64))),0,IFERROR(INDEX(Material_Detail!$D:$DC,MATCH($A10,Material_Detail!$DE:$DE,0),64),0)),SUMIFS(T_Shipments[Confirmed_Qty],T_Shipments[Part Name],$A10,T_Shipments[Effective_Week],64))</f>
        <v/>
      </c>
      <c r="BN10">
        <f>IF(COUNTIF(Material_Detail!$DE:$DE,$A10)&gt;0,IF(ISNUMBER(SEARCH("[済]",INDEX(Material_Detail!$D:$DC,MATCH($A10,Material_Detail!$DE:$DE,0)+1,65))),0,IFERROR(INDEX(Material_Detail!$D:$DC,MATCH($A10,Material_Detail!$DE:$DE,0),65),0)),SUMIFS(T_Shipments[Confirmed_Qty],T_Shipments[Part Name],$A10,T_Shipments[Effective_Week],65))</f>
        <v/>
      </c>
      <c r="BO10">
        <f>IF(COUNTIF(Material_Detail!$DE:$DE,$A10)&gt;0,IF(ISNUMBER(SEARCH("[済]",INDEX(Material_Detail!$D:$DC,MATCH($A10,Material_Detail!$DE:$DE,0)+1,66))),0,IFERROR(INDEX(Material_Detail!$D:$DC,MATCH($A10,Material_Detail!$DE:$DE,0),66),0)),SUMIFS(T_Shipments[Confirmed_Qty],T_Shipments[Part Name],$A10,T_Shipments[Effective_Week],66))</f>
        <v/>
      </c>
      <c r="BP10">
        <f>IF(COUNTIF(Material_Detail!$DE:$DE,$A10)&gt;0,IF(ISNUMBER(SEARCH("[済]",INDEX(Material_Detail!$D:$DC,MATCH($A10,Material_Detail!$DE:$DE,0)+1,67))),0,IFERROR(INDEX(Material_Detail!$D:$DC,MATCH($A10,Material_Detail!$DE:$DE,0),67),0)),SUMIFS(T_Shipments[Confirmed_Qty],T_Shipments[Part Name],$A10,T_Shipments[Effective_Week],67))</f>
        <v/>
      </c>
      <c r="BQ10">
        <f>IF(COUNTIF(Material_Detail!$DE:$DE,$A10)&gt;0,IF(ISNUMBER(SEARCH("[済]",INDEX(Material_Detail!$D:$DC,MATCH($A10,Material_Detail!$DE:$DE,0)+1,68))),0,IFERROR(INDEX(Material_Detail!$D:$DC,MATCH($A10,Material_Detail!$DE:$DE,0),68),0)),SUMIFS(T_Shipments[Confirmed_Qty],T_Shipments[Part Name],$A10,T_Shipments[Effective_Week],68))</f>
        <v/>
      </c>
      <c r="BR10">
        <f>IF(COUNTIF(Material_Detail!$DE:$DE,$A10)&gt;0,IF(ISNUMBER(SEARCH("[済]",INDEX(Material_Detail!$D:$DC,MATCH($A10,Material_Detail!$DE:$DE,0)+1,69))),0,IFERROR(INDEX(Material_Detail!$D:$DC,MATCH($A10,Material_Detail!$DE:$DE,0),69),0)),SUMIFS(T_Shipments[Confirmed_Qty],T_Shipments[Part Name],$A10,T_Shipments[Effective_Week],69))</f>
        <v/>
      </c>
      <c r="BS10">
        <f>IF(COUNTIF(Material_Detail!$DE:$DE,$A10)&gt;0,IF(ISNUMBER(SEARCH("[済]",INDEX(Material_Detail!$D:$DC,MATCH($A10,Material_Detail!$DE:$DE,0)+1,70))),0,IFERROR(INDEX(Material_Detail!$D:$DC,MATCH($A10,Material_Detail!$DE:$DE,0),70),0)),SUMIFS(T_Shipments[Confirmed_Qty],T_Shipments[Part Name],$A10,T_Shipments[Effective_Week],70))</f>
        <v/>
      </c>
      <c r="BT10">
        <f>IF(COUNTIF(Material_Detail!$DE:$DE,$A10)&gt;0,IF(ISNUMBER(SEARCH("[済]",INDEX(Material_Detail!$D:$DC,MATCH($A10,Material_Detail!$DE:$DE,0)+1,71))),0,IFERROR(INDEX(Material_Detail!$D:$DC,MATCH($A10,Material_Detail!$DE:$DE,0),71),0)),SUMIFS(T_Shipments[Confirmed_Qty],T_Shipments[Part Name],$A10,T_Shipments[Effective_Week],71))</f>
        <v/>
      </c>
      <c r="BU10">
        <f>IF(COUNTIF(Material_Detail!$DE:$DE,$A10)&gt;0,IF(ISNUMBER(SEARCH("[済]",INDEX(Material_Detail!$D:$DC,MATCH($A10,Material_Detail!$DE:$DE,0)+1,72))),0,IFERROR(INDEX(Material_Detail!$D:$DC,MATCH($A10,Material_Detail!$DE:$DE,0),72),0)),SUMIFS(T_Shipments[Confirmed_Qty],T_Shipments[Part Name],$A10,T_Shipments[Effective_Week],72))</f>
        <v/>
      </c>
      <c r="BV10">
        <f>IF(COUNTIF(Material_Detail!$DE:$DE,$A10)&gt;0,IF(ISNUMBER(SEARCH("[済]",INDEX(Material_Detail!$D:$DC,MATCH($A10,Material_Detail!$DE:$DE,0)+1,73))),0,IFERROR(INDEX(Material_Detail!$D:$DC,MATCH($A10,Material_Detail!$DE:$DE,0),73),0)),SUMIFS(T_Shipments[Confirmed_Qty],T_Shipments[Part Name],$A10,T_Shipments[Effective_Week],73))</f>
        <v/>
      </c>
      <c r="BW10">
        <f>IF(COUNTIF(Material_Detail!$DE:$DE,$A10)&gt;0,IF(ISNUMBER(SEARCH("[済]",INDEX(Material_Detail!$D:$DC,MATCH($A10,Material_Detail!$DE:$DE,0)+1,74))),0,IFERROR(INDEX(Material_Detail!$D:$DC,MATCH($A10,Material_Detail!$DE:$DE,0),74),0)),SUMIFS(T_Shipments[Confirmed_Qty],T_Shipments[Part Name],$A10,T_Shipments[Effective_Week],74))</f>
        <v/>
      </c>
      <c r="BX10">
        <f>IF(COUNTIF(Material_Detail!$DE:$DE,$A10)&gt;0,IF(ISNUMBER(SEARCH("[済]",INDEX(Material_Detail!$D:$DC,MATCH($A10,Material_Detail!$DE:$DE,0)+1,75))),0,IFERROR(INDEX(Material_Detail!$D:$DC,MATCH($A10,Material_Detail!$DE:$DE,0),75),0)),SUMIFS(T_Shipments[Confirmed_Qty],T_Shipments[Part Name],$A10,T_Shipments[Effective_Week],75))</f>
        <v/>
      </c>
      <c r="BY10">
        <f>IF(COUNTIF(Material_Detail!$DE:$DE,$A10)&gt;0,IF(ISNUMBER(SEARCH("[済]",INDEX(Material_Detail!$D:$DC,MATCH($A10,Material_Detail!$DE:$DE,0)+1,76))),0,IFERROR(INDEX(Material_Detail!$D:$DC,MATCH($A10,Material_Detail!$DE:$DE,0),76),0)),SUMIFS(T_Shipments[Confirmed_Qty],T_Shipments[Part Name],$A10,T_Shipments[Effective_Week],76))</f>
        <v/>
      </c>
      <c r="BZ10">
        <f>IF(COUNTIF(Material_Detail!$DE:$DE,$A10)&gt;0,IF(ISNUMBER(SEARCH("[済]",INDEX(Material_Detail!$D:$DC,MATCH($A10,Material_Detail!$DE:$DE,0)+1,77))),0,IFERROR(INDEX(Material_Detail!$D:$DC,MATCH($A10,Material_Detail!$DE:$DE,0),77),0)),SUMIFS(T_Shipments[Confirmed_Qty],T_Shipments[Part Name],$A10,T_Shipments[Effective_Week],77))</f>
        <v/>
      </c>
      <c r="CA10">
        <f>IF(COUNTIF(Material_Detail!$DE:$DE,$A10)&gt;0,IF(ISNUMBER(SEARCH("[済]",INDEX(Material_Detail!$D:$DC,MATCH($A10,Material_Detail!$DE:$DE,0)+1,78))),0,IFERROR(INDEX(Material_Detail!$D:$DC,MATCH($A10,Material_Detail!$DE:$DE,0),78),0)),SUMIFS(T_Shipments[Confirmed_Qty],T_Shipments[Part Name],$A10,T_Shipments[Effective_Week],78))</f>
        <v/>
      </c>
      <c r="CB10">
        <f>IF(COUNTIF(Material_Detail!$DE:$DE,$A10)&gt;0,IF(ISNUMBER(SEARCH("[済]",INDEX(Material_Detail!$D:$DC,MATCH($A10,Material_Detail!$DE:$DE,0)+1,79))),0,IFERROR(INDEX(Material_Detail!$D:$DC,MATCH($A10,Material_Detail!$DE:$DE,0),79),0)),SUMIFS(T_Shipments[Confirmed_Qty],T_Shipments[Part Name],$A10,T_Shipments[Effective_Week],79))</f>
        <v/>
      </c>
      <c r="CC10">
        <f>IF(COUNTIF(Material_Detail!$DE:$DE,$A10)&gt;0,IF(ISNUMBER(SEARCH("[済]",INDEX(Material_Detail!$D:$DC,MATCH($A10,Material_Detail!$DE:$DE,0)+1,80))),0,IFERROR(INDEX(Material_Detail!$D:$DC,MATCH($A10,Material_Detail!$DE:$DE,0),80),0)),SUMIFS(T_Shipments[Confirmed_Qty],T_Shipments[Part Name],$A10,T_Shipments[Effective_Week],80))</f>
        <v/>
      </c>
      <c r="CD10">
        <f>IF(COUNTIF(Material_Detail!$DE:$DE,$A10)&gt;0,IF(ISNUMBER(SEARCH("[済]",INDEX(Material_Detail!$D:$DC,MATCH($A10,Material_Detail!$DE:$DE,0)+1,81))),0,IFERROR(INDEX(Material_Detail!$D:$DC,MATCH($A10,Material_Detail!$DE:$DE,0),81),0)),SUMIFS(T_Shipments[Confirmed_Qty],T_Shipments[Part Name],$A10,T_Shipments[Effective_Week],81))</f>
        <v/>
      </c>
      <c r="CE10">
        <f>IF(COUNTIF(Material_Detail!$DE:$DE,$A10)&gt;0,IF(ISNUMBER(SEARCH("[済]",INDEX(Material_Detail!$D:$DC,MATCH($A10,Material_Detail!$DE:$DE,0)+1,82))),0,IFERROR(INDEX(Material_Detail!$D:$DC,MATCH($A10,Material_Detail!$DE:$DE,0),82),0)),SUMIFS(T_Shipments[Confirmed_Qty],T_Shipments[Part Name],$A10,T_Shipments[Effective_Week],82))</f>
        <v/>
      </c>
      <c r="CF10">
        <f>IF(COUNTIF(Material_Detail!$DE:$DE,$A10)&gt;0,IF(ISNUMBER(SEARCH("[済]",INDEX(Material_Detail!$D:$DC,MATCH($A10,Material_Detail!$DE:$DE,0)+1,83))),0,IFERROR(INDEX(Material_Detail!$D:$DC,MATCH($A10,Material_Detail!$DE:$DE,0),83),0)),SUMIFS(T_Shipments[Confirmed_Qty],T_Shipments[Part Name],$A10,T_Shipments[Effective_Week],83))</f>
        <v/>
      </c>
      <c r="CG10">
        <f>IF(COUNTIF(Material_Detail!$DE:$DE,$A10)&gt;0,IF(ISNUMBER(SEARCH("[済]",INDEX(Material_Detail!$D:$DC,MATCH($A10,Material_Detail!$DE:$DE,0)+1,84))),0,IFERROR(INDEX(Material_Detail!$D:$DC,MATCH($A10,Material_Detail!$DE:$DE,0),84),0)),SUMIFS(T_Shipments[Confirmed_Qty],T_Shipments[Part Name],$A10,T_Shipments[Effective_Week],84))</f>
        <v/>
      </c>
      <c r="CH10">
        <f>IF(COUNTIF(Material_Detail!$DE:$DE,$A10)&gt;0,IF(ISNUMBER(SEARCH("[済]",INDEX(Material_Detail!$D:$DC,MATCH($A10,Material_Detail!$DE:$DE,0)+1,85))),0,IFERROR(INDEX(Material_Detail!$D:$DC,MATCH($A10,Material_Detail!$DE:$DE,0),85),0)),SUMIFS(T_Shipments[Confirmed_Qty],T_Shipments[Part Name],$A10,T_Shipments[Effective_Week],85))</f>
        <v/>
      </c>
      <c r="CI10">
        <f>IF(COUNTIF(Material_Detail!$DE:$DE,$A10)&gt;0,IF(ISNUMBER(SEARCH("[済]",INDEX(Material_Detail!$D:$DC,MATCH($A10,Material_Detail!$DE:$DE,0)+1,86))),0,IFERROR(INDEX(Material_Detail!$D:$DC,MATCH($A10,Material_Detail!$DE:$DE,0),86),0)),SUMIFS(T_Shipments[Confirmed_Qty],T_Shipments[Part Name],$A10,T_Shipments[Effective_Week],86))</f>
        <v/>
      </c>
      <c r="CJ10">
        <f>IF(COUNTIF(Material_Detail!$DE:$DE,$A10)&gt;0,IF(ISNUMBER(SEARCH("[済]",INDEX(Material_Detail!$D:$DC,MATCH($A10,Material_Detail!$DE:$DE,0)+1,87))),0,IFERROR(INDEX(Material_Detail!$D:$DC,MATCH($A10,Material_Detail!$DE:$DE,0),87),0)),SUMIFS(T_Shipments[Confirmed_Qty],T_Shipments[Part Name],$A10,T_Shipments[Effective_Week],87))</f>
        <v/>
      </c>
      <c r="CK10">
        <f>IF(COUNTIF(Material_Detail!$DE:$DE,$A10)&gt;0,IF(ISNUMBER(SEARCH("[済]",INDEX(Material_Detail!$D:$DC,MATCH($A10,Material_Detail!$DE:$DE,0)+1,88))),0,IFERROR(INDEX(Material_Detail!$D:$DC,MATCH($A10,Material_Detail!$DE:$DE,0),88),0)),SUMIFS(T_Shipments[Confirmed_Qty],T_Shipments[Part Name],$A10,T_Shipments[Effective_Week],88))</f>
        <v/>
      </c>
      <c r="CL10">
        <f>IF(COUNTIF(Material_Detail!$DE:$DE,$A10)&gt;0,IF(ISNUMBER(SEARCH("[済]",INDEX(Material_Detail!$D:$DC,MATCH($A10,Material_Detail!$DE:$DE,0)+1,89))),0,IFERROR(INDEX(Material_Detail!$D:$DC,MATCH($A10,Material_Detail!$DE:$DE,0),89),0)),SUMIFS(T_Shipments[Confirmed_Qty],T_Shipments[Part Name],$A10,T_Shipments[Effective_Week],89))</f>
        <v/>
      </c>
      <c r="CM10">
        <f>IF(COUNTIF(Material_Detail!$DE:$DE,$A10)&gt;0,IF(ISNUMBER(SEARCH("[済]",INDEX(Material_Detail!$D:$DC,MATCH($A10,Material_Detail!$DE:$DE,0)+1,90))),0,IFERROR(INDEX(Material_Detail!$D:$DC,MATCH($A10,Material_Detail!$DE:$DE,0),90),0)),SUMIFS(T_Shipments[Confirmed_Qty],T_Shipments[Part Name],$A10,T_Shipments[Effective_Week],90))</f>
        <v/>
      </c>
      <c r="CN10">
        <f>IF(COUNTIF(Material_Detail!$DE:$DE,$A10)&gt;0,IF(ISNUMBER(SEARCH("[済]",INDEX(Material_Detail!$D:$DC,MATCH($A10,Material_Detail!$DE:$DE,0)+1,91))),0,IFERROR(INDEX(Material_Detail!$D:$DC,MATCH($A10,Material_Detail!$DE:$DE,0),91),0)),SUMIFS(T_Shipments[Confirmed_Qty],T_Shipments[Part Name],$A10,T_Shipments[Effective_Week],91))</f>
        <v/>
      </c>
      <c r="CO10">
        <f>IF(COUNTIF(Material_Detail!$DE:$DE,$A10)&gt;0,IF(ISNUMBER(SEARCH("[済]",INDEX(Material_Detail!$D:$DC,MATCH($A10,Material_Detail!$DE:$DE,0)+1,92))),0,IFERROR(INDEX(Material_Detail!$D:$DC,MATCH($A10,Material_Detail!$DE:$DE,0),92),0)),SUMIFS(T_Shipments[Confirmed_Qty],T_Shipments[Part Name],$A10,T_Shipments[Effective_Week],92))</f>
        <v/>
      </c>
      <c r="CP10">
        <f>IF(COUNTIF(Material_Detail!$DE:$DE,$A10)&gt;0,IF(ISNUMBER(SEARCH("[済]",INDEX(Material_Detail!$D:$DC,MATCH($A10,Material_Detail!$DE:$DE,0)+1,93))),0,IFERROR(INDEX(Material_Detail!$D:$DC,MATCH($A10,Material_Detail!$DE:$DE,0),93),0)),SUMIFS(T_Shipments[Confirmed_Qty],T_Shipments[Part Name],$A10,T_Shipments[Effective_Week],93))</f>
        <v/>
      </c>
      <c r="CQ10">
        <f>IF(COUNTIF(Material_Detail!$DE:$DE,$A10)&gt;0,IF(ISNUMBER(SEARCH("[済]",INDEX(Material_Detail!$D:$DC,MATCH($A10,Material_Detail!$DE:$DE,0)+1,94))),0,IFERROR(INDEX(Material_Detail!$D:$DC,MATCH($A10,Material_Detail!$DE:$DE,0),94),0)),SUMIFS(T_Shipments[Confirmed_Qty],T_Shipments[Part Name],$A10,T_Shipments[Effective_Week],94))</f>
        <v/>
      </c>
      <c r="CR10">
        <f>IF(COUNTIF(Material_Detail!$DE:$DE,$A10)&gt;0,IF(ISNUMBER(SEARCH("[済]",INDEX(Material_Detail!$D:$DC,MATCH($A10,Material_Detail!$DE:$DE,0)+1,95))),0,IFERROR(INDEX(Material_Detail!$D:$DC,MATCH($A10,Material_Detail!$DE:$DE,0),95),0)),SUMIFS(T_Shipments[Confirmed_Qty],T_Shipments[Part Name],$A10,T_Shipments[Effective_Week],95))</f>
        <v/>
      </c>
      <c r="CS10">
        <f>IF(COUNTIF(Material_Detail!$DE:$DE,$A10)&gt;0,IF(ISNUMBER(SEARCH("[済]",INDEX(Material_Detail!$D:$DC,MATCH($A10,Material_Detail!$DE:$DE,0)+1,96))),0,IFERROR(INDEX(Material_Detail!$D:$DC,MATCH($A10,Material_Detail!$DE:$DE,0),96),0)),SUMIFS(T_Shipments[Confirmed_Qty],T_Shipments[Part Name],$A10,T_Shipments[Effective_Week],96))</f>
        <v/>
      </c>
      <c r="CT10">
        <f>IF(COUNTIF(Material_Detail!$DE:$DE,$A10)&gt;0,IF(ISNUMBER(SEARCH("[済]",INDEX(Material_Detail!$D:$DC,MATCH($A10,Material_Detail!$DE:$DE,0)+1,97))),0,IFERROR(INDEX(Material_Detail!$D:$DC,MATCH($A10,Material_Detail!$DE:$DE,0),97),0)),SUMIFS(T_Shipments[Confirmed_Qty],T_Shipments[Part Name],$A10,T_Shipments[Effective_Week],97))</f>
        <v/>
      </c>
      <c r="CU10">
        <f>IF(COUNTIF(Material_Detail!$DE:$DE,$A10)&gt;0,IF(ISNUMBER(SEARCH("[済]",INDEX(Material_Detail!$D:$DC,MATCH($A10,Material_Detail!$DE:$DE,0)+1,98))),0,IFERROR(INDEX(Material_Detail!$D:$DC,MATCH($A10,Material_Detail!$DE:$DE,0),98),0)),SUMIFS(T_Shipments[Confirmed_Qty],T_Shipments[Part Name],$A10,T_Shipments[Effective_Week],98))</f>
        <v/>
      </c>
      <c r="CV10">
        <f>IF(COUNTIF(Material_Detail!$DE:$DE,$A10)&gt;0,IF(ISNUMBER(SEARCH("[済]",INDEX(Material_Detail!$D:$DC,MATCH($A10,Material_Detail!$DE:$DE,0)+1,99))),0,IFERROR(INDEX(Material_Detail!$D:$DC,MATCH($A10,Material_Detail!$DE:$DE,0),99),0)),SUMIFS(T_Shipments[Confirmed_Qty],T_Shipments[Part Name],$A10,T_Shipments[Effective_Week],99))</f>
        <v/>
      </c>
      <c r="CW10">
        <f>IF(COUNTIF(Material_Detail!$DE:$DE,$A10)&gt;0,IF(ISNUMBER(SEARCH("[済]",INDEX(Material_Detail!$D:$DC,MATCH($A10,Material_Detail!$DE:$DE,0)+1,100))),0,IFERROR(INDEX(Material_Detail!$D:$DC,MATCH($A10,Material_Detail!$DE:$DE,0),100),0)),SUMIFS(T_Shipments[Confirmed_Qty],T_Shipments[Part Name],$A10,T_Shipments[Effective_Week],100))</f>
        <v/>
      </c>
      <c r="CX10">
        <f>IF(COUNTIF(Material_Detail!$DE:$DE,$A10)&gt;0,IF(ISNUMBER(SEARCH("[済]",INDEX(Material_Detail!$D:$DC,MATCH($A10,Material_Detail!$DE:$DE,0)+1,101))),0,IFERROR(INDEX(Material_Detail!$D:$DC,MATCH($A10,Material_Detail!$DE:$DE,0),101),0)),SUMIFS(T_Shipments[Confirmed_Qty],T_Shipments[Part Name],$A10,T_Shipments[Effective_Week],101))</f>
        <v/>
      </c>
      <c r="CY10">
        <f>IF(COUNTIF(Material_Detail!$DE:$DE,$A10)&gt;0,IF(ISNUMBER(SEARCH("[済]",INDEX(Material_Detail!$D:$DC,MATCH($A10,Material_Detail!$DE:$DE,0)+1,102))),0,IFERROR(INDEX(Material_Detail!$D:$DC,MATCH($A10,Material_Detail!$DE:$DE,0),102),0)),SUMIFS(T_Shipments[Confirmed_Qty],T_Shipments[Part Name],$A10,T_Shipments[Effective_Week],102))</f>
        <v/>
      </c>
      <c r="CZ10">
        <f>IF(COUNTIF(Material_Detail!$DE:$DE,$A10)&gt;0,IF(ISNUMBER(SEARCH("[済]",INDEX(Material_Detail!$D:$DC,MATCH($A10,Material_Detail!$DE:$DE,0)+1,103))),0,IFERROR(INDEX(Material_Detail!$D:$DC,MATCH($A10,Material_Detail!$DE:$DE,0),103),0)),SUMIFS(T_Shipments[Confirmed_Qty],T_Shipments[Part Name],$A10,T_Shipments[Effective_Week],103))</f>
        <v/>
      </c>
      <c r="DA10">
        <f>IF(COUNTIF(Material_Detail!$DE:$DE,$A10)&gt;0,IF(ISNUMBER(SEARCH("[済]",INDEX(Material_Detail!$D:$DC,MATCH($A10,Material_Detail!$DE:$DE,0)+1,104))),0,IFERROR(INDEX(Material_Detail!$D:$DC,MATCH($A10,Material_Detail!$DE:$DE,0),104),0)),SUMIFS(T_Shipments[Confirmed_Qty],T_Shipments[Part Name],$A10,T_Shipments[Effective_Week],104))</f>
        <v/>
      </c>
    </row>
    <row r="11">
      <c r="A11" t="inlineStr">
        <is>
          <t>JEJ</t>
        </is>
      </c>
      <c r="B11">
        <f>IF(COUNTIF(Material_Detail!$DE:$DE,$A11)&gt;0,IF(ISNUMBER(SEARCH("[済]",INDEX(Material_Detail!$D:$DC,MATCH($A11,Material_Detail!$DE:$DE,0)+1,1))),0,IFERROR(INDEX(Material_Detail!$D:$DC,MATCH($A11,Material_Detail!$DE:$DE,0),1),0)),SUMIFS(T_Shipments[Confirmed_Qty],T_Shipments[Part Name],$A11,T_Shipments[Effective_Week],1))</f>
        <v/>
      </c>
      <c r="C11">
        <f>IF(COUNTIF(Material_Detail!$DE:$DE,$A11)&gt;0,IF(ISNUMBER(SEARCH("[済]",INDEX(Material_Detail!$D:$DC,MATCH($A11,Material_Detail!$DE:$DE,0)+1,2))),0,IFERROR(INDEX(Material_Detail!$D:$DC,MATCH($A11,Material_Detail!$DE:$DE,0),2),0)),SUMIFS(T_Shipments[Confirmed_Qty],T_Shipments[Part Name],$A11,T_Shipments[Effective_Week],2))</f>
        <v/>
      </c>
      <c r="D11">
        <f>IF(COUNTIF(Material_Detail!$DE:$DE,$A11)&gt;0,IF(ISNUMBER(SEARCH("[済]",INDEX(Material_Detail!$D:$DC,MATCH($A11,Material_Detail!$DE:$DE,0)+1,3))),0,IFERROR(INDEX(Material_Detail!$D:$DC,MATCH($A11,Material_Detail!$DE:$DE,0),3),0)),SUMIFS(T_Shipments[Confirmed_Qty],T_Shipments[Part Name],$A11,T_Shipments[Effective_Week],3))</f>
        <v/>
      </c>
      <c r="E11">
        <f>IF(COUNTIF(Material_Detail!$DE:$DE,$A11)&gt;0,IF(ISNUMBER(SEARCH("[済]",INDEX(Material_Detail!$D:$DC,MATCH($A11,Material_Detail!$DE:$DE,0)+1,4))),0,IFERROR(INDEX(Material_Detail!$D:$DC,MATCH($A11,Material_Detail!$DE:$DE,0),4),0)),SUMIFS(T_Shipments[Confirmed_Qty],T_Shipments[Part Name],$A11,T_Shipments[Effective_Week],4))</f>
        <v/>
      </c>
      <c r="F11">
        <f>IF(COUNTIF(Material_Detail!$DE:$DE,$A11)&gt;0,IF(ISNUMBER(SEARCH("[済]",INDEX(Material_Detail!$D:$DC,MATCH($A11,Material_Detail!$DE:$DE,0)+1,5))),0,IFERROR(INDEX(Material_Detail!$D:$DC,MATCH($A11,Material_Detail!$DE:$DE,0),5),0)),SUMIFS(T_Shipments[Confirmed_Qty],T_Shipments[Part Name],$A11,T_Shipments[Effective_Week],5))</f>
        <v/>
      </c>
      <c r="G11">
        <f>IF(COUNTIF(Material_Detail!$DE:$DE,$A11)&gt;0,IF(ISNUMBER(SEARCH("[済]",INDEX(Material_Detail!$D:$DC,MATCH($A11,Material_Detail!$DE:$DE,0)+1,6))),0,IFERROR(INDEX(Material_Detail!$D:$DC,MATCH($A11,Material_Detail!$DE:$DE,0),6),0)),SUMIFS(T_Shipments[Confirmed_Qty],T_Shipments[Part Name],$A11,T_Shipments[Effective_Week],6))</f>
        <v/>
      </c>
      <c r="H11">
        <f>IF(COUNTIF(Material_Detail!$DE:$DE,$A11)&gt;0,IF(ISNUMBER(SEARCH("[済]",INDEX(Material_Detail!$D:$DC,MATCH($A11,Material_Detail!$DE:$DE,0)+1,7))),0,IFERROR(INDEX(Material_Detail!$D:$DC,MATCH($A11,Material_Detail!$DE:$DE,0),7),0)),SUMIFS(T_Shipments[Confirmed_Qty],T_Shipments[Part Name],$A11,T_Shipments[Effective_Week],7))</f>
        <v/>
      </c>
      <c r="I11">
        <f>IF(COUNTIF(Material_Detail!$DE:$DE,$A11)&gt;0,IF(ISNUMBER(SEARCH("[済]",INDEX(Material_Detail!$D:$DC,MATCH($A11,Material_Detail!$DE:$DE,0)+1,8))),0,IFERROR(INDEX(Material_Detail!$D:$DC,MATCH($A11,Material_Detail!$DE:$DE,0),8),0)),SUMIFS(T_Shipments[Confirmed_Qty],T_Shipments[Part Name],$A11,T_Shipments[Effective_Week],8))</f>
        <v/>
      </c>
      <c r="J11">
        <f>IF(COUNTIF(Material_Detail!$DE:$DE,$A11)&gt;0,IF(ISNUMBER(SEARCH("[済]",INDEX(Material_Detail!$D:$DC,MATCH($A11,Material_Detail!$DE:$DE,0)+1,9))),0,IFERROR(INDEX(Material_Detail!$D:$DC,MATCH($A11,Material_Detail!$DE:$DE,0),9),0)),SUMIFS(T_Shipments[Confirmed_Qty],T_Shipments[Part Name],$A11,T_Shipments[Effective_Week],9))</f>
        <v/>
      </c>
      <c r="K11">
        <f>IF(COUNTIF(Material_Detail!$DE:$DE,$A11)&gt;0,IF(ISNUMBER(SEARCH("[済]",INDEX(Material_Detail!$D:$DC,MATCH($A11,Material_Detail!$DE:$DE,0)+1,10))),0,IFERROR(INDEX(Material_Detail!$D:$DC,MATCH($A11,Material_Detail!$DE:$DE,0),10),0)),SUMIFS(T_Shipments[Confirmed_Qty],T_Shipments[Part Name],$A11,T_Shipments[Effective_Week],10))</f>
        <v/>
      </c>
      <c r="L11">
        <f>IF(COUNTIF(Material_Detail!$DE:$DE,$A11)&gt;0,IF(ISNUMBER(SEARCH("[済]",INDEX(Material_Detail!$D:$DC,MATCH($A11,Material_Detail!$DE:$DE,0)+1,11))),0,IFERROR(INDEX(Material_Detail!$D:$DC,MATCH($A11,Material_Detail!$DE:$DE,0),11),0)),SUMIFS(T_Shipments[Confirmed_Qty],T_Shipments[Part Name],$A11,T_Shipments[Effective_Week],11))</f>
        <v/>
      </c>
      <c r="M11">
        <f>IF(COUNTIF(Material_Detail!$DE:$DE,$A11)&gt;0,IF(ISNUMBER(SEARCH("[済]",INDEX(Material_Detail!$D:$DC,MATCH($A11,Material_Detail!$DE:$DE,0)+1,12))),0,IFERROR(INDEX(Material_Detail!$D:$DC,MATCH($A11,Material_Detail!$DE:$DE,0),12),0)),SUMIFS(T_Shipments[Confirmed_Qty],T_Shipments[Part Name],$A11,T_Shipments[Effective_Week],12))</f>
        <v/>
      </c>
      <c r="N11">
        <f>IF(COUNTIF(Material_Detail!$DE:$DE,$A11)&gt;0,IF(ISNUMBER(SEARCH("[済]",INDEX(Material_Detail!$D:$DC,MATCH($A11,Material_Detail!$DE:$DE,0)+1,13))),0,IFERROR(INDEX(Material_Detail!$D:$DC,MATCH($A11,Material_Detail!$DE:$DE,0),13),0)),SUMIFS(T_Shipments[Confirmed_Qty],T_Shipments[Part Name],$A11,T_Shipments[Effective_Week],13))</f>
        <v/>
      </c>
      <c r="O11">
        <f>IF(COUNTIF(Material_Detail!$DE:$DE,$A11)&gt;0,IF(ISNUMBER(SEARCH("[済]",INDEX(Material_Detail!$D:$DC,MATCH($A11,Material_Detail!$DE:$DE,0)+1,14))),0,IFERROR(INDEX(Material_Detail!$D:$DC,MATCH($A11,Material_Detail!$DE:$DE,0),14),0)),SUMIFS(T_Shipments[Confirmed_Qty],T_Shipments[Part Name],$A11,T_Shipments[Effective_Week],14))</f>
        <v/>
      </c>
      <c r="P11">
        <f>IF(COUNTIF(Material_Detail!$DE:$DE,$A11)&gt;0,IF(ISNUMBER(SEARCH("[済]",INDEX(Material_Detail!$D:$DC,MATCH($A11,Material_Detail!$DE:$DE,0)+1,15))),0,IFERROR(INDEX(Material_Detail!$D:$DC,MATCH($A11,Material_Detail!$DE:$DE,0),15),0)),SUMIFS(T_Shipments[Confirmed_Qty],T_Shipments[Part Name],$A11,T_Shipments[Effective_Week],15))</f>
        <v/>
      </c>
      <c r="Q11">
        <f>IF(COUNTIF(Material_Detail!$DE:$DE,$A11)&gt;0,IF(ISNUMBER(SEARCH("[済]",INDEX(Material_Detail!$D:$DC,MATCH($A11,Material_Detail!$DE:$DE,0)+1,16))),0,IFERROR(INDEX(Material_Detail!$D:$DC,MATCH($A11,Material_Detail!$DE:$DE,0),16),0)),SUMIFS(T_Shipments[Confirmed_Qty],T_Shipments[Part Name],$A11,T_Shipments[Effective_Week],16))</f>
        <v/>
      </c>
      <c r="R11">
        <f>IF(COUNTIF(Material_Detail!$DE:$DE,$A11)&gt;0,IF(ISNUMBER(SEARCH("[済]",INDEX(Material_Detail!$D:$DC,MATCH($A11,Material_Detail!$DE:$DE,0)+1,17))),0,IFERROR(INDEX(Material_Detail!$D:$DC,MATCH($A11,Material_Detail!$DE:$DE,0),17),0)),SUMIFS(T_Shipments[Confirmed_Qty],T_Shipments[Part Name],$A11,T_Shipments[Effective_Week],17))</f>
        <v/>
      </c>
      <c r="S11">
        <f>IF(COUNTIF(Material_Detail!$DE:$DE,$A11)&gt;0,IF(ISNUMBER(SEARCH("[済]",INDEX(Material_Detail!$D:$DC,MATCH($A11,Material_Detail!$DE:$DE,0)+1,18))),0,IFERROR(INDEX(Material_Detail!$D:$DC,MATCH($A11,Material_Detail!$DE:$DE,0),18),0)),SUMIFS(T_Shipments[Confirmed_Qty],T_Shipments[Part Name],$A11,T_Shipments[Effective_Week],18))</f>
        <v/>
      </c>
      <c r="T11">
        <f>IF(COUNTIF(Material_Detail!$DE:$DE,$A11)&gt;0,IF(ISNUMBER(SEARCH("[済]",INDEX(Material_Detail!$D:$DC,MATCH($A11,Material_Detail!$DE:$DE,0)+1,19))),0,IFERROR(INDEX(Material_Detail!$D:$DC,MATCH($A11,Material_Detail!$DE:$DE,0),19),0)),SUMIFS(T_Shipments[Confirmed_Qty],T_Shipments[Part Name],$A11,T_Shipments[Effective_Week],19))</f>
        <v/>
      </c>
      <c r="U11">
        <f>IF(COUNTIF(Material_Detail!$DE:$DE,$A11)&gt;0,IF(ISNUMBER(SEARCH("[済]",INDEX(Material_Detail!$D:$DC,MATCH($A11,Material_Detail!$DE:$DE,0)+1,20))),0,IFERROR(INDEX(Material_Detail!$D:$DC,MATCH($A11,Material_Detail!$DE:$DE,0),20),0)),SUMIFS(T_Shipments[Confirmed_Qty],T_Shipments[Part Name],$A11,T_Shipments[Effective_Week],20))</f>
        <v/>
      </c>
      <c r="V11">
        <f>IF(COUNTIF(Material_Detail!$DE:$DE,$A11)&gt;0,IF(ISNUMBER(SEARCH("[済]",INDEX(Material_Detail!$D:$DC,MATCH($A11,Material_Detail!$DE:$DE,0)+1,21))),0,IFERROR(INDEX(Material_Detail!$D:$DC,MATCH($A11,Material_Detail!$DE:$DE,0),21),0)),SUMIFS(T_Shipments[Confirmed_Qty],T_Shipments[Part Name],$A11,T_Shipments[Effective_Week],21))</f>
        <v/>
      </c>
      <c r="W11">
        <f>IF(COUNTIF(Material_Detail!$DE:$DE,$A11)&gt;0,IF(ISNUMBER(SEARCH("[済]",INDEX(Material_Detail!$D:$DC,MATCH($A11,Material_Detail!$DE:$DE,0)+1,22))),0,IFERROR(INDEX(Material_Detail!$D:$DC,MATCH($A11,Material_Detail!$DE:$DE,0),22),0)),SUMIFS(T_Shipments[Confirmed_Qty],T_Shipments[Part Name],$A11,T_Shipments[Effective_Week],22))</f>
        <v/>
      </c>
      <c r="X11">
        <f>IF(COUNTIF(Material_Detail!$DE:$DE,$A11)&gt;0,IF(ISNUMBER(SEARCH("[済]",INDEX(Material_Detail!$D:$DC,MATCH($A11,Material_Detail!$DE:$DE,0)+1,23))),0,IFERROR(INDEX(Material_Detail!$D:$DC,MATCH($A11,Material_Detail!$DE:$DE,0),23),0)),SUMIFS(T_Shipments[Confirmed_Qty],T_Shipments[Part Name],$A11,T_Shipments[Effective_Week],23))</f>
        <v/>
      </c>
      <c r="Y11">
        <f>IF(COUNTIF(Material_Detail!$DE:$DE,$A11)&gt;0,IF(ISNUMBER(SEARCH("[済]",INDEX(Material_Detail!$D:$DC,MATCH($A11,Material_Detail!$DE:$DE,0)+1,24))),0,IFERROR(INDEX(Material_Detail!$D:$DC,MATCH($A11,Material_Detail!$DE:$DE,0),24),0)),SUMIFS(T_Shipments[Confirmed_Qty],T_Shipments[Part Name],$A11,T_Shipments[Effective_Week],24))</f>
        <v/>
      </c>
      <c r="Z11">
        <f>IF(COUNTIF(Material_Detail!$DE:$DE,$A11)&gt;0,IF(ISNUMBER(SEARCH("[済]",INDEX(Material_Detail!$D:$DC,MATCH($A11,Material_Detail!$DE:$DE,0)+1,25))),0,IFERROR(INDEX(Material_Detail!$D:$DC,MATCH($A11,Material_Detail!$DE:$DE,0),25),0)),SUMIFS(T_Shipments[Confirmed_Qty],T_Shipments[Part Name],$A11,T_Shipments[Effective_Week],25))</f>
        <v/>
      </c>
      <c r="AA11">
        <f>IF(COUNTIF(Material_Detail!$DE:$DE,$A11)&gt;0,IF(ISNUMBER(SEARCH("[済]",INDEX(Material_Detail!$D:$DC,MATCH($A11,Material_Detail!$DE:$DE,0)+1,26))),0,IFERROR(INDEX(Material_Detail!$D:$DC,MATCH($A11,Material_Detail!$DE:$DE,0),26),0)),SUMIFS(T_Shipments[Confirmed_Qty],T_Shipments[Part Name],$A11,T_Shipments[Effective_Week],26))</f>
        <v/>
      </c>
      <c r="AB11">
        <f>IF(COUNTIF(Material_Detail!$DE:$DE,$A11)&gt;0,IF(ISNUMBER(SEARCH("[済]",INDEX(Material_Detail!$D:$DC,MATCH($A11,Material_Detail!$DE:$DE,0)+1,27))),0,IFERROR(INDEX(Material_Detail!$D:$DC,MATCH($A11,Material_Detail!$DE:$DE,0),27),0)),SUMIFS(T_Shipments[Confirmed_Qty],T_Shipments[Part Name],$A11,T_Shipments[Effective_Week],27))</f>
        <v/>
      </c>
      <c r="AC11">
        <f>IF(COUNTIF(Material_Detail!$DE:$DE,$A11)&gt;0,IF(ISNUMBER(SEARCH("[済]",INDEX(Material_Detail!$D:$DC,MATCH($A11,Material_Detail!$DE:$DE,0)+1,28))),0,IFERROR(INDEX(Material_Detail!$D:$DC,MATCH($A11,Material_Detail!$DE:$DE,0),28),0)),SUMIFS(T_Shipments[Confirmed_Qty],T_Shipments[Part Name],$A11,T_Shipments[Effective_Week],28))</f>
        <v/>
      </c>
      <c r="AD11">
        <f>IF(COUNTIF(Material_Detail!$DE:$DE,$A11)&gt;0,IF(ISNUMBER(SEARCH("[済]",INDEX(Material_Detail!$D:$DC,MATCH($A11,Material_Detail!$DE:$DE,0)+1,29))),0,IFERROR(INDEX(Material_Detail!$D:$DC,MATCH($A11,Material_Detail!$DE:$DE,0),29),0)),SUMIFS(T_Shipments[Confirmed_Qty],T_Shipments[Part Name],$A11,T_Shipments[Effective_Week],29))</f>
        <v/>
      </c>
      <c r="AE11">
        <f>IF(COUNTIF(Material_Detail!$DE:$DE,$A11)&gt;0,IF(ISNUMBER(SEARCH("[済]",INDEX(Material_Detail!$D:$DC,MATCH($A11,Material_Detail!$DE:$DE,0)+1,30))),0,IFERROR(INDEX(Material_Detail!$D:$DC,MATCH($A11,Material_Detail!$DE:$DE,0),30),0)),SUMIFS(T_Shipments[Confirmed_Qty],T_Shipments[Part Name],$A11,T_Shipments[Effective_Week],30))</f>
        <v/>
      </c>
      <c r="AF11">
        <f>IF(COUNTIF(Material_Detail!$DE:$DE,$A11)&gt;0,IF(ISNUMBER(SEARCH("[済]",INDEX(Material_Detail!$D:$DC,MATCH($A11,Material_Detail!$DE:$DE,0)+1,31))),0,IFERROR(INDEX(Material_Detail!$D:$DC,MATCH($A11,Material_Detail!$DE:$DE,0),31),0)),SUMIFS(T_Shipments[Confirmed_Qty],T_Shipments[Part Name],$A11,T_Shipments[Effective_Week],31))</f>
        <v/>
      </c>
      <c r="AG11">
        <f>IF(COUNTIF(Material_Detail!$DE:$DE,$A11)&gt;0,IF(ISNUMBER(SEARCH("[済]",INDEX(Material_Detail!$D:$DC,MATCH($A11,Material_Detail!$DE:$DE,0)+1,32))),0,IFERROR(INDEX(Material_Detail!$D:$DC,MATCH($A11,Material_Detail!$DE:$DE,0),32),0)),SUMIFS(T_Shipments[Confirmed_Qty],T_Shipments[Part Name],$A11,T_Shipments[Effective_Week],32))</f>
        <v/>
      </c>
      <c r="AH11">
        <f>IF(COUNTIF(Material_Detail!$DE:$DE,$A11)&gt;0,IF(ISNUMBER(SEARCH("[済]",INDEX(Material_Detail!$D:$DC,MATCH($A11,Material_Detail!$DE:$DE,0)+1,33))),0,IFERROR(INDEX(Material_Detail!$D:$DC,MATCH($A11,Material_Detail!$DE:$DE,0),33),0)),SUMIFS(T_Shipments[Confirmed_Qty],T_Shipments[Part Name],$A11,T_Shipments[Effective_Week],33))</f>
        <v/>
      </c>
      <c r="AI11">
        <f>IF(COUNTIF(Material_Detail!$DE:$DE,$A11)&gt;0,IF(ISNUMBER(SEARCH("[済]",INDEX(Material_Detail!$D:$DC,MATCH($A11,Material_Detail!$DE:$DE,0)+1,34))),0,IFERROR(INDEX(Material_Detail!$D:$DC,MATCH($A11,Material_Detail!$DE:$DE,0),34),0)),SUMIFS(T_Shipments[Confirmed_Qty],T_Shipments[Part Name],$A11,T_Shipments[Effective_Week],34))</f>
        <v/>
      </c>
      <c r="AJ11">
        <f>IF(COUNTIF(Material_Detail!$DE:$DE,$A11)&gt;0,IF(ISNUMBER(SEARCH("[済]",INDEX(Material_Detail!$D:$DC,MATCH($A11,Material_Detail!$DE:$DE,0)+1,35))),0,IFERROR(INDEX(Material_Detail!$D:$DC,MATCH($A11,Material_Detail!$DE:$DE,0),35),0)),SUMIFS(T_Shipments[Confirmed_Qty],T_Shipments[Part Name],$A11,T_Shipments[Effective_Week],35))</f>
        <v/>
      </c>
      <c r="AK11">
        <f>IF(COUNTIF(Material_Detail!$DE:$DE,$A11)&gt;0,IF(ISNUMBER(SEARCH("[済]",INDEX(Material_Detail!$D:$DC,MATCH($A11,Material_Detail!$DE:$DE,0)+1,36))),0,IFERROR(INDEX(Material_Detail!$D:$DC,MATCH($A11,Material_Detail!$DE:$DE,0),36),0)),SUMIFS(T_Shipments[Confirmed_Qty],T_Shipments[Part Name],$A11,T_Shipments[Effective_Week],36))</f>
        <v/>
      </c>
      <c r="AL11">
        <f>IF(COUNTIF(Material_Detail!$DE:$DE,$A11)&gt;0,IF(ISNUMBER(SEARCH("[済]",INDEX(Material_Detail!$D:$DC,MATCH($A11,Material_Detail!$DE:$DE,0)+1,37))),0,IFERROR(INDEX(Material_Detail!$D:$DC,MATCH($A11,Material_Detail!$DE:$DE,0),37),0)),SUMIFS(T_Shipments[Confirmed_Qty],T_Shipments[Part Name],$A11,T_Shipments[Effective_Week],37))</f>
        <v/>
      </c>
      <c r="AM11">
        <f>IF(COUNTIF(Material_Detail!$DE:$DE,$A11)&gt;0,IF(ISNUMBER(SEARCH("[済]",INDEX(Material_Detail!$D:$DC,MATCH($A11,Material_Detail!$DE:$DE,0)+1,38))),0,IFERROR(INDEX(Material_Detail!$D:$DC,MATCH($A11,Material_Detail!$DE:$DE,0),38),0)),SUMIFS(T_Shipments[Confirmed_Qty],T_Shipments[Part Name],$A11,T_Shipments[Effective_Week],38))</f>
        <v/>
      </c>
      <c r="AN11">
        <f>IF(COUNTIF(Material_Detail!$DE:$DE,$A11)&gt;0,IF(ISNUMBER(SEARCH("[済]",INDEX(Material_Detail!$D:$DC,MATCH($A11,Material_Detail!$DE:$DE,0)+1,39))),0,IFERROR(INDEX(Material_Detail!$D:$DC,MATCH($A11,Material_Detail!$DE:$DE,0),39),0)),SUMIFS(T_Shipments[Confirmed_Qty],T_Shipments[Part Name],$A11,T_Shipments[Effective_Week],39))</f>
        <v/>
      </c>
      <c r="AO11">
        <f>IF(COUNTIF(Material_Detail!$DE:$DE,$A11)&gt;0,IF(ISNUMBER(SEARCH("[済]",INDEX(Material_Detail!$D:$DC,MATCH($A11,Material_Detail!$DE:$DE,0)+1,40))),0,IFERROR(INDEX(Material_Detail!$D:$DC,MATCH($A11,Material_Detail!$DE:$DE,0),40),0)),SUMIFS(T_Shipments[Confirmed_Qty],T_Shipments[Part Name],$A11,T_Shipments[Effective_Week],40))</f>
        <v/>
      </c>
      <c r="AP11">
        <f>IF(COUNTIF(Material_Detail!$DE:$DE,$A11)&gt;0,IF(ISNUMBER(SEARCH("[済]",INDEX(Material_Detail!$D:$DC,MATCH($A11,Material_Detail!$DE:$DE,0)+1,41))),0,IFERROR(INDEX(Material_Detail!$D:$DC,MATCH($A11,Material_Detail!$DE:$DE,0),41),0)),SUMIFS(T_Shipments[Confirmed_Qty],T_Shipments[Part Name],$A11,T_Shipments[Effective_Week],41))</f>
        <v/>
      </c>
      <c r="AQ11">
        <f>IF(COUNTIF(Material_Detail!$DE:$DE,$A11)&gt;0,IF(ISNUMBER(SEARCH("[済]",INDEX(Material_Detail!$D:$DC,MATCH($A11,Material_Detail!$DE:$DE,0)+1,42))),0,IFERROR(INDEX(Material_Detail!$D:$DC,MATCH($A11,Material_Detail!$DE:$DE,0),42),0)),SUMIFS(T_Shipments[Confirmed_Qty],T_Shipments[Part Name],$A11,T_Shipments[Effective_Week],42))</f>
        <v/>
      </c>
      <c r="AR11">
        <f>IF(COUNTIF(Material_Detail!$DE:$DE,$A11)&gt;0,IF(ISNUMBER(SEARCH("[済]",INDEX(Material_Detail!$D:$DC,MATCH($A11,Material_Detail!$DE:$DE,0)+1,43))),0,IFERROR(INDEX(Material_Detail!$D:$DC,MATCH($A11,Material_Detail!$DE:$DE,0),43),0)),SUMIFS(T_Shipments[Confirmed_Qty],T_Shipments[Part Name],$A11,T_Shipments[Effective_Week],43))</f>
        <v/>
      </c>
      <c r="AS11">
        <f>IF(COUNTIF(Material_Detail!$DE:$DE,$A11)&gt;0,IF(ISNUMBER(SEARCH("[済]",INDEX(Material_Detail!$D:$DC,MATCH($A11,Material_Detail!$DE:$DE,0)+1,44))),0,IFERROR(INDEX(Material_Detail!$D:$DC,MATCH($A11,Material_Detail!$DE:$DE,0),44),0)),SUMIFS(T_Shipments[Confirmed_Qty],T_Shipments[Part Name],$A11,T_Shipments[Effective_Week],44))</f>
        <v/>
      </c>
      <c r="AT11">
        <f>IF(COUNTIF(Material_Detail!$DE:$DE,$A11)&gt;0,IF(ISNUMBER(SEARCH("[済]",INDEX(Material_Detail!$D:$DC,MATCH($A11,Material_Detail!$DE:$DE,0)+1,45))),0,IFERROR(INDEX(Material_Detail!$D:$DC,MATCH($A11,Material_Detail!$DE:$DE,0),45),0)),SUMIFS(T_Shipments[Confirmed_Qty],T_Shipments[Part Name],$A11,T_Shipments[Effective_Week],45))</f>
        <v/>
      </c>
      <c r="AU11">
        <f>IF(COUNTIF(Material_Detail!$DE:$DE,$A11)&gt;0,IF(ISNUMBER(SEARCH("[済]",INDEX(Material_Detail!$D:$DC,MATCH($A11,Material_Detail!$DE:$DE,0)+1,46))),0,IFERROR(INDEX(Material_Detail!$D:$DC,MATCH($A11,Material_Detail!$DE:$DE,0),46),0)),SUMIFS(T_Shipments[Confirmed_Qty],T_Shipments[Part Name],$A11,T_Shipments[Effective_Week],46))</f>
        <v/>
      </c>
      <c r="AV11">
        <f>IF(COUNTIF(Material_Detail!$DE:$DE,$A11)&gt;0,IF(ISNUMBER(SEARCH("[済]",INDEX(Material_Detail!$D:$DC,MATCH($A11,Material_Detail!$DE:$DE,0)+1,47))),0,IFERROR(INDEX(Material_Detail!$D:$DC,MATCH($A11,Material_Detail!$DE:$DE,0),47),0)),SUMIFS(T_Shipments[Confirmed_Qty],T_Shipments[Part Name],$A11,T_Shipments[Effective_Week],47))</f>
        <v/>
      </c>
      <c r="AW11">
        <f>IF(COUNTIF(Material_Detail!$DE:$DE,$A11)&gt;0,IF(ISNUMBER(SEARCH("[済]",INDEX(Material_Detail!$D:$DC,MATCH($A11,Material_Detail!$DE:$DE,0)+1,48))),0,IFERROR(INDEX(Material_Detail!$D:$DC,MATCH($A11,Material_Detail!$DE:$DE,0),48),0)),SUMIFS(T_Shipments[Confirmed_Qty],T_Shipments[Part Name],$A11,T_Shipments[Effective_Week],48))</f>
        <v/>
      </c>
      <c r="AX11">
        <f>IF(COUNTIF(Material_Detail!$DE:$DE,$A11)&gt;0,IF(ISNUMBER(SEARCH("[済]",INDEX(Material_Detail!$D:$DC,MATCH($A11,Material_Detail!$DE:$DE,0)+1,49))),0,IFERROR(INDEX(Material_Detail!$D:$DC,MATCH($A11,Material_Detail!$DE:$DE,0),49),0)),SUMIFS(T_Shipments[Confirmed_Qty],T_Shipments[Part Name],$A11,T_Shipments[Effective_Week],49))</f>
        <v/>
      </c>
      <c r="AY11">
        <f>IF(COUNTIF(Material_Detail!$DE:$DE,$A11)&gt;0,IF(ISNUMBER(SEARCH("[済]",INDEX(Material_Detail!$D:$DC,MATCH($A11,Material_Detail!$DE:$DE,0)+1,50))),0,IFERROR(INDEX(Material_Detail!$D:$DC,MATCH($A11,Material_Detail!$DE:$DE,0),50),0)),SUMIFS(T_Shipments[Confirmed_Qty],T_Shipments[Part Name],$A11,T_Shipments[Effective_Week],50))</f>
        <v/>
      </c>
      <c r="AZ11">
        <f>IF(COUNTIF(Material_Detail!$DE:$DE,$A11)&gt;0,IF(ISNUMBER(SEARCH("[済]",INDEX(Material_Detail!$D:$DC,MATCH($A11,Material_Detail!$DE:$DE,0)+1,51))),0,IFERROR(INDEX(Material_Detail!$D:$DC,MATCH($A11,Material_Detail!$DE:$DE,0),51),0)),SUMIFS(T_Shipments[Confirmed_Qty],T_Shipments[Part Name],$A11,T_Shipments[Effective_Week],51))</f>
        <v/>
      </c>
      <c r="BA11">
        <f>IF(COUNTIF(Material_Detail!$DE:$DE,$A11)&gt;0,IF(ISNUMBER(SEARCH("[済]",INDEX(Material_Detail!$D:$DC,MATCH($A11,Material_Detail!$DE:$DE,0)+1,52))),0,IFERROR(INDEX(Material_Detail!$D:$DC,MATCH($A11,Material_Detail!$DE:$DE,0),52),0)),SUMIFS(T_Shipments[Confirmed_Qty],T_Shipments[Part Name],$A11,T_Shipments[Effective_Week],52))</f>
        <v/>
      </c>
      <c r="BB11">
        <f>IF(COUNTIF(Material_Detail!$DE:$DE,$A11)&gt;0,IF(ISNUMBER(SEARCH("[済]",INDEX(Material_Detail!$D:$DC,MATCH($A11,Material_Detail!$DE:$DE,0)+1,53))),0,IFERROR(INDEX(Material_Detail!$D:$DC,MATCH($A11,Material_Detail!$DE:$DE,0),53),0)),SUMIFS(T_Shipments[Confirmed_Qty],T_Shipments[Part Name],$A11,T_Shipments[Effective_Week],53))</f>
        <v/>
      </c>
      <c r="BC11">
        <f>IF(COUNTIF(Material_Detail!$DE:$DE,$A11)&gt;0,IF(ISNUMBER(SEARCH("[済]",INDEX(Material_Detail!$D:$DC,MATCH($A11,Material_Detail!$DE:$DE,0)+1,54))),0,IFERROR(INDEX(Material_Detail!$D:$DC,MATCH($A11,Material_Detail!$DE:$DE,0),54),0)),SUMIFS(T_Shipments[Confirmed_Qty],T_Shipments[Part Name],$A11,T_Shipments[Effective_Week],54))</f>
        <v/>
      </c>
      <c r="BD11">
        <f>IF(COUNTIF(Material_Detail!$DE:$DE,$A11)&gt;0,IF(ISNUMBER(SEARCH("[済]",INDEX(Material_Detail!$D:$DC,MATCH($A11,Material_Detail!$DE:$DE,0)+1,55))),0,IFERROR(INDEX(Material_Detail!$D:$DC,MATCH($A11,Material_Detail!$DE:$DE,0),55),0)),SUMIFS(T_Shipments[Confirmed_Qty],T_Shipments[Part Name],$A11,T_Shipments[Effective_Week],55))</f>
        <v/>
      </c>
      <c r="BE11">
        <f>IF(COUNTIF(Material_Detail!$DE:$DE,$A11)&gt;0,IF(ISNUMBER(SEARCH("[済]",INDEX(Material_Detail!$D:$DC,MATCH($A11,Material_Detail!$DE:$DE,0)+1,56))),0,IFERROR(INDEX(Material_Detail!$D:$DC,MATCH($A11,Material_Detail!$DE:$DE,0),56),0)),SUMIFS(T_Shipments[Confirmed_Qty],T_Shipments[Part Name],$A11,T_Shipments[Effective_Week],56))</f>
        <v/>
      </c>
      <c r="BF11">
        <f>IF(COUNTIF(Material_Detail!$DE:$DE,$A11)&gt;0,IF(ISNUMBER(SEARCH("[済]",INDEX(Material_Detail!$D:$DC,MATCH($A11,Material_Detail!$DE:$DE,0)+1,57))),0,IFERROR(INDEX(Material_Detail!$D:$DC,MATCH($A11,Material_Detail!$DE:$DE,0),57),0)),SUMIFS(T_Shipments[Confirmed_Qty],T_Shipments[Part Name],$A11,T_Shipments[Effective_Week],57))</f>
        <v/>
      </c>
      <c r="BG11">
        <f>IF(COUNTIF(Material_Detail!$DE:$DE,$A11)&gt;0,IF(ISNUMBER(SEARCH("[済]",INDEX(Material_Detail!$D:$DC,MATCH($A11,Material_Detail!$DE:$DE,0)+1,58))),0,IFERROR(INDEX(Material_Detail!$D:$DC,MATCH($A11,Material_Detail!$DE:$DE,0),58),0)),SUMIFS(T_Shipments[Confirmed_Qty],T_Shipments[Part Name],$A11,T_Shipments[Effective_Week],58))</f>
        <v/>
      </c>
      <c r="BH11">
        <f>IF(COUNTIF(Material_Detail!$DE:$DE,$A11)&gt;0,IF(ISNUMBER(SEARCH("[済]",INDEX(Material_Detail!$D:$DC,MATCH($A11,Material_Detail!$DE:$DE,0)+1,59))),0,IFERROR(INDEX(Material_Detail!$D:$DC,MATCH($A11,Material_Detail!$DE:$DE,0),59),0)),SUMIFS(T_Shipments[Confirmed_Qty],T_Shipments[Part Name],$A11,T_Shipments[Effective_Week],59))</f>
        <v/>
      </c>
      <c r="BI11">
        <f>IF(COUNTIF(Material_Detail!$DE:$DE,$A11)&gt;0,IF(ISNUMBER(SEARCH("[済]",INDEX(Material_Detail!$D:$DC,MATCH($A11,Material_Detail!$DE:$DE,0)+1,60))),0,IFERROR(INDEX(Material_Detail!$D:$DC,MATCH($A11,Material_Detail!$DE:$DE,0),60),0)),SUMIFS(T_Shipments[Confirmed_Qty],T_Shipments[Part Name],$A11,T_Shipments[Effective_Week],60))</f>
        <v/>
      </c>
      <c r="BJ11">
        <f>IF(COUNTIF(Material_Detail!$DE:$DE,$A11)&gt;0,IF(ISNUMBER(SEARCH("[済]",INDEX(Material_Detail!$D:$DC,MATCH($A11,Material_Detail!$DE:$DE,0)+1,61))),0,IFERROR(INDEX(Material_Detail!$D:$DC,MATCH($A11,Material_Detail!$DE:$DE,0),61),0)),SUMIFS(T_Shipments[Confirmed_Qty],T_Shipments[Part Name],$A11,T_Shipments[Effective_Week],61))</f>
        <v/>
      </c>
      <c r="BK11">
        <f>IF(COUNTIF(Material_Detail!$DE:$DE,$A11)&gt;0,IF(ISNUMBER(SEARCH("[済]",INDEX(Material_Detail!$D:$DC,MATCH($A11,Material_Detail!$DE:$DE,0)+1,62))),0,IFERROR(INDEX(Material_Detail!$D:$DC,MATCH($A11,Material_Detail!$DE:$DE,0),62),0)),SUMIFS(T_Shipments[Confirmed_Qty],T_Shipments[Part Name],$A11,T_Shipments[Effective_Week],62))</f>
        <v/>
      </c>
      <c r="BL11">
        <f>IF(COUNTIF(Material_Detail!$DE:$DE,$A11)&gt;0,IF(ISNUMBER(SEARCH("[済]",INDEX(Material_Detail!$D:$DC,MATCH($A11,Material_Detail!$DE:$DE,0)+1,63))),0,IFERROR(INDEX(Material_Detail!$D:$DC,MATCH($A11,Material_Detail!$DE:$DE,0),63),0)),SUMIFS(T_Shipments[Confirmed_Qty],T_Shipments[Part Name],$A11,T_Shipments[Effective_Week],63))</f>
        <v/>
      </c>
      <c r="BM11">
        <f>IF(COUNTIF(Material_Detail!$DE:$DE,$A11)&gt;0,IF(ISNUMBER(SEARCH("[済]",INDEX(Material_Detail!$D:$DC,MATCH($A11,Material_Detail!$DE:$DE,0)+1,64))),0,IFERROR(INDEX(Material_Detail!$D:$DC,MATCH($A11,Material_Detail!$DE:$DE,0),64),0)),SUMIFS(T_Shipments[Confirmed_Qty],T_Shipments[Part Name],$A11,T_Shipments[Effective_Week],64))</f>
        <v/>
      </c>
      <c r="BN11">
        <f>IF(COUNTIF(Material_Detail!$DE:$DE,$A11)&gt;0,IF(ISNUMBER(SEARCH("[済]",INDEX(Material_Detail!$D:$DC,MATCH($A11,Material_Detail!$DE:$DE,0)+1,65))),0,IFERROR(INDEX(Material_Detail!$D:$DC,MATCH($A11,Material_Detail!$DE:$DE,0),65),0)),SUMIFS(T_Shipments[Confirmed_Qty],T_Shipments[Part Name],$A11,T_Shipments[Effective_Week],65))</f>
        <v/>
      </c>
      <c r="BO11">
        <f>IF(COUNTIF(Material_Detail!$DE:$DE,$A11)&gt;0,IF(ISNUMBER(SEARCH("[済]",INDEX(Material_Detail!$D:$DC,MATCH($A11,Material_Detail!$DE:$DE,0)+1,66))),0,IFERROR(INDEX(Material_Detail!$D:$DC,MATCH($A11,Material_Detail!$DE:$DE,0),66),0)),SUMIFS(T_Shipments[Confirmed_Qty],T_Shipments[Part Name],$A11,T_Shipments[Effective_Week],66))</f>
        <v/>
      </c>
      <c r="BP11">
        <f>IF(COUNTIF(Material_Detail!$DE:$DE,$A11)&gt;0,IF(ISNUMBER(SEARCH("[済]",INDEX(Material_Detail!$D:$DC,MATCH($A11,Material_Detail!$DE:$DE,0)+1,67))),0,IFERROR(INDEX(Material_Detail!$D:$DC,MATCH($A11,Material_Detail!$DE:$DE,0),67),0)),SUMIFS(T_Shipments[Confirmed_Qty],T_Shipments[Part Name],$A11,T_Shipments[Effective_Week],67))</f>
        <v/>
      </c>
      <c r="BQ11">
        <f>IF(COUNTIF(Material_Detail!$DE:$DE,$A11)&gt;0,IF(ISNUMBER(SEARCH("[済]",INDEX(Material_Detail!$D:$DC,MATCH($A11,Material_Detail!$DE:$DE,0)+1,68))),0,IFERROR(INDEX(Material_Detail!$D:$DC,MATCH($A11,Material_Detail!$DE:$DE,0),68),0)),SUMIFS(T_Shipments[Confirmed_Qty],T_Shipments[Part Name],$A11,T_Shipments[Effective_Week],68))</f>
        <v/>
      </c>
      <c r="BR11">
        <f>IF(COUNTIF(Material_Detail!$DE:$DE,$A11)&gt;0,IF(ISNUMBER(SEARCH("[済]",INDEX(Material_Detail!$D:$DC,MATCH($A11,Material_Detail!$DE:$DE,0)+1,69))),0,IFERROR(INDEX(Material_Detail!$D:$DC,MATCH($A11,Material_Detail!$DE:$DE,0),69),0)),SUMIFS(T_Shipments[Confirmed_Qty],T_Shipments[Part Name],$A11,T_Shipments[Effective_Week],69))</f>
        <v/>
      </c>
      <c r="BS11">
        <f>IF(COUNTIF(Material_Detail!$DE:$DE,$A11)&gt;0,IF(ISNUMBER(SEARCH("[済]",INDEX(Material_Detail!$D:$DC,MATCH($A11,Material_Detail!$DE:$DE,0)+1,70))),0,IFERROR(INDEX(Material_Detail!$D:$DC,MATCH($A11,Material_Detail!$DE:$DE,0),70),0)),SUMIFS(T_Shipments[Confirmed_Qty],T_Shipments[Part Name],$A11,T_Shipments[Effective_Week],70))</f>
        <v/>
      </c>
      <c r="BT11">
        <f>IF(COUNTIF(Material_Detail!$DE:$DE,$A11)&gt;0,IF(ISNUMBER(SEARCH("[済]",INDEX(Material_Detail!$D:$DC,MATCH($A11,Material_Detail!$DE:$DE,0)+1,71))),0,IFERROR(INDEX(Material_Detail!$D:$DC,MATCH($A11,Material_Detail!$DE:$DE,0),71),0)),SUMIFS(T_Shipments[Confirmed_Qty],T_Shipments[Part Name],$A11,T_Shipments[Effective_Week],71))</f>
        <v/>
      </c>
      <c r="BU11">
        <f>IF(COUNTIF(Material_Detail!$DE:$DE,$A11)&gt;0,IF(ISNUMBER(SEARCH("[済]",INDEX(Material_Detail!$D:$DC,MATCH($A11,Material_Detail!$DE:$DE,0)+1,72))),0,IFERROR(INDEX(Material_Detail!$D:$DC,MATCH($A11,Material_Detail!$DE:$DE,0),72),0)),SUMIFS(T_Shipments[Confirmed_Qty],T_Shipments[Part Name],$A11,T_Shipments[Effective_Week],72))</f>
        <v/>
      </c>
      <c r="BV11">
        <f>IF(COUNTIF(Material_Detail!$DE:$DE,$A11)&gt;0,IF(ISNUMBER(SEARCH("[済]",INDEX(Material_Detail!$D:$DC,MATCH($A11,Material_Detail!$DE:$DE,0)+1,73))),0,IFERROR(INDEX(Material_Detail!$D:$DC,MATCH($A11,Material_Detail!$DE:$DE,0),73),0)),SUMIFS(T_Shipments[Confirmed_Qty],T_Shipments[Part Name],$A11,T_Shipments[Effective_Week],73))</f>
        <v/>
      </c>
      <c r="BW11">
        <f>IF(COUNTIF(Material_Detail!$DE:$DE,$A11)&gt;0,IF(ISNUMBER(SEARCH("[済]",INDEX(Material_Detail!$D:$DC,MATCH($A11,Material_Detail!$DE:$DE,0)+1,74))),0,IFERROR(INDEX(Material_Detail!$D:$DC,MATCH($A11,Material_Detail!$DE:$DE,0),74),0)),SUMIFS(T_Shipments[Confirmed_Qty],T_Shipments[Part Name],$A11,T_Shipments[Effective_Week],74))</f>
        <v/>
      </c>
      <c r="BX11">
        <f>IF(COUNTIF(Material_Detail!$DE:$DE,$A11)&gt;0,IF(ISNUMBER(SEARCH("[済]",INDEX(Material_Detail!$D:$DC,MATCH($A11,Material_Detail!$DE:$DE,0)+1,75))),0,IFERROR(INDEX(Material_Detail!$D:$DC,MATCH($A11,Material_Detail!$DE:$DE,0),75),0)),SUMIFS(T_Shipments[Confirmed_Qty],T_Shipments[Part Name],$A11,T_Shipments[Effective_Week],75))</f>
        <v/>
      </c>
      <c r="BY11">
        <f>IF(COUNTIF(Material_Detail!$DE:$DE,$A11)&gt;0,IF(ISNUMBER(SEARCH("[済]",INDEX(Material_Detail!$D:$DC,MATCH($A11,Material_Detail!$DE:$DE,0)+1,76))),0,IFERROR(INDEX(Material_Detail!$D:$DC,MATCH($A11,Material_Detail!$DE:$DE,0),76),0)),SUMIFS(T_Shipments[Confirmed_Qty],T_Shipments[Part Name],$A11,T_Shipments[Effective_Week],76))</f>
        <v/>
      </c>
      <c r="BZ11">
        <f>IF(COUNTIF(Material_Detail!$DE:$DE,$A11)&gt;0,IF(ISNUMBER(SEARCH("[済]",INDEX(Material_Detail!$D:$DC,MATCH($A11,Material_Detail!$DE:$DE,0)+1,77))),0,IFERROR(INDEX(Material_Detail!$D:$DC,MATCH($A11,Material_Detail!$DE:$DE,0),77),0)),SUMIFS(T_Shipments[Confirmed_Qty],T_Shipments[Part Name],$A11,T_Shipments[Effective_Week],77))</f>
        <v/>
      </c>
      <c r="CA11">
        <f>IF(COUNTIF(Material_Detail!$DE:$DE,$A11)&gt;0,IF(ISNUMBER(SEARCH("[済]",INDEX(Material_Detail!$D:$DC,MATCH($A11,Material_Detail!$DE:$DE,0)+1,78))),0,IFERROR(INDEX(Material_Detail!$D:$DC,MATCH($A11,Material_Detail!$DE:$DE,0),78),0)),SUMIFS(T_Shipments[Confirmed_Qty],T_Shipments[Part Name],$A11,T_Shipments[Effective_Week],78))</f>
        <v/>
      </c>
      <c r="CB11">
        <f>IF(COUNTIF(Material_Detail!$DE:$DE,$A11)&gt;0,IF(ISNUMBER(SEARCH("[済]",INDEX(Material_Detail!$D:$DC,MATCH($A11,Material_Detail!$DE:$DE,0)+1,79))),0,IFERROR(INDEX(Material_Detail!$D:$DC,MATCH($A11,Material_Detail!$DE:$DE,0),79),0)),SUMIFS(T_Shipments[Confirmed_Qty],T_Shipments[Part Name],$A11,T_Shipments[Effective_Week],79))</f>
        <v/>
      </c>
      <c r="CC11">
        <f>IF(COUNTIF(Material_Detail!$DE:$DE,$A11)&gt;0,IF(ISNUMBER(SEARCH("[済]",INDEX(Material_Detail!$D:$DC,MATCH($A11,Material_Detail!$DE:$DE,0)+1,80))),0,IFERROR(INDEX(Material_Detail!$D:$DC,MATCH($A11,Material_Detail!$DE:$DE,0),80),0)),SUMIFS(T_Shipments[Confirmed_Qty],T_Shipments[Part Name],$A11,T_Shipments[Effective_Week],80))</f>
        <v/>
      </c>
      <c r="CD11">
        <f>IF(COUNTIF(Material_Detail!$DE:$DE,$A11)&gt;0,IF(ISNUMBER(SEARCH("[済]",INDEX(Material_Detail!$D:$DC,MATCH($A11,Material_Detail!$DE:$DE,0)+1,81))),0,IFERROR(INDEX(Material_Detail!$D:$DC,MATCH($A11,Material_Detail!$DE:$DE,0),81),0)),SUMIFS(T_Shipments[Confirmed_Qty],T_Shipments[Part Name],$A11,T_Shipments[Effective_Week],81))</f>
        <v/>
      </c>
      <c r="CE11">
        <f>IF(COUNTIF(Material_Detail!$DE:$DE,$A11)&gt;0,IF(ISNUMBER(SEARCH("[済]",INDEX(Material_Detail!$D:$DC,MATCH($A11,Material_Detail!$DE:$DE,0)+1,82))),0,IFERROR(INDEX(Material_Detail!$D:$DC,MATCH($A11,Material_Detail!$DE:$DE,0),82),0)),SUMIFS(T_Shipments[Confirmed_Qty],T_Shipments[Part Name],$A11,T_Shipments[Effective_Week],82))</f>
        <v/>
      </c>
      <c r="CF11">
        <f>IF(COUNTIF(Material_Detail!$DE:$DE,$A11)&gt;0,IF(ISNUMBER(SEARCH("[済]",INDEX(Material_Detail!$D:$DC,MATCH($A11,Material_Detail!$DE:$DE,0)+1,83))),0,IFERROR(INDEX(Material_Detail!$D:$DC,MATCH($A11,Material_Detail!$DE:$DE,0),83),0)),SUMIFS(T_Shipments[Confirmed_Qty],T_Shipments[Part Name],$A11,T_Shipments[Effective_Week],83))</f>
        <v/>
      </c>
      <c r="CG11">
        <f>IF(COUNTIF(Material_Detail!$DE:$DE,$A11)&gt;0,IF(ISNUMBER(SEARCH("[済]",INDEX(Material_Detail!$D:$DC,MATCH($A11,Material_Detail!$DE:$DE,0)+1,84))),0,IFERROR(INDEX(Material_Detail!$D:$DC,MATCH($A11,Material_Detail!$DE:$DE,0),84),0)),SUMIFS(T_Shipments[Confirmed_Qty],T_Shipments[Part Name],$A11,T_Shipments[Effective_Week],84))</f>
        <v/>
      </c>
      <c r="CH11">
        <f>IF(COUNTIF(Material_Detail!$DE:$DE,$A11)&gt;0,IF(ISNUMBER(SEARCH("[済]",INDEX(Material_Detail!$D:$DC,MATCH($A11,Material_Detail!$DE:$DE,0)+1,85))),0,IFERROR(INDEX(Material_Detail!$D:$DC,MATCH($A11,Material_Detail!$DE:$DE,0),85),0)),SUMIFS(T_Shipments[Confirmed_Qty],T_Shipments[Part Name],$A11,T_Shipments[Effective_Week],85))</f>
        <v/>
      </c>
      <c r="CI11">
        <f>IF(COUNTIF(Material_Detail!$DE:$DE,$A11)&gt;0,IF(ISNUMBER(SEARCH("[済]",INDEX(Material_Detail!$D:$DC,MATCH($A11,Material_Detail!$DE:$DE,0)+1,86))),0,IFERROR(INDEX(Material_Detail!$D:$DC,MATCH($A11,Material_Detail!$DE:$DE,0),86),0)),SUMIFS(T_Shipments[Confirmed_Qty],T_Shipments[Part Name],$A11,T_Shipments[Effective_Week],86))</f>
        <v/>
      </c>
      <c r="CJ11">
        <f>IF(COUNTIF(Material_Detail!$DE:$DE,$A11)&gt;0,IF(ISNUMBER(SEARCH("[済]",INDEX(Material_Detail!$D:$DC,MATCH($A11,Material_Detail!$DE:$DE,0)+1,87))),0,IFERROR(INDEX(Material_Detail!$D:$DC,MATCH($A11,Material_Detail!$DE:$DE,0),87),0)),SUMIFS(T_Shipments[Confirmed_Qty],T_Shipments[Part Name],$A11,T_Shipments[Effective_Week],87))</f>
        <v/>
      </c>
      <c r="CK11">
        <f>IF(COUNTIF(Material_Detail!$DE:$DE,$A11)&gt;0,IF(ISNUMBER(SEARCH("[済]",INDEX(Material_Detail!$D:$DC,MATCH($A11,Material_Detail!$DE:$DE,0)+1,88))),0,IFERROR(INDEX(Material_Detail!$D:$DC,MATCH($A11,Material_Detail!$DE:$DE,0),88),0)),SUMIFS(T_Shipments[Confirmed_Qty],T_Shipments[Part Name],$A11,T_Shipments[Effective_Week],88))</f>
        <v/>
      </c>
      <c r="CL11">
        <f>IF(COUNTIF(Material_Detail!$DE:$DE,$A11)&gt;0,IF(ISNUMBER(SEARCH("[済]",INDEX(Material_Detail!$D:$DC,MATCH($A11,Material_Detail!$DE:$DE,0)+1,89))),0,IFERROR(INDEX(Material_Detail!$D:$DC,MATCH($A11,Material_Detail!$DE:$DE,0),89),0)),SUMIFS(T_Shipments[Confirmed_Qty],T_Shipments[Part Name],$A11,T_Shipments[Effective_Week],89))</f>
        <v/>
      </c>
      <c r="CM11">
        <f>IF(COUNTIF(Material_Detail!$DE:$DE,$A11)&gt;0,IF(ISNUMBER(SEARCH("[済]",INDEX(Material_Detail!$D:$DC,MATCH($A11,Material_Detail!$DE:$DE,0)+1,90))),0,IFERROR(INDEX(Material_Detail!$D:$DC,MATCH($A11,Material_Detail!$DE:$DE,0),90),0)),SUMIFS(T_Shipments[Confirmed_Qty],T_Shipments[Part Name],$A11,T_Shipments[Effective_Week],90))</f>
        <v/>
      </c>
      <c r="CN11">
        <f>IF(COUNTIF(Material_Detail!$DE:$DE,$A11)&gt;0,IF(ISNUMBER(SEARCH("[済]",INDEX(Material_Detail!$D:$DC,MATCH($A11,Material_Detail!$DE:$DE,0)+1,91))),0,IFERROR(INDEX(Material_Detail!$D:$DC,MATCH($A11,Material_Detail!$DE:$DE,0),91),0)),SUMIFS(T_Shipments[Confirmed_Qty],T_Shipments[Part Name],$A11,T_Shipments[Effective_Week],91))</f>
        <v/>
      </c>
      <c r="CO11">
        <f>IF(COUNTIF(Material_Detail!$DE:$DE,$A11)&gt;0,IF(ISNUMBER(SEARCH("[済]",INDEX(Material_Detail!$D:$DC,MATCH($A11,Material_Detail!$DE:$DE,0)+1,92))),0,IFERROR(INDEX(Material_Detail!$D:$DC,MATCH($A11,Material_Detail!$DE:$DE,0),92),0)),SUMIFS(T_Shipments[Confirmed_Qty],T_Shipments[Part Name],$A11,T_Shipments[Effective_Week],92))</f>
        <v/>
      </c>
      <c r="CP11">
        <f>IF(COUNTIF(Material_Detail!$DE:$DE,$A11)&gt;0,IF(ISNUMBER(SEARCH("[済]",INDEX(Material_Detail!$D:$DC,MATCH($A11,Material_Detail!$DE:$DE,0)+1,93))),0,IFERROR(INDEX(Material_Detail!$D:$DC,MATCH($A11,Material_Detail!$DE:$DE,0),93),0)),SUMIFS(T_Shipments[Confirmed_Qty],T_Shipments[Part Name],$A11,T_Shipments[Effective_Week],93))</f>
        <v/>
      </c>
      <c r="CQ11">
        <f>IF(COUNTIF(Material_Detail!$DE:$DE,$A11)&gt;0,IF(ISNUMBER(SEARCH("[済]",INDEX(Material_Detail!$D:$DC,MATCH($A11,Material_Detail!$DE:$DE,0)+1,94))),0,IFERROR(INDEX(Material_Detail!$D:$DC,MATCH($A11,Material_Detail!$DE:$DE,0),94),0)),SUMIFS(T_Shipments[Confirmed_Qty],T_Shipments[Part Name],$A11,T_Shipments[Effective_Week],94))</f>
        <v/>
      </c>
      <c r="CR11">
        <f>IF(COUNTIF(Material_Detail!$DE:$DE,$A11)&gt;0,IF(ISNUMBER(SEARCH("[済]",INDEX(Material_Detail!$D:$DC,MATCH($A11,Material_Detail!$DE:$DE,0)+1,95))),0,IFERROR(INDEX(Material_Detail!$D:$DC,MATCH($A11,Material_Detail!$DE:$DE,0),95),0)),SUMIFS(T_Shipments[Confirmed_Qty],T_Shipments[Part Name],$A11,T_Shipments[Effective_Week],95))</f>
        <v/>
      </c>
      <c r="CS11">
        <f>IF(COUNTIF(Material_Detail!$DE:$DE,$A11)&gt;0,IF(ISNUMBER(SEARCH("[済]",INDEX(Material_Detail!$D:$DC,MATCH($A11,Material_Detail!$DE:$DE,0)+1,96))),0,IFERROR(INDEX(Material_Detail!$D:$DC,MATCH($A11,Material_Detail!$DE:$DE,0),96),0)),SUMIFS(T_Shipments[Confirmed_Qty],T_Shipments[Part Name],$A11,T_Shipments[Effective_Week],96))</f>
        <v/>
      </c>
      <c r="CT11">
        <f>IF(COUNTIF(Material_Detail!$DE:$DE,$A11)&gt;0,IF(ISNUMBER(SEARCH("[済]",INDEX(Material_Detail!$D:$DC,MATCH($A11,Material_Detail!$DE:$DE,0)+1,97))),0,IFERROR(INDEX(Material_Detail!$D:$DC,MATCH($A11,Material_Detail!$DE:$DE,0),97),0)),SUMIFS(T_Shipments[Confirmed_Qty],T_Shipments[Part Name],$A11,T_Shipments[Effective_Week],97))</f>
        <v/>
      </c>
      <c r="CU11">
        <f>IF(COUNTIF(Material_Detail!$DE:$DE,$A11)&gt;0,IF(ISNUMBER(SEARCH("[済]",INDEX(Material_Detail!$D:$DC,MATCH($A11,Material_Detail!$DE:$DE,0)+1,98))),0,IFERROR(INDEX(Material_Detail!$D:$DC,MATCH($A11,Material_Detail!$DE:$DE,0),98),0)),SUMIFS(T_Shipments[Confirmed_Qty],T_Shipments[Part Name],$A11,T_Shipments[Effective_Week],98))</f>
        <v/>
      </c>
      <c r="CV11">
        <f>IF(COUNTIF(Material_Detail!$DE:$DE,$A11)&gt;0,IF(ISNUMBER(SEARCH("[済]",INDEX(Material_Detail!$D:$DC,MATCH($A11,Material_Detail!$DE:$DE,0)+1,99))),0,IFERROR(INDEX(Material_Detail!$D:$DC,MATCH($A11,Material_Detail!$DE:$DE,0),99),0)),SUMIFS(T_Shipments[Confirmed_Qty],T_Shipments[Part Name],$A11,T_Shipments[Effective_Week],99))</f>
        <v/>
      </c>
      <c r="CW11">
        <f>IF(COUNTIF(Material_Detail!$DE:$DE,$A11)&gt;0,IF(ISNUMBER(SEARCH("[済]",INDEX(Material_Detail!$D:$DC,MATCH($A11,Material_Detail!$DE:$DE,0)+1,100))),0,IFERROR(INDEX(Material_Detail!$D:$DC,MATCH($A11,Material_Detail!$DE:$DE,0),100),0)),SUMIFS(T_Shipments[Confirmed_Qty],T_Shipments[Part Name],$A11,T_Shipments[Effective_Week],100))</f>
        <v/>
      </c>
      <c r="CX11">
        <f>IF(COUNTIF(Material_Detail!$DE:$DE,$A11)&gt;0,IF(ISNUMBER(SEARCH("[済]",INDEX(Material_Detail!$D:$DC,MATCH($A11,Material_Detail!$DE:$DE,0)+1,101))),0,IFERROR(INDEX(Material_Detail!$D:$DC,MATCH($A11,Material_Detail!$DE:$DE,0),101),0)),SUMIFS(T_Shipments[Confirmed_Qty],T_Shipments[Part Name],$A11,T_Shipments[Effective_Week],101))</f>
        <v/>
      </c>
      <c r="CY11">
        <f>IF(COUNTIF(Material_Detail!$DE:$DE,$A11)&gt;0,IF(ISNUMBER(SEARCH("[済]",INDEX(Material_Detail!$D:$DC,MATCH($A11,Material_Detail!$DE:$DE,0)+1,102))),0,IFERROR(INDEX(Material_Detail!$D:$DC,MATCH($A11,Material_Detail!$DE:$DE,0),102),0)),SUMIFS(T_Shipments[Confirmed_Qty],T_Shipments[Part Name],$A11,T_Shipments[Effective_Week],102))</f>
        <v/>
      </c>
      <c r="CZ11">
        <f>IF(COUNTIF(Material_Detail!$DE:$DE,$A11)&gt;0,IF(ISNUMBER(SEARCH("[済]",INDEX(Material_Detail!$D:$DC,MATCH($A11,Material_Detail!$DE:$DE,0)+1,103))),0,IFERROR(INDEX(Material_Detail!$D:$DC,MATCH($A11,Material_Detail!$DE:$DE,0),103),0)),SUMIFS(T_Shipments[Confirmed_Qty],T_Shipments[Part Name],$A11,T_Shipments[Effective_Week],103))</f>
        <v/>
      </c>
      <c r="DA11">
        <f>IF(COUNTIF(Material_Detail!$DE:$DE,$A11)&gt;0,IF(ISNUMBER(SEARCH("[済]",INDEX(Material_Detail!$D:$DC,MATCH($A11,Material_Detail!$DE:$DE,0)+1,104))),0,IFERROR(INDEX(Material_Detail!$D:$DC,MATCH($A11,Material_Detail!$DE:$DE,0),104),0)),SUMIFS(T_Shipments[Confirmed_Qty],T_Shipments[Part Name],$A11,T_Shipments[Effective_Week],104))</f>
        <v/>
      </c>
    </row>
    <row r="12">
      <c r="A12" t="inlineStr">
        <is>
          <t>YAN</t>
        </is>
      </c>
      <c r="B12">
        <f>IF(COUNTIF(Material_Detail!$DE:$DE,$A12)&gt;0,IF(ISNUMBER(SEARCH("[済]",INDEX(Material_Detail!$D:$DC,MATCH($A12,Material_Detail!$DE:$DE,0)+1,1))),0,IFERROR(INDEX(Material_Detail!$D:$DC,MATCH($A12,Material_Detail!$DE:$DE,0),1),0)),SUMIFS(T_Shipments[Confirmed_Qty],T_Shipments[Part Name],$A12,T_Shipments[Effective_Week],1))</f>
        <v/>
      </c>
      <c r="C12">
        <f>IF(COUNTIF(Material_Detail!$DE:$DE,$A12)&gt;0,IF(ISNUMBER(SEARCH("[済]",INDEX(Material_Detail!$D:$DC,MATCH($A12,Material_Detail!$DE:$DE,0)+1,2))),0,IFERROR(INDEX(Material_Detail!$D:$DC,MATCH($A12,Material_Detail!$DE:$DE,0),2),0)),SUMIFS(T_Shipments[Confirmed_Qty],T_Shipments[Part Name],$A12,T_Shipments[Effective_Week],2))</f>
        <v/>
      </c>
      <c r="D12">
        <f>IF(COUNTIF(Material_Detail!$DE:$DE,$A12)&gt;0,IF(ISNUMBER(SEARCH("[済]",INDEX(Material_Detail!$D:$DC,MATCH($A12,Material_Detail!$DE:$DE,0)+1,3))),0,IFERROR(INDEX(Material_Detail!$D:$DC,MATCH($A12,Material_Detail!$DE:$DE,0),3),0)),SUMIFS(T_Shipments[Confirmed_Qty],T_Shipments[Part Name],$A12,T_Shipments[Effective_Week],3))</f>
        <v/>
      </c>
      <c r="E12">
        <f>IF(COUNTIF(Material_Detail!$DE:$DE,$A12)&gt;0,IF(ISNUMBER(SEARCH("[済]",INDEX(Material_Detail!$D:$DC,MATCH($A12,Material_Detail!$DE:$DE,0)+1,4))),0,IFERROR(INDEX(Material_Detail!$D:$DC,MATCH($A12,Material_Detail!$DE:$DE,0),4),0)),SUMIFS(T_Shipments[Confirmed_Qty],T_Shipments[Part Name],$A12,T_Shipments[Effective_Week],4))</f>
        <v/>
      </c>
      <c r="F12">
        <f>IF(COUNTIF(Material_Detail!$DE:$DE,$A12)&gt;0,IF(ISNUMBER(SEARCH("[済]",INDEX(Material_Detail!$D:$DC,MATCH($A12,Material_Detail!$DE:$DE,0)+1,5))),0,IFERROR(INDEX(Material_Detail!$D:$DC,MATCH($A12,Material_Detail!$DE:$DE,0),5),0)),SUMIFS(T_Shipments[Confirmed_Qty],T_Shipments[Part Name],$A12,T_Shipments[Effective_Week],5))</f>
        <v/>
      </c>
      <c r="G12">
        <f>IF(COUNTIF(Material_Detail!$DE:$DE,$A12)&gt;0,IF(ISNUMBER(SEARCH("[済]",INDEX(Material_Detail!$D:$DC,MATCH($A12,Material_Detail!$DE:$DE,0)+1,6))),0,IFERROR(INDEX(Material_Detail!$D:$DC,MATCH($A12,Material_Detail!$DE:$DE,0),6),0)),SUMIFS(T_Shipments[Confirmed_Qty],T_Shipments[Part Name],$A12,T_Shipments[Effective_Week],6))</f>
        <v/>
      </c>
      <c r="H12">
        <f>IF(COUNTIF(Material_Detail!$DE:$DE,$A12)&gt;0,IF(ISNUMBER(SEARCH("[済]",INDEX(Material_Detail!$D:$DC,MATCH($A12,Material_Detail!$DE:$DE,0)+1,7))),0,IFERROR(INDEX(Material_Detail!$D:$DC,MATCH($A12,Material_Detail!$DE:$DE,0),7),0)),SUMIFS(T_Shipments[Confirmed_Qty],T_Shipments[Part Name],$A12,T_Shipments[Effective_Week],7))</f>
        <v/>
      </c>
      <c r="I12">
        <f>IF(COUNTIF(Material_Detail!$DE:$DE,$A12)&gt;0,IF(ISNUMBER(SEARCH("[済]",INDEX(Material_Detail!$D:$DC,MATCH($A12,Material_Detail!$DE:$DE,0)+1,8))),0,IFERROR(INDEX(Material_Detail!$D:$DC,MATCH($A12,Material_Detail!$DE:$DE,0),8),0)),SUMIFS(T_Shipments[Confirmed_Qty],T_Shipments[Part Name],$A12,T_Shipments[Effective_Week],8))</f>
        <v/>
      </c>
      <c r="J12">
        <f>IF(COUNTIF(Material_Detail!$DE:$DE,$A12)&gt;0,IF(ISNUMBER(SEARCH("[済]",INDEX(Material_Detail!$D:$DC,MATCH($A12,Material_Detail!$DE:$DE,0)+1,9))),0,IFERROR(INDEX(Material_Detail!$D:$DC,MATCH($A12,Material_Detail!$DE:$DE,0),9),0)),SUMIFS(T_Shipments[Confirmed_Qty],T_Shipments[Part Name],$A12,T_Shipments[Effective_Week],9))</f>
        <v/>
      </c>
      <c r="K12">
        <f>IF(COUNTIF(Material_Detail!$DE:$DE,$A12)&gt;0,IF(ISNUMBER(SEARCH("[済]",INDEX(Material_Detail!$D:$DC,MATCH($A12,Material_Detail!$DE:$DE,0)+1,10))),0,IFERROR(INDEX(Material_Detail!$D:$DC,MATCH($A12,Material_Detail!$DE:$DE,0),10),0)),SUMIFS(T_Shipments[Confirmed_Qty],T_Shipments[Part Name],$A12,T_Shipments[Effective_Week],10))</f>
        <v/>
      </c>
      <c r="L12">
        <f>IF(COUNTIF(Material_Detail!$DE:$DE,$A12)&gt;0,IF(ISNUMBER(SEARCH("[済]",INDEX(Material_Detail!$D:$DC,MATCH($A12,Material_Detail!$DE:$DE,0)+1,11))),0,IFERROR(INDEX(Material_Detail!$D:$DC,MATCH($A12,Material_Detail!$DE:$DE,0),11),0)),SUMIFS(T_Shipments[Confirmed_Qty],T_Shipments[Part Name],$A12,T_Shipments[Effective_Week],11))</f>
        <v/>
      </c>
      <c r="M12">
        <f>IF(COUNTIF(Material_Detail!$DE:$DE,$A12)&gt;0,IF(ISNUMBER(SEARCH("[済]",INDEX(Material_Detail!$D:$DC,MATCH($A12,Material_Detail!$DE:$DE,0)+1,12))),0,IFERROR(INDEX(Material_Detail!$D:$DC,MATCH($A12,Material_Detail!$DE:$DE,0),12),0)),SUMIFS(T_Shipments[Confirmed_Qty],T_Shipments[Part Name],$A12,T_Shipments[Effective_Week],12))</f>
        <v/>
      </c>
      <c r="N12">
        <f>IF(COUNTIF(Material_Detail!$DE:$DE,$A12)&gt;0,IF(ISNUMBER(SEARCH("[済]",INDEX(Material_Detail!$D:$DC,MATCH($A12,Material_Detail!$DE:$DE,0)+1,13))),0,IFERROR(INDEX(Material_Detail!$D:$DC,MATCH($A12,Material_Detail!$DE:$DE,0),13),0)),SUMIFS(T_Shipments[Confirmed_Qty],T_Shipments[Part Name],$A12,T_Shipments[Effective_Week],13))</f>
        <v/>
      </c>
      <c r="O12">
        <f>IF(COUNTIF(Material_Detail!$DE:$DE,$A12)&gt;0,IF(ISNUMBER(SEARCH("[済]",INDEX(Material_Detail!$D:$DC,MATCH($A12,Material_Detail!$DE:$DE,0)+1,14))),0,IFERROR(INDEX(Material_Detail!$D:$DC,MATCH($A12,Material_Detail!$DE:$DE,0),14),0)),SUMIFS(T_Shipments[Confirmed_Qty],T_Shipments[Part Name],$A12,T_Shipments[Effective_Week],14))</f>
        <v/>
      </c>
      <c r="P12">
        <f>IF(COUNTIF(Material_Detail!$DE:$DE,$A12)&gt;0,IF(ISNUMBER(SEARCH("[済]",INDEX(Material_Detail!$D:$DC,MATCH($A12,Material_Detail!$DE:$DE,0)+1,15))),0,IFERROR(INDEX(Material_Detail!$D:$DC,MATCH($A12,Material_Detail!$DE:$DE,0),15),0)),SUMIFS(T_Shipments[Confirmed_Qty],T_Shipments[Part Name],$A12,T_Shipments[Effective_Week],15))</f>
        <v/>
      </c>
      <c r="Q12">
        <f>IF(COUNTIF(Material_Detail!$DE:$DE,$A12)&gt;0,IF(ISNUMBER(SEARCH("[済]",INDEX(Material_Detail!$D:$DC,MATCH($A12,Material_Detail!$DE:$DE,0)+1,16))),0,IFERROR(INDEX(Material_Detail!$D:$DC,MATCH($A12,Material_Detail!$DE:$DE,0),16),0)),SUMIFS(T_Shipments[Confirmed_Qty],T_Shipments[Part Name],$A12,T_Shipments[Effective_Week],16))</f>
        <v/>
      </c>
      <c r="R12">
        <f>IF(COUNTIF(Material_Detail!$DE:$DE,$A12)&gt;0,IF(ISNUMBER(SEARCH("[済]",INDEX(Material_Detail!$D:$DC,MATCH($A12,Material_Detail!$DE:$DE,0)+1,17))),0,IFERROR(INDEX(Material_Detail!$D:$DC,MATCH($A12,Material_Detail!$DE:$DE,0),17),0)),SUMIFS(T_Shipments[Confirmed_Qty],T_Shipments[Part Name],$A12,T_Shipments[Effective_Week],17))</f>
        <v/>
      </c>
      <c r="S12">
        <f>IF(COUNTIF(Material_Detail!$DE:$DE,$A12)&gt;0,IF(ISNUMBER(SEARCH("[済]",INDEX(Material_Detail!$D:$DC,MATCH($A12,Material_Detail!$DE:$DE,0)+1,18))),0,IFERROR(INDEX(Material_Detail!$D:$DC,MATCH($A12,Material_Detail!$DE:$DE,0),18),0)),SUMIFS(T_Shipments[Confirmed_Qty],T_Shipments[Part Name],$A12,T_Shipments[Effective_Week],18))</f>
        <v/>
      </c>
      <c r="T12">
        <f>IF(COUNTIF(Material_Detail!$DE:$DE,$A12)&gt;0,IF(ISNUMBER(SEARCH("[済]",INDEX(Material_Detail!$D:$DC,MATCH($A12,Material_Detail!$DE:$DE,0)+1,19))),0,IFERROR(INDEX(Material_Detail!$D:$DC,MATCH($A12,Material_Detail!$DE:$DE,0),19),0)),SUMIFS(T_Shipments[Confirmed_Qty],T_Shipments[Part Name],$A12,T_Shipments[Effective_Week],19))</f>
        <v/>
      </c>
      <c r="U12">
        <f>IF(COUNTIF(Material_Detail!$DE:$DE,$A12)&gt;0,IF(ISNUMBER(SEARCH("[済]",INDEX(Material_Detail!$D:$DC,MATCH($A12,Material_Detail!$DE:$DE,0)+1,20))),0,IFERROR(INDEX(Material_Detail!$D:$DC,MATCH($A12,Material_Detail!$DE:$DE,0),20),0)),SUMIFS(T_Shipments[Confirmed_Qty],T_Shipments[Part Name],$A12,T_Shipments[Effective_Week],20))</f>
        <v/>
      </c>
      <c r="V12">
        <f>IF(COUNTIF(Material_Detail!$DE:$DE,$A12)&gt;0,IF(ISNUMBER(SEARCH("[済]",INDEX(Material_Detail!$D:$DC,MATCH($A12,Material_Detail!$DE:$DE,0)+1,21))),0,IFERROR(INDEX(Material_Detail!$D:$DC,MATCH($A12,Material_Detail!$DE:$DE,0),21),0)),SUMIFS(T_Shipments[Confirmed_Qty],T_Shipments[Part Name],$A12,T_Shipments[Effective_Week],21))</f>
        <v/>
      </c>
      <c r="W12">
        <f>IF(COUNTIF(Material_Detail!$DE:$DE,$A12)&gt;0,IF(ISNUMBER(SEARCH("[済]",INDEX(Material_Detail!$D:$DC,MATCH($A12,Material_Detail!$DE:$DE,0)+1,22))),0,IFERROR(INDEX(Material_Detail!$D:$DC,MATCH($A12,Material_Detail!$DE:$DE,0),22),0)),SUMIFS(T_Shipments[Confirmed_Qty],T_Shipments[Part Name],$A12,T_Shipments[Effective_Week],22))</f>
        <v/>
      </c>
      <c r="X12">
        <f>IF(COUNTIF(Material_Detail!$DE:$DE,$A12)&gt;0,IF(ISNUMBER(SEARCH("[済]",INDEX(Material_Detail!$D:$DC,MATCH($A12,Material_Detail!$DE:$DE,0)+1,23))),0,IFERROR(INDEX(Material_Detail!$D:$DC,MATCH($A12,Material_Detail!$DE:$DE,0),23),0)),SUMIFS(T_Shipments[Confirmed_Qty],T_Shipments[Part Name],$A12,T_Shipments[Effective_Week],23))</f>
        <v/>
      </c>
      <c r="Y12">
        <f>IF(COUNTIF(Material_Detail!$DE:$DE,$A12)&gt;0,IF(ISNUMBER(SEARCH("[済]",INDEX(Material_Detail!$D:$DC,MATCH($A12,Material_Detail!$DE:$DE,0)+1,24))),0,IFERROR(INDEX(Material_Detail!$D:$DC,MATCH($A12,Material_Detail!$DE:$DE,0),24),0)),SUMIFS(T_Shipments[Confirmed_Qty],T_Shipments[Part Name],$A12,T_Shipments[Effective_Week],24))</f>
        <v/>
      </c>
      <c r="Z12">
        <f>IF(COUNTIF(Material_Detail!$DE:$DE,$A12)&gt;0,IF(ISNUMBER(SEARCH("[済]",INDEX(Material_Detail!$D:$DC,MATCH($A12,Material_Detail!$DE:$DE,0)+1,25))),0,IFERROR(INDEX(Material_Detail!$D:$DC,MATCH($A12,Material_Detail!$DE:$DE,0),25),0)),SUMIFS(T_Shipments[Confirmed_Qty],T_Shipments[Part Name],$A12,T_Shipments[Effective_Week],25))</f>
        <v/>
      </c>
      <c r="AA12">
        <f>IF(COUNTIF(Material_Detail!$DE:$DE,$A12)&gt;0,IF(ISNUMBER(SEARCH("[済]",INDEX(Material_Detail!$D:$DC,MATCH($A12,Material_Detail!$DE:$DE,0)+1,26))),0,IFERROR(INDEX(Material_Detail!$D:$DC,MATCH($A12,Material_Detail!$DE:$DE,0),26),0)),SUMIFS(T_Shipments[Confirmed_Qty],T_Shipments[Part Name],$A12,T_Shipments[Effective_Week],26))</f>
        <v/>
      </c>
      <c r="AB12">
        <f>IF(COUNTIF(Material_Detail!$DE:$DE,$A12)&gt;0,IF(ISNUMBER(SEARCH("[済]",INDEX(Material_Detail!$D:$DC,MATCH($A12,Material_Detail!$DE:$DE,0)+1,27))),0,IFERROR(INDEX(Material_Detail!$D:$DC,MATCH($A12,Material_Detail!$DE:$DE,0),27),0)),SUMIFS(T_Shipments[Confirmed_Qty],T_Shipments[Part Name],$A12,T_Shipments[Effective_Week],27))</f>
        <v/>
      </c>
      <c r="AC12">
        <f>IF(COUNTIF(Material_Detail!$DE:$DE,$A12)&gt;0,IF(ISNUMBER(SEARCH("[済]",INDEX(Material_Detail!$D:$DC,MATCH($A12,Material_Detail!$DE:$DE,0)+1,28))),0,IFERROR(INDEX(Material_Detail!$D:$DC,MATCH($A12,Material_Detail!$DE:$DE,0),28),0)),SUMIFS(T_Shipments[Confirmed_Qty],T_Shipments[Part Name],$A12,T_Shipments[Effective_Week],28))</f>
        <v/>
      </c>
      <c r="AD12">
        <f>IF(COUNTIF(Material_Detail!$DE:$DE,$A12)&gt;0,IF(ISNUMBER(SEARCH("[済]",INDEX(Material_Detail!$D:$DC,MATCH($A12,Material_Detail!$DE:$DE,0)+1,29))),0,IFERROR(INDEX(Material_Detail!$D:$DC,MATCH($A12,Material_Detail!$DE:$DE,0),29),0)),SUMIFS(T_Shipments[Confirmed_Qty],T_Shipments[Part Name],$A12,T_Shipments[Effective_Week],29))</f>
        <v/>
      </c>
      <c r="AE12">
        <f>IF(COUNTIF(Material_Detail!$DE:$DE,$A12)&gt;0,IF(ISNUMBER(SEARCH("[済]",INDEX(Material_Detail!$D:$DC,MATCH($A12,Material_Detail!$DE:$DE,0)+1,30))),0,IFERROR(INDEX(Material_Detail!$D:$DC,MATCH($A12,Material_Detail!$DE:$DE,0),30),0)),SUMIFS(T_Shipments[Confirmed_Qty],T_Shipments[Part Name],$A12,T_Shipments[Effective_Week],30))</f>
        <v/>
      </c>
      <c r="AF12">
        <f>IF(COUNTIF(Material_Detail!$DE:$DE,$A12)&gt;0,IF(ISNUMBER(SEARCH("[済]",INDEX(Material_Detail!$D:$DC,MATCH($A12,Material_Detail!$DE:$DE,0)+1,31))),0,IFERROR(INDEX(Material_Detail!$D:$DC,MATCH($A12,Material_Detail!$DE:$DE,0),31),0)),SUMIFS(T_Shipments[Confirmed_Qty],T_Shipments[Part Name],$A12,T_Shipments[Effective_Week],31))</f>
        <v/>
      </c>
      <c r="AG12">
        <f>IF(COUNTIF(Material_Detail!$DE:$DE,$A12)&gt;0,IF(ISNUMBER(SEARCH("[済]",INDEX(Material_Detail!$D:$DC,MATCH($A12,Material_Detail!$DE:$DE,0)+1,32))),0,IFERROR(INDEX(Material_Detail!$D:$DC,MATCH($A12,Material_Detail!$DE:$DE,0),32),0)),SUMIFS(T_Shipments[Confirmed_Qty],T_Shipments[Part Name],$A12,T_Shipments[Effective_Week],32))</f>
        <v/>
      </c>
      <c r="AH12">
        <f>IF(COUNTIF(Material_Detail!$DE:$DE,$A12)&gt;0,IF(ISNUMBER(SEARCH("[済]",INDEX(Material_Detail!$D:$DC,MATCH($A12,Material_Detail!$DE:$DE,0)+1,33))),0,IFERROR(INDEX(Material_Detail!$D:$DC,MATCH($A12,Material_Detail!$DE:$DE,0),33),0)),SUMIFS(T_Shipments[Confirmed_Qty],T_Shipments[Part Name],$A12,T_Shipments[Effective_Week],33))</f>
        <v/>
      </c>
      <c r="AI12">
        <f>IF(COUNTIF(Material_Detail!$DE:$DE,$A12)&gt;0,IF(ISNUMBER(SEARCH("[済]",INDEX(Material_Detail!$D:$DC,MATCH($A12,Material_Detail!$DE:$DE,0)+1,34))),0,IFERROR(INDEX(Material_Detail!$D:$DC,MATCH($A12,Material_Detail!$DE:$DE,0),34),0)),SUMIFS(T_Shipments[Confirmed_Qty],T_Shipments[Part Name],$A12,T_Shipments[Effective_Week],34))</f>
        <v/>
      </c>
      <c r="AJ12">
        <f>IF(COUNTIF(Material_Detail!$DE:$DE,$A12)&gt;0,IF(ISNUMBER(SEARCH("[済]",INDEX(Material_Detail!$D:$DC,MATCH($A12,Material_Detail!$DE:$DE,0)+1,35))),0,IFERROR(INDEX(Material_Detail!$D:$DC,MATCH($A12,Material_Detail!$DE:$DE,0),35),0)),SUMIFS(T_Shipments[Confirmed_Qty],T_Shipments[Part Name],$A12,T_Shipments[Effective_Week],35))</f>
        <v/>
      </c>
      <c r="AK12">
        <f>IF(COUNTIF(Material_Detail!$DE:$DE,$A12)&gt;0,IF(ISNUMBER(SEARCH("[済]",INDEX(Material_Detail!$D:$DC,MATCH($A12,Material_Detail!$DE:$DE,0)+1,36))),0,IFERROR(INDEX(Material_Detail!$D:$DC,MATCH($A12,Material_Detail!$DE:$DE,0),36),0)),SUMIFS(T_Shipments[Confirmed_Qty],T_Shipments[Part Name],$A12,T_Shipments[Effective_Week],36))</f>
        <v/>
      </c>
      <c r="AL12">
        <f>IF(COUNTIF(Material_Detail!$DE:$DE,$A12)&gt;0,IF(ISNUMBER(SEARCH("[済]",INDEX(Material_Detail!$D:$DC,MATCH($A12,Material_Detail!$DE:$DE,0)+1,37))),0,IFERROR(INDEX(Material_Detail!$D:$DC,MATCH($A12,Material_Detail!$DE:$DE,0),37),0)),SUMIFS(T_Shipments[Confirmed_Qty],T_Shipments[Part Name],$A12,T_Shipments[Effective_Week],37))</f>
        <v/>
      </c>
      <c r="AM12">
        <f>IF(COUNTIF(Material_Detail!$DE:$DE,$A12)&gt;0,IF(ISNUMBER(SEARCH("[済]",INDEX(Material_Detail!$D:$DC,MATCH($A12,Material_Detail!$DE:$DE,0)+1,38))),0,IFERROR(INDEX(Material_Detail!$D:$DC,MATCH($A12,Material_Detail!$DE:$DE,0),38),0)),SUMIFS(T_Shipments[Confirmed_Qty],T_Shipments[Part Name],$A12,T_Shipments[Effective_Week],38))</f>
        <v/>
      </c>
      <c r="AN12">
        <f>IF(COUNTIF(Material_Detail!$DE:$DE,$A12)&gt;0,IF(ISNUMBER(SEARCH("[済]",INDEX(Material_Detail!$D:$DC,MATCH($A12,Material_Detail!$DE:$DE,0)+1,39))),0,IFERROR(INDEX(Material_Detail!$D:$DC,MATCH($A12,Material_Detail!$DE:$DE,0),39),0)),SUMIFS(T_Shipments[Confirmed_Qty],T_Shipments[Part Name],$A12,T_Shipments[Effective_Week],39))</f>
        <v/>
      </c>
      <c r="AO12">
        <f>IF(COUNTIF(Material_Detail!$DE:$DE,$A12)&gt;0,IF(ISNUMBER(SEARCH("[済]",INDEX(Material_Detail!$D:$DC,MATCH($A12,Material_Detail!$DE:$DE,0)+1,40))),0,IFERROR(INDEX(Material_Detail!$D:$DC,MATCH($A12,Material_Detail!$DE:$DE,0),40),0)),SUMIFS(T_Shipments[Confirmed_Qty],T_Shipments[Part Name],$A12,T_Shipments[Effective_Week],40))</f>
        <v/>
      </c>
      <c r="AP12">
        <f>IF(COUNTIF(Material_Detail!$DE:$DE,$A12)&gt;0,IF(ISNUMBER(SEARCH("[済]",INDEX(Material_Detail!$D:$DC,MATCH($A12,Material_Detail!$DE:$DE,0)+1,41))),0,IFERROR(INDEX(Material_Detail!$D:$DC,MATCH($A12,Material_Detail!$DE:$DE,0),41),0)),SUMIFS(T_Shipments[Confirmed_Qty],T_Shipments[Part Name],$A12,T_Shipments[Effective_Week],41))</f>
        <v/>
      </c>
      <c r="AQ12">
        <f>IF(COUNTIF(Material_Detail!$DE:$DE,$A12)&gt;0,IF(ISNUMBER(SEARCH("[済]",INDEX(Material_Detail!$D:$DC,MATCH($A12,Material_Detail!$DE:$DE,0)+1,42))),0,IFERROR(INDEX(Material_Detail!$D:$DC,MATCH($A12,Material_Detail!$DE:$DE,0),42),0)),SUMIFS(T_Shipments[Confirmed_Qty],T_Shipments[Part Name],$A12,T_Shipments[Effective_Week],42))</f>
        <v/>
      </c>
      <c r="AR12">
        <f>IF(COUNTIF(Material_Detail!$DE:$DE,$A12)&gt;0,IF(ISNUMBER(SEARCH("[済]",INDEX(Material_Detail!$D:$DC,MATCH($A12,Material_Detail!$DE:$DE,0)+1,43))),0,IFERROR(INDEX(Material_Detail!$D:$DC,MATCH($A12,Material_Detail!$DE:$DE,0),43),0)),SUMIFS(T_Shipments[Confirmed_Qty],T_Shipments[Part Name],$A12,T_Shipments[Effective_Week],43))</f>
        <v/>
      </c>
      <c r="AS12">
        <f>IF(COUNTIF(Material_Detail!$DE:$DE,$A12)&gt;0,IF(ISNUMBER(SEARCH("[済]",INDEX(Material_Detail!$D:$DC,MATCH($A12,Material_Detail!$DE:$DE,0)+1,44))),0,IFERROR(INDEX(Material_Detail!$D:$DC,MATCH($A12,Material_Detail!$DE:$DE,0),44),0)),SUMIFS(T_Shipments[Confirmed_Qty],T_Shipments[Part Name],$A12,T_Shipments[Effective_Week],44))</f>
        <v/>
      </c>
      <c r="AT12">
        <f>IF(COUNTIF(Material_Detail!$DE:$DE,$A12)&gt;0,IF(ISNUMBER(SEARCH("[済]",INDEX(Material_Detail!$D:$DC,MATCH($A12,Material_Detail!$DE:$DE,0)+1,45))),0,IFERROR(INDEX(Material_Detail!$D:$DC,MATCH($A12,Material_Detail!$DE:$DE,0),45),0)),SUMIFS(T_Shipments[Confirmed_Qty],T_Shipments[Part Name],$A12,T_Shipments[Effective_Week],45))</f>
        <v/>
      </c>
      <c r="AU12">
        <f>IF(COUNTIF(Material_Detail!$DE:$DE,$A12)&gt;0,IF(ISNUMBER(SEARCH("[済]",INDEX(Material_Detail!$D:$DC,MATCH($A12,Material_Detail!$DE:$DE,0)+1,46))),0,IFERROR(INDEX(Material_Detail!$D:$DC,MATCH($A12,Material_Detail!$DE:$DE,0),46),0)),SUMIFS(T_Shipments[Confirmed_Qty],T_Shipments[Part Name],$A12,T_Shipments[Effective_Week],46))</f>
        <v/>
      </c>
      <c r="AV12">
        <f>IF(COUNTIF(Material_Detail!$DE:$DE,$A12)&gt;0,IF(ISNUMBER(SEARCH("[済]",INDEX(Material_Detail!$D:$DC,MATCH($A12,Material_Detail!$DE:$DE,0)+1,47))),0,IFERROR(INDEX(Material_Detail!$D:$DC,MATCH($A12,Material_Detail!$DE:$DE,0),47),0)),SUMIFS(T_Shipments[Confirmed_Qty],T_Shipments[Part Name],$A12,T_Shipments[Effective_Week],47))</f>
        <v/>
      </c>
      <c r="AW12">
        <f>IF(COUNTIF(Material_Detail!$DE:$DE,$A12)&gt;0,IF(ISNUMBER(SEARCH("[済]",INDEX(Material_Detail!$D:$DC,MATCH($A12,Material_Detail!$DE:$DE,0)+1,48))),0,IFERROR(INDEX(Material_Detail!$D:$DC,MATCH($A12,Material_Detail!$DE:$DE,0),48),0)),SUMIFS(T_Shipments[Confirmed_Qty],T_Shipments[Part Name],$A12,T_Shipments[Effective_Week],48))</f>
        <v/>
      </c>
      <c r="AX12">
        <f>IF(COUNTIF(Material_Detail!$DE:$DE,$A12)&gt;0,IF(ISNUMBER(SEARCH("[済]",INDEX(Material_Detail!$D:$DC,MATCH($A12,Material_Detail!$DE:$DE,0)+1,49))),0,IFERROR(INDEX(Material_Detail!$D:$DC,MATCH($A12,Material_Detail!$DE:$DE,0),49),0)),SUMIFS(T_Shipments[Confirmed_Qty],T_Shipments[Part Name],$A12,T_Shipments[Effective_Week],49))</f>
        <v/>
      </c>
      <c r="AY12">
        <f>IF(COUNTIF(Material_Detail!$DE:$DE,$A12)&gt;0,IF(ISNUMBER(SEARCH("[済]",INDEX(Material_Detail!$D:$DC,MATCH($A12,Material_Detail!$DE:$DE,0)+1,50))),0,IFERROR(INDEX(Material_Detail!$D:$DC,MATCH($A12,Material_Detail!$DE:$DE,0),50),0)),SUMIFS(T_Shipments[Confirmed_Qty],T_Shipments[Part Name],$A12,T_Shipments[Effective_Week],50))</f>
        <v/>
      </c>
      <c r="AZ12">
        <f>IF(COUNTIF(Material_Detail!$DE:$DE,$A12)&gt;0,IF(ISNUMBER(SEARCH("[済]",INDEX(Material_Detail!$D:$DC,MATCH($A12,Material_Detail!$DE:$DE,0)+1,51))),0,IFERROR(INDEX(Material_Detail!$D:$DC,MATCH($A12,Material_Detail!$DE:$DE,0),51),0)),SUMIFS(T_Shipments[Confirmed_Qty],T_Shipments[Part Name],$A12,T_Shipments[Effective_Week],51))</f>
        <v/>
      </c>
      <c r="BA12">
        <f>IF(COUNTIF(Material_Detail!$DE:$DE,$A12)&gt;0,IF(ISNUMBER(SEARCH("[済]",INDEX(Material_Detail!$D:$DC,MATCH($A12,Material_Detail!$DE:$DE,0)+1,52))),0,IFERROR(INDEX(Material_Detail!$D:$DC,MATCH($A12,Material_Detail!$DE:$DE,0),52),0)),SUMIFS(T_Shipments[Confirmed_Qty],T_Shipments[Part Name],$A12,T_Shipments[Effective_Week],52))</f>
        <v/>
      </c>
      <c r="BB12">
        <f>IF(COUNTIF(Material_Detail!$DE:$DE,$A12)&gt;0,IF(ISNUMBER(SEARCH("[済]",INDEX(Material_Detail!$D:$DC,MATCH($A12,Material_Detail!$DE:$DE,0)+1,53))),0,IFERROR(INDEX(Material_Detail!$D:$DC,MATCH($A12,Material_Detail!$DE:$DE,0),53),0)),SUMIFS(T_Shipments[Confirmed_Qty],T_Shipments[Part Name],$A12,T_Shipments[Effective_Week],53))</f>
        <v/>
      </c>
      <c r="BC12">
        <f>IF(COUNTIF(Material_Detail!$DE:$DE,$A12)&gt;0,IF(ISNUMBER(SEARCH("[済]",INDEX(Material_Detail!$D:$DC,MATCH($A12,Material_Detail!$DE:$DE,0)+1,54))),0,IFERROR(INDEX(Material_Detail!$D:$DC,MATCH($A12,Material_Detail!$DE:$DE,0),54),0)),SUMIFS(T_Shipments[Confirmed_Qty],T_Shipments[Part Name],$A12,T_Shipments[Effective_Week],54))</f>
        <v/>
      </c>
      <c r="BD12">
        <f>IF(COUNTIF(Material_Detail!$DE:$DE,$A12)&gt;0,IF(ISNUMBER(SEARCH("[済]",INDEX(Material_Detail!$D:$DC,MATCH($A12,Material_Detail!$DE:$DE,0)+1,55))),0,IFERROR(INDEX(Material_Detail!$D:$DC,MATCH($A12,Material_Detail!$DE:$DE,0),55),0)),SUMIFS(T_Shipments[Confirmed_Qty],T_Shipments[Part Name],$A12,T_Shipments[Effective_Week],55))</f>
        <v/>
      </c>
      <c r="BE12">
        <f>IF(COUNTIF(Material_Detail!$DE:$DE,$A12)&gt;0,IF(ISNUMBER(SEARCH("[済]",INDEX(Material_Detail!$D:$DC,MATCH($A12,Material_Detail!$DE:$DE,0)+1,56))),0,IFERROR(INDEX(Material_Detail!$D:$DC,MATCH($A12,Material_Detail!$DE:$DE,0),56),0)),SUMIFS(T_Shipments[Confirmed_Qty],T_Shipments[Part Name],$A12,T_Shipments[Effective_Week],56))</f>
        <v/>
      </c>
      <c r="BF12">
        <f>IF(COUNTIF(Material_Detail!$DE:$DE,$A12)&gt;0,IF(ISNUMBER(SEARCH("[済]",INDEX(Material_Detail!$D:$DC,MATCH($A12,Material_Detail!$DE:$DE,0)+1,57))),0,IFERROR(INDEX(Material_Detail!$D:$DC,MATCH($A12,Material_Detail!$DE:$DE,0),57),0)),SUMIFS(T_Shipments[Confirmed_Qty],T_Shipments[Part Name],$A12,T_Shipments[Effective_Week],57))</f>
        <v/>
      </c>
      <c r="BG12">
        <f>IF(COUNTIF(Material_Detail!$DE:$DE,$A12)&gt;0,IF(ISNUMBER(SEARCH("[済]",INDEX(Material_Detail!$D:$DC,MATCH($A12,Material_Detail!$DE:$DE,0)+1,58))),0,IFERROR(INDEX(Material_Detail!$D:$DC,MATCH($A12,Material_Detail!$DE:$DE,0),58),0)),SUMIFS(T_Shipments[Confirmed_Qty],T_Shipments[Part Name],$A12,T_Shipments[Effective_Week],58))</f>
        <v/>
      </c>
      <c r="BH12">
        <f>IF(COUNTIF(Material_Detail!$DE:$DE,$A12)&gt;0,IF(ISNUMBER(SEARCH("[済]",INDEX(Material_Detail!$D:$DC,MATCH($A12,Material_Detail!$DE:$DE,0)+1,59))),0,IFERROR(INDEX(Material_Detail!$D:$DC,MATCH($A12,Material_Detail!$DE:$DE,0),59),0)),SUMIFS(T_Shipments[Confirmed_Qty],T_Shipments[Part Name],$A12,T_Shipments[Effective_Week],59))</f>
        <v/>
      </c>
      <c r="BI12">
        <f>IF(COUNTIF(Material_Detail!$DE:$DE,$A12)&gt;0,IF(ISNUMBER(SEARCH("[済]",INDEX(Material_Detail!$D:$DC,MATCH($A12,Material_Detail!$DE:$DE,0)+1,60))),0,IFERROR(INDEX(Material_Detail!$D:$DC,MATCH($A12,Material_Detail!$DE:$DE,0),60),0)),SUMIFS(T_Shipments[Confirmed_Qty],T_Shipments[Part Name],$A12,T_Shipments[Effective_Week],60))</f>
        <v/>
      </c>
      <c r="BJ12">
        <f>IF(COUNTIF(Material_Detail!$DE:$DE,$A12)&gt;0,IF(ISNUMBER(SEARCH("[済]",INDEX(Material_Detail!$D:$DC,MATCH($A12,Material_Detail!$DE:$DE,0)+1,61))),0,IFERROR(INDEX(Material_Detail!$D:$DC,MATCH($A12,Material_Detail!$DE:$DE,0),61),0)),SUMIFS(T_Shipments[Confirmed_Qty],T_Shipments[Part Name],$A12,T_Shipments[Effective_Week],61))</f>
        <v/>
      </c>
      <c r="BK12">
        <f>IF(COUNTIF(Material_Detail!$DE:$DE,$A12)&gt;0,IF(ISNUMBER(SEARCH("[済]",INDEX(Material_Detail!$D:$DC,MATCH($A12,Material_Detail!$DE:$DE,0)+1,62))),0,IFERROR(INDEX(Material_Detail!$D:$DC,MATCH($A12,Material_Detail!$DE:$DE,0),62),0)),SUMIFS(T_Shipments[Confirmed_Qty],T_Shipments[Part Name],$A12,T_Shipments[Effective_Week],62))</f>
        <v/>
      </c>
      <c r="BL12">
        <f>IF(COUNTIF(Material_Detail!$DE:$DE,$A12)&gt;0,IF(ISNUMBER(SEARCH("[済]",INDEX(Material_Detail!$D:$DC,MATCH($A12,Material_Detail!$DE:$DE,0)+1,63))),0,IFERROR(INDEX(Material_Detail!$D:$DC,MATCH($A12,Material_Detail!$DE:$DE,0),63),0)),SUMIFS(T_Shipments[Confirmed_Qty],T_Shipments[Part Name],$A12,T_Shipments[Effective_Week],63))</f>
        <v/>
      </c>
      <c r="BM12">
        <f>IF(COUNTIF(Material_Detail!$DE:$DE,$A12)&gt;0,IF(ISNUMBER(SEARCH("[済]",INDEX(Material_Detail!$D:$DC,MATCH($A12,Material_Detail!$DE:$DE,0)+1,64))),0,IFERROR(INDEX(Material_Detail!$D:$DC,MATCH($A12,Material_Detail!$DE:$DE,0),64),0)),SUMIFS(T_Shipments[Confirmed_Qty],T_Shipments[Part Name],$A12,T_Shipments[Effective_Week],64))</f>
        <v/>
      </c>
      <c r="BN12">
        <f>IF(COUNTIF(Material_Detail!$DE:$DE,$A12)&gt;0,IF(ISNUMBER(SEARCH("[済]",INDEX(Material_Detail!$D:$DC,MATCH($A12,Material_Detail!$DE:$DE,0)+1,65))),0,IFERROR(INDEX(Material_Detail!$D:$DC,MATCH($A12,Material_Detail!$DE:$DE,0),65),0)),SUMIFS(T_Shipments[Confirmed_Qty],T_Shipments[Part Name],$A12,T_Shipments[Effective_Week],65))</f>
        <v/>
      </c>
      <c r="BO12">
        <f>IF(COUNTIF(Material_Detail!$DE:$DE,$A12)&gt;0,IF(ISNUMBER(SEARCH("[済]",INDEX(Material_Detail!$D:$DC,MATCH($A12,Material_Detail!$DE:$DE,0)+1,66))),0,IFERROR(INDEX(Material_Detail!$D:$DC,MATCH($A12,Material_Detail!$DE:$DE,0),66),0)),SUMIFS(T_Shipments[Confirmed_Qty],T_Shipments[Part Name],$A12,T_Shipments[Effective_Week],66))</f>
        <v/>
      </c>
      <c r="BP12">
        <f>IF(COUNTIF(Material_Detail!$DE:$DE,$A12)&gt;0,IF(ISNUMBER(SEARCH("[済]",INDEX(Material_Detail!$D:$DC,MATCH($A12,Material_Detail!$DE:$DE,0)+1,67))),0,IFERROR(INDEX(Material_Detail!$D:$DC,MATCH($A12,Material_Detail!$DE:$DE,0),67),0)),SUMIFS(T_Shipments[Confirmed_Qty],T_Shipments[Part Name],$A12,T_Shipments[Effective_Week],67))</f>
        <v/>
      </c>
      <c r="BQ12">
        <f>IF(COUNTIF(Material_Detail!$DE:$DE,$A12)&gt;0,IF(ISNUMBER(SEARCH("[済]",INDEX(Material_Detail!$D:$DC,MATCH($A12,Material_Detail!$DE:$DE,0)+1,68))),0,IFERROR(INDEX(Material_Detail!$D:$DC,MATCH($A12,Material_Detail!$DE:$DE,0),68),0)),SUMIFS(T_Shipments[Confirmed_Qty],T_Shipments[Part Name],$A12,T_Shipments[Effective_Week],68))</f>
        <v/>
      </c>
      <c r="BR12">
        <f>IF(COUNTIF(Material_Detail!$DE:$DE,$A12)&gt;0,IF(ISNUMBER(SEARCH("[済]",INDEX(Material_Detail!$D:$DC,MATCH($A12,Material_Detail!$DE:$DE,0)+1,69))),0,IFERROR(INDEX(Material_Detail!$D:$DC,MATCH($A12,Material_Detail!$DE:$DE,0),69),0)),SUMIFS(T_Shipments[Confirmed_Qty],T_Shipments[Part Name],$A12,T_Shipments[Effective_Week],69))</f>
        <v/>
      </c>
      <c r="BS12">
        <f>IF(COUNTIF(Material_Detail!$DE:$DE,$A12)&gt;0,IF(ISNUMBER(SEARCH("[済]",INDEX(Material_Detail!$D:$DC,MATCH($A12,Material_Detail!$DE:$DE,0)+1,70))),0,IFERROR(INDEX(Material_Detail!$D:$DC,MATCH($A12,Material_Detail!$DE:$DE,0),70),0)),SUMIFS(T_Shipments[Confirmed_Qty],T_Shipments[Part Name],$A12,T_Shipments[Effective_Week],70))</f>
        <v/>
      </c>
      <c r="BT12">
        <f>IF(COUNTIF(Material_Detail!$DE:$DE,$A12)&gt;0,IF(ISNUMBER(SEARCH("[済]",INDEX(Material_Detail!$D:$DC,MATCH($A12,Material_Detail!$DE:$DE,0)+1,71))),0,IFERROR(INDEX(Material_Detail!$D:$DC,MATCH($A12,Material_Detail!$DE:$DE,0),71),0)),SUMIFS(T_Shipments[Confirmed_Qty],T_Shipments[Part Name],$A12,T_Shipments[Effective_Week],71))</f>
        <v/>
      </c>
      <c r="BU12">
        <f>IF(COUNTIF(Material_Detail!$DE:$DE,$A12)&gt;0,IF(ISNUMBER(SEARCH("[済]",INDEX(Material_Detail!$D:$DC,MATCH($A12,Material_Detail!$DE:$DE,0)+1,72))),0,IFERROR(INDEX(Material_Detail!$D:$DC,MATCH($A12,Material_Detail!$DE:$DE,0),72),0)),SUMIFS(T_Shipments[Confirmed_Qty],T_Shipments[Part Name],$A12,T_Shipments[Effective_Week],72))</f>
        <v/>
      </c>
      <c r="BV12">
        <f>IF(COUNTIF(Material_Detail!$DE:$DE,$A12)&gt;0,IF(ISNUMBER(SEARCH("[済]",INDEX(Material_Detail!$D:$DC,MATCH($A12,Material_Detail!$DE:$DE,0)+1,73))),0,IFERROR(INDEX(Material_Detail!$D:$DC,MATCH($A12,Material_Detail!$DE:$DE,0),73),0)),SUMIFS(T_Shipments[Confirmed_Qty],T_Shipments[Part Name],$A12,T_Shipments[Effective_Week],73))</f>
        <v/>
      </c>
      <c r="BW12">
        <f>IF(COUNTIF(Material_Detail!$DE:$DE,$A12)&gt;0,IF(ISNUMBER(SEARCH("[済]",INDEX(Material_Detail!$D:$DC,MATCH($A12,Material_Detail!$DE:$DE,0)+1,74))),0,IFERROR(INDEX(Material_Detail!$D:$DC,MATCH($A12,Material_Detail!$DE:$DE,0),74),0)),SUMIFS(T_Shipments[Confirmed_Qty],T_Shipments[Part Name],$A12,T_Shipments[Effective_Week],74))</f>
        <v/>
      </c>
      <c r="BX12">
        <f>IF(COUNTIF(Material_Detail!$DE:$DE,$A12)&gt;0,IF(ISNUMBER(SEARCH("[済]",INDEX(Material_Detail!$D:$DC,MATCH($A12,Material_Detail!$DE:$DE,0)+1,75))),0,IFERROR(INDEX(Material_Detail!$D:$DC,MATCH($A12,Material_Detail!$DE:$DE,0),75),0)),SUMIFS(T_Shipments[Confirmed_Qty],T_Shipments[Part Name],$A12,T_Shipments[Effective_Week],75))</f>
        <v/>
      </c>
      <c r="BY12">
        <f>IF(COUNTIF(Material_Detail!$DE:$DE,$A12)&gt;0,IF(ISNUMBER(SEARCH("[済]",INDEX(Material_Detail!$D:$DC,MATCH($A12,Material_Detail!$DE:$DE,0)+1,76))),0,IFERROR(INDEX(Material_Detail!$D:$DC,MATCH($A12,Material_Detail!$DE:$DE,0),76),0)),SUMIFS(T_Shipments[Confirmed_Qty],T_Shipments[Part Name],$A12,T_Shipments[Effective_Week],76))</f>
        <v/>
      </c>
      <c r="BZ12">
        <f>IF(COUNTIF(Material_Detail!$DE:$DE,$A12)&gt;0,IF(ISNUMBER(SEARCH("[済]",INDEX(Material_Detail!$D:$DC,MATCH($A12,Material_Detail!$DE:$DE,0)+1,77))),0,IFERROR(INDEX(Material_Detail!$D:$DC,MATCH($A12,Material_Detail!$DE:$DE,0),77),0)),SUMIFS(T_Shipments[Confirmed_Qty],T_Shipments[Part Name],$A12,T_Shipments[Effective_Week],77))</f>
        <v/>
      </c>
      <c r="CA12">
        <f>IF(COUNTIF(Material_Detail!$DE:$DE,$A12)&gt;0,IF(ISNUMBER(SEARCH("[済]",INDEX(Material_Detail!$D:$DC,MATCH($A12,Material_Detail!$DE:$DE,0)+1,78))),0,IFERROR(INDEX(Material_Detail!$D:$DC,MATCH($A12,Material_Detail!$DE:$DE,0),78),0)),SUMIFS(T_Shipments[Confirmed_Qty],T_Shipments[Part Name],$A12,T_Shipments[Effective_Week],78))</f>
        <v/>
      </c>
      <c r="CB12">
        <f>IF(COUNTIF(Material_Detail!$DE:$DE,$A12)&gt;0,IF(ISNUMBER(SEARCH("[済]",INDEX(Material_Detail!$D:$DC,MATCH($A12,Material_Detail!$DE:$DE,0)+1,79))),0,IFERROR(INDEX(Material_Detail!$D:$DC,MATCH($A12,Material_Detail!$DE:$DE,0),79),0)),SUMIFS(T_Shipments[Confirmed_Qty],T_Shipments[Part Name],$A12,T_Shipments[Effective_Week],79))</f>
        <v/>
      </c>
      <c r="CC12">
        <f>IF(COUNTIF(Material_Detail!$DE:$DE,$A12)&gt;0,IF(ISNUMBER(SEARCH("[済]",INDEX(Material_Detail!$D:$DC,MATCH($A12,Material_Detail!$DE:$DE,0)+1,80))),0,IFERROR(INDEX(Material_Detail!$D:$DC,MATCH($A12,Material_Detail!$DE:$DE,0),80),0)),SUMIFS(T_Shipments[Confirmed_Qty],T_Shipments[Part Name],$A12,T_Shipments[Effective_Week],80))</f>
        <v/>
      </c>
      <c r="CD12">
        <f>IF(COUNTIF(Material_Detail!$DE:$DE,$A12)&gt;0,IF(ISNUMBER(SEARCH("[済]",INDEX(Material_Detail!$D:$DC,MATCH($A12,Material_Detail!$DE:$DE,0)+1,81))),0,IFERROR(INDEX(Material_Detail!$D:$DC,MATCH($A12,Material_Detail!$DE:$DE,0),81),0)),SUMIFS(T_Shipments[Confirmed_Qty],T_Shipments[Part Name],$A12,T_Shipments[Effective_Week],81))</f>
        <v/>
      </c>
      <c r="CE12">
        <f>IF(COUNTIF(Material_Detail!$DE:$DE,$A12)&gt;0,IF(ISNUMBER(SEARCH("[済]",INDEX(Material_Detail!$D:$DC,MATCH($A12,Material_Detail!$DE:$DE,0)+1,82))),0,IFERROR(INDEX(Material_Detail!$D:$DC,MATCH($A12,Material_Detail!$DE:$DE,0),82),0)),SUMIFS(T_Shipments[Confirmed_Qty],T_Shipments[Part Name],$A12,T_Shipments[Effective_Week],82))</f>
        <v/>
      </c>
      <c r="CF12">
        <f>IF(COUNTIF(Material_Detail!$DE:$DE,$A12)&gt;0,IF(ISNUMBER(SEARCH("[済]",INDEX(Material_Detail!$D:$DC,MATCH($A12,Material_Detail!$DE:$DE,0)+1,83))),0,IFERROR(INDEX(Material_Detail!$D:$DC,MATCH($A12,Material_Detail!$DE:$DE,0),83),0)),SUMIFS(T_Shipments[Confirmed_Qty],T_Shipments[Part Name],$A12,T_Shipments[Effective_Week],83))</f>
        <v/>
      </c>
      <c r="CG12">
        <f>IF(COUNTIF(Material_Detail!$DE:$DE,$A12)&gt;0,IF(ISNUMBER(SEARCH("[済]",INDEX(Material_Detail!$D:$DC,MATCH($A12,Material_Detail!$DE:$DE,0)+1,84))),0,IFERROR(INDEX(Material_Detail!$D:$DC,MATCH($A12,Material_Detail!$DE:$DE,0),84),0)),SUMIFS(T_Shipments[Confirmed_Qty],T_Shipments[Part Name],$A12,T_Shipments[Effective_Week],84))</f>
        <v/>
      </c>
      <c r="CH12">
        <f>IF(COUNTIF(Material_Detail!$DE:$DE,$A12)&gt;0,IF(ISNUMBER(SEARCH("[済]",INDEX(Material_Detail!$D:$DC,MATCH($A12,Material_Detail!$DE:$DE,0)+1,85))),0,IFERROR(INDEX(Material_Detail!$D:$DC,MATCH($A12,Material_Detail!$DE:$DE,0),85),0)),SUMIFS(T_Shipments[Confirmed_Qty],T_Shipments[Part Name],$A12,T_Shipments[Effective_Week],85))</f>
        <v/>
      </c>
      <c r="CI12">
        <f>IF(COUNTIF(Material_Detail!$DE:$DE,$A12)&gt;0,IF(ISNUMBER(SEARCH("[済]",INDEX(Material_Detail!$D:$DC,MATCH($A12,Material_Detail!$DE:$DE,0)+1,86))),0,IFERROR(INDEX(Material_Detail!$D:$DC,MATCH($A12,Material_Detail!$DE:$DE,0),86),0)),SUMIFS(T_Shipments[Confirmed_Qty],T_Shipments[Part Name],$A12,T_Shipments[Effective_Week],86))</f>
        <v/>
      </c>
      <c r="CJ12">
        <f>IF(COUNTIF(Material_Detail!$DE:$DE,$A12)&gt;0,IF(ISNUMBER(SEARCH("[済]",INDEX(Material_Detail!$D:$DC,MATCH($A12,Material_Detail!$DE:$DE,0)+1,87))),0,IFERROR(INDEX(Material_Detail!$D:$DC,MATCH($A12,Material_Detail!$DE:$DE,0),87),0)),SUMIFS(T_Shipments[Confirmed_Qty],T_Shipments[Part Name],$A12,T_Shipments[Effective_Week],87))</f>
        <v/>
      </c>
      <c r="CK12">
        <f>IF(COUNTIF(Material_Detail!$DE:$DE,$A12)&gt;0,IF(ISNUMBER(SEARCH("[済]",INDEX(Material_Detail!$D:$DC,MATCH($A12,Material_Detail!$DE:$DE,0)+1,88))),0,IFERROR(INDEX(Material_Detail!$D:$DC,MATCH($A12,Material_Detail!$DE:$DE,0),88),0)),SUMIFS(T_Shipments[Confirmed_Qty],T_Shipments[Part Name],$A12,T_Shipments[Effective_Week],88))</f>
        <v/>
      </c>
      <c r="CL12">
        <f>IF(COUNTIF(Material_Detail!$DE:$DE,$A12)&gt;0,IF(ISNUMBER(SEARCH("[済]",INDEX(Material_Detail!$D:$DC,MATCH($A12,Material_Detail!$DE:$DE,0)+1,89))),0,IFERROR(INDEX(Material_Detail!$D:$DC,MATCH($A12,Material_Detail!$DE:$DE,0),89),0)),SUMIFS(T_Shipments[Confirmed_Qty],T_Shipments[Part Name],$A12,T_Shipments[Effective_Week],89))</f>
        <v/>
      </c>
      <c r="CM12">
        <f>IF(COUNTIF(Material_Detail!$DE:$DE,$A12)&gt;0,IF(ISNUMBER(SEARCH("[済]",INDEX(Material_Detail!$D:$DC,MATCH($A12,Material_Detail!$DE:$DE,0)+1,90))),0,IFERROR(INDEX(Material_Detail!$D:$DC,MATCH($A12,Material_Detail!$DE:$DE,0),90),0)),SUMIFS(T_Shipments[Confirmed_Qty],T_Shipments[Part Name],$A12,T_Shipments[Effective_Week],90))</f>
        <v/>
      </c>
      <c r="CN12">
        <f>IF(COUNTIF(Material_Detail!$DE:$DE,$A12)&gt;0,IF(ISNUMBER(SEARCH("[済]",INDEX(Material_Detail!$D:$DC,MATCH($A12,Material_Detail!$DE:$DE,0)+1,91))),0,IFERROR(INDEX(Material_Detail!$D:$DC,MATCH($A12,Material_Detail!$DE:$DE,0),91),0)),SUMIFS(T_Shipments[Confirmed_Qty],T_Shipments[Part Name],$A12,T_Shipments[Effective_Week],91))</f>
        <v/>
      </c>
      <c r="CO12">
        <f>IF(COUNTIF(Material_Detail!$DE:$DE,$A12)&gt;0,IF(ISNUMBER(SEARCH("[済]",INDEX(Material_Detail!$D:$DC,MATCH($A12,Material_Detail!$DE:$DE,0)+1,92))),0,IFERROR(INDEX(Material_Detail!$D:$DC,MATCH($A12,Material_Detail!$DE:$DE,0),92),0)),SUMIFS(T_Shipments[Confirmed_Qty],T_Shipments[Part Name],$A12,T_Shipments[Effective_Week],92))</f>
        <v/>
      </c>
      <c r="CP12">
        <f>IF(COUNTIF(Material_Detail!$DE:$DE,$A12)&gt;0,IF(ISNUMBER(SEARCH("[済]",INDEX(Material_Detail!$D:$DC,MATCH($A12,Material_Detail!$DE:$DE,0)+1,93))),0,IFERROR(INDEX(Material_Detail!$D:$DC,MATCH($A12,Material_Detail!$DE:$DE,0),93),0)),SUMIFS(T_Shipments[Confirmed_Qty],T_Shipments[Part Name],$A12,T_Shipments[Effective_Week],93))</f>
        <v/>
      </c>
      <c r="CQ12">
        <f>IF(COUNTIF(Material_Detail!$DE:$DE,$A12)&gt;0,IF(ISNUMBER(SEARCH("[済]",INDEX(Material_Detail!$D:$DC,MATCH($A12,Material_Detail!$DE:$DE,0)+1,94))),0,IFERROR(INDEX(Material_Detail!$D:$DC,MATCH($A12,Material_Detail!$DE:$DE,0),94),0)),SUMIFS(T_Shipments[Confirmed_Qty],T_Shipments[Part Name],$A12,T_Shipments[Effective_Week],94))</f>
        <v/>
      </c>
      <c r="CR12">
        <f>IF(COUNTIF(Material_Detail!$DE:$DE,$A12)&gt;0,IF(ISNUMBER(SEARCH("[済]",INDEX(Material_Detail!$D:$DC,MATCH($A12,Material_Detail!$DE:$DE,0)+1,95))),0,IFERROR(INDEX(Material_Detail!$D:$DC,MATCH($A12,Material_Detail!$DE:$DE,0),95),0)),SUMIFS(T_Shipments[Confirmed_Qty],T_Shipments[Part Name],$A12,T_Shipments[Effective_Week],95))</f>
        <v/>
      </c>
      <c r="CS12">
        <f>IF(COUNTIF(Material_Detail!$DE:$DE,$A12)&gt;0,IF(ISNUMBER(SEARCH("[済]",INDEX(Material_Detail!$D:$DC,MATCH($A12,Material_Detail!$DE:$DE,0)+1,96))),0,IFERROR(INDEX(Material_Detail!$D:$DC,MATCH($A12,Material_Detail!$DE:$DE,0),96),0)),SUMIFS(T_Shipments[Confirmed_Qty],T_Shipments[Part Name],$A12,T_Shipments[Effective_Week],96))</f>
        <v/>
      </c>
      <c r="CT12">
        <f>IF(COUNTIF(Material_Detail!$DE:$DE,$A12)&gt;0,IF(ISNUMBER(SEARCH("[済]",INDEX(Material_Detail!$D:$DC,MATCH($A12,Material_Detail!$DE:$DE,0)+1,97))),0,IFERROR(INDEX(Material_Detail!$D:$DC,MATCH($A12,Material_Detail!$DE:$DE,0),97),0)),SUMIFS(T_Shipments[Confirmed_Qty],T_Shipments[Part Name],$A12,T_Shipments[Effective_Week],97))</f>
        <v/>
      </c>
      <c r="CU12">
        <f>IF(COUNTIF(Material_Detail!$DE:$DE,$A12)&gt;0,IF(ISNUMBER(SEARCH("[済]",INDEX(Material_Detail!$D:$DC,MATCH($A12,Material_Detail!$DE:$DE,0)+1,98))),0,IFERROR(INDEX(Material_Detail!$D:$DC,MATCH($A12,Material_Detail!$DE:$DE,0),98),0)),SUMIFS(T_Shipments[Confirmed_Qty],T_Shipments[Part Name],$A12,T_Shipments[Effective_Week],98))</f>
        <v/>
      </c>
      <c r="CV12">
        <f>IF(COUNTIF(Material_Detail!$DE:$DE,$A12)&gt;0,IF(ISNUMBER(SEARCH("[済]",INDEX(Material_Detail!$D:$DC,MATCH($A12,Material_Detail!$DE:$DE,0)+1,99))),0,IFERROR(INDEX(Material_Detail!$D:$DC,MATCH($A12,Material_Detail!$DE:$DE,0),99),0)),SUMIFS(T_Shipments[Confirmed_Qty],T_Shipments[Part Name],$A12,T_Shipments[Effective_Week],99))</f>
        <v/>
      </c>
      <c r="CW12">
        <f>IF(COUNTIF(Material_Detail!$DE:$DE,$A12)&gt;0,IF(ISNUMBER(SEARCH("[済]",INDEX(Material_Detail!$D:$DC,MATCH($A12,Material_Detail!$DE:$DE,0)+1,100))),0,IFERROR(INDEX(Material_Detail!$D:$DC,MATCH($A12,Material_Detail!$DE:$DE,0),100),0)),SUMIFS(T_Shipments[Confirmed_Qty],T_Shipments[Part Name],$A12,T_Shipments[Effective_Week],100))</f>
        <v/>
      </c>
      <c r="CX12">
        <f>IF(COUNTIF(Material_Detail!$DE:$DE,$A12)&gt;0,IF(ISNUMBER(SEARCH("[済]",INDEX(Material_Detail!$D:$DC,MATCH($A12,Material_Detail!$DE:$DE,0)+1,101))),0,IFERROR(INDEX(Material_Detail!$D:$DC,MATCH($A12,Material_Detail!$DE:$DE,0),101),0)),SUMIFS(T_Shipments[Confirmed_Qty],T_Shipments[Part Name],$A12,T_Shipments[Effective_Week],101))</f>
        <v/>
      </c>
      <c r="CY12">
        <f>IF(COUNTIF(Material_Detail!$DE:$DE,$A12)&gt;0,IF(ISNUMBER(SEARCH("[済]",INDEX(Material_Detail!$D:$DC,MATCH($A12,Material_Detail!$DE:$DE,0)+1,102))),0,IFERROR(INDEX(Material_Detail!$D:$DC,MATCH($A12,Material_Detail!$DE:$DE,0),102),0)),SUMIFS(T_Shipments[Confirmed_Qty],T_Shipments[Part Name],$A12,T_Shipments[Effective_Week],102))</f>
        <v/>
      </c>
      <c r="CZ12">
        <f>IF(COUNTIF(Material_Detail!$DE:$DE,$A12)&gt;0,IF(ISNUMBER(SEARCH("[済]",INDEX(Material_Detail!$D:$DC,MATCH($A12,Material_Detail!$DE:$DE,0)+1,103))),0,IFERROR(INDEX(Material_Detail!$D:$DC,MATCH($A12,Material_Detail!$DE:$DE,0),103),0)),SUMIFS(T_Shipments[Confirmed_Qty],T_Shipments[Part Name],$A12,T_Shipments[Effective_Week],103))</f>
        <v/>
      </c>
      <c r="DA12">
        <f>IF(COUNTIF(Material_Detail!$DE:$DE,$A12)&gt;0,IF(ISNUMBER(SEARCH("[済]",INDEX(Material_Detail!$D:$DC,MATCH($A12,Material_Detail!$DE:$DE,0)+1,104))),0,IFERROR(INDEX(Material_Detail!$D:$DC,MATCH($A12,Material_Detail!$DE:$DE,0),104),0)),SUMIFS(T_Shipments[Confirmed_Qty],T_Shipments[Part Name],$A12,T_Shipments[Effective_Week],104))</f>
        <v/>
      </c>
    </row>
    <row r="13">
      <c r="A13" t="inlineStr">
        <is>
          <t>ABN</t>
        </is>
      </c>
      <c r="B13">
        <f>IF(COUNTIF(Material_Detail!$DE:$DE,$A13)&gt;0,IF(ISNUMBER(SEARCH("[済]",INDEX(Material_Detail!$D:$DC,MATCH($A13,Material_Detail!$DE:$DE,0)+1,1))),0,IFERROR(INDEX(Material_Detail!$D:$DC,MATCH($A13,Material_Detail!$DE:$DE,0),1),0)),SUMIFS(T_Shipments[Confirmed_Qty],T_Shipments[Part Name],$A13,T_Shipments[Effective_Week],1))</f>
        <v/>
      </c>
      <c r="C13">
        <f>IF(COUNTIF(Material_Detail!$DE:$DE,$A13)&gt;0,IF(ISNUMBER(SEARCH("[済]",INDEX(Material_Detail!$D:$DC,MATCH($A13,Material_Detail!$DE:$DE,0)+1,2))),0,IFERROR(INDEX(Material_Detail!$D:$DC,MATCH($A13,Material_Detail!$DE:$DE,0),2),0)),SUMIFS(T_Shipments[Confirmed_Qty],T_Shipments[Part Name],$A13,T_Shipments[Effective_Week],2))</f>
        <v/>
      </c>
      <c r="D13">
        <f>IF(COUNTIF(Material_Detail!$DE:$DE,$A13)&gt;0,IF(ISNUMBER(SEARCH("[済]",INDEX(Material_Detail!$D:$DC,MATCH($A13,Material_Detail!$DE:$DE,0)+1,3))),0,IFERROR(INDEX(Material_Detail!$D:$DC,MATCH($A13,Material_Detail!$DE:$DE,0),3),0)),SUMIFS(T_Shipments[Confirmed_Qty],T_Shipments[Part Name],$A13,T_Shipments[Effective_Week],3))</f>
        <v/>
      </c>
      <c r="E13">
        <f>IF(COUNTIF(Material_Detail!$DE:$DE,$A13)&gt;0,IF(ISNUMBER(SEARCH("[済]",INDEX(Material_Detail!$D:$DC,MATCH($A13,Material_Detail!$DE:$DE,0)+1,4))),0,IFERROR(INDEX(Material_Detail!$D:$DC,MATCH($A13,Material_Detail!$DE:$DE,0),4),0)),SUMIFS(T_Shipments[Confirmed_Qty],T_Shipments[Part Name],$A13,T_Shipments[Effective_Week],4))</f>
        <v/>
      </c>
      <c r="F13">
        <f>IF(COUNTIF(Material_Detail!$DE:$DE,$A13)&gt;0,IF(ISNUMBER(SEARCH("[済]",INDEX(Material_Detail!$D:$DC,MATCH($A13,Material_Detail!$DE:$DE,0)+1,5))),0,IFERROR(INDEX(Material_Detail!$D:$DC,MATCH($A13,Material_Detail!$DE:$DE,0),5),0)),SUMIFS(T_Shipments[Confirmed_Qty],T_Shipments[Part Name],$A13,T_Shipments[Effective_Week],5))</f>
        <v/>
      </c>
      <c r="G13">
        <f>IF(COUNTIF(Material_Detail!$DE:$DE,$A13)&gt;0,IF(ISNUMBER(SEARCH("[済]",INDEX(Material_Detail!$D:$DC,MATCH($A13,Material_Detail!$DE:$DE,0)+1,6))),0,IFERROR(INDEX(Material_Detail!$D:$DC,MATCH($A13,Material_Detail!$DE:$DE,0),6),0)),SUMIFS(T_Shipments[Confirmed_Qty],T_Shipments[Part Name],$A13,T_Shipments[Effective_Week],6))</f>
        <v/>
      </c>
      <c r="H13">
        <f>IF(COUNTIF(Material_Detail!$DE:$DE,$A13)&gt;0,IF(ISNUMBER(SEARCH("[済]",INDEX(Material_Detail!$D:$DC,MATCH($A13,Material_Detail!$DE:$DE,0)+1,7))),0,IFERROR(INDEX(Material_Detail!$D:$DC,MATCH($A13,Material_Detail!$DE:$DE,0),7),0)),SUMIFS(T_Shipments[Confirmed_Qty],T_Shipments[Part Name],$A13,T_Shipments[Effective_Week],7))</f>
        <v/>
      </c>
      <c r="I13">
        <f>IF(COUNTIF(Material_Detail!$DE:$DE,$A13)&gt;0,IF(ISNUMBER(SEARCH("[済]",INDEX(Material_Detail!$D:$DC,MATCH($A13,Material_Detail!$DE:$DE,0)+1,8))),0,IFERROR(INDEX(Material_Detail!$D:$DC,MATCH($A13,Material_Detail!$DE:$DE,0),8),0)),SUMIFS(T_Shipments[Confirmed_Qty],T_Shipments[Part Name],$A13,T_Shipments[Effective_Week],8))</f>
        <v/>
      </c>
      <c r="J13">
        <f>IF(COUNTIF(Material_Detail!$DE:$DE,$A13)&gt;0,IF(ISNUMBER(SEARCH("[済]",INDEX(Material_Detail!$D:$DC,MATCH($A13,Material_Detail!$DE:$DE,0)+1,9))),0,IFERROR(INDEX(Material_Detail!$D:$DC,MATCH($A13,Material_Detail!$DE:$DE,0),9),0)),SUMIFS(T_Shipments[Confirmed_Qty],T_Shipments[Part Name],$A13,T_Shipments[Effective_Week],9))</f>
        <v/>
      </c>
      <c r="K13">
        <f>IF(COUNTIF(Material_Detail!$DE:$DE,$A13)&gt;0,IF(ISNUMBER(SEARCH("[済]",INDEX(Material_Detail!$D:$DC,MATCH($A13,Material_Detail!$DE:$DE,0)+1,10))),0,IFERROR(INDEX(Material_Detail!$D:$DC,MATCH($A13,Material_Detail!$DE:$DE,0),10),0)),SUMIFS(T_Shipments[Confirmed_Qty],T_Shipments[Part Name],$A13,T_Shipments[Effective_Week],10))</f>
        <v/>
      </c>
      <c r="L13">
        <f>IF(COUNTIF(Material_Detail!$DE:$DE,$A13)&gt;0,IF(ISNUMBER(SEARCH("[済]",INDEX(Material_Detail!$D:$DC,MATCH($A13,Material_Detail!$DE:$DE,0)+1,11))),0,IFERROR(INDEX(Material_Detail!$D:$DC,MATCH($A13,Material_Detail!$DE:$DE,0),11),0)),SUMIFS(T_Shipments[Confirmed_Qty],T_Shipments[Part Name],$A13,T_Shipments[Effective_Week],11))</f>
        <v/>
      </c>
      <c r="M13">
        <f>IF(COUNTIF(Material_Detail!$DE:$DE,$A13)&gt;0,IF(ISNUMBER(SEARCH("[済]",INDEX(Material_Detail!$D:$DC,MATCH($A13,Material_Detail!$DE:$DE,0)+1,12))),0,IFERROR(INDEX(Material_Detail!$D:$DC,MATCH($A13,Material_Detail!$DE:$DE,0),12),0)),SUMIFS(T_Shipments[Confirmed_Qty],T_Shipments[Part Name],$A13,T_Shipments[Effective_Week],12))</f>
        <v/>
      </c>
      <c r="N13">
        <f>IF(COUNTIF(Material_Detail!$DE:$DE,$A13)&gt;0,IF(ISNUMBER(SEARCH("[済]",INDEX(Material_Detail!$D:$DC,MATCH($A13,Material_Detail!$DE:$DE,0)+1,13))),0,IFERROR(INDEX(Material_Detail!$D:$DC,MATCH($A13,Material_Detail!$DE:$DE,0),13),0)),SUMIFS(T_Shipments[Confirmed_Qty],T_Shipments[Part Name],$A13,T_Shipments[Effective_Week],13))</f>
        <v/>
      </c>
      <c r="O13">
        <f>IF(COUNTIF(Material_Detail!$DE:$DE,$A13)&gt;0,IF(ISNUMBER(SEARCH("[済]",INDEX(Material_Detail!$D:$DC,MATCH($A13,Material_Detail!$DE:$DE,0)+1,14))),0,IFERROR(INDEX(Material_Detail!$D:$DC,MATCH($A13,Material_Detail!$DE:$DE,0),14),0)),SUMIFS(T_Shipments[Confirmed_Qty],T_Shipments[Part Name],$A13,T_Shipments[Effective_Week],14))</f>
        <v/>
      </c>
      <c r="P13">
        <f>IF(COUNTIF(Material_Detail!$DE:$DE,$A13)&gt;0,IF(ISNUMBER(SEARCH("[済]",INDEX(Material_Detail!$D:$DC,MATCH($A13,Material_Detail!$DE:$DE,0)+1,15))),0,IFERROR(INDEX(Material_Detail!$D:$DC,MATCH($A13,Material_Detail!$DE:$DE,0),15),0)),SUMIFS(T_Shipments[Confirmed_Qty],T_Shipments[Part Name],$A13,T_Shipments[Effective_Week],15))</f>
        <v/>
      </c>
      <c r="Q13">
        <f>IF(COUNTIF(Material_Detail!$DE:$DE,$A13)&gt;0,IF(ISNUMBER(SEARCH("[済]",INDEX(Material_Detail!$D:$DC,MATCH($A13,Material_Detail!$DE:$DE,0)+1,16))),0,IFERROR(INDEX(Material_Detail!$D:$DC,MATCH($A13,Material_Detail!$DE:$DE,0),16),0)),SUMIFS(T_Shipments[Confirmed_Qty],T_Shipments[Part Name],$A13,T_Shipments[Effective_Week],16))</f>
        <v/>
      </c>
      <c r="R13">
        <f>IF(COUNTIF(Material_Detail!$DE:$DE,$A13)&gt;0,IF(ISNUMBER(SEARCH("[済]",INDEX(Material_Detail!$D:$DC,MATCH($A13,Material_Detail!$DE:$DE,0)+1,17))),0,IFERROR(INDEX(Material_Detail!$D:$DC,MATCH($A13,Material_Detail!$DE:$DE,0),17),0)),SUMIFS(T_Shipments[Confirmed_Qty],T_Shipments[Part Name],$A13,T_Shipments[Effective_Week],17))</f>
        <v/>
      </c>
      <c r="S13">
        <f>IF(COUNTIF(Material_Detail!$DE:$DE,$A13)&gt;0,IF(ISNUMBER(SEARCH("[済]",INDEX(Material_Detail!$D:$DC,MATCH($A13,Material_Detail!$DE:$DE,0)+1,18))),0,IFERROR(INDEX(Material_Detail!$D:$DC,MATCH($A13,Material_Detail!$DE:$DE,0),18),0)),SUMIFS(T_Shipments[Confirmed_Qty],T_Shipments[Part Name],$A13,T_Shipments[Effective_Week],18))</f>
        <v/>
      </c>
      <c r="T13">
        <f>IF(COUNTIF(Material_Detail!$DE:$DE,$A13)&gt;0,IF(ISNUMBER(SEARCH("[済]",INDEX(Material_Detail!$D:$DC,MATCH($A13,Material_Detail!$DE:$DE,0)+1,19))),0,IFERROR(INDEX(Material_Detail!$D:$DC,MATCH($A13,Material_Detail!$DE:$DE,0),19),0)),SUMIFS(T_Shipments[Confirmed_Qty],T_Shipments[Part Name],$A13,T_Shipments[Effective_Week],19))</f>
        <v/>
      </c>
      <c r="U13">
        <f>IF(COUNTIF(Material_Detail!$DE:$DE,$A13)&gt;0,IF(ISNUMBER(SEARCH("[済]",INDEX(Material_Detail!$D:$DC,MATCH($A13,Material_Detail!$DE:$DE,0)+1,20))),0,IFERROR(INDEX(Material_Detail!$D:$DC,MATCH($A13,Material_Detail!$DE:$DE,0),20),0)),SUMIFS(T_Shipments[Confirmed_Qty],T_Shipments[Part Name],$A13,T_Shipments[Effective_Week],20))</f>
        <v/>
      </c>
      <c r="V13">
        <f>IF(COUNTIF(Material_Detail!$DE:$DE,$A13)&gt;0,IF(ISNUMBER(SEARCH("[済]",INDEX(Material_Detail!$D:$DC,MATCH($A13,Material_Detail!$DE:$DE,0)+1,21))),0,IFERROR(INDEX(Material_Detail!$D:$DC,MATCH($A13,Material_Detail!$DE:$DE,0),21),0)),SUMIFS(T_Shipments[Confirmed_Qty],T_Shipments[Part Name],$A13,T_Shipments[Effective_Week],21))</f>
        <v/>
      </c>
      <c r="W13">
        <f>IF(COUNTIF(Material_Detail!$DE:$DE,$A13)&gt;0,IF(ISNUMBER(SEARCH("[済]",INDEX(Material_Detail!$D:$DC,MATCH($A13,Material_Detail!$DE:$DE,0)+1,22))),0,IFERROR(INDEX(Material_Detail!$D:$DC,MATCH($A13,Material_Detail!$DE:$DE,0),22),0)),SUMIFS(T_Shipments[Confirmed_Qty],T_Shipments[Part Name],$A13,T_Shipments[Effective_Week],22))</f>
        <v/>
      </c>
      <c r="X13">
        <f>IF(COUNTIF(Material_Detail!$DE:$DE,$A13)&gt;0,IF(ISNUMBER(SEARCH("[済]",INDEX(Material_Detail!$D:$DC,MATCH($A13,Material_Detail!$DE:$DE,0)+1,23))),0,IFERROR(INDEX(Material_Detail!$D:$DC,MATCH($A13,Material_Detail!$DE:$DE,0),23),0)),SUMIFS(T_Shipments[Confirmed_Qty],T_Shipments[Part Name],$A13,T_Shipments[Effective_Week],23))</f>
        <v/>
      </c>
      <c r="Y13">
        <f>IF(COUNTIF(Material_Detail!$DE:$DE,$A13)&gt;0,IF(ISNUMBER(SEARCH("[済]",INDEX(Material_Detail!$D:$DC,MATCH($A13,Material_Detail!$DE:$DE,0)+1,24))),0,IFERROR(INDEX(Material_Detail!$D:$DC,MATCH($A13,Material_Detail!$DE:$DE,0),24),0)),SUMIFS(T_Shipments[Confirmed_Qty],T_Shipments[Part Name],$A13,T_Shipments[Effective_Week],24))</f>
        <v/>
      </c>
      <c r="Z13">
        <f>IF(COUNTIF(Material_Detail!$DE:$DE,$A13)&gt;0,IF(ISNUMBER(SEARCH("[済]",INDEX(Material_Detail!$D:$DC,MATCH($A13,Material_Detail!$DE:$DE,0)+1,25))),0,IFERROR(INDEX(Material_Detail!$D:$DC,MATCH($A13,Material_Detail!$DE:$DE,0),25),0)),SUMIFS(T_Shipments[Confirmed_Qty],T_Shipments[Part Name],$A13,T_Shipments[Effective_Week],25))</f>
        <v/>
      </c>
      <c r="AA13">
        <f>IF(COUNTIF(Material_Detail!$DE:$DE,$A13)&gt;0,IF(ISNUMBER(SEARCH("[済]",INDEX(Material_Detail!$D:$DC,MATCH($A13,Material_Detail!$DE:$DE,0)+1,26))),0,IFERROR(INDEX(Material_Detail!$D:$DC,MATCH($A13,Material_Detail!$DE:$DE,0),26),0)),SUMIFS(T_Shipments[Confirmed_Qty],T_Shipments[Part Name],$A13,T_Shipments[Effective_Week],26))</f>
        <v/>
      </c>
      <c r="AB13">
        <f>IF(COUNTIF(Material_Detail!$DE:$DE,$A13)&gt;0,IF(ISNUMBER(SEARCH("[済]",INDEX(Material_Detail!$D:$DC,MATCH($A13,Material_Detail!$DE:$DE,0)+1,27))),0,IFERROR(INDEX(Material_Detail!$D:$DC,MATCH($A13,Material_Detail!$DE:$DE,0),27),0)),SUMIFS(T_Shipments[Confirmed_Qty],T_Shipments[Part Name],$A13,T_Shipments[Effective_Week],27))</f>
        <v/>
      </c>
      <c r="AC13">
        <f>IF(COUNTIF(Material_Detail!$DE:$DE,$A13)&gt;0,IF(ISNUMBER(SEARCH("[済]",INDEX(Material_Detail!$D:$DC,MATCH($A13,Material_Detail!$DE:$DE,0)+1,28))),0,IFERROR(INDEX(Material_Detail!$D:$DC,MATCH($A13,Material_Detail!$DE:$DE,0),28),0)),SUMIFS(T_Shipments[Confirmed_Qty],T_Shipments[Part Name],$A13,T_Shipments[Effective_Week],28))</f>
        <v/>
      </c>
      <c r="AD13">
        <f>IF(COUNTIF(Material_Detail!$DE:$DE,$A13)&gt;0,IF(ISNUMBER(SEARCH("[済]",INDEX(Material_Detail!$D:$DC,MATCH($A13,Material_Detail!$DE:$DE,0)+1,29))),0,IFERROR(INDEX(Material_Detail!$D:$DC,MATCH($A13,Material_Detail!$DE:$DE,0),29),0)),SUMIFS(T_Shipments[Confirmed_Qty],T_Shipments[Part Name],$A13,T_Shipments[Effective_Week],29))</f>
        <v/>
      </c>
      <c r="AE13">
        <f>IF(COUNTIF(Material_Detail!$DE:$DE,$A13)&gt;0,IF(ISNUMBER(SEARCH("[済]",INDEX(Material_Detail!$D:$DC,MATCH($A13,Material_Detail!$DE:$DE,0)+1,30))),0,IFERROR(INDEX(Material_Detail!$D:$DC,MATCH($A13,Material_Detail!$DE:$DE,0),30),0)),SUMIFS(T_Shipments[Confirmed_Qty],T_Shipments[Part Name],$A13,T_Shipments[Effective_Week],30))</f>
        <v/>
      </c>
      <c r="AF13">
        <f>IF(COUNTIF(Material_Detail!$DE:$DE,$A13)&gt;0,IF(ISNUMBER(SEARCH("[済]",INDEX(Material_Detail!$D:$DC,MATCH($A13,Material_Detail!$DE:$DE,0)+1,31))),0,IFERROR(INDEX(Material_Detail!$D:$DC,MATCH($A13,Material_Detail!$DE:$DE,0),31),0)),SUMIFS(T_Shipments[Confirmed_Qty],T_Shipments[Part Name],$A13,T_Shipments[Effective_Week],31))</f>
        <v/>
      </c>
      <c r="AG13">
        <f>IF(COUNTIF(Material_Detail!$DE:$DE,$A13)&gt;0,IF(ISNUMBER(SEARCH("[済]",INDEX(Material_Detail!$D:$DC,MATCH($A13,Material_Detail!$DE:$DE,0)+1,32))),0,IFERROR(INDEX(Material_Detail!$D:$DC,MATCH($A13,Material_Detail!$DE:$DE,0),32),0)),SUMIFS(T_Shipments[Confirmed_Qty],T_Shipments[Part Name],$A13,T_Shipments[Effective_Week],32))</f>
        <v/>
      </c>
      <c r="AH13">
        <f>IF(COUNTIF(Material_Detail!$DE:$DE,$A13)&gt;0,IF(ISNUMBER(SEARCH("[済]",INDEX(Material_Detail!$D:$DC,MATCH($A13,Material_Detail!$DE:$DE,0)+1,33))),0,IFERROR(INDEX(Material_Detail!$D:$DC,MATCH($A13,Material_Detail!$DE:$DE,0),33),0)),SUMIFS(T_Shipments[Confirmed_Qty],T_Shipments[Part Name],$A13,T_Shipments[Effective_Week],33))</f>
        <v/>
      </c>
      <c r="AI13">
        <f>IF(COUNTIF(Material_Detail!$DE:$DE,$A13)&gt;0,IF(ISNUMBER(SEARCH("[済]",INDEX(Material_Detail!$D:$DC,MATCH($A13,Material_Detail!$DE:$DE,0)+1,34))),0,IFERROR(INDEX(Material_Detail!$D:$DC,MATCH($A13,Material_Detail!$DE:$DE,0),34),0)),SUMIFS(T_Shipments[Confirmed_Qty],T_Shipments[Part Name],$A13,T_Shipments[Effective_Week],34))</f>
        <v/>
      </c>
      <c r="AJ13">
        <f>IF(COUNTIF(Material_Detail!$DE:$DE,$A13)&gt;0,IF(ISNUMBER(SEARCH("[済]",INDEX(Material_Detail!$D:$DC,MATCH($A13,Material_Detail!$DE:$DE,0)+1,35))),0,IFERROR(INDEX(Material_Detail!$D:$DC,MATCH($A13,Material_Detail!$DE:$DE,0),35),0)),SUMIFS(T_Shipments[Confirmed_Qty],T_Shipments[Part Name],$A13,T_Shipments[Effective_Week],35))</f>
        <v/>
      </c>
      <c r="AK13">
        <f>IF(COUNTIF(Material_Detail!$DE:$DE,$A13)&gt;0,IF(ISNUMBER(SEARCH("[済]",INDEX(Material_Detail!$D:$DC,MATCH($A13,Material_Detail!$DE:$DE,0)+1,36))),0,IFERROR(INDEX(Material_Detail!$D:$DC,MATCH($A13,Material_Detail!$DE:$DE,0),36),0)),SUMIFS(T_Shipments[Confirmed_Qty],T_Shipments[Part Name],$A13,T_Shipments[Effective_Week],36))</f>
        <v/>
      </c>
      <c r="AL13">
        <f>IF(COUNTIF(Material_Detail!$DE:$DE,$A13)&gt;0,IF(ISNUMBER(SEARCH("[済]",INDEX(Material_Detail!$D:$DC,MATCH($A13,Material_Detail!$DE:$DE,0)+1,37))),0,IFERROR(INDEX(Material_Detail!$D:$DC,MATCH($A13,Material_Detail!$DE:$DE,0),37),0)),SUMIFS(T_Shipments[Confirmed_Qty],T_Shipments[Part Name],$A13,T_Shipments[Effective_Week],37))</f>
        <v/>
      </c>
      <c r="AM13">
        <f>IF(COUNTIF(Material_Detail!$DE:$DE,$A13)&gt;0,IF(ISNUMBER(SEARCH("[済]",INDEX(Material_Detail!$D:$DC,MATCH($A13,Material_Detail!$DE:$DE,0)+1,38))),0,IFERROR(INDEX(Material_Detail!$D:$DC,MATCH($A13,Material_Detail!$DE:$DE,0),38),0)),SUMIFS(T_Shipments[Confirmed_Qty],T_Shipments[Part Name],$A13,T_Shipments[Effective_Week],38))</f>
        <v/>
      </c>
      <c r="AN13">
        <f>IF(COUNTIF(Material_Detail!$DE:$DE,$A13)&gt;0,IF(ISNUMBER(SEARCH("[済]",INDEX(Material_Detail!$D:$DC,MATCH($A13,Material_Detail!$DE:$DE,0)+1,39))),0,IFERROR(INDEX(Material_Detail!$D:$DC,MATCH($A13,Material_Detail!$DE:$DE,0),39),0)),SUMIFS(T_Shipments[Confirmed_Qty],T_Shipments[Part Name],$A13,T_Shipments[Effective_Week],39))</f>
        <v/>
      </c>
      <c r="AO13">
        <f>IF(COUNTIF(Material_Detail!$DE:$DE,$A13)&gt;0,IF(ISNUMBER(SEARCH("[済]",INDEX(Material_Detail!$D:$DC,MATCH($A13,Material_Detail!$DE:$DE,0)+1,40))),0,IFERROR(INDEX(Material_Detail!$D:$DC,MATCH($A13,Material_Detail!$DE:$DE,0),40),0)),SUMIFS(T_Shipments[Confirmed_Qty],T_Shipments[Part Name],$A13,T_Shipments[Effective_Week],40))</f>
        <v/>
      </c>
      <c r="AP13">
        <f>IF(COUNTIF(Material_Detail!$DE:$DE,$A13)&gt;0,IF(ISNUMBER(SEARCH("[済]",INDEX(Material_Detail!$D:$DC,MATCH($A13,Material_Detail!$DE:$DE,0)+1,41))),0,IFERROR(INDEX(Material_Detail!$D:$DC,MATCH($A13,Material_Detail!$DE:$DE,0),41),0)),SUMIFS(T_Shipments[Confirmed_Qty],T_Shipments[Part Name],$A13,T_Shipments[Effective_Week],41))</f>
        <v/>
      </c>
      <c r="AQ13">
        <f>IF(COUNTIF(Material_Detail!$DE:$DE,$A13)&gt;0,IF(ISNUMBER(SEARCH("[済]",INDEX(Material_Detail!$D:$DC,MATCH($A13,Material_Detail!$DE:$DE,0)+1,42))),0,IFERROR(INDEX(Material_Detail!$D:$DC,MATCH($A13,Material_Detail!$DE:$DE,0),42),0)),SUMIFS(T_Shipments[Confirmed_Qty],T_Shipments[Part Name],$A13,T_Shipments[Effective_Week],42))</f>
        <v/>
      </c>
      <c r="AR13">
        <f>IF(COUNTIF(Material_Detail!$DE:$DE,$A13)&gt;0,IF(ISNUMBER(SEARCH("[済]",INDEX(Material_Detail!$D:$DC,MATCH($A13,Material_Detail!$DE:$DE,0)+1,43))),0,IFERROR(INDEX(Material_Detail!$D:$DC,MATCH($A13,Material_Detail!$DE:$DE,0),43),0)),SUMIFS(T_Shipments[Confirmed_Qty],T_Shipments[Part Name],$A13,T_Shipments[Effective_Week],43))</f>
        <v/>
      </c>
      <c r="AS13">
        <f>IF(COUNTIF(Material_Detail!$DE:$DE,$A13)&gt;0,IF(ISNUMBER(SEARCH("[済]",INDEX(Material_Detail!$D:$DC,MATCH($A13,Material_Detail!$DE:$DE,0)+1,44))),0,IFERROR(INDEX(Material_Detail!$D:$DC,MATCH($A13,Material_Detail!$DE:$DE,0),44),0)),SUMIFS(T_Shipments[Confirmed_Qty],T_Shipments[Part Name],$A13,T_Shipments[Effective_Week],44))</f>
        <v/>
      </c>
      <c r="AT13">
        <f>IF(COUNTIF(Material_Detail!$DE:$DE,$A13)&gt;0,IF(ISNUMBER(SEARCH("[済]",INDEX(Material_Detail!$D:$DC,MATCH($A13,Material_Detail!$DE:$DE,0)+1,45))),0,IFERROR(INDEX(Material_Detail!$D:$DC,MATCH($A13,Material_Detail!$DE:$DE,0),45),0)),SUMIFS(T_Shipments[Confirmed_Qty],T_Shipments[Part Name],$A13,T_Shipments[Effective_Week],45))</f>
        <v/>
      </c>
      <c r="AU13">
        <f>IF(COUNTIF(Material_Detail!$DE:$DE,$A13)&gt;0,IF(ISNUMBER(SEARCH("[済]",INDEX(Material_Detail!$D:$DC,MATCH($A13,Material_Detail!$DE:$DE,0)+1,46))),0,IFERROR(INDEX(Material_Detail!$D:$DC,MATCH($A13,Material_Detail!$DE:$DE,0),46),0)),SUMIFS(T_Shipments[Confirmed_Qty],T_Shipments[Part Name],$A13,T_Shipments[Effective_Week],46))</f>
        <v/>
      </c>
      <c r="AV13">
        <f>IF(COUNTIF(Material_Detail!$DE:$DE,$A13)&gt;0,IF(ISNUMBER(SEARCH("[済]",INDEX(Material_Detail!$D:$DC,MATCH($A13,Material_Detail!$DE:$DE,0)+1,47))),0,IFERROR(INDEX(Material_Detail!$D:$DC,MATCH($A13,Material_Detail!$DE:$DE,0),47),0)),SUMIFS(T_Shipments[Confirmed_Qty],T_Shipments[Part Name],$A13,T_Shipments[Effective_Week],47))</f>
        <v/>
      </c>
      <c r="AW13">
        <f>IF(COUNTIF(Material_Detail!$DE:$DE,$A13)&gt;0,IF(ISNUMBER(SEARCH("[済]",INDEX(Material_Detail!$D:$DC,MATCH($A13,Material_Detail!$DE:$DE,0)+1,48))),0,IFERROR(INDEX(Material_Detail!$D:$DC,MATCH($A13,Material_Detail!$DE:$DE,0),48),0)),SUMIFS(T_Shipments[Confirmed_Qty],T_Shipments[Part Name],$A13,T_Shipments[Effective_Week],48))</f>
        <v/>
      </c>
      <c r="AX13">
        <f>IF(COUNTIF(Material_Detail!$DE:$DE,$A13)&gt;0,IF(ISNUMBER(SEARCH("[済]",INDEX(Material_Detail!$D:$DC,MATCH($A13,Material_Detail!$DE:$DE,0)+1,49))),0,IFERROR(INDEX(Material_Detail!$D:$DC,MATCH($A13,Material_Detail!$DE:$DE,0),49),0)),SUMIFS(T_Shipments[Confirmed_Qty],T_Shipments[Part Name],$A13,T_Shipments[Effective_Week],49))</f>
        <v/>
      </c>
      <c r="AY13">
        <f>IF(COUNTIF(Material_Detail!$DE:$DE,$A13)&gt;0,IF(ISNUMBER(SEARCH("[済]",INDEX(Material_Detail!$D:$DC,MATCH($A13,Material_Detail!$DE:$DE,0)+1,50))),0,IFERROR(INDEX(Material_Detail!$D:$DC,MATCH($A13,Material_Detail!$DE:$DE,0),50),0)),SUMIFS(T_Shipments[Confirmed_Qty],T_Shipments[Part Name],$A13,T_Shipments[Effective_Week],50))</f>
        <v/>
      </c>
      <c r="AZ13">
        <f>IF(COUNTIF(Material_Detail!$DE:$DE,$A13)&gt;0,IF(ISNUMBER(SEARCH("[済]",INDEX(Material_Detail!$D:$DC,MATCH($A13,Material_Detail!$DE:$DE,0)+1,51))),0,IFERROR(INDEX(Material_Detail!$D:$DC,MATCH($A13,Material_Detail!$DE:$DE,0),51),0)),SUMIFS(T_Shipments[Confirmed_Qty],T_Shipments[Part Name],$A13,T_Shipments[Effective_Week],51))</f>
        <v/>
      </c>
      <c r="BA13">
        <f>IF(COUNTIF(Material_Detail!$DE:$DE,$A13)&gt;0,IF(ISNUMBER(SEARCH("[済]",INDEX(Material_Detail!$D:$DC,MATCH($A13,Material_Detail!$DE:$DE,0)+1,52))),0,IFERROR(INDEX(Material_Detail!$D:$DC,MATCH($A13,Material_Detail!$DE:$DE,0),52),0)),SUMIFS(T_Shipments[Confirmed_Qty],T_Shipments[Part Name],$A13,T_Shipments[Effective_Week],52))</f>
        <v/>
      </c>
      <c r="BB13">
        <f>IF(COUNTIF(Material_Detail!$DE:$DE,$A13)&gt;0,IF(ISNUMBER(SEARCH("[済]",INDEX(Material_Detail!$D:$DC,MATCH($A13,Material_Detail!$DE:$DE,0)+1,53))),0,IFERROR(INDEX(Material_Detail!$D:$DC,MATCH($A13,Material_Detail!$DE:$DE,0),53),0)),SUMIFS(T_Shipments[Confirmed_Qty],T_Shipments[Part Name],$A13,T_Shipments[Effective_Week],53))</f>
        <v/>
      </c>
      <c r="BC13">
        <f>IF(COUNTIF(Material_Detail!$DE:$DE,$A13)&gt;0,IF(ISNUMBER(SEARCH("[済]",INDEX(Material_Detail!$D:$DC,MATCH($A13,Material_Detail!$DE:$DE,0)+1,54))),0,IFERROR(INDEX(Material_Detail!$D:$DC,MATCH($A13,Material_Detail!$DE:$DE,0),54),0)),SUMIFS(T_Shipments[Confirmed_Qty],T_Shipments[Part Name],$A13,T_Shipments[Effective_Week],54))</f>
        <v/>
      </c>
      <c r="BD13">
        <f>IF(COUNTIF(Material_Detail!$DE:$DE,$A13)&gt;0,IF(ISNUMBER(SEARCH("[済]",INDEX(Material_Detail!$D:$DC,MATCH($A13,Material_Detail!$DE:$DE,0)+1,55))),0,IFERROR(INDEX(Material_Detail!$D:$DC,MATCH($A13,Material_Detail!$DE:$DE,0),55),0)),SUMIFS(T_Shipments[Confirmed_Qty],T_Shipments[Part Name],$A13,T_Shipments[Effective_Week],55))</f>
        <v/>
      </c>
      <c r="BE13">
        <f>IF(COUNTIF(Material_Detail!$DE:$DE,$A13)&gt;0,IF(ISNUMBER(SEARCH("[済]",INDEX(Material_Detail!$D:$DC,MATCH($A13,Material_Detail!$DE:$DE,0)+1,56))),0,IFERROR(INDEX(Material_Detail!$D:$DC,MATCH($A13,Material_Detail!$DE:$DE,0),56),0)),SUMIFS(T_Shipments[Confirmed_Qty],T_Shipments[Part Name],$A13,T_Shipments[Effective_Week],56))</f>
        <v/>
      </c>
      <c r="BF13">
        <f>IF(COUNTIF(Material_Detail!$DE:$DE,$A13)&gt;0,IF(ISNUMBER(SEARCH("[済]",INDEX(Material_Detail!$D:$DC,MATCH($A13,Material_Detail!$DE:$DE,0)+1,57))),0,IFERROR(INDEX(Material_Detail!$D:$DC,MATCH($A13,Material_Detail!$DE:$DE,0),57),0)),SUMIFS(T_Shipments[Confirmed_Qty],T_Shipments[Part Name],$A13,T_Shipments[Effective_Week],57))</f>
        <v/>
      </c>
      <c r="BG13">
        <f>IF(COUNTIF(Material_Detail!$DE:$DE,$A13)&gt;0,IF(ISNUMBER(SEARCH("[済]",INDEX(Material_Detail!$D:$DC,MATCH($A13,Material_Detail!$DE:$DE,0)+1,58))),0,IFERROR(INDEX(Material_Detail!$D:$DC,MATCH($A13,Material_Detail!$DE:$DE,0),58),0)),SUMIFS(T_Shipments[Confirmed_Qty],T_Shipments[Part Name],$A13,T_Shipments[Effective_Week],58))</f>
        <v/>
      </c>
      <c r="BH13">
        <f>IF(COUNTIF(Material_Detail!$DE:$DE,$A13)&gt;0,IF(ISNUMBER(SEARCH("[済]",INDEX(Material_Detail!$D:$DC,MATCH($A13,Material_Detail!$DE:$DE,0)+1,59))),0,IFERROR(INDEX(Material_Detail!$D:$DC,MATCH($A13,Material_Detail!$DE:$DE,0),59),0)),SUMIFS(T_Shipments[Confirmed_Qty],T_Shipments[Part Name],$A13,T_Shipments[Effective_Week],59))</f>
        <v/>
      </c>
      <c r="BI13">
        <f>IF(COUNTIF(Material_Detail!$DE:$DE,$A13)&gt;0,IF(ISNUMBER(SEARCH("[済]",INDEX(Material_Detail!$D:$DC,MATCH($A13,Material_Detail!$DE:$DE,0)+1,60))),0,IFERROR(INDEX(Material_Detail!$D:$DC,MATCH($A13,Material_Detail!$DE:$DE,0),60),0)),SUMIFS(T_Shipments[Confirmed_Qty],T_Shipments[Part Name],$A13,T_Shipments[Effective_Week],60))</f>
        <v/>
      </c>
      <c r="BJ13">
        <f>IF(COUNTIF(Material_Detail!$DE:$DE,$A13)&gt;0,IF(ISNUMBER(SEARCH("[済]",INDEX(Material_Detail!$D:$DC,MATCH($A13,Material_Detail!$DE:$DE,0)+1,61))),0,IFERROR(INDEX(Material_Detail!$D:$DC,MATCH($A13,Material_Detail!$DE:$DE,0),61),0)),SUMIFS(T_Shipments[Confirmed_Qty],T_Shipments[Part Name],$A13,T_Shipments[Effective_Week],61))</f>
        <v/>
      </c>
      <c r="BK13">
        <f>IF(COUNTIF(Material_Detail!$DE:$DE,$A13)&gt;0,IF(ISNUMBER(SEARCH("[済]",INDEX(Material_Detail!$D:$DC,MATCH($A13,Material_Detail!$DE:$DE,0)+1,62))),0,IFERROR(INDEX(Material_Detail!$D:$DC,MATCH($A13,Material_Detail!$DE:$DE,0),62),0)),SUMIFS(T_Shipments[Confirmed_Qty],T_Shipments[Part Name],$A13,T_Shipments[Effective_Week],62))</f>
        <v/>
      </c>
      <c r="BL13">
        <f>IF(COUNTIF(Material_Detail!$DE:$DE,$A13)&gt;0,IF(ISNUMBER(SEARCH("[済]",INDEX(Material_Detail!$D:$DC,MATCH($A13,Material_Detail!$DE:$DE,0)+1,63))),0,IFERROR(INDEX(Material_Detail!$D:$DC,MATCH($A13,Material_Detail!$DE:$DE,0),63),0)),SUMIFS(T_Shipments[Confirmed_Qty],T_Shipments[Part Name],$A13,T_Shipments[Effective_Week],63))</f>
        <v/>
      </c>
      <c r="BM13">
        <f>IF(COUNTIF(Material_Detail!$DE:$DE,$A13)&gt;0,IF(ISNUMBER(SEARCH("[済]",INDEX(Material_Detail!$D:$DC,MATCH($A13,Material_Detail!$DE:$DE,0)+1,64))),0,IFERROR(INDEX(Material_Detail!$D:$DC,MATCH($A13,Material_Detail!$DE:$DE,0),64),0)),SUMIFS(T_Shipments[Confirmed_Qty],T_Shipments[Part Name],$A13,T_Shipments[Effective_Week],64))</f>
        <v/>
      </c>
      <c r="BN13">
        <f>IF(COUNTIF(Material_Detail!$DE:$DE,$A13)&gt;0,IF(ISNUMBER(SEARCH("[済]",INDEX(Material_Detail!$D:$DC,MATCH($A13,Material_Detail!$DE:$DE,0)+1,65))),0,IFERROR(INDEX(Material_Detail!$D:$DC,MATCH($A13,Material_Detail!$DE:$DE,0),65),0)),SUMIFS(T_Shipments[Confirmed_Qty],T_Shipments[Part Name],$A13,T_Shipments[Effective_Week],65))</f>
        <v/>
      </c>
      <c r="BO13">
        <f>IF(COUNTIF(Material_Detail!$DE:$DE,$A13)&gt;0,IF(ISNUMBER(SEARCH("[済]",INDEX(Material_Detail!$D:$DC,MATCH($A13,Material_Detail!$DE:$DE,0)+1,66))),0,IFERROR(INDEX(Material_Detail!$D:$DC,MATCH($A13,Material_Detail!$DE:$DE,0),66),0)),SUMIFS(T_Shipments[Confirmed_Qty],T_Shipments[Part Name],$A13,T_Shipments[Effective_Week],66))</f>
        <v/>
      </c>
      <c r="BP13">
        <f>IF(COUNTIF(Material_Detail!$DE:$DE,$A13)&gt;0,IF(ISNUMBER(SEARCH("[済]",INDEX(Material_Detail!$D:$DC,MATCH($A13,Material_Detail!$DE:$DE,0)+1,67))),0,IFERROR(INDEX(Material_Detail!$D:$DC,MATCH($A13,Material_Detail!$DE:$DE,0),67),0)),SUMIFS(T_Shipments[Confirmed_Qty],T_Shipments[Part Name],$A13,T_Shipments[Effective_Week],67))</f>
        <v/>
      </c>
      <c r="BQ13">
        <f>IF(COUNTIF(Material_Detail!$DE:$DE,$A13)&gt;0,IF(ISNUMBER(SEARCH("[済]",INDEX(Material_Detail!$D:$DC,MATCH($A13,Material_Detail!$DE:$DE,0)+1,68))),0,IFERROR(INDEX(Material_Detail!$D:$DC,MATCH($A13,Material_Detail!$DE:$DE,0),68),0)),SUMIFS(T_Shipments[Confirmed_Qty],T_Shipments[Part Name],$A13,T_Shipments[Effective_Week],68))</f>
        <v/>
      </c>
      <c r="BR13">
        <f>IF(COUNTIF(Material_Detail!$DE:$DE,$A13)&gt;0,IF(ISNUMBER(SEARCH("[済]",INDEX(Material_Detail!$D:$DC,MATCH($A13,Material_Detail!$DE:$DE,0)+1,69))),0,IFERROR(INDEX(Material_Detail!$D:$DC,MATCH($A13,Material_Detail!$DE:$DE,0),69),0)),SUMIFS(T_Shipments[Confirmed_Qty],T_Shipments[Part Name],$A13,T_Shipments[Effective_Week],69))</f>
        <v/>
      </c>
      <c r="BS13">
        <f>IF(COUNTIF(Material_Detail!$DE:$DE,$A13)&gt;0,IF(ISNUMBER(SEARCH("[済]",INDEX(Material_Detail!$D:$DC,MATCH($A13,Material_Detail!$DE:$DE,0)+1,70))),0,IFERROR(INDEX(Material_Detail!$D:$DC,MATCH($A13,Material_Detail!$DE:$DE,0),70),0)),SUMIFS(T_Shipments[Confirmed_Qty],T_Shipments[Part Name],$A13,T_Shipments[Effective_Week],70))</f>
        <v/>
      </c>
      <c r="BT13">
        <f>IF(COUNTIF(Material_Detail!$DE:$DE,$A13)&gt;0,IF(ISNUMBER(SEARCH("[済]",INDEX(Material_Detail!$D:$DC,MATCH($A13,Material_Detail!$DE:$DE,0)+1,71))),0,IFERROR(INDEX(Material_Detail!$D:$DC,MATCH($A13,Material_Detail!$DE:$DE,0),71),0)),SUMIFS(T_Shipments[Confirmed_Qty],T_Shipments[Part Name],$A13,T_Shipments[Effective_Week],71))</f>
        <v/>
      </c>
      <c r="BU13">
        <f>IF(COUNTIF(Material_Detail!$DE:$DE,$A13)&gt;0,IF(ISNUMBER(SEARCH("[済]",INDEX(Material_Detail!$D:$DC,MATCH($A13,Material_Detail!$DE:$DE,0)+1,72))),0,IFERROR(INDEX(Material_Detail!$D:$DC,MATCH($A13,Material_Detail!$DE:$DE,0),72),0)),SUMIFS(T_Shipments[Confirmed_Qty],T_Shipments[Part Name],$A13,T_Shipments[Effective_Week],72))</f>
        <v/>
      </c>
      <c r="BV13">
        <f>IF(COUNTIF(Material_Detail!$DE:$DE,$A13)&gt;0,IF(ISNUMBER(SEARCH("[済]",INDEX(Material_Detail!$D:$DC,MATCH($A13,Material_Detail!$DE:$DE,0)+1,73))),0,IFERROR(INDEX(Material_Detail!$D:$DC,MATCH($A13,Material_Detail!$DE:$DE,0),73),0)),SUMIFS(T_Shipments[Confirmed_Qty],T_Shipments[Part Name],$A13,T_Shipments[Effective_Week],73))</f>
        <v/>
      </c>
      <c r="BW13">
        <f>IF(COUNTIF(Material_Detail!$DE:$DE,$A13)&gt;0,IF(ISNUMBER(SEARCH("[済]",INDEX(Material_Detail!$D:$DC,MATCH($A13,Material_Detail!$DE:$DE,0)+1,74))),0,IFERROR(INDEX(Material_Detail!$D:$DC,MATCH($A13,Material_Detail!$DE:$DE,0),74),0)),SUMIFS(T_Shipments[Confirmed_Qty],T_Shipments[Part Name],$A13,T_Shipments[Effective_Week],74))</f>
        <v/>
      </c>
      <c r="BX13">
        <f>IF(COUNTIF(Material_Detail!$DE:$DE,$A13)&gt;0,IF(ISNUMBER(SEARCH("[済]",INDEX(Material_Detail!$D:$DC,MATCH($A13,Material_Detail!$DE:$DE,0)+1,75))),0,IFERROR(INDEX(Material_Detail!$D:$DC,MATCH($A13,Material_Detail!$DE:$DE,0),75),0)),SUMIFS(T_Shipments[Confirmed_Qty],T_Shipments[Part Name],$A13,T_Shipments[Effective_Week],75))</f>
        <v/>
      </c>
      <c r="BY13">
        <f>IF(COUNTIF(Material_Detail!$DE:$DE,$A13)&gt;0,IF(ISNUMBER(SEARCH("[済]",INDEX(Material_Detail!$D:$DC,MATCH($A13,Material_Detail!$DE:$DE,0)+1,76))),0,IFERROR(INDEX(Material_Detail!$D:$DC,MATCH($A13,Material_Detail!$DE:$DE,0),76),0)),SUMIFS(T_Shipments[Confirmed_Qty],T_Shipments[Part Name],$A13,T_Shipments[Effective_Week],76))</f>
        <v/>
      </c>
      <c r="BZ13">
        <f>IF(COUNTIF(Material_Detail!$DE:$DE,$A13)&gt;0,IF(ISNUMBER(SEARCH("[済]",INDEX(Material_Detail!$D:$DC,MATCH($A13,Material_Detail!$DE:$DE,0)+1,77))),0,IFERROR(INDEX(Material_Detail!$D:$DC,MATCH($A13,Material_Detail!$DE:$DE,0),77),0)),SUMIFS(T_Shipments[Confirmed_Qty],T_Shipments[Part Name],$A13,T_Shipments[Effective_Week],77))</f>
        <v/>
      </c>
      <c r="CA13">
        <f>IF(COUNTIF(Material_Detail!$DE:$DE,$A13)&gt;0,IF(ISNUMBER(SEARCH("[済]",INDEX(Material_Detail!$D:$DC,MATCH($A13,Material_Detail!$DE:$DE,0)+1,78))),0,IFERROR(INDEX(Material_Detail!$D:$DC,MATCH($A13,Material_Detail!$DE:$DE,0),78),0)),SUMIFS(T_Shipments[Confirmed_Qty],T_Shipments[Part Name],$A13,T_Shipments[Effective_Week],78))</f>
        <v/>
      </c>
      <c r="CB13">
        <f>IF(COUNTIF(Material_Detail!$DE:$DE,$A13)&gt;0,IF(ISNUMBER(SEARCH("[済]",INDEX(Material_Detail!$D:$DC,MATCH($A13,Material_Detail!$DE:$DE,0)+1,79))),0,IFERROR(INDEX(Material_Detail!$D:$DC,MATCH($A13,Material_Detail!$DE:$DE,0),79),0)),SUMIFS(T_Shipments[Confirmed_Qty],T_Shipments[Part Name],$A13,T_Shipments[Effective_Week],79))</f>
        <v/>
      </c>
      <c r="CC13">
        <f>IF(COUNTIF(Material_Detail!$DE:$DE,$A13)&gt;0,IF(ISNUMBER(SEARCH("[済]",INDEX(Material_Detail!$D:$DC,MATCH($A13,Material_Detail!$DE:$DE,0)+1,80))),0,IFERROR(INDEX(Material_Detail!$D:$DC,MATCH($A13,Material_Detail!$DE:$DE,0),80),0)),SUMIFS(T_Shipments[Confirmed_Qty],T_Shipments[Part Name],$A13,T_Shipments[Effective_Week],80))</f>
        <v/>
      </c>
      <c r="CD13">
        <f>IF(COUNTIF(Material_Detail!$DE:$DE,$A13)&gt;0,IF(ISNUMBER(SEARCH("[済]",INDEX(Material_Detail!$D:$DC,MATCH($A13,Material_Detail!$DE:$DE,0)+1,81))),0,IFERROR(INDEX(Material_Detail!$D:$DC,MATCH($A13,Material_Detail!$DE:$DE,0),81),0)),SUMIFS(T_Shipments[Confirmed_Qty],T_Shipments[Part Name],$A13,T_Shipments[Effective_Week],81))</f>
        <v/>
      </c>
      <c r="CE13">
        <f>IF(COUNTIF(Material_Detail!$DE:$DE,$A13)&gt;0,IF(ISNUMBER(SEARCH("[済]",INDEX(Material_Detail!$D:$DC,MATCH($A13,Material_Detail!$DE:$DE,0)+1,82))),0,IFERROR(INDEX(Material_Detail!$D:$DC,MATCH($A13,Material_Detail!$DE:$DE,0),82),0)),SUMIFS(T_Shipments[Confirmed_Qty],T_Shipments[Part Name],$A13,T_Shipments[Effective_Week],82))</f>
        <v/>
      </c>
      <c r="CF13">
        <f>IF(COUNTIF(Material_Detail!$DE:$DE,$A13)&gt;0,IF(ISNUMBER(SEARCH("[済]",INDEX(Material_Detail!$D:$DC,MATCH($A13,Material_Detail!$DE:$DE,0)+1,83))),0,IFERROR(INDEX(Material_Detail!$D:$DC,MATCH($A13,Material_Detail!$DE:$DE,0),83),0)),SUMIFS(T_Shipments[Confirmed_Qty],T_Shipments[Part Name],$A13,T_Shipments[Effective_Week],83))</f>
        <v/>
      </c>
      <c r="CG13">
        <f>IF(COUNTIF(Material_Detail!$DE:$DE,$A13)&gt;0,IF(ISNUMBER(SEARCH("[済]",INDEX(Material_Detail!$D:$DC,MATCH($A13,Material_Detail!$DE:$DE,0)+1,84))),0,IFERROR(INDEX(Material_Detail!$D:$DC,MATCH($A13,Material_Detail!$DE:$DE,0),84),0)),SUMIFS(T_Shipments[Confirmed_Qty],T_Shipments[Part Name],$A13,T_Shipments[Effective_Week],84))</f>
        <v/>
      </c>
      <c r="CH13">
        <f>IF(COUNTIF(Material_Detail!$DE:$DE,$A13)&gt;0,IF(ISNUMBER(SEARCH("[済]",INDEX(Material_Detail!$D:$DC,MATCH($A13,Material_Detail!$DE:$DE,0)+1,85))),0,IFERROR(INDEX(Material_Detail!$D:$DC,MATCH($A13,Material_Detail!$DE:$DE,0),85),0)),SUMIFS(T_Shipments[Confirmed_Qty],T_Shipments[Part Name],$A13,T_Shipments[Effective_Week],85))</f>
        <v/>
      </c>
      <c r="CI13">
        <f>IF(COUNTIF(Material_Detail!$DE:$DE,$A13)&gt;0,IF(ISNUMBER(SEARCH("[済]",INDEX(Material_Detail!$D:$DC,MATCH($A13,Material_Detail!$DE:$DE,0)+1,86))),0,IFERROR(INDEX(Material_Detail!$D:$DC,MATCH($A13,Material_Detail!$DE:$DE,0),86),0)),SUMIFS(T_Shipments[Confirmed_Qty],T_Shipments[Part Name],$A13,T_Shipments[Effective_Week],86))</f>
        <v/>
      </c>
      <c r="CJ13">
        <f>IF(COUNTIF(Material_Detail!$DE:$DE,$A13)&gt;0,IF(ISNUMBER(SEARCH("[済]",INDEX(Material_Detail!$D:$DC,MATCH($A13,Material_Detail!$DE:$DE,0)+1,87))),0,IFERROR(INDEX(Material_Detail!$D:$DC,MATCH($A13,Material_Detail!$DE:$DE,0),87),0)),SUMIFS(T_Shipments[Confirmed_Qty],T_Shipments[Part Name],$A13,T_Shipments[Effective_Week],87))</f>
        <v/>
      </c>
      <c r="CK13">
        <f>IF(COUNTIF(Material_Detail!$DE:$DE,$A13)&gt;0,IF(ISNUMBER(SEARCH("[済]",INDEX(Material_Detail!$D:$DC,MATCH($A13,Material_Detail!$DE:$DE,0)+1,88))),0,IFERROR(INDEX(Material_Detail!$D:$DC,MATCH($A13,Material_Detail!$DE:$DE,0),88),0)),SUMIFS(T_Shipments[Confirmed_Qty],T_Shipments[Part Name],$A13,T_Shipments[Effective_Week],88))</f>
        <v/>
      </c>
      <c r="CL13">
        <f>IF(COUNTIF(Material_Detail!$DE:$DE,$A13)&gt;0,IF(ISNUMBER(SEARCH("[済]",INDEX(Material_Detail!$D:$DC,MATCH($A13,Material_Detail!$DE:$DE,0)+1,89))),0,IFERROR(INDEX(Material_Detail!$D:$DC,MATCH($A13,Material_Detail!$DE:$DE,0),89),0)),SUMIFS(T_Shipments[Confirmed_Qty],T_Shipments[Part Name],$A13,T_Shipments[Effective_Week],89))</f>
        <v/>
      </c>
      <c r="CM13">
        <f>IF(COUNTIF(Material_Detail!$DE:$DE,$A13)&gt;0,IF(ISNUMBER(SEARCH("[済]",INDEX(Material_Detail!$D:$DC,MATCH($A13,Material_Detail!$DE:$DE,0)+1,90))),0,IFERROR(INDEX(Material_Detail!$D:$DC,MATCH($A13,Material_Detail!$DE:$DE,0),90),0)),SUMIFS(T_Shipments[Confirmed_Qty],T_Shipments[Part Name],$A13,T_Shipments[Effective_Week],90))</f>
        <v/>
      </c>
      <c r="CN13">
        <f>IF(COUNTIF(Material_Detail!$DE:$DE,$A13)&gt;0,IF(ISNUMBER(SEARCH("[済]",INDEX(Material_Detail!$D:$DC,MATCH($A13,Material_Detail!$DE:$DE,0)+1,91))),0,IFERROR(INDEX(Material_Detail!$D:$DC,MATCH($A13,Material_Detail!$DE:$DE,0),91),0)),SUMIFS(T_Shipments[Confirmed_Qty],T_Shipments[Part Name],$A13,T_Shipments[Effective_Week],91))</f>
        <v/>
      </c>
      <c r="CO13">
        <f>IF(COUNTIF(Material_Detail!$DE:$DE,$A13)&gt;0,IF(ISNUMBER(SEARCH("[済]",INDEX(Material_Detail!$D:$DC,MATCH($A13,Material_Detail!$DE:$DE,0)+1,92))),0,IFERROR(INDEX(Material_Detail!$D:$DC,MATCH($A13,Material_Detail!$DE:$DE,0),92),0)),SUMIFS(T_Shipments[Confirmed_Qty],T_Shipments[Part Name],$A13,T_Shipments[Effective_Week],92))</f>
        <v/>
      </c>
      <c r="CP13">
        <f>IF(COUNTIF(Material_Detail!$DE:$DE,$A13)&gt;0,IF(ISNUMBER(SEARCH("[済]",INDEX(Material_Detail!$D:$DC,MATCH($A13,Material_Detail!$DE:$DE,0)+1,93))),0,IFERROR(INDEX(Material_Detail!$D:$DC,MATCH($A13,Material_Detail!$DE:$DE,0),93),0)),SUMIFS(T_Shipments[Confirmed_Qty],T_Shipments[Part Name],$A13,T_Shipments[Effective_Week],93))</f>
        <v/>
      </c>
      <c r="CQ13">
        <f>IF(COUNTIF(Material_Detail!$DE:$DE,$A13)&gt;0,IF(ISNUMBER(SEARCH("[済]",INDEX(Material_Detail!$D:$DC,MATCH($A13,Material_Detail!$DE:$DE,0)+1,94))),0,IFERROR(INDEX(Material_Detail!$D:$DC,MATCH($A13,Material_Detail!$DE:$DE,0),94),0)),SUMIFS(T_Shipments[Confirmed_Qty],T_Shipments[Part Name],$A13,T_Shipments[Effective_Week],94))</f>
        <v/>
      </c>
      <c r="CR13">
        <f>IF(COUNTIF(Material_Detail!$DE:$DE,$A13)&gt;0,IF(ISNUMBER(SEARCH("[済]",INDEX(Material_Detail!$D:$DC,MATCH($A13,Material_Detail!$DE:$DE,0)+1,95))),0,IFERROR(INDEX(Material_Detail!$D:$DC,MATCH($A13,Material_Detail!$DE:$DE,0),95),0)),SUMIFS(T_Shipments[Confirmed_Qty],T_Shipments[Part Name],$A13,T_Shipments[Effective_Week],95))</f>
        <v/>
      </c>
      <c r="CS13">
        <f>IF(COUNTIF(Material_Detail!$DE:$DE,$A13)&gt;0,IF(ISNUMBER(SEARCH("[済]",INDEX(Material_Detail!$D:$DC,MATCH($A13,Material_Detail!$DE:$DE,0)+1,96))),0,IFERROR(INDEX(Material_Detail!$D:$DC,MATCH($A13,Material_Detail!$DE:$DE,0),96),0)),SUMIFS(T_Shipments[Confirmed_Qty],T_Shipments[Part Name],$A13,T_Shipments[Effective_Week],96))</f>
        <v/>
      </c>
      <c r="CT13">
        <f>IF(COUNTIF(Material_Detail!$DE:$DE,$A13)&gt;0,IF(ISNUMBER(SEARCH("[済]",INDEX(Material_Detail!$D:$DC,MATCH($A13,Material_Detail!$DE:$DE,0)+1,97))),0,IFERROR(INDEX(Material_Detail!$D:$DC,MATCH($A13,Material_Detail!$DE:$DE,0),97),0)),SUMIFS(T_Shipments[Confirmed_Qty],T_Shipments[Part Name],$A13,T_Shipments[Effective_Week],97))</f>
        <v/>
      </c>
      <c r="CU13">
        <f>IF(COUNTIF(Material_Detail!$DE:$DE,$A13)&gt;0,IF(ISNUMBER(SEARCH("[済]",INDEX(Material_Detail!$D:$DC,MATCH($A13,Material_Detail!$DE:$DE,0)+1,98))),0,IFERROR(INDEX(Material_Detail!$D:$DC,MATCH($A13,Material_Detail!$DE:$DE,0),98),0)),SUMIFS(T_Shipments[Confirmed_Qty],T_Shipments[Part Name],$A13,T_Shipments[Effective_Week],98))</f>
        <v/>
      </c>
      <c r="CV13">
        <f>IF(COUNTIF(Material_Detail!$DE:$DE,$A13)&gt;0,IF(ISNUMBER(SEARCH("[済]",INDEX(Material_Detail!$D:$DC,MATCH($A13,Material_Detail!$DE:$DE,0)+1,99))),0,IFERROR(INDEX(Material_Detail!$D:$DC,MATCH($A13,Material_Detail!$DE:$DE,0),99),0)),SUMIFS(T_Shipments[Confirmed_Qty],T_Shipments[Part Name],$A13,T_Shipments[Effective_Week],99))</f>
        <v/>
      </c>
      <c r="CW13">
        <f>IF(COUNTIF(Material_Detail!$DE:$DE,$A13)&gt;0,IF(ISNUMBER(SEARCH("[済]",INDEX(Material_Detail!$D:$DC,MATCH($A13,Material_Detail!$DE:$DE,0)+1,100))),0,IFERROR(INDEX(Material_Detail!$D:$DC,MATCH($A13,Material_Detail!$DE:$DE,0),100),0)),SUMIFS(T_Shipments[Confirmed_Qty],T_Shipments[Part Name],$A13,T_Shipments[Effective_Week],100))</f>
        <v/>
      </c>
      <c r="CX13">
        <f>IF(COUNTIF(Material_Detail!$DE:$DE,$A13)&gt;0,IF(ISNUMBER(SEARCH("[済]",INDEX(Material_Detail!$D:$DC,MATCH($A13,Material_Detail!$DE:$DE,0)+1,101))),0,IFERROR(INDEX(Material_Detail!$D:$DC,MATCH($A13,Material_Detail!$DE:$DE,0),101),0)),SUMIFS(T_Shipments[Confirmed_Qty],T_Shipments[Part Name],$A13,T_Shipments[Effective_Week],101))</f>
        <v/>
      </c>
      <c r="CY13">
        <f>IF(COUNTIF(Material_Detail!$DE:$DE,$A13)&gt;0,IF(ISNUMBER(SEARCH("[済]",INDEX(Material_Detail!$D:$DC,MATCH($A13,Material_Detail!$DE:$DE,0)+1,102))),0,IFERROR(INDEX(Material_Detail!$D:$DC,MATCH($A13,Material_Detail!$DE:$DE,0),102),0)),SUMIFS(T_Shipments[Confirmed_Qty],T_Shipments[Part Name],$A13,T_Shipments[Effective_Week],102))</f>
        <v/>
      </c>
      <c r="CZ13">
        <f>IF(COUNTIF(Material_Detail!$DE:$DE,$A13)&gt;0,IF(ISNUMBER(SEARCH("[済]",INDEX(Material_Detail!$D:$DC,MATCH($A13,Material_Detail!$DE:$DE,0)+1,103))),0,IFERROR(INDEX(Material_Detail!$D:$DC,MATCH($A13,Material_Detail!$DE:$DE,0),103),0)),SUMIFS(T_Shipments[Confirmed_Qty],T_Shipments[Part Name],$A13,T_Shipments[Effective_Week],103))</f>
        <v/>
      </c>
      <c r="DA13">
        <f>IF(COUNTIF(Material_Detail!$DE:$DE,$A13)&gt;0,IF(ISNUMBER(SEARCH("[済]",INDEX(Material_Detail!$D:$DC,MATCH($A13,Material_Detail!$DE:$DE,0)+1,104))),0,IFERROR(INDEX(Material_Detail!$D:$DC,MATCH($A13,Material_Detail!$DE:$DE,0),104),0)),SUMIFS(T_Shipments[Confirmed_Qty],T_Shipments[Part Name],$A13,T_Shipments[Effective_Week],104))</f>
        <v/>
      </c>
    </row>
    <row r="14">
      <c r="A14" t="inlineStr">
        <is>
          <t>OLJ</t>
        </is>
      </c>
      <c r="B14">
        <f>IF(COUNTIF(Material_Detail!$DE:$DE,$A14)&gt;0,IF(ISNUMBER(SEARCH("[済]",INDEX(Material_Detail!$D:$DC,MATCH($A14,Material_Detail!$DE:$DE,0)+1,1))),0,IFERROR(INDEX(Material_Detail!$D:$DC,MATCH($A14,Material_Detail!$DE:$DE,0),1),0)),SUMIFS(T_Shipments[Confirmed_Qty],T_Shipments[Part Name],$A14,T_Shipments[Effective_Week],1))</f>
        <v/>
      </c>
      <c r="C14">
        <f>IF(COUNTIF(Material_Detail!$DE:$DE,$A14)&gt;0,IF(ISNUMBER(SEARCH("[済]",INDEX(Material_Detail!$D:$DC,MATCH($A14,Material_Detail!$DE:$DE,0)+1,2))),0,IFERROR(INDEX(Material_Detail!$D:$DC,MATCH($A14,Material_Detail!$DE:$DE,0),2),0)),SUMIFS(T_Shipments[Confirmed_Qty],T_Shipments[Part Name],$A14,T_Shipments[Effective_Week],2))</f>
        <v/>
      </c>
      <c r="D14">
        <f>IF(COUNTIF(Material_Detail!$DE:$DE,$A14)&gt;0,IF(ISNUMBER(SEARCH("[済]",INDEX(Material_Detail!$D:$DC,MATCH($A14,Material_Detail!$DE:$DE,0)+1,3))),0,IFERROR(INDEX(Material_Detail!$D:$DC,MATCH($A14,Material_Detail!$DE:$DE,0),3),0)),SUMIFS(T_Shipments[Confirmed_Qty],T_Shipments[Part Name],$A14,T_Shipments[Effective_Week],3))</f>
        <v/>
      </c>
      <c r="E14">
        <f>IF(COUNTIF(Material_Detail!$DE:$DE,$A14)&gt;0,IF(ISNUMBER(SEARCH("[済]",INDEX(Material_Detail!$D:$DC,MATCH($A14,Material_Detail!$DE:$DE,0)+1,4))),0,IFERROR(INDEX(Material_Detail!$D:$DC,MATCH($A14,Material_Detail!$DE:$DE,0),4),0)),SUMIFS(T_Shipments[Confirmed_Qty],T_Shipments[Part Name],$A14,T_Shipments[Effective_Week],4))</f>
        <v/>
      </c>
      <c r="F14">
        <f>IF(COUNTIF(Material_Detail!$DE:$DE,$A14)&gt;0,IF(ISNUMBER(SEARCH("[済]",INDEX(Material_Detail!$D:$DC,MATCH($A14,Material_Detail!$DE:$DE,0)+1,5))),0,IFERROR(INDEX(Material_Detail!$D:$DC,MATCH($A14,Material_Detail!$DE:$DE,0),5),0)),SUMIFS(T_Shipments[Confirmed_Qty],T_Shipments[Part Name],$A14,T_Shipments[Effective_Week],5))</f>
        <v/>
      </c>
      <c r="G14">
        <f>IF(COUNTIF(Material_Detail!$DE:$DE,$A14)&gt;0,IF(ISNUMBER(SEARCH("[済]",INDEX(Material_Detail!$D:$DC,MATCH($A14,Material_Detail!$DE:$DE,0)+1,6))),0,IFERROR(INDEX(Material_Detail!$D:$DC,MATCH($A14,Material_Detail!$DE:$DE,0),6),0)),SUMIFS(T_Shipments[Confirmed_Qty],T_Shipments[Part Name],$A14,T_Shipments[Effective_Week],6))</f>
        <v/>
      </c>
      <c r="H14">
        <f>IF(COUNTIF(Material_Detail!$DE:$DE,$A14)&gt;0,IF(ISNUMBER(SEARCH("[済]",INDEX(Material_Detail!$D:$DC,MATCH($A14,Material_Detail!$DE:$DE,0)+1,7))),0,IFERROR(INDEX(Material_Detail!$D:$DC,MATCH($A14,Material_Detail!$DE:$DE,0),7),0)),SUMIFS(T_Shipments[Confirmed_Qty],T_Shipments[Part Name],$A14,T_Shipments[Effective_Week],7))</f>
        <v/>
      </c>
      <c r="I14">
        <f>IF(COUNTIF(Material_Detail!$DE:$DE,$A14)&gt;0,IF(ISNUMBER(SEARCH("[済]",INDEX(Material_Detail!$D:$DC,MATCH($A14,Material_Detail!$DE:$DE,0)+1,8))),0,IFERROR(INDEX(Material_Detail!$D:$DC,MATCH($A14,Material_Detail!$DE:$DE,0),8),0)),SUMIFS(T_Shipments[Confirmed_Qty],T_Shipments[Part Name],$A14,T_Shipments[Effective_Week],8))</f>
        <v/>
      </c>
      <c r="J14">
        <f>IF(COUNTIF(Material_Detail!$DE:$DE,$A14)&gt;0,IF(ISNUMBER(SEARCH("[済]",INDEX(Material_Detail!$D:$DC,MATCH($A14,Material_Detail!$DE:$DE,0)+1,9))),0,IFERROR(INDEX(Material_Detail!$D:$DC,MATCH($A14,Material_Detail!$DE:$DE,0),9),0)),SUMIFS(T_Shipments[Confirmed_Qty],T_Shipments[Part Name],$A14,T_Shipments[Effective_Week],9))</f>
        <v/>
      </c>
      <c r="K14">
        <f>IF(COUNTIF(Material_Detail!$DE:$DE,$A14)&gt;0,IF(ISNUMBER(SEARCH("[済]",INDEX(Material_Detail!$D:$DC,MATCH($A14,Material_Detail!$DE:$DE,0)+1,10))),0,IFERROR(INDEX(Material_Detail!$D:$DC,MATCH($A14,Material_Detail!$DE:$DE,0),10),0)),SUMIFS(T_Shipments[Confirmed_Qty],T_Shipments[Part Name],$A14,T_Shipments[Effective_Week],10))</f>
        <v/>
      </c>
      <c r="L14">
        <f>IF(COUNTIF(Material_Detail!$DE:$DE,$A14)&gt;0,IF(ISNUMBER(SEARCH("[済]",INDEX(Material_Detail!$D:$DC,MATCH($A14,Material_Detail!$DE:$DE,0)+1,11))),0,IFERROR(INDEX(Material_Detail!$D:$DC,MATCH($A14,Material_Detail!$DE:$DE,0),11),0)),SUMIFS(T_Shipments[Confirmed_Qty],T_Shipments[Part Name],$A14,T_Shipments[Effective_Week],11))</f>
        <v/>
      </c>
      <c r="M14">
        <f>IF(COUNTIF(Material_Detail!$DE:$DE,$A14)&gt;0,IF(ISNUMBER(SEARCH("[済]",INDEX(Material_Detail!$D:$DC,MATCH($A14,Material_Detail!$DE:$DE,0)+1,12))),0,IFERROR(INDEX(Material_Detail!$D:$DC,MATCH($A14,Material_Detail!$DE:$DE,0),12),0)),SUMIFS(T_Shipments[Confirmed_Qty],T_Shipments[Part Name],$A14,T_Shipments[Effective_Week],12))</f>
        <v/>
      </c>
      <c r="N14">
        <f>IF(COUNTIF(Material_Detail!$DE:$DE,$A14)&gt;0,IF(ISNUMBER(SEARCH("[済]",INDEX(Material_Detail!$D:$DC,MATCH($A14,Material_Detail!$DE:$DE,0)+1,13))),0,IFERROR(INDEX(Material_Detail!$D:$DC,MATCH($A14,Material_Detail!$DE:$DE,0),13),0)),SUMIFS(T_Shipments[Confirmed_Qty],T_Shipments[Part Name],$A14,T_Shipments[Effective_Week],13))</f>
        <v/>
      </c>
      <c r="O14">
        <f>IF(COUNTIF(Material_Detail!$DE:$DE,$A14)&gt;0,IF(ISNUMBER(SEARCH("[済]",INDEX(Material_Detail!$D:$DC,MATCH($A14,Material_Detail!$DE:$DE,0)+1,14))),0,IFERROR(INDEX(Material_Detail!$D:$DC,MATCH($A14,Material_Detail!$DE:$DE,0),14),0)),SUMIFS(T_Shipments[Confirmed_Qty],T_Shipments[Part Name],$A14,T_Shipments[Effective_Week],14))</f>
        <v/>
      </c>
      <c r="P14">
        <f>IF(COUNTIF(Material_Detail!$DE:$DE,$A14)&gt;0,IF(ISNUMBER(SEARCH("[済]",INDEX(Material_Detail!$D:$DC,MATCH($A14,Material_Detail!$DE:$DE,0)+1,15))),0,IFERROR(INDEX(Material_Detail!$D:$DC,MATCH($A14,Material_Detail!$DE:$DE,0),15),0)),SUMIFS(T_Shipments[Confirmed_Qty],T_Shipments[Part Name],$A14,T_Shipments[Effective_Week],15))</f>
        <v/>
      </c>
      <c r="Q14">
        <f>IF(COUNTIF(Material_Detail!$DE:$DE,$A14)&gt;0,IF(ISNUMBER(SEARCH("[済]",INDEX(Material_Detail!$D:$DC,MATCH($A14,Material_Detail!$DE:$DE,0)+1,16))),0,IFERROR(INDEX(Material_Detail!$D:$DC,MATCH($A14,Material_Detail!$DE:$DE,0),16),0)),SUMIFS(T_Shipments[Confirmed_Qty],T_Shipments[Part Name],$A14,T_Shipments[Effective_Week],16))</f>
        <v/>
      </c>
      <c r="R14">
        <f>IF(COUNTIF(Material_Detail!$DE:$DE,$A14)&gt;0,IF(ISNUMBER(SEARCH("[済]",INDEX(Material_Detail!$D:$DC,MATCH($A14,Material_Detail!$DE:$DE,0)+1,17))),0,IFERROR(INDEX(Material_Detail!$D:$DC,MATCH($A14,Material_Detail!$DE:$DE,0),17),0)),SUMIFS(T_Shipments[Confirmed_Qty],T_Shipments[Part Name],$A14,T_Shipments[Effective_Week],17))</f>
        <v/>
      </c>
      <c r="S14">
        <f>IF(COUNTIF(Material_Detail!$DE:$DE,$A14)&gt;0,IF(ISNUMBER(SEARCH("[済]",INDEX(Material_Detail!$D:$DC,MATCH($A14,Material_Detail!$DE:$DE,0)+1,18))),0,IFERROR(INDEX(Material_Detail!$D:$DC,MATCH($A14,Material_Detail!$DE:$DE,0),18),0)),SUMIFS(T_Shipments[Confirmed_Qty],T_Shipments[Part Name],$A14,T_Shipments[Effective_Week],18))</f>
        <v/>
      </c>
      <c r="T14">
        <f>IF(COUNTIF(Material_Detail!$DE:$DE,$A14)&gt;0,IF(ISNUMBER(SEARCH("[済]",INDEX(Material_Detail!$D:$DC,MATCH($A14,Material_Detail!$DE:$DE,0)+1,19))),0,IFERROR(INDEX(Material_Detail!$D:$DC,MATCH($A14,Material_Detail!$DE:$DE,0),19),0)),SUMIFS(T_Shipments[Confirmed_Qty],T_Shipments[Part Name],$A14,T_Shipments[Effective_Week],19))</f>
        <v/>
      </c>
      <c r="U14">
        <f>IF(COUNTIF(Material_Detail!$DE:$DE,$A14)&gt;0,IF(ISNUMBER(SEARCH("[済]",INDEX(Material_Detail!$D:$DC,MATCH($A14,Material_Detail!$DE:$DE,0)+1,20))),0,IFERROR(INDEX(Material_Detail!$D:$DC,MATCH($A14,Material_Detail!$DE:$DE,0),20),0)),SUMIFS(T_Shipments[Confirmed_Qty],T_Shipments[Part Name],$A14,T_Shipments[Effective_Week],20))</f>
        <v/>
      </c>
      <c r="V14">
        <f>IF(COUNTIF(Material_Detail!$DE:$DE,$A14)&gt;0,IF(ISNUMBER(SEARCH("[済]",INDEX(Material_Detail!$D:$DC,MATCH($A14,Material_Detail!$DE:$DE,0)+1,21))),0,IFERROR(INDEX(Material_Detail!$D:$DC,MATCH($A14,Material_Detail!$DE:$DE,0),21),0)),SUMIFS(T_Shipments[Confirmed_Qty],T_Shipments[Part Name],$A14,T_Shipments[Effective_Week],21))</f>
        <v/>
      </c>
      <c r="W14">
        <f>IF(COUNTIF(Material_Detail!$DE:$DE,$A14)&gt;0,IF(ISNUMBER(SEARCH("[済]",INDEX(Material_Detail!$D:$DC,MATCH($A14,Material_Detail!$DE:$DE,0)+1,22))),0,IFERROR(INDEX(Material_Detail!$D:$DC,MATCH($A14,Material_Detail!$DE:$DE,0),22),0)),SUMIFS(T_Shipments[Confirmed_Qty],T_Shipments[Part Name],$A14,T_Shipments[Effective_Week],22))</f>
        <v/>
      </c>
      <c r="X14">
        <f>IF(COUNTIF(Material_Detail!$DE:$DE,$A14)&gt;0,IF(ISNUMBER(SEARCH("[済]",INDEX(Material_Detail!$D:$DC,MATCH($A14,Material_Detail!$DE:$DE,0)+1,23))),0,IFERROR(INDEX(Material_Detail!$D:$DC,MATCH($A14,Material_Detail!$DE:$DE,0),23),0)),SUMIFS(T_Shipments[Confirmed_Qty],T_Shipments[Part Name],$A14,T_Shipments[Effective_Week],23))</f>
        <v/>
      </c>
      <c r="Y14">
        <f>IF(COUNTIF(Material_Detail!$DE:$DE,$A14)&gt;0,IF(ISNUMBER(SEARCH("[済]",INDEX(Material_Detail!$D:$DC,MATCH($A14,Material_Detail!$DE:$DE,0)+1,24))),0,IFERROR(INDEX(Material_Detail!$D:$DC,MATCH($A14,Material_Detail!$DE:$DE,0),24),0)),SUMIFS(T_Shipments[Confirmed_Qty],T_Shipments[Part Name],$A14,T_Shipments[Effective_Week],24))</f>
        <v/>
      </c>
      <c r="Z14">
        <f>IF(COUNTIF(Material_Detail!$DE:$DE,$A14)&gt;0,IF(ISNUMBER(SEARCH("[済]",INDEX(Material_Detail!$D:$DC,MATCH($A14,Material_Detail!$DE:$DE,0)+1,25))),0,IFERROR(INDEX(Material_Detail!$D:$DC,MATCH($A14,Material_Detail!$DE:$DE,0),25),0)),SUMIFS(T_Shipments[Confirmed_Qty],T_Shipments[Part Name],$A14,T_Shipments[Effective_Week],25))</f>
        <v/>
      </c>
      <c r="AA14">
        <f>IF(COUNTIF(Material_Detail!$DE:$DE,$A14)&gt;0,IF(ISNUMBER(SEARCH("[済]",INDEX(Material_Detail!$D:$DC,MATCH($A14,Material_Detail!$DE:$DE,0)+1,26))),0,IFERROR(INDEX(Material_Detail!$D:$DC,MATCH($A14,Material_Detail!$DE:$DE,0),26),0)),SUMIFS(T_Shipments[Confirmed_Qty],T_Shipments[Part Name],$A14,T_Shipments[Effective_Week],26))</f>
        <v/>
      </c>
      <c r="AB14">
        <f>IF(COUNTIF(Material_Detail!$DE:$DE,$A14)&gt;0,IF(ISNUMBER(SEARCH("[済]",INDEX(Material_Detail!$D:$DC,MATCH($A14,Material_Detail!$DE:$DE,0)+1,27))),0,IFERROR(INDEX(Material_Detail!$D:$DC,MATCH($A14,Material_Detail!$DE:$DE,0),27),0)),SUMIFS(T_Shipments[Confirmed_Qty],T_Shipments[Part Name],$A14,T_Shipments[Effective_Week],27))</f>
        <v/>
      </c>
      <c r="AC14">
        <f>IF(COUNTIF(Material_Detail!$DE:$DE,$A14)&gt;0,IF(ISNUMBER(SEARCH("[済]",INDEX(Material_Detail!$D:$DC,MATCH($A14,Material_Detail!$DE:$DE,0)+1,28))),0,IFERROR(INDEX(Material_Detail!$D:$DC,MATCH($A14,Material_Detail!$DE:$DE,0),28),0)),SUMIFS(T_Shipments[Confirmed_Qty],T_Shipments[Part Name],$A14,T_Shipments[Effective_Week],28))</f>
        <v/>
      </c>
      <c r="AD14">
        <f>IF(COUNTIF(Material_Detail!$DE:$DE,$A14)&gt;0,IF(ISNUMBER(SEARCH("[済]",INDEX(Material_Detail!$D:$DC,MATCH($A14,Material_Detail!$DE:$DE,0)+1,29))),0,IFERROR(INDEX(Material_Detail!$D:$DC,MATCH($A14,Material_Detail!$DE:$DE,0),29),0)),SUMIFS(T_Shipments[Confirmed_Qty],T_Shipments[Part Name],$A14,T_Shipments[Effective_Week],29))</f>
        <v/>
      </c>
      <c r="AE14">
        <f>IF(COUNTIF(Material_Detail!$DE:$DE,$A14)&gt;0,IF(ISNUMBER(SEARCH("[済]",INDEX(Material_Detail!$D:$DC,MATCH($A14,Material_Detail!$DE:$DE,0)+1,30))),0,IFERROR(INDEX(Material_Detail!$D:$DC,MATCH($A14,Material_Detail!$DE:$DE,0),30),0)),SUMIFS(T_Shipments[Confirmed_Qty],T_Shipments[Part Name],$A14,T_Shipments[Effective_Week],30))</f>
        <v/>
      </c>
      <c r="AF14">
        <f>IF(COUNTIF(Material_Detail!$DE:$DE,$A14)&gt;0,IF(ISNUMBER(SEARCH("[済]",INDEX(Material_Detail!$D:$DC,MATCH($A14,Material_Detail!$DE:$DE,0)+1,31))),0,IFERROR(INDEX(Material_Detail!$D:$DC,MATCH($A14,Material_Detail!$DE:$DE,0),31),0)),SUMIFS(T_Shipments[Confirmed_Qty],T_Shipments[Part Name],$A14,T_Shipments[Effective_Week],31))</f>
        <v/>
      </c>
      <c r="AG14">
        <f>IF(COUNTIF(Material_Detail!$DE:$DE,$A14)&gt;0,IF(ISNUMBER(SEARCH("[済]",INDEX(Material_Detail!$D:$DC,MATCH($A14,Material_Detail!$DE:$DE,0)+1,32))),0,IFERROR(INDEX(Material_Detail!$D:$DC,MATCH($A14,Material_Detail!$DE:$DE,0),32),0)),SUMIFS(T_Shipments[Confirmed_Qty],T_Shipments[Part Name],$A14,T_Shipments[Effective_Week],32))</f>
        <v/>
      </c>
      <c r="AH14">
        <f>IF(COUNTIF(Material_Detail!$DE:$DE,$A14)&gt;0,IF(ISNUMBER(SEARCH("[済]",INDEX(Material_Detail!$D:$DC,MATCH($A14,Material_Detail!$DE:$DE,0)+1,33))),0,IFERROR(INDEX(Material_Detail!$D:$DC,MATCH($A14,Material_Detail!$DE:$DE,0),33),0)),SUMIFS(T_Shipments[Confirmed_Qty],T_Shipments[Part Name],$A14,T_Shipments[Effective_Week],33))</f>
        <v/>
      </c>
      <c r="AI14">
        <f>IF(COUNTIF(Material_Detail!$DE:$DE,$A14)&gt;0,IF(ISNUMBER(SEARCH("[済]",INDEX(Material_Detail!$D:$DC,MATCH($A14,Material_Detail!$DE:$DE,0)+1,34))),0,IFERROR(INDEX(Material_Detail!$D:$DC,MATCH($A14,Material_Detail!$DE:$DE,0),34),0)),SUMIFS(T_Shipments[Confirmed_Qty],T_Shipments[Part Name],$A14,T_Shipments[Effective_Week],34))</f>
        <v/>
      </c>
      <c r="AJ14">
        <f>IF(COUNTIF(Material_Detail!$DE:$DE,$A14)&gt;0,IF(ISNUMBER(SEARCH("[済]",INDEX(Material_Detail!$D:$DC,MATCH($A14,Material_Detail!$DE:$DE,0)+1,35))),0,IFERROR(INDEX(Material_Detail!$D:$DC,MATCH($A14,Material_Detail!$DE:$DE,0),35),0)),SUMIFS(T_Shipments[Confirmed_Qty],T_Shipments[Part Name],$A14,T_Shipments[Effective_Week],35))</f>
        <v/>
      </c>
      <c r="AK14">
        <f>IF(COUNTIF(Material_Detail!$DE:$DE,$A14)&gt;0,IF(ISNUMBER(SEARCH("[済]",INDEX(Material_Detail!$D:$DC,MATCH($A14,Material_Detail!$DE:$DE,0)+1,36))),0,IFERROR(INDEX(Material_Detail!$D:$DC,MATCH($A14,Material_Detail!$DE:$DE,0),36),0)),SUMIFS(T_Shipments[Confirmed_Qty],T_Shipments[Part Name],$A14,T_Shipments[Effective_Week],36))</f>
        <v/>
      </c>
      <c r="AL14">
        <f>IF(COUNTIF(Material_Detail!$DE:$DE,$A14)&gt;0,IF(ISNUMBER(SEARCH("[済]",INDEX(Material_Detail!$D:$DC,MATCH($A14,Material_Detail!$DE:$DE,0)+1,37))),0,IFERROR(INDEX(Material_Detail!$D:$DC,MATCH($A14,Material_Detail!$DE:$DE,0),37),0)),SUMIFS(T_Shipments[Confirmed_Qty],T_Shipments[Part Name],$A14,T_Shipments[Effective_Week],37))</f>
        <v/>
      </c>
      <c r="AM14">
        <f>IF(COUNTIF(Material_Detail!$DE:$DE,$A14)&gt;0,IF(ISNUMBER(SEARCH("[済]",INDEX(Material_Detail!$D:$DC,MATCH($A14,Material_Detail!$DE:$DE,0)+1,38))),0,IFERROR(INDEX(Material_Detail!$D:$DC,MATCH($A14,Material_Detail!$DE:$DE,0),38),0)),SUMIFS(T_Shipments[Confirmed_Qty],T_Shipments[Part Name],$A14,T_Shipments[Effective_Week],38))</f>
        <v/>
      </c>
      <c r="AN14">
        <f>IF(COUNTIF(Material_Detail!$DE:$DE,$A14)&gt;0,IF(ISNUMBER(SEARCH("[済]",INDEX(Material_Detail!$D:$DC,MATCH($A14,Material_Detail!$DE:$DE,0)+1,39))),0,IFERROR(INDEX(Material_Detail!$D:$DC,MATCH($A14,Material_Detail!$DE:$DE,0),39),0)),SUMIFS(T_Shipments[Confirmed_Qty],T_Shipments[Part Name],$A14,T_Shipments[Effective_Week],39))</f>
        <v/>
      </c>
      <c r="AO14">
        <f>IF(COUNTIF(Material_Detail!$DE:$DE,$A14)&gt;0,IF(ISNUMBER(SEARCH("[済]",INDEX(Material_Detail!$D:$DC,MATCH($A14,Material_Detail!$DE:$DE,0)+1,40))),0,IFERROR(INDEX(Material_Detail!$D:$DC,MATCH($A14,Material_Detail!$DE:$DE,0),40),0)),SUMIFS(T_Shipments[Confirmed_Qty],T_Shipments[Part Name],$A14,T_Shipments[Effective_Week],40))</f>
        <v/>
      </c>
      <c r="AP14">
        <f>IF(COUNTIF(Material_Detail!$DE:$DE,$A14)&gt;0,IF(ISNUMBER(SEARCH("[済]",INDEX(Material_Detail!$D:$DC,MATCH($A14,Material_Detail!$DE:$DE,0)+1,41))),0,IFERROR(INDEX(Material_Detail!$D:$DC,MATCH($A14,Material_Detail!$DE:$DE,0),41),0)),SUMIFS(T_Shipments[Confirmed_Qty],T_Shipments[Part Name],$A14,T_Shipments[Effective_Week],41))</f>
        <v/>
      </c>
      <c r="AQ14">
        <f>IF(COUNTIF(Material_Detail!$DE:$DE,$A14)&gt;0,IF(ISNUMBER(SEARCH("[済]",INDEX(Material_Detail!$D:$DC,MATCH($A14,Material_Detail!$DE:$DE,0)+1,42))),0,IFERROR(INDEX(Material_Detail!$D:$DC,MATCH($A14,Material_Detail!$DE:$DE,0),42),0)),SUMIFS(T_Shipments[Confirmed_Qty],T_Shipments[Part Name],$A14,T_Shipments[Effective_Week],42))</f>
        <v/>
      </c>
      <c r="AR14">
        <f>IF(COUNTIF(Material_Detail!$DE:$DE,$A14)&gt;0,IF(ISNUMBER(SEARCH("[済]",INDEX(Material_Detail!$D:$DC,MATCH($A14,Material_Detail!$DE:$DE,0)+1,43))),0,IFERROR(INDEX(Material_Detail!$D:$DC,MATCH($A14,Material_Detail!$DE:$DE,0),43),0)),SUMIFS(T_Shipments[Confirmed_Qty],T_Shipments[Part Name],$A14,T_Shipments[Effective_Week],43))</f>
        <v/>
      </c>
      <c r="AS14">
        <f>IF(COUNTIF(Material_Detail!$DE:$DE,$A14)&gt;0,IF(ISNUMBER(SEARCH("[済]",INDEX(Material_Detail!$D:$DC,MATCH($A14,Material_Detail!$DE:$DE,0)+1,44))),0,IFERROR(INDEX(Material_Detail!$D:$DC,MATCH($A14,Material_Detail!$DE:$DE,0),44),0)),SUMIFS(T_Shipments[Confirmed_Qty],T_Shipments[Part Name],$A14,T_Shipments[Effective_Week],44))</f>
        <v/>
      </c>
      <c r="AT14">
        <f>IF(COUNTIF(Material_Detail!$DE:$DE,$A14)&gt;0,IF(ISNUMBER(SEARCH("[済]",INDEX(Material_Detail!$D:$DC,MATCH($A14,Material_Detail!$DE:$DE,0)+1,45))),0,IFERROR(INDEX(Material_Detail!$D:$DC,MATCH($A14,Material_Detail!$DE:$DE,0),45),0)),SUMIFS(T_Shipments[Confirmed_Qty],T_Shipments[Part Name],$A14,T_Shipments[Effective_Week],45))</f>
        <v/>
      </c>
      <c r="AU14">
        <f>IF(COUNTIF(Material_Detail!$DE:$DE,$A14)&gt;0,IF(ISNUMBER(SEARCH("[済]",INDEX(Material_Detail!$D:$DC,MATCH($A14,Material_Detail!$DE:$DE,0)+1,46))),0,IFERROR(INDEX(Material_Detail!$D:$DC,MATCH($A14,Material_Detail!$DE:$DE,0),46),0)),SUMIFS(T_Shipments[Confirmed_Qty],T_Shipments[Part Name],$A14,T_Shipments[Effective_Week],46))</f>
        <v/>
      </c>
      <c r="AV14">
        <f>IF(COUNTIF(Material_Detail!$DE:$DE,$A14)&gt;0,IF(ISNUMBER(SEARCH("[済]",INDEX(Material_Detail!$D:$DC,MATCH($A14,Material_Detail!$DE:$DE,0)+1,47))),0,IFERROR(INDEX(Material_Detail!$D:$DC,MATCH($A14,Material_Detail!$DE:$DE,0),47),0)),SUMIFS(T_Shipments[Confirmed_Qty],T_Shipments[Part Name],$A14,T_Shipments[Effective_Week],47))</f>
        <v/>
      </c>
      <c r="AW14">
        <f>IF(COUNTIF(Material_Detail!$DE:$DE,$A14)&gt;0,IF(ISNUMBER(SEARCH("[済]",INDEX(Material_Detail!$D:$DC,MATCH($A14,Material_Detail!$DE:$DE,0)+1,48))),0,IFERROR(INDEX(Material_Detail!$D:$DC,MATCH($A14,Material_Detail!$DE:$DE,0),48),0)),SUMIFS(T_Shipments[Confirmed_Qty],T_Shipments[Part Name],$A14,T_Shipments[Effective_Week],48))</f>
        <v/>
      </c>
      <c r="AX14">
        <f>IF(COUNTIF(Material_Detail!$DE:$DE,$A14)&gt;0,IF(ISNUMBER(SEARCH("[済]",INDEX(Material_Detail!$D:$DC,MATCH($A14,Material_Detail!$DE:$DE,0)+1,49))),0,IFERROR(INDEX(Material_Detail!$D:$DC,MATCH($A14,Material_Detail!$DE:$DE,0),49),0)),SUMIFS(T_Shipments[Confirmed_Qty],T_Shipments[Part Name],$A14,T_Shipments[Effective_Week],49))</f>
        <v/>
      </c>
      <c r="AY14">
        <f>IF(COUNTIF(Material_Detail!$DE:$DE,$A14)&gt;0,IF(ISNUMBER(SEARCH("[済]",INDEX(Material_Detail!$D:$DC,MATCH($A14,Material_Detail!$DE:$DE,0)+1,50))),0,IFERROR(INDEX(Material_Detail!$D:$DC,MATCH($A14,Material_Detail!$DE:$DE,0),50),0)),SUMIFS(T_Shipments[Confirmed_Qty],T_Shipments[Part Name],$A14,T_Shipments[Effective_Week],50))</f>
        <v/>
      </c>
      <c r="AZ14">
        <f>IF(COUNTIF(Material_Detail!$DE:$DE,$A14)&gt;0,IF(ISNUMBER(SEARCH("[済]",INDEX(Material_Detail!$D:$DC,MATCH($A14,Material_Detail!$DE:$DE,0)+1,51))),0,IFERROR(INDEX(Material_Detail!$D:$DC,MATCH($A14,Material_Detail!$DE:$DE,0),51),0)),SUMIFS(T_Shipments[Confirmed_Qty],T_Shipments[Part Name],$A14,T_Shipments[Effective_Week],51))</f>
        <v/>
      </c>
      <c r="BA14">
        <f>IF(COUNTIF(Material_Detail!$DE:$DE,$A14)&gt;0,IF(ISNUMBER(SEARCH("[済]",INDEX(Material_Detail!$D:$DC,MATCH($A14,Material_Detail!$DE:$DE,0)+1,52))),0,IFERROR(INDEX(Material_Detail!$D:$DC,MATCH($A14,Material_Detail!$DE:$DE,0),52),0)),SUMIFS(T_Shipments[Confirmed_Qty],T_Shipments[Part Name],$A14,T_Shipments[Effective_Week],52))</f>
        <v/>
      </c>
      <c r="BB14">
        <f>IF(COUNTIF(Material_Detail!$DE:$DE,$A14)&gt;0,IF(ISNUMBER(SEARCH("[済]",INDEX(Material_Detail!$D:$DC,MATCH($A14,Material_Detail!$DE:$DE,0)+1,53))),0,IFERROR(INDEX(Material_Detail!$D:$DC,MATCH($A14,Material_Detail!$DE:$DE,0),53),0)),SUMIFS(T_Shipments[Confirmed_Qty],T_Shipments[Part Name],$A14,T_Shipments[Effective_Week],53))</f>
        <v/>
      </c>
      <c r="BC14">
        <f>IF(COUNTIF(Material_Detail!$DE:$DE,$A14)&gt;0,IF(ISNUMBER(SEARCH("[済]",INDEX(Material_Detail!$D:$DC,MATCH($A14,Material_Detail!$DE:$DE,0)+1,54))),0,IFERROR(INDEX(Material_Detail!$D:$DC,MATCH($A14,Material_Detail!$DE:$DE,0),54),0)),SUMIFS(T_Shipments[Confirmed_Qty],T_Shipments[Part Name],$A14,T_Shipments[Effective_Week],54))</f>
        <v/>
      </c>
      <c r="BD14">
        <f>IF(COUNTIF(Material_Detail!$DE:$DE,$A14)&gt;0,IF(ISNUMBER(SEARCH("[済]",INDEX(Material_Detail!$D:$DC,MATCH($A14,Material_Detail!$DE:$DE,0)+1,55))),0,IFERROR(INDEX(Material_Detail!$D:$DC,MATCH($A14,Material_Detail!$DE:$DE,0),55),0)),SUMIFS(T_Shipments[Confirmed_Qty],T_Shipments[Part Name],$A14,T_Shipments[Effective_Week],55))</f>
        <v/>
      </c>
      <c r="BE14">
        <f>IF(COUNTIF(Material_Detail!$DE:$DE,$A14)&gt;0,IF(ISNUMBER(SEARCH("[済]",INDEX(Material_Detail!$D:$DC,MATCH($A14,Material_Detail!$DE:$DE,0)+1,56))),0,IFERROR(INDEX(Material_Detail!$D:$DC,MATCH($A14,Material_Detail!$DE:$DE,0),56),0)),SUMIFS(T_Shipments[Confirmed_Qty],T_Shipments[Part Name],$A14,T_Shipments[Effective_Week],56))</f>
        <v/>
      </c>
      <c r="BF14">
        <f>IF(COUNTIF(Material_Detail!$DE:$DE,$A14)&gt;0,IF(ISNUMBER(SEARCH("[済]",INDEX(Material_Detail!$D:$DC,MATCH($A14,Material_Detail!$DE:$DE,0)+1,57))),0,IFERROR(INDEX(Material_Detail!$D:$DC,MATCH($A14,Material_Detail!$DE:$DE,0),57),0)),SUMIFS(T_Shipments[Confirmed_Qty],T_Shipments[Part Name],$A14,T_Shipments[Effective_Week],57))</f>
        <v/>
      </c>
      <c r="BG14">
        <f>IF(COUNTIF(Material_Detail!$DE:$DE,$A14)&gt;0,IF(ISNUMBER(SEARCH("[済]",INDEX(Material_Detail!$D:$DC,MATCH($A14,Material_Detail!$DE:$DE,0)+1,58))),0,IFERROR(INDEX(Material_Detail!$D:$DC,MATCH($A14,Material_Detail!$DE:$DE,0),58),0)),SUMIFS(T_Shipments[Confirmed_Qty],T_Shipments[Part Name],$A14,T_Shipments[Effective_Week],58))</f>
        <v/>
      </c>
      <c r="BH14">
        <f>IF(COUNTIF(Material_Detail!$DE:$DE,$A14)&gt;0,IF(ISNUMBER(SEARCH("[済]",INDEX(Material_Detail!$D:$DC,MATCH($A14,Material_Detail!$DE:$DE,0)+1,59))),0,IFERROR(INDEX(Material_Detail!$D:$DC,MATCH($A14,Material_Detail!$DE:$DE,0),59),0)),SUMIFS(T_Shipments[Confirmed_Qty],T_Shipments[Part Name],$A14,T_Shipments[Effective_Week],59))</f>
        <v/>
      </c>
      <c r="BI14">
        <f>IF(COUNTIF(Material_Detail!$DE:$DE,$A14)&gt;0,IF(ISNUMBER(SEARCH("[済]",INDEX(Material_Detail!$D:$DC,MATCH($A14,Material_Detail!$DE:$DE,0)+1,60))),0,IFERROR(INDEX(Material_Detail!$D:$DC,MATCH($A14,Material_Detail!$DE:$DE,0),60),0)),SUMIFS(T_Shipments[Confirmed_Qty],T_Shipments[Part Name],$A14,T_Shipments[Effective_Week],60))</f>
        <v/>
      </c>
      <c r="BJ14">
        <f>IF(COUNTIF(Material_Detail!$DE:$DE,$A14)&gt;0,IF(ISNUMBER(SEARCH("[済]",INDEX(Material_Detail!$D:$DC,MATCH($A14,Material_Detail!$DE:$DE,0)+1,61))),0,IFERROR(INDEX(Material_Detail!$D:$DC,MATCH($A14,Material_Detail!$DE:$DE,0),61),0)),SUMIFS(T_Shipments[Confirmed_Qty],T_Shipments[Part Name],$A14,T_Shipments[Effective_Week],61))</f>
        <v/>
      </c>
      <c r="BK14">
        <f>IF(COUNTIF(Material_Detail!$DE:$DE,$A14)&gt;0,IF(ISNUMBER(SEARCH("[済]",INDEX(Material_Detail!$D:$DC,MATCH($A14,Material_Detail!$DE:$DE,0)+1,62))),0,IFERROR(INDEX(Material_Detail!$D:$DC,MATCH($A14,Material_Detail!$DE:$DE,0),62),0)),SUMIFS(T_Shipments[Confirmed_Qty],T_Shipments[Part Name],$A14,T_Shipments[Effective_Week],62))</f>
        <v/>
      </c>
      <c r="BL14">
        <f>IF(COUNTIF(Material_Detail!$DE:$DE,$A14)&gt;0,IF(ISNUMBER(SEARCH("[済]",INDEX(Material_Detail!$D:$DC,MATCH($A14,Material_Detail!$DE:$DE,0)+1,63))),0,IFERROR(INDEX(Material_Detail!$D:$DC,MATCH($A14,Material_Detail!$DE:$DE,0),63),0)),SUMIFS(T_Shipments[Confirmed_Qty],T_Shipments[Part Name],$A14,T_Shipments[Effective_Week],63))</f>
        <v/>
      </c>
      <c r="BM14">
        <f>IF(COUNTIF(Material_Detail!$DE:$DE,$A14)&gt;0,IF(ISNUMBER(SEARCH("[済]",INDEX(Material_Detail!$D:$DC,MATCH($A14,Material_Detail!$DE:$DE,0)+1,64))),0,IFERROR(INDEX(Material_Detail!$D:$DC,MATCH($A14,Material_Detail!$DE:$DE,0),64),0)),SUMIFS(T_Shipments[Confirmed_Qty],T_Shipments[Part Name],$A14,T_Shipments[Effective_Week],64))</f>
        <v/>
      </c>
      <c r="BN14">
        <f>IF(COUNTIF(Material_Detail!$DE:$DE,$A14)&gt;0,IF(ISNUMBER(SEARCH("[済]",INDEX(Material_Detail!$D:$DC,MATCH($A14,Material_Detail!$DE:$DE,0)+1,65))),0,IFERROR(INDEX(Material_Detail!$D:$DC,MATCH($A14,Material_Detail!$DE:$DE,0),65),0)),SUMIFS(T_Shipments[Confirmed_Qty],T_Shipments[Part Name],$A14,T_Shipments[Effective_Week],65))</f>
        <v/>
      </c>
      <c r="BO14">
        <f>IF(COUNTIF(Material_Detail!$DE:$DE,$A14)&gt;0,IF(ISNUMBER(SEARCH("[済]",INDEX(Material_Detail!$D:$DC,MATCH($A14,Material_Detail!$DE:$DE,0)+1,66))),0,IFERROR(INDEX(Material_Detail!$D:$DC,MATCH($A14,Material_Detail!$DE:$DE,0),66),0)),SUMIFS(T_Shipments[Confirmed_Qty],T_Shipments[Part Name],$A14,T_Shipments[Effective_Week],66))</f>
        <v/>
      </c>
      <c r="BP14">
        <f>IF(COUNTIF(Material_Detail!$DE:$DE,$A14)&gt;0,IF(ISNUMBER(SEARCH("[済]",INDEX(Material_Detail!$D:$DC,MATCH($A14,Material_Detail!$DE:$DE,0)+1,67))),0,IFERROR(INDEX(Material_Detail!$D:$DC,MATCH($A14,Material_Detail!$DE:$DE,0),67),0)),SUMIFS(T_Shipments[Confirmed_Qty],T_Shipments[Part Name],$A14,T_Shipments[Effective_Week],67))</f>
        <v/>
      </c>
      <c r="BQ14">
        <f>IF(COUNTIF(Material_Detail!$DE:$DE,$A14)&gt;0,IF(ISNUMBER(SEARCH("[済]",INDEX(Material_Detail!$D:$DC,MATCH($A14,Material_Detail!$DE:$DE,0)+1,68))),0,IFERROR(INDEX(Material_Detail!$D:$DC,MATCH($A14,Material_Detail!$DE:$DE,0),68),0)),SUMIFS(T_Shipments[Confirmed_Qty],T_Shipments[Part Name],$A14,T_Shipments[Effective_Week],68))</f>
        <v/>
      </c>
      <c r="BR14">
        <f>IF(COUNTIF(Material_Detail!$DE:$DE,$A14)&gt;0,IF(ISNUMBER(SEARCH("[済]",INDEX(Material_Detail!$D:$DC,MATCH($A14,Material_Detail!$DE:$DE,0)+1,69))),0,IFERROR(INDEX(Material_Detail!$D:$DC,MATCH($A14,Material_Detail!$DE:$DE,0),69),0)),SUMIFS(T_Shipments[Confirmed_Qty],T_Shipments[Part Name],$A14,T_Shipments[Effective_Week],69))</f>
        <v/>
      </c>
      <c r="BS14">
        <f>IF(COUNTIF(Material_Detail!$DE:$DE,$A14)&gt;0,IF(ISNUMBER(SEARCH("[済]",INDEX(Material_Detail!$D:$DC,MATCH($A14,Material_Detail!$DE:$DE,0)+1,70))),0,IFERROR(INDEX(Material_Detail!$D:$DC,MATCH($A14,Material_Detail!$DE:$DE,0),70),0)),SUMIFS(T_Shipments[Confirmed_Qty],T_Shipments[Part Name],$A14,T_Shipments[Effective_Week],70))</f>
        <v/>
      </c>
      <c r="BT14">
        <f>IF(COUNTIF(Material_Detail!$DE:$DE,$A14)&gt;0,IF(ISNUMBER(SEARCH("[済]",INDEX(Material_Detail!$D:$DC,MATCH($A14,Material_Detail!$DE:$DE,0)+1,71))),0,IFERROR(INDEX(Material_Detail!$D:$DC,MATCH($A14,Material_Detail!$DE:$DE,0),71),0)),SUMIFS(T_Shipments[Confirmed_Qty],T_Shipments[Part Name],$A14,T_Shipments[Effective_Week],71))</f>
        <v/>
      </c>
      <c r="BU14">
        <f>IF(COUNTIF(Material_Detail!$DE:$DE,$A14)&gt;0,IF(ISNUMBER(SEARCH("[済]",INDEX(Material_Detail!$D:$DC,MATCH($A14,Material_Detail!$DE:$DE,0)+1,72))),0,IFERROR(INDEX(Material_Detail!$D:$DC,MATCH($A14,Material_Detail!$DE:$DE,0),72),0)),SUMIFS(T_Shipments[Confirmed_Qty],T_Shipments[Part Name],$A14,T_Shipments[Effective_Week],72))</f>
        <v/>
      </c>
      <c r="BV14">
        <f>IF(COUNTIF(Material_Detail!$DE:$DE,$A14)&gt;0,IF(ISNUMBER(SEARCH("[済]",INDEX(Material_Detail!$D:$DC,MATCH($A14,Material_Detail!$DE:$DE,0)+1,73))),0,IFERROR(INDEX(Material_Detail!$D:$DC,MATCH($A14,Material_Detail!$DE:$DE,0),73),0)),SUMIFS(T_Shipments[Confirmed_Qty],T_Shipments[Part Name],$A14,T_Shipments[Effective_Week],73))</f>
        <v/>
      </c>
      <c r="BW14">
        <f>IF(COUNTIF(Material_Detail!$DE:$DE,$A14)&gt;0,IF(ISNUMBER(SEARCH("[済]",INDEX(Material_Detail!$D:$DC,MATCH($A14,Material_Detail!$DE:$DE,0)+1,74))),0,IFERROR(INDEX(Material_Detail!$D:$DC,MATCH($A14,Material_Detail!$DE:$DE,0),74),0)),SUMIFS(T_Shipments[Confirmed_Qty],T_Shipments[Part Name],$A14,T_Shipments[Effective_Week],74))</f>
        <v/>
      </c>
      <c r="BX14">
        <f>IF(COUNTIF(Material_Detail!$DE:$DE,$A14)&gt;0,IF(ISNUMBER(SEARCH("[済]",INDEX(Material_Detail!$D:$DC,MATCH($A14,Material_Detail!$DE:$DE,0)+1,75))),0,IFERROR(INDEX(Material_Detail!$D:$DC,MATCH($A14,Material_Detail!$DE:$DE,0),75),0)),SUMIFS(T_Shipments[Confirmed_Qty],T_Shipments[Part Name],$A14,T_Shipments[Effective_Week],75))</f>
        <v/>
      </c>
      <c r="BY14">
        <f>IF(COUNTIF(Material_Detail!$DE:$DE,$A14)&gt;0,IF(ISNUMBER(SEARCH("[済]",INDEX(Material_Detail!$D:$DC,MATCH($A14,Material_Detail!$DE:$DE,0)+1,76))),0,IFERROR(INDEX(Material_Detail!$D:$DC,MATCH($A14,Material_Detail!$DE:$DE,0),76),0)),SUMIFS(T_Shipments[Confirmed_Qty],T_Shipments[Part Name],$A14,T_Shipments[Effective_Week],76))</f>
        <v/>
      </c>
      <c r="BZ14">
        <f>IF(COUNTIF(Material_Detail!$DE:$DE,$A14)&gt;0,IF(ISNUMBER(SEARCH("[済]",INDEX(Material_Detail!$D:$DC,MATCH($A14,Material_Detail!$DE:$DE,0)+1,77))),0,IFERROR(INDEX(Material_Detail!$D:$DC,MATCH($A14,Material_Detail!$DE:$DE,0),77),0)),SUMIFS(T_Shipments[Confirmed_Qty],T_Shipments[Part Name],$A14,T_Shipments[Effective_Week],77))</f>
        <v/>
      </c>
      <c r="CA14">
        <f>IF(COUNTIF(Material_Detail!$DE:$DE,$A14)&gt;0,IF(ISNUMBER(SEARCH("[済]",INDEX(Material_Detail!$D:$DC,MATCH($A14,Material_Detail!$DE:$DE,0)+1,78))),0,IFERROR(INDEX(Material_Detail!$D:$DC,MATCH($A14,Material_Detail!$DE:$DE,0),78),0)),SUMIFS(T_Shipments[Confirmed_Qty],T_Shipments[Part Name],$A14,T_Shipments[Effective_Week],78))</f>
        <v/>
      </c>
      <c r="CB14">
        <f>IF(COUNTIF(Material_Detail!$DE:$DE,$A14)&gt;0,IF(ISNUMBER(SEARCH("[済]",INDEX(Material_Detail!$D:$DC,MATCH($A14,Material_Detail!$DE:$DE,0)+1,79))),0,IFERROR(INDEX(Material_Detail!$D:$DC,MATCH($A14,Material_Detail!$DE:$DE,0),79),0)),SUMIFS(T_Shipments[Confirmed_Qty],T_Shipments[Part Name],$A14,T_Shipments[Effective_Week],79))</f>
        <v/>
      </c>
      <c r="CC14">
        <f>IF(COUNTIF(Material_Detail!$DE:$DE,$A14)&gt;0,IF(ISNUMBER(SEARCH("[済]",INDEX(Material_Detail!$D:$DC,MATCH($A14,Material_Detail!$DE:$DE,0)+1,80))),0,IFERROR(INDEX(Material_Detail!$D:$DC,MATCH($A14,Material_Detail!$DE:$DE,0),80),0)),SUMIFS(T_Shipments[Confirmed_Qty],T_Shipments[Part Name],$A14,T_Shipments[Effective_Week],80))</f>
        <v/>
      </c>
      <c r="CD14">
        <f>IF(COUNTIF(Material_Detail!$DE:$DE,$A14)&gt;0,IF(ISNUMBER(SEARCH("[済]",INDEX(Material_Detail!$D:$DC,MATCH($A14,Material_Detail!$DE:$DE,0)+1,81))),0,IFERROR(INDEX(Material_Detail!$D:$DC,MATCH($A14,Material_Detail!$DE:$DE,0),81),0)),SUMIFS(T_Shipments[Confirmed_Qty],T_Shipments[Part Name],$A14,T_Shipments[Effective_Week],81))</f>
        <v/>
      </c>
      <c r="CE14">
        <f>IF(COUNTIF(Material_Detail!$DE:$DE,$A14)&gt;0,IF(ISNUMBER(SEARCH("[済]",INDEX(Material_Detail!$D:$DC,MATCH($A14,Material_Detail!$DE:$DE,0)+1,82))),0,IFERROR(INDEX(Material_Detail!$D:$DC,MATCH($A14,Material_Detail!$DE:$DE,0),82),0)),SUMIFS(T_Shipments[Confirmed_Qty],T_Shipments[Part Name],$A14,T_Shipments[Effective_Week],82))</f>
        <v/>
      </c>
      <c r="CF14">
        <f>IF(COUNTIF(Material_Detail!$DE:$DE,$A14)&gt;0,IF(ISNUMBER(SEARCH("[済]",INDEX(Material_Detail!$D:$DC,MATCH($A14,Material_Detail!$DE:$DE,0)+1,83))),0,IFERROR(INDEX(Material_Detail!$D:$DC,MATCH($A14,Material_Detail!$DE:$DE,0),83),0)),SUMIFS(T_Shipments[Confirmed_Qty],T_Shipments[Part Name],$A14,T_Shipments[Effective_Week],83))</f>
        <v/>
      </c>
      <c r="CG14">
        <f>IF(COUNTIF(Material_Detail!$DE:$DE,$A14)&gt;0,IF(ISNUMBER(SEARCH("[済]",INDEX(Material_Detail!$D:$DC,MATCH($A14,Material_Detail!$DE:$DE,0)+1,84))),0,IFERROR(INDEX(Material_Detail!$D:$DC,MATCH($A14,Material_Detail!$DE:$DE,0),84),0)),SUMIFS(T_Shipments[Confirmed_Qty],T_Shipments[Part Name],$A14,T_Shipments[Effective_Week],84))</f>
        <v/>
      </c>
      <c r="CH14">
        <f>IF(COUNTIF(Material_Detail!$DE:$DE,$A14)&gt;0,IF(ISNUMBER(SEARCH("[済]",INDEX(Material_Detail!$D:$DC,MATCH($A14,Material_Detail!$DE:$DE,0)+1,85))),0,IFERROR(INDEX(Material_Detail!$D:$DC,MATCH($A14,Material_Detail!$DE:$DE,0),85),0)),SUMIFS(T_Shipments[Confirmed_Qty],T_Shipments[Part Name],$A14,T_Shipments[Effective_Week],85))</f>
        <v/>
      </c>
      <c r="CI14">
        <f>IF(COUNTIF(Material_Detail!$DE:$DE,$A14)&gt;0,IF(ISNUMBER(SEARCH("[済]",INDEX(Material_Detail!$D:$DC,MATCH($A14,Material_Detail!$DE:$DE,0)+1,86))),0,IFERROR(INDEX(Material_Detail!$D:$DC,MATCH($A14,Material_Detail!$DE:$DE,0),86),0)),SUMIFS(T_Shipments[Confirmed_Qty],T_Shipments[Part Name],$A14,T_Shipments[Effective_Week],86))</f>
        <v/>
      </c>
      <c r="CJ14">
        <f>IF(COUNTIF(Material_Detail!$DE:$DE,$A14)&gt;0,IF(ISNUMBER(SEARCH("[済]",INDEX(Material_Detail!$D:$DC,MATCH($A14,Material_Detail!$DE:$DE,0)+1,87))),0,IFERROR(INDEX(Material_Detail!$D:$DC,MATCH($A14,Material_Detail!$DE:$DE,0),87),0)),SUMIFS(T_Shipments[Confirmed_Qty],T_Shipments[Part Name],$A14,T_Shipments[Effective_Week],87))</f>
        <v/>
      </c>
      <c r="CK14">
        <f>IF(COUNTIF(Material_Detail!$DE:$DE,$A14)&gt;0,IF(ISNUMBER(SEARCH("[済]",INDEX(Material_Detail!$D:$DC,MATCH($A14,Material_Detail!$DE:$DE,0)+1,88))),0,IFERROR(INDEX(Material_Detail!$D:$DC,MATCH($A14,Material_Detail!$DE:$DE,0),88),0)),SUMIFS(T_Shipments[Confirmed_Qty],T_Shipments[Part Name],$A14,T_Shipments[Effective_Week],88))</f>
        <v/>
      </c>
      <c r="CL14">
        <f>IF(COUNTIF(Material_Detail!$DE:$DE,$A14)&gt;0,IF(ISNUMBER(SEARCH("[済]",INDEX(Material_Detail!$D:$DC,MATCH($A14,Material_Detail!$DE:$DE,0)+1,89))),0,IFERROR(INDEX(Material_Detail!$D:$DC,MATCH($A14,Material_Detail!$DE:$DE,0),89),0)),SUMIFS(T_Shipments[Confirmed_Qty],T_Shipments[Part Name],$A14,T_Shipments[Effective_Week],89))</f>
        <v/>
      </c>
      <c r="CM14">
        <f>IF(COUNTIF(Material_Detail!$DE:$DE,$A14)&gt;0,IF(ISNUMBER(SEARCH("[済]",INDEX(Material_Detail!$D:$DC,MATCH($A14,Material_Detail!$DE:$DE,0)+1,90))),0,IFERROR(INDEX(Material_Detail!$D:$DC,MATCH($A14,Material_Detail!$DE:$DE,0),90),0)),SUMIFS(T_Shipments[Confirmed_Qty],T_Shipments[Part Name],$A14,T_Shipments[Effective_Week],90))</f>
        <v/>
      </c>
      <c r="CN14">
        <f>IF(COUNTIF(Material_Detail!$DE:$DE,$A14)&gt;0,IF(ISNUMBER(SEARCH("[済]",INDEX(Material_Detail!$D:$DC,MATCH($A14,Material_Detail!$DE:$DE,0)+1,91))),0,IFERROR(INDEX(Material_Detail!$D:$DC,MATCH($A14,Material_Detail!$DE:$DE,0),91),0)),SUMIFS(T_Shipments[Confirmed_Qty],T_Shipments[Part Name],$A14,T_Shipments[Effective_Week],91))</f>
        <v/>
      </c>
      <c r="CO14">
        <f>IF(COUNTIF(Material_Detail!$DE:$DE,$A14)&gt;0,IF(ISNUMBER(SEARCH("[済]",INDEX(Material_Detail!$D:$DC,MATCH($A14,Material_Detail!$DE:$DE,0)+1,92))),0,IFERROR(INDEX(Material_Detail!$D:$DC,MATCH($A14,Material_Detail!$DE:$DE,0),92),0)),SUMIFS(T_Shipments[Confirmed_Qty],T_Shipments[Part Name],$A14,T_Shipments[Effective_Week],92))</f>
        <v/>
      </c>
      <c r="CP14">
        <f>IF(COUNTIF(Material_Detail!$DE:$DE,$A14)&gt;0,IF(ISNUMBER(SEARCH("[済]",INDEX(Material_Detail!$D:$DC,MATCH($A14,Material_Detail!$DE:$DE,0)+1,93))),0,IFERROR(INDEX(Material_Detail!$D:$DC,MATCH($A14,Material_Detail!$DE:$DE,0),93),0)),SUMIFS(T_Shipments[Confirmed_Qty],T_Shipments[Part Name],$A14,T_Shipments[Effective_Week],93))</f>
        <v/>
      </c>
      <c r="CQ14">
        <f>IF(COUNTIF(Material_Detail!$DE:$DE,$A14)&gt;0,IF(ISNUMBER(SEARCH("[済]",INDEX(Material_Detail!$D:$DC,MATCH($A14,Material_Detail!$DE:$DE,0)+1,94))),0,IFERROR(INDEX(Material_Detail!$D:$DC,MATCH($A14,Material_Detail!$DE:$DE,0),94),0)),SUMIFS(T_Shipments[Confirmed_Qty],T_Shipments[Part Name],$A14,T_Shipments[Effective_Week],94))</f>
        <v/>
      </c>
      <c r="CR14">
        <f>IF(COUNTIF(Material_Detail!$DE:$DE,$A14)&gt;0,IF(ISNUMBER(SEARCH("[済]",INDEX(Material_Detail!$D:$DC,MATCH($A14,Material_Detail!$DE:$DE,0)+1,95))),0,IFERROR(INDEX(Material_Detail!$D:$DC,MATCH($A14,Material_Detail!$DE:$DE,0),95),0)),SUMIFS(T_Shipments[Confirmed_Qty],T_Shipments[Part Name],$A14,T_Shipments[Effective_Week],95))</f>
        <v/>
      </c>
      <c r="CS14">
        <f>IF(COUNTIF(Material_Detail!$DE:$DE,$A14)&gt;0,IF(ISNUMBER(SEARCH("[済]",INDEX(Material_Detail!$D:$DC,MATCH($A14,Material_Detail!$DE:$DE,0)+1,96))),0,IFERROR(INDEX(Material_Detail!$D:$DC,MATCH($A14,Material_Detail!$DE:$DE,0),96),0)),SUMIFS(T_Shipments[Confirmed_Qty],T_Shipments[Part Name],$A14,T_Shipments[Effective_Week],96))</f>
        <v/>
      </c>
      <c r="CT14">
        <f>IF(COUNTIF(Material_Detail!$DE:$DE,$A14)&gt;0,IF(ISNUMBER(SEARCH("[済]",INDEX(Material_Detail!$D:$DC,MATCH($A14,Material_Detail!$DE:$DE,0)+1,97))),0,IFERROR(INDEX(Material_Detail!$D:$DC,MATCH($A14,Material_Detail!$DE:$DE,0),97),0)),SUMIFS(T_Shipments[Confirmed_Qty],T_Shipments[Part Name],$A14,T_Shipments[Effective_Week],97))</f>
        <v/>
      </c>
      <c r="CU14">
        <f>IF(COUNTIF(Material_Detail!$DE:$DE,$A14)&gt;0,IF(ISNUMBER(SEARCH("[済]",INDEX(Material_Detail!$D:$DC,MATCH($A14,Material_Detail!$DE:$DE,0)+1,98))),0,IFERROR(INDEX(Material_Detail!$D:$DC,MATCH($A14,Material_Detail!$DE:$DE,0),98),0)),SUMIFS(T_Shipments[Confirmed_Qty],T_Shipments[Part Name],$A14,T_Shipments[Effective_Week],98))</f>
        <v/>
      </c>
      <c r="CV14">
        <f>IF(COUNTIF(Material_Detail!$DE:$DE,$A14)&gt;0,IF(ISNUMBER(SEARCH("[済]",INDEX(Material_Detail!$D:$DC,MATCH($A14,Material_Detail!$DE:$DE,0)+1,99))),0,IFERROR(INDEX(Material_Detail!$D:$DC,MATCH($A14,Material_Detail!$DE:$DE,0),99),0)),SUMIFS(T_Shipments[Confirmed_Qty],T_Shipments[Part Name],$A14,T_Shipments[Effective_Week],99))</f>
        <v/>
      </c>
      <c r="CW14">
        <f>IF(COUNTIF(Material_Detail!$DE:$DE,$A14)&gt;0,IF(ISNUMBER(SEARCH("[済]",INDEX(Material_Detail!$D:$DC,MATCH($A14,Material_Detail!$DE:$DE,0)+1,100))),0,IFERROR(INDEX(Material_Detail!$D:$DC,MATCH($A14,Material_Detail!$DE:$DE,0),100),0)),SUMIFS(T_Shipments[Confirmed_Qty],T_Shipments[Part Name],$A14,T_Shipments[Effective_Week],100))</f>
        <v/>
      </c>
      <c r="CX14">
        <f>IF(COUNTIF(Material_Detail!$DE:$DE,$A14)&gt;0,IF(ISNUMBER(SEARCH("[済]",INDEX(Material_Detail!$D:$DC,MATCH($A14,Material_Detail!$DE:$DE,0)+1,101))),0,IFERROR(INDEX(Material_Detail!$D:$DC,MATCH($A14,Material_Detail!$DE:$DE,0),101),0)),SUMIFS(T_Shipments[Confirmed_Qty],T_Shipments[Part Name],$A14,T_Shipments[Effective_Week],101))</f>
        <v/>
      </c>
      <c r="CY14">
        <f>IF(COUNTIF(Material_Detail!$DE:$DE,$A14)&gt;0,IF(ISNUMBER(SEARCH("[済]",INDEX(Material_Detail!$D:$DC,MATCH($A14,Material_Detail!$DE:$DE,0)+1,102))),0,IFERROR(INDEX(Material_Detail!$D:$DC,MATCH($A14,Material_Detail!$DE:$DE,0),102),0)),SUMIFS(T_Shipments[Confirmed_Qty],T_Shipments[Part Name],$A14,T_Shipments[Effective_Week],102))</f>
        <v/>
      </c>
      <c r="CZ14">
        <f>IF(COUNTIF(Material_Detail!$DE:$DE,$A14)&gt;0,IF(ISNUMBER(SEARCH("[済]",INDEX(Material_Detail!$D:$DC,MATCH($A14,Material_Detail!$DE:$DE,0)+1,103))),0,IFERROR(INDEX(Material_Detail!$D:$DC,MATCH($A14,Material_Detail!$DE:$DE,0),103),0)),SUMIFS(T_Shipments[Confirmed_Qty],T_Shipments[Part Name],$A14,T_Shipments[Effective_Week],103))</f>
        <v/>
      </c>
      <c r="DA14">
        <f>IF(COUNTIF(Material_Detail!$DE:$DE,$A14)&gt;0,IF(ISNUMBER(SEARCH("[済]",INDEX(Material_Detail!$D:$DC,MATCH($A14,Material_Detail!$DE:$DE,0)+1,104))),0,IFERROR(INDEX(Material_Detail!$D:$DC,MATCH($A14,Material_Detail!$DE:$DE,0),104),0)),SUMIFS(T_Shipments[Confirmed_Qty],T_Shipments[Part Name],$A14,T_Shipments[Effective_Week],104))</f>
        <v/>
      </c>
    </row>
    <row r="15">
      <c r="A15" t="inlineStr">
        <is>
          <t>5SN</t>
        </is>
      </c>
      <c r="B15">
        <f>IF(COUNTIF(Material_Detail!$DE:$DE,$A15)&gt;0,IF(ISNUMBER(SEARCH("[済]",INDEX(Material_Detail!$D:$DC,MATCH($A15,Material_Detail!$DE:$DE,0)+1,1))),0,IFERROR(INDEX(Material_Detail!$D:$DC,MATCH($A15,Material_Detail!$DE:$DE,0),1),0)),SUMIFS(T_Shipments[Confirmed_Qty],T_Shipments[Part Name],$A15,T_Shipments[Effective_Week],1))</f>
        <v/>
      </c>
      <c r="C15">
        <f>IF(COUNTIF(Material_Detail!$DE:$DE,$A15)&gt;0,IF(ISNUMBER(SEARCH("[済]",INDEX(Material_Detail!$D:$DC,MATCH($A15,Material_Detail!$DE:$DE,0)+1,2))),0,IFERROR(INDEX(Material_Detail!$D:$DC,MATCH($A15,Material_Detail!$DE:$DE,0),2),0)),SUMIFS(T_Shipments[Confirmed_Qty],T_Shipments[Part Name],$A15,T_Shipments[Effective_Week],2))</f>
        <v/>
      </c>
      <c r="D15">
        <f>IF(COUNTIF(Material_Detail!$DE:$DE,$A15)&gt;0,IF(ISNUMBER(SEARCH("[済]",INDEX(Material_Detail!$D:$DC,MATCH($A15,Material_Detail!$DE:$DE,0)+1,3))),0,IFERROR(INDEX(Material_Detail!$D:$DC,MATCH($A15,Material_Detail!$DE:$DE,0),3),0)),SUMIFS(T_Shipments[Confirmed_Qty],T_Shipments[Part Name],$A15,T_Shipments[Effective_Week],3))</f>
        <v/>
      </c>
      <c r="E15">
        <f>IF(COUNTIF(Material_Detail!$DE:$DE,$A15)&gt;0,IF(ISNUMBER(SEARCH("[済]",INDEX(Material_Detail!$D:$DC,MATCH($A15,Material_Detail!$DE:$DE,0)+1,4))),0,IFERROR(INDEX(Material_Detail!$D:$DC,MATCH($A15,Material_Detail!$DE:$DE,0),4),0)),SUMIFS(T_Shipments[Confirmed_Qty],T_Shipments[Part Name],$A15,T_Shipments[Effective_Week],4))</f>
        <v/>
      </c>
      <c r="F15">
        <f>IF(COUNTIF(Material_Detail!$DE:$DE,$A15)&gt;0,IF(ISNUMBER(SEARCH("[済]",INDEX(Material_Detail!$D:$DC,MATCH($A15,Material_Detail!$DE:$DE,0)+1,5))),0,IFERROR(INDEX(Material_Detail!$D:$DC,MATCH($A15,Material_Detail!$DE:$DE,0),5),0)),SUMIFS(T_Shipments[Confirmed_Qty],T_Shipments[Part Name],$A15,T_Shipments[Effective_Week],5))</f>
        <v/>
      </c>
      <c r="G15">
        <f>IF(COUNTIF(Material_Detail!$DE:$DE,$A15)&gt;0,IF(ISNUMBER(SEARCH("[済]",INDEX(Material_Detail!$D:$DC,MATCH($A15,Material_Detail!$DE:$DE,0)+1,6))),0,IFERROR(INDEX(Material_Detail!$D:$DC,MATCH($A15,Material_Detail!$DE:$DE,0),6),0)),SUMIFS(T_Shipments[Confirmed_Qty],T_Shipments[Part Name],$A15,T_Shipments[Effective_Week],6))</f>
        <v/>
      </c>
      <c r="H15">
        <f>IF(COUNTIF(Material_Detail!$DE:$DE,$A15)&gt;0,IF(ISNUMBER(SEARCH("[済]",INDEX(Material_Detail!$D:$DC,MATCH($A15,Material_Detail!$DE:$DE,0)+1,7))),0,IFERROR(INDEX(Material_Detail!$D:$DC,MATCH($A15,Material_Detail!$DE:$DE,0),7),0)),SUMIFS(T_Shipments[Confirmed_Qty],T_Shipments[Part Name],$A15,T_Shipments[Effective_Week],7))</f>
        <v/>
      </c>
      <c r="I15">
        <f>IF(COUNTIF(Material_Detail!$DE:$DE,$A15)&gt;0,IF(ISNUMBER(SEARCH("[済]",INDEX(Material_Detail!$D:$DC,MATCH($A15,Material_Detail!$DE:$DE,0)+1,8))),0,IFERROR(INDEX(Material_Detail!$D:$DC,MATCH($A15,Material_Detail!$DE:$DE,0),8),0)),SUMIFS(T_Shipments[Confirmed_Qty],T_Shipments[Part Name],$A15,T_Shipments[Effective_Week],8))</f>
        <v/>
      </c>
      <c r="J15">
        <f>IF(COUNTIF(Material_Detail!$DE:$DE,$A15)&gt;0,IF(ISNUMBER(SEARCH("[済]",INDEX(Material_Detail!$D:$DC,MATCH($A15,Material_Detail!$DE:$DE,0)+1,9))),0,IFERROR(INDEX(Material_Detail!$D:$DC,MATCH($A15,Material_Detail!$DE:$DE,0),9),0)),SUMIFS(T_Shipments[Confirmed_Qty],T_Shipments[Part Name],$A15,T_Shipments[Effective_Week],9))</f>
        <v/>
      </c>
      <c r="K15">
        <f>IF(COUNTIF(Material_Detail!$DE:$DE,$A15)&gt;0,IF(ISNUMBER(SEARCH("[済]",INDEX(Material_Detail!$D:$DC,MATCH($A15,Material_Detail!$DE:$DE,0)+1,10))),0,IFERROR(INDEX(Material_Detail!$D:$DC,MATCH($A15,Material_Detail!$DE:$DE,0),10),0)),SUMIFS(T_Shipments[Confirmed_Qty],T_Shipments[Part Name],$A15,T_Shipments[Effective_Week],10))</f>
        <v/>
      </c>
      <c r="L15">
        <f>IF(COUNTIF(Material_Detail!$DE:$DE,$A15)&gt;0,IF(ISNUMBER(SEARCH("[済]",INDEX(Material_Detail!$D:$DC,MATCH($A15,Material_Detail!$DE:$DE,0)+1,11))),0,IFERROR(INDEX(Material_Detail!$D:$DC,MATCH($A15,Material_Detail!$DE:$DE,0),11),0)),SUMIFS(T_Shipments[Confirmed_Qty],T_Shipments[Part Name],$A15,T_Shipments[Effective_Week],11))</f>
        <v/>
      </c>
      <c r="M15">
        <f>IF(COUNTIF(Material_Detail!$DE:$DE,$A15)&gt;0,IF(ISNUMBER(SEARCH("[済]",INDEX(Material_Detail!$D:$DC,MATCH($A15,Material_Detail!$DE:$DE,0)+1,12))),0,IFERROR(INDEX(Material_Detail!$D:$DC,MATCH($A15,Material_Detail!$DE:$DE,0),12),0)),SUMIFS(T_Shipments[Confirmed_Qty],T_Shipments[Part Name],$A15,T_Shipments[Effective_Week],12))</f>
        <v/>
      </c>
      <c r="N15">
        <f>IF(COUNTIF(Material_Detail!$DE:$DE,$A15)&gt;0,IF(ISNUMBER(SEARCH("[済]",INDEX(Material_Detail!$D:$DC,MATCH($A15,Material_Detail!$DE:$DE,0)+1,13))),0,IFERROR(INDEX(Material_Detail!$D:$DC,MATCH($A15,Material_Detail!$DE:$DE,0),13),0)),SUMIFS(T_Shipments[Confirmed_Qty],T_Shipments[Part Name],$A15,T_Shipments[Effective_Week],13))</f>
        <v/>
      </c>
      <c r="O15">
        <f>IF(COUNTIF(Material_Detail!$DE:$DE,$A15)&gt;0,IF(ISNUMBER(SEARCH("[済]",INDEX(Material_Detail!$D:$DC,MATCH($A15,Material_Detail!$DE:$DE,0)+1,14))),0,IFERROR(INDEX(Material_Detail!$D:$DC,MATCH($A15,Material_Detail!$DE:$DE,0),14),0)),SUMIFS(T_Shipments[Confirmed_Qty],T_Shipments[Part Name],$A15,T_Shipments[Effective_Week],14))</f>
        <v/>
      </c>
      <c r="P15">
        <f>IF(COUNTIF(Material_Detail!$DE:$DE,$A15)&gt;0,IF(ISNUMBER(SEARCH("[済]",INDEX(Material_Detail!$D:$DC,MATCH($A15,Material_Detail!$DE:$DE,0)+1,15))),0,IFERROR(INDEX(Material_Detail!$D:$DC,MATCH($A15,Material_Detail!$DE:$DE,0),15),0)),SUMIFS(T_Shipments[Confirmed_Qty],T_Shipments[Part Name],$A15,T_Shipments[Effective_Week],15))</f>
        <v/>
      </c>
      <c r="Q15">
        <f>IF(COUNTIF(Material_Detail!$DE:$DE,$A15)&gt;0,IF(ISNUMBER(SEARCH("[済]",INDEX(Material_Detail!$D:$DC,MATCH($A15,Material_Detail!$DE:$DE,0)+1,16))),0,IFERROR(INDEX(Material_Detail!$D:$DC,MATCH($A15,Material_Detail!$DE:$DE,0),16),0)),SUMIFS(T_Shipments[Confirmed_Qty],T_Shipments[Part Name],$A15,T_Shipments[Effective_Week],16))</f>
        <v/>
      </c>
      <c r="R15">
        <f>IF(COUNTIF(Material_Detail!$DE:$DE,$A15)&gt;0,IF(ISNUMBER(SEARCH("[済]",INDEX(Material_Detail!$D:$DC,MATCH($A15,Material_Detail!$DE:$DE,0)+1,17))),0,IFERROR(INDEX(Material_Detail!$D:$DC,MATCH($A15,Material_Detail!$DE:$DE,0),17),0)),SUMIFS(T_Shipments[Confirmed_Qty],T_Shipments[Part Name],$A15,T_Shipments[Effective_Week],17))</f>
        <v/>
      </c>
      <c r="S15">
        <f>IF(COUNTIF(Material_Detail!$DE:$DE,$A15)&gt;0,IF(ISNUMBER(SEARCH("[済]",INDEX(Material_Detail!$D:$DC,MATCH($A15,Material_Detail!$DE:$DE,0)+1,18))),0,IFERROR(INDEX(Material_Detail!$D:$DC,MATCH($A15,Material_Detail!$DE:$DE,0),18),0)),SUMIFS(T_Shipments[Confirmed_Qty],T_Shipments[Part Name],$A15,T_Shipments[Effective_Week],18))</f>
        <v/>
      </c>
      <c r="T15">
        <f>IF(COUNTIF(Material_Detail!$DE:$DE,$A15)&gt;0,IF(ISNUMBER(SEARCH("[済]",INDEX(Material_Detail!$D:$DC,MATCH($A15,Material_Detail!$DE:$DE,0)+1,19))),0,IFERROR(INDEX(Material_Detail!$D:$DC,MATCH($A15,Material_Detail!$DE:$DE,0),19),0)),SUMIFS(T_Shipments[Confirmed_Qty],T_Shipments[Part Name],$A15,T_Shipments[Effective_Week],19))</f>
        <v/>
      </c>
      <c r="U15">
        <f>IF(COUNTIF(Material_Detail!$DE:$DE,$A15)&gt;0,IF(ISNUMBER(SEARCH("[済]",INDEX(Material_Detail!$D:$DC,MATCH($A15,Material_Detail!$DE:$DE,0)+1,20))),0,IFERROR(INDEX(Material_Detail!$D:$DC,MATCH($A15,Material_Detail!$DE:$DE,0),20),0)),SUMIFS(T_Shipments[Confirmed_Qty],T_Shipments[Part Name],$A15,T_Shipments[Effective_Week],20))</f>
        <v/>
      </c>
      <c r="V15">
        <f>IF(COUNTIF(Material_Detail!$DE:$DE,$A15)&gt;0,IF(ISNUMBER(SEARCH("[済]",INDEX(Material_Detail!$D:$DC,MATCH($A15,Material_Detail!$DE:$DE,0)+1,21))),0,IFERROR(INDEX(Material_Detail!$D:$DC,MATCH($A15,Material_Detail!$DE:$DE,0),21),0)),SUMIFS(T_Shipments[Confirmed_Qty],T_Shipments[Part Name],$A15,T_Shipments[Effective_Week],21))</f>
        <v/>
      </c>
      <c r="W15">
        <f>IF(COUNTIF(Material_Detail!$DE:$DE,$A15)&gt;0,IF(ISNUMBER(SEARCH("[済]",INDEX(Material_Detail!$D:$DC,MATCH($A15,Material_Detail!$DE:$DE,0)+1,22))),0,IFERROR(INDEX(Material_Detail!$D:$DC,MATCH($A15,Material_Detail!$DE:$DE,0),22),0)),SUMIFS(T_Shipments[Confirmed_Qty],T_Shipments[Part Name],$A15,T_Shipments[Effective_Week],22))</f>
        <v/>
      </c>
      <c r="X15">
        <f>IF(COUNTIF(Material_Detail!$DE:$DE,$A15)&gt;0,IF(ISNUMBER(SEARCH("[済]",INDEX(Material_Detail!$D:$DC,MATCH($A15,Material_Detail!$DE:$DE,0)+1,23))),0,IFERROR(INDEX(Material_Detail!$D:$DC,MATCH($A15,Material_Detail!$DE:$DE,0),23),0)),SUMIFS(T_Shipments[Confirmed_Qty],T_Shipments[Part Name],$A15,T_Shipments[Effective_Week],23))</f>
        <v/>
      </c>
      <c r="Y15">
        <f>IF(COUNTIF(Material_Detail!$DE:$DE,$A15)&gt;0,IF(ISNUMBER(SEARCH("[済]",INDEX(Material_Detail!$D:$DC,MATCH($A15,Material_Detail!$DE:$DE,0)+1,24))),0,IFERROR(INDEX(Material_Detail!$D:$DC,MATCH($A15,Material_Detail!$DE:$DE,0),24),0)),SUMIFS(T_Shipments[Confirmed_Qty],T_Shipments[Part Name],$A15,T_Shipments[Effective_Week],24))</f>
        <v/>
      </c>
      <c r="Z15">
        <f>IF(COUNTIF(Material_Detail!$DE:$DE,$A15)&gt;0,IF(ISNUMBER(SEARCH("[済]",INDEX(Material_Detail!$D:$DC,MATCH($A15,Material_Detail!$DE:$DE,0)+1,25))),0,IFERROR(INDEX(Material_Detail!$D:$DC,MATCH($A15,Material_Detail!$DE:$DE,0),25),0)),SUMIFS(T_Shipments[Confirmed_Qty],T_Shipments[Part Name],$A15,T_Shipments[Effective_Week],25))</f>
        <v/>
      </c>
      <c r="AA15">
        <f>IF(COUNTIF(Material_Detail!$DE:$DE,$A15)&gt;0,IF(ISNUMBER(SEARCH("[済]",INDEX(Material_Detail!$D:$DC,MATCH($A15,Material_Detail!$DE:$DE,0)+1,26))),0,IFERROR(INDEX(Material_Detail!$D:$DC,MATCH($A15,Material_Detail!$DE:$DE,0),26),0)),SUMIFS(T_Shipments[Confirmed_Qty],T_Shipments[Part Name],$A15,T_Shipments[Effective_Week],26))</f>
        <v/>
      </c>
      <c r="AB15">
        <f>IF(COUNTIF(Material_Detail!$DE:$DE,$A15)&gt;0,IF(ISNUMBER(SEARCH("[済]",INDEX(Material_Detail!$D:$DC,MATCH($A15,Material_Detail!$DE:$DE,0)+1,27))),0,IFERROR(INDEX(Material_Detail!$D:$DC,MATCH($A15,Material_Detail!$DE:$DE,0),27),0)),SUMIFS(T_Shipments[Confirmed_Qty],T_Shipments[Part Name],$A15,T_Shipments[Effective_Week],27))</f>
        <v/>
      </c>
      <c r="AC15">
        <f>IF(COUNTIF(Material_Detail!$DE:$DE,$A15)&gt;0,IF(ISNUMBER(SEARCH("[済]",INDEX(Material_Detail!$D:$DC,MATCH($A15,Material_Detail!$DE:$DE,0)+1,28))),0,IFERROR(INDEX(Material_Detail!$D:$DC,MATCH($A15,Material_Detail!$DE:$DE,0),28),0)),SUMIFS(T_Shipments[Confirmed_Qty],T_Shipments[Part Name],$A15,T_Shipments[Effective_Week],28))</f>
        <v/>
      </c>
      <c r="AD15">
        <f>IF(COUNTIF(Material_Detail!$DE:$DE,$A15)&gt;0,IF(ISNUMBER(SEARCH("[済]",INDEX(Material_Detail!$D:$DC,MATCH($A15,Material_Detail!$DE:$DE,0)+1,29))),0,IFERROR(INDEX(Material_Detail!$D:$DC,MATCH($A15,Material_Detail!$DE:$DE,0),29),0)),SUMIFS(T_Shipments[Confirmed_Qty],T_Shipments[Part Name],$A15,T_Shipments[Effective_Week],29))</f>
        <v/>
      </c>
      <c r="AE15">
        <f>IF(COUNTIF(Material_Detail!$DE:$DE,$A15)&gt;0,IF(ISNUMBER(SEARCH("[済]",INDEX(Material_Detail!$D:$DC,MATCH($A15,Material_Detail!$DE:$DE,0)+1,30))),0,IFERROR(INDEX(Material_Detail!$D:$DC,MATCH($A15,Material_Detail!$DE:$DE,0),30),0)),SUMIFS(T_Shipments[Confirmed_Qty],T_Shipments[Part Name],$A15,T_Shipments[Effective_Week],30))</f>
        <v/>
      </c>
      <c r="AF15">
        <f>IF(COUNTIF(Material_Detail!$DE:$DE,$A15)&gt;0,IF(ISNUMBER(SEARCH("[済]",INDEX(Material_Detail!$D:$DC,MATCH($A15,Material_Detail!$DE:$DE,0)+1,31))),0,IFERROR(INDEX(Material_Detail!$D:$DC,MATCH($A15,Material_Detail!$DE:$DE,0),31),0)),SUMIFS(T_Shipments[Confirmed_Qty],T_Shipments[Part Name],$A15,T_Shipments[Effective_Week],31))</f>
        <v/>
      </c>
      <c r="AG15">
        <f>IF(COUNTIF(Material_Detail!$DE:$DE,$A15)&gt;0,IF(ISNUMBER(SEARCH("[済]",INDEX(Material_Detail!$D:$DC,MATCH($A15,Material_Detail!$DE:$DE,0)+1,32))),0,IFERROR(INDEX(Material_Detail!$D:$DC,MATCH($A15,Material_Detail!$DE:$DE,0),32),0)),SUMIFS(T_Shipments[Confirmed_Qty],T_Shipments[Part Name],$A15,T_Shipments[Effective_Week],32))</f>
        <v/>
      </c>
      <c r="AH15">
        <f>IF(COUNTIF(Material_Detail!$DE:$DE,$A15)&gt;0,IF(ISNUMBER(SEARCH("[済]",INDEX(Material_Detail!$D:$DC,MATCH($A15,Material_Detail!$DE:$DE,0)+1,33))),0,IFERROR(INDEX(Material_Detail!$D:$DC,MATCH($A15,Material_Detail!$DE:$DE,0),33),0)),SUMIFS(T_Shipments[Confirmed_Qty],T_Shipments[Part Name],$A15,T_Shipments[Effective_Week],33))</f>
        <v/>
      </c>
      <c r="AI15">
        <f>IF(COUNTIF(Material_Detail!$DE:$DE,$A15)&gt;0,IF(ISNUMBER(SEARCH("[済]",INDEX(Material_Detail!$D:$DC,MATCH($A15,Material_Detail!$DE:$DE,0)+1,34))),0,IFERROR(INDEX(Material_Detail!$D:$DC,MATCH($A15,Material_Detail!$DE:$DE,0),34),0)),SUMIFS(T_Shipments[Confirmed_Qty],T_Shipments[Part Name],$A15,T_Shipments[Effective_Week],34))</f>
        <v/>
      </c>
      <c r="AJ15">
        <f>IF(COUNTIF(Material_Detail!$DE:$DE,$A15)&gt;0,IF(ISNUMBER(SEARCH("[済]",INDEX(Material_Detail!$D:$DC,MATCH($A15,Material_Detail!$DE:$DE,0)+1,35))),0,IFERROR(INDEX(Material_Detail!$D:$DC,MATCH($A15,Material_Detail!$DE:$DE,0),35),0)),SUMIFS(T_Shipments[Confirmed_Qty],T_Shipments[Part Name],$A15,T_Shipments[Effective_Week],35))</f>
        <v/>
      </c>
      <c r="AK15">
        <f>IF(COUNTIF(Material_Detail!$DE:$DE,$A15)&gt;0,IF(ISNUMBER(SEARCH("[済]",INDEX(Material_Detail!$D:$DC,MATCH($A15,Material_Detail!$DE:$DE,0)+1,36))),0,IFERROR(INDEX(Material_Detail!$D:$DC,MATCH($A15,Material_Detail!$DE:$DE,0),36),0)),SUMIFS(T_Shipments[Confirmed_Qty],T_Shipments[Part Name],$A15,T_Shipments[Effective_Week],36))</f>
        <v/>
      </c>
      <c r="AL15">
        <f>IF(COUNTIF(Material_Detail!$DE:$DE,$A15)&gt;0,IF(ISNUMBER(SEARCH("[済]",INDEX(Material_Detail!$D:$DC,MATCH($A15,Material_Detail!$DE:$DE,0)+1,37))),0,IFERROR(INDEX(Material_Detail!$D:$DC,MATCH($A15,Material_Detail!$DE:$DE,0),37),0)),SUMIFS(T_Shipments[Confirmed_Qty],T_Shipments[Part Name],$A15,T_Shipments[Effective_Week],37))</f>
        <v/>
      </c>
      <c r="AM15">
        <f>IF(COUNTIF(Material_Detail!$DE:$DE,$A15)&gt;0,IF(ISNUMBER(SEARCH("[済]",INDEX(Material_Detail!$D:$DC,MATCH($A15,Material_Detail!$DE:$DE,0)+1,38))),0,IFERROR(INDEX(Material_Detail!$D:$DC,MATCH($A15,Material_Detail!$DE:$DE,0),38),0)),SUMIFS(T_Shipments[Confirmed_Qty],T_Shipments[Part Name],$A15,T_Shipments[Effective_Week],38))</f>
        <v/>
      </c>
      <c r="AN15">
        <f>IF(COUNTIF(Material_Detail!$DE:$DE,$A15)&gt;0,IF(ISNUMBER(SEARCH("[済]",INDEX(Material_Detail!$D:$DC,MATCH($A15,Material_Detail!$DE:$DE,0)+1,39))),0,IFERROR(INDEX(Material_Detail!$D:$DC,MATCH($A15,Material_Detail!$DE:$DE,0),39),0)),SUMIFS(T_Shipments[Confirmed_Qty],T_Shipments[Part Name],$A15,T_Shipments[Effective_Week],39))</f>
        <v/>
      </c>
      <c r="AO15">
        <f>IF(COUNTIF(Material_Detail!$DE:$DE,$A15)&gt;0,IF(ISNUMBER(SEARCH("[済]",INDEX(Material_Detail!$D:$DC,MATCH($A15,Material_Detail!$DE:$DE,0)+1,40))),0,IFERROR(INDEX(Material_Detail!$D:$DC,MATCH($A15,Material_Detail!$DE:$DE,0),40),0)),SUMIFS(T_Shipments[Confirmed_Qty],T_Shipments[Part Name],$A15,T_Shipments[Effective_Week],40))</f>
        <v/>
      </c>
      <c r="AP15">
        <f>IF(COUNTIF(Material_Detail!$DE:$DE,$A15)&gt;0,IF(ISNUMBER(SEARCH("[済]",INDEX(Material_Detail!$D:$DC,MATCH($A15,Material_Detail!$DE:$DE,0)+1,41))),0,IFERROR(INDEX(Material_Detail!$D:$DC,MATCH($A15,Material_Detail!$DE:$DE,0),41),0)),SUMIFS(T_Shipments[Confirmed_Qty],T_Shipments[Part Name],$A15,T_Shipments[Effective_Week],41))</f>
        <v/>
      </c>
      <c r="AQ15">
        <f>IF(COUNTIF(Material_Detail!$DE:$DE,$A15)&gt;0,IF(ISNUMBER(SEARCH("[済]",INDEX(Material_Detail!$D:$DC,MATCH($A15,Material_Detail!$DE:$DE,0)+1,42))),0,IFERROR(INDEX(Material_Detail!$D:$DC,MATCH($A15,Material_Detail!$DE:$DE,0),42),0)),SUMIFS(T_Shipments[Confirmed_Qty],T_Shipments[Part Name],$A15,T_Shipments[Effective_Week],42))</f>
        <v/>
      </c>
      <c r="AR15">
        <f>IF(COUNTIF(Material_Detail!$DE:$DE,$A15)&gt;0,IF(ISNUMBER(SEARCH("[済]",INDEX(Material_Detail!$D:$DC,MATCH($A15,Material_Detail!$DE:$DE,0)+1,43))),0,IFERROR(INDEX(Material_Detail!$D:$DC,MATCH($A15,Material_Detail!$DE:$DE,0),43),0)),SUMIFS(T_Shipments[Confirmed_Qty],T_Shipments[Part Name],$A15,T_Shipments[Effective_Week],43))</f>
        <v/>
      </c>
      <c r="AS15">
        <f>IF(COUNTIF(Material_Detail!$DE:$DE,$A15)&gt;0,IF(ISNUMBER(SEARCH("[済]",INDEX(Material_Detail!$D:$DC,MATCH($A15,Material_Detail!$DE:$DE,0)+1,44))),0,IFERROR(INDEX(Material_Detail!$D:$DC,MATCH($A15,Material_Detail!$DE:$DE,0),44),0)),SUMIFS(T_Shipments[Confirmed_Qty],T_Shipments[Part Name],$A15,T_Shipments[Effective_Week],44))</f>
        <v/>
      </c>
      <c r="AT15">
        <f>IF(COUNTIF(Material_Detail!$DE:$DE,$A15)&gt;0,IF(ISNUMBER(SEARCH("[済]",INDEX(Material_Detail!$D:$DC,MATCH($A15,Material_Detail!$DE:$DE,0)+1,45))),0,IFERROR(INDEX(Material_Detail!$D:$DC,MATCH($A15,Material_Detail!$DE:$DE,0),45),0)),SUMIFS(T_Shipments[Confirmed_Qty],T_Shipments[Part Name],$A15,T_Shipments[Effective_Week],45))</f>
        <v/>
      </c>
      <c r="AU15">
        <f>IF(COUNTIF(Material_Detail!$DE:$DE,$A15)&gt;0,IF(ISNUMBER(SEARCH("[済]",INDEX(Material_Detail!$D:$DC,MATCH($A15,Material_Detail!$DE:$DE,0)+1,46))),0,IFERROR(INDEX(Material_Detail!$D:$DC,MATCH($A15,Material_Detail!$DE:$DE,0),46),0)),SUMIFS(T_Shipments[Confirmed_Qty],T_Shipments[Part Name],$A15,T_Shipments[Effective_Week],46))</f>
        <v/>
      </c>
      <c r="AV15">
        <f>IF(COUNTIF(Material_Detail!$DE:$DE,$A15)&gt;0,IF(ISNUMBER(SEARCH("[済]",INDEX(Material_Detail!$D:$DC,MATCH($A15,Material_Detail!$DE:$DE,0)+1,47))),0,IFERROR(INDEX(Material_Detail!$D:$DC,MATCH($A15,Material_Detail!$DE:$DE,0),47),0)),SUMIFS(T_Shipments[Confirmed_Qty],T_Shipments[Part Name],$A15,T_Shipments[Effective_Week],47))</f>
        <v/>
      </c>
      <c r="AW15">
        <f>IF(COUNTIF(Material_Detail!$DE:$DE,$A15)&gt;0,IF(ISNUMBER(SEARCH("[済]",INDEX(Material_Detail!$D:$DC,MATCH($A15,Material_Detail!$DE:$DE,0)+1,48))),0,IFERROR(INDEX(Material_Detail!$D:$DC,MATCH($A15,Material_Detail!$DE:$DE,0),48),0)),SUMIFS(T_Shipments[Confirmed_Qty],T_Shipments[Part Name],$A15,T_Shipments[Effective_Week],48))</f>
        <v/>
      </c>
      <c r="AX15">
        <f>IF(COUNTIF(Material_Detail!$DE:$DE,$A15)&gt;0,IF(ISNUMBER(SEARCH("[済]",INDEX(Material_Detail!$D:$DC,MATCH($A15,Material_Detail!$DE:$DE,0)+1,49))),0,IFERROR(INDEX(Material_Detail!$D:$DC,MATCH($A15,Material_Detail!$DE:$DE,0),49),0)),SUMIFS(T_Shipments[Confirmed_Qty],T_Shipments[Part Name],$A15,T_Shipments[Effective_Week],49))</f>
        <v/>
      </c>
      <c r="AY15">
        <f>IF(COUNTIF(Material_Detail!$DE:$DE,$A15)&gt;0,IF(ISNUMBER(SEARCH("[済]",INDEX(Material_Detail!$D:$DC,MATCH($A15,Material_Detail!$DE:$DE,0)+1,50))),0,IFERROR(INDEX(Material_Detail!$D:$DC,MATCH($A15,Material_Detail!$DE:$DE,0),50),0)),SUMIFS(T_Shipments[Confirmed_Qty],T_Shipments[Part Name],$A15,T_Shipments[Effective_Week],50))</f>
        <v/>
      </c>
      <c r="AZ15">
        <f>IF(COUNTIF(Material_Detail!$DE:$DE,$A15)&gt;0,IF(ISNUMBER(SEARCH("[済]",INDEX(Material_Detail!$D:$DC,MATCH($A15,Material_Detail!$DE:$DE,0)+1,51))),0,IFERROR(INDEX(Material_Detail!$D:$DC,MATCH($A15,Material_Detail!$DE:$DE,0),51),0)),SUMIFS(T_Shipments[Confirmed_Qty],T_Shipments[Part Name],$A15,T_Shipments[Effective_Week],51))</f>
        <v/>
      </c>
      <c r="BA15">
        <f>IF(COUNTIF(Material_Detail!$DE:$DE,$A15)&gt;0,IF(ISNUMBER(SEARCH("[済]",INDEX(Material_Detail!$D:$DC,MATCH($A15,Material_Detail!$DE:$DE,0)+1,52))),0,IFERROR(INDEX(Material_Detail!$D:$DC,MATCH($A15,Material_Detail!$DE:$DE,0),52),0)),SUMIFS(T_Shipments[Confirmed_Qty],T_Shipments[Part Name],$A15,T_Shipments[Effective_Week],52))</f>
        <v/>
      </c>
      <c r="BB15">
        <f>IF(COUNTIF(Material_Detail!$DE:$DE,$A15)&gt;0,IF(ISNUMBER(SEARCH("[済]",INDEX(Material_Detail!$D:$DC,MATCH($A15,Material_Detail!$DE:$DE,0)+1,53))),0,IFERROR(INDEX(Material_Detail!$D:$DC,MATCH($A15,Material_Detail!$DE:$DE,0),53),0)),SUMIFS(T_Shipments[Confirmed_Qty],T_Shipments[Part Name],$A15,T_Shipments[Effective_Week],53))</f>
        <v/>
      </c>
      <c r="BC15">
        <f>IF(COUNTIF(Material_Detail!$DE:$DE,$A15)&gt;0,IF(ISNUMBER(SEARCH("[済]",INDEX(Material_Detail!$D:$DC,MATCH($A15,Material_Detail!$DE:$DE,0)+1,54))),0,IFERROR(INDEX(Material_Detail!$D:$DC,MATCH($A15,Material_Detail!$DE:$DE,0),54),0)),SUMIFS(T_Shipments[Confirmed_Qty],T_Shipments[Part Name],$A15,T_Shipments[Effective_Week],54))</f>
        <v/>
      </c>
      <c r="BD15">
        <f>IF(COUNTIF(Material_Detail!$DE:$DE,$A15)&gt;0,IF(ISNUMBER(SEARCH("[済]",INDEX(Material_Detail!$D:$DC,MATCH($A15,Material_Detail!$DE:$DE,0)+1,55))),0,IFERROR(INDEX(Material_Detail!$D:$DC,MATCH($A15,Material_Detail!$DE:$DE,0),55),0)),SUMIFS(T_Shipments[Confirmed_Qty],T_Shipments[Part Name],$A15,T_Shipments[Effective_Week],55))</f>
        <v/>
      </c>
      <c r="BE15">
        <f>IF(COUNTIF(Material_Detail!$DE:$DE,$A15)&gt;0,IF(ISNUMBER(SEARCH("[済]",INDEX(Material_Detail!$D:$DC,MATCH($A15,Material_Detail!$DE:$DE,0)+1,56))),0,IFERROR(INDEX(Material_Detail!$D:$DC,MATCH($A15,Material_Detail!$DE:$DE,0),56),0)),SUMIFS(T_Shipments[Confirmed_Qty],T_Shipments[Part Name],$A15,T_Shipments[Effective_Week],56))</f>
        <v/>
      </c>
      <c r="BF15">
        <f>IF(COUNTIF(Material_Detail!$DE:$DE,$A15)&gt;0,IF(ISNUMBER(SEARCH("[済]",INDEX(Material_Detail!$D:$DC,MATCH($A15,Material_Detail!$DE:$DE,0)+1,57))),0,IFERROR(INDEX(Material_Detail!$D:$DC,MATCH($A15,Material_Detail!$DE:$DE,0),57),0)),SUMIFS(T_Shipments[Confirmed_Qty],T_Shipments[Part Name],$A15,T_Shipments[Effective_Week],57))</f>
        <v/>
      </c>
      <c r="BG15">
        <f>IF(COUNTIF(Material_Detail!$DE:$DE,$A15)&gt;0,IF(ISNUMBER(SEARCH("[済]",INDEX(Material_Detail!$D:$DC,MATCH($A15,Material_Detail!$DE:$DE,0)+1,58))),0,IFERROR(INDEX(Material_Detail!$D:$DC,MATCH($A15,Material_Detail!$DE:$DE,0),58),0)),SUMIFS(T_Shipments[Confirmed_Qty],T_Shipments[Part Name],$A15,T_Shipments[Effective_Week],58))</f>
        <v/>
      </c>
      <c r="BH15">
        <f>IF(COUNTIF(Material_Detail!$DE:$DE,$A15)&gt;0,IF(ISNUMBER(SEARCH("[済]",INDEX(Material_Detail!$D:$DC,MATCH($A15,Material_Detail!$DE:$DE,0)+1,59))),0,IFERROR(INDEX(Material_Detail!$D:$DC,MATCH($A15,Material_Detail!$DE:$DE,0),59),0)),SUMIFS(T_Shipments[Confirmed_Qty],T_Shipments[Part Name],$A15,T_Shipments[Effective_Week],59))</f>
        <v/>
      </c>
      <c r="BI15">
        <f>IF(COUNTIF(Material_Detail!$DE:$DE,$A15)&gt;0,IF(ISNUMBER(SEARCH("[済]",INDEX(Material_Detail!$D:$DC,MATCH($A15,Material_Detail!$DE:$DE,0)+1,60))),0,IFERROR(INDEX(Material_Detail!$D:$DC,MATCH($A15,Material_Detail!$DE:$DE,0),60),0)),SUMIFS(T_Shipments[Confirmed_Qty],T_Shipments[Part Name],$A15,T_Shipments[Effective_Week],60))</f>
        <v/>
      </c>
      <c r="BJ15">
        <f>IF(COUNTIF(Material_Detail!$DE:$DE,$A15)&gt;0,IF(ISNUMBER(SEARCH("[済]",INDEX(Material_Detail!$D:$DC,MATCH($A15,Material_Detail!$DE:$DE,0)+1,61))),0,IFERROR(INDEX(Material_Detail!$D:$DC,MATCH($A15,Material_Detail!$DE:$DE,0),61),0)),SUMIFS(T_Shipments[Confirmed_Qty],T_Shipments[Part Name],$A15,T_Shipments[Effective_Week],61))</f>
        <v/>
      </c>
      <c r="BK15">
        <f>IF(COUNTIF(Material_Detail!$DE:$DE,$A15)&gt;0,IF(ISNUMBER(SEARCH("[済]",INDEX(Material_Detail!$D:$DC,MATCH($A15,Material_Detail!$DE:$DE,0)+1,62))),0,IFERROR(INDEX(Material_Detail!$D:$DC,MATCH($A15,Material_Detail!$DE:$DE,0),62),0)),SUMIFS(T_Shipments[Confirmed_Qty],T_Shipments[Part Name],$A15,T_Shipments[Effective_Week],62))</f>
        <v/>
      </c>
      <c r="BL15">
        <f>IF(COUNTIF(Material_Detail!$DE:$DE,$A15)&gt;0,IF(ISNUMBER(SEARCH("[済]",INDEX(Material_Detail!$D:$DC,MATCH($A15,Material_Detail!$DE:$DE,0)+1,63))),0,IFERROR(INDEX(Material_Detail!$D:$DC,MATCH($A15,Material_Detail!$DE:$DE,0),63),0)),SUMIFS(T_Shipments[Confirmed_Qty],T_Shipments[Part Name],$A15,T_Shipments[Effective_Week],63))</f>
        <v/>
      </c>
      <c r="BM15">
        <f>IF(COUNTIF(Material_Detail!$DE:$DE,$A15)&gt;0,IF(ISNUMBER(SEARCH("[済]",INDEX(Material_Detail!$D:$DC,MATCH($A15,Material_Detail!$DE:$DE,0)+1,64))),0,IFERROR(INDEX(Material_Detail!$D:$DC,MATCH($A15,Material_Detail!$DE:$DE,0),64),0)),SUMIFS(T_Shipments[Confirmed_Qty],T_Shipments[Part Name],$A15,T_Shipments[Effective_Week],64))</f>
        <v/>
      </c>
      <c r="BN15">
        <f>IF(COUNTIF(Material_Detail!$DE:$DE,$A15)&gt;0,IF(ISNUMBER(SEARCH("[済]",INDEX(Material_Detail!$D:$DC,MATCH($A15,Material_Detail!$DE:$DE,0)+1,65))),0,IFERROR(INDEX(Material_Detail!$D:$DC,MATCH($A15,Material_Detail!$DE:$DE,0),65),0)),SUMIFS(T_Shipments[Confirmed_Qty],T_Shipments[Part Name],$A15,T_Shipments[Effective_Week],65))</f>
        <v/>
      </c>
      <c r="BO15">
        <f>IF(COUNTIF(Material_Detail!$DE:$DE,$A15)&gt;0,IF(ISNUMBER(SEARCH("[済]",INDEX(Material_Detail!$D:$DC,MATCH($A15,Material_Detail!$DE:$DE,0)+1,66))),0,IFERROR(INDEX(Material_Detail!$D:$DC,MATCH($A15,Material_Detail!$DE:$DE,0),66),0)),SUMIFS(T_Shipments[Confirmed_Qty],T_Shipments[Part Name],$A15,T_Shipments[Effective_Week],66))</f>
        <v/>
      </c>
      <c r="BP15">
        <f>IF(COUNTIF(Material_Detail!$DE:$DE,$A15)&gt;0,IF(ISNUMBER(SEARCH("[済]",INDEX(Material_Detail!$D:$DC,MATCH($A15,Material_Detail!$DE:$DE,0)+1,67))),0,IFERROR(INDEX(Material_Detail!$D:$DC,MATCH($A15,Material_Detail!$DE:$DE,0),67),0)),SUMIFS(T_Shipments[Confirmed_Qty],T_Shipments[Part Name],$A15,T_Shipments[Effective_Week],67))</f>
        <v/>
      </c>
      <c r="BQ15">
        <f>IF(COUNTIF(Material_Detail!$DE:$DE,$A15)&gt;0,IF(ISNUMBER(SEARCH("[済]",INDEX(Material_Detail!$D:$DC,MATCH($A15,Material_Detail!$DE:$DE,0)+1,68))),0,IFERROR(INDEX(Material_Detail!$D:$DC,MATCH($A15,Material_Detail!$DE:$DE,0),68),0)),SUMIFS(T_Shipments[Confirmed_Qty],T_Shipments[Part Name],$A15,T_Shipments[Effective_Week],68))</f>
        <v/>
      </c>
      <c r="BR15">
        <f>IF(COUNTIF(Material_Detail!$DE:$DE,$A15)&gt;0,IF(ISNUMBER(SEARCH("[済]",INDEX(Material_Detail!$D:$DC,MATCH($A15,Material_Detail!$DE:$DE,0)+1,69))),0,IFERROR(INDEX(Material_Detail!$D:$DC,MATCH($A15,Material_Detail!$DE:$DE,0),69),0)),SUMIFS(T_Shipments[Confirmed_Qty],T_Shipments[Part Name],$A15,T_Shipments[Effective_Week],69))</f>
        <v/>
      </c>
      <c r="BS15">
        <f>IF(COUNTIF(Material_Detail!$DE:$DE,$A15)&gt;0,IF(ISNUMBER(SEARCH("[済]",INDEX(Material_Detail!$D:$DC,MATCH($A15,Material_Detail!$DE:$DE,0)+1,70))),0,IFERROR(INDEX(Material_Detail!$D:$DC,MATCH($A15,Material_Detail!$DE:$DE,0),70),0)),SUMIFS(T_Shipments[Confirmed_Qty],T_Shipments[Part Name],$A15,T_Shipments[Effective_Week],70))</f>
        <v/>
      </c>
      <c r="BT15">
        <f>IF(COUNTIF(Material_Detail!$DE:$DE,$A15)&gt;0,IF(ISNUMBER(SEARCH("[済]",INDEX(Material_Detail!$D:$DC,MATCH($A15,Material_Detail!$DE:$DE,0)+1,71))),0,IFERROR(INDEX(Material_Detail!$D:$DC,MATCH($A15,Material_Detail!$DE:$DE,0),71),0)),SUMIFS(T_Shipments[Confirmed_Qty],T_Shipments[Part Name],$A15,T_Shipments[Effective_Week],71))</f>
        <v/>
      </c>
      <c r="BU15">
        <f>IF(COUNTIF(Material_Detail!$DE:$DE,$A15)&gt;0,IF(ISNUMBER(SEARCH("[済]",INDEX(Material_Detail!$D:$DC,MATCH($A15,Material_Detail!$DE:$DE,0)+1,72))),0,IFERROR(INDEX(Material_Detail!$D:$DC,MATCH($A15,Material_Detail!$DE:$DE,0),72),0)),SUMIFS(T_Shipments[Confirmed_Qty],T_Shipments[Part Name],$A15,T_Shipments[Effective_Week],72))</f>
        <v/>
      </c>
      <c r="BV15">
        <f>IF(COUNTIF(Material_Detail!$DE:$DE,$A15)&gt;0,IF(ISNUMBER(SEARCH("[済]",INDEX(Material_Detail!$D:$DC,MATCH($A15,Material_Detail!$DE:$DE,0)+1,73))),0,IFERROR(INDEX(Material_Detail!$D:$DC,MATCH($A15,Material_Detail!$DE:$DE,0),73),0)),SUMIFS(T_Shipments[Confirmed_Qty],T_Shipments[Part Name],$A15,T_Shipments[Effective_Week],73))</f>
        <v/>
      </c>
      <c r="BW15">
        <f>IF(COUNTIF(Material_Detail!$DE:$DE,$A15)&gt;0,IF(ISNUMBER(SEARCH("[済]",INDEX(Material_Detail!$D:$DC,MATCH($A15,Material_Detail!$DE:$DE,0)+1,74))),0,IFERROR(INDEX(Material_Detail!$D:$DC,MATCH($A15,Material_Detail!$DE:$DE,0),74),0)),SUMIFS(T_Shipments[Confirmed_Qty],T_Shipments[Part Name],$A15,T_Shipments[Effective_Week],74))</f>
        <v/>
      </c>
      <c r="BX15">
        <f>IF(COUNTIF(Material_Detail!$DE:$DE,$A15)&gt;0,IF(ISNUMBER(SEARCH("[済]",INDEX(Material_Detail!$D:$DC,MATCH($A15,Material_Detail!$DE:$DE,0)+1,75))),0,IFERROR(INDEX(Material_Detail!$D:$DC,MATCH($A15,Material_Detail!$DE:$DE,0),75),0)),SUMIFS(T_Shipments[Confirmed_Qty],T_Shipments[Part Name],$A15,T_Shipments[Effective_Week],75))</f>
        <v/>
      </c>
      <c r="BY15">
        <f>IF(COUNTIF(Material_Detail!$DE:$DE,$A15)&gt;0,IF(ISNUMBER(SEARCH("[済]",INDEX(Material_Detail!$D:$DC,MATCH($A15,Material_Detail!$DE:$DE,0)+1,76))),0,IFERROR(INDEX(Material_Detail!$D:$DC,MATCH($A15,Material_Detail!$DE:$DE,0),76),0)),SUMIFS(T_Shipments[Confirmed_Qty],T_Shipments[Part Name],$A15,T_Shipments[Effective_Week],76))</f>
        <v/>
      </c>
      <c r="BZ15">
        <f>IF(COUNTIF(Material_Detail!$DE:$DE,$A15)&gt;0,IF(ISNUMBER(SEARCH("[済]",INDEX(Material_Detail!$D:$DC,MATCH($A15,Material_Detail!$DE:$DE,0)+1,77))),0,IFERROR(INDEX(Material_Detail!$D:$DC,MATCH($A15,Material_Detail!$DE:$DE,0),77),0)),SUMIFS(T_Shipments[Confirmed_Qty],T_Shipments[Part Name],$A15,T_Shipments[Effective_Week],77))</f>
        <v/>
      </c>
      <c r="CA15">
        <f>IF(COUNTIF(Material_Detail!$DE:$DE,$A15)&gt;0,IF(ISNUMBER(SEARCH("[済]",INDEX(Material_Detail!$D:$DC,MATCH($A15,Material_Detail!$DE:$DE,0)+1,78))),0,IFERROR(INDEX(Material_Detail!$D:$DC,MATCH($A15,Material_Detail!$DE:$DE,0),78),0)),SUMIFS(T_Shipments[Confirmed_Qty],T_Shipments[Part Name],$A15,T_Shipments[Effective_Week],78))</f>
        <v/>
      </c>
      <c r="CB15">
        <f>IF(COUNTIF(Material_Detail!$DE:$DE,$A15)&gt;0,IF(ISNUMBER(SEARCH("[済]",INDEX(Material_Detail!$D:$DC,MATCH($A15,Material_Detail!$DE:$DE,0)+1,79))),0,IFERROR(INDEX(Material_Detail!$D:$DC,MATCH($A15,Material_Detail!$DE:$DE,0),79),0)),SUMIFS(T_Shipments[Confirmed_Qty],T_Shipments[Part Name],$A15,T_Shipments[Effective_Week],79))</f>
        <v/>
      </c>
      <c r="CC15">
        <f>IF(COUNTIF(Material_Detail!$DE:$DE,$A15)&gt;0,IF(ISNUMBER(SEARCH("[済]",INDEX(Material_Detail!$D:$DC,MATCH($A15,Material_Detail!$DE:$DE,0)+1,80))),0,IFERROR(INDEX(Material_Detail!$D:$DC,MATCH($A15,Material_Detail!$DE:$DE,0),80),0)),SUMIFS(T_Shipments[Confirmed_Qty],T_Shipments[Part Name],$A15,T_Shipments[Effective_Week],80))</f>
        <v/>
      </c>
      <c r="CD15">
        <f>IF(COUNTIF(Material_Detail!$DE:$DE,$A15)&gt;0,IF(ISNUMBER(SEARCH("[済]",INDEX(Material_Detail!$D:$DC,MATCH($A15,Material_Detail!$DE:$DE,0)+1,81))),0,IFERROR(INDEX(Material_Detail!$D:$DC,MATCH($A15,Material_Detail!$DE:$DE,0),81),0)),SUMIFS(T_Shipments[Confirmed_Qty],T_Shipments[Part Name],$A15,T_Shipments[Effective_Week],81))</f>
        <v/>
      </c>
      <c r="CE15">
        <f>IF(COUNTIF(Material_Detail!$DE:$DE,$A15)&gt;0,IF(ISNUMBER(SEARCH("[済]",INDEX(Material_Detail!$D:$DC,MATCH($A15,Material_Detail!$DE:$DE,0)+1,82))),0,IFERROR(INDEX(Material_Detail!$D:$DC,MATCH($A15,Material_Detail!$DE:$DE,0),82),0)),SUMIFS(T_Shipments[Confirmed_Qty],T_Shipments[Part Name],$A15,T_Shipments[Effective_Week],82))</f>
        <v/>
      </c>
      <c r="CF15">
        <f>IF(COUNTIF(Material_Detail!$DE:$DE,$A15)&gt;0,IF(ISNUMBER(SEARCH("[済]",INDEX(Material_Detail!$D:$DC,MATCH($A15,Material_Detail!$DE:$DE,0)+1,83))),0,IFERROR(INDEX(Material_Detail!$D:$DC,MATCH($A15,Material_Detail!$DE:$DE,0),83),0)),SUMIFS(T_Shipments[Confirmed_Qty],T_Shipments[Part Name],$A15,T_Shipments[Effective_Week],83))</f>
        <v/>
      </c>
      <c r="CG15">
        <f>IF(COUNTIF(Material_Detail!$DE:$DE,$A15)&gt;0,IF(ISNUMBER(SEARCH("[済]",INDEX(Material_Detail!$D:$DC,MATCH($A15,Material_Detail!$DE:$DE,0)+1,84))),0,IFERROR(INDEX(Material_Detail!$D:$DC,MATCH($A15,Material_Detail!$DE:$DE,0),84),0)),SUMIFS(T_Shipments[Confirmed_Qty],T_Shipments[Part Name],$A15,T_Shipments[Effective_Week],84))</f>
        <v/>
      </c>
      <c r="CH15">
        <f>IF(COUNTIF(Material_Detail!$DE:$DE,$A15)&gt;0,IF(ISNUMBER(SEARCH("[済]",INDEX(Material_Detail!$D:$DC,MATCH($A15,Material_Detail!$DE:$DE,0)+1,85))),0,IFERROR(INDEX(Material_Detail!$D:$DC,MATCH($A15,Material_Detail!$DE:$DE,0),85),0)),SUMIFS(T_Shipments[Confirmed_Qty],T_Shipments[Part Name],$A15,T_Shipments[Effective_Week],85))</f>
        <v/>
      </c>
      <c r="CI15">
        <f>IF(COUNTIF(Material_Detail!$DE:$DE,$A15)&gt;0,IF(ISNUMBER(SEARCH("[済]",INDEX(Material_Detail!$D:$DC,MATCH($A15,Material_Detail!$DE:$DE,0)+1,86))),0,IFERROR(INDEX(Material_Detail!$D:$DC,MATCH($A15,Material_Detail!$DE:$DE,0),86),0)),SUMIFS(T_Shipments[Confirmed_Qty],T_Shipments[Part Name],$A15,T_Shipments[Effective_Week],86))</f>
        <v/>
      </c>
      <c r="CJ15">
        <f>IF(COUNTIF(Material_Detail!$DE:$DE,$A15)&gt;0,IF(ISNUMBER(SEARCH("[済]",INDEX(Material_Detail!$D:$DC,MATCH($A15,Material_Detail!$DE:$DE,0)+1,87))),0,IFERROR(INDEX(Material_Detail!$D:$DC,MATCH($A15,Material_Detail!$DE:$DE,0),87),0)),SUMIFS(T_Shipments[Confirmed_Qty],T_Shipments[Part Name],$A15,T_Shipments[Effective_Week],87))</f>
        <v/>
      </c>
      <c r="CK15">
        <f>IF(COUNTIF(Material_Detail!$DE:$DE,$A15)&gt;0,IF(ISNUMBER(SEARCH("[済]",INDEX(Material_Detail!$D:$DC,MATCH($A15,Material_Detail!$DE:$DE,0)+1,88))),0,IFERROR(INDEX(Material_Detail!$D:$DC,MATCH($A15,Material_Detail!$DE:$DE,0),88),0)),SUMIFS(T_Shipments[Confirmed_Qty],T_Shipments[Part Name],$A15,T_Shipments[Effective_Week],88))</f>
        <v/>
      </c>
      <c r="CL15">
        <f>IF(COUNTIF(Material_Detail!$DE:$DE,$A15)&gt;0,IF(ISNUMBER(SEARCH("[済]",INDEX(Material_Detail!$D:$DC,MATCH($A15,Material_Detail!$DE:$DE,0)+1,89))),0,IFERROR(INDEX(Material_Detail!$D:$DC,MATCH($A15,Material_Detail!$DE:$DE,0),89),0)),SUMIFS(T_Shipments[Confirmed_Qty],T_Shipments[Part Name],$A15,T_Shipments[Effective_Week],89))</f>
        <v/>
      </c>
      <c r="CM15">
        <f>IF(COUNTIF(Material_Detail!$DE:$DE,$A15)&gt;0,IF(ISNUMBER(SEARCH("[済]",INDEX(Material_Detail!$D:$DC,MATCH($A15,Material_Detail!$DE:$DE,0)+1,90))),0,IFERROR(INDEX(Material_Detail!$D:$DC,MATCH($A15,Material_Detail!$DE:$DE,0),90),0)),SUMIFS(T_Shipments[Confirmed_Qty],T_Shipments[Part Name],$A15,T_Shipments[Effective_Week],90))</f>
        <v/>
      </c>
      <c r="CN15">
        <f>IF(COUNTIF(Material_Detail!$DE:$DE,$A15)&gt;0,IF(ISNUMBER(SEARCH("[済]",INDEX(Material_Detail!$D:$DC,MATCH($A15,Material_Detail!$DE:$DE,0)+1,91))),0,IFERROR(INDEX(Material_Detail!$D:$DC,MATCH($A15,Material_Detail!$DE:$DE,0),91),0)),SUMIFS(T_Shipments[Confirmed_Qty],T_Shipments[Part Name],$A15,T_Shipments[Effective_Week],91))</f>
        <v/>
      </c>
      <c r="CO15">
        <f>IF(COUNTIF(Material_Detail!$DE:$DE,$A15)&gt;0,IF(ISNUMBER(SEARCH("[済]",INDEX(Material_Detail!$D:$DC,MATCH($A15,Material_Detail!$DE:$DE,0)+1,92))),0,IFERROR(INDEX(Material_Detail!$D:$DC,MATCH($A15,Material_Detail!$DE:$DE,0),92),0)),SUMIFS(T_Shipments[Confirmed_Qty],T_Shipments[Part Name],$A15,T_Shipments[Effective_Week],92))</f>
        <v/>
      </c>
      <c r="CP15">
        <f>IF(COUNTIF(Material_Detail!$DE:$DE,$A15)&gt;0,IF(ISNUMBER(SEARCH("[済]",INDEX(Material_Detail!$D:$DC,MATCH($A15,Material_Detail!$DE:$DE,0)+1,93))),0,IFERROR(INDEX(Material_Detail!$D:$DC,MATCH($A15,Material_Detail!$DE:$DE,0),93),0)),SUMIFS(T_Shipments[Confirmed_Qty],T_Shipments[Part Name],$A15,T_Shipments[Effective_Week],93))</f>
        <v/>
      </c>
      <c r="CQ15">
        <f>IF(COUNTIF(Material_Detail!$DE:$DE,$A15)&gt;0,IF(ISNUMBER(SEARCH("[済]",INDEX(Material_Detail!$D:$DC,MATCH($A15,Material_Detail!$DE:$DE,0)+1,94))),0,IFERROR(INDEX(Material_Detail!$D:$DC,MATCH($A15,Material_Detail!$DE:$DE,0),94),0)),SUMIFS(T_Shipments[Confirmed_Qty],T_Shipments[Part Name],$A15,T_Shipments[Effective_Week],94))</f>
        <v/>
      </c>
      <c r="CR15">
        <f>IF(COUNTIF(Material_Detail!$DE:$DE,$A15)&gt;0,IF(ISNUMBER(SEARCH("[済]",INDEX(Material_Detail!$D:$DC,MATCH($A15,Material_Detail!$DE:$DE,0)+1,95))),0,IFERROR(INDEX(Material_Detail!$D:$DC,MATCH($A15,Material_Detail!$DE:$DE,0),95),0)),SUMIFS(T_Shipments[Confirmed_Qty],T_Shipments[Part Name],$A15,T_Shipments[Effective_Week],95))</f>
        <v/>
      </c>
      <c r="CS15">
        <f>IF(COUNTIF(Material_Detail!$DE:$DE,$A15)&gt;0,IF(ISNUMBER(SEARCH("[済]",INDEX(Material_Detail!$D:$DC,MATCH($A15,Material_Detail!$DE:$DE,0)+1,96))),0,IFERROR(INDEX(Material_Detail!$D:$DC,MATCH($A15,Material_Detail!$DE:$DE,0),96),0)),SUMIFS(T_Shipments[Confirmed_Qty],T_Shipments[Part Name],$A15,T_Shipments[Effective_Week],96))</f>
        <v/>
      </c>
      <c r="CT15">
        <f>IF(COUNTIF(Material_Detail!$DE:$DE,$A15)&gt;0,IF(ISNUMBER(SEARCH("[済]",INDEX(Material_Detail!$D:$DC,MATCH($A15,Material_Detail!$DE:$DE,0)+1,97))),0,IFERROR(INDEX(Material_Detail!$D:$DC,MATCH($A15,Material_Detail!$DE:$DE,0),97),0)),SUMIFS(T_Shipments[Confirmed_Qty],T_Shipments[Part Name],$A15,T_Shipments[Effective_Week],97))</f>
        <v/>
      </c>
      <c r="CU15">
        <f>IF(COUNTIF(Material_Detail!$DE:$DE,$A15)&gt;0,IF(ISNUMBER(SEARCH("[済]",INDEX(Material_Detail!$D:$DC,MATCH($A15,Material_Detail!$DE:$DE,0)+1,98))),0,IFERROR(INDEX(Material_Detail!$D:$DC,MATCH($A15,Material_Detail!$DE:$DE,0),98),0)),SUMIFS(T_Shipments[Confirmed_Qty],T_Shipments[Part Name],$A15,T_Shipments[Effective_Week],98))</f>
        <v/>
      </c>
      <c r="CV15">
        <f>IF(COUNTIF(Material_Detail!$DE:$DE,$A15)&gt;0,IF(ISNUMBER(SEARCH("[済]",INDEX(Material_Detail!$D:$DC,MATCH($A15,Material_Detail!$DE:$DE,0)+1,99))),0,IFERROR(INDEX(Material_Detail!$D:$DC,MATCH($A15,Material_Detail!$DE:$DE,0),99),0)),SUMIFS(T_Shipments[Confirmed_Qty],T_Shipments[Part Name],$A15,T_Shipments[Effective_Week],99))</f>
        <v/>
      </c>
      <c r="CW15">
        <f>IF(COUNTIF(Material_Detail!$DE:$DE,$A15)&gt;0,IF(ISNUMBER(SEARCH("[済]",INDEX(Material_Detail!$D:$DC,MATCH($A15,Material_Detail!$DE:$DE,0)+1,100))),0,IFERROR(INDEX(Material_Detail!$D:$DC,MATCH($A15,Material_Detail!$DE:$DE,0),100),0)),SUMIFS(T_Shipments[Confirmed_Qty],T_Shipments[Part Name],$A15,T_Shipments[Effective_Week],100))</f>
        <v/>
      </c>
      <c r="CX15">
        <f>IF(COUNTIF(Material_Detail!$DE:$DE,$A15)&gt;0,IF(ISNUMBER(SEARCH("[済]",INDEX(Material_Detail!$D:$DC,MATCH($A15,Material_Detail!$DE:$DE,0)+1,101))),0,IFERROR(INDEX(Material_Detail!$D:$DC,MATCH($A15,Material_Detail!$DE:$DE,0),101),0)),SUMIFS(T_Shipments[Confirmed_Qty],T_Shipments[Part Name],$A15,T_Shipments[Effective_Week],101))</f>
        <v/>
      </c>
      <c r="CY15">
        <f>IF(COUNTIF(Material_Detail!$DE:$DE,$A15)&gt;0,IF(ISNUMBER(SEARCH("[済]",INDEX(Material_Detail!$D:$DC,MATCH($A15,Material_Detail!$DE:$DE,0)+1,102))),0,IFERROR(INDEX(Material_Detail!$D:$DC,MATCH($A15,Material_Detail!$DE:$DE,0),102),0)),SUMIFS(T_Shipments[Confirmed_Qty],T_Shipments[Part Name],$A15,T_Shipments[Effective_Week],102))</f>
        <v/>
      </c>
      <c r="CZ15">
        <f>IF(COUNTIF(Material_Detail!$DE:$DE,$A15)&gt;0,IF(ISNUMBER(SEARCH("[済]",INDEX(Material_Detail!$D:$DC,MATCH($A15,Material_Detail!$DE:$DE,0)+1,103))),0,IFERROR(INDEX(Material_Detail!$D:$DC,MATCH($A15,Material_Detail!$DE:$DE,0),103),0)),SUMIFS(T_Shipments[Confirmed_Qty],T_Shipments[Part Name],$A15,T_Shipments[Effective_Week],103))</f>
        <v/>
      </c>
      <c r="DA15">
        <f>IF(COUNTIF(Material_Detail!$DE:$DE,$A15)&gt;0,IF(ISNUMBER(SEARCH("[済]",INDEX(Material_Detail!$D:$DC,MATCH($A15,Material_Detail!$DE:$DE,0)+1,104))),0,IFERROR(INDEX(Material_Detail!$D:$DC,MATCH($A15,Material_Detail!$DE:$DE,0),104),0)),SUMIFS(T_Shipments[Confirmed_Qty],T_Shipments[Part Name],$A15,T_Shipments[Effective_Week],104))</f>
        <v/>
      </c>
    </row>
    <row r="16">
      <c r="A16" t="inlineStr">
        <is>
          <t>8EN</t>
        </is>
      </c>
      <c r="B16">
        <f>IF(COUNTIF(Material_Detail!$DE:$DE,$A16)&gt;0,IF(ISNUMBER(SEARCH("[済]",INDEX(Material_Detail!$D:$DC,MATCH($A16,Material_Detail!$DE:$DE,0)+1,1))),0,IFERROR(INDEX(Material_Detail!$D:$DC,MATCH($A16,Material_Detail!$DE:$DE,0),1),0)),SUMIFS(T_Shipments[Confirmed_Qty],T_Shipments[Part Name],$A16,T_Shipments[Effective_Week],1))</f>
        <v/>
      </c>
      <c r="C16">
        <f>IF(COUNTIF(Material_Detail!$DE:$DE,$A16)&gt;0,IF(ISNUMBER(SEARCH("[済]",INDEX(Material_Detail!$D:$DC,MATCH($A16,Material_Detail!$DE:$DE,0)+1,2))),0,IFERROR(INDEX(Material_Detail!$D:$DC,MATCH($A16,Material_Detail!$DE:$DE,0),2),0)),SUMIFS(T_Shipments[Confirmed_Qty],T_Shipments[Part Name],$A16,T_Shipments[Effective_Week],2))</f>
        <v/>
      </c>
      <c r="D16">
        <f>IF(COUNTIF(Material_Detail!$DE:$DE,$A16)&gt;0,IF(ISNUMBER(SEARCH("[済]",INDEX(Material_Detail!$D:$DC,MATCH($A16,Material_Detail!$DE:$DE,0)+1,3))),0,IFERROR(INDEX(Material_Detail!$D:$DC,MATCH($A16,Material_Detail!$DE:$DE,0),3),0)),SUMIFS(T_Shipments[Confirmed_Qty],T_Shipments[Part Name],$A16,T_Shipments[Effective_Week],3))</f>
        <v/>
      </c>
      <c r="E16">
        <f>IF(COUNTIF(Material_Detail!$DE:$DE,$A16)&gt;0,IF(ISNUMBER(SEARCH("[済]",INDEX(Material_Detail!$D:$DC,MATCH($A16,Material_Detail!$DE:$DE,0)+1,4))),0,IFERROR(INDEX(Material_Detail!$D:$DC,MATCH($A16,Material_Detail!$DE:$DE,0),4),0)),SUMIFS(T_Shipments[Confirmed_Qty],T_Shipments[Part Name],$A16,T_Shipments[Effective_Week],4))</f>
        <v/>
      </c>
      <c r="F16">
        <f>IF(COUNTIF(Material_Detail!$DE:$DE,$A16)&gt;0,IF(ISNUMBER(SEARCH("[済]",INDEX(Material_Detail!$D:$DC,MATCH($A16,Material_Detail!$DE:$DE,0)+1,5))),0,IFERROR(INDEX(Material_Detail!$D:$DC,MATCH($A16,Material_Detail!$DE:$DE,0),5),0)),SUMIFS(T_Shipments[Confirmed_Qty],T_Shipments[Part Name],$A16,T_Shipments[Effective_Week],5))</f>
        <v/>
      </c>
      <c r="G16">
        <f>IF(COUNTIF(Material_Detail!$DE:$DE,$A16)&gt;0,IF(ISNUMBER(SEARCH("[済]",INDEX(Material_Detail!$D:$DC,MATCH($A16,Material_Detail!$DE:$DE,0)+1,6))),0,IFERROR(INDEX(Material_Detail!$D:$DC,MATCH($A16,Material_Detail!$DE:$DE,0),6),0)),SUMIFS(T_Shipments[Confirmed_Qty],T_Shipments[Part Name],$A16,T_Shipments[Effective_Week],6))</f>
        <v/>
      </c>
      <c r="H16">
        <f>IF(COUNTIF(Material_Detail!$DE:$DE,$A16)&gt;0,IF(ISNUMBER(SEARCH("[済]",INDEX(Material_Detail!$D:$DC,MATCH($A16,Material_Detail!$DE:$DE,0)+1,7))),0,IFERROR(INDEX(Material_Detail!$D:$DC,MATCH($A16,Material_Detail!$DE:$DE,0),7),0)),SUMIFS(T_Shipments[Confirmed_Qty],T_Shipments[Part Name],$A16,T_Shipments[Effective_Week],7))</f>
        <v/>
      </c>
      <c r="I16">
        <f>IF(COUNTIF(Material_Detail!$DE:$DE,$A16)&gt;0,IF(ISNUMBER(SEARCH("[済]",INDEX(Material_Detail!$D:$DC,MATCH($A16,Material_Detail!$DE:$DE,0)+1,8))),0,IFERROR(INDEX(Material_Detail!$D:$DC,MATCH($A16,Material_Detail!$DE:$DE,0),8),0)),SUMIFS(T_Shipments[Confirmed_Qty],T_Shipments[Part Name],$A16,T_Shipments[Effective_Week],8))</f>
        <v/>
      </c>
      <c r="J16">
        <f>IF(COUNTIF(Material_Detail!$DE:$DE,$A16)&gt;0,IF(ISNUMBER(SEARCH("[済]",INDEX(Material_Detail!$D:$DC,MATCH($A16,Material_Detail!$DE:$DE,0)+1,9))),0,IFERROR(INDEX(Material_Detail!$D:$DC,MATCH($A16,Material_Detail!$DE:$DE,0),9),0)),SUMIFS(T_Shipments[Confirmed_Qty],T_Shipments[Part Name],$A16,T_Shipments[Effective_Week],9))</f>
        <v/>
      </c>
      <c r="K16">
        <f>IF(COUNTIF(Material_Detail!$DE:$DE,$A16)&gt;0,IF(ISNUMBER(SEARCH("[済]",INDEX(Material_Detail!$D:$DC,MATCH($A16,Material_Detail!$DE:$DE,0)+1,10))),0,IFERROR(INDEX(Material_Detail!$D:$DC,MATCH($A16,Material_Detail!$DE:$DE,0),10),0)),SUMIFS(T_Shipments[Confirmed_Qty],T_Shipments[Part Name],$A16,T_Shipments[Effective_Week],10))</f>
        <v/>
      </c>
      <c r="L16">
        <f>IF(COUNTIF(Material_Detail!$DE:$DE,$A16)&gt;0,IF(ISNUMBER(SEARCH("[済]",INDEX(Material_Detail!$D:$DC,MATCH($A16,Material_Detail!$DE:$DE,0)+1,11))),0,IFERROR(INDEX(Material_Detail!$D:$DC,MATCH($A16,Material_Detail!$DE:$DE,0),11),0)),SUMIFS(T_Shipments[Confirmed_Qty],T_Shipments[Part Name],$A16,T_Shipments[Effective_Week],11))</f>
        <v/>
      </c>
      <c r="M16">
        <f>IF(COUNTIF(Material_Detail!$DE:$DE,$A16)&gt;0,IF(ISNUMBER(SEARCH("[済]",INDEX(Material_Detail!$D:$DC,MATCH($A16,Material_Detail!$DE:$DE,0)+1,12))),0,IFERROR(INDEX(Material_Detail!$D:$DC,MATCH($A16,Material_Detail!$DE:$DE,0),12),0)),SUMIFS(T_Shipments[Confirmed_Qty],T_Shipments[Part Name],$A16,T_Shipments[Effective_Week],12))</f>
        <v/>
      </c>
      <c r="N16">
        <f>IF(COUNTIF(Material_Detail!$DE:$DE,$A16)&gt;0,IF(ISNUMBER(SEARCH("[済]",INDEX(Material_Detail!$D:$DC,MATCH($A16,Material_Detail!$DE:$DE,0)+1,13))),0,IFERROR(INDEX(Material_Detail!$D:$DC,MATCH($A16,Material_Detail!$DE:$DE,0),13),0)),SUMIFS(T_Shipments[Confirmed_Qty],T_Shipments[Part Name],$A16,T_Shipments[Effective_Week],13))</f>
        <v/>
      </c>
      <c r="O16">
        <f>IF(COUNTIF(Material_Detail!$DE:$DE,$A16)&gt;0,IF(ISNUMBER(SEARCH("[済]",INDEX(Material_Detail!$D:$DC,MATCH($A16,Material_Detail!$DE:$DE,0)+1,14))),0,IFERROR(INDEX(Material_Detail!$D:$DC,MATCH($A16,Material_Detail!$DE:$DE,0),14),0)),SUMIFS(T_Shipments[Confirmed_Qty],T_Shipments[Part Name],$A16,T_Shipments[Effective_Week],14))</f>
        <v/>
      </c>
      <c r="P16">
        <f>IF(COUNTIF(Material_Detail!$DE:$DE,$A16)&gt;0,IF(ISNUMBER(SEARCH("[済]",INDEX(Material_Detail!$D:$DC,MATCH($A16,Material_Detail!$DE:$DE,0)+1,15))),0,IFERROR(INDEX(Material_Detail!$D:$DC,MATCH($A16,Material_Detail!$DE:$DE,0),15),0)),SUMIFS(T_Shipments[Confirmed_Qty],T_Shipments[Part Name],$A16,T_Shipments[Effective_Week],15))</f>
        <v/>
      </c>
      <c r="Q16">
        <f>IF(COUNTIF(Material_Detail!$DE:$DE,$A16)&gt;0,IF(ISNUMBER(SEARCH("[済]",INDEX(Material_Detail!$D:$DC,MATCH($A16,Material_Detail!$DE:$DE,0)+1,16))),0,IFERROR(INDEX(Material_Detail!$D:$DC,MATCH($A16,Material_Detail!$DE:$DE,0),16),0)),SUMIFS(T_Shipments[Confirmed_Qty],T_Shipments[Part Name],$A16,T_Shipments[Effective_Week],16))</f>
        <v/>
      </c>
      <c r="R16">
        <f>IF(COUNTIF(Material_Detail!$DE:$DE,$A16)&gt;0,IF(ISNUMBER(SEARCH("[済]",INDEX(Material_Detail!$D:$DC,MATCH($A16,Material_Detail!$DE:$DE,0)+1,17))),0,IFERROR(INDEX(Material_Detail!$D:$DC,MATCH($A16,Material_Detail!$DE:$DE,0),17),0)),SUMIFS(T_Shipments[Confirmed_Qty],T_Shipments[Part Name],$A16,T_Shipments[Effective_Week],17))</f>
        <v/>
      </c>
      <c r="S16">
        <f>IF(COUNTIF(Material_Detail!$DE:$DE,$A16)&gt;0,IF(ISNUMBER(SEARCH("[済]",INDEX(Material_Detail!$D:$DC,MATCH($A16,Material_Detail!$DE:$DE,0)+1,18))),0,IFERROR(INDEX(Material_Detail!$D:$DC,MATCH($A16,Material_Detail!$DE:$DE,0),18),0)),SUMIFS(T_Shipments[Confirmed_Qty],T_Shipments[Part Name],$A16,T_Shipments[Effective_Week],18))</f>
        <v/>
      </c>
      <c r="T16">
        <f>IF(COUNTIF(Material_Detail!$DE:$DE,$A16)&gt;0,IF(ISNUMBER(SEARCH("[済]",INDEX(Material_Detail!$D:$DC,MATCH($A16,Material_Detail!$DE:$DE,0)+1,19))),0,IFERROR(INDEX(Material_Detail!$D:$DC,MATCH($A16,Material_Detail!$DE:$DE,0),19),0)),SUMIFS(T_Shipments[Confirmed_Qty],T_Shipments[Part Name],$A16,T_Shipments[Effective_Week],19))</f>
        <v/>
      </c>
      <c r="U16">
        <f>IF(COUNTIF(Material_Detail!$DE:$DE,$A16)&gt;0,IF(ISNUMBER(SEARCH("[済]",INDEX(Material_Detail!$D:$DC,MATCH($A16,Material_Detail!$DE:$DE,0)+1,20))),0,IFERROR(INDEX(Material_Detail!$D:$DC,MATCH($A16,Material_Detail!$DE:$DE,0),20),0)),SUMIFS(T_Shipments[Confirmed_Qty],T_Shipments[Part Name],$A16,T_Shipments[Effective_Week],20))</f>
        <v/>
      </c>
      <c r="V16">
        <f>IF(COUNTIF(Material_Detail!$DE:$DE,$A16)&gt;0,IF(ISNUMBER(SEARCH("[済]",INDEX(Material_Detail!$D:$DC,MATCH($A16,Material_Detail!$DE:$DE,0)+1,21))),0,IFERROR(INDEX(Material_Detail!$D:$DC,MATCH($A16,Material_Detail!$DE:$DE,0),21),0)),SUMIFS(T_Shipments[Confirmed_Qty],T_Shipments[Part Name],$A16,T_Shipments[Effective_Week],21))</f>
        <v/>
      </c>
      <c r="W16">
        <f>IF(COUNTIF(Material_Detail!$DE:$DE,$A16)&gt;0,IF(ISNUMBER(SEARCH("[済]",INDEX(Material_Detail!$D:$DC,MATCH($A16,Material_Detail!$DE:$DE,0)+1,22))),0,IFERROR(INDEX(Material_Detail!$D:$DC,MATCH($A16,Material_Detail!$DE:$DE,0),22),0)),SUMIFS(T_Shipments[Confirmed_Qty],T_Shipments[Part Name],$A16,T_Shipments[Effective_Week],22))</f>
        <v/>
      </c>
      <c r="X16">
        <f>IF(COUNTIF(Material_Detail!$DE:$DE,$A16)&gt;0,IF(ISNUMBER(SEARCH("[済]",INDEX(Material_Detail!$D:$DC,MATCH($A16,Material_Detail!$DE:$DE,0)+1,23))),0,IFERROR(INDEX(Material_Detail!$D:$DC,MATCH($A16,Material_Detail!$DE:$DE,0),23),0)),SUMIFS(T_Shipments[Confirmed_Qty],T_Shipments[Part Name],$A16,T_Shipments[Effective_Week],23))</f>
        <v/>
      </c>
      <c r="Y16">
        <f>IF(COUNTIF(Material_Detail!$DE:$DE,$A16)&gt;0,IF(ISNUMBER(SEARCH("[済]",INDEX(Material_Detail!$D:$DC,MATCH($A16,Material_Detail!$DE:$DE,0)+1,24))),0,IFERROR(INDEX(Material_Detail!$D:$DC,MATCH($A16,Material_Detail!$DE:$DE,0),24),0)),SUMIFS(T_Shipments[Confirmed_Qty],T_Shipments[Part Name],$A16,T_Shipments[Effective_Week],24))</f>
        <v/>
      </c>
      <c r="Z16">
        <f>IF(COUNTIF(Material_Detail!$DE:$DE,$A16)&gt;0,IF(ISNUMBER(SEARCH("[済]",INDEX(Material_Detail!$D:$DC,MATCH($A16,Material_Detail!$DE:$DE,0)+1,25))),0,IFERROR(INDEX(Material_Detail!$D:$DC,MATCH($A16,Material_Detail!$DE:$DE,0),25),0)),SUMIFS(T_Shipments[Confirmed_Qty],T_Shipments[Part Name],$A16,T_Shipments[Effective_Week],25))</f>
        <v/>
      </c>
      <c r="AA16">
        <f>IF(COUNTIF(Material_Detail!$DE:$DE,$A16)&gt;0,IF(ISNUMBER(SEARCH("[済]",INDEX(Material_Detail!$D:$DC,MATCH($A16,Material_Detail!$DE:$DE,0)+1,26))),0,IFERROR(INDEX(Material_Detail!$D:$DC,MATCH($A16,Material_Detail!$DE:$DE,0),26),0)),SUMIFS(T_Shipments[Confirmed_Qty],T_Shipments[Part Name],$A16,T_Shipments[Effective_Week],26))</f>
        <v/>
      </c>
      <c r="AB16">
        <f>IF(COUNTIF(Material_Detail!$DE:$DE,$A16)&gt;0,IF(ISNUMBER(SEARCH("[済]",INDEX(Material_Detail!$D:$DC,MATCH($A16,Material_Detail!$DE:$DE,0)+1,27))),0,IFERROR(INDEX(Material_Detail!$D:$DC,MATCH($A16,Material_Detail!$DE:$DE,0),27),0)),SUMIFS(T_Shipments[Confirmed_Qty],T_Shipments[Part Name],$A16,T_Shipments[Effective_Week],27))</f>
        <v/>
      </c>
      <c r="AC16">
        <f>IF(COUNTIF(Material_Detail!$DE:$DE,$A16)&gt;0,IF(ISNUMBER(SEARCH("[済]",INDEX(Material_Detail!$D:$DC,MATCH($A16,Material_Detail!$DE:$DE,0)+1,28))),0,IFERROR(INDEX(Material_Detail!$D:$DC,MATCH($A16,Material_Detail!$DE:$DE,0),28),0)),SUMIFS(T_Shipments[Confirmed_Qty],T_Shipments[Part Name],$A16,T_Shipments[Effective_Week],28))</f>
        <v/>
      </c>
      <c r="AD16">
        <f>IF(COUNTIF(Material_Detail!$DE:$DE,$A16)&gt;0,IF(ISNUMBER(SEARCH("[済]",INDEX(Material_Detail!$D:$DC,MATCH($A16,Material_Detail!$DE:$DE,0)+1,29))),0,IFERROR(INDEX(Material_Detail!$D:$DC,MATCH($A16,Material_Detail!$DE:$DE,0),29),0)),SUMIFS(T_Shipments[Confirmed_Qty],T_Shipments[Part Name],$A16,T_Shipments[Effective_Week],29))</f>
        <v/>
      </c>
      <c r="AE16">
        <f>IF(COUNTIF(Material_Detail!$DE:$DE,$A16)&gt;0,IF(ISNUMBER(SEARCH("[済]",INDEX(Material_Detail!$D:$DC,MATCH($A16,Material_Detail!$DE:$DE,0)+1,30))),0,IFERROR(INDEX(Material_Detail!$D:$DC,MATCH($A16,Material_Detail!$DE:$DE,0),30),0)),SUMIFS(T_Shipments[Confirmed_Qty],T_Shipments[Part Name],$A16,T_Shipments[Effective_Week],30))</f>
        <v/>
      </c>
      <c r="AF16">
        <f>IF(COUNTIF(Material_Detail!$DE:$DE,$A16)&gt;0,IF(ISNUMBER(SEARCH("[済]",INDEX(Material_Detail!$D:$DC,MATCH($A16,Material_Detail!$DE:$DE,0)+1,31))),0,IFERROR(INDEX(Material_Detail!$D:$DC,MATCH($A16,Material_Detail!$DE:$DE,0),31),0)),SUMIFS(T_Shipments[Confirmed_Qty],T_Shipments[Part Name],$A16,T_Shipments[Effective_Week],31))</f>
        <v/>
      </c>
      <c r="AG16">
        <f>IF(COUNTIF(Material_Detail!$DE:$DE,$A16)&gt;0,IF(ISNUMBER(SEARCH("[済]",INDEX(Material_Detail!$D:$DC,MATCH($A16,Material_Detail!$DE:$DE,0)+1,32))),0,IFERROR(INDEX(Material_Detail!$D:$DC,MATCH($A16,Material_Detail!$DE:$DE,0),32),0)),SUMIFS(T_Shipments[Confirmed_Qty],T_Shipments[Part Name],$A16,T_Shipments[Effective_Week],32))</f>
        <v/>
      </c>
      <c r="AH16">
        <f>IF(COUNTIF(Material_Detail!$DE:$DE,$A16)&gt;0,IF(ISNUMBER(SEARCH("[済]",INDEX(Material_Detail!$D:$DC,MATCH($A16,Material_Detail!$DE:$DE,0)+1,33))),0,IFERROR(INDEX(Material_Detail!$D:$DC,MATCH($A16,Material_Detail!$DE:$DE,0),33),0)),SUMIFS(T_Shipments[Confirmed_Qty],T_Shipments[Part Name],$A16,T_Shipments[Effective_Week],33))</f>
        <v/>
      </c>
      <c r="AI16">
        <f>IF(COUNTIF(Material_Detail!$DE:$DE,$A16)&gt;0,IF(ISNUMBER(SEARCH("[済]",INDEX(Material_Detail!$D:$DC,MATCH($A16,Material_Detail!$DE:$DE,0)+1,34))),0,IFERROR(INDEX(Material_Detail!$D:$DC,MATCH($A16,Material_Detail!$DE:$DE,0),34),0)),SUMIFS(T_Shipments[Confirmed_Qty],T_Shipments[Part Name],$A16,T_Shipments[Effective_Week],34))</f>
        <v/>
      </c>
      <c r="AJ16">
        <f>IF(COUNTIF(Material_Detail!$DE:$DE,$A16)&gt;0,IF(ISNUMBER(SEARCH("[済]",INDEX(Material_Detail!$D:$DC,MATCH($A16,Material_Detail!$DE:$DE,0)+1,35))),0,IFERROR(INDEX(Material_Detail!$D:$DC,MATCH($A16,Material_Detail!$DE:$DE,0),35),0)),SUMIFS(T_Shipments[Confirmed_Qty],T_Shipments[Part Name],$A16,T_Shipments[Effective_Week],35))</f>
        <v/>
      </c>
      <c r="AK16">
        <f>IF(COUNTIF(Material_Detail!$DE:$DE,$A16)&gt;0,IF(ISNUMBER(SEARCH("[済]",INDEX(Material_Detail!$D:$DC,MATCH($A16,Material_Detail!$DE:$DE,0)+1,36))),0,IFERROR(INDEX(Material_Detail!$D:$DC,MATCH($A16,Material_Detail!$DE:$DE,0),36),0)),SUMIFS(T_Shipments[Confirmed_Qty],T_Shipments[Part Name],$A16,T_Shipments[Effective_Week],36))</f>
        <v/>
      </c>
      <c r="AL16">
        <f>IF(COUNTIF(Material_Detail!$DE:$DE,$A16)&gt;0,IF(ISNUMBER(SEARCH("[済]",INDEX(Material_Detail!$D:$DC,MATCH($A16,Material_Detail!$DE:$DE,0)+1,37))),0,IFERROR(INDEX(Material_Detail!$D:$DC,MATCH($A16,Material_Detail!$DE:$DE,0),37),0)),SUMIFS(T_Shipments[Confirmed_Qty],T_Shipments[Part Name],$A16,T_Shipments[Effective_Week],37))</f>
        <v/>
      </c>
      <c r="AM16">
        <f>IF(COUNTIF(Material_Detail!$DE:$DE,$A16)&gt;0,IF(ISNUMBER(SEARCH("[済]",INDEX(Material_Detail!$D:$DC,MATCH($A16,Material_Detail!$DE:$DE,0)+1,38))),0,IFERROR(INDEX(Material_Detail!$D:$DC,MATCH($A16,Material_Detail!$DE:$DE,0),38),0)),SUMIFS(T_Shipments[Confirmed_Qty],T_Shipments[Part Name],$A16,T_Shipments[Effective_Week],38))</f>
        <v/>
      </c>
      <c r="AN16">
        <f>IF(COUNTIF(Material_Detail!$DE:$DE,$A16)&gt;0,IF(ISNUMBER(SEARCH("[済]",INDEX(Material_Detail!$D:$DC,MATCH($A16,Material_Detail!$DE:$DE,0)+1,39))),0,IFERROR(INDEX(Material_Detail!$D:$DC,MATCH($A16,Material_Detail!$DE:$DE,0),39),0)),SUMIFS(T_Shipments[Confirmed_Qty],T_Shipments[Part Name],$A16,T_Shipments[Effective_Week],39))</f>
        <v/>
      </c>
      <c r="AO16">
        <f>IF(COUNTIF(Material_Detail!$DE:$DE,$A16)&gt;0,IF(ISNUMBER(SEARCH("[済]",INDEX(Material_Detail!$D:$DC,MATCH($A16,Material_Detail!$DE:$DE,0)+1,40))),0,IFERROR(INDEX(Material_Detail!$D:$DC,MATCH($A16,Material_Detail!$DE:$DE,0),40),0)),SUMIFS(T_Shipments[Confirmed_Qty],T_Shipments[Part Name],$A16,T_Shipments[Effective_Week],40))</f>
        <v/>
      </c>
      <c r="AP16">
        <f>IF(COUNTIF(Material_Detail!$DE:$DE,$A16)&gt;0,IF(ISNUMBER(SEARCH("[済]",INDEX(Material_Detail!$D:$DC,MATCH($A16,Material_Detail!$DE:$DE,0)+1,41))),0,IFERROR(INDEX(Material_Detail!$D:$DC,MATCH($A16,Material_Detail!$DE:$DE,0),41),0)),SUMIFS(T_Shipments[Confirmed_Qty],T_Shipments[Part Name],$A16,T_Shipments[Effective_Week],41))</f>
        <v/>
      </c>
      <c r="AQ16">
        <f>IF(COUNTIF(Material_Detail!$DE:$DE,$A16)&gt;0,IF(ISNUMBER(SEARCH("[済]",INDEX(Material_Detail!$D:$DC,MATCH($A16,Material_Detail!$DE:$DE,0)+1,42))),0,IFERROR(INDEX(Material_Detail!$D:$DC,MATCH($A16,Material_Detail!$DE:$DE,0),42),0)),SUMIFS(T_Shipments[Confirmed_Qty],T_Shipments[Part Name],$A16,T_Shipments[Effective_Week],42))</f>
        <v/>
      </c>
      <c r="AR16">
        <f>IF(COUNTIF(Material_Detail!$DE:$DE,$A16)&gt;0,IF(ISNUMBER(SEARCH("[済]",INDEX(Material_Detail!$D:$DC,MATCH($A16,Material_Detail!$DE:$DE,0)+1,43))),0,IFERROR(INDEX(Material_Detail!$D:$DC,MATCH($A16,Material_Detail!$DE:$DE,0),43),0)),SUMIFS(T_Shipments[Confirmed_Qty],T_Shipments[Part Name],$A16,T_Shipments[Effective_Week],43))</f>
        <v/>
      </c>
      <c r="AS16">
        <f>IF(COUNTIF(Material_Detail!$DE:$DE,$A16)&gt;0,IF(ISNUMBER(SEARCH("[済]",INDEX(Material_Detail!$D:$DC,MATCH($A16,Material_Detail!$DE:$DE,0)+1,44))),0,IFERROR(INDEX(Material_Detail!$D:$DC,MATCH($A16,Material_Detail!$DE:$DE,0),44),0)),SUMIFS(T_Shipments[Confirmed_Qty],T_Shipments[Part Name],$A16,T_Shipments[Effective_Week],44))</f>
        <v/>
      </c>
      <c r="AT16">
        <f>IF(COUNTIF(Material_Detail!$DE:$DE,$A16)&gt;0,IF(ISNUMBER(SEARCH("[済]",INDEX(Material_Detail!$D:$DC,MATCH($A16,Material_Detail!$DE:$DE,0)+1,45))),0,IFERROR(INDEX(Material_Detail!$D:$DC,MATCH($A16,Material_Detail!$DE:$DE,0),45),0)),SUMIFS(T_Shipments[Confirmed_Qty],T_Shipments[Part Name],$A16,T_Shipments[Effective_Week],45))</f>
        <v/>
      </c>
      <c r="AU16">
        <f>IF(COUNTIF(Material_Detail!$DE:$DE,$A16)&gt;0,IF(ISNUMBER(SEARCH("[済]",INDEX(Material_Detail!$D:$DC,MATCH($A16,Material_Detail!$DE:$DE,0)+1,46))),0,IFERROR(INDEX(Material_Detail!$D:$DC,MATCH($A16,Material_Detail!$DE:$DE,0),46),0)),SUMIFS(T_Shipments[Confirmed_Qty],T_Shipments[Part Name],$A16,T_Shipments[Effective_Week],46))</f>
        <v/>
      </c>
      <c r="AV16">
        <f>IF(COUNTIF(Material_Detail!$DE:$DE,$A16)&gt;0,IF(ISNUMBER(SEARCH("[済]",INDEX(Material_Detail!$D:$DC,MATCH($A16,Material_Detail!$DE:$DE,0)+1,47))),0,IFERROR(INDEX(Material_Detail!$D:$DC,MATCH($A16,Material_Detail!$DE:$DE,0),47),0)),SUMIFS(T_Shipments[Confirmed_Qty],T_Shipments[Part Name],$A16,T_Shipments[Effective_Week],47))</f>
        <v/>
      </c>
      <c r="AW16">
        <f>IF(COUNTIF(Material_Detail!$DE:$DE,$A16)&gt;0,IF(ISNUMBER(SEARCH("[済]",INDEX(Material_Detail!$D:$DC,MATCH($A16,Material_Detail!$DE:$DE,0)+1,48))),0,IFERROR(INDEX(Material_Detail!$D:$DC,MATCH($A16,Material_Detail!$DE:$DE,0),48),0)),SUMIFS(T_Shipments[Confirmed_Qty],T_Shipments[Part Name],$A16,T_Shipments[Effective_Week],48))</f>
        <v/>
      </c>
      <c r="AX16">
        <f>IF(COUNTIF(Material_Detail!$DE:$DE,$A16)&gt;0,IF(ISNUMBER(SEARCH("[済]",INDEX(Material_Detail!$D:$DC,MATCH($A16,Material_Detail!$DE:$DE,0)+1,49))),0,IFERROR(INDEX(Material_Detail!$D:$DC,MATCH($A16,Material_Detail!$DE:$DE,0),49),0)),SUMIFS(T_Shipments[Confirmed_Qty],T_Shipments[Part Name],$A16,T_Shipments[Effective_Week],49))</f>
        <v/>
      </c>
      <c r="AY16">
        <f>IF(COUNTIF(Material_Detail!$DE:$DE,$A16)&gt;0,IF(ISNUMBER(SEARCH("[済]",INDEX(Material_Detail!$D:$DC,MATCH($A16,Material_Detail!$DE:$DE,0)+1,50))),0,IFERROR(INDEX(Material_Detail!$D:$DC,MATCH($A16,Material_Detail!$DE:$DE,0),50),0)),SUMIFS(T_Shipments[Confirmed_Qty],T_Shipments[Part Name],$A16,T_Shipments[Effective_Week],50))</f>
        <v/>
      </c>
      <c r="AZ16">
        <f>IF(COUNTIF(Material_Detail!$DE:$DE,$A16)&gt;0,IF(ISNUMBER(SEARCH("[済]",INDEX(Material_Detail!$D:$DC,MATCH($A16,Material_Detail!$DE:$DE,0)+1,51))),0,IFERROR(INDEX(Material_Detail!$D:$DC,MATCH($A16,Material_Detail!$DE:$DE,0),51),0)),SUMIFS(T_Shipments[Confirmed_Qty],T_Shipments[Part Name],$A16,T_Shipments[Effective_Week],51))</f>
        <v/>
      </c>
      <c r="BA16">
        <f>IF(COUNTIF(Material_Detail!$DE:$DE,$A16)&gt;0,IF(ISNUMBER(SEARCH("[済]",INDEX(Material_Detail!$D:$DC,MATCH($A16,Material_Detail!$DE:$DE,0)+1,52))),0,IFERROR(INDEX(Material_Detail!$D:$DC,MATCH($A16,Material_Detail!$DE:$DE,0),52),0)),SUMIFS(T_Shipments[Confirmed_Qty],T_Shipments[Part Name],$A16,T_Shipments[Effective_Week],52))</f>
        <v/>
      </c>
      <c r="BB16">
        <f>IF(COUNTIF(Material_Detail!$DE:$DE,$A16)&gt;0,IF(ISNUMBER(SEARCH("[済]",INDEX(Material_Detail!$D:$DC,MATCH($A16,Material_Detail!$DE:$DE,0)+1,53))),0,IFERROR(INDEX(Material_Detail!$D:$DC,MATCH($A16,Material_Detail!$DE:$DE,0),53),0)),SUMIFS(T_Shipments[Confirmed_Qty],T_Shipments[Part Name],$A16,T_Shipments[Effective_Week],53))</f>
        <v/>
      </c>
      <c r="BC16">
        <f>IF(COUNTIF(Material_Detail!$DE:$DE,$A16)&gt;0,IF(ISNUMBER(SEARCH("[済]",INDEX(Material_Detail!$D:$DC,MATCH($A16,Material_Detail!$DE:$DE,0)+1,54))),0,IFERROR(INDEX(Material_Detail!$D:$DC,MATCH($A16,Material_Detail!$DE:$DE,0),54),0)),SUMIFS(T_Shipments[Confirmed_Qty],T_Shipments[Part Name],$A16,T_Shipments[Effective_Week],54))</f>
        <v/>
      </c>
      <c r="BD16">
        <f>IF(COUNTIF(Material_Detail!$DE:$DE,$A16)&gt;0,IF(ISNUMBER(SEARCH("[済]",INDEX(Material_Detail!$D:$DC,MATCH($A16,Material_Detail!$DE:$DE,0)+1,55))),0,IFERROR(INDEX(Material_Detail!$D:$DC,MATCH($A16,Material_Detail!$DE:$DE,0),55),0)),SUMIFS(T_Shipments[Confirmed_Qty],T_Shipments[Part Name],$A16,T_Shipments[Effective_Week],55))</f>
        <v/>
      </c>
      <c r="BE16">
        <f>IF(COUNTIF(Material_Detail!$DE:$DE,$A16)&gt;0,IF(ISNUMBER(SEARCH("[済]",INDEX(Material_Detail!$D:$DC,MATCH($A16,Material_Detail!$DE:$DE,0)+1,56))),0,IFERROR(INDEX(Material_Detail!$D:$DC,MATCH($A16,Material_Detail!$DE:$DE,0),56),0)),SUMIFS(T_Shipments[Confirmed_Qty],T_Shipments[Part Name],$A16,T_Shipments[Effective_Week],56))</f>
        <v/>
      </c>
      <c r="BF16">
        <f>IF(COUNTIF(Material_Detail!$DE:$DE,$A16)&gt;0,IF(ISNUMBER(SEARCH("[済]",INDEX(Material_Detail!$D:$DC,MATCH($A16,Material_Detail!$DE:$DE,0)+1,57))),0,IFERROR(INDEX(Material_Detail!$D:$DC,MATCH($A16,Material_Detail!$DE:$DE,0),57),0)),SUMIFS(T_Shipments[Confirmed_Qty],T_Shipments[Part Name],$A16,T_Shipments[Effective_Week],57))</f>
        <v/>
      </c>
      <c r="BG16">
        <f>IF(COUNTIF(Material_Detail!$DE:$DE,$A16)&gt;0,IF(ISNUMBER(SEARCH("[済]",INDEX(Material_Detail!$D:$DC,MATCH($A16,Material_Detail!$DE:$DE,0)+1,58))),0,IFERROR(INDEX(Material_Detail!$D:$DC,MATCH($A16,Material_Detail!$DE:$DE,0),58),0)),SUMIFS(T_Shipments[Confirmed_Qty],T_Shipments[Part Name],$A16,T_Shipments[Effective_Week],58))</f>
        <v/>
      </c>
      <c r="BH16">
        <f>IF(COUNTIF(Material_Detail!$DE:$DE,$A16)&gt;0,IF(ISNUMBER(SEARCH("[済]",INDEX(Material_Detail!$D:$DC,MATCH($A16,Material_Detail!$DE:$DE,0)+1,59))),0,IFERROR(INDEX(Material_Detail!$D:$DC,MATCH($A16,Material_Detail!$DE:$DE,0),59),0)),SUMIFS(T_Shipments[Confirmed_Qty],T_Shipments[Part Name],$A16,T_Shipments[Effective_Week],59))</f>
        <v/>
      </c>
      <c r="BI16">
        <f>IF(COUNTIF(Material_Detail!$DE:$DE,$A16)&gt;0,IF(ISNUMBER(SEARCH("[済]",INDEX(Material_Detail!$D:$DC,MATCH($A16,Material_Detail!$DE:$DE,0)+1,60))),0,IFERROR(INDEX(Material_Detail!$D:$DC,MATCH($A16,Material_Detail!$DE:$DE,0),60),0)),SUMIFS(T_Shipments[Confirmed_Qty],T_Shipments[Part Name],$A16,T_Shipments[Effective_Week],60))</f>
        <v/>
      </c>
      <c r="BJ16">
        <f>IF(COUNTIF(Material_Detail!$DE:$DE,$A16)&gt;0,IF(ISNUMBER(SEARCH("[済]",INDEX(Material_Detail!$D:$DC,MATCH($A16,Material_Detail!$DE:$DE,0)+1,61))),0,IFERROR(INDEX(Material_Detail!$D:$DC,MATCH($A16,Material_Detail!$DE:$DE,0),61),0)),SUMIFS(T_Shipments[Confirmed_Qty],T_Shipments[Part Name],$A16,T_Shipments[Effective_Week],61))</f>
        <v/>
      </c>
      <c r="BK16">
        <f>IF(COUNTIF(Material_Detail!$DE:$DE,$A16)&gt;0,IF(ISNUMBER(SEARCH("[済]",INDEX(Material_Detail!$D:$DC,MATCH($A16,Material_Detail!$DE:$DE,0)+1,62))),0,IFERROR(INDEX(Material_Detail!$D:$DC,MATCH($A16,Material_Detail!$DE:$DE,0),62),0)),SUMIFS(T_Shipments[Confirmed_Qty],T_Shipments[Part Name],$A16,T_Shipments[Effective_Week],62))</f>
        <v/>
      </c>
      <c r="BL16">
        <f>IF(COUNTIF(Material_Detail!$DE:$DE,$A16)&gt;0,IF(ISNUMBER(SEARCH("[済]",INDEX(Material_Detail!$D:$DC,MATCH($A16,Material_Detail!$DE:$DE,0)+1,63))),0,IFERROR(INDEX(Material_Detail!$D:$DC,MATCH($A16,Material_Detail!$DE:$DE,0),63),0)),SUMIFS(T_Shipments[Confirmed_Qty],T_Shipments[Part Name],$A16,T_Shipments[Effective_Week],63))</f>
        <v/>
      </c>
      <c r="BM16">
        <f>IF(COUNTIF(Material_Detail!$DE:$DE,$A16)&gt;0,IF(ISNUMBER(SEARCH("[済]",INDEX(Material_Detail!$D:$DC,MATCH($A16,Material_Detail!$DE:$DE,0)+1,64))),0,IFERROR(INDEX(Material_Detail!$D:$DC,MATCH($A16,Material_Detail!$DE:$DE,0),64),0)),SUMIFS(T_Shipments[Confirmed_Qty],T_Shipments[Part Name],$A16,T_Shipments[Effective_Week],64))</f>
        <v/>
      </c>
      <c r="BN16">
        <f>IF(COUNTIF(Material_Detail!$DE:$DE,$A16)&gt;0,IF(ISNUMBER(SEARCH("[済]",INDEX(Material_Detail!$D:$DC,MATCH($A16,Material_Detail!$DE:$DE,0)+1,65))),0,IFERROR(INDEX(Material_Detail!$D:$DC,MATCH($A16,Material_Detail!$DE:$DE,0),65),0)),SUMIFS(T_Shipments[Confirmed_Qty],T_Shipments[Part Name],$A16,T_Shipments[Effective_Week],65))</f>
        <v/>
      </c>
      <c r="BO16">
        <f>IF(COUNTIF(Material_Detail!$DE:$DE,$A16)&gt;0,IF(ISNUMBER(SEARCH("[済]",INDEX(Material_Detail!$D:$DC,MATCH($A16,Material_Detail!$DE:$DE,0)+1,66))),0,IFERROR(INDEX(Material_Detail!$D:$DC,MATCH($A16,Material_Detail!$DE:$DE,0),66),0)),SUMIFS(T_Shipments[Confirmed_Qty],T_Shipments[Part Name],$A16,T_Shipments[Effective_Week],66))</f>
        <v/>
      </c>
      <c r="BP16">
        <f>IF(COUNTIF(Material_Detail!$DE:$DE,$A16)&gt;0,IF(ISNUMBER(SEARCH("[済]",INDEX(Material_Detail!$D:$DC,MATCH($A16,Material_Detail!$DE:$DE,0)+1,67))),0,IFERROR(INDEX(Material_Detail!$D:$DC,MATCH($A16,Material_Detail!$DE:$DE,0),67),0)),SUMIFS(T_Shipments[Confirmed_Qty],T_Shipments[Part Name],$A16,T_Shipments[Effective_Week],67))</f>
        <v/>
      </c>
      <c r="BQ16">
        <f>IF(COUNTIF(Material_Detail!$DE:$DE,$A16)&gt;0,IF(ISNUMBER(SEARCH("[済]",INDEX(Material_Detail!$D:$DC,MATCH($A16,Material_Detail!$DE:$DE,0)+1,68))),0,IFERROR(INDEX(Material_Detail!$D:$DC,MATCH($A16,Material_Detail!$DE:$DE,0),68),0)),SUMIFS(T_Shipments[Confirmed_Qty],T_Shipments[Part Name],$A16,T_Shipments[Effective_Week],68))</f>
        <v/>
      </c>
      <c r="BR16">
        <f>IF(COUNTIF(Material_Detail!$DE:$DE,$A16)&gt;0,IF(ISNUMBER(SEARCH("[済]",INDEX(Material_Detail!$D:$DC,MATCH($A16,Material_Detail!$DE:$DE,0)+1,69))),0,IFERROR(INDEX(Material_Detail!$D:$DC,MATCH($A16,Material_Detail!$DE:$DE,0),69),0)),SUMIFS(T_Shipments[Confirmed_Qty],T_Shipments[Part Name],$A16,T_Shipments[Effective_Week],69))</f>
        <v/>
      </c>
      <c r="BS16">
        <f>IF(COUNTIF(Material_Detail!$DE:$DE,$A16)&gt;0,IF(ISNUMBER(SEARCH("[済]",INDEX(Material_Detail!$D:$DC,MATCH($A16,Material_Detail!$DE:$DE,0)+1,70))),0,IFERROR(INDEX(Material_Detail!$D:$DC,MATCH($A16,Material_Detail!$DE:$DE,0),70),0)),SUMIFS(T_Shipments[Confirmed_Qty],T_Shipments[Part Name],$A16,T_Shipments[Effective_Week],70))</f>
        <v/>
      </c>
      <c r="BT16">
        <f>IF(COUNTIF(Material_Detail!$DE:$DE,$A16)&gt;0,IF(ISNUMBER(SEARCH("[済]",INDEX(Material_Detail!$D:$DC,MATCH($A16,Material_Detail!$DE:$DE,0)+1,71))),0,IFERROR(INDEX(Material_Detail!$D:$DC,MATCH($A16,Material_Detail!$DE:$DE,0),71),0)),SUMIFS(T_Shipments[Confirmed_Qty],T_Shipments[Part Name],$A16,T_Shipments[Effective_Week],71))</f>
        <v/>
      </c>
      <c r="BU16">
        <f>IF(COUNTIF(Material_Detail!$DE:$DE,$A16)&gt;0,IF(ISNUMBER(SEARCH("[済]",INDEX(Material_Detail!$D:$DC,MATCH($A16,Material_Detail!$DE:$DE,0)+1,72))),0,IFERROR(INDEX(Material_Detail!$D:$DC,MATCH($A16,Material_Detail!$DE:$DE,0),72),0)),SUMIFS(T_Shipments[Confirmed_Qty],T_Shipments[Part Name],$A16,T_Shipments[Effective_Week],72))</f>
        <v/>
      </c>
      <c r="BV16">
        <f>IF(COUNTIF(Material_Detail!$DE:$DE,$A16)&gt;0,IF(ISNUMBER(SEARCH("[済]",INDEX(Material_Detail!$D:$DC,MATCH($A16,Material_Detail!$DE:$DE,0)+1,73))),0,IFERROR(INDEX(Material_Detail!$D:$DC,MATCH($A16,Material_Detail!$DE:$DE,0),73),0)),SUMIFS(T_Shipments[Confirmed_Qty],T_Shipments[Part Name],$A16,T_Shipments[Effective_Week],73))</f>
        <v/>
      </c>
      <c r="BW16">
        <f>IF(COUNTIF(Material_Detail!$DE:$DE,$A16)&gt;0,IF(ISNUMBER(SEARCH("[済]",INDEX(Material_Detail!$D:$DC,MATCH($A16,Material_Detail!$DE:$DE,0)+1,74))),0,IFERROR(INDEX(Material_Detail!$D:$DC,MATCH($A16,Material_Detail!$DE:$DE,0),74),0)),SUMIFS(T_Shipments[Confirmed_Qty],T_Shipments[Part Name],$A16,T_Shipments[Effective_Week],74))</f>
        <v/>
      </c>
      <c r="BX16">
        <f>IF(COUNTIF(Material_Detail!$DE:$DE,$A16)&gt;0,IF(ISNUMBER(SEARCH("[済]",INDEX(Material_Detail!$D:$DC,MATCH($A16,Material_Detail!$DE:$DE,0)+1,75))),0,IFERROR(INDEX(Material_Detail!$D:$DC,MATCH($A16,Material_Detail!$DE:$DE,0),75),0)),SUMIFS(T_Shipments[Confirmed_Qty],T_Shipments[Part Name],$A16,T_Shipments[Effective_Week],75))</f>
        <v/>
      </c>
      <c r="BY16">
        <f>IF(COUNTIF(Material_Detail!$DE:$DE,$A16)&gt;0,IF(ISNUMBER(SEARCH("[済]",INDEX(Material_Detail!$D:$DC,MATCH($A16,Material_Detail!$DE:$DE,0)+1,76))),0,IFERROR(INDEX(Material_Detail!$D:$DC,MATCH($A16,Material_Detail!$DE:$DE,0),76),0)),SUMIFS(T_Shipments[Confirmed_Qty],T_Shipments[Part Name],$A16,T_Shipments[Effective_Week],76))</f>
        <v/>
      </c>
      <c r="BZ16">
        <f>IF(COUNTIF(Material_Detail!$DE:$DE,$A16)&gt;0,IF(ISNUMBER(SEARCH("[済]",INDEX(Material_Detail!$D:$DC,MATCH($A16,Material_Detail!$DE:$DE,0)+1,77))),0,IFERROR(INDEX(Material_Detail!$D:$DC,MATCH($A16,Material_Detail!$DE:$DE,0),77),0)),SUMIFS(T_Shipments[Confirmed_Qty],T_Shipments[Part Name],$A16,T_Shipments[Effective_Week],77))</f>
        <v/>
      </c>
      <c r="CA16">
        <f>IF(COUNTIF(Material_Detail!$DE:$DE,$A16)&gt;0,IF(ISNUMBER(SEARCH("[済]",INDEX(Material_Detail!$D:$DC,MATCH($A16,Material_Detail!$DE:$DE,0)+1,78))),0,IFERROR(INDEX(Material_Detail!$D:$DC,MATCH($A16,Material_Detail!$DE:$DE,0),78),0)),SUMIFS(T_Shipments[Confirmed_Qty],T_Shipments[Part Name],$A16,T_Shipments[Effective_Week],78))</f>
        <v/>
      </c>
      <c r="CB16">
        <f>IF(COUNTIF(Material_Detail!$DE:$DE,$A16)&gt;0,IF(ISNUMBER(SEARCH("[済]",INDEX(Material_Detail!$D:$DC,MATCH($A16,Material_Detail!$DE:$DE,0)+1,79))),0,IFERROR(INDEX(Material_Detail!$D:$DC,MATCH($A16,Material_Detail!$DE:$DE,0),79),0)),SUMIFS(T_Shipments[Confirmed_Qty],T_Shipments[Part Name],$A16,T_Shipments[Effective_Week],79))</f>
        <v/>
      </c>
      <c r="CC16">
        <f>IF(COUNTIF(Material_Detail!$DE:$DE,$A16)&gt;0,IF(ISNUMBER(SEARCH("[済]",INDEX(Material_Detail!$D:$DC,MATCH($A16,Material_Detail!$DE:$DE,0)+1,80))),0,IFERROR(INDEX(Material_Detail!$D:$DC,MATCH($A16,Material_Detail!$DE:$DE,0),80),0)),SUMIFS(T_Shipments[Confirmed_Qty],T_Shipments[Part Name],$A16,T_Shipments[Effective_Week],80))</f>
        <v/>
      </c>
      <c r="CD16">
        <f>IF(COUNTIF(Material_Detail!$DE:$DE,$A16)&gt;0,IF(ISNUMBER(SEARCH("[済]",INDEX(Material_Detail!$D:$DC,MATCH($A16,Material_Detail!$DE:$DE,0)+1,81))),0,IFERROR(INDEX(Material_Detail!$D:$DC,MATCH($A16,Material_Detail!$DE:$DE,0),81),0)),SUMIFS(T_Shipments[Confirmed_Qty],T_Shipments[Part Name],$A16,T_Shipments[Effective_Week],81))</f>
        <v/>
      </c>
      <c r="CE16">
        <f>IF(COUNTIF(Material_Detail!$DE:$DE,$A16)&gt;0,IF(ISNUMBER(SEARCH("[済]",INDEX(Material_Detail!$D:$DC,MATCH($A16,Material_Detail!$DE:$DE,0)+1,82))),0,IFERROR(INDEX(Material_Detail!$D:$DC,MATCH($A16,Material_Detail!$DE:$DE,0),82),0)),SUMIFS(T_Shipments[Confirmed_Qty],T_Shipments[Part Name],$A16,T_Shipments[Effective_Week],82))</f>
        <v/>
      </c>
      <c r="CF16">
        <f>IF(COUNTIF(Material_Detail!$DE:$DE,$A16)&gt;0,IF(ISNUMBER(SEARCH("[済]",INDEX(Material_Detail!$D:$DC,MATCH($A16,Material_Detail!$DE:$DE,0)+1,83))),0,IFERROR(INDEX(Material_Detail!$D:$DC,MATCH($A16,Material_Detail!$DE:$DE,0),83),0)),SUMIFS(T_Shipments[Confirmed_Qty],T_Shipments[Part Name],$A16,T_Shipments[Effective_Week],83))</f>
        <v/>
      </c>
      <c r="CG16">
        <f>IF(COUNTIF(Material_Detail!$DE:$DE,$A16)&gt;0,IF(ISNUMBER(SEARCH("[済]",INDEX(Material_Detail!$D:$DC,MATCH($A16,Material_Detail!$DE:$DE,0)+1,84))),0,IFERROR(INDEX(Material_Detail!$D:$DC,MATCH($A16,Material_Detail!$DE:$DE,0),84),0)),SUMIFS(T_Shipments[Confirmed_Qty],T_Shipments[Part Name],$A16,T_Shipments[Effective_Week],84))</f>
        <v/>
      </c>
      <c r="CH16">
        <f>IF(COUNTIF(Material_Detail!$DE:$DE,$A16)&gt;0,IF(ISNUMBER(SEARCH("[済]",INDEX(Material_Detail!$D:$DC,MATCH($A16,Material_Detail!$DE:$DE,0)+1,85))),0,IFERROR(INDEX(Material_Detail!$D:$DC,MATCH($A16,Material_Detail!$DE:$DE,0),85),0)),SUMIFS(T_Shipments[Confirmed_Qty],T_Shipments[Part Name],$A16,T_Shipments[Effective_Week],85))</f>
        <v/>
      </c>
      <c r="CI16">
        <f>IF(COUNTIF(Material_Detail!$DE:$DE,$A16)&gt;0,IF(ISNUMBER(SEARCH("[済]",INDEX(Material_Detail!$D:$DC,MATCH($A16,Material_Detail!$DE:$DE,0)+1,86))),0,IFERROR(INDEX(Material_Detail!$D:$DC,MATCH($A16,Material_Detail!$DE:$DE,0),86),0)),SUMIFS(T_Shipments[Confirmed_Qty],T_Shipments[Part Name],$A16,T_Shipments[Effective_Week],86))</f>
        <v/>
      </c>
      <c r="CJ16">
        <f>IF(COUNTIF(Material_Detail!$DE:$DE,$A16)&gt;0,IF(ISNUMBER(SEARCH("[済]",INDEX(Material_Detail!$D:$DC,MATCH($A16,Material_Detail!$DE:$DE,0)+1,87))),0,IFERROR(INDEX(Material_Detail!$D:$DC,MATCH($A16,Material_Detail!$DE:$DE,0),87),0)),SUMIFS(T_Shipments[Confirmed_Qty],T_Shipments[Part Name],$A16,T_Shipments[Effective_Week],87))</f>
        <v/>
      </c>
      <c r="CK16">
        <f>IF(COUNTIF(Material_Detail!$DE:$DE,$A16)&gt;0,IF(ISNUMBER(SEARCH("[済]",INDEX(Material_Detail!$D:$DC,MATCH($A16,Material_Detail!$DE:$DE,0)+1,88))),0,IFERROR(INDEX(Material_Detail!$D:$DC,MATCH($A16,Material_Detail!$DE:$DE,0),88),0)),SUMIFS(T_Shipments[Confirmed_Qty],T_Shipments[Part Name],$A16,T_Shipments[Effective_Week],88))</f>
        <v/>
      </c>
      <c r="CL16">
        <f>IF(COUNTIF(Material_Detail!$DE:$DE,$A16)&gt;0,IF(ISNUMBER(SEARCH("[済]",INDEX(Material_Detail!$D:$DC,MATCH($A16,Material_Detail!$DE:$DE,0)+1,89))),0,IFERROR(INDEX(Material_Detail!$D:$DC,MATCH($A16,Material_Detail!$DE:$DE,0),89),0)),SUMIFS(T_Shipments[Confirmed_Qty],T_Shipments[Part Name],$A16,T_Shipments[Effective_Week],89))</f>
        <v/>
      </c>
      <c r="CM16">
        <f>IF(COUNTIF(Material_Detail!$DE:$DE,$A16)&gt;0,IF(ISNUMBER(SEARCH("[済]",INDEX(Material_Detail!$D:$DC,MATCH($A16,Material_Detail!$DE:$DE,0)+1,90))),0,IFERROR(INDEX(Material_Detail!$D:$DC,MATCH($A16,Material_Detail!$DE:$DE,0),90),0)),SUMIFS(T_Shipments[Confirmed_Qty],T_Shipments[Part Name],$A16,T_Shipments[Effective_Week],90))</f>
        <v/>
      </c>
      <c r="CN16">
        <f>IF(COUNTIF(Material_Detail!$DE:$DE,$A16)&gt;0,IF(ISNUMBER(SEARCH("[済]",INDEX(Material_Detail!$D:$DC,MATCH($A16,Material_Detail!$DE:$DE,0)+1,91))),0,IFERROR(INDEX(Material_Detail!$D:$DC,MATCH($A16,Material_Detail!$DE:$DE,0),91),0)),SUMIFS(T_Shipments[Confirmed_Qty],T_Shipments[Part Name],$A16,T_Shipments[Effective_Week],91))</f>
        <v/>
      </c>
      <c r="CO16">
        <f>IF(COUNTIF(Material_Detail!$DE:$DE,$A16)&gt;0,IF(ISNUMBER(SEARCH("[済]",INDEX(Material_Detail!$D:$DC,MATCH($A16,Material_Detail!$DE:$DE,0)+1,92))),0,IFERROR(INDEX(Material_Detail!$D:$DC,MATCH($A16,Material_Detail!$DE:$DE,0),92),0)),SUMIFS(T_Shipments[Confirmed_Qty],T_Shipments[Part Name],$A16,T_Shipments[Effective_Week],92))</f>
        <v/>
      </c>
      <c r="CP16">
        <f>IF(COUNTIF(Material_Detail!$DE:$DE,$A16)&gt;0,IF(ISNUMBER(SEARCH("[済]",INDEX(Material_Detail!$D:$DC,MATCH($A16,Material_Detail!$DE:$DE,0)+1,93))),0,IFERROR(INDEX(Material_Detail!$D:$DC,MATCH($A16,Material_Detail!$DE:$DE,0),93),0)),SUMIFS(T_Shipments[Confirmed_Qty],T_Shipments[Part Name],$A16,T_Shipments[Effective_Week],93))</f>
        <v/>
      </c>
      <c r="CQ16">
        <f>IF(COUNTIF(Material_Detail!$DE:$DE,$A16)&gt;0,IF(ISNUMBER(SEARCH("[済]",INDEX(Material_Detail!$D:$DC,MATCH($A16,Material_Detail!$DE:$DE,0)+1,94))),0,IFERROR(INDEX(Material_Detail!$D:$DC,MATCH($A16,Material_Detail!$DE:$DE,0),94),0)),SUMIFS(T_Shipments[Confirmed_Qty],T_Shipments[Part Name],$A16,T_Shipments[Effective_Week],94))</f>
        <v/>
      </c>
      <c r="CR16">
        <f>IF(COUNTIF(Material_Detail!$DE:$DE,$A16)&gt;0,IF(ISNUMBER(SEARCH("[済]",INDEX(Material_Detail!$D:$DC,MATCH($A16,Material_Detail!$DE:$DE,0)+1,95))),0,IFERROR(INDEX(Material_Detail!$D:$DC,MATCH($A16,Material_Detail!$DE:$DE,0),95),0)),SUMIFS(T_Shipments[Confirmed_Qty],T_Shipments[Part Name],$A16,T_Shipments[Effective_Week],95))</f>
        <v/>
      </c>
      <c r="CS16">
        <f>IF(COUNTIF(Material_Detail!$DE:$DE,$A16)&gt;0,IF(ISNUMBER(SEARCH("[済]",INDEX(Material_Detail!$D:$DC,MATCH($A16,Material_Detail!$DE:$DE,0)+1,96))),0,IFERROR(INDEX(Material_Detail!$D:$DC,MATCH($A16,Material_Detail!$DE:$DE,0),96),0)),SUMIFS(T_Shipments[Confirmed_Qty],T_Shipments[Part Name],$A16,T_Shipments[Effective_Week],96))</f>
        <v/>
      </c>
      <c r="CT16">
        <f>IF(COUNTIF(Material_Detail!$DE:$DE,$A16)&gt;0,IF(ISNUMBER(SEARCH("[済]",INDEX(Material_Detail!$D:$DC,MATCH($A16,Material_Detail!$DE:$DE,0)+1,97))),0,IFERROR(INDEX(Material_Detail!$D:$DC,MATCH($A16,Material_Detail!$DE:$DE,0),97),0)),SUMIFS(T_Shipments[Confirmed_Qty],T_Shipments[Part Name],$A16,T_Shipments[Effective_Week],97))</f>
        <v/>
      </c>
      <c r="CU16">
        <f>IF(COUNTIF(Material_Detail!$DE:$DE,$A16)&gt;0,IF(ISNUMBER(SEARCH("[済]",INDEX(Material_Detail!$D:$DC,MATCH($A16,Material_Detail!$DE:$DE,0)+1,98))),0,IFERROR(INDEX(Material_Detail!$D:$DC,MATCH($A16,Material_Detail!$DE:$DE,0),98),0)),SUMIFS(T_Shipments[Confirmed_Qty],T_Shipments[Part Name],$A16,T_Shipments[Effective_Week],98))</f>
        <v/>
      </c>
      <c r="CV16">
        <f>IF(COUNTIF(Material_Detail!$DE:$DE,$A16)&gt;0,IF(ISNUMBER(SEARCH("[済]",INDEX(Material_Detail!$D:$DC,MATCH($A16,Material_Detail!$DE:$DE,0)+1,99))),0,IFERROR(INDEX(Material_Detail!$D:$DC,MATCH($A16,Material_Detail!$DE:$DE,0),99),0)),SUMIFS(T_Shipments[Confirmed_Qty],T_Shipments[Part Name],$A16,T_Shipments[Effective_Week],99))</f>
        <v/>
      </c>
      <c r="CW16">
        <f>IF(COUNTIF(Material_Detail!$DE:$DE,$A16)&gt;0,IF(ISNUMBER(SEARCH("[済]",INDEX(Material_Detail!$D:$DC,MATCH($A16,Material_Detail!$DE:$DE,0)+1,100))),0,IFERROR(INDEX(Material_Detail!$D:$DC,MATCH($A16,Material_Detail!$DE:$DE,0),100),0)),SUMIFS(T_Shipments[Confirmed_Qty],T_Shipments[Part Name],$A16,T_Shipments[Effective_Week],100))</f>
        <v/>
      </c>
      <c r="CX16">
        <f>IF(COUNTIF(Material_Detail!$DE:$DE,$A16)&gt;0,IF(ISNUMBER(SEARCH("[済]",INDEX(Material_Detail!$D:$DC,MATCH($A16,Material_Detail!$DE:$DE,0)+1,101))),0,IFERROR(INDEX(Material_Detail!$D:$DC,MATCH($A16,Material_Detail!$DE:$DE,0),101),0)),SUMIFS(T_Shipments[Confirmed_Qty],T_Shipments[Part Name],$A16,T_Shipments[Effective_Week],101))</f>
        <v/>
      </c>
      <c r="CY16">
        <f>IF(COUNTIF(Material_Detail!$DE:$DE,$A16)&gt;0,IF(ISNUMBER(SEARCH("[済]",INDEX(Material_Detail!$D:$DC,MATCH($A16,Material_Detail!$DE:$DE,0)+1,102))),0,IFERROR(INDEX(Material_Detail!$D:$DC,MATCH($A16,Material_Detail!$DE:$DE,0),102),0)),SUMIFS(T_Shipments[Confirmed_Qty],T_Shipments[Part Name],$A16,T_Shipments[Effective_Week],102))</f>
        <v/>
      </c>
      <c r="CZ16">
        <f>IF(COUNTIF(Material_Detail!$DE:$DE,$A16)&gt;0,IF(ISNUMBER(SEARCH("[済]",INDEX(Material_Detail!$D:$DC,MATCH($A16,Material_Detail!$DE:$DE,0)+1,103))),0,IFERROR(INDEX(Material_Detail!$D:$DC,MATCH($A16,Material_Detail!$DE:$DE,0),103),0)),SUMIFS(T_Shipments[Confirmed_Qty],T_Shipments[Part Name],$A16,T_Shipments[Effective_Week],103))</f>
        <v/>
      </c>
      <c r="DA16">
        <f>IF(COUNTIF(Material_Detail!$DE:$DE,$A16)&gt;0,IF(ISNUMBER(SEARCH("[済]",INDEX(Material_Detail!$D:$DC,MATCH($A16,Material_Detail!$DE:$DE,0)+1,104))),0,IFERROR(INDEX(Material_Detail!$D:$DC,MATCH($A16,Material_Detail!$DE:$DE,0),104),0)),SUMIFS(T_Shipments[Confirmed_Qty],T_Shipments[Part Name],$A16,T_Shipments[Effective_Week],104))</f>
        <v/>
      </c>
    </row>
    <row r="17">
      <c r="A17" t="inlineStr">
        <is>
          <t>9RJ</t>
        </is>
      </c>
      <c r="B17">
        <f>IF(COUNTIF(Material_Detail!$DE:$DE,$A17)&gt;0,IF(ISNUMBER(SEARCH("[済]",INDEX(Material_Detail!$D:$DC,MATCH($A17,Material_Detail!$DE:$DE,0)+1,1))),0,IFERROR(INDEX(Material_Detail!$D:$DC,MATCH($A17,Material_Detail!$DE:$DE,0),1),0)),SUMIFS(T_Shipments[Confirmed_Qty],T_Shipments[Part Name],$A17,T_Shipments[Effective_Week],1))</f>
        <v/>
      </c>
      <c r="C17">
        <f>IF(COUNTIF(Material_Detail!$DE:$DE,$A17)&gt;0,IF(ISNUMBER(SEARCH("[済]",INDEX(Material_Detail!$D:$DC,MATCH($A17,Material_Detail!$DE:$DE,0)+1,2))),0,IFERROR(INDEX(Material_Detail!$D:$DC,MATCH($A17,Material_Detail!$DE:$DE,0),2),0)),SUMIFS(T_Shipments[Confirmed_Qty],T_Shipments[Part Name],$A17,T_Shipments[Effective_Week],2))</f>
        <v/>
      </c>
      <c r="D17">
        <f>IF(COUNTIF(Material_Detail!$DE:$DE,$A17)&gt;0,IF(ISNUMBER(SEARCH("[済]",INDEX(Material_Detail!$D:$DC,MATCH($A17,Material_Detail!$DE:$DE,0)+1,3))),0,IFERROR(INDEX(Material_Detail!$D:$DC,MATCH($A17,Material_Detail!$DE:$DE,0),3),0)),SUMIFS(T_Shipments[Confirmed_Qty],T_Shipments[Part Name],$A17,T_Shipments[Effective_Week],3))</f>
        <v/>
      </c>
      <c r="E17">
        <f>IF(COUNTIF(Material_Detail!$DE:$DE,$A17)&gt;0,IF(ISNUMBER(SEARCH("[済]",INDEX(Material_Detail!$D:$DC,MATCH($A17,Material_Detail!$DE:$DE,0)+1,4))),0,IFERROR(INDEX(Material_Detail!$D:$DC,MATCH($A17,Material_Detail!$DE:$DE,0),4),0)),SUMIFS(T_Shipments[Confirmed_Qty],T_Shipments[Part Name],$A17,T_Shipments[Effective_Week],4))</f>
        <v/>
      </c>
      <c r="F17">
        <f>IF(COUNTIF(Material_Detail!$DE:$DE,$A17)&gt;0,IF(ISNUMBER(SEARCH("[済]",INDEX(Material_Detail!$D:$DC,MATCH($A17,Material_Detail!$DE:$DE,0)+1,5))),0,IFERROR(INDEX(Material_Detail!$D:$DC,MATCH($A17,Material_Detail!$DE:$DE,0),5),0)),SUMIFS(T_Shipments[Confirmed_Qty],T_Shipments[Part Name],$A17,T_Shipments[Effective_Week],5))</f>
        <v/>
      </c>
      <c r="G17">
        <f>IF(COUNTIF(Material_Detail!$DE:$DE,$A17)&gt;0,IF(ISNUMBER(SEARCH("[済]",INDEX(Material_Detail!$D:$DC,MATCH($A17,Material_Detail!$DE:$DE,0)+1,6))),0,IFERROR(INDEX(Material_Detail!$D:$DC,MATCH($A17,Material_Detail!$DE:$DE,0),6),0)),SUMIFS(T_Shipments[Confirmed_Qty],T_Shipments[Part Name],$A17,T_Shipments[Effective_Week],6))</f>
        <v/>
      </c>
      <c r="H17">
        <f>IF(COUNTIF(Material_Detail!$DE:$DE,$A17)&gt;0,IF(ISNUMBER(SEARCH("[済]",INDEX(Material_Detail!$D:$DC,MATCH($A17,Material_Detail!$DE:$DE,0)+1,7))),0,IFERROR(INDEX(Material_Detail!$D:$DC,MATCH($A17,Material_Detail!$DE:$DE,0),7),0)),SUMIFS(T_Shipments[Confirmed_Qty],T_Shipments[Part Name],$A17,T_Shipments[Effective_Week],7))</f>
        <v/>
      </c>
      <c r="I17">
        <f>IF(COUNTIF(Material_Detail!$DE:$DE,$A17)&gt;0,IF(ISNUMBER(SEARCH("[済]",INDEX(Material_Detail!$D:$DC,MATCH($A17,Material_Detail!$DE:$DE,0)+1,8))),0,IFERROR(INDEX(Material_Detail!$D:$DC,MATCH($A17,Material_Detail!$DE:$DE,0),8),0)),SUMIFS(T_Shipments[Confirmed_Qty],T_Shipments[Part Name],$A17,T_Shipments[Effective_Week],8))</f>
        <v/>
      </c>
      <c r="J17">
        <f>IF(COUNTIF(Material_Detail!$DE:$DE,$A17)&gt;0,IF(ISNUMBER(SEARCH("[済]",INDEX(Material_Detail!$D:$DC,MATCH($A17,Material_Detail!$DE:$DE,0)+1,9))),0,IFERROR(INDEX(Material_Detail!$D:$DC,MATCH($A17,Material_Detail!$DE:$DE,0),9),0)),SUMIFS(T_Shipments[Confirmed_Qty],T_Shipments[Part Name],$A17,T_Shipments[Effective_Week],9))</f>
        <v/>
      </c>
      <c r="K17">
        <f>IF(COUNTIF(Material_Detail!$DE:$DE,$A17)&gt;0,IF(ISNUMBER(SEARCH("[済]",INDEX(Material_Detail!$D:$DC,MATCH($A17,Material_Detail!$DE:$DE,0)+1,10))),0,IFERROR(INDEX(Material_Detail!$D:$DC,MATCH($A17,Material_Detail!$DE:$DE,0),10),0)),SUMIFS(T_Shipments[Confirmed_Qty],T_Shipments[Part Name],$A17,T_Shipments[Effective_Week],10))</f>
        <v/>
      </c>
      <c r="L17">
        <f>IF(COUNTIF(Material_Detail!$DE:$DE,$A17)&gt;0,IF(ISNUMBER(SEARCH("[済]",INDEX(Material_Detail!$D:$DC,MATCH($A17,Material_Detail!$DE:$DE,0)+1,11))),0,IFERROR(INDEX(Material_Detail!$D:$DC,MATCH($A17,Material_Detail!$DE:$DE,0),11),0)),SUMIFS(T_Shipments[Confirmed_Qty],T_Shipments[Part Name],$A17,T_Shipments[Effective_Week],11))</f>
        <v/>
      </c>
      <c r="M17">
        <f>IF(COUNTIF(Material_Detail!$DE:$DE,$A17)&gt;0,IF(ISNUMBER(SEARCH("[済]",INDEX(Material_Detail!$D:$DC,MATCH($A17,Material_Detail!$DE:$DE,0)+1,12))),0,IFERROR(INDEX(Material_Detail!$D:$DC,MATCH($A17,Material_Detail!$DE:$DE,0),12),0)),SUMIFS(T_Shipments[Confirmed_Qty],T_Shipments[Part Name],$A17,T_Shipments[Effective_Week],12))</f>
        <v/>
      </c>
      <c r="N17">
        <f>IF(COUNTIF(Material_Detail!$DE:$DE,$A17)&gt;0,IF(ISNUMBER(SEARCH("[済]",INDEX(Material_Detail!$D:$DC,MATCH($A17,Material_Detail!$DE:$DE,0)+1,13))),0,IFERROR(INDEX(Material_Detail!$D:$DC,MATCH($A17,Material_Detail!$DE:$DE,0),13),0)),SUMIFS(T_Shipments[Confirmed_Qty],T_Shipments[Part Name],$A17,T_Shipments[Effective_Week],13))</f>
        <v/>
      </c>
      <c r="O17">
        <f>IF(COUNTIF(Material_Detail!$DE:$DE,$A17)&gt;0,IF(ISNUMBER(SEARCH("[済]",INDEX(Material_Detail!$D:$DC,MATCH($A17,Material_Detail!$DE:$DE,0)+1,14))),0,IFERROR(INDEX(Material_Detail!$D:$DC,MATCH($A17,Material_Detail!$DE:$DE,0),14),0)),SUMIFS(T_Shipments[Confirmed_Qty],T_Shipments[Part Name],$A17,T_Shipments[Effective_Week],14))</f>
        <v/>
      </c>
      <c r="P17">
        <f>IF(COUNTIF(Material_Detail!$DE:$DE,$A17)&gt;0,IF(ISNUMBER(SEARCH("[済]",INDEX(Material_Detail!$D:$DC,MATCH($A17,Material_Detail!$DE:$DE,0)+1,15))),0,IFERROR(INDEX(Material_Detail!$D:$DC,MATCH($A17,Material_Detail!$DE:$DE,0),15),0)),SUMIFS(T_Shipments[Confirmed_Qty],T_Shipments[Part Name],$A17,T_Shipments[Effective_Week],15))</f>
        <v/>
      </c>
      <c r="Q17">
        <f>IF(COUNTIF(Material_Detail!$DE:$DE,$A17)&gt;0,IF(ISNUMBER(SEARCH("[済]",INDEX(Material_Detail!$D:$DC,MATCH($A17,Material_Detail!$DE:$DE,0)+1,16))),0,IFERROR(INDEX(Material_Detail!$D:$DC,MATCH($A17,Material_Detail!$DE:$DE,0),16),0)),SUMIFS(T_Shipments[Confirmed_Qty],T_Shipments[Part Name],$A17,T_Shipments[Effective_Week],16))</f>
        <v/>
      </c>
      <c r="R17">
        <f>IF(COUNTIF(Material_Detail!$DE:$DE,$A17)&gt;0,IF(ISNUMBER(SEARCH("[済]",INDEX(Material_Detail!$D:$DC,MATCH($A17,Material_Detail!$DE:$DE,0)+1,17))),0,IFERROR(INDEX(Material_Detail!$D:$DC,MATCH($A17,Material_Detail!$DE:$DE,0),17),0)),SUMIFS(T_Shipments[Confirmed_Qty],T_Shipments[Part Name],$A17,T_Shipments[Effective_Week],17))</f>
        <v/>
      </c>
      <c r="S17">
        <f>IF(COUNTIF(Material_Detail!$DE:$DE,$A17)&gt;0,IF(ISNUMBER(SEARCH("[済]",INDEX(Material_Detail!$D:$DC,MATCH($A17,Material_Detail!$DE:$DE,0)+1,18))),0,IFERROR(INDEX(Material_Detail!$D:$DC,MATCH($A17,Material_Detail!$DE:$DE,0),18),0)),SUMIFS(T_Shipments[Confirmed_Qty],T_Shipments[Part Name],$A17,T_Shipments[Effective_Week],18))</f>
        <v/>
      </c>
      <c r="T17">
        <f>IF(COUNTIF(Material_Detail!$DE:$DE,$A17)&gt;0,IF(ISNUMBER(SEARCH("[済]",INDEX(Material_Detail!$D:$DC,MATCH($A17,Material_Detail!$DE:$DE,0)+1,19))),0,IFERROR(INDEX(Material_Detail!$D:$DC,MATCH($A17,Material_Detail!$DE:$DE,0),19),0)),SUMIFS(T_Shipments[Confirmed_Qty],T_Shipments[Part Name],$A17,T_Shipments[Effective_Week],19))</f>
        <v/>
      </c>
      <c r="U17">
        <f>IF(COUNTIF(Material_Detail!$DE:$DE,$A17)&gt;0,IF(ISNUMBER(SEARCH("[済]",INDEX(Material_Detail!$D:$DC,MATCH($A17,Material_Detail!$DE:$DE,0)+1,20))),0,IFERROR(INDEX(Material_Detail!$D:$DC,MATCH($A17,Material_Detail!$DE:$DE,0),20),0)),SUMIFS(T_Shipments[Confirmed_Qty],T_Shipments[Part Name],$A17,T_Shipments[Effective_Week],20))</f>
        <v/>
      </c>
      <c r="V17">
        <f>IF(COUNTIF(Material_Detail!$DE:$DE,$A17)&gt;0,IF(ISNUMBER(SEARCH("[済]",INDEX(Material_Detail!$D:$DC,MATCH($A17,Material_Detail!$DE:$DE,0)+1,21))),0,IFERROR(INDEX(Material_Detail!$D:$DC,MATCH($A17,Material_Detail!$DE:$DE,0),21),0)),SUMIFS(T_Shipments[Confirmed_Qty],T_Shipments[Part Name],$A17,T_Shipments[Effective_Week],21))</f>
        <v/>
      </c>
      <c r="W17">
        <f>IF(COUNTIF(Material_Detail!$DE:$DE,$A17)&gt;0,IF(ISNUMBER(SEARCH("[済]",INDEX(Material_Detail!$D:$DC,MATCH($A17,Material_Detail!$DE:$DE,0)+1,22))),0,IFERROR(INDEX(Material_Detail!$D:$DC,MATCH($A17,Material_Detail!$DE:$DE,0),22),0)),SUMIFS(T_Shipments[Confirmed_Qty],T_Shipments[Part Name],$A17,T_Shipments[Effective_Week],22))</f>
        <v/>
      </c>
      <c r="X17">
        <f>IF(COUNTIF(Material_Detail!$DE:$DE,$A17)&gt;0,IF(ISNUMBER(SEARCH("[済]",INDEX(Material_Detail!$D:$DC,MATCH($A17,Material_Detail!$DE:$DE,0)+1,23))),0,IFERROR(INDEX(Material_Detail!$D:$DC,MATCH($A17,Material_Detail!$DE:$DE,0),23),0)),SUMIFS(T_Shipments[Confirmed_Qty],T_Shipments[Part Name],$A17,T_Shipments[Effective_Week],23))</f>
        <v/>
      </c>
      <c r="Y17">
        <f>IF(COUNTIF(Material_Detail!$DE:$DE,$A17)&gt;0,IF(ISNUMBER(SEARCH("[済]",INDEX(Material_Detail!$D:$DC,MATCH($A17,Material_Detail!$DE:$DE,0)+1,24))),0,IFERROR(INDEX(Material_Detail!$D:$DC,MATCH($A17,Material_Detail!$DE:$DE,0),24),0)),SUMIFS(T_Shipments[Confirmed_Qty],T_Shipments[Part Name],$A17,T_Shipments[Effective_Week],24))</f>
        <v/>
      </c>
      <c r="Z17">
        <f>IF(COUNTIF(Material_Detail!$DE:$DE,$A17)&gt;0,IF(ISNUMBER(SEARCH("[済]",INDEX(Material_Detail!$D:$DC,MATCH($A17,Material_Detail!$DE:$DE,0)+1,25))),0,IFERROR(INDEX(Material_Detail!$D:$DC,MATCH($A17,Material_Detail!$DE:$DE,0),25),0)),SUMIFS(T_Shipments[Confirmed_Qty],T_Shipments[Part Name],$A17,T_Shipments[Effective_Week],25))</f>
        <v/>
      </c>
      <c r="AA17">
        <f>IF(COUNTIF(Material_Detail!$DE:$DE,$A17)&gt;0,IF(ISNUMBER(SEARCH("[済]",INDEX(Material_Detail!$D:$DC,MATCH($A17,Material_Detail!$DE:$DE,0)+1,26))),0,IFERROR(INDEX(Material_Detail!$D:$DC,MATCH($A17,Material_Detail!$DE:$DE,0),26),0)),SUMIFS(T_Shipments[Confirmed_Qty],T_Shipments[Part Name],$A17,T_Shipments[Effective_Week],26))</f>
        <v/>
      </c>
      <c r="AB17">
        <f>IF(COUNTIF(Material_Detail!$DE:$DE,$A17)&gt;0,IF(ISNUMBER(SEARCH("[済]",INDEX(Material_Detail!$D:$DC,MATCH($A17,Material_Detail!$DE:$DE,0)+1,27))),0,IFERROR(INDEX(Material_Detail!$D:$DC,MATCH($A17,Material_Detail!$DE:$DE,0),27),0)),SUMIFS(T_Shipments[Confirmed_Qty],T_Shipments[Part Name],$A17,T_Shipments[Effective_Week],27))</f>
        <v/>
      </c>
      <c r="AC17">
        <f>IF(COUNTIF(Material_Detail!$DE:$DE,$A17)&gt;0,IF(ISNUMBER(SEARCH("[済]",INDEX(Material_Detail!$D:$DC,MATCH($A17,Material_Detail!$DE:$DE,0)+1,28))),0,IFERROR(INDEX(Material_Detail!$D:$DC,MATCH($A17,Material_Detail!$DE:$DE,0),28),0)),SUMIFS(T_Shipments[Confirmed_Qty],T_Shipments[Part Name],$A17,T_Shipments[Effective_Week],28))</f>
        <v/>
      </c>
      <c r="AD17">
        <f>IF(COUNTIF(Material_Detail!$DE:$DE,$A17)&gt;0,IF(ISNUMBER(SEARCH("[済]",INDEX(Material_Detail!$D:$DC,MATCH($A17,Material_Detail!$DE:$DE,0)+1,29))),0,IFERROR(INDEX(Material_Detail!$D:$DC,MATCH($A17,Material_Detail!$DE:$DE,0),29),0)),SUMIFS(T_Shipments[Confirmed_Qty],T_Shipments[Part Name],$A17,T_Shipments[Effective_Week],29))</f>
        <v/>
      </c>
      <c r="AE17">
        <f>IF(COUNTIF(Material_Detail!$DE:$DE,$A17)&gt;0,IF(ISNUMBER(SEARCH("[済]",INDEX(Material_Detail!$D:$DC,MATCH($A17,Material_Detail!$DE:$DE,0)+1,30))),0,IFERROR(INDEX(Material_Detail!$D:$DC,MATCH($A17,Material_Detail!$DE:$DE,0),30),0)),SUMIFS(T_Shipments[Confirmed_Qty],T_Shipments[Part Name],$A17,T_Shipments[Effective_Week],30))</f>
        <v/>
      </c>
      <c r="AF17">
        <f>IF(COUNTIF(Material_Detail!$DE:$DE,$A17)&gt;0,IF(ISNUMBER(SEARCH("[済]",INDEX(Material_Detail!$D:$DC,MATCH($A17,Material_Detail!$DE:$DE,0)+1,31))),0,IFERROR(INDEX(Material_Detail!$D:$DC,MATCH($A17,Material_Detail!$DE:$DE,0),31),0)),SUMIFS(T_Shipments[Confirmed_Qty],T_Shipments[Part Name],$A17,T_Shipments[Effective_Week],31))</f>
        <v/>
      </c>
      <c r="AG17">
        <f>IF(COUNTIF(Material_Detail!$DE:$DE,$A17)&gt;0,IF(ISNUMBER(SEARCH("[済]",INDEX(Material_Detail!$D:$DC,MATCH($A17,Material_Detail!$DE:$DE,0)+1,32))),0,IFERROR(INDEX(Material_Detail!$D:$DC,MATCH($A17,Material_Detail!$DE:$DE,0),32),0)),SUMIFS(T_Shipments[Confirmed_Qty],T_Shipments[Part Name],$A17,T_Shipments[Effective_Week],32))</f>
        <v/>
      </c>
      <c r="AH17">
        <f>IF(COUNTIF(Material_Detail!$DE:$DE,$A17)&gt;0,IF(ISNUMBER(SEARCH("[済]",INDEX(Material_Detail!$D:$DC,MATCH($A17,Material_Detail!$DE:$DE,0)+1,33))),0,IFERROR(INDEX(Material_Detail!$D:$DC,MATCH($A17,Material_Detail!$DE:$DE,0),33),0)),SUMIFS(T_Shipments[Confirmed_Qty],T_Shipments[Part Name],$A17,T_Shipments[Effective_Week],33))</f>
        <v/>
      </c>
      <c r="AI17">
        <f>IF(COUNTIF(Material_Detail!$DE:$DE,$A17)&gt;0,IF(ISNUMBER(SEARCH("[済]",INDEX(Material_Detail!$D:$DC,MATCH($A17,Material_Detail!$DE:$DE,0)+1,34))),0,IFERROR(INDEX(Material_Detail!$D:$DC,MATCH($A17,Material_Detail!$DE:$DE,0),34),0)),SUMIFS(T_Shipments[Confirmed_Qty],T_Shipments[Part Name],$A17,T_Shipments[Effective_Week],34))</f>
        <v/>
      </c>
      <c r="AJ17">
        <f>IF(COUNTIF(Material_Detail!$DE:$DE,$A17)&gt;0,IF(ISNUMBER(SEARCH("[済]",INDEX(Material_Detail!$D:$DC,MATCH($A17,Material_Detail!$DE:$DE,0)+1,35))),0,IFERROR(INDEX(Material_Detail!$D:$DC,MATCH($A17,Material_Detail!$DE:$DE,0),35),0)),SUMIFS(T_Shipments[Confirmed_Qty],T_Shipments[Part Name],$A17,T_Shipments[Effective_Week],35))</f>
        <v/>
      </c>
      <c r="AK17">
        <f>IF(COUNTIF(Material_Detail!$DE:$DE,$A17)&gt;0,IF(ISNUMBER(SEARCH("[済]",INDEX(Material_Detail!$D:$DC,MATCH($A17,Material_Detail!$DE:$DE,0)+1,36))),0,IFERROR(INDEX(Material_Detail!$D:$DC,MATCH($A17,Material_Detail!$DE:$DE,0),36),0)),SUMIFS(T_Shipments[Confirmed_Qty],T_Shipments[Part Name],$A17,T_Shipments[Effective_Week],36))</f>
        <v/>
      </c>
      <c r="AL17">
        <f>IF(COUNTIF(Material_Detail!$DE:$DE,$A17)&gt;0,IF(ISNUMBER(SEARCH("[済]",INDEX(Material_Detail!$D:$DC,MATCH($A17,Material_Detail!$DE:$DE,0)+1,37))),0,IFERROR(INDEX(Material_Detail!$D:$DC,MATCH($A17,Material_Detail!$DE:$DE,0),37),0)),SUMIFS(T_Shipments[Confirmed_Qty],T_Shipments[Part Name],$A17,T_Shipments[Effective_Week],37))</f>
        <v/>
      </c>
      <c r="AM17">
        <f>IF(COUNTIF(Material_Detail!$DE:$DE,$A17)&gt;0,IF(ISNUMBER(SEARCH("[済]",INDEX(Material_Detail!$D:$DC,MATCH($A17,Material_Detail!$DE:$DE,0)+1,38))),0,IFERROR(INDEX(Material_Detail!$D:$DC,MATCH($A17,Material_Detail!$DE:$DE,0),38),0)),SUMIFS(T_Shipments[Confirmed_Qty],T_Shipments[Part Name],$A17,T_Shipments[Effective_Week],38))</f>
        <v/>
      </c>
      <c r="AN17">
        <f>IF(COUNTIF(Material_Detail!$DE:$DE,$A17)&gt;0,IF(ISNUMBER(SEARCH("[済]",INDEX(Material_Detail!$D:$DC,MATCH($A17,Material_Detail!$DE:$DE,0)+1,39))),0,IFERROR(INDEX(Material_Detail!$D:$DC,MATCH($A17,Material_Detail!$DE:$DE,0),39),0)),SUMIFS(T_Shipments[Confirmed_Qty],T_Shipments[Part Name],$A17,T_Shipments[Effective_Week],39))</f>
        <v/>
      </c>
      <c r="AO17">
        <f>IF(COUNTIF(Material_Detail!$DE:$DE,$A17)&gt;0,IF(ISNUMBER(SEARCH("[済]",INDEX(Material_Detail!$D:$DC,MATCH($A17,Material_Detail!$DE:$DE,0)+1,40))),0,IFERROR(INDEX(Material_Detail!$D:$DC,MATCH($A17,Material_Detail!$DE:$DE,0),40),0)),SUMIFS(T_Shipments[Confirmed_Qty],T_Shipments[Part Name],$A17,T_Shipments[Effective_Week],40))</f>
        <v/>
      </c>
      <c r="AP17">
        <f>IF(COUNTIF(Material_Detail!$DE:$DE,$A17)&gt;0,IF(ISNUMBER(SEARCH("[済]",INDEX(Material_Detail!$D:$DC,MATCH($A17,Material_Detail!$DE:$DE,0)+1,41))),0,IFERROR(INDEX(Material_Detail!$D:$DC,MATCH($A17,Material_Detail!$DE:$DE,0),41),0)),SUMIFS(T_Shipments[Confirmed_Qty],T_Shipments[Part Name],$A17,T_Shipments[Effective_Week],41))</f>
        <v/>
      </c>
      <c r="AQ17">
        <f>IF(COUNTIF(Material_Detail!$DE:$DE,$A17)&gt;0,IF(ISNUMBER(SEARCH("[済]",INDEX(Material_Detail!$D:$DC,MATCH($A17,Material_Detail!$DE:$DE,0)+1,42))),0,IFERROR(INDEX(Material_Detail!$D:$DC,MATCH($A17,Material_Detail!$DE:$DE,0),42),0)),SUMIFS(T_Shipments[Confirmed_Qty],T_Shipments[Part Name],$A17,T_Shipments[Effective_Week],42))</f>
        <v/>
      </c>
      <c r="AR17">
        <f>IF(COUNTIF(Material_Detail!$DE:$DE,$A17)&gt;0,IF(ISNUMBER(SEARCH("[済]",INDEX(Material_Detail!$D:$DC,MATCH($A17,Material_Detail!$DE:$DE,0)+1,43))),0,IFERROR(INDEX(Material_Detail!$D:$DC,MATCH($A17,Material_Detail!$DE:$DE,0),43),0)),SUMIFS(T_Shipments[Confirmed_Qty],T_Shipments[Part Name],$A17,T_Shipments[Effective_Week],43))</f>
        <v/>
      </c>
      <c r="AS17">
        <f>IF(COUNTIF(Material_Detail!$DE:$DE,$A17)&gt;0,IF(ISNUMBER(SEARCH("[済]",INDEX(Material_Detail!$D:$DC,MATCH($A17,Material_Detail!$DE:$DE,0)+1,44))),0,IFERROR(INDEX(Material_Detail!$D:$DC,MATCH($A17,Material_Detail!$DE:$DE,0),44),0)),SUMIFS(T_Shipments[Confirmed_Qty],T_Shipments[Part Name],$A17,T_Shipments[Effective_Week],44))</f>
        <v/>
      </c>
      <c r="AT17">
        <f>IF(COUNTIF(Material_Detail!$DE:$DE,$A17)&gt;0,IF(ISNUMBER(SEARCH("[済]",INDEX(Material_Detail!$D:$DC,MATCH($A17,Material_Detail!$DE:$DE,0)+1,45))),0,IFERROR(INDEX(Material_Detail!$D:$DC,MATCH($A17,Material_Detail!$DE:$DE,0),45),0)),SUMIFS(T_Shipments[Confirmed_Qty],T_Shipments[Part Name],$A17,T_Shipments[Effective_Week],45))</f>
        <v/>
      </c>
      <c r="AU17">
        <f>IF(COUNTIF(Material_Detail!$DE:$DE,$A17)&gt;0,IF(ISNUMBER(SEARCH("[済]",INDEX(Material_Detail!$D:$DC,MATCH($A17,Material_Detail!$DE:$DE,0)+1,46))),0,IFERROR(INDEX(Material_Detail!$D:$DC,MATCH($A17,Material_Detail!$DE:$DE,0),46),0)),SUMIFS(T_Shipments[Confirmed_Qty],T_Shipments[Part Name],$A17,T_Shipments[Effective_Week],46))</f>
        <v/>
      </c>
      <c r="AV17">
        <f>IF(COUNTIF(Material_Detail!$DE:$DE,$A17)&gt;0,IF(ISNUMBER(SEARCH("[済]",INDEX(Material_Detail!$D:$DC,MATCH($A17,Material_Detail!$DE:$DE,0)+1,47))),0,IFERROR(INDEX(Material_Detail!$D:$DC,MATCH($A17,Material_Detail!$DE:$DE,0),47),0)),SUMIFS(T_Shipments[Confirmed_Qty],T_Shipments[Part Name],$A17,T_Shipments[Effective_Week],47))</f>
        <v/>
      </c>
      <c r="AW17">
        <f>IF(COUNTIF(Material_Detail!$DE:$DE,$A17)&gt;0,IF(ISNUMBER(SEARCH("[済]",INDEX(Material_Detail!$D:$DC,MATCH($A17,Material_Detail!$DE:$DE,0)+1,48))),0,IFERROR(INDEX(Material_Detail!$D:$DC,MATCH($A17,Material_Detail!$DE:$DE,0),48),0)),SUMIFS(T_Shipments[Confirmed_Qty],T_Shipments[Part Name],$A17,T_Shipments[Effective_Week],48))</f>
        <v/>
      </c>
      <c r="AX17">
        <f>IF(COUNTIF(Material_Detail!$DE:$DE,$A17)&gt;0,IF(ISNUMBER(SEARCH("[済]",INDEX(Material_Detail!$D:$DC,MATCH($A17,Material_Detail!$DE:$DE,0)+1,49))),0,IFERROR(INDEX(Material_Detail!$D:$DC,MATCH($A17,Material_Detail!$DE:$DE,0),49),0)),SUMIFS(T_Shipments[Confirmed_Qty],T_Shipments[Part Name],$A17,T_Shipments[Effective_Week],49))</f>
        <v/>
      </c>
      <c r="AY17">
        <f>IF(COUNTIF(Material_Detail!$DE:$DE,$A17)&gt;0,IF(ISNUMBER(SEARCH("[済]",INDEX(Material_Detail!$D:$DC,MATCH($A17,Material_Detail!$DE:$DE,0)+1,50))),0,IFERROR(INDEX(Material_Detail!$D:$DC,MATCH($A17,Material_Detail!$DE:$DE,0),50),0)),SUMIFS(T_Shipments[Confirmed_Qty],T_Shipments[Part Name],$A17,T_Shipments[Effective_Week],50))</f>
        <v/>
      </c>
      <c r="AZ17">
        <f>IF(COUNTIF(Material_Detail!$DE:$DE,$A17)&gt;0,IF(ISNUMBER(SEARCH("[済]",INDEX(Material_Detail!$D:$DC,MATCH($A17,Material_Detail!$DE:$DE,0)+1,51))),0,IFERROR(INDEX(Material_Detail!$D:$DC,MATCH($A17,Material_Detail!$DE:$DE,0),51),0)),SUMIFS(T_Shipments[Confirmed_Qty],T_Shipments[Part Name],$A17,T_Shipments[Effective_Week],51))</f>
        <v/>
      </c>
      <c r="BA17">
        <f>IF(COUNTIF(Material_Detail!$DE:$DE,$A17)&gt;0,IF(ISNUMBER(SEARCH("[済]",INDEX(Material_Detail!$D:$DC,MATCH($A17,Material_Detail!$DE:$DE,0)+1,52))),0,IFERROR(INDEX(Material_Detail!$D:$DC,MATCH($A17,Material_Detail!$DE:$DE,0),52),0)),SUMIFS(T_Shipments[Confirmed_Qty],T_Shipments[Part Name],$A17,T_Shipments[Effective_Week],52))</f>
        <v/>
      </c>
      <c r="BB17">
        <f>IF(COUNTIF(Material_Detail!$DE:$DE,$A17)&gt;0,IF(ISNUMBER(SEARCH("[済]",INDEX(Material_Detail!$D:$DC,MATCH($A17,Material_Detail!$DE:$DE,0)+1,53))),0,IFERROR(INDEX(Material_Detail!$D:$DC,MATCH($A17,Material_Detail!$DE:$DE,0),53),0)),SUMIFS(T_Shipments[Confirmed_Qty],T_Shipments[Part Name],$A17,T_Shipments[Effective_Week],53))</f>
        <v/>
      </c>
      <c r="BC17">
        <f>IF(COUNTIF(Material_Detail!$DE:$DE,$A17)&gt;0,IF(ISNUMBER(SEARCH("[済]",INDEX(Material_Detail!$D:$DC,MATCH($A17,Material_Detail!$DE:$DE,0)+1,54))),0,IFERROR(INDEX(Material_Detail!$D:$DC,MATCH($A17,Material_Detail!$DE:$DE,0),54),0)),SUMIFS(T_Shipments[Confirmed_Qty],T_Shipments[Part Name],$A17,T_Shipments[Effective_Week],54))</f>
        <v/>
      </c>
      <c r="BD17">
        <f>IF(COUNTIF(Material_Detail!$DE:$DE,$A17)&gt;0,IF(ISNUMBER(SEARCH("[済]",INDEX(Material_Detail!$D:$DC,MATCH($A17,Material_Detail!$DE:$DE,0)+1,55))),0,IFERROR(INDEX(Material_Detail!$D:$DC,MATCH($A17,Material_Detail!$DE:$DE,0),55),0)),SUMIFS(T_Shipments[Confirmed_Qty],T_Shipments[Part Name],$A17,T_Shipments[Effective_Week],55))</f>
        <v/>
      </c>
      <c r="BE17">
        <f>IF(COUNTIF(Material_Detail!$DE:$DE,$A17)&gt;0,IF(ISNUMBER(SEARCH("[済]",INDEX(Material_Detail!$D:$DC,MATCH($A17,Material_Detail!$DE:$DE,0)+1,56))),0,IFERROR(INDEX(Material_Detail!$D:$DC,MATCH($A17,Material_Detail!$DE:$DE,0),56),0)),SUMIFS(T_Shipments[Confirmed_Qty],T_Shipments[Part Name],$A17,T_Shipments[Effective_Week],56))</f>
        <v/>
      </c>
      <c r="BF17">
        <f>IF(COUNTIF(Material_Detail!$DE:$DE,$A17)&gt;0,IF(ISNUMBER(SEARCH("[済]",INDEX(Material_Detail!$D:$DC,MATCH($A17,Material_Detail!$DE:$DE,0)+1,57))),0,IFERROR(INDEX(Material_Detail!$D:$DC,MATCH($A17,Material_Detail!$DE:$DE,0),57),0)),SUMIFS(T_Shipments[Confirmed_Qty],T_Shipments[Part Name],$A17,T_Shipments[Effective_Week],57))</f>
        <v/>
      </c>
      <c r="BG17">
        <f>IF(COUNTIF(Material_Detail!$DE:$DE,$A17)&gt;0,IF(ISNUMBER(SEARCH("[済]",INDEX(Material_Detail!$D:$DC,MATCH($A17,Material_Detail!$DE:$DE,0)+1,58))),0,IFERROR(INDEX(Material_Detail!$D:$DC,MATCH($A17,Material_Detail!$DE:$DE,0),58),0)),SUMIFS(T_Shipments[Confirmed_Qty],T_Shipments[Part Name],$A17,T_Shipments[Effective_Week],58))</f>
        <v/>
      </c>
      <c r="BH17">
        <f>IF(COUNTIF(Material_Detail!$DE:$DE,$A17)&gt;0,IF(ISNUMBER(SEARCH("[済]",INDEX(Material_Detail!$D:$DC,MATCH($A17,Material_Detail!$DE:$DE,0)+1,59))),0,IFERROR(INDEX(Material_Detail!$D:$DC,MATCH($A17,Material_Detail!$DE:$DE,0),59),0)),SUMIFS(T_Shipments[Confirmed_Qty],T_Shipments[Part Name],$A17,T_Shipments[Effective_Week],59))</f>
        <v/>
      </c>
      <c r="BI17">
        <f>IF(COUNTIF(Material_Detail!$DE:$DE,$A17)&gt;0,IF(ISNUMBER(SEARCH("[済]",INDEX(Material_Detail!$D:$DC,MATCH($A17,Material_Detail!$DE:$DE,0)+1,60))),0,IFERROR(INDEX(Material_Detail!$D:$DC,MATCH($A17,Material_Detail!$DE:$DE,0),60),0)),SUMIFS(T_Shipments[Confirmed_Qty],T_Shipments[Part Name],$A17,T_Shipments[Effective_Week],60))</f>
        <v/>
      </c>
      <c r="BJ17">
        <f>IF(COUNTIF(Material_Detail!$DE:$DE,$A17)&gt;0,IF(ISNUMBER(SEARCH("[済]",INDEX(Material_Detail!$D:$DC,MATCH($A17,Material_Detail!$DE:$DE,0)+1,61))),0,IFERROR(INDEX(Material_Detail!$D:$DC,MATCH($A17,Material_Detail!$DE:$DE,0),61),0)),SUMIFS(T_Shipments[Confirmed_Qty],T_Shipments[Part Name],$A17,T_Shipments[Effective_Week],61))</f>
        <v/>
      </c>
      <c r="BK17">
        <f>IF(COUNTIF(Material_Detail!$DE:$DE,$A17)&gt;0,IF(ISNUMBER(SEARCH("[済]",INDEX(Material_Detail!$D:$DC,MATCH($A17,Material_Detail!$DE:$DE,0)+1,62))),0,IFERROR(INDEX(Material_Detail!$D:$DC,MATCH($A17,Material_Detail!$DE:$DE,0),62),0)),SUMIFS(T_Shipments[Confirmed_Qty],T_Shipments[Part Name],$A17,T_Shipments[Effective_Week],62))</f>
        <v/>
      </c>
      <c r="BL17">
        <f>IF(COUNTIF(Material_Detail!$DE:$DE,$A17)&gt;0,IF(ISNUMBER(SEARCH("[済]",INDEX(Material_Detail!$D:$DC,MATCH($A17,Material_Detail!$DE:$DE,0)+1,63))),0,IFERROR(INDEX(Material_Detail!$D:$DC,MATCH($A17,Material_Detail!$DE:$DE,0),63),0)),SUMIFS(T_Shipments[Confirmed_Qty],T_Shipments[Part Name],$A17,T_Shipments[Effective_Week],63))</f>
        <v/>
      </c>
      <c r="BM17">
        <f>IF(COUNTIF(Material_Detail!$DE:$DE,$A17)&gt;0,IF(ISNUMBER(SEARCH("[済]",INDEX(Material_Detail!$D:$DC,MATCH($A17,Material_Detail!$DE:$DE,0)+1,64))),0,IFERROR(INDEX(Material_Detail!$D:$DC,MATCH($A17,Material_Detail!$DE:$DE,0),64),0)),SUMIFS(T_Shipments[Confirmed_Qty],T_Shipments[Part Name],$A17,T_Shipments[Effective_Week],64))</f>
        <v/>
      </c>
      <c r="BN17">
        <f>IF(COUNTIF(Material_Detail!$DE:$DE,$A17)&gt;0,IF(ISNUMBER(SEARCH("[済]",INDEX(Material_Detail!$D:$DC,MATCH($A17,Material_Detail!$DE:$DE,0)+1,65))),0,IFERROR(INDEX(Material_Detail!$D:$DC,MATCH($A17,Material_Detail!$DE:$DE,0),65),0)),SUMIFS(T_Shipments[Confirmed_Qty],T_Shipments[Part Name],$A17,T_Shipments[Effective_Week],65))</f>
        <v/>
      </c>
      <c r="BO17">
        <f>IF(COUNTIF(Material_Detail!$DE:$DE,$A17)&gt;0,IF(ISNUMBER(SEARCH("[済]",INDEX(Material_Detail!$D:$DC,MATCH($A17,Material_Detail!$DE:$DE,0)+1,66))),0,IFERROR(INDEX(Material_Detail!$D:$DC,MATCH($A17,Material_Detail!$DE:$DE,0),66),0)),SUMIFS(T_Shipments[Confirmed_Qty],T_Shipments[Part Name],$A17,T_Shipments[Effective_Week],66))</f>
        <v/>
      </c>
      <c r="BP17">
        <f>IF(COUNTIF(Material_Detail!$DE:$DE,$A17)&gt;0,IF(ISNUMBER(SEARCH("[済]",INDEX(Material_Detail!$D:$DC,MATCH($A17,Material_Detail!$DE:$DE,0)+1,67))),0,IFERROR(INDEX(Material_Detail!$D:$DC,MATCH($A17,Material_Detail!$DE:$DE,0),67),0)),SUMIFS(T_Shipments[Confirmed_Qty],T_Shipments[Part Name],$A17,T_Shipments[Effective_Week],67))</f>
        <v/>
      </c>
      <c r="BQ17">
        <f>IF(COUNTIF(Material_Detail!$DE:$DE,$A17)&gt;0,IF(ISNUMBER(SEARCH("[済]",INDEX(Material_Detail!$D:$DC,MATCH($A17,Material_Detail!$DE:$DE,0)+1,68))),0,IFERROR(INDEX(Material_Detail!$D:$DC,MATCH($A17,Material_Detail!$DE:$DE,0),68),0)),SUMIFS(T_Shipments[Confirmed_Qty],T_Shipments[Part Name],$A17,T_Shipments[Effective_Week],68))</f>
        <v/>
      </c>
      <c r="BR17">
        <f>IF(COUNTIF(Material_Detail!$DE:$DE,$A17)&gt;0,IF(ISNUMBER(SEARCH("[済]",INDEX(Material_Detail!$D:$DC,MATCH($A17,Material_Detail!$DE:$DE,0)+1,69))),0,IFERROR(INDEX(Material_Detail!$D:$DC,MATCH($A17,Material_Detail!$DE:$DE,0),69),0)),SUMIFS(T_Shipments[Confirmed_Qty],T_Shipments[Part Name],$A17,T_Shipments[Effective_Week],69))</f>
        <v/>
      </c>
      <c r="BS17">
        <f>IF(COUNTIF(Material_Detail!$DE:$DE,$A17)&gt;0,IF(ISNUMBER(SEARCH("[済]",INDEX(Material_Detail!$D:$DC,MATCH($A17,Material_Detail!$DE:$DE,0)+1,70))),0,IFERROR(INDEX(Material_Detail!$D:$DC,MATCH($A17,Material_Detail!$DE:$DE,0),70),0)),SUMIFS(T_Shipments[Confirmed_Qty],T_Shipments[Part Name],$A17,T_Shipments[Effective_Week],70))</f>
        <v/>
      </c>
      <c r="BT17">
        <f>IF(COUNTIF(Material_Detail!$DE:$DE,$A17)&gt;0,IF(ISNUMBER(SEARCH("[済]",INDEX(Material_Detail!$D:$DC,MATCH($A17,Material_Detail!$DE:$DE,0)+1,71))),0,IFERROR(INDEX(Material_Detail!$D:$DC,MATCH($A17,Material_Detail!$DE:$DE,0),71),0)),SUMIFS(T_Shipments[Confirmed_Qty],T_Shipments[Part Name],$A17,T_Shipments[Effective_Week],71))</f>
        <v/>
      </c>
      <c r="BU17">
        <f>IF(COUNTIF(Material_Detail!$DE:$DE,$A17)&gt;0,IF(ISNUMBER(SEARCH("[済]",INDEX(Material_Detail!$D:$DC,MATCH($A17,Material_Detail!$DE:$DE,0)+1,72))),0,IFERROR(INDEX(Material_Detail!$D:$DC,MATCH($A17,Material_Detail!$DE:$DE,0),72),0)),SUMIFS(T_Shipments[Confirmed_Qty],T_Shipments[Part Name],$A17,T_Shipments[Effective_Week],72))</f>
        <v/>
      </c>
      <c r="BV17">
        <f>IF(COUNTIF(Material_Detail!$DE:$DE,$A17)&gt;0,IF(ISNUMBER(SEARCH("[済]",INDEX(Material_Detail!$D:$DC,MATCH($A17,Material_Detail!$DE:$DE,0)+1,73))),0,IFERROR(INDEX(Material_Detail!$D:$DC,MATCH($A17,Material_Detail!$DE:$DE,0),73),0)),SUMIFS(T_Shipments[Confirmed_Qty],T_Shipments[Part Name],$A17,T_Shipments[Effective_Week],73))</f>
        <v/>
      </c>
      <c r="BW17">
        <f>IF(COUNTIF(Material_Detail!$DE:$DE,$A17)&gt;0,IF(ISNUMBER(SEARCH("[済]",INDEX(Material_Detail!$D:$DC,MATCH($A17,Material_Detail!$DE:$DE,0)+1,74))),0,IFERROR(INDEX(Material_Detail!$D:$DC,MATCH($A17,Material_Detail!$DE:$DE,0),74),0)),SUMIFS(T_Shipments[Confirmed_Qty],T_Shipments[Part Name],$A17,T_Shipments[Effective_Week],74))</f>
        <v/>
      </c>
      <c r="BX17">
        <f>IF(COUNTIF(Material_Detail!$DE:$DE,$A17)&gt;0,IF(ISNUMBER(SEARCH("[済]",INDEX(Material_Detail!$D:$DC,MATCH($A17,Material_Detail!$DE:$DE,0)+1,75))),0,IFERROR(INDEX(Material_Detail!$D:$DC,MATCH($A17,Material_Detail!$DE:$DE,0),75),0)),SUMIFS(T_Shipments[Confirmed_Qty],T_Shipments[Part Name],$A17,T_Shipments[Effective_Week],75))</f>
        <v/>
      </c>
      <c r="BY17">
        <f>IF(COUNTIF(Material_Detail!$DE:$DE,$A17)&gt;0,IF(ISNUMBER(SEARCH("[済]",INDEX(Material_Detail!$D:$DC,MATCH($A17,Material_Detail!$DE:$DE,0)+1,76))),0,IFERROR(INDEX(Material_Detail!$D:$DC,MATCH($A17,Material_Detail!$DE:$DE,0),76),0)),SUMIFS(T_Shipments[Confirmed_Qty],T_Shipments[Part Name],$A17,T_Shipments[Effective_Week],76))</f>
        <v/>
      </c>
      <c r="BZ17">
        <f>IF(COUNTIF(Material_Detail!$DE:$DE,$A17)&gt;0,IF(ISNUMBER(SEARCH("[済]",INDEX(Material_Detail!$D:$DC,MATCH($A17,Material_Detail!$DE:$DE,0)+1,77))),0,IFERROR(INDEX(Material_Detail!$D:$DC,MATCH($A17,Material_Detail!$DE:$DE,0),77),0)),SUMIFS(T_Shipments[Confirmed_Qty],T_Shipments[Part Name],$A17,T_Shipments[Effective_Week],77))</f>
        <v/>
      </c>
      <c r="CA17">
        <f>IF(COUNTIF(Material_Detail!$DE:$DE,$A17)&gt;0,IF(ISNUMBER(SEARCH("[済]",INDEX(Material_Detail!$D:$DC,MATCH($A17,Material_Detail!$DE:$DE,0)+1,78))),0,IFERROR(INDEX(Material_Detail!$D:$DC,MATCH($A17,Material_Detail!$DE:$DE,0),78),0)),SUMIFS(T_Shipments[Confirmed_Qty],T_Shipments[Part Name],$A17,T_Shipments[Effective_Week],78))</f>
        <v/>
      </c>
      <c r="CB17">
        <f>IF(COUNTIF(Material_Detail!$DE:$DE,$A17)&gt;0,IF(ISNUMBER(SEARCH("[済]",INDEX(Material_Detail!$D:$DC,MATCH($A17,Material_Detail!$DE:$DE,0)+1,79))),0,IFERROR(INDEX(Material_Detail!$D:$DC,MATCH($A17,Material_Detail!$DE:$DE,0),79),0)),SUMIFS(T_Shipments[Confirmed_Qty],T_Shipments[Part Name],$A17,T_Shipments[Effective_Week],79))</f>
        <v/>
      </c>
      <c r="CC17">
        <f>IF(COUNTIF(Material_Detail!$DE:$DE,$A17)&gt;0,IF(ISNUMBER(SEARCH("[済]",INDEX(Material_Detail!$D:$DC,MATCH($A17,Material_Detail!$DE:$DE,0)+1,80))),0,IFERROR(INDEX(Material_Detail!$D:$DC,MATCH($A17,Material_Detail!$DE:$DE,0),80),0)),SUMIFS(T_Shipments[Confirmed_Qty],T_Shipments[Part Name],$A17,T_Shipments[Effective_Week],80))</f>
        <v/>
      </c>
      <c r="CD17">
        <f>IF(COUNTIF(Material_Detail!$DE:$DE,$A17)&gt;0,IF(ISNUMBER(SEARCH("[済]",INDEX(Material_Detail!$D:$DC,MATCH($A17,Material_Detail!$DE:$DE,0)+1,81))),0,IFERROR(INDEX(Material_Detail!$D:$DC,MATCH($A17,Material_Detail!$DE:$DE,0),81),0)),SUMIFS(T_Shipments[Confirmed_Qty],T_Shipments[Part Name],$A17,T_Shipments[Effective_Week],81))</f>
        <v/>
      </c>
      <c r="CE17">
        <f>IF(COUNTIF(Material_Detail!$DE:$DE,$A17)&gt;0,IF(ISNUMBER(SEARCH("[済]",INDEX(Material_Detail!$D:$DC,MATCH($A17,Material_Detail!$DE:$DE,0)+1,82))),0,IFERROR(INDEX(Material_Detail!$D:$DC,MATCH($A17,Material_Detail!$DE:$DE,0),82),0)),SUMIFS(T_Shipments[Confirmed_Qty],T_Shipments[Part Name],$A17,T_Shipments[Effective_Week],82))</f>
        <v/>
      </c>
      <c r="CF17">
        <f>IF(COUNTIF(Material_Detail!$DE:$DE,$A17)&gt;0,IF(ISNUMBER(SEARCH("[済]",INDEX(Material_Detail!$D:$DC,MATCH($A17,Material_Detail!$DE:$DE,0)+1,83))),0,IFERROR(INDEX(Material_Detail!$D:$DC,MATCH($A17,Material_Detail!$DE:$DE,0),83),0)),SUMIFS(T_Shipments[Confirmed_Qty],T_Shipments[Part Name],$A17,T_Shipments[Effective_Week],83))</f>
        <v/>
      </c>
      <c r="CG17">
        <f>IF(COUNTIF(Material_Detail!$DE:$DE,$A17)&gt;0,IF(ISNUMBER(SEARCH("[済]",INDEX(Material_Detail!$D:$DC,MATCH($A17,Material_Detail!$DE:$DE,0)+1,84))),0,IFERROR(INDEX(Material_Detail!$D:$DC,MATCH($A17,Material_Detail!$DE:$DE,0),84),0)),SUMIFS(T_Shipments[Confirmed_Qty],T_Shipments[Part Name],$A17,T_Shipments[Effective_Week],84))</f>
        <v/>
      </c>
      <c r="CH17">
        <f>IF(COUNTIF(Material_Detail!$DE:$DE,$A17)&gt;0,IF(ISNUMBER(SEARCH("[済]",INDEX(Material_Detail!$D:$DC,MATCH($A17,Material_Detail!$DE:$DE,0)+1,85))),0,IFERROR(INDEX(Material_Detail!$D:$DC,MATCH($A17,Material_Detail!$DE:$DE,0),85),0)),SUMIFS(T_Shipments[Confirmed_Qty],T_Shipments[Part Name],$A17,T_Shipments[Effective_Week],85))</f>
        <v/>
      </c>
      <c r="CI17">
        <f>IF(COUNTIF(Material_Detail!$DE:$DE,$A17)&gt;0,IF(ISNUMBER(SEARCH("[済]",INDEX(Material_Detail!$D:$DC,MATCH($A17,Material_Detail!$DE:$DE,0)+1,86))),0,IFERROR(INDEX(Material_Detail!$D:$DC,MATCH($A17,Material_Detail!$DE:$DE,0),86),0)),SUMIFS(T_Shipments[Confirmed_Qty],T_Shipments[Part Name],$A17,T_Shipments[Effective_Week],86))</f>
        <v/>
      </c>
      <c r="CJ17">
        <f>IF(COUNTIF(Material_Detail!$DE:$DE,$A17)&gt;0,IF(ISNUMBER(SEARCH("[済]",INDEX(Material_Detail!$D:$DC,MATCH($A17,Material_Detail!$DE:$DE,0)+1,87))),0,IFERROR(INDEX(Material_Detail!$D:$DC,MATCH($A17,Material_Detail!$DE:$DE,0),87),0)),SUMIFS(T_Shipments[Confirmed_Qty],T_Shipments[Part Name],$A17,T_Shipments[Effective_Week],87))</f>
        <v/>
      </c>
      <c r="CK17">
        <f>IF(COUNTIF(Material_Detail!$DE:$DE,$A17)&gt;0,IF(ISNUMBER(SEARCH("[済]",INDEX(Material_Detail!$D:$DC,MATCH($A17,Material_Detail!$DE:$DE,0)+1,88))),0,IFERROR(INDEX(Material_Detail!$D:$DC,MATCH($A17,Material_Detail!$DE:$DE,0),88),0)),SUMIFS(T_Shipments[Confirmed_Qty],T_Shipments[Part Name],$A17,T_Shipments[Effective_Week],88))</f>
        <v/>
      </c>
      <c r="CL17">
        <f>IF(COUNTIF(Material_Detail!$DE:$DE,$A17)&gt;0,IF(ISNUMBER(SEARCH("[済]",INDEX(Material_Detail!$D:$DC,MATCH($A17,Material_Detail!$DE:$DE,0)+1,89))),0,IFERROR(INDEX(Material_Detail!$D:$DC,MATCH($A17,Material_Detail!$DE:$DE,0),89),0)),SUMIFS(T_Shipments[Confirmed_Qty],T_Shipments[Part Name],$A17,T_Shipments[Effective_Week],89))</f>
        <v/>
      </c>
      <c r="CM17">
        <f>IF(COUNTIF(Material_Detail!$DE:$DE,$A17)&gt;0,IF(ISNUMBER(SEARCH("[済]",INDEX(Material_Detail!$D:$DC,MATCH($A17,Material_Detail!$DE:$DE,0)+1,90))),0,IFERROR(INDEX(Material_Detail!$D:$DC,MATCH($A17,Material_Detail!$DE:$DE,0),90),0)),SUMIFS(T_Shipments[Confirmed_Qty],T_Shipments[Part Name],$A17,T_Shipments[Effective_Week],90))</f>
        <v/>
      </c>
      <c r="CN17">
        <f>IF(COUNTIF(Material_Detail!$DE:$DE,$A17)&gt;0,IF(ISNUMBER(SEARCH("[済]",INDEX(Material_Detail!$D:$DC,MATCH($A17,Material_Detail!$DE:$DE,0)+1,91))),0,IFERROR(INDEX(Material_Detail!$D:$DC,MATCH($A17,Material_Detail!$DE:$DE,0),91),0)),SUMIFS(T_Shipments[Confirmed_Qty],T_Shipments[Part Name],$A17,T_Shipments[Effective_Week],91))</f>
        <v/>
      </c>
      <c r="CO17">
        <f>IF(COUNTIF(Material_Detail!$DE:$DE,$A17)&gt;0,IF(ISNUMBER(SEARCH("[済]",INDEX(Material_Detail!$D:$DC,MATCH($A17,Material_Detail!$DE:$DE,0)+1,92))),0,IFERROR(INDEX(Material_Detail!$D:$DC,MATCH($A17,Material_Detail!$DE:$DE,0),92),0)),SUMIFS(T_Shipments[Confirmed_Qty],T_Shipments[Part Name],$A17,T_Shipments[Effective_Week],92))</f>
        <v/>
      </c>
      <c r="CP17">
        <f>IF(COUNTIF(Material_Detail!$DE:$DE,$A17)&gt;0,IF(ISNUMBER(SEARCH("[済]",INDEX(Material_Detail!$D:$DC,MATCH($A17,Material_Detail!$DE:$DE,0)+1,93))),0,IFERROR(INDEX(Material_Detail!$D:$DC,MATCH($A17,Material_Detail!$DE:$DE,0),93),0)),SUMIFS(T_Shipments[Confirmed_Qty],T_Shipments[Part Name],$A17,T_Shipments[Effective_Week],93))</f>
        <v/>
      </c>
      <c r="CQ17">
        <f>IF(COUNTIF(Material_Detail!$DE:$DE,$A17)&gt;0,IF(ISNUMBER(SEARCH("[済]",INDEX(Material_Detail!$D:$DC,MATCH($A17,Material_Detail!$DE:$DE,0)+1,94))),0,IFERROR(INDEX(Material_Detail!$D:$DC,MATCH($A17,Material_Detail!$DE:$DE,0),94),0)),SUMIFS(T_Shipments[Confirmed_Qty],T_Shipments[Part Name],$A17,T_Shipments[Effective_Week],94))</f>
        <v/>
      </c>
      <c r="CR17">
        <f>IF(COUNTIF(Material_Detail!$DE:$DE,$A17)&gt;0,IF(ISNUMBER(SEARCH("[済]",INDEX(Material_Detail!$D:$DC,MATCH($A17,Material_Detail!$DE:$DE,0)+1,95))),0,IFERROR(INDEX(Material_Detail!$D:$DC,MATCH($A17,Material_Detail!$DE:$DE,0),95),0)),SUMIFS(T_Shipments[Confirmed_Qty],T_Shipments[Part Name],$A17,T_Shipments[Effective_Week],95))</f>
        <v/>
      </c>
      <c r="CS17">
        <f>IF(COUNTIF(Material_Detail!$DE:$DE,$A17)&gt;0,IF(ISNUMBER(SEARCH("[済]",INDEX(Material_Detail!$D:$DC,MATCH($A17,Material_Detail!$DE:$DE,0)+1,96))),0,IFERROR(INDEX(Material_Detail!$D:$DC,MATCH($A17,Material_Detail!$DE:$DE,0),96),0)),SUMIFS(T_Shipments[Confirmed_Qty],T_Shipments[Part Name],$A17,T_Shipments[Effective_Week],96))</f>
        <v/>
      </c>
      <c r="CT17">
        <f>IF(COUNTIF(Material_Detail!$DE:$DE,$A17)&gt;0,IF(ISNUMBER(SEARCH("[済]",INDEX(Material_Detail!$D:$DC,MATCH($A17,Material_Detail!$DE:$DE,0)+1,97))),0,IFERROR(INDEX(Material_Detail!$D:$DC,MATCH($A17,Material_Detail!$DE:$DE,0),97),0)),SUMIFS(T_Shipments[Confirmed_Qty],T_Shipments[Part Name],$A17,T_Shipments[Effective_Week],97))</f>
        <v/>
      </c>
      <c r="CU17">
        <f>IF(COUNTIF(Material_Detail!$DE:$DE,$A17)&gt;0,IF(ISNUMBER(SEARCH("[済]",INDEX(Material_Detail!$D:$DC,MATCH($A17,Material_Detail!$DE:$DE,0)+1,98))),0,IFERROR(INDEX(Material_Detail!$D:$DC,MATCH($A17,Material_Detail!$DE:$DE,0),98),0)),SUMIFS(T_Shipments[Confirmed_Qty],T_Shipments[Part Name],$A17,T_Shipments[Effective_Week],98))</f>
        <v/>
      </c>
      <c r="CV17">
        <f>IF(COUNTIF(Material_Detail!$DE:$DE,$A17)&gt;0,IF(ISNUMBER(SEARCH("[済]",INDEX(Material_Detail!$D:$DC,MATCH($A17,Material_Detail!$DE:$DE,0)+1,99))),0,IFERROR(INDEX(Material_Detail!$D:$DC,MATCH($A17,Material_Detail!$DE:$DE,0),99),0)),SUMIFS(T_Shipments[Confirmed_Qty],T_Shipments[Part Name],$A17,T_Shipments[Effective_Week],99))</f>
        <v/>
      </c>
      <c r="CW17">
        <f>IF(COUNTIF(Material_Detail!$DE:$DE,$A17)&gt;0,IF(ISNUMBER(SEARCH("[済]",INDEX(Material_Detail!$D:$DC,MATCH($A17,Material_Detail!$DE:$DE,0)+1,100))),0,IFERROR(INDEX(Material_Detail!$D:$DC,MATCH($A17,Material_Detail!$DE:$DE,0),100),0)),SUMIFS(T_Shipments[Confirmed_Qty],T_Shipments[Part Name],$A17,T_Shipments[Effective_Week],100))</f>
        <v/>
      </c>
      <c r="CX17">
        <f>IF(COUNTIF(Material_Detail!$DE:$DE,$A17)&gt;0,IF(ISNUMBER(SEARCH("[済]",INDEX(Material_Detail!$D:$DC,MATCH($A17,Material_Detail!$DE:$DE,0)+1,101))),0,IFERROR(INDEX(Material_Detail!$D:$DC,MATCH($A17,Material_Detail!$DE:$DE,0),101),0)),SUMIFS(T_Shipments[Confirmed_Qty],T_Shipments[Part Name],$A17,T_Shipments[Effective_Week],101))</f>
        <v/>
      </c>
      <c r="CY17">
        <f>IF(COUNTIF(Material_Detail!$DE:$DE,$A17)&gt;0,IF(ISNUMBER(SEARCH("[済]",INDEX(Material_Detail!$D:$DC,MATCH($A17,Material_Detail!$DE:$DE,0)+1,102))),0,IFERROR(INDEX(Material_Detail!$D:$DC,MATCH($A17,Material_Detail!$DE:$DE,0),102),0)),SUMIFS(T_Shipments[Confirmed_Qty],T_Shipments[Part Name],$A17,T_Shipments[Effective_Week],102))</f>
        <v/>
      </c>
      <c r="CZ17">
        <f>IF(COUNTIF(Material_Detail!$DE:$DE,$A17)&gt;0,IF(ISNUMBER(SEARCH("[済]",INDEX(Material_Detail!$D:$DC,MATCH($A17,Material_Detail!$DE:$DE,0)+1,103))),0,IFERROR(INDEX(Material_Detail!$D:$DC,MATCH($A17,Material_Detail!$DE:$DE,0),103),0)),SUMIFS(T_Shipments[Confirmed_Qty],T_Shipments[Part Name],$A17,T_Shipments[Effective_Week],103))</f>
        <v/>
      </c>
      <c r="DA17">
        <f>IF(COUNTIF(Material_Detail!$DE:$DE,$A17)&gt;0,IF(ISNUMBER(SEARCH("[済]",INDEX(Material_Detail!$D:$DC,MATCH($A17,Material_Detail!$DE:$DE,0)+1,104))),0,IFERROR(INDEX(Material_Detail!$D:$DC,MATCH($A17,Material_Detail!$DE:$DE,0),104),0)),SUMIFS(T_Shipments[Confirmed_Qty],T_Shipments[Part Name],$A17,T_Shipments[Effective_Week],104))</f>
        <v/>
      </c>
    </row>
    <row r="18">
      <c r="A18" t="inlineStr">
        <is>
          <t>5JK</t>
        </is>
      </c>
      <c r="B18">
        <f>IF(COUNTIF(Material_Detail!$DE:$DE,$A18)&gt;0,IF(ISNUMBER(SEARCH("[済]",INDEX(Material_Detail!$D:$DC,MATCH($A18,Material_Detail!$DE:$DE,0)+1,1))),0,IFERROR(INDEX(Material_Detail!$D:$DC,MATCH($A18,Material_Detail!$DE:$DE,0),1),0)),SUMIFS(T_Shipments[Confirmed_Qty],T_Shipments[Part Name],$A18,T_Shipments[Effective_Week],1))</f>
        <v/>
      </c>
      <c r="C18">
        <f>IF(COUNTIF(Material_Detail!$DE:$DE,$A18)&gt;0,IF(ISNUMBER(SEARCH("[済]",INDEX(Material_Detail!$D:$DC,MATCH($A18,Material_Detail!$DE:$DE,0)+1,2))),0,IFERROR(INDEX(Material_Detail!$D:$DC,MATCH($A18,Material_Detail!$DE:$DE,0),2),0)),SUMIFS(T_Shipments[Confirmed_Qty],T_Shipments[Part Name],$A18,T_Shipments[Effective_Week],2))</f>
        <v/>
      </c>
      <c r="D18">
        <f>IF(COUNTIF(Material_Detail!$DE:$DE,$A18)&gt;0,IF(ISNUMBER(SEARCH("[済]",INDEX(Material_Detail!$D:$DC,MATCH($A18,Material_Detail!$DE:$DE,0)+1,3))),0,IFERROR(INDEX(Material_Detail!$D:$DC,MATCH($A18,Material_Detail!$DE:$DE,0),3),0)),SUMIFS(T_Shipments[Confirmed_Qty],T_Shipments[Part Name],$A18,T_Shipments[Effective_Week],3))</f>
        <v/>
      </c>
      <c r="E18">
        <f>IF(COUNTIF(Material_Detail!$DE:$DE,$A18)&gt;0,IF(ISNUMBER(SEARCH("[済]",INDEX(Material_Detail!$D:$DC,MATCH($A18,Material_Detail!$DE:$DE,0)+1,4))),0,IFERROR(INDEX(Material_Detail!$D:$DC,MATCH($A18,Material_Detail!$DE:$DE,0),4),0)),SUMIFS(T_Shipments[Confirmed_Qty],T_Shipments[Part Name],$A18,T_Shipments[Effective_Week],4))</f>
        <v/>
      </c>
      <c r="F18">
        <f>IF(COUNTIF(Material_Detail!$DE:$DE,$A18)&gt;0,IF(ISNUMBER(SEARCH("[済]",INDEX(Material_Detail!$D:$DC,MATCH($A18,Material_Detail!$DE:$DE,0)+1,5))),0,IFERROR(INDEX(Material_Detail!$D:$DC,MATCH($A18,Material_Detail!$DE:$DE,0),5),0)),SUMIFS(T_Shipments[Confirmed_Qty],T_Shipments[Part Name],$A18,T_Shipments[Effective_Week],5))</f>
        <v/>
      </c>
      <c r="G18">
        <f>IF(COUNTIF(Material_Detail!$DE:$DE,$A18)&gt;0,IF(ISNUMBER(SEARCH("[済]",INDEX(Material_Detail!$D:$DC,MATCH($A18,Material_Detail!$DE:$DE,0)+1,6))),0,IFERROR(INDEX(Material_Detail!$D:$DC,MATCH($A18,Material_Detail!$DE:$DE,0),6),0)),SUMIFS(T_Shipments[Confirmed_Qty],T_Shipments[Part Name],$A18,T_Shipments[Effective_Week],6))</f>
        <v/>
      </c>
      <c r="H18">
        <f>IF(COUNTIF(Material_Detail!$DE:$DE,$A18)&gt;0,IF(ISNUMBER(SEARCH("[済]",INDEX(Material_Detail!$D:$DC,MATCH($A18,Material_Detail!$DE:$DE,0)+1,7))),0,IFERROR(INDEX(Material_Detail!$D:$DC,MATCH($A18,Material_Detail!$DE:$DE,0),7),0)),SUMIFS(T_Shipments[Confirmed_Qty],T_Shipments[Part Name],$A18,T_Shipments[Effective_Week],7))</f>
        <v/>
      </c>
      <c r="I18">
        <f>IF(COUNTIF(Material_Detail!$DE:$DE,$A18)&gt;0,IF(ISNUMBER(SEARCH("[済]",INDEX(Material_Detail!$D:$DC,MATCH($A18,Material_Detail!$DE:$DE,0)+1,8))),0,IFERROR(INDEX(Material_Detail!$D:$DC,MATCH($A18,Material_Detail!$DE:$DE,0),8),0)),SUMIFS(T_Shipments[Confirmed_Qty],T_Shipments[Part Name],$A18,T_Shipments[Effective_Week],8))</f>
        <v/>
      </c>
      <c r="J18">
        <f>IF(COUNTIF(Material_Detail!$DE:$DE,$A18)&gt;0,IF(ISNUMBER(SEARCH("[済]",INDEX(Material_Detail!$D:$DC,MATCH($A18,Material_Detail!$DE:$DE,0)+1,9))),0,IFERROR(INDEX(Material_Detail!$D:$DC,MATCH($A18,Material_Detail!$DE:$DE,0),9),0)),SUMIFS(T_Shipments[Confirmed_Qty],T_Shipments[Part Name],$A18,T_Shipments[Effective_Week],9))</f>
        <v/>
      </c>
      <c r="K18">
        <f>IF(COUNTIF(Material_Detail!$DE:$DE,$A18)&gt;0,IF(ISNUMBER(SEARCH("[済]",INDEX(Material_Detail!$D:$DC,MATCH($A18,Material_Detail!$DE:$DE,0)+1,10))),0,IFERROR(INDEX(Material_Detail!$D:$DC,MATCH($A18,Material_Detail!$DE:$DE,0),10),0)),SUMIFS(T_Shipments[Confirmed_Qty],T_Shipments[Part Name],$A18,T_Shipments[Effective_Week],10))</f>
        <v/>
      </c>
      <c r="L18">
        <f>IF(COUNTIF(Material_Detail!$DE:$DE,$A18)&gt;0,IF(ISNUMBER(SEARCH("[済]",INDEX(Material_Detail!$D:$DC,MATCH($A18,Material_Detail!$DE:$DE,0)+1,11))),0,IFERROR(INDEX(Material_Detail!$D:$DC,MATCH($A18,Material_Detail!$DE:$DE,0),11),0)),SUMIFS(T_Shipments[Confirmed_Qty],T_Shipments[Part Name],$A18,T_Shipments[Effective_Week],11))</f>
        <v/>
      </c>
      <c r="M18">
        <f>IF(COUNTIF(Material_Detail!$DE:$DE,$A18)&gt;0,IF(ISNUMBER(SEARCH("[済]",INDEX(Material_Detail!$D:$DC,MATCH($A18,Material_Detail!$DE:$DE,0)+1,12))),0,IFERROR(INDEX(Material_Detail!$D:$DC,MATCH($A18,Material_Detail!$DE:$DE,0),12),0)),SUMIFS(T_Shipments[Confirmed_Qty],T_Shipments[Part Name],$A18,T_Shipments[Effective_Week],12))</f>
        <v/>
      </c>
      <c r="N18">
        <f>IF(COUNTIF(Material_Detail!$DE:$DE,$A18)&gt;0,IF(ISNUMBER(SEARCH("[済]",INDEX(Material_Detail!$D:$DC,MATCH($A18,Material_Detail!$DE:$DE,0)+1,13))),0,IFERROR(INDEX(Material_Detail!$D:$DC,MATCH($A18,Material_Detail!$DE:$DE,0),13),0)),SUMIFS(T_Shipments[Confirmed_Qty],T_Shipments[Part Name],$A18,T_Shipments[Effective_Week],13))</f>
        <v/>
      </c>
      <c r="O18">
        <f>IF(COUNTIF(Material_Detail!$DE:$DE,$A18)&gt;0,IF(ISNUMBER(SEARCH("[済]",INDEX(Material_Detail!$D:$DC,MATCH($A18,Material_Detail!$DE:$DE,0)+1,14))),0,IFERROR(INDEX(Material_Detail!$D:$DC,MATCH($A18,Material_Detail!$DE:$DE,0),14),0)),SUMIFS(T_Shipments[Confirmed_Qty],T_Shipments[Part Name],$A18,T_Shipments[Effective_Week],14))</f>
        <v/>
      </c>
      <c r="P18">
        <f>IF(COUNTIF(Material_Detail!$DE:$DE,$A18)&gt;0,IF(ISNUMBER(SEARCH("[済]",INDEX(Material_Detail!$D:$DC,MATCH($A18,Material_Detail!$DE:$DE,0)+1,15))),0,IFERROR(INDEX(Material_Detail!$D:$DC,MATCH($A18,Material_Detail!$DE:$DE,0),15),0)),SUMIFS(T_Shipments[Confirmed_Qty],T_Shipments[Part Name],$A18,T_Shipments[Effective_Week],15))</f>
        <v/>
      </c>
      <c r="Q18">
        <f>IF(COUNTIF(Material_Detail!$DE:$DE,$A18)&gt;0,IF(ISNUMBER(SEARCH("[済]",INDEX(Material_Detail!$D:$DC,MATCH($A18,Material_Detail!$DE:$DE,0)+1,16))),0,IFERROR(INDEX(Material_Detail!$D:$DC,MATCH($A18,Material_Detail!$DE:$DE,0),16),0)),SUMIFS(T_Shipments[Confirmed_Qty],T_Shipments[Part Name],$A18,T_Shipments[Effective_Week],16))</f>
        <v/>
      </c>
      <c r="R18">
        <f>IF(COUNTIF(Material_Detail!$DE:$DE,$A18)&gt;0,IF(ISNUMBER(SEARCH("[済]",INDEX(Material_Detail!$D:$DC,MATCH($A18,Material_Detail!$DE:$DE,0)+1,17))),0,IFERROR(INDEX(Material_Detail!$D:$DC,MATCH($A18,Material_Detail!$DE:$DE,0),17),0)),SUMIFS(T_Shipments[Confirmed_Qty],T_Shipments[Part Name],$A18,T_Shipments[Effective_Week],17))</f>
        <v/>
      </c>
      <c r="S18">
        <f>IF(COUNTIF(Material_Detail!$DE:$DE,$A18)&gt;0,IF(ISNUMBER(SEARCH("[済]",INDEX(Material_Detail!$D:$DC,MATCH($A18,Material_Detail!$DE:$DE,0)+1,18))),0,IFERROR(INDEX(Material_Detail!$D:$DC,MATCH($A18,Material_Detail!$DE:$DE,0),18),0)),SUMIFS(T_Shipments[Confirmed_Qty],T_Shipments[Part Name],$A18,T_Shipments[Effective_Week],18))</f>
        <v/>
      </c>
      <c r="T18">
        <f>IF(COUNTIF(Material_Detail!$DE:$DE,$A18)&gt;0,IF(ISNUMBER(SEARCH("[済]",INDEX(Material_Detail!$D:$DC,MATCH($A18,Material_Detail!$DE:$DE,0)+1,19))),0,IFERROR(INDEX(Material_Detail!$D:$DC,MATCH($A18,Material_Detail!$DE:$DE,0),19),0)),SUMIFS(T_Shipments[Confirmed_Qty],T_Shipments[Part Name],$A18,T_Shipments[Effective_Week],19))</f>
        <v/>
      </c>
      <c r="U18">
        <f>IF(COUNTIF(Material_Detail!$DE:$DE,$A18)&gt;0,IF(ISNUMBER(SEARCH("[済]",INDEX(Material_Detail!$D:$DC,MATCH($A18,Material_Detail!$DE:$DE,0)+1,20))),0,IFERROR(INDEX(Material_Detail!$D:$DC,MATCH($A18,Material_Detail!$DE:$DE,0),20),0)),SUMIFS(T_Shipments[Confirmed_Qty],T_Shipments[Part Name],$A18,T_Shipments[Effective_Week],20))</f>
        <v/>
      </c>
      <c r="V18">
        <f>IF(COUNTIF(Material_Detail!$DE:$DE,$A18)&gt;0,IF(ISNUMBER(SEARCH("[済]",INDEX(Material_Detail!$D:$DC,MATCH($A18,Material_Detail!$DE:$DE,0)+1,21))),0,IFERROR(INDEX(Material_Detail!$D:$DC,MATCH($A18,Material_Detail!$DE:$DE,0),21),0)),SUMIFS(T_Shipments[Confirmed_Qty],T_Shipments[Part Name],$A18,T_Shipments[Effective_Week],21))</f>
        <v/>
      </c>
      <c r="W18">
        <f>IF(COUNTIF(Material_Detail!$DE:$DE,$A18)&gt;0,IF(ISNUMBER(SEARCH("[済]",INDEX(Material_Detail!$D:$DC,MATCH($A18,Material_Detail!$DE:$DE,0)+1,22))),0,IFERROR(INDEX(Material_Detail!$D:$DC,MATCH($A18,Material_Detail!$DE:$DE,0),22),0)),SUMIFS(T_Shipments[Confirmed_Qty],T_Shipments[Part Name],$A18,T_Shipments[Effective_Week],22))</f>
        <v/>
      </c>
      <c r="X18">
        <f>IF(COUNTIF(Material_Detail!$DE:$DE,$A18)&gt;0,IF(ISNUMBER(SEARCH("[済]",INDEX(Material_Detail!$D:$DC,MATCH($A18,Material_Detail!$DE:$DE,0)+1,23))),0,IFERROR(INDEX(Material_Detail!$D:$DC,MATCH($A18,Material_Detail!$DE:$DE,0),23),0)),SUMIFS(T_Shipments[Confirmed_Qty],T_Shipments[Part Name],$A18,T_Shipments[Effective_Week],23))</f>
        <v/>
      </c>
      <c r="Y18">
        <f>IF(COUNTIF(Material_Detail!$DE:$DE,$A18)&gt;0,IF(ISNUMBER(SEARCH("[済]",INDEX(Material_Detail!$D:$DC,MATCH($A18,Material_Detail!$DE:$DE,0)+1,24))),0,IFERROR(INDEX(Material_Detail!$D:$DC,MATCH($A18,Material_Detail!$DE:$DE,0),24),0)),SUMIFS(T_Shipments[Confirmed_Qty],T_Shipments[Part Name],$A18,T_Shipments[Effective_Week],24))</f>
        <v/>
      </c>
      <c r="Z18">
        <f>IF(COUNTIF(Material_Detail!$DE:$DE,$A18)&gt;0,IF(ISNUMBER(SEARCH("[済]",INDEX(Material_Detail!$D:$DC,MATCH($A18,Material_Detail!$DE:$DE,0)+1,25))),0,IFERROR(INDEX(Material_Detail!$D:$DC,MATCH($A18,Material_Detail!$DE:$DE,0),25),0)),SUMIFS(T_Shipments[Confirmed_Qty],T_Shipments[Part Name],$A18,T_Shipments[Effective_Week],25))</f>
        <v/>
      </c>
      <c r="AA18">
        <f>IF(COUNTIF(Material_Detail!$DE:$DE,$A18)&gt;0,IF(ISNUMBER(SEARCH("[済]",INDEX(Material_Detail!$D:$DC,MATCH($A18,Material_Detail!$DE:$DE,0)+1,26))),0,IFERROR(INDEX(Material_Detail!$D:$DC,MATCH($A18,Material_Detail!$DE:$DE,0),26),0)),SUMIFS(T_Shipments[Confirmed_Qty],T_Shipments[Part Name],$A18,T_Shipments[Effective_Week],26))</f>
        <v/>
      </c>
      <c r="AB18">
        <f>IF(COUNTIF(Material_Detail!$DE:$DE,$A18)&gt;0,IF(ISNUMBER(SEARCH("[済]",INDEX(Material_Detail!$D:$DC,MATCH($A18,Material_Detail!$DE:$DE,0)+1,27))),0,IFERROR(INDEX(Material_Detail!$D:$DC,MATCH($A18,Material_Detail!$DE:$DE,0),27),0)),SUMIFS(T_Shipments[Confirmed_Qty],T_Shipments[Part Name],$A18,T_Shipments[Effective_Week],27))</f>
        <v/>
      </c>
      <c r="AC18">
        <f>IF(COUNTIF(Material_Detail!$DE:$DE,$A18)&gt;0,IF(ISNUMBER(SEARCH("[済]",INDEX(Material_Detail!$D:$DC,MATCH($A18,Material_Detail!$DE:$DE,0)+1,28))),0,IFERROR(INDEX(Material_Detail!$D:$DC,MATCH($A18,Material_Detail!$DE:$DE,0),28),0)),SUMIFS(T_Shipments[Confirmed_Qty],T_Shipments[Part Name],$A18,T_Shipments[Effective_Week],28))</f>
        <v/>
      </c>
      <c r="AD18">
        <f>IF(COUNTIF(Material_Detail!$DE:$DE,$A18)&gt;0,IF(ISNUMBER(SEARCH("[済]",INDEX(Material_Detail!$D:$DC,MATCH($A18,Material_Detail!$DE:$DE,0)+1,29))),0,IFERROR(INDEX(Material_Detail!$D:$DC,MATCH($A18,Material_Detail!$DE:$DE,0),29),0)),SUMIFS(T_Shipments[Confirmed_Qty],T_Shipments[Part Name],$A18,T_Shipments[Effective_Week],29))</f>
        <v/>
      </c>
      <c r="AE18">
        <f>IF(COUNTIF(Material_Detail!$DE:$DE,$A18)&gt;0,IF(ISNUMBER(SEARCH("[済]",INDEX(Material_Detail!$D:$DC,MATCH($A18,Material_Detail!$DE:$DE,0)+1,30))),0,IFERROR(INDEX(Material_Detail!$D:$DC,MATCH($A18,Material_Detail!$DE:$DE,0),30),0)),SUMIFS(T_Shipments[Confirmed_Qty],T_Shipments[Part Name],$A18,T_Shipments[Effective_Week],30))</f>
        <v/>
      </c>
      <c r="AF18">
        <f>IF(COUNTIF(Material_Detail!$DE:$DE,$A18)&gt;0,IF(ISNUMBER(SEARCH("[済]",INDEX(Material_Detail!$D:$DC,MATCH($A18,Material_Detail!$DE:$DE,0)+1,31))),0,IFERROR(INDEX(Material_Detail!$D:$DC,MATCH($A18,Material_Detail!$DE:$DE,0),31),0)),SUMIFS(T_Shipments[Confirmed_Qty],T_Shipments[Part Name],$A18,T_Shipments[Effective_Week],31))</f>
        <v/>
      </c>
      <c r="AG18">
        <f>IF(COUNTIF(Material_Detail!$DE:$DE,$A18)&gt;0,IF(ISNUMBER(SEARCH("[済]",INDEX(Material_Detail!$D:$DC,MATCH($A18,Material_Detail!$DE:$DE,0)+1,32))),0,IFERROR(INDEX(Material_Detail!$D:$DC,MATCH($A18,Material_Detail!$DE:$DE,0),32),0)),SUMIFS(T_Shipments[Confirmed_Qty],T_Shipments[Part Name],$A18,T_Shipments[Effective_Week],32))</f>
        <v/>
      </c>
      <c r="AH18">
        <f>IF(COUNTIF(Material_Detail!$DE:$DE,$A18)&gt;0,IF(ISNUMBER(SEARCH("[済]",INDEX(Material_Detail!$D:$DC,MATCH($A18,Material_Detail!$DE:$DE,0)+1,33))),0,IFERROR(INDEX(Material_Detail!$D:$DC,MATCH($A18,Material_Detail!$DE:$DE,0),33),0)),SUMIFS(T_Shipments[Confirmed_Qty],T_Shipments[Part Name],$A18,T_Shipments[Effective_Week],33))</f>
        <v/>
      </c>
      <c r="AI18">
        <f>IF(COUNTIF(Material_Detail!$DE:$DE,$A18)&gt;0,IF(ISNUMBER(SEARCH("[済]",INDEX(Material_Detail!$D:$DC,MATCH($A18,Material_Detail!$DE:$DE,0)+1,34))),0,IFERROR(INDEX(Material_Detail!$D:$DC,MATCH($A18,Material_Detail!$DE:$DE,0),34),0)),SUMIFS(T_Shipments[Confirmed_Qty],T_Shipments[Part Name],$A18,T_Shipments[Effective_Week],34))</f>
        <v/>
      </c>
      <c r="AJ18">
        <f>IF(COUNTIF(Material_Detail!$DE:$DE,$A18)&gt;0,IF(ISNUMBER(SEARCH("[済]",INDEX(Material_Detail!$D:$DC,MATCH($A18,Material_Detail!$DE:$DE,0)+1,35))),0,IFERROR(INDEX(Material_Detail!$D:$DC,MATCH($A18,Material_Detail!$DE:$DE,0),35),0)),SUMIFS(T_Shipments[Confirmed_Qty],T_Shipments[Part Name],$A18,T_Shipments[Effective_Week],35))</f>
        <v/>
      </c>
      <c r="AK18">
        <f>IF(COUNTIF(Material_Detail!$DE:$DE,$A18)&gt;0,IF(ISNUMBER(SEARCH("[済]",INDEX(Material_Detail!$D:$DC,MATCH($A18,Material_Detail!$DE:$DE,0)+1,36))),0,IFERROR(INDEX(Material_Detail!$D:$DC,MATCH($A18,Material_Detail!$DE:$DE,0),36),0)),SUMIFS(T_Shipments[Confirmed_Qty],T_Shipments[Part Name],$A18,T_Shipments[Effective_Week],36))</f>
        <v/>
      </c>
      <c r="AL18">
        <f>IF(COUNTIF(Material_Detail!$DE:$DE,$A18)&gt;0,IF(ISNUMBER(SEARCH("[済]",INDEX(Material_Detail!$D:$DC,MATCH($A18,Material_Detail!$DE:$DE,0)+1,37))),0,IFERROR(INDEX(Material_Detail!$D:$DC,MATCH($A18,Material_Detail!$DE:$DE,0),37),0)),SUMIFS(T_Shipments[Confirmed_Qty],T_Shipments[Part Name],$A18,T_Shipments[Effective_Week],37))</f>
        <v/>
      </c>
      <c r="AM18">
        <f>IF(COUNTIF(Material_Detail!$DE:$DE,$A18)&gt;0,IF(ISNUMBER(SEARCH("[済]",INDEX(Material_Detail!$D:$DC,MATCH($A18,Material_Detail!$DE:$DE,0)+1,38))),0,IFERROR(INDEX(Material_Detail!$D:$DC,MATCH($A18,Material_Detail!$DE:$DE,0),38),0)),SUMIFS(T_Shipments[Confirmed_Qty],T_Shipments[Part Name],$A18,T_Shipments[Effective_Week],38))</f>
        <v/>
      </c>
      <c r="AN18">
        <f>IF(COUNTIF(Material_Detail!$DE:$DE,$A18)&gt;0,IF(ISNUMBER(SEARCH("[済]",INDEX(Material_Detail!$D:$DC,MATCH($A18,Material_Detail!$DE:$DE,0)+1,39))),0,IFERROR(INDEX(Material_Detail!$D:$DC,MATCH($A18,Material_Detail!$DE:$DE,0),39),0)),SUMIFS(T_Shipments[Confirmed_Qty],T_Shipments[Part Name],$A18,T_Shipments[Effective_Week],39))</f>
        <v/>
      </c>
      <c r="AO18">
        <f>IF(COUNTIF(Material_Detail!$DE:$DE,$A18)&gt;0,IF(ISNUMBER(SEARCH("[済]",INDEX(Material_Detail!$D:$DC,MATCH($A18,Material_Detail!$DE:$DE,0)+1,40))),0,IFERROR(INDEX(Material_Detail!$D:$DC,MATCH($A18,Material_Detail!$DE:$DE,0),40),0)),SUMIFS(T_Shipments[Confirmed_Qty],T_Shipments[Part Name],$A18,T_Shipments[Effective_Week],40))</f>
        <v/>
      </c>
      <c r="AP18">
        <f>IF(COUNTIF(Material_Detail!$DE:$DE,$A18)&gt;0,IF(ISNUMBER(SEARCH("[済]",INDEX(Material_Detail!$D:$DC,MATCH($A18,Material_Detail!$DE:$DE,0)+1,41))),0,IFERROR(INDEX(Material_Detail!$D:$DC,MATCH($A18,Material_Detail!$DE:$DE,0),41),0)),SUMIFS(T_Shipments[Confirmed_Qty],T_Shipments[Part Name],$A18,T_Shipments[Effective_Week],41))</f>
        <v/>
      </c>
      <c r="AQ18">
        <f>IF(COUNTIF(Material_Detail!$DE:$DE,$A18)&gt;0,IF(ISNUMBER(SEARCH("[済]",INDEX(Material_Detail!$D:$DC,MATCH($A18,Material_Detail!$DE:$DE,0)+1,42))),0,IFERROR(INDEX(Material_Detail!$D:$DC,MATCH($A18,Material_Detail!$DE:$DE,0),42),0)),SUMIFS(T_Shipments[Confirmed_Qty],T_Shipments[Part Name],$A18,T_Shipments[Effective_Week],42))</f>
        <v/>
      </c>
      <c r="AR18">
        <f>IF(COUNTIF(Material_Detail!$DE:$DE,$A18)&gt;0,IF(ISNUMBER(SEARCH("[済]",INDEX(Material_Detail!$D:$DC,MATCH($A18,Material_Detail!$DE:$DE,0)+1,43))),0,IFERROR(INDEX(Material_Detail!$D:$DC,MATCH($A18,Material_Detail!$DE:$DE,0),43),0)),SUMIFS(T_Shipments[Confirmed_Qty],T_Shipments[Part Name],$A18,T_Shipments[Effective_Week],43))</f>
        <v/>
      </c>
      <c r="AS18">
        <f>IF(COUNTIF(Material_Detail!$DE:$DE,$A18)&gt;0,IF(ISNUMBER(SEARCH("[済]",INDEX(Material_Detail!$D:$DC,MATCH($A18,Material_Detail!$DE:$DE,0)+1,44))),0,IFERROR(INDEX(Material_Detail!$D:$DC,MATCH($A18,Material_Detail!$DE:$DE,0),44),0)),SUMIFS(T_Shipments[Confirmed_Qty],T_Shipments[Part Name],$A18,T_Shipments[Effective_Week],44))</f>
        <v/>
      </c>
      <c r="AT18">
        <f>IF(COUNTIF(Material_Detail!$DE:$DE,$A18)&gt;0,IF(ISNUMBER(SEARCH("[済]",INDEX(Material_Detail!$D:$DC,MATCH($A18,Material_Detail!$DE:$DE,0)+1,45))),0,IFERROR(INDEX(Material_Detail!$D:$DC,MATCH($A18,Material_Detail!$DE:$DE,0),45),0)),SUMIFS(T_Shipments[Confirmed_Qty],T_Shipments[Part Name],$A18,T_Shipments[Effective_Week],45))</f>
        <v/>
      </c>
      <c r="AU18">
        <f>IF(COUNTIF(Material_Detail!$DE:$DE,$A18)&gt;0,IF(ISNUMBER(SEARCH("[済]",INDEX(Material_Detail!$D:$DC,MATCH($A18,Material_Detail!$DE:$DE,0)+1,46))),0,IFERROR(INDEX(Material_Detail!$D:$DC,MATCH($A18,Material_Detail!$DE:$DE,0),46),0)),SUMIFS(T_Shipments[Confirmed_Qty],T_Shipments[Part Name],$A18,T_Shipments[Effective_Week],46))</f>
        <v/>
      </c>
      <c r="AV18">
        <f>IF(COUNTIF(Material_Detail!$DE:$DE,$A18)&gt;0,IF(ISNUMBER(SEARCH("[済]",INDEX(Material_Detail!$D:$DC,MATCH($A18,Material_Detail!$DE:$DE,0)+1,47))),0,IFERROR(INDEX(Material_Detail!$D:$DC,MATCH($A18,Material_Detail!$DE:$DE,0),47),0)),SUMIFS(T_Shipments[Confirmed_Qty],T_Shipments[Part Name],$A18,T_Shipments[Effective_Week],47))</f>
        <v/>
      </c>
      <c r="AW18">
        <f>IF(COUNTIF(Material_Detail!$DE:$DE,$A18)&gt;0,IF(ISNUMBER(SEARCH("[済]",INDEX(Material_Detail!$D:$DC,MATCH($A18,Material_Detail!$DE:$DE,0)+1,48))),0,IFERROR(INDEX(Material_Detail!$D:$DC,MATCH($A18,Material_Detail!$DE:$DE,0),48),0)),SUMIFS(T_Shipments[Confirmed_Qty],T_Shipments[Part Name],$A18,T_Shipments[Effective_Week],48))</f>
        <v/>
      </c>
      <c r="AX18">
        <f>IF(COUNTIF(Material_Detail!$DE:$DE,$A18)&gt;0,IF(ISNUMBER(SEARCH("[済]",INDEX(Material_Detail!$D:$DC,MATCH($A18,Material_Detail!$DE:$DE,0)+1,49))),0,IFERROR(INDEX(Material_Detail!$D:$DC,MATCH($A18,Material_Detail!$DE:$DE,0),49),0)),SUMIFS(T_Shipments[Confirmed_Qty],T_Shipments[Part Name],$A18,T_Shipments[Effective_Week],49))</f>
        <v/>
      </c>
      <c r="AY18">
        <f>IF(COUNTIF(Material_Detail!$DE:$DE,$A18)&gt;0,IF(ISNUMBER(SEARCH("[済]",INDEX(Material_Detail!$D:$DC,MATCH($A18,Material_Detail!$DE:$DE,0)+1,50))),0,IFERROR(INDEX(Material_Detail!$D:$DC,MATCH($A18,Material_Detail!$DE:$DE,0),50),0)),SUMIFS(T_Shipments[Confirmed_Qty],T_Shipments[Part Name],$A18,T_Shipments[Effective_Week],50))</f>
        <v/>
      </c>
      <c r="AZ18">
        <f>IF(COUNTIF(Material_Detail!$DE:$DE,$A18)&gt;0,IF(ISNUMBER(SEARCH("[済]",INDEX(Material_Detail!$D:$DC,MATCH($A18,Material_Detail!$DE:$DE,0)+1,51))),0,IFERROR(INDEX(Material_Detail!$D:$DC,MATCH($A18,Material_Detail!$DE:$DE,0),51),0)),SUMIFS(T_Shipments[Confirmed_Qty],T_Shipments[Part Name],$A18,T_Shipments[Effective_Week],51))</f>
        <v/>
      </c>
      <c r="BA18">
        <f>IF(COUNTIF(Material_Detail!$DE:$DE,$A18)&gt;0,IF(ISNUMBER(SEARCH("[済]",INDEX(Material_Detail!$D:$DC,MATCH($A18,Material_Detail!$DE:$DE,0)+1,52))),0,IFERROR(INDEX(Material_Detail!$D:$DC,MATCH($A18,Material_Detail!$DE:$DE,0),52),0)),SUMIFS(T_Shipments[Confirmed_Qty],T_Shipments[Part Name],$A18,T_Shipments[Effective_Week],52))</f>
        <v/>
      </c>
      <c r="BB18">
        <f>IF(COUNTIF(Material_Detail!$DE:$DE,$A18)&gt;0,IF(ISNUMBER(SEARCH("[済]",INDEX(Material_Detail!$D:$DC,MATCH($A18,Material_Detail!$DE:$DE,0)+1,53))),0,IFERROR(INDEX(Material_Detail!$D:$DC,MATCH($A18,Material_Detail!$DE:$DE,0),53),0)),SUMIFS(T_Shipments[Confirmed_Qty],T_Shipments[Part Name],$A18,T_Shipments[Effective_Week],53))</f>
        <v/>
      </c>
      <c r="BC18">
        <f>IF(COUNTIF(Material_Detail!$DE:$DE,$A18)&gt;0,IF(ISNUMBER(SEARCH("[済]",INDEX(Material_Detail!$D:$DC,MATCH($A18,Material_Detail!$DE:$DE,0)+1,54))),0,IFERROR(INDEX(Material_Detail!$D:$DC,MATCH($A18,Material_Detail!$DE:$DE,0),54),0)),SUMIFS(T_Shipments[Confirmed_Qty],T_Shipments[Part Name],$A18,T_Shipments[Effective_Week],54))</f>
        <v/>
      </c>
      <c r="BD18">
        <f>IF(COUNTIF(Material_Detail!$DE:$DE,$A18)&gt;0,IF(ISNUMBER(SEARCH("[済]",INDEX(Material_Detail!$D:$DC,MATCH($A18,Material_Detail!$DE:$DE,0)+1,55))),0,IFERROR(INDEX(Material_Detail!$D:$DC,MATCH($A18,Material_Detail!$DE:$DE,0),55),0)),SUMIFS(T_Shipments[Confirmed_Qty],T_Shipments[Part Name],$A18,T_Shipments[Effective_Week],55))</f>
        <v/>
      </c>
      <c r="BE18">
        <f>IF(COUNTIF(Material_Detail!$DE:$DE,$A18)&gt;0,IF(ISNUMBER(SEARCH("[済]",INDEX(Material_Detail!$D:$DC,MATCH($A18,Material_Detail!$DE:$DE,0)+1,56))),0,IFERROR(INDEX(Material_Detail!$D:$DC,MATCH($A18,Material_Detail!$DE:$DE,0),56),0)),SUMIFS(T_Shipments[Confirmed_Qty],T_Shipments[Part Name],$A18,T_Shipments[Effective_Week],56))</f>
        <v/>
      </c>
      <c r="BF18">
        <f>IF(COUNTIF(Material_Detail!$DE:$DE,$A18)&gt;0,IF(ISNUMBER(SEARCH("[済]",INDEX(Material_Detail!$D:$DC,MATCH($A18,Material_Detail!$DE:$DE,0)+1,57))),0,IFERROR(INDEX(Material_Detail!$D:$DC,MATCH($A18,Material_Detail!$DE:$DE,0),57),0)),SUMIFS(T_Shipments[Confirmed_Qty],T_Shipments[Part Name],$A18,T_Shipments[Effective_Week],57))</f>
        <v/>
      </c>
      <c r="BG18">
        <f>IF(COUNTIF(Material_Detail!$DE:$DE,$A18)&gt;0,IF(ISNUMBER(SEARCH("[済]",INDEX(Material_Detail!$D:$DC,MATCH($A18,Material_Detail!$DE:$DE,0)+1,58))),0,IFERROR(INDEX(Material_Detail!$D:$DC,MATCH($A18,Material_Detail!$DE:$DE,0),58),0)),SUMIFS(T_Shipments[Confirmed_Qty],T_Shipments[Part Name],$A18,T_Shipments[Effective_Week],58))</f>
        <v/>
      </c>
      <c r="BH18">
        <f>IF(COUNTIF(Material_Detail!$DE:$DE,$A18)&gt;0,IF(ISNUMBER(SEARCH("[済]",INDEX(Material_Detail!$D:$DC,MATCH($A18,Material_Detail!$DE:$DE,0)+1,59))),0,IFERROR(INDEX(Material_Detail!$D:$DC,MATCH($A18,Material_Detail!$DE:$DE,0),59),0)),SUMIFS(T_Shipments[Confirmed_Qty],T_Shipments[Part Name],$A18,T_Shipments[Effective_Week],59))</f>
        <v/>
      </c>
      <c r="BI18">
        <f>IF(COUNTIF(Material_Detail!$DE:$DE,$A18)&gt;0,IF(ISNUMBER(SEARCH("[済]",INDEX(Material_Detail!$D:$DC,MATCH($A18,Material_Detail!$DE:$DE,0)+1,60))),0,IFERROR(INDEX(Material_Detail!$D:$DC,MATCH($A18,Material_Detail!$DE:$DE,0),60),0)),SUMIFS(T_Shipments[Confirmed_Qty],T_Shipments[Part Name],$A18,T_Shipments[Effective_Week],60))</f>
        <v/>
      </c>
      <c r="BJ18">
        <f>IF(COUNTIF(Material_Detail!$DE:$DE,$A18)&gt;0,IF(ISNUMBER(SEARCH("[済]",INDEX(Material_Detail!$D:$DC,MATCH($A18,Material_Detail!$DE:$DE,0)+1,61))),0,IFERROR(INDEX(Material_Detail!$D:$DC,MATCH($A18,Material_Detail!$DE:$DE,0),61),0)),SUMIFS(T_Shipments[Confirmed_Qty],T_Shipments[Part Name],$A18,T_Shipments[Effective_Week],61))</f>
        <v/>
      </c>
      <c r="BK18">
        <f>IF(COUNTIF(Material_Detail!$DE:$DE,$A18)&gt;0,IF(ISNUMBER(SEARCH("[済]",INDEX(Material_Detail!$D:$DC,MATCH($A18,Material_Detail!$DE:$DE,0)+1,62))),0,IFERROR(INDEX(Material_Detail!$D:$DC,MATCH($A18,Material_Detail!$DE:$DE,0),62),0)),SUMIFS(T_Shipments[Confirmed_Qty],T_Shipments[Part Name],$A18,T_Shipments[Effective_Week],62))</f>
        <v/>
      </c>
      <c r="BL18">
        <f>IF(COUNTIF(Material_Detail!$DE:$DE,$A18)&gt;0,IF(ISNUMBER(SEARCH("[済]",INDEX(Material_Detail!$D:$DC,MATCH($A18,Material_Detail!$DE:$DE,0)+1,63))),0,IFERROR(INDEX(Material_Detail!$D:$DC,MATCH($A18,Material_Detail!$DE:$DE,0),63),0)),SUMIFS(T_Shipments[Confirmed_Qty],T_Shipments[Part Name],$A18,T_Shipments[Effective_Week],63))</f>
        <v/>
      </c>
      <c r="BM18">
        <f>IF(COUNTIF(Material_Detail!$DE:$DE,$A18)&gt;0,IF(ISNUMBER(SEARCH("[済]",INDEX(Material_Detail!$D:$DC,MATCH($A18,Material_Detail!$DE:$DE,0)+1,64))),0,IFERROR(INDEX(Material_Detail!$D:$DC,MATCH($A18,Material_Detail!$DE:$DE,0),64),0)),SUMIFS(T_Shipments[Confirmed_Qty],T_Shipments[Part Name],$A18,T_Shipments[Effective_Week],64))</f>
        <v/>
      </c>
      <c r="BN18">
        <f>IF(COUNTIF(Material_Detail!$DE:$DE,$A18)&gt;0,IF(ISNUMBER(SEARCH("[済]",INDEX(Material_Detail!$D:$DC,MATCH($A18,Material_Detail!$DE:$DE,0)+1,65))),0,IFERROR(INDEX(Material_Detail!$D:$DC,MATCH($A18,Material_Detail!$DE:$DE,0),65),0)),SUMIFS(T_Shipments[Confirmed_Qty],T_Shipments[Part Name],$A18,T_Shipments[Effective_Week],65))</f>
        <v/>
      </c>
      <c r="BO18">
        <f>IF(COUNTIF(Material_Detail!$DE:$DE,$A18)&gt;0,IF(ISNUMBER(SEARCH("[済]",INDEX(Material_Detail!$D:$DC,MATCH($A18,Material_Detail!$DE:$DE,0)+1,66))),0,IFERROR(INDEX(Material_Detail!$D:$DC,MATCH($A18,Material_Detail!$DE:$DE,0),66),0)),SUMIFS(T_Shipments[Confirmed_Qty],T_Shipments[Part Name],$A18,T_Shipments[Effective_Week],66))</f>
        <v/>
      </c>
      <c r="BP18">
        <f>IF(COUNTIF(Material_Detail!$DE:$DE,$A18)&gt;0,IF(ISNUMBER(SEARCH("[済]",INDEX(Material_Detail!$D:$DC,MATCH($A18,Material_Detail!$DE:$DE,0)+1,67))),0,IFERROR(INDEX(Material_Detail!$D:$DC,MATCH($A18,Material_Detail!$DE:$DE,0),67),0)),SUMIFS(T_Shipments[Confirmed_Qty],T_Shipments[Part Name],$A18,T_Shipments[Effective_Week],67))</f>
        <v/>
      </c>
      <c r="BQ18">
        <f>IF(COUNTIF(Material_Detail!$DE:$DE,$A18)&gt;0,IF(ISNUMBER(SEARCH("[済]",INDEX(Material_Detail!$D:$DC,MATCH($A18,Material_Detail!$DE:$DE,0)+1,68))),0,IFERROR(INDEX(Material_Detail!$D:$DC,MATCH($A18,Material_Detail!$DE:$DE,0),68),0)),SUMIFS(T_Shipments[Confirmed_Qty],T_Shipments[Part Name],$A18,T_Shipments[Effective_Week],68))</f>
        <v/>
      </c>
      <c r="BR18">
        <f>IF(COUNTIF(Material_Detail!$DE:$DE,$A18)&gt;0,IF(ISNUMBER(SEARCH("[済]",INDEX(Material_Detail!$D:$DC,MATCH($A18,Material_Detail!$DE:$DE,0)+1,69))),0,IFERROR(INDEX(Material_Detail!$D:$DC,MATCH($A18,Material_Detail!$DE:$DE,0),69),0)),SUMIFS(T_Shipments[Confirmed_Qty],T_Shipments[Part Name],$A18,T_Shipments[Effective_Week],69))</f>
        <v/>
      </c>
      <c r="BS18">
        <f>IF(COUNTIF(Material_Detail!$DE:$DE,$A18)&gt;0,IF(ISNUMBER(SEARCH("[済]",INDEX(Material_Detail!$D:$DC,MATCH($A18,Material_Detail!$DE:$DE,0)+1,70))),0,IFERROR(INDEX(Material_Detail!$D:$DC,MATCH($A18,Material_Detail!$DE:$DE,0),70),0)),SUMIFS(T_Shipments[Confirmed_Qty],T_Shipments[Part Name],$A18,T_Shipments[Effective_Week],70))</f>
        <v/>
      </c>
      <c r="BT18">
        <f>IF(COUNTIF(Material_Detail!$DE:$DE,$A18)&gt;0,IF(ISNUMBER(SEARCH("[済]",INDEX(Material_Detail!$D:$DC,MATCH($A18,Material_Detail!$DE:$DE,0)+1,71))),0,IFERROR(INDEX(Material_Detail!$D:$DC,MATCH($A18,Material_Detail!$DE:$DE,0),71),0)),SUMIFS(T_Shipments[Confirmed_Qty],T_Shipments[Part Name],$A18,T_Shipments[Effective_Week],71))</f>
        <v/>
      </c>
      <c r="BU18">
        <f>IF(COUNTIF(Material_Detail!$DE:$DE,$A18)&gt;0,IF(ISNUMBER(SEARCH("[済]",INDEX(Material_Detail!$D:$DC,MATCH($A18,Material_Detail!$DE:$DE,0)+1,72))),0,IFERROR(INDEX(Material_Detail!$D:$DC,MATCH($A18,Material_Detail!$DE:$DE,0),72),0)),SUMIFS(T_Shipments[Confirmed_Qty],T_Shipments[Part Name],$A18,T_Shipments[Effective_Week],72))</f>
        <v/>
      </c>
      <c r="BV18">
        <f>IF(COUNTIF(Material_Detail!$DE:$DE,$A18)&gt;0,IF(ISNUMBER(SEARCH("[済]",INDEX(Material_Detail!$D:$DC,MATCH($A18,Material_Detail!$DE:$DE,0)+1,73))),0,IFERROR(INDEX(Material_Detail!$D:$DC,MATCH($A18,Material_Detail!$DE:$DE,0),73),0)),SUMIFS(T_Shipments[Confirmed_Qty],T_Shipments[Part Name],$A18,T_Shipments[Effective_Week],73))</f>
        <v/>
      </c>
      <c r="BW18">
        <f>IF(COUNTIF(Material_Detail!$DE:$DE,$A18)&gt;0,IF(ISNUMBER(SEARCH("[済]",INDEX(Material_Detail!$D:$DC,MATCH($A18,Material_Detail!$DE:$DE,0)+1,74))),0,IFERROR(INDEX(Material_Detail!$D:$DC,MATCH($A18,Material_Detail!$DE:$DE,0),74),0)),SUMIFS(T_Shipments[Confirmed_Qty],T_Shipments[Part Name],$A18,T_Shipments[Effective_Week],74))</f>
        <v/>
      </c>
      <c r="BX18">
        <f>IF(COUNTIF(Material_Detail!$DE:$DE,$A18)&gt;0,IF(ISNUMBER(SEARCH("[済]",INDEX(Material_Detail!$D:$DC,MATCH($A18,Material_Detail!$DE:$DE,0)+1,75))),0,IFERROR(INDEX(Material_Detail!$D:$DC,MATCH($A18,Material_Detail!$DE:$DE,0),75),0)),SUMIFS(T_Shipments[Confirmed_Qty],T_Shipments[Part Name],$A18,T_Shipments[Effective_Week],75))</f>
        <v/>
      </c>
      <c r="BY18">
        <f>IF(COUNTIF(Material_Detail!$DE:$DE,$A18)&gt;0,IF(ISNUMBER(SEARCH("[済]",INDEX(Material_Detail!$D:$DC,MATCH($A18,Material_Detail!$DE:$DE,0)+1,76))),0,IFERROR(INDEX(Material_Detail!$D:$DC,MATCH($A18,Material_Detail!$DE:$DE,0),76),0)),SUMIFS(T_Shipments[Confirmed_Qty],T_Shipments[Part Name],$A18,T_Shipments[Effective_Week],76))</f>
        <v/>
      </c>
      <c r="BZ18">
        <f>IF(COUNTIF(Material_Detail!$DE:$DE,$A18)&gt;0,IF(ISNUMBER(SEARCH("[済]",INDEX(Material_Detail!$D:$DC,MATCH($A18,Material_Detail!$DE:$DE,0)+1,77))),0,IFERROR(INDEX(Material_Detail!$D:$DC,MATCH($A18,Material_Detail!$DE:$DE,0),77),0)),SUMIFS(T_Shipments[Confirmed_Qty],T_Shipments[Part Name],$A18,T_Shipments[Effective_Week],77))</f>
        <v/>
      </c>
      <c r="CA18">
        <f>IF(COUNTIF(Material_Detail!$DE:$DE,$A18)&gt;0,IF(ISNUMBER(SEARCH("[済]",INDEX(Material_Detail!$D:$DC,MATCH($A18,Material_Detail!$DE:$DE,0)+1,78))),0,IFERROR(INDEX(Material_Detail!$D:$DC,MATCH($A18,Material_Detail!$DE:$DE,0),78),0)),SUMIFS(T_Shipments[Confirmed_Qty],T_Shipments[Part Name],$A18,T_Shipments[Effective_Week],78))</f>
        <v/>
      </c>
      <c r="CB18">
        <f>IF(COUNTIF(Material_Detail!$DE:$DE,$A18)&gt;0,IF(ISNUMBER(SEARCH("[済]",INDEX(Material_Detail!$D:$DC,MATCH($A18,Material_Detail!$DE:$DE,0)+1,79))),0,IFERROR(INDEX(Material_Detail!$D:$DC,MATCH($A18,Material_Detail!$DE:$DE,0),79),0)),SUMIFS(T_Shipments[Confirmed_Qty],T_Shipments[Part Name],$A18,T_Shipments[Effective_Week],79))</f>
        <v/>
      </c>
      <c r="CC18">
        <f>IF(COUNTIF(Material_Detail!$DE:$DE,$A18)&gt;0,IF(ISNUMBER(SEARCH("[済]",INDEX(Material_Detail!$D:$DC,MATCH($A18,Material_Detail!$DE:$DE,0)+1,80))),0,IFERROR(INDEX(Material_Detail!$D:$DC,MATCH($A18,Material_Detail!$DE:$DE,0),80),0)),SUMIFS(T_Shipments[Confirmed_Qty],T_Shipments[Part Name],$A18,T_Shipments[Effective_Week],80))</f>
        <v/>
      </c>
      <c r="CD18">
        <f>IF(COUNTIF(Material_Detail!$DE:$DE,$A18)&gt;0,IF(ISNUMBER(SEARCH("[済]",INDEX(Material_Detail!$D:$DC,MATCH($A18,Material_Detail!$DE:$DE,0)+1,81))),0,IFERROR(INDEX(Material_Detail!$D:$DC,MATCH($A18,Material_Detail!$DE:$DE,0),81),0)),SUMIFS(T_Shipments[Confirmed_Qty],T_Shipments[Part Name],$A18,T_Shipments[Effective_Week],81))</f>
        <v/>
      </c>
      <c r="CE18">
        <f>IF(COUNTIF(Material_Detail!$DE:$DE,$A18)&gt;0,IF(ISNUMBER(SEARCH("[済]",INDEX(Material_Detail!$D:$DC,MATCH($A18,Material_Detail!$DE:$DE,0)+1,82))),0,IFERROR(INDEX(Material_Detail!$D:$DC,MATCH($A18,Material_Detail!$DE:$DE,0),82),0)),SUMIFS(T_Shipments[Confirmed_Qty],T_Shipments[Part Name],$A18,T_Shipments[Effective_Week],82))</f>
        <v/>
      </c>
      <c r="CF18">
        <f>IF(COUNTIF(Material_Detail!$DE:$DE,$A18)&gt;0,IF(ISNUMBER(SEARCH("[済]",INDEX(Material_Detail!$D:$DC,MATCH($A18,Material_Detail!$DE:$DE,0)+1,83))),0,IFERROR(INDEX(Material_Detail!$D:$DC,MATCH($A18,Material_Detail!$DE:$DE,0),83),0)),SUMIFS(T_Shipments[Confirmed_Qty],T_Shipments[Part Name],$A18,T_Shipments[Effective_Week],83))</f>
        <v/>
      </c>
      <c r="CG18">
        <f>IF(COUNTIF(Material_Detail!$DE:$DE,$A18)&gt;0,IF(ISNUMBER(SEARCH("[済]",INDEX(Material_Detail!$D:$DC,MATCH($A18,Material_Detail!$DE:$DE,0)+1,84))),0,IFERROR(INDEX(Material_Detail!$D:$DC,MATCH($A18,Material_Detail!$DE:$DE,0),84),0)),SUMIFS(T_Shipments[Confirmed_Qty],T_Shipments[Part Name],$A18,T_Shipments[Effective_Week],84))</f>
        <v/>
      </c>
      <c r="CH18">
        <f>IF(COUNTIF(Material_Detail!$DE:$DE,$A18)&gt;0,IF(ISNUMBER(SEARCH("[済]",INDEX(Material_Detail!$D:$DC,MATCH($A18,Material_Detail!$DE:$DE,0)+1,85))),0,IFERROR(INDEX(Material_Detail!$D:$DC,MATCH($A18,Material_Detail!$DE:$DE,0),85),0)),SUMIFS(T_Shipments[Confirmed_Qty],T_Shipments[Part Name],$A18,T_Shipments[Effective_Week],85))</f>
        <v/>
      </c>
      <c r="CI18">
        <f>IF(COUNTIF(Material_Detail!$DE:$DE,$A18)&gt;0,IF(ISNUMBER(SEARCH("[済]",INDEX(Material_Detail!$D:$DC,MATCH($A18,Material_Detail!$DE:$DE,0)+1,86))),0,IFERROR(INDEX(Material_Detail!$D:$DC,MATCH($A18,Material_Detail!$DE:$DE,0),86),0)),SUMIFS(T_Shipments[Confirmed_Qty],T_Shipments[Part Name],$A18,T_Shipments[Effective_Week],86))</f>
        <v/>
      </c>
      <c r="CJ18">
        <f>IF(COUNTIF(Material_Detail!$DE:$DE,$A18)&gt;0,IF(ISNUMBER(SEARCH("[済]",INDEX(Material_Detail!$D:$DC,MATCH($A18,Material_Detail!$DE:$DE,0)+1,87))),0,IFERROR(INDEX(Material_Detail!$D:$DC,MATCH($A18,Material_Detail!$DE:$DE,0),87),0)),SUMIFS(T_Shipments[Confirmed_Qty],T_Shipments[Part Name],$A18,T_Shipments[Effective_Week],87))</f>
        <v/>
      </c>
      <c r="CK18">
        <f>IF(COUNTIF(Material_Detail!$DE:$DE,$A18)&gt;0,IF(ISNUMBER(SEARCH("[済]",INDEX(Material_Detail!$D:$DC,MATCH($A18,Material_Detail!$DE:$DE,0)+1,88))),0,IFERROR(INDEX(Material_Detail!$D:$DC,MATCH($A18,Material_Detail!$DE:$DE,0),88),0)),SUMIFS(T_Shipments[Confirmed_Qty],T_Shipments[Part Name],$A18,T_Shipments[Effective_Week],88))</f>
        <v/>
      </c>
      <c r="CL18">
        <f>IF(COUNTIF(Material_Detail!$DE:$DE,$A18)&gt;0,IF(ISNUMBER(SEARCH("[済]",INDEX(Material_Detail!$D:$DC,MATCH($A18,Material_Detail!$DE:$DE,0)+1,89))),0,IFERROR(INDEX(Material_Detail!$D:$DC,MATCH($A18,Material_Detail!$DE:$DE,0),89),0)),SUMIFS(T_Shipments[Confirmed_Qty],T_Shipments[Part Name],$A18,T_Shipments[Effective_Week],89))</f>
        <v/>
      </c>
      <c r="CM18">
        <f>IF(COUNTIF(Material_Detail!$DE:$DE,$A18)&gt;0,IF(ISNUMBER(SEARCH("[済]",INDEX(Material_Detail!$D:$DC,MATCH($A18,Material_Detail!$DE:$DE,0)+1,90))),0,IFERROR(INDEX(Material_Detail!$D:$DC,MATCH($A18,Material_Detail!$DE:$DE,0),90),0)),SUMIFS(T_Shipments[Confirmed_Qty],T_Shipments[Part Name],$A18,T_Shipments[Effective_Week],90))</f>
        <v/>
      </c>
      <c r="CN18">
        <f>IF(COUNTIF(Material_Detail!$DE:$DE,$A18)&gt;0,IF(ISNUMBER(SEARCH("[済]",INDEX(Material_Detail!$D:$DC,MATCH($A18,Material_Detail!$DE:$DE,0)+1,91))),0,IFERROR(INDEX(Material_Detail!$D:$DC,MATCH($A18,Material_Detail!$DE:$DE,0),91),0)),SUMIFS(T_Shipments[Confirmed_Qty],T_Shipments[Part Name],$A18,T_Shipments[Effective_Week],91))</f>
        <v/>
      </c>
      <c r="CO18">
        <f>IF(COUNTIF(Material_Detail!$DE:$DE,$A18)&gt;0,IF(ISNUMBER(SEARCH("[済]",INDEX(Material_Detail!$D:$DC,MATCH($A18,Material_Detail!$DE:$DE,0)+1,92))),0,IFERROR(INDEX(Material_Detail!$D:$DC,MATCH($A18,Material_Detail!$DE:$DE,0),92),0)),SUMIFS(T_Shipments[Confirmed_Qty],T_Shipments[Part Name],$A18,T_Shipments[Effective_Week],92))</f>
        <v/>
      </c>
      <c r="CP18">
        <f>IF(COUNTIF(Material_Detail!$DE:$DE,$A18)&gt;0,IF(ISNUMBER(SEARCH("[済]",INDEX(Material_Detail!$D:$DC,MATCH($A18,Material_Detail!$DE:$DE,0)+1,93))),0,IFERROR(INDEX(Material_Detail!$D:$DC,MATCH($A18,Material_Detail!$DE:$DE,0),93),0)),SUMIFS(T_Shipments[Confirmed_Qty],T_Shipments[Part Name],$A18,T_Shipments[Effective_Week],93))</f>
        <v/>
      </c>
      <c r="CQ18">
        <f>IF(COUNTIF(Material_Detail!$DE:$DE,$A18)&gt;0,IF(ISNUMBER(SEARCH("[済]",INDEX(Material_Detail!$D:$DC,MATCH($A18,Material_Detail!$DE:$DE,0)+1,94))),0,IFERROR(INDEX(Material_Detail!$D:$DC,MATCH($A18,Material_Detail!$DE:$DE,0),94),0)),SUMIFS(T_Shipments[Confirmed_Qty],T_Shipments[Part Name],$A18,T_Shipments[Effective_Week],94))</f>
        <v/>
      </c>
      <c r="CR18">
        <f>IF(COUNTIF(Material_Detail!$DE:$DE,$A18)&gt;0,IF(ISNUMBER(SEARCH("[済]",INDEX(Material_Detail!$D:$DC,MATCH($A18,Material_Detail!$DE:$DE,0)+1,95))),0,IFERROR(INDEX(Material_Detail!$D:$DC,MATCH($A18,Material_Detail!$DE:$DE,0),95),0)),SUMIFS(T_Shipments[Confirmed_Qty],T_Shipments[Part Name],$A18,T_Shipments[Effective_Week],95))</f>
        <v/>
      </c>
      <c r="CS18">
        <f>IF(COUNTIF(Material_Detail!$DE:$DE,$A18)&gt;0,IF(ISNUMBER(SEARCH("[済]",INDEX(Material_Detail!$D:$DC,MATCH($A18,Material_Detail!$DE:$DE,0)+1,96))),0,IFERROR(INDEX(Material_Detail!$D:$DC,MATCH($A18,Material_Detail!$DE:$DE,0),96),0)),SUMIFS(T_Shipments[Confirmed_Qty],T_Shipments[Part Name],$A18,T_Shipments[Effective_Week],96))</f>
        <v/>
      </c>
      <c r="CT18">
        <f>IF(COUNTIF(Material_Detail!$DE:$DE,$A18)&gt;0,IF(ISNUMBER(SEARCH("[済]",INDEX(Material_Detail!$D:$DC,MATCH($A18,Material_Detail!$DE:$DE,0)+1,97))),0,IFERROR(INDEX(Material_Detail!$D:$DC,MATCH($A18,Material_Detail!$DE:$DE,0),97),0)),SUMIFS(T_Shipments[Confirmed_Qty],T_Shipments[Part Name],$A18,T_Shipments[Effective_Week],97))</f>
        <v/>
      </c>
      <c r="CU18">
        <f>IF(COUNTIF(Material_Detail!$DE:$DE,$A18)&gt;0,IF(ISNUMBER(SEARCH("[済]",INDEX(Material_Detail!$D:$DC,MATCH($A18,Material_Detail!$DE:$DE,0)+1,98))),0,IFERROR(INDEX(Material_Detail!$D:$DC,MATCH($A18,Material_Detail!$DE:$DE,0),98),0)),SUMIFS(T_Shipments[Confirmed_Qty],T_Shipments[Part Name],$A18,T_Shipments[Effective_Week],98))</f>
        <v/>
      </c>
      <c r="CV18">
        <f>IF(COUNTIF(Material_Detail!$DE:$DE,$A18)&gt;0,IF(ISNUMBER(SEARCH("[済]",INDEX(Material_Detail!$D:$DC,MATCH($A18,Material_Detail!$DE:$DE,0)+1,99))),0,IFERROR(INDEX(Material_Detail!$D:$DC,MATCH($A18,Material_Detail!$DE:$DE,0),99),0)),SUMIFS(T_Shipments[Confirmed_Qty],T_Shipments[Part Name],$A18,T_Shipments[Effective_Week],99))</f>
        <v/>
      </c>
      <c r="CW18">
        <f>IF(COUNTIF(Material_Detail!$DE:$DE,$A18)&gt;0,IF(ISNUMBER(SEARCH("[済]",INDEX(Material_Detail!$D:$DC,MATCH($A18,Material_Detail!$DE:$DE,0)+1,100))),0,IFERROR(INDEX(Material_Detail!$D:$DC,MATCH($A18,Material_Detail!$DE:$DE,0),100),0)),SUMIFS(T_Shipments[Confirmed_Qty],T_Shipments[Part Name],$A18,T_Shipments[Effective_Week],100))</f>
        <v/>
      </c>
      <c r="CX18">
        <f>IF(COUNTIF(Material_Detail!$DE:$DE,$A18)&gt;0,IF(ISNUMBER(SEARCH("[済]",INDEX(Material_Detail!$D:$DC,MATCH($A18,Material_Detail!$DE:$DE,0)+1,101))),0,IFERROR(INDEX(Material_Detail!$D:$DC,MATCH($A18,Material_Detail!$DE:$DE,0),101),0)),SUMIFS(T_Shipments[Confirmed_Qty],T_Shipments[Part Name],$A18,T_Shipments[Effective_Week],101))</f>
        <v/>
      </c>
      <c r="CY18">
        <f>IF(COUNTIF(Material_Detail!$DE:$DE,$A18)&gt;0,IF(ISNUMBER(SEARCH("[済]",INDEX(Material_Detail!$D:$DC,MATCH($A18,Material_Detail!$DE:$DE,0)+1,102))),0,IFERROR(INDEX(Material_Detail!$D:$DC,MATCH($A18,Material_Detail!$DE:$DE,0),102),0)),SUMIFS(T_Shipments[Confirmed_Qty],T_Shipments[Part Name],$A18,T_Shipments[Effective_Week],102))</f>
        <v/>
      </c>
      <c r="CZ18">
        <f>IF(COUNTIF(Material_Detail!$DE:$DE,$A18)&gt;0,IF(ISNUMBER(SEARCH("[済]",INDEX(Material_Detail!$D:$DC,MATCH($A18,Material_Detail!$DE:$DE,0)+1,103))),0,IFERROR(INDEX(Material_Detail!$D:$DC,MATCH($A18,Material_Detail!$DE:$DE,0),103),0)),SUMIFS(T_Shipments[Confirmed_Qty],T_Shipments[Part Name],$A18,T_Shipments[Effective_Week],103))</f>
        <v/>
      </c>
      <c r="DA18">
        <f>IF(COUNTIF(Material_Detail!$DE:$DE,$A18)&gt;0,IF(ISNUMBER(SEARCH("[済]",INDEX(Material_Detail!$D:$DC,MATCH($A18,Material_Detail!$DE:$DE,0)+1,104))),0,IFERROR(INDEX(Material_Detail!$D:$DC,MATCH($A18,Material_Detail!$DE:$DE,0),104),0)),SUMIFS(T_Shipments[Confirmed_Qty],T_Shipments[Part Name],$A18,T_Shipments[Effective_Week],104))</f>
        <v/>
      </c>
    </row>
    <row r="19">
      <c r="A19" t="inlineStr">
        <is>
          <t>26F</t>
        </is>
      </c>
      <c r="B19">
        <f>IF(COUNTIF(Material_Detail!$DE:$DE,$A19)&gt;0,IF(ISNUMBER(SEARCH("[済]",INDEX(Material_Detail!$D:$DC,MATCH($A19,Material_Detail!$DE:$DE,0)+1,1))),0,IFERROR(INDEX(Material_Detail!$D:$DC,MATCH($A19,Material_Detail!$DE:$DE,0),1),0)),SUMIFS(T_Shipments[Confirmed_Qty],T_Shipments[Part Name],$A19,T_Shipments[Effective_Week],1))</f>
        <v/>
      </c>
      <c r="C19">
        <f>IF(COUNTIF(Material_Detail!$DE:$DE,$A19)&gt;0,IF(ISNUMBER(SEARCH("[済]",INDEX(Material_Detail!$D:$DC,MATCH($A19,Material_Detail!$DE:$DE,0)+1,2))),0,IFERROR(INDEX(Material_Detail!$D:$DC,MATCH($A19,Material_Detail!$DE:$DE,0),2),0)),SUMIFS(T_Shipments[Confirmed_Qty],T_Shipments[Part Name],$A19,T_Shipments[Effective_Week],2))</f>
        <v/>
      </c>
      <c r="D19">
        <f>IF(COUNTIF(Material_Detail!$DE:$DE,$A19)&gt;0,IF(ISNUMBER(SEARCH("[済]",INDEX(Material_Detail!$D:$DC,MATCH($A19,Material_Detail!$DE:$DE,0)+1,3))),0,IFERROR(INDEX(Material_Detail!$D:$DC,MATCH($A19,Material_Detail!$DE:$DE,0),3),0)),SUMIFS(T_Shipments[Confirmed_Qty],T_Shipments[Part Name],$A19,T_Shipments[Effective_Week],3))</f>
        <v/>
      </c>
      <c r="E19">
        <f>IF(COUNTIF(Material_Detail!$DE:$DE,$A19)&gt;0,IF(ISNUMBER(SEARCH("[済]",INDEX(Material_Detail!$D:$DC,MATCH($A19,Material_Detail!$DE:$DE,0)+1,4))),0,IFERROR(INDEX(Material_Detail!$D:$DC,MATCH($A19,Material_Detail!$DE:$DE,0),4),0)),SUMIFS(T_Shipments[Confirmed_Qty],T_Shipments[Part Name],$A19,T_Shipments[Effective_Week],4))</f>
        <v/>
      </c>
      <c r="F19">
        <f>IF(COUNTIF(Material_Detail!$DE:$DE,$A19)&gt;0,IF(ISNUMBER(SEARCH("[済]",INDEX(Material_Detail!$D:$DC,MATCH($A19,Material_Detail!$DE:$DE,0)+1,5))),0,IFERROR(INDEX(Material_Detail!$D:$DC,MATCH($A19,Material_Detail!$DE:$DE,0),5),0)),SUMIFS(T_Shipments[Confirmed_Qty],T_Shipments[Part Name],$A19,T_Shipments[Effective_Week],5))</f>
        <v/>
      </c>
      <c r="G19">
        <f>IF(COUNTIF(Material_Detail!$DE:$DE,$A19)&gt;0,IF(ISNUMBER(SEARCH("[済]",INDEX(Material_Detail!$D:$DC,MATCH($A19,Material_Detail!$DE:$DE,0)+1,6))),0,IFERROR(INDEX(Material_Detail!$D:$DC,MATCH($A19,Material_Detail!$DE:$DE,0),6),0)),SUMIFS(T_Shipments[Confirmed_Qty],T_Shipments[Part Name],$A19,T_Shipments[Effective_Week],6))</f>
        <v/>
      </c>
      <c r="H19">
        <f>IF(COUNTIF(Material_Detail!$DE:$DE,$A19)&gt;0,IF(ISNUMBER(SEARCH("[済]",INDEX(Material_Detail!$D:$DC,MATCH($A19,Material_Detail!$DE:$DE,0)+1,7))),0,IFERROR(INDEX(Material_Detail!$D:$DC,MATCH($A19,Material_Detail!$DE:$DE,0),7),0)),SUMIFS(T_Shipments[Confirmed_Qty],T_Shipments[Part Name],$A19,T_Shipments[Effective_Week],7))</f>
        <v/>
      </c>
      <c r="I19">
        <f>IF(COUNTIF(Material_Detail!$DE:$DE,$A19)&gt;0,IF(ISNUMBER(SEARCH("[済]",INDEX(Material_Detail!$D:$DC,MATCH($A19,Material_Detail!$DE:$DE,0)+1,8))),0,IFERROR(INDEX(Material_Detail!$D:$DC,MATCH($A19,Material_Detail!$DE:$DE,0),8),0)),SUMIFS(T_Shipments[Confirmed_Qty],T_Shipments[Part Name],$A19,T_Shipments[Effective_Week],8))</f>
        <v/>
      </c>
      <c r="J19">
        <f>IF(COUNTIF(Material_Detail!$DE:$DE,$A19)&gt;0,IF(ISNUMBER(SEARCH("[済]",INDEX(Material_Detail!$D:$DC,MATCH($A19,Material_Detail!$DE:$DE,0)+1,9))),0,IFERROR(INDEX(Material_Detail!$D:$DC,MATCH($A19,Material_Detail!$DE:$DE,0),9),0)),SUMIFS(T_Shipments[Confirmed_Qty],T_Shipments[Part Name],$A19,T_Shipments[Effective_Week],9))</f>
        <v/>
      </c>
      <c r="K19">
        <f>IF(COUNTIF(Material_Detail!$DE:$DE,$A19)&gt;0,IF(ISNUMBER(SEARCH("[済]",INDEX(Material_Detail!$D:$DC,MATCH($A19,Material_Detail!$DE:$DE,0)+1,10))),0,IFERROR(INDEX(Material_Detail!$D:$DC,MATCH($A19,Material_Detail!$DE:$DE,0),10),0)),SUMIFS(T_Shipments[Confirmed_Qty],T_Shipments[Part Name],$A19,T_Shipments[Effective_Week],10))</f>
        <v/>
      </c>
      <c r="L19">
        <f>IF(COUNTIF(Material_Detail!$DE:$DE,$A19)&gt;0,IF(ISNUMBER(SEARCH("[済]",INDEX(Material_Detail!$D:$DC,MATCH($A19,Material_Detail!$DE:$DE,0)+1,11))),0,IFERROR(INDEX(Material_Detail!$D:$DC,MATCH($A19,Material_Detail!$DE:$DE,0),11),0)),SUMIFS(T_Shipments[Confirmed_Qty],T_Shipments[Part Name],$A19,T_Shipments[Effective_Week],11))</f>
        <v/>
      </c>
      <c r="M19">
        <f>IF(COUNTIF(Material_Detail!$DE:$DE,$A19)&gt;0,IF(ISNUMBER(SEARCH("[済]",INDEX(Material_Detail!$D:$DC,MATCH($A19,Material_Detail!$DE:$DE,0)+1,12))),0,IFERROR(INDEX(Material_Detail!$D:$DC,MATCH($A19,Material_Detail!$DE:$DE,0),12),0)),SUMIFS(T_Shipments[Confirmed_Qty],T_Shipments[Part Name],$A19,T_Shipments[Effective_Week],12))</f>
        <v/>
      </c>
      <c r="N19">
        <f>IF(COUNTIF(Material_Detail!$DE:$DE,$A19)&gt;0,IF(ISNUMBER(SEARCH("[済]",INDEX(Material_Detail!$D:$DC,MATCH($A19,Material_Detail!$DE:$DE,0)+1,13))),0,IFERROR(INDEX(Material_Detail!$D:$DC,MATCH($A19,Material_Detail!$DE:$DE,0),13),0)),SUMIFS(T_Shipments[Confirmed_Qty],T_Shipments[Part Name],$A19,T_Shipments[Effective_Week],13))</f>
        <v/>
      </c>
      <c r="O19">
        <f>IF(COUNTIF(Material_Detail!$DE:$DE,$A19)&gt;0,IF(ISNUMBER(SEARCH("[済]",INDEX(Material_Detail!$D:$DC,MATCH($A19,Material_Detail!$DE:$DE,0)+1,14))),0,IFERROR(INDEX(Material_Detail!$D:$DC,MATCH($A19,Material_Detail!$DE:$DE,0),14),0)),SUMIFS(T_Shipments[Confirmed_Qty],T_Shipments[Part Name],$A19,T_Shipments[Effective_Week],14))</f>
        <v/>
      </c>
      <c r="P19">
        <f>IF(COUNTIF(Material_Detail!$DE:$DE,$A19)&gt;0,IF(ISNUMBER(SEARCH("[済]",INDEX(Material_Detail!$D:$DC,MATCH($A19,Material_Detail!$DE:$DE,0)+1,15))),0,IFERROR(INDEX(Material_Detail!$D:$DC,MATCH($A19,Material_Detail!$DE:$DE,0),15),0)),SUMIFS(T_Shipments[Confirmed_Qty],T_Shipments[Part Name],$A19,T_Shipments[Effective_Week],15))</f>
        <v/>
      </c>
      <c r="Q19">
        <f>IF(COUNTIF(Material_Detail!$DE:$DE,$A19)&gt;0,IF(ISNUMBER(SEARCH("[済]",INDEX(Material_Detail!$D:$DC,MATCH($A19,Material_Detail!$DE:$DE,0)+1,16))),0,IFERROR(INDEX(Material_Detail!$D:$DC,MATCH($A19,Material_Detail!$DE:$DE,0),16),0)),SUMIFS(T_Shipments[Confirmed_Qty],T_Shipments[Part Name],$A19,T_Shipments[Effective_Week],16))</f>
        <v/>
      </c>
      <c r="R19">
        <f>IF(COUNTIF(Material_Detail!$DE:$DE,$A19)&gt;0,IF(ISNUMBER(SEARCH("[済]",INDEX(Material_Detail!$D:$DC,MATCH($A19,Material_Detail!$DE:$DE,0)+1,17))),0,IFERROR(INDEX(Material_Detail!$D:$DC,MATCH($A19,Material_Detail!$DE:$DE,0),17),0)),SUMIFS(T_Shipments[Confirmed_Qty],T_Shipments[Part Name],$A19,T_Shipments[Effective_Week],17))</f>
        <v/>
      </c>
      <c r="S19">
        <f>IF(COUNTIF(Material_Detail!$DE:$DE,$A19)&gt;0,IF(ISNUMBER(SEARCH("[済]",INDEX(Material_Detail!$D:$DC,MATCH($A19,Material_Detail!$DE:$DE,0)+1,18))),0,IFERROR(INDEX(Material_Detail!$D:$DC,MATCH($A19,Material_Detail!$DE:$DE,0),18),0)),SUMIFS(T_Shipments[Confirmed_Qty],T_Shipments[Part Name],$A19,T_Shipments[Effective_Week],18))</f>
        <v/>
      </c>
      <c r="T19">
        <f>IF(COUNTIF(Material_Detail!$DE:$DE,$A19)&gt;0,IF(ISNUMBER(SEARCH("[済]",INDEX(Material_Detail!$D:$DC,MATCH($A19,Material_Detail!$DE:$DE,0)+1,19))),0,IFERROR(INDEX(Material_Detail!$D:$DC,MATCH($A19,Material_Detail!$DE:$DE,0),19),0)),SUMIFS(T_Shipments[Confirmed_Qty],T_Shipments[Part Name],$A19,T_Shipments[Effective_Week],19))</f>
        <v/>
      </c>
      <c r="U19">
        <f>IF(COUNTIF(Material_Detail!$DE:$DE,$A19)&gt;0,IF(ISNUMBER(SEARCH("[済]",INDEX(Material_Detail!$D:$DC,MATCH($A19,Material_Detail!$DE:$DE,0)+1,20))),0,IFERROR(INDEX(Material_Detail!$D:$DC,MATCH($A19,Material_Detail!$DE:$DE,0),20),0)),SUMIFS(T_Shipments[Confirmed_Qty],T_Shipments[Part Name],$A19,T_Shipments[Effective_Week],20))</f>
        <v/>
      </c>
      <c r="V19">
        <f>IF(COUNTIF(Material_Detail!$DE:$DE,$A19)&gt;0,IF(ISNUMBER(SEARCH("[済]",INDEX(Material_Detail!$D:$DC,MATCH($A19,Material_Detail!$DE:$DE,0)+1,21))),0,IFERROR(INDEX(Material_Detail!$D:$DC,MATCH($A19,Material_Detail!$DE:$DE,0),21),0)),SUMIFS(T_Shipments[Confirmed_Qty],T_Shipments[Part Name],$A19,T_Shipments[Effective_Week],21))</f>
        <v/>
      </c>
      <c r="W19">
        <f>IF(COUNTIF(Material_Detail!$DE:$DE,$A19)&gt;0,IF(ISNUMBER(SEARCH("[済]",INDEX(Material_Detail!$D:$DC,MATCH($A19,Material_Detail!$DE:$DE,0)+1,22))),0,IFERROR(INDEX(Material_Detail!$D:$DC,MATCH($A19,Material_Detail!$DE:$DE,0),22),0)),SUMIFS(T_Shipments[Confirmed_Qty],T_Shipments[Part Name],$A19,T_Shipments[Effective_Week],22))</f>
        <v/>
      </c>
      <c r="X19">
        <f>IF(COUNTIF(Material_Detail!$DE:$DE,$A19)&gt;0,IF(ISNUMBER(SEARCH("[済]",INDEX(Material_Detail!$D:$DC,MATCH($A19,Material_Detail!$DE:$DE,0)+1,23))),0,IFERROR(INDEX(Material_Detail!$D:$DC,MATCH($A19,Material_Detail!$DE:$DE,0),23),0)),SUMIFS(T_Shipments[Confirmed_Qty],T_Shipments[Part Name],$A19,T_Shipments[Effective_Week],23))</f>
        <v/>
      </c>
      <c r="Y19">
        <f>IF(COUNTIF(Material_Detail!$DE:$DE,$A19)&gt;0,IF(ISNUMBER(SEARCH("[済]",INDEX(Material_Detail!$D:$DC,MATCH($A19,Material_Detail!$DE:$DE,0)+1,24))),0,IFERROR(INDEX(Material_Detail!$D:$DC,MATCH($A19,Material_Detail!$DE:$DE,0),24),0)),SUMIFS(T_Shipments[Confirmed_Qty],T_Shipments[Part Name],$A19,T_Shipments[Effective_Week],24))</f>
        <v/>
      </c>
      <c r="Z19">
        <f>IF(COUNTIF(Material_Detail!$DE:$DE,$A19)&gt;0,IF(ISNUMBER(SEARCH("[済]",INDEX(Material_Detail!$D:$DC,MATCH($A19,Material_Detail!$DE:$DE,0)+1,25))),0,IFERROR(INDEX(Material_Detail!$D:$DC,MATCH($A19,Material_Detail!$DE:$DE,0),25),0)),SUMIFS(T_Shipments[Confirmed_Qty],T_Shipments[Part Name],$A19,T_Shipments[Effective_Week],25))</f>
        <v/>
      </c>
      <c r="AA19">
        <f>IF(COUNTIF(Material_Detail!$DE:$DE,$A19)&gt;0,IF(ISNUMBER(SEARCH("[済]",INDEX(Material_Detail!$D:$DC,MATCH($A19,Material_Detail!$DE:$DE,0)+1,26))),0,IFERROR(INDEX(Material_Detail!$D:$DC,MATCH($A19,Material_Detail!$DE:$DE,0),26),0)),SUMIFS(T_Shipments[Confirmed_Qty],T_Shipments[Part Name],$A19,T_Shipments[Effective_Week],26))</f>
        <v/>
      </c>
      <c r="AB19">
        <f>IF(COUNTIF(Material_Detail!$DE:$DE,$A19)&gt;0,IF(ISNUMBER(SEARCH("[済]",INDEX(Material_Detail!$D:$DC,MATCH($A19,Material_Detail!$DE:$DE,0)+1,27))),0,IFERROR(INDEX(Material_Detail!$D:$DC,MATCH($A19,Material_Detail!$DE:$DE,0),27),0)),SUMIFS(T_Shipments[Confirmed_Qty],T_Shipments[Part Name],$A19,T_Shipments[Effective_Week],27))</f>
        <v/>
      </c>
      <c r="AC19">
        <f>IF(COUNTIF(Material_Detail!$DE:$DE,$A19)&gt;0,IF(ISNUMBER(SEARCH("[済]",INDEX(Material_Detail!$D:$DC,MATCH($A19,Material_Detail!$DE:$DE,0)+1,28))),0,IFERROR(INDEX(Material_Detail!$D:$DC,MATCH($A19,Material_Detail!$DE:$DE,0),28),0)),SUMIFS(T_Shipments[Confirmed_Qty],T_Shipments[Part Name],$A19,T_Shipments[Effective_Week],28))</f>
        <v/>
      </c>
      <c r="AD19">
        <f>IF(COUNTIF(Material_Detail!$DE:$DE,$A19)&gt;0,IF(ISNUMBER(SEARCH("[済]",INDEX(Material_Detail!$D:$DC,MATCH($A19,Material_Detail!$DE:$DE,0)+1,29))),0,IFERROR(INDEX(Material_Detail!$D:$DC,MATCH($A19,Material_Detail!$DE:$DE,0),29),0)),SUMIFS(T_Shipments[Confirmed_Qty],T_Shipments[Part Name],$A19,T_Shipments[Effective_Week],29))</f>
        <v/>
      </c>
      <c r="AE19">
        <f>IF(COUNTIF(Material_Detail!$DE:$DE,$A19)&gt;0,IF(ISNUMBER(SEARCH("[済]",INDEX(Material_Detail!$D:$DC,MATCH($A19,Material_Detail!$DE:$DE,0)+1,30))),0,IFERROR(INDEX(Material_Detail!$D:$DC,MATCH($A19,Material_Detail!$DE:$DE,0),30),0)),SUMIFS(T_Shipments[Confirmed_Qty],T_Shipments[Part Name],$A19,T_Shipments[Effective_Week],30))</f>
        <v/>
      </c>
      <c r="AF19">
        <f>IF(COUNTIF(Material_Detail!$DE:$DE,$A19)&gt;0,IF(ISNUMBER(SEARCH("[済]",INDEX(Material_Detail!$D:$DC,MATCH($A19,Material_Detail!$DE:$DE,0)+1,31))),0,IFERROR(INDEX(Material_Detail!$D:$DC,MATCH($A19,Material_Detail!$DE:$DE,0),31),0)),SUMIFS(T_Shipments[Confirmed_Qty],T_Shipments[Part Name],$A19,T_Shipments[Effective_Week],31))</f>
        <v/>
      </c>
      <c r="AG19">
        <f>IF(COUNTIF(Material_Detail!$DE:$DE,$A19)&gt;0,IF(ISNUMBER(SEARCH("[済]",INDEX(Material_Detail!$D:$DC,MATCH($A19,Material_Detail!$DE:$DE,0)+1,32))),0,IFERROR(INDEX(Material_Detail!$D:$DC,MATCH($A19,Material_Detail!$DE:$DE,0),32),0)),SUMIFS(T_Shipments[Confirmed_Qty],T_Shipments[Part Name],$A19,T_Shipments[Effective_Week],32))</f>
        <v/>
      </c>
      <c r="AH19">
        <f>IF(COUNTIF(Material_Detail!$DE:$DE,$A19)&gt;0,IF(ISNUMBER(SEARCH("[済]",INDEX(Material_Detail!$D:$DC,MATCH($A19,Material_Detail!$DE:$DE,0)+1,33))),0,IFERROR(INDEX(Material_Detail!$D:$DC,MATCH($A19,Material_Detail!$DE:$DE,0),33),0)),SUMIFS(T_Shipments[Confirmed_Qty],T_Shipments[Part Name],$A19,T_Shipments[Effective_Week],33))</f>
        <v/>
      </c>
      <c r="AI19">
        <f>IF(COUNTIF(Material_Detail!$DE:$DE,$A19)&gt;0,IF(ISNUMBER(SEARCH("[済]",INDEX(Material_Detail!$D:$DC,MATCH($A19,Material_Detail!$DE:$DE,0)+1,34))),0,IFERROR(INDEX(Material_Detail!$D:$DC,MATCH($A19,Material_Detail!$DE:$DE,0),34),0)),SUMIFS(T_Shipments[Confirmed_Qty],T_Shipments[Part Name],$A19,T_Shipments[Effective_Week],34))</f>
        <v/>
      </c>
      <c r="AJ19">
        <f>IF(COUNTIF(Material_Detail!$DE:$DE,$A19)&gt;0,IF(ISNUMBER(SEARCH("[済]",INDEX(Material_Detail!$D:$DC,MATCH($A19,Material_Detail!$DE:$DE,0)+1,35))),0,IFERROR(INDEX(Material_Detail!$D:$DC,MATCH($A19,Material_Detail!$DE:$DE,0),35),0)),SUMIFS(T_Shipments[Confirmed_Qty],T_Shipments[Part Name],$A19,T_Shipments[Effective_Week],35))</f>
        <v/>
      </c>
      <c r="AK19">
        <f>IF(COUNTIF(Material_Detail!$DE:$DE,$A19)&gt;0,IF(ISNUMBER(SEARCH("[済]",INDEX(Material_Detail!$D:$DC,MATCH($A19,Material_Detail!$DE:$DE,0)+1,36))),0,IFERROR(INDEX(Material_Detail!$D:$DC,MATCH($A19,Material_Detail!$DE:$DE,0),36),0)),SUMIFS(T_Shipments[Confirmed_Qty],T_Shipments[Part Name],$A19,T_Shipments[Effective_Week],36))</f>
        <v/>
      </c>
      <c r="AL19">
        <f>IF(COUNTIF(Material_Detail!$DE:$DE,$A19)&gt;0,IF(ISNUMBER(SEARCH("[済]",INDEX(Material_Detail!$D:$DC,MATCH($A19,Material_Detail!$DE:$DE,0)+1,37))),0,IFERROR(INDEX(Material_Detail!$D:$DC,MATCH($A19,Material_Detail!$DE:$DE,0),37),0)),SUMIFS(T_Shipments[Confirmed_Qty],T_Shipments[Part Name],$A19,T_Shipments[Effective_Week],37))</f>
        <v/>
      </c>
      <c r="AM19">
        <f>IF(COUNTIF(Material_Detail!$DE:$DE,$A19)&gt;0,IF(ISNUMBER(SEARCH("[済]",INDEX(Material_Detail!$D:$DC,MATCH($A19,Material_Detail!$DE:$DE,0)+1,38))),0,IFERROR(INDEX(Material_Detail!$D:$DC,MATCH($A19,Material_Detail!$DE:$DE,0),38),0)),SUMIFS(T_Shipments[Confirmed_Qty],T_Shipments[Part Name],$A19,T_Shipments[Effective_Week],38))</f>
        <v/>
      </c>
      <c r="AN19">
        <f>IF(COUNTIF(Material_Detail!$DE:$DE,$A19)&gt;0,IF(ISNUMBER(SEARCH("[済]",INDEX(Material_Detail!$D:$DC,MATCH($A19,Material_Detail!$DE:$DE,0)+1,39))),0,IFERROR(INDEX(Material_Detail!$D:$DC,MATCH($A19,Material_Detail!$DE:$DE,0),39),0)),SUMIFS(T_Shipments[Confirmed_Qty],T_Shipments[Part Name],$A19,T_Shipments[Effective_Week],39))</f>
        <v/>
      </c>
      <c r="AO19">
        <f>IF(COUNTIF(Material_Detail!$DE:$DE,$A19)&gt;0,IF(ISNUMBER(SEARCH("[済]",INDEX(Material_Detail!$D:$DC,MATCH($A19,Material_Detail!$DE:$DE,0)+1,40))),0,IFERROR(INDEX(Material_Detail!$D:$DC,MATCH($A19,Material_Detail!$DE:$DE,0),40),0)),SUMIFS(T_Shipments[Confirmed_Qty],T_Shipments[Part Name],$A19,T_Shipments[Effective_Week],40))</f>
        <v/>
      </c>
      <c r="AP19">
        <f>IF(COUNTIF(Material_Detail!$DE:$DE,$A19)&gt;0,IF(ISNUMBER(SEARCH("[済]",INDEX(Material_Detail!$D:$DC,MATCH($A19,Material_Detail!$DE:$DE,0)+1,41))),0,IFERROR(INDEX(Material_Detail!$D:$DC,MATCH($A19,Material_Detail!$DE:$DE,0),41),0)),SUMIFS(T_Shipments[Confirmed_Qty],T_Shipments[Part Name],$A19,T_Shipments[Effective_Week],41))</f>
        <v/>
      </c>
      <c r="AQ19">
        <f>IF(COUNTIF(Material_Detail!$DE:$DE,$A19)&gt;0,IF(ISNUMBER(SEARCH("[済]",INDEX(Material_Detail!$D:$DC,MATCH($A19,Material_Detail!$DE:$DE,0)+1,42))),0,IFERROR(INDEX(Material_Detail!$D:$DC,MATCH($A19,Material_Detail!$DE:$DE,0),42),0)),SUMIFS(T_Shipments[Confirmed_Qty],T_Shipments[Part Name],$A19,T_Shipments[Effective_Week],42))</f>
        <v/>
      </c>
      <c r="AR19">
        <f>IF(COUNTIF(Material_Detail!$DE:$DE,$A19)&gt;0,IF(ISNUMBER(SEARCH("[済]",INDEX(Material_Detail!$D:$DC,MATCH($A19,Material_Detail!$DE:$DE,0)+1,43))),0,IFERROR(INDEX(Material_Detail!$D:$DC,MATCH($A19,Material_Detail!$DE:$DE,0),43),0)),SUMIFS(T_Shipments[Confirmed_Qty],T_Shipments[Part Name],$A19,T_Shipments[Effective_Week],43))</f>
        <v/>
      </c>
      <c r="AS19">
        <f>IF(COUNTIF(Material_Detail!$DE:$DE,$A19)&gt;0,IF(ISNUMBER(SEARCH("[済]",INDEX(Material_Detail!$D:$DC,MATCH($A19,Material_Detail!$DE:$DE,0)+1,44))),0,IFERROR(INDEX(Material_Detail!$D:$DC,MATCH($A19,Material_Detail!$DE:$DE,0),44),0)),SUMIFS(T_Shipments[Confirmed_Qty],T_Shipments[Part Name],$A19,T_Shipments[Effective_Week],44))</f>
        <v/>
      </c>
      <c r="AT19">
        <f>IF(COUNTIF(Material_Detail!$DE:$DE,$A19)&gt;0,IF(ISNUMBER(SEARCH("[済]",INDEX(Material_Detail!$D:$DC,MATCH($A19,Material_Detail!$DE:$DE,0)+1,45))),0,IFERROR(INDEX(Material_Detail!$D:$DC,MATCH($A19,Material_Detail!$DE:$DE,0),45),0)),SUMIFS(T_Shipments[Confirmed_Qty],T_Shipments[Part Name],$A19,T_Shipments[Effective_Week],45))</f>
        <v/>
      </c>
      <c r="AU19">
        <f>IF(COUNTIF(Material_Detail!$DE:$DE,$A19)&gt;0,IF(ISNUMBER(SEARCH("[済]",INDEX(Material_Detail!$D:$DC,MATCH($A19,Material_Detail!$DE:$DE,0)+1,46))),0,IFERROR(INDEX(Material_Detail!$D:$DC,MATCH($A19,Material_Detail!$DE:$DE,0),46),0)),SUMIFS(T_Shipments[Confirmed_Qty],T_Shipments[Part Name],$A19,T_Shipments[Effective_Week],46))</f>
        <v/>
      </c>
      <c r="AV19">
        <f>IF(COUNTIF(Material_Detail!$DE:$DE,$A19)&gt;0,IF(ISNUMBER(SEARCH("[済]",INDEX(Material_Detail!$D:$DC,MATCH($A19,Material_Detail!$DE:$DE,0)+1,47))),0,IFERROR(INDEX(Material_Detail!$D:$DC,MATCH($A19,Material_Detail!$DE:$DE,0),47),0)),SUMIFS(T_Shipments[Confirmed_Qty],T_Shipments[Part Name],$A19,T_Shipments[Effective_Week],47))</f>
        <v/>
      </c>
      <c r="AW19">
        <f>IF(COUNTIF(Material_Detail!$DE:$DE,$A19)&gt;0,IF(ISNUMBER(SEARCH("[済]",INDEX(Material_Detail!$D:$DC,MATCH($A19,Material_Detail!$DE:$DE,0)+1,48))),0,IFERROR(INDEX(Material_Detail!$D:$DC,MATCH($A19,Material_Detail!$DE:$DE,0),48),0)),SUMIFS(T_Shipments[Confirmed_Qty],T_Shipments[Part Name],$A19,T_Shipments[Effective_Week],48))</f>
        <v/>
      </c>
      <c r="AX19">
        <f>IF(COUNTIF(Material_Detail!$DE:$DE,$A19)&gt;0,IF(ISNUMBER(SEARCH("[済]",INDEX(Material_Detail!$D:$DC,MATCH($A19,Material_Detail!$DE:$DE,0)+1,49))),0,IFERROR(INDEX(Material_Detail!$D:$DC,MATCH($A19,Material_Detail!$DE:$DE,0),49),0)),SUMIFS(T_Shipments[Confirmed_Qty],T_Shipments[Part Name],$A19,T_Shipments[Effective_Week],49))</f>
        <v/>
      </c>
      <c r="AY19">
        <f>IF(COUNTIF(Material_Detail!$DE:$DE,$A19)&gt;0,IF(ISNUMBER(SEARCH("[済]",INDEX(Material_Detail!$D:$DC,MATCH($A19,Material_Detail!$DE:$DE,0)+1,50))),0,IFERROR(INDEX(Material_Detail!$D:$DC,MATCH($A19,Material_Detail!$DE:$DE,0),50),0)),SUMIFS(T_Shipments[Confirmed_Qty],T_Shipments[Part Name],$A19,T_Shipments[Effective_Week],50))</f>
        <v/>
      </c>
      <c r="AZ19">
        <f>IF(COUNTIF(Material_Detail!$DE:$DE,$A19)&gt;0,IF(ISNUMBER(SEARCH("[済]",INDEX(Material_Detail!$D:$DC,MATCH($A19,Material_Detail!$DE:$DE,0)+1,51))),0,IFERROR(INDEX(Material_Detail!$D:$DC,MATCH($A19,Material_Detail!$DE:$DE,0),51),0)),SUMIFS(T_Shipments[Confirmed_Qty],T_Shipments[Part Name],$A19,T_Shipments[Effective_Week],51))</f>
        <v/>
      </c>
      <c r="BA19">
        <f>IF(COUNTIF(Material_Detail!$DE:$DE,$A19)&gt;0,IF(ISNUMBER(SEARCH("[済]",INDEX(Material_Detail!$D:$DC,MATCH($A19,Material_Detail!$DE:$DE,0)+1,52))),0,IFERROR(INDEX(Material_Detail!$D:$DC,MATCH($A19,Material_Detail!$DE:$DE,0),52),0)),SUMIFS(T_Shipments[Confirmed_Qty],T_Shipments[Part Name],$A19,T_Shipments[Effective_Week],52))</f>
        <v/>
      </c>
      <c r="BB19">
        <f>IF(COUNTIF(Material_Detail!$DE:$DE,$A19)&gt;0,IF(ISNUMBER(SEARCH("[済]",INDEX(Material_Detail!$D:$DC,MATCH($A19,Material_Detail!$DE:$DE,0)+1,53))),0,IFERROR(INDEX(Material_Detail!$D:$DC,MATCH($A19,Material_Detail!$DE:$DE,0),53),0)),SUMIFS(T_Shipments[Confirmed_Qty],T_Shipments[Part Name],$A19,T_Shipments[Effective_Week],53))</f>
        <v/>
      </c>
      <c r="BC19">
        <f>IF(COUNTIF(Material_Detail!$DE:$DE,$A19)&gt;0,IF(ISNUMBER(SEARCH("[済]",INDEX(Material_Detail!$D:$DC,MATCH($A19,Material_Detail!$DE:$DE,0)+1,54))),0,IFERROR(INDEX(Material_Detail!$D:$DC,MATCH($A19,Material_Detail!$DE:$DE,0),54),0)),SUMIFS(T_Shipments[Confirmed_Qty],T_Shipments[Part Name],$A19,T_Shipments[Effective_Week],54))</f>
        <v/>
      </c>
      <c r="BD19">
        <f>IF(COUNTIF(Material_Detail!$DE:$DE,$A19)&gt;0,IF(ISNUMBER(SEARCH("[済]",INDEX(Material_Detail!$D:$DC,MATCH($A19,Material_Detail!$DE:$DE,0)+1,55))),0,IFERROR(INDEX(Material_Detail!$D:$DC,MATCH($A19,Material_Detail!$DE:$DE,0),55),0)),SUMIFS(T_Shipments[Confirmed_Qty],T_Shipments[Part Name],$A19,T_Shipments[Effective_Week],55))</f>
        <v/>
      </c>
      <c r="BE19">
        <f>IF(COUNTIF(Material_Detail!$DE:$DE,$A19)&gt;0,IF(ISNUMBER(SEARCH("[済]",INDEX(Material_Detail!$D:$DC,MATCH($A19,Material_Detail!$DE:$DE,0)+1,56))),0,IFERROR(INDEX(Material_Detail!$D:$DC,MATCH($A19,Material_Detail!$DE:$DE,0),56),0)),SUMIFS(T_Shipments[Confirmed_Qty],T_Shipments[Part Name],$A19,T_Shipments[Effective_Week],56))</f>
        <v/>
      </c>
      <c r="BF19">
        <f>IF(COUNTIF(Material_Detail!$DE:$DE,$A19)&gt;0,IF(ISNUMBER(SEARCH("[済]",INDEX(Material_Detail!$D:$DC,MATCH($A19,Material_Detail!$DE:$DE,0)+1,57))),0,IFERROR(INDEX(Material_Detail!$D:$DC,MATCH($A19,Material_Detail!$DE:$DE,0),57),0)),SUMIFS(T_Shipments[Confirmed_Qty],T_Shipments[Part Name],$A19,T_Shipments[Effective_Week],57))</f>
        <v/>
      </c>
      <c r="BG19">
        <f>IF(COUNTIF(Material_Detail!$DE:$DE,$A19)&gt;0,IF(ISNUMBER(SEARCH("[済]",INDEX(Material_Detail!$D:$DC,MATCH($A19,Material_Detail!$DE:$DE,0)+1,58))),0,IFERROR(INDEX(Material_Detail!$D:$DC,MATCH($A19,Material_Detail!$DE:$DE,0),58),0)),SUMIFS(T_Shipments[Confirmed_Qty],T_Shipments[Part Name],$A19,T_Shipments[Effective_Week],58))</f>
        <v/>
      </c>
      <c r="BH19">
        <f>IF(COUNTIF(Material_Detail!$DE:$DE,$A19)&gt;0,IF(ISNUMBER(SEARCH("[済]",INDEX(Material_Detail!$D:$DC,MATCH($A19,Material_Detail!$DE:$DE,0)+1,59))),0,IFERROR(INDEX(Material_Detail!$D:$DC,MATCH($A19,Material_Detail!$DE:$DE,0),59),0)),SUMIFS(T_Shipments[Confirmed_Qty],T_Shipments[Part Name],$A19,T_Shipments[Effective_Week],59))</f>
        <v/>
      </c>
      <c r="BI19">
        <f>IF(COUNTIF(Material_Detail!$DE:$DE,$A19)&gt;0,IF(ISNUMBER(SEARCH("[済]",INDEX(Material_Detail!$D:$DC,MATCH($A19,Material_Detail!$DE:$DE,0)+1,60))),0,IFERROR(INDEX(Material_Detail!$D:$DC,MATCH($A19,Material_Detail!$DE:$DE,0),60),0)),SUMIFS(T_Shipments[Confirmed_Qty],T_Shipments[Part Name],$A19,T_Shipments[Effective_Week],60))</f>
        <v/>
      </c>
      <c r="BJ19">
        <f>IF(COUNTIF(Material_Detail!$DE:$DE,$A19)&gt;0,IF(ISNUMBER(SEARCH("[済]",INDEX(Material_Detail!$D:$DC,MATCH($A19,Material_Detail!$DE:$DE,0)+1,61))),0,IFERROR(INDEX(Material_Detail!$D:$DC,MATCH($A19,Material_Detail!$DE:$DE,0),61),0)),SUMIFS(T_Shipments[Confirmed_Qty],T_Shipments[Part Name],$A19,T_Shipments[Effective_Week],61))</f>
        <v/>
      </c>
      <c r="BK19">
        <f>IF(COUNTIF(Material_Detail!$DE:$DE,$A19)&gt;0,IF(ISNUMBER(SEARCH("[済]",INDEX(Material_Detail!$D:$DC,MATCH($A19,Material_Detail!$DE:$DE,0)+1,62))),0,IFERROR(INDEX(Material_Detail!$D:$DC,MATCH($A19,Material_Detail!$DE:$DE,0),62),0)),SUMIFS(T_Shipments[Confirmed_Qty],T_Shipments[Part Name],$A19,T_Shipments[Effective_Week],62))</f>
        <v/>
      </c>
      <c r="BL19">
        <f>IF(COUNTIF(Material_Detail!$DE:$DE,$A19)&gt;0,IF(ISNUMBER(SEARCH("[済]",INDEX(Material_Detail!$D:$DC,MATCH($A19,Material_Detail!$DE:$DE,0)+1,63))),0,IFERROR(INDEX(Material_Detail!$D:$DC,MATCH($A19,Material_Detail!$DE:$DE,0),63),0)),SUMIFS(T_Shipments[Confirmed_Qty],T_Shipments[Part Name],$A19,T_Shipments[Effective_Week],63))</f>
        <v/>
      </c>
      <c r="BM19">
        <f>IF(COUNTIF(Material_Detail!$DE:$DE,$A19)&gt;0,IF(ISNUMBER(SEARCH("[済]",INDEX(Material_Detail!$D:$DC,MATCH($A19,Material_Detail!$DE:$DE,0)+1,64))),0,IFERROR(INDEX(Material_Detail!$D:$DC,MATCH($A19,Material_Detail!$DE:$DE,0),64),0)),SUMIFS(T_Shipments[Confirmed_Qty],T_Shipments[Part Name],$A19,T_Shipments[Effective_Week],64))</f>
        <v/>
      </c>
      <c r="BN19">
        <f>IF(COUNTIF(Material_Detail!$DE:$DE,$A19)&gt;0,IF(ISNUMBER(SEARCH("[済]",INDEX(Material_Detail!$D:$DC,MATCH($A19,Material_Detail!$DE:$DE,0)+1,65))),0,IFERROR(INDEX(Material_Detail!$D:$DC,MATCH($A19,Material_Detail!$DE:$DE,0),65),0)),SUMIFS(T_Shipments[Confirmed_Qty],T_Shipments[Part Name],$A19,T_Shipments[Effective_Week],65))</f>
        <v/>
      </c>
      <c r="BO19">
        <f>IF(COUNTIF(Material_Detail!$DE:$DE,$A19)&gt;0,IF(ISNUMBER(SEARCH("[済]",INDEX(Material_Detail!$D:$DC,MATCH($A19,Material_Detail!$DE:$DE,0)+1,66))),0,IFERROR(INDEX(Material_Detail!$D:$DC,MATCH($A19,Material_Detail!$DE:$DE,0),66),0)),SUMIFS(T_Shipments[Confirmed_Qty],T_Shipments[Part Name],$A19,T_Shipments[Effective_Week],66))</f>
        <v/>
      </c>
      <c r="BP19">
        <f>IF(COUNTIF(Material_Detail!$DE:$DE,$A19)&gt;0,IF(ISNUMBER(SEARCH("[済]",INDEX(Material_Detail!$D:$DC,MATCH($A19,Material_Detail!$DE:$DE,0)+1,67))),0,IFERROR(INDEX(Material_Detail!$D:$DC,MATCH($A19,Material_Detail!$DE:$DE,0),67),0)),SUMIFS(T_Shipments[Confirmed_Qty],T_Shipments[Part Name],$A19,T_Shipments[Effective_Week],67))</f>
        <v/>
      </c>
      <c r="BQ19">
        <f>IF(COUNTIF(Material_Detail!$DE:$DE,$A19)&gt;0,IF(ISNUMBER(SEARCH("[済]",INDEX(Material_Detail!$D:$DC,MATCH($A19,Material_Detail!$DE:$DE,0)+1,68))),0,IFERROR(INDEX(Material_Detail!$D:$DC,MATCH($A19,Material_Detail!$DE:$DE,0),68),0)),SUMIFS(T_Shipments[Confirmed_Qty],T_Shipments[Part Name],$A19,T_Shipments[Effective_Week],68))</f>
        <v/>
      </c>
      <c r="BR19">
        <f>IF(COUNTIF(Material_Detail!$DE:$DE,$A19)&gt;0,IF(ISNUMBER(SEARCH("[済]",INDEX(Material_Detail!$D:$DC,MATCH($A19,Material_Detail!$DE:$DE,0)+1,69))),0,IFERROR(INDEX(Material_Detail!$D:$DC,MATCH($A19,Material_Detail!$DE:$DE,0),69),0)),SUMIFS(T_Shipments[Confirmed_Qty],T_Shipments[Part Name],$A19,T_Shipments[Effective_Week],69))</f>
        <v/>
      </c>
      <c r="BS19">
        <f>IF(COUNTIF(Material_Detail!$DE:$DE,$A19)&gt;0,IF(ISNUMBER(SEARCH("[済]",INDEX(Material_Detail!$D:$DC,MATCH($A19,Material_Detail!$DE:$DE,0)+1,70))),0,IFERROR(INDEX(Material_Detail!$D:$DC,MATCH($A19,Material_Detail!$DE:$DE,0),70),0)),SUMIFS(T_Shipments[Confirmed_Qty],T_Shipments[Part Name],$A19,T_Shipments[Effective_Week],70))</f>
        <v/>
      </c>
      <c r="BT19">
        <f>IF(COUNTIF(Material_Detail!$DE:$DE,$A19)&gt;0,IF(ISNUMBER(SEARCH("[済]",INDEX(Material_Detail!$D:$DC,MATCH($A19,Material_Detail!$DE:$DE,0)+1,71))),0,IFERROR(INDEX(Material_Detail!$D:$DC,MATCH($A19,Material_Detail!$DE:$DE,0),71),0)),SUMIFS(T_Shipments[Confirmed_Qty],T_Shipments[Part Name],$A19,T_Shipments[Effective_Week],71))</f>
        <v/>
      </c>
      <c r="BU19">
        <f>IF(COUNTIF(Material_Detail!$DE:$DE,$A19)&gt;0,IF(ISNUMBER(SEARCH("[済]",INDEX(Material_Detail!$D:$DC,MATCH($A19,Material_Detail!$DE:$DE,0)+1,72))),0,IFERROR(INDEX(Material_Detail!$D:$DC,MATCH($A19,Material_Detail!$DE:$DE,0),72),0)),SUMIFS(T_Shipments[Confirmed_Qty],T_Shipments[Part Name],$A19,T_Shipments[Effective_Week],72))</f>
        <v/>
      </c>
      <c r="BV19">
        <f>IF(COUNTIF(Material_Detail!$DE:$DE,$A19)&gt;0,IF(ISNUMBER(SEARCH("[済]",INDEX(Material_Detail!$D:$DC,MATCH($A19,Material_Detail!$DE:$DE,0)+1,73))),0,IFERROR(INDEX(Material_Detail!$D:$DC,MATCH($A19,Material_Detail!$DE:$DE,0),73),0)),SUMIFS(T_Shipments[Confirmed_Qty],T_Shipments[Part Name],$A19,T_Shipments[Effective_Week],73))</f>
        <v/>
      </c>
      <c r="BW19">
        <f>IF(COUNTIF(Material_Detail!$DE:$DE,$A19)&gt;0,IF(ISNUMBER(SEARCH("[済]",INDEX(Material_Detail!$D:$DC,MATCH($A19,Material_Detail!$DE:$DE,0)+1,74))),0,IFERROR(INDEX(Material_Detail!$D:$DC,MATCH($A19,Material_Detail!$DE:$DE,0),74),0)),SUMIFS(T_Shipments[Confirmed_Qty],T_Shipments[Part Name],$A19,T_Shipments[Effective_Week],74))</f>
        <v/>
      </c>
      <c r="BX19">
        <f>IF(COUNTIF(Material_Detail!$DE:$DE,$A19)&gt;0,IF(ISNUMBER(SEARCH("[済]",INDEX(Material_Detail!$D:$DC,MATCH($A19,Material_Detail!$DE:$DE,0)+1,75))),0,IFERROR(INDEX(Material_Detail!$D:$DC,MATCH($A19,Material_Detail!$DE:$DE,0),75),0)),SUMIFS(T_Shipments[Confirmed_Qty],T_Shipments[Part Name],$A19,T_Shipments[Effective_Week],75))</f>
        <v/>
      </c>
      <c r="BY19">
        <f>IF(COUNTIF(Material_Detail!$DE:$DE,$A19)&gt;0,IF(ISNUMBER(SEARCH("[済]",INDEX(Material_Detail!$D:$DC,MATCH($A19,Material_Detail!$DE:$DE,0)+1,76))),0,IFERROR(INDEX(Material_Detail!$D:$DC,MATCH($A19,Material_Detail!$DE:$DE,0),76),0)),SUMIFS(T_Shipments[Confirmed_Qty],T_Shipments[Part Name],$A19,T_Shipments[Effective_Week],76))</f>
        <v/>
      </c>
      <c r="BZ19">
        <f>IF(COUNTIF(Material_Detail!$DE:$DE,$A19)&gt;0,IF(ISNUMBER(SEARCH("[済]",INDEX(Material_Detail!$D:$DC,MATCH($A19,Material_Detail!$DE:$DE,0)+1,77))),0,IFERROR(INDEX(Material_Detail!$D:$DC,MATCH($A19,Material_Detail!$DE:$DE,0),77),0)),SUMIFS(T_Shipments[Confirmed_Qty],T_Shipments[Part Name],$A19,T_Shipments[Effective_Week],77))</f>
        <v/>
      </c>
      <c r="CA19">
        <f>IF(COUNTIF(Material_Detail!$DE:$DE,$A19)&gt;0,IF(ISNUMBER(SEARCH("[済]",INDEX(Material_Detail!$D:$DC,MATCH($A19,Material_Detail!$DE:$DE,0)+1,78))),0,IFERROR(INDEX(Material_Detail!$D:$DC,MATCH($A19,Material_Detail!$DE:$DE,0),78),0)),SUMIFS(T_Shipments[Confirmed_Qty],T_Shipments[Part Name],$A19,T_Shipments[Effective_Week],78))</f>
        <v/>
      </c>
      <c r="CB19">
        <f>IF(COUNTIF(Material_Detail!$DE:$DE,$A19)&gt;0,IF(ISNUMBER(SEARCH("[済]",INDEX(Material_Detail!$D:$DC,MATCH($A19,Material_Detail!$DE:$DE,0)+1,79))),0,IFERROR(INDEX(Material_Detail!$D:$DC,MATCH($A19,Material_Detail!$DE:$DE,0),79),0)),SUMIFS(T_Shipments[Confirmed_Qty],T_Shipments[Part Name],$A19,T_Shipments[Effective_Week],79))</f>
        <v/>
      </c>
      <c r="CC19">
        <f>IF(COUNTIF(Material_Detail!$DE:$DE,$A19)&gt;0,IF(ISNUMBER(SEARCH("[済]",INDEX(Material_Detail!$D:$DC,MATCH($A19,Material_Detail!$DE:$DE,0)+1,80))),0,IFERROR(INDEX(Material_Detail!$D:$DC,MATCH($A19,Material_Detail!$DE:$DE,0),80),0)),SUMIFS(T_Shipments[Confirmed_Qty],T_Shipments[Part Name],$A19,T_Shipments[Effective_Week],80))</f>
        <v/>
      </c>
      <c r="CD19">
        <f>IF(COUNTIF(Material_Detail!$DE:$DE,$A19)&gt;0,IF(ISNUMBER(SEARCH("[済]",INDEX(Material_Detail!$D:$DC,MATCH($A19,Material_Detail!$DE:$DE,0)+1,81))),0,IFERROR(INDEX(Material_Detail!$D:$DC,MATCH($A19,Material_Detail!$DE:$DE,0),81),0)),SUMIFS(T_Shipments[Confirmed_Qty],T_Shipments[Part Name],$A19,T_Shipments[Effective_Week],81))</f>
        <v/>
      </c>
      <c r="CE19">
        <f>IF(COUNTIF(Material_Detail!$DE:$DE,$A19)&gt;0,IF(ISNUMBER(SEARCH("[済]",INDEX(Material_Detail!$D:$DC,MATCH($A19,Material_Detail!$DE:$DE,0)+1,82))),0,IFERROR(INDEX(Material_Detail!$D:$DC,MATCH($A19,Material_Detail!$DE:$DE,0),82),0)),SUMIFS(T_Shipments[Confirmed_Qty],T_Shipments[Part Name],$A19,T_Shipments[Effective_Week],82))</f>
        <v/>
      </c>
      <c r="CF19">
        <f>IF(COUNTIF(Material_Detail!$DE:$DE,$A19)&gt;0,IF(ISNUMBER(SEARCH("[済]",INDEX(Material_Detail!$D:$DC,MATCH($A19,Material_Detail!$DE:$DE,0)+1,83))),0,IFERROR(INDEX(Material_Detail!$D:$DC,MATCH($A19,Material_Detail!$DE:$DE,0),83),0)),SUMIFS(T_Shipments[Confirmed_Qty],T_Shipments[Part Name],$A19,T_Shipments[Effective_Week],83))</f>
        <v/>
      </c>
      <c r="CG19">
        <f>IF(COUNTIF(Material_Detail!$DE:$DE,$A19)&gt;0,IF(ISNUMBER(SEARCH("[済]",INDEX(Material_Detail!$D:$DC,MATCH($A19,Material_Detail!$DE:$DE,0)+1,84))),0,IFERROR(INDEX(Material_Detail!$D:$DC,MATCH($A19,Material_Detail!$DE:$DE,0),84),0)),SUMIFS(T_Shipments[Confirmed_Qty],T_Shipments[Part Name],$A19,T_Shipments[Effective_Week],84))</f>
        <v/>
      </c>
      <c r="CH19">
        <f>IF(COUNTIF(Material_Detail!$DE:$DE,$A19)&gt;0,IF(ISNUMBER(SEARCH("[済]",INDEX(Material_Detail!$D:$DC,MATCH($A19,Material_Detail!$DE:$DE,0)+1,85))),0,IFERROR(INDEX(Material_Detail!$D:$DC,MATCH($A19,Material_Detail!$DE:$DE,0),85),0)),SUMIFS(T_Shipments[Confirmed_Qty],T_Shipments[Part Name],$A19,T_Shipments[Effective_Week],85))</f>
        <v/>
      </c>
      <c r="CI19">
        <f>IF(COUNTIF(Material_Detail!$DE:$DE,$A19)&gt;0,IF(ISNUMBER(SEARCH("[済]",INDEX(Material_Detail!$D:$DC,MATCH($A19,Material_Detail!$DE:$DE,0)+1,86))),0,IFERROR(INDEX(Material_Detail!$D:$DC,MATCH($A19,Material_Detail!$DE:$DE,0),86),0)),SUMIFS(T_Shipments[Confirmed_Qty],T_Shipments[Part Name],$A19,T_Shipments[Effective_Week],86))</f>
        <v/>
      </c>
      <c r="CJ19">
        <f>IF(COUNTIF(Material_Detail!$DE:$DE,$A19)&gt;0,IF(ISNUMBER(SEARCH("[済]",INDEX(Material_Detail!$D:$DC,MATCH($A19,Material_Detail!$DE:$DE,0)+1,87))),0,IFERROR(INDEX(Material_Detail!$D:$DC,MATCH($A19,Material_Detail!$DE:$DE,0),87),0)),SUMIFS(T_Shipments[Confirmed_Qty],T_Shipments[Part Name],$A19,T_Shipments[Effective_Week],87))</f>
        <v/>
      </c>
      <c r="CK19">
        <f>IF(COUNTIF(Material_Detail!$DE:$DE,$A19)&gt;0,IF(ISNUMBER(SEARCH("[済]",INDEX(Material_Detail!$D:$DC,MATCH($A19,Material_Detail!$DE:$DE,0)+1,88))),0,IFERROR(INDEX(Material_Detail!$D:$DC,MATCH($A19,Material_Detail!$DE:$DE,0),88),0)),SUMIFS(T_Shipments[Confirmed_Qty],T_Shipments[Part Name],$A19,T_Shipments[Effective_Week],88))</f>
        <v/>
      </c>
      <c r="CL19">
        <f>IF(COUNTIF(Material_Detail!$DE:$DE,$A19)&gt;0,IF(ISNUMBER(SEARCH("[済]",INDEX(Material_Detail!$D:$DC,MATCH($A19,Material_Detail!$DE:$DE,0)+1,89))),0,IFERROR(INDEX(Material_Detail!$D:$DC,MATCH($A19,Material_Detail!$DE:$DE,0),89),0)),SUMIFS(T_Shipments[Confirmed_Qty],T_Shipments[Part Name],$A19,T_Shipments[Effective_Week],89))</f>
        <v/>
      </c>
      <c r="CM19">
        <f>IF(COUNTIF(Material_Detail!$DE:$DE,$A19)&gt;0,IF(ISNUMBER(SEARCH("[済]",INDEX(Material_Detail!$D:$DC,MATCH($A19,Material_Detail!$DE:$DE,0)+1,90))),0,IFERROR(INDEX(Material_Detail!$D:$DC,MATCH($A19,Material_Detail!$DE:$DE,0),90),0)),SUMIFS(T_Shipments[Confirmed_Qty],T_Shipments[Part Name],$A19,T_Shipments[Effective_Week],90))</f>
        <v/>
      </c>
      <c r="CN19">
        <f>IF(COUNTIF(Material_Detail!$DE:$DE,$A19)&gt;0,IF(ISNUMBER(SEARCH("[済]",INDEX(Material_Detail!$D:$DC,MATCH($A19,Material_Detail!$DE:$DE,0)+1,91))),0,IFERROR(INDEX(Material_Detail!$D:$DC,MATCH($A19,Material_Detail!$DE:$DE,0),91),0)),SUMIFS(T_Shipments[Confirmed_Qty],T_Shipments[Part Name],$A19,T_Shipments[Effective_Week],91))</f>
        <v/>
      </c>
      <c r="CO19">
        <f>IF(COUNTIF(Material_Detail!$DE:$DE,$A19)&gt;0,IF(ISNUMBER(SEARCH("[済]",INDEX(Material_Detail!$D:$DC,MATCH($A19,Material_Detail!$DE:$DE,0)+1,92))),0,IFERROR(INDEX(Material_Detail!$D:$DC,MATCH($A19,Material_Detail!$DE:$DE,0),92),0)),SUMIFS(T_Shipments[Confirmed_Qty],T_Shipments[Part Name],$A19,T_Shipments[Effective_Week],92))</f>
        <v/>
      </c>
      <c r="CP19">
        <f>IF(COUNTIF(Material_Detail!$DE:$DE,$A19)&gt;0,IF(ISNUMBER(SEARCH("[済]",INDEX(Material_Detail!$D:$DC,MATCH($A19,Material_Detail!$DE:$DE,0)+1,93))),0,IFERROR(INDEX(Material_Detail!$D:$DC,MATCH($A19,Material_Detail!$DE:$DE,0),93),0)),SUMIFS(T_Shipments[Confirmed_Qty],T_Shipments[Part Name],$A19,T_Shipments[Effective_Week],93))</f>
        <v/>
      </c>
      <c r="CQ19">
        <f>IF(COUNTIF(Material_Detail!$DE:$DE,$A19)&gt;0,IF(ISNUMBER(SEARCH("[済]",INDEX(Material_Detail!$D:$DC,MATCH($A19,Material_Detail!$DE:$DE,0)+1,94))),0,IFERROR(INDEX(Material_Detail!$D:$DC,MATCH($A19,Material_Detail!$DE:$DE,0),94),0)),SUMIFS(T_Shipments[Confirmed_Qty],T_Shipments[Part Name],$A19,T_Shipments[Effective_Week],94))</f>
        <v/>
      </c>
      <c r="CR19">
        <f>IF(COUNTIF(Material_Detail!$DE:$DE,$A19)&gt;0,IF(ISNUMBER(SEARCH("[済]",INDEX(Material_Detail!$D:$DC,MATCH($A19,Material_Detail!$DE:$DE,0)+1,95))),0,IFERROR(INDEX(Material_Detail!$D:$DC,MATCH($A19,Material_Detail!$DE:$DE,0),95),0)),SUMIFS(T_Shipments[Confirmed_Qty],T_Shipments[Part Name],$A19,T_Shipments[Effective_Week],95))</f>
        <v/>
      </c>
      <c r="CS19">
        <f>IF(COUNTIF(Material_Detail!$DE:$DE,$A19)&gt;0,IF(ISNUMBER(SEARCH("[済]",INDEX(Material_Detail!$D:$DC,MATCH($A19,Material_Detail!$DE:$DE,0)+1,96))),0,IFERROR(INDEX(Material_Detail!$D:$DC,MATCH($A19,Material_Detail!$DE:$DE,0),96),0)),SUMIFS(T_Shipments[Confirmed_Qty],T_Shipments[Part Name],$A19,T_Shipments[Effective_Week],96))</f>
        <v/>
      </c>
      <c r="CT19">
        <f>IF(COUNTIF(Material_Detail!$DE:$DE,$A19)&gt;0,IF(ISNUMBER(SEARCH("[済]",INDEX(Material_Detail!$D:$DC,MATCH($A19,Material_Detail!$DE:$DE,0)+1,97))),0,IFERROR(INDEX(Material_Detail!$D:$DC,MATCH($A19,Material_Detail!$DE:$DE,0),97),0)),SUMIFS(T_Shipments[Confirmed_Qty],T_Shipments[Part Name],$A19,T_Shipments[Effective_Week],97))</f>
        <v/>
      </c>
      <c r="CU19">
        <f>IF(COUNTIF(Material_Detail!$DE:$DE,$A19)&gt;0,IF(ISNUMBER(SEARCH("[済]",INDEX(Material_Detail!$D:$DC,MATCH($A19,Material_Detail!$DE:$DE,0)+1,98))),0,IFERROR(INDEX(Material_Detail!$D:$DC,MATCH($A19,Material_Detail!$DE:$DE,0),98),0)),SUMIFS(T_Shipments[Confirmed_Qty],T_Shipments[Part Name],$A19,T_Shipments[Effective_Week],98))</f>
        <v/>
      </c>
      <c r="CV19">
        <f>IF(COUNTIF(Material_Detail!$DE:$DE,$A19)&gt;0,IF(ISNUMBER(SEARCH("[済]",INDEX(Material_Detail!$D:$DC,MATCH($A19,Material_Detail!$DE:$DE,0)+1,99))),0,IFERROR(INDEX(Material_Detail!$D:$DC,MATCH($A19,Material_Detail!$DE:$DE,0),99),0)),SUMIFS(T_Shipments[Confirmed_Qty],T_Shipments[Part Name],$A19,T_Shipments[Effective_Week],99))</f>
        <v/>
      </c>
      <c r="CW19">
        <f>IF(COUNTIF(Material_Detail!$DE:$DE,$A19)&gt;0,IF(ISNUMBER(SEARCH("[済]",INDEX(Material_Detail!$D:$DC,MATCH($A19,Material_Detail!$DE:$DE,0)+1,100))),0,IFERROR(INDEX(Material_Detail!$D:$DC,MATCH($A19,Material_Detail!$DE:$DE,0),100),0)),SUMIFS(T_Shipments[Confirmed_Qty],T_Shipments[Part Name],$A19,T_Shipments[Effective_Week],100))</f>
        <v/>
      </c>
      <c r="CX19">
        <f>IF(COUNTIF(Material_Detail!$DE:$DE,$A19)&gt;0,IF(ISNUMBER(SEARCH("[済]",INDEX(Material_Detail!$D:$DC,MATCH($A19,Material_Detail!$DE:$DE,0)+1,101))),0,IFERROR(INDEX(Material_Detail!$D:$DC,MATCH($A19,Material_Detail!$DE:$DE,0),101),0)),SUMIFS(T_Shipments[Confirmed_Qty],T_Shipments[Part Name],$A19,T_Shipments[Effective_Week],101))</f>
        <v/>
      </c>
      <c r="CY19">
        <f>IF(COUNTIF(Material_Detail!$DE:$DE,$A19)&gt;0,IF(ISNUMBER(SEARCH("[済]",INDEX(Material_Detail!$D:$DC,MATCH($A19,Material_Detail!$DE:$DE,0)+1,102))),0,IFERROR(INDEX(Material_Detail!$D:$DC,MATCH($A19,Material_Detail!$DE:$DE,0),102),0)),SUMIFS(T_Shipments[Confirmed_Qty],T_Shipments[Part Name],$A19,T_Shipments[Effective_Week],102))</f>
        <v/>
      </c>
      <c r="CZ19">
        <f>IF(COUNTIF(Material_Detail!$DE:$DE,$A19)&gt;0,IF(ISNUMBER(SEARCH("[済]",INDEX(Material_Detail!$D:$DC,MATCH($A19,Material_Detail!$DE:$DE,0)+1,103))),0,IFERROR(INDEX(Material_Detail!$D:$DC,MATCH($A19,Material_Detail!$DE:$DE,0),103),0)),SUMIFS(T_Shipments[Confirmed_Qty],T_Shipments[Part Name],$A19,T_Shipments[Effective_Week],103))</f>
        <v/>
      </c>
      <c r="DA19">
        <f>IF(COUNTIF(Material_Detail!$DE:$DE,$A19)&gt;0,IF(ISNUMBER(SEARCH("[済]",INDEX(Material_Detail!$D:$DC,MATCH($A19,Material_Detail!$DE:$DE,0)+1,104))),0,IFERROR(INDEX(Material_Detail!$D:$DC,MATCH($A19,Material_Detail!$DE:$DE,0),104),0)),SUMIFS(T_Shipments[Confirmed_Qty],T_Shipments[Part Name],$A19,T_Shipments[Effective_Week],104))</f>
        <v/>
      </c>
    </row>
    <row r="20">
      <c r="A20" t="inlineStr">
        <is>
          <t>73K</t>
        </is>
      </c>
      <c r="B20">
        <f>IF(COUNTIF(Material_Detail!$DE:$DE,$A20)&gt;0,IF(ISNUMBER(SEARCH("[済]",INDEX(Material_Detail!$D:$DC,MATCH($A20,Material_Detail!$DE:$DE,0)+1,1))),0,IFERROR(INDEX(Material_Detail!$D:$DC,MATCH($A20,Material_Detail!$DE:$DE,0),1),0)),SUMIFS(T_Shipments[Confirmed_Qty],T_Shipments[Part Name],$A20,T_Shipments[Effective_Week],1))</f>
        <v/>
      </c>
      <c r="C20">
        <f>IF(COUNTIF(Material_Detail!$DE:$DE,$A20)&gt;0,IF(ISNUMBER(SEARCH("[済]",INDEX(Material_Detail!$D:$DC,MATCH($A20,Material_Detail!$DE:$DE,0)+1,2))),0,IFERROR(INDEX(Material_Detail!$D:$DC,MATCH($A20,Material_Detail!$DE:$DE,0),2),0)),SUMIFS(T_Shipments[Confirmed_Qty],T_Shipments[Part Name],$A20,T_Shipments[Effective_Week],2))</f>
        <v/>
      </c>
      <c r="D20">
        <f>IF(COUNTIF(Material_Detail!$DE:$DE,$A20)&gt;0,IF(ISNUMBER(SEARCH("[済]",INDEX(Material_Detail!$D:$DC,MATCH($A20,Material_Detail!$DE:$DE,0)+1,3))),0,IFERROR(INDEX(Material_Detail!$D:$DC,MATCH($A20,Material_Detail!$DE:$DE,0),3),0)),SUMIFS(T_Shipments[Confirmed_Qty],T_Shipments[Part Name],$A20,T_Shipments[Effective_Week],3))</f>
        <v/>
      </c>
      <c r="E20">
        <f>IF(COUNTIF(Material_Detail!$DE:$DE,$A20)&gt;0,IF(ISNUMBER(SEARCH("[済]",INDEX(Material_Detail!$D:$DC,MATCH($A20,Material_Detail!$DE:$DE,0)+1,4))),0,IFERROR(INDEX(Material_Detail!$D:$DC,MATCH($A20,Material_Detail!$DE:$DE,0),4),0)),SUMIFS(T_Shipments[Confirmed_Qty],T_Shipments[Part Name],$A20,T_Shipments[Effective_Week],4))</f>
        <v/>
      </c>
      <c r="F20">
        <f>IF(COUNTIF(Material_Detail!$DE:$DE,$A20)&gt;0,IF(ISNUMBER(SEARCH("[済]",INDEX(Material_Detail!$D:$DC,MATCH($A20,Material_Detail!$DE:$DE,0)+1,5))),0,IFERROR(INDEX(Material_Detail!$D:$DC,MATCH($A20,Material_Detail!$DE:$DE,0),5),0)),SUMIFS(T_Shipments[Confirmed_Qty],T_Shipments[Part Name],$A20,T_Shipments[Effective_Week],5))</f>
        <v/>
      </c>
      <c r="G20">
        <f>IF(COUNTIF(Material_Detail!$DE:$DE,$A20)&gt;0,IF(ISNUMBER(SEARCH("[済]",INDEX(Material_Detail!$D:$DC,MATCH($A20,Material_Detail!$DE:$DE,0)+1,6))),0,IFERROR(INDEX(Material_Detail!$D:$DC,MATCH($A20,Material_Detail!$DE:$DE,0),6),0)),SUMIFS(T_Shipments[Confirmed_Qty],T_Shipments[Part Name],$A20,T_Shipments[Effective_Week],6))</f>
        <v/>
      </c>
      <c r="H20">
        <f>IF(COUNTIF(Material_Detail!$DE:$DE,$A20)&gt;0,IF(ISNUMBER(SEARCH("[済]",INDEX(Material_Detail!$D:$DC,MATCH($A20,Material_Detail!$DE:$DE,0)+1,7))),0,IFERROR(INDEX(Material_Detail!$D:$DC,MATCH($A20,Material_Detail!$DE:$DE,0),7),0)),SUMIFS(T_Shipments[Confirmed_Qty],T_Shipments[Part Name],$A20,T_Shipments[Effective_Week],7))</f>
        <v/>
      </c>
      <c r="I20">
        <f>IF(COUNTIF(Material_Detail!$DE:$DE,$A20)&gt;0,IF(ISNUMBER(SEARCH("[済]",INDEX(Material_Detail!$D:$DC,MATCH($A20,Material_Detail!$DE:$DE,0)+1,8))),0,IFERROR(INDEX(Material_Detail!$D:$DC,MATCH($A20,Material_Detail!$DE:$DE,0),8),0)),SUMIFS(T_Shipments[Confirmed_Qty],T_Shipments[Part Name],$A20,T_Shipments[Effective_Week],8))</f>
        <v/>
      </c>
      <c r="J20">
        <f>IF(COUNTIF(Material_Detail!$DE:$DE,$A20)&gt;0,IF(ISNUMBER(SEARCH("[済]",INDEX(Material_Detail!$D:$DC,MATCH($A20,Material_Detail!$DE:$DE,0)+1,9))),0,IFERROR(INDEX(Material_Detail!$D:$DC,MATCH($A20,Material_Detail!$DE:$DE,0),9),0)),SUMIFS(T_Shipments[Confirmed_Qty],T_Shipments[Part Name],$A20,T_Shipments[Effective_Week],9))</f>
        <v/>
      </c>
      <c r="K20">
        <f>IF(COUNTIF(Material_Detail!$DE:$DE,$A20)&gt;0,IF(ISNUMBER(SEARCH("[済]",INDEX(Material_Detail!$D:$DC,MATCH($A20,Material_Detail!$DE:$DE,0)+1,10))),0,IFERROR(INDEX(Material_Detail!$D:$DC,MATCH($A20,Material_Detail!$DE:$DE,0),10),0)),SUMIFS(T_Shipments[Confirmed_Qty],T_Shipments[Part Name],$A20,T_Shipments[Effective_Week],10))</f>
        <v/>
      </c>
      <c r="L20">
        <f>IF(COUNTIF(Material_Detail!$DE:$DE,$A20)&gt;0,IF(ISNUMBER(SEARCH("[済]",INDEX(Material_Detail!$D:$DC,MATCH($A20,Material_Detail!$DE:$DE,0)+1,11))),0,IFERROR(INDEX(Material_Detail!$D:$DC,MATCH($A20,Material_Detail!$DE:$DE,0),11),0)),SUMIFS(T_Shipments[Confirmed_Qty],T_Shipments[Part Name],$A20,T_Shipments[Effective_Week],11))</f>
        <v/>
      </c>
      <c r="M20">
        <f>IF(COUNTIF(Material_Detail!$DE:$DE,$A20)&gt;0,IF(ISNUMBER(SEARCH("[済]",INDEX(Material_Detail!$D:$DC,MATCH($A20,Material_Detail!$DE:$DE,0)+1,12))),0,IFERROR(INDEX(Material_Detail!$D:$DC,MATCH($A20,Material_Detail!$DE:$DE,0),12),0)),SUMIFS(T_Shipments[Confirmed_Qty],T_Shipments[Part Name],$A20,T_Shipments[Effective_Week],12))</f>
        <v/>
      </c>
      <c r="N20">
        <f>IF(COUNTIF(Material_Detail!$DE:$DE,$A20)&gt;0,IF(ISNUMBER(SEARCH("[済]",INDEX(Material_Detail!$D:$DC,MATCH($A20,Material_Detail!$DE:$DE,0)+1,13))),0,IFERROR(INDEX(Material_Detail!$D:$DC,MATCH($A20,Material_Detail!$DE:$DE,0),13),0)),SUMIFS(T_Shipments[Confirmed_Qty],T_Shipments[Part Name],$A20,T_Shipments[Effective_Week],13))</f>
        <v/>
      </c>
      <c r="O20">
        <f>IF(COUNTIF(Material_Detail!$DE:$DE,$A20)&gt;0,IF(ISNUMBER(SEARCH("[済]",INDEX(Material_Detail!$D:$DC,MATCH($A20,Material_Detail!$DE:$DE,0)+1,14))),0,IFERROR(INDEX(Material_Detail!$D:$DC,MATCH($A20,Material_Detail!$DE:$DE,0),14),0)),SUMIFS(T_Shipments[Confirmed_Qty],T_Shipments[Part Name],$A20,T_Shipments[Effective_Week],14))</f>
        <v/>
      </c>
      <c r="P20">
        <f>IF(COUNTIF(Material_Detail!$DE:$DE,$A20)&gt;0,IF(ISNUMBER(SEARCH("[済]",INDEX(Material_Detail!$D:$DC,MATCH($A20,Material_Detail!$DE:$DE,0)+1,15))),0,IFERROR(INDEX(Material_Detail!$D:$DC,MATCH($A20,Material_Detail!$DE:$DE,0),15),0)),SUMIFS(T_Shipments[Confirmed_Qty],T_Shipments[Part Name],$A20,T_Shipments[Effective_Week],15))</f>
        <v/>
      </c>
      <c r="Q20">
        <f>IF(COUNTIF(Material_Detail!$DE:$DE,$A20)&gt;0,IF(ISNUMBER(SEARCH("[済]",INDEX(Material_Detail!$D:$DC,MATCH($A20,Material_Detail!$DE:$DE,0)+1,16))),0,IFERROR(INDEX(Material_Detail!$D:$DC,MATCH($A20,Material_Detail!$DE:$DE,0),16),0)),SUMIFS(T_Shipments[Confirmed_Qty],T_Shipments[Part Name],$A20,T_Shipments[Effective_Week],16))</f>
        <v/>
      </c>
      <c r="R20">
        <f>IF(COUNTIF(Material_Detail!$DE:$DE,$A20)&gt;0,IF(ISNUMBER(SEARCH("[済]",INDEX(Material_Detail!$D:$DC,MATCH($A20,Material_Detail!$DE:$DE,0)+1,17))),0,IFERROR(INDEX(Material_Detail!$D:$DC,MATCH($A20,Material_Detail!$DE:$DE,0),17),0)),SUMIFS(T_Shipments[Confirmed_Qty],T_Shipments[Part Name],$A20,T_Shipments[Effective_Week],17))</f>
        <v/>
      </c>
      <c r="S20">
        <f>IF(COUNTIF(Material_Detail!$DE:$DE,$A20)&gt;0,IF(ISNUMBER(SEARCH("[済]",INDEX(Material_Detail!$D:$DC,MATCH($A20,Material_Detail!$DE:$DE,0)+1,18))),0,IFERROR(INDEX(Material_Detail!$D:$DC,MATCH($A20,Material_Detail!$DE:$DE,0),18),0)),SUMIFS(T_Shipments[Confirmed_Qty],T_Shipments[Part Name],$A20,T_Shipments[Effective_Week],18))</f>
        <v/>
      </c>
      <c r="T20">
        <f>IF(COUNTIF(Material_Detail!$DE:$DE,$A20)&gt;0,IF(ISNUMBER(SEARCH("[済]",INDEX(Material_Detail!$D:$DC,MATCH($A20,Material_Detail!$DE:$DE,0)+1,19))),0,IFERROR(INDEX(Material_Detail!$D:$DC,MATCH($A20,Material_Detail!$DE:$DE,0),19),0)),SUMIFS(T_Shipments[Confirmed_Qty],T_Shipments[Part Name],$A20,T_Shipments[Effective_Week],19))</f>
        <v/>
      </c>
      <c r="U20">
        <f>IF(COUNTIF(Material_Detail!$DE:$DE,$A20)&gt;0,IF(ISNUMBER(SEARCH("[済]",INDEX(Material_Detail!$D:$DC,MATCH($A20,Material_Detail!$DE:$DE,0)+1,20))),0,IFERROR(INDEX(Material_Detail!$D:$DC,MATCH($A20,Material_Detail!$DE:$DE,0),20),0)),SUMIFS(T_Shipments[Confirmed_Qty],T_Shipments[Part Name],$A20,T_Shipments[Effective_Week],20))</f>
        <v/>
      </c>
      <c r="V20">
        <f>IF(COUNTIF(Material_Detail!$DE:$DE,$A20)&gt;0,IF(ISNUMBER(SEARCH("[済]",INDEX(Material_Detail!$D:$DC,MATCH($A20,Material_Detail!$DE:$DE,0)+1,21))),0,IFERROR(INDEX(Material_Detail!$D:$DC,MATCH($A20,Material_Detail!$DE:$DE,0),21),0)),SUMIFS(T_Shipments[Confirmed_Qty],T_Shipments[Part Name],$A20,T_Shipments[Effective_Week],21))</f>
        <v/>
      </c>
      <c r="W20">
        <f>IF(COUNTIF(Material_Detail!$DE:$DE,$A20)&gt;0,IF(ISNUMBER(SEARCH("[済]",INDEX(Material_Detail!$D:$DC,MATCH($A20,Material_Detail!$DE:$DE,0)+1,22))),0,IFERROR(INDEX(Material_Detail!$D:$DC,MATCH($A20,Material_Detail!$DE:$DE,0),22),0)),SUMIFS(T_Shipments[Confirmed_Qty],T_Shipments[Part Name],$A20,T_Shipments[Effective_Week],22))</f>
        <v/>
      </c>
      <c r="X20">
        <f>IF(COUNTIF(Material_Detail!$DE:$DE,$A20)&gt;0,IF(ISNUMBER(SEARCH("[済]",INDEX(Material_Detail!$D:$DC,MATCH($A20,Material_Detail!$DE:$DE,0)+1,23))),0,IFERROR(INDEX(Material_Detail!$D:$DC,MATCH($A20,Material_Detail!$DE:$DE,0),23),0)),SUMIFS(T_Shipments[Confirmed_Qty],T_Shipments[Part Name],$A20,T_Shipments[Effective_Week],23))</f>
        <v/>
      </c>
      <c r="Y20">
        <f>IF(COUNTIF(Material_Detail!$DE:$DE,$A20)&gt;0,IF(ISNUMBER(SEARCH("[済]",INDEX(Material_Detail!$D:$DC,MATCH($A20,Material_Detail!$DE:$DE,0)+1,24))),0,IFERROR(INDEX(Material_Detail!$D:$DC,MATCH($A20,Material_Detail!$DE:$DE,0),24),0)),SUMIFS(T_Shipments[Confirmed_Qty],T_Shipments[Part Name],$A20,T_Shipments[Effective_Week],24))</f>
        <v/>
      </c>
      <c r="Z20">
        <f>IF(COUNTIF(Material_Detail!$DE:$DE,$A20)&gt;0,IF(ISNUMBER(SEARCH("[済]",INDEX(Material_Detail!$D:$DC,MATCH($A20,Material_Detail!$DE:$DE,0)+1,25))),0,IFERROR(INDEX(Material_Detail!$D:$DC,MATCH($A20,Material_Detail!$DE:$DE,0),25),0)),SUMIFS(T_Shipments[Confirmed_Qty],T_Shipments[Part Name],$A20,T_Shipments[Effective_Week],25))</f>
        <v/>
      </c>
      <c r="AA20">
        <f>IF(COUNTIF(Material_Detail!$DE:$DE,$A20)&gt;0,IF(ISNUMBER(SEARCH("[済]",INDEX(Material_Detail!$D:$DC,MATCH($A20,Material_Detail!$DE:$DE,0)+1,26))),0,IFERROR(INDEX(Material_Detail!$D:$DC,MATCH($A20,Material_Detail!$DE:$DE,0),26),0)),SUMIFS(T_Shipments[Confirmed_Qty],T_Shipments[Part Name],$A20,T_Shipments[Effective_Week],26))</f>
        <v/>
      </c>
      <c r="AB20">
        <f>IF(COUNTIF(Material_Detail!$DE:$DE,$A20)&gt;0,IF(ISNUMBER(SEARCH("[済]",INDEX(Material_Detail!$D:$DC,MATCH($A20,Material_Detail!$DE:$DE,0)+1,27))),0,IFERROR(INDEX(Material_Detail!$D:$DC,MATCH($A20,Material_Detail!$DE:$DE,0),27),0)),SUMIFS(T_Shipments[Confirmed_Qty],T_Shipments[Part Name],$A20,T_Shipments[Effective_Week],27))</f>
        <v/>
      </c>
      <c r="AC20">
        <f>IF(COUNTIF(Material_Detail!$DE:$DE,$A20)&gt;0,IF(ISNUMBER(SEARCH("[済]",INDEX(Material_Detail!$D:$DC,MATCH($A20,Material_Detail!$DE:$DE,0)+1,28))),0,IFERROR(INDEX(Material_Detail!$D:$DC,MATCH($A20,Material_Detail!$DE:$DE,0),28),0)),SUMIFS(T_Shipments[Confirmed_Qty],T_Shipments[Part Name],$A20,T_Shipments[Effective_Week],28))</f>
        <v/>
      </c>
      <c r="AD20">
        <f>IF(COUNTIF(Material_Detail!$DE:$DE,$A20)&gt;0,IF(ISNUMBER(SEARCH("[済]",INDEX(Material_Detail!$D:$DC,MATCH($A20,Material_Detail!$DE:$DE,0)+1,29))),0,IFERROR(INDEX(Material_Detail!$D:$DC,MATCH($A20,Material_Detail!$DE:$DE,0),29),0)),SUMIFS(T_Shipments[Confirmed_Qty],T_Shipments[Part Name],$A20,T_Shipments[Effective_Week],29))</f>
        <v/>
      </c>
      <c r="AE20">
        <f>IF(COUNTIF(Material_Detail!$DE:$DE,$A20)&gt;0,IF(ISNUMBER(SEARCH("[済]",INDEX(Material_Detail!$D:$DC,MATCH($A20,Material_Detail!$DE:$DE,0)+1,30))),0,IFERROR(INDEX(Material_Detail!$D:$DC,MATCH($A20,Material_Detail!$DE:$DE,0),30),0)),SUMIFS(T_Shipments[Confirmed_Qty],T_Shipments[Part Name],$A20,T_Shipments[Effective_Week],30))</f>
        <v/>
      </c>
      <c r="AF20">
        <f>IF(COUNTIF(Material_Detail!$DE:$DE,$A20)&gt;0,IF(ISNUMBER(SEARCH("[済]",INDEX(Material_Detail!$D:$DC,MATCH($A20,Material_Detail!$DE:$DE,0)+1,31))),0,IFERROR(INDEX(Material_Detail!$D:$DC,MATCH($A20,Material_Detail!$DE:$DE,0),31),0)),SUMIFS(T_Shipments[Confirmed_Qty],T_Shipments[Part Name],$A20,T_Shipments[Effective_Week],31))</f>
        <v/>
      </c>
      <c r="AG20">
        <f>IF(COUNTIF(Material_Detail!$DE:$DE,$A20)&gt;0,IF(ISNUMBER(SEARCH("[済]",INDEX(Material_Detail!$D:$DC,MATCH($A20,Material_Detail!$DE:$DE,0)+1,32))),0,IFERROR(INDEX(Material_Detail!$D:$DC,MATCH($A20,Material_Detail!$DE:$DE,0),32),0)),SUMIFS(T_Shipments[Confirmed_Qty],T_Shipments[Part Name],$A20,T_Shipments[Effective_Week],32))</f>
        <v/>
      </c>
      <c r="AH20">
        <f>IF(COUNTIF(Material_Detail!$DE:$DE,$A20)&gt;0,IF(ISNUMBER(SEARCH("[済]",INDEX(Material_Detail!$D:$DC,MATCH($A20,Material_Detail!$DE:$DE,0)+1,33))),0,IFERROR(INDEX(Material_Detail!$D:$DC,MATCH($A20,Material_Detail!$DE:$DE,0),33),0)),SUMIFS(T_Shipments[Confirmed_Qty],T_Shipments[Part Name],$A20,T_Shipments[Effective_Week],33))</f>
        <v/>
      </c>
      <c r="AI20">
        <f>IF(COUNTIF(Material_Detail!$DE:$DE,$A20)&gt;0,IF(ISNUMBER(SEARCH("[済]",INDEX(Material_Detail!$D:$DC,MATCH($A20,Material_Detail!$DE:$DE,0)+1,34))),0,IFERROR(INDEX(Material_Detail!$D:$DC,MATCH($A20,Material_Detail!$DE:$DE,0),34),0)),SUMIFS(T_Shipments[Confirmed_Qty],T_Shipments[Part Name],$A20,T_Shipments[Effective_Week],34))</f>
        <v/>
      </c>
      <c r="AJ20">
        <f>IF(COUNTIF(Material_Detail!$DE:$DE,$A20)&gt;0,IF(ISNUMBER(SEARCH("[済]",INDEX(Material_Detail!$D:$DC,MATCH($A20,Material_Detail!$DE:$DE,0)+1,35))),0,IFERROR(INDEX(Material_Detail!$D:$DC,MATCH($A20,Material_Detail!$DE:$DE,0),35),0)),SUMIFS(T_Shipments[Confirmed_Qty],T_Shipments[Part Name],$A20,T_Shipments[Effective_Week],35))</f>
        <v/>
      </c>
      <c r="AK20">
        <f>IF(COUNTIF(Material_Detail!$DE:$DE,$A20)&gt;0,IF(ISNUMBER(SEARCH("[済]",INDEX(Material_Detail!$D:$DC,MATCH($A20,Material_Detail!$DE:$DE,0)+1,36))),0,IFERROR(INDEX(Material_Detail!$D:$DC,MATCH($A20,Material_Detail!$DE:$DE,0),36),0)),SUMIFS(T_Shipments[Confirmed_Qty],T_Shipments[Part Name],$A20,T_Shipments[Effective_Week],36))</f>
        <v/>
      </c>
      <c r="AL20">
        <f>IF(COUNTIF(Material_Detail!$DE:$DE,$A20)&gt;0,IF(ISNUMBER(SEARCH("[済]",INDEX(Material_Detail!$D:$DC,MATCH($A20,Material_Detail!$DE:$DE,0)+1,37))),0,IFERROR(INDEX(Material_Detail!$D:$DC,MATCH($A20,Material_Detail!$DE:$DE,0),37),0)),SUMIFS(T_Shipments[Confirmed_Qty],T_Shipments[Part Name],$A20,T_Shipments[Effective_Week],37))</f>
        <v/>
      </c>
      <c r="AM20">
        <f>IF(COUNTIF(Material_Detail!$DE:$DE,$A20)&gt;0,IF(ISNUMBER(SEARCH("[済]",INDEX(Material_Detail!$D:$DC,MATCH($A20,Material_Detail!$DE:$DE,0)+1,38))),0,IFERROR(INDEX(Material_Detail!$D:$DC,MATCH($A20,Material_Detail!$DE:$DE,0),38),0)),SUMIFS(T_Shipments[Confirmed_Qty],T_Shipments[Part Name],$A20,T_Shipments[Effective_Week],38))</f>
        <v/>
      </c>
      <c r="AN20">
        <f>IF(COUNTIF(Material_Detail!$DE:$DE,$A20)&gt;0,IF(ISNUMBER(SEARCH("[済]",INDEX(Material_Detail!$D:$DC,MATCH($A20,Material_Detail!$DE:$DE,0)+1,39))),0,IFERROR(INDEX(Material_Detail!$D:$DC,MATCH($A20,Material_Detail!$DE:$DE,0),39),0)),SUMIFS(T_Shipments[Confirmed_Qty],T_Shipments[Part Name],$A20,T_Shipments[Effective_Week],39))</f>
        <v/>
      </c>
      <c r="AO20">
        <f>IF(COUNTIF(Material_Detail!$DE:$DE,$A20)&gt;0,IF(ISNUMBER(SEARCH("[済]",INDEX(Material_Detail!$D:$DC,MATCH($A20,Material_Detail!$DE:$DE,0)+1,40))),0,IFERROR(INDEX(Material_Detail!$D:$DC,MATCH($A20,Material_Detail!$DE:$DE,0),40),0)),SUMIFS(T_Shipments[Confirmed_Qty],T_Shipments[Part Name],$A20,T_Shipments[Effective_Week],40))</f>
        <v/>
      </c>
      <c r="AP20">
        <f>IF(COUNTIF(Material_Detail!$DE:$DE,$A20)&gt;0,IF(ISNUMBER(SEARCH("[済]",INDEX(Material_Detail!$D:$DC,MATCH($A20,Material_Detail!$DE:$DE,0)+1,41))),0,IFERROR(INDEX(Material_Detail!$D:$DC,MATCH($A20,Material_Detail!$DE:$DE,0),41),0)),SUMIFS(T_Shipments[Confirmed_Qty],T_Shipments[Part Name],$A20,T_Shipments[Effective_Week],41))</f>
        <v/>
      </c>
      <c r="AQ20">
        <f>IF(COUNTIF(Material_Detail!$DE:$DE,$A20)&gt;0,IF(ISNUMBER(SEARCH("[済]",INDEX(Material_Detail!$D:$DC,MATCH($A20,Material_Detail!$DE:$DE,0)+1,42))),0,IFERROR(INDEX(Material_Detail!$D:$DC,MATCH($A20,Material_Detail!$DE:$DE,0),42),0)),SUMIFS(T_Shipments[Confirmed_Qty],T_Shipments[Part Name],$A20,T_Shipments[Effective_Week],42))</f>
        <v/>
      </c>
      <c r="AR20">
        <f>IF(COUNTIF(Material_Detail!$DE:$DE,$A20)&gt;0,IF(ISNUMBER(SEARCH("[済]",INDEX(Material_Detail!$D:$DC,MATCH($A20,Material_Detail!$DE:$DE,0)+1,43))),0,IFERROR(INDEX(Material_Detail!$D:$DC,MATCH($A20,Material_Detail!$DE:$DE,0),43),0)),SUMIFS(T_Shipments[Confirmed_Qty],T_Shipments[Part Name],$A20,T_Shipments[Effective_Week],43))</f>
        <v/>
      </c>
      <c r="AS20">
        <f>IF(COUNTIF(Material_Detail!$DE:$DE,$A20)&gt;0,IF(ISNUMBER(SEARCH("[済]",INDEX(Material_Detail!$D:$DC,MATCH($A20,Material_Detail!$DE:$DE,0)+1,44))),0,IFERROR(INDEX(Material_Detail!$D:$DC,MATCH($A20,Material_Detail!$DE:$DE,0),44),0)),SUMIFS(T_Shipments[Confirmed_Qty],T_Shipments[Part Name],$A20,T_Shipments[Effective_Week],44))</f>
        <v/>
      </c>
      <c r="AT20">
        <f>IF(COUNTIF(Material_Detail!$DE:$DE,$A20)&gt;0,IF(ISNUMBER(SEARCH("[済]",INDEX(Material_Detail!$D:$DC,MATCH($A20,Material_Detail!$DE:$DE,0)+1,45))),0,IFERROR(INDEX(Material_Detail!$D:$DC,MATCH($A20,Material_Detail!$DE:$DE,0),45),0)),SUMIFS(T_Shipments[Confirmed_Qty],T_Shipments[Part Name],$A20,T_Shipments[Effective_Week],45))</f>
        <v/>
      </c>
      <c r="AU20">
        <f>IF(COUNTIF(Material_Detail!$DE:$DE,$A20)&gt;0,IF(ISNUMBER(SEARCH("[済]",INDEX(Material_Detail!$D:$DC,MATCH($A20,Material_Detail!$DE:$DE,0)+1,46))),0,IFERROR(INDEX(Material_Detail!$D:$DC,MATCH($A20,Material_Detail!$DE:$DE,0),46),0)),SUMIFS(T_Shipments[Confirmed_Qty],T_Shipments[Part Name],$A20,T_Shipments[Effective_Week],46))</f>
        <v/>
      </c>
      <c r="AV20">
        <f>IF(COUNTIF(Material_Detail!$DE:$DE,$A20)&gt;0,IF(ISNUMBER(SEARCH("[済]",INDEX(Material_Detail!$D:$DC,MATCH($A20,Material_Detail!$DE:$DE,0)+1,47))),0,IFERROR(INDEX(Material_Detail!$D:$DC,MATCH($A20,Material_Detail!$DE:$DE,0),47),0)),SUMIFS(T_Shipments[Confirmed_Qty],T_Shipments[Part Name],$A20,T_Shipments[Effective_Week],47))</f>
        <v/>
      </c>
      <c r="AW20">
        <f>IF(COUNTIF(Material_Detail!$DE:$DE,$A20)&gt;0,IF(ISNUMBER(SEARCH("[済]",INDEX(Material_Detail!$D:$DC,MATCH($A20,Material_Detail!$DE:$DE,0)+1,48))),0,IFERROR(INDEX(Material_Detail!$D:$DC,MATCH($A20,Material_Detail!$DE:$DE,0),48),0)),SUMIFS(T_Shipments[Confirmed_Qty],T_Shipments[Part Name],$A20,T_Shipments[Effective_Week],48))</f>
        <v/>
      </c>
      <c r="AX20">
        <f>IF(COUNTIF(Material_Detail!$DE:$DE,$A20)&gt;0,IF(ISNUMBER(SEARCH("[済]",INDEX(Material_Detail!$D:$DC,MATCH($A20,Material_Detail!$DE:$DE,0)+1,49))),0,IFERROR(INDEX(Material_Detail!$D:$DC,MATCH($A20,Material_Detail!$DE:$DE,0),49),0)),SUMIFS(T_Shipments[Confirmed_Qty],T_Shipments[Part Name],$A20,T_Shipments[Effective_Week],49))</f>
        <v/>
      </c>
      <c r="AY20">
        <f>IF(COUNTIF(Material_Detail!$DE:$DE,$A20)&gt;0,IF(ISNUMBER(SEARCH("[済]",INDEX(Material_Detail!$D:$DC,MATCH($A20,Material_Detail!$DE:$DE,0)+1,50))),0,IFERROR(INDEX(Material_Detail!$D:$DC,MATCH($A20,Material_Detail!$DE:$DE,0),50),0)),SUMIFS(T_Shipments[Confirmed_Qty],T_Shipments[Part Name],$A20,T_Shipments[Effective_Week],50))</f>
        <v/>
      </c>
      <c r="AZ20">
        <f>IF(COUNTIF(Material_Detail!$DE:$DE,$A20)&gt;0,IF(ISNUMBER(SEARCH("[済]",INDEX(Material_Detail!$D:$DC,MATCH($A20,Material_Detail!$DE:$DE,0)+1,51))),0,IFERROR(INDEX(Material_Detail!$D:$DC,MATCH($A20,Material_Detail!$DE:$DE,0),51),0)),SUMIFS(T_Shipments[Confirmed_Qty],T_Shipments[Part Name],$A20,T_Shipments[Effective_Week],51))</f>
        <v/>
      </c>
      <c r="BA20">
        <f>IF(COUNTIF(Material_Detail!$DE:$DE,$A20)&gt;0,IF(ISNUMBER(SEARCH("[済]",INDEX(Material_Detail!$D:$DC,MATCH($A20,Material_Detail!$DE:$DE,0)+1,52))),0,IFERROR(INDEX(Material_Detail!$D:$DC,MATCH($A20,Material_Detail!$DE:$DE,0),52),0)),SUMIFS(T_Shipments[Confirmed_Qty],T_Shipments[Part Name],$A20,T_Shipments[Effective_Week],52))</f>
        <v/>
      </c>
      <c r="BB20">
        <f>IF(COUNTIF(Material_Detail!$DE:$DE,$A20)&gt;0,IF(ISNUMBER(SEARCH("[済]",INDEX(Material_Detail!$D:$DC,MATCH($A20,Material_Detail!$DE:$DE,0)+1,53))),0,IFERROR(INDEX(Material_Detail!$D:$DC,MATCH($A20,Material_Detail!$DE:$DE,0),53),0)),SUMIFS(T_Shipments[Confirmed_Qty],T_Shipments[Part Name],$A20,T_Shipments[Effective_Week],53))</f>
        <v/>
      </c>
      <c r="BC20">
        <f>IF(COUNTIF(Material_Detail!$DE:$DE,$A20)&gt;0,IF(ISNUMBER(SEARCH("[済]",INDEX(Material_Detail!$D:$DC,MATCH($A20,Material_Detail!$DE:$DE,0)+1,54))),0,IFERROR(INDEX(Material_Detail!$D:$DC,MATCH($A20,Material_Detail!$DE:$DE,0),54),0)),SUMIFS(T_Shipments[Confirmed_Qty],T_Shipments[Part Name],$A20,T_Shipments[Effective_Week],54))</f>
        <v/>
      </c>
      <c r="BD20">
        <f>IF(COUNTIF(Material_Detail!$DE:$DE,$A20)&gt;0,IF(ISNUMBER(SEARCH("[済]",INDEX(Material_Detail!$D:$DC,MATCH($A20,Material_Detail!$DE:$DE,0)+1,55))),0,IFERROR(INDEX(Material_Detail!$D:$DC,MATCH($A20,Material_Detail!$DE:$DE,0),55),0)),SUMIFS(T_Shipments[Confirmed_Qty],T_Shipments[Part Name],$A20,T_Shipments[Effective_Week],55))</f>
        <v/>
      </c>
      <c r="BE20">
        <f>IF(COUNTIF(Material_Detail!$DE:$DE,$A20)&gt;0,IF(ISNUMBER(SEARCH("[済]",INDEX(Material_Detail!$D:$DC,MATCH($A20,Material_Detail!$DE:$DE,0)+1,56))),0,IFERROR(INDEX(Material_Detail!$D:$DC,MATCH($A20,Material_Detail!$DE:$DE,0),56),0)),SUMIFS(T_Shipments[Confirmed_Qty],T_Shipments[Part Name],$A20,T_Shipments[Effective_Week],56))</f>
        <v/>
      </c>
      <c r="BF20">
        <f>IF(COUNTIF(Material_Detail!$DE:$DE,$A20)&gt;0,IF(ISNUMBER(SEARCH("[済]",INDEX(Material_Detail!$D:$DC,MATCH($A20,Material_Detail!$DE:$DE,0)+1,57))),0,IFERROR(INDEX(Material_Detail!$D:$DC,MATCH($A20,Material_Detail!$DE:$DE,0),57),0)),SUMIFS(T_Shipments[Confirmed_Qty],T_Shipments[Part Name],$A20,T_Shipments[Effective_Week],57))</f>
        <v/>
      </c>
      <c r="BG20">
        <f>IF(COUNTIF(Material_Detail!$DE:$DE,$A20)&gt;0,IF(ISNUMBER(SEARCH("[済]",INDEX(Material_Detail!$D:$DC,MATCH($A20,Material_Detail!$DE:$DE,0)+1,58))),0,IFERROR(INDEX(Material_Detail!$D:$DC,MATCH($A20,Material_Detail!$DE:$DE,0),58),0)),SUMIFS(T_Shipments[Confirmed_Qty],T_Shipments[Part Name],$A20,T_Shipments[Effective_Week],58))</f>
        <v/>
      </c>
      <c r="BH20">
        <f>IF(COUNTIF(Material_Detail!$DE:$DE,$A20)&gt;0,IF(ISNUMBER(SEARCH("[済]",INDEX(Material_Detail!$D:$DC,MATCH($A20,Material_Detail!$DE:$DE,0)+1,59))),0,IFERROR(INDEX(Material_Detail!$D:$DC,MATCH($A20,Material_Detail!$DE:$DE,0),59),0)),SUMIFS(T_Shipments[Confirmed_Qty],T_Shipments[Part Name],$A20,T_Shipments[Effective_Week],59))</f>
        <v/>
      </c>
      <c r="BI20">
        <f>IF(COUNTIF(Material_Detail!$DE:$DE,$A20)&gt;0,IF(ISNUMBER(SEARCH("[済]",INDEX(Material_Detail!$D:$DC,MATCH($A20,Material_Detail!$DE:$DE,0)+1,60))),0,IFERROR(INDEX(Material_Detail!$D:$DC,MATCH($A20,Material_Detail!$DE:$DE,0),60),0)),SUMIFS(T_Shipments[Confirmed_Qty],T_Shipments[Part Name],$A20,T_Shipments[Effective_Week],60))</f>
        <v/>
      </c>
      <c r="BJ20">
        <f>IF(COUNTIF(Material_Detail!$DE:$DE,$A20)&gt;0,IF(ISNUMBER(SEARCH("[済]",INDEX(Material_Detail!$D:$DC,MATCH($A20,Material_Detail!$DE:$DE,0)+1,61))),0,IFERROR(INDEX(Material_Detail!$D:$DC,MATCH($A20,Material_Detail!$DE:$DE,0),61),0)),SUMIFS(T_Shipments[Confirmed_Qty],T_Shipments[Part Name],$A20,T_Shipments[Effective_Week],61))</f>
        <v/>
      </c>
      <c r="BK20">
        <f>IF(COUNTIF(Material_Detail!$DE:$DE,$A20)&gt;0,IF(ISNUMBER(SEARCH("[済]",INDEX(Material_Detail!$D:$DC,MATCH($A20,Material_Detail!$DE:$DE,0)+1,62))),0,IFERROR(INDEX(Material_Detail!$D:$DC,MATCH($A20,Material_Detail!$DE:$DE,0),62),0)),SUMIFS(T_Shipments[Confirmed_Qty],T_Shipments[Part Name],$A20,T_Shipments[Effective_Week],62))</f>
        <v/>
      </c>
      <c r="BL20">
        <f>IF(COUNTIF(Material_Detail!$DE:$DE,$A20)&gt;0,IF(ISNUMBER(SEARCH("[済]",INDEX(Material_Detail!$D:$DC,MATCH($A20,Material_Detail!$DE:$DE,0)+1,63))),0,IFERROR(INDEX(Material_Detail!$D:$DC,MATCH($A20,Material_Detail!$DE:$DE,0),63),0)),SUMIFS(T_Shipments[Confirmed_Qty],T_Shipments[Part Name],$A20,T_Shipments[Effective_Week],63))</f>
        <v/>
      </c>
      <c r="BM20">
        <f>IF(COUNTIF(Material_Detail!$DE:$DE,$A20)&gt;0,IF(ISNUMBER(SEARCH("[済]",INDEX(Material_Detail!$D:$DC,MATCH($A20,Material_Detail!$DE:$DE,0)+1,64))),0,IFERROR(INDEX(Material_Detail!$D:$DC,MATCH($A20,Material_Detail!$DE:$DE,0),64),0)),SUMIFS(T_Shipments[Confirmed_Qty],T_Shipments[Part Name],$A20,T_Shipments[Effective_Week],64))</f>
        <v/>
      </c>
      <c r="BN20">
        <f>IF(COUNTIF(Material_Detail!$DE:$DE,$A20)&gt;0,IF(ISNUMBER(SEARCH("[済]",INDEX(Material_Detail!$D:$DC,MATCH($A20,Material_Detail!$DE:$DE,0)+1,65))),0,IFERROR(INDEX(Material_Detail!$D:$DC,MATCH($A20,Material_Detail!$DE:$DE,0),65),0)),SUMIFS(T_Shipments[Confirmed_Qty],T_Shipments[Part Name],$A20,T_Shipments[Effective_Week],65))</f>
        <v/>
      </c>
      <c r="BO20">
        <f>IF(COUNTIF(Material_Detail!$DE:$DE,$A20)&gt;0,IF(ISNUMBER(SEARCH("[済]",INDEX(Material_Detail!$D:$DC,MATCH($A20,Material_Detail!$DE:$DE,0)+1,66))),0,IFERROR(INDEX(Material_Detail!$D:$DC,MATCH($A20,Material_Detail!$DE:$DE,0),66),0)),SUMIFS(T_Shipments[Confirmed_Qty],T_Shipments[Part Name],$A20,T_Shipments[Effective_Week],66))</f>
        <v/>
      </c>
      <c r="BP20">
        <f>IF(COUNTIF(Material_Detail!$DE:$DE,$A20)&gt;0,IF(ISNUMBER(SEARCH("[済]",INDEX(Material_Detail!$D:$DC,MATCH($A20,Material_Detail!$DE:$DE,0)+1,67))),0,IFERROR(INDEX(Material_Detail!$D:$DC,MATCH($A20,Material_Detail!$DE:$DE,0),67),0)),SUMIFS(T_Shipments[Confirmed_Qty],T_Shipments[Part Name],$A20,T_Shipments[Effective_Week],67))</f>
        <v/>
      </c>
      <c r="BQ20">
        <f>IF(COUNTIF(Material_Detail!$DE:$DE,$A20)&gt;0,IF(ISNUMBER(SEARCH("[済]",INDEX(Material_Detail!$D:$DC,MATCH($A20,Material_Detail!$DE:$DE,0)+1,68))),0,IFERROR(INDEX(Material_Detail!$D:$DC,MATCH($A20,Material_Detail!$DE:$DE,0),68),0)),SUMIFS(T_Shipments[Confirmed_Qty],T_Shipments[Part Name],$A20,T_Shipments[Effective_Week],68))</f>
        <v/>
      </c>
      <c r="BR20">
        <f>IF(COUNTIF(Material_Detail!$DE:$DE,$A20)&gt;0,IF(ISNUMBER(SEARCH("[済]",INDEX(Material_Detail!$D:$DC,MATCH($A20,Material_Detail!$DE:$DE,0)+1,69))),0,IFERROR(INDEX(Material_Detail!$D:$DC,MATCH($A20,Material_Detail!$DE:$DE,0),69),0)),SUMIFS(T_Shipments[Confirmed_Qty],T_Shipments[Part Name],$A20,T_Shipments[Effective_Week],69))</f>
        <v/>
      </c>
      <c r="BS20">
        <f>IF(COUNTIF(Material_Detail!$DE:$DE,$A20)&gt;0,IF(ISNUMBER(SEARCH("[済]",INDEX(Material_Detail!$D:$DC,MATCH($A20,Material_Detail!$DE:$DE,0)+1,70))),0,IFERROR(INDEX(Material_Detail!$D:$DC,MATCH($A20,Material_Detail!$DE:$DE,0),70),0)),SUMIFS(T_Shipments[Confirmed_Qty],T_Shipments[Part Name],$A20,T_Shipments[Effective_Week],70))</f>
        <v/>
      </c>
      <c r="BT20">
        <f>IF(COUNTIF(Material_Detail!$DE:$DE,$A20)&gt;0,IF(ISNUMBER(SEARCH("[済]",INDEX(Material_Detail!$D:$DC,MATCH($A20,Material_Detail!$DE:$DE,0)+1,71))),0,IFERROR(INDEX(Material_Detail!$D:$DC,MATCH($A20,Material_Detail!$DE:$DE,0),71),0)),SUMIFS(T_Shipments[Confirmed_Qty],T_Shipments[Part Name],$A20,T_Shipments[Effective_Week],71))</f>
        <v/>
      </c>
      <c r="BU20">
        <f>IF(COUNTIF(Material_Detail!$DE:$DE,$A20)&gt;0,IF(ISNUMBER(SEARCH("[済]",INDEX(Material_Detail!$D:$DC,MATCH($A20,Material_Detail!$DE:$DE,0)+1,72))),0,IFERROR(INDEX(Material_Detail!$D:$DC,MATCH($A20,Material_Detail!$DE:$DE,0),72),0)),SUMIFS(T_Shipments[Confirmed_Qty],T_Shipments[Part Name],$A20,T_Shipments[Effective_Week],72))</f>
        <v/>
      </c>
      <c r="BV20">
        <f>IF(COUNTIF(Material_Detail!$DE:$DE,$A20)&gt;0,IF(ISNUMBER(SEARCH("[済]",INDEX(Material_Detail!$D:$DC,MATCH($A20,Material_Detail!$DE:$DE,0)+1,73))),0,IFERROR(INDEX(Material_Detail!$D:$DC,MATCH($A20,Material_Detail!$DE:$DE,0),73),0)),SUMIFS(T_Shipments[Confirmed_Qty],T_Shipments[Part Name],$A20,T_Shipments[Effective_Week],73))</f>
        <v/>
      </c>
      <c r="BW20">
        <f>IF(COUNTIF(Material_Detail!$DE:$DE,$A20)&gt;0,IF(ISNUMBER(SEARCH("[済]",INDEX(Material_Detail!$D:$DC,MATCH($A20,Material_Detail!$DE:$DE,0)+1,74))),0,IFERROR(INDEX(Material_Detail!$D:$DC,MATCH($A20,Material_Detail!$DE:$DE,0),74),0)),SUMIFS(T_Shipments[Confirmed_Qty],T_Shipments[Part Name],$A20,T_Shipments[Effective_Week],74))</f>
        <v/>
      </c>
      <c r="BX20">
        <f>IF(COUNTIF(Material_Detail!$DE:$DE,$A20)&gt;0,IF(ISNUMBER(SEARCH("[済]",INDEX(Material_Detail!$D:$DC,MATCH($A20,Material_Detail!$DE:$DE,0)+1,75))),0,IFERROR(INDEX(Material_Detail!$D:$DC,MATCH($A20,Material_Detail!$DE:$DE,0),75),0)),SUMIFS(T_Shipments[Confirmed_Qty],T_Shipments[Part Name],$A20,T_Shipments[Effective_Week],75))</f>
        <v/>
      </c>
      <c r="BY20">
        <f>IF(COUNTIF(Material_Detail!$DE:$DE,$A20)&gt;0,IF(ISNUMBER(SEARCH("[済]",INDEX(Material_Detail!$D:$DC,MATCH($A20,Material_Detail!$DE:$DE,0)+1,76))),0,IFERROR(INDEX(Material_Detail!$D:$DC,MATCH($A20,Material_Detail!$DE:$DE,0),76),0)),SUMIFS(T_Shipments[Confirmed_Qty],T_Shipments[Part Name],$A20,T_Shipments[Effective_Week],76))</f>
        <v/>
      </c>
      <c r="BZ20">
        <f>IF(COUNTIF(Material_Detail!$DE:$DE,$A20)&gt;0,IF(ISNUMBER(SEARCH("[済]",INDEX(Material_Detail!$D:$DC,MATCH($A20,Material_Detail!$DE:$DE,0)+1,77))),0,IFERROR(INDEX(Material_Detail!$D:$DC,MATCH($A20,Material_Detail!$DE:$DE,0),77),0)),SUMIFS(T_Shipments[Confirmed_Qty],T_Shipments[Part Name],$A20,T_Shipments[Effective_Week],77))</f>
        <v/>
      </c>
      <c r="CA20">
        <f>IF(COUNTIF(Material_Detail!$DE:$DE,$A20)&gt;0,IF(ISNUMBER(SEARCH("[済]",INDEX(Material_Detail!$D:$DC,MATCH($A20,Material_Detail!$DE:$DE,0)+1,78))),0,IFERROR(INDEX(Material_Detail!$D:$DC,MATCH($A20,Material_Detail!$DE:$DE,0),78),0)),SUMIFS(T_Shipments[Confirmed_Qty],T_Shipments[Part Name],$A20,T_Shipments[Effective_Week],78))</f>
        <v/>
      </c>
      <c r="CB20">
        <f>IF(COUNTIF(Material_Detail!$DE:$DE,$A20)&gt;0,IF(ISNUMBER(SEARCH("[済]",INDEX(Material_Detail!$D:$DC,MATCH($A20,Material_Detail!$DE:$DE,0)+1,79))),0,IFERROR(INDEX(Material_Detail!$D:$DC,MATCH($A20,Material_Detail!$DE:$DE,0),79),0)),SUMIFS(T_Shipments[Confirmed_Qty],T_Shipments[Part Name],$A20,T_Shipments[Effective_Week],79))</f>
        <v/>
      </c>
      <c r="CC20">
        <f>IF(COUNTIF(Material_Detail!$DE:$DE,$A20)&gt;0,IF(ISNUMBER(SEARCH("[済]",INDEX(Material_Detail!$D:$DC,MATCH($A20,Material_Detail!$DE:$DE,0)+1,80))),0,IFERROR(INDEX(Material_Detail!$D:$DC,MATCH($A20,Material_Detail!$DE:$DE,0),80),0)),SUMIFS(T_Shipments[Confirmed_Qty],T_Shipments[Part Name],$A20,T_Shipments[Effective_Week],80))</f>
        <v/>
      </c>
      <c r="CD20">
        <f>IF(COUNTIF(Material_Detail!$DE:$DE,$A20)&gt;0,IF(ISNUMBER(SEARCH("[済]",INDEX(Material_Detail!$D:$DC,MATCH($A20,Material_Detail!$DE:$DE,0)+1,81))),0,IFERROR(INDEX(Material_Detail!$D:$DC,MATCH($A20,Material_Detail!$DE:$DE,0),81),0)),SUMIFS(T_Shipments[Confirmed_Qty],T_Shipments[Part Name],$A20,T_Shipments[Effective_Week],81))</f>
        <v/>
      </c>
      <c r="CE20">
        <f>IF(COUNTIF(Material_Detail!$DE:$DE,$A20)&gt;0,IF(ISNUMBER(SEARCH("[済]",INDEX(Material_Detail!$D:$DC,MATCH($A20,Material_Detail!$DE:$DE,0)+1,82))),0,IFERROR(INDEX(Material_Detail!$D:$DC,MATCH($A20,Material_Detail!$DE:$DE,0),82),0)),SUMIFS(T_Shipments[Confirmed_Qty],T_Shipments[Part Name],$A20,T_Shipments[Effective_Week],82))</f>
        <v/>
      </c>
      <c r="CF20">
        <f>IF(COUNTIF(Material_Detail!$DE:$DE,$A20)&gt;0,IF(ISNUMBER(SEARCH("[済]",INDEX(Material_Detail!$D:$DC,MATCH($A20,Material_Detail!$DE:$DE,0)+1,83))),0,IFERROR(INDEX(Material_Detail!$D:$DC,MATCH($A20,Material_Detail!$DE:$DE,0),83),0)),SUMIFS(T_Shipments[Confirmed_Qty],T_Shipments[Part Name],$A20,T_Shipments[Effective_Week],83))</f>
        <v/>
      </c>
      <c r="CG20">
        <f>IF(COUNTIF(Material_Detail!$DE:$DE,$A20)&gt;0,IF(ISNUMBER(SEARCH("[済]",INDEX(Material_Detail!$D:$DC,MATCH($A20,Material_Detail!$DE:$DE,0)+1,84))),0,IFERROR(INDEX(Material_Detail!$D:$DC,MATCH($A20,Material_Detail!$DE:$DE,0),84),0)),SUMIFS(T_Shipments[Confirmed_Qty],T_Shipments[Part Name],$A20,T_Shipments[Effective_Week],84))</f>
        <v/>
      </c>
      <c r="CH20">
        <f>IF(COUNTIF(Material_Detail!$DE:$DE,$A20)&gt;0,IF(ISNUMBER(SEARCH("[済]",INDEX(Material_Detail!$D:$DC,MATCH($A20,Material_Detail!$DE:$DE,0)+1,85))),0,IFERROR(INDEX(Material_Detail!$D:$DC,MATCH($A20,Material_Detail!$DE:$DE,0),85),0)),SUMIFS(T_Shipments[Confirmed_Qty],T_Shipments[Part Name],$A20,T_Shipments[Effective_Week],85))</f>
        <v/>
      </c>
      <c r="CI20">
        <f>IF(COUNTIF(Material_Detail!$DE:$DE,$A20)&gt;0,IF(ISNUMBER(SEARCH("[済]",INDEX(Material_Detail!$D:$DC,MATCH($A20,Material_Detail!$DE:$DE,0)+1,86))),0,IFERROR(INDEX(Material_Detail!$D:$DC,MATCH($A20,Material_Detail!$DE:$DE,0),86),0)),SUMIFS(T_Shipments[Confirmed_Qty],T_Shipments[Part Name],$A20,T_Shipments[Effective_Week],86))</f>
        <v/>
      </c>
      <c r="CJ20">
        <f>IF(COUNTIF(Material_Detail!$DE:$DE,$A20)&gt;0,IF(ISNUMBER(SEARCH("[済]",INDEX(Material_Detail!$D:$DC,MATCH($A20,Material_Detail!$DE:$DE,0)+1,87))),0,IFERROR(INDEX(Material_Detail!$D:$DC,MATCH($A20,Material_Detail!$DE:$DE,0),87),0)),SUMIFS(T_Shipments[Confirmed_Qty],T_Shipments[Part Name],$A20,T_Shipments[Effective_Week],87))</f>
        <v/>
      </c>
      <c r="CK20">
        <f>IF(COUNTIF(Material_Detail!$DE:$DE,$A20)&gt;0,IF(ISNUMBER(SEARCH("[済]",INDEX(Material_Detail!$D:$DC,MATCH($A20,Material_Detail!$DE:$DE,0)+1,88))),0,IFERROR(INDEX(Material_Detail!$D:$DC,MATCH($A20,Material_Detail!$DE:$DE,0),88),0)),SUMIFS(T_Shipments[Confirmed_Qty],T_Shipments[Part Name],$A20,T_Shipments[Effective_Week],88))</f>
        <v/>
      </c>
      <c r="CL20">
        <f>IF(COUNTIF(Material_Detail!$DE:$DE,$A20)&gt;0,IF(ISNUMBER(SEARCH("[済]",INDEX(Material_Detail!$D:$DC,MATCH($A20,Material_Detail!$DE:$DE,0)+1,89))),0,IFERROR(INDEX(Material_Detail!$D:$DC,MATCH($A20,Material_Detail!$DE:$DE,0),89),0)),SUMIFS(T_Shipments[Confirmed_Qty],T_Shipments[Part Name],$A20,T_Shipments[Effective_Week],89))</f>
        <v/>
      </c>
      <c r="CM20">
        <f>IF(COUNTIF(Material_Detail!$DE:$DE,$A20)&gt;0,IF(ISNUMBER(SEARCH("[済]",INDEX(Material_Detail!$D:$DC,MATCH($A20,Material_Detail!$DE:$DE,0)+1,90))),0,IFERROR(INDEX(Material_Detail!$D:$DC,MATCH($A20,Material_Detail!$DE:$DE,0),90),0)),SUMIFS(T_Shipments[Confirmed_Qty],T_Shipments[Part Name],$A20,T_Shipments[Effective_Week],90))</f>
        <v/>
      </c>
      <c r="CN20">
        <f>IF(COUNTIF(Material_Detail!$DE:$DE,$A20)&gt;0,IF(ISNUMBER(SEARCH("[済]",INDEX(Material_Detail!$D:$DC,MATCH($A20,Material_Detail!$DE:$DE,0)+1,91))),0,IFERROR(INDEX(Material_Detail!$D:$DC,MATCH($A20,Material_Detail!$DE:$DE,0),91),0)),SUMIFS(T_Shipments[Confirmed_Qty],T_Shipments[Part Name],$A20,T_Shipments[Effective_Week],91))</f>
        <v/>
      </c>
      <c r="CO20">
        <f>IF(COUNTIF(Material_Detail!$DE:$DE,$A20)&gt;0,IF(ISNUMBER(SEARCH("[済]",INDEX(Material_Detail!$D:$DC,MATCH($A20,Material_Detail!$DE:$DE,0)+1,92))),0,IFERROR(INDEX(Material_Detail!$D:$DC,MATCH($A20,Material_Detail!$DE:$DE,0),92),0)),SUMIFS(T_Shipments[Confirmed_Qty],T_Shipments[Part Name],$A20,T_Shipments[Effective_Week],92))</f>
        <v/>
      </c>
      <c r="CP20">
        <f>IF(COUNTIF(Material_Detail!$DE:$DE,$A20)&gt;0,IF(ISNUMBER(SEARCH("[済]",INDEX(Material_Detail!$D:$DC,MATCH($A20,Material_Detail!$DE:$DE,0)+1,93))),0,IFERROR(INDEX(Material_Detail!$D:$DC,MATCH($A20,Material_Detail!$DE:$DE,0),93),0)),SUMIFS(T_Shipments[Confirmed_Qty],T_Shipments[Part Name],$A20,T_Shipments[Effective_Week],93))</f>
        <v/>
      </c>
      <c r="CQ20">
        <f>IF(COUNTIF(Material_Detail!$DE:$DE,$A20)&gt;0,IF(ISNUMBER(SEARCH("[済]",INDEX(Material_Detail!$D:$DC,MATCH($A20,Material_Detail!$DE:$DE,0)+1,94))),0,IFERROR(INDEX(Material_Detail!$D:$DC,MATCH($A20,Material_Detail!$DE:$DE,0),94),0)),SUMIFS(T_Shipments[Confirmed_Qty],T_Shipments[Part Name],$A20,T_Shipments[Effective_Week],94))</f>
        <v/>
      </c>
      <c r="CR20">
        <f>IF(COUNTIF(Material_Detail!$DE:$DE,$A20)&gt;0,IF(ISNUMBER(SEARCH("[済]",INDEX(Material_Detail!$D:$DC,MATCH($A20,Material_Detail!$DE:$DE,0)+1,95))),0,IFERROR(INDEX(Material_Detail!$D:$DC,MATCH($A20,Material_Detail!$DE:$DE,0),95),0)),SUMIFS(T_Shipments[Confirmed_Qty],T_Shipments[Part Name],$A20,T_Shipments[Effective_Week],95))</f>
        <v/>
      </c>
      <c r="CS20">
        <f>IF(COUNTIF(Material_Detail!$DE:$DE,$A20)&gt;0,IF(ISNUMBER(SEARCH("[済]",INDEX(Material_Detail!$D:$DC,MATCH($A20,Material_Detail!$DE:$DE,0)+1,96))),0,IFERROR(INDEX(Material_Detail!$D:$DC,MATCH($A20,Material_Detail!$DE:$DE,0),96),0)),SUMIFS(T_Shipments[Confirmed_Qty],T_Shipments[Part Name],$A20,T_Shipments[Effective_Week],96))</f>
        <v/>
      </c>
      <c r="CT20">
        <f>IF(COUNTIF(Material_Detail!$DE:$DE,$A20)&gt;0,IF(ISNUMBER(SEARCH("[済]",INDEX(Material_Detail!$D:$DC,MATCH($A20,Material_Detail!$DE:$DE,0)+1,97))),0,IFERROR(INDEX(Material_Detail!$D:$DC,MATCH($A20,Material_Detail!$DE:$DE,0),97),0)),SUMIFS(T_Shipments[Confirmed_Qty],T_Shipments[Part Name],$A20,T_Shipments[Effective_Week],97))</f>
        <v/>
      </c>
      <c r="CU20">
        <f>IF(COUNTIF(Material_Detail!$DE:$DE,$A20)&gt;0,IF(ISNUMBER(SEARCH("[済]",INDEX(Material_Detail!$D:$DC,MATCH($A20,Material_Detail!$DE:$DE,0)+1,98))),0,IFERROR(INDEX(Material_Detail!$D:$DC,MATCH($A20,Material_Detail!$DE:$DE,0),98),0)),SUMIFS(T_Shipments[Confirmed_Qty],T_Shipments[Part Name],$A20,T_Shipments[Effective_Week],98))</f>
        <v/>
      </c>
      <c r="CV20">
        <f>IF(COUNTIF(Material_Detail!$DE:$DE,$A20)&gt;0,IF(ISNUMBER(SEARCH("[済]",INDEX(Material_Detail!$D:$DC,MATCH($A20,Material_Detail!$DE:$DE,0)+1,99))),0,IFERROR(INDEX(Material_Detail!$D:$DC,MATCH($A20,Material_Detail!$DE:$DE,0),99),0)),SUMIFS(T_Shipments[Confirmed_Qty],T_Shipments[Part Name],$A20,T_Shipments[Effective_Week],99))</f>
        <v/>
      </c>
      <c r="CW20">
        <f>IF(COUNTIF(Material_Detail!$DE:$DE,$A20)&gt;0,IF(ISNUMBER(SEARCH("[済]",INDEX(Material_Detail!$D:$DC,MATCH($A20,Material_Detail!$DE:$DE,0)+1,100))),0,IFERROR(INDEX(Material_Detail!$D:$DC,MATCH($A20,Material_Detail!$DE:$DE,0),100),0)),SUMIFS(T_Shipments[Confirmed_Qty],T_Shipments[Part Name],$A20,T_Shipments[Effective_Week],100))</f>
        <v/>
      </c>
      <c r="CX20">
        <f>IF(COUNTIF(Material_Detail!$DE:$DE,$A20)&gt;0,IF(ISNUMBER(SEARCH("[済]",INDEX(Material_Detail!$D:$DC,MATCH($A20,Material_Detail!$DE:$DE,0)+1,101))),0,IFERROR(INDEX(Material_Detail!$D:$DC,MATCH($A20,Material_Detail!$DE:$DE,0),101),0)),SUMIFS(T_Shipments[Confirmed_Qty],T_Shipments[Part Name],$A20,T_Shipments[Effective_Week],101))</f>
        <v/>
      </c>
      <c r="CY20">
        <f>IF(COUNTIF(Material_Detail!$DE:$DE,$A20)&gt;0,IF(ISNUMBER(SEARCH("[済]",INDEX(Material_Detail!$D:$DC,MATCH($A20,Material_Detail!$DE:$DE,0)+1,102))),0,IFERROR(INDEX(Material_Detail!$D:$DC,MATCH($A20,Material_Detail!$DE:$DE,0),102),0)),SUMIFS(T_Shipments[Confirmed_Qty],T_Shipments[Part Name],$A20,T_Shipments[Effective_Week],102))</f>
        <v/>
      </c>
      <c r="CZ20">
        <f>IF(COUNTIF(Material_Detail!$DE:$DE,$A20)&gt;0,IF(ISNUMBER(SEARCH("[済]",INDEX(Material_Detail!$D:$DC,MATCH($A20,Material_Detail!$DE:$DE,0)+1,103))),0,IFERROR(INDEX(Material_Detail!$D:$DC,MATCH($A20,Material_Detail!$DE:$DE,0),103),0)),SUMIFS(T_Shipments[Confirmed_Qty],T_Shipments[Part Name],$A20,T_Shipments[Effective_Week],103))</f>
        <v/>
      </c>
      <c r="DA20">
        <f>IF(COUNTIF(Material_Detail!$DE:$DE,$A20)&gt;0,IF(ISNUMBER(SEARCH("[済]",INDEX(Material_Detail!$D:$DC,MATCH($A20,Material_Detail!$DE:$DE,0)+1,104))),0,IFERROR(INDEX(Material_Detail!$D:$DC,MATCH($A20,Material_Detail!$DE:$DE,0),104),0)),SUMIFS(T_Shipments[Confirmed_Qty],T_Shipments[Part Name],$A20,T_Shipments[Effective_Week],104))</f>
        <v/>
      </c>
    </row>
    <row r="21">
      <c r="A21" t="inlineStr">
        <is>
          <t>1JN</t>
        </is>
      </c>
      <c r="B21">
        <f>IF(COUNTIF(Material_Detail!$DE:$DE,$A21)&gt;0,IF(ISNUMBER(SEARCH("[済]",INDEX(Material_Detail!$D:$DC,MATCH($A21,Material_Detail!$DE:$DE,0)+1,1))),0,IFERROR(INDEX(Material_Detail!$D:$DC,MATCH($A21,Material_Detail!$DE:$DE,0),1),0)),SUMIFS(T_Shipments[Confirmed_Qty],T_Shipments[Part Name],$A21,T_Shipments[Effective_Week],1))</f>
        <v/>
      </c>
      <c r="C21">
        <f>IF(COUNTIF(Material_Detail!$DE:$DE,$A21)&gt;0,IF(ISNUMBER(SEARCH("[済]",INDEX(Material_Detail!$D:$DC,MATCH($A21,Material_Detail!$DE:$DE,0)+1,2))),0,IFERROR(INDEX(Material_Detail!$D:$DC,MATCH($A21,Material_Detail!$DE:$DE,0),2),0)),SUMIFS(T_Shipments[Confirmed_Qty],T_Shipments[Part Name],$A21,T_Shipments[Effective_Week],2))</f>
        <v/>
      </c>
      <c r="D21">
        <f>IF(COUNTIF(Material_Detail!$DE:$DE,$A21)&gt;0,IF(ISNUMBER(SEARCH("[済]",INDEX(Material_Detail!$D:$DC,MATCH($A21,Material_Detail!$DE:$DE,0)+1,3))),0,IFERROR(INDEX(Material_Detail!$D:$DC,MATCH($A21,Material_Detail!$DE:$DE,0),3),0)),SUMIFS(T_Shipments[Confirmed_Qty],T_Shipments[Part Name],$A21,T_Shipments[Effective_Week],3))</f>
        <v/>
      </c>
      <c r="E21">
        <f>IF(COUNTIF(Material_Detail!$DE:$DE,$A21)&gt;0,IF(ISNUMBER(SEARCH("[済]",INDEX(Material_Detail!$D:$DC,MATCH($A21,Material_Detail!$DE:$DE,0)+1,4))),0,IFERROR(INDEX(Material_Detail!$D:$DC,MATCH($A21,Material_Detail!$DE:$DE,0),4),0)),SUMIFS(T_Shipments[Confirmed_Qty],T_Shipments[Part Name],$A21,T_Shipments[Effective_Week],4))</f>
        <v/>
      </c>
      <c r="F21">
        <f>IF(COUNTIF(Material_Detail!$DE:$DE,$A21)&gt;0,IF(ISNUMBER(SEARCH("[済]",INDEX(Material_Detail!$D:$DC,MATCH($A21,Material_Detail!$DE:$DE,0)+1,5))),0,IFERROR(INDEX(Material_Detail!$D:$DC,MATCH($A21,Material_Detail!$DE:$DE,0),5),0)),SUMIFS(T_Shipments[Confirmed_Qty],T_Shipments[Part Name],$A21,T_Shipments[Effective_Week],5))</f>
        <v/>
      </c>
      <c r="G21">
        <f>IF(COUNTIF(Material_Detail!$DE:$DE,$A21)&gt;0,IF(ISNUMBER(SEARCH("[済]",INDEX(Material_Detail!$D:$DC,MATCH($A21,Material_Detail!$DE:$DE,0)+1,6))),0,IFERROR(INDEX(Material_Detail!$D:$DC,MATCH($A21,Material_Detail!$DE:$DE,0),6),0)),SUMIFS(T_Shipments[Confirmed_Qty],T_Shipments[Part Name],$A21,T_Shipments[Effective_Week],6))</f>
        <v/>
      </c>
      <c r="H21">
        <f>IF(COUNTIF(Material_Detail!$DE:$DE,$A21)&gt;0,IF(ISNUMBER(SEARCH("[済]",INDEX(Material_Detail!$D:$DC,MATCH($A21,Material_Detail!$DE:$DE,0)+1,7))),0,IFERROR(INDEX(Material_Detail!$D:$DC,MATCH($A21,Material_Detail!$DE:$DE,0),7),0)),SUMIFS(T_Shipments[Confirmed_Qty],T_Shipments[Part Name],$A21,T_Shipments[Effective_Week],7))</f>
        <v/>
      </c>
      <c r="I21">
        <f>IF(COUNTIF(Material_Detail!$DE:$DE,$A21)&gt;0,IF(ISNUMBER(SEARCH("[済]",INDEX(Material_Detail!$D:$DC,MATCH($A21,Material_Detail!$DE:$DE,0)+1,8))),0,IFERROR(INDEX(Material_Detail!$D:$DC,MATCH($A21,Material_Detail!$DE:$DE,0),8),0)),SUMIFS(T_Shipments[Confirmed_Qty],T_Shipments[Part Name],$A21,T_Shipments[Effective_Week],8))</f>
        <v/>
      </c>
      <c r="J21">
        <f>IF(COUNTIF(Material_Detail!$DE:$DE,$A21)&gt;0,IF(ISNUMBER(SEARCH("[済]",INDEX(Material_Detail!$D:$DC,MATCH($A21,Material_Detail!$DE:$DE,0)+1,9))),0,IFERROR(INDEX(Material_Detail!$D:$DC,MATCH($A21,Material_Detail!$DE:$DE,0),9),0)),SUMIFS(T_Shipments[Confirmed_Qty],T_Shipments[Part Name],$A21,T_Shipments[Effective_Week],9))</f>
        <v/>
      </c>
      <c r="K21">
        <f>IF(COUNTIF(Material_Detail!$DE:$DE,$A21)&gt;0,IF(ISNUMBER(SEARCH("[済]",INDEX(Material_Detail!$D:$DC,MATCH($A21,Material_Detail!$DE:$DE,0)+1,10))),0,IFERROR(INDEX(Material_Detail!$D:$DC,MATCH($A21,Material_Detail!$DE:$DE,0),10),0)),SUMIFS(T_Shipments[Confirmed_Qty],T_Shipments[Part Name],$A21,T_Shipments[Effective_Week],10))</f>
        <v/>
      </c>
      <c r="L21">
        <f>IF(COUNTIF(Material_Detail!$DE:$DE,$A21)&gt;0,IF(ISNUMBER(SEARCH("[済]",INDEX(Material_Detail!$D:$DC,MATCH($A21,Material_Detail!$DE:$DE,0)+1,11))),0,IFERROR(INDEX(Material_Detail!$D:$DC,MATCH($A21,Material_Detail!$DE:$DE,0),11),0)),SUMIFS(T_Shipments[Confirmed_Qty],T_Shipments[Part Name],$A21,T_Shipments[Effective_Week],11))</f>
        <v/>
      </c>
      <c r="M21">
        <f>IF(COUNTIF(Material_Detail!$DE:$DE,$A21)&gt;0,IF(ISNUMBER(SEARCH("[済]",INDEX(Material_Detail!$D:$DC,MATCH($A21,Material_Detail!$DE:$DE,0)+1,12))),0,IFERROR(INDEX(Material_Detail!$D:$DC,MATCH($A21,Material_Detail!$DE:$DE,0),12),0)),SUMIFS(T_Shipments[Confirmed_Qty],T_Shipments[Part Name],$A21,T_Shipments[Effective_Week],12))</f>
        <v/>
      </c>
      <c r="N21">
        <f>IF(COUNTIF(Material_Detail!$DE:$DE,$A21)&gt;0,IF(ISNUMBER(SEARCH("[済]",INDEX(Material_Detail!$D:$DC,MATCH($A21,Material_Detail!$DE:$DE,0)+1,13))),0,IFERROR(INDEX(Material_Detail!$D:$DC,MATCH($A21,Material_Detail!$DE:$DE,0),13),0)),SUMIFS(T_Shipments[Confirmed_Qty],T_Shipments[Part Name],$A21,T_Shipments[Effective_Week],13))</f>
        <v/>
      </c>
      <c r="O21">
        <f>IF(COUNTIF(Material_Detail!$DE:$DE,$A21)&gt;0,IF(ISNUMBER(SEARCH("[済]",INDEX(Material_Detail!$D:$DC,MATCH($A21,Material_Detail!$DE:$DE,0)+1,14))),0,IFERROR(INDEX(Material_Detail!$D:$DC,MATCH($A21,Material_Detail!$DE:$DE,0),14),0)),SUMIFS(T_Shipments[Confirmed_Qty],T_Shipments[Part Name],$A21,T_Shipments[Effective_Week],14))</f>
        <v/>
      </c>
      <c r="P21">
        <f>IF(COUNTIF(Material_Detail!$DE:$DE,$A21)&gt;0,IF(ISNUMBER(SEARCH("[済]",INDEX(Material_Detail!$D:$DC,MATCH($A21,Material_Detail!$DE:$DE,0)+1,15))),0,IFERROR(INDEX(Material_Detail!$D:$DC,MATCH($A21,Material_Detail!$DE:$DE,0),15),0)),SUMIFS(T_Shipments[Confirmed_Qty],T_Shipments[Part Name],$A21,T_Shipments[Effective_Week],15))</f>
        <v/>
      </c>
      <c r="Q21">
        <f>IF(COUNTIF(Material_Detail!$DE:$DE,$A21)&gt;0,IF(ISNUMBER(SEARCH("[済]",INDEX(Material_Detail!$D:$DC,MATCH($A21,Material_Detail!$DE:$DE,0)+1,16))),0,IFERROR(INDEX(Material_Detail!$D:$DC,MATCH($A21,Material_Detail!$DE:$DE,0),16),0)),SUMIFS(T_Shipments[Confirmed_Qty],T_Shipments[Part Name],$A21,T_Shipments[Effective_Week],16))</f>
        <v/>
      </c>
      <c r="R21">
        <f>IF(COUNTIF(Material_Detail!$DE:$DE,$A21)&gt;0,IF(ISNUMBER(SEARCH("[済]",INDEX(Material_Detail!$D:$DC,MATCH($A21,Material_Detail!$DE:$DE,0)+1,17))),0,IFERROR(INDEX(Material_Detail!$D:$DC,MATCH($A21,Material_Detail!$DE:$DE,0),17),0)),SUMIFS(T_Shipments[Confirmed_Qty],T_Shipments[Part Name],$A21,T_Shipments[Effective_Week],17))</f>
        <v/>
      </c>
      <c r="S21">
        <f>IF(COUNTIF(Material_Detail!$DE:$DE,$A21)&gt;0,IF(ISNUMBER(SEARCH("[済]",INDEX(Material_Detail!$D:$DC,MATCH($A21,Material_Detail!$DE:$DE,0)+1,18))),0,IFERROR(INDEX(Material_Detail!$D:$DC,MATCH($A21,Material_Detail!$DE:$DE,0),18),0)),SUMIFS(T_Shipments[Confirmed_Qty],T_Shipments[Part Name],$A21,T_Shipments[Effective_Week],18))</f>
        <v/>
      </c>
      <c r="T21">
        <f>IF(COUNTIF(Material_Detail!$DE:$DE,$A21)&gt;0,IF(ISNUMBER(SEARCH("[済]",INDEX(Material_Detail!$D:$DC,MATCH($A21,Material_Detail!$DE:$DE,0)+1,19))),0,IFERROR(INDEX(Material_Detail!$D:$DC,MATCH($A21,Material_Detail!$DE:$DE,0),19),0)),SUMIFS(T_Shipments[Confirmed_Qty],T_Shipments[Part Name],$A21,T_Shipments[Effective_Week],19))</f>
        <v/>
      </c>
      <c r="U21">
        <f>IF(COUNTIF(Material_Detail!$DE:$DE,$A21)&gt;0,IF(ISNUMBER(SEARCH("[済]",INDEX(Material_Detail!$D:$DC,MATCH($A21,Material_Detail!$DE:$DE,0)+1,20))),0,IFERROR(INDEX(Material_Detail!$D:$DC,MATCH($A21,Material_Detail!$DE:$DE,0),20),0)),SUMIFS(T_Shipments[Confirmed_Qty],T_Shipments[Part Name],$A21,T_Shipments[Effective_Week],20))</f>
        <v/>
      </c>
      <c r="V21">
        <f>IF(COUNTIF(Material_Detail!$DE:$DE,$A21)&gt;0,IF(ISNUMBER(SEARCH("[済]",INDEX(Material_Detail!$D:$DC,MATCH($A21,Material_Detail!$DE:$DE,0)+1,21))),0,IFERROR(INDEX(Material_Detail!$D:$DC,MATCH($A21,Material_Detail!$DE:$DE,0),21),0)),SUMIFS(T_Shipments[Confirmed_Qty],T_Shipments[Part Name],$A21,T_Shipments[Effective_Week],21))</f>
        <v/>
      </c>
      <c r="W21">
        <f>IF(COUNTIF(Material_Detail!$DE:$DE,$A21)&gt;0,IF(ISNUMBER(SEARCH("[済]",INDEX(Material_Detail!$D:$DC,MATCH($A21,Material_Detail!$DE:$DE,0)+1,22))),0,IFERROR(INDEX(Material_Detail!$D:$DC,MATCH($A21,Material_Detail!$DE:$DE,0),22),0)),SUMIFS(T_Shipments[Confirmed_Qty],T_Shipments[Part Name],$A21,T_Shipments[Effective_Week],22))</f>
        <v/>
      </c>
      <c r="X21">
        <f>IF(COUNTIF(Material_Detail!$DE:$DE,$A21)&gt;0,IF(ISNUMBER(SEARCH("[済]",INDEX(Material_Detail!$D:$DC,MATCH($A21,Material_Detail!$DE:$DE,0)+1,23))),0,IFERROR(INDEX(Material_Detail!$D:$DC,MATCH($A21,Material_Detail!$DE:$DE,0),23),0)),SUMIFS(T_Shipments[Confirmed_Qty],T_Shipments[Part Name],$A21,T_Shipments[Effective_Week],23))</f>
        <v/>
      </c>
      <c r="Y21">
        <f>IF(COUNTIF(Material_Detail!$DE:$DE,$A21)&gt;0,IF(ISNUMBER(SEARCH("[済]",INDEX(Material_Detail!$D:$DC,MATCH($A21,Material_Detail!$DE:$DE,0)+1,24))),0,IFERROR(INDEX(Material_Detail!$D:$DC,MATCH($A21,Material_Detail!$DE:$DE,0),24),0)),SUMIFS(T_Shipments[Confirmed_Qty],T_Shipments[Part Name],$A21,T_Shipments[Effective_Week],24))</f>
        <v/>
      </c>
      <c r="Z21">
        <f>IF(COUNTIF(Material_Detail!$DE:$DE,$A21)&gt;0,IF(ISNUMBER(SEARCH("[済]",INDEX(Material_Detail!$D:$DC,MATCH($A21,Material_Detail!$DE:$DE,0)+1,25))),0,IFERROR(INDEX(Material_Detail!$D:$DC,MATCH($A21,Material_Detail!$DE:$DE,0),25),0)),SUMIFS(T_Shipments[Confirmed_Qty],T_Shipments[Part Name],$A21,T_Shipments[Effective_Week],25))</f>
        <v/>
      </c>
      <c r="AA21">
        <f>IF(COUNTIF(Material_Detail!$DE:$DE,$A21)&gt;0,IF(ISNUMBER(SEARCH("[済]",INDEX(Material_Detail!$D:$DC,MATCH($A21,Material_Detail!$DE:$DE,0)+1,26))),0,IFERROR(INDEX(Material_Detail!$D:$DC,MATCH($A21,Material_Detail!$DE:$DE,0),26),0)),SUMIFS(T_Shipments[Confirmed_Qty],T_Shipments[Part Name],$A21,T_Shipments[Effective_Week],26))</f>
        <v/>
      </c>
      <c r="AB21">
        <f>IF(COUNTIF(Material_Detail!$DE:$DE,$A21)&gt;0,IF(ISNUMBER(SEARCH("[済]",INDEX(Material_Detail!$D:$DC,MATCH($A21,Material_Detail!$DE:$DE,0)+1,27))),0,IFERROR(INDEX(Material_Detail!$D:$DC,MATCH($A21,Material_Detail!$DE:$DE,0),27),0)),SUMIFS(T_Shipments[Confirmed_Qty],T_Shipments[Part Name],$A21,T_Shipments[Effective_Week],27))</f>
        <v/>
      </c>
      <c r="AC21">
        <f>IF(COUNTIF(Material_Detail!$DE:$DE,$A21)&gt;0,IF(ISNUMBER(SEARCH("[済]",INDEX(Material_Detail!$D:$DC,MATCH($A21,Material_Detail!$DE:$DE,0)+1,28))),0,IFERROR(INDEX(Material_Detail!$D:$DC,MATCH($A21,Material_Detail!$DE:$DE,0),28),0)),SUMIFS(T_Shipments[Confirmed_Qty],T_Shipments[Part Name],$A21,T_Shipments[Effective_Week],28))</f>
        <v/>
      </c>
      <c r="AD21">
        <f>IF(COUNTIF(Material_Detail!$DE:$DE,$A21)&gt;0,IF(ISNUMBER(SEARCH("[済]",INDEX(Material_Detail!$D:$DC,MATCH($A21,Material_Detail!$DE:$DE,0)+1,29))),0,IFERROR(INDEX(Material_Detail!$D:$DC,MATCH($A21,Material_Detail!$DE:$DE,0),29),0)),SUMIFS(T_Shipments[Confirmed_Qty],T_Shipments[Part Name],$A21,T_Shipments[Effective_Week],29))</f>
        <v/>
      </c>
      <c r="AE21">
        <f>IF(COUNTIF(Material_Detail!$DE:$DE,$A21)&gt;0,IF(ISNUMBER(SEARCH("[済]",INDEX(Material_Detail!$D:$DC,MATCH($A21,Material_Detail!$DE:$DE,0)+1,30))),0,IFERROR(INDEX(Material_Detail!$D:$DC,MATCH($A21,Material_Detail!$DE:$DE,0),30),0)),SUMIFS(T_Shipments[Confirmed_Qty],T_Shipments[Part Name],$A21,T_Shipments[Effective_Week],30))</f>
        <v/>
      </c>
      <c r="AF21">
        <f>IF(COUNTIF(Material_Detail!$DE:$DE,$A21)&gt;0,IF(ISNUMBER(SEARCH("[済]",INDEX(Material_Detail!$D:$DC,MATCH($A21,Material_Detail!$DE:$DE,0)+1,31))),0,IFERROR(INDEX(Material_Detail!$D:$DC,MATCH($A21,Material_Detail!$DE:$DE,0),31),0)),SUMIFS(T_Shipments[Confirmed_Qty],T_Shipments[Part Name],$A21,T_Shipments[Effective_Week],31))</f>
        <v/>
      </c>
      <c r="AG21">
        <f>IF(COUNTIF(Material_Detail!$DE:$DE,$A21)&gt;0,IF(ISNUMBER(SEARCH("[済]",INDEX(Material_Detail!$D:$DC,MATCH($A21,Material_Detail!$DE:$DE,0)+1,32))),0,IFERROR(INDEX(Material_Detail!$D:$DC,MATCH($A21,Material_Detail!$DE:$DE,0),32),0)),SUMIFS(T_Shipments[Confirmed_Qty],T_Shipments[Part Name],$A21,T_Shipments[Effective_Week],32))</f>
        <v/>
      </c>
      <c r="AH21">
        <f>IF(COUNTIF(Material_Detail!$DE:$DE,$A21)&gt;0,IF(ISNUMBER(SEARCH("[済]",INDEX(Material_Detail!$D:$DC,MATCH($A21,Material_Detail!$DE:$DE,0)+1,33))),0,IFERROR(INDEX(Material_Detail!$D:$DC,MATCH($A21,Material_Detail!$DE:$DE,0),33),0)),SUMIFS(T_Shipments[Confirmed_Qty],T_Shipments[Part Name],$A21,T_Shipments[Effective_Week],33))</f>
        <v/>
      </c>
      <c r="AI21">
        <f>IF(COUNTIF(Material_Detail!$DE:$DE,$A21)&gt;0,IF(ISNUMBER(SEARCH("[済]",INDEX(Material_Detail!$D:$DC,MATCH($A21,Material_Detail!$DE:$DE,0)+1,34))),0,IFERROR(INDEX(Material_Detail!$D:$DC,MATCH($A21,Material_Detail!$DE:$DE,0),34),0)),SUMIFS(T_Shipments[Confirmed_Qty],T_Shipments[Part Name],$A21,T_Shipments[Effective_Week],34))</f>
        <v/>
      </c>
      <c r="AJ21">
        <f>IF(COUNTIF(Material_Detail!$DE:$DE,$A21)&gt;0,IF(ISNUMBER(SEARCH("[済]",INDEX(Material_Detail!$D:$DC,MATCH($A21,Material_Detail!$DE:$DE,0)+1,35))),0,IFERROR(INDEX(Material_Detail!$D:$DC,MATCH($A21,Material_Detail!$DE:$DE,0),35),0)),SUMIFS(T_Shipments[Confirmed_Qty],T_Shipments[Part Name],$A21,T_Shipments[Effective_Week],35))</f>
        <v/>
      </c>
      <c r="AK21">
        <f>IF(COUNTIF(Material_Detail!$DE:$DE,$A21)&gt;0,IF(ISNUMBER(SEARCH("[済]",INDEX(Material_Detail!$D:$DC,MATCH($A21,Material_Detail!$DE:$DE,0)+1,36))),0,IFERROR(INDEX(Material_Detail!$D:$DC,MATCH($A21,Material_Detail!$DE:$DE,0),36),0)),SUMIFS(T_Shipments[Confirmed_Qty],T_Shipments[Part Name],$A21,T_Shipments[Effective_Week],36))</f>
        <v/>
      </c>
      <c r="AL21">
        <f>IF(COUNTIF(Material_Detail!$DE:$DE,$A21)&gt;0,IF(ISNUMBER(SEARCH("[済]",INDEX(Material_Detail!$D:$DC,MATCH($A21,Material_Detail!$DE:$DE,0)+1,37))),0,IFERROR(INDEX(Material_Detail!$D:$DC,MATCH($A21,Material_Detail!$DE:$DE,0),37),0)),SUMIFS(T_Shipments[Confirmed_Qty],T_Shipments[Part Name],$A21,T_Shipments[Effective_Week],37))</f>
        <v/>
      </c>
      <c r="AM21">
        <f>IF(COUNTIF(Material_Detail!$DE:$DE,$A21)&gt;0,IF(ISNUMBER(SEARCH("[済]",INDEX(Material_Detail!$D:$DC,MATCH($A21,Material_Detail!$DE:$DE,0)+1,38))),0,IFERROR(INDEX(Material_Detail!$D:$DC,MATCH($A21,Material_Detail!$DE:$DE,0),38),0)),SUMIFS(T_Shipments[Confirmed_Qty],T_Shipments[Part Name],$A21,T_Shipments[Effective_Week],38))</f>
        <v/>
      </c>
      <c r="AN21">
        <f>IF(COUNTIF(Material_Detail!$DE:$DE,$A21)&gt;0,IF(ISNUMBER(SEARCH("[済]",INDEX(Material_Detail!$D:$DC,MATCH($A21,Material_Detail!$DE:$DE,0)+1,39))),0,IFERROR(INDEX(Material_Detail!$D:$DC,MATCH($A21,Material_Detail!$DE:$DE,0),39),0)),SUMIFS(T_Shipments[Confirmed_Qty],T_Shipments[Part Name],$A21,T_Shipments[Effective_Week],39))</f>
        <v/>
      </c>
      <c r="AO21">
        <f>IF(COUNTIF(Material_Detail!$DE:$DE,$A21)&gt;0,IF(ISNUMBER(SEARCH("[済]",INDEX(Material_Detail!$D:$DC,MATCH($A21,Material_Detail!$DE:$DE,0)+1,40))),0,IFERROR(INDEX(Material_Detail!$D:$DC,MATCH($A21,Material_Detail!$DE:$DE,0),40),0)),SUMIFS(T_Shipments[Confirmed_Qty],T_Shipments[Part Name],$A21,T_Shipments[Effective_Week],40))</f>
        <v/>
      </c>
      <c r="AP21">
        <f>IF(COUNTIF(Material_Detail!$DE:$DE,$A21)&gt;0,IF(ISNUMBER(SEARCH("[済]",INDEX(Material_Detail!$D:$DC,MATCH($A21,Material_Detail!$DE:$DE,0)+1,41))),0,IFERROR(INDEX(Material_Detail!$D:$DC,MATCH($A21,Material_Detail!$DE:$DE,0),41),0)),SUMIFS(T_Shipments[Confirmed_Qty],T_Shipments[Part Name],$A21,T_Shipments[Effective_Week],41))</f>
        <v/>
      </c>
      <c r="AQ21">
        <f>IF(COUNTIF(Material_Detail!$DE:$DE,$A21)&gt;0,IF(ISNUMBER(SEARCH("[済]",INDEX(Material_Detail!$D:$DC,MATCH($A21,Material_Detail!$DE:$DE,0)+1,42))),0,IFERROR(INDEX(Material_Detail!$D:$DC,MATCH($A21,Material_Detail!$DE:$DE,0),42),0)),SUMIFS(T_Shipments[Confirmed_Qty],T_Shipments[Part Name],$A21,T_Shipments[Effective_Week],42))</f>
        <v/>
      </c>
      <c r="AR21">
        <f>IF(COUNTIF(Material_Detail!$DE:$DE,$A21)&gt;0,IF(ISNUMBER(SEARCH("[済]",INDEX(Material_Detail!$D:$DC,MATCH($A21,Material_Detail!$DE:$DE,0)+1,43))),0,IFERROR(INDEX(Material_Detail!$D:$DC,MATCH($A21,Material_Detail!$DE:$DE,0),43),0)),SUMIFS(T_Shipments[Confirmed_Qty],T_Shipments[Part Name],$A21,T_Shipments[Effective_Week],43))</f>
        <v/>
      </c>
      <c r="AS21">
        <f>IF(COUNTIF(Material_Detail!$DE:$DE,$A21)&gt;0,IF(ISNUMBER(SEARCH("[済]",INDEX(Material_Detail!$D:$DC,MATCH($A21,Material_Detail!$DE:$DE,0)+1,44))),0,IFERROR(INDEX(Material_Detail!$D:$DC,MATCH($A21,Material_Detail!$DE:$DE,0),44),0)),SUMIFS(T_Shipments[Confirmed_Qty],T_Shipments[Part Name],$A21,T_Shipments[Effective_Week],44))</f>
        <v/>
      </c>
      <c r="AT21">
        <f>IF(COUNTIF(Material_Detail!$DE:$DE,$A21)&gt;0,IF(ISNUMBER(SEARCH("[済]",INDEX(Material_Detail!$D:$DC,MATCH($A21,Material_Detail!$DE:$DE,0)+1,45))),0,IFERROR(INDEX(Material_Detail!$D:$DC,MATCH($A21,Material_Detail!$DE:$DE,0),45),0)),SUMIFS(T_Shipments[Confirmed_Qty],T_Shipments[Part Name],$A21,T_Shipments[Effective_Week],45))</f>
        <v/>
      </c>
      <c r="AU21">
        <f>IF(COUNTIF(Material_Detail!$DE:$DE,$A21)&gt;0,IF(ISNUMBER(SEARCH("[済]",INDEX(Material_Detail!$D:$DC,MATCH($A21,Material_Detail!$DE:$DE,0)+1,46))),0,IFERROR(INDEX(Material_Detail!$D:$DC,MATCH($A21,Material_Detail!$DE:$DE,0),46),0)),SUMIFS(T_Shipments[Confirmed_Qty],T_Shipments[Part Name],$A21,T_Shipments[Effective_Week],46))</f>
        <v/>
      </c>
      <c r="AV21">
        <f>IF(COUNTIF(Material_Detail!$DE:$DE,$A21)&gt;0,IF(ISNUMBER(SEARCH("[済]",INDEX(Material_Detail!$D:$DC,MATCH($A21,Material_Detail!$DE:$DE,0)+1,47))),0,IFERROR(INDEX(Material_Detail!$D:$DC,MATCH($A21,Material_Detail!$DE:$DE,0),47),0)),SUMIFS(T_Shipments[Confirmed_Qty],T_Shipments[Part Name],$A21,T_Shipments[Effective_Week],47))</f>
        <v/>
      </c>
      <c r="AW21">
        <f>IF(COUNTIF(Material_Detail!$DE:$DE,$A21)&gt;0,IF(ISNUMBER(SEARCH("[済]",INDEX(Material_Detail!$D:$DC,MATCH($A21,Material_Detail!$DE:$DE,0)+1,48))),0,IFERROR(INDEX(Material_Detail!$D:$DC,MATCH($A21,Material_Detail!$DE:$DE,0),48),0)),SUMIFS(T_Shipments[Confirmed_Qty],T_Shipments[Part Name],$A21,T_Shipments[Effective_Week],48))</f>
        <v/>
      </c>
      <c r="AX21">
        <f>IF(COUNTIF(Material_Detail!$DE:$DE,$A21)&gt;0,IF(ISNUMBER(SEARCH("[済]",INDEX(Material_Detail!$D:$DC,MATCH($A21,Material_Detail!$DE:$DE,0)+1,49))),0,IFERROR(INDEX(Material_Detail!$D:$DC,MATCH($A21,Material_Detail!$DE:$DE,0),49),0)),SUMIFS(T_Shipments[Confirmed_Qty],T_Shipments[Part Name],$A21,T_Shipments[Effective_Week],49))</f>
        <v/>
      </c>
      <c r="AY21">
        <f>IF(COUNTIF(Material_Detail!$DE:$DE,$A21)&gt;0,IF(ISNUMBER(SEARCH("[済]",INDEX(Material_Detail!$D:$DC,MATCH($A21,Material_Detail!$DE:$DE,0)+1,50))),0,IFERROR(INDEX(Material_Detail!$D:$DC,MATCH($A21,Material_Detail!$DE:$DE,0),50),0)),SUMIFS(T_Shipments[Confirmed_Qty],T_Shipments[Part Name],$A21,T_Shipments[Effective_Week],50))</f>
        <v/>
      </c>
      <c r="AZ21">
        <f>IF(COUNTIF(Material_Detail!$DE:$DE,$A21)&gt;0,IF(ISNUMBER(SEARCH("[済]",INDEX(Material_Detail!$D:$DC,MATCH($A21,Material_Detail!$DE:$DE,0)+1,51))),0,IFERROR(INDEX(Material_Detail!$D:$DC,MATCH($A21,Material_Detail!$DE:$DE,0),51),0)),SUMIFS(T_Shipments[Confirmed_Qty],T_Shipments[Part Name],$A21,T_Shipments[Effective_Week],51))</f>
        <v/>
      </c>
      <c r="BA21">
        <f>IF(COUNTIF(Material_Detail!$DE:$DE,$A21)&gt;0,IF(ISNUMBER(SEARCH("[済]",INDEX(Material_Detail!$D:$DC,MATCH($A21,Material_Detail!$DE:$DE,0)+1,52))),0,IFERROR(INDEX(Material_Detail!$D:$DC,MATCH($A21,Material_Detail!$DE:$DE,0),52),0)),SUMIFS(T_Shipments[Confirmed_Qty],T_Shipments[Part Name],$A21,T_Shipments[Effective_Week],52))</f>
        <v/>
      </c>
      <c r="BB21">
        <f>IF(COUNTIF(Material_Detail!$DE:$DE,$A21)&gt;0,IF(ISNUMBER(SEARCH("[済]",INDEX(Material_Detail!$D:$DC,MATCH($A21,Material_Detail!$DE:$DE,0)+1,53))),0,IFERROR(INDEX(Material_Detail!$D:$DC,MATCH($A21,Material_Detail!$DE:$DE,0),53),0)),SUMIFS(T_Shipments[Confirmed_Qty],T_Shipments[Part Name],$A21,T_Shipments[Effective_Week],53))</f>
        <v/>
      </c>
      <c r="BC21">
        <f>IF(COUNTIF(Material_Detail!$DE:$DE,$A21)&gt;0,IF(ISNUMBER(SEARCH("[済]",INDEX(Material_Detail!$D:$DC,MATCH($A21,Material_Detail!$DE:$DE,0)+1,54))),0,IFERROR(INDEX(Material_Detail!$D:$DC,MATCH($A21,Material_Detail!$DE:$DE,0),54),0)),SUMIFS(T_Shipments[Confirmed_Qty],T_Shipments[Part Name],$A21,T_Shipments[Effective_Week],54))</f>
        <v/>
      </c>
      <c r="BD21">
        <f>IF(COUNTIF(Material_Detail!$DE:$DE,$A21)&gt;0,IF(ISNUMBER(SEARCH("[済]",INDEX(Material_Detail!$D:$DC,MATCH($A21,Material_Detail!$DE:$DE,0)+1,55))),0,IFERROR(INDEX(Material_Detail!$D:$DC,MATCH($A21,Material_Detail!$DE:$DE,0),55),0)),SUMIFS(T_Shipments[Confirmed_Qty],T_Shipments[Part Name],$A21,T_Shipments[Effective_Week],55))</f>
        <v/>
      </c>
      <c r="BE21">
        <f>IF(COUNTIF(Material_Detail!$DE:$DE,$A21)&gt;0,IF(ISNUMBER(SEARCH("[済]",INDEX(Material_Detail!$D:$DC,MATCH($A21,Material_Detail!$DE:$DE,0)+1,56))),0,IFERROR(INDEX(Material_Detail!$D:$DC,MATCH($A21,Material_Detail!$DE:$DE,0),56),0)),SUMIFS(T_Shipments[Confirmed_Qty],T_Shipments[Part Name],$A21,T_Shipments[Effective_Week],56))</f>
        <v/>
      </c>
      <c r="BF21">
        <f>IF(COUNTIF(Material_Detail!$DE:$DE,$A21)&gt;0,IF(ISNUMBER(SEARCH("[済]",INDEX(Material_Detail!$D:$DC,MATCH($A21,Material_Detail!$DE:$DE,0)+1,57))),0,IFERROR(INDEX(Material_Detail!$D:$DC,MATCH($A21,Material_Detail!$DE:$DE,0),57),0)),SUMIFS(T_Shipments[Confirmed_Qty],T_Shipments[Part Name],$A21,T_Shipments[Effective_Week],57))</f>
        <v/>
      </c>
      <c r="BG21">
        <f>IF(COUNTIF(Material_Detail!$DE:$DE,$A21)&gt;0,IF(ISNUMBER(SEARCH("[済]",INDEX(Material_Detail!$D:$DC,MATCH($A21,Material_Detail!$DE:$DE,0)+1,58))),0,IFERROR(INDEX(Material_Detail!$D:$DC,MATCH($A21,Material_Detail!$DE:$DE,0),58),0)),SUMIFS(T_Shipments[Confirmed_Qty],T_Shipments[Part Name],$A21,T_Shipments[Effective_Week],58))</f>
        <v/>
      </c>
      <c r="BH21">
        <f>IF(COUNTIF(Material_Detail!$DE:$DE,$A21)&gt;0,IF(ISNUMBER(SEARCH("[済]",INDEX(Material_Detail!$D:$DC,MATCH($A21,Material_Detail!$DE:$DE,0)+1,59))),0,IFERROR(INDEX(Material_Detail!$D:$DC,MATCH($A21,Material_Detail!$DE:$DE,0),59),0)),SUMIFS(T_Shipments[Confirmed_Qty],T_Shipments[Part Name],$A21,T_Shipments[Effective_Week],59))</f>
        <v/>
      </c>
      <c r="BI21">
        <f>IF(COUNTIF(Material_Detail!$DE:$DE,$A21)&gt;0,IF(ISNUMBER(SEARCH("[済]",INDEX(Material_Detail!$D:$DC,MATCH($A21,Material_Detail!$DE:$DE,0)+1,60))),0,IFERROR(INDEX(Material_Detail!$D:$DC,MATCH($A21,Material_Detail!$DE:$DE,0),60),0)),SUMIFS(T_Shipments[Confirmed_Qty],T_Shipments[Part Name],$A21,T_Shipments[Effective_Week],60))</f>
        <v/>
      </c>
      <c r="BJ21">
        <f>IF(COUNTIF(Material_Detail!$DE:$DE,$A21)&gt;0,IF(ISNUMBER(SEARCH("[済]",INDEX(Material_Detail!$D:$DC,MATCH($A21,Material_Detail!$DE:$DE,0)+1,61))),0,IFERROR(INDEX(Material_Detail!$D:$DC,MATCH($A21,Material_Detail!$DE:$DE,0),61),0)),SUMIFS(T_Shipments[Confirmed_Qty],T_Shipments[Part Name],$A21,T_Shipments[Effective_Week],61))</f>
        <v/>
      </c>
      <c r="BK21">
        <f>IF(COUNTIF(Material_Detail!$DE:$DE,$A21)&gt;0,IF(ISNUMBER(SEARCH("[済]",INDEX(Material_Detail!$D:$DC,MATCH($A21,Material_Detail!$DE:$DE,0)+1,62))),0,IFERROR(INDEX(Material_Detail!$D:$DC,MATCH($A21,Material_Detail!$DE:$DE,0),62),0)),SUMIFS(T_Shipments[Confirmed_Qty],T_Shipments[Part Name],$A21,T_Shipments[Effective_Week],62))</f>
        <v/>
      </c>
      <c r="BL21">
        <f>IF(COUNTIF(Material_Detail!$DE:$DE,$A21)&gt;0,IF(ISNUMBER(SEARCH("[済]",INDEX(Material_Detail!$D:$DC,MATCH($A21,Material_Detail!$DE:$DE,0)+1,63))),0,IFERROR(INDEX(Material_Detail!$D:$DC,MATCH($A21,Material_Detail!$DE:$DE,0),63),0)),SUMIFS(T_Shipments[Confirmed_Qty],T_Shipments[Part Name],$A21,T_Shipments[Effective_Week],63))</f>
        <v/>
      </c>
      <c r="BM21">
        <f>IF(COUNTIF(Material_Detail!$DE:$DE,$A21)&gt;0,IF(ISNUMBER(SEARCH("[済]",INDEX(Material_Detail!$D:$DC,MATCH($A21,Material_Detail!$DE:$DE,0)+1,64))),0,IFERROR(INDEX(Material_Detail!$D:$DC,MATCH($A21,Material_Detail!$DE:$DE,0),64),0)),SUMIFS(T_Shipments[Confirmed_Qty],T_Shipments[Part Name],$A21,T_Shipments[Effective_Week],64))</f>
        <v/>
      </c>
      <c r="BN21">
        <f>IF(COUNTIF(Material_Detail!$DE:$DE,$A21)&gt;0,IF(ISNUMBER(SEARCH("[済]",INDEX(Material_Detail!$D:$DC,MATCH($A21,Material_Detail!$DE:$DE,0)+1,65))),0,IFERROR(INDEX(Material_Detail!$D:$DC,MATCH($A21,Material_Detail!$DE:$DE,0),65),0)),SUMIFS(T_Shipments[Confirmed_Qty],T_Shipments[Part Name],$A21,T_Shipments[Effective_Week],65))</f>
        <v/>
      </c>
      <c r="BO21">
        <f>IF(COUNTIF(Material_Detail!$DE:$DE,$A21)&gt;0,IF(ISNUMBER(SEARCH("[済]",INDEX(Material_Detail!$D:$DC,MATCH($A21,Material_Detail!$DE:$DE,0)+1,66))),0,IFERROR(INDEX(Material_Detail!$D:$DC,MATCH($A21,Material_Detail!$DE:$DE,0),66),0)),SUMIFS(T_Shipments[Confirmed_Qty],T_Shipments[Part Name],$A21,T_Shipments[Effective_Week],66))</f>
        <v/>
      </c>
      <c r="BP21">
        <f>IF(COUNTIF(Material_Detail!$DE:$DE,$A21)&gt;0,IF(ISNUMBER(SEARCH("[済]",INDEX(Material_Detail!$D:$DC,MATCH($A21,Material_Detail!$DE:$DE,0)+1,67))),0,IFERROR(INDEX(Material_Detail!$D:$DC,MATCH($A21,Material_Detail!$DE:$DE,0),67),0)),SUMIFS(T_Shipments[Confirmed_Qty],T_Shipments[Part Name],$A21,T_Shipments[Effective_Week],67))</f>
        <v/>
      </c>
      <c r="BQ21">
        <f>IF(COUNTIF(Material_Detail!$DE:$DE,$A21)&gt;0,IF(ISNUMBER(SEARCH("[済]",INDEX(Material_Detail!$D:$DC,MATCH($A21,Material_Detail!$DE:$DE,0)+1,68))),0,IFERROR(INDEX(Material_Detail!$D:$DC,MATCH($A21,Material_Detail!$DE:$DE,0),68),0)),SUMIFS(T_Shipments[Confirmed_Qty],T_Shipments[Part Name],$A21,T_Shipments[Effective_Week],68))</f>
        <v/>
      </c>
      <c r="BR21">
        <f>IF(COUNTIF(Material_Detail!$DE:$DE,$A21)&gt;0,IF(ISNUMBER(SEARCH("[済]",INDEX(Material_Detail!$D:$DC,MATCH($A21,Material_Detail!$DE:$DE,0)+1,69))),0,IFERROR(INDEX(Material_Detail!$D:$DC,MATCH($A21,Material_Detail!$DE:$DE,0),69),0)),SUMIFS(T_Shipments[Confirmed_Qty],T_Shipments[Part Name],$A21,T_Shipments[Effective_Week],69))</f>
        <v/>
      </c>
      <c r="BS21">
        <f>IF(COUNTIF(Material_Detail!$DE:$DE,$A21)&gt;0,IF(ISNUMBER(SEARCH("[済]",INDEX(Material_Detail!$D:$DC,MATCH($A21,Material_Detail!$DE:$DE,0)+1,70))),0,IFERROR(INDEX(Material_Detail!$D:$DC,MATCH($A21,Material_Detail!$DE:$DE,0),70),0)),SUMIFS(T_Shipments[Confirmed_Qty],T_Shipments[Part Name],$A21,T_Shipments[Effective_Week],70))</f>
        <v/>
      </c>
      <c r="BT21">
        <f>IF(COUNTIF(Material_Detail!$DE:$DE,$A21)&gt;0,IF(ISNUMBER(SEARCH("[済]",INDEX(Material_Detail!$D:$DC,MATCH($A21,Material_Detail!$DE:$DE,0)+1,71))),0,IFERROR(INDEX(Material_Detail!$D:$DC,MATCH($A21,Material_Detail!$DE:$DE,0),71),0)),SUMIFS(T_Shipments[Confirmed_Qty],T_Shipments[Part Name],$A21,T_Shipments[Effective_Week],71))</f>
        <v/>
      </c>
      <c r="BU21">
        <f>IF(COUNTIF(Material_Detail!$DE:$DE,$A21)&gt;0,IF(ISNUMBER(SEARCH("[済]",INDEX(Material_Detail!$D:$DC,MATCH($A21,Material_Detail!$DE:$DE,0)+1,72))),0,IFERROR(INDEX(Material_Detail!$D:$DC,MATCH($A21,Material_Detail!$DE:$DE,0),72),0)),SUMIFS(T_Shipments[Confirmed_Qty],T_Shipments[Part Name],$A21,T_Shipments[Effective_Week],72))</f>
        <v/>
      </c>
      <c r="BV21">
        <f>IF(COUNTIF(Material_Detail!$DE:$DE,$A21)&gt;0,IF(ISNUMBER(SEARCH("[済]",INDEX(Material_Detail!$D:$DC,MATCH($A21,Material_Detail!$DE:$DE,0)+1,73))),0,IFERROR(INDEX(Material_Detail!$D:$DC,MATCH($A21,Material_Detail!$DE:$DE,0),73),0)),SUMIFS(T_Shipments[Confirmed_Qty],T_Shipments[Part Name],$A21,T_Shipments[Effective_Week],73))</f>
        <v/>
      </c>
      <c r="BW21">
        <f>IF(COUNTIF(Material_Detail!$DE:$DE,$A21)&gt;0,IF(ISNUMBER(SEARCH("[済]",INDEX(Material_Detail!$D:$DC,MATCH($A21,Material_Detail!$DE:$DE,0)+1,74))),0,IFERROR(INDEX(Material_Detail!$D:$DC,MATCH($A21,Material_Detail!$DE:$DE,0),74),0)),SUMIFS(T_Shipments[Confirmed_Qty],T_Shipments[Part Name],$A21,T_Shipments[Effective_Week],74))</f>
        <v/>
      </c>
      <c r="BX21">
        <f>IF(COUNTIF(Material_Detail!$DE:$DE,$A21)&gt;0,IF(ISNUMBER(SEARCH("[済]",INDEX(Material_Detail!$D:$DC,MATCH($A21,Material_Detail!$DE:$DE,0)+1,75))),0,IFERROR(INDEX(Material_Detail!$D:$DC,MATCH($A21,Material_Detail!$DE:$DE,0),75),0)),SUMIFS(T_Shipments[Confirmed_Qty],T_Shipments[Part Name],$A21,T_Shipments[Effective_Week],75))</f>
        <v/>
      </c>
      <c r="BY21">
        <f>IF(COUNTIF(Material_Detail!$DE:$DE,$A21)&gt;0,IF(ISNUMBER(SEARCH("[済]",INDEX(Material_Detail!$D:$DC,MATCH($A21,Material_Detail!$DE:$DE,0)+1,76))),0,IFERROR(INDEX(Material_Detail!$D:$DC,MATCH($A21,Material_Detail!$DE:$DE,0),76),0)),SUMIFS(T_Shipments[Confirmed_Qty],T_Shipments[Part Name],$A21,T_Shipments[Effective_Week],76))</f>
        <v/>
      </c>
      <c r="BZ21">
        <f>IF(COUNTIF(Material_Detail!$DE:$DE,$A21)&gt;0,IF(ISNUMBER(SEARCH("[済]",INDEX(Material_Detail!$D:$DC,MATCH($A21,Material_Detail!$DE:$DE,0)+1,77))),0,IFERROR(INDEX(Material_Detail!$D:$DC,MATCH($A21,Material_Detail!$DE:$DE,0),77),0)),SUMIFS(T_Shipments[Confirmed_Qty],T_Shipments[Part Name],$A21,T_Shipments[Effective_Week],77))</f>
        <v/>
      </c>
      <c r="CA21">
        <f>IF(COUNTIF(Material_Detail!$DE:$DE,$A21)&gt;0,IF(ISNUMBER(SEARCH("[済]",INDEX(Material_Detail!$D:$DC,MATCH($A21,Material_Detail!$DE:$DE,0)+1,78))),0,IFERROR(INDEX(Material_Detail!$D:$DC,MATCH($A21,Material_Detail!$DE:$DE,0),78),0)),SUMIFS(T_Shipments[Confirmed_Qty],T_Shipments[Part Name],$A21,T_Shipments[Effective_Week],78))</f>
        <v/>
      </c>
      <c r="CB21">
        <f>IF(COUNTIF(Material_Detail!$DE:$DE,$A21)&gt;0,IF(ISNUMBER(SEARCH("[済]",INDEX(Material_Detail!$D:$DC,MATCH($A21,Material_Detail!$DE:$DE,0)+1,79))),0,IFERROR(INDEX(Material_Detail!$D:$DC,MATCH($A21,Material_Detail!$DE:$DE,0),79),0)),SUMIFS(T_Shipments[Confirmed_Qty],T_Shipments[Part Name],$A21,T_Shipments[Effective_Week],79))</f>
        <v/>
      </c>
      <c r="CC21">
        <f>IF(COUNTIF(Material_Detail!$DE:$DE,$A21)&gt;0,IF(ISNUMBER(SEARCH("[済]",INDEX(Material_Detail!$D:$DC,MATCH($A21,Material_Detail!$DE:$DE,0)+1,80))),0,IFERROR(INDEX(Material_Detail!$D:$DC,MATCH($A21,Material_Detail!$DE:$DE,0),80),0)),SUMIFS(T_Shipments[Confirmed_Qty],T_Shipments[Part Name],$A21,T_Shipments[Effective_Week],80))</f>
        <v/>
      </c>
      <c r="CD21">
        <f>IF(COUNTIF(Material_Detail!$DE:$DE,$A21)&gt;0,IF(ISNUMBER(SEARCH("[済]",INDEX(Material_Detail!$D:$DC,MATCH($A21,Material_Detail!$DE:$DE,0)+1,81))),0,IFERROR(INDEX(Material_Detail!$D:$DC,MATCH($A21,Material_Detail!$DE:$DE,0),81),0)),SUMIFS(T_Shipments[Confirmed_Qty],T_Shipments[Part Name],$A21,T_Shipments[Effective_Week],81))</f>
        <v/>
      </c>
      <c r="CE21">
        <f>IF(COUNTIF(Material_Detail!$DE:$DE,$A21)&gt;0,IF(ISNUMBER(SEARCH("[済]",INDEX(Material_Detail!$D:$DC,MATCH($A21,Material_Detail!$DE:$DE,0)+1,82))),0,IFERROR(INDEX(Material_Detail!$D:$DC,MATCH($A21,Material_Detail!$DE:$DE,0),82),0)),SUMIFS(T_Shipments[Confirmed_Qty],T_Shipments[Part Name],$A21,T_Shipments[Effective_Week],82))</f>
        <v/>
      </c>
      <c r="CF21">
        <f>IF(COUNTIF(Material_Detail!$DE:$DE,$A21)&gt;0,IF(ISNUMBER(SEARCH("[済]",INDEX(Material_Detail!$D:$DC,MATCH($A21,Material_Detail!$DE:$DE,0)+1,83))),0,IFERROR(INDEX(Material_Detail!$D:$DC,MATCH($A21,Material_Detail!$DE:$DE,0),83),0)),SUMIFS(T_Shipments[Confirmed_Qty],T_Shipments[Part Name],$A21,T_Shipments[Effective_Week],83))</f>
        <v/>
      </c>
      <c r="CG21">
        <f>IF(COUNTIF(Material_Detail!$DE:$DE,$A21)&gt;0,IF(ISNUMBER(SEARCH("[済]",INDEX(Material_Detail!$D:$DC,MATCH($A21,Material_Detail!$DE:$DE,0)+1,84))),0,IFERROR(INDEX(Material_Detail!$D:$DC,MATCH($A21,Material_Detail!$DE:$DE,0),84),0)),SUMIFS(T_Shipments[Confirmed_Qty],T_Shipments[Part Name],$A21,T_Shipments[Effective_Week],84))</f>
        <v/>
      </c>
      <c r="CH21">
        <f>IF(COUNTIF(Material_Detail!$DE:$DE,$A21)&gt;0,IF(ISNUMBER(SEARCH("[済]",INDEX(Material_Detail!$D:$DC,MATCH($A21,Material_Detail!$DE:$DE,0)+1,85))),0,IFERROR(INDEX(Material_Detail!$D:$DC,MATCH($A21,Material_Detail!$DE:$DE,0),85),0)),SUMIFS(T_Shipments[Confirmed_Qty],T_Shipments[Part Name],$A21,T_Shipments[Effective_Week],85))</f>
        <v/>
      </c>
      <c r="CI21">
        <f>IF(COUNTIF(Material_Detail!$DE:$DE,$A21)&gt;0,IF(ISNUMBER(SEARCH("[済]",INDEX(Material_Detail!$D:$DC,MATCH($A21,Material_Detail!$DE:$DE,0)+1,86))),0,IFERROR(INDEX(Material_Detail!$D:$DC,MATCH($A21,Material_Detail!$DE:$DE,0),86),0)),SUMIFS(T_Shipments[Confirmed_Qty],T_Shipments[Part Name],$A21,T_Shipments[Effective_Week],86))</f>
        <v/>
      </c>
      <c r="CJ21">
        <f>IF(COUNTIF(Material_Detail!$DE:$DE,$A21)&gt;0,IF(ISNUMBER(SEARCH("[済]",INDEX(Material_Detail!$D:$DC,MATCH($A21,Material_Detail!$DE:$DE,0)+1,87))),0,IFERROR(INDEX(Material_Detail!$D:$DC,MATCH($A21,Material_Detail!$DE:$DE,0),87),0)),SUMIFS(T_Shipments[Confirmed_Qty],T_Shipments[Part Name],$A21,T_Shipments[Effective_Week],87))</f>
        <v/>
      </c>
      <c r="CK21">
        <f>IF(COUNTIF(Material_Detail!$DE:$DE,$A21)&gt;0,IF(ISNUMBER(SEARCH("[済]",INDEX(Material_Detail!$D:$DC,MATCH($A21,Material_Detail!$DE:$DE,0)+1,88))),0,IFERROR(INDEX(Material_Detail!$D:$DC,MATCH($A21,Material_Detail!$DE:$DE,0),88),0)),SUMIFS(T_Shipments[Confirmed_Qty],T_Shipments[Part Name],$A21,T_Shipments[Effective_Week],88))</f>
        <v/>
      </c>
      <c r="CL21">
        <f>IF(COUNTIF(Material_Detail!$DE:$DE,$A21)&gt;0,IF(ISNUMBER(SEARCH("[済]",INDEX(Material_Detail!$D:$DC,MATCH($A21,Material_Detail!$DE:$DE,0)+1,89))),0,IFERROR(INDEX(Material_Detail!$D:$DC,MATCH($A21,Material_Detail!$DE:$DE,0),89),0)),SUMIFS(T_Shipments[Confirmed_Qty],T_Shipments[Part Name],$A21,T_Shipments[Effective_Week],89))</f>
        <v/>
      </c>
      <c r="CM21">
        <f>IF(COUNTIF(Material_Detail!$DE:$DE,$A21)&gt;0,IF(ISNUMBER(SEARCH("[済]",INDEX(Material_Detail!$D:$DC,MATCH($A21,Material_Detail!$DE:$DE,0)+1,90))),0,IFERROR(INDEX(Material_Detail!$D:$DC,MATCH($A21,Material_Detail!$DE:$DE,0),90),0)),SUMIFS(T_Shipments[Confirmed_Qty],T_Shipments[Part Name],$A21,T_Shipments[Effective_Week],90))</f>
        <v/>
      </c>
      <c r="CN21">
        <f>IF(COUNTIF(Material_Detail!$DE:$DE,$A21)&gt;0,IF(ISNUMBER(SEARCH("[済]",INDEX(Material_Detail!$D:$DC,MATCH($A21,Material_Detail!$DE:$DE,0)+1,91))),0,IFERROR(INDEX(Material_Detail!$D:$DC,MATCH($A21,Material_Detail!$DE:$DE,0),91),0)),SUMIFS(T_Shipments[Confirmed_Qty],T_Shipments[Part Name],$A21,T_Shipments[Effective_Week],91))</f>
        <v/>
      </c>
      <c r="CO21">
        <f>IF(COUNTIF(Material_Detail!$DE:$DE,$A21)&gt;0,IF(ISNUMBER(SEARCH("[済]",INDEX(Material_Detail!$D:$DC,MATCH($A21,Material_Detail!$DE:$DE,0)+1,92))),0,IFERROR(INDEX(Material_Detail!$D:$DC,MATCH($A21,Material_Detail!$DE:$DE,0),92),0)),SUMIFS(T_Shipments[Confirmed_Qty],T_Shipments[Part Name],$A21,T_Shipments[Effective_Week],92))</f>
        <v/>
      </c>
      <c r="CP21">
        <f>IF(COUNTIF(Material_Detail!$DE:$DE,$A21)&gt;0,IF(ISNUMBER(SEARCH("[済]",INDEX(Material_Detail!$D:$DC,MATCH($A21,Material_Detail!$DE:$DE,0)+1,93))),0,IFERROR(INDEX(Material_Detail!$D:$DC,MATCH($A21,Material_Detail!$DE:$DE,0),93),0)),SUMIFS(T_Shipments[Confirmed_Qty],T_Shipments[Part Name],$A21,T_Shipments[Effective_Week],93))</f>
        <v/>
      </c>
      <c r="CQ21">
        <f>IF(COUNTIF(Material_Detail!$DE:$DE,$A21)&gt;0,IF(ISNUMBER(SEARCH("[済]",INDEX(Material_Detail!$D:$DC,MATCH($A21,Material_Detail!$DE:$DE,0)+1,94))),0,IFERROR(INDEX(Material_Detail!$D:$DC,MATCH($A21,Material_Detail!$DE:$DE,0),94),0)),SUMIFS(T_Shipments[Confirmed_Qty],T_Shipments[Part Name],$A21,T_Shipments[Effective_Week],94))</f>
        <v/>
      </c>
      <c r="CR21">
        <f>IF(COUNTIF(Material_Detail!$DE:$DE,$A21)&gt;0,IF(ISNUMBER(SEARCH("[済]",INDEX(Material_Detail!$D:$DC,MATCH($A21,Material_Detail!$DE:$DE,0)+1,95))),0,IFERROR(INDEX(Material_Detail!$D:$DC,MATCH($A21,Material_Detail!$DE:$DE,0),95),0)),SUMIFS(T_Shipments[Confirmed_Qty],T_Shipments[Part Name],$A21,T_Shipments[Effective_Week],95))</f>
        <v/>
      </c>
      <c r="CS21">
        <f>IF(COUNTIF(Material_Detail!$DE:$DE,$A21)&gt;0,IF(ISNUMBER(SEARCH("[済]",INDEX(Material_Detail!$D:$DC,MATCH($A21,Material_Detail!$DE:$DE,0)+1,96))),0,IFERROR(INDEX(Material_Detail!$D:$DC,MATCH($A21,Material_Detail!$DE:$DE,0),96),0)),SUMIFS(T_Shipments[Confirmed_Qty],T_Shipments[Part Name],$A21,T_Shipments[Effective_Week],96))</f>
        <v/>
      </c>
      <c r="CT21">
        <f>IF(COUNTIF(Material_Detail!$DE:$DE,$A21)&gt;0,IF(ISNUMBER(SEARCH("[済]",INDEX(Material_Detail!$D:$DC,MATCH($A21,Material_Detail!$DE:$DE,0)+1,97))),0,IFERROR(INDEX(Material_Detail!$D:$DC,MATCH($A21,Material_Detail!$DE:$DE,0),97),0)),SUMIFS(T_Shipments[Confirmed_Qty],T_Shipments[Part Name],$A21,T_Shipments[Effective_Week],97))</f>
        <v/>
      </c>
      <c r="CU21">
        <f>IF(COUNTIF(Material_Detail!$DE:$DE,$A21)&gt;0,IF(ISNUMBER(SEARCH("[済]",INDEX(Material_Detail!$D:$DC,MATCH($A21,Material_Detail!$DE:$DE,0)+1,98))),0,IFERROR(INDEX(Material_Detail!$D:$DC,MATCH($A21,Material_Detail!$DE:$DE,0),98),0)),SUMIFS(T_Shipments[Confirmed_Qty],T_Shipments[Part Name],$A21,T_Shipments[Effective_Week],98))</f>
        <v/>
      </c>
      <c r="CV21">
        <f>IF(COUNTIF(Material_Detail!$DE:$DE,$A21)&gt;0,IF(ISNUMBER(SEARCH("[済]",INDEX(Material_Detail!$D:$DC,MATCH($A21,Material_Detail!$DE:$DE,0)+1,99))),0,IFERROR(INDEX(Material_Detail!$D:$DC,MATCH($A21,Material_Detail!$DE:$DE,0),99),0)),SUMIFS(T_Shipments[Confirmed_Qty],T_Shipments[Part Name],$A21,T_Shipments[Effective_Week],99))</f>
        <v/>
      </c>
      <c r="CW21">
        <f>IF(COUNTIF(Material_Detail!$DE:$DE,$A21)&gt;0,IF(ISNUMBER(SEARCH("[済]",INDEX(Material_Detail!$D:$DC,MATCH($A21,Material_Detail!$DE:$DE,0)+1,100))),0,IFERROR(INDEX(Material_Detail!$D:$DC,MATCH($A21,Material_Detail!$DE:$DE,0),100),0)),SUMIFS(T_Shipments[Confirmed_Qty],T_Shipments[Part Name],$A21,T_Shipments[Effective_Week],100))</f>
        <v/>
      </c>
      <c r="CX21">
        <f>IF(COUNTIF(Material_Detail!$DE:$DE,$A21)&gt;0,IF(ISNUMBER(SEARCH("[済]",INDEX(Material_Detail!$D:$DC,MATCH($A21,Material_Detail!$DE:$DE,0)+1,101))),0,IFERROR(INDEX(Material_Detail!$D:$DC,MATCH($A21,Material_Detail!$DE:$DE,0),101),0)),SUMIFS(T_Shipments[Confirmed_Qty],T_Shipments[Part Name],$A21,T_Shipments[Effective_Week],101))</f>
        <v/>
      </c>
      <c r="CY21">
        <f>IF(COUNTIF(Material_Detail!$DE:$DE,$A21)&gt;0,IF(ISNUMBER(SEARCH("[済]",INDEX(Material_Detail!$D:$DC,MATCH($A21,Material_Detail!$DE:$DE,0)+1,102))),0,IFERROR(INDEX(Material_Detail!$D:$DC,MATCH($A21,Material_Detail!$DE:$DE,0),102),0)),SUMIFS(T_Shipments[Confirmed_Qty],T_Shipments[Part Name],$A21,T_Shipments[Effective_Week],102))</f>
        <v/>
      </c>
      <c r="CZ21">
        <f>IF(COUNTIF(Material_Detail!$DE:$DE,$A21)&gt;0,IF(ISNUMBER(SEARCH("[済]",INDEX(Material_Detail!$D:$DC,MATCH($A21,Material_Detail!$DE:$DE,0)+1,103))),0,IFERROR(INDEX(Material_Detail!$D:$DC,MATCH($A21,Material_Detail!$DE:$DE,0),103),0)),SUMIFS(T_Shipments[Confirmed_Qty],T_Shipments[Part Name],$A21,T_Shipments[Effective_Week],103))</f>
        <v/>
      </c>
      <c r="DA21">
        <f>IF(COUNTIF(Material_Detail!$DE:$DE,$A21)&gt;0,IF(ISNUMBER(SEARCH("[済]",INDEX(Material_Detail!$D:$DC,MATCH($A21,Material_Detail!$DE:$DE,0)+1,104))),0,IFERROR(INDEX(Material_Detail!$D:$DC,MATCH($A21,Material_Detail!$DE:$DE,0),104),0)),SUMIFS(T_Shipments[Confirmed_Qty],T_Shipments[Part Name],$A21,T_Shipments[Effective_Week],104))</f>
        <v/>
      </c>
    </row>
    <row r="22">
      <c r="A22" t="inlineStr">
        <is>
          <t>CHEM-1670</t>
        </is>
      </c>
      <c r="B22">
        <f>IF(COUNTIF(Material_Detail!$DE:$DE,$A22)&gt;0,IF(ISNUMBER(SEARCH("[済]",INDEX(Material_Detail!$D:$DC,MATCH($A22,Material_Detail!$DE:$DE,0)+1,1))),0,IFERROR(INDEX(Material_Detail!$D:$DC,MATCH($A22,Material_Detail!$DE:$DE,0),1),0)),SUMIFS(T_Shipments[Confirmed_Qty],T_Shipments[Part Name],$A22,T_Shipments[Effective_Week],1))</f>
        <v/>
      </c>
      <c r="C22">
        <f>IF(COUNTIF(Material_Detail!$DE:$DE,$A22)&gt;0,IF(ISNUMBER(SEARCH("[済]",INDEX(Material_Detail!$D:$DC,MATCH($A22,Material_Detail!$DE:$DE,0)+1,2))),0,IFERROR(INDEX(Material_Detail!$D:$DC,MATCH($A22,Material_Detail!$DE:$DE,0),2),0)),SUMIFS(T_Shipments[Confirmed_Qty],T_Shipments[Part Name],$A22,T_Shipments[Effective_Week],2))</f>
        <v/>
      </c>
      <c r="D22">
        <f>IF(COUNTIF(Material_Detail!$DE:$DE,$A22)&gt;0,IF(ISNUMBER(SEARCH("[済]",INDEX(Material_Detail!$D:$DC,MATCH($A22,Material_Detail!$DE:$DE,0)+1,3))),0,IFERROR(INDEX(Material_Detail!$D:$DC,MATCH($A22,Material_Detail!$DE:$DE,0),3),0)),SUMIFS(T_Shipments[Confirmed_Qty],T_Shipments[Part Name],$A22,T_Shipments[Effective_Week],3))</f>
        <v/>
      </c>
      <c r="E22">
        <f>IF(COUNTIF(Material_Detail!$DE:$DE,$A22)&gt;0,IF(ISNUMBER(SEARCH("[済]",INDEX(Material_Detail!$D:$DC,MATCH($A22,Material_Detail!$DE:$DE,0)+1,4))),0,IFERROR(INDEX(Material_Detail!$D:$DC,MATCH($A22,Material_Detail!$DE:$DE,0),4),0)),SUMIFS(T_Shipments[Confirmed_Qty],T_Shipments[Part Name],$A22,T_Shipments[Effective_Week],4))</f>
        <v/>
      </c>
      <c r="F22">
        <f>IF(COUNTIF(Material_Detail!$DE:$DE,$A22)&gt;0,IF(ISNUMBER(SEARCH("[済]",INDEX(Material_Detail!$D:$DC,MATCH($A22,Material_Detail!$DE:$DE,0)+1,5))),0,IFERROR(INDEX(Material_Detail!$D:$DC,MATCH($A22,Material_Detail!$DE:$DE,0),5),0)),SUMIFS(T_Shipments[Confirmed_Qty],T_Shipments[Part Name],$A22,T_Shipments[Effective_Week],5))</f>
        <v/>
      </c>
      <c r="G22">
        <f>IF(COUNTIF(Material_Detail!$DE:$DE,$A22)&gt;0,IF(ISNUMBER(SEARCH("[済]",INDEX(Material_Detail!$D:$DC,MATCH($A22,Material_Detail!$DE:$DE,0)+1,6))),0,IFERROR(INDEX(Material_Detail!$D:$DC,MATCH($A22,Material_Detail!$DE:$DE,0),6),0)),SUMIFS(T_Shipments[Confirmed_Qty],T_Shipments[Part Name],$A22,T_Shipments[Effective_Week],6))</f>
        <v/>
      </c>
      <c r="H22">
        <f>IF(COUNTIF(Material_Detail!$DE:$DE,$A22)&gt;0,IF(ISNUMBER(SEARCH("[済]",INDEX(Material_Detail!$D:$DC,MATCH($A22,Material_Detail!$DE:$DE,0)+1,7))),0,IFERROR(INDEX(Material_Detail!$D:$DC,MATCH($A22,Material_Detail!$DE:$DE,0),7),0)),SUMIFS(T_Shipments[Confirmed_Qty],T_Shipments[Part Name],$A22,T_Shipments[Effective_Week],7))</f>
        <v/>
      </c>
      <c r="I22">
        <f>IF(COUNTIF(Material_Detail!$DE:$DE,$A22)&gt;0,IF(ISNUMBER(SEARCH("[済]",INDEX(Material_Detail!$D:$DC,MATCH($A22,Material_Detail!$DE:$DE,0)+1,8))),0,IFERROR(INDEX(Material_Detail!$D:$DC,MATCH($A22,Material_Detail!$DE:$DE,0),8),0)),SUMIFS(T_Shipments[Confirmed_Qty],T_Shipments[Part Name],$A22,T_Shipments[Effective_Week],8))</f>
        <v/>
      </c>
      <c r="J22">
        <f>IF(COUNTIF(Material_Detail!$DE:$DE,$A22)&gt;0,IF(ISNUMBER(SEARCH("[済]",INDEX(Material_Detail!$D:$DC,MATCH($A22,Material_Detail!$DE:$DE,0)+1,9))),0,IFERROR(INDEX(Material_Detail!$D:$DC,MATCH($A22,Material_Detail!$DE:$DE,0),9),0)),SUMIFS(T_Shipments[Confirmed_Qty],T_Shipments[Part Name],$A22,T_Shipments[Effective_Week],9))</f>
        <v/>
      </c>
      <c r="K22">
        <f>IF(COUNTIF(Material_Detail!$DE:$DE,$A22)&gt;0,IF(ISNUMBER(SEARCH("[済]",INDEX(Material_Detail!$D:$DC,MATCH($A22,Material_Detail!$DE:$DE,0)+1,10))),0,IFERROR(INDEX(Material_Detail!$D:$DC,MATCH($A22,Material_Detail!$DE:$DE,0),10),0)),SUMIFS(T_Shipments[Confirmed_Qty],T_Shipments[Part Name],$A22,T_Shipments[Effective_Week],10))</f>
        <v/>
      </c>
      <c r="L22">
        <f>IF(COUNTIF(Material_Detail!$DE:$DE,$A22)&gt;0,IF(ISNUMBER(SEARCH("[済]",INDEX(Material_Detail!$D:$DC,MATCH($A22,Material_Detail!$DE:$DE,0)+1,11))),0,IFERROR(INDEX(Material_Detail!$D:$DC,MATCH($A22,Material_Detail!$DE:$DE,0),11),0)),SUMIFS(T_Shipments[Confirmed_Qty],T_Shipments[Part Name],$A22,T_Shipments[Effective_Week],11))</f>
        <v/>
      </c>
      <c r="M22">
        <f>IF(COUNTIF(Material_Detail!$DE:$DE,$A22)&gt;0,IF(ISNUMBER(SEARCH("[済]",INDEX(Material_Detail!$D:$DC,MATCH($A22,Material_Detail!$DE:$DE,0)+1,12))),0,IFERROR(INDEX(Material_Detail!$D:$DC,MATCH($A22,Material_Detail!$DE:$DE,0),12),0)),SUMIFS(T_Shipments[Confirmed_Qty],T_Shipments[Part Name],$A22,T_Shipments[Effective_Week],12))</f>
        <v/>
      </c>
      <c r="N22">
        <f>IF(COUNTIF(Material_Detail!$DE:$DE,$A22)&gt;0,IF(ISNUMBER(SEARCH("[済]",INDEX(Material_Detail!$D:$DC,MATCH($A22,Material_Detail!$DE:$DE,0)+1,13))),0,IFERROR(INDEX(Material_Detail!$D:$DC,MATCH($A22,Material_Detail!$DE:$DE,0),13),0)),SUMIFS(T_Shipments[Confirmed_Qty],T_Shipments[Part Name],$A22,T_Shipments[Effective_Week],13))</f>
        <v/>
      </c>
      <c r="O22">
        <f>IF(COUNTIF(Material_Detail!$DE:$DE,$A22)&gt;0,IF(ISNUMBER(SEARCH("[済]",INDEX(Material_Detail!$D:$DC,MATCH($A22,Material_Detail!$DE:$DE,0)+1,14))),0,IFERROR(INDEX(Material_Detail!$D:$DC,MATCH($A22,Material_Detail!$DE:$DE,0),14),0)),SUMIFS(T_Shipments[Confirmed_Qty],T_Shipments[Part Name],$A22,T_Shipments[Effective_Week],14))</f>
        <v/>
      </c>
      <c r="P22">
        <f>IF(COUNTIF(Material_Detail!$DE:$DE,$A22)&gt;0,IF(ISNUMBER(SEARCH("[済]",INDEX(Material_Detail!$D:$DC,MATCH($A22,Material_Detail!$DE:$DE,0)+1,15))),0,IFERROR(INDEX(Material_Detail!$D:$DC,MATCH($A22,Material_Detail!$DE:$DE,0),15),0)),SUMIFS(T_Shipments[Confirmed_Qty],T_Shipments[Part Name],$A22,T_Shipments[Effective_Week],15))</f>
        <v/>
      </c>
      <c r="Q22">
        <f>IF(COUNTIF(Material_Detail!$DE:$DE,$A22)&gt;0,IF(ISNUMBER(SEARCH("[済]",INDEX(Material_Detail!$D:$DC,MATCH($A22,Material_Detail!$DE:$DE,0)+1,16))),0,IFERROR(INDEX(Material_Detail!$D:$DC,MATCH($A22,Material_Detail!$DE:$DE,0),16),0)),SUMIFS(T_Shipments[Confirmed_Qty],T_Shipments[Part Name],$A22,T_Shipments[Effective_Week],16))</f>
        <v/>
      </c>
      <c r="R22">
        <f>IF(COUNTIF(Material_Detail!$DE:$DE,$A22)&gt;0,IF(ISNUMBER(SEARCH("[済]",INDEX(Material_Detail!$D:$DC,MATCH($A22,Material_Detail!$DE:$DE,0)+1,17))),0,IFERROR(INDEX(Material_Detail!$D:$DC,MATCH($A22,Material_Detail!$DE:$DE,0),17),0)),SUMIFS(T_Shipments[Confirmed_Qty],T_Shipments[Part Name],$A22,T_Shipments[Effective_Week],17))</f>
        <v/>
      </c>
      <c r="S22">
        <f>IF(COUNTIF(Material_Detail!$DE:$DE,$A22)&gt;0,IF(ISNUMBER(SEARCH("[済]",INDEX(Material_Detail!$D:$DC,MATCH($A22,Material_Detail!$DE:$DE,0)+1,18))),0,IFERROR(INDEX(Material_Detail!$D:$DC,MATCH($A22,Material_Detail!$DE:$DE,0),18),0)),SUMIFS(T_Shipments[Confirmed_Qty],T_Shipments[Part Name],$A22,T_Shipments[Effective_Week],18))</f>
        <v/>
      </c>
      <c r="T22">
        <f>IF(COUNTIF(Material_Detail!$DE:$DE,$A22)&gt;0,IF(ISNUMBER(SEARCH("[済]",INDEX(Material_Detail!$D:$DC,MATCH($A22,Material_Detail!$DE:$DE,0)+1,19))),0,IFERROR(INDEX(Material_Detail!$D:$DC,MATCH($A22,Material_Detail!$DE:$DE,0),19),0)),SUMIFS(T_Shipments[Confirmed_Qty],T_Shipments[Part Name],$A22,T_Shipments[Effective_Week],19))</f>
        <v/>
      </c>
      <c r="U22">
        <f>IF(COUNTIF(Material_Detail!$DE:$DE,$A22)&gt;0,IF(ISNUMBER(SEARCH("[済]",INDEX(Material_Detail!$D:$DC,MATCH($A22,Material_Detail!$DE:$DE,0)+1,20))),0,IFERROR(INDEX(Material_Detail!$D:$DC,MATCH($A22,Material_Detail!$DE:$DE,0),20),0)),SUMIFS(T_Shipments[Confirmed_Qty],T_Shipments[Part Name],$A22,T_Shipments[Effective_Week],20))</f>
        <v/>
      </c>
      <c r="V22">
        <f>IF(COUNTIF(Material_Detail!$DE:$DE,$A22)&gt;0,IF(ISNUMBER(SEARCH("[済]",INDEX(Material_Detail!$D:$DC,MATCH($A22,Material_Detail!$DE:$DE,0)+1,21))),0,IFERROR(INDEX(Material_Detail!$D:$DC,MATCH($A22,Material_Detail!$DE:$DE,0),21),0)),SUMIFS(T_Shipments[Confirmed_Qty],T_Shipments[Part Name],$A22,T_Shipments[Effective_Week],21))</f>
        <v/>
      </c>
      <c r="W22">
        <f>IF(COUNTIF(Material_Detail!$DE:$DE,$A22)&gt;0,IF(ISNUMBER(SEARCH("[済]",INDEX(Material_Detail!$D:$DC,MATCH($A22,Material_Detail!$DE:$DE,0)+1,22))),0,IFERROR(INDEX(Material_Detail!$D:$DC,MATCH($A22,Material_Detail!$DE:$DE,0),22),0)),SUMIFS(T_Shipments[Confirmed_Qty],T_Shipments[Part Name],$A22,T_Shipments[Effective_Week],22))</f>
        <v/>
      </c>
      <c r="X22">
        <f>IF(COUNTIF(Material_Detail!$DE:$DE,$A22)&gt;0,IF(ISNUMBER(SEARCH("[済]",INDEX(Material_Detail!$D:$DC,MATCH($A22,Material_Detail!$DE:$DE,0)+1,23))),0,IFERROR(INDEX(Material_Detail!$D:$DC,MATCH($A22,Material_Detail!$DE:$DE,0),23),0)),SUMIFS(T_Shipments[Confirmed_Qty],T_Shipments[Part Name],$A22,T_Shipments[Effective_Week],23))</f>
        <v/>
      </c>
      <c r="Y22">
        <f>IF(COUNTIF(Material_Detail!$DE:$DE,$A22)&gt;0,IF(ISNUMBER(SEARCH("[済]",INDEX(Material_Detail!$D:$DC,MATCH($A22,Material_Detail!$DE:$DE,0)+1,24))),0,IFERROR(INDEX(Material_Detail!$D:$DC,MATCH($A22,Material_Detail!$DE:$DE,0),24),0)),SUMIFS(T_Shipments[Confirmed_Qty],T_Shipments[Part Name],$A22,T_Shipments[Effective_Week],24))</f>
        <v/>
      </c>
      <c r="Z22">
        <f>IF(COUNTIF(Material_Detail!$DE:$DE,$A22)&gt;0,IF(ISNUMBER(SEARCH("[済]",INDEX(Material_Detail!$D:$DC,MATCH($A22,Material_Detail!$DE:$DE,0)+1,25))),0,IFERROR(INDEX(Material_Detail!$D:$DC,MATCH($A22,Material_Detail!$DE:$DE,0),25),0)),SUMIFS(T_Shipments[Confirmed_Qty],T_Shipments[Part Name],$A22,T_Shipments[Effective_Week],25))</f>
        <v/>
      </c>
      <c r="AA22">
        <f>IF(COUNTIF(Material_Detail!$DE:$DE,$A22)&gt;0,IF(ISNUMBER(SEARCH("[済]",INDEX(Material_Detail!$D:$DC,MATCH($A22,Material_Detail!$DE:$DE,0)+1,26))),0,IFERROR(INDEX(Material_Detail!$D:$DC,MATCH($A22,Material_Detail!$DE:$DE,0),26),0)),SUMIFS(T_Shipments[Confirmed_Qty],T_Shipments[Part Name],$A22,T_Shipments[Effective_Week],26))</f>
        <v/>
      </c>
      <c r="AB22">
        <f>IF(COUNTIF(Material_Detail!$DE:$DE,$A22)&gt;0,IF(ISNUMBER(SEARCH("[済]",INDEX(Material_Detail!$D:$DC,MATCH($A22,Material_Detail!$DE:$DE,0)+1,27))),0,IFERROR(INDEX(Material_Detail!$D:$DC,MATCH($A22,Material_Detail!$DE:$DE,0),27),0)),SUMIFS(T_Shipments[Confirmed_Qty],T_Shipments[Part Name],$A22,T_Shipments[Effective_Week],27))</f>
        <v/>
      </c>
      <c r="AC22">
        <f>IF(COUNTIF(Material_Detail!$DE:$DE,$A22)&gt;0,IF(ISNUMBER(SEARCH("[済]",INDEX(Material_Detail!$D:$DC,MATCH($A22,Material_Detail!$DE:$DE,0)+1,28))),0,IFERROR(INDEX(Material_Detail!$D:$DC,MATCH($A22,Material_Detail!$DE:$DE,0),28),0)),SUMIFS(T_Shipments[Confirmed_Qty],T_Shipments[Part Name],$A22,T_Shipments[Effective_Week],28))</f>
        <v/>
      </c>
      <c r="AD22">
        <f>IF(COUNTIF(Material_Detail!$DE:$DE,$A22)&gt;0,IF(ISNUMBER(SEARCH("[済]",INDEX(Material_Detail!$D:$DC,MATCH($A22,Material_Detail!$DE:$DE,0)+1,29))),0,IFERROR(INDEX(Material_Detail!$D:$DC,MATCH($A22,Material_Detail!$DE:$DE,0),29),0)),SUMIFS(T_Shipments[Confirmed_Qty],T_Shipments[Part Name],$A22,T_Shipments[Effective_Week],29))</f>
        <v/>
      </c>
      <c r="AE22">
        <f>IF(COUNTIF(Material_Detail!$DE:$DE,$A22)&gt;0,IF(ISNUMBER(SEARCH("[済]",INDEX(Material_Detail!$D:$DC,MATCH($A22,Material_Detail!$DE:$DE,0)+1,30))),0,IFERROR(INDEX(Material_Detail!$D:$DC,MATCH($A22,Material_Detail!$DE:$DE,0),30),0)),SUMIFS(T_Shipments[Confirmed_Qty],T_Shipments[Part Name],$A22,T_Shipments[Effective_Week],30))</f>
        <v/>
      </c>
      <c r="AF22">
        <f>IF(COUNTIF(Material_Detail!$DE:$DE,$A22)&gt;0,IF(ISNUMBER(SEARCH("[済]",INDEX(Material_Detail!$D:$DC,MATCH($A22,Material_Detail!$DE:$DE,0)+1,31))),0,IFERROR(INDEX(Material_Detail!$D:$DC,MATCH($A22,Material_Detail!$DE:$DE,0),31),0)),SUMIFS(T_Shipments[Confirmed_Qty],T_Shipments[Part Name],$A22,T_Shipments[Effective_Week],31))</f>
        <v/>
      </c>
      <c r="AG22">
        <f>IF(COUNTIF(Material_Detail!$DE:$DE,$A22)&gt;0,IF(ISNUMBER(SEARCH("[済]",INDEX(Material_Detail!$D:$DC,MATCH($A22,Material_Detail!$DE:$DE,0)+1,32))),0,IFERROR(INDEX(Material_Detail!$D:$DC,MATCH($A22,Material_Detail!$DE:$DE,0),32),0)),SUMIFS(T_Shipments[Confirmed_Qty],T_Shipments[Part Name],$A22,T_Shipments[Effective_Week],32))</f>
        <v/>
      </c>
      <c r="AH22">
        <f>IF(COUNTIF(Material_Detail!$DE:$DE,$A22)&gt;0,IF(ISNUMBER(SEARCH("[済]",INDEX(Material_Detail!$D:$DC,MATCH($A22,Material_Detail!$DE:$DE,0)+1,33))),0,IFERROR(INDEX(Material_Detail!$D:$DC,MATCH($A22,Material_Detail!$DE:$DE,0),33),0)),SUMIFS(T_Shipments[Confirmed_Qty],T_Shipments[Part Name],$A22,T_Shipments[Effective_Week],33))</f>
        <v/>
      </c>
      <c r="AI22">
        <f>IF(COUNTIF(Material_Detail!$DE:$DE,$A22)&gt;0,IF(ISNUMBER(SEARCH("[済]",INDEX(Material_Detail!$D:$DC,MATCH($A22,Material_Detail!$DE:$DE,0)+1,34))),0,IFERROR(INDEX(Material_Detail!$D:$DC,MATCH($A22,Material_Detail!$DE:$DE,0),34),0)),SUMIFS(T_Shipments[Confirmed_Qty],T_Shipments[Part Name],$A22,T_Shipments[Effective_Week],34))</f>
        <v/>
      </c>
      <c r="AJ22">
        <f>IF(COUNTIF(Material_Detail!$DE:$DE,$A22)&gt;0,IF(ISNUMBER(SEARCH("[済]",INDEX(Material_Detail!$D:$DC,MATCH($A22,Material_Detail!$DE:$DE,0)+1,35))),0,IFERROR(INDEX(Material_Detail!$D:$DC,MATCH($A22,Material_Detail!$DE:$DE,0),35),0)),SUMIFS(T_Shipments[Confirmed_Qty],T_Shipments[Part Name],$A22,T_Shipments[Effective_Week],35))</f>
        <v/>
      </c>
      <c r="AK22">
        <f>IF(COUNTIF(Material_Detail!$DE:$DE,$A22)&gt;0,IF(ISNUMBER(SEARCH("[済]",INDEX(Material_Detail!$D:$DC,MATCH($A22,Material_Detail!$DE:$DE,0)+1,36))),0,IFERROR(INDEX(Material_Detail!$D:$DC,MATCH($A22,Material_Detail!$DE:$DE,0),36),0)),SUMIFS(T_Shipments[Confirmed_Qty],T_Shipments[Part Name],$A22,T_Shipments[Effective_Week],36))</f>
        <v/>
      </c>
      <c r="AL22">
        <f>IF(COUNTIF(Material_Detail!$DE:$DE,$A22)&gt;0,IF(ISNUMBER(SEARCH("[済]",INDEX(Material_Detail!$D:$DC,MATCH($A22,Material_Detail!$DE:$DE,0)+1,37))),0,IFERROR(INDEX(Material_Detail!$D:$DC,MATCH($A22,Material_Detail!$DE:$DE,0),37),0)),SUMIFS(T_Shipments[Confirmed_Qty],T_Shipments[Part Name],$A22,T_Shipments[Effective_Week],37))</f>
        <v/>
      </c>
      <c r="AM22">
        <f>IF(COUNTIF(Material_Detail!$DE:$DE,$A22)&gt;0,IF(ISNUMBER(SEARCH("[済]",INDEX(Material_Detail!$D:$DC,MATCH($A22,Material_Detail!$DE:$DE,0)+1,38))),0,IFERROR(INDEX(Material_Detail!$D:$DC,MATCH($A22,Material_Detail!$DE:$DE,0),38),0)),SUMIFS(T_Shipments[Confirmed_Qty],T_Shipments[Part Name],$A22,T_Shipments[Effective_Week],38))</f>
        <v/>
      </c>
      <c r="AN22">
        <f>IF(COUNTIF(Material_Detail!$DE:$DE,$A22)&gt;0,IF(ISNUMBER(SEARCH("[済]",INDEX(Material_Detail!$D:$DC,MATCH($A22,Material_Detail!$DE:$DE,0)+1,39))),0,IFERROR(INDEX(Material_Detail!$D:$DC,MATCH($A22,Material_Detail!$DE:$DE,0),39),0)),SUMIFS(T_Shipments[Confirmed_Qty],T_Shipments[Part Name],$A22,T_Shipments[Effective_Week],39))</f>
        <v/>
      </c>
      <c r="AO22">
        <f>IF(COUNTIF(Material_Detail!$DE:$DE,$A22)&gt;0,IF(ISNUMBER(SEARCH("[済]",INDEX(Material_Detail!$D:$DC,MATCH($A22,Material_Detail!$DE:$DE,0)+1,40))),0,IFERROR(INDEX(Material_Detail!$D:$DC,MATCH($A22,Material_Detail!$DE:$DE,0),40),0)),SUMIFS(T_Shipments[Confirmed_Qty],T_Shipments[Part Name],$A22,T_Shipments[Effective_Week],40))</f>
        <v/>
      </c>
      <c r="AP22">
        <f>IF(COUNTIF(Material_Detail!$DE:$DE,$A22)&gt;0,IF(ISNUMBER(SEARCH("[済]",INDEX(Material_Detail!$D:$DC,MATCH($A22,Material_Detail!$DE:$DE,0)+1,41))),0,IFERROR(INDEX(Material_Detail!$D:$DC,MATCH($A22,Material_Detail!$DE:$DE,0),41),0)),SUMIFS(T_Shipments[Confirmed_Qty],T_Shipments[Part Name],$A22,T_Shipments[Effective_Week],41))</f>
        <v/>
      </c>
      <c r="AQ22">
        <f>IF(COUNTIF(Material_Detail!$DE:$DE,$A22)&gt;0,IF(ISNUMBER(SEARCH("[済]",INDEX(Material_Detail!$D:$DC,MATCH($A22,Material_Detail!$DE:$DE,0)+1,42))),0,IFERROR(INDEX(Material_Detail!$D:$DC,MATCH($A22,Material_Detail!$DE:$DE,0),42),0)),SUMIFS(T_Shipments[Confirmed_Qty],T_Shipments[Part Name],$A22,T_Shipments[Effective_Week],42))</f>
        <v/>
      </c>
      <c r="AR22">
        <f>IF(COUNTIF(Material_Detail!$DE:$DE,$A22)&gt;0,IF(ISNUMBER(SEARCH("[済]",INDEX(Material_Detail!$D:$DC,MATCH($A22,Material_Detail!$DE:$DE,0)+1,43))),0,IFERROR(INDEX(Material_Detail!$D:$DC,MATCH($A22,Material_Detail!$DE:$DE,0),43),0)),SUMIFS(T_Shipments[Confirmed_Qty],T_Shipments[Part Name],$A22,T_Shipments[Effective_Week],43))</f>
        <v/>
      </c>
      <c r="AS22">
        <f>IF(COUNTIF(Material_Detail!$DE:$DE,$A22)&gt;0,IF(ISNUMBER(SEARCH("[済]",INDEX(Material_Detail!$D:$DC,MATCH($A22,Material_Detail!$DE:$DE,0)+1,44))),0,IFERROR(INDEX(Material_Detail!$D:$DC,MATCH($A22,Material_Detail!$DE:$DE,0),44),0)),SUMIFS(T_Shipments[Confirmed_Qty],T_Shipments[Part Name],$A22,T_Shipments[Effective_Week],44))</f>
        <v/>
      </c>
      <c r="AT22">
        <f>IF(COUNTIF(Material_Detail!$DE:$DE,$A22)&gt;0,IF(ISNUMBER(SEARCH("[済]",INDEX(Material_Detail!$D:$DC,MATCH($A22,Material_Detail!$DE:$DE,0)+1,45))),0,IFERROR(INDEX(Material_Detail!$D:$DC,MATCH($A22,Material_Detail!$DE:$DE,0),45),0)),SUMIFS(T_Shipments[Confirmed_Qty],T_Shipments[Part Name],$A22,T_Shipments[Effective_Week],45))</f>
        <v/>
      </c>
      <c r="AU22">
        <f>IF(COUNTIF(Material_Detail!$DE:$DE,$A22)&gt;0,IF(ISNUMBER(SEARCH("[済]",INDEX(Material_Detail!$D:$DC,MATCH($A22,Material_Detail!$DE:$DE,0)+1,46))),0,IFERROR(INDEX(Material_Detail!$D:$DC,MATCH($A22,Material_Detail!$DE:$DE,0),46),0)),SUMIFS(T_Shipments[Confirmed_Qty],T_Shipments[Part Name],$A22,T_Shipments[Effective_Week],46))</f>
        <v/>
      </c>
      <c r="AV22">
        <f>IF(COUNTIF(Material_Detail!$DE:$DE,$A22)&gt;0,IF(ISNUMBER(SEARCH("[済]",INDEX(Material_Detail!$D:$DC,MATCH($A22,Material_Detail!$DE:$DE,0)+1,47))),0,IFERROR(INDEX(Material_Detail!$D:$DC,MATCH($A22,Material_Detail!$DE:$DE,0),47),0)),SUMIFS(T_Shipments[Confirmed_Qty],T_Shipments[Part Name],$A22,T_Shipments[Effective_Week],47))</f>
        <v/>
      </c>
      <c r="AW22">
        <f>IF(COUNTIF(Material_Detail!$DE:$DE,$A22)&gt;0,IF(ISNUMBER(SEARCH("[済]",INDEX(Material_Detail!$D:$DC,MATCH($A22,Material_Detail!$DE:$DE,0)+1,48))),0,IFERROR(INDEX(Material_Detail!$D:$DC,MATCH($A22,Material_Detail!$DE:$DE,0),48),0)),SUMIFS(T_Shipments[Confirmed_Qty],T_Shipments[Part Name],$A22,T_Shipments[Effective_Week],48))</f>
        <v/>
      </c>
      <c r="AX22">
        <f>IF(COUNTIF(Material_Detail!$DE:$DE,$A22)&gt;0,IF(ISNUMBER(SEARCH("[済]",INDEX(Material_Detail!$D:$DC,MATCH($A22,Material_Detail!$DE:$DE,0)+1,49))),0,IFERROR(INDEX(Material_Detail!$D:$DC,MATCH($A22,Material_Detail!$DE:$DE,0),49),0)),SUMIFS(T_Shipments[Confirmed_Qty],T_Shipments[Part Name],$A22,T_Shipments[Effective_Week],49))</f>
        <v/>
      </c>
      <c r="AY22">
        <f>IF(COUNTIF(Material_Detail!$DE:$DE,$A22)&gt;0,IF(ISNUMBER(SEARCH("[済]",INDEX(Material_Detail!$D:$DC,MATCH($A22,Material_Detail!$DE:$DE,0)+1,50))),0,IFERROR(INDEX(Material_Detail!$D:$DC,MATCH($A22,Material_Detail!$DE:$DE,0),50),0)),SUMIFS(T_Shipments[Confirmed_Qty],T_Shipments[Part Name],$A22,T_Shipments[Effective_Week],50))</f>
        <v/>
      </c>
      <c r="AZ22">
        <f>IF(COUNTIF(Material_Detail!$DE:$DE,$A22)&gt;0,IF(ISNUMBER(SEARCH("[済]",INDEX(Material_Detail!$D:$DC,MATCH($A22,Material_Detail!$DE:$DE,0)+1,51))),0,IFERROR(INDEX(Material_Detail!$D:$DC,MATCH($A22,Material_Detail!$DE:$DE,0),51),0)),SUMIFS(T_Shipments[Confirmed_Qty],T_Shipments[Part Name],$A22,T_Shipments[Effective_Week],51))</f>
        <v/>
      </c>
      <c r="BA22">
        <f>IF(COUNTIF(Material_Detail!$DE:$DE,$A22)&gt;0,IF(ISNUMBER(SEARCH("[済]",INDEX(Material_Detail!$D:$DC,MATCH($A22,Material_Detail!$DE:$DE,0)+1,52))),0,IFERROR(INDEX(Material_Detail!$D:$DC,MATCH($A22,Material_Detail!$DE:$DE,0),52),0)),SUMIFS(T_Shipments[Confirmed_Qty],T_Shipments[Part Name],$A22,T_Shipments[Effective_Week],52))</f>
        <v/>
      </c>
      <c r="BB22">
        <f>IF(COUNTIF(Material_Detail!$DE:$DE,$A22)&gt;0,IF(ISNUMBER(SEARCH("[済]",INDEX(Material_Detail!$D:$DC,MATCH($A22,Material_Detail!$DE:$DE,0)+1,53))),0,IFERROR(INDEX(Material_Detail!$D:$DC,MATCH($A22,Material_Detail!$DE:$DE,0),53),0)),SUMIFS(T_Shipments[Confirmed_Qty],T_Shipments[Part Name],$A22,T_Shipments[Effective_Week],53))</f>
        <v/>
      </c>
      <c r="BC22">
        <f>IF(COUNTIF(Material_Detail!$DE:$DE,$A22)&gt;0,IF(ISNUMBER(SEARCH("[済]",INDEX(Material_Detail!$D:$DC,MATCH($A22,Material_Detail!$DE:$DE,0)+1,54))),0,IFERROR(INDEX(Material_Detail!$D:$DC,MATCH($A22,Material_Detail!$DE:$DE,0),54),0)),SUMIFS(T_Shipments[Confirmed_Qty],T_Shipments[Part Name],$A22,T_Shipments[Effective_Week],54))</f>
        <v/>
      </c>
      <c r="BD22">
        <f>IF(COUNTIF(Material_Detail!$DE:$DE,$A22)&gt;0,IF(ISNUMBER(SEARCH("[済]",INDEX(Material_Detail!$D:$DC,MATCH($A22,Material_Detail!$DE:$DE,0)+1,55))),0,IFERROR(INDEX(Material_Detail!$D:$DC,MATCH($A22,Material_Detail!$DE:$DE,0),55),0)),SUMIFS(T_Shipments[Confirmed_Qty],T_Shipments[Part Name],$A22,T_Shipments[Effective_Week],55))</f>
        <v/>
      </c>
      <c r="BE22">
        <f>IF(COUNTIF(Material_Detail!$DE:$DE,$A22)&gt;0,IF(ISNUMBER(SEARCH("[済]",INDEX(Material_Detail!$D:$DC,MATCH($A22,Material_Detail!$DE:$DE,0)+1,56))),0,IFERROR(INDEX(Material_Detail!$D:$DC,MATCH($A22,Material_Detail!$DE:$DE,0),56),0)),SUMIFS(T_Shipments[Confirmed_Qty],T_Shipments[Part Name],$A22,T_Shipments[Effective_Week],56))</f>
        <v/>
      </c>
      <c r="BF22">
        <f>IF(COUNTIF(Material_Detail!$DE:$DE,$A22)&gt;0,IF(ISNUMBER(SEARCH("[済]",INDEX(Material_Detail!$D:$DC,MATCH($A22,Material_Detail!$DE:$DE,0)+1,57))),0,IFERROR(INDEX(Material_Detail!$D:$DC,MATCH($A22,Material_Detail!$DE:$DE,0),57),0)),SUMIFS(T_Shipments[Confirmed_Qty],T_Shipments[Part Name],$A22,T_Shipments[Effective_Week],57))</f>
        <v/>
      </c>
      <c r="BG22">
        <f>IF(COUNTIF(Material_Detail!$DE:$DE,$A22)&gt;0,IF(ISNUMBER(SEARCH("[済]",INDEX(Material_Detail!$D:$DC,MATCH($A22,Material_Detail!$DE:$DE,0)+1,58))),0,IFERROR(INDEX(Material_Detail!$D:$DC,MATCH($A22,Material_Detail!$DE:$DE,0),58),0)),SUMIFS(T_Shipments[Confirmed_Qty],T_Shipments[Part Name],$A22,T_Shipments[Effective_Week],58))</f>
        <v/>
      </c>
      <c r="BH22">
        <f>IF(COUNTIF(Material_Detail!$DE:$DE,$A22)&gt;0,IF(ISNUMBER(SEARCH("[済]",INDEX(Material_Detail!$D:$DC,MATCH($A22,Material_Detail!$DE:$DE,0)+1,59))),0,IFERROR(INDEX(Material_Detail!$D:$DC,MATCH($A22,Material_Detail!$DE:$DE,0),59),0)),SUMIFS(T_Shipments[Confirmed_Qty],T_Shipments[Part Name],$A22,T_Shipments[Effective_Week],59))</f>
        <v/>
      </c>
      <c r="BI22">
        <f>IF(COUNTIF(Material_Detail!$DE:$DE,$A22)&gt;0,IF(ISNUMBER(SEARCH("[済]",INDEX(Material_Detail!$D:$DC,MATCH($A22,Material_Detail!$DE:$DE,0)+1,60))),0,IFERROR(INDEX(Material_Detail!$D:$DC,MATCH($A22,Material_Detail!$DE:$DE,0),60),0)),SUMIFS(T_Shipments[Confirmed_Qty],T_Shipments[Part Name],$A22,T_Shipments[Effective_Week],60))</f>
        <v/>
      </c>
      <c r="BJ22">
        <f>IF(COUNTIF(Material_Detail!$DE:$DE,$A22)&gt;0,IF(ISNUMBER(SEARCH("[済]",INDEX(Material_Detail!$D:$DC,MATCH($A22,Material_Detail!$DE:$DE,0)+1,61))),0,IFERROR(INDEX(Material_Detail!$D:$DC,MATCH($A22,Material_Detail!$DE:$DE,0),61),0)),SUMIFS(T_Shipments[Confirmed_Qty],T_Shipments[Part Name],$A22,T_Shipments[Effective_Week],61))</f>
        <v/>
      </c>
      <c r="BK22">
        <f>IF(COUNTIF(Material_Detail!$DE:$DE,$A22)&gt;0,IF(ISNUMBER(SEARCH("[済]",INDEX(Material_Detail!$D:$DC,MATCH($A22,Material_Detail!$DE:$DE,0)+1,62))),0,IFERROR(INDEX(Material_Detail!$D:$DC,MATCH($A22,Material_Detail!$DE:$DE,0),62),0)),SUMIFS(T_Shipments[Confirmed_Qty],T_Shipments[Part Name],$A22,T_Shipments[Effective_Week],62))</f>
        <v/>
      </c>
      <c r="BL22">
        <f>IF(COUNTIF(Material_Detail!$DE:$DE,$A22)&gt;0,IF(ISNUMBER(SEARCH("[済]",INDEX(Material_Detail!$D:$DC,MATCH($A22,Material_Detail!$DE:$DE,0)+1,63))),0,IFERROR(INDEX(Material_Detail!$D:$DC,MATCH($A22,Material_Detail!$DE:$DE,0),63),0)),SUMIFS(T_Shipments[Confirmed_Qty],T_Shipments[Part Name],$A22,T_Shipments[Effective_Week],63))</f>
        <v/>
      </c>
      <c r="BM22">
        <f>IF(COUNTIF(Material_Detail!$DE:$DE,$A22)&gt;0,IF(ISNUMBER(SEARCH("[済]",INDEX(Material_Detail!$D:$DC,MATCH($A22,Material_Detail!$DE:$DE,0)+1,64))),0,IFERROR(INDEX(Material_Detail!$D:$DC,MATCH($A22,Material_Detail!$DE:$DE,0),64),0)),SUMIFS(T_Shipments[Confirmed_Qty],T_Shipments[Part Name],$A22,T_Shipments[Effective_Week],64))</f>
        <v/>
      </c>
      <c r="BN22">
        <f>IF(COUNTIF(Material_Detail!$DE:$DE,$A22)&gt;0,IF(ISNUMBER(SEARCH("[済]",INDEX(Material_Detail!$D:$DC,MATCH($A22,Material_Detail!$DE:$DE,0)+1,65))),0,IFERROR(INDEX(Material_Detail!$D:$DC,MATCH($A22,Material_Detail!$DE:$DE,0),65),0)),SUMIFS(T_Shipments[Confirmed_Qty],T_Shipments[Part Name],$A22,T_Shipments[Effective_Week],65))</f>
        <v/>
      </c>
      <c r="BO22">
        <f>IF(COUNTIF(Material_Detail!$DE:$DE,$A22)&gt;0,IF(ISNUMBER(SEARCH("[済]",INDEX(Material_Detail!$D:$DC,MATCH($A22,Material_Detail!$DE:$DE,0)+1,66))),0,IFERROR(INDEX(Material_Detail!$D:$DC,MATCH($A22,Material_Detail!$DE:$DE,0),66),0)),SUMIFS(T_Shipments[Confirmed_Qty],T_Shipments[Part Name],$A22,T_Shipments[Effective_Week],66))</f>
        <v/>
      </c>
      <c r="BP22">
        <f>IF(COUNTIF(Material_Detail!$DE:$DE,$A22)&gt;0,IF(ISNUMBER(SEARCH("[済]",INDEX(Material_Detail!$D:$DC,MATCH($A22,Material_Detail!$DE:$DE,0)+1,67))),0,IFERROR(INDEX(Material_Detail!$D:$DC,MATCH($A22,Material_Detail!$DE:$DE,0),67),0)),SUMIFS(T_Shipments[Confirmed_Qty],T_Shipments[Part Name],$A22,T_Shipments[Effective_Week],67))</f>
        <v/>
      </c>
      <c r="BQ22">
        <f>IF(COUNTIF(Material_Detail!$DE:$DE,$A22)&gt;0,IF(ISNUMBER(SEARCH("[済]",INDEX(Material_Detail!$D:$DC,MATCH($A22,Material_Detail!$DE:$DE,0)+1,68))),0,IFERROR(INDEX(Material_Detail!$D:$DC,MATCH($A22,Material_Detail!$DE:$DE,0),68),0)),SUMIFS(T_Shipments[Confirmed_Qty],T_Shipments[Part Name],$A22,T_Shipments[Effective_Week],68))</f>
        <v/>
      </c>
      <c r="BR22">
        <f>IF(COUNTIF(Material_Detail!$DE:$DE,$A22)&gt;0,IF(ISNUMBER(SEARCH("[済]",INDEX(Material_Detail!$D:$DC,MATCH($A22,Material_Detail!$DE:$DE,0)+1,69))),0,IFERROR(INDEX(Material_Detail!$D:$DC,MATCH($A22,Material_Detail!$DE:$DE,0),69),0)),SUMIFS(T_Shipments[Confirmed_Qty],T_Shipments[Part Name],$A22,T_Shipments[Effective_Week],69))</f>
        <v/>
      </c>
      <c r="BS22">
        <f>IF(COUNTIF(Material_Detail!$DE:$DE,$A22)&gt;0,IF(ISNUMBER(SEARCH("[済]",INDEX(Material_Detail!$D:$DC,MATCH($A22,Material_Detail!$DE:$DE,0)+1,70))),0,IFERROR(INDEX(Material_Detail!$D:$DC,MATCH($A22,Material_Detail!$DE:$DE,0),70),0)),SUMIFS(T_Shipments[Confirmed_Qty],T_Shipments[Part Name],$A22,T_Shipments[Effective_Week],70))</f>
        <v/>
      </c>
      <c r="BT22">
        <f>IF(COUNTIF(Material_Detail!$DE:$DE,$A22)&gt;0,IF(ISNUMBER(SEARCH("[済]",INDEX(Material_Detail!$D:$DC,MATCH($A22,Material_Detail!$DE:$DE,0)+1,71))),0,IFERROR(INDEX(Material_Detail!$D:$DC,MATCH($A22,Material_Detail!$DE:$DE,0),71),0)),SUMIFS(T_Shipments[Confirmed_Qty],T_Shipments[Part Name],$A22,T_Shipments[Effective_Week],71))</f>
        <v/>
      </c>
      <c r="BU22">
        <f>IF(COUNTIF(Material_Detail!$DE:$DE,$A22)&gt;0,IF(ISNUMBER(SEARCH("[済]",INDEX(Material_Detail!$D:$DC,MATCH($A22,Material_Detail!$DE:$DE,0)+1,72))),0,IFERROR(INDEX(Material_Detail!$D:$DC,MATCH($A22,Material_Detail!$DE:$DE,0),72),0)),SUMIFS(T_Shipments[Confirmed_Qty],T_Shipments[Part Name],$A22,T_Shipments[Effective_Week],72))</f>
        <v/>
      </c>
      <c r="BV22">
        <f>IF(COUNTIF(Material_Detail!$DE:$DE,$A22)&gt;0,IF(ISNUMBER(SEARCH("[済]",INDEX(Material_Detail!$D:$DC,MATCH($A22,Material_Detail!$DE:$DE,0)+1,73))),0,IFERROR(INDEX(Material_Detail!$D:$DC,MATCH($A22,Material_Detail!$DE:$DE,0),73),0)),SUMIFS(T_Shipments[Confirmed_Qty],T_Shipments[Part Name],$A22,T_Shipments[Effective_Week],73))</f>
        <v/>
      </c>
      <c r="BW22">
        <f>IF(COUNTIF(Material_Detail!$DE:$DE,$A22)&gt;0,IF(ISNUMBER(SEARCH("[済]",INDEX(Material_Detail!$D:$DC,MATCH($A22,Material_Detail!$DE:$DE,0)+1,74))),0,IFERROR(INDEX(Material_Detail!$D:$DC,MATCH($A22,Material_Detail!$DE:$DE,0),74),0)),SUMIFS(T_Shipments[Confirmed_Qty],T_Shipments[Part Name],$A22,T_Shipments[Effective_Week],74))</f>
        <v/>
      </c>
      <c r="BX22">
        <f>IF(COUNTIF(Material_Detail!$DE:$DE,$A22)&gt;0,IF(ISNUMBER(SEARCH("[済]",INDEX(Material_Detail!$D:$DC,MATCH($A22,Material_Detail!$DE:$DE,0)+1,75))),0,IFERROR(INDEX(Material_Detail!$D:$DC,MATCH($A22,Material_Detail!$DE:$DE,0),75),0)),SUMIFS(T_Shipments[Confirmed_Qty],T_Shipments[Part Name],$A22,T_Shipments[Effective_Week],75))</f>
        <v/>
      </c>
      <c r="BY22">
        <f>IF(COUNTIF(Material_Detail!$DE:$DE,$A22)&gt;0,IF(ISNUMBER(SEARCH("[済]",INDEX(Material_Detail!$D:$DC,MATCH($A22,Material_Detail!$DE:$DE,0)+1,76))),0,IFERROR(INDEX(Material_Detail!$D:$DC,MATCH($A22,Material_Detail!$DE:$DE,0),76),0)),SUMIFS(T_Shipments[Confirmed_Qty],T_Shipments[Part Name],$A22,T_Shipments[Effective_Week],76))</f>
        <v/>
      </c>
      <c r="BZ22">
        <f>IF(COUNTIF(Material_Detail!$DE:$DE,$A22)&gt;0,IF(ISNUMBER(SEARCH("[済]",INDEX(Material_Detail!$D:$DC,MATCH($A22,Material_Detail!$DE:$DE,0)+1,77))),0,IFERROR(INDEX(Material_Detail!$D:$DC,MATCH($A22,Material_Detail!$DE:$DE,0),77),0)),SUMIFS(T_Shipments[Confirmed_Qty],T_Shipments[Part Name],$A22,T_Shipments[Effective_Week],77))</f>
        <v/>
      </c>
      <c r="CA22">
        <f>IF(COUNTIF(Material_Detail!$DE:$DE,$A22)&gt;0,IF(ISNUMBER(SEARCH("[済]",INDEX(Material_Detail!$D:$DC,MATCH($A22,Material_Detail!$DE:$DE,0)+1,78))),0,IFERROR(INDEX(Material_Detail!$D:$DC,MATCH($A22,Material_Detail!$DE:$DE,0),78),0)),SUMIFS(T_Shipments[Confirmed_Qty],T_Shipments[Part Name],$A22,T_Shipments[Effective_Week],78))</f>
        <v/>
      </c>
      <c r="CB22">
        <f>IF(COUNTIF(Material_Detail!$DE:$DE,$A22)&gt;0,IF(ISNUMBER(SEARCH("[済]",INDEX(Material_Detail!$D:$DC,MATCH($A22,Material_Detail!$DE:$DE,0)+1,79))),0,IFERROR(INDEX(Material_Detail!$D:$DC,MATCH($A22,Material_Detail!$DE:$DE,0),79),0)),SUMIFS(T_Shipments[Confirmed_Qty],T_Shipments[Part Name],$A22,T_Shipments[Effective_Week],79))</f>
        <v/>
      </c>
      <c r="CC22">
        <f>IF(COUNTIF(Material_Detail!$DE:$DE,$A22)&gt;0,IF(ISNUMBER(SEARCH("[済]",INDEX(Material_Detail!$D:$DC,MATCH($A22,Material_Detail!$DE:$DE,0)+1,80))),0,IFERROR(INDEX(Material_Detail!$D:$DC,MATCH($A22,Material_Detail!$DE:$DE,0),80),0)),SUMIFS(T_Shipments[Confirmed_Qty],T_Shipments[Part Name],$A22,T_Shipments[Effective_Week],80))</f>
        <v/>
      </c>
      <c r="CD22">
        <f>IF(COUNTIF(Material_Detail!$DE:$DE,$A22)&gt;0,IF(ISNUMBER(SEARCH("[済]",INDEX(Material_Detail!$D:$DC,MATCH($A22,Material_Detail!$DE:$DE,0)+1,81))),0,IFERROR(INDEX(Material_Detail!$D:$DC,MATCH($A22,Material_Detail!$DE:$DE,0),81),0)),SUMIFS(T_Shipments[Confirmed_Qty],T_Shipments[Part Name],$A22,T_Shipments[Effective_Week],81))</f>
        <v/>
      </c>
      <c r="CE22">
        <f>IF(COUNTIF(Material_Detail!$DE:$DE,$A22)&gt;0,IF(ISNUMBER(SEARCH("[済]",INDEX(Material_Detail!$D:$DC,MATCH($A22,Material_Detail!$DE:$DE,0)+1,82))),0,IFERROR(INDEX(Material_Detail!$D:$DC,MATCH($A22,Material_Detail!$DE:$DE,0),82),0)),SUMIFS(T_Shipments[Confirmed_Qty],T_Shipments[Part Name],$A22,T_Shipments[Effective_Week],82))</f>
        <v/>
      </c>
      <c r="CF22">
        <f>IF(COUNTIF(Material_Detail!$DE:$DE,$A22)&gt;0,IF(ISNUMBER(SEARCH("[済]",INDEX(Material_Detail!$D:$DC,MATCH($A22,Material_Detail!$DE:$DE,0)+1,83))),0,IFERROR(INDEX(Material_Detail!$D:$DC,MATCH($A22,Material_Detail!$DE:$DE,0),83),0)),SUMIFS(T_Shipments[Confirmed_Qty],T_Shipments[Part Name],$A22,T_Shipments[Effective_Week],83))</f>
        <v/>
      </c>
      <c r="CG22">
        <f>IF(COUNTIF(Material_Detail!$DE:$DE,$A22)&gt;0,IF(ISNUMBER(SEARCH("[済]",INDEX(Material_Detail!$D:$DC,MATCH($A22,Material_Detail!$DE:$DE,0)+1,84))),0,IFERROR(INDEX(Material_Detail!$D:$DC,MATCH($A22,Material_Detail!$DE:$DE,0),84),0)),SUMIFS(T_Shipments[Confirmed_Qty],T_Shipments[Part Name],$A22,T_Shipments[Effective_Week],84))</f>
        <v/>
      </c>
      <c r="CH22">
        <f>IF(COUNTIF(Material_Detail!$DE:$DE,$A22)&gt;0,IF(ISNUMBER(SEARCH("[済]",INDEX(Material_Detail!$D:$DC,MATCH($A22,Material_Detail!$DE:$DE,0)+1,85))),0,IFERROR(INDEX(Material_Detail!$D:$DC,MATCH($A22,Material_Detail!$DE:$DE,0),85),0)),SUMIFS(T_Shipments[Confirmed_Qty],T_Shipments[Part Name],$A22,T_Shipments[Effective_Week],85))</f>
        <v/>
      </c>
      <c r="CI22">
        <f>IF(COUNTIF(Material_Detail!$DE:$DE,$A22)&gt;0,IF(ISNUMBER(SEARCH("[済]",INDEX(Material_Detail!$D:$DC,MATCH($A22,Material_Detail!$DE:$DE,0)+1,86))),0,IFERROR(INDEX(Material_Detail!$D:$DC,MATCH($A22,Material_Detail!$DE:$DE,0),86),0)),SUMIFS(T_Shipments[Confirmed_Qty],T_Shipments[Part Name],$A22,T_Shipments[Effective_Week],86))</f>
        <v/>
      </c>
      <c r="CJ22">
        <f>IF(COUNTIF(Material_Detail!$DE:$DE,$A22)&gt;0,IF(ISNUMBER(SEARCH("[済]",INDEX(Material_Detail!$D:$DC,MATCH($A22,Material_Detail!$DE:$DE,0)+1,87))),0,IFERROR(INDEX(Material_Detail!$D:$DC,MATCH($A22,Material_Detail!$DE:$DE,0),87),0)),SUMIFS(T_Shipments[Confirmed_Qty],T_Shipments[Part Name],$A22,T_Shipments[Effective_Week],87))</f>
        <v/>
      </c>
      <c r="CK22">
        <f>IF(COUNTIF(Material_Detail!$DE:$DE,$A22)&gt;0,IF(ISNUMBER(SEARCH("[済]",INDEX(Material_Detail!$D:$DC,MATCH($A22,Material_Detail!$DE:$DE,0)+1,88))),0,IFERROR(INDEX(Material_Detail!$D:$DC,MATCH($A22,Material_Detail!$DE:$DE,0),88),0)),SUMIFS(T_Shipments[Confirmed_Qty],T_Shipments[Part Name],$A22,T_Shipments[Effective_Week],88))</f>
        <v/>
      </c>
      <c r="CL22">
        <f>IF(COUNTIF(Material_Detail!$DE:$DE,$A22)&gt;0,IF(ISNUMBER(SEARCH("[済]",INDEX(Material_Detail!$D:$DC,MATCH($A22,Material_Detail!$DE:$DE,0)+1,89))),0,IFERROR(INDEX(Material_Detail!$D:$DC,MATCH($A22,Material_Detail!$DE:$DE,0),89),0)),SUMIFS(T_Shipments[Confirmed_Qty],T_Shipments[Part Name],$A22,T_Shipments[Effective_Week],89))</f>
        <v/>
      </c>
      <c r="CM22">
        <f>IF(COUNTIF(Material_Detail!$DE:$DE,$A22)&gt;0,IF(ISNUMBER(SEARCH("[済]",INDEX(Material_Detail!$D:$DC,MATCH($A22,Material_Detail!$DE:$DE,0)+1,90))),0,IFERROR(INDEX(Material_Detail!$D:$DC,MATCH($A22,Material_Detail!$DE:$DE,0),90),0)),SUMIFS(T_Shipments[Confirmed_Qty],T_Shipments[Part Name],$A22,T_Shipments[Effective_Week],90))</f>
        <v/>
      </c>
      <c r="CN22">
        <f>IF(COUNTIF(Material_Detail!$DE:$DE,$A22)&gt;0,IF(ISNUMBER(SEARCH("[済]",INDEX(Material_Detail!$D:$DC,MATCH($A22,Material_Detail!$DE:$DE,0)+1,91))),0,IFERROR(INDEX(Material_Detail!$D:$DC,MATCH($A22,Material_Detail!$DE:$DE,0),91),0)),SUMIFS(T_Shipments[Confirmed_Qty],T_Shipments[Part Name],$A22,T_Shipments[Effective_Week],91))</f>
        <v/>
      </c>
      <c r="CO22">
        <f>IF(COUNTIF(Material_Detail!$DE:$DE,$A22)&gt;0,IF(ISNUMBER(SEARCH("[済]",INDEX(Material_Detail!$D:$DC,MATCH($A22,Material_Detail!$DE:$DE,0)+1,92))),0,IFERROR(INDEX(Material_Detail!$D:$DC,MATCH($A22,Material_Detail!$DE:$DE,0),92),0)),SUMIFS(T_Shipments[Confirmed_Qty],T_Shipments[Part Name],$A22,T_Shipments[Effective_Week],92))</f>
        <v/>
      </c>
      <c r="CP22">
        <f>IF(COUNTIF(Material_Detail!$DE:$DE,$A22)&gt;0,IF(ISNUMBER(SEARCH("[済]",INDEX(Material_Detail!$D:$DC,MATCH($A22,Material_Detail!$DE:$DE,0)+1,93))),0,IFERROR(INDEX(Material_Detail!$D:$DC,MATCH($A22,Material_Detail!$DE:$DE,0),93),0)),SUMIFS(T_Shipments[Confirmed_Qty],T_Shipments[Part Name],$A22,T_Shipments[Effective_Week],93))</f>
        <v/>
      </c>
      <c r="CQ22">
        <f>IF(COUNTIF(Material_Detail!$DE:$DE,$A22)&gt;0,IF(ISNUMBER(SEARCH("[済]",INDEX(Material_Detail!$D:$DC,MATCH($A22,Material_Detail!$DE:$DE,0)+1,94))),0,IFERROR(INDEX(Material_Detail!$D:$DC,MATCH($A22,Material_Detail!$DE:$DE,0),94),0)),SUMIFS(T_Shipments[Confirmed_Qty],T_Shipments[Part Name],$A22,T_Shipments[Effective_Week],94))</f>
        <v/>
      </c>
      <c r="CR22">
        <f>IF(COUNTIF(Material_Detail!$DE:$DE,$A22)&gt;0,IF(ISNUMBER(SEARCH("[済]",INDEX(Material_Detail!$D:$DC,MATCH($A22,Material_Detail!$DE:$DE,0)+1,95))),0,IFERROR(INDEX(Material_Detail!$D:$DC,MATCH($A22,Material_Detail!$DE:$DE,0),95),0)),SUMIFS(T_Shipments[Confirmed_Qty],T_Shipments[Part Name],$A22,T_Shipments[Effective_Week],95))</f>
        <v/>
      </c>
      <c r="CS22">
        <f>IF(COUNTIF(Material_Detail!$DE:$DE,$A22)&gt;0,IF(ISNUMBER(SEARCH("[済]",INDEX(Material_Detail!$D:$DC,MATCH($A22,Material_Detail!$DE:$DE,0)+1,96))),0,IFERROR(INDEX(Material_Detail!$D:$DC,MATCH($A22,Material_Detail!$DE:$DE,0),96),0)),SUMIFS(T_Shipments[Confirmed_Qty],T_Shipments[Part Name],$A22,T_Shipments[Effective_Week],96))</f>
        <v/>
      </c>
      <c r="CT22">
        <f>IF(COUNTIF(Material_Detail!$DE:$DE,$A22)&gt;0,IF(ISNUMBER(SEARCH("[済]",INDEX(Material_Detail!$D:$DC,MATCH($A22,Material_Detail!$DE:$DE,0)+1,97))),0,IFERROR(INDEX(Material_Detail!$D:$DC,MATCH($A22,Material_Detail!$DE:$DE,0),97),0)),SUMIFS(T_Shipments[Confirmed_Qty],T_Shipments[Part Name],$A22,T_Shipments[Effective_Week],97))</f>
        <v/>
      </c>
      <c r="CU22">
        <f>IF(COUNTIF(Material_Detail!$DE:$DE,$A22)&gt;0,IF(ISNUMBER(SEARCH("[済]",INDEX(Material_Detail!$D:$DC,MATCH($A22,Material_Detail!$DE:$DE,0)+1,98))),0,IFERROR(INDEX(Material_Detail!$D:$DC,MATCH($A22,Material_Detail!$DE:$DE,0),98),0)),SUMIFS(T_Shipments[Confirmed_Qty],T_Shipments[Part Name],$A22,T_Shipments[Effective_Week],98))</f>
        <v/>
      </c>
      <c r="CV22">
        <f>IF(COUNTIF(Material_Detail!$DE:$DE,$A22)&gt;0,IF(ISNUMBER(SEARCH("[済]",INDEX(Material_Detail!$D:$DC,MATCH($A22,Material_Detail!$DE:$DE,0)+1,99))),0,IFERROR(INDEX(Material_Detail!$D:$DC,MATCH($A22,Material_Detail!$DE:$DE,0),99),0)),SUMIFS(T_Shipments[Confirmed_Qty],T_Shipments[Part Name],$A22,T_Shipments[Effective_Week],99))</f>
        <v/>
      </c>
      <c r="CW22">
        <f>IF(COUNTIF(Material_Detail!$DE:$DE,$A22)&gt;0,IF(ISNUMBER(SEARCH("[済]",INDEX(Material_Detail!$D:$DC,MATCH($A22,Material_Detail!$DE:$DE,0)+1,100))),0,IFERROR(INDEX(Material_Detail!$D:$DC,MATCH($A22,Material_Detail!$DE:$DE,0),100),0)),SUMIFS(T_Shipments[Confirmed_Qty],T_Shipments[Part Name],$A22,T_Shipments[Effective_Week],100))</f>
        <v/>
      </c>
      <c r="CX22">
        <f>IF(COUNTIF(Material_Detail!$DE:$DE,$A22)&gt;0,IF(ISNUMBER(SEARCH("[済]",INDEX(Material_Detail!$D:$DC,MATCH($A22,Material_Detail!$DE:$DE,0)+1,101))),0,IFERROR(INDEX(Material_Detail!$D:$DC,MATCH($A22,Material_Detail!$DE:$DE,0),101),0)),SUMIFS(T_Shipments[Confirmed_Qty],T_Shipments[Part Name],$A22,T_Shipments[Effective_Week],101))</f>
        <v/>
      </c>
      <c r="CY22">
        <f>IF(COUNTIF(Material_Detail!$DE:$DE,$A22)&gt;0,IF(ISNUMBER(SEARCH("[済]",INDEX(Material_Detail!$D:$DC,MATCH($A22,Material_Detail!$DE:$DE,0)+1,102))),0,IFERROR(INDEX(Material_Detail!$D:$DC,MATCH($A22,Material_Detail!$DE:$DE,0),102),0)),SUMIFS(T_Shipments[Confirmed_Qty],T_Shipments[Part Name],$A22,T_Shipments[Effective_Week],102))</f>
        <v/>
      </c>
      <c r="CZ22">
        <f>IF(COUNTIF(Material_Detail!$DE:$DE,$A22)&gt;0,IF(ISNUMBER(SEARCH("[済]",INDEX(Material_Detail!$D:$DC,MATCH($A22,Material_Detail!$DE:$DE,0)+1,103))),0,IFERROR(INDEX(Material_Detail!$D:$DC,MATCH($A22,Material_Detail!$DE:$DE,0),103),0)),SUMIFS(T_Shipments[Confirmed_Qty],T_Shipments[Part Name],$A22,T_Shipments[Effective_Week],103))</f>
        <v/>
      </c>
      <c r="DA22">
        <f>IF(COUNTIF(Material_Detail!$DE:$DE,$A22)&gt;0,IF(ISNUMBER(SEARCH("[済]",INDEX(Material_Detail!$D:$DC,MATCH($A22,Material_Detail!$DE:$DE,0)+1,104))),0,IFERROR(INDEX(Material_Detail!$D:$DC,MATCH($A22,Material_Detail!$DE:$DE,0),104),0)),SUMIFS(T_Shipments[Confirmed_Qty],T_Shipments[Part Name],$A22,T_Shipments[Effective_Week],104))</f>
        <v/>
      </c>
    </row>
    <row r="23">
      <c r="A23" t="inlineStr">
        <is>
          <t>CHEM-1110</t>
        </is>
      </c>
      <c r="B23">
        <f>IF(COUNTIF(Material_Detail!$DE:$DE,$A23)&gt;0,IF(ISNUMBER(SEARCH("[済]",INDEX(Material_Detail!$D:$DC,MATCH($A23,Material_Detail!$DE:$DE,0)+1,1))),0,IFERROR(INDEX(Material_Detail!$D:$DC,MATCH($A23,Material_Detail!$DE:$DE,0),1),0)),SUMIFS(T_Shipments[Confirmed_Qty],T_Shipments[Part Name],$A23,T_Shipments[Effective_Week],1))</f>
        <v/>
      </c>
      <c r="C23">
        <f>IF(COUNTIF(Material_Detail!$DE:$DE,$A23)&gt;0,IF(ISNUMBER(SEARCH("[済]",INDEX(Material_Detail!$D:$DC,MATCH($A23,Material_Detail!$DE:$DE,0)+1,2))),0,IFERROR(INDEX(Material_Detail!$D:$DC,MATCH($A23,Material_Detail!$DE:$DE,0),2),0)),SUMIFS(T_Shipments[Confirmed_Qty],T_Shipments[Part Name],$A23,T_Shipments[Effective_Week],2))</f>
        <v/>
      </c>
      <c r="D23">
        <f>IF(COUNTIF(Material_Detail!$DE:$DE,$A23)&gt;0,IF(ISNUMBER(SEARCH("[済]",INDEX(Material_Detail!$D:$DC,MATCH($A23,Material_Detail!$DE:$DE,0)+1,3))),0,IFERROR(INDEX(Material_Detail!$D:$DC,MATCH($A23,Material_Detail!$DE:$DE,0),3),0)),SUMIFS(T_Shipments[Confirmed_Qty],T_Shipments[Part Name],$A23,T_Shipments[Effective_Week],3))</f>
        <v/>
      </c>
      <c r="E23">
        <f>IF(COUNTIF(Material_Detail!$DE:$DE,$A23)&gt;0,IF(ISNUMBER(SEARCH("[済]",INDEX(Material_Detail!$D:$DC,MATCH($A23,Material_Detail!$DE:$DE,0)+1,4))),0,IFERROR(INDEX(Material_Detail!$D:$DC,MATCH($A23,Material_Detail!$DE:$DE,0),4),0)),SUMIFS(T_Shipments[Confirmed_Qty],T_Shipments[Part Name],$A23,T_Shipments[Effective_Week],4))</f>
        <v/>
      </c>
      <c r="F23">
        <f>IF(COUNTIF(Material_Detail!$DE:$DE,$A23)&gt;0,IF(ISNUMBER(SEARCH("[済]",INDEX(Material_Detail!$D:$DC,MATCH($A23,Material_Detail!$DE:$DE,0)+1,5))),0,IFERROR(INDEX(Material_Detail!$D:$DC,MATCH($A23,Material_Detail!$DE:$DE,0),5),0)),SUMIFS(T_Shipments[Confirmed_Qty],T_Shipments[Part Name],$A23,T_Shipments[Effective_Week],5))</f>
        <v/>
      </c>
      <c r="G23">
        <f>IF(COUNTIF(Material_Detail!$DE:$DE,$A23)&gt;0,IF(ISNUMBER(SEARCH("[済]",INDEX(Material_Detail!$D:$DC,MATCH($A23,Material_Detail!$DE:$DE,0)+1,6))),0,IFERROR(INDEX(Material_Detail!$D:$DC,MATCH($A23,Material_Detail!$DE:$DE,0),6),0)),SUMIFS(T_Shipments[Confirmed_Qty],T_Shipments[Part Name],$A23,T_Shipments[Effective_Week],6))</f>
        <v/>
      </c>
      <c r="H23">
        <f>IF(COUNTIF(Material_Detail!$DE:$DE,$A23)&gt;0,IF(ISNUMBER(SEARCH("[済]",INDEX(Material_Detail!$D:$DC,MATCH($A23,Material_Detail!$DE:$DE,0)+1,7))),0,IFERROR(INDEX(Material_Detail!$D:$DC,MATCH($A23,Material_Detail!$DE:$DE,0),7),0)),SUMIFS(T_Shipments[Confirmed_Qty],T_Shipments[Part Name],$A23,T_Shipments[Effective_Week],7))</f>
        <v/>
      </c>
      <c r="I23">
        <f>IF(COUNTIF(Material_Detail!$DE:$DE,$A23)&gt;0,IF(ISNUMBER(SEARCH("[済]",INDEX(Material_Detail!$D:$DC,MATCH($A23,Material_Detail!$DE:$DE,0)+1,8))),0,IFERROR(INDEX(Material_Detail!$D:$DC,MATCH($A23,Material_Detail!$DE:$DE,0),8),0)),SUMIFS(T_Shipments[Confirmed_Qty],T_Shipments[Part Name],$A23,T_Shipments[Effective_Week],8))</f>
        <v/>
      </c>
      <c r="J23">
        <f>IF(COUNTIF(Material_Detail!$DE:$DE,$A23)&gt;0,IF(ISNUMBER(SEARCH("[済]",INDEX(Material_Detail!$D:$DC,MATCH($A23,Material_Detail!$DE:$DE,0)+1,9))),0,IFERROR(INDEX(Material_Detail!$D:$DC,MATCH($A23,Material_Detail!$DE:$DE,0),9),0)),SUMIFS(T_Shipments[Confirmed_Qty],T_Shipments[Part Name],$A23,T_Shipments[Effective_Week],9))</f>
        <v/>
      </c>
      <c r="K23">
        <f>IF(COUNTIF(Material_Detail!$DE:$DE,$A23)&gt;0,IF(ISNUMBER(SEARCH("[済]",INDEX(Material_Detail!$D:$DC,MATCH($A23,Material_Detail!$DE:$DE,0)+1,10))),0,IFERROR(INDEX(Material_Detail!$D:$DC,MATCH($A23,Material_Detail!$DE:$DE,0),10),0)),SUMIFS(T_Shipments[Confirmed_Qty],T_Shipments[Part Name],$A23,T_Shipments[Effective_Week],10))</f>
        <v/>
      </c>
      <c r="L23">
        <f>IF(COUNTIF(Material_Detail!$DE:$DE,$A23)&gt;0,IF(ISNUMBER(SEARCH("[済]",INDEX(Material_Detail!$D:$DC,MATCH($A23,Material_Detail!$DE:$DE,0)+1,11))),0,IFERROR(INDEX(Material_Detail!$D:$DC,MATCH($A23,Material_Detail!$DE:$DE,0),11),0)),SUMIFS(T_Shipments[Confirmed_Qty],T_Shipments[Part Name],$A23,T_Shipments[Effective_Week],11))</f>
        <v/>
      </c>
      <c r="M23">
        <f>IF(COUNTIF(Material_Detail!$DE:$DE,$A23)&gt;0,IF(ISNUMBER(SEARCH("[済]",INDEX(Material_Detail!$D:$DC,MATCH($A23,Material_Detail!$DE:$DE,0)+1,12))),0,IFERROR(INDEX(Material_Detail!$D:$DC,MATCH($A23,Material_Detail!$DE:$DE,0),12),0)),SUMIFS(T_Shipments[Confirmed_Qty],T_Shipments[Part Name],$A23,T_Shipments[Effective_Week],12))</f>
        <v/>
      </c>
      <c r="N23">
        <f>IF(COUNTIF(Material_Detail!$DE:$DE,$A23)&gt;0,IF(ISNUMBER(SEARCH("[済]",INDEX(Material_Detail!$D:$DC,MATCH($A23,Material_Detail!$DE:$DE,0)+1,13))),0,IFERROR(INDEX(Material_Detail!$D:$DC,MATCH($A23,Material_Detail!$DE:$DE,0),13),0)),SUMIFS(T_Shipments[Confirmed_Qty],T_Shipments[Part Name],$A23,T_Shipments[Effective_Week],13))</f>
        <v/>
      </c>
      <c r="O23">
        <f>IF(COUNTIF(Material_Detail!$DE:$DE,$A23)&gt;0,IF(ISNUMBER(SEARCH("[済]",INDEX(Material_Detail!$D:$DC,MATCH($A23,Material_Detail!$DE:$DE,0)+1,14))),0,IFERROR(INDEX(Material_Detail!$D:$DC,MATCH($A23,Material_Detail!$DE:$DE,0),14),0)),SUMIFS(T_Shipments[Confirmed_Qty],T_Shipments[Part Name],$A23,T_Shipments[Effective_Week],14))</f>
        <v/>
      </c>
      <c r="P23">
        <f>IF(COUNTIF(Material_Detail!$DE:$DE,$A23)&gt;0,IF(ISNUMBER(SEARCH("[済]",INDEX(Material_Detail!$D:$DC,MATCH($A23,Material_Detail!$DE:$DE,0)+1,15))),0,IFERROR(INDEX(Material_Detail!$D:$DC,MATCH($A23,Material_Detail!$DE:$DE,0),15),0)),SUMIFS(T_Shipments[Confirmed_Qty],T_Shipments[Part Name],$A23,T_Shipments[Effective_Week],15))</f>
        <v/>
      </c>
      <c r="Q23">
        <f>IF(COUNTIF(Material_Detail!$DE:$DE,$A23)&gt;0,IF(ISNUMBER(SEARCH("[済]",INDEX(Material_Detail!$D:$DC,MATCH($A23,Material_Detail!$DE:$DE,0)+1,16))),0,IFERROR(INDEX(Material_Detail!$D:$DC,MATCH($A23,Material_Detail!$DE:$DE,0),16),0)),SUMIFS(T_Shipments[Confirmed_Qty],T_Shipments[Part Name],$A23,T_Shipments[Effective_Week],16))</f>
        <v/>
      </c>
      <c r="R23">
        <f>IF(COUNTIF(Material_Detail!$DE:$DE,$A23)&gt;0,IF(ISNUMBER(SEARCH("[済]",INDEX(Material_Detail!$D:$DC,MATCH($A23,Material_Detail!$DE:$DE,0)+1,17))),0,IFERROR(INDEX(Material_Detail!$D:$DC,MATCH($A23,Material_Detail!$DE:$DE,0),17),0)),SUMIFS(T_Shipments[Confirmed_Qty],T_Shipments[Part Name],$A23,T_Shipments[Effective_Week],17))</f>
        <v/>
      </c>
      <c r="S23">
        <f>IF(COUNTIF(Material_Detail!$DE:$DE,$A23)&gt;0,IF(ISNUMBER(SEARCH("[済]",INDEX(Material_Detail!$D:$DC,MATCH($A23,Material_Detail!$DE:$DE,0)+1,18))),0,IFERROR(INDEX(Material_Detail!$D:$DC,MATCH($A23,Material_Detail!$DE:$DE,0),18),0)),SUMIFS(T_Shipments[Confirmed_Qty],T_Shipments[Part Name],$A23,T_Shipments[Effective_Week],18))</f>
        <v/>
      </c>
      <c r="T23">
        <f>IF(COUNTIF(Material_Detail!$DE:$DE,$A23)&gt;0,IF(ISNUMBER(SEARCH("[済]",INDEX(Material_Detail!$D:$DC,MATCH($A23,Material_Detail!$DE:$DE,0)+1,19))),0,IFERROR(INDEX(Material_Detail!$D:$DC,MATCH($A23,Material_Detail!$DE:$DE,0),19),0)),SUMIFS(T_Shipments[Confirmed_Qty],T_Shipments[Part Name],$A23,T_Shipments[Effective_Week],19))</f>
        <v/>
      </c>
      <c r="U23">
        <f>IF(COUNTIF(Material_Detail!$DE:$DE,$A23)&gt;0,IF(ISNUMBER(SEARCH("[済]",INDEX(Material_Detail!$D:$DC,MATCH($A23,Material_Detail!$DE:$DE,0)+1,20))),0,IFERROR(INDEX(Material_Detail!$D:$DC,MATCH($A23,Material_Detail!$DE:$DE,0),20),0)),SUMIFS(T_Shipments[Confirmed_Qty],T_Shipments[Part Name],$A23,T_Shipments[Effective_Week],20))</f>
        <v/>
      </c>
      <c r="V23">
        <f>IF(COUNTIF(Material_Detail!$DE:$DE,$A23)&gt;0,IF(ISNUMBER(SEARCH("[済]",INDEX(Material_Detail!$D:$DC,MATCH($A23,Material_Detail!$DE:$DE,0)+1,21))),0,IFERROR(INDEX(Material_Detail!$D:$DC,MATCH($A23,Material_Detail!$DE:$DE,0),21),0)),SUMIFS(T_Shipments[Confirmed_Qty],T_Shipments[Part Name],$A23,T_Shipments[Effective_Week],21))</f>
        <v/>
      </c>
      <c r="W23">
        <f>IF(COUNTIF(Material_Detail!$DE:$DE,$A23)&gt;0,IF(ISNUMBER(SEARCH("[済]",INDEX(Material_Detail!$D:$DC,MATCH($A23,Material_Detail!$DE:$DE,0)+1,22))),0,IFERROR(INDEX(Material_Detail!$D:$DC,MATCH($A23,Material_Detail!$DE:$DE,0),22),0)),SUMIFS(T_Shipments[Confirmed_Qty],T_Shipments[Part Name],$A23,T_Shipments[Effective_Week],22))</f>
        <v/>
      </c>
      <c r="X23">
        <f>IF(COUNTIF(Material_Detail!$DE:$DE,$A23)&gt;0,IF(ISNUMBER(SEARCH("[済]",INDEX(Material_Detail!$D:$DC,MATCH($A23,Material_Detail!$DE:$DE,0)+1,23))),0,IFERROR(INDEX(Material_Detail!$D:$DC,MATCH($A23,Material_Detail!$DE:$DE,0),23),0)),SUMIFS(T_Shipments[Confirmed_Qty],T_Shipments[Part Name],$A23,T_Shipments[Effective_Week],23))</f>
        <v/>
      </c>
      <c r="Y23">
        <f>IF(COUNTIF(Material_Detail!$DE:$DE,$A23)&gt;0,IF(ISNUMBER(SEARCH("[済]",INDEX(Material_Detail!$D:$DC,MATCH($A23,Material_Detail!$DE:$DE,0)+1,24))),0,IFERROR(INDEX(Material_Detail!$D:$DC,MATCH($A23,Material_Detail!$DE:$DE,0),24),0)),SUMIFS(T_Shipments[Confirmed_Qty],T_Shipments[Part Name],$A23,T_Shipments[Effective_Week],24))</f>
        <v/>
      </c>
      <c r="Z23">
        <f>IF(COUNTIF(Material_Detail!$DE:$DE,$A23)&gt;0,IF(ISNUMBER(SEARCH("[済]",INDEX(Material_Detail!$D:$DC,MATCH($A23,Material_Detail!$DE:$DE,0)+1,25))),0,IFERROR(INDEX(Material_Detail!$D:$DC,MATCH($A23,Material_Detail!$DE:$DE,0),25),0)),SUMIFS(T_Shipments[Confirmed_Qty],T_Shipments[Part Name],$A23,T_Shipments[Effective_Week],25))</f>
        <v/>
      </c>
      <c r="AA23">
        <f>IF(COUNTIF(Material_Detail!$DE:$DE,$A23)&gt;0,IF(ISNUMBER(SEARCH("[済]",INDEX(Material_Detail!$D:$DC,MATCH($A23,Material_Detail!$DE:$DE,0)+1,26))),0,IFERROR(INDEX(Material_Detail!$D:$DC,MATCH($A23,Material_Detail!$DE:$DE,0),26),0)),SUMIFS(T_Shipments[Confirmed_Qty],T_Shipments[Part Name],$A23,T_Shipments[Effective_Week],26))</f>
        <v/>
      </c>
      <c r="AB23">
        <f>IF(COUNTIF(Material_Detail!$DE:$DE,$A23)&gt;0,IF(ISNUMBER(SEARCH("[済]",INDEX(Material_Detail!$D:$DC,MATCH($A23,Material_Detail!$DE:$DE,0)+1,27))),0,IFERROR(INDEX(Material_Detail!$D:$DC,MATCH($A23,Material_Detail!$DE:$DE,0),27),0)),SUMIFS(T_Shipments[Confirmed_Qty],T_Shipments[Part Name],$A23,T_Shipments[Effective_Week],27))</f>
        <v/>
      </c>
      <c r="AC23">
        <f>IF(COUNTIF(Material_Detail!$DE:$DE,$A23)&gt;0,IF(ISNUMBER(SEARCH("[済]",INDEX(Material_Detail!$D:$DC,MATCH($A23,Material_Detail!$DE:$DE,0)+1,28))),0,IFERROR(INDEX(Material_Detail!$D:$DC,MATCH($A23,Material_Detail!$DE:$DE,0),28),0)),SUMIFS(T_Shipments[Confirmed_Qty],T_Shipments[Part Name],$A23,T_Shipments[Effective_Week],28))</f>
        <v/>
      </c>
      <c r="AD23">
        <f>IF(COUNTIF(Material_Detail!$DE:$DE,$A23)&gt;0,IF(ISNUMBER(SEARCH("[済]",INDEX(Material_Detail!$D:$DC,MATCH($A23,Material_Detail!$DE:$DE,0)+1,29))),0,IFERROR(INDEX(Material_Detail!$D:$DC,MATCH($A23,Material_Detail!$DE:$DE,0),29),0)),SUMIFS(T_Shipments[Confirmed_Qty],T_Shipments[Part Name],$A23,T_Shipments[Effective_Week],29))</f>
        <v/>
      </c>
      <c r="AE23">
        <f>IF(COUNTIF(Material_Detail!$DE:$DE,$A23)&gt;0,IF(ISNUMBER(SEARCH("[済]",INDEX(Material_Detail!$D:$DC,MATCH($A23,Material_Detail!$DE:$DE,0)+1,30))),0,IFERROR(INDEX(Material_Detail!$D:$DC,MATCH($A23,Material_Detail!$DE:$DE,0),30),0)),SUMIFS(T_Shipments[Confirmed_Qty],T_Shipments[Part Name],$A23,T_Shipments[Effective_Week],30))</f>
        <v/>
      </c>
      <c r="AF23">
        <f>IF(COUNTIF(Material_Detail!$DE:$DE,$A23)&gt;0,IF(ISNUMBER(SEARCH("[済]",INDEX(Material_Detail!$D:$DC,MATCH($A23,Material_Detail!$DE:$DE,0)+1,31))),0,IFERROR(INDEX(Material_Detail!$D:$DC,MATCH($A23,Material_Detail!$DE:$DE,0),31),0)),SUMIFS(T_Shipments[Confirmed_Qty],T_Shipments[Part Name],$A23,T_Shipments[Effective_Week],31))</f>
        <v/>
      </c>
      <c r="AG23">
        <f>IF(COUNTIF(Material_Detail!$DE:$DE,$A23)&gt;0,IF(ISNUMBER(SEARCH("[済]",INDEX(Material_Detail!$D:$DC,MATCH($A23,Material_Detail!$DE:$DE,0)+1,32))),0,IFERROR(INDEX(Material_Detail!$D:$DC,MATCH($A23,Material_Detail!$DE:$DE,0),32),0)),SUMIFS(T_Shipments[Confirmed_Qty],T_Shipments[Part Name],$A23,T_Shipments[Effective_Week],32))</f>
        <v/>
      </c>
      <c r="AH23">
        <f>IF(COUNTIF(Material_Detail!$DE:$DE,$A23)&gt;0,IF(ISNUMBER(SEARCH("[済]",INDEX(Material_Detail!$D:$DC,MATCH($A23,Material_Detail!$DE:$DE,0)+1,33))),0,IFERROR(INDEX(Material_Detail!$D:$DC,MATCH($A23,Material_Detail!$DE:$DE,0),33),0)),SUMIFS(T_Shipments[Confirmed_Qty],T_Shipments[Part Name],$A23,T_Shipments[Effective_Week],33))</f>
        <v/>
      </c>
      <c r="AI23">
        <f>IF(COUNTIF(Material_Detail!$DE:$DE,$A23)&gt;0,IF(ISNUMBER(SEARCH("[済]",INDEX(Material_Detail!$D:$DC,MATCH($A23,Material_Detail!$DE:$DE,0)+1,34))),0,IFERROR(INDEX(Material_Detail!$D:$DC,MATCH($A23,Material_Detail!$DE:$DE,0),34),0)),SUMIFS(T_Shipments[Confirmed_Qty],T_Shipments[Part Name],$A23,T_Shipments[Effective_Week],34))</f>
        <v/>
      </c>
      <c r="AJ23">
        <f>IF(COUNTIF(Material_Detail!$DE:$DE,$A23)&gt;0,IF(ISNUMBER(SEARCH("[済]",INDEX(Material_Detail!$D:$DC,MATCH($A23,Material_Detail!$DE:$DE,0)+1,35))),0,IFERROR(INDEX(Material_Detail!$D:$DC,MATCH($A23,Material_Detail!$DE:$DE,0),35),0)),SUMIFS(T_Shipments[Confirmed_Qty],T_Shipments[Part Name],$A23,T_Shipments[Effective_Week],35))</f>
        <v/>
      </c>
      <c r="AK23">
        <f>IF(COUNTIF(Material_Detail!$DE:$DE,$A23)&gt;0,IF(ISNUMBER(SEARCH("[済]",INDEX(Material_Detail!$D:$DC,MATCH($A23,Material_Detail!$DE:$DE,0)+1,36))),0,IFERROR(INDEX(Material_Detail!$D:$DC,MATCH($A23,Material_Detail!$DE:$DE,0),36),0)),SUMIFS(T_Shipments[Confirmed_Qty],T_Shipments[Part Name],$A23,T_Shipments[Effective_Week],36))</f>
        <v/>
      </c>
      <c r="AL23">
        <f>IF(COUNTIF(Material_Detail!$DE:$DE,$A23)&gt;0,IF(ISNUMBER(SEARCH("[済]",INDEX(Material_Detail!$D:$DC,MATCH($A23,Material_Detail!$DE:$DE,0)+1,37))),0,IFERROR(INDEX(Material_Detail!$D:$DC,MATCH($A23,Material_Detail!$DE:$DE,0),37),0)),SUMIFS(T_Shipments[Confirmed_Qty],T_Shipments[Part Name],$A23,T_Shipments[Effective_Week],37))</f>
        <v/>
      </c>
      <c r="AM23">
        <f>IF(COUNTIF(Material_Detail!$DE:$DE,$A23)&gt;0,IF(ISNUMBER(SEARCH("[済]",INDEX(Material_Detail!$D:$DC,MATCH($A23,Material_Detail!$DE:$DE,0)+1,38))),0,IFERROR(INDEX(Material_Detail!$D:$DC,MATCH($A23,Material_Detail!$DE:$DE,0),38),0)),SUMIFS(T_Shipments[Confirmed_Qty],T_Shipments[Part Name],$A23,T_Shipments[Effective_Week],38))</f>
        <v/>
      </c>
      <c r="AN23">
        <f>IF(COUNTIF(Material_Detail!$DE:$DE,$A23)&gt;0,IF(ISNUMBER(SEARCH("[済]",INDEX(Material_Detail!$D:$DC,MATCH($A23,Material_Detail!$DE:$DE,0)+1,39))),0,IFERROR(INDEX(Material_Detail!$D:$DC,MATCH($A23,Material_Detail!$DE:$DE,0),39),0)),SUMIFS(T_Shipments[Confirmed_Qty],T_Shipments[Part Name],$A23,T_Shipments[Effective_Week],39))</f>
        <v/>
      </c>
      <c r="AO23">
        <f>IF(COUNTIF(Material_Detail!$DE:$DE,$A23)&gt;0,IF(ISNUMBER(SEARCH("[済]",INDEX(Material_Detail!$D:$DC,MATCH($A23,Material_Detail!$DE:$DE,0)+1,40))),0,IFERROR(INDEX(Material_Detail!$D:$DC,MATCH($A23,Material_Detail!$DE:$DE,0),40),0)),SUMIFS(T_Shipments[Confirmed_Qty],T_Shipments[Part Name],$A23,T_Shipments[Effective_Week],40))</f>
        <v/>
      </c>
      <c r="AP23">
        <f>IF(COUNTIF(Material_Detail!$DE:$DE,$A23)&gt;0,IF(ISNUMBER(SEARCH("[済]",INDEX(Material_Detail!$D:$DC,MATCH($A23,Material_Detail!$DE:$DE,0)+1,41))),0,IFERROR(INDEX(Material_Detail!$D:$DC,MATCH($A23,Material_Detail!$DE:$DE,0),41),0)),SUMIFS(T_Shipments[Confirmed_Qty],T_Shipments[Part Name],$A23,T_Shipments[Effective_Week],41))</f>
        <v/>
      </c>
      <c r="AQ23">
        <f>IF(COUNTIF(Material_Detail!$DE:$DE,$A23)&gt;0,IF(ISNUMBER(SEARCH("[済]",INDEX(Material_Detail!$D:$DC,MATCH($A23,Material_Detail!$DE:$DE,0)+1,42))),0,IFERROR(INDEX(Material_Detail!$D:$DC,MATCH($A23,Material_Detail!$DE:$DE,0),42),0)),SUMIFS(T_Shipments[Confirmed_Qty],T_Shipments[Part Name],$A23,T_Shipments[Effective_Week],42))</f>
        <v/>
      </c>
      <c r="AR23">
        <f>IF(COUNTIF(Material_Detail!$DE:$DE,$A23)&gt;0,IF(ISNUMBER(SEARCH("[済]",INDEX(Material_Detail!$D:$DC,MATCH($A23,Material_Detail!$DE:$DE,0)+1,43))),0,IFERROR(INDEX(Material_Detail!$D:$DC,MATCH($A23,Material_Detail!$DE:$DE,0),43),0)),SUMIFS(T_Shipments[Confirmed_Qty],T_Shipments[Part Name],$A23,T_Shipments[Effective_Week],43))</f>
        <v/>
      </c>
      <c r="AS23">
        <f>IF(COUNTIF(Material_Detail!$DE:$DE,$A23)&gt;0,IF(ISNUMBER(SEARCH("[済]",INDEX(Material_Detail!$D:$DC,MATCH($A23,Material_Detail!$DE:$DE,0)+1,44))),0,IFERROR(INDEX(Material_Detail!$D:$DC,MATCH($A23,Material_Detail!$DE:$DE,0),44),0)),SUMIFS(T_Shipments[Confirmed_Qty],T_Shipments[Part Name],$A23,T_Shipments[Effective_Week],44))</f>
        <v/>
      </c>
      <c r="AT23">
        <f>IF(COUNTIF(Material_Detail!$DE:$DE,$A23)&gt;0,IF(ISNUMBER(SEARCH("[済]",INDEX(Material_Detail!$D:$DC,MATCH($A23,Material_Detail!$DE:$DE,0)+1,45))),0,IFERROR(INDEX(Material_Detail!$D:$DC,MATCH($A23,Material_Detail!$DE:$DE,0),45),0)),SUMIFS(T_Shipments[Confirmed_Qty],T_Shipments[Part Name],$A23,T_Shipments[Effective_Week],45))</f>
        <v/>
      </c>
      <c r="AU23">
        <f>IF(COUNTIF(Material_Detail!$DE:$DE,$A23)&gt;0,IF(ISNUMBER(SEARCH("[済]",INDEX(Material_Detail!$D:$DC,MATCH($A23,Material_Detail!$DE:$DE,0)+1,46))),0,IFERROR(INDEX(Material_Detail!$D:$DC,MATCH($A23,Material_Detail!$DE:$DE,0),46),0)),SUMIFS(T_Shipments[Confirmed_Qty],T_Shipments[Part Name],$A23,T_Shipments[Effective_Week],46))</f>
        <v/>
      </c>
      <c r="AV23">
        <f>IF(COUNTIF(Material_Detail!$DE:$DE,$A23)&gt;0,IF(ISNUMBER(SEARCH("[済]",INDEX(Material_Detail!$D:$DC,MATCH($A23,Material_Detail!$DE:$DE,0)+1,47))),0,IFERROR(INDEX(Material_Detail!$D:$DC,MATCH($A23,Material_Detail!$DE:$DE,0),47),0)),SUMIFS(T_Shipments[Confirmed_Qty],T_Shipments[Part Name],$A23,T_Shipments[Effective_Week],47))</f>
        <v/>
      </c>
      <c r="AW23">
        <f>IF(COUNTIF(Material_Detail!$DE:$DE,$A23)&gt;0,IF(ISNUMBER(SEARCH("[済]",INDEX(Material_Detail!$D:$DC,MATCH($A23,Material_Detail!$DE:$DE,0)+1,48))),0,IFERROR(INDEX(Material_Detail!$D:$DC,MATCH($A23,Material_Detail!$DE:$DE,0),48),0)),SUMIFS(T_Shipments[Confirmed_Qty],T_Shipments[Part Name],$A23,T_Shipments[Effective_Week],48))</f>
        <v/>
      </c>
      <c r="AX23">
        <f>IF(COUNTIF(Material_Detail!$DE:$DE,$A23)&gt;0,IF(ISNUMBER(SEARCH("[済]",INDEX(Material_Detail!$D:$DC,MATCH($A23,Material_Detail!$DE:$DE,0)+1,49))),0,IFERROR(INDEX(Material_Detail!$D:$DC,MATCH($A23,Material_Detail!$DE:$DE,0),49),0)),SUMIFS(T_Shipments[Confirmed_Qty],T_Shipments[Part Name],$A23,T_Shipments[Effective_Week],49))</f>
        <v/>
      </c>
      <c r="AY23">
        <f>IF(COUNTIF(Material_Detail!$DE:$DE,$A23)&gt;0,IF(ISNUMBER(SEARCH("[済]",INDEX(Material_Detail!$D:$DC,MATCH($A23,Material_Detail!$DE:$DE,0)+1,50))),0,IFERROR(INDEX(Material_Detail!$D:$DC,MATCH($A23,Material_Detail!$DE:$DE,0),50),0)),SUMIFS(T_Shipments[Confirmed_Qty],T_Shipments[Part Name],$A23,T_Shipments[Effective_Week],50))</f>
        <v/>
      </c>
      <c r="AZ23">
        <f>IF(COUNTIF(Material_Detail!$DE:$DE,$A23)&gt;0,IF(ISNUMBER(SEARCH("[済]",INDEX(Material_Detail!$D:$DC,MATCH($A23,Material_Detail!$DE:$DE,0)+1,51))),0,IFERROR(INDEX(Material_Detail!$D:$DC,MATCH($A23,Material_Detail!$DE:$DE,0),51),0)),SUMIFS(T_Shipments[Confirmed_Qty],T_Shipments[Part Name],$A23,T_Shipments[Effective_Week],51))</f>
        <v/>
      </c>
      <c r="BA23">
        <f>IF(COUNTIF(Material_Detail!$DE:$DE,$A23)&gt;0,IF(ISNUMBER(SEARCH("[済]",INDEX(Material_Detail!$D:$DC,MATCH($A23,Material_Detail!$DE:$DE,0)+1,52))),0,IFERROR(INDEX(Material_Detail!$D:$DC,MATCH($A23,Material_Detail!$DE:$DE,0),52),0)),SUMIFS(T_Shipments[Confirmed_Qty],T_Shipments[Part Name],$A23,T_Shipments[Effective_Week],52))</f>
        <v/>
      </c>
      <c r="BB23">
        <f>IF(COUNTIF(Material_Detail!$DE:$DE,$A23)&gt;0,IF(ISNUMBER(SEARCH("[済]",INDEX(Material_Detail!$D:$DC,MATCH($A23,Material_Detail!$DE:$DE,0)+1,53))),0,IFERROR(INDEX(Material_Detail!$D:$DC,MATCH($A23,Material_Detail!$DE:$DE,0),53),0)),SUMIFS(T_Shipments[Confirmed_Qty],T_Shipments[Part Name],$A23,T_Shipments[Effective_Week],53))</f>
        <v/>
      </c>
      <c r="BC23">
        <f>IF(COUNTIF(Material_Detail!$DE:$DE,$A23)&gt;0,IF(ISNUMBER(SEARCH("[済]",INDEX(Material_Detail!$D:$DC,MATCH($A23,Material_Detail!$DE:$DE,0)+1,54))),0,IFERROR(INDEX(Material_Detail!$D:$DC,MATCH($A23,Material_Detail!$DE:$DE,0),54),0)),SUMIFS(T_Shipments[Confirmed_Qty],T_Shipments[Part Name],$A23,T_Shipments[Effective_Week],54))</f>
        <v/>
      </c>
      <c r="BD23">
        <f>IF(COUNTIF(Material_Detail!$DE:$DE,$A23)&gt;0,IF(ISNUMBER(SEARCH("[済]",INDEX(Material_Detail!$D:$DC,MATCH($A23,Material_Detail!$DE:$DE,0)+1,55))),0,IFERROR(INDEX(Material_Detail!$D:$DC,MATCH($A23,Material_Detail!$DE:$DE,0),55),0)),SUMIFS(T_Shipments[Confirmed_Qty],T_Shipments[Part Name],$A23,T_Shipments[Effective_Week],55))</f>
        <v/>
      </c>
      <c r="BE23">
        <f>IF(COUNTIF(Material_Detail!$DE:$DE,$A23)&gt;0,IF(ISNUMBER(SEARCH("[済]",INDEX(Material_Detail!$D:$DC,MATCH($A23,Material_Detail!$DE:$DE,0)+1,56))),0,IFERROR(INDEX(Material_Detail!$D:$DC,MATCH($A23,Material_Detail!$DE:$DE,0),56),0)),SUMIFS(T_Shipments[Confirmed_Qty],T_Shipments[Part Name],$A23,T_Shipments[Effective_Week],56))</f>
        <v/>
      </c>
      <c r="BF23">
        <f>IF(COUNTIF(Material_Detail!$DE:$DE,$A23)&gt;0,IF(ISNUMBER(SEARCH("[済]",INDEX(Material_Detail!$D:$DC,MATCH($A23,Material_Detail!$DE:$DE,0)+1,57))),0,IFERROR(INDEX(Material_Detail!$D:$DC,MATCH($A23,Material_Detail!$DE:$DE,0),57),0)),SUMIFS(T_Shipments[Confirmed_Qty],T_Shipments[Part Name],$A23,T_Shipments[Effective_Week],57))</f>
        <v/>
      </c>
      <c r="BG23">
        <f>IF(COUNTIF(Material_Detail!$DE:$DE,$A23)&gt;0,IF(ISNUMBER(SEARCH("[済]",INDEX(Material_Detail!$D:$DC,MATCH($A23,Material_Detail!$DE:$DE,0)+1,58))),0,IFERROR(INDEX(Material_Detail!$D:$DC,MATCH($A23,Material_Detail!$DE:$DE,0),58),0)),SUMIFS(T_Shipments[Confirmed_Qty],T_Shipments[Part Name],$A23,T_Shipments[Effective_Week],58))</f>
        <v/>
      </c>
      <c r="BH23">
        <f>IF(COUNTIF(Material_Detail!$DE:$DE,$A23)&gt;0,IF(ISNUMBER(SEARCH("[済]",INDEX(Material_Detail!$D:$DC,MATCH($A23,Material_Detail!$DE:$DE,0)+1,59))),0,IFERROR(INDEX(Material_Detail!$D:$DC,MATCH($A23,Material_Detail!$DE:$DE,0),59),0)),SUMIFS(T_Shipments[Confirmed_Qty],T_Shipments[Part Name],$A23,T_Shipments[Effective_Week],59))</f>
        <v/>
      </c>
      <c r="BI23">
        <f>IF(COUNTIF(Material_Detail!$DE:$DE,$A23)&gt;0,IF(ISNUMBER(SEARCH("[済]",INDEX(Material_Detail!$D:$DC,MATCH($A23,Material_Detail!$DE:$DE,0)+1,60))),0,IFERROR(INDEX(Material_Detail!$D:$DC,MATCH($A23,Material_Detail!$DE:$DE,0),60),0)),SUMIFS(T_Shipments[Confirmed_Qty],T_Shipments[Part Name],$A23,T_Shipments[Effective_Week],60))</f>
        <v/>
      </c>
      <c r="BJ23">
        <f>IF(COUNTIF(Material_Detail!$DE:$DE,$A23)&gt;0,IF(ISNUMBER(SEARCH("[済]",INDEX(Material_Detail!$D:$DC,MATCH($A23,Material_Detail!$DE:$DE,0)+1,61))),0,IFERROR(INDEX(Material_Detail!$D:$DC,MATCH($A23,Material_Detail!$DE:$DE,0),61),0)),SUMIFS(T_Shipments[Confirmed_Qty],T_Shipments[Part Name],$A23,T_Shipments[Effective_Week],61))</f>
        <v/>
      </c>
      <c r="BK23">
        <f>IF(COUNTIF(Material_Detail!$DE:$DE,$A23)&gt;0,IF(ISNUMBER(SEARCH("[済]",INDEX(Material_Detail!$D:$DC,MATCH($A23,Material_Detail!$DE:$DE,0)+1,62))),0,IFERROR(INDEX(Material_Detail!$D:$DC,MATCH($A23,Material_Detail!$DE:$DE,0),62),0)),SUMIFS(T_Shipments[Confirmed_Qty],T_Shipments[Part Name],$A23,T_Shipments[Effective_Week],62))</f>
        <v/>
      </c>
      <c r="BL23">
        <f>IF(COUNTIF(Material_Detail!$DE:$DE,$A23)&gt;0,IF(ISNUMBER(SEARCH("[済]",INDEX(Material_Detail!$D:$DC,MATCH($A23,Material_Detail!$DE:$DE,0)+1,63))),0,IFERROR(INDEX(Material_Detail!$D:$DC,MATCH($A23,Material_Detail!$DE:$DE,0),63),0)),SUMIFS(T_Shipments[Confirmed_Qty],T_Shipments[Part Name],$A23,T_Shipments[Effective_Week],63))</f>
        <v/>
      </c>
      <c r="BM23">
        <f>IF(COUNTIF(Material_Detail!$DE:$DE,$A23)&gt;0,IF(ISNUMBER(SEARCH("[済]",INDEX(Material_Detail!$D:$DC,MATCH($A23,Material_Detail!$DE:$DE,0)+1,64))),0,IFERROR(INDEX(Material_Detail!$D:$DC,MATCH($A23,Material_Detail!$DE:$DE,0),64),0)),SUMIFS(T_Shipments[Confirmed_Qty],T_Shipments[Part Name],$A23,T_Shipments[Effective_Week],64))</f>
        <v/>
      </c>
      <c r="BN23">
        <f>IF(COUNTIF(Material_Detail!$DE:$DE,$A23)&gt;0,IF(ISNUMBER(SEARCH("[済]",INDEX(Material_Detail!$D:$DC,MATCH($A23,Material_Detail!$DE:$DE,0)+1,65))),0,IFERROR(INDEX(Material_Detail!$D:$DC,MATCH($A23,Material_Detail!$DE:$DE,0),65),0)),SUMIFS(T_Shipments[Confirmed_Qty],T_Shipments[Part Name],$A23,T_Shipments[Effective_Week],65))</f>
        <v/>
      </c>
      <c r="BO23">
        <f>IF(COUNTIF(Material_Detail!$DE:$DE,$A23)&gt;0,IF(ISNUMBER(SEARCH("[済]",INDEX(Material_Detail!$D:$DC,MATCH($A23,Material_Detail!$DE:$DE,0)+1,66))),0,IFERROR(INDEX(Material_Detail!$D:$DC,MATCH($A23,Material_Detail!$DE:$DE,0),66),0)),SUMIFS(T_Shipments[Confirmed_Qty],T_Shipments[Part Name],$A23,T_Shipments[Effective_Week],66))</f>
        <v/>
      </c>
      <c r="BP23">
        <f>IF(COUNTIF(Material_Detail!$DE:$DE,$A23)&gt;0,IF(ISNUMBER(SEARCH("[済]",INDEX(Material_Detail!$D:$DC,MATCH($A23,Material_Detail!$DE:$DE,0)+1,67))),0,IFERROR(INDEX(Material_Detail!$D:$DC,MATCH($A23,Material_Detail!$DE:$DE,0),67),0)),SUMIFS(T_Shipments[Confirmed_Qty],T_Shipments[Part Name],$A23,T_Shipments[Effective_Week],67))</f>
        <v/>
      </c>
      <c r="BQ23">
        <f>IF(COUNTIF(Material_Detail!$DE:$DE,$A23)&gt;0,IF(ISNUMBER(SEARCH("[済]",INDEX(Material_Detail!$D:$DC,MATCH($A23,Material_Detail!$DE:$DE,0)+1,68))),0,IFERROR(INDEX(Material_Detail!$D:$DC,MATCH($A23,Material_Detail!$DE:$DE,0),68),0)),SUMIFS(T_Shipments[Confirmed_Qty],T_Shipments[Part Name],$A23,T_Shipments[Effective_Week],68))</f>
        <v/>
      </c>
      <c r="BR23">
        <f>IF(COUNTIF(Material_Detail!$DE:$DE,$A23)&gt;0,IF(ISNUMBER(SEARCH("[済]",INDEX(Material_Detail!$D:$DC,MATCH($A23,Material_Detail!$DE:$DE,0)+1,69))),0,IFERROR(INDEX(Material_Detail!$D:$DC,MATCH($A23,Material_Detail!$DE:$DE,0),69),0)),SUMIFS(T_Shipments[Confirmed_Qty],T_Shipments[Part Name],$A23,T_Shipments[Effective_Week],69))</f>
        <v/>
      </c>
      <c r="BS23">
        <f>IF(COUNTIF(Material_Detail!$DE:$DE,$A23)&gt;0,IF(ISNUMBER(SEARCH("[済]",INDEX(Material_Detail!$D:$DC,MATCH($A23,Material_Detail!$DE:$DE,0)+1,70))),0,IFERROR(INDEX(Material_Detail!$D:$DC,MATCH($A23,Material_Detail!$DE:$DE,0),70),0)),SUMIFS(T_Shipments[Confirmed_Qty],T_Shipments[Part Name],$A23,T_Shipments[Effective_Week],70))</f>
        <v/>
      </c>
      <c r="BT23">
        <f>IF(COUNTIF(Material_Detail!$DE:$DE,$A23)&gt;0,IF(ISNUMBER(SEARCH("[済]",INDEX(Material_Detail!$D:$DC,MATCH($A23,Material_Detail!$DE:$DE,0)+1,71))),0,IFERROR(INDEX(Material_Detail!$D:$DC,MATCH($A23,Material_Detail!$DE:$DE,0),71),0)),SUMIFS(T_Shipments[Confirmed_Qty],T_Shipments[Part Name],$A23,T_Shipments[Effective_Week],71))</f>
        <v/>
      </c>
      <c r="BU23">
        <f>IF(COUNTIF(Material_Detail!$DE:$DE,$A23)&gt;0,IF(ISNUMBER(SEARCH("[済]",INDEX(Material_Detail!$D:$DC,MATCH($A23,Material_Detail!$DE:$DE,0)+1,72))),0,IFERROR(INDEX(Material_Detail!$D:$DC,MATCH($A23,Material_Detail!$DE:$DE,0),72),0)),SUMIFS(T_Shipments[Confirmed_Qty],T_Shipments[Part Name],$A23,T_Shipments[Effective_Week],72))</f>
        <v/>
      </c>
      <c r="BV23">
        <f>IF(COUNTIF(Material_Detail!$DE:$DE,$A23)&gt;0,IF(ISNUMBER(SEARCH("[済]",INDEX(Material_Detail!$D:$DC,MATCH($A23,Material_Detail!$DE:$DE,0)+1,73))),0,IFERROR(INDEX(Material_Detail!$D:$DC,MATCH($A23,Material_Detail!$DE:$DE,0),73),0)),SUMIFS(T_Shipments[Confirmed_Qty],T_Shipments[Part Name],$A23,T_Shipments[Effective_Week],73))</f>
        <v/>
      </c>
      <c r="BW23">
        <f>IF(COUNTIF(Material_Detail!$DE:$DE,$A23)&gt;0,IF(ISNUMBER(SEARCH("[済]",INDEX(Material_Detail!$D:$DC,MATCH($A23,Material_Detail!$DE:$DE,0)+1,74))),0,IFERROR(INDEX(Material_Detail!$D:$DC,MATCH($A23,Material_Detail!$DE:$DE,0),74),0)),SUMIFS(T_Shipments[Confirmed_Qty],T_Shipments[Part Name],$A23,T_Shipments[Effective_Week],74))</f>
        <v/>
      </c>
      <c r="BX23">
        <f>IF(COUNTIF(Material_Detail!$DE:$DE,$A23)&gt;0,IF(ISNUMBER(SEARCH("[済]",INDEX(Material_Detail!$D:$DC,MATCH($A23,Material_Detail!$DE:$DE,0)+1,75))),0,IFERROR(INDEX(Material_Detail!$D:$DC,MATCH($A23,Material_Detail!$DE:$DE,0),75),0)),SUMIFS(T_Shipments[Confirmed_Qty],T_Shipments[Part Name],$A23,T_Shipments[Effective_Week],75))</f>
        <v/>
      </c>
      <c r="BY23">
        <f>IF(COUNTIF(Material_Detail!$DE:$DE,$A23)&gt;0,IF(ISNUMBER(SEARCH("[済]",INDEX(Material_Detail!$D:$DC,MATCH($A23,Material_Detail!$DE:$DE,0)+1,76))),0,IFERROR(INDEX(Material_Detail!$D:$DC,MATCH($A23,Material_Detail!$DE:$DE,0),76),0)),SUMIFS(T_Shipments[Confirmed_Qty],T_Shipments[Part Name],$A23,T_Shipments[Effective_Week],76))</f>
        <v/>
      </c>
      <c r="BZ23">
        <f>IF(COUNTIF(Material_Detail!$DE:$DE,$A23)&gt;0,IF(ISNUMBER(SEARCH("[済]",INDEX(Material_Detail!$D:$DC,MATCH($A23,Material_Detail!$DE:$DE,0)+1,77))),0,IFERROR(INDEX(Material_Detail!$D:$DC,MATCH($A23,Material_Detail!$DE:$DE,0),77),0)),SUMIFS(T_Shipments[Confirmed_Qty],T_Shipments[Part Name],$A23,T_Shipments[Effective_Week],77))</f>
        <v/>
      </c>
      <c r="CA23">
        <f>IF(COUNTIF(Material_Detail!$DE:$DE,$A23)&gt;0,IF(ISNUMBER(SEARCH("[済]",INDEX(Material_Detail!$D:$DC,MATCH($A23,Material_Detail!$DE:$DE,0)+1,78))),0,IFERROR(INDEX(Material_Detail!$D:$DC,MATCH($A23,Material_Detail!$DE:$DE,0),78),0)),SUMIFS(T_Shipments[Confirmed_Qty],T_Shipments[Part Name],$A23,T_Shipments[Effective_Week],78))</f>
        <v/>
      </c>
      <c r="CB23">
        <f>IF(COUNTIF(Material_Detail!$DE:$DE,$A23)&gt;0,IF(ISNUMBER(SEARCH("[済]",INDEX(Material_Detail!$D:$DC,MATCH($A23,Material_Detail!$DE:$DE,0)+1,79))),0,IFERROR(INDEX(Material_Detail!$D:$DC,MATCH($A23,Material_Detail!$DE:$DE,0),79),0)),SUMIFS(T_Shipments[Confirmed_Qty],T_Shipments[Part Name],$A23,T_Shipments[Effective_Week],79))</f>
        <v/>
      </c>
      <c r="CC23">
        <f>IF(COUNTIF(Material_Detail!$DE:$DE,$A23)&gt;0,IF(ISNUMBER(SEARCH("[済]",INDEX(Material_Detail!$D:$DC,MATCH($A23,Material_Detail!$DE:$DE,0)+1,80))),0,IFERROR(INDEX(Material_Detail!$D:$DC,MATCH($A23,Material_Detail!$DE:$DE,0),80),0)),SUMIFS(T_Shipments[Confirmed_Qty],T_Shipments[Part Name],$A23,T_Shipments[Effective_Week],80))</f>
        <v/>
      </c>
      <c r="CD23">
        <f>IF(COUNTIF(Material_Detail!$DE:$DE,$A23)&gt;0,IF(ISNUMBER(SEARCH("[済]",INDEX(Material_Detail!$D:$DC,MATCH($A23,Material_Detail!$DE:$DE,0)+1,81))),0,IFERROR(INDEX(Material_Detail!$D:$DC,MATCH($A23,Material_Detail!$DE:$DE,0),81),0)),SUMIFS(T_Shipments[Confirmed_Qty],T_Shipments[Part Name],$A23,T_Shipments[Effective_Week],81))</f>
        <v/>
      </c>
      <c r="CE23">
        <f>IF(COUNTIF(Material_Detail!$DE:$DE,$A23)&gt;0,IF(ISNUMBER(SEARCH("[済]",INDEX(Material_Detail!$D:$DC,MATCH($A23,Material_Detail!$DE:$DE,0)+1,82))),0,IFERROR(INDEX(Material_Detail!$D:$DC,MATCH($A23,Material_Detail!$DE:$DE,0),82),0)),SUMIFS(T_Shipments[Confirmed_Qty],T_Shipments[Part Name],$A23,T_Shipments[Effective_Week],82))</f>
        <v/>
      </c>
      <c r="CF23">
        <f>IF(COUNTIF(Material_Detail!$DE:$DE,$A23)&gt;0,IF(ISNUMBER(SEARCH("[済]",INDEX(Material_Detail!$D:$DC,MATCH($A23,Material_Detail!$DE:$DE,0)+1,83))),0,IFERROR(INDEX(Material_Detail!$D:$DC,MATCH($A23,Material_Detail!$DE:$DE,0),83),0)),SUMIFS(T_Shipments[Confirmed_Qty],T_Shipments[Part Name],$A23,T_Shipments[Effective_Week],83))</f>
        <v/>
      </c>
      <c r="CG23">
        <f>IF(COUNTIF(Material_Detail!$DE:$DE,$A23)&gt;0,IF(ISNUMBER(SEARCH("[済]",INDEX(Material_Detail!$D:$DC,MATCH($A23,Material_Detail!$DE:$DE,0)+1,84))),0,IFERROR(INDEX(Material_Detail!$D:$DC,MATCH($A23,Material_Detail!$DE:$DE,0),84),0)),SUMIFS(T_Shipments[Confirmed_Qty],T_Shipments[Part Name],$A23,T_Shipments[Effective_Week],84))</f>
        <v/>
      </c>
      <c r="CH23">
        <f>IF(COUNTIF(Material_Detail!$DE:$DE,$A23)&gt;0,IF(ISNUMBER(SEARCH("[済]",INDEX(Material_Detail!$D:$DC,MATCH($A23,Material_Detail!$DE:$DE,0)+1,85))),0,IFERROR(INDEX(Material_Detail!$D:$DC,MATCH($A23,Material_Detail!$DE:$DE,0),85),0)),SUMIFS(T_Shipments[Confirmed_Qty],T_Shipments[Part Name],$A23,T_Shipments[Effective_Week],85))</f>
        <v/>
      </c>
      <c r="CI23">
        <f>IF(COUNTIF(Material_Detail!$DE:$DE,$A23)&gt;0,IF(ISNUMBER(SEARCH("[済]",INDEX(Material_Detail!$D:$DC,MATCH($A23,Material_Detail!$DE:$DE,0)+1,86))),0,IFERROR(INDEX(Material_Detail!$D:$DC,MATCH($A23,Material_Detail!$DE:$DE,0),86),0)),SUMIFS(T_Shipments[Confirmed_Qty],T_Shipments[Part Name],$A23,T_Shipments[Effective_Week],86))</f>
        <v/>
      </c>
      <c r="CJ23">
        <f>IF(COUNTIF(Material_Detail!$DE:$DE,$A23)&gt;0,IF(ISNUMBER(SEARCH("[済]",INDEX(Material_Detail!$D:$DC,MATCH($A23,Material_Detail!$DE:$DE,0)+1,87))),0,IFERROR(INDEX(Material_Detail!$D:$DC,MATCH($A23,Material_Detail!$DE:$DE,0),87),0)),SUMIFS(T_Shipments[Confirmed_Qty],T_Shipments[Part Name],$A23,T_Shipments[Effective_Week],87))</f>
        <v/>
      </c>
      <c r="CK23">
        <f>IF(COUNTIF(Material_Detail!$DE:$DE,$A23)&gt;0,IF(ISNUMBER(SEARCH("[済]",INDEX(Material_Detail!$D:$DC,MATCH($A23,Material_Detail!$DE:$DE,0)+1,88))),0,IFERROR(INDEX(Material_Detail!$D:$DC,MATCH($A23,Material_Detail!$DE:$DE,0),88),0)),SUMIFS(T_Shipments[Confirmed_Qty],T_Shipments[Part Name],$A23,T_Shipments[Effective_Week],88))</f>
        <v/>
      </c>
      <c r="CL23">
        <f>IF(COUNTIF(Material_Detail!$DE:$DE,$A23)&gt;0,IF(ISNUMBER(SEARCH("[済]",INDEX(Material_Detail!$D:$DC,MATCH($A23,Material_Detail!$DE:$DE,0)+1,89))),0,IFERROR(INDEX(Material_Detail!$D:$DC,MATCH($A23,Material_Detail!$DE:$DE,0),89),0)),SUMIFS(T_Shipments[Confirmed_Qty],T_Shipments[Part Name],$A23,T_Shipments[Effective_Week],89))</f>
        <v/>
      </c>
      <c r="CM23">
        <f>IF(COUNTIF(Material_Detail!$DE:$DE,$A23)&gt;0,IF(ISNUMBER(SEARCH("[済]",INDEX(Material_Detail!$D:$DC,MATCH($A23,Material_Detail!$DE:$DE,0)+1,90))),0,IFERROR(INDEX(Material_Detail!$D:$DC,MATCH($A23,Material_Detail!$DE:$DE,0),90),0)),SUMIFS(T_Shipments[Confirmed_Qty],T_Shipments[Part Name],$A23,T_Shipments[Effective_Week],90))</f>
        <v/>
      </c>
      <c r="CN23">
        <f>IF(COUNTIF(Material_Detail!$DE:$DE,$A23)&gt;0,IF(ISNUMBER(SEARCH("[済]",INDEX(Material_Detail!$D:$DC,MATCH($A23,Material_Detail!$DE:$DE,0)+1,91))),0,IFERROR(INDEX(Material_Detail!$D:$DC,MATCH($A23,Material_Detail!$DE:$DE,0),91),0)),SUMIFS(T_Shipments[Confirmed_Qty],T_Shipments[Part Name],$A23,T_Shipments[Effective_Week],91))</f>
        <v/>
      </c>
      <c r="CO23">
        <f>IF(COUNTIF(Material_Detail!$DE:$DE,$A23)&gt;0,IF(ISNUMBER(SEARCH("[済]",INDEX(Material_Detail!$D:$DC,MATCH($A23,Material_Detail!$DE:$DE,0)+1,92))),0,IFERROR(INDEX(Material_Detail!$D:$DC,MATCH($A23,Material_Detail!$DE:$DE,0),92),0)),SUMIFS(T_Shipments[Confirmed_Qty],T_Shipments[Part Name],$A23,T_Shipments[Effective_Week],92))</f>
        <v/>
      </c>
      <c r="CP23">
        <f>IF(COUNTIF(Material_Detail!$DE:$DE,$A23)&gt;0,IF(ISNUMBER(SEARCH("[済]",INDEX(Material_Detail!$D:$DC,MATCH($A23,Material_Detail!$DE:$DE,0)+1,93))),0,IFERROR(INDEX(Material_Detail!$D:$DC,MATCH($A23,Material_Detail!$DE:$DE,0),93),0)),SUMIFS(T_Shipments[Confirmed_Qty],T_Shipments[Part Name],$A23,T_Shipments[Effective_Week],93))</f>
        <v/>
      </c>
      <c r="CQ23">
        <f>IF(COUNTIF(Material_Detail!$DE:$DE,$A23)&gt;0,IF(ISNUMBER(SEARCH("[済]",INDEX(Material_Detail!$D:$DC,MATCH($A23,Material_Detail!$DE:$DE,0)+1,94))),0,IFERROR(INDEX(Material_Detail!$D:$DC,MATCH($A23,Material_Detail!$DE:$DE,0),94),0)),SUMIFS(T_Shipments[Confirmed_Qty],T_Shipments[Part Name],$A23,T_Shipments[Effective_Week],94))</f>
        <v/>
      </c>
      <c r="CR23">
        <f>IF(COUNTIF(Material_Detail!$DE:$DE,$A23)&gt;0,IF(ISNUMBER(SEARCH("[済]",INDEX(Material_Detail!$D:$DC,MATCH($A23,Material_Detail!$DE:$DE,0)+1,95))),0,IFERROR(INDEX(Material_Detail!$D:$DC,MATCH($A23,Material_Detail!$DE:$DE,0),95),0)),SUMIFS(T_Shipments[Confirmed_Qty],T_Shipments[Part Name],$A23,T_Shipments[Effective_Week],95))</f>
        <v/>
      </c>
      <c r="CS23">
        <f>IF(COUNTIF(Material_Detail!$DE:$DE,$A23)&gt;0,IF(ISNUMBER(SEARCH("[済]",INDEX(Material_Detail!$D:$DC,MATCH($A23,Material_Detail!$DE:$DE,0)+1,96))),0,IFERROR(INDEX(Material_Detail!$D:$DC,MATCH($A23,Material_Detail!$DE:$DE,0),96),0)),SUMIFS(T_Shipments[Confirmed_Qty],T_Shipments[Part Name],$A23,T_Shipments[Effective_Week],96))</f>
        <v/>
      </c>
      <c r="CT23">
        <f>IF(COUNTIF(Material_Detail!$DE:$DE,$A23)&gt;0,IF(ISNUMBER(SEARCH("[済]",INDEX(Material_Detail!$D:$DC,MATCH($A23,Material_Detail!$DE:$DE,0)+1,97))),0,IFERROR(INDEX(Material_Detail!$D:$DC,MATCH($A23,Material_Detail!$DE:$DE,0),97),0)),SUMIFS(T_Shipments[Confirmed_Qty],T_Shipments[Part Name],$A23,T_Shipments[Effective_Week],97))</f>
        <v/>
      </c>
      <c r="CU23">
        <f>IF(COUNTIF(Material_Detail!$DE:$DE,$A23)&gt;0,IF(ISNUMBER(SEARCH("[済]",INDEX(Material_Detail!$D:$DC,MATCH($A23,Material_Detail!$DE:$DE,0)+1,98))),0,IFERROR(INDEX(Material_Detail!$D:$DC,MATCH($A23,Material_Detail!$DE:$DE,0),98),0)),SUMIFS(T_Shipments[Confirmed_Qty],T_Shipments[Part Name],$A23,T_Shipments[Effective_Week],98))</f>
        <v/>
      </c>
      <c r="CV23">
        <f>IF(COUNTIF(Material_Detail!$DE:$DE,$A23)&gt;0,IF(ISNUMBER(SEARCH("[済]",INDEX(Material_Detail!$D:$DC,MATCH($A23,Material_Detail!$DE:$DE,0)+1,99))),0,IFERROR(INDEX(Material_Detail!$D:$DC,MATCH($A23,Material_Detail!$DE:$DE,0),99),0)),SUMIFS(T_Shipments[Confirmed_Qty],T_Shipments[Part Name],$A23,T_Shipments[Effective_Week],99))</f>
        <v/>
      </c>
      <c r="CW23">
        <f>IF(COUNTIF(Material_Detail!$DE:$DE,$A23)&gt;0,IF(ISNUMBER(SEARCH("[済]",INDEX(Material_Detail!$D:$DC,MATCH($A23,Material_Detail!$DE:$DE,0)+1,100))),0,IFERROR(INDEX(Material_Detail!$D:$DC,MATCH($A23,Material_Detail!$DE:$DE,0),100),0)),SUMIFS(T_Shipments[Confirmed_Qty],T_Shipments[Part Name],$A23,T_Shipments[Effective_Week],100))</f>
        <v/>
      </c>
      <c r="CX23">
        <f>IF(COUNTIF(Material_Detail!$DE:$DE,$A23)&gt;0,IF(ISNUMBER(SEARCH("[済]",INDEX(Material_Detail!$D:$DC,MATCH($A23,Material_Detail!$DE:$DE,0)+1,101))),0,IFERROR(INDEX(Material_Detail!$D:$DC,MATCH($A23,Material_Detail!$DE:$DE,0),101),0)),SUMIFS(T_Shipments[Confirmed_Qty],T_Shipments[Part Name],$A23,T_Shipments[Effective_Week],101))</f>
        <v/>
      </c>
      <c r="CY23">
        <f>IF(COUNTIF(Material_Detail!$DE:$DE,$A23)&gt;0,IF(ISNUMBER(SEARCH("[済]",INDEX(Material_Detail!$D:$DC,MATCH($A23,Material_Detail!$DE:$DE,0)+1,102))),0,IFERROR(INDEX(Material_Detail!$D:$DC,MATCH($A23,Material_Detail!$DE:$DE,0),102),0)),SUMIFS(T_Shipments[Confirmed_Qty],T_Shipments[Part Name],$A23,T_Shipments[Effective_Week],102))</f>
        <v/>
      </c>
      <c r="CZ23">
        <f>IF(COUNTIF(Material_Detail!$DE:$DE,$A23)&gt;0,IF(ISNUMBER(SEARCH("[済]",INDEX(Material_Detail!$D:$DC,MATCH($A23,Material_Detail!$DE:$DE,0)+1,103))),0,IFERROR(INDEX(Material_Detail!$D:$DC,MATCH($A23,Material_Detail!$DE:$DE,0),103),0)),SUMIFS(T_Shipments[Confirmed_Qty],T_Shipments[Part Name],$A23,T_Shipments[Effective_Week],103))</f>
        <v/>
      </c>
      <c r="DA23">
        <f>IF(COUNTIF(Material_Detail!$DE:$DE,$A23)&gt;0,IF(ISNUMBER(SEARCH("[済]",INDEX(Material_Detail!$D:$DC,MATCH($A23,Material_Detail!$DE:$DE,0)+1,104))),0,IFERROR(INDEX(Material_Detail!$D:$DC,MATCH($A23,Material_Detail!$DE:$DE,0),104),0)),SUMIFS(T_Shipments[Confirmed_Qty],T_Shipments[Part Name],$A23,T_Shipments[Effective_Week],104))</f>
        <v/>
      </c>
    </row>
    <row r="24">
      <c r="A24" t="inlineStr">
        <is>
          <t>CHEM-1240</t>
        </is>
      </c>
      <c r="B24">
        <f>IF(COUNTIF(Material_Detail!$DE:$DE,$A24)&gt;0,IF(ISNUMBER(SEARCH("[済]",INDEX(Material_Detail!$D:$DC,MATCH($A24,Material_Detail!$DE:$DE,0)+1,1))),0,IFERROR(INDEX(Material_Detail!$D:$DC,MATCH($A24,Material_Detail!$DE:$DE,0),1),0)),SUMIFS(T_Shipments[Confirmed_Qty],T_Shipments[Part Name],$A24,T_Shipments[Effective_Week],1))</f>
        <v/>
      </c>
      <c r="C24">
        <f>IF(COUNTIF(Material_Detail!$DE:$DE,$A24)&gt;0,IF(ISNUMBER(SEARCH("[済]",INDEX(Material_Detail!$D:$DC,MATCH($A24,Material_Detail!$DE:$DE,0)+1,2))),0,IFERROR(INDEX(Material_Detail!$D:$DC,MATCH($A24,Material_Detail!$DE:$DE,0),2),0)),SUMIFS(T_Shipments[Confirmed_Qty],T_Shipments[Part Name],$A24,T_Shipments[Effective_Week],2))</f>
        <v/>
      </c>
      <c r="D24">
        <f>IF(COUNTIF(Material_Detail!$DE:$DE,$A24)&gt;0,IF(ISNUMBER(SEARCH("[済]",INDEX(Material_Detail!$D:$DC,MATCH($A24,Material_Detail!$DE:$DE,0)+1,3))),0,IFERROR(INDEX(Material_Detail!$D:$DC,MATCH($A24,Material_Detail!$DE:$DE,0),3),0)),SUMIFS(T_Shipments[Confirmed_Qty],T_Shipments[Part Name],$A24,T_Shipments[Effective_Week],3))</f>
        <v/>
      </c>
      <c r="E24">
        <f>IF(COUNTIF(Material_Detail!$DE:$DE,$A24)&gt;0,IF(ISNUMBER(SEARCH("[済]",INDEX(Material_Detail!$D:$DC,MATCH($A24,Material_Detail!$DE:$DE,0)+1,4))),0,IFERROR(INDEX(Material_Detail!$D:$DC,MATCH($A24,Material_Detail!$DE:$DE,0),4),0)),SUMIFS(T_Shipments[Confirmed_Qty],T_Shipments[Part Name],$A24,T_Shipments[Effective_Week],4))</f>
        <v/>
      </c>
      <c r="F24">
        <f>IF(COUNTIF(Material_Detail!$DE:$DE,$A24)&gt;0,IF(ISNUMBER(SEARCH("[済]",INDEX(Material_Detail!$D:$DC,MATCH($A24,Material_Detail!$DE:$DE,0)+1,5))),0,IFERROR(INDEX(Material_Detail!$D:$DC,MATCH($A24,Material_Detail!$DE:$DE,0),5),0)),SUMIFS(T_Shipments[Confirmed_Qty],T_Shipments[Part Name],$A24,T_Shipments[Effective_Week],5))</f>
        <v/>
      </c>
      <c r="G24">
        <f>IF(COUNTIF(Material_Detail!$DE:$DE,$A24)&gt;0,IF(ISNUMBER(SEARCH("[済]",INDEX(Material_Detail!$D:$DC,MATCH($A24,Material_Detail!$DE:$DE,0)+1,6))),0,IFERROR(INDEX(Material_Detail!$D:$DC,MATCH($A24,Material_Detail!$DE:$DE,0),6),0)),SUMIFS(T_Shipments[Confirmed_Qty],T_Shipments[Part Name],$A24,T_Shipments[Effective_Week],6))</f>
        <v/>
      </c>
      <c r="H24">
        <f>IF(COUNTIF(Material_Detail!$DE:$DE,$A24)&gt;0,IF(ISNUMBER(SEARCH("[済]",INDEX(Material_Detail!$D:$DC,MATCH($A24,Material_Detail!$DE:$DE,0)+1,7))),0,IFERROR(INDEX(Material_Detail!$D:$DC,MATCH($A24,Material_Detail!$DE:$DE,0),7),0)),SUMIFS(T_Shipments[Confirmed_Qty],T_Shipments[Part Name],$A24,T_Shipments[Effective_Week],7))</f>
        <v/>
      </c>
      <c r="I24">
        <f>IF(COUNTIF(Material_Detail!$DE:$DE,$A24)&gt;0,IF(ISNUMBER(SEARCH("[済]",INDEX(Material_Detail!$D:$DC,MATCH($A24,Material_Detail!$DE:$DE,0)+1,8))),0,IFERROR(INDEX(Material_Detail!$D:$DC,MATCH($A24,Material_Detail!$DE:$DE,0),8),0)),SUMIFS(T_Shipments[Confirmed_Qty],T_Shipments[Part Name],$A24,T_Shipments[Effective_Week],8))</f>
        <v/>
      </c>
      <c r="J24">
        <f>IF(COUNTIF(Material_Detail!$DE:$DE,$A24)&gt;0,IF(ISNUMBER(SEARCH("[済]",INDEX(Material_Detail!$D:$DC,MATCH($A24,Material_Detail!$DE:$DE,0)+1,9))),0,IFERROR(INDEX(Material_Detail!$D:$DC,MATCH($A24,Material_Detail!$DE:$DE,0),9),0)),SUMIFS(T_Shipments[Confirmed_Qty],T_Shipments[Part Name],$A24,T_Shipments[Effective_Week],9))</f>
        <v/>
      </c>
      <c r="K24">
        <f>IF(COUNTIF(Material_Detail!$DE:$DE,$A24)&gt;0,IF(ISNUMBER(SEARCH("[済]",INDEX(Material_Detail!$D:$DC,MATCH($A24,Material_Detail!$DE:$DE,0)+1,10))),0,IFERROR(INDEX(Material_Detail!$D:$DC,MATCH($A24,Material_Detail!$DE:$DE,0),10),0)),SUMIFS(T_Shipments[Confirmed_Qty],T_Shipments[Part Name],$A24,T_Shipments[Effective_Week],10))</f>
        <v/>
      </c>
      <c r="L24">
        <f>IF(COUNTIF(Material_Detail!$DE:$DE,$A24)&gt;0,IF(ISNUMBER(SEARCH("[済]",INDEX(Material_Detail!$D:$DC,MATCH($A24,Material_Detail!$DE:$DE,0)+1,11))),0,IFERROR(INDEX(Material_Detail!$D:$DC,MATCH($A24,Material_Detail!$DE:$DE,0),11),0)),SUMIFS(T_Shipments[Confirmed_Qty],T_Shipments[Part Name],$A24,T_Shipments[Effective_Week],11))</f>
        <v/>
      </c>
      <c r="M24">
        <f>IF(COUNTIF(Material_Detail!$DE:$DE,$A24)&gt;0,IF(ISNUMBER(SEARCH("[済]",INDEX(Material_Detail!$D:$DC,MATCH($A24,Material_Detail!$DE:$DE,0)+1,12))),0,IFERROR(INDEX(Material_Detail!$D:$DC,MATCH($A24,Material_Detail!$DE:$DE,0),12),0)),SUMIFS(T_Shipments[Confirmed_Qty],T_Shipments[Part Name],$A24,T_Shipments[Effective_Week],12))</f>
        <v/>
      </c>
      <c r="N24">
        <f>IF(COUNTIF(Material_Detail!$DE:$DE,$A24)&gt;0,IF(ISNUMBER(SEARCH("[済]",INDEX(Material_Detail!$D:$DC,MATCH($A24,Material_Detail!$DE:$DE,0)+1,13))),0,IFERROR(INDEX(Material_Detail!$D:$DC,MATCH($A24,Material_Detail!$DE:$DE,0),13),0)),SUMIFS(T_Shipments[Confirmed_Qty],T_Shipments[Part Name],$A24,T_Shipments[Effective_Week],13))</f>
        <v/>
      </c>
      <c r="O24">
        <f>IF(COUNTIF(Material_Detail!$DE:$DE,$A24)&gt;0,IF(ISNUMBER(SEARCH("[済]",INDEX(Material_Detail!$D:$DC,MATCH($A24,Material_Detail!$DE:$DE,0)+1,14))),0,IFERROR(INDEX(Material_Detail!$D:$DC,MATCH($A24,Material_Detail!$DE:$DE,0),14),0)),SUMIFS(T_Shipments[Confirmed_Qty],T_Shipments[Part Name],$A24,T_Shipments[Effective_Week],14))</f>
        <v/>
      </c>
      <c r="P24">
        <f>IF(COUNTIF(Material_Detail!$DE:$DE,$A24)&gt;0,IF(ISNUMBER(SEARCH("[済]",INDEX(Material_Detail!$D:$DC,MATCH($A24,Material_Detail!$DE:$DE,0)+1,15))),0,IFERROR(INDEX(Material_Detail!$D:$DC,MATCH($A24,Material_Detail!$DE:$DE,0),15),0)),SUMIFS(T_Shipments[Confirmed_Qty],T_Shipments[Part Name],$A24,T_Shipments[Effective_Week],15))</f>
        <v/>
      </c>
      <c r="Q24">
        <f>IF(COUNTIF(Material_Detail!$DE:$DE,$A24)&gt;0,IF(ISNUMBER(SEARCH("[済]",INDEX(Material_Detail!$D:$DC,MATCH($A24,Material_Detail!$DE:$DE,0)+1,16))),0,IFERROR(INDEX(Material_Detail!$D:$DC,MATCH($A24,Material_Detail!$DE:$DE,0),16),0)),SUMIFS(T_Shipments[Confirmed_Qty],T_Shipments[Part Name],$A24,T_Shipments[Effective_Week],16))</f>
        <v/>
      </c>
      <c r="R24">
        <f>IF(COUNTIF(Material_Detail!$DE:$DE,$A24)&gt;0,IF(ISNUMBER(SEARCH("[済]",INDEX(Material_Detail!$D:$DC,MATCH($A24,Material_Detail!$DE:$DE,0)+1,17))),0,IFERROR(INDEX(Material_Detail!$D:$DC,MATCH($A24,Material_Detail!$DE:$DE,0),17),0)),SUMIFS(T_Shipments[Confirmed_Qty],T_Shipments[Part Name],$A24,T_Shipments[Effective_Week],17))</f>
        <v/>
      </c>
      <c r="S24">
        <f>IF(COUNTIF(Material_Detail!$DE:$DE,$A24)&gt;0,IF(ISNUMBER(SEARCH("[済]",INDEX(Material_Detail!$D:$DC,MATCH($A24,Material_Detail!$DE:$DE,0)+1,18))),0,IFERROR(INDEX(Material_Detail!$D:$DC,MATCH($A24,Material_Detail!$DE:$DE,0),18),0)),SUMIFS(T_Shipments[Confirmed_Qty],T_Shipments[Part Name],$A24,T_Shipments[Effective_Week],18))</f>
        <v/>
      </c>
      <c r="T24">
        <f>IF(COUNTIF(Material_Detail!$DE:$DE,$A24)&gt;0,IF(ISNUMBER(SEARCH("[済]",INDEX(Material_Detail!$D:$DC,MATCH($A24,Material_Detail!$DE:$DE,0)+1,19))),0,IFERROR(INDEX(Material_Detail!$D:$DC,MATCH($A24,Material_Detail!$DE:$DE,0),19),0)),SUMIFS(T_Shipments[Confirmed_Qty],T_Shipments[Part Name],$A24,T_Shipments[Effective_Week],19))</f>
        <v/>
      </c>
      <c r="U24">
        <f>IF(COUNTIF(Material_Detail!$DE:$DE,$A24)&gt;0,IF(ISNUMBER(SEARCH("[済]",INDEX(Material_Detail!$D:$DC,MATCH($A24,Material_Detail!$DE:$DE,0)+1,20))),0,IFERROR(INDEX(Material_Detail!$D:$DC,MATCH($A24,Material_Detail!$DE:$DE,0),20),0)),SUMIFS(T_Shipments[Confirmed_Qty],T_Shipments[Part Name],$A24,T_Shipments[Effective_Week],20))</f>
        <v/>
      </c>
      <c r="V24">
        <f>IF(COUNTIF(Material_Detail!$DE:$DE,$A24)&gt;0,IF(ISNUMBER(SEARCH("[済]",INDEX(Material_Detail!$D:$DC,MATCH($A24,Material_Detail!$DE:$DE,0)+1,21))),0,IFERROR(INDEX(Material_Detail!$D:$DC,MATCH($A24,Material_Detail!$DE:$DE,0),21),0)),SUMIFS(T_Shipments[Confirmed_Qty],T_Shipments[Part Name],$A24,T_Shipments[Effective_Week],21))</f>
        <v/>
      </c>
      <c r="W24">
        <f>IF(COUNTIF(Material_Detail!$DE:$DE,$A24)&gt;0,IF(ISNUMBER(SEARCH("[済]",INDEX(Material_Detail!$D:$DC,MATCH($A24,Material_Detail!$DE:$DE,0)+1,22))),0,IFERROR(INDEX(Material_Detail!$D:$DC,MATCH($A24,Material_Detail!$DE:$DE,0),22),0)),SUMIFS(T_Shipments[Confirmed_Qty],T_Shipments[Part Name],$A24,T_Shipments[Effective_Week],22))</f>
        <v/>
      </c>
      <c r="X24">
        <f>IF(COUNTIF(Material_Detail!$DE:$DE,$A24)&gt;0,IF(ISNUMBER(SEARCH("[済]",INDEX(Material_Detail!$D:$DC,MATCH($A24,Material_Detail!$DE:$DE,0)+1,23))),0,IFERROR(INDEX(Material_Detail!$D:$DC,MATCH($A24,Material_Detail!$DE:$DE,0),23),0)),SUMIFS(T_Shipments[Confirmed_Qty],T_Shipments[Part Name],$A24,T_Shipments[Effective_Week],23))</f>
        <v/>
      </c>
      <c r="Y24">
        <f>IF(COUNTIF(Material_Detail!$DE:$DE,$A24)&gt;0,IF(ISNUMBER(SEARCH("[済]",INDEX(Material_Detail!$D:$DC,MATCH($A24,Material_Detail!$DE:$DE,0)+1,24))),0,IFERROR(INDEX(Material_Detail!$D:$DC,MATCH($A24,Material_Detail!$DE:$DE,0),24),0)),SUMIFS(T_Shipments[Confirmed_Qty],T_Shipments[Part Name],$A24,T_Shipments[Effective_Week],24))</f>
        <v/>
      </c>
      <c r="Z24">
        <f>IF(COUNTIF(Material_Detail!$DE:$DE,$A24)&gt;0,IF(ISNUMBER(SEARCH("[済]",INDEX(Material_Detail!$D:$DC,MATCH($A24,Material_Detail!$DE:$DE,0)+1,25))),0,IFERROR(INDEX(Material_Detail!$D:$DC,MATCH($A24,Material_Detail!$DE:$DE,0),25),0)),SUMIFS(T_Shipments[Confirmed_Qty],T_Shipments[Part Name],$A24,T_Shipments[Effective_Week],25))</f>
        <v/>
      </c>
      <c r="AA24">
        <f>IF(COUNTIF(Material_Detail!$DE:$DE,$A24)&gt;0,IF(ISNUMBER(SEARCH("[済]",INDEX(Material_Detail!$D:$DC,MATCH($A24,Material_Detail!$DE:$DE,0)+1,26))),0,IFERROR(INDEX(Material_Detail!$D:$DC,MATCH($A24,Material_Detail!$DE:$DE,0),26),0)),SUMIFS(T_Shipments[Confirmed_Qty],T_Shipments[Part Name],$A24,T_Shipments[Effective_Week],26))</f>
        <v/>
      </c>
      <c r="AB24">
        <f>IF(COUNTIF(Material_Detail!$DE:$DE,$A24)&gt;0,IF(ISNUMBER(SEARCH("[済]",INDEX(Material_Detail!$D:$DC,MATCH($A24,Material_Detail!$DE:$DE,0)+1,27))),0,IFERROR(INDEX(Material_Detail!$D:$DC,MATCH($A24,Material_Detail!$DE:$DE,0),27),0)),SUMIFS(T_Shipments[Confirmed_Qty],T_Shipments[Part Name],$A24,T_Shipments[Effective_Week],27))</f>
        <v/>
      </c>
      <c r="AC24">
        <f>IF(COUNTIF(Material_Detail!$DE:$DE,$A24)&gt;0,IF(ISNUMBER(SEARCH("[済]",INDEX(Material_Detail!$D:$DC,MATCH($A24,Material_Detail!$DE:$DE,0)+1,28))),0,IFERROR(INDEX(Material_Detail!$D:$DC,MATCH($A24,Material_Detail!$DE:$DE,0),28),0)),SUMIFS(T_Shipments[Confirmed_Qty],T_Shipments[Part Name],$A24,T_Shipments[Effective_Week],28))</f>
        <v/>
      </c>
      <c r="AD24">
        <f>IF(COUNTIF(Material_Detail!$DE:$DE,$A24)&gt;0,IF(ISNUMBER(SEARCH("[済]",INDEX(Material_Detail!$D:$DC,MATCH($A24,Material_Detail!$DE:$DE,0)+1,29))),0,IFERROR(INDEX(Material_Detail!$D:$DC,MATCH($A24,Material_Detail!$DE:$DE,0),29),0)),SUMIFS(T_Shipments[Confirmed_Qty],T_Shipments[Part Name],$A24,T_Shipments[Effective_Week],29))</f>
        <v/>
      </c>
      <c r="AE24">
        <f>IF(COUNTIF(Material_Detail!$DE:$DE,$A24)&gt;0,IF(ISNUMBER(SEARCH("[済]",INDEX(Material_Detail!$D:$DC,MATCH($A24,Material_Detail!$DE:$DE,0)+1,30))),0,IFERROR(INDEX(Material_Detail!$D:$DC,MATCH($A24,Material_Detail!$DE:$DE,0),30),0)),SUMIFS(T_Shipments[Confirmed_Qty],T_Shipments[Part Name],$A24,T_Shipments[Effective_Week],30))</f>
        <v/>
      </c>
      <c r="AF24">
        <f>IF(COUNTIF(Material_Detail!$DE:$DE,$A24)&gt;0,IF(ISNUMBER(SEARCH("[済]",INDEX(Material_Detail!$D:$DC,MATCH($A24,Material_Detail!$DE:$DE,0)+1,31))),0,IFERROR(INDEX(Material_Detail!$D:$DC,MATCH($A24,Material_Detail!$DE:$DE,0),31),0)),SUMIFS(T_Shipments[Confirmed_Qty],T_Shipments[Part Name],$A24,T_Shipments[Effective_Week],31))</f>
        <v/>
      </c>
      <c r="AG24">
        <f>IF(COUNTIF(Material_Detail!$DE:$DE,$A24)&gt;0,IF(ISNUMBER(SEARCH("[済]",INDEX(Material_Detail!$D:$DC,MATCH($A24,Material_Detail!$DE:$DE,0)+1,32))),0,IFERROR(INDEX(Material_Detail!$D:$DC,MATCH($A24,Material_Detail!$DE:$DE,0),32),0)),SUMIFS(T_Shipments[Confirmed_Qty],T_Shipments[Part Name],$A24,T_Shipments[Effective_Week],32))</f>
        <v/>
      </c>
      <c r="AH24">
        <f>IF(COUNTIF(Material_Detail!$DE:$DE,$A24)&gt;0,IF(ISNUMBER(SEARCH("[済]",INDEX(Material_Detail!$D:$DC,MATCH($A24,Material_Detail!$DE:$DE,0)+1,33))),0,IFERROR(INDEX(Material_Detail!$D:$DC,MATCH($A24,Material_Detail!$DE:$DE,0),33),0)),SUMIFS(T_Shipments[Confirmed_Qty],T_Shipments[Part Name],$A24,T_Shipments[Effective_Week],33))</f>
        <v/>
      </c>
      <c r="AI24">
        <f>IF(COUNTIF(Material_Detail!$DE:$DE,$A24)&gt;0,IF(ISNUMBER(SEARCH("[済]",INDEX(Material_Detail!$D:$DC,MATCH($A24,Material_Detail!$DE:$DE,0)+1,34))),0,IFERROR(INDEX(Material_Detail!$D:$DC,MATCH($A24,Material_Detail!$DE:$DE,0),34),0)),SUMIFS(T_Shipments[Confirmed_Qty],T_Shipments[Part Name],$A24,T_Shipments[Effective_Week],34))</f>
        <v/>
      </c>
      <c r="AJ24">
        <f>IF(COUNTIF(Material_Detail!$DE:$DE,$A24)&gt;0,IF(ISNUMBER(SEARCH("[済]",INDEX(Material_Detail!$D:$DC,MATCH($A24,Material_Detail!$DE:$DE,0)+1,35))),0,IFERROR(INDEX(Material_Detail!$D:$DC,MATCH($A24,Material_Detail!$DE:$DE,0),35),0)),SUMIFS(T_Shipments[Confirmed_Qty],T_Shipments[Part Name],$A24,T_Shipments[Effective_Week],35))</f>
        <v/>
      </c>
      <c r="AK24">
        <f>IF(COUNTIF(Material_Detail!$DE:$DE,$A24)&gt;0,IF(ISNUMBER(SEARCH("[済]",INDEX(Material_Detail!$D:$DC,MATCH($A24,Material_Detail!$DE:$DE,0)+1,36))),0,IFERROR(INDEX(Material_Detail!$D:$DC,MATCH($A24,Material_Detail!$DE:$DE,0),36),0)),SUMIFS(T_Shipments[Confirmed_Qty],T_Shipments[Part Name],$A24,T_Shipments[Effective_Week],36))</f>
        <v/>
      </c>
      <c r="AL24">
        <f>IF(COUNTIF(Material_Detail!$DE:$DE,$A24)&gt;0,IF(ISNUMBER(SEARCH("[済]",INDEX(Material_Detail!$D:$DC,MATCH($A24,Material_Detail!$DE:$DE,0)+1,37))),0,IFERROR(INDEX(Material_Detail!$D:$DC,MATCH($A24,Material_Detail!$DE:$DE,0),37),0)),SUMIFS(T_Shipments[Confirmed_Qty],T_Shipments[Part Name],$A24,T_Shipments[Effective_Week],37))</f>
        <v/>
      </c>
      <c r="AM24">
        <f>IF(COUNTIF(Material_Detail!$DE:$DE,$A24)&gt;0,IF(ISNUMBER(SEARCH("[済]",INDEX(Material_Detail!$D:$DC,MATCH($A24,Material_Detail!$DE:$DE,0)+1,38))),0,IFERROR(INDEX(Material_Detail!$D:$DC,MATCH($A24,Material_Detail!$DE:$DE,0),38),0)),SUMIFS(T_Shipments[Confirmed_Qty],T_Shipments[Part Name],$A24,T_Shipments[Effective_Week],38))</f>
        <v/>
      </c>
      <c r="AN24">
        <f>IF(COUNTIF(Material_Detail!$DE:$DE,$A24)&gt;0,IF(ISNUMBER(SEARCH("[済]",INDEX(Material_Detail!$D:$DC,MATCH($A24,Material_Detail!$DE:$DE,0)+1,39))),0,IFERROR(INDEX(Material_Detail!$D:$DC,MATCH($A24,Material_Detail!$DE:$DE,0),39),0)),SUMIFS(T_Shipments[Confirmed_Qty],T_Shipments[Part Name],$A24,T_Shipments[Effective_Week],39))</f>
        <v/>
      </c>
      <c r="AO24">
        <f>IF(COUNTIF(Material_Detail!$DE:$DE,$A24)&gt;0,IF(ISNUMBER(SEARCH("[済]",INDEX(Material_Detail!$D:$DC,MATCH($A24,Material_Detail!$DE:$DE,0)+1,40))),0,IFERROR(INDEX(Material_Detail!$D:$DC,MATCH($A24,Material_Detail!$DE:$DE,0),40),0)),SUMIFS(T_Shipments[Confirmed_Qty],T_Shipments[Part Name],$A24,T_Shipments[Effective_Week],40))</f>
        <v/>
      </c>
      <c r="AP24">
        <f>IF(COUNTIF(Material_Detail!$DE:$DE,$A24)&gt;0,IF(ISNUMBER(SEARCH("[済]",INDEX(Material_Detail!$D:$DC,MATCH($A24,Material_Detail!$DE:$DE,0)+1,41))),0,IFERROR(INDEX(Material_Detail!$D:$DC,MATCH($A24,Material_Detail!$DE:$DE,0),41),0)),SUMIFS(T_Shipments[Confirmed_Qty],T_Shipments[Part Name],$A24,T_Shipments[Effective_Week],41))</f>
        <v/>
      </c>
      <c r="AQ24">
        <f>IF(COUNTIF(Material_Detail!$DE:$DE,$A24)&gt;0,IF(ISNUMBER(SEARCH("[済]",INDEX(Material_Detail!$D:$DC,MATCH($A24,Material_Detail!$DE:$DE,0)+1,42))),0,IFERROR(INDEX(Material_Detail!$D:$DC,MATCH($A24,Material_Detail!$DE:$DE,0),42),0)),SUMIFS(T_Shipments[Confirmed_Qty],T_Shipments[Part Name],$A24,T_Shipments[Effective_Week],42))</f>
        <v/>
      </c>
      <c r="AR24">
        <f>IF(COUNTIF(Material_Detail!$DE:$DE,$A24)&gt;0,IF(ISNUMBER(SEARCH("[済]",INDEX(Material_Detail!$D:$DC,MATCH($A24,Material_Detail!$DE:$DE,0)+1,43))),0,IFERROR(INDEX(Material_Detail!$D:$DC,MATCH($A24,Material_Detail!$DE:$DE,0),43),0)),SUMIFS(T_Shipments[Confirmed_Qty],T_Shipments[Part Name],$A24,T_Shipments[Effective_Week],43))</f>
        <v/>
      </c>
      <c r="AS24">
        <f>IF(COUNTIF(Material_Detail!$DE:$DE,$A24)&gt;0,IF(ISNUMBER(SEARCH("[済]",INDEX(Material_Detail!$D:$DC,MATCH($A24,Material_Detail!$DE:$DE,0)+1,44))),0,IFERROR(INDEX(Material_Detail!$D:$DC,MATCH($A24,Material_Detail!$DE:$DE,0),44),0)),SUMIFS(T_Shipments[Confirmed_Qty],T_Shipments[Part Name],$A24,T_Shipments[Effective_Week],44))</f>
        <v/>
      </c>
      <c r="AT24">
        <f>IF(COUNTIF(Material_Detail!$DE:$DE,$A24)&gt;0,IF(ISNUMBER(SEARCH("[済]",INDEX(Material_Detail!$D:$DC,MATCH($A24,Material_Detail!$DE:$DE,0)+1,45))),0,IFERROR(INDEX(Material_Detail!$D:$DC,MATCH($A24,Material_Detail!$DE:$DE,0),45),0)),SUMIFS(T_Shipments[Confirmed_Qty],T_Shipments[Part Name],$A24,T_Shipments[Effective_Week],45))</f>
        <v/>
      </c>
      <c r="AU24">
        <f>IF(COUNTIF(Material_Detail!$DE:$DE,$A24)&gt;0,IF(ISNUMBER(SEARCH("[済]",INDEX(Material_Detail!$D:$DC,MATCH($A24,Material_Detail!$DE:$DE,0)+1,46))),0,IFERROR(INDEX(Material_Detail!$D:$DC,MATCH($A24,Material_Detail!$DE:$DE,0),46),0)),SUMIFS(T_Shipments[Confirmed_Qty],T_Shipments[Part Name],$A24,T_Shipments[Effective_Week],46))</f>
        <v/>
      </c>
      <c r="AV24">
        <f>IF(COUNTIF(Material_Detail!$DE:$DE,$A24)&gt;0,IF(ISNUMBER(SEARCH("[済]",INDEX(Material_Detail!$D:$DC,MATCH($A24,Material_Detail!$DE:$DE,0)+1,47))),0,IFERROR(INDEX(Material_Detail!$D:$DC,MATCH($A24,Material_Detail!$DE:$DE,0),47),0)),SUMIFS(T_Shipments[Confirmed_Qty],T_Shipments[Part Name],$A24,T_Shipments[Effective_Week],47))</f>
        <v/>
      </c>
      <c r="AW24">
        <f>IF(COUNTIF(Material_Detail!$DE:$DE,$A24)&gt;0,IF(ISNUMBER(SEARCH("[済]",INDEX(Material_Detail!$D:$DC,MATCH($A24,Material_Detail!$DE:$DE,0)+1,48))),0,IFERROR(INDEX(Material_Detail!$D:$DC,MATCH($A24,Material_Detail!$DE:$DE,0),48),0)),SUMIFS(T_Shipments[Confirmed_Qty],T_Shipments[Part Name],$A24,T_Shipments[Effective_Week],48))</f>
        <v/>
      </c>
      <c r="AX24">
        <f>IF(COUNTIF(Material_Detail!$DE:$DE,$A24)&gt;0,IF(ISNUMBER(SEARCH("[済]",INDEX(Material_Detail!$D:$DC,MATCH($A24,Material_Detail!$DE:$DE,0)+1,49))),0,IFERROR(INDEX(Material_Detail!$D:$DC,MATCH($A24,Material_Detail!$DE:$DE,0),49),0)),SUMIFS(T_Shipments[Confirmed_Qty],T_Shipments[Part Name],$A24,T_Shipments[Effective_Week],49))</f>
        <v/>
      </c>
      <c r="AY24">
        <f>IF(COUNTIF(Material_Detail!$DE:$DE,$A24)&gt;0,IF(ISNUMBER(SEARCH("[済]",INDEX(Material_Detail!$D:$DC,MATCH($A24,Material_Detail!$DE:$DE,0)+1,50))),0,IFERROR(INDEX(Material_Detail!$D:$DC,MATCH($A24,Material_Detail!$DE:$DE,0),50),0)),SUMIFS(T_Shipments[Confirmed_Qty],T_Shipments[Part Name],$A24,T_Shipments[Effective_Week],50))</f>
        <v/>
      </c>
      <c r="AZ24">
        <f>IF(COUNTIF(Material_Detail!$DE:$DE,$A24)&gt;0,IF(ISNUMBER(SEARCH("[済]",INDEX(Material_Detail!$D:$DC,MATCH($A24,Material_Detail!$DE:$DE,0)+1,51))),0,IFERROR(INDEX(Material_Detail!$D:$DC,MATCH($A24,Material_Detail!$DE:$DE,0),51),0)),SUMIFS(T_Shipments[Confirmed_Qty],T_Shipments[Part Name],$A24,T_Shipments[Effective_Week],51))</f>
        <v/>
      </c>
      <c r="BA24">
        <f>IF(COUNTIF(Material_Detail!$DE:$DE,$A24)&gt;0,IF(ISNUMBER(SEARCH("[済]",INDEX(Material_Detail!$D:$DC,MATCH($A24,Material_Detail!$DE:$DE,0)+1,52))),0,IFERROR(INDEX(Material_Detail!$D:$DC,MATCH($A24,Material_Detail!$DE:$DE,0),52),0)),SUMIFS(T_Shipments[Confirmed_Qty],T_Shipments[Part Name],$A24,T_Shipments[Effective_Week],52))</f>
        <v/>
      </c>
      <c r="BB24">
        <f>IF(COUNTIF(Material_Detail!$DE:$DE,$A24)&gt;0,IF(ISNUMBER(SEARCH("[済]",INDEX(Material_Detail!$D:$DC,MATCH($A24,Material_Detail!$DE:$DE,0)+1,53))),0,IFERROR(INDEX(Material_Detail!$D:$DC,MATCH($A24,Material_Detail!$DE:$DE,0),53),0)),SUMIFS(T_Shipments[Confirmed_Qty],T_Shipments[Part Name],$A24,T_Shipments[Effective_Week],53))</f>
        <v/>
      </c>
      <c r="BC24">
        <f>IF(COUNTIF(Material_Detail!$DE:$DE,$A24)&gt;0,IF(ISNUMBER(SEARCH("[済]",INDEX(Material_Detail!$D:$DC,MATCH($A24,Material_Detail!$DE:$DE,0)+1,54))),0,IFERROR(INDEX(Material_Detail!$D:$DC,MATCH($A24,Material_Detail!$DE:$DE,0),54),0)),SUMIFS(T_Shipments[Confirmed_Qty],T_Shipments[Part Name],$A24,T_Shipments[Effective_Week],54))</f>
        <v/>
      </c>
      <c r="BD24">
        <f>IF(COUNTIF(Material_Detail!$DE:$DE,$A24)&gt;0,IF(ISNUMBER(SEARCH("[済]",INDEX(Material_Detail!$D:$DC,MATCH($A24,Material_Detail!$DE:$DE,0)+1,55))),0,IFERROR(INDEX(Material_Detail!$D:$DC,MATCH($A24,Material_Detail!$DE:$DE,0),55),0)),SUMIFS(T_Shipments[Confirmed_Qty],T_Shipments[Part Name],$A24,T_Shipments[Effective_Week],55))</f>
        <v/>
      </c>
      <c r="BE24">
        <f>IF(COUNTIF(Material_Detail!$DE:$DE,$A24)&gt;0,IF(ISNUMBER(SEARCH("[済]",INDEX(Material_Detail!$D:$DC,MATCH($A24,Material_Detail!$DE:$DE,0)+1,56))),0,IFERROR(INDEX(Material_Detail!$D:$DC,MATCH($A24,Material_Detail!$DE:$DE,0),56),0)),SUMIFS(T_Shipments[Confirmed_Qty],T_Shipments[Part Name],$A24,T_Shipments[Effective_Week],56))</f>
        <v/>
      </c>
      <c r="BF24">
        <f>IF(COUNTIF(Material_Detail!$DE:$DE,$A24)&gt;0,IF(ISNUMBER(SEARCH("[済]",INDEX(Material_Detail!$D:$DC,MATCH($A24,Material_Detail!$DE:$DE,0)+1,57))),0,IFERROR(INDEX(Material_Detail!$D:$DC,MATCH($A24,Material_Detail!$DE:$DE,0),57),0)),SUMIFS(T_Shipments[Confirmed_Qty],T_Shipments[Part Name],$A24,T_Shipments[Effective_Week],57))</f>
        <v/>
      </c>
      <c r="BG24">
        <f>IF(COUNTIF(Material_Detail!$DE:$DE,$A24)&gt;0,IF(ISNUMBER(SEARCH("[済]",INDEX(Material_Detail!$D:$DC,MATCH($A24,Material_Detail!$DE:$DE,0)+1,58))),0,IFERROR(INDEX(Material_Detail!$D:$DC,MATCH($A24,Material_Detail!$DE:$DE,0),58),0)),SUMIFS(T_Shipments[Confirmed_Qty],T_Shipments[Part Name],$A24,T_Shipments[Effective_Week],58))</f>
        <v/>
      </c>
      <c r="BH24">
        <f>IF(COUNTIF(Material_Detail!$DE:$DE,$A24)&gt;0,IF(ISNUMBER(SEARCH("[済]",INDEX(Material_Detail!$D:$DC,MATCH($A24,Material_Detail!$DE:$DE,0)+1,59))),0,IFERROR(INDEX(Material_Detail!$D:$DC,MATCH($A24,Material_Detail!$DE:$DE,0),59),0)),SUMIFS(T_Shipments[Confirmed_Qty],T_Shipments[Part Name],$A24,T_Shipments[Effective_Week],59))</f>
        <v/>
      </c>
      <c r="BI24">
        <f>IF(COUNTIF(Material_Detail!$DE:$DE,$A24)&gt;0,IF(ISNUMBER(SEARCH("[済]",INDEX(Material_Detail!$D:$DC,MATCH($A24,Material_Detail!$DE:$DE,0)+1,60))),0,IFERROR(INDEX(Material_Detail!$D:$DC,MATCH($A24,Material_Detail!$DE:$DE,0),60),0)),SUMIFS(T_Shipments[Confirmed_Qty],T_Shipments[Part Name],$A24,T_Shipments[Effective_Week],60))</f>
        <v/>
      </c>
      <c r="BJ24">
        <f>IF(COUNTIF(Material_Detail!$DE:$DE,$A24)&gt;0,IF(ISNUMBER(SEARCH("[済]",INDEX(Material_Detail!$D:$DC,MATCH($A24,Material_Detail!$DE:$DE,0)+1,61))),0,IFERROR(INDEX(Material_Detail!$D:$DC,MATCH($A24,Material_Detail!$DE:$DE,0),61),0)),SUMIFS(T_Shipments[Confirmed_Qty],T_Shipments[Part Name],$A24,T_Shipments[Effective_Week],61))</f>
        <v/>
      </c>
      <c r="BK24">
        <f>IF(COUNTIF(Material_Detail!$DE:$DE,$A24)&gt;0,IF(ISNUMBER(SEARCH("[済]",INDEX(Material_Detail!$D:$DC,MATCH($A24,Material_Detail!$DE:$DE,0)+1,62))),0,IFERROR(INDEX(Material_Detail!$D:$DC,MATCH($A24,Material_Detail!$DE:$DE,0),62),0)),SUMIFS(T_Shipments[Confirmed_Qty],T_Shipments[Part Name],$A24,T_Shipments[Effective_Week],62))</f>
        <v/>
      </c>
      <c r="BL24">
        <f>IF(COUNTIF(Material_Detail!$DE:$DE,$A24)&gt;0,IF(ISNUMBER(SEARCH("[済]",INDEX(Material_Detail!$D:$DC,MATCH($A24,Material_Detail!$DE:$DE,0)+1,63))),0,IFERROR(INDEX(Material_Detail!$D:$DC,MATCH($A24,Material_Detail!$DE:$DE,0),63),0)),SUMIFS(T_Shipments[Confirmed_Qty],T_Shipments[Part Name],$A24,T_Shipments[Effective_Week],63))</f>
        <v/>
      </c>
      <c r="BM24">
        <f>IF(COUNTIF(Material_Detail!$DE:$DE,$A24)&gt;0,IF(ISNUMBER(SEARCH("[済]",INDEX(Material_Detail!$D:$DC,MATCH($A24,Material_Detail!$DE:$DE,0)+1,64))),0,IFERROR(INDEX(Material_Detail!$D:$DC,MATCH($A24,Material_Detail!$DE:$DE,0),64),0)),SUMIFS(T_Shipments[Confirmed_Qty],T_Shipments[Part Name],$A24,T_Shipments[Effective_Week],64))</f>
        <v/>
      </c>
      <c r="BN24">
        <f>IF(COUNTIF(Material_Detail!$DE:$DE,$A24)&gt;0,IF(ISNUMBER(SEARCH("[済]",INDEX(Material_Detail!$D:$DC,MATCH($A24,Material_Detail!$DE:$DE,0)+1,65))),0,IFERROR(INDEX(Material_Detail!$D:$DC,MATCH($A24,Material_Detail!$DE:$DE,0),65),0)),SUMIFS(T_Shipments[Confirmed_Qty],T_Shipments[Part Name],$A24,T_Shipments[Effective_Week],65))</f>
        <v/>
      </c>
      <c r="BO24">
        <f>IF(COUNTIF(Material_Detail!$DE:$DE,$A24)&gt;0,IF(ISNUMBER(SEARCH("[済]",INDEX(Material_Detail!$D:$DC,MATCH($A24,Material_Detail!$DE:$DE,0)+1,66))),0,IFERROR(INDEX(Material_Detail!$D:$DC,MATCH($A24,Material_Detail!$DE:$DE,0),66),0)),SUMIFS(T_Shipments[Confirmed_Qty],T_Shipments[Part Name],$A24,T_Shipments[Effective_Week],66))</f>
        <v/>
      </c>
      <c r="BP24">
        <f>IF(COUNTIF(Material_Detail!$DE:$DE,$A24)&gt;0,IF(ISNUMBER(SEARCH("[済]",INDEX(Material_Detail!$D:$DC,MATCH($A24,Material_Detail!$DE:$DE,0)+1,67))),0,IFERROR(INDEX(Material_Detail!$D:$DC,MATCH($A24,Material_Detail!$DE:$DE,0),67),0)),SUMIFS(T_Shipments[Confirmed_Qty],T_Shipments[Part Name],$A24,T_Shipments[Effective_Week],67))</f>
        <v/>
      </c>
      <c r="BQ24">
        <f>IF(COUNTIF(Material_Detail!$DE:$DE,$A24)&gt;0,IF(ISNUMBER(SEARCH("[済]",INDEX(Material_Detail!$D:$DC,MATCH($A24,Material_Detail!$DE:$DE,0)+1,68))),0,IFERROR(INDEX(Material_Detail!$D:$DC,MATCH($A24,Material_Detail!$DE:$DE,0),68),0)),SUMIFS(T_Shipments[Confirmed_Qty],T_Shipments[Part Name],$A24,T_Shipments[Effective_Week],68))</f>
        <v/>
      </c>
      <c r="BR24">
        <f>IF(COUNTIF(Material_Detail!$DE:$DE,$A24)&gt;0,IF(ISNUMBER(SEARCH("[済]",INDEX(Material_Detail!$D:$DC,MATCH($A24,Material_Detail!$DE:$DE,0)+1,69))),0,IFERROR(INDEX(Material_Detail!$D:$DC,MATCH($A24,Material_Detail!$DE:$DE,0),69),0)),SUMIFS(T_Shipments[Confirmed_Qty],T_Shipments[Part Name],$A24,T_Shipments[Effective_Week],69))</f>
        <v/>
      </c>
      <c r="BS24">
        <f>IF(COUNTIF(Material_Detail!$DE:$DE,$A24)&gt;0,IF(ISNUMBER(SEARCH("[済]",INDEX(Material_Detail!$D:$DC,MATCH($A24,Material_Detail!$DE:$DE,0)+1,70))),0,IFERROR(INDEX(Material_Detail!$D:$DC,MATCH($A24,Material_Detail!$DE:$DE,0),70),0)),SUMIFS(T_Shipments[Confirmed_Qty],T_Shipments[Part Name],$A24,T_Shipments[Effective_Week],70))</f>
        <v/>
      </c>
      <c r="BT24">
        <f>IF(COUNTIF(Material_Detail!$DE:$DE,$A24)&gt;0,IF(ISNUMBER(SEARCH("[済]",INDEX(Material_Detail!$D:$DC,MATCH($A24,Material_Detail!$DE:$DE,0)+1,71))),0,IFERROR(INDEX(Material_Detail!$D:$DC,MATCH($A24,Material_Detail!$DE:$DE,0),71),0)),SUMIFS(T_Shipments[Confirmed_Qty],T_Shipments[Part Name],$A24,T_Shipments[Effective_Week],71))</f>
        <v/>
      </c>
      <c r="BU24">
        <f>IF(COUNTIF(Material_Detail!$DE:$DE,$A24)&gt;0,IF(ISNUMBER(SEARCH("[済]",INDEX(Material_Detail!$D:$DC,MATCH($A24,Material_Detail!$DE:$DE,0)+1,72))),0,IFERROR(INDEX(Material_Detail!$D:$DC,MATCH($A24,Material_Detail!$DE:$DE,0),72),0)),SUMIFS(T_Shipments[Confirmed_Qty],T_Shipments[Part Name],$A24,T_Shipments[Effective_Week],72))</f>
        <v/>
      </c>
      <c r="BV24">
        <f>IF(COUNTIF(Material_Detail!$DE:$DE,$A24)&gt;0,IF(ISNUMBER(SEARCH("[済]",INDEX(Material_Detail!$D:$DC,MATCH($A24,Material_Detail!$DE:$DE,0)+1,73))),0,IFERROR(INDEX(Material_Detail!$D:$DC,MATCH($A24,Material_Detail!$DE:$DE,0),73),0)),SUMIFS(T_Shipments[Confirmed_Qty],T_Shipments[Part Name],$A24,T_Shipments[Effective_Week],73))</f>
        <v/>
      </c>
      <c r="BW24">
        <f>IF(COUNTIF(Material_Detail!$DE:$DE,$A24)&gt;0,IF(ISNUMBER(SEARCH("[済]",INDEX(Material_Detail!$D:$DC,MATCH($A24,Material_Detail!$DE:$DE,0)+1,74))),0,IFERROR(INDEX(Material_Detail!$D:$DC,MATCH($A24,Material_Detail!$DE:$DE,0),74),0)),SUMIFS(T_Shipments[Confirmed_Qty],T_Shipments[Part Name],$A24,T_Shipments[Effective_Week],74))</f>
        <v/>
      </c>
      <c r="BX24">
        <f>IF(COUNTIF(Material_Detail!$DE:$DE,$A24)&gt;0,IF(ISNUMBER(SEARCH("[済]",INDEX(Material_Detail!$D:$DC,MATCH($A24,Material_Detail!$DE:$DE,0)+1,75))),0,IFERROR(INDEX(Material_Detail!$D:$DC,MATCH($A24,Material_Detail!$DE:$DE,0),75),0)),SUMIFS(T_Shipments[Confirmed_Qty],T_Shipments[Part Name],$A24,T_Shipments[Effective_Week],75))</f>
        <v/>
      </c>
      <c r="BY24">
        <f>IF(COUNTIF(Material_Detail!$DE:$DE,$A24)&gt;0,IF(ISNUMBER(SEARCH("[済]",INDEX(Material_Detail!$D:$DC,MATCH($A24,Material_Detail!$DE:$DE,0)+1,76))),0,IFERROR(INDEX(Material_Detail!$D:$DC,MATCH($A24,Material_Detail!$DE:$DE,0),76),0)),SUMIFS(T_Shipments[Confirmed_Qty],T_Shipments[Part Name],$A24,T_Shipments[Effective_Week],76))</f>
        <v/>
      </c>
      <c r="BZ24">
        <f>IF(COUNTIF(Material_Detail!$DE:$DE,$A24)&gt;0,IF(ISNUMBER(SEARCH("[済]",INDEX(Material_Detail!$D:$DC,MATCH($A24,Material_Detail!$DE:$DE,0)+1,77))),0,IFERROR(INDEX(Material_Detail!$D:$DC,MATCH($A24,Material_Detail!$DE:$DE,0),77),0)),SUMIFS(T_Shipments[Confirmed_Qty],T_Shipments[Part Name],$A24,T_Shipments[Effective_Week],77))</f>
        <v/>
      </c>
      <c r="CA24">
        <f>IF(COUNTIF(Material_Detail!$DE:$DE,$A24)&gt;0,IF(ISNUMBER(SEARCH("[済]",INDEX(Material_Detail!$D:$DC,MATCH($A24,Material_Detail!$DE:$DE,0)+1,78))),0,IFERROR(INDEX(Material_Detail!$D:$DC,MATCH($A24,Material_Detail!$DE:$DE,0),78),0)),SUMIFS(T_Shipments[Confirmed_Qty],T_Shipments[Part Name],$A24,T_Shipments[Effective_Week],78))</f>
        <v/>
      </c>
      <c r="CB24">
        <f>IF(COUNTIF(Material_Detail!$DE:$DE,$A24)&gt;0,IF(ISNUMBER(SEARCH("[済]",INDEX(Material_Detail!$D:$DC,MATCH($A24,Material_Detail!$DE:$DE,0)+1,79))),0,IFERROR(INDEX(Material_Detail!$D:$DC,MATCH($A24,Material_Detail!$DE:$DE,0),79),0)),SUMIFS(T_Shipments[Confirmed_Qty],T_Shipments[Part Name],$A24,T_Shipments[Effective_Week],79))</f>
        <v/>
      </c>
      <c r="CC24">
        <f>IF(COUNTIF(Material_Detail!$DE:$DE,$A24)&gt;0,IF(ISNUMBER(SEARCH("[済]",INDEX(Material_Detail!$D:$DC,MATCH($A24,Material_Detail!$DE:$DE,0)+1,80))),0,IFERROR(INDEX(Material_Detail!$D:$DC,MATCH($A24,Material_Detail!$DE:$DE,0),80),0)),SUMIFS(T_Shipments[Confirmed_Qty],T_Shipments[Part Name],$A24,T_Shipments[Effective_Week],80))</f>
        <v/>
      </c>
      <c r="CD24">
        <f>IF(COUNTIF(Material_Detail!$DE:$DE,$A24)&gt;0,IF(ISNUMBER(SEARCH("[済]",INDEX(Material_Detail!$D:$DC,MATCH($A24,Material_Detail!$DE:$DE,0)+1,81))),0,IFERROR(INDEX(Material_Detail!$D:$DC,MATCH($A24,Material_Detail!$DE:$DE,0),81),0)),SUMIFS(T_Shipments[Confirmed_Qty],T_Shipments[Part Name],$A24,T_Shipments[Effective_Week],81))</f>
        <v/>
      </c>
      <c r="CE24">
        <f>IF(COUNTIF(Material_Detail!$DE:$DE,$A24)&gt;0,IF(ISNUMBER(SEARCH("[済]",INDEX(Material_Detail!$D:$DC,MATCH($A24,Material_Detail!$DE:$DE,0)+1,82))),0,IFERROR(INDEX(Material_Detail!$D:$DC,MATCH($A24,Material_Detail!$DE:$DE,0),82),0)),SUMIFS(T_Shipments[Confirmed_Qty],T_Shipments[Part Name],$A24,T_Shipments[Effective_Week],82))</f>
        <v/>
      </c>
      <c r="CF24">
        <f>IF(COUNTIF(Material_Detail!$DE:$DE,$A24)&gt;0,IF(ISNUMBER(SEARCH("[済]",INDEX(Material_Detail!$D:$DC,MATCH($A24,Material_Detail!$DE:$DE,0)+1,83))),0,IFERROR(INDEX(Material_Detail!$D:$DC,MATCH($A24,Material_Detail!$DE:$DE,0),83),0)),SUMIFS(T_Shipments[Confirmed_Qty],T_Shipments[Part Name],$A24,T_Shipments[Effective_Week],83))</f>
        <v/>
      </c>
      <c r="CG24">
        <f>IF(COUNTIF(Material_Detail!$DE:$DE,$A24)&gt;0,IF(ISNUMBER(SEARCH("[済]",INDEX(Material_Detail!$D:$DC,MATCH($A24,Material_Detail!$DE:$DE,0)+1,84))),0,IFERROR(INDEX(Material_Detail!$D:$DC,MATCH($A24,Material_Detail!$DE:$DE,0),84),0)),SUMIFS(T_Shipments[Confirmed_Qty],T_Shipments[Part Name],$A24,T_Shipments[Effective_Week],84))</f>
        <v/>
      </c>
      <c r="CH24">
        <f>IF(COUNTIF(Material_Detail!$DE:$DE,$A24)&gt;0,IF(ISNUMBER(SEARCH("[済]",INDEX(Material_Detail!$D:$DC,MATCH($A24,Material_Detail!$DE:$DE,0)+1,85))),0,IFERROR(INDEX(Material_Detail!$D:$DC,MATCH($A24,Material_Detail!$DE:$DE,0),85),0)),SUMIFS(T_Shipments[Confirmed_Qty],T_Shipments[Part Name],$A24,T_Shipments[Effective_Week],85))</f>
        <v/>
      </c>
      <c r="CI24">
        <f>IF(COUNTIF(Material_Detail!$DE:$DE,$A24)&gt;0,IF(ISNUMBER(SEARCH("[済]",INDEX(Material_Detail!$D:$DC,MATCH($A24,Material_Detail!$DE:$DE,0)+1,86))),0,IFERROR(INDEX(Material_Detail!$D:$DC,MATCH($A24,Material_Detail!$DE:$DE,0),86),0)),SUMIFS(T_Shipments[Confirmed_Qty],T_Shipments[Part Name],$A24,T_Shipments[Effective_Week],86))</f>
        <v/>
      </c>
      <c r="CJ24">
        <f>IF(COUNTIF(Material_Detail!$DE:$DE,$A24)&gt;0,IF(ISNUMBER(SEARCH("[済]",INDEX(Material_Detail!$D:$DC,MATCH($A24,Material_Detail!$DE:$DE,0)+1,87))),0,IFERROR(INDEX(Material_Detail!$D:$DC,MATCH($A24,Material_Detail!$DE:$DE,0),87),0)),SUMIFS(T_Shipments[Confirmed_Qty],T_Shipments[Part Name],$A24,T_Shipments[Effective_Week],87))</f>
        <v/>
      </c>
      <c r="CK24">
        <f>IF(COUNTIF(Material_Detail!$DE:$DE,$A24)&gt;0,IF(ISNUMBER(SEARCH("[済]",INDEX(Material_Detail!$D:$DC,MATCH($A24,Material_Detail!$DE:$DE,0)+1,88))),0,IFERROR(INDEX(Material_Detail!$D:$DC,MATCH($A24,Material_Detail!$DE:$DE,0),88),0)),SUMIFS(T_Shipments[Confirmed_Qty],T_Shipments[Part Name],$A24,T_Shipments[Effective_Week],88))</f>
        <v/>
      </c>
      <c r="CL24">
        <f>IF(COUNTIF(Material_Detail!$DE:$DE,$A24)&gt;0,IF(ISNUMBER(SEARCH("[済]",INDEX(Material_Detail!$D:$DC,MATCH($A24,Material_Detail!$DE:$DE,0)+1,89))),0,IFERROR(INDEX(Material_Detail!$D:$DC,MATCH($A24,Material_Detail!$DE:$DE,0),89),0)),SUMIFS(T_Shipments[Confirmed_Qty],T_Shipments[Part Name],$A24,T_Shipments[Effective_Week],89))</f>
        <v/>
      </c>
      <c r="CM24">
        <f>IF(COUNTIF(Material_Detail!$DE:$DE,$A24)&gt;0,IF(ISNUMBER(SEARCH("[済]",INDEX(Material_Detail!$D:$DC,MATCH($A24,Material_Detail!$DE:$DE,0)+1,90))),0,IFERROR(INDEX(Material_Detail!$D:$DC,MATCH($A24,Material_Detail!$DE:$DE,0),90),0)),SUMIFS(T_Shipments[Confirmed_Qty],T_Shipments[Part Name],$A24,T_Shipments[Effective_Week],90))</f>
        <v/>
      </c>
      <c r="CN24">
        <f>IF(COUNTIF(Material_Detail!$DE:$DE,$A24)&gt;0,IF(ISNUMBER(SEARCH("[済]",INDEX(Material_Detail!$D:$DC,MATCH($A24,Material_Detail!$DE:$DE,0)+1,91))),0,IFERROR(INDEX(Material_Detail!$D:$DC,MATCH($A24,Material_Detail!$DE:$DE,0),91),0)),SUMIFS(T_Shipments[Confirmed_Qty],T_Shipments[Part Name],$A24,T_Shipments[Effective_Week],91))</f>
        <v/>
      </c>
      <c r="CO24">
        <f>IF(COUNTIF(Material_Detail!$DE:$DE,$A24)&gt;0,IF(ISNUMBER(SEARCH("[済]",INDEX(Material_Detail!$D:$DC,MATCH($A24,Material_Detail!$DE:$DE,0)+1,92))),0,IFERROR(INDEX(Material_Detail!$D:$DC,MATCH($A24,Material_Detail!$DE:$DE,0),92),0)),SUMIFS(T_Shipments[Confirmed_Qty],T_Shipments[Part Name],$A24,T_Shipments[Effective_Week],92))</f>
        <v/>
      </c>
      <c r="CP24">
        <f>IF(COUNTIF(Material_Detail!$DE:$DE,$A24)&gt;0,IF(ISNUMBER(SEARCH("[済]",INDEX(Material_Detail!$D:$DC,MATCH($A24,Material_Detail!$DE:$DE,0)+1,93))),0,IFERROR(INDEX(Material_Detail!$D:$DC,MATCH($A24,Material_Detail!$DE:$DE,0),93),0)),SUMIFS(T_Shipments[Confirmed_Qty],T_Shipments[Part Name],$A24,T_Shipments[Effective_Week],93))</f>
        <v/>
      </c>
      <c r="CQ24">
        <f>IF(COUNTIF(Material_Detail!$DE:$DE,$A24)&gt;0,IF(ISNUMBER(SEARCH("[済]",INDEX(Material_Detail!$D:$DC,MATCH($A24,Material_Detail!$DE:$DE,0)+1,94))),0,IFERROR(INDEX(Material_Detail!$D:$DC,MATCH($A24,Material_Detail!$DE:$DE,0),94),0)),SUMIFS(T_Shipments[Confirmed_Qty],T_Shipments[Part Name],$A24,T_Shipments[Effective_Week],94))</f>
        <v/>
      </c>
      <c r="CR24">
        <f>IF(COUNTIF(Material_Detail!$DE:$DE,$A24)&gt;0,IF(ISNUMBER(SEARCH("[済]",INDEX(Material_Detail!$D:$DC,MATCH($A24,Material_Detail!$DE:$DE,0)+1,95))),0,IFERROR(INDEX(Material_Detail!$D:$DC,MATCH($A24,Material_Detail!$DE:$DE,0),95),0)),SUMIFS(T_Shipments[Confirmed_Qty],T_Shipments[Part Name],$A24,T_Shipments[Effective_Week],95))</f>
        <v/>
      </c>
      <c r="CS24">
        <f>IF(COUNTIF(Material_Detail!$DE:$DE,$A24)&gt;0,IF(ISNUMBER(SEARCH("[済]",INDEX(Material_Detail!$D:$DC,MATCH($A24,Material_Detail!$DE:$DE,0)+1,96))),0,IFERROR(INDEX(Material_Detail!$D:$DC,MATCH($A24,Material_Detail!$DE:$DE,0),96),0)),SUMIFS(T_Shipments[Confirmed_Qty],T_Shipments[Part Name],$A24,T_Shipments[Effective_Week],96))</f>
        <v/>
      </c>
      <c r="CT24">
        <f>IF(COUNTIF(Material_Detail!$DE:$DE,$A24)&gt;0,IF(ISNUMBER(SEARCH("[済]",INDEX(Material_Detail!$D:$DC,MATCH($A24,Material_Detail!$DE:$DE,0)+1,97))),0,IFERROR(INDEX(Material_Detail!$D:$DC,MATCH($A24,Material_Detail!$DE:$DE,0),97),0)),SUMIFS(T_Shipments[Confirmed_Qty],T_Shipments[Part Name],$A24,T_Shipments[Effective_Week],97))</f>
        <v/>
      </c>
      <c r="CU24">
        <f>IF(COUNTIF(Material_Detail!$DE:$DE,$A24)&gt;0,IF(ISNUMBER(SEARCH("[済]",INDEX(Material_Detail!$D:$DC,MATCH($A24,Material_Detail!$DE:$DE,0)+1,98))),0,IFERROR(INDEX(Material_Detail!$D:$DC,MATCH($A24,Material_Detail!$DE:$DE,0),98),0)),SUMIFS(T_Shipments[Confirmed_Qty],T_Shipments[Part Name],$A24,T_Shipments[Effective_Week],98))</f>
        <v/>
      </c>
      <c r="CV24">
        <f>IF(COUNTIF(Material_Detail!$DE:$DE,$A24)&gt;0,IF(ISNUMBER(SEARCH("[済]",INDEX(Material_Detail!$D:$DC,MATCH($A24,Material_Detail!$DE:$DE,0)+1,99))),0,IFERROR(INDEX(Material_Detail!$D:$DC,MATCH($A24,Material_Detail!$DE:$DE,0),99),0)),SUMIFS(T_Shipments[Confirmed_Qty],T_Shipments[Part Name],$A24,T_Shipments[Effective_Week],99))</f>
        <v/>
      </c>
      <c r="CW24">
        <f>IF(COUNTIF(Material_Detail!$DE:$DE,$A24)&gt;0,IF(ISNUMBER(SEARCH("[済]",INDEX(Material_Detail!$D:$DC,MATCH($A24,Material_Detail!$DE:$DE,0)+1,100))),0,IFERROR(INDEX(Material_Detail!$D:$DC,MATCH($A24,Material_Detail!$DE:$DE,0),100),0)),SUMIFS(T_Shipments[Confirmed_Qty],T_Shipments[Part Name],$A24,T_Shipments[Effective_Week],100))</f>
        <v/>
      </c>
      <c r="CX24">
        <f>IF(COUNTIF(Material_Detail!$DE:$DE,$A24)&gt;0,IF(ISNUMBER(SEARCH("[済]",INDEX(Material_Detail!$D:$DC,MATCH($A24,Material_Detail!$DE:$DE,0)+1,101))),0,IFERROR(INDEX(Material_Detail!$D:$DC,MATCH($A24,Material_Detail!$DE:$DE,0),101),0)),SUMIFS(T_Shipments[Confirmed_Qty],T_Shipments[Part Name],$A24,T_Shipments[Effective_Week],101))</f>
        <v/>
      </c>
      <c r="CY24">
        <f>IF(COUNTIF(Material_Detail!$DE:$DE,$A24)&gt;0,IF(ISNUMBER(SEARCH("[済]",INDEX(Material_Detail!$D:$DC,MATCH($A24,Material_Detail!$DE:$DE,0)+1,102))),0,IFERROR(INDEX(Material_Detail!$D:$DC,MATCH($A24,Material_Detail!$DE:$DE,0),102),0)),SUMIFS(T_Shipments[Confirmed_Qty],T_Shipments[Part Name],$A24,T_Shipments[Effective_Week],102))</f>
        <v/>
      </c>
      <c r="CZ24">
        <f>IF(COUNTIF(Material_Detail!$DE:$DE,$A24)&gt;0,IF(ISNUMBER(SEARCH("[済]",INDEX(Material_Detail!$D:$DC,MATCH($A24,Material_Detail!$DE:$DE,0)+1,103))),0,IFERROR(INDEX(Material_Detail!$D:$DC,MATCH($A24,Material_Detail!$DE:$DE,0),103),0)),SUMIFS(T_Shipments[Confirmed_Qty],T_Shipments[Part Name],$A24,T_Shipments[Effective_Week],103))</f>
        <v/>
      </c>
      <c r="DA24">
        <f>IF(COUNTIF(Material_Detail!$DE:$DE,$A24)&gt;0,IF(ISNUMBER(SEARCH("[済]",INDEX(Material_Detail!$D:$DC,MATCH($A24,Material_Detail!$DE:$DE,0)+1,104))),0,IFERROR(INDEX(Material_Detail!$D:$DC,MATCH($A24,Material_Detail!$DE:$DE,0),104),0)),SUMIFS(T_Shipments[Confirmed_Qty],T_Shipments[Part Name],$A24,T_Shipments[Effective_Week],104))</f>
        <v/>
      </c>
    </row>
    <row r="25">
      <c r="A25" t="inlineStr">
        <is>
          <t>CHEM-1510</t>
        </is>
      </c>
      <c r="B25">
        <f>IF(COUNTIF(Material_Detail!$DE:$DE,$A25)&gt;0,IF(ISNUMBER(SEARCH("[済]",INDEX(Material_Detail!$D:$DC,MATCH($A25,Material_Detail!$DE:$DE,0)+1,1))),0,IFERROR(INDEX(Material_Detail!$D:$DC,MATCH($A25,Material_Detail!$DE:$DE,0),1),0)),SUMIFS(T_Shipments[Confirmed_Qty],T_Shipments[Part Name],$A25,T_Shipments[Effective_Week],1))</f>
        <v/>
      </c>
      <c r="C25">
        <f>IF(COUNTIF(Material_Detail!$DE:$DE,$A25)&gt;0,IF(ISNUMBER(SEARCH("[済]",INDEX(Material_Detail!$D:$DC,MATCH($A25,Material_Detail!$DE:$DE,0)+1,2))),0,IFERROR(INDEX(Material_Detail!$D:$DC,MATCH($A25,Material_Detail!$DE:$DE,0),2),0)),SUMIFS(T_Shipments[Confirmed_Qty],T_Shipments[Part Name],$A25,T_Shipments[Effective_Week],2))</f>
        <v/>
      </c>
      <c r="D25">
        <f>IF(COUNTIF(Material_Detail!$DE:$DE,$A25)&gt;0,IF(ISNUMBER(SEARCH("[済]",INDEX(Material_Detail!$D:$DC,MATCH($A25,Material_Detail!$DE:$DE,0)+1,3))),0,IFERROR(INDEX(Material_Detail!$D:$DC,MATCH($A25,Material_Detail!$DE:$DE,0),3),0)),SUMIFS(T_Shipments[Confirmed_Qty],T_Shipments[Part Name],$A25,T_Shipments[Effective_Week],3))</f>
        <v/>
      </c>
      <c r="E25">
        <f>IF(COUNTIF(Material_Detail!$DE:$DE,$A25)&gt;0,IF(ISNUMBER(SEARCH("[済]",INDEX(Material_Detail!$D:$DC,MATCH($A25,Material_Detail!$DE:$DE,0)+1,4))),0,IFERROR(INDEX(Material_Detail!$D:$DC,MATCH($A25,Material_Detail!$DE:$DE,0),4),0)),SUMIFS(T_Shipments[Confirmed_Qty],T_Shipments[Part Name],$A25,T_Shipments[Effective_Week],4))</f>
        <v/>
      </c>
      <c r="F25">
        <f>IF(COUNTIF(Material_Detail!$DE:$DE,$A25)&gt;0,IF(ISNUMBER(SEARCH("[済]",INDEX(Material_Detail!$D:$DC,MATCH($A25,Material_Detail!$DE:$DE,0)+1,5))),0,IFERROR(INDEX(Material_Detail!$D:$DC,MATCH($A25,Material_Detail!$DE:$DE,0),5),0)),SUMIFS(T_Shipments[Confirmed_Qty],T_Shipments[Part Name],$A25,T_Shipments[Effective_Week],5))</f>
        <v/>
      </c>
      <c r="G25">
        <f>IF(COUNTIF(Material_Detail!$DE:$DE,$A25)&gt;0,IF(ISNUMBER(SEARCH("[済]",INDEX(Material_Detail!$D:$DC,MATCH($A25,Material_Detail!$DE:$DE,0)+1,6))),0,IFERROR(INDEX(Material_Detail!$D:$DC,MATCH($A25,Material_Detail!$DE:$DE,0),6),0)),SUMIFS(T_Shipments[Confirmed_Qty],T_Shipments[Part Name],$A25,T_Shipments[Effective_Week],6))</f>
        <v/>
      </c>
      <c r="H25">
        <f>IF(COUNTIF(Material_Detail!$DE:$DE,$A25)&gt;0,IF(ISNUMBER(SEARCH("[済]",INDEX(Material_Detail!$D:$DC,MATCH($A25,Material_Detail!$DE:$DE,0)+1,7))),0,IFERROR(INDEX(Material_Detail!$D:$DC,MATCH($A25,Material_Detail!$DE:$DE,0),7),0)),SUMIFS(T_Shipments[Confirmed_Qty],T_Shipments[Part Name],$A25,T_Shipments[Effective_Week],7))</f>
        <v/>
      </c>
      <c r="I25">
        <f>IF(COUNTIF(Material_Detail!$DE:$DE,$A25)&gt;0,IF(ISNUMBER(SEARCH("[済]",INDEX(Material_Detail!$D:$DC,MATCH($A25,Material_Detail!$DE:$DE,0)+1,8))),0,IFERROR(INDEX(Material_Detail!$D:$DC,MATCH($A25,Material_Detail!$DE:$DE,0),8),0)),SUMIFS(T_Shipments[Confirmed_Qty],T_Shipments[Part Name],$A25,T_Shipments[Effective_Week],8))</f>
        <v/>
      </c>
      <c r="J25">
        <f>IF(COUNTIF(Material_Detail!$DE:$DE,$A25)&gt;0,IF(ISNUMBER(SEARCH("[済]",INDEX(Material_Detail!$D:$DC,MATCH($A25,Material_Detail!$DE:$DE,0)+1,9))),0,IFERROR(INDEX(Material_Detail!$D:$DC,MATCH($A25,Material_Detail!$DE:$DE,0),9),0)),SUMIFS(T_Shipments[Confirmed_Qty],T_Shipments[Part Name],$A25,T_Shipments[Effective_Week],9))</f>
        <v/>
      </c>
      <c r="K25">
        <f>IF(COUNTIF(Material_Detail!$DE:$DE,$A25)&gt;0,IF(ISNUMBER(SEARCH("[済]",INDEX(Material_Detail!$D:$DC,MATCH($A25,Material_Detail!$DE:$DE,0)+1,10))),0,IFERROR(INDEX(Material_Detail!$D:$DC,MATCH($A25,Material_Detail!$DE:$DE,0),10),0)),SUMIFS(T_Shipments[Confirmed_Qty],T_Shipments[Part Name],$A25,T_Shipments[Effective_Week],10))</f>
        <v/>
      </c>
      <c r="L25">
        <f>IF(COUNTIF(Material_Detail!$DE:$DE,$A25)&gt;0,IF(ISNUMBER(SEARCH("[済]",INDEX(Material_Detail!$D:$DC,MATCH($A25,Material_Detail!$DE:$DE,0)+1,11))),0,IFERROR(INDEX(Material_Detail!$D:$DC,MATCH($A25,Material_Detail!$DE:$DE,0),11),0)),SUMIFS(T_Shipments[Confirmed_Qty],T_Shipments[Part Name],$A25,T_Shipments[Effective_Week],11))</f>
        <v/>
      </c>
      <c r="M25">
        <f>IF(COUNTIF(Material_Detail!$DE:$DE,$A25)&gt;0,IF(ISNUMBER(SEARCH("[済]",INDEX(Material_Detail!$D:$DC,MATCH($A25,Material_Detail!$DE:$DE,0)+1,12))),0,IFERROR(INDEX(Material_Detail!$D:$DC,MATCH($A25,Material_Detail!$DE:$DE,0),12),0)),SUMIFS(T_Shipments[Confirmed_Qty],T_Shipments[Part Name],$A25,T_Shipments[Effective_Week],12))</f>
        <v/>
      </c>
      <c r="N25">
        <f>IF(COUNTIF(Material_Detail!$DE:$DE,$A25)&gt;0,IF(ISNUMBER(SEARCH("[済]",INDEX(Material_Detail!$D:$DC,MATCH($A25,Material_Detail!$DE:$DE,0)+1,13))),0,IFERROR(INDEX(Material_Detail!$D:$DC,MATCH($A25,Material_Detail!$DE:$DE,0),13),0)),SUMIFS(T_Shipments[Confirmed_Qty],T_Shipments[Part Name],$A25,T_Shipments[Effective_Week],13))</f>
        <v/>
      </c>
      <c r="O25">
        <f>IF(COUNTIF(Material_Detail!$DE:$DE,$A25)&gt;0,IF(ISNUMBER(SEARCH("[済]",INDEX(Material_Detail!$D:$DC,MATCH($A25,Material_Detail!$DE:$DE,0)+1,14))),0,IFERROR(INDEX(Material_Detail!$D:$DC,MATCH($A25,Material_Detail!$DE:$DE,0),14),0)),SUMIFS(T_Shipments[Confirmed_Qty],T_Shipments[Part Name],$A25,T_Shipments[Effective_Week],14))</f>
        <v/>
      </c>
      <c r="P25">
        <f>IF(COUNTIF(Material_Detail!$DE:$DE,$A25)&gt;0,IF(ISNUMBER(SEARCH("[済]",INDEX(Material_Detail!$D:$DC,MATCH($A25,Material_Detail!$DE:$DE,0)+1,15))),0,IFERROR(INDEX(Material_Detail!$D:$DC,MATCH($A25,Material_Detail!$DE:$DE,0),15),0)),SUMIFS(T_Shipments[Confirmed_Qty],T_Shipments[Part Name],$A25,T_Shipments[Effective_Week],15))</f>
        <v/>
      </c>
      <c r="Q25">
        <f>IF(COUNTIF(Material_Detail!$DE:$DE,$A25)&gt;0,IF(ISNUMBER(SEARCH("[済]",INDEX(Material_Detail!$D:$DC,MATCH($A25,Material_Detail!$DE:$DE,0)+1,16))),0,IFERROR(INDEX(Material_Detail!$D:$DC,MATCH($A25,Material_Detail!$DE:$DE,0),16),0)),SUMIFS(T_Shipments[Confirmed_Qty],T_Shipments[Part Name],$A25,T_Shipments[Effective_Week],16))</f>
        <v/>
      </c>
      <c r="R25">
        <f>IF(COUNTIF(Material_Detail!$DE:$DE,$A25)&gt;0,IF(ISNUMBER(SEARCH("[済]",INDEX(Material_Detail!$D:$DC,MATCH($A25,Material_Detail!$DE:$DE,0)+1,17))),0,IFERROR(INDEX(Material_Detail!$D:$DC,MATCH($A25,Material_Detail!$DE:$DE,0),17),0)),SUMIFS(T_Shipments[Confirmed_Qty],T_Shipments[Part Name],$A25,T_Shipments[Effective_Week],17))</f>
        <v/>
      </c>
      <c r="S25">
        <f>IF(COUNTIF(Material_Detail!$DE:$DE,$A25)&gt;0,IF(ISNUMBER(SEARCH("[済]",INDEX(Material_Detail!$D:$DC,MATCH($A25,Material_Detail!$DE:$DE,0)+1,18))),0,IFERROR(INDEX(Material_Detail!$D:$DC,MATCH($A25,Material_Detail!$DE:$DE,0),18),0)),SUMIFS(T_Shipments[Confirmed_Qty],T_Shipments[Part Name],$A25,T_Shipments[Effective_Week],18))</f>
        <v/>
      </c>
      <c r="T25">
        <f>IF(COUNTIF(Material_Detail!$DE:$DE,$A25)&gt;0,IF(ISNUMBER(SEARCH("[済]",INDEX(Material_Detail!$D:$DC,MATCH($A25,Material_Detail!$DE:$DE,0)+1,19))),0,IFERROR(INDEX(Material_Detail!$D:$DC,MATCH($A25,Material_Detail!$DE:$DE,0),19),0)),SUMIFS(T_Shipments[Confirmed_Qty],T_Shipments[Part Name],$A25,T_Shipments[Effective_Week],19))</f>
        <v/>
      </c>
      <c r="U25">
        <f>IF(COUNTIF(Material_Detail!$DE:$DE,$A25)&gt;0,IF(ISNUMBER(SEARCH("[済]",INDEX(Material_Detail!$D:$DC,MATCH($A25,Material_Detail!$DE:$DE,0)+1,20))),0,IFERROR(INDEX(Material_Detail!$D:$DC,MATCH($A25,Material_Detail!$DE:$DE,0),20),0)),SUMIFS(T_Shipments[Confirmed_Qty],T_Shipments[Part Name],$A25,T_Shipments[Effective_Week],20))</f>
        <v/>
      </c>
      <c r="V25">
        <f>IF(COUNTIF(Material_Detail!$DE:$DE,$A25)&gt;0,IF(ISNUMBER(SEARCH("[済]",INDEX(Material_Detail!$D:$DC,MATCH($A25,Material_Detail!$DE:$DE,0)+1,21))),0,IFERROR(INDEX(Material_Detail!$D:$DC,MATCH($A25,Material_Detail!$DE:$DE,0),21),0)),SUMIFS(T_Shipments[Confirmed_Qty],T_Shipments[Part Name],$A25,T_Shipments[Effective_Week],21))</f>
        <v/>
      </c>
      <c r="W25">
        <f>IF(COUNTIF(Material_Detail!$DE:$DE,$A25)&gt;0,IF(ISNUMBER(SEARCH("[済]",INDEX(Material_Detail!$D:$DC,MATCH($A25,Material_Detail!$DE:$DE,0)+1,22))),0,IFERROR(INDEX(Material_Detail!$D:$DC,MATCH($A25,Material_Detail!$DE:$DE,0),22),0)),SUMIFS(T_Shipments[Confirmed_Qty],T_Shipments[Part Name],$A25,T_Shipments[Effective_Week],22))</f>
        <v/>
      </c>
      <c r="X25">
        <f>IF(COUNTIF(Material_Detail!$DE:$DE,$A25)&gt;0,IF(ISNUMBER(SEARCH("[済]",INDEX(Material_Detail!$D:$DC,MATCH($A25,Material_Detail!$DE:$DE,0)+1,23))),0,IFERROR(INDEX(Material_Detail!$D:$DC,MATCH($A25,Material_Detail!$DE:$DE,0),23),0)),SUMIFS(T_Shipments[Confirmed_Qty],T_Shipments[Part Name],$A25,T_Shipments[Effective_Week],23))</f>
        <v/>
      </c>
      <c r="Y25">
        <f>IF(COUNTIF(Material_Detail!$DE:$DE,$A25)&gt;0,IF(ISNUMBER(SEARCH("[済]",INDEX(Material_Detail!$D:$DC,MATCH($A25,Material_Detail!$DE:$DE,0)+1,24))),0,IFERROR(INDEX(Material_Detail!$D:$DC,MATCH($A25,Material_Detail!$DE:$DE,0),24),0)),SUMIFS(T_Shipments[Confirmed_Qty],T_Shipments[Part Name],$A25,T_Shipments[Effective_Week],24))</f>
        <v/>
      </c>
      <c r="Z25">
        <f>IF(COUNTIF(Material_Detail!$DE:$DE,$A25)&gt;0,IF(ISNUMBER(SEARCH("[済]",INDEX(Material_Detail!$D:$DC,MATCH($A25,Material_Detail!$DE:$DE,0)+1,25))),0,IFERROR(INDEX(Material_Detail!$D:$DC,MATCH($A25,Material_Detail!$DE:$DE,0),25),0)),SUMIFS(T_Shipments[Confirmed_Qty],T_Shipments[Part Name],$A25,T_Shipments[Effective_Week],25))</f>
        <v/>
      </c>
      <c r="AA25">
        <f>IF(COUNTIF(Material_Detail!$DE:$DE,$A25)&gt;0,IF(ISNUMBER(SEARCH("[済]",INDEX(Material_Detail!$D:$DC,MATCH($A25,Material_Detail!$DE:$DE,0)+1,26))),0,IFERROR(INDEX(Material_Detail!$D:$DC,MATCH($A25,Material_Detail!$DE:$DE,0),26),0)),SUMIFS(T_Shipments[Confirmed_Qty],T_Shipments[Part Name],$A25,T_Shipments[Effective_Week],26))</f>
        <v/>
      </c>
      <c r="AB25">
        <f>IF(COUNTIF(Material_Detail!$DE:$DE,$A25)&gt;0,IF(ISNUMBER(SEARCH("[済]",INDEX(Material_Detail!$D:$DC,MATCH($A25,Material_Detail!$DE:$DE,0)+1,27))),0,IFERROR(INDEX(Material_Detail!$D:$DC,MATCH($A25,Material_Detail!$DE:$DE,0),27),0)),SUMIFS(T_Shipments[Confirmed_Qty],T_Shipments[Part Name],$A25,T_Shipments[Effective_Week],27))</f>
        <v/>
      </c>
      <c r="AC25">
        <f>IF(COUNTIF(Material_Detail!$DE:$DE,$A25)&gt;0,IF(ISNUMBER(SEARCH("[済]",INDEX(Material_Detail!$D:$DC,MATCH($A25,Material_Detail!$DE:$DE,0)+1,28))),0,IFERROR(INDEX(Material_Detail!$D:$DC,MATCH($A25,Material_Detail!$DE:$DE,0),28),0)),SUMIFS(T_Shipments[Confirmed_Qty],T_Shipments[Part Name],$A25,T_Shipments[Effective_Week],28))</f>
        <v/>
      </c>
      <c r="AD25">
        <f>IF(COUNTIF(Material_Detail!$DE:$DE,$A25)&gt;0,IF(ISNUMBER(SEARCH("[済]",INDEX(Material_Detail!$D:$DC,MATCH($A25,Material_Detail!$DE:$DE,0)+1,29))),0,IFERROR(INDEX(Material_Detail!$D:$DC,MATCH($A25,Material_Detail!$DE:$DE,0),29),0)),SUMIFS(T_Shipments[Confirmed_Qty],T_Shipments[Part Name],$A25,T_Shipments[Effective_Week],29))</f>
        <v/>
      </c>
      <c r="AE25">
        <f>IF(COUNTIF(Material_Detail!$DE:$DE,$A25)&gt;0,IF(ISNUMBER(SEARCH("[済]",INDEX(Material_Detail!$D:$DC,MATCH($A25,Material_Detail!$DE:$DE,0)+1,30))),0,IFERROR(INDEX(Material_Detail!$D:$DC,MATCH($A25,Material_Detail!$DE:$DE,0),30),0)),SUMIFS(T_Shipments[Confirmed_Qty],T_Shipments[Part Name],$A25,T_Shipments[Effective_Week],30))</f>
        <v/>
      </c>
      <c r="AF25">
        <f>IF(COUNTIF(Material_Detail!$DE:$DE,$A25)&gt;0,IF(ISNUMBER(SEARCH("[済]",INDEX(Material_Detail!$D:$DC,MATCH($A25,Material_Detail!$DE:$DE,0)+1,31))),0,IFERROR(INDEX(Material_Detail!$D:$DC,MATCH($A25,Material_Detail!$DE:$DE,0),31),0)),SUMIFS(T_Shipments[Confirmed_Qty],T_Shipments[Part Name],$A25,T_Shipments[Effective_Week],31))</f>
        <v/>
      </c>
      <c r="AG25">
        <f>IF(COUNTIF(Material_Detail!$DE:$DE,$A25)&gt;0,IF(ISNUMBER(SEARCH("[済]",INDEX(Material_Detail!$D:$DC,MATCH($A25,Material_Detail!$DE:$DE,0)+1,32))),0,IFERROR(INDEX(Material_Detail!$D:$DC,MATCH($A25,Material_Detail!$DE:$DE,0),32),0)),SUMIFS(T_Shipments[Confirmed_Qty],T_Shipments[Part Name],$A25,T_Shipments[Effective_Week],32))</f>
        <v/>
      </c>
      <c r="AH25">
        <f>IF(COUNTIF(Material_Detail!$DE:$DE,$A25)&gt;0,IF(ISNUMBER(SEARCH("[済]",INDEX(Material_Detail!$D:$DC,MATCH($A25,Material_Detail!$DE:$DE,0)+1,33))),0,IFERROR(INDEX(Material_Detail!$D:$DC,MATCH($A25,Material_Detail!$DE:$DE,0),33),0)),SUMIFS(T_Shipments[Confirmed_Qty],T_Shipments[Part Name],$A25,T_Shipments[Effective_Week],33))</f>
        <v/>
      </c>
      <c r="AI25">
        <f>IF(COUNTIF(Material_Detail!$DE:$DE,$A25)&gt;0,IF(ISNUMBER(SEARCH("[済]",INDEX(Material_Detail!$D:$DC,MATCH($A25,Material_Detail!$DE:$DE,0)+1,34))),0,IFERROR(INDEX(Material_Detail!$D:$DC,MATCH($A25,Material_Detail!$DE:$DE,0),34),0)),SUMIFS(T_Shipments[Confirmed_Qty],T_Shipments[Part Name],$A25,T_Shipments[Effective_Week],34))</f>
        <v/>
      </c>
      <c r="AJ25">
        <f>IF(COUNTIF(Material_Detail!$DE:$DE,$A25)&gt;0,IF(ISNUMBER(SEARCH("[済]",INDEX(Material_Detail!$D:$DC,MATCH($A25,Material_Detail!$DE:$DE,0)+1,35))),0,IFERROR(INDEX(Material_Detail!$D:$DC,MATCH($A25,Material_Detail!$DE:$DE,0),35),0)),SUMIFS(T_Shipments[Confirmed_Qty],T_Shipments[Part Name],$A25,T_Shipments[Effective_Week],35))</f>
        <v/>
      </c>
      <c r="AK25">
        <f>IF(COUNTIF(Material_Detail!$DE:$DE,$A25)&gt;0,IF(ISNUMBER(SEARCH("[済]",INDEX(Material_Detail!$D:$DC,MATCH($A25,Material_Detail!$DE:$DE,0)+1,36))),0,IFERROR(INDEX(Material_Detail!$D:$DC,MATCH($A25,Material_Detail!$DE:$DE,0),36),0)),SUMIFS(T_Shipments[Confirmed_Qty],T_Shipments[Part Name],$A25,T_Shipments[Effective_Week],36))</f>
        <v/>
      </c>
      <c r="AL25">
        <f>IF(COUNTIF(Material_Detail!$DE:$DE,$A25)&gt;0,IF(ISNUMBER(SEARCH("[済]",INDEX(Material_Detail!$D:$DC,MATCH($A25,Material_Detail!$DE:$DE,0)+1,37))),0,IFERROR(INDEX(Material_Detail!$D:$DC,MATCH($A25,Material_Detail!$DE:$DE,0),37),0)),SUMIFS(T_Shipments[Confirmed_Qty],T_Shipments[Part Name],$A25,T_Shipments[Effective_Week],37))</f>
        <v/>
      </c>
      <c r="AM25">
        <f>IF(COUNTIF(Material_Detail!$DE:$DE,$A25)&gt;0,IF(ISNUMBER(SEARCH("[済]",INDEX(Material_Detail!$D:$DC,MATCH($A25,Material_Detail!$DE:$DE,0)+1,38))),0,IFERROR(INDEX(Material_Detail!$D:$DC,MATCH($A25,Material_Detail!$DE:$DE,0),38),0)),SUMIFS(T_Shipments[Confirmed_Qty],T_Shipments[Part Name],$A25,T_Shipments[Effective_Week],38))</f>
        <v/>
      </c>
      <c r="AN25">
        <f>IF(COUNTIF(Material_Detail!$DE:$DE,$A25)&gt;0,IF(ISNUMBER(SEARCH("[済]",INDEX(Material_Detail!$D:$DC,MATCH($A25,Material_Detail!$DE:$DE,0)+1,39))),0,IFERROR(INDEX(Material_Detail!$D:$DC,MATCH($A25,Material_Detail!$DE:$DE,0),39),0)),SUMIFS(T_Shipments[Confirmed_Qty],T_Shipments[Part Name],$A25,T_Shipments[Effective_Week],39))</f>
        <v/>
      </c>
      <c r="AO25">
        <f>IF(COUNTIF(Material_Detail!$DE:$DE,$A25)&gt;0,IF(ISNUMBER(SEARCH("[済]",INDEX(Material_Detail!$D:$DC,MATCH($A25,Material_Detail!$DE:$DE,0)+1,40))),0,IFERROR(INDEX(Material_Detail!$D:$DC,MATCH($A25,Material_Detail!$DE:$DE,0),40),0)),SUMIFS(T_Shipments[Confirmed_Qty],T_Shipments[Part Name],$A25,T_Shipments[Effective_Week],40))</f>
        <v/>
      </c>
      <c r="AP25">
        <f>IF(COUNTIF(Material_Detail!$DE:$DE,$A25)&gt;0,IF(ISNUMBER(SEARCH("[済]",INDEX(Material_Detail!$D:$DC,MATCH($A25,Material_Detail!$DE:$DE,0)+1,41))),0,IFERROR(INDEX(Material_Detail!$D:$DC,MATCH($A25,Material_Detail!$DE:$DE,0),41),0)),SUMIFS(T_Shipments[Confirmed_Qty],T_Shipments[Part Name],$A25,T_Shipments[Effective_Week],41))</f>
        <v/>
      </c>
      <c r="AQ25">
        <f>IF(COUNTIF(Material_Detail!$DE:$DE,$A25)&gt;0,IF(ISNUMBER(SEARCH("[済]",INDEX(Material_Detail!$D:$DC,MATCH($A25,Material_Detail!$DE:$DE,0)+1,42))),0,IFERROR(INDEX(Material_Detail!$D:$DC,MATCH($A25,Material_Detail!$DE:$DE,0),42),0)),SUMIFS(T_Shipments[Confirmed_Qty],T_Shipments[Part Name],$A25,T_Shipments[Effective_Week],42))</f>
        <v/>
      </c>
      <c r="AR25">
        <f>IF(COUNTIF(Material_Detail!$DE:$DE,$A25)&gt;0,IF(ISNUMBER(SEARCH("[済]",INDEX(Material_Detail!$D:$DC,MATCH($A25,Material_Detail!$DE:$DE,0)+1,43))),0,IFERROR(INDEX(Material_Detail!$D:$DC,MATCH($A25,Material_Detail!$DE:$DE,0),43),0)),SUMIFS(T_Shipments[Confirmed_Qty],T_Shipments[Part Name],$A25,T_Shipments[Effective_Week],43))</f>
        <v/>
      </c>
      <c r="AS25">
        <f>IF(COUNTIF(Material_Detail!$DE:$DE,$A25)&gt;0,IF(ISNUMBER(SEARCH("[済]",INDEX(Material_Detail!$D:$DC,MATCH($A25,Material_Detail!$DE:$DE,0)+1,44))),0,IFERROR(INDEX(Material_Detail!$D:$DC,MATCH($A25,Material_Detail!$DE:$DE,0),44),0)),SUMIFS(T_Shipments[Confirmed_Qty],T_Shipments[Part Name],$A25,T_Shipments[Effective_Week],44))</f>
        <v/>
      </c>
      <c r="AT25">
        <f>IF(COUNTIF(Material_Detail!$DE:$DE,$A25)&gt;0,IF(ISNUMBER(SEARCH("[済]",INDEX(Material_Detail!$D:$DC,MATCH($A25,Material_Detail!$DE:$DE,0)+1,45))),0,IFERROR(INDEX(Material_Detail!$D:$DC,MATCH($A25,Material_Detail!$DE:$DE,0),45),0)),SUMIFS(T_Shipments[Confirmed_Qty],T_Shipments[Part Name],$A25,T_Shipments[Effective_Week],45))</f>
        <v/>
      </c>
      <c r="AU25">
        <f>IF(COUNTIF(Material_Detail!$DE:$DE,$A25)&gt;0,IF(ISNUMBER(SEARCH("[済]",INDEX(Material_Detail!$D:$DC,MATCH($A25,Material_Detail!$DE:$DE,0)+1,46))),0,IFERROR(INDEX(Material_Detail!$D:$DC,MATCH($A25,Material_Detail!$DE:$DE,0),46),0)),SUMIFS(T_Shipments[Confirmed_Qty],T_Shipments[Part Name],$A25,T_Shipments[Effective_Week],46))</f>
        <v/>
      </c>
      <c r="AV25">
        <f>IF(COUNTIF(Material_Detail!$DE:$DE,$A25)&gt;0,IF(ISNUMBER(SEARCH("[済]",INDEX(Material_Detail!$D:$DC,MATCH($A25,Material_Detail!$DE:$DE,0)+1,47))),0,IFERROR(INDEX(Material_Detail!$D:$DC,MATCH($A25,Material_Detail!$DE:$DE,0),47),0)),SUMIFS(T_Shipments[Confirmed_Qty],T_Shipments[Part Name],$A25,T_Shipments[Effective_Week],47))</f>
        <v/>
      </c>
      <c r="AW25">
        <f>IF(COUNTIF(Material_Detail!$DE:$DE,$A25)&gt;0,IF(ISNUMBER(SEARCH("[済]",INDEX(Material_Detail!$D:$DC,MATCH($A25,Material_Detail!$DE:$DE,0)+1,48))),0,IFERROR(INDEX(Material_Detail!$D:$DC,MATCH($A25,Material_Detail!$DE:$DE,0),48),0)),SUMIFS(T_Shipments[Confirmed_Qty],T_Shipments[Part Name],$A25,T_Shipments[Effective_Week],48))</f>
        <v/>
      </c>
      <c r="AX25">
        <f>IF(COUNTIF(Material_Detail!$DE:$DE,$A25)&gt;0,IF(ISNUMBER(SEARCH("[済]",INDEX(Material_Detail!$D:$DC,MATCH($A25,Material_Detail!$DE:$DE,0)+1,49))),0,IFERROR(INDEX(Material_Detail!$D:$DC,MATCH($A25,Material_Detail!$DE:$DE,0),49),0)),SUMIFS(T_Shipments[Confirmed_Qty],T_Shipments[Part Name],$A25,T_Shipments[Effective_Week],49))</f>
        <v/>
      </c>
      <c r="AY25">
        <f>IF(COUNTIF(Material_Detail!$DE:$DE,$A25)&gt;0,IF(ISNUMBER(SEARCH("[済]",INDEX(Material_Detail!$D:$DC,MATCH($A25,Material_Detail!$DE:$DE,0)+1,50))),0,IFERROR(INDEX(Material_Detail!$D:$DC,MATCH($A25,Material_Detail!$DE:$DE,0),50),0)),SUMIFS(T_Shipments[Confirmed_Qty],T_Shipments[Part Name],$A25,T_Shipments[Effective_Week],50))</f>
        <v/>
      </c>
      <c r="AZ25">
        <f>IF(COUNTIF(Material_Detail!$DE:$DE,$A25)&gt;0,IF(ISNUMBER(SEARCH("[済]",INDEX(Material_Detail!$D:$DC,MATCH($A25,Material_Detail!$DE:$DE,0)+1,51))),0,IFERROR(INDEX(Material_Detail!$D:$DC,MATCH($A25,Material_Detail!$DE:$DE,0),51),0)),SUMIFS(T_Shipments[Confirmed_Qty],T_Shipments[Part Name],$A25,T_Shipments[Effective_Week],51))</f>
        <v/>
      </c>
      <c r="BA25">
        <f>IF(COUNTIF(Material_Detail!$DE:$DE,$A25)&gt;0,IF(ISNUMBER(SEARCH("[済]",INDEX(Material_Detail!$D:$DC,MATCH($A25,Material_Detail!$DE:$DE,0)+1,52))),0,IFERROR(INDEX(Material_Detail!$D:$DC,MATCH($A25,Material_Detail!$DE:$DE,0),52),0)),SUMIFS(T_Shipments[Confirmed_Qty],T_Shipments[Part Name],$A25,T_Shipments[Effective_Week],52))</f>
        <v/>
      </c>
      <c r="BB25">
        <f>IF(COUNTIF(Material_Detail!$DE:$DE,$A25)&gt;0,IF(ISNUMBER(SEARCH("[済]",INDEX(Material_Detail!$D:$DC,MATCH($A25,Material_Detail!$DE:$DE,0)+1,53))),0,IFERROR(INDEX(Material_Detail!$D:$DC,MATCH($A25,Material_Detail!$DE:$DE,0),53),0)),SUMIFS(T_Shipments[Confirmed_Qty],T_Shipments[Part Name],$A25,T_Shipments[Effective_Week],53))</f>
        <v/>
      </c>
      <c r="BC25">
        <f>IF(COUNTIF(Material_Detail!$DE:$DE,$A25)&gt;0,IF(ISNUMBER(SEARCH("[済]",INDEX(Material_Detail!$D:$DC,MATCH($A25,Material_Detail!$DE:$DE,0)+1,54))),0,IFERROR(INDEX(Material_Detail!$D:$DC,MATCH($A25,Material_Detail!$DE:$DE,0),54),0)),SUMIFS(T_Shipments[Confirmed_Qty],T_Shipments[Part Name],$A25,T_Shipments[Effective_Week],54))</f>
        <v/>
      </c>
      <c r="BD25">
        <f>IF(COUNTIF(Material_Detail!$DE:$DE,$A25)&gt;0,IF(ISNUMBER(SEARCH("[済]",INDEX(Material_Detail!$D:$DC,MATCH($A25,Material_Detail!$DE:$DE,0)+1,55))),0,IFERROR(INDEX(Material_Detail!$D:$DC,MATCH($A25,Material_Detail!$DE:$DE,0),55),0)),SUMIFS(T_Shipments[Confirmed_Qty],T_Shipments[Part Name],$A25,T_Shipments[Effective_Week],55))</f>
        <v/>
      </c>
      <c r="BE25">
        <f>IF(COUNTIF(Material_Detail!$DE:$DE,$A25)&gt;0,IF(ISNUMBER(SEARCH("[済]",INDEX(Material_Detail!$D:$DC,MATCH($A25,Material_Detail!$DE:$DE,0)+1,56))),0,IFERROR(INDEX(Material_Detail!$D:$DC,MATCH($A25,Material_Detail!$DE:$DE,0),56),0)),SUMIFS(T_Shipments[Confirmed_Qty],T_Shipments[Part Name],$A25,T_Shipments[Effective_Week],56))</f>
        <v/>
      </c>
      <c r="BF25">
        <f>IF(COUNTIF(Material_Detail!$DE:$DE,$A25)&gt;0,IF(ISNUMBER(SEARCH("[済]",INDEX(Material_Detail!$D:$DC,MATCH($A25,Material_Detail!$DE:$DE,0)+1,57))),0,IFERROR(INDEX(Material_Detail!$D:$DC,MATCH($A25,Material_Detail!$DE:$DE,0),57),0)),SUMIFS(T_Shipments[Confirmed_Qty],T_Shipments[Part Name],$A25,T_Shipments[Effective_Week],57))</f>
        <v/>
      </c>
      <c r="BG25">
        <f>IF(COUNTIF(Material_Detail!$DE:$DE,$A25)&gt;0,IF(ISNUMBER(SEARCH("[済]",INDEX(Material_Detail!$D:$DC,MATCH($A25,Material_Detail!$DE:$DE,0)+1,58))),0,IFERROR(INDEX(Material_Detail!$D:$DC,MATCH($A25,Material_Detail!$DE:$DE,0),58),0)),SUMIFS(T_Shipments[Confirmed_Qty],T_Shipments[Part Name],$A25,T_Shipments[Effective_Week],58))</f>
        <v/>
      </c>
      <c r="BH25">
        <f>IF(COUNTIF(Material_Detail!$DE:$DE,$A25)&gt;0,IF(ISNUMBER(SEARCH("[済]",INDEX(Material_Detail!$D:$DC,MATCH($A25,Material_Detail!$DE:$DE,0)+1,59))),0,IFERROR(INDEX(Material_Detail!$D:$DC,MATCH($A25,Material_Detail!$DE:$DE,0),59),0)),SUMIFS(T_Shipments[Confirmed_Qty],T_Shipments[Part Name],$A25,T_Shipments[Effective_Week],59))</f>
        <v/>
      </c>
      <c r="BI25">
        <f>IF(COUNTIF(Material_Detail!$DE:$DE,$A25)&gt;0,IF(ISNUMBER(SEARCH("[済]",INDEX(Material_Detail!$D:$DC,MATCH($A25,Material_Detail!$DE:$DE,0)+1,60))),0,IFERROR(INDEX(Material_Detail!$D:$DC,MATCH($A25,Material_Detail!$DE:$DE,0),60),0)),SUMIFS(T_Shipments[Confirmed_Qty],T_Shipments[Part Name],$A25,T_Shipments[Effective_Week],60))</f>
        <v/>
      </c>
      <c r="BJ25">
        <f>IF(COUNTIF(Material_Detail!$DE:$DE,$A25)&gt;0,IF(ISNUMBER(SEARCH("[済]",INDEX(Material_Detail!$D:$DC,MATCH($A25,Material_Detail!$DE:$DE,0)+1,61))),0,IFERROR(INDEX(Material_Detail!$D:$DC,MATCH($A25,Material_Detail!$DE:$DE,0),61),0)),SUMIFS(T_Shipments[Confirmed_Qty],T_Shipments[Part Name],$A25,T_Shipments[Effective_Week],61))</f>
        <v/>
      </c>
      <c r="BK25">
        <f>IF(COUNTIF(Material_Detail!$DE:$DE,$A25)&gt;0,IF(ISNUMBER(SEARCH("[済]",INDEX(Material_Detail!$D:$DC,MATCH($A25,Material_Detail!$DE:$DE,0)+1,62))),0,IFERROR(INDEX(Material_Detail!$D:$DC,MATCH($A25,Material_Detail!$DE:$DE,0),62),0)),SUMIFS(T_Shipments[Confirmed_Qty],T_Shipments[Part Name],$A25,T_Shipments[Effective_Week],62))</f>
        <v/>
      </c>
      <c r="BL25">
        <f>IF(COUNTIF(Material_Detail!$DE:$DE,$A25)&gt;0,IF(ISNUMBER(SEARCH("[済]",INDEX(Material_Detail!$D:$DC,MATCH($A25,Material_Detail!$DE:$DE,0)+1,63))),0,IFERROR(INDEX(Material_Detail!$D:$DC,MATCH($A25,Material_Detail!$DE:$DE,0),63),0)),SUMIFS(T_Shipments[Confirmed_Qty],T_Shipments[Part Name],$A25,T_Shipments[Effective_Week],63))</f>
        <v/>
      </c>
      <c r="BM25">
        <f>IF(COUNTIF(Material_Detail!$DE:$DE,$A25)&gt;0,IF(ISNUMBER(SEARCH("[済]",INDEX(Material_Detail!$D:$DC,MATCH($A25,Material_Detail!$DE:$DE,0)+1,64))),0,IFERROR(INDEX(Material_Detail!$D:$DC,MATCH($A25,Material_Detail!$DE:$DE,0),64),0)),SUMIFS(T_Shipments[Confirmed_Qty],T_Shipments[Part Name],$A25,T_Shipments[Effective_Week],64))</f>
        <v/>
      </c>
      <c r="BN25">
        <f>IF(COUNTIF(Material_Detail!$DE:$DE,$A25)&gt;0,IF(ISNUMBER(SEARCH("[済]",INDEX(Material_Detail!$D:$DC,MATCH($A25,Material_Detail!$DE:$DE,0)+1,65))),0,IFERROR(INDEX(Material_Detail!$D:$DC,MATCH($A25,Material_Detail!$DE:$DE,0),65),0)),SUMIFS(T_Shipments[Confirmed_Qty],T_Shipments[Part Name],$A25,T_Shipments[Effective_Week],65))</f>
        <v/>
      </c>
      <c r="BO25">
        <f>IF(COUNTIF(Material_Detail!$DE:$DE,$A25)&gt;0,IF(ISNUMBER(SEARCH("[済]",INDEX(Material_Detail!$D:$DC,MATCH($A25,Material_Detail!$DE:$DE,0)+1,66))),0,IFERROR(INDEX(Material_Detail!$D:$DC,MATCH($A25,Material_Detail!$DE:$DE,0),66),0)),SUMIFS(T_Shipments[Confirmed_Qty],T_Shipments[Part Name],$A25,T_Shipments[Effective_Week],66))</f>
        <v/>
      </c>
      <c r="BP25">
        <f>IF(COUNTIF(Material_Detail!$DE:$DE,$A25)&gt;0,IF(ISNUMBER(SEARCH("[済]",INDEX(Material_Detail!$D:$DC,MATCH($A25,Material_Detail!$DE:$DE,0)+1,67))),0,IFERROR(INDEX(Material_Detail!$D:$DC,MATCH($A25,Material_Detail!$DE:$DE,0),67),0)),SUMIFS(T_Shipments[Confirmed_Qty],T_Shipments[Part Name],$A25,T_Shipments[Effective_Week],67))</f>
        <v/>
      </c>
      <c r="BQ25">
        <f>IF(COUNTIF(Material_Detail!$DE:$DE,$A25)&gt;0,IF(ISNUMBER(SEARCH("[済]",INDEX(Material_Detail!$D:$DC,MATCH($A25,Material_Detail!$DE:$DE,0)+1,68))),0,IFERROR(INDEX(Material_Detail!$D:$DC,MATCH($A25,Material_Detail!$DE:$DE,0),68),0)),SUMIFS(T_Shipments[Confirmed_Qty],T_Shipments[Part Name],$A25,T_Shipments[Effective_Week],68))</f>
        <v/>
      </c>
      <c r="BR25">
        <f>IF(COUNTIF(Material_Detail!$DE:$DE,$A25)&gt;0,IF(ISNUMBER(SEARCH("[済]",INDEX(Material_Detail!$D:$DC,MATCH($A25,Material_Detail!$DE:$DE,0)+1,69))),0,IFERROR(INDEX(Material_Detail!$D:$DC,MATCH($A25,Material_Detail!$DE:$DE,0),69),0)),SUMIFS(T_Shipments[Confirmed_Qty],T_Shipments[Part Name],$A25,T_Shipments[Effective_Week],69))</f>
        <v/>
      </c>
      <c r="BS25">
        <f>IF(COUNTIF(Material_Detail!$DE:$DE,$A25)&gt;0,IF(ISNUMBER(SEARCH("[済]",INDEX(Material_Detail!$D:$DC,MATCH($A25,Material_Detail!$DE:$DE,0)+1,70))),0,IFERROR(INDEX(Material_Detail!$D:$DC,MATCH($A25,Material_Detail!$DE:$DE,0),70),0)),SUMIFS(T_Shipments[Confirmed_Qty],T_Shipments[Part Name],$A25,T_Shipments[Effective_Week],70))</f>
        <v/>
      </c>
      <c r="BT25">
        <f>IF(COUNTIF(Material_Detail!$DE:$DE,$A25)&gt;0,IF(ISNUMBER(SEARCH("[済]",INDEX(Material_Detail!$D:$DC,MATCH($A25,Material_Detail!$DE:$DE,0)+1,71))),0,IFERROR(INDEX(Material_Detail!$D:$DC,MATCH($A25,Material_Detail!$DE:$DE,0),71),0)),SUMIFS(T_Shipments[Confirmed_Qty],T_Shipments[Part Name],$A25,T_Shipments[Effective_Week],71))</f>
        <v/>
      </c>
      <c r="BU25">
        <f>IF(COUNTIF(Material_Detail!$DE:$DE,$A25)&gt;0,IF(ISNUMBER(SEARCH("[済]",INDEX(Material_Detail!$D:$DC,MATCH($A25,Material_Detail!$DE:$DE,0)+1,72))),0,IFERROR(INDEX(Material_Detail!$D:$DC,MATCH($A25,Material_Detail!$DE:$DE,0),72),0)),SUMIFS(T_Shipments[Confirmed_Qty],T_Shipments[Part Name],$A25,T_Shipments[Effective_Week],72))</f>
        <v/>
      </c>
      <c r="BV25">
        <f>IF(COUNTIF(Material_Detail!$DE:$DE,$A25)&gt;0,IF(ISNUMBER(SEARCH("[済]",INDEX(Material_Detail!$D:$DC,MATCH($A25,Material_Detail!$DE:$DE,0)+1,73))),0,IFERROR(INDEX(Material_Detail!$D:$DC,MATCH($A25,Material_Detail!$DE:$DE,0),73),0)),SUMIFS(T_Shipments[Confirmed_Qty],T_Shipments[Part Name],$A25,T_Shipments[Effective_Week],73))</f>
        <v/>
      </c>
      <c r="BW25">
        <f>IF(COUNTIF(Material_Detail!$DE:$DE,$A25)&gt;0,IF(ISNUMBER(SEARCH("[済]",INDEX(Material_Detail!$D:$DC,MATCH($A25,Material_Detail!$DE:$DE,0)+1,74))),0,IFERROR(INDEX(Material_Detail!$D:$DC,MATCH($A25,Material_Detail!$DE:$DE,0),74),0)),SUMIFS(T_Shipments[Confirmed_Qty],T_Shipments[Part Name],$A25,T_Shipments[Effective_Week],74))</f>
        <v/>
      </c>
      <c r="BX25">
        <f>IF(COUNTIF(Material_Detail!$DE:$DE,$A25)&gt;0,IF(ISNUMBER(SEARCH("[済]",INDEX(Material_Detail!$D:$DC,MATCH($A25,Material_Detail!$DE:$DE,0)+1,75))),0,IFERROR(INDEX(Material_Detail!$D:$DC,MATCH($A25,Material_Detail!$DE:$DE,0),75),0)),SUMIFS(T_Shipments[Confirmed_Qty],T_Shipments[Part Name],$A25,T_Shipments[Effective_Week],75))</f>
        <v/>
      </c>
      <c r="BY25">
        <f>IF(COUNTIF(Material_Detail!$DE:$DE,$A25)&gt;0,IF(ISNUMBER(SEARCH("[済]",INDEX(Material_Detail!$D:$DC,MATCH($A25,Material_Detail!$DE:$DE,0)+1,76))),0,IFERROR(INDEX(Material_Detail!$D:$DC,MATCH($A25,Material_Detail!$DE:$DE,0),76),0)),SUMIFS(T_Shipments[Confirmed_Qty],T_Shipments[Part Name],$A25,T_Shipments[Effective_Week],76))</f>
        <v/>
      </c>
      <c r="BZ25">
        <f>IF(COUNTIF(Material_Detail!$DE:$DE,$A25)&gt;0,IF(ISNUMBER(SEARCH("[済]",INDEX(Material_Detail!$D:$DC,MATCH($A25,Material_Detail!$DE:$DE,0)+1,77))),0,IFERROR(INDEX(Material_Detail!$D:$DC,MATCH($A25,Material_Detail!$DE:$DE,0),77),0)),SUMIFS(T_Shipments[Confirmed_Qty],T_Shipments[Part Name],$A25,T_Shipments[Effective_Week],77))</f>
        <v/>
      </c>
      <c r="CA25">
        <f>IF(COUNTIF(Material_Detail!$DE:$DE,$A25)&gt;0,IF(ISNUMBER(SEARCH("[済]",INDEX(Material_Detail!$D:$DC,MATCH($A25,Material_Detail!$DE:$DE,0)+1,78))),0,IFERROR(INDEX(Material_Detail!$D:$DC,MATCH($A25,Material_Detail!$DE:$DE,0),78),0)),SUMIFS(T_Shipments[Confirmed_Qty],T_Shipments[Part Name],$A25,T_Shipments[Effective_Week],78))</f>
        <v/>
      </c>
      <c r="CB25">
        <f>IF(COUNTIF(Material_Detail!$DE:$DE,$A25)&gt;0,IF(ISNUMBER(SEARCH("[済]",INDEX(Material_Detail!$D:$DC,MATCH($A25,Material_Detail!$DE:$DE,0)+1,79))),0,IFERROR(INDEX(Material_Detail!$D:$DC,MATCH($A25,Material_Detail!$DE:$DE,0),79),0)),SUMIFS(T_Shipments[Confirmed_Qty],T_Shipments[Part Name],$A25,T_Shipments[Effective_Week],79))</f>
        <v/>
      </c>
      <c r="CC25">
        <f>IF(COUNTIF(Material_Detail!$DE:$DE,$A25)&gt;0,IF(ISNUMBER(SEARCH("[済]",INDEX(Material_Detail!$D:$DC,MATCH($A25,Material_Detail!$DE:$DE,0)+1,80))),0,IFERROR(INDEX(Material_Detail!$D:$DC,MATCH($A25,Material_Detail!$DE:$DE,0),80),0)),SUMIFS(T_Shipments[Confirmed_Qty],T_Shipments[Part Name],$A25,T_Shipments[Effective_Week],80))</f>
        <v/>
      </c>
      <c r="CD25">
        <f>IF(COUNTIF(Material_Detail!$DE:$DE,$A25)&gt;0,IF(ISNUMBER(SEARCH("[済]",INDEX(Material_Detail!$D:$DC,MATCH($A25,Material_Detail!$DE:$DE,0)+1,81))),0,IFERROR(INDEX(Material_Detail!$D:$DC,MATCH($A25,Material_Detail!$DE:$DE,0),81),0)),SUMIFS(T_Shipments[Confirmed_Qty],T_Shipments[Part Name],$A25,T_Shipments[Effective_Week],81))</f>
        <v/>
      </c>
      <c r="CE25">
        <f>IF(COUNTIF(Material_Detail!$DE:$DE,$A25)&gt;0,IF(ISNUMBER(SEARCH("[済]",INDEX(Material_Detail!$D:$DC,MATCH($A25,Material_Detail!$DE:$DE,0)+1,82))),0,IFERROR(INDEX(Material_Detail!$D:$DC,MATCH($A25,Material_Detail!$DE:$DE,0),82),0)),SUMIFS(T_Shipments[Confirmed_Qty],T_Shipments[Part Name],$A25,T_Shipments[Effective_Week],82))</f>
        <v/>
      </c>
      <c r="CF25">
        <f>IF(COUNTIF(Material_Detail!$DE:$DE,$A25)&gt;0,IF(ISNUMBER(SEARCH("[済]",INDEX(Material_Detail!$D:$DC,MATCH($A25,Material_Detail!$DE:$DE,0)+1,83))),0,IFERROR(INDEX(Material_Detail!$D:$DC,MATCH($A25,Material_Detail!$DE:$DE,0),83),0)),SUMIFS(T_Shipments[Confirmed_Qty],T_Shipments[Part Name],$A25,T_Shipments[Effective_Week],83))</f>
        <v/>
      </c>
      <c r="CG25">
        <f>IF(COUNTIF(Material_Detail!$DE:$DE,$A25)&gt;0,IF(ISNUMBER(SEARCH("[済]",INDEX(Material_Detail!$D:$DC,MATCH($A25,Material_Detail!$DE:$DE,0)+1,84))),0,IFERROR(INDEX(Material_Detail!$D:$DC,MATCH($A25,Material_Detail!$DE:$DE,0),84),0)),SUMIFS(T_Shipments[Confirmed_Qty],T_Shipments[Part Name],$A25,T_Shipments[Effective_Week],84))</f>
        <v/>
      </c>
      <c r="CH25">
        <f>IF(COUNTIF(Material_Detail!$DE:$DE,$A25)&gt;0,IF(ISNUMBER(SEARCH("[済]",INDEX(Material_Detail!$D:$DC,MATCH($A25,Material_Detail!$DE:$DE,0)+1,85))),0,IFERROR(INDEX(Material_Detail!$D:$DC,MATCH($A25,Material_Detail!$DE:$DE,0),85),0)),SUMIFS(T_Shipments[Confirmed_Qty],T_Shipments[Part Name],$A25,T_Shipments[Effective_Week],85))</f>
        <v/>
      </c>
      <c r="CI25">
        <f>IF(COUNTIF(Material_Detail!$DE:$DE,$A25)&gt;0,IF(ISNUMBER(SEARCH("[済]",INDEX(Material_Detail!$D:$DC,MATCH($A25,Material_Detail!$DE:$DE,0)+1,86))),0,IFERROR(INDEX(Material_Detail!$D:$DC,MATCH($A25,Material_Detail!$DE:$DE,0),86),0)),SUMIFS(T_Shipments[Confirmed_Qty],T_Shipments[Part Name],$A25,T_Shipments[Effective_Week],86))</f>
        <v/>
      </c>
      <c r="CJ25">
        <f>IF(COUNTIF(Material_Detail!$DE:$DE,$A25)&gt;0,IF(ISNUMBER(SEARCH("[済]",INDEX(Material_Detail!$D:$DC,MATCH($A25,Material_Detail!$DE:$DE,0)+1,87))),0,IFERROR(INDEX(Material_Detail!$D:$DC,MATCH($A25,Material_Detail!$DE:$DE,0),87),0)),SUMIFS(T_Shipments[Confirmed_Qty],T_Shipments[Part Name],$A25,T_Shipments[Effective_Week],87))</f>
        <v/>
      </c>
      <c r="CK25">
        <f>IF(COUNTIF(Material_Detail!$DE:$DE,$A25)&gt;0,IF(ISNUMBER(SEARCH("[済]",INDEX(Material_Detail!$D:$DC,MATCH($A25,Material_Detail!$DE:$DE,0)+1,88))),0,IFERROR(INDEX(Material_Detail!$D:$DC,MATCH($A25,Material_Detail!$DE:$DE,0),88),0)),SUMIFS(T_Shipments[Confirmed_Qty],T_Shipments[Part Name],$A25,T_Shipments[Effective_Week],88))</f>
        <v/>
      </c>
      <c r="CL25">
        <f>IF(COUNTIF(Material_Detail!$DE:$DE,$A25)&gt;0,IF(ISNUMBER(SEARCH("[済]",INDEX(Material_Detail!$D:$DC,MATCH($A25,Material_Detail!$DE:$DE,0)+1,89))),0,IFERROR(INDEX(Material_Detail!$D:$DC,MATCH($A25,Material_Detail!$DE:$DE,0),89),0)),SUMIFS(T_Shipments[Confirmed_Qty],T_Shipments[Part Name],$A25,T_Shipments[Effective_Week],89))</f>
        <v/>
      </c>
      <c r="CM25">
        <f>IF(COUNTIF(Material_Detail!$DE:$DE,$A25)&gt;0,IF(ISNUMBER(SEARCH("[済]",INDEX(Material_Detail!$D:$DC,MATCH($A25,Material_Detail!$DE:$DE,0)+1,90))),0,IFERROR(INDEX(Material_Detail!$D:$DC,MATCH($A25,Material_Detail!$DE:$DE,0),90),0)),SUMIFS(T_Shipments[Confirmed_Qty],T_Shipments[Part Name],$A25,T_Shipments[Effective_Week],90))</f>
        <v/>
      </c>
      <c r="CN25">
        <f>IF(COUNTIF(Material_Detail!$DE:$DE,$A25)&gt;0,IF(ISNUMBER(SEARCH("[済]",INDEX(Material_Detail!$D:$DC,MATCH($A25,Material_Detail!$DE:$DE,0)+1,91))),0,IFERROR(INDEX(Material_Detail!$D:$DC,MATCH($A25,Material_Detail!$DE:$DE,0),91),0)),SUMIFS(T_Shipments[Confirmed_Qty],T_Shipments[Part Name],$A25,T_Shipments[Effective_Week],91))</f>
        <v/>
      </c>
      <c r="CO25">
        <f>IF(COUNTIF(Material_Detail!$DE:$DE,$A25)&gt;0,IF(ISNUMBER(SEARCH("[済]",INDEX(Material_Detail!$D:$DC,MATCH($A25,Material_Detail!$DE:$DE,0)+1,92))),0,IFERROR(INDEX(Material_Detail!$D:$DC,MATCH($A25,Material_Detail!$DE:$DE,0),92),0)),SUMIFS(T_Shipments[Confirmed_Qty],T_Shipments[Part Name],$A25,T_Shipments[Effective_Week],92))</f>
        <v/>
      </c>
      <c r="CP25">
        <f>IF(COUNTIF(Material_Detail!$DE:$DE,$A25)&gt;0,IF(ISNUMBER(SEARCH("[済]",INDEX(Material_Detail!$D:$DC,MATCH($A25,Material_Detail!$DE:$DE,0)+1,93))),0,IFERROR(INDEX(Material_Detail!$D:$DC,MATCH($A25,Material_Detail!$DE:$DE,0),93),0)),SUMIFS(T_Shipments[Confirmed_Qty],T_Shipments[Part Name],$A25,T_Shipments[Effective_Week],93))</f>
        <v/>
      </c>
      <c r="CQ25">
        <f>IF(COUNTIF(Material_Detail!$DE:$DE,$A25)&gt;0,IF(ISNUMBER(SEARCH("[済]",INDEX(Material_Detail!$D:$DC,MATCH($A25,Material_Detail!$DE:$DE,0)+1,94))),0,IFERROR(INDEX(Material_Detail!$D:$DC,MATCH($A25,Material_Detail!$DE:$DE,0),94),0)),SUMIFS(T_Shipments[Confirmed_Qty],T_Shipments[Part Name],$A25,T_Shipments[Effective_Week],94))</f>
        <v/>
      </c>
      <c r="CR25">
        <f>IF(COUNTIF(Material_Detail!$DE:$DE,$A25)&gt;0,IF(ISNUMBER(SEARCH("[済]",INDEX(Material_Detail!$D:$DC,MATCH($A25,Material_Detail!$DE:$DE,0)+1,95))),0,IFERROR(INDEX(Material_Detail!$D:$DC,MATCH($A25,Material_Detail!$DE:$DE,0),95),0)),SUMIFS(T_Shipments[Confirmed_Qty],T_Shipments[Part Name],$A25,T_Shipments[Effective_Week],95))</f>
        <v/>
      </c>
      <c r="CS25">
        <f>IF(COUNTIF(Material_Detail!$DE:$DE,$A25)&gt;0,IF(ISNUMBER(SEARCH("[済]",INDEX(Material_Detail!$D:$DC,MATCH($A25,Material_Detail!$DE:$DE,0)+1,96))),0,IFERROR(INDEX(Material_Detail!$D:$DC,MATCH($A25,Material_Detail!$DE:$DE,0),96),0)),SUMIFS(T_Shipments[Confirmed_Qty],T_Shipments[Part Name],$A25,T_Shipments[Effective_Week],96))</f>
        <v/>
      </c>
      <c r="CT25">
        <f>IF(COUNTIF(Material_Detail!$DE:$DE,$A25)&gt;0,IF(ISNUMBER(SEARCH("[済]",INDEX(Material_Detail!$D:$DC,MATCH($A25,Material_Detail!$DE:$DE,0)+1,97))),0,IFERROR(INDEX(Material_Detail!$D:$DC,MATCH($A25,Material_Detail!$DE:$DE,0),97),0)),SUMIFS(T_Shipments[Confirmed_Qty],T_Shipments[Part Name],$A25,T_Shipments[Effective_Week],97))</f>
        <v/>
      </c>
      <c r="CU25">
        <f>IF(COUNTIF(Material_Detail!$DE:$DE,$A25)&gt;0,IF(ISNUMBER(SEARCH("[済]",INDEX(Material_Detail!$D:$DC,MATCH($A25,Material_Detail!$DE:$DE,0)+1,98))),0,IFERROR(INDEX(Material_Detail!$D:$DC,MATCH($A25,Material_Detail!$DE:$DE,0),98),0)),SUMIFS(T_Shipments[Confirmed_Qty],T_Shipments[Part Name],$A25,T_Shipments[Effective_Week],98))</f>
        <v/>
      </c>
      <c r="CV25">
        <f>IF(COUNTIF(Material_Detail!$DE:$DE,$A25)&gt;0,IF(ISNUMBER(SEARCH("[済]",INDEX(Material_Detail!$D:$DC,MATCH($A25,Material_Detail!$DE:$DE,0)+1,99))),0,IFERROR(INDEX(Material_Detail!$D:$DC,MATCH($A25,Material_Detail!$DE:$DE,0),99),0)),SUMIFS(T_Shipments[Confirmed_Qty],T_Shipments[Part Name],$A25,T_Shipments[Effective_Week],99))</f>
        <v/>
      </c>
      <c r="CW25">
        <f>IF(COUNTIF(Material_Detail!$DE:$DE,$A25)&gt;0,IF(ISNUMBER(SEARCH("[済]",INDEX(Material_Detail!$D:$DC,MATCH($A25,Material_Detail!$DE:$DE,0)+1,100))),0,IFERROR(INDEX(Material_Detail!$D:$DC,MATCH($A25,Material_Detail!$DE:$DE,0),100),0)),SUMIFS(T_Shipments[Confirmed_Qty],T_Shipments[Part Name],$A25,T_Shipments[Effective_Week],100))</f>
        <v/>
      </c>
      <c r="CX25">
        <f>IF(COUNTIF(Material_Detail!$DE:$DE,$A25)&gt;0,IF(ISNUMBER(SEARCH("[済]",INDEX(Material_Detail!$D:$DC,MATCH($A25,Material_Detail!$DE:$DE,0)+1,101))),0,IFERROR(INDEX(Material_Detail!$D:$DC,MATCH($A25,Material_Detail!$DE:$DE,0),101),0)),SUMIFS(T_Shipments[Confirmed_Qty],T_Shipments[Part Name],$A25,T_Shipments[Effective_Week],101))</f>
        <v/>
      </c>
      <c r="CY25">
        <f>IF(COUNTIF(Material_Detail!$DE:$DE,$A25)&gt;0,IF(ISNUMBER(SEARCH("[済]",INDEX(Material_Detail!$D:$DC,MATCH($A25,Material_Detail!$DE:$DE,0)+1,102))),0,IFERROR(INDEX(Material_Detail!$D:$DC,MATCH($A25,Material_Detail!$DE:$DE,0),102),0)),SUMIFS(T_Shipments[Confirmed_Qty],T_Shipments[Part Name],$A25,T_Shipments[Effective_Week],102))</f>
        <v/>
      </c>
      <c r="CZ25">
        <f>IF(COUNTIF(Material_Detail!$DE:$DE,$A25)&gt;0,IF(ISNUMBER(SEARCH("[済]",INDEX(Material_Detail!$D:$DC,MATCH($A25,Material_Detail!$DE:$DE,0)+1,103))),0,IFERROR(INDEX(Material_Detail!$D:$DC,MATCH($A25,Material_Detail!$DE:$DE,0),103),0)),SUMIFS(T_Shipments[Confirmed_Qty],T_Shipments[Part Name],$A25,T_Shipments[Effective_Week],103))</f>
        <v/>
      </c>
      <c r="DA25">
        <f>IF(COUNTIF(Material_Detail!$DE:$DE,$A25)&gt;0,IF(ISNUMBER(SEARCH("[済]",INDEX(Material_Detail!$D:$DC,MATCH($A25,Material_Detail!$DE:$DE,0)+1,104))),0,IFERROR(INDEX(Material_Detail!$D:$DC,MATCH($A25,Material_Detail!$DE:$DE,0),104),0)),SUMIFS(T_Shipments[Confirmed_Qty],T_Shipments[Part Name],$A25,T_Shipments[Effective_Week],104))</f>
        <v/>
      </c>
    </row>
    <row r="26">
      <c r="A26" t="inlineStr">
        <is>
          <t>CHEM-1580</t>
        </is>
      </c>
      <c r="B26">
        <f>IF(COUNTIF(Material_Detail!$DE:$DE,$A26)&gt;0,IF(ISNUMBER(SEARCH("[済]",INDEX(Material_Detail!$D:$DC,MATCH($A26,Material_Detail!$DE:$DE,0)+1,1))),0,IFERROR(INDEX(Material_Detail!$D:$DC,MATCH($A26,Material_Detail!$DE:$DE,0),1),0)),SUMIFS(T_Shipments[Confirmed_Qty],T_Shipments[Part Name],$A26,T_Shipments[Effective_Week],1))</f>
        <v/>
      </c>
      <c r="C26">
        <f>IF(COUNTIF(Material_Detail!$DE:$DE,$A26)&gt;0,IF(ISNUMBER(SEARCH("[済]",INDEX(Material_Detail!$D:$DC,MATCH($A26,Material_Detail!$DE:$DE,0)+1,2))),0,IFERROR(INDEX(Material_Detail!$D:$DC,MATCH($A26,Material_Detail!$DE:$DE,0),2),0)),SUMIFS(T_Shipments[Confirmed_Qty],T_Shipments[Part Name],$A26,T_Shipments[Effective_Week],2))</f>
        <v/>
      </c>
      <c r="D26">
        <f>IF(COUNTIF(Material_Detail!$DE:$DE,$A26)&gt;0,IF(ISNUMBER(SEARCH("[済]",INDEX(Material_Detail!$D:$DC,MATCH($A26,Material_Detail!$DE:$DE,0)+1,3))),0,IFERROR(INDEX(Material_Detail!$D:$DC,MATCH($A26,Material_Detail!$DE:$DE,0),3),0)),SUMIFS(T_Shipments[Confirmed_Qty],T_Shipments[Part Name],$A26,T_Shipments[Effective_Week],3))</f>
        <v/>
      </c>
      <c r="E26">
        <f>IF(COUNTIF(Material_Detail!$DE:$DE,$A26)&gt;0,IF(ISNUMBER(SEARCH("[済]",INDEX(Material_Detail!$D:$DC,MATCH($A26,Material_Detail!$DE:$DE,0)+1,4))),0,IFERROR(INDEX(Material_Detail!$D:$DC,MATCH($A26,Material_Detail!$DE:$DE,0),4),0)),SUMIFS(T_Shipments[Confirmed_Qty],T_Shipments[Part Name],$A26,T_Shipments[Effective_Week],4))</f>
        <v/>
      </c>
      <c r="F26">
        <f>IF(COUNTIF(Material_Detail!$DE:$DE,$A26)&gt;0,IF(ISNUMBER(SEARCH("[済]",INDEX(Material_Detail!$D:$DC,MATCH($A26,Material_Detail!$DE:$DE,0)+1,5))),0,IFERROR(INDEX(Material_Detail!$D:$DC,MATCH($A26,Material_Detail!$DE:$DE,0),5),0)),SUMIFS(T_Shipments[Confirmed_Qty],T_Shipments[Part Name],$A26,T_Shipments[Effective_Week],5))</f>
        <v/>
      </c>
      <c r="G26">
        <f>IF(COUNTIF(Material_Detail!$DE:$DE,$A26)&gt;0,IF(ISNUMBER(SEARCH("[済]",INDEX(Material_Detail!$D:$DC,MATCH($A26,Material_Detail!$DE:$DE,0)+1,6))),0,IFERROR(INDEX(Material_Detail!$D:$DC,MATCH($A26,Material_Detail!$DE:$DE,0),6),0)),SUMIFS(T_Shipments[Confirmed_Qty],T_Shipments[Part Name],$A26,T_Shipments[Effective_Week],6))</f>
        <v/>
      </c>
      <c r="H26">
        <f>IF(COUNTIF(Material_Detail!$DE:$DE,$A26)&gt;0,IF(ISNUMBER(SEARCH("[済]",INDEX(Material_Detail!$D:$DC,MATCH($A26,Material_Detail!$DE:$DE,0)+1,7))),0,IFERROR(INDEX(Material_Detail!$D:$DC,MATCH($A26,Material_Detail!$DE:$DE,0),7),0)),SUMIFS(T_Shipments[Confirmed_Qty],T_Shipments[Part Name],$A26,T_Shipments[Effective_Week],7))</f>
        <v/>
      </c>
      <c r="I26">
        <f>IF(COUNTIF(Material_Detail!$DE:$DE,$A26)&gt;0,IF(ISNUMBER(SEARCH("[済]",INDEX(Material_Detail!$D:$DC,MATCH($A26,Material_Detail!$DE:$DE,0)+1,8))),0,IFERROR(INDEX(Material_Detail!$D:$DC,MATCH($A26,Material_Detail!$DE:$DE,0),8),0)),SUMIFS(T_Shipments[Confirmed_Qty],T_Shipments[Part Name],$A26,T_Shipments[Effective_Week],8))</f>
        <v/>
      </c>
      <c r="J26">
        <f>IF(COUNTIF(Material_Detail!$DE:$DE,$A26)&gt;0,IF(ISNUMBER(SEARCH("[済]",INDEX(Material_Detail!$D:$DC,MATCH($A26,Material_Detail!$DE:$DE,0)+1,9))),0,IFERROR(INDEX(Material_Detail!$D:$DC,MATCH($A26,Material_Detail!$DE:$DE,0),9),0)),SUMIFS(T_Shipments[Confirmed_Qty],T_Shipments[Part Name],$A26,T_Shipments[Effective_Week],9))</f>
        <v/>
      </c>
      <c r="K26">
        <f>IF(COUNTIF(Material_Detail!$DE:$DE,$A26)&gt;0,IF(ISNUMBER(SEARCH("[済]",INDEX(Material_Detail!$D:$DC,MATCH($A26,Material_Detail!$DE:$DE,0)+1,10))),0,IFERROR(INDEX(Material_Detail!$D:$DC,MATCH($A26,Material_Detail!$DE:$DE,0),10),0)),SUMIFS(T_Shipments[Confirmed_Qty],T_Shipments[Part Name],$A26,T_Shipments[Effective_Week],10))</f>
        <v/>
      </c>
      <c r="L26">
        <f>IF(COUNTIF(Material_Detail!$DE:$DE,$A26)&gt;0,IF(ISNUMBER(SEARCH("[済]",INDEX(Material_Detail!$D:$DC,MATCH($A26,Material_Detail!$DE:$DE,0)+1,11))),0,IFERROR(INDEX(Material_Detail!$D:$DC,MATCH($A26,Material_Detail!$DE:$DE,0),11),0)),SUMIFS(T_Shipments[Confirmed_Qty],T_Shipments[Part Name],$A26,T_Shipments[Effective_Week],11))</f>
        <v/>
      </c>
      <c r="M26">
        <f>IF(COUNTIF(Material_Detail!$DE:$DE,$A26)&gt;0,IF(ISNUMBER(SEARCH("[済]",INDEX(Material_Detail!$D:$DC,MATCH($A26,Material_Detail!$DE:$DE,0)+1,12))),0,IFERROR(INDEX(Material_Detail!$D:$DC,MATCH($A26,Material_Detail!$DE:$DE,0),12),0)),SUMIFS(T_Shipments[Confirmed_Qty],T_Shipments[Part Name],$A26,T_Shipments[Effective_Week],12))</f>
        <v/>
      </c>
      <c r="N26">
        <f>IF(COUNTIF(Material_Detail!$DE:$DE,$A26)&gt;0,IF(ISNUMBER(SEARCH("[済]",INDEX(Material_Detail!$D:$DC,MATCH($A26,Material_Detail!$DE:$DE,0)+1,13))),0,IFERROR(INDEX(Material_Detail!$D:$DC,MATCH($A26,Material_Detail!$DE:$DE,0),13),0)),SUMIFS(T_Shipments[Confirmed_Qty],T_Shipments[Part Name],$A26,T_Shipments[Effective_Week],13))</f>
        <v/>
      </c>
      <c r="O26">
        <f>IF(COUNTIF(Material_Detail!$DE:$DE,$A26)&gt;0,IF(ISNUMBER(SEARCH("[済]",INDEX(Material_Detail!$D:$DC,MATCH($A26,Material_Detail!$DE:$DE,0)+1,14))),0,IFERROR(INDEX(Material_Detail!$D:$DC,MATCH($A26,Material_Detail!$DE:$DE,0),14),0)),SUMIFS(T_Shipments[Confirmed_Qty],T_Shipments[Part Name],$A26,T_Shipments[Effective_Week],14))</f>
        <v/>
      </c>
      <c r="P26">
        <f>IF(COUNTIF(Material_Detail!$DE:$DE,$A26)&gt;0,IF(ISNUMBER(SEARCH("[済]",INDEX(Material_Detail!$D:$DC,MATCH($A26,Material_Detail!$DE:$DE,0)+1,15))),0,IFERROR(INDEX(Material_Detail!$D:$DC,MATCH($A26,Material_Detail!$DE:$DE,0),15),0)),SUMIFS(T_Shipments[Confirmed_Qty],T_Shipments[Part Name],$A26,T_Shipments[Effective_Week],15))</f>
        <v/>
      </c>
      <c r="Q26">
        <f>IF(COUNTIF(Material_Detail!$DE:$DE,$A26)&gt;0,IF(ISNUMBER(SEARCH("[済]",INDEX(Material_Detail!$D:$DC,MATCH($A26,Material_Detail!$DE:$DE,0)+1,16))),0,IFERROR(INDEX(Material_Detail!$D:$DC,MATCH($A26,Material_Detail!$DE:$DE,0),16),0)),SUMIFS(T_Shipments[Confirmed_Qty],T_Shipments[Part Name],$A26,T_Shipments[Effective_Week],16))</f>
        <v/>
      </c>
      <c r="R26">
        <f>IF(COUNTIF(Material_Detail!$DE:$DE,$A26)&gt;0,IF(ISNUMBER(SEARCH("[済]",INDEX(Material_Detail!$D:$DC,MATCH($A26,Material_Detail!$DE:$DE,0)+1,17))),0,IFERROR(INDEX(Material_Detail!$D:$DC,MATCH($A26,Material_Detail!$DE:$DE,0),17),0)),SUMIFS(T_Shipments[Confirmed_Qty],T_Shipments[Part Name],$A26,T_Shipments[Effective_Week],17))</f>
        <v/>
      </c>
      <c r="S26">
        <f>IF(COUNTIF(Material_Detail!$DE:$DE,$A26)&gt;0,IF(ISNUMBER(SEARCH("[済]",INDEX(Material_Detail!$D:$DC,MATCH($A26,Material_Detail!$DE:$DE,0)+1,18))),0,IFERROR(INDEX(Material_Detail!$D:$DC,MATCH($A26,Material_Detail!$DE:$DE,0),18),0)),SUMIFS(T_Shipments[Confirmed_Qty],T_Shipments[Part Name],$A26,T_Shipments[Effective_Week],18))</f>
        <v/>
      </c>
      <c r="T26">
        <f>IF(COUNTIF(Material_Detail!$DE:$DE,$A26)&gt;0,IF(ISNUMBER(SEARCH("[済]",INDEX(Material_Detail!$D:$DC,MATCH($A26,Material_Detail!$DE:$DE,0)+1,19))),0,IFERROR(INDEX(Material_Detail!$D:$DC,MATCH($A26,Material_Detail!$DE:$DE,0),19),0)),SUMIFS(T_Shipments[Confirmed_Qty],T_Shipments[Part Name],$A26,T_Shipments[Effective_Week],19))</f>
        <v/>
      </c>
      <c r="U26">
        <f>IF(COUNTIF(Material_Detail!$DE:$DE,$A26)&gt;0,IF(ISNUMBER(SEARCH("[済]",INDEX(Material_Detail!$D:$DC,MATCH($A26,Material_Detail!$DE:$DE,0)+1,20))),0,IFERROR(INDEX(Material_Detail!$D:$DC,MATCH($A26,Material_Detail!$DE:$DE,0),20),0)),SUMIFS(T_Shipments[Confirmed_Qty],T_Shipments[Part Name],$A26,T_Shipments[Effective_Week],20))</f>
        <v/>
      </c>
      <c r="V26">
        <f>IF(COUNTIF(Material_Detail!$DE:$DE,$A26)&gt;0,IF(ISNUMBER(SEARCH("[済]",INDEX(Material_Detail!$D:$DC,MATCH($A26,Material_Detail!$DE:$DE,0)+1,21))),0,IFERROR(INDEX(Material_Detail!$D:$DC,MATCH($A26,Material_Detail!$DE:$DE,0),21),0)),SUMIFS(T_Shipments[Confirmed_Qty],T_Shipments[Part Name],$A26,T_Shipments[Effective_Week],21))</f>
        <v/>
      </c>
      <c r="W26">
        <f>IF(COUNTIF(Material_Detail!$DE:$DE,$A26)&gt;0,IF(ISNUMBER(SEARCH("[済]",INDEX(Material_Detail!$D:$DC,MATCH($A26,Material_Detail!$DE:$DE,0)+1,22))),0,IFERROR(INDEX(Material_Detail!$D:$DC,MATCH($A26,Material_Detail!$DE:$DE,0),22),0)),SUMIFS(T_Shipments[Confirmed_Qty],T_Shipments[Part Name],$A26,T_Shipments[Effective_Week],22))</f>
        <v/>
      </c>
      <c r="X26">
        <f>IF(COUNTIF(Material_Detail!$DE:$DE,$A26)&gt;0,IF(ISNUMBER(SEARCH("[済]",INDEX(Material_Detail!$D:$DC,MATCH($A26,Material_Detail!$DE:$DE,0)+1,23))),0,IFERROR(INDEX(Material_Detail!$D:$DC,MATCH($A26,Material_Detail!$DE:$DE,0),23),0)),SUMIFS(T_Shipments[Confirmed_Qty],T_Shipments[Part Name],$A26,T_Shipments[Effective_Week],23))</f>
        <v/>
      </c>
      <c r="Y26">
        <f>IF(COUNTIF(Material_Detail!$DE:$DE,$A26)&gt;0,IF(ISNUMBER(SEARCH("[済]",INDEX(Material_Detail!$D:$DC,MATCH($A26,Material_Detail!$DE:$DE,0)+1,24))),0,IFERROR(INDEX(Material_Detail!$D:$DC,MATCH($A26,Material_Detail!$DE:$DE,0),24),0)),SUMIFS(T_Shipments[Confirmed_Qty],T_Shipments[Part Name],$A26,T_Shipments[Effective_Week],24))</f>
        <v/>
      </c>
      <c r="Z26">
        <f>IF(COUNTIF(Material_Detail!$DE:$DE,$A26)&gt;0,IF(ISNUMBER(SEARCH("[済]",INDEX(Material_Detail!$D:$DC,MATCH($A26,Material_Detail!$DE:$DE,0)+1,25))),0,IFERROR(INDEX(Material_Detail!$D:$DC,MATCH($A26,Material_Detail!$DE:$DE,0),25),0)),SUMIFS(T_Shipments[Confirmed_Qty],T_Shipments[Part Name],$A26,T_Shipments[Effective_Week],25))</f>
        <v/>
      </c>
      <c r="AA26">
        <f>IF(COUNTIF(Material_Detail!$DE:$DE,$A26)&gt;0,IF(ISNUMBER(SEARCH("[済]",INDEX(Material_Detail!$D:$DC,MATCH($A26,Material_Detail!$DE:$DE,0)+1,26))),0,IFERROR(INDEX(Material_Detail!$D:$DC,MATCH($A26,Material_Detail!$DE:$DE,0),26),0)),SUMIFS(T_Shipments[Confirmed_Qty],T_Shipments[Part Name],$A26,T_Shipments[Effective_Week],26))</f>
        <v/>
      </c>
      <c r="AB26">
        <f>IF(COUNTIF(Material_Detail!$DE:$DE,$A26)&gt;0,IF(ISNUMBER(SEARCH("[済]",INDEX(Material_Detail!$D:$DC,MATCH($A26,Material_Detail!$DE:$DE,0)+1,27))),0,IFERROR(INDEX(Material_Detail!$D:$DC,MATCH($A26,Material_Detail!$DE:$DE,0),27),0)),SUMIFS(T_Shipments[Confirmed_Qty],T_Shipments[Part Name],$A26,T_Shipments[Effective_Week],27))</f>
        <v/>
      </c>
      <c r="AC26">
        <f>IF(COUNTIF(Material_Detail!$DE:$DE,$A26)&gt;0,IF(ISNUMBER(SEARCH("[済]",INDEX(Material_Detail!$D:$DC,MATCH($A26,Material_Detail!$DE:$DE,0)+1,28))),0,IFERROR(INDEX(Material_Detail!$D:$DC,MATCH($A26,Material_Detail!$DE:$DE,0),28),0)),SUMIFS(T_Shipments[Confirmed_Qty],T_Shipments[Part Name],$A26,T_Shipments[Effective_Week],28))</f>
        <v/>
      </c>
      <c r="AD26">
        <f>IF(COUNTIF(Material_Detail!$DE:$DE,$A26)&gt;0,IF(ISNUMBER(SEARCH("[済]",INDEX(Material_Detail!$D:$DC,MATCH($A26,Material_Detail!$DE:$DE,0)+1,29))),0,IFERROR(INDEX(Material_Detail!$D:$DC,MATCH($A26,Material_Detail!$DE:$DE,0),29),0)),SUMIFS(T_Shipments[Confirmed_Qty],T_Shipments[Part Name],$A26,T_Shipments[Effective_Week],29))</f>
        <v/>
      </c>
      <c r="AE26">
        <f>IF(COUNTIF(Material_Detail!$DE:$DE,$A26)&gt;0,IF(ISNUMBER(SEARCH("[済]",INDEX(Material_Detail!$D:$DC,MATCH($A26,Material_Detail!$DE:$DE,0)+1,30))),0,IFERROR(INDEX(Material_Detail!$D:$DC,MATCH($A26,Material_Detail!$DE:$DE,0),30),0)),SUMIFS(T_Shipments[Confirmed_Qty],T_Shipments[Part Name],$A26,T_Shipments[Effective_Week],30))</f>
        <v/>
      </c>
      <c r="AF26">
        <f>IF(COUNTIF(Material_Detail!$DE:$DE,$A26)&gt;0,IF(ISNUMBER(SEARCH("[済]",INDEX(Material_Detail!$D:$DC,MATCH($A26,Material_Detail!$DE:$DE,0)+1,31))),0,IFERROR(INDEX(Material_Detail!$D:$DC,MATCH($A26,Material_Detail!$DE:$DE,0),31),0)),SUMIFS(T_Shipments[Confirmed_Qty],T_Shipments[Part Name],$A26,T_Shipments[Effective_Week],31))</f>
        <v/>
      </c>
      <c r="AG26">
        <f>IF(COUNTIF(Material_Detail!$DE:$DE,$A26)&gt;0,IF(ISNUMBER(SEARCH("[済]",INDEX(Material_Detail!$D:$DC,MATCH($A26,Material_Detail!$DE:$DE,0)+1,32))),0,IFERROR(INDEX(Material_Detail!$D:$DC,MATCH($A26,Material_Detail!$DE:$DE,0),32),0)),SUMIFS(T_Shipments[Confirmed_Qty],T_Shipments[Part Name],$A26,T_Shipments[Effective_Week],32))</f>
        <v/>
      </c>
      <c r="AH26">
        <f>IF(COUNTIF(Material_Detail!$DE:$DE,$A26)&gt;0,IF(ISNUMBER(SEARCH("[済]",INDEX(Material_Detail!$D:$DC,MATCH($A26,Material_Detail!$DE:$DE,0)+1,33))),0,IFERROR(INDEX(Material_Detail!$D:$DC,MATCH($A26,Material_Detail!$DE:$DE,0),33),0)),SUMIFS(T_Shipments[Confirmed_Qty],T_Shipments[Part Name],$A26,T_Shipments[Effective_Week],33))</f>
        <v/>
      </c>
      <c r="AI26">
        <f>IF(COUNTIF(Material_Detail!$DE:$DE,$A26)&gt;0,IF(ISNUMBER(SEARCH("[済]",INDEX(Material_Detail!$D:$DC,MATCH($A26,Material_Detail!$DE:$DE,0)+1,34))),0,IFERROR(INDEX(Material_Detail!$D:$DC,MATCH($A26,Material_Detail!$DE:$DE,0),34),0)),SUMIFS(T_Shipments[Confirmed_Qty],T_Shipments[Part Name],$A26,T_Shipments[Effective_Week],34))</f>
        <v/>
      </c>
      <c r="AJ26">
        <f>IF(COUNTIF(Material_Detail!$DE:$DE,$A26)&gt;0,IF(ISNUMBER(SEARCH("[済]",INDEX(Material_Detail!$D:$DC,MATCH($A26,Material_Detail!$DE:$DE,0)+1,35))),0,IFERROR(INDEX(Material_Detail!$D:$DC,MATCH($A26,Material_Detail!$DE:$DE,0),35),0)),SUMIFS(T_Shipments[Confirmed_Qty],T_Shipments[Part Name],$A26,T_Shipments[Effective_Week],35))</f>
        <v/>
      </c>
      <c r="AK26">
        <f>IF(COUNTIF(Material_Detail!$DE:$DE,$A26)&gt;0,IF(ISNUMBER(SEARCH("[済]",INDEX(Material_Detail!$D:$DC,MATCH($A26,Material_Detail!$DE:$DE,0)+1,36))),0,IFERROR(INDEX(Material_Detail!$D:$DC,MATCH($A26,Material_Detail!$DE:$DE,0),36),0)),SUMIFS(T_Shipments[Confirmed_Qty],T_Shipments[Part Name],$A26,T_Shipments[Effective_Week],36))</f>
        <v/>
      </c>
      <c r="AL26">
        <f>IF(COUNTIF(Material_Detail!$DE:$DE,$A26)&gt;0,IF(ISNUMBER(SEARCH("[済]",INDEX(Material_Detail!$D:$DC,MATCH($A26,Material_Detail!$DE:$DE,0)+1,37))),0,IFERROR(INDEX(Material_Detail!$D:$DC,MATCH($A26,Material_Detail!$DE:$DE,0),37),0)),SUMIFS(T_Shipments[Confirmed_Qty],T_Shipments[Part Name],$A26,T_Shipments[Effective_Week],37))</f>
        <v/>
      </c>
      <c r="AM26">
        <f>IF(COUNTIF(Material_Detail!$DE:$DE,$A26)&gt;0,IF(ISNUMBER(SEARCH("[済]",INDEX(Material_Detail!$D:$DC,MATCH($A26,Material_Detail!$DE:$DE,0)+1,38))),0,IFERROR(INDEX(Material_Detail!$D:$DC,MATCH($A26,Material_Detail!$DE:$DE,0),38),0)),SUMIFS(T_Shipments[Confirmed_Qty],T_Shipments[Part Name],$A26,T_Shipments[Effective_Week],38))</f>
        <v/>
      </c>
      <c r="AN26">
        <f>IF(COUNTIF(Material_Detail!$DE:$DE,$A26)&gt;0,IF(ISNUMBER(SEARCH("[済]",INDEX(Material_Detail!$D:$DC,MATCH($A26,Material_Detail!$DE:$DE,0)+1,39))),0,IFERROR(INDEX(Material_Detail!$D:$DC,MATCH($A26,Material_Detail!$DE:$DE,0),39),0)),SUMIFS(T_Shipments[Confirmed_Qty],T_Shipments[Part Name],$A26,T_Shipments[Effective_Week],39))</f>
        <v/>
      </c>
      <c r="AO26">
        <f>IF(COUNTIF(Material_Detail!$DE:$DE,$A26)&gt;0,IF(ISNUMBER(SEARCH("[済]",INDEX(Material_Detail!$D:$DC,MATCH($A26,Material_Detail!$DE:$DE,0)+1,40))),0,IFERROR(INDEX(Material_Detail!$D:$DC,MATCH($A26,Material_Detail!$DE:$DE,0),40),0)),SUMIFS(T_Shipments[Confirmed_Qty],T_Shipments[Part Name],$A26,T_Shipments[Effective_Week],40))</f>
        <v/>
      </c>
      <c r="AP26">
        <f>IF(COUNTIF(Material_Detail!$DE:$DE,$A26)&gt;0,IF(ISNUMBER(SEARCH("[済]",INDEX(Material_Detail!$D:$DC,MATCH($A26,Material_Detail!$DE:$DE,0)+1,41))),0,IFERROR(INDEX(Material_Detail!$D:$DC,MATCH($A26,Material_Detail!$DE:$DE,0),41),0)),SUMIFS(T_Shipments[Confirmed_Qty],T_Shipments[Part Name],$A26,T_Shipments[Effective_Week],41))</f>
        <v/>
      </c>
      <c r="AQ26">
        <f>IF(COUNTIF(Material_Detail!$DE:$DE,$A26)&gt;0,IF(ISNUMBER(SEARCH("[済]",INDEX(Material_Detail!$D:$DC,MATCH($A26,Material_Detail!$DE:$DE,0)+1,42))),0,IFERROR(INDEX(Material_Detail!$D:$DC,MATCH($A26,Material_Detail!$DE:$DE,0),42),0)),SUMIFS(T_Shipments[Confirmed_Qty],T_Shipments[Part Name],$A26,T_Shipments[Effective_Week],42))</f>
        <v/>
      </c>
      <c r="AR26">
        <f>IF(COUNTIF(Material_Detail!$DE:$DE,$A26)&gt;0,IF(ISNUMBER(SEARCH("[済]",INDEX(Material_Detail!$D:$DC,MATCH($A26,Material_Detail!$DE:$DE,0)+1,43))),0,IFERROR(INDEX(Material_Detail!$D:$DC,MATCH($A26,Material_Detail!$DE:$DE,0),43),0)),SUMIFS(T_Shipments[Confirmed_Qty],T_Shipments[Part Name],$A26,T_Shipments[Effective_Week],43))</f>
        <v/>
      </c>
      <c r="AS26">
        <f>IF(COUNTIF(Material_Detail!$DE:$DE,$A26)&gt;0,IF(ISNUMBER(SEARCH("[済]",INDEX(Material_Detail!$D:$DC,MATCH($A26,Material_Detail!$DE:$DE,0)+1,44))),0,IFERROR(INDEX(Material_Detail!$D:$DC,MATCH($A26,Material_Detail!$DE:$DE,0),44),0)),SUMIFS(T_Shipments[Confirmed_Qty],T_Shipments[Part Name],$A26,T_Shipments[Effective_Week],44))</f>
        <v/>
      </c>
      <c r="AT26">
        <f>IF(COUNTIF(Material_Detail!$DE:$DE,$A26)&gt;0,IF(ISNUMBER(SEARCH("[済]",INDEX(Material_Detail!$D:$DC,MATCH($A26,Material_Detail!$DE:$DE,0)+1,45))),0,IFERROR(INDEX(Material_Detail!$D:$DC,MATCH($A26,Material_Detail!$DE:$DE,0),45),0)),SUMIFS(T_Shipments[Confirmed_Qty],T_Shipments[Part Name],$A26,T_Shipments[Effective_Week],45))</f>
        <v/>
      </c>
      <c r="AU26">
        <f>IF(COUNTIF(Material_Detail!$DE:$DE,$A26)&gt;0,IF(ISNUMBER(SEARCH("[済]",INDEX(Material_Detail!$D:$DC,MATCH($A26,Material_Detail!$DE:$DE,0)+1,46))),0,IFERROR(INDEX(Material_Detail!$D:$DC,MATCH($A26,Material_Detail!$DE:$DE,0),46),0)),SUMIFS(T_Shipments[Confirmed_Qty],T_Shipments[Part Name],$A26,T_Shipments[Effective_Week],46))</f>
        <v/>
      </c>
      <c r="AV26">
        <f>IF(COUNTIF(Material_Detail!$DE:$DE,$A26)&gt;0,IF(ISNUMBER(SEARCH("[済]",INDEX(Material_Detail!$D:$DC,MATCH($A26,Material_Detail!$DE:$DE,0)+1,47))),0,IFERROR(INDEX(Material_Detail!$D:$DC,MATCH($A26,Material_Detail!$DE:$DE,0),47),0)),SUMIFS(T_Shipments[Confirmed_Qty],T_Shipments[Part Name],$A26,T_Shipments[Effective_Week],47))</f>
        <v/>
      </c>
      <c r="AW26">
        <f>IF(COUNTIF(Material_Detail!$DE:$DE,$A26)&gt;0,IF(ISNUMBER(SEARCH("[済]",INDEX(Material_Detail!$D:$DC,MATCH($A26,Material_Detail!$DE:$DE,0)+1,48))),0,IFERROR(INDEX(Material_Detail!$D:$DC,MATCH($A26,Material_Detail!$DE:$DE,0),48),0)),SUMIFS(T_Shipments[Confirmed_Qty],T_Shipments[Part Name],$A26,T_Shipments[Effective_Week],48))</f>
        <v/>
      </c>
      <c r="AX26">
        <f>IF(COUNTIF(Material_Detail!$DE:$DE,$A26)&gt;0,IF(ISNUMBER(SEARCH("[済]",INDEX(Material_Detail!$D:$DC,MATCH($A26,Material_Detail!$DE:$DE,0)+1,49))),0,IFERROR(INDEX(Material_Detail!$D:$DC,MATCH($A26,Material_Detail!$DE:$DE,0),49),0)),SUMIFS(T_Shipments[Confirmed_Qty],T_Shipments[Part Name],$A26,T_Shipments[Effective_Week],49))</f>
        <v/>
      </c>
      <c r="AY26">
        <f>IF(COUNTIF(Material_Detail!$DE:$DE,$A26)&gt;0,IF(ISNUMBER(SEARCH("[済]",INDEX(Material_Detail!$D:$DC,MATCH($A26,Material_Detail!$DE:$DE,0)+1,50))),0,IFERROR(INDEX(Material_Detail!$D:$DC,MATCH($A26,Material_Detail!$DE:$DE,0),50),0)),SUMIFS(T_Shipments[Confirmed_Qty],T_Shipments[Part Name],$A26,T_Shipments[Effective_Week],50))</f>
        <v/>
      </c>
      <c r="AZ26">
        <f>IF(COUNTIF(Material_Detail!$DE:$DE,$A26)&gt;0,IF(ISNUMBER(SEARCH("[済]",INDEX(Material_Detail!$D:$DC,MATCH($A26,Material_Detail!$DE:$DE,0)+1,51))),0,IFERROR(INDEX(Material_Detail!$D:$DC,MATCH($A26,Material_Detail!$DE:$DE,0),51),0)),SUMIFS(T_Shipments[Confirmed_Qty],T_Shipments[Part Name],$A26,T_Shipments[Effective_Week],51))</f>
        <v/>
      </c>
      <c r="BA26">
        <f>IF(COUNTIF(Material_Detail!$DE:$DE,$A26)&gt;0,IF(ISNUMBER(SEARCH("[済]",INDEX(Material_Detail!$D:$DC,MATCH($A26,Material_Detail!$DE:$DE,0)+1,52))),0,IFERROR(INDEX(Material_Detail!$D:$DC,MATCH($A26,Material_Detail!$DE:$DE,0),52),0)),SUMIFS(T_Shipments[Confirmed_Qty],T_Shipments[Part Name],$A26,T_Shipments[Effective_Week],52))</f>
        <v/>
      </c>
      <c r="BB26">
        <f>IF(COUNTIF(Material_Detail!$DE:$DE,$A26)&gt;0,IF(ISNUMBER(SEARCH("[済]",INDEX(Material_Detail!$D:$DC,MATCH($A26,Material_Detail!$DE:$DE,0)+1,53))),0,IFERROR(INDEX(Material_Detail!$D:$DC,MATCH($A26,Material_Detail!$DE:$DE,0),53),0)),SUMIFS(T_Shipments[Confirmed_Qty],T_Shipments[Part Name],$A26,T_Shipments[Effective_Week],53))</f>
        <v/>
      </c>
      <c r="BC26">
        <f>IF(COUNTIF(Material_Detail!$DE:$DE,$A26)&gt;0,IF(ISNUMBER(SEARCH("[済]",INDEX(Material_Detail!$D:$DC,MATCH($A26,Material_Detail!$DE:$DE,0)+1,54))),0,IFERROR(INDEX(Material_Detail!$D:$DC,MATCH($A26,Material_Detail!$DE:$DE,0),54),0)),SUMIFS(T_Shipments[Confirmed_Qty],T_Shipments[Part Name],$A26,T_Shipments[Effective_Week],54))</f>
        <v/>
      </c>
      <c r="BD26">
        <f>IF(COUNTIF(Material_Detail!$DE:$DE,$A26)&gt;0,IF(ISNUMBER(SEARCH("[済]",INDEX(Material_Detail!$D:$DC,MATCH($A26,Material_Detail!$DE:$DE,0)+1,55))),0,IFERROR(INDEX(Material_Detail!$D:$DC,MATCH($A26,Material_Detail!$DE:$DE,0),55),0)),SUMIFS(T_Shipments[Confirmed_Qty],T_Shipments[Part Name],$A26,T_Shipments[Effective_Week],55))</f>
        <v/>
      </c>
      <c r="BE26">
        <f>IF(COUNTIF(Material_Detail!$DE:$DE,$A26)&gt;0,IF(ISNUMBER(SEARCH("[済]",INDEX(Material_Detail!$D:$DC,MATCH($A26,Material_Detail!$DE:$DE,0)+1,56))),0,IFERROR(INDEX(Material_Detail!$D:$DC,MATCH($A26,Material_Detail!$DE:$DE,0),56),0)),SUMIFS(T_Shipments[Confirmed_Qty],T_Shipments[Part Name],$A26,T_Shipments[Effective_Week],56))</f>
        <v/>
      </c>
      <c r="BF26">
        <f>IF(COUNTIF(Material_Detail!$DE:$DE,$A26)&gt;0,IF(ISNUMBER(SEARCH("[済]",INDEX(Material_Detail!$D:$DC,MATCH($A26,Material_Detail!$DE:$DE,0)+1,57))),0,IFERROR(INDEX(Material_Detail!$D:$DC,MATCH($A26,Material_Detail!$DE:$DE,0),57),0)),SUMIFS(T_Shipments[Confirmed_Qty],T_Shipments[Part Name],$A26,T_Shipments[Effective_Week],57))</f>
        <v/>
      </c>
      <c r="BG26">
        <f>IF(COUNTIF(Material_Detail!$DE:$DE,$A26)&gt;0,IF(ISNUMBER(SEARCH("[済]",INDEX(Material_Detail!$D:$DC,MATCH($A26,Material_Detail!$DE:$DE,0)+1,58))),0,IFERROR(INDEX(Material_Detail!$D:$DC,MATCH($A26,Material_Detail!$DE:$DE,0),58),0)),SUMIFS(T_Shipments[Confirmed_Qty],T_Shipments[Part Name],$A26,T_Shipments[Effective_Week],58))</f>
        <v/>
      </c>
      <c r="BH26">
        <f>IF(COUNTIF(Material_Detail!$DE:$DE,$A26)&gt;0,IF(ISNUMBER(SEARCH("[済]",INDEX(Material_Detail!$D:$DC,MATCH($A26,Material_Detail!$DE:$DE,0)+1,59))),0,IFERROR(INDEX(Material_Detail!$D:$DC,MATCH($A26,Material_Detail!$DE:$DE,0),59),0)),SUMIFS(T_Shipments[Confirmed_Qty],T_Shipments[Part Name],$A26,T_Shipments[Effective_Week],59))</f>
        <v/>
      </c>
      <c r="BI26">
        <f>IF(COUNTIF(Material_Detail!$DE:$DE,$A26)&gt;0,IF(ISNUMBER(SEARCH("[済]",INDEX(Material_Detail!$D:$DC,MATCH($A26,Material_Detail!$DE:$DE,0)+1,60))),0,IFERROR(INDEX(Material_Detail!$D:$DC,MATCH($A26,Material_Detail!$DE:$DE,0),60),0)),SUMIFS(T_Shipments[Confirmed_Qty],T_Shipments[Part Name],$A26,T_Shipments[Effective_Week],60))</f>
        <v/>
      </c>
      <c r="BJ26">
        <f>IF(COUNTIF(Material_Detail!$DE:$DE,$A26)&gt;0,IF(ISNUMBER(SEARCH("[済]",INDEX(Material_Detail!$D:$DC,MATCH($A26,Material_Detail!$DE:$DE,0)+1,61))),0,IFERROR(INDEX(Material_Detail!$D:$DC,MATCH($A26,Material_Detail!$DE:$DE,0),61),0)),SUMIFS(T_Shipments[Confirmed_Qty],T_Shipments[Part Name],$A26,T_Shipments[Effective_Week],61))</f>
        <v/>
      </c>
      <c r="BK26">
        <f>IF(COUNTIF(Material_Detail!$DE:$DE,$A26)&gt;0,IF(ISNUMBER(SEARCH("[済]",INDEX(Material_Detail!$D:$DC,MATCH($A26,Material_Detail!$DE:$DE,0)+1,62))),0,IFERROR(INDEX(Material_Detail!$D:$DC,MATCH($A26,Material_Detail!$DE:$DE,0),62),0)),SUMIFS(T_Shipments[Confirmed_Qty],T_Shipments[Part Name],$A26,T_Shipments[Effective_Week],62))</f>
        <v/>
      </c>
      <c r="BL26">
        <f>IF(COUNTIF(Material_Detail!$DE:$DE,$A26)&gt;0,IF(ISNUMBER(SEARCH("[済]",INDEX(Material_Detail!$D:$DC,MATCH($A26,Material_Detail!$DE:$DE,0)+1,63))),0,IFERROR(INDEX(Material_Detail!$D:$DC,MATCH($A26,Material_Detail!$DE:$DE,0),63),0)),SUMIFS(T_Shipments[Confirmed_Qty],T_Shipments[Part Name],$A26,T_Shipments[Effective_Week],63))</f>
        <v/>
      </c>
      <c r="BM26">
        <f>IF(COUNTIF(Material_Detail!$DE:$DE,$A26)&gt;0,IF(ISNUMBER(SEARCH("[済]",INDEX(Material_Detail!$D:$DC,MATCH($A26,Material_Detail!$DE:$DE,0)+1,64))),0,IFERROR(INDEX(Material_Detail!$D:$DC,MATCH($A26,Material_Detail!$DE:$DE,0),64),0)),SUMIFS(T_Shipments[Confirmed_Qty],T_Shipments[Part Name],$A26,T_Shipments[Effective_Week],64))</f>
        <v/>
      </c>
      <c r="BN26">
        <f>IF(COUNTIF(Material_Detail!$DE:$DE,$A26)&gt;0,IF(ISNUMBER(SEARCH("[済]",INDEX(Material_Detail!$D:$DC,MATCH($A26,Material_Detail!$DE:$DE,0)+1,65))),0,IFERROR(INDEX(Material_Detail!$D:$DC,MATCH($A26,Material_Detail!$DE:$DE,0),65),0)),SUMIFS(T_Shipments[Confirmed_Qty],T_Shipments[Part Name],$A26,T_Shipments[Effective_Week],65))</f>
        <v/>
      </c>
      <c r="BO26">
        <f>IF(COUNTIF(Material_Detail!$DE:$DE,$A26)&gt;0,IF(ISNUMBER(SEARCH("[済]",INDEX(Material_Detail!$D:$DC,MATCH($A26,Material_Detail!$DE:$DE,0)+1,66))),0,IFERROR(INDEX(Material_Detail!$D:$DC,MATCH($A26,Material_Detail!$DE:$DE,0),66),0)),SUMIFS(T_Shipments[Confirmed_Qty],T_Shipments[Part Name],$A26,T_Shipments[Effective_Week],66))</f>
        <v/>
      </c>
      <c r="BP26">
        <f>IF(COUNTIF(Material_Detail!$DE:$DE,$A26)&gt;0,IF(ISNUMBER(SEARCH("[済]",INDEX(Material_Detail!$D:$DC,MATCH($A26,Material_Detail!$DE:$DE,0)+1,67))),0,IFERROR(INDEX(Material_Detail!$D:$DC,MATCH($A26,Material_Detail!$DE:$DE,0),67),0)),SUMIFS(T_Shipments[Confirmed_Qty],T_Shipments[Part Name],$A26,T_Shipments[Effective_Week],67))</f>
        <v/>
      </c>
      <c r="BQ26">
        <f>IF(COUNTIF(Material_Detail!$DE:$DE,$A26)&gt;0,IF(ISNUMBER(SEARCH("[済]",INDEX(Material_Detail!$D:$DC,MATCH($A26,Material_Detail!$DE:$DE,0)+1,68))),0,IFERROR(INDEX(Material_Detail!$D:$DC,MATCH($A26,Material_Detail!$DE:$DE,0),68),0)),SUMIFS(T_Shipments[Confirmed_Qty],T_Shipments[Part Name],$A26,T_Shipments[Effective_Week],68))</f>
        <v/>
      </c>
      <c r="BR26">
        <f>IF(COUNTIF(Material_Detail!$DE:$DE,$A26)&gt;0,IF(ISNUMBER(SEARCH("[済]",INDEX(Material_Detail!$D:$DC,MATCH($A26,Material_Detail!$DE:$DE,0)+1,69))),0,IFERROR(INDEX(Material_Detail!$D:$DC,MATCH($A26,Material_Detail!$DE:$DE,0),69),0)),SUMIFS(T_Shipments[Confirmed_Qty],T_Shipments[Part Name],$A26,T_Shipments[Effective_Week],69))</f>
        <v/>
      </c>
      <c r="BS26">
        <f>IF(COUNTIF(Material_Detail!$DE:$DE,$A26)&gt;0,IF(ISNUMBER(SEARCH("[済]",INDEX(Material_Detail!$D:$DC,MATCH($A26,Material_Detail!$DE:$DE,0)+1,70))),0,IFERROR(INDEX(Material_Detail!$D:$DC,MATCH($A26,Material_Detail!$DE:$DE,0),70),0)),SUMIFS(T_Shipments[Confirmed_Qty],T_Shipments[Part Name],$A26,T_Shipments[Effective_Week],70))</f>
        <v/>
      </c>
      <c r="BT26">
        <f>IF(COUNTIF(Material_Detail!$DE:$DE,$A26)&gt;0,IF(ISNUMBER(SEARCH("[済]",INDEX(Material_Detail!$D:$DC,MATCH($A26,Material_Detail!$DE:$DE,0)+1,71))),0,IFERROR(INDEX(Material_Detail!$D:$DC,MATCH($A26,Material_Detail!$DE:$DE,0),71),0)),SUMIFS(T_Shipments[Confirmed_Qty],T_Shipments[Part Name],$A26,T_Shipments[Effective_Week],71))</f>
        <v/>
      </c>
      <c r="BU26">
        <f>IF(COUNTIF(Material_Detail!$DE:$DE,$A26)&gt;0,IF(ISNUMBER(SEARCH("[済]",INDEX(Material_Detail!$D:$DC,MATCH($A26,Material_Detail!$DE:$DE,0)+1,72))),0,IFERROR(INDEX(Material_Detail!$D:$DC,MATCH($A26,Material_Detail!$DE:$DE,0),72),0)),SUMIFS(T_Shipments[Confirmed_Qty],T_Shipments[Part Name],$A26,T_Shipments[Effective_Week],72))</f>
        <v/>
      </c>
      <c r="BV26">
        <f>IF(COUNTIF(Material_Detail!$DE:$DE,$A26)&gt;0,IF(ISNUMBER(SEARCH("[済]",INDEX(Material_Detail!$D:$DC,MATCH($A26,Material_Detail!$DE:$DE,0)+1,73))),0,IFERROR(INDEX(Material_Detail!$D:$DC,MATCH($A26,Material_Detail!$DE:$DE,0),73),0)),SUMIFS(T_Shipments[Confirmed_Qty],T_Shipments[Part Name],$A26,T_Shipments[Effective_Week],73))</f>
        <v/>
      </c>
      <c r="BW26">
        <f>IF(COUNTIF(Material_Detail!$DE:$DE,$A26)&gt;0,IF(ISNUMBER(SEARCH("[済]",INDEX(Material_Detail!$D:$DC,MATCH($A26,Material_Detail!$DE:$DE,0)+1,74))),0,IFERROR(INDEX(Material_Detail!$D:$DC,MATCH($A26,Material_Detail!$DE:$DE,0),74),0)),SUMIFS(T_Shipments[Confirmed_Qty],T_Shipments[Part Name],$A26,T_Shipments[Effective_Week],74))</f>
        <v/>
      </c>
      <c r="BX26">
        <f>IF(COUNTIF(Material_Detail!$DE:$DE,$A26)&gt;0,IF(ISNUMBER(SEARCH("[済]",INDEX(Material_Detail!$D:$DC,MATCH($A26,Material_Detail!$DE:$DE,0)+1,75))),0,IFERROR(INDEX(Material_Detail!$D:$DC,MATCH($A26,Material_Detail!$DE:$DE,0),75),0)),SUMIFS(T_Shipments[Confirmed_Qty],T_Shipments[Part Name],$A26,T_Shipments[Effective_Week],75))</f>
        <v/>
      </c>
      <c r="BY26">
        <f>IF(COUNTIF(Material_Detail!$DE:$DE,$A26)&gt;0,IF(ISNUMBER(SEARCH("[済]",INDEX(Material_Detail!$D:$DC,MATCH($A26,Material_Detail!$DE:$DE,0)+1,76))),0,IFERROR(INDEX(Material_Detail!$D:$DC,MATCH($A26,Material_Detail!$DE:$DE,0),76),0)),SUMIFS(T_Shipments[Confirmed_Qty],T_Shipments[Part Name],$A26,T_Shipments[Effective_Week],76))</f>
        <v/>
      </c>
      <c r="BZ26">
        <f>IF(COUNTIF(Material_Detail!$DE:$DE,$A26)&gt;0,IF(ISNUMBER(SEARCH("[済]",INDEX(Material_Detail!$D:$DC,MATCH($A26,Material_Detail!$DE:$DE,0)+1,77))),0,IFERROR(INDEX(Material_Detail!$D:$DC,MATCH($A26,Material_Detail!$DE:$DE,0),77),0)),SUMIFS(T_Shipments[Confirmed_Qty],T_Shipments[Part Name],$A26,T_Shipments[Effective_Week],77))</f>
        <v/>
      </c>
      <c r="CA26">
        <f>IF(COUNTIF(Material_Detail!$DE:$DE,$A26)&gt;0,IF(ISNUMBER(SEARCH("[済]",INDEX(Material_Detail!$D:$DC,MATCH($A26,Material_Detail!$DE:$DE,0)+1,78))),0,IFERROR(INDEX(Material_Detail!$D:$DC,MATCH($A26,Material_Detail!$DE:$DE,0),78),0)),SUMIFS(T_Shipments[Confirmed_Qty],T_Shipments[Part Name],$A26,T_Shipments[Effective_Week],78))</f>
        <v/>
      </c>
      <c r="CB26">
        <f>IF(COUNTIF(Material_Detail!$DE:$DE,$A26)&gt;0,IF(ISNUMBER(SEARCH("[済]",INDEX(Material_Detail!$D:$DC,MATCH($A26,Material_Detail!$DE:$DE,0)+1,79))),0,IFERROR(INDEX(Material_Detail!$D:$DC,MATCH($A26,Material_Detail!$DE:$DE,0),79),0)),SUMIFS(T_Shipments[Confirmed_Qty],T_Shipments[Part Name],$A26,T_Shipments[Effective_Week],79))</f>
        <v/>
      </c>
      <c r="CC26">
        <f>IF(COUNTIF(Material_Detail!$DE:$DE,$A26)&gt;0,IF(ISNUMBER(SEARCH("[済]",INDEX(Material_Detail!$D:$DC,MATCH($A26,Material_Detail!$DE:$DE,0)+1,80))),0,IFERROR(INDEX(Material_Detail!$D:$DC,MATCH($A26,Material_Detail!$DE:$DE,0),80),0)),SUMIFS(T_Shipments[Confirmed_Qty],T_Shipments[Part Name],$A26,T_Shipments[Effective_Week],80))</f>
        <v/>
      </c>
      <c r="CD26">
        <f>IF(COUNTIF(Material_Detail!$DE:$DE,$A26)&gt;0,IF(ISNUMBER(SEARCH("[済]",INDEX(Material_Detail!$D:$DC,MATCH($A26,Material_Detail!$DE:$DE,0)+1,81))),0,IFERROR(INDEX(Material_Detail!$D:$DC,MATCH($A26,Material_Detail!$DE:$DE,0),81),0)),SUMIFS(T_Shipments[Confirmed_Qty],T_Shipments[Part Name],$A26,T_Shipments[Effective_Week],81))</f>
        <v/>
      </c>
      <c r="CE26">
        <f>IF(COUNTIF(Material_Detail!$DE:$DE,$A26)&gt;0,IF(ISNUMBER(SEARCH("[済]",INDEX(Material_Detail!$D:$DC,MATCH($A26,Material_Detail!$DE:$DE,0)+1,82))),0,IFERROR(INDEX(Material_Detail!$D:$DC,MATCH($A26,Material_Detail!$DE:$DE,0),82),0)),SUMIFS(T_Shipments[Confirmed_Qty],T_Shipments[Part Name],$A26,T_Shipments[Effective_Week],82))</f>
        <v/>
      </c>
      <c r="CF26">
        <f>IF(COUNTIF(Material_Detail!$DE:$DE,$A26)&gt;0,IF(ISNUMBER(SEARCH("[済]",INDEX(Material_Detail!$D:$DC,MATCH($A26,Material_Detail!$DE:$DE,0)+1,83))),0,IFERROR(INDEX(Material_Detail!$D:$DC,MATCH($A26,Material_Detail!$DE:$DE,0),83),0)),SUMIFS(T_Shipments[Confirmed_Qty],T_Shipments[Part Name],$A26,T_Shipments[Effective_Week],83))</f>
        <v/>
      </c>
      <c r="CG26">
        <f>IF(COUNTIF(Material_Detail!$DE:$DE,$A26)&gt;0,IF(ISNUMBER(SEARCH("[済]",INDEX(Material_Detail!$D:$DC,MATCH($A26,Material_Detail!$DE:$DE,0)+1,84))),0,IFERROR(INDEX(Material_Detail!$D:$DC,MATCH($A26,Material_Detail!$DE:$DE,0),84),0)),SUMIFS(T_Shipments[Confirmed_Qty],T_Shipments[Part Name],$A26,T_Shipments[Effective_Week],84))</f>
        <v/>
      </c>
      <c r="CH26">
        <f>IF(COUNTIF(Material_Detail!$DE:$DE,$A26)&gt;0,IF(ISNUMBER(SEARCH("[済]",INDEX(Material_Detail!$D:$DC,MATCH($A26,Material_Detail!$DE:$DE,0)+1,85))),0,IFERROR(INDEX(Material_Detail!$D:$DC,MATCH($A26,Material_Detail!$DE:$DE,0),85),0)),SUMIFS(T_Shipments[Confirmed_Qty],T_Shipments[Part Name],$A26,T_Shipments[Effective_Week],85))</f>
        <v/>
      </c>
      <c r="CI26">
        <f>IF(COUNTIF(Material_Detail!$DE:$DE,$A26)&gt;0,IF(ISNUMBER(SEARCH("[済]",INDEX(Material_Detail!$D:$DC,MATCH($A26,Material_Detail!$DE:$DE,0)+1,86))),0,IFERROR(INDEX(Material_Detail!$D:$DC,MATCH($A26,Material_Detail!$DE:$DE,0),86),0)),SUMIFS(T_Shipments[Confirmed_Qty],T_Shipments[Part Name],$A26,T_Shipments[Effective_Week],86))</f>
        <v/>
      </c>
      <c r="CJ26">
        <f>IF(COUNTIF(Material_Detail!$DE:$DE,$A26)&gt;0,IF(ISNUMBER(SEARCH("[済]",INDEX(Material_Detail!$D:$DC,MATCH($A26,Material_Detail!$DE:$DE,0)+1,87))),0,IFERROR(INDEX(Material_Detail!$D:$DC,MATCH($A26,Material_Detail!$DE:$DE,0),87),0)),SUMIFS(T_Shipments[Confirmed_Qty],T_Shipments[Part Name],$A26,T_Shipments[Effective_Week],87))</f>
        <v/>
      </c>
      <c r="CK26">
        <f>IF(COUNTIF(Material_Detail!$DE:$DE,$A26)&gt;0,IF(ISNUMBER(SEARCH("[済]",INDEX(Material_Detail!$D:$DC,MATCH($A26,Material_Detail!$DE:$DE,0)+1,88))),0,IFERROR(INDEX(Material_Detail!$D:$DC,MATCH($A26,Material_Detail!$DE:$DE,0),88),0)),SUMIFS(T_Shipments[Confirmed_Qty],T_Shipments[Part Name],$A26,T_Shipments[Effective_Week],88))</f>
        <v/>
      </c>
      <c r="CL26">
        <f>IF(COUNTIF(Material_Detail!$DE:$DE,$A26)&gt;0,IF(ISNUMBER(SEARCH("[済]",INDEX(Material_Detail!$D:$DC,MATCH($A26,Material_Detail!$DE:$DE,0)+1,89))),0,IFERROR(INDEX(Material_Detail!$D:$DC,MATCH($A26,Material_Detail!$DE:$DE,0),89),0)),SUMIFS(T_Shipments[Confirmed_Qty],T_Shipments[Part Name],$A26,T_Shipments[Effective_Week],89))</f>
        <v/>
      </c>
      <c r="CM26">
        <f>IF(COUNTIF(Material_Detail!$DE:$DE,$A26)&gt;0,IF(ISNUMBER(SEARCH("[済]",INDEX(Material_Detail!$D:$DC,MATCH($A26,Material_Detail!$DE:$DE,0)+1,90))),0,IFERROR(INDEX(Material_Detail!$D:$DC,MATCH($A26,Material_Detail!$DE:$DE,0),90),0)),SUMIFS(T_Shipments[Confirmed_Qty],T_Shipments[Part Name],$A26,T_Shipments[Effective_Week],90))</f>
        <v/>
      </c>
      <c r="CN26">
        <f>IF(COUNTIF(Material_Detail!$DE:$DE,$A26)&gt;0,IF(ISNUMBER(SEARCH("[済]",INDEX(Material_Detail!$D:$DC,MATCH($A26,Material_Detail!$DE:$DE,0)+1,91))),0,IFERROR(INDEX(Material_Detail!$D:$DC,MATCH($A26,Material_Detail!$DE:$DE,0),91),0)),SUMIFS(T_Shipments[Confirmed_Qty],T_Shipments[Part Name],$A26,T_Shipments[Effective_Week],91))</f>
        <v/>
      </c>
      <c r="CO26">
        <f>IF(COUNTIF(Material_Detail!$DE:$DE,$A26)&gt;0,IF(ISNUMBER(SEARCH("[済]",INDEX(Material_Detail!$D:$DC,MATCH($A26,Material_Detail!$DE:$DE,0)+1,92))),0,IFERROR(INDEX(Material_Detail!$D:$DC,MATCH($A26,Material_Detail!$DE:$DE,0),92),0)),SUMIFS(T_Shipments[Confirmed_Qty],T_Shipments[Part Name],$A26,T_Shipments[Effective_Week],92))</f>
        <v/>
      </c>
      <c r="CP26">
        <f>IF(COUNTIF(Material_Detail!$DE:$DE,$A26)&gt;0,IF(ISNUMBER(SEARCH("[済]",INDEX(Material_Detail!$D:$DC,MATCH($A26,Material_Detail!$DE:$DE,0)+1,93))),0,IFERROR(INDEX(Material_Detail!$D:$DC,MATCH($A26,Material_Detail!$DE:$DE,0),93),0)),SUMIFS(T_Shipments[Confirmed_Qty],T_Shipments[Part Name],$A26,T_Shipments[Effective_Week],93))</f>
        <v/>
      </c>
      <c r="CQ26">
        <f>IF(COUNTIF(Material_Detail!$DE:$DE,$A26)&gt;0,IF(ISNUMBER(SEARCH("[済]",INDEX(Material_Detail!$D:$DC,MATCH($A26,Material_Detail!$DE:$DE,0)+1,94))),0,IFERROR(INDEX(Material_Detail!$D:$DC,MATCH($A26,Material_Detail!$DE:$DE,0),94),0)),SUMIFS(T_Shipments[Confirmed_Qty],T_Shipments[Part Name],$A26,T_Shipments[Effective_Week],94))</f>
        <v/>
      </c>
      <c r="CR26">
        <f>IF(COUNTIF(Material_Detail!$DE:$DE,$A26)&gt;0,IF(ISNUMBER(SEARCH("[済]",INDEX(Material_Detail!$D:$DC,MATCH($A26,Material_Detail!$DE:$DE,0)+1,95))),0,IFERROR(INDEX(Material_Detail!$D:$DC,MATCH($A26,Material_Detail!$DE:$DE,0),95),0)),SUMIFS(T_Shipments[Confirmed_Qty],T_Shipments[Part Name],$A26,T_Shipments[Effective_Week],95))</f>
        <v/>
      </c>
      <c r="CS26">
        <f>IF(COUNTIF(Material_Detail!$DE:$DE,$A26)&gt;0,IF(ISNUMBER(SEARCH("[済]",INDEX(Material_Detail!$D:$DC,MATCH($A26,Material_Detail!$DE:$DE,0)+1,96))),0,IFERROR(INDEX(Material_Detail!$D:$DC,MATCH($A26,Material_Detail!$DE:$DE,0),96),0)),SUMIFS(T_Shipments[Confirmed_Qty],T_Shipments[Part Name],$A26,T_Shipments[Effective_Week],96))</f>
        <v/>
      </c>
      <c r="CT26">
        <f>IF(COUNTIF(Material_Detail!$DE:$DE,$A26)&gt;0,IF(ISNUMBER(SEARCH("[済]",INDEX(Material_Detail!$D:$DC,MATCH($A26,Material_Detail!$DE:$DE,0)+1,97))),0,IFERROR(INDEX(Material_Detail!$D:$DC,MATCH($A26,Material_Detail!$DE:$DE,0),97),0)),SUMIFS(T_Shipments[Confirmed_Qty],T_Shipments[Part Name],$A26,T_Shipments[Effective_Week],97))</f>
        <v/>
      </c>
      <c r="CU26">
        <f>IF(COUNTIF(Material_Detail!$DE:$DE,$A26)&gt;0,IF(ISNUMBER(SEARCH("[済]",INDEX(Material_Detail!$D:$DC,MATCH($A26,Material_Detail!$DE:$DE,0)+1,98))),0,IFERROR(INDEX(Material_Detail!$D:$DC,MATCH($A26,Material_Detail!$DE:$DE,0),98),0)),SUMIFS(T_Shipments[Confirmed_Qty],T_Shipments[Part Name],$A26,T_Shipments[Effective_Week],98))</f>
        <v/>
      </c>
      <c r="CV26">
        <f>IF(COUNTIF(Material_Detail!$DE:$DE,$A26)&gt;0,IF(ISNUMBER(SEARCH("[済]",INDEX(Material_Detail!$D:$DC,MATCH($A26,Material_Detail!$DE:$DE,0)+1,99))),0,IFERROR(INDEX(Material_Detail!$D:$DC,MATCH($A26,Material_Detail!$DE:$DE,0),99),0)),SUMIFS(T_Shipments[Confirmed_Qty],T_Shipments[Part Name],$A26,T_Shipments[Effective_Week],99))</f>
        <v/>
      </c>
      <c r="CW26">
        <f>IF(COUNTIF(Material_Detail!$DE:$DE,$A26)&gt;0,IF(ISNUMBER(SEARCH("[済]",INDEX(Material_Detail!$D:$DC,MATCH($A26,Material_Detail!$DE:$DE,0)+1,100))),0,IFERROR(INDEX(Material_Detail!$D:$DC,MATCH($A26,Material_Detail!$DE:$DE,0),100),0)),SUMIFS(T_Shipments[Confirmed_Qty],T_Shipments[Part Name],$A26,T_Shipments[Effective_Week],100))</f>
        <v/>
      </c>
      <c r="CX26">
        <f>IF(COUNTIF(Material_Detail!$DE:$DE,$A26)&gt;0,IF(ISNUMBER(SEARCH("[済]",INDEX(Material_Detail!$D:$DC,MATCH($A26,Material_Detail!$DE:$DE,0)+1,101))),0,IFERROR(INDEX(Material_Detail!$D:$DC,MATCH($A26,Material_Detail!$DE:$DE,0),101),0)),SUMIFS(T_Shipments[Confirmed_Qty],T_Shipments[Part Name],$A26,T_Shipments[Effective_Week],101))</f>
        <v/>
      </c>
      <c r="CY26">
        <f>IF(COUNTIF(Material_Detail!$DE:$DE,$A26)&gt;0,IF(ISNUMBER(SEARCH("[済]",INDEX(Material_Detail!$D:$DC,MATCH($A26,Material_Detail!$DE:$DE,0)+1,102))),0,IFERROR(INDEX(Material_Detail!$D:$DC,MATCH($A26,Material_Detail!$DE:$DE,0),102),0)),SUMIFS(T_Shipments[Confirmed_Qty],T_Shipments[Part Name],$A26,T_Shipments[Effective_Week],102))</f>
        <v/>
      </c>
      <c r="CZ26">
        <f>IF(COUNTIF(Material_Detail!$DE:$DE,$A26)&gt;0,IF(ISNUMBER(SEARCH("[済]",INDEX(Material_Detail!$D:$DC,MATCH($A26,Material_Detail!$DE:$DE,0)+1,103))),0,IFERROR(INDEX(Material_Detail!$D:$DC,MATCH($A26,Material_Detail!$DE:$DE,0),103),0)),SUMIFS(T_Shipments[Confirmed_Qty],T_Shipments[Part Name],$A26,T_Shipments[Effective_Week],103))</f>
        <v/>
      </c>
      <c r="DA26">
        <f>IF(COUNTIF(Material_Detail!$DE:$DE,$A26)&gt;0,IF(ISNUMBER(SEARCH("[済]",INDEX(Material_Detail!$D:$DC,MATCH($A26,Material_Detail!$DE:$DE,0)+1,104))),0,IFERROR(INDEX(Material_Detail!$D:$DC,MATCH($A26,Material_Detail!$DE:$DE,0),104),0)),SUMIFS(T_Shipments[Confirmed_Qty],T_Shipments[Part Name],$A26,T_Shipments[Effective_Week],104))</f>
        <v/>
      </c>
    </row>
    <row r="27">
      <c r="A27" t="inlineStr">
        <is>
          <t>CHEM-1250</t>
        </is>
      </c>
      <c r="B27">
        <f>IF(COUNTIF(Material_Detail!$DE:$DE,$A27)&gt;0,IF(ISNUMBER(SEARCH("[済]",INDEX(Material_Detail!$D:$DC,MATCH($A27,Material_Detail!$DE:$DE,0)+1,1))),0,IFERROR(INDEX(Material_Detail!$D:$DC,MATCH($A27,Material_Detail!$DE:$DE,0),1),0)),SUMIFS(T_Shipments[Confirmed_Qty],T_Shipments[Part Name],$A27,T_Shipments[Effective_Week],1))</f>
        <v/>
      </c>
      <c r="C27">
        <f>IF(COUNTIF(Material_Detail!$DE:$DE,$A27)&gt;0,IF(ISNUMBER(SEARCH("[済]",INDEX(Material_Detail!$D:$DC,MATCH($A27,Material_Detail!$DE:$DE,0)+1,2))),0,IFERROR(INDEX(Material_Detail!$D:$DC,MATCH($A27,Material_Detail!$DE:$DE,0),2),0)),SUMIFS(T_Shipments[Confirmed_Qty],T_Shipments[Part Name],$A27,T_Shipments[Effective_Week],2))</f>
        <v/>
      </c>
      <c r="D27">
        <f>IF(COUNTIF(Material_Detail!$DE:$DE,$A27)&gt;0,IF(ISNUMBER(SEARCH("[済]",INDEX(Material_Detail!$D:$DC,MATCH($A27,Material_Detail!$DE:$DE,0)+1,3))),0,IFERROR(INDEX(Material_Detail!$D:$DC,MATCH($A27,Material_Detail!$DE:$DE,0),3),0)),SUMIFS(T_Shipments[Confirmed_Qty],T_Shipments[Part Name],$A27,T_Shipments[Effective_Week],3))</f>
        <v/>
      </c>
      <c r="E27">
        <f>IF(COUNTIF(Material_Detail!$DE:$DE,$A27)&gt;0,IF(ISNUMBER(SEARCH("[済]",INDEX(Material_Detail!$D:$DC,MATCH($A27,Material_Detail!$DE:$DE,0)+1,4))),0,IFERROR(INDEX(Material_Detail!$D:$DC,MATCH($A27,Material_Detail!$DE:$DE,0),4),0)),SUMIFS(T_Shipments[Confirmed_Qty],T_Shipments[Part Name],$A27,T_Shipments[Effective_Week],4))</f>
        <v/>
      </c>
      <c r="F27">
        <f>IF(COUNTIF(Material_Detail!$DE:$DE,$A27)&gt;0,IF(ISNUMBER(SEARCH("[済]",INDEX(Material_Detail!$D:$DC,MATCH($A27,Material_Detail!$DE:$DE,0)+1,5))),0,IFERROR(INDEX(Material_Detail!$D:$DC,MATCH($A27,Material_Detail!$DE:$DE,0),5),0)),SUMIFS(T_Shipments[Confirmed_Qty],T_Shipments[Part Name],$A27,T_Shipments[Effective_Week],5))</f>
        <v/>
      </c>
      <c r="G27">
        <f>IF(COUNTIF(Material_Detail!$DE:$DE,$A27)&gt;0,IF(ISNUMBER(SEARCH("[済]",INDEX(Material_Detail!$D:$DC,MATCH($A27,Material_Detail!$DE:$DE,0)+1,6))),0,IFERROR(INDEX(Material_Detail!$D:$DC,MATCH($A27,Material_Detail!$DE:$DE,0),6),0)),SUMIFS(T_Shipments[Confirmed_Qty],T_Shipments[Part Name],$A27,T_Shipments[Effective_Week],6))</f>
        <v/>
      </c>
      <c r="H27">
        <f>IF(COUNTIF(Material_Detail!$DE:$DE,$A27)&gt;0,IF(ISNUMBER(SEARCH("[済]",INDEX(Material_Detail!$D:$DC,MATCH($A27,Material_Detail!$DE:$DE,0)+1,7))),0,IFERROR(INDEX(Material_Detail!$D:$DC,MATCH($A27,Material_Detail!$DE:$DE,0),7),0)),SUMIFS(T_Shipments[Confirmed_Qty],T_Shipments[Part Name],$A27,T_Shipments[Effective_Week],7))</f>
        <v/>
      </c>
      <c r="I27">
        <f>IF(COUNTIF(Material_Detail!$DE:$DE,$A27)&gt;0,IF(ISNUMBER(SEARCH("[済]",INDEX(Material_Detail!$D:$DC,MATCH($A27,Material_Detail!$DE:$DE,0)+1,8))),0,IFERROR(INDEX(Material_Detail!$D:$DC,MATCH($A27,Material_Detail!$DE:$DE,0),8),0)),SUMIFS(T_Shipments[Confirmed_Qty],T_Shipments[Part Name],$A27,T_Shipments[Effective_Week],8))</f>
        <v/>
      </c>
      <c r="J27">
        <f>IF(COUNTIF(Material_Detail!$DE:$DE,$A27)&gt;0,IF(ISNUMBER(SEARCH("[済]",INDEX(Material_Detail!$D:$DC,MATCH($A27,Material_Detail!$DE:$DE,0)+1,9))),0,IFERROR(INDEX(Material_Detail!$D:$DC,MATCH($A27,Material_Detail!$DE:$DE,0),9),0)),SUMIFS(T_Shipments[Confirmed_Qty],T_Shipments[Part Name],$A27,T_Shipments[Effective_Week],9))</f>
        <v/>
      </c>
      <c r="K27">
        <f>IF(COUNTIF(Material_Detail!$DE:$DE,$A27)&gt;0,IF(ISNUMBER(SEARCH("[済]",INDEX(Material_Detail!$D:$DC,MATCH($A27,Material_Detail!$DE:$DE,0)+1,10))),0,IFERROR(INDEX(Material_Detail!$D:$DC,MATCH($A27,Material_Detail!$DE:$DE,0),10),0)),SUMIFS(T_Shipments[Confirmed_Qty],T_Shipments[Part Name],$A27,T_Shipments[Effective_Week],10))</f>
        <v/>
      </c>
      <c r="L27">
        <f>IF(COUNTIF(Material_Detail!$DE:$DE,$A27)&gt;0,IF(ISNUMBER(SEARCH("[済]",INDEX(Material_Detail!$D:$DC,MATCH($A27,Material_Detail!$DE:$DE,0)+1,11))),0,IFERROR(INDEX(Material_Detail!$D:$DC,MATCH($A27,Material_Detail!$DE:$DE,0),11),0)),SUMIFS(T_Shipments[Confirmed_Qty],T_Shipments[Part Name],$A27,T_Shipments[Effective_Week],11))</f>
        <v/>
      </c>
      <c r="M27">
        <f>IF(COUNTIF(Material_Detail!$DE:$DE,$A27)&gt;0,IF(ISNUMBER(SEARCH("[済]",INDEX(Material_Detail!$D:$DC,MATCH($A27,Material_Detail!$DE:$DE,0)+1,12))),0,IFERROR(INDEX(Material_Detail!$D:$DC,MATCH($A27,Material_Detail!$DE:$DE,0),12),0)),SUMIFS(T_Shipments[Confirmed_Qty],T_Shipments[Part Name],$A27,T_Shipments[Effective_Week],12))</f>
        <v/>
      </c>
      <c r="N27">
        <f>IF(COUNTIF(Material_Detail!$DE:$DE,$A27)&gt;0,IF(ISNUMBER(SEARCH("[済]",INDEX(Material_Detail!$D:$DC,MATCH($A27,Material_Detail!$DE:$DE,0)+1,13))),0,IFERROR(INDEX(Material_Detail!$D:$DC,MATCH($A27,Material_Detail!$DE:$DE,0),13),0)),SUMIFS(T_Shipments[Confirmed_Qty],T_Shipments[Part Name],$A27,T_Shipments[Effective_Week],13))</f>
        <v/>
      </c>
      <c r="O27">
        <f>IF(COUNTIF(Material_Detail!$DE:$DE,$A27)&gt;0,IF(ISNUMBER(SEARCH("[済]",INDEX(Material_Detail!$D:$DC,MATCH($A27,Material_Detail!$DE:$DE,0)+1,14))),0,IFERROR(INDEX(Material_Detail!$D:$DC,MATCH($A27,Material_Detail!$DE:$DE,0),14),0)),SUMIFS(T_Shipments[Confirmed_Qty],T_Shipments[Part Name],$A27,T_Shipments[Effective_Week],14))</f>
        <v/>
      </c>
      <c r="P27">
        <f>IF(COUNTIF(Material_Detail!$DE:$DE,$A27)&gt;0,IF(ISNUMBER(SEARCH("[済]",INDEX(Material_Detail!$D:$DC,MATCH($A27,Material_Detail!$DE:$DE,0)+1,15))),0,IFERROR(INDEX(Material_Detail!$D:$DC,MATCH($A27,Material_Detail!$DE:$DE,0),15),0)),SUMIFS(T_Shipments[Confirmed_Qty],T_Shipments[Part Name],$A27,T_Shipments[Effective_Week],15))</f>
        <v/>
      </c>
      <c r="Q27">
        <f>IF(COUNTIF(Material_Detail!$DE:$DE,$A27)&gt;0,IF(ISNUMBER(SEARCH("[済]",INDEX(Material_Detail!$D:$DC,MATCH($A27,Material_Detail!$DE:$DE,0)+1,16))),0,IFERROR(INDEX(Material_Detail!$D:$DC,MATCH($A27,Material_Detail!$DE:$DE,0),16),0)),SUMIFS(T_Shipments[Confirmed_Qty],T_Shipments[Part Name],$A27,T_Shipments[Effective_Week],16))</f>
        <v/>
      </c>
      <c r="R27">
        <f>IF(COUNTIF(Material_Detail!$DE:$DE,$A27)&gt;0,IF(ISNUMBER(SEARCH("[済]",INDEX(Material_Detail!$D:$DC,MATCH($A27,Material_Detail!$DE:$DE,0)+1,17))),0,IFERROR(INDEX(Material_Detail!$D:$DC,MATCH($A27,Material_Detail!$DE:$DE,0),17),0)),SUMIFS(T_Shipments[Confirmed_Qty],T_Shipments[Part Name],$A27,T_Shipments[Effective_Week],17))</f>
        <v/>
      </c>
      <c r="S27">
        <f>IF(COUNTIF(Material_Detail!$DE:$DE,$A27)&gt;0,IF(ISNUMBER(SEARCH("[済]",INDEX(Material_Detail!$D:$DC,MATCH($A27,Material_Detail!$DE:$DE,0)+1,18))),0,IFERROR(INDEX(Material_Detail!$D:$DC,MATCH($A27,Material_Detail!$DE:$DE,0),18),0)),SUMIFS(T_Shipments[Confirmed_Qty],T_Shipments[Part Name],$A27,T_Shipments[Effective_Week],18))</f>
        <v/>
      </c>
      <c r="T27">
        <f>IF(COUNTIF(Material_Detail!$DE:$DE,$A27)&gt;0,IF(ISNUMBER(SEARCH("[済]",INDEX(Material_Detail!$D:$DC,MATCH($A27,Material_Detail!$DE:$DE,0)+1,19))),0,IFERROR(INDEX(Material_Detail!$D:$DC,MATCH($A27,Material_Detail!$DE:$DE,0),19),0)),SUMIFS(T_Shipments[Confirmed_Qty],T_Shipments[Part Name],$A27,T_Shipments[Effective_Week],19))</f>
        <v/>
      </c>
      <c r="U27">
        <f>IF(COUNTIF(Material_Detail!$DE:$DE,$A27)&gt;0,IF(ISNUMBER(SEARCH("[済]",INDEX(Material_Detail!$D:$DC,MATCH($A27,Material_Detail!$DE:$DE,0)+1,20))),0,IFERROR(INDEX(Material_Detail!$D:$DC,MATCH($A27,Material_Detail!$DE:$DE,0),20),0)),SUMIFS(T_Shipments[Confirmed_Qty],T_Shipments[Part Name],$A27,T_Shipments[Effective_Week],20))</f>
        <v/>
      </c>
      <c r="V27">
        <f>IF(COUNTIF(Material_Detail!$DE:$DE,$A27)&gt;0,IF(ISNUMBER(SEARCH("[済]",INDEX(Material_Detail!$D:$DC,MATCH($A27,Material_Detail!$DE:$DE,0)+1,21))),0,IFERROR(INDEX(Material_Detail!$D:$DC,MATCH($A27,Material_Detail!$DE:$DE,0),21),0)),SUMIFS(T_Shipments[Confirmed_Qty],T_Shipments[Part Name],$A27,T_Shipments[Effective_Week],21))</f>
        <v/>
      </c>
      <c r="W27">
        <f>IF(COUNTIF(Material_Detail!$DE:$DE,$A27)&gt;0,IF(ISNUMBER(SEARCH("[済]",INDEX(Material_Detail!$D:$DC,MATCH($A27,Material_Detail!$DE:$DE,0)+1,22))),0,IFERROR(INDEX(Material_Detail!$D:$DC,MATCH($A27,Material_Detail!$DE:$DE,0),22),0)),SUMIFS(T_Shipments[Confirmed_Qty],T_Shipments[Part Name],$A27,T_Shipments[Effective_Week],22))</f>
        <v/>
      </c>
      <c r="X27">
        <f>IF(COUNTIF(Material_Detail!$DE:$DE,$A27)&gt;0,IF(ISNUMBER(SEARCH("[済]",INDEX(Material_Detail!$D:$DC,MATCH($A27,Material_Detail!$DE:$DE,0)+1,23))),0,IFERROR(INDEX(Material_Detail!$D:$DC,MATCH($A27,Material_Detail!$DE:$DE,0),23),0)),SUMIFS(T_Shipments[Confirmed_Qty],T_Shipments[Part Name],$A27,T_Shipments[Effective_Week],23))</f>
        <v/>
      </c>
      <c r="Y27">
        <f>IF(COUNTIF(Material_Detail!$DE:$DE,$A27)&gt;0,IF(ISNUMBER(SEARCH("[済]",INDEX(Material_Detail!$D:$DC,MATCH($A27,Material_Detail!$DE:$DE,0)+1,24))),0,IFERROR(INDEX(Material_Detail!$D:$DC,MATCH($A27,Material_Detail!$DE:$DE,0),24),0)),SUMIFS(T_Shipments[Confirmed_Qty],T_Shipments[Part Name],$A27,T_Shipments[Effective_Week],24))</f>
        <v/>
      </c>
      <c r="Z27">
        <f>IF(COUNTIF(Material_Detail!$DE:$DE,$A27)&gt;0,IF(ISNUMBER(SEARCH("[済]",INDEX(Material_Detail!$D:$DC,MATCH($A27,Material_Detail!$DE:$DE,0)+1,25))),0,IFERROR(INDEX(Material_Detail!$D:$DC,MATCH($A27,Material_Detail!$DE:$DE,0),25),0)),SUMIFS(T_Shipments[Confirmed_Qty],T_Shipments[Part Name],$A27,T_Shipments[Effective_Week],25))</f>
        <v/>
      </c>
      <c r="AA27">
        <f>IF(COUNTIF(Material_Detail!$DE:$DE,$A27)&gt;0,IF(ISNUMBER(SEARCH("[済]",INDEX(Material_Detail!$D:$DC,MATCH($A27,Material_Detail!$DE:$DE,0)+1,26))),0,IFERROR(INDEX(Material_Detail!$D:$DC,MATCH($A27,Material_Detail!$DE:$DE,0),26),0)),SUMIFS(T_Shipments[Confirmed_Qty],T_Shipments[Part Name],$A27,T_Shipments[Effective_Week],26))</f>
        <v/>
      </c>
      <c r="AB27">
        <f>IF(COUNTIF(Material_Detail!$DE:$DE,$A27)&gt;0,IF(ISNUMBER(SEARCH("[済]",INDEX(Material_Detail!$D:$DC,MATCH($A27,Material_Detail!$DE:$DE,0)+1,27))),0,IFERROR(INDEX(Material_Detail!$D:$DC,MATCH($A27,Material_Detail!$DE:$DE,0),27),0)),SUMIFS(T_Shipments[Confirmed_Qty],T_Shipments[Part Name],$A27,T_Shipments[Effective_Week],27))</f>
        <v/>
      </c>
      <c r="AC27">
        <f>IF(COUNTIF(Material_Detail!$DE:$DE,$A27)&gt;0,IF(ISNUMBER(SEARCH("[済]",INDEX(Material_Detail!$D:$DC,MATCH($A27,Material_Detail!$DE:$DE,0)+1,28))),0,IFERROR(INDEX(Material_Detail!$D:$DC,MATCH($A27,Material_Detail!$DE:$DE,0),28),0)),SUMIFS(T_Shipments[Confirmed_Qty],T_Shipments[Part Name],$A27,T_Shipments[Effective_Week],28))</f>
        <v/>
      </c>
      <c r="AD27">
        <f>IF(COUNTIF(Material_Detail!$DE:$DE,$A27)&gt;0,IF(ISNUMBER(SEARCH("[済]",INDEX(Material_Detail!$D:$DC,MATCH($A27,Material_Detail!$DE:$DE,0)+1,29))),0,IFERROR(INDEX(Material_Detail!$D:$DC,MATCH($A27,Material_Detail!$DE:$DE,0),29),0)),SUMIFS(T_Shipments[Confirmed_Qty],T_Shipments[Part Name],$A27,T_Shipments[Effective_Week],29))</f>
        <v/>
      </c>
      <c r="AE27">
        <f>IF(COUNTIF(Material_Detail!$DE:$DE,$A27)&gt;0,IF(ISNUMBER(SEARCH("[済]",INDEX(Material_Detail!$D:$DC,MATCH($A27,Material_Detail!$DE:$DE,0)+1,30))),0,IFERROR(INDEX(Material_Detail!$D:$DC,MATCH($A27,Material_Detail!$DE:$DE,0),30),0)),SUMIFS(T_Shipments[Confirmed_Qty],T_Shipments[Part Name],$A27,T_Shipments[Effective_Week],30))</f>
        <v/>
      </c>
      <c r="AF27">
        <f>IF(COUNTIF(Material_Detail!$DE:$DE,$A27)&gt;0,IF(ISNUMBER(SEARCH("[済]",INDEX(Material_Detail!$D:$DC,MATCH($A27,Material_Detail!$DE:$DE,0)+1,31))),0,IFERROR(INDEX(Material_Detail!$D:$DC,MATCH($A27,Material_Detail!$DE:$DE,0),31),0)),SUMIFS(T_Shipments[Confirmed_Qty],T_Shipments[Part Name],$A27,T_Shipments[Effective_Week],31))</f>
        <v/>
      </c>
      <c r="AG27">
        <f>IF(COUNTIF(Material_Detail!$DE:$DE,$A27)&gt;0,IF(ISNUMBER(SEARCH("[済]",INDEX(Material_Detail!$D:$DC,MATCH($A27,Material_Detail!$DE:$DE,0)+1,32))),0,IFERROR(INDEX(Material_Detail!$D:$DC,MATCH($A27,Material_Detail!$DE:$DE,0),32),0)),SUMIFS(T_Shipments[Confirmed_Qty],T_Shipments[Part Name],$A27,T_Shipments[Effective_Week],32))</f>
        <v/>
      </c>
      <c r="AH27">
        <f>IF(COUNTIF(Material_Detail!$DE:$DE,$A27)&gt;0,IF(ISNUMBER(SEARCH("[済]",INDEX(Material_Detail!$D:$DC,MATCH($A27,Material_Detail!$DE:$DE,0)+1,33))),0,IFERROR(INDEX(Material_Detail!$D:$DC,MATCH($A27,Material_Detail!$DE:$DE,0),33),0)),SUMIFS(T_Shipments[Confirmed_Qty],T_Shipments[Part Name],$A27,T_Shipments[Effective_Week],33))</f>
        <v/>
      </c>
      <c r="AI27">
        <f>IF(COUNTIF(Material_Detail!$DE:$DE,$A27)&gt;0,IF(ISNUMBER(SEARCH("[済]",INDEX(Material_Detail!$D:$DC,MATCH($A27,Material_Detail!$DE:$DE,0)+1,34))),0,IFERROR(INDEX(Material_Detail!$D:$DC,MATCH($A27,Material_Detail!$DE:$DE,0),34),0)),SUMIFS(T_Shipments[Confirmed_Qty],T_Shipments[Part Name],$A27,T_Shipments[Effective_Week],34))</f>
        <v/>
      </c>
      <c r="AJ27">
        <f>IF(COUNTIF(Material_Detail!$DE:$DE,$A27)&gt;0,IF(ISNUMBER(SEARCH("[済]",INDEX(Material_Detail!$D:$DC,MATCH($A27,Material_Detail!$DE:$DE,0)+1,35))),0,IFERROR(INDEX(Material_Detail!$D:$DC,MATCH($A27,Material_Detail!$DE:$DE,0),35),0)),SUMIFS(T_Shipments[Confirmed_Qty],T_Shipments[Part Name],$A27,T_Shipments[Effective_Week],35))</f>
        <v/>
      </c>
      <c r="AK27">
        <f>IF(COUNTIF(Material_Detail!$DE:$DE,$A27)&gt;0,IF(ISNUMBER(SEARCH("[済]",INDEX(Material_Detail!$D:$DC,MATCH($A27,Material_Detail!$DE:$DE,0)+1,36))),0,IFERROR(INDEX(Material_Detail!$D:$DC,MATCH($A27,Material_Detail!$DE:$DE,0),36),0)),SUMIFS(T_Shipments[Confirmed_Qty],T_Shipments[Part Name],$A27,T_Shipments[Effective_Week],36))</f>
        <v/>
      </c>
      <c r="AL27">
        <f>IF(COUNTIF(Material_Detail!$DE:$DE,$A27)&gt;0,IF(ISNUMBER(SEARCH("[済]",INDEX(Material_Detail!$D:$DC,MATCH($A27,Material_Detail!$DE:$DE,0)+1,37))),0,IFERROR(INDEX(Material_Detail!$D:$DC,MATCH($A27,Material_Detail!$DE:$DE,0),37),0)),SUMIFS(T_Shipments[Confirmed_Qty],T_Shipments[Part Name],$A27,T_Shipments[Effective_Week],37))</f>
        <v/>
      </c>
      <c r="AM27">
        <f>IF(COUNTIF(Material_Detail!$DE:$DE,$A27)&gt;0,IF(ISNUMBER(SEARCH("[済]",INDEX(Material_Detail!$D:$DC,MATCH($A27,Material_Detail!$DE:$DE,0)+1,38))),0,IFERROR(INDEX(Material_Detail!$D:$DC,MATCH($A27,Material_Detail!$DE:$DE,0),38),0)),SUMIFS(T_Shipments[Confirmed_Qty],T_Shipments[Part Name],$A27,T_Shipments[Effective_Week],38))</f>
        <v/>
      </c>
      <c r="AN27">
        <f>IF(COUNTIF(Material_Detail!$DE:$DE,$A27)&gt;0,IF(ISNUMBER(SEARCH("[済]",INDEX(Material_Detail!$D:$DC,MATCH($A27,Material_Detail!$DE:$DE,0)+1,39))),0,IFERROR(INDEX(Material_Detail!$D:$DC,MATCH($A27,Material_Detail!$DE:$DE,0),39),0)),SUMIFS(T_Shipments[Confirmed_Qty],T_Shipments[Part Name],$A27,T_Shipments[Effective_Week],39))</f>
        <v/>
      </c>
      <c r="AO27">
        <f>IF(COUNTIF(Material_Detail!$DE:$DE,$A27)&gt;0,IF(ISNUMBER(SEARCH("[済]",INDEX(Material_Detail!$D:$DC,MATCH($A27,Material_Detail!$DE:$DE,0)+1,40))),0,IFERROR(INDEX(Material_Detail!$D:$DC,MATCH($A27,Material_Detail!$DE:$DE,0),40),0)),SUMIFS(T_Shipments[Confirmed_Qty],T_Shipments[Part Name],$A27,T_Shipments[Effective_Week],40))</f>
        <v/>
      </c>
      <c r="AP27">
        <f>IF(COUNTIF(Material_Detail!$DE:$DE,$A27)&gt;0,IF(ISNUMBER(SEARCH("[済]",INDEX(Material_Detail!$D:$DC,MATCH($A27,Material_Detail!$DE:$DE,0)+1,41))),0,IFERROR(INDEX(Material_Detail!$D:$DC,MATCH($A27,Material_Detail!$DE:$DE,0),41),0)),SUMIFS(T_Shipments[Confirmed_Qty],T_Shipments[Part Name],$A27,T_Shipments[Effective_Week],41))</f>
        <v/>
      </c>
      <c r="AQ27">
        <f>IF(COUNTIF(Material_Detail!$DE:$DE,$A27)&gt;0,IF(ISNUMBER(SEARCH("[済]",INDEX(Material_Detail!$D:$DC,MATCH($A27,Material_Detail!$DE:$DE,0)+1,42))),0,IFERROR(INDEX(Material_Detail!$D:$DC,MATCH($A27,Material_Detail!$DE:$DE,0),42),0)),SUMIFS(T_Shipments[Confirmed_Qty],T_Shipments[Part Name],$A27,T_Shipments[Effective_Week],42))</f>
        <v/>
      </c>
      <c r="AR27">
        <f>IF(COUNTIF(Material_Detail!$DE:$DE,$A27)&gt;0,IF(ISNUMBER(SEARCH("[済]",INDEX(Material_Detail!$D:$DC,MATCH($A27,Material_Detail!$DE:$DE,0)+1,43))),0,IFERROR(INDEX(Material_Detail!$D:$DC,MATCH($A27,Material_Detail!$DE:$DE,0),43),0)),SUMIFS(T_Shipments[Confirmed_Qty],T_Shipments[Part Name],$A27,T_Shipments[Effective_Week],43))</f>
        <v/>
      </c>
      <c r="AS27">
        <f>IF(COUNTIF(Material_Detail!$DE:$DE,$A27)&gt;0,IF(ISNUMBER(SEARCH("[済]",INDEX(Material_Detail!$D:$DC,MATCH($A27,Material_Detail!$DE:$DE,0)+1,44))),0,IFERROR(INDEX(Material_Detail!$D:$DC,MATCH($A27,Material_Detail!$DE:$DE,0),44),0)),SUMIFS(T_Shipments[Confirmed_Qty],T_Shipments[Part Name],$A27,T_Shipments[Effective_Week],44))</f>
        <v/>
      </c>
      <c r="AT27">
        <f>IF(COUNTIF(Material_Detail!$DE:$DE,$A27)&gt;0,IF(ISNUMBER(SEARCH("[済]",INDEX(Material_Detail!$D:$DC,MATCH($A27,Material_Detail!$DE:$DE,0)+1,45))),0,IFERROR(INDEX(Material_Detail!$D:$DC,MATCH($A27,Material_Detail!$DE:$DE,0),45),0)),SUMIFS(T_Shipments[Confirmed_Qty],T_Shipments[Part Name],$A27,T_Shipments[Effective_Week],45))</f>
        <v/>
      </c>
      <c r="AU27">
        <f>IF(COUNTIF(Material_Detail!$DE:$DE,$A27)&gt;0,IF(ISNUMBER(SEARCH("[済]",INDEX(Material_Detail!$D:$DC,MATCH($A27,Material_Detail!$DE:$DE,0)+1,46))),0,IFERROR(INDEX(Material_Detail!$D:$DC,MATCH($A27,Material_Detail!$DE:$DE,0),46),0)),SUMIFS(T_Shipments[Confirmed_Qty],T_Shipments[Part Name],$A27,T_Shipments[Effective_Week],46))</f>
        <v/>
      </c>
      <c r="AV27">
        <f>IF(COUNTIF(Material_Detail!$DE:$DE,$A27)&gt;0,IF(ISNUMBER(SEARCH("[済]",INDEX(Material_Detail!$D:$DC,MATCH($A27,Material_Detail!$DE:$DE,0)+1,47))),0,IFERROR(INDEX(Material_Detail!$D:$DC,MATCH($A27,Material_Detail!$DE:$DE,0),47),0)),SUMIFS(T_Shipments[Confirmed_Qty],T_Shipments[Part Name],$A27,T_Shipments[Effective_Week],47))</f>
        <v/>
      </c>
      <c r="AW27">
        <f>IF(COUNTIF(Material_Detail!$DE:$DE,$A27)&gt;0,IF(ISNUMBER(SEARCH("[済]",INDEX(Material_Detail!$D:$DC,MATCH($A27,Material_Detail!$DE:$DE,0)+1,48))),0,IFERROR(INDEX(Material_Detail!$D:$DC,MATCH($A27,Material_Detail!$DE:$DE,0),48),0)),SUMIFS(T_Shipments[Confirmed_Qty],T_Shipments[Part Name],$A27,T_Shipments[Effective_Week],48))</f>
        <v/>
      </c>
      <c r="AX27">
        <f>IF(COUNTIF(Material_Detail!$DE:$DE,$A27)&gt;0,IF(ISNUMBER(SEARCH("[済]",INDEX(Material_Detail!$D:$DC,MATCH($A27,Material_Detail!$DE:$DE,0)+1,49))),0,IFERROR(INDEX(Material_Detail!$D:$DC,MATCH($A27,Material_Detail!$DE:$DE,0),49),0)),SUMIFS(T_Shipments[Confirmed_Qty],T_Shipments[Part Name],$A27,T_Shipments[Effective_Week],49))</f>
        <v/>
      </c>
      <c r="AY27">
        <f>IF(COUNTIF(Material_Detail!$DE:$DE,$A27)&gt;0,IF(ISNUMBER(SEARCH("[済]",INDEX(Material_Detail!$D:$DC,MATCH($A27,Material_Detail!$DE:$DE,0)+1,50))),0,IFERROR(INDEX(Material_Detail!$D:$DC,MATCH($A27,Material_Detail!$DE:$DE,0),50),0)),SUMIFS(T_Shipments[Confirmed_Qty],T_Shipments[Part Name],$A27,T_Shipments[Effective_Week],50))</f>
        <v/>
      </c>
      <c r="AZ27">
        <f>IF(COUNTIF(Material_Detail!$DE:$DE,$A27)&gt;0,IF(ISNUMBER(SEARCH("[済]",INDEX(Material_Detail!$D:$DC,MATCH($A27,Material_Detail!$DE:$DE,0)+1,51))),0,IFERROR(INDEX(Material_Detail!$D:$DC,MATCH($A27,Material_Detail!$DE:$DE,0),51),0)),SUMIFS(T_Shipments[Confirmed_Qty],T_Shipments[Part Name],$A27,T_Shipments[Effective_Week],51))</f>
        <v/>
      </c>
      <c r="BA27">
        <f>IF(COUNTIF(Material_Detail!$DE:$DE,$A27)&gt;0,IF(ISNUMBER(SEARCH("[済]",INDEX(Material_Detail!$D:$DC,MATCH($A27,Material_Detail!$DE:$DE,0)+1,52))),0,IFERROR(INDEX(Material_Detail!$D:$DC,MATCH($A27,Material_Detail!$DE:$DE,0),52),0)),SUMIFS(T_Shipments[Confirmed_Qty],T_Shipments[Part Name],$A27,T_Shipments[Effective_Week],52))</f>
        <v/>
      </c>
      <c r="BB27">
        <f>IF(COUNTIF(Material_Detail!$DE:$DE,$A27)&gt;0,IF(ISNUMBER(SEARCH("[済]",INDEX(Material_Detail!$D:$DC,MATCH($A27,Material_Detail!$DE:$DE,0)+1,53))),0,IFERROR(INDEX(Material_Detail!$D:$DC,MATCH($A27,Material_Detail!$DE:$DE,0),53),0)),SUMIFS(T_Shipments[Confirmed_Qty],T_Shipments[Part Name],$A27,T_Shipments[Effective_Week],53))</f>
        <v/>
      </c>
      <c r="BC27">
        <f>IF(COUNTIF(Material_Detail!$DE:$DE,$A27)&gt;0,IF(ISNUMBER(SEARCH("[済]",INDEX(Material_Detail!$D:$DC,MATCH($A27,Material_Detail!$DE:$DE,0)+1,54))),0,IFERROR(INDEX(Material_Detail!$D:$DC,MATCH($A27,Material_Detail!$DE:$DE,0),54),0)),SUMIFS(T_Shipments[Confirmed_Qty],T_Shipments[Part Name],$A27,T_Shipments[Effective_Week],54))</f>
        <v/>
      </c>
      <c r="BD27">
        <f>IF(COUNTIF(Material_Detail!$DE:$DE,$A27)&gt;0,IF(ISNUMBER(SEARCH("[済]",INDEX(Material_Detail!$D:$DC,MATCH($A27,Material_Detail!$DE:$DE,0)+1,55))),0,IFERROR(INDEX(Material_Detail!$D:$DC,MATCH($A27,Material_Detail!$DE:$DE,0),55),0)),SUMIFS(T_Shipments[Confirmed_Qty],T_Shipments[Part Name],$A27,T_Shipments[Effective_Week],55))</f>
        <v/>
      </c>
      <c r="BE27">
        <f>IF(COUNTIF(Material_Detail!$DE:$DE,$A27)&gt;0,IF(ISNUMBER(SEARCH("[済]",INDEX(Material_Detail!$D:$DC,MATCH($A27,Material_Detail!$DE:$DE,0)+1,56))),0,IFERROR(INDEX(Material_Detail!$D:$DC,MATCH($A27,Material_Detail!$DE:$DE,0),56),0)),SUMIFS(T_Shipments[Confirmed_Qty],T_Shipments[Part Name],$A27,T_Shipments[Effective_Week],56))</f>
        <v/>
      </c>
      <c r="BF27">
        <f>IF(COUNTIF(Material_Detail!$DE:$DE,$A27)&gt;0,IF(ISNUMBER(SEARCH("[済]",INDEX(Material_Detail!$D:$DC,MATCH($A27,Material_Detail!$DE:$DE,0)+1,57))),0,IFERROR(INDEX(Material_Detail!$D:$DC,MATCH($A27,Material_Detail!$DE:$DE,0),57),0)),SUMIFS(T_Shipments[Confirmed_Qty],T_Shipments[Part Name],$A27,T_Shipments[Effective_Week],57))</f>
        <v/>
      </c>
      <c r="BG27">
        <f>IF(COUNTIF(Material_Detail!$DE:$DE,$A27)&gt;0,IF(ISNUMBER(SEARCH("[済]",INDEX(Material_Detail!$D:$DC,MATCH($A27,Material_Detail!$DE:$DE,0)+1,58))),0,IFERROR(INDEX(Material_Detail!$D:$DC,MATCH($A27,Material_Detail!$DE:$DE,0),58),0)),SUMIFS(T_Shipments[Confirmed_Qty],T_Shipments[Part Name],$A27,T_Shipments[Effective_Week],58))</f>
        <v/>
      </c>
      <c r="BH27">
        <f>IF(COUNTIF(Material_Detail!$DE:$DE,$A27)&gt;0,IF(ISNUMBER(SEARCH("[済]",INDEX(Material_Detail!$D:$DC,MATCH($A27,Material_Detail!$DE:$DE,0)+1,59))),0,IFERROR(INDEX(Material_Detail!$D:$DC,MATCH($A27,Material_Detail!$DE:$DE,0),59),0)),SUMIFS(T_Shipments[Confirmed_Qty],T_Shipments[Part Name],$A27,T_Shipments[Effective_Week],59))</f>
        <v/>
      </c>
      <c r="BI27">
        <f>IF(COUNTIF(Material_Detail!$DE:$DE,$A27)&gt;0,IF(ISNUMBER(SEARCH("[済]",INDEX(Material_Detail!$D:$DC,MATCH($A27,Material_Detail!$DE:$DE,0)+1,60))),0,IFERROR(INDEX(Material_Detail!$D:$DC,MATCH($A27,Material_Detail!$DE:$DE,0),60),0)),SUMIFS(T_Shipments[Confirmed_Qty],T_Shipments[Part Name],$A27,T_Shipments[Effective_Week],60))</f>
        <v/>
      </c>
      <c r="BJ27">
        <f>IF(COUNTIF(Material_Detail!$DE:$DE,$A27)&gt;0,IF(ISNUMBER(SEARCH("[済]",INDEX(Material_Detail!$D:$DC,MATCH($A27,Material_Detail!$DE:$DE,0)+1,61))),0,IFERROR(INDEX(Material_Detail!$D:$DC,MATCH($A27,Material_Detail!$DE:$DE,0),61),0)),SUMIFS(T_Shipments[Confirmed_Qty],T_Shipments[Part Name],$A27,T_Shipments[Effective_Week],61))</f>
        <v/>
      </c>
      <c r="BK27">
        <f>IF(COUNTIF(Material_Detail!$DE:$DE,$A27)&gt;0,IF(ISNUMBER(SEARCH("[済]",INDEX(Material_Detail!$D:$DC,MATCH($A27,Material_Detail!$DE:$DE,0)+1,62))),0,IFERROR(INDEX(Material_Detail!$D:$DC,MATCH($A27,Material_Detail!$DE:$DE,0),62),0)),SUMIFS(T_Shipments[Confirmed_Qty],T_Shipments[Part Name],$A27,T_Shipments[Effective_Week],62))</f>
        <v/>
      </c>
      <c r="BL27">
        <f>IF(COUNTIF(Material_Detail!$DE:$DE,$A27)&gt;0,IF(ISNUMBER(SEARCH("[済]",INDEX(Material_Detail!$D:$DC,MATCH($A27,Material_Detail!$DE:$DE,0)+1,63))),0,IFERROR(INDEX(Material_Detail!$D:$DC,MATCH($A27,Material_Detail!$DE:$DE,0),63),0)),SUMIFS(T_Shipments[Confirmed_Qty],T_Shipments[Part Name],$A27,T_Shipments[Effective_Week],63))</f>
        <v/>
      </c>
      <c r="BM27">
        <f>IF(COUNTIF(Material_Detail!$DE:$DE,$A27)&gt;0,IF(ISNUMBER(SEARCH("[済]",INDEX(Material_Detail!$D:$DC,MATCH($A27,Material_Detail!$DE:$DE,0)+1,64))),0,IFERROR(INDEX(Material_Detail!$D:$DC,MATCH($A27,Material_Detail!$DE:$DE,0),64),0)),SUMIFS(T_Shipments[Confirmed_Qty],T_Shipments[Part Name],$A27,T_Shipments[Effective_Week],64))</f>
        <v/>
      </c>
      <c r="BN27">
        <f>IF(COUNTIF(Material_Detail!$DE:$DE,$A27)&gt;0,IF(ISNUMBER(SEARCH("[済]",INDEX(Material_Detail!$D:$DC,MATCH($A27,Material_Detail!$DE:$DE,0)+1,65))),0,IFERROR(INDEX(Material_Detail!$D:$DC,MATCH($A27,Material_Detail!$DE:$DE,0),65),0)),SUMIFS(T_Shipments[Confirmed_Qty],T_Shipments[Part Name],$A27,T_Shipments[Effective_Week],65))</f>
        <v/>
      </c>
      <c r="BO27">
        <f>IF(COUNTIF(Material_Detail!$DE:$DE,$A27)&gt;0,IF(ISNUMBER(SEARCH("[済]",INDEX(Material_Detail!$D:$DC,MATCH($A27,Material_Detail!$DE:$DE,0)+1,66))),0,IFERROR(INDEX(Material_Detail!$D:$DC,MATCH($A27,Material_Detail!$DE:$DE,0),66),0)),SUMIFS(T_Shipments[Confirmed_Qty],T_Shipments[Part Name],$A27,T_Shipments[Effective_Week],66))</f>
        <v/>
      </c>
      <c r="BP27">
        <f>IF(COUNTIF(Material_Detail!$DE:$DE,$A27)&gt;0,IF(ISNUMBER(SEARCH("[済]",INDEX(Material_Detail!$D:$DC,MATCH($A27,Material_Detail!$DE:$DE,0)+1,67))),0,IFERROR(INDEX(Material_Detail!$D:$DC,MATCH($A27,Material_Detail!$DE:$DE,0),67),0)),SUMIFS(T_Shipments[Confirmed_Qty],T_Shipments[Part Name],$A27,T_Shipments[Effective_Week],67))</f>
        <v/>
      </c>
      <c r="BQ27">
        <f>IF(COUNTIF(Material_Detail!$DE:$DE,$A27)&gt;0,IF(ISNUMBER(SEARCH("[済]",INDEX(Material_Detail!$D:$DC,MATCH($A27,Material_Detail!$DE:$DE,0)+1,68))),0,IFERROR(INDEX(Material_Detail!$D:$DC,MATCH($A27,Material_Detail!$DE:$DE,0),68),0)),SUMIFS(T_Shipments[Confirmed_Qty],T_Shipments[Part Name],$A27,T_Shipments[Effective_Week],68))</f>
        <v/>
      </c>
      <c r="BR27">
        <f>IF(COUNTIF(Material_Detail!$DE:$DE,$A27)&gt;0,IF(ISNUMBER(SEARCH("[済]",INDEX(Material_Detail!$D:$DC,MATCH($A27,Material_Detail!$DE:$DE,0)+1,69))),0,IFERROR(INDEX(Material_Detail!$D:$DC,MATCH($A27,Material_Detail!$DE:$DE,0),69),0)),SUMIFS(T_Shipments[Confirmed_Qty],T_Shipments[Part Name],$A27,T_Shipments[Effective_Week],69))</f>
        <v/>
      </c>
      <c r="BS27">
        <f>IF(COUNTIF(Material_Detail!$DE:$DE,$A27)&gt;0,IF(ISNUMBER(SEARCH("[済]",INDEX(Material_Detail!$D:$DC,MATCH($A27,Material_Detail!$DE:$DE,0)+1,70))),0,IFERROR(INDEX(Material_Detail!$D:$DC,MATCH($A27,Material_Detail!$DE:$DE,0),70),0)),SUMIFS(T_Shipments[Confirmed_Qty],T_Shipments[Part Name],$A27,T_Shipments[Effective_Week],70))</f>
        <v/>
      </c>
      <c r="BT27">
        <f>IF(COUNTIF(Material_Detail!$DE:$DE,$A27)&gt;0,IF(ISNUMBER(SEARCH("[済]",INDEX(Material_Detail!$D:$DC,MATCH($A27,Material_Detail!$DE:$DE,0)+1,71))),0,IFERROR(INDEX(Material_Detail!$D:$DC,MATCH($A27,Material_Detail!$DE:$DE,0),71),0)),SUMIFS(T_Shipments[Confirmed_Qty],T_Shipments[Part Name],$A27,T_Shipments[Effective_Week],71))</f>
        <v/>
      </c>
      <c r="BU27">
        <f>IF(COUNTIF(Material_Detail!$DE:$DE,$A27)&gt;0,IF(ISNUMBER(SEARCH("[済]",INDEX(Material_Detail!$D:$DC,MATCH($A27,Material_Detail!$DE:$DE,0)+1,72))),0,IFERROR(INDEX(Material_Detail!$D:$DC,MATCH($A27,Material_Detail!$DE:$DE,0),72),0)),SUMIFS(T_Shipments[Confirmed_Qty],T_Shipments[Part Name],$A27,T_Shipments[Effective_Week],72))</f>
        <v/>
      </c>
      <c r="BV27">
        <f>IF(COUNTIF(Material_Detail!$DE:$DE,$A27)&gt;0,IF(ISNUMBER(SEARCH("[済]",INDEX(Material_Detail!$D:$DC,MATCH($A27,Material_Detail!$DE:$DE,0)+1,73))),0,IFERROR(INDEX(Material_Detail!$D:$DC,MATCH($A27,Material_Detail!$DE:$DE,0),73),0)),SUMIFS(T_Shipments[Confirmed_Qty],T_Shipments[Part Name],$A27,T_Shipments[Effective_Week],73))</f>
        <v/>
      </c>
      <c r="BW27">
        <f>IF(COUNTIF(Material_Detail!$DE:$DE,$A27)&gt;0,IF(ISNUMBER(SEARCH("[済]",INDEX(Material_Detail!$D:$DC,MATCH($A27,Material_Detail!$DE:$DE,0)+1,74))),0,IFERROR(INDEX(Material_Detail!$D:$DC,MATCH($A27,Material_Detail!$DE:$DE,0),74),0)),SUMIFS(T_Shipments[Confirmed_Qty],T_Shipments[Part Name],$A27,T_Shipments[Effective_Week],74))</f>
        <v/>
      </c>
      <c r="BX27">
        <f>IF(COUNTIF(Material_Detail!$DE:$DE,$A27)&gt;0,IF(ISNUMBER(SEARCH("[済]",INDEX(Material_Detail!$D:$DC,MATCH($A27,Material_Detail!$DE:$DE,0)+1,75))),0,IFERROR(INDEX(Material_Detail!$D:$DC,MATCH($A27,Material_Detail!$DE:$DE,0),75),0)),SUMIFS(T_Shipments[Confirmed_Qty],T_Shipments[Part Name],$A27,T_Shipments[Effective_Week],75))</f>
        <v/>
      </c>
      <c r="BY27">
        <f>IF(COUNTIF(Material_Detail!$DE:$DE,$A27)&gt;0,IF(ISNUMBER(SEARCH("[済]",INDEX(Material_Detail!$D:$DC,MATCH($A27,Material_Detail!$DE:$DE,0)+1,76))),0,IFERROR(INDEX(Material_Detail!$D:$DC,MATCH($A27,Material_Detail!$DE:$DE,0),76),0)),SUMIFS(T_Shipments[Confirmed_Qty],T_Shipments[Part Name],$A27,T_Shipments[Effective_Week],76))</f>
        <v/>
      </c>
      <c r="BZ27">
        <f>IF(COUNTIF(Material_Detail!$DE:$DE,$A27)&gt;0,IF(ISNUMBER(SEARCH("[済]",INDEX(Material_Detail!$D:$DC,MATCH($A27,Material_Detail!$DE:$DE,0)+1,77))),0,IFERROR(INDEX(Material_Detail!$D:$DC,MATCH($A27,Material_Detail!$DE:$DE,0),77),0)),SUMIFS(T_Shipments[Confirmed_Qty],T_Shipments[Part Name],$A27,T_Shipments[Effective_Week],77))</f>
        <v/>
      </c>
      <c r="CA27">
        <f>IF(COUNTIF(Material_Detail!$DE:$DE,$A27)&gt;0,IF(ISNUMBER(SEARCH("[済]",INDEX(Material_Detail!$D:$DC,MATCH($A27,Material_Detail!$DE:$DE,0)+1,78))),0,IFERROR(INDEX(Material_Detail!$D:$DC,MATCH($A27,Material_Detail!$DE:$DE,0),78),0)),SUMIFS(T_Shipments[Confirmed_Qty],T_Shipments[Part Name],$A27,T_Shipments[Effective_Week],78))</f>
        <v/>
      </c>
      <c r="CB27">
        <f>IF(COUNTIF(Material_Detail!$DE:$DE,$A27)&gt;0,IF(ISNUMBER(SEARCH("[済]",INDEX(Material_Detail!$D:$DC,MATCH($A27,Material_Detail!$DE:$DE,0)+1,79))),0,IFERROR(INDEX(Material_Detail!$D:$DC,MATCH($A27,Material_Detail!$DE:$DE,0),79),0)),SUMIFS(T_Shipments[Confirmed_Qty],T_Shipments[Part Name],$A27,T_Shipments[Effective_Week],79))</f>
        <v/>
      </c>
      <c r="CC27">
        <f>IF(COUNTIF(Material_Detail!$DE:$DE,$A27)&gt;0,IF(ISNUMBER(SEARCH("[済]",INDEX(Material_Detail!$D:$DC,MATCH($A27,Material_Detail!$DE:$DE,0)+1,80))),0,IFERROR(INDEX(Material_Detail!$D:$DC,MATCH($A27,Material_Detail!$DE:$DE,0),80),0)),SUMIFS(T_Shipments[Confirmed_Qty],T_Shipments[Part Name],$A27,T_Shipments[Effective_Week],80))</f>
        <v/>
      </c>
      <c r="CD27">
        <f>IF(COUNTIF(Material_Detail!$DE:$DE,$A27)&gt;0,IF(ISNUMBER(SEARCH("[済]",INDEX(Material_Detail!$D:$DC,MATCH($A27,Material_Detail!$DE:$DE,0)+1,81))),0,IFERROR(INDEX(Material_Detail!$D:$DC,MATCH($A27,Material_Detail!$DE:$DE,0),81),0)),SUMIFS(T_Shipments[Confirmed_Qty],T_Shipments[Part Name],$A27,T_Shipments[Effective_Week],81))</f>
        <v/>
      </c>
      <c r="CE27">
        <f>IF(COUNTIF(Material_Detail!$DE:$DE,$A27)&gt;0,IF(ISNUMBER(SEARCH("[済]",INDEX(Material_Detail!$D:$DC,MATCH($A27,Material_Detail!$DE:$DE,0)+1,82))),0,IFERROR(INDEX(Material_Detail!$D:$DC,MATCH($A27,Material_Detail!$DE:$DE,0),82),0)),SUMIFS(T_Shipments[Confirmed_Qty],T_Shipments[Part Name],$A27,T_Shipments[Effective_Week],82))</f>
        <v/>
      </c>
      <c r="CF27">
        <f>IF(COUNTIF(Material_Detail!$DE:$DE,$A27)&gt;0,IF(ISNUMBER(SEARCH("[済]",INDEX(Material_Detail!$D:$DC,MATCH($A27,Material_Detail!$DE:$DE,0)+1,83))),0,IFERROR(INDEX(Material_Detail!$D:$DC,MATCH($A27,Material_Detail!$DE:$DE,0),83),0)),SUMIFS(T_Shipments[Confirmed_Qty],T_Shipments[Part Name],$A27,T_Shipments[Effective_Week],83))</f>
        <v/>
      </c>
      <c r="CG27">
        <f>IF(COUNTIF(Material_Detail!$DE:$DE,$A27)&gt;0,IF(ISNUMBER(SEARCH("[済]",INDEX(Material_Detail!$D:$DC,MATCH($A27,Material_Detail!$DE:$DE,0)+1,84))),0,IFERROR(INDEX(Material_Detail!$D:$DC,MATCH($A27,Material_Detail!$DE:$DE,0),84),0)),SUMIFS(T_Shipments[Confirmed_Qty],T_Shipments[Part Name],$A27,T_Shipments[Effective_Week],84))</f>
        <v/>
      </c>
      <c r="CH27">
        <f>IF(COUNTIF(Material_Detail!$DE:$DE,$A27)&gt;0,IF(ISNUMBER(SEARCH("[済]",INDEX(Material_Detail!$D:$DC,MATCH($A27,Material_Detail!$DE:$DE,0)+1,85))),0,IFERROR(INDEX(Material_Detail!$D:$DC,MATCH($A27,Material_Detail!$DE:$DE,0),85),0)),SUMIFS(T_Shipments[Confirmed_Qty],T_Shipments[Part Name],$A27,T_Shipments[Effective_Week],85))</f>
        <v/>
      </c>
      <c r="CI27">
        <f>IF(COUNTIF(Material_Detail!$DE:$DE,$A27)&gt;0,IF(ISNUMBER(SEARCH("[済]",INDEX(Material_Detail!$D:$DC,MATCH($A27,Material_Detail!$DE:$DE,0)+1,86))),0,IFERROR(INDEX(Material_Detail!$D:$DC,MATCH($A27,Material_Detail!$DE:$DE,0),86),0)),SUMIFS(T_Shipments[Confirmed_Qty],T_Shipments[Part Name],$A27,T_Shipments[Effective_Week],86))</f>
        <v/>
      </c>
      <c r="CJ27">
        <f>IF(COUNTIF(Material_Detail!$DE:$DE,$A27)&gt;0,IF(ISNUMBER(SEARCH("[済]",INDEX(Material_Detail!$D:$DC,MATCH($A27,Material_Detail!$DE:$DE,0)+1,87))),0,IFERROR(INDEX(Material_Detail!$D:$DC,MATCH($A27,Material_Detail!$DE:$DE,0),87),0)),SUMIFS(T_Shipments[Confirmed_Qty],T_Shipments[Part Name],$A27,T_Shipments[Effective_Week],87))</f>
        <v/>
      </c>
      <c r="CK27">
        <f>IF(COUNTIF(Material_Detail!$DE:$DE,$A27)&gt;0,IF(ISNUMBER(SEARCH("[済]",INDEX(Material_Detail!$D:$DC,MATCH($A27,Material_Detail!$DE:$DE,0)+1,88))),0,IFERROR(INDEX(Material_Detail!$D:$DC,MATCH($A27,Material_Detail!$DE:$DE,0),88),0)),SUMIFS(T_Shipments[Confirmed_Qty],T_Shipments[Part Name],$A27,T_Shipments[Effective_Week],88))</f>
        <v/>
      </c>
      <c r="CL27">
        <f>IF(COUNTIF(Material_Detail!$DE:$DE,$A27)&gt;0,IF(ISNUMBER(SEARCH("[済]",INDEX(Material_Detail!$D:$DC,MATCH($A27,Material_Detail!$DE:$DE,0)+1,89))),0,IFERROR(INDEX(Material_Detail!$D:$DC,MATCH($A27,Material_Detail!$DE:$DE,0),89),0)),SUMIFS(T_Shipments[Confirmed_Qty],T_Shipments[Part Name],$A27,T_Shipments[Effective_Week],89))</f>
        <v/>
      </c>
      <c r="CM27">
        <f>IF(COUNTIF(Material_Detail!$DE:$DE,$A27)&gt;0,IF(ISNUMBER(SEARCH("[済]",INDEX(Material_Detail!$D:$DC,MATCH($A27,Material_Detail!$DE:$DE,0)+1,90))),0,IFERROR(INDEX(Material_Detail!$D:$DC,MATCH($A27,Material_Detail!$DE:$DE,0),90),0)),SUMIFS(T_Shipments[Confirmed_Qty],T_Shipments[Part Name],$A27,T_Shipments[Effective_Week],90))</f>
        <v/>
      </c>
      <c r="CN27">
        <f>IF(COUNTIF(Material_Detail!$DE:$DE,$A27)&gt;0,IF(ISNUMBER(SEARCH("[済]",INDEX(Material_Detail!$D:$DC,MATCH($A27,Material_Detail!$DE:$DE,0)+1,91))),0,IFERROR(INDEX(Material_Detail!$D:$DC,MATCH($A27,Material_Detail!$DE:$DE,0),91),0)),SUMIFS(T_Shipments[Confirmed_Qty],T_Shipments[Part Name],$A27,T_Shipments[Effective_Week],91))</f>
        <v/>
      </c>
      <c r="CO27">
        <f>IF(COUNTIF(Material_Detail!$DE:$DE,$A27)&gt;0,IF(ISNUMBER(SEARCH("[済]",INDEX(Material_Detail!$D:$DC,MATCH($A27,Material_Detail!$DE:$DE,0)+1,92))),0,IFERROR(INDEX(Material_Detail!$D:$DC,MATCH($A27,Material_Detail!$DE:$DE,0),92),0)),SUMIFS(T_Shipments[Confirmed_Qty],T_Shipments[Part Name],$A27,T_Shipments[Effective_Week],92))</f>
        <v/>
      </c>
      <c r="CP27">
        <f>IF(COUNTIF(Material_Detail!$DE:$DE,$A27)&gt;0,IF(ISNUMBER(SEARCH("[済]",INDEX(Material_Detail!$D:$DC,MATCH($A27,Material_Detail!$DE:$DE,0)+1,93))),0,IFERROR(INDEX(Material_Detail!$D:$DC,MATCH($A27,Material_Detail!$DE:$DE,0),93),0)),SUMIFS(T_Shipments[Confirmed_Qty],T_Shipments[Part Name],$A27,T_Shipments[Effective_Week],93))</f>
        <v/>
      </c>
      <c r="CQ27">
        <f>IF(COUNTIF(Material_Detail!$DE:$DE,$A27)&gt;0,IF(ISNUMBER(SEARCH("[済]",INDEX(Material_Detail!$D:$DC,MATCH($A27,Material_Detail!$DE:$DE,0)+1,94))),0,IFERROR(INDEX(Material_Detail!$D:$DC,MATCH($A27,Material_Detail!$DE:$DE,0),94),0)),SUMIFS(T_Shipments[Confirmed_Qty],T_Shipments[Part Name],$A27,T_Shipments[Effective_Week],94))</f>
        <v/>
      </c>
      <c r="CR27">
        <f>IF(COUNTIF(Material_Detail!$DE:$DE,$A27)&gt;0,IF(ISNUMBER(SEARCH("[済]",INDEX(Material_Detail!$D:$DC,MATCH($A27,Material_Detail!$DE:$DE,0)+1,95))),0,IFERROR(INDEX(Material_Detail!$D:$DC,MATCH($A27,Material_Detail!$DE:$DE,0),95),0)),SUMIFS(T_Shipments[Confirmed_Qty],T_Shipments[Part Name],$A27,T_Shipments[Effective_Week],95))</f>
        <v/>
      </c>
      <c r="CS27">
        <f>IF(COUNTIF(Material_Detail!$DE:$DE,$A27)&gt;0,IF(ISNUMBER(SEARCH("[済]",INDEX(Material_Detail!$D:$DC,MATCH($A27,Material_Detail!$DE:$DE,0)+1,96))),0,IFERROR(INDEX(Material_Detail!$D:$DC,MATCH($A27,Material_Detail!$DE:$DE,0),96),0)),SUMIFS(T_Shipments[Confirmed_Qty],T_Shipments[Part Name],$A27,T_Shipments[Effective_Week],96))</f>
        <v/>
      </c>
      <c r="CT27">
        <f>IF(COUNTIF(Material_Detail!$DE:$DE,$A27)&gt;0,IF(ISNUMBER(SEARCH("[済]",INDEX(Material_Detail!$D:$DC,MATCH($A27,Material_Detail!$DE:$DE,0)+1,97))),0,IFERROR(INDEX(Material_Detail!$D:$DC,MATCH($A27,Material_Detail!$DE:$DE,0),97),0)),SUMIFS(T_Shipments[Confirmed_Qty],T_Shipments[Part Name],$A27,T_Shipments[Effective_Week],97))</f>
        <v/>
      </c>
      <c r="CU27">
        <f>IF(COUNTIF(Material_Detail!$DE:$DE,$A27)&gt;0,IF(ISNUMBER(SEARCH("[済]",INDEX(Material_Detail!$D:$DC,MATCH($A27,Material_Detail!$DE:$DE,0)+1,98))),0,IFERROR(INDEX(Material_Detail!$D:$DC,MATCH($A27,Material_Detail!$DE:$DE,0),98),0)),SUMIFS(T_Shipments[Confirmed_Qty],T_Shipments[Part Name],$A27,T_Shipments[Effective_Week],98))</f>
        <v/>
      </c>
      <c r="CV27">
        <f>IF(COUNTIF(Material_Detail!$DE:$DE,$A27)&gt;0,IF(ISNUMBER(SEARCH("[済]",INDEX(Material_Detail!$D:$DC,MATCH($A27,Material_Detail!$DE:$DE,0)+1,99))),0,IFERROR(INDEX(Material_Detail!$D:$DC,MATCH($A27,Material_Detail!$DE:$DE,0),99),0)),SUMIFS(T_Shipments[Confirmed_Qty],T_Shipments[Part Name],$A27,T_Shipments[Effective_Week],99))</f>
        <v/>
      </c>
      <c r="CW27">
        <f>IF(COUNTIF(Material_Detail!$DE:$DE,$A27)&gt;0,IF(ISNUMBER(SEARCH("[済]",INDEX(Material_Detail!$D:$DC,MATCH($A27,Material_Detail!$DE:$DE,0)+1,100))),0,IFERROR(INDEX(Material_Detail!$D:$DC,MATCH($A27,Material_Detail!$DE:$DE,0),100),0)),SUMIFS(T_Shipments[Confirmed_Qty],T_Shipments[Part Name],$A27,T_Shipments[Effective_Week],100))</f>
        <v/>
      </c>
      <c r="CX27">
        <f>IF(COUNTIF(Material_Detail!$DE:$DE,$A27)&gt;0,IF(ISNUMBER(SEARCH("[済]",INDEX(Material_Detail!$D:$DC,MATCH($A27,Material_Detail!$DE:$DE,0)+1,101))),0,IFERROR(INDEX(Material_Detail!$D:$DC,MATCH($A27,Material_Detail!$DE:$DE,0),101),0)),SUMIFS(T_Shipments[Confirmed_Qty],T_Shipments[Part Name],$A27,T_Shipments[Effective_Week],101))</f>
        <v/>
      </c>
      <c r="CY27">
        <f>IF(COUNTIF(Material_Detail!$DE:$DE,$A27)&gt;0,IF(ISNUMBER(SEARCH("[済]",INDEX(Material_Detail!$D:$DC,MATCH($A27,Material_Detail!$DE:$DE,0)+1,102))),0,IFERROR(INDEX(Material_Detail!$D:$DC,MATCH($A27,Material_Detail!$DE:$DE,0),102),0)),SUMIFS(T_Shipments[Confirmed_Qty],T_Shipments[Part Name],$A27,T_Shipments[Effective_Week],102))</f>
        <v/>
      </c>
      <c r="CZ27">
        <f>IF(COUNTIF(Material_Detail!$DE:$DE,$A27)&gt;0,IF(ISNUMBER(SEARCH("[済]",INDEX(Material_Detail!$D:$DC,MATCH($A27,Material_Detail!$DE:$DE,0)+1,103))),0,IFERROR(INDEX(Material_Detail!$D:$DC,MATCH($A27,Material_Detail!$DE:$DE,0),103),0)),SUMIFS(T_Shipments[Confirmed_Qty],T_Shipments[Part Name],$A27,T_Shipments[Effective_Week],103))</f>
        <v/>
      </c>
      <c r="DA27">
        <f>IF(COUNTIF(Material_Detail!$DE:$DE,$A27)&gt;0,IF(ISNUMBER(SEARCH("[済]",INDEX(Material_Detail!$D:$DC,MATCH($A27,Material_Detail!$DE:$DE,0)+1,104))),0,IFERROR(INDEX(Material_Detail!$D:$DC,MATCH($A27,Material_Detail!$DE:$DE,0),104),0)),SUMIFS(T_Shipments[Confirmed_Qty],T_Shipments[Part Name],$A27,T_Shipments[Effective_Week],104))</f>
        <v/>
      </c>
    </row>
    <row r="28">
      <c r="A28" t="inlineStr">
        <is>
          <t>CHEM-1600</t>
        </is>
      </c>
      <c r="B28">
        <f>IF(COUNTIF(Material_Detail!$DE:$DE,$A28)&gt;0,IF(ISNUMBER(SEARCH("[済]",INDEX(Material_Detail!$D:$DC,MATCH($A28,Material_Detail!$DE:$DE,0)+1,1))),0,IFERROR(INDEX(Material_Detail!$D:$DC,MATCH($A28,Material_Detail!$DE:$DE,0),1),0)),SUMIFS(T_Shipments[Confirmed_Qty],T_Shipments[Part Name],$A28,T_Shipments[Effective_Week],1))</f>
        <v/>
      </c>
      <c r="C28">
        <f>IF(COUNTIF(Material_Detail!$DE:$DE,$A28)&gt;0,IF(ISNUMBER(SEARCH("[済]",INDEX(Material_Detail!$D:$DC,MATCH($A28,Material_Detail!$DE:$DE,0)+1,2))),0,IFERROR(INDEX(Material_Detail!$D:$DC,MATCH($A28,Material_Detail!$DE:$DE,0),2),0)),SUMIFS(T_Shipments[Confirmed_Qty],T_Shipments[Part Name],$A28,T_Shipments[Effective_Week],2))</f>
        <v/>
      </c>
      <c r="D28">
        <f>IF(COUNTIF(Material_Detail!$DE:$DE,$A28)&gt;0,IF(ISNUMBER(SEARCH("[済]",INDEX(Material_Detail!$D:$DC,MATCH($A28,Material_Detail!$DE:$DE,0)+1,3))),0,IFERROR(INDEX(Material_Detail!$D:$DC,MATCH($A28,Material_Detail!$DE:$DE,0),3),0)),SUMIFS(T_Shipments[Confirmed_Qty],T_Shipments[Part Name],$A28,T_Shipments[Effective_Week],3))</f>
        <v/>
      </c>
      <c r="E28">
        <f>IF(COUNTIF(Material_Detail!$DE:$DE,$A28)&gt;0,IF(ISNUMBER(SEARCH("[済]",INDEX(Material_Detail!$D:$DC,MATCH($A28,Material_Detail!$DE:$DE,0)+1,4))),0,IFERROR(INDEX(Material_Detail!$D:$DC,MATCH($A28,Material_Detail!$DE:$DE,0),4),0)),SUMIFS(T_Shipments[Confirmed_Qty],T_Shipments[Part Name],$A28,T_Shipments[Effective_Week],4))</f>
        <v/>
      </c>
      <c r="F28">
        <f>IF(COUNTIF(Material_Detail!$DE:$DE,$A28)&gt;0,IF(ISNUMBER(SEARCH("[済]",INDEX(Material_Detail!$D:$DC,MATCH($A28,Material_Detail!$DE:$DE,0)+1,5))),0,IFERROR(INDEX(Material_Detail!$D:$DC,MATCH($A28,Material_Detail!$DE:$DE,0),5),0)),SUMIFS(T_Shipments[Confirmed_Qty],T_Shipments[Part Name],$A28,T_Shipments[Effective_Week],5))</f>
        <v/>
      </c>
      <c r="G28">
        <f>IF(COUNTIF(Material_Detail!$DE:$DE,$A28)&gt;0,IF(ISNUMBER(SEARCH("[済]",INDEX(Material_Detail!$D:$DC,MATCH($A28,Material_Detail!$DE:$DE,0)+1,6))),0,IFERROR(INDEX(Material_Detail!$D:$DC,MATCH($A28,Material_Detail!$DE:$DE,0),6),0)),SUMIFS(T_Shipments[Confirmed_Qty],T_Shipments[Part Name],$A28,T_Shipments[Effective_Week],6))</f>
        <v/>
      </c>
      <c r="H28">
        <f>IF(COUNTIF(Material_Detail!$DE:$DE,$A28)&gt;0,IF(ISNUMBER(SEARCH("[済]",INDEX(Material_Detail!$D:$DC,MATCH($A28,Material_Detail!$DE:$DE,0)+1,7))),0,IFERROR(INDEX(Material_Detail!$D:$DC,MATCH($A28,Material_Detail!$DE:$DE,0),7),0)),SUMIFS(T_Shipments[Confirmed_Qty],T_Shipments[Part Name],$A28,T_Shipments[Effective_Week],7))</f>
        <v/>
      </c>
      <c r="I28">
        <f>IF(COUNTIF(Material_Detail!$DE:$DE,$A28)&gt;0,IF(ISNUMBER(SEARCH("[済]",INDEX(Material_Detail!$D:$DC,MATCH($A28,Material_Detail!$DE:$DE,0)+1,8))),0,IFERROR(INDEX(Material_Detail!$D:$DC,MATCH($A28,Material_Detail!$DE:$DE,0),8),0)),SUMIFS(T_Shipments[Confirmed_Qty],T_Shipments[Part Name],$A28,T_Shipments[Effective_Week],8))</f>
        <v/>
      </c>
      <c r="J28">
        <f>IF(COUNTIF(Material_Detail!$DE:$DE,$A28)&gt;0,IF(ISNUMBER(SEARCH("[済]",INDEX(Material_Detail!$D:$DC,MATCH($A28,Material_Detail!$DE:$DE,0)+1,9))),0,IFERROR(INDEX(Material_Detail!$D:$DC,MATCH($A28,Material_Detail!$DE:$DE,0),9),0)),SUMIFS(T_Shipments[Confirmed_Qty],T_Shipments[Part Name],$A28,T_Shipments[Effective_Week],9))</f>
        <v/>
      </c>
      <c r="K28">
        <f>IF(COUNTIF(Material_Detail!$DE:$DE,$A28)&gt;0,IF(ISNUMBER(SEARCH("[済]",INDEX(Material_Detail!$D:$DC,MATCH($A28,Material_Detail!$DE:$DE,0)+1,10))),0,IFERROR(INDEX(Material_Detail!$D:$DC,MATCH($A28,Material_Detail!$DE:$DE,0),10),0)),SUMIFS(T_Shipments[Confirmed_Qty],T_Shipments[Part Name],$A28,T_Shipments[Effective_Week],10))</f>
        <v/>
      </c>
      <c r="L28">
        <f>IF(COUNTIF(Material_Detail!$DE:$DE,$A28)&gt;0,IF(ISNUMBER(SEARCH("[済]",INDEX(Material_Detail!$D:$DC,MATCH($A28,Material_Detail!$DE:$DE,0)+1,11))),0,IFERROR(INDEX(Material_Detail!$D:$DC,MATCH($A28,Material_Detail!$DE:$DE,0),11),0)),SUMIFS(T_Shipments[Confirmed_Qty],T_Shipments[Part Name],$A28,T_Shipments[Effective_Week],11))</f>
        <v/>
      </c>
      <c r="M28">
        <f>IF(COUNTIF(Material_Detail!$DE:$DE,$A28)&gt;0,IF(ISNUMBER(SEARCH("[済]",INDEX(Material_Detail!$D:$DC,MATCH($A28,Material_Detail!$DE:$DE,0)+1,12))),0,IFERROR(INDEX(Material_Detail!$D:$DC,MATCH($A28,Material_Detail!$DE:$DE,0),12),0)),SUMIFS(T_Shipments[Confirmed_Qty],T_Shipments[Part Name],$A28,T_Shipments[Effective_Week],12))</f>
        <v/>
      </c>
      <c r="N28">
        <f>IF(COUNTIF(Material_Detail!$DE:$DE,$A28)&gt;0,IF(ISNUMBER(SEARCH("[済]",INDEX(Material_Detail!$D:$DC,MATCH($A28,Material_Detail!$DE:$DE,0)+1,13))),0,IFERROR(INDEX(Material_Detail!$D:$DC,MATCH($A28,Material_Detail!$DE:$DE,0),13),0)),SUMIFS(T_Shipments[Confirmed_Qty],T_Shipments[Part Name],$A28,T_Shipments[Effective_Week],13))</f>
        <v/>
      </c>
      <c r="O28">
        <f>IF(COUNTIF(Material_Detail!$DE:$DE,$A28)&gt;0,IF(ISNUMBER(SEARCH("[済]",INDEX(Material_Detail!$D:$DC,MATCH($A28,Material_Detail!$DE:$DE,0)+1,14))),0,IFERROR(INDEX(Material_Detail!$D:$DC,MATCH($A28,Material_Detail!$DE:$DE,0),14),0)),SUMIFS(T_Shipments[Confirmed_Qty],T_Shipments[Part Name],$A28,T_Shipments[Effective_Week],14))</f>
        <v/>
      </c>
      <c r="P28">
        <f>IF(COUNTIF(Material_Detail!$DE:$DE,$A28)&gt;0,IF(ISNUMBER(SEARCH("[済]",INDEX(Material_Detail!$D:$DC,MATCH($A28,Material_Detail!$DE:$DE,0)+1,15))),0,IFERROR(INDEX(Material_Detail!$D:$DC,MATCH($A28,Material_Detail!$DE:$DE,0),15),0)),SUMIFS(T_Shipments[Confirmed_Qty],T_Shipments[Part Name],$A28,T_Shipments[Effective_Week],15))</f>
        <v/>
      </c>
      <c r="Q28">
        <f>IF(COUNTIF(Material_Detail!$DE:$DE,$A28)&gt;0,IF(ISNUMBER(SEARCH("[済]",INDEX(Material_Detail!$D:$DC,MATCH($A28,Material_Detail!$DE:$DE,0)+1,16))),0,IFERROR(INDEX(Material_Detail!$D:$DC,MATCH($A28,Material_Detail!$DE:$DE,0),16),0)),SUMIFS(T_Shipments[Confirmed_Qty],T_Shipments[Part Name],$A28,T_Shipments[Effective_Week],16))</f>
        <v/>
      </c>
      <c r="R28">
        <f>IF(COUNTIF(Material_Detail!$DE:$DE,$A28)&gt;0,IF(ISNUMBER(SEARCH("[済]",INDEX(Material_Detail!$D:$DC,MATCH($A28,Material_Detail!$DE:$DE,0)+1,17))),0,IFERROR(INDEX(Material_Detail!$D:$DC,MATCH($A28,Material_Detail!$DE:$DE,0),17),0)),SUMIFS(T_Shipments[Confirmed_Qty],T_Shipments[Part Name],$A28,T_Shipments[Effective_Week],17))</f>
        <v/>
      </c>
      <c r="S28">
        <f>IF(COUNTIF(Material_Detail!$DE:$DE,$A28)&gt;0,IF(ISNUMBER(SEARCH("[済]",INDEX(Material_Detail!$D:$DC,MATCH($A28,Material_Detail!$DE:$DE,0)+1,18))),0,IFERROR(INDEX(Material_Detail!$D:$DC,MATCH($A28,Material_Detail!$DE:$DE,0),18),0)),SUMIFS(T_Shipments[Confirmed_Qty],T_Shipments[Part Name],$A28,T_Shipments[Effective_Week],18))</f>
        <v/>
      </c>
      <c r="T28">
        <f>IF(COUNTIF(Material_Detail!$DE:$DE,$A28)&gt;0,IF(ISNUMBER(SEARCH("[済]",INDEX(Material_Detail!$D:$DC,MATCH($A28,Material_Detail!$DE:$DE,0)+1,19))),0,IFERROR(INDEX(Material_Detail!$D:$DC,MATCH($A28,Material_Detail!$DE:$DE,0),19),0)),SUMIFS(T_Shipments[Confirmed_Qty],T_Shipments[Part Name],$A28,T_Shipments[Effective_Week],19))</f>
        <v/>
      </c>
      <c r="U28">
        <f>IF(COUNTIF(Material_Detail!$DE:$DE,$A28)&gt;0,IF(ISNUMBER(SEARCH("[済]",INDEX(Material_Detail!$D:$DC,MATCH($A28,Material_Detail!$DE:$DE,0)+1,20))),0,IFERROR(INDEX(Material_Detail!$D:$DC,MATCH($A28,Material_Detail!$DE:$DE,0),20),0)),SUMIFS(T_Shipments[Confirmed_Qty],T_Shipments[Part Name],$A28,T_Shipments[Effective_Week],20))</f>
        <v/>
      </c>
      <c r="V28">
        <f>IF(COUNTIF(Material_Detail!$DE:$DE,$A28)&gt;0,IF(ISNUMBER(SEARCH("[済]",INDEX(Material_Detail!$D:$DC,MATCH($A28,Material_Detail!$DE:$DE,0)+1,21))),0,IFERROR(INDEX(Material_Detail!$D:$DC,MATCH($A28,Material_Detail!$DE:$DE,0),21),0)),SUMIFS(T_Shipments[Confirmed_Qty],T_Shipments[Part Name],$A28,T_Shipments[Effective_Week],21))</f>
        <v/>
      </c>
      <c r="W28">
        <f>IF(COUNTIF(Material_Detail!$DE:$DE,$A28)&gt;0,IF(ISNUMBER(SEARCH("[済]",INDEX(Material_Detail!$D:$DC,MATCH($A28,Material_Detail!$DE:$DE,0)+1,22))),0,IFERROR(INDEX(Material_Detail!$D:$DC,MATCH($A28,Material_Detail!$DE:$DE,0),22),0)),SUMIFS(T_Shipments[Confirmed_Qty],T_Shipments[Part Name],$A28,T_Shipments[Effective_Week],22))</f>
        <v/>
      </c>
      <c r="X28">
        <f>IF(COUNTIF(Material_Detail!$DE:$DE,$A28)&gt;0,IF(ISNUMBER(SEARCH("[済]",INDEX(Material_Detail!$D:$DC,MATCH($A28,Material_Detail!$DE:$DE,0)+1,23))),0,IFERROR(INDEX(Material_Detail!$D:$DC,MATCH($A28,Material_Detail!$DE:$DE,0),23),0)),SUMIFS(T_Shipments[Confirmed_Qty],T_Shipments[Part Name],$A28,T_Shipments[Effective_Week],23))</f>
        <v/>
      </c>
      <c r="Y28">
        <f>IF(COUNTIF(Material_Detail!$DE:$DE,$A28)&gt;0,IF(ISNUMBER(SEARCH("[済]",INDEX(Material_Detail!$D:$DC,MATCH($A28,Material_Detail!$DE:$DE,0)+1,24))),0,IFERROR(INDEX(Material_Detail!$D:$DC,MATCH($A28,Material_Detail!$DE:$DE,0),24),0)),SUMIFS(T_Shipments[Confirmed_Qty],T_Shipments[Part Name],$A28,T_Shipments[Effective_Week],24))</f>
        <v/>
      </c>
      <c r="Z28">
        <f>IF(COUNTIF(Material_Detail!$DE:$DE,$A28)&gt;0,IF(ISNUMBER(SEARCH("[済]",INDEX(Material_Detail!$D:$DC,MATCH($A28,Material_Detail!$DE:$DE,0)+1,25))),0,IFERROR(INDEX(Material_Detail!$D:$DC,MATCH($A28,Material_Detail!$DE:$DE,0),25),0)),SUMIFS(T_Shipments[Confirmed_Qty],T_Shipments[Part Name],$A28,T_Shipments[Effective_Week],25))</f>
        <v/>
      </c>
      <c r="AA28">
        <f>IF(COUNTIF(Material_Detail!$DE:$DE,$A28)&gt;0,IF(ISNUMBER(SEARCH("[済]",INDEX(Material_Detail!$D:$DC,MATCH($A28,Material_Detail!$DE:$DE,0)+1,26))),0,IFERROR(INDEX(Material_Detail!$D:$DC,MATCH($A28,Material_Detail!$DE:$DE,0),26),0)),SUMIFS(T_Shipments[Confirmed_Qty],T_Shipments[Part Name],$A28,T_Shipments[Effective_Week],26))</f>
        <v/>
      </c>
      <c r="AB28">
        <f>IF(COUNTIF(Material_Detail!$DE:$DE,$A28)&gt;0,IF(ISNUMBER(SEARCH("[済]",INDEX(Material_Detail!$D:$DC,MATCH($A28,Material_Detail!$DE:$DE,0)+1,27))),0,IFERROR(INDEX(Material_Detail!$D:$DC,MATCH($A28,Material_Detail!$DE:$DE,0),27),0)),SUMIFS(T_Shipments[Confirmed_Qty],T_Shipments[Part Name],$A28,T_Shipments[Effective_Week],27))</f>
        <v/>
      </c>
      <c r="AC28">
        <f>IF(COUNTIF(Material_Detail!$DE:$DE,$A28)&gt;0,IF(ISNUMBER(SEARCH("[済]",INDEX(Material_Detail!$D:$DC,MATCH($A28,Material_Detail!$DE:$DE,0)+1,28))),0,IFERROR(INDEX(Material_Detail!$D:$DC,MATCH($A28,Material_Detail!$DE:$DE,0),28),0)),SUMIFS(T_Shipments[Confirmed_Qty],T_Shipments[Part Name],$A28,T_Shipments[Effective_Week],28))</f>
        <v/>
      </c>
      <c r="AD28">
        <f>IF(COUNTIF(Material_Detail!$DE:$DE,$A28)&gt;0,IF(ISNUMBER(SEARCH("[済]",INDEX(Material_Detail!$D:$DC,MATCH($A28,Material_Detail!$DE:$DE,0)+1,29))),0,IFERROR(INDEX(Material_Detail!$D:$DC,MATCH($A28,Material_Detail!$DE:$DE,0),29),0)),SUMIFS(T_Shipments[Confirmed_Qty],T_Shipments[Part Name],$A28,T_Shipments[Effective_Week],29))</f>
        <v/>
      </c>
      <c r="AE28">
        <f>IF(COUNTIF(Material_Detail!$DE:$DE,$A28)&gt;0,IF(ISNUMBER(SEARCH("[済]",INDEX(Material_Detail!$D:$DC,MATCH($A28,Material_Detail!$DE:$DE,0)+1,30))),0,IFERROR(INDEX(Material_Detail!$D:$DC,MATCH($A28,Material_Detail!$DE:$DE,0),30),0)),SUMIFS(T_Shipments[Confirmed_Qty],T_Shipments[Part Name],$A28,T_Shipments[Effective_Week],30))</f>
        <v/>
      </c>
      <c r="AF28">
        <f>IF(COUNTIF(Material_Detail!$DE:$DE,$A28)&gt;0,IF(ISNUMBER(SEARCH("[済]",INDEX(Material_Detail!$D:$DC,MATCH($A28,Material_Detail!$DE:$DE,0)+1,31))),0,IFERROR(INDEX(Material_Detail!$D:$DC,MATCH($A28,Material_Detail!$DE:$DE,0),31),0)),SUMIFS(T_Shipments[Confirmed_Qty],T_Shipments[Part Name],$A28,T_Shipments[Effective_Week],31))</f>
        <v/>
      </c>
      <c r="AG28">
        <f>IF(COUNTIF(Material_Detail!$DE:$DE,$A28)&gt;0,IF(ISNUMBER(SEARCH("[済]",INDEX(Material_Detail!$D:$DC,MATCH($A28,Material_Detail!$DE:$DE,0)+1,32))),0,IFERROR(INDEX(Material_Detail!$D:$DC,MATCH($A28,Material_Detail!$DE:$DE,0),32),0)),SUMIFS(T_Shipments[Confirmed_Qty],T_Shipments[Part Name],$A28,T_Shipments[Effective_Week],32))</f>
        <v/>
      </c>
      <c r="AH28">
        <f>IF(COUNTIF(Material_Detail!$DE:$DE,$A28)&gt;0,IF(ISNUMBER(SEARCH("[済]",INDEX(Material_Detail!$D:$DC,MATCH($A28,Material_Detail!$DE:$DE,0)+1,33))),0,IFERROR(INDEX(Material_Detail!$D:$DC,MATCH($A28,Material_Detail!$DE:$DE,0),33),0)),SUMIFS(T_Shipments[Confirmed_Qty],T_Shipments[Part Name],$A28,T_Shipments[Effective_Week],33))</f>
        <v/>
      </c>
      <c r="AI28">
        <f>IF(COUNTIF(Material_Detail!$DE:$DE,$A28)&gt;0,IF(ISNUMBER(SEARCH("[済]",INDEX(Material_Detail!$D:$DC,MATCH($A28,Material_Detail!$DE:$DE,0)+1,34))),0,IFERROR(INDEX(Material_Detail!$D:$DC,MATCH($A28,Material_Detail!$DE:$DE,0),34),0)),SUMIFS(T_Shipments[Confirmed_Qty],T_Shipments[Part Name],$A28,T_Shipments[Effective_Week],34))</f>
        <v/>
      </c>
      <c r="AJ28">
        <f>IF(COUNTIF(Material_Detail!$DE:$DE,$A28)&gt;0,IF(ISNUMBER(SEARCH("[済]",INDEX(Material_Detail!$D:$DC,MATCH($A28,Material_Detail!$DE:$DE,0)+1,35))),0,IFERROR(INDEX(Material_Detail!$D:$DC,MATCH($A28,Material_Detail!$DE:$DE,0),35),0)),SUMIFS(T_Shipments[Confirmed_Qty],T_Shipments[Part Name],$A28,T_Shipments[Effective_Week],35))</f>
        <v/>
      </c>
      <c r="AK28">
        <f>IF(COUNTIF(Material_Detail!$DE:$DE,$A28)&gt;0,IF(ISNUMBER(SEARCH("[済]",INDEX(Material_Detail!$D:$DC,MATCH($A28,Material_Detail!$DE:$DE,0)+1,36))),0,IFERROR(INDEX(Material_Detail!$D:$DC,MATCH($A28,Material_Detail!$DE:$DE,0),36),0)),SUMIFS(T_Shipments[Confirmed_Qty],T_Shipments[Part Name],$A28,T_Shipments[Effective_Week],36))</f>
        <v/>
      </c>
      <c r="AL28">
        <f>IF(COUNTIF(Material_Detail!$DE:$DE,$A28)&gt;0,IF(ISNUMBER(SEARCH("[済]",INDEX(Material_Detail!$D:$DC,MATCH($A28,Material_Detail!$DE:$DE,0)+1,37))),0,IFERROR(INDEX(Material_Detail!$D:$DC,MATCH($A28,Material_Detail!$DE:$DE,0),37),0)),SUMIFS(T_Shipments[Confirmed_Qty],T_Shipments[Part Name],$A28,T_Shipments[Effective_Week],37))</f>
        <v/>
      </c>
      <c r="AM28">
        <f>IF(COUNTIF(Material_Detail!$DE:$DE,$A28)&gt;0,IF(ISNUMBER(SEARCH("[済]",INDEX(Material_Detail!$D:$DC,MATCH($A28,Material_Detail!$DE:$DE,0)+1,38))),0,IFERROR(INDEX(Material_Detail!$D:$DC,MATCH($A28,Material_Detail!$DE:$DE,0),38),0)),SUMIFS(T_Shipments[Confirmed_Qty],T_Shipments[Part Name],$A28,T_Shipments[Effective_Week],38))</f>
        <v/>
      </c>
      <c r="AN28">
        <f>IF(COUNTIF(Material_Detail!$DE:$DE,$A28)&gt;0,IF(ISNUMBER(SEARCH("[済]",INDEX(Material_Detail!$D:$DC,MATCH($A28,Material_Detail!$DE:$DE,0)+1,39))),0,IFERROR(INDEX(Material_Detail!$D:$DC,MATCH($A28,Material_Detail!$DE:$DE,0),39),0)),SUMIFS(T_Shipments[Confirmed_Qty],T_Shipments[Part Name],$A28,T_Shipments[Effective_Week],39))</f>
        <v/>
      </c>
      <c r="AO28">
        <f>IF(COUNTIF(Material_Detail!$DE:$DE,$A28)&gt;0,IF(ISNUMBER(SEARCH("[済]",INDEX(Material_Detail!$D:$DC,MATCH($A28,Material_Detail!$DE:$DE,0)+1,40))),0,IFERROR(INDEX(Material_Detail!$D:$DC,MATCH($A28,Material_Detail!$DE:$DE,0),40),0)),SUMIFS(T_Shipments[Confirmed_Qty],T_Shipments[Part Name],$A28,T_Shipments[Effective_Week],40))</f>
        <v/>
      </c>
      <c r="AP28">
        <f>IF(COUNTIF(Material_Detail!$DE:$DE,$A28)&gt;0,IF(ISNUMBER(SEARCH("[済]",INDEX(Material_Detail!$D:$DC,MATCH($A28,Material_Detail!$DE:$DE,0)+1,41))),0,IFERROR(INDEX(Material_Detail!$D:$DC,MATCH($A28,Material_Detail!$DE:$DE,0),41),0)),SUMIFS(T_Shipments[Confirmed_Qty],T_Shipments[Part Name],$A28,T_Shipments[Effective_Week],41))</f>
        <v/>
      </c>
      <c r="AQ28">
        <f>IF(COUNTIF(Material_Detail!$DE:$DE,$A28)&gt;0,IF(ISNUMBER(SEARCH("[済]",INDEX(Material_Detail!$D:$DC,MATCH($A28,Material_Detail!$DE:$DE,0)+1,42))),0,IFERROR(INDEX(Material_Detail!$D:$DC,MATCH($A28,Material_Detail!$DE:$DE,0),42),0)),SUMIFS(T_Shipments[Confirmed_Qty],T_Shipments[Part Name],$A28,T_Shipments[Effective_Week],42))</f>
        <v/>
      </c>
      <c r="AR28">
        <f>IF(COUNTIF(Material_Detail!$DE:$DE,$A28)&gt;0,IF(ISNUMBER(SEARCH("[済]",INDEX(Material_Detail!$D:$DC,MATCH($A28,Material_Detail!$DE:$DE,0)+1,43))),0,IFERROR(INDEX(Material_Detail!$D:$DC,MATCH($A28,Material_Detail!$DE:$DE,0),43),0)),SUMIFS(T_Shipments[Confirmed_Qty],T_Shipments[Part Name],$A28,T_Shipments[Effective_Week],43))</f>
        <v/>
      </c>
      <c r="AS28">
        <f>IF(COUNTIF(Material_Detail!$DE:$DE,$A28)&gt;0,IF(ISNUMBER(SEARCH("[済]",INDEX(Material_Detail!$D:$DC,MATCH($A28,Material_Detail!$DE:$DE,0)+1,44))),0,IFERROR(INDEX(Material_Detail!$D:$DC,MATCH($A28,Material_Detail!$DE:$DE,0),44),0)),SUMIFS(T_Shipments[Confirmed_Qty],T_Shipments[Part Name],$A28,T_Shipments[Effective_Week],44))</f>
        <v/>
      </c>
      <c r="AT28">
        <f>IF(COUNTIF(Material_Detail!$DE:$DE,$A28)&gt;0,IF(ISNUMBER(SEARCH("[済]",INDEX(Material_Detail!$D:$DC,MATCH($A28,Material_Detail!$DE:$DE,0)+1,45))),0,IFERROR(INDEX(Material_Detail!$D:$DC,MATCH($A28,Material_Detail!$DE:$DE,0),45),0)),SUMIFS(T_Shipments[Confirmed_Qty],T_Shipments[Part Name],$A28,T_Shipments[Effective_Week],45))</f>
        <v/>
      </c>
      <c r="AU28">
        <f>IF(COUNTIF(Material_Detail!$DE:$DE,$A28)&gt;0,IF(ISNUMBER(SEARCH("[済]",INDEX(Material_Detail!$D:$DC,MATCH($A28,Material_Detail!$DE:$DE,0)+1,46))),0,IFERROR(INDEX(Material_Detail!$D:$DC,MATCH($A28,Material_Detail!$DE:$DE,0),46),0)),SUMIFS(T_Shipments[Confirmed_Qty],T_Shipments[Part Name],$A28,T_Shipments[Effective_Week],46))</f>
        <v/>
      </c>
      <c r="AV28">
        <f>IF(COUNTIF(Material_Detail!$DE:$DE,$A28)&gt;0,IF(ISNUMBER(SEARCH("[済]",INDEX(Material_Detail!$D:$DC,MATCH($A28,Material_Detail!$DE:$DE,0)+1,47))),0,IFERROR(INDEX(Material_Detail!$D:$DC,MATCH($A28,Material_Detail!$DE:$DE,0),47),0)),SUMIFS(T_Shipments[Confirmed_Qty],T_Shipments[Part Name],$A28,T_Shipments[Effective_Week],47))</f>
        <v/>
      </c>
      <c r="AW28">
        <f>IF(COUNTIF(Material_Detail!$DE:$DE,$A28)&gt;0,IF(ISNUMBER(SEARCH("[済]",INDEX(Material_Detail!$D:$DC,MATCH($A28,Material_Detail!$DE:$DE,0)+1,48))),0,IFERROR(INDEX(Material_Detail!$D:$DC,MATCH($A28,Material_Detail!$DE:$DE,0),48),0)),SUMIFS(T_Shipments[Confirmed_Qty],T_Shipments[Part Name],$A28,T_Shipments[Effective_Week],48))</f>
        <v/>
      </c>
      <c r="AX28">
        <f>IF(COUNTIF(Material_Detail!$DE:$DE,$A28)&gt;0,IF(ISNUMBER(SEARCH("[済]",INDEX(Material_Detail!$D:$DC,MATCH($A28,Material_Detail!$DE:$DE,0)+1,49))),0,IFERROR(INDEX(Material_Detail!$D:$DC,MATCH($A28,Material_Detail!$DE:$DE,0),49),0)),SUMIFS(T_Shipments[Confirmed_Qty],T_Shipments[Part Name],$A28,T_Shipments[Effective_Week],49))</f>
        <v/>
      </c>
      <c r="AY28">
        <f>IF(COUNTIF(Material_Detail!$DE:$DE,$A28)&gt;0,IF(ISNUMBER(SEARCH("[済]",INDEX(Material_Detail!$D:$DC,MATCH($A28,Material_Detail!$DE:$DE,0)+1,50))),0,IFERROR(INDEX(Material_Detail!$D:$DC,MATCH($A28,Material_Detail!$DE:$DE,0),50),0)),SUMIFS(T_Shipments[Confirmed_Qty],T_Shipments[Part Name],$A28,T_Shipments[Effective_Week],50))</f>
        <v/>
      </c>
      <c r="AZ28">
        <f>IF(COUNTIF(Material_Detail!$DE:$DE,$A28)&gt;0,IF(ISNUMBER(SEARCH("[済]",INDEX(Material_Detail!$D:$DC,MATCH($A28,Material_Detail!$DE:$DE,0)+1,51))),0,IFERROR(INDEX(Material_Detail!$D:$DC,MATCH($A28,Material_Detail!$DE:$DE,0),51),0)),SUMIFS(T_Shipments[Confirmed_Qty],T_Shipments[Part Name],$A28,T_Shipments[Effective_Week],51))</f>
        <v/>
      </c>
      <c r="BA28">
        <f>IF(COUNTIF(Material_Detail!$DE:$DE,$A28)&gt;0,IF(ISNUMBER(SEARCH("[済]",INDEX(Material_Detail!$D:$DC,MATCH($A28,Material_Detail!$DE:$DE,0)+1,52))),0,IFERROR(INDEX(Material_Detail!$D:$DC,MATCH($A28,Material_Detail!$DE:$DE,0),52),0)),SUMIFS(T_Shipments[Confirmed_Qty],T_Shipments[Part Name],$A28,T_Shipments[Effective_Week],52))</f>
        <v/>
      </c>
      <c r="BB28">
        <f>IF(COUNTIF(Material_Detail!$DE:$DE,$A28)&gt;0,IF(ISNUMBER(SEARCH("[済]",INDEX(Material_Detail!$D:$DC,MATCH($A28,Material_Detail!$DE:$DE,0)+1,53))),0,IFERROR(INDEX(Material_Detail!$D:$DC,MATCH($A28,Material_Detail!$DE:$DE,0),53),0)),SUMIFS(T_Shipments[Confirmed_Qty],T_Shipments[Part Name],$A28,T_Shipments[Effective_Week],53))</f>
        <v/>
      </c>
      <c r="BC28">
        <f>IF(COUNTIF(Material_Detail!$DE:$DE,$A28)&gt;0,IF(ISNUMBER(SEARCH("[済]",INDEX(Material_Detail!$D:$DC,MATCH($A28,Material_Detail!$DE:$DE,0)+1,54))),0,IFERROR(INDEX(Material_Detail!$D:$DC,MATCH($A28,Material_Detail!$DE:$DE,0),54),0)),SUMIFS(T_Shipments[Confirmed_Qty],T_Shipments[Part Name],$A28,T_Shipments[Effective_Week],54))</f>
        <v/>
      </c>
      <c r="BD28">
        <f>IF(COUNTIF(Material_Detail!$DE:$DE,$A28)&gt;0,IF(ISNUMBER(SEARCH("[済]",INDEX(Material_Detail!$D:$DC,MATCH($A28,Material_Detail!$DE:$DE,0)+1,55))),0,IFERROR(INDEX(Material_Detail!$D:$DC,MATCH($A28,Material_Detail!$DE:$DE,0),55),0)),SUMIFS(T_Shipments[Confirmed_Qty],T_Shipments[Part Name],$A28,T_Shipments[Effective_Week],55))</f>
        <v/>
      </c>
      <c r="BE28">
        <f>IF(COUNTIF(Material_Detail!$DE:$DE,$A28)&gt;0,IF(ISNUMBER(SEARCH("[済]",INDEX(Material_Detail!$D:$DC,MATCH($A28,Material_Detail!$DE:$DE,0)+1,56))),0,IFERROR(INDEX(Material_Detail!$D:$DC,MATCH($A28,Material_Detail!$DE:$DE,0),56),0)),SUMIFS(T_Shipments[Confirmed_Qty],T_Shipments[Part Name],$A28,T_Shipments[Effective_Week],56))</f>
        <v/>
      </c>
      <c r="BF28">
        <f>IF(COUNTIF(Material_Detail!$DE:$DE,$A28)&gt;0,IF(ISNUMBER(SEARCH("[済]",INDEX(Material_Detail!$D:$DC,MATCH($A28,Material_Detail!$DE:$DE,0)+1,57))),0,IFERROR(INDEX(Material_Detail!$D:$DC,MATCH($A28,Material_Detail!$DE:$DE,0),57),0)),SUMIFS(T_Shipments[Confirmed_Qty],T_Shipments[Part Name],$A28,T_Shipments[Effective_Week],57))</f>
        <v/>
      </c>
      <c r="BG28">
        <f>IF(COUNTIF(Material_Detail!$DE:$DE,$A28)&gt;0,IF(ISNUMBER(SEARCH("[済]",INDEX(Material_Detail!$D:$DC,MATCH($A28,Material_Detail!$DE:$DE,0)+1,58))),0,IFERROR(INDEX(Material_Detail!$D:$DC,MATCH($A28,Material_Detail!$DE:$DE,0),58),0)),SUMIFS(T_Shipments[Confirmed_Qty],T_Shipments[Part Name],$A28,T_Shipments[Effective_Week],58))</f>
        <v/>
      </c>
      <c r="BH28">
        <f>IF(COUNTIF(Material_Detail!$DE:$DE,$A28)&gt;0,IF(ISNUMBER(SEARCH("[済]",INDEX(Material_Detail!$D:$DC,MATCH($A28,Material_Detail!$DE:$DE,0)+1,59))),0,IFERROR(INDEX(Material_Detail!$D:$DC,MATCH($A28,Material_Detail!$DE:$DE,0),59),0)),SUMIFS(T_Shipments[Confirmed_Qty],T_Shipments[Part Name],$A28,T_Shipments[Effective_Week],59))</f>
        <v/>
      </c>
      <c r="BI28">
        <f>IF(COUNTIF(Material_Detail!$DE:$DE,$A28)&gt;0,IF(ISNUMBER(SEARCH("[済]",INDEX(Material_Detail!$D:$DC,MATCH($A28,Material_Detail!$DE:$DE,0)+1,60))),0,IFERROR(INDEX(Material_Detail!$D:$DC,MATCH($A28,Material_Detail!$DE:$DE,0),60),0)),SUMIFS(T_Shipments[Confirmed_Qty],T_Shipments[Part Name],$A28,T_Shipments[Effective_Week],60))</f>
        <v/>
      </c>
      <c r="BJ28">
        <f>IF(COUNTIF(Material_Detail!$DE:$DE,$A28)&gt;0,IF(ISNUMBER(SEARCH("[済]",INDEX(Material_Detail!$D:$DC,MATCH($A28,Material_Detail!$DE:$DE,0)+1,61))),0,IFERROR(INDEX(Material_Detail!$D:$DC,MATCH($A28,Material_Detail!$DE:$DE,0),61),0)),SUMIFS(T_Shipments[Confirmed_Qty],T_Shipments[Part Name],$A28,T_Shipments[Effective_Week],61))</f>
        <v/>
      </c>
      <c r="BK28">
        <f>IF(COUNTIF(Material_Detail!$DE:$DE,$A28)&gt;0,IF(ISNUMBER(SEARCH("[済]",INDEX(Material_Detail!$D:$DC,MATCH($A28,Material_Detail!$DE:$DE,0)+1,62))),0,IFERROR(INDEX(Material_Detail!$D:$DC,MATCH($A28,Material_Detail!$DE:$DE,0),62),0)),SUMIFS(T_Shipments[Confirmed_Qty],T_Shipments[Part Name],$A28,T_Shipments[Effective_Week],62))</f>
        <v/>
      </c>
      <c r="BL28">
        <f>IF(COUNTIF(Material_Detail!$DE:$DE,$A28)&gt;0,IF(ISNUMBER(SEARCH("[済]",INDEX(Material_Detail!$D:$DC,MATCH($A28,Material_Detail!$DE:$DE,0)+1,63))),0,IFERROR(INDEX(Material_Detail!$D:$DC,MATCH($A28,Material_Detail!$DE:$DE,0),63),0)),SUMIFS(T_Shipments[Confirmed_Qty],T_Shipments[Part Name],$A28,T_Shipments[Effective_Week],63))</f>
        <v/>
      </c>
      <c r="BM28">
        <f>IF(COUNTIF(Material_Detail!$DE:$DE,$A28)&gt;0,IF(ISNUMBER(SEARCH("[済]",INDEX(Material_Detail!$D:$DC,MATCH($A28,Material_Detail!$DE:$DE,0)+1,64))),0,IFERROR(INDEX(Material_Detail!$D:$DC,MATCH($A28,Material_Detail!$DE:$DE,0),64),0)),SUMIFS(T_Shipments[Confirmed_Qty],T_Shipments[Part Name],$A28,T_Shipments[Effective_Week],64))</f>
        <v/>
      </c>
      <c r="BN28">
        <f>IF(COUNTIF(Material_Detail!$DE:$DE,$A28)&gt;0,IF(ISNUMBER(SEARCH("[済]",INDEX(Material_Detail!$D:$DC,MATCH($A28,Material_Detail!$DE:$DE,0)+1,65))),0,IFERROR(INDEX(Material_Detail!$D:$DC,MATCH($A28,Material_Detail!$DE:$DE,0),65),0)),SUMIFS(T_Shipments[Confirmed_Qty],T_Shipments[Part Name],$A28,T_Shipments[Effective_Week],65))</f>
        <v/>
      </c>
      <c r="BO28">
        <f>IF(COUNTIF(Material_Detail!$DE:$DE,$A28)&gt;0,IF(ISNUMBER(SEARCH("[済]",INDEX(Material_Detail!$D:$DC,MATCH($A28,Material_Detail!$DE:$DE,0)+1,66))),0,IFERROR(INDEX(Material_Detail!$D:$DC,MATCH($A28,Material_Detail!$DE:$DE,0),66),0)),SUMIFS(T_Shipments[Confirmed_Qty],T_Shipments[Part Name],$A28,T_Shipments[Effective_Week],66))</f>
        <v/>
      </c>
      <c r="BP28">
        <f>IF(COUNTIF(Material_Detail!$DE:$DE,$A28)&gt;0,IF(ISNUMBER(SEARCH("[済]",INDEX(Material_Detail!$D:$DC,MATCH($A28,Material_Detail!$DE:$DE,0)+1,67))),0,IFERROR(INDEX(Material_Detail!$D:$DC,MATCH($A28,Material_Detail!$DE:$DE,0),67),0)),SUMIFS(T_Shipments[Confirmed_Qty],T_Shipments[Part Name],$A28,T_Shipments[Effective_Week],67))</f>
        <v/>
      </c>
      <c r="BQ28">
        <f>IF(COUNTIF(Material_Detail!$DE:$DE,$A28)&gt;0,IF(ISNUMBER(SEARCH("[済]",INDEX(Material_Detail!$D:$DC,MATCH($A28,Material_Detail!$DE:$DE,0)+1,68))),0,IFERROR(INDEX(Material_Detail!$D:$DC,MATCH($A28,Material_Detail!$DE:$DE,0),68),0)),SUMIFS(T_Shipments[Confirmed_Qty],T_Shipments[Part Name],$A28,T_Shipments[Effective_Week],68))</f>
        <v/>
      </c>
      <c r="BR28">
        <f>IF(COUNTIF(Material_Detail!$DE:$DE,$A28)&gt;0,IF(ISNUMBER(SEARCH("[済]",INDEX(Material_Detail!$D:$DC,MATCH($A28,Material_Detail!$DE:$DE,0)+1,69))),0,IFERROR(INDEX(Material_Detail!$D:$DC,MATCH($A28,Material_Detail!$DE:$DE,0),69),0)),SUMIFS(T_Shipments[Confirmed_Qty],T_Shipments[Part Name],$A28,T_Shipments[Effective_Week],69))</f>
        <v/>
      </c>
      <c r="BS28">
        <f>IF(COUNTIF(Material_Detail!$DE:$DE,$A28)&gt;0,IF(ISNUMBER(SEARCH("[済]",INDEX(Material_Detail!$D:$DC,MATCH($A28,Material_Detail!$DE:$DE,0)+1,70))),0,IFERROR(INDEX(Material_Detail!$D:$DC,MATCH($A28,Material_Detail!$DE:$DE,0),70),0)),SUMIFS(T_Shipments[Confirmed_Qty],T_Shipments[Part Name],$A28,T_Shipments[Effective_Week],70))</f>
        <v/>
      </c>
      <c r="BT28">
        <f>IF(COUNTIF(Material_Detail!$DE:$DE,$A28)&gt;0,IF(ISNUMBER(SEARCH("[済]",INDEX(Material_Detail!$D:$DC,MATCH($A28,Material_Detail!$DE:$DE,0)+1,71))),0,IFERROR(INDEX(Material_Detail!$D:$DC,MATCH($A28,Material_Detail!$DE:$DE,0),71),0)),SUMIFS(T_Shipments[Confirmed_Qty],T_Shipments[Part Name],$A28,T_Shipments[Effective_Week],71))</f>
        <v/>
      </c>
      <c r="BU28">
        <f>IF(COUNTIF(Material_Detail!$DE:$DE,$A28)&gt;0,IF(ISNUMBER(SEARCH("[済]",INDEX(Material_Detail!$D:$DC,MATCH($A28,Material_Detail!$DE:$DE,0)+1,72))),0,IFERROR(INDEX(Material_Detail!$D:$DC,MATCH($A28,Material_Detail!$DE:$DE,0),72),0)),SUMIFS(T_Shipments[Confirmed_Qty],T_Shipments[Part Name],$A28,T_Shipments[Effective_Week],72))</f>
        <v/>
      </c>
      <c r="BV28">
        <f>IF(COUNTIF(Material_Detail!$DE:$DE,$A28)&gt;0,IF(ISNUMBER(SEARCH("[済]",INDEX(Material_Detail!$D:$DC,MATCH($A28,Material_Detail!$DE:$DE,0)+1,73))),0,IFERROR(INDEX(Material_Detail!$D:$DC,MATCH($A28,Material_Detail!$DE:$DE,0),73),0)),SUMIFS(T_Shipments[Confirmed_Qty],T_Shipments[Part Name],$A28,T_Shipments[Effective_Week],73))</f>
        <v/>
      </c>
      <c r="BW28">
        <f>IF(COUNTIF(Material_Detail!$DE:$DE,$A28)&gt;0,IF(ISNUMBER(SEARCH("[済]",INDEX(Material_Detail!$D:$DC,MATCH($A28,Material_Detail!$DE:$DE,0)+1,74))),0,IFERROR(INDEX(Material_Detail!$D:$DC,MATCH($A28,Material_Detail!$DE:$DE,0),74),0)),SUMIFS(T_Shipments[Confirmed_Qty],T_Shipments[Part Name],$A28,T_Shipments[Effective_Week],74))</f>
        <v/>
      </c>
      <c r="BX28">
        <f>IF(COUNTIF(Material_Detail!$DE:$DE,$A28)&gt;0,IF(ISNUMBER(SEARCH("[済]",INDEX(Material_Detail!$D:$DC,MATCH($A28,Material_Detail!$DE:$DE,0)+1,75))),0,IFERROR(INDEX(Material_Detail!$D:$DC,MATCH($A28,Material_Detail!$DE:$DE,0),75),0)),SUMIFS(T_Shipments[Confirmed_Qty],T_Shipments[Part Name],$A28,T_Shipments[Effective_Week],75))</f>
        <v/>
      </c>
      <c r="BY28">
        <f>IF(COUNTIF(Material_Detail!$DE:$DE,$A28)&gt;0,IF(ISNUMBER(SEARCH("[済]",INDEX(Material_Detail!$D:$DC,MATCH($A28,Material_Detail!$DE:$DE,0)+1,76))),0,IFERROR(INDEX(Material_Detail!$D:$DC,MATCH($A28,Material_Detail!$DE:$DE,0),76),0)),SUMIFS(T_Shipments[Confirmed_Qty],T_Shipments[Part Name],$A28,T_Shipments[Effective_Week],76))</f>
        <v/>
      </c>
      <c r="BZ28">
        <f>IF(COUNTIF(Material_Detail!$DE:$DE,$A28)&gt;0,IF(ISNUMBER(SEARCH("[済]",INDEX(Material_Detail!$D:$DC,MATCH($A28,Material_Detail!$DE:$DE,0)+1,77))),0,IFERROR(INDEX(Material_Detail!$D:$DC,MATCH($A28,Material_Detail!$DE:$DE,0),77),0)),SUMIFS(T_Shipments[Confirmed_Qty],T_Shipments[Part Name],$A28,T_Shipments[Effective_Week],77))</f>
        <v/>
      </c>
      <c r="CA28">
        <f>IF(COUNTIF(Material_Detail!$DE:$DE,$A28)&gt;0,IF(ISNUMBER(SEARCH("[済]",INDEX(Material_Detail!$D:$DC,MATCH($A28,Material_Detail!$DE:$DE,0)+1,78))),0,IFERROR(INDEX(Material_Detail!$D:$DC,MATCH($A28,Material_Detail!$DE:$DE,0),78),0)),SUMIFS(T_Shipments[Confirmed_Qty],T_Shipments[Part Name],$A28,T_Shipments[Effective_Week],78))</f>
        <v/>
      </c>
      <c r="CB28">
        <f>IF(COUNTIF(Material_Detail!$DE:$DE,$A28)&gt;0,IF(ISNUMBER(SEARCH("[済]",INDEX(Material_Detail!$D:$DC,MATCH($A28,Material_Detail!$DE:$DE,0)+1,79))),0,IFERROR(INDEX(Material_Detail!$D:$DC,MATCH($A28,Material_Detail!$DE:$DE,0),79),0)),SUMIFS(T_Shipments[Confirmed_Qty],T_Shipments[Part Name],$A28,T_Shipments[Effective_Week],79))</f>
        <v/>
      </c>
      <c r="CC28">
        <f>IF(COUNTIF(Material_Detail!$DE:$DE,$A28)&gt;0,IF(ISNUMBER(SEARCH("[済]",INDEX(Material_Detail!$D:$DC,MATCH($A28,Material_Detail!$DE:$DE,0)+1,80))),0,IFERROR(INDEX(Material_Detail!$D:$DC,MATCH($A28,Material_Detail!$DE:$DE,0),80),0)),SUMIFS(T_Shipments[Confirmed_Qty],T_Shipments[Part Name],$A28,T_Shipments[Effective_Week],80))</f>
        <v/>
      </c>
      <c r="CD28">
        <f>IF(COUNTIF(Material_Detail!$DE:$DE,$A28)&gt;0,IF(ISNUMBER(SEARCH("[済]",INDEX(Material_Detail!$D:$DC,MATCH($A28,Material_Detail!$DE:$DE,0)+1,81))),0,IFERROR(INDEX(Material_Detail!$D:$DC,MATCH($A28,Material_Detail!$DE:$DE,0),81),0)),SUMIFS(T_Shipments[Confirmed_Qty],T_Shipments[Part Name],$A28,T_Shipments[Effective_Week],81))</f>
        <v/>
      </c>
      <c r="CE28">
        <f>IF(COUNTIF(Material_Detail!$DE:$DE,$A28)&gt;0,IF(ISNUMBER(SEARCH("[済]",INDEX(Material_Detail!$D:$DC,MATCH($A28,Material_Detail!$DE:$DE,0)+1,82))),0,IFERROR(INDEX(Material_Detail!$D:$DC,MATCH($A28,Material_Detail!$DE:$DE,0),82),0)),SUMIFS(T_Shipments[Confirmed_Qty],T_Shipments[Part Name],$A28,T_Shipments[Effective_Week],82))</f>
        <v/>
      </c>
      <c r="CF28">
        <f>IF(COUNTIF(Material_Detail!$DE:$DE,$A28)&gt;0,IF(ISNUMBER(SEARCH("[済]",INDEX(Material_Detail!$D:$DC,MATCH($A28,Material_Detail!$DE:$DE,0)+1,83))),0,IFERROR(INDEX(Material_Detail!$D:$DC,MATCH($A28,Material_Detail!$DE:$DE,0),83),0)),SUMIFS(T_Shipments[Confirmed_Qty],T_Shipments[Part Name],$A28,T_Shipments[Effective_Week],83))</f>
        <v/>
      </c>
      <c r="CG28">
        <f>IF(COUNTIF(Material_Detail!$DE:$DE,$A28)&gt;0,IF(ISNUMBER(SEARCH("[済]",INDEX(Material_Detail!$D:$DC,MATCH($A28,Material_Detail!$DE:$DE,0)+1,84))),0,IFERROR(INDEX(Material_Detail!$D:$DC,MATCH($A28,Material_Detail!$DE:$DE,0),84),0)),SUMIFS(T_Shipments[Confirmed_Qty],T_Shipments[Part Name],$A28,T_Shipments[Effective_Week],84))</f>
        <v/>
      </c>
      <c r="CH28">
        <f>IF(COUNTIF(Material_Detail!$DE:$DE,$A28)&gt;0,IF(ISNUMBER(SEARCH("[済]",INDEX(Material_Detail!$D:$DC,MATCH($A28,Material_Detail!$DE:$DE,0)+1,85))),0,IFERROR(INDEX(Material_Detail!$D:$DC,MATCH($A28,Material_Detail!$DE:$DE,0),85),0)),SUMIFS(T_Shipments[Confirmed_Qty],T_Shipments[Part Name],$A28,T_Shipments[Effective_Week],85))</f>
        <v/>
      </c>
      <c r="CI28">
        <f>IF(COUNTIF(Material_Detail!$DE:$DE,$A28)&gt;0,IF(ISNUMBER(SEARCH("[済]",INDEX(Material_Detail!$D:$DC,MATCH($A28,Material_Detail!$DE:$DE,0)+1,86))),0,IFERROR(INDEX(Material_Detail!$D:$DC,MATCH($A28,Material_Detail!$DE:$DE,0),86),0)),SUMIFS(T_Shipments[Confirmed_Qty],T_Shipments[Part Name],$A28,T_Shipments[Effective_Week],86))</f>
        <v/>
      </c>
      <c r="CJ28">
        <f>IF(COUNTIF(Material_Detail!$DE:$DE,$A28)&gt;0,IF(ISNUMBER(SEARCH("[済]",INDEX(Material_Detail!$D:$DC,MATCH($A28,Material_Detail!$DE:$DE,0)+1,87))),0,IFERROR(INDEX(Material_Detail!$D:$DC,MATCH($A28,Material_Detail!$DE:$DE,0),87),0)),SUMIFS(T_Shipments[Confirmed_Qty],T_Shipments[Part Name],$A28,T_Shipments[Effective_Week],87))</f>
        <v/>
      </c>
      <c r="CK28">
        <f>IF(COUNTIF(Material_Detail!$DE:$DE,$A28)&gt;0,IF(ISNUMBER(SEARCH("[済]",INDEX(Material_Detail!$D:$DC,MATCH($A28,Material_Detail!$DE:$DE,0)+1,88))),0,IFERROR(INDEX(Material_Detail!$D:$DC,MATCH($A28,Material_Detail!$DE:$DE,0),88),0)),SUMIFS(T_Shipments[Confirmed_Qty],T_Shipments[Part Name],$A28,T_Shipments[Effective_Week],88))</f>
        <v/>
      </c>
      <c r="CL28">
        <f>IF(COUNTIF(Material_Detail!$DE:$DE,$A28)&gt;0,IF(ISNUMBER(SEARCH("[済]",INDEX(Material_Detail!$D:$DC,MATCH($A28,Material_Detail!$DE:$DE,0)+1,89))),0,IFERROR(INDEX(Material_Detail!$D:$DC,MATCH($A28,Material_Detail!$DE:$DE,0),89),0)),SUMIFS(T_Shipments[Confirmed_Qty],T_Shipments[Part Name],$A28,T_Shipments[Effective_Week],89))</f>
        <v/>
      </c>
      <c r="CM28">
        <f>IF(COUNTIF(Material_Detail!$DE:$DE,$A28)&gt;0,IF(ISNUMBER(SEARCH("[済]",INDEX(Material_Detail!$D:$DC,MATCH($A28,Material_Detail!$DE:$DE,0)+1,90))),0,IFERROR(INDEX(Material_Detail!$D:$DC,MATCH($A28,Material_Detail!$DE:$DE,0),90),0)),SUMIFS(T_Shipments[Confirmed_Qty],T_Shipments[Part Name],$A28,T_Shipments[Effective_Week],90))</f>
        <v/>
      </c>
      <c r="CN28">
        <f>IF(COUNTIF(Material_Detail!$DE:$DE,$A28)&gt;0,IF(ISNUMBER(SEARCH("[済]",INDEX(Material_Detail!$D:$DC,MATCH($A28,Material_Detail!$DE:$DE,0)+1,91))),0,IFERROR(INDEX(Material_Detail!$D:$DC,MATCH($A28,Material_Detail!$DE:$DE,0),91),0)),SUMIFS(T_Shipments[Confirmed_Qty],T_Shipments[Part Name],$A28,T_Shipments[Effective_Week],91))</f>
        <v/>
      </c>
      <c r="CO28">
        <f>IF(COUNTIF(Material_Detail!$DE:$DE,$A28)&gt;0,IF(ISNUMBER(SEARCH("[済]",INDEX(Material_Detail!$D:$DC,MATCH($A28,Material_Detail!$DE:$DE,0)+1,92))),0,IFERROR(INDEX(Material_Detail!$D:$DC,MATCH($A28,Material_Detail!$DE:$DE,0),92),0)),SUMIFS(T_Shipments[Confirmed_Qty],T_Shipments[Part Name],$A28,T_Shipments[Effective_Week],92))</f>
        <v/>
      </c>
      <c r="CP28">
        <f>IF(COUNTIF(Material_Detail!$DE:$DE,$A28)&gt;0,IF(ISNUMBER(SEARCH("[済]",INDEX(Material_Detail!$D:$DC,MATCH($A28,Material_Detail!$DE:$DE,0)+1,93))),0,IFERROR(INDEX(Material_Detail!$D:$DC,MATCH($A28,Material_Detail!$DE:$DE,0),93),0)),SUMIFS(T_Shipments[Confirmed_Qty],T_Shipments[Part Name],$A28,T_Shipments[Effective_Week],93))</f>
        <v/>
      </c>
      <c r="CQ28">
        <f>IF(COUNTIF(Material_Detail!$DE:$DE,$A28)&gt;0,IF(ISNUMBER(SEARCH("[済]",INDEX(Material_Detail!$D:$DC,MATCH($A28,Material_Detail!$DE:$DE,0)+1,94))),0,IFERROR(INDEX(Material_Detail!$D:$DC,MATCH($A28,Material_Detail!$DE:$DE,0),94),0)),SUMIFS(T_Shipments[Confirmed_Qty],T_Shipments[Part Name],$A28,T_Shipments[Effective_Week],94))</f>
        <v/>
      </c>
      <c r="CR28">
        <f>IF(COUNTIF(Material_Detail!$DE:$DE,$A28)&gt;0,IF(ISNUMBER(SEARCH("[済]",INDEX(Material_Detail!$D:$DC,MATCH($A28,Material_Detail!$DE:$DE,0)+1,95))),0,IFERROR(INDEX(Material_Detail!$D:$DC,MATCH($A28,Material_Detail!$DE:$DE,0),95),0)),SUMIFS(T_Shipments[Confirmed_Qty],T_Shipments[Part Name],$A28,T_Shipments[Effective_Week],95))</f>
        <v/>
      </c>
      <c r="CS28">
        <f>IF(COUNTIF(Material_Detail!$DE:$DE,$A28)&gt;0,IF(ISNUMBER(SEARCH("[済]",INDEX(Material_Detail!$D:$DC,MATCH($A28,Material_Detail!$DE:$DE,0)+1,96))),0,IFERROR(INDEX(Material_Detail!$D:$DC,MATCH($A28,Material_Detail!$DE:$DE,0),96),0)),SUMIFS(T_Shipments[Confirmed_Qty],T_Shipments[Part Name],$A28,T_Shipments[Effective_Week],96))</f>
        <v/>
      </c>
      <c r="CT28">
        <f>IF(COUNTIF(Material_Detail!$DE:$DE,$A28)&gt;0,IF(ISNUMBER(SEARCH("[済]",INDEX(Material_Detail!$D:$DC,MATCH($A28,Material_Detail!$DE:$DE,0)+1,97))),0,IFERROR(INDEX(Material_Detail!$D:$DC,MATCH($A28,Material_Detail!$DE:$DE,0),97),0)),SUMIFS(T_Shipments[Confirmed_Qty],T_Shipments[Part Name],$A28,T_Shipments[Effective_Week],97))</f>
        <v/>
      </c>
      <c r="CU28">
        <f>IF(COUNTIF(Material_Detail!$DE:$DE,$A28)&gt;0,IF(ISNUMBER(SEARCH("[済]",INDEX(Material_Detail!$D:$DC,MATCH($A28,Material_Detail!$DE:$DE,0)+1,98))),0,IFERROR(INDEX(Material_Detail!$D:$DC,MATCH($A28,Material_Detail!$DE:$DE,0),98),0)),SUMIFS(T_Shipments[Confirmed_Qty],T_Shipments[Part Name],$A28,T_Shipments[Effective_Week],98))</f>
        <v/>
      </c>
      <c r="CV28">
        <f>IF(COUNTIF(Material_Detail!$DE:$DE,$A28)&gt;0,IF(ISNUMBER(SEARCH("[済]",INDEX(Material_Detail!$D:$DC,MATCH($A28,Material_Detail!$DE:$DE,0)+1,99))),0,IFERROR(INDEX(Material_Detail!$D:$DC,MATCH($A28,Material_Detail!$DE:$DE,0),99),0)),SUMIFS(T_Shipments[Confirmed_Qty],T_Shipments[Part Name],$A28,T_Shipments[Effective_Week],99))</f>
        <v/>
      </c>
      <c r="CW28">
        <f>IF(COUNTIF(Material_Detail!$DE:$DE,$A28)&gt;0,IF(ISNUMBER(SEARCH("[済]",INDEX(Material_Detail!$D:$DC,MATCH($A28,Material_Detail!$DE:$DE,0)+1,100))),0,IFERROR(INDEX(Material_Detail!$D:$DC,MATCH($A28,Material_Detail!$DE:$DE,0),100),0)),SUMIFS(T_Shipments[Confirmed_Qty],T_Shipments[Part Name],$A28,T_Shipments[Effective_Week],100))</f>
        <v/>
      </c>
      <c r="CX28">
        <f>IF(COUNTIF(Material_Detail!$DE:$DE,$A28)&gt;0,IF(ISNUMBER(SEARCH("[済]",INDEX(Material_Detail!$D:$DC,MATCH($A28,Material_Detail!$DE:$DE,0)+1,101))),0,IFERROR(INDEX(Material_Detail!$D:$DC,MATCH($A28,Material_Detail!$DE:$DE,0),101),0)),SUMIFS(T_Shipments[Confirmed_Qty],T_Shipments[Part Name],$A28,T_Shipments[Effective_Week],101))</f>
        <v/>
      </c>
      <c r="CY28">
        <f>IF(COUNTIF(Material_Detail!$DE:$DE,$A28)&gt;0,IF(ISNUMBER(SEARCH("[済]",INDEX(Material_Detail!$D:$DC,MATCH($A28,Material_Detail!$DE:$DE,0)+1,102))),0,IFERROR(INDEX(Material_Detail!$D:$DC,MATCH($A28,Material_Detail!$DE:$DE,0),102),0)),SUMIFS(T_Shipments[Confirmed_Qty],T_Shipments[Part Name],$A28,T_Shipments[Effective_Week],102))</f>
        <v/>
      </c>
      <c r="CZ28">
        <f>IF(COUNTIF(Material_Detail!$DE:$DE,$A28)&gt;0,IF(ISNUMBER(SEARCH("[済]",INDEX(Material_Detail!$D:$DC,MATCH($A28,Material_Detail!$DE:$DE,0)+1,103))),0,IFERROR(INDEX(Material_Detail!$D:$DC,MATCH($A28,Material_Detail!$DE:$DE,0),103),0)),SUMIFS(T_Shipments[Confirmed_Qty],T_Shipments[Part Name],$A28,T_Shipments[Effective_Week],103))</f>
        <v/>
      </c>
      <c r="DA28">
        <f>IF(COUNTIF(Material_Detail!$DE:$DE,$A28)&gt;0,IF(ISNUMBER(SEARCH("[済]",INDEX(Material_Detail!$D:$DC,MATCH($A28,Material_Detail!$DE:$DE,0)+1,104))),0,IFERROR(INDEX(Material_Detail!$D:$DC,MATCH($A28,Material_Detail!$DE:$DE,0),104),0)),SUMIFS(T_Shipments[Confirmed_Qty],T_Shipments[Part Name],$A28,T_Shipments[Effective_Week],104))</f>
        <v/>
      </c>
    </row>
    <row r="29">
      <c r="A29" t="inlineStr">
        <is>
          <t>CHEM-1120</t>
        </is>
      </c>
      <c r="B29">
        <f>IF(COUNTIF(Material_Detail!$DE:$DE,$A29)&gt;0,IF(ISNUMBER(SEARCH("[済]",INDEX(Material_Detail!$D:$DC,MATCH($A29,Material_Detail!$DE:$DE,0)+1,1))),0,IFERROR(INDEX(Material_Detail!$D:$DC,MATCH($A29,Material_Detail!$DE:$DE,0),1),0)),SUMIFS(T_Shipments[Confirmed_Qty],T_Shipments[Part Name],$A29,T_Shipments[Effective_Week],1))</f>
        <v/>
      </c>
      <c r="C29">
        <f>IF(COUNTIF(Material_Detail!$DE:$DE,$A29)&gt;0,IF(ISNUMBER(SEARCH("[済]",INDEX(Material_Detail!$D:$DC,MATCH($A29,Material_Detail!$DE:$DE,0)+1,2))),0,IFERROR(INDEX(Material_Detail!$D:$DC,MATCH($A29,Material_Detail!$DE:$DE,0),2),0)),SUMIFS(T_Shipments[Confirmed_Qty],T_Shipments[Part Name],$A29,T_Shipments[Effective_Week],2))</f>
        <v/>
      </c>
      <c r="D29">
        <f>IF(COUNTIF(Material_Detail!$DE:$DE,$A29)&gt;0,IF(ISNUMBER(SEARCH("[済]",INDEX(Material_Detail!$D:$DC,MATCH($A29,Material_Detail!$DE:$DE,0)+1,3))),0,IFERROR(INDEX(Material_Detail!$D:$DC,MATCH($A29,Material_Detail!$DE:$DE,0),3),0)),SUMIFS(T_Shipments[Confirmed_Qty],T_Shipments[Part Name],$A29,T_Shipments[Effective_Week],3))</f>
        <v/>
      </c>
      <c r="E29">
        <f>IF(COUNTIF(Material_Detail!$DE:$DE,$A29)&gt;0,IF(ISNUMBER(SEARCH("[済]",INDEX(Material_Detail!$D:$DC,MATCH($A29,Material_Detail!$DE:$DE,0)+1,4))),0,IFERROR(INDEX(Material_Detail!$D:$DC,MATCH($A29,Material_Detail!$DE:$DE,0),4),0)),SUMIFS(T_Shipments[Confirmed_Qty],T_Shipments[Part Name],$A29,T_Shipments[Effective_Week],4))</f>
        <v/>
      </c>
      <c r="F29">
        <f>IF(COUNTIF(Material_Detail!$DE:$DE,$A29)&gt;0,IF(ISNUMBER(SEARCH("[済]",INDEX(Material_Detail!$D:$DC,MATCH($A29,Material_Detail!$DE:$DE,0)+1,5))),0,IFERROR(INDEX(Material_Detail!$D:$DC,MATCH($A29,Material_Detail!$DE:$DE,0),5),0)),SUMIFS(T_Shipments[Confirmed_Qty],T_Shipments[Part Name],$A29,T_Shipments[Effective_Week],5))</f>
        <v/>
      </c>
      <c r="G29">
        <f>IF(COUNTIF(Material_Detail!$DE:$DE,$A29)&gt;0,IF(ISNUMBER(SEARCH("[済]",INDEX(Material_Detail!$D:$DC,MATCH($A29,Material_Detail!$DE:$DE,0)+1,6))),0,IFERROR(INDEX(Material_Detail!$D:$DC,MATCH($A29,Material_Detail!$DE:$DE,0),6),0)),SUMIFS(T_Shipments[Confirmed_Qty],T_Shipments[Part Name],$A29,T_Shipments[Effective_Week],6))</f>
        <v/>
      </c>
      <c r="H29">
        <f>IF(COUNTIF(Material_Detail!$DE:$DE,$A29)&gt;0,IF(ISNUMBER(SEARCH("[済]",INDEX(Material_Detail!$D:$DC,MATCH($A29,Material_Detail!$DE:$DE,0)+1,7))),0,IFERROR(INDEX(Material_Detail!$D:$DC,MATCH($A29,Material_Detail!$DE:$DE,0),7),0)),SUMIFS(T_Shipments[Confirmed_Qty],T_Shipments[Part Name],$A29,T_Shipments[Effective_Week],7))</f>
        <v/>
      </c>
      <c r="I29">
        <f>IF(COUNTIF(Material_Detail!$DE:$DE,$A29)&gt;0,IF(ISNUMBER(SEARCH("[済]",INDEX(Material_Detail!$D:$DC,MATCH($A29,Material_Detail!$DE:$DE,0)+1,8))),0,IFERROR(INDEX(Material_Detail!$D:$DC,MATCH($A29,Material_Detail!$DE:$DE,0),8),0)),SUMIFS(T_Shipments[Confirmed_Qty],T_Shipments[Part Name],$A29,T_Shipments[Effective_Week],8))</f>
        <v/>
      </c>
      <c r="J29">
        <f>IF(COUNTIF(Material_Detail!$DE:$DE,$A29)&gt;0,IF(ISNUMBER(SEARCH("[済]",INDEX(Material_Detail!$D:$DC,MATCH($A29,Material_Detail!$DE:$DE,0)+1,9))),0,IFERROR(INDEX(Material_Detail!$D:$DC,MATCH($A29,Material_Detail!$DE:$DE,0),9),0)),SUMIFS(T_Shipments[Confirmed_Qty],T_Shipments[Part Name],$A29,T_Shipments[Effective_Week],9))</f>
        <v/>
      </c>
      <c r="K29">
        <f>IF(COUNTIF(Material_Detail!$DE:$DE,$A29)&gt;0,IF(ISNUMBER(SEARCH("[済]",INDEX(Material_Detail!$D:$DC,MATCH($A29,Material_Detail!$DE:$DE,0)+1,10))),0,IFERROR(INDEX(Material_Detail!$D:$DC,MATCH($A29,Material_Detail!$DE:$DE,0),10),0)),SUMIFS(T_Shipments[Confirmed_Qty],T_Shipments[Part Name],$A29,T_Shipments[Effective_Week],10))</f>
        <v/>
      </c>
      <c r="L29">
        <f>IF(COUNTIF(Material_Detail!$DE:$DE,$A29)&gt;0,IF(ISNUMBER(SEARCH("[済]",INDEX(Material_Detail!$D:$DC,MATCH($A29,Material_Detail!$DE:$DE,0)+1,11))),0,IFERROR(INDEX(Material_Detail!$D:$DC,MATCH($A29,Material_Detail!$DE:$DE,0),11),0)),SUMIFS(T_Shipments[Confirmed_Qty],T_Shipments[Part Name],$A29,T_Shipments[Effective_Week],11))</f>
        <v/>
      </c>
      <c r="M29">
        <f>IF(COUNTIF(Material_Detail!$DE:$DE,$A29)&gt;0,IF(ISNUMBER(SEARCH("[済]",INDEX(Material_Detail!$D:$DC,MATCH($A29,Material_Detail!$DE:$DE,0)+1,12))),0,IFERROR(INDEX(Material_Detail!$D:$DC,MATCH($A29,Material_Detail!$DE:$DE,0),12),0)),SUMIFS(T_Shipments[Confirmed_Qty],T_Shipments[Part Name],$A29,T_Shipments[Effective_Week],12))</f>
        <v/>
      </c>
      <c r="N29">
        <f>IF(COUNTIF(Material_Detail!$DE:$DE,$A29)&gt;0,IF(ISNUMBER(SEARCH("[済]",INDEX(Material_Detail!$D:$DC,MATCH($A29,Material_Detail!$DE:$DE,0)+1,13))),0,IFERROR(INDEX(Material_Detail!$D:$DC,MATCH($A29,Material_Detail!$DE:$DE,0),13),0)),SUMIFS(T_Shipments[Confirmed_Qty],T_Shipments[Part Name],$A29,T_Shipments[Effective_Week],13))</f>
        <v/>
      </c>
      <c r="O29">
        <f>IF(COUNTIF(Material_Detail!$DE:$DE,$A29)&gt;0,IF(ISNUMBER(SEARCH("[済]",INDEX(Material_Detail!$D:$DC,MATCH($A29,Material_Detail!$DE:$DE,0)+1,14))),0,IFERROR(INDEX(Material_Detail!$D:$DC,MATCH($A29,Material_Detail!$DE:$DE,0),14),0)),SUMIFS(T_Shipments[Confirmed_Qty],T_Shipments[Part Name],$A29,T_Shipments[Effective_Week],14))</f>
        <v/>
      </c>
      <c r="P29">
        <f>IF(COUNTIF(Material_Detail!$DE:$DE,$A29)&gt;0,IF(ISNUMBER(SEARCH("[済]",INDEX(Material_Detail!$D:$DC,MATCH($A29,Material_Detail!$DE:$DE,0)+1,15))),0,IFERROR(INDEX(Material_Detail!$D:$DC,MATCH($A29,Material_Detail!$DE:$DE,0),15),0)),SUMIFS(T_Shipments[Confirmed_Qty],T_Shipments[Part Name],$A29,T_Shipments[Effective_Week],15))</f>
        <v/>
      </c>
      <c r="Q29">
        <f>IF(COUNTIF(Material_Detail!$DE:$DE,$A29)&gt;0,IF(ISNUMBER(SEARCH("[済]",INDEX(Material_Detail!$D:$DC,MATCH($A29,Material_Detail!$DE:$DE,0)+1,16))),0,IFERROR(INDEX(Material_Detail!$D:$DC,MATCH($A29,Material_Detail!$DE:$DE,0),16),0)),SUMIFS(T_Shipments[Confirmed_Qty],T_Shipments[Part Name],$A29,T_Shipments[Effective_Week],16))</f>
        <v/>
      </c>
      <c r="R29">
        <f>IF(COUNTIF(Material_Detail!$DE:$DE,$A29)&gt;0,IF(ISNUMBER(SEARCH("[済]",INDEX(Material_Detail!$D:$DC,MATCH($A29,Material_Detail!$DE:$DE,0)+1,17))),0,IFERROR(INDEX(Material_Detail!$D:$DC,MATCH($A29,Material_Detail!$DE:$DE,0),17),0)),SUMIFS(T_Shipments[Confirmed_Qty],T_Shipments[Part Name],$A29,T_Shipments[Effective_Week],17))</f>
        <v/>
      </c>
      <c r="S29">
        <f>IF(COUNTIF(Material_Detail!$DE:$DE,$A29)&gt;0,IF(ISNUMBER(SEARCH("[済]",INDEX(Material_Detail!$D:$DC,MATCH($A29,Material_Detail!$DE:$DE,0)+1,18))),0,IFERROR(INDEX(Material_Detail!$D:$DC,MATCH($A29,Material_Detail!$DE:$DE,0),18),0)),SUMIFS(T_Shipments[Confirmed_Qty],T_Shipments[Part Name],$A29,T_Shipments[Effective_Week],18))</f>
        <v/>
      </c>
      <c r="T29">
        <f>IF(COUNTIF(Material_Detail!$DE:$DE,$A29)&gt;0,IF(ISNUMBER(SEARCH("[済]",INDEX(Material_Detail!$D:$DC,MATCH($A29,Material_Detail!$DE:$DE,0)+1,19))),0,IFERROR(INDEX(Material_Detail!$D:$DC,MATCH($A29,Material_Detail!$DE:$DE,0),19),0)),SUMIFS(T_Shipments[Confirmed_Qty],T_Shipments[Part Name],$A29,T_Shipments[Effective_Week],19))</f>
        <v/>
      </c>
      <c r="U29">
        <f>IF(COUNTIF(Material_Detail!$DE:$DE,$A29)&gt;0,IF(ISNUMBER(SEARCH("[済]",INDEX(Material_Detail!$D:$DC,MATCH($A29,Material_Detail!$DE:$DE,0)+1,20))),0,IFERROR(INDEX(Material_Detail!$D:$DC,MATCH($A29,Material_Detail!$DE:$DE,0),20),0)),SUMIFS(T_Shipments[Confirmed_Qty],T_Shipments[Part Name],$A29,T_Shipments[Effective_Week],20))</f>
        <v/>
      </c>
      <c r="V29">
        <f>IF(COUNTIF(Material_Detail!$DE:$DE,$A29)&gt;0,IF(ISNUMBER(SEARCH("[済]",INDEX(Material_Detail!$D:$DC,MATCH($A29,Material_Detail!$DE:$DE,0)+1,21))),0,IFERROR(INDEX(Material_Detail!$D:$DC,MATCH($A29,Material_Detail!$DE:$DE,0),21),0)),SUMIFS(T_Shipments[Confirmed_Qty],T_Shipments[Part Name],$A29,T_Shipments[Effective_Week],21))</f>
        <v/>
      </c>
      <c r="W29">
        <f>IF(COUNTIF(Material_Detail!$DE:$DE,$A29)&gt;0,IF(ISNUMBER(SEARCH("[済]",INDEX(Material_Detail!$D:$DC,MATCH($A29,Material_Detail!$DE:$DE,0)+1,22))),0,IFERROR(INDEX(Material_Detail!$D:$DC,MATCH($A29,Material_Detail!$DE:$DE,0),22),0)),SUMIFS(T_Shipments[Confirmed_Qty],T_Shipments[Part Name],$A29,T_Shipments[Effective_Week],22))</f>
        <v/>
      </c>
      <c r="X29">
        <f>IF(COUNTIF(Material_Detail!$DE:$DE,$A29)&gt;0,IF(ISNUMBER(SEARCH("[済]",INDEX(Material_Detail!$D:$DC,MATCH($A29,Material_Detail!$DE:$DE,0)+1,23))),0,IFERROR(INDEX(Material_Detail!$D:$DC,MATCH($A29,Material_Detail!$DE:$DE,0),23),0)),SUMIFS(T_Shipments[Confirmed_Qty],T_Shipments[Part Name],$A29,T_Shipments[Effective_Week],23))</f>
        <v/>
      </c>
      <c r="Y29">
        <f>IF(COUNTIF(Material_Detail!$DE:$DE,$A29)&gt;0,IF(ISNUMBER(SEARCH("[済]",INDEX(Material_Detail!$D:$DC,MATCH($A29,Material_Detail!$DE:$DE,0)+1,24))),0,IFERROR(INDEX(Material_Detail!$D:$DC,MATCH($A29,Material_Detail!$DE:$DE,0),24),0)),SUMIFS(T_Shipments[Confirmed_Qty],T_Shipments[Part Name],$A29,T_Shipments[Effective_Week],24))</f>
        <v/>
      </c>
      <c r="Z29">
        <f>IF(COUNTIF(Material_Detail!$DE:$DE,$A29)&gt;0,IF(ISNUMBER(SEARCH("[済]",INDEX(Material_Detail!$D:$DC,MATCH($A29,Material_Detail!$DE:$DE,0)+1,25))),0,IFERROR(INDEX(Material_Detail!$D:$DC,MATCH($A29,Material_Detail!$DE:$DE,0),25),0)),SUMIFS(T_Shipments[Confirmed_Qty],T_Shipments[Part Name],$A29,T_Shipments[Effective_Week],25))</f>
        <v/>
      </c>
      <c r="AA29">
        <f>IF(COUNTIF(Material_Detail!$DE:$DE,$A29)&gt;0,IF(ISNUMBER(SEARCH("[済]",INDEX(Material_Detail!$D:$DC,MATCH($A29,Material_Detail!$DE:$DE,0)+1,26))),0,IFERROR(INDEX(Material_Detail!$D:$DC,MATCH($A29,Material_Detail!$DE:$DE,0),26),0)),SUMIFS(T_Shipments[Confirmed_Qty],T_Shipments[Part Name],$A29,T_Shipments[Effective_Week],26))</f>
        <v/>
      </c>
      <c r="AB29">
        <f>IF(COUNTIF(Material_Detail!$DE:$DE,$A29)&gt;0,IF(ISNUMBER(SEARCH("[済]",INDEX(Material_Detail!$D:$DC,MATCH($A29,Material_Detail!$DE:$DE,0)+1,27))),0,IFERROR(INDEX(Material_Detail!$D:$DC,MATCH($A29,Material_Detail!$DE:$DE,0),27),0)),SUMIFS(T_Shipments[Confirmed_Qty],T_Shipments[Part Name],$A29,T_Shipments[Effective_Week],27))</f>
        <v/>
      </c>
      <c r="AC29">
        <f>IF(COUNTIF(Material_Detail!$DE:$DE,$A29)&gt;0,IF(ISNUMBER(SEARCH("[済]",INDEX(Material_Detail!$D:$DC,MATCH($A29,Material_Detail!$DE:$DE,0)+1,28))),0,IFERROR(INDEX(Material_Detail!$D:$DC,MATCH($A29,Material_Detail!$DE:$DE,0),28),0)),SUMIFS(T_Shipments[Confirmed_Qty],T_Shipments[Part Name],$A29,T_Shipments[Effective_Week],28))</f>
        <v/>
      </c>
      <c r="AD29">
        <f>IF(COUNTIF(Material_Detail!$DE:$DE,$A29)&gt;0,IF(ISNUMBER(SEARCH("[済]",INDEX(Material_Detail!$D:$DC,MATCH($A29,Material_Detail!$DE:$DE,0)+1,29))),0,IFERROR(INDEX(Material_Detail!$D:$DC,MATCH($A29,Material_Detail!$DE:$DE,0),29),0)),SUMIFS(T_Shipments[Confirmed_Qty],T_Shipments[Part Name],$A29,T_Shipments[Effective_Week],29))</f>
        <v/>
      </c>
      <c r="AE29">
        <f>IF(COUNTIF(Material_Detail!$DE:$DE,$A29)&gt;0,IF(ISNUMBER(SEARCH("[済]",INDEX(Material_Detail!$D:$DC,MATCH($A29,Material_Detail!$DE:$DE,0)+1,30))),0,IFERROR(INDEX(Material_Detail!$D:$DC,MATCH($A29,Material_Detail!$DE:$DE,0),30),0)),SUMIFS(T_Shipments[Confirmed_Qty],T_Shipments[Part Name],$A29,T_Shipments[Effective_Week],30))</f>
        <v/>
      </c>
      <c r="AF29">
        <f>IF(COUNTIF(Material_Detail!$DE:$DE,$A29)&gt;0,IF(ISNUMBER(SEARCH("[済]",INDEX(Material_Detail!$D:$DC,MATCH($A29,Material_Detail!$DE:$DE,0)+1,31))),0,IFERROR(INDEX(Material_Detail!$D:$DC,MATCH($A29,Material_Detail!$DE:$DE,0),31),0)),SUMIFS(T_Shipments[Confirmed_Qty],T_Shipments[Part Name],$A29,T_Shipments[Effective_Week],31))</f>
        <v/>
      </c>
      <c r="AG29">
        <f>IF(COUNTIF(Material_Detail!$DE:$DE,$A29)&gt;0,IF(ISNUMBER(SEARCH("[済]",INDEX(Material_Detail!$D:$DC,MATCH($A29,Material_Detail!$DE:$DE,0)+1,32))),0,IFERROR(INDEX(Material_Detail!$D:$DC,MATCH($A29,Material_Detail!$DE:$DE,0),32),0)),SUMIFS(T_Shipments[Confirmed_Qty],T_Shipments[Part Name],$A29,T_Shipments[Effective_Week],32))</f>
        <v/>
      </c>
      <c r="AH29">
        <f>IF(COUNTIF(Material_Detail!$DE:$DE,$A29)&gt;0,IF(ISNUMBER(SEARCH("[済]",INDEX(Material_Detail!$D:$DC,MATCH($A29,Material_Detail!$DE:$DE,0)+1,33))),0,IFERROR(INDEX(Material_Detail!$D:$DC,MATCH($A29,Material_Detail!$DE:$DE,0),33),0)),SUMIFS(T_Shipments[Confirmed_Qty],T_Shipments[Part Name],$A29,T_Shipments[Effective_Week],33))</f>
        <v/>
      </c>
      <c r="AI29">
        <f>IF(COUNTIF(Material_Detail!$DE:$DE,$A29)&gt;0,IF(ISNUMBER(SEARCH("[済]",INDEX(Material_Detail!$D:$DC,MATCH($A29,Material_Detail!$DE:$DE,0)+1,34))),0,IFERROR(INDEX(Material_Detail!$D:$DC,MATCH($A29,Material_Detail!$DE:$DE,0),34),0)),SUMIFS(T_Shipments[Confirmed_Qty],T_Shipments[Part Name],$A29,T_Shipments[Effective_Week],34))</f>
        <v/>
      </c>
      <c r="AJ29">
        <f>IF(COUNTIF(Material_Detail!$DE:$DE,$A29)&gt;0,IF(ISNUMBER(SEARCH("[済]",INDEX(Material_Detail!$D:$DC,MATCH($A29,Material_Detail!$DE:$DE,0)+1,35))),0,IFERROR(INDEX(Material_Detail!$D:$DC,MATCH($A29,Material_Detail!$DE:$DE,0),35),0)),SUMIFS(T_Shipments[Confirmed_Qty],T_Shipments[Part Name],$A29,T_Shipments[Effective_Week],35))</f>
        <v/>
      </c>
      <c r="AK29">
        <f>IF(COUNTIF(Material_Detail!$DE:$DE,$A29)&gt;0,IF(ISNUMBER(SEARCH("[済]",INDEX(Material_Detail!$D:$DC,MATCH($A29,Material_Detail!$DE:$DE,0)+1,36))),0,IFERROR(INDEX(Material_Detail!$D:$DC,MATCH($A29,Material_Detail!$DE:$DE,0),36),0)),SUMIFS(T_Shipments[Confirmed_Qty],T_Shipments[Part Name],$A29,T_Shipments[Effective_Week],36))</f>
        <v/>
      </c>
      <c r="AL29">
        <f>IF(COUNTIF(Material_Detail!$DE:$DE,$A29)&gt;0,IF(ISNUMBER(SEARCH("[済]",INDEX(Material_Detail!$D:$DC,MATCH($A29,Material_Detail!$DE:$DE,0)+1,37))),0,IFERROR(INDEX(Material_Detail!$D:$DC,MATCH($A29,Material_Detail!$DE:$DE,0),37),0)),SUMIFS(T_Shipments[Confirmed_Qty],T_Shipments[Part Name],$A29,T_Shipments[Effective_Week],37))</f>
        <v/>
      </c>
      <c r="AM29">
        <f>IF(COUNTIF(Material_Detail!$DE:$DE,$A29)&gt;0,IF(ISNUMBER(SEARCH("[済]",INDEX(Material_Detail!$D:$DC,MATCH($A29,Material_Detail!$DE:$DE,0)+1,38))),0,IFERROR(INDEX(Material_Detail!$D:$DC,MATCH($A29,Material_Detail!$DE:$DE,0),38),0)),SUMIFS(T_Shipments[Confirmed_Qty],T_Shipments[Part Name],$A29,T_Shipments[Effective_Week],38))</f>
        <v/>
      </c>
      <c r="AN29">
        <f>IF(COUNTIF(Material_Detail!$DE:$DE,$A29)&gt;0,IF(ISNUMBER(SEARCH("[済]",INDEX(Material_Detail!$D:$DC,MATCH($A29,Material_Detail!$DE:$DE,0)+1,39))),0,IFERROR(INDEX(Material_Detail!$D:$DC,MATCH($A29,Material_Detail!$DE:$DE,0),39),0)),SUMIFS(T_Shipments[Confirmed_Qty],T_Shipments[Part Name],$A29,T_Shipments[Effective_Week],39))</f>
        <v/>
      </c>
      <c r="AO29">
        <f>IF(COUNTIF(Material_Detail!$DE:$DE,$A29)&gt;0,IF(ISNUMBER(SEARCH("[済]",INDEX(Material_Detail!$D:$DC,MATCH($A29,Material_Detail!$DE:$DE,0)+1,40))),0,IFERROR(INDEX(Material_Detail!$D:$DC,MATCH($A29,Material_Detail!$DE:$DE,0),40),0)),SUMIFS(T_Shipments[Confirmed_Qty],T_Shipments[Part Name],$A29,T_Shipments[Effective_Week],40))</f>
        <v/>
      </c>
      <c r="AP29">
        <f>IF(COUNTIF(Material_Detail!$DE:$DE,$A29)&gt;0,IF(ISNUMBER(SEARCH("[済]",INDEX(Material_Detail!$D:$DC,MATCH($A29,Material_Detail!$DE:$DE,0)+1,41))),0,IFERROR(INDEX(Material_Detail!$D:$DC,MATCH($A29,Material_Detail!$DE:$DE,0),41),0)),SUMIFS(T_Shipments[Confirmed_Qty],T_Shipments[Part Name],$A29,T_Shipments[Effective_Week],41))</f>
        <v/>
      </c>
      <c r="AQ29">
        <f>IF(COUNTIF(Material_Detail!$DE:$DE,$A29)&gt;0,IF(ISNUMBER(SEARCH("[済]",INDEX(Material_Detail!$D:$DC,MATCH($A29,Material_Detail!$DE:$DE,0)+1,42))),0,IFERROR(INDEX(Material_Detail!$D:$DC,MATCH($A29,Material_Detail!$DE:$DE,0),42),0)),SUMIFS(T_Shipments[Confirmed_Qty],T_Shipments[Part Name],$A29,T_Shipments[Effective_Week],42))</f>
        <v/>
      </c>
      <c r="AR29">
        <f>IF(COUNTIF(Material_Detail!$DE:$DE,$A29)&gt;0,IF(ISNUMBER(SEARCH("[済]",INDEX(Material_Detail!$D:$DC,MATCH($A29,Material_Detail!$DE:$DE,0)+1,43))),0,IFERROR(INDEX(Material_Detail!$D:$DC,MATCH($A29,Material_Detail!$DE:$DE,0),43),0)),SUMIFS(T_Shipments[Confirmed_Qty],T_Shipments[Part Name],$A29,T_Shipments[Effective_Week],43))</f>
        <v/>
      </c>
      <c r="AS29">
        <f>IF(COUNTIF(Material_Detail!$DE:$DE,$A29)&gt;0,IF(ISNUMBER(SEARCH("[済]",INDEX(Material_Detail!$D:$DC,MATCH($A29,Material_Detail!$DE:$DE,0)+1,44))),0,IFERROR(INDEX(Material_Detail!$D:$DC,MATCH($A29,Material_Detail!$DE:$DE,0),44),0)),SUMIFS(T_Shipments[Confirmed_Qty],T_Shipments[Part Name],$A29,T_Shipments[Effective_Week],44))</f>
        <v/>
      </c>
      <c r="AT29">
        <f>IF(COUNTIF(Material_Detail!$DE:$DE,$A29)&gt;0,IF(ISNUMBER(SEARCH("[済]",INDEX(Material_Detail!$D:$DC,MATCH($A29,Material_Detail!$DE:$DE,0)+1,45))),0,IFERROR(INDEX(Material_Detail!$D:$DC,MATCH($A29,Material_Detail!$DE:$DE,0),45),0)),SUMIFS(T_Shipments[Confirmed_Qty],T_Shipments[Part Name],$A29,T_Shipments[Effective_Week],45))</f>
        <v/>
      </c>
      <c r="AU29">
        <f>IF(COUNTIF(Material_Detail!$DE:$DE,$A29)&gt;0,IF(ISNUMBER(SEARCH("[済]",INDEX(Material_Detail!$D:$DC,MATCH($A29,Material_Detail!$DE:$DE,0)+1,46))),0,IFERROR(INDEX(Material_Detail!$D:$DC,MATCH($A29,Material_Detail!$DE:$DE,0),46),0)),SUMIFS(T_Shipments[Confirmed_Qty],T_Shipments[Part Name],$A29,T_Shipments[Effective_Week],46))</f>
        <v/>
      </c>
      <c r="AV29">
        <f>IF(COUNTIF(Material_Detail!$DE:$DE,$A29)&gt;0,IF(ISNUMBER(SEARCH("[済]",INDEX(Material_Detail!$D:$DC,MATCH($A29,Material_Detail!$DE:$DE,0)+1,47))),0,IFERROR(INDEX(Material_Detail!$D:$DC,MATCH($A29,Material_Detail!$DE:$DE,0),47),0)),SUMIFS(T_Shipments[Confirmed_Qty],T_Shipments[Part Name],$A29,T_Shipments[Effective_Week],47))</f>
        <v/>
      </c>
      <c r="AW29">
        <f>IF(COUNTIF(Material_Detail!$DE:$DE,$A29)&gt;0,IF(ISNUMBER(SEARCH("[済]",INDEX(Material_Detail!$D:$DC,MATCH($A29,Material_Detail!$DE:$DE,0)+1,48))),0,IFERROR(INDEX(Material_Detail!$D:$DC,MATCH($A29,Material_Detail!$DE:$DE,0),48),0)),SUMIFS(T_Shipments[Confirmed_Qty],T_Shipments[Part Name],$A29,T_Shipments[Effective_Week],48))</f>
        <v/>
      </c>
      <c r="AX29">
        <f>IF(COUNTIF(Material_Detail!$DE:$DE,$A29)&gt;0,IF(ISNUMBER(SEARCH("[済]",INDEX(Material_Detail!$D:$DC,MATCH($A29,Material_Detail!$DE:$DE,0)+1,49))),0,IFERROR(INDEX(Material_Detail!$D:$DC,MATCH($A29,Material_Detail!$DE:$DE,0),49),0)),SUMIFS(T_Shipments[Confirmed_Qty],T_Shipments[Part Name],$A29,T_Shipments[Effective_Week],49))</f>
        <v/>
      </c>
      <c r="AY29">
        <f>IF(COUNTIF(Material_Detail!$DE:$DE,$A29)&gt;0,IF(ISNUMBER(SEARCH("[済]",INDEX(Material_Detail!$D:$DC,MATCH($A29,Material_Detail!$DE:$DE,0)+1,50))),0,IFERROR(INDEX(Material_Detail!$D:$DC,MATCH($A29,Material_Detail!$DE:$DE,0),50),0)),SUMIFS(T_Shipments[Confirmed_Qty],T_Shipments[Part Name],$A29,T_Shipments[Effective_Week],50))</f>
        <v/>
      </c>
      <c r="AZ29">
        <f>IF(COUNTIF(Material_Detail!$DE:$DE,$A29)&gt;0,IF(ISNUMBER(SEARCH("[済]",INDEX(Material_Detail!$D:$DC,MATCH($A29,Material_Detail!$DE:$DE,0)+1,51))),0,IFERROR(INDEX(Material_Detail!$D:$DC,MATCH($A29,Material_Detail!$DE:$DE,0),51),0)),SUMIFS(T_Shipments[Confirmed_Qty],T_Shipments[Part Name],$A29,T_Shipments[Effective_Week],51))</f>
        <v/>
      </c>
      <c r="BA29">
        <f>IF(COUNTIF(Material_Detail!$DE:$DE,$A29)&gt;0,IF(ISNUMBER(SEARCH("[済]",INDEX(Material_Detail!$D:$DC,MATCH($A29,Material_Detail!$DE:$DE,0)+1,52))),0,IFERROR(INDEX(Material_Detail!$D:$DC,MATCH($A29,Material_Detail!$DE:$DE,0),52),0)),SUMIFS(T_Shipments[Confirmed_Qty],T_Shipments[Part Name],$A29,T_Shipments[Effective_Week],52))</f>
        <v/>
      </c>
      <c r="BB29">
        <f>IF(COUNTIF(Material_Detail!$DE:$DE,$A29)&gt;0,IF(ISNUMBER(SEARCH("[済]",INDEX(Material_Detail!$D:$DC,MATCH($A29,Material_Detail!$DE:$DE,0)+1,53))),0,IFERROR(INDEX(Material_Detail!$D:$DC,MATCH($A29,Material_Detail!$DE:$DE,0),53),0)),SUMIFS(T_Shipments[Confirmed_Qty],T_Shipments[Part Name],$A29,T_Shipments[Effective_Week],53))</f>
        <v/>
      </c>
      <c r="BC29">
        <f>IF(COUNTIF(Material_Detail!$DE:$DE,$A29)&gt;0,IF(ISNUMBER(SEARCH("[済]",INDEX(Material_Detail!$D:$DC,MATCH($A29,Material_Detail!$DE:$DE,0)+1,54))),0,IFERROR(INDEX(Material_Detail!$D:$DC,MATCH($A29,Material_Detail!$DE:$DE,0),54),0)),SUMIFS(T_Shipments[Confirmed_Qty],T_Shipments[Part Name],$A29,T_Shipments[Effective_Week],54))</f>
        <v/>
      </c>
      <c r="BD29">
        <f>IF(COUNTIF(Material_Detail!$DE:$DE,$A29)&gt;0,IF(ISNUMBER(SEARCH("[済]",INDEX(Material_Detail!$D:$DC,MATCH($A29,Material_Detail!$DE:$DE,0)+1,55))),0,IFERROR(INDEX(Material_Detail!$D:$DC,MATCH($A29,Material_Detail!$DE:$DE,0),55),0)),SUMIFS(T_Shipments[Confirmed_Qty],T_Shipments[Part Name],$A29,T_Shipments[Effective_Week],55))</f>
        <v/>
      </c>
      <c r="BE29">
        <f>IF(COUNTIF(Material_Detail!$DE:$DE,$A29)&gt;0,IF(ISNUMBER(SEARCH("[済]",INDEX(Material_Detail!$D:$DC,MATCH($A29,Material_Detail!$DE:$DE,0)+1,56))),0,IFERROR(INDEX(Material_Detail!$D:$DC,MATCH($A29,Material_Detail!$DE:$DE,0),56),0)),SUMIFS(T_Shipments[Confirmed_Qty],T_Shipments[Part Name],$A29,T_Shipments[Effective_Week],56))</f>
        <v/>
      </c>
      <c r="BF29">
        <f>IF(COUNTIF(Material_Detail!$DE:$DE,$A29)&gt;0,IF(ISNUMBER(SEARCH("[済]",INDEX(Material_Detail!$D:$DC,MATCH($A29,Material_Detail!$DE:$DE,0)+1,57))),0,IFERROR(INDEX(Material_Detail!$D:$DC,MATCH($A29,Material_Detail!$DE:$DE,0),57),0)),SUMIFS(T_Shipments[Confirmed_Qty],T_Shipments[Part Name],$A29,T_Shipments[Effective_Week],57))</f>
        <v/>
      </c>
      <c r="BG29">
        <f>IF(COUNTIF(Material_Detail!$DE:$DE,$A29)&gt;0,IF(ISNUMBER(SEARCH("[済]",INDEX(Material_Detail!$D:$DC,MATCH($A29,Material_Detail!$DE:$DE,0)+1,58))),0,IFERROR(INDEX(Material_Detail!$D:$DC,MATCH($A29,Material_Detail!$DE:$DE,0),58),0)),SUMIFS(T_Shipments[Confirmed_Qty],T_Shipments[Part Name],$A29,T_Shipments[Effective_Week],58))</f>
        <v/>
      </c>
      <c r="BH29">
        <f>IF(COUNTIF(Material_Detail!$DE:$DE,$A29)&gt;0,IF(ISNUMBER(SEARCH("[済]",INDEX(Material_Detail!$D:$DC,MATCH($A29,Material_Detail!$DE:$DE,0)+1,59))),0,IFERROR(INDEX(Material_Detail!$D:$DC,MATCH($A29,Material_Detail!$DE:$DE,0),59),0)),SUMIFS(T_Shipments[Confirmed_Qty],T_Shipments[Part Name],$A29,T_Shipments[Effective_Week],59))</f>
        <v/>
      </c>
      <c r="BI29">
        <f>IF(COUNTIF(Material_Detail!$DE:$DE,$A29)&gt;0,IF(ISNUMBER(SEARCH("[済]",INDEX(Material_Detail!$D:$DC,MATCH($A29,Material_Detail!$DE:$DE,0)+1,60))),0,IFERROR(INDEX(Material_Detail!$D:$DC,MATCH($A29,Material_Detail!$DE:$DE,0),60),0)),SUMIFS(T_Shipments[Confirmed_Qty],T_Shipments[Part Name],$A29,T_Shipments[Effective_Week],60))</f>
        <v/>
      </c>
      <c r="BJ29">
        <f>IF(COUNTIF(Material_Detail!$DE:$DE,$A29)&gt;0,IF(ISNUMBER(SEARCH("[済]",INDEX(Material_Detail!$D:$DC,MATCH($A29,Material_Detail!$DE:$DE,0)+1,61))),0,IFERROR(INDEX(Material_Detail!$D:$DC,MATCH($A29,Material_Detail!$DE:$DE,0),61),0)),SUMIFS(T_Shipments[Confirmed_Qty],T_Shipments[Part Name],$A29,T_Shipments[Effective_Week],61))</f>
        <v/>
      </c>
      <c r="BK29">
        <f>IF(COUNTIF(Material_Detail!$DE:$DE,$A29)&gt;0,IF(ISNUMBER(SEARCH("[済]",INDEX(Material_Detail!$D:$DC,MATCH($A29,Material_Detail!$DE:$DE,0)+1,62))),0,IFERROR(INDEX(Material_Detail!$D:$DC,MATCH($A29,Material_Detail!$DE:$DE,0),62),0)),SUMIFS(T_Shipments[Confirmed_Qty],T_Shipments[Part Name],$A29,T_Shipments[Effective_Week],62))</f>
        <v/>
      </c>
      <c r="BL29">
        <f>IF(COUNTIF(Material_Detail!$DE:$DE,$A29)&gt;0,IF(ISNUMBER(SEARCH("[済]",INDEX(Material_Detail!$D:$DC,MATCH($A29,Material_Detail!$DE:$DE,0)+1,63))),0,IFERROR(INDEX(Material_Detail!$D:$DC,MATCH($A29,Material_Detail!$DE:$DE,0),63),0)),SUMIFS(T_Shipments[Confirmed_Qty],T_Shipments[Part Name],$A29,T_Shipments[Effective_Week],63))</f>
        <v/>
      </c>
      <c r="BM29">
        <f>IF(COUNTIF(Material_Detail!$DE:$DE,$A29)&gt;0,IF(ISNUMBER(SEARCH("[済]",INDEX(Material_Detail!$D:$DC,MATCH($A29,Material_Detail!$DE:$DE,0)+1,64))),0,IFERROR(INDEX(Material_Detail!$D:$DC,MATCH($A29,Material_Detail!$DE:$DE,0),64),0)),SUMIFS(T_Shipments[Confirmed_Qty],T_Shipments[Part Name],$A29,T_Shipments[Effective_Week],64))</f>
        <v/>
      </c>
      <c r="BN29">
        <f>IF(COUNTIF(Material_Detail!$DE:$DE,$A29)&gt;0,IF(ISNUMBER(SEARCH("[済]",INDEX(Material_Detail!$D:$DC,MATCH($A29,Material_Detail!$DE:$DE,0)+1,65))),0,IFERROR(INDEX(Material_Detail!$D:$DC,MATCH($A29,Material_Detail!$DE:$DE,0),65),0)),SUMIFS(T_Shipments[Confirmed_Qty],T_Shipments[Part Name],$A29,T_Shipments[Effective_Week],65))</f>
        <v/>
      </c>
      <c r="BO29">
        <f>IF(COUNTIF(Material_Detail!$DE:$DE,$A29)&gt;0,IF(ISNUMBER(SEARCH("[済]",INDEX(Material_Detail!$D:$DC,MATCH($A29,Material_Detail!$DE:$DE,0)+1,66))),0,IFERROR(INDEX(Material_Detail!$D:$DC,MATCH($A29,Material_Detail!$DE:$DE,0),66),0)),SUMIFS(T_Shipments[Confirmed_Qty],T_Shipments[Part Name],$A29,T_Shipments[Effective_Week],66))</f>
        <v/>
      </c>
      <c r="BP29">
        <f>IF(COUNTIF(Material_Detail!$DE:$DE,$A29)&gt;0,IF(ISNUMBER(SEARCH("[済]",INDEX(Material_Detail!$D:$DC,MATCH($A29,Material_Detail!$DE:$DE,0)+1,67))),0,IFERROR(INDEX(Material_Detail!$D:$DC,MATCH($A29,Material_Detail!$DE:$DE,0),67),0)),SUMIFS(T_Shipments[Confirmed_Qty],T_Shipments[Part Name],$A29,T_Shipments[Effective_Week],67))</f>
        <v/>
      </c>
      <c r="BQ29">
        <f>IF(COUNTIF(Material_Detail!$DE:$DE,$A29)&gt;0,IF(ISNUMBER(SEARCH("[済]",INDEX(Material_Detail!$D:$DC,MATCH($A29,Material_Detail!$DE:$DE,0)+1,68))),0,IFERROR(INDEX(Material_Detail!$D:$DC,MATCH($A29,Material_Detail!$DE:$DE,0),68),0)),SUMIFS(T_Shipments[Confirmed_Qty],T_Shipments[Part Name],$A29,T_Shipments[Effective_Week],68))</f>
        <v/>
      </c>
      <c r="BR29">
        <f>IF(COUNTIF(Material_Detail!$DE:$DE,$A29)&gt;0,IF(ISNUMBER(SEARCH("[済]",INDEX(Material_Detail!$D:$DC,MATCH($A29,Material_Detail!$DE:$DE,0)+1,69))),0,IFERROR(INDEX(Material_Detail!$D:$DC,MATCH($A29,Material_Detail!$DE:$DE,0),69),0)),SUMIFS(T_Shipments[Confirmed_Qty],T_Shipments[Part Name],$A29,T_Shipments[Effective_Week],69))</f>
        <v/>
      </c>
      <c r="BS29">
        <f>IF(COUNTIF(Material_Detail!$DE:$DE,$A29)&gt;0,IF(ISNUMBER(SEARCH("[済]",INDEX(Material_Detail!$D:$DC,MATCH($A29,Material_Detail!$DE:$DE,0)+1,70))),0,IFERROR(INDEX(Material_Detail!$D:$DC,MATCH($A29,Material_Detail!$DE:$DE,0),70),0)),SUMIFS(T_Shipments[Confirmed_Qty],T_Shipments[Part Name],$A29,T_Shipments[Effective_Week],70))</f>
        <v/>
      </c>
      <c r="BT29">
        <f>IF(COUNTIF(Material_Detail!$DE:$DE,$A29)&gt;0,IF(ISNUMBER(SEARCH("[済]",INDEX(Material_Detail!$D:$DC,MATCH($A29,Material_Detail!$DE:$DE,0)+1,71))),0,IFERROR(INDEX(Material_Detail!$D:$DC,MATCH($A29,Material_Detail!$DE:$DE,0),71),0)),SUMIFS(T_Shipments[Confirmed_Qty],T_Shipments[Part Name],$A29,T_Shipments[Effective_Week],71))</f>
        <v/>
      </c>
      <c r="BU29">
        <f>IF(COUNTIF(Material_Detail!$DE:$DE,$A29)&gt;0,IF(ISNUMBER(SEARCH("[済]",INDEX(Material_Detail!$D:$DC,MATCH($A29,Material_Detail!$DE:$DE,0)+1,72))),0,IFERROR(INDEX(Material_Detail!$D:$DC,MATCH($A29,Material_Detail!$DE:$DE,0),72),0)),SUMIFS(T_Shipments[Confirmed_Qty],T_Shipments[Part Name],$A29,T_Shipments[Effective_Week],72))</f>
        <v/>
      </c>
      <c r="BV29">
        <f>IF(COUNTIF(Material_Detail!$DE:$DE,$A29)&gt;0,IF(ISNUMBER(SEARCH("[済]",INDEX(Material_Detail!$D:$DC,MATCH($A29,Material_Detail!$DE:$DE,0)+1,73))),0,IFERROR(INDEX(Material_Detail!$D:$DC,MATCH($A29,Material_Detail!$DE:$DE,0),73),0)),SUMIFS(T_Shipments[Confirmed_Qty],T_Shipments[Part Name],$A29,T_Shipments[Effective_Week],73))</f>
        <v/>
      </c>
      <c r="BW29">
        <f>IF(COUNTIF(Material_Detail!$DE:$DE,$A29)&gt;0,IF(ISNUMBER(SEARCH("[済]",INDEX(Material_Detail!$D:$DC,MATCH($A29,Material_Detail!$DE:$DE,0)+1,74))),0,IFERROR(INDEX(Material_Detail!$D:$DC,MATCH($A29,Material_Detail!$DE:$DE,0),74),0)),SUMIFS(T_Shipments[Confirmed_Qty],T_Shipments[Part Name],$A29,T_Shipments[Effective_Week],74))</f>
        <v/>
      </c>
      <c r="BX29">
        <f>IF(COUNTIF(Material_Detail!$DE:$DE,$A29)&gt;0,IF(ISNUMBER(SEARCH("[済]",INDEX(Material_Detail!$D:$DC,MATCH($A29,Material_Detail!$DE:$DE,0)+1,75))),0,IFERROR(INDEX(Material_Detail!$D:$DC,MATCH($A29,Material_Detail!$DE:$DE,0),75),0)),SUMIFS(T_Shipments[Confirmed_Qty],T_Shipments[Part Name],$A29,T_Shipments[Effective_Week],75))</f>
        <v/>
      </c>
      <c r="BY29">
        <f>IF(COUNTIF(Material_Detail!$DE:$DE,$A29)&gt;0,IF(ISNUMBER(SEARCH("[済]",INDEX(Material_Detail!$D:$DC,MATCH($A29,Material_Detail!$DE:$DE,0)+1,76))),0,IFERROR(INDEX(Material_Detail!$D:$DC,MATCH($A29,Material_Detail!$DE:$DE,0),76),0)),SUMIFS(T_Shipments[Confirmed_Qty],T_Shipments[Part Name],$A29,T_Shipments[Effective_Week],76))</f>
        <v/>
      </c>
      <c r="BZ29">
        <f>IF(COUNTIF(Material_Detail!$DE:$DE,$A29)&gt;0,IF(ISNUMBER(SEARCH("[済]",INDEX(Material_Detail!$D:$DC,MATCH($A29,Material_Detail!$DE:$DE,0)+1,77))),0,IFERROR(INDEX(Material_Detail!$D:$DC,MATCH($A29,Material_Detail!$DE:$DE,0),77),0)),SUMIFS(T_Shipments[Confirmed_Qty],T_Shipments[Part Name],$A29,T_Shipments[Effective_Week],77))</f>
        <v/>
      </c>
      <c r="CA29">
        <f>IF(COUNTIF(Material_Detail!$DE:$DE,$A29)&gt;0,IF(ISNUMBER(SEARCH("[済]",INDEX(Material_Detail!$D:$DC,MATCH($A29,Material_Detail!$DE:$DE,0)+1,78))),0,IFERROR(INDEX(Material_Detail!$D:$DC,MATCH($A29,Material_Detail!$DE:$DE,0),78),0)),SUMIFS(T_Shipments[Confirmed_Qty],T_Shipments[Part Name],$A29,T_Shipments[Effective_Week],78))</f>
        <v/>
      </c>
      <c r="CB29">
        <f>IF(COUNTIF(Material_Detail!$DE:$DE,$A29)&gt;0,IF(ISNUMBER(SEARCH("[済]",INDEX(Material_Detail!$D:$DC,MATCH($A29,Material_Detail!$DE:$DE,0)+1,79))),0,IFERROR(INDEX(Material_Detail!$D:$DC,MATCH($A29,Material_Detail!$DE:$DE,0),79),0)),SUMIFS(T_Shipments[Confirmed_Qty],T_Shipments[Part Name],$A29,T_Shipments[Effective_Week],79))</f>
        <v/>
      </c>
      <c r="CC29">
        <f>IF(COUNTIF(Material_Detail!$DE:$DE,$A29)&gt;0,IF(ISNUMBER(SEARCH("[済]",INDEX(Material_Detail!$D:$DC,MATCH($A29,Material_Detail!$DE:$DE,0)+1,80))),0,IFERROR(INDEX(Material_Detail!$D:$DC,MATCH($A29,Material_Detail!$DE:$DE,0),80),0)),SUMIFS(T_Shipments[Confirmed_Qty],T_Shipments[Part Name],$A29,T_Shipments[Effective_Week],80))</f>
        <v/>
      </c>
      <c r="CD29">
        <f>IF(COUNTIF(Material_Detail!$DE:$DE,$A29)&gt;0,IF(ISNUMBER(SEARCH("[済]",INDEX(Material_Detail!$D:$DC,MATCH($A29,Material_Detail!$DE:$DE,0)+1,81))),0,IFERROR(INDEX(Material_Detail!$D:$DC,MATCH($A29,Material_Detail!$DE:$DE,0),81),0)),SUMIFS(T_Shipments[Confirmed_Qty],T_Shipments[Part Name],$A29,T_Shipments[Effective_Week],81))</f>
        <v/>
      </c>
      <c r="CE29">
        <f>IF(COUNTIF(Material_Detail!$DE:$DE,$A29)&gt;0,IF(ISNUMBER(SEARCH("[済]",INDEX(Material_Detail!$D:$DC,MATCH($A29,Material_Detail!$DE:$DE,0)+1,82))),0,IFERROR(INDEX(Material_Detail!$D:$DC,MATCH($A29,Material_Detail!$DE:$DE,0),82),0)),SUMIFS(T_Shipments[Confirmed_Qty],T_Shipments[Part Name],$A29,T_Shipments[Effective_Week],82))</f>
        <v/>
      </c>
      <c r="CF29">
        <f>IF(COUNTIF(Material_Detail!$DE:$DE,$A29)&gt;0,IF(ISNUMBER(SEARCH("[済]",INDEX(Material_Detail!$D:$DC,MATCH($A29,Material_Detail!$DE:$DE,0)+1,83))),0,IFERROR(INDEX(Material_Detail!$D:$DC,MATCH($A29,Material_Detail!$DE:$DE,0),83),0)),SUMIFS(T_Shipments[Confirmed_Qty],T_Shipments[Part Name],$A29,T_Shipments[Effective_Week],83))</f>
        <v/>
      </c>
      <c r="CG29">
        <f>IF(COUNTIF(Material_Detail!$DE:$DE,$A29)&gt;0,IF(ISNUMBER(SEARCH("[済]",INDEX(Material_Detail!$D:$DC,MATCH($A29,Material_Detail!$DE:$DE,0)+1,84))),0,IFERROR(INDEX(Material_Detail!$D:$DC,MATCH($A29,Material_Detail!$DE:$DE,0),84),0)),SUMIFS(T_Shipments[Confirmed_Qty],T_Shipments[Part Name],$A29,T_Shipments[Effective_Week],84))</f>
        <v/>
      </c>
      <c r="CH29">
        <f>IF(COUNTIF(Material_Detail!$DE:$DE,$A29)&gt;0,IF(ISNUMBER(SEARCH("[済]",INDEX(Material_Detail!$D:$DC,MATCH($A29,Material_Detail!$DE:$DE,0)+1,85))),0,IFERROR(INDEX(Material_Detail!$D:$DC,MATCH($A29,Material_Detail!$DE:$DE,0),85),0)),SUMIFS(T_Shipments[Confirmed_Qty],T_Shipments[Part Name],$A29,T_Shipments[Effective_Week],85))</f>
        <v/>
      </c>
      <c r="CI29">
        <f>IF(COUNTIF(Material_Detail!$DE:$DE,$A29)&gt;0,IF(ISNUMBER(SEARCH("[済]",INDEX(Material_Detail!$D:$DC,MATCH($A29,Material_Detail!$DE:$DE,0)+1,86))),0,IFERROR(INDEX(Material_Detail!$D:$DC,MATCH($A29,Material_Detail!$DE:$DE,0),86),0)),SUMIFS(T_Shipments[Confirmed_Qty],T_Shipments[Part Name],$A29,T_Shipments[Effective_Week],86))</f>
        <v/>
      </c>
      <c r="CJ29">
        <f>IF(COUNTIF(Material_Detail!$DE:$DE,$A29)&gt;0,IF(ISNUMBER(SEARCH("[済]",INDEX(Material_Detail!$D:$DC,MATCH($A29,Material_Detail!$DE:$DE,0)+1,87))),0,IFERROR(INDEX(Material_Detail!$D:$DC,MATCH($A29,Material_Detail!$DE:$DE,0),87),0)),SUMIFS(T_Shipments[Confirmed_Qty],T_Shipments[Part Name],$A29,T_Shipments[Effective_Week],87))</f>
        <v/>
      </c>
      <c r="CK29">
        <f>IF(COUNTIF(Material_Detail!$DE:$DE,$A29)&gt;0,IF(ISNUMBER(SEARCH("[済]",INDEX(Material_Detail!$D:$DC,MATCH($A29,Material_Detail!$DE:$DE,0)+1,88))),0,IFERROR(INDEX(Material_Detail!$D:$DC,MATCH($A29,Material_Detail!$DE:$DE,0),88),0)),SUMIFS(T_Shipments[Confirmed_Qty],T_Shipments[Part Name],$A29,T_Shipments[Effective_Week],88))</f>
        <v/>
      </c>
      <c r="CL29">
        <f>IF(COUNTIF(Material_Detail!$DE:$DE,$A29)&gt;0,IF(ISNUMBER(SEARCH("[済]",INDEX(Material_Detail!$D:$DC,MATCH($A29,Material_Detail!$DE:$DE,0)+1,89))),0,IFERROR(INDEX(Material_Detail!$D:$DC,MATCH($A29,Material_Detail!$DE:$DE,0),89),0)),SUMIFS(T_Shipments[Confirmed_Qty],T_Shipments[Part Name],$A29,T_Shipments[Effective_Week],89))</f>
        <v/>
      </c>
      <c r="CM29">
        <f>IF(COUNTIF(Material_Detail!$DE:$DE,$A29)&gt;0,IF(ISNUMBER(SEARCH("[済]",INDEX(Material_Detail!$D:$DC,MATCH($A29,Material_Detail!$DE:$DE,0)+1,90))),0,IFERROR(INDEX(Material_Detail!$D:$DC,MATCH($A29,Material_Detail!$DE:$DE,0),90),0)),SUMIFS(T_Shipments[Confirmed_Qty],T_Shipments[Part Name],$A29,T_Shipments[Effective_Week],90))</f>
        <v/>
      </c>
      <c r="CN29">
        <f>IF(COUNTIF(Material_Detail!$DE:$DE,$A29)&gt;0,IF(ISNUMBER(SEARCH("[済]",INDEX(Material_Detail!$D:$DC,MATCH($A29,Material_Detail!$DE:$DE,0)+1,91))),0,IFERROR(INDEX(Material_Detail!$D:$DC,MATCH($A29,Material_Detail!$DE:$DE,0),91),0)),SUMIFS(T_Shipments[Confirmed_Qty],T_Shipments[Part Name],$A29,T_Shipments[Effective_Week],91))</f>
        <v/>
      </c>
      <c r="CO29">
        <f>IF(COUNTIF(Material_Detail!$DE:$DE,$A29)&gt;0,IF(ISNUMBER(SEARCH("[済]",INDEX(Material_Detail!$D:$DC,MATCH($A29,Material_Detail!$DE:$DE,0)+1,92))),0,IFERROR(INDEX(Material_Detail!$D:$DC,MATCH($A29,Material_Detail!$DE:$DE,0),92),0)),SUMIFS(T_Shipments[Confirmed_Qty],T_Shipments[Part Name],$A29,T_Shipments[Effective_Week],92))</f>
        <v/>
      </c>
      <c r="CP29">
        <f>IF(COUNTIF(Material_Detail!$DE:$DE,$A29)&gt;0,IF(ISNUMBER(SEARCH("[済]",INDEX(Material_Detail!$D:$DC,MATCH($A29,Material_Detail!$DE:$DE,0)+1,93))),0,IFERROR(INDEX(Material_Detail!$D:$DC,MATCH($A29,Material_Detail!$DE:$DE,0),93),0)),SUMIFS(T_Shipments[Confirmed_Qty],T_Shipments[Part Name],$A29,T_Shipments[Effective_Week],93))</f>
        <v/>
      </c>
      <c r="CQ29">
        <f>IF(COUNTIF(Material_Detail!$DE:$DE,$A29)&gt;0,IF(ISNUMBER(SEARCH("[済]",INDEX(Material_Detail!$D:$DC,MATCH($A29,Material_Detail!$DE:$DE,0)+1,94))),0,IFERROR(INDEX(Material_Detail!$D:$DC,MATCH($A29,Material_Detail!$DE:$DE,0),94),0)),SUMIFS(T_Shipments[Confirmed_Qty],T_Shipments[Part Name],$A29,T_Shipments[Effective_Week],94))</f>
        <v/>
      </c>
      <c r="CR29">
        <f>IF(COUNTIF(Material_Detail!$DE:$DE,$A29)&gt;0,IF(ISNUMBER(SEARCH("[済]",INDEX(Material_Detail!$D:$DC,MATCH($A29,Material_Detail!$DE:$DE,0)+1,95))),0,IFERROR(INDEX(Material_Detail!$D:$DC,MATCH($A29,Material_Detail!$DE:$DE,0),95),0)),SUMIFS(T_Shipments[Confirmed_Qty],T_Shipments[Part Name],$A29,T_Shipments[Effective_Week],95))</f>
        <v/>
      </c>
      <c r="CS29">
        <f>IF(COUNTIF(Material_Detail!$DE:$DE,$A29)&gt;0,IF(ISNUMBER(SEARCH("[済]",INDEX(Material_Detail!$D:$DC,MATCH($A29,Material_Detail!$DE:$DE,0)+1,96))),0,IFERROR(INDEX(Material_Detail!$D:$DC,MATCH($A29,Material_Detail!$DE:$DE,0),96),0)),SUMIFS(T_Shipments[Confirmed_Qty],T_Shipments[Part Name],$A29,T_Shipments[Effective_Week],96))</f>
        <v/>
      </c>
      <c r="CT29">
        <f>IF(COUNTIF(Material_Detail!$DE:$DE,$A29)&gt;0,IF(ISNUMBER(SEARCH("[済]",INDEX(Material_Detail!$D:$DC,MATCH($A29,Material_Detail!$DE:$DE,0)+1,97))),0,IFERROR(INDEX(Material_Detail!$D:$DC,MATCH($A29,Material_Detail!$DE:$DE,0),97),0)),SUMIFS(T_Shipments[Confirmed_Qty],T_Shipments[Part Name],$A29,T_Shipments[Effective_Week],97))</f>
        <v/>
      </c>
      <c r="CU29">
        <f>IF(COUNTIF(Material_Detail!$DE:$DE,$A29)&gt;0,IF(ISNUMBER(SEARCH("[済]",INDEX(Material_Detail!$D:$DC,MATCH($A29,Material_Detail!$DE:$DE,0)+1,98))),0,IFERROR(INDEX(Material_Detail!$D:$DC,MATCH($A29,Material_Detail!$DE:$DE,0),98),0)),SUMIFS(T_Shipments[Confirmed_Qty],T_Shipments[Part Name],$A29,T_Shipments[Effective_Week],98))</f>
        <v/>
      </c>
      <c r="CV29">
        <f>IF(COUNTIF(Material_Detail!$DE:$DE,$A29)&gt;0,IF(ISNUMBER(SEARCH("[済]",INDEX(Material_Detail!$D:$DC,MATCH($A29,Material_Detail!$DE:$DE,0)+1,99))),0,IFERROR(INDEX(Material_Detail!$D:$DC,MATCH($A29,Material_Detail!$DE:$DE,0),99),0)),SUMIFS(T_Shipments[Confirmed_Qty],T_Shipments[Part Name],$A29,T_Shipments[Effective_Week],99))</f>
        <v/>
      </c>
      <c r="CW29">
        <f>IF(COUNTIF(Material_Detail!$DE:$DE,$A29)&gt;0,IF(ISNUMBER(SEARCH("[済]",INDEX(Material_Detail!$D:$DC,MATCH($A29,Material_Detail!$DE:$DE,0)+1,100))),0,IFERROR(INDEX(Material_Detail!$D:$DC,MATCH($A29,Material_Detail!$DE:$DE,0),100),0)),SUMIFS(T_Shipments[Confirmed_Qty],T_Shipments[Part Name],$A29,T_Shipments[Effective_Week],100))</f>
        <v/>
      </c>
      <c r="CX29">
        <f>IF(COUNTIF(Material_Detail!$DE:$DE,$A29)&gt;0,IF(ISNUMBER(SEARCH("[済]",INDEX(Material_Detail!$D:$DC,MATCH($A29,Material_Detail!$DE:$DE,0)+1,101))),0,IFERROR(INDEX(Material_Detail!$D:$DC,MATCH($A29,Material_Detail!$DE:$DE,0),101),0)),SUMIFS(T_Shipments[Confirmed_Qty],T_Shipments[Part Name],$A29,T_Shipments[Effective_Week],101))</f>
        <v/>
      </c>
      <c r="CY29">
        <f>IF(COUNTIF(Material_Detail!$DE:$DE,$A29)&gt;0,IF(ISNUMBER(SEARCH("[済]",INDEX(Material_Detail!$D:$DC,MATCH($A29,Material_Detail!$DE:$DE,0)+1,102))),0,IFERROR(INDEX(Material_Detail!$D:$DC,MATCH($A29,Material_Detail!$DE:$DE,0),102),0)),SUMIFS(T_Shipments[Confirmed_Qty],T_Shipments[Part Name],$A29,T_Shipments[Effective_Week],102))</f>
        <v/>
      </c>
      <c r="CZ29">
        <f>IF(COUNTIF(Material_Detail!$DE:$DE,$A29)&gt;0,IF(ISNUMBER(SEARCH("[済]",INDEX(Material_Detail!$D:$DC,MATCH($A29,Material_Detail!$DE:$DE,0)+1,103))),0,IFERROR(INDEX(Material_Detail!$D:$DC,MATCH($A29,Material_Detail!$DE:$DE,0),103),0)),SUMIFS(T_Shipments[Confirmed_Qty],T_Shipments[Part Name],$A29,T_Shipments[Effective_Week],103))</f>
        <v/>
      </c>
      <c r="DA29">
        <f>IF(COUNTIF(Material_Detail!$DE:$DE,$A29)&gt;0,IF(ISNUMBER(SEARCH("[済]",INDEX(Material_Detail!$D:$DC,MATCH($A29,Material_Detail!$DE:$DE,0)+1,104))),0,IFERROR(INDEX(Material_Detail!$D:$DC,MATCH($A29,Material_Detail!$DE:$DE,0),104),0)),SUMIFS(T_Shipments[Confirmed_Qty],T_Shipments[Part Name],$A29,T_Shipments[Effective_Week],104))</f>
        <v/>
      </c>
    </row>
    <row r="30">
      <c r="A30" t="inlineStr">
        <is>
          <t>CHEM-1550</t>
        </is>
      </c>
      <c r="B30">
        <f>IF(COUNTIF(Material_Detail!$DE:$DE,$A30)&gt;0,IF(ISNUMBER(SEARCH("[済]",INDEX(Material_Detail!$D:$DC,MATCH($A30,Material_Detail!$DE:$DE,0)+1,1))),0,IFERROR(INDEX(Material_Detail!$D:$DC,MATCH($A30,Material_Detail!$DE:$DE,0),1),0)),SUMIFS(T_Shipments[Confirmed_Qty],T_Shipments[Part Name],$A30,T_Shipments[Effective_Week],1))</f>
        <v/>
      </c>
      <c r="C30">
        <f>IF(COUNTIF(Material_Detail!$DE:$DE,$A30)&gt;0,IF(ISNUMBER(SEARCH("[済]",INDEX(Material_Detail!$D:$DC,MATCH($A30,Material_Detail!$DE:$DE,0)+1,2))),0,IFERROR(INDEX(Material_Detail!$D:$DC,MATCH($A30,Material_Detail!$DE:$DE,0),2),0)),SUMIFS(T_Shipments[Confirmed_Qty],T_Shipments[Part Name],$A30,T_Shipments[Effective_Week],2))</f>
        <v/>
      </c>
      <c r="D30">
        <f>IF(COUNTIF(Material_Detail!$DE:$DE,$A30)&gt;0,IF(ISNUMBER(SEARCH("[済]",INDEX(Material_Detail!$D:$DC,MATCH($A30,Material_Detail!$DE:$DE,0)+1,3))),0,IFERROR(INDEX(Material_Detail!$D:$DC,MATCH($A30,Material_Detail!$DE:$DE,0),3),0)),SUMIFS(T_Shipments[Confirmed_Qty],T_Shipments[Part Name],$A30,T_Shipments[Effective_Week],3))</f>
        <v/>
      </c>
      <c r="E30">
        <f>IF(COUNTIF(Material_Detail!$DE:$DE,$A30)&gt;0,IF(ISNUMBER(SEARCH("[済]",INDEX(Material_Detail!$D:$DC,MATCH($A30,Material_Detail!$DE:$DE,0)+1,4))),0,IFERROR(INDEX(Material_Detail!$D:$DC,MATCH($A30,Material_Detail!$DE:$DE,0),4),0)),SUMIFS(T_Shipments[Confirmed_Qty],T_Shipments[Part Name],$A30,T_Shipments[Effective_Week],4))</f>
        <v/>
      </c>
      <c r="F30">
        <f>IF(COUNTIF(Material_Detail!$DE:$DE,$A30)&gt;0,IF(ISNUMBER(SEARCH("[済]",INDEX(Material_Detail!$D:$DC,MATCH($A30,Material_Detail!$DE:$DE,0)+1,5))),0,IFERROR(INDEX(Material_Detail!$D:$DC,MATCH($A30,Material_Detail!$DE:$DE,0),5),0)),SUMIFS(T_Shipments[Confirmed_Qty],T_Shipments[Part Name],$A30,T_Shipments[Effective_Week],5))</f>
        <v/>
      </c>
      <c r="G30">
        <f>IF(COUNTIF(Material_Detail!$DE:$DE,$A30)&gt;0,IF(ISNUMBER(SEARCH("[済]",INDEX(Material_Detail!$D:$DC,MATCH($A30,Material_Detail!$DE:$DE,0)+1,6))),0,IFERROR(INDEX(Material_Detail!$D:$DC,MATCH($A30,Material_Detail!$DE:$DE,0),6),0)),SUMIFS(T_Shipments[Confirmed_Qty],T_Shipments[Part Name],$A30,T_Shipments[Effective_Week],6))</f>
        <v/>
      </c>
      <c r="H30">
        <f>IF(COUNTIF(Material_Detail!$DE:$DE,$A30)&gt;0,IF(ISNUMBER(SEARCH("[済]",INDEX(Material_Detail!$D:$DC,MATCH($A30,Material_Detail!$DE:$DE,0)+1,7))),0,IFERROR(INDEX(Material_Detail!$D:$DC,MATCH($A30,Material_Detail!$DE:$DE,0),7),0)),SUMIFS(T_Shipments[Confirmed_Qty],T_Shipments[Part Name],$A30,T_Shipments[Effective_Week],7))</f>
        <v/>
      </c>
      <c r="I30">
        <f>IF(COUNTIF(Material_Detail!$DE:$DE,$A30)&gt;0,IF(ISNUMBER(SEARCH("[済]",INDEX(Material_Detail!$D:$DC,MATCH($A30,Material_Detail!$DE:$DE,0)+1,8))),0,IFERROR(INDEX(Material_Detail!$D:$DC,MATCH($A30,Material_Detail!$DE:$DE,0),8),0)),SUMIFS(T_Shipments[Confirmed_Qty],T_Shipments[Part Name],$A30,T_Shipments[Effective_Week],8))</f>
        <v/>
      </c>
      <c r="J30">
        <f>IF(COUNTIF(Material_Detail!$DE:$DE,$A30)&gt;0,IF(ISNUMBER(SEARCH("[済]",INDEX(Material_Detail!$D:$DC,MATCH($A30,Material_Detail!$DE:$DE,0)+1,9))),0,IFERROR(INDEX(Material_Detail!$D:$DC,MATCH($A30,Material_Detail!$DE:$DE,0),9),0)),SUMIFS(T_Shipments[Confirmed_Qty],T_Shipments[Part Name],$A30,T_Shipments[Effective_Week],9))</f>
        <v/>
      </c>
      <c r="K30">
        <f>IF(COUNTIF(Material_Detail!$DE:$DE,$A30)&gt;0,IF(ISNUMBER(SEARCH("[済]",INDEX(Material_Detail!$D:$DC,MATCH($A30,Material_Detail!$DE:$DE,0)+1,10))),0,IFERROR(INDEX(Material_Detail!$D:$DC,MATCH($A30,Material_Detail!$DE:$DE,0),10),0)),SUMIFS(T_Shipments[Confirmed_Qty],T_Shipments[Part Name],$A30,T_Shipments[Effective_Week],10))</f>
        <v/>
      </c>
      <c r="L30">
        <f>IF(COUNTIF(Material_Detail!$DE:$DE,$A30)&gt;0,IF(ISNUMBER(SEARCH("[済]",INDEX(Material_Detail!$D:$DC,MATCH($A30,Material_Detail!$DE:$DE,0)+1,11))),0,IFERROR(INDEX(Material_Detail!$D:$DC,MATCH($A30,Material_Detail!$DE:$DE,0),11),0)),SUMIFS(T_Shipments[Confirmed_Qty],T_Shipments[Part Name],$A30,T_Shipments[Effective_Week],11))</f>
        <v/>
      </c>
      <c r="M30">
        <f>IF(COUNTIF(Material_Detail!$DE:$DE,$A30)&gt;0,IF(ISNUMBER(SEARCH("[済]",INDEX(Material_Detail!$D:$DC,MATCH($A30,Material_Detail!$DE:$DE,0)+1,12))),0,IFERROR(INDEX(Material_Detail!$D:$DC,MATCH($A30,Material_Detail!$DE:$DE,0),12),0)),SUMIFS(T_Shipments[Confirmed_Qty],T_Shipments[Part Name],$A30,T_Shipments[Effective_Week],12))</f>
        <v/>
      </c>
      <c r="N30">
        <f>IF(COUNTIF(Material_Detail!$DE:$DE,$A30)&gt;0,IF(ISNUMBER(SEARCH("[済]",INDEX(Material_Detail!$D:$DC,MATCH($A30,Material_Detail!$DE:$DE,0)+1,13))),0,IFERROR(INDEX(Material_Detail!$D:$DC,MATCH($A30,Material_Detail!$DE:$DE,0),13),0)),SUMIFS(T_Shipments[Confirmed_Qty],T_Shipments[Part Name],$A30,T_Shipments[Effective_Week],13))</f>
        <v/>
      </c>
      <c r="O30">
        <f>IF(COUNTIF(Material_Detail!$DE:$DE,$A30)&gt;0,IF(ISNUMBER(SEARCH("[済]",INDEX(Material_Detail!$D:$DC,MATCH($A30,Material_Detail!$DE:$DE,0)+1,14))),0,IFERROR(INDEX(Material_Detail!$D:$DC,MATCH($A30,Material_Detail!$DE:$DE,0),14),0)),SUMIFS(T_Shipments[Confirmed_Qty],T_Shipments[Part Name],$A30,T_Shipments[Effective_Week],14))</f>
        <v/>
      </c>
      <c r="P30">
        <f>IF(COUNTIF(Material_Detail!$DE:$DE,$A30)&gt;0,IF(ISNUMBER(SEARCH("[済]",INDEX(Material_Detail!$D:$DC,MATCH($A30,Material_Detail!$DE:$DE,0)+1,15))),0,IFERROR(INDEX(Material_Detail!$D:$DC,MATCH($A30,Material_Detail!$DE:$DE,0),15),0)),SUMIFS(T_Shipments[Confirmed_Qty],T_Shipments[Part Name],$A30,T_Shipments[Effective_Week],15))</f>
        <v/>
      </c>
      <c r="Q30">
        <f>IF(COUNTIF(Material_Detail!$DE:$DE,$A30)&gt;0,IF(ISNUMBER(SEARCH("[済]",INDEX(Material_Detail!$D:$DC,MATCH($A30,Material_Detail!$DE:$DE,0)+1,16))),0,IFERROR(INDEX(Material_Detail!$D:$DC,MATCH($A30,Material_Detail!$DE:$DE,0),16),0)),SUMIFS(T_Shipments[Confirmed_Qty],T_Shipments[Part Name],$A30,T_Shipments[Effective_Week],16))</f>
        <v/>
      </c>
      <c r="R30">
        <f>IF(COUNTIF(Material_Detail!$DE:$DE,$A30)&gt;0,IF(ISNUMBER(SEARCH("[済]",INDEX(Material_Detail!$D:$DC,MATCH($A30,Material_Detail!$DE:$DE,0)+1,17))),0,IFERROR(INDEX(Material_Detail!$D:$DC,MATCH($A30,Material_Detail!$DE:$DE,0),17),0)),SUMIFS(T_Shipments[Confirmed_Qty],T_Shipments[Part Name],$A30,T_Shipments[Effective_Week],17))</f>
        <v/>
      </c>
      <c r="S30">
        <f>IF(COUNTIF(Material_Detail!$DE:$DE,$A30)&gt;0,IF(ISNUMBER(SEARCH("[済]",INDEX(Material_Detail!$D:$DC,MATCH($A30,Material_Detail!$DE:$DE,0)+1,18))),0,IFERROR(INDEX(Material_Detail!$D:$DC,MATCH($A30,Material_Detail!$DE:$DE,0),18),0)),SUMIFS(T_Shipments[Confirmed_Qty],T_Shipments[Part Name],$A30,T_Shipments[Effective_Week],18))</f>
        <v/>
      </c>
      <c r="T30">
        <f>IF(COUNTIF(Material_Detail!$DE:$DE,$A30)&gt;0,IF(ISNUMBER(SEARCH("[済]",INDEX(Material_Detail!$D:$DC,MATCH($A30,Material_Detail!$DE:$DE,0)+1,19))),0,IFERROR(INDEX(Material_Detail!$D:$DC,MATCH($A30,Material_Detail!$DE:$DE,0),19),0)),SUMIFS(T_Shipments[Confirmed_Qty],T_Shipments[Part Name],$A30,T_Shipments[Effective_Week],19))</f>
        <v/>
      </c>
      <c r="U30">
        <f>IF(COUNTIF(Material_Detail!$DE:$DE,$A30)&gt;0,IF(ISNUMBER(SEARCH("[済]",INDEX(Material_Detail!$D:$DC,MATCH($A30,Material_Detail!$DE:$DE,0)+1,20))),0,IFERROR(INDEX(Material_Detail!$D:$DC,MATCH($A30,Material_Detail!$DE:$DE,0),20),0)),SUMIFS(T_Shipments[Confirmed_Qty],T_Shipments[Part Name],$A30,T_Shipments[Effective_Week],20))</f>
        <v/>
      </c>
      <c r="V30">
        <f>IF(COUNTIF(Material_Detail!$DE:$DE,$A30)&gt;0,IF(ISNUMBER(SEARCH("[済]",INDEX(Material_Detail!$D:$DC,MATCH($A30,Material_Detail!$DE:$DE,0)+1,21))),0,IFERROR(INDEX(Material_Detail!$D:$DC,MATCH($A30,Material_Detail!$DE:$DE,0),21),0)),SUMIFS(T_Shipments[Confirmed_Qty],T_Shipments[Part Name],$A30,T_Shipments[Effective_Week],21))</f>
        <v/>
      </c>
      <c r="W30">
        <f>IF(COUNTIF(Material_Detail!$DE:$DE,$A30)&gt;0,IF(ISNUMBER(SEARCH("[済]",INDEX(Material_Detail!$D:$DC,MATCH($A30,Material_Detail!$DE:$DE,0)+1,22))),0,IFERROR(INDEX(Material_Detail!$D:$DC,MATCH($A30,Material_Detail!$DE:$DE,0),22),0)),SUMIFS(T_Shipments[Confirmed_Qty],T_Shipments[Part Name],$A30,T_Shipments[Effective_Week],22))</f>
        <v/>
      </c>
      <c r="X30">
        <f>IF(COUNTIF(Material_Detail!$DE:$DE,$A30)&gt;0,IF(ISNUMBER(SEARCH("[済]",INDEX(Material_Detail!$D:$DC,MATCH($A30,Material_Detail!$DE:$DE,0)+1,23))),0,IFERROR(INDEX(Material_Detail!$D:$DC,MATCH($A30,Material_Detail!$DE:$DE,0),23),0)),SUMIFS(T_Shipments[Confirmed_Qty],T_Shipments[Part Name],$A30,T_Shipments[Effective_Week],23))</f>
        <v/>
      </c>
      <c r="Y30">
        <f>IF(COUNTIF(Material_Detail!$DE:$DE,$A30)&gt;0,IF(ISNUMBER(SEARCH("[済]",INDEX(Material_Detail!$D:$DC,MATCH($A30,Material_Detail!$DE:$DE,0)+1,24))),0,IFERROR(INDEX(Material_Detail!$D:$DC,MATCH($A30,Material_Detail!$DE:$DE,0),24),0)),SUMIFS(T_Shipments[Confirmed_Qty],T_Shipments[Part Name],$A30,T_Shipments[Effective_Week],24))</f>
        <v/>
      </c>
      <c r="Z30">
        <f>IF(COUNTIF(Material_Detail!$DE:$DE,$A30)&gt;0,IF(ISNUMBER(SEARCH("[済]",INDEX(Material_Detail!$D:$DC,MATCH($A30,Material_Detail!$DE:$DE,0)+1,25))),0,IFERROR(INDEX(Material_Detail!$D:$DC,MATCH($A30,Material_Detail!$DE:$DE,0),25),0)),SUMIFS(T_Shipments[Confirmed_Qty],T_Shipments[Part Name],$A30,T_Shipments[Effective_Week],25))</f>
        <v/>
      </c>
      <c r="AA30">
        <f>IF(COUNTIF(Material_Detail!$DE:$DE,$A30)&gt;0,IF(ISNUMBER(SEARCH("[済]",INDEX(Material_Detail!$D:$DC,MATCH($A30,Material_Detail!$DE:$DE,0)+1,26))),0,IFERROR(INDEX(Material_Detail!$D:$DC,MATCH($A30,Material_Detail!$DE:$DE,0),26),0)),SUMIFS(T_Shipments[Confirmed_Qty],T_Shipments[Part Name],$A30,T_Shipments[Effective_Week],26))</f>
        <v/>
      </c>
      <c r="AB30">
        <f>IF(COUNTIF(Material_Detail!$DE:$DE,$A30)&gt;0,IF(ISNUMBER(SEARCH("[済]",INDEX(Material_Detail!$D:$DC,MATCH($A30,Material_Detail!$DE:$DE,0)+1,27))),0,IFERROR(INDEX(Material_Detail!$D:$DC,MATCH($A30,Material_Detail!$DE:$DE,0),27),0)),SUMIFS(T_Shipments[Confirmed_Qty],T_Shipments[Part Name],$A30,T_Shipments[Effective_Week],27))</f>
        <v/>
      </c>
      <c r="AC30">
        <f>IF(COUNTIF(Material_Detail!$DE:$DE,$A30)&gt;0,IF(ISNUMBER(SEARCH("[済]",INDEX(Material_Detail!$D:$DC,MATCH($A30,Material_Detail!$DE:$DE,0)+1,28))),0,IFERROR(INDEX(Material_Detail!$D:$DC,MATCH($A30,Material_Detail!$DE:$DE,0),28),0)),SUMIFS(T_Shipments[Confirmed_Qty],T_Shipments[Part Name],$A30,T_Shipments[Effective_Week],28))</f>
        <v/>
      </c>
      <c r="AD30">
        <f>IF(COUNTIF(Material_Detail!$DE:$DE,$A30)&gt;0,IF(ISNUMBER(SEARCH("[済]",INDEX(Material_Detail!$D:$DC,MATCH($A30,Material_Detail!$DE:$DE,0)+1,29))),0,IFERROR(INDEX(Material_Detail!$D:$DC,MATCH($A30,Material_Detail!$DE:$DE,0),29),0)),SUMIFS(T_Shipments[Confirmed_Qty],T_Shipments[Part Name],$A30,T_Shipments[Effective_Week],29))</f>
        <v/>
      </c>
      <c r="AE30">
        <f>IF(COUNTIF(Material_Detail!$DE:$DE,$A30)&gt;0,IF(ISNUMBER(SEARCH("[済]",INDEX(Material_Detail!$D:$DC,MATCH($A30,Material_Detail!$DE:$DE,0)+1,30))),0,IFERROR(INDEX(Material_Detail!$D:$DC,MATCH($A30,Material_Detail!$DE:$DE,0),30),0)),SUMIFS(T_Shipments[Confirmed_Qty],T_Shipments[Part Name],$A30,T_Shipments[Effective_Week],30))</f>
        <v/>
      </c>
      <c r="AF30">
        <f>IF(COUNTIF(Material_Detail!$DE:$DE,$A30)&gt;0,IF(ISNUMBER(SEARCH("[済]",INDEX(Material_Detail!$D:$DC,MATCH($A30,Material_Detail!$DE:$DE,0)+1,31))),0,IFERROR(INDEX(Material_Detail!$D:$DC,MATCH($A30,Material_Detail!$DE:$DE,0),31),0)),SUMIFS(T_Shipments[Confirmed_Qty],T_Shipments[Part Name],$A30,T_Shipments[Effective_Week],31))</f>
        <v/>
      </c>
      <c r="AG30">
        <f>IF(COUNTIF(Material_Detail!$DE:$DE,$A30)&gt;0,IF(ISNUMBER(SEARCH("[済]",INDEX(Material_Detail!$D:$DC,MATCH($A30,Material_Detail!$DE:$DE,0)+1,32))),0,IFERROR(INDEX(Material_Detail!$D:$DC,MATCH($A30,Material_Detail!$DE:$DE,0),32),0)),SUMIFS(T_Shipments[Confirmed_Qty],T_Shipments[Part Name],$A30,T_Shipments[Effective_Week],32))</f>
        <v/>
      </c>
      <c r="AH30">
        <f>IF(COUNTIF(Material_Detail!$DE:$DE,$A30)&gt;0,IF(ISNUMBER(SEARCH("[済]",INDEX(Material_Detail!$D:$DC,MATCH($A30,Material_Detail!$DE:$DE,0)+1,33))),0,IFERROR(INDEX(Material_Detail!$D:$DC,MATCH($A30,Material_Detail!$DE:$DE,0),33),0)),SUMIFS(T_Shipments[Confirmed_Qty],T_Shipments[Part Name],$A30,T_Shipments[Effective_Week],33))</f>
        <v/>
      </c>
      <c r="AI30">
        <f>IF(COUNTIF(Material_Detail!$DE:$DE,$A30)&gt;0,IF(ISNUMBER(SEARCH("[済]",INDEX(Material_Detail!$D:$DC,MATCH($A30,Material_Detail!$DE:$DE,0)+1,34))),0,IFERROR(INDEX(Material_Detail!$D:$DC,MATCH($A30,Material_Detail!$DE:$DE,0),34),0)),SUMIFS(T_Shipments[Confirmed_Qty],T_Shipments[Part Name],$A30,T_Shipments[Effective_Week],34))</f>
        <v/>
      </c>
      <c r="AJ30">
        <f>IF(COUNTIF(Material_Detail!$DE:$DE,$A30)&gt;0,IF(ISNUMBER(SEARCH("[済]",INDEX(Material_Detail!$D:$DC,MATCH($A30,Material_Detail!$DE:$DE,0)+1,35))),0,IFERROR(INDEX(Material_Detail!$D:$DC,MATCH($A30,Material_Detail!$DE:$DE,0),35),0)),SUMIFS(T_Shipments[Confirmed_Qty],T_Shipments[Part Name],$A30,T_Shipments[Effective_Week],35))</f>
        <v/>
      </c>
      <c r="AK30">
        <f>IF(COUNTIF(Material_Detail!$DE:$DE,$A30)&gt;0,IF(ISNUMBER(SEARCH("[済]",INDEX(Material_Detail!$D:$DC,MATCH($A30,Material_Detail!$DE:$DE,0)+1,36))),0,IFERROR(INDEX(Material_Detail!$D:$DC,MATCH($A30,Material_Detail!$DE:$DE,0),36),0)),SUMIFS(T_Shipments[Confirmed_Qty],T_Shipments[Part Name],$A30,T_Shipments[Effective_Week],36))</f>
        <v/>
      </c>
      <c r="AL30">
        <f>IF(COUNTIF(Material_Detail!$DE:$DE,$A30)&gt;0,IF(ISNUMBER(SEARCH("[済]",INDEX(Material_Detail!$D:$DC,MATCH($A30,Material_Detail!$DE:$DE,0)+1,37))),0,IFERROR(INDEX(Material_Detail!$D:$DC,MATCH($A30,Material_Detail!$DE:$DE,0),37),0)),SUMIFS(T_Shipments[Confirmed_Qty],T_Shipments[Part Name],$A30,T_Shipments[Effective_Week],37))</f>
        <v/>
      </c>
      <c r="AM30">
        <f>IF(COUNTIF(Material_Detail!$DE:$DE,$A30)&gt;0,IF(ISNUMBER(SEARCH("[済]",INDEX(Material_Detail!$D:$DC,MATCH($A30,Material_Detail!$DE:$DE,0)+1,38))),0,IFERROR(INDEX(Material_Detail!$D:$DC,MATCH($A30,Material_Detail!$DE:$DE,0),38),0)),SUMIFS(T_Shipments[Confirmed_Qty],T_Shipments[Part Name],$A30,T_Shipments[Effective_Week],38))</f>
        <v/>
      </c>
      <c r="AN30">
        <f>IF(COUNTIF(Material_Detail!$DE:$DE,$A30)&gt;0,IF(ISNUMBER(SEARCH("[済]",INDEX(Material_Detail!$D:$DC,MATCH($A30,Material_Detail!$DE:$DE,0)+1,39))),0,IFERROR(INDEX(Material_Detail!$D:$DC,MATCH($A30,Material_Detail!$DE:$DE,0),39),0)),SUMIFS(T_Shipments[Confirmed_Qty],T_Shipments[Part Name],$A30,T_Shipments[Effective_Week],39))</f>
        <v/>
      </c>
      <c r="AO30">
        <f>IF(COUNTIF(Material_Detail!$DE:$DE,$A30)&gt;0,IF(ISNUMBER(SEARCH("[済]",INDEX(Material_Detail!$D:$DC,MATCH($A30,Material_Detail!$DE:$DE,0)+1,40))),0,IFERROR(INDEX(Material_Detail!$D:$DC,MATCH($A30,Material_Detail!$DE:$DE,0),40),0)),SUMIFS(T_Shipments[Confirmed_Qty],T_Shipments[Part Name],$A30,T_Shipments[Effective_Week],40))</f>
        <v/>
      </c>
      <c r="AP30">
        <f>IF(COUNTIF(Material_Detail!$DE:$DE,$A30)&gt;0,IF(ISNUMBER(SEARCH("[済]",INDEX(Material_Detail!$D:$DC,MATCH($A30,Material_Detail!$DE:$DE,0)+1,41))),0,IFERROR(INDEX(Material_Detail!$D:$DC,MATCH($A30,Material_Detail!$DE:$DE,0),41),0)),SUMIFS(T_Shipments[Confirmed_Qty],T_Shipments[Part Name],$A30,T_Shipments[Effective_Week],41))</f>
        <v/>
      </c>
      <c r="AQ30">
        <f>IF(COUNTIF(Material_Detail!$DE:$DE,$A30)&gt;0,IF(ISNUMBER(SEARCH("[済]",INDEX(Material_Detail!$D:$DC,MATCH($A30,Material_Detail!$DE:$DE,0)+1,42))),0,IFERROR(INDEX(Material_Detail!$D:$DC,MATCH($A30,Material_Detail!$DE:$DE,0),42),0)),SUMIFS(T_Shipments[Confirmed_Qty],T_Shipments[Part Name],$A30,T_Shipments[Effective_Week],42))</f>
        <v/>
      </c>
      <c r="AR30">
        <f>IF(COUNTIF(Material_Detail!$DE:$DE,$A30)&gt;0,IF(ISNUMBER(SEARCH("[済]",INDEX(Material_Detail!$D:$DC,MATCH($A30,Material_Detail!$DE:$DE,0)+1,43))),0,IFERROR(INDEX(Material_Detail!$D:$DC,MATCH($A30,Material_Detail!$DE:$DE,0),43),0)),SUMIFS(T_Shipments[Confirmed_Qty],T_Shipments[Part Name],$A30,T_Shipments[Effective_Week],43))</f>
        <v/>
      </c>
      <c r="AS30">
        <f>IF(COUNTIF(Material_Detail!$DE:$DE,$A30)&gt;0,IF(ISNUMBER(SEARCH("[済]",INDEX(Material_Detail!$D:$DC,MATCH($A30,Material_Detail!$DE:$DE,0)+1,44))),0,IFERROR(INDEX(Material_Detail!$D:$DC,MATCH($A30,Material_Detail!$DE:$DE,0),44),0)),SUMIFS(T_Shipments[Confirmed_Qty],T_Shipments[Part Name],$A30,T_Shipments[Effective_Week],44))</f>
        <v/>
      </c>
      <c r="AT30">
        <f>IF(COUNTIF(Material_Detail!$DE:$DE,$A30)&gt;0,IF(ISNUMBER(SEARCH("[済]",INDEX(Material_Detail!$D:$DC,MATCH($A30,Material_Detail!$DE:$DE,0)+1,45))),0,IFERROR(INDEX(Material_Detail!$D:$DC,MATCH($A30,Material_Detail!$DE:$DE,0),45),0)),SUMIFS(T_Shipments[Confirmed_Qty],T_Shipments[Part Name],$A30,T_Shipments[Effective_Week],45))</f>
        <v/>
      </c>
      <c r="AU30">
        <f>IF(COUNTIF(Material_Detail!$DE:$DE,$A30)&gt;0,IF(ISNUMBER(SEARCH("[済]",INDEX(Material_Detail!$D:$DC,MATCH($A30,Material_Detail!$DE:$DE,0)+1,46))),0,IFERROR(INDEX(Material_Detail!$D:$DC,MATCH($A30,Material_Detail!$DE:$DE,0),46),0)),SUMIFS(T_Shipments[Confirmed_Qty],T_Shipments[Part Name],$A30,T_Shipments[Effective_Week],46))</f>
        <v/>
      </c>
      <c r="AV30">
        <f>IF(COUNTIF(Material_Detail!$DE:$DE,$A30)&gt;0,IF(ISNUMBER(SEARCH("[済]",INDEX(Material_Detail!$D:$DC,MATCH($A30,Material_Detail!$DE:$DE,0)+1,47))),0,IFERROR(INDEX(Material_Detail!$D:$DC,MATCH($A30,Material_Detail!$DE:$DE,0),47),0)),SUMIFS(T_Shipments[Confirmed_Qty],T_Shipments[Part Name],$A30,T_Shipments[Effective_Week],47))</f>
        <v/>
      </c>
      <c r="AW30">
        <f>IF(COUNTIF(Material_Detail!$DE:$DE,$A30)&gt;0,IF(ISNUMBER(SEARCH("[済]",INDEX(Material_Detail!$D:$DC,MATCH($A30,Material_Detail!$DE:$DE,0)+1,48))),0,IFERROR(INDEX(Material_Detail!$D:$DC,MATCH($A30,Material_Detail!$DE:$DE,0),48),0)),SUMIFS(T_Shipments[Confirmed_Qty],T_Shipments[Part Name],$A30,T_Shipments[Effective_Week],48))</f>
        <v/>
      </c>
      <c r="AX30">
        <f>IF(COUNTIF(Material_Detail!$DE:$DE,$A30)&gt;0,IF(ISNUMBER(SEARCH("[済]",INDEX(Material_Detail!$D:$DC,MATCH($A30,Material_Detail!$DE:$DE,0)+1,49))),0,IFERROR(INDEX(Material_Detail!$D:$DC,MATCH($A30,Material_Detail!$DE:$DE,0),49),0)),SUMIFS(T_Shipments[Confirmed_Qty],T_Shipments[Part Name],$A30,T_Shipments[Effective_Week],49))</f>
        <v/>
      </c>
      <c r="AY30">
        <f>IF(COUNTIF(Material_Detail!$DE:$DE,$A30)&gt;0,IF(ISNUMBER(SEARCH("[済]",INDEX(Material_Detail!$D:$DC,MATCH($A30,Material_Detail!$DE:$DE,0)+1,50))),0,IFERROR(INDEX(Material_Detail!$D:$DC,MATCH($A30,Material_Detail!$DE:$DE,0),50),0)),SUMIFS(T_Shipments[Confirmed_Qty],T_Shipments[Part Name],$A30,T_Shipments[Effective_Week],50))</f>
        <v/>
      </c>
      <c r="AZ30">
        <f>IF(COUNTIF(Material_Detail!$DE:$DE,$A30)&gt;0,IF(ISNUMBER(SEARCH("[済]",INDEX(Material_Detail!$D:$DC,MATCH($A30,Material_Detail!$DE:$DE,0)+1,51))),0,IFERROR(INDEX(Material_Detail!$D:$DC,MATCH($A30,Material_Detail!$DE:$DE,0),51),0)),SUMIFS(T_Shipments[Confirmed_Qty],T_Shipments[Part Name],$A30,T_Shipments[Effective_Week],51))</f>
        <v/>
      </c>
      <c r="BA30">
        <f>IF(COUNTIF(Material_Detail!$DE:$DE,$A30)&gt;0,IF(ISNUMBER(SEARCH("[済]",INDEX(Material_Detail!$D:$DC,MATCH($A30,Material_Detail!$DE:$DE,0)+1,52))),0,IFERROR(INDEX(Material_Detail!$D:$DC,MATCH($A30,Material_Detail!$DE:$DE,0),52),0)),SUMIFS(T_Shipments[Confirmed_Qty],T_Shipments[Part Name],$A30,T_Shipments[Effective_Week],52))</f>
        <v/>
      </c>
      <c r="BB30">
        <f>IF(COUNTIF(Material_Detail!$DE:$DE,$A30)&gt;0,IF(ISNUMBER(SEARCH("[済]",INDEX(Material_Detail!$D:$DC,MATCH($A30,Material_Detail!$DE:$DE,0)+1,53))),0,IFERROR(INDEX(Material_Detail!$D:$DC,MATCH($A30,Material_Detail!$DE:$DE,0),53),0)),SUMIFS(T_Shipments[Confirmed_Qty],T_Shipments[Part Name],$A30,T_Shipments[Effective_Week],53))</f>
        <v/>
      </c>
      <c r="BC30">
        <f>IF(COUNTIF(Material_Detail!$DE:$DE,$A30)&gt;0,IF(ISNUMBER(SEARCH("[済]",INDEX(Material_Detail!$D:$DC,MATCH($A30,Material_Detail!$DE:$DE,0)+1,54))),0,IFERROR(INDEX(Material_Detail!$D:$DC,MATCH($A30,Material_Detail!$DE:$DE,0),54),0)),SUMIFS(T_Shipments[Confirmed_Qty],T_Shipments[Part Name],$A30,T_Shipments[Effective_Week],54))</f>
        <v/>
      </c>
      <c r="BD30">
        <f>IF(COUNTIF(Material_Detail!$DE:$DE,$A30)&gt;0,IF(ISNUMBER(SEARCH("[済]",INDEX(Material_Detail!$D:$DC,MATCH($A30,Material_Detail!$DE:$DE,0)+1,55))),0,IFERROR(INDEX(Material_Detail!$D:$DC,MATCH($A30,Material_Detail!$DE:$DE,0),55),0)),SUMIFS(T_Shipments[Confirmed_Qty],T_Shipments[Part Name],$A30,T_Shipments[Effective_Week],55))</f>
        <v/>
      </c>
      <c r="BE30">
        <f>IF(COUNTIF(Material_Detail!$DE:$DE,$A30)&gt;0,IF(ISNUMBER(SEARCH("[済]",INDEX(Material_Detail!$D:$DC,MATCH($A30,Material_Detail!$DE:$DE,0)+1,56))),0,IFERROR(INDEX(Material_Detail!$D:$DC,MATCH($A30,Material_Detail!$DE:$DE,0),56),0)),SUMIFS(T_Shipments[Confirmed_Qty],T_Shipments[Part Name],$A30,T_Shipments[Effective_Week],56))</f>
        <v/>
      </c>
      <c r="BF30">
        <f>IF(COUNTIF(Material_Detail!$DE:$DE,$A30)&gt;0,IF(ISNUMBER(SEARCH("[済]",INDEX(Material_Detail!$D:$DC,MATCH($A30,Material_Detail!$DE:$DE,0)+1,57))),0,IFERROR(INDEX(Material_Detail!$D:$DC,MATCH($A30,Material_Detail!$DE:$DE,0),57),0)),SUMIFS(T_Shipments[Confirmed_Qty],T_Shipments[Part Name],$A30,T_Shipments[Effective_Week],57))</f>
        <v/>
      </c>
      <c r="BG30">
        <f>IF(COUNTIF(Material_Detail!$DE:$DE,$A30)&gt;0,IF(ISNUMBER(SEARCH("[済]",INDEX(Material_Detail!$D:$DC,MATCH($A30,Material_Detail!$DE:$DE,0)+1,58))),0,IFERROR(INDEX(Material_Detail!$D:$DC,MATCH($A30,Material_Detail!$DE:$DE,0),58),0)),SUMIFS(T_Shipments[Confirmed_Qty],T_Shipments[Part Name],$A30,T_Shipments[Effective_Week],58))</f>
        <v/>
      </c>
      <c r="BH30">
        <f>IF(COUNTIF(Material_Detail!$DE:$DE,$A30)&gt;0,IF(ISNUMBER(SEARCH("[済]",INDEX(Material_Detail!$D:$DC,MATCH($A30,Material_Detail!$DE:$DE,0)+1,59))),0,IFERROR(INDEX(Material_Detail!$D:$DC,MATCH($A30,Material_Detail!$DE:$DE,0),59),0)),SUMIFS(T_Shipments[Confirmed_Qty],T_Shipments[Part Name],$A30,T_Shipments[Effective_Week],59))</f>
        <v/>
      </c>
      <c r="BI30">
        <f>IF(COUNTIF(Material_Detail!$DE:$DE,$A30)&gt;0,IF(ISNUMBER(SEARCH("[済]",INDEX(Material_Detail!$D:$DC,MATCH($A30,Material_Detail!$DE:$DE,0)+1,60))),0,IFERROR(INDEX(Material_Detail!$D:$DC,MATCH($A30,Material_Detail!$DE:$DE,0),60),0)),SUMIFS(T_Shipments[Confirmed_Qty],T_Shipments[Part Name],$A30,T_Shipments[Effective_Week],60))</f>
        <v/>
      </c>
      <c r="BJ30">
        <f>IF(COUNTIF(Material_Detail!$DE:$DE,$A30)&gt;0,IF(ISNUMBER(SEARCH("[済]",INDEX(Material_Detail!$D:$DC,MATCH($A30,Material_Detail!$DE:$DE,0)+1,61))),0,IFERROR(INDEX(Material_Detail!$D:$DC,MATCH($A30,Material_Detail!$DE:$DE,0),61),0)),SUMIFS(T_Shipments[Confirmed_Qty],T_Shipments[Part Name],$A30,T_Shipments[Effective_Week],61))</f>
        <v/>
      </c>
      <c r="BK30">
        <f>IF(COUNTIF(Material_Detail!$DE:$DE,$A30)&gt;0,IF(ISNUMBER(SEARCH("[済]",INDEX(Material_Detail!$D:$DC,MATCH($A30,Material_Detail!$DE:$DE,0)+1,62))),0,IFERROR(INDEX(Material_Detail!$D:$DC,MATCH($A30,Material_Detail!$DE:$DE,0),62),0)),SUMIFS(T_Shipments[Confirmed_Qty],T_Shipments[Part Name],$A30,T_Shipments[Effective_Week],62))</f>
        <v/>
      </c>
      <c r="BL30">
        <f>IF(COUNTIF(Material_Detail!$DE:$DE,$A30)&gt;0,IF(ISNUMBER(SEARCH("[済]",INDEX(Material_Detail!$D:$DC,MATCH($A30,Material_Detail!$DE:$DE,0)+1,63))),0,IFERROR(INDEX(Material_Detail!$D:$DC,MATCH($A30,Material_Detail!$DE:$DE,0),63),0)),SUMIFS(T_Shipments[Confirmed_Qty],T_Shipments[Part Name],$A30,T_Shipments[Effective_Week],63))</f>
        <v/>
      </c>
      <c r="BM30">
        <f>IF(COUNTIF(Material_Detail!$DE:$DE,$A30)&gt;0,IF(ISNUMBER(SEARCH("[済]",INDEX(Material_Detail!$D:$DC,MATCH($A30,Material_Detail!$DE:$DE,0)+1,64))),0,IFERROR(INDEX(Material_Detail!$D:$DC,MATCH($A30,Material_Detail!$DE:$DE,0),64),0)),SUMIFS(T_Shipments[Confirmed_Qty],T_Shipments[Part Name],$A30,T_Shipments[Effective_Week],64))</f>
        <v/>
      </c>
      <c r="BN30">
        <f>IF(COUNTIF(Material_Detail!$DE:$DE,$A30)&gt;0,IF(ISNUMBER(SEARCH("[済]",INDEX(Material_Detail!$D:$DC,MATCH($A30,Material_Detail!$DE:$DE,0)+1,65))),0,IFERROR(INDEX(Material_Detail!$D:$DC,MATCH($A30,Material_Detail!$DE:$DE,0),65),0)),SUMIFS(T_Shipments[Confirmed_Qty],T_Shipments[Part Name],$A30,T_Shipments[Effective_Week],65))</f>
        <v/>
      </c>
      <c r="BO30">
        <f>IF(COUNTIF(Material_Detail!$DE:$DE,$A30)&gt;0,IF(ISNUMBER(SEARCH("[済]",INDEX(Material_Detail!$D:$DC,MATCH($A30,Material_Detail!$DE:$DE,0)+1,66))),0,IFERROR(INDEX(Material_Detail!$D:$DC,MATCH($A30,Material_Detail!$DE:$DE,0),66),0)),SUMIFS(T_Shipments[Confirmed_Qty],T_Shipments[Part Name],$A30,T_Shipments[Effective_Week],66))</f>
        <v/>
      </c>
      <c r="BP30">
        <f>IF(COUNTIF(Material_Detail!$DE:$DE,$A30)&gt;0,IF(ISNUMBER(SEARCH("[済]",INDEX(Material_Detail!$D:$DC,MATCH($A30,Material_Detail!$DE:$DE,0)+1,67))),0,IFERROR(INDEX(Material_Detail!$D:$DC,MATCH($A30,Material_Detail!$DE:$DE,0),67),0)),SUMIFS(T_Shipments[Confirmed_Qty],T_Shipments[Part Name],$A30,T_Shipments[Effective_Week],67))</f>
        <v/>
      </c>
      <c r="BQ30">
        <f>IF(COUNTIF(Material_Detail!$DE:$DE,$A30)&gt;0,IF(ISNUMBER(SEARCH("[済]",INDEX(Material_Detail!$D:$DC,MATCH($A30,Material_Detail!$DE:$DE,0)+1,68))),0,IFERROR(INDEX(Material_Detail!$D:$DC,MATCH($A30,Material_Detail!$DE:$DE,0),68),0)),SUMIFS(T_Shipments[Confirmed_Qty],T_Shipments[Part Name],$A30,T_Shipments[Effective_Week],68))</f>
        <v/>
      </c>
      <c r="BR30">
        <f>IF(COUNTIF(Material_Detail!$DE:$DE,$A30)&gt;0,IF(ISNUMBER(SEARCH("[済]",INDEX(Material_Detail!$D:$DC,MATCH($A30,Material_Detail!$DE:$DE,0)+1,69))),0,IFERROR(INDEX(Material_Detail!$D:$DC,MATCH($A30,Material_Detail!$DE:$DE,0),69),0)),SUMIFS(T_Shipments[Confirmed_Qty],T_Shipments[Part Name],$A30,T_Shipments[Effective_Week],69))</f>
        <v/>
      </c>
      <c r="BS30">
        <f>IF(COUNTIF(Material_Detail!$DE:$DE,$A30)&gt;0,IF(ISNUMBER(SEARCH("[済]",INDEX(Material_Detail!$D:$DC,MATCH($A30,Material_Detail!$DE:$DE,0)+1,70))),0,IFERROR(INDEX(Material_Detail!$D:$DC,MATCH($A30,Material_Detail!$DE:$DE,0),70),0)),SUMIFS(T_Shipments[Confirmed_Qty],T_Shipments[Part Name],$A30,T_Shipments[Effective_Week],70))</f>
        <v/>
      </c>
      <c r="BT30">
        <f>IF(COUNTIF(Material_Detail!$DE:$DE,$A30)&gt;0,IF(ISNUMBER(SEARCH("[済]",INDEX(Material_Detail!$D:$DC,MATCH($A30,Material_Detail!$DE:$DE,0)+1,71))),0,IFERROR(INDEX(Material_Detail!$D:$DC,MATCH($A30,Material_Detail!$DE:$DE,0),71),0)),SUMIFS(T_Shipments[Confirmed_Qty],T_Shipments[Part Name],$A30,T_Shipments[Effective_Week],71))</f>
        <v/>
      </c>
      <c r="BU30">
        <f>IF(COUNTIF(Material_Detail!$DE:$DE,$A30)&gt;0,IF(ISNUMBER(SEARCH("[済]",INDEX(Material_Detail!$D:$DC,MATCH($A30,Material_Detail!$DE:$DE,0)+1,72))),0,IFERROR(INDEX(Material_Detail!$D:$DC,MATCH($A30,Material_Detail!$DE:$DE,0),72),0)),SUMIFS(T_Shipments[Confirmed_Qty],T_Shipments[Part Name],$A30,T_Shipments[Effective_Week],72))</f>
        <v/>
      </c>
      <c r="BV30">
        <f>IF(COUNTIF(Material_Detail!$DE:$DE,$A30)&gt;0,IF(ISNUMBER(SEARCH("[済]",INDEX(Material_Detail!$D:$DC,MATCH($A30,Material_Detail!$DE:$DE,0)+1,73))),0,IFERROR(INDEX(Material_Detail!$D:$DC,MATCH($A30,Material_Detail!$DE:$DE,0),73),0)),SUMIFS(T_Shipments[Confirmed_Qty],T_Shipments[Part Name],$A30,T_Shipments[Effective_Week],73))</f>
        <v/>
      </c>
      <c r="BW30">
        <f>IF(COUNTIF(Material_Detail!$DE:$DE,$A30)&gt;0,IF(ISNUMBER(SEARCH("[済]",INDEX(Material_Detail!$D:$DC,MATCH($A30,Material_Detail!$DE:$DE,0)+1,74))),0,IFERROR(INDEX(Material_Detail!$D:$DC,MATCH($A30,Material_Detail!$DE:$DE,0),74),0)),SUMIFS(T_Shipments[Confirmed_Qty],T_Shipments[Part Name],$A30,T_Shipments[Effective_Week],74))</f>
        <v/>
      </c>
      <c r="BX30">
        <f>IF(COUNTIF(Material_Detail!$DE:$DE,$A30)&gt;0,IF(ISNUMBER(SEARCH("[済]",INDEX(Material_Detail!$D:$DC,MATCH($A30,Material_Detail!$DE:$DE,0)+1,75))),0,IFERROR(INDEX(Material_Detail!$D:$DC,MATCH($A30,Material_Detail!$DE:$DE,0),75),0)),SUMIFS(T_Shipments[Confirmed_Qty],T_Shipments[Part Name],$A30,T_Shipments[Effective_Week],75))</f>
        <v/>
      </c>
      <c r="BY30">
        <f>IF(COUNTIF(Material_Detail!$DE:$DE,$A30)&gt;0,IF(ISNUMBER(SEARCH("[済]",INDEX(Material_Detail!$D:$DC,MATCH($A30,Material_Detail!$DE:$DE,0)+1,76))),0,IFERROR(INDEX(Material_Detail!$D:$DC,MATCH($A30,Material_Detail!$DE:$DE,0),76),0)),SUMIFS(T_Shipments[Confirmed_Qty],T_Shipments[Part Name],$A30,T_Shipments[Effective_Week],76))</f>
        <v/>
      </c>
      <c r="BZ30">
        <f>IF(COUNTIF(Material_Detail!$DE:$DE,$A30)&gt;0,IF(ISNUMBER(SEARCH("[済]",INDEX(Material_Detail!$D:$DC,MATCH($A30,Material_Detail!$DE:$DE,0)+1,77))),0,IFERROR(INDEX(Material_Detail!$D:$DC,MATCH($A30,Material_Detail!$DE:$DE,0),77),0)),SUMIFS(T_Shipments[Confirmed_Qty],T_Shipments[Part Name],$A30,T_Shipments[Effective_Week],77))</f>
        <v/>
      </c>
      <c r="CA30">
        <f>IF(COUNTIF(Material_Detail!$DE:$DE,$A30)&gt;0,IF(ISNUMBER(SEARCH("[済]",INDEX(Material_Detail!$D:$DC,MATCH($A30,Material_Detail!$DE:$DE,0)+1,78))),0,IFERROR(INDEX(Material_Detail!$D:$DC,MATCH($A30,Material_Detail!$DE:$DE,0),78),0)),SUMIFS(T_Shipments[Confirmed_Qty],T_Shipments[Part Name],$A30,T_Shipments[Effective_Week],78))</f>
        <v/>
      </c>
      <c r="CB30">
        <f>IF(COUNTIF(Material_Detail!$DE:$DE,$A30)&gt;0,IF(ISNUMBER(SEARCH("[済]",INDEX(Material_Detail!$D:$DC,MATCH($A30,Material_Detail!$DE:$DE,0)+1,79))),0,IFERROR(INDEX(Material_Detail!$D:$DC,MATCH($A30,Material_Detail!$DE:$DE,0),79),0)),SUMIFS(T_Shipments[Confirmed_Qty],T_Shipments[Part Name],$A30,T_Shipments[Effective_Week],79))</f>
        <v/>
      </c>
      <c r="CC30">
        <f>IF(COUNTIF(Material_Detail!$DE:$DE,$A30)&gt;0,IF(ISNUMBER(SEARCH("[済]",INDEX(Material_Detail!$D:$DC,MATCH($A30,Material_Detail!$DE:$DE,0)+1,80))),0,IFERROR(INDEX(Material_Detail!$D:$DC,MATCH($A30,Material_Detail!$DE:$DE,0),80),0)),SUMIFS(T_Shipments[Confirmed_Qty],T_Shipments[Part Name],$A30,T_Shipments[Effective_Week],80))</f>
        <v/>
      </c>
      <c r="CD30">
        <f>IF(COUNTIF(Material_Detail!$DE:$DE,$A30)&gt;0,IF(ISNUMBER(SEARCH("[済]",INDEX(Material_Detail!$D:$DC,MATCH($A30,Material_Detail!$DE:$DE,0)+1,81))),0,IFERROR(INDEX(Material_Detail!$D:$DC,MATCH($A30,Material_Detail!$DE:$DE,0),81),0)),SUMIFS(T_Shipments[Confirmed_Qty],T_Shipments[Part Name],$A30,T_Shipments[Effective_Week],81))</f>
        <v/>
      </c>
      <c r="CE30">
        <f>IF(COUNTIF(Material_Detail!$DE:$DE,$A30)&gt;0,IF(ISNUMBER(SEARCH("[済]",INDEX(Material_Detail!$D:$DC,MATCH($A30,Material_Detail!$DE:$DE,0)+1,82))),0,IFERROR(INDEX(Material_Detail!$D:$DC,MATCH($A30,Material_Detail!$DE:$DE,0),82),0)),SUMIFS(T_Shipments[Confirmed_Qty],T_Shipments[Part Name],$A30,T_Shipments[Effective_Week],82))</f>
        <v/>
      </c>
      <c r="CF30">
        <f>IF(COUNTIF(Material_Detail!$DE:$DE,$A30)&gt;0,IF(ISNUMBER(SEARCH("[済]",INDEX(Material_Detail!$D:$DC,MATCH($A30,Material_Detail!$DE:$DE,0)+1,83))),0,IFERROR(INDEX(Material_Detail!$D:$DC,MATCH($A30,Material_Detail!$DE:$DE,0),83),0)),SUMIFS(T_Shipments[Confirmed_Qty],T_Shipments[Part Name],$A30,T_Shipments[Effective_Week],83))</f>
        <v/>
      </c>
      <c r="CG30">
        <f>IF(COUNTIF(Material_Detail!$DE:$DE,$A30)&gt;0,IF(ISNUMBER(SEARCH("[済]",INDEX(Material_Detail!$D:$DC,MATCH($A30,Material_Detail!$DE:$DE,0)+1,84))),0,IFERROR(INDEX(Material_Detail!$D:$DC,MATCH($A30,Material_Detail!$DE:$DE,0),84),0)),SUMIFS(T_Shipments[Confirmed_Qty],T_Shipments[Part Name],$A30,T_Shipments[Effective_Week],84))</f>
        <v/>
      </c>
      <c r="CH30">
        <f>IF(COUNTIF(Material_Detail!$DE:$DE,$A30)&gt;0,IF(ISNUMBER(SEARCH("[済]",INDEX(Material_Detail!$D:$DC,MATCH($A30,Material_Detail!$DE:$DE,0)+1,85))),0,IFERROR(INDEX(Material_Detail!$D:$DC,MATCH($A30,Material_Detail!$DE:$DE,0),85),0)),SUMIFS(T_Shipments[Confirmed_Qty],T_Shipments[Part Name],$A30,T_Shipments[Effective_Week],85))</f>
        <v/>
      </c>
      <c r="CI30">
        <f>IF(COUNTIF(Material_Detail!$DE:$DE,$A30)&gt;0,IF(ISNUMBER(SEARCH("[済]",INDEX(Material_Detail!$D:$DC,MATCH($A30,Material_Detail!$DE:$DE,0)+1,86))),0,IFERROR(INDEX(Material_Detail!$D:$DC,MATCH($A30,Material_Detail!$DE:$DE,0),86),0)),SUMIFS(T_Shipments[Confirmed_Qty],T_Shipments[Part Name],$A30,T_Shipments[Effective_Week],86))</f>
        <v/>
      </c>
      <c r="CJ30">
        <f>IF(COUNTIF(Material_Detail!$DE:$DE,$A30)&gt;0,IF(ISNUMBER(SEARCH("[済]",INDEX(Material_Detail!$D:$DC,MATCH($A30,Material_Detail!$DE:$DE,0)+1,87))),0,IFERROR(INDEX(Material_Detail!$D:$DC,MATCH($A30,Material_Detail!$DE:$DE,0),87),0)),SUMIFS(T_Shipments[Confirmed_Qty],T_Shipments[Part Name],$A30,T_Shipments[Effective_Week],87))</f>
        <v/>
      </c>
      <c r="CK30">
        <f>IF(COUNTIF(Material_Detail!$DE:$DE,$A30)&gt;0,IF(ISNUMBER(SEARCH("[済]",INDEX(Material_Detail!$D:$DC,MATCH($A30,Material_Detail!$DE:$DE,0)+1,88))),0,IFERROR(INDEX(Material_Detail!$D:$DC,MATCH($A30,Material_Detail!$DE:$DE,0),88),0)),SUMIFS(T_Shipments[Confirmed_Qty],T_Shipments[Part Name],$A30,T_Shipments[Effective_Week],88))</f>
        <v/>
      </c>
      <c r="CL30">
        <f>IF(COUNTIF(Material_Detail!$DE:$DE,$A30)&gt;0,IF(ISNUMBER(SEARCH("[済]",INDEX(Material_Detail!$D:$DC,MATCH($A30,Material_Detail!$DE:$DE,0)+1,89))),0,IFERROR(INDEX(Material_Detail!$D:$DC,MATCH($A30,Material_Detail!$DE:$DE,0),89),0)),SUMIFS(T_Shipments[Confirmed_Qty],T_Shipments[Part Name],$A30,T_Shipments[Effective_Week],89))</f>
        <v/>
      </c>
      <c r="CM30">
        <f>IF(COUNTIF(Material_Detail!$DE:$DE,$A30)&gt;0,IF(ISNUMBER(SEARCH("[済]",INDEX(Material_Detail!$D:$DC,MATCH($A30,Material_Detail!$DE:$DE,0)+1,90))),0,IFERROR(INDEX(Material_Detail!$D:$DC,MATCH($A30,Material_Detail!$DE:$DE,0),90),0)),SUMIFS(T_Shipments[Confirmed_Qty],T_Shipments[Part Name],$A30,T_Shipments[Effective_Week],90))</f>
        <v/>
      </c>
      <c r="CN30">
        <f>IF(COUNTIF(Material_Detail!$DE:$DE,$A30)&gt;0,IF(ISNUMBER(SEARCH("[済]",INDEX(Material_Detail!$D:$DC,MATCH($A30,Material_Detail!$DE:$DE,0)+1,91))),0,IFERROR(INDEX(Material_Detail!$D:$DC,MATCH($A30,Material_Detail!$DE:$DE,0),91),0)),SUMIFS(T_Shipments[Confirmed_Qty],T_Shipments[Part Name],$A30,T_Shipments[Effective_Week],91))</f>
        <v/>
      </c>
      <c r="CO30">
        <f>IF(COUNTIF(Material_Detail!$DE:$DE,$A30)&gt;0,IF(ISNUMBER(SEARCH("[済]",INDEX(Material_Detail!$D:$DC,MATCH($A30,Material_Detail!$DE:$DE,0)+1,92))),0,IFERROR(INDEX(Material_Detail!$D:$DC,MATCH($A30,Material_Detail!$DE:$DE,0),92),0)),SUMIFS(T_Shipments[Confirmed_Qty],T_Shipments[Part Name],$A30,T_Shipments[Effective_Week],92))</f>
        <v/>
      </c>
      <c r="CP30">
        <f>IF(COUNTIF(Material_Detail!$DE:$DE,$A30)&gt;0,IF(ISNUMBER(SEARCH("[済]",INDEX(Material_Detail!$D:$DC,MATCH($A30,Material_Detail!$DE:$DE,0)+1,93))),0,IFERROR(INDEX(Material_Detail!$D:$DC,MATCH($A30,Material_Detail!$DE:$DE,0),93),0)),SUMIFS(T_Shipments[Confirmed_Qty],T_Shipments[Part Name],$A30,T_Shipments[Effective_Week],93))</f>
        <v/>
      </c>
      <c r="CQ30">
        <f>IF(COUNTIF(Material_Detail!$DE:$DE,$A30)&gt;0,IF(ISNUMBER(SEARCH("[済]",INDEX(Material_Detail!$D:$DC,MATCH($A30,Material_Detail!$DE:$DE,0)+1,94))),0,IFERROR(INDEX(Material_Detail!$D:$DC,MATCH($A30,Material_Detail!$DE:$DE,0),94),0)),SUMIFS(T_Shipments[Confirmed_Qty],T_Shipments[Part Name],$A30,T_Shipments[Effective_Week],94))</f>
        <v/>
      </c>
      <c r="CR30">
        <f>IF(COUNTIF(Material_Detail!$DE:$DE,$A30)&gt;0,IF(ISNUMBER(SEARCH("[済]",INDEX(Material_Detail!$D:$DC,MATCH($A30,Material_Detail!$DE:$DE,0)+1,95))),0,IFERROR(INDEX(Material_Detail!$D:$DC,MATCH($A30,Material_Detail!$DE:$DE,0),95),0)),SUMIFS(T_Shipments[Confirmed_Qty],T_Shipments[Part Name],$A30,T_Shipments[Effective_Week],95))</f>
        <v/>
      </c>
      <c r="CS30">
        <f>IF(COUNTIF(Material_Detail!$DE:$DE,$A30)&gt;0,IF(ISNUMBER(SEARCH("[済]",INDEX(Material_Detail!$D:$DC,MATCH($A30,Material_Detail!$DE:$DE,0)+1,96))),0,IFERROR(INDEX(Material_Detail!$D:$DC,MATCH($A30,Material_Detail!$DE:$DE,0),96),0)),SUMIFS(T_Shipments[Confirmed_Qty],T_Shipments[Part Name],$A30,T_Shipments[Effective_Week],96))</f>
        <v/>
      </c>
      <c r="CT30">
        <f>IF(COUNTIF(Material_Detail!$DE:$DE,$A30)&gt;0,IF(ISNUMBER(SEARCH("[済]",INDEX(Material_Detail!$D:$DC,MATCH($A30,Material_Detail!$DE:$DE,0)+1,97))),0,IFERROR(INDEX(Material_Detail!$D:$DC,MATCH($A30,Material_Detail!$DE:$DE,0),97),0)),SUMIFS(T_Shipments[Confirmed_Qty],T_Shipments[Part Name],$A30,T_Shipments[Effective_Week],97))</f>
        <v/>
      </c>
      <c r="CU30">
        <f>IF(COUNTIF(Material_Detail!$DE:$DE,$A30)&gt;0,IF(ISNUMBER(SEARCH("[済]",INDEX(Material_Detail!$D:$DC,MATCH($A30,Material_Detail!$DE:$DE,0)+1,98))),0,IFERROR(INDEX(Material_Detail!$D:$DC,MATCH($A30,Material_Detail!$DE:$DE,0),98),0)),SUMIFS(T_Shipments[Confirmed_Qty],T_Shipments[Part Name],$A30,T_Shipments[Effective_Week],98))</f>
        <v/>
      </c>
      <c r="CV30">
        <f>IF(COUNTIF(Material_Detail!$DE:$DE,$A30)&gt;0,IF(ISNUMBER(SEARCH("[済]",INDEX(Material_Detail!$D:$DC,MATCH($A30,Material_Detail!$DE:$DE,0)+1,99))),0,IFERROR(INDEX(Material_Detail!$D:$DC,MATCH($A30,Material_Detail!$DE:$DE,0),99),0)),SUMIFS(T_Shipments[Confirmed_Qty],T_Shipments[Part Name],$A30,T_Shipments[Effective_Week],99))</f>
        <v/>
      </c>
      <c r="CW30">
        <f>IF(COUNTIF(Material_Detail!$DE:$DE,$A30)&gt;0,IF(ISNUMBER(SEARCH("[済]",INDEX(Material_Detail!$D:$DC,MATCH($A30,Material_Detail!$DE:$DE,0)+1,100))),0,IFERROR(INDEX(Material_Detail!$D:$DC,MATCH($A30,Material_Detail!$DE:$DE,0),100),0)),SUMIFS(T_Shipments[Confirmed_Qty],T_Shipments[Part Name],$A30,T_Shipments[Effective_Week],100))</f>
        <v/>
      </c>
      <c r="CX30">
        <f>IF(COUNTIF(Material_Detail!$DE:$DE,$A30)&gt;0,IF(ISNUMBER(SEARCH("[済]",INDEX(Material_Detail!$D:$DC,MATCH($A30,Material_Detail!$DE:$DE,0)+1,101))),0,IFERROR(INDEX(Material_Detail!$D:$DC,MATCH($A30,Material_Detail!$DE:$DE,0),101),0)),SUMIFS(T_Shipments[Confirmed_Qty],T_Shipments[Part Name],$A30,T_Shipments[Effective_Week],101))</f>
        <v/>
      </c>
      <c r="CY30">
        <f>IF(COUNTIF(Material_Detail!$DE:$DE,$A30)&gt;0,IF(ISNUMBER(SEARCH("[済]",INDEX(Material_Detail!$D:$DC,MATCH($A30,Material_Detail!$DE:$DE,0)+1,102))),0,IFERROR(INDEX(Material_Detail!$D:$DC,MATCH($A30,Material_Detail!$DE:$DE,0),102),0)),SUMIFS(T_Shipments[Confirmed_Qty],T_Shipments[Part Name],$A30,T_Shipments[Effective_Week],102))</f>
        <v/>
      </c>
      <c r="CZ30">
        <f>IF(COUNTIF(Material_Detail!$DE:$DE,$A30)&gt;0,IF(ISNUMBER(SEARCH("[済]",INDEX(Material_Detail!$D:$DC,MATCH($A30,Material_Detail!$DE:$DE,0)+1,103))),0,IFERROR(INDEX(Material_Detail!$D:$DC,MATCH($A30,Material_Detail!$DE:$DE,0),103),0)),SUMIFS(T_Shipments[Confirmed_Qty],T_Shipments[Part Name],$A30,T_Shipments[Effective_Week],103))</f>
        <v/>
      </c>
      <c r="DA30">
        <f>IF(COUNTIF(Material_Detail!$DE:$DE,$A30)&gt;0,IF(ISNUMBER(SEARCH("[済]",INDEX(Material_Detail!$D:$DC,MATCH($A30,Material_Detail!$DE:$DE,0)+1,104))),0,IFERROR(INDEX(Material_Detail!$D:$DC,MATCH($A30,Material_Detail!$DE:$DE,0),104),0)),SUMIFS(T_Shipments[Confirmed_Qty],T_Shipments[Part Name],$A30,T_Shipments[Effective_Week],104))</f>
        <v/>
      </c>
    </row>
    <row r="31">
      <c r="A31" t="inlineStr">
        <is>
          <t>CHEM-1440</t>
        </is>
      </c>
      <c r="B31">
        <f>IF(COUNTIF(Material_Detail!$DE:$DE,$A31)&gt;0,IF(ISNUMBER(SEARCH("[済]",INDEX(Material_Detail!$D:$DC,MATCH($A31,Material_Detail!$DE:$DE,0)+1,1))),0,IFERROR(INDEX(Material_Detail!$D:$DC,MATCH($A31,Material_Detail!$DE:$DE,0),1),0)),SUMIFS(T_Shipments[Confirmed_Qty],T_Shipments[Part Name],$A31,T_Shipments[Effective_Week],1))</f>
        <v/>
      </c>
      <c r="C31">
        <f>IF(COUNTIF(Material_Detail!$DE:$DE,$A31)&gt;0,IF(ISNUMBER(SEARCH("[済]",INDEX(Material_Detail!$D:$DC,MATCH($A31,Material_Detail!$DE:$DE,0)+1,2))),0,IFERROR(INDEX(Material_Detail!$D:$DC,MATCH($A31,Material_Detail!$DE:$DE,0),2),0)),SUMIFS(T_Shipments[Confirmed_Qty],T_Shipments[Part Name],$A31,T_Shipments[Effective_Week],2))</f>
        <v/>
      </c>
      <c r="D31">
        <f>IF(COUNTIF(Material_Detail!$DE:$DE,$A31)&gt;0,IF(ISNUMBER(SEARCH("[済]",INDEX(Material_Detail!$D:$DC,MATCH($A31,Material_Detail!$DE:$DE,0)+1,3))),0,IFERROR(INDEX(Material_Detail!$D:$DC,MATCH($A31,Material_Detail!$DE:$DE,0),3),0)),SUMIFS(T_Shipments[Confirmed_Qty],T_Shipments[Part Name],$A31,T_Shipments[Effective_Week],3))</f>
        <v/>
      </c>
      <c r="E31">
        <f>IF(COUNTIF(Material_Detail!$DE:$DE,$A31)&gt;0,IF(ISNUMBER(SEARCH("[済]",INDEX(Material_Detail!$D:$DC,MATCH($A31,Material_Detail!$DE:$DE,0)+1,4))),0,IFERROR(INDEX(Material_Detail!$D:$DC,MATCH($A31,Material_Detail!$DE:$DE,0),4),0)),SUMIFS(T_Shipments[Confirmed_Qty],T_Shipments[Part Name],$A31,T_Shipments[Effective_Week],4))</f>
        <v/>
      </c>
      <c r="F31">
        <f>IF(COUNTIF(Material_Detail!$DE:$DE,$A31)&gt;0,IF(ISNUMBER(SEARCH("[済]",INDEX(Material_Detail!$D:$DC,MATCH($A31,Material_Detail!$DE:$DE,0)+1,5))),0,IFERROR(INDEX(Material_Detail!$D:$DC,MATCH($A31,Material_Detail!$DE:$DE,0),5),0)),SUMIFS(T_Shipments[Confirmed_Qty],T_Shipments[Part Name],$A31,T_Shipments[Effective_Week],5))</f>
        <v/>
      </c>
      <c r="G31">
        <f>IF(COUNTIF(Material_Detail!$DE:$DE,$A31)&gt;0,IF(ISNUMBER(SEARCH("[済]",INDEX(Material_Detail!$D:$DC,MATCH($A31,Material_Detail!$DE:$DE,0)+1,6))),0,IFERROR(INDEX(Material_Detail!$D:$DC,MATCH($A31,Material_Detail!$DE:$DE,0),6),0)),SUMIFS(T_Shipments[Confirmed_Qty],T_Shipments[Part Name],$A31,T_Shipments[Effective_Week],6))</f>
        <v/>
      </c>
      <c r="H31">
        <f>IF(COUNTIF(Material_Detail!$DE:$DE,$A31)&gt;0,IF(ISNUMBER(SEARCH("[済]",INDEX(Material_Detail!$D:$DC,MATCH($A31,Material_Detail!$DE:$DE,0)+1,7))),0,IFERROR(INDEX(Material_Detail!$D:$DC,MATCH($A31,Material_Detail!$DE:$DE,0),7),0)),SUMIFS(T_Shipments[Confirmed_Qty],T_Shipments[Part Name],$A31,T_Shipments[Effective_Week],7))</f>
        <v/>
      </c>
      <c r="I31">
        <f>IF(COUNTIF(Material_Detail!$DE:$DE,$A31)&gt;0,IF(ISNUMBER(SEARCH("[済]",INDEX(Material_Detail!$D:$DC,MATCH($A31,Material_Detail!$DE:$DE,0)+1,8))),0,IFERROR(INDEX(Material_Detail!$D:$DC,MATCH($A31,Material_Detail!$DE:$DE,0),8),0)),SUMIFS(T_Shipments[Confirmed_Qty],T_Shipments[Part Name],$A31,T_Shipments[Effective_Week],8))</f>
        <v/>
      </c>
      <c r="J31">
        <f>IF(COUNTIF(Material_Detail!$DE:$DE,$A31)&gt;0,IF(ISNUMBER(SEARCH("[済]",INDEX(Material_Detail!$D:$DC,MATCH($A31,Material_Detail!$DE:$DE,0)+1,9))),0,IFERROR(INDEX(Material_Detail!$D:$DC,MATCH($A31,Material_Detail!$DE:$DE,0),9),0)),SUMIFS(T_Shipments[Confirmed_Qty],T_Shipments[Part Name],$A31,T_Shipments[Effective_Week],9))</f>
        <v/>
      </c>
      <c r="K31">
        <f>IF(COUNTIF(Material_Detail!$DE:$DE,$A31)&gt;0,IF(ISNUMBER(SEARCH("[済]",INDEX(Material_Detail!$D:$DC,MATCH($A31,Material_Detail!$DE:$DE,0)+1,10))),0,IFERROR(INDEX(Material_Detail!$D:$DC,MATCH($A31,Material_Detail!$DE:$DE,0),10),0)),SUMIFS(T_Shipments[Confirmed_Qty],T_Shipments[Part Name],$A31,T_Shipments[Effective_Week],10))</f>
        <v/>
      </c>
      <c r="L31">
        <f>IF(COUNTIF(Material_Detail!$DE:$DE,$A31)&gt;0,IF(ISNUMBER(SEARCH("[済]",INDEX(Material_Detail!$D:$DC,MATCH($A31,Material_Detail!$DE:$DE,0)+1,11))),0,IFERROR(INDEX(Material_Detail!$D:$DC,MATCH($A31,Material_Detail!$DE:$DE,0),11),0)),SUMIFS(T_Shipments[Confirmed_Qty],T_Shipments[Part Name],$A31,T_Shipments[Effective_Week],11))</f>
        <v/>
      </c>
      <c r="M31">
        <f>IF(COUNTIF(Material_Detail!$DE:$DE,$A31)&gt;0,IF(ISNUMBER(SEARCH("[済]",INDEX(Material_Detail!$D:$DC,MATCH($A31,Material_Detail!$DE:$DE,0)+1,12))),0,IFERROR(INDEX(Material_Detail!$D:$DC,MATCH($A31,Material_Detail!$DE:$DE,0),12),0)),SUMIFS(T_Shipments[Confirmed_Qty],T_Shipments[Part Name],$A31,T_Shipments[Effective_Week],12))</f>
        <v/>
      </c>
      <c r="N31">
        <f>IF(COUNTIF(Material_Detail!$DE:$DE,$A31)&gt;0,IF(ISNUMBER(SEARCH("[済]",INDEX(Material_Detail!$D:$DC,MATCH($A31,Material_Detail!$DE:$DE,0)+1,13))),0,IFERROR(INDEX(Material_Detail!$D:$DC,MATCH($A31,Material_Detail!$DE:$DE,0),13),0)),SUMIFS(T_Shipments[Confirmed_Qty],T_Shipments[Part Name],$A31,T_Shipments[Effective_Week],13))</f>
        <v/>
      </c>
      <c r="O31">
        <f>IF(COUNTIF(Material_Detail!$DE:$DE,$A31)&gt;0,IF(ISNUMBER(SEARCH("[済]",INDEX(Material_Detail!$D:$DC,MATCH($A31,Material_Detail!$DE:$DE,0)+1,14))),0,IFERROR(INDEX(Material_Detail!$D:$DC,MATCH($A31,Material_Detail!$DE:$DE,0),14),0)),SUMIFS(T_Shipments[Confirmed_Qty],T_Shipments[Part Name],$A31,T_Shipments[Effective_Week],14))</f>
        <v/>
      </c>
      <c r="P31">
        <f>IF(COUNTIF(Material_Detail!$DE:$DE,$A31)&gt;0,IF(ISNUMBER(SEARCH("[済]",INDEX(Material_Detail!$D:$DC,MATCH($A31,Material_Detail!$DE:$DE,0)+1,15))),0,IFERROR(INDEX(Material_Detail!$D:$DC,MATCH($A31,Material_Detail!$DE:$DE,0),15),0)),SUMIFS(T_Shipments[Confirmed_Qty],T_Shipments[Part Name],$A31,T_Shipments[Effective_Week],15))</f>
        <v/>
      </c>
      <c r="Q31">
        <f>IF(COUNTIF(Material_Detail!$DE:$DE,$A31)&gt;0,IF(ISNUMBER(SEARCH("[済]",INDEX(Material_Detail!$D:$DC,MATCH($A31,Material_Detail!$DE:$DE,0)+1,16))),0,IFERROR(INDEX(Material_Detail!$D:$DC,MATCH($A31,Material_Detail!$DE:$DE,0),16),0)),SUMIFS(T_Shipments[Confirmed_Qty],T_Shipments[Part Name],$A31,T_Shipments[Effective_Week],16))</f>
        <v/>
      </c>
      <c r="R31">
        <f>IF(COUNTIF(Material_Detail!$DE:$DE,$A31)&gt;0,IF(ISNUMBER(SEARCH("[済]",INDEX(Material_Detail!$D:$DC,MATCH($A31,Material_Detail!$DE:$DE,0)+1,17))),0,IFERROR(INDEX(Material_Detail!$D:$DC,MATCH($A31,Material_Detail!$DE:$DE,0),17),0)),SUMIFS(T_Shipments[Confirmed_Qty],T_Shipments[Part Name],$A31,T_Shipments[Effective_Week],17))</f>
        <v/>
      </c>
      <c r="S31">
        <f>IF(COUNTIF(Material_Detail!$DE:$DE,$A31)&gt;0,IF(ISNUMBER(SEARCH("[済]",INDEX(Material_Detail!$D:$DC,MATCH($A31,Material_Detail!$DE:$DE,0)+1,18))),0,IFERROR(INDEX(Material_Detail!$D:$DC,MATCH($A31,Material_Detail!$DE:$DE,0),18),0)),SUMIFS(T_Shipments[Confirmed_Qty],T_Shipments[Part Name],$A31,T_Shipments[Effective_Week],18))</f>
        <v/>
      </c>
      <c r="T31">
        <f>IF(COUNTIF(Material_Detail!$DE:$DE,$A31)&gt;0,IF(ISNUMBER(SEARCH("[済]",INDEX(Material_Detail!$D:$DC,MATCH($A31,Material_Detail!$DE:$DE,0)+1,19))),0,IFERROR(INDEX(Material_Detail!$D:$DC,MATCH($A31,Material_Detail!$DE:$DE,0),19),0)),SUMIFS(T_Shipments[Confirmed_Qty],T_Shipments[Part Name],$A31,T_Shipments[Effective_Week],19))</f>
        <v/>
      </c>
      <c r="U31">
        <f>IF(COUNTIF(Material_Detail!$DE:$DE,$A31)&gt;0,IF(ISNUMBER(SEARCH("[済]",INDEX(Material_Detail!$D:$DC,MATCH($A31,Material_Detail!$DE:$DE,0)+1,20))),0,IFERROR(INDEX(Material_Detail!$D:$DC,MATCH($A31,Material_Detail!$DE:$DE,0),20),0)),SUMIFS(T_Shipments[Confirmed_Qty],T_Shipments[Part Name],$A31,T_Shipments[Effective_Week],20))</f>
        <v/>
      </c>
      <c r="V31">
        <f>IF(COUNTIF(Material_Detail!$DE:$DE,$A31)&gt;0,IF(ISNUMBER(SEARCH("[済]",INDEX(Material_Detail!$D:$DC,MATCH($A31,Material_Detail!$DE:$DE,0)+1,21))),0,IFERROR(INDEX(Material_Detail!$D:$DC,MATCH($A31,Material_Detail!$DE:$DE,0),21),0)),SUMIFS(T_Shipments[Confirmed_Qty],T_Shipments[Part Name],$A31,T_Shipments[Effective_Week],21))</f>
        <v/>
      </c>
      <c r="W31">
        <f>IF(COUNTIF(Material_Detail!$DE:$DE,$A31)&gt;0,IF(ISNUMBER(SEARCH("[済]",INDEX(Material_Detail!$D:$DC,MATCH($A31,Material_Detail!$DE:$DE,0)+1,22))),0,IFERROR(INDEX(Material_Detail!$D:$DC,MATCH($A31,Material_Detail!$DE:$DE,0),22),0)),SUMIFS(T_Shipments[Confirmed_Qty],T_Shipments[Part Name],$A31,T_Shipments[Effective_Week],22))</f>
        <v/>
      </c>
      <c r="X31">
        <f>IF(COUNTIF(Material_Detail!$DE:$DE,$A31)&gt;0,IF(ISNUMBER(SEARCH("[済]",INDEX(Material_Detail!$D:$DC,MATCH($A31,Material_Detail!$DE:$DE,0)+1,23))),0,IFERROR(INDEX(Material_Detail!$D:$DC,MATCH($A31,Material_Detail!$DE:$DE,0),23),0)),SUMIFS(T_Shipments[Confirmed_Qty],T_Shipments[Part Name],$A31,T_Shipments[Effective_Week],23))</f>
        <v/>
      </c>
      <c r="Y31">
        <f>IF(COUNTIF(Material_Detail!$DE:$DE,$A31)&gt;0,IF(ISNUMBER(SEARCH("[済]",INDEX(Material_Detail!$D:$DC,MATCH($A31,Material_Detail!$DE:$DE,0)+1,24))),0,IFERROR(INDEX(Material_Detail!$D:$DC,MATCH($A31,Material_Detail!$DE:$DE,0),24),0)),SUMIFS(T_Shipments[Confirmed_Qty],T_Shipments[Part Name],$A31,T_Shipments[Effective_Week],24))</f>
        <v/>
      </c>
      <c r="Z31">
        <f>IF(COUNTIF(Material_Detail!$DE:$DE,$A31)&gt;0,IF(ISNUMBER(SEARCH("[済]",INDEX(Material_Detail!$D:$DC,MATCH($A31,Material_Detail!$DE:$DE,0)+1,25))),0,IFERROR(INDEX(Material_Detail!$D:$DC,MATCH($A31,Material_Detail!$DE:$DE,0),25),0)),SUMIFS(T_Shipments[Confirmed_Qty],T_Shipments[Part Name],$A31,T_Shipments[Effective_Week],25))</f>
        <v/>
      </c>
      <c r="AA31">
        <f>IF(COUNTIF(Material_Detail!$DE:$DE,$A31)&gt;0,IF(ISNUMBER(SEARCH("[済]",INDEX(Material_Detail!$D:$DC,MATCH($A31,Material_Detail!$DE:$DE,0)+1,26))),0,IFERROR(INDEX(Material_Detail!$D:$DC,MATCH($A31,Material_Detail!$DE:$DE,0),26),0)),SUMIFS(T_Shipments[Confirmed_Qty],T_Shipments[Part Name],$A31,T_Shipments[Effective_Week],26))</f>
        <v/>
      </c>
      <c r="AB31">
        <f>IF(COUNTIF(Material_Detail!$DE:$DE,$A31)&gt;0,IF(ISNUMBER(SEARCH("[済]",INDEX(Material_Detail!$D:$DC,MATCH($A31,Material_Detail!$DE:$DE,0)+1,27))),0,IFERROR(INDEX(Material_Detail!$D:$DC,MATCH($A31,Material_Detail!$DE:$DE,0),27),0)),SUMIFS(T_Shipments[Confirmed_Qty],T_Shipments[Part Name],$A31,T_Shipments[Effective_Week],27))</f>
        <v/>
      </c>
      <c r="AC31">
        <f>IF(COUNTIF(Material_Detail!$DE:$DE,$A31)&gt;0,IF(ISNUMBER(SEARCH("[済]",INDEX(Material_Detail!$D:$DC,MATCH($A31,Material_Detail!$DE:$DE,0)+1,28))),0,IFERROR(INDEX(Material_Detail!$D:$DC,MATCH($A31,Material_Detail!$DE:$DE,0),28),0)),SUMIFS(T_Shipments[Confirmed_Qty],T_Shipments[Part Name],$A31,T_Shipments[Effective_Week],28))</f>
        <v/>
      </c>
      <c r="AD31">
        <f>IF(COUNTIF(Material_Detail!$DE:$DE,$A31)&gt;0,IF(ISNUMBER(SEARCH("[済]",INDEX(Material_Detail!$D:$DC,MATCH($A31,Material_Detail!$DE:$DE,0)+1,29))),0,IFERROR(INDEX(Material_Detail!$D:$DC,MATCH($A31,Material_Detail!$DE:$DE,0),29),0)),SUMIFS(T_Shipments[Confirmed_Qty],T_Shipments[Part Name],$A31,T_Shipments[Effective_Week],29))</f>
        <v/>
      </c>
      <c r="AE31">
        <f>IF(COUNTIF(Material_Detail!$DE:$DE,$A31)&gt;0,IF(ISNUMBER(SEARCH("[済]",INDEX(Material_Detail!$D:$DC,MATCH($A31,Material_Detail!$DE:$DE,0)+1,30))),0,IFERROR(INDEX(Material_Detail!$D:$DC,MATCH($A31,Material_Detail!$DE:$DE,0),30),0)),SUMIFS(T_Shipments[Confirmed_Qty],T_Shipments[Part Name],$A31,T_Shipments[Effective_Week],30))</f>
        <v/>
      </c>
      <c r="AF31">
        <f>IF(COUNTIF(Material_Detail!$DE:$DE,$A31)&gt;0,IF(ISNUMBER(SEARCH("[済]",INDEX(Material_Detail!$D:$DC,MATCH($A31,Material_Detail!$DE:$DE,0)+1,31))),0,IFERROR(INDEX(Material_Detail!$D:$DC,MATCH($A31,Material_Detail!$DE:$DE,0),31),0)),SUMIFS(T_Shipments[Confirmed_Qty],T_Shipments[Part Name],$A31,T_Shipments[Effective_Week],31))</f>
        <v/>
      </c>
      <c r="AG31">
        <f>IF(COUNTIF(Material_Detail!$DE:$DE,$A31)&gt;0,IF(ISNUMBER(SEARCH("[済]",INDEX(Material_Detail!$D:$DC,MATCH($A31,Material_Detail!$DE:$DE,0)+1,32))),0,IFERROR(INDEX(Material_Detail!$D:$DC,MATCH($A31,Material_Detail!$DE:$DE,0),32),0)),SUMIFS(T_Shipments[Confirmed_Qty],T_Shipments[Part Name],$A31,T_Shipments[Effective_Week],32))</f>
        <v/>
      </c>
      <c r="AH31">
        <f>IF(COUNTIF(Material_Detail!$DE:$DE,$A31)&gt;0,IF(ISNUMBER(SEARCH("[済]",INDEX(Material_Detail!$D:$DC,MATCH($A31,Material_Detail!$DE:$DE,0)+1,33))),0,IFERROR(INDEX(Material_Detail!$D:$DC,MATCH($A31,Material_Detail!$DE:$DE,0),33),0)),SUMIFS(T_Shipments[Confirmed_Qty],T_Shipments[Part Name],$A31,T_Shipments[Effective_Week],33))</f>
        <v/>
      </c>
      <c r="AI31">
        <f>IF(COUNTIF(Material_Detail!$DE:$DE,$A31)&gt;0,IF(ISNUMBER(SEARCH("[済]",INDEX(Material_Detail!$D:$DC,MATCH($A31,Material_Detail!$DE:$DE,0)+1,34))),0,IFERROR(INDEX(Material_Detail!$D:$DC,MATCH($A31,Material_Detail!$DE:$DE,0),34),0)),SUMIFS(T_Shipments[Confirmed_Qty],T_Shipments[Part Name],$A31,T_Shipments[Effective_Week],34))</f>
        <v/>
      </c>
      <c r="AJ31">
        <f>IF(COUNTIF(Material_Detail!$DE:$DE,$A31)&gt;0,IF(ISNUMBER(SEARCH("[済]",INDEX(Material_Detail!$D:$DC,MATCH($A31,Material_Detail!$DE:$DE,0)+1,35))),0,IFERROR(INDEX(Material_Detail!$D:$DC,MATCH($A31,Material_Detail!$DE:$DE,0),35),0)),SUMIFS(T_Shipments[Confirmed_Qty],T_Shipments[Part Name],$A31,T_Shipments[Effective_Week],35))</f>
        <v/>
      </c>
      <c r="AK31">
        <f>IF(COUNTIF(Material_Detail!$DE:$DE,$A31)&gt;0,IF(ISNUMBER(SEARCH("[済]",INDEX(Material_Detail!$D:$DC,MATCH($A31,Material_Detail!$DE:$DE,0)+1,36))),0,IFERROR(INDEX(Material_Detail!$D:$DC,MATCH($A31,Material_Detail!$DE:$DE,0),36),0)),SUMIFS(T_Shipments[Confirmed_Qty],T_Shipments[Part Name],$A31,T_Shipments[Effective_Week],36))</f>
        <v/>
      </c>
      <c r="AL31">
        <f>IF(COUNTIF(Material_Detail!$DE:$DE,$A31)&gt;0,IF(ISNUMBER(SEARCH("[済]",INDEX(Material_Detail!$D:$DC,MATCH($A31,Material_Detail!$DE:$DE,0)+1,37))),0,IFERROR(INDEX(Material_Detail!$D:$DC,MATCH($A31,Material_Detail!$DE:$DE,0),37),0)),SUMIFS(T_Shipments[Confirmed_Qty],T_Shipments[Part Name],$A31,T_Shipments[Effective_Week],37))</f>
        <v/>
      </c>
      <c r="AM31">
        <f>IF(COUNTIF(Material_Detail!$DE:$DE,$A31)&gt;0,IF(ISNUMBER(SEARCH("[済]",INDEX(Material_Detail!$D:$DC,MATCH($A31,Material_Detail!$DE:$DE,0)+1,38))),0,IFERROR(INDEX(Material_Detail!$D:$DC,MATCH($A31,Material_Detail!$DE:$DE,0),38),0)),SUMIFS(T_Shipments[Confirmed_Qty],T_Shipments[Part Name],$A31,T_Shipments[Effective_Week],38))</f>
        <v/>
      </c>
      <c r="AN31">
        <f>IF(COUNTIF(Material_Detail!$DE:$DE,$A31)&gt;0,IF(ISNUMBER(SEARCH("[済]",INDEX(Material_Detail!$D:$DC,MATCH($A31,Material_Detail!$DE:$DE,0)+1,39))),0,IFERROR(INDEX(Material_Detail!$D:$DC,MATCH($A31,Material_Detail!$DE:$DE,0),39),0)),SUMIFS(T_Shipments[Confirmed_Qty],T_Shipments[Part Name],$A31,T_Shipments[Effective_Week],39))</f>
        <v/>
      </c>
      <c r="AO31">
        <f>IF(COUNTIF(Material_Detail!$DE:$DE,$A31)&gt;0,IF(ISNUMBER(SEARCH("[済]",INDEX(Material_Detail!$D:$DC,MATCH($A31,Material_Detail!$DE:$DE,0)+1,40))),0,IFERROR(INDEX(Material_Detail!$D:$DC,MATCH($A31,Material_Detail!$DE:$DE,0),40),0)),SUMIFS(T_Shipments[Confirmed_Qty],T_Shipments[Part Name],$A31,T_Shipments[Effective_Week],40))</f>
        <v/>
      </c>
      <c r="AP31">
        <f>IF(COUNTIF(Material_Detail!$DE:$DE,$A31)&gt;0,IF(ISNUMBER(SEARCH("[済]",INDEX(Material_Detail!$D:$DC,MATCH($A31,Material_Detail!$DE:$DE,0)+1,41))),0,IFERROR(INDEX(Material_Detail!$D:$DC,MATCH($A31,Material_Detail!$DE:$DE,0),41),0)),SUMIFS(T_Shipments[Confirmed_Qty],T_Shipments[Part Name],$A31,T_Shipments[Effective_Week],41))</f>
        <v/>
      </c>
      <c r="AQ31">
        <f>IF(COUNTIF(Material_Detail!$DE:$DE,$A31)&gt;0,IF(ISNUMBER(SEARCH("[済]",INDEX(Material_Detail!$D:$DC,MATCH($A31,Material_Detail!$DE:$DE,0)+1,42))),0,IFERROR(INDEX(Material_Detail!$D:$DC,MATCH($A31,Material_Detail!$DE:$DE,0),42),0)),SUMIFS(T_Shipments[Confirmed_Qty],T_Shipments[Part Name],$A31,T_Shipments[Effective_Week],42))</f>
        <v/>
      </c>
      <c r="AR31">
        <f>IF(COUNTIF(Material_Detail!$DE:$DE,$A31)&gt;0,IF(ISNUMBER(SEARCH("[済]",INDEX(Material_Detail!$D:$DC,MATCH($A31,Material_Detail!$DE:$DE,0)+1,43))),0,IFERROR(INDEX(Material_Detail!$D:$DC,MATCH($A31,Material_Detail!$DE:$DE,0),43),0)),SUMIFS(T_Shipments[Confirmed_Qty],T_Shipments[Part Name],$A31,T_Shipments[Effective_Week],43))</f>
        <v/>
      </c>
      <c r="AS31">
        <f>IF(COUNTIF(Material_Detail!$DE:$DE,$A31)&gt;0,IF(ISNUMBER(SEARCH("[済]",INDEX(Material_Detail!$D:$DC,MATCH($A31,Material_Detail!$DE:$DE,0)+1,44))),0,IFERROR(INDEX(Material_Detail!$D:$DC,MATCH($A31,Material_Detail!$DE:$DE,0),44),0)),SUMIFS(T_Shipments[Confirmed_Qty],T_Shipments[Part Name],$A31,T_Shipments[Effective_Week],44))</f>
        <v/>
      </c>
      <c r="AT31">
        <f>IF(COUNTIF(Material_Detail!$DE:$DE,$A31)&gt;0,IF(ISNUMBER(SEARCH("[済]",INDEX(Material_Detail!$D:$DC,MATCH($A31,Material_Detail!$DE:$DE,0)+1,45))),0,IFERROR(INDEX(Material_Detail!$D:$DC,MATCH($A31,Material_Detail!$DE:$DE,0),45),0)),SUMIFS(T_Shipments[Confirmed_Qty],T_Shipments[Part Name],$A31,T_Shipments[Effective_Week],45))</f>
        <v/>
      </c>
      <c r="AU31">
        <f>IF(COUNTIF(Material_Detail!$DE:$DE,$A31)&gt;0,IF(ISNUMBER(SEARCH("[済]",INDEX(Material_Detail!$D:$DC,MATCH($A31,Material_Detail!$DE:$DE,0)+1,46))),0,IFERROR(INDEX(Material_Detail!$D:$DC,MATCH($A31,Material_Detail!$DE:$DE,0),46),0)),SUMIFS(T_Shipments[Confirmed_Qty],T_Shipments[Part Name],$A31,T_Shipments[Effective_Week],46))</f>
        <v/>
      </c>
      <c r="AV31">
        <f>IF(COUNTIF(Material_Detail!$DE:$DE,$A31)&gt;0,IF(ISNUMBER(SEARCH("[済]",INDEX(Material_Detail!$D:$DC,MATCH($A31,Material_Detail!$DE:$DE,0)+1,47))),0,IFERROR(INDEX(Material_Detail!$D:$DC,MATCH($A31,Material_Detail!$DE:$DE,0),47),0)),SUMIFS(T_Shipments[Confirmed_Qty],T_Shipments[Part Name],$A31,T_Shipments[Effective_Week],47))</f>
        <v/>
      </c>
      <c r="AW31">
        <f>IF(COUNTIF(Material_Detail!$DE:$DE,$A31)&gt;0,IF(ISNUMBER(SEARCH("[済]",INDEX(Material_Detail!$D:$DC,MATCH($A31,Material_Detail!$DE:$DE,0)+1,48))),0,IFERROR(INDEX(Material_Detail!$D:$DC,MATCH($A31,Material_Detail!$DE:$DE,0),48),0)),SUMIFS(T_Shipments[Confirmed_Qty],T_Shipments[Part Name],$A31,T_Shipments[Effective_Week],48))</f>
        <v/>
      </c>
      <c r="AX31">
        <f>IF(COUNTIF(Material_Detail!$DE:$DE,$A31)&gt;0,IF(ISNUMBER(SEARCH("[済]",INDEX(Material_Detail!$D:$DC,MATCH($A31,Material_Detail!$DE:$DE,0)+1,49))),0,IFERROR(INDEX(Material_Detail!$D:$DC,MATCH($A31,Material_Detail!$DE:$DE,0),49),0)),SUMIFS(T_Shipments[Confirmed_Qty],T_Shipments[Part Name],$A31,T_Shipments[Effective_Week],49))</f>
        <v/>
      </c>
      <c r="AY31">
        <f>IF(COUNTIF(Material_Detail!$DE:$DE,$A31)&gt;0,IF(ISNUMBER(SEARCH("[済]",INDEX(Material_Detail!$D:$DC,MATCH($A31,Material_Detail!$DE:$DE,0)+1,50))),0,IFERROR(INDEX(Material_Detail!$D:$DC,MATCH($A31,Material_Detail!$DE:$DE,0),50),0)),SUMIFS(T_Shipments[Confirmed_Qty],T_Shipments[Part Name],$A31,T_Shipments[Effective_Week],50))</f>
        <v/>
      </c>
      <c r="AZ31">
        <f>IF(COUNTIF(Material_Detail!$DE:$DE,$A31)&gt;0,IF(ISNUMBER(SEARCH("[済]",INDEX(Material_Detail!$D:$DC,MATCH($A31,Material_Detail!$DE:$DE,0)+1,51))),0,IFERROR(INDEX(Material_Detail!$D:$DC,MATCH($A31,Material_Detail!$DE:$DE,0),51),0)),SUMIFS(T_Shipments[Confirmed_Qty],T_Shipments[Part Name],$A31,T_Shipments[Effective_Week],51))</f>
        <v/>
      </c>
      <c r="BA31">
        <f>IF(COUNTIF(Material_Detail!$DE:$DE,$A31)&gt;0,IF(ISNUMBER(SEARCH("[済]",INDEX(Material_Detail!$D:$DC,MATCH($A31,Material_Detail!$DE:$DE,0)+1,52))),0,IFERROR(INDEX(Material_Detail!$D:$DC,MATCH($A31,Material_Detail!$DE:$DE,0),52),0)),SUMIFS(T_Shipments[Confirmed_Qty],T_Shipments[Part Name],$A31,T_Shipments[Effective_Week],52))</f>
        <v/>
      </c>
      <c r="BB31">
        <f>IF(COUNTIF(Material_Detail!$DE:$DE,$A31)&gt;0,IF(ISNUMBER(SEARCH("[済]",INDEX(Material_Detail!$D:$DC,MATCH($A31,Material_Detail!$DE:$DE,0)+1,53))),0,IFERROR(INDEX(Material_Detail!$D:$DC,MATCH($A31,Material_Detail!$DE:$DE,0),53),0)),SUMIFS(T_Shipments[Confirmed_Qty],T_Shipments[Part Name],$A31,T_Shipments[Effective_Week],53))</f>
        <v/>
      </c>
      <c r="BC31">
        <f>IF(COUNTIF(Material_Detail!$DE:$DE,$A31)&gt;0,IF(ISNUMBER(SEARCH("[済]",INDEX(Material_Detail!$D:$DC,MATCH($A31,Material_Detail!$DE:$DE,0)+1,54))),0,IFERROR(INDEX(Material_Detail!$D:$DC,MATCH($A31,Material_Detail!$DE:$DE,0),54),0)),SUMIFS(T_Shipments[Confirmed_Qty],T_Shipments[Part Name],$A31,T_Shipments[Effective_Week],54))</f>
        <v/>
      </c>
      <c r="BD31">
        <f>IF(COUNTIF(Material_Detail!$DE:$DE,$A31)&gt;0,IF(ISNUMBER(SEARCH("[済]",INDEX(Material_Detail!$D:$DC,MATCH($A31,Material_Detail!$DE:$DE,0)+1,55))),0,IFERROR(INDEX(Material_Detail!$D:$DC,MATCH($A31,Material_Detail!$DE:$DE,0),55),0)),SUMIFS(T_Shipments[Confirmed_Qty],T_Shipments[Part Name],$A31,T_Shipments[Effective_Week],55))</f>
        <v/>
      </c>
      <c r="BE31">
        <f>IF(COUNTIF(Material_Detail!$DE:$DE,$A31)&gt;0,IF(ISNUMBER(SEARCH("[済]",INDEX(Material_Detail!$D:$DC,MATCH($A31,Material_Detail!$DE:$DE,0)+1,56))),0,IFERROR(INDEX(Material_Detail!$D:$DC,MATCH($A31,Material_Detail!$DE:$DE,0),56),0)),SUMIFS(T_Shipments[Confirmed_Qty],T_Shipments[Part Name],$A31,T_Shipments[Effective_Week],56))</f>
        <v/>
      </c>
      <c r="BF31">
        <f>IF(COUNTIF(Material_Detail!$DE:$DE,$A31)&gt;0,IF(ISNUMBER(SEARCH("[済]",INDEX(Material_Detail!$D:$DC,MATCH($A31,Material_Detail!$DE:$DE,0)+1,57))),0,IFERROR(INDEX(Material_Detail!$D:$DC,MATCH($A31,Material_Detail!$DE:$DE,0),57),0)),SUMIFS(T_Shipments[Confirmed_Qty],T_Shipments[Part Name],$A31,T_Shipments[Effective_Week],57))</f>
        <v/>
      </c>
      <c r="BG31">
        <f>IF(COUNTIF(Material_Detail!$DE:$DE,$A31)&gt;0,IF(ISNUMBER(SEARCH("[済]",INDEX(Material_Detail!$D:$DC,MATCH($A31,Material_Detail!$DE:$DE,0)+1,58))),0,IFERROR(INDEX(Material_Detail!$D:$DC,MATCH($A31,Material_Detail!$DE:$DE,0),58),0)),SUMIFS(T_Shipments[Confirmed_Qty],T_Shipments[Part Name],$A31,T_Shipments[Effective_Week],58))</f>
        <v/>
      </c>
      <c r="BH31">
        <f>IF(COUNTIF(Material_Detail!$DE:$DE,$A31)&gt;0,IF(ISNUMBER(SEARCH("[済]",INDEX(Material_Detail!$D:$DC,MATCH($A31,Material_Detail!$DE:$DE,0)+1,59))),0,IFERROR(INDEX(Material_Detail!$D:$DC,MATCH($A31,Material_Detail!$DE:$DE,0),59),0)),SUMIFS(T_Shipments[Confirmed_Qty],T_Shipments[Part Name],$A31,T_Shipments[Effective_Week],59))</f>
        <v/>
      </c>
      <c r="BI31">
        <f>IF(COUNTIF(Material_Detail!$DE:$DE,$A31)&gt;0,IF(ISNUMBER(SEARCH("[済]",INDEX(Material_Detail!$D:$DC,MATCH($A31,Material_Detail!$DE:$DE,0)+1,60))),0,IFERROR(INDEX(Material_Detail!$D:$DC,MATCH($A31,Material_Detail!$DE:$DE,0),60),0)),SUMIFS(T_Shipments[Confirmed_Qty],T_Shipments[Part Name],$A31,T_Shipments[Effective_Week],60))</f>
        <v/>
      </c>
      <c r="BJ31">
        <f>IF(COUNTIF(Material_Detail!$DE:$DE,$A31)&gt;0,IF(ISNUMBER(SEARCH("[済]",INDEX(Material_Detail!$D:$DC,MATCH($A31,Material_Detail!$DE:$DE,0)+1,61))),0,IFERROR(INDEX(Material_Detail!$D:$DC,MATCH($A31,Material_Detail!$DE:$DE,0),61),0)),SUMIFS(T_Shipments[Confirmed_Qty],T_Shipments[Part Name],$A31,T_Shipments[Effective_Week],61))</f>
        <v/>
      </c>
      <c r="BK31">
        <f>IF(COUNTIF(Material_Detail!$DE:$DE,$A31)&gt;0,IF(ISNUMBER(SEARCH("[済]",INDEX(Material_Detail!$D:$DC,MATCH($A31,Material_Detail!$DE:$DE,0)+1,62))),0,IFERROR(INDEX(Material_Detail!$D:$DC,MATCH($A31,Material_Detail!$DE:$DE,0),62),0)),SUMIFS(T_Shipments[Confirmed_Qty],T_Shipments[Part Name],$A31,T_Shipments[Effective_Week],62))</f>
        <v/>
      </c>
      <c r="BL31">
        <f>IF(COUNTIF(Material_Detail!$DE:$DE,$A31)&gt;0,IF(ISNUMBER(SEARCH("[済]",INDEX(Material_Detail!$D:$DC,MATCH($A31,Material_Detail!$DE:$DE,0)+1,63))),0,IFERROR(INDEX(Material_Detail!$D:$DC,MATCH($A31,Material_Detail!$DE:$DE,0),63),0)),SUMIFS(T_Shipments[Confirmed_Qty],T_Shipments[Part Name],$A31,T_Shipments[Effective_Week],63))</f>
        <v/>
      </c>
      <c r="BM31">
        <f>IF(COUNTIF(Material_Detail!$DE:$DE,$A31)&gt;0,IF(ISNUMBER(SEARCH("[済]",INDEX(Material_Detail!$D:$DC,MATCH($A31,Material_Detail!$DE:$DE,0)+1,64))),0,IFERROR(INDEX(Material_Detail!$D:$DC,MATCH($A31,Material_Detail!$DE:$DE,0),64),0)),SUMIFS(T_Shipments[Confirmed_Qty],T_Shipments[Part Name],$A31,T_Shipments[Effective_Week],64))</f>
        <v/>
      </c>
      <c r="BN31">
        <f>IF(COUNTIF(Material_Detail!$DE:$DE,$A31)&gt;0,IF(ISNUMBER(SEARCH("[済]",INDEX(Material_Detail!$D:$DC,MATCH($A31,Material_Detail!$DE:$DE,0)+1,65))),0,IFERROR(INDEX(Material_Detail!$D:$DC,MATCH($A31,Material_Detail!$DE:$DE,0),65),0)),SUMIFS(T_Shipments[Confirmed_Qty],T_Shipments[Part Name],$A31,T_Shipments[Effective_Week],65))</f>
        <v/>
      </c>
      <c r="BO31">
        <f>IF(COUNTIF(Material_Detail!$DE:$DE,$A31)&gt;0,IF(ISNUMBER(SEARCH("[済]",INDEX(Material_Detail!$D:$DC,MATCH($A31,Material_Detail!$DE:$DE,0)+1,66))),0,IFERROR(INDEX(Material_Detail!$D:$DC,MATCH($A31,Material_Detail!$DE:$DE,0),66),0)),SUMIFS(T_Shipments[Confirmed_Qty],T_Shipments[Part Name],$A31,T_Shipments[Effective_Week],66))</f>
        <v/>
      </c>
      <c r="BP31">
        <f>IF(COUNTIF(Material_Detail!$DE:$DE,$A31)&gt;0,IF(ISNUMBER(SEARCH("[済]",INDEX(Material_Detail!$D:$DC,MATCH($A31,Material_Detail!$DE:$DE,0)+1,67))),0,IFERROR(INDEX(Material_Detail!$D:$DC,MATCH($A31,Material_Detail!$DE:$DE,0),67),0)),SUMIFS(T_Shipments[Confirmed_Qty],T_Shipments[Part Name],$A31,T_Shipments[Effective_Week],67))</f>
        <v/>
      </c>
      <c r="BQ31">
        <f>IF(COUNTIF(Material_Detail!$DE:$DE,$A31)&gt;0,IF(ISNUMBER(SEARCH("[済]",INDEX(Material_Detail!$D:$DC,MATCH($A31,Material_Detail!$DE:$DE,0)+1,68))),0,IFERROR(INDEX(Material_Detail!$D:$DC,MATCH($A31,Material_Detail!$DE:$DE,0),68),0)),SUMIFS(T_Shipments[Confirmed_Qty],T_Shipments[Part Name],$A31,T_Shipments[Effective_Week],68))</f>
        <v/>
      </c>
      <c r="BR31">
        <f>IF(COUNTIF(Material_Detail!$DE:$DE,$A31)&gt;0,IF(ISNUMBER(SEARCH("[済]",INDEX(Material_Detail!$D:$DC,MATCH($A31,Material_Detail!$DE:$DE,0)+1,69))),0,IFERROR(INDEX(Material_Detail!$D:$DC,MATCH($A31,Material_Detail!$DE:$DE,0),69),0)),SUMIFS(T_Shipments[Confirmed_Qty],T_Shipments[Part Name],$A31,T_Shipments[Effective_Week],69))</f>
        <v/>
      </c>
      <c r="BS31">
        <f>IF(COUNTIF(Material_Detail!$DE:$DE,$A31)&gt;0,IF(ISNUMBER(SEARCH("[済]",INDEX(Material_Detail!$D:$DC,MATCH($A31,Material_Detail!$DE:$DE,0)+1,70))),0,IFERROR(INDEX(Material_Detail!$D:$DC,MATCH($A31,Material_Detail!$DE:$DE,0),70),0)),SUMIFS(T_Shipments[Confirmed_Qty],T_Shipments[Part Name],$A31,T_Shipments[Effective_Week],70))</f>
        <v/>
      </c>
      <c r="BT31">
        <f>IF(COUNTIF(Material_Detail!$DE:$DE,$A31)&gt;0,IF(ISNUMBER(SEARCH("[済]",INDEX(Material_Detail!$D:$DC,MATCH($A31,Material_Detail!$DE:$DE,0)+1,71))),0,IFERROR(INDEX(Material_Detail!$D:$DC,MATCH($A31,Material_Detail!$DE:$DE,0),71),0)),SUMIFS(T_Shipments[Confirmed_Qty],T_Shipments[Part Name],$A31,T_Shipments[Effective_Week],71))</f>
        <v/>
      </c>
      <c r="BU31">
        <f>IF(COUNTIF(Material_Detail!$DE:$DE,$A31)&gt;0,IF(ISNUMBER(SEARCH("[済]",INDEX(Material_Detail!$D:$DC,MATCH($A31,Material_Detail!$DE:$DE,0)+1,72))),0,IFERROR(INDEX(Material_Detail!$D:$DC,MATCH($A31,Material_Detail!$DE:$DE,0),72),0)),SUMIFS(T_Shipments[Confirmed_Qty],T_Shipments[Part Name],$A31,T_Shipments[Effective_Week],72))</f>
        <v/>
      </c>
      <c r="BV31">
        <f>IF(COUNTIF(Material_Detail!$DE:$DE,$A31)&gt;0,IF(ISNUMBER(SEARCH("[済]",INDEX(Material_Detail!$D:$DC,MATCH($A31,Material_Detail!$DE:$DE,0)+1,73))),0,IFERROR(INDEX(Material_Detail!$D:$DC,MATCH($A31,Material_Detail!$DE:$DE,0),73),0)),SUMIFS(T_Shipments[Confirmed_Qty],T_Shipments[Part Name],$A31,T_Shipments[Effective_Week],73))</f>
        <v/>
      </c>
      <c r="BW31">
        <f>IF(COUNTIF(Material_Detail!$DE:$DE,$A31)&gt;0,IF(ISNUMBER(SEARCH("[済]",INDEX(Material_Detail!$D:$DC,MATCH($A31,Material_Detail!$DE:$DE,0)+1,74))),0,IFERROR(INDEX(Material_Detail!$D:$DC,MATCH($A31,Material_Detail!$DE:$DE,0),74),0)),SUMIFS(T_Shipments[Confirmed_Qty],T_Shipments[Part Name],$A31,T_Shipments[Effective_Week],74))</f>
        <v/>
      </c>
      <c r="BX31">
        <f>IF(COUNTIF(Material_Detail!$DE:$DE,$A31)&gt;0,IF(ISNUMBER(SEARCH("[済]",INDEX(Material_Detail!$D:$DC,MATCH($A31,Material_Detail!$DE:$DE,0)+1,75))),0,IFERROR(INDEX(Material_Detail!$D:$DC,MATCH($A31,Material_Detail!$DE:$DE,0),75),0)),SUMIFS(T_Shipments[Confirmed_Qty],T_Shipments[Part Name],$A31,T_Shipments[Effective_Week],75))</f>
        <v/>
      </c>
      <c r="BY31">
        <f>IF(COUNTIF(Material_Detail!$DE:$DE,$A31)&gt;0,IF(ISNUMBER(SEARCH("[済]",INDEX(Material_Detail!$D:$DC,MATCH($A31,Material_Detail!$DE:$DE,0)+1,76))),0,IFERROR(INDEX(Material_Detail!$D:$DC,MATCH($A31,Material_Detail!$DE:$DE,0),76),0)),SUMIFS(T_Shipments[Confirmed_Qty],T_Shipments[Part Name],$A31,T_Shipments[Effective_Week],76))</f>
        <v/>
      </c>
      <c r="BZ31">
        <f>IF(COUNTIF(Material_Detail!$DE:$DE,$A31)&gt;0,IF(ISNUMBER(SEARCH("[済]",INDEX(Material_Detail!$D:$DC,MATCH($A31,Material_Detail!$DE:$DE,0)+1,77))),0,IFERROR(INDEX(Material_Detail!$D:$DC,MATCH($A31,Material_Detail!$DE:$DE,0),77),0)),SUMIFS(T_Shipments[Confirmed_Qty],T_Shipments[Part Name],$A31,T_Shipments[Effective_Week],77))</f>
        <v/>
      </c>
      <c r="CA31">
        <f>IF(COUNTIF(Material_Detail!$DE:$DE,$A31)&gt;0,IF(ISNUMBER(SEARCH("[済]",INDEX(Material_Detail!$D:$DC,MATCH($A31,Material_Detail!$DE:$DE,0)+1,78))),0,IFERROR(INDEX(Material_Detail!$D:$DC,MATCH($A31,Material_Detail!$DE:$DE,0),78),0)),SUMIFS(T_Shipments[Confirmed_Qty],T_Shipments[Part Name],$A31,T_Shipments[Effective_Week],78))</f>
        <v/>
      </c>
      <c r="CB31">
        <f>IF(COUNTIF(Material_Detail!$DE:$DE,$A31)&gt;0,IF(ISNUMBER(SEARCH("[済]",INDEX(Material_Detail!$D:$DC,MATCH($A31,Material_Detail!$DE:$DE,0)+1,79))),0,IFERROR(INDEX(Material_Detail!$D:$DC,MATCH($A31,Material_Detail!$DE:$DE,0),79),0)),SUMIFS(T_Shipments[Confirmed_Qty],T_Shipments[Part Name],$A31,T_Shipments[Effective_Week],79))</f>
        <v/>
      </c>
      <c r="CC31">
        <f>IF(COUNTIF(Material_Detail!$DE:$DE,$A31)&gt;0,IF(ISNUMBER(SEARCH("[済]",INDEX(Material_Detail!$D:$DC,MATCH($A31,Material_Detail!$DE:$DE,0)+1,80))),0,IFERROR(INDEX(Material_Detail!$D:$DC,MATCH($A31,Material_Detail!$DE:$DE,0),80),0)),SUMIFS(T_Shipments[Confirmed_Qty],T_Shipments[Part Name],$A31,T_Shipments[Effective_Week],80))</f>
        <v/>
      </c>
      <c r="CD31">
        <f>IF(COUNTIF(Material_Detail!$DE:$DE,$A31)&gt;0,IF(ISNUMBER(SEARCH("[済]",INDEX(Material_Detail!$D:$DC,MATCH($A31,Material_Detail!$DE:$DE,0)+1,81))),0,IFERROR(INDEX(Material_Detail!$D:$DC,MATCH($A31,Material_Detail!$DE:$DE,0),81),0)),SUMIFS(T_Shipments[Confirmed_Qty],T_Shipments[Part Name],$A31,T_Shipments[Effective_Week],81))</f>
        <v/>
      </c>
      <c r="CE31">
        <f>IF(COUNTIF(Material_Detail!$DE:$DE,$A31)&gt;0,IF(ISNUMBER(SEARCH("[済]",INDEX(Material_Detail!$D:$DC,MATCH($A31,Material_Detail!$DE:$DE,0)+1,82))),0,IFERROR(INDEX(Material_Detail!$D:$DC,MATCH($A31,Material_Detail!$DE:$DE,0),82),0)),SUMIFS(T_Shipments[Confirmed_Qty],T_Shipments[Part Name],$A31,T_Shipments[Effective_Week],82))</f>
        <v/>
      </c>
      <c r="CF31">
        <f>IF(COUNTIF(Material_Detail!$DE:$DE,$A31)&gt;0,IF(ISNUMBER(SEARCH("[済]",INDEX(Material_Detail!$D:$DC,MATCH($A31,Material_Detail!$DE:$DE,0)+1,83))),0,IFERROR(INDEX(Material_Detail!$D:$DC,MATCH($A31,Material_Detail!$DE:$DE,0),83),0)),SUMIFS(T_Shipments[Confirmed_Qty],T_Shipments[Part Name],$A31,T_Shipments[Effective_Week],83))</f>
        <v/>
      </c>
      <c r="CG31">
        <f>IF(COUNTIF(Material_Detail!$DE:$DE,$A31)&gt;0,IF(ISNUMBER(SEARCH("[済]",INDEX(Material_Detail!$D:$DC,MATCH($A31,Material_Detail!$DE:$DE,0)+1,84))),0,IFERROR(INDEX(Material_Detail!$D:$DC,MATCH($A31,Material_Detail!$DE:$DE,0),84),0)),SUMIFS(T_Shipments[Confirmed_Qty],T_Shipments[Part Name],$A31,T_Shipments[Effective_Week],84))</f>
        <v/>
      </c>
      <c r="CH31">
        <f>IF(COUNTIF(Material_Detail!$DE:$DE,$A31)&gt;0,IF(ISNUMBER(SEARCH("[済]",INDEX(Material_Detail!$D:$DC,MATCH($A31,Material_Detail!$DE:$DE,0)+1,85))),0,IFERROR(INDEX(Material_Detail!$D:$DC,MATCH($A31,Material_Detail!$DE:$DE,0),85),0)),SUMIFS(T_Shipments[Confirmed_Qty],T_Shipments[Part Name],$A31,T_Shipments[Effective_Week],85))</f>
        <v/>
      </c>
      <c r="CI31">
        <f>IF(COUNTIF(Material_Detail!$DE:$DE,$A31)&gt;0,IF(ISNUMBER(SEARCH("[済]",INDEX(Material_Detail!$D:$DC,MATCH($A31,Material_Detail!$DE:$DE,0)+1,86))),0,IFERROR(INDEX(Material_Detail!$D:$DC,MATCH($A31,Material_Detail!$DE:$DE,0),86),0)),SUMIFS(T_Shipments[Confirmed_Qty],T_Shipments[Part Name],$A31,T_Shipments[Effective_Week],86))</f>
        <v/>
      </c>
      <c r="CJ31">
        <f>IF(COUNTIF(Material_Detail!$DE:$DE,$A31)&gt;0,IF(ISNUMBER(SEARCH("[済]",INDEX(Material_Detail!$D:$DC,MATCH($A31,Material_Detail!$DE:$DE,0)+1,87))),0,IFERROR(INDEX(Material_Detail!$D:$DC,MATCH($A31,Material_Detail!$DE:$DE,0),87),0)),SUMIFS(T_Shipments[Confirmed_Qty],T_Shipments[Part Name],$A31,T_Shipments[Effective_Week],87))</f>
        <v/>
      </c>
      <c r="CK31">
        <f>IF(COUNTIF(Material_Detail!$DE:$DE,$A31)&gt;0,IF(ISNUMBER(SEARCH("[済]",INDEX(Material_Detail!$D:$DC,MATCH($A31,Material_Detail!$DE:$DE,0)+1,88))),0,IFERROR(INDEX(Material_Detail!$D:$DC,MATCH($A31,Material_Detail!$DE:$DE,0),88),0)),SUMIFS(T_Shipments[Confirmed_Qty],T_Shipments[Part Name],$A31,T_Shipments[Effective_Week],88))</f>
        <v/>
      </c>
      <c r="CL31">
        <f>IF(COUNTIF(Material_Detail!$DE:$DE,$A31)&gt;0,IF(ISNUMBER(SEARCH("[済]",INDEX(Material_Detail!$D:$DC,MATCH($A31,Material_Detail!$DE:$DE,0)+1,89))),0,IFERROR(INDEX(Material_Detail!$D:$DC,MATCH($A31,Material_Detail!$DE:$DE,0),89),0)),SUMIFS(T_Shipments[Confirmed_Qty],T_Shipments[Part Name],$A31,T_Shipments[Effective_Week],89))</f>
        <v/>
      </c>
      <c r="CM31">
        <f>IF(COUNTIF(Material_Detail!$DE:$DE,$A31)&gt;0,IF(ISNUMBER(SEARCH("[済]",INDEX(Material_Detail!$D:$DC,MATCH($A31,Material_Detail!$DE:$DE,0)+1,90))),0,IFERROR(INDEX(Material_Detail!$D:$DC,MATCH($A31,Material_Detail!$DE:$DE,0),90),0)),SUMIFS(T_Shipments[Confirmed_Qty],T_Shipments[Part Name],$A31,T_Shipments[Effective_Week],90))</f>
        <v/>
      </c>
      <c r="CN31">
        <f>IF(COUNTIF(Material_Detail!$DE:$DE,$A31)&gt;0,IF(ISNUMBER(SEARCH("[済]",INDEX(Material_Detail!$D:$DC,MATCH($A31,Material_Detail!$DE:$DE,0)+1,91))),0,IFERROR(INDEX(Material_Detail!$D:$DC,MATCH($A31,Material_Detail!$DE:$DE,0),91),0)),SUMIFS(T_Shipments[Confirmed_Qty],T_Shipments[Part Name],$A31,T_Shipments[Effective_Week],91))</f>
        <v/>
      </c>
      <c r="CO31">
        <f>IF(COUNTIF(Material_Detail!$DE:$DE,$A31)&gt;0,IF(ISNUMBER(SEARCH("[済]",INDEX(Material_Detail!$D:$DC,MATCH($A31,Material_Detail!$DE:$DE,0)+1,92))),0,IFERROR(INDEX(Material_Detail!$D:$DC,MATCH($A31,Material_Detail!$DE:$DE,0),92),0)),SUMIFS(T_Shipments[Confirmed_Qty],T_Shipments[Part Name],$A31,T_Shipments[Effective_Week],92))</f>
        <v/>
      </c>
      <c r="CP31">
        <f>IF(COUNTIF(Material_Detail!$DE:$DE,$A31)&gt;0,IF(ISNUMBER(SEARCH("[済]",INDEX(Material_Detail!$D:$DC,MATCH($A31,Material_Detail!$DE:$DE,0)+1,93))),0,IFERROR(INDEX(Material_Detail!$D:$DC,MATCH($A31,Material_Detail!$DE:$DE,0),93),0)),SUMIFS(T_Shipments[Confirmed_Qty],T_Shipments[Part Name],$A31,T_Shipments[Effective_Week],93))</f>
        <v/>
      </c>
      <c r="CQ31">
        <f>IF(COUNTIF(Material_Detail!$DE:$DE,$A31)&gt;0,IF(ISNUMBER(SEARCH("[済]",INDEX(Material_Detail!$D:$DC,MATCH($A31,Material_Detail!$DE:$DE,0)+1,94))),0,IFERROR(INDEX(Material_Detail!$D:$DC,MATCH($A31,Material_Detail!$DE:$DE,0),94),0)),SUMIFS(T_Shipments[Confirmed_Qty],T_Shipments[Part Name],$A31,T_Shipments[Effective_Week],94))</f>
        <v/>
      </c>
      <c r="CR31">
        <f>IF(COUNTIF(Material_Detail!$DE:$DE,$A31)&gt;0,IF(ISNUMBER(SEARCH("[済]",INDEX(Material_Detail!$D:$DC,MATCH($A31,Material_Detail!$DE:$DE,0)+1,95))),0,IFERROR(INDEX(Material_Detail!$D:$DC,MATCH($A31,Material_Detail!$DE:$DE,0),95),0)),SUMIFS(T_Shipments[Confirmed_Qty],T_Shipments[Part Name],$A31,T_Shipments[Effective_Week],95))</f>
        <v/>
      </c>
      <c r="CS31">
        <f>IF(COUNTIF(Material_Detail!$DE:$DE,$A31)&gt;0,IF(ISNUMBER(SEARCH("[済]",INDEX(Material_Detail!$D:$DC,MATCH($A31,Material_Detail!$DE:$DE,0)+1,96))),0,IFERROR(INDEX(Material_Detail!$D:$DC,MATCH($A31,Material_Detail!$DE:$DE,0),96),0)),SUMIFS(T_Shipments[Confirmed_Qty],T_Shipments[Part Name],$A31,T_Shipments[Effective_Week],96))</f>
        <v/>
      </c>
      <c r="CT31">
        <f>IF(COUNTIF(Material_Detail!$DE:$DE,$A31)&gt;0,IF(ISNUMBER(SEARCH("[済]",INDEX(Material_Detail!$D:$DC,MATCH($A31,Material_Detail!$DE:$DE,0)+1,97))),0,IFERROR(INDEX(Material_Detail!$D:$DC,MATCH($A31,Material_Detail!$DE:$DE,0),97),0)),SUMIFS(T_Shipments[Confirmed_Qty],T_Shipments[Part Name],$A31,T_Shipments[Effective_Week],97))</f>
        <v/>
      </c>
      <c r="CU31">
        <f>IF(COUNTIF(Material_Detail!$DE:$DE,$A31)&gt;0,IF(ISNUMBER(SEARCH("[済]",INDEX(Material_Detail!$D:$DC,MATCH($A31,Material_Detail!$DE:$DE,0)+1,98))),0,IFERROR(INDEX(Material_Detail!$D:$DC,MATCH($A31,Material_Detail!$DE:$DE,0),98),0)),SUMIFS(T_Shipments[Confirmed_Qty],T_Shipments[Part Name],$A31,T_Shipments[Effective_Week],98))</f>
        <v/>
      </c>
      <c r="CV31">
        <f>IF(COUNTIF(Material_Detail!$DE:$DE,$A31)&gt;0,IF(ISNUMBER(SEARCH("[済]",INDEX(Material_Detail!$D:$DC,MATCH($A31,Material_Detail!$DE:$DE,0)+1,99))),0,IFERROR(INDEX(Material_Detail!$D:$DC,MATCH($A31,Material_Detail!$DE:$DE,0),99),0)),SUMIFS(T_Shipments[Confirmed_Qty],T_Shipments[Part Name],$A31,T_Shipments[Effective_Week],99))</f>
        <v/>
      </c>
      <c r="CW31">
        <f>IF(COUNTIF(Material_Detail!$DE:$DE,$A31)&gt;0,IF(ISNUMBER(SEARCH("[済]",INDEX(Material_Detail!$D:$DC,MATCH($A31,Material_Detail!$DE:$DE,0)+1,100))),0,IFERROR(INDEX(Material_Detail!$D:$DC,MATCH($A31,Material_Detail!$DE:$DE,0),100),0)),SUMIFS(T_Shipments[Confirmed_Qty],T_Shipments[Part Name],$A31,T_Shipments[Effective_Week],100))</f>
        <v/>
      </c>
      <c r="CX31">
        <f>IF(COUNTIF(Material_Detail!$DE:$DE,$A31)&gt;0,IF(ISNUMBER(SEARCH("[済]",INDEX(Material_Detail!$D:$DC,MATCH($A31,Material_Detail!$DE:$DE,0)+1,101))),0,IFERROR(INDEX(Material_Detail!$D:$DC,MATCH($A31,Material_Detail!$DE:$DE,0),101),0)),SUMIFS(T_Shipments[Confirmed_Qty],T_Shipments[Part Name],$A31,T_Shipments[Effective_Week],101))</f>
        <v/>
      </c>
      <c r="CY31">
        <f>IF(COUNTIF(Material_Detail!$DE:$DE,$A31)&gt;0,IF(ISNUMBER(SEARCH("[済]",INDEX(Material_Detail!$D:$DC,MATCH($A31,Material_Detail!$DE:$DE,0)+1,102))),0,IFERROR(INDEX(Material_Detail!$D:$DC,MATCH($A31,Material_Detail!$DE:$DE,0),102),0)),SUMIFS(T_Shipments[Confirmed_Qty],T_Shipments[Part Name],$A31,T_Shipments[Effective_Week],102))</f>
        <v/>
      </c>
      <c r="CZ31">
        <f>IF(COUNTIF(Material_Detail!$DE:$DE,$A31)&gt;0,IF(ISNUMBER(SEARCH("[済]",INDEX(Material_Detail!$D:$DC,MATCH($A31,Material_Detail!$DE:$DE,0)+1,103))),0,IFERROR(INDEX(Material_Detail!$D:$DC,MATCH($A31,Material_Detail!$DE:$DE,0),103),0)),SUMIFS(T_Shipments[Confirmed_Qty],T_Shipments[Part Name],$A31,T_Shipments[Effective_Week],103))</f>
        <v/>
      </c>
      <c r="DA31">
        <f>IF(COUNTIF(Material_Detail!$DE:$DE,$A31)&gt;0,IF(ISNUMBER(SEARCH("[済]",INDEX(Material_Detail!$D:$DC,MATCH($A31,Material_Detail!$DE:$DE,0)+1,104))),0,IFERROR(INDEX(Material_Detail!$D:$DC,MATCH($A31,Material_Detail!$DE:$DE,0),104),0)),SUMIFS(T_Shipments[Confirmed_Qty],T_Shipments[Part Name],$A31,T_Shipments[Effective_Week],104))</f>
        <v/>
      </c>
    </row>
    <row r="32">
      <c r="A32" t="inlineStr">
        <is>
          <t>CHEM-1780</t>
        </is>
      </c>
      <c r="B32">
        <f>IF(COUNTIF(Material_Detail!$DE:$DE,$A32)&gt;0,IF(ISNUMBER(SEARCH("[済]",INDEX(Material_Detail!$D:$DC,MATCH($A32,Material_Detail!$DE:$DE,0)+1,1))),0,IFERROR(INDEX(Material_Detail!$D:$DC,MATCH($A32,Material_Detail!$DE:$DE,0),1),0)),SUMIFS(T_Shipments[Confirmed_Qty],T_Shipments[Part Name],$A32,T_Shipments[Effective_Week],1))</f>
        <v/>
      </c>
      <c r="C32">
        <f>IF(COUNTIF(Material_Detail!$DE:$DE,$A32)&gt;0,IF(ISNUMBER(SEARCH("[済]",INDEX(Material_Detail!$D:$DC,MATCH($A32,Material_Detail!$DE:$DE,0)+1,2))),0,IFERROR(INDEX(Material_Detail!$D:$DC,MATCH($A32,Material_Detail!$DE:$DE,0),2),0)),SUMIFS(T_Shipments[Confirmed_Qty],T_Shipments[Part Name],$A32,T_Shipments[Effective_Week],2))</f>
        <v/>
      </c>
      <c r="D32">
        <f>IF(COUNTIF(Material_Detail!$DE:$DE,$A32)&gt;0,IF(ISNUMBER(SEARCH("[済]",INDEX(Material_Detail!$D:$DC,MATCH($A32,Material_Detail!$DE:$DE,0)+1,3))),0,IFERROR(INDEX(Material_Detail!$D:$DC,MATCH($A32,Material_Detail!$DE:$DE,0),3),0)),SUMIFS(T_Shipments[Confirmed_Qty],T_Shipments[Part Name],$A32,T_Shipments[Effective_Week],3))</f>
        <v/>
      </c>
      <c r="E32">
        <f>IF(COUNTIF(Material_Detail!$DE:$DE,$A32)&gt;0,IF(ISNUMBER(SEARCH("[済]",INDEX(Material_Detail!$D:$DC,MATCH($A32,Material_Detail!$DE:$DE,0)+1,4))),0,IFERROR(INDEX(Material_Detail!$D:$DC,MATCH($A32,Material_Detail!$DE:$DE,0),4),0)),SUMIFS(T_Shipments[Confirmed_Qty],T_Shipments[Part Name],$A32,T_Shipments[Effective_Week],4))</f>
        <v/>
      </c>
      <c r="F32">
        <f>IF(COUNTIF(Material_Detail!$DE:$DE,$A32)&gt;0,IF(ISNUMBER(SEARCH("[済]",INDEX(Material_Detail!$D:$DC,MATCH($A32,Material_Detail!$DE:$DE,0)+1,5))),0,IFERROR(INDEX(Material_Detail!$D:$DC,MATCH($A32,Material_Detail!$DE:$DE,0),5),0)),SUMIFS(T_Shipments[Confirmed_Qty],T_Shipments[Part Name],$A32,T_Shipments[Effective_Week],5))</f>
        <v/>
      </c>
      <c r="G32">
        <f>IF(COUNTIF(Material_Detail!$DE:$DE,$A32)&gt;0,IF(ISNUMBER(SEARCH("[済]",INDEX(Material_Detail!$D:$DC,MATCH($A32,Material_Detail!$DE:$DE,0)+1,6))),0,IFERROR(INDEX(Material_Detail!$D:$DC,MATCH($A32,Material_Detail!$DE:$DE,0),6),0)),SUMIFS(T_Shipments[Confirmed_Qty],T_Shipments[Part Name],$A32,T_Shipments[Effective_Week],6))</f>
        <v/>
      </c>
      <c r="H32">
        <f>IF(COUNTIF(Material_Detail!$DE:$DE,$A32)&gt;0,IF(ISNUMBER(SEARCH("[済]",INDEX(Material_Detail!$D:$DC,MATCH($A32,Material_Detail!$DE:$DE,0)+1,7))),0,IFERROR(INDEX(Material_Detail!$D:$DC,MATCH($A32,Material_Detail!$DE:$DE,0),7),0)),SUMIFS(T_Shipments[Confirmed_Qty],T_Shipments[Part Name],$A32,T_Shipments[Effective_Week],7))</f>
        <v/>
      </c>
      <c r="I32">
        <f>IF(COUNTIF(Material_Detail!$DE:$DE,$A32)&gt;0,IF(ISNUMBER(SEARCH("[済]",INDEX(Material_Detail!$D:$DC,MATCH($A32,Material_Detail!$DE:$DE,0)+1,8))),0,IFERROR(INDEX(Material_Detail!$D:$DC,MATCH($A32,Material_Detail!$DE:$DE,0),8),0)),SUMIFS(T_Shipments[Confirmed_Qty],T_Shipments[Part Name],$A32,T_Shipments[Effective_Week],8))</f>
        <v/>
      </c>
      <c r="J32">
        <f>IF(COUNTIF(Material_Detail!$DE:$DE,$A32)&gt;0,IF(ISNUMBER(SEARCH("[済]",INDEX(Material_Detail!$D:$DC,MATCH($A32,Material_Detail!$DE:$DE,0)+1,9))),0,IFERROR(INDEX(Material_Detail!$D:$DC,MATCH($A32,Material_Detail!$DE:$DE,0),9),0)),SUMIFS(T_Shipments[Confirmed_Qty],T_Shipments[Part Name],$A32,T_Shipments[Effective_Week],9))</f>
        <v/>
      </c>
      <c r="K32">
        <f>IF(COUNTIF(Material_Detail!$DE:$DE,$A32)&gt;0,IF(ISNUMBER(SEARCH("[済]",INDEX(Material_Detail!$D:$DC,MATCH($A32,Material_Detail!$DE:$DE,0)+1,10))),0,IFERROR(INDEX(Material_Detail!$D:$DC,MATCH($A32,Material_Detail!$DE:$DE,0),10),0)),SUMIFS(T_Shipments[Confirmed_Qty],T_Shipments[Part Name],$A32,T_Shipments[Effective_Week],10))</f>
        <v/>
      </c>
      <c r="L32">
        <f>IF(COUNTIF(Material_Detail!$DE:$DE,$A32)&gt;0,IF(ISNUMBER(SEARCH("[済]",INDEX(Material_Detail!$D:$DC,MATCH($A32,Material_Detail!$DE:$DE,0)+1,11))),0,IFERROR(INDEX(Material_Detail!$D:$DC,MATCH($A32,Material_Detail!$DE:$DE,0),11),0)),SUMIFS(T_Shipments[Confirmed_Qty],T_Shipments[Part Name],$A32,T_Shipments[Effective_Week],11))</f>
        <v/>
      </c>
      <c r="M32">
        <f>IF(COUNTIF(Material_Detail!$DE:$DE,$A32)&gt;0,IF(ISNUMBER(SEARCH("[済]",INDEX(Material_Detail!$D:$DC,MATCH($A32,Material_Detail!$DE:$DE,0)+1,12))),0,IFERROR(INDEX(Material_Detail!$D:$DC,MATCH($A32,Material_Detail!$DE:$DE,0),12),0)),SUMIFS(T_Shipments[Confirmed_Qty],T_Shipments[Part Name],$A32,T_Shipments[Effective_Week],12))</f>
        <v/>
      </c>
      <c r="N32">
        <f>IF(COUNTIF(Material_Detail!$DE:$DE,$A32)&gt;0,IF(ISNUMBER(SEARCH("[済]",INDEX(Material_Detail!$D:$DC,MATCH($A32,Material_Detail!$DE:$DE,0)+1,13))),0,IFERROR(INDEX(Material_Detail!$D:$DC,MATCH($A32,Material_Detail!$DE:$DE,0),13),0)),SUMIFS(T_Shipments[Confirmed_Qty],T_Shipments[Part Name],$A32,T_Shipments[Effective_Week],13))</f>
        <v/>
      </c>
      <c r="O32">
        <f>IF(COUNTIF(Material_Detail!$DE:$DE,$A32)&gt;0,IF(ISNUMBER(SEARCH("[済]",INDEX(Material_Detail!$D:$DC,MATCH($A32,Material_Detail!$DE:$DE,0)+1,14))),0,IFERROR(INDEX(Material_Detail!$D:$DC,MATCH($A32,Material_Detail!$DE:$DE,0),14),0)),SUMIFS(T_Shipments[Confirmed_Qty],T_Shipments[Part Name],$A32,T_Shipments[Effective_Week],14))</f>
        <v/>
      </c>
      <c r="P32">
        <f>IF(COUNTIF(Material_Detail!$DE:$DE,$A32)&gt;0,IF(ISNUMBER(SEARCH("[済]",INDEX(Material_Detail!$D:$DC,MATCH($A32,Material_Detail!$DE:$DE,0)+1,15))),0,IFERROR(INDEX(Material_Detail!$D:$DC,MATCH($A32,Material_Detail!$DE:$DE,0),15),0)),SUMIFS(T_Shipments[Confirmed_Qty],T_Shipments[Part Name],$A32,T_Shipments[Effective_Week],15))</f>
        <v/>
      </c>
      <c r="Q32">
        <f>IF(COUNTIF(Material_Detail!$DE:$DE,$A32)&gt;0,IF(ISNUMBER(SEARCH("[済]",INDEX(Material_Detail!$D:$DC,MATCH($A32,Material_Detail!$DE:$DE,0)+1,16))),0,IFERROR(INDEX(Material_Detail!$D:$DC,MATCH($A32,Material_Detail!$DE:$DE,0),16),0)),SUMIFS(T_Shipments[Confirmed_Qty],T_Shipments[Part Name],$A32,T_Shipments[Effective_Week],16))</f>
        <v/>
      </c>
      <c r="R32">
        <f>IF(COUNTIF(Material_Detail!$DE:$DE,$A32)&gt;0,IF(ISNUMBER(SEARCH("[済]",INDEX(Material_Detail!$D:$DC,MATCH($A32,Material_Detail!$DE:$DE,0)+1,17))),0,IFERROR(INDEX(Material_Detail!$D:$DC,MATCH($A32,Material_Detail!$DE:$DE,0),17),0)),SUMIFS(T_Shipments[Confirmed_Qty],T_Shipments[Part Name],$A32,T_Shipments[Effective_Week],17))</f>
        <v/>
      </c>
      <c r="S32">
        <f>IF(COUNTIF(Material_Detail!$DE:$DE,$A32)&gt;0,IF(ISNUMBER(SEARCH("[済]",INDEX(Material_Detail!$D:$DC,MATCH($A32,Material_Detail!$DE:$DE,0)+1,18))),0,IFERROR(INDEX(Material_Detail!$D:$DC,MATCH($A32,Material_Detail!$DE:$DE,0),18),0)),SUMIFS(T_Shipments[Confirmed_Qty],T_Shipments[Part Name],$A32,T_Shipments[Effective_Week],18))</f>
        <v/>
      </c>
      <c r="T32">
        <f>IF(COUNTIF(Material_Detail!$DE:$DE,$A32)&gt;0,IF(ISNUMBER(SEARCH("[済]",INDEX(Material_Detail!$D:$DC,MATCH($A32,Material_Detail!$DE:$DE,0)+1,19))),0,IFERROR(INDEX(Material_Detail!$D:$DC,MATCH($A32,Material_Detail!$DE:$DE,0),19),0)),SUMIFS(T_Shipments[Confirmed_Qty],T_Shipments[Part Name],$A32,T_Shipments[Effective_Week],19))</f>
        <v/>
      </c>
      <c r="U32">
        <f>IF(COUNTIF(Material_Detail!$DE:$DE,$A32)&gt;0,IF(ISNUMBER(SEARCH("[済]",INDEX(Material_Detail!$D:$DC,MATCH($A32,Material_Detail!$DE:$DE,0)+1,20))),0,IFERROR(INDEX(Material_Detail!$D:$DC,MATCH($A32,Material_Detail!$DE:$DE,0),20),0)),SUMIFS(T_Shipments[Confirmed_Qty],T_Shipments[Part Name],$A32,T_Shipments[Effective_Week],20))</f>
        <v/>
      </c>
      <c r="V32">
        <f>IF(COUNTIF(Material_Detail!$DE:$DE,$A32)&gt;0,IF(ISNUMBER(SEARCH("[済]",INDEX(Material_Detail!$D:$DC,MATCH($A32,Material_Detail!$DE:$DE,0)+1,21))),0,IFERROR(INDEX(Material_Detail!$D:$DC,MATCH($A32,Material_Detail!$DE:$DE,0),21),0)),SUMIFS(T_Shipments[Confirmed_Qty],T_Shipments[Part Name],$A32,T_Shipments[Effective_Week],21))</f>
        <v/>
      </c>
      <c r="W32">
        <f>IF(COUNTIF(Material_Detail!$DE:$DE,$A32)&gt;0,IF(ISNUMBER(SEARCH("[済]",INDEX(Material_Detail!$D:$DC,MATCH($A32,Material_Detail!$DE:$DE,0)+1,22))),0,IFERROR(INDEX(Material_Detail!$D:$DC,MATCH($A32,Material_Detail!$DE:$DE,0),22),0)),SUMIFS(T_Shipments[Confirmed_Qty],T_Shipments[Part Name],$A32,T_Shipments[Effective_Week],22))</f>
        <v/>
      </c>
      <c r="X32">
        <f>IF(COUNTIF(Material_Detail!$DE:$DE,$A32)&gt;0,IF(ISNUMBER(SEARCH("[済]",INDEX(Material_Detail!$D:$DC,MATCH($A32,Material_Detail!$DE:$DE,0)+1,23))),0,IFERROR(INDEX(Material_Detail!$D:$DC,MATCH($A32,Material_Detail!$DE:$DE,0),23),0)),SUMIFS(T_Shipments[Confirmed_Qty],T_Shipments[Part Name],$A32,T_Shipments[Effective_Week],23))</f>
        <v/>
      </c>
      <c r="Y32">
        <f>IF(COUNTIF(Material_Detail!$DE:$DE,$A32)&gt;0,IF(ISNUMBER(SEARCH("[済]",INDEX(Material_Detail!$D:$DC,MATCH($A32,Material_Detail!$DE:$DE,0)+1,24))),0,IFERROR(INDEX(Material_Detail!$D:$DC,MATCH($A32,Material_Detail!$DE:$DE,0),24),0)),SUMIFS(T_Shipments[Confirmed_Qty],T_Shipments[Part Name],$A32,T_Shipments[Effective_Week],24))</f>
        <v/>
      </c>
      <c r="Z32">
        <f>IF(COUNTIF(Material_Detail!$DE:$DE,$A32)&gt;0,IF(ISNUMBER(SEARCH("[済]",INDEX(Material_Detail!$D:$DC,MATCH($A32,Material_Detail!$DE:$DE,0)+1,25))),0,IFERROR(INDEX(Material_Detail!$D:$DC,MATCH($A32,Material_Detail!$DE:$DE,0),25),0)),SUMIFS(T_Shipments[Confirmed_Qty],T_Shipments[Part Name],$A32,T_Shipments[Effective_Week],25))</f>
        <v/>
      </c>
      <c r="AA32">
        <f>IF(COUNTIF(Material_Detail!$DE:$DE,$A32)&gt;0,IF(ISNUMBER(SEARCH("[済]",INDEX(Material_Detail!$D:$DC,MATCH($A32,Material_Detail!$DE:$DE,0)+1,26))),0,IFERROR(INDEX(Material_Detail!$D:$DC,MATCH($A32,Material_Detail!$DE:$DE,0),26),0)),SUMIFS(T_Shipments[Confirmed_Qty],T_Shipments[Part Name],$A32,T_Shipments[Effective_Week],26))</f>
        <v/>
      </c>
      <c r="AB32">
        <f>IF(COUNTIF(Material_Detail!$DE:$DE,$A32)&gt;0,IF(ISNUMBER(SEARCH("[済]",INDEX(Material_Detail!$D:$DC,MATCH($A32,Material_Detail!$DE:$DE,0)+1,27))),0,IFERROR(INDEX(Material_Detail!$D:$DC,MATCH($A32,Material_Detail!$DE:$DE,0),27),0)),SUMIFS(T_Shipments[Confirmed_Qty],T_Shipments[Part Name],$A32,T_Shipments[Effective_Week],27))</f>
        <v/>
      </c>
      <c r="AC32">
        <f>IF(COUNTIF(Material_Detail!$DE:$DE,$A32)&gt;0,IF(ISNUMBER(SEARCH("[済]",INDEX(Material_Detail!$D:$DC,MATCH($A32,Material_Detail!$DE:$DE,0)+1,28))),0,IFERROR(INDEX(Material_Detail!$D:$DC,MATCH($A32,Material_Detail!$DE:$DE,0),28),0)),SUMIFS(T_Shipments[Confirmed_Qty],T_Shipments[Part Name],$A32,T_Shipments[Effective_Week],28))</f>
        <v/>
      </c>
      <c r="AD32">
        <f>IF(COUNTIF(Material_Detail!$DE:$DE,$A32)&gt;0,IF(ISNUMBER(SEARCH("[済]",INDEX(Material_Detail!$D:$DC,MATCH($A32,Material_Detail!$DE:$DE,0)+1,29))),0,IFERROR(INDEX(Material_Detail!$D:$DC,MATCH($A32,Material_Detail!$DE:$DE,0),29),0)),SUMIFS(T_Shipments[Confirmed_Qty],T_Shipments[Part Name],$A32,T_Shipments[Effective_Week],29))</f>
        <v/>
      </c>
      <c r="AE32">
        <f>IF(COUNTIF(Material_Detail!$DE:$DE,$A32)&gt;0,IF(ISNUMBER(SEARCH("[済]",INDEX(Material_Detail!$D:$DC,MATCH($A32,Material_Detail!$DE:$DE,0)+1,30))),0,IFERROR(INDEX(Material_Detail!$D:$DC,MATCH($A32,Material_Detail!$DE:$DE,0),30),0)),SUMIFS(T_Shipments[Confirmed_Qty],T_Shipments[Part Name],$A32,T_Shipments[Effective_Week],30))</f>
        <v/>
      </c>
      <c r="AF32">
        <f>IF(COUNTIF(Material_Detail!$DE:$DE,$A32)&gt;0,IF(ISNUMBER(SEARCH("[済]",INDEX(Material_Detail!$D:$DC,MATCH($A32,Material_Detail!$DE:$DE,0)+1,31))),0,IFERROR(INDEX(Material_Detail!$D:$DC,MATCH($A32,Material_Detail!$DE:$DE,0),31),0)),SUMIFS(T_Shipments[Confirmed_Qty],T_Shipments[Part Name],$A32,T_Shipments[Effective_Week],31))</f>
        <v/>
      </c>
      <c r="AG32">
        <f>IF(COUNTIF(Material_Detail!$DE:$DE,$A32)&gt;0,IF(ISNUMBER(SEARCH("[済]",INDEX(Material_Detail!$D:$DC,MATCH($A32,Material_Detail!$DE:$DE,0)+1,32))),0,IFERROR(INDEX(Material_Detail!$D:$DC,MATCH($A32,Material_Detail!$DE:$DE,0),32),0)),SUMIFS(T_Shipments[Confirmed_Qty],T_Shipments[Part Name],$A32,T_Shipments[Effective_Week],32))</f>
        <v/>
      </c>
      <c r="AH32">
        <f>IF(COUNTIF(Material_Detail!$DE:$DE,$A32)&gt;0,IF(ISNUMBER(SEARCH("[済]",INDEX(Material_Detail!$D:$DC,MATCH($A32,Material_Detail!$DE:$DE,0)+1,33))),0,IFERROR(INDEX(Material_Detail!$D:$DC,MATCH($A32,Material_Detail!$DE:$DE,0),33),0)),SUMIFS(T_Shipments[Confirmed_Qty],T_Shipments[Part Name],$A32,T_Shipments[Effective_Week],33))</f>
        <v/>
      </c>
      <c r="AI32">
        <f>IF(COUNTIF(Material_Detail!$DE:$DE,$A32)&gt;0,IF(ISNUMBER(SEARCH("[済]",INDEX(Material_Detail!$D:$DC,MATCH($A32,Material_Detail!$DE:$DE,0)+1,34))),0,IFERROR(INDEX(Material_Detail!$D:$DC,MATCH($A32,Material_Detail!$DE:$DE,0),34),0)),SUMIFS(T_Shipments[Confirmed_Qty],T_Shipments[Part Name],$A32,T_Shipments[Effective_Week],34))</f>
        <v/>
      </c>
      <c r="AJ32">
        <f>IF(COUNTIF(Material_Detail!$DE:$DE,$A32)&gt;0,IF(ISNUMBER(SEARCH("[済]",INDEX(Material_Detail!$D:$DC,MATCH($A32,Material_Detail!$DE:$DE,0)+1,35))),0,IFERROR(INDEX(Material_Detail!$D:$DC,MATCH($A32,Material_Detail!$DE:$DE,0),35),0)),SUMIFS(T_Shipments[Confirmed_Qty],T_Shipments[Part Name],$A32,T_Shipments[Effective_Week],35))</f>
        <v/>
      </c>
      <c r="AK32">
        <f>IF(COUNTIF(Material_Detail!$DE:$DE,$A32)&gt;0,IF(ISNUMBER(SEARCH("[済]",INDEX(Material_Detail!$D:$DC,MATCH($A32,Material_Detail!$DE:$DE,0)+1,36))),0,IFERROR(INDEX(Material_Detail!$D:$DC,MATCH($A32,Material_Detail!$DE:$DE,0),36),0)),SUMIFS(T_Shipments[Confirmed_Qty],T_Shipments[Part Name],$A32,T_Shipments[Effective_Week],36))</f>
        <v/>
      </c>
      <c r="AL32">
        <f>IF(COUNTIF(Material_Detail!$DE:$DE,$A32)&gt;0,IF(ISNUMBER(SEARCH("[済]",INDEX(Material_Detail!$D:$DC,MATCH($A32,Material_Detail!$DE:$DE,0)+1,37))),0,IFERROR(INDEX(Material_Detail!$D:$DC,MATCH($A32,Material_Detail!$DE:$DE,0),37),0)),SUMIFS(T_Shipments[Confirmed_Qty],T_Shipments[Part Name],$A32,T_Shipments[Effective_Week],37))</f>
        <v/>
      </c>
      <c r="AM32">
        <f>IF(COUNTIF(Material_Detail!$DE:$DE,$A32)&gt;0,IF(ISNUMBER(SEARCH("[済]",INDEX(Material_Detail!$D:$DC,MATCH($A32,Material_Detail!$DE:$DE,0)+1,38))),0,IFERROR(INDEX(Material_Detail!$D:$DC,MATCH($A32,Material_Detail!$DE:$DE,0),38),0)),SUMIFS(T_Shipments[Confirmed_Qty],T_Shipments[Part Name],$A32,T_Shipments[Effective_Week],38))</f>
        <v/>
      </c>
      <c r="AN32">
        <f>IF(COUNTIF(Material_Detail!$DE:$DE,$A32)&gt;0,IF(ISNUMBER(SEARCH("[済]",INDEX(Material_Detail!$D:$DC,MATCH($A32,Material_Detail!$DE:$DE,0)+1,39))),0,IFERROR(INDEX(Material_Detail!$D:$DC,MATCH($A32,Material_Detail!$DE:$DE,0),39),0)),SUMIFS(T_Shipments[Confirmed_Qty],T_Shipments[Part Name],$A32,T_Shipments[Effective_Week],39))</f>
        <v/>
      </c>
      <c r="AO32">
        <f>IF(COUNTIF(Material_Detail!$DE:$DE,$A32)&gt;0,IF(ISNUMBER(SEARCH("[済]",INDEX(Material_Detail!$D:$DC,MATCH($A32,Material_Detail!$DE:$DE,0)+1,40))),0,IFERROR(INDEX(Material_Detail!$D:$DC,MATCH($A32,Material_Detail!$DE:$DE,0),40),0)),SUMIFS(T_Shipments[Confirmed_Qty],T_Shipments[Part Name],$A32,T_Shipments[Effective_Week],40))</f>
        <v/>
      </c>
      <c r="AP32">
        <f>IF(COUNTIF(Material_Detail!$DE:$DE,$A32)&gt;0,IF(ISNUMBER(SEARCH("[済]",INDEX(Material_Detail!$D:$DC,MATCH($A32,Material_Detail!$DE:$DE,0)+1,41))),0,IFERROR(INDEX(Material_Detail!$D:$DC,MATCH($A32,Material_Detail!$DE:$DE,0),41),0)),SUMIFS(T_Shipments[Confirmed_Qty],T_Shipments[Part Name],$A32,T_Shipments[Effective_Week],41))</f>
        <v/>
      </c>
      <c r="AQ32">
        <f>IF(COUNTIF(Material_Detail!$DE:$DE,$A32)&gt;0,IF(ISNUMBER(SEARCH("[済]",INDEX(Material_Detail!$D:$DC,MATCH($A32,Material_Detail!$DE:$DE,0)+1,42))),0,IFERROR(INDEX(Material_Detail!$D:$DC,MATCH($A32,Material_Detail!$DE:$DE,0),42),0)),SUMIFS(T_Shipments[Confirmed_Qty],T_Shipments[Part Name],$A32,T_Shipments[Effective_Week],42))</f>
        <v/>
      </c>
      <c r="AR32">
        <f>IF(COUNTIF(Material_Detail!$DE:$DE,$A32)&gt;0,IF(ISNUMBER(SEARCH("[済]",INDEX(Material_Detail!$D:$DC,MATCH($A32,Material_Detail!$DE:$DE,0)+1,43))),0,IFERROR(INDEX(Material_Detail!$D:$DC,MATCH($A32,Material_Detail!$DE:$DE,0),43),0)),SUMIFS(T_Shipments[Confirmed_Qty],T_Shipments[Part Name],$A32,T_Shipments[Effective_Week],43))</f>
        <v/>
      </c>
      <c r="AS32">
        <f>IF(COUNTIF(Material_Detail!$DE:$DE,$A32)&gt;0,IF(ISNUMBER(SEARCH("[済]",INDEX(Material_Detail!$D:$DC,MATCH($A32,Material_Detail!$DE:$DE,0)+1,44))),0,IFERROR(INDEX(Material_Detail!$D:$DC,MATCH($A32,Material_Detail!$DE:$DE,0),44),0)),SUMIFS(T_Shipments[Confirmed_Qty],T_Shipments[Part Name],$A32,T_Shipments[Effective_Week],44))</f>
        <v/>
      </c>
      <c r="AT32">
        <f>IF(COUNTIF(Material_Detail!$DE:$DE,$A32)&gt;0,IF(ISNUMBER(SEARCH("[済]",INDEX(Material_Detail!$D:$DC,MATCH($A32,Material_Detail!$DE:$DE,0)+1,45))),0,IFERROR(INDEX(Material_Detail!$D:$DC,MATCH($A32,Material_Detail!$DE:$DE,0),45),0)),SUMIFS(T_Shipments[Confirmed_Qty],T_Shipments[Part Name],$A32,T_Shipments[Effective_Week],45))</f>
        <v/>
      </c>
      <c r="AU32">
        <f>IF(COUNTIF(Material_Detail!$DE:$DE,$A32)&gt;0,IF(ISNUMBER(SEARCH("[済]",INDEX(Material_Detail!$D:$DC,MATCH($A32,Material_Detail!$DE:$DE,0)+1,46))),0,IFERROR(INDEX(Material_Detail!$D:$DC,MATCH($A32,Material_Detail!$DE:$DE,0),46),0)),SUMIFS(T_Shipments[Confirmed_Qty],T_Shipments[Part Name],$A32,T_Shipments[Effective_Week],46))</f>
        <v/>
      </c>
      <c r="AV32">
        <f>IF(COUNTIF(Material_Detail!$DE:$DE,$A32)&gt;0,IF(ISNUMBER(SEARCH("[済]",INDEX(Material_Detail!$D:$DC,MATCH($A32,Material_Detail!$DE:$DE,0)+1,47))),0,IFERROR(INDEX(Material_Detail!$D:$DC,MATCH($A32,Material_Detail!$DE:$DE,0),47),0)),SUMIFS(T_Shipments[Confirmed_Qty],T_Shipments[Part Name],$A32,T_Shipments[Effective_Week],47))</f>
        <v/>
      </c>
      <c r="AW32">
        <f>IF(COUNTIF(Material_Detail!$DE:$DE,$A32)&gt;0,IF(ISNUMBER(SEARCH("[済]",INDEX(Material_Detail!$D:$DC,MATCH($A32,Material_Detail!$DE:$DE,0)+1,48))),0,IFERROR(INDEX(Material_Detail!$D:$DC,MATCH($A32,Material_Detail!$DE:$DE,0),48),0)),SUMIFS(T_Shipments[Confirmed_Qty],T_Shipments[Part Name],$A32,T_Shipments[Effective_Week],48))</f>
        <v/>
      </c>
      <c r="AX32">
        <f>IF(COUNTIF(Material_Detail!$DE:$DE,$A32)&gt;0,IF(ISNUMBER(SEARCH("[済]",INDEX(Material_Detail!$D:$DC,MATCH($A32,Material_Detail!$DE:$DE,0)+1,49))),0,IFERROR(INDEX(Material_Detail!$D:$DC,MATCH($A32,Material_Detail!$DE:$DE,0),49),0)),SUMIFS(T_Shipments[Confirmed_Qty],T_Shipments[Part Name],$A32,T_Shipments[Effective_Week],49))</f>
        <v/>
      </c>
      <c r="AY32">
        <f>IF(COUNTIF(Material_Detail!$DE:$DE,$A32)&gt;0,IF(ISNUMBER(SEARCH("[済]",INDEX(Material_Detail!$D:$DC,MATCH($A32,Material_Detail!$DE:$DE,0)+1,50))),0,IFERROR(INDEX(Material_Detail!$D:$DC,MATCH($A32,Material_Detail!$DE:$DE,0),50),0)),SUMIFS(T_Shipments[Confirmed_Qty],T_Shipments[Part Name],$A32,T_Shipments[Effective_Week],50))</f>
        <v/>
      </c>
      <c r="AZ32">
        <f>IF(COUNTIF(Material_Detail!$DE:$DE,$A32)&gt;0,IF(ISNUMBER(SEARCH("[済]",INDEX(Material_Detail!$D:$DC,MATCH($A32,Material_Detail!$DE:$DE,0)+1,51))),0,IFERROR(INDEX(Material_Detail!$D:$DC,MATCH($A32,Material_Detail!$DE:$DE,0),51),0)),SUMIFS(T_Shipments[Confirmed_Qty],T_Shipments[Part Name],$A32,T_Shipments[Effective_Week],51))</f>
        <v/>
      </c>
      <c r="BA32">
        <f>IF(COUNTIF(Material_Detail!$DE:$DE,$A32)&gt;0,IF(ISNUMBER(SEARCH("[済]",INDEX(Material_Detail!$D:$DC,MATCH($A32,Material_Detail!$DE:$DE,0)+1,52))),0,IFERROR(INDEX(Material_Detail!$D:$DC,MATCH($A32,Material_Detail!$DE:$DE,0),52),0)),SUMIFS(T_Shipments[Confirmed_Qty],T_Shipments[Part Name],$A32,T_Shipments[Effective_Week],52))</f>
        <v/>
      </c>
      <c r="BB32">
        <f>IF(COUNTIF(Material_Detail!$DE:$DE,$A32)&gt;0,IF(ISNUMBER(SEARCH("[済]",INDEX(Material_Detail!$D:$DC,MATCH($A32,Material_Detail!$DE:$DE,0)+1,53))),0,IFERROR(INDEX(Material_Detail!$D:$DC,MATCH($A32,Material_Detail!$DE:$DE,0),53),0)),SUMIFS(T_Shipments[Confirmed_Qty],T_Shipments[Part Name],$A32,T_Shipments[Effective_Week],53))</f>
        <v/>
      </c>
      <c r="BC32">
        <f>IF(COUNTIF(Material_Detail!$DE:$DE,$A32)&gt;0,IF(ISNUMBER(SEARCH("[済]",INDEX(Material_Detail!$D:$DC,MATCH($A32,Material_Detail!$DE:$DE,0)+1,54))),0,IFERROR(INDEX(Material_Detail!$D:$DC,MATCH($A32,Material_Detail!$DE:$DE,0),54),0)),SUMIFS(T_Shipments[Confirmed_Qty],T_Shipments[Part Name],$A32,T_Shipments[Effective_Week],54))</f>
        <v/>
      </c>
      <c r="BD32">
        <f>IF(COUNTIF(Material_Detail!$DE:$DE,$A32)&gt;0,IF(ISNUMBER(SEARCH("[済]",INDEX(Material_Detail!$D:$DC,MATCH($A32,Material_Detail!$DE:$DE,0)+1,55))),0,IFERROR(INDEX(Material_Detail!$D:$DC,MATCH($A32,Material_Detail!$DE:$DE,0),55),0)),SUMIFS(T_Shipments[Confirmed_Qty],T_Shipments[Part Name],$A32,T_Shipments[Effective_Week],55))</f>
        <v/>
      </c>
      <c r="BE32">
        <f>IF(COUNTIF(Material_Detail!$DE:$DE,$A32)&gt;0,IF(ISNUMBER(SEARCH("[済]",INDEX(Material_Detail!$D:$DC,MATCH($A32,Material_Detail!$DE:$DE,0)+1,56))),0,IFERROR(INDEX(Material_Detail!$D:$DC,MATCH($A32,Material_Detail!$DE:$DE,0),56),0)),SUMIFS(T_Shipments[Confirmed_Qty],T_Shipments[Part Name],$A32,T_Shipments[Effective_Week],56))</f>
        <v/>
      </c>
      <c r="BF32">
        <f>IF(COUNTIF(Material_Detail!$DE:$DE,$A32)&gt;0,IF(ISNUMBER(SEARCH("[済]",INDEX(Material_Detail!$D:$DC,MATCH($A32,Material_Detail!$DE:$DE,0)+1,57))),0,IFERROR(INDEX(Material_Detail!$D:$DC,MATCH($A32,Material_Detail!$DE:$DE,0),57),0)),SUMIFS(T_Shipments[Confirmed_Qty],T_Shipments[Part Name],$A32,T_Shipments[Effective_Week],57))</f>
        <v/>
      </c>
      <c r="BG32">
        <f>IF(COUNTIF(Material_Detail!$DE:$DE,$A32)&gt;0,IF(ISNUMBER(SEARCH("[済]",INDEX(Material_Detail!$D:$DC,MATCH($A32,Material_Detail!$DE:$DE,0)+1,58))),0,IFERROR(INDEX(Material_Detail!$D:$DC,MATCH($A32,Material_Detail!$DE:$DE,0),58),0)),SUMIFS(T_Shipments[Confirmed_Qty],T_Shipments[Part Name],$A32,T_Shipments[Effective_Week],58))</f>
        <v/>
      </c>
      <c r="BH32">
        <f>IF(COUNTIF(Material_Detail!$DE:$DE,$A32)&gt;0,IF(ISNUMBER(SEARCH("[済]",INDEX(Material_Detail!$D:$DC,MATCH($A32,Material_Detail!$DE:$DE,0)+1,59))),0,IFERROR(INDEX(Material_Detail!$D:$DC,MATCH($A32,Material_Detail!$DE:$DE,0),59),0)),SUMIFS(T_Shipments[Confirmed_Qty],T_Shipments[Part Name],$A32,T_Shipments[Effective_Week],59))</f>
        <v/>
      </c>
      <c r="BI32">
        <f>IF(COUNTIF(Material_Detail!$DE:$DE,$A32)&gt;0,IF(ISNUMBER(SEARCH("[済]",INDEX(Material_Detail!$D:$DC,MATCH($A32,Material_Detail!$DE:$DE,0)+1,60))),0,IFERROR(INDEX(Material_Detail!$D:$DC,MATCH($A32,Material_Detail!$DE:$DE,0),60),0)),SUMIFS(T_Shipments[Confirmed_Qty],T_Shipments[Part Name],$A32,T_Shipments[Effective_Week],60))</f>
        <v/>
      </c>
      <c r="BJ32">
        <f>IF(COUNTIF(Material_Detail!$DE:$DE,$A32)&gt;0,IF(ISNUMBER(SEARCH("[済]",INDEX(Material_Detail!$D:$DC,MATCH($A32,Material_Detail!$DE:$DE,0)+1,61))),0,IFERROR(INDEX(Material_Detail!$D:$DC,MATCH($A32,Material_Detail!$DE:$DE,0),61),0)),SUMIFS(T_Shipments[Confirmed_Qty],T_Shipments[Part Name],$A32,T_Shipments[Effective_Week],61))</f>
        <v/>
      </c>
      <c r="BK32">
        <f>IF(COUNTIF(Material_Detail!$DE:$DE,$A32)&gt;0,IF(ISNUMBER(SEARCH("[済]",INDEX(Material_Detail!$D:$DC,MATCH($A32,Material_Detail!$DE:$DE,0)+1,62))),0,IFERROR(INDEX(Material_Detail!$D:$DC,MATCH($A32,Material_Detail!$DE:$DE,0),62),0)),SUMIFS(T_Shipments[Confirmed_Qty],T_Shipments[Part Name],$A32,T_Shipments[Effective_Week],62))</f>
        <v/>
      </c>
      <c r="BL32">
        <f>IF(COUNTIF(Material_Detail!$DE:$DE,$A32)&gt;0,IF(ISNUMBER(SEARCH("[済]",INDEX(Material_Detail!$D:$DC,MATCH($A32,Material_Detail!$DE:$DE,0)+1,63))),0,IFERROR(INDEX(Material_Detail!$D:$DC,MATCH($A32,Material_Detail!$DE:$DE,0),63),0)),SUMIFS(T_Shipments[Confirmed_Qty],T_Shipments[Part Name],$A32,T_Shipments[Effective_Week],63))</f>
        <v/>
      </c>
      <c r="BM32">
        <f>IF(COUNTIF(Material_Detail!$DE:$DE,$A32)&gt;0,IF(ISNUMBER(SEARCH("[済]",INDEX(Material_Detail!$D:$DC,MATCH($A32,Material_Detail!$DE:$DE,0)+1,64))),0,IFERROR(INDEX(Material_Detail!$D:$DC,MATCH($A32,Material_Detail!$DE:$DE,0),64),0)),SUMIFS(T_Shipments[Confirmed_Qty],T_Shipments[Part Name],$A32,T_Shipments[Effective_Week],64))</f>
        <v/>
      </c>
      <c r="BN32">
        <f>IF(COUNTIF(Material_Detail!$DE:$DE,$A32)&gt;0,IF(ISNUMBER(SEARCH("[済]",INDEX(Material_Detail!$D:$DC,MATCH($A32,Material_Detail!$DE:$DE,0)+1,65))),0,IFERROR(INDEX(Material_Detail!$D:$DC,MATCH($A32,Material_Detail!$DE:$DE,0),65),0)),SUMIFS(T_Shipments[Confirmed_Qty],T_Shipments[Part Name],$A32,T_Shipments[Effective_Week],65))</f>
        <v/>
      </c>
      <c r="BO32">
        <f>IF(COUNTIF(Material_Detail!$DE:$DE,$A32)&gt;0,IF(ISNUMBER(SEARCH("[済]",INDEX(Material_Detail!$D:$DC,MATCH($A32,Material_Detail!$DE:$DE,0)+1,66))),0,IFERROR(INDEX(Material_Detail!$D:$DC,MATCH($A32,Material_Detail!$DE:$DE,0),66),0)),SUMIFS(T_Shipments[Confirmed_Qty],T_Shipments[Part Name],$A32,T_Shipments[Effective_Week],66))</f>
        <v/>
      </c>
      <c r="BP32">
        <f>IF(COUNTIF(Material_Detail!$DE:$DE,$A32)&gt;0,IF(ISNUMBER(SEARCH("[済]",INDEX(Material_Detail!$D:$DC,MATCH($A32,Material_Detail!$DE:$DE,0)+1,67))),0,IFERROR(INDEX(Material_Detail!$D:$DC,MATCH($A32,Material_Detail!$DE:$DE,0),67),0)),SUMIFS(T_Shipments[Confirmed_Qty],T_Shipments[Part Name],$A32,T_Shipments[Effective_Week],67))</f>
        <v/>
      </c>
      <c r="BQ32">
        <f>IF(COUNTIF(Material_Detail!$DE:$DE,$A32)&gt;0,IF(ISNUMBER(SEARCH("[済]",INDEX(Material_Detail!$D:$DC,MATCH($A32,Material_Detail!$DE:$DE,0)+1,68))),0,IFERROR(INDEX(Material_Detail!$D:$DC,MATCH($A32,Material_Detail!$DE:$DE,0),68),0)),SUMIFS(T_Shipments[Confirmed_Qty],T_Shipments[Part Name],$A32,T_Shipments[Effective_Week],68))</f>
        <v/>
      </c>
      <c r="BR32">
        <f>IF(COUNTIF(Material_Detail!$DE:$DE,$A32)&gt;0,IF(ISNUMBER(SEARCH("[済]",INDEX(Material_Detail!$D:$DC,MATCH($A32,Material_Detail!$DE:$DE,0)+1,69))),0,IFERROR(INDEX(Material_Detail!$D:$DC,MATCH($A32,Material_Detail!$DE:$DE,0),69),0)),SUMIFS(T_Shipments[Confirmed_Qty],T_Shipments[Part Name],$A32,T_Shipments[Effective_Week],69))</f>
        <v/>
      </c>
      <c r="BS32">
        <f>IF(COUNTIF(Material_Detail!$DE:$DE,$A32)&gt;0,IF(ISNUMBER(SEARCH("[済]",INDEX(Material_Detail!$D:$DC,MATCH($A32,Material_Detail!$DE:$DE,0)+1,70))),0,IFERROR(INDEX(Material_Detail!$D:$DC,MATCH($A32,Material_Detail!$DE:$DE,0),70),0)),SUMIFS(T_Shipments[Confirmed_Qty],T_Shipments[Part Name],$A32,T_Shipments[Effective_Week],70))</f>
        <v/>
      </c>
      <c r="BT32">
        <f>IF(COUNTIF(Material_Detail!$DE:$DE,$A32)&gt;0,IF(ISNUMBER(SEARCH("[済]",INDEX(Material_Detail!$D:$DC,MATCH($A32,Material_Detail!$DE:$DE,0)+1,71))),0,IFERROR(INDEX(Material_Detail!$D:$DC,MATCH($A32,Material_Detail!$DE:$DE,0),71),0)),SUMIFS(T_Shipments[Confirmed_Qty],T_Shipments[Part Name],$A32,T_Shipments[Effective_Week],71))</f>
        <v/>
      </c>
      <c r="BU32">
        <f>IF(COUNTIF(Material_Detail!$DE:$DE,$A32)&gt;0,IF(ISNUMBER(SEARCH("[済]",INDEX(Material_Detail!$D:$DC,MATCH($A32,Material_Detail!$DE:$DE,0)+1,72))),0,IFERROR(INDEX(Material_Detail!$D:$DC,MATCH($A32,Material_Detail!$DE:$DE,0),72),0)),SUMIFS(T_Shipments[Confirmed_Qty],T_Shipments[Part Name],$A32,T_Shipments[Effective_Week],72))</f>
        <v/>
      </c>
      <c r="BV32">
        <f>IF(COUNTIF(Material_Detail!$DE:$DE,$A32)&gt;0,IF(ISNUMBER(SEARCH("[済]",INDEX(Material_Detail!$D:$DC,MATCH($A32,Material_Detail!$DE:$DE,0)+1,73))),0,IFERROR(INDEX(Material_Detail!$D:$DC,MATCH($A32,Material_Detail!$DE:$DE,0),73),0)),SUMIFS(T_Shipments[Confirmed_Qty],T_Shipments[Part Name],$A32,T_Shipments[Effective_Week],73))</f>
        <v/>
      </c>
      <c r="BW32">
        <f>IF(COUNTIF(Material_Detail!$DE:$DE,$A32)&gt;0,IF(ISNUMBER(SEARCH("[済]",INDEX(Material_Detail!$D:$DC,MATCH($A32,Material_Detail!$DE:$DE,0)+1,74))),0,IFERROR(INDEX(Material_Detail!$D:$DC,MATCH($A32,Material_Detail!$DE:$DE,0),74),0)),SUMIFS(T_Shipments[Confirmed_Qty],T_Shipments[Part Name],$A32,T_Shipments[Effective_Week],74))</f>
        <v/>
      </c>
      <c r="BX32">
        <f>IF(COUNTIF(Material_Detail!$DE:$DE,$A32)&gt;0,IF(ISNUMBER(SEARCH("[済]",INDEX(Material_Detail!$D:$DC,MATCH($A32,Material_Detail!$DE:$DE,0)+1,75))),0,IFERROR(INDEX(Material_Detail!$D:$DC,MATCH($A32,Material_Detail!$DE:$DE,0),75),0)),SUMIFS(T_Shipments[Confirmed_Qty],T_Shipments[Part Name],$A32,T_Shipments[Effective_Week],75))</f>
        <v/>
      </c>
      <c r="BY32">
        <f>IF(COUNTIF(Material_Detail!$DE:$DE,$A32)&gt;0,IF(ISNUMBER(SEARCH("[済]",INDEX(Material_Detail!$D:$DC,MATCH($A32,Material_Detail!$DE:$DE,0)+1,76))),0,IFERROR(INDEX(Material_Detail!$D:$DC,MATCH($A32,Material_Detail!$DE:$DE,0),76),0)),SUMIFS(T_Shipments[Confirmed_Qty],T_Shipments[Part Name],$A32,T_Shipments[Effective_Week],76))</f>
        <v/>
      </c>
      <c r="BZ32">
        <f>IF(COUNTIF(Material_Detail!$DE:$DE,$A32)&gt;0,IF(ISNUMBER(SEARCH("[済]",INDEX(Material_Detail!$D:$DC,MATCH($A32,Material_Detail!$DE:$DE,0)+1,77))),0,IFERROR(INDEX(Material_Detail!$D:$DC,MATCH($A32,Material_Detail!$DE:$DE,0),77),0)),SUMIFS(T_Shipments[Confirmed_Qty],T_Shipments[Part Name],$A32,T_Shipments[Effective_Week],77))</f>
        <v/>
      </c>
      <c r="CA32">
        <f>IF(COUNTIF(Material_Detail!$DE:$DE,$A32)&gt;0,IF(ISNUMBER(SEARCH("[済]",INDEX(Material_Detail!$D:$DC,MATCH($A32,Material_Detail!$DE:$DE,0)+1,78))),0,IFERROR(INDEX(Material_Detail!$D:$DC,MATCH($A32,Material_Detail!$DE:$DE,0),78),0)),SUMIFS(T_Shipments[Confirmed_Qty],T_Shipments[Part Name],$A32,T_Shipments[Effective_Week],78))</f>
        <v/>
      </c>
      <c r="CB32">
        <f>IF(COUNTIF(Material_Detail!$DE:$DE,$A32)&gt;0,IF(ISNUMBER(SEARCH("[済]",INDEX(Material_Detail!$D:$DC,MATCH($A32,Material_Detail!$DE:$DE,0)+1,79))),0,IFERROR(INDEX(Material_Detail!$D:$DC,MATCH($A32,Material_Detail!$DE:$DE,0),79),0)),SUMIFS(T_Shipments[Confirmed_Qty],T_Shipments[Part Name],$A32,T_Shipments[Effective_Week],79))</f>
        <v/>
      </c>
      <c r="CC32">
        <f>IF(COUNTIF(Material_Detail!$DE:$DE,$A32)&gt;0,IF(ISNUMBER(SEARCH("[済]",INDEX(Material_Detail!$D:$DC,MATCH($A32,Material_Detail!$DE:$DE,0)+1,80))),0,IFERROR(INDEX(Material_Detail!$D:$DC,MATCH($A32,Material_Detail!$DE:$DE,0),80),0)),SUMIFS(T_Shipments[Confirmed_Qty],T_Shipments[Part Name],$A32,T_Shipments[Effective_Week],80))</f>
        <v/>
      </c>
      <c r="CD32">
        <f>IF(COUNTIF(Material_Detail!$DE:$DE,$A32)&gt;0,IF(ISNUMBER(SEARCH("[済]",INDEX(Material_Detail!$D:$DC,MATCH($A32,Material_Detail!$DE:$DE,0)+1,81))),0,IFERROR(INDEX(Material_Detail!$D:$DC,MATCH($A32,Material_Detail!$DE:$DE,0),81),0)),SUMIFS(T_Shipments[Confirmed_Qty],T_Shipments[Part Name],$A32,T_Shipments[Effective_Week],81))</f>
        <v/>
      </c>
      <c r="CE32">
        <f>IF(COUNTIF(Material_Detail!$DE:$DE,$A32)&gt;0,IF(ISNUMBER(SEARCH("[済]",INDEX(Material_Detail!$D:$DC,MATCH($A32,Material_Detail!$DE:$DE,0)+1,82))),0,IFERROR(INDEX(Material_Detail!$D:$DC,MATCH($A32,Material_Detail!$DE:$DE,0),82),0)),SUMIFS(T_Shipments[Confirmed_Qty],T_Shipments[Part Name],$A32,T_Shipments[Effective_Week],82))</f>
        <v/>
      </c>
      <c r="CF32">
        <f>IF(COUNTIF(Material_Detail!$DE:$DE,$A32)&gt;0,IF(ISNUMBER(SEARCH("[済]",INDEX(Material_Detail!$D:$DC,MATCH($A32,Material_Detail!$DE:$DE,0)+1,83))),0,IFERROR(INDEX(Material_Detail!$D:$DC,MATCH($A32,Material_Detail!$DE:$DE,0),83),0)),SUMIFS(T_Shipments[Confirmed_Qty],T_Shipments[Part Name],$A32,T_Shipments[Effective_Week],83))</f>
        <v/>
      </c>
      <c r="CG32">
        <f>IF(COUNTIF(Material_Detail!$DE:$DE,$A32)&gt;0,IF(ISNUMBER(SEARCH("[済]",INDEX(Material_Detail!$D:$DC,MATCH($A32,Material_Detail!$DE:$DE,0)+1,84))),0,IFERROR(INDEX(Material_Detail!$D:$DC,MATCH($A32,Material_Detail!$DE:$DE,0),84),0)),SUMIFS(T_Shipments[Confirmed_Qty],T_Shipments[Part Name],$A32,T_Shipments[Effective_Week],84))</f>
        <v/>
      </c>
      <c r="CH32">
        <f>IF(COUNTIF(Material_Detail!$DE:$DE,$A32)&gt;0,IF(ISNUMBER(SEARCH("[済]",INDEX(Material_Detail!$D:$DC,MATCH($A32,Material_Detail!$DE:$DE,0)+1,85))),0,IFERROR(INDEX(Material_Detail!$D:$DC,MATCH($A32,Material_Detail!$DE:$DE,0),85),0)),SUMIFS(T_Shipments[Confirmed_Qty],T_Shipments[Part Name],$A32,T_Shipments[Effective_Week],85))</f>
        <v/>
      </c>
      <c r="CI32">
        <f>IF(COUNTIF(Material_Detail!$DE:$DE,$A32)&gt;0,IF(ISNUMBER(SEARCH("[済]",INDEX(Material_Detail!$D:$DC,MATCH($A32,Material_Detail!$DE:$DE,0)+1,86))),0,IFERROR(INDEX(Material_Detail!$D:$DC,MATCH($A32,Material_Detail!$DE:$DE,0),86),0)),SUMIFS(T_Shipments[Confirmed_Qty],T_Shipments[Part Name],$A32,T_Shipments[Effective_Week],86))</f>
        <v/>
      </c>
      <c r="CJ32">
        <f>IF(COUNTIF(Material_Detail!$DE:$DE,$A32)&gt;0,IF(ISNUMBER(SEARCH("[済]",INDEX(Material_Detail!$D:$DC,MATCH($A32,Material_Detail!$DE:$DE,0)+1,87))),0,IFERROR(INDEX(Material_Detail!$D:$DC,MATCH($A32,Material_Detail!$DE:$DE,0),87),0)),SUMIFS(T_Shipments[Confirmed_Qty],T_Shipments[Part Name],$A32,T_Shipments[Effective_Week],87))</f>
        <v/>
      </c>
      <c r="CK32">
        <f>IF(COUNTIF(Material_Detail!$DE:$DE,$A32)&gt;0,IF(ISNUMBER(SEARCH("[済]",INDEX(Material_Detail!$D:$DC,MATCH($A32,Material_Detail!$DE:$DE,0)+1,88))),0,IFERROR(INDEX(Material_Detail!$D:$DC,MATCH($A32,Material_Detail!$DE:$DE,0),88),0)),SUMIFS(T_Shipments[Confirmed_Qty],T_Shipments[Part Name],$A32,T_Shipments[Effective_Week],88))</f>
        <v/>
      </c>
      <c r="CL32">
        <f>IF(COUNTIF(Material_Detail!$DE:$DE,$A32)&gt;0,IF(ISNUMBER(SEARCH("[済]",INDEX(Material_Detail!$D:$DC,MATCH($A32,Material_Detail!$DE:$DE,0)+1,89))),0,IFERROR(INDEX(Material_Detail!$D:$DC,MATCH($A32,Material_Detail!$DE:$DE,0),89),0)),SUMIFS(T_Shipments[Confirmed_Qty],T_Shipments[Part Name],$A32,T_Shipments[Effective_Week],89))</f>
        <v/>
      </c>
      <c r="CM32">
        <f>IF(COUNTIF(Material_Detail!$DE:$DE,$A32)&gt;0,IF(ISNUMBER(SEARCH("[済]",INDEX(Material_Detail!$D:$DC,MATCH($A32,Material_Detail!$DE:$DE,0)+1,90))),0,IFERROR(INDEX(Material_Detail!$D:$DC,MATCH($A32,Material_Detail!$DE:$DE,0),90),0)),SUMIFS(T_Shipments[Confirmed_Qty],T_Shipments[Part Name],$A32,T_Shipments[Effective_Week],90))</f>
        <v/>
      </c>
      <c r="CN32">
        <f>IF(COUNTIF(Material_Detail!$DE:$DE,$A32)&gt;0,IF(ISNUMBER(SEARCH("[済]",INDEX(Material_Detail!$D:$DC,MATCH($A32,Material_Detail!$DE:$DE,0)+1,91))),0,IFERROR(INDEX(Material_Detail!$D:$DC,MATCH($A32,Material_Detail!$DE:$DE,0),91),0)),SUMIFS(T_Shipments[Confirmed_Qty],T_Shipments[Part Name],$A32,T_Shipments[Effective_Week],91))</f>
        <v/>
      </c>
      <c r="CO32">
        <f>IF(COUNTIF(Material_Detail!$DE:$DE,$A32)&gt;0,IF(ISNUMBER(SEARCH("[済]",INDEX(Material_Detail!$D:$DC,MATCH($A32,Material_Detail!$DE:$DE,0)+1,92))),0,IFERROR(INDEX(Material_Detail!$D:$DC,MATCH($A32,Material_Detail!$DE:$DE,0),92),0)),SUMIFS(T_Shipments[Confirmed_Qty],T_Shipments[Part Name],$A32,T_Shipments[Effective_Week],92))</f>
        <v/>
      </c>
      <c r="CP32">
        <f>IF(COUNTIF(Material_Detail!$DE:$DE,$A32)&gt;0,IF(ISNUMBER(SEARCH("[済]",INDEX(Material_Detail!$D:$DC,MATCH($A32,Material_Detail!$DE:$DE,0)+1,93))),0,IFERROR(INDEX(Material_Detail!$D:$DC,MATCH($A32,Material_Detail!$DE:$DE,0),93),0)),SUMIFS(T_Shipments[Confirmed_Qty],T_Shipments[Part Name],$A32,T_Shipments[Effective_Week],93))</f>
        <v/>
      </c>
      <c r="CQ32">
        <f>IF(COUNTIF(Material_Detail!$DE:$DE,$A32)&gt;0,IF(ISNUMBER(SEARCH("[済]",INDEX(Material_Detail!$D:$DC,MATCH($A32,Material_Detail!$DE:$DE,0)+1,94))),0,IFERROR(INDEX(Material_Detail!$D:$DC,MATCH($A32,Material_Detail!$DE:$DE,0),94),0)),SUMIFS(T_Shipments[Confirmed_Qty],T_Shipments[Part Name],$A32,T_Shipments[Effective_Week],94))</f>
        <v/>
      </c>
      <c r="CR32">
        <f>IF(COUNTIF(Material_Detail!$DE:$DE,$A32)&gt;0,IF(ISNUMBER(SEARCH("[済]",INDEX(Material_Detail!$D:$DC,MATCH($A32,Material_Detail!$DE:$DE,0)+1,95))),0,IFERROR(INDEX(Material_Detail!$D:$DC,MATCH($A32,Material_Detail!$DE:$DE,0),95),0)),SUMIFS(T_Shipments[Confirmed_Qty],T_Shipments[Part Name],$A32,T_Shipments[Effective_Week],95))</f>
        <v/>
      </c>
      <c r="CS32">
        <f>IF(COUNTIF(Material_Detail!$DE:$DE,$A32)&gt;0,IF(ISNUMBER(SEARCH("[済]",INDEX(Material_Detail!$D:$DC,MATCH($A32,Material_Detail!$DE:$DE,0)+1,96))),0,IFERROR(INDEX(Material_Detail!$D:$DC,MATCH($A32,Material_Detail!$DE:$DE,0),96),0)),SUMIFS(T_Shipments[Confirmed_Qty],T_Shipments[Part Name],$A32,T_Shipments[Effective_Week],96))</f>
        <v/>
      </c>
      <c r="CT32">
        <f>IF(COUNTIF(Material_Detail!$DE:$DE,$A32)&gt;0,IF(ISNUMBER(SEARCH("[済]",INDEX(Material_Detail!$D:$DC,MATCH($A32,Material_Detail!$DE:$DE,0)+1,97))),0,IFERROR(INDEX(Material_Detail!$D:$DC,MATCH($A32,Material_Detail!$DE:$DE,0),97),0)),SUMIFS(T_Shipments[Confirmed_Qty],T_Shipments[Part Name],$A32,T_Shipments[Effective_Week],97))</f>
        <v/>
      </c>
      <c r="CU32">
        <f>IF(COUNTIF(Material_Detail!$DE:$DE,$A32)&gt;0,IF(ISNUMBER(SEARCH("[済]",INDEX(Material_Detail!$D:$DC,MATCH($A32,Material_Detail!$DE:$DE,0)+1,98))),0,IFERROR(INDEX(Material_Detail!$D:$DC,MATCH($A32,Material_Detail!$DE:$DE,0),98),0)),SUMIFS(T_Shipments[Confirmed_Qty],T_Shipments[Part Name],$A32,T_Shipments[Effective_Week],98))</f>
        <v/>
      </c>
      <c r="CV32">
        <f>IF(COUNTIF(Material_Detail!$DE:$DE,$A32)&gt;0,IF(ISNUMBER(SEARCH("[済]",INDEX(Material_Detail!$D:$DC,MATCH($A32,Material_Detail!$DE:$DE,0)+1,99))),0,IFERROR(INDEX(Material_Detail!$D:$DC,MATCH($A32,Material_Detail!$DE:$DE,0),99),0)),SUMIFS(T_Shipments[Confirmed_Qty],T_Shipments[Part Name],$A32,T_Shipments[Effective_Week],99))</f>
        <v/>
      </c>
      <c r="CW32">
        <f>IF(COUNTIF(Material_Detail!$DE:$DE,$A32)&gt;0,IF(ISNUMBER(SEARCH("[済]",INDEX(Material_Detail!$D:$DC,MATCH($A32,Material_Detail!$DE:$DE,0)+1,100))),0,IFERROR(INDEX(Material_Detail!$D:$DC,MATCH($A32,Material_Detail!$DE:$DE,0),100),0)),SUMIFS(T_Shipments[Confirmed_Qty],T_Shipments[Part Name],$A32,T_Shipments[Effective_Week],100))</f>
        <v/>
      </c>
      <c r="CX32">
        <f>IF(COUNTIF(Material_Detail!$DE:$DE,$A32)&gt;0,IF(ISNUMBER(SEARCH("[済]",INDEX(Material_Detail!$D:$DC,MATCH($A32,Material_Detail!$DE:$DE,0)+1,101))),0,IFERROR(INDEX(Material_Detail!$D:$DC,MATCH($A32,Material_Detail!$DE:$DE,0),101),0)),SUMIFS(T_Shipments[Confirmed_Qty],T_Shipments[Part Name],$A32,T_Shipments[Effective_Week],101))</f>
        <v/>
      </c>
      <c r="CY32">
        <f>IF(COUNTIF(Material_Detail!$DE:$DE,$A32)&gt;0,IF(ISNUMBER(SEARCH("[済]",INDEX(Material_Detail!$D:$DC,MATCH($A32,Material_Detail!$DE:$DE,0)+1,102))),0,IFERROR(INDEX(Material_Detail!$D:$DC,MATCH($A32,Material_Detail!$DE:$DE,0),102),0)),SUMIFS(T_Shipments[Confirmed_Qty],T_Shipments[Part Name],$A32,T_Shipments[Effective_Week],102))</f>
        <v/>
      </c>
      <c r="CZ32">
        <f>IF(COUNTIF(Material_Detail!$DE:$DE,$A32)&gt;0,IF(ISNUMBER(SEARCH("[済]",INDEX(Material_Detail!$D:$DC,MATCH($A32,Material_Detail!$DE:$DE,0)+1,103))),0,IFERROR(INDEX(Material_Detail!$D:$DC,MATCH($A32,Material_Detail!$DE:$DE,0),103),0)),SUMIFS(T_Shipments[Confirmed_Qty],T_Shipments[Part Name],$A32,T_Shipments[Effective_Week],103))</f>
        <v/>
      </c>
      <c r="DA32">
        <f>IF(COUNTIF(Material_Detail!$DE:$DE,$A32)&gt;0,IF(ISNUMBER(SEARCH("[済]",INDEX(Material_Detail!$D:$DC,MATCH($A32,Material_Detail!$DE:$DE,0)+1,104))),0,IFERROR(INDEX(Material_Detail!$D:$DC,MATCH($A32,Material_Detail!$DE:$DE,0),104),0)),SUMIFS(T_Shipments[Confirmed_Qty],T_Shipments[Part Name],$A32,T_Shipments[Effective_Week],104))</f>
        <v/>
      </c>
    </row>
    <row r="33">
      <c r="A33" t="inlineStr">
        <is>
          <t>CHEM-1400</t>
        </is>
      </c>
      <c r="B33">
        <f>IF(COUNTIF(Material_Detail!$DE:$DE,$A33)&gt;0,IF(ISNUMBER(SEARCH("[済]",INDEX(Material_Detail!$D:$DC,MATCH($A33,Material_Detail!$DE:$DE,0)+1,1))),0,IFERROR(INDEX(Material_Detail!$D:$DC,MATCH($A33,Material_Detail!$DE:$DE,0),1),0)),SUMIFS(T_Shipments[Confirmed_Qty],T_Shipments[Part Name],$A33,T_Shipments[Effective_Week],1))</f>
        <v/>
      </c>
      <c r="C33">
        <f>IF(COUNTIF(Material_Detail!$DE:$DE,$A33)&gt;0,IF(ISNUMBER(SEARCH("[済]",INDEX(Material_Detail!$D:$DC,MATCH($A33,Material_Detail!$DE:$DE,0)+1,2))),0,IFERROR(INDEX(Material_Detail!$D:$DC,MATCH($A33,Material_Detail!$DE:$DE,0),2),0)),SUMIFS(T_Shipments[Confirmed_Qty],T_Shipments[Part Name],$A33,T_Shipments[Effective_Week],2))</f>
        <v/>
      </c>
      <c r="D33">
        <f>IF(COUNTIF(Material_Detail!$DE:$DE,$A33)&gt;0,IF(ISNUMBER(SEARCH("[済]",INDEX(Material_Detail!$D:$DC,MATCH($A33,Material_Detail!$DE:$DE,0)+1,3))),0,IFERROR(INDEX(Material_Detail!$D:$DC,MATCH($A33,Material_Detail!$DE:$DE,0),3),0)),SUMIFS(T_Shipments[Confirmed_Qty],T_Shipments[Part Name],$A33,T_Shipments[Effective_Week],3))</f>
        <v/>
      </c>
      <c r="E33">
        <f>IF(COUNTIF(Material_Detail!$DE:$DE,$A33)&gt;0,IF(ISNUMBER(SEARCH("[済]",INDEX(Material_Detail!$D:$DC,MATCH($A33,Material_Detail!$DE:$DE,0)+1,4))),0,IFERROR(INDEX(Material_Detail!$D:$DC,MATCH($A33,Material_Detail!$DE:$DE,0),4),0)),SUMIFS(T_Shipments[Confirmed_Qty],T_Shipments[Part Name],$A33,T_Shipments[Effective_Week],4))</f>
        <v/>
      </c>
      <c r="F33">
        <f>IF(COUNTIF(Material_Detail!$DE:$DE,$A33)&gt;0,IF(ISNUMBER(SEARCH("[済]",INDEX(Material_Detail!$D:$DC,MATCH($A33,Material_Detail!$DE:$DE,0)+1,5))),0,IFERROR(INDEX(Material_Detail!$D:$DC,MATCH($A33,Material_Detail!$DE:$DE,0),5),0)),SUMIFS(T_Shipments[Confirmed_Qty],T_Shipments[Part Name],$A33,T_Shipments[Effective_Week],5))</f>
        <v/>
      </c>
      <c r="G33">
        <f>IF(COUNTIF(Material_Detail!$DE:$DE,$A33)&gt;0,IF(ISNUMBER(SEARCH("[済]",INDEX(Material_Detail!$D:$DC,MATCH($A33,Material_Detail!$DE:$DE,0)+1,6))),0,IFERROR(INDEX(Material_Detail!$D:$DC,MATCH($A33,Material_Detail!$DE:$DE,0),6),0)),SUMIFS(T_Shipments[Confirmed_Qty],T_Shipments[Part Name],$A33,T_Shipments[Effective_Week],6))</f>
        <v/>
      </c>
      <c r="H33">
        <f>IF(COUNTIF(Material_Detail!$DE:$DE,$A33)&gt;0,IF(ISNUMBER(SEARCH("[済]",INDEX(Material_Detail!$D:$DC,MATCH($A33,Material_Detail!$DE:$DE,0)+1,7))),0,IFERROR(INDEX(Material_Detail!$D:$DC,MATCH($A33,Material_Detail!$DE:$DE,0),7),0)),SUMIFS(T_Shipments[Confirmed_Qty],T_Shipments[Part Name],$A33,T_Shipments[Effective_Week],7))</f>
        <v/>
      </c>
      <c r="I33">
        <f>IF(COUNTIF(Material_Detail!$DE:$DE,$A33)&gt;0,IF(ISNUMBER(SEARCH("[済]",INDEX(Material_Detail!$D:$DC,MATCH($A33,Material_Detail!$DE:$DE,0)+1,8))),0,IFERROR(INDEX(Material_Detail!$D:$DC,MATCH($A33,Material_Detail!$DE:$DE,0),8),0)),SUMIFS(T_Shipments[Confirmed_Qty],T_Shipments[Part Name],$A33,T_Shipments[Effective_Week],8))</f>
        <v/>
      </c>
      <c r="J33">
        <f>IF(COUNTIF(Material_Detail!$DE:$DE,$A33)&gt;0,IF(ISNUMBER(SEARCH("[済]",INDEX(Material_Detail!$D:$DC,MATCH($A33,Material_Detail!$DE:$DE,0)+1,9))),0,IFERROR(INDEX(Material_Detail!$D:$DC,MATCH($A33,Material_Detail!$DE:$DE,0),9),0)),SUMIFS(T_Shipments[Confirmed_Qty],T_Shipments[Part Name],$A33,T_Shipments[Effective_Week],9))</f>
        <v/>
      </c>
      <c r="K33">
        <f>IF(COUNTIF(Material_Detail!$DE:$DE,$A33)&gt;0,IF(ISNUMBER(SEARCH("[済]",INDEX(Material_Detail!$D:$DC,MATCH($A33,Material_Detail!$DE:$DE,0)+1,10))),0,IFERROR(INDEX(Material_Detail!$D:$DC,MATCH($A33,Material_Detail!$DE:$DE,0),10),0)),SUMIFS(T_Shipments[Confirmed_Qty],T_Shipments[Part Name],$A33,T_Shipments[Effective_Week],10))</f>
        <v/>
      </c>
      <c r="L33">
        <f>IF(COUNTIF(Material_Detail!$DE:$DE,$A33)&gt;0,IF(ISNUMBER(SEARCH("[済]",INDEX(Material_Detail!$D:$DC,MATCH($A33,Material_Detail!$DE:$DE,0)+1,11))),0,IFERROR(INDEX(Material_Detail!$D:$DC,MATCH($A33,Material_Detail!$DE:$DE,0),11),0)),SUMIFS(T_Shipments[Confirmed_Qty],T_Shipments[Part Name],$A33,T_Shipments[Effective_Week],11))</f>
        <v/>
      </c>
      <c r="M33">
        <f>IF(COUNTIF(Material_Detail!$DE:$DE,$A33)&gt;0,IF(ISNUMBER(SEARCH("[済]",INDEX(Material_Detail!$D:$DC,MATCH($A33,Material_Detail!$DE:$DE,0)+1,12))),0,IFERROR(INDEX(Material_Detail!$D:$DC,MATCH($A33,Material_Detail!$DE:$DE,0),12),0)),SUMIFS(T_Shipments[Confirmed_Qty],T_Shipments[Part Name],$A33,T_Shipments[Effective_Week],12))</f>
        <v/>
      </c>
      <c r="N33">
        <f>IF(COUNTIF(Material_Detail!$DE:$DE,$A33)&gt;0,IF(ISNUMBER(SEARCH("[済]",INDEX(Material_Detail!$D:$DC,MATCH($A33,Material_Detail!$DE:$DE,0)+1,13))),0,IFERROR(INDEX(Material_Detail!$D:$DC,MATCH($A33,Material_Detail!$DE:$DE,0),13),0)),SUMIFS(T_Shipments[Confirmed_Qty],T_Shipments[Part Name],$A33,T_Shipments[Effective_Week],13))</f>
        <v/>
      </c>
      <c r="O33">
        <f>IF(COUNTIF(Material_Detail!$DE:$DE,$A33)&gt;0,IF(ISNUMBER(SEARCH("[済]",INDEX(Material_Detail!$D:$DC,MATCH($A33,Material_Detail!$DE:$DE,0)+1,14))),0,IFERROR(INDEX(Material_Detail!$D:$DC,MATCH($A33,Material_Detail!$DE:$DE,0),14),0)),SUMIFS(T_Shipments[Confirmed_Qty],T_Shipments[Part Name],$A33,T_Shipments[Effective_Week],14))</f>
        <v/>
      </c>
      <c r="P33">
        <f>IF(COUNTIF(Material_Detail!$DE:$DE,$A33)&gt;0,IF(ISNUMBER(SEARCH("[済]",INDEX(Material_Detail!$D:$DC,MATCH($A33,Material_Detail!$DE:$DE,0)+1,15))),0,IFERROR(INDEX(Material_Detail!$D:$DC,MATCH($A33,Material_Detail!$DE:$DE,0),15),0)),SUMIFS(T_Shipments[Confirmed_Qty],T_Shipments[Part Name],$A33,T_Shipments[Effective_Week],15))</f>
        <v/>
      </c>
      <c r="Q33">
        <f>IF(COUNTIF(Material_Detail!$DE:$DE,$A33)&gt;0,IF(ISNUMBER(SEARCH("[済]",INDEX(Material_Detail!$D:$DC,MATCH($A33,Material_Detail!$DE:$DE,0)+1,16))),0,IFERROR(INDEX(Material_Detail!$D:$DC,MATCH($A33,Material_Detail!$DE:$DE,0),16),0)),SUMIFS(T_Shipments[Confirmed_Qty],T_Shipments[Part Name],$A33,T_Shipments[Effective_Week],16))</f>
        <v/>
      </c>
      <c r="R33">
        <f>IF(COUNTIF(Material_Detail!$DE:$DE,$A33)&gt;0,IF(ISNUMBER(SEARCH("[済]",INDEX(Material_Detail!$D:$DC,MATCH($A33,Material_Detail!$DE:$DE,0)+1,17))),0,IFERROR(INDEX(Material_Detail!$D:$DC,MATCH($A33,Material_Detail!$DE:$DE,0),17),0)),SUMIFS(T_Shipments[Confirmed_Qty],T_Shipments[Part Name],$A33,T_Shipments[Effective_Week],17))</f>
        <v/>
      </c>
      <c r="S33">
        <f>IF(COUNTIF(Material_Detail!$DE:$DE,$A33)&gt;0,IF(ISNUMBER(SEARCH("[済]",INDEX(Material_Detail!$D:$DC,MATCH($A33,Material_Detail!$DE:$DE,0)+1,18))),0,IFERROR(INDEX(Material_Detail!$D:$DC,MATCH($A33,Material_Detail!$DE:$DE,0),18),0)),SUMIFS(T_Shipments[Confirmed_Qty],T_Shipments[Part Name],$A33,T_Shipments[Effective_Week],18))</f>
        <v/>
      </c>
      <c r="T33">
        <f>IF(COUNTIF(Material_Detail!$DE:$DE,$A33)&gt;0,IF(ISNUMBER(SEARCH("[済]",INDEX(Material_Detail!$D:$DC,MATCH($A33,Material_Detail!$DE:$DE,0)+1,19))),0,IFERROR(INDEX(Material_Detail!$D:$DC,MATCH($A33,Material_Detail!$DE:$DE,0),19),0)),SUMIFS(T_Shipments[Confirmed_Qty],T_Shipments[Part Name],$A33,T_Shipments[Effective_Week],19))</f>
        <v/>
      </c>
      <c r="U33">
        <f>IF(COUNTIF(Material_Detail!$DE:$DE,$A33)&gt;0,IF(ISNUMBER(SEARCH("[済]",INDEX(Material_Detail!$D:$DC,MATCH($A33,Material_Detail!$DE:$DE,0)+1,20))),0,IFERROR(INDEX(Material_Detail!$D:$DC,MATCH($A33,Material_Detail!$DE:$DE,0),20),0)),SUMIFS(T_Shipments[Confirmed_Qty],T_Shipments[Part Name],$A33,T_Shipments[Effective_Week],20))</f>
        <v/>
      </c>
      <c r="V33">
        <f>IF(COUNTIF(Material_Detail!$DE:$DE,$A33)&gt;0,IF(ISNUMBER(SEARCH("[済]",INDEX(Material_Detail!$D:$DC,MATCH($A33,Material_Detail!$DE:$DE,0)+1,21))),0,IFERROR(INDEX(Material_Detail!$D:$DC,MATCH($A33,Material_Detail!$DE:$DE,0),21),0)),SUMIFS(T_Shipments[Confirmed_Qty],T_Shipments[Part Name],$A33,T_Shipments[Effective_Week],21))</f>
        <v/>
      </c>
      <c r="W33">
        <f>IF(COUNTIF(Material_Detail!$DE:$DE,$A33)&gt;0,IF(ISNUMBER(SEARCH("[済]",INDEX(Material_Detail!$D:$DC,MATCH($A33,Material_Detail!$DE:$DE,0)+1,22))),0,IFERROR(INDEX(Material_Detail!$D:$DC,MATCH($A33,Material_Detail!$DE:$DE,0),22),0)),SUMIFS(T_Shipments[Confirmed_Qty],T_Shipments[Part Name],$A33,T_Shipments[Effective_Week],22))</f>
        <v/>
      </c>
      <c r="X33">
        <f>IF(COUNTIF(Material_Detail!$DE:$DE,$A33)&gt;0,IF(ISNUMBER(SEARCH("[済]",INDEX(Material_Detail!$D:$DC,MATCH($A33,Material_Detail!$DE:$DE,0)+1,23))),0,IFERROR(INDEX(Material_Detail!$D:$DC,MATCH($A33,Material_Detail!$DE:$DE,0),23),0)),SUMIFS(T_Shipments[Confirmed_Qty],T_Shipments[Part Name],$A33,T_Shipments[Effective_Week],23))</f>
        <v/>
      </c>
      <c r="Y33">
        <f>IF(COUNTIF(Material_Detail!$DE:$DE,$A33)&gt;0,IF(ISNUMBER(SEARCH("[済]",INDEX(Material_Detail!$D:$DC,MATCH($A33,Material_Detail!$DE:$DE,0)+1,24))),0,IFERROR(INDEX(Material_Detail!$D:$DC,MATCH($A33,Material_Detail!$DE:$DE,0),24),0)),SUMIFS(T_Shipments[Confirmed_Qty],T_Shipments[Part Name],$A33,T_Shipments[Effective_Week],24))</f>
        <v/>
      </c>
      <c r="Z33">
        <f>IF(COUNTIF(Material_Detail!$DE:$DE,$A33)&gt;0,IF(ISNUMBER(SEARCH("[済]",INDEX(Material_Detail!$D:$DC,MATCH($A33,Material_Detail!$DE:$DE,0)+1,25))),0,IFERROR(INDEX(Material_Detail!$D:$DC,MATCH($A33,Material_Detail!$DE:$DE,0),25),0)),SUMIFS(T_Shipments[Confirmed_Qty],T_Shipments[Part Name],$A33,T_Shipments[Effective_Week],25))</f>
        <v/>
      </c>
      <c r="AA33">
        <f>IF(COUNTIF(Material_Detail!$DE:$DE,$A33)&gt;0,IF(ISNUMBER(SEARCH("[済]",INDEX(Material_Detail!$D:$DC,MATCH($A33,Material_Detail!$DE:$DE,0)+1,26))),0,IFERROR(INDEX(Material_Detail!$D:$DC,MATCH($A33,Material_Detail!$DE:$DE,0),26),0)),SUMIFS(T_Shipments[Confirmed_Qty],T_Shipments[Part Name],$A33,T_Shipments[Effective_Week],26))</f>
        <v/>
      </c>
      <c r="AB33">
        <f>IF(COUNTIF(Material_Detail!$DE:$DE,$A33)&gt;0,IF(ISNUMBER(SEARCH("[済]",INDEX(Material_Detail!$D:$DC,MATCH($A33,Material_Detail!$DE:$DE,0)+1,27))),0,IFERROR(INDEX(Material_Detail!$D:$DC,MATCH($A33,Material_Detail!$DE:$DE,0),27),0)),SUMIFS(T_Shipments[Confirmed_Qty],T_Shipments[Part Name],$A33,T_Shipments[Effective_Week],27))</f>
        <v/>
      </c>
      <c r="AC33">
        <f>IF(COUNTIF(Material_Detail!$DE:$DE,$A33)&gt;0,IF(ISNUMBER(SEARCH("[済]",INDEX(Material_Detail!$D:$DC,MATCH($A33,Material_Detail!$DE:$DE,0)+1,28))),0,IFERROR(INDEX(Material_Detail!$D:$DC,MATCH($A33,Material_Detail!$DE:$DE,0),28),0)),SUMIFS(T_Shipments[Confirmed_Qty],T_Shipments[Part Name],$A33,T_Shipments[Effective_Week],28))</f>
        <v/>
      </c>
      <c r="AD33">
        <f>IF(COUNTIF(Material_Detail!$DE:$DE,$A33)&gt;0,IF(ISNUMBER(SEARCH("[済]",INDEX(Material_Detail!$D:$DC,MATCH($A33,Material_Detail!$DE:$DE,0)+1,29))),0,IFERROR(INDEX(Material_Detail!$D:$DC,MATCH($A33,Material_Detail!$DE:$DE,0),29),0)),SUMIFS(T_Shipments[Confirmed_Qty],T_Shipments[Part Name],$A33,T_Shipments[Effective_Week],29))</f>
        <v/>
      </c>
      <c r="AE33">
        <f>IF(COUNTIF(Material_Detail!$DE:$DE,$A33)&gt;0,IF(ISNUMBER(SEARCH("[済]",INDEX(Material_Detail!$D:$DC,MATCH($A33,Material_Detail!$DE:$DE,0)+1,30))),0,IFERROR(INDEX(Material_Detail!$D:$DC,MATCH($A33,Material_Detail!$DE:$DE,0),30),0)),SUMIFS(T_Shipments[Confirmed_Qty],T_Shipments[Part Name],$A33,T_Shipments[Effective_Week],30))</f>
        <v/>
      </c>
      <c r="AF33">
        <f>IF(COUNTIF(Material_Detail!$DE:$DE,$A33)&gt;0,IF(ISNUMBER(SEARCH("[済]",INDEX(Material_Detail!$D:$DC,MATCH($A33,Material_Detail!$DE:$DE,0)+1,31))),0,IFERROR(INDEX(Material_Detail!$D:$DC,MATCH($A33,Material_Detail!$DE:$DE,0),31),0)),SUMIFS(T_Shipments[Confirmed_Qty],T_Shipments[Part Name],$A33,T_Shipments[Effective_Week],31))</f>
        <v/>
      </c>
      <c r="AG33">
        <f>IF(COUNTIF(Material_Detail!$DE:$DE,$A33)&gt;0,IF(ISNUMBER(SEARCH("[済]",INDEX(Material_Detail!$D:$DC,MATCH($A33,Material_Detail!$DE:$DE,0)+1,32))),0,IFERROR(INDEX(Material_Detail!$D:$DC,MATCH($A33,Material_Detail!$DE:$DE,0),32),0)),SUMIFS(T_Shipments[Confirmed_Qty],T_Shipments[Part Name],$A33,T_Shipments[Effective_Week],32))</f>
        <v/>
      </c>
      <c r="AH33">
        <f>IF(COUNTIF(Material_Detail!$DE:$DE,$A33)&gt;0,IF(ISNUMBER(SEARCH("[済]",INDEX(Material_Detail!$D:$DC,MATCH($A33,Material_Detail!$DE:$DE,0)+1,33))),0,IFERROR(INDEX(Material_Detail!$D:$DC,MATCH($A33,Material_Detail!$DE:$DE,0),33),0)),SUMIFS(T_Shipments[Confirmed_Qty],T_Shipments[Part Name],$A33,T_Shipments[Effective_Week],33))</f>
        <v/>
      </c>
      <c r="AI33">
        <f>IF(COUNTIF(Material_Detail!$DE:$DE,$A33)&gt;0,IF(ISNUMBER(SEARCH("[済]",INDEX(Material_Detail!$D:$DC,MATCH($A33,Material_Detail!$DE:$DE,0)+1,34))),0,IFERROR(INDEX(Material_Detail!$D:$DC,MATCH($A33,Material_Detail!$DE:$DE,0),34),0)),SUMIFS(T_Shipments[Confirmed_Qty],T_Shipments[Part Name],$A33,T_Shipments[Effective_Week],34))</f>
        <v/>
      </c>
      <c r="AJ33">
        <f>IF(COUNTIF(Material_Detail!$DE:$DE,$A33)&gt;0,IF(ISNUMBER(SEARCH("[済]",INDEX(Material_Detail!$D:$DC,MATCH($A33,Material_Detail!$DE:$DE,0)+1,35))),0,IFERROR(INDEX(Material_Detail!$D:$DC,MATCH($A33,Material_Detail!$DE:$DE,0),35),0)),SUMIFS(T_Shipments[Confirmed_Qty],T_Shipments[Part Name],$A33,T_Shipments[Effective_Week],35))</f>
        <v/>
      </c>
      <c r="AK33">
        <f>IF(COUNTIF(Material_Detail!$DE:$DE,$A33)&gt;0,IF(ISNUMBER(SEARCH("[済]",INDEX(Material_Detail!$D:$DC,MATCH($A33,Material_Detail!$DE:$DE,0)+1,36))),0,IFERROR(INDEX(Material_Detail!$D:$DC,MATCH($A33,Material_Detail!$DE:$DE,0),36),0)),SUMIFS(T_Shipments[Confirmed_Qty],T_Shipments[Part Name],$A33,T_Shipments[Effective_Week],36))</f>
        <v/>
      </c>
      <c r="AL33">
        <f>IF(COUNTIF(Material_Detail!$DE:$DE,$A33)&gt;0,IF(ISNUMBER(SEARCH("[済]",INDEX(Material_Detail!$D:$DC,MATCH($A33,Material_Detail!$DE:$DE,0)+1,37))),0,IFERROR(INDEX(Material_Detail!$D:$DC,MATCH($A33,Material_Detail!$DE:$DE,0),37),0)),SUMIFS(T_Shipments[Confirmed_Qty],T_Shipments[Part Name],$A33,T_Shipments[Effective_Week],37))</f>
        <v/>
      </c>
      <c r="AM33">
        <f>IF(COUNTIF(Material_Detail!$DE:$DE,$A33)&gt;0,IF(ISNUMBER(SEARCH("[済]",INDEX(Material_Detail!$D:$DC,MATCH($A33,Material_Detail!$DE:$DE,0)+1,38))),0,IFERROR(INDEX(Material_Detail!$D:$DC,MATCH($A33,Material_Detail!$DE:$DE,0),38),0)),SUMIFS(T_Shipments[Confirmed_Qty],T_Shipments[Part Name],$A33,T_Shipments[Effective_Week],38))</f>
        <v/>
      </c>
      <c r="AN33">
        <f>IF(COUNTIF(Material_Detail!$DE:$DE,$A33)&gt;0,IF(ISNUMBER(SEARCH("[済]",INDEX(Material_Detail!$D:$DC,MATCH($A33,Material_Detail!$DE:$DE,0)+1,39))),0,IFERROR(INDEX(Material_Detail!$D:$DC,MATCH($A33,Material_Detail!$DE:$DE,0),39),0)),SUMIFS(T_Shipments[Confirmed_Qty],T_Shipments[Part Name],$A33,T_Shipments[Effective_Week],39))</f>
        <v/>
      </c>
      <c r="AO33">
        <f>IF(COUNTIF(Material_Detail!$DE:$DE,$A33)&gt;0,IF(ISNUMBER(SEARCH("[済]",INDEX(Material_Detail!$D:$DC,MATCH($A33,Material_Detail!$DE:$DE,0)+1,40))),0,IFERROR(INDEX(Material_Detail!$D:$DC,MATCH($A33,Material_Detail!$DE:$DE,0),40),0)),SUMIFS(T_Shipments[Confirmed_Qty],T_Shipments[Part Name],$A33,T_Shipments[Effective_Week],40))</f>
        <v/>
      </c>
      <c r="AP33">
        <f>IF(COUNTIF(Material_Detail!$DE:$DE,$A33)&gt;0,IF(ISNUMBER(SEARCH("[済]",INDEX(Material_Detail!$D:$DC,MATCH($A33,Material_Detail!$DE:$DE,0)+1,41))),0,IFERROR(INDEX(Material_Detail!$D:$DC,MATCH($A33,Material_Detail!$DE:$DE,0),41),0)),SUMIFS(T_Shipments[Confirmed_Qty],T_Shipments[Part Name],$A33,T_Shipments[Effective_Week],41))</f>
        <v/>
      </c>
      <c r="AQ33">
        <f>IF(COUNTIF(Material_Detail!$DE:$DE,$A33)&gt;0,IF(ISNUMBER(SEARCH("[済]",INDEX(Material_Detail!$D:$DC,MATCH($A33,Material_Detail!$DE:$DE,0)+1,42))),0,IFERROR(INDEX(Material_Detail!$D:$DC,MATCH($A33,Material_Detail!$DE:$DE,0),42),0)),SUMIFS(T_Shipments[Confirmed_Qty],T_Shipments[Part Name],$A33,T_Shipments[Effective_Week],42))</f>
        <v/>
      </c>
      <c r="AR33">
        <f>IF(COUNTIF(Material_Detail!$DE:$DE,$A33)&gt;0,IF(ISNUMBER(SEARCH("[済]",INDEX(Material_Detail!$D:$DC,MATCH($A33,Material_Detail!$DE:$DE,0)+1,43))),0,IFERROR(INDEX(Material_Detail!$D:$DC,MATCH($A33,Material_Detail!$DE:$DE,0),43),0)),SUMIFS(T_Shipments[Confirmed_Qty],T_Shipments[Part Name],$A33,T_Shipments[Effective_Week],43))</f>
        <v/>
      </c>
      <c r="AS33">
        <f>IF(COUNTIF(Material_Detail!$DE:$DE,$A33)&gt;0,IF(ISNUMBER(SEARCH("[済]",INDEX(Material_Detail!$D:$DC,MATCH($A33,Material_Detail!$DE:$DE,0)+1,44))),0,IFERROR(INDEX(Material_Detail!$D:$DC,MATCH($A33,Material_Detail!$DE:$DE,0),44),0)),SUMIFS(T_Shipments[Confirmed_Qty],T_Shipments[Part Name],$A33,T_Shipments[Effective_Week],44))</f>
        <v/>
      </c>
      <c r="AT33">
        <f>IF(COUNTIF(Material_Detail!$DE:$DE,$A33)&gt;0,IF(ISNUMBER(SEARCH("[済]",INDEX(Material_Detail!$D:$DC,MATCH($A33,Material_Detail!$DE:$DE,0)+1,45))),0,IFERROR(INDEX(Material_Detail!$D:$DC,MATCH($A33,Material_Detail!$DE:$DE,0),45),0)),SUMIFS(T_Shipments[Confirmed_Qty],T_Shipments[Part Name],$A33,T_Shipments[Effective_Week],45))</f>
        <v/>
      </c>
      <c r="AU33">
        <f>IF(COUNTIF(Material_Detail!$DE:$DE,$A33)&gt;0,IF(ISNUMBER(SEARCH("[済]",INDEX(Material_Detail!$D:$DC,MATCH($A33,Material_Detail!$DE:$DE,0)+1,46))),0,IFERROR(INDEX(Material_Detail!$D:$DC,MATCH($A33,Material_Detail!$DE:$DE,0),46),0)),SUMIFS(T_Shipments[Confirmed_Qty],T_Shipments[Part Name],$A33,T_Shipments[Effective_Week],46))</f>
        <v/>
      </c>
      <c r="AV33">
        <f>IF(COUNTIF(Material_Detail!$DE:$DE,$A33)&gt;0,IF(ISNUMBER(SEARCH("[済]",INDEX(Material_Detail!$D:$DC,MATCH($A33,Material_Detail!$DE:$DE,0)+1,47))),0,IFERROR(INDEX(Material_Detail!$D:$DC,MATCH($A33,Material_Detail!$DE:$DE,0),47),0)),SUMIFS(T_Shipments[Confirmed_Qty],T_Shipments[Part Name],$A33,T_Shipments[Effective_Week],47))</f>
        <v/>
      </c>
      <c r="AW33">
        <f>IF(COUNTIF(Material_Detail!$DE:$DE,$A33)&gt;0,IF(ISNUMBER(SEARCH("[済]",INDEX(Material_Detail!$D:$DC,MATCH($A33,Material_Detail!$DE:$DE,0)+1,48))),0,IFERROR(INDEX(Material_Detail!$D:$DC,MATCH($A33,Material_Detail!$DE:$DE,0),48),0)),SUMIFS(T_Shipments[Confirmed_Qty],T_Shipments[Part Name],$A33,T_Shipments[Effective_Week],48))</f>
        <v/>
      </c>
      <c r="AX33">
        <f>IF(COUNTIF(Material_Detail!$DE:$DE,$A33)&gt;0,IF(ISNUMBER(SEARCH("[済]",INDEX(Material_Detail!$D:$DC,MATCH($A33,Material_Detail!$DE:$DE,0)+1,49))),0,IFERROR(INDEX(Material_Detail!$D:$DC,MATCH($A33,Material_Detail!$DE:$DE,0),49),0)),SUMIFS(T_Shipments[Confirmed_Qty],T_Shipments[Part Name],$A33,T_Shipments[Effective_Week],49))</f>
        <v/>
      </c>
      <c r="AY33">
        <f>IF(COUNTIF(Material_Detail!$DE:$DE,$A33)&gt;0,IF(ISNUMBER(SEARCH("[済]",INDEX(Material_Detail!$D:$DC,MATCH($A33,Material_Detail!$DE:$DE,0)+1,50))),0,IFERROR(INDEX(Material_Detail!$D:$DC,MATCH($A33,Material_Detail!$DE:$DE,0),50),0)),SUMIFS(T_Shipments[Confirmed_Qty],T_Shipments[Part Name],$A33,T_Shipments[Effective_Week],50))</f>
        <v/>
      </c>
      <c r="AZ33">
        <f>IF(COUNTIF(Material_Detail!$DE:$DE,$A33)&gt;0,IF(ISNUMBER(SEARCH("[済]",INDEX(Material_Detail!$D:$DC,MATCH($A33,Material_Detail!$DE:$DE,0)+1,51))),0,IFERROR(INDEX(Material_Detail!$D:$DC,MATCH($A33,Material_Detail!$DE:$DE,0),51),0)),SUMIFS(T_Shipments[Confirmed_Qty],T_Shipments[Part Name],$A33,T_Shipments[Effective_Week],51))</f>
        <v/>
      </c>
      <c r="BA33">
        <f>IF(COUNTIF(Material_Detail!$DE:$DE,$A33)&gt;0,IF(ISNUMBER(SEARCH("[済]",INDEX(Material_Detail!$D:$DC,MATCH($A33,Material_Detail!$DE:$DE,0)+1,52))),0,IFERROR(INDEX(Material_Detail!$D:$DC,MATCH($A33,Material_Detail!$DE:$DE,0),52),0)),SUMIFS(T_Shipments[Confirmed_Qty],T_Shipments[Part Name],$A33,T_Shipments[Effective_Week],52))</f>
        <v/>
      </c>
      <c r="BB33">
        <f>IF(COUNTIF(Material_Detail!$DE:$DE,$A33)&gt;0,IF(ISNUMBER(SEARCH("[済]",INDEX(Material_Detail!$D:$DC,MATCH($A33,Material_Detail!$DE:$DE,0)+1,53))),0,IFERROR(INDEX(Material_Detail!$D:$DC,MATCH($A33,Material_Detail!$DE:$DE,0),53),0)),SUMIFS(T_Shipments[Confirmed_Qty],T_Shipments[Part Name],$A33,T_Shipments[Effective_Week],53))</f>
        <v/>
      </c>
      <c r="BC33">
        <f>IF(COUNTIF(Material_Detail!$DE:$DE,$A33)&gt;0,IF(ISNUMBER(SEARCH("[済]",INDEX(Material_Detail!$D:$DC,MATCH($A33,Material_Detail!$DE:$DE,0)+1,54))),0,IFERROR(INDEX(Material_Detail!$D:$DC,MATCH($A33,Material_Detail!$DE:$DE,0),54),0)),SUMIFS(T_Shipments[Confirmed_Qty],T_Shipments[Part Name],$A33,T_Shipments[Effective_Week],54))</f>
        <v/>
      </c>
      <c r="BD33">
        <f>IF(COUNTIF(Material_Detail!$DE:$DE,$A33)&gt;0,IF(ISNUMBER(SEARCH("[済]",INDEX(Material_Detail!$D:$DC,MATCH($A33,Material_Detail!$DE:$DE,0)+1,55))),0,IFERROR(INDEX(Material_Detail!$D:$DC,MATCH($A33,Material_Detail!$DE:$DE,0),55),0)),SUMIFS(T_Shipments[Confirmed_Qty],T_Shipments[Part Name],$A33,T_Shipments[Effective_Week],55))</f>
        <v/>
      </c>
      <c r="BE33">
        <f>IF(COUNTIF(Material_Detail!$DE:$DE,$A33)&gt;0,IF(ISNUMBER(SEARCH("[済]",INDEX(Material_Detail!$D:$DC,MATCH($A33,Material_Detail!$DE:$DE,0)+1,56))),0,IFERROR(INDEX(Material_Detail!$D:$DC,MATCH($A33,Material_Detail!$DE:$DE,0),56),0)),SUMIFS(T_Shipments[Confirmed_Qty],T_Shipments[Part Name],$A33,T_Shipments[Effective_Week],56))</f>
        <v/>
      </c>
      <c r="BF33">
        <f>IF(COUNTIF(Material_Detail!$DE:$DE,$A33)&gt;0,IF(ISNUMBER(SEARCH("[済]",INDEX(Material_Detail!$D:$DC,MATCH($A33,Material_Detail!$DE:$DE,0)+1,57))),0,IFERROR(INDEX(Material_Detail!$D:$DC,MATCH($A33,Material_Detail!$DE:$DE,0),57),0)),SUMIFS(T_Shipments[Confirmed_Qty],T_Shipments[Part Name],$A33,T_Shipments[Effective_Week],57))</f>
        <v/>
      </c>
      <c r="BG33">
        <f>IF(COUNTIF(Material_Detail!$DE:$DE,$A33)&gt;0,IF(ISNUMBER(SEARCH("[済]",INDEX(Material_Detail!$D:$DC,MATCH($A33,Material_Detail!$DE:$DE,0)+1,58))),0,IFERROR(INDEX(Material_Detail!$D:$DC,MATCH($A33,Material_Detail!$DE:$DE,0),58),0)),SUMIFS(T_Shipments[Confirmed_Qty],T_Shipments[Part Name],$A33,T_Shipments[Effective_Week],58))</f>
        <v/>
      </c>
      <c r="BH33">
        <f>IF(COUNTIF(Material_Detail!$DE:$DE,$A33)&gt;0,IF(ISNUMBER(SEARCH("[済]",INDEX(Material_Detail!$D:$DC,MATCH($A33,Material_Detail!$DE:$DE,0)+1,59))),0,IFERROR(INDEX(Material_Detail!$D:$DC,MATCH($A33,Material_Detail!$DE:$DE,0),59),0)),SUMIFS(T_Shipments[Confirmed_Qty],T_Shipments[Part Name],$A33,T_Shipments[Effective_Week],59))</f>
        <v/>
      </c>
      <c r="BI33">
        <f>IF(COUNTIF(Material_Detail!$DE:$DE,$A33)&gt;0,IF(ISNUMBER(SEARCH("[済]",INDEX(Material_Detail!$D:$DC,MATCH($A33,Material_Detail!$DE:$DE,0)+1,60))),0,IFERROR(INDEX(Material_Detail!$D:$DC,MATCH($A33,Material_Detail!$DE:$DE,0),60),0)),SUMIFS(T_Shipments[Confirmed_Qty],T_Shipments[Part Name],$A33,T_Shipments[Effective_Week],60))</f>
        <v/>
      </c>
      <c r="BJ33">
        <f>IF(COUNTIF(Material_Detail!$DE:$DE,$A33)&gt;0,IF(ISNUMBER(SEARCH("[済]",INDEX(Material_Detail!$D:$DC,MATCH($A33,Material_Detail!$DE:$DE,0)+1,61))),0,IFERROR(INDEX(Material_Detail!$D:$DC,MATCH($A33,Material_Detail!$DE:$DE,0),61),0)),SUMIFS(T_Shipments[Confirmed_Qty],T_Shipments[Part Name],$A33,T_Shipments[Effective_Week],61))</f>
        <v/>
      </c>
      <c r="BK33">
        <f>IF(COUNTIF(Material_Detail!$DE:$DE,$A33)&gt;0,IF(ISNUMBER(SEARCH("[済]",INDEX(Material_Detail!$D:$DC,MATCH($A33,Material_Detail!$DE:$DE,0)+1,62))),0,IFERROR(INDEX(Material_Detail!$D:$DC,MATCH($A33,Material_Detail!$DE:$DE,0),62),0)),SUMIFS(T_Shipments[Confirmed_Qty],T_Shipments[Part Name],$A33,T_Shipments[Effective_Week],62))</f>
        <v/>
      </c>
      <c r="BL33">
        <f>IF(COUNTIF(Material_Detail!$DE:$DE,$A33)&gt;0,IF(ISNUMBER(SEARCH("[済]",INDEX(Material_Detail!$D:$DC,MATCH($A33,Material_Detail!$DE:$DE,0)+1,63))),0,IFERROR(INDEX(Material_Detail!$D:$DC,MATCH($A33,Material_Detail!$DE:$DE,0),63),0)),SUMIFS(T_Shipments[Confirmed_Qty],T_Shipments[Part Name],$A33,T_Shipments[Effective_Week],63))</f>
        <v/>
      </c>
      <c r="BM33">
        <f>IF(COUNTIF(Material_Detail!$DE:$DE,$A33)&gt;0,IF(ISNUMBER(SEARCH("[済]",INDEX(Material_Detail!$D:$DC,MATCH($A33,Material_Detail!$DE:$DE,0)+1,64))),0,IFERROR(INDEX(Material_Detail!$D:$DC,MATCH($A33,Material_Detail!$DE:$DE,0),64),0)),SUMIFS(T_Shipments[Confirmed_Qty],T_Shipments[Part Name],$A33,T_Shipments[Effective_Week],64))</f>
        <v/>
      </c>
      <c r="BN33">
        <f>IF(COUNTIF(Material_Detail!$DE:$DE,$A33)&gt;0,IF(ISNUMBER(SEARCH("[済]",INDEX(Material_Detail!$D:$DC,MATCH($A33,Material_Detail!$DE:$DE,0)+1,65))),0,IFERROR(INDEX(Material_Detail!$D:$DC,MATCH($A33,Material_Detail!$DE:$DE,0),65),0)),SUMIFS(T_Shipments[Confirmed_Qty],T_Shipments[Part Name],$A33,T_Shipments[Effective_Week],65))</f>
        <v/>
      </c>
      <c r="BO33">
        <f>IF(COUNTIF(Material_Detail!$DE:$DE,$A33)&gt;0,IF(ISNUMBER(SEARCH("[済]",INDEX(Material_Detail!$D:$DC,MATCH($A33,Material_Detail!$DE:$DE,0)+1,66))),0,IFERROR(INDEX(Material_Detail!$D:$DC,MATCH($A33,Material_Detail!$DE:$DE,0),66),0)),SUMIFS(T_Shipments[Confirmed_Qty],T_Shipments[Part Name],$A33,T_Shipments[Effective_Week],66))</f>
        <v/>
      </c>
      <c r="BP33">
        <f>IF(COUNTIF(Material_Detail!$DE:$DE,$A33)&gt;0,IF(ISNUMBER(SEARCH("[済]",INDEX(Material_Detail!$D:$DC,MATCH($A33,Material_Detail!$DE:$DE,0)+1,67))),0,IFERROR(INDEX(Material_Detail!$D:$DC,MATCH($A33,Material_Detail!$DE:$DE,0),67),0)),SUMIFS(T_Shipments[Confirmed_Qty],T_Shipments[Part Name],$A33,T_Shipments[Effective_Week],67))</f>
        <v/>
      </c>
      <c r="BQ33">
        <f>IF(COUNTIF(Material_Detail!$DE:$DE,$A33)&gt;0,IF(ISNUMBER(SEARCH("[済]",INDEX(Material_Detail!$D:$DC,MATCH($A33,Material_Detail!$DE:$DE,0)+1,68))),0,IFERROR(INDEX(Material_Detail!$D:$DC,MATCH($A33,Material_Detail!$DE:$DE,0),68),0)),SUMIFS(T_Shipments[Confirmed_Qty],T_Shipments[Part Name],$A33,T_Shipments[Effective_Week],68))</f>
        <v/>
      </c>
      <c r="BR33">
        <f>IF(COUNTIF(Material_Detail!$DE:$DE,$A33)&gt;0,IF(ISNUMBER(SEARCH("[済]",INDEX(Material_Detail!$D:$DC,MATCH($A33,Material_Detail!$DE:$DE,0)+1,69))),0,IFERROR(INDEX(Material_Detail!$D:$DC,MATCH($A33,Material_Detail!$DE:$DE,0),69),0)),SUMIFS(T_Shipments[Confirmed_Qty],T_Shipments[Part Name],$A33,T_Shipments[Effective_Week],69))</f>
        <v/>
      </c>
      <c r="BS33">
        <f>IF(COUNTIF(Material_Detail!$DE:$DE,$A33)&gt;0,IF(ISNUMBER(SEARCH("[済]",INDEX(Material_Detail!$D:$DC,MATCH($A33,Material_Detail!$DE:$DE,0)+1,70))),0,IFERROR(INDEX(Material_Detail!$D:$DC,MATCH($A33,Material_Detail!$DE:$DE,0),70),0)),SUMIFS(T_Shipments[Confirmed_Qty],T_Shipments[Part Name],$A33,T_Shipments[Effective_Week],70))</f>
        <v/>
      </c>
      <c r="BT33">
        <f>IF(COUNTIF(Material_Detail!$DE:$DE,$A33)&gt;0,IF(ISNUMBER(SEARCH("[済]",INDEX(Material_Detail!$D:$DC,MATCH($A33,Material_Detail!$DE:$DE,0)+1,71))),0,IFERROR(INDEX(Material_Detail!$D:$DC,MATCH($A33,Material_Detail!$DE:$DE,0),71),0)),SUMIFS(T_Shipments[Confirmed_Qty],T_Shipments[Part Name],$A33,T_Shipments[Effective_Week],71))</f>
        <v/>
      </c>
      <c r="BU33">
        <f>IF(COUNTIF(Material_Detail!$DE:$DE,$A33)&gt;0,IF(ISNUMBER(SEARCH("[済]",INDEX(Material_Detail!$D:$DC,MATCH($A33,Material_Detail!$DE:$DE,0)+1,72))),0,IFERROR(INDEX(Material_Detail!$D:$DC,MATCH($A33,Material_Detail!$DE:$DE,0),72),0)),SUMIFS(T_Shipments[Confirmed_Qty],T_Shipments[Part Name],$A33,T_Shipments[Effective_Week],72))</f>
        <v/>
      </c>
      <c r="BV33">
        <f>IF(COUNTIF(Material_Detail!$DE:$DE,$A33)&gt;0,IF(ISNUMBER(SEARCH("[済]",INDEX(Material_Detail!$D:$DC,MATCH($A33,Material_Detail!$DE:$DE,0)+1,73))),0,IFERROR(INDEX(Material_Detail!$D:$DC,MATCH($A33,Material_Detail!$DE:$DE,0),73),0)),SUMIFS(T_Shipments[Confirmed_Qty],T_Shipments[Part Name],$A33,T_Shipments[Effective_Week],73))</f>
        <v/>
      </c>
      <c r="BW33">
        <f>IF(COUNTIF(Material_Detail!$DE:$DE,$A33)&gt;0,IF(ISNUMBER(SEARCH("[済]",INDEX(Material_Detail!$D:$DC,MATCH($A33,Material_Detail!$DE:$DE,0)+1,74))),0,IFERROR(INDEX(Material_Detail!$D:$DC,MATCH($A33,Material_Detail!$DE:$DE,0),74),0)),SUMIFS(T_Shipments[Confirmed_Qty],T_Shipments[Part Name],$A33,T_Shipments[Effective_Week],74))</f>
        <v/>
      </c>
      <c r="BX33">
        <f>IF(COUNTIF(Material_Detail!$DE:$DE,$A33)&gt;0,IF(ISNUMBER(SEARCH("[済]",INDEX(Material_Detail!$D:$DC,MATCH($A33,Material_Detail!$DE:$DE,0)+1,75))),0,IFERROR(INDEX(Material_Detail!$D:$DC,MATCH($A33,Material_Detail!$DE:$DE,0),75),0)),SUMIFS(T_Shipments[Confirmed_Qty],T_Shipments[Part Name],$A33,T_Shipments[Effective_Week],75))</f>
        <v/>
      </c>
      <c r="BY33">
        <f>IF(COUNTIF(Material_Detail!$DE:$DE,$A33)&gt;0,IF(ISNUMBER(SEARCH("[済]",INDEX(Material_Detail!$D:$DC,MATCH($A33,Material_Detail!$DE:$DE,0)+1,76))),0,IFERROR(INDEX(Material_Detail!$D:$DC,MATCH($A33,Material_Detail!$DE:$DE,0),76),0)),SUMIFS(T_Shipments[Confirmed_Qty],T_Shipments[Part Name],$A33,T_Shipments[Effective_Week],76))</f>
        <v/>
      </c>
      <c r="BZ33">
        <f>IF(COUNTIF(Material_Detail!$DE:$DE,$A33)&gt;0,IF(ISNUMBER(SEARCH("[済]",INDEX(Material_Detail!$D:$DC,MATCH($A33,Material_Detail!$DE:$DE,0)+1,77))),0,IFERROR(INDEX(Material_Detail!$D:$DC,MATCH($A33,Material_Detail!$DE:$DE,0),77),0)),SUMIFS(T_Shipments[Confirmed_Qty],T_Shipments[Part Name],$A33,T_Shipments[Effective_Week],77))</f>
        <v/>
      </c>
      <c r="CA33">
        <f>IF(COUNTIF(Material_Detail!$DE:$DE,$A33)&gt;0,IF(ISNUMBER(SEARCH("[済]",INDEX(Material_Detail!$D:$DC,MATCH($A33,Material_Detail!$DE:$DE,0)+1,78))),0,IFERROR(INDEX(Material_Detail!$D:$DC,MATCH($A33,Material_Detail!$DE:$DE,0),78),0)),SUMIFS(T_Shipments[Confirmed_Qty],T_Shipments[Part Name],$A33,T_Shipments[Effective_Week],78))</f>
        <v/>
      </c>
      <c r="CB33">
        <f>IF(COUNTIF(Material_Detail!$DE:$DE,$A33)&gt;0,IF(ISNUMBER(SEARCH("[済]",INDEX(Material_Detail!$D:$DC,MATCH($A33,Material_Detail!$DE:$DE,0)+1,79))),0,IFERROR(INDEX(Material_Detail!$D:$DC,MATCH($A33,Material_Detail!$DE:$DE,0),79),0)),SUMIFS(T_Shipments[Confirmed_Qty],T_Shipments[Part Name],$A33,T_Shipments[Effective_Week],79))</f>
        <v/>
      </c>
      <c r="CC33">
        <f>IF(COUNTIF(Material_Detail!$DE:$DE,$A33)&gt;0,IF(ISNUMBER(SEARCH("[済]",INDEX(Material_Detail!$D:$DC,MATCH($A33,Material_Detail!$DE:$DE,0)+1,80))),0,IFERROR(INDEX(Material_Detail!$D:$DC,MATCH($A33,Material_Detail!$DE:$DE,0),80),0)),SUMIFS(T_Shipments[Confirmed_Qty],T_Shipments[Part Name],$A33,T_Shipments[Effective_Week],80))</f>
        <v/>
      </c>
      <c r="CD33">
        <f>IF(COUNTIF(Material_Detail!$DE:$DE,$A33)&gt;0,IF(ISNUMBER(SEARCH("[済]",INDEX(Material_Detail!$D:$DC,MATCH($A33,Material_Detail!$DE:$DE,0)+1,81))),0,IFERROR(INDEX(Material_Detail!$D:$DC,MATCH($A33,Material_Detail!$DE:$DE,0),81),0)),SUMIFS(T_Shipments[Confirmed_Qty],T_Shipments[Part Name],$A33,T_Shipments[Effective_Week],81))</f>
        <v/>
      </c>
      <c r="CE33">
        <f>IF(COUNTIF(Material_Detail!$DE:$DE,$A33)&gt;0,IF(ISNUMBER(SEARCH("[済]",INDEX(Material_Detail!$D:$DC,MATCH($A33,Material_Detail!$DE:$DE,0)+1,82))),0,IFERROR(INDEX(Material_Detail!$D:$DC,MATCH($A33,Material_Detail!$DE:$DE,0),82),0)),SUMIFS(T_Shipments[Confirmed_Qty],T_Shipments[Part Name],$A33,T_Shipments[Effective_Week],82))</f>
        <v/>
      </c>
      <c r="CF33">
        <f>IF(COUNTIF(Material_Detail!$DE:$DE,$A33)&gt;0,IF(ISNUMBER(SEARCH("[済]",INDEX(Material_Detail!$D:$DC,MATCH($A33,Material_Detail!$DE:$DE,0)+1,83))),0,IFERROR(INDEX(Material_Detail!$D:$DC,MATCH($A33,Material_Detail!$DE:$DE,0),83),0)),SUMIFS(T_Shipments[Confirmed_Qty],T_Shipments[Part Name],$A33,T_Shipments[Effective_Week],83))</f>
        <v/>
      </c>
      <c r="CG33">
        <f>IF(COUNTIF(Material_Detail!$DE:$DE,$A33)&gt;0,IF(ISNUMBER(SEARCH("[済]",INDEX(Material_Detail!$D:$DC,MATCH($A33,Material_Detail!$DE:$DE,0)+1,84))),0,IFERROR(INDEX(Material_Detail!$D:$DC,MATCH($A33,Material_Detail!$DE:$DE,0),84),0)),SUMIFS(T_Shipments[Confirmed_Qty],T_Shipments[Part Name],$A33,T_Shipments[Effective_Week],84))</f>
        <v/>
      </c>
      <c r="CH33">
        <f>IF(COUNTIF(Material_Detail!$DE:$DE,$A33)&gt;0,IF(ISNUMBER(SEARCH("[済]",INDEX(Material_Detail!$D:$DC,MATCH($A33,Material_Detail!$DE:$DE,0)+1,85))),0,IFERROR(INDEX(Material_Detail!$D:$DC,MATCH($A33,Material_Detail!$DE:$DE,0),85),0)),SUMIFS(T_Shipments[Confirmed_Qty],T_Shipments[Part Name],$A33,T_Shipments[Effective_Week],85))</f>
        <v/>
      </c>
      <c r="CI33">
        <f>IF(COUNTIF(Material_Detail!$DE:$DE,$A33)&gt;0,IF(ISNUMBER(SEARCH("[済]",INDEX(Material_Detail!$D:$DC,MATCH($A33,Material_Detail!$DE:$DE,0)+1,86))),0,IFERROR(INDEX(Material_Detail!$D:$DC,MATCH($A33,Material_Detail!$DE:$DE,0),86),0)),SUMIFS(T_Shipments[Confirmed_Qty],T_Shipments[Part Name],$A33,T_Shipments[Effective_Week],86))</f>
        <v/>
      </c>
      <c r="CJ33">
        <f>IF(COUNTIF(Material_Detail!$DE:$DE,$A33)&gt;0,IF(ISNUMBER(SEARCH("[済]",INDEX(Material_Detail!$D:$DC,MATCH($A33,Material_Detail!$DE:$DE,0)+1,87))),0,IFERROR(INDEX(Material_Detail!$D:$DC,MATCH($A33,Material_Detail!$DE:$DE,0),87),0)),SUMIFS(T_Shipments[Confirmed_Qty],T_Shipments[Part Name],$A33,T_Shipments[Effective_Week],87))</f>
        <v/>
      </c>
      <c r="CK33">
        <f>IF(COUNTIF(Material_Detail!$DE:$DE,$A33)&gt;0,IF(ISNUMBER(SEARCH("[済]",INDEX(Material_Detail!$D:$DC,MATCH($A33,Material_Detail!$DE:$DE,0)+1,88))),0,IFERROR(INDEX(Material_Detail!$D:$DC,MATCH($A33,Material_Detail!$DE:$DE,0),88),0)),SUMIFS(T_Shipments[Confirmed_Qty],T_Shipments[Part Name],$A33,T_Shipments[Effective_Week],88))</f>
        <v/>
      </c>
      <c r="CL33">
        <f>IF(COUNTIF(Material_Detail!$DE:$DE,$A33)&gt;0,IF(ISNUMBER(SEARCH("[済]",INDEX(Material_Detail!$D:$DC,MATCH($A33,Material_Detail!$DE:$DE,0)+1,89))),0,IFERROR(INDEX(Material_Detail!$D:$DC,MATCH($A33,Material_Detail!$DE:$DE,0),89),0)),SUMIFS(T_Shipments[Confirmed_Qty],T_Shipments[Part Name],$A33,T_Shipments[Effective_Week],89))</f>
        <v/>
      </c>
      <c r="CM33">
        <f>IF(COUNTIF(Material_Detail!$DE:$DE,$A33)&gt;0,IF(ISNUMBER(SEARCH("[済]",INDEX(Material_Detail!$D:$DC,MATCH($A33,Material_Detail!$DE:$DE,0)+1,90))),0,IFERROR(INDEX(Material_Detail!$D:$DC,MATCH($A33,Material_Detail!$DE:$DE,0),90),0)),SUMIFS(T_Shipments[Confirmed_Qty],T_Shipments[Part Name],$A33,T_Shipments[Effective_Week],90))</f>
        <v/>
      </c>
      <c r="CN33">
        <f>IF(COUNTIF(Material_Detail!$DE:$DE,$A33)&gt;0,IF(ISNUMBER(SEARCH("[済]",INDEX(Material_Detail!$D:$DC,MATCH($A33,Material_Detail!$DE:$DE,0)+1,91))),0,IFERROR(INDEX(Material_Detail!$D:$DC,MATCH($A33,Material_Detail!$DE:$DE,0),91),0)),SUMIFS(T_Shipments[Confirmed_Qty],T_Shipments[Part Name],$A33,T_Shipments[Effective_Week],91))</f>
        <v/>
      </c>
      <c r="CO33">
        <f>IF(COUNTIF(Material_Detail!$DE:$DE,$A33)&gt;0,IF(ISNUMBER(SEARCH("[済]",INDEX(Material_Detail!$D:$DC,MATCH($A33,Material_Detail!$DE:$DE,0)+1,92))),0,IFERROR(INDEX(Material_Detail!$D:$DC,MATCH($A33,Material_Detail!$DE:$DE,0),92),0)),SUMIFS(T_Shipments[Confirmed_Qty],T_Shipments[Part Name],$A33,T_Shipments[Effective_Week],92))</f>
        <v/>
      </c>
      <c r="CP33">
        <f>IF(COUNTIF(Material_Detail!$DE:$DE,$A33)&gt;0,IF(ISNUMBER(SEARCH("[済]",INDEX(Material_Detail!$D:$DC,MATCH($A33,Material_Detail!$DE:$DE,0)+1,93))),0,IFERROR(INDEX(Material_Detail!$D:$DC,MATCH($A33,Material_Detail!$DE:$DE,0),93),0)),SUMIFS(T_Shipments[Confirmed_Qty],T_Shipments[Part Name],$A33,T_Shipments[Effective_Week],93))</f>
        <v/>
      </c>
      <c r="CQ33">
        <f>IF(COUNTIF(Material_Detail!$DE:$DE,$A33)&gt;0,IF(ISNUMBER(SEARCH("[済]",INDEX(Material_Detail!$D:$DC,MATCH($A33,Material_Detail!$DE:$DE,0)+1,94))),0,IFERROR(INDEX(Material_Detail!$D:$DC,MATCH($A33,Material_Detail!$DE:$DE,0),94),0)),SUMIFS(T_Shipments[Confirmed_Qty],T_Shipments[Part Name],$A33,T_Shipments[Effective_Week],94))</f>
        <v/>
      </c>
      <c r="CR33">
        <f>IF(COUNTIF(Material_Detail!$DE:$DE,$A33)&gt;0,IF(ISNUMBER(SEARCH("[済]",INDEX(Material_Detail!$D:$DC,MATCH($A33,Material_Detail!$DE:$DE,0)+1,95))),0,IFERROR(INDEX(Material_Detail!$D:$DC,MATCH($A33,Material_Detail!$DE:$DE,0),95),0)),SUMIFS(T_Shipments[Confirmed_Qty],T_Shipments[Part Name],$A33,T_Shipments[Effective_Week],95))</f>
        <v/>
      </c>
      <c r="CS33">
        <f>IF(COUNTIF(Material_Detail!$DE:$DE,$A33)&gt;0,IF(ISNUMBER(SEARCH("[済]",INDEX(Material_Detail!$D:$DC,MATCH($A33,Material_Detail!$DE:$DE,0)+1,96))),0,IFERROR(INDEX(Material_Detail!$D:$DC,MATCH($A33,Material_Detail!$DE:$DE,0),96),0)),SUMIFS(T_Shipments[Confirmed_Qty],T_Shipments[Part Name],$A33,T_Shipments[Effective_Week],96))</f>
        <v/>
      </c>
      <c r="CT33">
        <f>IF(COUNTIF(Material_Detail!$DE:$DE,$A33)&gt;0,IF(ISNUMBER(SEARCH("[済]",INDEX(Material_Detail!$D:$DC,MATCH($A33,Material_Detail!$DE:$DE,0)+1,97))),0,IFERROR(INDEX(Material_Detail!$D:$DC,MATCH($A33,Material_Detail!$DE:$DE,0),97),0)),SUMIFS(T_Shipments[Confirmed_Qty],T_Shipments[Part Name],$A33,T_Shipments[Effective_Week],97))</f>
        <v/>
      </c>
      <c r="CU33">
        <f>IF(COUNTIF(Material_Detail!$DE:$DE,$A33)&gt;0,IF(ISNUMBER(SEARCH("[済]",INDEX(Material_Detail!$D:$DC,MATCH($A33,Material_Detail!$DE:$DE,0)+1,98))),0,IFERROR(INDEX(Material_Detail!$D:$DC,MATCH($A33,Material_Detail!$DE:$DE,0),98),0)),SUMIFS(T_Shipments[Confirmed_Qty],T_Shipments[Part Name],$A33,T_Shipments[Effective_Week],98))</f>
        <v/>
      </c>
      <c r="CV33">
        <f>IF(COUNTIF(Material_Detail!$DE:$DE,$A33)&gt;0,IF(ISNUMBER(SEARCH("[済]",INDEX(Material_Detail!$D:$DC,MATCH($A33,Material_Detail!$DE:$DE,0)+1,99))),0,IFERROR(INDEX(Material_Detail!$D:$DC,MATCH($A33,Material_Detail!$DE:$DE,0),99),0)),SUMIFS(T_Shipments[Confirmed_Qty],T_Shipments[Part Name],$A33,T_Shipments[Effective_Week],99))</f>
        <v/>
      </c>
      <c r="CW33">
        <f>IF(COUNTIF(Material_Detail!$DE:$DE,$A33)&gt;0,IF(ISNUMBER(SEARCH("[済]",INDEX(Material_Detail!$D:$DC,MATCH($A33,Material_Detail!$DE:$DE,0)+1,100))),0,IFERROR(INDEX(Material_Detail!$D:$DC,MATCH($A33,Material_Detail!$DE:$DE,0),100),0)),SUMIFS(T_Shipments[Confirmed_Qty],T_Shipments[Part Name],$A33,T_Shipments[Effective_Week],100))</f>
        <v/>
      </c>
      <c r="CX33">
        <f>IF(COUNTIF(Material_Detail!$DE:$DE,$A33)&gt;0,IF(ISNUMBER(SEARCH("[済]",INDEX(Material_Detail!$D:$DC,MATCH($A33,Material_Detail!$DE:$DE,0)+1,101))),0,IFERROR(INDEX(Material_Detail!$D:$DC,MATCH($A33,Material_Detail!$DE:$DE,0),101),0)),SUMIFS(T_Shipments[Confirmed_Qty],T_Shipments[Part Name],$A33,T_Shipments[Effective_Week],101))</f>
        <v/>
      </c>
      <c r="CY33">
        <f>IF(COUNTIF(Material_Detail!$DE:$DE,$A33)&gt;0,IF(ISNUMBER(SEARCH("[済]",INDEX(Material_Detail!$D:$DC,MATCH($A33,Material_Detail!$DE:$DE,0)+1,102))),0,IFERROR(INDEX(Material_Detail!$D:$DC,MATCH($A33,Material_Detail!$DE:$DE,0),102),0)),SUMIFS(T_Shipments[Confirmed_Qty],T_Shipments[Part Name],$A33,T_Shipments[Effective_Week],102))</f>
        <v/>
      </c>
      <c r="CZ33">
        <f>IF(COUNTIF(Material_Detail!$DE:$DE,$A33)&gt;0,IF(ISNUMBER(SEARCH("[済]",INDEX(Material_Detail!$D:$DC,MATCH($A33,Material_Detail!$DE:$DE,0)+1,103))),0,IFERROR(INDEX(Material_Detail!$D:$DC,MATCH($A33,Material_Detail!$DE:$DE,0),103),0)),SUMIFS(T_Shipments[Confirmed_Qty],T_Shipments[Part Name],$A33,T_Shipments[Effective_Week],103))</f>
        <v/>
      </c>
      <c r="DA33">
        <f>IF(COUNTIF(Material_Detail!$DE:$DE,$A33)&gt;0,IF(ISNUMBER(SEARCH("[済]",INDEX(Material_Detail!$D:$DC,MATCH($A33,Material_Detail!$DE:$DE,0)+1,104))),0,IFERROR(INDEX(Material_Detail!$D:$DC,MATCH($A33,Material_Detail!$DE:$DE,0),104),0)),SUMIFS(T_Shipments[Confirmed_Qty],T_Shipments[Part Name],$A33,T_Shipments[Effective_Week],104))</f>
        <v/>
      </c>
    </row>
    <row r="34">
      <c r="A34" t="inlineStr">
        <is>
          <t>CHEM-1650</t>
        </is>
      </c>
      <c r="B34">
        <f>IF(COUNTIF(Material_Detail!$DE:$DE,$A34)&gt;0,IF(ISNUMBER(SEARCH("[済]",INDEX(Material_Detail!$D:$DC,MATCH($A34,Material_Detail!$DE:$DE,0)+1,1))),0,IFERROR(INDEX(Material_Detail!$D:$DC,MATCH($A34,Material_Detail!$DE:$DE,0),1),0)),SUMIFS(T_Shipments[Confirmed_Qty],T_Shipments[Part Name],$A34,T_Shipments[Effective_Week],1))</f>
        <v/>
      </c>
      <c r="C34">
        <f>IF(COUNTIF(Material_Detail!$DE:$DE,$A34)&gt;0,IF(ISNUMBER(SEARCH("[済]",INDEX(Material_Detail!$D:$DC,MATCH($A34,Material_Detail!$DE:$DE,0)+1,2))),0,IFERROR(INDEX(Material_Detail!$D:$DC,MATCH($A34,Material_Detail!$DE:$DE,0),2),0)),SUMIFS(T_Shipments[Confirmed_Qty],T_Shipments[Part Name],$A34,T_Shipments[Effective_Week],2))</f>
        <v/>
      </c>
      <c r="D34">
        <f>IF(COUNTIF(Material_Detail!$DE:$DE,$A34)&gt;0,IF(ISNUMBER(SEARCH("[済]",INDEX(Material_Detail!$D:$DC,MATCH($A34,Material_Detail!$DE:$DE,0)+1,3))),0,IFERROR(INDEX(Material_Detail!$D:$DC,MATCH($A34,Material_Detail!$DE:$DE,0),3),0)),SUMIFS(T_Shipments[Confirmed_Qty],T_Shipments[Part Name],$A34,T_Shipments[Effective_Week],3))</f>
        <v/>
      </c>
      <c r="E34">
        <f>IF(COUNTIF(Material_Detail!$DE:$DE,$A34)&gt;0,IF(ISNUMBER(SEARCH("[済]",INDEX(Material_Detail!$D:$DC,MATCH($A34,Material_Detail!$DE:$DE,0)+1,4))),0,IFERROR(INDEX(Material_Detail!$D:$DC,MATCH($A34,Material_Detail!$DE:$DE,0),4),0)),SUMIFS(T_Shipments[Confirmed_Qty],T_Shipments[Part Name],$A34,T_Shipments[Effective_Week],4))</f>
        <v/>
      </c>
      <c r="F34">
        <f>IF(COUNTIF(Material_Detail!$DE:$DE,$A34)&gt;0,IF(ISNUMBER(SEARCH("[済]",INDEX(Material_Detail!$D:$DC,MATCH($A34,Material_Detail!$DE:$DE,0)+1,5))),0,IFERROR(INDEX(Material_Detail!$D:$DC,MATCH($A34,Material_Detail!$DE:$DE,0),5),0)),SUMIFS(T_Shipments[Confirmed_Qty],T_Shipments[Part Name],$A34,T_Shipments[Effective_Week],5))</f>
        <v/>
      </c>
      <c r="G34">
        <f>IF(COUNTIF(Material_Detail!$DE:$DE,$A34)&gt;0,IF(ISNUMBER(SEARCH("[済]",INDEX(Material_Detail!$D:$DC,MATCH($A34,Material_Detail!$DE:$DE,0)+1,6))),0,IFERROR(INDEX(Material_Detail!$D:$DC,MATCH($A34,Material_Detail!$DE:$DE,0),6),0)),SUMIFS(T_Shipments[Confirmed_Qty],T_Shipments[Part Name],$A34,T_Shipments[Effective_Week],6))</f>
        <v/>
      </c>
      <c r="H34">
        <f>IF(COUNTIF(Material_Detail!$DE:$DE,$A34)&gt;0,IF(ISNUMBER(SEARCH("[済]",INDEX(Material_Detail!$D:$DC,MATCH($A34,Material_Detail!$DE:$DE,0)+1,7))),0,IFERROR(INDEX(Material_Detail!$D:$DC,MATCH($A34,Material_Detail!$DE:$DE,0),7),0)),SUMIFS(T_Shipments[Confirmed_Qty],T_Shipments[Part Name],$A34,T_Shipments[Effective_Week],7))</f>
        <v/>
      </c>
      <c r="I34">
        <f>IF(COUNTIF(Material_Detail!$DE:$DE,$A34)&gt;0,IF(ISNUMBER(SEARCH("[済]",INDEX(Material_Detail!$D:$DC,MATCH($A34,Material_Detail!$DE:$DE,0)+1,8))),0,IFERROR(INDEX(Material_Detail!$D:$DC,MATCH($A34,Material_Detail!$DE:$DE,0),8),0)),SUMIFS(T_Shipments[Confirmed_Qty],T_Shipments[Part Name],$A34,T_Shipments[Effective_Week],8))</f>
        <v/>
      </c>
      <c r="J34">
        <f>IF(COUNTIF(Material_Detail!$DE:$DE,$A34)&gt;0,IF(ISNUMBER(SEARCH("[済]",INDEX(Material_Detail!$D:$DC,MATCH($A34,Material_Detail!$DE:$DE,0)+1,9))),0,IFERROR(INDEX(Material_Detail!$D:$DC,MATCH($A34,Material_Detail!$DE:$DE,0),9),0)),SUMIFS(T_Shipments[Confirmed_Qty],T_Shipments[Part Name],$A34,T_Shipments[Effective_Week],9))</f>
        <v/>
      </c>
      <c r="K34">
        <f>IF(COUNTIF(Material_Detail!$DE:$DE,$A34)&gt;0,IF(ISNUMBER(SEARCH("[済]",INDEX(Material_Detail!$D:$DC,MATCH($A34,Material_Detail!$DE:$DE,0)+1,10))),0,IFERROR(INDEX(Material_Detail!$D:$DC,MATCH($A34,Material_Detail!$DE:$DE,0),10),0)),SUMIFS(T_Shipments[Confirmed_Qty],T_Shipments[Part Name],$A34,T_Shipments[Effective_Week],10))</f>
        <v/>
      </c>
      <c r="L34">
        <f>IF(COUNTIF(Material_Detail!$DE:$DE,$A34)&gt;0,IF(ISNUMBER(SEARCH("[済]",INDEX(Material_Detail!$D:$DC,MATCH($A34,Material_Detail!$DE:$DE,0)+1,11))),0,IFERROR(INDEX(Material_Detail!$D:$DC,MATCH($A34,Material_Detail!$DE:$DE,0),11),0)),SUMIFS(T_Shipments[Confirmed_Qty],T_Shipments[Part Name],$A34,T_Shipments[Effective_Week],11))</f>
        <v/>
      </c>
      <c r="M34">
        <f>IF(COUNTIF(Material_Detail!$DE:$DE,$A34)&gt;0,IF(ISNUMBER(SEARCH("[済]",INDEX(Material_Detail!$D:$DC,MATCH($A34,Material_Detail!$DE:$DE,0)+1,12))),0,IFERROR(INDEX(Material_Detail!$D:$DC,MATCH($A34,Material_Detail!$DE:$DE,0),12),0)),SUMIFS(T_Shipments[Confirmed_Qty],T_Shipments[Part Name],$A34,T_Shipments[Effective_Week],12))</f>
        <v/>
      </c>
      <c r="N34">
        <f>IF(COUNTIF(Material_Detail!$DE:$DE,$A34)&gt;0,IF(ISNUMBER(SEARCH("[済]",INDEX(Material_Detail!$D:$DC,MATCH($A34,Material_Detail!$DE:$DE,0)+1,13))),0,IFERROR(INDEX(Material_Detail!$D:$DC,MATCH($A34,Material_Detail!$DE:$DE,0),13),0)),SUMIFS(T_Shipments[Confirmed_Qty],T_Shipments[Part Name],$A34,T_Shipments[Effective_Week],13))</f>
        <v/>
      </c>
      <c r="O34">
        <f>IF(COUNTIF(Material_Detail!$DE:$DE,$A34)&gt;0,IF(ISNUMBER(SEARCH("[済]",INDEX(Material_Detail!$D:$DC,MATCH($A34,Material_Detail!$DE:$DE,0)+1,14))),0,IFERROR(INDEX(Material_Detail!$D:$DC,MATCH($A34,Material_Detail!$DE:$DE,0),14),0)),SUMIFS(T_Shipments[Confirmed_Qty],T_Shipments[Part Name],$A34,T_Shipments[Effective_Week],14))</f>
        <v/>
      </c>
      <c r="P34">
        <f>IF(COUNTIF(Material_Detail!$DE:$DE,$A34)&gt;0,IF(ISNUMBER(SEARCH("[済]",INDEX(Material_Detail!$D:$DC,MATCH($A34,Material_Detail!$DE:$DE,0)+1,15))),0,IFERROR(INDEX(Material_Detail!$D:$DC,MATCH($A34,Material_Detail!$DE:$DE,0),15),0)),SUMIFS(T_Shipments[Confirmed_Qty],T_Shipments[Part Name],$A34,T_Shipments[Effective_Week],15))</f>
        <v/>
      </c>
      <c r="Q34">
        <f>IF(COUNTIF(Material_Detail!$DE:$DE,$A34)&gt;0,IF(ISNUMBER(SEARCH("[済]",INDEX(Material_Detail!$D:$DC,MATCH($A34,Material_Detail!$DE:$DE,0)+1,16))),0,IFERROR(INDEX(Material_Detail!$D:$DC,MATCH($A34,Material_Detail!$DE:$DE,0),16),0)),SUMIFS(T_Shipments[Confirmed_Qty],T_Shipments[Part Name],$A34,T_Shipments[Effective_Week],16))</f>
        <v/>
      </c>
      <c r="R34">
        <f>IF(COUNTIF(Material_Detail!$DE:$DE,$A34)&gt;0,IF(ISNUMBER(SEARCH("[済]",INDEX(Material_Detail!$D:$DC,MATCH($A34,Material_Detail!$DE:$DE,0)+1,17))),0,IFERROR(INDEX(Material_Detail!$D:$DC,MATCH($A34,Material_Detail!$DE:$DE,0),17),0)),SUMIFS(T_Shipments[Confirmed_Qty],T_Shipments[Part Name],$A34,T_Shipments[Effective_Week],17))</f>
        <v/>
      </c>
      <c r="S34">
        <f>IF(COUNTIF(Material_Detail!$DE:$DE,$A34)&gt;0,IF(ISNUMBER(SEARCH("[済]",INDEX(Material_Detail!$D:$DC,MATCH($A34,Material_Detail!$DE:$DE,0)+1,18))),0,IFERROR(INDEX(Material_Detail!$D:$DC,MATCH($A34,Material_Detail!$DE:$DE,0),18),0)),SUMIFS(T_Shipments[Confirmed_Qty],T_Shipments[Part Name],$A34,T_Shipments[Effective_Week],18))</f>
        <v/>
      </c>
      <c r="T34">
        <f>IF(COUNTIF(Material_Detail!$DE:$DE,$A34)&gt;0,IF(ISNUMBER(SEARCH("[済]",INDEX(Material_Detail!$D:$DC,MATCH($A34,Material_Detail!$DE:$DE,0)+1,19))),0,IFERROR(INDEX(Material_Detail!$D:$DC,MATCH($A34,Material_Detail!$DE:$DE,0),19),0)),SUMIFS(T_Shipments[Confirmed_Qty],T_Shipments[Part Name],$A34,T_Shipments[Effective_Week],19))</f>
        <v/>
      </c>
      <c r="U34">
        <f>IF(COUNTIF(Material_Detail!$DE:$DE,$A34)&gt;0,IF(ISNUMBER(SEARCH("[済]",INDEX(Material_Detail!$D:$DC,MATCH($A34,Material_Detail!$DE:$DE,0)+1,20))),0,IFERROR(INDEX(Material_Detail!$D:$DC,MATCH($A34,Material_Detail!$DE:$DE,0),20),0)),SUMIFS(T_Shipments[Confirmed_Qty],T_Shipments[Part Name],$A34,T_Shipments[Effective_Week],20))</f>
        <v/>
      </c>
      <c r="V34">
        <f>IF(COUNTIF(Material_Detail!$DE:$DE,$A34)&gt;0,IF(ISNUMBER(SEARCH("[済]",INDEX(Material_Detail!$D:$DC,MATCH($A34,Material_Detail!$DE:$DE,0)+1,21))),0,IFERROR(INDEX(Material_Detail!$D:$DC,MATCH($A34,Material_Detail!$DE:$DE,0),21),0)),SUMIFS(T_Shipments[Confirmed_Qty],T_Shipments[Part Name],$A34,T_Shipments[Effective_Week],21))</f>
        <v/>
      </c>
      <c r="W34">
        <f>IF(COUNTIF(Material_Detail!$DE:$DE,$A34)&gt;0,IF(ISNUMBER(SEARCH("[済]",INDEX(Material_Detail!$D:$DC,MATCH($A34,Material_Detail!$DE:$DE,0)+1,22))),0,IFERROR(INDEX(Material_Detail!$D:$DC,MATCH($A34,Material_Detail!$DE:$DE,0),22),0)),SUMIFS(T_Shipments[Confirmed_Qty],T_Shipments[Part Name],$A34,T_Shipments[Effective_Week],22))</f>
        <v/>
      </c>
      <c r="X34">
        <f>IF(COUNTIF(Material_Detail!$DE:$DE,$A34)&gt;0,IF(ISNUMBER(SEARCH("[済]",INDEX(Material_Detail!$D:$DC,MATCH($A34,Material_Detail!$DE:$DE,0)+1,23))),0,IFERROR(INDEX(Material_Detail!$D:$DC,MATCH($A34,Material_Detail!$DE:$DE,0),23),0)),SUMIFS(T_Shipments[Confirmed_Qty],T_Shipments[Part Name],$A34,T_Shipments[Effective_Week],23))</f>
        <v/>
      </c>
      <c r="Y34">
        <f>IF(COUNTIF(Material_Detail!$DE:$DE,$A34)&gt;0,IF(ISNUMBER(SEARCH("[済]",INDEX(Material_Detail!$D:$DC,MATCH($A34,Material_Detail!$DE:$DE,0)+1,24))),0,IFERROR(INDEX(Material_Detail!$D:$DC,MATCH($A34,Material_Detail!$DE:$DE,0),24),0)),SUMIFS(T_Shipments[Confirmed_Qty],T_Shipments[Part Name],$A34,T_Shipments[Effective_Week],24))</f>
        <v/>
      </c>
      <c r="Z34">
        <f>IF(COUNTIF(Material_Detail!$DE:$DE,$A34)&gt;0,IF(ISNUMBER(SEARCH("[済]",INDEX(Material_Detail!$D:$DC,MATCH($A34,Material_Detail!$DE:$DE,0)+1,25))),0,IFERROR(INDEX(Material_Detail!$D:$DC,MATCH($A34,Material_Detail!$DE:$DE,0),25),0)),SUMIFS(T_Shipments[Confirmed_Qty],T_Shipments[Part Name],$A34,T_Shipments[Effective_Week],25))</f>
        <v/>
      </c>
      <c r="AA34">
        <f>IF(COUNTIF(Material_Detail!$DE:$DE,$A34)&gt;0,IF(ISNUMBER(SEARCH("[済]",INDEX(Material_Detail!$D:$DC,MATCH($A34,Material_Detail!$DE:$DE,0)+1,26))),0,IFERROR(INDEX(Material_Detail!$D:$DC,MATCH($A34,Material_Detail!$DE:$DE,0),26),0)),SUMIFS(T_Shipments[Confirmed_Qty],T_Shipments[Part Name],$A34,T_Shipments[Effective_Week],26))</f>
        <v/>
      </c>
      <c r="AB34">
        <f>IF(COUNTIF(Material_Detail!$DE:$DE,$A34)&gt;0,IF(ISNUMBER(SEARCH("[済]",INDEX(Material_Detail!$D:$DC,MATCH($A34,Material_Detail!$DE:$DE,0)+1,27))),0,IFERROR(INDEX(Material_Detail!$D:$DC,MATCH($A34,Material_Detail!$DE:$DE,0),27),0)),SUMIFS(T_Shipments[Confirmed_Qty],T_Shipments[Part Name],$A34,T_Shipments[Effective_Week],27))</f>
        <v/>
      </c>
      <c r="AC34">
        <f>IF(COUNTIF(Material_Detail!$DE:$DE,$A34)&gt;0,IF(ISNUMBER(SEARCH("[済]",INDEX(Material_Detail!$D:$DC,MATCH($A34,Material_Detail!$DE:$DE,0)+1,28))),0,IFERROR(INDEX(Material_Detail!$D:$DC,MATCH($A34,Material_Detail!$DE:$DE,0),28),0)),SUMIFS(T_Shipments[Confirmed_Qty],T_Shipments[Part Name],$A34,T_Shipments[Effective_Week],28))</f>
        <v/>
      </c>
      <c r="AD34">
        <f>IF(COUNTIF(Material_Detail!$DE:$DE,$A34)&gt;0,IF(ISNUMBER(SEARCH("[済]",INDEX(Material_Detail!$D:$DC,MATCH($A34,Material_Detail!$DE:$DE,0)+1,29))),0,IFERROR(INDEX(Material_Detail!$D:$DC,MATCH($A34,Material_Detail!$DE:$DE,0),29),0)),SUMIFS(T_Shipments[Confirmed_Qty],T_Shipments[Part Name],$A34,T_Shipments[Effective_Week],29))</f>
        <v/>
      </c>
      <c r="AE34">
        <f>IF(COUNTIF(Material_Detail!$DE:$DE,$A34)&gt;0,IF(ISNUMBER(SEARCH("[済]",INDEX(Material_Detail!$D:$DC,MATCH($A34,Material_Detail!$DE:$DE,0)+1,30))),0,IFERROR(INDEX(Material_Detail!$D:$DC,MATCH($A34,Material_Detail!$DE:$DE,0),30),0)),SUMIFS(T_Shipments[Confirmed_Qty],T_Shipments[Part Name],$A34,T_Shipments[Effective_Week],30))</f>
        <v/>
      </c>
      <c r="AF34">
        <f>IF(COUNTIF(Material_Detail!$DE:$DE,$A34)&gt;0,IF(ISNUMBER(SEARCH("[済]",INDEX(Material_Detail!$D:$DC,MATCH($A34,Material_Detail!$DE:$DE,0)+1,31))),0,IFERROR(INDEX(Material_Detail!$D:$DC,MATCH($A34,Material_Detail!$DE:$DE,0),31),0)),SUMIFS(T_Shipments[Confirmed_Qty],T_Shipments[Part Name],$A34,T_Shipments[Effective_Week],31))</f>
        <v/>
      </c>
      <c r="AG34">
        <f>IF(COUNTIF(Material_Detail!$DE:$DE,$A34)&gt;0,IF(ISNUMBER(SEARCH("[済]",INDEX(Material_Detail!$D:$DC,MATCH($A34,Material_Detail!$DE:$DE,0)+1,32))),0,IFERROR(INDEX(Material_Detail!$D:$DC,MATCH($A34,Material_Detail!$DE:$DE,0),32),0)),SUMIFS(T_Shipments[Confirmed_Qty],T_Shipments[Part Name],$A34,T_Shipments[Effective_Week],32))</f>
        <v/>
      </c>
      <c r="AH34">
        <f>IF(COUNTIF(Material_Detail!$DE:$DE,$A34)&gt;0,IF(ISNUMBER(SEARCH("[済]",INDEX(Material_Detail!$D:$DC,MATCH($A34,Material_Detail!$DE:$DE,0)+1,33))),0,IFERROR(INDEX(Material_Detail!$D:$DC,MATCH($A34,Material_Detail!$DE:$DE,0),33),0)),SUMIFS(T_Shipments[Confirmed_Qty],T_Shipments[Part Name],$A34,T_Shipments[Effective_Week],33))</f>
        <v/>
      </c>
      <c r="AI34">
        <f>IF(COUNTIF(Material_Detail!$DE:$DE,$A34)&gt;0,IF(ISNUMBER(SEARCH("[済]",INDEX(Material_Detail!$D:$DC,MATCH($A34,Material_Detail!$DE:$DE,0)+1,34))),0,IFERROR(INDEX(Material_Detail!$D:$DC,MATCH($A34,Material_Detail!$DE:$DE,0),34),0)),SUMIFS(T_Shipments[Confirmed_Qty],T_Shipments[Part Name],$A34,T_Shipments[Effective_Week],34))</f>
        <v/>
      </c>
      <c r="AJ34">
        <f>IF(COUNTIF(Material_Detail!$DE:$DE,$A34)&gt;0,IF(ISNUMBER(SEARCH("[済]",INDEX(Material_Detail!$D:$DC,MATCH($A34,Material_Detail!$DE:$DE,0)+1,35))),0,IFERROR(INDEX(Material_Detail!$D:$DC,MATCH($A34,Material_Detail!$DE:$DE,0),35),0)),SUMIFS(T_Shipments[Confirmed_Qty],T_Shipments[Part Name],$A34,T_Shipments[Effective_Week],35))</f>
        <v/>
      </c>
      <c r="AK34">
        <f>IF(COUNTIF(Material_Detail!$DE:$DE,$A34)&gt;0,IF(ISNUMBER(SEARCH("[済]",INDEX(Material_Detail!$D:$DC,MATCH($A34,Material_Detail!$DE:$DE,0)+1,36))),0,IFERROR(INDEX(Material_Detail!$D:$DC,MATCH($A34,Material_Detail!$DE:$DE,0),36),0)),SUMIFS(T_Shipments[Confirmed_Qty],T_Shipments[Part Name],$A34,T_Shipments[Effective_Week],36))</f>
        <v/>
      </c>
      <c r="AL34">
        <f>IF(COUNTIF(Material_Detail!$DE:$DE,$A34)&gt;0,IF(ISNUMBER(SEARCH("[済]",INDEX(Material_Detail!$D:$DC,MATCH($A34,Material_Detail!$DE:$DE,0)+1,37))),0,IFERROR(INDEX(Material_Detail!$D:$DC,MATCH($A34,Material_Detail!$DE:$DE,0),37),0)),SUMIFS(T_Shipments[Confirmed_Qty],T_Shipments[Part Name],$A34,T_Shipments[Effective_Week],37))</f>
        <v/>
      </c>
      <c r="AM34">
        <f>IF(COUNTIF(Material_Detail!$DE:$DE,$A34)&gt;0,IF(ISNUMBER(SEARCH("[済]",INDEX(Material_Detail!$D:$DC,MATCH($A34,Material_Detail!$DE:$DE,0)+1,38))),0,IFERROR(INDEX(Material_Detail!$D:$DC,MATCH($A34,Material_Detail!$DE:$DE,0),38),0)),SUMIFS(T_Shipments[Confirmed_Qty],T_Shipments[Part Name],$A34,T_Shipments[Effective_Week],38))</f>
        <v/>
      </c>
      <c r="AN34">
        <f>IF(COUNTIF(Material_Detail!$DE:$DE,$A34)&gt;0,IF(ISNUMBER(SEARCH("[済]",INDEX(Material_Detail!$D:$DC,MATCH($A34,Material_Detail!$DE:$DE,0)+1,39))),0,IFERROR(INDEX(Material_Detail!$D:$DC,MATCH($A34,Material_Detail!$DE:$DE,0),39),0)),SUMIFS(T_Shipments[Confirmed_Qty],T_Shipments[Part Name],$A34,T_Shipments[Effective_Week],39))</f>
        <v/>
      </c>
      <c r="AO34">
        <f>IF(COUNTIF(Material_Detail!$DE:$DE,$A34)&gt;0,IF(ISNUMBER(SEARCH("[済]",INDEX(Material_Detail!$D:$DC,MATCH($A34,Material_Detail!$DE:$DE,0)+1,40))),0,IFERROR(INDEX(Material_Detail!$D:$DC,MATCH($A34,Material_Detail!$DE:$DE,0),40),0)),SUMIFS(T_Shipments[Confirmed_Qty],T_Shipments[Part Name],$A34,T_Shipments[Effective_Week],40))</f>
        <v/>
      </c>
      <c r="AP34">
        <f>IF(COUNTIF(Material_Detail!$DE:$DE,$A34)&gt;0,IF(ISNUMBER(SEARCH("[済]",INDEX(Material_Detail!$D:$DC,MATCH($A34,Material_Detail!$DE:$DE,0)+1,41))),0,IFERROR(INDEX(Material_Detail!$D:$DC,MATCH($A34,Material_Detail!$DE:$DE,0),41),0)),SUMIFS(T_Shipments[Confirmed_Qty],T_Shipments[Part Name],$A34,T_Shipments[Effective_Week],41))</f>
        <v/>
      </c>
      <c r="AQ34">
        <f>IF(COUNTIF(Material_Detail!$DE:$DE,$A34)&gt;0,IF(ISNUMBER(SEARCH("[済]",INDEX(Material_Detail!$D:$DC,MATCH($A34,Material_Detail!$DE:$DE,0)+1,42))),0,IFERROR(INDEX(Material_Detail!$D:$DC,MATCH($A34,Material_Detail!$DE:$DE,0),42),0)),SUMIFS(T_Shipments[Confirmed_Qty],T_Shipments[Part Name],$A34,T_Shipments[Effective_Week],42))</f>
        <v/>
      </c>
      <c r="AR34">
        <f>IF(COUNTIF(Material_Detail!$DE:$DE,$A34)&gt;0,IF(ISNUMBER(SEARCH("[済]",INDEX(Material_Detail!$D:$DC,MATCH($A34,Material_Detail!$DE:$DE,0)+1,43))),0,IFERROR(INDEX(Material_Detail!$D:$DC,MATCH($A34,Material_Detail!$DE:$DE,0),43),0)),SUMIFS(T_Shipments[Confirmed_Qty],T_Shipments[Part Name],$A34,T_Shipments[Effective_Week],43))</f>
        <v/>
      </c>
      <c r="AS34">
        <f>IF(COUNTIF(Material_Detail!$DE:$DE,$A34)&gt;0,IF(ISNUMBER(SEARCH("[済]",INDEX(Material_Detail!$D:$DC,MATCH($A34,Material_Detail!$DE:$DE,0)+1,44))),0,IFERROR(INDEX(Material_Detail!$D:$DC,MATCH($A34,Material_Detail!$DE:$DE,0),44),0)),SUMIFS(T_Shipments[Confirmed_Qty],T_Shipments[Part Name],$A34,T_Shipments[Effective_Week],44))</f>
        <v/>
      </c>
      <c r="AT34">
        <f>IF(COUNTIF(Material_Detail!$DE:$DE,$A34)&gt;0,IF(ISNUMBER(SEARCH("[済]",INDEX(Material_Detail!$D:$DC,MATCH($A34,Material_Detail!$DE:$DE,0)+1,45))),0,IFERROR(INDEX(Material_Detail!$D:$DC,MATCH($A34,Material_Detail!$DE:$DE,0),45),0)),SUMIFS(T_Shipments[Confirmed_Qty],T_Shipments[Part Name],$A34,T_Shipments[Effective_Week],45))</f>
        <v/>
      </c>
      <c r="AU34">
        <f>IF(COUNTIF(Material_Detail!$DE:$DE,$A34)&gt;0,IF(ISNUMBER(SEARCH("[済]",INDEX(Material_Detail!$D:$DC,MATCH($A34,Material_Detail!$DE:$DE,0)+1,46))),0,IFERROR(INDEX(Material_Detail!$D:$DC,MATCH($A34,Material_Detail!$DE:$DE,0),46),0)),SUMIFS(T_Shipments[Confirmed_Qty],T_Shipments[Part Name],$A34,T_Shipments[Effective_Week],46))</f>
        <v/>
      </c>
      <c r="AV34">
        <f>IF(COUNTIF(Material_Detail!$DE:$DE,$A34)&gt;0,IF(ISNUMBER(SEARCH("[済]",INDEX(Material_Detail!$D:$DC,MATCH($A34,Material_Detail!$DE:$DE,0)+1,47))),0,IFERROR(INDEX(Material_Detail!$D:$DC,MATCH($A34,Material_Detail!$DE:$DE,0),47),0)),SUMIFS(T_Shipments[Confirmed_Qty],T_Shipments[Part Name],$A34,T_Shipments[Effective_Week],47))</f>
        <v/>
      </c>
      <c r="AW34">
        <f>IF(COUNTIF(Material_Detail!$DE:$DE,$A34)&gt;0,IF(ISNUMBER(SEARCH("[済]",INDEX(Material_Detail!$D:$DC,MATCH($A34,Material_Detail!$DE:$DE,0)+1,48))),0,IFERROR(INDEX(Material_Detail!$D:$DC,MATCH($A34,Material_Detail!$DE:$DE,0),48),0)),SUMIFS(T_Shipments[Confirmed_Qty],T_Shipments[Part Name],$A34,T_Shipments[Effective_Week],48))</f>
        <v/>
      </c>
      <c r="AX34">
        <f>IF(COUNTIF(Material_Detail!$DE:$DE,$A34)&gt;0,IF(ISNUMBER(SEARCH("[済]",INDEX(Material_Detail!$D:$DC,MATCH($A34,Material_Detail!$DE:$DE,0)+1,49))),0,IFERROR(INDEX(Material_Detail!$D:$DC,MATCH($A34,Material_Detail!$DE:$DE,0),49),0)),SUMIFS(T_Shipments[Confirmed_Qty],T_Shipments[Part Name],$A34,T_Shipments[Effective_Week],49))</f>
        <v/>
      </c>
      <c r="AY34">
        <f>IF(COUNTIF(Material_Detail!$DE:$DE,$A34)&gt;0,IF(ISNUMBER(SEARCH("[済]",INDEX(Material_Detail!$D:$DC,MATCH($A34,Material_Detail!$DE:$DE,0)+1,50))),0,IFERROR(INDEX(Material_Detail!$D:$DC,MATCH($A34,Material_Detail!$DE:$DE,0),50),0)),SUMIFS(T_Shipments[Confirmed_Qty],T_Shipments[Part Name],$A34,T_Shipments[Effective_Week],50))</f>
        <v/>
      </c>
      <c r="AZ34">
        <f>IF(COUNTIF(Material_Detail!$DE:$DE,$A34)&gt;0,IF(ISNUMBER(SEARCH("[済]",INDEX(Material_Detail!$D:$DC,MATCH($A34,Material_Detail!$DE:$DE,0)+1,51))),0,IFERROR(INDEX(Material_Detail!$D:$DC,MATCH($A34,Material_Detail!$DE:$DE,0),51),0)),SUMIFS(T_Shipments[Confirmed_Qty],T_Shipments[Part Name],$A34,T_Shipments[Effective_Week],51))</f>
        <v/>
      </c>
      <c r="BA34">
        <f>IF(COUNTIF(Material_Detail!$DE:$DE,$A34)&gt;0,IF(ISNUMBER(SEARCH("[済]",INDEX(Material_Detail!$D:$DC,MATCH($A34,Material_Detail!$DE:$DE,0)+1,52))),0,IFERROR(INDEX(Material_Detail!$D:$DC,MATCH($A34,Material_Detail!$DE:$DE,0),52),0)),SUMIFS(T_Shipments[Confirmed_Qty],T_Shipments[Part Name],$A34,T_Shipments[Effective_Week],52))</f>
        <v/>
      </c>
      <c r="BB34">
        <f>IF(COUNTIF(Material_Detail!$DE:$DE,$A34)&gt;0,IF(ISNUMBER(SEARCH("[済]",INDEX(Material_Detail!$D:$DC,MATCH($A34,Material_Detail!$DE:$DE,0)+1,53))),0,IFERROR(INDEX(Material_Detail!$D:$DC,MATCH($A34,Material_Detail!$DE:$DE,0),53),0)),SUMIFS(T_Shipments[Confirmed_Qty],T_Shipments[Part Name],$A34,T_Shipments[Effective_Week],53))</f>
        <v/>
      </c>
      <c r="BC34">
        <f>IF(COUNTIF(Material_Detail!$DE:$DE,$A34)&gt;0,IF(ISNUMBER(SEARCH("[済]",INDEX(Material_Detail!$D:$DC,MATCH($A34,Material_Detail!$DE:$DE,0)+1,54))),0,IFERROR(INDEX(Material_Detail!$D:$DC,MATCH($A34,Material_Detail!$DE:$DE,0),54),0)),SUMIFS(T_Shipments[Confirmed_Qty],T_Shipments[Part Name],$A34,T_Shipments[Effective_Week],54))</f>
        <v/>
      </c>
      <c r="BD34">
        <f>IF(COUNTIF(Material_Detail!$DE:$DE,$A34)&gt;0,IF(ISNUMBER(SEARCH("[済]",INDEX(Material_Detail!$D:$DC,MATCH($A34,Material_Detail!$DE:$DE,0)+1,55))),0,IFERROR(INDEX(Material_Detail!$D:$DC,MATCH($A34,Material_Detail!$DE:$DE,0),55),0)),SUMIFS(T_Shipments[Confirmed_Qty],T_Shipments[Part Name],$A34,T_Shipments[Effective_Week],55))</f>
        <v/>
      </c>
      <c r="BE34">
        <f>IF(COUNTIF(Material_Detail!$DE:$DE,$A34)&gt;0,IF(ISNUMBER(SEARCH("[済]",INDEX(Material_Detail!$D:$DC,MATCH($A34,Material_Detail!$DE:$DE,0)+1,56))),0,IFERROR(INDEX(Material_Detail!$D:$DC,MATCH($A34,Material_Detail!$DE:$DE,0),56),0)),SUMIFS(T_Shipments[Confirmed_Qty],T_Shipments[Part Name],$A34,T_Shipments[Effective_Week],56))</f>
        <v/>
      </c>
      <c r="BF34">
        <f>IF(COUNTIF(Material_Detail!$DE:$DE,$A34)&gt;0,IF(ISNUMBER(SEARCH("[済]",INDEX(Material_Detail!$D:$DC,MATCH($A34,Material_Detail!$DE:$DE,0)+1,57))),0,IFERROR(INDEX(Material_Detail!$D:$DC,MATCH($A34,Material_Detail!$DE:$DE,0),57),0)),SUMIFS(T_Shipments[Confirmed_Qty],T_Shipments[Part Name],$A34,T_Shipments[Effective_Week],57))</f>
        <v/>
      </c>
      <c r="BG34">
        <f>IF(COUNTIF(Material_Detail!$DE:$DE,$A34)&gt;0,IF(ISNUMBER(SEARCH("[済]",INDEX(Material_Detail!$D:$DC,MATCH($A34,Material_Detail!$DE:$DE,0)+1,58))),0,IFERROR(INDEX(Material_Detail!$D:$DC,MATCH($A34,Material_Detail!$DE:$DE,0),58),0)),SUMIFS(T_Shipments[Confirmed_Qty],T_Shipments[Part Name],$A34,T_Shipments[Effective_Week],58))</f>
        <v/>
      </c>
      <c r="BH34">
        <f>IF(COUNTIF(Material_Detail!$DE:$DE,$A34)&gt;0,IF(ISNUMBER(SEARCH("[済]",INDEX(Material_Detail!$D:$DC,MATCH($A34,Material_Detail!$DE:$DE,0)+1,59))),0,IFERROR(INDEX(Material_Detail!$D:$DC,MATCH($A34,Material_Detail!$DE:$DE,0),59),0)),SUMIFS(T_Shipments[Confirmed_Qty],T_Shipments[Part Name],$A34,T_Shipments[Effective_Week],59))</f>
        <v/>
      </c>
      <c r="BI34">
        <f>IF(COUNTIF(Material_Detail!$DE:$DE,$A34)&gt;0,IF(ISNUMBER(SEARCH("[済]",INDEX(Material_Detail!$D:$DC,MATCH($A34,Material_Detail!$DE:$DE,0)+1,60))),0,IFERROR(INDEX(Material_Detail!$D:$DC,MATCH($A34,Material_Detail!$DE:$DE,0),60),0)),SUMIFS(T_Shipments[Confirmed_Qty],T_Shipments[Part Name],$A34,T_Shipments[Effective_Week],60))</f>
        <v/>
      </c>
      <c r="BJ34">
        <f>IF(COUNTIF(Material_Detail!$DE:$DE,$A34)&gt;0,IF(ISNUMBER(SEARCH("[済]",INDEX(Material_Detail!$D:$DC,MATCH($A34,Material_Detail!$DE:$DE,0)+1,61))),0,IFERROR(INDEX(Material_Detail!$D:$DC,MATCH($A34,Material_Detail!$DE:$DE,0),61),0)),SUMIFS(T_Shipments[Confirmed_Qty],T_Shipments[Part Name],$A34,T_Shipments[Effective_Week],61))</f>
        <v/>
      </c>
      <c r="BK34">
        <f>IF(COUNTIF(Material_Detail!$DE:$DE,$A34)&gt;0,IF(ISNUMBER(SEARCH("[済]",INDEX(Material_Detail!$D:$DC,MATCH($A34,Material_Detail!$DE:$DE,0)+1,62))),0,IFERROR(INDEX(Material_Detail!$D:$DC,MATCH($A34,Material_Detail!$DE:$DE,0),62),0)),SUMIFS(T_Shipments[Confirmed_Qty],T_Shipments[Part Name],$A34,T_Shipments[Effective_Week],62))</f>
        <v/>
      </c>
      <c r="BL34">
        <f>IF(COUNTIF(Material_Detail!$DE:$DE,$A34)&gt;0,IF(ISNUMBER(SEARCH("[済]",INDEX(Material_Detail!$D:$DC,MATCH($A34,Material_Detail!$DE:$DE,0)+1,63))),0,IFERROR(INDEX(Material_Detail!$D:$DC,MATCH($A34,Material_Detail!$DE:$DE,0),63),0)),SUMIFS(T_Shipments[Confirmed_Qty],T_Shipments[Part Name],$A34,T_Shipments[Effective_Week],63))</f>
        <v/>
      </c>
      <c r="BM34">
        <f>IF(COUNTIF(Material_Detail!$DE:$DE,$A34)&gt;0,IF(ISNUMBER(SEARCH("[済]",INDEX(Material_Detail!$D:$DC,MATCH($A34,Material_Detail!$DE:$DE,0)+1,64))),0,IFERROR(INDEX(Material_Detail!$D:$DC,MATCH($A34,Material_Detail!$DE:$DE,0),64),0)),SUMIFS(T_Shipments[Confirmed_Qty],T_Shipments[Part Name],$A34,T_Shipments[Effective_Week],64))</f>
        <v/>
      </c>
      <c r="BN34">
        <f>IF(COUNTIF(Material_Detail!$DE:$DE,$A34)&gt;0,IF(ISNUMBER(SEARCH("[済]",INDEX(Material_Detail!$D:$DC,MATCH($A34,Material_Detail!$DE:$DE,0)+1,65))),0,IFERROR(INDEX(Material_Detail!$D:$DC,MATCH($A34,Material_Detail!$DE:$DE,0),65),0)),SUMIFS(T_Shipments[Confirmed_Qty],T_Shipments[Part Name],$A34,T_Shipments[Effective_Week],65))</f>
        <v/>
      </c>
      <c r="BO34">
        <f>IF(COUNTIF(Material_Detail!$DE:$DE,$A34)&gt;0,IF(ISNUMBER(SEARCH("[済]",INDEX(Material_Detail!$D:$DC,MATCH($A34,Material_Detail!$DE:$DE,0)+1,66))),0,IFERROR(INDEX(Material_Detail!$D:$DC,MATCH($A34,Material_Detail!$DE:$DE,0),66),0)),SUMIFS(T_Shipments[Confirmed_Qty],T_Shipments[Part Name],$A34,T_Shipments[Effective_Week],66))</f>
        <v/>
      </c>
      <c r="BP34">
        <f>IF(COUNTIF(Material_Detail!$DE:$DE,$A34)&gt;0,IF(ISNUMBER(SEARCH("[済]",INDEX(Material_Detail!$D:$DC,MATCH($A34,Material_Detail!$DE:$DE,0)+1,67))),0,IFERROR(INDEX(Material_Detail!$D:$DC,MATCH($A34,Material_Detail!$DE:$DE,0),67),0)),SUMIFS(T_Shipments[Confirmed_Qty],T_Shipments[Part Name],$A34,T_Shipments[Effective_Week],67))</f>
        <v/>
      </c>
      <c r="BQ34">
        <f>IF(COUNTIF(Material_Detail!$DE:$DE,$A34)&gt;0,IF(ISNUMBER(SEARCH("[済]",INDEX(Material_Detail!$D:$DC,MATCH($A34,Material_Detail!$DE:$DE,0)+1,68))),0,IFERROR(INDEX(Material_Detail!$D:$DC,MATCH($A34,Material_Detail!$DE:$DE,0),68),0)),SUMIFS(T_Shipments[Confirmed_Qty],T_Shipments[Part Name],$A34,T_Shipments[Effective_Week],68))</f>
        <v/>
      </c>
      <c r="BR34">
        <f>IF(COUNTIF(Material_Detail!$DE:$DE,$A34)&gt;0,IF(ISNUMBER(SEARCH("[済]",INDEX(Material_Detail!$D:$DC,MATCH($A34,Material_Detail!$DE:$DE,0)+1,69))),0,IFERROR(INDEX(Material_Detail!$D:$DC,MATCH($A34,Material_Detail!$DE:$DE,0),69),0)),SUMIFS(T_Shipments[Confirmed_Qty],T_Shipments[Part Name],$A34,T_Shipments[Effective_Week],69))</f>
        <v/>
      </c>
      <c r="BS34">
        <f>IF(COUNTIF(Material_Detail!$DE:$DE,$A34)&gt;0,IF(ISNUMBER(SEARCH("[済]",INDEX(Material_Detail!$D:$DC,MATCH($A34,Material_Detail!$DE:$DE,0)+1,70))),0,IFERROR(INDEX(Material_Detail!$D:$DC,MATCH($A34,Material_Detail!$DE:$DE,0),70),0)),SUMIFS(T_Shipments[Confirmed_Qty],T_Shipments[Part Name],$A34,T_Shipments[Effective_Week],70))</f>
        <v/>
      </c>
      <c r="BT34">
        <f>IF(COUNTIF(Material_Detail!$DE:$DE,$A34)&gt;0,IF(ISNUMBER(SEARCH("[済]",INDEX(Material_Detail!$D:$DC,MATCH($A34,Material_Detail!$DE:$DE,0)+1,71))),0,IFERROR(INDEX(Material_Detail!$D:$DC,MATCH($A34,Material_Detail!$DE:$DE,0),71),0)),SUMIFS(T_Shipments[Confirmed_Qty],T_Shipments[Part Name],$A34,T_Shipments[Effective_Week],71))</f>
        <v/>
      </c>
      <c r="BU34">
        <f>IF(COUNTIF(Material_Detail!$DE:$DE,$A34)&gt;0,IF(ISNUMBER(SEARCH("[済]",INDEX(Material_Detail!$D:$DC,MATCH($A34,Material_Detail!$DE:$DE,0)+1,72))),0,IFERROR(INDEX(Material_Detail!$D:$DC,MATCH($A34,Material_Detail!$DE:$DE,0),72),0)),SUMIFS(T_Shipments[Confirmed_Qty],T_Shipments[Part Name],$A34,T_Shipments[Effective_Week],72))</f>
        <v/>
      </c>
      <c r="BV34">
        <f>IF(COUNTIF(Material_Detail!$DE:$DE,$A34)&gt;0,IF(ISNUMBER(SEARCH("[済]",INDEX(Material_Detail!$D:$DC,MATCH($A34,Material_Detail!$DE:$DE,0)+1,73))),0,IFERROR(INDEX(Material_Detail!$D:$DC,MATCH($A34,Material_Detail!$DE:$DE,0),73),0)),SUMIFS(T_Shipments[Confirmed_Qty],T_Shipments[Part Name],$A34,T_Shipments[Effective_Week],73))</f>
        <v/>
      </c>
      <c r="BW34">
        <f>IF(COUNTIF(Material_Detail!$DE:$DE,$A34)&gt;0,IF(ISNUMBER(SEARCH("[済]",INDEX(Material_Detail!$D:$DC,MATCH($A34,Material_Detail!$DE:$DE,0)+1,74))),0,IFERROR(INDEX(Material_Detail!$D:$DC,MATCH($A34,Material_Detail!$DE:$DE,0),74),0)),SUMIFS(T_Shipments[Confirmed_Qty],T_Shipments[Part Name],$A34,T_Shipments[Effective_Week],74))</f>
        <v/>
      </c>
      <c r="BX34">
        <f>IF(COUNTIF(Material_Detail!$DE:$DE,$A34)&gt;0,IF(ISNUMBER(SEARCH("[済]",INDEX(Material_Detail!$D:$DC,MATCH($A34,Material_Detail!$DE:$DE,0)+1,75))),0,IFERROR(INDEX(Material_Detail!$D:$DC,MATCH($A34,Material_Detail!$DE:$DE,0),75),0)),SUMIFS(T_Shipments[Confirmed_Qty],T_Shipments[Part Name],$A34,T_Shipments[Effective_Week],75))</f>
        <v/>
      </c>
      <c r="BY34">
        <f>IF(COUNTIF(Material_Detail!$DE:$DE,$A34)&gt;0,IF(ISNUMBER(SEARCH("[済]",INDEX(Material_Detail!$D:$DC,MATCH($A34,Material_Detail!$DE:$DE,0)+1,76))),0,IFERROR(INDEX(Material_Detail!$D:$DC,MATCH($A34,Material_Detail!$DE:$DE,0),76),0)),SUMIFS(T_Shipments[Confirmed_Qty],T_Shipments[Part Name],$A34,T_Shipments[Effective_Week],76))</f>
        <v/>
      </c>
      <c r="BZ34">
        <f>IF(COUNTIF(Material_Detail!$DE:$DE,$A34)&gt;0,IF(ISNUMBER(SEARCH("[済]",INDEX(Material_Detail!$D:$DC,MATCH($A34,Material_Detail!$DE:$DE,0)+1,77))),0,IFERROR(INDEX(Material_Detail!$D:$DC,MATCH($A34,Material_Detail!$DE:$DE,0),77),0)),SUMIFS(T_Shipments[Confirmed_Qty],T_Shipments[Part Name],$A34,T_Shipments[Effective_Week],77))</f>
        <v/>
      </c>
      <c r="CA34">
        <f>IF(COUNTIF(Material_Detail!$DE:$DE,$A34)&gt;0,IF(ISNUMBER(SEARCH("[済]",INDEX(Material_Detail!$D:$DC,MATCH($A34,Material_Detail!$DE:$DE,0)+1,78))),0,IFERROR(INDEX(Material_Detail!$D:$DC,MATCH($A34,Material_Detail!$DE:$DE,0),78),0)),SUMIFS(T_Shipments[Confirmed_Qty],T_Shipments[Part Name],$A34,T_Shipments[Effective_Week],78))</f>
        <v/>
      </c>
      <c r="CB34">
        <f>IF(COUNTIF(Material_Detail!$DE:$DE,$A34)&gt;0,IF(ISNUMBER(SEARCH("[済]",INDEX(Material_Detail!$D:$DC,MATCH($A34,Material_Detail!$DE:$DE,0)+1,79))),0,IFERROR(INDEX(Material_Detail!$D:$DC,MATCH($A34,Material_Detail!$DE:$DE,0),79),0)),SUMIFS(T_Shipments[Confirmed_Qty],T_Shipments[Part Name],$A34,T_Shipments[Effective_Week],79))</f>
        <v/>
      </c>
      <c r="CC34">
        <f>IF(COUNTIF(Material_Detail!$DE:$DE,$A34)&gt;0,IF(ISNUMBER(SEARCH("[済]",INDEX(Material_Detail!$D:$DC,MATCH($A34,Material_Detail!$DE:$DE,0)+1,80))),0,IFERROR(INDEX(Material_Detail!$D:$DC,MATCH($A34,Material_Detail!$DE:$DE,0),80),0)),SUMIFS(T_Shipments[Confirmed_Qty],T_Shipments[Part Name],$A34,T_Shipments[Effective_Week],80))</f>
        <v/>
      </c>
      <c r="CD34">
        <f>IF(COUNTIF(Material_Detail!$DE:$DE,$A34)&gt;0,IF(ISNUMBER(SEARCH("[済]",INDEX(Material_Detail!$D:$DC,MATCH($A34,Material_Detail!$DE:$DE,0)+1,81))),0,IFERROR(INDEX(Material_Detail!$D:$DC,MATCH($A34,Material_Detail!$DE:$DE,0),81),0)),SUMIFS(T_Shipments[Confirmed_Qty],T_Shipments[Part Name],$A34,T_Shipments[Effective_Week],81))</f>
        <v/>
      </c>
      <c r="CE34">
        <f>IF(COUNTIF(Material_Detail!$DE:$DE,$A34)&gt;0,IF(ISNUMBER(SEARCH("[済]",INDEX(Material_Detail!$D:$DC,MATCH($A34,Material_Detail!$DE:$DE,0)+1,82))),0,IFERROR(INDEX(Material_Detail!$D:$DC,MATCH($A34,Material_Detail!$DE:$DE,0),82),0)),SUMIFS(T_Shipments[Confirmed_Qty],T_Shipments[Part Name],$A34,T_Shipments[Effective_Week],82))</f>
        <v/>
      </c>
      <c r="CF34">
        <f>IF(COUNTIF(Material_Detail!$DE:$DE,$A34)&gt;0,IF(ISNUMBER(SEARCH("[済]",INDEX(Material_Detail!$D:$DC,MATCH($A34,Material_Detail!$DE:$DE,0)+1,83))),0,IFERROR(INDEX(Material_Detail!$D:$DC,MATCH($A34,Material_Detail!$DE:$DE,0),83),0)),SUMIFS(T_Shipments[Confirmed_Qty],T_Shipments[Part Name],$A34,T_Shipments[Effective_Week],83))</f>
        <v/>
      </c>
      <c r="CG34">
        <f>IF(COUNTIF(Material_Detail!$DE:$DE,$A34)&gt;0,IF(ISNUMBER(SEARCH("[済]",INDEX(Material_Detail!$D:$DC,MATCH($A34,Material_Detail!$DE:$DE,0)+1,84))),0,IFERROR(INDEX(Material_Detail!$D:$DC,MATCH($A34,Material_Detail!$DE:$DE,0),84),0)),SUMIFS(T_Shipments[Confirmed_Qty],T_Shipments[Part Name],$A34,T_Shipments[Effective_Week],84))</f>
        <v/>
      </c>
      <c r="CH34">
        <f>IF(COUNTIF(Material_Detail!$DE:$DE,$A34)&gt;0,IF(ISNUMBER(SEARCH("[済]",INDEX(Material_Detail!$D:$DC,MATCH($A34,Material_Detail!$DE:$DE,0)+1,85))),0,IFERROR(INDEX(Material_Detail!$D:$DC,MATCH($A34,Material_Detail!$DE:$DE,0),85),0)),SUMIFS(T_Shipments[Confirmed_Qty],T_Shipments[Part Name],$A34,T_Shipments[Effective_Week],85))</f>
        <v/>
      </c>
      <c r="CI34">
        <f>IF(COUNTIF(Material_Detail!$DE:$DE,$A34)&gt;0,IF(ISNUMBER(SEARCH("[済]",INDEX(Material_Detail!$D:$DC,MATCH($A34,Material_Detail!$DE:$DE,0)+1,86))),0,IFERROR(INDEX(Material_Detail!$D:$DC,MATCH($A34,Material_Detail!$DE:$DE,0),86),0)),SUMIFS(T_Shipments[Confirmed_Qty],T_Shipments[Part Name],$A34,T_Shipments[Effective_Week],86))</f>
        <v/>
      </c>
      <c r="CJ34">
        <f>IF(COUNTIF(Material_Detail!$DE:$DE,$A34)&gt;0,IF(ISNUMBER(SEARCH("[済]",INDEX(Material_Detail!$D:$DC,MATCH($A34,Material_Detail!$DE:$DE,0)+1,87))),0,IFERROR(INDEX(Material_Detail!$D:$DC,MATCH($A34,Material_Detail!$DE:$DE,0),87),0)),SUMIFS(T_Shipments[Confirmed_Qty],T_Shipments[Part Name],$A34,T_Shipments[Effective_Week],87))</f>
        <v/>
      </c>
      <c r="CK34">
        <f>IF(COUNTIF(Material_Detail!$DE:$DE,$A34)&gt;0,IF(ISNUMBER(SEARCH("[済]",INDEX(Material_Detail!$D:$DC,MATCH($A34,Material_Detail!$DE:$DE,0)+1,88))),0,IFERROR(INDEX(Material_Detail!$D:$DC,MATCH($A34,Material_Detail!$DE:$DE,0),88),0)),SUMIFS(T_Shipments[Confirmed_Qty],T_Shipments[Part Name],$A34,T_Shipments[Effective_Week],88))</f>
        <v/>
      </c>
      <c r="CL34">
        <f>IF(COUNTIF(Material_Detail!$DE:$DE,$A34)&gt;0,IF(ISNUMBER(SEARCH("[済]",INDEX(Material_Detail!$D:$DC,MATCH($A34,Material_Detail!$DE:$DE,0)+1,89))),0,IFERROR(INDEX(Material_Detail!$D:$DC,MATCH($A34,Material_Detail!$DE:$DE,0),89),0)),SUMIFS(T_Shipments[Confirmed_Qty],T_Shipments[Part Name],$A34,T_Shipments[Effective_Week],89))</f>
        <v/>
      </c>
      <c r="CM34">
        <f>IF(COUNTIF(Material_Detail!$DE:$DE,$A34)&gt;0,IF(ISNUMBER(SEARCH("[済]",INDEX(Material_Detail!$D:$DC,MATCH($A34,Material_Detail!$DE:$DE,0)+1,90))),0,IFERROR(INDEX(Material_Detail!$D:$DC,MATCH($A34,Material_Detail!$DE:$DE,0),90),0)),SUMIFS(T_Shipments[Confirmed_Qty],T_Shipments[Part Name],$A34,T_Shipments[Effective_Week],90))</f>
        <v/>
      </c>
      <c r="CN34">
        <f>IF(COUNTIF(Material_Detail!$DE:$DE,$A34)&gt;0,IF(ISNUMBER(SEARCH("[済]",INDEX(Material_Detail!$D:$DC,MATCH($A34,Material_Detail!$DE:$DE,0)+1,91))),0,IFERROR(INDEX(Material_Detail!$D:$DC,MATCH($A34,Material_Detail!$DE:$DE,0),91),0)),SUMIFS(T_Shipments[Confirmed_Qty],T_Shipments[Part Name],$A34,T_Shipments[Effective_Week],91))</f>
        <v/>
      </c>
      <c r="CO34">
        <f>IF(COUNTIF(Material_Detail!$DE:$DE,$A34)&gt;0,IF(ISNUMBER(SEARCH("[済]",INDEX(Material_Detail!$D:$DC,MATCH($A34,Material_Detail!$DE:$DE,0)+1,92))),0,IFERROR(INDEX(Material_Detail!$D:$DC,MATCH($A34,Material_Detail!$DE:$DE,0),92),0)),SUMIFS(T_Shipments[Confirmed_Qty],T_Shipments[Part Name],$A34,T_Shipments[Effective_Week],92))</f>
        <v/>
      </c>
      <c r="CP34">
        <f>IF(COUNTIF(Material_Detail!$DE:$DE,$A34)&gt;0,IF(ISNUMBER(SEARCH("[済]",INDEX(Material_Detail!$D:$DC,MATCH($A34,Material_Detail!$DE:$DE,0)+1,93))),0,IFERROR(INDEX(Material_Detail!$D:$DC,MATCH($A34,Material_Detail!$DE:$DE,0),93),0)),SUMIFS(T_Shipments[Confirmed_Qty],T_Shipments[Part Name],$A34,T_Shipments[Effective_Week],93))</f>
        <v/>
      </c>
      <c r="CQ34">
        <f>IF(COUNTIF(Material_Detail!$DE:$DE,$A34)&gt;0,IF(ISNUMBER(SEARCH("[済]",INDEX(Material_Detail!$D:$DC,MATCH($A34,Material_Detail!$DE:$DE,0)+1,94))),0,IFERROR(INDEX(Material_Detail!$D:$DC,MATCH($A34,Material_Detail!$DE:$DE,0),94),0)),SUMIFS(T_Shipments[Confirmed_Qty],T_Shipments[Part Name],$A34,T_Shipments[Effective_Week],94))</f>
        <v/>
      </c>
      <c r="CR34">
        <f>IF(COUNTIF(Material_Detail!$DE:$DE,$A34)&gt;0,IF(ISNUMBER(SEARCH("[済]",INDEX(Material_Detail!$D:$DC,MATCH($A34,Material_Detail!$DE:$DE,0)+1,95))),0,IFERROR(INDEX(Material_Detail!$D:$DC,MATCH($A34,Material_Detail!$DE:$DE,0),95),0)),SUMIFS(T_Shipments[Confirmed_Qty],T_Shipments[Part Name],$A34,T_Shipments[Effective_Week],95))</f>
        <v/>
      </c>
      <c r="CS34">
        <f>IF(COUNTIF(Material_Detail!$DE:$DE,$A34)&gt;0,IF(ISNUMBER(SEARCH("[済]",INDEX(Material_Detail!$D:$DC,MATCH($A34,Material_Detail!$DE:$DE,0)+1,96))),0,IFERROR(INDEX(Material_Detail!$D:$DC,MATCH($A34,Material_Detail!$DE:$DE,0),96),0)),SUMIFS(T_Shipments[Confirmed_Qty],T_Shipments[Part Name],$A34,T_Shipments[Effective_Week],96))</f>
        <v/>
      </c>
      <c r="CT34">
        <f>IF(COUNTIF(Material_Detail!$DE:$DE,$A34)&gt;0,IF(ISNUMBER(SEARCH("[済]",INDEX(Material_Detail!$D:$DC,MATCH($A34,Material_Detail!$DE:$DE,0)+1,97))),0,IFERROR(INDEX(Material_Detail!$D:$DC,MATCH($A34,Material_Detail!$DE:$DE,0),97),0)),SUMIFS(T_Shipments[Confirmed_Qty],T_Shipments[Part Name],$A34,T_Shipments[Effective_Week],97))</f>
        <v/>
      </c>
      <c r="CU34">
        <f>IF(COUNTIF(Material_Detail!$DE:$DE,$A34)&gt;0,IF(ISNUMBER(SEARCH("[済]",INDEX(Material_Detail!$D:$DC,MATCH($A34,Material_Detail!$DE:$DE,0)+1,98))),0,IFERROR(INDEX(Material_Detail!$D:$DC,MATCH($A34,Material_Detail!$DE:$DE,0),98),0)),SUMIFS(T_Shipments[Confirmed_Qty],T_Shipments[Part Name],$A34,T_Shipments[Effective_Week],98))</f>
        <v/>
      </c>
      <c r="CV34">
        <f>IF(COUNTIF(Material_Detail!$DE:$DE,$A34)&gt;0,IF(ISNUMBER(SEARCH("[済]",INDEX(Material_Detail!$D:$DC,MATCH($A34,Material_Detail!$DE:$DE,0)+1,99))),0,IFERROR(INDEX(Material_Detail!$D:$DC,MATCH($A34,Material_Detail!$DE:$DE,0),99),0)),SUMIFS(T_Shipments[Confirmed_Qty],T_Shipments[Part Name],$A34,T_Shipments[Effective_Week],99))</f>
        <v/>
      </c>
      <c r="CW34">
        <f>IF(COUNTIF(Material_Detail!$DE:$DE,$A34)&gt;0,IF(ISNUMBER(SEARCH("[済]",INDEX(Material_Detail!$D:$DC,MATCH($A34,Material_Detail!$DE:$DE,0)+1,100))),0,IFERROR(INDEX(Material_Detail!$D:$DC,MATCH($A34,Material_Detail!$DE:$DE,0),100),0)),SUMIFS(T_Shipments[Confirmed_Qty],T_Shipments[Part Name],$A34,T_Shipments[Effective_Week],100))</f>
        <v/>
      </c>
      <c r="CX34">
        <f>IF(COUNTIF(Material_Detail!$DE:$DE,$A34)&gt;0,IF(ISNUMBER(SEARCH("[済]",INDEX(Material_Detail!$D:$DC,MATCH($A34,Material_Detail!$DE:$DE,0)+1,101))),0,IFERROR(INDEX(Material_Detail!$D:$DC,MATCH($A34,Material_Detail!$DE:$DE,0),101),0)),SUMIFS(T_Shipments[Confirmed_Qty],T_Shipments[Part Name],$A34,T_Shipments[Effective_Week],101))</f>
        <v/>
      </c>
      <c r="CY34">
        <f>IF(COUNTIF(Material_Detail!$DE:$DE,$A34)&gt;0,IF(ISNUMBER(SEARCH("[済]",INDEX(Material_Detail!$D:$DC,MATCH($A34,Material_Detail!$DE:$DE,0)+1,102))),0,IFERROR(INDEX(Material_Detail!$D:$DC,MATCH($A34,Material_Detail!$DE:$DE,0),102),0)),SUMIFS(T_Shipments[Confirmed_Qty],T_Shipments[Part Name],$A34,T_Shipments[Effective_Week],102))</f>
        <v/>
      </c>
      <c r="CZ34">
        <f>IF(COUNTIF(Material_Detail!$DE:$DE,$A34)&gt;0,IF(ISNUMBER(SEARCH("[済]",INDEX(Material_Detail!$D:$DC,MATCH($A34,Material_Detail!$DE:$DE,0)+1,103))),0,IFERROR(INDEX(Material_Detail!$D:$DC,MATCH($A34,Material_Detail!$DE:$DE,0),103),0)),SUMIFS(T_Shipments[Confirmed_Qty],T_Shipments[Part Name],$A34,T_Shipments[Effective_Week],103))</f>
        <v/>
      </c>
      <c r="DA34">
        <f>IF(COUNTIF(Material_Detail!$DE:$DE,$A34)&gt;0,IF(ISNUMBER(SEARCH("[済]",INDEX(Material_Detail!$D:$DC,MATCH($A34,Material_Detail!$DE:$DE,0)+1,104))),0,IFERROR(INDEX(Material_Detail!$D:$DC,MATCH($A34,Material_Detail!$DE:$DE,0),104),0)),SUMIFS(T_Shipments[Confirmed_Qty],T_Shipments[Part Name],$A34,T_Shipments[Effective_Week],104))</f>
        <v/>
      </c>
    </row>
    <row r="35">
      <c r="A35" t="inlineStr">
        <is>
          <t>CHEM-1660</t>
        </is>
      </c>
      <c r="B35">
        <f>IF(COUNTIF(Material_Detail!$DE:$DE,$A35)&gt;0,IF(ISNUMBER(SEARCH("[済]",INDEX(Material_Detail!$D:$DC,MATCH($A35,Material_Detail!$DE:$DE,0)+1,1))),0,IFERROR(INDEX(Material_Detail!$D:$DC,MATCH($A35,Material_Detail!$DE:$DE,0),1),0)),SUMIFS(T_Shipments[Confirmed_Qty],T_Shipments[Part Name],$A35,T_Shipments[Effective_Week],1))</f>
        <v/>
      </c>
      <c r="C35">
        <f>IF(COUNTIF(Material_Detail!$DE:$DE,$A35)&gt;0,IF(ISNUMBER(SEARCH("[済]",INDEX(Material_Detail!$D:$DC,MATCH($A35,Material_Detail!$DE:$DE,0)+1,2))),0,IFERROR(INDEX(Material_Detail!$D:$DC,MATCH($A35,Material_Detail!$DE:$DE,0),2),0)),SUMIFS(T_Shipments[Confirmed_Qty],T_Shipments[Part Name],$A35,T_Shipments[Effective_Week],2))</f>
        <v/>
      </c>
      <c r="D35">
        <f>IF(COUNTIF(Material_Detail!$DE:$DE,$A35)&gt;0,IF(ISNUMBER(SEARCH("[済]",INDEX(Material_Detail!$D:$DC,MATCH($A35,Material_Detail!$DE:$DE,0)+1,3))),0,IFERROR(INDEX(Material_Detail!$D:$DC,MATCH($A35,Material_Detail!$DE:$DE,0),3),0)),SUMIFS(T_Shipments[Confirmed_Qty],T_Shipments[Part Name],$A35,T_Shipments[Effective_Week],3))</f>
        <v/>
      </c>
      <c r="E35">
        <f>IF(COUNTIF(Material_Detail!$DE:$DE,$A35)&gt;0,IF(ISNUMBER(SEARCH("[済]",INDEX(Material_Detail!$D:$DC,MATCH($A35,Material_Detail!$DE:$DE,0)+1,4))),0,IFERROR(INDEX(Material_Detail!$D:$DC,MATCH($A35,Material_Detail!$DE:$DE,0),4),0)),SUMIFS(T_Shipments[Confirmed_Qty],T_Shipments[Part Name],$A35,T_Shipments[Effective_Week],4))</f>
        <v/>
      </c>
      <c r="F35">
        <f>IF(COUNTIF(Material_Detail!$DE:$DE,$A35)&gt;0,IF(ISNUMBER(SEARCH("[済]",INDEX(Material_Detail!$D:$DC,MATCH($A35,Material_Detail!$DE:$DE,0)+1,5))),0,IFERROR(INDEX(Material_Detail!$D:$DC,MATCH($A35,Material_Detail!$DE:$DE,0),5),0)),SUMIFS(T_Shipments[Confirmed_Qty],T_Shipments[Part Name],$A35,T_Shipments[Effective_Week],5))</f>
        <v/>
      </c>
      <c r="G35">
        <f>IF(COUNTIF(Material_Detail!$DE:$DE,$A35)&gt;0,IF(ISNUMBER(SEARCH("[済]",INDEX(Material_Detail!$D:$DC,MATCH($A35,Material_Detail!$DE:$DE,0)+1,6))),0,IFERROR(INDEX(Material_Detail!$D:$DC,MATCH($A35,Material_Detail!$DE:$DE,0),6),0)),SUMIFS(T_Shipments[Confirmed_Qty],T_Shipments[Part Name],$A35,T_Shipments[Effective_Week],6))</f>
        <v/>
      </c>
      <c r="H35">
        <f>IF(COUNTIF(Material_Detail!$DE:$DE,$A35)&gt;0,IF(ISNUMBER(SEARCH("[済]",INDEX(Material_Detail!$D:$DC,MATCH($A35,Material_Detail!$DE:$DE,0)+1,7))),0,IFERROR(INDEX(Material_Detail!$D:$DC,MATCH($A35,Material_Detail!$DE:$DE,0),7),0)),SUMIFS(T_Shipments[Confirmed_Qty],T_Shipments[Part Name],$A35,T_Shipments[Effective_Week],7))</f>
        <v/>
      </c>
      <c r="I35">
        <f>IF(COUNTIF(Material_Detail!$DE:$DE,$A35)&gt;0,IF(ISNUMBER(SEARCH("[済]",INDEX(Material_Detail!$D:$DC,MATCH($A35,Material_Detail!$DE:$DE,0)+1,8))),0,IFERROR(INDEX(Material_Detail!$D:$DC,MATCH($A35,Material_Detail!$DE:$DE,0),8),0)),SUMIFS(T_Shipments[Confirmed_Qty],T_Shipments[Part Name],$A35,T_Shipments[Effective_Week],8))</f>
        <v/>
      </c>
      <c r="J35">
        <f>IF(COUNTIF(Material_Detail!$DE:$DE,$A35)&gt;0,IF(ISNUMBER(SEARCH("[済]",INDEX(Material_Detail!$D:$DC,MATCH($A35,Material_Detail!$DE:$DE,0)+1,9))),0,IFERROR(INDEX(Material_Detail!$D:$DC,MATCH($A35,Material_Detail!$DE:$DE,0),9),0)),SUMIFS(T_Shipments[Confirmed_Qty],T_Shipments[Part Name],$A35,T_Shipments[Effective_Week],9))</f>
        <v/>
      </c>
      <c r="K35">
        <f>IF(COUNTIF(Material_Detail!$DE:$DE,$A35)&gt;0,IF(ISNUMBER(SEARCH("[済]",INDEX(Material_Detail!$D:$DC,MATCH($A35,Material_Detail!$DE:$DE,0)+1,10))),0,IFERROR(INDEX(Material_Detail!$D:$DC,MATCH($A35,Material_Detail!$DE:$DE,0),10),0)),SUMIFS(T_Shipments[Confirmed_Qty],T_Shipments[Part Name],$A35,T_Shipments[Effective_Week],10))</f>
        <v/>
      </c>
      <c r="L35">
        <f>IF(COUNTIF(Material_Detail!$DE:$DE,$A35)&gt;0,IF(ISNUMBER(SEARCH("[済]",INDEX(Material_Detail!$D:$DC,MATCH($A35,Material_Detail!$DE:$DE,0)+1,11))),0,IFERROR(INDEX(Material_Detail!$D:$DC,MATCH($A35,Material_Detail!$DE:$DE,0),11),0)),SUMIFS(T_Shipments[Confirmed_Qty],T_Shipments[Part Name],$A35,T_Shipments[Effective_Week],11))</f>
        <v/>
      </c>
      <c r="M35">
        <f>IF(COUNTIF(Material_Detail!$DE:$DE,$A35)&gt;0,IF(ISNUMBER(SEARCH("[済]",INDEX(Material_Detail!$D:$DC,MATCH($A35,Material_Detail!$DE:$DE,0)+1,12))),0,IFERROR(INDEX(Material_Detail!$D:$DC,MATCH($A35,Material_Detail!$DE:$DE,0),12),0)),SUMIFS(T_Shipments[Confirmed_Qty],T_Shipments[Part Name],$A35,T_Shipments[Effective_Week],12))</f>
        <v/>
      </c>
      <c r="N35">
        <f>IF(COUNTIF(Material_Detail!$DE:$DE,$A35)&gt;0,IF(ISNUMBER(SEARCH("[済]",INDEX(Material_Detail!$D:$DC,MATCH($A35,Material_Detail!$DE:$DE,0)+1,13))),0,IFERROR(INDEX(Material_Detail!$D:$DC,MATCH($A35,Material_Detail!$DE:$DE,0),13),0)),SUMIFS(T_Shipments[Confirmed_Qty],T_Shipments[Part Name],$A35,T_Shipments[Effective_Week],13))</f>
        <v/>
      </c>
      <c r="O35">
        <f>IF(COUNTIF(Material_Detail!$DE:$DE,$A35)&gt;0,IF(ISNUMBER(SEARCH("[済]",INDEX(Material_Detail!$D:$DC,MATCH($A35,Material_Detail!$DE:$DE,0)+1,14))),0,IFERROR(INDEX(Material_Detail!$D:$DC,MATCH($A35,Material_Detail!$DE:$DE,0),14),0)),SUMIFS(T_Shipments[Confirmed_Qty],T_Shipments[Part Name],$A35,T_Shipments[Effective_Week],14))</f>
        <v/>
      </c>
      <c r="P35">
        <f>IF(COUNTIF(Material_Detail!$DE:$DE,$A35)&gt;0,IF(ISNUMBER(SEARCH("[済]",INDEX(Material_Detail!$D:$DC,MATCH($A35,Material_Detail!$DE:$DE,0)+1,15))),0,IFERROR(INDEX(Material_Detail!$D:$DC,MATCH($A35,Material_Detail!$DE:$DE,0),15),0)),SUMIFS(T_Shipments[Confirmed_Qty],T_Shipments[Part Name],$A35,T_Shipments[Effective_Week],15))</f>
        <v/>
      </c>
      <c r="Q35">
        <f>IF(COUNTIF(Material_Detail!$DE:$DE,$A35)&gt;0,IF(ISNUMBER(SEARCH("[済]",INDEX(Material_Detail!$D:$DC,MATCH($A35,Material_Detail!$DE:$DE,0)+1,16))),0,IFERROR(INDEX(Material_Detail!$D:$DC,MATCH($A35,Material_Detail!$DE:$DE,0),16),0)),SUMIFS(T_Shipments[Confirmed_Qty],T_Shipments[Part Name],$A35,T_Shipments[Effective_Week],16))</f>
        <v/>
      </c>
      <c r="R35">
        <f>IF(COUNTIF(Material_Detail!$DE:$DE,$A35)&gt;0,IF(ISNUMBER(SEARCH("[済]",INDEX(Material_Detail!$D:$DC,MATCH($A35,Material_Detail!$DE:$DE,0)+1,17))),0,IFERROR(INDEX(Material_Detail!$D:$DC,MATCH($A35,Material_Detail!$DE:$DE,0),17),0)),SUMIFS(T_Shipments[Confirmed_Qty],T_Shipments[Part Name],$A35,T_Shipments[Effective_Week],17))</f>
        <v/>
      </c>
      <c r="S35">
        <f>IF(COUNTIF(Material_Detail!$DE:$DE,$A35)&gt;0,IF(ISNUMBER(SEARCH("[済]",INDEX(Material_Detail!$D:$DC,MATCH($A35,Material_Detail!$DE:$DE,0)+1,18))),0,IFERROR(INDEX(Material_Detail!$D:$DC,MATCH($A35,Material_Detail!$DE:$DE,0),18),0)),SUMIFS(T_Shipments[Confirmed_Qty],T_Shipments[Part Name],$A35,T_Shipments[Effective_Week],18))</f>
        <v/>
      </c>
      <c r="T35">
        <f>IF(COUNTIF(Material_Detail!$DE:$DE,$A35)&gt;0,IF(ISNUMBER(SEARCH("[済]",INDEX(Material_Detail!$D:$DC,MATCH($A35,Material_Detail!$DE:$DE,0)+1,19))),0,IFERROR(INDEX(Material_Detail!$D:$DC,MATCH($A35,Material_Detail!$DE:$DE,0),19),0)),SUMIFS(T_Shipments[Confirmed_Qty],T_Shipments[Part Name],$A35,T_Shipments[Effective_Week],19))</f>
        <v/>
      </c>
      <c r="U35">
        <f>IF(COUNTIF(Material_Detail!$DE:$DE,$A35)&gt;0,IF(ISNUMBER(SEARCH("[済]",INDEX(Material_Detail!$D:$DC,MATCH($A35,Material_Detail!$DE:$DE,0)+1,20))),0,IFERROR(INDEX(Material_Detail!$D:$DC,MATCH($A35,Material_Detail!$DE:$DE,0),20),0)),SUMIFS(T_Shipments[Confirmed_Qty],T_Shipments[Part Name],$A35,T_Shipments[Effective_Week],20))</f>
        <v/>
      </c>
      <c r="V35">
        <f>IF(COUNTIF(Material_Detail!$DE:$DE,$A35)&gt;0,IF(ISNUMBER(SEARCH("[済]",INDEX(Material_Detail!$D:$DC,MATCH($A35,Material_Detail!$DE:$DE,0)+1,21))),0,IFERROR(INDEX(Material_Detail!$D:$DC,MATCH($A35,Material_Detail!$DE:$DE,0),21),0)),SUMIFS(T_Shipments[Confirmed_Qty],T_Shipments[Part Name],$A35,T_Shipments[Effective_Week],21))</f>
        <v/>
      </c>
      <c r="W35">
        <f>IF(COUNTIF(Material_Detail!$DE:$DE,$A35)&gt;0,IF(ISNUMBER(SEARCH("[済]",INDEX(Material_Detail!$D:$DC,MATCH($A35,Material_Detail!$DE:$DE,0)+1,22))),0,IFERROR(INDEX(Material_Detail!$D:$DC,MATCH($A35,Material_Detail!$DE:$DE,0),22),0)),SUMIFS(T_Shipments[Confirmed_Qty],T_Shipments[Part Name],$A35,T_Shipments[Effective_Week],22))</f>
        <v/>
      </c>
      <c r="X35">
        <f>IF(COUNTIF(Material_Detail!$DE:$DE,$A35)&gt;0,IF(ISNUMBER(SEARCH("[済]",INDEX(Material_Detail!$D:$DC,MATCH($A35,Material_Detail!$DE:$DE,0)+1,23))),0,IFERROR(INDEX(Material_Detail!$D:$DC,MATCH($A35,Material_Detail!$DE:$DE,0),23),0)),SUMIFS(T_Shipments[Confirmed_Qty],T_Shipments[Part Name],$A35,T_Shipments[Effective_Week],23))</f>
        <v/>
      </c>
      <c r="Y35">
        <f>IF(COUNTIF(Material_Detail!$DE:$DE,$A35)&gt;0,IF(ISNUMBER(SEARCH("[済]",INDEX(Material_Detail!$D:$DC,MATCH($A35,Material_Detail!$DE:$DE,0)+1,24))),0,IFERROR(INDEX(Material_Detail!$D:$DC,MATCH($A35,Material_Detail!$DE:$DE,0),24),0)),SUMIFS(T_Shipments[Confirmed_Qty],T_Shipments[Part Name],$A35,T_Shipments[Effective_Week],24))</f>
        <v/>
      </c>
      <c r="Z35">
        <f>IF(COUNTIF(Material_Detail!$DE:$DE,$A35)&gt;0,IF(ISNUMBER(SEARCH("[済]",INDEX(Material_Detail!$D:$DC,MATCH($A35,Material_Detail!$DE:$DE,0)+1,25))),0,IFERROR(INDEX(Material_Detail!$D:$DC,MATCH($A35,Material_Detail!$DE:$DE,0),25),0)),SUMIFS(T_Shipments[Confirmed_Qty],T_Shipments[Part Name],$A35,T_Shipments[Effective_Week],25))</f>
        <v/>
      </c>
      <c r="AA35">
        <f>IF(COUNTIF(Material_Detail!$DE:$DE,$A35)&gt;0,IF(ISNUMBER(SEARCH("[済]",INDEX(Material_Detail!$D:$DC,MATCH($A35,Material_Detail!$DE:$DE,0)+1,26))),0,IFERROR(INDEX(Material_Detail!$D:$DC,MATCH($A35,Material_Detail!$DE:$DE,0),26),0)),SUMIFS(T_Shipments[Confirmed_Qty],T_Shipments[Part Name],$A35,T_Shipments[Effective_Week],26))</f>
        <v/>
      </c>
      <c r="AB35">
        <f>IF(COUNTIF(Material_Detail!$DE:$DE,$A35)&gt;0,IF(ISNUMBER(SEARCH("[済]",INDEX(Material_Detail!$D:$DC,MATCH($A35,Material_Detail!$DE:$DE,0)+1,27))),0,IFERROR(INDEX(Material_Detail!$D:$DC,MATCH($A35,Material_Detail!$DE:$DE,0),27),0)),SUMIFS(T_Shipments[Confirmed_Qty],T_Shipments[Part Name],$A35,T_Shipments[Effective_Week],27))</f>
        <v/>
      </c>
      <c r="AC35">
        <f>IF(COUNTIF(Material_Detail!$DE:$DE,$A35)&gt;0,IF(ISNUMBER(SEARCH("[済]",INDEX(Material_Detail!$D:$DC,MATCH($A35,Material_Detail!$DE:$DE,0)+1,28))),0,IFERROR(INDEX(Material_Detail!$D:$DC,MATCH($A35,Material_Detail!$DE:$DE,0),28),0)),SUMIFS(T_Shipments[Confirmed_Qty],T_Shipments[Part Name],$A35,T_Shipments[Effective_Week],28))</f>
        <v/>
      </c>
      <c r="AD35">
        <f>IF(COUNTIF(Material_Detail!$DE:$DE,$A35)&gt;0,IF(ISNUMBER(SEARCH("[済]",INDEX(Material_Detail!$D:$DC,MATCH($A35,Material_Detail!$DE:$DE,0)+1,29))),0,IFERROR(INDEX(Material_Detail!$D:$DC,MATCH($A35,Material_Detail!$DE:$DE,0),29),0)),SUMIFS(T_Shipments[Confirmed_Qty],T_Shipments[Part Name],$A35,T_Shipments[Effective_Week],29))</f>
        <v/>
      </c>
      <c r="AE35">
        <f>IF(COUNTIF(Material_Detail!$DE:$DE,$A35)&gt;0,IF(ISNUMBER(SEARCH("[済]",INDEX(Material_Detail!$D:$DC,MATCH($A35,Material_Detail!$DE:$DE,0)+1,30))),0,IFERROR(INDEX(Material_Detail!$D:$DC,MATCH($A35,Material_Detail!$DE:$DE,0),30),0)),SUMIFS(T_Shipments[Confirmed_Qty],T_Shipments[Part Name],$A35,T_Shipments[Effective_Week],30))</f>
        <v/>
      </c>
      <c r="AF35">
        <f>IF(COUNTIF(Material_Detail!$DE:$DE,$A35)&gt;0,IF(ISNUMBER(SEARCH("[済]",INDEX(Material_Detail!$D:$DC,MATCH($A35,Material_Detail!$DE:$DE,0)+1,31))),0,IFERROR(INDEX(Material_Detail!$D:$DC,MATCH($A35,Material_Detail!$DE:$DE,0),31),0)),SUMIFS(T_Shipments[Confirmed_Qty],T_Shipments[Part Name],$A35,T_Shipments[Effective_Week],31))</f>
        <v/>
      </c>
      <c r="AG35">
        <f>IF(COUNTIF(Material_Detail!$DE:$DE,$A35)&gt;0,IF(ISNUMBER(SEARCH("[済]",INDEX(Material_Detail!$D:$DC,MATCH($A35,Material_Detail!$DE:$DE,0)+1,32))),0,IFERROR(INDEX(Material_Detail!$D:$DC,MATCH($A35,Material_Detail!$DE:$DE,0),32),0)),SUMIFS(T_Shipments[Confirmed_Qty],T_Shipments[Part Name],$A35,T_Shipments[Effective_Week],32))</f>
        <v/>
      </c>
      <c r="AH35">
        <f>IF(COUNTIF(Material_Detail!$DE:$DE,$A35)&gt;0,IF(ISNUMBER(SEARCH("[済]",INDEX(Material_Detail!$D:$DC,MATCH($A35,Material_Detail!$DE:$DE,0)+1,33))),0,IFERROR(INDEX(Material_Detail!$D:$DC,MATCH($A35,Material_Detail!$DE:$DE,0),33),0)),SUMIFS(T_Shipments[Confirmed_Qty],T_Shipments[Part Name],$A35,T_Shipments[Effective_Week],33))</f>
        <v/>
      </c>
      <c r="AI35">
        <f>IF(COUNTIF(Material_Detail!$DE:$DE,$A35)&gt;0,IF(ISNUMBER(SEARCH("[済]",INDEX(Material_Detail!$D:$DC,MATCH($A35,Material_Detail!$DE:$DE,0)+1,34))),0,IFERROR(INDEX(Material_Detail!$D:$DC,MATCH($A35,Material_Detail!$DE:$DE,0),34),0)),SUMIFS(T_Shipments[Confirmed_Qty],T_Shipments[Part Name],$A35,T_Shipments[Effective_Week],34))</f>
        <v/>
      </c>
      <c r="AJ35">
        <f>IF(COUNTIF(Material_Detail!$DE:$DE,$A35)&gt;0,IF(ISNUMBER(SEARCH("[済]",INDEX(Material_Detail!$D:$DC,MATCH($A35,Material_Detail!$DE:$DE,0)+1,35))),0,IFERROR(INDEX(Material_Detail!$D:$DC,MATCH($A35,Material_Detail!$DE:$DE,0),35),0)),SUMIFS(T_Shipments[Confirmed_Qty],T_Shipments[Part Name],$A35,T_Shipments[Effective_Week],35))</f>
        <v/>
      </c>
      <c r="AK35">
        <f>IF(COUNTIF(Material_Detail!$DE:$DE,$A35)&gt;0,IF(ISNUMBER(SEARCH("[済]",INDEX(Material_Detail!$D:$DC,MATCH($A35,Material_Detail!$DE:$DE,0)+1,36))),0,IFERROR(INDEX(Material_Detail!$D:$DC,MATCH($A35,Material_Detail!$DE:$DE,0),36),0)),SUMIFS(T_Shipments[Confirmed_Qty],T_Shipments[Part Name],$A35,T_Shipments[Effective_Week],36))</f>
        <v/>
      </c>
      <c r="AL35">
        <f>IF(COUNTIF(Material_Detail!$DE:$DE,$A35)&gt;0,IF(ISNUMBER(SEARCH("[済]",INDEX(Material_Detail!$D:$DC,MATCH($A35,Material_Detail!$DE:$DE,0)+1,37))),0,IFERROR(INDEX(Material_Detail!$D:$DC,MATCH($A35,Material_Detail!$DE:$DE,0),37),0)),SUMIFS(T_Shipments[Confirmed_Qty],T_Shipments[Part Name],$A35,T_Shipments[Effective_Week],37))</f>
        <v/>
      </c>
      <c r="AM35">
        <f>IF(COUNTIF(Material_Detail!$DE:$DE,$A35)&gt;0,IF(ISNUMBER(SEARCH("[済]",INDEX(Material_Detail!$D:$DC,MATCH($A35,Material_Detail!$DE:$DE,0)+1,38))),0,IFERROR(INDEX(Material_Detail!$D:$DC,MATCH($A35,Material_Detail!$DE:$DE,0),38),0)),SUMIFS(T_Shipments[Confirmed_Qty],T_Shipments[Part Name],$A35,T_Shipments[Effective_Week],38))</f>
        <v/>
      </c>
      <c r="AN35">
        <f>IF(COUNTIF(Material_Detail!$DE:$DE,$A35)&gt;0,IF(ISNUMBER(SEARCH("[済]",INDEX(Material_Detail!$D:$DC,MATCH($A35,Material_Detail!$DE:$DE,0)+1,39))),0,IFERROR(INDEX(Material_Detail!$D:$DC,MATCH($A35,Material_Detail!$DE:$DE,0),39),0)),SUMIFS(T_Shipments[Confirmed_Qty],T_Shipments[Part Name],$A35,T_Shipments[Effective_Week],39))</f>
        <v/>
      </c>
      <c r="AO35">
        <f>IF(COUNTIF(Material_Detail!$DE:$DE,$A35)&gt;0,IF(ISNUMBER(SEARCH("[済]",INDEX(Material_Detail!$D:$DC,MATCH($A35,Material_Detail!$DE:$DE,0)+1,40))),0,IFERROR(INDEX(Material_Detail!$D:$DC,MATCH($A35,Material_Detail!$DE:$DE,0),40),0)),SUMIFS(T_Shipments[Confirmed_Qty],T_Shipments[Part Name],$A35,T_Shipments[Effective_Week],40))</f>
        <v/>
      </c>
      <c r="AP35">
        <f>IF(COUNTIF(Material_Detail!$DE:$DE,$A35)&gt;0,IF(ISNUMBER(SEARCH("[済]",INDEX(Material_Detail!$D:$DC,MATCH($A35,Material_Detail!$DE:$DE,0)+1,41))),0,IFERROR(INDEX(Material_Detail!$D:$DC,MATCH($A35,Material_Detail!$DE:$DE,0),41),0)),SUMIFS(T_Shipments[Confirmed_Qty],T_Shipments[Part Name],$A35,T_Shipments[Effective_Week],41))</f>
        <v/>
      </c>
      <c r="AQ35">
        <f>IF(COUNTIF(Material_Detail!$DE:$DE,$A35)&gt;0,IF(ISNUMBER(SEARCH("[済]",INDEX(Material_Detail!$D:$DC,MATCH($A35,Material_Detail!$DE:$DE,0)+1,42))),0,IFERROR(INDEX(Material_Detail!$D:$DC,MATCH($A35,Material_Detail!$DE:$DE,0),42),0)),SUMIFS(T_Shipments[Confirmed_Qty],T_Shipments[Part Name],$A35,T_Shipments[Effective_Week],42))</f>
        <v/>
      </c>
      <c r="AR35">
        <f>IF(COUNTIF(Material_Detail!$DE:$DE,$A35)&gt;0,IF(ISNUMBER(SEARCH("[済]",INDEX(Material_Detail!$D:$DC,MATCH($A35,Material_Detail!$DE:$DE,0)+1,43))),0,IFERROR(INDEX(Material_Detail!$D:$DC,MATCH($A35,Material_Detail!$DE:$DE,0),43),0)),SUMIFS(T_Shipments[Confirmed_Qty],T_Shipments[Part Name],$A35,T_Shipments[Effective_Week],43))</f>
        <v/>
      </c>
      <c r="AS35">
        <f>IF(COUNTIF(Material_Detail!$DE:$DE,$A35)&gt;0,IF(ISNUMBER(SEARCH("[済]",INDEX(Material_Detail!$D:$DC,MATCH($A35,Material_Detail!$DE:$DE,0)+1,44))),0,IFERROR(INDEX(Material_Detail!$D:$DC,MATCH($A35,Material_Detail!$DE:$DE,0),44),0)),SUMIFS(T_Shipments[Confirmed_Qty],T_Shipments[Part Name],$A35,T_Shipments[Effective_Week],44))</f>
        <v/>
      </c>
      <c r="AT35">
        <f>IF(COUNTIF(Material_Detail!$DE:$DE,$A35)&gt;0,IF(ISNUMBER(SEARCH("[済]",INDEX(Material_Detail!$D:$DC,MATCH($A35,Material_Detail!$DE:$DE,0)+1,45))),0,IFERROR(INDEX(Material_Detail!$D:$DC,MATCH($A35,Material_Detail!$DE:$DE,0),45),0)),SUMIFS(T_Shipments[Confirmed_Qty],T_Shipments[Part Name],$A35,T_Shipments[Effective_Week],45))</f>
        <v/>
      </c>
      <c r="AU35">
        <f>IF(COUNTIF(Material_Detail!$DE:$DE,$A35)&gt;0,IF(ISNUMBER(SEARCH("[済]",INDEX(Material_Detail!$D:$DC,MATCH($A35,Material_Detail!$DE:$DE,0)+1,46))),0,IFERROR(INDEX(Material_Detail!$D:$DC,MATCH($A35,Material_Detail!$DE:$DE,0),46),0)),SUMIFS(T_Shipments[Confirmed_Qty],T_Shipments[Part Name],$A35,T_Shipments[Effective_Week],46))</f>
        <v/>
      </c>
      <c r="AV35">
        <f>IF(COUNTIF(Material_Detail!$DE:$DE,$A35)&gt;0,IF(ISNUMBER(SEARCH("[済]",INDEX(Material_Detail!$D:$DC,MATCH($A35,Material_Detail!$DE:$DE,0)+1,47))),0,IFERROR(INDEX(Material_Detail!$D:$DC,MATCH($A35,Material_Detail!$DE:$DE,0),47),0)),SUMIFS(T_Shipments[Confirmed_Qty],T_Shipments[Part Name],$A35,T_Shipments[Effective_Week],47))</f>
        <v/>
      </c>
      <c r="AW35">
        <f>IF(COUNTIF(Material_Detail!$DE:$DE,$A35)&gt;0,IF(ISNUMBER(SEARCH("[済]",INDEX(Material_Detail!$D:$DC,MATCH($A35,Material_Detail!$DE:$DE,0)+1,48))),0,IFERROR(INDEX(Material_Detail!$D:$DC,MATCH($A35,Material_Detail!$DE:$DE,0),48),0)),SUMIFS(T_Shipments[Confirmed_Qty],T_Shipments[Part Name],$A35,T_Shipments[Effective_Week],48))</f>
        <v/>
      </c>
      <c r="AX35">
        <f>IF(COUNTIF(Material_Detail!$DE:$DE,$A35)&gt;0,IF(ISNUMBER(SEARCH("[済]",INDEX(Material_Detail!$D:$DC,MATCH($A35,Material_Detail!$DE:$DE,0)+1,49))),0,IFERROR(INDEX(Material_Detail!$D:$DC,MATCH($A35,Material_Detail!$DE:$DE,0),49),0)),SUMIFS(T_Shipments[Confirmed_Qty],T_Shipments[Part Name],$A35,T_Shipments[Effective_Week],49))</f>
        <v/>
      </c>
      <c r="AY35">
        <f>IF(COUNTIF(Material_Detail!$DE:$DE,$A35)&gt;0,IF(ISNUMBER(SEARCH("[済]",INDEX(Material_Detail!$D:$DC,MATCH($A35,Material_Detail!$DE:$DE,0)+1,50))),0,IFERROR(INDEX(Material_Detail!$D:$DC,MATCH($A35,Material_Detail!$DE:$DE,0),50),0)),SUMIFS(T_Shipments[Confirmed_Qty],T_Shipments[Part Name],$A35,T_Shipments[Effective_Week],50))</f>
        <v/>
      </c>
      <c r="AZ35">
        <f>IF(COUNTIF(Material_Detail!$DE:$DE,$A35)&gt;0,IF(ISNUMBER(SEARCH("[済]",INDEX(Material_Detail!$D:$DC,MATCH($A35,Material_Detail!$DE:$DE,0)+1,51))),0,IFERROR(INDEX(Material_Detail!$D:$DC,MATCH($A35,Material_Detail!$DE:$DE,0),51),0)),SUMIFS(T_Shipments[Confirmed_Qty],T_Shipments[Part Name],$A35,T_Shipments[Effective_Week],51))</f>
        <v/>
      </c>
      <c r="BA35">
        <f>IF(COUNTIF(Material_Detail!$DE:$DE,$A35)&gt;0,IF(ISNUMBER(SEARCH("[済]",INDEX(Material_Detail!$D:$DC,MATCH($A35,Material_Detail!$DE:$DE,0)+1,52))),0,IFERROR(INDEX(Material_Detail!$D:$DC,MATCH($A35,Material_Detail!$DE:$DE,0),52),0)),SUMIFS(T_Shipments[Confirmed_Qty],T_Shipments[Part Name],$A35,T_Shipments[Effective_Week],52))</f>
        <v/>
      </c>
      <c r="BB35">
        <f>IF(COUNTIF(Material_Detail!$DE:$DE,$A35)&gt;0,IF(ISNUMBER(SEARCH("[済]",INDEX(Material_Detail!$D:$DC,MATCH($A35,Material_Detail!$DE:$DE,0)+1,53))),0,IFERROR(INDEX(Material_Detail!$D:$DC,MATCH($A35,Material_Detail!$DE:$DE,0),53),0)),SUMIFS(T_Shipments[Confirmed_Qty],T_Shipments[Part Name],$A35,T_Shipments[Effective_Week],53))</f>
        <v/>
      </c>
      <c r="BC35">
        <f>IF(COUNTIF(Material_Detail!$DE:$DE,$A35)&gt;0,IF(ISNUMBER(SEARCH("[済]",INDEX(Material_Detail!$D:$DC,MATCH($A35,Material_Detail!$DE:$DE,0)+1,54))),0,IFERROR(INDEX(Material_Detail!$D:$DC,MATCH($A35,Material_Detail!$DE:$DE,0),54),0)),SUMIFS(T_Shipments[Confirmed_Qty],T_Shipments[Part Name],$A35,T_Shipments[Effective_Week],54))</f>
        <v/>
      </c>
      <c r="BD35">
        <f>IF(COUNTIF(Material_Detail!$DE:$DE,$A35)&gt;0,IF(ISNUMBER(SEARCH("[済]",INDEX(Material_Detail!$D:$DC,MATCH($A35,Material_Detail!$DE:$DE,0)+1,55))),0,IFERROR(INDEX(Material_Detail!$D:$DC,MATCH($A35,Material_Detail!$DE:$DE,0),55),0)),SUMIFS(T_Shipments[Confirmed_Qty],T_Shipments[Part Name],$A35,T_Shipments[Effective_Week],55))</f>
        <v/>
      </c>
      <c r="BE35">
        <f>IF(COUNTIF(Material_Detail!$DE:$DE,$A35)&gt;0,IF(ISNUMBER(SEARCH("[済]",INDEX(Material_Detail!$D:$DC,MATCH($A35,Material_Detail!$DE:$DE,0)+1,56))),0,IFERROR(INDEX(Material_Detail!$D:$DC,MATCH($A35,Material_Detail!$DE:$DE,0),56),0)),SUMIFS(T_Shipments[Confirmed_Qty],T_Shipments[Part Name],$A35,T_Shipments[Effective_Week],56))</f>
        <v/>
      </c>
      <c r="BF35">
        <f>IF(COUNTIF(Material_Detail!$DE:$DE,$A35)&gt;0,IF(ISNUMBER(SEARCH("[済]",INDEX(Material_Detail!$D:$DC,MATCH($A35,Material_Detail!$DE:$DE,0)+1,57))),0,IFERROR(INDEX(Material_Detail!$D:$DC,MATCH($A35,Material_Detail!$DE:$DE,0),57),0)),SUMIFS(T_Shipments[Confirmed_Qty],T_Shipments[Part Name],$A35,T_Shipments[Effective_Week],57))</f>
        <v/>
      </c>
      <c r="BG35">
        <f>IF(COUNTIF(Material_Detail!$DE:$DE,$A35)&gt;0,IF(ISNUMBER(SEARCH("[済]",INDEX(Material_Detail!$D:$DC,MATCH($A35,Material_Detail!$DE:$DE,0)+1,58))),0,IFERROR(INDEX(Material_Detail!$D:$DC,MATCH($A35,Material_Detail!$DE:$DE,0),58),0)),SUMIFS(T_Shipments[Confirmed_Qty],T_Shipments[Part Name],$A35,T_Shipments[Effective_Week],58))</f>
        <v/>
      </c>
      <c r="BH35">
        <f>IF(COUNTIF(Material_Detail!$DE:$DE,$A35)&gt;0,IF(ISNUMBER(SEARCH("[済]",INDEX(Material_Detail!$D:$DC,MATCH($A35,Material_Detail!$DE:$DE,0)+1,59))),0,IFERROR(INDEX(Material_Detail!$D:$DC,MATCH($A35,Material_Detail!$DE:$DE,0),59),0)),SUMIFS(T_Shipments[Confirmed_Qty],T_Shipments[Part Name],$A35,T_Shipments[Effective_Week],59))</f>
        <v/>
      </c>
      <c r="BI35">
        <f>IF(COUNTIF(Material_Detail!$DE:$DE,$A35)&gt;0,IF(ISNUMBER(SEARCH("[済]",INDEX(Material_Detail!$D:$DC,MATCH($A35,Material_Detail!$DE:$DE,0)+1,60))),0,IFERROR(INDEX(Material_Detail!$D:$DC,MATCH($A35,Material_Detail!$DE:$DE,0),60),0)),SUMIFS(T_Shipments[Confirmed_Qty],T_Shipments[Part Name],$A35,T_Shipments[Effective_Week],60))</f>
        <v/>
      </c>
      <c r="BJ35">
        <f>IF(COUNTIF(Material_Detail!$DE:$DE,$A35)&gt;0,IF(ISNUMBER(SEARCH("[済]",INDEX(Material_Detail!$D:$DC,MATCH($A35,Material_Detail!$DE:$DE,0)+1,61))),0,IFERROR(INDEX(Material_Detail!$D:$DC,MATCH($A35,Material_Detail!$DE:$DE,0),61),0)),SUMIFS(T_Shipments[Confirmed_Qty],T_Shipments[Part Name],$A35,T_Shipments[Effective_Week],61))</f>
        <v/>
      </c>
      <c r="BK35">
        <f>IF(COUNTIF(Material_Detail!$DE:$DE,$A35)&gt;0,IF(ISNUMBER(SEARCH("[済]",INDEX(Material_Detail!$D:$DC,MATCH($A35,Material_Detail!$DE:$DE,0)+1,62))),0,IFERROR(INDEX(Material_Detail!$D:$DC,MATCH($A35,Material_Detail!$DE:$DE,0),62),0)),SUMIFS(T_Shipments[Confirmed_Qty],T_Shipments[Part Name],$A35,T_Shipments[Effective_Week],62))</f>
        <v/>
      </c>
      <c r="BL35">
        <f>IF(COUNTIF(Material_Detail!$DE:$DE,$A35)&gt;0,IF(ISNUMBER(SEARCH("[済]",INDEX(Material_Detail!$D:$DC,MATCH($A35,Material_Detail!$DE:$DE,0)+1,63))),0,IFERROR(INDEX(Material_Detail!$D:$DC,MATCH($A35,Material_Detail!$DE:$DE,0),63),0)),SUMIFS(T_Shipments[Confirmed_Qty],T_Shipments[Part Name],$A35,T_Shipments[Effective_Week],63))</f>
        <v/>
      </c>
      <c r="BM35">
        <f>IF(COUNTIF(Material_Detail!$DE:$DE,$A35)&gt;0,IF(ISNUMBER(SEARCH("[済]",INDEX(Material_Detail!$D:$DC,MATCH($A35,Material_Detail!$DE:$DE,0)+1,64))),0,IFERROR(INDEX(Material_Detail!$D:$DC,MATCH($A35,Material_Detail!$DE:$DE,0),64),0)),SUMIFS(T_Shipments[Confirmed_Qty],T_Shipments[Part Name],$A35,T_Shipments[Effective_Week],64))</f>
        <v/>
      </c>
      <c r="BN35">
        <f>IF(COUNTIF(Material_Detail!$DE:$DE,$A35)&gt;0,IF(ISNUMBER(SEARCH("[済]",INDEX(Material_Detail!$D:$DC,MATCH($A35,Material_Detail!$DE:$DE,0)+1,65))),0,IFERROR(INDEX(Material_Detail!$D:$DC,MATCH($A35,Material_Detail!$DE:$DE,0),65),0)),SUMIFS(T_Shipments[Confirmed_Qty],T_Shipments[Part Name],$A35,T_Shipments[Effective_Week],65))</f>
        <v/>
      </c>
      <c r="BO35">
        <f>IF(COUNTIF(Material_Detail!$DE:$DE,$A35)&gt;0,IF(ISNUMBER(SEARCH("[済]",INDEX(Material_Detail!$D:$DC,MATCH($A35,Material_Detail!$DE:$DE,0)+1,66))),0,IFERROR(INDEX(Material_Detail!$D:$DC,MATCH($A35,Material_Detail!$DE:$DE,0),66),0)),SUMIFS(T_Shipments[Confirmed_Qty],T_Shipments[Part Name],$A35,T_Shipments[Effective_Week],66))</f>
        <v/>
      </c>
      <c r="BP35">
        <f>IF(COUNTIF(Material_Detail!$DE:$DE,$A35)&gt;0,IF(ISNUMBER(SEARCH("[済]",INDEX(Material_Detail!$D:$DC,MATCH($A35,Material_Detail!$DE:$DE,0)+1,67))),0,IFERROR(INDEX(Material_Detail!$D:$DC,MATCH($A35,Material_Detail!$DE:$DE,0),67),0)),SUMIFS(T_Shipments[Confirmed_Qty],T_Shipments[Part Name],$A35,T_Shipments[Effective_Week],67))</f>
        <v/>
      </c>
      <c r="BQ35">
        <f>IF(COUNTIF(Material_Detail!$DE:$DE,$A35)&gt;0,IF(ISNUMBER(SEARCH("[済]",INDEX(Material_Detail!$D:$DC,MATCH($A35,Material_Detail!$DE:$DE,0)+1,68))),0,IFERROR(INDEX(Material_Detail!$D:$DC,MATCH($A35,Material_Detail!$DE:$DE,0),68),0)),SUMIFS(T_Shipments[Confirmed_Qty],T_Shipments[Part Name],$A35,T_Shipments[Effective_Week],68))</f>
        <v/>
      </c>
      <c r="BR35">
        <f>IF(COUNTIF(Material_Detail!$DE:$DE,$A35)&gt;0,IF(ISNUMBER(SEARCH("[済]",INDEX(Material_Detail!$D:$DC,MATCH($A35,Material_Detail!$DE:$DE,0)+1,69))),0,IFERROR(INDEX(Material_Detail!$D:$DC,MATCH($A35,Material_Detail!$DE:$DE,0),69),0)),SUMIFS(T_Shipments[Confirmed_Qty],T_Shipments[Part Name],$A35,T_Shipments[Effective_Week],69))</f>
        <v/>
      </c>
      <c r="BS35">
        <f>IF(COUNTIF(Material_Detail!$DE:$DE,$A35)&gt;0,IF(ISNUMBER(SEARCH("[済]",INDEX(Material_Detail!$D:$DC,MATCH($A35,Material_Detail!$DE:$DE,0)+1,70))),0,IFERROR(INDEX(Material_Detail!$D:$DC,MATCH($A35,Material_Detail!$DE:$DE,0),70),0)),SUMIFS(T_Shipments[Confirmed_Qty],T_Shipments[Part Name],$A35,T_Shipments[Effective_Week],70))</f>
        <v/>
      </c>
      <c r="BT35">
        <f>IF(COUNTIF(Material_Detail!$DE:$DE,$A35)&gt;0,IF(ISNUMBER(SEARCH("[済]",INDEX(Material_Detail!$D:$DC,MATCH($A35,Material_Detail!$DE:$DE,0)+1,71))),0,IFERROR(INDEX(Material_Detail!$D:$DC,MATCH($A35,Material_Detail!$DE:$DE,0),71),0)),SUMIFS(T_Shipments[Confirmed_Qty],T_Shipments[Part Name],$A35,T_Shipments[Effective_Week],71))</f>
        <v/>
      </c>
      <c r="BU35">
        <f>IF(COUNTIF(Material_Detail!$DE:$DE,$A35)&gt;0,IF(ISNUMBER(SEARCH("[済]",INDEX(Material_Detail!$D:$DC,MATCH($A35,Material_Detail!$DE:$DE,0)+1,72))),0,IFERROR(INDEX(Material_Detail!$D:$DC,MATCH($A35,Material_Detail!$DE:$DE,0),72),0)),SUMIFS(T_Shipments[Confirmed_Qty],T_Shipments[Part Name],$A35,T_Shipments[Effective_Week],72))</f>
        <v/>
      </c>
      <c r="BV35">
        <f>IF(COUNTIF(Material_Detail!$DE:$DE,$A35)&gt;0,IF(ISNUMBER(SEARCH("[済]",INDEX(Material_Detail!$D:$DC,MATCH($A35,Material_Detail!$DE:$DE,0)+1,73))),0,IFERROR(INDEX(Material_Detail!$D:$DC,MATCH($A35,Material_Detail!$DE:$DE,0),73),0)),SUMIFS(T_Shipments[Confirmed_Qty],T_Shipments[Part Name],$A35,T_Shipments[Effective_Week],73))</f>
        <v/>
      </c>
      <c r="BW35">
        <f>IF(COUNTIF(Material_Detail!$DE:$DE,$A35)&gt;0,IF(ISNUMBER(SEARCH("[済]",INDEX(Material_Detail!$D:$DC,MATCH($A35,Material_Detail!$DE:$DE,0)+1,74))),0,IFERROR(INDEX(Material_Detail!$D:$DC,MATCH($A35,Material_Detail!$DE:$DE,0),74),0)),SUMIFS(T_Shipments[Confirmed_Qty],T_Shipments[Part Name],$A35,T_Shipments[Effective_Week],74))</f>
        <v/>
      </c>
      <c r="BX35">
        <f>IF(COUNTIF(Material_Detail!$DE:$DE,$A35)&gt;0,IF(ISNUMBER(SEARCH("[済]",INDEX(Material_Detail!$D:$DC,MATCH($A35,Material_Detail!$DE:$DE,0)+1,75))),0,IFERROR(INDEX(Material_Detail!$D:$DC,MATCH($A35,Material_Detail!$DE:$DE,0),75),0)),SUMIFS(T_Shipments[Confirmed_Qty],T_Shipments[Part Name],$A35,T_Shipments[Effective_Week],75))</f>
        <v/>
      </c>
      <c r="BY35">
        <f>IF(COUNTIF(Material_Detail!$DE:$DE,$A35)&gt;0,IF(ISNUMBER(SEARCH("[済]",INDEX(Material_Detail!$D:$DC,MATCH($A35,Material_Detail!$DE:$DE,0)+1,76))),0,IFERROR(INDEX(Material_Detail!$D:$DC,MATCH($A35,Material_Detail!$DE:$DE,0),76),0)),SUMIFS(T_Shipments[Confirmed_Qty],T_Shipments[Part Name],$A35,T_Shipments[Effective_Week],76))</f>
        <v/>
      </c>
      <c r="BZ35">
        <f>IF(COUNTIF(Material_Detail!$DE:$DE,$A35)&gt;0,IF(ISNUMBER(SEARCH("[済]",INDEX(Material_Detail!$D:$DC,MATCH($A35,Material_Detail!$DE:$DE,0)+1,77))),0,IFERROR(INDEX(Material_Detail!$D:$DC,MATCH($A35,Material_Detail!$DE:$DE,0),77),0)),SUMIFS(T_Shipments[Confirmed_Qty],T_Shipments[Part Name],$A35,T_Shipments[Effective_Week],77))</f>
        <v/>
      </c>
      <c r="CA35">
        <f>IF(COUNTIF(Material_Detail!$DE:$DE,$A35)&gt;0,IF(ISNUMBER(SEARCH("[済]",INDEX(Material_Detail!$D:$DC,MATCH($A35,Material_Detail!$DE:$DE,0)+1,78))),0,IFERROR(INDEX(Material_Detail!$D:$DC,MATCH($A35,Material_Detail!$DE:$DE,0),78),0)),SUMIFS(T_Shipments[Confirmed_Qty],T_Shipments[Part Name],$A35,T_Shipments[Effective_Week],78))</f>
        <v/>
      </c>
      <c r="CB35">
        <f>IF(COUNTIF(Material_Detail!$DE:$DE,$A35)&gt;0,IF(ISNUMBER(SEARCH("[済]",INDEX(Material_Detail!$D:$DC,MATCH($A35,Material_Detail!$DE:$DE,0)+1,79))),0,IFERROR(INDEX(Material_Detail!$D:$DC,MATCH($A35,Material_Detail!$DE:$DE,0),79),0)),SUMIFS(T_Shipments[Confirmed_Qty],T_Shipments[Part Name],$A35,T_Shipments[Effective_Week],79))</f>
        <v/>
      </c>
      <c r="CC35">
        <f>IF(COUNTIF(Material_Detail!$DE:$DE,$A35)&gt;0,IF(ISNUMBER(SEARCH("[済]",INDEX(Material_Detail!$D:$DC,MATCH($A35,Material_Detail!$DE:$DE,0)+1,80))),0,IFERROR(INDEX(Material_Detail!$D:$DC,MATCH($A35,Material_Detail!$DE:$DE,0),80),0)),SUMIFS(T_Shipments[Confirmed_Qty],T_Shipments[Part Name],$A35,T_Shipments[Effective_Week],80))</f>
        <v/>
      </c>
      <c r="CD35">
        <f>IF(COUNTIF(Material_Detail!$DE:$DE,$A35)&gt;0,IF(ISNUMBER(SEARCH("[済]",INDEX(Material_Detail!$D:$DC,MATCH($A35,Material_Detail!$DE:$DE,0)+1,81))),0,IFERROR(INDEX(Material_Detail!$D:$DC,MATCH($A35,Material_Detail!$DE:$DE,0),81),0)),SUMIFS(T_Shipments[Confirmed_Qty],T_Shipments[Part Name],$A35,T_Shipments[Effective_Week],81))</f>
        <v/>
      </c>
      <c r="CE35">
        <f>IF(COUNTIF(Material_Detail!$DE:$DE,$A35)&gt;0,IF(ISNUMBER(SEARCH("[済]",INDEX(Material_Detail!$D:$DC,MATCH($A35,Material_Detail!$DE:$DE,0)+1,82))),0,IFERROR(INDEX(Material_Detail!$D:$DC,MATCH($A35,Material_Detail!$DE:$DE,0),82),0)),SUMIFS(T_Shipments[Confirmed_Qty],T_Shipments[Part Name],$A35,T_Shipments[Effective_Week],82))</f>
        <v/>
      </c>
      <c r="CF35">
        <f>IF(COUNTIF(Material_Detail!$DE:$DE,$A35)&gt;0,IF(ISNUMBER(SEARCH("[済]",INDEX(Material_Detail!$D:$DC,MATCH($A35,Material_Detail!$DE:$DE,0)+1,83))),0,IFERROR(INDEX(Material_Detail!$D:$DC,MATCH($A35,Material_Detail!$DE:$DE,0),83),0)),SUMIFS(T_Shipments[Confirmed_Qty],T_Shipments[Part Name],$A35,T_Shipments[Effective_Week],83))</f>
        <v/>
      </c>
      <c r="CG35">
        <f>IF(COUNTIF(Material_Detail!$DE:$DE,$A35)&gt;0,IF(ISNUMBER(SEARCH("[済]",INDEX(Material_Detail!$D:$DC,MATCH($A35,Material_Detail!$DE:$DE,0)+1,84))),0,IFERROR(INDEX(Material_Detail!$D:$DC,MATCH($A35,Material_Detail!$DE:$DE,0),84),0)),SUMIFS(T_Shipments[Confirmed_Qty],T_Shipments[Part Name],$A35,T_Shipments[Effective_Week],84))</f>
        <v/>
      </c>
      <c r="CH35">
        <f>IF(COUNTIF(Material_Detail!$DE:$DE,$A35)&gt;0,IF(ISNUMBER(SEARCH("[済]",INDEX(Material_Detail!$D:$DC,MATCH($A35,Material_Detail!$DE:$DE,0)+1,85))),0,IFERROR(INDEX(Material_Detail!$D:$DC,MATCH($A35,Material_Detail!$DE:$DE,0),85),0)),SUMIFS(T_Shipments[Confirmed_Qty],T_Shipments[Part Name],$A35,T_Shipments[Effective_Week],85))</f>
        <v/>
      </c>
      <c r="CI35">
        <f>IF(COUNTIF(Material_Detail!$DE:$DE,$A35)&gt;0,IF(ISNUMBER(SEARCH("[済]",INDEX(Material_Detail!$D:$DC,MATCH($A35,Material_Detail!$DE:$DE,0)+1,86))),0,IFERROR(INDEX(Material_Detail!$D:$DC,MATCH($A35,Material_Detail!$DE:$DE,0),86),0)),SUMIFS(T_Shipments[Confirmed_Qty],T_Shipments[Part Name],$A35,T_Shipments[Effective_Week],86))</f>
        <v/>
      </c>
      <c r="CJ35">
        <f>IF(COUNTIF(Material_Detail!$DE:$DE,$A35)&gt;0,IF(ISNUMBER(SEARCH("[済]",INDEX(Material_Detail!$D:$DC,MATCH($A35,Material_Detail!$DE:$DE,0)+1,87))),0,IFERROR(INDEX(Material_Detail!$D:$DC,MATCH($A35,Material_Detail!$DE:$DE,0),87),0)),SUMIFS(T_Shipments[Confirmed_Qty],T_Shipments[Part Name],$A35,T_Shipments[Effective_Week],87))</f>
        <v/>
      </c>
      <c r="CK35">
        <f>IF(COUNTIF(Material_Detail!$DE:$DE,$A35)&gt;0,IF(ISNUMBER(SEARCH("[済]",INDEX(Material_Detail!$D:$DC,MATCH($A35,Material_Detail!$DE:$DE,0)+1,88))),0,IFERROR(INDEX(Material_Detail!$D:$DC,MATCH($A35,Material_Detail!$DE:$DE,0),88),0)),SUMIFS(T_Shipments[Confirmed_Qty],T_Shipments[Part Name],$A35,T_Shipments[Effective_Week],88))</f>
        <v/>
      </c>
      <c r="CL35">
        <f>IF(COUNTIF(Material_Detail!$DE:$DE,$A35)&gt;0,IF(ISNUMBER(SEARCH("[済]",INDEX(Material_Detail!$D:$DC,MATCH($A35,Material_Detail!$DE:$DE,0)+1,89))),0,IFERROR(INDEX(Material_Detail!$D:$DC,MATCH($A35,Material_Detail!$DE:$DE,0),89),0)),SUMIFS(T_Shipments[Confirmed_Qty],T_Shipments[Part Name],$A35,T_Shipments[Effective_Week],89))</f>
        <v/>
      </c>
      <c r="CM35">
        <f>IF(COUNTIF(Material_Detail!$DE:$DE,$A35)&gt;0,IF(ISNUMBER(SEARCH("[済]",INDEX(Material_Detail!$D:$DC,MATCH($A35,Material_Detail!$DE:$DE,0)+1,90))),0,IFERROR(INDEX(Material_Detail!$D:$DC,MATCH($A35,Material_Detail!$DE:$DE,0),90),0)),SUMIFS(T_Shipments[Confirmed_Qty],T_Shipments[Part Name],$A35,T_Shipments[Effective_Week],90))</f>
        <v/>
      </c>
      <c r="CN35">
        <f>IF(COUNTIF(Material_Detail!$DE:$DE,$A35)&gt;0,IF(ISNUMBER(SEARCH("[済]",INDEX(Material_Detail!$D:$DC,MATCH($A35,Material_Detail!$DE:$DE,0)+1,91))),0,IFERROR(INDEX(Material_Detail!$D:$DC,MATCH($A35,Material_Detail!$DE:$DE,0),91),0)),SUMIFS(T_Shipments[Confirmed_Qty],T_Shipments[Part Name],$A35,T_Shipments[Effective_Week],91))</f>
        <v/>
      </c>
      <c r="CO35">
        <f>IF(COUNTIF(Material_Detail!$DE:$DE,$A35)&gt;0,IF(ISNUMBER(SEARCH("[済]",INDEX(Material_Detail!$D:$DC,MATCH($A35,Material_Detail!$DE:$DE,0)+1,92))),0,IFERROR(INDEX(Material_Detail!$D:$DC,MATCH($A35,Material_Detail!$DE:$DE,0),92),0)),SUMIFS(T_Shipments[Confirmed_Qty],T_Shipments[Part Name],$A35,T_Shipments[Effective_Week],92))</f>
        <v/>
      </c>
      <c r="CP35">
        <f>IF(COUNTIF(Material_Detail!$DE:$DE,$A35)&gt;0,IF(ISNUMBER(SEARCH("[済]",INDEX(Material_Detail!$D:$DC,MATCH($A35,Material_Detail!$DE:$DE,0)+1,93))),0,IFERROR(INDEX(Material_Detail!$D:$DC,MATCH($A35,Material_Detail!$DE:$DE,0),93),0)),SUMIFS(T_Shipments[Confirmed_Qty],T_Shipments[Part Name],$A35,T_Shipments[Effective_Week],93))</f>
        <v/>
      </c>
      <c r="CQ35">
        <f>IF(COUNTIF(Material_Detail!$DE:$DE,$A35)&gt;0,IF(ISNUMBER(SEARCH("[済]",INDEX(Material_Detail!$D:$DC,MATCH($A35,Material_Detail!$DE:$DE,0)+1,94))),0,IFERROR(INDEX(Material_Detail!$D:$DC,MATCH($A35,Material_Detail!$DE:$DE,0),94),0)),SUMIFS(T_Shipments[Confirmed_Qty],T_Shipments[Part Name],$A35,T_Shipments[Effective_Week],94))</f>
        <v/>
      </c>
      <c r="CR35">
        <f>IF(COUNTIF(Material_Detail!$DE:$DE,$A35)&gt;0,IF(ISNUMBER(SEARCH("[済]",INDEX(Material_Detail!$D:$DC,MATCH($A35,Material_Detail!$DE:$DE,0)+1,95))),0,IFERROR(INDEX(Material_Detail!$D:$DC,MATCH($A35,Material_Detail!$DE:$DE,0),95),0)),SUMIFS(T_Shipments[Confirmed_Qty],T_Shipments[Part Name],$A35,T_Shipments[Effective_Week],95))</f>
        <v/>
      </c>
      <c r="CS35">
        <f>IF(COUNTIF(Material_Detail!$DE:$DE,$A35)&gt;0,IF(ISNUMBER(SEARCH("[済]",INDEX(Material_Detail!$D:$DC,MATCH($A35,Material_Detail!$DE:$DE,0)+1,96))),0,IFERROR(INDEX(Material_Detail!$D:$DC,MATCH($A35,Material_Detail!$DE:$DE,0),96),0)),SUMIFS(T_Shipments[Confirmed_Qty],T_Shipments[Part Name],$A35,T_Shipments[Effective_Week],96))</f>
        <v/>
      </c>
      <c r="CT35">
        <f>IF(COUNTIF(Material_Detail!$DE:$DE,$A35)&gt;0,IF(ISNUMBER(SEARCH("[済]",INDEX(Material_Detail!$D:$DC,MATCH($A35,Material_Detail!$DE:$DE,0)+1,97))),0,IFERROR(INDEX(Material_Detail!$D:$DC,MATCH($A35,Material_Detail!$DE:$DE,0),97),0)),SUMIFS(T_Shipments[Confirmed_Qty],T_Shipments[Part Name],$A35,T_Shipments[Effective_Week],97))</f>
        <v/>
      </c>
      <c r="CU35">
        <f>IF(COUNTIF(Material_Detail!$DE:$DE,$A35)&gt;0,IF(ISNUMBER(SEARCH("[済]",INDEX(Material_Detail!$D:$DC,MATCH($A35,Material_Detail!$DE:$DE,0)+1,98))),0,IFERROR(INDEX(Material_Detail!$D:$DC,MATCH($A35,Material_Detail!$DE:$DE,0),98),0)),SUMIFS(T_Shipments[Confirmed_Qty],T_Shipments[Part Name],$A35,T_Shipments[Effective_Week],98))</f>
        <v/>
      </c>
      <c r="CV35">
        <f>IF(COUNTIF(Material_Detail!$DE:$DE,$A35)&gt;0,IF(ISNUMBER(SEARCH("[済]",INDEX(Material_Detail!$D:$DC,MATCH($A35,Material_Detail!$DE:$DE,0)+1,99))),0,IFERROR(INDEX(Material_Detail!$D:$DC,MATCH($A35,Material_Detail!$DE:$DE,0),99),0)),SUMIFS(T_Shipments[Confirmed_Qty],T_Shipments[Part Name],$A35,T_Shipments[Effective_Week],99))</f>
        <v/>
      </c>
      <c r="CW35">
        <f>IF(COUNTIF(Material_Detail!$DE:$DE,$A35)&gt;0,IF(ISNUMBER(SEARCH("[済]",INDEX(Material_Detail!$D:$DC,MATCH($A35,Material_Detail!$DE:$DE,0)+1,100))),0,IFERROR(INDEX(Material_Detail!$D:$DC,MATCH($A35,Material_Detail!$DE:$DE,0),100),0)),SUMIFS(T_Shipments[Confirmed_Qty],T_Shipments[Part Name],$A35,T_Shipments[Effective_Week],100))</f>
        <v/>
      </c>
      <c r="CX35">
        <f>IF(COUNTIF(Material_Detail!$DE:$DE,$A35)&gt;0,IF(ISNUMBER(SEARCH("[済]",INDEX(Material_Detail!$D:$DC,MATCH($A35,Material_Detail!$DE:$DE,0)+1,101))),0,IFERROR(INDEX(Material_Detail!$D:$DC,MATCH($A35,Material_Detail!$DE:$DE,0),101),0)),SUMIFS(T_Shipments[Confirmed_Qty],T_Shipments[Part Name],$A35,T_Shipments[Effective_Week],101))</f>
        <v/>
      </c>
      <c r="CY35">
        <f>IF(COUNTIF(Material_Detail!$DE:$DE,$A35)&gt;0,IF(ISNUMBER(SEARCH("[済]",INDEX(Material_Detail!$D:$DC,MATCH($A35,Material_Detail!$DE:$DE,0)+1,102))),0,IFERROR(INDEX(Material_Detail!$D:$DC,MATCH($A35,Material_Detail!$DE:$DE,0),102),0)),SUMIFS(T_Shipments[Confirmed_Qty],T_Shipments[Part Name],$A35,T_Shipments[Effective_Week],102))</f>
        <v/>
      </c>
      <c r="CZ35">
        <f>IF(COUNTIF(Material_Detail!$DE:$DE,$A35)&gt;0,IF(ISNUMBER(SEARCH("[済]",INDEX(Material_Detail!$D:$DC,MATCH($A35,Material_Detail!$DE:$DE,0)+1,103))),0,IFERROR(INDEX(Material_Detail!$D:$DC,MATCH($A35,Material_Detail!$DE:$DE,0),103),0)),SUMIFS(T_Shipments[Confirmed_Qty],T_Shipments[Part Name],$A35,T_Shipments[Effective_Week],103))</f>
        <v/>
      </c>
      <c r="DA35">
        <f>IF(COUNTIF(Material_Detail!$DE:$DE,$A35)&gt;0,IF(ISNUMBER(SEARCH("[済]",INDEX(Material_Detail!$D:$DC,MATCH($A35,Material_Detail!$DE:$DE,0)+1,104))),0,IFERROR(INDEX(Material_Detail!$D:$DC,MATCH($A35,Material_Detail!$DE:$DE,0),104),0)),SUMIFS(T_Shipments[Confirmed_Qty],T_Shipments[Part Name],$A35,T_Shipments[Effective_Week],104))</f>
        <v/>
      </c>
    </row>
    <row r="36">
      <c r="A36" t="inlineStr">
        <is>
          <t>CHEM-1420</t>
        </is>
      </c>
      <c r="B36">
        <f>IF(COUNTIF(Material_Detail!$DE:$DE,$A36)&gt;0,IF(ISNUMBER(SEARCH("[済]",INDEX(Material_Detail!$D:$DC,MATCH($A36,Material_Detail!$DE:$DE,0)+1,1))),0,IFERROR(INDEX(Material_Detail!$D:$DC,MATCH($A36,Material_Detail!$DE:$DE,0),1),0)),SUMIFS(T_Shipments[Confirmed_Qty],T_Shipments[Part Name],$A36,T_Shipments[Effective_Week],1))</f>
        <v/>
      </c>
      <c r="C36">
        <f>IF(COUNTIF(Material_Detail!$DE:$DE,$A36)&gt;0,IF(ISNUMBER(SEARCH("[済]",INDEX(Material_Detail!$D:$DC,MATCH($A36,Material_Detail!$DE:$DE,0)+1,2))),0,IFERROR(INDEX(Material_Detail!$D:$DC,MATCH($A36,Material_Detail!$DE:$DE,0),2),0)),SUMIFS(T_Shipments[Confirmed_Qty],T_Shipments[Part Name],$A36,T_Shipments[Effective_Week],2))</f>
        <v/>
      </c>
      <c r="D36">
        <f>IF(COUNTIF(Material_Detail!$DE:$DE,$A36)&gt;0,IF(ISNUMBER(SEARCH("[済]",INDEX(Material_Detail!$D:$DC,MATCH($A36,Material_Detail!$DE:$DE,0)+1,3))),0,IFERROR(INDEX(Material_Detail!$D:$DC,MATCH($A36,Material_Detail!$DE:$DE,0),3),0)),SUMIFS(T_Shipments[Confirmed_Qty],T_Shipments[Part Name],$A36,T_Shipments[Effective_Week],3))</f>
        <v/>
      </c>
      <c r="E36">
        <f>IF(COUNTIF(Material_Detail!$DE:$DE,$A36)&gt;0,IF(ISNUMBER(SEARCH("[済]",INDEX(Material_Detail!$D:$DC,MATCH($A36,Material_Detail!$DE:$DE,0)+1,4))),0,IFERROR(INDEX(Material_Detail!$D:$DC,MATCH($A36,Material_Detail!$DE:$DE,0),4),0)),SUMIFS(T_Shipments[Confirmed_Qty],T_Shipments[Part Name],$A36,T_Shipments[Effective_Week],4))</f>
        <v/>
      </c>
      <c r="F36">
        <f>IF(COUNTIF(Material_Detail!$DE:$DE,$A36)&gt;0,IF(ISNUMBER(SEARCH("[済]",INDEX(Material_Detail!$D:$DC,MATCH($A36,Material_Detail!$DE:$DE,0)+1,5))),0,IFERROR(INDEX(Material_Detail!$D:$DC,MATCH($A36,Material_Detail!$DE:$DE,0),5),0)),SUMIFS(T_Shipments[Confirmed_Qty],T_Shipments[Part Name],$A36,T_Shipments[Effective_Week],5))</f>
        <v/>
      </c>
      <c r="G36">
        <f>IF(COUNTIF(Material_Detail!$DE:$DE,$A36)&gt;0,IF(ISNUMBER(SEARCH("[済]",INDEX(Material_Detail!$D:$DC,MATCH($A36,Material_Detail!$DE:$DE,0)+1,6))),0,IFERROR(INDEX(Material_Detail!$D:$DC,MATCH($A36,Material_Detail!$DE:$DE,0),6),0)),SUMIFS(T_Shipments[Confirmed_Qty],T_Shipments[Part Name],$A36,T_Shipments[Effective_Week],6))</f>
        <v/>
      </c>
      <c r="H36">
        <f>IF(COUNTIF(Material_Detail!$DE:$DE,$A36)&gt;0,IF(ISNUMBER(SEARCH("[済]",INDEX(Material_Detail!$D:$DC,MATCH($A36,Material_Detail!$DE:$DE,0)+1,7))),0,IFERROR(INDEX(Material_Detail!$D:$DC,MATCH($A36,Material_Detail!$DE:$DE,0),7),0)),SUMIFS(T_Shipments[Confirmed_Qty],T_Shipments[Part Name],$A36,T_Shipments[Effective_Week],7))</f>
        <v/>
      </c>
      <c r="I36">
        <f>IF(COUNTIF(Material_Detail!$DE:$DE,$A36)&gt;0,IF(ISNUMBER(SEARCH("[済]",INDEX(Material_Detail!$D:$DC,MATCH($A36,Material_Detail!$DE:$DE,0)+1,8))),0,IFERROR(INDEX(Material_Detail!$D:$DC,MATCH($A36,Material_Detail!$DE:$DE,0),8),0)),SUMIFS(T_Shipments[Confirmed_Qty],T_Shipments[Part Name],$A36,T_Shipments[Effective_Week],8))</f>
        <v/>
      </c>
      <c r="J36">
        <f>IF(COUNTIF(Material_Detail!$DE:$DE,$A36)&gt;0,IF(ISNUMBER(SEARCH("[済]",INDEX(Material_Detail!$D:$DC,MATCH($A36,Material_Detail!$DE:$DE,0)+1,9))),0,IFERROR(INDEX(Material_Detail!$D:$DC,MATCH($A36,Material_Detail!$DE:$DE,0),9),0)),SUMIFS(T_Shipments[Confirmed_Qty],T_Shipments[Part Name],$A36,T_Shipments[Effective_Week],9))</f>
        <v/>
      </c>
      <c r="K36">
        <f>IF(COUNTIF(Material_Detail!$DE:$DE,$A36)&gt;0,IF(ISNUMBER(SEARCH("[済]",INDEX(Material_Detail!$D:$DC,MATCH($A36,Material_Detail!$DE:$DE,0)+1,10))),0,IFERROR(INDEX(Material_Detail!$D:$DC,MATCH($A36,Material_Detail!$DE:$DE,0),10),0)),SUMIFS(T_Shipments[Confirmed_Qty],T_Shipments[Part Name],$A36,T_Shipments[Effective_Week],10))</f>
        <v/>
      </c>
      <c r="L36">
        <f>IF(COUNTIF(Material_Detail!$DE:$DE,$A36)&gt;0,IF(ISNUMBER(SEARCH("[済]",INDEX(Material_Detail!$D:$DC,MATCH($A36,Material_Detail!$DE:$DE,0)+1,11))),0,IFERROR(INDEX(Material_Detail!$D:$DC,MATCH($A36,Material_Detail!$DE:$DE,0),11),0)),SUMIFS(T_Shipments[Confirmed_Qty],T_Shipments[Part Name],$A36,T_Shipments[Effective_Week],11))</f>
        <v/>
      </c>
      <c r="M36">
        <f>IF(COUNTIF(Material_Detail!$DE:$DE,$A36)&gt;0,IF(ISNUMBER(SEARCH("[済]",INDEX(Material_Detail!$D:$DC,MATCH($A36,Material_Detail!$DE:$DE,0)+1,12))),0,IFERROR(INDEX(Material_Detail!$D:$DC,MATCH($A36,Material_Detail!$DE:$DE,0),12),0)),SUMIFS(T_Shipments[Confirmed_Qty],T_Shipments[Part Name],$A36,T_Shipments[Effective_Week],12))</f>
        <v/>
      </c>
      <c r="N36">
        <f>IF(COUNTIF(Material_Detail!$DE:$DE,$A36)&gt;0,IF(ISNUMBER(SEARCH("[済]",INDEX(Material_Detail!$D:$DC,MATCH($A36,Material_Detail!$DE:$DE,0)+1,13))),0,IFERROR(INDEX(Material_Detail!$D:$DC,MATCH($A36,Material_Detail!$DE:$DE,0),13),0)),SUMIFS(T_Shipments[Confirmed_Qty],T_Shipments[Part Name],$A36,T_Shipments[Effective_Week],13))</f>
        <v/>
      </c>
      <c r="O36">
        <f>IF(COUNTIF(Material_Detail!$DE:$DE,$A36)&gt;0,IF(ISNUMBER(SEARCH("[済]",INDEX(Material_Detail!$D:$DC,MATCH($A36,Material_Detail!$DE:$DE,0)+1,14))),0,IFERROR(INDEX(Material_Detail!$D:$DC,MATCH($A36,Material_Detail!$DE:$DE,0),14),0)),SUMIFS(T_Shipments[Confirmed_Qty],T_Shipments[Part Name],$A36,T_Shipments[Effective_Week],14))</f>
        <v/>
      </c>
      <c r="P36">
        <f>IF(COUNTIF(Material_Detail!$DE:$DE,$A36)&gt;0,IF(ISNUMBER(SEARCH("[済]",INDEX(Material_Detail!$D:$DC,MATCH($A36,Material_Detail!$DE:$DE,0)+1,15))),0,IFERROR(INDEX(Material_Detail!$D:$DC,MATCH($A36,Material_Detail!$DE:$DE,0),15),0)),SUMIFS(T_Shipments[Confirmed_Qty],T_Shipments[Part Name],$A36,T_Shipments[Effective_Week],15))</f>
        <v/>
      </c>
      <c r="Q36">
        <f>IF(COUNTIF(Material_Detail!$DE:$DE,$A36)&gt;0,IF(ISNUMBER(SEARCH("[済]",INDEX(Material_Detail!$D:$DC,MATCH($A36,Material_Detail!$DE:$DE,0)+1,16))),0,IFERROR(INDEX(Material_Detail!$D:$DC,MATCH($A36,Material_Detail!$DE:$DE,0),16),0)),SUMIFS(T_Shipments[Confirmed_Qty],T_Shipments[Part Name],$A36,T_Shipments[Effective_Week],16))</f>
        <v/>
      </c>
      <c r="R36">
        <f>IF(COUNTIF(Material_Detail!$DE:$DE,$A36)&gt;0,IF(ISNUMBER(SEARCH("[済]",INDEX(Material_Detail!$D:$DC,MATCH($A36,Material_Detail!$DE:$DE,0)+1,17))),0,IFERROR(INDEX(Material_Detail!$D:$DC,MATCH($A36,Material_Detail!$DE:$DE,0),17),0)),SUMIFS(T_Shipments[Confirmed_Qty],T_Shipments[Part Name],$A36,T_Shipments[Effective_Week],17))</f>
        <v/>
      </c>
      <c r="S36">
        <f>IF(COUNTIF(Material_Detail!$DE:$DE,$A36)&gt;0,IF(ISNUMBER(SEARCH("[済]",INDEX(Material_Detail!$D:$DC,MATCH($A36,Material_Detail!$DE:$DE,0)+1,18))),0,IFERROR(INDEX(Material_Detail!$D:$DC,MATCH($A36,Material_Detail!$DE:$DE,0),18),0)),SUMIFS(T_Shipments[Confirmed_Qty],T_Shipments[Part Name],$A36,T_Shipments[Effective_Week],18))</f>
        <v/>
      </c>
      <c r="T36">
        <f>IF(COUNTIF(Material_Detail!$DE:$DE,$A36)&gt;0,IF(ISNUMBER(SEARCH("[済]",INDEX(Material_Detail!$D:$DC,MATCH($A36,Material_Detail!$DE:$DE,0)+1,19))),0,IFERROR(INDEX(Material_Detail!$D:$DC,MATCH($A36,Material_Detail!$DE:$DE,0),19),0)),SUMIFS(T_Shipments[Confirmed_Qty],T_Shipments[Part Name],$A36,T_Shipments[Effective_Week],19))</f>
        <v/>
      </c>
      <c r="U36">
        <f>IF(COUNTIF(Material_Detail!$DE:$DE,$A36)&gt;0,IF(ISNUMBER(SEARCH("[済]",INDEX(Material_Detail!$D:$DC,MATCH($A36,Material_Detail!$DE:$DE,0)+1,20))),0,IFERROR(INDEX(Material_Detail!$D:$DC,MATCH($A36,Material_Detail!$DE:$DE,0),20),0)),SUMIFS(T_Shipments[Confirmed_Qty],T_Shipments[Part Name],$A36,T_Shipments[Effective_Week],20))</f>
        <v/>
      </c>
      <c r="V36">
        <f>IF(COUNTIF(Material_Detail!$DE:$DE,$A36)&gt;0,IF(ISNUMBER(SEARCH("[済]",INDEX(Material_Detail!$D:$DC,MATCH($A36,Material_Detail!$DE:$DE,0)+1,21))),0,IFERROR(INDEX(Material_Detail!$D:$DC,MATCH($A36,Material_Detail!$DE:$DE,0),21),0)),SUMIFS(T_Shipments[Confirmed_Qty],T_Shipments[Part Name],$A36,T_Shipments[Effective_Week],21))</f>
        <v/>
      </c>
      <c r="W36">
        <f>IF(COUNTIF(Material_Detail!$DE:$DE,$A36)&gt;0,IF(ISNUMBER(SEARCH("[済]",INDEX(Material_Detail!$D:$DC,MATCH($A36,Material_Detail!$DE:$DE,0)+1,22))),0,IFERROR(INDEX(Material_Detail!$D:$DC,MATCH($A36,Material_Detail!$DE:$DE,0),22),0)),SUMIFS(T_Shipments[Confirmed_Qty],T_Shipments[Part Name],$A36,T_Shipments[Effective_Week],22))</f>
        <v/>
      </c>
      <c r="X36">
        <f>IF(COUNTIF(Material_Detail!$DE:$DE,$A36)&gt;0,IF(ISNUMBER(SEARCH("[済]",INDEX(Material_Detail!$D:$DC,MATCH($A36,Material_Detail!$DE:$DE,0)+1,23))),0,IFERROR(INDEX(Material_Detail!$D:$DC,MATCH($A36,Material_Detail!$DE:$DE,0),23),0)),SUMIFS(T_Shipments[Confirmed_Qty],T_Shipments[Part Name],$A36,T_Shipments[Effective_Week],23))</f>
        <v/>
      </c>
      <c r="Y36">
        <f>IF(COUNTIF(Material_Detail!$DE:$DE,$A36)&gt;0,IF(ISNUMBER(SEARCH("[済]",INDEX(Material_Detail!$D:$DC,MATCH($A36,Material_Detail!$DE:$DE,0)+1,24))),0,IFERROR(INDEX(Material_Detail!$D:$DC,MATCH($A36,Material_Detail!$DE:$DE,0),24),0)),SUMIFS(T_Shipments[Confirmed_Qty],T_Shipments[Part Name],$A36,T_Shipments[Effective_Week],24))</f>
        <v/>
      </c>
      <c r="Z36">
        <f>IF(COUNTIF(Material_Detail!$DE:$DE,$A36)&gt;0,IF(ISNUMBER(SEARCH("[済]",INDEX(Material_Detail!$D:$DC,MATCH($A36,Material_Detail!$DE:$DE,0)+1,25))),0,IFERROR(INDEX(Material_Detail!$D:$DC,MATCH($A36,Material_Detail!$DE:$DE,0),25),0)),SUMIFS(T_Shipments[Confirmed_Qty],T_Shipments[Part Name],$A36,T_Shipments[Effective_Week],25))</f>
        <v/>
      </c>
      <c r="AA36">
        <f>IF(COUNTIF(Material_Detail!$DE:$DE,$A36)&gt;0,IF(ISNUMBER(SEARCH("[済]",INDEX(Material_Detail!$D:$DC,MATCH($A36,Material_Detail!$DE:$DE,0)+1,26))),0,IFERROR(INDEX(Material_Detail!$D:$DC,MATCH($A36,Material_Detail!$DE:$DE,0),26),0)),SUMIFS(T_Shipments[Confirmed_Qty],T_Shipments[Part Name],$A36,T_Shipments[Effective_Week],26))</f>
        <v/>
      </c>
      <c r="AB36">
        <f>IF(COUNTIF(Material_Detail!$DE:$DE,$A36)&gt;0,IF(ISNUMBER(SEARCH("[済]",INDEX(Material_Detail!$D:$DC,MATCH($A36,Material_Detail!$DE:$DE,0)+1,27))),0,IFERROR(INDEX(Material_Detail!$D:$DC,MATCH($A36,Material_Detail!$DE:$DE,0),27),0)),SUMIFS(T_Shipments[Confirmed_Qty],T_Shipments[Part Name],$A36,T_Shipments[Effective_Week],27))</f>
        <v/>
      </c>
      <c r="AC36">
        <f>IF(COUNTIF(Material_Detail!$DE:$DE,$A36)&gt;0,IF(ISNUMBER(SEARCH("[済]",INDEX(Material_Detail!$D:$DC,MATCH($A36,Material_Detail!$DE:$DE,0)+1,28))),0,IFERROR(INDEX(Material_Detail!$D:$DC,MATCH($A36,Material_Detail!$DE:$DE,0),28),0)),SUMIFS(T_Shipments[Confirmed_Qty],T_Shipments[Part Name],$A36,T_Shipments[Effective_Week],28))</f>
        <v/>
      </c>
      <c r="AD36">
        <f>IF(COUNTIF(Material_Detail!$DE:$DE,$A36)&gt;0,IF(ISNUMBER(SEARCH("[済]",INDEX(Material_Detail!$D:$DC,MATCH($A36,Material_Detail!$DE:$DE,0)+1,29))),0,IFERROR(INDEX(Material_Detail!$D:$DC,MATCH($A36,Material_Detail!$DE:$DE,0),29),0)),SUMIFS(T_Shipments[Confirmed_Qty],T_Shipments[Part Name],$A36,T_Shipments[Effective_Week],29))</f>
        <v/>
      </c>
      <c r="AE36">
        <f>IF(COUNTIF(Material_Detail!$DE:$DE,$A36)&gt;0,IF(ISNUMBER(SEARCH("[済]",INDEX(Material_Detail!$D:$DC,MATCH($A36,Material_Detail!$DE:$DE,0)+1,30))),0,IFERROR(INDEX(Material_Detail!$D:$DC,MATCH($A36,Material_Detail!$DE:$DE,0),30),0)),SUMIFS(T_Shipments[Confirmed_Qty],T_Shipments[Part Name],$A36,T_Shipments[Effective_Week],30))</f>
        <v/>
      </c>
      <c r="AF36">
        <f>IF(COUNTIF(Material_Detail!$DE:$DE,$A36)&gt;0,IF(ISNUMBER(SEARCH("[済]",INDEX(Material_Detail!$D:$DC,MATCH($A36,Material_Detail!$DE:$DE,0)+1,31))),0,IFERROR(INDEX(Material_Detail!$D:$DC,MATCH($A36,Material_Detail!$DE:$DE,0),31),0)),SUMIFS(T_Shipments[Confirmed_Qty],T_Shipments[Part Name],$A36,T_Shipments[Effective_Week],31))</f>
        <v/>
      </c>
      <c r="AG36">
        <f>IF(COUNTIF(Material_Detail!$DE:$DE,$A36)&gt;0,IF(ISNUMBER(SEARCH("[済]",INDEX(Material_Detail!$D:$DC,MATCH($A36,Material_Detail!$DE:$DE,0)+1,32))),0,IFERROR(INDEX(Material_Detail!$D:$DC,MATCH($A36,Material_Detail!$DE:$DE,0),32),0)),SUMIFS(T_Shipments[Confirmed_Qty],T_Shipments[Part Name],$A36,T_Shipments[Effective_Week],32))</f>
        <v/>
      </c>
      <c r="AH36">
        <f>IF(COUNTIF(Material_Detail!$DE:$DE,$A36)&gt;0,IF(ISNUMBER(SEARCH("[済]",INDEX(Material_Detail!$D:$DC,MATCH($A36,Material_Detail!$DE:$DE,0)+1,33))),0,IFERROR(INDEX(Material_Detail!$D:$DC,MATCH($A36,Material_Detail!$DE:$DE,0),33),0)),SUMIFS(T_Shipments[Confirmed_Qty],T_Shipments[Part Name],$A36,T_Shipments[Effective_Week],33))</f>
        <v/>
      </c>
      <c r="AI36">
        <f>IF(COUNTIF(Material_Detail!$DE:$DE,$A36)&gt;0,IF(ISNUMBER(SEARCH("[済]",INDEX(Material_Detail!$D:$DC,MATCH($A36,Material_Detail!$DE:$DE,0)+1,34))),0,IFERROR(INDEX(Material_Detail!$D:$DC,MATCH($A36,Material_Detail!$DE:$DE,0),34),0)),SUMIFS(T_Shipments[Confirmed_Qty],T_Shipments[Part Name],$A36,T_Shipments[Effective_Week],34))</f>
        <v/>
      </c>
      <c r="AJ36">
        <f>IF(COUNTIF(Material_Detail!$DE:$DE,$A36)&gt;0,IF(ISNUMBER(SEARCH("[済]",INDEX(Material_Detail!$D:$DC,MATCH($A36,Material_Detail!$DE:$DE,0)+1,35))),0,IFERROR(INDEX(Material_Detail!$D:$DC,MATCH($A36,Material_Detail!$DE:$DE,0),35),0)),SUMIFS(T_Shipments[Confirmed_Qty],T_Shipments[Part Name],$A36,T_Shipments[Effective_Week],35))</f>
        <v/>
      </c>
      <c r="AK36">
        <f>IF(COUNTIF(Material_Detail!$DE:$DE,$A36)&gt;0,IF(ISNUMBER(SEARCH("[済]",INDEX(Material_Detail!$D:$DC,MATCH($A36,Material_Detail!$DE:$DE,0)+1,36))),0,IFERROR(INDEX(Material_Detail!$D:$DC,MATCH($A36,Material_Detail!$DE:$DE,0),36),0)),SUMIFS(T_Shipments[Confirmed_Qty],T_Shipments[Part Name],$A36,T_Shipments[Effective_Week],36))</f>
        <v/>
      </c>
      <c r="AL36">
        <f>IF(COUNTIF(Material_Detail!$DE:$DE,$A36)&gt;0,IF(ISNUMBER(SEARCH("[済]",INDEX(Material_Detail!$D:$DC,MATCH($A36,Material_Detail!$DE:$DE,0)+1,37))),0,IFERROR(INDEX(Material_Detail!$D:$DC,MATCH($A36,Material_Detail!$DE:$DE,0),37),0)),SUMIFS(T_Shipments[Confirmed_Qty],T_Shipments[Part Name],$A36,T_Shipments[Effective_Week],37))</f>
        <v/>
      </c>
      <c r="AM36">
        <f>IF(COUNTIF(Material_Detail!$DE:$DE,$A36)&gt;0,IF(ISNUMBER(SEARCH("[済]",INDEX(Material_Detail!$D:$DC,MATCH($A36,Material_Detail!$DE:$DE,0)+1,38))),0,IFERROR(INDEX(Material_Detail!$D:$DC,MATCH($A36,Material_Detail!$DE:$DE,0),38),0)),SUMIFS(T_Shipments[Confirmed_Qty],T_Shipments[Part Name],$A36,T_Shipments[Effective_Week],38))</f>
        <v/>
      </c>
      <c r="AN36">
        <f>IF(COUNTIF(Material_Detail!$DE:$DE,$A36)&gt;0,IF(ISNUMBER(SEARCH("[済]",INDEX(Material_Detail!$D:$DC,MATCH($A36,Material_Detail!$DE:$DE,0)+1,39))),0,IFERROR(INDEX(Material_Detail!$D:$DC,MATCH($A36,Material_Detail!$DE:$DE,0),39),0)),SUMIFS(T_Shipments[Confirmed_Qty],T_Shipments[Part Name],$A36,T_Shipments[Effective_Week],39))</f>
        <v/>
      </c>
      <c r="AO36">
        <f>IF(COUNTIF(Material_Detail!$DE:$DE,$A36)&gt;0,IF(ISNUMBER(SEARCH("[済]",INDEX(Material_Detail!$D:$DC,MATCH($A36,Material_Detail!$DE:$DE,0)+1,40))),0,IFERROR(INDEX(Material_Detail!$D:$DC,MATCH($A36,Material_Detail!$DE:$DE,0),40),0)),SUMIFS(T_Shipments[Confirmed_Qty],T_Shipments[Part Name],$A36,T_Shipments[Effective_Week],40))</f>
        <v/>
      </c>
      <c r="AP36">
        <f>IF(COUNTIF(Material_Detail!$DE:$DE,$A36)&gt;0,IF(ISNUMBER(SEARCH("[済]",INDEX(Material_Detail!$D:$DC,MATCH($A36,Material_Detail!$DE:$DE,0)+1,41))),0,IFERROR(INDEX(Material_Detail!$D:$DC,MATCH($A36,Material_Detail!$DE:$DE,0),41),0)),SUMIFS(T_Shipments[Confirmed_Qty],T_Shipments[Part Name],$A36,T_Shipments[Effective_Week],41))</f>
        <v/>
      </c>
      <c r="AQ36">
        <f>IF(COUNTIF(Material_Detail!$DE:$DE,$A36)&gt;0,IF(ISNUMBER(SEARCH("[済]",INDEX(Material_Detail!$D:$DC,MATCH($A36,Material_Detail!$DE:$DE,0)+1,42))),0,IFERROR(INDEX(Material_Detail!$D:$DC,MATCH($A36,Material_Detail!$DE:$DE,0),42),0)),SUMIFS(T_Shipments[Confirmed_Qty],T_Shipments[Part Name],$A36,T_Shipments[Effective_Week],42))</f>
        <v/>
      </c>
      <c r="AR36">
        <f>IF(COUNTIF(Material_Detail!$DE:$DE,$A36)&gt;0,IF(ISNUMBER(SEARCH("[済]",INDEX(Material_Detail!$D:$DC,MATCH($A36,Material_Detail!$DE:$DE,0)+1,43))),0,IFERROR(INDEX(Material_Detail!$D:$DC,MATCH($A36,Material_Detail!$DE:$DE,0),43),0)),SUMIFS(T_Shipments[Confirmed_Qty],T_Shipments[Part Name],$A36,T_Shipments[Effective_Week],43))</f>
        <v/>
      </c>
      <c r="AS36">
        <f>IF(COUNTIF(Material_Detail!$DE:$DE,$A36)&gt;0,IF(ISNUMBER(SEARCH("[済]",INDEX(Material_Detail!$D:$DC,MATCH($A36,Material_Detail!$DE:$DE,0)+1,44))),0,IFERROR(INDEX(Material_Detail!$D:$DC,MATCH($A36,Material_Detail!$DE:$DE,0),44),0)),SUMIFS(T_Shipments[Confirmed_Qty],T_Shipments[Part Name],$A36,T_Shipments[Effective_Week],44))</f>
        <v/>
      </c>
      <c r="AT36">
        <f>IF(COUNTIF(Material_Detail!$DE:$DE,$A36)&gt;0,IF(ISNUMBER(SEARCH("[済]",INDEX(Material_Detail!$D:$DC,MATCH($A36,Material_Detail!$DE:$DE,0)+1,45))),0,IFERROR(INDEX(Material_Detail!$D:$DC,MATCH($A36,Material_Detail!$DE:$DE,0),45),0)),SUMIFS(T_Shipments[Confirmed_Qty],T_Shipments[Part Name],$A36,T_Shipments[Effective_Week],45))</f>
        <v/>
      </c>
      <c r="AU36">
        <f>IF(COUNTIF(Material_Detail!$DE:$DE,$A36)&gt;0,IF(ISNUMBER(SEARCH("[済]",INDEX(Material_Detail!$D:$DC,MATCH($A36,Material_Detail!$DE:$DE,0)+1,46))),0,IFERROR(INDEX(Material_Detail!$D:$DC,MATCH($A36,Material_Detail!$DE:$DE,0),46),0)),SUMIFS(T_Shipments[Confirmed_Qty],T_Shipments[Part Name],$A36,T_Shipments[Effective_Week],46))</f>
        <v/>
      </c>
      <c r="AV36">
        <f>IF(COUNTIF(Material_Detail!$DE:$DE,$A36)&gt;0,IF(ISNUMBER(SEARCH("[済]",INDEX(Material_Detail!$D:$DC,MATCH($A36,Material_Detail!$DE:$DE,0)+1,47))),0,IFERROR(INDEX(Material_Detail!$D:$DC,MATCH($A36,Material_Detail!$DE:$DE,0),47),0)),SUMIFS(T_Shipments[Confirmed_Qty],T_Shipments[Part Name],$A36,T_Shipments[Effective_Week],47))</f>
        <v/>
      </c>
      <c r="AW36">
        <f>IF(COUNTIF(Material_Detail!$DE:$DE,$A36)&gt;0,IF(ISNUMBER(SEARCH("[済]",INDEX(Material_Detail!$D:$DC,MATCH($A36,Material_Detail!$DE:$DE,0)+1,48))),0,IFERROR(INDEX(Material_Detail!$D:$DC,MATCH($A36,Material_Detail!$DE:$DE,0),48),0)),SUMIFS(T_Shipments[Confirmed_Qty],T_Shipments[Part Name],$A36,T_Shipments[Effective_Week],48))</f>
        <v/>
      </c>
      <c r="AX36">
        <f>IF(COUNTIF(Material_Detail!$DE:$DE,$A36)&gt;0,IF(ISNUMBER(SEARCH("[済]",INDEX(Material_Detail!$D:$DC,MATCH($A36,Material_Detail!$DE:$DE,0)+1,49))),0,IFERROR(INDEX(Material_Detail!$D:$DC,MATCH($A36,Material_Detail!$DE:$DE,0),49),0)),SUMIFS(T_Shipments[Confirmed_Qty],T_Shipments[Part Name],$A36,T_Shipments[Effective_Week],49))</f>
        <v/>
      </c>
      <c r="AY36">
        <f>IF(COUNTIF(Material_Detail!$DE:$DE,$A36)&gt;0,IF(ISNUMBER(SEARCH("[済]",INDEX(Material_Detail!$D:$DC,MATCH($A36,Material_Detail!$DE:$DE,0)+1,50))),0,IFERROR(INDEX(Material_Detail!$D:$DC,MATCH($A36,Material_Detail!$DE:$DE,0),50),0)),SUMIFS(T_Shipments[Confirmed_Qty],T_Shipments[Part Name],$A36,T_Shipments[Effective_Week],50))</f>
        <v/>
      </c>
      <c r="AZ36">
        <f>IF(COUNTIF(Material_Detail!$DE:$DE,$A36)&gt;0,IF(ISNUMBER(SEARCH("[済]",INDEX(Material_Detail!$D:$DC,MATCH($A36,Material_Detail!$DE:$DE,0)+1,51))),0,IFERROR(INDEX(Material_Detail!$D:$DC,MATCH($A36,Material_Detail!$DE:$DE,0),51),0)),SUMIFS(T_Shipments[Confirmed_Qty],T_Shipments[Part Name],$A36,T_Shipments[Effective_Week],51))</f>
        <v/>
      </c>
      <c r="BA36">
        <f>IF(COUNTIF(Material_Detail!$DE:$DE,$A36)&gt;0,IF(ISNUMBER(SEARCH("[済]",INDEX(Material_Detail!$D:$DC,MATCH($A36,Material_Detail!$DE:$DE,0)+1,52))),0,IFERROR(INDEX(Material_Detail!$D:$DC,MATCH($A36,Material_Detail!$DE:$DE,0),52),0)),SUMIFS(T_Shipments[Confirmed_Qty],T_Shipments[Part Name],$A36,T_Shipments[Effective_Week],52))</f>
        <v/>
      </c>
      <c r="BB36">
        <f>IF(COUNTIF(Material_Detail!$DE:$DE,$A36)&gt;0,IF(ISNUMBER(SEARCH("[済]",INDEX(Material_Detail!$D:$DC,MATCH($A36,Material_Detail!$DE:$DE,0)+1,53))),0,IFERROR(INDEX(Material_Detail!$D:$DC,MATCH($A36,Material_Detail!$DE:$DE,0),53),0)),SUMIFS(T_Shipments[Confirmed_Qty],T_Shipments[Part Name],$A36,T_Shipments[Effective_Week],53))</f>
        <v/>
      </c>
      <c r="BC36">
        <f>IF(COUNTIF(Material_Detail!$DE:$DE,$A36)&gt;0,IF(ISNUMBER(SEARCH("[済]",INDEX(Material_Detail!$D:$DC,MATCH($A36,Material_Detail!$DE:$DE,0)+1,54))),0,IFERROR(INDEX(Material_Detail!$D:$DC,MATCH($A36,Material_Detail!$DE:$DE,0),54),0)),SUMIFS(T_Shipments[Confirmed_Qty],T_Shipments[Part Name],$A36,T_Shipments[Effective_Week],54))</f>
        <v/>
      </c>
      <c r="BD36">
        <f>IF(COUNTIF(Material_Detail!$DE:$DE,$A36)&gt;0,IF(ISNUMBER(SEARCH("[済]",INDEX(Material_Detail!$D:$DC,MATCH($A36,Material_Detail!$DE:$DE,0)+1,55))),0,IFERROR(INDEX(Material_Detail!$D:$DC,MATCH($A36,Material_Detail!$DE:$DE,0),55),0)),SUMIFS(T_Shipments[Confirmed_Qty],T_Shipments[Part Name],$A36,T_Shipments[Effective_Week],55))</f>
        <v/>
      </c>
      <c r="BE36">
        <f>IF(COUNTIF(Material_Detail!$DE:$DE,$A36)&gt;0,IF(ISNUMBER(SEARCH("[済]",INDEX(Material_Detail!$D:$DC,MATCH($A36,Material_Detail!$DE:$DE,0)+1,56))),0,IFERROR(INDEX(Material_Detail!$D:$DC,MATCH($A36,Material_Detail!$DE:$DE,0),56),0)),SUMIFS(T_Shipments[Confirmed_Qty],T_Shipments[Part Name],$A36,T_Shipments[Effective_Week],56))</f>
        <v/>
      </c>
      <c r="BF36">
        <f>IF(COUNTIF(Material_Detail!$DE:$DE,$A36)&gt;0,IF(ISNUMBER(SEARCH("[済]",INDEX(Material_Detail!$D:$DC,MATCH($A36,Material_Detail!$DE:$DE,0)+1,57))),0,IFERROR(INDEX(Material_Detail!$D:$DC,MATCH($A36,Material_Detail!$DE:$DE,0),57),0)),SUMIFS(T_Shipments[Confirmed_Qty],T_Shipments[Part Name],$A36,T_Shipments[Effective_Week],57))</f>
        <v/>
      </c>
      <c r="BG36">
        <f>IF(COUNTIF(Material_Detail!$DE:$DE,$A36)&gt;0,IF(ISNUMBER(SEARCH("[済]",INDEX(Material_Detail!$D:$DC,MATCH($A36,Material_Detail!$DE:$DE,0)+1,58))),0,IFERROR(INDEX(Material_Detail!$D:$DC,MATCH($A36,Material_Detail!$DE:$DE,0),58),0)),SUMIFS(T_Shipments[Confirmed_Qty],T_Shipments[Part Name],$A36,T_Shipments[Effective_Week],58))</f>
        <v/>
      </c>
      <c r="BH36">
        <f>IF(COUNTIF(Material_Detail!$DE:$DE,$A36)&gt;0,IF(ISNUMBER(SEARCH("[済]",INDEX(Material_Detail!$D:$DC,MATCH($A36,Material_Detail!$DE:$DE,0)+1,59))),0,IFERROR(INDEX(Material_Detail!$D:$DC,MATCH($A36,Material_Detail!$DE:$DE,0),59),0)),SUMIFS(T_Shipments[Confirmed_Qty],T_Shipments[Part Name],$A36,T_Shipments[Effective_Week],59))</f>
        <v/>
      </c>
      <c r="BI36">
        <f>IF(COUNTIF(Material_Detail!$DE:$DE,$A36)&gt;0,IF(ISNUMBER(SEARCH("[済]",INDEX(Material_Detail!$D:$DC,MATCH($A36,Material_Detail!$DE:$DE,0)+1,60))),0,IFERROR(INDEX(Material_Detail!$D:$DC,MATCH($A36,Material_Detail!$DE:$DE,0),60),0)),SUMIFS(T_Shipments[Confirmed_Qty],T_Shipments[Part Name],$A36,T_Shipments[Effective_Week],60))</f>
        <v/>
      </c>
      <c r="BJ36">
        <f>IF(COUNTIF(Material_Detail!$DE:$DE,$A36)&gt;0,IF(ISNUMBER(SEARCH("[済]",INDEX(Material_Detail!$D:$DC,MATCH($A36,Material_Detail!$DE:$DE,0)+1,61))),0,IFERROR(INDEX(Material_Detail!$D:$DC,MATCH($A36,Material_Detail!$DE:$DE,0),61),0)),SUMIFS(T_Shipments[Confirmed_Qty],T_Shipments[Part Name],$A36,T_Shipments[Effective_Week],61))</f>
        <v/>
      </c>
      <c r="BK36">
        <f>IF(COUNTIF(Material_Detail!$DE:$DE,$A36)&gt;0,IF(ISNUMBER(SEARCH("[済]",INDEX(Material_Detail!$D:$DC,MATCH($A36,Material_Detail!$DE:$DE,0)+1,62))),0,IFERROR(INDEX(Material_Detail!$D:$DC,MATCH($A36,Material_Detail!$DE:$DE,0),62),0)),SUMIFS(T_Shipments[Confirmed_Qty],T_Shipments[Part Name],$A36,T_Shipments[Effective_Week],62))</f>
        <v/>
      </c>
      <c r="BL36">
        <f>IF(COUNTIF(Material_Detail!$DE:$DE,$A36)&gt;0,IF(ISNUMBER(SEARCH("[済]",INDEX(Material_Detail!$D:$DC,MATCH($A36,Material_Detail!$DE:$DE,0)+1,63))),0,IFERROR(INDEX(Material_Detail!$D:$DC,MATCH($A36,Material_Detail!$DE:$DE,0),63),0)),SUMIFS(T_Shipments[Confirmed_Qty],T_Shipments[Part Name],$A36,T_Shipments[Effective_Week],63))</f>
        <v/>
      </c>
      <c r="BM36">
        <f>IF(COUNTIF(Material_Detail!$DE:$DE,$A36)&gt;0,IF(ISNUMBER(SEARCH("[済]",INDEX(Material_Detail!$D:$DC,MATCH($A36,Material_Detail!$DE:$DE,0)+1,64))),0,IFERROR(INDEX(Material_Detail!$D:$DC,MATCH($A36,Material_Detail!$DE:$DE,0),64),0)),SUMIFS(T_Shipments[Confirmed_Qty],T_Shipments[Part Name],$A36,T_Shipments[Effective_Week],64))</f>
        <v/>
      </c>
      <c r="BN36">
        <f>IF(COUNTIF(Material_Detail!$DE:$DE,$A36)&gt;0,IF(ISNUMBER(SEARCH("[済]",INDEX(Material_Detail!$D:$DC,MATCH($A36,Material_Detail!$DE:$DE,0)+1,65))),0,IFERROR(INDEX(Material_Detail!$D:$DC,MATCH($A36,Material_Detail!$DE:$DE,0),65),0)),SUMIFS(T_Shipments[Confirmed_Qty],T_Shipments[Part Name],$A36,T_Shipments[Effective_Week],65))</f>
        <v/>
      </c>
      <c r="BO36">
        <f>IF(COUNTIF(Material_Detail!$DE:$DE,$A36)&gt;0,IF(ISNUMBER(SEARCH("[済]",INDEX(Material_Detail!$D:$DC,MATCH($A36,Material_Detail!$DE:$DE,0)+1,66))),0,IFERROR(INDEX(Material_Detail!$D:$DC,MATCH($A36,Material_Detail!$DE:$DE,0),66),0)),SUMIFS(T_Shipments[Confirmed_Qty],T_Shipments[Part Name],$A36,T_Shipments[Effective_Week],66))</f>
        <v/>
      </c>
      <c r="BP36">
        <f>IF(COUNTIF(Material_Detail!$DE:$DE,$A36)&gt;0,IF(ISNUMBER(SEARCH("[済]",INDEX(Material_Detail!$D:$DC,MATCH($A36,Material_Detail!$DE:$DE,0)+1,67))),0,IFERROR(INDEX(Material_Detail!$D:$DC,MATCH($A36,Material_Detail!$DE:$DE,0),67),0)),SUMIFS(T_Shipments[Confirmed_Qty],T_Shipments[Part Name],$A36,T_Shipments[Effective_Week],67))</f>
        <v/>
      </c>
      <c r="BQ36">
        <f>IF(COUNTIF(Material_Detail!$DE:$DE,$A36)&gt;0,IF(ISNUMBER(SEARCH("[済]",INDEX(Material_Detail!$D:$DC,MATCH($A36,Material_Detail!$DE:$DE,0)+1,68))),0,IFERROR(INDEX(Material_Detail!$D:$DC,MATCH($A36,Material_Detail!$DE:$DE,0),68),0)),SUMIFS(T_Shipments[Confirmed_Qty],T_Shipments[Part Name],$A36,T_Shipments[Effective_Week],68))</f>
        <v/>
      </c>
      <c r="BR36">
        <f>IF(COUNTIF(Material_Detail!$DE:$DE,$A36)&gt;0,IF(ISNUMBER(SEARCH("[済]",INDEX(Material_Detail!$D:$DC,MATCH($A36,Material_Detail!$DE:$DE,0)+1,69))),0,IFERROR(INDEX(Material_Detail!$D:$DC,MATCH($A36,Material_Detail!$DE:$DE,0),69),0)),SUMIFS(T_Shipments[Confirmed_Qty],T_Shipments[Part Name],$A36,T_Shipments[Effective_Week],69))</f>
        <v/>
      </c>
      <c r="BS36">
        <f>IF(COUNTIF(Material_Detail!$DE:$DE,$A36)&gt;0,IF(ISNUMBER(SEARCH("[済]",INDEX(Material_Detail!$D:$DC,MATCH($A36,Material_Detail!$DE:$DE,0)+1,70))),0,IFERROR(INDEX(Material_Detail!$D:$DC,MATCH($A36,Material_Detail!$DE:$DE,0),70),0)),SUMIFS(T_Shipments[Confirmed_Qty],T_Shipments[Part Name],$A36,T_Shipments[Effective_Week],70))</f>
        <v/>
      </c>
      <c r="BT36">
        <f>IF(COUNTIF(Material_Detail!$DE:$DE,$A36)&gt;0,IF(ISNUMBER(SEARCH("[済]",INDEX(Material_Detail!$D:$DC,MATCH($A36,Material_Detail!$DE:$DE,0)+1,71))),0,IFERROR(INDEX(Material_Detail!$D:$DC,MATCH($A36,Material_Detail!$DE:$DE,0),71),0)),SUMIFS(T_Shipments[Confirmed_Qty],T_Shipments[Part Name],$A36,T_Shipments[Effective_Week],71))</f>
        <v/>
      </c>
      <c r="BU36">
        <f>IF(COUNTIF(Material_Detail!$DE:$DE,$A36)&gt;0,IF(ISNUMBER(SEARCH("[済]",INDEX(Material_Detail!$D:$DC,MATCH($A36,Material_Detail!$DE:$DE,0)+1,72))),0,IFERROR(INDEX(Material_Detail!$D:$DC,MATCH($A36,Material_Detail!$DE:$DE,0),72),0)),SUMIFS(T_Shipments[Confirmed_Qty],T_Shipments[Part Name],$A36,T_Shipments[Effective_Week],72))</f>
        <v/>
      </c>
      <c r="BV36">
        <f>IF(COUNTIF(Material_Detail!$DE:$DE,$A36)&gt;0,IF(ISNUMBER(SEARCH("[済]",INDEX(Material_Detail!$D:$DC,MATCH($A36,Material_Detail!$DE:$DE,0)+1,73))),0,IFERROR(INDEX(Material_Detail!$D:$DC,MATCH($A36,Material_Detail!$DE:$DE,0),73),0)),SUMIFS(T_Shipments[Confirmed_Qty],T_Shipments[Part Name],$A36,T_Shipments[Effective_Week],73))</f>
        <v/>
      </c>
      <c r="BW36">
        <f>IF(COUNTIF(Material_Detail!$DE:$DE,$A36)&gt;0,IF(ISNUMBER(SEARCH("[済]",INDEX(Material_Detail!$D:$DC,MATCH($A36,Material_Detail!$DE:$DE,0)+1,74))),0,IFERROR(INDEX(Material_Detail!$D:$DC,MATCH($A36,Material_Detail!$DE:$DE,0),74),0)),SUMIFS(T_Shipments[Confirmed_Qty],T_Shipments[Part Name],$A36,T_Shipments[Effective_Week],74))</f>
        <v/>
      </c>
      <c r="BX36">
        <f>IF(COUNTIF(Material_Detail!$DE:$DE,$A36)&gt;0,IF(ISNUMBER(SEARCH("[済]",INDEX(Material_Detail!$D:$DC,MATCH($A36,Material_Detail!$DE:$DE,0)+1,75))),0,IFERROR(INDEX(Material_Detail!$D:$DC,MATCH($A36,Material_Detail!$DE:$DE,0),75),0)),SUMIFS(T_Shipments[Confirmed_Qty],T_Shipments[Part Name],$A36,T_Shipments[Effective_Week],75))</f>
        <v/>
      </c>
      <c r="BY36">
        <f>IF(COUNTIF(Material_Detail!$DE:$DE,$A36)&gt;0,IF(ISNUMBER(SEARCH("[済]",INDEX(Material_Detail!$D:$DC,MATCH($A36,Material_Detail!$DE:$DE,0)+1,76))),0,IFERROR(INDEX(Material_Detail!$D:$DC,MATCH($A36,Material_Detail!$DE:$DE,0),76),0)),SUMIFS(T_Shipments[Confirmed_Qty],T_Shipments[Part Name],$A36,T_Shipments[Effective_Week],76))</f>
        <v/>
      </c>
      <c r="BZ36">
        <f>IF(COUNTIF(Material_Detail!$DE:$DE,$A36)&gt;0,IF(ISNUMBER(SEARCH("[済]",INDEX(Material_Detail!$D:$DC,MATCH($A36,Material_Detail!$DE:$DE,0)+1,77))),0,IFERROR(INDEX(Material_Detail!$D:$DC,MATCH($A36,Material_Detail!$DE:$DE,0),77),0)),SUMIFS(T_Shipments[Confirmed_Qty],T_Shipments[Part Name],$A36,T_Shipments[Effective_Week],77))</f>
        <v/>
      </c>
      <c r="CA36">
        <f>IF(COUNTIF(Material_Detail!$DE:$DE,$A36)&gt;0,IF(ISNUMBER(SEARCH("[済]",INDEX(Material_Detail!$D:$DC,MATCH($A36,Material_Detail!$DE:$DE,0)+1,78))),0,IFERROR(INDEX(Material_Detail!$D:$DC,MATCH($A36,Material_Detail!$DE:$DE,0),78),0)),SUMIFS(T_Shipments[Confirmed_Qty],T_Shipments[Part Name],$A36,T_Shipments[Effective_Week],78))</f>
        <v/>
      </c>
      <c r="CB36">
        <f>IF(COUNTIF(Material_Detail!$DE:$DE,$A36)&gt;0,IF(ISNUMBER(SEARCH("[済]",INDEX(Material_Detail!$D:$DC,MATCH($A36,Material_Detail!$DE:$DE,0)+1,79))),0,IFERROR(INDEX(Material_Detail!$D:$DC,MATCH($A36,Material_Detail!$DE:$DE,0),79),0)),SUMIFS(T_Shipments[Confirmed_Qty],T_Shipments[Part Name],$A36,T_Shipments[Effective_Week],79))</f>
        <v/>
      </c>
      <c r="CC36">
        <f>IF(COUNTIF(Material_Detail!$DE:$DE,$A36)&gt;0,IF(ISNUMBER(SEARCH("[済]",INDEX(Material_Detail!$D:$DC,MATCH($A36,Material_Detail!$DE:$DE,0)+1,80))),0,IFERROR(INDEX(Material_Detail!$D:$DC,MATCH($A36,Material_Detail!$DE:$DE,0),80),0)),SUMIFS(T_Shipments[Confirmed_Qty],T_Shipments[Part Name],$A36,T_Shipments[Effective_Week],80))</f>
        <v/>
      </c>
      <c r="CD36">
        <f>IF(COUNTIF(Material_Detail!$DE:$DE,$A36)&gt;0,IF(ISNUMBER(SEARCH("[済]",INDEX(Material_Detail!$D:$DC,MATCH($A36,Material_Detail!$DE:$DE,0)+1,81))),0,IFERROR(INDEX(Material_Detail!$D:$DC,MATCH($A36,Material_Detail!$DE:$DE,0),81),0)),SUMIFS(T_Shipments[Confirmed_Qty],T_Shipments[Part Name],$A36,T_Shipments[Effective_Week],81))</f>
        <v/>
      </c>
      <c r="CE36">
        <f>IF(COUNTIF(Material_Detail!$DE:$DE,$A36)&gt;0,IF(ISNUMBER(SEARCH("[済]",INDEX(Material_Detail!$D:$DC,MATCH($A36,Material_Detail!$DE:$DE,0)+1,82))),0,IFERROR(INDEX(Material_Detail!$D:$DC,MATCH($A36,Material_Detail!$DE:$DE,0),82),0)),SUMIFS(T_Shipments[Confirmed_Qty],T_Shipments[Part Name],$A36,T_Shipments[Effective_Week],82))</f>
        <v/>
      </c>
      <c r="CF36">
        <f>IF(COUNTIF(Material_Detail!$DE:$DE,$A36)&gt;0,IF(ISNUMBER(SEARCH("[済]",INDEX(Material_Detail!$D:$DC,MATCH($A36,Material_Detail!$DE:$DE,0)+1,83))),0,IFERROR(INDEX(Material_Detail!$D:$DC,MATCH($A36,Material_Detail!$DE:$DE,0),83),0)),SUMIFS(T_Shipments[Confirmed_Qty],T_Shipments[Part Name],$A36,T_Shipments[Effective_Week],83))</f>
        <v/>
      </c>
      <c r="CG36">
        <f>IF(COUNTIF(Material_Detail!$DE:$DE,$A36)&gt;0,IF(ISNUMBER(SEARCH("[済]",INDEX(Material_Detail!$D:$DC,MATCH($A36,Material_Detail!$DE:$DE,0)+1,84))),0,IFERROR(INDEX(Material_Detail!$D:$DC,MATCH($A36,Material_Detail!$DE:$DE,0),84),0)),SUMIFS(T_Shipments[Confirmed_Qty],T_Shipments[Part Name],$A36,T_Shipments[Effective_Week],84))</f>
        <v/>
      </c>
      <c r="CH36">
        <f>IF(COUNTIF(Material_Detail!$DE:$DE,$A36)&gt;0,IF(ISNUMBER(SEARCH("[済]",INDEX(Material_Detail!$D:$DC,MATCH($A36,Material_Detail!$DE:$DE,0)+1,85))),0,IFERROR(INDEX(Material_Detail!$D:$DC,MATCH($A36,Material_Detail!$DE:$DE,0),85),0)),SUMIFS(T_Shipments[Confirmed_Qty],T_Shipments[Part Name],$A36,T_Shipments[Effective_Week],85))</f>
        <v/>
      </c>
      <c r="CI36">
        <f>IF(COUNTIF(Material_Detail!$DE:$DE,$A36)&gt;0,IF(ISNUMBER(SEARCH("[済]",INDEX(Material_Detail!$D:$DC,MATCH($A36,Material_Detail!$DE:$DE,0)+1,86))),0,IFERROR(INDEX(Material_Detail!$D:$DC,MATCH($A36,Material_Detail!$DE:$DE,0),86),0)),SUMIFS(T_Shipments[Confirmed_Qty],T_Shipments[Part Name],$A36,T_Shipments[Effective_Week],86))</f>
        <v/>
      </c>
      <c r="CJ36">
        <f>IF(COUNTIF(Material_Detail!$DE:$DE,$A36)&gt;0,IF(ISNUMBER(SEARCH("[済]",INDEX(Material_Detail!$D:$DC,MATCH($A36,Material_Detail!$DE:$DE,0)+1,87))),0,IFERROR(INDEX(Material_Detail!$D:$DC,MATCH($A36,Material_Detail!$DE:$DE,0),87),0)),SUMIFS(T_Shipments[Confirmed_Qty],T_Shipments[Part Name],$A36,T_Shipments[Effective_Week],87))</f>
        <v/>
      </c>
      <c r="CK36">
        <f>IF(COUNTIF(Material_Detail!$DE:$DE,$A36)&gt;0,IF(ISNUMBER(SEARCH("[済]",INDEX(Material_Detail!$D:$DC,MATCH($A36,Material_Detail!$DE:$DE,0)+1,88))),0,IFERROR(INDEX(Material_Detail!$D:$DC,MATCH($A36,Material_Detail!$DE:$DE,0),88),0)),SUMIFS(T_Shipments[Confirmed_Qty],T_Shipments[Part Name],$A36,T_Shipments[Effective_Week],88))</f>
        <v/>
      </c>
      <c r="CL36">
        <f>IF(COUNTIF(Material_Detail!$DE:$DE,$A36)&gt;0,IF(ISNUMBER(SEARCH("[済]",INDEX(Material_Detail!$D:$DC,MATCH($A36,Material_Detail!$DE:$DE,0)+1,89))),0,IFERROR(INDEX(Material_Detail!$D:$DC,MATCH($A36,Material_Detail!$DE:$DE,0),89),0)),SUMIFS(T_Shipments[Confirmed_Qty],T_Shipments[Part Name],$A36,T_Shipments[Effective_Week],89))</f>
        <v/>
      </c>
      <c r="CM36">
        <f>IF(COUNTIF(Material_Detail!$DE:$DE,$A36)&gt;0,IF(ISNUMBER(SEARCH("[済]",INDEX(Material_Detail!$D:$DC,MATCH($A36,Material_Detail!$DE:$DE,0)+1,90))),0,IFERROR(INDEX(Material_Detail!$D:$DC,MATCH($A36,Material_Detail!$DE:$DE,0),90),0)),SUMIFS(T_Shipments[Confirmed_Qty],T_Shipments[Part Name],$A36,T_Shipments[Effective_Week],90))</f>
        <v/>
      </c>
      <c r="CN36">
        <f>IF(COUNTIF(Material_Detail!$DE:$DE,$A36)&gt;0,IF(ISNUMBER(SEARCH("[済]",INDEX(Material_Detail!$D:$DC,MATCH($A36,Material_Detail!$DE:$DE,0)+1,91))),0,IFERROR(INDEX(Material_Detail!$D:$DC,MATCH($A36,Material_Detail!$DE:$DE,0),91),0)),SUMIFS(T_Shipments[Confirmed_Qty],T_Shipments[Part Name],$A36,T_Shipments[Effective_Week],91))</f>
        <v/>
      </c>
      <c r="CO36">
        <f>IF(COUNTIF(Material_Detail!$DE:$DE,$A36)&gt;0,IF(ISNUMBER(SEARCH("[済]",INDEX(Material_Detail!$D:$DC,MATCH($A36,Material_Detail!$DE:$DE,0)+1,92))),0,IFERROR(INDEX(Material_Detail!$D:$DC,MATCH($A36,Material_Detail!$DE:$DE,0),92),0)),SUMIFS(T_Shipments[Confirmed_Qty],T_Shipments[Part Name],$A36,T_Shipments[Effective_Week],92))</f>
        <v/>
      </c>
      <c r="CP36">
        <f>IF(COUNTIF(Material_Detail!$DE:$DE,$A36)&gt;0,IF(ISNUMBER(SEARCH("[済]",INDEX(Material_Detail!$D:$DC,MATCH($A36,Material_Detail!$DE:$DE,0)+1,93))),0,IFERROR(INDEX(Material_Detail!$D:$DC,MATCH($A36,Material_Detail!$DE:$DE,0),93),0)),SUMIFS(T_Shipments[Confirmed_Qty],T_Shipments[Part Name],$A36,T_Shipments[Effective_Week],93))</f>
        <v/>
      </c>
      <c r="CQ36">
        <f>IF(COUNTIF(Material_Detail!$DE:$DE,$A36)&gt;0,IF(ISNUMBER(SEARCH("[済]",INDEX(Material_Detail!$D:$DC,MATCH($A36,Material_Detail!$DE:$DE,0)+1,94))),0,IFERROR(INDEX(Material_Detail!$D:$DC,MATCH($A36,Material_Detail!$DE:$DE,0),94),0)),SUMIFS(T_Shipments[Confirmed_Qty],T_Shipments[Part Name],$A36,T_Shipments[Effective_Week],94))</f>
        <v/>
      </c>
      <c r="CR36">
        <f>IF(COUNTIF(Material_Detail!$DE:$DE,$A36)&gt;0,IF(ISNUMBER(SEARCH("[済]",INDEX(Material_Detail!$D:$DC,MATCH($A36,Material_Detail!$DE:$DE,0)+1,95))),0,IFERROR(INDEX(Material_Detail!$D:$DC,MATCH($A36,Material_Detail!$DE:$DE,0),95),0)),SUMIFS(T_Shipments[Confirmed_Qty],T_Shipments[Part Name],$A36,T_Shipments[Effective_Week],95))</f>
        <v/>
      </c>
      <c r="CS36">
        <f>IF(COUNTIF(Material_Detail!$DE:$DE,$A36)&gt;0,IF(ISNUMBER(SEARCH("[済]",INDEX(Material_Detail!$D:$DC,MATCH($A36,Material_Detail!$DE:$DE,0)+1,96))),0,IFERROR(INDEX(Material_Detail!$D:$DC,MATCH($A36,Material_Detail!$DE:$DE,0),96),0)),SUMIFS(T_Shipments[Confirmed_Qty],T_Shipments[Part Name],$A36,T_Shipments[Effective_Week],96))</f>
        <v/>
      </c>
      <c r="CT36">
        <f>IF(COUNTIF(Material_Detail!$DE:$DE,$A36)&gt;0,IF(ISNUMBER(SEARCH("[済]",INDEX(Material_Detail!$D:$DC,MATCH($A36,Material_Detail!$DE:$DE,0)+1,97))),0,IFERROR(INDEX(Material_Detail!$D:$DC,MATCH($A36,Material_Detail!$DE:$DE,0),97),0)),SUMIFS(T_Shipments[Confirmed_Qty],T_Shipments[Part Name],$A36,T_Shipments[Effective_Week],97))</f>
        <v/>
      </c>
      <c r="CU36">
        <f>IF(COUNTIF(Material_Detail!$DE:$DE,$A36)&gt;0,IF(ISNUMBER(SEARCH("[済]",INDEX(Material_Detail!$D:$DC,MATCH($A36,Material_Detail!$DE:$DE,0)+1,98))),0,IFERROR(INDEX(Material_Detail!$D:$DC,MATCH($A36,Material_Detail!$DE:$DE,0),98),0)),SUMIFS(T_Shipments[Confirmed_Qty],T_Shipments[Part Name],$A36,T_Shipments[Effective_Week],98))</f>
        <v/>
      </c>
      <c r="CV36">
        <f>IF(COUNTIF(Material_Detail!$DE:$DE,$A36)&gt;0,IF(ISNUMBER(SEARCH("[済]",INDEX(Material_Detail!$D:$DC,MATCH($A36,Material_Detail!$DE:$DE,0)+1,99))),0,IFERROR(INDEX(Material_Detail!$D:$DC,MATCH($A36,Material_Detail!$DE:$DE,0),99),0)),SUMIFS(T_Shipments[Confirmed_Qty],T_Shipments[Part Name],$A36,T_Shipments[Effective_Week],99))</f>
        <v/>
      </c>
      <c r="CW36">
        <f>IF(COUNTIF(Material_Detail!$DE:$DE,$A36)&gt;0,IF(ISNUMBER(SEARCH("[済]",INDEX(Material_Detail!$D:$DC,MATCH($A36,Material_Detail!$DE:$DE,0)+1,100))),0,IFERROR(INDEX(Material_Detail!$D:$DC,MATCH($A36,Material_Detail!$DE:$DE,0),100),0)),SUMIFS(T_Shipments[Confirmed_Qty],T_Shipments[Part Name],$A36,T_Shipments[Effective_Week],100))</f>
        <v/>
      </c>
      <c r="CX36">
        <f>IF(COUNTIF(Material_Detail!$DE:$DE,$A36)&gt;0,IF(ISNUMBER(SEARCH("[済]",INDEX(Material_Detail!$D:$DC,MATCH($A36,Material_Detail!$DE:$DE,0)+1,101))),0,IFERROR(INDEX(Material_Detail!$D:$DC,MATCH($A36,Material_Detail!$DE:$DE,0),101),0)),SUMIFS(T_Shipments[Confirmed_Qty],T_Shipments[Part Name],$A36,T_Shipments[Effective_Week],101))</f>
        <v/>
      </c>
      <c r="CY36">
        <f>IF(COUNTIF(Material_Detail!$DE:$DE,$A36)&gt;0,IF(ISNUMBER(SEARCH("[済]",INDEX(Material_Detail!$D:$DC,MATCH($A36,Material_Detail!$DE:$DE,0)+1,102))),0,IFERROR(INDEX(Material_Detail!$D:$DC,MATCH($A36,Material_Detail!$DE:$DE,0),102),0)),SUMIFS(T_Shipments[Confirmed_Qty],T_Shipments[Part Name],$A36,T_Shipments[Effective_Week],102))</f>
        <v/>
      </c>
      <c r="CZ36">
        <f>IF(COUNTIF(Material_Detail!$DE:$DE,$A36)&gt;0,IF(ISNUMBER(SEARCH("[済]",INDEX(Material_Detail!$D:$DC,MATCH($A36,Material_Detail!$DE:$DE,0)+1,103))),0,IFERROR(INDEX(Material_Detail!$D:$DC,MATCH($A36,Material_Detail!$DE:$DE,0),103),0)),SUMIFS(T_Shipments[Confirmed_Qty],T_Shipments[Part Name],$A36,T_Shipments[Effective_Week],103))</f>
        <v/>
      </c>
      <c r="DA36">
        <f>IF(COUNTIF(Material_Detail!$DE:$DE,$A36)&gt;0,IF(ISNUMBER(SEARCH("[済]",INDEX(Material_Detail!$D:$DC,MATCH($A36,Material_Detail!$DE:$DE,0)+1,104))),0,IFERROR(INDEX(Material_Detail!$D:$DC,MATCH($A36,Material_Detail!$DE:$DE,0),104),0)),SUMIFS(T_Shipments[Confirmed_Qty],T_Shipments[Part Name],$A36,T_Shipments[Effective_Week],104))</f>
        <v/>
      </c>
    </row>
    <row r="37">
      <c r="A37" t="inlineStr">
        <is>
          <t>CHEM-1080</t>
        </is>
      </c>
      <c r="B37">
        <f>IF(COUNTIF(Material_Detail!$DE:$DE,$A37)&gt;0,IF(ISNUMBER(SEARCH("[済]",INDEX(Material_Detail!$D:$DC,MATCH($A37,Material_Detail!$DE:$DE,0)+1,1))),0,IFERROR(INDEX(Material_Detail!$D:$DC,MATCH($A37,Material_Detail!$DE:$DE,0),1),0)),SUMIFS(T_Shipments[Confirmed_Qty],T_Shipments[Part Name],$A37,T_Shipments[Effective_Week],1))</f>
        <v/>
      </c>
      <c r="C37">
        <f>IF(COUNTIF(Material_Detail!$DE:$DE,$A37)&gt;0,IF(ISNUMBER(SEARCH("[済]",INDEX(Material_Detail!$D:$DC,MATCH($A37,Material_Detail!$DE:$DE,0)+1,2))),0,IFERROR(INDEX(Material_Detail!$D:$DC,MATCH($A37,Material_Detail!$DE:$DE,0),2),0)),SUMIFS(T_Shipments[Confirmed_Qty],T_Shipments[Part Name],$A37,T_Shipments[Effective_Week],2))</f>
        <v/>
      </c>
      <c r="D37">
        <f>IF(COUNTIF(Material_Detail!$DE:$DE,$A37)&gt;0,IF(ISNUMBER(SEARCH("[済]",INDEX(Material_Detail!$D:$DC,MATCH($A37,Material_Detail!$DE:$DE,0)+1,3))),0,IFERROR(INDEX(Material_Detail!$D:$DC,MATCH($A37,Material_Detail!$DE:$DE,0),3),0)),SUMIFS(T_Shipments[Confirmed_Qty],T_Shipments[Part Name],$A37,T_Shipments[Effective_Week],3))</f>
        <v/>
      </c>
      <c r="E37">
        <f>IF(COUNTIF(Material_Detail!$DE:$DE,$A37)&gt;0,IF(ISNUMBER(SEARCH("[済]",INDEX(Material_Detail!$D:$DC,MATCH($A37,Material_Detail!$DE:$DE,0)+1,4))),0,IFERROR(INDEX(Material_Detail!$D:$DC,MATCH($A37,Material_Detail!$DE:$DE,0),4),0)),SUMIFS(T_Shipments[Confirmed_Qty],T_Shipments[Part Name],$A37,T_Shipments[Effective_Week],4))</f>
        <v/>
      </c>
      <c r="F37">
        <f>IF(COUNTIF(Material_Detail!$DE:$DE,$A37)&gt;0,IF(ISNUMBER(SEARCH("[済]",INDEX(Material_Detail!$D:$DC,MATCH($A37,Material_Detail!$DE:$DE,0)+1,5))),0,IFERROR(INDEX(Material_Detail!$D:$DC,MATCH($A37,Material_Detail!$DE:$DE,0),5),0)),SUMIFS(T_Shipments[Confirmed_Qty],T_Shipments[Part Name],$A37,T_Shipments[Effective_Week],5))</f>
        <v/>
      </c>
      <c r="G37">
        <f>IF(COUNTIF(Material_Detail!$DE:$DE,$A37)&gt;0,IF(ISNUMBER(SEARCH("[済]",INDEX(Material_Detail!$D:$DC,MATCH($A37,Material_Detail!$DE:$DE,0)+1,6))),0,IFERROR(INDEX(Material_Detail!$D:$DC,MATCH($A37,Material_Detail!$DE:$DE,0),6),0)),SUMIFS(T_Shipments[Confirmed_Qty],T_Shipments[Part Name],$A37,T_Shipments[Effective_Week],6))</f>
        <v/>
      </c>
      <c r="H37">
        <f>IF(COUNTIF(Material_Detail!$DE:$DE,$A37)&gt;0,IF(ISNUMBER(SEARCH("[済]",INDEX(Material_Detail!$D:$DC,MATCH($A37,Material_Detail!$DE:$DE,0)+1,7))),0,IFERROR(INDEX(Material_Detail!$D:$DC,MATCH($A37,Material_Detail!$DE:$DE,0),7),0)),SUMIFS(T_Shipments[Confirmed_Qty],T_Shipments[Part Name],$A37,T_Shipments[Effective_Week],7))</f>
        <v/>
      </c>
      <c r="I37">
        <f>IF(COUNTIF(Material_Detail!$DE:$DE,$A37)&gt;0,IF(ISNUMBER(SEARCH("[済]",INDEX(Material_Detail!$D:$DC,MATCH($A37,Material_Detail!$DE:$DE,0)+1,8))),0,IFERROR(INDEX(Material_Detail!$D:$DC,MATCH($A37,Material_Detail!$DE:$DE,0),8),0)),SUMIFS(T_Shipments[Confirmed_Qty],T_Shipments[Part Name],$A37,T_Shipments[Effective_Week],8))</f>
        <v/>
      </c>
      <c r="J37">
        <f>IF(COUNTIF(Material_Detail!$DE:$DE,$A37)&gt;0,IF(ISNUMBER(SEARCH("[済]",INDEX(Material_Detail!$D:$DC,MATCH($A37,Material_Detail!$DE:$DE,0)+1,9))),0,IFERROR(INDEX(Material_Detail!$D:$DC,MATCH($A37,Material_Detail!$DE:$DE,0),9),0)),SUMIFS(T_Shipments[Confirmed_Qty],T_Shipments[Part Name],$A37,T_Shipments[Effective_Week],9))</f>
        <v/>
      </c>
      <c r="K37">
        <f>IF(COUNTIF(Material_Detail!$DE:$DE,$A37)&gt;0,IF(ISNUMBER(SEARCH("[済]",INDEX(Material_Detail!$D:$DC,MATCH($A37,Material_Detail!$DE:$DE,0)+1,10))),0,IFERROR(INDEX(Material_Detail!$D:$DC,MATCH($A37,Material_Detail!$DE:$DE,0),10),0)),SUMIFS(T_Shipments[Confirmed_Qty],T_Shipments[Part Name],$A37,T_Shipments[Effective_Week],10))</f>
        <v/>
      </c>
      <c r="L37">
        <f>IF(COUNTIF(Material_Detail!$DE:$DE,$A37)&gt;0,IF(ISNUMBER(SEARCH("[済]",INDEX(Material_Detail!$D:$DC,MATCH($A37,Material_Detail!$DE:$DE,0)+1,11))),0,IFERROR(INDEX(Material_Detail!$D:$DC,MATCH($A37,Material_Detail!$DE:$DE,0),11),0)),SUMIFS(T_Shipments[Confirmed_Qty],T_Shipments[Part Name],$A37,T_Shipments[Effective_Week],11))</f>
        <v/>
      </c>
      <c r="M37">
        <f>IF(COUNTIF(Material_Detail!$DE:$DE,$A37)&gt;0,IF(ISNUMBER(SEARCH("[済]",INDEX(Material_Detail!$D:$DC,MATCH($A37,Material_Detail!$DE:$DE,0)+1,12))),0,IFERROR(INDEX(Material_Detail!$D:$DC,MATCH($A37,Material_Detail!$DE:$DE,0),12),0)),SUMIFS(T_Shipments[Confirmed_Qty],T_Shipments[Part Name],$A37,T_Shipments[Effective_Week],12))</f>
        <v/>
      </c>
      <c r="N37">
        <f>IF(COUNTIF(Material_Detail!$DE:$DE,$A37)&gt;0,IF(ISNUMBER(SEARCH("[済]",INDEX(Material_Detail!$D:$DC,MATCH($A37,Material_Detail!$DE:$DE,0)+1,13))),0,IFERROR(INDEX(Material_Detail!$D:$DC,MATCH($A37,Material_Detail!$DE:$DE,0),13),0)),SUMIFS(T_Shipments[Confirmed_Qty],T_Shipments[Part Name],$A37,T_Shipments[Effective_Week],13))</f>
        <v/>
      </c>
      <c r="O37">
        <f>IF(COUNTIF(Material_Detail!$DE:$DE,$A37)&gt;0,IF(ISNUMBER(SEARCH("[済]",INDEX(Material_Detail!$D:$DC,MATCH($A37,Material_Detail!$DE:$DE,0)+1,14))),0,IFERROR(INDEX(Material_Detail!$D:$DC,MATCH($A37,Material_Detail!$DE:$DE,0),14),0)),SUMIFS(T_Shipments[Confirmed_Qty],T_Shipments[Part Name],$A37,T_Shipments[Effective_Week],14))</f>
        <v/>
      </c>
      <c r="P37">
        <f>IF(COUNTIF(Material_Detail!$DE:$DE,$A37)&gt;0,IF(ISNUMBER(SEARCH("[済]",INDEX(Material_Detail!$D:$DC,MATCH($A37,Material_Detail!$DE:$DE,0)+1,15))),0,IFERROR(INDEX(Material_Detail!$D:$DC,MATCH($A37,Material_Detail!$DE:$DE,0),15),0)),SUMIFS(T_Shipments[Confirmed_Qty],T_Shipments[Part Name],$A37,T_Shipments[Effective_Week],15))</f>
        <v/>
      </c>
      <c r="Q37">
        <f>IF(COUNTIF(Material_Detail!$DE:$DE,$A37)&gt;0,IF(ISNUMBER(SEARCH("[済]",INDEX(Material_Detail!$D:$DC,MATCH($A37,Material_Detail!$DE:$DE,0)+1,16))),0,IFERROR(INDEX(Material_Detail!$D:$DC,MATCH($A37,Material_Detail!$DE:$DE,0),16),0)),SUMIFS(T_Shipments[Confirmed_Qty],T_Shipments[Part Name],$A37,T_Shipments[Effective_Week],16))</f>
        <v/>
      </c>
      <c r="R37">
        <f>IF(COUNTIF(Material_Detail!$DE:$DE,$A37)&gt;0,IF(ISNUMBER(SEARCH("[済]",INDEX(Material_Detail!$D:$DC,MATCH($A37,Material_Detail!$DE:$DE,0)+1,17))),0,IFERROR(INDEX(Material_Detail!$D:$DC,MATCH($A37,Material_Detail!$DE:$DE,0),17),0)),SUMIFS(T_Shipments[Confirmed_Qty],T_Shipments[Part Name],$A37,T_Shipments[Effective_Week],17))</f>
        <v/>
      </c>
      <c r="S37">
        <f>IF(COUNTIF(Material_Detail!$DE:$DE,$A37)&gt;0,IF(ISNUMBER(SEARCH("[済]",INDEX(Material_Detail!$D:$DC,MATCH($A37,Material_Detail!$DE:$DE,0)+1,18))),0,IFERROR(INDEX(Material_Detail!$D:$DC,MATCH($A37,Material_Detail!$DE:$DE,0),18),0)),SUMIFS(T_Shipments[Confirmed_Qty],T_Shipments[Part Name],$A37,T_Shipments[Effective_Week],18))</f>
        <v/>
      </c>
      <c r="T37">
        <f>IF(COUNTIF(Material_Detail!$DE:$DE,$A37)&gt;0,IF(ISNUMBER(SEARCH("[済]",INDEX(Material_Detail!$D:$DC,MATCH($A37,Material_Detail!$DE:$DE,0)+1,19))),0,IFERROR(INDEX(Material_Detail!$D:$DC,MATCH($A37,Material_Detail!$DE:$DE,0),19),0)),SUMIFS(T_Shipments[Confirmed_Qty],T_Shipments[Part Name],$A37,T_Shipments[Effective_Week],19))</f>
        <v/>
      </c>
      <c r="U37">
        <f>IF(COUNTIF(Material_Detail!$DE:$DE,$A37)&gt;0,IF(ISNUMBER(SEARCH("[済]",INDEX(Material_Detail!$D:$DC,MATCH($A37,Material_Detail!$DE:$DE,0)+1,20))),0,IFERROR(INDEX(Material_Detail!$D:$DC,MATCH($A37,Material_Detail!$DE:$DE,0),20),0)),SUMIFS(T_Shipments[Confirmed_Qty],T_Shipments[Part Name],$A37,T_Shipments[Effective_Week],20))</f>
        <v/>
      </c>
      <c r="V37">
        <f>IF(COUNTIF(Material_Detail!$DE:$DE,$A37)&gt;0,IF(ISNUMBER(SEARCH("[済]",INDEX(Material_Detail!$D:$DC,MATCH($A37,Material_Detail!$DE:$DE,0)+1,21))),0,IFERROR(INDEX(Material_Detail!$D:$DC,MATCH($A37,Material_Detail!$DE:$DE,0),21),0)),SUMIFS(T_Shipments[Confirmed_Qty],T_Shipments[Part Name],$A37,T_Shipments[Effective_Week],21))</f>
        <v/>
      </c>
      <c r="W37">
        <f>IF(COUNTIF(Material_Detail!$DE:$DE,$A37)&gt;0,IF(ISNUMBER(SEARCH("[済]",INDEX(Material_Detail!$D:$DC,MATCH($A37,Material_Detail!$DE:$DE,0)+1,22))),0,IFERROR(INDEX(Material_Detail!$D:$DC,MATCH($A37,Material_Detail!$DE:$DE,0),22),0)),SUMIFS(T_Shipments[Confirmed_Qty],T_Shipments[Part Name],$A37,T_Shipments[Effective_Week],22))</f>
        <v/>
      </c>
      <c r="X37">
        <f>IF(COUNTIF(Material_Detail!$DE:$DE,$A37)&gt;0,IF(ISNUMBER(SEARCH("[済]",INDEX(Material_Detail!$D:$DC,MATCH($A37,Material_Detail!$DE:$DE,0)+1,23))),0,IFERROR(INDEX(Material_Detail!$D:$DC,MATCH($A37,Material_Detail!$DE:$DE,0),23),0)),SUMIFS(T_Shipments[Confirmed_Qty],T_Shipments[Part Name],$A37,T_Shipments[Effective_Week],23))</f>
        <v/>
      </c>
      <c r="Y37">
        <f>IF(COUNTIF(Material_Detail!$DE:$DE,$A37)&gt;0,IF(ISNUMBER(SEARCH("[済]",INDEX(Material_Detail!$D:$DC,MATCH($A37,Material_Detail!$DE:$DE,0)+1,24))),0,IFERROR(INDEX(Material_Detail!$D:$DC,MATCH($A37,Material_Detail!$DE:$DE,0),24),0)),SUMIFS(T_Shipments[Confirmed_Qty],T_Shipments[Part Name],$A37,T_Shipments[Effective_Week],24))</f>
        <v/>
      </c>
      <c r="Z37">
        <f>IF(COUNTIF(Material_Detail!$DE:$DE,$A37)&gt;0,IF(ISNUMBER(SEARCH("[済]",INDEX(Material_Detail!$D:$DC,MATCH($A37,Material_Detail!$DE:$DE,0)+1,25))),0,IFERROR(INDEX(Material_Detail!$D:$DC,MATCH($A37,Material_Detail!$DE:$DE,0),25),0)),SUMIFS(T_Shipments[Confirmed_Qty],T_Shipments[Part Name],$A37,T_Shipments[Effective_Week],25))</f>
        <v/>
      </c>
      <c r="AA37">
        <f>IF(COUNTIF(Material_Detail!$DE:$DE,$A37)&gt;0,IF(ISNUMBER(SEARCH("[済]",INDEX(Material_Detail!$D:$DC,MATCH($A37,Material_Detail!$DE:$DE,0)+1,26))),0,IFERROR(INDEX(Material_Detail!$D:$DC,MATCH($A37,Material_Detail!$DE:$DE,0),26),0)),SUMIFS(T_Shipments[Confirmed_Qty],T_Shipments[Part Name],$A37,T_Shipments[Effective_Week],26))</f>
        <v/>
      </c>
      <c r="AB37">
        <f>IF(COUNTIF(Material_Detail!$DE:$DE,$A37)&gt;0,IF(ISNUMBER(SEARCH("[済]",INDEX(Material_Detail!$D:$DC,MATCH($A37,Material_Detail!$DE:$DE,0)+1,27))),0,IFERROR(INDEX(Material_Detail!$D:$DC,MATCH($A37,Material_Detail!$DE:$DE,0),27),0)),SUMIFS(T_Shipments[Confirmed_Qty],T_Shipments[Part Name],$A37,T_Shipments[Effective_Week],27))</f>
        <v/>
      </c>
      <c r="AC37">
        <f>IF(COUNTIF(Material_Detail!$DE:$DE,$A37)&gt;0,IF(ISNUMBER(SEARCH("[済]",INDEX(Material_Detail!$D:$DC,MATCH($A37,Material_Detail!$DE:$DE,0)+1,28))),0,IFERROR(INDEX(Material_Detail!$D:$DC,MATCH($A37,Material_Detail!$DE:$DE,0),28),0)),SUMIFS(T_Shipments[Confirmed_Qty],T_Shipments[Part Name],$A37,T_Shipments[Effective_Week],28))</f>
        <v/>
      </c>
      <c r="AD37">
        <f>IF(COUNTIF(Material_Detail!$DE:$DE,$A37)&gt;0,IF(ISNUMBER(SEARCH("[済]",INDEX(Material_Detail!$D:$DC,MATCH($A37,Material_Detail!$DE:$DE,0)+1,29))),0,IFERROR(INDEX(Material_Detail!$D:$DC,MATCH($A37,Material_Detail!$DE:$DE,0),29),0)),SUMIFS(T_Shipments[Confirmed_Qty],T_Shipments[Part Name],$A37,T_Shipments[Effective_Week],29))</f>
        <v/>
      </c>
      <c r="AE37">
        <f>IF(COUNTIF(Material_Detail!$DE:$DE,$A37)&gt;0,IF(ISNUMBER(SEARCH("[済]",INDEX(Material_Detail!$D:$DC,MATCH($A37,Material_Detail!$DE:$DE,0)+1,30))),0,IFERROR(INDEX(Material_Detail!$D:$DC,MATCH($A37,Material_Detail!$DE:$DE,0),30),0)),SUMIFS(T_Shipments[Confirmed_Qty],T_Shipments[Part Name],$A37,T_Shipments[Effective_Week],30))</f>
        <v/>
      </c>
      <c r="AF37">
        <f>IF(COUNTIF(Material_Detail!$DE:$DE,$A37)&gt;0,IF(ISNUMBER(SEARCH("[済]",INDEX(Material_Detail!$D:$DC,MATCH($A37,Material_Detail!$DE:$DE,0)+1,31))),0,IFERROR(INDEX(Material_Detail!$D:$DC,MATCH($A37,Material_Detail!$DE:$DE,0),31),0)),SUMIFS(T_Shipments[Confirmed_Qty],T_Shipments[Part Name],$A37,T_Shipments[Effective_Week],31))</f>
        <v/>
      </c>
      <c r="AG37">
        <f>IF(COUNTIF(Material_Detail!$DE:$DE,$A37)&gt;0,IF(ISNUMBER(SEARCH("[済]",INDEX(Material_Detail!$D:$DC,MATCH($A37,Material_Detail!$DE:$DE,0)+1,32))),0,IFERROR(INDEX(Material_Detail!$D:$DC,MATCH($A37,Material_Detail!$DE:$DE,0),32),0)),SUMIFS(T_Shipments[Confirmed_Qty],T_Shipments[Part Name],$A37,T_Shipments[Effective_Week],32))</f>
        <v/>
      </c>
      <c r="AH37">
        <f>IF(COUNTIF(Material_Detail!$DE:$DE,$A37)&gt;0,IF(ISNUMBER(SEARCH("[済]",INDEX(Material_Detail!$D:$DC,MATCH($A37,Material_Detail!$DE:$DE,0)+1,33))),0,IFERROR(INDEX(Material_Detail!$D:$DC,MATCH($A37,Material_Detail!$DE:$DE,0),33),0)),SUMIFS(T_Shipments[Confirmed_Qty],T_Shipments[Part Name],$A37,T_Shipments[Effective_Week],33))</f>
        <v/>
      </c>
      <c r="AI37">
        <f>IF(COUNTIF(Material_Detail!$DE:$DE,$A37)&gt;0,IF(ISNUMBER(SEARCH("[済]",INDEX(Material_Detail!$D:$DC,MATCH($A37,Material_Detail!$DE:$DE,0)+1,34))),0,IFERROR(INDEX(Material_Detail!$D:$DC,MATCH($A37,Material_Detail!$DE:$DE,0),34),0)),SUMIFS(T_Shipments[Confirmed_Qty],T_Shipments[Part Name],$A37,T_Shipments[Effective_Week],34))</f>
        <v/>
      </c>
      <c r="AJ37">
        <f>IF(COUNTIF(Material_Detail!$DE:$DE,$A37)&gt;0,IF(ISNUMBER(SEARCH("[済]",INDEX(Material_Detail!$D:$DC,MATCH($A37,Material_Detail!$DE:$DE,0)+1,35))),0,IFERROR(INDEX(Material_Detail!$D:$DC,MATCH($A37,Material_Detail!$DE:$DE,0),35),0)),SUMIFS(T_Shipments[Confirmed_Qty],T_Shipments[Part Name],$A37,T_Shipments[Effective_Week],35))</f>
        <v/>
      </c>
      <c r="AK37">
        <f>IF(COUNTIF(Material_Detail!$DE:$DE,$A37)&gt;0,IF(ISNUMBER(SEARCH("[済]",INDEX(Material_Detail!$D:$DC,MATCH($A37,Material_Detail!$DE:$DE,0)+1,36))),0,IFERROR(INDEX(Material_Detail!$D:$DC,MATCH($A37,Material_Detail!$DE:$DE,0),36),0)),SUMIFS(T_Shipments[Confirmed_Qty],T_Shipments[Part Name],$A37,T_Shipments[Effective_Week],36))</f>
        <v/>
      </c>
      <c r="AL37">
        <f>IF(COUNTIF(Material_Detail!$DE:$DE,$A37)&gt;0,IF(ISNUMBER(SEARCH("[済]",INDEX(Material_Detail!$D:$DC,MATCH($A37,Material_Detail!$DE:$DE,0)+1,37))),0,IFERROR(INDEX(Material_Detail!$D:$DC,MATCH($A37,Material_Detail!$DE:$DE,0),37),0)),SUMIFS(T_Shipments[Confirmed_Qty],T_Shipments[Part Name],$A37,T_Shipments[Effective_Week],37))</f>
        <v/>
      </c>
      <c r="AM37">
        <f>IF(COUNTIF(Material_Detail!$DE:$DE,$A37)&gt;0,IF(ISNUMBER(SEARCH("[済]",INDEX(Material_Detail!$D:$DC,MATCH($A37,Material_Detail!$DE:$DE,0)+1,38))),0,IFERROR(INDEX(Material_Detail!$D:$DC,MATCH($A37,Material_Detail!$DE:$DE,0),38),0)),SUMIFS(T_Shipments[Confirmed_Qty],T_Shipments[Part Name],$A37,T_Shipments[Effective_Week],38))</f>
        <v/>
      </c>
      <c r="AN37">
        <f>IF(COUNTIF(Material_Detail!$DE:$DE,$A37)&gt;0,IF(ISNUMBER(SEARCH("[済]",INDEX(Material_Detail!$D:$DC,MATCH($A37,Material_Detail!$DE:$DE,0)+1,39))),0,IFERROR(INDEX(Material_Detail!$D:$DC,MATCH($A37,Material_Detail!$DE:$DE,0),39),0)),SUMIFS(T_Shipments[Confirmed_Qty],T_Shipments[Part Name],$A37,T_Shipments[Effective_Week],39))</f>
        <v/>
      </c>
      <c r="AO37">
        <f>IF(COUNTIF(Material_Detail!$DE:$DE,$A37)&gt;0,IF(ISNUMBER(SEARCH("[済]",INDEX(Material_Detail!$D:$DC,MATCH($A37,Material_Detail!$DE:$DE,0)+1,40))),0,IFERROR(INDEX(Material_Detail!$D:$DC,MATCH($A37,Material_Detail!$DE:$DE,0),40),0)),SUMIFS(T_Shipments[Confirmed_Qty],T_Shipments[Part Name],$A37,T_Shipments[Effective_Week],40))</f>
        <v/>
      </c>
      <c r="AP37">
        <f>IF(COUNTIF(Material_Detail!$DE:$DE,$A37)&gt;0,IF(ISNUMBER(SEARCH("[済]",INDEX(Material_Detail!$D:$DC,MATCH($A37,Material_Detail!$DE:$DE,0)+1,41))),0,IFERROR(INDEX(Material_Detail!$D:$DC,MATCH($A37,Material_Detail!$DE:$DE,0),41),0)),SUMIFS(T_Shipments[Confirmed_Qty],T_Shipments[Part Name],$A37,T_Shipments[Effective_Week],41))</f>
        <v/>
      </c>
      <c r="AQ37">
        <f>IF(COUNTIF(Material_Detail!$DE:$DE,$A37)&gt;0,IF(ISNUMBER(SEARCH("[済]",INDEX(Material_Detail!$D:$DC,MATCH($A37,Material_Detail!$DE:$DE,0)+1,42))),0,IFERROR(INDEX(Material_Detail!$D:$DC,MATCH($A37,Material_Detail!$DE:$DE,0),42),0)),SUMIFS(T_Shipments[Confirmed_Qty],T_Shipments[Part Name],$A37,T_Shipments[Effective_Week],42))</f>
        <v/>
      </c>
      <c r="AR37">
        <f>IF(COUNTIF(Material_Detail!$DE:$DE,$A37)&gt;0,IF(ISNUMBER(SEARCH("[済]",INDEX(Material_Detail!$D:$DC,MATCH($A37,Material_Detail!$DE:$DE,0)+1,43))),0,IFERROR(INDEX(Material_Detail!$D:$DC,MATCH($A37,Material_Detail!$DE:$DE,0),43),0)),SUMIFS(T_Shipments[Confirmed_Qty],T_Shipments[Part Name],$A37,T_Shipments[Effective_Week],43))</f>
        <v/>
      </c>
      <c r="AS37">
        <f>IF(COUNTIF(Material_Detail!$DE:$DE,$A37)&gt;0,IF(ISNUMBER(SEARCH("[済]",INDEX(Material_Detail!$D:$DC,MATCH($A37,Material_Detail!$DE:$DE,0)+1,44))),0,IFERROR(INDEX(Material_Detail!$D:$DC,MATCH($A37,Material_Detail!$DE:$DE,0),44),0)),SUMIFS(T_Shipments[Confirmed_Qty],T_Shipments[Part Name],$A37,T_Shipments[Effective_Week],44))</f>
        <v/>
      </c>
      <c r="AT37">
        <f>IF(COUNTIF(Material_Detail!$DE:$DE,$A37)&gt;0,IF(ISNUMBER(SEARCH("[済]",INDEX(Material_Detail!$D:$DC,MATCH($A37,Material_Detail!$DE:$DE,0)+1,45))),0,IFERROR(INDEX(Material_Detail!$D:$DC,MATCH($A37,Material_Detail!$DE:$DE,0),45),0)),SUMIFS(T_Shipments[Confirmed_Qty],T_Shipments[Part Name],$A37,T_Shipments[Effective_Week],45))</f>
        <v/>
      </c>
      <c r="AU37">
        <f>IF(COUNTIF(Material_Detail!$DE:$DE,$A37)&gt;0,IF(ISNUMBER(SEARCH("[済]",INDEX(Material_Detail!$D:$DC,MATCH($A37,Material_Detail!$DE:$DE,0)+1,46))),0,IFERROR(INDEX(Material_Detail!$D:$DC,MATCH($A37,Material_Detail!$DE:$DE,0),46),0)),SUMIFS(T_Shipments[Confirmed_Qty],T_Shipments[Part Name],$A37,T_Shipments[Effective_Week],46))</f>
        <v/>
      </c>
      <c r="AV37">
        <f>IF(COUNTIF(Material_Detail!$DE:$DE,$A37)&gt;0,IF(ISNUMBER(SEARCH("[済]",INDEX(Material_Detail!$D:$DC,MATCH($A37,Material_Detail!$DE:$DE,0)+1,47))),0,IFERROR(INDEX(Material_Detail!$D:$DC,MATCH($A37,Material_Detail!$DE:$DE,0),47),0)),SUMIFS(T_Shipments[Confirmed_Qty],T_Shipments[Part Name],$A37,T_Shipments[Effective_Week],47))</f>
        <v/>
      </c>
      <c r="AW37">
        <f>IF(COUNTIF(Material_Detail!$DE:$DE,$A37)&gt;0,IF(ISNUMBER(SEARCH("[済]",INDEX(Material_Detail!$D:$DC,MATCH($A37,Material_Detail!$DE:$DE,0)+1,48))),0,IFERROR(INDEX(Material_Detail!$D:$DC,MATCH($A37,Material_Detail!$DE:$DE,0),48),0)),SUMIFS(T_Shipments[Confirmed_Qty],T_Shipments[Part Name],$A37,T_Shipments[Effective_Week],48))</f>
        <v/>
      </c>
      <c r="AX37">
        <f>IF(COUNTIF(Material_Detail!$DE:$DE,$A37)&gt;0,IF(ISNUMBER(SEARCH("[済]",INDEX(Material_Detail!$D:$DC,MATCH($A37,Material_Detail!$DE:$DE,0)+1,49))),0,IFERROR(INDEX(Material_Detail!$D:$DC,MATCH($A37,Material_Detail!$DE:$DE,0),49),0)),SUMIFS(T_Shipments[Confirmed_Qty],T_Shipments[Part Name],$A37,T_Shipments[Effective_Week],49))</f>
        <v/>
      </c>
      <c r="AY37">
        <f>IF(COUNTIF(Material_Detail!$DE:$DE,$A37)&gt;0,IF(ISNUMBER(SEARCH("[済]",INDEX(Material_Detail!$D:$DC,MATCH($A37,Material_Detail!$DE:$DE,0)+1,50))),0,IFERROR(INDEX(Material_Detail!$D:$DC,MATCH($A37,Material_Detail!$DE:$DE,0),50),0)),SUMIFS(T_Shipments[Confirmed_Qty],T_Shipments[Part Name],$A37,T_Shipments[Effective_Week],50))</f>
        <v/>
      </c>
      <c r="AZ37">
        <f>IF(COUNTIF(Material_Detail!$DE:$DE,$A37)&gt;0,IF(ISNUMBER(SEARCH("[済]",INDEX(Material_Detail!$D:$DC,MATCH($A37,Material_Detail!$DE:$DE,0)+1,51))),0,IFERROR(INDEX(Material_Detail!$D:$DC,MATCH($A37,Material_Detail!$DE:$DE,0),51),0)),SUMIFS(T_Shipments[Confirmed_Qty],T_Shipments[Part Name],$A37,T_Shipments[Effective_Week],51))</f>
        <v/>
      </c>
      <c r="BA37">
        <f>IF(COUNTIF(Material_Detail!$DE:$DE,$A37)&gt;0,IF(ISNUMBER(SEARCH("[済]",INDEX(Material_Detail!$D:$DC,MATCH($A37,Material_Detail!$DE:$DE,0)+1,52))),0,IFERROR(INDEX(Material_Detail!$D:$DC,MATCH($A37,Material_Detail!$DE:$DE,0),52),0)),SUMIFS(T_Shipments[Confirmed_Qty],T_Shipments[Part Name],$A37,T_Shipments[Effective_Week],52))</f>
        <v/>
      </c>
      <c r="BB37">
        <f>IF(COUNTIF(Material_Detail!$DE:$DE,$A37)&gt;0,IF(ISNUMBER(SEARCH("[済]",INDEX(Material_Detail!$D:$DC,MATCH($A37,Material_Detail!$DE:$DE,0)+1,53))),0,IFERROR(INDEX(Material_Detail!$D:$DC,MATCH($A37,Material_Detail!$DE:$DE,0),53),0)),SUMIFS(T_Shipments[Confirmed_Qty],T_Shipments[Part Name],$A37,T_Shipments[Effective_Week],53))</f>
        <v/>
      </c>
      <c r="BC37">
        <f>IF(COUNTIF(Material_Detail!$DE:$DE,$A37)&gt;0,IF(ISNUMBER(SEARCH("[済]",INDEX(Material_Detail!$D:$DC,MATCH($A37,Material_Detail!$DE:$DE,0)+1,54))),0,IFERROR(INDEX(Material_Detail!$D:$DC,MATCH($A37,Material_Detail!$DE:$DE,0),54),0)),SUMIFS(T_Shipments[Confirmed_Qty],T_Shipments[Part Name],$A37,T_Shipments[Effective_Week],54))</f>
        <v/>
      </c>
      <c r="BD37">
        <f>IF(COUNTIF(Material_Detail!$DE:$DE,$A37)&gt;0,IF(ISNUMBER(SEARCH("[済]",INDEX(Material_Detail!$D:$DC,MATCH($A37,Material_Detail!$DE:$DE,0)+1,55))),0,IFERROR(INDEX(Material_Detail!$D:$DC,MATCH($A37,Material_Detail!$DE:$DE,0),55),0)),SUMIFS(T_Shipments[Confirmed_Qty],T_Shipments[Part Name],$A37,T_Shipments[Effective_Week],55))</f>
        <v/>
      </c>
      <c r="BE37">
        <f>IF(COUNTIF(Material_Detail!$DE:$DE,$A37)&gt;0,IF(ISNUMBER(SEARCH("[済]",INDEX(Material_Detail!$D:$DC,MATCH($A37,Material_Detail!$DE:$DE,0)+1,56))),0,IFERROR(INDEX(Material_Detail!$D:$DC,MATCH($A37,Material_Detail!$DE:$DE,0),56),0)),SUMIFS(T_Shipments[Confirmed_Qty],T_Shipments[Part Name],$A37,T_Shipments[Effective_Week],56))</f>
        <v/>
      </c>
      <c r="BF37">
        <f>IF(COUNTIF(Material_Detail!$DE:$DE,$A37)&gt;0,IF(ISNUMBER(SEARCH("[済]",INDEX(Material_Detail!$D:$DC,MATCH($A37,Material_Detail!$DE:$DE,0)+1,57))),0,IFERROR(INDEX(Material_Detail!$D:$DC,MATCH($A37,Material_Detail!$DE:$DE,0),57),0)),SUMIFS(T_Shipments[Confirmed_Qty],T_Shipments[Part Name],$A37,T_Shipments[Effective_Week],57))</f>
        <v/>
      </c>
      <c r="BG37">
        <f>IF(COUNTIF(Material_Detail!$DE:$DE,$A37)&gt;0,IF(ISNUMBER(SEARCH("[済]",INDEX(Material_Detail!$D:$DC,MATCH($A37,Material_Detail!$DE:$DE,0)+1,58))),0,IFERROR(INDEX(Material_Detail!$D:$DC,MATCH($A37,Material_Detail!$DE:$DE,0),58),0)),SUMIFS(T_Shipments[Confirmed_Qty],T_Shipments[Part Name],$A37,T_Shipments[Effective_Week],58))</f>
        <v/>
      </c>
      <c r="BH37">
        <f>IF(COUNTIF(Material_Detail!$DE:$DE,$A37)&gt;0,IF(ISNUMBER(SEARCH("[済]",INDEX(Material_Detail!$D:$DC,MATCH($A37,Material_Detail!$DE:$DE,0)+1,59))),0,IFERROR(INDEX(Material_Detail!$D:$DC,MATCH($A37,Material_Detail!$DE:$DE,0),59),0)),SUMIFS(T_Shipments[Confirmed_Qty],T_Shipments[Part Name],$A37,T_Shipments[Effective_Week],59))</f>
        <v/>
      </c>
      <c r="BI37">
        <f>IF(COUNTIF(Material_Detail!$DE:$DE,$A37)&gt;0,IF(ISNUMBER(SEARCH("[済]",INDEX(Material_Detail!$D:$DC,MATCH($A37,Material_Detail!$DE:$DE,0)+1,60))),0,IFERROR(INDEX(Material_Detail!$D:$DC,MATCH($A37,Material_Detail!$DE:$DE,0),60),0)),SUMIFS(T_Shipments[Confirmed_Qty],T_Shipments[Part Name],$A37,T_Shipments[Effective_Week],60))</f>
        <v/>
      </c>
      <c r="BJ37">
        <f>IF(COUNTIF(Material_Detail!$DE:$DE,$A37)&gt;0,IF(ISNUMBER(SEARCH("[済]",INDEX(Material_Detail!$D:$DC,MATCH($A37,Material_Detail!$DE:$DE,0)+1,61))),0,IFERROR(INDEX(Material_Detail!$D:$DC,MATCH($A37,Material_Detail!$DE:$DE,0),61),0)),SUMIFS(T_Shipments[Confirmed_Qty],T_Shipments[Part Name],$A37,T_Shipments[Effective_Week],61))</f>
        <v/>
      </c>
      <c r="BK37">
        <f>IF(COUNTIF(Material_Detail!$DE:$DE,$A37)&gt;0,IF(ISNUMBER(SEARCH("[済]",INDEX(Material_Detail!$D:$DC,MATCH($A37,Material_Detail!$DE:$DE,0)+1,62))),0,IFERROR(INDEX(Material_Detail!$D:$DC,MATCH($A37,Material_Detail!$DE:$DE,0),62),0)),SUMIFS(T_Shipments[Confirmed_Qty],T_Shipments[Part Name],$A37,T_Shipments[Effective_Week],62))</f>
        <v/>
      </c>
      <c r="BL37">
        <f>IF(COUNTIF(Material_Detail!$DE:$DE,$A37)&gt;0,IF(ISNUMBER(SEARCH("[済]",INDEX(Material_Detail!$D:$DC,MATCH($A37,Material_Detail!$DE:$DE,0)+1,63))),0,IFERROR(INDEX(Material_Detail!$D:$DC,MATCH($A37,Material_Detail!$DE:$DE,0),63),0)),SUMIFS(T_Shipments[Confirmed_Qty],T_Shipments[Part Name],$A37,T_Shipments[Effective_Week],63))</f>
        <v/>
      </c>
      <c r="BM37">
        <f>IF(COUNTIF(Material_Detail!$DE:$DE,$A37)&gt;0,IF(ISNUMBER(SEARCH("[済]",INDEX(Material_Detail!$D:$DC,MATCH($A37,Material_Detail!$DE:$DE,0)+1,64))),0,IFERROR(INDEX(Material_Detail!$D:$DC,MATCH($A37,Material_Detail!$DE:$DE,0),64),0)),SUMIFS(T_Shipments[Confirmed_Qty],T_Shipments[Part Name],$A37,T_Shipments[Effective_Week],64))</f>
        <v/>
      </c>
      <c r="BN37">
        <f>IF(COUNTIF(Material_Detail!$DE:$DE,$A37)&gt;0,IF(ISNUMBER(SEARCH("[済]",INDEX(Material_Detail!$D:$DC,MATCH($A37,Material_Detail!$DE:$DE,0)+1,65))),0,IFERROR(INDEX(Material_Detail!$D:$DC,MATCH($A37,Material_Detail!$DE:$DE,0),65),0)),SUMIFS(T_Shipments[Confirmed_Qty],T_Shipments[Part Name],$A37,T_Shipments[Effective_Week],65))</f>
        <v/>
      </c>
      <c r="BO37">
        <f>IF(COUNTIF(Material_Detail!$DE:$DE,$A37)&gt;0,IF(ISNUMBER(SEARCH("[済]",INDEX(Material_Detail!$D:$DC,MATCH($A37,Material_Detail!$DE:$DE,0)+1,66))),0,IFERROR(INDEX(Material_Detail!$D:$DC,MATCH($A37,Material_Detail!$DE:$DE,0),66),0)),SUMIFS(T_Shipments[Confirmed_Qty],T_Shipments[Part Name],$A37,T_Shipments[Effective_Week],66))</f>
        <v/>
      </c>
      <c r="BP37">
        <f>IF(COUNTIF(Material_Detail!$DE:$DE,$A37)&gt;0,IF(ISNUMBER(SEARCH("[済]",INDEX(Material_Detail!$D:$DC,MATCH($A37,Material_Detail!$DE:$DE,0)+1,67))),0,IFERROR(INDEX(Material_Detail!$D:$DC,MATCH($A37,Material_Detail!$DE:$DE,0),67),0)),SUMIFS(T_Shipments[Confirmed_Qty],T_Shipments[Part Name],$A37,T_Shipments[Effective_Week],67))</f>
        <v/>
      </c>
      <c r="BQ37">
        <f>IF(COUNTIF(Material_Detail!$DE:$DE,$A37)&gt;0,IF(ISNUMBER(SEARCH("[済]",INDEX(Material_Detail!$D:$DC,MATCH($A37,Material_Detail!$DE:$DE,0)+1,68))),0,IFERROR(INDEX(Material_Detail!$D:$DC,MATCH($A37,Material_Detail!$DE:$DE,0),68),0)),SUMIFS(T_Shipments[Confirmed_Qty],T_Shipments[Part Name],$A37,T_Shipments[Effective_Week],68))</f>
        <v/>
      </c>
      <c r="BR37">
        <f>IF(COUNTIF(Material_Detail!$DE:$DE,$A37)&gt;0,IF(ISNUMBER(SEARCH("[済]",INDEX(Material_Detail!$D:$DC,MATCH($A37,Material_Detail!$DE:$DE,0)+1,69))),0,IFERROR(INDEX(Material_Detail!$D:$DC,MATCH($A37,Material_Detail!$DE:$DE,0),69),0)),SUMIFS(T_Shipments[Confirmed_Qty],T_Shipments[Part Name],$A37,T_Shipments[Effective_Week],69))</f>
        <v/>
      </c>
      <c r="BS37">
        <f>IF(COUNTIF(Material_Detail!$DE:$DE,$A37)&gt;0,IF(ISNUMBER(SEARCH("[済]",INDEX(Material_Detail!$D:$DC,MATCH($A37,Material_Detail!$DE:$DE,0)+1,70))),0,IFERROR(INDEX(Material_Detail!$D:$DC,MATCH($A37,Material_Detail!$DE:$DE,0),70),0)),SUMIFS(T_Shipments[Confirmed_Qty],T_Shipments[Part Name],$A37,T_Shipments[Effective_Week],70))</f>
        <v/>
      </c>
      <c r="BT37">
        <f>IF(COUNTIF(Material_Detail!$DE:$DE,$A37)&gt;0,IF(ISNUMBER(SEARCH("[済]",INDEX(Material_Detail!$D:$DC,MATCH($A37,Material_Detail!$DE:$DE,0)+1,71))),0,IFERROR(INDEX(Material_Detail!$D:$DC,MATCH($A37,Material_Detail!$DE:$DE,0),71),0)),SUMIFS(T_Shipments[Confirmed_Qty],T_Shipments[Part Name],$A37,T_Shipments[Effective_Week],71))</f>
        <v/>
      </c>
      <c r="BU37">
        <f>IF(COUNTIF(Material_Detail!$DE:$DE,$A37)&gt;0,IF(ISNUMBER(SEARCH("[済]",INDEX(Material_Detail!$D:$DC,MATCH($A37,Material_Detail!$DE:$DE,0)+1,72))),0,IFERROR(INDEX(Material_Detail!$D:$DC,MATCH($A37,Material_Detail!$DE:$DE,0),72),0)),SUMIFS(T_Shipments[Confirmed_Qty],T_Shipments[Part Name],$A37,T_Shipments[Effective_Week],72))</f>
        <v/>
      </c>
      <c r="BV37">
        <f>IF(COUNTIF(Material_Detail!$DE:$DE,$A37)&gt;0,IF(ISNUMBER(SEARCH("[済]",INDEX(Material_Detail!$D:$DC,MATCH($A37,Material_Detail!$DE:$DE,0)+1,73))),0,IFERROR(INDEX(Material_Detail!$D:$DC,MATCH($A37,Material_Detail!$DE:$DE,0),73),0)),SUMIFS(T_Shipments[Confirmed_Qty],T_Shipments[Part Name],$A37,T_Shipments[Effective_Week],73))</f>
        <v/>
      </c>
      <c r="BW37">
        <f>IF(COUNTIF(Material_Detail!$DE:$DE,$A37)&gt;0,IF(ISNUMBER(SEARCH("[済]",INDEX(Material_Detail!$D:$DC,MATCH($A37,Material_Detail!$DE:$DE,0)+1,74))),0,IFERROR(INDEX(Material_Detail!$D:$DC,MATCH($A37,Material_Detail!$DE:$DE,0),74),0)),SUMIFS(T_Shipments[Confirmed_Qty],T_Shipments[Part Name],$A37,T_Shipments[Effective_Week],74))</f>
        <v/>
      </c>
      <c r="BX37">
        <f>IF(COUNTIF(Material_Detail!$DE:$DE,$A37)&gt;0,IF(ISNUMBER(SEARCH("[済]",INDEX(Material_Detail!$D:$DC,MATCH($A37,Material_Detail!$DE:$DE,0)+1,75))),0,IFERROR(INDEX(Material_Detail!$D:$DC,MATCH($A37,Material_Detail!$DE:$DE,0),75),0)),SUMIFS(T_Shipments[Confirmed_Qty],T_Shipments[Part Name],$A37,T_Shipments[Effective_Week],75))</f>
        <v/>
      </c>
      <c r="BY37">
        <f>IF(COUNTIF(Material_Detail!$DE:$DE,$A37)&gt;0,IF(ISNUMBER(SEARCH("[済]",INDEX(Material_Detail!$D:$DC,MATCH($A37,Material_Detail!$DE:$DE,0)+1,76))),0,IFERROR(INDEX(Material_Detail!$D:$DC,MATCH($A37,Material_Detail!$DE:$DE,0),76),0)),SUMIFS(T_Shipments[Confirmed_Qty],T_Shipments[Part Name],$A37,T_Shipments[Effective_Week],76))</f>
        <v/>
      </c>
      <c r="BZ37">
        <f>IF(COUNTIF(Material_Detail!$DE:$DE,$A37)&gt;0,IF(ISNUMBER(SEARCH("[済]",INDEX(Material_Detail!$D:$DC,MATCH($A37,Material_Detail!$DE:$DE,0)+1,77))),0,IFERROR(INDEX(Material_Detail!$D:$DC,MATCH($A37,Material_Detail!$DE:$DE,0),77),0)),SUMIFS(T_Shipments[Confirmed_Qty],T_Shipments[Part Name],$A37,T_Shipments[Effective_Week],77))</f>
        <v/>
      </c>
      <c r="CA37">
        <f>IF(COUNTIF(Material_Detail!$DE:$DE,$A37)&gt;0,IF(ISNUMBER(SEARCH("[済]",INDEX(Material_Detail!$D:$DC,MATCH($A37,Material_Detail!$DE:$DE,0)+1,78))),0,IFERROR(INDEX(Material_Detail!$D:$DC,MATCH($A37,Material_Detail!$DE:$DE,0),78),0)),SUMIFS(T_Shipments[Confirmed_Qty],T_Shipments[Part Name],$A37,T_Shipments[Effective_Week],78))</f>
        <v/>
      </c>
      <c r="CB37">
        <f>IF(COUNTIF(Material_Detail!$DE:$DE,$A37)&gt;0,IF(ISNUMBER(SEARCH("[済]",INDEX(Material_Detail!$D:$DC,MATCH($A37,Material_Detail!$DE:$DE,0)+1,79))),0,IFERROR(INDEX(Material_Detail!$D:$DC,MATCH($A37,Material_Detail!$DE:$DE,0),79),0)),SUMIFS(T_Shipments[Confirmed_Qty],T_Shipments[Part Name],$A37,T_Shipments[Effective_Week],79))</f>
        <v/>
      </c>
      <c r="CC37">
        <f>IF(COUNTIF(Material_Detail!$DE:$DE,$A37)&gt;0,IF(ISNUMBER(SEARCH("[済]",INDEX(Material_Detail!$D:$DC,MATCH($A37,Material_Detail!$DE:$DE,0)+1,80))),0,IFERROR(INDEX(Material_Detail!$D:$DC,MATCH($A37,Material_Detail!$DE:$DE,0),80),0)),SUMIFS(T_Shipments[Confirmed_Qty],T_Shipments[Part Name],$A37,T_Shipments[Effective_Week],80))</f>
        <v/>
      </c>
      <c r="CD37">
        <f>IF(COUNTIF(Material_Detail!$DE:$DE,$A37)&gt;0,IF(ISNUMBER(SEARCH("[済]",INDEX(Material_Detail!$D:$DC,MATCH($A37,Material_Detail!$DE:$DE,0)+1,81))),0,IFERROR(INDEX(Material_Detail!$D:$DC,MATCH($A37,Material_Detail!$DE:$DE,0),81),0)),SUMIFS(T_Shipments[Confirmed_Qty],T_Shipments[Part Name],$A37,T_Shipments[Effective_Week],81))</f>
        <v/>
      </c>
      <c r="CE37">
        <f>IF(COUNTIF(Material_Detail!$DE:$DE,$A37)&gt;0,IF(ISNUMBER(SEARCH("[済]",INDEX(Material_Detail!$D:$DC,MATCH($A37,Material_Detail!$DE:$DE,0)+1,82))),0,IFERROR(INDEX(Material_Detail!$D:$DC,MATCH($A37,Material_Detail!$DE:$DE,0),82),0)),SUMIFS(T_Shipments[Confirmed_Qty],T_Shipments[Part Name],$A37,T_Shipments[Effective_Week],82))</f>
        <v/>
      </c>
      <c r="CF37">
        <f>IF(COUNTIF(Material_Detail!$DE:$DE,$A37)&gt;0,IF(ISNUMBER(SEARCH("[済]",INDEX(Material_Detail!$D:$DC,MATCH($A37,Material_Detail!$DE:$DE,0)+1,83))),0,IFERROR(INDEX(Material_Detail!$D:$DC,MATCH($A37,Material_Detail!$DE:$DE,0),83),0)),SUMIFS(T_Shipments[Confirmed_Qty],T_Shipments[Part Name],$A37,T_Shipments[Effective_Week],83))</f>
        <v/>
      </c>
      <c r="CG37">
        <f>IF(COUNTIF(Material_Detail!$DE:$DE,$A37)&gt;0,IF(ISNUMBER(SEARCH("[済]",INDEX(Material_Detail!$D:$DC,MATCH($A37,Material_Detail!$DE:$DE,0)+1,84))),0,IFERROR(INDEX(Material_Detail!$D:$DC,MATCH($A37,Material_Detail!$DE:$DE,0),84),0)),SUMIFS(T_Shipments[Confirmed_Qty],T_Shipments[Part Name],$A37,T_Shipments[Effective_Week],84))</f>
        <v/>
      </c>
      <c r="CH37">
        <f>IF(COUNTIF(Material_Detail!$DE:$DE,$A37)&gt;0,IF(ISNUMBER(SEARCH("[済]",INDEX(Material_Detail!$D:$DC,MATCH($A37,Material_Detail!$DE:$DE,0)+1,85))),0,IFERROR(INDEX(Material_Detail!$D:$DC,MATCH($A37,Material_Detail!$DE:$DE,0),85),0)),SUMIFS(T_Shipments[Confirmed_Qty],T_Shipments[Part Name],$A37,T_Shipments[Effective_Week],85))</f>
        <v/>
      </c>
      <c r="CI37">
        <f>IF(COUNTIF(Material_Detail!$DE:$DE,$A37)&gt;0,IF(ISNUMBER(SEARCH("[済]",INDEX(Material_Detail!$D:$DC,MATCH($A37,Material_Detail!$DE:$DE,0)+1,86))),0,IFERROR(INDEX(Material_Detail!$D:$DC,MATCH($A37,Material_Detail!$DE:$DE,0),86),0)),SUMIFS(T_Shipments[Confirmed_Qty],T_Shipments[Part Name],$A37,T_Shipments[Effective_Week],86))</f>
        <v/>
      </c>
      <c r="CJ37">
        <f>IF(COUNTIF(Material_Detail!$DE:$DE,$A37)&gt;0,IF(ISNUMBER(SEARCH("[済]",INDEX(Material_Detail!$D:$DC,MATCH($A37,Material_Detail!$DE:$DE,0)+1,87))),0,IFERROR(INDEX(Material_Detail!$D:$DC,MATCH($A37,Material_Detail!$DE:$DE,0),87),0)),SUMIFS(T_Shipments[Confirmed_Qty],T_Shipments[Part Name],$A37,T_Shipments[Effective_Week],87))</f>
        <v/>
      </c>
      <c r="CK37">
        <f>IF(COUNTIF(Material_Detail!$DE:$DE,$A37)&gt;0,IF(ISNUMBER(SEARCH("[済]",INDEX(Material_Detail!$D:$DC,MATCH($A37,Material_Detail!$DE:$DE,0)+1,88))),0,IFERROR(INDEX(Material_Detail!$D:$DC,MATCH($A37,Material_Detail!$DE:$DE,0),88),0)),SUMIFS(T_Shipments[Confirmed_Qty],T_Shipments[Part Name],$A37,T_Shipments[Effective_Week],88))</f>
        <v/>
      </c>
      <c r="CL37">
        <f>IF(COUNTIF(Material_Detail!$DE:$DE,$A37)&gt;0,IF(ISNUMBER(SEARCH("[済]",INDEX(Material_Detail!$D:$DC,MATCH($A37,Material_Detail!$DE:$DE,0)+1,89))),0,IFERROR(INDEX(Material_Detail!$D:$DC,MATCH($A37,Material_Detail!$DE:$DE,0),89),0)),SUMIFS(T_Shipments[Confirmed_Qty],T_Shipments[Part Name],$A37,T_Shipments[Effective_Week],89))</f>
        <v/>
      </c>
      <c r="CM37">
        <f>IF(COUNTIF(Material_Detail!$DE:$DE,$A37)&gt;0,IF(ISNUMBER(SEARCH("[済]",INDEX(Material_Detail!$D:$DC,MATCH($A37,Material_Detail!$DE:$DE,0)+1,90))),0,IFERROR(INDEX(Material_Detail!$D:$DC,MATCH($A37,Material_Detail!$DE:$DE,0),90),0)),SUMIFS(T_Shipments[Confirmed_Qty],T_Shipments[Part Name],$A37,T_Shipments[Effective_Week],90))</f>
        <v/>
      </c>
      <c r="CN37">
        <f>IF(COUNTIF(Material_Detail!$DE:$DE,$A37)&gt;0,IF(ISNUMBER(SEARCH("[済]",INDEX(Material_Detail!$D:$DC,MATCH($A37,Material_Detail!$DE:$DE,0)+1,91))),0,IFERROR(INDEX(Material_Detail!$D:$DC,MATCH($A37,Material_Detail!$DE:$DE,0),91),0)),SUMIFS(T_Shipments[Confirmed_Qty],T_Shipments[Part Name],$A37,T_Shipments[Effective_Week],91))</f>
        <v/>
      </c>
      <c r="CO37">
        <f>IF(COUNTIF(Material_Detail!$DE:$DE,$A37)&gt;0,IF(ISNUMBER(SEARCH("[済]",INDEX(Material_Detail!$D:$DC,MATCH($A37,Material_Detail!$DE:$DE,0)+1,92))),0,IFERROR(INDEX(Material_Detail!$D:$DC,MATCH($A37,Material_Detail!$DE:$DE,0),92),0)),SUMIFS(T_Shipments[Confirmed_Qty],T_Shipments[Part Name],$A37,T_Shipments[Effective_Week],92))</f>
        <v/>
      </c>
      <c r="CP37">
        <f>IF(COUNTIF(Material_Detail!$DE:$DE,$A37)&gt;0,IF(ISNUMBER(SEARCH("[済]",INDEX(Material_Detail!$D:$DC,MATCH($A37,Material_Detail!$DE:$DE,0)+1,93))),0,IFERROR(INDEX(Material_Detail!$D:$DC,MATCH($A37,Material_Detail!$DE:$DE,0),93),0)),SUMIFS(T_Shipments[Confirmed_Qty],T_Shipments[Part Name],$A37,T_Shipments[Effective_Week],93))</f>
        <v/>
      </c>
      <c r="CQ37">
        <f>IF(COUNTIF(Material_Detail!$DE:$DE,$A37)&gt;0,IF(ISNUMBER(SEARCH("[済]",INDEX(Material_Detail!$D:$DC,MATCH($A37,Material_Detail!$DE:$DE,0)+1,94))),0,IFERROR(INDEX(Material_Detail!$D:$DC,MATCH($A37,Material_Detail!$DE:$DE,0),94),0)),SUMIFS(T_Shipments[Confirmed_Qty],T_Shipments[Part Name],$A37,T_Shipments[Effective_Week],94))</f>
        <v/>
      </c>
      <c r="CR37">
        <f>IF(COUNTIF(Material_Detail!$DE:$DE,$A37)&gt;0,IF(ISNUMBER(SEARCH("[済]",INDEX(Material_Detail!$D:$DC,MATCH($A37,Material_Detail!$DE:$DE,0)+1,95))),0,IFERROR(INDEX(Material_Detail!$D:$DC,MATCH($A37,Material_Detail!$DE:$DE,0),95),0)),SUMIFS(T_Shipments[Confirmed_Qty],T_Shipments[Part Name],$A37,T_Shipments[Effective_Week],95))</f>
        <v/>
      </c>
      <c r="CS37">
        <f>IF(COUNTIF(Material_Detail!$DE:$DE,$A37)&gt;0,IF(ISNUMBER(SEARCH("[済]",INDEX(Material_Detail!$D:$DC,MATCH($A37,Material_Detail!$DE:$DE,0)+1,96))),0,IFERROR(INDEX(Material_Detail!$D:$DC,MATCH($A37,Material_Detail!$DE:$DE,0),96),0)),SUMIFS(T_Shipments[Confirmed_Qty],T_Shipments[Part Name],$A37,T_Shipments[Effective_Week],96))</f>
        <v/>
      </c>
      <c r="CT37">
        <f>IF(COUNTIF(Material_Detail!$DE:$DE,$A37)&gt;0,IF(ISNUMBER(SEARCH("[済]",INDEX(Material_Detail!$D:$DC,MATCH($A37,Material_Detail!$DE:$DE,0)+1,97))),0,IFERROR(INDEX(Material_Detail!$D:$DC,MATCH($A37,Material_Detail!$DE:$DE,0),97),0)),SUMIFS(T_Shipments[Confirmed_Qty],T_Shipments[Part Name],$A37,T_Shipments[Effective_Week],97))</f>
        <v/>
      </c>
      <c r="CU37">
        <f>IF(COUNTIF(Material_Detail!$DE:$DE,$A37)&gt;0,IF(ISNUMBER(SEARCH("[済]",INDEX(Material_Detail!$D:$DC,MATCH($A37,Material_Detail!$DE:$DE,0)+1,98))),0,IFERROR(INDEX(Material_Detail!$D:$DC,MATCH($A37,Material_Detail!$DE:$DE,0),98),0)),SUMIFS(T_Shipments[Confirmed_Qty],T_Shipments[Part Name],$A37,T_Shipments[Effective_Week],98))</f>
        <v/>
      </c>
      <c r="CV37">
        <f>IF(COUNTIF(Material_Detail!$DE:$DE,$A37)&gt;0,IF(ISNUMBER(SEARCH("[済]",INDEX(Material_Detail!$D:$DC,MATCH($A37,Material_Detail!$DE:$DE,0)+1,99))),0,IFERROR(INDEX(Material_Detail!$D:$DC,MATCH($A37,Material_Detail!$DE:$DE,0),99),0)),SUMIFS(T_Shipments[Confirmed_Qty],T_Shipments[Part Name],$A37,T_Shipments[Effective_Week],99))</f>
        <v/>
      </c>
      <c r="CW37">
        <f>IF(COUNTIF(Material_Detail!$DE:$DE,$A37)&gt;0,IF(ISNUMBER(SEARCH("[済]",INDEX(Material_Detail!$D:$DC,MATCH($A37,Material_Detail!$DE:$DE,0)+1,100))),0,IFERROR(INDEX(Material_Detail!$D:$DC,MATCH($A37,Material_Detail!$DE:$DE,0),100),0)),SUMIFS(T_Shipments[Confirmed_Qty],T_Shipments[Part Name],$A37,T_Shipments[Effective_Week],100))</f>
        <v/>
      </c>
      <c r="CX37">
        <f>IF(COUNTIF(Material_Detail!$DE:$DE,$A37)&gt;0,IF(ISNUMBER(SEARCH("[済]",INDEX(Material_Detail!$D:$DC,MATCH($A37,Material_Detail!$DE:$DE,0)+1,101))),0,IFERROR(INDEX(Material_Detail!$D:$DC,MATCH($A37,Material_Detail!$DE:$DE,0),101),0)),SUMIFS(T_Shipments[Confirmed_Qty],T_Shipments[Part Name],$A37,T_Shipments[Effective_Week],101))</f>
        <v/>
      </c>
      <c r="CY37">
        <f>IF(COUNTIF(Material_Detail!$DE:$DE,$A37)&gt;0,IF(ISNUMBER(SEARCH("[済]",INDEX(Material_Detail!$D:$DC,MATCH($A37,Material_Detail!$DE:$DE,0)+1,102))),0,IFERROR(INDEX(Material_Detail!$D:$DC,MATCH($A37,Material_Detail!$DE:$DE,0),102),0)),SUMIFS(T_Shipments[Confirmed_Qty],T_Shipments[Part Name],$A37,T_Shipments[Effective_Week],102))</f>
        <v/>
      </c>
      <c r="CZ37">
        <f>IF(COUNTIF(Material_Detail!$DE:$DE,$A37)&gt;0,IF(ISNUMBER(SEARCH("[済]",INDEX(Material_Detail!$D:$DC,MATCH($A37,Material_Detail!$DE:$DE,0)+1,103))),0,IFERROR(INDEX(Material_Detail!$D:$DC,MATCH($A37,Material_Detail!$DE:$DE,0),103),0)),SUMIFS(T_Shipments[Confirmed_Qty],T_Shipments[Part Name],$A37,T_Shipments[Effective_Week],103))</f>
        <v/>
      </c>
      <c r="DA37">
        <f>IF(COUNTIF(Material_Detail!$DE:$DE,$A37)&gt;0,IF(ISNUMBER(SEARCH("[済]",INDEX(Material_Detail!$D:$DC,MATCH($A37,Material_Detail!$DE:$DE,0)+1,104))),0,IFERROR(INDEX(Material_Detail!$D:$DC,MATCH($A37,Material_Detail!$DE:$DE,0),104),0)),SUMIFS(T_Shipments[Confirmed_Qty],T_Shipments[Part Name],$A37,T_Shipments[Effective_Week],104))</f>
        <v/>
      </c>
    </row>
    <row r="38">
      <c r="A38" t="inlineStr">
        <is>
          <t>CHEM-1530</t>
        </is>
      </c>
      <c r="B38">
        <f>IF(COUNTIF(Material_Detail!$DE:$DE,$A38)&gt;0,IF(ISNUMBER(SEARCH("[済]",INDEX(Material_Detail!$D:$DC,MATCH($A38,Material_Detail!$DE:$DE,0)+1,1))),0,IFERROR(INDEX(Material_Detail!$D:$DC,MATCH($A38,Material_Detail!$DE:$DE,0),1),0)),SUMIFS(T_Shipments[Confirmed_Qty],T_Shipments[Part Name],$A38,T_Shipments[Effective_Week],1))</f>
        <v/>
      </c>
      <c r="C38">
        <f>IF(COUNTIF(Material_Detail!$DE:$DE,$A38)&gt;0,IF(ISNUMBER(SEARCH("[済]",INDEX(Material_Detail!$D:$DC,MATCH($A38,Material_Detail!$DE:$DE,0)+1,2))),0,IFERROR(INDEX(Material_Detail!$D:$DC,MATCH($A38,Material_Detail!$DE:$DE,0),2),0)),SUMIFS(T_Shipments[Confirmed_Qty],T_Shipments[Part Name],$A38,T_Shipments[Effective_Week],2))</f>
        <v/>
      </c>
      <c r="D38">
        <f>IF(COUNTIF(Material_Detail!$DE:$DE,$A38)&gt;0,IF(ISNUMBER(SEARCH("[済]",INDEX(Material_Detail!$D:$DC,MATCH($A38,Material_Detail!$DE:$DE,0)+1,3))),0,IFERROR(INDEX(Material_Detail!$D:$DC,MATCH($A38,Material_Detail!$DE:$DE,0),3),0)),SUMIFS(T_Shipments[Confirmed_Qty],T_Shipments[Part Name],$A38,T_Shipments[Effective_Week],3))</f>
        <v/>
      </c>
      <c r="E38">
        <f>IF(COUNTIF(Material_Detail!$DE:$DE,$A38)&gt;0,IF(ISNUMBER(SEARCH("[済]",INDEX(Material_Detail!$D:$DC,MATCH($A38,Material_Detail!$DE:$DE,0)+1,4))),0,IFERROR(INDEX(Material_Detail!$D:$DC,MATCH($A38,Material_Detail!$DE:$DE,0),4),0)),SUMIFS(T_Shipments[Confirmed_Qty],T_Shipments[Part Name],$A38,T_Shipments[Effective_Week],4))</f>
        <v/>
      </c>
      <c r="F38">
        <f>IF(COUNTIF(Material_Detail!$DE:$DE,$A38)&gt;0,IF(ISNUMBER(SEARCH("[済]",INDEX(Material_Detail!$D:$DC,MATCH($A38,Material_Detail!$DE:$DE,0)+1,5))),0,IFERROR(INDEX(Material_Detail!$D:$DC,MATCH($A38,Material_Detail!$DE:$DE,0),5),0)),SUMIFS(T_Shipments[Confirmed_Qty],T_Shipments[Part Name],$A38,T_Shipments[Effective_Week],5))</f>
        <v/>
      </c>
      <c r="G38">
        <f>IF(COUNTIF(Material_Detail!$DE:$DE,$A38)&gt;0,IF(ISNUMBER(SEARCH("[済]",INDEX(Material_Detail!$D:$DC,MATCH($A38,Material_Detail!$DE:$DE,0)+1,6))),0,IFERROR(INDEX(Material_Detail!$D:$DC,MATCH($A38,Material_Detail!$DE:$DE,0),6),0)),SUMIFS(T_Shipments[Confirmed_Qty],T_Shipments[Part Name],$A38,T_Shipments[Effective_Week],6))</f>
        <v/>
      </c>
      <c r="H38">
        <f>IF(COUNTIF(Material_Detail!$DE:$DE,$A38)&gt;0,IF(ISNUMBER(SEARCH("[済]",INDEX(Material_Detail!$D:$DC,MATCH($A38,Material_Detail!$DE:$DE,0)+1,7))),0,IFERROR(INDEX(Material_Detail!$D:$DC,MATCH($A38,Material_Detail!$DE:$DE,0),7),0)),SUMIFS(T_Shipments[Confirmed_Qty],T_Shipments[Part Name],$A38,T_Shipments[Effective_Week],7))</f>
        <v/>
      </c>
      <c r="I38">
        <f>IF(COUNTIF(Material_Detail!$DE:$DE,$A38)&gt;0,IF(ISNUMBER(SEARCH("[済]",INDEX(Material_Detail!$D:$DC,MATCH($A38,Material_Detail!$DE:$DE,0)+1,8))),0,IFERROR(INDEX(Material_Detail!$D:$DC,MATCH($A38,Material_Detail!$DE:$DE,0),8),0)),SUMIFS(T_Shipments[Confirmed_Qty],T_Shipments[Part Name],$A38,T_Shipments[Effective_Week],8))</f>
        <v/>
      </c>
      <c r="J38">
        <f>IF(COUNTIF(Material_Detail!$DE:$DE,$A38)&gt;0,IF(ISNUMBER(SEARCH("[済]",INDEX(Material_Detail!$D:$DC,MATCH($A38,Material_Detail!$DE:$DE,0)+1,9))),0,IFERROR(INDEX(Material_Detail!$D:$DC,MATCH($A38,Material_Detail!$DE:$DE,0),9),0)),SUMIFS(T_Shipments[Confirmed_Qty],T_Shipments[Part Name],$A38,T_Shipments[Effective_Week],9))</f>
        <v/>
      </c>
      <c r="K38">
        <f>IF(COUNTIF(Material_Detail!$DE:$DE,$A38)&gt;0,IF(ISNUMBER(SEARCH("[済]",INDEX(Material_Detail!$D:$DC,MATCH($A38,Material_Detail!$DE:$DE,0)+1,10))),0,IFERROR(INDEX(Material_Detail!$D:$DC,MATCH($A38,Material_Detail!$DE:$DE,0),10),0)),SUMIFS(T_Shipments[Confirmed_Qty],T_Shipments[Part Name],$A38,T_Shipments[Effective_Week],10))</f>
        <v/>
      </c>
      <c r="L38">
        <f>IF(COUNTIF(Material_Detail!$DE:$DE,$A38)&gt;0,IF(ISNUMBER(SEARCH("[済]",INDEX(Material_Detail!$D:$DC,MATCH($A38,Material_Detail!$DE:$DE,0)+1,11))),0,IFERROR(INDEX(Material_Detail!$D:$DC,MATCH($A38,Material_Detail!$DE:$DE,0),11),0)),SUMIFS(T_Shipments[Confirmed_Qty],T_Shipments[Part Name],$A38,T_Shipments[Effective_Week],11))</f>
        <v/>
      </c>
      <c r="M38">
        <f>IF(COUNTIF(Material_Detail!$DE:$DE,$A38)&gt;0,IF(ISNUMBER(SEARCH("[済]",INDEX(Material_Detail!$D:$DC,MATCH($A38,Material_Detail!$DE:$DE,0)+1,12))),0,IFERROR(INDEX(Material_Detail!$D:$DC,MATCH($A38,Material_Detail!$DE:$DE,0),12),0)),SUMIFS(T_Shipments[Confirmed_Qty],T_Shipments[Part Name],$A38,T_Shipments[Effective_Week],12))</f>
        <v/>
      </c>
      <c r="N38">
        <f>IF(COUNTIF(Material_Detail!$DE:$DE,$A38)&gt;0,IF(ISNUMBER(SEARCH("[済]",INDEX(Material_Detail!$D:$DC,MATCH($A38,Material_Detail!$DE:$DE,0)+1,13))),0,IFERROR(INDEX(Material_Detail!$D:$DC,MATCH($A38,Material_Detail!$DE:$DE,0),13),0)),SUMIFS(T_Shipments[Confirmed_Qty],T_Shipments[Part Name],$A38,T_Shipments[Effective_Week],13))</f>
        <v/>
      </c>
      <c r="O38">
        <f>IF(COUNTIF(Material_Detail!$DE:$DE,$A38)&gt;0,IF(ISNUMBER(SEARCH("[済]",INDEX(Material_Detail!$D:$DC,MATCH($A38,Material_Detail!$DE:$DE,0)+1,14))),0,IFERROR(INDEX(Material_Detail!$D:$DC,MATCH($A38,Material_Detail!$DE:$DE,0),14),0)),SUMIFS(T_Shipments[Confirmed_Qty],T_Shipments[Part Name],$A38,T_Shipments[Effective_Week],14))</f>
        <v/>
      </c>
      <c r="P38">
        <f>IF(COUNTIF(Material_Detail!$DE:$DE,$A38)&gt;0,IF(ISNUMBER(SEARCH("[済]",INDEX(Material_Detail!$D:$DC,MATCH($A38,Material_Detail!$DE:$DE,0)+1,15))),0,IFERROR(INDEX(Material_Detail!$D:$DC,MATCH($A38,Material_Detail!$DE:$DE,0),15),0)),SUMIFS(T_Shipments[Confirmed_Qty],T_Shipments[Part Name],$A38,T_Shipments[Effective_Week],15))</f>
        <v/>
      </c>
      <c r="Q38">
        <f>IF(COUNTIF(Material_Detail!$DE:$DE,$A38)&gt;0,IF(ISNUMBER(SEARCH("[済]",INDEX(Material_Detail!$D:$DC,MATCH($A38,Material_Detail!$DE:$DE,0)+1,16))),0,IFERROR(INDEX(Material_Detail!$D:$DC,MATCH($A38,Material_Detail!$DE:$DE,0),16),0)),SUMIFS(T_Shipments[Confirmed_Qty],T_Shipments[Part Name],$A38,T_Shipments[Effective_Week],16))</f>
        <v/>
      </c>
      <c r="R38">
        <f>IF(COUNTIF(Material_Detail!$DE:$DE,$A38)&gt;0,IF(ISNUMBER(SEARCH("[済]",INDEX(Material_Detail!$D:$DC,MATCH($A38,Material_Detail!$DE:$DE,0)+1,17))),0,IFERROR(INDEX(Material_Detail!$D:$DC,MATCH($A38,Material_Detail!$DE:$DE,0),17),0)),SUMIFS(T_Shipments[Confirmed_Qty],T_Shipments[Part Name],$A38,T_Shipments[Effective_Week],17))</f>
        <v/>
      </c>
      <c r="S38">
        <f>IF(COUNTIF(Material_Detail!$DE:$DE,$A38)&gt;0,IF(ISNUMBER(SEARCH("[済]",INDEX(Material_Detail!$D:$DC,MATCH($A38,Material_Detail!$DE:$DE,0)+1,18))),0,IFERROR(INDEX(Material_Detail!$D:$DC,MATCH($A38,Material_Detail!$DE:$DE,0),18),0)),SUMIFS(T_Shipments[Confirmed_Qty],T_Shipments[Part Name],$A38,T_Shipments[Effective_Week],18))</f>
        <v/>
      </c>
      <c r="T38">
        <f>IF(COUNTIF(Material_Detail!$DE:$DE,$A38)&gt;0,IF(ISNUMBER(SEARCH("[済]",INDEX(Material_Detail!$D:$DC,MATCH($A38,Material_Detail!$DE:$DE,0)+1,19))),0,IFERROR(INDEX(Material_Detail!$D:$DC,MATCH($A38,Material_Detail!$DE:$DE,0),19),0)),SUMIFS(T_Shipments[Confirmed_Qty],T_Shipments[Part Name],$A38,T_Shipments[Effective_Week],19))</f>
        <v/>
      </c>
      <c r="U38">
        <f>IF(COUNTIF(Material_Detail!$DE:$DE,$A38)&gt;0,IF(ISNUMBER(SEARCH("[済]",INDEX(Material_Detail!$D:$DC,MATCH($A38,Material_Detail!$DE:$DE,0)+1,20))),0,IFERROR(INDEX(Material_Detail!$D:$DC,MATCH($A38,Material_Detail!$DE:$DE,0),20),0)),SUMIFS(T_Shipments[Confirmed_Qty],T_Shipments[Part Name],$A38,T_Shipments[Effective_Week],20))</f>
        <v/>
      </c>
      <c r="V38">
        <f>IF(COUNTIF(Material_Detail!$DE:$DE,$A38)&gt;0,IF(ISNUMBER(SEARCH("[済]",INDEX(Material_Detail!$D:$DC,MATCH($A38,Material_Detail!$DE:$DE,0)+1,21))),0,IFERROR(INDEX(Material_Detail!$D:$DC,MATCH($A38,Material_Detail!$DE:$DE,0),21),0)),SUMIFS(T_Shipments[Confirmed_Qty],T_Shipments[Part Name],$A38,T_Shipments[Effective_Week],21))</f>
        <v/>
      </c>
      <c r="W38">
        <f>IF(COUNTIF(Material_Detail!$DE:$DE,$A38)&gt;0,IF(ISNUMBER(SEARCH("[済]",INDEX(Material_Detail!$D:$DC,MATCH($A38,Material_Detail!$DE:$DE,0)+1,22))),0,IFERROR(INDEX(Material_Detail!$D:$DC,MATCH($A38,Material_Detail!$DE:$DE,0),22),0)),SUMIFS(T_Shipments[Confirmed_Qty],T_Shipments[Part Name],$A38,T_Shipments[Effective_Week],22))</f>
        <v/>
      </c>
      <c r="X38">
        <f>IF(COUNTIF(Material_Detail!$DE:$DE,$A38)&gt;0,IF(ISNUMBER(SEARCH("[済]",INDEX(Material_Detail!$D:$DC,MATCH($A38,Material_Detail!$DE:$DE,0)+1,23))),0,IFERROR(INDEX(Material_Detail!$D:$DC,MATCH($A38,Material_Detail!$DE:$DE,0),23),0)),SUMIFS(T_Shipments[Confirmed_Qty],T_Shipments[Part Name],$A38,T_Shipments[Effective_Week],23))</f>
        <v/>
      </c>
      <c r="Y38">
        <f>IF(COUNTIF(Material_Detail!$DE:$DE,$A38)&gt;0,IF(ISNUMBER(SEARCH("[済]",INDEX(Material_Detail!$D:$DC,MATCH($A38,Material_Detail!$DE:$DE,0)+1,24))),0,IFERROR(INDEX(Material_Detail!$D:$DC,MATCH($A38,Material_Detail!$DE:$DE,0),24),0)),SUMIFS(T_Shipments[Confirmed_Qty],T_Shipments[Part Name],$A38,T_Shipments[Effective_Week],24))</f>
        <v/>
      </c>
      <c r="Z38">
        <f>IF(COUNTIF(Material_Detail!$DE:$DE,$A38)&gt;0,IF(ISNUMBER(SEARCH("[済]",INDEX(Material_Detail!$D:$DC,MATCH($A38,Material_Detail!$DE:$DE,0)+1,25))),0,IFERROR(INDEX(Material_Detail!$D:$DC,MATCH($A38,Material_Detail!$DE:$DE,0),25),0)),SUMIFS(T_Shipments[Confirmed_Qty],T_Shipments[Part Name],$A38,T_Shipments[Effective_Week],25))</f>
        <v/>
      </c>
      <c r="AA38">
        <f>IF(COUNTIF(Material_Detail!$DE:$DE,$A38)&gt;0,IF(ISNUMBER(SEARCH("[済]",INDEX(Material_Detail!$D:$DC,MATCH($A38,Material_Detail!$DE:$DE,0)+1,26))),0,IFERROR(INDEX(Material_Detail!$D:$DC,MATCH($A38,Material_Detail!$DE:$DE,0),26),0)),SUMIFS(T_Shipments[Confirmed_Qty],T_Shipments[Part Name],$A38,T_Shipments[Effective_Week],26))</f>
        <v/>
      </c>
      <c r="AB38">
        <f>IF(COUNTIF(Material_Detail!$DE:$DE,$A38)&gt;0,IF(ISNUMBER(SEARCH("[済]",INDEX(Material_Detail!$D:$DC,MATCH($A38,Material_Detail!$DE:$DE,0)+1,27))),0,IFERROR(INDEX(Material_Detail!$D:$DC,MATCH($A38,Material_Detail!$DE:$DE,0),27),0)),SUMIFS(T_Shipments[Confirmed_Qty],T_Shipments[Part Name],$A38,T_Shipments[Effective_Week],27))</f>
        <v/>
      </c>
      <c r="AC38">
        <f>IF(COUNTIF(Material_Detail!$DE:$DE,$A38)&gt;0,IF(ISNUMBER(SEARCH("[済]",INDEX(Material_Detail!$D:$DC,MATCH($A38,Material_Detail!$DE:$DE,0)+1,28))),0,IFERROR(INDEX(Material_Detail!$D:$DC,MATCH($A38,Material_Detail!$DE:$DE,0),28),0)),SUMIFS(T_Shipments[Confirmed_Qty],T_Shipments[Part Name],$A38,T_Shipments[Effective_Week],28))</f>
        <v/>
      </c>
      <c r="AD38">
        <f>IF(COUNTIF(Material_Detail!$DE:$DE,$A38)&gt;0,IF(ISNUMBER(SEARCH("[済]",INDEX(Material_Detail!$D:$DC,MATCH($A38,Material_Detail!$DE:$DE,0)+1,29))),0,IFERROR(INDEX(Material_Detail!$D:$DC,MATCH($A38,Material_Detail!$DE:$DE,0),29),0)),SUMIFS(T_Shipments[Confirmed_Qty],T_Shipments[Part Name],$A38,T_Shipments[Effective_Week],29))</f>
        <v/>
      </c>
      <c r="AE38">
        <f>IF(COUNTIF(Material_Detail!$DE:$DE,$A38)&gt;0,IF(ISNUMBER(SEARCH("[済]",INDEX(Material_Detail!$D:$DC,MATCH($A38,Material_Detail!$DE:$DE,0)+1,30))),0,IFERROR(INDEX(Material_Detail!$D:$DC,MATCH($A38,Material_Detail!$DE:$DE,0),30),0)),SUMIFS(T_Shipments[Confirmed_Qty],T_Shipments[Part Name],$A38,T_Shipments[Effective_Week],30))</f>
        <v/>
      </c>
      <c r="AF38">
        <f>IF(COUNTIF(Material_Detail!$DE:$DE,$A38)&gt;0,IF(ISNUMBER(SEARCH("[済]",INDEX(Material_Detail!$D:$DC,MATCH($A38,Material_Detail!$DE:$DE,0)+1,31))),0,IFERROR(INDEX(Material_Detail!$D:$DC,MATCH($A38,Material_Detail!$DE:$DE,0),31),0)),SUMIFS(T_Shipments[Confirmed_Qty],T_Shipments[Part Name],$A38,T_Shipments[Effective_Week],31))</f>
        <v/>
      </c>
      <c r="AG38">
        <f>IF(COUNTIF(Material_Detail!$DE:$DE,$A38)&gt;0,IF(ISNUMBER(SEARCH("[済]",INDEX(Material_Detail!$D:$DC,MATCH($A38,Material_Detail!$DE:$DE,0)+1,32))),0,IFERROR(INDEX(Material_Detail!$D:$DC,MATCH($A38,Material_Detail!$DE:$DE,0),32),0)),SUMIFS(T_Shipments[Confirmed_Qty],T_Shipments[Part Name],$A38,T_Shipments[Effective_Week],32))</f>
        <v/>
      </c>
      <c r="AH38">
        <f>IF(COUNTIF(Material_Detail!$DE:$DE,$A38)&gt;0,IF(ISNUMBER(SEARCH("[済]",INDEX(Material_Detail!$D:$DC,MATCH($A38,Material_Detail!$DE:$DE,0)+1,33))),0,IFERROR(INDEX(Material_Detail!$D:$DC,MATCH($A38,Material_Detail!$DE:$DE,0),33),0)),SUMIFS(T_Shipments[Confirmed_Qty],T_Shipments[Part Name],$A38,T_Shipments[Effective_Week],33))</f>
        <v/>
      </c>
      <c r="AI38">
        <f>IF(COUNTIF(Material_Detail!$DE:$DE,$A38)&gt;0,IF(ISNUMBER(SEARCH("[済]",INDEX(Material_Detail!$D:$DC,MATCH($A38,Material_Detail!$DE:$DE,0)+1,34))),0,IFERROR(INDEX(Material_Detail!$D:$DC,MATCH($A38,Material_Detail!$DE:$DE,0),34),0)),SUMIFS(T_Shipments[Confirmed_Qty],T_Shipments[Part Name],$A38,T_Shipments[Effective_Week],34))</f>
        <v/>
      </c>
      <c r="AJ38">
        <f>IF(COUNTIF(Material_Detail!$DE:$DE,$A38)&gt;0,IF(ISNUMBER(SEARCH("[済]",INDEX(Material_Detail!$D:$DC,MATCH($A38,Material_Detail!$DE:$DE,0)+1,35))),0,IFERROR(INDEX(Material_Detail!$D:$DC,MATCH($A38,Material_Detail!$DE:$DE,0),35),0)),SUMIFS(T_Shipments[Confirmed_Qty],T_Shipments[Part Name],$A38,T_Shipments[Effective_Week],35))</f>
        <v/>
      </c>
      <c r="AK38">
        <f>IF(COUNTIF(Material_Detail!$DE:$DE,$A38)&gt;0,IF(ISNUMBER(SEARCH("[済]",INDEX(Material_Detail!$D:$DC,MATCH($A38,Material_Detail!$DE:$DE,0)+1,36))),0,IFERROR(INDEX(Material_Detail!$D:$DC,MATCH($A38,Material_Detail!$DE:$DE,0),36),0)),SUMIFS(T_Shipments[Confirmed_Qty],T_Shipments[Part Name],$A38,T_Shipments[Effective_Week],36))</f>
        <v/>
      </c>
      <c r="AL38">
        <f>IF(COUNTIF(Material_Detail!$DE:$DE,$A38)&gt;0,IF(ISNUMBER(SEARCH("[済]",INDEX(Material_Detail!$D:$DC,MATCH($A38,Material_Detail!$DE:$DE,0)+1,37))),0,IFERROR(INDEX(Material_Detail!$D:$DC,MATCH($A38,Material_Detail!$DE:$DE,0),37),0)),SUMIFS(T_Shipments[Confirmed_Qty],T_Shipments[Part Name],$A38,T_Shipments[Effective_Week],37))</f>
        <v/>
      </c>
      <c r="AM38">
        <f>IF(COUNTIF(Material_Detail!$DE:$DE,$A38)&gt;0,IF(ISNUMBER(SEARCH("[済]",INDEX(Material_Detail!$D:$DC,MATCH($A38,Material_Detail!$DE:$DE,0)+1,38))),0,IFERROR(INDEX(Material_Detail!$D:$DC,MATCH($A38,Material_Detail!$DE:$DE,0),38),0)),SUMIFS(T_Shipments[Confirmed_Qty],T_Shipments[Part Name],$A38,T_Shipments[Effective_Week],38))</f>
        <v/>
      </c>
      <c r="AN38">
        <f>IF(COUNTIF(Material_Detail!$DE:$DE,$A38)&gt;0,IF(ISNUMBER(SEARCH("[済]",INDEX(Material_Detail!$D:$DC,MATCH($A38,Material_Detail!$DE:$DE,0)+1,39))),0,IFERROR(INDEX(Material_Detail!$D:$DC,MATCH($A38,Material_Detail!$DE:$DE,0),39),0)),SUMIFS(T_Shipments[Confirmed_Qty],T_Shipments[Part Name],$A38,T_Shipments[Effective_Week],39))</f>
        <v/>
      </c>
      <c r="AO38">
        <f>IF(COUNTIF(Material_Detail!$DE:$DE,$A38)&gt;0,IF(ISNUMBER(SEARCH("[済]",INDEX(Material_Detail!$D:$DC,MATCH($A38,Material_Detail!$DE:$DE,0)+1,40))),0,IFERROR(INDEX(Material_Detail!$D:$DC,MATCH($A38,Material_Detail!$DE:$DE,0),40),0)),SUMIFS(T_Shipments[Confirmed_Qty],T_Shipments[Part Name],$A38,T_Shipments[Effective_Week],40))</f>
        <v/>
      </c>
      <c r="AP38">
        <f>IF(COUNTIF(Material_Detail!$DE:$DE,$A38)&gt;0,IF(ISNUMBER(SEARCH("[済]",INDEX(Material_Detail!$D:$DC,MATCH($A38,Material_Detail!$DE:$DE,0)+1,41))),0,IFERROR(INDEX(Material_Detail!$D:$DC,MATCH($A38,Material_Detail!$DE:$DE,0),41),0)),SUMIFS(T_Shipments[Confirmed_Qty],T_Shipments[Part Name],$A38,T_Shipments[Effective_Week],41))</f>
        <v/>
      </c>
      <c r="AQ38">
        <f>IF(COUNTIF(Material_Detail!$DE:$DE,$A38)&gt;0,IF(ISNUMBER(SEARCH("[済]",INDEX(Material_Detail!$D:$DC,MATCH($A38,Material_Detail!$DE:$DE,0)+1,42))),0,IFERROR(INDEX(Material_Detail!$D:$DC,MATCH($A38,Material_Detail!$DE:$DE,0),42),0)),SUMIFS(T_Shipments[Confirmed_Qty],T_Shipments[Part Name],$A38,T_Shipments[Effective_Week],42))</f>
        <v/>
      </c>
      <c r="AR38">
        <f>IF(COUNTIF(Material_Detail!$DE:$DE,$A38)&gt;0,IF(ISNUMBER(SEARCH("[済]",INDEX(Material_Detail!$D:$DC,MATCH($A38,Material_Detail!$DE:$DE,0)+1,43))),0,IFERROR(INDEX(Material_Detail!$D:$DC,MATCH($A38,Material_Detail!$DE:$DE,0),43),0)),SUMIFS(T_Shipments[Confirmed_Qty],T_Shipments[Part Name],$A38,T_Shipments[Effective_Week],43))</f>
        <v/>
      </c>
      <c r="AS38">
        <f>IF(COUNTIF(Material_Detail!$DE:$DE,$A38)&gt;0,IF(ISNUMBER(SEARCH("[済]",INDEX(Material_Detail!$D:$DC,MATCH($A38,Material_Detail!$DE:$DE,0)+1,44))),0,IFERROR(INDEX(Material_Detail!$D:$DC,MATCH($A38,Material_Detail!$DE:$DE,0),44),0)),SUMIFS(T_Shipments[Confirmed_Qty],T_Shipments[Part Name],$A38,T_Shipments[Effective_Week],44))</f>
        <v/>
      </c>
      <c r="AT38">
        <f>IF(COUNTIF(Material_Detail!$DE:$DE,$A38)&gt;0,IF(ISNUMBER(SEARCH("[済]",INDEX(Material_Detail!$D:$DC,MATCH($A38,Material_Detail!$DE:$DE,0)+1,45))),0,IFERROR(INDEX(Material_Detail!$D:$DC,MATCH($A38,Material_Detail!$DE:$DE,0),45),0)),SUMIFS(T_Shipments[Confirmed_Qty],T_Shipments[Part Name],$A38,T_Shipments[Effective_Week],45))</f>
        <v/>
      </c>
      <c r="AU38">
        <f>IF(COUNTIF(Material_Detail!$DE:$DE,$A38)&gt;0,IF(ISNUMBER(SEARCH("[済]",INDEX(Material_Detail!$D:$DC,MATCH($A38,Material_Detail!$DE:$DE,0)+1,46))),0,IFERROR(INDEX(Material_Detail!$D:$DC,MATCH($A38,Material_Detail!$DE:$DE,0),46),0)),SUMIFS(T_Shipments[Confirmed_Qty],T_Shipments[Part Name],$A38,T_Shipments[Effective_Week],46))</f>
        <v/>
      </c>
      <c r="AV38">
        <f>IF(COUNTIF(Material_Detail!$DE:$DE,$A38)&gt;0,IF(ISNUMBER(SEARCH("[済]",INDEX(Material_Detail!$D:$DC,MATCH($A38,Material_Detail!$DE:$DE,0)+1,47))),0,IFERROR(INDEX(Material_Detail!$D:$DC,MATCH($A38,Material_Detail!$DE:$DE,0),47),0)),SUMIFS(T_Shipments[Confirmed_Qty],T_Shipments[Part Name],$A38,T_Shipments[Effective_Week],47))</f>
        <v/>
      </c>
      <c r="AW38">
        <f>IF(COUNTIF(Material_Detail!$DE:$DE,$A38)&gt;0,IF(ISNUMBER(SEARCH("[済]",INDEX(Material_Detail!$D:$DC,MATCH($A38,Material_Detail!$DE:$DE,0)+1,48))),0,IFERROR(INDEX(Material_Detail!$D:$DC,MATCH($A38,Material_Detail!$DE:$DE,0),48),0)),SUMIFS(T_Shipments[Confirmed_Qty],T_Shipments[Part Name],$A38,T_Shipments[Effective_Week],48))</f>
        <v/>
      </c>
      <c r="AX38">
        <f>IF(COUNTIF(Material_Detail!$DE:$DE,$A38)&gt;0,IF(ISNUMBER(SEARCH("[済]",INDEX(Material_Detail!$D:$DC,MATCH($A38,Material_Detail!$DE:$DE,0)+1,49))),0,IFERROR(INDEX(Material_Detail!$D:$DC,MATCH($A38,Material_Detail!$DE:$DE,0),49),0)),SUMIFS(T_Shipments[Confirmed_Qty],T_Shipments[Part Name],$A38,T_Shipments[Effective_Week],49))</f>
        <v/>
      </c>
      <c r="AY38">
        <f>IF(COUNTIF(Material_Detail!$DE:$DE,$A38)&gt;0,IF(ISNUMBER(SEARCH("[済]",INDEX(Material_Detail!$D:$DC,MATCH($A38,Material_Detail!$DE:$DE,0)+1,50))),0,IFERROR(INDEX(Material_Detail!$D:$DC,MATCH($A38,Material_Detail!$DE:$DE,0),50),0)),SUMIFS(T_Shipments[Confirmed_Qty],T_Shipments[Part Name],$A38,T_Shipments[Effective_Week],50))</f>
        <v/>
      </c>
      <c r="AZ38">
        <f>IF(COUNTIF(Material_Detail!$DE:$DE,$A38)&gt;0,IF(ISNUMBER(SEARCH("[済]",INDEX(Material_Detail!$D:$DC,MATCH($A38,Material_Detail!$DE:$DE,0)+1,51))),0,IFERROR(INDEX(Material_Detail!$D:$DC,MATCH($A38,Material_Detail!$DE:$DE,0),51),0)),SUMIFS(T_Shipments[Confirmed_Qty],T_Shipments[Part Name],$A38,T_Shipments[Effective_Week],51))</f>
        <v/>
      </c>
      <c r="BA38">
        <f>IF(COUNTIF(Material_Detail!$DE:$DE,$A38)&gt;0,IF(ISNUMBER(SEARCH("[済]",INDEX(Material_Detail!$D:$DC,MATCH($A38,Material_Detail!$DE:$DE,0)+1,52))),0,IFERROR(INDEX(Material_Detail!$D:$DC,MATCH($A38,Material_Detail!$DE:$DE,0),52),0)),SUMIFS(T_Shipments[Confirmed_Qty],T_Shipments[Part Name],$A38,T_Shipments[Effective_Week],52))</f>
        <v/>
      </c>
      <c r="BB38">
        <f>IF(COUNTIF(Material_Detail!$DE:$DE,$A38)&gt;0,IF(ISNUMBER(SEARCH("[済]",INDEX(Material_Detail!$D:$DC,MATCH($A38,Material_Detail!$DE:$DE,0)+1,53))),0,IFERROR(INDEX(Material_Detail!$D:$DC,MATCH($A38,Material_Detail!$DE:$DE,0),53),0)),SUMIFS(T_Shipments[Confirmed_Qty],T_Shipments[Part Name],$A38,T_Shipments[Effective_Week],53))</f>
        <v/>
      </c>
      <c r="BC38">
        <f>IF(COUNTIF(Material_Detail!$DE:$DE,$A38)&gt;0,IF(ISNUMBER(SEARCH("[済]",INDEX(Material_Detail!$D:$DC,MATCH($A38,Material_Detail!$DE:$DE,0)+1,54))),0,IFERROR(INDEX(Material_Detail!$D:$DC,MATCH($A38,Material_Detail!$DE:$DE,0),54),0)),SUMIFS(T_Shipments[Confirmed_Qty],T_Shipments[Part Name],$A38,T_Shipments[Effective_Week],54))</f>
        <v/>
      </c>
      <c r="BD38">
        <f>IF(COUNTIF(Material_Detail!$DE:$DE,$A38)&gt;0,IF(ISNUMBER(SEARCH("[済]",INDEX(Material_Detail!$D:$DC,MATCH($A38,Material_Detail!$DE:$DE,0)+1,55))),0,IFERROR(INDEX(Material_Detail!$D:$DC,MATCH($A38,Material_Detail!$DE:$DE,0),55),0)),SUMIFS(T_Shipments[Confirmed_Qty],T_Shipments[Part Name],$A38,T_Shipments[Effective_Week],55))</f>
        <v/>
      </c>
      <c r="BE38">
        <f>IF(COUNTIF(Material_Detail!$DE:$DE,$A38)&gt;0,IF(ISNUMBER(SEARCH("[済]",INDEX(Material_Detail!$D:$DC,MATCH($A38,Material_Detail!$DE:$DE,0)+1,56))),0,IFERROR(INDEX(Material_Detail!$D:$DC,MATCH($A38,Material_Detail!$DE:$DE,0),56),0)),SUMIFS(T_Shipments[Confirmed_Qty],T_Shipments[Part Name],$A38,T_Shipments[Effective_Week],56))</f>
        <v/>
      </c>
      <c r="BF38">
        <f>IF(COUNTIF(Material_Detail!$DE:$DE,$A38)&gt;0,IF(ISNUMBER(SEARCH("[済]",INDEX(Material_Detail!$D:$DC,MATCH($A38,Material_Detail!$DE:$DE,0)+1,57))),0,IFERROR(INDEX(Material_Detail!$D:$DC,MATCH($A38,Material_Detail!$DE:$DE,0),57),0)),SUMIFS(T_Shipments[Confirmed_Qty],T_Shipments[Part Name],$A38,T_Shipments[Effective_Week],57))</f>
        <v/>
      </c>
      <c r="BG38">
        <f>IF(COUNTIF(Material_Detail!$DE:$DE,$A38)&gt;0,IF(ISNUMBER(SEARCH("[済]",INDEX(Material_Detail!$D:$DC,MATCH($A38,Material_Detail!$DE:$DE,0)+1,58))),0,IFERROR(INDEX(Material_Detail!$D:$DC,MATCH($A38,Material_Detail!$DE:$DE,0),58),0)),SUMIFS(T_Shipments[Confirmed_Qty],T_Shipments[Part Name],$A38,T_Shipments[Effective_Week],58))</f>
        <v/>
      </c>
      <c r="BH38">
        <f>IF(COUNTIF(Material_Detail!$DE:$DE,$A38)&gt;0,IF(ISNUMBER(SEARCH("[済]",INDEX(Material_Detail!$D:$DC,MATCH($A38,Material_Detail!$DE:$DE,0)+1,59))),0,IFERROR(INDEX(Material_Detail!$D:$DC,MATCH($A38,Material_Detail!$DE:$DE,0),59),0)),SUMIFS(T_Shipments[Confirmed_Qty],T_Shipments[Part Name],$A38,T_Shipments[Effective_Week],59))</f>
        <v/>
      </c>
      <c r="BI38">
        <f>IF(COUNTIF(Material_Detail!$DE:$DE,$A38)&gt;0,IF(ISNUMBER(SEARCH("[済]",INDEX(Material_Detail!$D:$DC,MATCH($A38,Material_Detail!$DE:$DE,0)+1,60))),0,IFERROR(INDEX(Material_Detail!$D:$DC,MATCH($A38,Material_Detail!$DE:$DE,0),60),0)),SUMIFS(T_Shipments[Confirmed_Qty],T_Shipments[Part Name],$A38,T_Shipments[Effective_Week],60))</f>
        <v/>
      </c>
      <c r="BJ38">
        <f>IF(COUNTIF(Material_Detail!$DE:$DE,$A38)&gt;0,IF(ISNUMBER(SEARCH("[済]",INDEX(Material_Detail!$D:$DC,MATCH($A38,Material_Detail!$DE:$DE,0)+1,61))),0,IFERROR(INDEX(Material_Detail!$D:$DC,MATCH($A38,Material_Detail!$DE:$DE,0),61),0)),SUMIFS(T_Shipments[Confirmed_Qty],T_Shipments[Part Name],$A38,T_Shipments[Effective_Week],61))</f>
        <v/>
      </c>
      <c r="BK38">
        <f>IF(COUNTIF(Material_Detail!$DE:$DE,$A38)&gt;0,IF(ISNUMBER(SEARCH("[済]",INDEX(Material_Detail!$D:$DC,MATCH($A38,Material_Detail!$DE:$DE,0)+1,62))),0,IFERROR(INDEX(Material_Detail!$D:$DC,MATCH($A38,Material_Detail!$DE:$DE,0),62),0)),SUMIFS(T_Shipments[Confirmed_Qty],T_Shipments[Part Name],$A38,T_Shipments[Effective_Week],62))</f>
        <v/>
      </c>
      <c r="BL38">
        <f>IF(COUNTIF(Material_Detail!$DE:$DE,$A38)&gt;0,IF(ISNUMBER(SEARCH("[済]",INDEX(Material_Detail!$D:$DC,MATCH($A38,Material_Detail!$DE:$DE,0)+1,63))),0,IFERROR(INDEX(Material_Detail!$D:$DC,MATCH($A38,Material_Detail!$DE:$DE,0),63),0)),SUMIFS(T_Shipments[Confirmed_Qty],T_Shipments[Part Name],$A38,T_Shipments[Effective_Week],63))</f>
        <v/>
      </c>
      <c r="BM38">
        <f>IF(COUNTIF(Material_Detail!$DE:$DE,$A38)&gt;0,IF(ISNUMBER(SEARCH("[済]",INDEX(Material_Detail!$D:$DC,MATCH($A38,Material_Detail!$DE:$DE,0)+1,64))),0,IFERROR(INDEX(Material_Detail!$D:$DC,MATCH($A38,Material_Detail!$DE:$DE,0),64),0)),SUMIFS(T_Shipments[Confirmed_Qty],T_Shipments[Part Name],$A38,T_Shipments[Effective_Week],64))</f>
        <v/>
      </c>
      <c r="BN38">
        <f>IF(COUNTIF(Material_Detail!$DE:$DE,$A38)&gt;0,IF(ISNUMBER(SEARCH("[済]",INDEX(Material_Detail!$D:$DC,MATCH($A38,Material_Detail!$DE:$DE,0)+1,65))),0,IFERROR(INDEX(Material_Detail!$D:$DC,MATCH($A38,Material_Detail!$DE:$DE,0),65),0)),SUMIFS(T_Shipments[Confirmed_Qty],T_Shipments[Part Name],$A38,T_Shipments[Effective_Week],65))</f>
        <v/>
      </c>
      <c r="BO38">
        <f>IF(COUNTIF(Material_Detail!$DE:$DE,$A38)&gt;0,IF(ISNUMBER(SEARCH("[済]",INDEX(Material_Detail!$D:$DC,MATCH($A38,Material_Detail!$DE:$DE,0)+1,66))),0,IFERROR(INDEX(Material_Detail!$D:$DC,MATCH($A38,Material_Detail!$DE:$DE,0),66),0)),SUMIFS(T_Shipments[Confirmed_Qty],T_Shipments[Part Name],$A38,T_Shipments[Effective_Week],66))</f>
        <v/>
      </c>
      <c r="BP38">
        <f>IF(COUNTIF(Material_Detail!$DE:$DE,$A38)&gt;0,IF(ISNUMBER(SEARCH("[済]",INDEX(Material_Detail!$D:$DC,MATCH($A38,Material_Detail!$DE:$DE,0)+1,67))),0,IFERROR(INDEX(Material_Detail!$D:$DC,MATCH($A38,Material_Detail!$DE:$DE,0),67),0)),SUMIFS(T_Shipments[Confirmed_Qty],T_Shipments[Part Name],$A38,T_Shipments[Effective_Week],67))</f>
        <v/>
      </c>
      <c r="BQ38">
        <f>IF(COUNTIF(Material_Detail!$DE:$DE,$A38)&gt;0,IF(ISNUMBER(SEARCH("[済]",INDEX(Material_Detail!$D:$DC,MATCH($A38,Material_Detail!$DE:$DE,0)+1,68))),0,IFERROR(INDEX(Material_Detail!$D:$DC,MATCH($A38,Material_Detail!$DE:$DE,0),68),0)),SUMIFS(T_Shipments[Confirmed_Qty],T_Shipments[Part Name],$A38,T_Shipments[Effective_Week],68))</f>
        <v/>
      </c>
      <c r="BR38">
        <f>IF(COUNTIF(Material_Detail!$DE:$DE,$A38)&gt;0,IF(ISNUMBER(SEARCH("[済]",INDEX(Material_Detail!$D:$DC,MATCH($A38,Material_Detail!$DE:$DE,0)+1,69))),0,IFERROR(INDEX(Material_Detail!$D:$DC,MATCH($A38,Material_Detail!$DE:$DE,0),69),0)),SUMIFS(T_Shipments[Confirmed_Qty],T_Shipments[Part Name],$A38,T_Shipments[Effective_Week],69))</f>
        <v/>
      </c>
      <c r="BS38">
        <f>IF(COUNTIF(Material_Detail!$DE:$DE,$A38)&gt;0,IF(ISNUMBER(SEARCH("[済]",INDEX(Material_Detail!$D:$DC,MATCH($A38,Material_Detail!$DE:$DE,0)+1,70))),0,IFERROR(INDEX(Material_Detail!$D:$DC,MATCH($A38,Material_Detail!$DE:$DE,0),70),0)),SUMIFS(T_Shipments[Confirmed_Qty],T_Shipments[Part Name],$A38,T_Shipments[Effective_Week],70))</f>
        <v/>
      </c>
      <c r="BT38">
        <f>IF(COUNTIF(Material_Detail!$DE:$DE,$A38)&gt;0,IF(ISNUMBER(SEARCH("[済]",INDEX(Material_Detail!$D:$DC,MATCH($A38,Material_Detail!$DE:$DE,0)+1,71))),0,IFERROR(INDEX(Material_Detail!$D:$DC,MATCH($A38,Material_Detail!$DE:$DE,0),71),0)),SUMIFS(T_Shipments[Confirmed_Qty],T_Shipments[Part Name],$A38,T_Shipments[Effective_Week],71))</f>
        <v/>
      </c>
      <c r="BU38">
        <f>IF(COUNTIF(Material_Detail!$DE:$DE,$A38)&gt;0,IF(ISNUMBER(SEARCH("[済]",INDEX(Material_Detail!$D:$DC,MATCH($A38,Material_Detail!$DE:$DE,0)+1,72))),0,IFERROR(INDEX(Material_Detail!$D:$DC,MATCH($A38,Material_Detail!$DE:$DE,0),72),0)),SUMIFS(T_Shipments[Confirmed_Qty],T_Shipments[Part Name],$A38,T_Shipments[Effective_Week],72))</f>
        <v/>
      </c>
      <c r="BV38">
        <f>IF(COUNTIF(Material_Detail!$DE:$DE,$A38)&gt;0,IF(ISNUMBER(SEARCH("[済]",INDEX(Material_Detail!$D:$DC,MATCH($A38,Material_Detail!$DE:$DE,0)+1,73))),0,IFERROR(INDEX(Material_Detail!$D:$DC,MATCH($A38,Material_Detail!$DE:$DE,0),73),0)),SUMIFS(T_Shipments[Confirmed_Qty],T_Shipments[Part Name],$A38,T_Shipments[Effective_Week],73))</f>
        <v/>
      </c>
      <c r="BW38">
        <f>IF(COUNTIF(Material_Detail!$DE:$DE,$A38)&gt;0,IF(ISNUMBER(SEARCH("[済]",INDEX(Material_Detail!$D:$DC,MATCH($A38,Material_Detail!$DE:$DE,0)+1,74))),0,IFERROR(INDEX(Material_Detail!$D:$DC,MATCH($A38,Material_Detail!$DE:$DE,0),74),0)),SUMIFS(T_Shipments[Confirmed_Qty],T_Shipments[Part Name],$A38,T_Shipments[Effective_Week],74))</f>
        <v/>
      </c>
      <c r="BX38">
        <f>IF(COUNTIF(Material_Detail!$DE:$DE,$A38)&gt;0,IF(ISNUMBER(SEARCH("[済]",INDEX(Material_Detail!$D:$DC,MATCH($A38,Material_Detail!$DE:$DE,0)+1,75))),0,IFERROR(INDEX(Material_Detail!$D:$DC,MATCH($A38,Material_Detail!$DE:$DE,0),75),0)),SUMIFS(T_Shipments[Confirmed_Qty],T_Shipments[Part Name],$A38,T_Shipments[Effective_Week],75))</f>
        <v/>
      </c>
      <c r="BY38">
        <f>IF(COUNTIF(Material_Detail!$DE:$DE,$A38)&gt;0,IF(ISNUMBER(SEARCH("[済]",INDEX(Material_Detail!$D:$DC,MATCH($A38,Material_Detail!$DE:$DE,0)+1,76))),0,IFERROR(INDEX(Material_Detail!$D:$DC,MATCH($A38,Material_Detail!$DE:$DE,0),76),0)),SUMIFS(T_Shipments[Confirmed_Qty],T_Shipments[Part Name],$A38,T_Shipments[Effective_Week],76))</f>
        <v/>
      </c>
      <c r="BZ38">
        <f>IF(COUNTIF(Material_Detail!$DE:$DE,$A38)&gt;0,IF(ISNUMBER(SEARCH("[済]",INDEX(Material_Detail!$D:$DC,MATCH($A38,Material_Detail!$DE:$DE,0)+1,77))),0,IFERROR(INDEX(Material_Detail!$D:$DC,MATCH($A38,Material_Detail!$DE:$DE,0),77),0)),SUMIFS(T_Shipments[Confirmed_Qty],T_Shipments[Part Name],$A38,T_Shipments[Effective_Week],77))</f>
        <v/>
      </c>
      <c r="CA38">
        <f>IF(COUNTIF(Material_Detail!$DE:$DE,$A38)&gt;0,IF(ISNUMBER(SEARCH("[済]",INDEX(Material_Detail!$D:$DC,MATCH($A38,Material_Detail!$DE:$DE,0)+1,78))),0,IFERROR(INDEX(Material_Detail!$D:$DC,MATCH($A38,Material_Detail!$DE:$DE,0),78),0)),SUMIFS(T_Shipments[Confirmed_Qty],T_Shipments[Part Name],$A38,T_Shipments[Effective_Week],78))</f>
        <v/>
      </c>
      <c r="CB38">
        <f>IF(COUNTIF(Material_Detail!$DE:$DE,$A38)&gt;0,IF(ISNUMBER(SEARCH("[済]",INDEX(Material_Detail!$D:$DC,MATCH($A38,Material_Detail!$DE:$DE,0)+1,79))),0,IFERROR(INDEX(Material_Detail!$D:$DC,MATCH($A38,Material_Detail!$DE:$DE,0),79),0)),SUMIFS(T_Shipments[Confirmed_Qty],T_Shipments[Part Name],$A38,T_Shipments[Effective_Week],79))</f>
        <v/>
      </c>
      <c r="CC38">
        <f>IF(COUNTIF(Material_Detail!$DE:$DE,$A38)&gt;0,IF(ISNUMBER(SEARCH("[済]",INDEX(Material_Detail!$D:$DC,MATCH($A38,Material_Detail!$DE:$DE,0)+1,80))),0,IFERROR(INDEX(Material_Detail!$D:$DC,MATCH($A38,Material_Detail!$DE:$DE,0),80),0)),SUMIFS(T_Shipments[Confirmed_Qty],T_Shipments[Part Name],$A38,T_Shipments[Effective_Week],80))</f>
        <v/>
      </c>
      <c r="CD38">
        <f>IF(COUNTIF(Material_Detail!$DE:$DE,$A38)&gt;0,IF(ISNUMBER(SEARCH("[済]",INDEX(Material_Detail!$D:$DC,MATCH($A38,Material_Detail!$DE:$DE,0)+1,81))),0,IFERROR(INDEX(Material_Detail!$D:$DC,MATCH($A38,Material_Detail!$DE:$DE,0),81),0)),SUMIFS(T_Shipments[Confirmed_Qty],T_Shipments[Part Name],$A38,T_Shipments[Effective_Week],81))</f>
        <v/>
      </c>
      <c r="CE38">
        <f>IF(COUNTIF(Material_Detail!$DE:$DE,$A38)&gt;0,IF(ISNUMBER(SEARCH("[済]",INDEX(Material_Detail!$D:$DC,MATCH($A38,Material_Detail!$DE:$DE,0)+1,82))),0,IFERROR(INDEX(Material_Detail!$D:$DC,MATCH($A38,Material_Detail!$DE:$DE,0),82),0)),SUMIFS(T_Shipments[Confirmed_Qty],T_Shipments[Part Name],$A38,T_Shipments[Effective_Week],82))</f>
        <v/>
      </c>
      <c r="CF38">
        <f>IF(COUNTIF(Material_Detail!$DE:$DE,$A38)&gt;0,IF(ISNUMBER(SEARCH("[済]",INDEX(Material_Detail!$D:$DC,MATCH($A38,Material_Detail!$DE:$DE,0)+1,83))),0,IFERROR(INDEX(Material_Detail!$D:$DC,MATCH($A38,Material_Detail!$DE:$DE,0),83),0)),SUMIFS(T_Shipments[Confirmed_Qty],T_Shipments[Part Name],$A38,T_Shipments[Effective_Week],83))</f>
        <v/>
      </c>
      <c r="CG38">
        <f>IF(COUNTIF(Material_Detail!$DE:$DE,$A38)&gt;0,IF(ISNUMBER(SEARCH("[済]",INDEX(Material_Detail!$D:$DC,MATCH($A38,Material_Detail!$DE:$DE,0)+1,84))),0,IFERROR(INDEX(Material_Detail!$D:$DC,MATCH($A38,Material_Detail!$DE:$DE,0),84),0)),SUMIFS(T_Shipments[Confirmed_Qty],T_Shipments[Part Name],$A38,T_Shipments[Effective_Week],84))</f>
        <v/>
      </c>
      <c r="CH38">
        <f>IF(COUNTIF(Material_Detail!$DE:$DE,$A38)&gt;0,IF(ISNUMBER(SEARCH("[済]",INDEX(Material_Detail!$D:$DC,MATCH($A38,Material_Detail!$DE:$DE,0)+1,85))),0,IFERROR(INDEX(Material_Detail!$D:$DC,MATCH($A38,Material_Detail!$DE:$DE,0),85),0)),SUMIFS(T_Shipments[Confirmed_Qty],T_Shipments[Part Name],$A38,T_Shipments[Effective_Week],85))</f>
        <v/>
      </c>
      <c r="CI38">
        <f>IF(COUNTIF(Material_Detail!$DE:$DE,$A38)&gt;0,IF(ISNUMBER(SEARCH("[済]",INDEX(Material_Detail!$D:$DC,MATCH($A38,Material_Detail!$DE:$DE,0)+1,86))),0,IFERROR(INDEX(Material_Detail!$D:$DC,MATCH($A38,Material_Detail!$DE:$DE,0),86),0)),SUMIFS(T_Shipments[Confirmed_Qty],T_Shipments[Part Name],$A38,T_Shipments[Effective_Week],86))</f>
        <v/>
      </c>
      <c r="CJ38">
        <f>IF(COUNTIF(Material_Detail!$DE:$DE,$A38)&gt;0,IF(ISNUMBER(SEARCH("[済]",INDEX(Material_Detail!$D:$DC,MATCH($A38,Material_Detail!$DE:$DE,0)+1,87))),0,IFERROR(INDEX(Material_Detail!$D:$DC,MATCH($A38,Material_Detail!$DE:$DE,0),87),0)),SUMIFS(T_Shipments[Confirmed_Qty],T_Shipments[Part Name],$A38,T_Shipments[Effective_Week],87))</f>
        <v/>
      </c>
      <c r="CK38">
        <f>IF(COUNTIF(Material_Detail!$DE:$DE,$A38)&gt;0,IF(ISNUMBER(SEARCH("[済]",INDEX(Material_Detail!$D:$DC,MATCH($A38,Material_Detail!$DE:$DE,0)+1,88))),0,IFERROR(INDEX(Material_Detail!$D:$DC,MATCH($A38,Material_Detail!$DE:$DE,0),88),0)),SUMIFS(T_Shipments[Confirmed_Qty],T_Shipments[Part Name],$A38,T_Shipments[Effective_Week],88))</f>
        <v/>
      </c>
      <c r="CL38">
        <f>IF(COUNTIF(Material_Detail!$DE:$DE,$A38)&gt;0,IF(ISNUMBER(SEARCH("[済]",INDEX(Material_Detail!$D:$DC,MATCH($A38,Material_Detail!$DE:$DE,0)+1,89))),0,IFERROR(INDEX(Material_Detail!$D:$DC,MATCH($A38,Material_Detail!$DE:$DE,0),89),0)),SUMIFS(T_Shipments[Confirmed_Qty],T_Shipments[Part Name],$A38,T_Shipments[Effective_Week],89))</f>
        <v/>
      </c>
      <c r="CM38">
        <f>IF(COUNTIF(Material_Detail!$DE:$DE,$A38)&gt;0,IF(ISNUMBER(SEARCH("[済]",INDEX(Material_Detail!$D:$DC,MATCH($A38,Material_Detail!$DE:$DE,0)+1,90))),0,IFERROR(INDEX(Material_Detail!$D:$DC,MATCH($A38,Material_Detail!$DE:$DE,0),90),0)),SUMIFS(T_Shipments[Confirmed_Qty],T_Shipments[Part Name],$A38,T_Shipments[Effective_Week],90))</f>
        <v/>
      </c>
      <c r="CN38">
        <f>IF(COUNTIF(Material_Detail!$DE:$DE,$A38)&gt;0,IF(ISNUMBER(SEARCH("[済]",INDEX(Material_Detail!$D:$DC,MATCH($A38,Material_Detail!$DE:$DE,0)+1,91))),0,IFERROR(INDEX(Material_Detail!$D:$DC,MATCH($A38,Material_Detail!$DE:$DE,0),91),0)),SUMIFS(T_Shipments[Confirmed_Qty],T_Shipments[Part Name],$A38,T_Shipments[Effective_Week],91))</f>
        <v/>
      </c>
      <c r="CO38">
        <f>IF(COUNTIF(Material_Detail!$DE:$DE,$A38)&gt;0,IF(ISNUMBER(SEARCH("[済]",INDEX(Material_Detail!$D:$DC,MATCH($A38,Material_Detail!$DE:$DE,0)+1,92))),0,IFERROR(INDEX(Material_Detail!$D:$DC,MATCH($A38,Material_Detail!$DE:$DE,0),92),0)),SUMIFS(T_Shipments[Confirmed_Qty],T_Shipments[Part Name],$A38,T_Shipments[Effective_Week],92))</f>
        <v/>
      </c>
      <c r="CP38">
        <f>IF(COUNTIF(Material_Detail!$DE:$DE,$A38)&gt;0,IF(ISNUMBER(SEARCH("[済]",INDEX(Material_Detail!$D:$DC,MATCH($A38,Material_Detail!$DE:$DE,0)+1,93))),0,IFERROR(INDEX(Material_Detail!$D:$DC,MATCH($A38,Material_Detail!$DE:$DE,0),93),0)),SUMIFS(T_Shipments[Confirmed_Qty],T_Shipments[Part Name],$A38,T_Shipments[Effective_Week],93))</f>
        <v/>
      </c>
      <c r="CQ38">
        <f>IF(COUNTIF(Material_Detail!$DE:$DE,$A38)&gt;0,IF(ISNUMBER(SEARCH("[済]",INDEX(Material_Detail!$D:$DC,MATCH($A38,Material_Detail!$DE:$DE,0)+1,94))),0,IFERROR(INDEX(Material_Detail!$D:$DC,MATCH($A38,Material_Detail!$DE:$DE,0),94),0)),SUMIFS(T_Shipments[Confirmed_Qty],T_Shipments[Part Name],$A38,T_Shipments[Effective_Week],94))</f>
        <v/>
      </c>
      <c r="CR38">
        <f>IF(COUNTIF(Material_Detail!$DE:$DE,$A38)&gt;0,IF(ISNUMBER(SEARCH("[済]",INDEX(Material_Detail!$D:$DC,MATCH($A38,Material_Detail!$DE:$DE,0)+1,95))),0,IFERROR(INDEX(Material_Detail!$D:$DC,MATCH($A38,Material_Detail!$DE:$DE,0),95),0)),SUMIFS(T_Shipments[Confirmed_Qty],T_Shipments[Part Name],$A38,T_Shipments[Effective_Week],95))</f>
        <v/>
      </c>
      <c r="CS38">
        <f>IF(COUNTIF(Material_Detail!$DE:$DE,$A38)&gt;0,IF(ISNUMBER(SEARCH("[済]",INDEX(Material_Detail!$D:$DC,MATCH($A38,Material_Detail!$DE:$DE,0)+1,96))),0,IFERROR(INDEX(Material_Detail!$D:$DC,MATCH($A38,Material_Detail!$DE:$DE,0),96),0)),SUMIFS(T_Shipments[Confirmed_Qty],T_Shipments[Part Name],$A38,T_Shipments[Effective_Week],96))</f>
        <v/>
      </c>
      <c r="CT38">
        <f>IF(COUNTIF(Material_Detail!$DE:$DE,$A38)&gt;0,IF(ISNUMBER(SEARCH("[済]",INDEX(Material_Detail!$D:$DC,MATCH($A38,Material_Detail!$DE:$DE,0)+1,97))),0,IFERROR(INDEX(Material_Detail!$D:$DC,MATCH($A38,Material_Detail!$DE:$DE,0),97),0)),SUMIFS(T_Shipments[Confirmed_Qty],T_Shipments[Part Name],$A38,T_Shipments[Effective_Week],97))</f>
        <v/>
      </c>
      <c r="CU38">
        <f>IF(COUNTIF(Material_Detail!$DE:$DE,$A38)&gt;0,IF(ISNUMBER(SEARCH("[済]",INDEX(Material_Detail!$D:$DC,MATCH($A38,Material_Detail!$DE:$DE,0)+1,98))),0,IFERROR(INDEX(Material_Detail!$D:$DC,MATCH($A38,Material_Detail!$DE:$DE,0),98),0)),SUMIFS(T_Shipments[Confirmed_Qty],T_Shipments[Part Name],$A38,T_Shipments[Effective_Week],98))</f>
        <v/>
      </c>
      <c r="CV38">
        <f>IF(COUNTIF(Material_Detail!$DE:$DE,$A38)&gt;0,IF(ISNUMBER(SEARCH("[済]",INDEX(Material_Detail!$D:$DC,MATCH($A38,Material_Detail!$DE:$DE,0)+1,99))),0,IFERROR(INDEX(Material_Detail!$D:$DC,MATCH($A38,Material_Detail!$DE:$DE,0),99),0)),SUMIFS(T_Shipments[Confirmed_Qty],T_Shipments[Part Name],$A38,T_Shipments[Effective_Week],99))</f>
        <v/>
      </c>
      <c r="CW38">
        <f>IF(COUNTIF(Material_Detail!$DE:$DE,$A38)&gt;0,IF(ISNUMBER(SEARCH("[済]",INDEX(Material_Detail!$D:$DC,MATCH($A38,Material_Detail!$DE:$DE,0)+1,100))),0,IFERROR(INDEX(Material_Detail!$D:$DC,MATCH($A38,Material_Detail!$DE:$DE,0),100),0)),SUMIFS(T_Shipments[Confirmed_Qty],T_Shipments[Part Name],$A38,T_Shipments[Effective_Week],100))</f>
        <v/>
      </c>
      <c r="CX38">
        <f>IF(COUNTIF(Material_Detail!$DE:$DE,$A38)&gt;0,IF(ISNUMBER(SEARCH("[済]",INDEX(Material_Detail!$D:$DC,MATCH($A38,Material_Detail!$DE:$DE,0)+1,101))),0,IFERROR(INDEX(Material_Detail!$D:$DC,MATCH($A38,Material_Detail!$DE:$DE,0),101),0)),SUMIFS(T_Shipments[Confirmed_Qty],T_Shipments[Part Name],$A38,T_Shipments[Effective_Week],101))</f>
        <v/>
      </c>
      <c r="CY38">
        <f>IF(COUNTIF(Material_Detail!$DE:$DE,$A38)&gt;0,IF(ISNUMBER(SEARCH("[済]",INDEX(Material_Detail!$D:$DC,MATCH($A38,Material_Detail!$DE:$DE,0)+1,102))),0,IFERROR(INDEX(Material_Detail!$D:$DC,MATCH($A38,Material_Detail!$DE:$DE,0),102),0)),SUMIFS(T_Shipments[Confirmed_Qty],T_Shipments[Part Name],$A38,T_Shipments[Effective_Week],102))</f>
        <v/>
      </c>
      <c r="CZ38">
        <f>IF(COUNTIF(Material_Detail!$DE:$DE,$A38)&gt;0,IF(ISNUMBER(SEARCH("[済]",INDEX(Material_Detail!$D:$DC,MATCH($A38,Material_Detail!$DE:$DE,0)+1,103))),0,IFERROR(INDEX(Material_Detail!$D:$DC,MATCH($A38,Material_Detail!$DE:$DE,0),103),0)),SUMIFS(T_Shipments[Confirmed_Qty],T_Shipments[Part Name],$A38,T_Shipments[Effective_Week],103))</f>
        <v/>
      </c>
      <c r="DA38">
        <f>IF(COUNTIF(Material_Detail!$DE:$DE,$A38)&gt;0,IF(ISNUMBER(SEARCH("[済]",INDEX(Material_Detail!$D:$DC,MATCH($A38,Material_Detail!$DE:$DE,0)+1,104))),0,IFERROR(INDEX(Material_Detail!$D:$DC,MATCH($A38,Material_Detail!$DE:$DE,0),104),0)),SUMIFS(T_Shipments[Confirmed_Qty],T_Shipments[Part Name],$A38,T_Shipments[Effective_Week],104))</f>
        <v/>
      </c>
    </row>
    <row r="39">
      <c r="A39" t="inlineStr">
        <is>
          <t>CHEM-1480</t>
        </is>
      </c>
      <c r="B39">
        <f>IF(COUNTIF(Material_Detail!$DE:$DE,$A39)&gt;0,IF(ISNUMBER(SEARCH("[済]",INDEX(Material_Detail!$D:$DC,MATCH($A39,Material_Detail!$DE:$DE,0)+1,1))),0,IFERROR(INDEX(Material_Detail!$D:$DC,MATCH($A39,Material_Detail!$DE:$DE,0),1),0)),SUMIFS(T_Shipments[Confirmed_Qty],T_Shipments[Part Name],$A39,T_Shipments[Effective_Week],1))</f>
        <v/>
      </c>
      <c r="C39">
        <f>IF(COUNTIF(Material_Detail!$DE:$DE,$A39)&gt;0,IF(ISNUMBER(SEARCH("[済]",INDEX(Material_Detail!$D:$DC,MATCH($A39,Material_Detail!$DE:$DE,0)+1,2))),0,IFERROR(INDEX(Material_Detail!$D:$DC,MATCH($A39,Material_Detail!$DE:$DE,0),2),0)),SUMIFS(T_Shipments[Confirmed_Qty],T_Shipments[Part Name],$A39,T_Shipments[Effective_Week],2))</f>
        <v/>
      </c>
      <c r="D39">
        <f>IF(COUNTIF(Material_Detail!$DE:$DE,$A39)&gt;0,IF(ISNUMBER(SEARCH("[済]",INDEX(Material_Detail!$D:$DC,MATCH($A39,Material_Detail!$DE:$DE,0)+1,3))),0,IFERROR(INDEX(Material_Detail!$D:$DC,MATCH($A39,Material_Detail!$DE:$DE,0),3),0)),SUMIFS(T_Shipments[Confirmed_Qty],T_Shipments[Part Name],$A39,T_Shipments[Effective_Week],3))</f>
        <v/>
      </c>
      <c r="E39">
        <f>IF(COUNTIF(Material_Detail!$DE:$DE,$A39)&gt;0,IF(ISNUMBER(SEARCH("[済]",INDEX(Material_Detail!$D:$DC,MATCH($A39,Material_Detail!$DE:$DE,0)+1,4))),0,IFERROR(INDEX(Material_Detail!$D:$DC,MATCH($A39,Material_Detail!$DE:$DE,0),4),0)),SUMIFS(T_Shipments[Confirmed_Qty],T_Shipments[Part Name],$A39,T_Shipments[Effective_Week],4))</f>
        <v/>
      </c>
      <c r="F39">
        <f>IF(COUNTIF(Material_Detail!$DE:$DE,$A39)&gt;0,IF(ISNUMBER(SEARCH("[済]",INDEX(Material_Detail!$D:$DC,MATCH($A39,Material_Detail!$DE:$DE,0)+1,5))),0,IFERROR(INDEX(Material_Detail!$D:$DC,MATCH($A39,Material_Detail!$DE:$DE,0),5),0)),SUMIFS(T_Shipments[Confirmed_Qty],T_Shipments[Part Name],$A39,T_Shipments[Effective_Week],5))</f>
        <v/>
      </c>
      <c r="G39">
        <f>IF(COUNTIF(Material_Detail!$DE:$DE,$A39)&gt;0,IF(ISNUMBER(SEARCH("[済]",INDEX(Material_Detail!$D:$DC,MATCH($A39,Material_Detail!$DE:$DE,0)+1,6))),0,IFERROR(INDEX(Material_Detail!$D:$DC,MATCH($A39,Material_Detail!$DE:$DE,0),6),0)),SUMIFS(T_Shipments[Confirmed_Qty],T_Shipments[Part Name],$A39,T_Shipments[Effective_Week],6))</f>
        <v/>
      </c>
      <c r="H39">
        <f>IF(COUNTIF(Material_Detail!$DE:$DE,$A39)&gt;0,IF(ISNUMBER(SEARCH("[済]",INDEX(Material_Detail!$D:$DC,MATCH($A39,Material_Detail!$DE:$DE,0)+1,7))),0,IFERROR(INDEX(Material_Detail!$D:$DC,MATCH($A39,Material_Detail!$DE:$DE,0),7),0)),SUMIFS(T_Shipments[Confirmed_Qty],T_Shipments[Part Name],$A39,T_Shipments[Effective_Week],7))</f>
        <v/>
      </c>
      <c r="I39">
        <f>IF(COUNTIF(Material_Detail!$DE:$DE,$A39)&gt;0,IF(ISNUMBER(SEARCH("[済]",INDEX(Material_Detail!$D:$DC,MATCH($A39,Material_Detail!$DE:$DE,0)+1,8))),0,IFERROR(INDEX(Material_Detail!$D:$DC,MATCH($A39,Material_Detail!$DE:$DE,0),8),0)),SUMIFS(T_Shipments[Confirmed_Qty],T_Shipments[Part Name],$A39,T_Shipments[Effective_Week],8))</f>
        <v/>
      </c>
      <c r="J39">
        <f>IF(COUNTIF(Material_Detail!$DE:$DE,$A39)&gt;0,IF(ISNUMBER(SEARCH("[済]",INDEX(Material_Detail!$D:$DC,MATCH($A39,Material_Detail!$DE:$DE,0)+1,9))),0,IFERROR(INDEX(Material_Detail!$D:$DC,MATCH($A39,Material_Detail!$DE:$DE,0),9),0)),SUMIFS(T_Shipments[Confirmed_Qty],T_Shipments[Part Name],$A39,T_Shipments[Effective_Week],9))</f>
        <v/>
      </c>
      <c r="K39">
        <f>IF(COUNTIF(Material_Detail!$DE:$DE,$A39)&gt;0,IF(ISNUMBER(SEARCH("[済]",INDEX(Material_Detail!$D:$DC,MATCH($A39,Material_Detail!$DE:$DE,0)+1,10))),0,IFERROR(INDEX(Material_Detail!$D:$DC,MATCH($A39,Material_Detail!$DE:$DE,0),10),0)),SUMIFS(T_Shipments[Confirmed_Qty],T_Shipments[Part Name],$A39,T_Shipments[Effective_Week],10))</f>
        <v/>
      </c>
      <c r="L39">
        <f>IF(COUNTIF(Material_Detail!$DE:$DE,$A39)&gt;0,IF(ISNUMBER(SEARCH("[済]",INDEX(Material_Detail!$D:$DC,MATCH($A39,Material_Detail!$DE:$DE,0)+1,11))),0,IFERROR(INDEX(Material_Detail!$D:$DC,MATCH($A39,Material_Detail!$DE:$DE,0),11),0)),SUMIFS(T_Shipments[Confirmed_Qty],T_Shipments[Part Name],$A39,T_Shipments[Effective_Week],11))</f>
        <v/>
      </c>
      <c r="M39">
        <f>IF(COUNTIF(Material_Detail!$DE:$DE,$A39)&gt;0,IF(ISNUMBER(SEARCH("[済]",INDEX(Material_Detail!$D:$DC,MATCH($A39,Material_Detail!$DE:$DE,0)+1,12))),0,IFERROR(INDEX(Material_Detail!$D:$DC,MATCH($A39,Material_Detail!$DE:$DE,0),12),0)),SUMIFS(T_Shipments[Confirmed_Qty],T_Shipments[Part Name],$A39,T_Shipments[Effective_Week],12))</f>
        <v/>
      </c>
      <c r="N39">
        <f>IF(COUNTIF(Material_Detail!$DE:$DE,$A39)&gt;0,IF(ISNUMBER(SEARCH("[済]",INDEX(Material_Detail!$D:$DC,MATCH($A39,Material_Detail!$DE:$DE,0)+1,13))),0,IFERROR(INDEX(Material_Detail!$D:$DC,MATCH($A39,Material_Detail!$DE:$DE,0),13),0)),SUMIFS(T_Shipments[Confirmed_Qty],T_Shipments[Part Name],$A39,T_Shipments[Effective_Week],13))</f>
        <v/>
      </c>
      <c r="O39">
        <f>IF(COUNTIF(Material_Detail!$DE:$DE,$A39)&gt;0,IF(ISNUMBER(SEARCH("[済]",INDEX(Material_Detail!$D:$DC,MATCH($A39,Material_Detail!$DE:$DE,0)+1,14))),0,IFERROR(INDEX(Material_Detail!$D:$DC,MATCH($A39,Material_Detail!$DE:$DE,0),14),0)),SUMIFS(T_Shipments[Confirmed_Qty],T_Shipments[Part Name],$A39,T_Shipments[Effective_Week],14))</f>
        <v/>
      </c>
      <c r="P39">
        <f>IF(COUNTIF(Material_Detail!$DE:$DE,$A39)&gt;0,IF(ISNUMBER(SEARCH("[済]",INDEX(Material_Detail!$D:$DC,MATCH($A39,Material_Detail!$DE:$DE,0)+1,15))),0,IFERROR(INDEX(Material_Detail!$D:$DC,MATCH($A39,Material_Detail!$DE:$DE,0),15),0)),SUMIFS(T_Shipments[Confirmed_Qty],T_Shipments[Part Name],$A39,T_Shipments[Effective_Week],15))</f>
        <v/>
      </c>
      <c r="Q39">
        <f>IF(COUNTIF(Material_Detail!$DE:$DE,$A39)&gt;0,IF(ISNUMBER(SEARCH("[済]",INDEX(Material_Detail!$D:$DC,MATCH($A39,Material_Detail!$DE:$DE,0)+1,16))),0,IFERROR(INDEX(Material_Detail!$D:$DC,MATCH($A39,Material_Detail!$DE:$DE,0),16),0)),SUMIFS(T_Shipments[Confirmed_Qty],T_Shipments[Part Name],$A39,T_Shipments[Effective_Week],16))</f>
        <v/>
      </c>
      <c r="R39">
        <f>IF(COUNTIF(Material_Detail!$DE:$DE,$A39)&gt;0,IF(ISNUMBER(SEARCH("[済]",INDEX(Material_Detail!$D:$DC,MATCH($A39,Material_Detail!$DE:$DE,0)+1,17))),0,IFERROR(INDEX(Material_Detail!$D:$DC,MATCH($A39,Material_Detail!$DE:$DE,0),17),0)),SUMIFS(T_Shipments[Confirmed_Qty],T_Shipments[Part Name],$A39,T_Shipments[Effective_Week],17))</f>
        <v/>
      </c>
      <c r="S39">
        <f>IF(COUNTIF(Material_Detail!$DE:$DE,$A39)&gt;0,IF(ISNUMBER(SEARCH("[済]",INDEX(Material_Detail!$D:$DC,MATCH($A39,Material_Detail!$DE:$DE,0)+1,18))),0,IFERROR(INDEX(Material_Detail!$D:$DC,MATCH($A39,Material_Detail!$DE:$DE,0),18),0)),SUMIFS(T_Shipments[Confirmed_Qty],T_Shipments[Part Name],$A39,T_Shipments[Effective_Week],18))</f>
        <v/>
      </c>
      <c r="T39">
        <f>IF(COUNTIF(Material_Detail!$DE:$DE,$A39)&gt;0,IF(ISNUMBER(SEARCH("[済]",INDEX(Material_Detail!$D:$DC,MATCH($A39,Material_Detail!$DE:$DE,0)+1,19))),0,IFERROR(INDEX(Material_Detail!$D:$DC,MATCH($A39,Material_Detail!$DE:$DE,0),19),0)),SUMIFS(T_Shipments[Confirmed_Qty],T_Shipments[Part Name],$A39,T_Shipments[Effective_Week],19))</f>
        <v/>
      </c>
      <c r="U39">
        <f>IF(COUNTIF(Material_Detail!$DE:$DE,$A39)&gt;0,IF(ISNUMBER(SEARCH("[済]",INDEX(Material_Detail!$D:$DC,MATCH($A39,Material_Detail!$DE:$DE,0)+1,20))),0,IFERROR(INDEX(Material_Detail!$D:$DC,MATCH($A39,Material_Detail!$DE:$DE,0),20),0)),SUMIFS(T_Shipments[Confirmed_Qty],T_Shipments[Part Name],$A39,T_Shipments[Effective_Week],20))</f>
        <v/>
      </c>
      <c r="V39">
        <f>IF(COUNTIF(Material_Detail!$DE:$DE,$A39)&gt;0,IF(ISNUMBER(SEARCH("[済]",INDEX(Material_Detail!$D:$DC,MATCH($A39,Material_Detail!$DE:$DE,0)+1,21))),0,IFERROR(INDEX(Material_Detail!$D:$DC,MATCH($A39,Material_Detail!$DE:$DE,0),21),0)),SUMIFS(T_Shipments[Confirmed_Qty],T_Shipments[Part Name],$A39,T_Shipments[Effective_Week],21))</f>
        <v/>
      </c>
      <c r="W39">
        <f>IF(COUNTIF(Material_Detail!$DE:$DE,$A39)&gt;0,IF(ISNUMBER(SEARCH("[済]",INDEX(Material_Detail!$D:$DC,MATCH($A39,Material_Detail!$DE:$DE,0)+1,22))),0,IFERROR(INDEX(Material_Detail!$D:$DC,MATCH($A39,Material_Detail!$DE:$DE,0),22),0)),SUMIFS(T_Shipments[Confirmed_Qty],T_Shipments[Part Name],$A39,T_Shipments[Effective_Week],22))</f>
        <v/>
      </c>
      <c r="X39">
        <f>IF(COUNTIF(Material_Detail!$DE:$DE,$A39)&gt;0,IF(ISNUMBER(SEARCH("[済]",INDEX(Material_Detail!$D:$DC,MATCH($A39,Material_Detail!$DE:$DE,0)+1,23))),0,IFERROR(INDEX(Material_Detail!$D:$DC,MATCH($A39,Material_Detail!$DE:$DE,0),23),0)),SUMIFS(T_Shipments[Confirmed_Qty],T_Shipments[Part Name],$A39,T_Shipments[Effective_Week],23))</f>
        <v/>
      </c>
      <c r="Y39">
        <f>IF(COUNTIF(Material_Detail!$DE:$DE,$A39)&gt;0,IF(ISNUMBER(SEARCH("[済]",INDEX(Material_Detail!$D:$DC,MATCH($A39,Material_Detail!$DE:$DE,0)+1,24))),0,IFERROR(INDEX(Material_Detail!$D:$DC,MATCH($A39,Material_Detail!$DE:$DE,0),24),0)),SUMIFS(T_Shipments[Confirmed_Qty],T_Shipments[Part Name],$A39,T_Shipments[Effective_Week],24))</f>
        <v/>
      </c>
      <c r="Z39">
        <f>IF(COUNTIF(Material_Detail!$DE:$DE,$A39)&gt;0,IF(ISNUMBER(SEARCH("[済]",INDEX(Material_Detail!$D:$DC,MATCH($A39,Material_Detail!$DE:$DE,0)+1,25))),0,IFERROR(INDEX(Material_Detail!$D:$DC,MATCH($A39,Material_Detail!$DE:$DE,0),25),0)),SUMIFS(T_Shipments[Confirmed_Qty],T_Shipments[Part Name],$A39,T_Shipments[Effective_Week],25))</f>
        <v/>
      </c>
      <c r="AA39">
        <f>IF(COUNTIF(Material_Detail!$DE:$DE,$A39)&gt;0,IF(ISNUMBER(SEARCH("[済]",INDEX(Material_Detail!$D:$DC,MATCH($A39,Material_Detail!$DE:$DE,0)+1,26))),0,IFERROR(INDEX(Material_Detail!$D:$DC,MATCH($A39,Material_Detail!$DE:$DE,0),26),0)),SUMIFS(T_Shipments[Confirmed_Qty],T_Shipments[Part Name],$A39,T_Shipments[Effective_Week],26))</f>
        <v/>
      </c>
      <c r="AB39">
        <f>IF(COUNTIF(Material_Detail!$DE:$DE,$A39)&gt;0,IF(ISNUMBER(SEARCH("[済]",INDEX(Material_Detail!$D:$DC,MATCH($A39,Material_Detail!$DE:$DE,0)+1,27))),0,IFERROR(INDEX(Material_Detail!$D:$DC,MATCH($A39,Material_Detail!$DE:$DE,0),27),0)),SUMIFS(T_Shipments[Confirmed_Qty],T_Shipments[Part Name],$A39,T_Shipments[Effective_Week],27))</f>
        <v/>
      </c>
      <c r="AC39">
        <f>IF(COUNTIF(Material_Detail!$DE:$DE,$A39)&gt;0,IF(ISNUMBER(SEARCH("[済]",INDEX(Material_Detail!$D:$DC,MATCH($A39,Material_Detail!$DE:$DE,0)+1,28))),0,IFERROR(INDEX(Material_Detail!$D:$DC,MATCH($A39,Material_Detail!$DE:$DE,0),28),0)),SUMIFS(T_Shipments[Confirmed_Qty],T_Shipments[Part Name],$A39,T_Shipments[Effective_Week],28))</f>
        <v/>
      </c>
      <c r="AD39">
        <f>IF(COUNTIF(Material_Detail!$DE:$DE,$A39)&gt;0,IF(ISNUMBER(SEARCH("[済]",INDEX(Material_Detail!$D:$DC,MATCH($A39,Material_Detail!$DE:$DE,0)+1,29))),0,IFERROR(INDEX(Material_Detail!$D:$DC,MATCH($A39,Material_Detail!$DE:$DE,0),29),0)),SUMIFS(T_Shipments[Confirmed_Qty],T_Shipments[Part Name],$A39,T_Shipments[Effective_Week],29))</f>
        <v/>
      </c>
      <c r="AE39">
        <f>IF(COUNTIF(Material_Detail!$DE:$DE,$A39)&gt;0,IF(ISNUMBER(SEARCH("[済]",INDEX(Material_Detail!$D:$DC,MATCH($A39,Material_Detail!$DE:$DE,0)+1,30))),0,IFERROR(INDEX(Material_Detail!$D:$DC,MATCH($A39,Material_Detail!$DE:$DE,0),30),0)),SUMIFS(T_Shipments[Confirmed_Qty],T_Shipments[Part Name],$A39,T_Shipments[Effective_Week],30))</f>
        <v/>
      </c>
      <c r="AF39">
        <f>IF(COUNTIF(Material_Detail!$DE:$DE,$A39)&gt;0,IF(ISNUMBER(SEARCH("[済]",INDEX(Material_Detail!$D:$DC,MATCH($A39,Material_Detail!$DE:$DE,0)+1,31))),0,IFERROR(INDEX(Material_Detail!$D:$DC,MATCH($A39,Material_Detail!$DE:$DE,0),31),0)),SUMIFS(T_Shipments[Confirmed_Qty],T_Shipments[Part Name],$A39,T_Shipments[Effective_Week],31))</f>
        <v/>
      </c>
      <c r="AG39">
        <f>IF(COUNTIF(Material_Detail!$DE:$DE,$A39)&gt;0,IF(ISNUMBER(SEARCH("[済]",INDEX(Material_Detail!$D:$DC,MATCH($A39,Material_Detail!$DE:$DE,0)+1,32))),0,IFERROR(INDEX(Material_Detail!$D:$DC,MATCH($A39,Material_Detail!$DE:$DE,0),32),0)),SUMIFS(T_Shipments[Confirmed_Qty],T_Shipments[Part Name],$A39,T_Shipments[Effective_Week],32))</f>
        <v/>
      </c>
      <c r="AH39">
        <f>IF(COUNTIF(Material_Detail!$DE:$DE,$A39)&gt;0,IF(ISNUMBER(SEARCH("[済]",INDEX(Material_Detail!$D:$DC,MATCH($A39,Material_Detail!$DE:$DE,0)+1,33))),0,IFERROR(INDEX(Material_Detail!$D:$DC,MATCH($A39,Material_Detail!$DE:$DE,0),33),0)),SUMIFS(T_Shipments[Confirmed_Qty],T_Shipments[Part Name],$A39,T_Shipments[Effective_Week],33))</f>
        <v/>
      </c>
      <c r="AI39">
        <f>IF(COUNTIF(Material_Detail!$DE:$DE,$A39)&gt;0,IF(ISNUMBER(SEARCH("[済]",INDEX(Material_Detail!$D:$DC,MATCH($A39,Material_Detail!$DE:$DE,0)+1,34))),0,IFERROR(INDEX(Material_Detail!$D:$DC,MATCH($A39,Material_Detail!$DE:$DE,0),34),0)),SUMIFS(T_Shipments[Confirmed_Qty],T_Shipments[Part Name],$A39,T_Shipments[Effective_Week],34))</f>
        <v/>
      </c>
      <c r="AJ39">
        <f>IF(COUNTIF(Material_Detail!$DE:$DE,$A39)&gt;0,IF(ISNUMBER(SEARCH("[済]",INDEX(Material_Detail!$D:$DC,MATCH($A39,Material_Detail!$DE:$DE,0)+1,35))),0,IFERROR(INDEX(Material_Detail!$D:$DC,MATCH($A39,Material_Detail!$DE:$DE,0),35),0)),SUMIFS(T_Shipments[Confirmed_Qty],T_Shipments[Part Name],$A39,T_Shipments[Effective_Week],35))</f>
        <v/>
      </c>
      <c r="AK39">
        <f>IF(COUNTIF(Material_Detail!$DE:$DE,$A39)&gt;0,IF(ISNUMBER(SEARCH("[済]",INDEX(Material_Detail!$D:$DC,MATCH($A39,Material_Detail!$DE:$DE,0)+1,36))),0,IFERROR(INDEX(Material_Detail!$D:$DC,MATCH($A39,Material_Detail!$DE:$DE,0),36),0)),SUMIFS(T_Shipments[Confirmed_Qty],T_Shipments[Part Name],$A39,T_Shipments[Effective_Week],36))</f>
        <v/>
      </c>
      <c r="AL39">
        <f>IF(COUNTIF(Material_Detail!$DE:$DE,$A39)&gt;0,IF(ISNUMBER(SEARCH("[済]",INDEX(Material_Detail!$D:$DC,MATCH($A39,Material_Detail!$DE:$DE,0)+1,37))),0,IFERROR(INDEX(Material_Detail!$D:$DC,MATCH($A39,Material_Detail!$DE:$DE,0),37),0)),SUMIFS(T_Shipments[Confirmed_Qty],T_Shipments[Part Name],$A39,T_Shipments[Effective_Week],37))</f>
        <v/>
      </c>
      <c r="AM39">
        <f>IF(COUNTIF(Material_Detail!$DE:$DE,$A39)&gt;0,IF(ISNUMBER(SEARCH("[済]",INDEX(Material_Detail!$D:$DC,MATCH($A39,Material_Detail!$DE:$DE,0)+1,38))),0,IFERROR(INDEX(Material_Detail!$D:$DC,MATCH($A39,Material_Detail!$DE:$DE,0),38),0)),SUMIFS(T_Shipments[Confirmed_Qty],T_Shipments[Part Name],$A39,T_Shipments[Effective_Week],38))</f>
        <v/>
      </c>
      <c r="AN39">
        <f>IF(COUNTIF(Material_Detail!$DE:$DE,$A39)&gt;0,IF(ISNUMBER(SEARCH("[済]",INDEX(Material_Detail!$D:$DC,MATCH($A39,Material_Detail!$DE:$DE,0)+1,39))),0,IFERROR(INDEX(Material_Detail!$D:$DC,MATCH($A39,Material_Detail!$DE:$DE,0),39),0)),SUMIFS(T_Shipments[Confirmed_Qty],T_Shipments[Part Name],$A39,T_Shipments[Effective_Week],39))</f>
        <v/>
      </c>
      <c r="AO39">
        <f>IF(COUNTIF(Material_Detail!$DE:$DE,$A39)&gt;0,IF(ISNUMBER(SEARCH("[済]",INDEX(Material_Detail!$D:$DC,MATCH($A39,Material_Detail!$DE:$DE,0)+1,40))),0,IFERROR(INDEX(Material_Detail!$D:$DC,MATCH($A39,Material_Detail!$DE:$DE,0),40),0)),SUMIFS(T_Shipments[Confirmed_Qty],T_Shipments[Part Name],$A39,T_Shipments[Effective_Week],40))</f>
        <v/>
      </c>
      <c r="AP39">
        <f>IF(COUNTIF(Material_Detail!$DE:$DE,$A39)&gt;0,IF(ISNUMBER(SEARCH("[済]",INDEX(Material_Detail!$D:$DC,MATCH($A39,Material_Detail!$DE:$DE,0)+1,41))),0,IFERROR(INDEX(Material_Detail!$D:$DC,MATCH($A39,Material_Detail!$DE:$DE,0),41),0)),SUMIFS(T_Shipments[Confirmed_Qty],T_Shipments[Part Name],$A39,T_Shipments[Effective_Week],41))</f>
        <v/>
      </c>
      <c r="AQ39">
        <f>IF(COUNTIF(Material_Detail!$DE:$DE,$A39)&gt;0,IF(ISNUMBER(SEARCH("[済]",INDEX(Material_Detail!$D:$DC,MATCH($A39,Material_Detail!$DE:$DE,0)+1,42))),0,IFERROR(INDEX(Material_Detail!$D:$DC,MATCH($A39,Material_Detail!$DE:$DE,0),42),0)),SUMIFS(T_Shipments[Confirmed_Qty],T_Shipments[Part Name],$A39,T_Shipments[Effective_Week],42))</f>
        <v/>
      </c>
      <c r="AR39">
        <f>IF(COUNTIF(Material_Detail!$DE:$DE,$A39)&gt;0,IF(ISNUMBER(SEARCH("[済]",INDEX(Material_Detail!$D:$DC,MATCH($A39,Material_Detail!$DE:$DE,0)+1,43))),0,IFERROR(INDEX(Material_Detail!$D:$DC,MATCH($A39,Material_Detail!$DE:$DE,0),43),0)),SUMIFS(T_Shipments[Confirmed_Qty],T_Shipments[Part Name],$A39,T_Shipments[Effective_Week],43))</f>
        <v/>
      </c>
      <c r="AS39">
        <f>IF(COUNTIF(Material_Detail!$DE:$DE,$A39)&gt;0,IF(ISNUMBER(SEARCH("[済]",INDEX(Material_Detail!$D:$DC,MATCH($A39,Material_Detail!$DE:$DE,0)+1,44))),0,IFERROR(INDEX(Material_Detail!$D:$DC,MATCH($A39,Material_Detail!$DE:$DE,0),44),0)),SUMIFS(T_Shipments[Confirmed_Qty],T_Shipments[Part Name],$A39,T_Shipments[Effective_Week],44))</f>
        <v/>
      </c>
      <c r="AT39">
        <f>IF(COUNTIF(Material_Detail!$DE:$DE,$A39)&gt;0,IF(ISNUMBER(SEARCH("[済]",INDEX(Material_Detail!$D:$DC,MATCH($A39,Material_Detail!$DE:$DE,0)+1,45))),0,IFERROR(INDEX(Material_Detail!$D:$DC,MATCH($A39,Material_Detail!$DE:$DE,0),45),0)),SUMIFS(T_Shipments[Confirmed_Qty],T_Shipments[Part Name],$A39,T_Shipments[Effective_Week],45))</f>
        <v/>
      </c>
      <c r="AU39">
        <f>IF(COUNTIF(Material_Detail!$DE:$DE,$A39)&gt;0,IF(ISNUMBER(SEARCH("[済]",INDEX(Material_Detail!$D:$DC,MATCH($A39,Material_Detail!$DE:$DE,0)+1,46))),0,IFERROR(INDEX(Material_Detail!$D:$DC,MATCH($A39,Material_Detail!$DE:$DE,0),46),0)),SUMIFS(T_Shipments[Confirmed_Qty],T_Shipments[Part Name],$A39,T_Shipments[Effective_Week],46))</f>
        <v/>
      </c>
      <c r="AV39">
        <f>IF(COUNTIF(Material_Detail!$DE:$DE,$A39)&gt;0,IF(ISNUMBER(SEARCH("[済]",INDEX(Material_Detail!$D:$DC,MATCH($A39,Material_Detail!$DE:$DE,0)+1,47))),0,IFERROR(INDEX(Material_Detail!$D:$DC,MATCH($A39,Material_Detail!$DE:$DE,0),47),0)),SUMIFS(T_Shipments[Confirmed_Qty],T_Shipments[Part Name],$A39,T_Shipments[Effective_Week],47))</f>
        <v/>
      </c>
      <c r="AW39">
        <f>IF(COUNTIF(Material_Detail!$DE:$DE,$A39)&gt;0,IF(ISNUMBER(SEARCH("[済]",INDEX(Material_Detail!$D:$DC,MATCH($A39,Material_Detail!$DE:$DE,0)+1,48))),0,IFERROR(INDEX(Material_Detail!$D:$DC,MATCH($A39,Material_Detail!$DE:$DE,0),48),0)),SUMIFS(T_Shipments[Confirmed_Qty],T_Shipments[Part Name],$A39,T_Shipments[Effective_Week],48))</f>
        <v/>
      </c>
      <c r="AX39">
        <f>IF(COUNTIF(Material_Detail!$DE:$DE,$A39)&gt;0,IF(ISNUMBER(SEARCH("[済]",INDEX(Material_Detail!$D:$DC,MATCH($A39,Material_Detail!$DE:$DE,0)+1,49))),0,IFERROR(INDEX(Material_Detail!$D:$DC,MATCH($A39,Material_Detail!$DE:$DE,0),49),0)),SUMIFS(T_Shipments[Confirmed_Qty],T_Shipments[Part Name],$A39,T_Shipments[Effective_Week],49))</f>
        <v/>
      </c>
      <c r="AY39">
        <f>IF(COUNTIF(Material_Detail!$DE:$DE,$A39)&gt;0,IF(ISNUMBER(SEARCH("[済]",INDEX(Material_Detail!$D:$DC,MATCH($A39,Material_Detail!$DE:$DE,0)+1,50))),0,IFERROR(INDEX(Material_Detail!$D:$DC,MATCH($A39,Material_Detail!$DE:$DE,0),50),0)),SUMIFS(T_Shipments[Confirmed_Qty],T_Shipments[Part Name],$A39,T_Shipments[Effective_Week],50))</f>
        <v/>
      </c>
      <c r="AZ39">
        <f>IF(COUNTIF(Material_Detail!$DE:$DE,$A39)&gt;0,IF(ISNUMBER(SEARCH("[済]",INDEX(Material_Detail!$D:$DC,MATCH($A39,Material_Detail!$DE:$DE,0)+1,51))),0,IFERROR(INDEX(Material_Detail!$D:$DC,MATCH($A39,Material_Detail!$DE:$DE,0),51),0)),SUMIFS(T_Shipments[Confirmed_Qty],T_Shipments[Part Name],$A39,T_Shipments[Effective_Week],51))</f>
        <v/>
      </c>
      <c r="BA39">
        <f>IF(COUNTIF(Material_Detail!$DE:$DE,$A39)&gt;0,IF(ISNUMBER(SEARCH("[済]",INDEX(Material_Detail!$D:$DC,MATCH($A39,Material_Detail!$DE:$DE,0)+1,52))),0,IFERROR(INDEX(Material_Detail!$D:$DC,MATCH($A39,Material_Detail!$DE:$DE,0),52),0)),SUMIFS(T_Shipments[Confirmed_Qty],T_Shipments[Part Name],$A39,T_Shipments[Effective_Week],52))</f>
        <v/>
      </c>
      <c r="BB39">
        <f>IF(COUNTIF(Material_Detail!$DE:$DE,$A39)&gt;0,IF(ISNUMBER(SEARCH("[済]",INDEX(Material_Detail!$D:$DC,MATCH($A39,Material_Detail!$DE:$DE,0)+1,53))),0,IFERROR(INDEX(Material_Detail!$D:$DC,MATCH($A39,Material_Detail!$DE:$DE,0),53),0)),SUMIFS(T_Shipments[Confirmed_Qty],T_Shipments[Part Name],$A39,T_Shipments[Effective_Week],53))</f>
        <v/>
      </c>
      <c r="BC39">
        <f>IF(COUNTIF(Material_Detail!$DE:$DE,$A39)&gt;0,IF(ISNUMBER(SEARCH("[済]",INDEX(Material_Detail!$D:$DC,MATCH($A39,Material_Detail!$DE:$DE,0)+1,54))),0,IFERROR(INDEX(Material_Detail!$D:$DC,MATCH($A39,Material_Detail!$DE:$DE,0),54),0)),SUMIFS(T_Shipments[Confirmed_Qty],T_Shipments[Part Name],$A39,T_Shipments[Effective_Week],54))</f>
        <v/>
      </c>
      <c r="BD39">
        <f>IF(COUNTIF(Material_Detail!$DE:$DE,$A39)&gt;0,IF(ISNUMBER(SEARCH("[済]",INDEX(Material_Detail!$D:$DC,MATCH($A39,Material_Detail!$DE:$DE,0)+1,55))),0,IFERROR(INDEX(Material_Detail!$D:$DC,MATCH($A39,Material_Detail!$DE:$DE,0),55),0)),SUMIFS(T_Shipments[Confirmed_Qty],T_Shipments[Part Name],$A39,T_Shipments[Effective_Week],55))</f>
        <v/>
      </c>
      <c r="BE39">
        <f>IF(COUNTIF(Material_Detail!$DE:$DE,$A39)&gt;0,IF(ISNUMBER(SEARCH("[済]",INDEX(Material_Detail!$D:$DC,MATCH($A39,Material_Detail!$DE:$DE,0)+1,56))),0,IFERROR(INDEX(Material_Detail!$D:$DC,MATCH($A39,Material_Detail!$DE:$DE,0),56),0)),SUMIFS(T_Shipments[Confirmed_Qty],T_Shipments[Part Name],$A39,T_Shipments[Effective_Week],56))</f>
        <v/>
      </c>
      <c r="BF39">
        <f>IF(COUNTIF(Material_Detail!$DE:$DE,$A39)&gt;0,IF(ISNUMBER(SEARCH("[済]",INDEX(Material_Detail!$D:$DC,MATCH($A39,Material_Detail!$DE:$DE,0)+1,57))),0,IFERROR(INDEX(Material_Detail!$D:$DC,MATCH($A39,Material_Detail!$DE:$DE,0),57),0)),SUMIFS(T_Shipments[Confirmed_Qty],T_Shipments[Part Name],$A39,T_Shipments[Effective_Week],57))</f>
        <v/>
      </c>
      <c r="BG39">
        <f>IF(COUNTIF(Material_Detail!$DE:$DE,$A39)&gt;0,IF(ISNUMBER(SEARCH("[済]",INDEX(Material_Detail!$D:$DC,MATCH($A39,Material_Detail!$DE:$DE,0)+1,58))),0,IFERROR(INDEX(Material_Detail!$D:$DC,MATCH($A39,Material_Detail!$DE:$DE,0),58),0)),SUMIFS(T_Shipments[Confirmed_Qty],T_Shipments[Part Name],$A39,T_Shipments[Effective_Week],58))</f>
        <v/>
      </c>
      <c r="BH39">
        <f>IF(COUNTIF(Material_Detail!$DE:$DE,$A39)&gt;0,IF(ISNUMBER(SEARCH("[済]",INDEX(Material_Detail!$D:$DC,MATCH($A39,Material_Detail!$DE:$DE,0)+1,59))),0,IFERROR(INDEX(Material_Detail!$D:$DC,MATCH($A39,Material_Detail!$DE:$DE,0),59),0)),SUMIFS(T_Shipments[Confirmed_Qty],T_Shipments[Part Name],$A39,T_Shipments[Effective_Week],59))</f>
        <v/>
      </c>
      <c r="BI39">
        <f>IF(COUNTIF(Material_Detail!$DE:$DE,$A39)&gt;0,IF(ISNUMBER(SEARCH("[済]",INDEX(Material_Detail!$D:$DC,MATCH($A39,Material_Detail!$DE:$DE,0)+1,60))),0,IFERROR(INDEX(Material_Detail!$D:$DC,MATCH($A39,Material_Detail!$DE:$DE,0),60),0)),SUMIFS(T_Shipments[Confirmed_Qty],T_Shipments[Part Name],$A39,T_Shipments[Effective_Week],60))</f>
        <v/>
      </c>
      <c r="BJ39">
        <f>IF(COUNTIF(Material_Detail!$DE:$DE,$A39)&gt;0,IF(ISNUMBER(SEARCH("[済]",INDEX(Material_Detail!$D:$DC,MATCH($A39,Material_Detail!$DE:$DE,0)+1,61))),0,IFERROR(INDEX(Material_Detail!$D:$DC,MATCH($A39,Material_Detail!$DE:$DE,0),61),0)),SUMIFS(T_Shipments[Confirmed_Qty],T_Shipments[Part Name],$A39,T_Shipments[Effective_Week],61))</f>
        <v/>
      </c>
      <c r="BK39">
        <f>IF(COUNTIF(Material_Detail!$DE:$DE,$A39)&gt;0,IF(ISNUMBER(SEARCH("[済]",INDEX(Material_Detail!$D:$DC,MATCH($A39,Material_Detail!$DE:$DE,0)+1,62))),0,IFERROR(INDEX(Material_Detail!$D:$DC,MATCH($A39,Material_Detail!$DE:$DE,0),62),0)),SUMIFS(T_Shipments[Confirmed_Qty],T_Shipments[Part Name],$A39,T_Shipments[Effective_Week],62))</f>
        <v/>
      </c>
      <c r="BL39">
        <f>IF(COUNTIF(Material_Detail!$DE:$DE,$A39)&gt;0,IF(ISNUMBER(SEARCH("[済]",INDEX(Material_Detail!$D:$DC,MATCH($A39,Material_Detail!$DE:$DE,0)+1,63))),0,IFERROR(INDEX(Material_Detail!$D:$DC,MATCH($A39,Material_Detail!$DE:$DE,0),63),0)),SUMIFS(T_Shipments[Confirmed_Qty],T_Shipments[Part Name],$A39,T_Shipments[Effective_Week],63))</f>
        <v/>
      </c>
      <c r="BM39">
        <f>IF(COUNTIF(Material_Detail!$DE:$DE,$A39)&gt;0,IF(ISNUMBER(SEARCH("[済]",INDEX(Material_Detail!$D:$DC,MATCH($A39,Material_Detail!$DE:$DE,0)+1,64))),0,IFERROR(INDEX(Material_Detail!$D:$DC,MATCH($A39,Material_Detail!$DE:$DE,0),64),0)),SUMIFS(T_Shipments[Confirmed_Qty],T_Shipments[Part Name],$A39,T_Shipments[Effective_Week],64))</f>
        <v/>
      </c>
      <c r="BN39">
        <f>IF(COUNTIF(Material_Detail!$DE:$DE,$A39)&gt;0,IF(ISNUMBER(SEARCH("[済]",INDEX(Material_Detail!$D:$DC,MATCH($A39,Material_Detail!$DE:$DE,0)+1,65))),0,IFERROR(INDEX(Material_Detail!$D:$DC,MATCH($A39,Material_Detail!$DE:$DE,0),65),0)),SUMIFS(T_Shipments[Confirmed_Qty],T_Shipments[Part Name],$A39,T_Shipments[Effective_Week],65))</f>
        <v/>
      </c>
      <c r="BO39">
        <f>IF(COUNTIF(Material_Detail!$DE:$DE,$A39)&gt;0,IF(ISNUMBER(SEARCH("[済]",INDEX(Material_Detail!$D:$DC,MATCH($A39,Material_Detail!$DE:$DE,0)+1,66))),0,IFERROR(INDEX(Material_Detail!$D:$DC,MATCH($A39,Material_Detail!$DE:$DE,0),66),0)),SUMIFS(T_Shipments[Confirmed_Qty],T_Shipments[Part Name],$A39,T_Shipments[Effective_Week],66))</f>
        <v/>
      </c>
      <c r="BP39">
        <f>IF(COUNTIF(Material_Detail!$DE:$DE,$A39)&gt;0,IF(ISNUMBER(SEARCH("[済]",INDEX(Material_Detail!$D:$DC,MATCH($A39,Material_Detail!$DE:$DE,0)+1,67))),0,IFERROR(INDEX(Material_Detail!$D:$DC,MATCH($A39,Material_Detail!$DE:$DE,0),67),0)),SUMIFS(T_Shipments[Confirmed_Qty],T_Shipments[Part Name],$A39,T_Shipments[Effective_Week],67))</f>
        <v/>
      </c>
      <c r="BQ39">
        <f>IF(COUNTIF(Material_Detail!$DE:$DE,$A39)&gt;0,IF(ISNUMBER(SEARCH("[済]",INDEX(Material_Detail!$D:$DC,MATCH($A39,Material_Detail!$DE:$DE,0)+1,68))),0,IFERROR(INDEX(Material_Detail!$D:$DC,MATCH($A39,Material_Detail!$DE:$DE,0),68),0)),SUMIFS(T_Shipments[Confirmed_Qty],T_Shipments[Part Name],$A39,T_Shipments[Effective_Week],68))</f>
        <v/>
      </c>
      <c r="BR39">
        <f>IF(COUNTIF(Material_Detail!$DE:$DE,$A39)&gt;0,IF(ISNUMBER(SEARCH("[済]",INDEX(Material_Detail!$D:$DC,MATCH($A39,Material_Detail!$DE:$DE,0)+1,69))),0,IFERROR(INDEX(Material_Detail!$D:$DC,MATCH($A39,Material_Detail!$DE:$DE,0),69),0)),SUMIFS(T_Shipments[Confirmed_Qty],T_Shipments[Part Name],$A39,T_Shipments[Effective_Week],69))</f>
        <v/>
      </c>
      <c r="BS39">
        <f>IF(COUNTIF(Material_Detail!$DE:$DE,$A39)&gt;0,IF(ISNUMBER(SEARCH("[済]",INDEX(Material_Detail!$D:$DC,MATCH($A39,Material_Detail!$DE:$DE,0)+1,70))),0,IFERROR(INDEX(Material_Detail!$D:$DC,MATCH($A39,Material_Detail!$DE:$DE,0),70),0)),SUMIFS(T_Shipments[Confirmed_Qty],T_Shipments[Part Name],$A39,T_Shipments[Effective_Week],70))</f>
        <v/>
      </c>
      <c r="BT39">
        <f>IF(COUNTIF(Material_Detail!$DE:$DE,$A39)&gt;0,IF(ISNUMBER(SEARCH("[済]",INDEX(Material_Detail!$D:$DC,MATCH($A39,Material_Detail!$DE:$DE,0)+1,71))),0,IFERROR(INDEX(Material_Detail!$D:$DC,MATCH($A39,Material_Detail!$DE:$DE,0),71),0)),SUMIFS(T_Shipments[Confirmed_Qty],T_Shipments[Part Name],$A39,T_Shipments[Effective_Week],71))</f>
        <v/>
      </c>
      <c r="BU39">
        <f>IF(COUNTIF(Material_Detail!$DE:$DE,$A39)&gt;0,IF(ISNUMBER(SEARCH("[済]",INDEX(Material_Detail!$D:$DC,MATCH($A39,Material_Detail!$DE:$DE,0)+1,72))),0,IFERROR(INDEX(Material_Detail!$D:$DC,MATCH($A39,Material_Detail!$DE:$DE,0),72),0)),SUMIFS(T_Shipments[Confirmed_Qty],T_Shipments[Part Name],$A39,T_Shipments[Effective_Week],72))</f>
        <v/>
      </c>
      <c r="BV39">
        <f>IF(COUNTIF(Material_Detail!$DE:$DE,$A39)&gt;0,IF(ISNUMBER(SEARCH("[済]",INDEX(Material_Detail!$D:$DC,MATCH($A39,Material_Detail!$DE:$DE,0)+1,73))),0,IFERROR(INDEX(Material_Detail!$D:$DC,MATCH($A39,Material_Detail!$DE:$DE,0),73),0)),SUMIFS(T_Shipments[Confirmed_Qty],T_Shipments[Part Name],$A39,T_Shipments[Effective_Week],73))</f>
        <v/>
      </c>
      <c r="BW39">
        <f>IF(COUNTIF(Material_Detail!$DE:$DE,$A39)&gt;0,IF(ISNUMBER(SEARCH("[済]",INDEX(Material_Detail!$D:$DC,MATCH($A39,Material_Detail!$DE:$DE,0)+1,74))),0,IFERROR(INDEX(Material_Detail!$D:$DC,MATCH($A39,Material_Detail!$DE:$DE,0),74),0)),SUMIFS(T_Shipments[Confirmed_Qty],T_Shipments[Part Name],$A39,T_Shipments[Effective_Week],74))</f>
        <v/>
      </c>
      <c r="BX39">
        <f>IF(COUNTIF(Material_Detail!$DE:$DE,$A39)&gt;0,IF(ISNUMBER(SEARCH("[済]",INDEX(Material_Detail!$D:$DC,MATCH($A39,Material_Detail!$DE:$DE,0)+1,75))),0,IFERROR(INDEX(Material_Detail!$D:$DC,MATCH($A39,Material_Detail!$DE:$DE,0),75),0)),SUMIFS(T_Shipments[Confirmed_Qty],T_Shipments[Part Name],$A39,T_Shipments[Effective_Week],75))</f>
        <v/>
      </c>
      <c r="BY39">
        <f>IF(COUNTIF(Material_Detail!$DE:$DE,$A39)&gt;0,IF(ISNUMBER(SEARCH("[済]",INDEX(Material_Detail!$D:$DC,MATCH($A39,Material_Detail!$DE:$DE,0)+1,76))),0,IFERROR(INDEX(Material_Detail!$D:$DC,MATCH($A39,Material_Detail!$DE:$DE,0),76),0)),SUMIFS(T_Shipments[Confirmed_Qty],T_Shipments[Part Name],$A39,T_Shipments[Effective_Week],76))</f>
        <v/>
      </c>
      <c r="BZ39">
        <f>IF(COUNTIF(Material_Detail!$DE:$DE,$A39)&gt;0,IF(ISNUMBER(SEARCH("[済]",INDEX(Material_Detail!$D:$DC,MATCH($A39,Material_Detail!$DE:$DE,0)+1,77))),0,IFERROR(INDEX(Material_Detail!$D:$DC,MATCH($A39,Material_Detail!$DE:$DE,0),77),0)),SUMIFS(T_Shipments[Confirmed_Qty],T_Shipments[Part Name],$A39,T_Shipments[Effective_Week],77))</f>
        <v/>
      </c>
      <c r="CA39">
        <f>IF(COUNTIF(Material_Detail!$DE:$DE,$A39)&gt;0,IF(ISNUMBER(SEARCH("[済]",INDEX(Material_Detail!$D:$DC,MATCH($A39,Material_Detail!$DE:$DE,0)+1,78))),0,IFERROR(INDEX(Material_Detail!$D:$DC,MATCH($A39,Material_Detail!$DE:$DE,0),78),0)),SUMIFS(T_Shipments[Confirmed_Qty],T_Shipments[Part Name],$A39,T_Shipments[Effective_Week],78))</f>
        <v/>
      </c>
      <c r="CB39">
        <f>IF(COUNTIF(Material_Detail!$DE:$DE,$A39)&gt;0,IF(ISNUMBER(SEARCH("[済]",INDEX(Material_Detail!$D:$DC,MATCH($A39,Material_Detail!$DE:$DE,0)+1,79))),0,IFERROR(INDEX(Material_Detail!$D:$DC,MATCH($A39,Material_Detail!$DE:$DE,0),79),0)),SUMIFS(T_Shipments[Confirmed_Qty],T_Shipments[Part Name],$A39,T_Shipments[Effective_Week],79))</f>
        <v/>
      </c>
      <c r="CC39">
        <f>IF(COUNTIF(Material_Detail!$DE:$DE,$A39)&gt;0,IF(ISNUMBER(SEARCH("[済]",INDEX(Material_Detail!$D:$DC,MATCH($A39,Material_Detail!$DE:$DE,0)+1,80))),0,IFERROR(INDEX(Material_Detail!$D:$DC,MATCH($A39,Material_Detail!$DE:$DE,0),80),0)),SUMIFS(T_Shipments[Confirmed_Qty],T_Shipments[Part Name],$A39,T_Shipments[Effective_Week],80))</f>
        <v/>
      </c>
      <c r="CD39">
        <f>IF(COUNTIF(Material_Detail!$DE:$DE,$A39)&gt;0,IF(ISNUMBER(SEARCH("[済]",INDEX(Material_Detail!$D:$DC,MATCH($A39,Material_Detail!$DE:$DE,0)+1,81))),0,IFERROR(INDEX(Material_Detail!$D:$DC,MATCH($A39,Material_Detail!$DE:$DE,0),81),0)),SUMIFS(T_Shipments[Confirmed_Qty],T_Shipments[Part Name],$A39,T_Shipments[Effective_Week],81))</f>
        <v/>
      </c>
      <c r="CE39">
        <f>IF(COUNTIF(Material_Detail!$DE:$DE,$A39)&gt;0,IF(ISNUMBER(SEARCH("[済]",INDEX(Material_Detail!$D:$DC,MATCH($A39,Material_Detail!$DE:$DE,0)+1,82))),0,IFERROR(INDEX(Material_Detail!$D:$DC,MATCH($A39,Material_Detail!$DE:$DE,0),82),0)),SUMIFS(T_Shipments[Confirmed_Qty],T_Shipments[Part Name],$A39,T_Shipments[Effective_Week],82))</f>
        <v/>
      </c>
      <c r="CF39">
        <f>IF(COUNTIF(Material_Detail!$DE:$DE,$A39)&gt;0,IF(ISNUMBER(SEARCH("[済]",INDEX(Material_Detail!$D:$DC,MATCH($A39,Material_Detail!$DE:$DE,0)+1,83))),0,IFERROR(INDEX(Material_Detail!$D:$DC,MATCH($A39,Material_Detail!$DE:$DE,0),83),0)),SUMIFS(T_Shipments[Confirmed_Qty],T_Shipments[Part Name],$A39,T_Shipments[Effective_Week],83))</f>
        <v/>
      </c>
      <c r="CG39">
        <f>IF(COUNTIF(Material_Detail!$DE:$DE,$A39)&gt;0,IF(ISNUMBER(SEARCH("[済]",INDEX(Material_Detail!$D:$DC,MATCH($A39,Material_Detail!$DE:$DE,0)+1,84))),0,IFERROR(INDEX(Material_Detail!$D:$DC,MATCH($A39,Material_Detail!$DE:$DE,0),84),0)),SUMIFS(T_Shipments[Confirmed_Qty],T_Shipments[Part Name],$A39,T_Shipments[Effective_Week],84))</f>
        <v/>
      </c>
      <c r="CH39">
        <f>IF(COUNTIF(Material_Detail!$DE:$DE,$A39)&gt;0,IF(ISNUMBER(SEARCH("[済]",INDEX(Material_Detail!$D:$DC,MATCH($A39,Material_Detail!$DE:$DE,0)+1,85))),0,IFERROR(INDEX(Material_Detail!$D:$DC,MATCH($A39,Material_Detail!$DE:$DE,0),85),0)),SUMIFS(T_Shipments[Confirmed_Qty],T_Shipments[Part Name],$A39,T_Shipments[Effective_Week],85))</f>
        <v/>
      </c>
      <c r="CI39">
        <f>IF(COUNTIF(Material_Detail!$DE:$DE,$A39)&gt;0,IF(ISNUMBER(SEARCH("[済]",INDEX(Material_Detail!$D:$DC,MATCH($A39,Material_Detail!$DE:$DE,0)+1,86))),0,IFERROR(INDEX(Material_Detail!$D:$DC,MATCH($A39,Material_Detail!$DE:$DE,0),86),0)),SUMIFS(T_Shipments[Confirmed_Qty],T_Shipments[Part Name],$A39,T_Shipments[Effective_Week],86))</f>
        <v/>
      </c>
      <c r="CJ39">
        <f>IF(COUNTIF(Material_Detail!$DE:$DE,$A39)&gt;0,IF(ISNUMBER(SEARCH("[済]",INDEX(Material_Detail!$D:$DC,MATCH($A39,Material_Detail!$DE:$DE,0)+1,87))),0,IFERROR(INDEX(Material_Detail!$D:$DC,MATCH($A39,Material_Detail!$DE:$DE,0),87),0)),SUMIFS(T_Shipments[Confirmed_Qty],T_Shipments[Part Name],$A39,T_Shipments[Effective_Week],87))</f>
        <v/>
      </c>
      <c r="CK39">
        <f>IF(COUNTIF(Material_Detail!$DE:$DE,$A39)&gt;0,IF(ISNUMBER(SEARCH("[済]",INDEX(Material_Detail!$D:$DC,MATCH($A39,Material_Detail!$DE:$DE,0)+1,88))),0,IFERROR(INDEX(Material_Detail!$D:$DC,MATCH($A39,Material_Detail!$DE:$DE,0),88),0)),SUMIFS(T_Shipments[Confirmed_Qty],T_Shipments[Part Name],$A39,T_Shipments[Effective_Week],88))</f>
        <v/>
      </c>
      <c r="CL39">
        <f>IF(COUNTIF(Material_Detail!$DE:$DE,$A39)&gt;0,IF(ISNUMBER(SEARCH("[済]",INDEX(Material_Detail!$D:$DC,MATCH($A39,Material_Detail!$DE:$DE,0)+1,89))),0,IFERROR(INDEX(Material_Detail!$D:$DC,MATCH($A39,Material_Detail!$DE:$DE,0),89),0)),SUMIFS(T_Shipments[Confirmed_Qty],T_Shipments[Part Name],$A39,T_Shipments[Effective_Week],89))</f>
        <v/>
      </c>
      <c r="CM39">
        <f>IF(COUNTIF(Material_Detail!$DE:$DE,$A39)&gt;0,IF(ISNUMBER(SEARCH("[済]",INDEX(Material_Detail!$D:$DC,MATCH($A39,Material_Detail!$DE:$DE,0)+1,90))),0,IFERROR(INDEX(Material_Detail!$D:$DC,MATCH($A39,Material_Detail!$DE:$DE,0),90),0)),SUMIFS(T_Shipments[Confirmed_Qty],T_Shipments[Part Name],$A39,T_Shipments[Effective_Week],90))</f>
        <v/>
      </c>
      <c r="CN39">
        <f>IF(COUNTIF(Material_Detail!$DE:$DE,$A39)&gt;0,IF(ISNUMBER(SEARCH("[済]",INDEX(Material_Detail!$D:$DC,MATCH($A39,Material_Detail!$DE:$DE,0)+1,91))),0,IFERROR(INDEX(Material_Detail!$D:$DC,MATCH($A39,Material_Detail!$DE:$DE,0),91),0)),SUMIFS(T_Shipments[Confirmed_Qty],T_Shipments[Part Name],$A39,T_Shipments[Effective_Week],91))</f>
        <v/>
      </c>
      <c r="CO39">
        <f>IF(COUNTIF(Material_Detail!$DE:$DE,$A39)&gt;0,IF(ISNUMBER(SEARCH("[済]",INDEX(Material_Detail!$D:$DC,MATCH($A39,Material_Detail!$DE:$DE,0)+1,92))),0,IFERROR(INDEX(Material_Detail!$D:$DC,MATCH($A39,Material_Detail!$DE:$DE,0),92),0)),SUMIFS(T_Shipments[Confirmed_Qty],T_Shipments[Part Name],$A39,T_Shipments[Effective_Week],92))</f>
        <v/>
      </c>
      <c r="CP39">
        <f>IF(COUNTIF(Material_Detail!$DE:$DE,$A39)&gt;0,IF(ISNUMBER(SEARCH("[済]",INDEX(Material_Detail!$D:$DC,MATCH($A39,Material_Detail!$DE:$DE,0)+1,93))),0,IFERROR(INDEX(Material_Detail!$D:$DC,MATCH($A39,Material_Detail!$DE:$DE,0),93),0)),SUMIFS(T_Shipments[Confirmed_Qty],T_Shipments[Part Name],$A39,T_Shipments[Effective_Week],93))</f>
        <v/>
      </c>
      <c r="CQ39">
        <f>IF(COUNTIF(Material_Detail!$DE:$DE,$A39)&gt;0,IF(ISNUMBER(SEARCH("[済]",INDEX(Material_Detail!$D:$DC,MATCH($A39,Material_Detail!$DE:$DE,0)+1,94))),0,IFERROR(INDEX(Material_Detail!$D:$DC,MATCH($A39,Material_Detail!$DE:$DE,0),94),0)),SUMIFS(T_Shipments[Confirmed_Qty],T_Shipments[Part Name],$A39,T_Shipments[Effective_Week],94))</f>
        <v/>
      </c>
      <c r="CR39">
        <f>IF(COUNTIF(Material_Detail!$DE:$DE,$A39)&gt;0,IF(ISNUMBER(SEARCH("[済]",INDEX(Material_Detail!$D:$DC,MATCH($A39,Material_Detail!$DE:$DE,0)+1,95))),0,IFERROR(INDEX(Material_Detail!$D:$DC,MATCH($A39,Material_Detail!$DE:$DE,0),95),0)),SUMIFS(T_Shipments[Confirmed_Qty],T_Shipments[Part Name],$A39,T_Shipments[Effective_Week],95))</f>
        <v/>
      </c>
      <c r="CS39">
        <f>IF(COUNTIF(Material_Detail!$DE:$DE,$A39)&gt;0,IF(ISNUMBER(SEARCH("[済]",INDEX(Material_Detail!$D:$DC,MATCH($A39,Material_Detail!$DE:$DE,0)+1,96))),0,IFERROR(INDEX(Material_Detail!$D:$DC,MATCH($A39,Material_Detail!$DE:$DE,0),96),0)),SUMIFS(T_Shipments[Confirmed_Qty],T_Shipments[Part Name],$A39,T_Shipments[Effective_Week],96))</f>
        <v/>
      </c>
      <c r="CT39">
        <f>IF(COUNTIF(Material_Detail!$DE:$DE,$A39)&gt;0,IF(ISNUMBER(SEARCH("[済]",INDEX(Material_Detail!$D:$DC,MATCH($A39,Material_Detail!$DE:$DE,0)+1,97))),0,IFERROR(INDEX(Material_Detail!$D:$DC,MATCH($A39,Material_Detail!$DE:$DE,0),97),0)),SUMIFS(T_Shipments[Confirmed_Qty],T_Shipments[Part Name],$A39,T_Shipments[Effective_Week],97))</f>
        <v/>
      </c>
      <c r="CU39">
        <f>IF(COUNTIF(Material_Detail!$DE:$DE,$A39)&gt;0,IF(ISNUMBER(SEARCH("[済]",INDEX(Material_Detail!$D:$DC,MATCH($A39,Material_Detail!$DE:$DE,0)+1,98))),0,IFERROR(INDEX(Material_Detail!$D:$DC,MATCH($A39,Material_Detail!$DE:$DE,0),98),0)),SUMIFS(T_Shipments[Confirmed_Qty],T_Shipments[Part Name],$A39,T_Shipments[Effective_Week],98))</f>
        <v/>
      </c>
      <c r="CV39">
        <f>IF(COUNTIF(Material_Detail!$DE:$DE,$A39)&gt;0,IF(ISNUMBER(SEARCH("[済]",INDEX(Material_Detail!$D:$DC,MATCH($A39,Material_Detail!$DE:$DE,0)+1,99))),0,IFERROR(INDEX(Material_Detail!$D:$DC,MATCH($A39,Material_Detail!$DE:$DE,0),99),0)),SUMIFS(T_Shipments[Confirmed_Qty],T_Shipments[Part Name],$A39,T_Shipments[Effective_Week],99))</f>
        <v/>
      </c>
      <c r="CW39">
        <f>IF(COUNTIF(Material_Detail!$DE:$DE,$A39)&gt;0,IF(ISNUMBER(SEARCH("[済]",INDEX(Material_Detail!$D:$DC,MATCH($A39,Material_Detail!$DE:$DE,0)+1,100))),0,IFERROR(INDEX(Material_Detail!$D:$DC,MATCH($A39,Material_Detail!$DE:$DE,0),100),0)),SUMIFS(T_Shipments[Confirmed_Qty],T_Shipments[Part Name],$A39,T_Shipments[Effective_Week],100))</f>
        <v/>
      </c>
      <c r="CX39">
        <f>IF(COUNTIF(Material_Detail!$DE:$DE,$A39)&gt;0,IF(ISNUMBER(SEARCH("[済]",INDEX(Material_Detail!$D:$DC,MATCH($A39,Material_Detail!$DE:$DE,0)+1,101))),0,IFERROR(INDEX(Material_Detail!$D:$DC,MATCH($A39,Material_Detail!$DE:$DE,0),101),0)),SUMIFS(T_Shipments[Confirmed_Qty],T_Shipments[Part Name],$A39,T_Shipments[Effective_Week],101))</f>
        <v/>
      </c>
      <c r="CY39">
        <f>IF(COUNTIF(Material_Detail!$DE:$DE,$A39)&gt;0,IF(ISNUMBER(SEARCH("[済]",INDEX(Material_Detail!$D:$DC,MATCH($A39,Material_Detail!$DE:$DE,0)+1,102))),0,IFERROR(INDEX(Material_Detail!$D:$DC,MATCH($A39,Material_Detail!$DE:$DE,0),102),0)),SUMIFS(T_Shipments[Confirmed_Qty],T_Shipments[Part Name],$A39,T_Shipments[Effective_Week],102))</f>
        <v/>
      </c>
      <c r="CZ39">
        <f>IF(COUNTIF(Material_Detail!$DE:$DE,$A39)&gt;0,IF(ISNUMBER(SEARCH("[済]",INDEX(Material_Detail!$D:$DC,MATCH($A39,Material_Detail!$DE:$DE,0)+1,103))),0,IFERROR(INDEX(Material_Detail!$D:$DC,MATCH($A39,Material_Detail!$DE:$DE,0),103),0)),SUMIFS(T_Shipments[Confirmed_Qty],T_Shipments[Part Name],$A39,T_Shipments[Effective_Week],103))</f>
        <v/>
      </c>
      <c r="DA39">
        <f>IF(COUNTIF(Material_Detail!$DE:$DE,$A39)&gt;0,IF(ISNUMBER(SEARCH("[済]",INDEX(Material_Detail!$D:$DC,MATCH($A39,Material_Detail!$DE:$DE,0)+1,104))),0,IFERROR(INDEX(Material_Detail!$D:$DC,MATCH($A39,Material_Detail!$DE:$DE,0),104),0)),SUMIFS(T_Shipments[Confirmed_Qty],T_Shipments[Part Name],$A39,T_Shipments[Effective_Week],104))</f>
        <v/>
      </c>
    </row>
    <row r="40">
      <c r="A40" t="inlineStr">
        <is>
          <t>CHEM-1540</t>
        </is>
      </c>
      <c r="B40">
        <f>IF(COUNTIF(Material_Detail!$DE:$DE,$A40)&gt;0,IF(ISNUMBER(SEARCH("[済]",INDEX(Material_Detail!$D:$DC,MATCH($A40,Material_Detail!$DE:$DE,0)+1,1))),0,IFERROR(INDEX(Material_Detail!$D:$DC,MATCH($A40,Material_Detail!$DE:$DE,0),1),0)),SUMIFS(T_Shipments[Confirmed_Qty],T_Shipments[Part Name],$A40,T_Shipments[Effective_Week],1))</f>
        <v/>
      </c>
      <c r="C40">
        <f>IF(COUNTIF(Material_Detail!$DE:$DE,$A40)&gt;0,IF(ISNUMBER(SEARCH("[済]",INDEX(Material_Detail!$D:$DC,MATCH($A40,Material_Detail!$DE:$DE,0)+1,2))),0,IFERROR(INDEX(Material_Detail!$D:$DC,MATCH($A40,Material_Detail!$DE:$DE,0),2),0)),SUMIFS(T_Shipments[Confirmed_Qty],T_Shipments[Part Name],$A40,T_Shipments[Effective_Week],2))</f>
        <v/>
      </c>
      <c r="D40">
        <f>IF(COUNTIF(Material_Detail!$DE:$DE,$A40)&gt;0,IF(ISNUMBER(SEARCH("[済]",INDEX(Material_Detail!$D:$DC,MATCH($A40,Material_Detail!$DE:$DE,0)+1,3))),0,IFERROR(INDEX(Material_Detail!$D:$DC,MATCH($A40,Material_Detail!$DE:$DE,0),3),0)),SUMIFS(T_Shipments[Confirmed_Qty],T_Shipments[Part Name],$A40,T_Shipments[Effective_Week],3))</f>
        <v/>
      </c>
      <c r="E40">
        <f>IF(COUNTIF(Material_Detail!$DE:$DE,$A40)&gt;0,IF(ISNUMBER(SEARCH("[済]",INDEX(Material_Detail!$D:$DC,MATCH($A40,Material_Detail!$DE:$DE,0)+1,4))),0,IFERROR(INDEX(Material_Detail!$D:$DC,MATCH($A40,Material_Detail!$DE:$DE,0),4),0)),SUMIFS(T_Shipments[Confirmed_Qty],T_Shipments[Part Name],$A40,T_Shipments[Effective_Week],4))</f>
        <v/>
      </c>
      <c r="F40">
        <f>IF(COUNTIF(Material_Detail!$DE:$DE,$A40)&gt;0,IF(ISNUMBER(SEARCH("[済]",INDEX(Material_Detail!$D:$DC,MATCH($A40,Material_Detail!$DE:$DE,0)+1,5))),0,IFERROR(INDEX(Material_Detail!$D:$DC,MATCH($A40,Material_Detail!$DE:$DE,0),5),0)),SUMIFS(T_Shipments[Confirmed_Qty],T_Shipments[Part Name],$A40,T_Shipments[Effective_Week],5))</f>
        <v/>
      </c>
      <c r="G40">
        <f>IF(COUNTIF(Material_Detail!$DE:$DE,$A40)&gt;0,IF(ISNUMBER(SEARCH("[済]",INDEX(Material_Detail!$D:$DC,MATCH($A40,Material_Detail!$DE:$DE,0)+1,6))),0,IFERROR(INDEX(Material_Detail!$D:$DC,MATCH($A40,Material_Detail!$DE:$DE,0),6),0)),SUMIFS(T_Shipments[Confirmed_Qty],T_Shipments[Part Name],$A40,T_Shipments[Effective_Week],6))</f>
        <v/>
      </c>
      <c r="H40">
        <f>IF(COUNTIF(Material_Detail!$DE:$DE,$A40)&gt;0,IF(ISNUMBER(SEARCH("[済]",INDEX(Material_Detail!$D:$DC,MATCH($A40,Material_Detail!$DE:$DE,0)+1,7))),0,IFERROR(INDEX(Material_Detail!$D:$DC,MATCH($A40,Material_Detail!$DE:$DE,0),7),0)),SUMIFS(T_Shipments[Confirmed_Qty],T_Shipments[Part Name],$A40,T_Shipments[Effective_Week],7))</f>
        <v/>
      </c>
      <c r="I40">
        <f>IF(COUNTIF(Material_Detail!$DE:$DE,$A40)&gt;0,IF(ISNUMBER(SEARCH("[済]",INDEX(Material_Detail!$D:$DC,MATCH($A40,Material_Detail!$DE:$DE,0)+1,8))),0,IFERROR(INDEX(Material_Detail!$D:$DC,MATCH($A40,Material_Detail!$DE:$DE,0),8),0)),SUMIFS(T_Shipments[Confirmed_Qty],T_Shipments[Part Name],$A40,T_Shipments[Effective_Week],8))</f>
        <v/>
      </c>
      <c r="J40">
        <f>IF(COUNTIF(Material_Detail!$DE:$DE,$A40)&gt;0,IF(ISNUMBER(SEARCH("[済]",INDEX(Material_Detail!$D:$DC,MATCH($A40,Material_Detail!$DE:$DE,0)+1,9))),0,IFERROR(INDEX(Material_Detail!$D:$DC,MATCH($A40,Material_Detail!$DE:$DE,0),9),0)),SUMIFS(T_Shipments[Confirmed_Qty],T_Shipments[Part Name],$A40,T_Shipments[Effective_Week],9))</f>
        <v/>
      </c>
      <c r="K40">
        <f>IF(COUNTIF(Material_Detail!$DE:$DE,$A40)&gt;0,IF(ISNUMBER(SEARCH("[済]",INDEX(Material_Detail!$D:$DC,MATCH($A40,Material_Detail!$DE:$DE,0)+1,10))),0,IFERROR(INDEX(Material_Detail!$D:$DC,MATCH($A40,Material_Detail!$DE:$DE,0),10),0)),SUMIFS(T_Shipments[Confirmed_Qty],T_Shipments[Part Name],$A40,T_Shipments[Effective_Week],10))</f>
        <v/>
      </c>
      <c r="L40">
        <f>IF(COUNTIF(Material_Detail!$DE:$DE,$A40)&gt;0,IF(ISNUMBER(SEARCH("[済]",INDEX(Material_Detail!$D:$DC,MATCH($A40,Material_Detail!$DE:$DE,0)+1,11))),0,IFERROR(INDEX(Material_Detail!$D:$DC,MATCH($A40,Material_Detail!$DE:$DE,0),11),0)),SUMIFS(T_Shipments[Confirmed_Qty],T_Shipments[Part Name],$A40,T_Shipments[Effective_Week],11))</f>
        <v/>
      </c>
      <c r="M40">
        <f>IF(COUNTIF(Material_Detail!$DE:$DE,$A40)&gt;0,IF(ISNUMBER(SEARCH("[済]",INDEX(Material_Detail!$D:$DC,MATCH($A40,Material_Detail!$DE:$DE,0)+1,12))),0,IFERROR(INDEX(Material_Detail!$D:$DC,MATCH($A40,Material_Detail!$DE:$DE,0),12),0)),SUMIFS(T_Shipments[Confirmed_Qty],T_Shipments[Part Name],$A40,T_Shipments[Effective_Week],12))</f>
        <v/>
      </c>
      <c r="N40">
        <f>IF(COUNTIF(Material_Detail!$DE:$DE,$A40)&gt;0,IF(ISNUMBER(SEARCH("[済]",INDEX(Material_Detail!$D:$DC,MATCH($A40,Material_Detail!$DE:$DE,0)+1,13))),0,IFERROR(INDEX(Material_Detail!$D:$DC,MATCH($A40,Material_Detail!$DE:$DE,0),13),0)),SUMIFS(T_Shipments[Confirmed_Qty],T_Shipments[Part Name],$A40,T_Shipments[Effective_Week],13))</f>
        <v/>
      </c>
      <c r="O40">
        <f>IF(COUNTIF(Material_Detail!$DE:$DE,$A40)&gt;0,IF(ISNUMBER(SEARCH("[済]",INDEX(Material_Detail!$D:$DC,MATCH($A40,Material_Detail!$DE:$DE,0)+1,14))),0,IFERROR(INDEX(Material_Detail!$D:$DC,MATCH($A40,Material_Detail!$DE:$DE,0),14),0)),SUMIFS(T_Shipments[Confirmed_Qty],T_Shipments[Part Name],$A40,T_Shipments[Effective_Week],14))</f>
        <v/>
      </c>
      <c r="P40">
        <f>IF(COUNTIF(Material_Detail!$DE:$DE,$A40)&gt;0,IF(ISNUMBER(SEARCH("[済]",INDEX(Material_Detail!$D:$DC,MATCH($A40,Material_Detail!$DE:$DE,0)+1,15))),0,IFERROR(INDEX(Material_Detail!$D:$DC,MATCH($A40,Material_Detail!$DE:$DE,0),15),0)),SUMIFS(T_Shipments[Confirmed_Qty],T_Shipments[Part Name],$A40,T_Shipments[Effective_Week],15))</f>
        <v/>
      </c>
      <c r="Q40">
        <f>IF(COUNTIF(Material_Detail!$DE:$DE,$A40)&gt;0,IF(ISNUMBER(SEARCH("[済]",INDEX(Material_Detail!$D:$DC,MATCH($A40,Material_Detail!$DE:$DE,0)+1,16))),0,IFERROR(INDEX(Material_Detail!$D:$DC,MATCH($A40,Material_Detail!$DE:$DE,0),16),0)),SUMIFS(T_Shipments[Confirmed_Qty],T_Shipments[Part Name],$A40,T_Shipments[Effective_Week],16))</f>
        <v/>
      </c>
      <c r="R40">
        <f>IF(COUNTIF(Material_Detail!$DE:$DE,$A40)&gt;0,IF(ISNUMBER(SEARCH("[済]",INDEX(Material_Detail!$D:$DC,MATCH($A40,Material_Detail!$DE:$DE,0)+1,17))),0,IFERROR(INDEX(Material_Detail!$D:$DC,MATCH($A40,Material_Detail!$DE:$DE,0),17),0)),SUMIFS(T_Shipments[Confirmed_Qty],T_Shipments[Part Name],$A40,T_Shipments[Effective_Week],17))</f>
        <v/>
      </c>
      <c r="S40">
        <f>IF(COUNTIF(Material_Detail!$DE:$DE,$A40)&gt;0,IF(ISNUMBER(SEARCH("[済]",INDEX(Material_Detail!$D:$DC,MATCH($A40,Material_Detail!$DE:$DE,0)+1,18))),0,IFERROR(INDEX(Material_Detail!$D:$DC,MATCH($A40,Material_Detail!$DE:$DE,0),18),0)),SUMIFS(T_Shipments[Confirmed_Qty],T_Shipments[Part Name],$A40,T_Shipments[Effective_Week],18))</f>
        <v/>
      </c>
      <c r="T40">
        <f>IF(COUNTIF(Material_Detail!$DE:$DE,$A40)&gt;0,IF(ISNUMBER(SEARCH("[済]",INDEX(Material_Detail!$D:$DC,MATCH($A40,Material_Detail!$DE:$DE,0)+1,19))),0,IFERROR(INDEX(Material_Detail!$D:$DC,MATCH($A40,Material_Detail!$DE:$DE,0),19),0)),SUMIFS(T_Shipments[Confirmed_Qty],T_Shipments[Part Name],$A40,T_Shipments[Effective_Week],19))</f>
        <v/>
      </c>
      <c r="U40">
        <f>IF(COUNTIF(Material_Detail!$DE:$DE,$A40)&gt;0,IF(ISNUMBER(SEARCH("[済]",INDEX(Material_Detail!$D:$DC,MATCH($A40,Material_Detail!$DE:$DE,0)+1,20))),0,IFERROR(INDEX(Material_Detail!$D:$DC,MATCH($A40,Material_Detail!$DE:$DE,0),20),0)),SUMIFS(T_Shipments[Confirmed_Qty],T_Shipments[Part Name],$A40,T_Shipments[Effective_Week],20))</f>
        <v/>
      </c>
      <c r="V40">
        <f>IF(COUNTIF(Material_Detail!$DE:$DE,$A40)&gt;0,IF(ISNUMBER(SEARCH("[済]",INDEX(Material_Detail!$D:$DC,MATCH($A40,Material_Detail!$DE:$DE,0)+1,21))),0,IFERROR(INDEX(Material_Detail!$D:$DC,MATCH($A40,Material_Detail!$DE:$DE,0),21),0)),SUMIFS(T_Shipments[Confirmed_Qty],T_Shipments[Part Name],$A40,T_Shipments[Effective_Week],21))</f>
        <v/>
      </c>
      <c r="W40">
        <f>IF(COUNTIF(Material_Detail!$DE:$DE,$A40)&gt;0,IF(ISNUMBER(SEARCH("[済]",INDEX(Material_Detail!$D:$DC,MATCH($A40,Material_Detail!$DE:$DE,0)+1,22))),0,IFERROR(INDEX(Material_Detail!$D:$DC,MATCH($A40,Material_Detail!$DE:$DE,0),22),0)),SUMIFS(T_Shipments[Confirmed_Qty],T_Shipments[Part Name],$A40,T_Shipments[Effective_Week],22))</f>
        <v/>
      </c>
      <c r="X40">
        <f>IF(COUNTIF(Material_Detail!$DE:$DE,$A40)&gt;0,IF(ISNUMBER(SEARCH("[済]",INDEX(Material_Detail!$D:$DC,MATCH($A40,Material_Detail!$DE:$DE,0)+1,23))),0,IFERROR(INDEX(Material_Detail!$D:$DC,MATCH($A40,Material_Detail!$DE:$DE,0),23),0)),SUMIFS(T_Shipments[Confirmed_Qty],T_Shipments[Part Name],$A40,T_Shipments[Effective_Week],23))</f>
        <v/>
      </c>
      <c r="Y40">
        <f>IF(COUNTIF(Material_Detail!$DE:$DE,$A40)&gt;0,IF(ISNUMBER(SEARCH("[済]",INDEX(Material_Detail!$D:$DC,MATCH($A40,Material_Detail!$DE:$DE,0)+1,24))),0,IFERROR(INDEX(Material_Detail!$D:$DC,MATCH($A40,Material_Detail!$DE:$DE,0),24),0)),SUMIFS(T_Shipments[Confirmed_Qty],T_Shipments[Part Name],$A40,T_Shipments[Effective_Week],24))</f>
        <v/>
      </c>
      <c r="Z40">
        <f>IF(COUNTIF(Material_Detail!$DE:$DE,$A40)&gt;0,IF(ISNUMBER(SEARCH("[済]",INDEX(Material_Detail!$D:$DC,MATCH($A40,Material_Detail!$DE:$DE,0)+1,25))),0,IFERROR(INDEX(Material_Detail!$D:$DC,MATCH($A40,Material_Detail!$DE:$DE,0),25),0)),SUMIFS(T_Shipments[Confirmed_Qty],T_Shipments[Part Name],$A40,T_Shipments[Effective_Week],25))</f>
        <v/>
      </c>
      <c r="AA40">
        <f>IF(COUNTIF(Material_Detail!$DE:$DE,$A40)&gt;0,IF(ISNUMBER(SEARCH("[済]",INDEX(Material_Detail!$D:$DC,MATCH($A40,Material_Detail!$DE:$DE,0)+1,26))),0,IFERROR(INDEX(Material_Detail!$D:$DC,MATCH($A40,Material_Detail!$DE:$DE,0),26),0)),SUMIFS(T_Shipments[Confirmed_Qty],T_Shipments[Part Name],$A40,T_Shipments[Effective_Week],26))</f>
        <v/>
      </c>
      <c r="AB40">
        <f>IF(COUNTIF(Material_Detail!$DE:$DE,$A40)&gt;0,IF(ISNUMBER(SEARCH("[済]",INDEX(Material_Detail!$D:$DC,MATCH($A40,Material_Detail!$DE:$DE,0)+1,27))),0,IFERROR(INDEX(Material_Detail!$D:$DC,MATCH($A40,Material_Detail!$DE:$DE,0),27),0)),SUMIFS(T_Shipments[Confirmed_Qty],T_Shipments[Part Name],$A40,T_Shipments[Effective_Week],27))</f>
        <v/>
      </c>
      <c r="AC40">
        <f>IF(COUNTIF(Material_Detail!$DE:$DE,$A40)&gt;0,IF(ISNUMBER(SEARCH("[済]",INDEX(Material_Detail!$D:$DC,MATCH($A40,Material_Detail!$DE:$DE,0)+1,28))),0,IFERROR(INDEX(Material_Detail!$D:$DC,MATCH($A40,Material_Detail!$DE:$DE,0),28),0)),SUMIFS(T_Shipments[Confirmed_Qty],T_Shipments[Part Name],$A40,T_Shipments[Effective_Week],28))</f>
        <v/>
      </c>
      <c r="AD40">
        <f>IF(COUNTIF(Material_Detail!$DE:$DE,$A40)&gt;0,IF(ISNUMBER(SEARCH("[済]",INDEX(Material_Detail!$D:$DC,MATCH($A40,Material_Detail!$DE:$DE,0)+1,29))),0,IFERROR(INDEX(Material_Detail!$D:$DC,MATCH($A40,Material_Detail!$DE:$DE,0),29),0)),SUMIFS(T_Shipments[Confirmed_Qty],T_Shipments[Part Name],$A40,T_Shipments[Effective_Week],29))</f>
        <v/>
      </c>
      <c r="AE40">
        <f>IF(COUNTIF(Material_Detail!$DE:$DE,$A40)&gt;0,IF(ISNUMBER(SEARCH("[済]",INDEX(Material_Detail!$D:$DC,MATCH($A40,Material_Detail!$DE:$DE,0)+1,30))),0,IFERROR(INDEX(Material_Detail!$D:$DC,MATCH($A40,Material_Detail!$DE:$DE,0),30),0)),SUMIFS(T_Shipments[Confirmed_Qty],T_Shipments[Part Name],$A40,T_Shipments[Effective_Week],30))</f>
        <v/>
      </c>
      <c r="AF40">
        <f>IF(COUNTIF(Material_Detail!$DE:$DE,$A40)&gt;0,IF(ISNUMBER(SEARCH("[済]",INDEX(Material_Detail!$D:$DC,MATCH($A40,Material_Detail!$DE:$DE,0)+1,31))),0,IFERROR(INDEX(Material_Detail!$D:$DC,MATCH($A40,Material_Detail!$DE:$DE,0),31),0)),SUMIFS(T_Shipments[Confirmed_Qty],T_Shipments[Part Name],$A40,T_Shipments[Effective_Week],31))</f>
        <v/>
      </c>
      <c r="AG40">
        <f>IF(COUNTIF(Material_Detail!$DE:$DE,$A40)&gt;0,IF(ISNUMBER(SEARCH("[済]",INDEX(Material_Detail!$D:$DC,MATCH($A40,Material_Detail!$DE:$DE,0)+1,32))),0,IFERROR(INDEX(Material_Detail!$D:$DC,MATCH($A40,Material_Detail!$DE:$DE,0),32),0)),SUMIFS(T_Shipments[Confirmed_Qty],T_Shipments[Part Name],$A40,T_Shipments[Effective_Week],32))</f>
        <v/>
      </c>
      <c r="AH40">
        <f>IF(COUNTIF(Material_Detail!$DE:$DE,$A40)&gt;0,IF(ISNUMBER(SEARCH("[済]",INDEX(Material_Detail!$D:$DC,MATCH($A40,Material_Detail!$DE:$DE,0)+1,33))),0,IFERROR(INDEX(Material_Detail!$D:$DC,MATCH($A40,Material_Detail!$DE:$DE,0),33),0)),SUMIFS(T_Shipments[Confirmed_Qty],T_Shipments[Part Name],$A40,T_Shipments[Effective_Week],33))</f>
        <v/>
      </c>
      <c r="AI40">
        <f>IF(COUNTIF(Material_Detail!$DE:$DE,$A40)&gt;0,IF(ISNUMBER(SEARCH("[済]",INDEX(Material_Detail!$D:$DC,MATCH($A40,Material_Detail!$DE:$DE,0)+1,34))),0,IFERROR(INDEX(Material_Detail!$D:$DC,MATCH($A40,Material_Detail!$DE:$DE,0),34),0)),SUMIFS(T_Shipments[Confirmed_Qty],T_Shipments[Part Name],$A40,T_Shipments[Effective_Week],34))</f>
        <v/>
      </c>
      <c r="AJ40">
        <f>IF(COUNTIF(Material_Detail!$DE:$DE,$A40)&gt;0,IF(ISNUMBER(SEARCH("[済]",INDEX(Material_Detail!$D:$DC,MATCH($A40,Material_Detail!$DE:$DE,0)+1,35))),0,IFERROR(INDEX(Material_Detail!$D:$DC,MATCH($A40,Material_Detail!$DE:$DE,0),35),0)),SUMIFS(T_Shipments[Confirmed_Qty],T_Shipments[Part Name],$A40,T_Shipments[Effective_Week],35))</f>
        <v/>
      </c>
      <c r="AK40">
        <f>IF(COUNTIF(Material_Detail!$DE:$DE,$A40)&gt;0,IF(ISNUMBER(SEARCH("[済]",INDEX(Material_Detail!$D:$DC,MATCH($A40,Material_Detail!$DE:$DE,0)+1,36))),0,IFERROR(INDEX(Material_Detail!$D:$DC,MATCH($A40,Material_Detail!$DE:$DE,0),36),0)),SUMIFS(T_Shipments[Confirmed_Qty],T_Shipments[Part Name],$A40,T_Shipments[Effective_Week],36))</f>
        <v/>
      </c>
      <c r="AL40">
        <f>IF(COUNTIF(Material_Detail!$DE:$DE,$A40)&gt;0,IF(ISNUMBER(SEARCH("[済]",INDEX(Material_Detail!$D:$DC,MATCH($A40,Material_Detail!$DE:$DE,0)+1,37))),0,IFERROR(INDEX(Material_Detail!$D:$DC,MATCH($A40,Material_Detail!$DE:$DE,0),37),0)),SUMIFS(T_Shipments[Confirmed_Qty],T_Shipments[Part Name],$A40,T_Shipments[Effective_Week],37))</f>
        <v/>
      </c>
      <c r="AM40">
        <f>IF(COUNTIF(Material_Detail!$DE:$DE,$A40)&gt;0,IF(ISNUMBER(SEARCH("[済]",INDEX(Material_Detail!$D:$DC,MATCH($A40,Material_Detail!$DE:$DE,0)+1,38))),0,IFERROR(INDEX(Material_Detail!$D:$DC,MATCH($A40,Material_Detail!$DE:$DE,0),38),0)),SUMIFS(T_Shipments[Confirmed_Qty],T_Shipments[Part Name],$A40,T_Shipments[Effective_Week],38))</f>
        <v/>
      </c>
      <c r="AN40">
        <f>IF(COUNTIF(Material_Detail!$DE:$DE,$A40)&gt;0,IF(ISNUMBER(SEARCH("[済]",INDEX(Material_Detail!$D:$DC,MATCH($A40,Material_Detail!$DE:$DE,0)+1,39))),0,IFERROR(INDEX(Material_Detail!$D:$DC,MATCH($A40,Material_Detail!$DE:$DE,0),39),0)),SUMIFS(T_Shipments[Confirmed_Qty],T_Shipments[Part Name],$A40,T_Shipments[Effective_Week],39))</f>
        <v/>
      </c>
      <c r="AO40">
        <f>IF(COUNTIF(Material_Detail!$DE:$DE,$A40)&gt;0,IF(ISNUMBER(SEARCH("[済]",INDEX(Material_Detail!$D:$DC,MATCH($A40,Material_Detail!$DE:$DE,0)+1,40))),0,IFERROR(INDEX(Material_Detail!$D:$DC,MATCH($A40,Material_Detail!$DE:$DE,0),40),0)),SUMIFS(T_Shipments[Confirmed_Qty],T_Shipments[Part Name],$A40,T_Shipments[Effective_Week],40))</f>
        <v/>
      </c>
      <c r="AP40">
        <f>IF(COUNTIF(Material_Detail!$DE:$DE,$A40)&gt;0,IF(ISNUMBER(SEARCH("[済]",INDEX(Material_Detail!$D:$DC,MATCH($A40,Material_Detail!$DE:$DE,0)+1,41))),0,IFERROR(INDEX(Material_Detail!$D:$DC,MATCH($A40,Material_Detail!$DE:$DE,0),41),0)),SUMIFS(T_Shipments[Confirmed_Qty],T_Shipments[Part Name],$A40,T_Shipments[Effective_Week],41))</f>
        <v/>
      </c>
      <c r="AQ40">
        <f>IF(COUNTIF(Material_Detail!$DE:$DE,$A40)&gt;0,IF(ISNUMBER(SEARCH("[済]",INDEX(Material_Detail!$D:$DC,MATCH($A40,Material_Detail!$DE:$DE,0)+1,42))),0,IFERROR(INDEX(Material_Detail!$D:$DC,MATCH($A40,Material_Detail!$DE:$DE,0),42),0)),SUMIFS(T_Shipments[Confirmed_Qty],T_Shipments[Part Name],$A40,T_Shipments[Effective_Week],42))</f>
        <v/>
      </c>
      <c r="AR40">
        <f>IF(COUNTIF(Material_Detail!$DE:$DE,$A40)&gt;0,IF(ISNUMBER(SEARCH("[済]",INDEX(Material_Detail!$D:$DC,MATCH($A40,Material_Detail!$DE:$DE,0)+1,43))),0,IFERROR(INDEX(Material_Detail!$D:$DC,MATCH($A40,Material_Detail!$DE:$DE,0),43),0)),SUMIFS(T_Shipments[Confirmed_Qty],T_Shipments[Part Name],$A40,T_Shipments[Effective_Week],43))</f>
        <v/>
      </c>
      <c r="AS40">
        <f>IF(COUNTIF(Material_Detail!$DE:$DE,$A40)&gt;0,IF(ISNUMBER(SEARCH("[済]",INDEX(Material_Detail!$D:$DC,MATCH($A40,Material_Detail!$DE:$DE,0)+1,44))),0,IFERROR(INDEX(Material_Detail!$D:$DC,MATCH($A40,Material_Detail!$DE:$DE,0),44),0)),SUMIFS(T_Shipments[Confirmed_Qty],T_Shipments[Part Name],$A40,T_Shipments[Effective_Week],44))</f>
        <v/>
      </c>
      <c r="AT40">
        <f>IF(COUNTIF(Material_Detail!$DE:$DE,$A40)&gt;0,IF(ISNUMBER(SEARCH("[済]",INDEX(Material_Detail!$D:$DC,MATCH($A40,Material_Detail!$DE:$DE,0)+1,45))),0,IFERROR(INDEX(Material_Detail!$D:$DC,MATCH($A40,Material_Detail!$DE:$DE,0),45),0)),SUMIFS(T_Shipments[Confirmed_Qty],T_Shipments[Part Name],$A40,T_Shipments[Effective_Week],45))</f>
        <v/>
      </c>
      <c r="AU40">
        <f>IF(COUNTIF(Material_Detail!$DE:$DE,$A40)&gt;0,IF(ISNUMBER(SEARCH("[済]",INDEX(Material_Detail!$D:$DC,MATCH($A40,Material_Detail!$DE:$DE,0)+1,46))),0,IFERROR(INDEX(Material_Detail!$D:$DC,MATCH($A40,Material_Detail!$DE:$DE,0),46),0)),SUMIFS(T_Shipments[Confirmed_Qty],T_Shipments[Part Name],$A40,T_Shipments[Effective_Week],46))</f>
        <v/>
      </c>
      <c r="AV40">
        <f>IF(COUNTIF(Material_Detail!$DE:$DE,$A40)&gt;0,IF(ISNUMBER(SEARCH("[済]",INDEX(Material_Detail!$D:$DC,MATCH($A40,Material_Detail!$DE:$DE,0)+1,47))),0,IFERROR(INDEX(Material_Detail!$D:$DC,MATCH($A40,Material_Detail!$DE:$DE,0),47),0)),SUMIFS(T_Shipments[Confirmed_Qty],T_Shipments[Part Name],$A40,T_Shipments[Effective_Week],47))</f>
        <v/>
      </c>
      <c r="AW40">
        <f>IF(COUNTIF(Material_Detail!$DE:$DE,$A40)&gt;0,IF(ISNUMBER(SEARCH("[済]",INDEX(Material_Detail!$D:$DC,MATCH($A40,Material_Detail!$DE:$DE,0)+1,48))),0,IFERROR(INDEX(Material_Detail!$D:$DC,MATCH($A40,Material_Detail!$DE:$DE,0),48),0)),SUMIFS(T_Shipments[Confirmed_Qty],T_Shipments[Part Name],$A40,T_Shipments[Effective_Week],48))</f>
        <v/>
      </c>
      <c r="AX40">
        <f>IF(COUNTIF(Material_Detail!$DE:$DE,$A40)&gt;0,IF(ISNUMBER(SEARCH("[済]",INDEX(Material_Detail!$D:$DC,MATCH($A40,Material_Detail!$DE:$DE,0)+1,49))),0,IFERROR(INDEX(Material_Detail!$D:$DC,MATCH($A40,Material_Detail!$DE:$DE,0),49),0)),SUMIFS(T_Shipments[Confirmed_Qty],T_Shipments[Part Name],$A40,T_Shipments[Effective_Week],49))</f>
        <v/>
      </c>
      <c r="AY40">
        <f>IF(COUNTIF(Material_Detail!$DE:$DE,$A40)&gt;0,IF(ISNUMBER(SEARCH("[済]",INDEX(Material_Detail!$D:$DC,MATCH($A40,Material_Detail!$DE:$DE,0)+1,50))),0,IFERROR(INDEX(Material_Detail!$D:$DC,MATCH($A40,Material_Detail!$DE:$DE,0),50),0)),SUMIFS(T_Shipments[Confirmed_Qty],T_Shipments[Part Name],$A40,T_Shipments[Effective_Week],50))</f>
        <v/>
      </c>
      <c r="AZ40">
        <f>IF(COUNTIF(Material_Detail!$DE:$DE,$A40)&gt;0,IF(ISNUMBER(SEARCH("[済]",INDEX(Material_Detail!$D:$DC,MATCH($A40,Material_Detail!$DE:$DE,0)+1,51))),0,IFERROR(INDEX(Material_Detail!$D:$DC,MATCH($A40,Material_Detail!$DE:$DE,0),51),0)),SUMIFS(T_Shipments[Confirmed_Qty],T_Shipments[Part Name],$A40,T_Shipments[Effective_Week],51))</f>
        <v/>
      </c>
      <c r="BA40">
        <f>IF(COUNTIF(Material_Detail!$DE:$DE,$A40)&gt;0,IF(ISNUMBER(SEARCH("[済]",INDEX(Material_Detail!$D:$DC,MATCH($A40,Material_Detail!$DE:$DE,0)+1,52))),0,IFERROR(INDEX(Material_Detail!$D:$DC,MATCH($A40,Material_Detail!$DE:$DE,0),52),0)),SUMIFS(T_Shipments[Confirmed_Qty],T_Shipments[Part Name],$A40,T_Shipments[Effective_Week],52))</f>
        <v/>
      </c>
      <c r="BB40">
        <f>IF(COUNTIF(Material_Detail!$DE:$DE,$A40)&gt;0,IF(ISNUMBER(SEARCH("[済]",INDEX(Material_Detail!$D:$DC,MATCH($A40,Material_Detail!$DE:$DE,0)+1,53))),0,IFERROR(INDEX(Material_Detail!$D:$DC,MATCH($A40,Material_Detail!$DE:$DE,0),53),0)),SUMIFS(T_Shipments[Confirmed_Qty],T_Shipments[Part Name],$A40,T_Shipments[Effective_Week],53))</f>
        <v/>
      </c>
      <c r="BC40">
        <f>IF(COUNTIF(Material_Detail!$DE:$DE,$A40)&gt;0,IF(ISNUMBER(SEARCH("[済]",INDEX(Material_Detail!$D:$DC,MATCH($A40,Material_Detail!$DE:$DE,0)+1,54))),0,IFERROR(INDEX(Material_Detail!$D:$DC,MATCH($A40,Material_Detail!$DE:$DE,0),54),0)),SUMIFS(T_Shipments[Confirmed_Qty],T_Shipments[Part Name],$A40,T_Shipments[Effective_Week],54))</f>
        <v/>
      </c>
      <c r="BD40">
        <f>IF(COUNTIF(Material_Detail!$DE:$DE,$A40)&gt;0,IF(ISNUMBER(SEARCH("[済]",INDEX(Material_Detail!$D:$DC,MATCH($A40,Material_Detail!$DE:$DE,0)+1,55))),0,IFERROR(INDEX(Material_Detail!$D:$DC,MATCH($A40,Material_Detail!$DE:$DE,0),55),0)),SUMIFS(T_Shipments[Confirmed_Qty],T_Shipments[Part Name],$A40,T_Shipments[Effective_Week],55))</f>
        <v/>
      </c>
      <c r="BE40">
        <f>IF(COUNTIF(Material_Detail!$DE:$DE,$A40)&gt;0,IF(ISNUMBER(SEARCH("[済]",INDEX(Material_Detail!$D:$DC,MATCH($A40,Material_Detail!$DE:$DE,0)+1,56))),0,IFERROR(INDEX(Material_Detail!$D:$DC,MATCH($A40,Material_Detail!$DE:$DE,0),56),0)),SUMIFS(T_Shipments[Confirmed_Qty],T_Shipments[Part Name],$A40,T_Shipments[Effective_Week],56))</f>
        <v/>
      </c>
      <c r="BF40">
        <f>IF(COUNTIF(Material_Detail!$DE:$DE,$A40)&gt;0,IF(ISNUMBER(SEARCH("[済]",INDEX(Material_Detail!$D:$DC,MATCH($A40,Material_Detail!$DE:$DE,0)+1,57))),0,IFERROR(INDEX(Material_Detail!$D:$DC,MATCH($A40,Material_Detail!$DE:$DE,0),57),0)),SUMIFS(T_Shipments[Confirmed_Qty],T_Shipments[Part Name],$A40,T_Shipments[Effective_Week],57))</f>
        <v/>
      </c>
      <c r="BG40">
        <f>IF(COUNTIF(Material_Detail!$DE:$DE,$A40)&gt;0,IF(ISNUMBER(SEARCH("[済]",INDEX(Material_Detail!$D:$DC,MATCH($A40,Material_Detail!$DE:$DE,0)+1,58))),0,IFERROR(INDEX(Material_Detail!$D:$DC,MATCH($A40,Material_Detail!$DE:$DE,0),58),0)),SUMIFS(T_Shipments[Confirmed_Qty],T_Shipments[Part Name],$A40,T_Shipments[Effective_Week],58))</f>
        <v/>
      </c>
      <c r="BH40">
        <f>IF(COUNTIF(Material_Detail!$DE:$DE,$A40)&gt;0,IF(ISNUMBER(SEARCH("[済]",INDEX(Material_Detail!$D:$DC,MATCH($A40,Material_Detail!$DE:$DE,0)+1,59))),0,IFERROR(INDEX(Material_Detail!$D:$DC,MATCH($A40,Material_Detail!$DE:$DE,0),59),0)),SUMIFS(T_Shipments[Confirmed_Qty],T_Shipments[Part Name],$A40,T_Shipments[Effective_Week],59))</f>
        <v/>
      </c>
      <c r="BI40">
        <f>IF(COUNTIF(Material_Detail!$DE:$DE,$A40)&gt;0,IF(ISNUMBER(SEARCH("[済]",INDEX(Material_Detail!$D:$DC,MATCH($A40,Material_Detail!$DE:$DE,0)+1,60))),0,IFERROR(INDEX(Material_Detail!$D:$DC,MATCH($A40,Material_Detail!$DE:$DE,0),60),0)),SUMIFS(T_Shipments[Confirmed_Qty],T_Shipments[Part Name],$A40,T_Shipments[Effective_Week],60))</f>
        <v/>
      </c>
      <c r="BJ40">
        <f>IF(COUNTIF(Material_Detail!$DE:$DE,$A40)&gt;0,IF(ISNUMBER(SEARCH("[済]",INDEX(Material_Detail!$D:$DC,MATCH($A40,Material_Detail!$DE:$DE,0)+1,61))),0,IFERROR(INDEX(Material_Detail!$D:$DC,MATCH($A40,Material_Detail!$DE:$DE,0),61),0)),SUMIFS(T_Shipments[Confirmed_Qty],T_Shipments[Part Name],$A40,T_Shipments[Effective_Week],61))</f>
        <v/>
      </c>
      <c r="BK40">
        <f>IF(COUNTIF(Material_Detail!$DE:$DE,$A40)&gt;0,IF(ISNUMBER(SEARCH("[済]",INDEX(Material_Detail!$D:$DC,MATCH($A40,Material_Detail!$DE:$DE,0)+1,62))),0,IFERROR(INDEX(Material_Detail!$D:$DC,MATCH($A40,Material_Detail!$DE:$DE,0),62),0)),SUMIFS(T_Shipments[Confirmed_Qty],T_Shipments[Part Name],$A40,T_Shipments[Effective_Week],62))</f>
        <v/>
      </c>
      <c r="BL40">
        <f>IF(COUNTIF(Material_Detail!$DE:$DE,$A40)&gt;0,IF(ISNUMBER(SEARCH("[済]",INDEX(Material_Detail!$D:$DC,MATCH($A40,Material_Detail!$DE:$DE,0)+1,63))),0,IFERROR(INDEX(Material_Detail!$D:$DC,MATCH($A40,Material_Detail!$DE:$DE,0),63),0)),SUMIFS(T_Shipments[Confirmed_Qty],T_Shipments[Part Name],$A40,T_Shipments[Effective_Week],63))</f>
        <v/>
      </c>
      <c r="BM40">
        <f>IF(COUNTIF(Material_Detail!$DE:$DE,$A40)&gt;0,IF(ISNUMBER(SEARCH("[済]",INDEX(Material_Detail!$D:$DC,MATCH($A40,Material_Detail!$DE:$DE,0)+1,64))),0,IFERROR(INDEX(Material_Detail!$D:$DC,MATCH($A40,Material_Detail!$DE:$DE,0),64),0)),SUMIFS(T_Shipments[Confirmed_Qty],T_Shipments[Part Name],$A40,T_Shipments[Effective_Week],64))</f>
        <v/>
      </c>
      <c r="BN40">
        <f>IF(COUNTIF(Material_Detail!$DE:$DE,$A40)&gt;0,IF(ISNUMBER(SEARCH("[済]",INDEX(Material_Detail!$D:$DC,MATCH($A40,Material_Detail!$DE:$DE,0)+1,65))),0,IFERROR(INDEX(Material_Detail!$D:$DC,MATCH($A40,Material_Detail!$DE:$DE,0),65),0)),SUMIFS(T_Shipments[Confirmed_Qty],T_Shipments[Part Name],$A40,T_Shipments[Effective_Week],65))</f>
        <v/>
      </c>
      <c r="BO40">
        <f>IF(COUNTIF(Material_Detail!$DE:$DE,$A40)&gt;0,IF(ISNUMBER(SEARCH("[済]",INDEX(Material_Detail!$D:$DC,MATCH($A40,Material_Detail!$DE:$DE,0)+1,66))),0,IFERROR(INDEX(Material_Detail!$D:$DC,MATCH($A40,Material_Detail!$DE:$DE,0),66),0)),SUMIFS(T_Shipments[Confirmed_Qty],T_Shipments[Part Name],$A40,T_Shipments[Effective_Week],66))</f>
        <v/>
      </c>
      <c r="BP40">
        <f>IF(COUNTIF(Material_Detail!$DE:$DE,$A40)&gt;0,IF(ISNUMBER(SEARCH("[済]",INDEX(Material_Detail!$D:$DC,MATCH($A40,Material_Detail!$DE:$DE,0)+1,67))),0,IFERROR(INDEX(Material_Detail!$D:$DC,MATCH($A40,Material_Detail!$DE:$DE,0),67),0)),SUMIFS(T_Shipments[Confirmed_Qty],T_Shipments[Part Name],$A40,T_Shipments[Effective_Week],67))</f>
        <v/>
      </c>
      <c r="BQ40">
        <f>IF(COUNTIF(Material_Detail!$DE:$DE,$A40)&gt;0,IF(ISNUMBER(SEARCH("[済]",INDEX(Material_Detail!$D:$DC,MATCH($A40,Material_Detail!$DE:$DE,0)+1,68))),0,IFERROR(INDEX(Material_Detail!$D:$DC,MATCH($A40,Material_Detail!$DE:$DE,0),68),0)),SUMIFS(T_Shipments[Confirmed_Qty],T_Shipments[Part Name],$A40,T_Shipments[Effective_Week],68))</f>
        <v/>
      </c>
      <c r="BR40">
        <f>IF(COUNTIF(Material_Detail!$DE:$DE,$A40)&gt;0,IF(ISNUMBER(SEARCH("[済]",INDEX(Material_Detail!$D:$DC,MATCH($A40,Material_Detail!$DE:$DE,0)+1,69))),0,IFERROR(INDEX(Material_Detail!$D:$DC,MATCH($A40,Material_Detail!$DE:$DE,0),69),0)),SUMIFS(T_Shipments[Confirmed_Qty],T_Shipments[Part Name],$A40,T_Shipments[Effective_Week],69))</f>
        <v/>
      </c>
      <c r="BS40">
        <f>IF(COUNTIF(Material_Detail!$DE:$DE,$A40)&gt;0,IF(ISNUMBER(SEARCH("[済]",INDEX(Material_Detail!$D:$DC,MATCH($A40,Material_Detail!$DE:$DE,0)+1,70))),0,IFERROR(INDEX(Material_Detail!$D:$DC,MATCH($A40,Material_Detail!$DE:$DE,0),70),0)),SUMIFS(T_Shipments[Confirmed_Qty],T_Shipments[Part Name],$A40,T_Shipments[Effective_Week],70))</f>
        <v/>
      </c>
      <c r="BT40">
        <f>IF(COUNTIF(Material_Detail!$DE:$DE,$A40)&gt;0,IF(ISNUMBER(SEARCH("[済]",INDEX(Material_Detail!$D:$DC,MATCH($A40,Material_Detail!$DE:$DE,0)+1,71))),0,IFERROR(INDEX(Material_Detail!$D:$DC,MATCH($A40,Material_Detail!$DE:$DE,0),71),0)),SUMIFS(T_Shipments[Confirmed_Qty],T_Shipments[Part Name],$A40,T_Shipments[Effective_Week],71))</f>
        <v/>
      </c>
      <c r="BU40">
        <f>IF(COUNTIF(Material_Detail!$DE:$DE,$A40)&gt;0,IF(ISNUMBER(SEARCH("[済]",INDEX(Material_Detail!$D:$DC,MATCH($A40,Material_Detail!$DE:$DE,0)+1,72))),0,IFERROR(INDEX(Material_Detail!$D:$DC,MATCH($A40,Material_Detail!$DE:$DE,0),72),0)),SUMIFS(T_Shipments[Confirmed_Qty],T_Shipments[Part Name],$A40,T_Shipments[Effective_Week],72))</f>
        <v/>
      </c>
      <c r="BV40">
        <f>IF(COUNTIF(Material_Detail!$DE:$DE,$A40)&gt;0,IF(ISNUMBER(SEARCH("[済]",INDEX(Material_Detail!$D:$DC,MATCH($A40,Material_Detail!$DE:$DE,0)+1,73))),0,IFERROR(INDEX(Material_Detail!$D:$DC,MATCH($A40,Material_Detail!$DE:$DE,0),73),0)),SUMIFS(T_Shipments[Confirmed_Qty],T_Shipments[Part Name],$A40,T_Shipments[Effective_Week],73))</f>
        <v/>
      </c>
      <c r="BW40">
        <f>IF(COUNTIF(Material_Detail!$DE:$DE,$A40)&gt;0,IF(ISNUMBER(SEARCH("[済]",INDEX(Material_Detail!$D:$DC,MATCH($A40,Material_Detail!$DE:$DE,0)+1,74))),0,IFERROR(INDEX(Material_Detail!$D:$DC,MATCH($A40,Material_Detail!$DE:$DE,0),74),0)),SUMIFS(T_Shipments[Confirmed_Qty],T_Shipments[Part Name],$A40,T_Shipments[Effective_Week],74))</f>
        <v/>
      </c>
      <c r="BX40">
        <f>IF(COUNTIF(Material_Detail!$DE:$DE,$A40)&gt;0,IF(ISNUMBER(SEARCH("[済]",INDEX(Material_Detail!$D:$DC,MATCH($A40,Material_Detail!$DE:$DE,0)+1,75))),0,IFERROR(INDEX(Material_Detail!$D:$DC,MATCH($A40,Material_Detail!$DE:$DE,0),75),0)),SUMIFS(T_Shipments[Confirmed_Qty],T_Shipments[Part Name],$A40,T_Shipments[Effective_Week],75))</f>
        <v/>
      </c>
      <c r="BY40">
        <f>IF(COUNTIF(Material_Detail!$DE:$DE,$A40)&gt;0,IF(ISNUMBER(SEARCH("[済]",INDEX(Material_Detail!$D:$DC,MATCH($A40,Material_Detail!$DE:$DE,0)+1,76))),0,IFERROR(INDEX(Material_Detail!$D:$DC,MATCH($A40,Material_Detail!$DE:$DE,0),76),0)),SUMIFS(T_Shipments[Confirmed_Qty],T_Shipments[Part Name],$A40,T_Shipments[Effective_Week],76))</f>
        <v/>
      </c>
      <c r="BZ40">
        <f>IF(COUNTIF(Material_Detail!$DE:$DE,$A40)&gt;0,IF(ISNUMBER(SEARCH("[済]",INDEX(Material_Detail!$D:$DC,MATCH($A40,Material_Detail!$DE:$DE,0)+1,77))),0,IFERROR(INDEX(Material_Detail!$D:$DC,MATCH($A40,Material_Detail!$DE:$DE,0),77),0)),SUMIFS(T_Shipments[Confirmed_Qty],T_Shipments[Part Name],$A40,T_Shipments[Effective_Week],77))</f>
        <v/>
      </c>
      <c r="CA40">
        <f>IF(COUNTIF(Material_Detail!$DE:$DE,$A40)&gt;0,IF(ISNUMBER(SEARCH("[済]",INDEX(Material_Detail!$D:$DC,MATCH($A40,Material_Detail!$DE:$DE,0)+1,78))),0,IFERROR(INDEX(Material_Detail!$D:$DC,MATCH($A40,Material_Detail!$DE:$DE,0),78),0)),SUMIFS(T_Shipments[Confirmed_Qty],T_Shipments[Part Name],$A40,T_Shipments[Effective_Week],78))</f>
        <v/>
      </c>
      <c r="CB40">
        <f>IF(COUNTIF(Material_Detail!$DE:$DE,$A40)&gt;0,IF(ISNUMBER(SEARCH("[済]",INDEX(Material_Detail!$D:$DC,MATCH($A40,Material_Detail!$DE:$DE,0)+1,79))),0,IFERROR(INDEX(Material_Detail!$D:$DC,MATCH($A40,Material_Detail!$DE:$DE,0),79),0)),SUMIFS(T_Shipments[Confirmed_Qty],T_Shipments[Part Name],$A40,T_Shipments[Effective_Week],79))</f>
        <v/>
      </c>
      <c r="CC40">
        <f>IF(COUNTIF(Material_Detail!$DE:$DE,$A40)&gt;0,IF(ISNUMBER(SEARCH("[済]",INDEX(Material_Detail!$D:$DC,MATCH($A40,Material_Detail!$DE:$DE,0)+1,80))),0,IFERROR(INDEX(Material_Detail!$D:$DC,MATCH($A40,Material_Detail!$DE:$DE,0),80),0)),SUMIFS(T_Shipments[Confirmed_Qty],T_Shipments[Part Name],$A40,T_Shipments[Effective_Week],80))</f>
        <v/>
      </c>
      <c r="CD40">
        <f>IF(COUNTIF(Material_Detail!$DE:$DE,$A40)&gt;0,IF(ISNUMBER(SEARCH("[済]",INDEX(Material_Detail!$D:$DC,MATCH($A40,Material_Detail!$DE:$DE,0)+1,81))),0,IFERROR(INDEX(Material_Detail!$D:$DC,MATCH($A40,Material_Detail!$DE:$DE,0),81),0)),SUMIFS(T_Shipments[Confirmed_Qty],T_Shipments[Part Name],$A40,T_Shipments[Effective_Week],81))</f>
        <v/>
      </c>
      <c r="CE40">
        <f>IF(COUNTIF(Material_Detail!$DE:$DE,$A40)&gt;0,IF(ISNUMBER(SEARCH("[済]",INDEX(Material_Detail!$D:$DC,MATCH($A40,Material_Detail!$DE:$DE,0)+1,82))),0,IFERROR(INDEX(Material_Detail!$D:$DC,MATCH($A40,Material_Detail!$DE:$DE,0),82),0)),SUMIFS(T_Shipments[Confirmed_Qty],T_Shipments[Part Name],$A40,T_Shipments[Effective_Week],82))</f>
        <v/>
      </c>
      <c r="CF40">
        <f>IF(COUNTIF(Material_Detail!$DE:$DE,$A40)&gt;0,IF(ISNUMBER(SEARCH("[済]",INDEX(Material_Detail!$D:$DC,MATCH($A40,Material_Detail!$DE:$DE,0)+1,83))),0,IFERROR(INDEX(Material_Detail!$D:$DC,MATCH($A40,Material_Detail!$DE:$DE,0),83),0)),SUMIFS(T_Shipments[Confirmed_Qty],T_Shipments[Part Name],$A40,T_Shipments[Effective_Week],83))</f>
        <v/>
      </c>
      <c r="CG40">
        <f>IF(COUNTIF(Material_Detail!$DE:$DE,$A40)&gt;0,IF(ISNUMBER(SEARCH("[済]",INDEX(Material_Detail!$D:$DC,MATCH($A40,Material_Detail!$DE:$DE,0)+1,84))),0,IFERROR(INDEX(Material_Detail!$D:$DC,MATCH($A40,Material_Detail!$DE:$DE,0),84),0)),SUMIFS(T_Shipments[Confirmed_Qty],T_Shipments[Part Name],$A40,T_Shipments[Effective_Week],84))</f>
        <v/>
      </c>
      <c r="CH40">
        <f>IF(COUNTIF(Material_Detail!$DE:$DE,$A40)&gt;0,IF(ISNUMBER(SEARCH("[済]",INDEX(Material_Detail!$D:$DC,MATCH($A40,Material_Detail!$DE:$DE,0)+1,85))),0,IFERROR(INDEX(Material_Detail!$D:$DC,MATCH($A40,Material_Detail!$DE:$DE,0),85),0)),SUMIFS(T_Shipments[Confirmed_Qty],T_Shipments[Part Name],$A40,T_Shipments[Effective_Week],85))</f>
        <v/>
      </c>
      <c r="CI40">
        <f>IF(COUNTIF(Material_Detail!$DE:$DE,$A40)&gt;0,IF(ISNUMBER(SEARCH("[済]",INDEX(Material_Detail!$D:$DC,MATCH($A40,Material_Detail!$DE:$DE,0)+1,86))),0,IFERROR(INDEX(Material_Detail!$D:$DC,MATCH($A40,Material_Detail!$DE:$DE,0),86),0)),SUMIFS(T_Shipments[Confirmed_Qty],T_Shipments[Part Name],$A40,T_Shipments[Effective_Week],86))</f>
        <v/>
      </c>
      <c r="CJ40">
        <f>IF(COUNTIF(Material_Detail!$DE:$DE,$A40)&gt;0,IF(ISNUMBER(SEARCH("[済]",INDEX(Material_Detail!$D:$DC,MATCH($A40,Material_Detail!$DE:$DE,0)+1,87))),0,IFERROR(INDEX(Material_Detail!$D:$DC,MATCH($A40,Material_Detail!$DE:$DE,0),87),0)),SUMIFS(T_Shipments[Confirmed_Qty],T_Shipments[Part Name],$A40,T_Shipments[Effective_Week],87))</f>
        <v/>
      </c>
      <c r="CK40">
        <f>IF(COUNTIF(Material_Detail!$DE:$DE,$A40)&gt;0,IF(ISNUMBER(SEARCH("[済]",INDEX(Material_Detail!$D:$DC,MATCH($A40,Material_Detail!$DE:$DE,0)+1,88))),0,IFERROR(INDEX(Material_Detail!$D:$DC,MATCH($A40,Material_Detail!$DE:$DE,0),88),0)),SUMIFS(T_Shipments[Confirmed_Qty],T_Shipments[Part Name],$A40,T_Shipments[Effective_Week],88))</f>
        <v/>
      </c>
      <c r="CL40">
        <f>IF(COUNTIF(Material_Detail!$DE:$DE,$A40)&gt;0,IF(ISNUMBER(SEARCH("[済]",INDEX(Material_Detail!$D:$DC,MATCH($A40,Material_Detail!$DE:$DE,0)+1,89))),0,IFERROR(INDEX(Material_Detail!$D:$DC,MATCH($A40,Material_Detail!$DE:$DE,0),89),0)),SUMIFS(T_Shipments[Confirmed_Qty],T_Shipments[Part Name],$A40,T_Shipments[Effective_Week],89))</f>
        <v/>
      </c>
      <c r="CM40">
        <f>IF(COUNTIF(Material_Detail!$DE:$DE,$A40)&gt;0,IF(ISNUMBER(SEARCH("[済]",INDEX(Material_Detail!$D:$DC,MATCH($A40,Material_Detail!$DE:$DE,0)+1,90))),0,IFERROR(INDEX(Material_Detail!$D:$DC,MATCH($A40,Material_Detail!$DE:$DE,0),90),0)),SUMIFS(T_Shipments[Confirmed_Qty],T_Shipments[Part Name],$A40,T_Shipments[Effective_Week],90))</f>
        <v/>
      </c>
      <c r="CN40">
        <f>IF(COUNTIF(Material_Detail!$DE:$DE,$A40)&gt;0,IF(ISNUMBER(SEARCH("[済]",INDEX(Material_Detail!$D:$DC,MATCH($A40,Material_Detail!$DE:$DE,0)+1,91))),0,IFERROR(INDEX(Material_Detail!$D:$DC,MATCH($A40,Material_Detail!$DE:$DE,0),91),0)),SUMIFS(T_Shipments[Confirmed_Qty],T_Shipments[Part Name],$A40,T_Shipments[Effective_Week],91))</f>
        <v/>
      </c>
      <c r="CO40">
        <f>IF(COUNTIF(Material_Detail!$DE:$DE,$A40)&gt;0,IF(ISNUMBER(SEARCH("[済]",INDEX(Material_Detail!$D:$DC,MATCH($A40,Material_Detail!$DE:$DE,0)+1,92))),0,IFERROR(INDEX(Material_Detail!$D:$DC,MATCH($A40,Material_Detail!$DE:$DE,0),92),0)),SUMIFS(T_Shipments[Confirmed_Qty],T_Shipments[Part Name],$A40,T_Shipments[Effective_Week],92))</f>
        <v/>
      </c>
      <c r="CP40">
        <f>IF(COUNTIF(Material_Detail!$DE:$DE,$A40)&gt;0,IF(ISNUMBER(SEARCH("[済]",INDEX(Material_Detail!$D:$DC,MATCH($A40,Material_Detail!$DE:$DE,0)+1,93))),0,IFERROR(INDEX(Material_Detail!$D:$DC,MATCH($A40,Material_Detail!$DE:$DE,0),93),0)),SUMIFS(T_Shipments[Confirmed_Qty],T_Shipments[Part Name],$A40,T_Shipments[Effective_Week],93))</f>
        <v/>
      </c>
      <c r="CQ40">
        <f>IF(COUNTIF(Material_Detail!$DE:$DE,$A40)&gt;0,IF(ISNUMBER(SEARCH("[済]",INDEX(Material_Detail!$D:$DC,MATCH($A40,Material_Detail!$DE:$DE,0)+1,94))),0,IFERROR(INDEX(Material_Detail!$D:$DC,MATCH($A40,Material_Detail!$DE:$DE,0),94),0)),SUMIFS(T_Shipments[Confirmed_Qty],T_Shipments[Part Name],$A40,T_Shipments[Effective_Week],94))</f>
        <v/>
      </c>
      <c r="CR40">
        <f>IF(COUNTIF(Material_Detail!$DE:$DE,$A40)&gt;0,IF(ISNUMBER(SEARCH("[済]",INDEX(Material_Detail!$D:$DC,MATCH($A40,Material_Detail!$DE:$DE,0)+1,95))),0,IFERROR(INDEX(Material_Detail!$D:$DC,MATCH($A40,Material_Detail!$DE:$DE,0),95),0)),SUMIFS(T_Shipments[Confirmed_Qty],T_Shipments[Part Name],$A40,T_Shipments[Effective_Week],95))</f>
        <v/>
      </c>
      <c r="CS40">
        <f>IF(COUNTIF(Material_Detail!$DE:$DE,$A40)&gt;0,IF(ISNUMBER(SEARCH("[済]",INDEX(Material_Detail!$D:$DC,MATCH($A40,Material_Detail!$DE:$DE,0)+1,96))),0,IFERROR(INDEX(Material_Detail!$D:$DC,MATCH($A40,Material_Detail!$DE:$DE,0),96),0)),SUMIFS(T_Shipments[Confirmed_Qty],T_Shipments[Part Name],$A40,T_Shipments[Effective_Week],96))</f>
        <v/>
      </c>
      <c r="CT40">
        <f>IF(COUNTIF(Material_Detail!$DE:$DE,$A40)&gt;0,IF(ISNUMBER(SEARCH("[済]",INDEX(Material_Detail!$D:$DC,MATCH($A40,Material_Detail!$DE:$DE,0)+1,97))),0,IFERROR(INDEX(Material_Detail!$D:$DC,MATCH($A40,Material_Detail!$DE:$DE,0),97),0)),SUMIFS(T_Shipments[Confirmed_Qty],T_Shipments[Part Name],$A40,T_Shipments[Effective_Week],97))</f>
        <v/>
      </c>
      <c r="CU40">
        <f>IF(COUNTIF(Material_Detail!$DE:$DE,$A40)&gt;0,IF(ISNUMBER(SEARCH("[済]",INDEX(Material_Detail!$D:$DC,MATCH($A40,Material_Detail!$DE:$DE,0)+1,98))),0,IFERROR(INDEX(Material_Detail!$D:$DC,MATCH($A40,Material_Detail!$DE:$DE,0),98),0)),SUMIFS(T_Shipments[Confirmed_Qty],T_Shipments[Part Name],$A40,T_Shipments[Effective_Week],98))</f>
        <v/>
      </c>
      <c r="CV40">
        <f>IF(COUNTIF(Material_Detail!$DE:$DE,$A40)&gt;0,IF(ISNUMBER(SEARCH("[済]",INDEX(Material_Detail!$D:$DC,MATCH($A40,Material_Detail!$DE:$DE,0)+1,99))),0,IFERROR(INDEX(Material_Detail!$D:$DC,MATCH($A40,Material_Detail!$DE:$DE,0),99),0)),SUMIFS(T_Shipments[Confirmed_Qty],T_Shipments[Part Name],$A40,T_Shipments[Effective_Week],99))</f>
        <v/>
      </c>
      <c r="CW40">
        <f>IF(COUNTIF(Material_Detail!$DE:$DE,$A40)&gt;0,IF(ISNUMBER(SEARCH("[済]",INDEX(Material_Detail!$D:$DC,MATCH($A40,Material_Detail!$DE:$DE,0)+1,100))),0,IFERROR(INDEX(Material_Detail!$D:$DC,MATCH($A40,Material_Detail!$DE:$DE,0),100),0)),SUMIFS(T_Shipments[Confirmed_Qty],T_Shipments[Part Name],$A40,T_Shipments[Effective_Week],100))</f>
        <v/>
      </c>
      <c r="CX40">
        <f>IF(COUNTIF(Material_Detail!$DE:$DE,$A40)&gt;0,IF(ISNUMBER(SEARCH("[済]",INDEX(Material_Detail!$D:$DC,MATCH($A40,Material_Detail!$DE:$DE,0)+1,101))),0,IFERROR(INDEX(Material_Detail!$D:$DC,MATCH($A40,Material_Detail!$DE:$DE,0),101),0)),SUMIFS(T_Shipments[Confirmed_Qty],T_Shipments[Part Name],$A40,T_Shipments[Effective_Week],101))</f>
        <v/>
      </c>
      <c r="CY40">
        <f>IF(COUNTIF(Material_Detail!$DE:$DE,$A40)&gt;0,IF(ISNUMBER(SEARCH("[済]",INDEX(Material_Detail!$D:$DC,MATCH($A40,Material_Detail!$DE:$DE,0)+1,102))),0,IFERROR(INDEX(Material_Detail!$D:$DC,MATCH($A40,Material_Detail!$DE:$DE,0),102),0)),SUMIFS(T_Shipments[Confirmed_Qty],T_Shipments[Part Name],$A40,T_Shipments[Effective_Week],102))</f>
        <v/>
      </c>
      <c r="CZ40">
        <f>IF(COUNTIF(Material_Detail!$DE:$DE,$A40)&gt;0,IF(ISNUMBER(SEARCH("[済]",INDEX(Material_Detail!$D:$DC,MATCH($A40,Material_Detail!$DE:$DE,0)+1,103))),0,IFERROR(INDEX(Material_Detail!$D:$DC,MATCH($A40,Material_Detail!$DE:$DE,0),103),0)),SUMIFS(T_Shipments[Confirmed_Qty],T_Shipments[Part Name],$A40,T_Shipments[Effective_Week],103))</f>
        <v/>
      </c>
      <c r="DA40">
        <f>IF(COUNTIF(Material_Detail!$DE:$DE,$A40)&gt;0,IF(ISNUMBER(SEARCH("[済]",INDEX(Material_Detail!$D:$DC,MATCH($A40,Material_Detail!$DE:$DE,0)+1,104))),0,IFERROR(INDEX(Material_Detail!$D:$DC,MATCH($A40,Material_Detail!$DE:$DE,0),104),0)),SUMIFS(T_Shipments[Confirmed_Qty],T_Shipments[Part Name],$A40,T_Shipments[Effective_Week],104))</f>
        <v/>
      </c>
    </row>
    <row r="41">
      <c r="A41" t="inlineStr">
        <is>
          <t>CHEM-1680</t>
        </is>
      </c>
      <c r="B41">
        <f>IF(COUNTIF(Material_Detail!$DE:$DE,$A41)&gt;0,IF(ISNUMBER(SEARCH("[済]",INDEX(Material_Detail!$D:$DC,MATCH($A41,Material_Detail!$DE:$DE,0)+1,1))),0,IFERROR(INDEX(Material_Detail!$D:$DC,MATCH($A41,Material_Detail!$DE:$DE,0),1),0)),SUMIFS(T_Shipments[Confirmed_Qty],T_Shipments[Part Name],$A41,T_Shipments[Effective_Week],1))</f>
        <v/>
      </c>
      <c r="C41">
        <f>IF(COUNTIF(Material_Detail!$DE:$DE,$A41)&gt;0,IF(ISNUMBER(SEARCH("[済]",INDEX(Material_Detail!$D:$DC,MATCH($A41,Material_Detail!$DE:$DE,0)+1,2))),0,IFERROR(INDEX(Material_Detail!$D:$DC,MATCH($A41,Material_Detail!$DE:$DE,0),2),0)),SUMIFS(T_Shipments[Confirmed_Qty],T_Shipments[Part Name],$A41,T_Shipments[Effective_Week],2))</f>
        <v/>
      </c>
      <c r="D41">
        <f>IF(COUNTIF(Material_Detail!$DE:$DE,$A41)&gt;0,IF(ISNUMBER(SEARCH("[済]",INDEX(Material_Detail!$D:$DC,MATCH($A41,Material_Detail!$DE:$DE,0)+1,3))),0,IFERROR(INDEX(Material_Detail!$D:$DC,MATCH($A41,Material_Detail!$DE:$DE,0),3),0)),SUMIFS(T_Shipments[Confirmed_Qty],T_Shipments[Part Name],$A41,T_Shipments[Effective_Week],3))</f>
        <v/>
      </c>
      <c r="E41">
        <f>IF(COUNTIF(Material_Detail!$DE:$DE,$A41)&gt;0,IF(ISNUMBER(SEARCH("[済]",INDEX(Material_Detail!$D:$DC,MATCH($A41,Material_Detail!$DE:$DE,0)+1,4))),0,IFERROR(INDEX(Material_Detail!$D:$DC,MATCH($A41,Material_Detail!$DE:$DE,0),4),0)),SUMIFS(T_Shipments[Confirmed_Qty],T_Shipments[Part Name],$A41,T_Shipments[Effective_Week],4))</f>
        <v/>
      </c>
      <c r="F41">
        <f>IF(COUNTIF(Material_Detail!$DE:$DE,$A41)&gt;0,IF(ISNUMBER(SEARCH("[済]",INDEX(Material_Detail!$D:$DC,MATCH($A41,Material_Detail!$DE:$DE,0)+1,5))),0,IFERROR(INDEX(Material_Detail!$D:$DC,MATCH($A41,Material_Detail!$DE:$DE,0),5),0)),SUMIFS(T_Shipments[Confirmed_Qty],T_Shipments[Part Name],$A41,T_Shipments[Effective_Week],5))</f>
        <v/>
      </c>
      <c r="G41">
        <f>IF(COUNTIF(Material_Detail!$DE:$DE,$A41)&gt;0,IF(ISNUMBER(SEARCH("[済]",INDEX(Material_Detail!$D:$DC,MATCH($A41,Material_Detail!$DE:$DE,0)+1,6))),0,IFERROR(INDEX(Material_Detail!$D:$DC,MATCH($A41,Material_Detail!$DE:$DE,0),6),0)),SUMIFS(T_Shipments[Confirmed_Qty],T_Shipments[Part Name],$A41,T_Shipments[Effective_Week],6))</f>
        <v/>
      </c>
      <c r="H41">
        <f>IF(COUNTIF(Material_Detail!$DE:$DE,$A41)&gt;0,IF(ISNUMBER(SEARCH("[済]",INDEX(Material_Detail!$D:$DC,MATCH($A41,Material_Detail!$DE:$DE,0)+1,7))),0,IFERROR(INDEX(Material_Detail!$D:$DC,MATCH($A41,Material_Detail!$DE:$DE,0),7),0)),SUMIFS(T_Shipments[Confirmed_Qty],T_Shipments[Part Name],$A41,T_Shipments[Effective_Week],7))</f>
        <v/>
      </c>
      <c r="I41">
        <f>IF(COUNTIF(Material_Detail!$DE:$DE,$A41)&gt;0,IF(ISNUMBER(SEARCH("[済]",INDEX(Material_Detail!$D:$DC,MATCH($A41,Material_Detail!$DE:$DE,0)+1,8))),0,IFERROR(INDEX(Material_Detail!$D:$DC,MATCH($A41,Material_Detail!$DE:$DE,0),8),0)),SUMIFS(T_Shipments[Confirmed_Qty],T_Shipments[Part Name],$A41,T_Shipments[Effective_Week],8))</f>
        <v/>
      </c>
      <c r="J41">
        <f>IF(COUNTIF(Material_Detail!$DE:$DE,$A41)&gt;0,IF(ISNUMBER(SEARCH("[済]",INDEX(Material_Detail!$D:$DC,MATCH($A41,Material_Detail!$DE:$DE,0)+1,9))),0,IFERROR(INDEX(Material_Detail!$D:$DC,MATCH($A41,Material_Detail!$DE:$DE,0),9),0)),SUMIFS(T_Shipments[Confirmed_Qty],T_Shipments[Part Name],$A41,T_Shipments[Effective_Week],9))</f>
        <v/>
      </c>
      <c r="K41">
        <f>IF(COUNTIF(Material_Detail!$DE:$DE,$A41)&gt;0,IF(ISNUMBER(SEARCH("[済]",INDEX(Material_Detail!$D:$DC,MATCH($A41,Material_Detail!$DE:$DE,0)+1,10))),0,IFERROR(INDEX(Material_Detail!$D:$DC,MATCH($A41,Material_Detail!$DE:$DE,0),10),0)),SUMIFS(T_Shipments[Confirmed_Qty],T_Shipments[Part Name],$A41,T_Shipments[Effective_Week],10))</f>
        <v/>
      </c>
      <c r="L41">
        <f>IF(COUNTIF(Material_Detail!$DE:$DE,$A41)&gt;0,IF(ISNUMBER(SEARCH("[済]",INDEX(Material_Detail!$D:$DC,MATCH($A41,Material_Detail!$DE:$DE,0)+1,11))),0,IFERROR(INDEX(Material_Detail!$D:$DC,MATCH($A41,Material_Detail!$DE:$DE,0),11),0)),SUMIFS(T_Shipments[Confirmed_Qty],T_Shipments[Part Name],$A41,T_Shipments[Effective_Week],11))</f>
        <v/>
      </c>
      <c r="M41">
        <f>IF(COUNTIF(Material_Detail!$DE:$DE,$A41)&gt;0,IF(ISNUMBER(SEARCH("[済]",INDEX(Material_Detail!$D:$DC,MATCH($A41,Material_Detail!$DE:$DE,0)+1,12))),0,IFERROR(INDEX(Material_Detail!$D:$DC,MATCH($A41,Material_Detail!$DE:$DE,0),12),0)),SUMIFS(T_Shipments[Confirmed_Qty],T_Shipments[Part Name],$A41,T_Shipments[Effective_Week],12))</f>
        <v/>
      </c>
      <c r="N41">
        <f>IF(COUNTIF(Material_Detail!$DE:$DE,$A41)&gt;0,IF(ISNUMBER(SEARCH("[済]",INDEX(Material_Detail!$D:$DC,MATCH($A41,Material_Detail!$DE:$DE,0)+1,13))),0,IFERROR(INDEX(Material_Detail!$D:$DC,MATCH($A41,Material_Detail!$DE:$DE,0),13),0)),SUMIFS(T_Shipments[Confirmed_Qty],T_Shipments[Part Name],$A41,T_Shipments[Effective_Week],13))</f>
        <v/>
      </c>
      <c r="O41">
        <f>IF(COUNTIF(Material_Detail!$DE:$DE,$A41)&gt;0,IF(ISNUMBER(SEARCH("[済]",INDEX(Material_Detail!$D:$DC,MATCH($A41,Material_Detail!$DE:$DE,0)+1,14))),0,IFERROR(INDEX(Material_Detail!$D:$DC,MATCH($A41,Material_Detail!$DE:$DE,0),14),0)),SUMIFS(T_Shipments[Confirmed_Qty],T_Shipments[Part Name],$A41,T_Shipments[Effective_Week],14))</f>
        <v/>
      </c>
      <c r="P41">
        <f>IF(COUNTIF(Material_Detail!$DE:$DE,$A41)&gt;0,IF(ISNUMBER(SEARCH("[済]",INDEX(Material_Detail!$D:$DC,MATCH($A41,Material_Detail!$DE:$DE,0)+1,15))),0,IFERROR(INDEX(Material_Detail!$D:$DC,MATCH($A41,Material_Detail!$DE:$DE,0),15),0)),SUMIFS(T_Shipments[Confirmed_Qty],T_Shipments[Part Name],$A41,T_Shipments[Effective_Week],15))</f>
        <v/>
      </c>
      <c r="Q41">
        <f>IF(COUNTIF(Material_Detail!$DE:$DE,$A41)&gt;0,IF(ISNUMBER(SEARCH("[済]",INDEX(Material_Detail!$D:$DC,MATCH($A41,Material_Detail!$DE:$DE,0)+1,16))),0,IFERROR(INDEX(Material_Detail!$D:$DC,MATCH($A41,Material_Detail!$DE:$DE,0),16),0)),SUMIFS(T_Shipments[Confirmed_Qty],T_Shipments[Part Name],$A41,T_Shipments[Effective_Week],16))</f>
        <v/>
      </c>
      <c r="R41">
        <f>IF(COUNTIF(Material_Detail!$DE:$DE,$A41)&gt;0,IF(ISNUMBER(SEARCH("[済]",INDEX(Material_Detail!$D:$DC,MATCH($A41,Material_Detail!$DE:$DE,0)+1,17))),0,IFERROR(INDEX(Material_Detail!$D:$DC,MATCH($A41,Material_Detail!$DE:$DE,0),17),0)),SUMIFS(T_Shipments[Confirmed_Qty],T_Shipments[Part Name],$A41,T_Shipments[Effective_Week],17))</f>
        <v/>
      </c>
      <c r="S41">
        <f>IF(COUNTIF(Material_Detail!$DE:$DE,$A41)&gt;0,IF(ISNUMBER(SEARCH("[済]",INDEX(Material_Detail!$D:$DC,MATCH($A41,Material_Detail!$DE:$DE,0)+1,18))),0,IFERROR(INDEX(Material_Detail!$D:$DC,MATCH($A41,Material_Detail!$DE:$DE,0),18),0)),SUMIFS(T_Shipments[Confirmed_Qty],T_Shipments[Part Name],$A41,T_Shipments[Effective_Week],18))</f>
        <v/>
      </c>
      <c r="T41">
        <f>IF(COUNTIF(Material_Detail!$DE:$DE,$A41)&gt;0,IF(ISNUMBER(SEARCH("[済]",INDEX(Material_Detail!$D:$DC,MATCH($A41,Material_Detail!$DE:$DE,0)+1,19))),0,IFERROR(INDEX(Material_Detail!$D:$DC,MATCH($A41,Material_Detail!$DE:$DE,0),19),0)),SUMIFS(T_Shipments[Confirmed_Qty],T_Shipments[Part Name],$A41,T_Shipments[Effective_Week],19))</f>
        <v/>
      </c>
      <c r="U41">
        <f>IF(COUNTIF(Material_Detail!$DE:$DE,$A41)&gt;0,IF(ISNUMBER(SEARCH("[済]",INDEX(Material_Detail!$D:$DC,MATCH($A41,Material_Detail!$DE:$DE,0)+1,20))),0,IFERROR(INDEX(Material_Detail!$D:$DC,MATCH($A41,Material_Detail!$DE:$DE,0),20),0)),SUMIFS(T_Shipments[Confirmed_Qty],T_Shipments[Part Name],$A41,T_Shipments[Effective_Week],20))</f>
        <v/>
      </c>
      <c r="V41">
        <f>IF(COUNTIF(Material_Detail!$DE:$DE,$A41)&gt;0,IF(ISNUMBER(SEARCH("[済]",INDEX(Material_Detail!$D:$DC,MATCH($A41,Material_Detail!$DE:$DE,0)+1,21))),0,IFERROR(INDEX(Material_Detail!$D:$DC,MATCH($A41,Material_Detail!$DE:$DE,0),21),0)),SUMIFS(T_Shipments[Confirmed_Qty],T_Shipments[Part Name],$A41,T_Shipments[Effective_Week],21))</f>
        <v/>
      </c>
      <c r="W41">
        <f>IF(COUNTIF(Material_Detail!$DE:$DE,$A41)&gt;0,IF(ISNUMBER(SEARCH("[済]",INDEX(Material_Detail!$D:$DC,MATCH($A41,Material_Detail!$DE:$DE,0)+1,22))),0,IFERROR(INDEX(Material_Detail!$D:$DC,MATCH($A41,Material_Detail!$DE:$DE,0),22),0)),SUMIFS(T_Shipments[Confirmed_Qty],T_Shipments[Part Name],$A41,T_Shipments[Effective_Week],22))</f>
        <v/>
      </c>
      <c r="X41">
        <f>IF(COUNTIF(Material_Detail!$DE:$DE,$A41)&gt;0,IF(ISNUMBER(SEARCH("[済]",INDEX(Material_Detail!$D:$DC,MATCH($A41,Material_Detail!$DE:$DE,0)+1,23))),0,IFERROR(INDEX(Material_Detail!$D:$DC,MATCH($A41,Material_Detail!$DE:$DE,0),23),0)),SUMIFS(T_Shipments[Confirmed_Qty],T_Shipments[Part Name],$A41,T_Shipments[Effective_Week],23))</f>
        <v/>
      </c>
      <c r="Y41">
        <f>IF(COUNTIF(Material_Detail!$DE:$DE,$A41)&gt;0,IF(ISNUMBER(SEARCH("[済]",INDEX(Material_Detail!$D:$DC,MATCH($A41,Material_Detail!$DE:$DE,0)+1,24))),0,IFERROR(INDEX(Material_Detail!$D:$DC,MATCH($A41,Material_Detail!$DE:$DE,0),24),0)),SUMIFS(T_Shipments[Confirmed_Qty],T_Shipments[Part Name],$A41,T_Shipments[Effective_Week],24))</f>
        <v/>
      </c>
      <c r="Z41">
        <f>IF(COUNTIF(Material_Detail!$DE:$DE,$A41)&gt;0,IF(ISNUMBER(SEARCH("[済]",INDEX(Material_Detail!$D:$DC,MATCH($A41,Material_Detail!$DE:$DE,0)+1,25))),0,IFERROR(INDEX(Material_Detail!$D:$DC,MATCH($A41,Material_Detail!$DE:$DE,0),25),0)),SUMIFS(T_Shipments[Confirmed_Qty],T_Shipments[Part Name],$A41,T_Shipments[Effective_Week],25))</f>
        <v/>
      </c>
      <c r="AA41">
        <f>IF(COUNTIF(Material_Detail!$DE:$DE,$A41)&gt;0,IF(ISNUMBER(SEARCH("[済]",INDEX(Material_Detail!$D:$DC,MATCH($A41,Material_Detail!$DE:$DE,0)+1,26))),0,IFERROR(INDEX(Material_Detail!$D:$DC,MATCH($A41,Material_Detail!$DE:$DE,0),26),0)),SUMIFS(T_Shipments[Confirmed_Qty],T_Shipments[Part Name],$A41,T_Shipments[Effective_Week],26))</f>
        <v/>
      </c>
      <c r="AB41">
        <f>IF(COUNTIF(Material_Detail!$DE:$DE,$A41)&gt;0,IF(ISNUMBER(SEARCH("[済]",INDEX(Material_Detail!$D:$DC,MATCH($A41,Material_Detail!$DE:$DE,0)+1,27))),0,IFERROR(INDEX(Material_Detail!$D:$DC,MATCH($A41,Material_Detail!$DE:$DE,0),27),0)),SUMIFS(T_Shipments[Confirmed_Qty],T_Shipments[Part Name],$A41,T_Shipments[Effective_Week],27))</f>
        <v/>
      </c>
      <c r="AC41">
        <f>IF(COUNTIF(Material_Detail!$DE:$DE,$A41)&gt;0,IF(ISNUMBER(SEARCH("[済]",INDEX(Material_Detail!$D:$DC,MATCH($A41,Material_Detail!$DE:$DE,0)+1,28))),0,IFERROR(INDEX(Material_Detail!$D:$DC,MATCH($A41,Material_Detail!$DE:$DE,0),28),0)),SUMIFS(T_Shipments[Confirmed_Qty],T_Shipments[Part Name],$A41,T_Shipments[Effective_Week],28))</f>
        <v/>
      </c>
      <c r="AD41">
        <f>IF(COUNTIF(Material_Detail!$DE:$DE,$A41)&gt;0,IF(ISNUMBER(SEARCH("[済]",INDEX(Material_Detail!$D:$DC,MATCH($A41,Material_Detail!$DE:$DE,0)+1,29))),0,IFERROR(INDEX(Material_Detail!$D:$DC,MATCH($A41,Material_Detail!$DE:$DE,0),29),0)),SUMIFS(T_Shipments[Confirmed_Qty],T_Shipments[Part Name],$A41,T_Shipments[Effective_Week],29))</f>
        <v/>
      </c>
      <c r="AE41">
        <f>IF(COUNTIF(Material_Detail!$DE:$DE,$A41)&gt;0,IF(ISNUMBER(SEARCH("[済]",INDEX(Material_Detail!$D:$DC,MATCH($A41,Material_Detail!$DE:$DE,0)+1,30))),0,IFERROR(INDEX(Material_Detail!$D:$DC,MATCH($A41,Material_Detail!$DE:$DE,0),30),0)),SUMIFS(T_Shipments[Confirmed_Qty],T_Shipments[Part Name],$A41,T_Shipments[Effective_Week],30))</f>
        <v/>
      </c>
      <c r="AF41">
        <f>IF(COUNTIF(Material_Detail!$DE:$DE,$A41)&gt;0,IF(ISNUMBER(SEARCH("[済]",INDEX(Material_Detail!$D:$DC,MATCH($A41,Material_Detail!$DE:$DE,0)+1,31))),0,IFERROR(INDEX(Material_Detail!$D:$DC,MATCH($A41,Material_Detail!$DE:$DE,0),31),0)),SUMIFS(T_Shipments[Confirmed_Qty],T_Shipments[Part Name],$A41,T_Shipments[Effective_Week],31))</f>
        <v/>
      </c>
      <c r="AG41">
        <f>IF(COUNTIF(Material_Detail!$DE:$DE,$A41)&gt;0,IF(ISNUMBER(SEARCH("[済]",INDEX(Material_Detail!$D:$DC,MATCH($A41,Material_Detail!$DE:$DE,0)+1,32))),0,IFERROR(INDEX(Material_Detail!$D:$DC,MATCH($A41,Material_Detail!$DE:$DE,0),32),0)),SUMIFS(T_Shipments[Confirmed_Qty],T_Shipments[Part Name],$A41,T_Shipments[Effective_Week],32))</f>
        <v/>
      </c>
      <c r="AH41">
        <f>IF(COUNTIF(Material_Detail!$DE:$DE,$A41)&gt;0,IF(ISNUMBER(SEARCH("[済]",INDEX(Material_Detail!$D:$DC,MATCH($A41,Material_Detail!$DE:$DE,0)+1,33))),0,IFERROR(INDEX(Material_Detail!$D:$DC,MATCH($A41,Material_Detail!$DE:$DE,0),33),0)),SUMIFS(T_Shipments[Confirmed_Qty],T_Shipments[Part Name],$A41,T_Shipments[Effective_Week],33))</f>
        <v/>
      </c>
      <c r="AI41">
        <f>IF(COUNTIF(Material_Detail!$DE:$DE,$A41)&gt;0,IF(ISNUMBER(SEARCH("[済]",INDEX(Material_Detail!$D:$DC,MATCH($A41,Material_Detail!$DE:$DE,0)+1,34))),0,IFERROR(INDEX(Material_Detail!$D:$DC,MATCH($A41,Material_Detail!$DE:$DE,0),34),0)),SUMIFS(T_Shipments[Confirmed_Qty],T_Shipments[Part Name],$A41,T_Shipments[Effective_Week],34))</f>
        <v/>
      </c>
      <c r="AJ41">
        <f>IF(COUNTIF(Material_Detail!$DE:$DE,$A41)&gt;0,IF(ISNUMBER(SEARCH("[済]",INDEX(Material_Detail!$D:$DC,MATCH($A41,Material_Detail!$DE:$DE,0)+1,35))),0,IFERROR(INDEX(Material_Detail!$D:$DC,MATCH($A41,Material_Detail!$DE:$DE,0),35),0)),SUMIFS(T_Shipments[Confirmed_Qty],T_Shipments[Part Name],$A41,T_Shipments[Effective_Week],35))</f>
        <v/>
      </c>
      <c r="AK41">
        <f>IF(COUNTIF(Material_Detail!$DE:$DE,$A41)&gt;0,IF(ISNUMBER(SEARCH("[済]",INDEX(Material_Detail!$D:$DC,MATCH($A41,Material_Detail!$DE:$DE,0)+1,36))),0,IFERROR(INDEX(Material_Detail!$D:$DC,MATCH($A41,Material_Detail!$DE:$DE,0),36),0)),SUMIFS(T_Shipments[Confirmed_Qty],T_Shipments[Part Name],$A41,T_Shipments[Effective_Week],36))</f>
        <v/>
      </c>
      <c r="AL41">
        <f>IF(COUNTIF(Material_Detail!$DE:$DE,$A41)&gt;0,IF(ISNUMBER(SEARCH("[済]",INDEX(Material_Detail!$D:$DC,MATCH($A41,Material_Detail!$DE:$DE,0)+1,37))),0,IFERROR(INDEX(Material_Detail!$D:$DC,MATCH($A41,Material_Detail!$DE:$DE,0),37),0)),SUMIFS(T_Shipments[Confirmed_Qty],T_Shipments[Part Name],$A41,T_Shipments[Effective_Week],37))</f>
        <v/>
      </c>
      <c r="AM41">
        <f>IF(COUNTIF(Material_Detail!$DE:$DE,$A41)&gt;0,IF(ISNUMBER(SEARCH("[済]",INDEX(Material_Detail!$D:$DC,MATCH($A41,Material_Detail!$DE:$DE,0)+1,38))),0,IFERROR(INDEX(Material_Detail!$D:$DC,MATCH($A41,Material_Detail!$DE:$DE,0),38),0)),SUMIFS(T_Shipments[Confirmed_Qty],T_Shipments[Part Name],$A41,T_Shipments[Effective_Week],38))</f>
        <v/>
      </c>
      <c r="AN41">
        <f>IF(COUNTIF(Material_Detail!$DE:$DE,$A41)&gt;0,IF(ISNUMBER(SEARCH("[済]",INDEX(Material_Detail!$D:$DC,MATCH($A41,Material_Detail!$DE:$DE,0)+1,39))),0,IFERROR(INDEX(Material_Detail!$D:$DC,MATCH($A41,Material_Detail!$DE:$DE,0),39),0)),SUMIFS(T_Shipments[Confirmed_Qty],T_Shipments[Part Name],$A41,T_Shipments[Effective_Week],39))</f>
        <v/>
      </c>
      <c r="AO41">
        <f>IF(COUNTIF(Material_Detail!$DE:$DE,$A41)&gt;0,IF(ISNUMBER(SEARCH("[済]",INDEX(Material_Detail!$D:$DC,MATCH($A41,Material_Detail!$DE:$DE,0)+1,40))),0,IFERROR(INDEX(Material_Detail!$D:$DC,MATCH($A41,Material_Detail!$DE:$DE,0),40),0)),SUMIFS(T_Shipments[Confirmed_Qty],T_Shipments[Part Name],$A41,T_Shipments[Effective_Week],40))</f>
        <v/>
      </c>
      <c r="AP41">
        <f>IF(COUNTIF(Material_Detail!$DE:$DE,$A41)&gt;0,IF(ISNUMBER(SEARCH("[済]",INDEX(Material_Detail!$D:$DC,MATCH($A41,Material_Detail!$DE:$DE,0)+1,41))),0,IFERROR(INDEX(Material_Detail!$D:$DC,MATCH($A41,Material_Detail!$DE:$DE,0),41),0)),SUMIFS(T_Shipments[Confirmed_Qty],T_Shipments[Part Name],$A41,T_Shipments[Effective_Week],41))</f>
        <v/>
      </c>
      <c r="AQ41">
        <f>IF(COUNTIF(Material_Detail!$DE:$DE,$A41)&gt;0,IF(ISNUMBER(SEARCH("[済]",INDEX(Material_Detail!$D:$DC,MATCH($A41,Material_Detail!$DE:$DE,0)+1,42))),0,IFERROR(INDEX(Material_Detail!$D:$DC,MATCH($A41,Material_Detail!$DE:$DE,0),42),0)),SUMIFS(T_Shipments[Confirmed_Qty],T_Shipments[Part Name],$A41,T_Shipments[Effective_Week],42))</f>
        <v/>
      </c>
      <c r="AR41">
        <f>IF(COUNTIF(Material_Detail!$DE:$DE,$A41)&gt;0,IF(ISNUMBER(SEARCH("[済]",INDEX(Material_Detail!$D:$DC,MATCH($A41,Material_Detail!$DE:$DE,0)+1,43))),0,IFERROR(INDEX(Material_Detail!$D:$DC,MATCH($A41,Material_Detail!$DE:$DE,0),43),0)),SUMIFS(T_Shipments[Confirmed_Qty],T_Shipments[Part Name],$A41,T_Shipments[Effective_Week],43))</f>
        <v/>
      </c>
      <c r="AS41">
        <f>IF(COUNTIF(Material_Detail!$DE:$DE,$A41)&gt;0,IF(ISNUMBER(SEARCH("[済]",INDEX(Material_Detail!$D:$DC,MATCH($A41,Material_Detail!$DE:$DE,0)+1,44))),0,IFERROR(INDEX(Material_Detail!$D:$DC,MATCH($A41,Material_Detail!$DE:$DE,0),44),0)),SUMIFS(T_Shipments[Confirmed_Qty],T_Shipments[Part Name],$A41,T_Shipments[Effective_Week],44))</f>
        <v/>
      </c>
      <c r="AT41">
        <f>IF(COUNTIF(Material_Detail!$DE:$DE,$A41)&gt;0,IF(ISNUMBER(SEARCH("[済]",INDEX(Material_Detail!$D:$DC,MATCH($A41,Material_Detail!$DE:$DE,0)+1,45))),0,IFERROR(INDEX(Material_Detail!$D:$DC,MATCH($A41,Material_Detail!$DE:$DE,0),45),0)),SUMIFS(T_Shipments[Confirmed_Qty],T_Shipments[Part Name],$A41,T_Shipments[Effective_Week],45))</f>
        <v/>
      </c>
      <c r="AU41">
        <f>IF(COUNTIF(Material_Detail!$DE:$DE,$A41)&gt;0,IF(ISNUMBER(SEARCH("[済]",INDEX(Material_Detail!$D:$DC,MATCH($A41,Material_Detail!$DE:$DE,0)+1,46))),0,IFERROR(INDEX(Material_Detail!$D:$DC,MATCH($A41,Material_Detail!$DE:$DE,0),46),0)),SUMIFS(T_Shipments[Confirmed_Qty],T_Shipments[Part Name],$A41,T_Shipments[Effective_Week],46))</f>
        <v/>
      </c>
      <c r="AV41">
        <f>IF(COUNTIF(Material_Detail!$DE:$DE,$A41)&gt;0,IF(ISNUMBER(SEARCH("[済]",INDEX(Material_Detail!$D:$DC,MATCH($A41,Material_Detail!$DE:$DE,0)+1,47))),0,IFERROR(INDEX(Material_Detail!$D:$DC,MATCH($A41,Material_Detail!$DE:$DE,0),47),0)),SUMIFS(T_Shipments[Confirmed_Qty],T_Shipments[Part Name],$A41,T_Shipments[Effective_Week],47))</f>
        <v/>
      </c>
      <c r="AW41">
        <f>IF(COUNTIF(Material_Detail!$DE:$DE,$A41)&gt;0,IF(ISNUMBER(SEARCH("[済]",INDEX(Material_Detail!$D:$DC,MATCH($A41,Material_Detail!$DE:$DE,0)+1,48))),0,IFERROR(INDEX(Material_Detail!$D:$DC,MATCH($A41,Material_Detail!$DE:$DE,0),48),0)),SUMIFS(T_Shipments[Confirmed_Qty],T_Shipments[Part Name],$A41,T_Shipments[Effective_Week],48))</f>
        <v/>
      </c>
      <c r="AX41">
        <f>IF(COUNTIF(Material_Detail!$DE:$DE,$A41)&gt;0,IF(ISNUMBER(SEARCH("[済]",INDEX(Material_Detail!$D:$DC,MATCH($A41,Material_Detail!$DE:$DE,0)+1,49))),0,IFERROR(INDEX(Material_Detail!$D:$DC,MATCH($A41,Material_Detail!$DE:$DE,0),49),0)),SUMIFS(T_Shipments[Confirmed_Qty],T_Shipments[Part Name],$A41,T_Shipments[Effective_Week],49))</f>
        <v/>
      </c>
      <c r="AY41">
        <f>IF(COUNTIF(Material_Detail!$DE:$DE,$A41)&gt;0,IF(ISNUMBER(SEARCH("[済]",INDEX(Material_Detail!$D:$DC,MATCH($A41,Material_Detail!$DE:$DE,0)+1,50))),0,IFERROR(INDEX(Material_Detail!$D:$DC,MATCH($A41,Material_Detail!$DE:$DE,0),50),0)),SUMIFS(T_Shipments[Confirmed_Qty],T_Shipments[Part Name],$A41,T_Shipments[Effective_Week],50))</f>
        <v/>
      </c>
      <c r="AZ41">
        <f>IF(COUNTIF(Material_Detail!$DE:$DE,$A41)&gt;0,IF(ISNUMBER(SEARCH("[済]",INDEX(Material_Detail!$D:$DC,MATCH($A41,Material_Detail!$DE:$DE,0)+1,51))),0,IFERROR(INDEX(Material_Detail!$D:$DC,MATCH($A41,Material_Detail!$DE:$DE,0),51),0)),SUMIFS(T_Shipments[Confirmed_Qty],T_Shipments[Part Name],$A41,T_Shipments[Effective_Week],51))</f>
        <v/>
      </c>
      <c r="BA41">
        <f>IF(COUNTIF(Material_Detail!$DE:$DE,$A41)&gt;0,IF(ISNUMBER(SEARCH("[済]",INDEX(Material_Detail!$D:$DC,MATCH($A41,Material_Detail!$DE:$DE,0)+1,52))),0,IFERROR(INDEX(Material_Detail!$D:$DC,MATCH($A41,Material_Detail!$DE:$DE,0),52),0)),SUMIFS(T_Shipments[Confirmed_Qty],T_Shipments[Part Name],$A41,T_Shipments[Effective_Week],52))</f>
        <v/>
      </c>
      <c r="BB41">
        <f>IF(COUNTIF(Material_Detail!$DE:$DE,$A41)&gt;0,IF(ISNUMBER(SEARCH("[済]",INDEX(Material_Detail!$D:$DC,MATCH($A41,Material_Detail!$DE:$DE,0)+1,53))),0,IFERROR(INDEX(Material_Detail!$D:$DC,MATCH($A41,Material_Detail!$DE:$DE,0),53),0)),SUMIFS(T_Shipments[Confirmed_Qty],T_Shipments[Part Name],$A41,T_Shipments[Effective_Week],53))</f>
        <v/>
      </c>
      <c r="BC41">
        <f>IF(COUNTIF(Material_Detail!$DE:$DE,$A41)&gt;0,IF(ISNUMBER(SEARCH("[済]",INDEX(Material_Detail!$D:$DC,MATCH($A41,Material_Detail!$DE:$DE,0)+1,54))),0,IFERROR(INDEX(Material_Detail!$D:$DC,MATCH($A41,Material_Detail!$DE:$DE,0),54),0)),SUMIFS(T_Shipments[Confirmed_Qty],T_Shipments[Part Name],$A41,T_Shipments[Effective_Week],54))</f>
        <v/>
      </c>
      <c r="BD41">
        <f>IF(COUNTIF(Material_Detail!$DE:$DE,$A41)&gt;0,IF(ISNUMBER(SEARCH("[済]",INDEX(Material_Detail!$D:$DC,MATCH($A41,Material_Detail!$DE:$DE,0)+1,55))),0,IFERROR(INDEX(Material_Detail!$D:$DC,MATCH($A41,Material_Detail!$DE:$DE,0),55),0)),SUMIFS(T_Shipments[Confirmed_Qty],T_Shipments[Part Name],$A41,T_Shipments[Effective_Week],55))</f>
        <v/>
      </c>
      <c r="BE41">
        <f>IF(COUNTIF(Material_Detail!$DE:$DE,$A41)&gt;0,IF(ISNUMBER(SEARCH("[済]",INDEX(Material_Detail!$D:$DC,MATCH($A41,Material_Detail!$DE:$DE,0)+1,56))),0,IFERROR(INDEX(Material_Detail!$D:$DC,MATCH($A41,Material_Detail!$DE:$DE,0),56),0)),SUMIFS(T_Shipments[Confirmed_Qty],T_Shipments[Part Name],$A41,T_Shipments[Effective_Week],56))</f>
        <v/>
      </c>
      <c r="BF41">
        <f>IF(COUNTIF(Material_Detail!$DE:$DE,$A41)&gt;0,IF(ISNUMBER(SEARCH("[済]",INDEX(Material_Detail!$D:$DC,MATCH($A41,Material_Detail!$DE:$DE,0)+1,57))),0,IFERROR(INDEX(Material_Detail!$D:$DC,MATCH($A41,Material_Detail!$DE:$DE,0),57),0)),SUMIFS(T_Shipments[Confirmed_Qty],T_Shipments[Part Name],$A41,T_Shipments[Effective_Week],57))</f>
        <v/>
      </c>
      <c r="BG41">
        <f>IF(COUNTIF(Material_Detail!$DE:$DE,$A41)&gt;0,IF(ISNUMBER(SEARCH("[済]",INDEX(Material_Detail!$D:$DC,MATCH($A41,Material_Detail!$DE:$DE,0)+1,58))),0,IFERROR(INDEX(Material_Detail!$D:$DC,MATCH($A41,Material_Detail!$DE:$DE,0),58),0)),SUMIFS(T_Shipments[Confirmed_Qty],T_Shipments[Part Name],$A41,T_Shipments[Effective_Week],58))</f>
        <v/>
      </c>
      <c r="BH41">
        <f>IF(COUNTIF(Material_Detail!$DE:$DE,$A41)&gt;0,IF(ISNUMBER(SEARCH("[済]",INDEX(Material_Detail!$D:$DC,MATCH($A41,Material_Detail!$DE:$DE,0)+1,59))),0,IFERROR(INDEX(Material_Detail!$D:$DC,MATCH($A41,Material_Detail!$DE:$DE,0),59),0)),SUMIFS(T_Shipments[Confirmed_Qty],T_Shipments[Part Name],$A41,T_Shipments[Effective_Week],59))</f>
        <v/>
      </c>
      <c r="BI41">
        <f>IF(COUNTIF(Material_Detail!$DE:$DE,$A41)&gt;0,IF(ISNUMBER(SEARCH("[済]",INDEX(Material_Detail!$D:$DC,MATCH($A41,Material_Detail!$DE:$DE,0)+1,60))),0,IFERROR(INDEX(Material_Detail!$D:$DC,MATCH($A41,Material_Detail!$DE:$DE,0),60),0)),SUMIFS(T_Shipments[Confirmed_Qty],T_Shipments[Part Name],$A41,T_Shipments[Effective_Week],60))</f>
        <v/>
      </c>
      <c r="BJ41">
        <f>IF(COUNTIF(Material_Detail!$DE:$DE,$A41)&gt;0,IF(ISNUMBER(SEARCH("[済]",INDEX(Material_Detail!$D:$DC,MATCH($A41,Material_Detail!$DE:$DE,0)+1,61))),0,IFERROR(INDEX(Material_Detail!$D:$DC,MATCH($A41,Material_Detail!$DE:$DE,0),61),0)),SUMIFS(T_Shipments[Confirmed_Qty],T_Shipments[Part Name],$A41,T_Shipments[Effective_Week],61))</f>
        <v/>
      </c>
      <c r="BK41">
        <f>IF(COUNTIF(Material_Detail!$DE:$DE,$A41)&gt;0,IF(ISNUMBER(SEARCH("[済]",INDEX(Material_Detail!$D:$DC,MATCH($A41,Material_Detail!$DE:$DE,0)+1,62))),0,IFERROR(INDEX(Material_Detail!$D:$DC,MATCH($A41,Material_Detail!$DE:$DE,0),62),0)),SUMIFS(T_Shipments[Confirmed_Qty],T_Shipments[Part Name],$A41,T_Shipments[Effective_Week],62))</f>
        <v/>
      </c>
      <c r="BL41">
        <f>IF(COUNTIF(Material_Detail!$DE:$DE,$A41)&gt;0,IF(ISNUMBER(SEARCH("[済]",INDEX(Material_Detail!$D:$DC,MATCH($A41,Material_Detail!$DE:$DE,0)+1,63))),0,IFERROR(INDEX(Material_Detail!$D:$DC,MATCH($A41,Material_Detail!$DE:$DE,0),63),0)),SUMIFS(T_Shipments[Confirmed_Qty],T_Shipments[Part Name],$A41,T_Shipments[Effective_Week],63))</f>
        <v/>
      </c>
      <c r="BM41">
        <f>IF(COUNTIF(Material_Detail!$DE:$DE,$A41)&gt;0,IF(ISNUMBER(SEARCH("[済]",INDEX(Material_Detail!$D:$DC,MATCH($A41,Material_Detail!$DE:$DE,0)+1,64))),0,IFERROR(INDEX(Material_Detail!$D:$DC,MATCH($A41,Material_Detail!$DE:$DE,0),64),0)),SUMIFS(T_Shipments[Confirmed_Qty],T_Shipments[Part Name],$A41,T_Shipments[Effective_Week],64))</f>
        <v/>
      </c>
      <c r="BN41">
        <f>IF(COUNTIF(Material_Detail!$DE:$DE,$A41)&gt;0,IF(ISNUMBER(SEARCH("[済]",INDEX(Material_Detail!$D:$DC,MATCH($A41,Material_Detail!$DE:$DE,0)+1,65))),0,IFERROR(INDEX(Material_Detail!$D:$DC,MATCH($A41,Material_Detail!$DE:$DE,0),65),0)),SUMIFS(T_Shipments[Confirmed_Qty],T_Shipments[Part Name],$A41,T_Shipments[Effective_Week],65))</f>
        <v/>
      </c>
      <c r="BO41">
        <f>IF(COUNTIF(Material_Detail!$DE:$DE,$A41)&gt;0,IF(ISNUMBER(SEARCH("[済]",INDEX(Material_Detail!$D:$DC,MATCH($A41,Material_Detail!$DE:$DE,0)+1,66))),0,IFERROR(INDEX(Material_Detail!$D:$DC,MATCH($A41,Material_Detail!$DE:$DE,0),66),0)),SUMIFS(T_Shipments[Confirmed_Qty],T_Shipments[Part Name],$A41,T_Shipments[Effective_Week],66))</f>
        <v/>
      </c>
      <c r="BP41">
        <f>IF(COUNTIF(Material_Detail!$DE:$DE,$A41)&gt;0,IF(ISNUMBER(SEARCH("[済]",INDEX(Material_Detail!$D:$DC,MATCH($A41,Material_Detail!$DE:$DE,0)+1,67))),0,IFERROR(INDEX(Material_Detail!$D:$DC,MATCH($A41,Material_Detail!$DE:$DE,0),67),0)),SUMIFS(T_Shipments[Confirmed_Qty],T_Shipments[Part Name],$A41,T_Shipments[Effective_Week],67))</f>
        <v/>
      </c>
      <c r="BQ41">
        <f>IF(COUNTIF(Material_Detail!$DE:$DE,$A41)&gt;0,IF(ISNUMBER(SEARCH("[済]",INDEX(Material_Detail!$D:$DC,MATCH($A41,Material_Detail!$DE:$DE,0)+1,68))),0,IFERROR(INDEX(Material_Detail!$D:$DC,MATCH($A41,Material_Detail!$DE:$DE,0),68),0)),SUMIFS(T_Shipments[Confirmed_Qty],T_Shipments[Part Name],$A41,T_Shipments[Effective_Week],68))</f>
        <v/>
      </c>
      <c r="BR41">
        <f>IF(COUNTIF(Material_Detail!$DE:$DE,$A41)&gt;0,IF(ISNUMBER(SEARCH("[済]",INDEX(Material_Detail!$D:$DC,MATCH($A41,Material_Detail!$DE:$DE,0)+1,69))),0,IFERROR(INDEX(Material_Detail!$D:$DC,MATCH($A41,Material_Detail!$DE:$DE,0),69),0)),SUMIFS(T_Shipments[Confirmed_Qty],T_Shipments[Part Name],$A41,T_Shipments[Effective_Week],69))</f>
        <v/>
      </c>
      <c r="BS41">
        <f>IF(COUNTIF(Material_Detail!$DE:$DE,$A41)&gt;0,IF(ISNUMBER(SEARCH("[済]",INDEX(Material_Detail!$D:$DC,MATCH($A41,Material_Detail!$DE:$DE,0)+1,70))),0,IFERROR(INDEX(Material_Detail!$D:$DC,MATCH($A41,Material_Detail!$DE:$DE,0),70),0)),SUMIFS(T_Shipments[Confirmed_Qty],T_Shipments[Part Name],$A41,T_Shipments[Effective_Week],70))</f>
        <v/>
      </c>
      <c r="BT41">
        <f>IF(COUNTIF(Material_Detail!$DE:$DE,$A41)&gt;0,IF(ISNUMBER(SEARCH("[済]",INDEX(Material_Detail!$D:$DC,MATCH($A41,Material_Detail!$DE:$DE,0)+1,71))),0,IFERROR(INDEX(Material_Detail!$D:$DC,MATCH($A41,Material_Detail!$DE:$DE,0),71),0)),SUMIFS(T_Shipments[Confirmed_Qty],T_Shipments[Part Name],$A41,T_Shipments[Effective_Week],71))</f>
        <v/>
      </c>
      <c r="BU41">
        <f>IF(COUNTIF(Material_Detail!$DE:$DE,$A41)&gt;0,IF(ISNUMBER(SEARCH("[済]",INDEX(Material_Detail!$D:$DC,MATCH($A41,Material_Detail!$DE:$DE,0)+1,72))),0,IFERROR(INDEX(Material_Detail!$D:$DC,MATCH($A41,Material_Detail!$DE:$DE,0),72),0)),SUMIFS(T_Shipments[Confirmed_Qty],T_Shipments[Part Name],$A41,T_Shipments[Effective_Week],72))</f>
        <v/>
      </c>
      <c r="BV41">
        <f>IF(COUNTIF(Material_Detail!$DE:$DE,$A41)&gt;0,IF(ISNUMBER(SEARCH("[済]",INDEX(Material_Detail!$D:$DC,MATCH($A41,Material_Detail!$DE:$DE,0)+1,73))),0,IFERROR(INDEX(Material_Detail!$D:$DC,MATCH($A41,Material_Detail!$DE:$DE,0),73),0)),SUMIFS(T_Shipments[Confirmed_Qty],T_Shipments[Part Name],$A41,T_Shipments[Effective_Week],73))</f>
        <v/>
      </c>
      <c r="BW41">
        <f>IF(COUNTIF(Material_Detail!$DE:$DE,$A41)&gt;0,IF(ISNUMBER(SEARCH("[済]",INDEX(Material_Detail!$D:$DC,MATCH($A41,Material_Detail!$DE:$DE,0)+1,74))),0,IFERROR(INDEX(Material_Detail!$D:$DC,MATCH($A41,Material_Detail!$DE:$DE,0),74),0)),SUMIFS(T_Shipments[Confirmed_Qty],T_Shipments[Part Name],$A41,T_Shipments[Effective_Week],74))</f>
        <v/>
      </c>
      <c r="BX41">
        <f>IF(COUNTIF(Material_Detail!$DE:$DE,$A41)&gt;0,IF(ISNUMBER(SEARCH("[済]",INDEX(Material_Detail!$D:$DC,MATCH($A41,Material_Detail!$DE:$DE,0)+1,75))),0,IFERROR(INDEX(Material_Detail!$D:$DC,MATCH($A41,Material_Detail!$DE:$DE,0),75),0)),SUMIFS(T_Shipments[Confirmed_Qty],T_Shipments[Part Name],$A41,T_Shipments[Effective_Week],75))</f>
        <v/>
      </c>
      <c r="BY41">
        <f>IF(COUNTIF(Material_Detail!$DE:$DE,$A41)&gt;0,IF(ISNUMBER(SEARCH("[済]",INDEX(Material_Detail!$D:$DC,MATCH($A41,Material_Detail!$DE:$DE,0)+1,76))),0,IFERROR(INDEX(Material_Detail!$D:$DC,MATCH($A41,Material_Detail!$DE:$DE,0),76),0)),SUMIFS(T_Shipments[Confirmed_Qty],T_Shipments[Part Name],$A41,T_Shipments[Effective_Week],76))</f>
        <v/>
      </c>
      <c r="BZ41">
        <f>IF(COUNTIF(Material_Detail!$DE:$DE,$A41)&gt;0,IF(ISNUMBER(SEARCH("[済]",INDEX(Material_Detail!$D:$DC,MATCH($A41,Material_Detail!$DE:$DE,0)+1,77))),0,IFERROR(INDEX(Material_Detail!$D:$DC,MATCH($A41,Material_Detail!$DE:$DE,0),77),0)),SUMIFS(T_Shipments[Confirmed_Qty],T_Shipments[Part Name],$A41,T_Shipments[Effective_Week],77))</f>
        <v/>
      </c>
      <c r="CA41">
        <f>IF(COUNTIF(Material_Detail!$DE:$DE,$A41)&gt;0,IF(ISNUMBER(SEARCH("[済]",INDEX(Material_Detail!$D:$DC,MATCH($A41,Material_Detail!$DE:$DE,0)+1,78))),0,IFERROR(INDEX(Material_Detail!$D:$DC,MATCH($A41,Material_Detail!$DE:$DE,0),78),0)),SUMIFS(T_Shipments[Confirmed_Qty],T_Shipments[Part Name],$A41,T_Shipments[Effective_Week],78))</f>
        <v/>
      </c>
      <c r="CB41">
        <f>IF(COUNTIF(Material_Detail!$DE:$DE,$A41)&gt;0,IF(ISNUMBER(SEARCH("[済]",INDEX(Material_Detail!$D:$DC,MATCH($A41,Material_Detail!$DE:$DE,0)+1,79))),0,IFERROR(INDEX(Material_Detail!$D:$DC,MATCH($A41,Material_Detail!$DE:$DE,0),79),0)),SUMIFS(T_Shipments[Confirmed_Qty],T_Shipments[Part Name],$A41,T_Shipments[Effective_Week],79))</f>
        <v/>
      </c>
      <c r="CC41">
        <f>IF(COUNTIF(Material_Detail!$DE:$DE,$A41)&gt;0,IF(ISNUMBER(SEARCH("[済]",INDEX(Material_Detail!$D:$DC,MATCH($A41,Material_Detail!$DE:$DE,0)+1,80))),0,IFERROR(INDEX(Material_Detail!$D:$DC,MATCH($A41,Material_Detail!$DE:$DE,0),80),0)),SUMIFS(T_Shipments[Confirmed_Qty],T_Shipments[Part Name],$A41,T_Shipments[Effective_Week],80))</f>
        <v/>
      </c>
      <c r="CD41">
        <f>IF(COUNTIF(Material_Detail!$DE:$DE,$A41)&gt;0,IF(ISNUMBER(SEARCH("[済]",INDEX(Material_Detail!$D:$DC,MATCH($A41,Material_Detail!$DE:$DE,0)+1,81))),0,IFERROR(INDEX(Material_Detail!$D:$DC,MATCH($A41,Material_Detail!$DE:$DE,0),81),0)),SUMIFS(T_Shipments[Confirmed_Qty],T_Shipments[Part Name],$A41,T_Shipments[Effective_Week],81))</f>
        <v/>
      </c>
      <c r="CE41">
        <f>IF(COUNTIF(Material_Detail!$DE:$DE,$A41)&gt;0,IF(ISNUMBER(SEARCH("[済]",INDEX(Material_Detail!$D:$DC,MATCH($A41,Material_Detail!$DE:$DE,0)+1,82))),0,IFERROR(INDEX(Material_Detail!$D:$DC,MATCH($A41,Material_Detail!$DE:$DE,0),82),0)),SUMIFS(T_Shipments[Confirmed_Qty],T_Shipments[Part Name],$A41,T_Shipments[Effective_Week],82))</f>
        <v/>
      </c>
      <c r="CF41">
        <f>IF(COUNTIF(Material_Detail!$DE:$DE,$A41)&gt;0,IF(ISNUMBER(SEARCH("[済]",INDEX(Material_Detail!$D:$DC,MATCH($A41,Material_Detail!$DE:$DE,0)+1,83))),0,IFERROR(INDEX(Material_Detail!$D:$DC,MATCH($A41,Material_Detail!$DE:$DE,0),83),0)),SUMIFS(T_Shipments[Confirmed_Qty],T_Shipments[Part Name],$A41,T_Shipments[Effective_Week],83))</f>
        <v/>
      </c>
      <c r="CG41">
        <f>IF(COUNTIF(Material_Detail!$DE:$DE,$A41)&gt;0,IF(ISNUMBER(SEARCH("[済]",INDEX(Material_Detail!$D:$DC,MATCH($A41,Material_Detail!$DE:$DE,0)+1,84))),0,IFERROR(INDEX(Material_Detail!$D:$DC,MATCH($A41,Material_Detail!$DE:$DE,0),84),0)),SUMIFS(T_Shipments[Confirmed_Qty],T_Shipments[Part Name],$A41,T_Shipments[Effective_Week],84))</f>
        <v/>
      </c>
      <c r="CH41">
        <f>IF(COUNTIF(Material_Detail!$DE:$DE,$A41)&gt;0,IF(ISNUMBER(SEARCH("[済]",INDEX(Material_Detail!$D:$DC,MATCH($A41,Material_Detail!$DE:$DE,0)+1,85))),0,IFERROR(INDEX(Material_Detail!$D:$DC,MATCH($A41,Material_Detail!$DE:$DE,0),85),0)),SUMIFS(T_Shipments[Confirmed_Qty],T_Shipments[Part Name],$A41,T_Shipments[Effective_Week],85))</f>
        <v/>
      </c>
      <c r="CI41">
        <f>IF(COUNTIF(Material_Detail!$DE:$DE,$A41)&gt;0,IF(ISNUMBER(SEARCH("[済]",INDEX(Material_Detail!$D:$DC,MATCH($A41,Material_Detail!$DE:$DE,0)+1,86))),0,IFERROR(INDEX(Material_Detail!$D:$DC,MATCH($A41,Material_Detail!$DE:$DE,0),86),0)),SUMIFS(T_Shipments[Confirmed_Qty],T_Shipments[Part Name],$A41,T_Shipments[Effective_Week],86))</f>
        <v/>
      </c>
      <c r="CJ41">
        <f>IF(COUNTIF(Material_Detail!$DE:$DE,$A41)&gt;0,IF(ISNUMBER(SEARCH("[済]",INDEX(Material_Detail!$D:$DC,MATCH($A41,Material_Detail!$DE:$DE,0)+1,87))),0,IFERROR(INDEX(Material_Detail!$D:$DC,MATCH($A41,Material_Detail!$DE:$DE,0),87),0)),SUMIFS(T_Shipments[Confirmed_Qty],T_Shipments[Part Name],$A41,T_Shipments[Effective_Week],87))</f>
        <v/>
      </c>
      <c r="CK41">
        <f>IF(COUNTIF(Material_Detail!$DE:$DE,$A41)&gt;0,IF(ISNUMBER(SEARCH("[済]",INDEX(Material_Detail!$D:$DC,MATCH($A41,Material_Detail!$DE:$DE,0)+1,88))),0,IFERROR(INDEX(Material_Detail!$D:$DC,MATCH($A41,Material_Detail!$DE:$DE,0),88),0)),SUMIFS(T_Shipments[Confirmed_Qty],T_Shipments[Part Name],$A41,T_Shipments[Effective_Week],88))</f>
        <v/>
      </c>
      <c r="CL41">
        <f>IF(COUNTIF(Material_Detail!$DE:$DE,$A41)&gt;0,IF(ISNUMBER(SEARCH("[済]",INDEX(Material_Detail!$D:$DC,MATCH($A41,Material_Detail!$DE:$DE,0)+1,89))),0,IFERROR(INDEX(Material_Detail!$D:$DC,MATCH($A41,Material_Detail!$DE:$DE,0),89),0)),SUMIFS(T_Shipments[Confirmed_Qty],T_Shipments[Part Name],$A41,T_Shipments[Effective_Week],89))</f>
        <v/>
      </c>
      <c r="CM41">
        <f>IF(COUNTIF(Material_Detail!$DE:$DE,$A41)&gt;0,IF(ISNUMBER(SEARCH("[済]",INDEX(Material_Detail!$D:$DC,MATCH($A41,Material_Detail!$DE:$DE,0)+1,90))),0,IFERROR(INDEX(Material_Detail!$D:$DC,MATCH($A41,Material_Detail!$DE:$DE,0),90),0)),SUMIFS(T_Shipments[Confirmed_Qty],T_Shipments[Part Name],$A41,T_Shipments[Effective_Week],90))</f>
        <v/>
      </c>
      <c r="CN41">
        <f>IF(COUNTIF(Material_Detail!$DE:$DE,$A41)&gt;0,IF(ISNUMBER(SEARCH("[済]",INDEX(Material_Detail!$D:$DC,MATCH($A41,Material_Detail!$DE:$DE,0)+1,91))),0,IFERROR(INDEX(Material_Detail!$D:$DC,MATCH($A41,Material_Detail!$DE:$DE,0),91),0)),SUMIFS(T_Shipments[Confirmed_Qty],T_Shipments[Part Name],$A41,T_Shipments[Effective_Week],91))</f>
        <v/>
      </c>
      <c r="CO41">
        <f>IF(COUNTIF(Material_Detail!$DE:$DE,$A41)&gt;0,IF(ISNUMBER(SEARCH("[済]",INDEX(Material_Detail!$D:$DC,MATCH($A41,Material_Detail!$DE:$DE,0)+1,92))),0,IFERROR(INDEX(Material_Detail!$D:$DC,MATCH($A41,Material_Detail!$DE:$DE,0),92),0)),SUMIFS(T_Shipments[Confirmed_Qty],T_Shipments[Part Name],$A41,T_Shipments[Effective_Week],92))</f>
        <v/>
      </c>
      <c r="CP41">
        <f>IF(COUNTIF(Material_Detail!$DE:$DE,$A41)&gt;0,IF(ISNUMBER(SEARCH("[済]",INDEX(Material_Detail!$D:$DC,MATCH($A41,Material_Detail!$DE:$DE,0)+1,93))),0,IFERROR(INDEX(Material_Detail!$D:$DC,MATCH($A41,Material_Detail!$DE:$DE,0),93),0)),SUMIFS(T_Shipments[Confirmed_Qty],T_Shipments[Part Name],$A41,T_Shipments[Effective_Week],93))</f>
        <v/>
      </c>
      <c r="CQ41">
        <f>IF(COUNTIF(Material_Detail!$DE:$DE,$A41)&gt;0,IF(ISNUMBER(SEARCH("[済]",INDEX(Material_Detail!$D:$DC,MATCH($A41,Material_Detail!$DE:$DE,0)+1,94))),0,IFERROR(INDEX(Material_Detail!$D:$DC,MATCH($A41,Material_Detail!$DE:$DE,0),94),0)),SUMIFS(T_Shipments[Confirmed_Qty],T_Shipments[Part Name],$A41,T_Shipments[Effective_Week],94))</f>
        <v/>
      </c>
      <c r="CR41">
        <f>IF(COUNTIF(Material_Detail!$DE:$DE,$A41)&gt;0,IF(ISNUMBER(SEARCH("[済]",INDEX(Material_Detail!$D:$DC,MATCH($A41,Material_Detail!$DE:$DE,0)+1,95))),0,IFERROR(INDEX(Material_Detail!$D:$DC,MATCH($A41,Material_Detail!$DE:$DE,0),95),0)),SUMIFS(T_Shipments[Confirmed_Qty],T_Shipments[Part Name],$A41,T_Shipments[Effective_Week],95))</f>
        <v/>
      </c>
      <c r="CS41">
        <f>IF(COUNTIF(Material_Detail!$DE:$DE,$A41)&gt;0,IF(ISNUMBER(SEARCH("[済]",INDEX(Material_Detail!$D:$DC,MATCH($A41,Material_Detail!$DE:$DE,0)+1,96))),0,IFERROR(INDEX(Material_Detail!$D:$DC,MATCH($A41,Material_Detail!$DE:$DE,0),96),0)),SUMIFS(T_Shipments[Confirmed_Qty],T_Shipments[Part Name],$A41,T_Shipments[Effective_Week],96))</f>
        <v/>
      </c>
      <c r="CT41">
        <f>IF(COUNTIF(Material_Detail!$DE:$DE,$A41)&gt;0,IF(ISNUMBER(SEARCH("[済]",INDEX(Material_Detail!$D:$DC,MATCH($A41,Material_Detail!$DE:$DE,0)+1,97))),0,IFERROR(INDEX(Material_Detail!$D:$DC,MATCH($A41,Material_Detail!$DE:$DE,0),97),0)),SUMIFS(T_Shipments[Confirmed_Qty],T_Shipments[Part Name],$A41,T_Shipments[Effective_Week],97))</f>
        <v/>
      </c>
      <c r="CU41">
        <f>IF(COUNTIF(Material_Detail!$DE:$DE,$A41)&gt;0,IF(ISNUMBER(SEARCH("[済]",INDEX(Material_Detail!$D:$DC,MATCH($A41,Material_Detail!$DE:$DE,0)+1,98))),0,IFERROR(INDEX(Material_Detail!$D:$DC,MATCH($A41,Material_Detail!$DE:$DE,0),98),0)),SUMIFS(T_Shipments[Confirmed_Qty],T_Shipments[Part Name],$A41,T_Shipments[Effective_Week],98))</f>
        <v/>
      </c>
      <c r="CV41">
        <f>IF(COUNTIF(Material_Detail!$DE:$DE,$A41)&gt;0,IF(ISNUMBER(SEARCH("[済]",INDEX(Material_Detail!$D:$DC,MATCH($A41,Material_Detail!$DE:$DE,0)+1,99))),0,IFERROR(INDEX(Material_Detail!$D:$DC,MATCH($A41,Material_Detail!$DE:$DE,0),99),0)),SUMIFS(T_Shipments[Confirmed_Qty],T_Shipments[Part Name],$A41,T_Shipments[Effective_Week],99))</f>
        <v/>
      </c>
      <c r="CW41">
        <f>IF(COUNTIF(Material_Detail!$DE:$DE,$A41)&gt;0,IF(ISNUMBER(SEARCH("[済]",INDEX(Material_Detail!$D:$DC,MATCH($A41,Material_Detail!$DE:$DE,0)+1,100))),0,IFERROR(INDEX(Material_Detail!$D:$DC,MATCH($A41,Material_Detail!$DE:$DE,0),100),0)),SUMIFS(T_Shipments[Confirmed_Qty],T_Shipments[Part Name],$A41,T_Shipments[Effective_Week],100))</f>
        <v/>
      </c>
      <c r="CX41">
        <f>IF(COUNTIF(Material_Detail!$DE:$DE,$A41)&gt;0,IF(ISNUMBER(SEARCH("[済]",INDEX(Material_Detail!$D:$DC,MATCH($A41,Material_Detail!$DE:$DE,0)+1,101))),0,IFERROR(INDEX(Material_Detail!$D:$DC,MATCH($A41,Material_Detail!$DE:$DE,0),101),0)),SUMIFS(T_Shipments[Confirmed_Qty],T_Shipments[Part Name],$A41,T_Shipments[Effective_Week],101))</f>
        <v/>
      </c>
      <c r="CY41">
        <f>IF(COUNTIF(Material_Detail!$DE:$DE,$A41)&gt;0,IF(ISNUMBER(SEARCH("[済]",INDEX(Material_Detail!$D:$DC,MATCH($A41,Material_Detail!$DE:$DE,0)+1,102))),0,IFERROR(INDEX(Material_Detail!$D:$DC,MATCH($A41,Material_Detail!$DE:$DE,0),102),0)),SUMIFS(T_Shipments[Confirmed_Qty],T_Shipments[Part Name],$A41,T_Shipments[Effective_Week],102))</f>
        <v/>
      </c>
      <c r="CZ41">
        <f>IF(COUNTIF(Material_Detail!$DE:$DE,$A41)&gt;0,IF(ISNUMBER(SEARCH("[済]",INDEX(Material_Detail!$D:$DC,MATCH($A41,Material_Detail!$DE:$DE,0)+1,103))),0,IFERROR(INDEX(Material_Detail!$D:$DC,MATCH($A41,Material_Detail!$DE:$DE,0),103),0)),SUMIFS(T_Shipments[Confirmed_Qty],T_Shipments[Part Name],$A41,T_Shipments[Effective_Week],103))</f>
        <v/>
      </c>
      <c r="DA41">
        <f>IF(COUNTIF(Material_Detail!$DE:$DE,$A41)&gt;0,IF(ISNUMBER(SEARCH("[済]",INDEX(Material_Detail!$D:$DC,MATCH($A41,Material_Detail!$DE:$DE,0)+1,104))),0,IFERROR(INDEX(Material_Detail!$D:$DC,MATCH($A41,Material_Detail!$DE:$DE,0),104),0)),SUMIFS(T_Shipments[Confirmed_Qty],T_Shipments[Part Name],$A41,T_Shipments[Effective_Week],104))</f>
        <v/>
      </c>
    </row>
    <row r="42">
      <c r="A42" t="inlineStr">
        <is>
          <t>CHEM-1730</t>
        </is>
      </c>
      <c r="B42">
        <f>IF(COUNTIF(Material_Detail!$DE:$DE,$A42)&gt;0,IF(ISNUMBER(SEARCH("[済]",INDEX(Material_Detail!$D:$DC,MATCH($A42,Material_Detail!$DE:$DE,0)+1,1))),0,IFERROR(INDEX(Material_Detail!$D:$DC,MATCH($A42,Material_Detail!$DE:$DE,0),1),0)),SUMIFS(T_Shipments[Confirmed_Qty],T_Shipments[Part Name],$A42,T_Shipments[Effective_Week],1))</f>
        <v/>
      </c>
      <c r="C42">
        <f>IF(COUNTIF(Material_Detail!$DE:$DE,$A42)&gt;0,IF(ISNUMBER(SEARCH("[済]",INDEX(Material_Detail!$D:$DC,MATCH($A42,Material_Detail!$DE:$DE,0)+1,2))),0,IFERROR(INDEX(Material_Detail!$D:$DC,MATCH($A42,Material_Detail!$DE:$DE,0),2),0)),SUMIFS(T_Shipments[Confirmed_Qty],T_Shipments[Part Name],$A42,T_Shipments[Effective_Week],2))</f>
        <v/>
      </c>
      <c r="D42">
        <f>IF(COUNTIF(Material_Detail!$DE:$DE,$A42)&gt;0,IF(ISNUMBER(SEARCH("[済]",INDEX(Material_Detail!$D:$DC,MATCH($A42,Material_Detail!$DE:$DE,0)+1,3))),0,IFERROR(INDEX(Material_Detail!$D:$DC,MATCH($A42,Material_Detail!$DE:$DE,0),3),0)),SUMIFS(T_Shipments[Confirmed_Qty],T_Shipments[Part Name],$A42,T_Shipments[Effective_Week],3))</f>
        <v/>
      </c>
      <c r="E42">
        <f>IF(COUNTIF(Material_Detail!$DE:$DE,$A42)&gt;0,IF(ISNUMBER(SEARCH("[済]",INDEX(Material_Detail!$D:$DC,MATCH($A42,Material_Detail!$DE:$DE,0)+1,4))),0,IFERROR(INDEX(Material_Detail!$D:$DC,MATCH($A42,Material_Detail!$DE:$DE,0),4),0)),SUMIFS(T_Shipments[Confirmed_Qty],T_Shipments[Part Name],$A42,T_Shipments[Effective_Week],4))</f>
        <v/>
      </c>
      <c r="F42">
        <f>IF(COUNTIF(Material_Detail!$DE:$DE,$A42)&gt;0,IF(ISNUMBER(SEARCH("[済]",INDEX(Material_Detail!$D:$DC,MATCH($A42,Material_Detail!$DE:$DE,0)+1,5))),0,IFERROR(INDEX(Material_Detail!$D:$DC,MATCH($A42,Material_Detail!$DE:$DE,0),5),0)),SUMIFS(T_Shipments[Confirmed_Qty],T_Shipments[Part Name],$A42,T_Shipments[Effective_Week],5))</f>
        <v/>
      </c>
      <c r="G42">
        <f>IF(COUNTIF(Material_Detail!$DE:$DE,$A42)&gt;0,IF(ISNUMBER(SEARCH("[済]",INDEX(Material_Detail!$D:$DC,MATCH($A42,Material_Detail!$DE:$DE,0)+1,6))),0,IFERROR(INDEX(Material_Detail!$D:$DC,MATCH($A42,Material_Detail!$DE:$DE,0),6),0)),SUMIFS(T_Shipments[Confirmed_Qty],T_Shipments[Part Name],$A42,T_Shipments[Effective_Week],6))</f>
        <v/>
      </c>
      <c r="H42">
        <f>IF(COUNTIF(Material_Detail!$DE:$DE,$A42)&gt;0,IF(ISNUMBER(SEARCH("[済]",INDEX(Material_Detail!$D:$DC,MATCH($A42,Material_Detail!$DE:$DE,0)+1,7))),0,IFERROR(INDEX(Material_Detail!$D:$DC,MATCH($A42,Material_Detail!$DE:$DE,0),7),0)),SUMIFS(T_Shipments[Confirmed_Qty],T_Shipments[Part Name],$A42,T_Shipments[Effective_Week],7))</f>
        <v/>
      </c>
      <c r="I42">
        <f>IF(COUNTIF(Material_Detail!$DE:$DE,$A42)&gt;0,IF(ISNUMBER(SEARCH("[済]",INDEX(Material_Detail!$D:$DC,MATCH($A42,Material_Detail!$DE:$DE,0)+1,8))),0,IFERROR(INDEX(Material_Detail!$D:$DC,MATCH($A42,Material_Detail!$DE:$DE,0),8),0)),SUMIFS(T_Shipments[Confirmed_Qty],T_Shipments[Part Name],$A42,T_Shipments[Effective_Week],8))</f>
        <v/>
      </c>
      <c r="J42">
        <f>IF(COUNTIF(Material_Detail!$DE:$DE,$A42)&gt;0,IF(ISNUMBER(SEARCH("[済]",INDEX(Material_Detail!$D:$DC,MATCH($A42,Material_Detail!$DE:$DE,0)+1,9))),0,IFERROR(INDEX(Material_Detail!$D:$DC,MATCH($A42,Material_Detail!$DE:$DE,0),9),0)),SUMIFS(T_Shipments[Confirmed_Qty],T_Shipments[Part Name],$A42,T_Shipments[Effective_Week],9))</f>
        <v/>
      </c>
      <c r="K42">
        <f>IF(COUNTIF(Material_Detail!$DE:$DE,$A42)&gt;0,IF(ISNUMBER(SEARCH("[済]",INDEX(Material_Detail!$D:$DC,MATCH($A42,Material_Detail!$DE:$DE,0)+1,10))),0,IFERROR(INDEX(Material_Detail!$D:$DC,MATCH($A42,Material_Detail!$DE:$DE,0),10),0)),SUMIFS(T_Shipments[Confirmed_Qty],T_Shipments[Part Name],$A42,T_Shipments[Effective_Week],10))</f>
        <v/>
      </c>
      <c r="L42">
        <f>IF(COUNTIF(Material_Detail!$DE:$DE,$A42)&gt;0,IF(ISNUMBER(SEARCH("[済]",INDEX(Material_Detail!$D:$DC,MATCH($A42,Material_Detail!$DE:$DE,0)+1,11))),0,IFERROR(INDEX(Material_Detail!$D:$DC,MATCH($A42,Material_Detail!$DE:$DE,0),11),0)),SUMIFS(T_Shipments[Confirmed_Qty],T_Shipments[Part Name],$A42,T_Shipments[Effective_Week],11))</f>
        <v/>
      </c>
      <c r="M42">
        <f>IF(COUNTIF(Material_Detail!$DE:$DE,$A42)&gt;0,IF(ISNUMBER(SEARCH("[済]",INDEX(Material_Detail!$D:$DC,MATCH($A42,Material_Detail!$DE:$DE,0)+1,12))),0,IFERROR(INDEX(Material_Detail!$D:$DC,MATCH($A42,Material_Detail!$DE:$DE,0),12),0)),SUMIFS(T_Shipments[Confirmed_Qty],T_Shipments[Part Name],$A42,T_Shipments[Effective_Week],12))</f>
        <v/>
      </c>
      <c r="N42">
        <f>IF(COUNTIF(Material_Detail!$DE:$DE,$A42)&gt;0,IF(ISNUMBER(SEARCH("[済]",INDEX(Material_Detail!$D:$DC,MATCH($A42,Material_Detail!$DE:$DE,0)+1,13))),0,IFERROR(INDEX(Material_Detail!$D:$DC,MATCH($A42,Material_Detail!$DE:$DE,0),13),0)),SUMIFS(T_Shipments[Confirmed_Qty],T_Shipments[Part Name],$A42,T_Shipments[Effective_Week],13))</f>
        <v/>
      </c>
      <c r="O42">
        <f>IF(COUNTIF(Material_Detail!$DE:$DE,$A42)&gt;0,IF(ISNUMBER(SEARCH("[済]",INDEX(Material_Detail!$D:$DC,MATCH($A42,Material_Detail!$DE:$DE,0)+1,14))),0,IFERROR(INDEX(Material_Detail!$D:$DC,MATCH($A42,Material_Detail!$DE:$DE,0),14),0)),SUMIFS(T_Shipments[Confirmed_Qty],T_Shipments[Part Name],$A42,T_Shipments[Effective_Week],14))</f>
        <v/>
      </c>
      <c r="P42">
        <f>IF(COUNTIF(Material_Detail!$DE:$DE,$A42)&gt;0,IF(ISNUMBER(SEARCH("[済]",INDEX(Material_Detail!$D:$DC,MATCH($A42,Material_Detail!$DE:$DE,0)+1,15))),0,IFERROR(INDEX(Material_Detail!$D:$DC,MATCH($A42,Material_Detail!$DE:$DE,0),15),0)),SUMIFS(T_Shipments[Confirmed_Qty],T_Shipments[Part Name],$A42,T_Shipments[Effective_Week],15))</f>
        <v/>
      </c>
      <c r="Q42">
        <f>IF(COUNTIF(Material_Detail!$DE:$DE,$A42)&gt;0,IF(ISNUMBER(SEARCH("[済]",INDEX(Material_Detail!$D:$DC,MATCH($A42,Material_Detail!$DE:$DE,0)+1,16))),0,IFERROR(INDEX(Material_Detail!$D:$DC,MATCH($A42,Material_Detail!$DE:$DE,0),16),0)),SUMIFS(T_Shipments[Confirmed_Qty],T_Shipments[Part Name],$A42,T_Shipments[Effective_Week],16))</f>
        <v/>
      </c>
      <c r="R42">
        <f>IF(COUNTIF(Material_Detail!$DE:$DE,$A42)&gt;0,IF(ISNUMBER(SEARCH("[済]",INDEX(Material_Detail!$D:$DC,MATCH($A42,Material_Detail!$DE:$DE,0)+1,17))),0,IFERROR(INDEX(Material_Detail!$D:$DC,MATCH($A42,Material_Detail!$DE:$DE,0),17),0)),SUMIFS(T_Shipments[Confirmed_Qty],T_Shipments[Part Name],$A42,T_Shipments[Effective_Week],17))</f>
        <v/>
      </c>
      <c r="S42">
        <f>IF(COUNTIF(Material_Detail!$DE:$DE,$A42)&gt;0,IF(ISNUMBER(SEARCH("[済]",INDEX(Material_Detail!$D:$DC,MATCH($A42,Material_Detail!$DE:$DE,0)+1,18))),0,IFERROR(INDEX(Material_Detail!$D:$DC,MATCH($A42,Material_Detail!$DE:$DE,0),18),0)),SUMIFS(T_Shipments[Confirmed_Qty],T_Shipments[Part Name],$A42,T_Shipments[Effective_Week],18))</f>
        <v/>
      </c>
      <c r="T42">
        <f>IF(COUNTIF(Material_Detail!$DE:$DE,$A42)&gt;0,IF(ISNUMBER(SEARCH("[済]",INDEX(Material_Detail!$D:$DC,MATCH($A42,Material_Detail!$DE:$DE,0)+1,19))),0,IFERROR(INDEX(Material_Detail!$D:$DC,MATCH($A42,Material_Detail!$DE:$DE,0),19),0)),SUMIFS(T_Shipments[Confirmed_Qty],T_Shipments[Part Name],$A42,T_Shipments[Effective_Week],19))</f>
        <v/>
      </c>
      <c r="U42">
        <f>IF(COUNTIF(Material_Detail!$DE:$DE,$A42)&gt;0,IF(ISNUMBER(SEARCH("[済]",INDEX(Material_Detail!$D:$DC,MATCH($A42,Material_Detail!$DE:$DE,0)+1,20))),0,IFERROR(INDEX(Material_Detail!$D:$DC,MATCH($A42,Material_Detail!$DE:$DE,0),20),0)),SUMIFS(T_Shipments[Confirmed_Qty],T_Shipments[Part Name],$A42,T_Shipments[Effective_Week],20))</f>
        <v/>
      </c>
      <c r="V42">
        <f>IF(COUNTIF(Material_Detail!$DE:$DE,$A42)&gt;0,IF(ISNUMBER(SEARCH("[済]",INDEX(Material_Detail!$D:$DC,MATCH($A42,Material_Detail!$DE:$DE,0)+1,21))),0,IFERROR(INDEX(Material_Detail!$D:$DC,MATCH($A42,Material_Detail!$DE:$DE,0),21),0)),SUMIFS(T_Shipments[Confirmed_Qty],T_Shipments[Part Name],$A42,T_Shipments[Effective_Week],21))</f>
        <v/>
      </c>
      <c r="W42">
        <f>IF(COUNTIF(Material_Detail!$DE:$DE,$A42)&gt;0,IF(ISNUMBER(SEARCH("[済]",INDEX(Material_Detail!$D:$DC,MATCH($A42,Material_Detail!$DE:$DE,0)+1,22))),0,IFERROR(INDEX(Material_Detail!$D:$DC,MATCH($A42,Material_Detail!$DE:$DE,0),22),0)),SUMIFS(T_Shipments[Confirmed_Qty],T_Shipments[Part Name],$A42,T_Shipments[Effective_Week],22))</f>
        <v/>
      </c>
      <c r="X42">
        <f>IF(COUNTIF(Material_Detail!$DE:$DE,$A42)&gt;0,IF(ISNUMBER(SEARCH("[済]",INDEX(Material_Detail!$D:$DC,MATCH($A42,Material_Detail!$DE:$DE,0)+1,23))),0,IFERROR(INDEX(Material_Detail!$D:$DC,MATCH($A42,Material_Detail!$DE:$DE,0),23),0)),SUMIFS(T_Shipments[Confirmed_Qty],T_Shipments[Part Name],$A42,T_Shipments[Effective_Week],23))</f>
        <v/>
      </c>
      <c r="Y42">
        <f>IF(COUNTIF(Material_Detail!$DE:$DE,$A42)&gt;0,IF(ISNUMBER(SEARCH("[済]",INDEX(Material_Detail!$D:$DC,MATCH($A42,Material_Detail!$DE:$DE,0)+1,24))),0,IFERROR(INDEX(Material_Detail!$D:$DC,MATCH($A42,Material_Detail!$DE:$DE,0),24),0)),SUMIFS(T_Shipments[Confirmed_Qty],T_Shipments[Part Name],$A42,T_Shipments[Effective_Week],24))</f>
        <v/>
      </c>
      <c r="Z42">
        <f>IF(COUNTIF(Material_Detail!$DE:$DE,$A42)&gt;0,IF(ISNUMBER(SEARCH("[済]",INDEX(Material_Detail!$D:$DC,MATCH($A42,Material_Detail!$DE:$DE,0)+1,25))),0,IFERROR(INDEX(Material_Detail!$D:$DC,MATCH($A42,Material_Detail!$DE:$DE,0),25),0)),SUMIFS(T_Shipments[Confirmed_Qty],T_Shipments[Part Name],$A42,T_Shipments[Effective_Week],25))</f>
        <v/>
      </c>
      <c r="AA42">
        <f>IF(COUNTIF(Material_Detail!$DE:$DE,$A42)&gt;0,IF(ISNUMBER(SEARCH("[済]",INDEX(Material_Detail!$D:$DC,MATCH($A42,Material_Detail!$DE:$DE,0)+1,26))),0,IFERROR(INDEX(Material_Detail!$D:$DC,MATCH($A42,Material_Detail!$DE:$DE,0),26),0)),SUMIFS(T_Shipments[Confirmed_Qty],T_Shipments[Part Name],$A42,T_Shipments[Effective_Week],26))</f>
        <v/>
      </c>
      <c r="AB42">
        <f>IF(COUNTIF(Material_Detail!$DE:$DE,$A42)&gt;0,IF(ISNUMBER(SEARCH("[済]",INDEX(Material_Detail!$D:$DC,MATCH($A42,Material_Detail!$DE:$DE,0)+1,27))),0,IFERROR(INDEX(Material_Detail!$D:$DC,MATCH($A42,Material_Detail!$DE:$DE,0),27),0)),SUMIFS(T_Shipments[Confirmed_Qty],T_Shipments[Part Name],$A42,T_Shipments[Effective_Week],27))</f>
        <v/>
      </c>
      <c r="AC42">
        <f>IF(COUNTIF(Material_Detail!$DE:$DE,$A42)&gt;0,IF(ISNUMBER(SEARCH("[済]",INDEX(Material_Detail!$D:$DC,MATCH($A42,Material_Detail!$DE:$DE,0)+1,28))),0,IFERROR(INDEX(Material_Detail!$D:$DC,MATCH($A42,Material_Detail!$DE:$DE,0),28),0)),SUMIFS(T_Shipments[Confirmed_Qty],T_Shipments[Part Name],$A42,T_Shipments[Effective_Week],28))</f>
        <v/>
      </c>
      <c r="AD42">
        <f>IF(COUNTIF(Material_Detail!$DE:$DE,$A42)&gt;0,IF(ISNUMBER(SEARCH("[済]",INDEX(Material_Detail!$D:$DC,MATCH($A42,Material_Detail!$DE:$DE,0)+1,29))),0,IFERROR(INDEX(Material_Detail!$D:$DC,MATCH($A42,Material_Detail!$DE:$DE,0),29),0)),SUMIFS(T_Shipments[Confirmed_Qty],T_Shipments[Part Name],$A42,T_Shipments[Effective_Week],29))</f>
        <v/>
      </c>
      <c r="AE42">
        <f>IF(COUNTIF(Material_Detail!$DE:$DE,$A42)&gt;0,IF(ISNUMBER(SEARCH("[済]",INDEX(Material_Detail!$D:$DC,MATCH($A42,Material_Detail!$DE:$DE,0)+1,30))),0,IFERROR(INDEX(Material_Detail!$D:$DC,MATCH($A42,Material_Detail!$DE:$DE,0),30),0)),SUMIFS(T_Shipments[Confirmed_Qty],T_Shipments[Part Name],$A42,T_Shipments[Effective_Week],30))</f>
        <v/>
      </c>
      <c r="AF42">
        <f>IF(COUNTIF(Material_Detail!$DE:$DE,$A42)&gt;0,IF(ISNUMBER(SEARCH("[済]",INDEX(Material_Detail!$D:$DC,MATCH($A42,Material_Detail!$DE:$DE,0)+1,31))),0,IFERROR(INDEX(Material_Detail!$D:$DC,MATCH($A42,Material_Detail!$DE:$DE,0),31),0)),SUMIFS(T_Shipments[Confirmed_Qty],T_Shipments[Part Name],$A42,T_Shipments[Effective_Week],31))</f>
        <v/>
      </c>
      <c r="AG42">
        <f>IF(COUNTIF(Material_Detail!$DE:$DE,$A42)&gt;0,IF(ISNUMBER(SEARCH("[済]",INDEX(Material_Detail!$D:$DC,MATCH($A42,Material_Detail!$DE:$DE,0)+1,32))),0,IFERROR(INDEX(Material_Detail!$D:$DC,MATCH($A42,Material_Detail!$DE:$DE,0),32),0)),SUMIFS(T_Shipments[Confirmed_Qty],T_Shipments[Part Name],$A42,T_Shipments[Effective_Week],32))</f>
        <v/>
      </c>
      <c r="AH42">
        <f>IF(COUNTIF(Material_Detail!$DE:$DE,$A42)&gt;0,IF(ISNUMBER(SEARCH("[済]",INDEX(Material_Detail!$D:$DC,MATCH($A42,Material_Detail!$DE:$DE,0)+1,33))),0,IFERROR(INDEX(Material_Detail!$D:$DC,MATCH($A42,Material_Detail!$DE:$DE,0),33),0)),SUMIFS(T_Shipments[Confirmed_Qty],T_Shipments[Part Name],$A42,T_Shipments[Effective_Week],33))</f>
        <v/>
      </c>
      <c r="AI42">
        <f>IF(COUNTIF(Material_Detail!$DE:$DE,$A42)&gt;0,IF(ISNUMBER(SEARCH("[済]",INDEX(Material_Detail!$D:$DC,MATCH($A42,Material_Detail!$DE:$DE,0)+1,34))),0,IFERROR(INDEX(Material_Detail!$D:$DC,MATCH($A42,Material_Detail!$DE:$DE,0),34),0)),SUMIFS(T_Shipments[Confirmed_Qty],T_Shipments[Part Name],$A42,T_Shipments[Effective_Week],34))</f>
        <v/>
      </c>
      <c r="AJ42">
        <f>IF(COUNTIF(Material_Detail!$DE:$DE,$A42)&gt;0,IF(ISNUMBER(SEARCH("[済]",INDEX(Material_Detail!$D:$DC,MATCH($A42,Material_Detail!$DE:$DE,0)+1,35))),0,IFERROR(INDEX(Material_Detail!$D:$DC,MATCH($A42,Material_Detail!$DE:$DE,0),35),0)),SUMIFS(T_Shipments[Confirmed_Qty],T_Shipments[Part Name],$A42,T_Shipments[Effective_Week],35))</f>
        <v/>
      </c>
      <c r="AK42">
        <f>IF(COUNTIF(Material_Detail!$DE:$DE,$A42)&gt;0,IF(ISNUMBER(SEARCH("[済]",INDEX(Material_Detail!$D:$DC,MATCH($A42,Material_Detail!$DE:$DE,0)+1,36))),0,IFERROR(INDEX(Material_Detail!$D:$DC,MATCH($A42,Material_Detail!$DE:$DE,0),36),0)),SUMIFS(T_Shipments[Confirmed_Qty],T_Shipments[Part Name],$A42,T_Shipments[Effective_Week],36))</f>
        <v/>
      </c>
      <c r="AL42">
        <f>IF(COUNTIF(Material_Detail!$DE:$DE,$A42)&gt;0,IF(ISNUMBER(SEARCH("[済]",INDEX(Material_Detail!$D:$DC,MATCH($A42,Material_Detail!$DE:$DE,0)+1,37))),0,IFERROR(INDEX(Material_Detail!$D:$DC,MATCH($A42,Material_Detail!$DE:$DE,0),37),0)),SUMIFS(T_Shipments[Confirmed_Qty],T_Shipments[Part Name],$A42,T_Shipments[Effective_Week],37))</f>
        <v/>
      </c>
      <c r="AM42">
        <f>IF(COUNTIF(Material_Detail!$DE:$DE,$A42)&gt;0,IF(ISNUMBER(SEARCH("[済]",INDEX(Material_Detail!$D:$DC,MATCH($A42,Material_Detail!$DE:$DE,0)+1,38))),0,IFERROR(INDEX(Material_Detail!$D:$DC,MATCH($A42,Material_Detail!$DE:$DE,0),38),0)),SUMIFS(T_Shipments[Confirmed_Qty],T_Shipments[Part Name],$A42,T_Shipments[Effective_Week],38))</f>
        <v/>
      </c>
      <c r="AN42">
        <f>IF(COUNTIF(Material_Detail!$DE:$DE,$A42)&gt;0,IF(ISNUMBER(SEARCH("[済]",INDEX(Material_Detail!$D:$DC,MATCH($A42,Material_Detail!$DE:$DE,0)+1,39))),0,IFERROR(INDEX(Material_Detail!$D:$DC,MATCH($A42,Material_Detail!$DE:$DE,0),39),0)),SUMIFS(T_Shipments[Confirmed_Qty],T_Shipments[Part Name],$A42,T_Shipments[Effective_Week],39))</f>
        <v/>
      </c>
      <c r="AO42">
        <f>IF(COUNTIF(Material_Detail!$DE:$DE,$A42)&gt;0,IF(ISNUMBER(SEARCH("[済]",INDEX(Material_Detail!$D:$DC,MATCH($A42,Material_Detail!$DE:$DE,0)+1,40))),0,IFERROR(INDEX(Material_Detail!$D:$DC,MATCH($A42,Material_Detail!$DE:$DE,0),40),0)),SUMIFS(T_Shipments[Confirmed_Qty],T_Shipments[Part Name],$A42,T_Shipments[Effective_Week],40))</f>
        <v/>
      </c>
      <c r="AP42">
        <f>IF(COUNTIF(Material_Detail!$DE:$DE,$A42)&gt;0,IF(ISNUMBER(SEARCH("[済]",INDEX(Material_Detail!$D:$DC,MATCH($A42,Material_Detail!$DE:$DE,0)+1,41))),0,IFERROR(INDEX(Material_Detail!$D:$DC,MATCH($A42,Material_Detail!$DE:$DE,0),41),0)),SUMIFS(T_Shipments[Confirmed_Qty],T_Shipments[Part Name],$A42,T_Shipments[Effective_Week],41))</f>
        <v/>
      </c>
      <c r="AQ42">
        <f>IF(COUNTIF(Material_Detail!$DE:$DE,$A42)&gt;0,IF(ISNUMBER(SEARCH("[済]",INDEX(Material_Detail!$D:$DC,MATCH($A42,Material_Detail!$DE:$DE,0)+1,42))),0,IFERROR(INDEX(Material_Detail!$D:$DC,MATCH($A42,Material_Detail!$DE:$DE,0),42),0)),SUMIFS(T_Shipments[Confirmed_Qty],T_Shipments[Part Name],$A42,T_Shipments[Effective_Week],42))</f>
        <v/>
      </c>
      <c r="AR42">
        <f>IF(COUNTIF(Material_Detail!$DE:$DE,$A42)&gt;0,IF(ISNUMBER(SEARCH("[済]",INDEX(Material_Detail!$D:$DC,MATCH($A42,Material_Detail!$DE:$DE,0)+1,43))),0,IFERROR(INDEX(Material_Detail!$D:$DC,MATCH($A42,Material_Detail!$DE:$DE,0),43),0)),SUMIFS(T_Shipments[Confirmed_Qty],T_Shipments[Part Name],$A42,T_Shipments[Effective_Week],43))</f>
        <v/>
      </c>
      <c r="AS42">
        <f>IF(COUNTIF(Material_Detail!$DE:$DE,$A42)&gt;0,IF(ISNUMBER(SEARCH("[済]",INDEX(Material_Detail!$D:$DC,MATCH($A42,Material_Detail!$DE:$DE,0)+1,44))),0,IFERROR(INDEX(Material_Detail!$D:$DC,MATCH($A42,Material_Detail!$DE:$DE,0),44),0)),SUMIFS(T_Shipments[Confirmed_Qty],T_Shipments[Part Name],$A42,T_Shipments[Effective_Week],44))</f>
        <v/>
      </c>
      <c r="AT42">
        <f>IF(COUNTIF(Material_Detail!$DE:$DE,$A42)&gt;0,IF(ISNUMBER(SEARCH("[済]",INDEX(Material_Detail!$D:$DC,MATCH($A42,Material_Detail!$DE:$DE,0)+1,45))),0,IFERROR(INDEX(Material_Detail!$D:$DC,MATCH($A42,Material_Detail!$DE:$DE,0),45),0)),SUMIFS(T_Shipments[Confirmed_Qty],T_Shipments[Part Name],$A42,T_Shipments[Effective_Week],45))</f>
        <v/>
      </c>
      <c r="AU42">
        <f>IF(COUNTIF(Material_Detail!$DE:$DE,$A42)&gt;0,IF(ISNUMBER(SEARCH("[済]",INDEX(Material_Detail!$D:$DC,MATCH($A42,Material_Detail!$DE:$DE,0)+1,46))),0,IFERROR(INDEX(Material_Detail!$D:$DC,MATCH($A42,Material_Detail!$DE:$DE,0),46),0)),SUMIFS(T_Shipments[Confirmed_Qty],T_Shipments[Part Name],$A42,T_Shipments[Effective_Week],46))</f>
        <v/>
      </c>
      <c r="AV42">
        <f>IF(COUNTIF(Material_Detail!$DE:$DE,$A42)&gt;0,IF(ISNUMBER(SEARCH("[済]",INDEX(Material_Detail!$D:$DC,MATCH($A42,Material_Detail!$DE:$DE,0)+1,47))),0,IFERROR(INDEX(Material_Detail!$D:$DC,MATCH($A42,Material_Detail!$DE:$DE,0),47),0)),SUMIFS(T_Shipments[Confirmed_Qty],T_Shipments[Part Name],$A42,T_Shipments[Effective_Week],47))</f>
        <v/>
      </c>
      <c r="AW42">
        <f>IF(COUNTIF(Material_Detail!$DE:$DE,$A42)&gt;0,IF(ISNUMBER(SEARCH("[済]",INDEX(Material_Detail!$D:$DC,MATCH($A42,Material_Detail!$DE:$DE,0)+1,48))),0,IFERROR(INDEX(Material_Detail!$D:$DC,MATCH($A42,Material_Detail!$DE:$DE,0),48),0)),SUMIFS(T_Shipments[Confirmed_Qty],T_Shipments[Part Name],$A42,T_Shipments[Effective_Week],48))</f>
        <v/>
      </c>
      <c r="AX42">
        <f>IF(COUNTIF(Material_Detail!$DE:$DE,$A42)&gt;0,IF(ISNUMBER(SEARCH("[済]",INDEX(Material_Detail!$D:$DC,MATCH($A42,Material_Detail!$DE:$DE,0)+1,49))),0,IFERROR(INDEX(Material_Detail!$D:$DC,MATCH($A42,Material_Detail!$DE:$DE,0),49),0)),SUMIFS(T_Shipments[Confirmed_Qty],T_Shipments[Part Name],$A42,T_Shipments[Effective_Week],49))</f>
        <v/>
      </c>
      <c r="AY42">
        <f>IF(COUNTIF(Material_Detail!$DE:$DE,$A42)&gt;0,IF(ISNUMBER(SEARCH("[済]",INDEX(Material_Detail!$D:$DC,MATCH($A42,Material_Detail!$DE:$DE,0)+1,50))),0,IFERROR(INDEX(Material_Detail!$D:$DC,MATCH($A42,Material_Detail!$DE:$DE,0),50),0)),SUMIFS(T_Shipments[Confirmed_Qty],T_Shipments[Part Name],$A42,T_Shipments[Effective_Week],50))</f>
        <v/>
      </c>
      <c r="AZ42">
        <f>IF(COUNTIF(Material_Detail!$DE:$DE,$A42)&gt;0,IF(ISNUMBER(SEARCH("[済]",INDEX(Material_Detail!$D:$DC,MATCH($A42,Material_Detail!$DE:$DE,0)+1,51))),0,IFERROR(INDEX(Material_Detail!$D:$DC,MATCH($A42,Material_Detail!$DE:$DE,0),51),0)),SUMIFS(T_Shipments[Confirmed_Qty],T_Shipments[Part Name],$A42,T_Shipments[Effective_Week],51))</f>
        <v/>
      </c>
      <c r="BA42">
        <f>IF(COUNTIF(Material_Detail!$DE:$DE,$A42)&gt;0,IF(ISNUMBER(SEARCH("[済]",INDEX(Material_Detail!$D:$DC,MATCH($A42,Material_Detail!$DE:$DE,0)+1,52))),0,IFERROR(INDEX(Material_Detail!$D:$DC,MATCH($A42,Material_Detail!$DE:$DE,0),52),0)),SUMIFS(T_Shipments[Confirmed_Qty],T_Shipments[Part Name],$A42,T_Shipments[Effective_Week],52))</f>
        <v/>
      </c>
      <c r="BB42">
        <f>IF(COUNTIF(Material_Detail!$DE:$DE,$A42)&gt;0,IF(ISNUMBER(SEARCH("[済]",INDEX(Material_Detail!$D:$DC,MATCH($A42,Material_Detail!$DE:$DE,0)+1,53))),0,IFERROR(INDEX(Material_Detail!$D:$DC,MATCH($A42,Material_Detail!$DE:$DE,0),53),0)),SUMIFS(T_Shipments[Confirmed_Qty],T_Shipments[Part Name],$A42,T_Shipments[Effective_Week],53))</f>
        <v/>
      </c>
      <c r="BC42">
        <f>IF(COUNTIF(Material_Detail!$DE:$DE,$A42)&gt;0,IF(ISNUMBER(SEARCH("[済]",INDEX(Material_Detail!$D:$DC,MATCH($A42,Material_Detail!$DE:$DE,0)+1,54))),0,IFERROR(INDEX(Material_Detail!$D:$DC,MATCH($A42,Material_Detail!$DE:$DE,0),54),0)),SUMIFS(T_Shipments[Confirmed_Qty],T_Shipments[Part Name],$A42,T_Shipments[Effective_Week],54))</f>
        <v/>
      </c>
      <c r="BD42">
        <f>IF(COUNTIF(Material_Detail!$DE:$DE,$A42)&gt;0,IF(ISNUMBER(SEARCH("[済]",INDEX(Material_Detail!$D:$DC,MATCH($A42,Material_Detail!$DE:$DE,0)+1,55))),0,IFERROR(INDEX(Material_Detail!$D:$DC,MATCH($A42,Material_Detail!$DE:$DE,0),55),0)),SUMIFS(T_Shipments[Confirmed_Qty],T_Shipments[Part Name],$A42,T_Shipments[Effective_Week],55))</f>
        <v/>
      </c>
      <c r="BE42">
        <f>IF(COUNTIF(Material_Detail!$DE:$DE,$A42)&gt;0,IF(ISNUMBER(SEARCH("[済]",INDEX(Material_Detail!$D:$DC,MATCH($A42,Material_Detail!$DE:$DE,0)+1,56))),0,IFERROR(INDEX(Material_Detail!$D:$DC,MATCH($A42,Material_Detail!$DE:$DE,0),56),0)),SUMIFS(T_Shipments[Confirmed_Qty],T_Shipments[Part Name],$A42,T_Shipments[Effective_Week],56))</f>
        <v/>
      </c>
      <c r="BF42">
        <f>IF(COUNTIF(Material_Detail!$DE:$DE,$A42)&gt;0,IF(ISNUMBER(SEARCH("[済]",INDEX(Material_Detail!$D:$DC,MATCH($A42,Material_Detail!$DE:$DE,0)+1,57))),0,IFERROR(INDEX(Material_Detail!$D:$DC,MATCH($A42,Material_Detail!$DE:$DE,0),57),0)),SUMIFS(T_Shipments[Confirmed_Qty],T_Shipments[Part Name],$A42,T_Shipments[Effective_Week],57))</f>
        <v/>
      </c>
      <c r="BG42">
        <f>IF(COUNTIF(Material_Detail!$DE:$DE,$A42)&gt;0,IF(ISNUMBER(SEARCH("[済]",INDEX(Material_Detail!$D:$DC,MATCH($A42,Material_Detail!$DE:$DE,0)+1,58))),0,IFERROR(INDEX(Material_Detail!$D:$DC,MATCH($A42,Material_Detail!$DE:$DE,0),58),0)),SUMIFS(T_Shipments[Confirmed_Qty],T_Shipments[Part Name],$A42,T_Shipments[Effective_Week],58))</f>
        <v/>
      </c>
      <c r="BH42">
        <f>IF(COUNTIF(Material_Detail!$DE:$DE,$A42)&gt;0,IF(ISNUMBER(SEARCH("[済]",INDEX(Material_Detail!$D:$DC,MATCH($A42,Material_Detail!$DE:$DE,0)+1,59))),0,IFERROR(INDEX(Material_Detail!$D:$DC,MATCH($A42,Material_Detail!$DE:$DE,0),59),0)),SUMIFS(T_Shipments[Confirmed_Qty],T_Shipments[Part Name],$A42,T_Shipments[Effective_Week],59))</f>
        <v/>
      </c>
      <c r="BI42">
        <f>IF(COUNTIF(Material_Detail!$DE:$DE,$A42)&gt;0,IF(ISNUMBER(SEARCH("[済]",INDEX(Material_Detail!$D:$DC,MATCH($A42,Material_Detail!$DE:$DE,0)+1,60))),0,IFERROR(INDEX(Material_Detail!$D:$DC,MATCH($A42,Material_Detail!$DE:$DE,0),60),0)),SUMIFS(T_Shipments[Confirmed_Qty],T_Shipments[Part Name],$A42,T_Shipments[Effective_Week],60))</f>
        <v/>
      </c>
      <c r="BJ42">
        <f>IF(COUNTIF(Material_Detail!$DE:$DE,$A42)&gt;0,IF(ISNUMBER(SEARCH("[済]",INDEX(Material_Detail!$D:$DC,MATCH($A42,Material_Detail!$DE:$DE,0)+1,61))),0,IFERROR(INDEX(Material_Detail!$D:$DC,MATCH($A42,Material_Detail!$DE:$DE,0),61),0)),SUMIFS(T_Shipments[Confirmed_Qty],T_Shipments[Part Name],$A42,T_Shipments[Effective_Week],61))</f>
        <v/>
      </c>
      <c r="BK42">
        <f>IF(COUNTIF(Material_Detail!$DE:$DE,$A42)&gt;0,IF(ISNUMBER(SEARCH("[済]",INDEX(Material_Detail!$D:$DC,MATCH($A42,Material_Detail!$DE:$DE,0)+1,62))),0,IFERROR(INDEX(Material_Detail!$D:$DC,MATCH($A42,Material_Detail!$DE:$DE,0),62),0)),SUMIFS(T_Shipments[Confirmed_Qty],T_Shipments[Part Name],$A42,T_Shipments[Effective_Week],62))</f>
        <v/>
      </c>
      <c r="BL42">
        <f>IF(COUNTIF(Material_Detail!$DE:$DE,$A42)&gt;0,IF(ISNUMBER(SEARCH("[済]",INDEX(Material_Detail!$D:$DC,MATCH($A42,Material_Detail!$DE:$DE,0)+1,63))),0,IFERROR(INDEX(Material_Detail!$D:$DC,MATCH($A42,Material_Detail!$DE:$DE,0),63),0)),SUMIFS(T_Shipments[Confirmed_Qty],T_Shipments[Part Name],$A42,T_Shipments[Effective_Week],63))</f>
        <v/>
      </c>
      <c r="BM42">
        <f>IF(COUNTIF(Material_Detail!$DE:$DE,$A42)&gt;0,IF(ISNUMBER(SEARCH("[済]",INDEX(Material_Detail!$D:$DC,MATCH($A42,Material_Detail!$DE:$DE,0)+1,64))),0,IFERROR(INDEX(Material_Detail!$D:$DC,MATCH($A42,Material_Detail!$DE:$DE,0),64),0)),SUMIFS(T_Shipments[Confirmed_Qty],T_Shipments[Part Name],$A42,T_Shipments[Effective_Week],64))</f>
        <v/>
      </c>
      <c r="BN42">
        <f>IF(COUNTIF(Material_Detail!$DE:$DE,$A42)&gt;0,IF(ISNUMBER(SEARCH("[済]",INDEX(Material_Detail!$D:$DC,MATCH($A42,Material_Detail!$DE:$DE,0)+1,65))),0,IFERROR(INDEX(Material_Detail!$D:$DC,MATCH($A42,Material_Detail!$DE:$DE,0),65),0)),SUMIFS(T_Shipments[Confirmed_Qty],T_Shipments[Part Name],$A42,T_Shipments[Effective_Week],65))</f>
        <v/>
      </c>
      <c r="BO42">
        <f>IF(COUNTIF(Material_Detail!$DE:$DE,$A42)&gt;0,IF(ISNUMBER(SEARCH("[済]",INDEX(Material_Detail!$D:$DC,MATCH($A42,Material_Detail!$DE:$DE,0)+1,66))),0,IFERROR(INDEX(Material_Detail!$D:$DC,MATCH($A42,Material_Detail!$DE:$DE,0),66),0)),SUMIFS(T_Shipments[Confirmed_Qty],T_Shipments[Part Name],$A42,T_Shipments[Effective_Week],66))</f>
        <v/>
      </c>
      <c r="BP42">
        <f>IF(COUNTIF(Material_Detail!$DE:$DE,$A42)&gt;0,IF(ISNUMBER(SEARCH("[済]",INDEX(Material_Detail!$D:$DC,MATCH($A42,Material_Detail!$DE:$DE,0)+1,67))),0,IFERROR(INDEX(Material_Detail!$D:$DC,MATCH($A42,Material_Detail!$DE:$DE,0),67),0)),SUMIFS(T_Shipments[Confirmed_Qty],T_Shipments[Part Name],$A42,T_Shipments[Effective_Week],67))</f>
        <v/>
      </c>
      <c r="BQ42">
        <f>IF(COUNTIF(Material_Detail!$DE:$DE,$A42)&gt;0,IF(ISNUMBER(SEARCH("[済]",INDEX(Material_Detail!$D:$DC,MATCH($A42,Material_Detail!$DE:$DE,0)+1,68))),0,IFERROR(INDEX(Material_Detail!$D:$DC,MATCH($A42,Material_Detail!$DE:$DE,0),68),0)),SUMIFS(T_Shipments[Confirmed_Qty],T_Shipments[Part Name],$A42,T_Shipments[Effective_Week],68))</f>
        <v/>
      </c>
      <c r="BR42">
        <f>IF(COUNTIF(Material_Detail!$DE:$DE,$A42)&gt;0,IF(ISNUMBER(SEARCH("[済]",INDEX(Material_Detail!$D:$DC,MATCH($A42,Material_Detail!$DE:$DE,0)+1,69))),0,IFERROR(INDEX(Material_Detail!$D:$DC,MATCH($A42,Material_Detail!$DE:$DE,0),69),0)),SUMIFS(T_Shipments[Confirmed_Qty],T_Shipments[Part Name],$A42,T_Shipments[Effective_Week],69))</f>
        <v/>
      </c>
      <c r="BS42">
        <f>IF(COUNTIF(Material_Detail!$DE:$DE,$A42)&gt;0,IF(ISNUMBER(SEARCH("[済]",INDEX(Material_Detail!$D:$DC,MATCH($A42,Material_Detail!$DE:$DE,0)+1,70))),0,IFERROR(INDEX(Material_Detail!$D:$DC,MATCH($A42,Material_Detail!$DE:$DE,0),70),0)),SUMIFS(T_Shipments[Confirmed_Qty],T_Shipments[Part Name],$A42,T_Shipments[Effective_Week],70))</f>
        <v/>
      </c>
      <c r="BT42">
        <f>IF(COUNTIF(Material_Detail!$DE:$DE,$A42)&gt;0,IF(ISNUMBER(SEARCH("[済]",INDEX(Material_Detail!$D:$DC,MATCH($A42,Material_Detail!$DE:$DE,0)+1,71))),0,IFERROR(INDEX(Material_Detail!$D:$DC,MATCH($A42,Material_Detail!$DE:$DE,0),71),0)),SUMIFS(T_Shipments[Confirmed_Qty],T_Shipments[Part Name],$A42,T_Shipments[Effective_Week],71))</f>
        <v/>
      </c>
      <c r="BU42">
        <f>IF(COUNTIF(Material_Detail!$DE:$DE,$A42)&gt;0,IF(ISNUMBER(SEARCH("[済]",INDEX(Material_Detail!$D:$DC,MATCH($A42,Material_Detail!$DE:$DE,0)+1,72))),0,IFERROR(INDEX(Material_Detail!$D:$DC,MATCH($A42,Material_Detail!$DE:$DE,0),72),0)),SUMIFS(T_Shipments[Confirmed_Qty],T_Shipments[Part Name],$A42,T_Shipments[Effective_Week],72))</f>
        <v/>
      </c>
      <c r="BV42">
        <f>IF(COUNTIF(Material_Detail!$DE:$DE,$A42)&gt;0,IF(ISNUMBER(SEARCH("[済]",INDEX(Material_Detail!$D:$DC,MATCH($A42,Material_Detail!$DE:$DE,0)+1,73))),0,IFERROR(INDEX(Material_Detail!$D:$DC,MATCH($A42,Material_Detail!$DE:$DE,0),73),0)),SUMIFS(T_Shipments[Confirmed_Qty],T_Shipments[Part Name],$A42,T_Shipments[Effective_Week],73))</f>
        <v/>
      </c>
      <c r="BW42">
        <f>IF(COUNTIF(Material_Detail!$DE:$DE,$A42)&gt;0,IF(ISNUMBER(SEARCH("[済]",INDEX(Material_Detail!$D:$DC,MATCH($A42,Material_Detail!$DE:$DE,0)+1,74))),0,IFERROR(INDEX(Material_Detail!$D:$DC,MATCH($A42,Material_Detail!$DE:$DE,0),74),0)),SUMIFS(T_Shipments[Confirmed_Qty],T_Shipments[Part Name],$A42,T_Shipments[Effective_Week],74))</f>
        <v/>
      </c>
      <c r="BX42">
        <f>IF(COUNTIF(Material_Detail!$DE:$DE,$A42)&gt;0,IF(ISNUMBER(SEARCH("[済]",INDEX(Material_Detail!$D:$DC,MATCH($A42,Material_Detail!$DE:$DE,0)+1,75))),0,IFERROR(INDEX(Material_Detail!$D:$DC,MATCH($A42,Material_Detail!$DE:$DE,0),75),0)),SUMIFS(T_Shipments[Confirmed_Qty],T_Shipments[Part Name],$A42,T_Shipments[Effective_Week],75))</f>
        <v/>
      </c>
      <c r="BY42">
        <f>IF(COUNTIF(Material_Detail!$DE:$DE,$A42)&gt;0,IF(ISNUMBER(SEARCH("[済]",INDEX(Material_Detail!$D:$DC,MATCH($A42,Material_Detail!$DE:$DE,0)+1,76))),0,IFERROR(INDEX(Material_Detail!$D:$DC,MATCH($A42,Material_Detail!$DE:$DE,0),76),0)),SUMIFS(T_Shipments[Confirmed_Qty],T_Shipments[Part Name],$A42,T_Shipments[Effective_Week],76))</f>
        <v/>
      </c>
      <c r="BZ42">
        <f>IF(COUNTIF(Material_Detail!$DE:$DE,$A42)&gt;0,IF(ISNUMBER(SEARCH("[済]",INDEX(Material_Detail!$D:$DC,MATCH($A42,Material_Detail!$DE:$DE,0)+1,77))),0,IFERROR(INDEX(Material_Detail!$D:$DC,MATCH($A42,Material_Detail!$DE:$DE,0),77),0)),SUMIFS(T_Shipments[Confirmed_Qty],T_Shipments[Part Name],$A42,T_Shipments[Effective_Week],77))</f>
        <v/>
      </c>
      <c r="CA42">
        <f>IF(COUNTIF(Material_Detail!$DE:$DE,$A42)&gt;0,IF(ISNUMBER(SEARCH("[済]",INDEX(Material_Detail!$D:$DC,MATCH($A42,Material_Detail!$DE:$DE,0)+1,78))),0,IFERROR(INDEX(Material_Detail!$D:$DC,MATCH($A42,Material_Detail!$DE:$DE,0),78),0)),SUMIFS(T_Shipments[Confirmed_Qty],T_Shipments[Part Name],$A42,T_Shipments[Effective_Week],78))</f>
        <v/>
      </c>
      <c r="CB42">
        <f>IF(COUNTIF(Material_Detail!$DE:$DE,$A42)&gt;0,IF(ISNUMBER(SEARCH("[済]",INDEX(Material_Detail!$D:$DC,MATCH($A42,Material_Detail!$DE:$DE,0)+1,79))),0,IFERROR(INDEX(Material_Detail!$D:$DC,MATCH($A42,Material_Detail!$DE:$DE,0),79),0)),SUMIFS(T_Shipments[Confirmed_Qty],T_Shipments[Part Name],$A42,T_Shipments[Effective_Week],79))</f>
        <v/>
      </c>
      <c r="CC42">
        <f>IF(COUNTIF(Material_Detail!$DE:$DE,$A42)&gt;0,IF(ISNUMBER(SEARCH("[済]",INDEX(Material_Detail!$D:$DC,MATCH($A42,Material_Detail!$DE:$DE,0)+1,80))),0,IFERROR(INDEX(Material_Detail!$D:$DC,MATCH($A42,Material_Detail!$DE:$DE,0),80),0)),SUMIFS(T_Shipments[Confirmed_Qty],T_Shipments[Part Name],$A42,T_Shipments[Effective_Week],80))</f>
        <v/>
      </c>
      <c r="CD42">
        <f>IF(COUNTIF(Material_Detail!$DE:$DE,$A42)&gt;0,IF(ISNUMBER(SEARCH("[済]",INDEX(Material_Detail!$D:$DC,MATCH($A42,Material_Detail!$DE:$DE,0)+1,81))),0,IFERROR(INDEX(Material_Detail!$D:$DC,MATCH($A42,Material_Detail!$DE:$DE,0),81),0)),SUMIFS(T_Shipments[Confirmed_Qty],T_Shipments[Part Name],$A42,T_Shipments[Effective_Week],81))</f>
        <v/>
      </c>
      <c r="CE42">
        <f>IF(COUNTIF(Material_Detail!$DE:$DE,$A42)&gt;0,IF(ISNUMBER(SEARCH("[済]",INDEX(Material_Detail!$D:$DC,MATCH($A42,Material_Detail!$DE:$DE,0)+1,82))),0,IFERROR(INDEX(Material_Detail!$D:$DC,MATCH($A42,Material_Detail!$DE:$DE,0),82),0)),SUMIFS(T_Shipments[Confirmed_Qty],T_Shipments[Part Name],$A42,T_Shipments[Effective_Week],82))</f>
        <v/>
      </c>
      <c r="CF42">
        <f>IF(COUNTIF(Material_Detail!$DE:$DE,$A42)&gt;0,IF(ISNUMBER(SEARCH("[済]",INDEX(Material_Detail!$D:$DC,MATCH($A42,Material_Detail!$DE:$DE,0)+1,83))),0,IFERROR(INDEX(Material_Detail!$D:$DC,MATCH($A42,Material_Detail!$DE:$DE,0),83),0)),SUMIFS(T_Shipments[Confirmed_Qty],T_Shipments[Part Name],$A42,T_Shipments[Effective_Week],83))</f>
        <v/>
      </c>
      <c r="CG42">
        <f>IF(COUNTIF(Material_Detail!$DE:$DE,$A42)&gt;0,IF(ISNUMBER(SEARCH("[済]",INDEX(Material_Detail!$D:$DC,MATCH($A42,Material_Detail!$DE:$DE,0)+1,84))),0,IFERROR(INDEX(Material_Detail!$D:$DC,MATCH($A42,Material_Detail!$DE:$DE,0),84),0)),SUMIFS(T_Shipments[Confirmed_Qty],T_Shipments[Part Name],$A42,T_Shipments[Effective_Week],84))</f>
        <v/>
      </c>
      <c r="CH42">
        <f>IF(COUNTIF(Material_Detail!$DE:$DE,$A42)&gt;0,IF(ISNUMBER(SEARCH("[済]",INDEX(Material_Detail!$D:$DC,MATCH($A42,Material_Detail!$DE:$DE,0)+1,85))),0,IFERROR(INDEX(Material_Detail!$D:$DC,MATCH($A42,Material_Detail!$DE:$DE,0),85),0)),SUMIFS(T_Shipments[Confirmed_Qty],T_Shipments[Part Name],$A42,T_Shipments[Effective_Week],85))</f>
        <v/>
      </c>
      <c r="CI42">
        <f>IF(COUNTIF(Material_Detail!$DE:$DE,$A42)&gt;0,IF(ISNUMBER(SEARCH("[済]",INDEX(Material_Detail!$D:$DC,MATCH($A42,Material_Detail!$DE:$DE,0)+1,86))),0,IFERROR(INDEX(Material_Detail!$D:$DC,MATCH($A42,Material_Detail!$DE:$DE,0),86),0)),SUMIFS(T_Shipments[Confirmed_Qty],T_Shipments[Part Name],$A42,T_Shipments[Effective_Week],86))</f>
        <v/>
      </c>
      <c r="CJ42">
        <f>IF(COUNTIF(Material_Detail!$DE:$DE,$A42)&gt;0,IF(ISNUMBER(SEARCH("[済]",INDEX(Material_Detail!$D:$DC,MATCH($A42,Material_Detail!$DE:$DE,0)+1,87))),0,IFERROR(INDEX(Material_Detail!$D:$DC,MATCH($A42,Material_Detail!$DE:$DE,0),87),0)),SUMIFS(T_Shipments[Confirmed_Qty],T_Shipments[Part Name],$A42,T_Shipments[Effective_Week],87))</f>
        <v/>
      </c>
      <c r="CK42">
        <f>IF(COUNTIF(Material_Detail!$DE:$DE,$A42)&gt;0,IF(ISNUMBER(SEARCH("[済]",INDEX(Material_Detail!$D:$DC,MATCH($A42,Material_Detail!$DE:$DE,0)+1,88))),0,IFERROR(INDEX(Material_Detail!$D:$DC,MATCH($A42,Material_Detail!$DE:$DE,0),88),0)),SUMIFS(T_Shipments[Confirmed_Qty],T_Shipments[Part Name],$A42,T_Shipments[Effective_Week],88))</f>
        <v/>
      </c>
      <c r="CL42">
        <f>IF(COUNTIF(Material_Detail!$DE:$DE,$A42)&gt;0,IF(ISNUMBER(SEARCH("[済]",INDEX(Material_Detail!$D:$DC,MATCH($A42,Material_Detail!$DE:$DE,0)+1,89))),0,IFERROR(INDEX(Material_Detail!$D:$DC,MATCH($A42,Material_Detail!$DE:$DE,0),89),0)),SUMIFS(T_Shipments[Confirmed_Qty],T_Shipments[Part Name],$A42,T_Shipments[Effective_Week],89))</f>
        <v/>
      </c>
      <c r="CM42">
        <f>IF(COUNTIF(Material_Detail!$DE:$DE,$A42)&gt;0,IF(ISNUMBER(SEARCH("[済]",INDEX(Material_Detail!$D:$DC,MATCH($A42,Material_Detail!$DE:$DE,0)+1,90))),0,IFERROR(INDEX(Material_Detail!$D:$DC,MATCH($A42,Material_Detail!$DE:$DE,0),90),0)),SUMIFS(T_Shipments[Confirmed_Qty],T_Shipments[Part Name],$A42,T_Shipments[Effective_Week],90))</f>
        <v/>
      </c>
      <c r="CN42">
        <f>IF(COUNTIF(Material_Detail!$DE:$DE,$A42)&gt;0,IF(ISNUMBER(SEARCH("[済]",INDEX(Material_Detail!$D:$DC,MATCH($A42,Material_Detail!$DE:$DE,0)+1,91))),0,IFERROR(INDEX(Material_Detail!$D:$DC,MATCH($A42,Material_Detail!$DE:$DE,0),91),0)),SUMIFS(T_Shipments[Confirmed_Qty],T_Shipments[Part Name],$A42,T_Shipments[Effective_Week],91))</f>
        <v/>
      </c>
      <c r="CO42">
        <f>IF(COUNTIF(Material_Detail!$DE:$DE,$A42)&gt;0,IF(ISNUMBER(SEARCH("[済]",INDEX(Material_Detail!$D:$DC,MATCH($A42,Material_Detail!$DE:$DE,0)+1,92))),0,IFERROR(INDEX(Material_Detail!$D:$DC,MATCH($A42,Material_Detail!$DE:$DE,0),92),0)),SUMIFS(T_Shipments[Confirmed_Qty],T_Shipments[Part Name],$A42,T_Shipments[Effective_Week],92))</f>
        <v/>
      </c>
      <c r="CP42">
        <f>IF(COUNTIF(Material_Detail!$DE:$DE,$A42)&gt;0,IF(ISNUMBER(SEARCH("[済]",INDEX(Material_Detail!$D:$DC,MATCH($A42,Material_Detail!$DE:$DE,0)+1,93))),0,IFERROR(INDEX(Material_Detail!$D:$DC,MATCH($A42,Material_Detail!$DE:$DE,0),93),0)),SUMIFS(T_Shipments[Confirmed_Qty],T_Shipments[Part Name],$A42,T_Shipments[Effective_Week],93))</f>
        <v/>
      </c>
      <c r="CQ42">
        <f>IF(COUNTIF(Material_Detail!$DE:$DE,$A42)&gt;0,IF(ISNUMBER(SEARCH("[済]",INDEX(Material_Detail!$D:$DC,MATCH($A42,Material_Detail!$DE:$DE,0)+1,94))),0,IFERROR(INDEX(Material_Detail!$D:$DC,MATCH($A42,Material_Detail!$DE:$DE,0),94),0)),SUMIFS(T_Shipments[Confirmed_Qty],T_Shipments[Part Name],$A42,T_Shipments[Effective_Week],94))</f>
        <v/>
      </c>
      <c r="CR42">
        <f>IF(COUNTIF(Material_Detail!$DE:$DE,$A42)&gt;0,IF(ISNUMBER(SEARCH("[済]",INDEX(Material_Detail!$D:$DC,MATCH($A42,Material_Detail!$DE:$DE,0)+1,95))),0,IFERROR(INDEX(Material_Detail!$D:$DC,MATCH($A42,Material_Detail!$DE:$DE,0),95),0)),SUMIFS(T_Shipments[Confirmed_Qty],T_Shipments[Part Name],$A42,T_Shipments[Effective_Week],95))</f>
        <v/>
      </c>
      <c r="CS42">
        <f>IF(COUNTIF(Material_Detail!$DE:$DE,$A42)&gt;0,IF(ISNUMBER(SEARCH("[済]",INDEX(Material_Detail!$D:$DC,MATCH($A42,Material_Detail!$DE:$DE,0)+1,96))),0,IFERROR(INDEX(Material_Detail!$D:$DC,MATCH($A42,Material_Detail!$DE:$DE,0),96),0)),SUMIFS(T_Shipments[Confirmed_Qty],T_Shipments[Part Name],$A42,T_Shipments[Effective_Week],96))</f>
        <v/>
      </c>
      <c r="CT42">
        <f>IF(COUNTIF(Material_Detail!$DE:$DE,$A42)&gt;0,IF(ISNUMBER(SEARCH("[済]",INDEX(Material_Detail!$D:$DC,MATCH($A42,Material_Detail!$DE:$DE,0)+1,97))),0,IFERROR(INDEX(Material_Detail!$D:$DC,MATCH($A42,Material_Detail!$DE:$DE,0),97),0)),SUMIFS(T_Shipments[Confirmed_Qty],T_Shipments[Part Name],$A42,T_Shipments[Effective_Week],97))</f>
        <v/>
      </c>
      <c r="CU42">
        <f>IF(COUNTIF(Material_Detail!$DE:$DE,$A42)&gt;0,IF(ISNUMBER(SEARCH("[済]",INDEX(Material_Detail!$D:$DC,MATCH($A42,Material_Detail!$DE:$DE,0)+1,98))),0,IFERROR(INDEX(Material_Detail!$D:$DC,MATCH($A42,Material_Detail!$DE:$DE,0),98),0)),SUMIFS(T_Shipments[Confirmed_Qty],T_Shipments[Part Name],$A42,T_Shipments[Effective_Week],98))</f>
        <v/>
      </c>
      <c r="CV42">
        <f>IF(COUNTIF(Material_Detail!$DE:$DE,$A42)&gt;0,IF(ISNUMBER(SEARCH("[済]",INDEX(Material_Detail!$D:$DC,MATCH($A42,Material_Detail!$DE:$DE,0)+1,99))),0,IFERROR(INDEX(Material_Detail!$D:$DC,MATCH($A42,Material_Detail!$DE:$DE,0),99),0)),SUMIFS(T_Shipments[Confirmed_Qty],T_Shipments[Part Name],$A42,T_Shipments[Effective_Week],99))</f>
        <v/>
      </c>
      <c r="CW42">
        <f>IF(COUNTIF(Material_Detail!$DE:$DE,$A42)&gt;0,IF(ISNUMBER(SEARCH("[済]",INDEX(Material_Detail!$D:$DC,MATCH($A42,Material_Detail!$DE:$DE,0)+1,100))),0,IFERROR(INDEX(Material_Detail!$D:$DC,MATCH($A42,Material_Detail!$DE:$DE,0),100),0)),SUMIFS(T_Shipments[Confirmed_Qty],T_Shipments[Part Name],$A42,T_Shipments[Effective_Week],100))</f>
        <v/>
      </c>
      <c r="CX42">
        <f>IF(COUNTIF(Material_Detail!$DE:$DE,$A42)&gt;0,IF(ISNUMBER(SEARCH("[済]",INDEX(Material_Detail!$D:$DC,MATCH($A42,Material_Detail!$DE:$DE,0)+1,101))),0,IFERROR(INDEX(Material_Detail!$D:$DC,MATCH($A42,Material_Detail!$DE:$DE,0),101),0)),SUMIFS(T_Shipments[Confirmed_Qty],T_Shipments[Part Name],$A42,T_Shipments[Effective_Week],101))</f>
        <v/>
      </c>
      <c r="CY42">
        <f>IF(COUNTIF(Material_Detail!$DE:$DE,$A42)&gt;0,IF(ISNUMBER(SEARCH("[済]",INDEX(Material_Detail!$D:$DC,MATCH($A42,Material_Detail!$DE:$DE,0)+1,102))),0,IFERROR(INDEX(Material_Detail!$D:$DC,MATCH($A42,Material_Detail!$DE:$DE,0),102),0)),SUMIFS(T_Shipments[Confirmed_Qty],T_Shipments[Part Name],$A42,T_Shipments[Effective_Week],102))</f>
        <v/>
      </c>
      <c r="CZ42">
        <f>IF(COUNTIF(Material_Detail!$DE:$DE,$A42)&gt;0,IF(ISNUMBER(SEARCH("[済]",INDEX(Material_Detail!$D:$DC,MATCH($A42,Material_Detail!$DE:$DE,0)+1,103))),0,IFERROR(INDEX(Material_Detail!$D:$DC,MATCH($A42,Material_Detail!$DE:$DE,0),103),0)),SUMIFS(T_Shipments[Confirmed_Qty],T_Shipments[Part Name],$A42,T_Shipments[Effective_Week],103))</f>
        <v/>
      </c>
      <c r="DA42">
        <f>IF(COUNTIF(Material_Detail!$DE:$DE,$A42)&gt;0,IF(ISNUMBER(SEARCH("[済]",INDEX(Material_Detail!$D:$DC,MATCH($A42,Material_Detail!$DE:$DE,0)+1,104))),0,IFERROR(INDEX(Material_Detail!$D:$DC,MATCH($A42,Material_Detail!$DE:$DE,0),104),0)),SUMIFS(T_Shipments[Confirmed_Qty],T_Shipments[Part Name],$A42,T_Shipments[Effective_Week],104))</f>
        <v/>
      </c>
    </row>
    <row r="43">
      <c r="A43" t="inlineStr">
        <is>
          <t>CHEM-1280</t>
        </is>
      </c>
      <c r="B43">
        <f>IF(COUNTIF(Material_Detail!$DE:$DE,$A43)&gt;0,IF(ISNUMBER(SEARCH("[済]",INDEX(Material_Detail!$D:$DC,MATCH($A43,Material_Detail!$DE:$DE,0)+1,1))),0,IFERROR(INDEX(Material_Detail!$D:$DC,MATCH($A43,Material_Detail!$DE:$DE,0),1),0)),SUMIFS(T_Shipments[Confirmed_Qty],T_Shipments[Part Name],$A43,T_Shipments[Effective_Week],1))</f>
        <v/>
      </c>
      <c r="C43">
        <f>IF(COUNTIF(Material_Detail!$DE:$DE,$A43)&gt;0,IF(ISNUMBER(SEARCH("[済]",INDEX(Material_Detail!$D:$DC,MATCH($A43,Material_Detail!$DE:$DE,0)+1,2))),0,IFERROR(INDEX(Material_Detail!$D:$DC,MATCH($A43,Material_Detail!$DE:$DE,0),2),0)),SUMIFS(T_Shipments[Confirmed_Qty],T_Shipments[Part Name],$A43,T_Shipments[Effective_Week],2))</f>
        <v/>
      </c>
      <c r="D43">
        <f>IF(COUNTIF(Material_Detail!$DE:$DE,$A43)&gt;0,IF(ISNUMBER(SEARCH("[済]",INDEX(Material_Detail!$D:$DC,MATCH($A43,Material_Detail!$DE:$DE,0)+1,3))),0,IFERROR(INDEX(Material_Detail!$D:$DC,MATCH($A43,Material_Detail!$DE:$DE,0),3),0)),SUMIFS(T_Shipments[Confirmed_Qty],T_Shipments[Part Name],$A43,T_Shipments[Effective_Week],3))</f>
        <v/>
      </c>
      <c r="E43">
        <f>IF(COUNTIF(Material_Detail!$DE:$DE,$A43)&gt;0,IF(ISNUMBER(SEARCH("[済]",INDEX(Material_Detail!$D:$DC,MATCH($A43,Material_Detail!$DE:$DE,0)+1,4))),0,IFERROR(INDEX(Material_Detail!$D:$DC,MATCH($A43,Material_Detail!$DE:$DE,0),4),0)),SUMIFS(T_Shipments[Confirmed_Qty],T_Shipments[Part Name],$A43,T_Shipments[Effective_Week],4))</f>
        <v/>
      </c>
      <c r="F43">
        <f>IF(COUNTIF(Material_Detail!$DE:$DE,$A43)&gt;0,IF(ISNUMBER(SEARCH("[済]",INDEX(Material_Detail!$D:$DC,MATCH($A43,Material_Detail!$DE:$DE,0)+1,5))),0,IFERROR(INDEX(Material_Detail!$D:$DC,MATCH($A43,Material_Detail!$DE:$DE,0),5),0)),SUMIFS(T_Shipments[Confirmed_Qty],T_Shipments[Part Name],$A43,T_Shipments[Effective_Week],5))</f>
        <v/>
      </c>
      <c r="G43">
        <f>IF(COUNTIF(Material_Detail!$DE:$DE,$A43)&gt;0,IF(ISNUMBER(SEARCH("[済]",INDEX(Material_Detail!$D:$DC,MATCH($A43,Material_Detail!$DE:$DE,0)+1,6))),0,IFERROR(INDEX(Material_Detail!$D:$DC,MATCH($A43,Material_Detail!$DE:$DE,0),6),0)),SUMIFS(T_Shipments[Confirmed_Qty],T_Shipments[Part Name],$A43,T_Shipments[Effective_Week],6))</f>
        <v/>
      </c>
      <c r="H43">
        <f>IF(COUNTIF(Material_Detail!$DE:$DE,$A43)&gt;0,IF(ISNUMBER(SEARCH("[済]",INDEX(Material_Detail!$D:$DC,MATCH($A43,Material_Detail!$DE:$DE,0)+1,7))),0,IFERROR(INDEX(Material_Detail!$D:$DC,MATCH($A43,Material_Detail!$DE:$DE,0),7),0)),SUMIFS(T_Shipments[Confirmed_Qty],T_Shipments[Part Name],$A43,T_Shipments[Effective_Week],7))</f>
        <v/>
      </c>
      <c r="I43">
        <f>IF(COUNTIF(Material_Detail!$DE:$DE,$A43)&gt;0,IF(ISNUMBER(SEARCH("[済]",INDEX(Material_Detail!$D:$DC,MATCH($A43,Material_Detail!$DE:$DE,0)+1,8))),0,IFERROR(INDEX(Material_Detail!$D:$DC,MATCH($A43,Material_Detail!$DE:$DE,0),8),0)),SUMIFS(T_Shipments[Confirmed_Qty],T_Shipments[Part Name],$A43,T_Shipments[Effective_Week],8))</f>
        <v/>
      </c>
      <c r="J43">
        <f>IF(COUNTIF(Material_Detail!$DE:$DE,$A43)&gt;0,IF(ISNUMBER(SEARCH("[済]",INDEX(Material_Detail!$D:$DC,MATCH($A43,Material_Detail!$DE:$DE,0)+1,9))),0,IFERROR(INDEX(Material_Detail!$D:$DC,MATCH($A43,Material_Detail!$DE:$DE,0),9),0)),SUMIFS(T_Shipments[Confirmed_Qty],T_Shipments[Part Name],$A43,T_Shipments[Effective_Week],9))</f>
        <v/>
      </c>
      <c r="K43">
        <f>IF(COUNTIF(Material_Detail!$DE:$DE,$A43)&gt;0,IF(ISNUMBER(SEARCH("[済]",INDEX(Material_Detail!$D:$DC,MATCH($A43,Material_Detail!$DE:$DE,0)+1,10))),0,IFERROR(INDEX(Material_Detail!$D:$DC,MATCH($A43,Material_Detail!$DE:$DE,0),10),0)),SUMIFS(T_Shipments[Confirmed_Qty],T_Shipments[Part Name],$A43,T_Shipments[Effective_Week],10))</f>
        <v/>
      </c>
      <c r="L43">
        <f>IF(COUNTIF(Material_Detail!$DE:$DE,$A43)&gt;0,IF(ISNUMBER(SEARCH("[済]",INDEX(Material_Detail!$D:$DC,MATCH($A43,Material_Detail!$DE:$DE,0)+1,11))),0,IFERROR(INDEX(Material_Detail!$D:$DC,MATCH($A43,Material_Detail!$DE:$DE,0),11),0)),SUMIFS(T_Shipments[Confirmed_Qty],T_Shipments[Part Name],$A43,T_Shipments[Effective_Week],11))</f>
        <v/>
      </c>
      <c r="M43">
        <f>IF(COUNTIF(Material_Detail!$DE:$DE,$A43)&gt;0,IF(ISNUMBER(SEARCH("[済]",INDEX(Material_Detail!$D:$DC,MATCH($A43,Material_Detail!$DE:$DE,0)+1,12))),0,IFERROR(INDEX(Material_Detail!$D:$DC,MATCH($A43,Material_Detail!$DE:$DE,0),12),0)),SUMIFS(T_Shipments[Confirmed_Qty],T_Shipments[Part Name],$A43,T_Shipments[Effective_Week],12))</f>
        <v/>
      </c>
      <c r="N43">
        <f>IF(COUNTIF(Material_Detail!$DE:$DE,$A43)&gt;0,IF(ISNUMBER(SEARCH("[済]",INDEX(Material_Detail!$D:$DC,MATCH($A43,Material_Detail!$DE:$DE,0)+1,13))),0,IFERROR(INDEX(Material_Detail!$D:$DC,MATCH($A43,Material_Detail!$DE:$DE,0),13),0)),SUMIFS(T_Shipments[Confirmed_Qty],T_Shipments[Part Name],$A43,T_Shipments[Effective_Week],13))</f>
        <v/>
      </c>
      <c r="O43">
        <f>IF(COUNTIF(Material_Detail!$DE:$DE,$A43)&gt;0,IF(ISNUMBER(SEARCH("[済]",INDEX(Material_Detail!$D:$DC,MATCH($A43,Material_Detail!$DE:$DE,0)+1,14))),0,IFERROR(INDEX(Material_Detail!$D:$DC,MATCH($A43,Material_Detail!$DE:$DE,0),14),0)),SUMIFS(T_Shipments[Confirmed_Qty],T_Shipments[Part Name],$A43,T_Shipments[Effective_Week],14))</f>
        <v/>
      </c>
      <c r="P43">
        <f>IF(COUNTIF(Material_Detail!$DE:$DE,$A43)&gt;0,IF(ISNUMBER(SEARCH("[済]",INDEX(Material_Detail!$D:$DC,MATCH($A43,Material_Detail!$DE:$DE,0)+1,15))),0,IFERROR(INDEX(Material_Detail!$D:$DC,MATCH($A43,Material_Detail!$DE:$DE,0),15),0)),SUMIFS(T_Shipments[Confirmed_Qty],T_Shipments[Part Name],$A43,T_Shipments[Effective_Week],15))</f>
        <v/>
      </c>
      <c r="Q43">
        <f>IF(COUNTIF(Material_Detail!$DE:$DE,$A43)&gt;0,IF(ISNUMBER(SEARCH("[済]",INDEX(Material_Detail!$D:$DC,MATCH($A43,Material_Detail!$DE:$DE,0)+1,16))),0,IFERROR(INDEX(Material_Detail!$D:$DC,MATCH($A43,Material_Detail!$DE:$DE,0),16),0)),SUMIFS(T_Shipments[Confirmed_Qty],T_Shipments[Part Name],$A43,T_Shipments[Effective_Week],16))</f>
        <v/>
      </c>
      <c r="R43">
        <f>IF(COUNTIF(Material_Detail!$DE:$DE,$A43)&gt;0,IF(ISNUMBER(SEARCH("[済]",INDEX(Material_Detail!$D:$DC,MATCH($A43,Material_Detail!$DE:$DE,0)+1,17))),0,IFERROR(INDEX(Material_Detail!$D:$DC,MATCH($A43,Material_Detail!$DE:$DE,0),17),0)),SUMIFS(T_Shipments[Confirmed_Qty],T_Shipments[Part Name],$A43,T_Shipments[Effective_Week],17))</f>
        <v/>
      </c>
      <c r="S43">
        <f>IF(COUNTIF(Material_Detail!$DE:$DE,$A43)&gt;0,IF(ISNUMBER(SEARCH("[済]",INDEX(Material_Detail!$D:$DC,MATCH($A43,Material_Detail!$DE:$DE,0)+1,18))),0,IFERROR(INDEX(Material_Detail!$D:$DC,MATCH($A43,Material_Detail!$DE:$DE,0),18),0)),SUMIFS(T_Shipments[Confirmed_Qty],T_Shipments[Part Name],$A43,T_Shipments[Effective_Week],18))</f>
        <v/>
      </c>
      <c r="T43">
        <f>IF(COUNTIF(Material_Detail!$DE:$DE,$A43)&gt;0,IF(ISNUMBER(SEARCH("[済]",INDEX(Material_Detail!$D:$DC,MATCH($A43,Material_Detail!$DE:$DE,0)+1,19))),0,IFERROR(INDEX(Material_Detail!$D:$DC,MATCH($A43,Material_Detail!$DE:$DE,0),19),0)),SUMIFS(T_Shipments[Confirmed_Qty],T_Shipments[Part Name],$A43,T_Shipments[Effective_Week],19))</f>
        <v/>
      </c>
      <c r="U43">
        <f>IF(COUNTIF(Material_Detail!$DE:$DE,$A43)&gt;0,IF(ISNUMBER(SEARCH("[済]",INDEX(Material_Detail!$D:$DC,MATCH($A43,Material_Detail!$DE:$DE,0)+1,20))),0,IFERROR(INDEX(Material_Detail!$D:$DC,MATCH($A43,Material_Detail!$DE:$DE,0),20),0)),SUMIFS(T_Shipments[Confirmed_Qty],T_Shipments[Part Name],$A43,T_Shipments[Effective_Week],20))</f>
        <v/>
      </c>
      <c r="V43">
        <f>IF(COUNTIF(Material_Detail!$DE:$DE,$A43)&gt;0,IF(ISNUMBER(SEARCH("[済]",INDEX(Material_Detail!$D:$DC,MATCH($A43,Material_Detail!$DE:$DE,0)+1,21))),0,IFERROR(INDEX(Material_Detail!$D:$DC,MATCH($A43,Material_Detail!$DE:$DE,0),21),0)),SUMIFS(T_Shipments[Confirmed_Qty],T_Shipments[Part Name],$A43,T_Shipments[Effective_Week],21))</f>
        <v/>
      </c>
      <c r="W43">
        <f>IF(COUNTIF(Material_Detail!$DE:$DE,$A43)&gt;0,IF(ISNUMBER(SEARCH("[済]",INDEX(Material_Detail!$D:$DC,MATCH($A43,Material_Detail!$DE:$DE,0)+1,22))),0,IFERROR(INDEX(Material_Detail!$D:$DC,MATCH($A43,Material_Detail!$DE:$DE,0),22),0)),SUMIFS(T_Shipments[Confirmed_Qty],T_Shipments[Part Name],$A43,T_Shipments[Effective_Week],22))</f>
        <v/>
      </c>
      <c r="X43">
        <f>IF(COUNTIF(Material_Detail!$DE:$DE,$A43)&gt;0,IF(ISNUMBER(SEARCH("[済]",INDEX(Material_Detail!$D:$DC,MATCH($A43,Material_Detail!$DE:$DE,0)+1,23))),0,IFERROR(INDEX(Material_Detail!$D:$DC,MATCH($A43,Material_Detail!$DE:$DE,0),23),0)),SUMIFS(T_Shipments[Confirmed_Qty],T_Shipments[Part Name],$A43,T_Shipments[Effective_Week],23))</f>
        <v/>
      </c>
      <c r="Y43">
        <f>IF(COUNTIF(Material_Detail!$DE:$DE,$A43)&gt;0,IF(ISNUMBER(SEARCH("[済]",INDEX(Material_Detail!$D:$DC,MATCH($A43,Material_Detail!$DE:$DE,0)+1,24))),0,IFERROR(INDEX(Material_Detail!$D:$DC,MATCH($A43,Material_Detail!$DE:$DE,0),24),0)),SUMIFS(T_Shipments[Confirmed_Qty],T_Shipments[Part Name],$A43,T_Shipments[Effective_Week],24))</f>
        <v/>
      </c>
      <c r="Z43">
        <f>IF(COUNTIF(Material_Detail!$DE:$DE,$A43)&gt;0,IF(ISNUMBER(SEARCH("[済]",INDEX(Material_Detail!$D:$DC,MATCH($A43,Material_Detail!$DE:$DE,0)+1,25))),0,IFERROR(INDEX(Material_Detail!$D:$DC,MATCH($A43,Material_Detail!$DE:$DE,0),25),0)),SUMIFS(T_Shipments[Confirmed_Qty],T_Shipments[Part Name],$A43,T_Shipments[Effective_Week],25))</f>
        <v/>
      </c>
      <c r="AA43">
        <f>IF(COUNTIF(Material_Detail!$DE:$DE,$A43)&gt;0,IF(ISNUMBER(SEARCH("[済]",INDEX(Material_Detail!$D:$DC,MATCH($A43,Material_Detail!$DE:$DE,0)+1,26))),0,IFERROR(INDEX(Material_Detail!$D:$DC,MATCH($A43,Material_Detail!$DE:$DE,0),26),0)),SUMIFS(T_Shipments[Confirmed_Qty],T_Shipments[Part Name],$A43,T_Shipments[Effective_Week],26))</f>
        <v/>
      </c>
      <c r="AB43">
        <f>IF(COUNTIF(Material_Detail!$DE:$DE,$A43)&gt;0,IF(ISNUMBER(SEARCH("[済]",INDEX(Material_Detail!$D:$DC,MATCH($A43,Material_Detail!$DE:$DE,0)+1,27))),0,IFERROR(INDEX(Material_Detail!$D:$DC,MATCH($A43,Material_Detail!$DE:$DE,0),27),0)),SUMIFS(T_Shipments[Confirmed_Qty],T_Shipments[Part Name],$A43,T_Shipments[Effective_Week],27))</f>
        <v/>
      </c>
      <c r="AC43">
        <f>IF(COUNTIF(Material_Detail!$DE:$DE,$A43)&gt;0,IF(ISNUMBER(SEARCH("[済]",INDEX(Material_Detail!$D:$DC,MATCH($A43,Material_Detail!$DE:$DE,0)+1,28))),0,IFERROR(INDEX(Material_Detail!$D:$DC,MATCH($A43,Material_Detail!$DE:$DE,0),28),0)),SUMIFS(T_Shipments[Confirmed_Qty],T_Shipments[Part Name],$A43,T_Shipments[Effective_Week],28))</f>
        <v/>
      </c>
      <c r="AD43">
        <f>IF(COUNTIF(Material_Detail!$DE:$DE,$A43)&gt;0,IF(ISNUMBER(SEARCH("[済]",INDEX(Material_Detail!$D:$DC,MATCH($A43,Material_Detail!$DE:$DE,0)+1,29))),0,IFERROR(INDEX(Material_Detail!$D:$DC,MATCH($A43,Material_Detail!$DE:$DE,0),29),0)),SUMIFS(T_Shipments[Confirmed_Qty],T_Shipments[Part Name],$A43,T_Shipments[Effective_Week],29))</f>
        <v/>
      </c>
      <c r="AE43">
        <f>IF(COUNTIF(Material_Detail!$DE:$DE,$A43)&gt;0,IF(ISNUMBER(SEARCH("[済]",INDEX(Material_Detail!$D:$DC,MATCH($A43,Material_Detail!$DE:$DE,0)+1,30))),0,IFERROR(INDEX(Material_Detail!$D:$DC,MATCH($A43,Material_Detail!$DE:$DE,0),30),0)),SUMIFS(T_Shipments[Confirmed_Qty],T_Shipments[Part Name],$A43,T_Shipments[Effective_Week],30))</f>
        <v/>
      </c>
      <c r="AF43">
        <f>IF(COUNTIF(Material_Detail!$DE:$DE,$A43)&gt;0,IF(ISNUMBER(SEARCH("[済]",INDEX(Material_Detail!$D:$DC,MATCH($A43,Material_Detail!$DE:$DE,0)+1,31))),0,IFERROR(INDEX(Material_Detail!$D:$DC,MATCH($A43,Material_Detail!$DE:$DE,0),31),0)),SUMIFS(T_Shipments[Confirmed_Qty],T_Shipments[Part Name],$A43,T_Shipments[Effective_Week],31))</f>
        <v/>
      </c>
      <c r="AG43">
        <f>IF(COUNTIF(Material_Detail!$DE:$DE,$A43)&gt;0,IF(ISNUMBER(SEARCH("[済]",INDEX(Material_Detail!$D:$DC,MATCH($A43,Material_Detail!$DE:$DE,0)+1,32))),0,IFERROR(INDEX(Material_Detail!$D:$DC,MATCH($A43,Material_Detail!$DE:$DE,0),32),0)),SUMIFS(T_Shipments[Confirmed_Qty],T_Shipments[Part Name],$A43,T_Shipments[Effective_Week],32))</f>
        <v/>
      </c>
      <c r="AH43">
        <f>IF(COUNTIF(Material_Detail!$DE:$DE,$A43)&gt;0,IF(ISNUMBER(SEARCH("[済]",INDEX(Material_Detail!$D:$DC,MATCH($A43,Material_Detail!$DE:$DE,0)+1,33))),0,IFERROR(INDEX(Material_Detail!$D:$DC,MATCH($A43,Material_Detail!$DE:$DE,0),33),0)),SUMIFS(T_Shipments[Confirmed_Qty],T_Shipments[Part Name],$A43,T_Shipments[Effective_Week],33))</f>
        <v/>
      </c>
      <c r="AI43">
        <f>IF(COUNTIF(Material_Detail!$DE:$DE,$A43)&gt;0,IF(ISNUMBER(SEARCH("[済]",INDEX(Material_Detail!$D:$DC,MATCH($A43,Material_Detail!$DE:$DE,0)+1,34))),0,IFERROR(INDEX(Material_Detail!$D:$DC,MATCH($A43,Material_Detail!$DE:$DE,0),34),0)),SUMIFS(T_Shipments[Confirmed_Qty],T_Shipments[Part Name],$A43,T_Shipments[Effective_Week],34))</f>
        <v/>
      </c>
      <c r="AJ43">
        <f>IF(COUNTIF(Material_Detail!$DE:$DE,$A43)&gt;0,IF(ISNUMBER(SEARCH("[済]",INDEX(Material_Detail!$D:$DC,MATCH($A43,Material_Detail!$DE:$DE,0)+1,35))),0,IFERROR(INDEX(Material_Detail!$D:$DC,MATCH($A43,Material_Detail!$DE:$DE,0),35),0)),SUMIFS(T_Shipments[Confirmed_Qty],T_Shipments[Part Name],$A43,T_Shipments[Effective_Week],35))</f>
        <v/>
      </c>
      <c r="AK43">
        <f>IF(COUNTIF(Material_Detail!$DE:$DE,$A43)&gt;0,IF(ISNUMBER(SEARCH("[済]",INDEX(Material_Detail!$D:$DC,MATCH($A43,Material_Detail!$DE:$DE,0)+1,36))),0,IFERROR(INDEX(Material_Detail!$D:$DC,MATCH($A43,Material_Detail!$DE:$DE,0),36),0)),SUMIFS(T_Shipments[Confirmed_Qty],T_Shipments[Part Name],$A43,T_Shipments[Effective_Week],36))</f>
        <v/>
      </c>
      <c r="AL43">
        <f>IF(COUNTIF(Material_Detail!$DE:$DE,$A43)&gt;0,IF(ISNUMBER(SEARCH("[済]",INDEX(Material_Detail!$D:$DC,MATCH($A43,Material_Detail!$DE:$DE,0)+1,37))),0,IFERROR(INDEX(Material_Detail!$D:$DC,MATCH($A43,Material_Detail!$DE:$DE,0),37),0)),SUMIFS(T_Shipments[Confirmed_Qty],T_Shipments[Part Name],$A43,T_Shipments[Effective_Week],37))</f>
        <v/>
      </c>
      <c r="AM43">
        <f>IF(COUNTIF(Material_Detail!$DE:$DE,$A43)&gt;0,IF(ISNUMBER(SEARCH("[済]",INDEX(Material_Detail!$D:$DC,MATCH($A43,Material_Detail!$DE:$DE,0)+1,38))),0,IFERROR(INDEX(Material_Detail!$D:$DC,MATCH($A43,Material_Detail!$DE:$DE,0),38),0)),SUMIFS(T_Shipments[Confirmed_Qty],T_Shipments[Part Name],$A43,T_Shipments[Effective_Week],38))</f>
        <v/>
      </c>
      <c r="AN43">
        <f>IF(COUNTIF(Material_Detail!$DE:$DE,$A43)&gt;0,IF(ISNUMBER(SEARCH("[済]",INDEX(Material_Detail!$D:$DC,MATCH($A43,Material_Detail!$DE:$DE,0)+1,39))),0,IFERROR(INDEX(Material_Detail!$D:$DC,MATCH($A43,Material_Detail!$DE:$DE,0),39),0)),SUMIFS(T_Shipments[Confirmed_Qty],T_Shipments[Part Name],$A43,T_Shipments[Effective_Week],39))</f>
        <v/>
      </c>
      <c r="AO43">
        <f>IF(COUNTIF(Material_Detail!$DE:$DE,$A43)&gt;0,IF(ISNUMBER(SEARCH("[済]",INDEX(Material_Detail!$D:$DC,MATCH($A43,Material_Detail!$DE:$DE,0)+1,40))),0,IFERROR(INDEX(Material_Detail!$D:$DC,MATCH($A43,Material_Detail!$DE:$DE,0),40),0)),SUMIFS(T_Shipments[Confirmed_Qty],T_Shipments[Part Name],$A43,T_Shipments[Effective_Week],40))</f>
        <v/>
      </c>
      <c r="AP43">
        <f>IF(COUNTIF(Material_Detail!$DE:$DE,$A43)&gt;0,IF(ISNUMBER(SEARCH("[済]",INDEX(Material_Detail!$D:$DC,MATCH($A43,Material_Detail!$DE:$DE,0)+1,41))),0,IFERROR(INDEX(Material_Detail!$D:$DC,MATCH($A43,Material_Detail!$DE:$DE,0),41),0)),SUMIFS(T_Shipments[Confirmed_Qty],T_Shipments[Part Name],$A43,T_Shipments[Effective_Week],41))</f>
        <v/>
      </c>
      <c r="AQ43">
        <f>IF(COUNTIF(Material_Detail!$DE:$DE,$A43)&gt;0,IF(ISNUMBER(SEARCH("[済]",INDEX(Material_Detail!$D:$DC,MATCH($A43,Material_Detail!$DE:$DE,0)+1,42))),0,IFERROR(INDEX(Material_Detail!$D:$DC,MATCH($A43,Material_Detail!$DE:$DE,0),42),0)),SUMIFS(T_Shipments[Confirmed_Qty],T_Shipments[Part Name],$A43,T_Shipments[Effective_Week],42))</f>
        <v/>
      </c>
      <c r="AR43">
        <f>IF(COUNTIF(Material_Detail!$DE:$DE,$A43)&gt;0,IF(ISNUMBER(SEARCH("[済]",INDEX(Material_Detail!$D:$DC,MATCH($A43,Material_Detail!$DE:$DE,0)+1,43))),0,IFERROR(INDEX(Material_Detail!$D:$DC,MATCH($A43,Material_Detail!$DE:$DE,0),43),0)),SUMIFS(T_Shipments[Confirmed_Qty],T_Shipments[Part Name],$A43,T_Shipments[Effective_Week],43))</f>
        <v/>
      </c>
      <c r="AS43">
        <f>IF(COUNTIF(Material_Detail!$DE:$DE,$A43)&gt;0,IF(ISNUMBER(SEARCH("[済]",INDEX(Material_Detail!$D:$DC,MATCH($A43,Material_Detail!$DE:$DE,0)+1,44))),0,IFERROR(INDEX(Material_Detail!$D:$DC,MATCH($A43,Material_Detail!$DE:$DE,0),44),0)),SUMIFS(T_Shipments[Confirmed_Qty],T_Shipments[Part Name],$A43,T_Shipments[Effective_Week],44))</f>
        <v/>
      </c>
      <c r="AT43">
        <f>IF(COUNTIF(Material_Detail!$DE:$DE,$A43)&gt;0,IF(ISNUMBER(SEARCH("[済]",INDEX(Material_Detail!$D:$DC,MATCH($A43,Material_Detail!$DE:$DE,0)+1,45))),0,IFERROR(INDEX(Material_Detail!$D:$DC,MATCH($A43,Material_Detail!$DE:$DE,0),45),0)),SUMIFS(T_Shipments[Confirmed_Qty],T_Shipments[Part Name],$A43,T_Shipments[Effective_Week],45))</f>
        <v/>
      </c>
      <c r="AU43">
        <f>IF(COUNTIF(Material_Detail!$DE:$DE,$A43)&gt;0,IF(ISNUMBER(SEARCH("[済]",INDEX(Material_Detail!$D:$DC,MATCH($A43,Material_Detail!$DE:$DE,0)+1,46))),0,IFERROR(INDEX(Material_Detail!$D:$DC,MATCH($A43,Material_Detail!$DE:$DE,0),46),0)),SUMIFS(T_Shipments[Confirmed_Qty],T_Shipments[Part Name],$A43,T_Shipments[Effective_Week],46))</f>
        <v/>
      </c>
      <c r="AV43">
        <f>IF(COUNTIF(Material_Detail!$DE:$DE,$A43)&gt;0,IF(ISNUMBER(SEARCH("[済]",INDEX(Material_Detail!$D:$DC,MATCH($A43,Material_Detail!$DE:$DE,0)+1,47))),0,IFERROR(INDEX(Material_Detail!$D:$DC,MATCH($A43,Material_Detail!$DE:$DE,0),47),0)),SUMIFS(T_Shipments[Confirmed_Qty],T_Shipments[Part Name],$A43,T_Shipments[Effective_Week],47))</f>
        <v/>
      </c>
      <c r="AW43">
        <f>IF(COUNTIF(Material_Detail!$DE:$DE,$A43)&gt;0,IF(ISNUMBER(SEARCH("[済]",INDEX(Material_Detail!$D:$DC,MATCH($A43,Material_Detail!$DE:$DE,0)+1,48))),0,IFERROR(INDEX(Material_Detail!$D:$DC,MATCH($A43,Material_Detail!$DE:$DE,0),48),0)),SUMIFS(T_Shipments[Confirmed_Qty],T_Shipments[Part Name],$A43,T_Shipments[Effective_Week],48))</f>
        <v/>
      </c>
      <c r="AX43">
        <f>IF(COUNTIF(Material_Detail!$DE:$DE,$A43)&gt;0,IF(ISNUMBER(SEARCH("[済]",INDEX(Material_Detail!$D:$DC,MATCH($A43,Material_Detail!$DE:$DE,0)+1,49))),0,IFERROR(INDEX(Material_Detail!$D:$DC,MATCH($A43,Material_Detail!$DE:$DE,0),49),0)),SUMIFS(T_Shipments[Confirmed_Qty],T_Shipments[Part Name],$A43,T_Shipments[Effective_Week],49))</f>
        <v/>
      </c>
      <c r="AY43">
        <f>IF(COUNTIF(Material_Detail!$DE:$DE,$A43)&gt;0,IF(ISNUMBER(SEARCH("[済]",INDEX(Material_Detail!$D:$DC,MATCH($A43,Material_Detail!$DE:$DE,0)+1,50))),0,IFERROR(INDEX(Material_Detail!$D:$DC,MATCH($A43,Material_Detail!$DE:$DE,0),50),0)),SUMIFS(T_Shipments[Confirmed_Qty],T_Shipments[Part Name],$A43,T_Shipments[Effective_Week],50))</f>
        <v/>
      </c>
      <c r="AZ43">
        <f>IF(COUNTIF(Material_Detail!$DE:$DE,$A43)&gt;0,IF(ISNUMBER(SEARCH("[済]",INDEX(Material_Detail!$D:$DC,MATCH($A43,Material_Detail!$DE:$DE,0)+1,51))),0,IFERROR(INDEX(Material_Detail!$D:$DC,MATCH($A43,Material_Detail!$DE:$DE,0),51),0)),SUMIFS(T_Shipments[Confirmed_Qty],T_Shipments[Part Name],$A43,T_Shipments[Effective_Week],51))</f>
        <v/>
      </c>
      <c r="BA43">
        <f>IF(COUNTIF(Material_Detail!$DE:$DE,$A43)&gt;0,IF(ISNUMBER(SEARCH("[済]",INDEX(Material_Detail!$D:$DC,MATCH($A43,Material_Detail!$DE:$DE,0)+1,52))),0,IFERROR(INDEX(Material_Detail!$D:$DC,MATCH($A43,Material_Detail!$DE:$DE,0),52),0)),SUMIFS(T_Shipments[Confirmed_Qty],T_Shipments[Part Name],$A43,T_Shipments[Effective_Week],52))</f>
        <v/>
      </c>
      <c r="BB43">
        <f>IF(COUNTIF(Material_Detail!$DE:$DE,$A43)&gt;0,IF(ISNUMBER(SEARCH("[済]",INDEX(Material_Detail!$D:$DC,MATCH($A43,Material_Detail!$DE:$DE,0)+1,53))),0,IFERROR(INDEX(Material_Detail!$D:$DC,MATCH($A43,Material_Detail!$DE:$DE,0),53),0)),SUMIFS(T_Shipments[Confirmed_Qty],T_Shipments[Part Name],$A43,T_Shipments[Effective_Week],53))</f>
        <v/>
      </c>
      <c r="BC43">
        <f>IF(COUNTIF(Material_Detail!$DE:$DE,$A43)&gt;0,IF(ISNUMBER(SEARCH("[済]",INDEX(Material_Detail!$D:$DC,MATCH($A43,Material_Detail!$DE:$DE,0)+1,54))),0,IFERROR(INDEX(Material_Detail!$D:$DC,MATCH($A43,Material_Detail!$DE:$DE,0),54),0)),SUMIFS(T_Shipments[Confirmed_Qty],T_Shipments[Part Name],$A43,T_Shipments[Effective_Week],54))</f>
        <v/>
      </c>
      <c r="BD43">
        <f>IF(COUNTIF(Material_Detail!$DE:$DE,$A43)&gt;0,IF(ISNUMBER(SEARCH("[済]",INDEX(Material_Detail!$D:$DC,MATCH($A43,Material_Detail!$DE:$DE,0)+1,55))),0,IFERROR(INDEX(Material_Detail!$D:$DC,MATCH($A43,Material_Detail!$DE:$DE,0),55),0)),SUMIFS(T_Shipments[Confirmed_Qty],T_Shipments[Part Name],$A43,T_Shipments[Effective_Week],55))</f>
        <v/>
      </c>
      <c r="BE43">
        <f>IF(COUNTIF(Material_Detail!$DE:$DE,$A43)&gt;0,IF(ISNUMBER(SEARCH("[済]",INDEX(Material_Detail!$D:$DC,MATCH($A43,Material_Detail!$DE:$DE,0)+1,56))),0,IFERROR(INDEX(Material_Detail!$D:$DC,MATCH($A43,Material_Detail!$DE:$DE,0),56),0)),SUMIFS(T_Shipments[Confirmed_Qty],T_Shipments[Part Name],$A43,T_Shipments[Effective_Week],56))</f>
        <v/>
      </c>
      <c r="BF43">
        <f>IF(COUNTIF(Material_Detail!$DE:$DE,$A43)&gt;0,IF(ISNUMBER(SEARCH("[済]",INDEX(Material_Detail!$D:$DC,MATCH($A43,Material_Detail!$DE:$DE,0)+1,57))),0,IFERROR(INDEX(Material_Detail!$D:$DC,MATCH($A43,Material_Detail!$DE:$DE,0),57),0)),SUMIFS(T_Shipments[Confirmed_Qty],T_Shipments[Part Name],$A43,T_Shipments[Effective_Week],57))</f>
        <v/>
      </c>
      <c r="BG43">
        <f>IF(COUNTIF(Material_Detail!$DE:$DE,$A43)&gt;0,IF(ISNUMBER(SEARCH("[済]",INDEX(Material_Detail!$D:$DC,MATCH($A43,Material_Detail!$DE:$DE,0)+1,58))),0,IFERROR(INDEX(Material_Detail!$D:$DC,MATCH($A43,Material_Detail!$DE:$DE,0),58),0)),SUMIFS(T_Shipments[Confirmed_Qty],T_Shipments[Part Name],$A43,T_Shipments[Effective_Week],58))</f>
        <v/>
      </c>
      <c r="BH43">
        <f>IF(COUNTIF(Material_Detail!$DE:$DE,$A43)&gt;0,IF(ISNUMBER(SEARCH("[済]",INDEX(Material_Detail!$D:$DC,MATCH($A43,Material_Detail!$DE:$DE,0)+1,59))),0,IFERROR(INDEX(Material_Detail!$D:$DC,MATCH($A43,Material_Detail!$DE:$DE,0),59),0)),SUMIFS(T_Shipments[Confirmed_Qty],T_Shipments[Part Name],$A43,T_Shipments[Effective_Week],59))</f>
        <v/>
      </c>
      <c r="BI43">
        <f>IF(COUNTIF(Material_Detail!$DE:$DE,$A43)&gt;0,IF(ISNUMBER(SEARCH("[済]",INDEX(Material_Detail!$D:$DC,MATCH($A43,Material_Detail!$DE:$DE,0)+1,60))),0,IFERROR(INDEX(Material_Detail!$D:$DC,MATCH($A43,Material_Detail!$DE:$DE,0),60),0)),SUMIFS(T_Shipments[Confirmed_Qty],T_Shipments[Part Name],$A43,T_Shipments[Effective_Week],60))</f>
        <v/>
      </c>
      <c r="BJ43">
        <f>IF(COUNTIF(Material_Detail!$DE:$DE,$A43)&gt;0,IF(ISNUMBER(SEARCH("[済]",INDEX(Material_Detail!$D:$DC,MATCH($A43,Material_Detail!$DE:$DE,0)+1,61))),0,IFERROR(INDEX(Material_Detail!$D:$DC,MATCH($A43,Material_Detail!$DE:$DE,0),61),0)),SUMIFS(T_Shipments[Confirmed_Qty],T_Shipments[Part Name],$A43,T_Shipments[Effective_Week],61))</f>
        <v/>
      </c>
      <c r="BK43">
        <f>IF(COUNTIF(Material_Detail!$DE:$DE,$A43)&gt;0,IF(ISNUMBER(SEARCH("[済]",INDEX(Material_Detail!$D:$DC,MATCH($A43,Material_Detail!$DE:$DE,0)+1,62))),0,IFERROR(INDEX(Material_Detail!$D:$DC,MATCH($A43,Material_Detail!$DE:$DE,0),62),0)),SUMIFS(T_Shipments[Confirmed_Qty],T_Shipments[Part Name],$A43,T_Shipments[Effective_Week],62))</f>
        <v/>
      </c>
      <c r="BL43">
        <f>IF(COUNTIF(Material_Detail!$DE:$DE,$A43)&gt;0,IF(ISNUMBER(SEARCH("[済]",INDEX(Material_Detail!$D:$DC,MATCH($A43,Material_Detail!$DE:$DE,0)+1,63))),0,IFERROR(INDEX(Material_Detail!$D:$DC,MATCH($A43,Material_Detail!$DE:$DE,0),63),0)),SUMIFS(T_Shipments[Confirmed_Qty],T_Shipments[Part Name],$A43,T_Shipments[Effective_Week],63))</f>
        <v/>
      </c>
      <c r="BM43">
        <f>IF(COUNTIF(Material_Detail!$DE:$DE,$A43)&gt;0,IF(ISNUMBER(SEARCH("[済]",INDEX(Material_Detail!$D:$DC,MATCH($A43,Material_Detail!$DE:$DE,0)+1,64))),0,IFERROR(INDEX(Material_Detail!$D:$DC,MATCH($A43,Material_Detail!$DE:$DE,0),64),0)),SUMIFS(T_Shipments[Confirmed_Qty],T_Shipments[Part Name],$A43,T_Shipments[Effective_Week],64))</f>
        <v/>
      </c>
      <c r="BN43">
        <f>IF(COUNTIF(Material_Detail!$DE:$DE,$A43)&gt;0,IF(ISNUMBER(SEARCH("[済]",INDEX(Material_Detail!$D:$DC,MATCH($A43,Material_Detail!$DE:$DE,0)+1,65))),0,IFERROR(INDEX(Material_Detail!$D:$DC,MATCH($A43,Material_Detail!$DE:$DE,0),65),0)),SUMIFS(T_Shipments[Confirmed_Qty],T_Shipments[Part Name],$A43,T_Shipments[Effective_Week],65))</f>
        <v/>
      </c>
      <c r="BO43">
        <f>IF(COUNTIF(Material_Detail!$DE:$DE,$A43)&gt;0,IF(ISNUMBER(SEARCH("[済]",INDEX(Material_Detail!$D:$DC,MATCH($A43,Material_Detail!$DE:$DE,0)+1,66))),0,IFERROR(INDEX(Material_Detail!$D:$DC,MATCH($A43,Material_Detail!$DE:$DE,0),66),0)),SUMIFS(T_Shipments[Confirmed_Qty],T_Shipments[Part Name],$A43,T_Shipments[Effective_Week],66))</f>
        <v/>
      </c>
      <c r="BP43">
        <f>IF(COUNTIF(Material_Detail!$DE:$DE,$A43)&gt;0,IF(ISNUMBER(SEARCH("[済]",INDEX(Material_Detail!$D:$DC,MATCH($A43,Material_Detail!$DE:$DE,0)+1,67))),0,IFERROR(INDEX(Material_Detail!$D:$DC,MATCH($A43,Material_Detail!$DE:$DE,0),67),0)),SUMIFS(T_Shipments[Confirmed_Qty],T_Shipments[Part Name],$A43,T_Shipments[Effective_Week],67))</f>
        <v/>
      </c>
      <c r="BQ43">
        <f>IF(COUNTIF(Material_Detail!$DE:$DE,$A43)&gt;0,IF(ISNUMBER(SEARCH("[済]",INDEX(Material_Detail!$D:$DC,MATCH($A43,Material_Detail!$DE:$DE,0)+1,68))),0,IFERROR(INDEX(Material_Detail!$D:$DC,MATCH($A43,Material_Detail!$DE:$DE,0),68),0)),SUMIFS(T_Shipments[Confirmed_Qty],T_Shipments[Part Name],$A43,T_Shipments[Effective_Week],68))</f>
        <v/>
      </c>
      <c r="BR43">
        <f>IF(COUNTIF(Material_Detail!$DE:$DE,$A43)&gt;0,IF(ISNUMBER(SEARCH("[済]",INDEX(Material_Detail!$D:$DC,MATCH($A43,Material_Detail!$DE:$DE,0)+1,69))),0,IFERROR(INDEX(Material_Detail!$D:$DC,MATCH($A43,Material_Detail!$DE:$DE,0),69),0)),SUMIFS(T_Shipments[Confirmed_Qty],T_Shipments[Part Name],$A43,T_Shipments[Effective_Week],69))</f>
        <v/>
      </c>
      <c r="BS43">
        <f>IF(COUNTIF(Material_Detail!$DE:$DE,$A43)&gt;0,IF(ISNUMBER(SEARCH("[済]",INDEX(Material_Detail!$D:$DC,MATCH($A43,Material_Detail!$DE:$DE,0)+1,70))),0,IFERROR(INDEX(Material_Detail!$D:$DC,MATCH($A43,Material_Detail!$DE:$DE,0),70),0)),SUMIFS(T_Shipments[Confirmed_Qty],T_Shipments[Part Name],$A43,T_Shipments[Effective_Week],70))</f>
        <v/>
      </c>
      <c r="BT43">
        <f>IF(COUNTIF(Material_Detail!$DE:$DE,$A43)&gt;0,IF(ISNUMBER(SEARCH("[済]",INDEX(Material_Detail!$D:$DC,MATCH($A43,Material_Detail!$DE:$DE,0)+1,71))),0,IFERROR(INDEX(Material_Detail!$D:$DC,MATCH($A43,Material_Detail!$DE:$DE,0),71),0)),SUMIFS(T_Shipments[Confirmed_Qty],T_Shipments[Part Name],$A43,T_Shipments[Effective_Week],71))</f>
        <v/>
      </c>
      <c r="BU43">
        <f>IF(COUNTIF(Material_Detail!$DE:$DE,$A43)&gt;0,IF(ISNUMBER(SEARCH("[済]",INDEX(Material_Detail!$D:$DC,MATCH($A43,Material_Detail!$DE:$DE,0)+1,72))),0,IFERROR(INDEX(Material_Detail!$D:$DC,MATCH($A43,Material_Detail!$DE:$DE,0),72),0)),SUMIFS(T_Shipments[Confirmed_Qty],T_Shipments[Part Name],$A43,T_Shipments[Effective_Week],72))</f>
        <v/>
      </c>
      <c r="BV43">
        <f>IF(COUNTIF(Material_Detail!$DE:$DE,$A43)&gt;0,IF(ISNUMBER(SEARCH("[済]",INDEX(Material_Detail!$D:$DC,MATCH($A43,Material_Detail!$DE:$DE,0)+1,73))),0,IFERROR(INDEX(Material_Detail!$D:$DC,MATCH($A43,Material_Detail!$DE:$DE,0),73),0)),SUMIFS(T_Shipments[Confirmed_Qty],T_Shipments[Part Name],$A43,T_Shipments[Effective_Week],73))</f>
        <v/>
      </c>
      <c r="BW43">
        <f>IF(COUNTIF(Material_Detail!$DE:$DE,$A43)&gt;0,IF(ISNUMBER(SEARCH("[済]",INDEX(Material_Detail!$D:$DC,MATCH($A43,Material_Detail!$DE:$DE,0)+1,74))),0,IFERROR(INDEX(Material_Detail!$D:$DC,MATCH($A43,Material_Detail!$DE:$DE,0),74),0)),SUMIFS(T_Shipments[Confirmed_Qty],T_Shipments[Part Name],$A43,T_Shipments[Effective_Week],74))</f>
        <v/>
      </c>
      <c r="BX43">
        <f>IF(COUNTIF(Material_Detail!$DE:$DE,$A43)&gt;0,IF(ISNUMBER(SEARCH("[済]",INDEX(Material_Detail!$D:$DC,MATCH($A43,Material_Detail!$DE:$DE,0)+1,75))),0,IFERROR(INDEX(Material_Detail!$D:$DC,MATCH($A43,Material_Detail!$DE:$DE,0),75),0)),SUMIFS(T_Shipments[Confirmed_Qty],T_Shipments[Part Name],$A43,T_Shipments[Effective_Week],75))</f>
        <v/>
      </c>
      <c r="BY43">
        <f>IF(COUNTIF(Material_Detail!$DE:$DE,$A43)&gt;0,IF(ISNUMBER(SEARCH("[済]",INDEX(Material_Detail!$D:$DC,MATCH($A43,Material_Detail!$DE:$DE,0)+1,76))),0,IFERROR(INDEX(Material_Detail!$D:$DC,MATCH($A43,Material_Detail!$DE:$DE,0),76),0)),SUMIFS(T_Shipments[Confirmed_Qty],T_Shipments[Part Name],$A43,T_Shipments[Effective_Week],76))</f>
        <v/>
      </c>
      <c r="BZ43">
        <f>IF(COUNTIF(Material_Detail!$DE:$DE,$A43)&gt;0,IF(ISNUMBER(SEARCH("[済]",INDEX(Material_Detail!$D:$DC,MATCH($A43,Material_Detail!$DE:$DE,0)+1,77))),0,IFERROR(INDEX(Material_Detail!$D:$DC,MATCH($A43,Material_Detail!$DE:$DE,0),77),0)),SUMIFS(T_Shipments[Confirmed_Qty],T_Shipments[Part Name],$A43,T_Shipments[Effective_Week],77))</f>
        <v/>
      </c>
      <c r="CA43">
        <f>IF(COUNTIF(Material_Detail!$DE:$DE,$A43)&gt;0,IF(ISNUMBER(SEARCH("[済]",INDEX(Material_Detail!$D:$DC,MATCH($A43,Material_Detail!$DE:$DE,0)+1,78))),0,IFERROR(INDEX(Material_Detail!$D:$DC,MATCH($A43,Material_Detail!$DE:$DE,0),78),0)),SUMIFS(T_Shipments[Confirmed_Qty],T_Shipments[Part Name],$A43,T_Shipments[Effective_Week],78))</f>
        <v/>
      </c>
      <c r="CB43">
        <f>IF(COUNTIF(Material_Detail!$DE:$DE,$A43)&gt;0,IF(ISNUMBER(SEARCH("[済]",INDEX(Material_Detail!$D:$DC,MATCH($A43,Material_Detail!$DE:$DE,0)+1,79))),0,IFERROR(INDEX(Material_Detail!$D:$DC,MATCH($A43,Material_Detail!$DE:$DE,0),79),0)),SUMIFS(T_Shipments[Confirmed_Qty],T_Shipments[Part Name],$A43,T_Shipments[Effective_Week],79))</f>
        <v/>
      </c>
      <c r="CC43">
        <f>IF(COUNTIF(Material_Detail!$DE:$DE,$A43)&gt;0,IF(ISNUMBER(SEARCH("[済]",INDEX(Material_Detail!$D:$DC,MATCH($A43,Material_Detail!$DE:$DE,0)+1,80))),0,IFERROR(INDEX(Material_Detail!$D:$DC,MATCH($A43,Material_Detail!$DE:$DE,0),80),0)),SUMIFS(T_Shipments[Confirmed_Qty],T_Shipments[Part Name],$A43,T_Shipments[Effective_Week],80))</f>
        <v/>
      </c>
      <c r="CD43">
        <f>IF(COUNTIF(Material_Detail!$DE:$DE,$A43)&gt;0,IF(ISNUMBER(SEARCH("[済]",INDEX(Material_Detail!$D:$DC,MATCH($A43,Material_Detail!$DE:$DE,0)+1,81))),0,IFERROR(INDEX(Material_Detail!$D:$DC,MATCH($A43,Material_Detail!$DE:$DE,0),81),0)),SUMIFS(T_Shipments[Confirmed_Qty],T_Shipments[Part Name],$A43,T_Shipments[Effective_Week],81))</f>
        <v/>
      </c>
      <c r="CE43">
        <f>IF(COUNTIF(Material_Detail!$DE:$DE,$A43)&gt;0,IF(ISNUMBER(SEARCH("[済]",INDEX(Material_Detail!$D:$DC,MATCH($A43,Material_Detail!$DE:$DE,0)+1,82))),0,IFERROR(INDEX(Material_Detail!$D:$DC,MATCH($A43,Material_Detail!$DE:$DE,0),82),0)),SUMIFS(T_Shipments[Confirmed_Qty],T_Shipments[Part Name],$A43,T_Shipments[Effective_Week],82))</f>
        <v/>
      </c>
      <c r="CF43">
        <f>IF(COUNTIF(Material_Detail!$DE:$DE,$A43)&gt;0,IF(ISNUMBER(SEARCH("[済]",INDEX(Material_Detail!$D:$DC,MATCH($A43,Material_Detail!$DE:$DE,0)+1,83))),0,IFERROR(INDEX(Material_Detail!$D:$DC,MATCH($A43,Material_Detail!$DE:$DE,0),83),0)),SUMIFS(T_Shipments[Confirmed_Qty],T_Shipments[Part Name],$A43,T_Shipments[Effective_Week],83))</f>
        <v/>
      </c>
      <c r="CG43">
        <f>IF(COUNTIF(Material_Detail!$DE:$DE,$A43)&gt;0,IF(ISNUMBER(SEARCH("[済]",INDEX(Material_Detail!$D:$DC,MATCH($A43,Material_Detail!$DE:$DE,0)+1,84))),0,IFERROR(INDEX(Material_Detail!$D:$DC,MATCH($A43,Material_Detail!$DE:$DE,0),84),0)),SUMIFS(T_Shipments[Confirmed_Qty],T_Shipments[Part Name],$A43,T_Shipments[Effective_Week],84))</f>
        <v/>
      </c>
      <c r="CH43">
        <f>IF(COUNTIF(Material_Detail!$DE:$DE,$A43)&gt;0,IF(ISNUMBER(SEARCH("[済]",INDEX(Material_Detail!$D:$DC,MATCH($A43,Material_Detail!$DE:$DE,0)+1,85))),0,IFERROR(INDEX(Material_Detail!$D:$DC,MATCH($A43,Material_Detail!$DE:$DE,0),85),0)),SUMIFS(T_Shipments[Confirmed_Qty],T_Shipments[Part Name],$A43,T_Shipments[Effective_Week],85))</f>
        <v/>
      </c>
      <c r="CI43">
        <f>IF(COUNTIF(Material_Detail!$DE:$DE,$A43)&gt;0,IF(ISNUMBER(SEARCH("[済]",INDEX(Material_Detail!$D:$DC,MATCH($A43,Material_Detail!$DE:$DE,0)+1,86))),0,IFERROR(INDEX(Material_Detail!$D:$DC,MATCH($A43,Material_Detail!$DE:$DE,0),86),0)),SUMIFS(T_Shipments[Confirmed_Qty],T_Shipments[Part Name],$A43,T_Shipments[Effective_Week],86))</f>
        <v/>
      </c>
      <c r="CJ43">
        <f>IF(COUNTIF(Material_Detail!$DE:$DE,$A43)&gt;0,IF(ISNUMBER(SEARCH("[済]",INDEX(Material_Detail!$D:$DC,MATCH($A43,Material_Detail!$DE:$DE,0)+1,87))),0,IFERROR(INDEX(Material_Detail!$D:$DC,MATCH($A43,Material_Detail!$DE:$DE,0),87),0)),SUMIFS(T_Shipments[Confirmed_Qty],T_Shipments[Part Name],$A43,T_Shipments[Effective_Week],87))</f>
        <v/>
      </c>
      <c r="CK43">
        <f>IF(COUNTIF(Material_Detail!$DE:$DE,$A43)&gt;0,IF(ISNUMBER(SEARCH("[済]",INDEX(Material_Detail!$D:$DC,MATCH($A43,Material_Detail!$DE:$DE,0)+1,88))),0,IFERROR(INDEX(Material_Detail!$D:$DC,MATCH($A43,Material_Detail!$DE:$DE,0),88),0)),SUMIFS(T_Shipments[Confirmed_Qty],T_Shipments[Part Name],$A43,T_Shipments[Effective_Week],88))</f>
        <v/>
      </c>
      <c r="CL43">
        <f>IF(COUNTIF(Material_Detail!$DE:$DE,$A43)&gt;0,IF(ISNUMBER(SEARCH("[済]",INDEX(Material_Detail!$D:$DC,MATCH($A43,Material_Detail!$DE:$DE,0)+1,89))),0,IFERROR(INDEX(Material_Detail!$D:$DC,MATCH($A43,Material_Detail!$DE:$DE,0),89),0)),SUMIFS(T_Shipments[Confirmed_Qty],T_Shipments[Part Name],$A43,T_Shipments[Effective_Week],89))</f>
        <v/>
      </c>
      <c r="CM43">
        <f>IF(COUNTIF(Material_Detail!$DE:$DE,$A43)&gt;0,IF(ISNUMBER(SEARCH("[済]",INDEX(Material_Detail!$D:$DC,MATCH($A43,Material_Detail!$DE:$DE,0)+1,90))),0,IFERROR(INDEX(Material_Detail!$D:$DC,MATCH($A43,Material_Detail!$DE:$DE,0),90),0)),SUMIFS(T_Shipments[Confirmed_Qty],T_Shipments[Part Name],$A43,T_Shipments[Effective_Week],90))</f>
        <v/>
      </c>
      <c r="CN43">
        <f>IF(COUNTIF(Material_Detail!$DE:$DE,$A43)&gt;0,IF(ISNUMBER(SEARCH("[済]",INDEX(Material_Detail!$D:$DC,MATCH($A43,Material_Detail!$DE:$DE,0)+1,91))),0,IFERROR(INDEX(Material_Detail!$D:$DC,MATCH($A43,Material_Detail!$DE:$DE,0),91),0)),SUMIFS(T_Shipments[Confirmed_Qty],T_Shipments[Part Name],$A43,T_Shipments[Effective_Week],91))</f>
        <v/>
      </c>
      <c r="CO43">
        <f>IF(COUNTIF(Material_Detail!$DE:$DE,$A43)&gt;0,IF(ISNUMBER(SEARCH("[済]",INDEX(Material_Detail!$D:$DC,MATCH($A43,Material_Detail!$DE:$DE,0)+1,92))),0,IFERROR(INDEX(Material_Detail!$D:$DC,MATCH($A43,Material_Detail!$DE:$DE,0),92),0)),SUMIFS(T_Shipments[Confirmed_Qty],T_Shipments[Part Name],$A43,T_Shipments[Effective_Week],92))</f>
        <v/>
      </c>
      <c r="CP43">
        <f>IF(COUNTIF(Material_Detail!$DE:$DE,$A43)&gt;0,IF(ISNUMBER(SEARCH("[済]",INDEX(Material_Detail!$D:$DC,MATCH($A43,Material_Detail!$DE:$DE,0)+1,93))),0,IFERROR(INDEX(Material_Detail!$D:$DC,MATCH($A43,Material_Detail!$DE:$DE,0),93),0)),SUMIFS(T_Shipments[Confirmed_Qty],T_Shipments[Part Name],$A43,T_Shipments[Effective_Week],93))</f>
        <v/>
      </c>
      <c r="CQ43">
        <f>IF(COUNTIF(Material_Detail!$DE:$DE,$A43)&gt;0,IF(ISNUMBER(SEARCH("[済]",INDEX(Material_Detail!$D:$DC,MATCH($A43,Material_Detail!$DE:$DE,0)+1,94))),0,IFERROR(INDEX(Material_Detail!$D:$DC,MATCH($A43,Material_Detail!$DE:$DE,0),94),0)),SUMIFS(T_Shipments[Confirmed_Qty],T_Shipments[Part Name],$A43,T_Shipments[Effective_Week],94))</f>
        <v/>
      </c>
      <c r="CR43">
        <f>IF(COUNTIF(Material_Detail!$DE:$DE,$A43)&gt;0,IF(ISNUMBER(SEARCH("[済]",INDEX(Material_Detail!$D:$DC,MATCH($A43,Material_Detail!$DE:$DE,0)+1,95))),0,IFERROR(INDEX(Material_Detail!$D:$DC,MATCH($A43,Material_Detail!$DE:$DE,0),95),0)),SUMIFS(T_Shipments[Confirmed_Qty],T_Shipments[Part Name],$A43,T_Shipments[Effective_Week],95))</f>
        <v/>
      </c>
      <c r="CS43">
        <f>IF(COUNTIF(Material_Detail!$DE:$DE,$A43)&gt;0,IF(ISNUMBER(SEARCH("[済]",INDEX(Material_Detail!$D:$DC,MATCH($A43,Material_Detail!$DE:$DE,0)+1,96))),0,IFERROR(INDEX(Material_Detail!$D:$DC,MATCH($A43,Material_Detail!$DE:$DE,0),96),0)),SUMIFS(T_Shipments[Confirmed_Qty],T_Shipments[Part Name],$A43,T_Shipments[Effective_Week],96))</f>
        <v/>
      </c>
      <c r="CT43">
        <f>IF(COUNTIF(Material_Detail!$DE:$DE,$A43)&gt;0,IF(ISNUMBER(SEARCH("[済]",INDEX(Material_Detail!$D:$DC,MATCH($A43,Material_Detail!$DE:$DE,0)+1,97))),0,IFERROR(INDEX(Material_Detail!$D:$DC,MATCH($A43,Material_Detail!$DE:$DE,0),97),0)),SUMIFS(T_Shipments[Confirmed_Qty],T_Shipments[Part Name],$A43,T_Shipments[Effective_Week],97))</f>
        <v/>
      </c>
      <c r="CU43">
        <f>IF(COUNTIF(Material_Detail!$DE:$DE,$A43)&gt;0,IF(ISNUMBER(SEARCH("[済]",INDEX(Material_Detail!$D:$DC,MATCH($A43,Material_Detail!$DE:$DE,0)+1,98))),0,IFERROR(INDEX(Material_Detail!$D:$DC,MATCH($A43,Material_Detail!$DE:$DE,0),98),0)),SUMIFS(T_Shipments[Confirmed_Qty],T_Shipments[Part Name],$A43,T_Shipments[Effective_Week],98))</f>
        <v/>
      </c>
      <c r="CV43">
        <f>IF(COUNTIF(Material_Detail!$DE:$DE,$A43)&gt;0,IF(ISNUMBER(SEARCH("[済]",INDEX(Material_Detail!$D:$DC,MATCH($A43,Material_Detail!$DE:$DE,0)+1,99))),0,IFERROR(INDEX(Material_Detail!$D:$DC,MATCH($A43,Material_Detail!$DE:$DE,0),99),0)),SUMIFS(T_Shipments[Confirmed_Qty],T_Shipments[Part Name],$A43,T_Shipments[Effective_Week],99))</f>
        <v/>
      </c>
      <c r="CW43">
        <f>IF(COUNTIF(Material_Detail!$DE:$DE,$A43)&gt;0,IF(ISNUMBER(SEARCH("[済]",INDEX(Material_Detail!$D:$DC,MATCH($A43,Material_Detail!$DE:$DE,0)+1,100))),0,IFERROR(INDEX(Material_Detail!$D:$DC,MATCH($A43,Material_Detail!$DE:$DE,0),100),0)),SUMIFS(T_Shipments[Confirmed_Qty],T_Shipments[Part Name],$A43,T_Shipments[Effective_Week],100))</f>
        <v/>
      </c>
      <c r="CX43">
        <f>IF(COUNTIF(Material_Detail!$DE:$DE,$A43)&gt;0,IF(ISNUMBER(SEARCH("[済]",INDEX(Material_Detail!$D:$DC,MATCH($A43,Material_Detail!$DE:$DE,0)+1,101))),0,IFERROR(INDEX(Material_Detail!$D:$DC,MATCH($A43,Material_Detail!$DE:$DE,0),101),0)),SUMIFS(T_Shipments[Confirmed_Qty],T_Shipments[Part Name],$A43,T_Shipments[Effective_Week],101))</f>
        <v/>
      </c>
      <c r="CY43">
        <f>IF(COUNTIF(Material_Detail!$DE:$DE,$A43)&gt;0,IF(ISNUMBER(SEARCH("[済]",INDEX(Material_Detail!$D:$DC,MATCH($A43,Material_Detail!$DE:$DE,0)+1,102))),0,IFERROR(INDEX(Material_Detail!$D:$DC,MATCH($A43,Material_Detail!$DE:$DE,0),102),0)),SUMIFS(T_Shipments[Confirmed_Qty],T_Shipments[Part Name],$A43,T_Shipments[Effective_Week],102))</f>
        <v/>
      </c>
      <c r="CZ43">
        <f>IF(COUNTIF(Material_Detail!$DE:$DE,$A43)&gt;0,IF(ISNUMBER(SEARCH("[済]",INDEX(Material_Detail!$D:$DC,MATCH($A43,Material_Detail!$DE:$DE,0)+1,103))),0,IFERROR(INDEX(Material_Detail!$D:$DC,MATCH($A43,Material_Detail!$DE:$DE,0),103),0)),SUMIFS(T_Shipments[Confirmed_Qty],T_Shipments[Part Name],$A43,T_Shipments[Effective_Week],103))</f>
        <v/>
      </c>
      <c r="DA43">
        <f>IF(COUNTIF(Material_Detail!$DE:$DE,$A43)&gt;0,IF(ISNUMBER(SEARCH("[済]",INDEX(Material_Detail!$D:$DC,MATCH($A43,Material_Detail!$DE:$DE,0)+1,104))),0,IFERROR(INDEX(Material_Detail!$D:$DC,MATCH($A43,Material_Detail!$DE:$DE,0),104),0)),SUMIFS(T_Shipments[Confirmed_Qty],T_Shipments[Part Name],$A43,T_Shipments[Effective_Week],104))</f>
        <v/>
      </c>
    </row>
    <row r="44">
      <c r="A44" t="inlineStr">
        <is>
          <t>CHEM-1570</t>
        </is>
      </c>
      <c r="B44">
        <f>IF(COUNTIF(Material_Detail!$DE:$DE,$A44)&gt;0,IF(ISNUMBER(SEARCH("[済]",INDEX(Material_Detail!$D:$DC,MATCH($A44,Material_Detail!$DE:$DE,0)+1,1))),0,IFERROR(INDEX(Material_Detail!$D:$DC,MATCH($A44,Material_Detail!$DE:$DE,0),1),0)),SUMIFS(T_Shipments[Confirmed_Qty],T_Shipments[Part Name],$A44,T_Shipments[Effective_Week],1))</f>
        <v/>
      </c>
      <c r="C44">
        <f>IF(COUNTIF(Material_Detail!$DE:$DE,$A44)&gt;0,IF(ISNUMBER(SEARCH("[済]",INDEX(Material_Detail!$D:$DC,MATCH($A44,Material_Detail!$DE:$DE,0)+1,2))),0,IFERROR(INDEX(Material_Detail!$D:$DC,MATCH($A44,Material_Detail!$DE:$DE,0),2),0)),SUMIFS(T_Shipments[Confirmed_Qty],T_Shipments[Part Name],$A44,T_Shipments[Effective_Week],2))</f>
        <v/>
      </c>
      <c r="D44">
        <f>IF(COUNTIF(Material_Detail!$DE:$DE,$A44)&gt;0,IF(ISNUMBER(SEARCH("[済]",INDEX(Material_Detail!$D:$DC,MATCH($A44,Material_Detail!$DE:$DE,0)+1,3))),0,IFERROR(INDEX(Material_Detail!$D:$DC,MATCH($A44,Material_Detail!$DE:$DE,0),3),0)),SUMIFS(T_Shipments[Confirmed_Qty],T_Shipments[Part Name],$A44,T_Shipments[Effective_Week],3))</f>
        <v/>
      </c>
      <c r="E44">
        <f>IF(COUNTIF(Material_Detail!$DE:$DE,$A44)&gt;0,IF(ISNUMBER(SEARCH("[済]",INDEX(Material_Detail!$D:$DC,MATCH($A44,Material_Detail!$DE:$DE,0)+1,4))),0,IFERROR(INDEX(Material_Detail!$D:$DC,MATCH($A44,Material_Detail!$DE:$DE,0),4),0)),SUMIFS(T_Shipments[Confirmed_Qty],T_Shipments[Part Name],$A44,T_Shipments[Effective_Week],4))</f>
        <v/>
      </c>
      <c r="F44">
        <f>IF(COUNTIF(Material_Detail!$DE:$DE,$A44)&gt;0,IF(ISNUMBER(SEARCH("[済]",INDEX(Material_Detail!$D:$DC,MATCH($A44,Material_Detail!$DE:$DE,0)+1,5))),0,IFERROR(INDEX(Material_Detail!$D:$DC,MATCH($A44,Material_Detail!$DE:$DE,0),5),0)),SUMIFS(T_Shipments[Confirmed_Qty],T_Shipments[Part Name],$A44,T_Shipments[Effective_Week],5))</f>
        <v/>
      </c>
      <c r="G44">
        <f>IF(COUNTIF(Material_Detail!$DE:$DE,$A44)&gt;0,IF(ISNUMBER(SEARCH("[済]",INDEX(Material_Detail!$D:$DC,MATCH($A44,Material_Detail!$DE:$DE,0)+1,6))),0,IFERROR(INDEX(Material_Detail!$D:$DC,MATCH($A44,Material_Detail!$DE:$DE,0),6),0)),SUMIFS(T_Shipments[Confirmed_Qty],T_Shipments[Part Name],$A44,T_Shipments[Effective_Week],6))</f>
        <v/>
      </c>
      <c r="H44">
        <f>IF(COUNTIF(Material_Detail!$DE:$DE,$A44)&gt;0,IF(ISNUMBER(SEARCH("[済]",INDEX(Material_Detail!$D:$DC,MATCH($A44,Material_Detail!$DE:$DE,0)+1,7))),0,IFERROR(INDEX(Material_Detail!$D:$DC,MATCH($A44,Material_Detail!$DE:$DE,0),7),0)),SUMIFS(T_Shipments[Confirmed_Qty],T_Shipments[Part Name],$A44,T_Shipments[Effective_Week],7))</f>
        <v/>
      </c>
      <c r="I44">
        <f>IF(COUNTIF(Material_Detail!$DE:$DE,$A44)&gt;0,IF(ISNUMBER(SEARCH("[済]",INDEX(Material_Detail!$D:$DC,MATCH($A44,Material_Detail!$DE:$DE,0)+1,8))),0,IFERROR(INDEX(Material_Detail!$D:$DC,MATCH($A44,Material_Detail!$DE:$DE,0),8),0)),SUMIFS(T_Shipments[Confirmed_Qty],T_Shipments[Part Name],$A44,T_Shipments[Effective_Week],8))</f>
        <v/>
      </c>
      <c r="J44">
        <f>IF(COUNTIF(Material_Detail!$DE:$DE,$A44)&gt;0,IF(ISNUMBER(SEARCH("[済]",INDEX(Material_Detail!$D:$DC,MATCH($A44,Material_Detail!$DE:$DE,0)+1,9))),0,IFERROR(INDEX(Material_Detail!$D:$DC,MATCH($A44,Material_Detail!$DE:$DE,0),9),0)),SUMIFS(T_Shipments[Confirmed_Qty],T_Shipments[Part Name],$A44,T_Shipments[Effective_Week],9))</f>
        <v/>
      </c>
      <c r="K44">
        <f>IF(COUNTIF(Material_Detail!$DE:$DE,$A44)&gt;0,IF(ISNUMBER(SEARCH("[済]",INDEX(Material_Detail!$D:$DC,MATCH($A44,Material_Detail!$DE:$DE,0)+1,10))),0,IFERROR(INDEX(Material_Detail!$D:$DC,MATCH($A44,Material_Detail!$DE:$DE,0),10),0)),SUMIFS(T_Shipments[Confirmed_Qty],T_Shipments[Part Name],$A44,T_Shipments[Effective_Week],10))</f>
        <v/>
      </c>
      <c r="L44">
        <f>IF(COUNTIF(Material_Detail!$DE:$DE,$A44)&gt;0,IF(ISNUMBER(SEARCH("[済]",INDEX(Material_Detail!$D:$DC,MATCH($A44,Material_Detail!$DE:$DE,0)+1,11))),0,IFERROR(INDEX(Material_Detail!$D:$DC,MATCH($A44,Material_Detail!$DE:$DE,0),11),0)),SUMIFS(T_Shipments[Confirmed_Qty],T_Shipments[Part Name],$A44,T_Shipments[Effective_Week],11))</f>
        <v/>
      </c>
      <c r="M44">
        <f>IF(COUNTIF(Material_Detail!$DE:$DE,$A44)&gt;0,IF(ISNUMBER(SEARCH("[済]",INDEX(Material_Detail!$D:$DC,MATCH($A44,Material_Detail!$DE:$DE,0)+1,12))),0,IFERROR(INDEX(Material_Detail!$D:$DC,MATCH($A44,Material_Detail!$DE:$DE,0),12),0)),SUMIFS(T_Shipments[Confirmed_Qty],T_Shipments[Part Name],$A44,T_Shipments[Effective_Week],12))</f>
        <v/>
      </c>
      <c r="N44">
        <f>IF(COUNTIF(Material_Detail!$DE:$DE,$A44)&gt;0,IF(ISNUMBER(SEARCH("[済]",INDEX(Material_Detail!$D:$DC,MATCH($A44,Material_Detail!$DE:$DE,0)+1,13))),0,IFERROR(INDEX(Material_Detail!$D:$DC,MATCH($A44,Material_Detail!$DE:$DE,0),13),0)),SUMIFS(T_Shipments[Confirmed_Qty],T_Shipments[Part Name],$A44,T_Shipments[Effective_Week],13))</f>
        <v/>
      </c>
      <c r="O44">
        <f>IF(COUNTIF(Material_Detail!$DE:$DE,$A44)&gt;0,IF(ISNUMBER(SEARCH("[済]",INDEX(Material_Detail!$D:$DC,MATCH($A44,Material_Detail!$DE:$DE,0)+1,14))),0,IFERROR(INDEX(Material_Detail!$D:$DC,MATCH($A44,Material_Detail!$DE:$DE,0),14),0)),SUMIFS(T_Shipments[Confirmed_Qty],T_Shipments[Part Name],$A44,T_Shipments[Effective_Week],14))</f>
        <v/>
      </c>
      <c r="P44">
        <f>IF(COUNTIF(Material_Detail!$DE:$DE,$A44)&gt;0,IF(ISNUMBER(SEARCH("[済]",INDEX(Material_Detail!$D:$DC,MATCH($A44,Material_Detail!$DE:$DE,0)+1,15))),0,IFERROR(INDEX(Material_Detail!$D:$DC,MATCH($A44,Material_Detail!$DE:$DE,0),15),0)),SUMIFS(T_Shipments[Confirmed_Qty],T_Shipments[Part Name],$A44,T_Shipments[Effective_Week],15))</f>
        <v/>
      </c>
      <c r="Q44">
        <f>IF(COUNTIF(Material_Detail!$DE:$DE,$A44)&gt;0,IF(ISNUMBER(SEARCH("[済]",INDEX(Material_Detail!$D:$DC,MATCH($A44,Material_Detail!$DE:$DE,0)+1,16))),0,IFERROR(INDEX(Material_Detail!$D:$DC,MATCH($A44,Material_Detail!$DE:$DE,0),16),0)),SUMIFS(T_Shipments[Confirmed_Qty],T_Shipments[Part Name],$A44,T_Shipments[Effective_Week],16))</f>
        <v/>
      </c>
      <c r="R44">
        <f>IF(COUNTIF(Material_Detail!$DE:$DE,$A44)&gt;0,IF(ISNUMBER(SEARCH("[済]",INDEX(Material_Detail!$D:$DC,MATCH($A44,Material_Detail!$DE:$DE,0)+1,17))),0,IFERROR(INDEX(Material_Detail!$D:$DC,MATCH($A44,Material_Detail!$DE:$DE,0),17),0)),SUMIFS(T_Shipments[Confirmed_Qty],T_Shipments[Part Name],$A44,T_Shipments[Effective_Week],17))</f>
        <v/>
      </c>
      <c r="S44">
        <f>IF(COUNTIF(Material_Detail!$DE:$DE,$A44)&gt;0,IF(ISNUMBER(SEARCH("[済]",INDEX(Material_Detail!$D:$DC,MATCH($A44,Material_Detail!$DE:$DE,0)+1,18))),0,IFERROR(INDEX(Material_Detail!$D:$DC,MATCH($A44,Material_Detail!$DE:$DE,0),18),0)),SUMIFS(T_Shipments[Confirmed_Qty],T_Shipments[Part Name],$A44,T_Shipments[Effective_Week],18))</f>
        <v/>
      </c>
      <c r="T44">
        <f>IF(COUNTIF(Material_Detail!$DE:$DE,$A44)&gt;0,IF(ISNUMBER(SEARCH("[済]",INDEX(Material_Detail!$D:$DC,MATCH($A44,Material_Detail!$DE:$DE,0)+1,19))),0,IFERROR(INDEX(Material_Detail!$D:$DC,MATCH($A44,Material_Detail!$DE:$DE,0),19),0)),SUMIFS(T_Shipments[Confirmed_Qty],T_Shipments[Part Name],$A44,T_Shipments[Effective_Week],19))</f>
        <v/>
      </c>
      <c r="U44">
        <f>IF(COUNTIF(Material_Detail!$DE:$DE,$A44)&gt;0,IF(ISNUMBER(SEARCH("[済]",INDEX(Material_Detail!$D:$DC,MATCH($A44,Material_Detail!$DE:$DE,0)+1,20))),0,IFERROR(INDEX(Material_Detail!$D:$DC,MATCH($A44,Material_Detail!$DE:$DE,0),20),0)),SUMIFS(T_Shipments[Confirmed_Qty],T_Shipments[Part Name],$A44,T_Shipments[Effective_Week],20))</f>
        <v/>
      </c>
      <c r="V44">
        <f>IF(COUNTIF(Material_Detail!$DE:$DE,$A44)&gt;0,IF(ISNUMBER(SEARCH("[済]",INDEX(Material_Detail!$D:$DC,MATCH($A44,Material_Detail!$DE:$DE,0)+1,21))),0,IFERROR(INDEX(Material_Detail!$D:$DC,MATCH($A44,Material_Detail!$DE:$DE,0),21),0)),SUMIFS(T_Shipments[Confirmed_Qty],T_Shipments[Part Name],$A44,T_Shipments[Effective_Week],21))</f>
        <v/>
      </c>
      <c r="W44">
        <f>IF(COUNTIF(Material_Detail!$DE:$DE,$A44)&gt;0,IF(ISNUMBER(SEARCH("[済]",INDEX(Material_Detail!$D:$DC,MATCH($A44,Material_Detail!$DE:$DE,0)+1,22))),0,IFERROR(INDEX(Material_Detail!$D:$DC,MATCH($A44,Material_Detail!$DE:$DE,0),22),0)),SUMIFS(T_Shipments[Confirmed_Qty],T_Shipments[Part Name],$A44,T_Shipments[Effective_Week],22))</f>
        <v/>
      </c>
      <c r="X44">
        <f>IF(COUNTIF(Material_Detail!$DE:$DE,$A44)&gt;0,IF(ISNUMBER(SEARCH("[済]",INDEX(Material_Detail!$D:$DC,MATCH($A44,Material_Detail!$DE:$DE,0)+1,23))),0,IFERROR(INDEX(Material_Detail!$D:$DC,MATCH($A44,Material_Detail!$DE:$DE,0),23),0)),SUMIFS(T_Shipments[Confirmed_Qty],T_Shipments[Part Name],$A44,T_Shipments[Effective_Week],23))</f>
        <v/>
      </c>
      <c r="Y44">
        <f>IF(COUNTIF(Material_Detail!$DE:$DE,$A44)&gt;0,IF(ISNUMBER(SEARCH("[済]",INDEX(Material_Detail!$D:$DC,MATCH($A44,Material_Detail!$DE:$DE,0)+1,24))),0,IFERROR(INDEX(Material_Detail!$D:$DC,MATCH($A44,Material_Detail!$DE:$DE,0),24),0)),SUMIFS(T_Shipments[Confirmed_Qty],T_Shipments[Part Name],$A44,T_Shipments[Effective_Week],24))</f>
        <v/>
      </c>
      <c r="Z44">
        <f>IF(COUNTIF(Material_Detail!$DE:$DE,$A44)&gt;0,IF(ISNUMBER(SEARCH("[済]",INDEX(Material_Detail!$D:$DC,MATCH($A44,Material_Detail!$DE:$DE,0)+1,25))),0,IFERROR(INDEX(Material_Detail!$D:$DC,MATCH($A44,Material_Detail!$DE:$DE,0),25),0)),SUMIFS(T_Shipments[Confirmed_Qty],T_Shipments[Part Name],$A44,T_Shipments[Effective_Week],25))</f>
        <v/>
      </c>
      <c r="AA44">
        <f>IF(COUNTIF(Material_Detail!$DE:$DE,$A44)&gt;0,IF(ISNUMBER(SEARCH("[済]",INDEX(Material_Detail!$D:$DC,MATCH($A44,Material_Detail!$DE:$DE,0)+1,26))),0,IFERROR(INDEX(Material_Detail!$D:$DC,MATCH($A44,Material_Detail!$DE:$DE,0),26),0)),SUMIFS(T_Shipments[Confirmed_Qty],T_Shipments[Part Name],$A44,T_Shipments[Effective_Week],26))</f>
        <v/>
      </c>
      <c r="AB44">
        <f>IF(COUNTIF(Material_Detail!$DE:$DE,$A44)&gt;0,IF(ISNUMBER(SEARCH("[済]",INDEX(Material_Detail!$D:$DC,MATCH($A44,Material_Detail!$DE:$DE,0)+1,27))),0,IFERROR(INDEX(Material_Detail!$D:$DC,MATCH($A44,Material_Detail!$DE:$DE,0),27),0)),SUMIFS(T_Shipments[Confirmed_Qty],T_Shipments[Part Name],$A44,T_Shipments[Effective_Week],27))</f>
        <v/>
      </c>
      <c r="AC44">
        <f>IF(COUNTIF(Material_Detail!$DE:$DE,$A44)&gt;0,IF(ISNUMBER(SEARCH("[済]",INDEX(Material_Detail!$D:$DC,MATCH($A44,Material_Detail!$DE:$DE,0)+1,28))),0,IFERROR(INDEX(Material_Detail!$D:$DC,MATCH($A44,Material_Detail!$DE:$DE,0),28),0)),SUMIFS(T_Shipments[Confirmed_Qty],T_Shipments[Part Name],$A44,T_Shipments[Effective_Week],28))</f>
        <v/>
      </c>
      <c r="AD44">
        <f>IF(COUNTIF(Material_Detail!$DE:$DE,$A44)&gt;0,IF(ISNUMBER(SEARCH("[済]",INDEX(Material_Detail!$D:$DC,MATCH($A44,Material_Detail!$DE:$DE,0)+1,29))),0,IFERROR(INDEX(Material_Detail!$D:$DC,MATCH($A44,Material_Detail!$DE:$DE,0),29),0)),SUMIFS(T_Shipments[Confirmed_Qty],T_Shipments[Part Name],$A44,T_Shipments[Effective_Week],29))</f>
        <v/>
      </c>
      <c r="AE44">
        <f>IF(COUNTIF(Material_Detail!$DE:$DE,$A44)&gt;0,IF(ISNUMBER(SEARCH("[済]",INDEX(Material_Detail!$D:$DC,MATCH($A44,Material_Detail!$DE:$DE,0)+1,30))),0,IFERROR(INDEX(Material_Detail!$D:$DC,MATCH($A44,Material_Detail!$DE:$DE,0),30),0)),SUMIFS(T_Shipments[Confirmed_Qty],T_Shipments[Part Name],$A44,T_Shipments[Effective_Week],30))</f>
        <v/>
      </c>
      <c r="AF44">
        <f>IF(COUNTIF(Material_Detail!$DE:$DE,$A44)&gt;0,IF(ISNUMBER(SEARCH("[済]",INDEX(Material_Detail!$D:$DC,MATCH($A44,Material_Detail!$DE:$DE,0)+1,31))),0,IFERROR(INDEX(Material_Detail!$D:$DC,MATCH($A44,Material_Detail!$DE:$DE,0),31),0)),SUMIFS(T_Shipments[Confirmed_Qty],T_Shipments[Part Name],$A44,T_Shipments[Effective_Week],31))</f>
        <v/>
      </c>
      <c r="AG44">
        <f>IF(COUNTIF(Material_Detail!$DE:$DE,$A44)&gt;0,IF(ISNUMBER(SEARCH("[済]",INDEX(Material_Detail!$D:$DC,MATCH($A44,Material_Detail!$DE:$DE,0)+1,32))),0,IFERROR(INDEX(Material_Detail!$D:$DC,MATCH($A44,Material_Detail!$DE:$DE,0),32),0)),SUMIFS(T_Shipments[Confirmed_Qty],T_Shipments[Part Name],$A44,T_Shipments[Effective_Week],32))</f>
        <v/>
      </c>
      <c r="AH44">
        <f>IF(COUNTIF(Material_Detail!$DE:$DE,$A44)&gt;0,IF(ISNUMBER(SEARCH("[済]",INDEX(Material_Detail!$D:$DC,MATCH($A44,Material_Detail!$DE:$DE,0)+1,33))),0,IFERROR(INDEX(Material_Detail!$D:$DC,MATCH($A44,Material_Detail!$DE:$DE,0),33),0)),SUMIFS(T_Shipments[Confirmed_Qty],T_Shipments[Part Name],$A44,T_Shipments[Effective_Week],33))</f>
        <v/>
      </c>
      <c r="AI44">
        <f>IF(COUNTIF(Material_Detail!$DE:$DE,$A44)&gt;0,IF(ISNUMBER(SEARCH("[済]",INDEX(Material_Detail!$D:$DC,MATCH($A44,Material_Detail!$DE:$DE,0)+1,34))),0,IFERROR(INDEX(Material_Detail!$D:$DC,MATCH($A44,Material_Detail!$DE:$DE,0),34),0)),SUMIFS(T_Shipments[Confirmed_Qty],T_Shipments[Part Name],$A44,T_Shipments[Effective_Week],34))</f>
        <v/>
      </c>
      <c r="AJ44">
        <f>IF(COUNTIF(Material_Detail!$DE:$DE,$A44)&gt;0,IF(ISNUMBER(SEARCH("[済]",INDEX(Material_Detail!$D:$DC,MATCH($A44,Material_Detail!$DE:$DE,0)+1,35))),0,IFERROR(INDEX(Material_Detail!$D:$DC,MATCH($A44,Material_Detail!$DE:$DE,0),35),0)),SUMIFS(T_Shipments[Confirmed_Qty],T_Shipments[Part Name],$A44,T_Shipments[Effective_Week],35))</f>
        <v/>
      </c>
      <c r="AK44">
        <f>IF(COUNTIF(Material_Detail!$DE:$DE,$A44)&gt;0,IF(ISNUMBER(SEARCH("[済]",INDEX(Material_Detail!$D:$DC,MATCH($A44,Material_Detail!$DE:$DE,0)+1,36))),0,IFERROR(INDEX(Material_Detail!$D:$DC,MATCH($A44,Material_Detail!$DE:$DE,0),36),0)),SUMIFS(T_Shipments[Confirmed_Qty],T_Shipments[Part Name],$A44,T_Shipments[Effective_Week],36))</f>
        <v/>
      </c>
      <c r="AL44">
        <f>IF(COUNTIF(Material_Detail!$DE:$DE,$A44)&gt;0,IF(ISNUMBER(SEARCH("[済]",INDEX(Material_Detail!$D:$DC,MATCH($A44,Material_Detail!$DE:$DE,0)+1,37))),0,IFERROR(INDEX(Material_Detail!$D:$DC,MATCH($A44,Material_Detail!$DE:$DE,0),37),0)),SUMIFS(T_Shipments[Confirmed_Qty],T_Shipments[Part Name],$A44,T_Shipments[Effective_Week],37))</f>
        <v/>
      </c>
      <c r="AM44">
        <f>IF(COUNTIF(Material_Detail!$DE:$DE,$A44)&gt;0,IF(ISNUMBER(SEARCH("[済]",INDEX(Material_Detail!$D:$DC,MATCH($A44,Material_Detail!$DE:$DE,0)+1,38))),0,IFERROR(INDEX(Material_Detail!$D:$DC,MATCH($A44,Material_Detail!$DE:$DE,0),38),0)),SUMIFS(T_Shipments[Confirmed_Qty],T_Shipments[Part Name],$A44,T_Shipments[Effective_Week],38))</f>
        <v/>
      </c>
      <c r="AN44">
        <f>IF(COUNTIF(Material_Detail!$DE:$DE,$A44)&gt;0,IF(ISNUMBER(SEARCH("[済]",INDEX(Material_Detail!$D:$DC,MATCH($A44,Material_Detail!$DE:$DE,0)+1,39))),0,IFERROR(INDEX(Material_Detail!$D:$DC,MATCH($A44,Material_Detail!$DE:$DE,0),39),0)),SUMIFS(T_Shipments[Confirmed_Qty],T_Shipments[Part Name],$A44,T_Shipments[Effective_Week],39))</f>
        <v/>
      </c>
      <c r="AO44">
        <f>IF(COUNTIF(Material_Detail!$DE:$DE,$A44)&gt;0,IF(ISNUMBER(SEARCH("[済]",INDEX(Material_Detail!$D:$DC,MATCH($A44,Material_Detail!$DE:$DE,0)+1,40))),0,IFERROR(INDEX(Material_Detail!$D:$DC,MATCH($A44,Material_Detail!$DE:$DE,0),40),0)),SUMIFS(T_Shipments[Confirmed_Qty],T_Shipments[Part Name],$A44,T_Shipments[Effective_Week],40))</f>
        <v/>
      </c>
      <c r="AP44">
        <f>IF(COUNTIF(Material_Detail!$DE:$DE,$A44)&gt;0,IF(ISNUMBER(SEARCH("[済]",INDEX(Material_Detail!$D:$DC,MATCH($A44,Material_Detail!$DE:$DE,0)+1,41))),0,IFERROR(INDEX(Material_Detail!$D:$DC,MATCH($A44,Material_Detail!$DE:$DE,0),41),0)),SUMIFS(T_Shipments[Confirmed_Qty],T_Shipments[Part Name],$A44,T_Shipments[Effective_Week],41))</f>
        <v/>
      </c>
      <c r="AQ44">
        <f>IF(COUNTIF(Material_Detail!$DE:$DE,$A44)&gt;0,IF(ISNUMBER(SEARCH("[済]",INDEX(Material_Detail!$D:$DC,MATCH($A44,Material_Detail!$DE:$DE,0)+1,42))),0,IFERROR(INDEX(Material_Detail!$D:$DC,MATCH($A44,Material_Detail!$DE:$DE,0),42),0)),SUMIFS(T_Shipments[Confirmed_Qty],T_Shipments[Part Name],$A44,T_Shipments[Effective_Week],42))</f>
        <v/>
      </c>
      <c r="AR44">
        <f>IF(COUNTIF(Material_Detail!$DE:$DE,$A44)&gt;0,IF(ISNUMBER(SEARCH("[済]",INDEX(Material_Detail!$D:$DC,MATCH($A44,Material_Detail!$DE:$DE,0)+1,43))),0,IFERROR(INDEX(Material_Detail!$D:$DC,MATCH($A44,Material_Detail!$DE:$DE,0),43),0)),SUMIFS(T_Shipments[Confirmed_Qty],T_Shipments[Part Name],$A44,T_Shipments[Effective_Week],43))</f>
        <v/>
      </c>
      <c r="AS44">
        <f>IF(COUNTIF(Material_Detail!$DE:$DE,$A44)&gt;0,IF(ISNUMBER(SEARCH("[済]",INDEX(Material_Detail!$D:$DC,MATCH($A44,Material_Detail!$DE:$DE,0)+1,44))),0,IFERROR(INDEX(Material_Detail!$D:$DC,MATCH($A44,Material_Detail!$DE:$DE,0),44),0)),SUMIFS(T_Shipments[Confirmed_Qty],T_Shipments[Part Name],$A44,T_Shipments[Effective_Week],44))</f>
        <v/>
      </c>
      <c r="AT44">
        <f>IF(COUNTIF(Material_Detail!$DE:$DE,$A44)&gt;0,IF(ISNUMBER(SEARCH("[済]",INDEX(Material_Detail!$D:$DC,MATCH($A44,Material_Detail!$DE:$DE,0)+1,45))),0,IFERROR(INDEX(Material_Detail!$D:$DC,MATCH($A44,Material_Detail!$DE:$DE,0),45),0)),SUMIFS(T_Shipments[Confirmed_Qty],T_Shipments[Part Name],$A44,T_Shipments[Effective_Week],45))</f>
        <v/>
      </c>
      <c r="AU44">
        <f>IF(COUNTIF(Material_Detail!$DE:$DE,$A44)&gt;0,IF(ISNUMBER(SEARCH("[済]",INDEX(Material_Detail!$D:$DC,MATCH($A44,Material_Detail!$DE:$DE,0)+1,46))),0,IFERROR(INDEX(Material_Detail!$D:$DC,MATCH($A44,Material_Detail!$DE:$DE,0),46),0)),SUMIFS(T_Shipments[Confirmed_Qty],T_Shipments[Part Name],$A44,T_Shipments[Effective_Week],46))</f>
        <v/>
      </c>
      <c r="AV44">
        <f>IF(COUNTIF(Material_Detail!$DE:$DE,$A44)&gt;0,IF(ISNUMBER(SEARCH("[済]",INDEX(Material_Detail!$D:$DC,MATCH($A44,Material_Detail!$DE:$DE,0)+1,47))),0,IFERROR(INDEX(Material_Detail!$D:$DC,MATCH($A44,Material_Detail!$DE:$DE,0),47),0)),SUMIFS(T_Shipments[Confirmed_Qty],T_Shipments[Part Name],$A44,T_Shipments[Effective_Week],47))</f>
        <v/>
      </c>
      <c r="AW44">
        <f>IF(COUNTIF(Material_Detail!$DE:$DE,$A44)&gt;0,IF(ISNUMBER(SEARCH("[済]",INDEX(Material_Detail!$D:$DC,MATCH($A44,Material_Detail!$DE:$DE,0)+1,48))),0,IFERROR(INDEX(Material_Detail!$D:$DC,MATCH($A44,Material_Detail!$DE:$DE,0),48),0)),SUMIFS(T_Shipments[Confirmed_Qty],T_Shipments[Part Name],$A44,T_Shipments[Effective_Week],48))</f>
        <v/>
      </c>
      <c r="AX44">
        <f>IF(COUNTIF(Material_Detail!$DE:$DE,$A44)&gt;0,IF(ISNUMBER(SEARCH("[済]",INDEX(Material_Detail!$D:$DC,MATCH($A44,Material_Detail!$DE:$DE,0)+1,49))),0,IFERROR(INDEX(Material_Detail!$D:$DC,MATCH($A44,Material_Detail!$DE:$DE,0),49),0)),SUMIFS(T_Shipments[Confirmed_Qty],T_Shipments[Part Name],$A44,T_Shipments[Effective_Week],49))</f>
        <v/>
      </c>
      <c r="AY44">
        <f>IF(COUNTIF(Material_Detail!$DE:$DE,$A44)&gt;0,IF(ISNUMBER(SEARCH("[済]",INDEX(Material_Detail!$D:$DC,MATCH($A44,Material_Detail!$DE:$DE,0)+1,50))),0,IFERROR(INDEX(Material_Detail!$D:$DC,MATCH($A44,Material_Detail!$DE:$DE,0),50),0)),SUMIFS(T_Shipments[Confirmed_Qty],T_Shipments[Part Name],$A44,T_Shipments[Effective_Week],50))</f>
        <v/>
      </c>
      <c r="AZ44">
        <f>IF(COUNTIF(Material_Detail!$DE:$DE,$A44)&gt;0,IF(ISNUMBER(SEARCH("[済]",INDEX(Material_Detail!$D:$DC,MATCH($A44,Material_Detail!$DE:$DE,0)+1,51))),0,IFERROR(INDEX(Material_Detail!$D:$DC,MATCH($A44,Material_Detail!$DE:$DE,0),51),0)),SUMIFS(T_Shipments[Confirmed_Qty],T_Shipments[Part Name],$A44,T_Shipments[Effective_Week],51))</f>
        <v/>
      </c>
      <c r="BA44">
        <f>IF(COUNTIF(Material_Detail!$DE:$DE,$A44)&gt;0,IF(ISNUMBER(SEARCH("[済]",INDEX(Material_Detail!$D:$DC,MATCH($A44,Material_Detail!$DE:$DE,0)+1,52))),0,IFERROR(INDEX(Material_Detail!$D:$DC,MATCH($A44,Material_Detail!$DE:$DE,0),52),0)),SUMIFS(T_Shipments[Confirmed_Qty],T_Shipments[Part Name],$A44,T_Shipments[Effective_Week],52))</f>
        <v/>
      </c>
      <c r="BB44">
        <f>IF(COUNTIF(Material_Detail!$DE:$DE,$A44)&gt;0,IF(ISNUMBER(SEARCH("[済]",INDEX(Material_Detail!$D:$DC,MATCH($A44,Material_Detail!$DE:$DE,0)+1,53))),0,IFERROR(INDEX(Material_Detail!$D:$DC,MATCH($A44,Material_Detail!$DE:$DE,0),53),0)),SUMIFS(T_Shipments[Confirmed_Qty],T_Shipments[Part Name],$A44,T_Shipments[Effective_Week],53))</f>
        <v/>
      </c>
      <c r="BC44">
        <f>IF(COUNTIF(Material_Detail!$DE:$DE,$A44)&gt;0,IF(ISNUMBER(SEARCH("[済]",INDEX(Material_Detail!$D:$DC,MATCH($A44,Material_Detail!$DE:$DE,0)+1,54))),0,IFERROR(INDEX(Material_Detail!$D:$DC,MATCH($A44,Material_Detail!$DE:$DE,0),54),0)),SUMIFS(T_Shipments[Confirmed_Qty],T_Shipments[Part Name],$A44,T_Shipments[Effective_Week],54))</f>
        <v/>
      </c>
      <c r="BD44">
        <f>IF(COUNTIF(Material_Detail!$DE:$DE,$A44)&gt;0,IF(ISNUMBER(SEARCH("[済]",INDEX(Material_Detail!$D:$DC,MATCH($A44,Material_Detail!$DE:$DE,0)+1,55))),0,IFERROR(INDEX(Material_Detail!$D:$DC,MATCH($A44,Material_Detail!$DE:$DE,0),55),0)),SUMIFS(T_Shipments[Confirmed_Qty],T_Shipments[Part Name],$A44,T_Shipments[Effective_Week],55))</f>
        <v/>
      </c>
      <c r="BE44">
        <f>IF(COUNTIF(Material_Detail!$DE:$DE,$A44)&gt;0,IF(ISNUMBER(SEARCH("[済]",INDEX(Material_Detail!$D:$DC,MATCH($A44,Material_Detail!$DE:$DE,0)+1,56))),0,IFERROR(INDEX(Material_Detail!$D:$DC,MATCH($A44,Material_Detail!$DE:$DE,0),56),0)),SUMIFS(T_Shipments[Confirmed_Qty],T_Shipments[Part Name],$A44,T_Shipments[Effective_Week],56))</f>
        <v/>
      </c>
      <c r="BF44">
        <f>IF(COUNTIF(Material_Detail!$DE:$DE,$A44)&gt;0,IF(ISNUMBER(SEARCH("[済]",INDEX(Material_Detail!$D:$DC,MATCH($A44,Material_Detail!$DE:$DE,0)+1,57))),0,IFERROR(INDEX(Material_Detail!$D:$DC,MATCH($A44,Material_Detail!$DE:$DE,0),57),0)),SUMIFS(T_Shipments[Confirmed_Qty],T_Shipments[Part Name],$A44,T_Shipments[Effective_Week],57))</f>
        <v/>
      </c>
      <c r="BG44">
        <f>IF(COUNTIF(Material_Detail!$DE:$DE,$A44)&gt;0,IF(ISNUMBER(SEARCH("[済]",INDEX(Material_Detail!$D:$DC,MATCH($A44,Material_Detail!$DE:$DE,0)+1,58))),0,IFERROR(INDEX(Material_Detail!$D:$DC,MATCH($A44,Material_Detail!$DE:$DE,0),58),0)),SUMIFS(T_Shipments[Confirmed_Qty],T_Shipments[Part Name],$A44,T_Shipments[Effective_Week],58))</f>
        <v/>
      </c>
      <c r="BH44">
        <f>IF(COUNTIF(Material_Detail!$DE:$DE,$A44)&gt;0,IF(ISNUMBER(SEARCH("[済]",INDEX(Material_Detail!$D:$DC,MATCH($A44,Material_Detail!$DE:$DE,0)+1,59))),0,IFERROR(INDEX(Material_Detail!$D:$DC,MATCH($A44,Material_Detail!$DE:$DE,0),59),0)),SUMIFS(T_Shipments[Confirmed_Qty],T_Shipments[Part Name],$A44,T_Shipments[Effective_Week],59))</f>
        <v/>
      </c>
      <c r="BI44">
        <f>IF(COUNTIF(Material_Detail!$DE:$DE,$A44)&gt;0,IF(ISNUMBER(SEARCH("[済]",INDEX(Material_Detail!$D:$DC,MATCH($A44,Material_Detail!$DE:$DE,0)+1,60))),0,IFERROR(INDEX(Material_Detail!$D:$DC,MATCH($A44,Material_Detail!$DE:$DE,0),60),0)),SUMIFS(T_Shipments[Confirmed_Qty],T_Shipments[Part Name],$A44,T_Shipments[Effective_Week],60))</f>
        <v/>
      </c>
      <c r="BJ44">
        <f>IF(COUNTIF(Material_Detail!$DE:$DE,$A44)&gt;0,IF(ISNUMBER(SEARCH("[済]",INDEX(Material_Detail!$D:$DC,MATCH($A44,Material_Detail!$DE:$DE,0)+1,61))),0,IFERROR(INDEX(Material_Detail!$D:$DC,MATCH($A44,Material_Detail!$DE:$DE,0),61),0)),SUMIFS(T_Shipments[Confirmed_Qty],T_Shipments[Part Name],$A44,T_Shipments[Effective_Week],61))</f>
        <v/>
      </c>
      <c r="BK44">
        <f>IF(COUNTIF(Material_Detail!$DE:$DE,$A44)&gt;0,IF(ISNUMBER(SEARCH("[済]",INDEX(Material_Detail!$D:$DC,MATCH($A44,Material_Detail!$DE:$DE,0)+1,62))),0,IFERROR(INDEX(Material_Detail!$D:$DC,MATCH($A44,Material_Detail!$DE:$DE,0),62),0)),SUMIFS(T_Shipments[Confirmed_Qty],T_Shipments[Part Name],$A44,T_Shipments[Effective_Week],62))</f>
        <v/>
      </c>
      <c r="BL44">
        <f>IF(COUNTIF(Material_Detail!$DE:$DE,$A44)&gt;0,IF(ISNUMBER(SEARCH("[済]",INDEX(Material_Detail!$D:$DC,MATCH($A44,Material_Detail!$DE:$DE,0)+1,63))),0,IFERROR(INDEX(Material_Detail!$D:$DC,MATCH($A44,Material_Detail!$DE:$DE,0),63),0)),SUMIFS(T_Shipments[Confirmed_Qty],T_Shipments[Part Name],$A44,T_Shipments[Effective_Week],63))</f>
        <v/>
      </c>
      <c r="BM44">
        <f>IF(COUNTIF(Material_Detail!$DE:$DE,$A44)&gt;0,IF(ISNUMBER(SEARCH("[済]",INDEX(Material_Detail!$D:$DC,MATCH($A44,Material_Detail!$DE:$DE,0)+1,64))),0,IFERROR(INDEX(Material_Detail!$D:$DC,MATCH($A44,Material_Detail!$DE:$DE,0),64),0)),SUMIFS(T_Shipments[Confirmed_Qty],T_Shipments[Part Name],$A44,T_Shipments[Effective_Week],64))</f>
        <v/>
      </c>
      <c r="BN44">
        <f>IF(COUNTIF(Material_Detail!$DE:$DE,$A44)&gt;0,IF(ISNUMBER(SEARCH("[済]",INDEX(Material_Detail!$D:$DC,MATCH($A44,Material_Detail!$DE:$DE,0)+1,65))),0,IFERROR(INDEX(Material_Detail!$D:$DC,MATCH($A44,Material_Detail!$DE:$DE,0),65),0)),SUMIFS(T_Shipments[Confirmed_Qty],T_Shipments[Part Name],$A44,T_Shipments[Effective_Week],65))</f>
        <v/>
      </c>
      <c r="BO44">
        <f>IF(COUNTIF(Material_Detail!$DE:$DE,$A44)&gt;0,IF(ISNUMBER(SEARCH("[済]",INDEX(Material_Detail!$D:$DC,MATCH($A44,Material_Detail!$DE:$DE,0)+1,66))),0,IFERROR(INDEX(Material_Detail!$D:$DC,MATCH($A44,Material_Detail!$DE:$DE,0),66),0)),SUMIFS(T_Shipments[Confirmed_Qty],T_Shipments[Part Name],$A44,T_Shipments[Effective_Week],66))</f>
        <v/>
      </c>
      <c r="BP44">
        <f>IF(COUNTIF(Material_Detail!$DE:$DE,$A44)&gt;0,IF(ISNUMBER(SEARCH("[済]",INDEX(Material_Detail!$D:$DC,MATCH($A44,Material_Detail!$DE:$DE,0)+1,67))),0,IFERROR(INDEX(Material_Detail!$D:$DC,MATCH($A44,Material_Detail!$DE:$DE,0),67),0)),SUMIFS(T_Shipments[Confirmed_Qty],T_Shipments[Part Name],$A44,T_Shipments[Effective_Week],67))</f>
        <v/>
      </c>
      <c r="BQ44">
        <f>IF(COUNTIF(Material_Detail!$DE:$DE,$A44)&gt;0,IF(ISNUMBER(SEARCH("[済]",INDEX(Material_Detail!$D:$DC,MATCH($A44,Material_Detail!$DE:$DE,0)+1,68))),0,IFERROR(INDEX(Material_Detail!$D:$DC,MATCH($A44,Material_Detail!$DE:$DE,0),68),0)),SUMIFS(T_Shipments[Confirmed_Qty],T_Shipments[Part Name],$A44,T_Shipments[Effective_Week],68))</f>
        <v/>
      </c>
      <c r="BR44">
        <f>IF(COUNTIF(Material_Detail!$DE:$DE,$A44)&gt;0,IF(ISNUMBER(SEARCH("[済]",INDEX(Material_Detail!$D:$DC,MATCH($A44,Material_Detail!$DE:$DE,0)+1,69))),0,IFERROR(INDEX(Material_Detail!$D:$DC,MATCH($A44,Material_Detail!$DE:$DE,0),69),0)),SUMIFS(T_Shipments[Confirmed_Qty],T_Shipments[Part Name],$A44,T_Shipments[Effective_Week],69))</f>
        <v/>
      </c>
      <c r="BS44">
        <f>IF(COUNTIF(Material_Detail!$DE:$DE,$A44)&gt;0,IF(ISNUMBER(SEARCH("[済]",INDEX(Material_Detail!$D:$DC,MATCH($A44,Material_Detail!$DE:$DE,0)+1,70))),0,IFERROR(INDEX(Material_Detail!$D:$DC,MATCH($A44,Material_Detail!$DE:$DE,0),70),0)),SUMIFS(T_Shipments[Confirmed_Qty],T_Shipments[Part Name],$A44,T_Shipments[Effective_Week],70))</f>
        <v/>
      </c>
      <c r="BT44">
        <f>IF(COUNTIF(Material_Detail!$DE:$DE,$A44)&gt;0,IF(ISNUMBER(SEARCH("[済]",INDEX(Material_Detail!$D:$DC,MATCH($A44,Material_Detail!$DE:$DE,0)+1,71))),0,IFERROR(INDEX(Material_Detail!$D:$DC,MATCH($A44,Material_Detail!$DE:$DE,0),71),0)),SUMIFS(T_Shipments[Confirmed_Qty],T_Shipments[Part Name],$A44,T_Shipments[Effective_Week],71))</f>
        <v/>
      </c>
      <c r="BU44">
        <f>IF(COUNTIF(Material_Detail!$DE:$DE,$A44)&gt;0,IF(ISNUMBER(SEARCH("[済]",INDEX(Material_Detail!$D:$DC,MATCH($A44,Material_Detail!$DE:$DE,0)+1,72))),0,IFERROR(INDEX(Material_Detail!$D:$DC,MATCH($A44,Material_Detail!$DE:$DE,0),72),0)),SUMIFS(T_Shipments[Confirmed_Qty],T_Shipments[Part Name],$A44,T_Shipments[Effective_Week],72))</f>
        <v/>
      </c>
      <c r="BV44">
        <f>IF(COUNTIF(Material_Detail!$DE:$DE,$A44)&gt;0,IF(ISNUMBER(SEARCH("[済]",INDEX(Material_Detail!$D:$DC,MATCH($A44,Material_Detail!$DE:$DE,0)+1,73))),0,IFERROR(INDEX(Material_Detail!$D:$DC,MATCH($A44,Material_Detail!$DE:$DE,0),73),0)),SUMIFS(T_Shipments[Confirmed_Qty],T_Shipments[Part Name],$A44,T_Shipments[Effective_Week],73))</f>
        <v/>
      </c>
      <c r="BW44">
        <f>IF(COUNTIF(Material_Detail!$DE:$DE,$A44)&gt;0,IF(ISNUMBER(SEARCH("[済]",INDEX(Material_Detail!$D:$DC,MATCH($A44,Material_Detail!$DE:$DE,0)+1,74))),0,IFERROR(INDEX(Material_Detail!$D:$DC,MATCH($A44,Material_Detail!$DE:$DE,0),74),0)),SUMIFS(T_Shipments[Confirmed_Qty],T_Shipments[Part Name],$A44,T_Shipments[Effective_Week],74))</f>
        <v/>
      </c>
      <c r="BX44">
        <f>IF(COUNTIF(Material_Detail!$DE:$DE,$A44)&gt;0,IF(ISNUMBER(SEARCH("[済]",INDEX(Material_Detail!$D:$DC,MATCH($A44,Material_Detail!$DE:$DE,0)+1,75))),0,IFERROR(INDEX(Material_Detail!$D:$DC,MATCH($A44,Material_Detail!$DE:$DE,0),75),0)),SUMIFS(T_Shipments[Confirmed_Qty],T_Shipments[Part Name],$A44,T_Shipments[Effective_Week],75))</f>
        <v/>
      </c>
      <c r="BY44">
        <f>IF(COUNTIF(Material_Detail!$DE:$DE,$A44)&gt;0,IF(ISNUMBER(SEARCH("[済]",INDEX(Material_Detail!$D:$DC,MATCH($A44,Material_Detail!$DE:$DE,0)+1,76))),0,IFERROR(INDEX(Material_Detail!$D:$DC,MATCH($A44,Material_Detail!$DE:$DE,0),76),0)),SUMIFS(T_Shipments[Confirmed_Qty],T_Shipments[Part Name],$A44,T_Shipments[Effective_Week],76))</f>
        <v/>
      </c>
      <c r="BZ44">
        <f>IF(COUNTIF(Material_Detail!$DE:$DE,$A44)&gt;0,IF(ISNUMBER(SEARCH("[済]",INDEX(Material_Detail!$D:$DC,MATCH($A44,Material_Detail!$DE:$DE,0)+1,77))),0,IFERROR(INDEX(Material_Detail!$D:$DC,MATCH($A44,Material_Detail!$DE:$DE,0),77),0)),SUMIFS(T_Shipments[Confirmed_Qty],T_Shipments[Part Name],$A44,T_Shipments[Effective_Week],77))</f>
        <v/>
      </c>
      <c r="CA44">
        <f>IF(COUNTIF(Material_Detail!$DE:$DE,$A44)&gt;0,IF(ISNUMBER(SEARCH("[済]",INDEX(Material_Detail!$D:$DC,MATCH($A44,Material_Detail!$DE:$DE,0)+1,78))),0,IFERROR(INDEX(Material_Detail!$D:$DC,MATCH($A44,Material_Detail!$DE:$DE,0),78),0)),SUMIFS(T_Shipments[Confirmed_Qty],T_Shipments[Part Name],$A44,T_Shipments[Effective_Week],78))</f>
        <v/>
      </c>
      <c r="CB44">
        <f>IF(COUNTIF(Material_Detail!$DE:$DE,$A44)&gt;0,IF(ISNUMBER(SEARCH("[済]",INDEX(Material_Detail!$D:$DC,MATCH($A44,Material_Detail!$DE:$DE,0)+1,79))),0,IFERROR(INDEX(Material_Detail!$D:$DC,MATCH($A44,Material_Detail!$DE:$DE,0),79),0)),SUMIFS(T_Shipments[Confirmed_Qty],T_Shipments[Part Name],$A44,T_Shipments[Effective_Week],79))</f>
        <v/>
      </c>
      <c r="CC44">
        <f>IF(COUNTIF(Material_Detail!$DE:$DE,$A44)&gt;0,IF(ISNUMBER(SEARCH("[済]",INDEX(Material_Detail!$D:$DC,MATCH($A44,Material_Detail!$DE:$DE,0)+1,80))),0,IFERROR(INDEX(Material_Detail!$D:$DC,MATCH($A44,Material_Detail!$DE:$DE,0),80),0)),SUMIFS(T_Shipments[Confirmed_Qty],T_Shipments[Part Name],$A44,T_Shipments[Effective_Week],80))</f>
        <v/>
      </c>
      <c r="CD44">
        <f>IF(COUNTIF(Material_Detail!$DE:$DE,$A44)&gt;0,IF(ISNUMBER(SEARCH("[済]",INDEX(Material_Detail!$D:$DC,MATCH($A44,Material_Detail!$DE:$DE,0)+1,81))),0,IFERROR(INDEX(Material_Detail!$D:$DC,MATCH($A44,Material_Detail!$DE:$DE,0),81),0)),SUMIFS(T_Shipments[Confirmed_Qty],T_Shipments[Part Name],$A44,T_Shipments[Effective_Week],81))</f>
        <v/>
      </c>
      <c r="CE44">
        <f>IF(COUNTIF(Material_Detail!$DE:$DE,$A44)&gt;0,IF(ISNUMBER(SEARCH("[済]",INDEX(Material_Detail!$D:$DC,MATCH($A44,Material_Detail!$DE:$DE,0)+1,82))),0,IFERROR(INDEX(Material_Detail!$D:$DC,MATCH($A44,Material_Detail!$DE:$DE,0),82),0)),SUMIFS(T_Shipments[Confirmed_Qty],T_Shipments[Part Name],$A44,T_Shipments[Effective_Week],82))</f>
        <v/>
      </c>
      <c r="CF44">
        <f>IF(COUNTIF(Material_Detail!$DE:$DE,$A44)&gt;0,IF(ISNUMBER(SEARCH("[済]",INDEX(Material_Detail!$D:$DC,MATCH($A44,Material_Detail!$DE:$DE,0)+1,83))),0,IFERROR(INDEX(Material_Detail!$D:$DC,MATCH($A44,Material_Detail!$DE:$DE,0),83),0)),SUMIFS(T_Shipments[Confirmed_Qty],T_Shipments[Part Name],$A44,T_Shipments[Effective_Week],83))</f>
        <v/>
      </c>
      <c r="CG44">
        <f>IF(COUNTIF(Material_Detail!$DE:$DE,$A44)&gt;0,IF(ISNUMBER(SEARCH("[済]",INDEX(Material_Detail!$D:$DC,MATCH($A44,Material_Detail!$DE:$DE,0)+1,84))),0,IFERROR(INDEX(Material_Detail!$D:$DC,MATCH($A44,Material_Detail!$DE:$DE,0),84),0)),SUMIFS(T_Shipments[Confirmed_Qty],T_Shipments[Part Name],$A44,T_Shipments[Effective_Week],84))</f>
        <v/>
      </c>
      <c r="CH44">
        <f>IF(COUNTIF(Material_Detail!$DE:$DE,$A44)&gt;0,IF(ISNUMBER(SEARCH("[済]",INDEX(Material_Detail!$D:$DC,MATCH($A44,Material_Detail!$DE:$DE,0)+1,85))),0,IFERROR(INDEX(Material_Detail!$D:$DC,MATCH($A44,Material_Detail!$DE:$DE,0),85),0)),SUMIFS(T_Shipments[Confirmed_Qty],T_Shipments[Part Name],$A44,T_Shipments[Effective_Week],85))</f>
        <v/>
      </c>
      <c r="CI44">
        <f>IF(COUNTIF(Material_Detail!$DE:$DE,$A44)&gt;0,IF(ISNUMBER(SEARCH("[済]",INDEX(Material_Detail!$D:$DC,MATCH($A44,Material_Detail!$DE:$DE,0)+1,86))),0,IFERROR(INDEX(Material_Detail!$D:$DC,MATCH($A44,Material_Detail!$DE:$DE,0),86),0)),SUMIFS(T_Shipments[Confirmed_Qty],T_Shipments[Part Name],$A44,T_Shipments[Effective_Week],86))</f>
        <v/>
      </c>
      <c r="CJ44">
        <f>IF(COUNTIF(Material_Detail!$DE:$DE,$A44)&gt;0,IF(ISNUMBER(SEARCH("[済]",INDEX(Material_Detail!$D:$DC,MATCH($A44,Material_Detail!$DE:$DE,0)+1,87))),0,IFERROR(INDEX(Material_Detail!$D:$DC,MATCH($A44,Material_Detail!$DE:$DE,0),87),0)),SUMIFS(T_Shipments[Confirmed_Qty],T_Shipments[Part Name],$A44,T_Shipments[Effective_Week],87))</f>
        <v/>
      </c>
      <c r="CK44">
        <f>IF(COUNTIF(Material_Detail!$DE:$DE,$A44)&gt;0,IF(ISNUMBER(SEARCH("[済]",INDEX(Material_Detail!$D:$DC,MATCH($A44,Material_Detail!$DE:$DE,0)+1,88))),0,IFERROR(INDEX(Material_Detail!$D:$DC,MATCH($A44,Material_Detail!$DE:$DE,0),88),0)),SUMIFS(T_Shipments[Confirmed_Qty],T_Shipments[Part Name],$A44,T_Shipments[Effective_Week],88))</f>
        <v/>
      </c>
      <c r="CL44">
        <f>IF(COUNTIF(Material_Detail!$DE:$DE,$A44)&gt;0,IF(ISNUMBER(SEARCH("[済]",INDEX(Material_Detail!$D:$DC,MATCH($A44,Material_Detail!$DE:$DE,0)+1,89))),0,IFERROR(INDEX(Material_Detail!$D:$DC,MATCH($A44,Material_Detail!$DE:$DE,0),89),0)),SUMIFS(T_Shipments[Confirmed_Qty],T_Shipments[Part Name],$A44,T_Shipments[Effective_Week],89))</f>
        <v/>
      </c>
      <c r="CM44">
        <f>IF(COUNTIF(Material_Detail!$DE:$DE,$A44)&gt;0,IF(ISNUMBER(SEARCH("[済]",INDEX(Material_Detail!$D:$DC,MATCH($A44,Material_Detail!$DE:$DE,0)+1,90))),0,IFERROR(INDEX(Material_Detail!$D:$DC,MATCH($A44,Material_Detail!$DE:$DE,0),90),0)),SUMIFS(T_Shipments[Confirmed_Qty],T_Shipments[Part Name],$A44,T_Shipments[Effective_Week],90))</f>
        <v/>
      </c>
      <c r="CN44">
        <f>IF(COUNTIF(Material_Detail!$DE:$DE,$A44)&gt;0,IF(ISNUMBER(SEARCH("[済]",INDEX(Material_Detail!$D:$DC,MATCH($A44,Material_Detail!$DE:$DE,0)+1,91))),0,IFERROR(INDEX(Material_Detail!$D:$DC,MATCH($A44,Material_Detail!$DE:$DE,0),91),0)),SUMIFS(T_Shipments[Confirmed_Qty],T_Shipments[Part Name],$A44,T_Shipments[Effective_Week],91))</f>
        <v/>
      </c>
      <c r="CO44">
        <f>IF(COUNTIF(Material_Detail!$DE:$DE,$A44)&gt;0,IF(ISNUMBER(SEARCH("[済]",INDEX(Material_Detail!$D:$DC,MATCH($A44,Material_Detail!$DE:$DE,0)+1,92))),0,IFERROR(INDEX(Material_Detail!$D:$DC,MATCH($A44,Material_Detail!$DE:$DE,0),92),0)),SUMIFS(T_Shipments[Confirmed_Qty],T_Shipments[Part Name],$A44,T_Shipments[Effective_Week],92))</f>
        <v/>
      </c>
      <c r="CP44">
        <f>IF(COUNTIF(Material_Detail!$DE:$DE,$A44)&gt;0,IF(ISNUMBER(SEARCH("[済]",INDEX(Material_Detail!$D:$DC,MATCH($A44,Material_Detail!$DE:$DE,0)+1,93))),0,IFERROR(INDEX(Material_Detail!$D:$DC,MATCH($A44,Material_Detail!$DE:$DE,0),93),0)),SUMIFS(T_Shipments[Confirmed_Qty],T_Shipments[Part Name],$A44,T_Shipments[Effective_Week],93))</f>
        <v/>
      </c>
      <c r="CQ44">
        <f>IF(COUNTIF(Material_Detail!$DE:$DE,$A44)&gt;0,IF(ISNUMBER(SEARCH("[済]",INDEX(Material_Detail!$D:$DC,MATCH($A44,Material_Detail!$DE:$DE,0)+1,94))),0,IFERROR(INDEX(Material_Detail!$D:$DC,MATCH($A44,Material_Detail!$DE:$DE,0),94),0)),SUMIFS(T_Shipments[Confirmed_Qty],T_Shipments[Part Name],$A44,T_Shipments[Effective_Week],94))</f>
        <v/>
      </c>
      <c r="CR44">
        <f>IF(COUNTIF(Material_Detail!$DE:$DE,$A44)&gt;0,IF(ISNUMBER(SEARCH("[済]",INDEX(Material_Detail!$D:$DC,MATCH($A44,Material_Detail!$DE:$DE,0)+1,95))),0,IFERROR(INDEX(Material_Detail!$D:$DC,MATCH($A44,Material_Detail!$DE:$DE,0),95),0)),SUMIFS(T_Shipments[Confirmed_Qty],T_Shipments[Part Name],$A44,T_Shipments[Effective_Week],95))</f>
        <v/>
      </c>
      <c r="CS44">
        <f>IF(COUNTIF(Material_Detail!$DE:$DE,$A44)&gt;0,IF(ISNUMBER(SEARCH("[済]",INDEX(Material_Detail!$D:$DC,MATCH($A44,Material_Detail!$DE:$DE,0)+1,96))),0,IFERROR(INDEX(Material_Detail!$D:$DC,MATCH($A44,Material_Detail!$DE:$DE,0),96),0)),SUMIFS(T_Shipments[Confirmed_Qty],T_Shipments[Part Name],$A44,T_Shipments[Effective_Week],96))</f>
        <v/>
      </c>
      <c r="CT44">
        <f>IF(COUNTIF(Material_Detail!$DE:$DE,$A44)&gt;0,IF(ISNUMBER(SEARCH("[済]",INDEX(Material_Detail!$D:$DC,MATCH($A44,Material_Detail!$DE:$DE,0)+1,97))),0,IFERROR(INDEX(Material_Detail!$D:$DC,MATCH($A44,Material_Detail!$DE:$DE,0),97),0)),SUMIFS(T_Shipments[Confirmed_Qty],T_Shipments[Part Name],$A44,T_Shipments[Effective_Week],97))</f>
        <v/>
      </c>
      <c r="CU44">
        <f>IF(COUNTIF(Material_Detail!$DE:$DE,$A44)&gt;0,IF(ISNUMBER(SEARCH("[済]",INDEX(Material_Detail!$D:$DC,MATCH($A44,Material_Detail!$DE:$DE,0)+1,98))),0,IFERROR(INDEX(Material_Detail!$D:$DC,MATCH($A44,Material_Detail!$DE:$DE,0),98),0)),SUMIFS(T_Shipments[Confirmed_Qty],T_Shipments[Part Name],$A44,T_Shipments[Effective_Week],98))</f>
        <v/>
      </c>
      <c r="CV44">
        <f>IF(COUNTIF(Material_Detail!$DE:$DE,$A44)&gt;0,IF(ISNUMBER(SEARCH("[済]",INDEX(Material_Detail!$D:$DC,MATCH($A44,Material_Detail!$DE:$DE,0)+1,99))),0,IFERROR(INDEX(Material_Detail!$D:$DC,MATCH($A44,Material_Detail!$DE:$DE,0),99),0)),SUMIFS(T_Shipments[Confirmed_Qty],T_Shipments[Part Name],$A44,T_Shipments[Effective_Week],99))</f>
        <v/>
      </c>
      <c r="CW44">
        <f>IF(COUNTIF(Material_Detail!$DE:$DE,$A44)&gt;0,IF(ISNUMBER(SEARCH("[済]",INDEX(Material_Detail!$D:$DC,MATCH($A44,Material_Detail!$DE:$DE,0)+1,100))),0,IFERROR(INDEX(Material_Detail!$D:$DC,MATCH($A44,Material_Detail!$DE:$DE,0),100),0)),SUMIFS(T_Shipments[Confirmed_Qty],T_Shipments[Part Name],$A44,T_Shipments[Effective_Week],100))</f>
        <v/>
      </c>
      <c r="CX44">
        <f>IF(COUNTIF(Material_Detail!$DE:$DE,$A44)&gt;0,IF(ISNUMBER(SEARCH("[済]",INDEX(Material_Detail!$D:$DC,MATCH($A44,Material_Detail!$DE:$DE,0)+1,101))),0,IFERROR(INDEX(Material_Detail!$D:$DC,MATCH($A44,Material_Detail!$DE:$DE,0),101),0)),SUMIFS(T_Shipments[Confirmed_Qty],T_Shipments[Part Name],$A44,T_Shipments[Effective_Week],101))</f>
        <v/>
      </c>
      <c r="CY44">
        <f>IF(COUNTIF(Material_Detail!$DE:$DE,$A44)&gt;0,IF(ISNUMBER(SEARCH("[済]",INDEX(Material_Detail!$D:$DC,MATCH($A44,Material_Detail!$DE:$DE,0)+1,102))),0,IFERROR(INDEX(Material_Detail!$D:$DC,MATCH($A44,Material_Detail!$DE:$DE,0),102),0)),SUMIFS(T_Shipments[Confirmed_Qty],T_Shipments[Part Name],$A44,T_Shipments[Effective_Week],102))</f>
        <v/>
      </c>
      <c r="CZ44">
        <f>IF(COUNTIF(Material_Detail!$DE:$DE,$A44)&gt;0,IF(ISNUMBER(SEARCH("[済]",INDEX(Material_Detail!$D:$DC,MATCH($A44,Material_Detail!$DE:$DE,0)+1,103))),0,IFERROR(INDEX(Material_Detail!$D:$DC,MATCH($A44,Material_Detail!$DE:$DE,0),103),0)),SUMIFS(T_Shipments[Confirmed_Qty],T_Shipments[Part Name],$A44,T_Shipments[Effective_Week],103))</f>
        <v/>
      </c>
      <c r="DA44">
        <f>IF(COUNTIF(Material_Detail!$DE:$DE,$A44)&gt;0,IF(ISNUMBER(SEARCH("[済]",INDEX(Material_Detail!$D:$DC,MATCH($A44,Material_Detail!$DE:$DE,0)+1,104))),0,IFERROR(INDEX(Material_Detail!$D:$DC,MATCH($A44,Material_Detail!$DE:$DE,0),104),0)),SUMIFS(T_Shipments[Confirmed_Qty],T_Shipments[Part Name],$A44,T_Shipments[Effective_Week],104))</f>
        <v/>
      </c>
    </row>
    <row r="45">
      <c r="A45" t="inlineStr">
        <is>
          <t>CHEM-1450</t>
        </is>
      </c>
      <c r="B45">
        <f>IF(COUNTIF(Material_Detail!$DE:$DE,$A45)&gt;0,IF(ISNUMBER(SEARCH("[済]",INDEX(Material_Detail!$D:$DC,MATCH($A45,Material_Detail!$DE:$DE,0)+1,1))),0,IFERROR(INDEX(Material_Detail!$D:$DC,MATCH($A45,Material_Detail!$DE:$DE,0),1),0)),SUMIFS(T_Shipments[Confirmed_Qty],T_Shipments[Part Name],$A45,T_Shipments[Effective_Week],1))</f>
        <v/>
      </c>
      <c r="C45">
        <f>IF(COUNTIF(Material_Detail!$DE:$DE,$A45)&gt;0,IF(ISNUMBER(SEARCH("[済]",INDEX(Material_Detail!$D:$DC,MATCH($A45,Material_Detail!$DE:$DE,0)+1,2))),0,IFERROR(INDEX(Material_Detail!$D:$DC,MATCH($A45,Material_Detail!$DE:$DE,0),2),0)),SUMIFS(T_Shipments[Confirmed_Qty],T_Shipments[Part Name],$A45,T_Shipments[Effective_Week],2))</f>
        <v/>
      </c>
      <c r="D45">
        <f>IF(COUNTIF(Material_Detail!$DE:$DE,$A45)&gt;0,IF(ISNUMBER(SEARCH("[済]",INDEX(Material_Detail!$D:$DC,MATCH($A45,Material_Detail!$DE:$DE,0)+1,3))),0,IFERROR(INDEX(Material_Detail!$D:$DC,MATCH($A45,Material_Detail!$DE:$DE,0),3),0)),SUMIFS(T_Shipments[Confirmed_Qty],T_Shipments[Part Name],$A45,T_Shipments[Effective_Week],3))</f>
        <v/>
      </c>
      <c r="E45">
        <f>IF(COUNTIF(Material_Detail!$DE:$DE,$A45)&gt;0,IF(ISNUMBER(SEARCH("[済]",INDEX(Material_Detail!$D:$DC,MATCH($A45,Material_Detail!$DE:$DE,0)+1,4))),0,IFERROR(INDEX(Material_Detail!$D:$DC,MATCH($A45,Material_Detail!$DE:$DE,0),4),0)),SUMIFS(T_Shipments[Confirmed_Qty],T_Shipments[Part Name],$A45,T_Shipments[Effective_Week],4))</f>
        <v/>
      </c>
      <c r="F45">
        <f>IF(COUNTIF(Material_Detail!$DE:$DE,$A45)&gt;0,IF(ISNUMBER(SEARCH("[済]",INDEX(Material_Detail!$D:$DC,MATCH($A45,Material_Detail!$DE:$DE,0)+1,5))),0,IFERROR(INDEX(Material_Detail!$D:$DC,MATCH($A45,Material_Detail!$DE:$DE,0),5),0)),SUMIFS(T_Shipments[Confirmed_Qty],T_Shipments[Part Name],$A45,T_Shipments[Effective_Week],5))</f>
        <v/>
      </c>
      <c r="G45">
        <f>IF(COUNTIF(Material_Detail!$DE:$DE,$A45)&gt;0,IF(ISNUMBER(SEARCH("[済]",INDEX(Material_Detail!$D:$DC,MATCH($A45,Material_Detail!$DE:$DE,0)+1,6))),0,IFERROR(INDEX(Material_Detail!$D:$DC,MATCH($A45,Material_Detail!$DE:$DE,0),6),0)),SUMIFS(T_Shipments[Confirmed_Qty],T_Shipments[Part Name],$A45,T_Shipments[Effective_Week],6))</f>
        <v/>
      </c>
      <c r="H45">
        <f>IF(COUNTIF(Material_Detail!$DE:$DE,$A45)&gt;0,IF(ISNUMBER(SEARCH("[済]",INDEX(Material_Detail!$D:$DC,MATCH($A45,Material_Detail!$DE:$DE,0)+1,7))),0,IFERROR(INDEX(Material_Detail!$D:$DC,MATCH($A45,Material_Detail!$DE:$DE,0),7),0)),SUMIFS(T_Shipments[Confirmed_Qty],T_Shipments[Part Name],$A45,T_Shipments[Effective_Week],7))</f>
        <v/>
      </c>
      <c r="I45">
        <f>IF(COUNTIF(Material_Detail!$DE:$DE,$A45)&gt;0,IF(ISNUMBER(SEARCH("[済]",INDEX(Material_Detail!$D:$DC,MATCH($A45,Material_Detail!$DE:$DE,0)+1,8))),0,IFERROR(INDEX(Material_Detail!$D:$DC,MATCH($A45,Material_Detail!$DE:$DE,0),8),0)),SUMIFS(T_Shipments[Confirmed_Qty],T_Shipments[Part Name],$A45,T_Shipments[Effective_Week],8))</f>
        <v/>
      </c>
      <c r="J45">
        <f>IF(COUNTIF(Material_Detail!$DE:$DE,$A45)&gt;0,IF(ISNUMBER(SEARCH("[済]",INDEX(Material_Detail!$D:$DC,MATCH($A45,Material_Detail!$DE:$DE,0)+1,9))),0,IFERROR(INDEX(Material_Detail!$D:$DC,MATCH($A45,Material_Detail!$DE:$DE,0),9),0)),SUMIFS(T_Shipments[Confirmed_Qty],T_Shipments[Part Name],$A45,T_Shipments[Effective_Week],9))</f>
        <v/>
      </c>
      <c r="K45">
        <f>IF(COUNTIF(Material_Detail!$DE:$DE,$A45)&gt;0,IF(ISNUMBER(SEARCH("[済]",INDEX(Material_Detail!$D:$DC,MATCH($A45,Material_Detail!$DE:$DE,0)+1,10))),0,IFERROR(INDEX(Material_Detail!$D:$DC,MATCH($A45,Material_Detail!$DE:$DE,0),10),0)),SUMIFS(T_Shipments[Confirmed_Qty],T_Shipments[Part Name],$A45,T_Shipments[Effective_Week],10))</f>
        <v/>
      </c>
      <c r="L45">
        <f>IF(COUNTIF(Material_Detail!$DE:$DE,$A45)&gt;0,IF(ISNUMBER(SEARCH("[済]",INDEX(Material_Detail!$D:$DC,MATCH($A45,Material_Detail!$DE:$DE,0)+1,11))),0,IFERROR(INDEX(Material_Detail!$D:$DC,MATCH($A45,Material_Detail!$DE:$DE,0),11),0)),SUMIFS(T_Shipments[Confirmed_Qty],T_Shipments[Part Name],$A45,T_Shipments[Effective_Week],11))</f>
        <v/>
      </c>
      <c r="M45">
        <f>IF(COUNTIF(Material_Detail!$DE:$DE,$A45)&gt;0,IF(ISNUMBER(SEARCH("[済]",INDEX(Material_Detail!$D:$DC,MATCH($A45,Material_Detail!$DE:$DE,0)+1,12))),0,IFERROR(INDEX(Material_Detail!$D:$DC,MATCH($A45,Material_Detail!$DE:$DE,0),12),0)),SUMIFS(T_Shipments[Confirmed_Qty],T_Shipments[Part Name],$A45,T_Shipments[Effective_Week],12))</f>
        <v/>
      </c>
      <c r="N45">
        <f>IF(COUNTIF(Material_Detail!$DE:$DE,$A45)&gt;0,IF(ISNUMBER(SEARCH("[済]",INDEX(Material_Detail!$D:$DC,MATCH($A45,Material_Detail!$DE:$DE,0)+1,13))),0,IFERROR(INDEX(Material_Detail!$D:$DC,MATCH($A45,Material_Detail!$DE:$DE,0),13),0)),SUMIFS(T_Shipments[Confirmed_Qty],T_Shipments[Part Name],$A45,T_Shipments[Effective_Week],13))</f>
        <v/>
      </c>
      <c r="O45">
        <f>IF(COUNTIF(Material_Detail!$DE:$DE,$A45)&gt;0,IF(ISNUMBER(SEARCH("[済]",INDEX(Material_Detail!$D:$DC,MATCH($A45,Material_Detail!$DE:$DE,0)+1,14))),0,IFERROR(INDEX(Material_Detail!$D:$DC,MATCH($A45,Material_Detail!$DE:$DE,0),14),0)),SUMIFS(T_Shipments[Confirmed_Qty],T_Shipments[Part Name],$A45,T_Shipments[Effective_Week],14))</f>
        <v/>
      </c>
      <c r="P45">
        <f>IF(COUNTIF(Material_Detail!$DE:$DE,$A45)&gt;0,IF(ISNUMBER(SEARCH("[済]",INDEX(Material_Detail!$D:$DC,MATCH($A45,Material_Detail!$DE:$DE,0)+1,15))),0,IFERROR(INDEX(Material_Detail!$D:$DC,MATCH($A45,Material_Detail!$DE:$DE,0),15),0)),SUMIFS(T_Shipments[Confirmed_Qty],T_Shipments[Part Name],$A45,T_Shipments[Effective_Week],15))</f>
        <v/>
      </c>
      <c r="Q45">
        <f>IF(COUNTIF(Material_Detail!$DE:$DE,$A45)&gt;0,IF(ISNUMBER(SEARCH("[済]",INDEX(Material_Detail!$D:$DC,MATCH($A45,Material_Detail!$DE:$DE,0)+1,16))),0,IFERROR(INDEX(Material_Detail!$D:$DC,MATCH($A45,Material_Detail!$DE:$DE,0),16),0)),SUMIFS(T_Shipments[Confirmed_Qty],T_Shipments[Part Name],$A45,T_Shipments[Effective_Week],16))</f>
        <v/>
      </c>
      <c r="R45">
        <f>IF(COUNTIF(Material_Detail!$DE:$DE,$A45)&gt;0,IF(ISNUMBER(SEARCH("[済]",INDEX(Material_Detail!$D:$DC,MATCH($A45,Material_Detail!$DE:$DE,0)+1,17))),0,IFERROR(INDEX(Material_Detail!$D:$DC,MATCH($A45,Material_Detail!$DE:$DE,0),17),0)),SUMIFS(T_Shipments[Confirmed_Qty],T_Shipments[Part Name],$A45,T_Shipments[Effective_Week],17))</f>
        <v/>
      </c>
      <c r="S45">
        <f>IF(COUNTIF(Material_Detail!$DE:$DE,$A45)&gt;0,IF(ISNUMBER(SEARCH("[済]",INDEX(Material_Detail!$D:$DC,MATCH($A45,Material_Detail!$DE:$DE,0)+1,18))),0,IFERROR(INDEX(Material_Detail!$D:$DC,MATCH($A45,Material_Detail!$DE:$DE,0),18),0)),SUMIFS(T_Shipments[Confirmed_Qty],T_Shipments[Part Name],$A45,T_Shipments[Effective_Week],18))</f>
        <v/>
      </c>
      <c r="T45">
        <f>IF(COUNTIF(Material_Detail!$DE:$DE,$A45)&gt;0,IF(ISNUMBER(SEARCH("[済]",INDEX(Material_Detail!$D:$DC,MATCH($A45,Material_Detail!$DE:$DE,0)+1,19))),0,IFERROR(INDEX(Material_Detail!$D:$DC,MATCH($A45,Material_Detail!$DE:$DE,0),19),0)),SUMIFS(T_Shipments[Confirmed_Qty],T_Shipments[Part Name],$A45,T_Shipments[Effective_Week],19))</f>
        <v/>
      </c>
      <c r="U45">
        <f>IF(COUNTIF(Material_Detail!$DE:$DE,$A45)&gt;0,IF(ISNUMBER(SEARCH("[済]",INDEX(Material_Detail!$D:$DC,MATCH($A45,Material_Detail!$DE:$DE,0)+1,20))),0,IFERROR(INDEX(Material_Detail!$D:$DC,MATCH($A45,Material_Detail!$DE:$DE,0),20),0)),SUMIFS(T_Shipments[Confirmed_Qty],T_Shipments[Part Name],$A45,T_Shipments[Effective_Week],20))</f>
        <v/>
      </c>
      <c r="V45">
        <f>IF(COUNTIF(Material_Detail!$DE:$DE,$A45)&gt;0,IF(ISNUMBER(SEARCH("[済]",INDEX(Material_Detail!$D:$DC,MATCH($A45,Material_Detail!$DE:$DE,0)+1,21))),0,IFERROR(INDEX(Material_Detail!$D:$DC,MATCH($A45,Material_Detail!$DE:$DE,0),21),0)),SUMIFS(T_Shipments[Confirmed_Qty],T_Shipments[Part Name],$A45,T_Shipments[Effective_Week],21))</f>
        <v/>
      </c>
      <c r="W45">
        <f>IF(COUNTIF(Material_Detail!$DE:$DE,$A45)&gt;0,IF(ISNUMBER(SEARCH("[済]",INDEX(Material_Detail!$D:$DC,MATCH($A45,Material_Detail!$DE:$DE,0)+1,22))),0,IFERROR(INDEX(Material_Detail!$D:$DC,MATCH($A45,Material_Detail!$DE:$DE,0),22),0)),SUMIFS(T_Shipments[Confirmed_Qty],T_Shipments[Part Name],$A45,T_Shipments[Effective_Week],22))</f>
        <v/>
      </c>
      <c r="X45">
        <f>IF(COUNTIF(Material_Detail!$DE:$DE,$A45)&gt;0,IF(ISNUMBER(SEARCH("[済]",INDEX(Material_Detail!$D:$DC,MATCH($A45,Material_Detail!$DE:$DE,0)+1,23))),0,IFERROR(INDEX(Material_Detail!$D:$DC,MATCH($A45,Material_Detail!$DE:$DE,0),23),0)),SUMIFS(T_Shipments[Confirmed_Qty],T_Shipments[Part Name],$A45,T_Shipments[Effective_Week],23))</f>
        <v/>
      </c>
      <c r="Y45">
        <f>IF(COUNTIF(Material_Detail!$DE:$DE,$A45)&gt;0,IF(ISNUMBER(SEARCH("[済]",INDEX(Material_Detail!$D:$DC,MATCH($A45,Material_Detail!$DE:$DE,0)+1,24))),0,IFERROR(INDEX(Material_Detail!$D:$DC,MATCH($A45,Material_Detail!$DE:$DE,0),24),0)),SUMIFS(T_Shipments[Confirmed_Qty],T_Shipments[Part Name],$A45,T_Shipments[Effective_Week],24))</f>
        <v/>
      </c>
      <c r="Z45">
        <f>IF(COUNTIF(Material_Detail!$DE:$DE,$A45)&gt;0,IF(ISNUMBER(SEARCH("[済]",INDEX(Material_Detail!$D:$DC,MATCH($A45,Material_Detail!$DE:$DE,0)+1,25))),0,IFERROR(INDEX(Material_Detail!$D:$DC,MATCH($A45,Material_Detail!$DE:$DE,0),25),0)),SUMIFS(T_Shipments[Confirmed_Qty],T_Shipments[Part Name],$A45,T_Shipments[Effective_Week],25))</f>
        <v/>
      </c>
      <c r="AA45">
        <f>IF(COUNTIF(Material_Detail!$DE:$DE,$A45)&gt;0,IF(ISNUMBER(SEARCH("[済]",INDEX(Material_Detail!$D:$DC,MATCH($A45,Material_Detail!$DE:$DE,0)+1,26))),0,IFERROR(INDEX(Material_Detail!$D:$DC,MATCH($A45,Material_Detail!$DE:$DE,0),26),0)),SUMIFS(T_Shipments[Confirmed_Qty],T_Shipments[Part Name],$A45,T_Shipments[Effective_Week],26))</f>
        <v/>
      </c>
      <c r="AB45">
        <f>IF(COUNTIF(Material_Detail!$DE:$DE,$A45)&gt;0,IF(ISNUMBER(SEARCH("[済]",INDEX(Material_Detail!$D:$DC,MATCH($A45,Material_Detail!$DE:$DE,0)+1,27))),0,IFERROR(INDEX(Material_Detail!$D:$DC,MATCH($A45,Material_Detail!$DE:$DE,0),27),0)),SUMIFS(T_Shipments[Confirmed_Qty],T_Shipments[Part Name],$A45,T_Shipments[Effective_Week],27))</f>
        <v/>
      </c>
      <c r="AC45">
        <f>IF(COUNTIF(Material_Detail!$DE:$DE,$A45)&gt;0,IF(ISNUMBER(SEARCH("[済]",INDEX(Material_Detail!$D:$DC,MATCH($A45,Material_Detail!$DE:$DE,0)+1,28))),0,IFERROR(INDEX(Material_Detail!$D:$DC,MATCH($A45,Material_Detail!$DE:$DE,0),28),0)),SUMIFS(T_Shipments[Confirmed_Qty],T_Shipments[Part Name],$A45,T_Shipments[Effective_Week],28))</f>
        <v/>
      </c>
      <c r="AD45">
        <f>IF(COUNTIF(Material_Detail!$DE:$DE,$A45)&gt;0,IF(ISNUMBER(SEARCH("[済]",INDEX(Material_Detail!$D:$DC,MATCH($A45,Material_Detail!$DE:$DE,0)+1,29))),0,IFERROR(INDEX(Material_Detail!$D:$DC,MATCH($A45,Material_Detail!$DE:$DE,0),29),0)),SUMIFS(T_Shipments[Confirmed_Qty],T_Shipments[Part Name],$A45,T_Shipments[Effective_Week],29))</f>
        <v/>
      </c>
      <c r="AE45">
        <f>IF(COUNTIF(Material_Detail!$DE:$DE,$A45)&gt;0,IF(ISNUMBER(SEARCH("[済]",INDEX(Material_Detail!$D:$DC,MATCH($A45,Material_Detail!$DE:$DE,0)+1,30))),0,IFERROR(INDEX(Material_Detail!$D:$DC,MATCH($A45,Material_Detail!$DE:$DE,0),30),0)),SUMIFS(T_Shipments[Confirmed_Qty],T_Shipments[Part Name],$A45,T_Shipments[Effective_Week],30))</f>
        <v/>
      </c>
      <c r="AF45">
        <f>IF(COUNTIF(Material_Detail!$DE:$DE,$A45)&gt;0,IF(ISNUMBER(SEARCH("[済]",INDEX(Material_Detail!$D:$DC,MATCH($A45,Material_Detail!$DE:$DE,0)+1,31))),0,IFERROR(INDEX(Material_Detail!$D:$DC,MATCH($A45,Material_Detail!$DE:$DE,0),31),0)),SUMIFS(T_Shipments[Confirmed_Qty],T_Shipments[Part Name],$A45,T_Shipments[Effective_Week],31))</f>
        <v/>
      </c>
      <c r="AG45">
        <f>IF(COUNTIF(Material_Detail!$DE:$DE,$A45)&gt;0,IF(ISNUMBER(SEARCH("[済]",INDEX(Material_Detail!$D:$DC,MATCH($A45,Material_Detail!$DE:$DE,0)+1,32))),0,IFERROR(INDEX(Material_Detail!$D:$DC,MATCH($A45,Material_Detail!$DE:$DE,0),32),0)),SUMIFS(T_Shipments[Confirmed_Qty],T_Shipments[Part Name],$A45,T_Shipments[Effective_Week],32))</f>
        <v/>
      </c>
      <c r="AH45">
        <f>IF(COUNTIF(Material_Detail!$DE:$DE,$A45)&gt;0,IF(ISNUMBER(SEARCH("[済]",INDEX(Material_Detail!$D:$DC,MATCH($A45,Material_Detail!$DE:$DE,0)+1,33))),0,IFERROR(INDEX(Material_Detail!$D:$DC,MATCH($A45,Material_Detail!$DE:$DE,0),33),0)),SUMIFS(T_Shipments[Confirmed_Qty],T_Shipments[Part Name],$A45,T_Shipments[Effective_Week],33))</f>
        <v/>
      </c>
      <c r="AI45">
        <f>IF(COUNTIF(Material_Detail!$DE:$DE,$A45)&gt;0,IF(ISNUMBER(SEARCH("[済]",INDEX(Material_Detail!$D:$DC,MATCH($A45,Material_Detail!$DE:$DE,0)+1,34))),0,IFERROR(INDEX(Material_Detail!$D:$DC,MATCH($A45,Material_Detail!$DE:$DE,0),34),0)),SUMIFS(T_Shipments[Confirmed_Qty],T_Shipments[Part Name],$A45,T_Shipments[Effective_Week],34))</f>
        <v/>
      </c>
      <c r="AJ45">
        <f>IF(COUNTIF(Material_Detail!$DE:$DE,$A45)&gt;0,IF(ISNUMBER(SEARCH("[済]",INDEX(Material_Detail!$D:$DC,MATCH($A45,Material_Detail!$DE:$DE,0)+1,35))),0,IFERROR(INDEX(Material_Detail!$D:$DC,MATCH($A45,Material_Detail!$DE:$DE,0),35),0)),SUMIFS(T_Shipments[Confirmed_Qty],T_Shipments[Part Name],$A45,T_Shipments[Effective_Week],35))</f>
        <v/>
      </c>
      <c r="AK45">
        <f>IF(COUNTIF(Material_Detail!$DE:$DE,$A45)&gt;0,IF(ISNUMBER(SEARCH("[済]",INDEX(Material_Detail!$D:$DC,MATCH($A45,Material_Detail!$DE:$DE,0)+1,36))),0,IFERROR(INDEX(Material_Detail!$D:$DC,MATCH($A45,Material_Detail!$DE:$DE,0),36),0)),SUMIFS(T_Shipments[Confirmed_Qty],T_Shipments[Part Name],$A45,T_Shipments[Effective_Week],36))</f>
        <v/>
      </c>
      <c r="AL45">
        <f>IF(COUNTIF(Material_Detail!$DE:$DE,$A45)&gt;0,IF(ISNUMBER(SEARCH("[済]",INDEX(Material_Detail!$D:$DC,MATCH($A45,Material_Detail!$DE:$DE,0)+1,37))),0,IFERROR(INDEX(Material_Detail!$D:$DC,MATCH($A45,Material_Detail!$DE:$DE,0),37),0)),SUMIFS(T_Shipments[Confirmed_Qty],T_Shipments[Part Name],$A45,T_Shipments[Effective_Week],37))</f>
        <v/>
      </c>
      <c r="AM45">
        <f>IF(COUNTIF(Material_Detail!$DE:$DE,$A45)&gt;0,IF(ISNUMBER(SEARCH("[済]",INDEX(Material_Detail!$D:$DC,MATCH($A45,Material_Detail!$DE:$DE,0)+1,38))),0,IFERROR(INDEX(Material_Detail!$D:$DC,MATCH($A45,Material_Detail!$DE:$DE,0),38),0)),SUMIFS(T_Shipments[Confirmed_Qty],T_Shipments[Part Name],$A45,T_Shipments[Effective_Week],38))</f>
        <v/>
      </c>
      <c r="AN45">
        <f>IF(COUNTIF(Material_Detail!$DE:$DE,$A45)&gt;0,IF(ISNUMBER(SEARCH("[済]",INDEX(Material_Detail!$D:$DC,MATCH($A45,Material_Detail!$DE:$DE,0)+1,39))),0,IFERROR(INDEX(Material_Detail!$D:$DC,MATCH($A45,Material_Detail!$DE:$DE,0),39),0)),SUMIFS(T_Shipments[Confirmed_Qty],T_Shipments[Part Name],$A45,T_Shipments[Effective_Week],39))</f>
        <v/>
      </c>
      <c r="AO45">
        <f>IF(COUNTIF(Material_Detail!$DE:$DE,$A45)&gt;0,IF(ISNUMBER(SEARCH("[済]",INDEX(Material_Detail!$D:$DC,MATCH($A45,Material_Detail!$DE:$DE,0)+1,40))),0,IFERROR(INDEX(Material_Detail!$D:$DC,MATCH($A45,Material_Detail!$DE:$DE,0),40),0)),SUMIFS(T_Shipments[Confirmed_Qty],T_Shipments[Part Name],$A45,T_Shipments[Effective_Week],40))</f>
        <v/>
      </c>
      <c r="AP45">
        <f>IF(COUNTIF(Material_Detail!$DE:$DE,$A45)&gt;0,IF(ISNUMBER(SEARCH("[済]",INDEX(Material_Detail!$D:$DC,MATCH($A45,Material_Detail!$DE:$DE,0)+1,41))),0,IFERROR(INDEX(Material_Detail!$D:$DC,MATCH($A45,Material_Detail!$DE:$DE,0),41),0)),SUMIFS(T_Shipments[Confirmed_Qty],T_Shipments[Part Name],$A45,T_Shipments[Effective_Week],41))</f>
        <v/>
      </c>
      <c r="AQ45">
        <f>IF(COUNTIF(Material_Detail!$DE:$DE,$A45)&gt;0,IF(ISNUMBER(SEARCH("[済]",INDEX(Material_Detail!$D:$DC,MATCH($A45,Material_Detail!$DE:$DE,0)+1,42))),0,IFERROR(INDEX(Material_Detail!$D:$DC,MATCH($A45,Material_Detail!$DE:$DE,0),42),0)),SUMIFS(T_Shipments[Confirmed_Qty],T_Shipments[Part Name],$A45,T_Shipments[Effective_Week],42))</f>
        <v/>
      </c>
      <c r="AR45">
        <f>IF(COUNTIF(Material_Detail!$DE:$DE,$A45)&gt;0,IF(ISNUMBER(SEARCH("[済]",INDEX(Material_Detail!$D:$DC,MATCH($A45,Material_Detail!$DE:$DE,0)+1,43))),0,IFERROR(INDEX(Material_Detail!$D:$DC,MATCH($A45,Material_Detail!$DE:$DE,0),43),0)),SUMIFS(T_Shipments[Confirmed_Qty],T_Shipments[Part Name],$A45,T_Shipments[Effective_Week],43))</f>
        <v/>
      </c>
      <c r="AS45">
        <f>IF(COUNTIF(Material_Detail!$DE:$DE,$A45)&gt;0,IF(ISNUMBER(SEARCH("[済]",INDEX(Material_Detail!$D:$DC,MATCH($A45,Material_Detail!$DE:$DE,0)+1,44))),0,IFERROR(INDEX(Material_Detail!$D:$DC,MATCH($A45,Material_Detail!$DE:$DE,0),44),0)),SUMIFS(T_Shipments[Confirmed_Qty],T_Shipments[Part Name],$A45,T_Shipments[Effective_Week],44))</f>
        <v/>
      </c>
      <c r="AT45">
        <f>IF(COUNTIF(Material_Detail!$DE:$DE,$A45)&gt;0,IF(ISNUMBER(SEARCH("[済]",INDEX(Material_Detail!$D:$DC,MATCH($A45,Material_Detail!$DE:$DE,0)+1,45))),0,IFERROR(INDEX(Material_Detail!$D:$DC,MATCH($A45,Material_Detail!$DE:$DE,0),45),0)),SUMIFS(T_Shipments[Confirmed_Qty],T_Shipments[Part Name],$A45,T_Shipments[Effective_Week],45))</f>
        <v/>
      </c>
      <c r="AU45">
        <f>IF(COUNTIF(Material_Detail!$DE:$DE,$A45)&gt;0,IF(ISNUMBER(SEARCH("[済]",INDEX(Material_Detail!$D:$DC,MATCH($A45,Material_Detail!$DE:$DE,0)+1,46))),0,IFERROR(INDEX(Material_Detail!$D:$DC,MATCH($A45,Material_Detail!$DE:$DE,0),46),0)),SUMIFS(T_Shipments[Confirmed_Qty],T_Shipments[Part Name],$A45,T_Shipments[Effective_Week],46))</f>
        <v/>
      </c>
      <c r="AV45">
        <f>IF(COUNTIF(Material_Detail!$DE:$DE,$A45)&gt;0,IF(ISNUMBER(SEARCH("[済]",INDEX(Material_Detail!$D:$DC,MATCH($A45,Material_Detail!$DE:$DE,0)+1,47))),0,IFERROR(INDEX(Material_Detail!$D:$DC,MATCH($A45,Material_Detail!$DE:$DE,0),47),0)),SUMIFS(T_Shipments[Confirmed_Qty],T_Shipments[Part Name],$A45,T_Shipments[Effective_Week],47))</f>
        <v/>
      </c>
      <c r="AW45">
        <f>IF(COUNTIF(Material_Detail!$DE:$DE,$A45)&gt;0,IF(ISNUMBER(SEARCH("[済]",INDEX(Material_Detail!$D:$DC,MATCH($A45,Material_Detail!$DE:$DE,0)+1,48))),0,IFERROR(INDEX(Material_Detail!$D:$DC,MATCH($A45,Material_Detail!$DE:$DE,0),48),0)),SUMIFS(T_Shipments[Confirmed_Qty],T_Shipments[Part Name],$A45,T_Shipments[Effective_Week],48))</f>
        <v/>
      </c>
      <c r="AX45">
        <f>IF(COUNTIF(Material_Detail!$DE:$DE,$A45)&gt;0,IF(ISNUMBER(SEARCH("[済]",INDEX(Material_Detail!$D:$DC,MATCH($A45,Material_Detail!$DE:$DE,0)+1,49))),0,IFERROR(INDEX(Material_Detail!$D:$DC,MATCH($A45,Material_Detail!$DE:$DE,0),49),0)),SUMIFS(T_Shipments[Confirmed_Qty],T_Shipments[Part Name],$A45,T_Shipments[Effective_Week],49))</f>
        <v/>
      </c>
      <c r="AY45">
        <f>IF(COUNTIF(Material_Detail!$DE:$DE,$A45)&gt;0,IF(ISNUMBER(SEARCH("[済]",INDEX(Material_Detail!$D:$DC,MATCH($A45,Material_Detail!$DE:$DE,0)+1,50))),0,IFERROR(INDEX(Material_Detail!$D:$DC,MATCH($A45,Material_Detail!$DE:$DE,0),50),0)),SUMIFS(T_Shipments[Confirmed_Qty],T_Shipments[Part Name],$A45,T_Shipments[Effective_Week],50))</f>
        <v/>
      </c>
      <c r="AZ45">
        <f>IF(COUNTIF(Material_Detail!$DE:$DE,$A45)&gt;0,IF(ISNUMBER(SEARCH("[済]",INDEX(Material_Detail!$D:$DC,MATCH($A45,Material_Detail!$DE:$DE,0)+1,51))),0,IFERROR(INDEX(Material_Detail!$D:$DC,MATCH($A45,Material_Detail!$DE:$DE,0),51),0)),SUMIFS(T_Shipments[Confirmed_Qty],T_Shipments[Part Name],$A45,T_Shipments[Effective_Week],51))</f>
        <v/>
      </c>
      <c r="BA45">
        <f>IF(COUNTIF(Material_Detail!$DE:$DE,$A45)&gt;0,IF(ISNUMBER(SEARCH("[済]",INDEX(Material_Detail!$D:$DC,MATCH($A45,Material_Detail!$DE:$DE,0)+1,52))),0,IFERROR(INDEX(Material_Detail!$D:$DC,MATCH($A45,Material_Detail!$DE:$DE,0),52),0)),SUMIFS(T_Shipments[Confirmed_Qty],T_Shipments[Part Name],$A45,T_Shipments[Effective_Week],52))</f>
        <v/>
      </c>
      <c r="BB45">
        <f>IF(COUNTIF(Material_Detail!$DE:$DE,$A45)&gt;0,IF(ISNUMBER(SEARCH("[済]",INDEX(Material_Detail!$D:$DC,MATCH($A45,Material_Detail!$DE:$DE,0)+1,53))),0,IFERROR(INDEX(Material_Detail!$D:$DC,MATCH($A45,Material_Detail!$DE:$DE,0),53),0)),SUMIFS(T_Shipments[Confirmed_Qty],T_Shipments[Part Name],$A45,T_Shipments[Effective_Week],53))</f>
        <v/>
      </c>
      <c r="BC45">
        <f>IF(COUNTIF(Material_Detail!$DE:$DE,$A45)&gt;0,IF(ISNUMBER(SEARCH("[済]",INDEX(Material_Detail!$D:$DC,MATCH($A45,Material_Detail!$DE:$DE,0)+1,54))),0,IFERROR(INDEX(Material_Detail!$D:$DC,MATCH($A45,Material_Detail!$DE:$DE,0),54),0)),SUMIFS(T_Shipments[Confirmed_Qty],T_Shipments[Part Name],$A45,T_Shipments[Effective_Week],54))</f>
        <v/>
      </c>
      <c r="BD45">
        <f>IF(COUNTIF(Material_Detail!$DE:$DE,$A45)&gt;0,IF(ISNUMBER(SEARCH("[済]",INDEX(Material_Detail!$D:$DC,MATCH($A45,Material_Detail!$DE:$DE,0)+1,55))),0,IFERROR(INDEX(Material_Detail!$D:$DC,MATCH($A45,Material_Detail!$DE:$DE,0),55),0)),SUMIFS(T_Shipments[Confirmed_Qty],T_Shipments[Part Name],$A45,T_Shipments[Effective_Week],55))</f>
        <v/>
      </c>
      <c r="BE45">
        <f>IF(COUNTIF(Material_Detail!$DE:$DE,$A45)&gt;0,IF(ISNUMBER(SEARCH("[済]",INDEX(Material_Detail!$D:$DC,MATCH($A45,Material_Detail!$DE:$DE,0)+1,56))),0,IFERROR(INDEX(Material_Detail!$D:$DC,MATCH($A45,Material_Detail!$DE:$DE,0),56),0)),SUMIFS(T_Shipments[Confirmed_Qty],T_Shipments[Part Name],$A45,T_Shipments[Effective_Week],56))</f>
        <v/>
      </c>
      <c r="BF45">
        <f>IF(COUNTIF(Material_Detail!$DE:$DE,$A45)&gt;0,IF(ISNUMBER(SEARCH("[済]",INDEX(Material_Detail!$D:$DC,MATCH($A45,Material_Detail!$DE:$DE,0)+1,57))),0,IFERROR(INDEX(Material_Detail!$D:$DC,MATCH($A45,Material_Detail!$DE:$DE,0),57),0)),SUMIFS(T_Shipments[Confirmed_Qty],T_Shipments[Part Name],$A45,T_Shipments[Effective_Week],57))</f>
        <v/>
      </c>
      <c r="BG45">
        <f>IF(COUNTIF(Material_Detail!$DE:$DE,$A45)&gt;0,IF(ISNUMBER(SEARCH("[済]",INDEX(Material_Detail!$D:$DC,MATCH($A45,Material_Detail!$DE:$DE,0)+1,58))),0,IFERROR(INDEX(Material_Detail!$D:$DC,MATCH($A45,Material_Detail!$DE:$DE,0),58),0)),SUMIFS(T_Shipments[Confirmed_Qty],T_Shipments[Part Name],$A45,T_Shipments[Effective_Week],58))</f>
        <v/>
      </c>
      <c r="BH45">
        <f>IF(COUNTIF(Material_Detail!$DE:$DE,$A45)&gt;0,IF(ISNUMBER(SEARCH("[済]",INDEX(Material_Detail!$D:$DC,MATCH($A45,Material_Detail!$DE:$DE,0)+1,59))),0,IFERROR(INDEX(Material_Detail!$D:$DC,MATCH($A45,Material_Detail!$DE:$DE,0),59),0)),SUMIFS(T_Shipments[Confirmed_Qty],T_Shipments[Part Name],$A45,T_Shipments[Effective_Week],59))</f>
        <v/>
      </c>
      <c r="BI45">
        <f>IF(COUNTIF(Material_Detail!$DE:$DE,$A45)&gt;0,IF(ISNUMBER(SEARCH("[済]",INDEX(Material_Detail!$D:$DC,MATCH($A45,Material_Detail!$DE:$DE,0)+1,60))),0,IFERROR(INDEX(Material_Detail!$D:$DC,MATCH($A45,Material_Detail!$DE:$DE,0),60),0)),SUMIFS(T_Shipments[Confirmed_Qty],T_Shipments[Part Name],$A45,T_Shipments[Effective_Week],60))</f>
        <v/>
      </c>
      <c r="BJ45">
        <f>IF(COUNTIF(Material_Detail!$DE:$DE,$A45)&gt;0,IF(ISNUMBER(SEARCH("[済]",INDEX(Material_Detail!$D:$DC,MATCH($A45,Material_Detail!$DE:$DE,0)+1,61))),0,IFERROR(INDEX(Material_Detail!$D:$DC,MATCH($A45,Material_Detail!$DE:$DE,0),61),0)),SUMIFS(T_Shipments[Confirmed_Qty],T_Shipments[Part Name],$A45,T_Shipments[Effective_Week],61))</f>
        <v/>
      </c>
      <c r="BK45">
        <f>IF(COUNTIF(Material_Detail!$DE:$DE,$A45)&gt;0,IF(ISNUMBER(SEARCH("[済]",INDEX(Material_Detail!$D:$DC,MATCH($A45,Material_Detail!$DE:$DE,0)+1,62))),0,IFERROR(INDEX(Material_Detail!$D:$DC,MATCH($A45,Material_Detail!$DE:$DE,0),62),0)),SUMIFS(T_Shipments[Confirmed_Qty],T_Shipments[Part Name],$A45,T_Shipments[Effective_Week],62))</f>
        <v/>
      </c>
      <c r="BL45">
        <f>IF(COUNTIF(Material_Detail!$DE:$DE,$A45)&gt;0,IF(ISNUMBER(SEARCH("[済]",INDEX(Material_Detail!$D:$DC,MATCH($A45,Material_Detail!$DE:$DE,0)+1,63))),0,IFERROR(INDEX(Material_Detail!$D:$DC,MATCH($A45,Material_Detail!$DE:$DE,0),63),0)),SUMIFS(T_Shipments[Confirmed_Qty],T_Shipments[Part Name],$A45,T_Shipments[Effective_Week],63))</f>
        <v/>
      </c>
      <c r="BM45">
        <f>IF(COUNTIF(Material_Detail!$DE:$DE,$A45)&gt;0,IF(ISNUMBER(SEARCH("[済]",INDEX(Material_Detail!$D:$DC,MATCH($A45,Material_Detail!$DE:$DE,0)+1,64))),0,IFERROR(INDEX(Material_Detail!$D:$DC,MATCH($A45,Material_Detail!$DE:$DE,0),64),0)),SUMIFS(T_Shipments[Confirmed_Qty],T_Shipments[Part Name],$A45,T_Shipments[Effective_Week],64))</f>
        <v/>
      </c>
      <c r="BN45">
        <f>IF(COUNTIF(Material_Detail!$DE:$DE,$A45)&gt;0,IF(ISNUMBER(SEARCH("[済]",INDEX(Material_Detail!$D:$DC,MATCH($A45,Material_Detail!$DE:$DE,0)+1,65))),0,IFERROR(INDEX(Material_Detail!$D:$DC,MATCH($A45,Material_Detail!$DE:$DE,0),65),0)),SUMIFS(T_Shipments[Confirmed_Qty],T_Shipments[Part Name],$A45,T_Shipments[Effective_Week],65))</f>
        <v/>
      </c>
      <c r="BO45">
        <f>IF(COUNTIF(Material_Detail!$DE:$DE,$A45)&gt;0,IF(ISNUMBER(SEARCH("[済]",INDEX(Material_Detail!$D:$DC,MATCH($A45,Material_Detail!$DE:$DE,0)+1,66))),0,IFERROR(INDEX(Material_Detail!$D:$DC,MATCH($A45,Material_Detail!$DE:$DE,0),66),0)),SUMIFS(T_Shipments[Confirmed_Qty],T_Shipments[Part Name],$A45,T_Shipments[Effective_Week],66))</f>
        <v/>
      </c>
      <c r="BP45">
        <f>IF(COUNTIF(Material_Detail!$DE:$DE,$A45)&gt;0,IF(ISNUMBER(SEARCH("[済]",INDEX(Material_Detail!$D:$DC,MATCH($A45,Material_Detail!$DE:$DE,0)+1,67))),0,IFERROR(INDEX(Material_Detail!$D:$DC,MATCH($A45,Material_Detail!$DE:$DE,0),67),0)),SUMIFS(T_Shipments[Confirmed_Qty],T_Shipments[Part Name],$A45,T_Shipments[Effective_Week],67))</f>
        <v/>
      </c>
      <c r="BQ45">
        <f>IF(COUNTIF(Material_Detail!$DE:$DE,$A45)&gt;0,IF(ISNUMBER(SEARCH("[済]",INDEX(Material_Detail!$D:$DC,MATCH($A45,Material_Detail!$DE:$DE,0)+1,68))),0,IFERROR(INDEX(Material_Detail!$D:$DC,MATCH($A45,Material_Detail!$DE:$DE,0),68),0)),SUMIFS(T_Shipments[Confirmed_Qty],T_Shipments[Part Name],$A45,T_Shipments[Effective_Week],68))</f>
        <v/>
      </c>
      <c r="BR45">
        <f>IF(COUNTIF(Material_Detail!$DE:$DE,$A45)&gt;0,IF(ISNUMBER(SEARCH("[済]",INDEX(Material_Detail!$D:$DC,MATCH($A45,Material_Detail!$DE:$DE,0)+1,69))),0,IFERROR(INDEX(Material_Detail!$D:$DC,MATCH($A45,Material_Detail!$DE:$DE,0),69),0)),SUMIFS(T_Shipments[Confirmed_Qty],T_Shipments[Part Name],$A45,T_Shipments[Effective_Week],69))</f>
        <v/>
      </c>
      <c r="BS45">
        <f>IF(COUNTIF(Material_Detail!$DE:$DE,$A45)&gt;0,IF(ISNUMBER(SEARCH("[済]",INDEX(Material_Detail!$D:$DC,MATCH($A45,Material_Detail!$DE:$DE,0)+1,70))),0,IFERROR(INDEX(Material_Detail!$D:$DC,MATCH($A45,Material_Detail!$DE:$DE,0),70),0)),SUMIFS(T_Shipments[Confirmed_Qty],T_Shipments[Part Name],$A45,T_Shipments[Effective_Week],70))</f>
        <v/>
      </c>
      <c r="BT45">
        <f>IF(COUNTIF(Material_Detail!$DE:$DE,$A45)&gt;0,IF(ISNUMBER(SEARCH("[済]",INDEX(Material_Detail!$D:$DC,MATCH($A45,Material_Detail!$DE:$DE,0)+1,71))),0,IFERROR(INDEX(Material_Detail!$D:$DC,MATCH($A45,Material_Detail!$DE:$DE,0),71),0)),SUMIFS(T_Shipments[Confirmed_Qty],T_Shipments[Part Name],$A45,T_Shipments[Effective_Week],71))</f>
        <v/>
      </c>
      <c r="BU45">
        <f>IF(COUNTIF(Material_Detail!$DE:$DE,$A45)&gt;0,IF(ISNUMBER(SEARCH("[済]",INDEX(Material_Detail!$D:$DC,MATCH($A45,Material_Detail!$DE:$DE,0)+1,72))),0,IFERROR(INDEX(Material_Detail!$D:$DC,MATCH($A45,Material_Detail!$DE:$DE,0),72),0)),SUMIFS(T_Shipments[Confirmed_Qty],T_Shipments[Part Name],$A45,T_Shipments[Effective_Week],72))</f>
        <v/>
      </c>
      <c r="BV45">
        <f>IF(COUNTIF(Material_Detail!$DE:$DE,$A45)&gt;0,IF(ISNUMBER(SEARCH("[済]",INDEX(Material_Detail!$D:$DC,MATCH($A45,Material_Detail!$DE:$DE,0)+1,73))),0,IFERROR(INDEX(Material_Detail!$D:$DC,MATCH($A45,Material_Detail!$DE:$DE,0),73),0)),SUMIFS(T_Shipments[Confirmed_Qty],T_Shipments[Part Name],$A45,T_Shipments[Effective_Week],73))</f>
        <v/>
      </c>
      <c r="BW45">
        <f>IF(COUNTIF(Material_Detail!$DE:$DE,$A45)&gt;0,IF(ISNUMBER(SEARCH("[済]",INDEX(Material_Detail!$D:$DC,MATCH($A45,Material_Detail!$DE:$DE,0)+1,74))),0,IFERROR(INDEX(Material_Detail!$D:$DC,MATCH($A45,Material_Detail!$DE:$DE,0),74),0)),SUMIFS(T_Shipments[Confirmed_Qty],T_Shipments[Part Name],$A45,T_Shipments[Effective_Week],74))</f>
        <v/>
      </c>
      <c r="BX45">
        <f>IF(COUNTIF(Material_Detail!$DE:$DE,$A45)&gt;0,IF(ISNUMBER(SEARCH("[済]",INDEX(Material_Detail!$D:$DC,MATCH($A45,Material_Detail!$DE:$DE,0)+1,75))),0,IFERROR(INDEX(Material_Detail!$D:$DC,MATCH($A45,Material_Detail!$DE:$DE,0),75),0)),SUMIFS(T_Shipments[Confirmed_Qty],T_Shipments[Part Name],$A45,T_Shipments[Effective_Week],75))</f>
        <v/>
      </c>
      <c r="BY45">
        <f>IF(COUNTIF(Material_Detail!$DE:$DE,$A45)&gt;0,IF(ISNUMBER(SEARCH("[済]",INDEX(Material_Detail!$D:$DC,MATCH($A45,Material_Detail!$DE:$DE,0)+1,76))),0,IFERROR(INDEX(Material_Detail!$D:$DC,MATCH($A45,Material_Detail!$DE:$DE,0),76),0)),SUMIFS(T_Shipments[Confirmed_Qty],T_Shipments[Part Name],$A45,T_Shipments[Effective_Week],76))</f>
        <v/>
      </c>
      <c r="BZ45">
        <f>IF(COUNTIF(Material_Detail!$DE:$DE,$A45)&gt;0,IF(ISNUMBER(SEARCH("[済]",INDEX(Material_Detail!$D:$DC,MATCH($A45,Material_Detail!$DE:$DE,0)+1,77))),0,IFERROR(INDEX(Material_Detail!$D:$DC,MATCH($A45,Material_Detail!$DE:$DE,0),77),0)),SUMIFS(T_Shipments[Confirmed_Qty],T_Shipments[Part Name],$A45,T_Shipments[Effective_Week],77))</f>
        <v/>
      </c>
      <c r="CA45">
        <f>IF(COUNTIF(Material_Detail!$DE:$DE,$A45)&gt;0,IF(ISNUMBER(SEARCH("[済]",INDEX(Material_Detail!$D:$DC,MATCH($A45,Material_Detail!$DE:$DE,0)+1,78))),0,IFERROR(INDEX(Material_Detail!$D:$DC,MATCH($A45,Material_Detail!$DE:$DE,0),78),0)),SUMIFS(T_Shipments[Confirmed_Qty],T_Shipments[Part Name],$A45,T_Shipments[Effective_Week],78))</f>
        <v/>
      </c>
      <c r="CB45">
        <f>IF(COUNTIF(Material_Detail!$DE:$DE,$A45)&gt;0,IF(ISNUMBER(SEARCH("[済]",INDEX(Material_Detail!$D:$DC,MATCH($A45,Material_Detail!$DE:$DE,0)+1,79))),0,IFERROR(INDEX(Material_Detail!$D:$DC,MATCH($A45,Material_Detail!$DE:$DE,0),79),0)),SUMIFS(T_Shipments[Confirmed_Qty],T_Shipments[Part Name],$A45,T_Shipments[Effective_Week],79))</f>
        <v/>
      </c>
      <c r="CC45">
        <f>IF(COUNTIF(Material_Detail!$DE:$DE,$A45)&gt;0,IF(ISNUMBER(SEARCH("[済]",INDEX(Material_Detail!$D:$DC,MATCH($A45,Material_Detail!$DE:$DE,0)+1,80))),0,IFERROR(INDEX(Material_Detail!$D:$DC,MATCH($A45,Material_Detail!$DE:$DE,0),80),0)),SUMIFS(T_Shipments[Confirmed_Qty],T_Shipments[Part Name],$A45,T_Shipments[Effective_Week],80))</f>
        <v/>
      </c>
      <c r="CD45">
        <f>IF(COUNTIF(Material_Detail!$DE:$DE,$A45)&gt;0,IF(ISNUMBER(SEARCH("[済]",INDEX(Material_Detail!$D:$DC,MATCH($A45,Material_Detail!$DE:$DE,0)+1,81))),0,IFERROR(INDEX(Material_Detail!$D:$DC,MATCH($A45,Material_Detail!$DE:$DE,0),81),0)),SUMIFS(T_Shipments[Confirmed_Qty],T_Shipments[Part Name],$A45,T_Shipments[Effective_Week],81))</f>
        <v/>
      </c>
      <c r="CE45">
        <f>IF(COUNTIF(Material_Detail!$DE:$DE,$A45)&gt;0,IF(ISNUMBER(SEARCH("[済]",INDEX(Material_Detail!$D:$DC,MATCH($A45,Material_Detail!$DE:$DE,0)+1,82))),0,IFERROR(INDEX(Material_Detail!$D:$DC,MATCH($A45,Material_Detail!$DE:$DE,0),82),0)),SUMIFS(T_Shipments[Confirmed_Qty],T_Shipments[Part Name],$A45,T_Shipments[Effective_Week],82))</f>
        <v/>
      </c>
      <c r="CF45">
        <f>IF(COUNTIF(Material_Detail!$DE:$DE,$A45)&gt;0,IF(ISNUMBER(SEARCH("[済]",INDEX(Material_Detail!$D:$DC,MATCH($A45,Material_Detail!$DE:$DE,0)+1,83))),0,IFERROR(INDEX(Material_Detail!$D:$DC,MATCH($A45,Material_Detail!$DE:$DE,0),83),0)),SUMIFS(T_Shipments[Confirmed_Qty],T_Shipments[Part Name],$A45,T_Shipments[Effective_Week],83))</f>
        <v/>
      </c>
      <c r="CG45">
        <f>IF(COUNTIF(Material_Detail!$DE:$DE,$A45)&gt;0,IF(ISNUMBER(SEARCH("[済]",INDEX(Material_Detail!$D:$DC,MATCH($A45,Material_Detail!$DE:$DE,0)+1,84))),0,IFERROR(INDEX(Material_Detail!$D:$DC,MATCH($A45,Material_Detail!$DE:$DE,0),84),0)),SUMIFS(T_Shipments[Confirmed_Qty],T_Shipments[Part Name],$A45,T_Shipments[Effective_Week],84))</f>
        <v/>
      </c>
      <c r="CH45">
        <f>IF(COUNTIF(Material_Detail!$DE:$DE,$A45)&gt;0,IF(ISNUMBER(SEARCH("[済]",INDEX(Material_Detail!$D:$DC,MATCH($A45,Material_Detail!$DE:$DE,0)+1,85))),0,IFERROR(INDEX(Material_Detail!$D:$DC,MATCH($A45,Material_Detail!$DE:$DE,0),85),0)),SUMIFS(T_Shipments[Confirmed_Qty],T_Shipments[Part Name],$A45,T_Shipments[Effective_Week],85))</f>
        <v/>
      </c>
      <c r="CI45">
        <f>IF(COUNTIF(Material_Detail!$DE:$DE,$A45)&gt;0,IF(ISNUMBER(SEARCH("[済]",INDEX(Material_Detail!$D:$DC,MATCH($A45,Material_Detail!$DE:$DE,0)+1,86))),0,IFERROR(INDEX(Material_Detail!$D:$DC,MATCH($A45,Material_Detail!$DE:$DE,0),86),0)),SUMIFS(T_Shipments[Confirmed_Qty],T_Shipments[Part Name],$A45,T_Shipments[Effective_Week],86))</f>
        <v/>
      </c>
      <c r="CJ45">
        <f>IF(COUNTIF(Material_Detail!$DE:$DE,$A45)&gt;0,IF(ISNUMBER(SEARCH("[済]",INDEX(Material_Detail!$D:$DC,MATCH($A45,Material_Detail!$DE:$DE,0)+1,87))),0,IFERROR(INDEX(Material_Detail!$D:$DC,MATCH($A45,Material_Detail!$DE:$DE,0),87),0)),SUMIFS(T_Shipments[Confirmed_Qty],T_Shipments[Part Name],$A45,T_Shipments[Effective_Week],87))</f>
        <v/>
      </c>
      <c r="CK45">
        <f>IF(COUNTIF(Material_Detail!$DE:$DE,$A45)&gt;0,IF(ISNUMBER(SEARCH("[済]",INDEX(Material_Detail!$D:$DC,MATCH($A45,Material_Detail!$DE:$DE,0)+1,88))),0,IFERROR(INDEX(Material_Detail!$D:$DC,MATCH($A45,Material_Detail!$DE:$DE,0),88),0)),SUMIFS(T_Shipments[Confirmed_Qty],T_Shipments[Part Name],$A45,T_Shipments[Effective_Week],88))</f>
        <v/>
      </c>
      <c r="CL45">
        <f>IF(COUNTIF(Material_Detail!$DE:$DE,$A45)&gt;0,IF(ISNUMBER(SEARCH("[済]",INDEX(Material_Detail!$D:$DC,MATCH($A45,Material_Detail!$DE:$DE,0)+1,89))),0,IFERROR(INDEX(Material_Detail!$D:$DC,MATCH($A45,Material_Detail!$DE:$DE,0),89),0)),SUMIFS(T_Shipments[Confirmed_Qty],T_Shipments[Part Name],$A45,T_Shipments[Effective_Week],89))</f>
        <v/>
      </c>
      <c r="CM45">
        <f>IF(COUNTIF(Material_Detail!$DE:$DE,$A45)&gt;0,IF(ISNUMBER(SEARCH("[済]",INDEX(Material_Detail!$D:$DC,MATCH($A45,Material_Detail!$DE:$DE,0)+1,90))),0,IFERROR(INDEX(Material_Detail!$D:$DC,MATCH($A45,Material_Detail!$DE:$DE,0),90),0)),SUMIFS(T_Shipments[Confirmed_Qty],T_Shipments[Part Name],$A45,T_Shipments[Effective_Week],90))</f>
        <v/>
      </c>
      <c r="CN45">
        <f>IF(COUNTIF(Material_Detail!$DE:$DE,$A45)&gt;0,IF(ISNUMBER(SEARCH("[済]",INDEX(Material_Detail!$D:$DC,MATCH($A45,Material_Detail!$DE:$DE,0)+1,91))),0,IFERROR(INDEX(Material_Detail!$D:$DC,MATCH($A45,Material_Detail!$DE:$DE,0),91),0)),SUMIFS(T_Shipments[Confirmed_Qty],T_Shipments[Part Name],$A45,T_Shipments[Effective_Week],91))</f>
        <v/>
      </c>
      <c r="CO45">
        <f>IF(COUNTIF(Material_Detail!$DE:$DE,$A45)&gt;0,IF(ISNUMBER(SEARCH("[済]",INDEX(Material_Detail!$D:$DC,MATCH($A45,Material_Detail!$DE:$DE,0)+1,92))),0,IFERROR(INDEX(Material_Detail!$D:$DC,MATCH($A45,Material_Detail!$DE:$DE,0),92),0)),SUMIFS(T_Shipments[Confirmed_Qty],T_Shipments[Part Name],$A45,T_Shipments[Effective_Week],92))</f>
        <v/>
      </c>
      <c r="CP45">
        <f>IF(COUNTIF(Material_Detail!$DE:$DE,$A45)&gt;0,IF(ISNUMBER(SEARCH("[済]",INDEX(Material_Detail!$D:$DC,MATCH($A45,Material_Detail!$DE:$DE,0)+1,93))),0,IFERROR(INDEX(Material_Detail!$D:$DC,MATCH($A45,Material_Detail!$DE:$DE,0),93),0)),SUMIFS(T_Shipments[Confirmed_Qty],T_Shipments[Part Name],$A45,T_Shipments[Effective_Week],93))</f>
        <v/>
      </c>
      <c r="CQ45">
        <f>IF(COUNTIF(Material_Detail!$DE:$DE,$A45)&gt;0,IF(ISNUMBER(SEARCH("[済]",INDEX(Material_Detail!$D:$DC,MATCH($A45,Material_Detail!$DE:$DE,0)+1,94))),0,IFERROR(INDEX(Material_Detail!$D:$DC,MATCH($A45,Material_Detail!$DE:$DE,0),94),0)),SUMIFS(T_Shipments[Confirmed_Qty],T_Shipments[Part Name],$A45,T_Shipments[Effective_Week],94))</f>
        <v/>
      </c>
      <c r="CR45">
        <f>IF(COUNTIF(Material_Detail!$DE:$DE,$A45)&gt;0,IF(ISNUMBER(SEARCH("[済]",INDEX(Material_Detail!$D:$DC,MATCH($A45,Material_Detail!$DE:$DE,0)+1,95))),0,IFERROR(INDEX(Material_Detail!$D:$DC,MATCH($A45,Material_Detail!$DE:$DE,0),95),0)),SUMIFS(T_Shipments[Confirmed_Qty],T_Shipments[Part Name],$A45,T_Shipments[Effective_Week],95))</f>
        <v/>
      </c>
      <c r="CS45">
        <f>IF(COUNTIF(Material_Detail!$DE:$DE,$A45)&gt;0,IF(ISNUMBER(SEARCH("[済]",INDEX(Material_Detail!$D:$DC,MATCH($A45,Material_Detail!$DE:$DE,0)+1,96))),0,IFERROR(INDEX(Material_Detail!$D:$DC,MATCH($A45,Material_Detail!$DE:$DE,0),96),0)),SUMIFS(T_Shipments[Confirmed_Qty],T_Shipments[Part Name],$A45,T_Shipments[Effective_Week],96))</f>
        <v/>
      </c>
      <c r="CT45">
        <f>IF(COUNTIF(Material_Detail!$DE:$DE,$A45)&gt;0,IF(ISNUMBER(SEARCH("[済]",INDEX(Material_Detail!$D:$DC,MATCH($A45,Material_Detail!$DE:$DE,0)+1,97))),0,IFERROR(INDEX(Material_Detail!$D:$DC,MATCH($A45,Material_Detail!$DE:$DE,0),97),0)),SUMIFS(T_Shipments[Confirmed_Qty],T_Shipments[Part Name],$A45,T_Shipments[Effective_Week],97))</f>
        <v/>
      </c>
      <c r="CU45">
        <f>IF(COUNTIF(Material_Detail!$DE:$DE,$A45)&gt;0,IF(ISNUMBER(SEARCH("[済]",INDEX(Material_Detail!$D:$DC,MATCH($A45,Material_Detail!$DE:$DE,0)+1,98))),0,IFERROR(INDEX(Material_Detail!$D:$DC,MATCH($A45,Material_Detail!$DE:$DE,0),98),0)),SUMIFS(T_Shipments[Confirmed_Qty],T_Shipments[Part Name],$A45,T_Shipments[Effective_Week],98))</f>
        <v/>
      </c>
      <c r="CV45">
        <f>IF(COUNTIF(Material_Detail!$DE:$DE,$A45)&gt;0,IF(ISNUMBER(SEARCH("[済]",INDEX(Material_Detail!$D:$DC,MATCH($A45,Material_Detail!$DE:$DE,0)+1,99))),0,IFERROR(INDEX(Material_Detail!$D:$DC,MATCH($A45,Material_Detail!$DE:$DE,0),99),0)),SUMIFS(T_Shipments[Confirmed_Qty],T_Shipments[Part Name],$A45,T_Shipments[Effective_Week],99))</f>
        <v/>
      </c>
      <c r="CW45">
        <f>IF(COUNTIF(Material_Detail!$DE:$DE,$A45)&gt;0,IF(ISNUMBER(SEARCH("[済]",INDEX(Material_Detail!$D:$DC,MATCH($A45,Material_Detail!$DE:$DE,0)+1,100))),0,IFERROR(INDEX(Material_Detail!$D:$DC,MATCH($A45,Material_Detail!$DE:$DE,0),100),0)),SUMIFS(T_Shipments[Confirmed_Qty],T_Shipments[Part Name],$A45,T_Shipments[Effective_Week],100))</f>
        <v/>
      </c>
      <c r="CX45">
        <f>IF(COUNTIF(Material_Detail!$DE:$DE,$A45)&gt;0,IF(ISNUMBER(SEARCH("[済]",INDEX(Material_Detail!$D:$DC,MATCH($A45,Material_Detail!$DE:$DE,0)+1,101))),0,IFERROR(INDEX(Material_Detail!$D:$DC,MATCH($A45,Material_Detail!$DE:$DE,0),101),0)),SUMIFS(T_Shipments[Confirmed_Qty],T_Shipments[Part Name],$A45,T_Shipments[Effective_Week],101))</f>
        <v/>
      </c>
      <c r="CY45">
        <f>IF(COUNTIF(Material_Detail!$DE:$DE,$A45)&gt;0,IF(ISNUMBER(SEARCH("[済]",INDEX(Material_Detail!$D:$DC,MATCH($A45,Material_Detail!$DE:$DE,0)+1,102))),0,IFERROR(INDEX(Material_Detail!$D:$DC,MATCH($A45,Material_Detail!$DE:$DE,0),102),0)),SUMIFS(T_Shipments[Confirmed_Qty],T_Shipments[Part Name],$A45,T_Shipments[Effective_Week],102))</f>
        <v/>
      </c>
      <c r="CZ45">
        <f>IF(COUNTIF(Material_Detail!$DE:$DE,$A45)&gt;0,IF(ISNUMBER(SEARCH("[済]",INDEX(Material_Detail!$D:$DC,MATCH($A45,Material_Detail!$DE:$DE,0)+1,103))),0,IFERROR(INDEX(Material_Detail!$D:$DC,MATCH($A45,Material_Detail!$DE:$DE,0),103),0)),SUMIFS(T_Shipments[Confirmed_Qty],T_Shipments[Part Name],$A45,T_Shipments[Effective_Week],103))</f>
        <v/>
      </c>
      <c r="DA45">
        <f>IF(COUNTIF(Material_Detail!$DE:$DE,$A45)&gt;0,IF(ISNUMBER(SEARCH("[済]",INDEX(Material_Detail!$D:$DC,MATCH($A45,Material_Detail!$DE:$DE,0)+1,104))),0,IFERROR(INDEX(Material_Detail!$D:$DC,MATCH($A45,Material_Detail!$DE:$DE,0),104),0)),SUMIFS(T_Shipments[Confirmed_Qty],T_Shipments[Part Name],$A45,T_Shipments[Effective_Week],104))</f>
        <v/>
      </c>
    </row>
    <row r="46">
      <c r="A46" t="inlineStr">
        <is>
          <t>CHEM-1770</t>
        </is>
      </c>
      <c r="B46">
        <f>IF(COUNTIF(Material_Detail!$DE:$DE,$A46)&gt;0,IF(ISNUMBER(SEARCH("[済]",INDEX(Material_Detail!$D:$DC,MATCH($A46,Material_Detail!$DE:$DE,0)+1,1))),0,IFERROR(INDEX(Material_Detail!$D:$DC,MATCH($A46,Material_Detail!$DE:$DE,0),1),0)),SUMIFS(T_Shipments[Confirmed_Qty],T_Shipments[Part Name],$A46,T_Shipments[Effective_Week],1))</f>
        <v/>
      </c>
      <c r="C46">
        <f>IF(COUNTIF(Material_Detail!$DE:$DE,$A46)&gt;0,IF(ISNUMBER(SEARCH("[済]",INDEX(Material_Detail!$D:$DC,MATCH($A46,Material_Detail!$DE:$DE,0)+1,2))),0,IFERROR(INDEX(Material_Detail!$D:$DC,MATCH($A46,Material_Detail!$DE:$DE,0),2),0)),SUMIFS(T_Shipments[Confirmed_Qty],T_Shipments[Part Name],$A46,T_Shipments[Effective_Week],2))</f>
        <v/>
      </c>
      <c r="D46">
        <f>IF(COUNTIF(Material_Detail!$DE:$DE,$A46)&gt;0,IF(ISNUMBER(SEARCH("[済]",INDEX(Material_Detail!$D:$DC,MATCH($A46,Material_Detail!$DE:$DE,0)+1,3))),0,IFERROR(INDEX(Material_Detail!$D:$DC,MATCH($A46,Material_Detail!$DE:$DE,0),3),0)),SUMIFS(T_Shipments[Confirmed_Qty],T_Shipments[Part Name],$A46,T_Shipments[Effective_Week],3))</f>
        <v/>
      </c>
      <c r="E46">
        <f>IF(COUNTIF(Material_Detail!$DE:$DE,$A46)&gt;0,IF(ISNUMBER(SEARCH("[済]",INDEX(Material_Detail!$D:$DC,MATCH($A46,Material_Detail!$DE:$DE,0)+1,4))),0,IFERROR(INDEX(Material_Detail!$D:$DC,MATCH($A46,Material_Detail!$DE:$DE,0),4),0)),SUMIFS(T_Shipments[Confirmed_Qty],T_Shipments[Part Name],$A46,T_Shipments[Effective_Week],4))</f>
        <v/>
      </c>
      <c r="F46">
        <f>IF(COUNTIF(Material_Detail!$DE:$DE,$A46)&gt;0,IF(ISNUMBER(SEARCH("[済]",INDEX(Material_Detail!$D:$DC,MATCH($A46,Material_Detail!$DE:$DE,0)+1,5))),0,IFERROR(INDEX(Material_Detail!$D:$DC,MATCH($A46,Material_Detail!$DE:$DE,0),5),0)),SUMIFS(T_Shipments[Confirmed_Qty],T_Shipments[Part Name],$A46,T_Shipments[Effective_Week],5))</f>
        <v/>
      </c>
      <c r="G46">
        <f>IF(COUNTIF(Material_Detail!$DE:$DE,$A46)&gt;0,IF(ISNUMBER(SEARCH("[済]",INDEX(Material_Detail!$D:$DC,MATCH($A46,Material_Detail!$DE:$DE,0)+1,6))),0,IFERROR(INDEX(Material_Detail!$D:$DC,MATCH($A46,Material_Detail!$DE:$DE,0),6),0)),SUMIFS(T_Shipments[Confirmed_Qty],T_Shipments[Part Name],$A46,T_Shipments[Effective_Week],6))</f>
        <v/>
      </c>
      <c r="H46">
        <f>IF(COUNTIF(Material_Detail!$DE:$DE,$A46)&gt;0,IF(ISNUMBER(SEARCH("[済]",INDEX(Material_Detail!$D:$DC,MATCH($A46,Material_Detail!$DE:$DE,0)+1,7))),0,IFERROR(INDEX(Material_Detail!$D:$DC,MATCH($A46,Material_Detail!$DE:$DE,0),7),0)),SUMIFS(T_Shipments[Confirmed_Qty],T_Shipments[Part Name],$A46,T_Shipments[Effective_Week],7))</f>
        <v/>
      </c>
      <c r="I46">
        <f>IF(COUNTIF(Material_Detail!$DE:$DE,$A46)&gt;0,IF(ISNUMBER(SEARCH("[済]",INDEX(Material_Detail!$D:$DC,MATCH($A46,Material_Detail!$DE:$DE,0)+1,8))),0,IFERROR(INDEX(Material_Detail!$D:$DC,MATCH($A46,Material_Detail!$DE:$DE,0),8),0)),SUMIFS(T_Shipments[Confirmed_Qty],T_Shipments[Part Name],$A46,T_Shipments[Effective_Week],8))</f>
        <v/>
      </c>
      <c r="J46">
        <f>IF(COUNTIF(Material_Detail!$DE:$DE,$A46)&gt;0,IF(ISNUMBER(SEARCH("[済]",INDEX(Material_Detail!$D:$DC,MATCH($A46,Material_Detail!$DE:$DE,0)+1,9))),0,IFERROR(INDEX(Material_Detail!$D:$DC,MATCH($A46,Material_Detail!$DE:$DE,0),9),0)),SUMIFS(T_Shipments[Confirmed_Qty],T_Shipments[Part Name],$A46,T_Shipments[Effective_Week],9))</f>
        <v/>
      </c>
      <c r="K46">
        <f>IF(COUNTIF(Material_Detail!$DE:$DE,$A46)&gt;0,IF(ISNUMBER(SEARCH("[済]",INDEX(Material_Detail!$D:$DC,MATCH($A46,Material_Detail!$DE:$DE,0)+1,10))),0,IFERROR(INDEX(Material_Detail!$D:$DC,MATCH($A46,Material_Detail!$DE:$DE,0),10),0)),SUMIFS(T_Shipments[Confirmed_Qty],T_Shipments[Part Name],$A46,T_Shipments[Effective_Week],10))</f>
        <v/>
      </c>
      <c r="L46">
        <f>IF(COUNTIF(Material_Detail!$DE:$DE,$A46)&gt;0,IF(ISNUMBER(SEARCH("[済]",INDEX(Material_Detail!$D:$DC,MATCH($A46,Material_Detail!$DE:$DE,0)+1,11))),0,IFERROR(INDEX(Material_Detail!$D:$DC,MATCH($A46,Material_Detail!$DE:$DE,0),11),0)),SUMIFS(T_Shipments[Confirmed_Qty],T_Shipments[Part Name],$A46,T_Shipments[Effective_Week],11))</f>
        <v/>
      </c>
      <c r="M46">
        <f>IF(COUNTIF(Material_Detail!$DE:$DE,$A46)&gt;0,IF(ISNUMBER(SEARCH("[済]",INDEX(Material_Detail!$D:$DC,MATCH($A46,Material_Detail!$DE:$DE,0)+1,12))),0,IFERROR(INDEX(Material_Detail!$D:$DC,MATCH($A46,Material_Detail!$DE:$DE,0),12),0)),SUMIFS(T_Shipments[Confirmed_Qty],T_Shipments[Part Name],$A46,T_Shipments[Effective_Week],12))</f>
        <v/>
      </c>
      <c r="N46">
        <f>IF(COUNTIF(Material_Detail!$DE:$DE,$A46)&gt;0,IF(ISNUMBER(SEARCH("[済]",INDEX(Material_Detail!$D:$DC,MATCH($A46,Material_Detail!$DE:$DE,0)+1,13))),0,IFERROR(INDEX(Material_Detail!$D:$DC,MATCH($A46,Material_Detail!$DE:$DE,0),13),0)),SUMIFS(T_Shipments[Confirmed_Qty],T_Shipments[Part Name],$A46,T_Shipments[Effective_Week],13))</f>
        <v/>
      </c>
      <c r="O46">
        <f>IF(COUNTIF(Material_Detail!$DE:$DE,$A46)&gt;0,IF(ISNUMBER(SEARCH("[済]",INDEX(Material_Detail!$D:$DC,MATCH($A46,Material_Detail!$DE:$DE,0)+1,14))),0,IFERROR(INDEX(Material_Detail!$D:$DC,MATCH($A46,Material_Detail!$DE:$DE,0),14),0)),SUMIFS(T_Shipments[Confirmed_Qty],T_Shipments[Part Name],$A46,T_Shipments[Effective_Week],14))</f>
        <v/>
      </c>
      <c r="P46">
        <f>IF(COUNTIF(Material_Detail!$DE:$DE,$A46)&gt;0,IF(ISNUMBER(SEARCH("[済]",INDEX(Material_Detail!$D:$DC,MATCH($A46,Material_Detail!$DE:$DE,0)+1,15))),0,IFERROR(INDEX(Material_Detail!$D:$DC,MATCH($A46,Material_Detail!$DE:$DE,0),15),0)),SUMIFS(T_Shipments[Confirmed_Qty],T_Shipments[Part Name],$A46,T_Shipments[Effective_Week],15))</f>
        <v/>
      </c>
      <c r="Q46">
        <f>IF(COUNTIF(Material_Detail!$DE:$DE,$A46)&gt;0,IF(ISNUMBER(SEARCH("[済]",INDEX(Material_Detail!$D:$DC,MATCH($A46,Material_Detail!$DE:$DE,0)+1,16))),0,IFERROR(INDEX(Material_Detail!$D:$DC,MATCH($A46,Material_Detail!$DE:$DE,0),16),0)),SUMIFS(T_Shipments[Confirmed_Qty],T_Shipments[Part Name],$A46,T_Shipments[Effective_Week],16))</f>
        <v/>
      </c>
      <c r="R46">
        <f>IF(COUNTIF(Material_Detail!$DE:$DE,$A46)&gt;0,IF(ISNUMBER(SEARCH("[済]",INDEX(Material_Detail!$D:$DC,MATCH($A46,Material_Detail!$DE:$DE,0)+1,17))),0,IFERROR(INDEX(Material_Detail!$D:$DC,MATCH($A46,Material_Detail!$DE:$DE,0),17),0)),SUMIFS(T_Shipments[Confirmed_Qty],T_Shipments[Part Name],$A46,T_Shipments[Effective_Week],17))</f>
        <v/>
      </c>
      <c r="S46">
        <f>IF(COUNTIF(Material_Detail!$DE:$DE,$A46)&gt;0,IF(ISNUMBER(SEARCH("[済]",INDEX(Material_Detail!$D:$DC,MATCH($A46,Material_Detail!$DE:$DE,0)+1,18))),0,IFERROR(INDEX(Material_Detail!$D:$DC,MATCH($A46,Material_Detail!$DE:$DE,0),18),0)),SUMIFS(T_Shipments[Confirmed_Qty],T_Shipments[Part Name],$A46,T_Shipments[Effective_Week],18))</f>
        <v/>
      </c>
      <c r="T46">
        <f>IF(COUNTIF(Material_Detail!$DE:$DE,$A46)&gt;0,IF(ISNUMBER(SEARCH("[済]",INDEX(Material_Detail!$D:$DC,MATCH($A46,Material_Detail!$DE:$DE,0)+1,19))),0,IFERROR(INDEX(Material_Detail!$D:$DC,MATCH($A46,Material_Detail!$DE:$DE,0),19),0)),SUMIFS(T_Shipments[Confirmed_Qty],T_Shipments[Part Name],$A46,T_Shipments[Effective_Week],19))</f>
        <v/>
      </c>
      <c r="U46">
        <f>IF(COUNTIF(Material_Detail!$DE:$DE,$A46)&gt;0,IF(ISNUMBER(SEARCH("[済]",INDEX(Material_Detail!$D:$DC,MATCH($A46,Material_Detail!$DE:$DE,0)+1,20))),0,IFERROR(INDEX(Material_Detail!$D:$DC,MATCH($A46,Material_Detail!$DE:$DE,0),20),0)),SUMIFS(T_Shipments[Confirmed_Qty],T_Shipments[Part Name],$A46,T_Shipments[Effective_Week],20))</f>
        <v/>
      </c>
      <c r="V46">
        <f>IF(COUNTIF(Material_Detail!$DE:$DE,$A46)&gt;0,IF(ISNUMBER(SEARCH("[済]",INDEX(Material_Detail!$D:$DC,MATCH($A46,Material_Detail!$DE:$DE,0)+1,21))),0,IFERROR(INDEX(Material_Detail!$D:$DC,MATCH($A46,Material_Detail!$DE:$DE,0),21),0)),SUMIFS(T_Shipments[Confirmed_Qty],T_Shipments[Part Name],$A46,T_Shipments[Effective_Week],21))</f>
        <v/>
      </c>
      <c r="W46">
        <f>IF(COUNTIF(Material_Detail!$DE:$DE,$A46)&gt;0,IF(ISNUMBER(SEARCH("[済]",INDEX(Material_Detail!$D:$DC,MATCH($A46,Material_Detail!$DE:$DE,0)+1,22))),0,IFERROR(INDEX(Material_Detail!$D:$DC,MATCH($A46,Material_Detail!$DE:$DE,0),22),0)),SUMIFS(T_Shipments[Confirmed_Qty],T_Shipments[Part Name],$A46,T_Shipments[Effective_Week],22))</f>
        <v/>
      </c>
      <c r="X46">
        <f>IF(COUNTIF(Material_Detail!$DE:$DE,$A46)&gt;0,IF(ISNUMBER(SEARCH("[済]",INDEX(Material_Detail!$D:$DC,MATCH($A46,Material_Detail!$DE:$DE,0)+1,23))),0,IFERROR(INDEX(Material_Detail!$D:$DC,MATCH($A46,Material_Detail!$DE:$DE,0),23),0)),SUMIFS(T_Shipments[Confirmed_Qty],T_Shipments[Part Name],$A46,T_Shipments[Effective_Week],23))</f>
        <v/>
      </c>
      <c r="Y46">
        <f>IF(COUNTIF(Material_Detail!$DE:$DE,$A46)&gt;0,IF(ISNUMBER(SEARCH("[済]",INDEX(Material_Detail!$D:$DC,MATCH($A46,Material_Detail!$DE:$DE,0)+1,24))),0,IFERROR(INDEX(Material_Detail!$D:$DC,MATCH($A46,Material_Detail!$DE:$DE,0),24),0)),SUMIFS(T_Shipments[Confirmed_Qty],T_Shipments[Part Name],$A46,T_Shipments[Effective_Week],24))</f>
        <v/>
      </c>
      <c r="Z46">
        <f>IF(COUNTIF(Material_Detail!$DE:$DE,$A46)&gt;0,IF(ISNUMBER(SEARCH("[済]",INDEX(Material_Detail!$D:$DC,MATCH($A46,Material_Detail!$DE:$DE,0)+1,25))),0,IFERROR(INDEX(Material_Detail!$D:$DC,MATCH($A46,Material_Detail!$DE:$DE,0),25),0)),SUMIFS(T_Shipments[Confirmed_Qty],T_Shipments[Part Name],$A46,T_Shipments[Effective_Week],25))</f>
        <v/>
      </c>
      <c r="AA46">
        <f>IF(COUNTIF(Material_Detail!$DE:$DE,$A46)&gt;0,IF(ISNUMBER(SEARCH("[済]",INDEX(Material_Detail!$D:$DC,MATCH($A46,Material_Detail!$DE:$DE,0)+1,26))),0,IFERROR(INDEX(Material_Detail!$D:$DC,MATCH($A46,Material_Detail!$DE:$DE,0),26),0)),SUMIFS(T_Shipments[Confirmed_Qty],T_Shipments[Part Name],$A46,T_Shipments[Effective_Week],26))</f>
        <v/>
      </c>
      <c r="AB46">
        <f>IF(COUNTIF(Material_Detail!$DE:$DE,$A46)&gt;0,IF(ISNUMBER(SEARCH("[済]",INDEX(Material_Detail!$D:$DC,MATCH($A46,Material_Detail!$DE:$DE,0)+1,27))),0,IFERROR(INDEX(Material_Detail!$D:$DC,MATCH($A46,Material_Detail!$DE:$DE,0),27),0)),SUMIFS(T_Shipments[Confirmed_Qty],T_Shipments[Part Name],$A46,T_Shipments[Effective_Week],27))</f>
        <v/>
      </c>
      <c r="AC46">
        <f>IF(COUNTIF(Material_Detail!$DE:$DE,$A46)&gt;0,IF(ISNUMBER(SEARCH("[済]",INDEX(Material_Detail!$D:$DC,MATCH($A46,Material_Detail!$DE:$DE,0)+1,28))),0,IFERROR(INDEX(Material_Detail!$D:$DC,MATCH($A46,Material_Detail!$DE:$DE,0),28),0)),SUMIFS(T_Shipments[Confirmed_Qty],T_Shipments[Part Name],$A46,T_Shipments[Effective_Week],28))</f>
        <v/>
      </c>
      <c r="AD46">
        <f>IF(COUNTIF(Material_Detail!$DE:$DE,$A46)&gt;0,IF(ISNUMBER(SEARCH("[済]",INDEX(Material_Detail!$D:$DC,MATCH($A46,Material_Detail!$DE:$DE,0)+1,29))),0,IFERROR(INDEX(Material_Detail!$D:$DC,MATCH($A46,Material_Detail!$DE:$DE,0),29),0)),SUMIFS(T_Shipments[Confirmed_Qty],T_Shipments[Part Name],$A46,T_Shipments[Effective_Week],29))</f>
        <v/>
      </c>
      <c r="AE46">
        <f>IF(COUNTIF(Material_Detail!$DE:$DE,$A46)&gt;0,IF(ISNUMBER(SEARCH("[済]",INDEX(Material_Detail!$D:$DC,MATCH($A46,Material_Detail!$DE:$DE,0)+1,30))),0,IFERROR(INDEX(Material_Detail!$D:$DC,MATCH($A46,Material_Detail!$DE:$DE,0),30),0)),SUMIFS(T_Shipments[Confirmed_Qty],T_Shipments[Part Name],$A46,T_Shipments[Effective_Week],30))</f>
        <v/>
      </c>
      <c r="AF46">
        <f>IF(COUNTIF(Material_Detail!$DE:$DE,$A46)&gt;0,IF(ISNUMBER(SEARCH("[済]",INDEX(Material_Detail!$D:$DC,MATCH($A46,Material_Detail!$DE:$DE,0)+1,31))),0,IFERROR(INDEX(Material_Detail!$D:$DC,MATCH($A46,Material_Detail!$DE:$DE,0),31),0)),SUMIFS(T_Shipments[Confirmed_Qty],T_Shipments[Part Name],$A46,T_Shipments[Effective_Week],31))</f>
        <v/>
      </c>
      <c r="AG46">
        <f>IF(COUNTIF(Material_Detail!$DE:$DE,$A46)&gt;0,IF(ISNUMBER(SEARCH("[済]",INDEX(Material_Detail!$D:$DC,MATCH($A46,Material_Detail!$DE:$DE,0)+1,32))),0,IFERROR(INDEX(Material_Detail!$D:$DC,MATCH($A46,Material_Detail!$DE:$DE,0),32),0)),SUMIFS(T_Shipments[Confirmed_Qty],T_Shipments[Part Name],$A46,T_Shipments[Effective_Week],32))</f>
        <v/>
      </c>
      <c r="AH46">
        <f>IF(COUNTIF(Material_Detail!$DE:$DE,$A46)&gt;0,IF(ISNUMBER(SEARCH("[済]",INDEX(Material_Detail!$D:$DC,MATCH($A46,Material_Detail!$DE:$DE,0)+1,33))),0,IFERROR(INDEX(Material_Detail!$D:$DC,MATCH($A46,Material_Detail!$DE:$DE,0),33),0)),SUMIFS(T_Shipments[Confirmed_Qty],T_Shipments[Part Name],$A46,T_Shipments[Effective_Week],33))</f>
        <v/>
      </c>
      <c r="AI46">
        <f>IF(COUNTIF(Material_Detail!$DE:$DE,$A46)&gt;0,IF(ISNUMBER(SEARCH("[済]",INDEX(Material_Detail!$D:$DC,MATCH($A46,Material_Detail!$DE:$DE,0)+1,34))),0,IFERROR(INDEX(Material_Detail!$D:$DC,MATCH($A46,Material_Detail!$DE:$DE,0),34),0)),SUMIFS(T_Shipments[Confirmed_Qty],T_Shipments[Part Name],$A46,T_Shipments[Effective_Week],34))</f>
        <v/>
      </c>
      <c r="AJ46">
        <f>IF(COUNTIF(Material_Detail!$DE:$DE,$A46)&gt;0,IF(ISNUMBER(SEARCH("[済]",INDEX(Material_Detail!$D:$DC,MATCH($A46,Material_Detail!$DE:$DE,0)+1,35))),0,IFERROR(INDEX(Material_Detail!$D:$DC,MATCH($A46,Material_Detail!$DE:$DE,0),35),0)),SUMIFS(T_Shipments[Confirmed_Qty],T_Shipments[Part Name],$A46,T_Shipments[Effective_Week],35))</f>
        <v/>
      </c>
      <c r="AK46">
        <f>IF(COUNTIF(Material_Detail!$DE:$DE,$A46)&gt;0,IF(ISNUMBER(SEARCH("[済]",INDEX(Material_Detail!$D:$DC,MATCH($A46,Material_Detail!$DE:$DE,0)+1,36))),0,IFERROR(INDEX(Material_Detail!$D:$DC,MATCH($A46,Material_Detail!$DE:$DE,0),36),0)),SUMIFS(T_Shipments[Confirmed_Qty],T_Shipments[Part Name],$A46,T_Shipments[Effective_Week],36))</f>
        <v/>
      </c>
      <c r="AL46">
        <f>IF(COUNTIF(Material_Detail!$DE:$DE,$A46)&gt;0,IF(ISNUMBER(SEARCH("[済]",INDEX(Material_Detail!$D:$DC,MATCH($A46,Material_Detail!$DE:$DE,0)+1,37))),0,IFERROR(INDEX(Material_Detail!$D:$DC,MATCH($A46,Material_Detail!$DE:$DE,0),37),0)),SUMIFS(T_Shipments[Confirmed_Qty],T_Shipments[Part Name],$A46,T_Shipments[Effective_Week],37))</f>
        <v/>
      </c>
      <c r="AM46">
        <f>IF(COUNTIF(Material_Detail!$DE:$DE,$A46)&gt;0,IF(ISNUMBER(SEARCH("[済]",INDEX(Material_Detail!$D:$DC,MATCH($A46,Material_Detail!$DE:$DE,0)+1,38))),0,IFERROR(INDEX(Material_Detail!$D:$DC,MATCH($A46,Material_Detail!$DE:$DE,0),38),0)),SUMIFS(T_Shipments[Confirmed_Qty],T_Shipments[Part Name],$A46,T_Shipments[Effective_Week],38))</f>
        <v/>
      </c>
      <c r="AN46">
        <f>IF(COUNTIF(Material_Detail!$DE:$DE,$A46)&gt;0,IF(ISNUMBER(SEARCH("[済]",INDEX(Material_Detail!$D:$DC,MATCH($A46,Material_Detail!$DE:$DE,0)+1,39))),0,IFERROR(INDEX(Material_Detail!$D:$DC,MATCH($A46,Material_Detail!$DE:$DE,0),39),0)),SUMIFS(T_Shipments[Confirmed_Qty],T_Shipments[Part Name],$A46,T_Shipments[Effective_Week],39))</f>
        <v/>
      </c>
      <c r="AO46">
        <f>IF(COUNTIF(Material_Detail!$DE:$DE,$A46)&gt;0,IF(ISNUMBER(SEARCH("[済]",INDEX(Material_Detail!$D:$DC,MATCH($A46,Material_Detail!$DE:$DE,0)+1,40))),0,IFERROR(INDEX(Material_Detail!$D:$DC,MATCH($A46,Material_Detail!$DE:$DE,0),40),0)),SUMIFS(T_Shipments[Confirmed_Qty],T_Shipments[Part Name],$A46,T_Shipments[Effective_Week],40))</f>
        <v/>
      </c>
      <c r="AP46">
        <f>IF(COUNTIF(Material_Detail!$DE:$DE,$A46)&gt;0,IF(ISNUMBER(SEARCH("[済]",INDEX(Material_Detail!$D:$DC,MATCH($A46,Material_Detail!$DE:$DE,0)+1,41))),0,IFERROR(INDEX(Material_Detail!$D:$DC,MATCH($A46,Material_Detail!$DE:$DE,0),41),0)),SUMIFS(T_Shipments[Confirmed_Qty],T_Shipments[Part Name],$A46,T_Shipments[Effective_Week],41))</f>
        <v/>
      </c>
      <c r="AQ46">
        <f>IF(COUNTIF(Material_Detail!$DE:$DE,$A46)&gt;0,IF(ISNUMBER(SEARCH("[済]",INDEX(Material_Detail!$D:$DC,MATCH($A46,Material_Detail!$DE:$DE,0)+1,42))),0,IFERROR(INDEX(Material_Detail!$D:$DC,MATCH($A46,Material_Detail!$DE:$DE,0),42),0)),SUMIFS(T_Shipments[Confirmed_Qty],T_Shipments[Part Name],$A46,T_Shipments[Effective_Week],42))</f>
        <v/>
      </c>
      <c r="AR46">
        <f>IF(COUNTIF(Material_Detail!$DE:$DE,$A46)&gt;0,IF(ISNUMBER(SEARCH("[済]",INDEX(Material_Detail!$D:$DC,MATCH($A46,Material_Detail!$DE:$DE,0)+1,43))),0,IFERROR(INDEX(Material_Detail!$D:$DC,MATCH($A46,Material_Detail!$DE:$DE,0),43),0)),SUMIFS(T_Shipments[Confirmed_Qty],T_Shipments[Part Name],$A46,T_Shipments[Effective_Week],43))</f>
        <v/>
      </c>
      <c r="AS46">
        <f>IF(COUNTIF(Material_Detail!$DE:$DE,$A46)&gt;0,IF(ISNUMBER(SEARCH("[済]",INDEX(Material_Detail!$D:$DC,MATCH($A46,Material_Detail!$DE:$DE,0)+1,44))),0,IFERROR(INDEX(Material_Detail!$D:$DC,MATCH($A46,Material_Detail!$DE:$DE,0),44),0)),SUMIFS(T_Shipments[Confirmed_Qty],T_Shipments[Part Name],$A46,T_Shipments[Effective_Week],44))</f>
        <v/>
      </c>
      <c r="AT46">
        <f>IF(COUNTIF(Material_Detail!$DE:$DE,$A46)&gt;0,IF(ISNUMBER(SEARCH("[済]",INDEX(Material_Detail!$D:$DC,MATCH($A46,Material_Detail!$DE:$DE,0)+1,45))),0,IFERROR(INDEX(Material_Detail!$D:$DC,MATCH($A46,Material_Detail!$DE:$DE,0),45),0)),SUMIFS(T_Shipments[Confirmed_Qty],T_Shipments[Part Name],$A46,T_Shipments[Effective_Week],45))</f>
        <v/>
      </c>
      <c r="AU46">
        <f>IF(COUNTIF(Material_Detail!$DE:$DE,$A46)&gt;0,IF(ISNUMBER(SEARCH("[済]",INDEX(Material_Detail!$D:$DC,MATCH($A46,Material_Detail!$DE:$DE,0)+1,46))),0,IFERROR(INDEX(Material_Detail!$D:$DC,MATCH($A46,Material_Detail!$DE:$DE,0),46),0)),SUMIFS(T_Shipments[Confirmed_Qty],T_Shipments[Part Name],$A46,T_Shipments[Effective_Week],46))</f>
        <v/>
      </c>
      <c r="AV46">
        <f>IF(COUNTIF(Material_Detail!$DE:$DE,$A46)&gt;0,IF(ISNUMBER(SEARCH("[済]",INDEX(Material_Detail!$D:$DC,MATCH($A46,Material_Detail!$DE:$DE,0)+1,47))),0,IFERROR(INDEX(Material_Detail!$D:$DC,MATCH($A46,Material_Detail!$DE:$DE,0),47),0)),SUMIFS(T_Shipments[Confirmed_Qty],T_Shipments[Part Name],$A46,T_Shipments[Effective_Week],47))</f>
        <v/>
      </c>
      <c r="AW46">
        <f>IF(COUNTIF(Material_Detail!$DE:$DE,$A46)&gt;0,IF(ISNUMBER(SEARCH("[済]",INDEX(Material_Detail!$D:$DC,MATCH($A46,Material_Detail!$DE:$DE,0)+1,48))),0,IFERROR(INDEX(Material_Detail!$D:$DC,MATCH($A46,Material_Detail!$DE:$DE,0),48),0)),SUMIFS(T_Shipments[Confirmed_Qty],T_Shipments[Part Name],$A46,T_Shipments[Effective_Week],48))</f>
        <v/>
      </c>
      <c r="AX46">
        <f>IF(COUNTIF(Material_Detail!$DE:$DE,$A46)&gt;0,IF(ISNUMBER(SEARCH("[済]",INDEX(Material_Detail!$D:$DC,MATCH($A46,Material_Detail!$DE:$DE,0)+1,49))),0,IFERROR(INDEX(Material_Detail!$D:$DC,MATCH($A46,Material_Detail!$DE:$DE,0),49),0)),SUMIFS(T_Shipments[Confirmed_Qty],T_Shipments[Part Name],$A46,T_Shipments[Effective_Week],49))</f>
        <v/>
      </c>
      <c r="AY46">
        <f>IF(COUNTIF(Material_Detail!$DE:$DE,$A46)&gt;0,IF(ISNUMBER(SEARCH("[済]",INDEX(Material_Detail!$D:$DC,MATCH($A46,Material_Detail!$DE:$DE,0)+1,50))),0,IFERROR(INDEX(Material_Detail!$D:$DC,MATCH($A46,Material_Detail!$DE:$DE,0),50),0)),SUMIFS(T_Shipments[Confirmed_Qty],T_Shipments[Part Name],$A46,T_Shipments[Effective_Week],50))</f>
        <v/>
      </c>
      <c r="AZ46">
        <f>IF(COUNTIF(Material_Detail!$DE:$DE,$A46)&gt;0,IF(ISNUMBER(SEARCH("[済]",INDEX(Material_Detail!$D:$DC,MATCH($A46,Material_Detail!$DE:$DE,0)+1,51))),0,IFERROR(INDEX(Material_Detail!$D:$DC,MATCH($A46,Material_Detail!$DE:$DE,0),51),0)),SUMIFS(T_Shipments[Confirmed_Qty],T_Shipments[Part Name],$A46,T_Shipments[Effective_Week],51))</f>
        <v/>
      </c>
      <c r="BA46">
        <f>IF(COUNTIF(Material_Detail!$DE:$DE,$A46)&gt;0,IF(ISNUMBER(SEARCH("[済]",INDEX(Material_Detail!$D:$DC,MATCH($A46,Material_Detail!$DE:$DE,0)+1,52))),0,IFERROR(INDEX(Material_Detail!$D:$DC,MATCH($A46,Material_Detail!$DE:$DE,0),52),0)),SUMIFS(T_Shipments[Confirmed_Qty],T_Shipments[Part Name],$A46,T_Shipments[Effective_Week],52))</f>
        <v/>
      </c>
      <c r="BB46">
        <f>IF(COUNTIF(Material_Detail!$DE:$DE,$A46)&gt;0,IF(ISNUMBER(SEARCH("[済]",INDEX(Material_Detail!$D:$DC,MATCH($A46,Material_Detail!$DE:$DE,0)+1,53))),0,IFERROR(INDEX(Material_Detail!$D:$DC,MATCH($A46,Material_Detail!$DE:$DE,0),53),0)),SUMIFS(T_Shipments[Confirmed_Qty],T_Shipments[Part Name],$A46,T_Shipments[Effective_Week],53))</f>
        <v/>
      </c>
      <c r="BC46">
        <f>IF(COUNTIF(Material_Detail!$DE:$DE,$A46)&gt;0,IF(ISNUMBER(SEARCH("[済]",INDEX(Material_Detail!$D:$DC,MATCH($A46,Material_Detail!$DE:$DE,0)+1,54))),0,IFERROR(INDEX(Material_Detail!$D:$DC,MATCH($A46,Material_Detail!$DE:$DE,0),54),0)),SUMIFS(T_Shipments[Confirmed_Qty],T_Shipments[Part Name],$A46,T_Shipments[Effective_Week],54))</f>
        <v/>
      </c>
      <c r="BD46">
        <f>IF(COUNTIF(Material_Detail!$DE:$DE,$A46)&gt;0,IF(ISNUMBER(SEARCH("[済]",INDEX(Material_Detail!$D:$DC,MATCH($A46,Material_Detail!$DE:$DE,0)+1,55))),0,IFERROR(INDEX(Material_Detail!$D:$DC,MATCH($A46,Material_Detail!$DE:$DE,0),55),0)),SUMIFS(T_Shipments[Confirmed_Qty],T_Shipments[Part Name],$A46,T_Shipments[Effective_Week],55))</f>
        <v/>
      </c>
      <c r="BE46">
        <f>IF(COUNTIF(Material_Detail!$DE:$DE,$A46)&gt;0,IF(ISNUMBER(SEARCH("[済]",INDEX(Material_Detail!$D:$DC,MATCH($A46,Material_Detail!$DE:$DE,0)+1,56))),0,IFERROR(INDEX(Material_Detail!$D:$DC,MATCH($A46,Material_Detail!$DE:$DE,0),56),0)),SUMIFS(T_Shipments[Confirmed_Qty],T_Shipments[Part Name],$A46,T_Shipments[Effective_Week],56))</f>
        <v/>
      </c>
      <c r="BF46">
        <f>IF(COUNTIF(Material_Detail!$DE:$DE,$A46)&gt;0,IF(ISNUMBER(SEARCH("[済]",INDEX(Material_Detail!$D:$DC,MATCH($A46,Material_Detail!$DE:$DE,0)+1,57))),0,IFERROR(INDEX(Material_Detail!$D:$DC,MATCH($A46,Material_Detail!$DE:$DE,0),57),0)),SUMIFS(T_Shipments[Confirmed_Qty],T_Shipments[Part Name],$A46,T_Shipments[Effective_Week],57))</f>
        <v/>
      </c>
      <c r="BG46">
        <f>IF(COUNTIF(Material_Detail!$DE:$DE,$A46)&gt;0,IF(ISNUMBER(SEARCH("[済]",INDEX(Material_Detail!$D:$DC,MATCH($A46,Material_Detail!$DE:$DE,0)+1,58))),0,IFERROR(INDEX(Material_Detail!$D:$DC,MATCH($A46,Material_Detail!$DE:$DE,0),58),0)),SUMIFS(T_Shipments[Confirmed_Qty],T_Shipments[Part Name],$A46,T_Shipments[Effective_Week],58))</f>
        <v/>
      </c>
      <c r="BH46">
        <f>IF(COUNTIF(Material_Detail!$DE:$DE,$A46)&gt;0,IF(ISNUMBER(SEARCH("[済]",INDEX(Material_Detail!$D:$DC,MATCH($A46,Material_Detail!$DE:$DE,0)+1,59))),0,IFERROR(INDEX(Material_Detail!$D:$DC,MATCH($A46,Material_Detail!$DE:$DE,0),59),0)),SUMIFS(T_Shipments[Confirmed_Qty],T_Shipments[Part Name],$A46,T_Shipments[Effective_Week],59))</f>
        <v/>
      </c>
      <c r="BI46">
        <f>IF(COUNTIF(Material_Detail!$DE:$DE,$A46)&gt;0,IF(ISNUMBER(SEARCH("[済]",INDEX(Material_Detail!$D:$DC,MATCH($A46,Material_Detail!$DE:$DE,0)+1,60))),0,IFERROR(INDEX(Material_Detail!$D:$DC,MATCH($A46,Material_Detail!$DE:$DE,0),60),0)),SUMIFS(T_Shipments[Confirmed_Qty],T_Shipments[Part Name],$A46,T_Shipments[Effective_Week],60))</f>
        <v/>
      </c>
      <c r="BJ46">
        <f>IF(COUNTIF(Material_Detail!$DE:$DE,$A46)&gt;0,IF(ISNUMBER(SEARCH("[済]",INDEX(Material_Detail!$D:$DC,MATCH($A46,Material_Detail!$DE:$DE,0)+1,61))),0,IFERROR(INDEX(Material_Detail!$D:$DC,MATCH($A46,Material_Detail!$DE:$DE,0),61),0)),SUMIFS(T_Shipments[Confirmed_Qty],T_Shipments[Part Name],$A46,T_Shipments[Effective_Week],61))</f>
        <v/>
      </c>
      <c r="BK46">
        <f>IF(COUNTIF(Material_Detail!$DE:$DE,$A46)&gt;0,IF(ISNUMBER(SEARCH("[済]",INDEX(Material_Detail!$D:$DC,MATCH($A46,Material_Detail!$DE:$DE,0)+1,62))),0,IFERROR(INDEX(Material_Detail!$D:$DC,MATCH($A46,Material_Detail!$DE:$DE,0),62),0)),SUMIFS(T_Shipments[Confirmed_Qty],T_Shipments[Part Name],$A46,T_Shipments[Effective_Week],62))</f>
        <v/>
      </c>
      <c r="BL46">
        <f>IF(COUNTIF(Material_Detail!$DE:$DE,$A46)&gt;0,IF(ISNUMBER(SEARCH("[済]",INDEX(Material_Detail!$D:$DC,MATCH($A46,Material_Detail!$DE:$DE,0)+1,63))),0,IFERROR(INDEX(Material_Detail!$D:$DC,MATCH($A46,Material_Detail!$DE:$DE,0),63),0)),SUMIFS(T_Shipments[Confirmed_Qty],T_Shipments[Part Name],$A46,T_Shipments[Effective_Week],63))</f>
        <v/>
      </c>
      <c r="BM46">
        <f>IF(COUNTIF(Material_Detail!$DE:$DE,$A46)&gt;0,IF(ISNUMBER(SEARCH("[済]",INDEX(Material_Detail!$D:$DC,MATCH($A46,Material_Detail!$DE:$DE,0)+1,64))),0,IFERROR(INDEX(Material_Detail!$D:$DC,MATCH($A46,Material_Detail!$DE:$DE,0),64),0)),SUMIFS(T_Shipments[Confirmed_Qty],T_Shipments[Part Name],$A46,T_Shipments[Effective_Week],64))</f>
        <v/>
      </c>
      <c r="BN46">
        <f>IF(COUNTIF(Material_Detail!$DE:$DE,$A46)&gt;0,IF(ISNUMBER(SEARCH("[済]",INDEX(Material_Detail!$D:$DC,MATCH($A46,Material_Detail!$DE:$DE,0)+1,65))),0,IFERROR(INDEX(Material_Detail!$D:$DC,MATCH($A46,Material_Detail!$DE:$DE,0),65),0)),SUMIFS(T_Shipments[Confirmed_Qty],T_Shipments[Part Name],$A46,T_Shipments[Effective_Week],65))</f>
        <v/>
      </c>
      <c r="BO46">
        <f>IF(COUNTIF(Material_Detail!$DE:$DE,$A46)&gt;0,IF(ISNUMBER(SEARCH("[済]",INDEX(Material_Detail!$D:$DC,MATCH($A46,Material_Detail!$DE:$DE,0)+1,66))),0,IFERROR(INDEX(Material_Detail!$D:$DC,MATCH($A46,Material_Detail!$DE:$DE,0),66),0)),SUMIFS(T_Shipments[Confirmed_Qty],T_Shipments[Part Name],$A46,T_Shipments[Effective_Week],66))</f>
        <v/>
      </c>
      <c r="BP46">
        <f>IF(COUNTIF(Material_Detail!$DE:$DE,$A46)&gt;0,IF(ISNUMBER(SEARCH("[済]",INDEX(Material_Detail!$D:$DC,MATCH($A46,Material_Detail!$DE:$DE,0)+1,67))),0,IFERROR(INDEX(Material_Detail!$D:$DC,MATCH($A46,Material_Detail!$DE:$DE,0),67),0)),SUMIFS(T_Shipments[Confirmed_Qty],T_Shipments[Part Name],$A46,T_Shipments[Effective_Week],67))</f>
        <v/>
      </c>
      <c r="BQ46">
        <f>IF(COUNTIF(Material_Detail!$DE:$DE,$A46)&gt;0,IF(ISNUMBER(SEARCH("[済]",INDEX(Material_Detail!$D:$DC,MATCH($A46,Material_Detail!$DE:$DE,0)+1,68))),0,IFERROR(INDEX(Material_Detail!$D:$DC,MATCH($A46,Material_Detail!$DE:$DE,0),68),0)),SUMIFS(T_Shipments[Confirmed_Qty],T_Shipments[Part Name],$A46,T_Shipments[Effective_Week],68))</f>
        <v/>
      </c>
      <c r="BR46">
        <f>IF(COUNTIF(Material_Detail!$DE:$DE,$A46)&gt;0,IF(ISNUMBER(SEARCH("[済]",INDEX(Material_Detail!$D:$DC,MATCH($A46,Material_Detail!$DE:$DE,0)+1,69))),0,IFERROR(INDEX(Material_Detail!$D:$DC,MATCH($A46,Material_Detail!$DE:$DE,0),69),0)),SUMIFS(T_Shipments[Confirmed_Qty],T_Shipments[Part Name],$A46,T_Shipments[Effective_Week],69))</f>
        <v/>
      </c>
      <c r="BS46">
        <f>IF(COUNTIF(Material_Detail!$DE:$DE,$A46)&gt;0,IF(ISNUMBER(SEARCH("[済]",INDEX(Material_Detail!$D:$DC,MATCH($A46,Material_Detail!$DE:$DE,0)+1,70))),0,IFERROR(INDEX(Material_Detail!$D:$DC,MATCH($A46,Material_Detail!$DE:$DE,0),70),0)),SUMIFS(T_Shipments[Confirmed_Qty],T_Shipments[Part Name],$A46,T_Shipments[Effective_Week],70))</f>
        <v/>
      </c>
      <c r="BT46">
        <f>IF(COUNTIF(Material_Detail!$DE:$DE,$A46)&gt;0,IF(ISNUMBER(SEARCH("[済]",INDEX(Material_Detail!$D:$DC,MATCH($A46,Material_Detail!$DE:$DE,0)+1,71))),0,IFERROR(INDEX(Material_Detail!$D:$DC,MATCH($A46,Material_Detail!$DE:$DE,0),71),0)),SUMIFS(T_Shipments[Confirmed_Qty],T_Shipments[Part Name],$A46,T_Shipments[Effective_Week],71))</f>
        <v/>
      </c>
      <c r="BU46">
        <f>IF(COUNTIF(Material_Detail!$DE:$DE,$A46)&gt;0,IF(ISNUMBER(SEARCH("[済]",INDEX(Material_Detail!$D:$DC,MATCH($A46,Material_Detail!$DE:$DE,0)+1,72))),0,IFERROR(INDEX(Material_Detail!$D:$DC,MATCH($A46,Material_Detail!$DE:$DE,0),72),0)),SUMIFS(T_Shipments[Confirmed_Qty],T_Shipments[Part Name],$A46,T_Shipments[Effective_Week],72))</f>
        <v/>
      </c>
      <c r="BV46">
        <f>IF(COUNTIF(Material_Detail!$DE:$DE,$A46)&gt;0,IF(ISNUMBER(SEARCH("[済]",INDEX(Material_Detail!$D:$DC,MATCH($A46,Material_Detail!$DE:$DE,0)+1,73))),0,IFERROR(INDEX(Material_Detail!$D:$DC,MATCH($A46,Material_Detail!$DE:$DE,0),73),0)),SUMIFS(T_Shipments[Confirmed_Qty],T_Shipments[Part Name],$A46,T_Shipments[Effective_Week],73))</f>
        <v/>
      </c>
      <c r="BW46">
        <f>IF(COUNTIF(Material_Detail!$DE:$DE,$A46)&gt;0,IF(ISNUMBER(SEARCH("[済]",INDEX(Material_Detail!$D:$DC,MATCH($A46,Material_Detail!$DE:$DE,0)+1,74))),0,IFERROR(INDEX(Material_Detail!$D:$DC,MATCH($A46,Material_Detail!$DE:$DE,0),74),0)),SUMIFS(T_Shipments[Confirmed_Qty],T_Shipments[Part Name],$A46,T_Shipments[Effective_Week],74))</f>
        <v/>
      </c>
      <c r="BX46">
        <f>IF(COUNTIF(Material_Detail!$DE:$DE,$A46)&gt;0,IF(ISNUMBER(SEARCH("[済]",INDEX(Material_Detail!$D:$DC,MATCH($A46,Material_Detail!$DE:$DE,0)+1,75))),0,IFERROR(INDEX(Material_Detail!$D:$DC,MATCH($A46,Material_Detail!$DE:$DE,0),75),0)),SUMIFS(T_Shipments[Confirmed_Qty],T_Shipments[Part Name],$A46,T_Shipments[Effective_Week],75))</f>
        <v/>
      </c>
      <c r="BY46">
        <f>IF(COUNTIF(Material_Detail!$DE:$DE,$A46)&gt;0,IF(ISNUMBER(SEARCH("[済]",INDEX(Material_Detail!$D:$DC,MATCH($A46,Material_Detail!$DE:$DE,0)+1,76))),0,IFERROR(INDEX(Material_Detail!$D:$DC,MATCH($A46,Material_Detail!$DE:$DE,0),76),0)),SUMIFS(T_Shipments[Confirmed_Qty],T_Shipments[Part Name],$A46,T_Shipments[Effective_Week],76))</f>
        <v/>
      </c>
      <c r="BZ46">
        <f>IF(COUNTIF(Material_Detail!$DE:$DE,$A46)&gt;0,IF(ISNUMBER(SEARCH("[済]",INDEX(Material_Detail!$D:$DC,MATCH($A46,Material_Detail!$DE:$DE,0)+1,77))),0,IFERROR(INDEX(Material_Detail!$D:$DC,MATCH($A46,Material_Detail!$DE:$DE,0),77),0)),SUMIFS(T_Shipments[Confirmed_Qty],T_Shipments[Part Name],$A46,T_Shipments[Effective_Week],77))</f>
        <v/>
      </c>
      <c r="CA46">
        <f>IF(COUNTIF(Material_Detail!$DE:$DE,$A46)&gt;0,IF(ISNUMBER(SEARCH("[済]",INDEX(Material_Detail!$D:$DC,MATCH($A46,Material_Detail!$DE:$DE,0)+1,78))),0,IFERROR(INDEX(Material_Detail!$D:$DC,MATCH($A46,Material_Detail!$DE:$DE,0),78),0)),SUMIFS(T_Shipments[Confirmed_Qty],T_Shipments[Part Name],$A46,T_Shipments[Effective_Week],78))</f>
        <v/>
      </c>
      <c r="CB46">
        <f>IF(COUNTIF(Material_Detail!$DE:$DE,$A46)&gt;0,IF(ISNUMBER(SEARCH("[済]",INDEX(Material_Detail!$D:$DC,MATCH($A46,Material_Detail!$DE:$DE,0)+1,79))),0,IFERROR(INDEX(Material_Detail!$D:$DC,MATCH($A46,Material_Detail!$DE:$DE,0),79),0)),SUMIFS(T_Shipments[Confirmed_Qty],T_Shipments[Part Name],$A46,T_Shipments[Effective_Week],79))</f>
        <v/>
      </c>
      <c r="CC46">
        <f>IF(COUNTIF(Material_Detail!$DE:$DE,$A46)&gt;0,IF(ISNUMBER(SEARCH("[済]",INDEX(Material_Detail!$D:$DC,MATCH($A46,Material_Detail!$DE:$DE,0)+1,80))),0,IFERROR(INDEX(Material_Detail!$D:$DC,MATCH($A46,Material_Detail!$DE:$DE,0),80),0)),SUMIFS(T_Shipments[Confirmed_Qty],T_Shipments[Part Name],$A46,T_Shipments[Effective_Week],80))</f>
        <v/>
      </c>
      <c r="CD46">
        <f>IF(COUNTIF(Material_Detail!$DE:$DE,$A46)&gt;0,IF(ISNUMBER(SEARCH("[済]",INDEX(Material_Detail!$D:$DC,MATCH($A46,Material_Detail!$DE:$DE,0)+1,81))),0,IFERROR(INDEX(Material_Detail!$D:$DC,MATCH($A46,Material_Detail!$DE:$DE,0),81),0)),SUMIFS(T_Shipments[Confirmed_Qty],T_Shipments[Part Name],$A46,T_Shipments[Effective_Week],81))</f>
        <v/>
      </c>
      <c r="CE46">
        <f>IF(COUNTIF(Material_Detail!$DE:$DE,$A46)&gt;0,IF(ISNUMBER(SEARCH("[済]",INDEX(Material_Detail!$D:$DC,MATCH($A46,Material_Detail!$DE:$DE,0)+1,82))),0,IFERROR(INDEX(Material_Detail!$D:$DC,MATCH($A46,Material_Detail!$DE:$DE,0),82),0)),SUMIFS(T_Shipments[Confirmed_Qty],T_Shipments[Part Name],$A46,T_Shipments[Effective_Week],82))</f>
        <v/>
      </c>
      <c r="CF46">
        <f>IF(COUNTIF(Material_Detail!$DE:$DE,$A46)&gt;0,IF(ISNUMBER(SEARCH("[済]",INDEX(Material_Detail!$D:$DC,MATCH($A46,Material_Detail!$DE:$DE,0)+1,83))),0,IFERROR(INDEX(Material_Detail!$D:$DC,MATCH($A46,Material_Detail!$DE:$DE,0),83),0)),SUMIFS(T_Shipments[Confirmed_Qty],T_Shipments[Part Name],$A46,T_Shipments[Effective_Week],83))</f>
        <v/>
      </c>
      <c r="CG46">
        <f>IF(COUNTIF(Material_Detail!$DE:$DE,$A46)&gt;0,IF(ISNUMBER(SEARCH("[済]",INDEX(Material_Detail!$D:$DC,MATCH($A46,Material_Detail!$DE:$DE,0)+1,84))),0,IFERROR(INDEX(Material_Detail!$D:$DC,MATCH($A46,Material_Detail!$DE:$DE,0),84),0)),SUMIFS(T_Shipments[Confirmed_Qty],T_Shipments[Part Name],$A46,T_Shipments[Effective_Week],84))</f>
        <v/>
      </c>
      <c r="CH46">
        <f>IF(COUNTIF(Material_Detail!$DE:$DE,$A46)&gt;0,IF(ISNUMBER(SEARCH("[済]",INDEX(Material_Detail!$D:$DC,MATCH($A46,Material_Detail!$DE:$DE,0)+1,85))),0,IFERROR(INDEX(Material_Detail!$D:$DC,MATCH($A46,Material_Detail!$DE:$DE,0),85),0)),SUMIFS(T_Shipments[Confirmed_Qty],T_Shipments[Part Name],$A46,T_Shipments[Effective_Week],85))</f>
        <v/>
      </c>
      <c r="CI46">
        <f>IF(COUNTIF(Material_Detail!$DE:$DE,$A46)&gt;0,IF(ISNUMBER(SEARCH("[済]",INDEX(Material_Detail!$D:$DC,MATCH($A46,Material_Detail!$DE:$DE,0)+1,86))),0,IFERROR(INDEX(Material_Detail!$D:$DC,MATCH($A46,Material_Detail!$DE:$DE,0),86),0)),SUMIFS(T_Shipments[Confirmed_Qty],T_Shipments[Part Name],$A46,T_Shipments[Effective_Week],86))</f>
        <v/>
      </c>
      <c r="CJ46">
        <f>IF(COUNTIF(Material_Detail!$DE:$DE,$A46)&gt;0,IF(ISNUMBER(SEARCH("[済]",INDEX(Material_Detail!$D:$DC,MATCH($A46,Material_Detail!$DE:$DE,0)+1,87))),0,IFERROR(INDEX(Material_Detail!$D:$DC,MATCH($A46,Material_Detail!$DE:$DE,0),87),0)),SUMIFS(T_Shipments[Confirmed_Qty],T_Shipments[Part Name],$A46,T_Shipments[Effective_Week],87))</f>
        <v/>
      </c>
      <c r="CK46">
        <f>IF(COUNTIF(Material_Detail!$DE:$DE,$A46)&gt;0,IF(ISNUMBER(SEARCH("[済]",INDEX(Material_Detail!$D:$DC,MATCH($A46,Material_Detail!$DE:$DE,0)+1,88))),0,IFERROR(INDEX(Material_Detail!$D:$DC,MATCH($A46,Material_Detail!$DE:$DE,0),88),0)),SUMIFS(T_Shipments[Confirmed_Qty],T_Shipments[Part Name],$A46,T_Shipments[Effective_Week],88))</f>
        <v/>
      </c>
      <c r="CL46">
        <f>IF(COUNTIF(Material_Detail!$DE:$DE,$A46)&gt;0,IF(ISNUMBER(SEARCH("[済]",INDEX(Material_Detail!$D:$DC,MATCH($A46,Material_Detail!$DE:$DE,0)+1,89))),0,IFERROR(INDEX(Material_Detail!$D:$DC,MATCH($A46,Material_Detail!$DE:$DE,0),89),0)),SUMIFS(T_Shipments[Confirmed_Qty],T_Shipments[Part Name],$A46,T_Shipments[Effective_Week],89))</f>
        <v/>
      </c>
      <c r="CM46">
        <f>IF(COUNTIF(Material_Detail!$DE:$DE,$A46)&gt;0,IF(ISNUMBER(SEARCH("[済]",INDEX(Material_Detail!$D:$DC,MATCH($A46,Material_Detail!$DE:$DE,0)+1,90))),0,IFERROR(INDEX(Material_Detail!$D:$DC,MATCH($A46,Material_Detail!$DE:$DE,0),90),0)),SUMIFS(T_Shipments[Confirmed_Qty],T_Shipments[Part Name],$A46,T_Shipments[Effective_Week],90))</f>
        <v/>
      </c>
      <c r="CN46">
        <f>IF(COUNTIF(Material_Detail!$DE:$DE,$A46)&gt;0,IF(ISNUMBER(SEARCH("[済]",INDEX(Material_Detail!$D:$DC,MATCH($A46,Material_Detail!$DE:$DE,0)+1,91))),0,IFERROR(INDEX(Material_Detail!$D:$DC,MATCH($A46,Material_Detail!$DE:$DE,0),91),0)),SUMIFS(T_Shipments[Confirmed_Qty],T_Shipments[Part Name],$A46,T_Shipments[Effective_Week],91))</f>
        <v/>
      </c>
      <c r="CO46">
        <f>IF(COUNTIF(Material_Detail!$DE:$DE,$A46)&gt;0,IF(ISNUMBER(SEARCH("[済]",INDEX(Material_Detail!$D:$DC,MATCH($A46,Material_Detail!$DE:$DE,0)+1,92))),0,IFERROR(INDEX(Material_Detail!$D:$DC,MATCH($A46,Material_Detail!$DE:$DE,0),92),0)),SUMIFS(T_Shipments[Confirmed_Qty],T_Shipments[Part Name],$A46,T_Shipments[Effective_Week],92))</f>
        <v/>
      </c>
      <c r="CP46">
        <f>IF(COUNTIF(Material_Detail!$DE:$DE,$A46)&gt;0,IF(ISNUMBER(SEARCH("[済]",INDEX(Material_Detail!$D:$DC,MATCH($A46,Material_Detail!$DE:$DE,0)+1,93))),0,IFERROR(INDEX(Material_Detail!$D:$DC,MATCH($A46,Material_Detail!$DE:$DE,0),93),0)),SUMIFS(T_Shipments[Confirmed_Qty],T_Shipments[Part Name],$A46,T_Shipments[Effective_Week],93))</f>
        <v/>
      </c>
      <c r="CQ46">
        <f>IF(COUNTIF(Material_Detail!$DE:$DE,$A46)&gt;0,IF(ISNUMBER(SEARCH("[済]",INDEX(Material_Detail!$D:$DC,MATCH($A46,Material_Detail!$DE:$DE,0)+1,94))),0,IFERROR(INDEX(Material_Detail!$D:$DC,MATCH($A46,Material_Detail!$DE:$DE,0),94),0)),SUMIFS(T_Shipments[Confirmed_Qty],T_Shipments[Part Name],$A46,T_Shipments[Effective_Week],94))</f>
        <v/>
      </c>
      <c r="CR46">
        <f>IF(COUNTIF(Material_Detail!$DE:$DE,$A46)&gt;0,IF(ISNUMBER(SEARCH("[済]",INDEX(Material_Detail!$D:$DC,MATCH($A46,Material_Detail!$DE:$DE,0)+1,95))),0,IFERROR(INDEX(Material_Detail!$D:$DC,MATCH($A46,Material_Detail!$DE:$DE,0),95),0)),SUMIFS(T_Shipments[Confirmed_Qty],T_Shipments[Part Name],$A46,T_Shipments[Effective_Week],95))</f>
        <v/>
      </c>
      <c r="CS46">
        <f>IF(COUNTIF(Material_Detail!$DE:$DE,$A46)&gt;0,IF(ISNUMBER(SEARCH("[済]",INDEX(Material_Detail!$D:$DC,MATCH($A46,Material_Detail!$DE:$DE,0)+1,96))),0,IFERROR(INDEX(Material_Detail!$D:$DC,MATCH($A46,Material_Detail!$DE:$DE,0),96),0)),SUMIFS(T_Shipments[Confirmed_Qty],T_Shipments[Part Name],$A46,T_Shipments[Effective_Week],96))</f>
        <v/>
      </c>
      <c r="CT46">
        <f>IF(COUNTIF(Material_Detail!$DE:$DE,$A46)&gt;0,IF(ISNUMBER(SEARCH("[済]",INDEX(Material_Detail!$D:$DC,MATCH($A46,Material_Detail!$DE:$DE,0)+1,97))),0,IFERROR(INDEX(Material_Detail!$D:$DC,MATCH($A46,Material_Detail!$DE:$DE,0),97),0)),SUMIFS(T_Shipments[Confirmed_Qty],T_Shipments[Part Name],$A46,T_Shipments[Effective_Week],97))</f>
        <v/>
      </c>
      <c r="CU46">
        <f>IF(COUNTIF(Material_Detail!$DE:$DE,$A46)&gt;0,IF(ISNUMBER(SEARCH("[済]",INDEX(Material_Detail!$D:$DC,MATCH($A46,Material_Detail!$DE:$DE,0)+1,98))),0,IFERROR(INDEX(Material_Detail!$D:$DC,MATCH($A46,Material_Detail!$DE:$DE,0),98),0)),SUMIFS(T_Shipments[Confirmed_Qty],T_Shipments[Part Name],$A46,T_Shipments[Effective_Week],98))</f>
        <v/>
      </c>
      <c r="CV46">
        <f>IF(COUNTIF(Material_Detail!$DE:$DE,$A46)&gt;0,IF(ISNUMBER(SEARCH("[済]",INDEX(Material_Detail!$D:$DC,MATCH($A46,Material_Detail!$DE:$DE,0)+1,99))),0,IFERROR(INDEX(Material_Detail!$D:$DC,MATCH($A46,Material_Detail!$DE:$DE,0),99),0)),SUMIFS(T_Shipments[Confirmed_Qty],T_Shipments[Part Name],$A46,T_Shipments[Effective_Week],99))</f>
        <v/>
      </c>
      <c r="CW46">
        <f>IF(COUNTIF(Material_Detail!$DE:$DE,$A46)&gt;0,IF(ISNUMBER(SEARCH("[済]",INDEX(Material_Detail!$D:$DC,MATCH($A46,Material_Detail!$DE:$DE,0)+1,100))),0,IFERROR(INDEX(Material_Detail!$D:$DC,MATCH($A46,Material_Detail!$DE:$DE,0),100),0)),SUMIFS(T_Shipments[Confirmed_Qty],T_Shipments[Part Name],$A46,T_Shipments[Effective_Week],100))</f>
        <v/>
      </c>
      <c r="CX46">
        <f>IF(COUNTIF(Material_Detail!$DE:$DE,$A46)&gt;0,IF(ISNUMBER(SEARCH("[済]",INDEX(Material_Detail!$D:$DC,MATCH($A46,Material_Detail!$DE:$DE,0)+1,101))),0,IFERROR(INDEX(Material_Detail!$D:$DC,MATCH($A46,Material_Detail!$DE:$DE,0),101),0)),SUMIFS(T_Shipments[Confirmed_Qty],T_Shipments[Part Name],$A46,T_Shipments[Effective_Week],101))</f>
        <v/>
      </c>
      <c r="CY46">
        <f>IF(COUNTIF(Material_Detail!$DE:$DE,$A46)&gt;0,IF(ISNUMBER(SEARCH("[済]",INDEX(Material_Detail!$D:$DC,MATCH($A46,Material_Detail!$DE:$DE,0)+1,102))),0,IFERROR(INDEX(Material_Detail!$D:$DC,MATCH($A46,Material_Detail!$DE:$DE,0),102),0)),SUMIFS(T_Shipments[Confirmed_Qty],T_Shipments[Part Name],$A46,T_Shipments[Effective_Week],102))</f>
        <v/>
      </c>
      <c r="CZ46">
        <f>IF(COUNTIF(Material_Detail!$DE:$DE,$A46)&gt;0,IF(ISNUMBER(SEARCH("[済]",INDEX(Material_Detail!$D:$DC,MATCH($A46,Material_Detail!$DE:$DE,0)+1,103))),0,IFERROR(INDEX(Material_Detail!$D:$DC,MATCH($A46,Material_Detail!$DE:$DE,0),103),0)),SUMIFS(T_Shipments[Confirmed_Qty],T_Shipments[Part Name],$A46,T_Shipments[Effective_Week],103))</f>
        <v/>
      </c>
      <c r="DA46">
        <f>IF(COUNTIF(Material_Detail!$DE:$DE,$A46)&gt;0,IF(ISNUMBER(SEARCH("[済]",INDEX(Material_Detail!$D:$DC,MATCH($A46,Material_Detail!$DE:$DE,0)+1,104))),0,IFERROR(INDEX(Material_Detail!$D:$DC,MATCH($A46,Material_Detail!$DE:$DE,0),104),0)),SUMIFS(T_Shipments[Confirmed_Qty],T_Shipments[Part Name],$A46,T_Shipments[Effective_Week],104))</f>
        <v/>
      </c>
    </row>
    <row r="47">
      <c r="A47" t="inlineStr">
        <is>
          <t>CHEM-1430</t>
        </is>
      </c>
      <c r="B47">
        <f>IF(COUNTIF(Material_Detail!$DE:$DE,$A47)&gt;0,IF(ISNUMBER(SEARCH("[済]",INDEX(Material_Detail!$D:$DC,MATCH($A47,Material_Detail!$DE:$DE,0)+1,1))),0,IFERROR(INDEX(Material_Detail!$D:$DC,MATCH($A47,Material_Detail!$DE:$DE,0),1),0)),SUMIFS(T_Shipments[Confirmed_Qty],T_Shipments[Part Name],$A47,T_Shipments[Effective_Week],1))</f>
        <v/>
      </c>
      <c r="C47">
        <f>IF(COUNTIF(Material_Detail!$DE:$DE,$A47)&gt;0,IF(ISNUMBER(SEARCH("[済]",INDEX(Material_Detail!$D:$DC,MATCH($A47,Material_Detail!$DE:$DE,0)+1,2))),0,IFERROR(INDEX(Material_Detail!$D:$DC,MATCH($A47,Material_Detail!$DE:$DE,0),2),0)),SUMIFS(T_Shipments[Confirmed_Qty],T_Shipments[Part Name],$A47,T_Shipments[Effective_Week],2))</f>
        <v/>
      </c>
      <c r="D47">
        <f>IF(COUNTIF(Material_Detail!$DE:$DE,$A47)&gt;0,IF(ISNUMBER(SEARCH("[済]",INDEX(Material_Detail!$D:$DC,MATCH($A47,Material_Detail!$DE:$DE,0)+1,3))),0,IFERROR(INDEX(Material_Detail!$D:$DC,MATCH($A47,Material_Detail!$DE:$DE,0),3),0)),SUMIFS(T_Shipments[Confirmed_Qty],T_Shipments[Part Name],$A47,T_Shipments[Effective_Week],3))</f>
        <v/>
      </c>
      <c r="E47">
        <f>IF(COUNTIF(Material_Detail!$DE:$DE,$A47)&gt;0,IF(ISNUMBER(SEARCH("[済]",INDEX(Material_Detail!$D:$DC,MATCH($A47,Material_Detail!$DE:$DE,0)+1,4))),0,IFERROR(INDEX(Material_Detail!$D:$DC,MATCH($A47,Material_Detail!$DE:$DE,0),4),0)),SUMIFS(T_Shipments[Confirmed_Qty],T_Shipments[Part Name],$A47,T_Shipments[Effective_Week],4))</f>
        <v/>
      </c>
      <c r="F47">
        <f>IF(COUNTIF(Material_Detail!$DE:$DE,$A47)&gt;0,IF(ISNUMBER(SEARCH("[済]",INDEX(Material_Detail!$D:$DC,MATCH($A47,Material_Detail!$DE:$DE,0)+1,5))),0,IFERROR(INDEX(Material_Detail!$D:$DC,MATCH($A47,Material_Detail!$DE:$DE,0),5),0)),SUMIFS(T_Shipments[Confirmed_Qty],T_Shipments[Part Name],$A47,T_Shipments[Effective_Week],5))</f>
        <v/>
      </c>
      <c r="G47">
        <f>IF(COUNTIF(Material_Detail!$DE:$DE,$A47)&gt;0,IF(ISNUMBER(SEARCH("[済]",INDEX(Material_Detail!$D:$DC,MATCH($A47,Material_Detail!$DE:$DE,0)+1,6))),0,IFERROR(INDEX(Material_Detail!$D:$DC,MATCH($A47,Material_Detail!$DE:$DE,0),6),0)),SUMIFS(T_Shipments[Confirmed_Qty],T_Shipments[Part Name],$A47,T_Shipments[Effective_Week],6))</f>
        <v/>
      </c>
      <c r="H47">
        <f>IF(COUNTIF(Material_Detail!$DE:$DE,$A47)&gt;0,IF(ISNUMBER(SEARCH("[済]",INDEX(Material_Detail!$D:$DC,MATCH($A47,Material_Detail!$DE:$DE,0)+1,7))),0,IFERROR(INDEX(Material_Detail!$D:$DC,MATCH($A47,Material_Detail!$DE:$DE,0),7),0)),SUMIFS(T_Shipments[Confirmed_Qty],T_Shipments[Part Name],$A47,T_Shipments[Effective_Week],7))</f>
        <v/>
      </c>
      <c r="I47">
        <f>IF(COUNTIF(Material_Detail!$DE:$DE,$A47)&gt;0,IF(ISNUMBER(SEARCH("[済]",INDEX(Material_Detail!$D:$DC,MATCH($A47,Material_Detail!$DE:$DE,0)+1,8))),0,IFERROR(INDEX(Material_Detail!$D:$DC,MATCH($A47,Material_Detail!$DE:$DE,0),8),0)),SUMIFS(T_Shipments[Confirmed_Qty],T_Shipments[Part Name],$A47,T_Shipments[Effective_Week],8))</f>
        <v/>
      </c>
      <c r="J47">
        <f>IF(COUNTIF(Material_Detail!$DE:$DE,$A47)&gt;0,IF(ISNUMBER(SEARCH("[済]",INDEX(Material_Detail!$D:$DC,MATCH($A47,Material_Detail!$DE:$DE,0)+1,9))),0,IFERROR(INDEX(Material_Detail!$D:$DC,MATCH($A47,Material_Detail!$DE:$DE,0),9),0)),SUMIFS(T_Shipments[Confirmed_Qty],T_Shipments[Part Name],$A47,T_Shipments[Effective_Week],9))</f>
        <v/>
      </c>
      <c r="K47">
        <f>IF(COUNTIF(Material_Detail!$DE:$DE,$A47)&gt;0,IF(ISNUMBER(SEARCH("[済]",INDEX(Material_Detail!$D:$DC,MATCH($A47,Material_Detail!$DE:$DE,0)+1,10))),0,IFERROR(INDEX(Material_Detail!$D:$DC,MATCH($A47,Material_Detail!$DE:$DE,0),10),0)),SUMIFS(T_Shipments[Confirmed_Qty],T_Shipments[Part Name],$A47,T_Shipments[Effective_Week],10))</f>
        <v/>
      </c>
      <c r="L47">
        <f>IF(COUNTIF(Material_Detail!$DE:$DE,$A47)&gt;0,IF(ISNUMBER(SEARCH("[済]",INDEX(Material_Detail!$D:$DC,MATCH($A47,Material_Detail!$DE:$DE,0)+1,11))),0,IFERROR(INDEX(Material_Detail!$D:$DC,MATCH($A47,Material_Detail!$DE:$DE,0),11),0)),SUMIFS(T_Shipments[Confirmed_Qty],T_Shipments[Part Name],$A47,T_Shipments[Effective_Week],11))</f>
        <v/>
      </c>
      <c r="M47">
        <f>IF(COUNTIF(Material_Detail!$DE:$DE,$A47)&gt;0,IF(ISNUMBER(SEARCH("[済]",INDEX(Material_Detail!$D:$DC,MATCH($A47,Material_Detail!$DE:$DE,0)+1,12))),0,IFERROR(INDEX(Material_Detail!$D:$DC,MATCH($A47,Material_Detail!$DE:$DE,0),12),0)),SUMIFS(T_Shipments[Confirmed_Qty],T_Shipments[Part Name],$A47,T_Shipments[Effective_Week],12))</f>
        <v/>
      </c>
      <c r="N47">
        <f>IF(COUNTIF(Material_Detail!$DE:$DE,$A47)&gt;0,IF(ISNUMBER(SEARCH("[済]",INDEX(Material_Detail!$D:$DC,MATCH($A47,Material_Detail!$DE:$DE,0)+1,13))),0,IFERROR(INDEX(Material_Detail!$D:$DC,MATCH($A47,Material_Detail!$DE:$DE,0),13),0)),SUMIFS(T_Shipments[Confirmed_Qty],T_Shipments[Part Name],$A47,T_Shipments[Effective_Week],13))</f>
        <v/>
      </c>
      <c r="O47">
        <f>IF(COUNTIF(Material_Detail!$DE:$DE,$A47)&gt;0,IF(ISNUMBER(SEARCH("[済]",INDEX(Material_Detail!$D:$DC,MATCH($A47,Material_Detail!$DE:$DE,0)+1,14))),0,IFERROR(INDEX(Material_Detail!$D:$DC,MATCH($A47,Material_Detail!$DE:$DE,0),14),0)),SUMIFS(T_Shipments[Confirmed_Qty],T_Shipments[Part Name],$A47,T_Shipments[Effective_Week],14))</f>
        <v/>
      </c>
      <c r="P47">
        <f>IF(COUNTIF(Material_Detail!$DE:$DE,$A47)&gt;0,IF(ISNUMBER(SEARCH("[済]",INDEX(Material_Detail!$D:$DC,MATCH($A47,Material_Detail!$DE:$DE,0)+1,15))),0,IFERROR(INDEX(Material_Detail!$D:$DC,MATCH($A47,Material_Detail!$DE:$DE,0),15),0)),SUMIFS(T_Shipments[Confirmed_Qty],T_Shipments[Part Name],$A47,T_Shipments[Effective_Week],15))</f>
        <v/>
      </c>
      <c r="Q47">
        <f>IF(COUNTIF(Material_Detail!$DE:$DE,$A47)&gt;0,IF(ISNUMBER(SEARCH("[済]",INDEX(Material_Detail!$D:$DC,MATCH($A47,Material_Detail!$DE:$DE,0)+1,16))),0,IFERROR(INDEX(Material_Detail!$D:$DC,MATCH($A47,Material_Detail!$DE:$DE,0),16),0)),SUMIFS(T_Shipments[Confirmed_Qty],T_Shipments[Part Name],$A47,T_Shipments[Effective_Week],16))</f>
        <v/>
      </c>
      <c r="R47">
        <f>IF(COUNTIF(Material_Detail!$DE:$DE,$A47)&gt;0,IF(ISNUMBER(SEARCH("[済]",INDEX(Material_Detail!$D:$DC,MATCH($A47,Material_Detail!$DE:$DE,0)+1,17))),0,IFERROR(INDEX(Material_Detail!$D:$DC,MATCH($A47,Material_Detail!$DE:$DE,0),17),0)),SUMIFS(T_Shipments[Confirmed_Qty],T_Shipments[Part Name],$A47,T_Shipments[Effective_Week],17))</f>
        <v/>
      </c>
      <c r="S47">
        <f>IF(COUNTIF(Material_Detail!$DE:$DE,$A47)&gt;0,IF(ISNUMBER(SEARCH("[済]",INDEX(Material_Detail!$D:$DC,MATCH($A47,Material_Detail!$DE:$DE,0)+1,18))),0,IFERROR(INDEX(Material_Detail!$D:$DC,MATCH($A47,Material_Detail!$DE:$DE,0),18),0)),SUMIFS(T_Shipments[Confirmed_Qty],T_Shipments[Part Name],$A47,T_Shipments[Effective_Week],18))</f>
        <v/>
      </c>
      <c r="T47">
        <f>IF(COUNTIF(Material_Detail!$DE:$DE,$A47)&gt;0,IF(ISNUMBER(SEARCH("[済]",INDEX(Material_Detail!$D:$DC,MATCH($A47,Material_Detail!$DE:$DE,0)+1,19))),0,IFERROR(INDEX(Material_Detail!$D:$DC,MATCH($A47,Material_Detail!$DE:$DE,0),19),0)),SUMIFS(T_Shipments[Confirmed_Qty],T_Shipments[Part Name],$A47,T_Shipments[Effective_Week],19))</f>
        <v/>
      </c>
      <c r="U47">
        <f>IF(COUNTIF(Material_Detail!$DE:$DE,$A47)&gt;0,IF(ISNUMBER(SEARCH("[済]",INDEX(Material_Detail!$D:$DC,MATCH($A47,Material_Detail!$DE:$DE,0)+1,20))),0,IFERROR(INDEX(Material_Detail!$D:$DC,MATCH($A47,Material_Detail!$DE:$DE,0),20),0)),SUMIFS(T_Shipments[Confirmed_Qty],T_Shipments[Part Name],$A47,T_Shipments[Effective_Week],20))</f>
        <v/>
      </c>
      <c r="V47">
        <f>IF(COUNTIF(Material_Detail!$DE:$DE,$A47)&gt;0,IF(ISNUMBER(SEARCH("[済]",INDEX(Material_Detail!$D:$DC,MATCH($A47,Material_Detail!$DE:$DE,0)+1,21))),0,IFERROR(INDEX(Material_Detail!$D:$DC,MATCH($A47,Material_Detail!$DE:$DE,0),21),0)),SUMIFS(T_Shipments[Confirmed_Qty],T_Shipments[Part Name],$A47,T_Shipments[Effective_Week],21))</f>
        <v/>
      </c>
      <c r="W47">
        <f>IF(COUNTIF(Material_Detail!$DE:$DE,$A47)&gt;0,IF(ISNUMBER(SEARCH("[済]",INDEX(Material_Detail!$D:$DC,MATCH($A47,Material_Detail!$DE:$DE,0)+1,22))),0,IFERROR(INDEX(Material_Detail!$D:$DC,MATCH($A47,Material_Detail!$DE:$DE,0),22),0)),SUMIFS(T_Shipments[Confirmed_Qty],T_Shipments[Part Name],$A47,T_Shipments[Effective_Week],22))</f>
        <v/>
      </c>
      <c r="X47">
        <f>IF(COUNTIF(Material_Detail!$DE:$DE,$A47)&gt;0,IF(ISNUMBER(SEARCH("[済]",INDEX(Material_Detail!$D:$DC,MATCH($A47,Material_Detail!$DE:$DE,0)+1,23))),0,IFERROR(INDEX(Material_Detail!$D:$DC,MATCH($A47,Material_Detail!$DE:$DE,0),23),0)),SUMIFS(T_Shipments[Confirmed_Qty],T_Shipments[Part Name],$A47,T_Shipments[Effective_Week],23))</f>
        <v/>
      </c>
      <c r="Y47">
        <f>IF(COUNTIF(Material_Detail!$DE:$DE,$A47)&gt;0,IF(ISNUMBER(SEARCH("[済]",INDEX(Material_Detail!$D:$DC,MATCH($A47,Material_Detail!$DE:$DE,0)+1,24))),0,IFERROR(INDEX(Material_Detail!$D:$DC,MATCH($A47,Material_Detail!$DE:$DE,0),24),0)),SUMIFS(T_Shipments[Confirmed_Qty],T_Shipments[Part Name],$A47,T_Shipments[Effective_Week],24))</f>
        <v/>
      </c>
      <c r="Z47">
        <f>IF(COUNTIF(Material_Detail!$DE:$DE,$A47)&gt;0,IF(ISNUMBER(SEARCH("[済]",INDEX(Material_Detail!$D:$DC,MATCH($A47,Material_Detail!$DE:$DE,0)+1,25))),0,IFERROR(INDEX(Material_Detail!$D:$DC,MATCH($A47,Material_Detail!$DE:$DE,0),25),0)),SUMIFS(T_Shipments[Confirmed_Qty],T_Shipments[Part Name],$A47,T_Shipments[Effective_Week],25))</f>
        <v/>
      </c>
      <c r="AA47">
        <f>IF(COUNTIF(Material_Detail!$DE:$DE,$A47)&gt;0,IF(ISNUMBER(SEARCH("[済]",INDEX(Material_Detail!$D:$DC,MATCH($A47,Material_Detail!$DE:$DE,0)+1,26))),0,IFERROR(INDEX(Material_Detail!$D:$DC,MATCH($A47,Material_Detail!$DE:$DE,0),26),0)),SUMIFS(T_Shipments[Confirmed_Qty],T_Shipments[Part Name],$A47,T_Shipments[Effective_Week],26))</f>
        <v/>
      </c>
      <c r="AB47">
        <f>IF(COUNTIF(Material_Detail!$DE:$DE,$A47)&gt;0,IF(ISNUMBER(SEARCH("[済]",INDEX(Material_Detail!$D:$DC,MATCH($A47,Material_Detail!$DE:$DE,0)+1,27))),0,IFERROR(INDEX(Material_Detail!$D:$DC,MATCH($A47,Material_Detail!$DE:$DE,0),27),0)),SUMIFS(T_Shipments[Confirmed_Qty],T_Shipments[Part Name],$A47,T_Shipments[Effective_Week],27))</f>
        <v/>
      </c>
      <c r="AC47">
        <f>IF(COUNTIF(Material_Detail!$DE:$DE,$A47)&gt;0,IF(ISNUMBER(SEARCH("[済]",INDEX(Material_Detail!$D:$DC,MATCH($A47,Material_Detail!$DE:$DE,0)+1,28))),0,IFERROR(INDEX(Material_Detail!$D:$DC,MATCH($A47,Material_Detail!$DE:$DE,0),28),0)),SUMIFS(T_Shipments[Confirmed_Qty],T_Shipments[Part Name],$A47,T_Shipments[Effective_Week],28))</f>
        <v/>
      </c>
      <c r="AD47">
        <f>IF(COUNTIF(Material_Detail!$DE:$DE,$A47)&gt;0,IF(ISNUMBER(SEARCH("[済]",INDEX(Material_Detail!$D:$DC,MATCH($A47,Material_Detail!$DE:$DE,0)+1,29))),0,IFERROR(INDEX(Material_Detail!$D:$DC,MATCH($A47,Material_Detail!$DE:$DE,0),29),0)),SUMIFS(T_Shipments[Confirmed_Qty],T_Shipments[Part Name],$A47,T_Shipments[Effective_Week],29))</f>
        <v/>
      </c>
      <c r="AE47">
        <f>IF(COUNTIF(Material_Detail!$DE:$DE,$A47)&gt;0,IF(ISNUMBER(SEARCH("[済]",INDEX(Material_Detail!$D:$DC,MATCH($A47,Material_Detail!$DE:$DE,0)+1,30))),0,IFERROR(INDEX(Material_Detail!$D:$DC,MATCH($A47,Material_Detail!$DE:$DE,0),30),0)),SUMIFS(T_Shipments[Confirmed_Qty],T_Shipments[Part Name],$A47,T_Shipments[Effective_Week],30))</f>
        <v/>
      </c>
      <c r="AF47">
        <f>IF(COUNTIF(Material_Detail!$DE:$DE,$A47)&gt;0,IF(ISNUMBER(SEARCH("[済]",INDEX(Material_Detail!$D:$DC,MATCH($A47,Material_Detail!$DE:$DE,0)+1,31))),0,IFERROR(INDEX(Material_Detail!$D:$DC,MATCH($A47,Material_Detail!$DE:$DE,0),31),0)),SUMIFS(T_Shipments[Confirmed_Qty],T_Shipments[Part Name],$A47,T_Shipments[Effective_Week],31))</f>
        <v/>
      </c>
      <c r="AG47">
        <f>IF(COUNTIF(Material_Detail!$DE:$DE,$A47)&gt;0,IF(ISNUMBER(SEARCH("[済]",INDEX(Material_Detail!$D:$DC,MATCH($A47,Material_Detail!$DE:$DE,0)+1,32))),0,IFERROR(INDEX(Material_Detail!$D:$DC,MATCH($A47,Material_Detail!$DE:$DE,0),32),0)),SUMIFS(T_Shipments[Confirmed_Qty],T_Shipments[Part Name],$A47,T_Shipments[Effective_Week],32))</f>
        <v/>
      </c>
      <c r="AH47">
        <f>IF(COUNTIF(Material_Detail!$DE:$DE,$A47)&gt;0,IF(ISNUMBER(SEARCH("[済]",INDEX(Material_Detail!$D:$DC,MATCH($A47,Material_Detail!$DE:$DE,0)+1,33))),0,IFERROR(INDEX(Material_Detail!$D:$DC,MATCH($A47,Material_Detail!$DE:$DE,0),33),0)),SUMIFS(T_Shipments[Confirmed_Qty],T_Shipments[Part Name],$A47,T_Shipments[Effective_Week],33))</f>
        <v/>
      </c>
      <c r="AI47">
        <f>IF(COUNTIF(Material_Detail!$DE:$DE,$A47)&gt;0,IF(ISNUMBER(SEARCH("[済]",INDEX(Material_Detail!$D:$DC,MATCH($A47,Material_Detail!$DE:$DE,0)+1,34))),0,IFERROR(INDEX(Material_Detail!$D:$DC,MATCH($A47,Material_Detail!$DE:$DE,0),34),0)),SUMIFS(T_Shipments[Confirmed_Qty],T_Shipments[Part Name],$A47,T_Shipments[Effective_Week],34))</f>
        <v/>
      </c>
      <c r="AJ47">
        <f>IF(COUNTIF(Material_Detail!$DE:$DE,$A47)&gt;0,IF(ISNUMBER(SEARCH("[済]",INDEX(Material_Detail!$D:$DC,MATCH($A47,Material_Detail!$DE:$DE,0)+1,35))),0,IFERROR(INDEX(Material_Detail!$D:$DC,MATCH($A47,Material_Detail!$DE:$DE,0),35),0)),SUMIFS(T_Shipments[Confirmed_Qty],T_Shipments[Part Name],$A47,T_Shipments[Effective_Week],35))</f>
        <v/>
      </c>
      <c r="AK47">
        <f>IF(COUNTIF(Material_Detail!$DE:$DE,$A47)&gt;0,IF(ISNUMBER(SEARCH("[済]",INDEX(Material_Detail!$D:$DC,MATCH($A47,Material_Detail!$DE:$DE,0)+1,36))),0,IFERROR(INDEX(Material_Detail!$D:$DC,MATCH($A47,Material_Detail!$DE:$DE,0),36),0)),SUMIFS(T_Shipments[Confirmed_Qty],T_Shipments[Part Name],$A47,T_Shipments[Effective_Week],36))</f>
        <v/>
      </c>
      <c r="AL47">
        <f>IF(COUNTIF(Material_Detail!$DE:$DE,$A47)&gt;0,IF(ISNUMBER(SEARCH("[済]",INDEX(Material_Detail!$D:$DC,MATCH($A47,Material_Detail!$DE:$DE,0)+1,37))),0,IFERROR(INDEX(Material_Detail!$D:$DC,MATCH($A47,Material_Detail!$DE:$DE,0),37),0)),SUMIFS(T_Shipments[Confirmed_Qty],T_Shipments[Part Name],$A47,T_Shipments[Effective_Week],37))</f>
        <v/>
      </c>
      <c r="AM47">
        <f>IF(COUNTIF(Material_Detail!$DE:$DE,$A47)&gt;0,IF(ISNUMBER(SEARCH("[済]",INDEX(Material_Detail!$D:$DC,MATCH($A47,Material_Detail!$DE:$DE,0)+1,38))),0,IFERROR(INDEX(Material_Detail!$D:$DC,MATCH($A47,Material_Detail!$DE:$DE,0),38),0)),SUMIFS(T_Shipments[Confirmed_Qty],T_Shipments[Part Name],$A47,T_Shipments[Effective_Week],38))</f>
        <v/>
      </c>
      <c r="AN47">
        <f>IF(COUNTIF(Material_Detail!$DE:$DE,$A47)&gt;0,IF(ISNUMBER(SEARCH("[済]",INDEX(Material_Detail!$D:$DC,MATCH($A47,Material_Detail!$DE:$DE,0)+1,39))),0,IFERROR(INDEX(Material_Detail!$D:$DC,MATCH($A47,Material_Detail!$DE:$DE,0),39),0)),SUMIFS(T_Shipments[Confirmed_Qty],T_Shipments[Part Name],$A47,T_Shipments[Effective_Week],39))</f>
        <v/>
      </c>
      <c r="AO47">
        <f>IF(COUNTIF(Material_Detail!$DE:$DE,$A47)&gt;0,IF(ISNUMBER(SEARCH("[済]",INDEX(Material_Detail!$D:$DC,MATCH($A47,Material_Detail!$DE:$DE,0)+1,40))),0,IFERROR(INDEX(Material_Detail!$D:$DC,MATCH($A47,Material_Detail!$DE:$DE,0),40),0)),SUMIFS(T_Shipments[Confirmed_Qty],T_Shipments[Part Name],$A47,T_Shipments[Effective_Week],40))</f>
        <v/>
      </c>
      <c r="AP47">
        <f>IF(COUNTIF(Material_Detail!$DE:$DE,$A47)&gt;0,IF(ISNUMBER(SEARCH("[済]",INDEX(Material_Detail!$D:$DC,MATCH($A47,Material_Detail!$DE:$DE,0)+1,41))),0,IFERROR(INDEX(Material_Detail!$D:$DC,MATCH($A47,Material_Detail!$DE:$DE,0),41),0)),SUMIFS(T_Shipments[Confirmed_Qty],T_Shipments[Part Name],$A47,T_Shipments[Effective_Week],41))</f>
        <v/>
      </c>
      <c r="AQ47">
        <f>IF(COUNTIF(Material_Detail!$DE:$DE,$A47)&gt;0,IF(ISNUMBER(SEARCH("[済]",INDEX(Material_Detail!$D:$DC,MATCH($A47,Material_Detail!$DE:$DE,0)+1,42))),0,IFERROR(INDEX(Material_Detail!$D:$DC,MATCH($A47,Material_Detail!$DE:$DE,0),42),0)),SUMIFS(T_Shipments[Confirmed_Qty],T_Shipments[Part Name],$A47,T_Shipments[Effective_Week],42))</f>
        <v/>
      </c>
      <c r="AR47">
        <f>IF(COUNTIF(Material_Detail!$DE:$DE,$A47)&gt;0,IF(ISNUMBER(SEARCH("[済]",INDEX(Material_Detail!$D:$DC,MATCH($A47,Material_Detail!$DE:$DE,0)+1,43))),0,IFERROR(INDEX(Material_Detail!$D:$DC,MATCH($A47,Material_Detail!$DE:$DE,0),43),0)),SUMIFS(T_Shipments[Confirmed_Qty],T_Shipments[Part Name],$A47,T_Shipments[Effective_Week],43))</f>
        <v/>
      </c>
      <c r="AS47">
        <f>IF(COUNTIF(Material_Detail!$DE:$DE,$A47)&gt;0,IF(ISNUMBER(SEARCH("[済]",INDEX(Material_Detail!$D:$DC,MATCH($A47,Material_Detail!$DE:$DE,0)+1,44))),0,IFERROR(INDEX(Material_Detail!$D:$DC,MATCH($A47,Material_Detail!$DE:$DE,0),44),0)),SUMIFS(T_Shipments[Confirmed_Qty],T_Shipments[Part Name],$A47,T_Shipments[Effective_Week],44))</f>
        <v/>
      </c>
      <c r="AT47">
        <f>IF(COUNTIF(Material_Detail!$DE:$DE,$A47)&gt;0,IF(ISNUMBER(SEARCH("[済]",INDEX(Material_Detail!$D:$DC,MATCH($A47,Material_Detail!$DE:$DE,0)+1,45))),0,IFERROR(INDEX(Material_Detail!$D:$DC,MATCH($A47,Material_Detail!$DE:$DE,0),45),0)),SUMIFS(T_Shipments[Confirmed_Qty],T_Shipments[Part Name],$A47,T_Shipments[Effective_Week],45))</f>
        <v/>
      </c>
      <c r="AU47">
        <f>IF(COUNTIF(Material_Detail!$DE:$DE,$A47)&gt;0,IF(ISNUMBER(SEARCH("[済]",INDEX(Material_Detail!$D:$DC,MATCH($A47,Material_Detail!$DE:$DE,0)+1,46))),0,IFERROR(INDEX(Material_Detail!$D:$DC,MATCH($A47,Material_Detail!$DE:$DE,0),46),0)),SUMIFS(T_Shipments[Confirmed_Qty],T_Shipments[Part Name],$A47,T_Shipments[Effective_Week],46))</f>
        <v/>
      </c>
      <c r="AV47">
        <f>IF(COUNTIF(Material_Detail!$DE:$DE,$A47)&gt;0,IF(ISNUMBER(SEARCH("[済]",INDEX(Material_Detail!$D:$DC,MATCH($A47,Material_Detail!$DE:$DE,0)+1,47))),0,IFERROR(INDEX(Material_Detail!$D:$DC,MATCH($A47,Material_Detail!$DE:$DE,0),47),0)),SUMIFS(T_Shipments[Confirmed_Qty],T_Shipments[Part Name],$A47,T_Shipments[Effective_Week],47))</f>
        <v/>
      </c>
      <c r="AW47">
        <f>IF(COUNTIF(Material_Detail!$DE:$DE,$A47)&gt;0,IF(ISNUMBER(SEARCH("[済]",INDEX(Material_Detail!$D:$DC,MATCH($A47,Material_Detail!$DE:$DE,0)+1,48))),0,IFERROR(INDEX(Material_Detail!$D:$DC,MATCH($A47,Material_Detail!$DE:$DE,0),48),0)),SUMIFS(T_Shipments[Confirmed_Qty],T_Shipments[Part Name],$A47,T_Shipments[Effective_Week],48))</f>
        <v/>
      </c>
      <c r="AX47">
        <f>IF(COUNTIF(Material_Detail!$DE:$DE,$A47)&gt;0,IF(ISNUMBER(SEARCH("[済]",INDEX(Material_Detail!$D:$DC,MATCH($A47,Material_Detail!$DE:$DE,0)+1,49))),0,IFERROR(INDEX(Material_Detail!$D:$DC,MATCH($A47,Material_Detail!$DE:$DE,0),49),0)),SUMIFS(T_Shipments[Confirmed_Qty],T_Shipments[Part Name],$A47,T_Shipments[Effective_Week],49))</f>
        <v/>
      </c>
      <c r="AY47">
        <f>IF(COUNTIF(Material_Detail!$DE:$DE,$A47)&gt;0,IF(ISNUMBER(SEARCH("[済]",INDEX(Material_Detail!$D:$DC,MATCH($A47,Material_Detail!$DE:$DE,0)+1,50))),0,IFERROR(INDEX(Material_Detail!$D:$DC,MATCH($A47,Material_Detail!$DE:$DE,0),50),0)),SUMIFS(T_Shipments[Confirmed_Qty],T_Shipments[Part Name],$A47,T_Shipments[Effective_Week],50))</f>
        <v/>
      </c>
      <c r="AZ47">
        <f>IF(COUNTIF(Material_Detail!$DE:$DE,$A47)&gt;0,IF(ISNUMBER(SEARCH("[済]",INDEX(Material_Detail!$D:$DC,MATCH($A47,Material_Detail!$DE:$DE,0)+1,51))),0,IFERROR(INDEX(Material_Detail!$D:$DC,MATCH($A47,Material_Detail!$DE:$DE,0),51),0)),SUMIFS(T_Shipments[Confirmed_Qty],T_Shipments[Part Name],$A47,T_Shipments[Effective_Week],51))</f>
        <v/>
      </c>
      <c r="BA47">
        <f>IF(COUNTIF(Material_Detail!$DE:$DE,$A47)&gt;0,IF(ISNUMBER(SEARCH("[済]",INDEX(Material_Detail!$D:$DC,MATCH($A47,Material_Detail!$DE:$DE,0)+1,52))),0,IFERROR(INDEX(Material_Detail!$D:$DC,MATCH($A47,Material_Detail!$DE:$DE,0),52),0)),SUMIFS(T_Shipments[Confirmed_Qty],T_Shipments[Part Name],$A47,T_Shipments[Effective_Week],52))</f>
        <v/>
      </c>
      <c r="BB47">
        <f>IF(COUNTIF(Material_Detail!$DE:$DE,$A47)&gt;0,IF(ISNUMBER(SEARCH("[済]",INDEX(Material_Detail!$D:$DC,MATCH($A47,Material_Detail!$DE:$DE,0)+1,53))),0,IFERROR(INDEX(Material_Detail!$D:$DC,MATCH($A47,Material_Detail!$DE:$DE,0),53),0)),SUMIFS(T_Shipments[Confirmed_Qty],T_Shipments[Part Name],$A47,T_Shipments[Effective_Week],53))</f>
        <v/>
      </c>
      <c r="BC47">
        <f>IF(COUNTIF(Material_Detail!$DE:$DE,$A47)&gt;0,IF(ISNUMBER(SEARCH("[済]",INDEX(Material_Detail!$D:$DC,MATCH($A47,Material_Detail!$DE:$DE,0)+1,54))),0,IFERROR(INDEX(Material_Detail!$D:$DC,MATCH($A47,Material_Detail!$DE:$DE,0),54),0)),SUMIFS(T_Shipments[Confirmed_Qty],T_Shipments[Part Name],$A47,T_Shipments[Effective_Week],54))</f>
        <v/>
      </c>
      <c r="BD47">
        <f>IF(COUNTIF(Material_Detail!$DE:$DE,$A47)&gt;0,IF(ISNUMBER(SEARCH("[済]",INDEX(Material_Detail!$D:$DC,MATCH($A47,Material_Detail!$DE:$DE,0)+1,55))),0,IFERROR(INDEX(Material_Detail!$D:$DC,MATCH($A47,Material_Detail!$DE:$DE,0),55),0)),SUMIFS(T_Shipments[Confirmed_Qty],T_Shipments[Part Name],$A47,T_Shipments[Effective_Week],55))</f>
        <v/>
      </c>
      <c r="BE47">
        <f>IF(COUNTIF(Material_Detail!$DE:$DE,$A47)&gt;0,IF(ISNUMBER(SEARCH("[済]",INDEX(Material_Detail!$D:$DC,MATCH($A47,Material_Detail!$DE:$DE,0)+1,56))),0,IFERROR(INDEX(Material_Detail!$D:$DC,MATCH($A47,Material_Detail!$DE:$DE,0),56),0)),SUMIFS(T_Shipments[Confirmed_Qty],T_Shipments[Part Name],$A47,T_Shipments[Effective_Week],56))</f>
        <v/>
      </c>
      <c r="BF47">
        <f>IF(COUNTIF(Material_Detail!$DE:$DE,$A47)&gt;0,IF(ISNUMBER(SEARCH("[済]",INDEX(Material_Detail!$D:$DC,MATCH($A47,Material_Detail!$DE:$DE,0)+1,57))),0,IFERROR(INDEX(Material_Detail!$D:$DC,MATCH($A47,Material_Detail!$DE:$DE,0),57),0)),SUMIFS(T_Shipments[Confirmed_Qty],T_Shipments[Part Name],$A47,T_Shipments[Effective_Week],57))</f>
        <v/>
      </c>
      <c r="BG47">
        <f>IF(COUNTIF(Material_Detail!$DE:$DE,$A47)&gt;0,IF(ISNUMBER(SEARCH("[済]",INDEX(Material_Detail!$D:$DC,MATCH($A47,Material_Detail!$DE:$DE,0)+1,58))),0,IFERROR(INDEX(Material_Detail!$D:$DC,MATCH($A47,Material_Detail!$DE:$DE,0),58),0)),SUMIFS(T_Shipments[Confirmed_Qty],T_Shipments[Part Name],$A47,T_Shipments[Effective_Week],58))</f>
        <v/>
      </c>
      <c r="BH47">
        <f>IF(COUNTIF(Material_Detail!$DE:$DE,$A47)&gt;0,IF(ISNUMBER(SEARCH("[済]",INDEX(Material_Detail!$D:$DC,MATCH($A47,Material_Detail!$DE:$DE,0)+1,59))),0,IFERROR(INDEX(Material_Detail!$D:$DC,MATCH($A47,Material_Detail!$DE:$DE,0),59),0)),SUMIFS(T_Shipments[Confirmed_Qty],T_Shipments[Part Name],$A47,T_Shipments[Effective_Week],59))</f>
        <v/>
      </c>
      <c r="BI47">
        <f>IF(COUNTIF(Material_Detail!$DE:$DE,$A47)&gt;0,IF(ISNUMBER(SEARCH("[済]",INDEX(Material_Detail!$D:$DC,MATCH($A47,Material_Detail!$DE:$DE,0)+1,60))),0,IFERROR(INDEX(Material_Detail!$D:$DC,MATCH($A47,Material_Detail!$DE:$DE,0),60),0)),SUMIFS(T_Shipments[Confirmed_Qty],T_Shipments[Part Name],$A47,T_Shipments[Effective_Week],60))</f>
        <v/>
      </c>
      <c r="BJ47">
        <f>IF(COUNTIF(Material_Detail!$DE:$DE,$A47)&gt;0,IF(ISNUMBER(SEARCH("[済]",INDEX(Material_Detail!$D:$DC,MATCH($A47,Material_Detail!$DE:$DE,0)+1,61))),0,IFERROR(INDEX(Material_Detail!$D:$DC,MATCH($A47,Material_Detail!$DE:$DE,0),61),0)),SUMIFS(T_Shipments[Confirmed_Qty],T_Shipments[Part Name],$A47,T_Shipments[Effective_Week],61))</f>
        <v/>
      </c>
      <c r="BK47">
        <f>IF(COUNTIF(Material_Detail!$DE:$DE,$A47)&gt;0,IF(ISNUMBER(SEARCH("[済]",INDEX(Material_Detail!$D:$DC,MATCH($A47,Material_Detail!$DE:$DE,0)+1,62))),0,IFERROR(INDEX(Material_Detail!$D:$DC,MATCH($A47,Material_Detail!$DE:$DE,0),62),0)),SUMIFS(T_Shipments[Confirmed_Qty],T_Shipments[Part Name],$A47,T_Shipments[Effective_Week],62))</f>
        <v/>
      </c>
      <c r="BL47">
        <f>IF(COUNTIF(Material_Detail!$DE:$DE,$A47)&gt;0,IF(ISNUMBER(SEARCH("[済]",INDEX(Material_Detail!$D:$DC,MATCH($A47,Material_Detail!$DE:$DE,0)+1,63))),0,IFERROR(INDEX(Material_Detail!$D:$DC,MATCH($A47,Material_Detail!$DE:$DE,0),63),0)),SUMIFS(T_Shipments[Confirmed_Qty],T_Shipments[Part Name],$A47,T_Shipments[Effective_Week],63))</f>
        <v/>
      </c>
      <c r="BM47">
        <f>IF(COUNTIF(Material_Detail!$DE:$DE,$A47)&gt;0,IF(ISNUMBER(SEARCH("[済]",INDEX(Material_Detail!$D:$DC,MATCH($A47,Material_Detail!$DE:$DE,0)+1,64))),0,IFERROR(INDEX(Material_Detail!$D:$DC,MATCH($A47,Material_Detail!$DE:$DE,0),64),0)),SUMIFS(T_Shipments[Confirmed_Qty],T_Shipments[Part Name],$A47,T_Shipments[Effective_Week],64))</f>
        <v/>
      </c>
      <c r="BN47">
        <f>IF(COUNTIF(Material_Detail!$DE:$DE,$A47)&gt;0,IF(ISNUMBER(SEARCH("[済]",INDEX(Material_Detail!$D:$DC,MATCH($A47,Material_Detail!$DE:$DE,0)+1,65))),0,IFERROR(INDEX(Material_Detail!$D:$DC,MATCH($A47,Material_Detail!$DE:$DE,0),65),0)),SUMIFS(T_Shipments[Confirmed_Qty],T_Shipments[Part Name],$A47,T_Shipments[Effective_Week],65))</f>
        <v/>
      </c>
      <c r="BO47">
        <f>IF(COUNTIF(Material_Detail!$DE:$DE,$A47)&gt;0,IF(ISNUMBER(SEARCH("[済]",INDEX(Material_Detail!$D:$DC,MATCH($A47,Material_Detail!$DE:$DE,0)+1,66))),0,IFERROR(INDEX(Material_Detail!$D:$DC,MATCH($A47,Material_Detail!$DE:$DE,0),66),0)),SUMIFS(T_Shipments[Confirmed_Qty],T_Shipments[Part Name],$A47,T_Shipments[Effective_Week],66))</f>
        <v/>
      </c>
      <c r="BP47">
        <f>IF(COUNTIF(Material_Detail!$DE:$DE,$A47)&gt;0,IF(ISNUMBER(SEARCH("[済]",INDEX(Material_Detail!$D:$DC,MATCH($A47,Material_Detail!$DE:$DE,0)+1,67))),0,IFERROR(INDEX(Material_Detail!$D:$DC,MATCH($A47,Material_Detail!$DE:$DE,0),67),0)),SUMIFS(T_Shipments[Confirmed_Qty],T_Shipments[Part Name],$A47,T_Shipments[Effective_Week],67))</f>
        <v/>
      </c>
      <c r="BQ47">
        <f>IF(COUNTIF(Material_Detail!$DE:$DE,$A47)&gt;0,IF(ISNUMBER(SEARCH("[済]",INDEX(Material_Detail!$D:$DC,MATCH($A47,Material_Detail!$DE:$DE,0)+1,68))),0,IFERROR(INDEX(Material_Detail!$D:$DC,MATCH($A47,Material_Detail!$DE:$DE,0),68),0)),SUMIFS(T_Shipments[Confirmed_Qty],T_Shipments[Part Name],$A47,T_Shipments[Effective_Week],68))</f>
        <v/>
      </c>
      <c r="BR47">
        <f>IF(COUNTIF(Material_Detail!$DE:$DE,$A47)&gt;0,IF(ISNUMBER(SEARCH("[済]",INDEX(Material_Detail!$D:$DC,MATCH($A47,Material_Detail!$DE:$DE,0)+1,69))),0,IFERROR(INDEX(Material_Detail!$D:$DC,MATCH($A47,Material_Detail!$DE:$DE,0),69),0)),SUMIFS(T_Shipments[Confirmed_Qty],T_Shipments[Part Name],$A47,T_Shipments[Effective_Week],69))</f>
        <v/>
      </c>
      <c r="BS47">
        <f>IF(COUNTIF(Material_Detail!$DE:$DE,$A47)&gt;0,IF(ISNUMBER(SEARCH("[済]",INDEX(Material_Detail!$D:$DC,MATCH($A47,Material_Detail!$DE:$DE,0)+1,70))),0,IFERROR(INDEX(Material_Detail!$D:$DC,MATCH($A47,Material_Detail!$DE:$DE,0),70),0)),SUMIFS(T_Shipments[Confirmed_Qty],T_Shipments[Part Name],$A47,T_Shipments[Effective_Week],70))</f>
        <v/>
      </c>
      <c r="BT47">
        <f>IF(COUNTIF(Material_Detail!$DE:$DE,$A47)&gt;0,IF(ISNUMBER(SEARCH("[済]",INDEX(Material_Detail!$D:$DC,MATCH($A47,Material_Detail!$DE:$DE,0)+1,71))),0,IFERROR(INDEX(Material_Detail!$D:$DC,MATCH($A47,Material_Detail!$DE:$DE,0),71),0)),SUMIFS(T_Shipments[Confirmed_Qty],T_Shipments[Part Name],$A47,T_Shipments[Effective_Week],71))</f>
        <v/>
      </c>
      <c r="BU47">
        <f>IF(COUNTIF(Material_Detail!$DE:$DE,$A47)&gt;0,IF(ISNUMBER(SEARCH("[済]",INDEX(Material_Detail!$D:$DC,MATCH($A47,Material_Detail!$DE:$DE,0)+1,72))),0,IFERROR(INDEX(Material_Detail!$D:$DC,MATCH($A47,Material_Detail!$DE:$DE,0),72),0)),SUMIFS(T_Shipments[Confirmed_Qty],T_Shipments[Part Name],$A47,T_Shipments[Effective_Week],72))</f>
        <v/>
      </c>
      <c r="BV47">
        <f>IF(COUNTIF(Material_Detail!$DE:$DE,$A47)&gt;0,IF(ISNUMBER(SEARCH("[済]",INDEX(Material_Detail!$D:$DC,MATCH($A47,Material_Detail!$DE:$DE,0)+1,73))),0,IFERROR(INDEX(Material_Detail!$D:$DC,MATCH($A47,Material_Detail!$DE:$DE,0),73),0)),SUMIFS(T_Shipments[Confirmed_Qty],T_Shipments[Part Name],$A47,T_Shipments[Effective_Week],73))</f>
        <v/>
      </c>
      <c r="BW47">
        <f>IF(COUNTIF(Material_Detail!$DE:$DE,$A47)&gt;0,IF(ISNUMBER(SEARCH("[済]",INDEX(Material_Detail!$D:$DC,MATCH($A47,Material_Detail!$DE:$DE,0)+1,74))),0,IFERROR(INDEX(Material_Detail!$D:$DC,MATCH($A47,Material_Detail!$DE:$DE,0),74),0)),SUMIFS(T_Shipments[Confirmed_Qty],T_Shipments[Part Name],$A47,T_Shipments[Effective_Week],74))</f>
        <v/>
      </c>
      <c r="BX47">
        <f>IF(COUNTIF(Material_Detail!$DE:$DE,$A47)&gt;0,IF(ISNUMBER(SEARCH("[済]",INDEX(Material_Detail!$D:$DC,MATCH($A47,Material_Detail!$DE:$DE,0)+1,75))),0,IFERROR(INDEX(Material_Detail!$D:$DC,MATCH($A47,Material_Detail!$DE:$DE,0),75),0)),SUMIFS(T_Shipments[Confirmed_Qty],T_Shipments[Part Name],$A47,T_Shipments[Effective_Week],75))</f>
        <v/>
      </c>
      <c r="BY47">
        <f>IF(COUNTIF(Material_Detail!$DE:$DE,$A47)&gt;0,IF(ISNUMBER(SEARCH("[済]",INDEX(Material_Detail!$D:$DC,MATCH($A47,Material_Detail!$DE:$DE,0)+1,76))),0,IFERROR(INDEX(Material_Detail!$D:$DC,MATCH($A47,Material_Detail!$DE:$DE,0),76),0)),SUMIFS(T_Shipments[Confirmed_Qty],T_Shipments[Part Name],$A47,T_Shipments[Effective_Week],76))</f>
        <v/>
      </c>
      <c r="BZ47">
        <f>IF(COUNTIF(Material_Detail!$DE:$DE,$A47)&gt;0,IF(ISNUMBER(SEARCH("[済]",INDEX(Material_Detail!$D:$DC,MATCH($A47,Material_Detail!$DE:$DE,0)+1,77))),0,IFERROR(INDEX(Material_Detail!$D:$DC,MATCH($A47,Material_Detail!$DE:$DE,0),77),0)),SUMIFS(T_Shipments[Confirmed_Qty],T_Shipments[Part Name],$A47,T_Shipments[Effective_Week],77))</f>
        <v/>
      </c>
      <c r="CA47">
        <f>IF(COUNTIF(Material_Detail!$DE:$DE,$A47)&gt;0,IF(ISNUMBER(SEARCH("[済]",INDEX(Material_Detail!$D:$DC,MATCH($A47,Material_Detail!$DE:$DE,0)+1,78))),0,IFERROR(INDEX(Material_Detail!$D:$DC,MATCH($A47,Material_Detail!$DE:$DE,0),78),0)),SUMIFS(T_Shipments[Confirmed_Qty],T_Shipments[Part Name],$A47,T_Shipments[Effective_Week],78))</f>
        <v/>
      </c>
      <c r="CB47">
        <f>IF(COUNTIF(Material_Detail!$DE:$DE,$A47)&gt;0,IF(ISNUMBER(SEARCH("[済]",INDEX(Material_Detail!$D:$DC,MATCH($A47,Material_Detail!$DE:$DE,0)+1,79))),0,IFERROR(INDEX(Material_Detail!$D:$DC,MATCH($A47,Material_Detail!$DE:$DE,0),79),0)),SUMIFS(T_Shipments[Confirmed_Qty],T_Shipments[Part Name],$A47,T_Shipments[Effective_Week],79))</f>
        <v/>
      </c>
      <c r="CC47">
        <f>IF(COUNTIF(Material_Detail!$DE:$DE,$A47)&gt;0,IF(ISNUMBER(SEARCH("[済]",INDEX(Material_Detail!$D:$DC,MATCH($A47,Material_Detail!$DE:$DE,0)+1,80))),0,IFERROR(INDEX(Material_Detail!$D:$DC,MATCH($A47,Material_Detail!$DE:$DE,0),80),0)),SUMIFS(T_Shipments[Confirmed_Qty],T_Shipments[Part Name],$A47,T_Shipments[Effective_Week],80))</f>
        <v/>
      </c>
      <c r="CD47">
        <f>IF(COUNTIF(Material_Detail!$DE:$DE,$A47)&gt;0,IF(ISNUMBER(SEARCH("[済]",INDEX(Material_Detail!$D:$DC,MATCH($A47,Material_Detail!$DE:$DE,0)+1,81))),0,IFERROR(INDEX(Material_Detail!$D:$DC,MATCH($A47,Material_Detail!$DE:$DE,0),81),0)),SUMIFS(T_Shipments[Confirmed_Qty],T_Shipments[Part Name],$A47,T_Shipments[Effective_Week],81))</f>
        <v/>
      </c>
      <c r="CE47">
        <f>IF(COUNTIF(Material_Detail!$DE:$DE,$A47)&gt;0,IF(ISNUMBER(SEARCH("[済]",INDEX(Material_Detail!$D:$DC,MATCH($A47,Material_Detail!$DE:$DE,0)+1,82))),0,IFERROR(INDEX(Material_Detail!$D:$DC,MATCH($A47,Material_Detail!$DE:$DE,0),82),0)),SUMIFS(T_Shipments[Confirmed_Qty],T_Shipments[Part Name],$A47,T_Shipments[Effective_Week],82))</f>
        <v/>
      </c>
      <c r="CF47">
        <f>IF(COUNTIF(Material_Detail!$DE:$DE,$A47)&gt;0,IF(ISNUMBER(SEARCH("[済]",INDEX(Material_Detail!$D:$DC,MATCH($A47,Material_Detail!$DE:$DE,0)+1,83))),0,IFERROR(INDEX(Material_Detail!$D:$DC,MATCH($A47,Material_Detail!$DE:$DE,0),83),0)),SUMIFS(T_Shipments[Confirmed_Qty],T_Shipments[Part Name],$A47,T_Shipments[Effective_Week],83))</f>
        <v/>
      </c>
      <c r="CG47">
        <f>IF(COUNTIF(Material_Detail!$DE:$DE,$A47)&gt;0,IF(ISNUMBER(SEARCH("[済]",INDEX(Material_Detail!$D:$DC,MATCH($A47,Material_Detail!$DE:$DE,0)+1,84))),0,IFERROR(INDEX(Material_Detail!$D:$DC,MATCH($A47,Material_Detail!$DE:$DE,0),84),0)),SUMIFS(T_Shipments[Confirmed_Qty],T_Shipments[Part Name],$A47,T_Shipments[Effective_Week],84))</f>
        <v/>
      </c>
      <c r="CH47">
        <f>IF(COUNTIF(Material_Detail!$DE:$DE,$A47)&gt;0,IF(ISNUMBER(SEARCH("[済]",INDEX(Material_Detail!$D:$DC,MATCH($A47,Material_Detail!$DE:$DE,0)+1,85))),0,IFERROR(INDEX(Material_Detail!$D:$DC,MATCH($A47,Material_Detail!$DE:$DE,0),85),0)),SUMIFS(T_Shipments[Confirmed_Qty],T_Shipments[Part Name],$A47,T_Shipments[Effective_Week],85))</f>
        <v/>
      </c>
      <c r="CI47">
        <f>IF(COUNTIF(Material_Detail!$DE:$DE,$A47)&gt;0,IF(ISNUMBER(SEARCH("[済]",INDEX(Material_Detail!$D:$DC,MATCH($A47,Material_Detail!$DE:$DE,0)+1,86))),0,IFERROR(INDEX(Material_Detail!$D:$DC,MATCH($A47,Material_Detail!$DE:$DE,0),86),0)),SUMIFS(T_Shipments[Confirmed_Qty],T_Shipments[Part Name],$A47,T_Shipments[Effective_Week],86))</f>
        <v/>
      </c>
      <c r="CJ47">
        <f>IF(COUNTIF(Material_Detail!$DE:$DE,$A47)&gt;0,IF(ISNUMBER(SEARCH("[済]",INDEX(Material_Detail!$D:$DC,MATCH($A47,Material_Detail!$DE:$DE,0)+1,87))),0,IFERROR(INDEX(Material_Detail!$D:$DC,MATCH($A47,Material_Detail!$DE:$DE,0),87),0)),SUMIFS(T_Shipments[Confirmed_Qty],T_Shipments[Part Name],$A47,T_Shipments[Effective_Week],87))</f>
        <v/>
      </c>
      <c r="CK47">
        <f>IF(COUNTIF(Material_Detail!$DE:$DE,$A47)&gt;0,IF(ISNUMBER(SEARCH("[済]",INDEX(Material_Detail!$D:$DC,MATCH($A47,Material_Detail!$DE:$DE,0)+1,88))),0,IFERROR(INDEX(Material_Detail!$D:$DC,MATCH($A47,Material_Detail!$DE:$DE,0),88),0)),SUMIFS(T_Shipments[Confirmed_Qty],T_Shipments[Part Name],$A47,T_Shipments[Effective_Week],88))</f>
        <v/>
      </c>
      <c r="CL47">
        <f>IF(COUNTIF(Material_Detail!$DE:$DE,$A47)&gt;0,IF(ISNUMBER(SEARCH("[済]",INDEX(Material_Detail!$D:$DC,MATCH($A47,Material_Detail!$DE:$DE,0)+1,89))),0,IFERROR(INDEX(Material_Detail!$D:$DC,MATCH($A47,Material_Detail!$DE:$DE,0),89),0)),SUMIFS(T_Shipments[Confirmed_Qty],T_Shipments[Part Name],$A47,T_Shipments[Effective_Week],89))</f>
        <v/>
      </c>
      <c r="CM47">
        <f>IF(COUNTIF(Material_Detail!$DE:$DE,$A47)&gt;0,IF(ISNUMBER(SEARCH("[済]",INDEX(Material_Detail!$D:$DC,MATCH($A47,Material_Detail!$DE:$DE,0)+1,90))),0,IFERROR(INDEX(Material_Detail!$D:$DC,MATCH($A47,Material_Detail!$DE:$DE,0),90),0)),SUMIFS(T_Shipments[Confirmed_Qty],T_Shipments[Part Name],$A47,T_Shipments[Effective_Week],90))</f>
        <v/>
      </c>
      <c r="CN47">
        <f>IF(COUNTIF(Material_Detail!$DE:$DE,$A47)&gt;0,IF(ISNUMBER(SEARCH("[済]",INDEX(Material_Detail!$D:$DC,MATCH($A47,Material_Detail!$DE:$DE,0)+1,91))),0,IFERROR(INDEX(Material_Detail!$D:$DC,MATCH($A47,Material_Detail!$DE:$DE,0),91),0)),SUMIFS(T_Shipments[Confirmed_Qty],T_Shipments[Part Name],$A47,T_Shipments[Effective_Week],91))</f>
        <v/>
      </c>
      <c r="CO47">
        <f>IF(COUNTIF(Material_Detail!$DE:$DE,$A47)&gt;0,IF(ISNUMBER(SEARCH("[済]",INDEX(Material_Detail!$D:$DC,MATCH($A47,Material_Detail!$DE:$DE,0)+1,92))),0,IFERROR(INDEX(Material_Detail!$D:$DC,MATCH($A47,Material_Detail!$DE:$DE,0),92),0)),SUMIFS(T_Shipments[Confirmed_Qty],T_Shipments[Part Name],$A47,T_Shipments[Effective_Week],92))</f>
        <v/>
      </c>
      <c r="CP47">
        <f>IF(COUNTIF(Material_Detail!$DE:$DE,$A47)&gt;0,IF(ISNUMBER(SEARCH("[済]",INDEX(Material_Detail!$D:$DC,MATCH($A47,Material_Detail!$DE:$DE,0)+1,93))),0,IFERROR(INDEX(Material_Detail!$D:$DC,MATCH($A47,Material_Detail!$DE:$DE,0),93),0)),SUMIFS(T_Shipments[Confirmed_Qty],T_Shipments[Part Name],$A47,T_Shipments[Effective_Week],93))</f>
        <v/>
      </c>
      <c r="CQ47">
        <f>IF(COUNTIF(Material_Detail!$DE:$DE,$A47)&gt;0,IF(ISNUMBER(SEARCH("[済]",INDEX(Material_Detail!$D:$DC,MATCH($A47,Material_Detail!$DE:$DE,0)+1,94))),0,IFERROR(INDEX(Material_Detail!$D:$DC,MATCH($A47,Material_Detail!$DE:$DE,0),94),0)),SUMIFS(T_Shipments[Confirmed_Qty],T_Shipments[Part Name],$A47,T_Shipments[Effective_Week],94))</f>
        <v/>
      </c>
      <c r="CR47">
        <f>IF(COUNTIF(Material_Detail!$DE:$DE,$A47)&gt;0,IF(ISNUMBER(SEARCH("[済]",INDEX(Material_Detail!$D:$DC,MATCH($A47,Material_Detail!$DE:$DE,0)+1,95))),0,IFERROR(INDEX(Material_Detail!$D:$DC,MATCH($A47,Material_Detail!$DE:$DE,0),95),0)),SUMIFS(T_Shipments[Confirmed_Qty],T_Shipments[Part Name],$A47,T_Shipments[Effective_Week],95))</f>
        <v/>
      </c>
      <c r="CS47">
        <f>IF(COUNTIF(Material_Detail!$DE:$DE,$A47)&gt;0,IF(ISNUMBER(SEARCH("[済]",INDEX(Material_Detail!$D:$DC,MATCH($A47,Material_Detail!$DE:$DE,0)+1,96))),0,IFERROR(INDEX(Material_Detail!$D:$DC,MATCH($A47,Material_Detail!$DE:$DE,0),96),0)),SUMIFS(T_Shipments[Confirmed_Qty],T_Shipments[Part Name],$A47,T_Shipments[Effective_Week],96))</f>
        <v/>
      </c>
      <c r="CT47">
        <f>IF(COUNTIF(Material_Detail!$DE:$DE,$A47)&gt;0,IF(ISNUMBER(SEARCH("[済]",INDEX(Material_Detail!$D:$DC,MATCH($A47,Material_Detail!$DE:$DE,0)+1,97))),0,IFERROR(INDEX(Material_Detail!$D:$DC,MATCH($A47,Material_Detail!$DE:$DE,0),97),0)),SUMIFS(T_Shipments[Confirmed_Qty],T_Shipments[Part Name],$A47,T_Shipments[Effective_Week],97))</f>
        <v/>
      </c>
      <c r="CU47">
        <f>IF(COUNTIF(Material_Detail!$DE:$DE,$A47)&gt;0,IF(ISNUMBER(SEARCH("[済]",INDEX(Material_Detail!$D:$DC,MATCH($A47,Material_Detail!$DE:$DE,0)+1,98))),0,IFERROR(INDEX(Material_Detail!$D:$DC,MATCH($A47,Material_Detail!$DE:$DE,0),98),0)),SUMIFS(T_Shipments[Confirmed_Qty],T_Shipments[Part Name],$A47,T_Shipments[Effective_Week],98))</f>
        <v/>
      </c>
      <c r="CV47">
        <f>IF(COUNTIF(Material_Detail!$DE:$DE,$A47)&gt;0,IF(ISNUMBER(SEARCH("[済]",INDEX(Material_Detail!$D:$DC,MATCH($A47,Material_Detail!$DE:$DE,0)+1,99))),0,IFERROR(INDEX(Material_Detail!$D:$DC,MATCH($A47,Material_Detail!$DE:$DE,0),99),0)),SUMIFS(T_Shipments[Confirmed_Qty],T_Shipments[Part Name],$A47,T_Shipments[Effective_Week],99))</f>
        <v/>
      </c>
      <c r="CW47">
        <f>IF(COUNTIF(Material_Detail!$DE:$DE,$A47)&gt;0,IF(ISNUMBER(SEARCH("[済]",INDEX(Material_Detail!$D:$DC,MATCH($A47,Material_Detail!$DE:$DE,0)+1,100))),0,IFERROR(INDEX(Material_Detail!$D:$DC,MATCH($A47,Material_Detail!$DE:$DE,0),100),0)),SUMIFS(T_Shipments[Confirmed_Qty],T_Shipments[Part Name],$A47,T_Shipments[Effective_Week],100))</f>
        <v/>
      </c>
      <c r="CX47">
        <f>IF(COUNTIF(Material_Detail!$DE:$DE,$A47)&gt;0,IF(ISNUMBER(SEARCH("[済]",INDEX(Material_Detail!$D:$DC,MATCH($A47,Material_Detail!$DE:$DE,0)+1,101))),0,IFERROR(INDEX(Material_Detail!$D:$DC,MATCH($A47,Material_Detail!$DE:$DE,0),101),0)),SUMIFS(T_Shipments[Confirmed_Qty],T_Shipments[Part Name],$A47,T_Shipments[Effective_Week],101))</f>
        <v/>
      </c>
      <c r="CY47">
        <f>IF(COUNTIF(Material_Detail!$DE:$DE,$A47)&gt;0,IF(ISNUMBER(SEARCH("[済]",INDEX(Material_Detail!$D:$DC,MATCH($A47,Material_Detail!$DE:$DE,0)+1,102))),0,IFERROR(INDEX(Material_Detail!$D:$DC,MATCH($A47,Material_Detail!$DE:$DE,0),102),0)),SUMIFS(T_Shipments[Confirmed_Qty],T_Shipments[Part Name],$A47,T_Shipments[Effective_Week],102))</f>
        <v/>
      </c>
      <c r="CZ47">
        <f>IF(COUNTIF(Material_Detail!$DE:$DE,$A47)&gt;0,IF(ISNUMBER(SEARCH("[済]",INDEX(Material_Detail!$D:$DC,MATCH($A47,Material_Detail!$DE:$DE,0)+1,103))),0,IFERROR(INDEX(Material_Detail!$D:$DC,MATCH($A47,Material_Detail!$DE:$DE,0),103),0)),SUMIFS(T_Shipments[Confirmed_Qty],T_Shipments[Part Name],$A47,T_Shipments[Effective_Week],103))</f>
        <v/>
      </c>
      <c r="DA47">
        <f>IF(COUNTIF(Material_Detail!$DE:$DE,$A47)&gt;0,IF(ISNUMBER(SEARCH("[済]",INDEX(Material_Detail!$D:$DC,MATCH($A47,Material_Detail!$DE:$DE,0)+1,104))),0,IFERROR(INDEX(Material_Detail!$D:$DC,MATCH($A47,Material_Detail!$DE:$DE,0),104),0)),SUMIFS(T_Shipments[Confirmed_Qty],T_Shipments[Part Name],$A47,T_Shipments[Effective_Week],104))</f>
        <v/>
      </c>
    </row>
    <row r="48">
      <c r="A48" t="inlineStr">
        <is>
          <t>CHEM-1470</t>
        </is>
      </c>
      <c r="B48">
        <f>IF(COUNTIF(Material_Detail!$DE:$DE,$A48)&gt;0,IF(ISNUMBER(SEARCH("[済]",INDEX(Material_Detail!$D:$DC,MATCH($A48,Material_Detail!$DE:$DE,0)+1,1))),0,IFERROR(INDEX(Material_Detail!$D:$DC,MATCH($A48,Material_Detail!$DE:$DE,0),1),0)),SUMIFS(T_Shipments[Confirmed_Qty],T_Shipments[Part Name],$A48,T_Shipments[Effective_Week],1))</f>
        <v/>
      </c>
      <c r="C48">
        <f>IF(COUNTIF(Material_Detail!$DE:$DE,$A48)&gt;0,IF(ISNUMBER(SEARCH("[済]",INDEX(Material_Detail!$D:$DC,MATCH($A48,Material_Detail!$DE:$DE,0)+1,2))),0,IFERROR(INDEX(Material_Detail!$D:$DC,MATCH($A48,Material_Detail!$DE:$DE,0),2),0)),SUMIFS(T_Shipments[Confirmed_Qty],T_Shipments[Part Name],$A48,T_Shipments[Effective_Week],2))</f>
        <v/>
      </c>
      <c r="D48">
        <f>IF(COUNTIF(Material_Detail!$DE:$DE,$A48)&gt;0,IF(ISNUMBER(SEARCH("[済]",INDEX(Material_Detail!$D:$DC,MATCH($A48,Material_Detail!$DE:$DE,0)+1,3))),0,IFERROR(INDEX(Material_Detail!$D:$DC,MATCH($A48,Material_Detail!$DE:$DE,0),3),0)),SUMIFS(T_Shipments[Confirmed_Qty],T_Shipments[Part Name],$A48,T_Shipments[Effective_Week],3))</f>
        <v/>
      </c>
      <c r="E48">
        <f>IF(COUNTIF(Material_Detail!$DE:$DE,$A48)&gt;0,IF(ISNUMBER(SEARCH("[済]",INDEX(Material_Detail!$D:$DC,MATCH($A48,Material_Detail!$DE:$DE,0)+1,4))),0,IFERROR(INDEX(Material_Detail!$D:$DC,MATCH($A48,Material_Detail!$DE:$DE,0),4),0)),SUMIFS(T_Shipments[Confirmed_Qty],T_Shipments[Part Name],$A48,T_Shipments[Effective_Week],4))</f>
        <v/>
      </c>
      <c r="F48">
        <f>IF(COUNTIF(Material_Detail!$DE:$DE,$A48)&gt;0,IF(ISNUMBER(SEARCH("[済]",INDEX(Material_Detail!$D:$DC,MATCH($A48,Material_Detail!$DE:$DE,0)+1,5))),0,IFERROR(INDEX(Material_Detail!$D:$DC,MATCH($A48,Material_Detail!$DE:$DE,0),5),0)),SUMIFS(T_Shipments[Confirmed_Qty],T_Shipments[Part Name],$A48,T_Shipments[Effective_Week],5))</f>
        <v/>
      </c>
      <c r="G48">
        <f>IF(COUNTIF(Material_Detail!$DE:$DE,$A48)&gt;0,IF(ISNUMBER(SEARCH("[済]",INDEX(Material_Detail!$D:$DC,MATCH($A48,Material_Detail!$DE:$DE,0)+1,6))),0,IFERROR(INDEX(Material_Detail!$D:$DC,MATCH($A48,Material_Detail!$DE:$DE,0),6),0)),SUMIFS(T_Shipments[Confirmed_Qty],T_Shipments[Part Name],$A48,T_Shipments[Effective_Week],6))</f>
        <v/>
      </c>
      <c r="H48">
        <f>IF(COUNTIF(Material_Detail!$DE:$DE,$A48)&gt;0,IF(ISNUMBER(SEARCH("[済]",INDEX(Material_Detail!$D:$DC,MATCH($A48,Material_Detail!$DE:$DE,0)+1,7))),0,IFERROR(INDEX(Material_Detail!$D:$DC,MATCH($A48,Material_Detail!$DE:$DE,0),7),0)),SUMIFS(T_Shipments[Confirmed_Qty],T_Shipments[Part Name],$A48,T_Shipments[Effective_Week],7))</f>
        <v/>
      </c>
      <c r="I48">
        <f>IF(COUNTIF(Material_Detail!$DE:$DE,$A48)&gt;0,IF(ISNUMBER(SEARCH("[済]",INDEX(Material_Detail!$D:$DC,MATCH($A48,Material_Detail!$DE:$DE,0)+1,8))),0,IFERROR(INDEX(Material_Detail!$D:$DC,MATCH($A48,Material_Detail!$DE:$DE,0),8),0)),SUMIFS(T_Shipments[Confirmed_Qty],T_Shipments[Part Name],$A48,T_Shipments[Effective_Week],8))</f>
        <v/>
      </c>
      <c r="J48">
        <f>IF(COUNTIF(Material_Detail!$DE:$DE,$A48)&gt;0,IF(ISNUMBER(SEARCH("[済]",INDEX(Material_Detail!$D:$DC,MATCH($A48,Material_Detail!$DE:$DE,0)+1,9))),0,IFERROR(INDEX(Material_Detail!$D:$DC,MATCH($A48,Material_Detail!$DE:$DE,0),9),0)),SUMIFS(T_Shipments[Confirmed_Qty],T_Shipments[Part Name],$A48,T_Shipments[Effective_Week],9))</f>
        <v/>
      </c>
      <c r="K48">
        <f>IF(COUNTIF(Material_Detail!$DE:$DE,$A48)&gt;0,IF(ISNUMBER(SEARCH("[済]",INDEX(Material_Detail!$D:$DC,MATCH($A48,Material_Detail!$DE:$DE,0)+1,10))),0,IFERROR(INDEX(Material_Detail!$D:$DC,MATCH($A48,Material_Detail!$DE:$DE,0),10),0)),SUMIFS(T_Shipments[Confirmed_Qty],T_Shipments[Part Name],$A48,T_Shipments[Effective_Week],10))</f>
        <v/>
      </c>
      <c r="L48">
        <f>IF(COUNTIF(Material_Detail!$DE:$DE,$A48)&gt;0,IF(ISNUMBER(SEARCH("[済]",INDEX(Material_Detail!$D:$DC,MATCH($A48,Material_Detail!$DE:$DE,0)+1,11))),0,IFERROR(INDEX(Material_Detail!$D:$DC,MATCH($A48,Material_Detail!$DE:$DE,0),11),0)),SUMIFS(T_Shipments[Confirmed_Qty],T_Shipments[Part Name],$A48,T_Shipments[Effective_Week],11))</f>
        <v/>
      </c>
      <c r="M48">
        <f>IF(COUNTIF(Material_Detail!$DE:$DE,$A48)&gt;0,IF(ISNUMBER(SEARCH("[済]",INDEX(Material_Detail!$D:$DC,MATCH($A48,Material_Detail!$DE:$DE,0)+1,12))),0,IFERROR(INDEX(Material_Detail!$D:$DC,MATCH($A48,Material_Detail!$DE:$DE,0),12),0)),SUMIFS(T_Shipments[Confirmed_Qty],T_Shipments[Part Name],$A48,T_Shipments[Effective_Week],12))</f>
        <v/>
      </c>
      <c r="N48">
        <f>IF(COUNTIF(Material_Detail!$DE:$DE,$A48)&gt;0,IF(ISNUMBER(SEARCH("[済]",INDEX(Material_Detail!$D:$DC,MATCH($A48,Material_Detail!$DE:$DE,0)+1,13))),0,IFERROR(INDEX(Material_Detail!$D:$DC,MATCH($A48,Material_Detail!$DE:$DE,0),13),0)),SUMIFS(T_Shipments[Confirmed_Qty],T_Shipments[Part Name],$A48,T_Shipments[Effective_Week],13))</f>
        <v/>
      </c>
      <c r="O48">
        <f>IF(COUNTIF(Material_Detail!$DE:$DE,$A48)&gt;0,IF(ISNUMBER(SEARCH("[済]",INDEX(Material_Detail!$D:$DC,MATCH($A48,Material_Detail!$DE:$DE,0)+1,14))),0,IFERROR(INDEX(Material_Detail!$D:$DC,MATCH($A48,Material_Detail!$DE:$DE,0),14),0)),SUMIFS(T_Shipments[Confirmed_Qty],T_Shipments[Part Name],$A48,T_Shipments[Effective_Week],14))</f>
        <v/>
      </c>
      <c r="P48">
        <f>IF(COUNTIF(Material_Detail!$DE:$DE,$A48)&gt;0,IF(ISNUMBER(SEARCH("[済]",INDEX(Material_Detail!$D:$DC,MATCH($A48,Material_Detail!$DE:$DE,0)+1,15))),0,IFERROR(INDEX(Material_Detail!$D:$DC,MATCH($A48,Material_Detail!$DE:$DE,0),15),0)),SUMIFS(T_Shipments[Confirmed_Qty],T_Shipments[Part Name],$A48,T_Shipments[Effective_Week],15))</f>
        <v/>
      </c>
      <c r="Q48">
        <f>IF(COUNTIF(Material_Detail!$DE:$DE,$A48)&gt;0,IF(ISNUMBER(SEARCH("[済]",INDEX(Material_Detail!$D:$DC,MATCH($A48,Material_Detail!$DE:$DE,0)+1,16))),0,IFERROR(INDEX(Material_Detail!$D:$DC,MATCH($A48,Material_Detail!$DE:$DE,0),16),0)),SUMIFS(T_Shipments[Confirmed_Qty],T_Shipments[Part Name],$A48,T_Shipments[Effective_Week],16))</f>
        <v/>
      </c>
      <c r="R48">
        <f>IF(COUNTIF(Material_Detail!$DE:$DE,$A48)&gt;0,IF(ISNUMBER(SEARCH("[済]",INDEX(Material_Detail!$D:$DC,MATCH($A48,Material_Detail!$DE:$DE,0)+1,17))),0,IFERROR(INDEX(Material_Detail!$D:$DC,MATCH($A48,Material_Detail!$DE:$DE,0),17),0)),SUMIFS(T_Shipments[Confirmed_Qty],T_Shipments[Part Name],$A48,T_Shipments[Effective_Week],17))</f>
        <v/>
      </c>
      <c r="S48">
        <f>IF(COUNTIF(Material_Detail!$DE:$DE,$A48)&gt;0,IF(ISNUMBER(SEARCH("[済]",INDEX(Material_Detail!$D:$DC,MATCH($A48,Material_Detail!$DE:$DE,0)+1,18))),0,IFERROR(INDEX(Material_Detail!$D:$DC,MATCH($A48,Material_Detail!$DE:$DE,0),18),0)),SUMIFS(T_Shipments[Confirmed_Qty],T_Shipments[Part Name],$A48,T_Shipments[Effective_Week],18))</f>
        <v/>
      </c>
      <c r="T48">
        <f>IF(COUNTIF(Material_Detail!$DE:$DE,$A48)&gt;0,IF(ISNUMBER(SEARCH("[済]",INDEX(Material_Detail!$D:$DC,MATCH($A48,Material_Detail!$DE:$DE,0)+1,19))),0,IFERROR(INDEX(Material_Detail!$D:$DC,MATCH($A48,Material_Detail!$DE:$DE,0),19),0)),SUMIFS(T_Shipments[Confirmed_Qty],T_Shipments[Part Name],$A48,T_Shipments[Effective_Week],19))</f>
        <v/>
      </c>
      <c r="U48">
        <f>IF(COUNTIF(Material_Detail!$DE:$DE,$A48)&gt;0,IF(ISNUMBER(SEARCH("[済]",INDEX(Material_Detail!$D:$DC,MATCH($A48,Material_Detail!$DE:$DE,0)+1,20))),0,IFERROR(INDEX(Material_Detail!$D:$DC,MATCH($A48,Material_Detail!$DE:$DE,0),20),0)),SUMIFS(T_Shipments[Confirmed_Qty],T_Shipments[Part Name],$A48,T_Shipments[Effective_Week],20))</f>
        <v/>
      </c>
      <c r="V48">
        <f>IF(COUNTIF(Material_Detail!$DE:$DE,$A48)&gt;0,IF(ISNUMBER(SEARCH("[済]",INDEX(Material_Detail!$D:$DC,MATCH($A48,Material_Detail!$DE:$DE,0)+1,21))),0,IFERROR(INDEX(Material_Detail!$D:$DC,MATCH($A48,Material_Detail!$DE:$DE,0),21),0)),SUMIFS(T_Shipments[Confirmed_Qty],T_Shipments[Part Name],$A48,T_Shipments[Effective_Week],21))</f>
        <v/>
      </c>
      <c r="W48">
        <f>IF(COUNTIF(Material_Detail!$DE:$DE,$A48)&gt;0,IF(ISNUMBER(SEARCH("[済]",INDEX(Material_Detail!$D:$DC,MATCH($A48,Material_Detail!$DE:$DE,0)+1,22))),0,IFERROR(INDEX(Material_Detail!$D:$DC,MATCH($A48,Material_Detail!$DE:$DE,0),22),0)),SUMIFS(T_Shipments[Confirmed_Qty],T_Shipments[Part Name],$A48,T_Shipments[Effective_Week],22))</f>
        <v/>
      </c>
      <c r="X48">
        <f>IF(COUNTIF(Material_Detail!$DE:$DE,$A48)&gt;0,IF(ISNUMBER(SEARCH("[済]",INDEX(Material_Detail!$D:$DC,MATCH($A48,Material_Detail!$DE:$DE,0)+1,23))),0,IFERROR(INDEX(Material_Detail!$D:$DC,MATCH($A48,Material_Detail!$DE:$DE,0),23),0)),SUMIFS(T_Shipments[Confirmed_Qty],T_Shipments[Part Name],$A48,T_Shipments[Effective_Week],23))</f>
        <v/>
      </c>
      <c r="Y48">
        <f>IF(COUNTIF(Material_Detail!$DE:$DE,$A48)&gt;0,IF(ISNUMBER(SEARCH("[済]",INDEX(Material_Detail!$D:$DC,MATCH($A48,Material_Detail!$DE:$DE,0)+1,24))),0,IFERROR(INDEX(Material_Detail!$D:$DC,MATCH($A48,Material_Detail!$DE:$DE,0),24),0)),SUMIFS(T_Shipments[Confirmed_Qty],T_Shipments[Part Name],$A48,T_Shipments[Effective_Week],24))</f>
        <v/>
      </c>
      <c r="Z48">
        <f>IF(COUNTIF(Material_Detail!$DE:$DE,$A48)&gt;0,IF(ISNUMBER(SEARCH("[済]",INDEX(Material_Detail!$D:$DC,MATCH($A48,Material_Detail!$DE:$DE,0)+1,25))),0,IFERROR(INDEX(Material_Detail!$D:$DC,MATCH($A48,Material_Detail!$DE:$DE,0),25),0)),SUMIFS(T_Shipments[Confirmed_Qty],T_Shipments[Part Name],$A48,T_Shipments[Effective_Week],25))</f>
        <v/>
      </c>
      <c r="AA48">
        <f>IF(COUNTIF(Material_Detail!$DE:$DE,$A48)&gt;0,IF(ISNUMBER(SEARCH("[済]",INDEX(Material_Detail!$D:$DC,MATCH($A48,Material_Detail!$DE:$DE,0)+1,26))),0,IFERROR(INDEX(Material_Detail!$D:$DC,MATCH($A48,Material_Detail!$DE:$DE,0),26),0)),SUMIFS(T_Shipments[Confirmed_Qty],T_Shipments[Part Name],$A48,T_Shipments[Effective_Week],26))</f>
        <v/>
      </c>
      <c r="AB48">
        <f>IF(COUNTIF(Material_Detail!$DE:$DE,$A48)&gt;0,IF(ISNUMBER(SEARCH("[済]",INDEX(Material_Detail!$D:$DC,MATCH($A48,Material_Detail!$DE:$DE,0)+1,27))),0,IFERROR(INDEX(Material_Detail!$D:$DC,MATCH($A48,Material_Detail!$DE:$DE,0),27),0)),SUMIFS(T_Shipments[Confirmed_Qty],T_Shipments[Part Name],$A48,T_Shipments[Effective_Week],27))</f>
        <v/>
      </c>
      <c r="AC48">
        <f>IF(COUNTIF(Material_Detail!$DE:$DE,$A48)&gt;0,IF(ISNUMBER(SEARCH("[済]",INDEX(Material_Detail!$D:$DC,MATCH($A48,Material_Detail!$DE:$DE,0)+1,28))),0,IFERROR(INDEX(Material_Detail!$D:$DC,MATCH($A48,Material_Detail!$DE:$DE,0),28),0)),SUMIFS(T_Shipments[Confirmed_Qty],T_Shipments[Part Name],$A48,T_Shipments[Effective_Week],28))</f>
        <v/>
      </c>
      <c r="AD48">
        <f>IF(COUNTIF(Material_Detail!$DE:$DE,$A48)&gt;0,IF(ISNUMBER(SEARCH("[済]",INDEX(Material_Detail!$D:$DC,MATCH($A48,Material_Detail!$DE:$DE,0)+1,29))),0,IFERROR(INDEX(Material_Detail!$D:$DC,MATCH($A48,Material_Detail!$DE:$DE,0),29),0)),SUMIFS(T_Shipments[Confirmed_Qty],T_Shipments[Part Name],$A48,T_Shipments[Effective_Week],29))</f>
        <v/>
      </c>
      <c r="AE48">
        <f>IF(COUNTIF(Material_Detail!$DE:$DE,$A48)&gt;0,IF(ISNUMBER(SEARCH("[済]",INDEX(Material_Detail!$D:$DC,MATCH($A48,Material_Detail!$DE:$DE,0)+1,30))),0,IFERROR(INDEX(Material_Detail!$D:$DC,MATCH($A48,Material_Detail!$DE:$DE,0),30),0)),SUMIFS(T_Shipments[Confirmed_Qty],T_Shipments[Part Name],$A48,T_Shipments[Effective_Week],30))</f>
        <v/>
      </c>
      <c r="AF48">
        <f>IF(COUNTIF(Material_Detail!$DE:$DE,$A48)&gt;0,IF(ISNUMBER(SEARCH("[済]",INDEX(Material_Detail!$D:$DC,MATCH($A48,Material_Detail!$DE:$DE,0)+1,31))),0,IFERROR(INDEX(Material_Detail!$D:$DC,MATCH($A48,Material_Detail!$DE:$DE,0),31),0)),SUMIFS(T_Shipments[Confirmed_Qty],T_Shipments[Part Name],$A48,T_Shipments[Effective_Week],31))</f>
        <v/>
      </c>
      <c r="AG48">
        <f>IF(COUNTIF(Material_Detail!$DE:$DE,$A48)&gt;0,IF(ISNUMBER(SEARCH("[済]",INDEX(Material_Detail!$D:$DC,MATCH($A48,Material_Detail!$DE:$DE,0)+1,32))),0,IFERROR(INDEX(Material_Detail!$D:$DC,MATCH($A48,Material_Detail!$DE:$DE,0),32),0)),SUMIFS(T_Shipments[Confirmed_Qty],T_Shipments[Part Name],$A48,T_Shipments[Effective_Week],32))</f>
        <v/>
      </c>
      <c r="AH48">
        <f>IF(COUNTIF(Material_Detail!$DE:$DE,$A48)&gt;0,IF(ISNUMBER(SEARCH("[済]",INDEX(Material_Detail!$D:$DC,MATCH($A48,Material_Detail!$DE:$DE,0)+1,33))),0,IFERROR(INDEX(Material_Detail!$D:$DC,MATCH($A48,Material_Detail!$DE:$DE,0),33),0)),SUMIFS(T_Shipments[Confirmed_Qty],T_Shipments[Part Name],$A48,T_Shipments[Effective_Week],33))</f>
        <v/>
      </c>
      <c r="AI48">
        <f>IF(COUNTIF(Material_Detail!$DE:$DE,$A48)&gt;0,IF(ISNUMBER(SEARCH("[済]",INDEX(Material_Detail!$D:$DC,MATCH($A48,Material_Detail!$DE:$DE,0)+1,34))),0,IFERROR(INDEX(Material_Detail!$D:$DC,MATCH($A48,Material_Detail!$DE:$DE,0),34),0)),SUMIFS(T_Shipments[Confirmed_Qty],T_Shipments[Part Name],$A48,T_Shipments[Effective_Week],34))</f>
        <v/>
      </c>
      <c r="AJ48">
        <f>IF(COUNTIF(Material_Detail!$DE:$DE,$A48)&gt;0,IF(ISNUMBER(SEARCH("[済]",INDEX(Material_Detail!$D:$DC,MATCH($A48,Material_Detail!$DE:$DE,0)+1,35))),0,IFERROR(INDEX(Material_Detail!$D:$DC,MATCH($A48,Material_Detail!$DE:$DE,0),35),0)),SUMIFS(T_Shipments[Confirmed_Qty],T_Shipments[Part Name],$A48,T_Shipments[Effective_Week],35))</f>
        <v/>
      </c>
      <c r="AK48">
        <f>IF(COUNTIF(Material_Detail!$DE:$DE,$A48)&gt;0,IF(ISNUMBER(SEARCH("[済]",INDEX(Material_Detail!$D:$DC,MATCH($A48,Material_Detail!$DE:$DE,0)+1,36))),0,IFERROR(INDEX(Material_Detail!$D:$DC,MATCH($A48,Material_Detail!$DE:$DE,0),36),0)),SUMIFS(T_Shipments[Confirmed_Qty],T_Shipments[Part Name],$A48,T_Shipments[Effective_Week],36))</f>
        <v/>
      </c>
      <c r="AL48">
        <f>IF(COUNTIF(Material_Detail!$DE:$DE,$A48)&gt;0,IF(ISNUMBER(SEARCH("[済]",INDEX(Material_Detail!$D:$DC,MATCH($A48,Material_Detail!$DE:$DE,0)+1,37))),0,IFERROR(INDEX(Material_Detail!$D:$DC,MATCH($A48,Material_Detail!$DE:$DE,0),37),0)),SUMIFS(T_Shipments[Confirmed_Qty],T_Shipments[Part Name],$A48,T_Shipments[Effective_Week],37))</f>
        <v/>
      </c>
      <c r="AM48">
        <f>IF(COUNTIF(Material_Detail!$DE:$DE,$A48)&gt;0,IF(ISNUMBER(SEARCH("[済]",INDEX(Material_Detail!$D:$DC,MATCH($A48,Material_Detail!$DE:$DE,0)+1,38))),0,IFERROR(INDEX(Material_Detail!$D:$DC,MATCH($A48,Material_Detail!$DE:$DE,0),38),0)),SUMIFS(T_Shipments[Confirmed_Qty],T_Shipments[Part Name],$A48,T_Shipments[Effective_Week],38))</f>
        <v/>
      </c>
      <c r="AN48">
        <f>IF(COUNTIF(Material_Detail!$DE:$DE,$A48)&gt;0,IF(ISNUMBER(SEARCH("[済]",INDEX(Material_Detail!$D:$DC,MATCH($A48,Material_Detail!$DE:$DE,0)+1,39))),0,IFERROR(INDEX(Material_Detail!$D:$DC,MATCH($A48,Material_Detail!$DE:$DE,0),39),0)),SUMIFS(T_Shipments[Confirmed_Qty],T_Shipments[Part Name],$A48,T_Shipments[Effective_Week],39))</f>
        <v/>
      </c>
      <c r="AO48">
        <f>IF(COUNTIF(Material_Detail!$DE:$DE,$A48)&gt;0,IF(ISNUMBER(SEARCH("[済]",INDEX(Material_Detail!$D:$DC,MATCH($A48,Material_Detail!$DE:$DE,0)+1,40))),0,IFERROR(INDEX(Material_Detail!$D:$DC,MATCH($A48,Material_Detail!$DE:$DE,0),40),0)),SUMIFS(T_Shipments[Confirmed_Qty],T_Shipments[Part Name],$A48,T_Shipments[Effective_Week],40))</f>
        <v/>
      </c>
      <c r="AP48">
        <f>IF(COUNTIF(Material_Detail!$DE:$DE,$A48)&gt;0,IF(ISNUMBER(SEARCH("[済]",INDEX(Material_Detail!$D:$DC,MATCH($A48,Material_Detail!$DE:$DE,0)+1,41))),0,IFERROR(INDEX(Material_Detail!$D:$DC,MATCH($A48,Material_Detail!$DE:$DE,0),41),0)),SUMIFS(T_Shipments[Confirmed_Qty],T_Shipments[Part Name],$A48,T_Shipments[Effective_Week],41))</f>
        <v/>
      </c>
      <c r="AQ48">
        <f>IF(COUNTIF(Material_Detail!$DE:$DE,$A48)&gt;0,IF(ISNUMBER(SEARCH("[済]",INDEX(Material_Detail!$D:$DC,MATCH($A48,Material_Detail!$DE:$DE,0)+1,42))),0,IFERROR(INDEX(Material_Detail!$D:$DC,MATCH($A48,Material_Detail!$DE:$DE,0),42),0)),SUMIFS(T_Shipments[Confirmed_Qty],T_Shipments[Part Name],$A48,T_Shipments[Effective_Week],42))</f>
        <v/>
      </c>
      <c r="AR48">
        <f>IF(COUNTIF(Material_Detail!$DE:$DE,$A48)&gt;0,IF(ISNUMBER(SEARCH("[済]",INDEX(Material_Detail!$D:$DC,MATCH($A48,Material_Detail!$DE:$DE,0)+1,43))),0,IFERROR(INDEX(Material_Detail!$D:$DC,MATCH($A48,Material_Detail!$DE:$DE,0),43),0)),SUMIFS(T_Shipments[Confirmed_Qty],T_Shipments[Part Name],$A48,T_Shipments[Effective_Week],43))</f>
        <v/>
      </c>
      <c r="AS48">
        <f>IF(COUNTIF(Material_Detail!$DE:$DE,$A48)&gt;0,IF(ISNUMBER(SEARCH("[済]",INDEX(Material_Detail!$D:$DC,MATCH($A48,Material_Detail!$DE:$DE,0)+1,44))),0,IFERROR(INDEX(Material_Detail!$D:$DC,MATCH($A48,Material_Detail!$DE:$DE,0),44),0)),SUMIFS(T_Shipments[Confirmed_Qty],T_Shipments[Part Name],$A48,T_Shipments[Effective_Week],44))</f>
        <v/>
      </c>
      <c r="AT48">
        <f>IF(COUNTIF(Material_Detail!$DE:$DE,$A48)&gt;0,IF(ISNUMBER(SEARCH("[済]",INDEX(Material_Detail!$D:$DC,MATCH($A48,Material_Detail!$DE:$DE,0)+1,45))),0,IFERROR(INDEX(Material_Detail!$D:$DC,MATCH($A48,Material_Detail!$DE:$DE,0),45),0)),SUMIFS(T_Shipments[Confirmed_Qty],T_Shipments[Part Name],$A48,T_Shipments[Effective_Week],45))</f>
        <v/>
      </c>
      <c r="AU48">
        <f>IF(COUNTIF(Material_Detail!$DE:$DE,$A48)&gt;0,IF(ISNUMBER(SEARCH("[済]",INDEX(Material_Detail!$D:$DC,MATCH($A48,Material_Detail!$DE:$DE,0)+1,46))),0,IFERROR(INDEX(Material_Detail!$D:$DC,MATCH($A48,Material_Detail!$DE:$DE,0),46),0)),SUMIFS(T_Shipments[Confirmed_Qty],T_Shipments[Part Name],$A48,T_Shipments[Effective_Week],46))</f>
        <v/>
      </c>
      <c r="AV48">
        <f>IF(COUNTIF(Material_Detail!$DE:$DE,$A48)&gt;0,IF(ISNUMBER(SEARCH("[済]",INDEX(Material_Detail!$D:$DC,MATCH($A48,Material_Detail!$DE:$DE,0)+1,47))),0,IFERROR(INDEX(Material_Detail!$D:$DC,MATCH($A48,Material_Detail!$DE:$DE,0),47),0)),SUMIFS(T_Shipments[Confirmed_Qty],T_Shipments[Part Name],$A48,T_Shipments[Effective_Week],47))</f>
        <v/>
      </c>
      <c r="AW48">
        <f>IF(COUNTIF(Material_Detail!$DE:$DE,$A48)&gt;0,IF(ISNUMBER(SEARCH("[済]",INDEX(Material_Detail!$D:$DC,MATCH($A48,Material_Detail!$DE:$DE,0)+1,48))),0,IFERROR(INDEX(Material_Detail!$D:$DC,MATCH($A48,Material_Detail!$DE:$DE,0),48),0)),SUMIFS(T_Shipments[Confirmed_Qty],T_Shipments[Part Name],$A48,T_Shipments[Effective_Week],48))</f>
        <v/>
      </c>
      <c r="AX48">
        <f>IF(COUNTIF(Material_Detail!$DE:$DE,$A48)&gt;0,IF(ISNUMBER(SEARCH("[済]",INDEX(Material_Detail!$D:$DC,MATCH($A48,Material_Detail!$DE:$DE,0)+1,49))),0,IFERROR(INDEX(Material_Detail!$D:$DC,MATCH($A48,Material_Detail!$DE:$DE,0),49),0)),SUMIFS(T_Shipments[Confirmed_Qty],T_Shipments[Part Name],$A48,T_Shipments[Effective_Week],49))</f>
        <v/>
      </c>
      <c r="AY48">
        <f>IF(COUNTIF(Material_Detail!$DE:$DE,$A48)&gt;0,IF(ISNUMBER(SEARCH("[済]",INDEX(Material_Detail!$D:$DC,MATCH($A48,Material_Detail!$DE:$DE,0)+1,50))),0,IFERROR(INDEX(Material_Detail!$D:$DC,MATCH($A48,Material_Detail!$DE:$DE,0),50),0)),SUMIFS(T_Shipments[Confirmed_Qty],T_Shipments[Part Name],$A48,T_Shipments[Effective_Week],50))</f>
        <v/>
      </c>
      <c r="AZ48">
        <f>IF(COUNTIF(Material_Detail!$DE:$DE,$A48)&gt;0,IF(ISNUMBER(SEARCH("[済]",INDEX(Material_Detail!$D:$DC,MATCH($A48,Material_Detail!$DE:$DE,0)+1,51))),0,IFERROR(INDEX(Material_Detail!$D:$DC,MATCH($A48,Material_Detail!$DE:$DE,0),51),0)),SUMIFS(T_Shipments[Confirmed_Qty],T_Shipments[Part Name],$A48,T_Shipments[Effective_Week],51))</f>
        <v/>
      </c>
      <c r="BA48">
        <f>IF(COUNTIF(Material_Detail!$DE:$DE,$A48)&gt;0,IF(ISNUMBER(SEARCH("[済]",INDEX(Material_Detail!$D:$DC,MATCH($A48,Material_Detail!$DE:$DE,0)+1,52))),0,IFERROR(INDEX(Material_Detail!$D:$DC,MATCH($A48,Material_Detail!$DE:$DE,0),52),0)),SUMIFS(T_Shipments[Confirmed_Qty],T_Shipments[Part Name],$A48,T_Shipments[Effective_Week],52))</f>
        <v/>
      </c>
      <c r="BB48">
        <f>IF(COUNTIF(Material_Detail!$DE:$DE,$A48)&gt;0,IF(ISNUMBER(SEARCH("[済]",INDEX(Material_Detail!$D:$DC,MATCH($A48,Material_Detail!$DE:$DE,0)+1,53))),0,IFERROR(INDEX(Material_Detail!$D:$DC,MATCH($A48,Material_Detail!$DE:$DE,0),53),0)),SUMIFS(T_Shipments[Confirmed_Qty],T_Shipments[Part Name],$A48,T_Shipments[Effective_Week],53))</f>
        <v/>
      </c>
      <c r="BC48">
        <f>IF(COUNTIF(Material_Detail!$DE:$DE,$A48)&gt;0,IF(ISNUMBER(SEARCH("[済]",INDEX(Material_Detail!$D:$DC,MATCH($A48,Material_Detail!$DE:$DE,0)+1,54))),0,IFERROR(INDEX(Material_Detail!$D:$DC,MATCH($A48,Material_Detail!$DE:$DE,0),54),0)),SUMIFS(T_Shipments[Confirmed_Qty],T_Shipments[Part Name],$A48,T_Shipments[Effective_Week],54))</f>
        <v/>
      </c>
      <c r="BD48">
        <f>IF(COUNTIF(Material_Detail!$DE:$DE,$A48)&gt;0,IF(ISNUMBER(SEARCH("[済]",INDEX(Material_Detail!$D:$DC,MATCH($A48,Material_Detail!$DE:$DE,0)+1,55))),0,IFERROR(INDEX(Material_Detail!$D:$DC,MATCH($A48,Material_Detail!$DE:$DE,0),55),0)),SUMIFS(T_Shipments[Confirmed_Qty],T_Shipments[Part Name],$A48,T_Shipments[Effective_Week],55))</f>
        <v/>
      </c>
      <c r="BE48">
        <f>IF(COUNTIF(Material_Detail!$DE:$DE,$A48)&gt;0,IF(ISNUMBER(SEARCH("[済]",INDEX(Material_Detail!$D:$DC,MATCH($A48,Material_Detail!$DE:$DE,0)+1,56))),0,IFERROR(INDEX(Material_Detail!$D:$DC,MATCH($A48,Material_Detail!$DE:$DE,0),56),0)),SUMIFS(T_Shipments[Confirmed_Qty],T_Shipments[Part Name],$A48,T_Shipments[Effective_Week],56))</f>
        <v/>
      </c>
      <c r="BF48">
        <f>IF(COUNTIF(Material_Detail!$DE:$DE,$A48)&gt;0,IF(ISNUMBER(SEARCH("[済]",INDEX(Material_Detail!$D:$DC,MATCH($A48,Material_Detail!$DE:$DE,0)+1,57))),0,IFERROR(INDEX(Material_Detail!$D:$DC,MATCH($A48,Material_Detail!$DE:$DE,0),57),0)),SUMIFS(T_Shipments[Confirmed_Qty],T_Shipments[Part Name],$A48,T_Shipments[Effective_Week],57))</f>
        <v/>
      </c>
      <c r="BG48">
        <f>IF(COUNTIF(Material_Detail!$DE:$DE,$A48)&gt;0,IF(ISNUMBER(SEARCH("[済]",INDEX(Material_Detail!$D:$DC,MATCH($A48,Material_Detail!$DE:$DE,0)+1,58))),0,IFERROR(INDEX(Material_Detail!$D:$DC,MATCH($A48,Material_Detail!$DE:$DE,0),58),0)),SUMIFS(T_Shipments[Confirmed_Qty],T_Shipments[Part Name],$A48,T_Shipments[Effective_Week],58))</f>
        <v/>
      </c>
      <c r="BH48">
        <f>IF(COUNTIF(Material_Detail!$DE:$DE,$A48)&gt;0,IF(ISNUMBER(SEARCH("[済]",INDEX(Material_Detail!$D:$DC,MATCH($A48,Material_Detail!$DE:$DE,0)+1,59))),0,IFERROR(INDEX(Material_Detail!$D:$DC,MATCH($A48,Material_Detail!$DE:$DE,0),59),0)),SUMIFS(T_Shipments[Confirmed_Qty],T_Shipments[Part Name],$A48,T_Shipments[Effective_Week],59))</f>
        <v/>
      </c>
      <c r="BI48">
        <f>IF(COUNTIF(Material_Detail!$DE:$DE,$A48)&gt;0,IF(ISNUMBER(SEARCH("[済]",INDEX(Material_Detail!$D:$DC,MATCH($A48,Material_Detail!$DE:$DE,0)+1,60))),0,IFERROR(INDEX(Material_Detail!$D:$DC,MATCH($A48,Material_Detail!$DE:$DE,0),60),0)),SUMIFS(T_Shipments[Confirmed_Qty],T_Shipments[Part Name],$A48,T_Shipments[Effective_Week],60))</f>
        <v/>
      </c>
      <c r="BJ48">
        <f>IF(COUNTIF(Material_Detail!$DE:$DE,$A48)&gt;0,IF(ISNUMBER(SEARCH("[済]",INDEX(Material_Detail!$D:$DC,MATCH($A48,Material_Detail!$DE:$DE,0)+1,61))),0,IFERROR(INDEX(Material_Detail!$D:$DC,MATCH($A48,Material_Detail!$DE:$DE,0),61),0)),SUMIFS(T_Shipments[Confirmed_Qty],T_Shipments[Part Name],$A48,T_Shipments[Effective_Week],61))</f>
        <v/>
      </c>
      <c r="BK48">
        <f>IF(COUNTIF(Material_Detail!$DE:$DE,$A48)&gt;0,IF(ISNUMBER(SEARCH("[済]",INDEX(Material_Detail!$D:$DC,MATCH($A48,Material_Detail!$DE:$DE,0)+1,62))),0,IFERROR(INDEX(Material_Detail!$D:$DC,MATCH($A48,Material_Detail!$DE:$DE,0),62),0)),SUMIFS(T_Shipments[Confirmed_Qty],T_Shipments[Part Name],$A48,T_Shipments[Effective_Week],62))</f>
        <v/>
      </c>
      <c r="BL48">
        <f>IF(COUNTIF(Material_Detail!$DE:$DE,$A48)&gt;0,IF(ISNUMBER(SEARCH("[済]",INDEX(Material_Detail!$D:$DC,MATCH($A48,Material_Detail!$DE:$DE,0)+1,63))),0,IFERROR(INDEX(Material_Detail!$D:$DC,MATCH($A48,Material_Detail!$DE:$DE,0),63),0)),SUMIFS(T_Shipments[Confirmed_Qty],T_Shipments[Part Name],$A48,T_Shipments[Effective_Week],63))</f>
        <v/>
      </c>
      <c r="BM48">
        <f>IF(COUNTIF(Material_Detail!$DE:$DE,$A48)&gt;0,IF(ISNUMBER(SEARCH("[済]",INDEX(Material_Detail!$D:$DC,MATCH($A48,Material_Detail!$DE:$DE,0)+1,64))),0,IFERROR(INDEX(Material_Detail!$D:$DC,MATCH($A48,Material_Detail!$DE:$DE,0),64),0)),SUMIFS(T_Shipments[Confirmed_Qty],T_Shipments[Part Name],$A48,T_Shipments[Effective_Week],64))</f>
        <v/>
      </c>
      <c r="BN48">
        <f>IF(COUNTIF(Material_Detail!$DE:$DE,$A48)&gt;0,IF(ISNUMBER(SEARCH("[済]",INDEX(Material_Detail!$D:$DC,MATCH($A48,Material_Detail!$DE:$DE,0)+1,65))),0,IFERROR(INDEX(Material_Detail!$D:$DC,MATCH($A48,Material_Detail!$DE:$DE,0),65),0)),SUMIFS(T_Shipments[Confirmed_Qty],T_Shipments[Part Name],$A48,T_Shipments[Effective_Week],65))</f>
        <v/>
      </c>
      <c r="BO48">
        <f>IF(COUNTIF(Material_Detail!$DE:$DE,$A48)&gt;0,IF(ISNUMBER(SEARCH("[済]",INDEX(Material_Detail!$D:$DC,MATCH($A48,Material_Detail!$DE:$DE,0)+1,66))),0,IFERROR(INDEX(Material_Detail!$D:$DC,MATCH($A48,Material_Detail!$DE:$DE,0),66),0)),SUMIFS(T_Shipments[Confirmed_Qty],T_Shipments[Part Name],$A48,T_Shipments[Effective_Week],66))</f>
        <v/>
      </c>
      <c r="BP48">
        <f>IF(COUNTIF(Material_Detail!$DE:$DE,$A48)&gt;0,IF(ISNUMBER(SEARCH("[済]",INDEX(Material_Detail!$D:$DC,MATCH($A48,Material_Detail!$DE:$DE,0)+1,67))),0,IFERROR(INDEX(Material_Detail!$D:$DC,MATCH($A48,Material_Detail!$DE:$DE,0),67),0)),SUMIFS(T_Shipments[Confirmed_Qty],T_Shipments[Part Name],$A48,T_Shipments[Effective_Week],67))</f>
        <v/>
      </c>
      <c r="BQ48">
        <f>IF(COUNTIF(Material_Detail!$DE:$DE,$A48)&gt;0,IF(ISNUMBER(SEARCH("[済]",INDEX(Material_Detail!$D:$DC,MATCH($A48,Material_Detail!$DE:$DE,0)+1,68))),0,IFERROR(INDEX(Material_Detail!$D:$DC,MATCH($A48,Material_Detail!$DE:$DE,0),68),0)),SUMIFS(T_Shipments[Confirmed_Qty],T_Shipments[Part Name],$A48,T_Shipments[Effective_Week],68))</f>
        <v/>
      </c>
      <c r="BR48">
        <f>IF(COUNTIF(Material_Detail!$DE:$DE,$A48)&gt;0,IF(ISNUMBER(SEARCH("[済]",INDEX(Material_Detail!$D:$DC,MATCH($A48,Material_Detail!$DE:$DE,0)+1,69))),0,IFERROR(INDEX(Material_Detail!$D:$DC,MATCH($A48,Material_Detail!$DE:$DE,0),69),0)),SUMIFS(T_Shipments[Confirmed_Qty],T_Shipments[Part Name],$A48,T_Shipments[Effective_Week],69))</f>
        <v/>
      </c>
      <c r="BS48">
        <f>IF(COUNTIF(Material_Detail!$DE:$DE,$A48)&gt;0,IF(ISNUMBER(SEARCH("[済]",INDEX(Material_Detail!$D:$DC,MATCH($A48,Material_Detail!$DE:$DE,0)+1,70))),0,IFERROR(INDEX(Material_Detail!$D:$DC,MATCH($A48,Material_Detail!$DE:$DE,0),70),0)),SUMIFS(T_Shipments[Confirmed_Qty],T_Shipments[Part Name],$A48,T_Shipments[Effective_Week],70))</f>
        <v/>
      </c>
      <c r="BT48">
        <f>IF(COUNTIF(Material_Detail!$DE:$DE,$A48)&gt;0,IF(ISNUMBER(SEARCH("[済]",INDEX(Material_Detail!$D:$DC,MATCH($A48,Material_Detail!$DE:$DE,0)+1,71))),0,IFERROR(INDEX(Material_Detail!$D:$DC,MATCH($A48,Material_Detail!$DE:$DE,0),71),0)),SUMIFS(T_Shipments[Confirmed_Qty],T_Shipments[Part Name],$A48,T_Shipments[Effective_Week],71))</f>
        <v/>
      </c>
      <c r="BU48">
        <f>IF(COUNTIF(Material_Detail!$DE:$DE,$A48)&gt;0,IF(ISNUMBER(SEARCH("[済]",INDEX(Material_Detail!$D:$DC,MATCH($A48,Material_Detail!$DE:$DE,0)+1,72))),0,IFERROR(INDEX(Material_Detail!$D:$DC,MATCH($A48,Material_Detail!$DE:$DE,0),72),0)),SUMIFS(T_Shipments[Confirmed_Qty],T_Shipments[Part Name],$A48,T_Shipments[Effective_Week],72))</f>
        <v/>
      </c>
      <c r="BV48">
        <f>IF(COUNTIF(Material_Detail!$DE:$DE,$A48)&gt;0,IF(ISNUMBER(SEARCH("[済]",INDEX(Material_Detail!$D:$DC,MATCH($A48,Material_Detail!$DE:$DE,0)+1,73))),0,IFERROR(INDEX(Material_Detail!$D:$DC,MATCH($A48,Material_Detail!$DE:$DE,0),73),0)),SUMIFS(T_Shipments[Confirmed_Qty],T_Shipments[Part Name],$A48,T_Shipments[Effective_Week],73))</f>
        <v/>
      </c>
      <c r="BW48">
        <f>IF(COUNTIF(Material_Detail!$DE:$DE,$A48)&gt;0,IF(ISNUMBER(SEARCH("[済]",INDEX(Material_Detail!$D:$DC,MATCH($A48,Material_Detail!$DE:$DE,0)+1,74))),0,IFERROR(INDEX(Material_Detail!$D:$DC,MATCH($A48,Material_Detail!$DE:$DE,0),74),0)),SUMIFS(T_Shipments[Confirmed_Qty],T_Shipments[Part Name],$A48,T_Shipments[Effective_Week],74))</f>
        <v/>
      </c>
      <c r="BX48">
        <f>IF(COUNTIF(Material_Detail!$DE:$DE,$A48)&gt;0,IF(ISNUMBER(SEARCH("[済]",INDEX(Material_Detail!$D:$DC,MATCH($A48,Material_Detail!$DE:$DE,0)+1,75))),0,IFERROR(INDEX(Material_Detail!$D:$DC,MATCH($A48,Material_Detail!$DE:$DE,0),75),0)),SUMIFS(T_Shipments[Confirmed_Qty],T_Shipments[Part Name],$A48,T_Shipments[Effective_Week],75))</f>
        <v/>
      </c>
      <c r="BY48">
        <f>IF(COUNTIF(Material_Detail!$DE:$DE,$A48)&gt;0,IF(ISNUMBER(SEARCH("[済]",INDEX(Material_Detail!$D:$DC,MATCH($A48,Material_Detail!$DE:$DE,0)+1,76))),0,IFERROR(INDEX(Material_Detail!$D:$DC,MATCH($A48,Material_Detail!$DE:$DE,0),76),0)),SUMIFS(T_Shipments[Confirmed_Qty],T_Shipments[Part Name],$A48,T_Shipments[Effective_Week],76))</f>
        <v/>
      </c>
      <c r="BZ48">
        <f>IF(COUNTIF(Material_Detail!$DE:$DE,$A48)&gt;0,IF(ISNUMBER(SEARCH("[済]",INDEX(Material_Detail!$D:$DC,MATCH($A48,Material_Detail!$DE:$DE,0)+1,77))),0,IFERROR(INDEX(Material_Detail!$D:$DC,MATCH($A48,Material_Detail!$DE:$DE,0),77),0)),SUMIFS(T_Shipments[Confirmed_Qty],T_Shipments[Part Name],$A48,T_Shipments[Effective_Week],77))</f>
        <v/>
      </c>
      <c r="CA48">
        <f>IF(COUNTIF(Material_Detail!$DE:$DE,$A48)&gt;0,IF(ISNUMBER(SEARCH("[済]",INDEX(Material_Detail!$D:$DC,MATCH($A48,Material_Detail!$DE:$DE,0)+1,78))),0,IFERROR(INDEX(Material_Detail!$D:$DC,MATCH($A48,Material_Detail!$DE:$DE,0),78),0)),SUMIFS(T_Shipments[Confirmed_Qty],T_Shipments[Part Name],$A48,T_Shipments[Effective_Week],78))</f>
        <v/>
      </c>
      <c r="CB48">
        <f>IF(COUNTIF(Material_Detail!$DE:$DE,$A48)&gt;0,IF(ISNUMBER(SEARCH("[済]",INDEX(Material_Detail!$D:$DC,MATCH($A48,Material_Detail!$DE:$DE,0)+1,79))),0,IFERROR(INDEX(Material_Detail!$D:$DC,MATCH($A48,Material_Detail!$DE:$DE,0),79),0)),SUMIFS(T_Shipments[Confirmed_Qty],T_Shipments[Part Name],$A48,T_Shipments[Effective_Week],79))</f>
        <v/>
      </c>
      <c r="CC48">
        <f>IF(COUNTIF(Material_Detail!$DE:$DE,$A48)&gt;0,IF(ISNUMBER(SEARCH("[済]",INDEX(Material_Detail!$D:$DC,MATCH($A48,Material_Detail!$DE:$DE,0)+1,80))),0,IFERROR(INDEX(Material_Detail!$D:$DC,MATCH($A48,Material_Detail!$DE:$DE,0),80),0)),SUMIFS(T_Shipments[Confirmed_Qty],T_Shipments[Part Name],$A48,T_Shipments[Effective_Week],80))</f>
        <v/>
      </c>
      <c r="CD48">
        <f>IF(COUNTIF(Material_Detail!$DE:$DE,$A48)&gt;0,IF(ISNUMBER(SEARCH("[済]",INDEX(Material_Detail!$D:$DC,MATCH($A48,Material_Detail!$DE:$DE,0)+1,81))),0,IFERROR(INDEX(Material_Detail!$D:$DC,MATCH($A48,Material_Detail!$DE:$DE,0),81),0)),SUMIFS(T_Shipments[Confirmed_Qty],T_Shipments[Part Name],$A48,T_Shipments[Effective_Week],81))</f>
        <v/>
      </c>
      <c r="CE48">
        <f>IF(COUNTIF(Material_Detail!$DE:$DE,$A48)&gt;0,IF(ISNUMBER(SEARCH("[済]",INDEX(Material_Detail!$D:$DC,MATCH($A48,Material_Detail!$DE:$DE,0)+1,82))),0,IFERROR(INDEX(Material_Detail!$D:$DC,MATCH($A48,Material_Detail!$DE:$DE,0),82),0)),SUMIFS(T_Shipments[Confirmed_Qty],T_Shipments[Part Name],$A48,T_Shipments[Effective_Week],82))</f>
        <v/>
      </c>
      <c r="CF48">
        <f>IF(COUNTIF(Material_Detail!$DE:$DE,$A48)&gt;0,IF(ISNUMBER(SEARCH("[済]",INDEX(Material_Detail!$D:$DC,MATCH($A48,Material_Detail!$DE:$DE,0)+1,83))),0,IFERROR(INDEX(Material_Detail!$D:$DC,MATCH($A48,Material_Detail!$DE:$DE,0),83),0)),SUMIFS(T_Shipments[Confirmed_Qty],T_Shipments[Part Name],$A48,T_Shipments[Effective_Week],83))</f>
        <v/>
      </c>
      <c r="CG48">
        <f>IF(COUNTIF(Material_Detail!$DE:$DE,$A48)&gt;0,IF(ISNUMBER(SEARCH("[済]",INDEX(Material_Detail!$D:$DC,MATCH($A48,Material_Detail!$DE:$DE,0)+1,84))),0,IFERROR(INDEX(Material_Detail!$D:$DC,MATCH($A48,Material_Detail!$DE:$DE,0),84),0)),SUMIFS(T_Shipments[Confirmed_Qty],T_Shipments[Part Name],$A48,T_Shipments[Effective_Week],84))</f>
        <v/>
      </c>
      <c r="CH48">
        <f>IF(COUNTIF(Material_Detail!$DE:$DE,$A48)&gt;0,IF(ISNUMBER(SEARCH("[済]",INDEX(Material_Detail!$D:$DC,MATCH($A48,Material_Detail!$DE:$DE,0)+1,85))),0,IFERROR(INDEX(Material_Detail!$D:$DC,MATCH($A48,Material_Detail!$DE:$DE,0),85),0)),SUMIFS(T_Shipments[Confirmed_Qty],T_Shipments[Part Name],$A48,T_Shipments[Effective_Week],85))</f>
        <v/>
      </c>
      <c r="CI48">
        <f>IF(COUNTIF(Material_Detail!$DE:$DE,$A48)&gt;0,IF(ISNUMBER(SEARCH("[済]",INDEX(Material_Detail!$D:$DC,MATCH($A48,Material_Detail!$DE:$DE,0)+1,86))),0,IFERROR(INDEX(Material_Detail!$D:$DC,MATCH($A48,Material_Detail!$DE:$DE,0),86),0)),SUMIFS(T_Shipments[Confirmed_Qty],T_Shipments[Part Name],$A48,T_Shipments[Effective_Week],86))</f>
        <v/>
      </c>
      <c r="CJ48">
        <f>IF(COUNTIF(Material_Detail!$DE:$DE,$A48)&gt;0,IF(ISNUMBER(SEARCH("[済]",INDEX(Material_Detail!$D:$DC,MATCH($A48,Material_Detail!$DE:$DE,0)+1,87))),0,IFERROR(INDEX(Material_Detail!$D:$DC,MATCH($A48,Material_Detail!$DE:$DE,0),87),0)),SUMIFS(T_Shipments[Confirmed_Qty],T_Shipments[Part Name],$A48,T_Shipments[Effective_Week],87))</f>
        <v/>
      </c>
      <c r="CK48">
        <f>IF(COUNTIF(Material_Detail!$DE:$DE,$A48)&gt;0,IF(ISNUMBER(SEARCH("[済]",INDEX(Material_Detail!$D:$DC,MATCH($A48,Material_Detail!$DE:$DE,0)+1,88))),0,IFERROR(INDEX(Material_Detail!$D:$DC,MATCH($A48,Material_Detail!$DE:$DE,0),88),0)),SUMIFS(T_Shipments[Confirmed_Qty],T_Shipments[Part Name],$A48,T_Shipments[Effective_Week],88))</f>
        <v/>
      </c>
      <c r="CL48">
        <f>IF(COUNTIF(Material_Detail!$DE:$DE,$A48)&gt;0,IF(ISNUMBER(SEARCH("[済]",INDEX(Material_Detail!$D:$DC,MATCH($A48,Material_Detail!$DE:$DE,0)+1,89))),0,IFERROR(INDEX(Material_Detail!$D:$DC,MATCH($A48,Material_Detail!$DE:$DE,0),89),0)),SUMIFS(T_Shipments[Confirmed_Qty],T_Shipments[Part Name],$A48,T_Shipments[Effective_Week],89))</f>
        <v/>
      </c>
      <c r="CM48">
        <f>IF(COUNTIF(Material_Detail!$DE:$DE,$A48)&gt;0,IF(ISNUMBER(SEARCH("[済]",INDEX(Material_Detail!$D:$DC,MATCH($A48,Material_Detail!$DE:$DE,0)+1,90))),0,IFERROR(INDEX(Material_Detail!$D:$DC,MATCH($A48,Material_Detail!$DE:$DE,0),90),0)),SUMIFS(T_Shipments[Confirmed_Qty],T_Shipments[Part Name],$A48,T_Shipments[Effective_Week],90))</f>
        <v/>
      </c>
      <c r="CN48">
        <f>IF(COUNTIF(Material_Detail!$DE:$DE,$A48)&gt;0,IF(ISNUMBER(SEARCH("[済]",INDEX(Material_Detail!$D:$DC,MATCH($A48,Material_Detail!$DE:$DE,0)+1,91))),0,IFERROR(INDEX(Material_Detail!$D:$DC,MATCH($A48,Material_Detail!$DE:$DE,0),91),0)),SUMIFS(T_Shipments[Confirmed_Qty],T_Shipments[Part Name],$A48,T_Shipments[Effective_Week],91))</f>
        <v/>
      </c>
      <c r="CO48">
        <f>IF(COUNTIF(Material_Detail!$DE:$DE,$A48)&gt;0,IF(ISNUMBER(SEARCH("[済]",INDEX(Material_Detail!$D:$DC,MATCH($A48,Material_Detail!$DE:$DE,0)+1,92))),0,IFERROR(INDEX(Material_Detail!$D:$DC,MATCH($A48,Material_Detail!$DE:$DE,0),92),0)),SUMIFS(T_Shipments[Confirmed_Qty],T_Shipments[Part Name],$A48,T_Shipments[Effective_Week],92))</f>
        <v/>
      </c>
      <c r="CP48">
        <f>IF(COUNTIF(Material_Detail!$DE:$DE,$A48)&gt;0,IF(ISNUMBER(SEARCH("[済]",INDEX(Material_Detail!$D:$DC,MATCH($A48,Material_Detail!$DE:$DE,0)+1,93))),0,IFERROR(INDEX(Material_Detail!$D:$DC,MATCH($A48,Material_Detail!$DE:$DE,0),93),0)),SUMIFS(T_Shipments[Confirmed_Qty],T_Shipments[Part Name],$A48,T_Shipments[Effective_Week],93))</f>
        <v/>
      </c>
      <c r="CQ48">
        <f>IF(COUNTIF(Material_Detail!$DE:$DE,$A48)&gt;0,IF(ISNUMBER(SEARCH("[済]",INDEX(Material_Detail!$D:$DC,MATCH($A48,Material_Detail!$DE:$DE,0)+1,94))),0,IFERROR(INDEX(Material_Detail!$D:$DC,MATCH($A48,Material_Detail!$DE:$DE,0),94),0)),SUMIFS(T_Shipments[Confirmed_Qty],T_Shipments[Part Name],$A48,T_Shipments[Effective_Week],94))</f>
        <v/>
      </c>
      <c r="CR48">
        <f>IF(COUNTIF(Material_Detail!$DE:$DE,$A48)&gt;0,IF(ISNUMBER(SEARCH("[済]",INDEX(Material_Detail!$D:$DC,MATCH($A48,Material_Detail!$DE:$DE,0)+1,95))),0,IFERROR(INDEX(Material_Detail!$D:$DC,MATCH($A48,Material_Detail!$DE:$DE,0),95),0)),SUMIFS(T_Shipments[Confirmed_Qty],T_Shipments[Part Name],$A48,T_Shipments[Effective_Week],95))</f>
        <v/>
      </c>
      <c r="CS48">
        <f>IF(COUNTIF(Material_Detail!$DE:$DE,$A48)&gt;0,IF(ISNUMBER(SEARCH("[済]",INDEX(Material_Detail!$D:$DC,MATCH($A48,Material_Detail!$DE:$DE,0)+1,96))),0,IFERROR(INDEX(Material_Detail!$D:$DC,MATCH($A48,Material_Detail!$DE:$DE,0),96),0)),SUMIFS(T_Shipments[Confirmed_Qty],T_Shipments[Part Name],$A48,T_Shipments[Effective_Week],96))</f>
        <v/>
      </c>
      <c r="CT48">
        <f>IF(COUNTIF(Material_Detail!$DE:$DE,$A48)&gt;0,IF(ISNUMBER(SEARCH("[済]",INDEX(Material_Detail!$D:$DC,MATCH($A48,Material_Detail!$DE:$DE,0)+1,97))),0,IFERROR(INDEX(Material_Detail!$D:$DC,MATCH($A48,Material_Detail!$DE:$DE,0),97),0)),SUMIFS(T_Shipments[Confirmed_Qty],T_Shipments[Part Name],$A48,T_Shipments[Effective_Week],97))</f>
        <v/>
      </c>
      <c r="CU48">
        <f>IF(COUNTIF(Material_Detail!$DE:$DE,$A48)&gt;0,IF(ISNUMBER(SEARCH("[済]",INDEX(Material_Detail!$D:$DC,MATCH($A48,Material_Detail!$DE:$DE,0)+1,98))),0,IFERROR(INDEX(Material_Detail!$D:$DC,MATCH($A48,Material_Detail!$DE:$DE,0),98),0)),SUMIFS(T_Shipments[Confirmed_Qty],T_Shipments[Part Name],$A48,T_Shipments[Effective_Week],98))</f>
        <v/>
      </c>
      <c r="CV48">
        <f>IF(COUNTIF(Material_Detail!$DE:$DE,$A48)&gt;0,IF(ISNUMBER(SEARCH("[済]",INDEX(Material_Detail!$D:$DC,MATCH($A48,Material_Detail!$DE:$DE,0)+1,99))),0,IFERROR(INDEX(Material_Detail!$D:$DC,MATCH($A48,Material_Detail!$DE:$DE,0),99),0)),SUMIFS(T_Shipments[Confirmed_Qty],T_Shipments[Part Name],$A48,T_Shipments[Effective_Week],99))</f>
        <v/>
      </c>
      <c r="CW48">
        <f>IF(COUNTIF(Material_Detail!$DE:$DE,$A48)&gt;0,IF(ISNUMBER(SEARCH("[済]",INDEX(Material_Detail!$D:$DC,MATCH($A48,Material_Detail!$DE:$DE,0)+1,100))),0,IFERROR(INDEX(Material_Detail!$D:$DC,MATCH($A48,Material_Detail!$DE:$DE,0),100),0)),SUMIFS(T_Shipments[Confirmed_Qty],T_Shipments[Part Name],$A48,T_Shipments[Effective_Week],100))</f>
        <v/>
      </c>
      <c r="CX48">
        <f>IF(COUNTIF(Material_Detail!$DE:$DE,$A48)&gt;0,IF(ISNUMBER(SEARCH("[済]",INDEX(Material_Detail!$D:$DC,MATCH($A48,Material_Detail!$DE:$DE,0)+1,101))),0,IFERROR(INDEX(Material_Detail!$D:$DC,MATCH($A48,Material_Detail!$DE:$DE,0),101),0)),SUMIFS(T_Shipments[Confirmed_Qty],T_Shipments[Part Name],$A48,T_Shipments[Effective_Week],101))</f>
        <v/>
      </c>
      <c r="CY48">
        <f>IF(COUNTIF(Material_Detail!$DE:$DE,$A48)&gt;0,IF(ISNUMBER(SEARCH("[済]",INDEX(Material_Detail!$D:$DC,MATCH($A48,Material_Detail!$DE:$DE,0)+1,102))),0,IFERROR(INDEX(Material_Detail!$D:$DC,MATCH($A48,Material_Detail!$DE:$DE,0),102),0)),SUMIFS(T_Shipments[Confirmed_Qty],T_Shipments[Part Name],$A48,T_Shipments[Effective_Week],102))</f>
        <v/>
      </c>
      <c r="CZ48">
        <f>IF(COUNTIF(Material_Detail!$DE:$DE,$A48)&gt;0,IF(ISNUMBER(SEARCH("[済]",INDEX(Material_Detail!$D:$DC,MATCH($A48,Material_Detail!$DE:$DE,0)+1,103))),0,IFERROR(INDEX(Material_Detail!$D:$DC,MATCH($A48,Material_Detail!$DE:$DE,0),103),0)),SUMIFS(T_Shipments[Confirmed_Qty],T_Shipments[Part Name],$A48,T_Shipments[Effective_Week],103))</f>
        <v/>
      </c>
      <c r="DA48">
        <f>IF(COUNTIF(Material_Detail!$DE:$DE,$A48)&gt;0,IF(ISNUMBER(SEARCH("[済]",INDEX(Material_Detail!$D:$DC,MATCH($A48,Material_Detail!$DE:$DE,0)+1,104))),0,IFERROR(INDEX(Material_Detail!$D:$DC,MATCH($A48,Material_Detail!$DE:$DE,0),104),0)),SUMIFS(T_Shipments[Confirmed_Qty],T_Shipments[Part Name],$A48,T_Shipments[Effective_Week],104))</f>
        <v/>
      </c>
    </row>
    <row r="49">
      <c r="A49" t="inlineStr">
        <is>
          <t>CHEM-1010</t>
        </is>
      </c>
      <c r="B49">
        <f>IF(COUNTIF(Material_Detail!$DE:$DE,$A49)&gt;0,IF(ISNUMBER(SEARCH("[済]",INDEX(Material_Detail!$D:$DC,MATCH($A49,Material_Detail!$DE:$DE,0)+1,1))),0,IFERROR(INDEX(Material_Detail!$D:$DC,MATCH($A49,Material_Detail!$DE:$DE,0),1),0)),SUMIFS(T_Shipments[Confirmed_Qty],T_Shipments[Part Name],$A49,T_Shipments[Effective_Week],1))</f>
        <v/>
      </c>
      <c r="C49">
        <f>IF(COUNTIF(Material_Detail!$DE:$DE,$A49)&gt;0,IF(ISNUMBER(SEARCH("[済]",INDEX(Material_Detail!$D:$DC,MATCH($A49,Material_Detail!$DE:$DE,0)+1,2))),0,IFERROR(INDEX(Material_Detail!$D:$DC,MATCH($A49,Material_Detail!$DE:$DE,0),2),0)),SUMIFS(T_Shipments[Confirmed_Qty],T_Shipments[Part Name],$A49,T_Shipments[Effective_Week],2))</f>
        <v/>
      </c>
      <c r="D49">
        <f>IF(COUNTIF(Material_Detail!$DE:$DE,$A49)&gt;0,IF(ISNUMBER(SEARCH("[済]",INDEX(Material_Detail!$D:$DC,MATCH($A49,Material_Detail!$DE:$DE,0)+1,3))),0,IFERROR(INDEX(Material_Detail!$D:$DC,MATCH($A49,Material_Detail!$DE:$DE,0),3),0)),SUMIFS(T_Shipments[Confirmed_Qty],T_Shipments[Part Name],$A49,T_Shipments[Effective_Week],3))</f>
        <v/>
      </c>
      <c r="E49">
        <f>IF(COUNTIF(Material_Detail!$DE:$DE,$A49)&gt;0,IF(ISNUMBER(SEARCH("[済]",INDEX(Material_Detail!$D:$DC,MATCH($A49,Material_Detail!$DE:$DE,0)+1,4))),0,IFERROR(INDEX(Material_Detail!$D:$DC,MATCH($A49,Material_Detail!$DE:$DE,0),4),0)),SUMIFS(T_Shipments[Confirmed_Qty],T_Shipments[Part Name],$A49,T_Shipments[Effective_Week],4))</f>
        <v/>
      </c>
      <c r="F49">
        <f>IF(COUNTIF(Material_Detail!$DE:$DE,$A49)&gt;0,IF(ISNUMBER(SEARCH("[済]",INDEX(Material_Detail!$D:$DC,MATCH($A49,Material_Detail!$DE:$DE,0)+1,5))),0,IFERROR(INDEX(Material_Detail!$D:$DC,MATCH($A49,Material_Detail!$DE:$DE,0),5),0)),SUMIFS(T_Shipments[Confirmed_Qty],T_Shipments[Part Name],$A49,T_Shipments[Effective_Week],5))</f>
        <v/>
      </c>
      <c r="G49">
        <f>IF(COUNTIF(Material_Detail!$DE:$DE,$A49)&gt;0,IF(ISNUMBER(SEARCH("[済]",INDEX(Material_Detail!$D:$DC,MATCH($A49,Material_Detail!$DE:$DE,0)+1,6))),0,IFERROR(INDEX(Material_Detail!$D:$DC,MATCH($A49,Material_Detail!$DE:$DE,0),6),0)),SUMIFS(T_Shipments[Confirmed_Qty],T_Shipments[Part Name],$A49,T_Shipments[Effective_Week],6))</f>
        <v/>
      </c>
      <c r="H49">
        <f>IF(COUNTIF(Material_Detail!$DE:$DE,$A49)&gt;0,IF(ISNUMBER(SEARCH("[済]",INDEX(Material_Detail!$D:$DC,MATCH($A49,Material_Detail!$DE:$DE,0)+1,7))),0,IFERROR(INDEX(Material_Detail!$D:$DC,MATCH($A49,Material_Detail!$DE:$DE,0),7),0)),SUMIFS(T_Shipments[Confirmed_Qty],T_Shipments[Part Name],$A49,T_Shipments[Effective_Week],7))</f>
        <v/>
      </c>
      <c r="I49">
        <f>IF(COUNTIF(Material_Detail!$DE:$DE,$A49)&gt;0,IF(ISNUMBER(SEARCH("[済]",INDEX(Material_Detail!$D:$DC,MATCH($A49,Material_Detail!$DE:$DE,0)+1,8))),0,IFERROR(INDEX(Material_Detail!$D:$DC,MATCH($A49,Material_Detail!$DE:$DE,0),8),0)),SUMIFS(T_Shipments[Confirmed_Qty],T_Shipments[Part Name],$A49,T_Shipments[Effective_Week],8))</f>
        <v/>
      </c>
      <c r="J49">
        <f>IF(COUNTIF(Material_Detail!$DE:$DE,$A49)&gt;0,IF(ISNUMBER(SEARCH("[済]",INDEX(Material_Detail!$D:$DC,MATCH($A49,Material_Detail!$DE:$DE,0)+1,9))),0,IFERROR(INDEX(Material_Detail!$D:$DC,MATCH($A49,Material_Detail!$DE:$DE,0),9),0)),SUMIFS(T_Shipments[Confirmed_Qty],T_Shipments[Part Name],$A49,T_Shipments[Effective_Week],9))</f>
        <v/>
      </c>
      <c r="K49">
        <f>IF(COUNTIF(Material_Detail!$DE:$DE,$A49)&gt;0,IF(ISNUMBER(SEARCH("[済]",INDEX(Material_Detail!$D:$DC,MATCH($A49,Material_Detail!$DE:$DE,0)+1,10))),0,IFERROR(INDEX(Material_Detail!$D:$DC,MATCH($A49,Material_Detail!$DE:$DE,0),10),0)),SUMIFS(T_Shipments[Confirmed_Qty],T_Shipments[Part Name],$A49,T_Shipments[Effective_Week],10))</f>
        <v/>
      </c>
      <c r="L49">
        <f>IF(COUNTIF(Material_Detail!$DE:$DE,$A49)&gt;0,IF(ISNUMBER(SEARCH("[済]",INDEX(Material_Detail!$D:$DC,MATCH($A49,Material_Detail!$DE:$DE,0)+1,11))),0,IFERROR(INDEX(Material_Detail!$D:$DC,MATCH($A49,Material_Detail!$DE:$DE,0),11),0)),SUMIFS(T_Shipments[Confirmed_Qty],T_Shipments[Part Name],$A49,T_Shipments[Effective_Week],11))</f>
        <v/>
      </c>
      <c r="M49">
        <f>IF(COUNTIF(Material_Detail!$DE:$DE,$A49)&gt;0,IF(ISNUMBER(SEARCH("[済]",INDEX(Material_Detail!$D:$DC,MATCH($A49,Material_Detail!$DE:$DE,0)+1,12))),0,IFERROR(INDEX(Material_Detail!$D:$DC,MATCH($A49,Material_Detail!$DE:$DE,0),12),0)),SUMIFS(T_Shipments[Confirmed_Qty],T_Shipments[Part Name],$A49,T_Shipments[Effective_Week],12))</f>
        <v/>
      </c>
      <c r="N49">
        <f>IF(COUNTIF(Material_Detail!$DE:$DE,$A49)&gt;0,IF(ISNUMBER(SEARCH("[済]",INDEX(Material_Detail!$D:$DC,MATCH($A49,Material_Detail!$DE:$DE,0)+1,13))),0,IFERROR(INDEX(Material_Detail!$D:$DC,MATCH($A49,Material_Detail!$DE:$DE,0),13),0)),SUMIFS(T_Shipments[Confirmed_Qty],T_Shipments[Part Name],$A49,T_Shipments[Effective_Week],13))</f>
        <v/>
      </c>
      <c r="O49">
        <f>IF(COUNTIF(Material_Detail!$DE:$DE,$A49)&gt;0,IF(ISNUMBER(SEARCH("[済]",INDEX(Material_Detail!$D:$DC,MATCH($A49,Material_Detail!$DE:$DE,0)+1,14))),0,IFERROR(INDEX(Material_Detail!$D:$DC,MATCH($A49,Material_Detail!$DE:$DE,0),14),0)),SUMIFS(T_Shipments[Confirmed_Qty],T_Shipments[Part Name],$A49,T_Shipments[Effective_Week],14))</f>
        <v/>
      </c>
      <c r="P49">
        <f>IF(COUNTIF(Material_Detail!$DE:$DE,$A49)&gt;0,IF(ISNUMBER(SEARCH("[済]",INDEX(Material_Detail!$D:$DC,MATCH($A49,Material_Detail!$DE:$DE,0)+1,15))),0,IFERROR(INDEX(Material_Detail!$D:$DC,MATCH($A49,Material_Detail!$DE:$DE,0),15),0)),SUMIFS(T_Shipments[Confirmed_Qty],T_Shipments[Part Name],$A49,T_Shipments[Effective_Week],15))</f>
        <v/>
      </c>
      <c r="Q49">
        <f>IF(COUNTIF(Material_Detail!$DE:$DE,$A49)&gt;0,IF(ISNUMBER(SEARCH("[済]",INDEX(Material_Detail!$D:$DC,MATCH($A49,Material_Detail!$DE:$DE,0)+1,16))),0,IFERROR(INDEX(Material_Detail!$D:$DC,MATCH($A49,Material_Detail!$DE:$DE,0),16),0)),SUMIFS(T_Shipments[Confirmed_Qty],T_Shipments[Part Name],$A49,T_Shipments[Effective_Week],16))</f>
        <v/>
      </c>
      <c r="R49">
        <f>IF(COUNTIF(Material_Detail!$DE:$DE,$A49)&gt;0,IF(ISNUMBER(SEARCH("[済]",INDEX(Material_Detail!$D:$DC,MATCH($A49,Material_Detail!$DE:$DE,0)+1,17))),0,IFERROR(INDEX(Material_Detail!$D:$DC,MATCH($A49,Material_Detail!$DE:$DE,0),17),0)),SUMIFS(T_Shipments[Confirmed_Qty],T_Shipments[Part Name],$A49,T_Shipments[Effective_Week],17))</f>
        <v/>
      </c>
      <c r="S49">
        <f>IF(COUNTIF(Material_Detail!$DE:$DE,$A49)&gt;0,IF(ISNUMBER(SEARCH("[済]",INDEX(Material_Detail!$D:$DC,MATCH($A49,Material_Detail!$DE:$DE,0)+1,18))),0,IFERROR(INDEX(Material_Detail!$D:$DC,MATCH($A49,Material_Detail!$DE:$DE,0),18),0)),SUMIFS(T_Shipments[Confirmed_Qty],T_Shipments[Part Name],$A49,T_Shipments[Effective_Week],18))</f>
        <v/>
      </c>
      <c r="T49">
        <f>IF(COUNTIF(Material_Detail!$DE:$DE,$A49)&gt;0,IF(ISNUMBER(SEARCH("[済]",INDEX(Material_Detail!$D:$DC,MATCH($A49,Material_Detail!$DE:$DE,0)+1,19))),0,IFERROR(INDEX(Material_Detail!$D:$DC,MATCH($A49,Material_Detail!$DE:$DE,0),19),0)),SUMIFS(T_Shipments[Confirmed_Qty],T_Shipments[Part Name],$A49,T_Shipments[Effective_Week],19))</f>
        <v/>
      </c>
      <c r="U49">
        <f>IF(COUNTIF(Material_Detail!$DE:$DE,$A49)&gt;0,IF(ISNUMBER(SEARCH("[済]",INDEX(Material_Detail!$D:$DC,MATCH($A49,Material_Detail!$DE:$DE,0)+1,20))),0,IFERROR(INDEX(Material_Detail!$D:$DC,MATCH($A49,Material_Detail!$DE:$DE,0),20),0)),SUMIFS(T_Shipments[Confirmed_Qty],T_Shipments[Part Name],$A49,T_Shipments[Effective_Week],20))</f>
        <v/>
      </c>
      <c r="V49">
        <f>IF(COUNTIF(Material_Detail!$DE:$DE,$A49)&gt;0,IF(ISNUMBER(SEARCH("[済]",INDEX(Material_Detail!$D:$DC,MATCH($A49,Material_Detail!$DE:$DE,0)+1,21))),0,IFERROR(INDEX(Material_Detail!$D:$DC,MATCH($A49,Material_Detail!$DE:$DE,0),21),0)),SUMIFS(T_Shipments[Confirmed_Qty],T_Shipments[Part Name],$A49,T_Shipments[Effective_Week],21))</f>
        <v/>
      </c>
      <c r="W49">
        <f>IF(COUNTIF(Material_Detail!$DE:$DE,$A49)&gt;0,IF(ISNUMBER(SEARCH("[済]",INDEX(Material_Detail!$D:$DC,MATCH($A49,Material_Detail!$DE:$DE,0)+1,22))),0,IFERROR(INDEX(Material_Detail!$D:$DC,MATCH($A49,Material_Detail!$DE:$DE,0),22),0)),SUMIFS(T_Shipments[Confirmed_Qty],T_Shipments[Part Name],$A49,T_Shipments[Effective_Week],22))</f>
        <v/>
      </c>
      <c r="X49">
        <f>IF(COUNTIF(Material_Detail!$DE:$DE,$A49)&gt;0,IF(ISNUMBER(SEARCH("[済]",INDEX(Material_Detail!$D:$DC,MATCH($A49,Material_Detail!$DE:$DE,0)+1,23))),0,IFERROR(INDEX(Material_Detail!$D:$DC,MATCH($A49,Material_Detail!$DE:$DE,0),23),0)),SUMIFS(T_Shipments[Confirmed_Qty],T_Shipments[Part Name],$A49,T_Shipments[Effective_Week],23))</f>
        <v/>
      </c>
      <c r="Y49">
        <f>IF(COUNTIF(Material_Detail!$DE:$DE,$A49)&gt;0,IF(ISNUMBER(SEARCH("[済]",INDEX(Material_Detail!$D:$DC,MATCH($A49,Material_Detail!$DE:$DE,0)+1,24))),0,IFERROR(INDEX(Material_Detail!$D:$DC,MATCH($A49,Material_Detail!$DE:$DE,0),24),0)),SUMIFS(T_Shipments[Confirmed_Qty],T_Shipments[Part Name],$A49,T_Shipments[Effective_Week],24))</f>
        <v/>
      </c>
      <c r="Z49">
        <f>IF(COUNTIF(Material_Detail!$DE:$DE,$A49)&gt;0,IF(ISNUMBER(SEARCH("[済]",INDEX(Material_Detail!$D:$DC,MATCH($A49,Material_Detail!$DE:$DE,0)+1,25))),0,IFERROR(INDEX(Material_Detail!$D:$DC,MATCH($A49,Material_Detail!$DE:$DE,0),25),0)),SUMIFS(T_Shipments[Confirmed_Qty],T_Shipments[Part Name],$A49,T_Shipments[Effective_Week],25))</f>
        <v/>
      </c>
      <c r="AA49">
        <f>IF(COUNTIF(Material_Detail!$DE:$DE,$A49)&gt;0,IF(ISNUMBER(SEARCH("[済]",INDEX(Material_Detail!$D:$DC,MATCH($A49,Material_Detail!$DE:$DE,0)+1,26))),0,IFERROR(INDEX(Material_Detail!$D:$DC,MATCH($A49,Material_Detail!$DE:$DE,0),26),0)),SUMIFS(T_Shipments[Confirmed_Qty],T_Shipments[Part Name],$A49,T_Shipments[Effective_Week],26))</f>
        <v/>
      </c>
      <c r="AB49">
        <f>IF(COUNTIF(Material_Detail!$DE:$DE,$A49)&gt;0,IF(ISNUMBER(SEARCH("[済]",INDEX(Material_Detail!$D:$DC,MATCH($A49,Material_Detail!$DE:$DE,0)+1,27))),0,IFERROR(INDEX(Material_Detail!$D:$DC,MATCH($A49,Material_Detail!$DE:$DE,0),27),0)),SUMIFS(T_Shipments[Confirmed_Qty],T_Shipments[Part Name],$A49,T_Shipments[Effective_Week],27))</f>
        <v/>
      </c>
      <c r="AC49">
        <f>IF(COUNTIF(Material_Detail!$DE:$DE,$A49)&gt;0,IF(ISNUMBER(SEARCH("[済]",INDEX(Material_Detail!$D:$DC,MATCH($A49,Material_Detail!$DE:$DE,0)+1,28))),0,IFERROR(INDEX(Material_Detail!$D:$DC,MATCH($A49,Material_Detail!$DE:$DE,0),28),0)),SUMIFS(T_Shipments[Confirmed_Qty],T_Shipments[Part Name],$A49,T_Shipments[Effective_Week],28))</f>
        <v/>
      </c>
      <c r="AD49">
        <f>IF(COUNTIF(Material_Detail!$DE:$DE,$A49)&gt;0,IF(ISNUMBER(SEARCH("[済]",INDEX(Material_Detail!$D:$DC,MATCH($A49,Material_Detail!$DE:$DE,0)+1,29))),0,IFERROR(INDEX(Material_Detail!$D:$DC,MATCH($A49,Material_Detail!$DE:$DE,0),29),0)),SUMIFS(T_Shipments[Confirmed_Qty],T_Shipments[Part Name],$A49,T_Shipments[Effective_Week],29))</f>
        <v/>
      </c>
      <c r="AE49">
        <f>IF(COUNTIF(Material_Detail!$DE:$DE,$A49)&gt;0,IF(ISNUMBER(SEARCH("[済]",INDEX(Material_Detail!$D:$DC,MATCH($A49,Material_Detail!$DE:$DE,0)+1,30))),0,IFERROR(INDEX(Material_Detail!$D:$DC,MATCH($A49,Material_Detail!$DE:$DE,0),30),0)),SUMIFS(T_Shipments[Confirmed_Qty],T_Shipments[Part Name],$A49,T_Shipments[Effective_Week],30))</f>
        <v/>
      </c>
      <c r="AF49">
        <f>IF(COUNTIF(Material_Detail!$DE:$DE,$A49)&gt;0,IF(ISNUMBER(SEARCH("[済]",INDEX(Material_Detail!$D:$DC,MATCH($A49,Material_Detail!$DE:$DE,0)+1,31))),0,IFERROR(INDEX(Material_Detail!$D:$DC,MATCH($A49,Material_Detail!$DE:$DE,0),31),0)),SUMIFS(T_Shipments[Confirmed_Qty],T_Shipments[Part Name],$A49,T_Shipments[Effective_Week],31))</f>
        <v/>
      </c>
      <c r="AG49">
        <f>IF(COUNTIF(Material_Detail!$DE:$DE,$A49)&gt;0,IF(ISNUMBER(SEARCH("[済]",INDEX(Material_Detail!$D:$DC,MATCH($A49,Material_Detail!$DE:$DE,0)+1,32))),0,IFERROR(INDEX(Material_Detail!$D:$DC,MATCH($A49,Material_Detail!$DE:$DE,0),32),0)),SUMIFS(T_Shipments[Confirmed_Qty],T_Shipments[Part Name],$A49,T_Shipments[Effective_Week],32))</f>
        <v/>
      </c>
      <c r="AH49">
        <f>IF(COUNTIF(Material_Detail!$DE:$DE,$A49)&gt;0,IF(ISNUMBER(SEARCH("[済]",INDEX(Material_Detail!$D:$DC,MATCH($A49,Material_Detail!$DE:$DE,0)+1,33))),0,IFERROR(INDEX(Material_Detail!$D:$DC,MATCH($A49,Material_Detail!$DE:$DE,0),33),0)),SUMIFS(T_Shipments[Confirmed_Qty],T_Shipments[Part Name],$A49,T_Shipments[Effective_Week],33))</f>
        <v/>
      </c>
      <c r="AI49">
        <f>IF(COUNTIF(Material_Detail!$DE:$DE,$A49)&gt;0,IF(ISNUMBER(SEARCH("[済]",INDEX(Material_Detail!$D:$DC,MATCH($A49,Material_Detail!$DE:$DE,0)+1,34))),0,IFERROR(INDEX(Material_Detail!$D:$DC,MATCH($A49,Material_Detail!$DE:$DE,0),34),0)),SUMIFS(T_Shipments[Confirmed_Qty],T_Shipments[Part Name],$A49,T_Shipments[Effective_Week],34))</f>
        <v/>
      </c>
      <c r="AJ49">
        <f>IF(COUNTIF(Material_Detail!$DE:$DE,$A49)&gt;0,IF(ISNUMBER(SEARCH("[済]",INDEX(Material_Detail!$D:$DC,MATCH($A49,Material_Detail!$DE:$DE,0)+1,35))),0,IFERROR(INDEX(Material_Detail!$D:$DC,MATCH($A49,Material_Detail!$DE:$DE,0),35),0)),SUMIFS(T_Shipments[Confirmed_Qty],T_Shipments[Part Name],$A49,T_Shipments[Effective_Week],35))</f>
        <v/>
      </c>
      <c r="AK49">
        <f>IF(COUNTIF(Material_Detail!$DE:$DE,$A49)&gt;0,IF(ISNUMBER(SEARCH("[済]",INDEX(Material_Detail!$D:$DC,MATCH($A49,Material_Detail!$DE:$DE,0)+1,36))),0,IFERROR(INDEX(Material_Detail!$D:$DC,MATCH($A49,Material_Detail!$DE:$DE,0),36),0)),SUMIFS(T_Shipments[Confirmed_Qty],T_Shipments[Part Name],$A49,T_Shipments[Effective_Week],36))</f>
        <v/>
      </c>
      <c r="AL49">
        <f>IF(COUNTIF(Material_Detail!$DE:$DE,$A49)&gt;0,IF(ISNUMBER(SEARCH("[済]",INDEX(Material_Detail!$D:$DC,MATCH($A49,Material_Detail!$DE:$DE,0)+1,37))),0,IFERROR(INDEX(Material_Detail!$D:$DC,MATCH($A49,Material_Detail!$DE:$DE,0),37),0)),SUMIFS(T_Shipments[Confirmed_Qty],T_Shipments[Part Name],$A49,T_Shipments[Effective_Week],37))</f>
        <v/>
      </c>
      <c r="AM49">
        <f>IF(COUNTIF(Material_Detail!$DE:$DE,$A49)&gt;0,IF(ISNUMBER(SEARCH("[済]",INDEX(Material_Detail!$D:$DC,MATCH($A49,Material_Detail!$DE:$DE,0)+1,38))),0,IFERROR(INDEX(Material_Detail!$D:$DC,MATCH($A49,Material_Detail!$DE:$DE,0),38),0)),SUMIFS(T_Shipments[Confirmed_Qty],T_Shipments[Part Name],$A49,T_Shipments[Effective_Week],38))</f>
        <v/>
      </c>
      <c r="AN49">
        <f>IF(COUNTIF(Material_Detail!$DE:$DE,$A49)&gt;0,IF(ISNUMBER(SEARCH("[済]",INDEX(Material_Detail!$D:$DC,MATCH($A49,Material_Detail!$DE:$DE,0)+1,39))),0,IFERROR(INDEX(Material_Detail!$D:$DC,MATCH($A49,Material_Detail!$DE:$DE,0),39),0)),SUMIFS(T_Shipments[Confirmed_Qty],T_Shipments[Part Name],$A49,T_Shipments[Effective_Week],39))</f>
        <v/>
      </c>
      <c r="AO49">
        <f>IF(COUNTIF(Material_Detail!$DE:$DE,$A49)&gt;0,IF(ISNUMBER(SEARCH("[済]",INDEX(Material_Detail!$D:$DC,MATCH($A49,Material_Detail!$DE:$DE,0)+1,40))),0,IFERROR(INDEX(Material_Detail!$D:$DC,MATCH($A49,Material_Detail!$DE:$DE,0),40),0)),SUMIFS(T_Shipments[Confirmed_Qty],T_Shipments[Part Name],$A49,T_Shipments[Effective_Week],40))</f>
        <v/>
      </c>
      <c r="AP49">
        <f>IF(COUNTIF(Material_Detail!$DE:$DE,$A49)&gt;0,IF(ISNUMBER(SEARCH("[済]",INDEX(Material_Detail!$D:$DC,MATCH($A49,Material_Detail!$DE:$DE,0)+1,41))),0,IFERROR(INDEX(Material_Detail!$D:$DC,MATCH($A49,Material_Detail!$DE:$DE,0),41),0)),SUMIFS(T_Shipments[Confirmed_Qty],T_Shipments[Part Name],$A49,T_Shipments[Effective_Week],41))</f>
        <v/>
      </c>
      <c r="AQ49">
        <f>IF(COUNTIF(Material_Detail!$DE:$DE,$A49)&gt;0,IF(ISNUMBER(SEARCH("[済]",INDEX(Material_Detail!$D:$DC,MATCH($A49,Material_Detail!$DE:$DE,0)+1,42))),0,IFERROR(INDEX(Material_Detail!$D:$DC,MATCH($A49,Material_Detail!$DE:$DE,0),42),0)),SUMIFS(T_Shipments[Confirmed_Qty],T_Shipments[Part Name],$A49,T_Shipments[Effective_Week],42))</f>
        <v/>
      </c>
      <c r="AR49">
        <f>IF(COUNTIF(Material_Detail!$DE:$DE,$A49)&gt;0,IF(ISNUMBER(SEARCH("[済]",INDEX(Material_Detail!$D:$DC,MATCH($A49,Material_Detail!$DE:$DE,0)+1,43))),0,IFERROR(INDEX(Material_Detail!$D:$DC,MATCH($A49,Material_Detail!$DE:$DE,0),43),0)),SUMIFS(T_Shipments[Confirmed_Qty],T_Shipments[Part Name],$A49,T_Shipments[Effective_Week],43))</f>
        <v/>
      </c>
      <c r="AS49">
        <f>IF(COUNTIF(Material_Detail!$DE:$DE,$A49)&gt;0,IF(ISNUMBER(SEARCH("[済]",INDEX(Material_Detail!$D:$DC,MATCH($A49,Material_Detail!$DE:$DE,0)+1,44))),0,IFERROR(INDEX(Material_Detail!$D:$DC,MATCH($A49,Material_Detail!$DE:$DE,0),44),0)),SUMIFS(T_Shipments[Confirmed_Qty],T_Shipments[Part Name],$A49,T_Shipments[Effective_Week],44))</f>
        <v/>
      </c>
      <c r="AT49">
        <f>IF(COUNTIF(Material_Detail!$DE:$DE,$A49)&gt;0,IF(ISNUMBER(SEARCH("[済]",INDEX(Material_Detail!$D:$DC,MATCH($A49,Material_Detail!$DE:$DE,0)+1,45))),0,IFERROR(INDEX(Material_Detail!$D:$DC,MATCH($A49,Material_Detail!$DE:$DE,0),45),0)),SUMIFS(T_Shipments[Confirmed_Qty],T_Shipments[Part Name],$A49,T_Shipments[Effective_Week],45))</f>
        <v/>
      </c>
      <c r="AU49">
        <f>IF(COUNTIF(Material_Detail!$DE:$DE,$A49)&gt;0,IF(ISNUMBER(SEARCH("[済]",INDEX(Material_Detail!$D:$DC,MATCH($A49,Material_Detail!$DE:$DE,0)+1,46))),0,IFERROR(INDEX(Material_Detail!$D:$DC,MATCH($A49,Material_Detail!$DE:$DE,0),46),0)),SUMIFS(T_Shipments[Confirmed_Qty],T_Shipments[Part Name],$A49,T_Shipments[Effective_Week],46))</f>
        <v/>
      </c>
      <c r="AV49">
        <f>IF(COUNTIF(Material_Detail!$DE:$DE,$A49)&gt;0,IF(ISNUMBER(SEARCH("[済]",INDEX(Material_Detail!$D:$DC,MATCH($A49,Material_Detail!$DE:$DE,0)+1,47))),0,IFERROR(INDEX(Material_Detail!$D:$DC,MATCH($A49,Material_Detail!$DE:$DE,0),47),0)),SUMIFS(T_Shipments[Confirmed_Qty],T_Shipments[Part Name],$A49,T_Shipments[Effective_Week],47))</f>
        <v/>
      </c>
      <c r="AW49">
        <f>IF(COUNTIF(Material_Detail!$DE:$DE,$A49)&gt;0,IF(ISNUMBER(SEARCH("[済]",INDEX(Material_Detail!$D:$DC,MATCH($A49,Material_Detail!$DE:$DE,0)+1,48))),0,IFERROR(INDEX(Material_Detail!$D:$DC,MATCH($A49,Material_Detail!$DE:$DE,0),48),0)),SUMIFS(T_Shipments[Confirmed_Qty],T_Shipments[Part Name],$A49,T_Shipments[Effective_Week],48))</f>
        <v/>
      </c>
      <c r="AX49">
        <f>IF(COUNTIF(Material_Detail!$DE:$DE,$A49)&gt;0,IF(ISNUMBER(SEARCH("[済]",INDEX(Material_Detail!$D:$DC,MATCH($A49,Material_Detail!$DE:$DE,0)+1,49))),0,IFERROR(INDEX(Material_Detail!$D:$DC,MATCH($A49,Material_Detail!$DE:$DE,0),49),0)),SUMIFS(T_Shipments[Confirmed_Qty],T_Shipments[Part Name],$A49,T_Shipments[Effective_Week],49))</f>
        <v/>
      </c>
      <c r="AY49">
        <f>IF(COUNTIF(Material_Detail!$DE:$DE,$A49)&gt;0,IF(ISNUMBER(SEARCH("[済]",INDEX(Material_Detail!$D:$DC,MATCH($A49,Material_Detail!$DE:$DE,0)+1,50))),0,IFERROR(INDEX(Material_Detail!$D:$DC,MATCH($A49,Material_Detail!$DE:$DE,0),50),0)),SUMIFS(T_Shipments[Confirmed_Qty],T_Shipments[Part Name],$A49,T_Shipments[Effective_Week],50))</f>
        <v/>
      </c>
      <c r="AZ49">
        <f>IF(COUNTIF(Material_Detail!$DE:$DE,$A49)&gt;0,IF(ISNUMBER(SEARCH("[済]",INDEX(Material_Detail!$D:$DC,MATCH($A49,Material_Detail!$DE:$DE,0)+1,51))),0,IFERROR(INDEX(Material_Detail!$D:$DC,MATCH($A49,Material_Detail!$DE:$DE,0),51),0)),SUMIFS(T_Shipments[Confirmed_Qty],T_Shipments[Part Name],$A49,T_Shipments[Effective_Week],51))</f>
        <v/>
      </c>
      <c r="BA49">
        <f>IF(COUNTIF(Material_Detail!$DE:$DE,$A49)&gt;0,IF(ISNUMBER(SEARCH("[済]",INDEX(Material_Detail!$D:$DC,MATCH($A49,Material_Detail!$DE:$DE,0)+1,52))),0,IFERROR(INDEX(Material_Detail!$D:$DC,MATCH($A49,Material_Detail!$DE:$DE,0),52),0)),SUMIFS(T_Shipments[Confirmed_Qty],T_Shipments[Part Name],$A49,T_Shipments[Effective_Week],52))</f>
        <v/>
      </c>
      <c r="BB49">
        <f>IF(COUNTIF(Material_Detail!$DE:$DE,$A49)&gt;0,IF(ISNUMBER(SEARCH("[済]",INDEX(Material_Detail!$D:$DC,MATCH($A49,Material_Detail!$DE:$DE,0)+1,53))),0,IFERROR(INDEX(Material_Detail!$D:$DC,MATCH($A49,Material_Detail!$DE:$DE,0),53),0)),SUMIFS(T_Shipments[Confirmed_Qty],T_Shipments[Part Name],$A49,T_Shipments[Effective_Week],53))</f>
        <v/>
      </c>
      <c r="BC49">
        <f>IF(COUNTIF(Material_Detail!$DE:$DE,$A49)&gt;0,IF(ISNUMBER(SEARCH("[済]",INDEX(Material_Detail!$D:$DC,MATCH($A49,Material_Detail!$DE:$DE,0)+1,54))),0,IFERROR(INDEX(Material_Detail!$D:$DC,MATCH($A49,Material_Detail!$DE:$DE,0),54),0)),SUMIFS(T_Shipments[Confirmed_Qty],T_Shipments[Part Name],$A49,T_Shipments[Effective_Week],54))</f>
        <v/>
      </c>
      <c r="BD49">
        <f>IF(COUNTIF(Material_Detail!$DE:$DE,$A49)&gt;0,IF(ISNUMBER(SEARCH("[済]",INDEX(Material_Detail!$D:$DC,MATCH($A49,Material_Detail!$DE:$DE,0)+1,55))),0,IFERROR(INDEX(Material_Detail!$D:$DC,MATCH($A49,Material_Detail!$DE:$DE,0),55),0)),SUMIFS(T_Shipments[Confirmed_Qty],T_Shipments[Part Name],$A49,T_Shipments[Effective_Week],55))</f>
        <v/>
      </c>
      <c r="BE49">
        <f>IF(COUNTIF(Material_Detail!$DE:$DE,$A49)&gt;0,IF(ISNUMBER(SEARCH("[済]",INDEX(Material_Detail!$D:$DC,MATCH($A49,Material_Detail!$DE:$DE,0)+1,56))),0,IFERROR(INDEX(Material_Detail!$D:$DC,MATCH($A49,Material_Detail!$DE:$DE,0),56),0)),SUMIFS(T_Shipments[Confirmed_Qty],T_Shipments[Part Name],$A49,T_Shipments[Effective_Week],56))</f>
        <v/>
      </c>
      <c r="BF49">
        <f>IF(COUNTIF(Material_Detail!$DE:$DE,$A49)&gt;0,IF(ISNUMBER(SEARCH("[済]",INDEX(Material_Detail!$D:$DC,MATCH($A49,Material_Detail!$DE:$DE,0)+1,57))),0,IFERROR(INDEX(Material_Detail!$D:$DC,MATCH($A49,Material_Detail!$DE:$DE,0),57),0)),SUMIFS(T_Shipments[Confirmed_Qty],T_Shipments[Part Name],$A49,T_Shipments[Effective_Week],57))</f>
        <v/>
      </c>
      <c r="BG49">
        <f>IF(COUNTIF(Material_Detail!$DE:$DE,$A49)&gt;0,IF(ISNUMBER(SEARCH("[済]",INDEX(Material_Detail!$D:$DC,MATCH($A49,Material_Detail!$DE:$DE,0)+1,58))),0,IFERROR(INDEX(Material_Detail!$D:$DC,MATCH($A49,Material_Detail!$DE:$DE,0),58),0)),SUMIFS(T_Shipments[Confirmed_Qty],T_Shipments[Part Name],$A49,T_Shipments[Effective_Week],58))</f>
        <v/>
      </c>
      <c r="BH49">
        <f>IF(COUNTIF(Material_Detail!$DE:$DE,$A49)&gt;0,IF(ISNUMBER(SEARCH("[済]",INDEX(Material_Detail!$D:$DC,MATCH($A49,Material_Detail!$DE:$DE,0)+1,59))),0,IFERROR(INDEX(Material_Detail!$D:$DC,MATCH($A49,Material_Detail!$DE:$DE,0),59),0)),SUMIFS(T_Shipments[Confirmed_Qty],T_Shipments[Part Name],$A49,T_Shipments[Effective_Week],59))</f>
        <v/>
      </c>
      <c r="BI49">
        <f>IF(COUNTIF(Material_Detail!$DE:$DE,$A49)&gt;0,IF(ISNUMBER(SEARCH("[済]",INDEX(Material_Detail!$D:$DC,MATCH($A49,Material_Detail!$DE:$DE,0)+1,60))),0,IFERROR(INDEX(Material_Detail!$D:$DC,MATCH($A49,Material_Detail!$DE:$DE,0),60),0)),SUMIFS(T_Shipments[Confirmed_Qty],T_Shipments[Part Name],$A49,T_Shipments[Effective_Week],60))</f>
        <v/>
      </c>
      <c r="BJ49">
        <f>IF(COUNTIF(Material_Detail!$DE:$DE,$A49)&gt;0,IF(ISNUMBER(SEARCH("[済]",INDEX(Material_Detail!$D:$DC,MATCH($A49,Material_Detail!$DE:$DE,0)+1,61))),0,IFERROR(INDEX(Material_Detail!$D:$DC,MATCH($A49,Material_Detail!$DE:$DE,0),61),0)),SUMIFS(T_Shipments[Confirmed_Qty],T_Shipments[Part Name],$A49,T_Shipments[Effective_Week],61))</f>
        <v/>
      </c>
      <c r="BK49">
        <f>IF(COUNTIF(Material_Detail!$DE:$DE,$A49)&gt;0,IF(ISNUMBER(SEARCH("[済]",INDEX(Material_Detail!$D:$DC,MATCH($A49,Material_Detail!$DE:$DE,0)+1,62))),0,IFERROR(INDEX(Material_Detail!$D:$DC,MATCH($A49,Material_Detail!$DE:$DE,0),62),0)),SUMIFS(T_Shipments[Confirmed_Qty],T_Shipments[Part Name],$A49,T_Shipments[Effective_Week],62))</f>
        <v/>
      </c>
      <c r="BL49">
        <f>IF(COUNTIF(Material_Detail!$DE:$DE,$A49)&gt;0,IF(ISNUMBER(SEARCH("[済]",INDEX(Material_Detail!$D:$DC,MATCH($A49,Material_Detail!$DE:$DE,0)+1,63))),0,IFERROR(INDEX(Material_Detail!$D:$DC,MATCH($A49,Material_Detail!$DE:$DE,0),63),0)),SUMIFS(T_Shipments[Confirmed_Qty],T_Shipments[Part Name],$A49,T_Shipments[Effective_Week],63))</f>
        <v/>
      </c>
      <c r="BM49">
        <f>IF(COUNTIF(Material_Detail!$DE:$DE,$A49)&gt;0,IF(ISNUMBER(SEARCH("[済]",INDEX(Material_Detail!$D:$DC,MATCH($A49,Material_Detail!$DE:$DE,0)+1,64))),0,IFERROR(INDEX(Material_Detail!$D:$DC,MATCH($A49,Material_Detail!$DE:$DE,0),64),0)),SUMIFS(T_Shipments[Confirmed_Qty],T_Shipments[Part Name],$A49,T_Shipments[Effective_Week],64))</f>
        <v/>
      </c>
      <c r="BN49">
        <f>IF(COUNTIF(Material_Detail!$DE:$DE,$A49)&gt;0,IF(ISNUMBER(SEARCH("[済]",INDEX(Material_Detail!$D:$DC,MATCH($A49,Material_Detail!$DE:$DE,0)+1,65))),0,IFERROR(INDEX(Material_Detail!$D:$DC,MATCH($A49,Material_Detail!$DE:$DE,0),65),0)),SUMIFS(T_Shipments[Confirmed_Qty],T_Shipments[Part Name],$A49,T_Shipments[Effective_Week],65))</f>
        <v/>
      </c>
      <c r="BO49">
        <f>IF(COUNTIF(Material_Detail!$DE:$DE,$A49)&gt;0,IF(ISNUMBER(SEARCH("[済]",INDEX(Material_Detail!$D:$DC,MATCH($A49,Material_Detail!$DE:$DE,0)+1,66))),0,IFERROR(INDEX(Material_Detail!$D:$DC,MATCH($A49,Material_Detail!$DE:$DE,0),66),0)),SUMIFS(T_Shipments[Confirmed_Qty],T_Shipments[Part Name],$A49,T_Shipments[Effective_Week],66))</f>
        <v/>
      </c>
      <c r="BP49">
        <f>IF(COUNTIF(Material_Detail!$DE:$DE,$A49)&gt;0,IF(ISNUMBER(SEARCH("[済]",INDEX(Material_Detail!$D:$DC,MATCH($A49,Material_Detail!$DE:$DE,0)+1,67))),0,IFERROR(INDEX(Material_Detail!$D:$DC,MATCH($A49,Material_Detail!$DE:$DE,0),67),0)),SUMIFS(T_Shipments[Confirmed_Qty],T_Shipments[Part Name],$A49,T_Shipments[Effective_Week],67))</f>
        <v/>
      </c>
      <c r="BQ49">
        <f>IF(COUNTIF(Material_Detail!$DE:$DE,$A49)&gt;0,IF(ISNUMBER(SEARCH("[済]",INDEX(Material_Detail!$D:$DC,MATCH($A49,Material_Detail!$DE:$DE,0)+1,68))),0,IFERROR(INDEX(Material_Detail!$D:$DC,MATCH($A49,Material_Detail!$DE:$DE,0),68),0)),SUMIFS(T_Shipments[Confirmed_Qty],T_Shipments[Part Name],$A49,T_Shipments[Effective_Week],68))</f>
        <v/>
      </c>
      <c r="BR49">
        <f>IF(COUNTIF(Material_Detail!$DE:$DE,$A49)&gt;0,IF(ISNUMBER(SEARCH("[済]",INDEX(Material_Detail!$D:$DC,MATCH($A49,Material_Detail!$DE:$DE,0)+1,69))),0,IFERROR(INDEX(Material_Detail!$D:$DC,MATCH($A49,Material_Detail!$DE:$DE,0),69),0)),SUMIFS(T_Shipments[Confirmed_Qty],T_Shipments[Part Name],$A49,T_Shipments[Effective_Week],69))</f>
        <v/>
      </c>
      <c r="BS49">
        <f>IF(COUNTIF(Material_Detail!$DE:$DE,$A49)&gt;0,IF(ISNUMBER(SEARCH("[済]",INDEX(Material_Detail!$D:$DC,MATCH($A49,Material_Detail!$DE:$DE,0)+1,70))),0,IFERROR(INDEX(Material_Detail!$D:$DC,MATCH($A49,Material_Detail!$DE:$DE,0),70),0)),SUMIFS(T_Shipments[Confirmed_Qty],T_Shipments[Part Name],$A49,T_Shipments[Effective_Week],70))</f>
        <v/>
      </c>
      <c r="BT49">
        <f>IF(COUNTIF(Material_Detail!$DE:$DE,$A49)&gt;0,IF(ISNUMBER(SEARCH("[済]",INDEX(Material_Detail!$D:$DC,MATCH($A49,Material_Detail!$DE:$DE,0)+1,71))),0,IFERROR(INDEX(Material_Detail!$D:$DC,MATCH($A49,Material_Detail!$DE:$DE,0),71),0)),SUMIFS(T_Shipments[Confirmed_Qty],T_Shipments[Part Name],$A49,T_Shipments[Effective_Week],71))</f>
        <v/>
      </c>
      <c r="BU49">
        <f>IF(COUNTIF(Material_Detail!$DE:$DE,$A49)&gt;0,IF(ISNUMBER(SEARCH("[済]",INDEX(Material_Detail!$D:$DC,MATCH($A49,Material_Detail!$DE:$DE,0)+1,72))),0,IFERROR(INDEX(Material_Detail!$D:$DC,MATCH($A49,Material_Detail!$DE:$DE,0),72),0)),SUMIFS(T_Shipments[Confirmed_Qty],T_Shipments[Part Name],$A49,T_Shipments[Effective_Week],72))</f>
        <v/>
      </c>
      <c r="BV49">
        <f>IF(COUNTIF(Material_Detail!$DE:$DE,$A49)&gt;0,IF(ISNUMBER(SEARCH("[済]",INDEX(Material_Detail!$D:$DC,MATCH($A49,Material_Detail!$DE:$DE,0)+1,73))),0,IFERROR(INDEX(Material_Detail!$D:$DC,MATCH($A49,Material_Detail!$DE:$DE,0),73),0)),SUMIFS(T_Shipments[Confirmed_Qty],T_Shipments[Part Name],$A49,T_Shipments[Effective_Week],73))</f>
        <v/>
      </c>
      <c r="BW49">
        <f>IF(COUNTIF(Material_Detail!$DE:$DE,$A49)&gt;0,IF(ISNUMBER(SEARCH("[済]",INDEX(Material_Detail!$D:$DC,MATCH($A49,Material_Detail!$DE:$DE,0)+1,74))),0,IFERROR(INDEX(Material_Detail!$D:$DC,MATCH($A49,Material_Detail!$DE:$DE,0),74),0)),SUMIFS(T_Shipments[Confirmed_Qty],T_Shipments[Part Name],$A49,T_Shipments[Effective_Week],74))</f>
        <v/>
      </c>
      <c r="BX49">
        <f>IF(COUNTIF(Material_Detail!$DE:$DE,$A49)&gt;0,IF(ISNUMBER(SEARCH("[済]",INDEX(Material_Detail!$D:$DC,MATCH($A49,Material_Detail!$DE:$DE,0)+1,75))),0,IFERROR(INDEX(Material_Detail!$D:$DC,MATCH($A49,Material_Detail!$DE:$DE,0),75),0)),SUMIFS(T_Shipments[Confirmed_Qty],T_Shipments[Part Name],$A49,T_Shipments[Effective_Week],75))</f>
        <v/>
      </c>
      <c r="BY49">
        <f>IF(COUNTIF(Material_Detail!$DE:$DE,$A49)&gt;0,IF(ISNUMBER(SEARCH("[済]",INDEX(Material_Detail!$D:$DC,MATCH($A49,Material_Detail!$DE:$DE,0)+1,76))),0,IFERROR(INDEX(Material_Detail!$D:$DC,MATCH($A49,Material_Detail!$DE:$DE,0),76),0)),SUMIFS(T_Shipments[Confirmed_Qty],T_Shipments[Part Name],$A49,T_Shipments[Effective_Week],76))</f>
        <v/>
      </c>
      <c r="BZ49">
        <f>IF(COUNTIF(Material_Detail!$DE:$DE,$A49)&gt;0,IF(ISNUMBER(SEARCH("[済]",INDEX(Material_Detail!$D:$DC,MATCH($A49,Material_Detail!$DE:$DE,0)+1,77))),0,IFERROR(INDEX(Material_Detail!$D:$DC,MATCH($A49,Material_Detail!$DE:$DE,0),77),0)),SUMIFS(T_Shipments[Confirmed_Qty],T_Shipments[Part Name],$A49,T_Shipments[Effective_Week],77))</f>
        <v/>
      </c>
      <c r="CA49">
        <f>IF(COUNTIF(Material_Detail!$DE:$DE,$A49)&gt;0,IF(ISNUMBER(SEARCH("[済]",INDEX(Material_Detail!$D:$DC,MATCH($A49,Material_Detail!$DE:$DE,0)+1,78))),0,IFERROR(INDEX(Material_Detail!$D:$DC,MATCH($A49,Material_Detail!$DE:$DE,0),78),0)),SUMIFS(T_Shipments[Confirmed_Qty],T_Shipments[Part Name],$A49,T_Shipments[Effective_Week],78))</f>
        <v/>
      </c>
      <c r="CB49">
        <f>IF(COUNTIF(Material_Detail!$DE:$DE,$A49)&gt;0,IF(ISNUMBER(SEARCH("[済]",INDEX(Material_Detail!$D:$DC,MATCH($A49,Material_Detail!$DE:$DE,0)+1,79))),0,IFERROR(INDEX(Material_Detail!$D:$DC,MATCH($A49,Material_Detail!$DE:$DE,0),79),0)),SUMIFS(T_Shipments[Confirmed_Qty],T_Shipments[Part Name],$A49,T_Shipments[Effective_Week],79))</f>
        <v/>
      </c>
      <c r="CC49">
        <f>IF(COUNTIF(Material_Detail!$DE:$DE,$A49)&gt;0,IF(ISNUMBER(SEARCH("[済]",INDEX(Material_Detail!$D:$DC,MATCH($A49,Material_Detail!$DE:$DE,0)+1,80))),0,IFERROR(INDEX(Material_Detail!$D:$DC,MATCH($A49,Material_Detail!$DE:$DE,0),80),0)),SUMIFS(T_Shipments[Confirmed_Qty],T_Shipments[Part Name],$A49,T_Shipments[Effective_Week],80))</f>
        <v/>
      </c>
      <c r="CD49">
        <f>IF(COUNTIF(Material_Detail!$DE:$DE,$A49)&gt;0,IF(ISNUMBER(SEARCH("[済]",INDEX(Material_Detail!$D:$DC,MATCH($A49,Material_Detail!$DE:$DE,0)+1,81))),0,IFERROR(INDEX(Material_Detail!$D:$DC,MATCH($A49,Material_Detail!$DE:$DE,0),81),0)),SUMIFS(T_Shipments[Confirmed_Qty],T_Shipments[Part Name],$A49,T_Shipments[Effective_Week],81))</f>
        <v/>
      </c>
      <c r="CE49">
        <f>IF(COUNTIF(Material_Detail!$DE:$DE,$A49)&gt;0,IF(ISNUMBER(SEARCH("[済]",INDEX(Material_Detail!$D:$DC,MATCH($A49,Material_Detail!$DE:$DE,0)+1,82))),0,IFERROR(INDEX(Material_Detail!$D:$DC,MATCH($A49,Material_Detail!$DE:$DE,0),82),0)),SUMIFS(T_Shipments[Confirmed_Qty],T_Shipments[Part Name],$A49,T_Shipments[Effective_Week],82))</f>
        <v/>
      </c>
      <c r="CF49">
        <f>IF(COUNTIF(Material_Detail!$DE:$DE,$A49)&gt;0,IF(ISNUMBER(SEARCH("[済]",INDEX(Material_Detail!$D:$DC,MATCH($A49,Material_Detail!$DE:$DE,0)+1,83))),0,IFERROR(INDEX(Material_Detail!$D:$DC,MATCH($A49,Material_Detail!$DE:$DE,0),83),0)),SUMIFS(T_Shipments[Confirmed_Qty],T_Shipments[Part Name],$A49,T_Shipments[Effective_Week],83))</f>
        <v/>
      </c>
      <c r="CG49">
        <f>IF(COUNTIF(Material_Detail!$DE:$DE,$A49)&gt;0,IF(ISNUMBER(SEARCH("[済]",INDEX(Material_Detail!$D:$DC,MATCH($A49,Material_Detail!$DE:$DE,0)+1,84))),0,IFERROR(INDEX(Material_Detail!$D:$DC,MATCH($A49,Material_Detail!$DE:$DE,0),84),0)),SUMIFS(T_Shipments[Confirmed_Qty],T_Shipments[Part Name],$A49,T_Shipments[Effective_Week],84))</f>
        <v/>
      </c>
      <c r="CH49">
        <f>IF(COUNTIF(Material_Detail!$DE:$DE,$A49)&gt;0,IF(ISNUMBER(SEARCH("[済]",INDEX(Material_Detail!$D:$DC,MATCH($A49,Material_Detail!$DE:$DE,0)+1,85))),0,IFERROR(INDEX(Material_Detail!$D:$DC,MATCH($A49,Material_Detail!$DE:$DE,0),85),0)),SUMIFS(T_Shipments[Confirmed_Qty],T_Shipments[Part Name],$A49,T_Shipments[Effective_Week],85))</f>
        <v/>
      </c>
      <c r="CI49">
        <f>IF(COUNTIF(Material_Detail!$DE:$DE,$A49)&gt;0,IF(ISNUMBER(SEARCH("[済]",INDEX(Material_Detail!$D:$DC,MATCH($A49,Material_Detail!$DE:$DE,0)+1,86))),0,IFERROR(INDEX(Material_Detail!$D:$DC,MATCH($A49,Material_Detail!$DE:$DE,0),86),0)),SUMIFS(T_Shipments[Confirmed_Qty],T_Shipments[Part Name],$A49,T_Shipments[Effective_Week],86))</f>
        <v/>
      </c>
      <c r="CJ49">
        <f>IF(COUNTIF(Material_Detail!$DE:$DE,$A49)&gt;0,IF(ISNUMBER(SEARCH("[済]",INDEX(Material_Detail!$D:$DC,MATCH($A49,Material_Detail!$DE:$DE,0)+1,87))),0,IFERROR(INDEX(Material_Detail!$D:$DC,MATCH($A49,Material_Detail!$DE:$DE,0),87),0)),SUMIFS(T_Shipments[Confirmed_Qty],T_Shipments[Part Name],$A49,T_Shipments[Effective_Week],87))</f>
        <v/>
      </c>
      <c r="CK49">
        <f>IF(COUNTIF(Material_Detail!$DE:$DE,$A49)&gt;0,IF(ISNUMBER(SEARCH("[済]",INDEX(Material_Detail!$D:$DC,MATCH($A49,Material_Detail!$DE:$DE,0)+1,88))),0,IFERROR(INDEX(Material_Detail!$D:$DC,MATCH($A49,Material_Detail!$DE:$DE,0),88),0)),SUMIFS(T_Shipments[Confirmed_Qty],T_Shipments[Part Name],$A49,T_Shipments[Effective_Week],88))</f>
        <v/>
      </c>
      <c r="CL49">
        <f>IF(COUNTIF(Material_Detail!$DE:$DE,$A49)&gt;0,IF(ISNUMBER(SEARCH("[済]",INDEX(Material_Detail!$D:$DC,MATCH($A49,Material_Detail!$DE:$DE,0)+1,89))),0,IFERROR(INDEX(Material_Detail!$D:$DC,MATCH($A49,Material_Detail!$DE:$DE,0),89),0)),SUMIFS(T_Shipments[Confirmed_Qty],T_Shipments[Part Name],$A49,T_Shipments[Effective_Week],89))</f>
        <v/>
      </c>
      <c r="CM49">
        <f>IF(COUNTIF(Material_Detail!$DE:$DE,$A49)&gt;0,IF(ISNUMBER(SEARCH("[済]",INDEX(Material_Detail!$D:$DC,MATCH($A49,Material_Detail!$DE:$DE,0)+1,90))),0,IFERROR(INDEX(Material_Detail!$D:$DC,MATCH($A49,Material_Detail!$DE:$DE,0),90),0)),SUMIFS(T_Shipments[Confirmed_Qty],T_Shipments[Part Name],$A49,T_Shipments[Effective_Week],90))</f>
        <v/>
      </c>
      <c r="CN49">
        <f>IF(COUNTIF(Material_Detail!$DE:$DE,$A49)&gt;0,IF(ISNUMBER(SEARCH("[済]",INDEX(Material_Detail!$D:$DC,MATCH($A49,Material_Detail!$DE:$DE,0)+1,91))),0,IFERROR(INDEX(Material_Detail!$D:$DC,MATCH($A49,Material_Detail!$DE:$DE,0),91),0)),SUMIFS(T_Shipments[Confirmed_Qty],T_Shipments[Part Name],$A49,T_Shipments[Effective_Week],91))</f>
        <v/>
      </c>
      <c r="CO49">
        <f>IF(COUNTIF(Material_Detail!$DE:$DE,$A49)&gt;0,IF(ISNUMBER(SEARCH("[済]",INDEX(Material_Detail!$D:$DC,MATCH($A49,Material_Detail!$DE:$DE,0)+1,92))),0,IFERROR(INDEX(Material_Detail!$D:$DC,MATCH($A49,Material_Detail!$DE:$DE,0),92),0)),SUMIFS(T_Shipments[Confirmed_Qty],T_Shipments[Part Name],$A49,T_Shipments[Effective_Week],92))</f>
        <v/>
      </c>
      <c r="CP49">
        <f>IF(COUNTIF(Material_Detail!$DE:$DE,$A49)&gt;0,IF(ISNUMBER(SEARCH("[済]",INDEX(Material_Detail!$D:$DC,MATCH($A49,Material_Detail!$DE:$DE,0)+1,93))),0,IFERROR(INDEX(Material_Detail!$D:$DC,MATCH($A49,Material_Detail!$DE:$DE,0),93),0)),SUMIFS(T_Shipments[Confirmed_Qty],T_Shipments[Part Name],$A49,T_Shipments[Effective_Week],93))</f>
        <v/>
      </c>
      <c r="CQ49">
        <f>IF(COUNTIF(Material_Detail!$DE:$DE,$A49)&gt;0,IF(ISNUMBER(SEARCH("[済]",INDEX(Material_Detail!$D:$DC,MATCH($A49,Material_Detail!$DE:$DE,0)+1,94))),0,IFERROR(INDEX(Material_Detail!$D:$DC,MATCH($A49,Material_Detail!$DE:$DE,0),94),0)),SUMIFS(T_Shipments[Confirmed_Qty],T_Shipments[Part Name],$A49,T_Shipments[Effective_Week],94))</f>
        <v/>
      </c>
      <c r="CR49">
        <f>IF(COUNTIF(Material_Detail!$DE:$DE,$A49)&gt;0,IF(ISNUMBER(SEARCH("[済]",INDEX(Material_Detail!$D:$DC,MATCH($A49,Material_Detail!$DE:$DE,0)+1,95))),0,IFERROR(INDEX(Material_Detail!$D:$DC,MATCH($A49,Material_Detail!$DE:$DE,0),95),0)),SUMIFS(T_Shipments[Confirmed_Qty],T_Shipments[Part Name],$A49,T_Shipments[Effective_Week],95))</f>
        <v/>
      </c>
      <c r="CS49">
        <f>IF(COUNTIF(Material_Detail!$DE:$DE,$A49)&gt;0,IF(ISNUMBER(SEARCH("[済]",INDEX(Material_Detail!$D:$DC,MATCH($A49,Material_Detail!$DE:$DE,0)+1,96))),0,IFERROR(INDEX(Material_Detail!$D:$DC,MATCH($A49,Material_Detail!$DE:$DE,0),96),0)),SUMIFS(T_Shipments[Confirmed_Qty],T_Shipments[Part Name],$A49,T_Shipments[Effective_Week],96))</f>
        <v/>
      </c>
      <c r="CT49">
        <f>IF(COUNTIF(Material_Detail!$DE:$DE,$A49)&gt;0,IF(ISNUMBER(SEARCH("[済]",INDEX(Material_Detail!$D:$DC,MATCH($A49,Material_Detail!$DE:$DE,0)+1,97))),0,IFERROR(INDEX(Material_Detail!$D:$DC,MATCH($A49,Material_Detail!$DE:$DE,0),97),0)),SUMIFS(T_Shipments[Confirmed_Qty],T_Shipments[Part Name],$A49,T_Shipments[Effective_Week],97))</f>
        <v/>
      </c>
      <c r="CU49">
        <f>IF(COUNTIF(Material_Detail!$DE:$DE,$A49)&gt;0,IF(ISNUMBER(SEARCH("[済]",INDEX(Material_Detail!$D:$DC,MATCH($A49,Material_Detail!$DE:$DE,0)+1,98))),0,IFERROR(INDEX(Material_Detail!$D:$DC,MATCH($A49,Material_Detail!$DE:$DE,0),98),0)),SUMIFS(T_Shipments[Confirmed_Qty],T_Shipments[Part Name],$A49,T_Shipments[Effective_Week],98))</f>
        <v/>
      </c>
      <c r="CV49">
        <f>IF(COUNTIF(Material_Detail!$DE:$DE,$A49)&gt;0,IF(ISNUMBER(SEARCH("[済]",INDEX(Material_Detail!$D:$DC,MATCH($A49,Material_Detail!$DE:$DE,0)+1,99))),0,IFERROR(INDEX(Material_Detail!$D:$DC,MATCH($A49,Material_Detail!$DE:$DE,0),99),0)),SUMIFS(T_Shipments[Confirmed_Qty],T_Shipments[Part Name],$A49,T_Shipments[Effective_Week],99))</f>
        <v/>
      </c>
      <c r="CW49">
        <f>IF(COUNTIF(Material_Detail!$DE:$DE,$A49)&gt;0,IF(ISNUMBER(SEARCH("[済]",INDEX(Material_Detail!$D:$DC,MATCH($A49,Material_Detail!$DE:$DE,0)+1,100))),0,IFERROR(INDEX(Material_Detail!$D:$DC,MATCH($A49,Material_Detail!$DE:$DE,0),100),0)),SUMIFS(T_Shipments[Confirmed_Qty],T_Shipments[Part Name],$A49,T_Shipments[Effective_Week],100))</f>
        <v/>
      </c>
      <c r="CX49">
        <f>IF(COUNTIF(Material_Detail!$DE:$DE,$A49)&gt;0,IF(ISNUMBER(SEARCH("[済]",INDEX(Material_Detail!$D:$DC,MATCH($A49,Material_Detail!$DE:$DE,0)+1,101))),0,IFERROR(INDEX(Material_Detail!$D:$DC,MATCH($A49,Material_Detail!$DE:$DE,0),101),0)),SUMIFS(T_Shipments[Confirmed_Qty],T_Shipments[Part Name],$A49,T_Shipments[Effective_Week],101))</f>
        <v/>
      </c>
      <c r="CY49">
        <f>IF(COUNTIF(Material_Detail!$DE:$DE,$A49)&gt;0,IF(ISNUMBER(SEARCH("[済]",INDEX(Material_Detail!$D:$DC,MATCH($A49,Material_Detail!$DE:$DE,0)+1,102))),0,IFERROR(INDEX(Material_Detail!$D:$DC,MATCH($A49,Material_Detail!$DE:$DE,0),102),0)),SUMIFS(T_Shipments[Confirmed_Qty],T_Shipments[Part Name],$A49,T_Shipments[Effective_Week],102))</f>
        <v/>
      </c>
      <c r="CZ49">
        <f>IF(COUNTIF(Material_Detail!$DE:$DE,$A49)&gt;0,IF(ISNUMBER(SEARCH("[済]",INDEX(Material_Detail!$D:$DC,MATCH($A49,Material_Detail!$DE:$DE,0)+1,103))),0,IFERROR(INDEX(Material_Detail!$D:$DC,MATCH($A49,Material_Detail!$DE:$DE,0),103),0)),SUMIFS(T_Shipments[Confirmed_Qty],T_Shipments[Part Name],$A49,T_Shipments[Effective_Week],103))</f>
        <v/>
      </c>
      <c r="DA49">
        <f>IF(COUNTIF(Material_Detail!$DE:$DE,$A49)&gt;0,IF(ISNUMBER(SEARCH("[済]",INDEX(Material_Detail!$D:$DC,MATCH($A49,Material_Detail!$DE:$DE,0)+1,104))),0,IFERROR(INDEX(Material_Detail!$D:$DC,MATCH($A49,Material_Detail!$DE:$DE,0),104),0)),SUMIFS(T_Shipments[Confirmed_Qty],T_Shipments[Part Name],$A49,T_Shipments[Effective_Week],104))</f>
        <v/>
      </c>
    </row>
    <row r="50">
      <c r="A50" t="inlineStr">
        <is>
          <t>CHEM-1760</t>
        </is>
      </c>
      <c r="B50">
        <f>IF(COUNTIF(Material_Detail!$DE:$DE,$A50)&gt;0,IF(ISNUMBER(SEARCH("[済]",INDEX(Material_Detail!$D:$DC,MATCH($A50,Material_Detail!$DE:$DE,0)+1,1))),0,IFERROR(INDEX(Material_Detail!$D:$DC,MATCH($A50,Material_Detail!$DE:$DE,0),1),0)),SUMIFS(T_Shipments[Confirmed_Qty],T_Shipments[Part Name],$A50,T_Shipments[Effective_Week],1))</f>
        <v/>
      </c>
      <c r="C50">
        <f>IF(COUNTIF(Material_Detail!$DE:$DE,$A50)&gt;0,IF(ISNUMBER(SEARCH("[済]",INDEX(Material_Detail!$D:$DC,MATCH($A50,Material_Detail!$DE:$DE,0)+1,2))),0,IFERROR(INDEX(Material_Detail!$D:$DC,MATCH($A50,Material_Detail!$DE:$DE,0),2),0)),SUMIFS(T_Shipments[Confirmed_Qty],T_Shipments[Part Name],$A50,T_Shipments[Effective_Week],2))</f>
        <v/>
      </c>
      <c r="D50">
        <f>IF(COUNTIF(Material_Detail!$DE:$DE,$A50)&gt;0,IF(ISNUMBER(SEARCH("[済]",INDEX(Material_Detail!$D:$DC,MATCH($A50,Material_Detail!$DE:$DE,0)+1,3))),0,IFERROR(INDEX(Material_Detail!$D:$DC,MATCH($A50,Material_Detail!$DE:$DE,0),3),0)),SUMIFS(T_Shipments[Confirmed_Qty],T_Shipments[Part Name],$A50,T_Shipments[Effective_Week],3))</f>
        <v/>
      </c>
      <c r="E50">
        <f>IF(COUNTIF(Material_Detail!$DE:$DE,$A50)&gt;0,IF(ISNUMBER(SEARCH("[済]",INDEX(Material_Detail!$D:$DC,MATCH($A50,Material_Detail!$DE:$DE,0)+1,4))),0,IFERROR(INDEX(Material_Detail!$D:$DC,MATCH($A50,Material_Detail!$DE:$DE,0),4),0)),SUMIFS(T_Shipments[Confirmed_Qty],T_Shipments[Part Name],$A50,T_Shipments[Effective_Week],4))</f>
        <v/>
      </c>
      <c r="F50">
        <f>IF(COUNTIF(Material_Detail!$DE:$DE,$A50)&gt;0,IF(ISNUMBER(SEARCH("[済]",INDEX(Material_Detail!$D:$DC,MATCH($A50,Material_Detail!$DE:$DE,0)+1,5))),0,IFERROR(INDEX(Material_Detail!$D:$DC,MATCH($A50,Material_Detail!$DE:$DE,0),5),0)),SUMIFS(T_Shipments[Confirmed_Qty],T_Shipments[Part Name],$A50,T_Shipments[Effective_Week],5))</f>
        <v/>
      </c>
      <c r="G50">
        <f>IF(COUNTIF(Material_Detail!$DE:$DE,$A50)&gt;0,IF(ISNUMBER(SEARCH("[済]",INDEX(Material_Detail!$D:$DC,MATCH($A50,Material_Detail!$DE:$DE,0)+1,6))),0,IFERROR(INDEX(Material_Detail!$D:$DC,MATCH($A50,Material_Detail!$DE:$DE,0),6),0)),SUMIFS(T_Shipments[Confirmed_Qty],T_Shipments[Part Name],$A50,T_Shipments[Effective_Week],6))</f>
        <v/>
      </c>
      <c r="H50">
        <f>IF(COUNTIF(Material_Detail!$DE:$DE,$A50)&gt;0,IF(ISNUMBER(SEARCH("[済]",INDEX(Material_Detail!$D:$DC,MATCH($A50,Material_Detail!$DE:$DE,0)+1,7))),0,IFERROR(INDEX(Material_Detail!$D:$DC,MATCH($A50,Material_Detail!$DE:$DE,0),7),0)),SUMIFS(T_Shipments[Confirmed_Qty],T_Shipments[Part Name],$A50,T_Shipments[Effective_Week],7))</f>
        <v/>
      </c>
      <c r="I50">
        <f>IF(COUNTIF(Material_Detail!$DE:$DE,$A50)&gt;0,IF(ISNUMBER(SEARCH("[済]",INDEX(Material_Detail!$D:$DC,MATCH($A50,Material_Detail!$DE:$DE,0)+1,8))),0,IFERROR(INDEX(Material_Detail!$D:$DC,MATCH($A50,Material_Detail!$DE:$DE,0),8),0)),SUMIFS(T_Shipments[Confirmed_Qty],T_Shipments[Part Name],$A50,T_Shipments[Effective_Week],8))</f>
        <v/>
      </c>
      <c r="J50">
        <f>IF(COUNTIF(Material_Detail!$DE:$DE,$A50)&gt;0,IF(ISNUMBER(SEARCH("[済]",INDEX(Material_Detail!$D:$DC,MATCH($A50,Material_Detail!$DE:$DE,0)+1,9))),0,IFERROR(INDEX(Material_Detail!$D:$DC,MATCH($A50,Material_Detail!$DE:$DE,0),9),0)),SUMIFS(T_Shipments[Confirmed_Qty],T_Shipments[Part Name],$A50,T_Shipments[Effective_Week],9))</f>
        <v/>
      </c>
      <c r="K50">
        <f>IF(COUNTIF(Material_Detail!$DE:$DE,$A50)&gt;0,IF(ISNUMBER(SEARCH("[済]",INDEX(Material_Detail!$D:$DC,MATCH($A50,Material_Detail!$DE:$DE,0)+1,10))),0,IFERROR(INDEX(Material_Detail!$D:$DC,MATCH($A50,Material_Detail!$DE:$DE,0),10),0)),SUMIFS(T_Shipments[Confirmed_Qty],T_Shipments[Part Name],$A50,T_Shipments[Effective_Week],10))</f>
        <v/>
      </c>
      <c r="L50">
        <f>IF(COUNTIF(Material_Detail!$DE:$DE,$A50)&gt;0,IF(ISNUMBER(SEARCH("[済]",INDEX(Material_Detail!$D:$DC,MATCH($A50,Material_Detail!$DE:$DE,0)+1,11))),0,IFERROR(INDEX(Material_Detail!$D:$DC,MATCH($A50,Material_Detail!$DE:$DE,0),11),0)),SUMIFS(T_Shipments[Confirmed_Qty],T_Shipments[Part Name],$A50,T_Shipments[Effective_Week],11))</f>
        <v/>
      </c>
      <c r="M50">
        <f>IF(COUNTIF(Material_Detail!$DE:$DE,$A50)&gt;0,IF(ISNUMBER(SEARCH("[済]",INDEX(Material_Detail!$D:$DC,MATCH($A50,Material_Detail!$DE:$DE,0)+1,12))),0,IFERROR(INDEX(Material_Detail!$D:$DC,MATCH($A50,Material_Detail!$DE:$DE,0),12),0)),SUMIFS(T_Shipments[Confirmed_Qty],T_Shipments[Part Name],$A50,T_Shipments[Effective_Week],12))</f>
        <v/>
      </c>
      <c r="N50">
        <f>IF(COUNTIF(Material_Detail!$DE:$DE,$A50)&gt;0,IF(ISNUMBER(SEARCH("[済]",INDEX(Material_Detail!$D:$DC,MATCH($A50,Material_Detail!$DE:$DE,0)+1,13))),0,IFERROR(INDEX(Material_Detail!$D:$DC,MATCH($A50,Material_Detail!$DE:$DE,0),13),0)),SUMIFS(T_Shipments[Confirmed_Qty],T_Shipments[Part Name],$A50,T_Shipments[Effective_Week],13))</f>
        <v/>
      </c>
      <c r="O50">
        <f>IF(COUNTIF(Material_Detail!$DE:$DE,$A50)&gt;0,IF(ISNUMBER(SEARCH("[済]",INDEX(Material_Detail!$D:$DC,MATCH($A50,Material_Detail!$DE:$DE,0)+1,14))),0,IFERROR(INDEX(Material_Detail!$D:$DC,MATCH($A50,Material_Detail!$DE:$DE,0),14),0)),SUMIFS(T_Shipments[Confirmed_Qty],T_Shipments[Part Name],$A50,T_Shipments[Effective_Week],14))</f>
        <v/>
      </c>
      <c r="P50">
        <f>IF(COUNTIF(Material_Detail!$DE:$DE,$A50)&gt;0,IF(ISNUMBER(SEARCH("[済]",INDEX(Material_Detail!$D:$DC,MATCH($A50,Material_Detail!$DE:$DE,0)+1,15))),0,IFERROR(INDEX(Material_Detail!$D:$DC,MATCH($A50,Material_Detail!$DE:$DE,0),15),0)),SUMIFS(T_Shipments[Confirmed_Qty],T_Shipments[Part Name],$A50,T_Shipments[Effective_Week],15))</f>
        <v/>
      </c>
      <c r="Q50">
        <f>IF(COUNTIF(Material_Detail!$DE:$DE,$A50)&gt;0,IF(ISNUMBER(SEARCH("[済]",INDEX(Material_Detail!$D:$DC,MATCH($A50,Material_Detail!$DE:$DE,0)+1,16))),0,IFERROR(INDEX(Material_Detail!$D:$DC,MATCH($A50,Material_Detail!$DE:$DE,0),16),0)),SUMIFS(T_Shipments[Confirmed_Qty],T_Shipments[Part Name],$A50,T_Shipments[Effective_Week],16))</f>
        <v/>
      </c>
      <c r="R50">
        <f>IF(COUNTIF(Material_Detail!$DE:$DE,$A50)&gt;0,IF(ISNUMBER(SEARCH("[済]",INDEX(Material_Detail!$D:$DC,MATCH($A50,Material_Detail!$DE:$DE,0)+1,17))),0,IFERROR(INDEX(Material_Detail!$D:$DC,MATCH($A50,Material_Detail!$DE:$DE,0),17),0)),SUMIFS(T_Shipments[Confirmed_Qty],T_Shipments[Part Name],$A50,T_Shipments[Effective_Week],17))</f>
        <v/>
      </c>
      <c r="S50">
        <f>IF(COUNTIF(Material_Detail!$DE:$DE,$A50)&gt;0,IF(ISNUMBER(SEARCH("[済]",INDEX(Material_Detail!$D:$DC,MATCH($A50,Material_Detail!$DE:$DE,0)+1,18))),0,IFERROR(INDEX(Material_Detail!$D:$DC,MATCH($A50,Material_Detail!$DE:$DE,0),18),0)),SUMIFS(T_Shipments[Confirmed_Qty],T_Shipments[Part Name],$A50,T_Shipments[Effective_Week],18))</f>
        <v/>
      </c>
      <c r="T50">
        <f>IF(COUNTIF(Material_Detail!$DE:$DE,$A50)&gt;0,IF(ISNUMBER(SEARCH("[済]",INDEX(Material_Detail!$D:$DC,MATCH($A50,Material_Detail!$DE:$DE,0)+1,19))),0,IFERROR(INDEX(Material_Detail!$D:$DC,MATCH($A50,Material_Detail!$DE:$DE,0),19),0)),SUMIFS(T_Shipments[Confirmed_Qty],T_Shipments[Part Name],$A50,T_Shipments[Effective_Week],19))</f>
        <v/>
      </c>
      <c r="U50">
        <f>IF(COUNTIF(Material_Detail!$DE:$DE,$A50)&gt;0,IF(ISNUMBER(SEARCH("[済]",INDEX(Material_Detail!$D:$DC,MATCH($A50,Material_Detail!$DE:$DE,0)+1,20))),0,IFERROR(INDEX(Material_Detail!$D:$DC,MATCH($A50,Material_Detail!$DE:$DE,0),20),0)),SUMIFS(T_Shipments[Confirmed_Qty],T_Shipments[Part Name],$A50,T_Shipments[Effective_Week],20))</f>
        <v/>
      </c>
      <c r="V50">
        <f>IF(COUNTIF(Material_Detail!$DE:$DE,$A50)&gt;0,IF(ISNUMBER(SEARCH("[済]",INDEX(Material_Detail!$D:$DC,MATCH($A50,Material_Detail!$DE:$DE,0)+1,21))),0,IFERROR(INDEX(Material_Detail!$D:$DC,MATCH($A50,Material_Detail!$DE:$DE,0),21),0)),SUMIFS(T_Shipments[Confirmed_Qty],T_Shipments[Part Name],$A50,T_Shipments[Effective_Week],21))</f>
        <v/>
      </c>
      <c r="W50">
        <f>IF(COUNTIF(Material_Detail!$DE:$DE,$A50)&gt;0,IF(ISNUMBER(SEARCH("[済]",INDEX(Material_Detail!$D:$DC,MATCH($A50,Material_Detail!$DE:$DE,0)+1,22))),0,IFERROR(INDEX(Material_Detail!$D:$DC,MATCH($A50,Material_Detail!$DE:$DE,0),22),0)),SUMIFS(T_Shipments[Confirmed_Qty],T_Shipments[Part Name],$A50,T_Shipments[Effective_Week],22))</f>
        <v/>
      </c>
      <c r="X50">
        <f>IF(COUNTIF(Material_Detail!$DE:$DE,$A50)&gt;0,IF(ISNUMBER(SEARCH("[済]",INDEX(Material_Detail!$D:$DC,MATCH($A50,Material_Detail!$DE:$DE,0)+1,23))),0,IFERROR(INDEX(Material_Detail!$D:$DC,MATCH($A50,Material_Detail!$DE:$DE,0),23),0)),SUMIFS(T_Shipments[Confirmed_Qty],T_Shipments[Part Name],$A50,T_Shipments[Effective_Week],23))</f>
        <v/>
      </c>
      <c r="Y50">
        <f>IF(COUNTIF(Material_Detail!$DE:$DE,$A50)&gt;0,IF(ISNUMBER(SEARCH("[済]",INDEX(Material_Detail!$D:$DC,MATCH($A50,Material_Detail!$DE:$DE,0)+1,24))),0,IFERROR(INDEX(Material_Detail!$D:$DC,MATCH($A50,Material_Detail!$DE:$DE,0),24),0)),SUMIFS(T_Shipments[Confirmed_Qty],T_Shipments[Part Name],$A50,T_Shipments[Effective_Week],24))</f>
        <v/>
      </c>
      <c r="Z50">
        <f>IF(COUNTIF(Material_Detail!$DE:$DE,$A50)&gt;0,IF(ISNUMBER(SEARCH("[済]",INDEX(Material_Detail!$D:$DC,MATCH($A50,Material_Detail!$DE:$DE,0)+1,25))),0,IFERROR(INDEX(Material_Detail!$D:$DC,MATCH($A50,Material_Detail!$DE:$DE,0),25),0)),SUMIFS(T_Shipments[Confirmed_Qty],T_Shipments[Part Name],$A50,T_Shipments[Effective_Week],25))</f>
        <v/>
      </c>
      <c r="AA50">
        <f>IF(COUNTIF(Material_Detail!$DE:$DE,$A50)&gt;0,IF(ISNUMBER(SEARCH("[済]",INDEX(Material_Detail!$D:$DC,MATCH($A50,Material_Detail!$DE:$DE,0)+1,26))),0,IFERROR(INDEX(Material_Detail!$D:$DC,MATCH($A50,Material_Detail!$DE:$DE,0),26),0)),SUMIFS(T_Shipments[Confirmed_Qty],T_Shipments[Part Name],$A50,T_Shipments[Effective_Week],26))</f>
        <v/>
      </c>
      <c r="AB50">
        <f>IF(COUNTIF(Material_Detail!$DE:$DE,$A50)&gt;0,IF(ISNUMBER(SEARCH("[済]",INDEX(Material_Detail!$D:$DC,MATCH($A50,Material_Detail!$DE:$DE,0)+1,27))),0,IFERROR(INDEX(Material_Detail!$D:$DC,MATCH($A50,Material_Detail!$DE:$DE,0),27),0)),SUMIFS(T_Shipments[Confirmed_Qty],T_Shipments[Part Name],$A50,T_Shipments[Effective_Week],27))</f>
        <v/>
      </c>
      <c r="AC50">
        <f>IF(COUNTIF(Material_Detail!$DE:$DE,$A50)&gt;0,IF(ISNUMBER(SEARCH("[済]",INDEX(Material_Detail!$D:$DC,MATCH($A50,Material_Detail!$DE:$DE,0)+1,28))),0,IFERROR(INDEX(Material_Detail!$D:$DC,MATCH($A50,Material_Detail!$DE:$DE,0),28),0)),SUMIFS(T_Shipments[Confirmed_Qty],T_Shipments[Part Name],$A50,T_Shipments[Effective_Week],28))</f>
        <v/>
      </c>
      <c r="AD50">
        <f>IF(COUNTIF(Material_Detail!$DE:$DE,$A50)&gt;0,IF(ISNUMBER(SEARCH("[済]",INDEX(Material_Detail!$D:$DC,MATCH($A50,Material_Detail!$DE:$DE,0)+1,29))),0,IFERROR(INDEX(Material_Detail!$D:$DC,MATCH($A50,Material_Detail!$DE:$DE,0),29),0)),SUMIFS(T_Shipments[Confirmed_Qty],T_Shipments[Part Name],$A50,T_Shipments[Effective_Week],29))</f>
        <v/>
      </c>
      <c r="AE50">
        <f>IF(COUNTIF(Material_Detail!$DE:$DE,$A50)&gt;0,IF(ISNUMBER(SEARCH("[済]",INDEX(Material_Detail!$D:$DC,MATCH($A50,Material_Detail!$DE:$DE,0)+1,30))),0,IFERROR(INDEX(Material_Detail!$D:$DC,MATCH($A50,Material_Detail!$DE:$DE,0),30),0)),SUMIFS(T_Shipments[Confirmed_Qty],T_Shipments[Part Name],$A50,T_Shipments[Effective_Week],30))</f>
        <v/>
      </c>
      <c r="AF50">
        <f>IF(COUNTIF(Material_Detail!$DE:$DE,$A50)&gt;0,IF(ISNUMBER(SEARCH("[済]",INDEX(Material_Detail!$D:$DC,MATCH($A50,Material_Detail!$DE:$DE,0)+1,31))),0,IFERROR(INDEX(Material_Detail!$D:$DC,MATCH($A50,Material_Detail!$DE:$DE,0),31),0)),SUMIFS(T_Shipments[Confirmed_Qty],T_Shipments[Part Name],$A50,T_Shipments[Effective_Week],31))</f>
        <v/>
      </c>
      <c r="AG50">
        <f>IF(COUNTIF(Material_Detail!$DE:$DE,$A50)&gt;0,IF(ISNUMBER(SEARCH("[済]",INDEX(Material_Detail!$D:$DC,MATCH($A50,Material_Detail!$DE:$DE,0)+1,32))),0,IFERROR(INDEX(Material_Detail!$D:$DC,MATCH($A50,Material_Detail!$DE:$DE,0),32),0)),SUMIFS(T_Shipments[Confirmed_Qty],T_Shipments[Part Name],$A50,T_Shipments[Effective_Week],32))</f>
        <v/>
      </c>
      <c r="AH50">
        <f>IF(COUNTIF(Material_Detail!$DE:$DE,$A50)&gt;0,IF(ISNUMBER(SEARCH("[済]",INDEX(Material_Detail!$D:$DC,MATCH($A50,Material_Detail!$DE:$DE,0)+1,33))),0,IFERROR(INDEX(Material_Detail!$D:$DC,MATCH($A50,Material_Detail!$DE:$DE,0),33),0)),SUMIFS(T_Shipments[Confirmed_Qty],T_Shipments[Part Name],$A50,T_Shipments[Effective_Week],33))</f>
        <v/>
      </c>
      <c r="AI50">
        <f>IF(COUNTIF(Material_Detail!$DE:$DE,$A50)&gt;0,IF(ISNUMBER(SEARCH("[済]",INDEX(Material_Detail!$D:$DC,MATCH($A50,Material_Detail!$DE:$DE,0)+1,34))),0,IFERROR(INDEX(Material_Detail!$D:$DC,MATCH($A50,Material_Detail!$DE:$DE,0),34),0)),SUMIFS(T_Shipments[Confirmed_Qty],T_Shipments[Part Name],$A50,T_Shipments[Effective_Week],34))</f>
        <v/>
      </c>
      <c r="AJ50">
        <f>IF(COUNTIF(Material_Detail!$DE:$DE,$A50)&gt;0,IF(ISNUMBER(SEARCH("[済]",INDEX(Material_Detail!$D:$DC,MATCH($A50,Material_Detail!$DE:$DE,0)+1,35))),0,IFERROR(INDEX(Material_Detail!$D:$DC,MATCH($A50,Material_Detail!$DE:$DE,0),35),0)),SUMIFS(T_Shipments[Confirmed_Qty],T_Shipments[Part Name],$A50,T_Shipments[Effective_Week],35))</f>
        <v/>
      </c>
      <c r="AK50">
        <f>IF(COUNTIF(Material_Detail!$DE:$DE,$A50)&gt;0,IF(ISNUMBER(SEARCH("[済]",INDEX(Material_Detail!$D:$DC,MATCH($A50,Material_Detail!$DE:$DE,0)+1,36))),0,IFERROR(INDEX(Material_Detail!$D:$DC,MATCH($A50,Material_Detail!$DE:$DE,0),36),0)),SUMIFS(T_Shipments[Confirmed_Qty],T_Shipments[Part Name],$A50,T_Shipments[Effective_Week],36))</f>
        <v/>
      </c>
      <c r="AL50">
        <f>IF(COUNTIF(Material_Detail!$DE:$DE,$A50)&gt;0,IF(ISNUMBER(SEARCH("[済]",INDEX(Material_Detail!$D:$DC,MATCH($A50,Material_Detail!$DE:$DE,0)+1,37))),0,IFERROR(INDEX(Material_Detail!$D:$DC,MATCH($A50,Material_Detail!$DE:$DE,0),37),0)),SUMIFS(T_Shipments[Confirmed_Qty],T_Shipments[Part Name],$A50,T_Shipments[Effective_Week],37))</f>
        <v/>
      </c>
      <c r="AM50">
        <f>IF(COUNTIF(Material_Detail!$DE:$DE,$A50)&gt;0,IF(ISNUMBER(SEARCH("[済]",INDEX(Material_Detail!$D:$DC,MATCH($A50,Material_Detail!$DE:$DE,0)+1,38))),0,IFERROR(INDEX(Material_Detail!$D:$DC,MATCH($A50,Material_Detail!$DE:$DE,0),38),0)),SUMIFS(T_Shipments[Confirmed_Qty],T_Shipments[Part Name],$A50,T_Shipments[Effective_Week],38))</f>
        <v/>
      </c>
      <c r="AN50">
        <f>IF(COUNTIF(Material_Detail!$DE:$DE,$A50)&gt;0,IF(ISNUMBER(SEARCH("[済]",INDEX(Material_Detail!$D:$DC,MATCH($A50,Material_Detail!$DE:$DE,0)+1,39))),0,IFERROR(INDEX(Material_Detail!$D:$DC,MATCH($A50,Material_Detail!$DE:$DE,0),39),0)),SUMIFS(T_Shipments[Confirmed_Qty],T_Shipments[Part Name],$A50,T_Shipments[Effective_Week],39))</f>
        <v/>
      </c>
      <c r="AO50">
        <f>IF(COUNTIF(Material_Detail!$DE:$DE,$A50)&gt;0,IF(ISNUMBER(SEARCH("[済]",INDEX(Material_Detail!$D:$DC,MATCH($A50,Material_Detail!$DE:$DE,0)+1,40))),0,IFERROR(INDEX(Material_Detail!$D:$DC,MATCH($A50,Material_Detail!$DE:$DE,0),40),0)),SUMIFS(T_Shipments[Confirmed_Qty],T_Shipments[Part Name],$A50,T_Shipments[Effective_Week],40))</f>
        <v/>
      </c>
      <c r="AP50">
        <f>IF(COUNTIF(Material_Detail!$DE:$DE,$A50)&gt;0,IF(ISNUMBER(SEARCH("[済]",INDEX(Material_Detail!$D:$DC,MATCH($A50,Material_Detail!$DE:$DE,0)+1,41))),0,IFERROR(INDEX(Material_Detail!$D:$DC,MATCH($A50,Material_Detail!$DE:$DE,0),41),0)),SUMIFS(T_Shipments[Confirmed_Qty],T_Shipments[Part Name],$A50,T_Shipments[Effective_Week],41))</f>
        <v/>
      </c>
      <c r="AQ50">
        <f>IF(COUNTIF(Material_Detail!$DE:$DE,$A50)&gt;0,IF(ISNUMBER(SEARCH("[済]",INDEX(Material_Detail!$D:$DC,MATCH($A50,Material_Detail!$DE:$DE,0)+1,42))),0,IFERROR(INDEX(Material_Detail!$D:$DC,MATCH($A50,Material_Detail!$DE:$DE,0),42),0)),SUMIFS(T_Shipments[Confirmed_Qty],T_Shipments[Part Name],$A50,T_Shipments[Effective_Week],42))</f>
        <v/>
      </c>
      <c r="AR50">
        <f>IF(COUNTIF(Material_Detail!$DE:$DE,$A50)&gt;0,IF(ISNUMBER(SEARCH("[済]",INDEX(Material_Detail!$D:$DC,MATCH($A50,Material_Detail!$DE:$DE,0)+1,43))),0,IFERROR(INDEX(Material_Detail!$D:$DC,MATCH($A50,Material_Detail!$DE:$DE,0),43),0)),SUMIFS(T_Shipments[Confirmed_Qty],T_Shipments[Part Name],$A50,T_Shipments[Effective_Week],43))</f>
        <v/>
      </c>
      <c r="AS50">
        <f>IF(COUNTIF(Material_Detail!$DE:$DE,$A50)&gt;0,IF(ISNUMBER(SEARCH("[済]",INDEX(Material_Detail!$D:$DC,MATCH($A50,Material_Detail!$DE:$DE,0)+1,44))),0,IFERROR(INDEX(Material_Detail!$D:$DC,MATCH($A50,Material_Detail!$DE:$DE,0),44),0)),SUMIFS(T_Shipments[Confirmed_Qty],T_Shipments[Part Name],$A50,T_Shipments[Effective_Week],44))</f>
        <v/>
      </c>
      <c r="AT50">
        <f>IF(COUNTIF(Material_Detail!$DE:$DE,$A50)&gt;0,IF(ISNUMBER(SEARCH("[済]",INDEX(Material_Detail!$D:$DC,MATCH($A50,Material_Detail!$DE:$DE,0)+1,45))),0,IFERROR(INDEX(Material_Detail!$D:$DC,MATCH($A50,Material_Detail!$DE:$DE,0),45),0)),SUMIFS(T_Shipments[Confirmed_Qty],T_Shipments[Part Name],$A50,T_Shipments[Effective_Week],45))</f>
        <v/>
      </c>
      <c r="AU50">
        <f>IF(COUNTIF(Material_Detail!$DE:$DE,$A50)&gt;0,IF(ISNUMBER(SEARCH("[済]",INDEX(Material_Detail!$D:$DC,MATCH($A50,Material_Detail!$DE:$DE,0)+1,46))),0,IFERROR(INDEX(Material_Detail!$D:$DC,MATCH($A50,Material_Detail!$DE:$DE,0),46),0)),SUMIFS(T_Shipments[Confirmed_Qty],T_Shipments[Part Name],$A50,T_Shipments[Effective_Week],46))</f>
        <v/>
      </c>
      <c r="AV50">
        <f>IF(COUNTIF(Material_Detail!$DE:$DE,$A50)&gt;0,IF(ISNUMBER(SEARCH("[済]",INDEX(Material_Detail!$D:$DC,MATCH($A50,Material_Detail!$DE:$DE,0)+1,47))),0,IFERROR(INDEX(Material_Detail!$D:$DC,MATCH($A50,Material_Detail!$DE:$DE,0),47),0)),SUMIFS(T_Shipments[Confirmed_Qty],T_Shipments[Part Name],$A50,T_Shipments[Effective_Week],47))</f>
        <v/>
      </c>
      <c r="AW50">
        <f>IF(COUNTIF(Material_Detail!$DE:$DE,$A50)&gt;0,IF(ISNUMBER(SEARCH("[済]",INDEX(Material_Detail!$D:$DC,MATCH($A50,Material_Detail!$DE:$DE,0)+1,48))),0,IFERROR(INDEX(Material_Detail!$D:$DC,MATCH($A50,Material_Detail!$DE:$DE,0),48),0)),SUMIFS(T_Shipments[Confirmed_Qty],T_Shipments[Part Name],$A50,T_Shipments[Effective_Week],48))</f>
        <v/>
      </c>
      <c r="AX50">
        <f>IF(COUNTIF(Material_Detail!$DE:$DE,$A50)&gt;0,IF(ISNUMBER(SEARCH("[済]",INDEX(Material_Detail!$D:$DC,MATCH($A50,Material_Detail!$DE:$DE,0)+1,49))),0,IFERROR(INDEX(Material_Detail!$D:$DC,MATCH($A50,Material_Detail!$DE:$DE,0),49),0)),SUMIFS(T_Shipments[Confirmed_Qty],T_Shipments[Part Name],$A50,T_Shipments[Effective_Week],49))</f>
        <v/>
      </c>
      <c r="AY50">
        <f>IF(COUNTIF(Material_Detail!$DE:$DE,$A50)&gt;0,IF(ISNUMBER(SEARCH("[済]",INDEX(Material_Detail!$D:$DC,MATCH($A50,Material_Detail!$DE:$DE,0)+1,50))),0,IFERROR(INDEX(Material_Detail!$D:$DC,MATCH($A50,Material_Detail!$DE:$DE,0),50),0)),SUMIFS(T_Shipments[Confirmed_Qty],T_Shipments[Part Name],$A50,T_Shipments[Effective_Week],50))</f>
        <v/>
      </c>
      <c r="AZ50">
        <f>IF(COUNTIF(Material_Detail!$DE:$DE,$A50)&gt;0,IF(ISNUMBER(SEARCH("[済]",INDEX(Material_Detail!$D:$DC,MATCH($A50,Material_Detail!$DE:$DE,0)+1,51))),0,IFERROR(INDEX(Material_Detail!$D:$DC,MATCH($A50,Material_Detail!$DE:$DE,0),51),0)),SUMIFS(T_Shipments[Confirmed_Qty],T_Shipments[Part Name],$A50,T_Shipments[Effective_Week],51))</f>
        <v/>
      </c>
      <c r="BA50">
        <f>IF(COUNTIF(Material_Detail!$DE:$DE,$A50)&gt;0,IF(ISNUMBER(SEARCH("[済]",INDEX(Material_Detail!$D:$DC,MATCH($A50,Material_Detail!$DE:$DE,0)+1,52))),0,IFERROR(INDEX(Material_Detail!$D:$DC,MATCH($A50,Material_Detail!$DE:$DE,0),52),0)),SUMIFS(T_Shipments[Confirmed_Qty],T_Shipments[Part Name],$A50,T_Shipments[Effective_Week],52))</f>
        <v/>
      </c>
      <c r="BB50">
        <f>IF(COUNTIF(Material_Detail!$DE:$DE,$A50)&gt;0,IF(ISNUMBER(SEARCH("[済]",INDEX(Material_Detail!$D:$DC,MATCH($A50,Material_Detail!$DE:$DE,0)+1,53))),0,IFERROR(INDEX(Material_Detail!$D:$DC,MATCH($A50,Material_Detail!$DE:$DE,0),53),0)),SUMIFS(T_Shipments[Confirmed_Qty],T_Shipments[Part Name],$A50,T_Shipments[Effective_Week],53))</f>
        <v/>
      </c>
      <c r="BC50">
        <f>IF(COUNTIF(Material_Detail!$DE:$DE,$A50)&gt;0,IF(ISNUMBER(SEARCH("[済]",INDEX(Material_Detail!$D:$DC,MATCH($A50,Material_Detail!$DE:$DE,0)+1,54))),0,IFERROR(INDEX(Material_Detail!$D:$DC,MATCH($A50,Material_Detail!$DE:$DE,0),54),0)),SUMIFS(T_Shipments[Confirmed_Qty],T_Shipments[Part Name],$A50,T_Shipments[Effective_Week],54))</f>
        <v/>
      </c>
      <c r="BD50">
        <f>IF(COUNTIF(Material_Detail!$DE:$DE,$A50)&gt;0,IF(ISNUMBER(SEARCH("[済]",INDEX(Material_Detail!$D:$DC,MATCH($A50,Material_Detail!$DE:$DE,0)+1,55))),0,IFERROR(INDEX(Material_Detail!$D:$DC,MATCH($A50,Material_Detail!$DE:$DE,0),55),0)),SUMIFS(T_Shipments[Confirmed_Qty],T_Shipments[Part Name],$A50,T_Shipments[Effective_Week],55))</f>
        <v/>
      </c>
      <c r="BE50">
        <f>IF(COUNTIF(Material_Detail!$DE:$DE,$A50)&gt;0,IF(ISNUMBER(SEARCH("[済]",INDEX(Material_Detail!$D:$DC,MATCH($A50,Material_Detail!$DE:$DE,0)+1,56))),0,IFERROR(INDEX(Material_Detail!$D:$DC,MATCH($A50,Material_Detail!$DE:$DE,0),56),0)),SUMIFS(T_Shipments[Confirmed_Qty],T_Shipments[Part Name],$A50,T_Shipments[Effective_Week],56))</f>
        <v/>
      </c>
      <c r="BF50">
        <f>IF(COUNTIF(Material_Detail!$DE:$DE,$A50)&gt;0,IF(ISNUMBER(SEARCH("[済]",INDEX(Material_Detail!$D:$DC,MATCH($A50,Material_Detail!$DE:$DE,0)+1,57))),0,IFERROR(INDEX(Material_Detail!$D:$DC,MATCH($A50,Material_Detail!$DE:$DE,0),57),0)),SUMIFS(T_Shipments[Confirmed_Qty],T_Shipments[Part Name],$A50,T_Shipments[Effective_Week],57))</f>
        <v/>
      </c>
      <c r="BG50">
        <f>IF(COUNTIF(Material_Detail!$DE:$DE,$A50)&gt;0,IF(ISNUMBER(SEARCH("[済]",INDEX(Material_Detail!$D:$DC,MATCH($A50,Material_Detail!$DE:$DE,0)+1,58))),0,IFERROR(INDEX(Material_Detail!$D:$DC,MATCH($A50,Material_Detail!$DE:$DE,0),58),0)),SUMIFS(T_Shipments[Confirmed_Qty],T_Shipments[Part Name],$A50,T_Shipments[Effective_Week],58))</f>
        <v/>
      </c>
      <c r="BH50">
        <f>IF(COUNTIF(Material_Detail!$DE:$DE,$A50)&gt;0,IF(ISNUMBER(SEARCH("[済]",INDEX(Material_Detail!$D:$DC,MATCH($A50,Material_Detail!$DE:$DE,0)+1,59))),0,IFERROR(INDEX(Material_Detail!$D:$DC,MATCH($A50,Material_Detail!$DE:$DE,0),59),0)),SUMIFS(T_Shipments[Confirmed_Qty],T_Shipments[Part Name],$A50,T_Shipments[Effective_Week],59))</f>
        <v/>
      </c>
      <c r="BI50">
        <f>IF(COUNTIF(Material_Detail!$DE:$DE,$A50)&gt;0,IF(ISNUMBER(SEARCH("[済]",INDEX(Material_Detail!$D:$DC,MATCH($A50,Material_Detail!$DE:$DE,0)+1,60))),0,IFERROR(INDEX(Material_Detail!$D:$DC,MATCH($A50,Material_Detail!$DE:$DE,0),60),0)),SUMIFS(T_Shipments[Confirmed_Qty],T_Shipments[Part Name],$A50,T_Shipments[Effective_Week],60))</f>
        <v/>
      </c>
      <c r="BJ50">
        <f>IF(COUNTIF(Material_Detail!$DE:$DE,$A50)&gt;0,IF(ISNUMBER(SEARCH("[済]",INDEX(Material_Detail!$D:$DC,MATCH($A50,Material_Detail!$DE:$DE,0)+1,61))),0,IFERROR(INDEX(Material_Detail!$D:$DC,MATCH($A50,Material_Detail!$DE:$DE,0),61),0)),SUMIFS(T_Shipments[Confirmed_Qty],T_Shipments[Part Name],$A50,T_Shipments[Effective_Week],61))</f>
        <v/>
      </c>
      <c r="BK50">
        <f>IF(COUNTIF(Material_Detail!$DE:$DE,$A50)&gt;0,IF(ISNUMBER(SEARCH("[済]",INDEX(Material_Detail!$D:$DC,MATCH($A50,Material_Detail!$DE:$DE,0)+1,62))),0,IFERROR(INDEX(Material_Detail!$D:$DC,MATCH($A50,Material_Detail!$DE:$DE,0),62),0)),SUMIFS(T_Shipments[Confirmed_Qty],T_Shipments[Part Name],$A50,T_Shipments[Effective_Week],62))</f>
        <v/>
      </c>
      <c r="BL50">
        <f>IF(COUNTIF(Material_Detail!$DE:$DE,$A50)&gt;0,IF(ISNUMBER(SEARCH("[済]",INDEX(Material_Detail!$D:$DC,MATCH($A50,Material_Detail!$DE:$DE,0)+1,63))),0,IFERROR(INDEX(Material_Detail!$D:$DC,MATCH($A50,Material_Detail!$DE:$DE,0),63),0)),SUMIFS(T_Shipments[Confirmed_Qty],T_Shipments[Part Name],$A50,T_Shipments[Effective_Week],63))</f>
        <v/>
      </c>
      <c r="BM50">
        <f>IF(COUNTIF(Material_Detail!$DE:$DE,$A50)&gt;0,IF(ISNUMBER(SEARCH("[済]",INDEX(Material_Detail!$D:$DC,MATCH($A50,Material_Detail!$DE:$DE,0)+1,64))),0,IFERROR(INDEX(Material_Detail!$D:$DC,MATCH($A50,Material_Detail!$DE:$DE,0),64),0)),SUMIFS(T_Shipments[Confirmed_Qty],T_Shipments[Part Name],$A50,T_Shipments[Effective_Week],64))</f>
        <v/>
      </c>
      <c r="BN50">
        <f>IF(COUNTIF(Material_Detail!$DE:$DE,$A50)&gt;0,IF(ISNUMBER(SEARCH("[済]",INDEX(Material_Detail!$D:$DC,MATCH($A50,Material_Detail!$DE:$DE,0)+1,65))),0,IFERROR(INDEX(Material_Detail!$D:$DC,MATCH($A50,Material_Detail!$DE:$DE,0),65),0)),SUMIFS(T_Shipments[Confirmed_Qty],T_Shipments[Part Name],$A50,T_Shipments[Effective_Week],65))</f>
        <v/>
      </c>
      <c r="BO50">
        <f>IF(COUNTIF(Material_Detail!$DE:$DE,$A50)&gt;0,IF(ISNUMBER(SEARCH("[済]",INDEX(Material_Detail!$D:$DC,MATCH($A50,Material_Detail!$DE:$DE,0)+1,66))),0,IFERROR(INDEX(Material_Detail!$D:$DC,MATCH($A50,Material_Detail!$DE:$DE,0),66),0)),SUMIFS(T_Shipments[Confirmed_Qty],T_Shipments[Part Name],$A50,T_Shipments[Effective_Week],66))</f>
        <v/>
      </c>
      <c r="BP50">
        <f>IF(COUNTIF(Material_Detail!$DE:$DE,$A50)&gt;0,IF(ISNUMBER(SEARCH("[済]",INDEX(Material_Detail!$D:$DC,MATCH($A50,Material_Detail!$DE:$DE,0)+1,67))),0,IFERROR(INDEX(Material_Detail!$D:$DC,MATCH($A50,Material_Detail!$DE:$DE,0),67),0)),SUMIFS(T_Shipments[Confirmed_Qty],T_Shipments[Part Name],$A50,T_Shipments[Effective_Week],67))</f>
        <v/>
      </c>
      <c r="BQ50">
        <f>IF(COUNTIF(Material_Detail!$DE:$DE,$A50)&gt;0,IF(ISNUMBER(SEARCH("[済]",INDEX(Material_Detail!$D:$DC,MATCH($A50,Material_Detail!$DE:$DE,0)+1,68))),0,IFERROR(INDEX(Material_Detail!$D:$DC,MATCH($A50,Material_Detail!$DE:$DE,0),68),0)),SUMIFS(T_Shipments[Confirmed_Qty],T_Shipments[Part Name],$A50,T_Shipments[Effective_Week],68))</f>
        <v/>
      </c>
      <c r="BR50">
        <f>IF(COUNTIF(Material_Detail!$DE:$DE,$A50)&gt;0,IF(ISNUMBER(SEARCH("[済]",INDEX(Material_Detail!$D:$DC,MATCH($A50,Material_Detail!$DE:$DE,0)+1,69))),0,IFERROR(INDEX(Material_Detail!$D:$DC,MATCH($A50,Material_Detail!$DE:$DE,0),69),0)),SUMIFS(T_Shipments[Confirmed_Qty],T_Shipments[Part Name],$A50,T_Shipments[Effective_Week],69))</f>
        <v/>
      </c>
      <c r="BS50">
        <f>IF(COUNTIF(Material_Detail!$DE:$DE,$A50)&gt;0,IF(ISNUMBER(SEARCH("[済]",INDEX(Material_Detail!$D:$DC,MATCH($A50,Material_Detail!$DE:$DE,0)+1,70))),0,IFERROR(INDEX(Material_Detail!$D:$DC,MATCH($A50,Material_Detail!$DE:$DE,0),70),0)),SUMIFS(T_Shipments[Confirmed_Qty],T_Shipments[Part Name],$A50,T_Shipments[Effective_Week],70))</f>
        <v/>
      </c>
      <c r="BT50">
        <f>IF(COUNTIF(Material_Detail!$DE:$DE,$A50)&gt;0,IF(ISNUMBER(SEARCH("[済]",INDEX(Material_Detail!$D:$DC,MATCH($A50,Material_Detail!$DE:$DE,0)+1,71))),0,IFERROR(INDEX(Material_Detail!$D:$DC,MATCH($A50,Material_Detail!$DE:$DE,0),71),0)),SUMIFS(T_Shipments[Confirmed_Qty],T_Shipments[Part Name],$A50,T_Shipments[Effective_Week],71))</f>
        <v/>
      </c>
      <c r="BU50">
        <f>IF(COUNTIF(Material_Detail!$DE:$DE,$A50)&gt;0,IF(ISNUMBER(SEARCH("[済]",INDEX(Material_Detail!$D:$DC,MATCH($A50,Material_Detail!$DE:$DE,0)+1,72))),0,IFERROR(INDEX(Material_Detail!$D:$DC,MATCH($A50,Material_Detail!$DE:$DE,0),72),0)),SUMIFS(T_Shipments[Confirmed_Qty],T_Shipments[Part Name],$A50,T_Shipments[Effective_Week],72))</f>
        <v/>
      </c>
      <c r="BV50">
        <f>IF(COUNTIF(Material_Detail!$DE:$DE,$A50)&gt;0,IF(ISNUMBER(SEARCH("[済]",INDEX(Material_Detail!$D:$DC,MATCH($A50,Material_Detail!$DE:$DE,0)+1,73))),0,IFERROR(INDEX(Material_Detail!$D:$DC,MATCH($A50,Material_Detail!$DE:$DE,0),73),0)),SUMIFS(T_Shipments[Confirmed_Qty],T_Shipments[Part Name],$A50,T_Shipments[Effective_Week],73))</f>
        <v/>
      </c>
      <c r="BW50">
        <f>IF(COUNTIF(Material_Detail!$DE:$DE,$A50)&gt;0,IF(ISNUMBER(SEARCH("[済]",INDEX(Material_Detail!$D:$DC,MATCH($A50,Material_Detail!$DE:$DE,0)+1,74))),0,IFERROR(INDEX(Material_Detail!$D:$DC,MATCH($A50,Material_Detail!$DE:$DE,0),74),0)),SUMIFS(T_Shipments[Confirmed_Qty],T_Shipments[Part Name],$A50,T_Shipments[Effective_Week],74))</f>
        <v/>
      </c>
      <c r="BX50">
        <f>IF(COUNTIF(Material_Detail!$DE:$DE,$A50)&gt;0,IF(ISNUMBER(SEARCH("[済]",INDEX(Material_Detail!$D:$DC,MATCH($A50,Material_Detail!$DE:$DE,0)+1,75))),0,IFERROR(INDEX(Material_Detail!$D:$DC,MATCH($A50,Material_Detail!$DE:$DE,0),75),0)),SUMIFS(T_Shipments[Confirmed_Qty],T_Shipments[Part Name],$A50,T_Shipments[Effective_Week],75))</f>
        <v/>
      </c>
      <c r="BY50">
        <f>IF(COUNTIF(Material_Detail!$DE:$DE,$A50)&gt;0,IF(ISNUMBER(SEARCH("[済]",INDEX(Material_Detail!$D:$DC,MATCH($A50,Material_Detail!$DE:$DE,0)+1,76))),0,IFERROR(INDEX(Material_Detail!$D:$DC,MATCH($A50,Material_Detail!$DE:$DE,0),76),0)),SUMIFS(T_Shipments[Confirmed_Qty],T_Shipments[Part Name],$A50,T_Shipments[Effective_Week],76))</f>
        <v/>
      </c>
      <c r="BZ50">
        <f>IF(COUNTIF(Material_Detail!$DE:$DE,$A50)&gt;0,IF(ISNUMBER(SEARCH("[済]",INDEX(Material_Detail!$D:$DC,MATCH($A50,Material_Detail!$DE:$DE,0)+1,77))),0,IFERROR(INDEX(Material_Detail!$D:$DC,MATCH($A50,Material_Detail!$DE:$DE,0),77),0)),SUMIFS(T_Shipments[Confirmed_Qty],T_Shipments[Part Name],$A50,T_Shipments[Effective_Week],77))</f>
        <v/>
      </c>
      <c r="CA50">
        <f>IF(COUNTIF(Material_Detail!$DE:$DE,$A50)&gt;0,IF(ISNUMBER(SEARCH("[済]",INDEX(Material_Detail!$D:$DC,MATCH($A50,Material_Detail!$DE:$DE,0)+1,78))),0,IFERROR(INDEX(Material_Detail!$D:$DC,MATCH($A50,Material_Detail!$DE:$DE,0),78),0)),SUMIFS(T_Shipments[Confirmed_Qty],T_Shipments[Part Name],$A50,T_Shipments[Effective_Week],78))</f>
        <v/>
      </c>
      <c r="CB50">
        <f>IF(COUNTIF(Material_Detail!$DE:$DE,$A50)&gt;0,IF(ISNUMBER(SEARCH("[済]",INDEX(Material_Detail!$D:$DC,MATCH($A50,Material_Detail!$DE:$DE,0)+1,79))),0,IFERROR(INDEX(Material_Detail!$D:$DC,MATCH($A50,Material_Detail!$DE:$DE,0),79),0)),SUMIFS(T_Shipments[Confirmed_Qty],T_Shipments[Part Name],$A50,T_Shipments[Effective_Week],79))</f>
        <v/>
      </c>
      <c r="CC50">
        <f>IF(COUNTIF(Material_Detail!$DE:$DE,$A50)&gt;0,IF(ISNUMBER(SEARCH("[済]",INDEX(Material_Detail!$D:$DC,MATCH($A50,Material_Detail!$DE:$DE,0)+1,80))),0,IFERROR(INDEX(Material_Detail!$D:$DC,MATCH($A50,Material_Detail!$DE:$DE,0),80),0)),SUMIFS(T_Shipments[Confirmed_Qty],T_Shipments[Part Name],$A50,T_Shipments[Effective_Week],80))</f>
        <v/>
      </c>
      <c r="CD50">
        <f>IF(COUNTIF(Material_Detail!$DE:$DE,$A50)&gt;0,IF(ISNUMBER(SEARCH("[済]",INDEX(Material_Detail!$D:$DC,MATCH($A50,Material_Detail!$DE:$DE,0)+1,81))),0,IFERROR(INDEX(Material_Detail!$D:$DC,MATCH($A50,Material_Detail!$DE:$DE,0),81),0)),SUMIFS(T_Shipments[Confirmed_Qty],T_Shipments[Part Name],$A50,T_Shipments[Effective_Week],81))</f>
        <v/>
      </c>
      <c r="CE50">
        <f>IF(COUNTIF(Material_Detail!$DE:$DE,$A50)&gt;0,IF(ISNUMBER(SEARCH("[済]",INDEX(Material_Detail!$D:$DC,MATCH($A50,Material_Detail!$DE:$DE,0)+1,82))),0,IFERROR(INDEX(Material_Detail!$D:$DC,MATCH($A50,Material_Detail!$DE:$DE,0),82),0)),SUMIFS(T_Shipments[Confirmed_Qty],T_Shipments[Part Name],$A50,T_Shipments[Effective_Week],82))</f>
        <v/>
      </c>
      <c r="CF50">
        <f>IF(COUNTIF(Material_Detail!$DE:$DE,$A50)&gt;0,IF(ISNUMBER(SEARCH("[済]",INDEX(Material_Detail!$D:$DC,MATCH($A50,Material_Detail!$DE:$DE,0)+1,83))),0,IFERROR(INDEX(Material_Detail!$D:$DC,MATCH($A50,Material_Detail!$DE:$DE,0),83),0)),SUMIFS(T_Shipments[Confirmed_Qty],T_Shipments[Part Name],$A50,T_Shipments[Effective_Week],83))</f>
        <v/>
      </c>
      <c r="CG50">
        <f>IF(COUNTIF(Material_Detail!$DE:$DE,$A50)&gt;0,IF(ISNUMBER(SEARCH("[済]",INDEX(Material_Detail!$D:$DC,MATCH($A50,Material_Detail!$DE:$DE,0)+1,84))),0,IFERROR(INDEX(Material_Detail!$D:$DC,MATCH($A50,Material_Detail!$DE:$DE,0),84),0)),SUMIFS(T_Shipments[Confirmed_Qty],T_Shipments[Part Name],$A50,T_Shipments[Effective_Week],84))</f>
        <v/>
      </c>
      <c r="CH50">
        <f>IF(COUNTIF(Material_Detail!$DE:$DE,$A50)&gt;0,IF(ISNUMBER(SEARCH("[済]",INDEX(Material_Detail!$D:$DC,MATCH($A50,Material_Detail!$DE:$DE,0)+1,85))),0,IFERROR(INDEX(Material_Detail!$D:$DC,MATCH($A50,Material_Detail!$DE:$DE,0),85),0)),SUMIFS(T_Shipments[Confirmed_Qty],T_Shipments[Part Name],$A50,T_Shipments[Effective_Week],85))</f>
        <v/>
      </c>
      <c r="CI50">
        <f>IF(COUNTIF(Material_Detail!$DE:$DE,$A50)&gt;0,IF(ISNUMBER(SEARCH("[済]",INDEX(Material_Detail!$D:$DC,MATCH($A50,Material_Detail!$DE:$DE,0)+1,86))),0,IFERROR(INDEX(Material_Detail!$D:$DC,MATCH($A50,Material_Detail!$DE:$DE,0),86),0)),SUMIFS(T_Shipments[Confirmed_Qty],T_Shipments[Part Name],$A50,T_Shipments[Effective_Week],86))</f>
        <v/>
      </c>
      <c r="CJ50">
        <f>IF(COUNTIF(Material_Detail!$DE:$DE,$A50)&gt;0,IF(ISNUMBER(SEARCH("[済]",INDEX(Material_Detail!$D:$DC,MATCH($A50,Material_Detail!$DE:$DE,0)+1,87))),0,IFERROR(INDEX(Material_Detail!$D:$DC,MATCH($A50,Material_Detail!$DE:$DE,0),87),0)),SUMIFS(T_Shipments[Confirmed_Qty],T_Shipments[Part Name],$A50,T_Shipments[Effective_Week],87))</f>
        <v/>
      </c>
      <c r="CK50">
        <f>IF(COUNTIF(Material_Detail!$DE:$DE,$A50)&gt;0,IF(ISNUMBER(SEARCH("[済]",INDEX(Material_Detail!$D:$DC,MATCH($A50,Material_Detail!$DE:$DE,0)+1,88))),0,IFERROR(INDEX(Material_Detail!$D:$DC,MATCH($A50,Material_Detail!$DE:$DE,0),88),0)),SUMIFS(T_Shipments[Confirmed_Qty],T_Shipments[Part Name],$A50,T_Shipments[Effective_Week],88))</f>
        <v/>
      </c>
      <c r="CL50">
        <f>IF(COUNTIF(Material_Detail!$DE:$DE,$A50)&gt;0,IF(ISNUMBER(SEARCH("[済]",INDEX(Material_Detail!$D:$DC,MATCH($A50,Material_Detail!$DE:$DE,0)+1,89))),0,IFERROR(INDEX(Material_Detail!$D:$DC,MATCH($A50,Material_Detail!$DE:$DE,0),89),0)),SUMIFS(T_Shipments[Confirmed_Qty],T_Shipments[Part Name],$A50,T_Shipments[Effective_Week],89))</f>
        <v/>
      </c>
      <c r="CM50">
        <f>IF(COUNTIF(Material_Detail!$DE:$DE,$A50)&gt;0,IF(ISNUMBER(SEARCH("[済]",INDEX(Material_Detail!$D:$DC,MATCH($A50,Material_Detail!$DE:$DE,0)+1,90))),0,IFERROR(INDEX(Material_Detail!$D:$DC,MATCH($A50,Material_Detail!$DE:$DE,0),90),0)),SUMIFS(T_Shipments[Confirmed_Qty],T_Shipments[Part Name],$A50,T_Shipments[Effective_Week],90))</f>
        <v/>
      </c>
      <c r="CN50">
        <f>IF(COUNTIF(Material_Detail!$DE:$DE,$A50)&gt;0,IF(ISNUMBER(SEARCH("[済]",INDEX(Material_Detail!$D:$DC,MATCH($A50,Material_Detail!$DE:$DE,0)+1,91))),0,IFERROR(INDEX(Material_Detail!$D:$DC,MATCH($A50,Material_Detail!$DE:$DE,0),91),0)),SUMIFS(T_Shipments[Confirmed_Qty],T_Shipments[Part Name],$A50,T_Shipments[Effective_Week],91))</f>
        <v/>
      </c>
      <c r="CO50">
        <f>IF(COUNTIF(Material_Detail!$DE:$DE,$A50)&gt;0,IF(ISNUMBER(SEARCH("[済]",INDEX(Material_Detail!$D:$DC,MATCH($A50,Material_Detail!$DE:$DE,0)+1,92))),0,IFERROR(INDEX(Material_Detail!$D:$DC,MATCH($A50,Material_Detail!$DE:$DE,0),92),0)),SUMIFS(T_Shipments[Confirmed_Qty],T_Shipments[Part Name],$A50,T_Shipments[Effective_Week],92))</f>
        <v/>
      </c>
      <c r="CP50">
        <f>IF(COUNTIF(Material_Detail!$DE:$DE,$A50)&gt;0,IF(ISNUMBER(SEARCH("[済]",INDEX(Material_Detail!$D:$DC,MATCH($A50,Material_Detail!$DE:$DE,0)+1,93))),0,IFERROR(INDEX(Material_Detail!$D:$DC,MATCH($A50,Material_Detail!$DE:$DE,0),93),0)),SUMIFS(T_Shipments[Confirmed_Qty],T_Shipments[Part Name],$A50,T_Shipments[Effective_Week],93))</f>
        <v/>
      </c>
      <c r="CQ50">
        <f>IF(COUNTIF(Material_Detail!$DE:$DE,$A50)&gt;0,IF(ISNUMBER(SEARCH("[済]",INDEX(Material_Detail!$D:$DC,MATCH($A50,Material_Detail!$DE:$DE,0)+1,94))),0,IFERROR(INDEX(Material_Detail!$D:$DC,MATCH($A50,Material_Detail!$DE:$DE,0),94),0)),SUMIFS(T_Shipments[Confirmed_Qty],T_Shipments[Part Name],$A50,T_Shipments[Effective_Week],94))</f>
        <v/>
      </c>
      <c r="CR50">
        <f>IF(COUNTIF(Material_Detail!$DE:$DE,$A50)&gt;0,IF(ISNUMBER(SEARCH("[済]",INDEX(Material_Detail!$D:$DC,MATCH($A50,Material_Detail!$DE:$DE,0)+1,95))),0,IFERROR(INDEX(Material_Detail!$D:$DC,MATCH($A50,Material_Detail!$DE:$DE,0),95),0)),SUMIFS(T_Shipments[Confirmed_Qty],T_Shipments[Part Name],$A50,T_Shipments[Effective_Week],95))</f>
        <v/>
      </c>
      <c r="CS50">
        <f>IF(COUNTIF(Material_Detail!$DE:$DE,$A50)&gt;0,IF(ISNUMBER(SEARCH("[済]",INDEX(Material_Detail!$D:$DC,MATCH($A50,Material_Detail!$DE:$DE,0)+1,96))),0,IFERROR(INDEX(Material_Detail!$D:$DC,MATCH($A50,Material_Detail!$DE:$DE,0),96),0)),SUMIFS(T_Shipments[Confirmed_Qty],T_Shipments[Part Name],$A50,T_Shipments[Effective_Week],96))</f>
        <v/>
      </c>
      <c r="CT50">
        <f>IF(COUNTIF(Material_Detail!$DE:$DE,$A50)&gt;0,IF(ISNUMBER(SEARCH("[済]",INDEX(Material_Detail!$D:$DC,MATCH($A50,Material_Detail!$DE:$DE,0)+1,97))),0,IFERROR(INDEX(Material_Detail!$D:$DC,MATCH($A50,Material_Detail!$DE:$DE,0),97),0)),SUMIFS(T_Shipments[Confirmed_Qty],T_Shipments[Part Name],$A50,T_Shipments[Effective_Week],97))</f>
        <v/>
      </c>
      <c r="CU50">
        <f>IF(COUNTIF(Material_Detail!$DE:$DE,$A50)&gt;0,IF(ISNUMBER(SEARCH("[済]",INDEX(Material_Detail!$D:$DC,MATCH($A50,Material_Detail!$DE:$DE,0)+1,98))),0,IFERROR(INDEX(Material_Detail!$D:$DC,MATCH($A50,Material_Detail!$DE:$DE,0),98),0)),SUMIFS(T_Shipments[Confirmed_Qty],T_Shipments[Part Name],$A50,T_Shipments[Effective_Week],98))</f>
        <v/>
      </c>
      <c r="CV50">
        <f>IF(COUNTIF(Material_Detail!$DE:$DE,$A50)&gt;0,IF(ISNUMBER(SEARCH("[済]",INDEX(Material_Detail!$D:$DC,MATCH($A50,Material_Detail!$DE:$DE,0)+1,99))),0,IFERROR(INDEX(Material_Detail!$D:$DC,MATCH($A50,Material_Detail!$DE:$DE,0),99),0)),SUMIFS(T_Shipments[Confirmed_Qty],T_Shipments[Part Name],$A50,T_Shipments[Effective_Week],99))</f>
        <v/>
      </c>
      <c r="CW50">
        <f>IF(COUNTIF(Material_Detail!$DE:$DE,$A50)&gt;0,IF(ISNUMBER(SEARCH("[済]",INDEX(Material_Detail!$D:$DC,MATCH($A50,Material_Detail!$DE:$DE,0)+1,100))),0,IFERROR(INDEX(Material_Detail!$D:$DC,MATCH($A50,Material_Detail!$DE:$DE,0),100),0)),SUMIFS(T_Shipments[Confirmed_Qty],T_Shipments[Part Name],$A50,T_Shipments[Effective_Week],100))</f>
        <v/>
      </c>
      <c r="CX50">
        <f>IF(COUNTIF(Material_Detail!$DE:$DE,$A50)&gt;0,IF(ISNUMBER(SEARCH("[済]",INDEX(Material_Detail!$D:$DC,MATCH($A50,Material_Detail!$DE:$DE,0)+1,101))),0,IFERROR(INDEX(Material_Detail!$D:$DC,MATCH($A50,Material_Detail!$DE:$DE,0),101),0)),SUMIFS(T_Shipments[Confirmed_Qty],T_Shipments[Part Name],$A50,T_Shipments[Effective_Week],101))</f>
        <v/>
      </c>
      <c r="CY50">
        <f>IF(COUNTIF(Material_Detail!$DE:$DE,$A50)&gt;0,IF(ISNUMBER(SEARCH("[済]",INDEX(Material_Detail!$D:$DC,MATCH($A50,Material_Detail!$DE:$DE,0)+1,102))),0,IFERROR(INDEX(Material_Detail!$D:$DC,MATCH($A50,Material_Detail!$DE:$DE,0),102),0)),SUMIFS(T_Shipments[Confirmed_Qty],T_Shipments[Part Name],$A50,T_Shipments[Effective_Week],102))</f>
        <v/>
      </c>
      <c r="CZ50">
        <f>IF(COUNTIF(Material_Detail!$DE:$DE,$A50)&gt;0,IF(ISNUMBER(SEARCH("[済]",INDEX(Material_Detail!$D:$DC,MATCH($A50,Material_Detail!$DE:$DE,0)+1,103))),0,IFERROR(INDEX(Material_Detail!$D:$DC,MATCH($A50,Material_Detail!$DE:$DE,0),103),0)),SUMIFS(T_Shipments[Confirmed_Qty],T_Shipments[Part Name],$A50,T_Shipments[Effective_Week],103))</f>
        <v/>
      </c>
      <c r="DA50">
        <f>IF(COUNTIF(Material_Detail!$DE:$DE,$A50)&gt;0,IF(ISNUMBER(SEARCH("[済]",INDEX(Material_Detail!$D:$DC,MATCH($A50,Material_Detail!$DE:$DE,0)+1,104))),0,IFERROR(INDEX(Material_Detail!$D:$DC,MATCH($A50,Material_Detail!$DE:$DE,0),104),0)),SUMIFS(T_Shipments[Confirmed_Qty],T_Shipments[Part Name],$A50,T_Shipments[Effective_Week],104))</f>
        <v/>
      </c>
    </row>
    <row r="51">
      <c r="A51" t="inlineStr">
        <is>
          <t>CHEM-1700</t>
        </is>
      </c>
      <c r="B51">
        <f>IF(COUNTIF(Material_Detail!$DE:$DE,$A51)&gt;0,IF(ISNUMBER(SEARCH("[済]",INDEX(Material_Detail!$D:$DC,MATCH($A51,Material_Detail!$DE:$DE,0)+1,1))),0,IFERROR(INDEX(Material_Detail!$D:$DC,MATCH($A51,Material_Detail!$DE:$DE,0),1),0)),SUMIFS(T_Shipments[Confirmed_Qty],T_Shipments[Part Name],$A51,T_Shipments[Effective_Week],1))</f>
        <v/>
      </c>
      <c r="C51">
        <f>IF(COUNTIF(Material_Detail!$DE:$DE,$A51)&gt;0,IF(ISNUMBER(SEARCH("[済]",INDEX(Material_Detail!$D:$DC,MATCH($A51,Material_Detail!$DE:$DE,0)+1,2))),0,IFERROR(INDEX(Material_Detail!$D:$DC,MATCH($A51,Material_Detail!$DE:$DE,0),2),0)),SUMIFS(T_Shipments[Confirmed_Qty],T_Shipments[Part Name],$A51,T_Shipments[Effective_Week],2))</f>
        <v/>
      </c>
      <c r="D51">
        <f>IF(COUNTIF(Material_Detail!$DE:$DE,$A51)&gt;0,IF(ISNUMBER(SEARCH("[済]",INDEX(Material_Detail!$D:$DC,MATCH($A51,Material_Detail!$DE:$DE,0)+1,3))),0,IFERROR(INDEX(Material_Detail!$D:$DC,MATCH($A51,Material_Detail!$DE:$DE,0),3),0)),SUMIFS(T_Shipments[Confirmed_Qty],T_Shipments[Part Name],$A51,T_Shipments[Effective_Week],3))</f>
        <v/>
      </c>
      <c r="E51">
        <f>IF(COUNTIF(Material_Detail!$DE:$DE,$A51)&gt;0,IF(ISNUMBER(SEARCH("[済]",INDEX(Material_Detail!$D:$DC,MATCH($A51,Material_Detail!$DE:$DE,0)+1,4))),0,IFERROR(INDEX(Material_Detail!$D:$DC,MATCH($A51,Material_Detail!$DE:$DE,0),4),0)),SUMIFS(T_Shipments[Confirmed_Qty],T_Shipments[Part Name],$A51,T_Shipments[Effective_Week],4))</f>
        <v/>
      </c>
      <c r="F51">
        <f>IF(COUNTIF(Material_Detail!$DE:$DE,$A51)&gt;0,IF(ISNUMBER(SEARCH("[済]",INDEX(Material_Detail!$D:$DC,MATCH($A51,Material_Detail!$DE:$DE,0)+1,5))),0,IFERROR(INDEX(Material_Detail!$D:$DC,MATCH($A51,Material_Detail!$DE:$DE,0),5),0)),SUMIFS(T_Shipments[Confirmed_Qty],T_Shipments[Part Name],$A51,T_Shipments[Effective_Week],5))</f>
        <v/>
      </c>
      <c r="G51">
        <f>IF(COUNTIF(Material_Detail!$DE:$DE,$A51)&gt;0,IF(ISNUMBER(SEARCH("[済]",INDEX(Material_Detail!$D:$DC,MATCH($A51,Material_Detail!$DE:$DE,0)+1,6))),0,IFERROR(INDEX(Material_Detail!$D:$DC,MATCH($A51,Material_Detail!$DE:$DE,0),6),0)),SUMIFS(T_Shipments[Confirmed_Qty],T_Shipments[Part Name],$A51,T_Shipments[Effective_Week],6))</f>
        <v/>
      </c>
      <c r="H51">
        <f>IF(COUNTIF(Material_Detail!$DE:$DE,$A51)&gt;0,IF(ISNUMBER(SEARCH("[済]",INDEX(Material_Detail!$D:$DC,MATCH($A51,Material_Detail!$DE:$DE,0)+1,7))),0,IFERROR(INDEX(Material_Detail!$D:$DC,MATCH($A51,Material_Detail!$DE:$DE,0),7),0)),SUMIFS(T_Shipments[Confirmed_Qty],T_Shipments[Part Name],$A51,T_Shipments[Effective_Week],7))</f>
        <v/>
      </c>
      <c r="I51">
        <f>IF(COUNTIF(Material_Detail!$DE:$DE,$A51)&gt;0,IF(ISNUMBER(SEARCH("[済]",INDEX(Material_Detail!$D:$DC,MATCH($A51,Material_Detail!$DE:$DE,0)+1,8))),0,IFERROR(INDEX(Material_Detail!$D:$DC,MATCH($A51,Material_Detail!$DE:$DE,0),8),0)),SUMIFS(T_Shipments[Confirmed_Qty],T_Shipments[Part Name],$A51,T_Shipments[Effective_Week],8))</f>
        <v/>
      </c>
      <c r="J51">
        <f>IF(COUNTIF(Material_Detail!$DE:$DE,$A51)&gt;0,IF(ISNUMBER(SEARCH("[済]",INDEX(Material_Detail!$D:$DC,MATCH($A51,Material_Detail!$DE:$DE,0)+1,9))),0,IFERROR(INDEX(Material_Detail!$D:$DC,MATCH($A51,Material_Detail!$DE:$DE,0),9),0)),SUMIFS(T_Shipments[Confirmed_Qty],T_Shipments[Part Name],$A51,T_Shipments[Effective_Week],9))</f>
        <v/>
      </c>
      <c r="K51">
        <f>IF(COUNTIF(Material_Detail!$DE:$DE,$A51)&gt;0,IF(ISNUMBER(SEARCH("[済]",INDEX(Material_Detail!$D:$DC,MATCH($A51,Material_Detail!$DE:$DE,0)+1,10))),0,IFERROR(INDEX(Material_Detail!$D:$DC,MATCH($A51,Material_Detail!$DE:$DE,0),10),0)),SUMIFS(T_Shipments[Confirmed_Qty],T_Shipments[Part Name],$A51,T_Shipments[Effective_Week],10))</f>
        <v/>
      </c>
      <c r="L51">
        <f>IF(COUNTIF(Material_Detail!$DE:$DE,$A51)&gt;0,IF(ISNUMBER(SEARCH("[済]",INDEX(Material_Detail!$D:$DC,MATCH($A51,Material_Detail!$DE:$DE,0)+1,11))),0,IFERROR(INDEX(Material_Detail!$D:$DC,MATCH($A51,Material_Detail!$DE:$DE,0),11),0)),SUMIFS(T_Shipments[Confirmed_Qty],T_Shipments[Part Name],$A51,T_Shipments[Effective_Week],11))</f>
        <v/>
      </c>
      <c r="M51">
        <f>IF(COUNTIF(Material_Detail!$DE:$DE,$A51)&gt;0,IF(ISNUMBER(SEARCH("[済]",INDEX(Material_Detail!$D:$DC,MATCH($A51,Material_Detail!$DE:$DE,0)+1,12))),0,IFERROR(INDEX(Material_Detail!$D:$DC,MATCH($A51,Material_Detail!$DE:$DE,0),12),0)),SUMIFS(T_Shipments[Confirmed_Qty],T_Shipments[Part Name],$A51,T_Shipments[Effective_Week],12))</f>
        <v/>
      </c>
      <c r="N51">
        <f>IF(COUNTIF(Material_Detail!$DE:$DE,$A51)&gt;0,IF(ISNUMBER(SEARCH("[済]",INDEX(Material_Detail!$D:$DC,MATCH($A51,Material_Detail!$DE:$DE,0)+1,13))),0,IFERROR(INDEX(Material_Detail!$D:$DC,MATCH($A51,Material_Detail!$DE:$DE,0),13),0)),SUMIFS(T_Shipments[Confirmed_Qty],T_Shipments[Part Name],$A51,T_Shipments[Effective_Week],13))</f>
        <v/>
      </c>
      <c r="O51">
        <f>IF(COUNTIF(Material_Detail!$DE:$DE,$A51)&gt;0,IF(ISNUMBER(SEARCH("[済]",INDEX(Material_Detail!$D:$DC,MATCH($A51,Material_Detail!$DE:$DE,0)+1,14))),0,IFERROR(INDEX(Material_Detail!$D:$DC,MATCH($A51,Material_Detail!$DE:$DE,0),14),0)),SUMIFS(T_Shipments[Confirmed_Qty],T_Shipments[Part Name],$A51,T_Shipments[Effective_Week],14))</f>
        <v/>
      </c>
      <c r="P51">
        <f>IF(COUNTIF(Material_Detail!$DE:$DE,$A51)&gt;0,IF(ISNUMBER(SEARCH("[済]",INDEX(Material_Detail!$D:$DC,MATCH($A51,Material_Detail!$DE:$DE,0)+1,15))),0,IFERROR(INDEX(Material_Detail!$D:$DC,MATCH($A51,Material_Detail!$DE:$DE,0),15),0)),SUMIFS(T_Shipments[Confirmed_Qty],T_Shipments[Part Name],$A51,T_Shipments[Effective_Week],15))</f>
        <v/>
      </c>
      <c r="Q51">
        <f>IF(COUNTIF(Material_Detail!$DE:$DE,$A51)&gt;0,IF(ISNUMBER(SEARCH("[済]",INDEX(Material_Detail!$D:$DC,MATCH($A51,Material_Detail!$DE:$DE,0)+1,16))),0,IFERROR(INDEX(Material_Detail!$D:$DC,MATCH($A51,Material_Detail!$DE:$DE,0),16),0)),SUMIFS(T_Shipments[Confirmed_Qty],T_Shipments[Part Name],$A51,T_Shipments[Effective_Week],16))</f>
        <v/>
      </c>
      <c r="R51">
        <f>IF(COUNTIF(Material_Detail!$DE:$DE,$A51)&gt;0,IF(ISNUMBER(SEARCH("[済]",INDEX(Material_Detail!$D:$DC,MATCH($A51,Material_Detail!$DE:$DE,0)+1,17))),0,IFERROR(INDEX(Material_Detail!$D:$DC,MATCH($A51,Material_Detail!$DE:$DE,0),17),0)),SUMIFS(T_Shipments[Confirmed_Qty],T_Shipments[Part Name],$A51,T_Shipments[Effective_Week],17))</f>
        <v/>
      </c>
      <c r="S51">
        <f>IF(COUNTIF(Material_Detail!$DE:$DE,$A51)&gt;0,IF(ISNUMBER(SEARCH("[済]",INDEX(Material_Detail!$D:$DC,MATCH($A51,Material_Detail!$DE:$DE,0)+1,18))),0,IFERROR(INDEX(Material_Detail!$D:$DC,MATCH($A51,Material_Detail!$DE:$DE,0),18),0)),SUMIFS(T_Shipments[Confirmed_Qty],T_Shipments[Part Name],$A51,T_Shipments[Effective_Week],18))</f>
        <v/>
      </c>
      <c r="T51">
        <f>IF(COUNTIF(Material_Detail!$DE:$DE,$A51)&gt;0,IF(ISNUMBER(SEARCH("[済]",INDEX(Material_Detail!$D:$DC,MATCH($A51,Material_Detail!$DE:$DE,0)+1,19))),0,IFERROR(INDEX(Material_Detail!$D:$DC,MATCH($A51,Material_Detail!$DE:$DE,0),19),0)),SUMIFS(T_Shipments[Confirmed_Qty],T_Shipments[Part Name],$A51,T_Shipments[Effective_Week],19))</f>
        <v/>
      </c>
      <c r="U51">
        <f>IF(COUNTIF(Material_Detail!$DE:$DE,$A51)&gt;0,IF(ISNUMBER(SEARCH("[済]",INDEX(Material_Detail!$D:$DC,MATCH($A51,Material_Detail!$DE:$DE,0)+1,20))),0,IFERROR(INDEX(Material_Detail!$D:$DC,MATCH($A51,Material_Detail!$DE:$DE,0),20),0)),SUMIFS(T_Shipments[Confirmed_Qty],T_Shipments[Part Name],$A51,T_Shipments[Effective_Week],20))</f>
        <v/>
      </c>
      <c r="V51">
        <f>IF(COUNTIF(Material_Detail!$DE:$DE,$A51)&gt;0,IF(ISNUMBER(SEARCH("[済]",INDEX(Material_Detail!$D:$DC,MATCH($A51,Material_Detail!$DE:$DE,0)+1,21))),0,IFERROR(INDEX(Material_Detail!$D:$DC,MATCH($A51,Material_Detail!$DE:$DE,0),21),0)),SUMIFS(T_Shipments[Confirmed_Qty],T_Shipments[Part Name],$A51,T_Shipments[Effective_Week],21))</f>
        <v/>
      </c>
      <c r="W51">
        <f>IF(COUNTIF(Material_Detail!$DE:$DE,$A51)&gt;0,IF(ISNUMBER(SEARCH("[済]",INDEX(Material_Detail!$D:$DC,MATCH($A51,Material_Detail!$DE:$DE,0)+1,22))),0,IFERROR(INDEX(Material_Detail!$D:$DC,MATCH($A51,Material_Detail!$DE:$DE,0),22),0)),SUMIFS(T_Shipments[Confirmed_Qty],T_Shipments[Part Name],$A51,T_Shipments[Effective_Week],22))</f>
        <v/>
      </c>
      <c r="X51">
        <f>IF(COUNTIF(Material_Detail!$DE:$DE,$A51)&gt;0,IF(ISNUMBER(SEARCH("[済]",INDEX(Material_Detail!$D:$DC,MATCH($A51,Material_Detail!$DE:$DE,0)+1,23))),0,IFERROR(INDEX(Material_Detail!$D:$DC,MATCH($A51,Material_Detail!$DE:$DE,0),23),0)),SUMIFS(T_Shipments[Confirmed_Qty],T_Shipments[Part Name],$A51,T_Shipments[Effective_Week],23))</f>
        <v/>
      </c>
      <c r="Y51">
        <f>IF(COUNTIF(Material_Detail!$DE:$DE,$A51)&gt;0,IF(ISNUMBER(SEARCH("[済]",INDEX(Material_Detail!$D:$DC,MATCH($A51,Material_Detail!$DE:$DE,0)+1,24))),0,IFERROR(INDEX(Material_Detail!$D:$DC,MATCH($A51,Material_Detail!$DE:$DE,0),24),0)),SUMIFS(T_Shipments[Confirmed_Qty],T_Shipments[Part Name],$A51,T_Shipments[Effective_Week],24))</f>
        <v/>
      </c>
      <c r="Z51">
        <f>IF(COUNTIF(Material_Detail!$DE:$DE,$A51)&gt;0,IF(ISNUMBER(SEARCH("[済]",INDEX(Material_Detail!$D:$DC,MATCH($A51,Material_Detail!$DE:$DE,0)+1,25))),0,IFERROR(INDEX(Material_Detail!$D:$DC,MATCH($A51,Material_Detail!$DE:$DE,0),25),0)),SUMIFS(T_Shipments[Confirmed_Qty],T_Shipments[Part Name],$A51,T_Shipments[Effective_Week],25))</f>
        <v/>
      </c>
      <c r="AA51">
        <f>IF(COUNTIF(Material_Detail!$DE:$DE,$A51)&gt;0,IF(ISNUMBER(SEARCH("[済]",INDEX(Material_Detail!$D:$DC,MATCH($A51,Material_Detail!$DE:$DE,0)+1,26))),0,IFERROR(INDEX(Material_Detail!$D:$DC,MATCH($A51,Material_Detail!$DE:$DE,0),26),0)),SUMIFS(T_Shipments[Confirmed_Qty],T_Shipments[Part Name],$A51,T_Shipments[Effective_Week],26))</f>
        <v/>
      </c>
      <c r="AB51">
        <f>IF(COUNTIF(Material_Detail!$DE:$DE,$A51)&gt;0,IF(ISNUMBER(SEARCH("[済]",INDEX(Material_Detail!$D:$DC,MATCH($A51,Material_Detail!$DE:$DE,0)+1,27))),0,IFERROR(INDEX(Material_Detail!$D:$DC,MATCH($A51,Material_Detail!$DE:$DE,0),27),0)),SUMIFS(T_Shipments[Confirmed_Qty],T_Shipments[Part Name],$A51,T_Shipments[Effective_Week],27))</f>
        <v/>
      </c>
      <c r="AC51">
        <f>IF(COUNTIF(Material_Detail!$DE:$DE,$A51)&gt;0,IF(ISNUMBER(SEARCH("[済]",INDEX(Material_Detail!$D:$DC,MATCH($A51,Material_Detail!$DE:$DE,0)+1,28))),0,IFERROR(INDEX(Material_Detail!$D:$DC,MATCH($A51,Material_Detail!$DE:$DE,0),28),0)),SUMIFS(T_Shipments[Confirmed_Qty],T_Shipments[Part Name],$A51,T_Shipments[Effective_Week],28))</f>
        <v/>
      </c>
      <c r="AD51">
        <f>IF(COUNTIF(Material_Detail!$DE:$DE,$A51)&gt;0,IF(ISNUMBER(SEARCH("[済]",INDEX(Material_Detail!$D:$DC,MATCH($A51,Material_Detail!$DE:$DE,0)+1,29))),0,IFERROR(INDEX(Material_Detail!$D:$DC,MATCH($A51,Material_Detail!$DE:$DE,0),29),0)),SUMIFS(T_Shipments[Confirmed_Qty],T_Shipments[Part Name],$A51,T_Shipments[Effective_Week],29))</f>
        <v/>
      </c>
      <c r="AE51">
        <f>IF(COUNTIF(Material_Detail!$DE:$DE,$A51)&gt;0,IF(ISNUMBER(SEARCH("[済]",INDEX(Material_Detail!$D:$DC,MATCH($A51,Material_Detail!$DE:$DE,0)+1,30))),0,IFERROR(INDEX(Material_Detail!$D:$DC,MATCH($A51,Material_Detail!$DE:$DE,0),30),0)),SUMIFS(T_Shipments[Confirmed_Qty],T_Shipments[Part Name],$A51,T_Shipments[Effective_Week],30))</f>
        <v/>
      </c>
      <c r="AF51">
        <f>IF(COUNTIF(Material_Detail!$DE:$DE,$A51)&gt;0,IF(ISNUMBER(SEARCH("[済]",INDEX(Material_Detail!$D:$DC,MATCH($A51,Material_Detail!$DE:$DE,0)+1,31))),0,IFERROR(INDEX(Material_Detail!$D:$DC,MATCH($A51,Material_Detail!$DE:$DE,0),31),0)),SUMIFS(T_Shipments[Confirmed_Qty],T_Shipments[Part Name],$A51,T_Shipments[Effective_Week],31))</f>
        <v/>
      </c>
      <c r="AG51">
        <f>IF(COUNTIF(Material_Detail!$DE:$DE,$A51)&gt;0,IF(ISNUMBER(SEARCH("[済]",INDEX(Material_Detail!$D:$DC,MATCH($A51,Material_Detail!$DE:$DE,0)+1,32))),0,IFERROR(INDEX(Material_Detail!$D:$DC,MATCH($A51,Material_Detail!$DE:$DE,0),32),0)),SUMIFS(T_Shipments[Confirmed_Qty],T_Shipments[Part Name],$A51,T_Shipments[Effective_Week],32))</f>
        <v/>
      </c>
      <c r="AH51">
        <f>IF(COUNTIF(Material_Detail!$DE:$DE,$A51)&gt;0,IF(ISNUMBER(SEARCH("[済]",INDEX(Material_Detail!$D:$DC,MATCH($A51,Material_Detail!$DE:$DE,0)+1,33))),0,IFERROR(INDEX(Material_Detail!$D:$DC,MATCH($A51,Material_Detail!$DE:$DE,0),33),0)),SUMIFS(T_Shipments[Confirmed_Qty],T_Shipments[Part Name],$A51,T_Shipments[Effective_Week],33))</f>
        <v/>
      </c>
      <c r="AI51">
        <f>IF(COUNTIF(Material_Detail!$DE:$DE,$A51)&gt;0,IF(ISNUMBER(SEARCH("[済]",INDEX(Material_Detail!$D:$DC,MATCH($A51,Material_Detail!$DE:$DE,0)+1,34))),0,IFERROR(INDEX(Material_Detail!$D:$DC,MATCH($A51,Material_Detail!$DE:$DE,0),34),0)),SUMIFS(T_Shipments[Confirmed_Qty],T_Shipments[Part Name],$A51,T_Shipments[Effective_Week],34))</f>
        <v/>
      </c>
      <c r="AJ51">
        <f>IF(COUNTIF(Material_Detail!$DE:$DE,$A51)&gt;0,IF(ISNUMBER(SEARCH("[済]",INDEX(Material_Detail!$D:$DC,MATCH($A51,Material_Detail!$DE:$DE,0)+1,35))),0,IFERROR(INDEX(Material_Detail!$D:$DC,MATCH($A51,Material_Detail!$DE:$DE,0),35),0)),SUMIFS(T_Shipments[Confirmed_Qty],T_Shipments[Part Name],$A51,T_Shipments[Effective_Week],35))</f>
        <v/>
      </c>
      <c r="AK51">
        <f>IF(COUNTIF(Material_Detail!$DE:$DE,$A51)&gt;0,IF(ISNUMBER(SEARCH("[済]",INDEX(Material_Detail!$D:$DC,MATCH($A51,Material_Detail!$DE:$DE,0)+1,36))),0,IFERROR(INDEX(Material_Detail!$D:$DC,MATCH($A51,Material_Detail!$DE:$DE,0),36),0)),SUMIFS(T_Shipments[Confirmed_Qty],T_Shipments[Part Name],$A51,T_Shipments[Effective_Week],36))</f>
        <v/>
      </c>
      <c r="AL51">
        <f>IF(COUNTIF(Material_Detail!$DE:$DE,$A51)&gt;0,IF(ISNUMBER(SEARCH("[済]",INDEX(Material_Detail!$D:$DC,MATCH($A51,Material_Detail!$DE:$DE,0)+1,37))),0,IFERROR(INDEX(Material_Detail!$D:$DC,MATCH($A51,Material_Detail!$DE:$DE,0),37),0)),SUMIFS(T_Shipments[Confirmed_Qty],T_Shipments[Part Name],$A51,T_Shipments[Effective_Week],37))</f>
        <v/>
      </c>
      <c r="AM51">
        <f>IF(COUNTIF(Material_Detail!$DE:$DE,$A51)&gt;0,IF(ISNUMBER(SEARCH("[済]",INDEX(Material_Detail!$D:$DC,MATCH($A51,Material_Detail!$DE:$DE,0)+1,38))),0,IFERROR(INDEX(Material_Detail!$D:$DC,MATCH($A51,Material_Detail!$DE:$DE,0),38),0)),SUMIFS(T_Shipments[Confirmed_Qty],T_Shipments[Part Name],$A51,T_Shipments[Effective_Week],38))</f>
        <v/>
      </c>
      <c r="AN51">
        <f>IF(COUNTIF(Material_Detail!$DE:$DE,$A51)&gt;0,IF(ISNUMBER(SEARCH("[済]",INDEX(Material_Detail!$D:$DC,MATCH($A51,Material_Detail!$DE:$DE,0)+1,39))),0,IFERROR(INDEX(Material_Detail!$D:$DC,MATCH($A51,Material_Detail!$DE:$DE,0),39),0)),SUMIFS(T_Shipments[Confirmed_Qty],T_Shipments[Part Name],$A51,T_Shipments[Effective_Week],39))</f>
        <v/>
      </c>
      <c r="AO51">
        <f>IF(COUNTIF(Material_Detail!$DE:$DE,$A51)&gt;0,IF(ISNUMBER(SEARCH("[済]",INDEX(Material_Detail!$D:$DC,MATCH($A51,Material_Detail!$DE:$DE,0)+1,40))),0,IFERROR(INDEX(Material_Detail!$D:$DC,MATCH($A51,Material_Detail!$DE:$DE,0),40),0)),SUMIFS(T_Shipments[Confirmed_Qty],T_Shipments[Part Name],$A51,T_Shipments[Effective_Week],40))</f>
        <v/>
      </c>
      <c r="AP51">
        <f>IF(COUNTIF(Material_Detail!$DE:$DE,$A51)&gt;0,IF(ISNUMBER(SEARCH("[済]",INDEX(Material_Detail!$D:$DC,MATCH($A51,Material_Detail!$DE:$DE,0)+1,41))),0,IFERROR(INDEX(Material_Detail!$D:$DC,MATCH($A51,Material_Detail!$DE:$DE,0),41),0)),SUMIFS(T_Shipments[Confirmed_Qty],T_Shipments[Part Name],$A51,T_Shipments[Effective_Week],41))</f>
        <v/>
      </c>
      <c r="AQ51">
        <f>IF(COUNTIF(Material_Detail!$DE:$DE,$A51)&gt;0,IF(ISNUMBER(SEARCH("[済]",INDEX(Material_Detail!$D:$DC,MATCH($A51,Material_Detail!$DE:$DE,0)+1,42))),0,IFERROR(INDEX(Material_Detail!$D:$DC,MATCH($A51,Material_Detail!$DE:$DE,0),42),0)),SUMIFS(T_Shipments[Confirmed_Qty],T_Shipments[Part Name],$A51,T_Shipments[Effective_Week],42))</f>
        <v/>
      </c>
      <c r="AR51">
        <f>IF(COUNTIF(Material_Detail!$DE:$DE,$A51)&gt;0,IF(ISNUMBER(SEARCH("[済]",INDEX(Material_Detail!$D:$DC,MATCH($A51,Material_Detail!$DE:$DE,0)+1,43))),0,IFERROR(INDEX(Material_Detail!$D:$DC,MATCH($A51,Material_Detail!$DE:$DE,0),43),0)),SUMIFS(T_Shipments[Confirmed_Qty],T_Shipments[Part Name],$A51,T_Shipments[Effective_Week],43))</f>
        <v/>
      </c>
      <c r="AS51">
        <f>IF(COUNTIF(Material_Detail!$DE:$DE,$A51)&gt;0,IF(ISNUMBER(SEARCH("[済]",INDEX(Material_Detail!$D:$DC,MATCH($A51,Material_Detail!$DE:$DE,0)+1,44))),0,IFERROR(INDEX(Material_Detail!$D:$DC,MATCH($A51,Material_Detail!$DE:$DE,0),44),0)),SUMIFS(T_Shipments[Confirmed_Qty],T_Shipments[Part Name],$A51,T_Shipments[Effective_Week],44))</f>
        <v/>
      </c>
      <c r="AT51">
        <f>IF(COUNTIF(Material_Detail!$DE:$DE,$A51)&gt;0,IF(ISNUMBER(SEARCH("[済]",INDEX(Material_Detail!$D:$DC,MATCH($A51,Material_Detail!$DE:$DE,0)+1,45))),0,IFERROR(INDEX(Material_Detail!$D:$DC,MATCH($A51,Material_Detail!$DE:$DE,0),45),0)),SUMIFS(T_Shipments[Confirmed_Qty],T_Shipments[Part Name],$A51,T_Shipments[Effective_Week],45))</f>
        <v/>
      </c>
      <c r="AU51">
        <f>IF(COUNTIF(Material_Detail!$DE:$DE,$A51)&gt;0,IF(ISNUMBER(SEARCH("[済]",INDEX(Material_Detail!$D:$DC,MATCH($A51,Material_Detail!$DE:$DE,0)+1,46))),0,IFERROR(INDEX(Material_Detail!$D:$DC,MATCH($A51,Material_Detail!$DE:$DE,0),46),0)),SUMIFS(T_Shipments[Confirmed_Qty],T_Shipments[Part Name],$A51,T_Shipments[Effective_Week],46))</f>
        <v/>
      </c>
      <c r="AV51">
        <f>IF(COUNTIF(Material_Detail!$DE:$DE,$A51)&gt;0,IF(ISNUMBER(SEARCH("[済]",INDEX(Material_Detail!$D:$DC,MATCH($A51,Material_Detail!$DE:$DE,0)+1,47))),0,IFERROR(INDEX(Material_Detail!$D:$DC,MATCH($A51,Material_Detail!$DE:$DE,0),47),0)),SUMIFS(T_Shipments[Confirmed_Qty],T_Shipments[Part Name],$A51,T_Shipments[Effective_Week],47))</f>
        <v/>
      </c>
      <c r="AW51">
        <f>IF(COUNTIF(Material_Detail!$DE:$DE,$A51)&gt;0,IF(ISNUMBER(SEARCH("[済]",INDEX(Material_Detail!$D:$DC,MATCH($A51,Material_Detail!$DE:$DE,0)+1,48))),0,IFERROR(INDEX(Material_Detail!$D:$DC,MATCH($A51,Material_Detail!$DE:$DE,0),48),0)),SUMIFS(T_Shipments[Confirmed_Qty],T_Shipments[Part Name],$A51,T_Shipments[Effective_Week],48))</f>
        <v/>
      </c>
      <c r="AX51">
        <f>IF(COUNTIF(Material_Detail!$DE:$DE,$A51)&gt;0,IF(ISNUMBER(SEARCH("[済]",INDEX(Material_Detail!$D:$DC,MATCH($A51,Material_Detail!$DE:$DE,0)+1,49))),0,IFERROR(INDEX(Material_Detail!$D:$DC,MATCH($A51,Material_Detail!$DE:$DE,0),49),0)),SUMIFS(T_Shipments[Confirmed_Qty],T_Shipments[Part Name],$A51,T_Shipments[Effective_Week],49))</f>
        <v/>
      </c>
      <c r="AY51">
        <f>IF(COUNTIF(Material_Detail!$DE:$DE,$A51)&gt;0,IF(ISNUMBER(SEARCH("[済]",INDEX(Material_Detail!$D:$DC,MATCH($A51,Material_Detail!$DE:$DE,0)+1,50))),0,IFERROR(INDEX(Material_Detail!$D:$DC,MATCH($A51,Material_Detail!$DE:$DE,0),50),0)),SUMIFS(T_Shipments[Confirmed_Qty],T_Shipments[Part Name],$A51,T_Shipments[Effective_Week],50))</f>
        <v/>
      </c>
      <c r="AZ51">
        <f>IF(COUNTIF(Material_Detail!$DE:$DE,$A51)&gt;0,IF(ISNUMBER(SEARCH("[済]",INDEX(Material_Detail!$D:$DC,MATCH($A51,Material_Detail!$DE:$DE,0)+1,51))),0,IFERROR(INDEX(Material_Detail!$D:$DC,MATCH($A51,Material_Detail!$DE:$DE,0),51),0)),SUMIFS(T_Shipments[Confirmed_Qty],T_Shipments[Part Name],$A51,T_Shipments[Effective_Week],51))</f>
        <v/>
      </c>
      <c r="BA51">
        <f>IF(COUNTIF(Material_Detail!$DE:$DE,$A51)&gt;0,IF(ISNUMBER(SEARCH("[済]",INDEX(Material_Detail!$D:$DC,MATCH($A51,Material_Detail!$DE:$DE,0)+1,52))),0,IFERROR(INDEX(Material_Detail!$D:$DC,MATCH($A51,Material_Detail!$DE:$DE,0),52),0)),SUMIFS(T_Shipments[Confirmed_Qty],T_Shipments[Part Name],$A51,T_Shipments[Effective_Week],52))</f>
        <v/>
      </c>
      <c r="BB51">
        <f>IF(COUNTIF(Material_Detail!$DE:$DE,$A51)&gt;0,IF(ISNUMBER(SEARCH("[済]",INDEX(Material_Detail!$D:$DC,MATCH($A51,Material_Detail!$DE:$DE,0)+1,53))),0,IFERROR(INDEX(Material_Detail!$D:$DC,MATCH($A51,Material_Detail!$DE:$DE,0),53),0)),SUMIFS(T_Shipments[Confirmed_Qty],T_Shipments[Part Name],$A51,T_Shipments[Effective_Week],53))</f>
        <v/>
      </c>
      <c r="BC51">
        <f>IF(COUNTIF(Material_Detail!$DE:$DE,$A51)&gt;0,IF(ISNUMBER(SEARCH("[済]",INDEX(Material_Detail!$D:$DC,MATCH($A51,Material_Detail!$DE:$DE,0)+1,54))),0,IFERROR(INDEX(Material_Detail!$D:$DC,MATCH($A51,Material_Detail!$DE:$DE,0),54),0)),SUMIFS(T_Shipments[Confirmed_Qty],T_Shipments[Part Name],$A51,T_Shipments[Effective_Week],54))</f>
        <v/>
      </c>
      <c r="BD51">
        <f>IF(COUNTIF(Material_Detail!$DE:$DE,$A51)&gt;0,IF(ISNUMBER(SEARCH("[済]",INDEX(Material_Detail!$D:$DC,MATCH($A51,Material_Detail!$DE:$DE,0)+1,55))),0,IFERROR(INDEX(Material_Detail!$D:$DC,MATCH($A51,Material_Detail!$DE:$DE,0),55),0)),SUMIFS(T_Shipments[Confirmed_Qty],T_Shipments[Part Name],$A51,T_Shipments[Effective_Week],55))</f>
        <v/>
      </c>
      <c r="BE51">
        <f>IF(COUNTIF(Material_Detail!$DE:$DE,$A51)&gt;0,IF(ISNUMBER(SEARCH("[済]",INDEX(Material_Detail!$D:$DC,MATCH($A51,Material_Detail!$DE:$DE,0)+1,56))),0,IFERROR(INDEX(Material_Detail!$D:$DC,MATCH($A51,Material_Detail!$DE:$DE,0),56),0)),SUMIFS(T_Shipments[Confirmed_Qty],T_Shipments[Part Name],$A51,T_Shipments[Effective_Week],56))</f>
        <v/>
      </c>
      <c r="BF51">
        <f>IF(COUNTIF(Material_Detail!$DE:$DE,$A51)&gt;0,IF(ISNUMBER(SEARCH("[済]",INDEX(Material_Detail!$D:$DC,MATCH($A51,Material_Detail!$DE:$DE,0)+1,57))),0,IFERROR(INDEX(Material_Detail!$D:$DC,MATCH($A51,Material_Detail!$DE:$DE,0),57),0)),SUMIFS(T_Shipments[Confirmed_Qty],T_Shipments[Part Name],$A51,T_Shipments[Effective_Week],57))</f>
        <v/>
      </c>
      <c r="BG51">
        <f>IF(COUNTIF(Material_Detail!$DE:$DE,$A51)&gt;0,IF(ISNUMBER(SEARCH("[済]",INDEX(Material_Detail!$D:$DC,MATCH($A51,Material_Detail!$DE:$DE,0)+1,58))),0,IFERROR(INDEX(Material_Detail!$D:$DC,MATCH($A51,Material_Detail!$DE:$DE,0),58),0)),SUMIFS(T_Shipments[Confirmed_Qty],T_Shipments[Part Name],$A51,T_Shipments[Effective_Week],58))</f>
        <v/>
      </c>
      <c r="BH51">
        <f>IF(COUNTIF(Material_Detail!$DE:$DE,$A51)&gt;0,IF(ISNUMBER(SEARCH("[済]",INDEX(Material_Detail!$D:$DC,MATCH($A51,Material_Detail!$DE:$DE,0)+1,59))),0,IFERROR(INDEX(Material_Detail!$D:$DC,MATCH($A51,Material_Detail!$DE:$DE,0),59),0)),SUMIFS(T_Shipments[Confirmed_Qty],T_Shipments[Part Name],$A51,T_Shipments[Effective_Week],59))</f>
        <v/>
      </c>
      <c r="BI51">
        <f>IF(COUNTIF(Material_Detail!$DE:$DE,$A51)&gt;0,IF(ISNUMBER(SEARCH("[済]",INDEX(Material_Detail!$D:$DC,MATCH($A51,Material_Detail!$DE:$DE,0)+1,60))),0,IFERROR(INDEX(Material_Detail!$D:$DC,MATCH($A51,Material_Detail!$DE:$DE,0),60),0)),SUMIFS(T_Shipments[Confirmed_Qty],T_Shipments[Part Name],$A51,T_Shipments[Effective_Week],60))</f>
        <v/>
      </c>
      <c r="BJ51">
        <f>IF(COUNTIF(Material_Detail!$DE:$DE,$A51)&gt;0,IF(ISNUMBER(SEARCH("[済]",INDEX(Material_Detail!$D:$DC,MATCH($A51,Material_Detail!$DE:$DE,0)+1,61))),0,IFERROR(INDEX(Material_Detail!$D:$DC,MATCH($A51,Material_Detail!$DE:$DE,0),61),0)),SUMIFS(T_Shipments[Confirmed_Qty],T_Shipments[Part Name],$A51,T_Shipments[Effective_Week],61))</f>
        <v/>
      </c>
      <c r="BK51">
        <f>IF(COUNTIF(Material_Detail!$DE:$DE,$A51)&gt;0,IF(ISNUMBER(SEARCH("[済]",INDEX(Material_Detail!$D:$DC,MATCH($A51,Material_Detail!$DE:$DE,0)+1,62))),0,IFERROR(INDEX(Material_Detail!$D:$DC,MATCH($A51,Material_Detail!$DE:$DE,0),62),0)),SUMIFS(T_Shipments[Confirmed_Qty],T_Shipments[Part Name],$A51,T_Shipments[Effective_Week],62))</f>
        <v/>
      </c>
      <c r="BL51">
        <f>IF(COUNTIF(Material_Detail!$DE:$DE,$A51)&gt;0,IF(ISNUMBER(SEARCH("[済]",INDEX(Material_Detail!$D:$DC,MATCH($A51,Material_Detail!$DE:$DE,0)+1,63))),0,IFERROR(INDEX(Material_Detail!$D:$DC,MATCH($A51,Material_Detail!$DE:$DE,0),63),0)),SUMIFS(T_Shipments[Confirmed_Qty],T_Shipments[Part Name],$A51,T_Shipments[Effective_Week],63))</f>
        <v/>
      </c>
      <c r="BM51">
        <f>IF(COUNTIF(Material_Detail!$DE:$DE,$A51)&gt;0,IF(ISNUMBER(SEARCH("[済]",INDEX(Material_Detail!$D:$DC,MATCH($A51,Material_Detail!$DE:$DE,0)+1,64))),0,IFERROR(INDEX(Material_Detail!$D:$DC,MATCH($A51,Material_Detail!$DE:$DE,0),64),0)),SUMIFS(T_Shipments[Confirmed_Qty],T_Shipments[Part Name],$A51,T_Shipments[Effective_Week],64))</f>
        <v/>
      </c>
      <c r="BN51">
        <f>IF(COUNTIF(Material_Detail!$DE:$DE,$A51)&gt;0,IF(ISNUMBER(SEARCH("[済]",INDEX(Material_Detail!$D:$DC,MATCH($A51,Material_Detail!$DE:$DE,0)+1,65))),0,IFERROR(INDEX(Material_Detail!$D:$DC,MATCH($A51,Material_Detail!$DE:$DE,0),65),0)),SUMIFS(T_Shipments[Confirmed_Qty],T_Shipments[Part Name],$A51,T_Shipments[Effective_Week],65))</f>
        <v/>
      </c>
      <c r="BO51">
        <f>IF(COUNTIF(Material_Detail!$DE:$DE,$A51)&gt;0,IF(ISNUMBER(SEARCH("[済]",INDEX(Material_Detail!$D:$DC,MATCH($A51,Material_Detail!$DE:$DE,0)+1,66))),0,IFERROR(INDEX(Material_Detail!$D:$DC,MATCH($A51,Material_Detail!$DE:$DE,0),66),0)),SUMIFS(T_Shipments[Confirmed_Qty],T_Shipments[Part Name],$A51,T_Shipments[Effective_Week],66))</f>
        <v/>
      </c>
      <c r="BP51">
        <f>IF(COUNTIF(Material_Detail!$DE:$DE,$A51)&gt;0,IF(ISNUMBER(SEARCH("[済]",INDEX(Material_Detail!$D:$DC,MATCH($A51,Material_Detail!$DE:$DE,0)+1,67))),0,IFERROR(INDEX(Material_Detail!$D:$DC,MATCH($A51,Material_Detail!$DE:$DE,0),67),0)),SUMIFS(T_Shipments[Confirmed_Qty],T_Shipments[Part Name],$A51,T_Shipments[Effective_Week],67))</f>
        <v/>
      </c>
      <c r="BQ51">
        <f>IF(COUNTIF(Material_Detail!$DE:$DE,$A51)&gt;0,IF(ISNUMBER(SEARCH("[済]",INDEX(Material_Detail!$D:$DC,MATCH($A51,Material_Detail!$DE:$DE,0)+1,68))),0,IFERROR(INDEX(Material_Detail!$D:$DC,MATCH($A51,Material_Detail!$DE:$DE,0),68),0)),SUMIFS(T_Shipments[Confirmed_Qty],T_Shipments[Part Name],$A51,T_Shipments[Effective_Week],68))</f>
        <v/>
      </c>
      <c r="BR51">
        <f>IF(COUNTIF(Material_Detail!$DE:$DE,$A51)&gt;0,IF(ISNUMBER(SEARCH("[済]",INDEX(Material_Detail!$D:$DC,MATCH($A51,Material_Detail!$DE:$DE,0)+1,69))),0,IFERROR(INDEX(Material_Detail!$D:$DC,MATCH($A51,Material_Detail!$DE:$DE,0),69),0)),SUMIFS(T_Shipments[Confirmed_Qty],T_Shipments[Part Name],$A51,T_Shipments[Effective_Week],69))</f>
        <v/>
      </c>
      <c r="BS51">
        <f>IF(COUNTIF(Material_Detail!$DE:$DE,$A51)&gt;0,IF(ISNUMBER(SEARCH("[済]",INDEX(Material_Detail!$D:$DC,MATCH($A51,Material_Detail!$DE:$DE,0)+1,70))),0,IFERROR(INDEX(Material_Detail!$D:$DC,MATCH($A51,Material_Detail!$DE:$DE,0),70),0)),SUMIFS(T_Shipments[Confirmed_Qty],T_Shipments[Part Name],$A51,T_Shipments[Effective_Week],70))</f>
        <v/>
      </c>
      <c r="BT51">
        <f>IF(COUNTIF(Material_Detail!$DE:$DE,$A51)&gt;0,IF(ISNUMBER(SEARCH("[済]",INDEX(Material_Detail!$D:$DC,MATCH($A51,Material_Detail!$DE:$DE,0)+1,71))),0,IFERROR(INDEX(Material_Detail!$D:$DC,MATCH($A51,Material_Detail!$DE:$DE,0),71),0)),SUMIFS(T_Shipments[Confirmed_Qty],T_Shipments[Part Name],$A51,T_Shipments[Effective_Week],71))</f>
        <v/>
      </c>
      <c r="BU51">
        <f>IF(COUNTIF(Material_Detail!$DE:$DE,$A51)&gt;0,IF(ISNUMBER(SEARCH("[済]",INDEX(Material_Detail!$D:$DC,MATCH($A51,Material_Detail!$DE:$DE,0)+1,72))),0,IFERROR(INDEX(Material_Detail!$D:$DC,MATCH($A51,Material_Detail!$DE:$DE,0),72),0)),SUMIFS(T_Shipments[Confirmed_Qty],T_Shipments[Part Name],$A51,T_Shipments[Effective_Week],72))</f>
        <v/>
      </c>
      <c r="BV51">
        <f>IF(COUNTIF(Material_Detail!$DE:$DE,$A51)&gt;0,IF(ISNUMBER(SEARCH("[済]",INDEX(Material_Detail!$D:$DC,MATCH($A51,Material_Detail!$DE:$DE,0)+1,73))),0,IFERROR(INDEX(Material_Detail!$D:$DC,MATCH($A51,Material_Detail!$DE:$DE,0),73),0)),SUMIFS(T_Shipments[Confirmed_Qty],T_Shipments[Part Name],$A51,T_Shipments[Effective_Week],73))</f>
        <v/>
      </c>
      <c r="BW51">
        <f>IF(COUNTIF(Material_Detail!$DE:$DE,$A51)&gt;0,IF(ISNUMBER(SEARCH("[済]",INDEX(Material_Detail!$D:$DC,MATCH($A51,Material_Detail!$DE:$DE,0)+1,74))),0,IFERROR(INDEX(Material_Detail!$D:$DC,MATCH($A51,Material_Detail!$DE:$DE,0),74),0)),SUMIFS(T_Shipments[Confirmed_Qty],T_Shipments[Part Name],$A51,T_Shipments[Effective_Week],74))</f>
        <v/>
      </c>
      <c r="BX51">
        <f>IF(COUNTIF(Material_Detail!$DE:$DE,$A51)&gt;0,IF(ISNUMBER(SEARCH("[済]",INDEX(Material_Detail!$D:$DC,MATCH($A51,Material_Detail!$DE:$DE,0)+1,75))),0,IFERROR(INDEX(Material_Detail!$D:$DC,MATCH($A51,Material_Detail!$DE:$DE,0),75),0)),SUMIFS(T_Shipments[Confirmed_Qty],T_Shipments[Part Name],$A51,T_Shipments[Effective_Week],75))</f>
        <v/>
      </c>
      <c r="BY51">
        <f>IF(COUNTIF(Material_Detail!$DE:$DE,$A51)&gt;0,IF(ISNUMBER(SEARCH("[済]",INDEX(Material_Detail!$D:$DC,MATCH($A51,Material_Detail!$DE:$DE,0)+1,76))),0,IFERROR(INDEX(Material_Detail!$D:$DC,MATCH($A51,Material_Detail!$DE:$DE,0),76),0)),SUMIFS(T_Shipments[Confirmed_Qty],T_Shipments[Part Name],$A51,T_Shipments[Effective_Week],76))</f>
        <v/>
      </c>
      <c r="BZ51">
        <f>IF(COUNTIF(Material_Detail!$DE:$DE,$A51)&gt;0,IF(ISNUMBER(SEARCH("[済]",INDEX(Material_Detail!$D:$DC,MATCH($A51,Material_Detail!$DE:$DE,0)+1,77))),0,IFERROR(INDEX(Material_Detail!$D:$DC,MATCH($A51,Material_Detail!$DE:$DE,0),77),0)),SUMIFS(T_Shipments[Confirmed_Qty],T_Shipments[Part Name],$A51,T_Shipments[Effective_Week],77))</f>
        <v/>
      </c>
      <c r="CA51">
        <f>IF(COUNTIF(Material_Detail!$DE:$DE,$A51)&gt;0,IF(ISNUMBER(SEARCH("[済]",INDEX(Material_Detail!$D:$DC,MATCH($A51,Material_Detail!$DE:$DE,0)+1,78))),0,IFERROR(INDEX(Material_Detail!$D:$DC,MATCH($A51,Material_Detail!$DE:$DE,0),78),0)),SUMIFS(T_Shipments[Confirmed_Qty],T_Shipments[Part Name],$A51,T_Shipments[Effective_Week],78))</f>
        <v/>
      </c>
      <c r="CB51">
        <f>IF(COUNTIF(Material_Detail!$DE:$DE,$A51)&gt;0,IF(ISNUMBER(SEARCH("[済]",INDEX(Material_Detail!$D:$DC,MATCH($A51,Material_Detail!$DE:$DE,0)+1,79))),0,IFERROR(INDEX(Material_Detail!$D:$DC,MATCH($A51,Material_Detail!$DE:$DE,0),79),0)),SUMIFS(T_Shipments[Confirmed_Qty],T_Shipments[Part Name],$A51,T_Shipments[Effective_Week],79))</f>
        <v/>
      </c>
      <c r="CC51">
        <f>IF(COUNTIF(Material_Detail!$DE:$DE,$A51)&gt;0,IF(ISNUMBER(SEARCH("[済]",INDEX(Material_Detail!$D:$DC,MATCH($A51,Material_Detail!$DE:$DE,0)+1,80))),0,IFERROR(INDEX(Material_Detail!$D:$DC,MATCH($A51,Material_Detail!$DE:$DE,0),80),0)),SUMIFS(T_Shipments[Confirmed_Qty],T_Shipments[Part Name],$A51,T_Shipments[Effective_Week],80))</f>
        <v/>
      </c>
      <c r="CD51">
        <f>IF(COUNTIF(Material_Detail!$DE:$DE,$A51)&gt;0,IF(ISNUMBER(SEARCH("[済]",INDEX(Material_Detail!$D:$DC,MATCH($A51,Material_Detail!$DE:$DE,0)+1,81))),0,IFERROR(INDEX(Material_Detail!$D:$DC,MATCH($A51,Material_Detail!$DE:$DE,0),81),0)),SUMIFS(T_Shipments[Confirmed_Qty],T_Shipments[Part Name],$A51,T_Shipments[Effective_Week],81))</f>
        <v/>
      </c>
      <c r="CE51">
        <f>IF(COUNTIF(Material_Detail!$DE:$DE,$A51)&gt;0,IF(ISNUMBER(SEARCH("[済]",INDEX(Material_Detail!$D:$DC,MATCH($A51,Material_Detail!$DE:$DE,0)+1,82))),0,IFERROR(INDEX(Material_Detail!$D:$DC,MATCH($A51,Material_Detail!$DE:$DE,0),82),0)),SUMIFS(T_Shipments[Confirmed_Qty],T_Shipments[Part Name],$A51,T_Shipments[Effective_Week],82))</f>
        <v/>
      </c>
      <c r="CF51">
        <f>IF(COUNTIF(Material_Detail!$DE:$DE,$A51)&gt;0,IF(ISNUMBER(SEARCH("[済]",INDEX(Material_Detail!$D:$DC,MATCH($A51,Material_Detail!$DE:$DE,0)+1,83))),0,IFERROR(INDEX(Material_Detail!$D:$DC,MATCH($A51,Material_Detail!$DE:$DE,0),83),0)),SUMIFS(T_Shipments[Confirmed_Qty],T_Shipments[Part Name],$A51,T_Shipments[Effective_Week],83))</f>
        <v/>
      </c>
      <c r="CG51">
        <f>IF(COUNTIF(Material_Detail!$DE:$DE,$A51)&gt;0,IF(ISNUMBER(SEARCH("[済]",INDEX(Material_Detail!$D:$DC,MATCH($A51,Material_Detail!$DE:$DE,0)+1,84))),0,IFERROR(INDEX(Material_Detail!$D:$DC,MATCH($A51,Material_Detail!$DE:$DE,0),84),0)),SUMIFS(T_Shipments[Confirmed_Qty],T_Shipments[Part Name],$A51,T_Shipments[Effective_Week],84))</f>
        <v/>
      </c>
      <c r="CH51">
        <f>IF(COUNTIF(Material_Detail!$DE:$DE,$A51)&gt;0,IF(ISNUMBER(SEARCH("[済]",INDEX(Material_Detail!$D:$DC,MATCH($A51,Material_Detail!$DE:$DE,0)+1,85))),0,IFERROR(INDEX(Material_Detail!$D:$DC,MATCH($A51,Material_Detail!$DE:$DE,0),85),0)),SUMIFS(T_Shipments[Confirmed_Qty],T_Shipments[Part Name],$A51,T_Shipments[Effective_Week],85))</f>
        <v/>
      </c>
      <c r="CI51">
        <f>IF(COUNTIF(Material_Detail!$DE:$DE,$A51)&gt;0,IF(ISNUMBER(SEARCH("[済]",INDEX(Material_Detail!$D:$DC,MATCH($A51,Material_Detail!$DE:$DE,0)+1,86))),0,IFERROR(INDEX(Material_Detail!$D:$DC,MATCH($A51,Material_Detail!$DE:$DE,0),86),0)),SUMIFS(T_Shipments[Confirmed_Qty],T_Shipments[Part Name],$A51,T_Shipments[Effective_Week],86))</f>
        <v/>
      </c>
      <c r="CJ51">
        <f>IF(COUNTIF(Material_Detail!$DE:$DE,$A51)&gt;0,IF(ISNUMBER(SEARCH("[済]",INDEX(Material_Detail!$D:$DC,MATCH($A51,Material_Detail!$DE:$DE,0)+1,87))),0,IFERROR(INDEX(Material_Detail!$D:$DC,MATCH($A51,Material_Detail!$DE:$DE,0),87),0)),SUMIFS(T_Shipments[Confirmed_Qty],T_Shipments[Part Name],$A51,T_Shipments[Effective_Week],87))</f>
        <v/>
      </c>
      <c r="CK51">
        <f>IF(COUNTIF(Material_Detail!$DE:$DE,$A51)&gt;0,IF(ISNUMBER(SEARCH("[済]",INDEX(Material_Detail!$D:$DC,MATCH($A51,Material_Detail!$DE:$DE,0)+1,88))),0,IFERROR(INDEX(Material_Detail!$D:$DC,MATCH($A51,Material_Detail!$DE:$DE,0),88),0)),SUMIFS(T_Shipments[Confirmed_Qty],T_Shipments[Part Name],$A51,T_Shipments[Effective_Week],88))</f>
        <v/>
      </c>
      <c r="CL51">
        <f>IF(COUNTIF(Material_Detail!$DE:$DE,$A51)&gt;0,IF(ISNUMBER(SEARCH("[済]",INDEX(Material_Detail!$D:$DC,MATCH($A51,Material_Detail!$DE:$DE,0)+1,89))),0,IFERROR(INDEX(Material_Detail!$D:$DC,MATCH($A51,Material_Detail!$DE:$DE,0),89),0)),SUMIFS(T_Shipments[Confirmed_Qty],T_Shipments[Part Name],$A51,T_Shipments[Effective_Week],89))</f>
        <v/>
      </c>
      <c r="CM51">
        <f>IF(COUNTIF(Material_Detail!$DE:$DE,$A51)&gt;0,IF(ISNUMBER(SEARCH("[済]",INDEX(Material_Detail!$D:$DC,MATCH($A51,Material_Detail!$DE:$DE,0)+1,90))),0,IFERROR(INDEX(Material_Detail!$D:$DC,MATCH($A51,Material_Detail!$DE:$DE,0),90),0)),SUMIFS(T_Shipments[Confirmed_Qty],T_Shipments[Part Name],$A51,T_Shipments[Effective_Week],90))</f>
        <v/>
      </c>
      <c r="CN51">
        <f>IF(COUNTIF(Material_Detail!$DE:$DE,$A51)&gt;0,IF(ISNUMBER(SEARCH("[済]",INDEX(Material_Detail!$D:$DC,MATCH($A51,Material_Detail!$DE:$DE,0)+1,91))),0,IFERROR(INDEX(Material_Detail!$D:$DC,MATCH($A51,Material_Detail!$DE:$DE,0),91),0)),SUMIFS(T_Shipments[Confirmed_Qty],T_Shipments[Part Name],$A51,T_Shipments[Effective_Week],91))</f>
        <v/>
      </c>
      <c r="CO51">
        <f>IF(COUNTIF(Material_Detail!$DE:$DE,$A51)&gt;0,IF(ISNUMBER(SEARCH("[済]",INDEX(Material_Detail!$D:$DC,MATCH($A51,Material_Detail!$DE:$DE,0)+1,92))),0,IFERROR(INDEX(Material_Detail!$D:$DC,MATCH($A51,Material_Detail!$DE:$DE,0),92),0)),SUMIFS(T_Shipments[Confirmed_Qty],T_Shipments[Part Name],$A51,T_Shipments[Effective_Week],92))</f>
        <v/>
      </c>
      <c r="CP51">
        <f>IF(COUNTIF(Material_Detail!$DE:$DE,$A51)&gt;0,IF(ISNUMBER(SEARCH("[済]",INDEX(Material_Detail!$D:$DC,MATCH($A51,Material_Detail!$DE:$DE,0)+1,93))),0,IFERROR(INDEX(Material_Detail!$D:$DC,MATCH($A51,Material_Detail!$DE:$DE,0),93),0)),SUMIFS(T_Shipments[Confirmed_Qty],T_Shipments[Part Name],$A51,T_Shipments[Effective_Week],93))</f>
        <v/>
      </c>
      <c r="CQ51">
        <f>IF(COUNTIF(Material_Detail!$DE:$DE,$A51)&gt;0,IF(ISNUMBER(SEARCH("[済]",INDEX(Material_Detail!$D:$DC,MATCH($A51,Material_Detail!$DE:$DE,0)+1,94))),0,IFERROR(INDEX(Material_Detail!$D:$DC,MATCH($A51,Material_Detail!$DE:$DE,0),94),0)),SUMIFS(T_Shipments[Confirmed_Qty],T_Shipments[Part Name],$A51,T_Shipments[Effective_Week],94))</f>
        <v/>
      </c>
      <c r="CR51">
        <f>IF(COUNTIF(Material_Detail!$DE:$DE,$A51)&gt;0,IF(ISNUMBER(SEARCH("[済]",INDEX(Material_Detail!$D:$DC,MATCH($A51,Material_Detail!$DE:$DE,0)+1,95))),0,IFERROR(INDEX(Material_Detail!$D:$DC,MATCH($A51,Material_Detail!$DE:$DE,0),95),0)),SUMIFS(T_Shipments[Confirmed_Qty],T_Shipments[Part Name],$A51,T_Shipments[Effective_Week],95))</f>
        <v/>
      </c>
      <c r="CS51">
        <f>IF(COUNTIF(Material_Detail!$DE:$DE,$A51)&gt;0,IF(ISNUMBER(SEARCH("[済]",INDEX(Material_Detail!$D:$DC,MATCH($A51,Material_Detail!$DE:$DE,0)+1,96))),0,IFERROR(INDEX(Material_Detail!$D:$DC,MATCH($A51,Material_Detail!$DE:$DE,0),96),0)),SUMIFS(T_Shipments[Confirmed_Qty],T_Shipments[Part Name],$A51,T_Shipments[Effective_Week],96))</f>
        <v/>
      </c>
      <c r="CT51">
        <f>IF(COUNTIF(Material_Detail!$DE:$DE,$A51)&gt;0,IF(ISNUMBER(SEARCH("[済]",INDEX(Material_Detail!$D:$DC,MATCH($A51,Material_Detail!$DE:$DE,0)+1,97))),0,IFERROR(INDEX(Material_Detail!$D:$DC,MATCH($A51,Material_Detail!$DE:$DE,0),97),0)),SUMIFS(T_Shipments[Confirmed_Qty],T_Shipments[Part Name],$A51,T_Shipments[Effective_Week],97))</f>
        <v/>
      </c>
      <c r="CU51">
        <f>IF(COUNTIF(Material_Detail!$DE:$DE,$A51)&gt;0,IF(ISNUMBER(SEARCH("[済]",INDEX(Material_Detail!$D:$DC,MATCH($A51,Material_Detail!$DE:$DE,0)+1,98))),0,IFERROR(INDEX(Material_Detail!$D:$DC,MATCH($A51,Material_Detail!$DE:$DE,0),98),0)),SUMIFS(T_Shipments[Confirmed_Qty],T_Shipments[Part Name],$A51,T_Shipments[Effective_Week],98))</f>
        <v/>
      </c>
      <c r="CV51">
        <f>IF(COUNTIF(Material_Detail!$DE:$DE,$A51)&gt;0,IF(ISNUMBER(SEARCH("[済]",INDEX(Material_Detail!$D:$DC,MATCH($A51,Material_Detail!$DE:$DE,0)+1,99))),0,IFERROR(INDEX(Material_Detail!$D:$DC,MATCH($A51,Material_Detail!$DE:$DE,0),99),0)),SUMIFS(T_Shipments[Confirmed_Qty],T_Shipments[Part Name],$A51,T_Shipments[Effective_Week],99))</f>
        <v/>
      </c>
      <c r="CW51">
        <f>IF(COUNTIF(Material_Detail!$DE:$DE,$A51)&gt;0,IF(ISNUMBER(SEARCH("[済]",INDEX(Material_Detail!$D:$DC,MATCH($A51,Material_Detail!$DE:$DE,0)+1,100))),0,IFERROR(INDEX(Material_Detail!$D:$DC,MATCH($A51,Material_Detail!$DE:$DE,0),100),0)),SUMIFS(T_Shipments[Confirmed_Qty],T_Shipments[Part Name],$A51,T_Shipments[Effective_Week],100))</f>
        <v/>
      </c>
      <c r="CX51">
        <f>IF(COUNTIF(Material_Detail!$DE:$DE,$A51)&gt;0,IF(ISNUMBER(SEARCH("[済]",INDEX(Material_Detail!$D:$DC,MATCH($A51,Material_Detail!$DE:$DE,0)+1,101))),0,IFERROR(INDEX(Material_Detail!$D:$DC,MATCH($A51,Material_Detail!$DE:$DE,0),101),0)),SUMIFS(T_Shipments[Confirmed_Qty],T_Shipments[Part Name],$A51,T_Shipments[Effective_Week],101))</f>
        <v/>
      </c>
      <c r="CY51">
        <f>IF(COUNTIF(Material_Detail!$DE:$DE,$A51)&gt;0,IF(ISNUMBER(SEARCH("[済]",INDEX(Material_Detail!$D:$DC,MATCH($A51,Material_Detail!$DE:$DE,0)+1,102))),0,IFERROR(INDEX(Material_Detail!$D:$DC,MATCH($A51,Material_Detail!$DE:$DE,0),102),0)),SUMIFS(T_Shipments[Confirmed_Qty],T_Shipments[Part Name],$A51,T_Shipments[Effective_Week],102))</f>
        <v/>
      </c>
      <c r="CZ51">
        <f>IF(COUNTIF(Material_Detail!$DE:$DE,$A51)&gt;0,IF(ISNUMBER(SEARCH("[済]",INDEX(Material_Detail!$D:$DC,MATCH($A51,Material_Detail!$DE:$DE,0)+1,103))),0,IFERROR(INDEX(Material_Detail!$D:$DC,MATCH($A51,Material_Detail!$DE:$DE,0),103),0)),SUMIFS(T_Shipments[Confirmed_Qty],T_Shipments[Part Name],$A51,T_Shipments[Effective_Week],103))</f>
        <v/>
      </c>
      <c r="DA51">
        <f>IF(COUNTIF(Material_Detail!$DE:$DE,$A51)&gt;0,IF(ISNUMBER(SEARCH("[済]",INDEX(Material_Detail!$D:$DC,MATCH($A51,Material_Detail!$DE:$DE,0)+1,104))),0,IFERROR(INDEX(Material_Detail!$D:$DC,MATCH($A51,Material_Detail!$DE:$DE,0),104),0)),SUMIFS(T_Shipments[Confirmed_Qty],T_Shipments[Part Name],$A51,T_Shipments[Effective_Week],104))</f>
        <v/>
      </c>
    </row>
    <row r="52">
      <c r="A52" t="inlineStr">
        <is>
          <t>CHEM-1850</t>
        </is>
      </c>
      <c r="B52">
        <f>IF(COUNTIF(Material_Detail!$DE:$DE,$A52)&gt;0,IF(ISNUMBER(SEARCH("[済]",INDEX(Material_Detail!$D:$DC,MATCH($A52,Material_Detail!$DE:$DE,0)+1,1))),0,IFERROR(INDEX(Material_Detail!$D:$DC,MATCH($A52,Material_Detail!$DE:$DE,0),1),0)),SUMIFS(T_Shipments[Confirmed_Qty],T_Shipments[Part Name],$A52,T_Shipments[Effective_Week],1))</f>
        <v/>
      </c>
      <c r="C52">
        <f>IF(COUNTIF(Material_Detail!$DE:$DE,$A52)&gt;0,IF(ISNUMBER(SEARCH("[済]",INDEX(Material_Detail!$D:$DC,MATCH($A52,Material_Detail!$DE:$DE,0)+1,2))),0,IFERROR(INDEX(Material_Detail!$D:$DC,MATCH($A52,Material_Detail!$DE:$DE,0),2),0)),SUMIFS(T_Shipments[Confirmed_Qty],T_Shipments[Part Name],$A52,T_Shipments[Effective_Week],2))</f>
        <v/>
      </c>
      <c r="D52">
        <f>IF(COUNTIF(Material_Detail!$DE:$DE,$A52)&gt;0,IF(ISNUMBER(SEARCH("[済]",INDEX(Material_Detail!$D:$DC,MATCH($A52,Material_Detail!$DE:$DE,0)+1,3))),0,IFERROR(INDEX(Material_Detail!$D:$DC,MATCH($A52,Material_Detail!$DE:$DE,0),3),0)),SUMIFS(T_Shipments[Confirmed_Qty],T_Shipments[Part Name],$A52,T_Shipments[Effective_Week],3))</f>
        <v/>
      </c>
      <c r="E52">
        <f>IF(COUNTIF(Material_Detail!$DE:$DE,$A52)&gt;0,IF(ISNUMBER(SEARCH("[済]",INDEX(Material_Detail!$D:$DC,MATCH($A52,Material_Detail!$DE:$DE,0)+1,4))),0,IFERROR(INDEX(Material_Detail!$D:$DC,MATCH($A52,Material_Detail!$DE:$DE,0),4),0)),SUMIFS(T_Shipments[Confirmed_Qty],T_Shipments[Part Name],$A52,T_Shipments[Effective_Week],4))</f>
        <v/>
      </c>
      <c r="F52">
        <f>IF(COUNTIF(Material_Detail!$DE:$DE,$A52)&gt;0,IF(ISNUMBER(SEARCH("[済]",INDEX(Material_Detail!$D:$DC,MATCH($A52,Material_Detail!$DE:$DE,0)+1,5))),0,IFERROR(INDEX(Material_Detail!$D:$DC,MATCH($A52,Material_Detail!$DE:$DE,0),5),0)),SUMIFS(T_Shipments[Confirmed_Qty],T_Shipments[Part Name],$A52,T_Shipments[Effective_Week],5))</f>
        <v/>
      </c>
      <c r="G52">
        <f>IF(COUNTIF(Material_Detail!$DE:$DE,$A52)&gt;0,IF(ISNUMBER(SEARCH("[済]",INDEX(Material_Detail!$D:$DC,MATCH($A52,Material_Detail!$DE:$DE,0)+1,6))),0,IFERROR(INDEX(Material_Detail!$D:$DC,MATCH($A52,Material_Detail!$DE:$DE,0),6),0)),SUMIFS(T_Shipments[Confirmed_Qty],T_Shipments[Part Name],$A52,T_Shipments[Effective_Week],6))</f>
        <v/>
      </c>
      <c r="H52">
        <f>IF(COUNTIF(Material_Detail!$DE:$DE,$A52)&gt;0,IF(ISNUMBER(SEARCH("[済]",INDEX(Material_Detail!$D:$DC,MATCH($A52,Material_Detail!$DE:$DE,0)+1,7))),0,IFERROR(INDEX(Material_Detail!$D:$DC,MATCH($A52,Material_Detail!$DE:$DE,0),7),0)),SUMIFS(T_Shipments[Confirmed_Qty],T_Shipments[Part Name],$A52,T_Shipments[Effective_Week],7))</f>
        <v/>
      </c>
      <c r="I52">
        <f>IF(COUNTIF(Material_Detail!$DE:$DE,$A52)&gt;0,IF(ISNUMBER(SEARCH("[済]",INDEX(Material_Detail!$D:$DC,MATCH($A52,Material_Detail!$DE:$DE,0)+1,8))),0,IFERROR(INDEX(Material_Detail!$D:$DC,MATCH($A52,Material_Detail!$DE:$DE,0),8),0)),SUMIFS(T_Shipments[Confirmed_Qty],T_Shipments[Part Name],$A52,T_Shipments[Effective_Week],8))</f>
        <v/>
      </c>
      <c r="J52">
        <f>IF(COUNTIF(Material_Detail!$DE:$DE,$A52)&gt;0,IF(ISNUMBER(SEARCH("[済]",INDEX(Material_Detail!$D:$DC,MATCH($A52,Material_Detail!$DE:$DE,0)+1,9))),0,IFERROR(INDEX(Material_Detail!$D:$DC,MATCH($A52,Material_Detail!$DE:$DE,0),9),0)),SUMIFS(T_Shipments[Confirmed_Qty],T_Shipments[Part Name],$A52,T_Shipments[Effective_Week],9))</f>
        <v/>
      </c>
      <c r="K52">
        <f>IF(COUNTIF(Material_Detail!$DE:$DE,$A52)&gt;0,IF(ISNUMBER(SEARCH("[済]",INDEX(Material_Detail!$D:$DC,MATCH($A52,Material_Detail!$DE:$DE,0)+1,10))),0,IFERROR(INDEX(Material_Detail!$D:$DC,MATCH($A52,Material_Detail!$DE:$DE,0),10),0)),SUMIFS(T_Shipments[Confirmed_Qty],T_Shipments[Part Name],$A52,T_Shipments[Effective_Week],10))</f>
        <v/>
      </c>
      <c r="L52">
        <f>IF(COUNTIF(Material_Detail!$DE:$DE,$A52)&gt;0,IF(ISNUMBER(SEARCH("[済]",INDEX(Material_Detail!$D:$DC,MATCH($A52,Material_Detail!$DE:$DE,0)+1,11))),0,IFERROR(INDEX(Material_Detail!$D:$DC,MATCH($A52,Material_Detail!$DE:$DE,0),11),0)),SUMIFS(T_Shipments[Confirmed_Qty],T_Shipments[Part Name],$A52,T_Shipments[Effective_Week],11))</f>
        <v/>
      </c>
      <c r="M52">
        <f>IF(COUNTIF(Material_Detail!$DE:$DE,$A52)&gt;0,IF(ISNUMBER(SEARCH("[済]",INDEX(Material_Detail!$D:$DC,MATCH($A52,Material_Detail!$DE:$DE,0)+1,12))),0,IFERROR(INDEX(Material_Detail!$D:$DC,MATCH($A52,Material_Detail!$DE:$DE,0),12),0)),SUMIFS(T_Shipments[Confirmed_Qty],T_Shipments[Part Name],$A52,T_Shipments[Effective_Week],12))</f>
        <v/>
      </c>
      <c r="N52">
        <f>IF(COUNTIF(Material_Detail!$DE:$DE,$A52)&gt;0,IF(ISNUMBER(SEARCH("[済]",INDEX(Material_Detail!$D:$DC,MATCH($A52,Material_Detail!$DE:$DE,0)+1,13))),0,IFERROR(INDEX(Material_Detail!$D:$DC,MATCH($A52,Material_Detail!$DE:$DE,0),13),0)),SUMIFS(T_Shipments[Confirmed_Qty],T_Shipments[Part Name],$A52,T_Shipments[Effective_Week],13))</f>
        <v/>
      </c>
      <c r="O52">
        <f>IF(COUNTIF(Material_Detail!$DE:$DE,$A52)&gt;0,IF(ISNUMBER(SEARCH("[済]",INDEX(Material_Detail!$D:$DC,MATCH($A52,Material_Detail!$DE:$DE,0)+1,14))),0,IFERROR(INDEX(Material_Detail!$D:$DC,MATCH($A52,Material_Detail!$DE:$DE,0),14),0)),SUMIFS(T_Shipments[Confirmed_Qty],T_Shipments[Part Name],$A52,T_Shipments[Effective_Week],14))</f>
        <v/>
      </c>
      <c r="P52">
        <f>IF(COUNTIF(Material_Detail!$DE:$DE,$A52)&gt;0,IF(ISNUMBER(SEARCH("[済]",INDEX(Material_Detail!$D:$DC,MATCH($A52,Material_Detail!$DE:$DE,0)+1,15))),0,IFERROR(INDEX(Material_Detail!$D:$DC,MATCH($A52,Material_Detail!$DE:$DE,0),15),0)),SUMIFS(T_Shipments[Confirmed_Qty],T_Shipments[Part Name],$A52,T_Shipments[Effective_Week],15))</f>
        <v/>
      </c>
      <c r="Q52">
        <f>IF(COUNTIF(Material_Detail!$DE:$DE,$A52)&gt;0,IF(ISNUMBER(SEARCH("[済]",INDEX(Material_Detail!$D:$DC,MATCH($A52,Material_Detail!$DE:$DE,0)+1,16))),0,IFERROR(INDEX(Material_Detail!$D:$DC,MATCH($A52,Material_Detail!$DE:$DE,0),16),0)),SUMIFS(T_Shipments[Confirmed_Qty],T_Shipments[Part Name],$A52,T_Shipments[Effective_Week],16))</f>
        <v/>
      </c>
      <c r="R52">
        <f>IF(COUNTIF(Material_Detail!$DE:$DE,$A52)&gt;0,IF(ISNUMBER(SEARCH("[済]",INDEX(Material_Detail!$D:$DC,MATCH($A52,Material_Detail!$DE:$DE,0)+1,17))),0,IFERROR(INDEX(Material_Detail!$D:$DC,MATCH($A52,Material_Detail!$DE:$DE,0),17),0)),SUMIFS(T_Shipments[Confirmed_Qty],T_Shipments[Part Name],$A52,T_Shipments[Effective_Week],17))</f>
        <v/>
      </c>
      <c r="S52">
        <f>IF(COUNTIF(Material_Detail!$DE:$DE,$A52)&gt;0,IF(ISNUMBER(SEARCH("[済]",INDEX(Material_Detail!$D:$DC,MATCH($A52,Material_Detail!$DE:$DE,0)+1,18))),0,IFERROR(INDEX(Material_Detail!$D:$DC,MATCH($A52,Material_Detail!$DE:$DE,0),18),0)),SUMIFS(T_Shipments[Confirmed_Qty],T_Shipments[Part Name],$A52,T_Shipments[Effective_Week],18))</f>
        <v/>
      </c>
      <c r="T52">
        <f>IF(COUNTIF(Material_Detail!$DE:$DE,$A52)&gt;0,IF(ISNUMBER(SEARCH("[済]",INDEX(Material_Detail!$D:$DC,MATCH($A52,Material_Detail!$DE:$DE,0)+1,19))),0,IFERROR(INDEX(Material_Detail!$D:$DC,MATCH($A52,Material_Detail!$DE:$DE,0),19),0)),SUMIFS(T_Shipments[Confirmed_Qty],T_Shipments[Part Name],$A52,T_Shipments[Effective_Week],19))</f>
        <v/>
      </c>
      <c r="U52">
        <f>IF(COUNTIF(Material_Detail!$DE:$DE,$A52)&gt;0,IF(ISNUMBER(SEARCH("[済]",INDEX(Material_Detail!$D:$DC,MATCH($A52,Material_Detail!$DE:$DE,0)+1,20))),0,IFERROR(INDEX(Material_Detail!$D:$DC,MATCH($A52,Material_Detail!$DE:$DE,0),20),0)),SUMIFS(T_Shipments[Confirmed_Qty],T_Shipments[Part Name],$A52,T_Shipments[Effective_Week],20))</f>
        <v/>
      </c>
      <c r="V52">
        <f>IF(COUNTIF(Material_Detail!$DE:$DE,$A52)&gt;0,IF(ISNUMBER(SEARCH("[済]",INDEX(Material_Detail!$D:$DC,MATCH($A52,Material_Detail!$DE:$DE,0)+1,21))),0,IFERROR(INDEX(Material_Detail!$D:$DC,MATCH($A52,Material_Detail!$DE:$DE,0),21),0)),SUMIFS(T_Shipments[Confirmed_Qty],T_Shipments[Part Name],$A52,T_Shipments[Effective_Week],21))</f>
        <v/>
      </c>
      <c r="W52">
        <f>IF(COUNTIF(Material_Detail!$DE:$DE,$A52)&gt;0,IF(ISNUMBER(SEARCH("[済]",INDEX(Material_Detail!$D:$DC,MATCH($A52,Material_Detail!$DE:$DE,0)+1,22))),0,IFERROR(INDEX(Material_Detail!$D:$DC,MATCH($A52,Material_Detail!$DE:$DE,0),22),0)),SUMIFS(T_Shipments[Confirmed_Qty],T_Shipments[Part Name],$A52,T_Shipments[Effective_Week],22))</f>
        <v/>
      </c>
      <c r="X52">
        <f>IF(COUNTIF(Material_Detail!$DE:$DE,$A52)&gt;0,IF(ISNUMBER(SEARCH("[済]",INDEX(Material_Detail!$D:$DC,MATCH($A52,Material_Detail!$DE:$DE,0)+1,23))),0,IFERROR(INDEX(Material_Detail!$D:$DC,MATCH($A52,Material_Detail!$DE:$DE,0),23),0)),SUMIFS(T_Shipments[Confirmed_Qty],T_Shipments[Part Name],$A52,T_Shipments[Effective_Week],23))</f>
        <v/>
      </c>
      <c r="Y52">
        <f>IF(COUNTIF(Material_Detail!$DE:$DE,$A52)&gt;0,IF(ISNUMBER(SEARCH("[済]",INDEX(Material_Detail!$D:$DC,MATCH($A52,Material_Detail!$DE:$DE,0)+1,24))),0,IFERROR(INDEX(Material_Detail!$D:$DC,MATCH($A52,Material_Detail!$DE:$DE,0),24),0)),SUMIFS(T_Shipments[Confirmed_Qty],T_Shipments[Part Name],$A52,T_Shipments[Effective_Week],24))</f>
        <v/>
      </c>
      <c r="Z52">
        <f>IF(COUNTIF(Material_Detail!$DE:$DE,$A52)&gt;0,IF(ISNUMBER(SEARCH("[済]",INDEX(Material_Detail!$D:$DC,MATCH($A52,Material_Detail!$DE:$DE,0)+1,25))),0,IFERROR(INDEX(Material_Detail!$D:$DC,MATCH($A52,Material_Detail!$DE:$DE,0),25),0)),SUMIFS(T_Shipments[Confirmed_Qty],T_Shipments[Part Name],$A52,T_Shipments[Effective_Week],25))</f>
        <v/>
      </c>
      <c r="AA52">
        <f>IF(COUNTIF(Material_Detail!$DE:$DE,$A52)&gt;0,IF(ISNUMBER(SEARCH("[済]",INDEX(Material_Detail!$D:$DC,MATCH($A52,Material_Detail!$DE:$DE,0)+1,26))),0,IFERROR(INDEX(Material_Detail!$D:$DC,MATCH($A52,Material_Detail!$DE:$DE,0),26),0)),SUMIFS(T_Shipments[Confirmed_Qty],T_Shipments[Part Name],$A52,T_Shipments[Effective_Week],26))</f>
        <v/>
      </c>
      <c r="AB52">
        <f>IF(COUNTIF(Material_Detail!$DE:$DE,$A52)&gt;0,IF(ISNUMBER(SEARCH("[済]",INDEX(Material_Detail!$D:$DC,MATCH($A52,Material_Detail!$DE:$DE,0)+1,27))),0,IFERROR(INDEX(Material_Detail!$D:$DC,MATCH($A52,Material_Detail!$DE:$DE,0),27),0)),SUMIFS(T_Shipments[Confirmed_Qty],T_Shipments[Part Name],$A52,T_Shipments[Effective_Week],27))</f>
        <v/>
      </c>
      <c r="AC52">
        <f>IF(COUNTIF(Material_Detail!$DE:$DE,$A52)&gt;0,IF(ISNUMBER(SEARCH("[済]",INDEX(Material_Detail!$D:$DC,MATCH($A52,Material_Detail!$DE:$DE,0)+1,28))),0,IFERROR(INDEX(Material_Detail!$D:$DC,MATCH($A52,Material_Detail!$DE:$DE,0),28),0)),SUMIFS(T_Shipments[Confirmed_Qty],T_Shipments[Part Name],$A52,T_Shipments[Effective_Week],28))</f>
        <v/>
      </c>
      <c r="AD52">
        <f>IF(COUNTIF(Material_Detail!$DE:$DE,$A52)&gt;0,IF(ISNUMBER(SEARCH("[済]",INDEX(Material_Detail!$D:$DC,MATCH($A52,Material_Detail!$DE:$DE,0)+1,29))),0,IFERROR(INDEX(Material_Detail!$D:$DC,MATCH($A52,Material_Detail!$DE:$DE,0),29),0)),SUMIFS(T_Shipments[Confirmed_Qty],T_Shipments[Part Name],$A52,T_Shipments[Effective_Week],29))</f>
        <v/>
      </c>
      <c r="AE52">
        <f>IF(COUNTIF(Material_Detail!$DE:$DE,$A52)&gt;0,IF(ISNUMBER(SEARCH("[済]",INDEX(Material_Detail!$D:$DC,MATCH($A52,Material_Detail!$DE:$DE,0)+1,30))),0,IFERROR(INDEX(Material_Detail!$D:$DC,MATCH($A52,Material_Detail!$DE:$DE,0),30),0)),SUMIFS(T_Shipments[Confirmed_Qty],T_Shipments[Part Name],$A52,T_Shipments[Effective_Week],30))</f>
        <v/>
      </c>
      <c r="AF52">
        <f>IF(COUNTIF(Material_Detail!$DE:$DE,$A52)&gt;0,IF(ISNUMBER(SEARCH("[済]",INDEX(Material_Detail!$D:$DC,MATCH($A52,Material_Detail!$DE:$DE,0)+1,31))),0,IFERROR(INDEX(Material_Detail!$D:$DC,MATCH($A52,Material_Detail!$DE:$DE,0),31),0)),SUMIFS(T_Shipments[Confirmed_Qty],T_Shipments[Part Name],$A52,T_Shipments[Effective_Week],31))</f>
        <v/>
      </c>
      <c r="AG52">
        <f>IF(COUNTIF(Material_Detail!$DE:$DE,$A52)&gt;0,IF(ISNUMBER(SEARCH("[済]",INDEX(Material_Detail!$D:$DC,MATCH($A52,Material_Detail!$DE:$DE,0)+1,32))),0,IFERROR(INDEX(Material_Detail!$D:$DC,MATCH($A52,Material_Detail!$DE:$DE,0),32),0)),SUMIFS(T_Shipments[Confirmed_Qty],T_Shipments[Part Name],$A52,T_Shipments[Effective_Week],32))</f>
        <v/>
      </c>
      <c r="AH52">
        <f>IF(COUNTIF(Material_Detail!$DE:$DE,$A52)&gt;0,IF(ISNUMBER(SEARCH("[済]",INDEX(Material_Detail!$D:$DC,MATCH($A52,Material_Detail!$DE:$DE,0)+1,33))),0,IFERROR(INDEX(Material_Detail!$D:$DC,MATCH($A52,Material_Detail!$DE:$DE,0),33),0)),SUMIFS(T_Shipments[Confirmed_Qty],T_Shipments[Part Name],$A52,T_Shipments[Effective_Week],33))</f>
        <v/>
      </c>
      <c r="AI52">
        <f>IF(COUNTIF(Material_Detail!$DE:$DE,$A52)&gt;0,IF(ISNUMBER(SEARCH("[済]",INDEX(Material_Detail!$D:$DC,MATCH($A52,Material_Detail!$DE:$DE,0)+1,34))),0,IFERROR(INDEX(Material_Detail!$D:$DC,MATCH($A52,Material_Detail!$DE:$DE,0),34),0)),SUMIFS(T_Shipments[Confirmed_Qty],T_Shipments[Part Name],$A52,T_Shipments[Effective_Week],34))</f>
        <v/>
      </c>
      <c r="AJ52">
        <f>IF(COUNTIF(Material_Detail!$DE:$DE,$A52)&gt;0,IF(ISNUMBER(SEARCH("[済]",INDEX(Material_Detail!$D:$DC,MATCH($A52,Material_Detail!$DE:$DE,0)+1,35))),0,IFERROR(INDEX(Material_Detail!$D:$DC,MATCH($A52,Material_Detail!$DE:$DE,0),35),0)),SUMIFS(T_Shipments[Confirmed_Qty],T_Shipments[Part Name],$A52,T_Shipments[Effective_Week],35))</f>
        <v/>
      </c>
      <c r="AK52">
        <f>IF(COUNTIF(Material_Detail!$DE:$DE,$A52)&gt;0,IF(ISNUMBER(SEARCH("[済]",INDEX(Material_Detail!$D:$DC,MATCH($A52,Material_Detail!$DE:$DE,0)+1,36))),0,IFERROR(INDEX(Material_Detail!$D:$DC,MATCH($A52,Material_Detail!$DE:$DE,0),36),0)),SUMIFS(T_Shipments[Confirmed_Qty],T_Shipments[Part Name],$A52,T_Shipments[Effective_Week],36))</f>
        <v/>
      </c>
      <c r="AL52">
        <f>IF(COUNTIF(Material_Detail!$DE:$DE,$A52)&gt;0,IF(ISNUMBER(SEARCH("[済]",INDEX(Material_Detail!$D:$DC,MATCH($A52,Material_Detail!$DE:$DE,0)+1,37))),0,IFERROR(INDEX(Material_Detail!$D:$DC,MATCH($A52,Material_Detail!$DE:$DE,0),37),0)),SUMIFS(T_Shipments[Confirmed_Qty],T_Shipments[Part Name],$A52,T_Shipments[Effective_Week],37))</f>
        <v/>
      </c>
      <c r="AM52">
        <f>IF(COUNTIF(Material_Detail!$DE:$DE,$A52)&gt;0,IF(ISNUMBER(SEARCH("[済]",INDEX(Material_Detail!$D:$DC,MATCH($A52,Material_Detail!$DE:$DE,0)+1,38))),0,IFERROR(INDEX(Material_Detail!$D:$DC,MATCH($A52,Material_Detail!$DE:$DE,0),38),0)),SUMIFS(T_Shipments[Confirmed_Qty],T_Shipments[Part Name],$A52,T_Shipments[Effective_Week],38))</f>
        <v/>
      </c>
      <c r="AN52">
        <f>IF(COUNTIF(Material_Detail!$DE:$DE,$A52)&gt;0,IF(ISNUMBER(SEARCH("[済]",INDEX(Material_Detail!$D:$DC,MATCH($A52,Material_Detail!$DE:$DE,0)+1,39))),0,IFERROR(INDEX(Material_Detail!$D:$DC,MATCH($A52,Material_Detail!$DE:$DE,0),39),0)),SUMIFS(T_Shipments[Confirmed_Qty],T_Shipments[Part Name],$A52,T_Shipments[Effective_Week],39))</f>
        <v/>
      </c>
      <c r="AO52">
        <f>IF(COUNTIF(Material_Detail!$DE:$DE,$A52)&gt;0,IF(ISNUMBER(SEARCH("[済]",INDEX(Material_Detail!$D:$DC,MATCH($A52,Material_Detail!$DE:$DE,0)+1,40))),0,IFERROR(INDEX(Material_Detail!$D:$DC,MATCH($A52,Material_Detail!$DE:$DE,0),40),0)),SUMIFS(T_Shipments[Confirmed_Qty],T_Shipments[Part Name],$A52,T_Shipments[Effective_Week],40))</f>
        <v/>
      </c>
      <c r="AP52">
        <f>IF(COUNTIF(Material_Detail!$DE:$DE,$A52)&gt;0,IF(ISNUMBER(SEARCH("[済]",INDEX(Material_Detail!$D:$DC,MATCH($A52,Material_Detail!$DE:$DE,0)+1,41))),0,IFERROR(INDEX(Material_Detail!$D:$DC,MATCH($A52,Material_Detail!$DE:$DE,0),41),0)),SUMIFS(T_Shipments[Confirmed_Qty],T_Shipments[Part Name],$A52,T_Shipments[Effective_Week],41))</f>
        <v/>
      </c>
      <c r="AQ52">
        <f>IF(COUNTIF(Material_Detail!$DE:$DE,$A52)&gt;0,IF(ISNUMBER(SEARCH("[済]",INDEX(Material_Detail!$D:$DC,MATCH($A52,Material_Detail!$DE:$DE,0)+1,42))),0,IFERROR(INDEX(Material_Detail!$D:$DC,MATCH($A52,Material_Detail!$DE:$DE,0),42),0)),SUMIFS(T_Shipments[Confirmed_Qty],T_Shipments[Part Name],$A52,T_Shipments[Effective_Week],42))</f>
        <v/>
      </c>
      <c r="AR52">
        <f>IF(COUNTIF(Material_Detail!$DE:$DE,$A52)&gt;0,IF(ISNUMBER(SEARCH("[済]",INDEX(Material_Detail!$D:$DC,MATCH($A52,Material_Detail!$DE:$DE,0)+1,43))),0,IFERROR(INDEX(Material_Detail!$D:$DC,MATCH($A52,Material_Detail!$DE:$DE,0),43),0)),SUMIFS(T_Shipments[Confirmed_Qty],T_Shipments[Part Name],$A52,T_Shipments[Effective_Week],43))</f>
        <v/>
      </c>
      <c r="AS52">
        <f>IF(COUNTIF(Material_Detail!$DE:$DE,$A52)&gt;0,IF(ISNUMBER(SEARCH("[済]",INDEX(Material_Detail!$D:$DC,MATCH($A52,Material_Detail!$DE:$DE,0)+1,44))),0,IFERROR(INDEX(Material_Detail!$D:$DC,MATCH($A52,Material_Detail!$DE:$DE,0),44),0)),SUMIFS(T_Shipments[Confirmed_Qty],T_Shipments[Part Name],$A52,T_Shipments[Effective_Week],44))</f>
        <v/>
      </c>
      <c r="AT52">
        <f>IF(COUNTIF(Material_Detail!$DE:$DE,$A52)&gt;0,IF(ISNUMBER(SEARCH("[済]",INDEX(Material_Detail!$D:$DC,MATCH($A52,Material_Detail!$DE:$DE,0)+1,45))),0,IFERROR(INDEX(Material_Detail!$D:$DC,MATCH($A52,Material_Detail!$DE:$DE,0),45),0)),SUMIFS(T_Shipments[Confirmed_Qty],T_Shipments[Part Name],$A52,T_Shipments[Effective_Week],45))</f>
        <v/>
      </c>
      <c r="AU52">
        <f>IF(COUNTIF(Material_Detail!$DE:$DE,$A52)&gt;0,IF(ISNUMBER(SEARCH("[済]",INDEX(Material_Detail!$D:$DC,MATCH($A52,Material_Detail!$DE:$DE,0)+1,46))),0,IFERROR(INDEX(Material_Detail!$D:$DC,MATCH($A52,Material_Detail!$DE:$DE,0),46),0)),SUMIFS(T_Shipments[Confirmed_Qty],T_Shipments[Part Name],$A52,T_Shipments[Effective_Week],46))</f>
        <v/>
      </c>
      <c r="AV52">
        <f>IF(COUNTIF(Material_Detail!$DE:$DE,$A52)&gt;0,IF(ISNUMBER(SEARCH("[済]",INDEX(Material_Detail!$D:$DC,MATCH($A52,Material_Detail!$DE:$DE,0)+1,47))),0,IFERROR(INDEX(Material_Detail!$D:$DC,MATCH($A52,Material_Detail!$DE:$DE,0),47),0)),SUMIFS(T_Shipments[Confirmed_Qty],T_Shipments[Part Name],$A52,T_Shipments[Effective_Week],47))</f>
        <v/>
      </c>
      <c r="AW52">
        <f>IF(COUNTIF(Material_Detail!$DE:$DE,$A52)&gt;0,IF(ISNUMBER(SEARCH("[済]",INDEX(Material_Detail!$D:$DC,MATCH($A52,Material_Detail!$DE:$DE,0)+1,48))),0,IFERROR(INDEX(Material_Detail!$D:$DC,MATCH($A52,Material_Detail!$DE:$DE,0),48),0)),SUMIFS(T_Shipments[Confirmed_Qty],T_Shipments[Part Name],$A52,T_Shipments[Effective_Week],48))</f>
        <v/>
      </c>
      <c r="AX52">
        <f>IF(COUNTIF(Material_Detail!$DE:$DE,$A52)&gt;0,IF(ISNUMBER(SEARCH("[済]",INDEX(Material_Detail!$D:$DC,MATCH($A52,Material_Detail!$DE:$DE,0)+1,49))),0,IFERROR(INDEX(Material_Detail!$D:$DC,MATCH($A52,Material_Detail!$DE:$DE,0),49),0)),SUMIFS(T_Shipments[Confirmed_Qty],T_Shipments[Part Name],$A52,T_Shipments[Effective_Week],49))</f>
        <v/>
      </c>
      <c r="AY52">
        <f>IF(COUNTIF(Material_Detail!$DE:$DE,$A52)&gt;0,IF(ISNUMBER(SEARCH("[済]",INDEX(Material_Detail!$D:$DC,MATCH($A52,Material_Detail!$DE:$DE,0)+1,50))),0,IFERROR(INDEX(Material_Detail!$D:$DC,MATCH($A52,Material_Detail!$DE:$DE,0),50),0)),SUMIFS(T_Shipments[Confirmed_Qty],T_Shipments[Part Name],$A52,T_Shipments[Effective_Week],50))</f>
        <v/>
      </c>
      <c r="AZ52">
        <f>IF(COUNTIF(Material_Detail!$DE:$DE,$A52)&gt;0,IF(ISNUMBER(SEARCH("[済]",INDEX(Material_Detail!$D:$DC,MATCH($A52,Material_Detail!$DE:$DE,0)+1,51))),0,IFERROR(INDEX(Material_Detail!$D:$DC,MATCH($A52,Material_Detail!$DE:$DE,0),51),0)),SUMIFS(T_Shipments[Confirmed_Qty],T_Shipments[Part Name],$A52,T_Shipments[Effective_Week],51))</f>
        <v/>
      </c>
      <c r="BA52">
        <f>IF(COUNTIF(Material_Detail!$DE:$DE,$A52)&gt;0,IF(ISNUMBER(SEARCH("[済]",INDEX(Material_Detail!$D:$DC,MATCH($A52,Material_Detail!$DE:$DE,0)+1,52))),0,IFERROR(INDEX(Material_Detail!$D:$DC,MATCH($A52,Material_Detail!$DE:$DE,0),52),0)),SUMIFS(T_Shipments[Confirmed_Qty],T_Shipments[Part Name],$A52,T_Shipments[Effective_Week],52))</f>
        <v/>
      </c>
      <c r="BB52">
        <f>IF(COUNTIF(Material_Detail!$DE:$DE,$A52)&gt;0,IF(ISNUMBER(SEARCH("[済]",INDEX(Material_Detail!$D:$DC,MATCH($A52,Material_Detail!$DE:$DE,0)+1,53))),0,IFERROR(INDEX(Material_Detail!$D:$DC,MATCH($A52,Material_Detail!$DE:$DE,0),53),0)),SUMIFS(T_Shipments[Confirmed_Qty],T_Shipments[Part Name],$A52,T_Shipments[Effective_Week],53))</f>
        <v/>
      </c>
      <c r="BC52">
        <f>IF(COUNTIF(Material_Detail!$DE:$DE,$A52)&gt;0,IF(ISNUMBER(SEARCH("[済]",INDEX(Material_Detail!$D:$DC,MATCH($A52,Material_Detail!$DE:$DE,0)+1,54))),0,IFERROR(INDEX(Material_Detail!$D:$DC,MATCH($A52,Material_Detail!$DE:$DE,0),54),0)),SUMIFS(T_Shipments[Confirmed_Qty],T_Shipments[Part Name],$A52,T_Shipments[Effective_Week],54))</f>
        <v/>
      </c>
      <c r="BD52">
        <f>IF(COUNTIF(Material_Detail!$DE:$DE,$A52)&gt;0,IF(ISNUMBER(SEARCH("[済]",INDEX(Material_Detail!$D:$DC,MATCH($A52,Material_Detail!$DE:$DE,0)+1,55))),0,IFERROR(INDEX(Material_Detail!$D:$DC,MATCH($A52,Material_Detail!$DE:$DE,0),55),0)),SUMIFS(T_Shipments[Confirmed_Qty],T_Shipments[Part Name],$A52,T_Shipments[Effective_Week],55))</f>
        <v/>
      </c>
      <c r="BE52">
        <f>IF(COUNTIF(Material_Detail!$DE:$DE,$A52)&gt;0,IF(ISNUMBER(SEARCH("[済]",INDEX(Material_Detail!$D:$DC,MATCH($A52,Material_Detail!$DE:$DE,0)+1,56))),0,IFERROR(INDEX(Material_Detail!$D:$DC,MATCH($A52,Material_Detail!$DE:$DE,0),56),0)),SUMIFS(T_Shipments[Confirmed_Qty],T_Shipments[Part Name],$A52,T_Shipments[Effective_Week],56))</f>
        <v/>
      </c>
      <c r="BF52">
        <f>IF(COUNTIF(Material_Detail!$DE:$DE,$A52)&gt;0,IF(ISNUMBER(SEARCH("[済]",INDEX(Material_Detail!$D:$DC,MATCH($A52,Material_Detail!$DE:$DE,0)+1,57))),0,IFERROR(INDEX(Material_Detail!$D:$DC,MATCH($A52,Material_Detail!$DE:$DE,0),57),0)),SUMIFS(T_Shipments[Confirmed_Qty],T_Shipments[Part Name],$A52,T_Shipments[Effective_Week],57))</f>
        <v/>
      </c>
      <c r="BG52">
        <f>IF(COUNTIF(Material_Detail!$DE:$DE,$A52)&gt;0,IF(ISNUMBER(SEARCH("[済]",INDEX(Material_Detail!$D:$DC,MATCH($A52,Material_Detail!$DE:$DE,0)+1,58))),0,IFERROR(INDEX(Material_Detail!$D:$DC,MATCH($A52,Material_Detail!$DE:$DE,0),58),0)),SUMIFS(T_Shipments[Confirmed_Qty],T_Shipments[Part Name],$A52,T_Shipments[Effective_Week],58))</f>
        <v/>
      </c>
      <c r="BH52">
        <f>IF(COUNTIF(Material_Detail!$DE:$DE,$A52)&gt;0,IF(ISNUMBER(SEARCH("[済]",INDEX(Material_Detail!$D:$DC,MATCH($A52,Material_Detail!$DE:$DE,0)+1,59))),0,IFERROR(INDEX(Material_Detail!$D:$DC,MATCH($A52,Material_Detail!$DE:$DE,0),59),0)),SUMIFS(T_Shipments[Confirmed_Qty],T_Shipments[Part Name],$A52,T_Shipments[Effective_Week],59))</f>
        <v/>
      </c>
      <c r="BI52">
        <f>IF(COUNTIF(Material_Detail!$DE:$DE,$A52)&gt;0,IF(ISNUMBER(SEARCH("[済]",INDEX(Material_Detail!$D:$DC,MATCH($A52,Material_Detail!$DE:$DE,0)+1,60))),0,IFERROR(INDEX(Material_Detail!$D:$DC,MATCH($A52,Material_Detail!$DE:$DE,0),60),0)),SUMIFS(T_Shipments[Confirmed_Qty],T_Shipments[Part Name],$A52,T_Shipments[Effective_Week],60))</f>
        <v/>
      </c>
      <c r="BJ52">
        <f>IF(COUNTIF(Material_Detail!$DE:$DE,$A52)&gt;0,IF(ISNUMBER(SEARCH("[済]",INDEX(Material_Detail!$D:$DC,MATCH($A52,Material_Detail!$DE:$DE,0)+1,61))),0,IFERROR(INDEX(Material_Detail!$D:$DC,MATCH($A52,Material_Detail!$DE:$DE,0),61),0)),SUMIFS(T_Shipments[Confirmed_Qty],T_Shipments[Part Name],$A52,T_Shipments[Effective_Week],61))</f>
        <v/>
      </c>
      <c r="BK52">
        <f>IF(COUNTIF(Material_Detail!$DE:$DE,$A52)&gt;0,IF(ISNUMBER(SEARCH("[済]",INDEX(Material_Detail!$D:$DC,MATCH($A52,Material_Detail!$DE:$DE,0)+1,62))),0,IFERROR(INDEX(Material_Detail!$D:$DC,MATCH($A52,Material_Detail!$DE:$DE,0),62),0)),SUMIFS(T_Shipments[Confirmed_Qty],T_Shipments[Part Name],$A52,T_Shipments[Effective_Week],62))</f>
        <v/>
      </c>
      <c r="BL52">
        <f>IF(COUNTIF(Material_Detail!$DE:$DE,$A52)&gt;0,IF(ISNUMBER(SEARCH("[済]",INDEX(Material_Detail!$D:$DC,MATCH($A52,Material_Detail!$DE:$DE,0)+1,63))),0,IFERROR(INDEX(Material_Detail!$D:$DC,MATCH($A52,Material_Detail!$DE:$DE,0),63),0)),SUMIFS(T_Shipments[Confirmed_Qty],T_Shipments[Part Name],$A52,T_Shipments[Effective_Week],63))</f>
        <v/>
      </c>
      <c r="BM52">
        <f>IF(COUNTIF(Material_Detail!$DE:$DE,$A52)&gt;0,IF(ISNUMBER(SEARCH("[済]",INDEX(Material_Detail!$D:$DC,MATCH($A52,Material_Detail!$DE:$DE,0)+1,64))),0,IFERROR(INDEX(Material_Detail!$D:$DC,MATCH($A52,Material_Detail!$DE:$DE,0),64),0)),SUMIFS(T_Shipments[Confirmed_Qty],T_Shipments[Part Name],$A52,T_Shipments[Effective_Week],64))</f>
        <v/>
      </c>
      <c r="BN52">
        <f>IF(COUNTIF(Material_Detail!$DE:$DE,$A52)&gt;0,IF(ISNUMBER(SEARCH("[済]",INDEX(Material_Detail!$D:$DC,MATCH($A52,Material_Detail!$DE:$DE,0)+1,65))),0,IFERROR(INDEX(Material_Detail!$D:$DC,MATCH($A52,Material_Detail!$DE:$DE,0),65),0)),SUMIFS(T_Shipments[Confirmed_Qty],T_Shipments[Part Name],$A52,T_Shipments[Effective_Week],65))</f>
        <v/>
      </c>
      <c r="BO52">
        <f>IF(COUNTIF(Material_Detail!$DE:$DE,$A52)&gt;0,IF(ISNUMBER(SEARCH("[済]",INDEX(Material_Detail!$D:$DC,MATCH($A52,Material_Detail!$DE:$DE,0)+1,66))),0,IFERROR(INDEX(Material_Detail!$D:$DC,MATCH($A52,Material_Detail!$DE:$DE,0),66),0)),SUMIFS(T_Shipments[Confirmed_Qty],T_Shipments[Part Name],$A52,T_Shipments[Effective_Week],66))</f>
        <v/>
      </c>
      <c r="BP52">
        <f>IF(COUNTIF(Material_Detail!$DE:$DE,$A52)&gt;0,IF(ISNUMBER(SEARCH("[済]",INDEX(Material_Detail!$D:$DC,MATCH($A52,Material_Detail!$DE:$DE,0)+1,67))),0,IFERROR(INDEX(Material_Detail!$D:$DC,MATCH($A52,Material_Detail!$DE:$DE,0),67),0)),SUMIFS(T_Shipments[Confirmed_Qty],T_Shipments[Part Name],$A52,T_Shipments[Effective_Week],67))</f>
        <v/>
      </c>
      <c r="BQ52">
        <f>IF(COUNTIF(Material_Detail!$DE:$DE,$A52)&gt;0,IF(ISNUMBER(SEARCH("[済]",INDEX(Material_Detail!$D:$DC,MATCH($A52,Material_Detail!$DE:$DE,0)+1,68))),0,IFERROR(INDEX(Material_Detail!$D:$DC,MATCH($A52,Material_Detail!$DE:$DE,0),68),0)),SUMIFS(T_Shipments[Confirmed_Qty],T_Shipments[Part Name],$A52,T_Shipments[Effective_Week],68))</f>
        <v/>
      </c>
      <c r="BR52">
        <f>IF(COUNTIF(Material_Detail!$DE:$DE,$A52)&gt;0,IF(ISNUMBER(SEARCH("[済]",INDEX(Material_Detail!$D:$DC,MATCH($A52,Material_Detail!$DE:$DE,0)+1,69))),0,IFERROR(INDEX(Material_Detail!$D:$DC,MATCH($A52,Material_Detail!$DE:$DE,0),69),0)),SUMIFS(T_Shipments[Confirmed_Qty],T_Shipments[Part Name],$A52,T_Shipments[Effective_Week],69))</f>
        <v/>
      </c>
      <c r="BS52">
        <f>IF(COUNTIF(Material_Detail!$DE:$DE,$A52)&gt;0,IF(ISNUMBER(SEARCH("[済]",INDEX(Material_Detail!$D:$DC,MATCH($A52,Material_Detail!$DE:$DE,0)+1,70))),0,IFERROR(INDEX(Material_Detail!$D:$DC,MATCH($A52,Material_Detail!$DE:$DE,0),70),0)),SUMIFS(T_Shipments[Confirmed_Qty],T_Shipments[Part Name],$A52,T_Shipments[Effective_Week],70))</f>
        <v/>
      </c>
      <c r="BT52">
        <f>IF(COUNTIF(Material_Detail!$DE:$DE,$A52)&gt;0,IF(ISNUMBER(SEARCH("[済]",INDEX(Material_Detail!$D:$DC,MATCH($A52,Material_Detail!$DE:$DE,0)+1,71))),0,IFERROR(INDEX(Material_Detail!$D:$DC,MATCH($A52,Material_Detail!$DE:$DE,0),71),0)),SUMIFS(T_Shipments[Confirmed_Qty],T_Shipments[Part Name],$A52,T_Shipments[Effective_Week],71))</f>
        <v/>
      </c>
      <c r="BU52">
        <f>IF(COUNTIF(Material_Detail!$DE:$DE,$A52)&gt;0,IF(ISNUMBER(SEARCH("[済]",INDEX(Material_Detail!$D:$DC,MATCH($A52,Material_Detail!$DE:$DE,0)+1,72))),0,IFERROR(INDEX(Material_Detail!$D:$DC,MATCH($A52,Material_Detail!$DE:$DE,0),72),0)),SUMIFS(T_Shipments[Confirmed_Qty],T_Shipments[Part Name],$A52,T_Shipments[Effective_Week],72))</f>
        <v/>
      </c>
      <c r="BV52">
        <f>IF(COUNTIF(Material_Detail!$DE:$DE,$A52)&gt;0,IF(ISNUMBER(SEARCH("[済]",INDEX(Material_Detail!$D:$DC,MATCH($A52,Material_Detail!$DE:$DE,0)+1,73))),0,IFERROR(INDEX(Material_Detail!$D:$DC,MATCH($A52,Material_Detail!$DE:$DE,0),73),0)),SUMIFS(T_Shipments[Confirmed_Qty],T_Shipments[Part Name],$A52,T_Shipments[Effective_Week],73))</f>
        <v/>
      </c>
      <c r="BW52">
        <f>IF(COUNTIF(Material_Detail!$DE:$DE,$A52)&gt;0,IF(ISNUMBER(SEARCH("[済]",INDEX(Material_Detail!$D:$DC,MATCH($A52,Material_Detail!$DE:$DE,0)+1,74))),0,IFERROR(INDEX(Material_Detail!$D:$DC,MATCH($A52,Material_Detail!$DE:$DE,0),74),0)),SUMIFS(T_Shipments[Confirmed_Qty],T_Shipments[Part Name],$A52,T_Shipments[Effective_Week],74))</f>
        <v/>
      </c>
      <c r="BX52">
        <f>IF(COUNTIF(Material_Detail!$DE:$DE,$A52)&gt;0,IF(ISNUMBER(SEARCH("[済]",INDEX(Material_Detail!$D:$DC,MATCH($A52,Material_Detail!$DE:$DE,0)+1,75))),0,IFERROR(INDEX(Material_Detail!$D:$DC,MATCH($A52,Material_Detail!$DE:$DE,0),75),0)),SUMIFS(T_Shipments[Confirmed_Qty],T_Shipments[Part Name],$A52,T_Shipments[Effective_Week],75))</f>
        <v/>
      </c>
      <c r="BY52">
        <f>IF(COUNTIF(Material_Detail!$DE:$DE,$A52)&gt;0,IF(ISNUMBER(SEARCH("[済]",INDEX(Material_Detail!$D:$DC,MATCH($A52,Material_Detail!$DE:$DE,0)+1,76))),0,IFERROR(INDEX(Material_Detail!$D:$DC,MATCH($A52,Material_Detail!$DE:$DE,0),76),0)),SUMIFS(T_Shipments[Confirmed_Qty],T_Shipments[Part Name],$A52,T_Shipments[Effective_Week],76))</f>
        <v/>
      </c>
      <c r="BZ52">
        <f>IF(COUNTIF(Material_Detail!$DE:$DE,$A52)&gt;0,IF(ISNUMBER(SEARCH("[済]",INDEX(Material_Detail!$D:$DC,MATCH($A52,Material_Detail!$DE:$DE,0)+1,77))),0,IFERROR(INDEX(Material_Detail!$D:$DC,MATCH($A52,Material_Detail!$DE:$DE,0),77),0)),SUMIFS(T_Shipments[Confirmed_Qty],T_Shipments[Part Name],$A52,T_Shipments[Effective_Week],77))</f>
        <v/>
      </c>
      <c r="CA52">
        <f>IF(COUNTIF(Material_Detail!$DE:$DE,$A52)&gt;0,IF(ISNUMBER(SEARCH("[済]",INDEX(Material_Detail!$D:$DC,MATCH($A52,Material_Detail!$DE:$DE,0)+1,78))),0,IFERROR(INDEX(Material_Detail!$D:$DC,MATCH($A52,Material_Detail!$DE:$DE,0),78),0)),SUMIFS(T_Shipments[Confirmed_Qty],T_Shipments[Part Name],$A52,T_Shipments[Effective_Week],78))</f>
        <v/>
      </c>
      <c r="CB52">
        <f>IF(COUNTIF(Material_Detail!$DE:$DE,$A52)&gt;0,IF(ISNUMBER(SEARCH("[済]",INDEX(Material_Detail!$D:$DC,MATCH($A52,Material_Detail!$DE:$DE,0)+1,79))),0,IFERROR(INDEX(Material_Detail!$D:$DC,MATCH($A52,Material_Detail!$DE:$DE,0),79),0)),SUMIFS(T_Shipments[Confirmed_Qty],T_Shipments[Part Name],$A52,T_Shipments[Effective_Week],79))</f>
        <v/>
      </c>
      <c r="CC52">
        <f>IF(COUNTIF(Material_Detail!$DE:$DE,$A52)&gt;0,IF(ISNUMBER(SEARCH("[済]",INDEX(Material_Detail!$D:$DC,MATCH($A52,Material_Detail!$DE:$DE,0)+1,80))),0,IFERROR(INDEX(Material_Detail!$D:$DC,MATCH($A52,Material_Detail!$DE:$DE,0),80),0)),SUMIFS(T_Shipments[Confirmed_Qty],T_Shipments[Part Name],$A52,T_Shipments[Effective_Week],80))</f>
        <v/>
      </c>
      <c r="CD52">
        <f>IF(COUNTIF(Material_Detail!$DE:$DE,$A52)&gt;0,IF(ISNUMBER(SEARCH("[済]",INDEX(Material_Detail!$D:$DC,MATCH($A52,Material_Detail!$DE:$DE,0)+1,81))),0,IFERROR(INDEX(Material_Detail!$D:$DC,MATCH($A52,Material_Detail!$DE:$DE,0),81),0)),SUMIFS(T_Shipments[Confirmed_Qty],T_Shipments[Part Name],$A52,T_Shipments[Effective_Week],81))</f>
        <v/>
      </c>
      <c r="CE52">
        <f>IF(COUNTIF(Material_Detail!$DE:$DE,$A52)&gt;0,IF(ISNUMBER(SEARCH("[済]",INDEX(Material_Detail!$D:$DC,MATCH($A52,Material_Detail!$DE:$DE,0)+1,82))),0,IFERROR(INDEX(Material_Detail!$D:$DC,MATCH($A52,Material_Detail!$DE:$DE,0),82),0)),SUMIFS(T_Shipments[Confirmed_Qty],T_Shipments[Part Name],$A52,T_Shipments[Effective_Week],82))</f>
        <v/>
      </c>
      <c r="CF52">
        <f>IF(COUNTIF(Material_Detail!$DE:$DE,$A52)&gt;0,IF(ISNUMBER(SEARCH("[済]",INDEX(Material_Detail!$D:$DC,MATCH($A52,Material_Detail!$DE:$DE,0)+1,83))),0,IFERROR(INDEX(Material_Detail!$D:$DC,MATCH($A52,Material_Detail!$DE:$DE,0),83),0)),SUMIFS(T_Shipments[Confirmed_Qty],T_Shipments[Part Name],$A52,T_Shipments[Effective_Week],83))</f>
        <v/>
      </c>
      <c r="CG52">
        <f>IF(COUNTIF(Material_Detail!$DE:$DE,$A52)&gt;0,IF(ISNUMBER(SEARCH("[済]",INDEX(Material_Detail!$D:$DC,MATCH($A52,Material_Detail!$DE:$DE,0)+1,84))),0,IFERROR(INDEX(Material_Detail!$D:$DC,MATCH($A52,Material_Detail!$DE:$DE,0),84),0)),SUMIFS(T_Shipments[Confirmed_Qty],T_Shipments[Part Name],$A52,T_Shipments[Effective_Week],84))</f>
        <v/>
      </c>
      <c r="CH52">
        <f>IF(COUNTIF(Material_Detail!$DE:$DE,$A52)&gt;0,IF(ISNUMBER(SEARCH("[済]",INDEX(Material_Detail!$D:$DC,MATCH($A52,Material_Detail!$DE:$DE,0)+1,85))),0,IFERROR(INDEX(Material_Detail!$D:$DC,MATCH($A52,Material_Detail!$DE:$DE,0),85),0)),SUMIFS(T_Shipments[Confirmed_Qty],T_Shipments[Part Name],$A52,T_Shipments[Effective_Week],85))</f>
        <v/>
      </c>
      <c r="CI52">
        <f>IF(COUNTIF(Material_Detail!$DE:$DE,$A52)&gt;0,IF(ISNUMBER(SEARCH("[済]",INDEX(Material_Detail!$D:$DC,MATCH($A52,Material_Detail!$DE:$DE,0)+1,86))),0,IFERROR(INDEX(Material_Detail!$D:$DC,MATCH($A52,Material_Detail!$DE:$DE,0),86),0)),SUMIFS(T_Shipments[Confirmed_Qty],T_Shipments[Part Name],$A52,T_Shipments[Effective_Week],86))</f>
        <v/>
      </c>
      <c r="CJ52">
        <f>IF(COUNTIF(Material_Detail!$DE:$DE,$A52)&gt;0,IF(ISNUMBER(SEARCH("[済]",INDEX(Material_Detail!$D:$DC,MATCH($A52,Material_Detail!$DE:$DE,0)+1,87))),0,IFERROR(INDEX(Material_Detail!$D:$DC,MATCH($A52,Material_Detail!$DE:$DE,0),87),0)),SUMIFS(T_Shipments[Confirmed_Qty],T_Shipments[Part Name],$A52,T_Shipments[Effective_Week],87))</f>
        <v/>
      </c>
      <c r="CK52">
        <f>IF(COUNTIF(Material_Detail!$DE:$DE,$A52)&gt;0,IF(ISNUMBER(SEARCH("[済]",INDEX(Material_Detail!$D:$DC,MATCH($A52,Material_Detail!$DE:$DE,0)+1,88))),0,IFERROR(INDEX(Material_Detail!$D:$DC,MATCH($A52,Material_Detail!$DE:$DE,0),88),0)),SUMIFS(T_Shipments[Confirmed_Qty],T_Shipments[Part Name],$A52,T_Shipments[Effective_Week],88))</f>
        <v/>
      </c>
      <c r="CL52">
        <f>IF(COUNTIF(Material_Detail!$DE:$DE,$A52)&gt;0,IF(ISNUMBER(SEARCH("[済]",INDEX(Material_Detail!$D:$DC,MATCH($A52,Material_Detail!$DE:$DE,0)+1,89))),0,IFERROR(INDEX(Material_Detail!$D:$DC,MATCH($A52,Material_Detail!$DE:$DE,0),89),0)),SUMIFS(T_Shipments[Confirmed_Qty],T_Shipments[Part Name],$A52,T_Shipments[Effective_Week],89))</f>
        <v/>
      </c>
      <c r="CM52">
        <f>IF(COUNTIF(Material_Detail!$DE:$DE,$A52)&gt;0,IF(ISNUMBER(SEARCH("[済]",INDEX(Material_Detail!$D:$DC,MATCH($A52,Material_Detail!$DE:$DE,0)+1,90))),0,IFERROR(INDEX(Material_Detail!$D:$DC,MATCH($A52,Material_Detail!$DE:$DE,0),90),0)),SUMIFS(T_Shipments[Confirmed_Qty],T_Shipments[Part Name],$A52,T_Shipments[Effective_Week],90))</f>
        <v/>
      </c>
      <c r="CN52">
        <f>IF(COUNTIF(Material_Detail!$DE:$DE,$A52)&gt;0,IF(ISNUMBER(SEARCH("[済]",INDEX(Material_Detail!$D:$DC,MATCH($A52,Material_Detail!$DE:$DE,0)+1,91))),0,IFERROR(INDEX(Material_Detail!$D:$DC,MATCH($A52,Material_Detail!$DE:$DE,0),91),0)),SUMIFS(T_Shipments[Confirmed_Qty],T_Shipments[Part Name],$A52,T_Shipments[Effective_Week],91))</f>
        <v/>
      </c>
      <c r="CO52">
        <f>IF(COUNTIF(Material_Detail!$DE:$DE,$A52)&gt;0,IF(ISNUMBER(SEARCH("[済]",INDEX(Material_Detail!$D:$DC,MATCH($A52,Material_Detail!$DE:$DE,0)+1,92))),0,IFERROR(INDEX(Material_Detail!$D:$DC,MATCH($A52,Material_Detail!$DE:$DE,0),92),0)),SUMIFS(T_Shipments[Confirmed_Qty],T_Shipments[Part Name],$A52,T_Shipments[Effective_Week],92))</f>
        <v/>
      </c>
      <c r="CP52">
        <f>IF(COUNTIF(Material_Detail!$DE:$DE,$A52)&gt;0,IF(ISNUMBER(SEARCH("[済]",INDEX(Material_Detail!$D:$DC,MATCH($A52,Material_Detail!$DE:$DE,0)+1,93))),0,IFERROR(INDEX(Material_Detail!$D:$DC,MATCH($A52,Material_Detail!$DE:$DE,0),93),0)),SUMIFS(T_Shipments[Confirmed_Qty],T_Shipments[Part Name],$A52,T_Shipments[Effective_Week],93))</f>
        <v/>
      </c>
      <c r="CQ52">
        <f>IF(COUNTIF(Material_Detail!$DE:$DE,$A52)&gt;0,IF(ISNUMBER(SEARCH("[済]",INDEX(Material_Detail!$D:$DC,MATCH($A52,Material_Detail!$DE:$DE,0)+1,94))),0,IFERROR(INDEX(Material_Detail!$D:$DC,MATCH($A52,Material_Detail!$DE:$DE,0),94),0)),SUMIFS(T_Shipments[Confirmed_Qty],T_Shipments[Part Name],$A52,T_Shipments[Effective_Week],94))</f>
        <v/>
      </c>
      <c r="CR52">
        <f>IF(COUNTIF(Material_Detail!$DE:$DE,$A52)&gt;0,IF(ISNUMBER(SEARCH("[済]",INDEX(Material_Detail!$D:$DC,MATCH($A52,Material_Detail!$DE:$DE,0)+1,95))),0,IFERROR(INDEX(Material_Detail!$D:$DC,MATCH($A52,Material_Detail!$DE:$DE,0),95),0)),SUMIFS(T_Shipments[Confirmed_Qty],T_Shipments[Part Name],$A52,T_Shipments[Effective_Week],95))</f>
        <v/>
      </c>
      <c r="CS52">
        <f>IF(COUNTIF(Material_Detail!$DE:$DE,$A52)&gt;0,IF(ISNUMBER(SEARCH("[済]",INDEX(Material_Detail!$D:$DC,MATCH($A52,Material_Detail!$DE:$DE,0)+1,96))),0,IFERROR(INDEX(Material_Detail!$D:$DC,MATCH($A52,Material_Detail!$DE:$DE,0),96),0)),SUMIFS(T_Shipments[Confirmed_Qty],T_Shipments[Part Name],$A52,T_Shipments[Effective_Week],96))</f>
        <v/>
      </c>
      <c r="CT52">
        <f>IF(COUNTIF(Material_Detail!$DE:$DE,$A52)&gt;0,IF(ISNUMBER(SEARCH("[済]",INDEX(Material_Detail!$D:$DC,MATCH($A52,Material_Detail!$DE:$DE,0)+1,97))),0,IFERROR(INDEX(Material_Detail!$D:$DC,MATCH($A52,Material_Detail!$DE:$DE,0),97),0)),SUMIFS(T_Shipments[Confirmed_Qty],T_Shipments[Part Name],$A52,T_Shipments[Effective_Week],97))</f>
        <v/>
      </c>
      <c r="CU52">
        <f>IF(COUNTIF(Material_Detail!$DE:$DE,$A52)&gt;0,IF(ISNUMBER(SEARCH("[済]",INDEX(Material_Detail!$D:$DC,MATCH($A52,Material_Detail!$DE:$DE,0)+1,98))),0,IFERROR(INDEX(Material_Detail!$D:$DC,MATCH($A52,Material_Detail!$DE:$DE,0),98),0)),SUMIFS(T_Shipments[Confirmed_Qty],T_Shipments[Part Name],$A52,T_Shipments[Effective_Week],98))</f>
        <v/>
      </c>
      <c r="CV52">
        <f>IF(COUNTIF(Material_Detail!$DE:$DE,$A52)&gt;0,IF(ISNUMBER(SEARCH("[済]",INDEX(Material_Detail!$D:$DC,MATCH($A52,Material_Detail!$DE:$DE,0)+1,99))),0,IFERROR(INDEX(Material_Detail!$D:$DC,MATCH($A52,Material_Detail!$DE:$DE,0),99),0)),SUMIFS(T_Shipments[Confirmed_Qty],T_Shipments[Part Name],$A52,T_Shipments[Effective_Week],99))</f>
        <v/>
      </c>
      <c r="CW52">
        <f>IF(COUNTIF(Material_Detail!$DE:$DE,$A52)&gt;0,IF(ISNUMBER(SEARCH("[済]",INDEX(Material_Detail!$D:$DC,MATCH($A52,Material_Detail!$DE:$DE,0)+1,100))),0,IFERROR(INDEX(Material_Detail!$D:$DC,MATCH($A52,Material_Detail!$DE:$DE,0),100),0)),SUMIFS(T_Shipments[Confirmed_Qty],T_Shipments[Part Name],$A52,T_Shipments[Effective_Week],100))</f>
        <v/>
      </c>
      <c r="CX52">
        <f>IF(COUNTIF(Material_Detail!$DE:$DE,$A52)&gt;0,IF(ISNUMBER(SEARCH("[済]",INDEX(Material_Detail!$D:$DC,MATCH($A52,Material_Detail!$DE:$DE,0)+1,101))),0,IFERROR(INDEX(Material_Detail!$D:$DC,MATCH($A52,Material_Detail!$DE:$DE,0),101),0)),SUMIFS(T_Shipments[Confirmed_Qty],T_Shipments[Part Name],$A52,T_Shipments[Effective_Week],101))</f>
        <v/>
      </c>
      <c r="CY52">
        <f>IF(COUNTIF(Material_Detail!$DE:$DE,$A52)&gt;0,IF(ISNUMBER(SEARCH("[済]",INDEX(Material_Detail!$D:$DC,MATCH($A52,Material_Detail!$DE:$DE,0)+1,102))),0,IFERROR(INDEX(Material_Detail!$D:$DC,MATCH($A52,Material_Detail!$DE:$DE,0),102),0)),SUMIFS(T_Shipments[Confirmed_Qty],T_Shipments[Part Name],$A52,T_Shipments[Effective_Week],102))</f>
        <v/>
      </c>
      <c r="CZ52">
        <f>IF(COUNTIF(Material_Detail!$DE:$DE,$A52)&gt;0,IF(ISNUMBER(SEARCH("[済]",INDEX(Material_Detail!$D:$DC,MATCH($A52,Material_Detail!$DE:$DE,0)+1,103))),0,IFERROR(INDEX(Material_Detail!$D:$DC,MATCH($A52,Material_Detail!$DE:$DE,0),103),0)),SUMIFS(T_Shipments[Confirmed_Qty],T_Shipments[Part Name],$A52,T_Shipments[Effective_Week],103))</f>
        <v/>
      </c>
      <c r="DA52">
        <f>IF(COUNTIF(Material_Detail!$DE:$DE,$A52)&gt;0,IF(ISNUMBER(SEARCH("[済]",INDEX(Material_Detail!$D:$DC,MATCH($A52,Material_Detail!$DE:$DE,0)+1,104))),0,IFERROR(INDEX(Material_Detail!$D:$DC,MATCH($A52,Material_Detail!$DE:$DE,0),104),0)),SUMIFS(T_Shipments[Confirmed_Qty],T_Shipments[Part Name],$A52,T_Shipments[Effective_Week],104))</f>
        <v/>
      </c>
    </row>
    <row r="53">
      <c r="A53" t="inlineStr">
        <is>
          <t>18456-50041</t>
        </is>
      </c>
      <c r="B53">
        <f>IF(COUNTIF(Material_Detail!$DE:$DE,$A53)&gt;0,IF(ISNUMBER(SEARCH("[済]",INDEX(Material_Detail!$D:$DC,MATCH($A53,Material_Detail!$DE:$DE,0)+1,1))),0,IFERROR(INDEX(Material_Detail!$D:$DC,MATCH($A53,Material_Detail!$DE:$DE,0),1),0)),SUMIFS(T_Shipments[Confirmed_Qty],T_Shipments[Part Name],$A53,T_Shipments[Effective_Week],1))</f>
        <v/>
      </c>
      <c r="C53">
        <f>IF(COUNTIF(Material_Detail!$DE:$DE,$A53)&gt;0,IF(ISNUMBER(SEARCH("[済]",INDEX(Material_Detail!$D:$DC,MATCH($A53,Material_Detail!$DE:$DE,0)+1,2))),0,IFERROR(INDEX(Material_Detail!$D:$DC,MATCH($A53,Material_Detail!$DE:$DE,0),2),0)),SUMIFS(T_Shipments[Confirmed_Qty],T_Shipments[Part Name],$A53,T_Shipments[Effective_Week],2))</f>
        <v/>
      </c>
      <c r="D53">
        <f>IF(COUNTIF(Material_Detail!$DE:$DE,$A53)&gt;0,IF(ISNUMBER(SEARCH("[済]",INDEX(Material_Detail!$D:$DC,MATCH($A53,Material_Detail!$DE:$DE,0)+1,3))),0,IFERROR(INDEX(Material_Detail!$D:$DC,MATCH($A53,Material_Detail!$DE:$DE,0),3),0)),SUMIFS(T_Shipments[Confirmed_Qty],T_Shipments[Part Name],$A53,T_Shipments[Effective_Week],3))</f>
        <v/>
      </c>
      <c r="E53">
        <f>IF(COUNTIF(Material_Detail!$DE:$DE,$A53)&gt;0,IF(ISNUMBER(SEARCH("[済]",INDEX(Material_Detail!$D:$DC,MATCH($A53,Material_Detail!$DE:$DE,0)+1,4))),0,IFERROR(INDEX(Material_Detail!$D:$DC,MATCH($A53,Material_Detail!$DE:$DE,0),4),0)),SUMIFS(T_Shipments[Confirmed_Qty],T_Shipments[Part Name],$A53,T_Shipments[Effective_Week],4))</f>
        <v/>
      </c>
      <c r="F53">
        <f>IF(COUNTIF(Material_Detail!$DE:$DE,$A53)&gt;0,IF(ISNUMBER(SEARCH("[済]",INDEX(Material_Detail!$D:$DC,MATCH($A53,Material_Detail!$DE:$DE,0)+1,5))),0,IFERROR(INDEX(Material_Detail!$D:$DC,MATCH($A53,Material_Detail!$DE:$DE,0),5),0)),SUMIFS(T_Shipments[Confirmed_Qty],T_Shipments[Part Name],$A53,T_Shipments[Effective_Week],5))</f>
        <v/>
      </c>
      <c r="G53">
        <f>IF(COUNTIF(Material_Detail!$DE:$DE,$A53)&gt;0,IF(ISNUMBER(SEARCH("[済]",INDEX(Material_Detail!$D:$DC,MATCH($A53,Material_Detail!$DE:$DE,0)+1,6))),0,IFERROR(INDEX(Material_Detail!$D:$DC,MATCH($A53,Material_Detail!$DE:$DE,0),6),0)),SUMIFS(T_Shipments[Confirmed_Qty],T_Shipments[Part Name],$A53,T_Shipments[Effective_Week],6))</f>
        <v/>
      </c>
      <c r="H53">
        <f>IF(COUNTIF(Material_Detail!$DE:$DE,$A53)&gt;0,IF(ISNUMBER(SEARCH("[済]",INDEX(Material_Detail!$D:$DC,MATCH($A53,Material_Detail!$DE:$DE,0)+1,7))),0,IFERROR(INDEX(Material_Detail!$D:$DC,MATCH($A53,Material_Detail!$DE:$DE,0),7),0)),SUMIFS(T_Shipments[Confirmed_Qty],T_Shipments[Part Name],$A53,T_Shipments[Effective_Week],7))</f>
        <v/>
      </c>
      <c r="I53">
        <f>IF(COUNTIF(Material_Detail!$DE:$DE,$A53)&gt;0,IF(ISNUMBER(SEARCH("[済]",INDEX(Material_Detail!$D:$DC,MATCH($A53,Material_Detail!$DE:$DE,0)+1,8))),0,IFERROR(INDEX(Material_Detail!$D:$DC,MATCH($A53,Material_Detail!$DE:$DE,0),8),0)),SUMIFS(T_Shipments[Confirmed_Qty],T_Shipments[Part Name],$A53,T_Shipments[Effective_Week],8))</f>
        <v/>
      </c>
      <c r="J53">
        <f>IF(COUNTIF(Material_Detail!$DE:$DE,$A53)&gt;0,IF(ISNUMBER(SEARCH("[済]",INDEX(Material_Detail!$D:$DC,MATCH($A53,Material_Detail!$DE:$DE,0)+1,9))),0,IFERROR(INDEX(Material_Detail!$D:$DC,MATCH($A53,Material_Detail!$DE:$DE,0),9),0)),SUMIFS(T_Shipments[Confirmed_Qty],T_Shipments[Part Name],$A53,T_Shipments[Effective_Week],9))</f>
        <v/>
      </c>
      <c r="K53">
        <f>IF(COUNTIF(Material_Detail!$DE:$DE,$A53)&gt;0,IF(ISNUMBER(SEARCH("[済]",INDEX(Material_Detail!$D:$DC,MATCH($A53,Material_Detail!$DE:$DE,0)+1,10))),0,IFERROR(INDEX(Material_Detail!$D:$DC,MATCH($A53,Material_Detail!$DE:$DE,0),10),0)),SUMIFS(T_Shipments[Confirmed_Qty],T_Shipments[Part Name],$A53,T_Shipments[Effective_Week],10))</f>
        <v/>
      </c>
      <c r="L53">
        <f>IF(COUNTIF(Material_Detail!$DE:$DE,$A53)&gt;0,IF(ISNUMBER(SEARCH("[済]",INDEX(Material_Detail!$D:$DC,MATCH($A53,Material_Detail!$DE:$DE,0)+1,11))),0,IFERROR(INDEX(Material_Detail!$D:$DC,MATCH($A53,Material_Detail!$DE:$DE,0),11),0)),SUMIFS(T_Shipments[Confirmed_Qty],T_Shipments[Part Name],$A53,T_Shipments[Effective_Week],11))</f>
        <v/>
      </c>
      <c r="M53">
        <f>IF(COUNTIF(Material_Detail!$DE:$DE,$A53)&gt;0,IF(ISNUMBER(SEARCH("[済]",INDEX(Material_Detail!$D:$DC,MATCH($A53,Material_Detail!$DE:$DE,0)+1,12))),0,IFERROR(INDEX(Material_Detail!$D:$DC,MATCH($A53,Material_Detail!$DE:$DE,0),12),0)),SUMIFS(T_Shipments[Confirmed_Qty],T_Shipments[Part Name],$A53,T_Shipments[Effective_Week],12))</f>
        <v/>
      </c>
      <c r="N53">
        <f>IF(COUNTIF(Material_Detail!$DE:$DE,$A53)&gt;0,IF(ISNUMBER(SEARCH("[済]",INDEX(Material_Detail!$D:$DC,MATCH($A53,Material_Detail!$DE:$DE,0)+1,13))),0,IFERROR(INDEX(Material_Detail!$D:$DC,MATCH($A53,Material_Detail!$DE:$DE,0),13),0)),SUMIFS(T_Shipments[Confirmed_Qty],T_Shipments[Part Name],$A53,T_Shipments[Effective_Week],13))</f>
        <v/>
      </c>
      <c r="O53">
        <f>IF(COUNTIF(Material_Detail!$DE:$DE,$A53)&gt;0,IF(ISNUMBER(SEARCH("[済]",INDEX(Material_Detail!$D:$DC,MATCH($A53,Material_Detail!$DE:$DE,0)+1,14))),0,IFERROR(INDEX(Material_Detail!$D:$DC,MATCH($A53,Material_Detail!$DE:$DE,0),14),0)),SUMIFS(T_Shipments[Confirmed_Qty],T_Shipments[Part Name],$A53,T_Shipments[Effective_Week],14))</f>
        <v/>
      </c>
      <c r="P53">
        <f>IF(COUNTIF(Material_Detail!$DE:$DE,$A53)&gt;0,IF(ISNUMBER(SEARCH("[済]",INDEX(Material_Detail!$D:$DC,MATCH($A53,Material_Detail!$DE:$DE,0)+1,15))),0,IFERROR(INDEX(Material_Detail!$D:$DC,MATCH($A53,Material_Detail!$DE:$DE,0),15),0)),SUMIFS(T_Shipments[Confirmed_Qty],T_Shipments[Part Name],$A53,T_Shipments[Effective_Week],15))</f>
        <v/>
      </c>
      <c r="Q53">
        <f>IF(COUNTIF(Material_Detail!$DE:$DE,$A53)&gt;0,IF(ISNUMBER(SEARCH("[済]",INDEX(Material_Detail!$D:$DC,MATCH($A53,Material_Detail!$DE:$DE,0)+1,16))),0,IFERROR(INDEX(Material_Detail!$D:$DC,MATCH($A53,Material_Detail!$DE:$DE,0),16),0)),SUMIFS(T_Shipments[Confirmed_Qty],T_Shipments[Part Name],$A53,T_Shipments[Effective_Week],16))</f>
        <v/>
      </c>
      <c r="R53">
        <f>IF(COUNTIF(Material_Detail!$DE:$DE,$A53)&gt;0,IF(ISNUMBER(SEARCH("[済]",INDEX(Material_Detail!$D:$DC,MATCH($A53,Material_Detail!$DE:$DE,0)+1,17))),0,IFERROR(INDEX(Material_Detail!$D:$DC,MATCH($A53,Material_Detail!$DE:$DE,0),17),0)),SUMIFS(T_Shipments[Confirmed_Qty],T_Shipments[Part Name],$A53,T_Shipments[Effective_Week],17))</f>
        <v/>
      </c>
      <c r="S53">
        <f>IF(COUNTIF(Material_Detail!$DE:$DE,$A53)&gt;0,IF(ISNUMBER(SEARCH("[済]",INDEX(Material_Detail!$D:$DC,MATCH($A53,Material_Detail!$DE:$DE,0)+1,18))),0,IFERROR(INDEX(Material_Detail!$D:$DC,MATCH($A53,Material_Detail!$DE:$DE,0),18),0)),SUMIFS(T_Shipments[Confirmed_Qty],T_Shipments[Part Name],$A53,T_Shipments[Effective_Week],18))</f>
        <v/>
      </c>
      <c r="T53">
        <f>IF(COUNTIF(Material_Detail!$DE:$DE,$A53)&gt;0,IF(ISNUMBER(SEARCH("[済]",INDEX(Material_Detail!$D:$DC,MATCH($A53,Material_Detail!$DE:$DE,0)+1,19))),0,IFERROR(INDEX(Material_Detail!$D:$DC,MATCH($A53,Material_Detail!$DE:$DE,0),19),0)),SUMIFS(T_Shipments[Confirmed_Qty],T_Shipments[Part Name],$A53,T_Shipments[Effective_Week],19))</f>
        <v/>
      </c>
      <c r="U53">
        <f>IF(COUNTIF(Material_Detail!$DE:$DE,$A53)&gt;0,IF(ISNUMBER(SEARCH("[済]",INDEX(Material_Detail!$D:$DC,MATCH($A53,Material_Detail!$DE:$DE,0)+1,20))),0,IFERROR(INDEX(Material_Detail!$D:$DC,MATCH($A53,Material_Detail!$DE:$DE,0),20),0)),SUMIFS(T_Shipments[Confirmed_Qty],T_Shipments[Part Name],$A53,T_Shipments[Effective_Week],20))</f>
        <v/>
      </c>
      <c r="V53">
        <f>IF(COUNTIF(Material_Detail!$DE:$DE,$A53)&gt;0,IF(ISNUMBER(SEARCH("[済]",INDEX(Material_Detail!$D:$DC,MATCH($A53,Material_Detail!$DE:$DE,0)+1,21))),0,IFERROR(INDEX(Material_Detail!$D:$DC,MATCH($A53,Material_Detail!$DE:$DE,0),21),0)),SUMIFS(T_Shipments[Confirmed_Qty],T_Shipments[Part Name],$A53,T_Shipments[Effective_Week],21))</f>
        <v/>
      </c>
      <c r="W53">
        <f>IF(COUNTIF(Material_Detail!$DE:$DE,$A53)&gt;0,IF(ISNUMBER(SEARCH("[済]",INDEX(Material_Detail!$D:$DC,MATCH($A53,Material_Detail!$DE:$DE,0)+1,22))),0,IFERROR(INDEX(Material_Detail!$D:$DC,MATCH($A53,Material_Detail!$DE:$DE,0),22),0)),SUMIFS(T_Shipments[Confirmed_Qty],T_Shipments[Part Name],$A53,T_Shipments[Effective_Week],22))</f>
        <v/>
      </c>
      <c r="X53">
        <f>IF(COUNTIF(Material_Detail!$DE:$DE,$A53)&gt;0,IF(ISNUMBER(SEARCH("[済]",INDEX(Material_Detail!$D:$DC,MATCH($A53,Material_Detail!$DE:$DE,0)+1,23))),0,IFERROR(INDEX(Material_Detail!$D:$DC,MATCH($A53,Material_Detail!$DE:$DE,0),23),0)),SUMIFS(T_Shipments[Confirmed_Qty],T_Shipments[Part Name],$A53,T_Shipments[Effective_Week],23))</f>
        <v/>
      </c>
      <c r="Y53">
        <f>IF(COUNTIF(Material_Detail!$DE:$DE,$A53)&gt;0,IF(ISNUMBER(SEARCH("[済]",INDEX(Material_Detail!$D:$DC,MATCH($A53,Material_Detail!$DE:$DE,0)+1,24))),0,IFERROR(INDEX(Material_Detail!$D:$DC,MATCH($A53,Material_Detail!$DE:$DE,0),24),0)),SUMIFS(T_Shipments[Confirmed_Qty],T_Shipments[Part Name],$A53,T_Shipments[Effective_Week],24))</f>
        <v/>
      </c>
      <c r="Z53">
        <f>IF(COUNTIF(Material_Detail!$DE:$DE,$A53)&gt;0,IF(ISNUMBER(SEARCH("[済]",INDEX(Material_Detail!$D:$DC,MATCH($A53,Material_Detail!$DE:$DE,0)+1,25))),0,IFERROR(INDEX(Material_Detail!$D:$DC,MATCH($A53,Material_Detail!$DE:$DE,0),25),0)),SUMIFS(T_Shipments[Confirmed_Qty],T_Shipments[Part Name],$A53,T_Shipments[Effective_Week],25))</f>
        <v/>
      </c>
      <c r="AA53">
        <f>IF(COUNTIF(Material_Detail!$DE:$DE,$A53)&gt;0,IF(ISNUMBER(SEARCH("[済]",INDEX(Material_Detail!$D:$DC,MATCH($A53,Material_Detail!$DE:$DE,0)+1,26))),0,IFERROR(INDEX(Material_Detail!$D:$DC,MATCH($A53,Material_Detail!$DE:$DE,0),26),0)),SUMIFS(T_Shipments[Confirmed_Qty],T_Shipments[Part Name],$A53,T_Shipments[Effective_Week],26))</f>
        <v/>
      </c>
      <c r="AB53">
        <f>IF(COUNTIF(Material_Detail!$DE:$DE,$A53)&gt;0,IF(ISNUMBER(SEARCH("[済]",INDEX(Material_Detail!$D:$DC,MATCH($A53,Material_Detail!$DE:$DE,0)+1,27))),0,IFERROR(INDEX(Material_Detail!$D:$DC,MATCH($A53,Material_Detail!$DE:$DE,0),27),0)),SUMIFS(T_Shipments[Confirmed_Qty],T_Shipments[Part Name],$A53,T_Shipments[Effective_Week],27))</f>
        <v/>
      </c>
      <c r="AC53">
        <f>IF(COUNTIF(Material_Detail!$DE:$DE,$A53)&gt;0,IF(ISNUMBER(SEARCH("[済]",INDEX(Material_Detail!$D:$DC,MATCH($A53,Material_Detail!$DE:$DE,0)+1,28))),0,IFERROR(INDEX(Material_Detail!$D:$DC,MATCH($A53,Material_Detail!$DE:$DE,0),28),0)),SUMIFS(T_Shipments[Confirmed_Qty],T_Shipments[Part Name],$A53,T_Shipments[Effective_Week],28))</f>
        <v/>
      </c>
      <c r="AD53">
        <f>IF(COUNTIF(Material_Detail!$DE:$DE,$A53)&gt;0,IF(ISNUMBER(SEARCH("[済]",INDEX(Material_Detail!$D:$DC,MATCH($A53,Material_Detail!$DE:$DE,0)+1,29))),0,IFERROR(INDEX(Material_Detail!$D:$DC,MATCH($A53,Material_Detail!$DE:$DE,0),29),0)),SUMIFS(T_Shipments[Confirmed_Qty],T_Shipments[Part Name],$A53,T_Shipments[Effective_Week],29))</f>
        <v/>
      </c>
      <c r="AE53">
        <f>IF(COUNTIF(Material_Detail!$DE:$DE,$A53)&gt;0,IF(ISNUMBER(SEARCH("[済]",INDEX(Material_Detail!$D:$DC,MATCH($A53,Material_Detail!$DE:$DE,0)+1,30))),0,IFERROR(INDEX(Material_Detail!$D:$DC,MATCH($A53,Material_Detail!$DE:$DE,0),30),0)),SUMIFS(T_Shipments[Confirmed_Qty],T_Shipments[Part Name],$A53,T_Shipments[Effective_Week],30))</f>
        <v/>
      </c>
      <c r="AF53">
        <f>IF(COUNTIF(Material_Detail!$DE:$DE,$A53)&gt;0,IF(ISNUMBER(SEARCH("[済]",INDEX(Material_Detail!$D:$DC,MATCH($A53,Material_Detail!$DE:$DE,0)+1,31))),0,IFERROR(INDEX(Material_Detail!$D:$DC,MATCH($A53,Material_Detail!$DE:$DE,0),31),0)),SUMIFS(T_Shipments[Confirmed_Qty],T_Shipments[Part Name],$A53,T_Shipments[Effective_Week],31))</f>
        <v/>
      </c>
      <c r="AG53">
        <f>IF(COUNTIF(Material_Detail!$DE:$DE,$A53)&gt;0,IF(ISNUMBER(SEARCH("[済]",INDEX(Material_Detail!$D:$DC,MATCH($A53,Material_Detail!$DE:$DE,0)+1,32))),0,IFERROR(INDEX(Material_Detail!$D:$DC,MATCH($A53,Material_Detail!$DE:$DE,0),32),0)),SUMIFS(T_Shipments[Confirmed_Qty],T_Shipments[Part Name],$A53,T_Shipments[Effective_Week],32))</f>
        <v/>
      </c>
      <c r="AH53">
        <f>IF(COUNTIF(Material_Detail!$DE:$DE,$A53)&gt;0,IF(ISNUMBER(SEARCH("[済]",INDEX(Material_Detail!$D:$DC,MATCH($A53,Material_Detail!$DE:$DE,0)+1,33))),0,IFERROR(INDEX(Material_Detail!$D:$DC,MATCH($A53,Material_Detail!$DE:$DE,0),33),0)),SUMIFS(T_Shipments[Confirmed_Qty],T_Shipments[Part Name],$A53,T_Shipments[Effective_Week],33))</f>
        <v/>
      </c>
      <c r="AI53">
        <f>IF(COUNTIF(Material_Detail!$DE:$DE,$A53)&gt;0,IF(ISNUMBER(SEARCH("[済]",INDEX(Material_Detail!$D:$DC,MATCH($A53,Material_Detail!$DE:$DE,0)+1,34))),0,IFERROR(INDEX(Material_Detail!$D:$DC,MATCH($A53,Material_Detail!$DE:$DE,0),34),0)),SUMIFS(T_Shipments[Confirmed_Qty],T_Shipments[Part Name],$A53,T_Shipments[Effective_Week],34))</f>
        <v/>
      </c>
      <c r="AJ53">
        <f>IF(COUNTIF(Material_Detail!$DE:$DE,$A53)&gt;0,IF(ISNUMBER(SEARCH("[済]",INDEX(Material_Detail!$D:$DC,MATCH($A53,Material_Detail!$DE:$DE,0)+1,35))),0,IFERROR(INDEX(Material_Detail!$D:$DC,MATCH($A53,Material_Detail!$DE:$DE,0),35),0)),SUMIFS(T_Shipments[Confirmed_Qty],T_Shipments[Part Name],$A53,T_Shipments[Effective_Week],35))</f>
        <v/>
      </c>
      <c r="AK53">
        <f>IF(COUNTIF(Material_Detail!$DE:$DE,$A53)&gt;0,IF(ISNUMBER(SEARCH("[済]",INDEX(Material_Detail!$D:$DC,MATCH($A53,Material_Detail!$DE:$DE,0)+1,36))),0,IFERROR(INDEX(Material_Detail!$D:$DC,MATCH($A53,Material_Detail!$DE:$DE,0),36),0)),SUMIFS(T_Shipments[Confirmed_Qty],T_Shipments[Part Name],$A53,T_Shipments[Effective_Week],36))</f>
        <v/>
      </c>
      <c r="AL53">
        <f>IF(COUNTIF(Material_Detail!$DE:$DE,$A53)&gt;0,IF(ISNUMBER(SEARCH("[済]",INDEX(Material_Detail!$D:$DC,MATCH($A53,Material_Detail!$DE:$DE,0)+1,37))),0,IFERROR(INDEX(Material_Detail!$D:$DC,MATCH($A53,Material_Detail!$DE:$DE,0),37),0)),SUMIFS(T_Shipments[Confirmed_Qty],T_Shipments[Part Name],$A53,T_Shipments[Effective_Week],37))</f>
        <v/>
      </c>
      <c r="AM53">
        <f>IF(COUNTIF(Material_Detail!$DE:$DE,$A53)&gt;0,IF(ISNUMBER(SEARCH("[済]",INDEX(Material_Detail!$D:$DC,MATCH($A53,Material_Detail!$DE:$DE,0)+1,38))),0,IFERROR(INDEX(Material_Detail!$D:$DC,MATCH($A53,Material_Detail!$DE:$DE,0),38),0)),SUMIFS(T_Shipments[Confirmed_Qty],T_Shipments[Part Name],$A53,T_Shipments[Effective_Week],38))</f>
        <v/>
      </c>
      <c r="AN53">
        <f>IF(COUNTIF(Material_Detail!$DE:$DE,$A53)&gt;0,IF(ISNUMBER(SEARCH("[済]",INDEX(Material_Detail!$D:$DC,MATCH($A53,Material_Detail!$DE:$DE,0)+1,39))),0,IFERROR(INDEX(Material_Detail!$D:$DC,MATCH($A53,Material_Detail!$DE:$DE,0),39),0)),SUMIFS(T_Shipments[Confirmed_Qty],T_Shipments[Part Name],$A53,T_Shipments[Effective_Week],39))</f>
        <v/>
      </c>
      <c r="AO53">
        <f>IF(COUNTIF(Material_Detail!$DE:$DE,$A53)&gt;0,IF(ISNUMBER(SEARCH("[済]",INDEX(Material_Detail!$D:$DC,MATCH($A53,Material_Detail!$DE:$DE,0)+1,40))),0,IFERROR(INDEX(Material_Detail!$D:$DC,MATCH($A53,Material_Detail!$DE:$DE,0),40),0)),SUMIFS(T_Shipments[Confirmed_Qty],T_Shipments[Part Name],$A53,T_Shipments[Effective_Week],40))</f>
        <v/>
      </c>
      <c r="AP53">
        <f>IF(COUNTIF(Material_Detail!$DE:$DE,$A53)&gt;0,IF(ISNUMBER(SEARCH("[済]",INDEX(Material_Detail!$D:$DC,MATCH($A53,Material_Detail!$DE:$DE,0)+1,41))),0,IFERROR(INDEX(Material_Detail!$D:$DC,MATCH($A53,Material_Detail!$DE:$DE,0),41),0)),SUMIFS(T_Shipments[Confirmed_Qty],T_Shipments[Part Name],$A53,T_Shipments[Effective_Week],41))</f>
        <v/>
      </c>
      <c r="AQ53">
        <f>IF(COUNTIF(Material_Detail!$DE:$DE,$A53)&gt;0,IF(ISNUMBER(SEARCH("[済]",INDEX(Material_Detail!$D:$DC,MATCH($A53,Material_Detail!$DE:$DE,0)+1,42))),0,IFERROR(INDEX(Material_Detail!$D:$DC,MATCH($A53,Material_Detail!$DE:$DE,0),42),0)),SUMIFS(T_Shipments[Confirmed_Qty],T_Shipments[Part Name],$A53,T_Shipments[Effective_Week],42))</f>
        <v/>
      </c>
      <c r="AR53">
        <f>IF(COUNTIF(Material_Detail!$DE:$DE,$A53)&gt;0,IF(ISNUMBER(SEARCH("[済]",INDEX(Material_Detail!$D:$DC,MATCH($A53,Material_Detail!$DE:$DE,0)+1,43))),0,IFERROR(INDEX(Material_Detail!$D:$DC,MATCH($A53,Material_Detail!$DE:$DE,0),43),0)),SUMIFS(T_Shipments[Confirmed_Qty],T_Shipments[Part Name],$A53,T_Shipments[Effective_Week],43))</f>
        <v/>
      </c>
      <c r="AS53">
        <f>IF(COUNTIF(Material_Detail!$DE:$DE,$A53)&gt;0,IF(ISNUMBER(SEARCH("[済]",INDEX(Material_Detail!$D:$DC,MATCH($A53,Material_Detail!$DE:$DE,0)+1,44))),0,IFERROR(INDEX(Material_Detail!$D:$DC,MATCH($A53,Material_Detail!$DE:$DE,0),44),0)),SUMIFS(T_Shipments[Confirmed_Qty],T_Shipments[Part Name],$A53,T_Shipments[Effective_Week],44))</f>
        <v/>
      </c>
      <c r="AT53">
        <f>IF(COUNTIF(Material_Detail!$DE:$DE,$A53)&gt;0,IF(ISNUMBER(SEARCH("[済]",INDEX(Material_Detail!$D:$DC,MATCH($A53,Material_Detail!$DE:$DE,0)+1,45))),0,IFERROR(INDEX(Material_Detail!$D:$DC,MATCH($A53,Material_Detail!$DE:$DE,0),45),0)),SUMIFS(T_Shipments[Confirmed_Qty],T_Shipments[Part Name],$A53,T_Shipments[Effective_Week],45))</f>
        <v/>
      </c>
      <c r="AU53">
        <f>IF(COUNTIF(Material_Detail!$DE:$DE,$A53)&gt;0,IF(ISNUMBER(SEARCH("[済]",INDEX(Material_Detail!$D:$DC,MATCH($A53,Material_Detail!$DE:$DE,0)+1,46))),0,IFERROR(INDEX(Material_Detail!$D:$DC,MATCH($A53,Material_Detail!$DE:$DE,0),46),0)),SUMIFS(T_Shipments[Confirmed_Qty],T_Shipments[Part Name],$A53,T_Shipments[Effective_Week],46))</f>
        <v/>
      </c>
      <c r="AV53">
        <f>IF(COUNTIF(Material_Detail!$DE:$DE,$A53)&gt;0,IF(ISNUMBER(SEARCH("[済]",INDEX(Material_Detail!$D:$DC,MATCH($A53,Material_Detail!$DE:$DE,0)+1,47))),0,IFERROR(INDEX(Material_Detail!$D:$DC,MATCH($A53,Material_Detail!$DE:$DE,0),47),0)),SUMIFS(T_Shipments[Confirmed_Qty],T_Shipments[Part Name],$A53,T_Shipments[Effective_Week],47))</f>
        <v/>
      </c>
      <c r="AW53">
        <f>IF(COUNTIF(Material_Detail!$DE:$DE,$A53)&gt;0,IF(ISNUMBER(SEARCH("[済]",INDEX(Material_Detail!$D:$DC,MATCH($A53,Material_Detail!$DE:$DE,0)+1,48))),0,IFERROR(INDEX(Material_Detail!$D:$DC,MATCH($A53,Material_Detail!$DE:$DE,0),48),0)),SUMIFS(T_Shipments[Confirmed_Qty],T_Shipments[Part Name],$A53,T_Shipments[Effective_Week],48))</f>
        <v/>
      </c>
      <c r="AX53">
        <f>IF(COUNTIF(Material_Detail!$DE:$DE,$A53)&gt;0,IF(ISNUMBER(SEARCH("[済]",INDEX(Material_Detail!$D:$DC,MATCH($A53,Material_Detail!$DE:$DE,0)+1,49))),0,IFERROR(INDEX(Material_Detail!$D:$DC,MATCH($A53,Material_Detail!$DE:$DE,0),49),0)),SUMIFS(T_Shipments[Confirmed_Qty],T_Shipments[Part Name],$A53,T_Shipments[Effective_Week],49))</f>
        <v/>
      </c>
      <c r="AY53">
        <f>IF(COUNTIF(Material_Detail!$DE:$DE,$A53)&gt;0,IF(ISNUMBER(SEARCH("[済]",INDEX(Material_Detail!$D:$DC,MATCH($A53,Material_Detail!$DE:$DE,0)+1,50))),0,IFERROR(INDEX(Material_Detail!$D:$DC,MATCH($A53,Material_Detail!$DE:$DE,0),50),0)),SUMIFS(T_Shipments[Confirmed_Qty],T_Shipments[Part Name],$A53,T_Shipments[Effective_Week],50))</f>
        <v/>
      </c>
      <c r="AZ53">
        <f>IF(COUNTIF(Material_Detail!$DE:$DE,$A53)&gt;0,IF(ISNUMBER(SEARCH("[済]",INDEX(Material_Detail!$D:$DC,MATCH($A53,Material_Detail!$DE:$DE,0)+1,51))),0,IFERROR(INDEX(Material_Detail!$D:$DC,MATCH($A53,Material_Detail!$DE:$DE,0),51),0)),SUMIFS(T_Shipments[Confirmed_Qty],T_Shipments[Part Name],$A53,T_Shipments[Effective_Week],51))</f>
        <v/>
      </c>
      <c r="BA53">
        <f>IF(COUNTIF(Material_Detail!$DE:$DE,$A53)&gt;0,IF(ISNUMBER(SEARCH("[済]",INDEX(Material_Detail!$D:$DC,MATCH($A53,Material_Detail!$DE:$DE,0)+1,52))),0,IFERROR(INDEX(Material_Detail!$D:$DC,MATCH($A53,Material_Detail!$DE:$DE,0),52),0)),SUMIFS(T_Shipments[Confirmed_Qty],T_Shipments[Part Name],$A53,T_Shipments[Effective_Week],52))</f>
        <v/>
      </c>
      <c r="BB53">
        <f>IF(COUNTIF(Material_Detail!$DE:$DE,$A53)&gt;0,IF(ISNUMBER(SEARCH("[済]",INDEX(Material_Detail!$D:$DC,MATCH($A53,Material_Detail!$DE:$DE,0)+1,53))),0,IFERROR(INDEX(Material_Detail!$D:$DC,MATCH($A53,Material_Detail!$DE:$DE,0),53),0)),SUMIFS(T_Shipments[Confirmed_Qty],T_Shipments[Part Name],$A53,T_Shipments[Effective_Week],53))</f>
        <v/>
      </c>
      <c r="BC53">
        <f>IF(COUNTIF(Material_Detail!$DE:$DE,$A53)&gt;0,IF(ISNUMBER(SEARCH("[済]",INDEX(Material_Detail!$D:$DC,MATCH($A53,Material_Detail!$DE:$DE,0)+1,54))),0,IFERROR(INDEX(Material_Detail!$D:$DC,MATCH($A53,Material_Detail!$DE:$DE,0),54),0)),SUMIFS(T_Shipments[Confirmed_Qty],T_Shipments[Part Name],$A53,T_Shipments[Effective_Week],54))</f>
        <v/>
      </c>
      <c r="BD53">
        <f>IF(COUNTIF(Material_Detail!$DE:$DE,$A53)&gt;0,IF(ISNUMBER(SEARCH("[済]",INDEX(Material_Detail!$D:$DC,MATCH($A53,Material_Detail!$DE:$DE,0)+1,55))),0,IFERROR(INDEX(Material_Detail!$D:$DC,MATCH($A53,Material_Detail!$DE:$DE,0),55),0)),SUMIFS(T_Shipments[Confirmed_Qty],T_Shipments[Part Name],$A53,T_Shipments[Effective_Week],55))</f>
        <v/>
      </c>
      <c r="BE53">
        <f>IF(COUNTIF(Material_Detail!$DE:$DE,$A53)&gt;0,IF(ISNUMBER(SEARCH("[済]",INDEX(Material_Detail!$D:$DC,MATCH($A53,Material_Detail!$DE:$DE,0)+1,56))),0,IFERROR(INDEX(Material_Detail!$D:$DC,MATCH($A53,Material_Detail!$DE:$DE,0),56),0)),SUMIFS(T_Shipments[Confirmed_Qty],T_Shipments[Part Name],$A53,T_Shipments[Effective_Week],56))</f>
        <v/>
      </c>
      <c r="BF53">
        <f>IF(COUNTIF(Material_Detail!$DE:$DE,$A53)&gt;0,IF(ISNUMBER(SEARCH("[済]",INDEX(Material_Detail!$D:$DC,MATCH($A53,Material_Detail!$DE:$DE,0)+1,57))),0,IFERROR(INDEX(Material_Detail!$D:$DC,MATCH($A53,Material_Detail!$DE:$DE,0),57),0)),SUMIFS(T_Shipments[Confirmed_Qty],T_Shipments[Part Name],$A53,T_Shipments[Effective_Week],57))</f>
        <v/>
      </c>
      <c r="BG53">
        <f>IF(COUNTIF(Material_Detail!$DE:$DE,$A53)&gt;0,IF(ISNUMBER(SEARCH("[済]",INDEX(Material_Detail!$D:$DC,MATCH($A53,Material_Detail!$DE:$DE,0)+1,58))),0,IFERROR(INDEX(Material_Detail!$D:$DC,MATCH($A53,Material_Detail!$DE:$DE,0),58),0)),SUMIFS(T_Shipments[Confirmed_Qty],T_Shipments[Part Name],$A53,T_Shipments[Effective_Week],58))</f>
        <v/>
      </c>
      <c r="BH53">
        <f>IF(COUNTIF(Material_Detail!$DE:$DE,$A53)&gt;0,IF(ISNUMBER(SEARCH("[済]",INDEX(Material_Detail!$D:$DC,MATCH($A53,Material_Detail!$DE:$DE,0)+1,59))),0,IFERROR(INDEX(Material_Detail!$D:$DC,MATCH($A53,Material_Detail!$DE:$DE,0),59),0)),SUMIFS(T_Shipments[Confirmed_Qty],T_Shipments[Part Name],$A53,T_Shipments[Effective_Week],59))</f>
        <v/>
      </c>
      <c r="BI53">
        <f>IF(COUNTIF(Material_Detail!$DE:$DE,$A53)&gt;0,IF(ISNUMBER(SEARCH("[済]",INDEX(Material_Detail!$D:$DC,MATCH($A53,Material_Detail!$DE:$DE,0)+1,60))),0,IFERROR(INDEX(Material_Detail!$D:$DC,MATCH($A53,Material_Detail!$DE:$DE,0),60),0)),SUMIFS(T_Shipments[Confirmed_Qty],T_Shipments[Part Name],$A53,T_Shipments[Effective_Week],60))</f>
        <v/>
      </c>
      <c r="BJ53">
        <f>IF(COUNTIF(Material_Detail!$DE:$DE,$A53)&gt;0,IF(ISNUMBER(SEARCH("[済]",INDEX(Material_Detail!$D:$DC,MATCH($A53,Material_Detail!$DE:$DE,0)+1,61))),0,IFERROR(INDEX(Material_Detail!$D:$DC,MATCH($A53,Material_Detail!$DE:$DE,0),61),0)),SUMIFS(T_Shipments[Confirmed_Qty],T_Shipments[Part Name],$A53,T_Shipments[Effective_Week],61))</f>
        <v/>
      </c>
      <c r="BK53">
        <f>IF(COUNTIF(Material_Detail!$DE:$DE,$A53)&gt;0,IF(ISNUMBER(SEARCH("[済]",INDEX(Material_Detail!$D:$DC,MATCH($A53,Material_Detail!$DE:$DE,0)+1,62))),0,IFERROR(INDEX(Material_Detail!$D:$DC,MATCH($A53,Material_Detail!$DE:$DE,0),62),0)),SUMIFS(T_Shipments[Confirmed_Qty],T_Shipments[Part Name],$A53,T_Shipments[Effective_Week],62))</f>
        <v/>
      </c>
      <c r="BL53">
        <f>IF(COUNTIF(Material_Detail!$DE:$DE,$A53)&gt;0,IF(ISNUMBER(SEARCH("[済]",INDEX(Material_Detail!$D:$DC,MATCH($A53,Material_Detail!$DE:$DE,0)+1,63))),0,IFERROR(INDEX(Material_Detail!$D:$DC,MATCH($A53,Material_Detail!$DE:$DE,0),63),0)),SUMIFS(T_Shipments[Confirmed_Qty],T_Shipments[Part Name],$A53,T_Shipments[Effective_Week],63))</f>
        <v/>
      </c>
      <c r="BM53">
        <f>IF(COUNTIF(Material_Detail!$DE:$DE,$A53)&gt;0,IF(ISNUMBER(SEARCH("[済]",INDEX(Material_Detail!$D:$DC,MATCH($A53,Material_Detail!$DE:$DE,0)+1,64))),0,IFERROR(INDEX(Material_Detail!$D:$DC,MATCH($A53,Material_Detail!$DE:$DE,0),64),0)),SUMIFS(T_Shipments[Confirmed_Qty],T_Shipments[Part Name],$A53,T_Shipments[Effective_Week],64))</f>
        <v/>
      </c>
      <c r="BN53">
        <f>IF(COUNTIF(Material_Detail!$DE:$DE,$A53)&gt;0,IF(ISNUMBER(SEARCH("[済]",INDEX(Material_Detail!$D:$DC,MATCH($A53,Material_Detail!$DE:$DE,0)+1,65))),0,IFERROR(INDEX(Material_Detail!$D:$DC,MATCH($A53,Material_Detail!$DE:$DE,0),65),0)),SUMIFS(T_Shipments[Confirmed_Qty],T_Shipments[Part Name],$A53,T_Shipments[Effective_Week],65))</f>
        <v/>
      </c>
      <c r="BO53">
        <f>IF(COUNTIF(Material_Detail!$DE:$DE,$A53)&gt;0,IF(ISNUMBER(SEARCH("[済]",INDEX(Material_Detail!$D:$DC,MATCH($A53,Material_Detail!$DE:$DE,0)+1,66))),0,IFERROR(INDEX(Material_Detail!$D:$DC,MATCH($A53,Material_Detail!$DE:$DE,0),66),0)),SUMIFS(T_Shipments[Confirmed_Qty],T_Shipments[Part Name],$A53,T_Shipments[Effective_Week],66))</f>
        <v/>
      </c>
      <c r="BP53">
        <f>IF(COUNTIF(Material_Detail!$DE:$DE,$A53)&gt;0,IF(ISNUMBER(SEARCH("[済]",INDEX(Material_Detail!$D:$DC,MATCH($A53,Material_Detail!$DE:$DE,0)+1,67))),0,IFERROR(INDEX(Material_Detail!$D:$DC,MATCH($A53,Material_Detail!$DE:$DE,0),67),0)),SUMIFS(T_Shipments[Confirmed_Qty],T_Shipments[Part Name],$A53,T_Shipments[Effective_Week],67))</f>
        <v/>
      </c>
      <c r="BQ53">
        <f>IF(COUNTIF(Material_Detail!$DE:$DE,$A53)&gt;0,IF(ISNUMBER(SEARCH("[済]",INDEX(Material_Detail!$D:$DC,MATCH($A53,Material_Detail!$DE:$DE,0)+1,68))),0,IFERROR(INDEX(Material_Detail!$D:$DC,MATCH($A53,Material_Detail!$DE:$DE,0),68),0)),SUMIFS(T_Shipments[Confirmed_Qty],T_Shipments[Part Name],$A53,T_Shipments[Effective_Week],68))</f>
        <v/>
      </c>
      <c r="BR53">
        <f>IF(COUNTIF(Material_Detail!$DE:$DE,$A53)&gt;0,IF(ISNUMBER(SEARCH("[済]",INDEX(Material_Detail!$D:$DC,MATCH($A53,Material_Detail!$DE:$DE,0)+1,69))),0,IFERROR(INDEX(Material_Detail!$D:$DC,MATCH($A53,Material_Detail!$DE:$DE,0),69),0)),SUMIFS(T_Shipments[Confirmed_Qty],T_Shipments[Part Name],$A53,T_Shipments[Effective_Week],69))</f>
        <v/>
      </c>
      <c r="BS53">
        <f>IF(COUNTIF(Material_Detail!$DE:$DE,$A53)&gt;0,IF(ISNUMBER(SEARCH("[済]",INDEX(Material_Detail!$D:$DC,MATCH($A53,Material_Detail!$DE:$DE,0)+1,70))),0,IFERROR(INDEX(Material_Detail!$D:$DC,MATCH($A53,Material_Detail!$DE:$DE,0),70),0)),SUMIFS(T_Shipments[Confirmed_Qty],T_Shipments[Part Name],$A53,T_Shipments[Effective_Week],70))</f>
        <v/>
      </c>
      <c r="BT53">
        <f>IF(COUNTIF(Material_Detail!$DE:$DE,$A53)&gt;0,IF(ISNUMBER(SEARCH("[済]",INDEX(Material_Detail!$D:$DC,MATCH($A53,Material_Detail!$DE:$DE,0)+1,71))),0,IFERROR(INDEX(Material_Detail!$D:$DC,MATCH($A53,Material_Detail!$DE:$DE,0),71),0)),SUMIFS(T_Shipments[Confirmed_Qty],T_Shipments[Part Name],$A53,T_Shipments[Effective_Week],71))</f>
        <v/>
      </c>
      <c r="BU53">
        <f>IF(COUNTIF(Material_Detail!$DE:$DE,$A53)&gt;0,IF(ISNUMBER(SEARCH("[済]",INDEX(Material_Detail!$D:$DC,MATCH($A53,Material_Detail!$DE:$DE,0)+1,72))),0,IFERROR(INDEX(Material_Detail!$D:$DC,MATCH($A53,Material_Detail!$DE:$DE,0),72),0)),SUMIFS(T_Shipments[Confirmed_Qty],T_Shipments[Part Name],$A53,T_Shipments[Effective_Week],72))</f>
        <v/>
      </c>
      <c r="BV53">
        <f>IF(COUNTIF(Material_Detail!$DE:$DE,$A53)&gt;0,IF(ISNUMBER(SEARCH("[済]",INDEX(Material_Detail!$D:$DC,MATCH($A53,Material_Detail!$DE:$DE,0)+1,73))),0,IFERROR(INDEX(Material_Detail!$D:$DC,MATCH($A53,Material_Detail!$DE:$DE,0),73),0)),SUMIFS(T_Shipments[Confirmed_Qty],T_Shipments[Part Name],$A53,T_Shipments[Effective_Week],73))</f>
        <v/>
      </c>
      <c r="BW53">
        <f>IF(COUNTIF(Material_Detail!$DE:$DE,$A53)&gt;0,IF(ISNUMBER(SEARCH("[済]",INDEX(Material_Detail!$D:$DC,MATCH($A53,Material_Detail!$DE:$DE,0)+1,74))),0,IFERROR(INDEX(Material_Detail!$D:$DC,MATCH($A53,Material_Detail!$DE:$DE,0),74),0)),SUMIFS(T_Shipments[Confirmed_Qty],T_Shipments[Part Name],$A53,T_Shipments[Effective_Week],74))</f>
        <v/>
      </c>
      <c r="BX53">
        <f>IF(COUNTIF(Material_Detail!$DE:$DE,$A53)&gt;0,IF(ISNUMBER(SEARCH("[済]",INDEX(Material_Detail!$D:$DC,MATCH($A53,Material_Detail!$DE:$DE,0)+1,75))),0,IFERROR(INDEX(Material_Detail!$D:$DC,MATCH($A53,Material_Detail!$DE:$DE,0),75),0)),SUMIFS(T_Shipments[Confirmed_Qty],T_Shipments[Part Name],$A53,T_Shipments[Effective_Week],75))</f>
        <v/>
      </c>
      <c r="BY53">
        <f>IF(COUNTIF(Material_Detail!$DE:$DE,$A53)&gt;0,IF(ISNUMBER(SEARCH("[済]",INDEX(Material_Detail!$D:$DC,MATCH($A53,Material_Detail!$DE:$DE,0)+1,76))),0,IFERROR(INDEX(Material_Detail!$D:$DC,MATCH($A53,Material_Detail!$DE:$DE,0),76),0)),SUMIFS(T_Shipments[Confirmed_Qty],T_Shipments[Part Name],$A53,T_Shipments[Effective_Week],76))</f>
        <v/>
      </c>
      <c r="BZ53">
        <f>IF(COUNTIF(Material_Detail!$DE:$DE,$A53)&gt;0,IF(ISNUMBER(SEARCH("[済]",INDEX(Material_Detail!$D:$DC,MATCH($A53,Material_Detail!$DE:$DE,0)+1,77))),0,IFERROR(INDEX(Material_Detail!$D:$DC,MATCH($A53,Material_Detail!$DE:$DE,0),77),0)),SUMIFS(T_Shipments[Confirmed_Qty],T_Shipments[Part Name],$A53,T_Shipments[Effective_Week],77))</f>
        <v/>
      </c>
      <c r="CA53">
        <f>IF(COUNTIF(Material_Detail!$DE:$DE,$A53)&gt;0,IF(ISNUMBER(SEARCH("[済]",INDEX(Material_Detail!$D:$DC,MATCH($A53,Material_Detail!$DE:$DE,0)+1,78))),0,IFERROR(INDEX(Material_Detail!$D:$DC,MATCH($A53,Material_Detail!$DE:$DE,0),78),0)),SUMIFS(T_Shipments[Confirmed_Qty],T_Shipments[Part Name],$A53,T_Shipments[Effective_Week],78))</f>
        <v/>
      </c>
      <c r="CB53">
        <f>IF(COUNTIF(Material_Detail!$DE:$DE,$A53)&gt;0,IF(ISNUMBER(SEARCH("[済]",INDEX(Material_Detail!$D:$DC,MATCH($A53,Material_Detail!$DE:$DE,0)+1,79))),0,IFERROR(INDEX(Material_Detail!$D:$DC,MATCH($A53,Material_Detail!$DE:$DE,0),79),0)),SUMIFS(T_Shipments[Confirmed_Qty],T_Shipments[Part Name],$A53,T_Shipments[Effective_Week],79))</f>
        <v/>
      </c>
      <c r="CC53">
        <f>IF(COUNTIF(Material_Detail!$DE:$DE,$A53)&gt;0,IF(ISNUMBER(SEARCH("[済]",INDEX(Material_Detail!$D:$DC,MATCH($A53,Material_Detail!$DE:$DE,0)+1,80))),0,IFERROR(INDEX(Material_Detail!$D:$DC,MATCH($A53,Material_Detail!$DE:$DE,0),80),0)),SUMIFS(T_Shipments[Confirmed_Qty],T_Shipments[Part Name],$A53,T_Shipments[Effective_Week],80))</f>
        <v/>
      </c>
      <c r="CD53">
        <f>IF(COUNTIF(Material_Detail!$DE:$DE,$A53)&gt;0,IF(ISNUMBER(SEARCH("[済]",INDEX(Material_Detail!$D:$DC,MATCH($A53,Material_Detail!$DE:$DE,0)+1,81))),0,IFERROR(INDEX(Material_Detail!$D:$DC,MATCH($A53,Material_Detail!$DE:$DE,0),81),0)),SUMIFS(T_Shipments[Confirmed_Qty],T_Shipments[Part Name],$A53,T_Shipments[Effective_Week],81))</f>
        <v/>
      </c>
      <c r="CE53">
        <f>IF(COUNTIF(Material_Detail!$DE:$DE,$A53)&gt;0,IF(ISNUMBER(SEARCH("[済]",INDEX(Material_Detail!$D:$DC,MATCH($A53,Material_Detail!$DE:$DE,0)+1,82))),0,IFERROR(INDEX(Material_Detail!$D:$DC,MATCH($A53,Material_Detail!$DE:$DE,0),82),0)),SUMIFS(T_Shipments[Confirmed_Qty],T_Shipments[Part Name],$A53,T_Shipments[Effective_Week],82))</f>
        <v/>
      </c>
      <c r="CF53">
        <f>IF(COUNTIF(Material_Detail!$DE:$DE,$A53)&gt;0,IF(ISNUMBER(SEARCH("[済]",INDEX(Material_Detail!$D:$DC,MATCH($A53,Material_Detail!$DE:$DE,0)+1,83))),0,IFERROR(INDEX(Material_Detail!$D:$DC,MATCH($A53,Material_Detail!$DE:$DE,0),83),0)),SUMIFS(T_Shipments[Confirmed_Qty],T_Shipments[Part Name],$A53,T_Shipments[Effective_Week],83))</f>
        <v/>
      </c>
      <c r="CG53">
        <f>IF(COUNTIF(Material_Detail!$DE:$DE,$A53)&gt;0,IF(ISNUMBER(SEARCH("[済]",INDEX(Material_Detail!$D:$DC,MATCH($A53,Material_Detail!$DE:$DE,0)+1,84))),0,IFERROR(INDEX(Material_Detail!$D:$DC,MATCH($A53,Material_Detail!$DE:$DE,0),84),0)),SUMIFS(T_Shipments[Confirmed_Qty],T_Shipments[Part Name],$A53,T_Shipments[Effective_Week],84))</f>
        <v/>
      </c>
      <c r="CH53">
        <f>IF(COUNTIF(Material_Detail!$DE:$DE,$A53)&gt;0,IF(ISNUMBER(SEARCH("[済]",INDEX(Material_Detail!$D:$DC,MATCH($A53,Material_Detail!$DE:$DE,0)+1,85))),0,IFERROR(INDEX(Material_Detail!$D:$DC,MATCH($A53,Material_Detail!$DE:$DE,0),85),0)),SUMIFS(T_Shipments[Confirmed_Qty],T_Shipments[Part Name],$A53,T_Shipments[Effective_Week],85))</f>
        <v/>
      </c>
      <c r="CI53">
        <f>IF(COUNTIF(Material_Detail!$DE:$DE,$A53)&gt;0,IF(ISNUMBER(SEARCH("[済]",INDEX(Material_Detail!$D:$DC,MATCH($A53,Material_Detail!$DE:$DE,0)+1,86))),0,IFERROR(INDEX(Material_Detail!$D:$DC,MATCH($A53,Material_Detail!$DE:$DE,0),86),0)),SUMIFS(T_Shipments[Confirmed_Qty],T_Shipments[Part Name],$A53,T_Shipments[Effective_Week],86))</f>
        <v/>
      </c>
      <c r="CJ53">
        <f>IF(COUNTIF(Material_Detail!$DE:$DE,$A53)&gt;0,IF(ISNUMBER(SEARCH("[済]",INDEX(Material_Detail!$D:$DC,MATCH($A53,Material_Detail!$DE:$DE,0)+1,87))),0,IFERROR(INDEX(Material_Detail!$D:$DC,MATCH($A53,Material_Detail!$DE:$DE,0),87),0)),SUMIFS(T_Shipments[Confirmed_Qty],T_Shipments[Part Name],$A53,T_Shipments[Effective_Week],87))</f>
        <v/>
      </c>
      <c r="CK53">
        <f>IF(COUNTIF(Material_Detail!$DE:$DE,$A53)&gt;0,IF(ISNUMBER(SEARCH("[済]",INDEX(Material_Detail!$D:$DC,MATCH($A53,Material_Detail!$DE:$DE,0)+1,88))),0,IFERROR(INDEX(Material_Detail!$D:$DC,MATCH($A53,Material_Detail!$DE:$DE,0),88),0)),SUMIFS(T_Shipments[Confirmed_Qty],T_Shipments[Part Name],$A53,T_Shipments[Effective_Week],88))</f>
        <v/>
      </c>
      <c r="CL53">
        <f>IF(COUNTIF(Material_Detail!$DE:$DE,$A53)&gt;0,IF(ISNUMBER(SEARCH("[済]",INDEX(Material_Detail!$D:$DC,MATCH($A53,Material_Detail!$DE:$DE,0)+1,89))),0,IFERROR(INDEX(Material_Detail!$D:$DC,MATCH($A53,Material_Detail!$DE:$DE,0),89),0)),SUMIFS(T_Shipments[Confirmed_Qty],T_Shipments[Part Name],$A53,T_Shipments[Effective_Week],89))</f>
        <v/>
      </c>
      <c r="CM53">
        <f>IF(COUNTIF(Material_Detail!$DE:$DE,$A53)&gt;0,IF(ISNUMBER(SEARCH("[済]",INDEX(Material_Detail!$D:$DC,MATCH($A53,Material_Detail!$DE:$DE,0)+1,90))),0,IFERROR(INDEX(Material_Detail!$D:$DC,MATCH($A53,Material_Detail!$DE:$DE,0),90),0)),SUMIFS(T_Shipments[Confirmed_Qty],T_Shipments[Part Name],$A53,T_Shipments[Effective_Week],90))</f>
        <v/>
      </c>
      <c r="CN53">
        <f>IF(COUNTIF(Material_Detail!$DE:$DE,$A53)&gt;0,IF(ISNUMBER(SEARCH("[済]",INDEX(Material_Detail!$D:$DC,MATCH($A53,Material_Detail!$DE:$DE,0)+1,91))),0,IFERROR(INDEX(Material_Detail!$D:$DC,MATCH($A53,Material_Detail!$DE:$DE,0),91),0)),SUMIFS(T_Shipments[Confirmed_Qty],T_Shipments[Part Name],$A53,T_Shipments[Effective_Week],91))</f>
        <v/>
      </c>
      <c r="CO53">
        <f>IF(COUNTIF(Material_Detail!$DE:$DE,$A53)&gt;0,IF(ISNUMBER(SEARCH("[済]",INDEX(Material_Detail!$D:$DC,MATCH($A53,Material_Detail!$DE:$DE,0)+1,92))),0,IFERROR(INDEX(Material_Detail!$D:$DC,MATCH($A53,Material_Detail!$DE:$DE,0),92),0)),SUMIFS(T_Shipments[Confirmed_Qty],T_Shipments[Part Name],$A53,T_Shipments[Effective_Week],92))</f>
        <v/>
      </c>
      <c r="CP53">
        <f>IF(COUNTIF(Material_Detail!$DE:$DE,$A53)&gt;0,IF(ISNUMBER(SEARCH("[済]",INDEX(Material_Detail!$D:$DC,MATCH($A53,Material_Detail!$DE:$DE,0)+1,93))),0,IFERROR(INDEX(Material_Detail!$D:$DC,MATCH($A53,Material_Detail!$DE:$DE,0),93),0)),SUMIFS(T_Shipments[Confirmed_Qty],T_Shipments[Part Name],$A53,T_Shipments[Effective_Week],93))</f>
        <v/>
      </c>
      <c r="CQ53">
        <f>IF(COUNTIF(Material_Detail!$DE:$DE,$A53)&gt;0,IF(ISNUMBER(SEARCH("[済]",INDEX(Material_Detail!$D:$DC,MATCH($A53,Material_Detail!$DE:$DE,0)+1,94))),0,IFERROR(INDEX(Material_Detail!$D:$DC,MATCH($A53,Material_Detail!$DE:$DE,0),94),0)),SUMIFS(T_Shipments[Confirmed_Qty],T_Shipments[Part Name],$A53,T_Shipments[Effective_Week],94))</f>
        <v/>
      </c>
      <c r="CR53">
        <f>IF(COUNTIF(Material_Detail!$DE:$DE,$A53)&gt;0,IF(ISNUMBER(SEARCH("[済]",INDEX(Material_Detail!$D:$DC,MATCH($A53,Material_Detail!$DE:$DE,0)+1,95))),0,IFERROR(INDEX(Material_Detail!$D:$DC,MATCH($A53,Material_Detail!$DE:$DE,0),95),0)),SUMIFS(T_Shipments[Confirmed_Qty],T_Shipments[Part Name],$A53,T_Shipments[Effective_Week],95))</f>
        <v/>
      </c>
      <c r="CS53">
        <f>IF(COUNTIF(Material_Detail!$DE:$DE,$A53)&gt;0,IF(ISNUMBER(SEARCH("[済]",INDEX(Material_Detail!$D:$DC,MATCH($A53,Material_Detail!$DE:$DE,0)+1,96))),0,IFERROR(INDEX(Material_Detail!$D:$DC,MATCH($A53,Material_Detail!$DE:$DE,0),96),0)),SUMIFS(T_Shipments[Confirmed_Qty],T_Shipments[Part Name],$A53,T_Shipments[Effective_Week],96))</f>
        <v/>
      </c>
      <c r="CT53">
        <f>IF(COUNTIF(Material_Detail!$DE:$DE,$A53)&gt;0,IF(ISNUMBER(SEARCH("[済]",INDEX(Material_Detail!$D:$DC,MATCH($A53,Material_Detail!$DE:$DE,0)+1,97))),0,IFERROR(INDEX(Material_Detail!$D:$DC,MATCH($A53,Material_Detail!$DE:$DE,0),97),0)),SUMIFS(T_Shipments[Confirmed_Qty],T_Shipments[Part Name],$A53,T_Shipments[Effective_Week],97))</f>
        <v/>
      </c>
      <c r="CU53">
        <f>IF(COUNTIF(Material_Detail!$DE:$DE,$A53)&gt;0,IF(ISNUMBER(SEARCH("[済]",INDEX(Material_Detail!$D:$DC,MATCH($A53,Material_Detail!$DE:$DE,0)+1,98))),0,IFERROR(INDEX(Material_Detail!$D:$DC,MATCH($A53,Material_Detail!$DE:$DE,0),98),0)),SUMIFS(T_Shipments[Confirmed_Qty],T_Shipments[Part Name],$A53,T_Shipments[Effective_Week],98))</f>
        <v/>
      </c>
      <c r="CV53">
        <f>IF(COUNTIF(Material_Detail!$DE:$DE,$A53)&gt;0,IF(ISNUMBER(SEARCH("[済]",INDEX(Material_Detail!$D:$DC,MATCH($A53,Material_Detail!$DE:$DE,0)+1,99))),0,IFERROR(INDEX(Material_Detail!$D:$DC,MATCH($A53,Material_Detail!$DE:$DE,0),99),0)),SUMIFS(T_Shipments[Confirmed_Qty],T_Shipments[Part Name],$A53,T_Shipments[Effective_Week],99))</f>
        <v/>
      </c>
      <c r="CW53">
        <f>IF(COUNTIF(Material_Detail!$DE:$DE,$A53)&gt;0,IF(ISNUMBER(SEARCH("[済]",INDEX(Material_Detail!$D:$DC,MATCH($A53,Material_Detail!$DE:$DE,0)+1,100))),0,IFERROR(INDEX(Material_Detail!$D:$DC,MATCH($A53,Material_Detail!$DE:$DE,0),100),0)),SUMIFS(T_Shipments[Confirmed_Qty],T_Shipments[Part Name],$A53,T_Shipments[Effective_Week],100))</f>
        <v/>
      </c>
      <c r="CX53">
        <f>IF(COUNTIF(Material_Detail!$DE:$DE,$A53)&gt;0,IF(ISNUMBER(SEARCH("[済]",INDEX(Material_Detail!$D:$DC,MATCH($A53,Material_Detail!$DE:$DE,0)+1,101))),0,IFERROR(INDEX(Material_Detail!$D:$DC,MATCH($A53,Material_Detail!$DE:$DE,0),101),0)),SUMIFS(T_Shipments[Confirmed_Qty],T_Shipments[Part Name],$A53,T_Shipments[Effective_Week],101))</f>
        <v/>
      </c>
      <c r="CY53">
        <f>IF(COUNTIF(Material_Detail!$DE:$DE,$A53)&gt;0,IF(ISNUMBER(SEARCH("[済]",INDEX(Material_Detail!$D:$DC,MATCH($A53,Material_Detail!$DE:$DE,0)+1,102))),0,IFERROR(INDEX(Material_Detail!$D:$DC,MATCH($A53,Material_Detail!$DE:$DE,0),102),0)),SUMIFS(T_Shipments[Confirmed_Qty],T_Shipments[Part Name],$A53,T_Shipments[Effective_Week],102))</f>
        <v/>
      </c>
      <c r="CZ53">
        <f>IF(COUNTIF(Material_Detail!$DE:$DE,$A53)&gt;0,IF(ISNUMBER(SEARCH("[済]",INDEX(Material_Detail!$D:$DC,MATCH($A53,Material_Detail!$DE:$DE,0)+1,103))),0,IFERROR(INDEX(Material_Detail!$D:$DC,MATCH($A53,Material_Detail!$DE:$DE,0),103),0)),SUMIFS(T_Shipments[Confirmed_Qty],T_Shipments[Part Name],$A53,T_Shipments[Effective_Week],103))</f>
        <v/>
      </c>
      <c r="DA53">
        <f>IF(COUNTIF(Material_Detail!$DE:$DE,$A53)&gt;0,IF(ISNUMBER(SEARCH("[済]",INDEX(Material_Detail!$D:$DC,MATCH($A53,Material_Detail!$DE:$DE,0)+1,104))),0,IFERROR(INDEX(Material_Detail!$D:$DC,MATCH($A53,Material_Detail!$DE:$DE,0),104),0)),SUMIFS(T_Shipments[Confirmed_Qty],T_Shipments[Part Name],$A53,T_Shipments[Effective_Week],104))</f>
        <v/>
      </c>
    </row>
    <row r="54">
      <c r="A54" t="inlineStr">
        <is>
          <t>18456-50061</t>
        </is>
      </c>
      <c r="B54">
        <f>IF(COUNTIF(Material_Detail!$DE:$DE,$A54)&gt;0,IF(ISNUMBER(SEARCH("[済]",INDEX(Material_Detail!$D:$DC,MATCH($A54,Material_Detail!$DE:$DE,0)+1,1))),0,IFERROR(INDEX(Material_Detail!$D:$DC,MATCH($A54,Material_Detail!$DE:$DE,0),1),0)),SUMIFS(T_Shipments[Confirmed_Qty],T_Shipments[Part Name],$A54,T_Shipments[Effective_Week],1))</f>
        <v/>
      </c>
      <c r="C54">
        <f>IF(COUNTIF(Material_Detail!$DE:$DE,$A54)&gt;0,IF(ISNUMBER(SEARCH("[済]",INDEX(Material_Detail!$D:$DC,MATCH($A54,Material_Detail!$DE:$DE,0)+1,2))),0,IFERROR(INDEX(Material_Detail!$D:$DC,MATCH($A54,Material_Detail!$DE:$DE,0),2),0)),SUMIFS(T_Shipments[Confirmed_Qty],T_Shipments[Part Name],$A54,T_Shipments[Effective_Week],2))</f>
        <v/>
      </c>
      <c r="D54">
        <f>IF(COUNTIF(Material_Detail!$DE:$DE,$A54)&gt;0,IF(ISNUMBER(SEARCH("[済]",INDEX(Material_Detail!$D:$DC,MATCH($A54,Material_Detail!$DE:$DE,0)+1,3))),0,IFERROR(INDEX(Material_Detail!$D:$DC,MATCH($A54,Material_Detail!$DE:$DE,0),3),0)),SUMIFS(T_Shipments[Confirmed_Qty],T_Shipments[Part Name],$A54,T_Shipments[Effective_Week],3))</f>
        <v/>
      </c>
      <c r="E54">
        <f>IF(COUNTIF(Material_Detail!$DE:$DE,$A54)&gt;0,IF(ISNUMBER(SEARCH("[済]",INDEX(Material_Detail!$D:$DC,MATCH($A54,Material_Detail!$DE:$DE,0)+1,4))),0,IFERROR(INDEX(Material_Detail!$D:$DC,MATCH($A54,Material_Detail!$DE:$DE,0),4),0)),SUMIFS(T_Shipments[Confirmed_Qty],T_Shipments[Part Name],$A54,T_Shipments[Effective_Week],4))</f>
        <v/>
      </c>
      <c r="F54">
        <f>IF(COUNTIF(Material_Detail!$DE:$DE,$A54)&gt;0,IF(ISNUMBER(SEARCH("[済]",INDEX(Material_Detail!$D:$DC,MATCH($A54,Material_Detail!$DE:$DE,0)+1,5))),0,IFERROR(INDEX(Material_Detail!$D:$DC,MATCH($A54,Material_Detail!$DE:$DE,0),5),0)),SUMIFS(T_Shipments[Confirmed_Qty],T_Shipments[Part Name],$A54,T_Shipments[Effective_Week],5))</f>
        <v/>
      </c>
      <c r="G54">
        <f>IF(COUNTIF(Material_Detail!$DE:$DE,$A54)&gt;0,IF(ISNUMBER(SEARCH("[済]",INDEX(Material_Detail!$D:$DC,MATCH($A54,Material_Detail!$DE:$DE,0)+1,6))),0,IFERROR(INDEX(Material_Detail!$D:$DC,MATCH($A54,Material_Detail!$DE:$DE,0),6),0)),SUMIFS(T_Shipments[Confirmed_Qty],T_Shipments[Part Name],$A54,T_Shipments[Effective_Week],6))</f>
        <v/>
      </c>
      <c r="H54">
        <f>IF(COUNTIF(Material_Detail!$DE:$DE,$A54)&gt;0,IF(ISNUMBER(SEARCH("[済]",INDEX(Material_Detail!$D:$DC,MATCH($A54,Material_Detail!$DE:$DE,0)+1,7))),0,IFERROR(INDEX(Material_Detail!$D:$DC,MATCH($A54,Material_Detail!$DE:$DE,0),7),0)),SUMIFS(T_Shipments[Confirmed_Qty],T_Shipments[Part Name],$A54,T_Shipments[Effective_Week],7))</f>
        <v/>
      </c>
      <c r="I54">
        <f>IF(COUNTIF(Material_Detail!$DE:$DE,$A54)&gt;0,IF(ISNUMBER(SEARCH("[済]",INDEX(Material_Detail!$D:$DC,MATCH($A54,Material_Detail!$DE:$DE,0)+1,8))),0,IFERROR(INDEX(Material_Detail!$D:$DC,MATCH($A54,Material_Detail!$DE:$DE,0),8),0)),SUMIFS(T_Shipments[Confirmed_Qty],T_Shipments[Part Name],$A54,T_Shipments[Effective_Week],8))</f>
        <v/>
      </c>
      <c r="J54">
        <f>IF(COUNTIF(Material_Detail!$DE:$DE,$A54)&gt;0,IF(ISNUMBER(SEARCH("[済]",INDEX(Material_Detail!$D:$DC,MATCH($A54,Material_Detail!$DE:$DE,0)+1,9))),0,IFERROR(INDEX(Material_Detail!$D:$DC,MATCH($A54,Material_Detail!$DE:$DE,0),9),0)),SUMIFS(T_Shipments[Confirmed_Qty],T_Shipments[Part Name],$A54,T_Shipments[Effective_Week],9))</f>
        <v/>
      </c>
      <c r="K54">
        <f>IF(COUNTIF(Material_Detail!$DE:$DE,$A54)&gt;0,IF(ISNUMBER(SEARCH("[済]",INDEX(Material_Detail!$D:$DC,MATCH($A54,Material_Detail!$DE:$DE,0)+1,10))),0,IFERROR(INDEX(Material_Detail!$D:$DC,MATCH($A54,Material_Detail!$DE:$DE,0),10),0)),SUMIFS(T_Shipments[Confirmed_Qty],T_Shipments[Part Name],$A54,T_Shipments[Effective_Week],10))</f>
        <v/>
      </c>
      <c r="L54">
        <f>IF(COUNTIF(Material_Detail!$DE:$DE,$A54)&gt;0,IF(ISNUMBER(SEARCH("[済]",INDEX(Material_Detail!$D:$DC,MATCH($A54,Material_Detail!$DE:$DE,0)+1,11))),0,IFERROR(INDEX(Material_Detail!$D:$DC,MATCH($A54,Material_Detail!$DE:$DE,0),11),0)),SUMIFS(T_Shipments[Confirmed_Qty],T_Shipments[Part Name],$A54,T_Shipments[Effective_Week],11))</f>
        <v/>
      </c>
      <c r="M54">
        <f>IF(COUNTIF(Material_Detail!$DE:$DE,$A54)&gt;0,IF(ISNUMBER(SEARCH("[済]",INDEX(Material_Detail!$D:$DC,MATCH($A54,Material_Detail!$DE:$DE,0)+1,12))),0,IFERROR(INDEX(Material_Detail!$D:$DC,MATCH($A54,Material_Detail!$DE:$DE,0),12),0)),SUMIFS(T_Shipments[Confirmed_Qty],T_Shipments[Part Name],$A54,T_Shipments[Effective_Week],12))</f>
        <v/>
      </c>
      <c r="N54">
        <f>IF(COUNTIF(Material_Detail!$DE:$DE,$A54)&gt;0,IF(ISNUMBER(SEARCH("[済]",INDEX(Material_Detail!$D:$DC,MATCH($A54,Material_Detail!$DE:$DE,0)+1,13))),0,IFERROR(INDEX(Material_Detail!$D:$DC,MATCH($A54,Material_Detail!$DE:$DE,0),13),0)),SUMIFS(T_Shipments[Confirmed_Qty],T_Shipments[Part Name],$A54,T_Shipments[Effective_Week],13))</f>
        <v/>
      </c>
      <c r="O54">
        <f>IF(COUNTIF(Material_Detail!$DE:$DE,$A54)&gt;0,IF(ISNUMBER(SEARCH("[済]",INDEX(Material_Detail!$D:$DC,MATCH($A54,Material_Detail!$DE:$DE,0)+1,14))),0,IFERROR(INDEX(Material_Detail!$D:$DC,MATCH($A54,Material_Detail!$DE:$DE,0),14),0)),SUMIFS(T_Shipments[Confirmed_Qty],T_Shipments[Part Name],$A54,T_Shipments[Effective_Week],14))</f>
        <v/>
      </c>
      <c r="P54">
        <f>IF(COUNTIF(Material_Detail!$DE:$DE,$A54)&gt;0,IF(ISNUMBER(SEARCH("[済]",INDEX(Material_Detail!$D:$DC,MATCH($A54,Material_Detail!$DE:$DE,0)+1,15))),0,IFERROR(INDEX(Material_Detail!$D:$DC,MATCH($A54,Material_Detail!$DE:$DE,0),15),0)),SUMIFS(T_Shipments[Confirmed_Qty],T_Shipments[Part Name],$A54,T_Shipments[Effective_Week],15))</f>
        <v/>
      </c>
      <c r="Q54">
        <f>IF(COUNTIF(Material_Detail!$DE:$DE,$A54)&gt;0,IF(ISNUMBER(SEARCH("[済]",INDEX(Material_Detail!$D:$DC,MATCH($A54,Material_Detail!$DE:$DE,0)+1,16))),0,IFERROR(INDEX(Material_Detail!$D:$DC,MATCH($A54,Material_Detail!$DE:$DE,0),16),0)),SUMIFS(T_Shipments[Confirmed_Qty],T_Shipments[Part Name],$A54,T_Shipments[Effective_Week],16))</f>
        <v/>
      </c>
      <c r="R54">
        <f>IF(COUNTIF(Material_Detail!$DE:$DE,$A54)&gt;0,IF(ISNUMBER(SEARCH("[済]",INDEX(Material_Detail!$D:$DC,MATCH($A54,Material_Detail!$DE:$DE,0)+1,17))),0,IFERROR(INDEX(Material_Detail!$D:$DC,MATCH($A54,Material_Detail!$DE:$DE,0),17),0)),SUMIFS(T_Shipments[Confirmed_Qty],T_Shipments[Part Name],$A54,T_Shipments[Effective_Week],17))</f>
        <v/>
      </c>
      <c r="S54">
        <f>IF(COUNTIF(Material_Detail!$DE:$DE,$A54)&gt;0,IF(ISNUMBER(SEARCH("[済]",INDEX(Material_Detail!$D:$DC,MATCH($A54,Material_Detail!$DE:$DE,0)+1,18))),0,IFERROR(INDEX(Material_Detail!$D:$DC,MATCH($A54,Material_Detail!$DE:$DE,0),18),0)),SUMIFS(T_Shipments[Confirmed_Qty],T_Shipments[Part Name],$A54,T_Shipments[Effective_Week],18))</f>
        <v/>
      </c>
      <c r="T54">
        <f>IF(COUNTIF(Material_Detail!$DE:$DE,$A54)&gt;0,IF(ISNUMBER(SEARCH("[済]",INDEX(Material_Detail!$D:$DC,MATCH($A54,Material_Detail!$DE:$DE,0)+1,19))),0,IFERROR(INDEX(Material_Detail!$D:$DC,MATCH($A54,Material_Detail!$DE:$DE,0),19),0)),SUMIFS(T_Shipments[Confirmed_Qty],T_Shipments[Part Name],$A54,T_Shipments[Effective_Week],19))</f>
        <v/>
      </c>
      <c r="U54">
        <f>IF(COUNTIF(Material_Detail!$DE:$DE,$A54)&gt;0,IF(ISNUMBER(SEARCH("[済]",INDEX(Material_Detail!$D:$DC,MATCH($A54,Material_Detail!$DE:$DE,0)+1,20))),0,IFERROR(INDEX(Material_Detail!$D:$DC,MATCH($A54,Material_Detail!$DE:$DE,0),20),0)),SUMIFS(T_Shipments[Confirmed_Qty],T_Shipments[Part Name],$A54,T_Shipments[Effective_Week],20))</f>
        <v/>
      </c>
      <c r="V54">
        <f>IF(COUNTIF(Material_Detail!$DE:$DE,$A54)&gt;0,IF(ISNUMBER(SEARCH("[済]",INDEX(Material_Detail!$D:$DC,MATCH($A54,Material_Detail!$DE:$DE,0)+1,21))),0,IFERROR(INDEX(Material_Detail!$D:$DC,MATCH($A54,Material_Detail!$DE:$DE,0),21),0)),SUMIFS(T_Shipments[Confirmed_Qty],T_Shipments[Part Name],$A54,T_Shipments[Effective_Week],21))</f>
        <v/>
      </c>
      <c r="W54">
        <f>IF(COUNTIF(Material_Detail!$DE:$DE,$A54)&gt;0,IF(ISNUMBER(SEARCH("[済]",INDEX(Material_Detail!$D:$DC,MATCH($A54,Material_Detail!$DE:$DE,0)+1,22))),0,IFERROR(INDEX(Material_Detail!$D:$DC,MATCH($A54,Material_Detail!$DE:$DE,0),22),0)),SUMIFS(T_Shipments[Confirmed_Qty],T_Shipments[Part Name],$A54,T_Shipments[Effective_Week],22))</f>
        <v/>
      </c>
      <c r="X54">
        <f>IF(COUNTIF(Material_Detail!$DE:$DE,$A54)&gt;0,IF(ISNUMBER(SEARCH("[済]",INDEX(Material_Detail!$D:$DC,MATCH($A54,Material_Detail!$DE:$DE,0)+1,23))),0,IFERROR(INDEX(Material_Detail!$D:$DC,MATCH($A54,Material_Detail!$DE:$DE,0),23),0)),SUMIFS(T_Shipments[Confirmed_Qty],T_Shipments[Part Name],$A54,T_Shipments[Effective_Week],23))</f>
        <v/>
      </c>
      <c r="Y54">
        <f>IF(COUNTIF(Material_Detail!$DE:$DE,$A54)&gt;0,IF(ISNUMBER(SEARCH("[済]",INDEX(Material_Detail!$D:$DC,MATCH($A54,Material_Detail!$DE:$DE,0)+1,24))),0,IFERROR(INDEX(Material_Detail!$D:$DC,MATCH($A54,Material_Detail!$DE:$DE,0),24),0)),SUMIFS(T_Shipments[Confirmed_Qty],T_Shipments[Part Name],$A54,T_Shipments[Effective_Week],24))</f>
        <v/>
      </c>
      <c r="Z54">
        <f>IF(COUNTIF(Material_Detail!$DE:$DE,$A54)&gt;0,IF(ISNUMBER(SEARCH("[済]",INDEX(Material_Detail!$D:$DC,MATCH($A54,Material_Detail!$DE:$DE,0)+1,25))),0,IFERROR(INDEX(Material_Detail!$D:$DC,MATCH($A54,Material_Detail!$DE:$DE,0),25),0)),SUMIFS(T_Shipments[Confirmed_Qty],T_Shipments[Part Name],$A54,T_Shipments[Effective_Week],25))</f>
        <v/>
      </c>
      <c r="AA54">
        <f>IF(COUNTIF(Material_Detail!$DE:$DE,$A54)&gt;0,IF(ISNUMBER(SEARCH("[済]",INDEX(Material_Detail!$D:$DC,MATCH($A54,Material_Detail!$DE:$DE,0)+1,26))),0,IFERROR(INDEX(Material_Detail!$D:$DC,MATCH($A54,Material_Detail!$DE:$DE,0),26),0)),SUMIFS(T_Shipments[Confirmed_Qty],T_Shipments[Part Name],$A54,T_Shipments[Effective_Week],26))</f>
        <v/>
      </c>
      <c r="AB54">
        <f>IF(COUNTIF(Material_Detail!$DE:$DE,$A54)&gt;0,IF(ISNUMBER(SEARCH("[済]",INDEX(Material_Detail!$D:$DC,MATCH($A54,Material_Detail!$DE:$DE,0)+1,27))),0,IFERROR(INDEX(Material_Detail!$D:$DC,MATCH($A54,Material_Detail!$DE:$DE,0),27),0)),SUMIFS(T_Shipments[Confirmed_Qty],T_Shipments[Part Name],$A54,T_Shipments[Effective_Week],27))</f>
        <v/>
      </c>
      <c r="AC54">
        <f>IF(COUNTIF(Material_Detail!$DE:$DE,$A54)&gt;0,IF(ISNUMBER(SEARCH("[済]",INDEX(Material_Detail!$D:$DC,MATCH($A54,Material_Detail!$DE:$DE,0)+1,28))),0,IFERROR(INDEX(Material_Detail!$D:$DC,MATCH($A54,Material_Detail!$DE:$DE,0),28),0)),SUMIFS(T_Shipments[Confirmed_Qty],T_Shipments[Part Name],$A54,T_Shipments[Effective_Week],28))</f>
        <v/>
      </c>
      <c r="AD54">
        <f>IF(COUNTIF(Material_Detail!$DE:$DE,$A54)&gt;0,IF(ISNUMBER(SEARCH("[済]",INDEX(Material_Detail!$D:$DC,MATCH($A54,Material_Detail!$DE:$DE,0)+1,29))),0,IFERROR(INDEX(Material_Detail!$D:$DC,MATCH($A54,Material_Detail!$DE:$DE,0),29),0)),SUMIFS(T_Shipments[Confirmed_Qty],T_Shipments[Part Name],$A54,T_Shipments[Effective_Week],29))</f>
        <v/>
      </c>
      <c r="AE54">
        <f>IF(COUNTIF(Material_Detail!$DE:$DE,$A54)&gt;0,IF(ISNUMBER(SEARCH("[済]",INDEX(Material_Detail!$D:$DC,MATCH($A54,Material_Detail!$DE:$DE,0)+1,30))),0,IFERROR(INDEX(Material_Detail!$D:$DC,MATCH($A54,Material_Detail!$DE:$DE,0),30),0)),SUMIFS(T_Shipments[Confirmed_Qty],T_Shipments[Part Name],$A54,T_Shipments[Effective_Week],30))</f>
        <v/>
      </c>
      <c r="AF54">
        <f>IF(COUNTIF(Material_Detail!$DE:$DE,$A54)&gt;0,IF(ISNUMBER(SEARCH("[済]",INDEX(Material_Detail!$D:$DC,MATCH($A54,Material_Detail!$DE:$DE,0)+1,31))),0,IFERROR(INDEX(Material_Detail!$D:$DC,MATCH($A54,Material_Detail!$DE:$DE,0),31),0)),SUMIFS(T_Shipments[Confirmed_Qty],T_Shipments[Part Name],$A54,T_Shipments[Effective_Week],31))</f>
        <v/>
      </c>
      <c r="AG54">
        <f>IF(COUNTIF(Material_Detail!$DE:$DE,$A54)&gt;0,IF(ISNUMBER(SEARCH("[済]",INDEX(Material_Detail!$D:$DC,MATCH($A54,Material_Detail!$DE:$DE,0)+1,32))),0,IFERROR(INDEX(Material_Detail!$D:$DC,MATCH($A54,Material_Detail!$DE:$DE,0),32),0)),SUMIFS(T_Shipments[Confirmed_Qty],T_Shipments[Part Name],$A54,T_Shipments[Effective_Week],32))</f>
        <v/>
      </c>
      <c r="AH54">
        <f>IF(COUNTIF(Material_Detail!$DE:$DE,$A54)&gt;0,IF(ISNUMBER(SEARCH("[済]",INDEX(Material_Detail!$D:$DC,MATCH($A54,Material_Detail!$DE:$DE,0)+1,33))),0,IFERROR(INDEX(Material_Detail!$D:$DC,MATCH($A54,Material_Detail!$DE:$DE,0),33),0)),SUMIFS(T_Shipments[Confirmed_Qty],T_Shipments[Part Name],$A54,T_Shipments[Effective_Week],33))</f>
        <v/>
      </c>
      <c r="AI54">
        <f>IF(COUNTIF(Material_Detail!$DE:$DE,$A54)&gt;0,IF(ISNUMBER(SEARCH("[済]",INDEX(Material_Detail!$D:$DC,MATCH($A54,Material_Detail!$DE:$DE,0)+1,34))),0,IFERROR(INDEX(Material_Detail!$D:$DC,MATCH($A54,Material_Detail!$DE:$DE,0),34),0)),SUMIFS(T_Shipments[Confirmed_Qty],T_Shipments[Part Name],$A54,T_Shipments[Effective_Week],34))</f>
        <v/>
      </c>
      <c r="AJ54">
        <f>IF(COUNTIF(Material_Detail!$DE:$DE,$A54)&gt;0,IF(ISNUMBER(SEARCH("[済]",INDEX(Material_Detail!$D:$DC,MATCH($A54,Material_Detail!$DE:$DE,0)+1,35))),0,IFERROR(INDEX(Material_Detail!$D:$DC,MATCH($A54,Material_Detail!$DE:$DE,0),35),0)),SUMIFS(T_Shipments[Confirmed_Qty],T_Shipments[Part Name],$A54,T_Shipments[Effective_Week],35))</f>
        <v/>
      </c>
      <c r="AK54">
        <f>IF(COUNTIF(Material_Detail!$DE:$DE,$A54)&gt;0,IF(ISNUMBER(SEARCH("[済]",INDEX(Material_Detail!$D:$DC,MATCH($A54,Material_Detail!$DE:$DE,0)+1,36))),0,IFERROR(INDEX(Material_Detail!$D:$DC,MATCH($A54,Material_Detail!$DE:$DE,0),36),0)),SUMIFS(T_Shipments[Confirmed_Qty],T_Shipments[Part Name],$A54,T_Shipments[Effective_Week],36))</f>
        <v/>
      </c>
      <c r="AL54">
        <f>IF(COUNTIF(Material_Detail!$DE:$DE,$A54)&gt;0,IF(ISNUMBER(SEARCH("[済]",INDEX(Material_Detail!$D:$DC,MATCH($A54,Material_Detail!$DE:$DE,0)+1,37))),0,IFERROR(INDEX(Material_Detail!$D:$DC,MATCH($A54,Material_Detail!$DE:$DE,0),37),0)),SUMIFS(T_Shipments[Confirmed_Qty],T_Shipments[Part Name],$A54,T_Shipments[Effective_Week],37))</f>
        <v/>
      </c>
      <c r="AM54">
        <f>IF(COUNTIF(Material_Detail!$DE:$DE,$A54)&gt;0,IF(ISNUMBER(SEARCH("[済]",INDEX(Material_Detail!$D:$DC,MATCH($A54,Material_Detail!$DE:$DE,0)+1,38))),0,IFERROR(INDEX(Material_Detail!$D:$DC,MATCH($A54,Material_Detail!$DE:$DE,0),38),0)),SUMIFS(T_Shipments[Confirmed_Qty],T_Shipments[Part Name],$A54,T_Shipments[Effective_Week],38))</f>
        <v/>
      </c>
      <c r="AN54">
        <f>IF(COUNTIF(Material_Detail!$DE:$DE,$A54)&gt;0,IF(ISNUMBER(SEARCH("[済]",INDEX(Material_Detail!$D:$DC,MATCH($A54,Material_Detail!$DE:$DE,0)+1,39))),0,IFERROR(INDEX(Material_Detail!$D:$DC,MATCH($A54,Material_Detail!$DE:$DE,0),39),0)),SUMIFS(T_Shipments[Confirmed_Qty],T_Shipments[Part Name],$A54,T_Shipments[Effective_Week],39))</f>
        <v/>
      </c>
      <c r="AO54">
        <f>IF(COUNTIF(Material_Detail!$DE:$DE,$A54)&gt;0,IF(ISNUMBER(SEARCH("[済]",INDEX(Material_Detail!$D:$DC,MATCH($A54,Material_Detail!$DE:$DE,0)+1,40))),0,IFERROR(INDEX(Material_Detail!$D:$DC,MATCH($A54,Material_Detail!$DE:$DE,0),40),0)),SUMIFS(T_Shipments[Confirmed_Qty],T_Shipments[Part Name],$A54,T_Shipments[Effective_Week],40))</f>
        <v/>
      </c>
      <c r="AP54">
        <f>IF(COUNTIF(Material_Detail!$DE:$DE,$A54)&gt;0,IF(ISNUMBER(SEARCH("[済]",INDEX(Material_Detail!$D:$DC,MATCH($A54,Material_Detail!$DE:$DE,0)+1,41))),0,IFERROR(INDEX(Material_Detail!$D:$DC,MATCH($A54,Material_Detail!$DE:$DE,0),41),0)),SUMIFS(T_Shipments[Confirmed_Qty],T_Shipments[Part Name],$A54,T_Shipments[Effective_Week],41))</f>
        <v/>
      </c>
      <c r="AQ54">
        <f>IF(COUNTIF(Material_Detail!$DE:$DE,$A54)&gt;0,IF(ISNUMBER(SEARCH("[済]",INDEX(Material_Detail!$D:$DC,MATCH($A54,Material_Detail!$DE:$DE,0)+1,42))),0,IFERROR(INDEX(Material_Detail!$D:$DC,MATCH($A54,Material_Detail!$DE:$DE,0),42),0)),SUMIFS(T_Shipments[Confirmed_Qty],T_Shipments[Part Name],$A54,T_Shipments[Effective_Week],42))</f>
        <v/>
      </c>
      <c r="AR54">
        <f>IF(COUNTIF(Material_Detail!$DE:$DE,$A54)&gt;0,IF(ISNUMBER(SEARCH("[済]",INDEX(Material_Detail!$D:$DC,MATCH($A54,Material_Detail!$DE:$DE,0)+1,43))),0,IFERROR(INDEX(Material_Detail!$D:$DC,MATCH($A54,Material_Detail!$DE:$DE,0),43),0)),SUMIFS(T_Shipments[Confirmed_Qty],T_Shipments[Part Name],$A54,T_Shipments[Effective_Week],43))</f>
        <v/>
      </c>
      <c r="AS54">
        <f>IF(COUNTIF(Material_Detail!$DE:$DE,$A54)&gt;0,IF(ISNUMBER(SEARCH("[済]",INDEX(Material_Detail!$D:$DC,MATCH($A54,Material_Detail!$DE:$DE,0)+1,44))),0,IFERROR(INDEX(Material_Detail!$D:$DC,MATCH($A54,Material_Detail!$DE:$DE,0),44),0)),SUMIFS(T_Shipments[Confirmed_Qty],T_Shipments[Part Name],$A54,T_Shipments[Effective_Week],44))</f>
        <v/>
      </c>
      <c r="AT54">
        <f>IF(COUNTIF(Material_Detail!$DE:$DE,$A54)&gt;0,IF(ISNUMBER(SEARCH("[済]",INDEX(Material_Detail!$D:$DC,MATCH($A54,Material_Detail!$DE:$DE,0)+1,45))),0,IFERROR(INDEX(Material_Detail!$D:$DC,MATCH($A54,Material_Detail!$DE:$DE,0),45),0)),SUMIFS(T_Shipments[Confirmed_Qty],T_Shipments[Part Name],$A54,T_Shipments[Effective_Week],45))</f>
        <v/>
      </c>
      <c r="AU54">
        <f>IF(COUNTIF(Material_Detail!$DE:$DE,$A54)&gt;0,IF(ISNUMBER(SEARCH("[済]",INDEX(Material_Detail!$D:$DC,MATCH($A54,Material_Detail!$DE:$DE,0)+1,46))),0,IFERROR(INDEX(Material_Detail!$D:$DC,MATCH($A54,Material_Detail!$DE:$DE,0),46),0)),SUMIFS(T_Shipments[Confirmed_Qty],T_Shipments[Part Name],$A54,T_Shipments[Effective_Week],46))</f>
        <v/>
      </c>
      <c r="AV54">
        <f>IF(COUNTIF(Material_Detail!$DE:$DE,$A54)&gt;0,IF(ISNUMBER(SEARCH("[済]",INDEX(Material_Detail!$D:$DC,MATCH($A54,Material_Detail!$DE:$DE,0)+1,47))),0,IFERROR(INDEX(Material_Detail!$D:$DC,MATCH($A54,Material_Detail!$DE:$DE,0),47),0)),SUMIFS(T_Shipments[Confirmed_Qty],T_Shipments[Part Name],$A54,T_Shipments[Effective_Week],47))</f>
        <v/>
      </c>
      <c r="AW54">
        <f>IF(COUNTIF(Material_Detail!$DE:$DE,$A54)&gt;0,IF(ISNUMBER(SEARCH("[済]",INDEX(Material_Detail!$D:$DC,MATCH($A54,Material_Detail!$DE:$DE,0)+1,48))),0,IFERROR(INDEX(Material_Detail!$D:$DC,MATCH($A54,Material_Detail!$DE:$DE,0),48),0)),SUMIFS(T_Shipments[Confirmed_Qty],T_Shipments[Part Name],$A54,T_Shipments[Effective_Week],48))</f>
        <v/>
      </c>
      <c r="AX54">
        <f>IF(COUNTIF(Material_Detail!$DE:$DE,$A54)&gt;0,IF(ISNUMBER(SEARCH("[済]",INDEX(Material_Detail!$D:$DC,MATCH($A54,Material_Detail!$DE:$DE,0)+1,49))),0,IFERROR(INDEX(Material_Detail!$D:$DC,MATCH($A54,Material_Detail!$DE:$DE,0),49),0)),SUMIFS(T_Shipments[Confirmed_Qty],T_Shipments[Part Name],$A54,T_Shipments[Effective_Week],49))</f>
        <v/>
      </c>
      <c r="AY54">
        <f>IF(COUNTIF(Material_Detail!$DE:$DE,$A54)&gt;0,IF(ISNUMBER(SEARCH("[済]",INDEX(Material_Detail!$D:$DC,MATCH($A54,Material_Detail!$DE:$DE,0)+1,50))),0,IFERROR(INDEX(Material_Detail!$D:$DC,MATCH($A54,Material_Detail!$DE:$DE,0),50),0)),SUMIFS(T_Shipments[Confirmed_Qty],T_Shipments[Part Name],$A54,T_Shipments[Effective_Week],50))</f>
        <v/>
      </c>
      <c r="AZ54">
        <f>IF(COUNTIF(Material_Detail!$DE:$DE,$A54)&gt;0,IF(ISNUMBER(SEARCH("[済]",INDEX(Material_Detail!$D:$DC,MATCH($A54,Material_Detail!$DE:$DE,0)+1,51))),0,IFERROR(INDEX(Material_Detail!$D:$DC,MATCH($A54,Material_Detail!$DE:$DE,0),51),0)),SUMIFS(T_Shipments[Confirmed_Qty],T_Shipments[Part Name],$A54,T_Shipments[Effective_Week],51))</f>
        <v/>
      </c>
      <c r="BA54">
        <f>IF(COUNTIF(Material_Detail!$DE:$DE,$A54)&gt;0,IF(ISNUMBER(SEARCH("[済]",INDEX(Material_Detail!$D:$DC,MATCH($A54,Material_Detail!$DE:$DE,0)+1,52))),0,IFERROR(INDEX(Material_Detail!$D:$DC,MATCH($A54,Material_Detail!$DE:$DE,0),52),0)),SUMIFS(T_Shipments[Confirmed_Qty],T_Shipments[Part Name],$A54,T_Shipments[Effective_Week],52))</f>
        <v/>
      </c>
      <c r="BB54">
        <f>IF(COUNTIF(Material_Detail!$DE:$DE,$A54)&gt;0,IF(ISNUMBER(SEARCH("[済]",INDEX(Material_Detail!$D:$DC,MATCH($A54,Material_Detail!$DE:$DE,0)+1,53))),0,IFERROR(INDEX(Material_Detail!$D:$DC,MATCH($A54,Material_Detail!$DE:$DE,0),53),0)),SUMIFS(T_Shipments[Confirmed_Qty],T_Shipments[Part Name],$A54,T_Shipments[Effective_Week],53))</f>
        <v/>
      </c>
      <c r="BC54">
        <f>IF(COUNTIF(Material_Detail!$DE:$DE,$A54)&gt;0,IF(ISNUMBER(SEARCH("[済]",INDEX(Material_Detail!$D:$DC,MATCH($A54,Material_Detail!$DE:$DE,0)+1,54))),0,IFERROR(INDEX(Material_Detail!$D:$DC,MATCH($A54,Material_Detail!$DE:$DE,0),54),0)),SUMIFS(T_Shipments[Confirmed_Qty],T_Shipments[Part Name],$A54,T_Shipments[Effective_Week],54))</f>
        <v/>
      </c>
      <c r="BD54">
        <f>IF(COUNTIF(Material_Detail!$DE:$DE,$A54)&gt;0,IF(ISNUMBER(SEARCH("[済]",INDEX(Material_Detail!$D:$DC,MATCH($A54,Material_Detail!$DE:$DE,0)+1,55))),0,IFERROR(INDEX(Material_Detail!$D:$DC,MATCH($A54,Material_Detail!$DE:$DE,0),55),0)),SUMIFS(T_Shipments[Confirmed_Qty],T_Shipments[Part Name],$A54,T_Shipments[Effective_Week],55))</f>
        <v/>
      </c>
      <c r="BE54">
        <f>IF(COUNTIF(Material_Detail!$DE:$DE,$A54)&gt;0,IF(ISNUMBER(SEARCH("[済]",INDEX(Material_Detail!$D:$DC,MATCH($A54,Material_Detail!$DE:$DE,0)+1,56))),0,IFERROR(INDEX(Material_Detail!$D:$DC,MATCH($A54,Material_Detail!$DE:$DE,0),56),0)),SUMIFS(T_Shipments[Confirmed_Qty],T_Shipments[Part Name],$A54,T_Shipments[Effective_Week],56))</f>
        <v/>
      </c>
      <c r="BF54">
        <f>IF(COUNTIF(Material_Detail!$DE:$DE,$A54)&gt;0,IF(ISNUMBER(SEARCH("[済]",INDEX(Material_Detail!$D:$DC,MATCH($A54,Material_Detail!$DE:$DE,0)+1,57))),0,IFERROR(INDEX(Material_Detail!$D:$DC,MATCH($A54,Material_Detail!$DE:$DE,0),57),0)),SUMIFS(T_Shipments[Confirmed_Qty],T_Shipments[Part Name],$A54,T_Shipments[Effective_Week],57))</f>
        <v/>
      </c>
      <c r="BG54">
        <f>IF(COUNTIF(Material_Detail!$DE:$DE,$A54)&gt;0,IF(ISNUMBER(SEARCH("[済]",INDEX(Material_Detail!$D:$DC,MATCH($A54,Material_Detail!$DE:$DE,0)+1,58))),0,IFERROR(INDEX(Material_Detail!$D:$DC,MATCH($A54,Material_Detail!$DE:$DE,0),58),0)),SUMIFS(T_Shipments[Confirmed_Qty],T_Shipments[Part Name],$A54,T_Shipments[Effective_Week],58))</f>
        <v/>
      </c>
      <c r="BH54">
        <f>IF(COUNTIF(Material_Detail!$DE:$DE,$A54)&gt;0,IF(ISNUMBER(SEARCH("[済]",INDEX(Material_Detail!$D:$DC,MATCH($A54,Material_Detail!$DE:$DE,0)+1,59))),0,IFERROR(INDEX(Material_Detail!$D:$DC,MATCH($A54,Material_Detail!$DE:$DE,0),59),0)),SUMIFS(T_Shipments[Confirmed_Qty],T_Shipments[Part Name],$A54,T_Shipments[Effective_Week],59))</f>
        <v/>
      </c>
      <c r="BI54">
        <f>IF(COUNTIF(Material_Detail!$DE:$DE,$A54)&gt;0,IF(ISNUMBER(SEARCH("[済]",INDEX(Material_Detail!$D:$DC,MATCH($A54,Material_Detail!$DE:$DE,0)+1,60))),0,IFERROR(INDEX(Material_Detail!$D:$DC,MATCH($A54,Material_Detail!$DE:$DE,0),60),0)),SUMIFS(T_Shipments[Confirmed_Qty],T_Shipments[Part Name],$A54,T_Shipments[Effective_Week],60))</f>
        <v/>
      </c>
      <c r="BJ54">
        <f>IF(COUNTIF(Material_Detail!$DE:$DE,$A54)&gt;0,IF(ISNUMBER(SEARCH("[済]",INDEX(Material_Detail!$D:$DC,MATCH($A54,Material_Detail!$DE:$DE,0)+1,61))),0,IFERROR(INDEX(Material_Detail!$D:$DC,MATCH($A54,Material_Detail!$DE:$DE,0),61),0)),SUMIFS(T_Shipments[Confirmed_Qty],T_Shipments[Part Name],$A54,T_Shipments[Effective_Week],61))</f>
        <v/>
      </c>
      <c r="BK54">
        <f>IF(COUNTIF(Material_Detail!$DE:$DE,$A54)&gt;0,IF(ISNUMBER(SEARCH("[済]",INDEX(Material_Detail!$D:$DC,MATCH($A54,Material_Detail!$DE:$DE,0)+1,62))),0,IFERROR(INDEX(Material_Detail!$D:$DC,MATCH($A54,Material_Detail!$DE:$DE,0),62),0)),SUMIFS(T_Shipments[Confirmed_Qty],T_Shipments[Part Name],$A54,T_Shipments[Effective_Week],62))</f>
        <v/>
      </c>
      <c r="BL54">
        <f>IF(COUNTIF(Material_Detail!$DE:$DE,$A54)&gt;0,IF(ISNUMBER(SEARCH("[済]",INDEX(Material_Detail!$D:$DC,MATCH($A54,Material_Detail!$DE:$DE,0)+1,63))),0,IFERROR(INDEX(Material_Detail!$D:$DC,MATCH($A54,Material_Detail!$DE:$DE,0),63),0)),SUMIFS(T_Shipments[Confirmed_Qty],T_Shipments[Part Name],$A54,T_Shipments[Effective_Week],63))</f>
        <v/>
      </c>
      <c r="BM54">
        <f>IF(COUNTIF(Material_Detail!$DE:$DE,$A54)&gt;0,IF(ISNUMBER(SEARCH("[済]",INDEX(Material_Detail!$D:$DC,MATCH($A54,Material_Detail!$DE:$DE,0)+1,64))),0,IFERROR(INDEX(Material_Detail!$D:$DC,MATCH($A54,Material_Detail!$DE:$DE,0),64),0)),SUMIFS(T_Shipments[Confirmed_Qty],T_Shipments[Part Name],$A54,T_Shipments[Effective_Week],64))</f>
        <v/>
      </c>
      <c r="BN54">
        <f>IF(COUNTIF(Material_Detail!$DE:$DE,$A54)&gt;0,IF(ISNUMBER(SEARCH("[済]",INDEX(Material_Detail!$D:$DC,MATCH($A54,Material_Detail!$DE:$DE,0)+1,65))),0,IFERROR(INDEX(Material_Detail!$D:$DC,MATCH($A54,Material_Detail!$DE:$DE,0),65),0)),SUMIFS(T_Shipments[Confirmed_Qty],T_Shipments[Part Name],$A54,T_Shipments[Effective_Week],65))</f>
        <v/>
      </c>
      <c r="BO54">
        <f>IF(COUNTIF(Material_Detail!$DE:$DE,$A54)&gt;0,IF(ISNUMBER(SEARCH("[済]",INDEX(Material_Detail!$D:$DC,MATCH($A54,Material_Detail!$DE:$DE,0)+1,66))),0,IFERROR(INDEX(Material_Detail!$D:$DC,MATCH($A54,Material_Detail!$DE:$DE,0),66),0)),SUMIFS(T_Shipments[Confirmed_Qty],T_Shipments[Part Name],$A54,T_Shipments[Effective_Week],66))</f>
        <v/>
      </c>
      <c r="BP54">
        <f>IF(COUNTIF(Material_Detail!$DE:$DE,$A54)&gt;0,IF(ISNUMBER(SEARCH("[済]",INDEX(Material_Detail!$D:$DC,MATCH($A54,Material_Detail!$DE:$DE,0)+1,67))),0,IFERROR(INDEX(Material_Detail!$D:$DC,MATCH($A54,Material_Detail!$DE:$DE,0),67),0)),SUMIFS(T_Shipments[Confirmed_Qty],T_Shipments[Part Name],$A54,T_Shipments[Effective_Week],67))</f>
        <v/>
      </c>
      <c r="BQ54">
        <f>IF(COUNTIF(Material_Detail!$DE:$DE,$A54)&gt;0,IF(ISNUMBER(SEARCH("[済]",INDEX(Material_Detail!$D:$DC,MATCH($A54,Material_Detail!$DE:$DE,0)+1,68))),0,IFERROR(INDEX(Material_Detail!$D:$DC,MATCH($A54,Material_Detail!$DE:$DE,0),68),0)),SUMIFS(T_Shipments[Confirmed_Qty],T_Shipments[Part Name],$A54,T_Shipments[Effective_Week],68))</f>
        <v/>
      </c>
      <c r="BR54">
        <f>IF(COUNTIF(Material_Detail!$DE:$DE,$A54)&gt;0,IF(ISNUMBER(SEARCH("[済]",INDEX(Material_Detail!$D:$DC,MATCH($A54,Material_Detail!$DE:$DE,0)+1,69))),0,IFERROR(INDEX(Material_Detail!$D:$DC,MATCH($A54,Material_Detail!$DE:$DE,0),69),0)),SUMIFS(T_Shipments[Confirmed_Qty],T_Shipments[Part Name],$A54,T_Shipments[Effective_Week],69))</f>
        <v/>
      </c>
      <c r="BS54">
        <f>IF(COUNTIF(Material_Detail!$DE:$DE,$A54)&gt;0,IF(ISNUMBER(SEARCH("[済]",INDEX(Material_Detail!$D:$DC,MATCH($A54,Material_Detail!$DE:$DE,0)+1,70))),0,IFERROR(INDEX(Material_Detail!$D:$DC,MATCH($A54,Material_Detail!$DE:$DE,0),70),0)),SUMIFS(T_Shipments[Confirmed_Qty],T_Shipments[Part Name],$A54,T_Shipments[Effective_Week],70))</f>
        <v/>
      </c>
      <c r="BT54">
        <f>IF(COUNTIF(Material_Detail!$DE:$DE,$A54)&gt;0,IF(ISNUMBER(SEARCH("[済]",INDEX(Material_Detail!$D:$DC,MATCH($A54,Material_Detail!$DE:$DE,0)+1,71))),0,IFERROR(INDEX(Material_Detail!$D:$DC,MATCH($A54,Material_Detail!$DE:$DE,0),71),0)),SUMIFS(T_Shipments[Confirmed_Qty],T_Shipments[Part Name],$A54,T_Shipments[Effective_Week],71))</f>
        <v/>
      </c>
      <c r="BU54">
        <f>IF(COUNTIF(Material_Detail!$DE:$DE,$A54)&gt;0,IF(ISNUMBER(SEARCH("[済]",INDEX(Material_Detail!$D:$DC,MATCH($A54,Material_Detail!$DE:$DE,0)+1,72))),0,IFERROR(INDEX(Material_Detail!$D:$DC,MATCH($A54,Material_Detail!$DE:$DE,0),72),0)),SUMIFS(T_Shipments[Confirmed_Qty],T_Shipments[Part Name],$A54,T_Shipments[Effective_Week],72))</f>
        <v/>
      </c>
      <c r="BV54">
        <f>IF(COUNTIF(Material_Detail!$DE:$DE,$A54)&gt;0,IF(ISNUMBER(SEARCH("[済]",INDEX(Material_Detail!$D:$DC,MATCH($A54,Material_Detail!$DE:$DE,0)+1,73))),0,IFERROR(INDEX(Material_Detail!$D:$DC,MATCH($A54,Material_Detail!$DE:$DE,0),73),0)),SUMIFS(T_Shipments[Confirmed_Qty],T_Shipments[Part Name],$A54,T_Shipments[Effective_Week],73))</f>
        <v/>
      </c>
      <c r="BW54">
        <f>IF(COUNTIF(Material_Detail!$DE:$DE,$A54)&gt;0,IF(ISNUMBER(SEARCH("[済]",INDEX(Material_Detail!$D:$DC,MATCH($A54,Material_Detail!$DE:$DE,0)+1,74))),0,IFERROR(INDEX(Material_Detail!$D:$DC,MATCH($A54,Material_Detail!$DE:$DE,0),74),0)),SUMIFS(T_Shipments[Confirmed_Qty],T_Shipments[Part Name],$A54,T_Shipments[Effective_Week],74))</f>
        <v/>
      </c>
      <c r="BX54">
        <f>IF(COUNTIF(Material_Detail!$DE:$DE,$A54)&gt;0,IF(ISNUMBER(SEARCH("[済]",INDEX(Material_Detail!$D:$DC,MATCH($A54,Material_Detail!$DE:$DE,0)+1,75))),0,IFERROR(INDEX(Material_Detail!$D:$DC,MATCH($A54,Material_Detail!$DE:$DE,0),75),0)),SUMIFS(T_Shipments[Confirmed_Qty],T_Shipments[Part Name],$A54,T_Shipments[Effective_Week],75))</f>
        <v/>
      </c>
      <c r="BY54">
        <f>IF(COUNTIF(Material_Detail!$DE:$DE,$A54)&gt;0,IF(ISNUMBER(SEARCH("[済]",INDEX(Material_Detail!$D:$DC,MATCH($A54,Material_Detail!$DE:$DE,0)+1,76))),0,IFERROR(INDEX(Material_Detail!$D:$DC,MATCH($A54,Material_Detail!$DE:$DE,0),76),0)),SUMIFS(T_Shipments[Confirmed_Qty],T_Shipments[Part Name],$A54,T_Shipments[Effective_Week],76))</f>
        <v/>
      </c>
      <c r="BZ54">
        <f>IF(COUNTIF(Material_Detail!$DE:$DE,$A54)&gt;0,IF(ISNUMBER(SEARCH("[済]",INDEX(Material_Detail!$D:$DC,MATCH($A54,Material_Detail!$DE:$DE,0)+1,77))),0,IFERROR(INDEX(Material_Detail!$D:$DC,MATCH($A54,Material_Detail!$DE:$DE,0),77),0)),SUMIFS(T_Shipments[Confirmed_Qty],T_Shipments[Part Name],$A54,T_Shipments[Effective_Week],77))</f>
        <v/>
      </c>
      <c r="CA54">
        <f>IF(COUNTIF(Material_Detail!$DE:$DE,$A54)&gt;0,IF(ISNUMBER(SEARCH("[済]",INDEX(Material_Detail!$D:$DC,MATCH($A54,Material_Detail!$DE:$DE,0)+1,78))),0,IFERROR(INDEX(Material_Detail!$D:$DC,MATCH($A54,Material_Detail!$DE:$DE,0),78),0)),SUMIFS(T_Shipments[Confirmed_Qty],T_Shipments[Part Name],$A54,T_Shipments[Effective_Week],78))</f>
        <v/>
      </c>
      <c r="CB54">
        <f>IF(COUNTIF(Material_Detail!$DE:$DE,$A54)&gt;0,IF(ISNUMBER(SEARCH("[済]",INDEX(Material_Detail!$D:$DC,MATCH($A54,Material_Detail!$DE:$DE,0)+1,79))),0,IFERROR(INDEX(Material_Detail!$D:$DC,MATCH($A54,Material_Detail!$DE:$DE,0),79),0)),SUMIFS(T_Shipments[Confirmed_Qty],T_Shipments[Part Name],$A54,T_Shipments[Effective_Week],79))</f>
        <v/>
      </c>
      <c r="CC54">
        <f>IF(COUNTIF(Material_Detail!$DE:$DE,$A54)&gt;0,IF(ISNUMBER(SEARCH("[済]",INDEX(Material_Detail!$D:$DC,MATCH($A54,Material_Detail!$DE:$DE,0)+1,80))),0,IFERROR(INDEX(Material_Detail!$D:$DC,MATCH($A54,Material_Detail!$DE:$DE,0),80),0)),SUMIFS(T_Shipments[Confirmed_Qty],T_Shipments[Part Name],$A54,T_Shipments[Effective_Week],80))</f>
        <v/>
      </c>
      <c r="CD54">
        <f>IF(COUNTIF(Material_Detail!$DE:$DE,$A54)&gt;0,IF(ISNUMBER(SEARCH("[済]",INDEX(Material_Detail!$D:$DC,MATCH($A54,Material_Detail!$DE:$DE,0)+1,81))),0,IFERROR(INDEX(Material_Detail!$D:$DC,MATCH($A54,Material_Detail!$DE:$DE,0),81),0)),SUMIFS(T_Shipments[Confirmed_Qty],T_Shipments[Part Name],$A54,T_Shipments[Effective_Week],81))</f>
        <v/>
      </c>
      <c r="CE54">
        <f>IF(COUNTIF(Material_Detail!$DE:$DE,$A54)&gt;0,IF(ISNUMBER(SEARCH("[済]",INDEX(Material_Detail!$D:$DC,MATCH($A54,Material_Detail!$DE:$DE,0)+1,82))),0,IFERROR(INDEX(Material_Detail!$D:$DC,MATCH($A54,Material_Detail!$DE:$DE,0),82),0)),SUMIFS(T_Shipments[Confirmed_Qty],T_Shipments[Part Name],$A54,T_Shipments[Effective_Week],82))</f>
        <v/>
      </c>
      <c r="CF54">
        <f>IF(COUNTIF(Material_Detail!$DE:$DE,$A54)&gt;0,IF(ISNUMBER(SEARCH("[済]",INDEX(Material_Detail!$D:$DC,MATCH($A54,Material_Detail!$DE:$DE,0)+1,83))),0,IFERROR(INDEX(Material_Detail!$D:$DC,MATCH($A54,Material_Detail!$DE:$DE,0),83),0)),SUMIFS(T_Shipments[Confirmed_Qty],T_Shipments[Part Name],$A54,T_Shipments[Effective_Week],83))</f>
        <v/>
      </c>
      <c r="CG54">
        <f>IF(COUNTIF(Material_Detail!$DE:$DE,$A54)&gt;0,IF(ISNUMBER(SEARCH("[済]",INDEX(Material_Detail!$D:$DC,MATCH($A54,Material_Detail!$DE:$DE,0)+1,84))),0,IFERROR(INDEX(Material_Detail!$D:$DC,MATCH($A54,Material_Detail!$DE:$DE,0),84),0)),SUMIFS(T_Shipments[Confirmed_Qty],T_Shipments[Part Name],$A54,T_Shipments[Effective_Week],84))</f>
        <v/>
      </c>
      <c r="CH54">
        <f>IF(COUNTIF(Material_Detail!$DE:$DE,$A54)&gt;0,IF(ISNUMBER(SEARCH("[済]",INDEX(Material_Detail!$D:$DC,MATCH($A54,Material_Detail!$DE:$DE,0)+1,85))),0,IFERROR(INDEX(Material_Detail!$D:$DC,MATCH($A54,Material_Detail!$DE:$DE,0),85),0)),SUMIFS(T_Shipments[Confirmed_Qty],T_Shipments[Part Name],$A54,T_Shipments[Effective_Week],85))</f>
        <v/>
      </c>
      <c r="CI54">
        <f>IF(COUNTIF(Material_Detail!$DE:$DE,$A54)&gt;0,IF(ISNUMBER(SEARCH("[済]",INDEX(Material_Detail!$D:$DC,MATCH($A54,Material_Detail!$DE:$DE,0)+1,86))),0,IFERROR(INDEX(Material_Detail!$D:$DC,MATCH($A54,Material_Detail!$DE:$DE,0),86),0)),SUMIFS(T_Shipments[Confirmed_Qty],T_Shipments[Part Name],$A54,T_Shipments[Effective_Week],86))</f>
        <v/>
      </c>
      <c r="CJ54">
        <f>IF(COUNTIF(Material_Detail!$DE:$DE,$A54)&gt;0,IF(ISNUMBER(SEARCH("[済]",INDEX(Material_Detail!$D:$DC,MATCH($A54,Material_Detail!$DE:$DE,0)+1,87))),0,IFERROR(INDEX(Material_Detail!$D:$DC,MATCH($A54,Material_Detail!$DE:$DE,0),87),0)),SUMIFS(T_Shipments[Confirmed_Qty],T_Shipments[Part Name],$A54,T_Shipments[Effective_Week],87))</f>
        <v/>
      </c>
      <c r="CK54">
        <f>IF(COUNTIF(Material_Detail!$DE:$DE,$A54)&gt;0,IF(ISNUMBER(SEARCH("[済]",INDEX(Material_Detail!$D:$DC,MATCH($A54,Material_Detail!$DE:$DE,0)+1,88))),0,IFERROR(INDEX(Material_Detail!$D:$DC,MATCH($A54,Material_Detail!$DE:$DE,0),88),0)),SUMIFS(T_Shipments[Confirmed_Qty],T_Shipments[Part Name],$A54,T_Shipments[Effective_Week],88))</f>
        <v/>
      </c>
      <c r="CL54">
        <f>IF(COUNTIF(Material_Detail!$DE:$DE,$A54)&gt;0,IF(ISNUMBER(SEARCH("[済]",INDEX(Material_Detail!$D:$DC,MATCH($A54,Material_Detail!$DE:$DE,0)+1,89))),0,IFERROR(INDEX(Material_Detail!$D:$DC,MATCH($A54,Material_Detail!$DE:$DE,0),89),0)),SUMIFS(T_Shipments[Confirmed_Qty],T_Shipments[Part Name],$A54,T_Shipments[Effective_Week],89))</f>
        <v/>
      </c>
      <c r="CM54">
        <f>IF(COUNTIF(Material_Detail!$DE:$DE,$A54)&gt;0,IF(ISNUMBER(SEARCH("[済]",INDEX(Material_Detail!$D:$DC,MATCH($A54,Material_Detail!$DE:$DE,0)+1,90))),0,IFERROR(INDEX(Material_Detail!$D:$DC,MATCH($A54,Material_Detail!$DE:$DE,0),90),0)),SUMIFS(T_Shipments[Confirmed_Qty],T_Shipments[Part Name],$A54,T_Shipments[Effective_Week],90))</f>
        <v/>
      </c>
      <c r="CN54">
        <f>IF(COUNTIF(Material_Detail!$DE:$DE,$A54)&gt;0,IF(ISNUMBER(SEARCH("[済]",INDEX(Material_Detail!$D:$DC,MATCH($A54,Material_Detail!$DE:$DE,0)+1,91))),0,IFERROR(INDEX(Material_Detail!$D:$DC,MATCH($A54,Material_Detail!$DE:$DE,0),91),0)),SUMIFS(T_Shipments[Confirmed_Qty],T_Shipments[Part Name],$A54,T_Shipments[Effective_Week],91))</f>
        <v/>
      </c>
      <c r="CO54">
        <f>IF(COUNTIF(Material_Detail!$DE:$DE,$A54)&gt;0,IF(ISNUMBER(SEARCH("[済]",INDEX(Material_Detail!$D:$DC,MATCH($A54,Material_Detail!$DE:$DE,0)+1,92))),0,IFERROR(INDEX(Material_Detail!$D:$DC,MATCH($A54,Material_Detail!$DE:$DE,0),92),0)),SUMIFS(T_Shipments[Confirmed_Qty],T_Shipments[Part Name],$A54,T_Shipments[Effective_Week],92))</f>
        <v/>
      </c>
      <c r="CP54">
        <f>IF(COUNTIF(Material_Detail!$DE:$DE,$A54)&gt;0,IF(ISNUMBER(SEARCH("[済]",INDEX(Material_Detail!$D:$DC,MATCH($A54,Material_Detail!$DE:$DE,0)+1,93))),0,IFERROR(INDEX(Material_Detail!$D:$DC,MATCH($A54,Material_Detail!$DE:$DE,0),93),0)),SUMIFS(T_Shipments[Confirmed_Qty],T_Shipments[Part Name],$A54,T_Shipments[Effective_Week],93))</f>
        <v/>
      </c>
      <c r="CQ54">
        <f>IF(COUNTIF(Material_Detail!$DE:$DE,$A54)&gt;0,IF(ISNUMBER(SEARCH("[済]",INDEX(Material_Detail!$D:$DC,MATCH($A54,Material_Detail!$DE:$DE,0)+1,94))),0,IFERROR(INDEX(Material_Detail!$D:$DC,MATCH($A54,Material_Detail!$DE:$DE,0),94),0)),SUMIFS(T_Shipments[Confirmed_Qty],T_Shipments[Part Name],$A54,T_Shipments[Effective_Week],94))</f>
        <v/>
      </c>
      <c r="CR54">
        <f>IF(COUNTIF(Material_Detail!$DE:$DE,$A54)&gt;0,IF(ISNUMBER(SEARCH("[済]",INDEX(Material_Detail!$D:$DC,MATCH($A54,Material_Detail!$DE:$DE,0)+1,95))),0,IFERROR(INDEX(Material_Detail!$D:$DC,MATCH($A54,Material_Detail!$DE:$DE,0),95),0)),SUMIFS(T_Shipments[Confirmed_Qty],T_Shipments[Part Name],$A54,T_Shipments[Effective_Week],95))</f>
        <v/>
      </c>
      <c r="CS54">
        <f>IF(COUNTIF(Material_Detail!$DE:$DE,$A54)&gt;0,IF(ISNUMBER(SEARCH("[済]",INDEX(Material_Detail!$D:$DC,MATCH($A54,Material_Detail!$DE:$DE,0)+1,96))),0,IFERROR(INDEX(Material_Detail!$D:$DC,MATCH($A54,Material_Detail!$DE:$DE,0),96),0)),SUMIFS(T_Shipments[Confirmed_Qty],T_Shipments[Part Name],$A54,T_Shipments[Effective_Week],96))</f>
        <v/>
      </c>
      <c r="CT54">
        <f>IF(COUNTIF(Material_Detail!$DE:$DE,$A54)&gt;0,IF(ISNUMBER(SEARCH("[済]",INDEX(Material_Detail!$D:$DC,MATCH($A54,Material_Detail!$DE:$DE,0)+1,97))),0,IFERROR(INDEX(Material_Detail!$D:$DC,MATCH($A54,Material_Detail!$DE:$DE,0),97),0)),SUMIFS(T_Shipments[Confirmed_Qty],T_Shipments[Part Name],$A54,T_Shipments[Effective_Week],97))</f>
        <v/>
      </c>
      <c r="CU54">
        <f>IF(COUNTIF(Material_Detail!$DE:$DE,$A54)&gt;0,IF(ISNUMBER(SEARCH("[済]",INDEX(Material_Detail!$D:$DC,MATCH($A54,Material_Detail!$DE:$DE,0)+1,98))),0,IFERROR(INDEX(Material_Detail!$D:$DC,MATCH($A54,Material_Detail!$DE:$DE,0),98),0)),SUMIFS(T_Shipments[Confirmed_Qty],T_Shipments[Part Name],$A54,T_Shipments[Effective_Week],98))</f>
        <v/>
      </c>
      <c r="CV54">
        <f>IF(COUNTIF(Material_Detail!$DE:$DE,$A54)&gt;0,IF(ISNUMBER(SEARCH("[済]",INDEX(Material_Detail!$D:$DC,MATCH($A54,Material_Detail!$DE:$DE,0)+1,99))),0,IFERROR(INDEX(Material_Detail!$D:$DC,MATCH($A54,Material_Detail!$DE:$DE,0),99),0)),SUMIFS(T_Shipments[Confirmed_Qty],T_Shipments[Part Name],$A54,T_Shipments[Effective_Week],99))</f>
        <v/>
      </c>
      <c r="CW54">
        <f>IF(COUNTIF(Material_Detail!$DE:$DE,$A54)&gt;0,IF(ISNUMBER(SEARCH("[済]",INDEX(Material_Detail!$D:$DC,MATCH($A54,Material_Detail!$DE:$DE,0)+1,100))),0,IFERROR(INDEX(Material_Detail!$D:$DC,MATCH($A54,Material_Detail!$DE:$DE,0),100),0)),SUMIFS(T_Shipments[Confirmed_Qty],T_Shipments[Part Name],$A54,T_Shipments[Effective_Week],100))</f>
        <v/>
      </c>
      <c r="CX54">
        <f>IF(COUNTIF(Material_Detail!$DE:$DE,$A54)&gt;0,IF(ISNUMBER(SEARCH("[済]",INDEX(Material_Detail!$D:$DC,MATCH($A54,Material_Detail!$DE:$DE,0)+1,101))),0,IFERROR(INDEX(Material_Detail!$D:$DC,MATCH($A54,Material_Detail!$DE:$DE,0),101),0)),SUMIFS(T_Shipments[Confirmed_Qty],T_Shipments[Part Name],$A54,T_Shipments[Effective_Week],101))</f>
        <v/>
      </c>
      <c r="CY54">
        <f>IF(COUNTIF(Material_Detail!$DE:$DE,$A54)&gt;0,IF(ISNUMBER(SEARCH("[済]",INDEX(Material_Detail!$D:$DC,MATCH($A54,Material_Detail!$DE:$DE,0)+1,102))),0,IFERROR(INDEX(Material_Detail!$D:$DC,MATCH($A54,Material_Detail!$DE:$DE,0),102),0)),SUMIFS(T_Shipments[Confirmed_Qty],T_Shipments[Part Name],$A54,T_Shipments[Effective_Week],102))</f>
        <v/>
      </c>
      <c r="CZ54">
        <f>IF(COUNTIF(Material_Detail!$DE:$DE,$A54)&gt;0,IF(ISNUMBER(SEARCH("[済]",INDEX(Material_Detail!$D:$DC,MATCH($A54,Material_Detail!$DE:$DE,0)+1,103))),0,IFERROR(INDEX(Material_Detail!$D:$DC,MATCH($A54,Material_Detail!$DE:$DE,0),103),0)),SUMIFS(T_Shipments[Confirmed_Qty],T_Shipments[Part Name],$A54,T_Shipments[Effective_Week],103))</f>
        <v/>
      </c>
      <c r="DA54">
        <f>IF(COUNTIF(Material_Detail!$DE:$DE,$A54)&gt;0,IF(ISNUMBER(SEARCH("[済]",INDEX(Material_Detail!$D:$DC,MATCH($A54,Material_Detail!$DE:$DE,0)+1,104))),0,IFERROR(INDEX(Material_Detail!$D:$DC,MATCH($A54,Material_Detail!$DE:$DE,0),104),0)),SUMIFS(T_Shipments[Confirmed_Qty],T_Shipments[Part Name],$A54,T_Shipments[Effective_Week],104))</f>
        <v/>
      </c>
    </row>
    <row r="55">
      <c r="A55" t="inlineStr">
        <is>
          <t>Original Towel</t>
        </is>
      </c>
      <c r="B55">
        <f>IF(COUNTIF(Material_Detail!$DE:$DE,$A55)&gt;0,IF(ISNUMBER(SEARCH("[済]",INDEX(Material_Detail!$D:$DC,MATCH($A55,Material_Detail!$DE:$DE,0)+1,1))),0,IFERROR(INDEX(Material_Detail!$D:$DC,MATCH($A55,Material_Detail!$DE:$DE,0),1),0)),SUMIFS(T_Shipments[Confirmed_Qty],T_Shipments[Part Name],$A55,T_Shipments[Effective_Week],1))</f>
        <v/>
      </c>
      <c r="C55">
        <f>IF(COUNTIF(Material_Detail!$DE:$DE,$A55)&gt;0,IF(ISNUMBER(SEARCH("[済]",INDEX(Material_Detail!$D:$DC,MATCH($A55,Material_Detail!$DE:$DE,0)+1,2))),0,IFERROR(INDEX(Material_Detail!$D:$DC,MATCH($A55,Material_Detail!$DE:$DE,0),2),0)),SUMIFS(T_Shipments[Confirmed_Qty],T_Shipments[Part Name],$A55,T_Shipments[Effective_Week],2))</f>
        <v/>
      </c>
      <c r="D55">
        <f>IF(COUNTIF(Material_Detail!$DE:$DE,$A55)&gt;0,IF(ISNUMBER(SEARCH("[済]",INDEX(Material_Detail!$D:$DC,MATCH($A55,Material_Detail!$DE:$DE,0)+1,3))),0,IFERROR(INDEX(Material_Detail!$D:$DC,MATCH($A55,Material_Detail!$DE:$DE,0),3),0)),SUMIFS(T_Shipments[Confirmed_Qty],T_Shipments[Part Name],$A55,T_Shipments[Effective_Week],3))</f>
        <v/>
      </c>
      <c r="E55">
        <f>IF(COUNTIF(Material_Detail!$DE:$DE,$A55)&gt;0,IF(ISNUMBER(SEARCH("[済]",INDEX(Material_Detail!$D:$DC,MATCH($A55,Material_Detail!$DE:$DE,0)+1,4))),0,IFERROR(INDEX(Material_Detail!$D:$DC,MATCH($A55,Material_Detail!$DE:$DE,0),4),0)),SUMIFS(T_Shipments[Confirmed_Qty],T_Shipments[Part Name],$A55,T_Shipments[Effective_Week],4))</f>
        <v/>
      </c>
      <c r="F55">
        <f>IF(COUNTIF(Material_Detail!$DE:$DE,$A55)&gt;0,IF(ISNUMBER(SEARCH("[済]",INDEX(Material_Detail!$D:$DC,MATCH($A55,Material_Detail!$DE:$DE,0)+1,5))),0,IFERROR(INDEX(Material_Detail!$D:$DC,MATCH($A55,Material_Detail!$DE:$DE,0),5),0)),SUMIFS(T_Shipments[Confirmed_Qty],T_Shipments[Part Name],$A55,T_Shipments[Effective_Week],5))</f>
        <v/>
      </c>
      <c r="G55">
        <f>IF(COUNTIF(Material_Detail!$DE:$DE,$A55)&gt;0,IF(ISNUMBER(SEARCH("[済]",INDEX(Material_Detail!$D:$DC,MATCH($A55,Material_Detail!$DE:$DE,0)+1,6))),0,IFERROR(INDEX(Material_Detail!$D:$DC,MATCH($A55,Material_Detail!$DE:$DE,0),6),0)),SUMIFS(T_Shipments[Confirmed_Qty],T_Shipments[Part Name],$A55,T_Shipments[Effective_Week],6))</f>
        <v/>
      </c>
      <c r="H55">
        <f>IF(COUNTIF(Material_Detail!$DE:$DE,$A55)&gt;0,IF(ISNUMBER(SEARCH("[済]",INDEX(Material_Detail!$D:$DC,MATCH($A55,Material_Detail!$DE:$DE,0)+1,7))),0,IFERROR(INDEX(Material_Detail!$D:$DC,MATCH($A55,Material_Detail!$DE:$DE,0),7),0)),SUMIFS(T_Shipments[Confirmed_Qty],T_Shipments[Part Name],$A55,T_Shipments[Effective_Week],7))</f>
        <v/>
      </c>
      <c r="I55">
        <f>IF(COUNTIF(Material_Detail!$DE:$DE,$A55)&gt;0,IF(ISNUMBER(SEARCH("[済]",INDEX(Material_Detail!$D:$DC,MATCH($A55,Material_Detail!$DE:$DE,0)+1,8))),0,IFERROR(INDEX(Material_Detail!$D:$DC,MATCH($A55,Material_Detail!$DE:$DE,0),8),0)),SUMIFS(T_Shipments[Confirmed_Qty],T_Shipments[Part Name],$A55,T_Shipments[Effective_Week],8))</f>
        <v/>
      </c>
      <c r="J55">
        <f>IF(COUNTIF(Material_Detail!$DE:$DE,$A55)&gt;0,IF(ISNUMBER(SEARCH("[済]",INDEX(Material_Detail!$D:$DC,MATCH($A55,Material_Detail!$DE:$DE,0)+1,9))),0,IFERROR(INDEX(Material_Detail!$D:$DC,MATCH($A55,Material_Detail!$DE:$DE,0),9),0)),SUMIFS(T_Shipments[Confirmed_Qty],T_Shipments[Part Name],$A55,T_Shipments[Effective_Week],9))</f>
        <v/>
      </c>
      <c r="K55">
        <f>IF(COUNTIF(Material_Detail!$DE:$DE,$A55)&gt;0,IF(ISNUMBER(SEARCH("[済]",INDEX(Material_Detail!$D:$DC,MATCH($A55,Material_Detail!$DE:$DE,0)+1,10))),0,IFERROR(INDEX(Material_Detail!$D:$DC,MATCH($A55,Material_Detail!$DE:$DE,0),10),0)),SUMIFS(T_Shipments[Confirmed_Qty],T_Shipments[Part Name],$A55,T_Shipments[Effective_Week],10))</f>
        <v/>
      </c>
      <c r="L55">
        <f>IF(COUNTIF(Material_Detail!$DE:$DE,$A55)&gt;0,IF(ISNUMBER(SEARCH("[済]",INDEX(Material_Detail!$D:$DC,MATCH($A55,Material_Detail!$DE:$DE,0)+1,11))),0,IFERROR(INDEX(Material_Detail!$D:$DC,MATCH($A55,Material_Detail!$DE:$DE,0),11),0)),SUMIFS(T_Shipments[Confirmed_Qty],T_Shipments[Part Name],$A55,T_Shipments[Effective_Week],11))</f>
        <v/>
      </c>
      <c r="M55">
        <f>IF(COUNTIF(Material_Detail!$DE:$DE,$A55)&gt;0,IF(ISNUMBER(SEARCH("[済]",INDEX(Material_Detail!$D:$DC,MATCH($A55,Material_Detail!$DE:$DE,0)+1,12))),0,IFERROR(INDEX(Material_Detail!$D:$DC,MATCH($A55,Material_Detail!$DE:$DE,0),12),0)),SUMIFS(T_Shipments[Confirmed_Qty],T_Shipments[Part Name],$A55,T_Shipments[Effective_Week],12))</f>
        <v/>
      </c>
      <c r="N55">
        <f>IF(COUNTIF(Material_Detail!$DE:$DE,$A55)&gt;0,IF(ISNUMBER(SEARCH("[済]",INDEX(Material_Detail!$D:$DC,MATCH($A55,Material_Detail!$DE:$DE,0)+1,13))),0,IFERROR(INDEX(Material_Detail!$D:$DC,MATCH($A55,Material_Detail!$DE:$DE,0),13),0)),SUMIFS(T_Shipments[Confirmed_Qty],T_Shipments[Part Name],$A55,T_Shipments[Effective_Week],13))</f>
        <v/>
      </c>
      <c r="O55">
        <f>IF(COUNTIF(Material_Detail!$DE:$DE,$A55)&gt;0,IF(ISNUMBER(SEARCH("[済]",INDEX(Material_Detail!$D:$DC,MATCH($A55,Material_Detail!$DE:$DE,0)+1,14))),0,IFERROR(INDEX(Material_Detail!$D:$DC,MATCH($A55,Material_Detail!$DE:$DE,0),14),0)),SUMIFS(T_Shipments[Confirmed_Qty],T_Shipments[Part Name],$A55,T_Shipments[Effective_Week],14))</f>
        <v/>
      </c>
      <c r="P55">
        <f>IF(COUNTIF(Material_Detail!$DE:$DE,$A55)&gt;0,IF(ISNUMBER(SEARCH("[済]",INDEX(Material_Detail!$D:$DC,MATCH($A55,Material_Detail!$DE:$DE,0)+1,15))),0,IFERROR(INDEX(Material_Detail!$D:$DC,MATCH($A55,Material_Detail!$DE:$DE,0),15),0)),SUMIFS(T_Shipments[Confirmed_Qty],T_Shipments[Part Name],$A55,T_Shipments[Effective_Week],15))</f>
        <v/>
      </c>
      <c r="Q55">
        <f>IF(COUNTIF(Material_Detail!$DE:$DE,$A55)&gt;0,IF(ISNUMBER(SEARCH("[済]",INDEX(Material_Detail!$D:$DC,MATCH($A55,Material_Detail!$DE:$DE,0)+1,16))),0,IFERROR(INDEX(Material_Detail!$D:$DC,MATCH($A55,Material_Detail!$DE:$DE,0),16),0)),SUMIFS(T_Shipments[Confirmed_Qty],T_Shipments[Part Name],$A55,T_Shipments[Effective_Week],16))</f>
        <v/>
      </c>
      <c r="R55">
        <f>IF(COUNTIF(Material_Detail!$DE:$DE,$A55)&gt;0,IF(ISNUMBER(SEARCH("[済]",INDEX(Material_Detail!$D:$DC,MATCH($A55,Material_Detail!$DE:$DE,0)+1,17))),0,IFERROR(INDEX(Material_Detail!$D:$DC,MATCH($A55,Material_Detail!$DE:$DE,0),17),0)),SUMIFS(T_Shipments[Confirmed_Qty],T_Shipments[Part Name],$A55,T_Shipments[Effective_Week],17))</f>
        <v/>
      </c>
      <c r="S55">
        <f>IF(COUNTIF(Material_Detail!$DE:$DE,$A55)&gt;0,IF(ISNUMBER(SEARCH("[済]",INDEX(Material_Detail!$D:$DC,MATCH($A55,Material_Detail!$DE:$DE,0)+1,18))),0,IFERROR(INDEX(Material_Detail!$D:$DC,MATCH($A55,Material_Detail!$DE:$DE,0),18),0)),SUMIFS(T_Shipments[Confirmed_Qty],T_Shipments[Part Name],$A55,T_Shipments[Effective_Week],18))</f>
        <v/>
      </c>
      <c r="T55">
        <f>IF(COUNTIF(Material_Detail!$DE:$DE,$A55)&gt;0,IF(ISNUMBER(SEARCH("[済]",INDEX(Material_Detail!$D:$DC,MATCH($A55,Material_Detail!$DE:$DE,0)+1,19))),0,IFERROR(INDEX(Material_Detail!$D:$DC,MATCH($A55,Material_Detail!$DE:$DE,0),19),0)),SUMIFS(T_Shipments[Confirmed_Qty],T_Shipments[Part Name],$A55,T_Shipments[Effective_Week],19))</f>
        <v/>
      </c>
      <c r="U55">
        <f>IF(COUNTIF(Material_Detail!$DE:$DE,$A55)&gt;0,IF(ISNUMBER(SEARCH("[済]",INDEX(Material_Detail!$D:$DC,MATCH($A55,Material_Detail!$DE:$DE,0)+1,20))),0,IFERROR(INDEX(Material_Detail!$D:$DC,MATCH($A55,Material_Detail!$DE:$DE,0),20),0)),SUMIFS(T_Shipments[Confirmed_Qty],T_Shipments[Part Name],$A55,T_Shipments[Effective_Week],20))</f>
        <v/>
      </c>
      <c r="V55">
        <f>IF(COUNTIF(Material_Detail!$DE:$DE,$A55)&gt;0,IF(ISNUMBER(SEARCH("[済]",INDEX(Material_Detail!$D:$DC,MATCH($A55,Material_Detail!$DE:$DE,0)+1,21))),0,IFERROR(INDEX(Material_Detail!$D:$DC,MATCH($A55,Material_Detail!$DE:$DE,0),21),0)),SUMIFS(T_Shipments[Confirmed_Qty],T_Shipments[Part Name],$A55,T_Shipments[Effective_Week],21))</f>
        <v/>
      </c>
      <c r="W55">
        <f>IF(COUNTIF(Material_Detail!$DE:$DE,$A55)&gt;0,IF(ISNUMBER(SEARCH("[済]",INDEX(Material_Detail!$D:$DC,MATCH($A55,Material_Detail!$DE:$DE,0)+1,22))),0,IFERROR(INDEX(Material_Detail!$D:$DC,MATCH($A55,Material_Detail!$DE:$DE,0),22),0)),SUMIFS(T_Shipments[Confirmed_Qty],T_Shipments[Part Name],$A55,T_Shipments[Effective_Week],22))</f>
        <v/>
      </c>
      <c r="X55">
        <f>IF(COUNTIF(Material_Detail!$DE:$DE,$A55)&gt;0,IF(ISNUMBER(SEARCH("[済]",INDEX(Material_Detail!$D:$DC,MATCH($A55,Material_Detail!$DE:$DE,0)+1,23))),0,IFERROR(INDEX(Material_Detail!$D:$DC,MATCH($A55,Material_Detail!$DE:$DE,0),23),0)),SUMIFS(T_Shipments[Confirmed_Qty],T_Shipments[Part Name],$A55,T_Shipments[Effective_Week],23))</f>
        <v/>
      </c>
      <c r="Y55">
        <f>IF(COUNTIF(Material_Detail!$DE:$DE,$A55)&gt;0,IF(ISNUMBER(SEARCH("[済]",INDEX(Material_Detail!$D:$DC,MATCH($A55,Material_Detail!$DE:$DE,0)+1,24))),0,IFERROR(INDEX(Material_Detail!$D:$DC,MATCH($A55,Material_Detail!$DE:$DE,0),24),0)),SUMIFS(T_Shipments[Confirmed_Qty],T_Shipments[Part Name],$A55,T_Shipments[Effective_Week],24))</f>
        <v/>
      </c>
      <c r="Z55">
        <f>IF(COUNTIF(Material_Detail!$DE:$DE,$A55)&gt;0,IF(ISNUMBER(SEARCH("[済]",INDEX(Material_Detail!$D:$DC,MATCH($A55,Material_Detail!$DE:$DE,0)+1,25))),0,IFERROR(INDEX(Material_Detail!$D:$DC,MATCH($A55,Material_Detail!$DE:$DE,0),25),0)),SUMIFS(T_Shipments[Confirmed_Qty],T_Shipments[Part Name],$A55,T_Shipments[Effective_Week],25))</f>
        <v/>
      </c>
      <c r="AA55">
        <f>IF(COUNTIF(Material_Detail!$DE:$DE,$A55)&gt;0,IF(ISNUMBER(SEARCH("[済]",INDEX(Material_Detail!$D:$DC,MATCH($A55,Material_Detail!$DE:$DE,0)+1,26))),0,IFERROR(INDEX(Material_Detail!$D:$DC,MATCH($A55,Material_Detail!$DE:$DE,0),26),0)),SUMIFS(T_Shipments[Confirmed_Qty],T_Shipments[Part Name],$A55,T_Shipments[Effective_Week],26))</f>
        <v/>
      </c>
      <c r="AB55">
        <f>IF(COUNTIF(Material_Detail!$DE:$DE,$A55)&gt;0,IF(ISNUMBER(SEARCH("[済]",INDEX(Material_Detail!$D:$DC,MATCH($A55,Material_Detail!$DE:$DE,0)+1,27))),0,IFERROR(INDEX(Material_Detail!$D:$DC,MATCH($A55,Material_Detail!$DE:$DE,0),27),0)),SUMIFS(T_Shipments[Confirmed_Qty],T_Shipments[Part Name],$A55,T_Shipments[Effective_Week],27))</f>
        <v/>
      </c>
      <c r="AC55">
        <f>IF(COUNTIF(Material_Detail!$DE:$DE,$A55)&gt;0,IF(ISNUMBER(SEARCH("[済]",INDEX(Material_Detail!$D:$DC,MATCH($A55,Material_Detail!$DE:$DE,0)+1,28))),0,IFERROR(INDEX(Material_Detail!$D:$DC,MATCH($A55,Material_Detail!$DE:$DE,0),28),0)),SUMIFS(T_Shipments[Confirmed_Qty],T_Shipments[Part Name],$A55,T_Shipments[Effective_Week],28))</f>
        <v/>
      </c>
      <c r="AD55">
        <f>IF(COUNTIF(Material_Detail!$DE:$DE,$A55)&gt;0,IF(ISNUMBER(SEARCH("[済]",INDEX(Material_Detail!$D:$DC,MATCH($A55,Material_Detail!$DE:$DE,0)+1,29))),0,IFERROR(INDEX(Material_Detail!$D:$DC,MATCH($A55,Material_Detail!$DE:$DE,0),29),0)),SUMIFS(T_Shipments[Confirmed_Qty],T_Shipments[Part Name],$A55,T_Shipments[Effective_Week],29))</f>
        <v/>
      </c>
      <c r="AE55">
        <f>IF(COUNTIF(Material_Detail!$DE:$DE,$A55)&gt;0,IF(ISNUMBER(SEARCH("[済]",INDEX(Material_Detail!$D:$DC,MATCH($A55,Material_Detail!$DE:$DE,0)+1,30))),0,IFERROR(INDEX(Material_Detail!$D:$DC,MATCH($A55,Material_Detail!$DE:$DE,0),30),0)),SUMIFS(T_Shipments[Confirmed_Qty],T_Shipments[Part Name],$A55,T_Shipments[Effective_Week],30))</f>
        <v/>
      </c>
      <c r="AF55">
        <f>IF(COUNTIF(Material_Detail!$DE:$DE,$A55)&gt;0,IF(ISNUMBER(SEARCH("[済]",INDEX(Material_Detail!$D:$DC,MATCH($A55,Material_Detail!$DE:$DE,0)+1,31))),0,IFERROR(INDEX(Material_Detail!$D:$DC,MATCH($A55,Material_Detail!$DE:$DE,0),31),0)),SUMIFS(T_Shipments[Confirmed_Qty],T_Shipments[Part Name],$A55,T_Shipments[Effective_Week],31))</f>
        <v/>
      </c>
      <c r="AG55">
        <f>IF(COUNTIF(Material_Detail!$DE:$DE,$A55)&gt;0,IF(ISNUMBER(SEARCH("[済]",INDEX(Material_Detail!$D:$DC,MATCH($A55,Material_Detail!$DE:$DE,0)+1,32))),0,IFERROR(INDEX(Material_Detail!$D:$DC,MATCH($A55,Material_Detail!$DE:$DE,0),32),0)),SUMIFS(T_Shipments[Confirmed_Qty],T_Shipments[Part Name],$A55,T_Shipments[Effective_Week],32))</f>
        <v/>
      </c>
      <c r="AH55">
        <f>IF(COUNTIF(Material_Detail!$DE:$DE,$A55)&gt;0,IF(ISNUMBER(SEARCH("[済]",INDEX(Material_Detail!$D:$DC,MATCH($A55,Material_Detail!$DE:$DE,0)+1,33))),0,IFERROR(INDEX(Material_Detail!$D:$DC,MATCH($A55,Material_Detail!$DE:$DE,0),33),0)),SUMIFS(T_Shipments[Confirmed_Qty],T_Shipments[Part Name],$A55,T_Shipments[Effective_Week],33))</f>
        <v/>
      </c>
      <c r="AI55">
        <f>IF(COUNTIF(Material_Detail!$DE:$DE,$A55)&gt;0,IF(ISNUMBER(SEARCH("[済]",INDEX(Material_Detail!$D:$DC,MATCH($A55,Material_Detail!$DE:$DE,0)+1,34))),0,IFERROR(INDEX(Material_Detail!$D:$DC,MATCH($A55,Material_Detail!$DE:$DE,0),34),0)),SUMIFS(T_Shipments[Confirmed_Qty],T_Shipments[Part Name],$A55,T_Shipments[Effective_Week],34))</f>
        <v/>
      </c>
      <c r="AJ55">
        <f>IF(COUNTIF(Material_Detail!$DE:$DE,$A55)&gt;0,IF(ISNUMBER(SEARCH("[済]",INDEX(Material_Detail!$D:$DC,MATCH($A55,Material_Detail!$DE:$DE,0)+1,35))),0,IFERROR(INDEX(Material_Detail!$D:$DC,MATCH($A55,Material_Detail!$DE:$DE,0),35),0)),SUMIFS(T_Shipments[Confirmed_Qty],T_Shipments[Part Name],$A55,T_Shipments[Effective_Week],35))</f>
        <v/>
      </c>
      <c r="AK55">
        <f>IF(COUNTIF(Material_Detail!$DE:$DE,$A55)&gt;0,IF(ISNUMBER(SEARCH("[済]",INDEX(Material_Detail!$D:$DC,MATCH($A55,Material_Detail!$DE:$DE,0)+1,36))),0,IFERROR(INDEX(Material_Detail!$D:$DC,MATCH($A55,Material_Detail!$DE:$DE,0),36),0)),SUMIFS(T_Shipments[Confirmed_Qty],T_Shipments[Part Name],$A55,T_Shipments[Effective_Week],36))</f>
        <v/>
      </c>
      <c r="AL55">
        <f>IF(COUNTIF(Material_Detail!$DE:$DE,$A55)&gt;0,IF(ISNUMBER(SEARCH("[済]",INDEX(Material_Detail!$D:$DC,MATCH($A55,Material_Detail!$DE:$DE,0)+1,37))),0,IFERROR(INDEX(Material_Detail!$D:$DC,MATCH($A55,Material_Detail!$DE:$DE,0),37),0)),SUMIFS(T_Shipments[Confirmed_Qty],T_Shipments[Part Name],$A55,T_Shipments[Effective_Week],37))</f>
        <v/>
      </c>
      <c r="AM55">
        <f>IF(COUNTIF(Material_Detail!$DE:$DE,$A55)&gt;0,IF(ISNUMBER(SEARCH("[済]",INDEX(Material_Detail!$D:$DC,MATCH($A55,Material_Detail!$DE:$DE,0)+1,38))),0,IFERROR(INDEX(Material_Detail!$D:$DC,MATCH($A55,Material_Detail!$DE:$DE,0),38),0)),SUMIFS(T_Shipments[Confirmed_Qty],T_Shipments[Part Name],$A55,T_Shipments[Effective_Week],38))</f>
        <v/>
      </c>
      <c r="AN55">
        <f>IF(COUNTIF(Material_Detail!$DE:$DE,$A55)&gt;0,IF(ISNUMBER(SEARCH("[済]",INDEX(Material_Detail!$D:$DC,MATCH($A55,Material_Detail!$DE:$DE,0)+1,39))),0,IFERROR(INDEX(Material_Detail!$D:$DC,MATCH($A55,Material_Detail!$DE:$DE,0),39),0)),SUMIFS(T_Shipments[Confirmed_Qty],T_Shipments[Part Name],$A55,T_Shipments[Effective_Week],39))</f>
        <v/>
      </c>
      <c r="AO55">
        <f>IF(COUNTIF(Material_Detail!$DE:$DE,$A55)&gt;0,IF(ISNUMBER(SEARCH("[済]",INDEX(Material_Detail!$D:$DC,MATCH($A55,Material_Detail!$DE:$DE,0)+1,40))),0,IFERROR(INDEX(Material_Detail!$D:$DC,MATCH($A55,Material_Detail!$DE:$DE,0),40),0)),SUMIFS(T_Shipments[Confirmed_Qty],T_Shipments[Part Name],$A55,T_Shipments[Effective_Week],40))</f>
        <v/>
      </c>
      <c r="AP55">
        <f>IF(COUNTIF(Material_Detail!$DE:$DE,$A55)&gt;0,IF(ISNUMBER(SEARCH("[済]",INDEX(Material_Detail!$D:$DC,MATCH($A55,Material_Detail!$DE:$DE,0)+1,41))),0,IFERROR(INDEX(Material_Detail!$D:$DC,MATCH($A55,Material_Detail!$DE:$DE,0),41),0)),SUMIFS(T_Shipments[Confirmed_Qty],T_Shipments[Part Name],$A55,T_Shipments[Effective_Week],41))</f>
        <v/>
      </c>
      <c r="AQ55">
        <f>IF(COUNTIF(Material_Detail!$DE:$DE,$A55)&gt;0,IF(ISNUMBER(SEARCH("[済]",INDEX(Material_Detail!$D:$DC,MATCH($A55,Material_Detail!$DE:$DE,0)+1,42))),0,IFERROR(INDEX(Material_Detail!$D:$DC,MATCH($A55,Material_Detail!$DE:$DE,0),42),0)),SUMIFS(T_Shipments[Confirmed_Qty],T_Shipments[Part Name],$A55,T_Shipments[Effective_Week],42))</f>
        <v/>
      </c>
      <c r="AR55">
        <f>IF(COUNTIF(Material_Detail!$DE:$DE,$A55)&gt;0,IF(ISNUMBER(SEARCH("[済]",INDEX(Material_Detail!$D:$DC,MATCH($A55,Material_Detail!$DE:$DE,0)+1,43))),0,IFERROR(INDEX(Material_Detail!$D:$DC,MATCH($A55,Material_Detail!$DE:$DE,0),43),0)),SUMIFS(T_Shipments[Confirmed_Qty],T_Shipments[Part Name],$A55,T_Shipments[Effective_Week],43))</f>
        <v/>
      </c>
      <c r="AS55">
        <f>IF(COUNTIF(Material_Detail!$DE:$DE,$A55)&gt;0,IF(ISNUMBER(SEARCH("[済]",INDEX(Material_Detail!$D:$DC,MATCH($A55,Material_Detail!$DE:$DE,0)+1,44))),0,IFERROR(INDEX(Material_Detail!$D:$DC,MATCH($A55,Material_Detail!$DE:$DE,0),44),0)),SUMIFS(T_Shipments[Confirmed_Qty],T_Shipments[Part Name],$A55,T_Shipments[Effective_Week],44))</f>
        <v/>
      </c>
      <c r="AT55">
        <f>IF(COUNTIF(Material_Detail!$DE:$DE,$A55)&gt;0,IF(ISNUMBER(SEARCH("[済]",INDEX(Material_Detail!$D:$DC,MATCH($A55,Material_Detail!$DE:$DE,0)+1,45))),0,IFERROR(INDEX(Material_Detail!$D:$DC,MATCH($A55,Material_Detail!$DE:$DE,0),45),0)),SUMIFS(T_Shipments[Confirmed_Qty],T_Shipments[Part Name],$A55,T_Shipments[Effective_Week],45))</f>
        <v/>
      </c>
      <c r="AU55">
        <f>IF(COUNTIF(Material_Detail!$DE:$DE,$A55)&gt;0,IF(ISNUMBER(SEARCH("[済]",INDEX(Material_Detail!$D:$DC,MATCH($A55,Material_Detail!$DE:$DE,0)+1,46))),0,IFERROR(INDEX(Material_Detail!$D:$DC,MATCH($A55,Material_Detail!$DE:$DE,0),46),0)),SUMIFS(T_Shipments[Confirmed_Qty],T_Shipments[Part Name],$A55,T_Shipments[Effective_Week],46))</f>
        <v/>
      </c>
      <c r="AV55">
        <f>IF(COUNTIF(Material_Detail!$DE:$DE,$A55)&gt;0,IF(ISNUMBER(SEARCH("[済]",INDEX(Material_Detail!$D:$DC,MATCH($A55,Material_Detail!$DE:$DE,0)+1,47))),0,IFERROR(INDEX(Material_Detail!$D:$DC,MATCH($A55,Material_Detail!$DE:$DE,0),47),0)),SUMIFS(T_Shipments[Confirmed_Qty],T_Shipments[Part Name],$A55,T_Shipments[Effective_Week],47))</f>
        <v/>
      </c>
      <c r="AW55">
        <f>IF(COUNTIF(Material_Detail!$DE:$DE,$A55)&gt;0,IF(ISNUMBER(SEARCH("[済]",INDEX(Material_Detail!$D:$DC,MATCH($A55,Material_Detail!$DE:$DE,0)+1,48))),0,IFERROR(INDEX(Material_Detail!$D:$DC,MATCH($A55,Material_Detail!$DE:$DE,0),48),0)),SUMIFS(T_Shipments[Confirmed_Qty],T_Shipments[Part Name],$A55,T_Shipments[Effective_Week],48))</f>
        <v/>
      </c>
      <c r="AX55">
        <f>IF(COUNTIF(Material_Detail!$DE:$DE,$A55)&gt;0,IF(ISNUMBER(SEARCH("[済]",INDEX(Material_Detail!$D:$DC,MATCH($A55,Material_Detail!$DE:$DE,0)+1,49))),0,IFERROR(INDEX(Material_Detail!$D:$DC,MATCH($A55,Material_Detail!$DE:$DE,0),49),0)),SUMIFS(T_Shipments[Confirmed_Qty],T_Shipments[Part Name],$A55,T_Shipments[Effective_Week],49))</f>
        <v/>
      </c>
      <c r="AY55">
        <f>IF(COUNTIF(Material_Detail!$DE:$DE,$A55)&gt;0,IF(ISNUMBER(SEARCH("[済]",INDEX(Material_Detail!$D:$DC,MATCH($A55,Material_Detail!$DE:$DE,0)+1,50))),0,IFERROR(INDEX(Material_Detail!$D:$DC,MATCH($A55,Material_Detail!$DE:$DE,0),50),0)),SUMIFS(T_Shipments[Confirmed_Qty],T_Shipments[Part Name],$A55,T_Shipments[Effective_Week],50))</f>
        <v/>
      </c>
      <c r="AZ55">
        <f>IF(COUNTIF(Material_Detail!$DE:$DE,$A55)&gt;0,IF(ISNUMBER(SEARCH("[済]",INDEX(Material_Detail!$D:$DC,MATCH($A55,Material_Detail!$DE:$DE,0)+1,51))),0,IFERROR(INDEX(Material_Detail!$D:$DC,MATCH($A55,Material_Detail!$DE:$DE,0),51),0)),SUMIFS(T_Shipments[Confirmed_Qty],T_Shipments[Part Name],$A55,T_Shipments[Effective_Week],51))</f>
        <v/>
      </c>
      <c r="BA55">
        <f>IF(COUNTIF(Material_Detail!$DE:$DE,$A55)&gt;0,IF(ISNUMBER(SEARCH("[済]",INDEX(Material_Detail!$D:$DC,MATCH($A55,Material_Detail!$DE:$DE,0)+1,52))),0,IFERROR(INDEX(Material_Detail!$D:$DC,MATCH($A55,Material_Detail!$DE:$DE,0),52),0)),SUMIFS(T_Shipments[Confirmed_Qty],T_Shipments[Part Name],$A55,T_Shipments[Effective_Week],52))</f>
        <v/>
      </c>
      <c r="BB55">
        <f>IF(COUNTIF(Material_Detail!$DE:$DE,$A55)&gt;0,IF(ISNUMBER(SEARCH("[済]",INDEX(Material_Detail!$D:$DC,MATCH($A55,Material_Detail!$DE:$DE,0)+1,53))),0,IFERROR(INDEX(Material_Detail!$D:$DC,MATCH($A55,Material_Detail!$DE:$DE,0),53),0)),SUMIFS(T_Shipments[Confirmed_Qty],T_Shipments[Part Name],$A55,T_Shipments[Effective_Week],53))</f>
        <v/>
      </c>
      <c r="BC55">
        <f>IF(COUNTIF(Material_Detail!$DE:$DE,$A55)&gt;0,IF(ISNUMBER(SEARCH("[済]",INDEX(Material_Detail!$D:$DC,MATCH($A55,Material_Detail!$DE:$DE,0)+1,54))),0,IFERROR(INDEX(Material_Detail!$D:$DC,MATCH($A55,Material_Detail!$DE:$DE,0),54),0)),SUMIFS(T_Shipments[Confirmed_Qty],T_Shipments[Part Name],$A55,T_Shipments[Effective_Week],54))</f>
        <v/>
      </c>
      <c r="BD55">
        <f>IF(COUNTIF(Material_Detail!$DE:$DE,$A55)&gt;0,IF(ISNUMBER(SEARCH("[済]",INDEX(Material_Detail!$D:$DC,MATCH($A55,Material_Detail!$DE:$DE,0)+1,55))),0,IFERROR(INDEX(Material_Detail!$D:$DC,MATCH($A55,Material_Detail!$DE:$DE,0),55),0)),SUMIFS(T_Shipments[Confirmed_Qty],T_Shipments[Part Name],$A55,T_Shipments[Effective_Week],55))</f>
        <v/>
      </c>
      <c r="BE55">
        <f>IF(COUNTIF(Material_Detail!$DE:$DE,$A55)&gt;0,IF(ISNUMBER(SEARCH("[済]",INDEX(Material_Detail!$D:$DC,MATCH($A55,Material_Detail!$DE:$DE,0)+1,56))),0,IFERROR(INDEX(Material_Detail!$D:$DC,MATCH($A55,Material_Detail!$DE:$DE,0),56),0)),SUMIFS(T_Shipments[Confirmed_Qty],T_Shipments[Part Name],$A55,T_Shipments[Effective_Week],56))</f>
        <v/>
      </c>
      <c r="BF55">
        <f>IF(COUNTIF(Material_Detail!$DE:$DE,$A55)&gt;0,IF(ISNUMBER(SEARCH("[済]",INDEX(Material_Detail!$D:$DC,MATCH($A55,Material_Detail!$DE:$DE,0)+1,57))),0,IFERROR(INDEX(Material_Detail!$D:$DC,MATCH($A55,Material_Detail!$DE:$DE,0),57),0)),SUMIFS(T_Shipments[Confirmed_Qty],T_Shipments[Part Name],$A55,T_Shipments[Effective_Week],57))</f>
        <v/>
      </c>
      <c r="BG55">
        <f>IF(COUNTIF(Material_Detail!$DE:$DE,$A55)&gt;0,IF(ISNUMBER(SEARCH("[済]",INDEX(Material_Detail!$D:$DC,MATCH($A55,Material_Detail!$DE:$DE,0)+1,58))),0,IFERROR(INDEX(Material_Detail!$D:$DC,MATCH($A55,Material_Detail!$DE:$DE,0),58),0)),SUMIFS(T_Shipments[Confirmed_Qty],T_Shipments[Part Name],$A55,T_Shipments[Effective_Week],58))</f>
        <v/>
      </c>
      <c r="BH55">
        <f>IF(COUNTIF(Material_Detail!$DE:$DE,$A55)&gt;0,IF(ISNUMBER(SEARCH("[済]",INDEX(Material_Detail!$D:$DC,MATCH($A55,Material_Detail!$DE:$DE,0)+1,59))),0,IFERROR(INDEX(Material_Detail!$D:$DC,MATCH($A55,Material_Detail!$DE:$DE,0),59),0)),SUMIFS(T_Shipments[Confirmed_Qty],T_Shipments[Part Name],$A55,T_Shipments[Effective_Week],59))</f>
        <v/>
      </c>
      <c r="BI55">
        <f>IF(COUNTIF(Material_Detail!$DE:$DE,$A55)&gt;0,IF(ISNUMBER(SEARCH("[済]",INDEX(Material_Detail!$D:$DC,MATCH($A55,Material_Detail!$DE:$DE,0)+1,60))),0,IFERROR(INDEX(Material_Detail!$D:$DC,MATCH($A55,Material_Detail!$DE:$DE,0),60),0)),SUMIFS(T_Shipments[Confirmed_Qty],T_Shipments[Part Name],$A55,T_Shipments[Effective_Week],60))</f>
        <v/>
      </c>
      <c r="BJ55">
        <f>IF(COUNTIF(Material_Detail!$DE:$DE,$A55)&gt;0,IF(ISNUMBER(SEARCH("[済]",INDEX(Material_Detail!$D:$DC,MATCH($A55,Material_Detail!$DE:$DE,0)+1,61))),0,IFERROR(INDEX(Material_Detail!$D:$DC,MATCH($A55,Material_Detail!$DE:$DE,0),61),0)),SUMIFS(T_Shipments[Confirmed_Qty],T_Shipments[Part Name],$A55,T_Shipments[Effective_Week],61))</f>
        <v/>
      </c>
      <c r="BK55">
        <f>IF(COUNTIF(Material_Detail!$DE:$DE,$A55)&gt;0,IF(ISNUMBER(SEARCH("[済]",INDEX(Material_Detail!$D:$DC,MATCH($A55,Material_Detail!$DE:$DE,0)+1,62))),0,IFERROR(INDEX(Material_Detail!$D:$DC,MATCH($A55,Material_Detail!$DE:$DE,0),62),0)),SUMIFS(T_Shipments[Confirmed_Qty],T_Shipments[Part Name],$A55,T_Shipments[Effective_Week],62))</f>
        <v/>
      </c>
      <c r="BL55">
        <f>IF(COUNTIF(Material_Detail!$DE:$DE,$A55)&gt;0,IF(ISNUMBER(SEARCH("[済]",INDEX(Material_Detail!$D:$DC,MATCH($A55,Material_Detail!$DE:$DE,0)+1,63))),0,IFERROR(INDEX(Material_Detail!$D:$DC,MATCH($A55,Material_Detail!$DE:$DE,0),63),0)),SUMIFS(T_Shipments[Confirmed_Qty],T_Shipments[Part Name],$A55,T_Shipments[Effective_Week],63))</f>
        <v/>
      </c>
      <c r="BM55">
        <f>IF(COUNTIF(Material_Detail!$DE:$DE,$A55)&gt;0,IF(ISNUMBER(SEARCH("[済]",INDEX(Material_Detail!$D:$DC,MATCH($A55,Material_Detail!$DE:$DE,0)+1,64))),0,IFERROR(INDEX(Material_Detail!$D:$DC,MATCH($A55,Material_Detail!$DE:$DE,0),64),0)),SUMIFS(T_Shipments[Confirmed_Qty],T_Shipments[Part Name],$A55,T_Shipments[Effective_Week],64))</f>
        <v/>
      </c>
      <c r="BN55">
        <f>IF(COUNTIF(Material_Detail!$DE:$DE,$A55)&gt;0,IF(ISNUMBER(SEARCH("[済]",INDEX(Material_Detail!$D:$DC,MATCH($A55,Material_Detail!$DE:$DE,0)+1,65))),0,IFERROR(INDEX(Material_Detail!$D:$DC,MATCH($A55,Material_Detail!$DE:$DE,0),65),0)),SUMIFS(T_Shipments[Confirmed_Qty],T_Shipments[Part Name],$A55,T_Shipments[Effective_Week],65))</f>
        <v/>
      </c>
      <c r="BO55">
        <f>IF(COUNTIF(Material_Detail!$DE:$DE,$A55)&gt;0,IF(ISNUMBER(SEARCH("[済]",INDEX(Material_Detail!$D:$DC,MATCH($A55,Material_Detail!$DE:$DE,0)+1,66))),0,IFERROR(INDEX(Material_Detail!$D:$DC,MATCH($A55,Material_Detail!$DE:$DE,0),66),0)),SUMIFS(T_Shipments[Confirmed_Qty],T_Shipments[Part Name],$A55,T_Shipments[Effective_Week],66))</f>
        <v/>
      </c>
      <c r="BP55">
        <f>IF(COUNTIF(Material_Detail!$DE:$DE,$A55)&gt;0,IF(ISNUMBER(SEARCH("[済]",INDEX(Material_Detail!$D:$DC,MATCH($A55,Material_Detail!$DE:$DE,0)+1,67))),0,IFERROR(INDEX(Material_Detail!$D:$DC,MATCH($A55,Material_Detail!$DE:$DE,0),67),0)),SUMIFS(T_Shipments[Confirmed_Qty],T_Shipments[Part Name],$A55,T_Shipments[Effective_Week],67))</f>
        <v/>
      </c>
      <c r="BQ55">
        <f>IF(COUNTIF(Material_Detail!$DE:$DE,$A55)&gt;0,IF(ISNUMBER(SEARCH("[済]",INDEX(Material_Detail!$D:$DC,MATCH($A55,Material_Detail!$DE:$DE,0)+1,68))),0,IFERROR(INDEX(Material_Detail!$D:$DC,MATCH($A55,Material_Detail!$DE:$DE,0),68),0)),SUMIFS(T_Shipments[Confirmed_Qty],T_Shipments[Part Name],$A55,T_Shipments[Effective_Week],68))</f>
        <v/>
      </c>
      <c r="BR55">
        <f>IF(COUNTIF(Material_Detail!$DE:$DE,$A55)&gt;0,IF(ISNUMBER(SEARCH("[済]",INDEX(Material_Detail!$D:$DC,MATCH($A55,Material_Detail!$DE:$DE,0)+1,69))),0,IFERROR(INDEX(Material_Detail!$D:$DC,MATCH($A55,Material_Detail!$DE:$DE,0),69),0)),SUMIFS(T_Shipments[Confirmed_Qty],T_Shipments[Part Name],$A55,T_Shipments[Effective_Week],69))</f>
        <v/>
      </c>
      <c r="BS55">
        <f>IF(COUNTIF(Material_Detail!$DE:$DE,$A55)&gt;0,IF(ISNUMBER(SEARCH("[済]",INDEX(Material_Detail!$D:$DC,MATCH($A55,Material_Detail!$DE:$DE,0)+1,70))),0,IFERROR(INDEX(Material_Detail!$D:$DC,MATCH($A55,Material_Detail!$DE:$DE,0),70),0)),SUMIFS(T_Shipments[Confirmed_Qty],T_Shipments[Part Name],$A55,T_Shipments[Effective_Week],70))</f>
        <v/>
      </c>
      <c r="BT55">
        <f>IF(COUNTIF(Material_Detail!$DE:$DE,$A55)&gt;0,IF(ISNUMBER(SEARCH("[済]",INDEX(Material_Detail!$D:$DC,MATCH($A55,Material_Detail!$DE:$DE,0)+1,71))),0,IFERROR(INDEX(Material_Detail!$D:$DC,MATCH($A55,Material_Detail!$DE:$DE,0),71),0)),SUMIFS(T_Shipments[Confirmed_Qty],T_Shipments[Part Name],$A55,T_Shipments[Effective_Week],71))</f>
        <v/>
      </c>
      <c r="BU55">
        <f>IF(COUNTIF(Material_Detail!$DE:$DE,$A55)&gt;0,IF(ISNUMBER(SEARCH("[済]",INDEX(Material_Detail!$D:$DC,MATCH($A55,Material_Detail!$DE:$DE,0)+1,72))),0,IFERROR(INDEX(Material_Detail!$D:$DC,MATCH($A55,Material_Detail!$DE:$DE,0),72),0)),SUMIFS(T_Shipments[Confirmed_Qty],T_Shipments[Part Name],$A55,T_Shipments[Effective_Week],72))</f>
        <v/>
      </c>
      <c r="BV55">
        <f>IF(COUNTIF(Material_Detail!$DE:$DE,$A55)&gt;0,IF(ISNUMBER(SEARCH("[済]",INDEX(Material_Detail!$D:$DC,MATCH($A55,Material_Detail!$DE:$DE,0)+1,73))),0,IFERROR(INDEX(Material_Detail!$D:$DC,MATCH($A55,Material_Detail!$DE:$DE,0),73),0)),SUMIFS(T_Shipments[Confirmed_Qty],T_Shipments[Part Name],$A55,T_Shipments[Effective_Week],73))</f>
        <v/>
      </c>
      <c r="BW55">
        <f>IF(COUNTIF(Material_Detail!$DE:$DE,$A55)&gt;0,IF(ISNUMBER(SEARCH("[済]",INDEX(Material_Detail!$D:$DC,MATCH($A55,Material_Detail!$DE:$DE,0)+1,74))),0,IFERROR(INDEX(Material_Detail!$D:$DC,MATCH($A55,Material_Detail!$DE:$DE,0),74),0)),SUMIFS(T_Shipments[Confirmed_Qty],T_Shipments[Part Name],$A55,T_Shipments[Effective_Week],74))</f>
        <v/>
      </c>
      <c r="BX55">
        <f>IF(COUNTIF(Material_Detail!$DE:$DE,$A55)&gt;0,IF(ISNUMBER(SEARCH("[済]",INDEX(Material_Detail!$D:$DC,MATCH($A55,Material_Detail!$DE:$DE,0)+1,75))),0,IFERROR(INDEX(Material_Detail!$D:$DC,MATCH($A55,Material_Detail!$DE:$DE,0),75),0)),SUMIFS(T_Shipments[Confirmed_Qty],T_Shipments[Part Name],$A55,T_Shipments[Effective_Week],75))</f>
        <v/>
      </c>
      <c r="BY55">
        <f>IF(COUNTIF(Material_Detail!$DE:$DE,$A55)&gt;0,IF(ISNUMBER(SEARCH("[済]",INDEX(Material_Detail!$D:$DC,MATCH($A55,Material_Detail!$DE:$DE,0)+1,76))),0,IFERROR(INDEX(Material_Detail!$D:$DC,MATCH($A55,Material_Detail!$DE:$DE,0),76),0)),SUMIFS(T_Shipments[Confirmed_Qty],T_Shipments[Part Name],$A55,T_Shipments[Effective_Week],76))</f>
        <v/>
      </c>
      <c r="BZ55">
        <f>IF(COUNTIF(Material_Detail!$DE:$DE,$A55)&gt;0,IF(ISNUMBER(SEARCH("[済]",INDEX(Material_Detail!$D:$DC,MATCH($A55,Material_Detail!$DE:$DE,0)+1,77))),0,IFERROR(INDEX(Material_Detail!$D:$DC,MATCH($A55,Material_Detail!$DE:$DE,0),77),0)),SUMIFS(T_Shipments[Confirmed_Qty],T_Shipments[Part Name],$A55,T_Shipments[Effective_Week],77))</f>
        <v/>
      </c>
      <c r="CA55">
        <f>IF(COUNTIF(Material_Detail!$DE:$DE,$A55)&gt;0,IF(ISNUMBER(SEARCH("[済]",INDEX(Material_Detail!$D:$DC,MATCH($A55,Material_Detail!$DE:$DE,0)+1,78))),0,IFERROR(INDEX(Material_Detail!$D:$DC,MATCH($A55,Material_Detail!$DE:$DE,0),78),0)),SUMIFS(T_Shipments[Confirmed_Qty],T_Shipments[Part Name],$A55,T_Shipments[Effective_Week],78))</f>
        <v/>
      </c>
      <c r="CB55">
        <f>IF(COUNTIF(Material_Detail!$DE:$DE,$A55)&gt;0,IF(ISNUMBER(SEARCH("[済]",INDEX(Material_Detail!$D:$DC,MATCH($A55,Material_Detail!$DE:$DE,0)+1,79))),0,IFERROR(INDEX(Material_Detail!$D:$DC,MATCH($A55,Material_Detail!$DE:$DE,0),79),0)),SUMIFS(T_Shipments[Confirmed_Qty],T_Shipments[Part Name],$A55,T_Shipments[Effective_Week],79))</f>
        <v/>
      </c>
      <c r="CC55">
        <f>IF(COUNTIF(Material_Detail!$DE:$DE,$A55)&gt;0,IF(ISNUMBER(SEARCH("[済]",INDEX(Material_Detail!$D:$DC,MATCH($A55,Material_Detail!$DE:$DE,0)+1,80))),0,IFERROR(INDEX(Material_Detail!$D:$DC,MATCH($A55,Material_Detail!$DE:$DE,0),80),0)),SUMIFS(T_Shipments[Confirmed_Qty],T_Shipments[Part Name],$A55,T_Shipments[Effective_Week],80))</f>
        <v/>
      </c>
      <c r="CD55">
        <f>IF(COUNTIF(Material_Detail!$DE:$DE,$A55)&gt;0,IF(ISNUMBER(SEARCH("[済]",INDEX(Material_Detail!$D:$DC,MATCH($A55,Material_Detail!$DE:$DE,0)+1,81))),0,IFERROR(INDEX(Material_Detail!$D:$DC,MATCH($A55,Material_Detail!$DE:$DE,0),81),0)),SUMIFS(T_Shipments[Confirmed_Qty],T_Shipments[Part Name],$A55,T_Shipments[Effective_Week],81))</f>
        <v/>
      </c>
      <c r="CE55">
        <f>IF(COUNTIF(Material_Detail!$DE:$DE,$A55)&gt;0,IF(ISNUMBER(SEARCH("[済]",INDEX(Material_Detail!$D:$DC,MATCH($A55,Material_Detail!$DE:$DE,0)+1,82))),0,IFERROR(INDEX(Material_Detail!$D:$DC,MATCH($A55,Material_Detail!$DE:$DE,0),82),0)),SUMIFS(T_Shipments[Confirmed_Qty],T_Shipments[Part Name],$A55,T_Shipments[Effective_Week],82))</f>
        <v/>
      </c>
      <c r="CF55">
        <f>IF(COUNTIF(Material_Detail!$DE:$DE,$A55)&gt;0,IF(ISNUMBER(SEARCH("[済]",INDEX(Material_Detail!$D:$DC,MATCH($A55,Material_Detail!$DE:$DE,0)+1,83))),0,IFERROR(INDEX(Material_Detail!$D:$DC,MATCH($A55,Material_Detail!$DE:$DE,0),83),0)),SUMIFS(T_Shipments[Confirmed_Qty],T_Shipments[Part Name],$A55,T_Shipments[Effective_Week],83))</f>
        <v/>
      </c>
      <c r="CG55">
        <f>IF(COUNTIF(Material_Detail!$DE:$DE,$A55)&gt;0,IF(ISNUMBER(SEARCH("[済]",INDEX(Material_Detail!$D:$DC,MATCH($A55,Material_Detail!$DE:$DE,0)+1,84))),0,IFERROR(INDEX(Material_Detail!$D:$DC,MATCH($A55,Material_Detail!$DE:$DE,0),84),0)),SUMIFS(T_Shipments[Confirmed_Qty],T_Shipments[Part Name],$A55,T_Shipments[Effective_Week],84))</f>
        <v/>
      </c>
      <c r="CH55">
        <f>IF(COUNTIF(Material_Detail!$DE:$DE,$A55)&gt;0,IF(ISNUMBER(SEARCH("[済]",INDEX(Material_Detail!$D:$DC,MATCH($A55,Material_Detail!$DE:$DE,0)+1,85))),0,IFERROR(INDEX(Material_Detail!$D:$DC,MATCH($A55,Material_Detail!$DE:$DE,0),85),0)),SUMIFS(T_Shipments[Confirmed_Qty],T_Shipments[Part Name],$A55,T_Shipments[Effective_Week],85))</f>
        <v/>
      </c>
      <c r="CI55">
        <f>IF(COUNTIF(Material_Detail!$DE:$DE,$A55)&gt;0,IF(ISNUMBER(SEARCH("[済]",INDEX(Material_Detail!$D:$DC,MATCH($A55,Material_Detail!$DE:$DE,0)+1,86))),0,IFERROR(INDEX(Material_Detail!$D:$DC,MATCH($A55,Material_Detail!$DE:$DE,0),86),0)),SUMIFS(T_Shipments[Confirmed_Qty],T_Shipments[Part Name],$A55,T_Shipments[Effective_Week],86))</f>
        <v/>
      </c>
      <c r="CJ55">
        <f>IF(COUNTIF(Material_Detail!$DE:$DE,$A55)&gt;0,IF(ISNUMBER(SEARCH("[済]",INDEX(Material_Detail!$D:$DC,MATCH($A55,Material_Detail!$DE:$DE,0)+1,87))),0,IFERROR(INDEX(Material_Detail!$D:$DC,MATCH($A55,Material_Detail!$DE:$DE,0),87),0)),SUMIFS(T_Shipments[Confirmed_Qty],T_Shipments[Part Name],$A55,T_Shipments[Effective_Week],87))</f>
        <v/>
      </c>
      <c r="CK55">
        <f>IF(COUNTIF(Material_Detail!$DE:$DE,$A55)&gt;0,IF(ISNUMBER(SEARCH("[済]",INDEX(Material_Detail!$D:$DC,MATCH($A55,Material_Detail!$DE:$DE,0)+1,88))),0,IFERROR(INDEX(Material_Detail!$D:$DC,MATCH($A55,Material_Detail!$DE:$DE,0),88),0)),SUMIFS(T_Shipments[Confirmed_Qty],T_Shipments[Part Name],$A55,T_Shipments[Effective_Week],88))</f>
        <v/>
      </c>
      <c r="CL55">
        <f>IF(COUNTIF(Material_Detail!$DE:$DE,$A55)&gt;0,IF(ISNUMBER(SEARCH("[済]",INDEX(Material_Detail!$D:$DC,MATCH($A55,Material_Detail!$DE:$DE,0)+1,89))),0,IFERROR(INDEX(Material_Detail!$D:$DC,MATCH($A55,Material_Detail!$DE:$DE,0),89),0)),SUMIFS(T_Shipments[Confirmed_Qty],T_Shipments[Part Name],$A55,T_Shipments[Effective_Week],89))</f>
        <v/>
      </c>
      <c r="CM55">
        <f>IF(COUNTIF(Material_Detail!$DE:$DE,$A55)&gt;0,IF(ISNUMBER(SEARCH("[済]",INDEX(Material_Detail!$D:$DC,MATCH($A55,Material_Detail!$DE:$DE,0)+1,90))),0,IFERROR(INDEX(Material_Detail!$D:$DC,MATCH($A55,Material_Detail!$DE:$DE,0),90),0)),SUMIFS(T_Shipments[Confirmed_Qty],T_Shipments[Part Name],$A55,T_Shipments[Effective_Week],90))</f>
        <v/>
      </c>
      <c r="CN55">
        <f>IF(COUNTIF(Material_Detail!$DE:$DE,$A55)&gt;0,IF(ISNUMBER(SEARCH("[済]",INDEX(Material_Detail!$D:$DC,MATCH($A55,Material_Detail!$DE:$DE,0)+1,91))),0,IFERROR(INDEX(Material_Detail!$D:$DC,MATCH($A55,Material_Detail!$DE:$DE,0),91),0)),SUMIFS(T_Shipments[Confirmed_Qty],T_Shipments[Part Name],$A55,T_Shipments[Effective_Week],91))</f>
        <v/>
      </c>
      <c r="CO55">
        <f>IF(COUNTIF(Material_Detail!$DE:$DE,$A55)&gt;0,IF(ISNUMBER(SEARCH("[済]",INDEX(Material_Detail!$D:$DC,MATCH($A55,Material_Detail!$DE:$DE,0)+1,92))),0,IFERROR(INDEX(Material_Detail!$D:$DC,MATCH($A55,Material_Detail!$DE:$DE,0),92),0)),SUMIFS(T_Shipments[Confirmed_Qty],T_Shipments[Part Name],$A55,T_Shipments[Effective_Week],92))</f>
        <v/>
      </c>
      <c r="CP55">
        <f>IF(COUNTIF(Material_Detail!$DE:$DE,$A55)&gt;0,IF(ISNUMBER(SEARCH("[済]",INDEX(Material_Detail!$D:$DC,MATCH($A55,Material_Detail!$DE:$DE,0)+1,93))),0,IFERROR(INDEX(Material_Detail!$D:$DC,MATCH($A55,Material_Detail!$DE:$DE,0),93),0)),SUMIFS(T_Shipments[Confirmed_Qty],T_Shipments[Part Name],$A55,T_Shipments[Effective_Week],93))</f>
        <v/>
      </c>
      <c r="CQ55">
        <f>IF(COUNTIF(Material_Detail!$DE:$DE,$A55)&gt;0,IF(ISNUMBER(SEARCH("[済]",INDEX(Material_Detail!$D:$DC,MATCH($A55,Material_Detail!$DE:$DE,0)+1,94))),0,IFERROR(INDEX(Material_Detail!$D:$DC,MATCH($A55,Material_Detail!$DE:$DE,0),94),0)),SUMIFS(T_Shipments[Confirmed_Qty],T_Shipments[Part Name],$A55,T_Shipments[Effective_Week],94))</f>
        <v/>
      </c>
      <c r="CR55">
        <f>IF(COUNTIF(Material_Detail!$DE:$DE,$A55)&gt;0,IF(ISNUMBER(SEARCH("[済]",INDEX(Material_Detail!$D:$DC,MATCH($A55,Material_Detail!$DE:$DE,0)+1,95))),0,IFERROR(INDEX(Material_Detail!$D:$DC,MATCH($A55,Material_Detail!$DE:$DE,0),95),0)),SUMIFS(T_Shipments[Confirmed_Qty],T_Shipments[Part Name],$A55,T_Shipments[Effective_Week],95))</f>
        <v/>
      </c>
      <c r="CS55">
        <f>IF(COUNTIF(Material_Detail!$DE:$DE,$A55)&gt;0,IF(ISNUMBER(SEARCH("[済]",INDEX(Material_Detail!$D:$DC,MATCH($A55,Material_Detail!$DE:$DE,0)+1,96))),0,IFERROR(INDEX(Material_Detail!$D:$DC,MATCH($A55,Material_Detail!$DE:$DE,0),96),0)),SUMIFS(T_Shipments[Confirmed_Qty],T_Shipments[Part Name],$A55,T_Shipments[Effective_Week],96))</f>
        <v/>
      </c>
      <c r="CT55">
        <f>IF(COUNTIF(Material_Detail!$DE:$DE,$A55)&gt;0,IF(ISNUMBER(SEARCH("[済]",INDEX(Material_Detail!$D:$DC,MATCH($A55,Material_Detail!$DE:$DE,0)+1,97))),0,IFERROR(INDEX(Material_Detail!$D:$DC,MATCH($A55,Material_Detail!$DE:$DE,0),97),0)),SUMIFS(T_Shipments[Confirmed_Qty],T_Shipments[Part Name],$A55,T_Shipments[Effective_Week],97))</f>
        <v/>
      </c>
      <c r="CU55">
        <f>IF(COUNTIF(Material_Detail!$DE:$DE,$A55)&gt;0,IF(ISNUMBER(SEARCH("[済]",INDEX(Material_Detail!$D:$DC,MATCH($A55,Material_Detail!$DE:$DE,0)+1,98))),0,IFERROR(INDEX(Material_Detail!$D:$DC,MATCH($A55,Material_Detail!$DE:$DE,0),98),0)),SUMIFS(T_Shipments[Confirmed_Qty],T_Shipments[Part Name],$A55,T_Shipments[Effective_Week],98))</f>
        <v/>
      </c>
      <c r="CV55">
        <f>IF(COUNTIF(Material_Detail!$DE:$DE,$A55)&gt;0,IF(ISNUMBER(SEARCH("[済]",INDEX(Material_Detail!$D:$DC,MATCH($A55,Material_Detail!$DE:$DE,0)+1,99))),0,IFERROR(INDEX(Material_Detail!$D:$DC,MATCH($A55,Material_Detail!$DE:$DE,0),99),0)),SUMIFS(T_Shipments[Confirmed_Qty],T_Shipments[Part Name],$A55,T_Shipments[Effective_Week],99))</f>
        <v/>
      </c>
      <c r="CW55">
        <f>IF(COUNTIF(Material_Detail!$DE:$DE,$A55)&gt;0,IF(ISNUMBER(SEARCH("[済]",INDEX(Material_Detail!$D:$DC,MATCH($A55,Material_Detail!$DE:$DE,0)+1,100))),0,IFERROR(INDEX(Material_Detail!$D:$DC,MATCH($A55,Material_Detail!$DE:$DE,0),100),0)),SUMIFS(T_Shipments[Confirmed_Qty],T_Shipments[Part Name],$A55,T_Shipments[Effective_Week],100))</f>
        <v/>
      </c>
      <c r="CX55">
        <f>IF(COUNTIF(Material_Detail!$DE:$DE,$A55)&gt;0,IF(ISNUMBER(SEARCH("[済]",INDEX(Material_Detail!$D:$DC,MATCH($A55,Material_Detail!$DE:$DE,0)+1,101))),0,IFERROR(INDEX(Material_Detail!$D:$DC,MATCH($A55,Material_Detail!$DE:$DE,0),101),0)),SUMIFS(T_Shipments[Confirmed_Qty],T_Shipments[Part Name],$A55,T_Shipments[Effective_Week],101))</f>
        <v/>
      </c>
      <c r="CY55">
        <f>IF(COUNTIF(Material_Detail!$DE:$DE,$A55)&gt;0,IF(ISNUMBER(SEARCH("[済]",INDEX(Material_Detail!$D:$DC,MATCH($A55,Material_Detail!$DE:$DE,0)+1,102))),0,IFERROR(INDEX(Material_Detail!$D:$DC,MATCH($A55,Material_Detail!$DE:$DE,0),102),0)),SUMIFS(T_Shipments[Confirmed_Qty],T_Shipments[Part Name],$A55,T_Shipments[Effective_Week],102))</f>
        <v/>
      </c>
      <c r="CZ55">
        <f>IF(COUNTIF(Material_Detail!$DE:$DE,$A55)&gt;0,IF(ISNUMBER(SEARCH("[済]",INDEX(Material_Detail!$D:$DC,MATCH($A55,Material_Detail!$DE:$DE,0)+1,103))),0,IFERROR(INDEX(Material_Detail!$D:$DC,MATCH($A55,Material_Detail!$DE:$DE,0),103),0)),SUMIFS(T_Shipments[Confirmed_Qty],T_Shipments[Part Name],$A55,T_Shipments[Effective_Week],103))</f>
        <v/>
      </c>
      <c r="DA55">
        <f>IF(COUNTIF(Material_Detail!$DE:$DE,$A55)&gt;0,IF(ISNUMBER(SEARCH("[済]",INDEX(Material_Detail!$D:$DC,MATCH($A55,Material_Detail!$DE:$DE,0)+1,104))),0,IFERROR(INDEX(Material_Detail!$D:$DC,MATCH($A55,Material_Detail!$DE:$DE,0),104),0)),SUMIFS(T_Shipments[Confirmed_Qty],T_Shipments[Part Name],$A55,T_Shipments[Effective_Week],104))</f>
        <v/>
      </c>
    </row>
    <row r="56">
      <c r="A56" t="inlineStr">
        <is>
          <t>PP Film</t>
        </is>
      </c>
      <c r="B56">
        <f>IF(COUNTIF(Material_Detail!$DE:$DE,$A56)&gt;0,IF(ISNUMBER(SEARCH("[済]",INDEX(Material_Detail!$D:$DC,MATCH($A56,Material_Detail!$DE:$DE,0)+1,1))),0,IFERROR(INDEX(Material_Detail!$D:$DC,MATCH($A56,Material_Detail!$DE:$DE,0),1),0)),SUMIFS(T_Shipments[Confirmed_Qty],T_Shipments[Part Name],$A56,T_Shipments[Effective_Week],1))</f>
        <v/>
      </c>
      <c r="C56">
        <f>IF(COUNTIF(Material_Detail!$DE:$DE,$A56)&gt;0,IF(ISNUMBER(SEARCH("[済]",INDEX(Material_Detail!$D:$DC,MATCH($A56,Material_Detail!$DE:$DE,0)+1,2))),0,IFERROR(INDEX(Material_Detail!$D:$DC,MATCH($A56,Material_Detail!$DE:$DE,0),2),0)),SUMIFS(T_Shipments[Confirmed_Qty],T_Shipments[Part Name],$A56,T_Shipments[Effective_Week],2))</f>
        <v/>
      </c>
      <c r="D56">
        <f>IF(COUNTIF(Material_Detail!$DE:$DE,$A56)&gt;0,IF(ISNUMBER(SEARCH("[済]",INDEX(Material_Detail!$D:$DC,MATCH($A56,Material_Detail!$DE:$DE,0)+1,3))),0,IFERROR(INDEX(Material_Detail!$D:$DC,MATCH($A56,Material_Detail!$DE:$DE,0),3),0)),SUMIFS(T_Shipments[Confirmed_Qty],T_Shipments[Part Name],$A56,T_Shipments[Effective_Week],3))</f>
        <v/>
      </c>
      <c r="E56">
        <f>IF(COUNTIF(Material_Detail!$DE:$DE,$A56)&gt;0,IF(ISNUMBER(SEARCH("[済]",INDEX(Material_Detail!$D:$DC,MATCH($A56,Material_Detail!$DE:$DE,0)+1,4))),0,IFERROR(INDEX(Material_Detail!$D:$DC,MATCH($A56,Material_Detail!$DE:$DE,0),4),0)),SUMIFS(T_Shipments[Confirmed_Qty],T_Shipments[Part Name],$A56,T_Shipments[Effective_Week],4))</f>
        <v/>
      </c>
      <c r="F56">
        <f>IF(COUNTIF(Material_Detail!$DE:$DE,$A56)&gt;0,IF(ISNUMBER(SEARCH("[済]",INDEX(Material_Detail!$D:$DC,MATCH($A56,Material_Detail!$DE:$DE,0)+1,5))),0,IFERROR(INDEX(Material_Detail!$D:$DC,MATCH($A56,Material_Detail!$DE:$DE,0),5),0)),SUMIFS(T_Shipments[Confirmed_Qty],T_Shipments[Part Name],$A56,T_Shipments[Effective_Week],5))</f>
        <v/>
      </c>
      <c r="G56">
        <f>IF(COUNTIF(Material_Detail!$DE:$DE,$A56)&gt;0,IF(ISNUMBER(SEARCH("[済]",INDEX(Material_Detail!$D:$DC,MATCH($A56,Material_Detail!$DE:$DE,0)+1,6))),0,IFERROR(INDEX(Material_Detail!$D:$DC,MATCH($A56,Material_Detail!$DE:$DE,0),6),0)),SUMIFS(T_Shipments[Confirmed_Qty],T_Shipments[Part Name],$A56,T_Shipments[Effective_Week],6))</f>
        <v/>
      </c>
      <c r="H56">
        <f>IF(COUNTIF(Material_Detail!$DE:$DE,$A56)&gt;0,IF(ISNUMBER(SEARCH("[済]",INDEX(Material_Detail!$D:$DC,MATCH($A56,Material_Detail!$DE:$DE,0)+1,7))),0,IFERROR(INDEX(Material_Detail!$D:$DC,MATCH($A56,Material_Detail!$DE:$DE,0),7),0)),SUMIFS(T_Shipments[Confirmed_Qty],T_Shipments[Part Name],$A56,T_Shipments[Effective_Week],7))</f>
        <v/>
      </c>
      <c r="I56">
        <f>IF(COUNTIF(Material_Detail!$DE:$DE,$A56)&gt;0,IF(ISNUMBER(SEARCH("[済]",INDEX(Material_Detail!$D:$DC,MATCH($A56,Material_Detail!$DE:$DE,0)+1,8))),0,IFERROR(INDEX(Material_Detail!$D:$DC,MATCH($A56,Material_Detail!$DE:$DE,0),8),0)),SUMIFS(T_Shipments[Confirmed_Qty],T_Shipments[Part Name],$A56,T_Shipments[Effective_Week],8))</f>
        <v/>
      </c>
      <c r="J56">
        <f>IF(COUNTIF(Material_Detail!$DE:$DE,$A56)&gt;0,IF(ISNUMBER(SEARCH("[済]",INDEX(Material_Detail!$D:$DC,MATCH($A56,Material_Detail!$DE:$DE,0)+1,9))),0,IFERROR(INDEX(Material_Detail!$D:$DC,MATCH($A56,Material_Detail!$DE:$DE,0),9),0)),SUMIFS(T_Shipments[Confirmed_Qty],T_Shipments[Part Name],$A56,T_Shipments[Effective_Week],9))</f>
        <v/>
      </c>
      <c r="K56">
        <f>IF(COUNTIF(Material_Detail!$DE:$DE,$A56)&gt;0,IF(ISNUMBER(SEARCH("[済]",INDEX(Material_Detail!$D:$DC,MATCH($A56,Material_Detail!$DE:$DE,0)+1,10))),0,IFERROR(INDEX(Material_Detail!$D:$DC,MATCH($A56,Material_Detail!$DE:$DE,0),10),0)),SUMIFS(T_Shipments[Confirmed_Qty],T_Shipments[Part Name],$A56,T_Shipments[Effective_Week],10))</f>
        <v/>
      </c>
      <c r="L56">
        <f>IF(COUNTIF(Material_Detail!$DE:$DE,$A56)&gt;0,IF(ISNUMBER(SEARCH("[済]",INDEX(Material_Detail!$D:$DC,MATCH($A56,Material_Detail!$DE:$DE,0)+1,11))),0,IFERROR(INDEX(Material_Detail!$D:$DC,MATCH($A56,Material_Detail!$DE:$DE,0),11),0)),SUMIFS(T_Shipments[Confirmed_Qty],T_Shipments[Part Name],$A56,T_Shipments[Effective_Week],11))</f>
        <v/>
      </c>
      <c r="M56">
        <f>IF(COUNTIF(Material_Detail!$DE:$DE,$A56)&gt;0,IF(ISNUMBER(SEARCH("[済]",INDEX(Material_Detail!$D:$DC,MATCH($A56,Material_Detail!$DE:$DE,0)+1,12))),0,IFERROR(INDEX(Material_Detail!$D:$DC,MATCH($A56,Material_Detail!$DE:$DE,0),12),0)),SUMIFS(T_Shipments[Confirmed_Qty],T_Shipments[Part Name],$A56,T_Shipments[Effective_Week],12))</f>
        <v/>
      </c>
      <c r="N56">
        <f>IF(COUNTIF(Material_Detail!$DE:$DE,$A56)&gt;0,IF(ISNUMBER(SEARCH("[済]",INDEX(Material_Detail!$D:$DC,MATCH($A56,Material_Detail!$DE:$DE,0)+1,13))),0,IFERROR(INDEX(Material_Detail!$D:$DC,MATCH($A56,Material_Detail!$DE:$DE,0),13),0)),SUMIFS(T_Shipments[Confirmed_Qty],T_Shipments[Part Name],$A56,T_Shipments[Effective_Week],13))</f>
        <v/>
      </c>
      <c r="O56">
        <f>IF(COUNTIF(Material_Detail!$DE:$DE,$A56)&gt;0,IF(ISNUMBER(SEARCH("[済]",INDEX(Material_Detail!$D:$DC,MATCH($A56,Material_Detail!$DE:$DE,0)+1,14))),0,IFERROR(INDEX(Material_Detail!$D:$DC,MATCH($A56,Material_Detail!$DE:$DE,0),14),0)),SUMIFS(T_Shipments[Confirmed_Qty],T_Shipments[Part Name],$A56,T_Shipments[Effective_Week],14))</f>
        <v/>
      </c>
      <c r="P56">
        <f>IF(COUNTIF(Material_Detail!$DE:$DE,$A56)&gt;0,IF(ISNUMBER(SEARCH("[済]",INDEX(Material_Detail!$D:$DC,MATCH($A56,Material_Detail!$DE:$DE,0)+1,15))),0,IFERROR(INDEX(Material_Detail!$D:$DC,MATCH($A56,Material_Detail!$DE:$DE,0),15),0)),SUMIFS(T_Shipments[Confirmed_Qty],T_Shipments[Part Name],$A56,T_Shipments[Effective_Week],15))</f>
        <v/>
      </c>
      <c r="Q56">
        <f>IF(COUNTIF(Material_Detail!$DE:$DE,$A56)&gt;0,IF(ISNUMBER(SEARCH("[済]",INDEX(Material_Detail!$D:$DC,MATCH($A56,Material_Detail!$DE:$DE,0)+1,16))),0,IFERROR(INDEX(Material_Detail!$D:$DC,MATCH($A56,Material_Detail!$DE:$DE,0),16),0)),SUMIFS(T_Shipments[Confirmed_Qty],T_Shipments[Part Name],$A56,T_Shipments[Effective_Week],16))</f>
        <v/>
      </c>
      <c r="R56">
        <f>IF(COUNTIF(Material_Detail!$DE:$DE,$A56)&gt;0,IF(ISNUMBER(SEARCH("[済]",INDEX(Material_Detail!$D:$DC,MATCH($A56,Material_Detail!$DE:$DE,0)+1,17))),0,IFERROR(INDEX(Material_Detail!$D:$DC,MATCH($A56,Material_Detail!$DE:$DE,0),17),0)),SUMIFS(T_Shipments[Confirmed_Qty],T_Shipments[Part Name],$A56,T_Shipments[Effective_Week],17))</f>
        <v/>
      </c>
      <c r="S56">
        <f>IF(COUNTIF(Material_Detail!$DE:$DE,$A56)&gt;0,IF(ISNUMBER(SEARCH("[済]",INDEX(Material_Detail!$D:$DC,MATCH($A56,Material_Detail!$DE:$DE,0)+1,18))),0,IFERROR(INDEX(Material_Detail!$D:$DC,MATCH($A56,Material_Detail!$DE:$DE,0),18),0)),SUMIFS(T_Shipments[Confirmed_Qty],T_Shipments[Part Name],$A56,T_Shipments[Effective_Week],18))</f>
        <v/>
      </c>
      <c r="T56">
        <f>IF(COUNTIF(Material_Detail!$DE:$DE,$A56)&gt;0,IF(ISNUMBER(SEARCH("[済]",INDEX(Material_Detail!$D:$DC,MATCH($A56,Material_Detail!$DE:$DE,0)+1,19))),0,IFERROR(INDEX(Material_Detail!$D:$DC,MATCH($A56,Material_Detail!$DE:$DE,0),19),0)),SUMIFS(T_Shipments[Confirmed_Qty],T_Shipments[Part Name],$A56,T_Shipments[Effective_Week],19))</f>
        <v/>
      </c>
      <c r="U56">
        <f>IF(COUNTIF(Material_Detail!$DE:$DE,$A56)&gt;0,IF(ISNUMBER(SEARCH("[済]",INDEX(Material_Detail!$D:$DC,MATCH($A56,Material_Detail!$DE:$DE,0)+1,20))),0,IFERROR(INDEX(Material_Detail!$D:$DC,MATCH($A56,Material_Detail!$DE:$DE,0),20),0)),SUMIFS(T_Shipments[Confirmed_Qty],T_Shipments[Part Name],$A56,T_Shipments[Effective_Week],20))</f>
        <v/>
      </c>
      <c r="V56">
        <f>IF(COUNTIF(Material_Detail!$DE:$DE,$A56)&gt;0,IF(ISNUMBER(SEARCH("[済]",INDEX(Material_Detail!$D:$DC,MATCH($A56,Material_Detail!$DE:$DE,0)+1,21))),0,IFERROR(INDEX(Material_Detail!$D:$DC,MATCH($A56,Material_Detail!$DE:$DE,0),21),0)),SUMIFS(T_Shipments[Confirmed_Qty],T_Shipments[Part Name],$A56,T_Shipments[Effective_Week],21))</f>
        <v/>
      </c>
      <c r="W56">
        <f>IF(COUNTIF(Material_Detail!$DE:$DE,$A56)&gt;0,IF(ISNUMBER(SEARCH("[済]",INDEX(Material_Detail!$D:$DC,MATCH($A56,Material_Detail!$DE:$DE,0)+1,22))),0,IFERROR(INDEX(Material_Detail!$D:$DC,MATCH($A56,Material_Detail!$DE:$DE,0),22),0)),SUMIFS(T_Shipments[Confirmed_Qty],T_Shipments[Part Name],$A56,T_Shipments[Effective_Week],22))</f>
        <v/>
      </c>
      <c r="X56">
        <f>IF(COUNTIF(Material_Detail!$DE:$DE,$A56)&gt;0,IF(ISNUMBER(SEARCH("[済]",INDEX(Material_Detail!$D:$DC,MATCH($A56,Material_Detail!$DE:$DE,0)+1,23))),0,IFERROR(INDEX(Material_Detail!$D:$DC,MATCH($A56,Material_Detail!$DE:$DE,0),23),0)),SUMIFS(T_Shipments[Confirmed_Qty],T_Shipments[Part Name],$A56,T_Shipments[Effective_Week],23))</f>
        <v/>
      </c>
      <c r="Y56">
        <f>IF(COUNTIF(Material_Detail!$DE:$DE,$A56)&gt;0,IF(ISNUMBER(SEARCH("[済]",INDEX(Material_Detail!$D:$DC,MATCH($A56,Material_Detail!$DE:$DE,0)+1,24))),0,IFERROR(INDEX(Material_Detail!$D:$DC,MATCH($A56,Material_Detail!$DE:$DE,0),24),0)),SUMIFS(T_Shipments[Confirmed_Qty],T_Shipments[Part Name],$A56,T_Shipments[Effective_Week],24))</f>
        <v/>
      </c>
      <c r="Z56">
        <f>IF(COUNTIF(Material_Detail!$DE:$DE,$A56)&gt;0,IF(ISNUMBER(SEARCH("[済]",INDEX(Material_Detail!$D:$DC,MATCH($A56,Material_Detail!$DE:$DE,0)+1,25))),0,IFERROR(INDEX(Material_Detail!$D:$DC,MATCH($A56,Material_Detail!$DE:$DE,0),25),0)),SUMIFS(T_Shipments[Confirmed_Qty],T_Shipments[Part Name],$A56,T_Shipments[Effective_Week],25))</f>
        <v/>
      </c>
      <c r="AA56">
        <f>IF(COUNTIF(Material_Detail!$DE:$DE,$A56)&gt;0,IF(ISNUMBER(SEARCH("[済]",INDEX(Material_Detail!$D:$DC,MATCH($A56,Material_Detail!$DE:$DE,0)+1,26))),0,IFERROR(INDEX(Material_Detail!$D:$DC,MATCH($A56,Material_Detail!$DE:$DE,0),26),0)),SUMIFS(T_Shipments[Confirmed_Qty],T_Shipments[Part Name],$A56,T_Shipments[Effective_Week],26))</f>
        <v/>
      </c>
      <c r="AB56">
        <f>IF(COUNTIF(Material_Detail!$DE:$DE,$A56)&gt;0,IF(ISNUMBER(SEARCH("[済]",INDEX(Material_Detail!$D:$DC,MATCH($A56,Material_Detail!$DE:$DE,0)+1,27))),0,IFERROR(INDEX(Material_Detail!$D:$DC,MATCH($A56,Material_Detail!$DE:$DE,0),27),0)),SUMIFS(T_Shipments[Confirmed_Qty],T_Shipments[Part Name],$A56,T_Shipments[Effective_Week],27))</f>
        <v/>
      </c>
      <c r="AC56">
        <f>IF(COUNTIF(Material_Detail!$DE:$DE,$A56)&gt;0,IF(ISNUMBER(SEARCH("[済]",INDEX(Material_Detail!$D:$DC,MATCH($A56,Material_Detail!$DE:$DE,0)+1,28))),0,IFERROR(INDEX(Material_Detail!$D:$DC,MATCH($A56,Material_Detail!$DE:$DE,0),28),0)),SUMIFS(T_Shipments[Confirmed_Qty],T_Shipments[Part Name],$A56,T_Shipments[Effective_Week],28))</f>
        <v/>
      </c>
      <c r="AD56">
        <f>IF(COUNTIF(Material_Detail!$DE:$DE,$A56)&gt;0,IF(ISNUMBER(SEARCH("[済]",INDEX(Material_Detail!$D:$DC,MATCH($A56,Material_Detail!$DE:$DE,0)+1,29))),0,IFERROR(INDEX(Material_Detail!$D:$DC,MATCH($A56,Material_Detail!$DE:$DE,0),29),0)),SUMIFS(T_Shipments[Confirmed_Qty],T_Shipments[Part Name],$A56,T_Shipments[Effective_Week],29))</f>
        <v/>
      </c>
      <c r="AE56">
        <f>IF(COUNTIF(Material_Detail!$DE:$DE,$A56)&gt;0,IF(ISNUMBER(SEARCH("[済]",INDEX(Material_Detail!$D:$DC,MATCH($A56,Material_Detail!$DE:$DE,0)+1,30))),0,IFERROR(INDEX(Material_Detail!$D:$DC,MATCH($A56,Material_Detail!$DE:$DE,0),30),0)),SUMIFS(T_Shipments[Confirmed_Qty],T_Shipments[Part Name],$A56,T_Shipments[Effective_Week],30))</f>
        <v/>
      </c>
      <c r="AF56">
        <f>IF(COUNTIF(Material_Detail!$DE:$DE,$A56)&gt;0,IF(ISNUMBER(SEARCH("[済]",INDEX(Material_Detail!$D:$DC,MATCH($A56,Material_Detail!$DE:$DE,0)+1,31))),0,IFERROR(INDEX(Material_Detail!$D:$DC,MATCH($A56,Material_Detail!$DE:$DE,0),31),0)),SUMIFS(T_Shipments[Confirmed_Qty],T_Shipments[Part Name],$A56,T_Shipments[Effective_Week],31))</f>
        <v/>
      </c>
      <c r="AG56">
        <f>IF(COUNTIF(Material_Detail!$DE:$DE,$A56)&gt;0,IF(ISNUMBER(SEARCH("[済]",INDEX(Material_Detail!$D:$DC,MATCH($A56,Material_Detail!$DE:$DE,0)+1,32))),0,IFERROR(INDEX(Material_Detail!$D:$DC,MATCH($A56,Material_Detail!$DE:$DE,0),32),0)),SUMIFS(T_Shipments[Confirmed_Qty],T_Shipments[Part Name],$A56,T_Shipments[Effective_Week],32))</f>
        <v/>
      </c>
      <c r="AH56">
        <f>IF(COUNTIF(Material_Detail!$DE:$DE,$A56)&gt;0,IF(ISNUMBER(SEARCH("[済]",INDEX(Material_Detail!$D:$DC,MATCH($A56,Material_Detail!$DE:$DE,0)+1,33))),0,IFERROR(INDEX(Material_Detail!$D:$DC,MATCH($A56,Material_Detail!$DE:$DE,0),33),0)),SUMIFS(T_Shipments[Confirmed_Qty],T_Shipments[Part Name],$A56,T_Shipments[Effective_Week],33))</f>
        <v/>
      </c>
      <c r="AI56">
        <f>IF(COUNTIF(Material_Detail!$DE:$DE,$A56)&gt;0,IF(ISNUMBER(SEARCH("[済]",INDEX(Material_Detail!$D:$DC,MATCH($A56,Material_Detail!$DE:$DE,0)+1,34))),0,IFERROR(INDEX(Material_Detail!$D:$DC,MATCH($A56,Material_Detail!$DE:$DE,0),34),0)),SUMIFS(T_Shipments[Confirmed_Qty],T_Shipments[Part Name],$A56,T_Shipments[Effective_Week],34))</f>
        <v/>
      </c>
      <c r="AJ56">
        <f>IF(COUNTIF(Material_Detail!$DE:$DE,$A56)&gt;0,IF(ISNUMBER(SEARCH("[済]",INDEX(Material_Detail!$D:$DC,MATCH($A56,Material_Detail!$DE:$DE,0)+1,35))),0,IFERROR(INDEX(Material_Detail!$D:$DC,MATCH($A56,Material_Detail!$DE:$DE,0),35),0)),SUMIFS(T_Shipments[Confirmed_Qty],T_Shipments[Part Name],$A56,T_Shipments[Effective_Week],35))</f>
        <v/>
      </c>
      <c r="AK56">
        <f>IF(COUNTIF(Material_Detail!$DE:$DE,$A56)&gt;0,IF(ISNUMBER(SEARCH("[済]",INDEX(Material_Detail!$D:$DC,MATCH($A56,Material_Detail!$DE:$DE,0)+1,36))),0,IFERROR(INDEX(Material_Detail!$D:$DC,MATCH($A56,Material_Detail!$DE:$DE,0),36),0)),SUMIFS(T_Shipments[Confirmed_Qty],T_Shipments[Part Name],$A56,T_Shipments[Effective_Week],36))</f>
        <v/>
      </c>
      <c r="AL56">
        <f>IF(COUNTIF(Material_Detail!$DE:$DE,$A56)&gt;0,IF(ISNUMBER(SEARCH("[済]",INDEX(Material_Detail!$D:$DC,MATCH($A56,Material_Detail!$DE:$DE,0)+1,37))),0,IFERROR(INDEX(Material_Detail!$D:$DC,MATCH($A56,Material_Detail!$DE:$DE,0),37),0)),SUMIFS(T_Shipments[Confirmed_Qty],T_Shipments[Part Name],$A56,T_Shipments[Effective_Week],37))</f>
        <v/>
      </c>
      <c r="AM56">
        <f>IF(COUNTIF(Material_Detail!$DE:$DE,$A56)&gt;0,IF(ISNUMBER(SEARCH("[済]",INDEX(Material_Detail!$D:$DC,MATCH($A56,Material_Detail!$DE:$DE,0)+1,38))),0,IFERROR(INDEX(Material_Detail!$D:$DC,MATCH($A56,Material_Detail!$DE:$DE,0),38),0)),SUMIFS(T_Shipments[Confirmed_Qty],T_Shipments[Part Name],$A56,T_Shipments[Effective_Week],38))</f>
        <v/>
      </c>
      <c r="AN56">
        <f>IF(COUNTIF(Material_Detail!$DE:$DE,$A56)&gt;0,IF(ISNUMBER(SEARCH("[済]",INDEX(Material_Detail!$D:$DC,MATCH($A56,Material_Detail!$DE:$DE,0)+1,39))),0,IFERROR(INDEX(Material_Detail!$D:$DC,MATCH($A56,Material_Detail!$DE:$DE,0),39),0)),SUMIFS(T_Shipments[Confirmed_Qty],T_Shipments[Part Name],$A56,T_Shipments[Effective_Week],39))</f>
        <v/>
      </c>
      <c r="AO56">
        <f>IF(COUNTIF(Material_Detail!$DE:$DE,$A56)&gt;0,IF(ISNUMBER(SEARCH("[済]",INDEX(Material_Detail!$D:$DC,MATCH($A56,Material_Detail!$DE:$DE,0)+1,40))),0,IFERROR(INDEX(Material_Detail!$D:$DC,MATCH($A56,Material_Detail!$DE:$DE,0),40),0)),SUMIFS(T_Shipments[Confirmed_Qty],T_Shipments[Part Name],$A56,T_Shipments[Effective_Week],40))</f>
        <v/>
      </c>
      <c r="AP56">
        <f>IF(COUNTIF(Material_Detail!$DE:$DE,$A56)&gt;0,IF(ISNUMBER(SEARCH("[済]",INDEX(Material_Detail!$D:$DC,MATCH($A56,Material_Detail!$DE:$DE,0)+1,41))),0,IFERROR(INDEX(Material_Detail!$D:$DC,MATCH($A56,Material_Detail!$DE:$DE,0),41),0)),SUMIFS(T_Shipments[Confirmed_Qty],T_Shipments[Part Name],$A56,T_Shipments[Effective_Week],41))</f>
        <v/>
      </c>
      <c r="AQ56">
        <f>IF(COUNTIF(Material_Detail!$DE:$DE,$A56)&gt;0,IF(ISNUMBER(SEARCH("[済]",INDEX(Material_Detail!$D:$DC,MATCH($A56,Material_Detail!$DE:$DE,0)+1,42))),0,IFERROR(INDEX(Material_Detail!$D:$DC,MATCH($A56,Material_Detail!$DE:$DE,0),42),0)),SUMIFS(T_Shipments[Confirmed_Qty],T_Shipments[Part Name],$A56,T_Shipments[Effective_Week],42))</f>
        <v/>
      </c>
      <c r="AR56">
        <f>IF(COUNTIF(Material_Detail!$DE:$DE,$A56)&gt;0,IF(ISNUMBER(SEARCH("[済]",INDEX(Material_Detail!$D:$DC,MATCH($A56,Material_Detail!$DE:$DE,0)+1,43))),0,IFERROR(INDEX(Material_Detail!$D:$DC,MATCH($A56,Material_Detail!$DE:$DE,0),43),0)),SUMIFS(T_Shipments[Confirmed_Qty],T_Shipments[Part Name],$A56,T_Shipments[Effective_Week],43))</f>
        <v/>
      </c>
      <c r="AS56">
        <f>IF(COUNTIF(Material_Detail!$DE:$DE,$A56)&gt;0,IF(ISNUMBER(SEARCH("[済]",INDEX(Material_Detail!$D:$DC,MATCH($A56,Material_Detail!$DE:$DE,0)+1,44))),0,IFERROR(INDEX(Material_Detail!$D:$DC,MATCH($A56,Material_Detail!$DE:$DE,0),44),0)),SUMIFS(T_Shipments[Confirmed_Qty],T_Shipments[Part Name],$A56,T_Shipments[Effective_Week],44))</f>
        <v/>
      </c>
      <c r="AT56">
        <f>IF(COUNTIF(Material_Detail!$DE:$DE,$A56)&gt;0,IF(ISNUMBER(SEARCH("[済]",INDEX(Material_Detail!$D:$DC,MATCH($A56,Material_Detail!$DE:$DE,0)+1,45))),0,IFERROR(INDEX(Material_Detail!$D:$DC,MATCH($A56,Material_Detail!$DE:$DE,0),45),0)),SUMIFS(T_Shipments[Confirmed_Qty],T_Shipments[Part Name],$A56,T_Shipments[Effective_Week],45))</f>
        <v/>
      </c>
      <c r="AU56">
        <f>IF(COUNTIF(Material_Detail!$DE:$DE,$A56)&gt;0,IF(ISNUMBER(SEARCH("[済]",INDEX(Material_Detail!$D:$DC,MATCH($A56,Material_Detail!$DE:$DE,0)+1,46))),0,IFERROR(INDEX(Material_Detail!$D:$DC,MATCH($A56,Material_Detail!$DE:$DE,0),46),0)),SUMIFS(T_Shipments[Confirmed_Qty],T_Shipments[Part Name],$A56,T_Shipments[Effective_Week],46))</f>
        <v/>
      </c>
      <c r="AV56">
        <f>IF(COUNTIF(Material_Detail!$DE:$DE,$A56)&gt;0,IF(ISNUMBER(SEARCH("[済]",INDEX(Material_Detail!$D:$DC,MATCH($A56,Material_Detail!$DE:$DE,0)+1,47))),0,IFERROR(INDEX(Material_Detail!$D:$DC,MATCH($A56,Material_Detail!$DE:$DE,0),47),0)),SUMIFS(T_Shipments[Confirmed_Qty],T_Shipments[Part Name],$A56,T_Shipments[Effective_Week],47))</f>
        <v/>
      </c>
      <c r="AW56">
        <f>IF(COUNTIF(Material_Detail!$DE:$DE,$A56)&gt;0,IF(ISNUMBER(SEARCH("[済]",INDEX(Material_Detail!$D:$DC,MATCH($A56,Material_Detail!$DE:$DE,0)+1,48))),0,IFERROR(INDEX(Material_Detail!$D:$DC,MATCH($A56,Material_Detail!$DE:$DE,0),48),0)),SUMIFS(T_Shipments[Confirmed_Qty],T_Shipments[Part Name],$A56,T_Shipments[Effective_Week],48))</f>
        <v/>
      </c>
      <c r="AX56">
        <f>IF(COUNTIF(Material_Detail!$DE:$DE,$A56)&gt;0,IF(ISNUMBER(SEARCH("[済]",INDEX(Material_Detail!$D:$DC,MATCH($A56,Material_Detail!$DE:$DE,0)+1,49))),0,IFERROR(INDEX(Material_Detail!$D:$DC,MATCH($A56,Material_Detail!$DE:$DE,0),49),0)),SUMIFS(T_Shipments[Confirmed_Qty],T_Shipments[Part Name],$A56,T_Shipments[Effective_Week],49))</f>
        <v/>
      </c>
      <c r="AY56">
        <f>IF(COUNTIF(Material_Detail!$DE:$DE,$A56)&gt;0,IF(ISNUMBER(SEARCH("[済]",INDEX(Material_Detail!$D:$DC,MATCH($A56,Material_Detail!$DE:$DE,0)+1,50))),0,IFERROR(INDEX(Material_Detail!$D:$DC,MATCH($A56,Material_Detail!$DE:$DE,0),50),0)),SUMIFS(T_Shipments[Confirmed_Qty],T_Shipments[Part Name],$A56,T_Shipments[Effective_Week],50))</f>
        <v/>
      </c>
      <c r="AZ56">
        <f>IF(COUNTIF(Material_Detail!$DE:$DE,$A56)&gt;0,IF(ISNUMBER(SEARCH("[済]",INDEX(Material_Detail!$D:$DC,MATCH($A56,Material_Detail!$DE:$DE,0)+1,51))),0,IFERROR(INDEX(Material_Detail!$D:$DC,MATCH($A56,Material_Detail!$DE:$DE,0),51),0)),SUMIFS(T_Shipments[Confirmed_Qty],T_Shipments[Part Name],$A56,T_Shipments[Effective_Week],51))</f>
        <v/>
      </c>
      <c r="BA56">
        <f>IF(COUNTIF(Material_Detail!$DE:$DE,$A56)&gt;0,IF(ISNUMBER(SEARCH("[済]",INDEX(Material_Detail!$D:$DC,MATCH($A56,Material_Detail!$DE:$DE,0)+1,52))),0,IFERROR(INDEX(Material_Detail!$D:$DC,MATCH($A56,Material_Detail!$DE:$DE,0),52),0)),SUMIFS(T_Shipments[Confirmed_Qty],T_Shipments[Part Name],$A56,T_Shipments[Effective_Week],52))</f>
        <v/>
      </c>
      <c r="BB56">
        <f>IF(COUNTIF(Material_Detail!$DE:$DE,$A56)&gt;0,IF(ISNUMBER(SEARCH("[済]",INDEX(Material_Detail!$D:$DC,MATCH($A56,Material_Detail!$DE:$DE,0)+1,53))),0,IFERROR(INDEX(Material_Detail!$D:$DC,MATCH($A56,Material_Detail!$DE:$DE,0),53),0)),SUMIFS(T_Shipments[Confirmed_Qty],T_Shipments[Part Name],$A56,T_Shipments[Effective_Week],53))</f>
        <v/>
      </c>
      <c r="BC56">
        <f>IF(COUNTIF(Material_Detail!$DE:$DE,$A56)&gt;0,IF(ISNUMBER(SEARCH("[済]",INDEX(Material_Detail!$D:$DC,MATCH($A56,Material_Detail!$DE:$DE,0)+1,54))),0,IFERROR(INDEX(Material_Detail!$D:$DC,MATCH($A56,Material_Detail!$DE:$DE,0),54),0)),SUMIFS(T_Shipments[Confirmed_Qty],T_Shipments[Part Name],$A56,T_Shipments[Effective_Week],54))</f>
        <v/>
      </c>
      <c r="BD56">
        <f>IF(COUNTIF(Material_Detail!$DE:$DE,$A56)&gt;0,IF(ISNUMBER(SEARCH("[済]",INDEX(Material_Detail!$D:$DC,MATCH($A56,Material_Detail!$DE:$DE,0)+1,55))),0,IFERROR(INDEX(Material_Detail!$D:$DC,MATCH($A56,Material_Detail!$DE:$DE,0),55),0)),SUMIFS(T_Shipments[Confirmed_Qty],T_Shipments[Part Name],$A56,T_Shipments[Effective_Week],55))</f>
        <v/>
      </c>
      <c r="BE56">
        <f>IF(COUNTIF(Material_Detail!$DE:$DE,$A56)&gt;0,IF(ISNUMBER(SEARCH("[済]",INDEX(Material_Detail!$D:$DC,MATCH($A56,Material_Detail!$DE:$DE,0)+1,56))),0,IFERROR(INDEX(Material_Detail!$D:$DC,MATCH($A56,Material_Detail!$DE:$DE,0),56),0)),SUMIFS(T_Shipments[Confirmed_Qty],T_Shipments[Part Name],$A56,T_Shipments[Effective_Week],56))</f>
        <v/>
      </c>
      <c r="BF56">
        <f>IF(COUNTIF(Material_Detail!$DE:$DE,$A56)&gt;0,IF(ISNUMBER(SEARCH("[済]",INDEX(Material_Detail!$D:$DC,MATCH($A56,Material_Detail!$DE:$DE,0)+1,57))),0,IFERROR(INDEX(Material_Detail!$D:$DC,MATCH($A56,Material_Detail!$DE:$DE,0),57),0)),SUMIFS(T_Shipments[Confirmed_Qty],T_Shipments[Part Name],$A56,T_Shipments[Effective_Week],57))</f>
        <v/>
      </c>
      <c r="BG56">
        <f>IF(COUNTIF(Material_Detail!$DE:$DE,$A56)&gt;0,IF(ISNUMBER(SEARCH("[済]",INDEX(Material_Detail!$D:$DC,MATCH($A56,Material_Detail!$DE:$DE,0)+1,58))),0,IFERROR(INDEX(Material_Detail!$D:$DC,MATCH($A56,Material_Detail!$DE:$DE,0),58),0)),SUMIFS(T_Shipments[Confirmed_Qty],T_Shipments[Part Name],$A56,T_Shipments[Effective_Week],58))</f>
        <v/>
      </c>
      <c r="BH56">
        <f>IF(COUNTIF(Material_Detail!$DE:$DE,$A56)&gt;0,IF(ISNUMBER(SEARCH("[済]",INDEX(Material_Detail!$D:$DC,MATCH($A56,Material_Detail!$DE:$DE,0)+1,59))),0,IFERROR(INDEX(Material_Detail!$D:$DC,MATCH($A56,Material_Detail!$DE:$DE,0),59),0)),SUMIFS(T_Shipments[Confirmed_Qty],T_Shipments[Part Name],$A56,T_Shipments[Effective_Week],59))</f>
        <v/>
      </c>
      <c r="BI56">
        <f>IF(COUNTIF(Material_Detail!$DE:$DE,$A56)&gt;0,IF(ISNUMBER(SEARCH("[済]",INDEX(Material_Detail!$D:$DC,MATCH($A56,Material_Detail!$DE:$DE,0)+1,60))),0,IFERROR(INDEX(Material_Detail!$D:$DC,MATCH($A56,Material_Detail!$DE:$DE,0),60),0)),SUMIFS(T_Shipments[Confirmed_Qty],T_Shipments[Part Name],$A56,T_Shipments[Effective_Week],60))</f>
        <v/>
      </c>
      <c r="BJ56">
        <f>IF(COUNTIF(Material_Detail!$DE:$DE,$A56)&gt;0,IF(ISNUMBER(SEARCH("[済]",INDEX(Material_Detail!$D:$DC,MATCH($A56,Material_Detail!$DE:$DE,0)+1,61))),0,IFERROR(INDEX(Material_Detail!$D:$DC,MATCH($A56,Material_Detail!$DE:$DE,0),61),0)),SUMIFS(T_Shipments[Confirmed_Qty],T_Shipments[Part Name],$A56,T_Shipments[Effective_Week],61))</f>
        <v/>
      </c>
      <c r="BK56">
        <f>IF(COUNTIF(Material_Detail!$DE:$DE,$A56)&gt;0,IF(ISNUMBER(SEARCH("[済]",INDEX(Material_Detail!$D:$DC,MATCH($A56,Material_Detail!$DE:$DE,0)+1,62))),0,IFERROR(INDEX(Material_Detail!$D:$DC,MATCH($A56,Material_Detail!$DE:$DE,0),62),0)),SUMIFS(T_Shipments[Confirmed_Qty],T_Shipments[Part Name],$A56,T_Shipments[Effective_Week],62))</f>
        <v/>
      </c>
      <c r="BL56">
        <f>IF(COUNTIF(Material_Detail!$DE:$DE,$A56)&gt;0,IF(ISNUMBER(SEARCH("[済]",INDEX(Material_Detail!$D:$DC,MATCH($A56,Material_Detail!$DE:$DE,0)+1,63))),0,IFERROR(INDEX(Material_Detail!$D:$DC,MATCH($A56,Material_Detail!$DE:$DE,0),63),0)),SUMIFS(T_Shipments[Confirmed_Qty],T_Shipments[Part Name],$A56,T_Shipments[Effective_Week],63))</f>
        <v/>
      </c>
      <c r="BM56">
        <f>IF(COUNTIF(Material_Detail!$DE:$DE,$A56)&gt;0,IF(ISNUMBER(SEARCH("[済]",INDEX(Material_Detail!$D:$DC,MATCH($A56,Material_Detail!$DE:$DE,0)+1,64))),0,IFERROR(INDEX(Material_Detail!$D:$DC,MATCH($A56,Material_Detail!$DE:$DE,0),64),0)),SUMIFS(T_Shipments[Confirmed_Qty],T_Shipments[Part Name],$A56,T_Shipments[Effective_Week],64))</f>
        <v/>
      </c>
      <c r="BN56">
        <f>IF(COUNTIF(Material_Detail!$DE:$DE,$A56)&gt;0,IF(ISNUMBER(SEARCH("[済]",INDEX(Material_Detail!$D:$DC,MATCH($A56,Material_Detail!$DE:$DE,0)+1,65))),0,IFERROR(INDEX(Material_Detail!$D:$DC,MATCH($A56,Material_Detail!$DE:$DE,0),65),0)),SUMIFS(T_Shipments[Confirmed_Qty],T_Shipments[Part Name],$A56,T_Shipments[Effective_Week],65))</f>
        <v/>
      </c>
      <c r="BO56">
        <f>IF(COUNTIF(Material_Detail!$DE:$DE,$A56)&gt;0,IF(ISNUMBER(SEARCH("[済]",INDEX(Material_Detail!$D:$DC,MATCH($A56,Material_Detail!$DE:$DE,0)+1,66))),0,IFERROR(INDEX(Material_Detail!$D:$DC,MATCH($A56,Material_Detail!$DE:$DE,0),66),0)),SUMIFS(T_Shipments[Confirmed_Qty],T_Shipments[Part Name],$A56,T_Shipments[Effective_Week],66))</f>
        <v/>
      </c>
      <c r="BP56">
        <f>IF(COUNTIF(Material_Detail!$DE:$DE,$A56)&gt;0,IF(ISNUMBER(SEARCH("[済]",INDEX(Material_Detail!$D:$DC,MATCH($A56,Material_Detail!$DE:$DE,0)+1,67))),0,IFERROR(INDEX(Material_Detail!$D:$DC,MATCH($A56,Material_Detail!$DE:$DE,0),67),0)),SUMIFS(T_Shipments[Confirmed_Qty],T_Shipments[Part Name],$A56,T_Shipments[Effective_Week],67))</f>
        <v/>
      </c>
      <c r="BQ56">
        <f>IF(COUNTIF(Material_Detail!$DE:$DE,$A56)&gt;0,IF(ISNUMBER(SEARCH("[済]",INDEX(Material_Detail!$D:$DC,MATCH($A56,Material_Detail!$DE:$DE,0)+1,68))),0,IFERROR(INDEX(Material_Detail!$D:$DC,MATCH($A56,Material_Detail!$DE:$DE,0),68),0)),SUMIFS(T_Shipments[Confirmed_Qty],T_Shipments[Part Name],$A56,T_Shipments[Effective_Week],68))</f>
        <v/>
      </c>
      <c r="BR56">
        <f>IF(COUNTIF(Material_Detail!$DE:$DE,$A56)&gt;0,IF(ISNUMBER(SEARCH("[済]",INDEX(Material_Detail!$D:$DC,MATCH($A56,Material_Detail!$DE:$DE,0)+1,69))),0,IFERROR(INDEX(Material_Detail!$D:$DC,MATCH($A56,Material_Detail!$DE:$DE,0),69),0)),SUMIFS(T_Shipments[Confirmed_Qty],T_Shipments[Part Name],$A56,T_Shipments[Effective_Week],69))</f>
        <v/>
      </c>
      <c r="BS56">
        <f>IF(COUNTIF(Material_Detail!$DE:$DE,$A56)&gt;0,IF(ISNUMBER(SEARCH("[済]",INDEX(Material_Detail!$D:$DC,MATCH($A56,Material_Detail!$DE:$DE,0)+1,70))),0,IFERROR(INDEX(Material_Detail!$D:$DC,MATCH($A56,Material_Detail!$DE:$DE,0),70),0)),SUMIFS(T_Shipments[Confirmed_Qty],T_Shipments[Part Name],$A56,T_Shipments[Effective_Week],70))</f>
        <v/>
      </c>
      <c r="BT56">
        <f>IF(COUNTIF(Material_Detail!$DE:$DE,$A56)&gt;0,IF(ISNUMBER(SEARCH("[済]",INDEX(Material_Detail!$D:$DC,MATCH($A56,Material_Detail!$DE:$DE,0)+1,71))),0,IFERROR(INDEX(Material_Detail!$D:$DC,MATCH($A56,Material_Detail!$DE:$DE,0),71),0)),SUMIFS(T_Shipments[Confirmed_Qty],T_Shipments[Part Name],$A56,T_Shipments[Effective_Week],71))</f>
        <v/>
      </c>
      <c r="BU56">
        <f>IF(COUNTIF(Material_Detail!$DE:$DE,$A56)&gt;0,IF(ISNUMBER(SEARCH("[済]",INDEX(Material_Detail!$D:$DC,MATCH($A56,Material_Detail!$DE:$DE,0)+1,72))),0,IFERROR(INDEX(Material_Detail!$D:$DC,MATCH($A56,Material_Detail!$DE:$DE,0),72),0)),SUMIFS(T_Shipments[Confirmed_Qty],T_Shipments[Part Name],$A56,T_Shipments[Effective_Week],72))</f>
        <v/>
      </c>
      <c r="BV56">
        <f>IF(COUNTIF(Material_Detail!$DE:$DE,$A56)&gt;0,IF(ISNUMBER(SEARCH("[済]",INDEX(Material_Detail!$D:$DC,MATCH($A56,Material_Detail!$DE:$DE,0)+1,73))),0,IFERROR(INDEX(Material_Detail!$D:$DC,MATCH($A56,Material_Detail!$DE:$DE,0),73),0)),SUMIFS(T_Shipments[Confirmed_Qty],T_Shipments[Part Name],$A56,T_Shipments[Effective_Week],73))</f>
        <v/>
      </c>
      <c r="BW56">
        <f>IF(COUNTIF(Material_Detail!$DE:$DE,$A56)&gt;0,IF(ISNUMBER(SEARCH("[済]",INDEX(Material_Detail!$D:$DC,MATCH($A56,Material_Detail!$DE:$DE,0)+1,74))),0,IFERROR(INDEX(Material_Detail!$D:$DC,MATCH($A56,Material_Detail!$DE:$DE,0),74),0)),SUMIFS(T_Shipments[Confirmed_Qty],T_Shipments[Part Name],$A56,T_Shipments[Effective_Week],74))</f>
        <v/>
      </c>
      <c r="BX56">
        <f>IF(COUNTIF(Material_Detail!$DE:$DE,$A56)&gt;0,IF(ISNUMBER(SEARCH("[済]",INDEX(Material_Detail!$D:$DC,MATCH($A56,Material_Detail!$DE:$DE,0)+1,75))),0,IFERROR(INDEX(Material_Detail!$D:$DC,MATCH($A56,Material_Detail!$DE:$DE,0),75),0)),SUMIFS(T_Shipments[Confirmed_Qty],T_Shipments[Part Name],$A56,T_Shipments[Effective_Week],75))</f>
        <v/>
      </c>
      <c r="BY56">
        <f>IF(COUNTIF(Material_Detail!$DE:$DE,$A56)&gt;0,IF(ISNUMBER(SEARCH("[済]",INDEX(Material_Detail!$D:$DC,MATCH($A56,Material_Detail!$DE:$DE,0)+1,76))),0,IFERROR(INDEX(Material_Detail!$D:$DC,MATCH($A56,Material_Detail!$DE:$DE,0),76),0)),SUMIFS(T_Shipments[Confirmed_Qty],T_Shipments[Part Name],$A56,T_Shipments[Effective_Week],76))</f>
        <v/>
      </c>
      <c r="BZ56">
        <f>IF(COUNTIF(Material_Detail!$DE:$DE,$A56)&gt;0,IF(ISNUMBER(SEARCH("[済]",INDEX(Material_Detail!$D:$DC,MATCH($A56,Material_Detail!$DE:$DE,0)+1,77))),0,IFERROR(INDEX(Material_Detail!$D:$DC,MATCH($A56,Material_Detail!$DE:$DE,0),77),0)),SUMIFS(T_Shipments[Confirmed_Qty],T_Shipments[Part Name],$A56,T_Shipments[Effective_Week],77))</f>
        <v/>
      </c>
      <c r="CA56">
        <f>IF(COUNTIF(Material_Detail!$DE:$DE,$A56)&gt;0,IF(ISNUMBER(SEARCH("[済]",INDEX(Material_Detail!$D:$DC,MATCH($A56,Material_Detail!$DE:$DE,0)+1,78))),0,IFERROR(INDEX(Material_Detail!$D:$DC,MATCH($A56,Material_Detail!$DE:$DE,0),78),0)),SUMIFS(T_Shipments[Confirmed_Qty],T_Shipments[Part Name],$A56,T_Shipments[Effective_Week],78))</f>
        <v/>
      </c>
      <c r="CB56">
        <f>IF(COUNTIF(Material_Detail!$DE:$DE,$A56)&gt;0,IF(ISNUMBER(SEARCH("[済]",INDEX(Material_Detail!$D:$DC,MATCH($A56,Material_Detail!$DE:$DE,0)+1,79))),0,IFERROR(INDEX(Material_Detail!$D:$DC,MATCH($A56,Material_Detail!$DE:$DE,0),79),0)),SUMIFS(T_Shipments[Confirmed_Qty],T_Shipments[Part Name],$A56,T_Shipments[Effective_Week],79))</f>
        <v/>
      </c>
      <c r="CC56">
        <f>IF(COUNTIF(Material_Detail!$DE:$DE,$A56)&gt;0,IF(ISNUMBER(SEARCH("[済]",INDEX(Material_Detail!$D:$DC,MATCH($A56,Material_Detail!$DE:$DE,0)+1,80))),0,IFERROR(INDEX(Material_Detail!$D:$DC,MATCH($A56,Material_Detail!$DE:$DE,0),80),0)),SUMIFS(T_Shipments[Confirmed_Qty],T_Shipments[Part Name],$A56,T_Shipments[Effective_Week],80))</f>
        <v/>
      </c>
      <c r="CD56">
        <f>IF(COUNTIF(Material_Detail!$DE:$DE,$A56)&gt;0,IF(ISNUMBER(SEARCH("[済]",INDEX(Material_Detail!$D:$DC,MATCH($A56,Material_Detail!$DE:$DE,0)+1,81))),0,IFERROR(INDEX(Material_Detail!$D:$DC,MATCH($A56,Material_Detail!$DE:$DE,0),81),0)),SUMIFS(T_Shipments[Confirmed_Qty],T_Shipments[Part Name],$A56,T_Shipments[Effective_Week],81))</f>
        <v/>
      </c>
      <c r="CE56">
        <f>IF(COUNTIF(Material_Detail!$DE:$DE,$A56)&gt;0,IF(ISNUMBER(SEARCH("[済]",INDEX(Material_Detail!$D:$DC,MATCH($A56,Material_Detail!$DE:$DE,0)+1,82))),0,IFERROR(INDEX(Material_Detail!$D:$DC,MATCH($A56,Material_Detail!$DE:$DE,0),82),0)),SUMIFS(T_Shipments[Confirmed_Qty],T_Shipments[Part Name],$A56,T_Shipments[Effective_Week],82))</f>
        <v/>
      </c>
      <c r="CF56">
        <f>IF(COUNTIF(Material_Detail!$DE:$DE,$A56)&gt;0,IF(ISNUMBER(SEARCH("[済]",INDEX(Material_Detail!$D:$DC,MATCH($A56,Material_Detail!$DE:$DE,0)+1,83))),0,IFERROR(INDEX(Material_Detail!$D:$DC,MATCH($A56,Material_Detail!$DE:$DE,0),83),0)),SUMIFS(T_Shipments[Confirmed_Qty],T_Shipments[Part Name],$A56,T_Shipments[Effective_Week],83))</f>
        <v/>
      </c>
      <c r="CG56">
        <f>IF(COUNTIF(Material_Detail!$DE:$DE,$A56)&gt;0,IF(ISNUMBER(SEARCH("[済]",INDEX(Material_Detail!$D:$DC,MATCH($A56,Material_Detail!$DE:$DE,0)+1,84))),0,IFERROR(INDEX(Material_Detail!$D:$DC,MATCH($A56,Material_Detail!$DE:$DE,0),84),0)),SUMIFS(T_Shipments[Confirmed_Qty],T_Shipments[Part Name],$A56,T_Shipments[Effective_Week],84))</f>
        <v/>
      </c>
      <c r="CH56">
        <f>IF(COUNTIF(Material_Detail!$DE:$DE,$A56)&gt;0,IF(ISNUMBER(SEARCH("[済]",INDEX(Material_Detail!$D:$DC,MATCH($A56,Material_Detail!$DE:$DE,0)+1,85))),0,IFERROR(INDEX(Material_Detail!$D:$DC,MATCH($A56,Material_Detail!$DE:$DE,0),85),0)),SUMIFS(T_Shipments[Confirmed_Qty],T_Shipments[Part Name],$A56,T_Shipments[Effective_Week],85))</f>
        <v/>
      </c>
      <c r="CI56">
        <f>IF(COUNTIF(Material_Detail!$DE:$DE,$A56)&gt;0,IF(ISNUMBER(SEARCH("[済]",INDEX(Material_Detail!$D:$DC,MATCH($A56,Material_Detail!$DE:$DE,0)+1,86))),0,IFERROR(INDEX(Material_Detail!$D:$DC,MATCH($A56,Material_Detail!$DE:$DE,0),86),0)),SUMIFS(T_Shipments[Confirmed_Qty],T_Shipments[Part Name],$A56,T_Shipments[Effective_Week],86))</f>
        <v/>
      </c>
      <c r="CJ56">
        <f>IF(COUNTIF(Material_Detail!$DE:$DE,$A56)&gt;0,IF(ISNUMBER(SEARCH("[済]",INDEX(Material_Detail!$D:$DC,MATCH($A56,Material_Detail!$DE:$DE,0)+1,87))),0,IFERROR(INDEX(Material_Detail!$D:$DC,MATCH($A56,Material_Detail!$DE:$DE,0),87),0)),SUMIFS(T_Shipments[Confirmed_Qty],T_Shipments[Part Name],$A56,T_Shipments[Effective_Week],87))</f>
        <v/>
      </c>
      <c r="CK56">
        <f>IF(COUNTIF(Material_Detail!$DE:$DE,$A56)&gt;0,IF(ISNUMBER(SEARCH("[済]",INDEX(Material_Detail!$D:$DC,MATCH($A56,Material_Detail!$DE:$DE,0)+1,88))),0,IFERROR(INDEX(Material_Detail!$D:$DC,MATCH($A56,Material_Detail!$DE:$DE,0),88),0)),SUMIFS(T_Shipments[Confirmed_Qty],T_Shipments[Part Name],$A56,T_Shipments[Effective_Week],88))</f>
        <v/>
      </c>
      <c r="CL56">
        <f>IF(COUNTIF(Material_Detail!$DE:$DE,$A56)&gt;0,IF(ISNUMBER(SEARCH("[済]",INDEX(Material_Detail!$D:$DC,MATCH($A56,Material_Detail!$DE:$DE,0)+1,89))),0,IFERROR(INDEX(Material_Detail!$D:$DC,MATCH($A56,Material_Detail!$DE:$DE,0),89),0)),SUMIFS(T_Shipments[Confirmed_Qty],T_Shipments[Part Name],$A56,T_Shipments[Effective_Week],89))</f>
        <v/>
      </c>
      <c r="CM56">
        <f>IF(COUNTIF(Material_Detail!$DE:$DE,$A56)&gt;0,IF(ISNUMBER(SEARCH("[済]",INDEX(Material_Detail!$D:$DC,MATCH($A56,Material_Detail!$DE:$DE,0)+1,90))),0,IFERROR(INDEX(Material_Detail!$D:$DC,MATCH($A56,Material_Detail!$DE:$DE,0),90),0)),SUMIFS(T_Shipments[Confirmed_Qty],T_Shipments[Part Name],$A56,T_Shipments[Effective_Week],90))</f>
        <v/>
      </c>
      <c r="CN56">
        <f>IF(COUNTIF(Material_Detail!$DE:$DE,$A56)&gt;0,IF(ISNUMBER(SEARCH("[済]",INDEX(Material_Detail!$D:$DC,MATCH($A56,Material_Detail!$DE:$DE,0)+1,91))),0,IFERROR(INDEX(Material_Detail!$D:$DC,MATCH($A56,Material_Detail!$DE:$DE,0),91),0)),SUMIFS(T_Shipments[Confirmed_Qty],T_Shipments[Part Name],$A56,T_Shipments[Effective_Week],91))</f>
        <v/>
      </c>
      <c r="CO56">
        <f>IF(COUNTIF(Material_Detail!$DE:$DE,$A56)&gt;0,IF(ISNUMBER(SEARCH("[済]",INDEX(Material_Detail!$D:$DC,MATCH($A56,Material_Detail!$DE:$DE,0)+1,92))),0,IFERROR(INDEX(Material_Detail!$D:$DC,MATCH($A56,Material_Detail!$DE:$DE,0),92),0)),SUMIFS(T_Shipments[Confirmed_Qty],T_Shipments[Part Name],$A56,T_Shipments[Effective_Week],92))</f>
        <v/>
      </c>
      <c r="CP56">
        <f>IF(COUNTIF(Material_Detail!$DE:$DE,$A56)&gt;0,IF(ISNUMBER(SEARCH("[済]",INDEX(Material_Detail!$D:$DC,MATCH($A56,Material_Detail!$DE:$DE,0)+1,93))),0,IFERROR(INDEX(Material_Detail!$D:$DC,MATCH($A56,Material_Detail!$DE:$DE,0),93),0)),SUMIFS(T_Shipments[Confirmed_Qty],T_Shipments[Part Name],$A56,T_Shipments[Effective_Week],93))</f>
        <v/>
      </c>
      <c r="CQ56">
        <f>IF(COUNTIF(Material_Detail!$DE:$DE,$A56)&gt;0,IF(ISNUMBER(SEARCH("[済]",INDEX(Material_Detail!$D:$DC,MATCH($A56,Material_Detail!$DE:$DE,0)+1,94))),0,IFERROR(INDEX(Material_Detail!$D:$DC,MATCH($A56,Material_Detail!$DE:$DE,0),94),0)),SUMIFS(T_Shipments[Confirmed_Qty],T_Shipments[Part Name],$A56,T_Shipments[Effective_Week],94))</f>
        <v/>
      </c>
      <c r="CR56">
        <f>IF(COUNTIF(Material_Detail!$DE:$DE,$A56)&gt;0,IF(ISNUMBER(SEARCH("[済]",INDEX(Material_Detail!$D:$DC,MATCH($A56,Material_Detail!$DE:$DE,0)+1,95))),0,IFERROR(INDEX(Material_Detail!$D:$DC,MATCH($A56,Material_Detail!$DE:$DE,0),95),0)),SUMIFS(T_Shipments[Confirmed_Qty],T_Shipments[Part Name],$A56,T_Shipments[Effective_Week],95))</f>
        <v/>
      </c>
      <c r="CS56">
        <f>IF(COUNTIF(Material_Detail!$DE:$DE,$A56)&gt;0,IF(ISNUMBER(SEARCH("[済]",INDEX(Material_Detail!$D:$DC,MATCH($A56,Material_Detail!$DE:$DE,0)+1,96))),0,IFERROR(INDEX(Material_Detail!$D:$DC,MATCH($A56,Material_Detail!$DE:$DE,0),96),0)),SUMIFS(T_Shipments[Confirmed_Qty],T_Shipments[Part Name],$A56,T_Shipments[Effective_Week],96))</f>
        <v/>
      </c>
      <c r="CT56">
        <f>IF(COUNTIF(Material_Detail!$DE:$DE,$A56)&gt;0,IF(ISNUMBER(SEARCH("[済]",INDEX(Material_Detail!$D:$DC,MATCH($A56,Material_Detail!$DE:$DE,0)+1,97))),0,IFERROR(INDEX(Material_Detail!$D:$DC,MATCH($A56,Material_Detail!$DE:$DE,0),97),0)),SUMIFS(T_Shipments[Confirmed_Qty],T_Shipments[Part Name],$A56,T_Shipments[Effective_Week],97))</f>
        <v/>
      </c>
      <c r="CU56">
        <f>IF(COUNTIF(Material_Detail!$DE:$DE,$A56)&gt;0,IF(ISNUMBER(SEARCH("[済]",INDEX(Material_Detail!$D:$DC,MATCH($A56,Material_Detail!$DE:$DE,0)+1,98))),0,IFERROR(INDEX(Material_Detail!$D:$DC,MATCH($A56,Material_Detail!$DE:$DE,0),98),0)),SUMIFS(T_Shipments[Confirmed_Qty],T_Shipments[Part Name],$A56,T_Shipments[Effective_Week],98))</f>
        <v/>
      </c>
      <c r="CV56">
        <f>IF(COUNTIF(Material_Detail!$DE:$DE,$A56)&gt;0,IF(ISNUMBER(SEARCH("[済]",INDEX(Material_Detail!$D:$DC,MATCH($A56,Material_Detail!$DE:$DE,0)+1,99))),0,IFERROR(INDEX(Material_Detail!$D:$DC,MATCH($A56,Material_Detail!$DE:$DE,0),99),0)),SUMIFS(T_Shipments[Confirmed_Qty],T_Shipments[Part Name],$A56,T_Shipments[Effective_Week],99))</f>
        <v/>
      </c>
      <c r="CW56">
        <f>IF(COUNTIF(Material_Detail!$DE:$DE,$A56)&gt;0,IF(ISNUMBER(SEARCH("[済]",INDEX(Material_Detail!$D:$DC,MATCH($A56,Material_Detail!$DE:$DE,0)+1,100))),0,IFERROR(INDEX(Material_Detail!$D:$DC,MATCH($A56,Material_Detail!$DE:$DE,0),100),0)),SUMIFS(T_Shipments[Confirmed_Qty],T_Shipments[Part Name],$A56,T_Shipments[Effective_Week],100))</f>
        <v/>
      </c>
      <c r="CX56">
        <f>IF(COUNTIF(Material_Detail!$DE:$DE,$A56)&gt;0,IF(ISNUMBER(SEARCH("[済]",INDEX(Material_Detail!$D:$DC,MATCH($A56,Material_Detail!$DE:$DE,0)+1,101))),0,IFERROR(INDEX(Material_Detail!$D:$DC,MATCH($A56,Material_Detail!$DE:$DE,0),101),0)),SUMIFS(T_Shipments[Confirmed_Qty],T_Shipments[Part Name],$A56,T_Shipments[Effective_Week],101))</f>
        <v/>
      </c>
      <c r="CY56">
        <f>IF(COUNTIF(Material_Detail!$DE:$DE,$A56)&gt;0,IF(ISNUMBER(SEARCH("[済]",INDEX(Material_Detail!$D:$DC,MATCH($A56,Material_Detail!$DE:$DE,0)+1,102))),0,IFERROR(INDEX(Material_Detail!$D:$DC,MATCH($A56,Material_Detail!$DE:$DE,0),102),0)),SUMIFS(T_Shipments[Confirmed_Qty],T_Shipments[Part Name],$A56,T_Shipments[Effective_Week],102))</f>
        <v/>
      </c>
      <c r="CZ56">
        <f>IF(COUNTIF(Material_Detail!$DE:$DE,$A56)&gt;0,IF(ISNUMBER(SEARCH("[済]",INDEX(Material_Detail!$D:$DC,MATCH($A56,Material_Detail!$DE:$DE,0)+1,103))),0,IFERROR(INDEX(Material_Detail!$D:$DC,MATCH($A56,Material_Detail!$DE:$DE,0),103),0)),SUMIFS(T_Shipments[Confirmed_Qty],T_Shipments[Part Name],$A56,T_Shipments[Effective_Week],103))</f>
        <v/>
      </c>
      <c r="DA56">
        <f>IF(COUNTIF(Material_Detail!$DE:$DE,$A56)&gt;0,IF(ISNUMBER(SEARCH("[済]",INDEX(Material_Detail!$D:$DC,MATCH($A56,Material_Detail!$DE:$DE,0)+1,104))),0,IFERROR(INDEX(Material_Detail!$D:$DC,MATCH($A56,Material_Detail!$DE:$DE,0),104),0)),SUMIFS(T_Shipments[Confirmed_Qty],T_Shipments[Part Name],$A56,T_Shipments[Effective_Week],104))</f>
        <v/>
      </c>
    </row>
    <row r="57">
      <c r="A57" t="inlineStr">
        <is>
          <t>Ester Film</t>
        </is>
      </c>
      <c r="B57">
        <f>IF(COUNTIF(Material_Detail!$DE:$DE,$A57)&gt;0,IF(ISNUMBER(SEARCH("[済]",INDEX(Material_Detail!$D:$DC,MATCH($A57,Material_Detail!$DE:$DE,0)+1,1))),0,IFERROR(INDEX(Material_Detail!$D:$DC,MATCH($A57,Material_Detail!$DE:$DE,0),1),0)),SUMIFS(T_Shipments[Confirmed_Qty],T_Shipments[Part Name],$A57,T_Shipments[Effective_Week],1))</f>
        <v/>
      </c>
      <c r="C57">
        <f>IF(COUNTIF(Material_Detail!$DE:$DE,$A57)&gt;0,IF(ISNUMBER(SEARCH("[済]",INDEX(Material_Detail!$D:$DC,MATCH($A57,Material_Detail!$DE:$DE,0)+1,2))),0,IFERROR(INDEX(Material_Detail!$D:$DC,MATCH($A57,Material_Detail!$DE:$DE,0),2),0)),SUMIFS(T_Shipments[Confirmed_Qty],T_Shipments[Part Name],$A57,T_Shipments[Effective_Week],2))</f>
        <v/>
      </c>
      <c r="D57">
        <f>IF(COUNTIF(Material_Detail!$DE:$DE,$A57)&gt;0,IF(ISNUMBER(SEARCH("[済]",INDEX(Material_Detail!$D:$DC,MATCH($A57,Material_Detail!$DE:$DE,0)+1,3))),0,IFERROR(INDEX(Material_Detail!$D:$DC,MATCH($A57,Material_Detail!$DE:$DE,0),3),0)),SUMIFS(T_Shipments[Confirmed_Qty],T_Shipments[Part Name],$A57,T_Shipments[Effective_Week],3))</f>
        <v/>
      </c>
      <c r="E57">
        <f>IF(COUNTIF(Material_Detail!$DE:$DE,$A57)&gt;0,IF(ISNUMBER(SEARCH("[済]",INDEX(Material_Detail!$D:$DC,MATCH($A57,Material_Detail!$DE:$DE,0)+1,4))),0,IFERROR(INDEX(Material_Detail!$D:$DC,MATCH($A57,Material_Detail!$DE:$DE,0),4),0)),SUMIFS(T_Shipments[Confirmed_Qty],T_Shipments[Part Name],$A57,T_Shipments[Effective_Week],4))</f>
        <v/>
      </c>
      <c r="F57">
        <f>IF(COUNTIF(Material_Detail!$DE:$DE,$A57)&gt;0,IF(ISNUMBER(SEARCH("[済]",INDEX(Material_Detail!$D:$DC,MATCH($A57,Material_Detail!$DE:$DE,0)+1,5))),0,IFERROR(INDEX(Material_Detail!$D:$DC,MATCH($A57,Material_Detail!$DE:$DE,0),5),0)),SUMIFS(T_Shipments[Confirmed_Qty],T_Shipments[Part Name],$A57,T_Shipments[Effective_Week],5))</f>
        <v/>
      </c>
      <c r="G57">
        <f>IF(COUNTIF(Material_Detail!$DE:$DE,$A57)&gt;0,IF(ISNUMBER(SEARCH("[済]",INDEX(Material_Detail!$D:$DC,MATCH($A57,Material_Detail!$DE:$DE,0)+1,6))),0,IFERROR(INDEX(Material_Detail!$D:$DC,MATCH($A57,Material_Detail!$DE:$DE,0),6),0)),SUMIFS(T_Shipments[Confirmed_Qty],T_Shipments[Part Name],$A57,T_Shipments[Effective_Week],6))</f>
        <v/>
      </c>
      <c r="H57">
        <f>IF(COUNTIF(Material_Detail!$DE:$DE,$A57)&gt;0,IF(ISNUMBER(SEARCH("[済]",INDEX(Material_Detail!$D:$DC,MATCH($A57,Material_Detail!$DE:$DE,0)+1,7))),0,IFERROR(INDEX(Material_Detail!$D:$DC,MATCH($A57,Material_Detail!$DE:$DE,0),7),0)),SUMIFS(T_Shipments[Confirmed_Qty],T_Shipments[Part Name],$A57,T_Shipments[Effective_Week],7))</f>
        <v/>
      </c>
      <c r="I57">
        <f>IF(COUNTIF(Material_Detail!$DE:$DE,$A57)&gt;0,IF(ISNUMBER(SEARCH("[済]",INDEX(Material_Detail!$D:$DC,MATCH($A57,Material_Detail!$DE:$DE,0)+1,8))),0,IFERROR(INDEX(Material_Detail!$D:$DC,MATCH($A57,Material_Detail!$DE:$DE,0),8),0)),SUMIFS(T_Shipments[Confirmed_Qty],T_Shipments[Part Name],$A57,T_Shipments[Effective_Week],8))</f>
        <v/>
      </c>
      <c r="J57">
        <f>IF(COUNTIF(Material_Detail!$DE:$DE,$A57)&gt;0,IF(ISNUMBER(SEARCH("[済]",INDEX(Material_Detail!$D:$DC,MATCH($A57,Material_Detail!$DE:$DE,0)+1,9))),0,IFERROR(INDEX(Material_Detail!$D:$DC,MATCH($A57,Material_Detail!$DE:$DE,0),9),0)),SUMIFS(T_Shipments[Confirmed_Qty],T_Shipments[Part Name],$A57,T_Shipments[Effective_Week],9))</f>
        <v/>
      </c>
      <c r="K57">
        <f>IF(COUNTIF(Material_Detail!$DE:$DE,$A57)&gt;0,IF(ISNUMBER(SEARCH("[済]",INDEX(Material_Detail!$D:$DC,MATCH($A57,Material_Detail!$DE:$DE,0)+1,10))),0,IFERROR(INDEX(Material_Detail!$D:$DC,MATCH($A57,Material_Detail!$DE:$DE,0),10),0)),SUMIFS(T_Shipments[Confirmed_Qty],T_Shipments[Part Name],$A57,T_Shipments[Effective_Week],10))</f>
        <v/>
      </c>
      <c r="L57">
        <f>IF(COUNTIF(Material_Detail!$DE:$DE,$A57)&gt;0,IF(ISNUMBER(SEARCH("[済]",INDEX(Material_Detail!$D:$DC,MATCH($A57,Material_Detail!$DE:$DE,0)+1,11))),0,IFERROR(INDEX(Material_Detail!$D:$DC,MATCH($A57,Material_Detail!$DE:$DE,0),11),0)),SUMIFS(T_Shipments[Confirmed_Qty],T_Shipments[Part Name],$A57,T_Shipments[Effective_Week],11))</f>
        <v/>
      </c>
      <c r="M57">
        <f>IF(COUNTIF(Material_Detail!$DE:$DE,$A57)&gt;0,IF(ISNUMBER(SEARCH("[済]",INDEX(Material_Detail!$D:$DC,MATCH($A57,Material_Detail!$DE:$DE,0)+1,12))),0,IFERROR(INDEX(Material_Detail!$D:$DC,MATCH($A57,Material_Detail!$DE:$DE,0),12),0)),SUMIFS(T_Shipments[Confirmed_Qty],T_Shipments[Part Name],$A57,T_Shipments[Effective_Week],12))</f>
        <v/>
      </c>
      <c r="N57">
        <f>IF(COUNTIF(Material_Detail!$DE:$DE,$A57)&gt;0,IF(ISNUMBER(SEARCH("[済]",INDEX(Material_Detail!$D:$DC,MATCH($A57,Material_Detail!$DE:$DE,0)+1,13))),0,IFERROR(INDEX(Material_Detail!$D:$DC,MATCH($A57,Material_Detail!$DE:$DE,0),13),0)),SUMIFS(T_Shipments[Confirmed_Qty],T_Shipments[Part Name],$A57,T_Shipments[Effective_Week],13))</f>
        <v/>
      </c>
      <c r="O57">
        <f>IF(COUNTIF(Material_Detail!$DE:$DE,$A57)&gt;0,IF(ISNUMBER(SEARCH("[済]",INDEX(Material_Detail!$D:$DC,MATCH($A57,Material_Detail!$DE:$DE,0)+1,14))),0,IFERROR(INDEX(Material_Detail!$D:$DC,MATCH($A57,Material_Detail!$DE:$DE,0),14),0)),SUMIFS(T_Shipments[Confirmed_Qty],T_Shipments[Part Name],$A57,T_Shipments[Effective_Week],14))</f>
        <v/>
      </c>
      <c r="P57">
        <f>IF(COUNTIF(Material_Detail!$DE:$DE,$A57)&gt;0,IF(ISNUMBER(SEARCH("[済]",INDEX(Material_Detail!$D:$DC,MATCH($A57,Material_Detail!$DE:$DE,0)+1,15))),0,IFERROR(INDEX(Material_Detail!$D:$DC,MATCH($A57,Material_Detail!$DE:$DE,0),15),0)),SUMIFS(T_Shipments[Confirmed_Qty],T_Shipments[Part Name],$A57,T_Shipments[Effective_Week],15))</f>
        <v/>
      </c>
      <c r="Q57">
        <f>IF(COUNTIF(Material_Detail!$DE:$DE,$A57)&gt;0,IF(ISNUMBER(SEARCH("[済]",INDEX(Material_Detail!$D:$DC,MATCH($A57,Material_Detail!$DE:$DE,0)+1,16))),0,IFERROR(INDEX(Material_Detail!$D:$DC,MATCH($A57,Material_Detail!$DE:$DE,0),16),0)),SUMIFS(T_Shipments[Confirmed_Qty],T_Shipments[Part Name],$A57,T_Shipments[Effective_Week],16))</f>
        <v/>
      </c>
      <c r="R57">
        <f>IF(COUNTIF(Material_Detail!$DE:$DE,$A57)&gt;0,IF(ISNUMBER(SEARCH("[済]",INDEX(Material_Detail!$D:$DC,MATCH($A57,Material_Detail!$DE:$DE,0)+1,17))),0,IFERROR(INDEX(Material_Detail!$D:$DC,MATCH($A57,Material_Detail!$DE:$DE,0),17),0)),SUMIFS(T_Shipments[Confirmed_Qty],T_Shipments[Part Name],$A57,T_Shipments[Effective_Week],17))</f>
        <v/>
      </c>
      <c r="S57">
        <f>IF(COUNTIF(Material_Detail!$DE:$DE,$A57)&gt;0,IF(ISNUMBER(SEARCH("[済]",INDEX(Material_Detail!$D:$DC,MATCH($A57,Material_Detail!$DE:$DE,0)+1,18))),0,IFERROR(INDEX(Material_Detail!$D:$DC,MATCH($A57,Material_Detail!$DE:$DE,0),18),0)),SUMIFS(T_Shipments[Confirmed_Qty],T_Shipments[Part Name],$A57,T_Shipments[Effective_Week],18))</f>
        <v/>
      </c>
      <c r="T57">
        <f>IF(COUNTIF(Material_Detail!$DE:$DE,$A57)&gt;0,IF(ISNUMBER(SEARCH("[済]",INDEX(Material_Detail!$D:$DC,MATCH($A57,Material_Detail!$DE:$DE,0)+1,19))),0,IFERROR(INDEX(Material_Detail!$D:$DC,MATCH($A57,Material_Detail!$DE:$DE,0),19),0)),SUMIFS(T_Shipments[Confirmed_Qty],T_Shipments[Part Name],$A57,T_Shipments[Effective_Week],19))</f>
        <v/>
      </c>
      <c r="U57">
        <f>IF(COUNTIF(Material_Detail!$DE:$DE,$A57)&gt;0,IF(ISNUMBER(SEARCH("[済]",INDEX(Material_Detail!$D:$DC,MATCH($A57,Material_Detail!$DE:$DE,0)+1,20))),0,IFERROR(INDEX(Material_Detail!$D:$DC,MATCH($A57,Material_Detail!$DE:$DE,0),20),0)),SUMIFS(T_Shipments[Confirmed_Qty],T_Shipments[Part Name],$A57,T_Shipments[Effective_Week],20))</f>
        <v/>
      </c>
      <c r="V57">
        <f>IF(COUNTIF(Material_Detail!$DE:$DE,$A57)&gt;0,IF(ISNUMBER(SEARCH("[済]",INDEX(Material_Detail!$D:$DC,MATCH($A57,Material_Detail!$DE:$DE,0)+1,21))),0,IFERROR(INDEX(Material_Detail!$D:$DC,MATCH($A57,Material_Detail!$DE:$DE,0),21),0)),SUMIFS(T_Shipments[Confirmed_Qty],T_Shipments[Part Name],$A57,T_Shipments[Effective_Week],21))</f>
        <v/>
      </c>
      <c r="W57">
        <f>IF(COUNTIF(Material_Detail!$DE:$DE,$A57)&gt;0,IF(ISNUMBER(SEARCH("[済]",INDEX(Material_Detail!$D:$DC,MATCH($A57,Material_Detail!$DE:$DE,0)+1,22))),0,IFERROR(INDEX(Material_Detail!$D:$DC,MATCH($A57,Material_Detail!$DE:$DE,0),22),0)),SUMIFS(T_Shipments[Confirmed_Qty],T_Shipments[Part Name],$A57,T_Shipments[Effective_Week],22))</f>
        <v/>
      </c>
      <c r="X57">
        <f>IF(COUNTIF(Material_Detail!$DE:$DE,$A57)&gt;0,IF(ISNUMBER(SEARCH("[済]",INDEX(Material_Detail!$D:$DC,MATCH($A57,Material_Detail!$DE:$DE,0)+1,23))),0,IFERROR(INDEX(Material_Detail!$D:$DC,MATCH($A57,Material_Detail!$DE:$DE,0),23),0)),SUMIFS(T_Shipments[Confirmed_Qty],T_Shipments[Part Name],$A57,T_Shipments[Effective_Week],23))</f>
        <v/>
      </c>
      <c r="Y57">
        <f>IF(COUNTIF(Material_Detail!$DE:$DE,$A57)&gt;0,IF(ISNUMBER(SEARCH("[済]",INDEX(Material_Detail!$D:$DC,MATCH($A57,Material_Detail!$DE:$DE,0)+1,24))),0,IFERROR(INDEX(Material_Detail!$D:$DC,MATCH($A57,Material_Detail!$DE:$DE,0),24),0)),SUMIFS(T_Shipments[Confirmed_Qty],T_Shipments[Part Name],$A57,T_Shipments[Effective_Week],24))</f>
        <v/>
      </c>
      <c r="Z57">
        <f>IF(COUNTIF(Material_Detail!$DE:$DE,$A57)&gt;0,IF(ISNUMBER(SEARCH("[済]",INDEX(Material_Detail!$D:$DC,MATCH($A57,Material_Detail!$DE:$DE,0)+1,25))),0,IFERROR(INDEX(Material_Detail!$D:$DC,MATCH($A57,Material_Detail!$DE:$DE,0),25),0)),SUMIFS(T_Shipments[Confirmed_Qty],T_Shipments[Part Name],$A57,T_Shipments[Effective_Week],25))</f>
        <v/>
      </c>
      <c r="AA57">
        <f>IF(COUNTIF(Material_Detail!$DE:$DE,$A57)&gt;0,IF(ISNUMBER(SEARCH("[済]",INDEX(Material_Detail!$D:$DC,MATCH($A57,Material_Detail!$DE:$DE,0)+1,26))),0,IFERROR(INDEX(Material_Detail!$D:$DC,MATCH($A57,Material_Detail!$DE:$DE,0),26),0)),SUMIFS(T_Shipments[Confirmed_Qty],T_Shipments[Part Name],$A57,T_Shipments[Effective_Week],26))</f>
        <v/>
      </c>
      <c r="AB57">
        <f>IF(COUNTIF(Material_Detail!$DE:$DE,$A57)&gt;0,IF(ISNUMBER(SEARCH("[済]",INDEX(Material_Detail!$D:$DC,MATCH($A57,Material_Detail!$DE:$DE,0)+1,27))),0,IFERROR(INDEX(Material_Detail!$D:$DC,MATCH($A57,Material_Detail!$DE:$DE,0),27),0)),SUMIFS(T_Shipments[Confirmed_Qty],T_Shipments[Part Name],$A57,T_Shipments[Effective_Week],27))</f>
        <v/>
      </c>
      <c r="AC57">
        <f>IF(COUNTIF(Material_Detail!$DE:$DE,$A57)&gt;0,IF(ISNUMBER(SEARCH("[済]",INDEX(Material_Detail!$D:$DC,MATCH($A57,Material_Detail!$DE:$DE,0)+1,28))),0,IFERROR(INDEX(Material_Detail!$D:$DC,MATCH($A57,Material_Detail!$DE:$DE,0),28),0)),SUMIFS(T_Shipments[Confirmed_Qty],T_Shipments[Part Name],$A57,T_Shipments[Effective_Week],28))</f>
        <v/>
      </c>
      <c r="AD57">
        <f>IF(COUNTIF(Material_Detail!$DE:$DE,$A57)&gt;0,IF(ISNUMBER(SEARCH("[済]",INDEX(Material_Detail!$D:$DC,MATCH($A57,Material_Detail!$DE:$DE,0)+1,29))),0,IFERROR(INDEX(Material_Detail!$D:$DC,MATCH($A57,Material_Detail!$DE:$DE,0),29),0)),SUMIFS(T_Shipments[Confirmed_Qty],T_Shipments[Part Name],$A57,T_Shipments[Effective_Week],29))</f>
        <v/>
      </c>
      <c r="AE57">
        <f>IF(COUNTIF(Material_Detail!$DE:$DE,$A57)&gt;0,IF(ISNUMBER(SEARCH("[済]",INDEX(Material_Detail!$D:$DC,MATCH($A57,Material_Detail!$DE:$DE,0)+1,30))),0,IFERROR(INDEX(Material_Detail!$D:$DC,MATCH($A57,Material_Detail!$DE:$DE,0),30),0)),SUMIFS(T_Shipments[Confirmed_Qty],T_Shipments[Part Name],$A57,T_Shipments[Effective_Week],30))</f>
        <v/>
      </c>
      <c r="AF57">
        <f>IF(COUNTIF(Material_Detail!$DE:$DE,$A57)&gt;0,IF(ISNUMBER(SEARCH("[済]",INDEX(Material_Detail!$D:$DC,MATCH($A57,Material_Detail!$DE:$DE,0)+1,31))),0,IFERROR(INDEX(Material_Detail!$D:$DC,MATCH($A57,Material_Detail!$DE:$DE,0),31),0)),SUMIFS(T_Shipments[Confirmed_Qty],T_Shipments[Part Name],$A57,T_Shipments[Effective_Week],31))</f>
        <v/>
      </c>
      <c r="AG57">
        <f>IF(COUNTIF(Material_Detail!$DE:$DE,$A57)&gt;0,IF(ISNUMBER(SEARCH("[済]",INDEX(Material_Detail!$D:$DC,MATCH($A57,Material_Detail!$DE:$DE,0)+1,32))),0,IFERROR(INDEX(Material_Detail!$D:$DC,MATCH($A57,Material_Detail!$DE:$DE,0),32),0)),SUMIFS(T_Shipments[Confirmed_Qty],T_Shipments[Part Name],$A57,T_Shipments[Effective_Week],32))</f>
        <v/>
      </c>
      <c r="AH57">
        <f>IF(COUNTIF(Material_Detail!$DE:$DE,$A57)&gt;0,IF(ISNUMBER(SEARCH("[済]",INDEX(Material_Detail!$D:$DC,MATCH($A57,Material_Detail!$DE:$DE,0)+1,33))),0,IFERROR(INDEX(Material_Detail!$D:$DC,MATCH($A57,Material_Detail!$DE:$DE,0),33),0)),SUMIFS(T_Shipments[Confirmed_Qty],T_Shipments[Part Name],$A57,T_Shipments[Effective_Week],33))</f>
        <v/>
      </c>
      <c r="AI57">
        <f>IF(COUNTIF(Material_Detail!$DE:$DE,$A57)&gt;0,IF(ISNUMBER(SEARCH("[済]",INDEX(Material_Detail!$D:$DC,MATCH($A57,Material_Detail!$DE:$DE,0)+1,34))),0,IFERROR(INDEX(Material_Detail!$D:$DC,MATCH($A57,Material_Detail!$DE:$DE,0),34),0)),SUMIFS(T_Shipments[Confirmed_Qty],T_Shipments[Part Name],$A57,T_Shipments[Effective_Week],34))</f>
        <v/>
      </c>
      <c r="AJ57">
        <f>IF(COUNTIF(Material_Detail!$DE:$DE,$A57)&gt;0,IF(ISNUMBER(SEARCH("[済]",INDEX(Material_Detail!$D:$DC,MATCH($A57,Material_Detail!$DE:$DE,0)+1,35))),0,IFERROR(INDEX(Material_Detail!$D:$DC,MATCH($A57,Material_Detail!$DE:$DE,0),35),0)),SUMIFS(T_Shipments[Confirmed_Qty],T_Shipments[Part Name],$A57,T_Shipments[Effective_Week],35))</f>
        <v/>
      </c>
      <c r="AK57">
        <f>IF(COUNTIF(Material_Detail!$DE:$DE,$A57)&gt;0,IF(ISNUMBER(SEARCH("[済]",INDEX(Material_Detail!$D:$DC,MATCH($A57,Material_Detail!$DE:$DE,0)+1,36))),0,IFERROR(INDEX(Material_Detail!$D:$DC,MATCH($A57,Material_Detail!$DE:$DE,0),36),0)),SUMIFS(T_Shipments[Confirmed_Qty],T_Shipments[Part Name],$A57,T_Shipments[Effective_Week],36))</f>
        <v/>
      </c>
      <c r="AL57">
        <f>IF(COUNTIF(Material_Detail!$DE:$DE,$A57)&gt;0,IF(ISNUMBER(SEARCH("[済]",INDEX(Material_Detail!$D:$DC,MATCH($A57,Material_Detail!$DE:$DE,0)+1,37))),0,IFERROR(INDEX(Material_Detail!$D:$DC,MATCH($A57,Material_Detail!$DE:$DE,0),37),0)),SUMIFS(T_Shipments[Confirmed_Qty],T_Shipments[Part Name],$A57,T_Shipments[Effective_Week],37))</f>
        <v/>
      </c>
      <c r="AM57">
        <f>IF(COUNTIF(Material_Detail!$DE:$DE,$A57)&gt;0,IF(ISNUMBER(SEARCH("[済]",INDEX(Material_Detail!$D:$DC,MATCH($A57,Material_Detail!$DE:$DE,0)+1,38))),0,IFERROR(INDEX(Material_Detail!$D:$DC,MATCH($A57,Material_Detail!$DE:$DE,0),38),0)),SUMIFS(T_Shipments[Confirmed_Qty],T_Shipments[Part Name],$A57,T_Shipments[Effective_Week],38))</f>
        <v/>
      </c>
      <c r="AN57">
        <f>IF(COUNTIF(Material_Detail!$DE:$DE,$A57)&gt;0,IF(ISNUMBER(SEARCH("[済]",INDEX(Material_Detail!$D:$DC,MATCH($A57,Material_Detail!$DE:$DE,0)+1,39))),0,IFERROR(INDEX(Material_Detail!$D:$DC,MATCH($A57,Material_Detail!$DE:$DE,0),39),0)),SUMIFS(T_Shipments[Confirmed_Qty],T_Shipments[Part Name],$A57,T_Shipments[Effective_Week],39))</f>
        <v/>
      </c>
      <c r="AO57">
        <f>IF(COUNTIF(Material_Detail!$DE:$DE,$A57)&gt;0,IF(ISNUMBER(SEARCH("[済]",INDEX(Material_Detail!$D:$DC,MATCH($A57,Material_Detail!$DE:$DE,0)+1,40))),0,IFERROR(INDEX(Material_Detail!$D:$DC,MATCH($A57,Material_Detail!$DE:$DE,0),40),0)),SUMIFS(T_Shipments[Confirmed_Qty],T_Shipments[Part Name],$A57,T_Shipments[Effective_Week],40))</f>
        <v/>
      </c>
      <c r="AP57">
        <f>IF(COUNTIF(Material_Detail!$DE:$DE,$A57)&gt;0,IF(ISNUMBER(SEARCH("[済]",INDEX(Material_Detail!$D:$DC,MATCH($A57,Material_Detail!$DE:$DE,0)+1,41))),0,IFERROR(INDEX(Material_Detail!$D:$DC,MATCH($A57,Material_Detail!$DE:$DE,0),41),0)),SUMIFS(T_Shipments[Confirmed_Qty],T_Shipments[Part Name],$A57,T_Shipments[Effective_Week],41))</f>
        <v/>
      </c>
      <c r="AQ57">
        <f>IF(COUNTIF(Material_Detail!$DE:$DE,$A57)&gt;0,IF(ISNUMBER(SEARCH("[済]",INDEX(Material_Detail!$D:$DC,MATCH($A57,Material_Detail!$DE:$DE,0)+1,42))),0,IFERROR(INDEX(Material_Detail!$D:$DC,MATCH($A57,Material_Detail!$DE:$DE,0),42),0)),SUMIFS(T_Shipments[Confirmed_Qty],T_Shipments[Part Name],$A57,T_Shipments[Effective_Week],42))</f>
        <v/>
      </c>
      <c r="AR57">
        <f>IF(COUNTIF(Material_Detail!$DE:$DE,$A57)&gt;0,IF(ISNUMBER(SEARCH("[済]",INDEX(Material_Detail!$D:$DC,MATCH($A57,Material_Detail!$DE:$DE,0)+1,43))),0,IFERROR(INDEX(Material_Detail!$D:$DC,MATCH($A57,Material_Detail!$DE:$DE,0),43),0)),SUMIFS(T_Shipments[Confirmed_Qty],T_Shipments[Part Name],$A57,T_Shipments[Effective_Week],43))</f>
        <v/>
      </c>
      <c r="AS57">
        <f>IF(COUNTIF(Material_Detail!$DE:$DE,$A57)&gt;0,IF(ISNUMBER(SEARCH("[済]",INDEX(Material_Detail!$D:$DC,MATCH($A57,Material_Detail!$DE:$DE,0)+1,44))),0,IFERROR(INDEX(Material_Detail!$D:$DC,MATCH($A57,Material_Detail!$DE:$DE,0),44),0)),SUMIFS(T_Shipments[Confirmed_Qty],T_Shipments[Part Name],$A57,T_Shipments[Effective_Week],44))</f>
        <v/>
      </c>
      <c r="AT57">
        <f>IF(COUNTIF(Material_Detail!$DE:$DE,$A57)&gt;0,IF(ISNUMBER(SEARCH("[済]",INDEX(Material_Detail!$D:$DC,MATCH($A57,Material_Detail!$DE:$DE,0)+1,45))),0,IFERROR(INDEX(Material_Detail!$D:$DC,MATCH($A57,Material_Detail!$DE:$DE,0),45),0)),SUMIFS(T_Shipments[Confirmed_Qty],T_Shipments[Part Name],$A57,T_Shipments[Effective_Week],45))</f>
        <v/>
      </c>
      <c r="AU57">
        <f>IF(COUNTIF(Material_Detail!$DE:$DE,$A57)&gt;0,IF(ISNUMBER(SEARCH("[済]",INDEX(Material_Detail!$D:$DC,MATCH($A57,Material_Detail!$DE:$DE,0)+1,46))),0,IFERROR(INDEX(Material_Detail!$D:$DC,MATCH($A57,Material_Detail!$DE:$DE,0),46),0)),SUMIFS(T_Shipments[Confirmed_Qty],T_Shipments[Part Name],$A57,T_Shipments[Effective_Week],46))</f>
        <v/>
      </c>
      <c r="AV57">
        <f>IF(COUNTIF(Material_Detail!$DE:$DE,$A57)&gt;0,IF(ISNUMBER(SEARCH("[済]",INDEX(Material_Detail!$D:$DC,MATCH($A57,Material_Detail!$DE:$DE,0)+1,47))),0,IFERROR(INDEX(Material_Detail!$D:$DC,MATCH($A57,Material_Detail!$DE:$DE,0),47),0)),SUMIFS(T_Shipments[Confirmed_Qty],T_Shipments[Part Name],$A57,T_Shipments[Effective_Week],47))</f>
        <v/>
      </c>
      <c r="AW57">
        <f>IF(COUNTIF(Material_Detail!$DE:$DE,$A57)&gt;0,IF(ISNUMBER(SEARCH("[済]",INDEX(Material_Detail!$D:$DC,MATCH($A57,Material_Detail!$DE:$DE,0)+1,48))),0,IFERROR(INDEX(Material_Detail!$D:$DC,MATCH($A57,Material_Detail!$DE:$DE,0),48),0)),SUMIFS(T_Shipments[Confirmed_Qty],T_Shipments[Part Name],$A57,T_Shipments[Effective_Week],48))</f>
        <v/>
      </c>
      <c r="AX57">
        <f>IF(COUNTIF(Material_Detail!$DE:$DE,$A57)&gt;0,IF(ISNUMBER(SEARCH("[済]",INDEX(Material_Detail!$D:$DC,MATCH($A57,Material_Detail!$DE:$DE,0)+1,49))),0,IFERROR(INDEX(Material_Detail!$D:$DC,MATCH($A57,Material_Detail!$DE:$DE,0),49),0)),SUMIFS(T_Shipments[Confirmed_Qty],T_Shipments[Part Name],$A57,T_Shipments[Effective_Week],49))</f>
        <v/>
      </c>
      <c r="AY57">
        <f>IF(COUNTIF(Material_Detail!$DE:$DE,$A57)&gt;0,IF(ISNUMBER(SEARCH("[済]",INDEX(Material_Detail!$D:$DC,MATCH($A57,Material_Detail!$DE:$DE,0)+1,50))),0,IFERROR(INDEX(Material_Detail!$D:$DC,MATCH($A57,Material_Detail!$DE:$DE,0),50),0)),SUMIFS(T_Shipments[Confirmed_Qty],T_Shipments[Part Name],$A57,T_Shipments[Effective_Week],50))</f>
        <v/>
      </c>
      <c r="AZ57">
        <f>IF(COUNTIF(Material_Detail!$DE:$DE,$A57)&gt;0,IF(ISNUMBER(SEARCH("[済]",INDEX(Material_Detail!$D:$DC,MATCH($A57,Material_Detail!$DE:$DE,0)+1,51))),0,IFERROR(INDEX(Material_Detail!$D:$DC,MATCH($A57,Material_Detail!$DE:$DE,0),51),0)),SUMIFS(T_Shipments[Confirmed_Qty],T_Shipments[Part Name],$A57,T_Shipments[Effective_Week],51))</f>
        <v/>
      </c>
      <c r="BA57">
        <f>IF(COUNTIF(Material_Detail!$DE:$DE,$A57)&gt;0,IF(ISNUMBER(SEARCH("[済]",INDEX(Material_Detail!$D:$DC,MATCH($A57,Material_Detail!$DE:$DE,0)+1,52))),0,IFERROR(INDEX(Material_Detail!$D:$DC,MATCH($A57,Material_Detail!$DE:$DE,0),52),0)),SUMIFS(T_Shipments[Confirmed_Qty],T_Shipments[Part Name],$A57,T_Shipments[Effective_Week],52))</f>
        <v/>
      </c>
      <c r="BB57">
        <f>IF(COUNTIF(Material_Detail!$DE:$DE,$A57)&gt;0,IF(ISNUMBER(SEARCH("[済]",INDEX(Material_Detail!$D:$DC,MATCH($A57,Material_Detail!$DE:$DE,0)+1,53))),0,IFERROR(INDEX(Material_Detail!$D:$DC,MATCH($A57,Material_Detail!$DE:$DE,0),53),0)),SUMIFS(T_Shipments[Confirmed_Qty],T_Shipments[Part Name],$A57,T_Shipments[Effective_Week],53))</f>
        <v/>
      </c>
      <c r="BC57">
        <f>IF(COUNTIF(Material_Detail!$DE:$DE,$A57)&gt;0,IF(ISNUMBER(SEARCH("[済]",INDEX(Material_Detail!$D:$DC,MATCH($A57,Material_Detail!$DE:$DE,0)+1,54))),0,IFERROR(INDEX(Material_Detail!$D:$DC,MATCH($A57,Material_Detail!$DE:$DE,0),54),0)),SUMIFS(T_Shipments[Confirmed_Qty],T_Shipments[Part Name],$A57,T_Shipments[Effective_Week],54))</f>
        <v/>
      </c>
      <c r="BD57">
        <f>IF(COUNTIF(Material_Detail!$DE:$DE,$A57)&gt;0,IF(ISNUMBER(SEARCH("[済]",INDEX(Material_Detail!$D:$DC,MATCH($A57,Material_Detail!$DE:$DE,0)+1,55))),0,IFERROR(INDEX(Material_Detail!$D:$DC,MATCH($A57,Material_Detail!$DE:$DE,0),55),0)),SUMIFS(T_Shipments[Confirmed_Qty],T_Shipments[Part Name],$A57,T_Shipments[Effective_Week],55))</f>
        <v/>
      </c>
      <c r="BE57">
        <f>IF(COUNTIF(Material_Detail!$DE:$DE,$A57)&gt;0,IF(ISNUMBER(SEARCH("[済]",INDEX(Material_Detail!$D:$DC,MATCH($A57,Material_Detail!$DE:$DE,0)+1,56))),0,IFERROR(INDEX(Material_Detail!$D:$DC,MATCH($A57,Material_Detail!$DE:$DE,0),56),0)),SUMIFS(T_Shipments[Confirmed_Qty],T_Shipments[Part Name],$A57,T_Shipments[Effective_Week],56))</f>
        <v/>
      </c>
      <c r="BF57">
        <f>IF(COUNTIF(Material_Detail!$DE:$DE,$A57)&gt;0,IF(ISNUMBER(SEARCH("[済]",INDEX(Material_Detail!$D:$DC,MATCH($A57,Material_Detail!$DE:$DE,0)+1,57))),0,IFERROR(INDEX(Material_Detail!$D:$DC,MATCH($A57,Material_Detail!$DE:$DE,0),57),0)),SUMIFS(T_Shipments[Confirmed_Qty],T_Shipments[Part Name],$A57,T_Shipments[Effective_Week],57))</f>
        <v/>
      </c>
      <c r="BG57">
        <f>IF(COUNTIF(Material_Detail!$DE:$DE,$A57)&gt;0,IF(ISNUMBER(SEARCH("[済]",INDEX(Material_Detail!$D:$DC,MATCH($A57,Material_Detail!$DE:$DE,0)+1,58))),0,IFERROR(INDEX(Material_Detail!$D:$DC,MATCH($A57,Material_Detail!$DE:$DE,0),58),0)),SUMIFS(T_Shipments[Confirmed_Qty],T_Shipments[Part Name],$A57,T_Shipments[Effective_Week],58))</f>
        <v/>
      </c>
      <c r="BH57">
        <f>IF(COUNTIF(Material_Detail!$DE:$DE,$A57)&gt;0,IF(ISNUMBER(SEARCH("[済]",INDEX(Material_Detail!$D:$DC,MATCH($A57,Material_Detail!$DE:$DE,0)+1,59))),0,IFERROR(INDEX(Material_Detail!$D:$DC,MATCH($A57,Material_Detail!$DE:$DE,0),59),0)),SUMIFS(T_Shipments[Confirmed_Qty],T_Shipments[Part Name],$A57,T_Shipments[Effective_Week],59))</f>
        <v/>
      </c>
      <c r="BI57">
        <f>IF(COUNTIF(Material_Detail!$DE:$DE,$A57)&gt;0,IF(ISNUMBER(SEARCH("[済]",INDEX(Material_Detail!$D:$DC,MATCH($A57,Material_Detail!$DE:$DE,0)+1,60))),0,IFERROR(INDEX(Material_Detail!$D:$DC,MATCH($A57,Material_Detail!$DE:$DE,0),60),0)),SUMIFS(T_Shipments[Confirmed_Qty],T_Shipments[Part Name],$A57,T_Shipments[Effective_Week],60))</f>
        <v/>
      </c>
      <c r="BJ57">
        <f>IF(COUNTIF(Material_Detail!$DE:$DE,$A57)&gt;0,IF(ISNUMBER(SEARCH("[済]",INDEX(Material_Detail!$D:$DC,MATCH($A57,Material_Detail!$DE:$DE,0)+1,61))),0,IFERROR(INDEX(Material_Detail!$D:$DC,MATCH($A57,Material_Detail!$DE:$DE,0),61),0)),SUMIFS(T_Shipments[Confirmed_Qty],T_Shipments[Part Name],$A57,T_Shipments[Effective_Week],61))</f>
        <v/>
      </c>
      <c r="BK57">
        <f>IF(COUNTIF(Material_Detail!$DE:$DE,$A57)&gt;0,IF(ISNUMBER(SEARCH("[済]",INDEX(Material_Detail!$D:$DC,MATCH($A57,Material_Detail!$DE:$DE,0)+1,62))),0,IFERROR(INDEX(Material_Detail!$D:$DC,MATCH($A57,Material_Detail!$DE:$DE,0),62),0)),SUMIFS(T_Shipments[Confirmed_Qty],T_Shipments[Part Name],$A57,T_Shipments[Effective_Week],62))</f>
        <v/>
      </c>
      <c r="BL57">
        <f>IF(COUNTIF(Material_Detail!$DE:$DE,$A57)&gt;0,IF(ISNUMBER(SEARCH("[済]",INDEX(Material_Detail!$D:$DC,MATCH($A57,Material_Detail!$DE:$DE,0)+1,63))),0,IFERROR(INDEX(Material_Detail!$D:$DC,MATCH($A57,Material_Detail!$DE:$DE,0),63),0)),SUMIFS(T_Shipments[Confirmed_Qty],T_Shipments[Part Name],$A57,T_Shipments[Effective_Week],63))</f>
        <v/>
      </c>
      <c r="BM57">
        <f>IF(COUNTIF(Material_Detail!$DE:$DE,$A57)&gt;0,IF(ISNUMBER(SEARCH("[済]",INDEX(Material_Detail!$D:$DC,MATCH($A57,Material_Detail!$DE:$DE,0)+1,64))),0,IFERROR(INDEX(Material_Detail!$D:$DC,MATCH($A57,Material_Detail!$DE:$DE,0),64),0)),SUMIFS(T_Shipments[Confirmed_Qty],T_Shipments[Part Name],$A57,T_Shipments[Effective_Week],64))</f>
        <v/>
      </c>
      <c r="BN57">
        <f>IF(COUNTIF(Material_Detail!$DE:$DE,$A57)&gt;0,IF(ISNUMBER(SEARCH("[済]",INDEX(Material_Detail!$D:$DC,MATCH($A57,Material_Detail!$DE:$DE,0)+1,65))),0,IFERROR(INDEX(Material_Detail!$D:$DC,MATCH($A57,Material_Detail!$DE:$DE,0),65),0)),SUMIFS(T_Shipments[Confirmed_Qty],T_Shipments[Part Name],$A57,T_Shipments[Effective_Week],65))</f>
        <v/>
      </c>
      <c r="BO57">
        <f>IF(COUNTIF(Material_Detail!$DE:$DE,$A57)&gt;0,IF(ISNUMBER(SEARCH("[済]",INDEX(Material_Detail!$D:$DC,MATCH($A57,Material_Detail!$DE:$DE,0)+1,66))),0,IFERROR(INDEX(Material_Detail!$D:$DC,MATCH($A57,Material_Detail!$DE:$DE,0),66),0)),SUMIFS(T_Shipments[Confirmed_Qty],T_Shipments[Part Name],$A57,T_Shipments[Effective_Week],66))</f>
        <v/>
      </c>
      <c r="BP57">
        <f>IF(COUNTIF(Material_Detail!$DE:$DE,$A57)&gt;0,IF(ISNUMBER(SEARCH("[済]",INDEX(Material_Detail!$D:$DC,MATCH($A57,Material_Detail!$DE:$DE,0)+1,67))),0,IFERROR(INDEX(Material_Detail!$D:$DC,MATCH($A57,Material_Detail!$DE:$DE,0),67),0)),SUMIFS(T_Shipments[Confirmed_Qty],T_Shipments[Part Name],$A57,T_Shipments[Effective_Week],67))</f>
        <v/>
      </c>
      <c r="BQ57">
        <f>IF(COUNTIF(Material_Detail!$DE:$DE,$A57)&gt;0,IF(ISNUMBER(SEARCH("[済]",INDEX(Material_Detail!$D:$DC,MATCH($A57,Material_Detail!$DE:$DE,0)+1,68))),0,IFERROR(INDEX(Material_Detail!$D:$DC,MATCH($A57,Material_Detail!$DE:$DE,0),68),0)),SUMIFS(T_Shipments[Confirmed_Qty],T_Shipments[Part Name],$A57,T_Shipments[Effective_Week],68))</f>
        <v/>
      </c>
      <c r="BR57">
        <f>IF(COUNTIF(Material_Detail!$DE:$DE,$A57)&gt;0,IF(ISNUMBER(SEARCH("[済]",INDEX(Material_Detail!$D:$DC,MATCH($A57,Material_Detail!$DE:$DE,0)+1,69))),0,IFERROR(INDEX(Material_Detail!$D:$DC,MATCH($A57,Material_Detail!$DE:$DE,0),69),0)),SUMIFS(T_Shipments[Confirmed_Qty],T_Shipments[Part Name],$A57,T_Shipments[Effective_Week],69))</f>
        <v/>
      </c>
      <c r="BS57">
        <f>IF(COUNTIF(Material_Detail!$DE:$DE,$A57)&gt;0,IF(ISNUMBER(SEARCH("[済]",INDEX(Material_Detail!$D:$DC,MATCH($A57,Material_Detail!$DE:$DE,0)+1,70))),0,IFERROR(INDEX(Material_Detail!$D:$DC,MATCH($A57,Material_Detail!$DE:$DE,0),70),0)),SUMIFS(T_Shipments[Confirmed_Qty],T_Shipments[Part Name],$A57,T_Shipments[Effective_Week],70))</f>
        <v/>
      </c>
      <c r="BT57">
        <f>IF(COUNTIF(Material_Detail!$DE:$DE,$A57)&gt;0,IF(ISNUMBER(SEARCH("[済]",INDEX(Material_Detail!$D:$DC,MATCH($A57,Material_Detail!$DE:$DE,0)+1,71))),0,IFERROR(INDEX(Material_Detail!$D:$DC,MATCH($A57,Material_Detail!$DE:$DE,0),71),0)),SUMIFS(T_Shipments[Confirmed_Qty],T_Shipments[Part Name],$A57,T_Shipments[Effective_Week],71))</f>
        <v/>
      </c>
      <c r="BU57">
        <f>IF(COUNTIF(Material_Detail!$DE:$DE,$A57)&gt;0,IF(ISNUMBER(SEARCH("[済]",INDEX(Material_Detail!$D:$DC,MATCH($A57,Material_Detail!$DE:$DE,0)+1,72))),0,IFERROR(INDEX(Material_Detail!$D:$DC,MATCH($A57,Material_Detail!$DE:$DE,0),72),0)),SUMIFS(T_Shipments[Confirmed_Qty],T_Shipments[Part Name],$A57,T_Shipments[Effective_Week],72))</f>
        <v/>
      </c>
      <c r="BV57">
        <f>IF(COUNTIF(Material_Detail!$DE:$DE,$A57)&gt;0,IF(ISNUMBER(SEARCH("[済]",INDEX(Material_Detail!$D:$DC,MATCH($A57,Material_Detail!$DE:$DE,0)+1,73))),0,IFERROR(INDEX(Material_Detail!$D:$DC,MATCH($A57,Material_Detail!$DE:$DE,0),73),0)),SUMIFS(T_Shipments[Confirmed_Qty],T_Shipments[Part Name],$A57,T_Shipments[Effective_Week],73))</f>
        <v/>
      </c>
      <c r="BW57">
        <f>IF(COUNTIF(Material_Detail!$DE:$DE,$A57)&gt;0,IF(ISNUMBER(SEARCH("[済]",INDEX(Material_Detail!$D:$DC,MATCH($A57,Material_Detail!$DE:$DE,0)+1,74))),0,IFERROR(INDEX(Material_Detail!$D:$DC,MATCH($A57,Material_Detail!$DE:$DE,0),74),0)),SUMIFS(T_Shipments[Confirmed_Qty],T_Shipments[Part Name],$A57,T_Shipments[Effective_Week],74))</f>
        <v/>
      </c>
      <c r="BX57">
        <f>IF(COUNTIF(Material_Detail!$DE:$DE,$A57)&gt;0,IF(ISNUMBER(SEARCH("[済]",INDEX(Material_Detail!$D:$DC,MATCH($A57,Material_Detail!$DE:$DE,0)+1,75))),0,IFERROR(INDEX(Material_Detail!$D:$DC,MATCH($A57,Material_Detail!$DE:$DE,0),75),0)),SUMIFS(T_Shipments[Confirmed_Qty],T_Shipments[Part Name],$A57,T_Shipments[Effective_Week],75))</f>
        <v/>
      </c>
      <c r="BY57">
        <f>IF(COUNTIF(Material_Detail!$DE:$DE,$A57)&gt;0,IF(ISNUMBER(SEARCH("[済]",INDEX(Material_Detail!$D:$DC,MATCH($A57,Material_Detail!$DE:$DE,0)+1,76))),0,IFERROR(INDEX(Material_Detail!$D:$DC,MATCH($A57,Material_Detail!$DE:$DE,0),76),0)),SUMIFS(T_Shipments[Confirmed_Qty],T_Shipments[Part Name],$A57,T_Shipments[Effective_Week],76))</f>
        <v/>
      </c>
      <c r="BZ57">
        <f>IF(COUNTIF(Material_Detail!$DE:$DE,$A57)&gt;0,IF(ISNUMBER(SEARCH("[済]",INDEX(Material_Detail!$D:$DC,MATCH($A57,Material_Detail!$DE:$DE,0)+1,77))),0,IFERROR(INDEX(Material_Detail!$D:$DC,MATCH($A57,Material_Detail!$DE:$DE,0),77),0)),SUMIFS(T_Shipments[Confirmed_Qty],T_Shipments[Part Name],$A57,T_Shipments[Effective_Week],77))</f>
        <v/>
      </c>
      <c r="CA57">
        <f>IF(COUNTIF(Material_Detail!$DE:$DE,$A57)&gt;0,IF(ISNUMBER(SEARCH("[済]",INDEX(Material_Detail!$D:$DC,MATCH($A57,Material_Detail!$DE:$DE,0)+1,78))),0,IFERROR(INDEX(Material_Detail!$D:$DC,MATCH($A57,Material_Detail!$DE:$DE,0),78),0)),SUMIFS(T_Shipments[Confirmed_Qty],T_Shipments[Part Name],$A57,T_Shipments[Effective_Week],78))</f>
        <v/>
      </c>
      <c r="CB57">
        <f>IF(COUNTIF(Material_Detail!$DE:$DE,$A57)&gt;0,IF(ISNUMBER(SEARCH("[済]",INDEX(Material_Detail!$D:$DC,MATCH($A57,Material_Detail!$DE:$DE,0)+1,79))),0,IFERROR(INDEX(Material_Detail!$D:$DC,MATCH($A57,Material_Detail!$DE:$DE,0),79),0)),SUMIFS(T_Shipments[Confirmed_Qty],T_Shipments[Part Name],$A57,T_Shipments[Effective_Week],79))</f>
        <v/>
      </c>
      <c r="CC57">
        <f>IF(COUNTIF(Material_Detail!$DE:$DE,$A57)&gt;0,IF(ISNUMBER(SEARCH("[済]",INDEX(Material_Detail!$D:$DC,MATCH($A57,Material_Detail!$DE:$DE,0)+1,80))),0,IFERROR(INDEX(Material_Detail!$D:$DC,MATCH($A57,Material_Detail!$DE:$DE,0),80),0)),SUMIFS(T_Shipments[Confirmed_Qty],T_Shipments[Part Name],$A57,T_Shipments[Effective_Week],80))</f>
        <v/>
      </c>
      <c r="CD57">
        <f>IF(COUNTIF(Material_Detail!$DE:$DE,$A57)&gt;0,IF(ISNUMBER(SEARCH("[済]",INDEX(Material_Detail!$D:$DC,MATCH($A57,Material_Detail!$DE:$DE,0)+1,81))),0,IFERROR(INDEX(Material_Detail!$D:$DC,MATCH($A57,Material_Detail!$DE:$DE,0),81),0)),SUMIFS(T_Shipments[Confirmed_Qty],T_Shipments[Part Name],$A57,T_Shipments[Effective_Week],81))</f>
        <v/>
      </c>
      <c r="CE57">
        <f>IF(COUNTIF(Material_Detail!$DE:$DE,$A57)&gt;0,IF(ISNUMBER(SEARCH("[済]",INDEX(Material_Detail!$D:$DC,MATCH($A57,Material_Detail!$DE:$DE,0)+1,82))),0,IFERROR(INDEX(Material_Detail!$D:$DC,MATCH($A57,Material_Detail!$DE:$DE,0),82),0)),SUMIFS(T_Shipments[Confirmed_Qty],T_Shipments[Part Name],$A57,T_Shipments[Effective_Week],82))</f>
        <v/>
      </c>
      <c r="CF57">
        <f>IF(COUNTIF(Material_Detail!$DE:$DE,$A57)&gt;0,IF(ISNUMBER(SEARCH("[済]",INDEX(Material_Detail!$D:$DC,MATCH($A57,Material_Detail!$DE:$DE,0)+1,83))),0,IFERROR(INDEX(Material_Detail!$D:$DC,MATCH($A57,Material_Detail!$DE:$DE,0),83),0)),SUMIFS(T_Shipments[Confirmed_Qty],T_Shipments[Part Name],$A57,T_Shipments[Effective_Week],83))</f>
        <v/>
      </c>
      <c r="CG57">
        <f>IF(COUNTIF(Material_Detail!$DE:$DE,$A57)&gt;0,IF(ISNUMBER(SEARCH("[済]",INDEX(Material_Detail!$D:$DC,MATCH($A57,Material_Detail!$DE:$DE,0)+1,84))),0,IFERROR(INDEX(Material_Detail!$D:$DC,MATCH($A57,Material_Detail!$DE:$DE,0),84),0)),SUMIFS(T_Shipments[Confirmed_Qty],T_Shipments[Part Name],$A57,T_Shipments[Effective_Week],84))</f>
        <v/>
      </c>
      <c r="CH57">
        <f>IF(COUNTIF(Material_Detail!$DE:$DE,$A57)&gt;0,IF(ISNUMBER(SEARCH("[済]",INDEX(Material_Detail!$D:$DC,MATCH($A57,Material_Detail!$DE:$DE,0)+1,85))),0,IFERROR(INDEX(Material_Detail!$D:$DC,MATCH($A57,Material_Detail!$DE:$DE,0),85),0)),SUMIFS(T_Shipments[Confirmed_Qty],T_Shipments[Part Name],$A57,T_Shipments[Effective_Week],85))</f>
        <v/>
      </c>
      <c r="CI57">
        <f>IF(COUNTIF(Material_Detail!$DE:$DE,$A57)&gt;0,IF(ISNUMBER(SEARCH("[済]",INDEX(Material_Detail!$D:$DC,MATCH($A57,Material_Detail!$DE:$DE,0)+1,86))),0,IFERROR(INDEX(Material_Detail!$D:$DC,MATCH($A57,Material_Detail!$DE:$DE,0),86),0)),SUMIFS(T_Shipments[Confirmed_Qty],T_Shipments[Part Name],$A57,T_Shipments[Effective_Week],86))</f>
        <v/>
      </c>
      <c r="CJ57">
        <f>IF(COUNTIF(Material_Detail!$DE:$DE,$A57)&gt;0,IF(ISNUMBER(SEARCH("[済]",INDEX(Material_Detail!$D:$DC,MATCH($A57,Material_Detail!$DE:$DE,0)+1,87))),0,IFERROR(INDEX(Material_Detail!$D:$DC,MATCH($A57,Material_Detail!$DE:$DE,0),87),0)),SUMIFS(T_Shipments[Confirmed_Qty],T_Shipments[Part Name],$A57,T_Shipments[Effective_Week],87))</f>
        <v/>
      </c>
      <c r="CK57">
        <f>IF(COUNTIF(Material_Detail!$DE:$DE,$A57)&gt;0,IF(ISNUMBER(SEARCH("[済]",INDEX(Material_Detail!$D:$DC,MATCH($A57,Material_Detail!$DE:$DE,0)+1,88))),0,IFERROR(INDEX(Material_Detail!$D:$DC,MATCH($A57,Material_Detail!$DE:$DE,0),88),0)),SUMIFS(T_Shipments[Confirmed_Qty],T_Shipments[Part Name],$A57,T_Shipments[Effective_Week],88))</f>
        <v/>
      </c>
      <c r="CL57">
        <f>IF(COUNTIF(Material_Detail!$DE:$DE,$A57)&gt;0,IF(ISNUMBER(SEARCH("[済]",INDEX(Material_Detail!$D:$DC,MATCH($A57,Material_Detail!$DE:$DE,0)+1,89))),0,IFERROR(INDEX(Material_Detail!$D:$DC,MATCH($A57,Material_Detail!$DE:$DE,0),89),0)),SUMIFS(T_Shipments[Confirmed_Qty],T_Shipments[Part Name],$A57,T_Shipments[Effective_Week],89))</f>
        <v/>
      </c>
      <c r="CM57">
        <f>IF(COUNTIF(Material_Detail!$DE:$DE,$A57)&gt;0,IF(ISNUMBER(SEARCH("[済]",INDEX(Material_Detail!$D:$DC,MATCH($A57,Material_Detail!$DE:$DE,0)+1,90))),0,IFERROR(INDEX(Material_Detail!$D:$DC,MATCH($A57,Material_Detail!$DE:$DE,0),90),0)),SUMIFS(T_Shipments[Confirmed_Qty],T_Shipments[Part Name],$A57,T_Shipments[Effective_Week],90))</f>
        <v/>
      </c>
      <c r="CN57">
        <f>IF(COUNTIF(Material_Detail!$DE:$DE,$A57)&gt;0,IF(ISNUMBER(SEARCH("[済]",INDEX(Material_Detail!$D:$DC,MATCH($A57,Material_Detail!$DE:$DE,0)+1,91))),0,IFERROR(INDEX(Material_Detail!$D:$DC,MATCH($A57,Material_Detail!$DE:$DE,0),91),0)),SUMIFS(T_Shipments[Confirmed_Qty],T_Shipments[Part Name],$A57,T_Shipments[Effective_Week],91))</f>
        <v/>
      </c>
      <c r="CO57">
        <f>IF(COUNTIF(Material_Detail!$DE:$DE,$A57)&gt;0,IF(ISNUMBER(SEARCH("[済]",INDEX(Material_Detail!$D:$DC,MATCH($A57,Material_Detail!$DE:$DE,0)+1,92))),0,IFERROR(INDEX(Material_Detail!$D:$DC,MATCH($A57,Material_Detail!$DE:$DE,0),92),0)),SUMIFS(T_Shipments[Confirmed_Qty],T_Shipments[Part Name],$A57,T_Shipments[Effective_Week],92))</f>
        <v/>
      </c>
      <c r="CP57">
        <f>IF(COUNTIF(Material_Detail!$DE:$DE,$A57)&gt;0,IF(ISNUMBER(SEARCH("[済]",INDEX(Material_Detail!$D:$DC,MATCH($A57,Material_Detail!$DE:$DE,0)+1,93))),0,IFERROR(INDEX(Material_Detail!$D:$DC,MATCH($A57,Material_Detail!$DE:$DE,0),93),0)),SUMIFS(T_Shipments[Confirmed_Qty],T_Shipments[Part Name],$A57,T_Shipments[Effective_Week],93))</f>
        <v/>
      </c>
      <c r="CQ57">
        <f>IF(COUNTIF(Material_Detail!$DE:$DE,$A57)&gt;0,IF(ISNUMBER(SEARCH("[済]",INDEX(Material_Detail!$D:$DC,MATCH($A57,Material_Detail!$DE:$DE,0)+1,94))),0,IFERROR(INDEX(Material_Detail!$D:$DC,MATCH($A57,Material_Detail!$DE:$DE,0),94),0)),SUMIFS(T_Shipments[Confirmed_Qty],T_Shipments[Part Name],$A57,T_Shipments[Effective_Week],94))</f>
        <v/>
      </c>
      <c r="CR57">
        <f>IF(COUNTIF(Material_Detail!$DE:$DE,$A57)&gt;0,IF(ISNUMBER(SEARCH("[済]",INDEX(Material_Detail!$D:$DC,MATCH($A57,Material_Detail!$DE:$DE,0)+1,95))),0,IFERROR(INDEX(Material_Detail!$D:$DC,MATCH($A57,Material_Detail!$DE:$DE,0),95),0)),SUMIFS(T_Shipments[Confirmed_Qty],T_Shipments[Part Name],$A57,T_Shipments[Effective_Week],95))</f>
        <v/>
      </c>
      <c r="CS57">
        <f>IF(COUNTIF(Material_Detail!$DE:$DE,$A57)&gt;0,IF(ISNUMBER(SEARCH("[済]",INDEX(Material_Detail!$D:$DC,MATCH($A57,Material_Detail!$DE:$DE,0)+1,96))),0,IFERROR(INDEX(Material_Detail!$D:$DC,MATCH($A57,Material_Detail!$DE:$DE,0),96),0)),SUMIFS(T_Shipments[Confirmed_Qty],T_Shipments[Part Name],$A57,T_Shipments[Effective_Week],96))</f>
        <v/>
      </c>
      <c r="CT57">
        <f>IF(COUNTIF(Material_Detail!$DE:$DE,$A57)&gt;0,IF(ISNUMBER(SEARCH("[済]",INDEX(Material_Detail!$D:$DC,MATCH($A57,Material_Detail!$DE:$DE,0)+1,97))),0,IFERROR(INDEX(Material_Detail!$D:$DC,MATCH($A57,Material_Detail!$DE:$DE,0),97),0)),SUMIFS(T_Shipments[Confirmed_Qty],T_Shipments[Part Name],$A57,T_Shipments[Effective_Week],97))</f>
        <v/>
      </c>
      <c r="CU57">
        <f>IF(COUNTIF(Material_Detail!$DE:$DE,$A57)&gt;0,IF(ISNUMBER(SEARCH("[済]",INDEX(Material_Detail!$D:$DC,MATCH($A57,Material_Detail!$DE:$DE,0)+1,98))),0,IFERROR(INDEX(Material_Detail!$D:$DC,MATCH($A57,Material_Detail!$DE:$DE,0),98),0)),SUMIFS(T_Shipments[Confirmed_Qty],T_Shipments[Part Name],$A57,T_Shipments[Effective_Week],98))</f>
        <v/>
      </c>
      <c r="CV57">
        <f>IF(COUNTIF(Material_Detail!$DE:$DE,$A57)&gt;0,IF(ISNUMBER(SEARCH("[済]",INDEX(Material_Detail!$D:$DC,MATCH($A57,Material_Detail!$DE:$DE,0)+1,99))),0,IFERROR(INDEX(Material_Detail!$D:$DC,MATCH($A57,Material_Detail!$DE:$DE,0),99),0)),SUMIFS(T_Shipments[Confirmed_Qty],T_Shipments[Part Name],$A57,T_Shipments[Effective_Week],99))</f>
        <v/>
      </c>
      <c r="CW57">
        <f>IF(COUNTIF(Material_Detail!$DE:$DE,$A57)&gt;0,IF(ISNUMBER(SEARCH("[済]",INDEX(Material_Detail!$D:$DC,MATCH($A57,Material_Detail!$DE:$DE,0)+1,100))),0,IFERROR(INDEX(Material_Detail!$D:$DC,MATCH($A57,Material_Detail!$DE:$DE,0),100),0)),SUMIFS(T_Shipments[Confirmed_Qty],T_Shipments[Part Name],$A57,T_Shipments[Effective_Week],100))</f>
        <v/>
      </c>
      <c r="CX57">
        <f>IF(COUNTIF(Material_Detail!$DE:$DE,$A57)&gt;0,IF(ISNUMBER(SEARCH("[済]",INDEX(Material_Detail!$D:$DC,MATCH($A57,Material_Detail!$DE:$DE,0)+1,101))),0,IFERROR(INDEX(Material_Detail!$D:$DC,MATCH($A57,Material_Detail!$DE:$DE,0),101),0)),SUMIFS(T_Shipments[Confirmed_Qty],T_Shipments[Part Name],$A57,T_Shipments[Effective_Week],101))</f>
        <v/>
      </c>
      <c r="CY57">
        <f>IF(COUNTIF(Material_Detail!$DE:$DE,$A57)&gt;0,IF(ISNUMBER(SEARCH("[済]",INDEX(Material_Detail!$D:$DC,MATCH($A57,Material_Detail!$DE:$DE,0)+1,102))),0,IFERROR(INDEX(Material_Detail!$D:$DC,MATCH($A57,Material_Detail!$DE:$DE,0),102),0)),SUMIFS(T_Shipments[Confirmed_Qty],T_Shipments[Part Name],$A57,T_Shipments[Effective_Week],102))</f>
        <v/>
      </c>
      <c r="CZ57">
        <f>IF(COUNTIF(Material_Detail!$DE:$DE,$A57)&gt;0,IF(ISNUMBER(SEARCH("[済]",INDEX(Material_Detail!$D:$DC,MATCH($A57,Material_Detail!$DE:$DE,0)+1,103))),0,IFERROR(INDEX(Material_Detail!$D:$DC,MATCH($A57,Material_Detail!$DE:$DE,0),103),0)),SUMIFS(T_Shipments[Confirmed_Qty],T_Shipments[Part Name],$A57,T_Shipments[Effective_Week],103))</f>
        <v/>
      </c>
      <c r="DA57">
        <f>IF(COUNTIF(Material_Detail!$DE:$DE,$A57)&gt;0,IF(ISNUMBER(SEARCH("[済]",INDEX(Material_Detail!$D:$DC,MATCH($A57,Material_Detail!$DE:$DE,0)+1,104))),0,IFERROR(INDEX(Material_Detail!$D:$DC,MATCH($A57,Material_Detail!$DE:$DE,0),104),0)),SUMIFS(T_Shipments[Confirmed_Qty],T_Shipments[Part Name],$A57,T_Shipments[Effective_Week],104))</f>
        <v/>
      </c>
    </row>
    <row r="58">
      <c r="A58" t="inlineStr">
        <is>
          <t>CHEM-1870</t>
        </is>
      </c>
      <c r="B58">
        <f>IF(COUNTIF(Material_Detail!$DE:$DE,$A58)&gt;0,IF(ISNUMBER(SEARCH("[済]",INDEX(Material_Detail!$D:$DC,MATCH($A58,Material_Detail!$DE:$DE,0)+1,1))),0,IFERROR(INDEX(Material_Detail!$D:$DC,MATCH($A58,Material_Detail!$DE:$DE,0),1),0)),SUMIFS(T_Shipments[Confirmed_Qty],T_Shipments[Part Name],$A58,T_Shipments[Effective_Week],1))</f>
        <v/>
      </c>
      <c r="C58">
        <f>IF(COUNTIF(Material_Detail!$DE:$DE,$A58)&gt;0,IF(ISNUMBER(SEARCH("[済]",INDEX(Material_Detail!$D:$DC,MATCH($A58,Material_Detail!$DE:$DE,0)+1,2))),0,IFERROR(INDEX(Material_Detail!$D:$DC,MATCH($A58,Material_Detail!$DE:$DE,0),2),0)),SUMIFS(T_Shipments[Confirmed_Qty],T_Shipments[Part Name],$A58,T_Shipments[Effective_Week],2))</f>
        <v/>
      </c>
      <c r="D58">
        <f>IF(COUNTIF(Material_Detail!$DE:$DE,$A58)&gt;0,IF(ISNUMBER(SEARCH("[済]",INDEX(Material_Detail!$D:$DC,MATCH($A58,Material_Detail!$DE:$DE,0)+1,3))),0,IFERROR(INDEX(Material_Detail!$D:$DC,MATCH($A58,Material_Detail!$DE:$DE,0),3),0)),SUMIFS(T_Shipments[Confirmed_Qty],T_Shipments[Part Name],$A58,T_Shipments[Effective_Week],3))</f>
        <v/>
      </c>
      <c r="E58">
        <f>IF(COUNTIF(Material_Detail!$DE:$DE,$A58)&gt;0,IF(ISNUMBER(SEARCH("[済]",INDEX(Material_Detail!$D:$DC,MATCH($A58,Material_Detail!$DE:$DE,0)+1,4))),0,IFERROR(INDEX(Material_Detail!$D:$DC,MATCH($A58,Material_Detail!$DE:$DE,0),4),0)),SUMIFS(T_Shipments[Confirmed_Qty],T_Shipments[Part Name],$A58,T_Shipments[Effective_Week],4))</f>
        <v/>
      </c>
      <c r="F58">
        <f>IF(COUNTIF(Material_Detail!$DE:$DE,$A58)&gt;0,IF(ISNUMBER(SEARCH("[済]",INDEX(Material_Detail!$D:$DC,MATCH($A58,Material_Detail!$DE:$DE,0)+1,5))),0,IFERROR(INDEX(Material_Detail!$D:$DC,MATCH($A58,Material_Detail!$DE:$DE,0),5),0)),SUMIFS(T_Shipments[Confirmed_Qty],T_Shipments[Part Name],$A58,T_Shipments[Effective_Week],5))</f>
        <v/>
      </c>
      <c r="G58">
        <f>IF(COUNTIF(Material_Detail!$DE:$DE,$A58)&gt;0,IF(ISNUMBER(SEARCH("[済]",INDEX(Material_Detail!$D:$DC,MATCH($A58,Material_Detail!$DE:$DE,0)+1,6))),0,IFERROR(INDEX(Material_Detail!$D:$DC,MATCH($A58,Material_Detail!$DE:$DE,0),6),0)),SUMIFS(T_Shipments[Confirmed_Qty],T_Shipments[Part Name],$A58,T_Shipments[Effective_Week],6))</f>
        <v/>
      </c>
      <c r="H58">
        <f>IF(COUNTIF(Material_Detail!$DE:$DE,$A58)&gt;0,IF(ISNUMBER(SEARCH("[済]",INDEX(Material_Detail!$D:$DC,MATCH($A58,Material_Detail!$DE:$DE,0)+1,7))),0,IFERROR(INDEX(Material_Detail!$D:$DC,MATCH($A58,Material_Detail!$DE:$DE,0),7),0)),SUMIFS(T_Shipments[Confirmed_Qty],T_Shipments[Part Name],$A58,T_Shipments[Effective_Week],7))</f>
        <v/>
      </c>
      <c r="I58">
        <f>IF(COUNTIF(Material_Detail!$DE:$DE,$A58)&gt;0,IF(ISNUMBER(SEARCH("[済]",INDEX(Material_Detail!$D:$DC,MATCH($A58,Material_Detail!$DE:$DE,0)+1,8))),0,IFERROR(INDEX(Material_Detail!$D:$DC,MATCH($A58,Material_Detail!$DE:$DE,0),8),0)),SUMIFS(T_Shipments[Confirmed_Qty],T_Shipments[Part Name],$A58,T_Shipments[Effective_Week],8))</f>
        <v/>
      </c>
      <c r="J58">
        <f>IF(COUNTIF(Material_Detail!$DE:$DE,$A58)&gt;0,IF(ISNUMBER(SEARCH("[済]",INDEX(Material_Detail!$D:$DC,MATCH($A58,Material_Detail!$DE:$DE,0)+1,9))),0,IFERROR(INDEX(Material_Detail!$D:$DC,MATCH($A58,Material_Detail!$DE:$DE,0),9),0)),SUMIFS(T_Shipments[Confirmed_Qty],T_Shipments[Part Name],$A58,T_Shipments[Effective_Week],9))</f>
        <v/>
      </c>
      <c r="K58">
        <f>IF(COUNTIF(Material_Detail!$DE:$DE,$A58)&gt;0,IF(ISNUMBER(SEARCH("[済]",INDEX(Material_Detail!$D:$DC,MATCH($A58,Material_Detail!$DE:$DE,0)+1,10))),0,IFERROR(INDEX(Material_Detail!$D:$DC,MATCH($A58,Material_Detail!$DE:$DE,0),10),0)),SUMIFS(T_Shipments[Confirmed_Qty],T_Shipments[Part Name],$A58,T_Shipments[Effective_Week],10))</f>
        <v/>
      </c>
      <c r="L58">
        <f>IF(COUNTIF(Material_Detail!$DE:$DE,$A58)&gt;0,IF(ISNUMBER(SEARCH("[済]",INDEX(Material_Detail!$D:$DC,MATCH($A58,Material_Detail!$DE:$DE,0)+1,11))),0,IFERROR(INDEX(Material_Detail!$D:$DC,MATCH($A58,Material_Detail!$DE:$DE,0),11),0)),SUMIFS(T_Shipments[Confirmed_Qty],T_Shipments[Part Name],$A58,T_Shipments[Effective_Week],11))</f>
        <v/>
      </c>
      <c r="M58">
        <f>IF(COUNTIF(Material_Detail!$DE:$DE,$A58)&gt;0,IF(ISNUMBER(SEARCH("[済]",INDEX(Material_Detail!$D:$DC,MATCH($A58,Material_Detail!$DE:$DE,0)+1,12))),0,IFERROR(INDEX(Material_Detail!$D:$DC,MATCH($A58,Material_Detail!$DE:$DE,0),12),0)),SUMIFS(T_Shipments[Confirmed_Qty],T_Shipments[Part Name],$A58,T_Shipments[Effective_Week],12))</f>
        <v/>
      </c>
      <c r="N58">
        <f>IF(COUNTIF(Material_Detail!$DE:$DE,$A58)&gt;0,IF(ISNUMBER(SEARCH("[済]",INDEX(Material_Detail!$D:$DC,MATCH($A58,Material_Detail!$DE:$DE,0)+1,13))),0,IFERROR(INDEX(Material_Detail!$D:$DC,MATCH($A58,Material_Detail!$DE:$DE,0),13),0)),SUMIFS(T_Shipments[Confirmed_Qty],T_Shipments[Part Name],$A58,T_Shipments[Effective_Week],13))</f>
        <v/>
      </c>
      <c r="O58">
        <f>IF(COUNTIF(Material_Detail!$DE:$DE,$A58)&gt;0,IF(ISNUMBER(SEARCH("[済]",INDEX(Material_Detail!$D:$DC,MATCH($A58,Material_Detail!$DE:$DE,0)+1,14))),0,IFERROR(INDEX(Material_Detail!$D:$DC,MATCH($A58,Material_Detail!$DE:$DE,0),14),0)),SUMIFS(T_Shipments[Confirmed_Qty],T_Shipments[Part Name],$A58,T_Shipments[Effective_Week],14))</f>
        <v/>
      </c>
      <c r="P58">
        <f>IF(COUNTIF(Material_Detail!$DE:$DE,$A58)&gt;0,IF(ISNUMBER(SEARCH("[済]",INDEX(Material_Detail!$D:$DC,MATCH($A58,Material_Detail!$DE:$DE,0)+1,15))),0,IFERROR(INDEX(Material_Detail!$D:$DC,MATCH($A58,Material_Detail!$DE:$DE,0),15),0)),SUMIFS(T_Shipments[Confirmed_Qty],T_Shipments[Part Name],$A58,T_Shipments[Effective_Week],15))</f>
        <v/>
      </c>
      <c r="Q58">
        <f>IF(COUNTIF(Material_Detail!$DE:$DE,$A58)&gt;0,IF(ISNUMBER(SEARCH("[済]",INDEX(Material_Detail!$D:$DC,MATCH($A58,Material_Detail!$DE:$DE,0)+1,16))),0,IFERROR(INDEX(Material_Detail!$D:$DC,MATCH($A58,Material_Detail!$DE:$DE,0),16),0)),SUMIFS(T_Shipments[Confirmed_Qty],T_Shipments[Part Name],$A58,T_Shipments[Effective_Week],16))</f>
        <v/>
      </c>
      <c r="R58">
        <f>IF(COUNTIF(Material_Detail!$DE:$DE,$A58)&gt;0,IF(ISNUMBER(SEARCH("[済]",INDEX(Material_Detail!$D:$DC,MATCH($A58,Material_Detail!$DE:$DE,0)+1,17))),0,IFERROR(INDEX(Material_Detail!$D:$DC,MATCH($A58,Material_Detail!$DE:$DE,0),17),0)),SUMIFS(T_Shipments[Confirmed_Qty],T_Shipments[Part Name],$A58,T_Shipments[Effective_Week],17))</f>
        <v/>
      </c>
      <c r="S58">
        <f>IF(COUNTIF(Material_Detail!$DE:$DE,$A58)&gt;0,IF(ISNUMBER(SEARCH("[済]",INDEX(Material_Detail!$D:$DC,MATCH($A58,Material_Detail!$DE:$DE,0)+1,18))),0,IFERROR(INDEX(Material_Detail!$D:$DC,MATCH($A58,Material_Detail!$DE:$DE,0),18),0)),SUMIFS(T_Shipments[Confirmed_Qty],T_Shipments[Part Name],$A58,T_Shipments[Effective_Week],18))</f>
        <v/>
      </c>
      <c r="T58">
        <f>IF(COUNTIF(Material_Detail!$DE:$DE,$A58)&gt;0,IF(ISNUMBER(SEARCH("[済]",INDEX(Material_Detail!$D:$DC,MATCH($A58,Material_Detail!$DE:$DE,0)+1,19))),0,IFERROR(INDEX(Material_Detail!$D:$DC,MATCH($A58,Material_Detail!$DE:$DE,0),19),0)),SUMIFS(T_Shipments[Confirmed_Qty],T_Shipments[Part Name],$A58,T_Shipments[Effective_Week],19))</f>
        <v/>
      </c>
      <c r="U58">
        <f>IF(COUNTIF(Material_Detail!$DE:$DE,$A58)&gt;0,IF(ISNUMBER(SEARCH("[済]",INDEX(Material_Detail!$D:$DC,MATCH($A58,Material_Detail!$DE:$DE,0)+1,20))),0,IFERROR(INDEX(Material_Detail!$D:$DC,MATCH($A58,Material_Detail!$DE:$DE,0),20),0)),SUMIFS(T_Shipments[Confirmed_Qty],T_Shipments[Part Name],$A58,T_Shipments[Effective_Week],20))</f>
        <v/>
      </c>
      <c r="V58">
        <f>IF(COUNTIF(Material_Detail!$DE:$DE,$A58)&gt;0,IF(ISNUMBER(SEARCH("[済]",INDEX(Material_Detail!$D:$DC,MATCH($A58,Material_Detail!$DE:$DE,0)+1,21))),0,IFERROR(INDEX(Material_Detail!$D:$DC,MATCH($A58,Material_Detail!$DE:$DE,0),21),0)),SUMIFS(T_Shipments[Confirmed_Qty],T_Shipments[Part Name],$A58,T_Shipments[Effective_Week],21))</f>
        <v/>
      </c>
      <c r="W58">
        <f>IF(COUNTIF(Material_Detail!$DE:$DE,$A58)&gt;0,IF(ISNUMBER(SEARCH("[済]",INDEX(Material_Detail!$D:$DC,MATCH($A58,Material_Detail!$DE:$DE,0)+1,22))),0,IFERROR(INDEX(Material_Detail!$D:$DC,MATCH($A58,Material_Detail!$DE:$DE,0),22),0)),SUMIFS(T_Shipments[Confirmed_Qty],T_Shipments[Part Name],$A58,T_Shipments[Effective_Week],22))</f>
        <v/>
      </c>
      <c r="X58">
        <f>IF(COUNTIF(Material_Detail!$DE:$DE,$A58)&gt;0,IF(ISNUMBER(SEARCH("[済]",INDEX(Material_Detail!$D:$DC,MATCH($A58,Material_Detail!$DE:$DE,0)+1,23))),0,IFERROR(INDEX(Material_Detail!$D:$DC,MATCH($A58,Material_Detail!$DE:$DE,0),23),0)),SUMIFS(T_Shipments[Confirmed_Qty],T_Shipments[Part Name],$A58,T_Shipments[Effective_Week],23))</f>
        <v/>
      </c>
      <c r="Y58">
        <f>IF(COUNTIF(Material_Detail!$DE:$DE,$A58)&gt;0,IF(ISNUMBER(SEARCH("[済]",INDEX(Material_Detail!$D:$DC,MATCH($A58,Material_Detail!$DE:$DE,0)+1,24))),0,IFERROR(INDEX(Material_Detail!$D:$DC,MATCH($A58,Material_Detail!$DE:$DE,0),24),0)),SUMIFS(T_Shipments[Confirmed_Qty],T_Shipments[Part Name],$A58,T_Shipments[Effective_Week],24))</f>
        <v/>
      </c>
      <c r="Z58">
        <f>IF(COUNTIF(Material_Detail!$DE:$DE,$A58)&gt;0,IF(ISNUMBER(SEARCH("[済]",INDEX(Material_Detail!$D:$DC,MATCH($A58,Material_Detail!$DE:$DE,0)+1,25))),0,IFERROR(INDEX(Material_Detail!$D:$DC,MATCH($A58,Material_Detail!$DE:$DE,0),25),0)),SUMIFS(T_Shipments[Confirmed_Qty],T_Shipments[Part Name],$A58,T_Shipments[Effective_Week],25))</f>
        <v/>
      </c>
      <c r="AA58">
        <f>IF(COUNTIF(Material_Detail!$DE:$DE,$A58)&gt;0,IF(ISNUMBER(SEARCH("[済]",INDEX(Material_Detail!$D:$DC,MATCH($A58,Material_Detail!$DE:$DE,0)+1,26))),0,IFERROR(INDEX(Material_Detail!$D:$DC,MATCH($A58,Material_Detail!$DE:$DE,0),26),0)),SUMIFS(T_Shipments[Confirmed_Qty],T_Shipments[Part Name],$A58,T_Shipments[Effective_Week],26))</f>
        <v/>
      </c>
      <c r="AB58">
        <f>IF(COUNTIF(Material_Detail!$DE:$DE,$A58)&gt;0,IF(ISNUMBER(SEARCH("[済]",INDEX(Material_Detail!$D:$DC,MATCH($A58,Material_Detail!$DE:$DE,0)+1,27))),0,IFERROR(INDEX(Material_Detail!$D:$DC,MATCH($A58,Material_Detail!$DE:$DE,0),27),0)),SUMIFS(T_Shipments[Confirmed_Qty],T_Shipments[Part Name],$A58,T_Shipments[Effective_Week],27))</f>
        <v/>
      </c>
      <c r="AC58">
        <f>IF(COUNTIF(Material_Detail!$DE:$DE,$A58)&gt;0,IF(ISNUMBER(SEARCH("[済]",INDEX(Material_Detail!$D:$DC,MATCH($A58,Material_Detail!$DE:$DE,0)+1,28))),0,IFERROR(INDEX(Material_Detail!$D:$DC,MATCH($A58,Material_Detail!$DE:$DE,0),28),0)),SUMIFS(T_Shipments[Confirmed_Qty],T_Shipments[Part Name],$A58,T_Shipments[Effective_Week],28))</f>
        <v/>
      </c>
      <c r="AD58">
        <f>IF(COUNTIF(Material_Detail!$DE:$DE,$A58)&gt;0,IF(ISNUMBER(SEARCH("[済]",INDEX(Material_Detail!$D:$DC,MATCH($A58,Material_Detail!$DE:$DE,0)+1,29))),0,IFERROR(INDEX(Material_Detail!$D:$DC,MATCH($A58,Material_Detail!$DE:$DE,0),29),0)),SUMIFS(T_Shipments[Confirmed_Qty],T_Shipments[Part Name],$A58,T_Shipments[Effective_Week],29))</f>
        <v/>
      </c>
      <c r="AE58">
        <f>IF(COUNTIF(Material_Detail!$DE:$DE,$A58)&gt;0,IF(ISNUMBER(SEARCH("[済]",INDEX(Material_Detail!$D:$DC,MATCH($A58,Material_Detail!$DE:$DE,0)+1,30))),0,IFERROR(INDEX(Material_Detail!$D:$DC,MATCH($A58,Material_Detail!$DE:$DE,0),30),0)),SUMIFS(T_Shipments[Confirmed_Qty],T_Shipments[Part Name],$A58,T_Shipments[Effective_Week],30))</f>
        <v/>
      </c>
      <c r="AF58">
        <f>IF(COUNTIF(Material_Detail!$DE:$DE,$A58)&gt;0,IF(ISNUMBER(SEARCH("[済]",INDEX(Material_Detail!$D:$DC,MATCH($A58,Material_Detail!$DE:$DE,0)+1,31))),0,IFERROR(INDEX(Material_Detail!$D:$DC,MATCH($A58,Material_Detail!$DE:$DE,0),31),0)),SUMIFS(T_Shipments[Confirmed_Qty],T_Shipments[Part Name],$A58,T_Shipments[Effective_Week],31))</f>
        <v/>
      </c>
      <c r="AG58">
        <f>IF(COUNTIF(Material_Detail!$DE:$DE,$A58)&gt;0,IF(ISNUMBER(SEARCH("[済]",INDEX(Material_Detail!$D:$DC,MATCH($A58,Material_Detail!$DE:$DE,0)+1,32))),0,IFERROR(INDEX(Material_Detail!$D:$DC,MATCH($A58,Material_Detail!$DE:$DE,0),32),0)),SUMIFS(T_Shipments[Confirmed_Qty],T_Shipments[Part Name],$A58,T_Shipments[Effective_Week],32))</f>
        <v/>
      </c>
      <c r="AH58">
        <f>IF(COUNTIF(Material_Detail!$DE:$DE,$A58)&gt;0,IF(ISNUMBER(SEARCH("[済]",INDEX(Material_Detail!$D:$DC,MATCH($A58,Material_Detail!$DE:$DE,0)+1,33))),0,IFERROR(INDEX(Material_Detail!$D:$DC,MATCH($A58,Material_Detail!$DE:$DE,0),33),0)),SUMIFS(T_Shipments[Confirmed_Qty],T_Shipments[Part Name],$A58,T_Shipments[Effective_Week],33))</f>
        <v/>
      </c>
      <c r="AI58">
        <f>IF(COUNTIF(Material_Detail!$DE:$DE,$A58)&gt;0,IF(ISNUMBER(SEARCH("[済]",INDEX(Material_Detail!$D:$DC,MATCH($A58,Material_Detail!$DE:$DE,0)+1,34))),0,IFERROR(INDEX(Material_Detail!$D:$DC,MATCH($A58,Material_Detail!$DE:$DE,0),34),0)),SUMIFS(T_Shipments[Confirmed_Qty],T_Shipments[Part Name],$A58,T_Shipments[Effective_Week],34))</f>
        <v/>
      </c>
      <c r="AJ58">
        <f>IF(COUNTIF(Material_Detail!$DE:$DE,$A58)&gt;0,IF(ISNUMBER(SEARCH("[済]",INDEX(Material_Detail!$D:$DC,MATCH($A58,Material_Detail!$DE:$DE,0)+1,35))),0,IFERROR(INDEX(Material_Detail!$D:$DC,MATCH($A58,Material_Detail!$DE:$DE,0),35),0)),SUMIFS(T_Shipments[Confirmed_Qty],T_Shipments[Part Name],$A58,T_Shipments[Effective_Week],35))</f>
        <v/>
      </c>
      <c r="AK58">
        <f>IF(COUNTIF(Material_Detail!$DE:$DE,$A58)&gt;0,IF(ISNUMBER(SEARCH("[済]",INDEX(Material_Detail!$D:$DC,MATCH($A58,Material_Detail!$DE:$DE,0)+1,36))),0,IFERROR(INDEX(Material_Detail!$D:$DC,MATCH($A58,Material_Detail!$DE:$DE,0),36),0)),SUMIFS(T_Shipments[Confirmed_Qty],T_Shipments[Part Name],$A58,T_Shipments[Effective_Week],36))</f>
        <v/>
      </c>
      <c r="AL58">
        <f>IF(COUNTIF(Material_Detail!$DE:$DE,$A58)&gt;0,IF(ISNUMBER(SEARCH("[済]",INDEX(Material_Detail!$D:$DC,MATCH($A58,Material_Detail!$DE:$DE,0)+1,37))),0,IFERROR(INDEX(Material_Detail!$D:$DC,MATCH($A58,Material_Detail!$DE:$DE,0),37),0)),SUMIFS(T_Shipments[Confirmed_Qty],T_Shipments[Part Name],$A58,T_Shipments[Effective_Week],37))</f>
        <v/>
      </c>
      <c r="AM58">
        <f>IF(COUNTIF(Material_Detail!$DE:$DE,$A58)&gt;0,IF(ISNUMBER(SEARCH("[済]",INDEX(Material_Detail!$D:$DC,MATCH($A58,Material_Detail!$DE:$DE,0)+1,38))),0,IFERROR(INDEX(Material_Detail!$D:$DC,MATCH($A58,Material_Detail!$DE:$DE,0),38),0)),SUMIFS(T_Shipments[Confirmed_Qty],T_Shipments[Part Name],$A58,T_Shipments[Effective_Week],38))</f>
        <v/>
      </c>
      <c r="AN58">
        <f>IF(COUNTIF(Material_Detail!$DE:$DE,$A58)&gt;0,IF(ISNUMBER(SEARCH("[済]",INDEX(Material_Detail!$D:$DC,MATCH($A58,Material_Detail!$DE:$DE,0)+1,39))),0,IFERROR(INDEX(Material_Detail!$D:$DC,MATCH($A58,Material_Detail!$DE:$DE,0),39),0)),SUMIFS(T_Shipments[Confirmed_Qty],T_Shipments[Part Name],$A58,T_Shipments[Effective_Week],39))</f>
        <v/>
      </c>
      <c r="AO58">
        <f>IF(COUNTIF(Material_Detail!$DE:$DE,$A58)&gt;0,IF(ISNUMBER(SEARCH("[済]",INDEX(Material_Detail!$D:$DC,MATCH($A58,Material_Detail!$DE:$DE,0)+1,40))),0,IFERROR(INDEX(Material_Detail!$D:$DC,MATCH($A58,Material_Detail!$DE:$DE,0),40),0)),SUMIFS(T_Shipments[Confirmed_Qty],T_Shipments[Part Name],$A58,T_Shipments[Effective_Week],40))</f>
        <v/>
      </c>
      <c r="AP58">
        <f>IF(COUNTIF(Material_Detail!$DE:$DE,$A58)&gt;0,IF(ISNUMBER(SEARCH("[済]",INDEX(Material_Detail!$D:$DC,MATCH($A58,Material_Detail!$DE:$DE,0)+1,41))),0,IFERROR(INDEX(Material_Detail!$D:$DC,MATCH($A58,Material_Detail!$DE:$DE,0),41),0)),SUMIFS(T_Shipments[Confirmed_Qty],T_Shipments[Part Name],$A58,T_Shipments[Effective_Week],41))</f>
        <v/>
      </c>
      <c r="AQ58">
        <f>IF(COUNTIF(Material_Detail!$DE:$DE,$A58)&gt;0,IF(ISNUMBER(SEARCH("[済]",INDEX(Material_Detail!$D:$DC,MATCH($A58,Material_Detail!$DE:$DE,0)+1,42))),0,IFERROR(INDEX(Material_Detail!$D:$DC,MATCH($A58,Material_Detail!$DE:$DE,0),42),0)),SUMIFS(T_Shipments[Confirmed_Qty],T_Shipments[Part Name],$A58,T_Shipments[Effective_Week],42))</f>
        <v/>
      </c>
      <c r="AR58">
        <f>IF(COUNTIF(Material_Detail!$DE:$DE,$A58)&gt;0,IF(ISNUMBER(SEARCH("[済]",INDEX(Material_Detail!$D:$DC,MATCH($A58,Material_Detail!$DE:$DE,0)+1,43))),0,IFERROR(INDEX(Material_Detail!$D:$DC,MATCH($A58,Material_Detail!$DE:$DE,0),43),0)),SUMIFS(T_Shipments[Confirmed_Qty],T_Shipments[Part Name],$A58,T_Shipments[Effective_Week],43))</f>
        <v/>
      </c>
      <c r="AS58">
        <f>IF(COUNTIF(Material_Detail!$DE:$DE,$A58)&gt;0,IF(ISNUMBER(SEARCH("[済]",INDEX(Material_Detail!$D:$DC,MATCH($A58,Material_Detail!$DE:$DE,0)+1,44))),0,IFERROR(INDEX(Material_Detail!$D:$DC,MATCH($A58,Material_Detail!$DE:$DE,0),44),0)),SUMIFS(T_Shipments[Confirmed_Qty],T_Shipments[Part Name],$A58,T_Shipments[Effective_Week],44))</f>
        <v/>
      </c>
      <c r="AT58">
        <f>IF(COUNTIF(Material_Detail!$DE:$DE,$A58)&gt;0,IF(ISNUMBER(SEARCH("[済]",INDEX(Material_Detail!$D:$DC,MATCH($A58,Material_Detail!$DE:$DE,0)+1,45))),0,IFERROR(INDEX(Material_Detail!$D:$DC,MATCH($A58,Material_Detail!$DE:$DE,0),45),0)),SUMIFS(T_Shipments[Confirmed_Qty],T_Shipments[Part Name],$A58,T_Shipments[Effective_Week],45))</f>
        <v/>
      </c>
      <c r="AU58">
        <f>IF(COUNTIF(Material_Detail!$DE:$DE,$A58)&gt;0,IF(ISNUMBER(SEARCH("[済]",INDEX(Material_Detail!$D:$DC,MATCH($A58,Material_Detail!$DE:$DE,0)+1,46))),0,IFERROR(INDEX(Material_Detail!$D:$DC,MATCH($A58,Material_Detail!$DE:$DE,0),46),0)),SUMIFS(T_Shipments[Confirmed_Qty],T_Shipments[Part Name],$A58,T_Shipments[Effective_Week],46))</f>
        <v/>
      </c>
      <c r="AV58">
        <f>IF(COUNTIF(Material_Detail!$DE:$DE,$A58)&gt;0,IF(ISNUMBER(SEARCH("[済]",INDEX(Material_Detail!$D:$DC,MATCH($A58,Material_Detail!$DE:$DE,0)+1,47))),0,IFERROR(INDEX(Material_Detail!$D:$DC,MATCH($A58,Material_Detail!$DE:$DE,0),47),0)),SUMIFS(T_Shipments[Confirmed_Qty],T_Shipments[Part Name],$A58,T_Shipments[Effective_Week],47))</f>
        <v/>
      </c>
      <c r="AW58">
        <f>IF(COUNTIF(Material_Detail!$DE:$DE,$A58)&gt;0,IF(ISNUMBER(SEARCH("[済]",INDEX(Material_Detail!$D:$DC,MATCH($A58,Material_Detail!$DE:$DE,0)+1,48))),0,IFERROR(INDEX(Material_Detail!$D:$DC,MATCH($A58,Material_Detail!$DE:$DE,0),48),0)),SUMIFS(T_Shipments[Confirmed_Qty],T_Shipments[Part Name],$A58,T_Shipments[Effective_Week],48))</f>
        <v/>
      </c>
      <c r="AX58">
        <f>IF(COUNTIF(Material_Detail!$DE:$DE,$A58)&gt;0,IF(ISNUMBER(SEARCH("[済]",INDEX(Material_Detail!$D:$DC,MATCH($A58,Material_Detail!$DE:$DE,0)+1,49))),0,IFERROR(INDEX(Material_Detail!$D:$DC,MATCH($A58,Material_Detail!$DE:$DE,0),49),0)),SUMIFS(T_Shipments[Confirmed_Qty],T_Shipments[Part Name],$A58,T_Shipments[Effective_Week],49))</f>
        <v/>
      </c>
      <c r="AY58">
        <f>IF(COUNTIF(Material_Detail!$DE:$DE,$A58)&gt;0,IF(ISNUMBER(SEARCH("[済]",INDEX(Material_Detail!$D:$DC,MATCH($A58,Material_Detail!$DE:$DE,0)+1,50))),0,IFERROR(INDEX(Material_Detail!$D:$DC,MATCH($A58,Material_Detail!$DE:$DE,0),50),0)),SUMIFS(T_Shipments[Confirmed_Qty],T_Shipments[Part Name],$A58,T_Shipments[Effective_Week],50))</f>
        <v/>
      </c>
      <c r="AZ58">
        <f>IF(COUNTIF(Material_Detail!$DE:$DE,$A58)&gt;0,IF(ISNUMBER(SEARCH("[済]",INDEX(Material_Detail!$D:$DC,MATCH($A58,Material_Detail!$DE:$DE,0)+1,51))),0,IFERROR(INDEX(Material_Detail!$D:$DC,MATCH($A58,Material_Detail!$DE:$DE,0),51),0)),SUMIFS(T_Shipments[Confirmed_Qty],T_Shipments[Part Name],$A58,T_Shipments[Effective_Week],51))</f>
        <v/>
      </c>
      <c r="BA58">
        <f>IF(COUNTIF(Material_Detail!$DE:$DE,$A58)&gt;0,IF(ISNUMBER(SEARCH("[済]",INDEX(Material_Detail!$D:$DC,MATCH($A58,Material_Detail!$DE:$DE,0)+1,52))),0,IFERROR(INDEX(Material_Detail!$D:$DC,MATCH($A58,Material_Detail!$DE:$DE,0),52),0)),SUMIFS(T_Shipments[Confirmed_Qty],T_Shipments[Part Name],$A58,T_Shipments[Effective_Week],52))</f>
        <v/>
      </c>
      <c r="BB58">
        <f>IF(COUNTIF(Material_Detail!$DE:$DE,$A58)&gt;0,IF(ISNUMBER(SEARCH("[済]",INDEX(Material_Detail!$D:$DC,MATCH($A58,Material_Detail!$DE:$DE,0)+1,53))),0,IFERROR(INDEX(Material_Detail!$D:$DC,MATCH($A58,Material_Detail!$DE:$DE,0),53),0)),SUMIFS(T_Shipments[Confirmed_Qty],T_Shipments[Part Name],$A58,T_Shipments[Effective_Week],53))</f>
        <v/>
      </c>
      <c r="BC58">
        <f>IF(COUNTIF(Material_Detail!$DE:$DE,$A58)&gt;0,IF(ISNUMBER(SEARCH("[済]",INDEX(Material_Detail!$D:$DC,MATCH($A58,Material_Detail!$DE:$DE,0)+1,54))),0,IFERROR(INDEX(Material_Detail!$D:$DC,MATCH($A58,Material_Detail!$DE:$DE,0),54),0)),SUMIFS(T_Shipments[Confirmed_Qty],T_Shipments[Part Name],$A58,T_Shipments[Effective_Week],54))</f>
        <v/>
      </c>
      <c r="BD58">
        <f>IF(COUNTIF(Material_Detail!$DE:$DE,$A58)&gt;0,IF(ISNUMBER(SEARCH("[済]",INDEX(Material_Detail!$D:$DC,MATCH($A58,Material_Detail!$DE:$DE,0)+1,55))),0,IFERROR(INDEX(Material_Detail!$D:$DC,MATCH($A58,Material_Detail!$DE:$DE,0),55),0)),SUMIFS(T_Shipments[Confirmed_Qty],T_Shipments[Part Name],$A58,T_Shipments[Effective_Week],55))</f>
        <v/>
      </c>
      <c r="BE58">
        <f>IF(COUNTIF(Material_Detail!$DE:$DE,$A58)&gt;0,IF(ISNUMBER(SEARCH("[済]",INDEX(Material_Detail!$D:$DC,MATCH($A58,Material_Detail!$DE:$DE,0)+1,56))),0,IFERROR(INDEX(Material_Detail!$D:$DC,MATCH($A58,Material_Detail!$DE:$DE,0),56),0)),SUMIFS(T_Shipments[Confirmed_Qty],T_Shipments[Part Name],$A58,T_Shipments[Effective_Week],56))</f>
        <v/>
      </c>
      <c r="BF58">
        <f>IF(COUNTIF(Material_Detail!$DE:$DE,$A58)&gt;0,IF(ISNUMBER(SEARCH("[済]",INDEX(Material_Detail!$D:$DC,MATCH($A58,Material_Detail!$DE:$DE,0)+1,57))),0,IFERROR(INDEX(Material_Detail!$D:$DC,MATCH($A58,Material_Detail!$DE:$DE,0),57),0)),SUMIFS(T_Shipments[Confirmed_Qty],T_Shipments[Part Name],$A58,T_Shipments[Effective_Week],57))</f>
        <v/>
      </c>
      <c r="BG58">
        <f>IF(COUNTIF(Material_Detail!$DE:$DE,$A58)&gt;0,IF(ISNUMBER(SEARCH("[済]",INDEX(Material_Detail!$D:$DC,MATCH($A58,Material_Detail!$DE:$DE,0)+1,58))),0,IFERROR(INDEX(Material_Detail!$D:$DC,MATCH($A58,Material_Detail!$DE:$DE,0),58),0)),SUMIFS(T_Shipments[Confirmed_Qty],T_Shipments[Part Name],$A58,T_Shipments[Effective_Week],58))</f>
        <v/>
      </c>
      <c r="BH58">
        <f>IF(COUNTIF(Material_Detail!$DE:$DE,$A58)&gt;0,IF(ISNUMBER(SEARCH("[済]",INDEX(Material_Detail!$D:$DC,MATCH($A58,Material_Detail!$DE:$DE,0)+1,59))),0,IFERROR(INDEX(Material_Detail!$D:$DC,MATCH($A58,Material_Detail!$DE:$DE,0),59),0)),SUMIFS(T_Shipments[Confirmed_Qty],T_Shipments[Part Name],$A58,T_Shipments[Effective_Week],59))</f>
        <v/>
      </c>
      <c r="BI58">
        <f>IF(COUNTIF(Material_Detail!$DE:$DE,$A58)&gt;0,IF(ISNUMBER(SEARCH("[済]",INDEX(Material_Detail!$D:$DC,MATCH($A58,Material_Detail!$DE:$DE,0)+1,60))),0,IFERROR(INDEX(Material_Detail!$D:$DC,MATCH($A58,Material_Detail!$DE:$DE,0),60),0)),SUMIFS(T_Shipments[Confirmed_Qty],T_Shipments[Part Name],$A58,T_Shipments[Effective_Week],60))</f>
        <v/>
      </c>
      <c r="BJ58">
        <f>IF(COUNTIF(Material_Detail!$DE:$DE,$A58)&gt;0,IF(ISNUMBER(SEARCH("[済]",INDEX(Material_Detail!$D:$DC,MATCH($A58,Material_Detail!$DE:$DE,0)+1,61))),0,IFERROR(INDEX(Material_Detail!$D:$DC,MATCH($A58,Material_Detail!$DE:$DE,0),61),0)),SUMIFS(T_Shipments[Confirmed_Qty],T_Shipments[Part Name],$A58,T_Shipments[Effective_Week],61))</f>
        <v/>
      </c>
      <c r="BK58">
        <f>IF(COUNTIF(Material_Detail!$DE:$DE,$A58)&gt;0,IF(ISNUMBER(SEARCH("[済]",INDEX(Material_Detail!$D:$DC,MATCH($A58,Material_Detail!$DE:$DE,0)+1,62))),0,IFERROR(INDEX(Material_Detail!$D:$DC,MATCH($A58,Material_Detail!$DE:$DE,0),62),0)),SUMIFS(T_Shipments[Confirmed_Qty],T_Shipments[Part Name],$A58,T_Shipments[Effective_Week],62))</f>
        <v/>
      </c>
      <c r="BL58">
        <f>IF(COUNTIF(Material_Detail!$DE:$DE,$A58)&gt;0,IF(ISNUMBER(SEARCH("[済]",INDEX(Material_Detail!$D:$DC,MATCH($A58,Material_Detail!$DE:$DE,0)+1,63))),0,IFERROR(INDEX(Material_Detail!$D:$DC,MATCH($A58,Material_Detail!$DE:$DE,0),63),0)),SUMIFS(T_Shipments[Confirmed_Qty],T_Shipments[Part Name],$A58,T_Shipments[Effective_Week],63))</f>
        <v/>
      </c>
      <c r="BM58">
        <f>IF(COUNTIF(Material_Detail!$DE:$DE,$A58)&gt;0,IF(ISNUMBER(SEARCH("[済]",INDEX(Material_Detail!$D:$DC,MATCH($A58,Material_Detail!$DE:$DE,0)+1,64))),0,IFERROR(INDEX(Material_Detail!$D:$DC,MATCH($A58,Material_Detail!$DE:$DE,0),64),0)),SUMIFS(T_Shipments[Confirmed_Qty],T_Shipments[Part Name],$A58,T_Shipments[Effective_Week],64))</f>
        <v/>
      </c>
      <c r="BN58">
        <f>IF(COUNTIF(Material_Detail!$DE:$DE,$A58)&gt;0,IF(ISNUMBER(SEARCH("[済]",INDEX(Material_Detail!$D:$DC,MATCH($A58,Material_Detail!$DE:$DE,0)+1,65))),0,IFERROR(INDEX(Material_Detail!$D:$DC,MATCH($A58,Material_Detail!$DE:$DE,0),65),0)),SUMIFS(T_Shipments[Confirmed_Qty],T_Shipments[Part Name],$A58,T_Shipments[Effective_Week],65))</f>
        <v/>
      </c>
      <c r="BO58">
        <f>IF(COUNTIF(Material_Detail!$DE:$DE,$A58)&gt;0,IF(ISNUMBER(SEARCH("[済]",INDEX(Material_Detail!$D:$DC,MATCH($A58,Material_Detail!$DE:$DE,0)+1,66))),0,IFERROR(INDEX(Material_Detail!$D:$DC,MATCH($A58,Material_Detail!$DE:$DE,0),66),0)),SUMIFS(T_Shipments[Confirmed_Qty],T_Shipments[Part Name],$A58,T_Shipments[Effective_Week],66))</f>
        <v/>
      </c>
      <c r="BP58">
        <f>IF(COUNTIF(Material_Detail!$DE:$DE,$A58)&gt;0,IF(ISNUMBER(SEARCH("[済]",INDEX(Material_Detail!$D:$DC,MATCH($A58,Material_Detail!$DE:$DE,0)+1,67))),0,IFERROR(INDEX(Material_Detail!$D:$DC,MATCH($A58,Material_Detail!$DE:$DE,0),67),0)),SUMIFS(T_Shipments[Confirmed_Qty],T_Shipments[Part Name],$A58,T_Shipments[Effective_Week],67))</f>
        <v/>
      </c>
      <c r="BQ58">
        <f>IF(COUNTIF(Material_Detail!$DE:$DE,$A58)&gt;0,IF(ISNUMBER(SEARCH("[済]",INDEX(Material_Detail!$D:$DC,MATCH($A58,Material_Detail!$DE:$DE,0)+1,68))),0,IFERROR(INDEX(Material_Detail!$D:$DC,MATCH($A58,Material_Detail!$DE:$DE,0),68),0)),SUMIFS(T_Shipments[Confirmed_Qty],T_Shipments[Part Name],$A58,T_Shipments[Effective_Week],68))</f>
        <v/>
      </c>
      <c r="BR58">
        <f>IF(COUNTIF(Material_Detail!$DE:$DE,$A58)&gt;0,IF(ISNUMBER(SEARCH("[済]",INDEX(Material_Detail!$D:$DC,MATCH($A58,Material_Detail!$DE:$DE,0)+1,69))),0,IFERROR(INDEX(Material_Detail!$D:$DC,MATCH($A58,Material_Detail!$DE:$DE,0),69),0)),SUMIFS(T_Shipments[Confirmed_Qty],T_Shipments[Part Name],$A58,T_Shipments[Effective_Week],69))</f>
        <v/>
      </c>
      <c r="BS58">
        <f>IF(COUNTIF(Material_Detail!$DE:$DE,$A58)&gt;0,IF(ISNUMBER(SEARCH("[済]",INDEX(Material_Detail!$D:$DC,MATCH($A58,Material_Detail!$DE:$DE,0)+1,70))),0,IFERROR(INDEX(Material_Detail!$D:$DC,MATCH($A58,Material_Detail!$DE:$DE,0),70),0)),SUMIFS(T_Shipments[Confirmed_Qty],T_Shipments[Part Name],$A58,T_Shipments[Effective_Week],70))</f>
        <v/>
      </c>
      <c r="BT58">
        <f>IF(COUNTIF(Material_Detail!$DE:$DE,$A58)&gt;0,IF(ISNUMBER(SEARCH("[済]",INDEX(Material_Detail!$D:$DC,MATCH($A58,Material_Detail!$DE:$DE,0)+1,71))),0,IFERROR(INDEX(Material_Detail!$D:$DC,MATCH($A58,Material_Detail!$DE:$DE,0),71),0)),SUMIFS(T_Shipments[Confirmed_Qty],T_Shipments[Part Name],$A58,T_Shipments[Effective_Week],71))</f>
        <v/>
      </c>
      <c r="BU58">
        <f>IF(COUNTIF(Material_Detail!$DE:$DE,$A58)&gt;0,IF(ISNUMBER(SEARCH("[済]",INDEX(Material_Detail!$D:$DC,MATCH($A58,Material_Detail!$DE:$DE,0)+1,72))),0,IFERROR(INDEX(Material_Detail!$D:$DC,MATCH($A58,Material_Detail!$DE:$DE,0),72),0)),SUMIFS(T_Shipments[Confirmed_Qty],T_Shipments[Part Name],$A58,T_Shipments[Effective_Week],72))</f>
        <v/>
      </c>
      <c r="BV58">
        <f>IF(COUNTIF(Material_Detail!$DE:$DE,$A58)&gt;0,IF(ISNUMBER(SEARCH("[済]",INDEX(Material_Detail!$D:$DC,MATCH($A58,Material_Detail!$DE:$DE,0)+1,73))),0,IFERROR(INDEX(Material_Detail!$D:$DC,MATCH($A58,Material_Detail!$DE:$DE,0),73),0)),SUMIFS(T_Shipments[Confirmed_Qty],T_Shipments[Part Name],$A58,T_Shipments[Effective_Week],73))</f>
        <v/>
      </c>
      <c r="BW58">
        <f>IF(COUNTIF(Material_Detail!$DE:$DE,$A58)&gt;0,IF(ISNUMBER(SEARCH("[済]",INDEX(Material_Detail!$D:$DC,MATCH($A58,Material_Detail!$DE:$DE,0)+1,74))),0,IFERROR(INDEX(Material_Detail!$D:$DC,MATCH($A58,Material_Detail!$DE:$DE,0),74),0)),SUMIFS(T_Shipments[Confirmed_Qty],T_Shipments[Part Name],$A58,T_Shipments[Effective_Week],74))</f>
        <v/>
      </c>
      <c r="BX58">
        <f>IF(COUNTIF(Material_Detail!$DE:$DE,$A58)&gt;0,IF(ISNUMBER(SEARCH("[済]",INDEX(Material_Detail!$D:$DC,MATCH($A58,Material_Detail!$DE:$DE,0)+1,75))),0,IFERROR(INDEX(Material_Detail!$D:$DC,MATCH($A58,Material_Detail!$DE:$DE,0),75),0)),SUMIFS(T_Shipments[Confirmed_Qty],T_Shipments[Part Name],$A58,T_Shipments[Effective_Week],75))</f>
        <v/>
      </c>
      <c r="BY58">
        <f>IF(COUNTIF(Material_Detail!$DE:$DE,$A58)&gt;0,IF(ISNUMBER(SEARCH("[済]",INDEX(Material_Detail!$D:$DC,MATCH($A58,Material_Detail!$DE:$DE,0)+1,76))),0,IFERROR(INDEX(Material_Detail!$D:$DC,MATCH($A58,Material_Detail!$DE:$DE,0),76),0)),SUMIFS(T_Shipments[Confirmed_Qty],T_Shipments[Part Name],$A58,T_Shipments[Effective_Week],76))</f>
        <v/>
      </c>
      <c r="BZ58">
        <f>IF(COUNTIF(Material_Detail!$DE:$DE,$A58)&gt;0,IF(ISNUMBER(SEARCH("[済]",INDEX(Material_Detail!$D:$DC,MATCH($A58,Material_Detail!$DE:$DE,0)+1,77))),0,IFERROR(INDEX(Material_Detail!$D:$DC,MATCH($A58,Material_Detail!$DE:$DE,0),77),0)),SUMIFS(T_Shipments[Confirmed_Qty],T_Shipments[Part Name],$A58,T_Shipments[Effective_Week],77))</f>
        <v/>
      </c>
      <c r="CA58">
        <f>IF(COUNTIF(Material_Detail!$DE:$DE,$A58)&gt;0,IF(ISNUMBER(SEARCH("[済]",INDEX(Material_Detail!$D:$DC,MATCH($A58,Material_Detail!$DE:$DE,0)+1,78))),0,IFERROR(INDEX(Material_Detail!$D:$DC,MATCH($A58,Material_Detail!$DE:$DE,0),78),0)),SUMIFS(T_Shipments[Confirmed_Qty],T_Shipments[Part Name],$A58,T_Shipments[Effective_Week],78))</f>
        <v/>
      </c>
      <c r="CB58">
        <f>IF(COUNTIF(Material_Detail!$DE:$DE,$A58)&gt;0,IF(ISNUMBER(SEARCH("[済]",INDEX(Material_Detail!$D:$DC,MATCH($A58,Material_Detail!$DE:$DE,0)+1,79))),0,IFERROR(INDEX(Material_Detail!$D:$DC,MATCH($A58,Material_Detail!$DE:$DE,0),79),0)),SUMIFS(T_Shipments[Confirmed_Qty],T_Shipments[Part Name],$A58,T_Shipments[Effective_Week],79))</f>
        <v/>
      </c>
      <c r="CC58">
        <f>IF(COUNTIF(Material_Detail!$DE:$DE,$A58)&gt;0,IF(ISNUMBER(SEARCH("[済]",INDEX(Material_Detail!$D:$DC,MATCH($A58,Material_Detail!$DE:$DE,0)+1,80))),0,IFERROR(INDEX(Material_Detail!$D:$DC,MATCH($A58,Material_Detail!$DE:$DE,0),80),0)),SUMIFS(T_Shipments[Confirmed_Qty],T_Shipments[Part Name],$A58,T_Shipments[Effective_Week],80))</f>
        <v/>
      </c>
      <c r="CD58">
        <f>IF(COUNTIF(Material_Detail!$DE:$DE,$A58)&gt;0,IF(ISNUMBER(SEARCH("[済]",INDEX(Material_Detail!$D:$DC,MATCH($A58,Material_Detail!$DE:$DE,0)+1,81))),0,IFERROR(INDEX(Material_Detail!$D:$DC,MATCH($A58,Material_Detail!$DE:$DE,0),81),0)),SUMIFS(T_Shipments[Confirmed_Qty],T_Shipments[Part Name],$A58,T_Shipments[Effective_Week],81))</f>
        <v/>
      </c>
      <c r="CE58">
        <f>IF(COUNTIF(Material_Detail!$DE:$DE,$A58)&gt;0,IF(ISNUMBER(SEARCH("[済]",INDEX(Material_Detail!$D:$DC,MATCH($A58,Material_Detail!$DE:$DE,0)+1,82))),0,IFERROR(INDEX(Material_Detail!$D:$DC,MATCH($A58,Material_Detail!$DE:$DE,0),82),0)),SUMIFS(T_Shipments[Confirmed_Qty],T_Shipments[Part Name],$A58,T_Shipments[Effective_Week],82))</f>
        <v/>
      </c>
      <c r="CF58">
        <f>IF(COUNTIF(Material_Detail!$DE:$DE,$A58)&gt;0,IF(ISNUMBER(SEARCH("[済]",INDEX(Material_Detail!$D:$DC,MATCH($A58,Material_Detail!$DE:$DE,0)+1,83))),0,IFERROR(INDEX(Material_Detail!$D:$DC,MATCH($A58,Material_Detail!$DE:$DE,0),83),0)),SUMIFS(T_Shipments[Confirmed_Qty],T_Shipments[Part Name],$A58,T_Shipments[Effective_Week],83))</f>
        <v/>
      </c>
      <c r="CG58">
        <f>IF(COUNTIF(Material_Detail!$DE:$DE,$A58)&gt;0,IF(ISNUMBER(SEARCH("[済]",INDEX(Material_Detail!$D:$DC,MATCH($A58,Material_Detail!$DE:$DE,0)+1,84))),0,IFERROR(INDEX(Material_Detail!$D:$DC,MATCH($A58,Material_Detail!$DE:$DE,0),84),0)),SUMIFS(T_Shipments[Confirmed_Qty],T_Shipments[Part Name],$A58,T_Shipments[Effective_Week],84))</f>
        <v/>
      </c>
      <c r="CH58">
        <f>IF(COUNTIF(Material_Detail!$DE:$DE,$A58)&gt;0,IF(ISNUMBER(SEARCH("[済]",INDEX(Material_Detail!$D:$DC,MATCH($A58,Material_Detail!$DE:$DE,0)+1,85))),0,IFERROR(INDEX(Material_Detail!$D:$DC,MATCH($A58,Material_Detail!$DE:$DE,0),85),0)),SUMIFS(T_Shipments[Confirmed_Qty],T_Shipments[Part Name],$A58,T_Shipments[Effective_Week],85))</f>
        <v/>
      </c>
      <c r="CI58">
        <f>IF(COUNTIF(Material_Detail!$DE:$DE,$A58)&gt;0,IF(ISNUMBER(SEARCH("[済]",INDEX(Material_Detail!$D:$DC,MATCH($A58,Material_Detail!$DE:$DE,0)+1,86))),0,IFERROR(INDEX(Material_Detail!$D:$DC,MATCH($A58,Material_Detail!$DE:$DE,0),86),0)),SUMIFS(T_Shipments[Confirmed_Qty],T_Shipments[Part Name],$A58,T_Shipments[Effective_Week],86))</f>
        <v/>
      </c>
      <c r="CJ58">
        <f>IF(COUNTIF(Material_Detail!$DE:$DE,$A58)&gt;0,IF(ISNUMBER(SEARCH("[済]",INDEX(Material_Detail!$D:$DC,MATCH($A58,Material_Detail!$DE:$DE,0)+1,87))),0,IFERROR(INDEX(Material_Detail!$D:$DC,MATCH($A58,Material_Detail!$DE:$DE,0),87),0)),SUMIFS(T_Shipments[Confirmed_Qty],T_Shipments[Part Name],$A58,T_Shipments[Effective_Week],87))</f>
        <v/>
      </c>
      <c r="CK58">
        <f>IF(COUNTIF(Material_Detail!$DE:$DE,$A58)&gt;0,IF(ISNUMBER(SEARCH("[済]",INDEX(Material_Detail!$D:$DC,MATCH($A58,Material_Detail!$DE:$DE,0)+1,88))),0,IFERROR(INDEX(Material_Detail!$D:$DC,MATCH($A58,Material_Detail!$DE:$DE,0),88),0)),SUMIFS(T_Shipments[Confirmed_Qty],T_Shipments[Part Name],$A58,T_Shipments[Effective_Week],88))</f>
        <v/>
      </c>
      <c r="CL58">
        <f>IF(COUNTIF(Material_Detail!$DE:$DE,$A58)&gt;0,IF(ISNUMBER(SEARCH("[済]",INDEX(Material_Detail!$D:$DC,MATCH($A58,Material_Detail!$DE:$DE,0)+1,89))),0,IFERROR(INDEX(Material_Detail!$D:$DC,MATCH($A58,Material_Detail!$DE:$DE,0),89),0)),SUMIFS(T_Shipments[Confirmed_Qty],T_Shipments[Part Name],$A58,T_Shipments[Effective_Week],89))</f>
        <v/>
      </c>
      <c r="CM58">
        <f>IF(COUNTIF(Material_Detail!$DE:$DE,$A58)&gt;0,IF(ISNUMBER(SEARCH("[済]",INDEX(Material_Detail!$D:$DC,MATCH($A58,Material_Detail!$DE:$DE,0)+1,90))),0,IFERROR(INDEX(Material_Detail!$D:$DC,MATCH($A58,Material_Detail!$DE:$DE,0),90),0)),SUMIFS(T_Shipments[Confirmed_Qty],T_Shipments[Part Name],$A58,T_Shipments[Effective_Week],90))</f>
        <v/>
      </c>
      <c r="CN58">
        <f>IF(COUNTIF(Material_Detail!$DE:$DE,$A58)&gt;0,IF(ISNUMBER(SEARCH("[済]",INDEX(Material_Detail!$D:$DC,MATCH($A58,Material_Detail!$DE:$DE,0)+1,91))),0,IFERROR(INDEX(Material_Detail!$D:$DC,MATCH($A58,Material_Detail!$DE:$DE,0),91),0)),SUMIFS(T_Shipments[Confirmed_Qty],T_Shipments[Part Name],$A58,T_Shipments[Effective_Week],91))</f>
        <v/>
      </c>
      <c r="CO58">
        <f>IF(COUNTIF(Material_Detail!$DE:$DE,$A58)&gt;0,IF(ISNUMBER(SEARCH("[済]",INDEX(Material_Detail!$D:$DC,MATCH($A58,Material_Detail!$DE:$DE,0)+1,92))),0,IFERROR(INDEX(Material_Detail!$D:$DC,MATCH($A58,Material_Detail!$DE:$DE,0),92),0)),SUMIFS(T_Shipments[Confirmed_Qty],T_Shipments[Part Name],$A58,T_Shipments[Effective_Week],92))</f>
        <v/>
      </c>
      <c r="CP58">
        <f>IF(COUNTIF(Material_Detail!$DE:$DE,$A58)&gt;0,IF(ISNUMBER(SEARCH("[済]",INDEX(Material_Detail!$D:$DC,MATCH($A58,Material_Detail!$DE:$DE,0)+1,93))),0,IFERROR(INDEX(Material_Detail!$D:$DC,MATCH($A58,Material_Detail!$DE:$DE,0),93),0)),SUMIFS(T_Shipments[Confirmed_Qty],T_Shipments[Part Name],$A58,T_Shipments[Effective_Week],93))</f>
        <v/>
      </c>
      <c r="CQ58">
        <f>IF(COUNTIF(Material_Detail!$DE:$DE,$A58)&gt;0,IF(ISNUMBER(SEARCH("[済]",INDEX(Material_Detail!$D:$DC,MATCH($A58,Material_Detail!$DE:$DE,0)+1,94))),0,IFERROR(INDEX(Material_Detail!$D:$DC,MATCH($A58,Material_Detail!$DE:$DE,0),94),0)),SUMIFS(T_Shipments[Confirmed_Qty],T_Shipments[Part Name],$A58,T_Shipments[Effective_Week],94))</f>
        <v/>
      </c>
      <c r="CR58">
        <f>IF(COUNTIF(Material_Detail!$DE:$DE,$A58)&gt;0,IF(ISNUMBER(SEARCH("[済]",INDEX(Material_Detail!$D:$DC,MATCH($A58,Material_Detail!$DE:$DE,0)+1,95))),0,IFERROR(INDEX(Material_Detail!$D:$DC,MATCH($A58,Material_Detail!$DE:$DE,0),95),0)),SUMIFS(T_Shipments[Confirmed_Qty],T_Shipments[Part Name],$A58,T_Shipments[Effective_Week],95))</f>
        <v/>
      </c>
      <c r="CS58">
        <f>IF(COUNTIF(Material_Detail!$DE:$DE,$A58)&gt;0,IF(ISNUMBER(SEARCH("[済]",INDEX(Material_Detail!$D:$DC,MATCH($A58,Material_Detail!$DE:$DE,0)+1,96))),0,IFERROR(INDEX(Material_Detail!$D:$DC,MATCH($A58,Material_Detail!$DE:$DE,0),96),0)),SUMIFS(T_Shipments[Confirmed_Qty],T_Shipments[Part Name],$A58,T_Shipments[Effective_Week],96))</f>
        <v/>
      </c>
      <c r="CT58">
        <f>IF(COUNTIF(Material_Detail!$DE:$DE,$A58)&gt;0,IF(ISNUMBER(SEARCH("[済]",INDEX(Material_Detail!$D:$DC,MATCH($A58,Material_Detail!$DE:$DE,0)+1,97))),0,IFERROR(INDEX(Material_Detail!$D:$DC,MATCH($A58,Material_Detail!$DE:$DE,0),97),0)),SUMIFS(T_Shipments[Confirmed_Qty],T_Shipments[Part Name],$A58,T_Shipments[Effective_Week],97))</f>
        <v/>
      </c>
      <c r="CU58">
        <f>IF(COUNTIF(Material_Detail!$DE:$DE,$A58)&gt;0,IF(ISNUMBER(SEARCH("[済]",INDEX(Material_Detail!$D:$DC,MATCH($A58,Material_Detail!$DE:$DE,0)+1,98))),0,IFERROR(INDEX(Material_Detail!$D:$DC,MATCH($A58,Material_Detail!$DE:$DE,0),98),0)),SUMIFS(T_Shipments[Confirmed_Qty],T_Shipments[Part Name],$A58,T_Shipments[Effective_Week],98))</f>
        <v/>
      </c>
      <c r="CV58">
        <f>IF(COUNTIF(Material_Detail!$DE:$DE,$A58)&gt;0,IF(ISNUMBER(SEARCH("[済]",INDEX(Material_Detail!$D:$DC,MATCH($A58,Material_Detail!$DE:$DE,0)+1,99))),0,IFERROR(INDEX(Material_Detail!$D:$DC,MATCH($A58,Material_Detail!$DE:$DE,0),99),0)),SUMIFS(T_Shipments[Confirmed_Qty],T_Shipments[Part Name],$A58,T_Shipments[Effective_Week],99))</f>
        <v/>
      </c>
      <c r="CW58">
        <f>IF(COUNTIF(Material_Detail!$DE:$DE,$A58)&gt;0,IF(ISNUMBER(SEARCH("[済]",INDEX(Material_Detail!$D:$DC,MATCH($A58,Material_Detail!$DE:$DE,0)+1,100))),0,IFERROR(INDEX(Material_Detail!$D:$DC,MATCH($A58,Material_Detail!$DE:$DE,0),100),0)),SUMIFS(T_Shipments[Confirmed_Qty],T_Shipments[Part Name],$A58,T_Shipments[Effective_Week],100))</f>
        <v/>
      </c>
      <c r="CX58">
        <f>IF(COUNTIF(Material_Detail!$DE:$DE,$A58)&gt;0,IF(ISNUMBER(SEARCH("[済]",INDEX(Material_Detail!$D:$DC,MATCH($A58,Material_Detail!$DE:$DE,0)+1,101))),0,IFERROR(INDEX(Material_Detail!$D:$DC,MATCH($A58,Material_Detail!$DE:$DE,0),101),0)),SUMIFS(T_Shipments[Confirmed_Qty],T_Shipments[Part Name],$A58,T_Shipments[Effective_Week],101))</f>
        <v/>
      </c>
      <c r="CY58">
        <f>IF(COUNTIF(Material_Detail!$DE:$DE,$A58)&gt;0,IF(ISNUMBER(SEARCH("[済]",INDEX(Material_Detail!$D:$DC,MATCH($A58,Material_Detail!$DE:$DE,0)+1,102))),0,IFERROR(INDEX(Material_Detail!$D:$DC,MATCH($A58,Material_Detail!$DE:$DE,0),102),0)),SUMIFS(T_Shipments[Confirmed_Qty],T_Shipments[Part Name],$A58,T_Shipments[Effective_Week],102))</f>
        <v/>
      </c>
      <c r="CZ58">
        <f>IF(COUNTIF(Material_Detail!$DE:$DE,$A58)&gt;0,IF(ISNUMBER(SEARCH("[済]",INDEX(Material_Detail!$D:$DC,MATCH($A58,Material_Detail!$DE:$DE,0)+1,103))),0,IFERROR(INDEX(Material_Detail!$D:$DC,MATCH($A58,Material_Detail!$DE:$DE,0),103),0)),SUMIFS(T_Shipments[Confirmed_Qty],T_Shipments[Part Name],$A58,T_Shipments[Effective_Week],103))</f>
        <v/>
      </c>
      <c r="DA58">
        <f>IF(COUNTIF(Material_Detail!$DE:$DE,$A58)&gt;0,IF(ISNUMBER(SEARCH("[済]",INDEX(Material_Detail!$D:$DC,MATCH($A58,Material_Detail!$DE:$DE,0)+1,104))),0,IFERROR(INDEX(Material_Detail!$D:$DC,MATCH($A58,Material_Detail!$DE:$DE,0),104),0)),SUMIFS(T_Shipments[Confirmed_Qty],T_Shipments[Part Name],$A58,T_Shipments[Effective_Week],104))</f>
        <v/>
      </c>
    </row>
    <row r="59">
      <c r="A59" t="inlineStr">
        <is>
          <t>CHEM-1560</t>
        </is>
      </c>
      <c r="B59">
        <f>IF(COUNTIF(Material_Detail!$DE:$DE,$A59)&gt;0,IF(ISNUMBER(SEARCH("[済]",INDEX(Material_Detail!$D:$DC,MATCH($A59,Material_Detail!$DE:$DE,0)+1,1))),0,IFERROR(INDEX(Material_Detail!$D:$DC,MATCH($A59,Material_Detail!$DE:$DE,0),1),0)),SUMIFS(T_Shipments[Confirmed_Qty],T_Shipments[Part Name],$A59,T_Shipments[Effective_Week],1))</f>
        <v/>
      </c>
      <c r="C59">
        <f>IF(COUNTIF(Material_Detail!$DE:$DE,$A59)&gt;0,IF(ISNUMBER(SEARCH("[済]",INDEX(Material_Detail!$D:$DC,MATCH($A59,Material_Detail!$DE:$DE,0)+1,2))),0,IFERROR(INDEX(Material_Detail!$D:$DC,MATCH($A59,Material_Detail!$DE:$DE,0),2),0)),SUMIFS(T_Shipments[Confirmed_Qty],T_Shipments[Part Name],$A59,T_Shipments[Effective_Week],2))</f>
        <v/>
      </c>
      <c r="D59">
        <f>IF(COUNTIF(Material_Detail!$DE:$DE,$A59)&gt;0,IF(ISNUMBER(SEARCH("[済]",INDEX(Material_Detail!$D:$DC,MATCH($A59,Material_Detail!$DE:$DE,0)+1,3))),0,IFERROR(INDEX(Material_Detail!$D:$DC,MATCH($A59,Material_Detail!$DE:$DE,0),3),0)),SUMIFS(T_Shipments[Confirmed_Qty],T_Shipments[Part Name],$A59,T_Shipments[Effective_Week],3))</f>
        <v/>
      </c>
      <c r="E59">
        <f>IF(COUNTIF(Material_Detail!$DE:$DE,$A59)&gt;0,IF(ISNUMBER(SEARCH("[済]",INDEX(Material_Detail!$D:$DC,MATCH($A59,Material_Detail!$DE:$DE,0)+1,4))),0,IFERROR(INDEX(Material_Detail!$D:$DC,MATCH($A59,Material_Detail!$DE:$DE,0),4),0)),SUMIFS(T_Shipments[Confirmed_Qty],T_Shipments[Part Name],$A59,T_Shipments[Effective_Week],4))</f>
        <v/>
      </c>
      <c r="F59">
        <f>IF(COUNTIF(Material_Detail!$DE:$DE,$A59)&gt;0,IF(ISNUMBER(SEARCH("[済]",INDEX(Material_Detail!$D:$DC,MATCH($A59,Material_Detail!$DE:$DE,0)+1,5))),0,IFERROR(INDEX(Material_Detail!$D:$DC,MATCH($A59,Material_Detail!$DE:$DE,0),5),0)),SUMIFS(T_Shipments[Confirmed_Qty],T_Shipments[Part Name],$A59,T_Shipments[Effective_Week],5))</f>
        <v/>
      </c>
      <c r="G59">
        <f>IF(COUNTIF(Material_Detail!$DE:$DE,$A59)&gt;0,IF(ISNUMBER(SEARCH("[済]",INDEX(Material_Detail!$D:$DC,MATCH($A59,Material_Detail!$DE:$DE,0)+1,6))),0,IFERROR(INDEX(Material_Detail!$D:$DC,MATCH($A59,Material_Detail!$DE:$DE,0),6),0)),SUMIFS(T_Shipments[Confirmed_Qty],T_Shipments[Part Name],$A59,T_Shipments[Effective_Week],6))</f>
        <v/>
      </c>
      <c r="H59">
        <f>IF(COUNTIF(Material_Detail!$DE:$DE,$A59)&gt;0,IF(ISNUMBER(SEARCH("[済]",INDEX(Material_Detail!$D:$DC,MATCH($A59,Material_Detail!$DE:$DE,0)+1,7))),0,IFERROR(INDEX(Material_Detail!$D:$DC,MATCH($A59,Material_Detail!$DE:$DE,0),7),0)),SUMIFS(T_Shipments[Confirmed_Qty],T_Shipments[Part Name],$A59,T_Shipments[Effective_Week],7))</f>
        <v/>
      </c>
      <c r="I59">
        <f>IF(COUNTIF(Material_Detail!$DE:$DE,$A59)&gt;0,IF(ISNUMBER(SEARCH("[済]",INDEX(Material_Detail!$D:$DC,MATCH($A59,Material_Detail!$DE:$DE,0)+1,8))),0,IFERROR(INDEX(Material_Detail!$D:$DC,MATCH($A59,Material_Detail!$DE:$DE,0),8),0)),SUMIFS(T_Shipments[Confirmed_Qty],T_Shipments[Part Name],$A59,T_Shipments[Effective_Week],8))</f>
        <v/>
      </c>
      <c r="J59">
        <f>IF(COUNTIF(Material_Detail!$DE:$DE,$A59)&gt;0,IF(ISNUMBER(SEARCH("[済]",INDEX(Material_Detail!$D:$DC,MATCH($A59,Material_Detail!$DE:$DE,0)+1,9))),0,IFERROR(INDEX(Material_Detail!$D:$DC,MATCH($A59,Material_Detail!$DE:$DE,0),9),0)),SUMIFS(T_Shipments[Confirmed_Qty],T_Shipments[Part Name],$A59,T_Shipments[Effective_Week],9))</f>
        <v/>
      </c>
      <c r="K59">
        <f>IF(COUNTIF(Material_Detail!$DE:$DE,$A59)&gt;0,IF(ISNUMBER(SEARCH("[済]",INDEX(Material_Detail!$D:$DC,MATCH($A59,Material_Detail!$DE:$DE,0)+1,10))),0,IFERROR(INDEX(Material_Detail!$D:$DC,MATCH($A59,Material_Detail!$DE:$DE,0),10),0)),SUMIFS(T_Shipments[Confirmed_Qty],T_Shipments[Part Name],$A59,T_Shipments[Effective_Week],10))</f>
        <v/>
      </c>
      <c r="L59">
        <f>IF(COUNTIF(Material_Detail!$DE:$DE,$A59)&gt;0,IF(ISNUMBER(SEARCH("[済]",INDEX(Material_Detail!$D:$DC,MATCH($A59,Material_Detail!$DE:$DE,0)+1,11))),0,IFERROR(INDEX(Material_Detail!$D:$DC,MATCH($A59,Material_Detail!$DE:$DE,0),11),0)),SUMIFS(T_Shipments[Confirmed_Qty],T_Shipments[Part Name],$A59,T_Shipments[Effective_Week],11))</f>
        <v/>
      </c>
      <c r="M59">
        <f>IF(COUNTIF(Material_Detail!$DE:$DE,$A59)&gt;0,IF(ISNUMBER(SEARCH("[済]",INDEX(Material_Detail!$D:$DC,MATCH($A59,Material_Detail!$DE:$DE,0)+1,12))),0,IFERROR(INDEX(Material_Detail!$D:$DC,MATCH($A59,Material_Detail!$DE:$DE,0),12),0)),SUMIFS(T_Shipments[Confirmed_Qty],T_Shipments[Part Name],$A59,T_Shipments[Effective_Week],12))</f>
        <v/>
      </c>
      <c r="N59">
        <f>IF(COUNTIF(Material_Detail!$DE:$DE,$A59)&gt;0,IF(ISNUMBER(SEARCH("[済]",INDEX(Material_Detail!$D:$DC,MATCH($A59,Material_Detail!$DE:$DE,0)+1,13))),0,IFERROR(INDEX(Material_Detail!$D:$DC,MATCH($A59,Material_Detail!$DE:$DE,0),13),0)),SUMIFS(T_Shipments[Confirmed_Qty],T_Shipments[Part Name],$A59,T_Shipments[Effective_Week],13))</f>
        <v/>
      </c>
      <c r="O59">
        <f>IF(COUNTIF(Material_Detail!$DE:$DE,$A59)&gt;0,IF(ISNUMBER(SEARCH("[済]",INDEX(Material_Detail!$D:$DC,MATCH($A59,Material_Detail!$DE:$DE,0)+1,14))),0,IFERROR(INDEX(Material_Detail!$D:$DC,MATCH($A59,Material_Detail!$DE:$DE,0),14),0)),SUMIFS(T_Shipments[Confirmed_Qty],T_Shipments[Part Name],$A59,T_Shipments[Effective_Week],14))</f>
        <v/>
      </c>
      <c r="P59">
        <f>IF(COUNTIF(Material_Detail!$DE:$DE,$A59)&gt;0,IF(ISNUMBER(SEARCH("[済]",INDEX(Material_Detail!$D:$DC,MATCH($A59,Material_Detail!$DE:$DE,0)+1,15))),0,IFERROR(INDEX(Material_Detail!$D:$DC,MATCH($A59,Material_Detail!$DE:$DE,0),15),0)),SUMIFS(T_Shipments[Confirmed_Qty],T_Shipments[Part Name],$A59,T_Shipments[Effective_Week],15))</f>
        <v/>
      </c>
      <c r="Q59">
        <f>IF(COUNTIF(Material_Detail!$DE:$DE,$A59)&gt;0,IF(ISNUMBER(SEARCH("[済]",INDEX(Material_Detail!$D:$DC,MATCH($A59,Material_Detail!$DE:$DE,0)+1,16))),0,IFERROR(INDEX(Material_Detail!$D:$DC,MATCH($A59,Material_Detail!$DE:$DE,0),16),0)),SUMIFS(T_Shipments[Confirmed_Qty],T_Shipments[Part Name],$A59,T_Shipments[Effective_Week],16))</f>
        <v/>
      </c>
      <c r="R59">
        <f>IF(COUNTIF(Material_Detail!$DE:$DE,$A59)&gt;0,IF(ISNUMBER(SEARCH("[済]",INDEX(Material_Detail!$D:$DC,MATCH($A59,Material_Detail!$DE:$DE,0)+1,17))),0,IFERROR(INDEX(Material_Detail!$D:$DC,MATCH($A59,Material_Detail!$DE:$DE,0),17),0)),SUMIFS(T_Shipments[Confirmed_Qty],T_Shipments[Part Name],$A59,T_Shipments[Effective_Week],17))</f>
        <v/>
      </c>
      <c r="S59">
        <f>IF(COUNTIF(Material_Detail!$DE:$DE,$A59)&gt;0,IF(ISNUMBER(SEARCH("[済]",INDEX(Material_Detail!$D:$DC,MATCH($A59,Material_Detail!$DE:$DE,0)+1,18))),0,IFERROR(INDEX(Material_Detail!$D:$DC,MATCH($A59,Material_Detail!$DE:$DE,0),18),0)),SUMIFS(T_Shipments[Confirmed_Qty],T_Shipments[Part Name],$A59,T_Shipments[Effective_Week],18))</f>
        <v/>
      </c>
      <c r="T59">
        <f>IF(COUNTIF(Material_Detail!$DE:$DE,$A59)&gt;0,IF(ISNUMBER(SEARCH("[済]",INDEX(Material_Detail!$D:$DC,MATCH($A59,Material_Detail!$DE:$DE,0)+1,19))),0,IFERROR(INDEX(Material_Detail!$D:$DC,MATCH($A59,Material_Detail!$DE:$DE,0),19),0)),SUMIFS(T_Shipments[Confirmed_Qty],T_Shipments[Part Name],$A59,T_Shipments[Effective_Week],19))</f>
        <v/>
      </c>
      <c r="U59">
        <f>IF(COUNTIF(Material_Detail!$DE:$DE,$A59)&gt;0,IF(ISNUMBER(SEARCH("[済]",INDEX(Material_Detail!$D:$DC,MATCH($A59,Material_Detail!$DE:$DE,0)+1,20))),0,IFERROR(INDEX(Material_Detail!$D:$DC,MATCH($A59,Material_Detail!$DE:$DE,0),20),0)),SUMIFS(T_Shipments[Confirmed_Qty],T_Shipments[Part Name],$A59,T_Shipments[Effective_Week],20))</f>
        <v/>
      </c>
      <c r="V59">
        <f>IF(COUNTIF(Material_Detail!$DE:$DE,$A59)&gt;0,IF(ISNUMBER(SEARCH("[済]",INDEX(Material_Detail!$D:$DC,MATCH($A59,Material_Detail!$DE:$DE,0)+1,21))),0,IFERROR(INDEX(Material_Detail!$D:$DC,MATCH($A59,Material_Detail!$DE:$DE,0),21),0)),SUMIFS(T_Shipments[Confirmed_Qty],T_Shipments[Part Name],$A59,T_Shipments[Effective_Week],21))</f>
        <v/>
      </c>
      <c r="W59">
        <f>IF(COUNTIF(Material_Detail!$DE:$DE,$A59)&gt;0,IF(ISNUMBER(SEARCH("[済]",INDEX(Material_Detail!$D:$DC,MATCH($A59,Material_Detail!$DE:$DE,0)+1,22))),0,IFERROR(INDEX(Material_Detail!$D:$DC,MATCH($A59,Material_Detail!$DE:$DE,0),22),0)),SUMIFS(T_Shipments[Confirmed_Qty],T_Shipments[Part Name],$A59,T_Shipments[Effective_Week],22))</f>
        <v/>
      </c>
      <c r="X59">
        <f>IF(COUNTIF(Material_Detail!$DE:$DE,$A59)&gt;0,IF(ISNUMBER(SEARCH("[済]",INDEX(Material_Detail!$D:$DC,MATCH($A59,Material_Detail!$DE:$DE,0)+1,23))),0,IFERROR(INDEX(Material_Detail!$D:$DC,MATCH($A59,Material_Detail!$DE:$DE,0),23),0)),SUMIFS(T_Shipments[Confirmed_Qty],T_Shipments[Part Name],$A59,T_Shipments[Effective_Week],23))</f>
        <v/>
      </c>
      <c r="Y59">
        <f>IF(COUNTIF(Material_Detail!$DE:$DE,$A59)&gt;0,IF(ISNUMBER(SEARCH("[済]",INDEX(Material_Detail!$D:$DC,MATCH($A59,Material_Detail!$DE:$DE,0)+1,24))),0,IFERROR(INDEX(Material_Detail!$D:$DC,MATCH($A59,Material_Detail!$DE:$DE,0),24),0)),SUMIFS(T_Shipments[Confirmed_Qty],T_Shipments[Part Name],$A59,T_Shipments[Effective_Week],24))</f>
        <v/>
      </c>
      <c r="Z59">
        <f>IF(COUNTIF(Material_Detail!$DE:$DE,$A59)&gt;0,IF(ISNUMBER(SEARCH("[済]",INDEX(Material_Detail!$D:$DC,MATCH($A59,Material_Detail!$DE:$DE,0)+1,25))),0,IFERROR(INDEX(Material_Detail!$D:$DC,MATCH($A59,Material_Detail!$DE:$DE,0),25),0)),SUMIFS(T_Shipments[Confirmed_Qty],T_Shipments[Part Name],$A59,T_Shipments[Effective_Week],25))</f>
        <v/>
      </c>
      <c r="AA59">
        <f>IF(COUNTIF(Material_Detail!$DE:$DE,$A59)&gt;0,IF(ISNUMBER(SEARCH("[済]",INDEX(Material_Detail!$D:$DC,MATCH($A59,Material_Detail!$DE:$DE,0)+1,26))),0,IFERROR(INDEX(Material_Detail!$D:$DC,MATCH($A59,Material_Detail!$DE:$DE,0),26),0)),SUMIFS(T_Shipments[Confirmed_Qty],T_Shipments[Part Name],$A59,T_Shipments[Effective_Week],26))</f>
        <v/>
      </c>
      <c r="AB59">
        <f>IF(COUNTIF(Material_Detail!$DE:$DE,$A59)&gt;0,IF(ISNUMBER(SEARCH("[済]",INDEX(Material_Detail!$D:$DC,MATCH($A59,Material_Detail!$DE:$DE,0)+1,27))),0,IFERROR(INDEX(Material_Detail!$D:$DC,MATCH($A59,Material_Detail!$DE:$DE,0),27),0)),SUMIFS(T_Shipments[Confirmed_Qty],T_Shipments[Part Name],$A59,T_Shipments[Effective_Week],27))</f>
        <v/>
      </c>
      <c r="AC59">
        <f>IF(COUNTIF(Material_Detail!$DE:$DE,$A59)&gt;0,IF(ISNUMBER(SEARCH("[済]",INDEX(Material_Detail!$D:$DC,MATCH($A59,Material_Detail!$DE:$DE,0)+1,28))),0,IFERROR(INDEX(Material_Detail!$D:$DC,MATCH($A59,Material_Detail!$DE:$DE,0),28),0)),SUMIFS(T_Shipments[Confirmed_Qty],T_Shipments[Part Name],$A59,T_Shipments[Effective_Week],28))</f>
        <v/>
      </c>
      <c r="AD59">
        <f>IF(COUNTIF(Material_Detail!$DE:$DE,$A59)&gt;0,IF(ISNUMBER(SEARCH("[済]",INDEX(Material_Detail!$D:$DC,MATCH($A59,Material_Detail!$DE:$DE,0)+1,29))),0,IFERROR(INDEX(Material_Detail!$D:$DC,MATCH($A59,Material_Detail!$DE:$DE,0),29),0)),SUMIFS(T_Shipments[Confirmed_Qty],T_Shipments[Part Name],$A59,T_Shipments[Effective_Week],29))</f>
        <v/>
      </c>
      <c r="AE59">
        <f>IF(COUNTIF(Material_Detail!$DE:$DE,$A59)&gt;0,IF(ISNUMBER(SEARCH("[済]",INDEX(Material_Detail!$D:$DC,MATCH($A59,Material_Detail!$DE:$DE,0)+1,30))),0,IFERROR(INDEX(Material_Detail!$D:$DC,MATCH($A59,Material_Detail!$DE:$DE,0),30),0)),SUMIFS(T_Shipments[Confirmed_Qty],T_Shipments[Part Name],$A59,T_Shipments[Effective_Week],30))</f>
        <v/>
      </c>
      <c r="AF59">
        <f>IF(COUNTIF(Material_Detail!$DE:$DE,$A59)&gt;0,IF(ISNUMBER(SEARCH("[済]",INDEX(Material_Detail!$D:$DC,MATCH($A59,Material_Detail!$DE:$DE,0)+1,31))),0,IFERROR(INDEX(Material_Detail!$D:$DC,MATCH($A59,Material_Detail!$DE:$DE,0),31),0)),SUMIFS(T_Shipments[Confirmed_Qty],T_Shipments[Part Name],$A59,T_Shipments[Effective_Week],31))</f>
        <v/>
      </c>
      <c r="AG59">
        <f>IF(COUNTIF(Material_Detail!$DE:$DE,$A59)&gt;0,IF(ISNUMBER(SEARCH("[済]",INDEX(Material_Detail!$D:$DC,MATCH($A59,Material_Detail!$DE:$DE,0)+1,32))),0,IFERROR(INDEX(Material_Detail!$D:$DC,MATCH($A59,Material_Detail!$DE:$DE,0),32),0)),SUMIFS(T_Shipments[Confirmed_Qty],T_Shipments[Part Name],$A59,T_Shipments[Effective_Week],32))</f>
        <v/>
      </c>
      <c r="AH59">
        <f>IF(COUNTIF(Material_Detail!$DE:$DE,$A59)&gt;0,IF(ISNUMBER(SEARCH("[済]",INDEX(Material_Detail!$D:$DC,MATCH($A59,Material_Detail!$DE:$DE,0)+1,33))),0,IFERROR(INDEX(Material_Detail!$D:$DC,MATCH($A59,Material_Detail!$DE:$DE,0),33),0)),SUMIFS(T_Shipments[Confirmed_Qty],T_Shipments[Part Name],$A59,T_Shipments[Effective_Week],33))</f>
        <v/>
      </c>
      <c r="AI59">
        <f>IF(COUNTIF(Material_Detail!$DE:$DE,$A59)&gt;0,IF(ISNUMBER(SEARCH("[済]",INDEX(Material_Detail!$D:$DC,MATCH($A59,Material_Detail!$DE:$DE,0)+1,34))),0,IFERROR(INDEX(Material_Detail!$D:$DC,MATCH($A59,Material_Detail!$DE:$DE,0),34),0)),SUMIFS(T_Shipments[Confirmed_Qty],T_Shipments[Part Name],$A59,T_Shipments[Effective_Week],34))</f>
        <v/>
      </c>
      <c r="AJ59">
        <f>IF(COUNTIF(Material_Detail!$DE:$DE,$A59)&gt;0,IF(ISNUMBER(SEARCH("[済]",INDEX(Material_Detail!$D:$DC,MATCH($A59,Material_Detail!$DE:$DE,0)+1,35))),0,IFERROR(INDEX(Material_Detail!$D:$DC,MATCH($A59,Material_Detail!$DE:$DE,0),35),0)),SUMIFS(T_Shipments[Confirmed_Qty],T_Shipments[Part Name],$A59,T_Shipments[Effective_Week],35))</f>
        <v/>
      </c>
      <c r="AK59">
        <f>IF(COUNTIF(Material_Detail!$DE:$DE,$A59)&gt;0,IF(ISNUMBER(SEARCH("[済]",INDEX(Material_Detail!$D:$DC,MATCH($A59,Material_Detail!$DE:$DE,0)+1,36))),0,IFERROR(INDEX(Material_Detail!$D:$DC,MATCH($A59,Material_Detail!$DE:$DE,0),36),0)),SUMIFS(T_Shipments[Confirmed_Qty],T_Shipments[Part Name],$A59,T_Shipments[Effective_Week],36))</f>
        <v/>
      </c>
      <c r="AL59">
        <f>IF(COUNTIF(Material_Detail!$DE:$DE,$A59)&gt;0,IF(ISNUMBER(SEARCH("[済]",INDEX(Material_Detail!$D:$DC,MATCH($A59,Material_Detail!$DE:$DE,0)+1,37))),0,IFERROR(INDEX(Material_Detail!$D:$DC,MATCH($A59,Material_Detail!$DE:$DE,0),37),0)),SUMIFS(T_Shipments[Confirmed_Qty],T_Shipments[Part Name],$A59,T_Shipments[Effective_Week],37))</f>
        <v/>
      </c>
      <c r="AM59">
        <f>IF(COUNTIF(Material_Detail!$DE:$DE,$A59)&gt;0,IF(ISNUMBER(SEARCH("[済]",INDEX(Material_Detail!$D:$DC,MATCH($A59,Material_Detail!$DE:$DE,0)+1,38))),0,IFERROR(INDEX(Material_Detail!$D:$DC,MATCH($A59,Material_Detail!$DE:$DE,0),38),0)),SUMIFS(T_Shipments[Confirmed_Qty],T_Shipments[Part Name],$A59,T_Shipments[Effective_Week],38))</f>
        <v/>
      </c>
      <c r="AN59">
        <f>IF(COUNTIF(Material_Detail!$DE:$DE,$A59)&gt;0,IF(ISNUMBER(SEARCH("[済]",INDEX(Material_Detail!$D:$DC,MATCH($A59,Material_Detail!$DE:$DE,0)+1,39))),0,IFERROR(INDEX(Material_Detail!$D:$DC,MATCH($A59,Material_Detail!$DE:$DE,0),39),0)),SUMIFS(T_Shipments[Confirmed_Qty],T_Shipments[Part Name],$A59,T_Shipments[Effective_Week],39))</f>
        <v/>
      </c>
      <c r="AO59">
        <f>IF(COUNTIF(Material_Detail!$DE:$DE,$A59)&gt;0,IF(ISNUMBER(SEARCH("[済]",INDEX(Material_Detail!$D:$DC,MATCH($A59,Material_Detail!$DE:$DE,0)+1,40))),0,IFERROR(INDEX(Material_Detail!$D:$DC,MATCH($A59,Material_Detail!$DE:$DE,0),40),0)),SUMIFS(T_Shipments[Confirmed_Qty],T_Shipments[Part Name],$A59,T_Shipments[Effective_Week],40))</f>
        <v/>
      </c>
      <c r="AP59">
        <f>IF(COUNTIF(Material_Detail!$DE:$DE,$A59)&gt;0,IF(ISNUMBER(SEARCH("[済]",INDEX(Material_Detail!$D:$DC,MATCH($A59,Material_Detail!$DE:$DE,0)+1,41))),0,IFERROR(INDEX(Material_Detail!$D:$DC,MATCH($A59,Material_Detail!$DE:$DE,0),41),0)),SUMIFS(T_Shipments[Confirmed_Qty],T_Shipments[Part Name],$A59,T_Shipments[Effective_Week],41))</f>
        <v/>
      </c>
      <c r="AQ59">
        <f>IF(COUNTIF(Material_Detail!$DE:$DE,$A59)&gt;0,IF(ISNUMBER(SEARCH("[済]",INDEX(Material_Detail!$D:$DC,MATCH($A59,Material_Detail!$DE:$DE,0)+1,42))),0,IFERROR(INDEX(Material_Detail!$D:$DC,MATCH($A59,Material_Detail!$DE:$DE,0),42),0)),SUMIFS(T_Shipments[Confirmed_Qty],T_Shipments[Part Name],$A59,T_Shipments[Effective_Week],42))</f>
        <v/>
      </c>
      <c r="AR59">
        <f>IF(COUNTIF(Material_Detail!$DE:$DE,$A59)&gt;0,IF(ISNUMBER(SEARCH("[済]",INDEX(Material_Detail!$D:$DC,MATCH($A59,Material_Detail!$DE:$DE,0)+1,43))),0,IFERROR(INDEX(Material_Detail!$D:$DC,MATCH($A59,Material_Detail!$DE:$DE,0),43),0)),SUMIFS(T_Shipments[Confirmed_Qty],T_Shipments[Part Name],$A59,T_Shipments[Effective_Week],43))</f>
        <v/>
      </c>
      <c r="AS59">
        <f>IF(COUNTIF(Material_Detail!$DE:$DE,$A59)&gt;0,IF(ISNUMBER(SEARCH("[済]",INDEX(Material_Detail!$D:$DC,MATCH($A59,Material_Detail!$DE:$DE,0)+1,44))),0,IFERROR(INDEX(Material_Detail!$D:$DC,MATCH($A59,Material_Detail!$DE:$DE,0),44),0)),SUMIFS(T_Shipments[Confirmed_Qty],T_Shipments[Part Name],$A59,T_Shipments[Effective_Week],44))</f>
        <v/>
      </c>
      <c r="AT59">
        <f>IF(COUNTIF(Material_Detail!$DE:$DE,$A59)&gt;0,IF(ISNUMBER(SEARCH("[済]",INDEX(Material_Detail!$D:$DC,MATCH($A59,Material_Detail!$DE:$DE,0)+1,45))),0,IFERROR(INDEX(Material_Detail!$D:$DC,MATCH($A59,Material_Detail!$DE:$DE,0),45),0)),SUMIFS(T_Shipments[Confirmed_Qty],T_Shipments[Part Name],$A59,T_Shipments[Effective_Week],45))</f>
        <v/>
      </c>
      <c r="AU59">
        <f>IF(COUNTIF(Material_Detail!$DE:$DE,$A59)&gt;0,IF(ISNUMBER(SEARCH("[済]",INDEX(Material_Detail!$D:$DC,MATCH($A59,Material_Detail!$DE:$DE,0)+1,46))),0,IFERROR(INDEX(Material_Detail!$D:$DC,MATCH($A59,Material_Detail!$DE:$DE,0),46),0)),SUMIFS(T_Shipments[Confirmed_Qty],T_Shipments[Part Name],$A59,T_Shipments[Effective_Week],46))</f>
        <v/>
      </c>
      <c r="AV59">
        <f>IF(COUNTIF(Material_Detail!$DE:$DE,$A59)&gt;0,IF(ISNUMBER(SEARCH("[済]",INDEX(Material_Detail!$D:$DC,MATCH($A59,Material_Detail!$DE:$DE,0)+1,47))),0,IFERROR(INDEX(Material_Detail!$D:$DC,MATCH($A59,Material_Detail!$DE:$DE,0),47),0)),SUMIFS(T_Shipments[Confirmed_Qty],T_Shipments[Part Name],$A59,T_Shipments[Effective_Week],47))</f>
        <v/>
      </c>
      <c r="AW59">
        <f>IF(COUNTIF(Material_Detail!$DE:$DE,$A59)&gt;0,IF(ISNUMBER(SEARCH("[済]",INDEX(Material_Detail!$D:$DC,MATCH($A59,Material_Detail!$DE:$DE,0)+1,48))),0,IFERROR(INDEX(Material_Detail!$D:$DC,MATCH($A59,Material_Detail!$DE:$DE,0),48),0)),SUMIFS(T_Shipments[Confirmed_Qty],T_Shipments[Part Name],$A59,T_Shipments[Effective_Week],48))</f>
        <v/>
      </c>
      <c r="AX59">
        <f>IF(COUNTIF(Material_Detail!$DE:$DE,$A59)&gt;0,IF(ISNUMBER(SEARCH("[済]",INDEX(Material_Detail!$D:$DC,MATCH($A59,Material_Detail!$DE:$DE,0)+1,49))),0,IFERROR(INDEX(Material_Detail!$D:$DC,MATCH($A59,Material_Detail!$DE:$DE,0),49),0)),SUMIFS(T_Shipments[Confirmed_Qty],T_Shipments[Part Name],$A59,T_Shipments[Effective_Week],49))</f>
        <v/>
      </c>
      <c r="AY59">
        <f>IF(COUNTIF(Material_Detail!$DE:$DE,$A59)&gt;0,IF(ISNUMBER(SEARCH("[済]",INDEX(Material_Detail!$D:$DC,MATCH($A59,Material_Detail!$DE:$DE,0)+1,50))),0,IFERROR(INDEX(Material_Detail!$D:$DC,MATCH($A59,Material_Detail!$DE:$DE,0),50),0)),SUMIFS(T_Shipments[Confirmed_Qty],T_Shipments[Part Name],$A59,T_Shipments[Effective_Week],50))</f>
        <v/>
      </c>
      <c r="AZ59">
        <f>IF(COUNTIF(Material_Detail!$DE:$DE,$A59)&gt;0,IF(ISNUMBER(SEARCH("[済]",INDEX(Material_Detail!$D:$DC,MATCH($A59,Material_Detail!$DE:$DE,0)+1,51))),0,IFERROR(INDEX(Material_Detail!$D:$DC,MATCH($A59,Material_Detail!$DE:$DE,0),51),0)),SUMIFS(T_Shipments[Confirmed_Qty],T_Shipments[Part Name],$A59,T_Shipments[Effective_Week],51))</f>
        <v/>
      </c>
      <c r="BA59">
        <f>IF(COUNTIF(Material_Detail!$DE:$DE,$A59)&gt;0,IF(ISNUMBER(SEARCH("[済]",INDEX(Material_Detail!$D:$DC,MATCH($A59,Material_Detail!$DE:$DE,0)+1,52))),0,IFERROR(INDEX(Material_Detail!$D:$DC,MATCH($A59,Material_Detail!$DE:$DE,0),52),0)),SUMIFS(T_Shipments[Confirmed_Qty],T_Shipments[Part Name],$A59,T_Shipments[Effective_Week],52))</f>
        <v/>
      </c>
      <c r="BB59">
        <f>IF(COUNTIF(Material_Detail!$DE:$DE,$A59)&gt;0,IF(ISNUMBER(SEARCH("[済]",INDEX(Material_Detail!$D:$DC,MATCH($A59,Material_Detail!$DE:$DE,0)+1,53))),0,IFERROR(INDEX(Material_Detail!$D:$DC,MATCH($A59,Material_Detail!$DE:$DE,0),53),0)),SUMIFS(T_Shipments[Confirmed_Qty],T_Shipments[Part Name],$A59,T_Shipments[Effective_Week],53))</f>
        <v/>
      </c>
      <c r="BC59">
        <f>IF(COUNTIF(Material_Detail!$DE:$DE,$A59)&gt;0,IF(ISNUMBER(SEARCH("[済]",INDEX(Material_Detail!$D:$DC,MATCH($A59,Material_Detail!$DE:$DE,0)+1,54))),0,IFERROR(INDEX(Material_Detail!$D:$DC,MATCH($A59,Material_Detail!$DE:$DE,0),54),0)),SUMIFS(T_Shipments[Confirmed_Qty],T_Shipments[Part Name],$A59,T_Shipments[Effective_Week],54))</f>
        <v/>
      </c>
      <c r="BD59">
        <f>IF(COUNTIF(Material_Detail!$DE:$DE,$A59)&gt;0,IF(ISNUMBER(SEARCH("[済]",INDEX(Material_Detail!$D:$DC,MATCH($A59,Material_Detail!$DE:$DE,0)+1,55))),0,IFERROR(INDEX(Material_Detail!$D:$DC,MATCH($A59,Material_Detail!$DE:$DE,0),55),0)),SUMIFS(T_Shipments[Confirmed_Qty],T_Shipments[Part Name],$A59,T_Shipments[Effective_Week],55))</f>
        <v/>
      </c>
      <c r="BE59">
        <f>IF(COUNTIF(Material_Detail!$DE:$DE,$A59)&gt;0,IF(ISNUMBER(SEARCH("[済]",INDEX(Material_Detail!$D:$DC,MATCH($A59,Material_Detail!$DE:$DE,0)+1,56))),0,IFERROR(INDEX(Material_Detail!$D:$DC,MATCH($A59,Material_Detail!$DE:$DE,0),56),0)),SUMIFS(T_Shipments[Confirmed_Qty],T_Shipments[Part Name],$A59,T_Shipments[Effective_Week],56))</f>
        <v/>
      </c>
      <c r="BF59">
        <f>IF(COUNTIF(Material_Detail!$DE:$DE,$A59)&gt;0,IF(ISNUMBER(SEARCH("[済]",INDEX(Material_Detail!$D:$DC,MATCH($A59,Material_Detail!$DE:$DE,0)+1,57))),0,IFERROR(INDEX(Material_Detail!$D:$DC,MATCH($A59,Material_Detail!$DE:$DE,0),57),0)),SUMIFS(T_Shipments[Confirmed_Qty],T_Shipments[Part Name],$A59,T_Shipments[Effective_Week],57))</f>
        <v/>
      </c>
      <c r="BG59">
        <f>IF(COUNTIF(Material_Detail!$DE:$DE,$A59)&gt;0,IF(ISNUMBER(SEARCH("[済]",INDEX(Material_Detail!$D:$DC,MATCH($A59,Material_Detail!$DE:$DE,0)+1,58))),0,IFERROR(INDEX(Material_Detail!$D:$DC,MATCH($A59,Material_Detail!$DE:$DE,0),58),0)),SUMIFS(T_Shipments[Confirmed_Qty],T_Shipments[Part Name],$A59,T_Shipments[Effective_Week],58))</f>
        <v/>
      </c>
      <c r="BH59">
        <f>IF(COUNTIF(Material_Detail!$DE:$DE,$A59)&gt;0,IF(ISNUMBER(SEARCH("[済]",INDEX(Material_Detail!$D:$DC,MATCH($A59,Material_Detail!$DE:$DE,0)+1,59))),0,IFERROR(INDEX(Material_Detail!$D:$DC,MATCH($A59,Material_Detail!$DE:$DE,0),59),0)),SUMIFS(T_Shipments[Confirmed_Qty],T_Shipments[Part Name],$A59,T_Shipments[Effective_Week],59))</f>
        <v/>
      </c>
      <c r="BI59">
        <f>IF(COUNTIF(Material_Detail!$DE:$DE,$A59)&gt;0,IF(ISNUMBER(SEARCH("[済]",INDEX(Material_Detail!$D:$DC,MATCH($A59,Material_Detail!$DE:$DE,0)+1,60))),0,IFERROR(INDEX(Material_Detail!$D:$DC,MATCH($A59,Material_Detail!$DE:$DE,0),60),0)),SUMIFS(T_Shipments[Confirmed_Qty],T_Shipments[Part Name],$A59,T_Shipments[Effective_Week],60))</f>
        <v/>
      </c>
      <c r="BJ59">
        <f>IF(COUNTIF(Material_Detail!$DE:$DE,$A59)&gt;0,IF(ISNUMBER(SEARCH("[済]",INDEX(Material_Detail!$D:$DC,MATCH($A59,Material_Detail!$DE:$DE,0)+1,61))),0,IFERROR(INDEX(Material_Detail!$D:$DC,MATCH($A59,Material_Detail!$DE:$DE,0),61),0)),SUMIFS(T_Shipments[Confirmed_Qty],T_Shipments[Part Name],$A59,T_Shipments[Effective_Week],61))</f>
        <v/>
      </c>
      <c r="BK59">
        <f>IF(COUNTIF(Material_Detail!$DE:$DE,$A59)&gt;0,IF(ISNUMBER(SEARCH("[済]",INDEX(Material_Detail!$D:$DC,MATCH($A59,Material_Detail!$DE:$DE,0)+1,62))),0,IFERROR(INDEX(Material_Detail!$D:$DC,MATCH($A59,Material_Detail!$DE:$DE,0),62),0)),SUMIFS(T_Shipments[Confirmed_Qty],T_Shipments[Part Name],$A59,T_Shipments[Effective_Week],62))</f>
        <v/>
      </c>
      <c r="BL59">
        <f>IF(COUNTIF(Material_Detail!$DE:$DE,$A59)&gt;0,IF(ISNUMBER(SEARCH("[済]",INDEX(Material_Detail!$D:$DC,MATCH($A59,Material_Detail!$DE:$DE,0)+1,63))),0,IFERROR(INDEX(Material_Detail!$D:$DC,MATCH($A59,Material_Detail!$DE:$DE,0),63),0)),SUMIFS(T_Shipments[Confirmed_Qty],T_Shipments[Part Name],$A59,T_Shipments[Effective_Week],63))</f>
        <v/>
      </c>
      <c r="BM59">
        <f>IF(COUNTIF(Material_Detail!$DE:$DE,$A59)&gt;0,IF(ISNUMBER(SEARCH("[済]",INDEX(Material_Detail!$D:$DC,MATCH($A59,Material_Detail!$DE:$DE,0)+1,64))),0,IFERROR(INDEX(Material_Detail!$D:$DC,MATCH($A59,Material_Detail!$DE:$DE,0),64),0)),SUMIFS(T_Shipments[Confirmed_Qty],T_Shipments[Part Name],$A59,T_Shipments[Effective_Week],64))</f>
        <v/>
      </c>
      <c r="BN59">
        <f>IF(COUNTIF(Material_Detail!$DE:$DE,$A59)&gt;0,IF(ISNUMBER(SEARCH("[済]",INDEX(Material_Detail!$D:$DC,MATCH($A59,Material_Detail!$DE:$DE,0)+1,65))),0,IFERROR(INDEX(Material_Detail!$D:$DC,MATCH($A59,Material_Detail!$DE:$DE,0),65),0)),SUMIFS(T_Shipments[Confirmed_Qty],T_Shipments[Part Name],$A59,T_Shipments[Effective_Week],65))</f>
        <v/>
      </c>
      <c r="BO59">
        <f>IF(COUNTIF(Material_Detail!$DE:$DE,$A59)&gt;0,IF(ISNUMBER(SEARCH("[済]",INDEX(Material_Detail!$D:$DC,MATCH($A59,Material_Detail!$DE:$DE,0)+1,66))),0,IFERROR(INDEX(Material_Detail!$D:$DC,MATCH($A59,Material_Detail!$DE:$DE,0),66),0)),SUMIFS(T_Shipments[Confirmed_Qty],T_Shipments[Part Name],$A59,T_Shipments[Effective_Week],66))</f>
        <v/>
      </c>
      <c r="BP59">
        <f>IF(COUNTIF(Material_Detail!$DE:$DE,$A59)&gt;0,IF(ISNUMBER(SEARCH("[済]",INDEX(Material_Detail!$D:$DC,MATCH($A59,Material_Detail!$DE:$DE,0)+1,67))),0,IFERROR(INDEX(Material_Detail!$D:$DC,MATCH($A59,Material_Detail!$DE:$DE,0),67),0)),SUMIFS(T_Shipments[Confirmed_Qty],T_Shipments[Part Name],$A59,T_Shipments[Effective_Week],67))</f>
        <v/>
      </c>
      <c r="BQ59">
        <f>IF(COUNTIF(Material_Detail!$DE:$DE,$A59)&gt;0,IF(ISNUMBER(SEARCH("[済]",INDEX(Material_Detail!$D:$DC,MATCH($A59,Material_Detail!$DE:$DE,0)+1,68))),0,IFERROR(INDEX(Material_Detail!$D:$DC,MATCH($A59,Material_Detail!$DE:$DE,0),68),0)),SUMIFS(T_Shipments[Confirmed_Qty],T_Shipments[Part Name],$A59,T_Shipments[Effective_Week],68))</f>
        <v/>
      </c>
      <c r="BR59">
        <f>IF(COUNTIF(Material_Detail!$DE:$DE,$A59)&gt;0,IF(ISNUMBER(SEARCH("[済]",INDEX(Material_Detail!$D:$DC,MATCH($A59,Material_Detail!$DE:$DE,0)+1,69))),0,IFERROR(INDEX(Material_Detail!$D:$DC,MATCH($A59,Material_Detail!$DE:$DE,0),69),0)),SUMIFS(T_Shipments[Confirmed_Qty],T_Shipments[Part Name],$A59,T_Shipments[Effective_Week],69))</f>
        <v/>
      </c>
      <c r="BS59">
        <f>IF(COUNTIF(Material_Detail!$DE:$DE,$A59)&gt;0,IF(ISNUMBER(SEARCH("[済]",INDEX(Material_Detail!$D:$DC,MATCH($A59,Material_Detail!$DE:$DE,0)+1,70))),0,IFERROR(INDEX(Material_Detail!$D:$DC,MATCH($A59,Material_Detail!$DE:$DE,0),70),0)),SUMIFS(T_Shipments[Confirmed_Qty],T_Shipments[Part Name],$A59,T_Shipments[Effective_Week],70))</f>
        <v/>
      </c>
      <c r="BT59">
        <f>IF(COUNTIF(Material_Detail!$DE:$DE,$A59)&gt;0,IF(ISNUMBER(SEARCH("[済]",INDEX(Material_Detail!$D:$DC,MATCH($A59,Material_Detail!$DE:$DE,0)+1,71))),0,IFERROR(INDEX(Material_Detail!$D:$DC,MATCH($A59,Material_Detail!$DE:$DE,0),71),0)),SUMIFS(T_Shipments[Confirmed_Qty],T_Shipments[Part Name],$A59,T_Shipments[Effective_Week],71))</f>
        <v/>
      </c>
      <c r="BU59">
        <f>IF(COUNTIF(Material_Detail!$DE:$DE,$A59)&gt;0,IF(ISNUMBER(SEARCH("[済]",INDEX(Material_Detail!$D:$DC,MATCH($A59,Material_Detail!$DE:$DE,0)+1,72))),0,IFERROR(INDEX(Material_Detail!$D:$DC,MATCH($A59,Material_Detail!$DE:$DE,0),72),0)),SUMIFS(T_Shipments[Confirmed_Qty],T_Shipments[Part Name],$A59,T_Shipments[Effective_Week],72))</f>
        <v/>
      </c>
      <c r="BV59">
        <f>IF(COUNTIF(Material_Detail!$DE:$DE,$A59)&gt;0,IF(ISNUMBER(SEARCH("[済]",INDEX(Material_Detail!$D:$DC,MATCH($A59,Material_Detail!$DE:$DE,0)+1,73))),0,IFERROR(INDEX(Material_Detail!$D:$DC,MATCH($A59,Material_Detail!$DE:$DE,0),73),0)),SUMIFS(T_Shipments[Confirmed_Qty],T_Shipments[Part Name],$A59,T_Shipments[Effective_Week],73))</f>
        <v/>
      </c>
      <c r="BW59">
        <f>IF(COUNTIF(Material_Detail!$DE:$DE,$A59)&gt;0,IF(ISNUMBER(SEARCH("[済]",INDEX(Material_Detail!$D:$DC,MATCH($A59,Material_Detail!$DE:$DE,0)+1,74))),0,IFERROR(INDEX(Material_Detail!$D:$DC,MATCH($A59,Material_Detail!$DE:$DE,0),74),0)),SUMIFS(T_Shipments[Confirmed_Qty],T_Shipments[Part Name],$A59,T_Shipments[Effective_Week],74))</f>
        <v/>
      </c>
      <c r="BX59">
        <f>IF(COUNTIF(Material_Detail!$DE:$DE,$A59)&gt;0,IF(ISNUMBER(SEARCH("[済]",INDEX(Material_Detail!$D:$DC,MATCH($A59,Material_Detail!$DE:$DE,0)+1,75))),0,IFERROR(INDEX(Material_Detail!$D:$DC,MATCH($A59,Material_Detail!$DE:$DE,0),75),0)),SUMIFS(T_Shipments[Confirmed_Qty],T_Shipments[Part Name],$A59,T_Shipments[Effective_Week],75))</f>
        <v/>
      </c>
      <c r="BY59">
        <f>IF(COUNTIF(Material_Detail!$DE:$DE,$A59)&gt;0,IF(ISNUMBER(SEARCH("[済]",INDEX(Material_Detail!$D:$DC,MATCH($A59,Material_Detail!$DE:$DE,0)+1,76))),0,IFERROR(INDEX(Material_Detail!$D:$DC,MATCH($A59,Material_Detail!$DE:$DE,0),76),0)),SUMIFS(T_Shipments[Confirmed_Qty],T_Shipments[Part Name],$A59,T_Shipments[Effective_Week],76))</f>
        <v/>
      </c>
      <c r="BZ59">
        <f>IF(COUNTIF(Material_Detail!$DE:$DE,$A59)&gt;0,IF(ISNUMBER(SEARCH("[済]",INDEX(Material_Detail!$D:$DC,MATCH($A59,Material_Detail!$DE:$DE,0)+1,77))),0,IFERROR(INDEX(Material_Detail!$D:$DC,MATCH($A59,Material_Detail!$DE:$DE,0),77),0)),SUMIFS(T_Shipments[Confirmed_Qty],T_Shipments[Part Name],$A59,T_Shipments[Effective_Week],77))</f>
        <v/>
      </c>
      <c r="CA59">
        <f>IF(COUNTIF(Material_Detail!$DE:$DE,$A59)&gt;0,IF(ISNUMBER(SEARCH("[済]",INDEX(Material_Detail!$D:$DC,MATCH($A59,Material_Detail!$DE:$DE,0)+1,78))),0,IFERROR(INDEX(Material_Detail!$D:$DC,MATCH($A59,Material_Detail!$DE:$DE,0),78),0)),SUMIFS(T_Shipments[Confirmed_Qty],T_Shipments[Part Name],$A59,T_Shipments[Effective_Week],78))</f>
        <v/>
      </c>
      <c r="CB59">
        <f>IF(COUNTIF(Material_Detail!$DE:$DE,$A59)&gt;0,IF(ISNUMBER(SEARCH("[済]",INDEX(Material_Detail!$D:$DC,MATCH($A59,Material_Detail!$DE:$DE,0)+1,79))),0,IFERROR(INDEX(Material_Detail!$D:$DC,MATCH($A59,Material_Detail!$DE:$DE,0),79),0)),SUMIFS(T_Shipments[Confirmed_Qty],T_Shipments[Part Name],$A59,T_Shipments[Effective_Week],79))</f>
        <v/>
      </c>
      <c r="CC59">
        <f>IF(COUNTIF(Material_Detail!$DE:$DE,$A59)&gt;0,IF(ISNUMBER(SEARCH("[済]",INDEX(Material_Detail!$D:$DC,MATCH($A59,Material_Detail!$DE:$DE,0)+1,80))),0,IFERROR(INDEX(Material_Detail!$D:$DC,MATCH($A59,Material_Detail!$DE:$DE,0),80),0)),SUMIFS(T_Shipments[Confirmed_Qty],T_Shipments[Part Name],$A59,T_Shipments[Effective_Week],80))</f>
        <v/>
      </c>
      <c r="CD59">
        <f>IF(COUNTIF(Material_Detail!$DE:$DE,$A59)&gt;0,IF(ISNUMBER(SEARCH("[済]",INDEX(Material_Detail!$D:$DC,MATCH($A59,Material_Detail!$DE:$DE,0)+1,81))),0,IFERROR(INDEX(Material_Detail!$D:$DC,MATCH($A59,Material_Detail!$DE:$DE,0),81),0)),SUMIFS(T_Shipments[Confirmed_Qty],T_Shipments[Part Name],$A59,T_Shipments[Effective_Week],81))</f>
        <v/>
      </c>
      <c r="CE59">
        <f>IF(COUNTIF(Material_Detail!$DE:$DE,$A59)&gt;0,IF(ISNUMBER(SEARCH("[済]",INDEX(Material_Detail!$D:$DC,MATCH($A59,Material_Detail!$DE:$DE,0)+1,82))),0,IFERROR(INDEX(Material_Detail!$D:$DC,MATCH($A59,Material_Detail!$DE:$DE,0),82),0)),SUMIFS(T_Shipments[Confirmed_Qty],T_Shipments[Part Name],$A59,T_Shipments[Effective_Week],82))</f>
        <v/>
      </c>
      <c r="CF59">
        <f>IF(COUNTIF(Material_Detail!$DE:$DE,$A59)&gt;0,IF(ISNUMBER(SEARCH("[済]",INDEX(Material_Detail!$D:$DC,MATCH($A59,Material_Detail!$DE:$DE,0)+1,83))),0,IFERROR(INDEX(Material_Detail!$D:$DC,MATCH($A59,Material_Detail!$DE:$DE,0),83),0)),SUMIFS(T_Shipments[Confirmed_Qty],T_Shipments[Part Name],$A59,T_Shipments[Effective_Week],83))</f>
        <v/>
      </c>
      <c r="CG59">
        <f>IF(COUNTIF(Material_Detail!$DE:$DE,$A59)&gt;0,IF(ISNUMBER(SEARCH("[済]",INDEX(Material_Detail!$D:$DC,MATCH($A59,Material_Detail!$DE:$DE,0)+1,84))),0,IFERROR(INDEX(Material_Detail!$D:$DC,MATCH($A59,Material_Detail!$DE:$DE,0),84),0)),SUMIFS(T_Shipments[Confirmed_Qty],T_Shipments[Part Name],$A59,T_Shipments[Effective_Week],84))</f>
        <v/>
      </c>
      <c r="CH59">
        <f>IF(COUNTIF(Material_Detail!$DE:$DE,$A59)&gt;0,IF(ISNUMBER(SEARCH("[済]",INDEX(Material_Detail!$D:$DC,MATCH($A59,Material_Detail!$DE:$DE,0)+1,85))),0,IFERROR(INDEX(Material_Detail!$D:$DC,MATCH($A59,Material_Detail!$DE:$DE,0),85),0)),SUMIFS(T_Shipments[Confirmed_Qty],T_Shipments[Part Name],$A59,T_Shipments[Effective_Week],85))</f>
        <v/>
      </c>
      <c r="CI59">
        <f>IF(COUNTIF(Material_Detail!$DE:$DE,$A59)&gt;0,IF(ISNUMBER(SEARCH("[済]",INDEX(Material_Detail!$D:$DC,MATCH($A59,Material_Detail!$DE:$DE,0)+1,86))),0,IFERROR(INDEX(Material_Detail!$D:$DC,MATCH($A59,Material_Detail!$DE:$DE,0),86),0)),SUMIFS(T_Shipments[Confirmed_Qty],T_Shipments[Part Name],$A59,T_Shipments[Effective_Week],86))</f>
        <v/>
      </c>
      <c r="CJ59">
        <f>IF(COUNTIF(Material_Detail!$DE:$DE,$A59)&gt;0,IF(ISNUMBER(SEARCH("[済]",INDEX(Material_Detail!$D:$DC,MATCH($A59,Material_Detail!$DE:$DE,0)+1,87))),0,IFERROR(INDEX(Material_Detail!$D:$DC,MATCH($A59,Material_Detail!$DE:$DE,0),87),0)),SUMIFS(T_Shipments[Confirmed_Qty],T_Shipments[Part Name],$A59,T_Shipments[Effective_Week],87))</f>
        <v/>
      </c>
      <c r="CK59">
        <f>IF(COUNTIF(Material_Detail!$DE:$DE,$A59)&gt;0,IF(ISNUMBER(SEARCH("[済]",INDEX(Material_Detail!$D:$DC,MATCH($A59,Material_Detail!$DE:$DE,0)+1,88))),0,IFERROR(INDEX(Material_Detail!$D:$DC,MATCH($A59,Material_Detail!$DE:$DE,0),88),0)),SUMIFS(T_Shipments[Confirmed_Qty],T_Shipments[Part Name],$A59,T_Shipments[Effective_Week],88))</f>
        <v/>
      </c>
      <c r="CL59">
        <f>IF(COUNTIF(Material_Detail!$DE:$DE,$A59)&gt;0,IF(ISNUMBER(SEARCH("[済]",INDEX(Material_Detail!$D:$DC,MATCH($A59,Material_Detail!$DE:$DE,0)+1,89))),0,IFERROR(INDEX(Material_Detail!$D:$DC,MATCH($A59,Material_Detail!$DE:$DE,0),89),0)),SUMIFS(T_Shipments[Confirmed_Qty],T_Shipments[Part Name],$A59,T_Shipments[Effective_Week],89))</f>
        <v/>
      </c>
      <c r="CM59">
        <f>IF(COUNTIF(Material_Detail!$DE:$DE,$A59)&gt;0,IF(ISNUMBER(SEARCH("[済]",INDEX(Material_Detail!$D:$DC,MATCH($A59,Material_Detail!$DE:$DE,0)+1,90))),0,IFERROR(INDEX(Material_Detail!$D:$DC,MATCH($A59,Material_Detail!$DE:$DE,0),90),0)),SUMIFS(T_Shipments[Confirmed_Qty],T_Shipments[Part Name],$A59,T_Shipments[Effective_Week],90))</f>
        <v/>
      </c>
      <c r="CN59">
        <f>IF(COUNTIF(Material_Detail!$DE:$DE,$A59)&gt;0,IF(ISNUMBER(SEARCH("[済]",INDEX(Material_Detail!$D:$DC,MATCH($A59,Material_Detail!$DE:$DE,0)+1,91))),0,IFERROR(INDEX(Material_Detail!$D:$DC,MATCH($A59,Material_Detail!$DE:$DE,0),91),0)),SUMIFS(T_Shipments[Confirmed_Qty],T_Shipments[Part Name],$A59,T_Shipments[Effective_Week],91))</f>
        <v/>
      </c>
      <c r="CO59">
        <f>IF(COUNTIF(Material_Detail!$DE:$DE,$A59)&gt;0,IF(ISNUMBER(SEARCH("[済]",INDEX(Material_Detail!$D:$DC,MATCH($A59,Material_Detail!$DE:$DE,0)+1,92))),0,IFERROR(INDEX(Material_Detail!$D:$DC,MATCH($A59,Material_Detail!$DE:$DE,0),92),0)),SUMIFS(T_Shipments[Confirmed_Qty],T_Shipments[Part Name],$A59,T_Shipments[Effective_Week],92))</f>
        <v/>
      </c>
      <c r="CP59">
        <f>IF(COUNTIF(Material_Detail!$DE:$DE,$A59)&gt;0,IF(ISNUMBER(SEARCH("[済]",INDEX(Material_Detail!$D:$DC,MATCH($A59,Material_Detail!$DE:$DE,0)+1,93))),0,IFERROR(INDEX(Material_Detail!$D:$DC,MATCH($A59,Material_Detail!$DE:$DE,0),93),0)),SUMIFS(T_Shipments[Confirmed_Qty],T_Shipments[Part Name],$A59,T_Shipments[Effective_Week],93))</f>
        <v/>
      </c>
      <c r="CQ59">
        <f>IF(COUNTIF(Material_Detail!$DE:$DE,$A59)&gt;0,IF(ISNUMBER(SEARCH("[済]",INDEX(Material_Detail!$D:$DC,MATCH($A59,Material_Detail!$DE:$DE,0)+1,94))),0,IFERROR(INDEX(Material_Detail!$D:$DC,MATCH($A59,Material_Detail!$DE:$DE,0),94),0)),SUMIFS(T_Shipments[Confirmed_Qty],T_Shipments[Part Name],$A59,T_Shipments[Effective_Week],94))</f>
        <v/>
      </c>
      <c r="CR59">
        <f>IF(COUNTIF(Material_Detail!$DE:$DE,$A59)&gt;0,IF(ISNUMBER(SEARCH("[済]",INDEX(Material_Detail!$D:$DC,MATCH($A59,Material_Detail!$DE:$DE,0)+1,95))),0,IFERROR(INDEX(Material_Detail!$D:$DC,MATCH($A59,Material_Detail!$DE:$DE,0),95),0)),SUMIFS(T_Shipments[Confirmed_Qty],T_Shipments[Part Name],$A59,T_Shipments[Effective_Week],95))</f>
        <v/>
      </c>
      <c r="CS59">
        <f>IF(COUNTIF(Material_Detail!$DE:$DE,$A59)&gt;0,IF(ISNUMBER(SEARCH("[済]",INDEX(Material_Detail!$D:$DC,MATCH($A59,Material_Detail!$DE:$DE,0)+1,96))),0,IFERROR(INDEX(Material_Detail!$D:$DC,MATCH($A59,Material_Detail!$DE:$DE,0),96),0)),SUMIFS(T_Shipments[Confirmed_Qty],T_Shipments[Part Name],$A59,T_Shipments[Effective_Week],96))</f>
        <v/>
      </c>
      <c r="CT59">
        <f>IF(COUNTIF(Material_Detail!$DE:$DE,$A59)&gt;0,IF(ISNUMBER(SEARCH("[済]",INDEX(Material_Detail!$D:$DC,MATCH($A59,Material_Detail!$DE:$DE,0)+1,97))),0,IFERROR(INDEX(Material_Detail!$D:$DC,MATCH($A59,Material_Detail!$DE:$DE,0),97),0)),SUMIFS(T_Shipments[Confirmed_Qty],T_Shipments[Part Name],$A59,T_Shipments[Effective_Week],97))</f>
        <v/>
      </c>
      <c r="CU59">
        <f>IF(COUNTIF(Material_Detail!$DE:$DE,$A59)&gt;0,IF(ISNUMBER(SEARCH("[済]",INDEX(Material_Detail!$D:$DC,MATCH($A59,Material_Detail!$DE:$DE,0)+1,98))),0,IFERROR(INDEX(Material_Detail!$D:$DC,MATCH($A59,Material_Detail!$DE:$DE,0),98),0)),SUMIFS(T_Shipments[Confirmed_Qty],T_Shipments[Part Name],$A59,T_Shipments[Effective_Week],98))</f>
        <v/>
      </c>
      <c r="CV59">
        <f>IF(COUNTIF(Material_Detail!$DE:$DE,$A59)&gt;0,IF(ISNUMBER(SEARCH("[済]",INDEX(Material_Detail!$D:$DC,MATCH($A59,Material_Detail!$DE:$DE,0)+1,99))),0,IFERROR(INDEX(Material_Detail!$D:$DC,MATCH($A59,Material_Detail!$DE:$DE,0),99),0)),SUMIFS(T_Shipments[Confirmed_Qty],T_Shipments[Part Name],$A59,T_Shipments[Effective_Week],99))</f>
        <v/>
      </c>
      <c r="CW59">
        <f>IF(COUNTIF(Material_Detail!$DE:$DE,$A59)&gt;0,IF(ISNUMBER(SEARCH("[済]",INDEX(Material_Detail!$D:$DC,MATCH($A59,Material_Detail!$DE:$DE,0)+1,100))),0,IFERROR(INDEX(Material_Detail!$D:$DC,MATCH($A59,Material_Detail!$DE:$DE,0),100),0)),SUMIFS(T_Shipments[Confirmed_Qty],T_Shipments[Part Name],$A59,T_Shipments[Effective_Week],100))</f>
        <v/>
      </c>
      <c r="CX59">
        <f>IF(COUNTIF(Material_Detail!$DE:$DE,$A59)&gt;0,IF(ISNUMBER(SEARCH("[済]",INDEX(Material_Detail!$D:$DC,MATCH($A59,Material_Detail!$DE:$DE,0)+1,101))),0,IFERROR(INDEX(Material_Detail!$D:$DC,MATCH($A59,Material_Detail!$DE:$DE,0),101),0)),SUMIFS(T_Shipments[Confirmed_Qty],T_Shipments[Part Name],$A59,T_Shipments[Effective_Week],101))</f>
        <v/>
      </c>
      <c r="CY59">
        <f>IF(COUNTIF(Material_Detail!$DE:$DE,$A59)&gt;0,IF(ISNUMBER(SEARCH("[済]",INDEX(Material_Detail!$D:$DC,MATCH($A59,Material_Detail!$DE:$DE,0)+1,102))),0,IFERROR(INDEX(Material_Detail!$D:$DC,MATCH($A59,Material_Detail!$DE:$DE,0),102),0)),SUMIFS(T_Shipments[Confirmed_Qty],T_Shipments[Part Name],$A59,T_Shipments[Effective_Week],102))</f>
        <v/>
      </c>
      <c r="CZ59">
        <f>IF(COUNTIF(Material_Detail!$DE:$DE,$A59)&gt;0,IF(ISNUMBER(SEARCH("[済]",INDEX(Material_Detail!$D:$DC,MATCH($A59,Material_Detail!$DE:$DE,0)+1,103))),0,IFERROR(INDEX(Material_Detail!$D:$DC,MATCH($A59,Material_Detail!$DE:$DE,0),103),0)),SUMIFS(T_Shipments[Confirmed_Qty],T_Shipments[Part Name],$A59,T_Shipments[Effective_Week],103))</f>
        <v/>
      </c>
      <c r="DA59">
        <f>IF(COUNTIF(Material_Detail!$DE:$DE,$A59)&gt;0,IF(ISNUMBER(SEARCH("[済]",INDEX(Material_Detail!$D:$DC,MATCH($A59,Material_Detail!$DE:$DE,0)+1,104))),0,IFERROR(INDEX(Material_Detail!$D:$DC,MATCH($A59,Material_Detail!$DE:$DE,0),104),0)),SUMIFS(T_Shipments[Confirmed_Qty],T_Shipments[Part Name],$A59,T_Shipments[Effective_Week],104))</f>
        <v/>
      </c>
    </row>
    <row r="60">
      <c r="A60" t="inlineStr">
        <is>
          <t>CHEM-1690</t>
        </is>
      </c>
      <c r="B60">
        <f>IF(COUNTIF(Material_Detail!$DE:$DE,$A60)&gt;0,IF(ISNUMBER(SEARCH("[済]",INDEX(Material_Detail!$D:$DC,MATCH($A60,Material_Detail!$DE:$DE,0)+1,1))),0,IFERROR(INDEX(Material_Detail!$D:$DC,MATCH($A60,Material_Detail!$DE:$DE,0),1),0)),SUMIFS(T_Shipments[Confirmed_Qty],T_Shipments[Part Name],$A60,T_Shipments[Effective_Week],1))</f>
        <v/>
      </c>
      <c r="C60">
        <f>IF(COUNTIF(Material_Detail!$DE:$DE,$A60)&gt;0,IF(ISNUMBER(SEARCH("[済]",INDEX(Material_Detail!$D:$DC,MATCH($A60,Material_Detail!$DE:$DE,0)+1,2))),0,IFERROR(INDEX(Material_Detail!$D:$DC,MATCH($A60,Material_Detail!$DE:$DE,0),2),0)),SUMIFS(T_Shipments[Confirmed_Qty],T_Shipments[Part Name],$A60,T_Shipments[Effective_Week],2))</f>
        <v/>
      </c>
      <c r="D60">
        <f>IF(COUNTIF(Material_Detail!$DE:$DE,$A60)&gt;0,IF(ISNUMBER(SEARCH("[済]",INDEX(Material_Detail!$D:$DC,MATCH($A60,Material_Detail!$DE:$DE,0)+1,3))),0,IFERROR(INDEX(Material_Detail!$D:$DC,MATCH($A60,Material_Detail!$DE:$DE,0),3),0)),SUMIFS(T_Shipments[Confirmed_Qty],T_Shipments[Part Name],$A60,T_Shipments[Effective_Week],3))</f>
        <v/>
      </c>
      <c r="E60">
        <f>IF(COUNTIF(Material_Detail!$DE:$DE,$A60)&gt;0,IF(ISNUMBER(SEARCH("[済]",INDEX(Material_Detail!$D:$DC,MATCH($A60,Material_Detail!$DE:$DE,0)+1,4))),0,IFERROR(INDEX(Material_Detail!$D:$DC,MATCH($A60,Material_Detail!$DE:$DE,0),4),0)),SUMIFS(T_Shipments[Confirmed_Qty],T_Shipments[Part Name],$A60,T_Shipments[Effective_Week],4))</f>
        <v/>
      </c>
      <c r="F60">
        <f>IF(COUNTIF(Material_Detail!$DE:$DE,$A60)&gt;0,IF(ISNUMBER(SEARCH("[済]",INDEX(Material_Detail!$D:$DC,MATCH($A60,Material_Detail!$DE:$DE,0)+1,5))),0,IFERROR(INDEX(Material_Detail!$D:$DC,MATCH($A60,Material_Detail!$DE:$DE,0),5),0)),SUMIFS(T_Shipments[Confirmed_Qty],T_Shipments[Part Name],$A60,T_Shipments[Effective_Week],5))</f>
        <v/>
      </c>
      <c r="G60">
        <f>IF(COUNTIF(Material_Detail!$DE:$DE,$A60)&gt;0,IF(ISNUMBER(SEARCH("[済]",INDEX(Material_Detail!$D:$DC,MATCH($A60,Material_Detail!$DE:$DE,0)+1,6))),0,IFERROR(INDEX(Material_Detail!$D:$DC,MATCH($A60,Material_Detail!$DE:$DE,0),6),0)),SUMIFS(T_Shipments[Confirmed_Qty],T_Shipments[Part Name],$A60,T_Shipments[Effective_Week],6))</f>
        <v/>
      </c>
      <c r="H60">
        <f>IF(COUNTIF(Material_Detail!$DE:$DE,$A60)&gt;0,IF(ISNUMBER(SEARCH("[済]",INDEX(Material_Detail!$D:$DC,MATCH($A60,Material_Detail!$DE:$DE,0)+1,7))),0,IFERROR(INDEX(Material_Detail!$D:$DC,MATCH($A60,Material_Detail!$DE:$DE,0),7),0)),SUMIFS(T_Shipments[Confirmed_Qty],T_Shipments[Part Name],$A60,T_Shipments[Effective_Week],7))</f>
        <v/>
      </c>
      <c r="I60">
        <f>IF(COUNTIF(Material_Detail!$DE:$DE,$A60)&gt;0,IF(ISNUMBER(SEARCH("[済]",INDEX(Material_Detail!$D:$DC,MATCH($A60,Material_Detail!$DE:$DE,0)+1,8))),0,IFERROR(INDEX(Material_Detail!$D:$DC,MATCH($A60,Material_Detail!$DE:$DE,0),8),0)),SUMIFS(T_Shipments[Confirmed_Qty],T_Shipments[Part Name],$A60,T_Shipments[Effective_Week],8))</f>
        <v/>
      </c>
      <c r="J60">
        <f>IF(COUNTIF(Material_Detail!$DE:$DE,$A60)&gt;0,IF(ISNUMBER(SEARCH("[済]",INDEX(Material_Detail!$D:$DC,MATCH($A60,Material_Detail!$DE:$DE,0)+1,9))),0,IFERROR(INDEX(Material_Detail!$D:$DC,MATCH($A60,Material_Detail!$DE:$DE,0),9),0)),SUMIFS(T_Shipments[Confirmed_Qty],T_Shipments[Part Name],$A60,T_Shipments[Effective_Week],9))</f>
        <v/>
      </c>
      <c r="K60">
        <f>IF(COUNTIF(Material_Detail!$DE:$DE,$A60)&gt;0,IF(ISNUMBER(SEARCH("[済]",INDEX(Material_Detail!$D:$DC,MATCH($A60,Material_Detail!$DE:$DE,0)+1,10))),0,IFERROR(INDEX(Material_Detail!$D:$DC,MATCH($A60,Material_Detail!$DE:$DE,0),10),0)),SUMIFS(T_Shipments[Confirmed_Qty],T_Shipments[Part Name],$A60,T_Shipments[Effective_Week],10))</f>
        <v/>
      </c>
      <c r="L60">
        <f>IF(COUNTIF(Material_Detail!$DE:$DE,$A60)&gt;0,IF(ISNUMBER(SEARCH("[済]",INDEX(Material_Detail!$D:$DC,MATCH($A60,Material_Detail!$DE:$DE,0)+1,11))),0,IFERROR(INDEX(Material_Detail!$D:$DC,MATCH($A60,Material_Detail!$DE:$DE,0),11),0)),SUMIFS(T_Shipments[Confirmed_Qty],T_Shipments[Part Name],$A60,T_Shipments[Effective_Week],11))</f>
        <v/>
      </c>
      <c r="M60">
        <f>IF(COUNTIF(Material_Detail!$DE:$DE,$A60)&gt;0,IF(ISNUMBER(SEARCH("[済]",INDEX(Material_Detail!$D:$DC,MATCH($A60,Material_Detail!$DE:$DE,0)+1,12))),0,IFERROR(INDEX(Material_Detail!$D:$DC,MATCH($A60,Material_Detail!$DE:$DE,0),12),0)),SUMIFS(T_Shipments[Confirmed_Qty],T_Shipments[Part Name],$A60,T_Shipments[Effective_Week],12))</f>
        <v/>
      </c>
      <c r="N60">
        <f>IF(COUNTIF(Material_Detail!$DE:$DE,$A60)&gt;0,IF(ISNUMBER(SEARCH("[済]",INDEX(Material_Detail!$D:$DC,MATCH($A60,Material_Detail!$DE:$DE,0)+1,13))),0,IFERROR(INDEX(Material_Detail!$D:$DC,MATCH($A60,Material_Detail!$DE:$DE,0),13),0)),SUMIFS(T_Shipments[Confirmed_Qty],T_Shipments[Part Name],$A60,T_Shipments[Effective_Week],13))</f>
        <v/>
      </c>
      <c r="O60">
        <f>IF(COUNTIF(Material_Detail!$DE:$DE,$A60)&gt;0,IF(ISNUMBER(SEARCH("[済]",INDEX(Material_Detail!$D:$DC,MATCH($A60,Material_Detail!$DE:$DE,0)+1,14))),0,IFERROR(INDEX(Material_Detail!$D:$DC,MATCH($A60,Material_Detail!$DE:$DE,0),14),0)),SUMIFS(T_Shipments[Confirmed_Qty],T_Shipments[Part Name],$A60,T_Shipments[Effective_Week],14))</f>
        <v/>
      </c>
      <c r="P60">
        <f>IF(COUNTIF(Material_Detail!$DE:$DE,$A60)&gt;0,IF(ISNUMBER(SEARCH("[済]",INDEX(Material_Detail!$D:$DC,MATCH($A60,Material_Detail!$DE:$DE,0)+1,15))),0,IFERROR(INDEX(Material_Detail!$D:$DC,MATCH($A60,Material_Detail!$DE:$DE,0),15),0)),SUMIFS(T_Shipments[Confirmed_Qty],T_Shipments[Part Name],$A60,T_Shipments[Effective_Week],15))</f>
        <v/>
      </c>
      <c r="Q60">
        <f>IF(COUNTIF(Material_Detail!$DE:$DE,$A60)&gt;0,IF(ISNUMBER(SEARCH("[済]",INDEX(Material_Detail!$D:$DC,MATCH($A60,Material_Detail!$DE:$DE,0)+1,16))),0,IFERROR(INDEX(Material_Detail!$D:$DC,MATCH($A60,Material_Detail!$DE:$DE,0),16),0)),SUMIFS(T_Shipments[Confirmed_Qty],T_Shipments[Part Name],$A60,T_Shipments[Effective_Week],16))</f>
        <v/>
      </c>
      <c r="R60">
        <f>IF(COUNTIF(Material_Detail!$DE:$DE,$A60)&gt;0,IF(ISNUMBER(SEARCH("[済]",INDEX(Material_Detail!$D:$DC,MATCH($A60,Material_Detail!$DE:$DE,0)+1,17))),0,IFERROR(INDEX(Material_Detail!$D:$DC,MATCH($A60,Material_Detail!$DE:$DE,0),17),0)),SUMIFS(T_Shipments[Confirmed_Qty],T_Shipments[Part Name],$A60,T_Shipments[Effective_Week],17))</f>
        <v/>
      </c>
      <c r="S60">
        <f>IF(COUNTIF(Material_Detail!$DE:$DE,$A60)&gt;0,IF(ISNUMBER(SEARCH("[済]",INDEX(Material_Detail!$D:$DC,MATCH($A60,Material_Detail!$DE:$DE,0)+1,18))),0,IFERROR(INDEX(Material_Detail!$D:$DC,MATCH($A60,Material_Detail!$DE:$DE,0),18),0)),SUMIFS(T_Shipments[Confirmed_Qty],T_Shipments[Part Name],$A60,T_Shipments[Effective_Week],18))</f>
        <v/>
      </c>
      <c r="T60">
        <f>IF(COUNTIF(Material_Detail!$DE:$DE,$A60)&gt;0,IF(ISNUMBER(SEARCH("[済]",INDEX(Material_Detail!$D:$DC,MATCH($A60,Material_Detail!$DE:$DE,0)+1,19))),0,IFERROR(INDEX(Material_Detail!$D:$DC,MATCH($A60,Material_Detail!$DE:$DE,0),19),0)),SUMIFS(T_Shipments[Confirmed_Qty],T_Shipments[Part Name],$A60,T_Shipments[Effective_Week],19))</f>
        <v/>
      </c>
      <c r="U60">
        <f>IF(COUNTIF(Material_Detail!$DE:$DE,$A60)&gt;0,IF(ISNUMBER(SEARCH("[済]",INDEX(Material_Detail!$D:$DC,MATCH($A60,Material_Detail!$DE:$DE,0)+1,20))),0,IFERROR(INDEX(Material_Detail!$D:$DC,MATCH($A60,Material_Detail!$DE:$DE,0),20),0)),SUMIFS(T_Shipments[Confirmed_Qty],T_Shipments[Part Name],$A60,T_Shipments[Effective_Week],20))</f>
        <v/>
      </c>
      <c r="V60">
        <f>IF(COUNTIF(Material_Detail!$DE:$DE,$A60)&gt;0,IF(ISNUMBER(SEARCH("[済]",INDEX(Material_Detail!$D:$DC,MATCH($A60,Material_Detail!$DE:$DE,0)+1,21))),0,IFERROR(INDEX(Material_Detail!$D:$DC,MATCH($A60,Material_Detail!$DE:$DE,0),21),0)),SUMIFS(T_Shipments[Confirmed_Qty],T_Shipments[Part Name],$A60,T_Shipments[Effective_Week],21))</f>
        <v/>
      </c>
      <c r="W60">
        <f>IF(COUNTIF(Material_Detail!$DE:$DE,$A60)&gt;0,IF(ISNUMBER(SEARCH("[済]",INDEX(Material_Detail!$D:$DC,MATCH($A60,Material_Detail!$DE:$DE,0)+1,22))),0,IFERROR(INDEX(Material_Detail!$D:$DC,MATCH($A60,Material_Detail!$DE:$DE,0),22),0)),SUMIFS(T_Shipments[Confirmed_Qty],T_Shipments[Part Name],$A60,T_Shipments[Effective_Week],22))</f>
        <v/>
      </c>
      <c r="X60">
        <f>IF(COUNTIF(Material_Detail!$DE:$DE,$A60)&gt;0,IF(ISNUMBER(SEARCH("[済]",INDEX(Material_Detail!$D:$DC,MATCH($A60,Material_Detail!$DE:$DE,0)+1,23))),0,IFERROR(INDEX(Material_Detail!$D:$DC,MATCH($A60,Material_Detail!$DE:$DE,0),23),0)),SUMIFS(T_Shipments[Confirmed_Qty],T_Shipments[Part Name],$A60,T_Shipments[Effective_Week],23))</f>
        <v/>
      </c>
      <c r="Y60">
        <f>IF(COUNTIF(Material_Detail!$DE:$DE,$A60)&gt;0,IF(ISNUMBER(SEARCH("[済]",INDEX(Material_Detail!$D:$DC,MATCH($A60,Material_Detail!$DE:$DE,0)+1,24))),0,IFERROR(INDEX(Material_Detail!$D:$DC,MATCH($A60,Material_Detail!$DE:$DE,0),24),0)),SUMIFS(T_Shipments[Confirmed_Qty],T_Shipments[Part Name],$A60,T_Shipments[Effective_Week],24))</f>
        <v/>
      </c>
      <c r="Z60">
        <f>IF(COUNTIF(Material_Detail!$DE:$DE,$A60)&gt;0,IF(ISNUMBER(SEARCH("[済]",INDEX(Material_Detail!$D:$DC,MATCH($A60,Material_Detail!$DE:$DE,0)+1,25))),0,IFERROR(INDEX(Material_Detail!$D:$DC,MATCH($A60,Material_Detail!$DE:$DE,0),25),0)),SUMIFS(T_Shipments[Confirmed_Qty],T_Shipments[Part Name],$A60,T_Shipments[Effective_Week],25))</f>
        <v/>
      </c>
      <c r="AA60">
        <f>IF(COUNTIF(Material_Detail!$DE:$DE,$A60)&gt;0,IF(ISNUMBER(SEARCH("[済]",INDEX(Material_Detail!$D:$DC,MATCH($A60,Material_Detail!$DE:$DE,0)+1,26))),0,IFERROR(INDEX(Material_Detail!$D:$DC,MATCH($A60,Material_Detail!$DE:$DE,0),26),0)),SUMIFS(T_Shipments[Confirmed_Qty],T_Shipments[Part Name],$A60,T_Shipments[Effective_Week],26))</f>
        <v/>
      </c>
      <c r="AB60">
        <f>IF(COUNTIF(Material_Detail!$DE:$DE,$A60)&gt;0,IF(ISNUMBER(SEARCH("[済]",INDEX(Material_Detail!$D:$DC,MATCH($A60,Material_Detail!$DE:$DE,0)+1,27))),0,IFERROR(INDEX(Material_Detail!$D:$DC,MATCH($A60,Material_Detail!$DE:$DE,0),27),0)),SUMIFS(T_Shipments[Confirmed_Qty],T_Shipments[Part Name],$A60,T_Shipments[Effective_Week],27))</f>
        <v/>
      </c>
      <c r="AC60">
        <f>IF(COUNTIF(Material_Detail!$DE:$DE,$A60)&gt;0,IF(ISNUMBER(SEARCH("[済]",INDEX(Material_Detail!$D:$DC,MATCH($A60,Material_Detail!$DE:$DE,0)+1,28))),0,IFERROR(INDEX(Material_Detail!$D:$DC,MATCH($A60,Material_Detail!$DE:$DE,0),28),0)),SUMIFS(T_Shipments[Confirmed_Qty],T_Shipments[Part Name],$A60,T_Shipments[Effective_Week],28))</f>
        <v/>
      </c>
      <c r="AD60">
        <f>IF(COUNTIF(Material_Detail!$DE:$DE,$A60)&gt;0,IF(ISNUMBER(SEARCH("[済]",INDEX(Material_Detail!$D:$DC,MATCH($A60,Material_Detail!$DE:$DE,0)+1,29))),0,IFERROR(INDEX(Material_Detail!$D:$DC,MATCH($A60,Material_Detail!$DE:$DE,0),29),0)),SUMIFS(T_Shipments[Confirmed_Qty],T_Shipments[Part Name],$A60,T_Shipments[Effective_Week],29))</f>
        <v/>
      </c>
      <c r="AE60">
        <f>IF(COUNTIF(Material_Detail!$DE:$DE,$A60)&gt;0,IF(ISNUMBER(SEARCH("[済]",INDEX(Material_Detail!$D:$DC,MATCH($A60,Material_Detail!$DE:$DE,0)+1,30))),0,IFERROR(INDEX(Material_Detail!$D:$DC,MATCH($A60,Material_Detail!$DE:$DE,0),30),0)),SUMIFS(T_Shipments[Confirmed_Qty],T_Shipments[Part Name],$A60,T_Shipments[Effective_Week],30))</f>
        <v/>
      </c>
      <c r="AF60">
        <f>IF(COUNTIF(Material_Detail!$DE:$DE,$A60)&gt;0,IF(ISNUMBER(SEARCH("[済]",INDEX(Material_Detail!$D:$DC,MATCH($A60,Material_Detail!$DE:$DE,0)+1,31))),0,IFERROR(INDEX(Material_Detail!$D:$DC,MATCH($A60,Material_Detail!$DE:$DE,0),31),0)),SUMIFS(T_Shipments[Confirmed_Qty],T_Shipments[Part Name],$A60,T_Shipments[Effective_Week],31))</f>
        <v/>
      </c>
      <c r="AG60">
        <f>IF(COUNTIF(Material_Detail!$DE:$DE,$A60)&gt;0,IF(ISNUMBER(SEARCH("[済]",INDEX(Material_Detail!$D:$DC,MATCH($A60,Material_Detail!$DE:$DE,0)+1,32))),0,IFERROR(INDEX(Material_Detail!$D:$DC,MATCH($A60,Material_Detail!$DE:$DE,0),32),0)),SUMIFS(T_Shipments[Confirmed_Qty],T_Shipments[Part Name],$A60,T_Shipments[Effective_Week],32))</f>
        <v/>
      </c>
      <c r="AH60">
        <f>IF(COUNTIF(Material_Detail!$DE:$DE,$A60)&gt;0,IF(ISNUMBER(SEARCH("[済]",INDEX(Material_Detail!$D:$DC,MATCH($A60,Material_Detail!$DE:$DE,0)+1,33))),0,IFERROR(INDEX(Material_Detail!$D:$DC,MATCH($A60,Material_Detail!$DE:$DE,0),33),0)),SUMIFS(T_Shipments[Confirmed_Qty],T_Shipments[Part Name],$A60,T_Shipments[Effective_Week],33))</f>
        <v/>
      </c>
      <c r="AI60">
        <f>IF(COUNTIF(Material_Detail!$DE:$DE,$A60)&gt;0,IF(ISNUMBER(SEARCH("[済]",INDEX(Material_Detail!$D:$DC,MATCH($A60,Material_Detail!$DE:$DE,0)+1,34))),0,IFERROR(INDEX(Material_Detail!$D:$DC,MATCH($A60,Material_Detail!$DE:$DE,0),34),0)),SUMIFS(T_Shipments[Confirmed_Qty],T_Shipments[Part Name],$A60,T_Shipments[Effective_Week],34))</f>
        <v/>
      </c>
      <c r="AJ60">
        <f>IF(COUNTIF(Material_Detail!$DE:$DE,$A60)&gt;0,IF(ISNUMBER(SEARCH("[済]",INDEX(Material_Detail!$D:$DC,MATCH($A60,Material_Detail!$DE:$DE,0)+1,35))),0,IFERROR(INDEX(Material_Detail!$D:$DC,MATCH($A60,Material_Detail!$DE:$DE,0),35),0)),SUMIFS(T_Shipments[Confirmed_Qty],T_Shipments[Part Name],$A60,T_Shipments[Effective_Week],35))</f>
        <v/>
      </c>
      <c r="AK60">
        <f>IF(COUNTIF(Material_Detail!$DE:$DE,$A60)&gt;0,IF(ISNUMBER(SEARCH("[済]",INDEX(Material_Detail!$D:$DC,MATCH($A60,Material_Detail!$DE:$DE,0)+1,36))),0,IFERROR(INDEX(Material_Detail!$D:$DC,MATCH($A60,Material_Detail!$DE:$DE,0),36),0)),SUMIFS(T_Shipments[Confirmed_Qty],T_Shipments[Part Name],$A60,T_Shipments[Effective_Week],36))</f>
        <v/>
      </c>
      <c r="AL60">
        <f>IF(COUNTIF(Material_Detail!$DE:$DE,$A60)&gt;0,IF(ISNUMBER(SEARCH("[済]",INDEX(Material_Detail!$D:$DC,MATCH($A60,Material_Detail!$DE:$DE,0)+1,37))),0,IFERROR(INDEX(Material_Detail!$D:$DC,MATCH($A60,Material_Detail!$DE:$DE,0),37),0)),SUMIFS(T_Shipments[Confirmed_Qty],T_Shipments[Part Name],$A60,T_Shipments[Effective_Week],37))</f>
        <v/>
      </c>
      <c r="AM60">
        <f>IF(COUNTIF(Material_Detail!$DE:$DE,$A60)&gt;0,IF(ISNUMBER(SEARCH("[済]",INDEX(Material_Detail!$D:$DC,MATCH($A60,Material_Detail!$DE:$DE,0)+1,38))),0,IFERROR(INDEX(Material_Detail!$D:$DC,MATCH($A60,Material_Detail!$DE:$DE,0),38),0)),SUMIFS(T_Shipments[Confirmed_Qty],T_Shipments[Part Name],$A60,T_Shipments[Effective_Week],38))</f>
        <v/>
      </c>
      <c r="AN60">
        <f>IF(COUNTIF(Material_Detail!$DE:$DE,$A60)&gt;0,IF(ISNUMBER(SEARCH("[済]",INDEX(Material_Detail!$D:$DC,MATCH($A60,Material_Detail!$DE:$DE,0)+1,39))),0,IFERROR(INDEX(Material_Detail!$D:$DC,MATCH($A60,Material_Detail!$DE:$DE,0),39),0)),SUMIFS(T_Shipments[Confirmed_Qty],T_Shipments[Part Name],$A60,T_Shipments[Effective_Week],39))</f>
        <v/>
      </c>
      <c r="AO60">
        <f>IF(COUNTIF(Material_Detail!$DE:$DE,$A60)&gt;0,IF(ISNUMBER(SEARCH("[済]",INDEX(Material_Detail!$D:$DC,MATCH($A60,Material_Detail!$DE:$DE,0)+1,40))),0,IFERROR(INDEX(Material_Detail!$D:$DC,MATCH($A60,Material_Detail!$DE:$DE,0),40),0)),SUMIFS(T_Shipments[Confirmed_Qty],T_Shipments[Part Name],$A60,T_Shipments[Effective_Week],40))</f>
        <v/>
      </c>
      <c r="AP60">
        <f>IF(COUNTIF(Material_Detail!$DE:$DE,$A60)&gt;0,IF(ISNUMBER(SEARCH("[済]",INDEX(Material_Detail!$D:$DC,MATCH($A60,Material_Detail!$DE:$DE,0)+1,41))),0,IFERROR(INDEX(Material_Detail!$D:$DC,MATCH($A60,Material_Detail!$DE:$DE,0),41),0)),SUMIFS(T_Shipments[Confirmed_Qty],T_Shipments[Part Name],$A60,T_Shipments[Effective_Week],41))</f>
        <v/>
      </c>
      <c r="AQ60">
        <f>IF(COUNTIF(Material_Detail!$DE:$DE,$A60)&gt;0,IF(ISNUMBER(SEARCH("[済]",INDEX(Material_Detail!$D:$DC,MATCH($A60,Material_Detail!$DE:$DE,0)+1,42))),0,IFERROR(INDEX(Material_Detail!$D:$DC,MATCH($A60,Material_Detail!$DE:$DE,0),42),0)),SUMIFS(T_Shipments[Confirmed_Qty],T_Shipments[Part Name],$A60,T_Shipments[Effective_Week],42))</f>
        <v/>
      </c>
      <c r="AR60">
        <f>IF(COUNTIF(Material_Detail!$DE:$DE,$A60)&gt;0,IF(ISNUMBER(SEARCH("[済]",INDEX(Material_Detail!$D:$DC,MATCH($A60,Material_Detail!$DE:$DE,0)+1,43))),0,IFERROR(INDEX(Material_Detail!$D:$DC,MATCH($A60,Material_Detail!$DE:$DE,0),43),0)),SUMIFS(T_Shipments[Confirmed_Qty],T_Shipments[Part Name],$A60,T_Shipments[Effective_Week],43))</f>
        <v/>
      </c>
      <c r="AS60">
        <f>IF(COUNTIF(Material_Detail!$DE:$DE,$A60)&gt;0,IF(ISNUMBER(SEARCH("[済]",INDEX(Material_Detail!$D:$DC,MATCH($A60,Material_Detail!$DE:$DE,0)+1,44))),0,IFERROR(INDEX(Material_Detail!$D:$DC,MATCH($A60,Material_Detail!$DE:$DE,0),44),0)),SUMIFS(T_Shipments[Confirmed_Qty],T_Shipments[Part Name],$A60,T_Shipments[Effective_Week],44))</f>
        <v/>
      </c>
      <c r="AT60">
        <f>IF(COUNTIF(Material_Detail!$DE:$DE,$A60)&gt;0,IF(ISNUMBER(SEARCH("[済]",INDEX(Material_Detail!$D:$DC,MATCH($A60,Material_Detail!$DE:$DE,0)+1,45))),0,IFERROR(INDEX(Material_Detail!$D:$DC,MATCH($A60,Material_Detail!$DE:$DE,0),45),0)),SUMIFS(T_Shipments[Confirmed_Qty],T_Shipments[Part Name],$A60,T_Shipments[Effective_Week],45))</f>
        <v/>
      </c>
      <c r="AU60">
        <f>IF(COUNTIF(Material_Detail!$DE:$DE,$A60)&gt;0,IF(ISNUMBER(SEARCH("[済]",INDEX(Material_Detail!$D:$DC,MATCH($A60,Material_Detail!$DE:$DE,0)+1,46))),0,IFERROR(INDEX(Material_Detail!$D:$DC,MATCH($A60,Material_Detail!$DE:$DE,0),46),0)),SUMIFS(T_Shipments[Confirmed_Qty],T_Shipments[Part Name],$A60,T_Shipments[Effective_Week],46))</f>
        <v/>
      </c>
      <c r="AV60">
        <f>IF(COUNTIF(Material_Detail!$DE:$DE,$A60)&gt;0,IF(ISNUMBER(SEARCH("[済]",INDEX(Material_Detail!$D:$DC,MATCH($A60,Material_Detail!$DE:$DE,0)+1,47))),0,IFERROR(INDEX(Material_Detail!$D:$DC,MATCH($A60,Material_Detail!$DE:$DE,0),47),0)),SUMIFS(T_Shipments[Confirmed_Qty],T_Shipments[Part Name],$A60,T_Shipments[Effective_Week],47))</f>
        <v/>
      </c>
      <c r="AW60">
        <f>IF(COUNTIF(Material_Detail!$DE:$DE,$A60)&gt;0,IF(ISNUMBER(SEARCH("[済]",INDEX(Material_Detail!$D:$DC,MATCH($A60,Material_Detail!$DE:$DE,0)+1,48))),0,IFERROR(INDEX(Material_Detail!$D:$DC,MATCH($A60,Material_Detail!$DE:$DE,0),48),0)),SUMIFS(T_Shipments[Confirmed_Qty],T_Shipments[Part Name],$A60,T_Shipments[Effective_Week],48))</f>
        <v/>
      </c>
      <c r="AX60">
        <f>IF(COUNTIF(Material_Detail!$DE:$DE,$A60)&gt;0,IF(ISNUMBER(SEARCH("[済]",INDEX(Material_Detail!$D:$DC,MATCH($A60,Material_Detail!$DE:$DE,0)+1,49))),0,IFERROR(INDEX(Material_Detail!$D:$DC,MATCH($A60,Material_Detail!$DE:$DE,0),49),0)),SUMIFS(T_Shipments[Confirmed_Qty],T_Shipments[Part Name],$A60,T_Shipments[Effective_Week],49))</f>
        <v/>
      </c>
      <c r="AY60">
        <f>IF(COUNTIF(Material_Detail!$DE:$DE,$A60)&gt;0,IF(ISNUMBER(SEARCH("[済]",INDEX(Material_Detail!$D:$DC,MATCH($A60,Material_Detail!$DE:$DE,0)+1,50))),0,IFERROR(INDEX(Material_Detail!$D:$DC,MATCH($A60,Material_Detail!$DE:$DE,0),50),0)),SUMIFS(T_Shipments[Confirmed_Qty],T_Shipments[Part Name],$A60,T_Shipments[Effective_Week],50))</f>
        <v/>
      </c>
      <c r="AZ60">
        <f>IF(COUNTIF(Material_Detail!$DE:$DE,$A60)&gt;0,IF(ISNUMBER(SEARCH("[済]",INDEX(Material_Detail!$D:$DC,MATCH($A60,Material_Detail!$DE:$DE,0)+1,51))),0,IFERROR(INDEX(Material_Detail!$D:$DC,MATCH($A60,Material_Detail!$DE:$DE,0),51),0)),SUMIFS(T_Shipments[Confirmed_Qty],T_Shipments[Part Name],$A60,T_Shipments[Effective_Week],51))</f>
        <v/>
      </c>
      <c r="BA60">
        <f>IF(COUNTIF(Material_Detail!$DE:$DE,$A60)&gt;0,IF(ISNUMBER(SEARCH("[済]",INDEX(Material_Detail!$D:$DC,MATCH($A60,Material_Detail!$DE:$DE,0)+1,52))),0,IFERROR(INDEX(Material_Detail!$D:$DC,MATCH($A60,Material_Detail!$DE:$DE,0),52),0)),SUMIFS(T_Shipments[Confirmed_Qty],T_Shipments[Part Name],$A60,T_Shipments[Effective_Week],52))</f>
        <v/>
      </c>
      <c r="BB60">
        <f>IF(COUNTIF(Material_Detail!$DE:$DE,$A60)&gt;0,IF(ISNUMBER(SEARCH("[済]",INDEX(Material_Detail!$D:$DC,MATCH($A60,Material_Detail!$DE:$DE,0)+1,53))),0,IFERROR(INDEX(Material_Detail!$D:$DC,MATCH($A60,Material_Detail!$DE:$DE,0),53),0)),SUMIFS(T_Shipments[Confirmed_Qty],T_Shipments[Part Name],$A60,T_Shipments[Effective_Week],53))</f>
        <v/>
      </c>
      <c r="BC60">
        <f>IF(COUNTIF(Material_Detail!$DE:$DE,$A60)&gt;0,IF(ISNUMBER(SEARCH("[済]",INDEX(Material_Detail!$D:$DC,MATCH($A60,Material_Detail!$DE:$DE,0)+1,54))),0,IFERROR(INDEX(Material_Detail!$D:$DC,MATCH($A60,Material_Detail!$DE:$DE,0),54),0)),SUMIFS(T_Shipments[Confirmed_Qty],T_Shipments[Part Name],$A60,T_Shipments[Effective_Week],54))</f>
        <v/>
      </c>
      <c r="BD60">
        <f>IF(COUNTIF(Material_Detail!$DE:$DE,$A60)&gt;0,IF(ISNUMBER(SEARCH("[済]",INDEX(Material_Detail!$D:$DC,MATCH($A60,Material_Detail!$DE:$DE,0)+1,55))),0,IFERROR(INDEX(Material_Detail!$D:$DC,MATCH($A60,Material_Detail!$DE:$DE,0),55),0)),SUMIFS(T_Shipments[Confirmed_Qty],T_Shipments[Part Name],$A60,T_Shipments[Effective_Week],55))</f>
        <v/>
      </c>
      <c r="BE60">
        <f>IF(COUNTIF(Material_Detail!$DE:$DE,$A60)&gt;0,IF(ISNUMBER(SEARCH("[済]",INDEX(Material_Detail!$D:$DC,MATCH($A60,Material_Detail!$DE:$DE,0)+1,56))),0,IFERROR(INDEX(Material_Detail!$D:$DC,MATCH($A60,Material_Detail!$DE:$DE,0),56),0)),SUMIFS(T_Shipments[Confirmed_Qty],T_Shipments[Part Name],$A60,T_Shipments[Effective_Week],56))</f>
        <v/>
      </c>
      <c r="BF60">
        <f>IF(COUNTIF(Material_Detail!$DE:$DE,$A60)&gt;0,IF(ISNUMBER(SEARCH("[済]",INDEX(Material_Detail!$D:$DC,MATCH($A60,Material_Detail!$DE:$DE,0)+1,57))),0,IFERROR(INDEX(Material_Detail!$D:$DC,MATCH($A60,Material_Detail!$DE:$DE,0),57),0)),SUMIFS(T_Shipments[Confirmed_Qty],T_Shipments[Part Name],$A60,T_Shipments[Effective_Week],57))</f>
        <v/>
      </c>
      <c r="BG60">
        <f>IF(COUNTIF(Material_Detail!$DE:$DE,$A60)&gt;0,IF(ISNUMBER(SEARCH("[済]",INDEX(Material_Detail!$D:$DC,MATCH($A60,Material_Detail!$DE:$DE,0)+1,58))),0,IFERROR(INDEX(Material_Detail!$D:$DC,MATCH($A60,Material_Detail!$DE:$DE,0),58),0)),SUMIFS(T_Shipments[Confirmed_Qty],T_Shipments[Part Name],$A60,T_Shipments[Effective_Week],58))</f>
        <v/>
      </c>
      <c r="BH60">
        <f>IF(COUNTIF(Material_Detail!$DE:$DE,$A60)&gt;0,IF(ISNUMBER(SEARCH("[済]",INDEX(Material_Detail!$D:$DC,MATCH($A60,Material_Detail!$DE:$DE,0)+1,59))),0,IFERROR(INDEX(Material_Detail!$D:$DC,MATCH($A60,Material_Detail!$DE:$DE,0),59),0)),SUMIFS(T_Shipments[Confirmed_Qty],T_Shipments[Part Name],$A60,T_Shipments[Effective_Week],59))</f>
        <v/>
      </c>
      <c r="BI60">
        <f>IF(COUNTIF(Material_Detail!$DE:$DE,$A60)&gt;0,IF(ISNUMBER(SEARCH("[済]",INDEX(Material_Detail!$D:$DC,MATCH($A60,Material_Detail!$DE:$DE,0)+1,60))),0,IFERROR(INDEX(Material_Detail!$D:$DC,MATCH($A60,Material_Detail!$DE:$DE,0),60),0)),SUMIFS(T_Shipments[Confirmed_Qty],T_Shipments[Part Name],$A60,T_Shipments[Effective_Week],60))</f>
        <v/>
      </c>
      <c r="BJ60">
        <f>IF(COUNTIF(Material_Detail!$DE:$DE,$A60)&gt;0,IF(ISNUMBER(SEARCH("[済]",INDEX(Material_Detail!$D:$DC,MATCH($A60,Material_Detail!$DE:$DE,0)+1,61))),0,IFERROR(INDEX(Material_Detail!$D:$DC,MATCH($A60,Material_Detail!$DE:$DE,0),61),0)),SUMIFS(T_Shipments[Confirmed_Qty],T_Shipments[Part Name],$A60,T_Shipments[Effective_Week],61))</f>
        <v/>
      </c>
      <c r="BK60">
        <f>IF(COUNTIF(Material_Detail!$DE:$DE,$A60)&gt;0,IF(ISNUMBER(SEARCH("[済]",INDEX(Material_Detail!$D:$DC,MATCH($A60,Material_Detail!$DE:$DE,0)+1,62))),0,IFERROR(INDEX(Material_Detail!$D:$DC,MATCH($A60,Material_Detail!$DE:$DE,0),62),0)),SUMIFS(T_Shipments[Confirmed_Qty],T_Shipments[Part Name],$A60,T_Shipments[Effective_Week],62))</f>
        <v/>
      </c>
      <c r="BL60">
        <f>IF(COUNTIF(Material_Detail!$DE:$DE,$A60)&gt;0,IF(ISNUMBER(SEARCH("[済]",INDEX(Material_Detail!$D:$DC,MATCH($A60,Material_Detail!$DE:$DE,0)+1,63))),0,IFERROR(INDEX(Material_Detail!$D:$DC,MATCH($A60,Material_Detail!$DE:$DE,0),63),0)),SUMIFS(T_Shipments[Confirmed_Qty],T_Shipments[Part Name],$A60,T_Shipments[Effective_Week],63))</f>
        <v/>
      </c>
      <c r="BM60">
        <f>IF(COUNTIF(Material_Detail!$DE:$DE,$A60)&gt;0,IF(ISNUMBER(SEARCH("[済]",INDEX(Material_Detail!$D:$DC,MATCH($A60,Material_Detail!$DE:$DE,0)+1,64))),0,IFERROR(INDEX(Material_Detail!$D:$DC,MATCH($A60,Material_Detail!$DE:$DE,0),64),0)),SUMIFS(T_Shipments[Confirmed_Qty],T_Shipments[Part Name],$A60,T_Shipments[Effective_Week],64))</f>
        <v/>
      </c>
      <c r="BN60">
        <f>IF(COUNTIF(Material_Detail!$DE:$DE,$A60)&gt;0,IF(ISNUMBER(SEARCH("[済]",INDEX(Material_Detail!$D:$DC,MATCH($A60,Material_Detail!$DE:$DE,0)+1,65))),0,IFERROR(INDEX(Material_Detail!$D:$DC,MATCH($A60,Material_Detail!$DE:$DE,0),65),0)),SUMIFS(T_Shipments[Confirmed_Qty],T_Shipments[Part Name],$A60,T_Shipments[Effective_Week],65))</f>
        <v/>
      </c>
      <c r="BO60">
        <f>IF(COUNTIF(Material_Detail!$DE:$DE,$A60)&gt;0,IF(ISNUMBER(SEARCH("[済]",INDEX(Material_Detail!$D:$DC,MATCH($A60,Material_Detail!$DE:$DE,0)+1,66))),0,IFERROR(INDEX(Material_Detail!$D:$DC,MATCH($A60,Material_Detail!$DE:$DE,0),66),0)),SUMIFS(T_Shipments[Confirmed_Qty],T_Shipments[Part Name],$A60,T_Shipments[Effective_Week],66))</f>
        <v/>
      </c>
      <c r="BP60">
        <f>IF(COUNTIF(Material_Detail!$DE:$DE,$A60)&gt;0,IF(ISNUMBER(SEARCH("[済]",INDEX(Material_Detail!$D:$DC,MATCH($A60,Material_Detail!$DE:$DE,0)+1,67))),0,IFERROR(INDEX(Material_Detail!$D:$DC,MATCH($A60,Material_Detail!$DE:$DE,0),67),0)),SUMIFS(T_Shipments[Confirmed_Qty],T_Shipments[Part Name],$A60,T_Shipments[Effective_Week],67))</f>
        <v/>
      </c>
      <c r="BQ60">
        <f>IF(COUNTIF(Material_Detail!$DE:$DE,$A60)&gt;0,IF(ISNUMBER(SEARCH("[済]",INDEX(Material_Detail!$D:$DC,MATCH($A60,Material_Detail!$DE:$DE,0)+1,68))),0,IFERROR(INDEX(Material_Detail!$D:$DC,MATCH($A60,Material_Detail!$DE:$DE,0),68),0)),SUMIFS(T_Shipments[Confirmed_Qty],T_Shipments[Part Name],$A60,T_Shipments[Effective_Week],68))</f>
        <v/>
      </c>
      <c r="BR60">
        <f>IF(COUNTIF(Material_Detail!$DE:$DE,$A60)&gt;0,IF(ISNUMBER(SEARCH("[済]",INDEX(Material_Detail!$D:$DC,MATCH($A60,Material_Detail!$DE:$DE,0)+1,69))),0,IFERROR(INDEX(Material_Detail!$D:$DC,MATCH($A60,Material_Detail!$DE:$DE,0),69),0)),SUMIFS(T_Shipments[Confirmed_Qty],T_Shipments[Part Name],$A60,T_Shipments[Effective_Week],69))</f>
        <v/>
      </c>
      <c r="BS60">
        <f>IF(COUNTIF(Material_Detail!$DE:$DE,$A60)&gt;0,IF(ISNUMBER(SEARCH("[済]",INDEX(Material_Detail!$D:$DC,MATCH($A60,Material_Detail!$DE:$DE,0)+1,70))),0,IFERROR(INDEX(Material_Detail!$D:$DC,MATCH($A60,Material_Detail!$DE:$DE,0),70),0)),SUMIFS(T_Shipments[Confirmed_Qty],T_Shipments[Part Name],$A60,T_Shipments[Effective_Week],70))</f>
        <v/>
      </c>
      <c r="BT60">
        <f>IF(COUNTIF(Material_Detail!$DE:$DE,$A60)&gt;0,IF(ISNUMBER(SEARCH("[済]",INDEX(Material_Detail!$D:$DC,MATCH($A60,Material_Detail!$DE:$DE,0)+1,71))),0,IFERROR(INDEX(Material_Detail!$D:$DC,MATCH($A60,Material_Detail!$DE:$DE,0),71),0)),SUMIFS(T_Shipments[Confirmed_Qty],T_Shipments[Part Name],$A60,T_Shipments[Effective_Week],71))</f>
        <v/>
      </c>
      <c r="BU60">
        <f>IF(COUNTIF(Material_Detail!$DE:$DE,$A60)&gt;0,IF(ISNUMBER(SEARCH("[済]",INDEX(Material_Detail!$D:$DC,MATCH($A60,Material_Detail!$DE:$DE,0)+1,72))),0,IFERROR(INDEX(Material_Detail!$D:$DC,MATCH($A60,Material_Detail!$DE:$DE,0),72),0)),SUMIFS(T_Shipments[Confirmed_Qty],T_Shipments[Part Name],$A60,T_Shipments[Effective_Week],72))</f>
        <v/>
      </c>
      <c r="BV60">
        <f>IF(COUNTIF(Material_Detail!$DE:$DE,$A60)&gt;0,IF(ISNUMBER(SEARCH("[済]",INDEX(Material_Detail!$D:$DC,MATCH($A60,Material_Detail!$DE:$DE,0)+1,73))),0,IFERROR(INDEX(Material_Detail!$D:$DC,MATCH($A60,Material_Detail!$DE:$DE,0),73),0)),SUMIFS(T_Shipments[Confirmed_Qty],T_Shipments[Part Name],$A60,T_Shipments[Effective_Week],73))</f>
        <v/>
      </c>
      <c r="BW60">
        <f>IF(COUNTIF(Material_Detail!$DE:$DE,$A60)&gt;0,IF(ISNUMBER(SEARCH("[済]",INDEX(Material_Detail!$D:$DC,MATCH($A60,Material_Detail!$DE:$DE,0)+1,74))),0,IFERROR(INDEX(Material_Detail!$D:$DC,MATCH($A60,Material_Detail!$DE:$DE,0),74),0)),SUMIFS(T_Shipments[Confirmed_Qty],T_Shipments[Part Name],$A60,T_Shipments[Effective_Week],74))</f>
        <v/>
      </c>
      <c r="BX60">
        <f>IF(COUNTIF(Material_Detail!$DE:$DE,$A60)&gt;0,IF(ISNUMBER(SEARCH("[済]",INDEX(Material_Detail!$D:$DC,MATCH($A60,Material_Detail!$DE:$DE,0)+1,75))),0,IFERROR(INDEX(Material_Detail!$D:$DC,MATCH($A60,Material_Detail!$DE:$DE,0),75),0)),SUMIFS(T_Shipments[Confirmed_Qty],T_Shipments[Part Name],$A60,T_Shipments[Effective_Week],75))</f>
        <v/>
      </c>
      <c r="BY60">
        <f>IF(COUNTIF(Material_Detail!$DE:$DE,$A60)&gt;0,IF(ISNUMBER(SEARCH("[済]",INDEX(Material_Detail!$D:$DC,MATCH($A60,Material_Detail!$DE:$DE,0)+1,76))),0,IFERROR(INDEX(Material_Detail!$D:$DC,MATCH($A60,Material_Detail!$DE:$DE,0),76),0)),SUMIFS(T_Shipments[Confirmed_Qty],T_Shipments[Part Name],$A60,T_Shipments[Effective_Week],76))</f>
        <v/>
      </c>
      <c r="BZ60">
        <f>IF(COUNTIF(Material_Detail!$DE:$DE,$A60)&gt;0,IF(ISNUMBER(SEARCH("[済]",INDEX(Material_Detail!$D:$DC,MATCH($A60,Material_Detail!$DE:$DE,0)+1,77))),0,IFERROR(INDEX(Material_Detail!$D:$DC,MATCH($A60,Material_Detail!$DE:$DE,0),77),0)),SUMIFS(T_Shipments[Confirmed_Qty],T_Shipments[Part Name],$A60,T_Shipments[Effective_Week],77))</f>
        <v/>
      </c>
      <c r="CA60">
        <f>IF(COUNTIF(Material_Detail!$DE:$DE,$A60)&gt;0,IF(ISNUMBER(SEARCH("[済]",INDEX(Material_Detail!$D:$DC,MATCH($A60,Material_Detail!$DE:$DE,0)+1,78))),0,IFERROR(INDEX(Material_Detail!$D:$DC,MATCH($A60,Material_Detail!$DE:$DE,0),78),0)),SUMIFS(T_Shipments[Confirmed_Qty],T_Shipments[Part Name],$A60,T_Shipments[Effective_Week],78))</f>
        <v/>
      </c>
      <c r="CB60">
        <f>IF(COUNTIF(Material_Detail!$DE:$DE,$A60)&gt;0,IF(ISNUMBER(SEARCH("[済]",INDEX(Material_Detail!$D:$DC,MATCH($A60,Material_Detail!$DE:$DE,0)+1,79))),0,IFERROR(INDEX(Material_Detail!$D:$DC,MATCH($A60,Material_Detail!$DE:$DE,0),79),0)),SUMIFS(T_Shipments[Confirmed_Qty],T_Shipments[Part Name],$A60,T_Shipments[Effective_Week],79))</f>
        <v/>
      </c>
      <c r="CC60">
        <f>IF(COUNTIF(Material_Detail!$DE:$DE,$A60)&gt;0,IF(ISNUMBER(SEARCH("[済]",INDEX(Material_Detail!$D:$DC,MATCH($A60,Material_Detail!$DE:$DE,0)+1,80))),0,IFERROR(INDEX(Material_Detail!$D:$DC,MATCH($A60,Material_Detail!$DE:$DE,0),80),0)),SUMIFS(T_Shipments[Confirmed_Qty],T_Shipments[Part Name],$A60,T_Shipments[Effective_Week],80))</f>
        <v/>
      </c>
      <c r="CD60">
        <f>IF(COUNTIF(Material_Detail!$DE:$DE,$A60)&gt;0,IF(ISNUMBER(SEARCH("[済]",INDEX(Material_Detail!$D:$DC,MATCH($A60,Material_Detail!$DE:$DE,0)+1,81))),0,IFERROR(INDEX(Material_Detail!$D:$DC,MATCH($A60,Material_Detail!$DE:$DE,0),81),0)),SUMIFS(T_Shipments[Confirmed_Qty],T_Shipments[Part Name],$A60,T_Shipments[Effective_Week],81))</f>
        <v/>
      </c>
      <c r="CE60">
        <f>IF(COUNTIF(Material_Detail!$DE:$DE,$A60)&gt;0,IF(ISNUMBER(SEARCH("[済]",INDEX(Material_Detail!$D:$DC,MATCH($A60,Material_Detail!$DE:$DE,0)+1,82))),0,IFERROR(INDEX(Material_Detail!$D:$DC,MATCH($A60,Material_Detail!$DE:$DE,0),82),0)),SUMIFS(T_Shipments[Confirmed_Qty],T_Shipments[Part Name],$A60,T_Shipments[Effective_Week],82))</f>
        <v/>
      </c>
      <c r="CF60">
        <f>IF(COUNTIF(Material_Detail!$DE:$DE,$A60)&gt;0,IF(ISNUMBER(SEARCH("[済]",INDEX(Material_Detail!$D:$DC,MATCH($A60,Material_Detail!$DE:$DE,0)+1,83))),0,IFERROR(INDEX(Material_Detail!$D:$DC,MATCH($A60,Material_Detail!$DE:$DE,0),83),0)),SUMIFS(T_Shipments[Confirmed_Qty],T_Shipments[Part Name],$A60,T_Shipments[Effective_Week],83))</f>
        <v/>
      </c>
      <c r="CG60">
        <f>IF(COUNTIF(Material_Detail!$DE:$DE,$A60)&gt;0,IF(ISNUMBER(SEARCH("[済]",INDEX(Material_Detail!$D:$DC,MATCH($A60,Material_Detail!$DE:$DE,0)+1,84))),0,IFERROR(INDEX(Material_Detail!$D:$DC,MATCH($A60,Material_Detail!$DE:$DE,0),84),0)),SUMIFS(T_Shipments[Confirmed_Qty],T_Shipments[Part Name],$A60,T_Shipments[Effective_Week],84))</f>
        <v/>
      </c>
      <c r="CH60">
        <f>IF(COUNTIF(Material_Detail!$DE:$DE,$A60)&gt;0,IF(ISNUMBER(SEARCH("[済]",INDEX(Material_Detail!$D:$DC,MATCH($A60,Material_Detail!$DE:$DE,0)+1,85))),0,IFERROR(INDEX(Material_Detail!$D:$DC,MATCH($A60,Material_Detail!$DE:$DE,0),85),0)),SUMIFS(T_Shipments[Confirmed_Qty],T_Shipments[Part Name],$A60,T_Shipments[Effective_Week],85))</f>
        <v/>
      </c>
      <c r="CI60">
        <f>IF(COUNTIF(Material_Detail!$DE:$DE,$A60)&gt;0,IF(ISNUMBER(SEARCH("[済]",INDEX(Material_Detail!$D:$DC,MATCH($A60,Material_Detail!$DE:$DE,0)+1,86))),0,IFERROR(INDEX(Material_Detail!$D:$DC,MATCH($A60,Material_Detail!$DE:$DE,0),86),0)),SUMIFS(T_Shipments[Confirmed_Qty],T_Shipments[Part Name],$A60,T_Shipments[Effective_Week],86))</f>
        <v/>
      </c>
      <c r="CJ60">
        <f>IF(COUNTIF(Material_Detail!$DE:$DE,$A60)&gt;0,IF(ISNUMBER(SEARCH("[済]",INDEX(Material_Detail!$D:$DC,MATCH($A60,Material_Detail!$DE:$DE,0)+1,87))),0,IFERROR(INDEX(Material_Detail!$D:$DC,MATCH($A60,Material_Detail!$DE:$DE,0),87),0)),SUMIFS(T_Shipments[Confirmed_Qty],T_Shipments[Part Name],$A60,T_Shipments[Effective_Week],87))</f>
        <v/>
      </c>
      <c r="CK60">
        <f>IF(COUNTIF(Material_Detail!$DE:$DE,$A60)&gt;0,IF(ISNUMBER(SEARCH("[済]",INDEX(Material_Detail!$D:$DC,MATCH($A60,Material_Detail!$DE:$DE,0)+1,88))),0,IFERROR(INDEX(Material_Detail!$D:$DC,MATCH($A60,Material_Detail!$DE:$DE,0),88),0)),SUMIFS(T_Shipments[Confirmed_Qty],T_Shipments[Part Name],$A60,T_Shipments[Effective_Week],88))</f>
        <v/>
      </c>
      <c r="CL60">
        <f>IF(COUNTIF(Material_Detail!$DE:$DE,$A60)&gt;0,IF(ISNUMBER(SEARCH("[済]",INDEX(Material_Detail!$D:$DC,MATCH($A60,Material_Detail!$DE:$DE,0)+1,89))),0,IFERROR(INDEX(Material_Detail!$D:$DC,MATCH($A60,Material_Detail!$DE:$DE,0),89),0)),SUMIFS(T_Shipments[Confirmed_Qty],T_Shipments[Part Name],$A60,T_Shipments[Effective_Week],89))</f>
        <v/>
      </c>
      <c r="CM60">
        <f>IF(COUNTIF(Material_Detail!$DE:$DE,$A60)&gt;0,IF(ISNUMBER(SEARCH("[済]",INDEX(Material_Detail!$D:$DC,MATCH($A60,Material_Detail!$DE:$DE,0)+1,90))),0,IFERROR(INDEX(Material_Detail!$D:$DC,MATCH($A60,Material_Detail!$DE:$DE,0),90),0)),SUMIFS(T_Shipments[Confirmed_Qty],T_Shipments[Part Name],$A60,T_Shipments[Effective_Week],90))</f>
        <v/>
      </c>
      <c r="CN60">
        <f>IF(COUNTIF(Material_Detail!$DE:$DE,$A60)&gt;0,IF(ISNUMBER(SEARCH("[済]",INDEX(Material_Detail!$D:$DC,MATCH($A60,Material_Detail!$DE:$DE,0)+1,91))),0,IFERROR(INDEX(Material_Detail!$D:$DC,MATCH($A60,Material_Detail!$DE:$DE,0),91),0)),SUMIFS(T_Shipments[Confirmed_Qty],T_Shipments[Part Name],$A60,T_Shipments[Effective_Week],91))</f>
        <v/>
      </c>
      <c r="CO60">
        <f>IF(COUNTIF(Material_Detail!$DE:$DE,$A60)&gt;0,IF(ISNUMBER(SEARCH("[済]",INDEX(Material_Detail!$D:$DC,MATCH($A60,Material_Detail!$DE:$DE,0)+1,92))),0,IFERROR(INDEX(Material_Detail!$D:$DC,MATCH($A60,Material_Detail!$DE:$DE,0),92),0)),SUMIFS(T_Shipments[Confirmed_Qty],T_Shipments[Part Name],$A60,T_Shipments[Effective_Week],92))</f>
        <v/>
      </c>
      <c r="CP60">
        <f>IF(COUNTIF(Material_Detail!$DE:$DE,$A60)&gt;0,IF(ISNUMBER(SEARCH("[済]",INDEX(Material_Detail!$D:$DC,MATCH($A60,Material_Detail!$DE:$DE,0)+1,93))),0,IFERROR(INDEX(Material_Detail!$D:$DC,MATCH($A60,Material_Detail!$DE:$DE,0),93),0)),SUMIFS(T_Shipments[Confirmed_Qty],T_Shipments[Part Name],$A60,T_Shipments[Effective_Week],93))</f>
        <v/>
      </c>
      <c r="CQ60">
        <f>IF(COUNTIF(Material_Detail!$DE:$DE,$A60)&gt;0,IF(ISNUMBER(SEARCH("[済]",INDEX(Material_Detail!$D:$DC,MATCH($A60,Material_Detail!$DE:$DE,0)+1,94))),0,IFERROR(INDEX(Material_Detail!$D:$DC,MATCH($A60,Material_Detail!$DE:$DE,0),94),0)),SUMIFS(T_Shipments[Confirmed_Qty],T_Shipments[Part Name],$A60,T_Shipments[Effective_Week],94))</f>
        <v/>
      </c>
      <c r="CR60">
        <f>IF(COUNTIF(Material_Detail!$DE:$DE,$A60)&gt;0,IF(ISNUMBER(SEARCH("[済]",INDEX(Material_Detail!$D:$DC,MATCH($A60,Material_Detail!$DE:$DE,0)+1,95))),0,IFERROR(INDEX(Material_Detail!$D:$DC,MATCH($A60,Material_Detail!$DE:$DE,0),95),0)),SUMIFS(T_Shipments[Confirmed_Qty],T_Shipments[Part Name],$A60,T_Shipments[Effective_Week],95))</f>
        <v/>
      </c>
      <c r="CS60">
        <f>IF(COUNTIF(Material_Detail!$DE:$DE,$A60)&gt;0,IF(ISNUMBER(SEARCH("[済]",INDEX(Material_Detail!$D:$DC,MATCH($A60,Material_Detail!$DE:$DE,0)+1,96))),0,IFERROR(INDEX(Material_Detail!$D:$DC,MATCH($A60,Material_Detail!$DE:$DE,0),96),0)),SUMIFS(T_Shipments[Confirmed_Qty],T_Shipments[Part Name],$A60,T_Shipments[Effective_Week],96))</f>
        <v/>
      </c>
      <c r="CT60">
        <f>IF(COUNTIF(Material_Detail!$DE:$DE,$A60)&gt;0,IF(ISNUMBER(SEARCH("[済]",INDEX(Material_Detail!$D:$DC,MATCH($A60,Material_Detail!$DE:$DE,0)+1,97))),0,IFERROR(INDEX(Material_Detail!$D:$DC,MATCH($A60,Material_Detail!$DE:$DE,0),97),0)),SUMIFS(T_Shipments[Confirmed_Qty],T_Shipments[Part Name],$A60,T_Shipments[Effective_Week],97))</f>
        <v/>
      </c>
      <c r="CU60">
        <f>IF(COUNTIF(Material_Detail!$DE:$DE,$A60)&gt;0,IF(ISNUMBER(SEARCH("[済]",INDEX(Material_Detail!$D:$DC,MATCH($A60,Material_Detail!$DE:$DE,0)+1,98))),0,IFERROR(INDEX(Material_Detail!$D:$DC,MATCH($A60,Material_Detail!$DE:$DE,0),98),0)),SUMIFS(T_Shipments[Confirmed_Qty],T_Shipments[Part Name],$A60,T_Shipments[Effective_Week],98))</f>
        <v/>
      </c>
      <c r="CV60">
        <f>IF(COUNTIF(Material_Detail!$DE:$DE,$A60)&gt;0,IF(ISNUMBER(SEARCH("[済]",INDEX(Material_Detail!$D:$DC,MATCH($A60,Material_Detail!$DE:$DE,0)+1,99))),0,IFERROR(INDEX(Material_Detail!$D:$DC,MATCH($A60,Material_Detail!$DE:$DE,0),99),0)),SUMIFS(T_Shipments[Confirmed_Qty],T_Shipments[Part Name],$A60,T_Shipments[Effective_Week],99))</f>
        <v/>
      </c>
      <c r="CW60">
        <f>IF(COUNTIF(Material_Detail!$DE:$DE,$A60)&gt;0,IF(ISNUMBER(SEARCH("[済]",INDEX(Material_Detail!$D:$DC,MATCH($A60,Material_Detail!$DE:$DE,0)+1,100))),0,IFERROR(INDEX(Material_Detail!$D:$DC,MATCH($A60,Material_Detail!$DE:$DE,0),100),0)),SUMIFS(T_Shipments[Confirmed_Qty],T_Shipments[Part Name],$A60,T_Shipments[Effective_Week],100))</f>
        <v/>
      </c>
      <c r="CX60">
        <f>IF(COUNTIF(Material_Detail!$DE:$DE,$A60)&gt;0,IF(ISNUMBER(SEARCH("[済]",INDEX(Material_Detail!$D:$DC,MATCH($A60,Material_Detail!$DE:$DE,0)+1,101))),0,IFERROR(INDEX(Material_Detail!$D:$DC,MATCH($A60,Material_Detail!$DE:$DE,0),101),0)),SUMIFS(T_Shipments[Confirmed_Qty],T_Shipments[Part Name],$A60,T_Shipments[Effective_Week],101))</f>
        <v/>
      </c>
      <c r="CY60">
        <f>IF(COUNTIF(Material_Detail!$DE:$DE,$A60)&gt;0,IF(ISNUMBER(SEARCH("[済]",INDEX(Material_Detail!$D:$DC,MATCH($A60,Material_Detail!$DE:$DE,0)+1,102))),0,IFERROR(INDEX(Material_Detail!$D:$DC,MATCH($A60,Material_Detail!$DE:$DE,0),102),0)),SUMIFS(T_Shipments[Confirmed_Qty],T_Shipments[Part Name],$A60,T_Shipments[Effective_Week],102))</f>
        <v/>
      </c>
      <c r="CZ60">
        <f>IF(COUNTIF(Material_Detail!$DE:$DE,$A60)&gt;0,IF(ISNUMBER(SEARCH("[済]",INDEX(Material_Detail!$D:$DC,MATCH($A60,Material_Detail!$DE:$DE,0)+1,103))),0,IFERROR(INDEX(Material_Detail!$D:$DC,MATCH($A60,Material_Detail!$DE:$DE,0),103),0)),SUMIFS(T_Shipments[Confirmed_Qty],T_Shipments[Part Name],$A60,T_Shipments[Effective_Week],103))</f>
        <v/>
      </c>
      <c r="DA60">
        <f>IF(COUNTIF(Material_Detail!$DE:$DE,$A60)&gt;0,IF(ISNUMBER(SEARCH("[済]",INDEX(Material_Detail!$D:$DC,MATCH($A60,Material_Detail!$DE:$DE,0)+1,104))),0,IFERROR(INDEX(Material_Detail!$D:$DC,MATCH($A60,Material_Detail!$DE:$DE,0),104),0)),SUMIFS(T_Shipments[Confirmed_Qty],T_Shipments[Part Name],$A60,T_Shipments[Effective_Week],104))</f>
        <v/>
      </c>
    </row>
    <row r="61">
      <c r="A61" t="inlineStr">
        <is>
          <t>CHEM-1720</t>
        </is>
      </c>
      <c r="B61">
        <f>IF(COUNTIF(Material_Detail!$DE:$DE,$A61)&gt;0,IF(ISNUMBER(SEARCH("[済]",INDEX(Material_Detail!$D:$DC,MATCH($A61,Material_Detail!$DE:$DE,0)+1,1))),0,IFERROR(INDEX(Material_Detail!$D:$DC,MATCH($A61,Material_Detail!$DE:$DE,0),1),0)),SUMIFS(T_Shipments[Confirmed_Qty],T_Shipments[Part Name],$A61,T_Shipments[Effective_Week],1))</f>
        <v/>
      </c>
      <c r="C61">
        <f>IF(COUNTIF(Material_Detail!$DE:$DE,$A61)&gt;0,IF(ISNUMBER(SEARCH("[済]",INDEX(Material_Detail!$D:$DC,MATCH($A61,Material_Detail!$DE:$DE,0)+1,2))),0,IFERROR(INDEX(Material_Detail!$D:$DC,MATCH($A61,Material_Detail!$DE:$DE,0),2),0)),SUMIFS(T_Shipments[Confirmed_Qty],T_Shipments[Part Name],$A61,T_Shipments[Effective_Week],2))</f>
        <v/>
      </c>
      <c r="D61">
        <f>IF(COUNTIF(Material_Detail!$DE:$DE,$A61)&gt;0,IF(ISNUMBER(SEARCH("[済]",INDEX(Material_Detail!$D:$DC,MATCH($A61,Material_Detail!$DE:$DE,0)+1,3))),0,IFERROR(INDEX(Material_Detail!$D:$DC,MATCH($A61,Material_Detail!$DE:$DE,0),3),0)),SUMIFS(T_Shipments[Confirmed_Qty],T_Shipments[Part Name],$A61,T_Shipments[Effective_Week],3))</f>
        <v/>
      </c>
      <c r="E61">
        <f>IF(COUNTIF(Material_Detail!$DE:$DE,$A61)&gt;0,IF(ISNUMBER(SEARCH("[済]",INDEX(Material_Detail!$D:$DC,MATCH($A61,Material_Detail!$DE:$DE,0)+1,4))),0,IFERROR(INDEX(Material_Detail!$D:$DC,MATCH($A61,Material_Detail!$DE:$DE,0),4),0)),SUMIFS(T_Shipments[Confirmed_Qty],T_Shipments[Part Name],$A61,T_Shipments[Effective_Week],4))</f>
        <v/>
      </c>
      <c r="F61">
        <f>IF(COUNTIF(Material_Detail!$DE:$DE,$A61)&gt;0,IF(ISNUMBER(SEARCH("[済]",INDEX(Material_Detail!$D:$DC,MATCH($A61,Material_Detail!$DE:$DE,0)+1,5))),0,IFERROR(INDEX(Material_Detail!$D:$DC,MATCH($A61,Material_Detail!$DE:$DE,0),5),0)),SUMIFS(T_Shipments[Confirmed_Qty],T_Shipments[Part Name],$A61,T_Shipments[Effective_Week],5))</f>
        <v/>
      </c>
      <c r="G61">
        <f>IF(COUNTIF(Material_Detail!$DE:$DE,$A61)&gt;0,IF(ISNUMBER(SEARCH("[済]",INDEX(Material_Detail!$D:$DC,MATCH($A61,Material_Detail!$DE:$DE,0)+1,6))),0,IFERROR(INDEX(Material_Detail!$D:$DC,MATCH($A61,Material_Detail!$DE:$DE,0),6),0)),SUMIFS(T_Shipments[Confirmed_Qty],T_Shipments[Part Name],$A61,T_Shipments[Effective_Week],6))</f>
        <v/>
      </c>
      <c r="H61">
        <f>IF(COUNTIF(Material_Detail!$DE:$DE,$A61)&gt;0,IF(ISNUMBER(SEARCH("[済]",INDEX(Material_Detail!$D:$DC,MATCH($A61,Material_Detail!$DE:$DE,0)+1,7))),0,IFERROR(INDEX(Material_Detail!$D:$DC,MATCH($A61,Material_Detail!$DE:$DE,0),7),0)),SUMIFS(T_Shipments[Confirmed_Qty],T_Shipments[Part Name],$A61,T_Shipments[Effective_Week],7))</f>
        <v/>
      </c>
      <c r="I61">
        <f>IF(COUNTIF(Material_Detail!$DE:$DE,$A61)&gt;0,IF(ISNUMBER(SEARCH("[済]",INDEX(Material_Detail!$D:$DC,MATCH($A61,Material_Detail!$DE:$DE,0)+1,8))),0,IFERROR(INDEX(Material_Detail!$D:$DC,MATCH($A61,Material_Detail!$DE:$DE,0),8),0)),SUMIFS(T_Shipments[Confirmed_Qty],T_Shipments[Part Name],$A61,T_Shipments[Effective_Week],8))</f>
        <v/>
      </c>
      <c r="J61">
        <f>IF(COUNTIF(Material_Detail!$DE:$DE,$A61)&gt;0,IF(ISNUMBER(SEARCH("[済]",INDEX(Material_Detail!$D:$DC,MATCH($A61,Material_Detail!$DE:$DE,0)+1,9))),0,IFERROR(INDEX(Material_Detail!$D:$DC,MATCH($A61,Material_Detail!$DE:$DE,0),9),0)),SUMIFS(T_Shipments[Confirmed_Qty],T_Shipments[Part Name],$A61,T_Shipments[Effective_Week],9))</f>
        <v/>
      </c>
      <c r="K61">
        <f>IF(COUNTIF(Material_Detail!$DE:$DE,$A61)&gt;0,IF(ISNUMBER(SEARCH("[済]",INDEX(Material_Detail!$D:$DC,MATCH($A61,Material_Detail!$DE:$DE,0)+1,10))),0,IFERROR(INDEX(Material_Detail!$D:$DC,MATCH($A61,Material_Detail!$DE:$DE,0),10),0)),SUMIFS(T_Shipments[Confirmed_Qty],T_Shipments[Part Name],$A61,T_Shipments[Effective_Week],10))</f>
        <v/>
      </c>
      <c r="L61">
        <f>IF(COUNTIF(Material_Detail!$DE:$DE,$A61)&gt;0,IF(ISNUMBER(SEARCH("[済]",INDEX(Material_Detail!$D:$DC,MATCH($A61,Material_Detail!$DE:$DE,0)+1,11))),0,IFERROR(INDEX(Material_Detail!$D:$DC,MATCH($A61,Material_Detail!$DE:$DE,0),11),0)),SUMIFS(T_Shipments[Confirmed_Qty],T_Shipments[Part Name],$A61,T_Shipments[Effective_Week],11))</f>
        <v/>
      </c>
      <c r="M61">
        <f>IF(COUNTIF(Material_Detail!$DE:$DE,$A61)&gt;0,IF(ISNUMBER(SEARCH("[済]",INDEX(Material_Detail!$D:$DC,MATCH($A61,Material_Detail!$DE:$DE,0)+1,12))),0,IFERROR(INDEX(Material_Detail!$D:$DC,MATCH($A61,Material_Detail!$DE:$DE,0),12),0)),SUMIFS(T_Shipments[Confirmed_Qty],T_Shipments[Part Name],$A61,T_Shipments[Effective_Week],12))</f>
        <v/>
      </c>
      <c r="N61">
        <f>IF(COUNTIF(Material_Detail!$DE:$DE,$A61)&gt;0,IF(ISNUMBER(SEARCH("[済]",INDEX(Material_Detail!$D:$DC,MATCH($A61,Material_Detail!$DE:$DE,0)+1,13))),0,IFERROR(INDEX(Material_Detail!$D:$DC,MATCH($A61,Material_Detail!$DE:$DE,0),13),0)),SUMIFS(T_Shipments[Confirmed_Qty],T_Shipments[Part Name],$A61,T_Shipments[Effective_Week],13))</f>
        <v/>
      </c>
      <c r="O61">
        <f>IF(COUNTIF(Material_Detail!$DE:$DE,$A61)&gt;0,IF(ISNUMBER(SEARCH("[済]",INDEX(Material_Detail!$D:$DC,MATCH($A61,Material_Detail!$DE:$DE,0)+1,14))),0,IFERROR(INDEX(Material_Detail!$D:$DC,MATCH($A61,Material_Detail!$DE:$DE,0),14),0)),SUMIFS(T_Shipments[Confirmed_Qty],T_Shipments[Part Name],$A61,T_Shipments[Effective_Week],14))</f>
        <v/>
      </c>
      <c r="P61">
        <f>IF(COUNTIF(Material_Detail!$DE:$DE,$A61)&gt;0,IF(ISNUMBER(SEARCH("[済]",INDEX(Material_Detail!$D:$DC,MATCH($A61,Material_Detail!$DE:$DE,0)+1,15))),0,IFERROR(INDEX(Material_Detail!$D:$DC,MATCH($A61,Material_Detail!$DE:$DE,0),15),0)),SUMIFS(T_Shipments[Confirmed_Qty],T_Shipments[Part Name],$A61,T_Shipments[Effective_Week],15))</f>
        <v/>
      </c>
      <c r="Q61">
        <f>IF(COUNTIF(Material_Detail!$DE:$DE,$A61)&gt;0,IF(ISNUMBER(SEARCH("[済]",INDEX(Material_Detail!$D:$DC,MATCH($A61,Material_Detail!$DE:$DE,0)+1,16))),0,IFERROR(INDEX(Material_Detail!$D:$DC,MATCH($A61,Material_Detail!$DE:$DE,0),16),0)),SUMIFS(T_Shipments[Confirmed_Qty],T_Shipments[Part Name],$A61,T_Shipments[Effective_Week],16))</f>
        <v/>
      </c>
      <c r="R61">
        <f>IF(COUNTIF(Material_Detail!$DE:$DE,$A61)&gt;0,IF(ISNUMBER(SEARCH("[済]",INDEX(Material_Detail!$D:$DC,MATCH($A61,Material_Detail!$DE:$DE,0)+1,17))),0,IFERROR(INDEX(Material_Detail!$D:$DC,MATCH($A61,Material_Detail!$DE:$DE,0),17),0)),SUMIFS(T_Shipments[Confirmed_Qty],T_Shipments[Part Name],$A61,T_Shipments[Effective_Week],17))</f>
        <v/>
      </c>
      <c r="S61">
        <f>IF(COUNTIF(Material_Detail!$DE:$DE,$A61)&gt;0,IF(ISNUMBER(SEARCH("[済]",INDEX(Material_Detail!$D:$DC,MATCH($A61,Material_Detail!$DE:$DE,0)+1,18))),0,IFERROR(INDEX(Material_Detail!$D:$DC,MATCH($A61,Material_Detail!$DE:$DE,0),18),0)),SUMIFS(T_Shipments[Confirmed_Qty],T_Shipments[Part Name],$A61,T_Shipments[Effective_Week],18))</f>
        <v/>
      </c>
      <c r="T61">
        <f>IF(COUNTIF(Material_Detail!$DE:$DE,$A61)&gt;0,IF(ISNUMBER(SEARCH("[済]",INDEX(Material_Detail!$D:$DC,MATCH($A61,Material_Detail!$DE:$DE,0)+1,19))),0,IFERROR(INDEX(Material_Detail!$D:$DC,MATCH($A61,Material_Detail!$DE:$DE,0),19),0)),SUMIFS(T_Shipments[Confirmed_Qty],T_Shipments[Part Name],$A61,T_Shipments[Effective_Week],19))</f>
        <v/>
      </c>
      <c r="U61">
        <f>IF(COUNTIF(Material_Detail!$DE:$DE,$A61)&gt;0,IF(ISNUMBER(SEARCH("[済]",INDEX(Material_Detail!$D:$DC,MATCH($A61,Material_Detail!$DE:$DE,0)+1,20))),0,IFERROR(INDEX(Material_Detail!$D:$DC,MATCH($A61,Material_Detail!$DE:$DE,0),20),0)),SUMIFS(T_Shipments[Confirmed_Qty],T_Shipments[Part Name],$A61,T_Shipments[Effective_Week],20))</f>
        <v/>
      </c>
      <c r="V61">
        <f>IF(COUNTIF(Material_Detail!$DE:$DE,$A61)&gt;0,IF(ISNUMBER(SEARCH("[済]",INDEX(Material_Detail!$D:$DC,MATCH($A61,Material_Detail!$DE:$DE,0)+1,21))),0,IFERROR(INDEX(Material_Detail!$D:$DC,MATCH($A61,Material_Detail!$DE:$DE,0),21),0)),SUMIFS(T_Shipments[Confirmed_Qty],T_Shipments[Part Name],$A61,T_Shipments[Effective_Week],21))</f>
        <v/>
      </c>
      <c r="W61">
        <f>IF(COUNTIF(Material_Detail!$DE:$DE,$A61)&gt;0,IF(ISNUMBER(SEARCH("[済]",INDEX(Material_Detail!$D:$DC,MATCH($A61,Material_Detail!$DE:$DE,0)+1,22))),0,IFERROR(INDEX(Material_Detail!$D:$DC,MATCH($A61,Material_Detail!$DE:$DE,0),22),0)),SUMIFS(T_Shipments[Confirmed_Qty],T_Shipments[Part Name],$A61,T_Shipments[Effective_Week],22))</f>
        <v/>
      </c>
      <c r="X61">
        <f>IF(COUNTIF(Material_Detail!$DE:$DE,$A61)&gt;0,IF(ISNUMBER(SEARCH("[済]",INDEX(Material_Detail!$D:$DC,MATCH($A61,Material_Detail!$DE:$DE,0)+1,23))),0,IFERROR(INDEX(Material_Detail!$D:$DC,MATCH($A61,Material_Detail!$DE:$DE,0),23),0)),SUMIFS(T_Shipments[Confirmed_Qty],T_Shipments[Part Name],$A61,T_Shipments[Effective_Week],23))</f>
        <v/>
      </c>
      <c r="Y61">
        <f>IF(COUNTIF(Material_Detail!$DE:$DE,$A61)&gt;0,IF(ISNUMBER(SEARCH("[済]",INDEX(Material_Detail!$D:$DC,MATCH($A61,Material_Detail!$DE:$DE,0)+1,24))),0,IFERROR(INDEX(Material_Detail!$D:$DC,MATCH($A61,Material_Detail!$DE:$DE,0),24),0)),SUMIFS(T_Shipments[Confirmed_Qty],T_Shipments[Part Name],$A61,T_Shipments[Effective_Week],24))</f>
        <v/>
      </c>
      <c r="Z61">
        <f>IF(COUNTIF(Material_Detail!$DE:$DE,$A61)&gt;0,IF(ISNUMBER(SEARCH("[済]",INDEX(Material_Detail!$D:$DC,MATCH($A61,Material_Detail!$DE:$DE,0)+1,25))),0,IFERROR(INDEX(Material_Detail!$D:$DC,MATCH($A61,Material_Detail!$DE:$DE,0),25),0)),SUMIFS(T_Shipments[Confirmed_Qty],T_Shipments[Part Name],$A61,T_Shipments[Effective_Week],25))</f>
        <v/>
      </c>
      <c r="AA61">
        <f>IF(COUNTIF(Material_Detail!$DE:$DE,$A61)&gt;0,IF(ISNUMBER(SEARCH("[済]",INDEX(Material_Detail!$D:$DC,MATCH($A61,Material_Detail!$DE:$DE,0)+1,26))),0,IFERROR(INDEX(Material_Detail!$D:$DC,MATCH($A61,Material_Detail!$DE:$DE,0),26),0)),SUMIFS(T_Shipments[Confirmed_Qty],T_Shipments[Part Name],$A61,T_Shipments[Effective_Week],26))</f>
        <v/>
      </c>
      <c r="AB61">
        <f>IF(COUNTIF(Material_Detail!$DE:$DE,$A61)&gt;0,IF(ISNUMBER(SEARCH("[済]",INDEX(Material_Detail!$D:$DC,MATCH($A61,Material_Detail!$DE:$DE,0)+1,27))),0,IFERROR(INDEX(Material_Detail!$D:$DC,MATCH($A61,Material_Detail!$DE:$DE,0),27),0)),SUMIFS(T_Shipments[Confirmed_Qty],T_Shipments[Part Name],$A61,T_Shipments[Effective_Week],27))</f>
        <v/>
      </c>
      <c r="AC61">
        <f>IF(COUNTIF(Material_Detail!$DE:$DE,$A61)&gt;0,IF(ISNUMBER(SEARCH("[済]",INDEX(Material_Detail!$D:$DC,MATCH($A61,Material_Detail!$DE:$DE,0)+1,28))),0,IFERROR(INDEX(Material_Detail!$D:$DC,MATCH($A61,Material_Detail!$DE:$DE,0),28),0)),SUMIFS(T_Shipments[Confirmed_Qty],T_Shipments[Part Name],$A61,T_Shipments[Effective_Week],28))</f>
        <v/>
      </c>
      <c r="AD61">
        <f>IF(COUNTIF(Material_Detail!$DE:$DE,$A61)&gt;0,IF(ISNUMBER(SEARCH("[済]",INDEX(Material_Detail!$D:$DC,MATCH($A61,Material_Detail!$DE:$DE,0)+1,29))),0,IFERROR(INDEX(Material_Detail!$D:$DC,MATCH($A61,Material_Detail!$DE:$DE,0),29),0)),SUMIFS(T_Shipments[Confirmed_Qty],T_Shipments[Part Name],$A61,T_Shipments[Effective_Week],29))</f>
        <v/>
      </c>
      <c r="AE61">
        <f>IF(COUNTIF(Material_Detail!$DE:$DE,$A61)&gt;0,IF(ISNUMBER(SEARCH("[済]",INDEX(Material_Detail!$D:$DC,MATCH($A61,Material_Detail!$DE:$DE,0)+1,30))),0,IFERROR(INDEX(Material_Detail!$D:$DC,MATCH($A61,Material_Detail!$DE:$DE,0),30),0)),SUMIFS(T_Shipments[Confirmed_Qty],T_Shipments[Part Name],$A61,T_Shipments[Effective_Week],30))</f>
        <v/>
      </c>
      <c r="AF61">
        <f>IF(COUNTIF(Material_Detail!$DE:$DE,$A61)&gt;0,IF(ISNUMBER(SEARCH("[済]",INDEX(Material_Detail!$D:$DC,MATCH($A61,Material_Detail!$DE:$DE,0)+1,31))),0,IFERROR(INDEX(Material_Detail!$D:$DC,MATCH($A61,Material_Detail!$DE:$DE,0),31),0)),SUMIFS(T_Shipments[Confirmed_Qty],T_Shipments[Part Name],$A61,T_Shipments[Effective_Week],31))</f>
        <v/>
      </c>
      <c r="AG61">
        <f>IF(COUNTIF(Material_Detail!$DE:$DE,$A61)&gt;0,IF(ISNUMBER(SEARCH("[済]",INDEX(Material_Detail!$D:$DC,MATCH($A61,Material_Detail!$DE:$DE,0)+1,32))),0,IFERROR(INDEX(Material_Detail!$D:$DC,MATCH($A61,Material_Detail!$DE:$DE,0),32),0)),SUMIFS(T_Shipments[Confirmed_Qty],T_Shipments[Part Name],$A61,T_Shipments[Effective_Week],32))</f>
        <v/>
      </c>
      <c r="AH61">
        <f>IF(COUNTIF(Material_Detail!$DE:$DE,$A61)&gt;0,IF(ISNUMBER(SEARCH("[済]",INDEX(Material_Detail!$D:$DC,MATCH($A61,Material_Detail!$DE:$DE,0)+1,33))),0,IFERROR(INDEX(Material_Detail!$D:$DC,MATCH($A61,Material_Detail!$DE:$DE,0),33),0)),SUMIFS(T_Shipments[Confirmed_Qty],T_Shipments[Part Name],$A61,T_Shipments[Effective_Week],33))</f>
        <v/>
      </c>
      <c r="AI61">
        <f>IF(COUNTIF(Material_Detail!$DE:$DE,$A61)&gt;0,IF(ISNUMBER(SEARCH("[済]",INDEX(Material_Detail!$D:$DC,MATCH($A61,Material_Detail!$DE:$DE,0)+1,34))),0,IFERROR(INDEX(Material_Detail!$D:$DC,MATCH($A61,Material_Detail!$DE:$DE,0),34),0)),SUMIFS(T_Shipments[Confirmed_Qty],T_Shipments[Part Name],$A61,T_Shipments[Effective_Week],34))</f>
        <v/>
      </c>
      <c r="AJ61">
        <f>IF(COUNTIF(Material_Detail!$DE:$DE,$A61)&gt;0,IF(ISNUMBER(SEARCH("[済]",INDEX(Material_Detail!$D:$DC,MATCH($A61,Material_Detail!$DE:$DE,0)+1,35))),0,IFERROR(INDEX(Material_Detail!$D:$DC,MATCH($A61,Material_Detail!$DE:$DE,0),35),0)),SUMIFS(T_Shipments[Confirmed_Qty],T_Shipments[Part Name],$A61,T_Shipments[Effective_Week],35))</f>
        <v/>
      </c>
      <c r="AK61">
        <f>IF(COUNTIF(Material_Detail!$DE:$DE,$A61)&gt;0,IF(ISNUMBER(SEARCH("[済]",INDEX(Material_Detail!$D:$DC,MATCH($A61,Material_Detail!$DE:$DE,0)+1,36))),0,IFERROR(INDEX(Material_Detail!$D:$DC,MATCH($A61,Material_Detail!$DE:$DE,0),36),0)),SUMIFS(T_Shipments[Confirmed_Qty],T_Shipments[Part Name],$A61,T_Shipments[Effective_Week],36))</f>
        <v/>
      </c>
      <c r="AL61">
        <f>IF(COUNTIF(Material_Detail!$DE:$DE,$A61)&gt;0,IF(ISNUMBER(SEARCH("[済]",INDEX(Material_Detail!$D:$DC,MATCH($A61,Material_Detail!$DE:$DE,0)+1,37))),0,IFERROR(INDEX(Material_Detail!$D:$DC,MATCH($A61,Material_Detail!$DE:$DE,0),37),0)),SUMIFS(T_Shipments[Confirmed_Qty],T_Shipments[Part Name],$A61,T_Shipments[Effective_Week],37))</f>
        <v/>
      </c>
      <c r="AM61">
        <f>IF(COUNTIF(Material_Detail!$DE:$DE,$A61)&gt;0,IF(ISNUMBER(SEARCH("[済]",INDEX(Material_Detail!$D:$DC,MATCH($A61,Material_Detail!$DE:$DE,0)+1,38))),0,IFERROR(INDEX(Material_Detail!$D:$DC,MATCH($A61,Material_Detail!$DE:$DE,0),38),0)),SUMIFS(T_Shipments[Confirmed_Qty],T_Shipments[Part Name],$A61,T_Shipments[Effective_Week],38))</f>
        <v/>
      </c>
      <c r="AN61">
        <f>IF(COUNTIF(Material_Detail!$DE:$DE,$A61)&gt;0,IF(ISNUMBER(SEARCH("[済]",INDEX(Material_Detail!$D:$DC,MATCH($A61,Material_Detail!$DE:$DE,0)+1,39))),0,IFERROR(INDEX(Material_Detail!$D:$DC,MATCH($A61,Material_Detail!$DE:$DE,0),39),0)),SUMIFS(T_Shipments[Confirmed_Qty],T_Shipments[Part Name],$A61,T_Shipments[Effective_Week],39))</f>
        <v/>
      </c>
      <c r="AO61">
        <f>IF(COUNTIF(Material_Detail!$DE:$DE,$A61)&gt;0,IF(ISNUMBER(SEARCH("[済]",INDEX(Material_Detail!$D:$DC,MATCH($A61,Material_Detail!$DE:$DE,0)+1,40))),0,IFERROR(INDEX(Material_Detail!$D:$DC,MATCH($A61,Material_Detail!$DE:$DE,0),40),0)),SUMIFS(T_Shipments[Confirmed_Qty],T_Shipments[Part Name],$A61,T_Shipments[Effective_Week],40))</f>
        <v/>
      </c>
      <c r="AP61">
        <f>IF(COUNTIF(Material_Detail!$DE:$DE,$A61)&gt;0,IF(ISNUMBER(SEARCH("[済]",INDEX(Material_Detail!$D:$DC,MATCH($A61,Material_Detail!$DE:$DE,0)+1,41))),0,IFERROR(INDEX(Material_Detail!$D:$DC,MATCH($A61,Material_Detail!$DE:$DE,0),41),0)),SUMIFS(T_Shipments[Confirmed_Qty],T_Shipments[Part Name],$A61,T_Shipments[Effective_Week],41))</f>
        <v/>
      </c>
      <c r="AQ61">
        <f>IF(COUNTIF(Material_Detail!$DE:$DE,$A61)&gt;0,IF(ISNUMBER(SEARCH("[済]",INDEX(Material_Detail!$D:$DC,MATCH($A61,Material_Detail!$DE:$DE,0)+1,42))),0,IFERROR(INDEX(Material_Detail!$D:$DC,MATCH($A61,Material_Detail!$DE:$DE,0),42),0)),SUMIFS(T_Shipments[Confirmed_Qty],T_Shipments[Part Name],$A61,T_Shipments[Effective_Week],42))</f>
        <v/>
      </c>
      <c r="AR61">
        <f>IF(COUNTIF(Material_Detail!$DE:$DE,$A61)&gt;0,IF(ISNUMBER(SEARCH("[済]",INDEX(Material_Detail!$D:$DC,MATCH($A61,Material_Detail!$DE:$DE,0)+1,43))),0,IFERROR(INDEX(Material_Detail!$D:$DC,MATCH($A61,Material_Detail!$DE:$DE,0),43),0)),SUMIFS(T_Shipments[Confirmed_Qty],T_Shipments[Part Name],$A61,T_Shipments[Effective_Week],43))</f>
        <v/>
      </c>
      <c r="AS61">
        <f>IF(COUNTIF(Material_Detail!$DE:$DE,$A61)&gt;0,IF(ISNUMBER(SEARCH("[済]",INDEX(Material_Detail!$D:$DC,MATCH($A61,Material_Detail!$DE:$DE,0)+1,44))),0,IFERROR(INDEX(Material_Detail!$D:$DC,MATCH($A61,Material_Detail!$DE:$DE,0),44),0)),SUMIFS(T_Shipments[Confirmed_Qty],T_Shipments[Part Name],$A61,T_Shipments[Effective_Week],44))</f>
        <v/>
      </c>
      <c r="AT61">
        <f>IF(COUNTIF(Material_Detail!$DE:$DE,$A61)&gt;0,IF(ISNUMBER(SEARCH("[済]",INDEX(Material_Detail!$D:$DC,MATCH($A61,Material_Detail!$DE:$DE,0)+1,45))),0,IFERROR(INDEX(Material_Detail!$D:$DC,MATCH($A61,Material_Detail!$DE:$DE,0),45),0)),SUMIFS(T_Shipments[Confirmed_Qty],T_Shipments[Part Name],$A61,T_Shipments[Effective_Week],45))</f>
        <v/>
      </c>
      <c r="AU61">
        <f>IF(COUNTIF(Material_Detail!$DE:$DE,$A61)&gt;0,IF(ISNUMBER(SEARCH("[済]",INDEX(Material_Detail!$D:$DC,MATCH($A61,Material_Detail!$DE:$DE,0)+1,46))),0,IFERROR(INDEX(Material_Detail!$D:$DC,MATCH($A61,Material_Detail!$DE:$DE,0),46),0)),SUMIFS(T_Shipments[Confirmed_Qty],T_Shipments[Part Name],$A61,T_Shipments[Effective_Week],46))</f>
        <v/>
      </c>
      <c r="AV61">
        <f>IF(COUNTIF(Material_Detail!$DE:$DE,$A61)&gt;0,IF(ISNUMBER(SEARCH("[済]",INDEX(Material_Detail!$D:$DC,MATCH($A61,Material_Detail!$DE:$DE,0)+1,47))),0,IFERROR(INDEX(Material_Detail!$D:$DC,MATCH($A61,Material_Detail!$DE:$DE,0),47),0)),SUMIFS(T_Shipments[Confirmed_Qty],T_Shipments[Part Name],$A61,T_Shipments[Effective_Week],47))</f>
        <v/>
      </c>
      <c r="AW61">
        <f>IF(COUNTIF(Material_Detail!$DE:$DE,$A61)&gt;0,IF(ISNUMBER(SEARCH("[済]",INDEX(Material_Detail!$D:$DC,MATCH($A61,Material_Detail!$DE:$DE,0)+1,48))),0,IFERROR(INDEX(Material_Detail!$D:$DC,MATCH($A61,Material_Detail!$DE:$DE,0),48),0)),SUMIFS(T_Shipments[Confirmed_Qty],T_Shipments[Part Name],$A61,T_Shipments[Effective_Week],48))</f>
        <v/>
      </c>
      <c r="AX61">
        <f>IF(COUNTIF(Material_Detail!$DE:$DE,$A61)&gt;0,IF(ISNUMBER(SEARCH("[済]",INDEX(Material_Detail!$D:$DC,MATCH($A61,Material_Detail!$DE:$DE,0)+1,49))),0,IFERROR(INDEX(Material_Detail!$D:$DC,MATCH($A61,Material_Detail!$DE:$DE,0),49),0)),SUMIFS(T_Shipments[Confirmed_Qty],T_Shipments[Part Name],$A61,T_Shipments[Effective_Week],49))</f>
        <v/>
      </c>
      <c r="AY61">
        <f>IF(COUNTIF(Material_Detail!$DE:$DE,$A61)&gt;0,IF(ISNUMBER(SEARCH("[済]",INDEX(Material_Detail!$D:$DC,MATCH($A61,Material_Detail!$DE:$DE,0)+1,50))),0,IFERROR(INDEX(Material_Detail!$D:$DC,MATCH($A61,Material_Detail!$DE:$DE,0),50),0)),SUMIFS(T_Shipments[Confirmed_Qty],T_Shipments[Part Name],$A61,T_Shipments[Effective_Week],50))</f>
        <v/>
      </c>
      <c r="AZ61">
        <f>IF(COUNTIF(Material_Detail!$DE:$DE,$A61)&gt;0,IF(ISNUMBER(SEARCH("[済]",INDEX(Material_Detail!$D:$DC,MATCH($A61,Material_Detail!$DE:$DE,0)+1,51))),0,IFERROR(INDEX(Material_Detail!$D:$DC,MATCH($A61,Material_Detail!$DE:$DE,0),51),0)),SUMIFS(T_Shipments[Confirmed_Qty],T_Shipments[Part Name],$A61,T_Shipments[Effective_Week],51))</f>
        <v/>
      </c>
      <c r="BA61">
        <f>IF(COUNTIF(Material_Detail!$DE:$DE,$A61)&gt;0,IF(ISNUMBER(SEARCH("[済]",INDEX(Material_Detail!$D:$DC,MATCH($A61,Material_Detail!$DE:$DE,0)+1,52))),0,IFERROR(INDEX(Material_Detail!$D:$DC,MATCH($A61,Material_Detail!$DE:$DE,0),52),0)),SUMIFS(T_Shipments[Confirmed_Qty],T_Shipments[Part Name],$A61,T_Shipments[Effective_Week],52))</f>
        <v/>
      </c>
      <c r="BB61">
        <f>IF(COUNTIF(Material_Detail!$DE:$DE,$A61)&gt;0,IF(ISNUMBER(SEARCH("[済]",INDEX(Material_Detail!$D:$DC,MATCH($A61,Material_Detail!$DE:$DE,0)+1,53))),0,IFERROR(INDEX(Material_Detail!$D:$DC,MATCH($A61,Material_Detail!$DE:$DE,0),53),0)),SUMIFS(T_Shipments[Confirmed_Qty],T_Shipments[Part Name],$A61,T_Shipments[Effective_Week],53))</f>
        <v/>
      </c>
      <c r="BC61">
        <f>IF(COUNTIF(Material_Detail!$DE:$DE,$A61)&gt;0,IF(ISNUMBER(SEARCH("[済]",INDEX(Material_Detail!$D:$DC,MATCH($A61,Material_Detail!$DE:$DE,0)+1,54))),0,IFERROR(INDEX(Material_Detail!$D:$DC,MATCH($A61,Material_Detail!$DE:$DE,0),54),0)),SUMIFS(T_Shipments[Confirmed_Qty],T_Shipments[Part Name],$A61,T_Shipments[Effective_Week],54))</f>
        <v/>
      </c>
      <c r="BD61">
        <f>IF(COUNTIF(Material_Detail!$DE:$DE,$A61)&gt;0,IF(ISNUMBER(SEARCH("[済]",INDEX(Material_Detail!$D:$DC,MATCH($A61,Material_Detail!$DE:$DE,0)+1,55))),0,IFERROR(INDEX(Material_Detail!$D:$DC,MATCH($A61,Material_Detail!$DE:$DE,0),55),0)),SUMIFS(T_Shipments[Confirmed_Qty],T_Shipments[Part Name],$A61,T_Shipments[Effective_Week],55))</f>
        <v/>
      </c>
      <c r="BE61">
        <f>IF(COUNTIF(Material_Detail!$DE:$DE,$A61)&gt;0,IF(ISNUMBER(SEARCH("[済]",INDEX(Material_Detail!$D:$DC,MATCH($A61,Material_Detail!$DE:$DE,0)+1,56))),0,IFERROR(INDEX(Material_Detail!$D:$DC,MATCH($A61,Material_Detail!$DE:$DE,0),56),0)),SUMIFS(T_Shipments[Confirmed_Qty],T_Shipments[Part Name],$A61,T_Shipments[Effective_Week],56))</f>
        <v/>
      </c>
      <c r="BF61">
        <f>IF(COUNTIF(Material_Detail!$DE:$DE,$A61)&gt;0,IF(ISNUMBER(SEARCH("[済]",INDEX(Material_Detail!$D:$DC,MATCH($A61,Material_Detail!$DE:$DE,0)+1,57))),0,IFERROR(INDEX(Material_Detail!$D:$DC,MATCH($A61,Material_Detail!$DE:$DE,0),57),0)),SUMIFS(T_Shipments[Confirmed_Qty],T_Shipments[Part Name],$A61,T_Shipments[Effective_Week],57))</f>
        <v/>
      </c>
      <c r="BG61">
        <f>IF(COUNTIF(Material_Detail!$DE:$DE,$A61)&gt;0,IF(ISNUMBER(SEARCH("[済]",INDEX(Material_Detail!$D:$DC,MATCH($A61,Material_Detail!$DE:$DE,0)+1,58))),0,IFERROR(INDEX(Material_Detail!$D:$DC,MATCH($A61,Material_Detail!$DE:$DE,0),58),0)),SUMIFS(T_Shipments[Confirmed_Qty],T_Shipments[Part Name],$A61,T_Shipments[Effective_Week],58))</f>
        <v/>
      </c>
      <c r="BH61">
        <f>IF(COUNTIF(Material_Detail!$DE:$DE,$A61)&gt;0,IF(ISNUMBER(SEARCH("[済]",INDEX(Material_Detail!$D:$DC,MATCH($A61,Material_Detail!$DE:$DE,0)+1,59))),0,IFERROR(INDEX(Material_Detail!$D:$DC,MATCH($A61,Material_Detail!$DE:$DE,0),59),0)),SUMIFS(T_Shipments[Confirmed_Qty],T_Shipments[Part Name],$A61,T_Shipments[Effective_Week],59))</f>
        <v/>
      </c>
      <c r="BI61">
        <f>IF(COUNTIF(Material_Detail!$DE:$DE,$A61)&gt;0,IF(ISNUMBER(SEARCH("[済]",INDEX(Material_Detail!$D:$DC,MATCH($A61,Material_Detail!$DE:$DE,0)+1,60))),0,IFERROR(INDEX(Material_Detail!$D:$DC,MATCH($A61,Material_Detail!$DE:$DE,0),60),0)),SUMIFS(T_Shipments[Confirmed_Qty],T_Shipments[Part Name],$A61,T_Shipments[Effective_Week],60))</f>
        <v/>
      </c>
      <c r="BJ61">
        <f>IF(COUNTIF(Material_Detail!$DE:$DE,$A61)&gt;0,IF(ISNUMBER(SEARCH("[済]",INDEX(Material_Detail!$D:$DC,MATCH($A61,Material_Detail!$DE:$DE,0)+1,61))),0,IFERROR(INDEX(Material_Detail!$D:$DC,MATCH($A61,Material_Detail!$DE:$DE,0),61),0)),SUMIFS(T_Shipments[Confirmed_Qty],T_Shipments[Part Name],$A61,T_Shipments[Effective_Week],61))</f>
        <v/>
      </c>
      <c r="BK61">
        <f>IF(COUNTIF(Material_Detail!$DE:$DE,$A61)&gt;0,IF(ISNUMBER(SEARCH("[済]",INDEX(Material_Detail!$D:$DC,MATCH($A61,Material_Detail!$DE:$DE,0)+1,62))),0,IFERROR(INDEX(Material_Detail!$D:$DC,MATCH($A61,Material_Detail!$DE:$DE,0),62),0)),SUMIFS(T_Shipments[Confirmed_Qty],T_Shipments[Part Name],$A61,T_Shipments[Effective_Week],62))</f>
        <v/>
      </c>
      <c r="BL61">
        <f>IF(COUNTIF(Material_Detail!$DE:$DE,$A61)&gt;0,IF(ISNUMBER(SEARCH("[済]",INDEX(Material_Detail!$D:$DC,MATCH($A61,Material_Detail!$DE:$DE,0)+1,63))),0,IFERROR(INDEX(Material_Detail!$D:$DC,MATCH($A61,Material_Detail!$DE:$DE,0),63),0)),SUMIFS(T_Shipments[Confirmed_Qty],T_Shipments[Part Name],$A61,T_Shipments[Effective_Week],63))</f>
        <v/>
      </c>
      <c r="BM61">
        <f>IF(COUNTIF(Material_Detail!$DE:$DE,$A61)&gt;0,IF(ISNUMBER(SEARCH("[済]",INDEX(Material_Detail!$D:$DC,MATCH($A61,Material_Detail!$DE:$DE,0)+1,64))),0,IFERROR(INDEX(Material_Detail!$D:$DC,MATCH($A61,Material_Detail!$DE:$DE,0),64),0)),SUMIFS(T_Shipments[Confirmed_Qty],T_Shipments[Part Name],$A61,T_Shipments[Effective_Week],64))</f>
        <v/>
      </c>
      <c r="BN61">
        <f>IF(COUNTIF(Material_Detail!$DE:$DE,$A61)&gt;0,IF(ISNUMBER(SEARCH("[済]",INDEX(Material_Detail!$D:$DC,MATCH($A61,Material_Detail!$DE:$DE,0)+1,65))),0,IFERROR(INDEX(Material_Detail!$D:$DC,MATCH($A61,Material_Detail!$DE:$DE,0),65),0)),SUMIFS(T_Shipments[Confirmed_Qty],T_Shipments[Part Name],$A61,T_Shipments[Effective_Week],65))</f>
        <v/>
      </c>
      <c r="BO61">
        <f>IF(COUNTIF(Material_Detail!$DE:$DE,$A61)&gt;0,IF(ISNUMBER(SEARCH("[済]",INDEX(Material_Detail!$D:$DC,MATCH($A61,Material_Detail!$DE:$DE,0)+1,66))),0,IFERROR(INDEX(Material_Detail!$D:$DC,MATCH($A61,Material_Detail!$DE:$DE,0),66),0)),SUMIFS(T_Shipments[Confirmed_Qty],T_Shipments[Part Name],$A61,T_Shipments[Effective_Week],66))</f>
        <v/>
      </c>
      <c r="BP61">
        <f>IF(COUNTIF(Material_Detail!$DE:$DE,$A61)&gt;0,IF(ISNUMBER(SEARCH("[済]",INDEX(Material_Detail!$D:$DC,MATCH($A61,Material_Detail!$DE:$DE,0)+1,67))),0,IFERROR(INDEX(Material_Detail!$D:$DC,MATCH($A61,Material_Detail!$DE:$DE,0),67),0)),SUMIFS(T_Shipments[Confirmed_Qty],T_Shipments[Part Name],$A61,T_Shipments[Effective_Week],67))</f>
        <v/>
      </c>
      <c r="BQ61">
        <f>IF(COUNTIF(Material_Detail!$DE:$DE,$A61)&gt;0,IF(ISNUMBER(SEARCH("[済]",INDEX(Material_Detail!$D:$DC,MATCH($A61,Material_Detail!$DE:$DE,0)+1,68))),0,IFERROR(INDEX(Material_Detail!$D:$DC,MATCH($A61,Material_Detail!$DE:$DE,0),68),0)),SUMIFS(T_Shipments[Confirmed_Qty],T_Shipments[Part Name],$A61,T_Shipments[Effective_Week],68))</f>
        <v/>
      </c>
      <c r="BR61">
        <f>IF(COUNTIF(Material_Detail!$DE:$DE,$A61)&gt;0,IF(ISNUMBER(SEARCH("[済]",INDEX(Material_Detail!$D:$DC,MATCH($A61,Material_Detail!$DE:$DE,0)+1,69))),0,IFERROR(INDEX(Material_Detail!$D:$DC,MATCH($A61,Material_Detail!$DE:$DE,0),69),0)),SUMIFS(T_Shipments[Confirmed_Qty],T_Shipments[Part Name],$A61,T_Shipments[Effective_Week],69))</f>
        <v/>
      </c>
      <c r="BS61">
        <f>IF(COUNTIF(Material_Detail!$DE:$DE,$A61)&gt;0,IF(ISNUMBER(SEARCH("[済]",INDEX(Material_Detail!$D:$DC,MATCH($A61,Material_Detail!$DE:$DE,0)+1,70))),0,IFERROR(INDEX(Material_Detail!$D:$DC,MATCH($A61,Material_Detail!$DE:$DE,0),70),0)),SUMIFS(T_Shipments[Confirmed_Qty],T_Shipments[Part Name],$A61,T_Shipments[Effective_Week],70))</f>
        <v/>
      </c>
      <c r="BT61">
        <f>IF(COUNTIF(Material_Detail!$DE:$DE,$A61)&gt;0,IF(ISNUMBER(SEARCH("[済]",INDEX(Material_Detail!$D:$DC,MATCH($A61,Material_Detail!$DE:$DE,0)+1,71))),0,IFERROR(INDEX(Material_Detail!$D:$DC,MATCH($A61,Material_Detail!$DE:$DE,0),71),0)),SUMIFS(T_Shipments[Confirmed_Qty],T_Shipments[Part Name],$A61,T_Shipments[Effective_Week],71))</f>
        <v/>
      </c>
      <c r="BU61">
        <f>IF(COUNTIF(Material_Detail!$DE:$DE,$A61)&gt;0,IF(ISNUMBER(SEARCH("[済]",INDEX(Material_Detail!$D:$DC,MATCH($A61,Material_Detail!$DE:$DE,0)+1,72))),0,IFERROR(INDEX(Material_Detail!$D:$DC,MATCH($A61,Material_Detail!$DE:$DE,0),72),0)),SUMIFS(T_Shipments[Confirmed_Qty],T_Shipments[Part Name],$A61,T_Shipments[Effective_Week],72))</f>
        <v/>
      </c>
      <c r="BV61">
        <f>IF(COUNTIF(Material_Detail!$DE:$DE,$A61)&gt;0,IF(ISNUMBER(SEARCH("[済]",INDEX(Material_Detail!$D:$DC,MATCH($A61,Material_Detail!$DE:$DE,0)+1,73))),0,IFERROR(INDEX(Material_Detail!$D:$DC,MATCH($A61,Material_Detail!$DE:$DE,0),73),0)),SUMIFS(T_Shipments[Confirmed_Qty],T_Shipments[Part Name],$A61,T_Shipments[Effective_Week],73))</f>
        <v/>
      </c>
      <c r="BW61">
        <f>IF(COUNTIF(Material_Detail!$DE:$DE,$A61)&gt;0,IF(ISNUMBER(SEARCH("[済]",INDEX(Material_Detail!$D:$DC,MATCH($A61,Material_Detail!$DE:$DE,0)+1,74))),0,IFERROR(INDEX(Material_Detail!$D:$DC,MATCH($A61,Material_Detail!$DE:$DE,0),74),0)),SUMIFS(T_Shipments[Confirmed_Qty],T_Shipments[Part Name],$A61,T_Shipments[Effective_Week],74))</f>
        <v/>
      </c>
      <c r="BX61">
        <f>IF(COUNTIF(Material_Detail!$DE:$DE,$A61)&gt;0,IF(ISNUMBER(SEARCH("[済]",INDEX(Material_Detail!$D:$DC,MATCH($A61,Material_Detail!$DE:$DE,0)+1,75))),0,IFERROR(INDEX(Material_Detail!$D:$DC,MATCH($A61,Material_Detail!$DE:$DE,0),75),0)),SUMIFS(T_Shipments[Confirmed_Qty],T_Shipments[Part Name],$A61,T_Shipments[Effective_Week],75))</f>
        <v/>
      </c>
      <c r="BY61">
        <f>IF(COUNTIF(Material_Detail!$DE:$DE,$A61)&gt;0,IF(ISNUMBER(SEARCH("[済]",INDEX(Material_Detail!$D:$DC,MATCH($A61,Material_Detail!$DE:$DE,0)+1,76))),0,IFERROR(INDEX(Material_Detail!$D:$DC,MATCH($A61,Material_Detail!$DE:$DE,0),76),0)),SUMIFS(T_Shipments[Confirmed_Qty],T_Shipments[Part Name],$A61,T_Shipments[Effective_Week],76))</f>
        <v/>
      </c>
      <c r="BZ61">
        <f>IF(COUNTIF(Material_Detail!$DE:$DE,$A61)&gt;0,IF(ISNUMBER(SEARCH("[済]",INDEX(Material_Detail!$D:$DC,MATCH($A61,Material_Detail!$DE:$DE,0)+1,77))),0,IFERROR(INDEX(Material_Detail!$D:$DC,MATCH($A61,Material_Detail!$DE:$DE,0),77),0)),SUMIFS(T_Shipments[Confirmed_Qty],T_Shipments[Part Name],$A61,T_Shipments[Effective_Week],77))</f>
        <v/>
      </c>
      <c r="CA61">
        <f>IF(COUNTIF(Material_Detail!$DE:$DE,$A61)&gt;0,IF(ISNUMBER(SEARCH("[済]",INDEX(Material_Detail!$D:$DC,MATCH($A61,Material_Detail!$DE:$DE,0)+1,78))),0,IFERROR(INDEX(Material_Detail!$D:$DC,MATCH($A61,Material_Detail!$DE:$DE,0),78),0)),SUMIFS(T_Shipments[Confirmed_Qty],T_Shipments[Part Name],$A61,T_Shipments[Effective_Week],78))</f>
        <v/>
      </c>
      <c r="CB61">
        <f>IF(COUNTIF(Material_Detail!$DE:$DE,$A61)&gt;0,IF(ISNUMBER(SEARCH("[済]",INDEX(Material_Detail!$D:$DC,MATCH($A61,Material_Detail!$DE:$DE,0)+1,79))),0,IFERROR(INDEX(Material_Detail!$D:$DC,MATCH($A61,Material_Detail!$DE:$DE,0),79),0)),SUMIFS(T_Shipments[Confirmed_Qty],T_Shipments[Part Name],$A61,T_Shipments[Effective_Week],79))</f>
        <v/>
      </c>
      <c r="CC61">
        <f>IF(COUNTIF(Material_Detail!$DE:$DE,$A61)&gt;0,IF(ISNUMBER(SEARCH("[済]",INDEX(Material_Detail!$D:$DC,MATCH($A61,Material_Detail!$DE:$DE,0)+1,80))),0,IFERROR(INDEX(Material_Detail!$D:$DC,MATCH($A61,Material_Detail!$DE:$DE,0),80),0)),SUMIFS(T_Shipments[Confirmed_Qty],T_Shipments[Part Name],$A61,T_Shipments[Effective_Week],80))</f>
        <v/>
      </c>
      <c r="CD61">
        <f>IF(COUNTIF(Material_Detail!$DE:$DE,$A61)&gt;0,IF(ISNUMBER(SEARCH("[済]",INDEX(Material_Detail!$D:$DC,MATCH($A61,Material_Detail!$DE:$DE,0)+1,81))),0,IFERROR(INDEX(Material_Detail!$D:$DC,MATCH($A61,Material_Detail!$DE:$DE,0),81),0)),SUMIFS(T_Shipments[Confirmed_Qty],T_Shipments[Part Name],$A61,T_Shipments[Effective_Week],81))</f>
        <v/>
      </c>
      <c r="CE61">
        <f>IF(COUNTIF(Material_Detail!$DE:$DE,$A61)&gt;0,IF(ISNUMBER(SEARCH("[済]",INDEX(Material_Detail!$D:$DC,MATCH($A61,Material_Detail!$DE:$DE,0)+1,82))),0,IFERROR(INDEX(Material_Detail!$D:$DC,MATCH($A61,Material_Detail!$DE:$DE,0),82),0)),SUMIFS(T_Shipments[Confirmed_Qty],T_Shipments[Part Name],$A61,T_Shipments[Effective_Week],82))</f>
        <v/>
      </c>
      <c r="CF61">
        <f>IF(COUNTIF(Material_Detail!$DE:$DE,$A61)&gt;0,IF(ISNUMBER(SEARCH("[済]",INDEX(Material_Detail!$D:$DC,MATCH($A61,Material_Detail!$DE:$DE,0)+1,83))),0,IFERROR(INDEX(Material_Detail!$D:$DC,MATCH($A61,Material_Detail!$DE:$DE,0),83),0)),SUMIFS(T_Shipments[Confirmed_Qty],T_Shipments[Part Name],$A61,T_Shipments[Effective_Week],83))</f>
        <v/>
      </c>
      <c r="CG61">
        <f>IF(COUNTIF(Material_Detail!$DE:$DE,$A61)&gt;0,IF(ISNUMBER(SEARCH("[済]",INDEX(Material_Detail!$D:$DC,MATCH($A61,Material_Detail!$DE:$DE,0)+1,84))),0,IFERROR(INDEX(Material_Detail!$D:$DC,MATCH($A61,Material_Detail!$DE:$DE,0),84),0)),SUMIFS(T_Shipments[Confirmed_Qty],T_Shipments[Part Name],$A61,T_Shipments[Effective_Week],84))</f>
        <v/>
      </c>
      <c r="CH61">
        <f>IF(COUNTIF(Material_Detail!$DE:$DE,$A61)&gt;0,IF(ISNUMBER(SEARCH("[済]",INDEX(Material_Detail!$D:$DC,MATCH($A61,Material_Detail!$DE:$DE,0)+1,85))),0,IFERROR(INDEX(Material_Detail!$D:$DC,MATCH($A61,Material_Detail!$DE:$DE,0),85),0)),SUMIFS(T_Shipments[Confirmed_Qty],T_Shipments[Part Name],$A61,T_Shipments[Effective_Week],85))</f>
        <v/>
      </c>
      <c r="CI61">
        <f>IF(COUNTIF(Material_Detail!$DE:$DE,$A61)&gt;0,IF(ISNUMBER(SEARCH("[済]",INDEX(Material_Detail!$D:$DC,MATCH($A61,Material_Detail!$DE:$DE,0)+1,86))),0,IFERROR(INDEX(Material_Detail!$D:$DC,MATCH($A61,Material_Detail!$DE:$DE,0),86),0)),SUMIFS(T_Shipments[Confirmed_Qty],T_Shipments[Part Name],$A61,T_Shipments[Effective_Week],86))</f>
        <v/>
      </c>
      <c r="CJ61">
        <f>IF(COUNTIF(Material_Detail!$DE:$DE,$A61)&gt;0,IF(ISNUMBER(SEARCH("[済]",INDEX(Material_Detail!$D:$DC,MATCH($A61,Material_Detail!$DE:$DE,0)+1,87))),0,IFERROR(INDEX(Material_Detail!$D:$DC,MATCH($A61,Material_Detail!$DE:$DE,0),87),0)),SUMIFS(T_Shipments[Confirmed_Qty],T_Shipments[Part Name],$A61,T_Shipments[Effective_Week],87))</f>
        <v/>
      </c>
      <c r="CK61">
        <f>IF(COUNTIF(Material_Detail!$DE:$DE,$A61)&gt;0,IF(ISNUMBER(SEARCH("[済]",INDEX(Material_Detail!$D:$DC,MATCH($A61,Material_Detail!$DE:$DE,0)+1,88))),0,IFERROR(INDEX(Material_Detail!$D:$DC,MATCH($A61,Material_Detail!$DE:$DE,0),88),0)),SUMIFS(T_Shipments[Confirmed_Qty],T_Shipments[Part Name],$A61,T_Shipments[Effective_Week],88))</f>
        <v/>
      </c>
      <c r="CL61">
        <f>IF(COUNTIF(Material_Detail!$DE:$DE,$A61)&gt;0,IF(ISNUMBER(SEARCH("[済]",INDEX(Material_Detail!$D:$DC,MATCH($A61,Material_Detail!$DE:$DE,0)+1,89))),0,IFERROR(INDEX(Material_Detail!$D:$DC,MATCH($A61,Material_Detail!$DE:$DE,0),89),0)),SUMIFS(T_Shipments[Confirmed_Qty],T_Shipments[Part Name],$A61,T_Shipments[Effective_Week],89))</f>
        <v/>
      </c>
      <c r="CM61">
        <f>IF(COUNTIF(Material_Detail!$DE:$DE,$A61)&gt;0,IF(ISNUMBER(SEARCH("[済]",INDEX(Material_Detail!$D:$DC,MATCH($A61,Material_Detail!$DE:$DE,0)+1,90))),0,IFERROR(INDEX(Material_Detail!$D:$DC,MATCH($A61,Material_Detail!$DE:$DE,0),90),0)),SUMIFS(T_Shipments[Confirmed_Qty],T_Shipments[Part Name],$A61,T_Shipments[Effective_Week],90))</f>
        <v/>
      </c>
      <c r="CN61">
        <f>IF(COUNTIF(Material_Detail!$DE:$DE,$A61)&gt;0,IF(ISNUMBER(SEARCH("[済]",INDEX(Material_Detail!$D:$DC,MATCH($A61,Material_Detail!$DE:$DE,0)+1,91))),0,IFERROR(INDEX(Material_Detail!$D:$DC,MATCH($A61,Material_Detail!$DE:$DE,0),91),0)),SUMIFS(T_Shipments[Confirmed_Qty],T_Shipments[Part Name],$A61,T_Shipments[Effective_Week],91))</f>
        <v/>
      </c>
      <c r="CO61">
        <f>IF(COUNTIF(Material_Detail!$DE:$DE,$A61)&gt;0,IF(ISNUMBER(SEARCH("[済]",INDEX(Material_Detail!$D:$DC,MATCH($A61,Material_Detail!$DE:$DE,0)+1,92))),0,IFERROR(INDEX(Material_Detail!$D:$DC,MATCH($A61,Material_Detail!$DE:$DE,0),92),0)),SUMIFS(T_Shipments[Confirmed_Qty],T_Shipments[Part Name],$A61,T_Shipments[Effective_Week],92))</f>
        <v/>
      </c>
      <c r="CP61">
        <f>IF(COUNTIF(Material_Detail!$DE:$DE,$A61)&gt;0,IF(ISNUMBER(SEARCH("[済]",INDEX(Material_Detail!$D:$DC,MATCH($A61,Material_Detail!$DE:$DE,0)+1,93))),0,IFERROR(INDEX(Material_Detail!$D:$DC,MATCH($A61,Material_Detail!$DE:$DE,0),93),0)),SUMIFS(T_Shipments[Confirmed_Qty],T_Shipments[Part Name],$A61,T_Shipments[Effective_Week],93))</f>
        <v/>
      </c>
      <c r="CQ61">
        <f>IF(COUNTIF(Material_Detail!$DE:$DE,$A61)&gt;0,IF(ISNUMBER(SEARCH("[済]",INDEX(Material_Detail!$D:$DC,MATCH($A61,Material_Detail!$DE:$DE,0)+1,94))),0,IFERROR(INDEX(Material_Detail!$D:$DC,MATCH($A61,Material_Detail!$DE:$DE,0),94),0)),SUMIFS(T_Shipments[Confirmed_Qty],T_Shipments[Part Name],$A61,T_Shipments[Effective_Week],94))</f>
        <v/>
      </c>
      <c r="CR61">
        <f>IF(COUNTIF(Material_Detail!$DE:$DE,$A61)&gt;0,IF(ISNUMBER(SEARCH("[済]",INDEX(Material_Detail!$D:$DC,MATCH($A61,Material_Detail!$DE:$DE,0)+1,95))),0,IFERROR(INDEX(Material_Detail!$D:$DC,MATCH($A61,Material_Detail!$DE:$DE,0),95),0)),SUMIFS(T_Shipments[Confirmed_Qty],T_Shipments[Part Name],$A61,T_Shipments[Effective_Week],95))</f>
        <v/>
      </c>
      <c r="CS61">
        <f>IF(COUNTIF(Material_Detail!$DE:$DE,$A61)&gt;0,IF(ISNUMBER(SEARCH("[済]",INDEX(Material_Detail!$D:$DC,MATCH($A61,Material_Detail!$DE:$DE,0)+1,96))),0,IFERROR(INDEX(Material_Detail!$D:$DC,MATCH($A61,Material_Detail!$DE:$DE,0),96),0)),SUMIFS(T_Shipments[Confirmed_Qty],T_Shipments[Part Name],$A61,T_Shipments[Effective_Week],96))</f>
        <v/>
      </c>
      <c r="CT61">
        <f>IF(COUNTIF(Material_Detail!$DE:$DE,$A61)&gt;0,IF(ISNUMBER(SEARCH("[済]",INDEX(Material_Detail!$D:$DC,MATCH($A61,Material_Detail!$DE:$DE,0)+1,97))),0,IFERROR(INDEX(Material_Detail!$D:$DC,MATCH($A61,Material_Detail!$DE:$DE,0),97),0)),SUMIFS(T_Shipments[Confirmed_Qty],T_Shipments[Part Name],$A61,T_Shipments[Effective_Week],97))</f>
        <v/>
      </c>
      <c r="CU61">
        <f>IF(COUNTIF(Material_Detail!$DE:$DE,$A61)&gt;0,IF(ISNUMBER(SEARCH("[済]",INDEX(Material_Detail!$D:$DC,MATCH($A61,Material_Detail!$DE:$DE,0)+1,98))),0,IFERROR(INDEX(Material_Detail!$D:$DC,MATCH($A61,Material_Detail!$DE:$DE,0),98),0)),SUMIFS(T_Shipments[Confirmed_Qty],T_Shipments[Part Name],$A61,T_Shipments[Effective_Week],98))</f>
        <v/>
      </c>
      <c r="CV61">
        <f>IF(COUNTIF(Material_Detail!$DE:$DE,$A61)&gt;0,IF(ISNUMBER(SEARCH("[済]",INDEX(Material_Detail!$D:$DC,MATCH($A61,Material_Detail!$DE:$DE,0)+1,99))),0,IFERROR(INDEX(Material_Detail!$D:$DC,MATCH($A61,Material_Detail!$DE:$DE,0),99),0)),SUMIFS(T_Shipments[Confirmed_Qty],T_Shipments[Part Name],$A61,T_Shipments[Effective_Week],99))</f>
        <v/>
      </c>
      <c r="CW61">
        <f>IF(COUNTIF(Material_Detail!$DE:$DE,$A61)&gt;0,IF(ISNUMBER(SEARCH("[済]",INDEX(Material_Detail!$D:$DC,MATCH($A61,Material_Detail!$DE:$DE,0)+1,100))),0,IFERROR(INDEX(Material_Detail!$D:$DC,MATCH($A61,Material_Detail!$DE:$DE,0),100),0)),SUMIFS(T_Shipments[Confirmed_Qty],T_Shipments[Part Name],$A61,T_Shipments[Effective_Week],100))</f>
        <v/>
      </c>
      <c r="CX61">
        <f>IF(COUNTIF(Material_Detail!$DE:$DE,$A61)&gt;0,IF(ISNUMBER(SEARCH("[済]",INDEX(Material_Detail!$D:$DC,MATCH($A61,Material_Detail!$DE:$DE,0)+1,101))),0,IFERROR(INDEX(Material_Detail!$D:$DC,MATCH($A61,Material_Detail!$DE:$DE,0),101),0)),SUMIFS(T_Shipments[Confirmed_Qty],T_Shipments[Part Name],$A61,T_Shipments[Effective_Week],101))</f>
        <v/>
      </c>
      <c r="CY61">
        <f>IF(COUNTIF(Material_Detail!$DE:$DE,$A61)&gt;0,IF(ISNUMBER(SEARCH("[済]",INDEX(Material_Detail!$D:$DC,MATCH($A61,Material_Detail!$DE:$DE,0)+1,102))),0,IFERROR(INDEX(Material_Detail!$D:$DC,MATCH($A61,Material_Detail!$DE:$DE,0),102),0)),SUMIFS(T_Shipments[Confirmed_Qty],T_Shipments[Part Name],$A61,T_Shipments[Effective_Week],102))</f>
        <v/>
      </c>
      <c r="CZ61">
        <f>IF(COUNTIF(Material_Detail!$DE:$DE,$A61)&gt;0,IF(ISNUMBER(SEARCH("[済]",INDEX(Material_Detail!$D:$DC,MATCH($A61,Material_Detail!$DE:$DE,0)+1,103))),0,IFERROR(INDEX(Material_Detail!$D:$DC,MATCH($A61,Material_Detail!$DE:$DE,0),103),0)),SUMIFS(T_Shipments[Confirmed_Qty],T_Shipments[Part Name],$A61,T_Shipments[Effective_Week],103))</f>
        <v/>
      </c>
      <c r="DA61">
        <f>IF(COUNTIF(Material_Detail!$DE:$DE,$A61)&gt;0,IF(ISNUMBER(SEARCH("[済]",INDEX(Material_Detail!$D:$DC,MATCH($A61,Material_Detail!$DE:$DE,0)+1,104))),0,IFERROR(INDEX(Material_Detail!$D:$DC,MATCH($A61,Material_Detail!$DE:$DE,0),104),0)),SUMIFS(T_Shipments[Confirmed_Qty],T_Shipments[Part Name],$A61,T_Shipments[Effective_Week],104))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A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</cols>
  <sheetData>
    <row r="1">
      <c r="A1" s="6" t="inlineStr">
        <is>
          <t>Part Name</t>
        </is>
      </c>
      <c r="B1" s="6" t="inlineStr">
        <is>
          <t>2026-W01</t>
        </is>
      </c>
      <c r="C1" s="6" t="inlineStr">
        <is>
          <t>2026-W02</t>
        </is>
      </c>
      <c r="D1" s="6" t="inlineStr">
        <is>
          <t>2026-W03</t>
        </is>
      </c>
      <c r="E1" s="6" t="inlineStr">
        <is>
          <t>2026-W04</t>
        </is>
      </c>
      <c r="F1" s="6" t="inlineStr">
        <is>
          <t>2026-W05</t>
        </is>
      </c>
      <c r="G1" s="6" t="inlineStr">
        <is>
          <t>2026-W06</t>
        </is>
      </c>
      <c r="H1" s="6" t="inlineStr">
        <is>
          <t>2026-W07</t>
        </is>
      </c>
      <c r="I1" s="6" t="inlineStr">
        <is>
          <t>2026-W08</t>
        </is>
      </c>
      <c r="J1" s="6" t="inlineStr">
        <is>
          <t>2026-W09</t>
        </is>
      </c>
      <c r="K1" s="6" t="inlineStr">
        <is>
          <t>2026-W10</t>
        </is>
      </c>
      <c r="L1" s="6" t="inlineStr">
        <is>
          <t>2026-W11</t>
        </is>
      </c>
      <c r="M1" s="6" t="inlineStr">
        <is>
          <t>2026-W12</t>
        </is>
      </c>
      <c r="N1" s="6" t="inlineStr">
        <is>
          <t>2026-W13</t>
        </is>
      </c>
      <c r="O1" s="6" t="inlineStr">
        <is>
          <t>2026-W14</t>
        </is>
      </c>
      <c r="P1" s="6" t="inlineStr">
        <is>
          <t>2026-W15</t>
        </is>
      </c>
      <c r="Q1" s="6" t="inlineStr">
        <is>
          <t>2026-W16</t>
        </is>
      </c>
      <c r="R1" s="6" t="inlineStr">
        <is>
          <t>2026-W17</t>
        </is>
      </c>
      <c r="S1" s="6" t="inlineStr">
        <is>
          <t>2026-W18</t>
        </is>
      </c>
      <c r="T1" s="6" t="inlineStr">
        <is>
          <t>2026-W19</t>
        </is>
      </c>
      <c r="U1" s="6" t="inlineStr">
        <is>
          <t>2026-W20</t>
        </is>
      </c>
      <c r="V1" s="6" t="inlineStr">
        <is>
          <t>2026-W21</t>
        </is>
      </c>
      <c r="W1" s="6" t="inlineStr">
        <is>
          <t>2026-W22</t>
        </is>
      </c>
      <c r="X1" s="6" t="inlineStr">
        <is>
          <t>2026-W23</t>
        </is>
      </c>
      <c r="Y1" s="6" t="inlineStr">
        <is>
          <t>2026-W24</t>
        </is>
      </c>
      <c r="Z1" s="6" t="inlineStr">
        <is>
          <t>2026-W25</t>
        </is>
      </c>
      <c r="AA1" s="6" t="inlineStr">
        <is>
          <t>2026-W26</t>
        </is>
      </c>
      <c r="AB1" s="6" t="inlineStr">
        <is>
          <t>2026-W27</t>
        </is>
      </c>
      <c r="AC1" s="6" t="inlineStr">
        <is>
          <t>2026-W28</t>
        </is>
      </c>
      <c r="AD1" s="6" t="inlineStr">
        <is>
          <t>2026-W29</t>
        </is>
      </c>
      <c r="AE1" s="6" t="inlineStr">
        <is>
          <t>2026-W30</t>
        </is>
      </c>
      <c r="AF1" s="6" t="inlineStr">
        <is>
          <t>2026-W31</t>
        </is>
      </c>
      <c r="AG1" s="6" t="inlineStr">
        <is>
          <t>2026-W32</t>
        </is>
      </c>
      <c r="AH1" s="6" t="inlineStr">
        <is>
          <t>2026-W33</t>
        </is>
      </c>
      <c r="AI1" s="6" t="inlineStr">
        <is>
          <t>2026-W34</t>
        </is>
      </c>
      <c r="AJ1" s="6" t="inlineStr">
        <is>
          <t>2026-W35</t>
        </is>
      </c>
      <c r="AK1" s="6" t="inlineStr">
        <is>
          <t>2026-W36</t>
        </is>
      </c>
      <c r="AL1" s="6" t="inlineStr">
        <is>
          <t>2026-W37</t>
        </is>
      </c>
      <c r="AM1" s="6" t="inlineStr">
        <is>
          <t>2026-W38</t>
        </is>
      </c>
      <c r="AN1" s="6" t="inlineStr">
        <is>
          <t>2026-W39</t>
        </is>
      </c>
      <c r="AO1" s="6" t="inlineStr">
        <is>
          <t>2026-W40</t>
        </is>
      </c>
      <c r="AP1" s="6" t="inlineStr">
        <is>
          <t>2026-W41</t>
        </is>
      </c>
      <c r="AQ1" s="6" t="inlineStr">
        <is>
          <t>2026-W42</t>
        </is>
      </c>
      <c r="AR1" s="6" t="inlineStr">
        <is>
          <t>2026-W43</t>
        </is>
      </c>
      <c r="AS1" s="6" t="inlineStr">
        <is>
          <t>2026-W44</t>
        </is>
      </c>
      <c r="AT1" s="6" t="inlineStr">
        <is>
          <t>2026-W45</t>
        </is>
      </c>
      <c r="AU1" s="6" t="inlineStr">
        <is>
          <t>2026-W46</t>
        </is>
      </c>
      <c r="AV1" s="6" t="inlineStr">
        <is>
          <t>2026-W47</t>
        </is>
      </c>
      <c r="AW1" s="6" t="inlineStr">
        <is>
          <t>2026-W48</t>
        </is>
      </c>
      <c r="AX1" s="6" t="inlineStr">
        <is>
          <t>2026-W49</t>
        </is>
      </c>
      <c r="AY1" s="6" t="inlineStr">
        <is>
          <t>2026-W50</t>
        </is>
      </c>
      <c r="AZ1" s="6" t="inlineStr">
        <is>
          <t>2026-W51</t>
        </is>
      </c>
      <c r="BA1" s="6" t="inlineStr">
        <is>
          <t>2026-W52</t>
        </is>
      </c>
      <c r="BB1" s="6" t="inlineStr">
        <is>
          <t>2027-W01</t>
        </is>
      </c>
      <c r="BC1" s="6" t="inlineStr">
        <is>
          <t>2027-W02</t>
        </is>
      </c>
      <c r="BD1" s="6" t="inlineStr">
        <is>
          <t>2027-W03</t>
        </is>
      </c>
      <c r="BE1" s="6" t="inlineStr">
        <is>
          <t>2027-W04</t>
        </is>
      </c>
      <c r="BF1" s="6" t="inlineStr">
        <is>
          <t>2027-W05</t>
        </is>
      </c>
      <c r="BG1" s="6" t="inlineStr">
        <is>
          <t>2027-W06</t>
        </is>
      </c>
      <c r="BH1" s="6" t="inlineStr">
        <is>
          <t>2027-W07</t>
        </is>
      </c>
      <c r="BI1" s="6" t="inlineStr">
        <is>
          <t>2027-W08</t>
        </is>
      </c>
      <c r="BJ1" s="6" t="inlineStr">
        <is>
          <t>2027-W09</t>
        </is>
      </c>
      <c r="BK1" s="6" t="inlineStr">
        <is>
          <t>2027-W10</t>
        </is>
      </c>
      <c r="BL1" s="6" t="inlineStr">
        <is>
          <t>2027-W11</t>
        </is>
      </c>
      <c r="BM1" s="6" t="inlineStr">
        <is>
          <t>2027-W12</t>
        </is>
      </c>
      <c r="BN1" s="6" t="inlineStr">
        <is>
          <t>2027-W13</t>
        </is>
      </c>
      <c r="BO1" s="6" t="inlineStr">
        <is>
          <t>2027-W14</t>
        </is>
      </c>
      <c r="BP1" s="6" t="inlineStr">
        <is>
          <t>2027-W15</t>
        </is>
      </c>
      <c r="BQ1" s="6" t="inlineStr">
        <is>
          <t>2027-W16</t>
        </is>
      </c>
      <c r="BR1" s="6" t="inlineStr">
        <is>
          <t>2027-W17</t>
        </is>
      </c>
      <c r="BS1" s="6" t="inlineStr">
        <is>
          <t>2027-W18</t>
        </is>
      </c>
      <c r="BT1" s="6" t="inlineStr">
        <is>
          <t>2027-W19</t>
        </is>
      </c>
      <c r="BU1" s="6" t="inlineStr">
        <is>
          <t>2027-W20</t>
        </is>
      </c>
      <c r="BV1" s="6" t="inlineStr">
        <is>
          <t>2027-W21</t>
        </is>
      </c>
      <c r="BW1" s="6" t="inlineStr">
        <is>
          <t>2027-W22</t>
        </is>
      </c>
      <c r="BX1" s="6" t="inlineStr">
        <is>
          <t>2027-W23</t>
        </is>
      </c>
      <c r="BY1" s="6" t="inlineStr">
        <is>
          <t>2027-W24</t>
        </is>
      </c>
      <c r="BZ1" s="6" t="inlineStr">
        <is>
          <t>2027-W25</t>
        </is>
      </c>
      <c r="CA1" s="6" t="inlineStr">
        <is>
          <t>2027-W26</t>
        </is>
      </c>
      <c r="CB1" s="6" t="inlineStr">
        <is>
          <t>2027-W27</t>
        </is>
      </c>
      <c r="CC1" s="6" t="inlineStr">
        <is>
          <t>2027-W28</t>
        </is>
      </c>
      <c r="CD1" s="6" t="inlineStr">
        <is>
          <t>2027-W29</t>
        </is>
      </c>
      <c r="CE1" s="6" t="inlineStr">
        <is>
          <t>2027-W30</t>
        </is>
      </c>
      <c r="CF1" s="6" t="inlineStr">
        <is>
          <t>2027-W31</t>
        </is>
      </c>
      <c r="CG1" s="6" t="inlineStr">
        <is>
          <t>2027-W32</t>
        </is>
      </c>
      <c r="CH1" s="6" t="inlineStr">
        <is>
          <t>2027-W33</t>
        </is>
      </c>
      <c r="CI1" s="6" t="inlineStr">
        <is>
          <t>2027-W34</t>
        </is>
      </c>
      <c r="CJ1" s="6" t="inlineStr">
        <is>
          <t>2027-W35</t>
        </is>
      </c>
      <c r="CK1" s="6" t="inlineStr">
        <is>
          <t>2027-W36</t>
        </is>
      </c>
      <c r="CL1" s="6" t="inlineStr">
        <is>
          <t>2027-W37</t>
        </is>
      </c>
      <c r="CM1" s="6" t="inlineStr">
        <is>
          <t>2027-W38</t>
        </is>
      </c>
      <c r="CN1" s="6" t="inlineStr">
        <is>
          <t>2027-W39</t>
        </is>
      </c>
      <c r="CO1" s="6" t="inlineStr">
        <is>
          <t>2027-W40</t>
        </is>
      </c>
      <c r="CP1" s="6" t="inlineStr">
        <is>
          <t>2027-W41</t>
        </is>
      </c>
      <c r="CQ1" s="6" t="inlineStr">
        <is>
          <t>2027-W42</t>
        </is>
      </c>
      <c r="CR1" s="6" t="inlineStr">
        <is>
          <t>2027-W43</t>
        </is>
      </c>
      <c r="CS1" s="6" t="inlineStr">
        <is>
          <t>2027-W44</t>
        </is>
      </c>
      <c r="CT1" s="6" t="inlineStr">
        <is>
          <t>2027-W45</t>
        </is>
      </c>
      <c r="CU1" s="6" t="inlineStr">
        <is>
          <t>2027-W46</t>
        </is>
      </c>
      <c r="CV1" s="6" t="inlineStr">
        <is>
          <t>2027-W47</t>
        </is>
      </c>
      <c r="CW1" s="6" t="inlineStr">
        <is>
          <t>2027-W48</t>
        </is>
      </c>
      <c r="CX1" s="6" t="inlineStr">
        <is>
          <t>2027-W49</t>
        </is>
      </c>
      <c r="CY1" s="6" t="inlineStr">
        <is>
          <t>2027-W50</t>
        </is>
      </c>
      <c r="CZ1" s="6" t="inlineStr">
        <is>
          <t>2027-W51</t>
        </is>
      </c>
      <c r="DA1" s="6" t="inlineStr">
        <is>
          <t>2027-W52</t>
        </is>
      </c>
    </row>
    <row r="2">
      <c r="A2" t="inlineStr">
        <is>
          <t>7EP</t>
        </is>
      </c>
      <c r="B2">
        <f>IF(COUNTIFS(T_StockCount[Part Name],$A2,T_StockCount[WeekIndex],1)&gt;0,SUMIFS(T_StockCount[CountedQty],T_StockCount[Part Name],$A2,T_StockCount[WeekIndex],1),IF((('T_SelfStock'!B6&lt;&gt;""))*(('T_TTAFStock'!B6&lt;&gt;""))&gt;0,'T_SelfStock'!B6+'T_TTAFStock'!B6,IFERROR(INDEX(T_OpeningStock[Opening_Qty_要入力],MATCH($A2,T_OpeningStock[Part Name],0)),0)+'Grid_Incoming'!B2-'Grid_Requirement'!B2))</f>
        <v/>
      </c>
      <c r="C2">
        <f>IF(COUNTIFS(T_StockCount[Part Name],$A2,T_StockCount[WeekIndex],2)&gt;0,SUMIFS(T_StockCount[CountedQty],T_StockCount[Part Name],$A2,T_StockCount[WeekIndex],2),IF((('T_SelfStock'!C6&lt;&gt;""))*(('T_TTAFStock'!C6&lt;&gt;""))&gt;0,'T_SelfStock'!C6+'T_TTAFStock'!C6,B2+'Grid_Incoming'!C2-'Grid_Requirement'!C2))</f>
        <v/>
      </c>
      <c r="D2">
        <f>IF(COUNTIFS(T_StockCount[Part Name],$A2,T_StockCount[WeekIndex],3)&gt;0,SUMIFS(T_StockCount[CountedQty],T_StockCount[Part Name],$A2,T_StockCount[WeekIndex],3),IF((('T_SelfStock'!D6&lt;&gt;""))*(('T_TTAFStock'!D6&lt;&gt;""))&gt;0,'T_SelfStock'!D6+'T_TTAFStock'!D6,C2+'Grid_Incoming'!D2-'Grid_Requirement'!D2))</f>
        <v/>
      </c>
      <c r="E2">
        <f>IF(COUNTIFS(T_StockCount[Part Name],$A2,T_StockCount[WeekIndex],4)&gt;0,SUMIFS(T_StockCount[CountedQty],T_StockCount[Part Name],$A2,T_StockCount[WeekIndex],4),IF((('T_SelfStock'!E6&lt;&gt;""))*(('T_TTAFStock'!E6&lt;&gt;""))&gt;0,'T_SelfStock'!E6+'T_TTAFStock'!E6,D2+'Grid_Incoming'!E2-'Grid_Requirement'!E2))</f>
        <v/>
      </c>
      <c r="F2">
        <f>IF(COUNTIFS(T_StockCount[Part Name],$A2,T_StockCount[WeekIndex],5)&gt;0,SUMIFS(T_StockCount[CountedQty],T_StockCount[Part Name],$A2,T_StockCount[WeekIndex],5),IF((('T_SelfStock'!F6&lt;&gt;""))*(('T_TTAFStock'!F6&lt;&gt;""))&gt;0,'T_SelfStock'!F6+'T_TTAFStock'!F6,E2+'Grid_Incoming'!F2-'Grid_Requirement'!F2))</f>
        <v/>
      </c>
      <c r="G2">
        <f>IF(COUNTIFS(T_StockCount[Part Name],$A2,T_StockCount[WeekIndex],6)&gt;0,SUMIFS(T_StockCount[CountedQty],T_StockCount[Part Name],$A2,T_StockCount[WeekIndex],6),IF((('T_SelfStock'!G6&lt;&gt;""))*(('T_TTAFStock'!G6&lt;&gt;""))&gt;0,'T_SelfStock'!G6+'T_TTAFStock'!G6,F2+'Grid_Incoming'!G2-'Grid_Requirement'!G2))</f>
        <v/>
      </c>
      <c r="H2">
        <f>IF(COUNTIFS(T_StockCount[Part Name],$A2,T_StockCount[WeekIndex],7)&gt;0,SUMIFS(T_StockCount[CountedQty],T_StockCount[Part Name],$A2,T_StockCount[WeekIndex],7),IF((('T_SelfStock'!H6&lt;&gt;""))*(('T_TTAFStock'!H6&lt;&gt;""))&gt;0,'T_SelfStock'!H6+'T_TTAFStock'!H6,G2+'Grid_Incoming'!H2-'Grid_Requirement'!H2))</f>
        <v/>
      </c>
      <c r="I2">
        <f>IF(COUNTIFS(T_StockCount[Part Name],$A2,T_StockCount[WeekIndex],8)&gt;0,SUMIFS(T_StockCount[CountedQty],T_StockCount[Part Name],$A2,T_StockCount[WeekIndex],8),IF((('T_SelfStock'!I6&lt;&gt;""))*(('T_TTAFStock'!I6&lt;&gt;""))&gt;0,'T_SelfStock'!I6+'T_TTAFStock'!I6,H2+'Grid_Incoming'!I2-'Grid_Requirement'!I2))</f>
        <v/>
      </c>
      <c r="J2">
        <f>IF(COUNTIFS(T_StockCount[Part Name],$A2,T_StockCount[WeekIndex],9)&gt;0,SUMIFS(T_StockCount[CountedQty],T_StockCount[Part Name],$A2,T_StockCount[WeekIndex],9),IF((('T_SelfStock'!J6&lt;&gt;""))*(('T_TTAFStock'!J6&lt;&gt;""))&gt;0,'T_SelfStock'!J6+'T_TTAFStock'!J6,I2+'Grid_Incoming'!J2-'Grid_Requirement'!J2))</f>
        <v/>
      </c>
      <c r="K2">
        <f>IF(COUNTIFS(T_StockCount[Part Name],$A2,T_StockCount[WeekIndex],10)&gt;0,SUMIFS(T_StockCount[CountedQty],T_StockCount[Part Name],$A2,T_StockCount[WeekIndex],10),IF((('T_SelfStock'!K6&lt;&gt;""))*(('T_TTAFStock'!K6&lt;&gt;""))&gt;0,'T_SelfStock'!K6+'T_TTAFStock'!K6,J2+'Grid_Incoming'!K2-'Grid_Requirement'!K2))</f>
        <v/>
      </c>
      <c r="L2">
        <f>IF(COUNTIFS(T_StockCount[Part Name],$A2,T_StockCount[WeekIndex],11)&gt;0,SUMIFS(T_StockCount[CountedQty],T_StockCount[Part Name],$A2,T_StockCount[WeekIndex],11),IF((('T_SelfStock'!L6&lt;&gt;""))*(('T_TTAFStock'!L6&lt;&gt;""))&gt;0,'T_SelfStock'!L6+'T_TTAFStock'!L6,K2+'Grid_Incoming'!L2-'Grid_Requirement'!L2))</f>
        <v/>
      </c>
      <c r="M2">
        <f>IF(COUNTIFS(T_StockCount[Part Name],$A2,T_StockCount[WeekIndex],12)&gt;0,SUMIFS(T_StockCount[CountedQty],T_StockCount[Part Name],$A2,T_StockCount[WeekIndex],12),IF((('T_SelfStock'!M6&lt;&gt;""))*(('T_TTAFStock'!M6&lt;&gt;""))&gt;0,'T_SelfStock'!M6+'T_TTAFStock'!M6,L2+'Grid_Incoming'!M2-'Grid_Requirement'!M2))</f>
        <v/>
      </c>
      <c r="N2">
        <f>IF(COUNTIFS(T_StockCount[Part Name],$A2,T_StockCount[WeekIndex],13)&gt;0,SUMIFS(T_StockCount[CountedQty],T_StockCount[Part Name],$A2,T_StockCount[WeekIndex],13),IF((('T_SelfStock'!N6&lt;&gt;""))*(('T_TTAFStock'!N6&lt;&gt;""))&gt;0,'T_SelfStock'!N6+'T_TTAFStock'!N6,M2+'Grid_Incoming'!N2-'Grid_Requirement'!N2))</f>
        <v/>
      </c>
      <c r="O2">
        <f>IF(COUNTIFS(T_StockCount[Part Name],$A2,T_StockCount[WeekIndex],14)&gt;0,SUMIFS(T_StockCount[CountedQty],T_StockCount[Part Name],$A2,T_StockCount[WeekIndex],14),IF((('T_SelfStock'!O6&lt;&gt;""))*(('T_TTAFStock'!O6&lt;&gt;""))&gt;0,'T_SelfStock'!O6+'T_TTAFStock'!O6,N2+'Grid_Incoming'!O2-'Grid_Requirement'!O2))</f>
        <v/>
      </c>
      <c r="P2">
        <f>IF(COUNTIFS(T_StockCount[Part Name],$A2,T_StockCount[WeekIndex],15)&gt;0,SUMIFS(T_StockCount[CountedQty],T_StockCount[Part Name],$A2,T_StockCount[WeekIndex],15),IF((('T_SelfStock'!P6&lt;&gt;""))*(('T_TTAFStock'!P6&lt;&gt;""))&gt;0,'T_SelfStock'!P6+'T_TTAFStock'!P6,O2+'Grid_Incoming'!P2-'Grid_Requirement'!P2))</f>
        <v/>
      </c>
      <c r="Q2">
        <f>IF(COUNTIFS(T_StockCount[Part Name],$A2,T_StockCount[WeekIndex],16)&gt;0,SUMIFS(T_StockCount[CountedQty],T_StockCount[Part Name],$A2,T_StockCount[WeekIndex],16),IF((('T_SelfStock'!Q6&lt;&gt;""))*(('T_TTAFStock'!Q6&lt;&gt;""))&gt;0,'T_SelfStock'!Q6+'T_TTAFStock'!Q6,P2+'Grid_Incoming'!Q2-'Grid_Requirement'!Q2))</f>
        <v/>
      </c>
      <c r="R2">
        <f>IF(COUNTIFS(T_StockCount[Part Name],$A2,T_StockCount[WeekIndex],17)&gt;0,SUMIFS(T_StockCount[CountedQty],T_StockCount[Part Name],$A2,T_StockCount[WeekIndex],17),IF((('T_SelfStock'!R6&lt;&gt;""))*(('T_TTAFStock'!R6&lt;&gt;""))&gt;0,'T_SelfStock'!R6+'T_TTAFStock'!R6,Q2+'Grid_Incoming'!R2-'Grid_Requirement'!R2))</f>
        <v/>
      </c>
      <c r="S2">
        <f>IF(COUNTIFS(T_StockCount[Part Name],$A2,T_StockCount[WeekIndex],18)&gt;0,SUMIFS(T_StockCount[CountedQty],T_StockCount[Part Name],$A2,T_StockCount[WeekIndex],18),IF((('T_SelfStock'!S6&lt;&gt;""))*(('T_TTAFStock'!S6&lt;&gt;""))&gt;0,'T_SelfStock'!S6+'T_TTAFStock'!S6,R2+'Grid_Incoming'!S2-'Grid_Requirement'!S2))</f>
        <v/>
      </c>
      <c r="T2">
        <f>IF(COUNTIFS(T_StockCount[Part Name],$A2,T_StockCount[WeekIndex],19)&gt;0,SUMIFS(T_StockCount[CountedQty],T_StockCount[Part Name],$A2,T_StockCount[WeekIndex],19),IF((('T_SelfStock'!T6&lt;&gt;""))*(('T_TTAFStock'!T6&lt;&gt;""))&gt;0,'T_SelfStock'!T6+'T_TTAFStock'!T6,S2+'Grid_Incoming'!T2-'Grid_Requirement'!T2))</f>
        <v/>
      </c>
      <c r="U2">
        <f>IF(COUNTIFS(T_StockCount[Part Name],$A2,T_StockCount[WeekIndex],20)&gt;0,SUMIFS(T_StockCount[CountedQty],T_StockCount[Part Name],$A2,T_StockCount[WeekIndex],20),IF((('T_SelfStock'!U6&lt;&gt;""))*(('T_TTAFStock'!U6&lt;&gt;""))&gt;0,'T_SelfStock'!U6+'T_TTAFStock'!U6,T2+'Grid_Incoming'!U2-'Grid_Requirement'!U2))</f>
        <v/>
      </c>
      <c r="V2">
        <f>IF(COUNTIFS(T_StockCount[Part Name],$A2,T_StockCount[WeekIndex],21)&gt;0,SUMIFS(T_StockCount[CountedQty],T_StockCount[Part Name],$A2,T_StockCount[WeekIndex],21),IF((('T_SelfStock'!V6&lt;&gt;""))*(('T_TTAFStock'!V6&lt;&gt;""))&gt;0,'T_SelfStock'!V6+'T_TTAFStock'!V6,U2+'Grid_Incoming'!V2-'Grid_Requirement'!V2))</f>
        <v/>
      </c>
      <c r="W2">
        <f>IF(COUNTIFS(T_StockCount[Part Name],$A2,T_StockCount[WeekIndex],22)&gt;0,SUMIFS(T_StockCount[CountedQty],T_StockCount[Part Name],$A2,T_StockCount[WeekIndex],22),IF((('T_SelfStock'!W6&lt;&gt;""))*(('T_TTAFStock'!W6&lt;&gt;""))&gt;0,'T_SelfStock'!W6+'T_TTAFStock'!W6,V2+'Grid_Incoming'!W2-'Grid_Requirement'!W2))</f>
        <v/>
      </c>
      <c r="X2">
        <f>IF(COUNTIFS(T_StockCount[Part Name],$A2,T_StockCount[WeekIndex],23)&gt;0,SUMIFS(T_StockCount[CountedQty],T_StockCount[Part Name],$A2,T_StockCount[WeekIndex],23),IF((('T_SelfStock'!X6&lt;&gt;""))*(('T_TTAFStock'!X6&lt;&gt;""))&gt;0,'T_SelfStock'!X6+'T_TTAFStock'!X6,W2+'Grid_Incoming'!X2-'Grid_Requirement'!X2))</f>
        <v/>
      </c>
      <c r="Y2">
        <f>IF(COUNTIFS(T_StockCount[Part Name],$A2,T_StockCount[WeekIndex],24)&gt;0,SUMIFS(T_StockCount[CountedQty],T_StockCount[Part Name],$A2,T_StockCount[WeekIndex],24),IF((('T_SelfStock'!Y6&lt;&gt;""))*(('T_TTAFStock'!Y6&lt;&gt;""))&gt;0,'T_SelfStock'!Y6+'T_TTAFStock'!Y6,X2+'Grid_Incoming'!Y2-'Grid_Requirement'!Y2))</f>
        <v/>
      </c>
      <c r="Z2">
        <f>IF(COUNTIFS(T_StockCount[Part Name],$A2,T_StockCount[WeekIndex],25)&gt;0,SUMIFS(T_StockCount[CountedQty],T_StockCount[Part Name],$A2,T_StockCount[WeekIndex],25),IF((('T_SelfStock'!Z6&lt;&gt;""))*(('T_TTAFStock'!Z6&lt;&gt;""))&gt;0,'T_SelfStock'!Z6+'T_TTAFStock'!Z6,Y2+'Grid_Incoming'!Z2-'Grid_Requirement'!Z2))</f>
        <v/>
      </c>
      <c r="AA2">
        <f>IF(COUNTIFS(T_StockCount[Part Name],$A2,T_StockCount[WeekIndex],26)&gt;0,SUMIFS(T_StockCount[CountedQty],T_StockCount[Part Name],$A2,T_StockCount[WeekIndex],26),IF((('T_SelfStock'!AA6&lt;&gt;""))*(('T_TTAFStock'!AA6&lt;&gt;""))&gt;0,'T_SelfStock'!AA6+'T_TTAFStock'!AA6,Z2+'Grid_Incoming'!AA2-'Grid_Requirement'!AA2))</f>
        <v/>
      </c>
      <c r="AB2">
        <f>IF(COUNTIFS(T_StockCount[Part Name],$A2,T_StockCount[WeekIndex],27)&gt;0,SUMIFS(T_StockCount[CountedQty],T_StockCount[Part Name],$A2,T_StockCount[WeekIndex],27),IF((('T_SelfStock'!AB6&lt;&gt;""))*(('T_TTAFStock'!AB6&lt;&gt;""))&gt;0,'T_SelfStock'!AB6+'T_TTAFStock'!AB6,AA2+'Grid_Incoming'!AB2-'Grid_Requirement'!AB2))</f>
        <v/>
      </c>
      <c r="AC2">
        <f>IF(COUNTIFS(T_StockCount[Part Name],$A2,T_StockCount[WeekIndex],28)&gt;0,SUMIFS(T_StockCount[CountedQty],T_StockCount[Part Name],$A2,T_StockCount[WeekIndex],28),IF((('T_SelfStock'!AC6&lt;&gt;""))*(('T_TTAFStock'!AC6&lt;&gt;""))&gt;0,'T_SelfStock'!AC6+'T_TTAFStock'!AC6,AB2+'Grid_Incoming'!AC2-'Grid_Requirement'!AC2))</f>
        <v/>
      </c>
      <c r="AD2">
        <f>IF(COUNTIFS(T_StockCount[Part Name],$A2,T_StockCount[WeekIndex],29)&gt;0,SUMIFS(T_StockCount[CountedQty],T_StockCount[Part Name],$A2,T_StockCount[WeekIndex],29),IF((('T_SelfStock'!AD6&lt;&gt;""))*(('T_TTAFStock'!AD6&lt;&gt;""))&gt;0,'T_SelfStock'!AD6+'T_TTAFStock'!AD6,AC2+'Grid_Incoming'!AD2-'Grid_Requirement'!AD2))</f>
        <v/>
      </c>
      <c r="AE2">
        <f>IF(COUNTIFS(T_StockCount[Part Name],$A2,T_StockCount[WeekIndex],30)&gt;0,SUMIFS(T_StockCount[CountedQty],T_StockCount[Part Name],$A2,T_StockCount[WeekIndex],30),IF((('T_SelfStock'!AE6&lt;&gt;""))*(('T_TTAFStock'!AE6&lt;&gt;""))&gt;0,'T_SelfStock'!AE6+'T_TTAFStock'!AE6,AD2+'Grid_Incoming'!AE2-'Grid_Requirement'!AE2))</f>
        <v/>
      </c>
      <c r="AF2">
        <f>IF(COUNTIFS(T_StockCount[Part Name],$A2,T_StockCount[WeekIndex],31)&gt;0,SUMIFS(T_StockCount[CountedQty],T_StockCount[Part Name],$A2,T_StockCount[WeekIndex],31),IF((('T_SelfStock'!AF6&lt;&gt;""))*(('T_TTAFStock'!AF6&lt;&gt;""))&gt;0,'T_SelfStock'!AF6+'T_TTAFStock'!AF6,AE2+'Grid_Incoming'!AF2-'Grid_Requirement'!AF2))</f>
        <v/>
      </c>
      <c r="AG2">
        <f>IF(COUNTIFS(T_StockCount[Part Name],$A2,T_StockCount[WeekIndex],32)&gt;0,SUMIFS(T_StockCount[CountedQty],T_StockCount[Part Name],$A2,T_StockCount[WeekIndex],32),IF((('T_SelfStock'!AG6&lt;&gt;""))*(('T_TTAFStock'!AG6&lt;&gt;""))&gt;0,'T_SelfStock'!AG6+'T_TTAFStock'!AG6,AF2+'Grid_Incoming'!AG2-'Grid_Requirement'!AG2))</f>
        <v/>
      </c>
      <c r="AH2">
        <f>IF(COUNTIFS(T_StockCount[Part Name],$A2,T_StockCount[WeekIndex],33)&gt;0,SUMIFS(T_StockCount[CountedQty],T_StockCount[Part Name],$A2,T_StockCount[WeekIndex],33),IF((('T_SelfStock'!AH6&lt;&gt;""))*(('T_TTAFStock'!AH6&lt;&gt;""))&gt;0,'T_SelfStock'!AH6+'T_TTAFStock'!AH6,AG2+'Grid_Incoming'!AH2-'Grid_Requirement'!AH2))</f>
        <v/>
      </c>
      <c r="AI2">
        <f>IF(COUNTIFS(T_StockCount[Part Name],$A2,T_StockCount[WeekIndex],34)&gt;0,SUMIFS(T_StockCount[CountedQty],T_StockCount[Part Name],$A2,T_StockCount[WeekIndex],34),IF((('T_SelfStock'!AI6&lt;&gt;""))*(('T_TTAFStock'!AI6&lt;&gt;""))&gt;0,'T_SelfStock'!AI6+'T_TTAFStock'!AI6,AH2+'Grid_Incoming'!AI2-'Grid_Requirement'!AI2))</f>
        <v/>
      </c>
      <c r="AJ2">
        <f>IF(COUNTIFS(T_StockCount[Part Name],$A2,T_StockCount[WeekIndex],35)&gt;0,SUMIFS(T_StockCount[CountedQty],T_StockCount[Part Name],$A2,T_StockCount[WeekIndex],35),IF((('T_SelfStock'!AJ6&lt;&gt;""))*(('T_TTAFStock'!AJ6&lt;&gt;""))&gt;0,'T_SelfStock'!AJ6+'T_TTAFStock'!AJ6,AI2+'Grid_Incoming'!AJ2-'Grid_Requirement'!AJ2))</f>
        <v/>
      </c>
      <c r="AK2">
        <f>IF(COUNTIFS(T_StockCount[Part Name],$A2,T_StockCount[WeekIndex],36)&gt;0,SUMIFS(T_StockCount[CountedQty],T_StockCount[Part Name],$A2,T_StockCount[WeekIndex],36),IF((('T_SelfStock'!AK6&lt;&gt;""))*(('T_TTAFStock'!AK6&lt;&gt;""))&gt;0,'T_SelfStock'!AK6+'T_TTAFStock'!AK6,AJ2+'Grid_Incoming'!AK2-'Grid_Requirement'!AK2))</f>
        <v/>
      </c>
      <c r="AL2">
        <f>IF(COUNTIFS(T_StockCount[Part Name],$A2,T_StockCount[WeekIndex],37)&gt;0,SUMIFS(T_StockCount[CountedQty],T_StockCount[Part Name],$A2,T_StockCount[WeekIndex],37),IF((('T_SelfStock'!AL6&lt;&gt;""))*(('T_TTAFStock'!AL6&lt;&gt;""))&gt;0,'T_SelfStock'!AL6+'T_TTAFStock'!AL6,AK2+'Grid_Incoming'!AL2-'Grid_Requirement'!AL2))</f>
        <v/>
      </c>
      <c r="AM2">
        <f>IF(COUNTIFS(T_StockCount[Part Name],$A2,T_StockCount[WeekIndex],38)&gt;0,SUMIFS(T_StockCount[CountedQty],T_StockCount[Part Name],$A2,T_StockCount[WeekIndex],38),IF((('T_SelfStock'!AM6&lt;&gt;""))*(('T_TTAFStock'!AM6&lt;&gt;""))&gt;0,'T_SelfStock'!AM6+'T_TTAFStock'!AM6,AL2+'Grid_Incoming'!AM2-'Grid_Requirement'!AM2))</f>
        <v/>
      </c>
      <c r="AN2">
        <f>IF(COUNTIFS(T_StockCount[Part Name],$A2,T_StockCount[WeekIndex],39)&gt;0,SUMIFS(T_StockCount[CountedQty],T_StockCount[Part Name],$A2,T_StockCount[WeekIndex],39),IF((('T_SelfStock'!AN6&lt;&gt;""))*(('T_TTAFStock'!AN6&lt;&gt;""))&gt;0,'T_SelfStock'!AN6+'T_TTAFStock'!AN6,AM2+'Grid_Incoming'!AN2-'Grid_Requirement'!AN2))</f>
        <v/>
      </c>
      <c r="AO2">
        <f>IF(COUNTIFS(T_StockCount[Part Name],$A2,T_StockCount[WeekIndex],40)&gt;0,SUMIFS(T_StockCount[CountedQty],T_StockCount[Part Name],$A2,T_StockCount[WeekIndex],40),IF((('T_SelfStock'!AO6&lt;&gt;""))*(('T_TTAFStock'!AO6&lt;&gt;""))&gt;0,'T_SelfStock'!AO6+'T_TTAFStock'!AO6,AN2+'Grid_Incoming'!AO2-'Grid_Requirement'!AO2))</f>
        <v/>
      </c>
      <c r="AP2">
        <f>IF(COUNTIFS(T_StockCount[Part Name],$A2,T_StockCount[WeekIndex],41)&gt;0,SUMIFS(T_StockCount[CountedQty],T_StockCount[Part Name],$A2,T_StockCount[WeekIndex],41),IF((('T_SelfStock'!AP6&lt;&gt;""))*(('T_TTAFStock'!AP6&lt;&gt;""))&gt;0,'T_SelfStock'!AP6+'T_TTAFStock'!AP6,AO2+'Grid_Incoming'!AP2-'Grid_Requirement'!AP2))</f>
        <v/>
      </c>
      <c r="AQ2">
        <f>IF(COUNTIFS(T_StockCount[Part Name],$A2,T_StockCount[WeekIndex],42)&gt;0,SUMIFS(T_StockCount[CountedQty],T_StockCount[Part Name],$A2,T_StockCount[WeekIndex],42),IF((('T_SelfStock'!AQ6&lt;&gt;""))*(('T_TTAFStock'!AQ6&lt;&gt;""))&gt;0,'T_SelfStock'!AQ6+'T_TTAFStock'!AQ6,AP2+'Grid_Incoming'!AQ2-'Grid_Requirement'!AQ2))</f>
        <v/>
      </c>
      <c r="AR2">
        <f>IF(COUNTIFS(T_StockCount[Part Name],$A2,T_StockCount[WeekIndex],43)&gt;0,SUMIFS(T_StockCount[CountedQty],T_StockCount[Part Name],$A2,T_StockCount[WeekIndex],43),IF((('T_SelfStock'!AR6&lt;&gt;""))*(('T_TTAFStock'!AR6&lt;&gt;""))&gt;0,'T_SelfStock'!AR6+'T_TTAFStock'!AR6,AQ2+'Grid_Incoming'!AR2-'Grid_Requirement'!AR2))</f>
        <v/>
      </c>
      <c r="AS2">
        <f>IF(COUNTIFS(T_StockCount[Part Name],$A2,T_StockCount[WeekIndex],44)&gt;0,SUMIFS(T_StockCount[CountedQty],T_StockCount[Part Name],$A2,T_StockCount[WeekIndex],44),IF((('T_SelfStock'!AS6&lt;&gt;""))*(('T_TTAFStock'!AS6&lt;&gt;""))&gt;0,'T_SelfStock'!AS6+'T_TTAFStock'!AS6,AR2+'Grid_Incoming'!AS2-'Grid_Requirement'!AS2))</f>
        <v/>
      </c>
      <c r="AT2">
        <f>IF(COUNTIFS(T_StockCount[Part Name],$A2,T_StockCount[WeekIndex],45)&gt;0,SUMIFS(T_StockCount[CountedQty],T_StockCount[Part Name],$A2,T_StockCount[WeekIndex],45),IF((('T_SelfStock'!AT6&lt;&gt;""))*(('T_TTAFStock'!AT6&lt;&gt;""))&gt;0,'T_SelfStock'!AT6+'T_TTAFStock'!AT6,AS2+'Grid_Incoming'!AT2-'Grid_Requirement'!AT2))</f>
        <v/>
      </c>
      <c r="AU2">
        <f>IF(COUNTIFS(T_StockCount[Part Name],$A2,T_StockCount[WeekIndex],46)&gt;0,SUMIFS(T_StockCount[CountedQty],T_StockCount[Part Name],$A2,T_StockCount[WeekIndex],46),IF((('T_SelfStock'!AU6&lt;&gt;""))*(('T_TTAFStock'!AU6&lt;&gt;""))&gt;0,'T_SelfStock'!AU6+'T_TTAFStock'!AU6,AT2+'Grid_Incoming'!AU2-'Grid_Requirement'!AU2))</f>
        <v/>
      </c>
      <c r="AV2">
        <f>IF(COUNTIFS(T_StockCount[Part Name],$A2,T_StockCount[WeekIndex],47)&gt;0,SUMIFS(T_StockCount[CountedQty],T_StockCount[Part Name],$A2,T_StockCount[WeekIndex],47),IF((('T_SelfStock'!AV6&lt;&gt;""))*(('T_TTAFStock'!AV6&lt;&gt;""))&gt;0,'T_SelfStock'!AV6+'T_TTAFStock'!AV6,AU2+'Grid_Incoming'!AV2-'Grid_Requirement'!AV2))</f>
        <v/>
      </c>
      <c r="AW2">
        <f>IF(COUNTIFS(T_StockCount[Part Name],$A2,T_StockCount[WeekIndex],48)&gt;0,SUMIFS(T_StockCount[CountedQty],T_StockCount[Part Name],$A2,T_StockCount[WeekIndex],48),IF((('T_SelfStock'!AW6&lt;&gt;""))*(('T_TTAFStock'!AW6&lt;&gt;""))&gt;0,'T_SelfStock'!AW6+'T_TTAFStock'!AW6,AV2+'Grid_Incoming'!AW2-'Grid_Requirement'!AW2))</f>
        <v/>
      </c>
      <c r="AX2">
        <f>IF(COUNTIFS(T_StockCount[Part Name],$A2,T_StockCount[WeekIndex],49)&gt;0,SUMIFS(T_StockCount[CountedQty],T_StockCount[Part Name],$A2,T_StockCount[WeekIndex],49),IF((('T_SelfStock'!AX6&lt;&gt;""))*(('T_TTAFStock'!AX6&lt;&gt;""))&gt;0,'T_SelfStock'!AX6+'T_TTAFStock'!AX6,AW2+'Grid_Incoming'!AX2-'Grid_Requirement'!AX2))</f>
        <v/>
      </c>
      <c r="AY2">
        <f>IF(COUNTIFS(T_StockCount[Part Name],$A2,T_StockCount[WeekIndex],50)&gt;0,SUMIFS(T_StockCount[CountedQty],T_StockCount[Part Name],$A2,T_StockCount[WeekIndex],50),IF((('T_SelfStock'!AY6&lt;&gt;""))*(('T_TTAFStock'!AY6&lt;&gt;""))&gt;0,'T_SelfStock'!AY6+'T_TTAFStock'!AY6,AX2+'Grid_Incoming'!AY2-'Grid_Requirement'!AY2))</f>
        <v/>
      </c>
      <c r="AZ2">
        <f>IF(COUNTIFS(T_StockCount[Part Name],$A2,T_StockCount[WeekIndex],51)&gt;0,SUMIFS(T_StockCount[CountedQty],T_StockCount[Part Name],$A2,T_StockCount[WeekIndex],51),IF((('T_SelfStock'!AZ6&lt;&gt;""))*(('T_TTAFStock'!AZ6&lt;&gt;""))&gt;0,'T_SelfStock'!AZ6+'T_TTAFStock'!AZ6,AY2+'Grid_Incoming'!AZ2-'Grid_Requirement'!AZ2))</f>
        <v/>
      </c>
      <c r="BA2">
        <f>IF(COUNTIFS(T_StockCount[Part Name],$A2,T_StockCount[WeekIndex],52)&gt;0,SUMIFS(T_StockCount[CountedQty],T_StockCount[Part Name],$A2,T_StockCount[WeekIndex],52),IF((('T_SelfStock'!BA6&lt;&gt;""))*(('T_TTAFStock'!BA6&lt;&gt;""))&gt;0,'T_SelfStock'!BA6+'T_TTAFStock'!BA6,AZ2+'Grid_Incoming'!BA2-'Grid_Requirement'!BA2))</f>
        <v/>
      </c>
      <c r="BB2">
        <f>IF(COUNTIFS(T_StockCount[Part Name],$A2,T_StockCount[WeekIndex],53)&gt;0,SUMIFS(T_StockCount[CountedQty],T_StockCount[Part Name],$A2,T_StockCount[WeekIndex],53),IF((('T_SelfStock'!BB6&lt;&gt;""))*(('T_TTAFStock'!BB6&lt;&gt;""))&gt;0,'T_SelfStock'!BB6+'T_TTAFStock'!BB6,BA2+'Grid_Incoming'!BB2-'Grid_Requirement'!BB2))</f>
        <v/>
      </c>
      <c r="BC2">
        <f>IF(COUNTIFS(T_StockCount[Part Name],$A2,T_StockCount[WeekIndex],54)&gt;0,SUMIFS(T_StockCount[CountedQty],T_StockCount[Part Name],$A2,T_StockCount[WeekIndex],54),IF((('T_SelfStock'!BC6&lt;&gt;""))*(('T_TTAFStock'!BC6&lt;&gt;""))&gt;0,'T_SelfStock'!BC6+'T_TTAFStock'!BC6,BB2+'Grid_Incoming'!BC2-'Grid_Requirement'!BC2))</f>
        <v/>
      </c>
      <c r="BD2">
        <f>IF(COUNTIFS(T_StockCount[Part Name],$A2,T_StockCount[WeekIndex],55)&gt;0,SUMIFS(T_StockCount[CountedQty],T_StockCount[Part Name],$A2,T_StockCount[WeekIndex],55),IF((('T_SelfStock'!BD6&lt;&gt;""))*(('T_TTAFStock'!BD6&lt;&gt;""))&gt;0,'T_SelfStock'!BD6+'T_TTAFStock'!BD6,BC2+'Grid_Incoming'!BD2-'Grid_Requirement'!BD2))</f>
        <v/>
      </c>
      <c r="BE2">
        <f>IF(COUNTIFS(T_StockCount[Part Name],$A2,T_StockCount[WeekIndex],56)&gt;0,SUMIFS(T_StockCount[CountedQty],T_StockCount[Part Name],$A2,T_StockCount[WeekIndex],56),IF((('T_SelfStock'!BE6&lt;&gt;""))*(('T_TTAFStock'!BE6&lt;&gt;""))&gt;0,'T_SelfStock'!BE6+'T_TTAFStock'!BE6,BD2+'Grid_Incoming'!BE2-'Grid_Requirement'!BE2))</f>
        <v/>
      </c>
      <c r="BF2">
        <f>IF(COUNTIFS(T_StockCount[Part Name],$A2,T_StockCount[WeekIndex],57)&gt;0,SUMIFS(T_StockCount[CountedQty],T_StockCount[Part Name],$A2,T_StockCount[WeekIndex],57),IF((('T_SelfStock'!BF6&lt;&gt;""))*(('T_TTAFStock'!BF6&lt;&gt;""))&gt;0,'T_SelfStock'!BF6+'T_TTAFStock'!BF6,BE2+'Grid_Incoming'!BF2-'Grid_Requirement'!BF2))</f>
        <v/>
      </c>
      <c r="BG2">
        <f>IF(COUNTIFS(T_StockCount[Part Name],$A2,T_StockCount[WeekIndex],58)&gt;0,SUMIFS(T_StockCount[CountedQty],T_StockCount[Part Name],$A2,T_StockCount[WeekIndex],58),IF((('T_SelfStock'!BG6&lt;&gt;""))*(('T_TTAFStock'!BG6&lt;&gt;""))&gt;0,'T_SelfStock'!BG6+'T_TTAFStock'!BG6,BF2+'Grid_Incoming'!BG2-'Grid_Requirement'!BG2))</f>
        <v/>
      </c>
      <c r="BH2">
        <f>IF(COUNTIFS(T_StockCount[Part Name],$A2,T_StockCount[WeekIndex],59)&gt;0,SUMIFS(T_StockCount[CountedQty],T_StockCount[Part Name],$A2,T_StockCount[WeekIndex],59),IF((('T_SelfStock'!BH6&lt;&gt;""))*(('T_TTAFStock'!BH6&lt;&gt;""))&gt;0,'T_SelfStock'!BH6+'T_TTAFStock'!BH6,BG2+'Grid_Incoming'!BH2-'Grid_Requirement'!BH2))</f>
        <v/>
      </c>
      <c r="BI2">
        <f>IF(COUNTIFS(T_StockCount[Part Name],$A2,T_StockCount[WeekIndex],60)&gt;0,SUMIFS(T_StockCount[CountedQty],T_StockCount[Part Name],$A2,T_StockCount[WeekIndex],60),IF((('T_SelfStock'!BI6&lt;&gt;""))*(('T_TTAFStock'!BI6&lt;&gt;""))&gt;0,'T_SelfStock'!BI6+'T_TTAFStock'!BI6,BH2+'Grid_Incoming'!BI2-'Grid_Requirement'!BI2))</f>
        <v/>
      </c>
      <c r="BJ2">
        <f>IF(COUNTIFS(T_StockCount[Part Name],$A2,T_StockCount[WeekIndex],61)&gt;0,SUMIFS(T_StockCount[CountedQty],T_StockCount[Part Name],$A2,T_StockCount[WeekIndex],61),IF((('T_SelfStock'!BJ6&lt;&gt;""))*(('T_TTAFStock'!BJ6&lt;&gt;""))&gt;0,'T_SelfStock'!BJ6+'T_TTAFStock'!BJ6,BI2+'Grid_Incoming'!BJ2-'Grid_Requirement'!BJ2))</f>
        <v/>
      </c>
      <c r="BK2">
        <f>IF(COUNTIFS(T_StockCount[Part Name],$A2,T_StockCount[WeekIndex],62)&gt;0,SUMIFS(T_StockCount[CountedQty],T_StockCount[Part Name],$A2,T_StockCount[WeekIndex],62),IF((('T_SelfStock'!BK6&lt;&gt;""))*(('T_TTAFStock'!BK6&lt;&gt;""))&gt;0,'T_SelfStock'!BK6+'T_TTAFStock'!BK6,BJ2+'Grid_Incoming'!BK2-'Grid_Requirement'!BK2))</f>
        <v/>
      </c>
      <c r="BL2">
        <f>IF(COUNTIFS(T_StockCount[Part Name],$A2,T_StockCount[WeekIndex],63)&gt;0,SUMIFS(T_StockCount[CountedQty],T_StockCount[Part Name],$A2,T_StockCount[WeekIndex],63),IF((('T_SelfStock'!BL6&lt;&gt;""))*(('T_TTAFStock'!BL6&lt;&gt;""))&gt;0,'T_SelfStock'!BL6+'T_TTAFStock'!BL6,BK2+'Grid_Incoming'!BL2-'Grid_Requirement'!BL2))</f>
        <v/>
      </c>
      <c r="BM2">
        <f>IF(COUNTIFS(T_StockCount[Part Name],$A2,T_StockCount[WeekIndex],64)&gt;0,SUMIFS(T_StockCount[CountedQty],T_StockCount[Part Name],$A2,T_StockCount[WeekIndex],64),IF((('T_SelfStock'!BM6&lt;&gt;""))*(('T_TTAFStock'!BM6&lt;&gt;""))&gt;0,'T_SelfStock'!BM6+'T_TTAFStock'!BM6,BL2+'Grid_Incoming'!BM2-'Grid_Requirement'!BM2))</f>
        <v/>
      </c>
      <c r="BN2">
        <f>IF(COUNTIFS(T_StockCount[Part Name],$A2,T_StockCount[WeekIndex],65)&gt;0,SUMIFS(T_StockCount[CountedQty],T_StockCount[Part Name],$A2,T_StockCount[WeekIndex],65),IF((('T_SelfStock'!BN6&lt;&gt;""))*(('T_TTAFStock'!BN6&lt;&gt;""))&gt;0,'T_SelfStock'!BN6+'T_TTAFStock'!BN6,BM2+'Grid_Incoming'!BN2-'Grid_Requirement'!BN2))</f>
        <v/>
      </c>
      <c r="BO2">
        <f>IF(COUNTIFS(T_StockCount[Part Name],$A2,T_StockCount[WeekIndex],66)&gt;0,SUMIFS(T_StockCount[CountedQty],T_StockCount[Part Name],$A2,T_StockCount[WeekIndex],66),IF((('T_SelfStock'!BO6&lt;&gt;""))*(('T_TTAFStock'!BO6&lt;&gt;""))&gt;0,'T_SelfStock'!BO6+'T_TTAFStock'!BO6,BN2+'Grid_Incoming'!BO2-'Grid_Requirement'!BO2))</f>
        <v/>
      </c>
      <c r="BP2">
        <f>IF(COUNTIFS(T_StockCount[Part Name],$A2,T_StockCount[WeekIndex],67)&gt;0,SUMIFS(T_StockCount[CountedQty],T_StockCount[Part Name],$A2,T_StockCount[WeekIndex],67),IF((('T_SelfStock'!BP6&lt;&gt;""))*(('T_TTAFStock'!BP6&lt;&gt;""))&gt;0,'T_SelfStock'!BP6+'T_TTAFStock'!BP6,BO2+'Grid_Incoming'!BP2-'Grid_Requirement'!BP2))</f>
        <v/>
      </c>
      <c r="BQ2">
        <f>IF(COUNTIFS(T_StockCount[Part Name],$A2,T_StockCount[WeekIndex],68)&gt;0,SUMIFS(T_StockCount[CountedQty],T_StockCount[Part Name],$A2,T_StockCount[WeekIndex],68),IF((('T_SelfStock'!BQ6&lt;&gt;""))*(('T_TTAFStock'!BQ6&lt;&gt;""))&gt;0,'T_SelfStock'!BQ6+'T_TTAFStock'!BQ6,BP2+'Grid_Incoming'!BQ2-'Grid_Requirement'!BQ2))</f>
        <v/>
      </c>
      <c r="BR2">
        <f>IF(COUNTIFS(T_StockCount[Part Name],$A2,T_StockCount[WeekIndex],69)&gt;0,SUMIFS(T_StockCount[CountedQty],T_StockCount[Part Name],$A2,T_StockCount[WeekIndex],69),IF((('T_SelfStock'!BR6&lt;&gt;""))*(('T_TTAFStock'!BR6&lt;&gt;""))&gt;0,'T_SelfStock'!BR6+'T_TTAFStock'!BR6,BQ2+'Grid_Incoming'!BR2-'Grid_Requirement'!BR2))</f>
        <v/>
      </c>
      <c r="BS2">
        <f>IF(COUNTIFS(T_StockCount[Part Name],$A2,T_StockCount[WeekIndex],70)&gt;0,SUMIFS(T_StockCount[CountedQty],T_StockCount[Part Name],$A2,T_StockCount[WeekIndex],70),IF((('T_SelfStock'!BS6&lt;&gt;""))*(('T_TTAFStock'!BS6&lt;&gt;""))&gt;0,'T_SelfStock'!BS6+'T_TTAFStock'!BS6,BR2+'Grid_Incoming'!BS2-'Grid_Requirement'!BS2))</f>
        <v/>
      </c>
      <c r="BT2">
        <f>IF(COUNTIFS(T_StockCount[Part Name],$A2,T_StockCount[WeekIndex],71)&gt;0,SUMIFS(T_StockCount[CountedQty],T_StockCount[Part Name],$A2,T_StockCount[WeekIndex],71),IF((('T_SelfStock'!BT6&lt;&gt;""))*(('T_TTAFStock'!BT6&lt;&gt;""))&gt;0,'T_SelfStock'!BT6+'T_TTAFStock'!BT6,BS2+'Grid_Incoming'!BT2-'Grid_Requirement'!BT2))</f>
        <v/>
      </c>
      <c r="BU2">
        <f>IF(COUNTIFS(T_StockCount[Part Name],$A2,T_StockCount[WeekIndex],72)&gt;0,SUMIFS(T_StockCount[CountedQty],T_StockCount[Part Name],$A2,T_StockCount[WeekIndex],72),IF((('T_SelfStock'!BU6&lt;&gt;""))*(('T_TTAFStock'!BU6&lt;&gt;""))&gt;0,'T_SelfStock'!BU6+'T_TTAFStock'!BU6,BT2+'Grid_Incoming'!BU2-'Grid_Requirement'!BU2))</f>
        <v/>
      </c>
      <c r="BV2">
        <f>IF(COUNTIFS(T_StockCount[Part Name],$A2,T_StockCount[WeekIndex],73)&gt;0,SUMIFS(T_StockCount[CountedQty],T_StockCount[Part Name],$A2,T_StockCount[WeekIndex],73),IF((('T_SelfStock'!BV6&lt;&gt;""))*(('T_TTAFStock'!BV6&lt;&gt;""))&gt;0,'T_SelfStock'!BV6+'T_TTAFStock'!BV6,BU2+'Grid_Incoming'!BV2-'Grid_Requirement'!BV2))</f>
        <v/>
      </c>
      <c r="BW2">
        <f>IF(COUNTIFS(T_StockCount[Part Name],$A2,T_StockCount[WeekIndex],74)&gt;0,SUMIFS(T_StockCount[CountedQty],T_StockCount[Part Name],$A2,T_StockCount[WeekIndex],74),IF((('T_SelfStock'!BW6&lt;&gt;""))*(('T_TTAFStock'!BW6&lt;&gt;""))&gt;0,'T_SelfStock'!BW6+'T_TTAFStock'!BW6,BV2+'Grid_Incoming'!BW2-'Grid_Requirement'!BW2))</f>
        <v/>
      </c>
      <c r="BX2">
        <f>IF(COUNTIFS(T_StockCount[Part Name],$A2,T_StockCount[WeekIndex],75)&gt;0,SUMIFS(T_StockCount[CountedQty],T_StockCount[Part Name],$A2,T_StockCount[WeekIndex],75),IF((('T_SelfStock'!BX6&lt;&gt;""))*(('T_TTAFStock'!BX6&lt;&gt;""))&gt;0,'T_SelfStock'!BX6+'T_TTAFStock'!BX6,BW2+'Grid_Incoming'!BX2-'Grid_Requirement'!BX2))</f>
        <v/>
      </c>
      <c r="BY2">
        <f>IF(COUNTIFS(T_StockCount[Part Name],$A2,T_StockCount[WeekIndex],76)&gt;0,SUMIFS(T_StockCount[CountedQty],T_StockCount[Part Name],$A2,T_StockCount[WeekIndex],76),IF((('T_SelfStock'!BY6&lt;&gt;""))*(('T_TTAFStock'!BY6&lt;&gt;""))&gt;0,'T_SelfStock'!BY6+'T_TTAFStock'!BY6,BX2+'Grid_Incoming'!BY2-'Grid_Requirement'!BY2))</f>
        <v/>
      </c>
      <c r="BZ2">
        <f>IF(COUNTIFS(T_StockCount[Part Name],$A2,T_StockCount[WeekIndex],77)&gt;0,SUMIFS(T_StockCount[CountedQty],T_StockCount[Part Name],$A2,T_StockCount[WeekIndex],77),IF((('T_SelfStock'!BZ6&lt;&gt;""))*(('T_TTAFStock'!BZ6&lt;&gt;""))&gt;0,'T_SelfStock'!BZ6+'T_TTAFStock'!BZ6,BY2+'Grid_Incoming'!BZ2-'Grid_Requirement'!BZ2))</f>
        <v/>
      </c>
      <c r="CA2">
        <f>IF(COUNTIFS(T_StockCount[Part Name],$A2,T_StockCount[WeekIndex],78)&gt;0,SUMIFS(T_StockCount[CountedQty],T_StockCount[Part Name],$A2,T_StockCount[WeekIndex],78),IF((('T_SelfStock'!CA6&lt;&gt;""))*(('T_TTAFStock'!CA6&lt;&gt;""))&gt;0,'T_SelfStock'!CA6+'T_TTAFStock'!CA6,BZ2+'Grid_Incoming'!CA2-'Grid_Requirement'!CA2))</f>
        <v/>
      </c>
      <c r="CB2">
        <f>IF(COUNTIFS(T_StockCount[Part Name],$A2,T_StockCount[WeekIndex],79)&gt;0,SUMIFS(T_StockCount[CountedQty],T_StockCount[Part Name],$A2,T_StockCount[WeekIndex],79),IF((('T_SelfStock'!CB6&lt;&gt;""))*(('T_TTAFStock'!CB6&lt;&gt;""))&gt;0,'T_SelfStock'!CB6+'T_TTAFStock'!CB6,CA2+'Grid_Incoming'!CB2-'Grid_Requirement'!CB2))</f>
        <v/>
      </c>
      <c r="CC2">
        <f>IF(COUNTIFS(T_StockCount[Part Name],$A2,T_StockCount[WeekIndex],80)&gt;0,SUMIFS(T_StockCount[CountedQty],T_StockCount[Part Name],$A2,T_StockCount[WeekIndex],80),IF((('T_SelfStock'!CC6&lt;&gt;""))*(('T_TTAFStock'!CC6&lt;&gt;""))&gt;0,'T_SelfStock'!CC6+'T_TTAFStock'!CC6,CB2+'Grid_Incoming'!CC2-'Grid_Requirement'!CC2))</f>
        <v/>
      </c>
      <c r="CD2">
        <f>IF(COUNTIFS(T_StockCount[Part Name],$A2,T_StockCount[WeekIndex],81)&gt;0,SUMIFS(T_StockCount[CountedQty],T_StockCount[Part Name],$A2,T_StockCount[WeekIndex],81),IF((('T_SelfStock'!CD6&lt;&gt;""))*(('T_TTAFStock'!CD6&lt;&gt;""))&gt;0,'T_SelfStock'!CD6+'T_TTAFStock'!CD6,CC2+'Grid_Incoming'!CD2-'Grid_Requirement'!CD2))</f>
        <v/>
      </c>
      <c r="CE2">
        <f>IF(COUNTIFS(T_StockCount[Part Name],$A2,T_StockCount[WeekIndex],82)&gt;0,SUMIFS(T_StockCount[CountedQty],T_StockCount[Part Name],$A2,T_StockCount[WeekIndex],82),IF((('T_SelfStock'!CE6&lt;&gt;""))*(('T_TTAFStock'!CE6&lt;&gt;""))&gt;0,'T_SelfStock'!CE6+'T_TTAFStock'!CE6,CD2+'Grid_Incoming'!CE2-'Grid_Requirement'!CE2))</f>
        <v/>
      </c>
      <c r="CF2">
        <f>IF(COUNTIFS(T_StockCount[Part Name],$A2,T_StockCount[WeekIndex],83)&gt;0,SUMIFS(T_StockCount[CountedQty],T_StockCount[Part Name],$A2,T_StockCount[WeekIndex],83),IF((('T_SelfStock'!CF6&lt;&gt;""))*(('T_TTAFStock'!CF6&lt;&gt;""))&gt;0,'T_SelfStock'!CF6+'T_TTAFStock'!CF6,CE2+'Grid_Incoming'!CF2-'Grid_Requirement'!CF2))</f>
        <v/>
      </c>
      <c r="CG2">
        <f>IF(COUNTIFS(T_StockCount[Part Name],$A2,T_StockCount[WeekIndex],84)&gt;0,SUMIFS(T_StockCount[CountedQty],T_StockCount[Part Name],$A2,T_StockCount[WeekIndex],84),IF((('T_SelfStock'!CG6&lt;&gt;""))*(('T_TTAFStock'!CG6&lt;&gt;""))&gt;0,'T_SelfStock'!CG6+'T_TTAFStock'!CG6,CF2+'Grid_Incoming'!CG2-'Grid_Requirement'!CG2))</f>
        <v/>
      </c>
      <c r="CH2">
        <f>IF(COUNTIFS(T_StockCount[Part Name],$A2,T_StockCount[WeekIndex],85)&gt;0,SUMIFS(T_StockCount[CountedQty],T_StockCount[Part Name],$A2,T_StockCount[WeekIndex],85),IF((('T_SelfStock'!CH6&lt;&gt;""))*(('T_TTAFStock'!CH6&lt;&gt;""))&gt;0,'T_SelfStock'!CH6+'T_TTAFStock'!CH6,CG2+'Grid_Incoming'!CH2-'Grid_Requirement'!CH2))</f>
        <v/>
      </c>
      <c r="CI2">
        <f>IF(COUNTIFS(T_StockCount[Part Name],$A2,T_StockCount[WeekIndex],86)&gt;0,SUMIFS(T_StockCount[CountedQty],T_StockCount[Part Name],$A2,T_StockCount[WeekIndex],86),IF((('T_SelfStock'!CI6&lt;&gt;""))*(('T_TTAFStock'!CI6&lt;&gt;""))&gt;0,'T_SelfStock'!CI6+'T_TTAFStock'!CI6,CH2+'Grid_Incoming'!CI2-'Grid_Requirement'!CI2))</f>
        <v/>
      </c>
      <c r="CJ2">
        <f>IF(COUNTIFS(T_StockCount[Part Name],$A2,T_StockCount[WeekIndex],87)&gt;0,SUMIFS(T_StockCount[CountedQty],T_StockCount[Part Name],$A2,T_StockCount[WeekIndex],87),IF((('T_SelfStock'!CJ6&lt;&gt;""))*(('T_TTAFStock'!CJ6&lt;&gt;""))&gt;0,'T_SelfStock'!CJ6+'T_TTAFStock'!CJ6,CI2+'Grid_Incoming'!CJ2-'Grid_Requirement'!CJ2))</f>
        <v/>
      </c>
      <c r="CK2">
        <f>IF(COUNTIFS(T_StockCount[Part Name],$A2,T_StockCount[WeekIndex],88)&gt;0,SUMIFS(T_StockCount[CountedQty],T_StockCount[Part Name],$A2,T_StockCount[WeekIndex],88),IF((('T_SelfStock'!CK6&lt;&gt;""))*(('T_TTAFStock'!CK6&lt;&gt;""))&gt;0,'T_SelfStock'!CK6+'T_TTAFStock'!CK6,CJ2+'Grid_Incoming'!CK2-'Grid_Requirement'!CK2))</f>
        <v/>
      </c>
      <c r="CL2">
        <f>IF(COUNTIFS(T_StockCount[Part Name],$A2,T_StockCount[WeekIndex],89)&gt;0,SUMIFS(T_StockCount[CountedQty],T_StockCount[Part Name],$A2,T_StockCount[WeekIndex],89),IF((('T_SelfStock'!CL6&lt;&gt;""))*(('T_TTAFStock'!CL6&lt;&gt;""))&gt;0,'T_SelfStock'!CL6+'T_TTAFStock'!CL6,CK2+'Grid_Incoming'!CL2-'Grid_Requirement'!CL2))</f>
        <v/>
      </c>
      <c r="CM2">
        <f>IF(COUNTIFS(T_StockCount[Part Name],$A2,T_StockCount[WeekIndex],90)&gt;0,SUMIFS(T_StockCount[CountedQty],T_StockCount[Part Name],$A2,T_StockCount[WeekIndex],90),IF((('T_SelfStock'!CM6&lt;&gt;""))*(('T_TTAFStock'!CM6&lt;&gt;""))&gt;0,'T_SelfStock'!CM6+'T_TTAFStock'!CM6,CL2+'Grid_Incoming'!CM2-'Grid_Requirement'!CM2))</f>
        <v/>
      </c>
      <c r="CN2">
        <f>IF(COUNTIFS(T_StockCount[Part Name],$A2,T_StockCount[WeekIndex],91)&gt;0,SUMIFS(T_StockCount[CountedQty],T_StockCount[Part Name],$A2,T_StockCount[WeekIndex],91),IF((('T_SelfStock'!CN6&lt;&gt;""))*(('T_TTAFStock'!CN6&lt;&gt;""))&gt;0,'T_SelfStock'!CN6+'T_TTAFStock'!CN6,CM2+'Grid_Incoming'!CN2-'Grid_Requirement'!CN2))</f>
        <v/>
      </c>
      <c r="CO2">
        <f>IF(COUNTIFS(T_StockCount[Part Name],$A2,T_StockCount[WeekIndex],92)&gt;0,SUMIFS(T_StockCount[CountedQty],T_StockCount[Part Name],$A2,T_StockCount[WeekIndex],92),IF((('T_SelfStock'!CO6&lt;&gt;""))*(('T_TTAFStock'!CO6&lt;&gt;""))&gt;0,'T_SelfStock'!CO6+'T_TTAFStock'!CO6,CN2+'Grid_Incoming'!CO2-'Grid_Requirement'!CO2))</f>
        <v/>
      </c>
      <c r="CP2">
        <f>IF(COUNTIFS(T_StockCount[Part Name],$A2,T_StockCount[WeekIndex],93)&gt;0,SUMIFS(T_StockCount[CountedQty],T_StockCount[Part Name],$A2,T_StockCount[WeekIndex],93),IF((('T_SelfStock'!CP6&lt;&gt;""))*(('T_TTAFStock'!CP6&lt;&gt;""))&gt;0,'T_SelfStock'!CP6+'T_TTAFStock'!CP6,CO2+'Grid_Incoming'!CP2-'Grid_Requirement'!CP2))</f>
        <v/>
      </c>
      <c r="CQ2">
        <f>IF(COUNTIFS(T_StockCount[Part Name],$A2,T_StockCount[WeekIndex],94)&gt;0,SUMIFS(T_StockCount[CountedQty],T_StockCount[Part Name],$A2,T_StockCount[WeekIndex],94),IF((('T_SelfStock'!CQ6&lt;&gt;""))*(('T_TTAFStock'!CQ6&lt;&gt;""))&gt;0,'T_SelfStock'!CQ6+'T_TTAFStock'!CQ6,CP2+'Grid_Incoming'!CQ2-'Grid_Requirement'!CQ2))</f>
        <v/>
      </c>
      <c r="CR2">
        <f>IF(COUNTIFS(T_StockCount[Part Name],$A2,T_StockCount[WeekIndex],95)&gt;0,SUMIFS(T_StockCount[CountedQty],T_StockCount[Part Name],$A2,T_StockCount[WeekIndex],95),IF((('T_SelfStock'!CR6&lt;&gt;""))*(('T_TTAFStock'!CR6&lt;&gt;""))&gt;0,'T_SelfStock'!CR6+'T_TTAFStock'!CR6,CQ2+'Grid_Incoming'!CR2-'Grid_Requirement'!CR2))</f>
        <v/>
      </c>
      <c r="CS2">
        <f>IF(COUNTIFS(T_StockCount[Part Name],$A2,T_StockCount[WeekIndex],96)&gt;0,SUMIFS(T_StockCount[CountedQty],T_StockCount[Part Name],$A2,T_StockCount[WeekIndex],96),IF((('T_SelfStock'!CS6&lt;&gt;""))*(('T_TTAFStock'!CS6&lt;&gt;""))&gt;0,'T_SelfStock'!CS6+'T_TTAFStock'!CS6,CR2+'Grid_Incoming'!CS2-'Grid_Requirement'!CS2))</f>
        <v/>
      </c>
      <c r="CT2">
        <f>IF(COUNTIFS(T_StockCount[Part Name],$A2,T_StockCount[WeekIndex],97)&gt;0,SUMIFS(T_StockCount[CountedQty],T_StockCount[Part Name],$A2,T_StockCount[WeekIndex],97),IF((('T_SelfStock'!CT6&lt;&gt;""))*(('T_TTAFStock'!CT6&lt;&gt;""))&gt;0,'T_SelfStock'!CT6+'T_TTAFStock'!CT6,CS2+'Grid_Incoming'!CT2-'Grid_Requirement'!CT2))</f>
        <v/>
      </c>
      <c r="CU2">
        <f>IF(COUNTIFS(T_StockCount[Part Name],$A2,T_StockCount[WeekIndex],98)&gt;0,SUMIFS(T_StockCount[CountedQty],T_StockCount[Part Name],$A2,T_StockCount[WeekIndex],98),IF((('T_SelfStock'!CU6&lt;&gt;""))*(('T_TTAFStock'!CU6&lt;&gt;""))&gt;0,'T_SelfStock'!CU6+'T_TTAFStock'!CU6,CT2+'Grid_Incoming'!CU2-'Grid_Requirement'!CU2))</f>
        <v/>
      </c>
      <c r="CV2">
        <f>IF(COUNTIFS(T_StockCount[Part Name],$A2,T_StockCount[WeekIndex],99)&gt;0,SUMIFS(T_StockCount[CountedQty],T_StockCount[Part Name],$A2,T_StockCount[WeekIndex],99),IF((('T_SelfStock'!CV6&lt;&gt;""))*(('T_TTAFStock'!CV6&lt;&gt;""))&gt;0,'T_SelfStock'!CV6+'T_TTAFStock'!CV6,CU2+'Grid_Incoming'!CV2-'Grid_Requirement'!CV2))</f>
        <v/>
      </c>
      <c r="CW2">
        <f>IF(COUNTIFS(T_StockCount[Part Name],$A2,T_StockCount[WeekIndex],100)&gt;0,SUMIFS(T_StockCount[CountedQty],T_StockCount[Part Name],$A2,T_StockCount[WeekIndex],100),IF((('T_SelfStock'!CW6&lt;&gt;""))*(('T_TTAFStock'!CW6&lt;&gt;""))&gt;0,'T_SelfStock'!CW6+'T_TTAFStock'!CW6,CV2+'Grid_Incoming'!CW2-'Grid_Requirement'!CW2))</f>
        <v/>
      </c>
      <c r="CX2">
        <f>IF(COUNTIFS(T_StockCount[Part Name],$A2,T_StockCount[WeekIndex],101)&gt;0,SUMIFS(T_StockCount[CountedQty],T_StockCount[Part Name],$A2,T_StockCount[WeekIndex],101),IF((('T_SelfStock'!CX6&lt;&gt;""))*(('T_TTAFStock'!CX6&lt;&gt;""))&gt;0,'T_SelfStock'!CX6+'T_TTAFStock'!CX6,CW2+'Grid_Incoming'!CX2-'Grid_Requirement'!CX2))</f>
        <v/>
      </c>
      <c r="CY2">
        <f>IF(COUNTIFS(T_StockCount[Part Name],$A2,T_StockCount[WeekIndex],102)&gt;0,SUMIFS(T_StockCount[CountedQty],T_StockCount[Part Name],$A2,T_StockCount[WeekIndex],102),IF((('T_SelfStock'!CY6&lt;&gt;""))*(('T_TTAFStock'!CY6&lt;&gt;""))&gt;0,'T_SelfStock'!CY6+'T_TTAFStock'!CY6,CX2+'Grid_Incoming'!CY2-'Grid_Requirement'!CY2))</f>
        <v/>
      </c>
      <c r="CZ2">
        <f>IF(COUNTIFS(T_StockCount[Part Name],$A2,T_StockCount[WeekIndex],103)&gt;0,SUMIFS(T_StockCount[CountedQty],T_StockCount[Part Name],$A2,T_StockCount[WeekIndex],103),IF((('T_SelfStock'!CZ6&lt;&gt;""))*(('T_TTAFStock'!CZ6&lt;&gt;""))&gt;0,'T_SelfStock'!CZ6+'T_TTAFStock'!CZ6,CY2+'Grid_Incoming'!CZ2-'Grid_Requirement'!CZ2))</f>
        <v/>
      </c>
      <c r="DA2">
        <f>IF(COUNTIFS(T_StockCount[Part Name],$A2,T_StockCount[WeekIndex],104)&gt;0,SUMIFS(T_StockCount[CountedQty],T_StockCount[Part Name],$A2,T_StockCount[WeekIndex],104),IF((('T_SelfStock'!DA6&lt;&gt;""))*(('T_TTAFStock'!DA6&lt;&gt;""))&gt;0,'T_SelfStock'!DA6+'T_TTAFStock'!DA6,CZ2+'Grid_Incoming'!DA2-'Grid_Requirement'!DA2))</f>
        <v/>
      </c>
    </row>
    <row r="3">
      <c r="A3" t="inlineStr">
        <is>
          <t>1EK</t>
        </is>
      </c>
      <c r="B3">
        <f>IF(COUNTIFS(T_StockCount[Part Name],$A3,T_StockCount[WeekIndex],1)&gt;0,SUMIFS(T_StockCount[CountedQty],T_StockCount[Part Name],$A3,T_StockCount[WeekIndex],1),IF((('T_SelfStock'!B7&lt;&gt;""))*(('T_TTAFStock'!B7&lt;&gt;""))&gt;0,'T_SelfStock'!B7+'T_TTAFStock'!B7,IFERROR(INDEX(T_OpeningStock[Opening_Qty_要入力],MATCH($A3,T_OpeningStock[Part Name],0)),0)+'Grid_Incoming'!B3-'Grid_Requirement'!B3))</f>
        <v/>
      </c>
      <c r="C3">
        <f>IF(COUNTIFS(T_StockCount[Part Name],$A3,T_StockCount[WeekIndex],2)&gt;0,SUMIFS(T_StockCount[CountedQty],T_StockCount[Part Name],$A3,T_StockCount[WeekIndex],2),IF((('T_SelfStock'!C7&lt;&gt;""))*(('T_TTAFStock'!C7&lt;&gt;""))&gt;0,'T_SelfStock'!C7+'T_TTAFStock'!C7,B3+'Grid_Incoming'!C3-'Grid_Requirement'!C3))</f>
        <v/>
      </c>
      <c r="D3">
        <f>IF(COUNTIFS(T_StockCount[Part Name],$A3,T_StockCount[WeekIndex],3)&gt;0,SUMIFS(T_StockCount[CountedQty],T_StockCount[Part Name],$A3,T_StockCount[WeekIndex],3),IF((('T_SelfStock'!D7&lt;&gt;""))*(('T_TTAFStock'!D7&lt;&gt;""))&gt;0,'T_SelfStock'!D7+'T_TTAFStock'!D7,C3+'Grid_Incoming'!D3-'Grid_Requirement'!D3))</f>
        <v/>
      </c>
      <c r="E3">
        <f>IF(COUNTIFS(T_StockCount[Part Name],$A3,T_StockCount[WeekIndex],4)&gt;0,SUMIFS(T_StockCount[CountedQty],T_StockCount[Part Name],$A3,T_StockCount[WeekIndex],4),IF((('T_SelfStock'!E7&lt;&gt;""))*(('T_TTAFStock'!E7&lt;&gt;""))&gt;0,'T_SelfStock'!E7+'T_TTAFStock'!E7,D3+'Grid_Incoming'!E3-'Grid_Requirement'!E3))</f>
        <v/>
      </c>
      <c r="F3">
        <f>IF(COUNTIFS(T_StockCount[Part Name],$A3,T_StockCount[WeekIndex],5)&gt;0,SUMIFS(T_StockCount[CountedQty],T_StockCount[Part Name],$A3,T_StockCount[WeekIndex],5),IF((('T_SelfStock'!F7&lt;&gt;""))*(('T_TTAFStock'!F7&lt;&gt;""))&gt;0,'T_SelfStock'!F7+'T_TTAFStock'!F7,E3+'Grid_Incoming'!F3-'Grid_Requirement'!F3))</f>
        <v/>
      </c>
      <c r="G3">
        <f>IF(COUNTIFS(T_StockCount[Part Name],$A3,T_StockCount[WeekIndex],6)&gt;0,SUMIFS(T_StockCount[CountedQty],T_StockCount[Part Name],$A3,T_StockCount[WeekIndex],6),IF((('T_SelfStock'!G7&lt;&gt;""))*(('T_TTAFStock'!G7&lt;&gt;""))&gt;0,'T_SelfStock'!G7+'T_TTAFStock'!G7,F3+'Grid_Incoming'!G3-'Grid_Requirement'!G3))</f>
        <v/>
      </c>
      <c r="H3">
        <f>IF(COUNTIFS(T_StockCount[Part Name],$A3,T_StockCount[WeekIndex],7)&gt;0,SUMIFS(T_StockCount[CountedQty],T_StockCount[Part Name],$A3,T_StockCount[WeekIndex],7),IF((('T_SelfStock'!H7&lt;&gt;""))*(('T_TTAFStock'!H7&lt;&gt;""))&gt;0,'T_SelfStock'!H7+'T_TTAFStock'!H7,G3+'Grid_Incoming'!H3-'Grid_Requirement'!H3))</f>
        <v/>
      </c>
      <c r="I3">
        <f>IF(COUNTIFS(T_StockCount[Part Name],$A3,T_StockCount[WeekIndex],8)&gt;0,SUMIFS(T_StockCount[CountedQty],T_StockCount[Part Name],$A3,T_StockCount[WeekIndex],8),IF((('T_SelfStock'!I7&lt;&gt;""))*(('T_TTAFStock'!I7&lt;&gt;""))&gt;0,'T_SelfStock'!I7+'T_TTAFStock'!I7,H3+'Grid_Incoming'!I3-'Grid_Requirement'!I3))</f>
        <v/>
      </c>
      <c r="J3">
        <f>IF(COUNTIFS(T_StockCount[Part Name],$A3,T_StockCount[WeekIndex],9)&gt;0,SUMIFS(T_StockCount[CountedQty],T_StockCount[Part Name],$A3,T_StockCount[WeekIndex],9),IF((('T_SelfStock'!J7&lt;&gt;""))*(('T_TTAFStock'!J7&lt;&gt;""))&gt;0,'T_SelfStock'!J7+'T_TTAFStock'!J7,I3+'Grid_Incoming'!J3-'Grid_Requirement'!J3))</f>
        <v/>
      </c>
      <c r="K3">
        <f>IF(COUNTIFS(T_StockCount[Part Name],$A3,T_StockCount[WeekIndex],10)&gt;0,SUMIFS(T_StockCount[CountedQty],T_StockCount[Part Name],$A3,T_StockCount[WeekIndex],10),IF((('T_SelfStock'!K7&lt;&gt;""))*(('T_TTAFStock'!K7&lt;&gt;""))&gt;0,'T_SelfStock'!K7+'T_TTAFStock'!K7,J3+'Grid_Incoming'!K3-'Grid_Requirement'!K3))</f>
        <v/>
      </c>
      <c r="L3">
        <f>IF(COUNTIFS(T_StockCount[Part Name],$A3,T_StockCount[WeekIndex],11)&gt;0,SUMIFS(T_StockCount[CountedQty],T_StockCount[Part Name],$A3,T_StockCount[WeekIndex],11),IF((('T_SelfStock'!L7&lt;&gt;""))*(('T_TTAFStock'!L7&lt;&gt;""))&gt;0,'T_SelfStock'!L7+'T_TTAFStock'!L7,K3+'Grid_Incoming'!L3-'Grid_Requirement'!L3))</f>
        <v/>
      </c>
      <c r="M3">
        <f>IF(COUNTIFS(T_StockCount[Part Name],$A3,T_StockCount[WeekIndex],12)&gt;0,SUMIFS(T_StockCount[CountedQty],T_StockCount[Part Name],$A3,T_StockCount[WeekIndex],12),IF((('T_SelfStock'!M7&lt;&gt;""))*(('T_TTAFStock'!M7&lt;&gt;""))&gt;0,'T_SelfStock'!M7+'T_TTAFStock'!M7,L3+'Grid_Incoming'!M3-'Grid_Requirement'!M3))</f>
        <v/>
      </c>
      <c r="N3">
        <f>IF(COUNTIFS(T_StockCount[Part Name],$A3,T_StockCount[WeekIndex],13)&gt;0,SUMIFS(T_StockCount[CountedQty],T_StockCount[Part Name],$A3,T_StockCount[WeekIndex],13),IF((('T_SelfStock'!N7&lt;&gt;""))*(('T_TTAFStock'!N7&lt;&gt;""))&gt;0,'T_SelfStock'!N7+'T_TTAFStock'!N7,M3+'Grid_Incoming'!N3-'Grid_Requirement'!N3))</f>
        <v/>
      </c>
      <c r="O3">
        <f>IF(COUNTIFS(T_StockCount[Part Name],$A3,T_StockCount[WeekIndex],14)&gt;0,SUMIFS(T_StockCount[CountedQty],T_StockCount[Part Name],$A3,T_StockCount[WeekIndex],14),IF((('T_SelfStock'!O7&lt;&gt;""))*(('T_TTAFStock'!O7&lt;&gt;""))&gt;0,'T_SelfStock'!O7+'T_TTAFStock'!O7,N3+'Grid_Incoming'!O3-'Grid_Requirement'!O3))</f>
        <v/>
      </c>
      <c r="P3">
        <f>IF(COUNTIFS(T_StockCount[Part Name],$A3,T_StockCount[WeekIndex],15)&gt;0,SUMIFS(T_StockCount[CountedQty],T_StockCount[Part Name],$A3,T_StockCount[WeekIndex],15),IF((('T_SelfStock'!P7&lt;&gt;""))*(('T_TTAFStock'!P7&lt;&gt;""))&gt;0,'T_SelfStock'!P7+'T_TTAFStock'!P7,O3+'Grid_Incoming'!P3-'Grid_Requirement'!P3))</f>
        <v/>
      </c>
      <c r="Q3">
        <f>IF(COUNTIFS(T_StockCount[Part Name],$A3,T_StockCount[WeekIndex],16)&gt;0,SUMIFS(T_StockCount[CountedQty],T_StockCount[Part Name],$A3,T_StockCount[WeekIndex],16),IF((('T_SelfStock'!Q7&lt;&gt;""))*(('T_TTAFStock'!Q7&lt;&gt;""))&gt;0,'T_SelfStock'!Q7+'T_TTAFStock'!Q7,P3+'Grid_Incoming'!Q3-'Grid_Requirement'!Q3))</f>
        <v/>
      </c>
      <c r="R3">
        <f>IF(COUNTIFS(T_StockCount[Part Name],$A3,T_StockCount[WeekIndex],17)&gt;0,SUMIFS(T_StockCount[CountedQty],T_StockCount[Part Name],$A3,T_StockCount[WeekIndex],17),IF((('T_SelfStock'!R7&lt;&gt;""))*(('T_TTAFStock'!R7&lt;&gt;""))&gt;0,'T_SelfStock'!R7+'T_TTAFStock'!R7,Q3+'Grid_Incoming'!R3-'Grid_Requirement'!R3))</f>
        <v/>
      </c>
      <c r="S3">
        <f>IF(COUNTIFS(T_StockCount[Part Name],$A3,T_StockCount[WeekIndex],18)&gt;0,SUMIFS(T_StockCount[CountedQty],T_StockCount[Part Name],$A3,T_StockCount[WeekIndex],18),IF((('T_SelfStock'!S7&lt;&gt;""))*(('T_TTAFStock'!S7&lt;&gt;""))&gt;0,'T_SelfStock'!S7+'T_TTAFStock'!S7,R3+'Grid_Incoming'!S3-'Grid_Requirement'!S3))</f>
        <v/>
      </c>
      <c r="T3">
        <f>IF(COUNTIFS(T_StockCount[Part Name],$A3,T_StockCount[WeekIndex],19)&gt;0,SUMIFS(T_StockCount[CountedQty],T_StockCount[Part Name],$A3,T_StockCount[WeekIndex],19),IF((('T_SelfStock'!T7&lt;&gt;""))*(('T_TTAFStock'!T7&lt;&gt;""))&gt;0,'T_SelfStock'!T7+'T_TTAFStock'!T7,S3+'Grid_Incoming'!T3-'Grid_Requirement'!T3))</f>
        <v/>
      </c>
      <c r="U3">
        <f>IF(COUNTIFS(T_StockCount[Part Name],$A3,T_StockCount[WeekIndex],20)&gt;0,SUMIFS(T_StockCount[CountedQty],T_StockCount[Part Name],$A3,T_StockCount[WeekIndex],20),IF((('T_SelfStock'!U7&lt;&gt;""))*(('T_TTAFStock'!U7&lt;&gt;""))&gt;0,'T_SelfStock'!U7+'T_TTAFStock'!U7,T3+'Grid_Incoming'!U3-'Grid_Requirement'!U3))</f>
        <v/>
      </c>
      <c r="V3">
        <f>IF(COUNTIFS(T_StockCount[Part Name],$A3,T_StockCount[WeekIndex],21)&gt;0,SUMIFS(T_StockCount[CountedQty],T_StockCount[Part Name],$A3,T_StockCount[WeekIndex],21),IF((('T_SelfStock'!V7&lt;&gt;""))*(('T_TTAFStock'!V7&lt;&gt;""))&gt;0,'T_SelfStock'!V7+'T_TTAFStock'!V7,U3+'Grid_Incoming'!V3-'Grid_Requirement'!V3))</f>
        <v/>
      </c>
      <c r="W3">
        <f>IF(COUNTIFS(T_StockCount[Part Name],$A3,T_StockCount[WeekIndex],22)&gt;0,SUMIFS(T_StockCount[CountedQty],T_StockCount[Part Name],$A3,T_StockCount[WeekIndex],22),IF((('T_SelfStock'!W7&lt;&gt;""))*(('T_TTAFStock'!W7&lt;&gt;""))&gt;0,'T_SelfStock'!W7+'T_TTAFStock'!W7,V3+'Grid_Incoming'!W3-'Grid_Requirement'!W3))</f>
        <v/>
      </c>
      <c r="X3">
        <f>IF(COUNTIFS(T_StockCount[Part Name],$A3,T_StockCount[WeekIndex],23)&gt;0,SUMIFS(T_StockCount[CountedQty],T_StockCount[Part Name],$A3,T_StockCount[WeekIndex],23),IF((('T_SelfStock'!X7&lt;&gt;""))*(('T_TTAFStock'!X7&lt;&gt;""))&gt;0,'T_SelfStock'!X7+'T_TTAFStock'!X7,W3+'Grid_Incoming'!X3-'Grid_Requirement'!X3))</f>
        <v/>
      </c>
      <c r="Y3">
        <f>IF(COUNTIFS(T_StockCount[Part Name],$A3,T_StockCount[WeekIndex],24)&gt;0,SUMIFS(T_StockCount[CountedQty],T_StockCount[Part Name],$A3,T_StockCount[WeekIndex],24),IF((('T_SelfStock'!Y7&lt;&gt;""))*(('T_TTAFStock'!Y7&lt;&gt;""))&gt;0,'T_SelfStock'!Y7+'T_TTAFStock'!Y7,X3+'Grid_Incoming'!Y3-'Grid_Requirement'!Y3))</f>
        <v/>
      </c>
      <c r="Z3">
        <f>IF(COUNTIFS(T_StockCount[Part Name],$A3,T_StockCount[WeekIndex],25)&gt;0,SUMIFS(T_StockCount[CountedQty],T_StockCount[Part Name],$A3,T_StockCount[WeekIndex],25),IF((('T_SelfStock'!Z7&lt;&gt;""))*(('T_TTAFStock'!Z7&lt;&gt;""))&gt;0,'T_SelfStock'!Z7+'T_TTAFStock'!Z7,Y3+'Grid_Incoming'!Z3-'Grid_Requirement'!Z3))</f>
        <v/>
      </c>
      <c r="AA3">
        <f>IF(COUNTIFS(T_StockCount[Part Name],$A3,T_StockCount[WeekIndex],26)&gt;0,SUMIFS(T_StockCount[CountedQty],T_StockCount[Part Name],$A3,T_StockCount[WeekIndex],26),IF((('T_SelfStock'!AA7&lt;&gt;""))*(('T_TTAFStock'!AA7&lt;&gt;""))&gt;0,'T_SelfStock'!AA7+'T_TTAFStock'!AA7,Z3+'Grid_Incoming'!AA3-'Grid_Requirement'!AA3))</f>
        <v/>
      </c>
      <c r="AB3">
        <f>IF(COUNTIFS(T_StockCount[Part Name],$A3,T_StockCount[WeekIndex],27)&gt;0,SUMIFS(T_StockCount[CountedQty],T_StockCount[Part Name],$A3,T_StockCount[WeekIndex],27),IF((('T_SelfStock'!AB7&lt;&gt;""))*(('T_TTAFStock'!AB7&lt;&gt;""))&gt;0,'T_SelfStock'!AB7+'T_TTAFStock'!AB7,AA3+'Grid_Incoming'!AB3-'Grid_Requirement'!AB3))</f>
        <v/>
      </c>
      <c r="AC3">
        <f>IF(COUNTIFS(T_StockCount[Part Name],$A3,T_StockCount[WeekIndex],28)&gt;0,SUMIFS(T_StockCount[CountedQty],T_StockCount[Part Name],$A3,T_StockCount[WeekIndex],28),IF((('T_SelfStock'!AC7&lt;&gt;""))*(('T_TTAFStock'!AC7&lt;&gt;""))&gt;0,'T_SelfStock'!AC7+'T_TTAFStock'!AC7,AB3+'Grid_Incoming'!AC3-'Grid_Requirement'!AC3))</f>
        <v/>
      </c>
      <c r="AD3">
        <f>IF(COUNTIFS(T_StockCount[Part Name],$A3,T_StockCount[WeekIndex],29)&gt;0,SUMIFS(T_StockCount[CountedQty],T_StockCount[Part Name],$A3,T_StockCount[WeekIndex],29),IF((('T_SelfStock'!AD7&lt;&gt;""))*(('T_TTAFStock'!AD7&lt;&gt;""))&gt;0,'T_SelfStock'!AD7+'T_TTAFStock'!AD7,AC3+'Grid_Incoming'!AD3-'Grid_Requirement'!AD3))</f>
        <v/>
      </c>
      <c r="AE3">
        <f>IF(COUNTIFS(T_StockCount[Part Name],$A3,T_StockCount[WeekIndex],30)&gt;0,SUMIFS(T_StockCount[CountedQty],T_StockCount[Part Name],$A3,T_StockCount[WeekIndex],30),IF((('T_SelfStock'!AE7&lt;&gt;""))*(('T_TTAFStock'!AE7&lt;&gt;""))&gt;0,'T_SelfStock'!AE7+'T_TTAFStock'!AE7,AD3+'Grid_Incoming'!AE3-'Grid_Requirement'!AE3))</f>
        <v/>
      </c>
      <c r="AF3">
        <f>IF(COUNTIFS(T_StockCount[Part Name],$A3,T_StockCount[WeekIndex],31)&gt;0,SUMIFS(T_StockCount[CountedQty],T_StockCount[Part Name],$A3,T_StockCount[WeekIndex],31),IF((('T_SelfStock'!AF7&lt;&gt;""))*(('T_TTAFStock'!AF7&lt;&gt;""))&gt;0,'T_SelfStock'!AF7+'T_TTAFStock'!AF7,AE3+'Grid_Incoming'!AF3-'Grid_Requirement'!AF3))</f>
        <v/>
      </c>
      <c r="AG3">
        <f>IF(COUNTIFS(T_StockCount[Part Name],$A3,T_StockCount[WeekIndex],32)&gt;0,SUMIFS(T_StockCount[CountedQty],T_StockCount[Part Name],$A3,T_StockCount[WeekIndex],32),IF((('T_SelfStock'!AG7&lt;&gt;""))*(('T_TTAFStock'!AG7&lt;&gt;""))&gt;0,'T_SelfStock'!AG7+'T_TTAFStock'!AG7,AF3+'Grid_Incoming'!AG3-'Grid_Requirement'!AG3))</f>
        <v/>
      </c>
      <c r="AH3">
        <f>IF(COUNTIFS(T_StockCount[Part Name],$A3,T_StockCount[WeekIndex],33)&gt;0,SUMIFS(T_StockCount[CountedQty],T_StockCount[Part Name],$A3,T_StockCount[WeekIndex],33),IF((('T_SelfStock'!AH7&lt;&gt;""))*(('T_TTAFStock'!AH7&lt;&gt;""))&gt;0,'T_SelfStock'!AH7+'T_TTAFStock'!AH7,AG3+'Grid_Incoming'!AH3-'Grid_Requirement'!AH3))</f>
        <v/>
      </c>
      <c r="AI3">
        <f>IF(COUNTIFS(T_StockCount[Part Name],$A3,T_StockCount[WeekIndex],34)&gt;0,SUMIFS(T_StockCount[CountedQty],T_StockCount[Part Name],$A3,T_StockCount[WeekIndex],34),IF((('T_SelfStock'!AI7&lt;&gt;""))*(('T_TTAFStock'!AI7&lt;&gt;""))&gt;0,'T_SelfStock'!AI7+'T_TTAFStock'!AI7,AH3+'Grid_Incoming'!AI3-'Grid_Requirement'!AI3))</f>
        <v/>
      </c>
      <c r="AJ3">
        <f>IF(COUNTIFS(T_StockCount[Part Name],$A3,T_StockCount[WeekIndex],35)&gt;0,SUMIFS(T_StockCount[CountedQty],T_StockCount[Part Name],$A3,T_StockCount[WeekIndex],35),IF((('T_SelfStock'!AJ7&lt;&gt;""))*(('T_TTAFStock'!AJ7&lt;&gt;""))&gt;0,'T_SelfStock'!AJ7+'T_TTAFStock'!AJ7,AI3+'Grid_Incoming'!AJ3-'Grid_Requirement'!AJ3))</f>
        <v/>
      </c>
      <c r="AK3">
        <f>IF(COUNTIFS(T_StockCount[Part Name],$A3,T_StockCount[WeekIndex],36)&gt;0,SUMIFS(T_StockCount[CountedQty],T_StockCount[Part Name],$A3,T_StockCount[WeekIndex],36),IF((('T_SelfStock'!AK7&lt;&gt;""))*(('T_TTAFStock'!AK7&lt;&gt;""))&gt;0,'T_SelfStock'!AK7+'T_TTAFStock'!AK7,AJ3+'Grid_Incoming'!AK3-'Grid_Requirement'!AK3))</f>
        <v/>
      </c>
      <c r="AL3">
        <f>IF(COUNTIFS(T_StockCount[Part Name],$A3,T_StockCount[WeekIndex],37)&gt;0,SUMIFS(T_StockCount[CountedQty],T_StockCount[Part Name],$A3,T_StockCount[WeekIndex],37),IF((('T_SelfStock'!AL7&lt;&gt;""))*(('T_TTAFStock'!AL7&lt;&gt;""))&gt;0,'T_SelfStock'!AL7+'T_TTAFStock'!AL7,AK3+'Grid_Incoming'!AL3-'Grid_Requirement'!AL3))</f>
        <v/>
      </c>
      <c r="AM3">
        <f>IF(COUNTIFS(T_StockCount[Part Name],$A3,T_StockCount[WeekIndex],38)&gt;0,SUMIFS(T_StockCount[CountedQty],T_StockCount[Part Name],$A3,T_StockCount[WeekIndex],38),IF((('T_SelfStock'!AM7&lt;&gt;""))*(('T_TTAFStock'!AM7&lt;&gt;""))&gt;0,'T_SelfStock'!AM7+'T_TTAFStock'!AM7,AL3+'Grid_Incoming'!AM3-'Grid_Requirement'!AM3))</f>
        <v/>
      </c>
      <c r="AN3">
        <f>IF(COUNTIFS(T_StockCount[Part Name],$A3,T_StockCount[WeekIndex],39)&gt;0,SUMIFS(T_StockCount[CountedQty],T_StockCount[Part Name],$A3,T_StockCount[WeekIndex],39),IF((('T_SelfStock'!AN7&lt;&gt;""))*(('T_TTAFStock'!AN7&lt;&gt;""))&gt;0,'T_SelfStock'!AN7+'T_TTAFStock'!AN7,AM3+'Grid_Incoming'!AN3-'Grid_Requirement'!AN3))</f>
        <v/>
      </c>
      <c r="AO3">
        <f>IF(COUNTIFS(T_StockCount[Part Name],$A3,T_StockCount[WeekIndex],40)&gt;0,SUMIFS(T_StockCount[CountedQty],T_StockCount[Part Name],$A3,T_StockCount[WeekIndex],40),IF((('T_SelfStock'!AO7&lt;&gt;""))*(('T_TTAFStock'!AO7&lt;&gt;""))&gt;0,'T_SelfStock'!AO7+'T_TTAFStock'!AO7,AN3+'Grid_Incoming'!AO3-'Grid_Requirement'!AO3))</f>
        <v/>
      </c>
      <c r="AP3">
        <f>IF(COUNTIFS(T_StockCount[Part Name],$A3,T_StockCount[WeekIndex],41)&gt;0,SUMIFS(T_StockCount[CountedQty],T_StockCount[Part Name],$A3,T_StockCount[WeekIndex],41),IF((('T_SelfStock'!AP7&lt;&gt;""))*(('T_TTAFStock'!AP7&lt;&gt;""))&gt;0,'T_SelfStock'!AP7+'T_TTAFStock'!AP7,AO3+'Grid_Incoming'!AP3-'Grid_Requirement'!AP3))</f>
        <v/>
      </c>
      <c r="AQ3">
        <f>IF(COUNTIFS(T_StockCount[Part Name],$A3,T_StockCount[WeekIndex],42)&gt;0,SUMIFS(T_StockCount[CountedQty],T_StockCount[Part Name],$A3,T_StockCount[WeekIndex],42),IF((('T_SelfStock'!AQ7&lt;&gt;""))*(('T_TTAFStock'!AQ7&lt;&gt;""))&gt;0,'T_SelfStock'!AQ7+'T_TTAFStock'!AQ7,AP3+'Grid_Incoming'!AQ3-'Grid_Requirement'!AQ3))</f>
        <v/>
      </c>
      <c r="AR3">
        <f>IF(COUNTIFS(T_StockCount[Part Name],$A3,T_StockCount[WeekIndex],43)&gt;0,SUMIFS(T_StockCount[CountedQty],T_StockCount[Part Name],$A3,T_StockCount[WeekIndex],43),IF((('T_SelfStock'!AR7&lt;&gt;""))*(('T_TTAFStock'!AR7&lt;&gt;""))&gt;0,'T_SelfStock'!AR7+'T_TTAFStock'!AR7,AQ3+'Grid_Incoming'!AR3-'Grid_Requirement'!AR3))</f>
        <v/>
      </c>
      <c r="AS3">
        <f>IF(COUNTIFS(T_StockCount[Part Name],$A3,T_StockCount[WeekIndex],44)&gt;0,SUMIFS(T_StockCount[CountedQty],T_StockCount[Part Name],$A3,T_StockCount[WeekIndex],44),IF((('T_SelfStock'!AS7&lt;&gt;""))*(('T_TTAFStock'!AS7&lt;&gt;""))&gt;0,'T_SelfStock'!AS7+'T_TTAFStock'!AS7,AR3+'Grid_Incoming'!AS3-'Grid_Requirement'!AS3))</f>
        <v/>
      </c>
      <c r="AT3">
        <f>IF(COUNTIFS(T_StockCount[Part Name],$A3,T_StockCount[WeekIndex],45)&gt;0,SUMIFS(T_StockCount[CountedQty],T_StockCount[Part Name],$A3,T_StockCount[WeekIndex],45),IF((('T_SelfStock'!AT7&lt;&gt;""))*(('T_TTAFStock'!AT7&lt;&gt;""))&gt;0,'T_SelfStock'!AT7+'T_TTAFStock'!AT7,AS3+'Grid_Incoming'!AT3-'Grid_Requirement'!AT3))</f>
        <v/>
      </c>
      <c r="AU3">
        <f>IF(COUNTIFS(T_StockCount[Part Name],$A3,T_StockCount[WeekIndex],46)&gt;0,SUMIFS(T_StockCount[CountedQty],T_StockCount[Part Name],$A3,T_StockCount[WeekIndex],46),IF((('T_SelfStock'!AU7&lt;&gt;""))*(('T_TTAFStock'!AU7&lt;&gt;""))&gt;0,'T_SelfStock'!AU7+'T_TTAFStock'!AU7,AT3+'Grid_Incoming'!AU3-'Grid_Requirement'!AU3))</f>
        <v/>
      </c>
      <c r="AV3">
        <f>IF(COUNTIFS(T_StockCount[Part Name],$A3,T_StockCount[WeekIndex],47)&gt;0,SUMIFS(T_StockCount[CountedQty],T_StockCount[Part Name],$A3,T_StockCount[WeekIndex],47),IF((('T_SelfStock'!AV7&lt;&gt;""))*(('T_TTAFStock'!AV7&lt;&gt;""))&gt;0,'T_SelfStock'!AV7+'T_TTAFStock'!AV7,AU3+'Grid_Incoming'!AV3-'Grid_Requirement'!AV3))</f>
        <v/>
      </c>
      <c r="AW3">
        <f>IF(COUNTIFS(T_StockCount[Part Name],$A3,T_StockCount[WeekIndex],48)&gt;0,SUMIFS(T_StockCount[CountedQty],T_StockCount[Part Name],$A3,T_StockCount[WeekIndex],48),IF((('T_SelfStock'!AW7&lt;&gt;""))*(('T_TTAFStock'!AW7&lt;&gt;""))&gt;0,'T_SelfStock'!AW7+'T_TTAFStock'!AW7,AV3+'Grid_Incoming'!AW3-'Grid_Requirement'!AW3))</f>
        <v/>
      </c>
      <c r="AX3">
        <f>IF(COUNTIFS(T_StockCount[Part Name],$A3,T_StockCount[WeekIndex],49)&gt;0,SUMIFS(T_StockCount[CountedQty],T_StockCount[Part Name],$A3,T_StockCount[WeekIndex],49),IF((('T_SelfStock'!AX7&lt;&gt;""))*(('T_TTAFStock'!AX7&lt;&gt;""))&gt;0,'T_SelfStock'!AX7+'T_TTAFStock'!AX7,AW3+'Grid_Incoming'!AX3-'Grid_Requirement'!AX3))</f>
        <v/>
      </c>
      <c r="AY3">
        <f>IF(COUNTIFS(T_StockCount[Part Name],$A3,T_StockCount[WeekIndex],50)&gt;0,SUMIFS(T_StockCount[CountedQty],T_StockCount[Part Name],$A3,T_StockCount[WeekIndex],50),IF((('T_SelfStock'!AY7&lt;&gt;""))*(('T_TTAFStock'!AY7&lt;&gt;""))&gt;0,'T_SelfStock'!AY7+'T_TTAFStock'!AY7,AX3+'Grid_Incoming'!AY3-'Grid_Requirement'!AY3))</f>
        <v/>
      </c>
      <c r="AZ3">
        <f>IF(COUNTIFS(T_StockCount[Part Name],$A3,T_StockCount[WeekIndex],51)&gt;0,SUMIFS(T_StockCount[CountedQty],T_StockCount[Part Name],$A3,T_StockCount[WeekIndex],51),IF((('T_SelfStock'!AZ7&lt;&gt;""))*(('T_TTAFStock'!AZ7&lt;&gt;""))&gt;0,'T_SelfStock'!AZ7+'T_TTAFStock'!AZ7,AY3+'Grid_Incoming'!AZ3-'Grid_Requirement'!AZ3))</f>
        <v/>
      </c>
      <c r="BA3">
        <f>IF(COUNTIFS(T_StockCount[Part Name],$A3,T_StockCount[WeekIndex],52)&gt;0,SUMIFS(T_StockCount[CountedQty],T_StockCount[Part Name],$A3,T_StockCount[WeekIndex],52),IF((('T_SelfStock'!BA7&lt;&gt;""))*(('T_TTAFStock'!BA7&lt;&gt;""))&gt;0,'T_SelfStock'!BA7+'T_TTAFStock'!BA7,AZ3+'Grid_Incoming'!BA3-'Grid_Requirement'!BA3))</f>
        <v/>
      </c>
      <c r="BB3">
        <f>IF(COUNTIFS(T_StockCount[Part Name],$A3,T_StockCount[WeekIndex],53)&gt;0,SUMIFS(T_StockCount[CountedQty],T_StockCount[Part Name],$A3,T_StockCount[WeekIndex],53),IF((('T_SelfStock'!BB7&lt;&gt;""))*(('T_TTAFStock'!BB7&lt;&gt;""))&gt;0,'T_SelfStock'!BB7+'T_TTAFStock'!BB7,BA3+'Grid_Incoming'!BB3-'Grid_Requirement'!BB3))</f>
        <v/>
      </c>
      <c r="BC3">
        <f>IF(COUNTIFS(T_StockCount[Part Name],$A3,T_StockCount[WeekIndex],54)&gt;0,SUMIFS(T_StockCount[CountedQty],T_StockCount[Part Name],$A3,T_StockCount[WeekIndex],54),IF((('T_SelfStock'!BC7&lt;&gt;""))*(('T_TTAFStock'!BC7&lt;&gt;""))&gt;0,'T_SelfStock'!BC7+'T_TTAFStock'!BC7,BB3+'Grid_Incoming'!BC3-'Grid_Requirement'!BC3))</f>
        <v/>
      </c>
      <c r="BD3">
        <f>IF(COUNTIFS(T_StockCount[Part Name],$A3,T_StockCount[WeekIndex],55)&gt;0,SUMIFS(T_StockCount[CountedQty],T_StockCount[Part Name],$A3,T_StockCount[WeekIndex],55),IF((('T_SelfStock'!BD7&lt;&gt;""))*(('T_TTAFStock'!BD7&lt;&gt;""))&gt;0,'T_SelfStock'!BD7+'T_TTAFStock'!BD7,BC3+'Grid_Incoming'!BD3-'Grid_Requirement'!BD3))</f>
        <v/>
      </c>
      <c r="BE3">
        <f>IF(COUNTIFS(T_StockCount[Part Name],$A3,T_StockCount[WeekIndex],56)&gt;0,SUMIFS(T_StockCount[CountedQty],T_StockCount[Part Name],$A3,T_StockCount[WeekIndex],56),IF((('T_SelfStock'!BE7&lt;&gt;""))*(('T_TTAFStock'!BE7&lt;&gt;""))&gt;0,'T_SelfStock'!BE7+'T_TTAFStock'!BE7,BD3+'Grid_Incoming'!BE3-'Grid_Requirement'!BE3))</f>
        <v/>
      </c>
      <c r="BF3">
        <f>IF(COUNTIFS(T_StockCount[Part Name],$A3,T_StockCount[WeekIndex],57)&gt;0,SUMIFS(T_StockCount[CountedQty],T_StockCount[Part Name],$A3,T_StockCount[WeekIndex],57),IF((('T_SelfStock'!BF7&lt;&gt;""))*(('T_TTAFStock'!BF7&lt;&gt;""))&gt;0,'T_SelfStock'!BF7+'T_TTAFStock'!BF7,BE3+'Grid_Incoming'!BF3-'Grid_Requirement'!BF3))</f>
        <v/>
      </c>
      <c r="BG3">
        <f>IF(COUNTIFS(T_StockCount[Part Name],$A3,T_StockCount[WeekIndex],58)&gt;0,SUMIFS(T_StockCount[CountedQty],T_StockCount[Part Name],$A3,T_StockCount[WeekIndex],58),IF((('T_SelfStock'!BG7&lt;&gt;""))*(('T_TTAFStock'!BG7&lt;&gt;""))&gt;0,'T_SelfStock'!BG7+'T_TTAFStock'!BG7,BF3+'Grid_Incoming'!BG3-'Grid_Requirement'!BG3))</f>
        <v/>
      </c>
      <c r="BH3">
        <f>IF(COUNTIFS(T_StockCount[Part Name],$A3,T_StockCount[WeekIndex],59)&gt;0,SUMIFS(T_StockCount[CountedQty],T_StockCount[Part Name],$A3,T_StockCount[WeekIndex],59),IF((('T_SelfStock'!BH7&lt;&gt;""))*(('T_TTAFStock'!BH7&lt;&gt;""))&gt;0,'T_SelfStock'!BH7+'T_TTAFStock'!BH7,BG3+'Grid_Incoming'!BH3-'Grid_Requirement'!BH3))</f>
        <v/>
      </c>
      <c r="BI3">
        <f>IF(COUNTIFS(T_StockCount[Part Name],$A3,T_StockCount[WeekIndex],60)&gt;0,SUMIFS(T_StockCount[CountedQty],T_StockCount[Part Name],$A3,T_StockCount[WeekIndex],60),IF((('T_SelfStock'!BI7&lt;&gt;""))*(('T_TTAFStock'!BI7&lt;&gt;""))&gt;0,'T_SelfStock'!BI7+'T_TTAFStock'!BI7,BH3+'Grid_Incoming'!BI3-'Grid_Requirement'!BI3))</f>
        <v/>
      </c>
      <c r="BJ3">
        <f>IF(COUNTIFS(T_StockCount[Part Name],$A3,T_StockCount[WeekIndex],61)&gt;0,SUMIFS(T_StockCount[CountedQty],T_StockCount[Part Name],$A3,T_StockCount[WeekIndex],61),IF((('T_SelfStock'!BJ7&lt;&gt;""))*(('T_TTAFStock'!BJ7&lt;&gt;""))&gt;0,'T_SelfStock'!BJ7+'T_TTAFStock'!BJ7,BI3+'Grid_Incoming'!BJ3-'Grid_Requirement'!BJ3))</f>
        <v/>
      </c>
      <c r="BK3">
        <f>IF(COUNTIFS(T_StockCount[Part Name],$A3,T_StockCount[WeekIndex],62)&gt;0,SUMIFS(T_StockCount[CountedQty],T_StockCount[Part Name],$A3,T_StockCount[WeekIndex],62),IF((('T_SelfStock'!BK7&lt;&gt;""))*(('T_TTAFStock'!BK7&lt;&gt;""))&gt;0,'T_SelfStock'!BK7+'T_TTAFStock'!BK7,BJ3+'Grid_Incoming'!BK3-'Grid_Requirement'!BK3))</f>
        <v/>
      </c>
      <c r="BL3">
        <f>IF(COUNTIFS(T_StockCount[Part Name],$A3,T_StockCount[WeekIndex],63)&gt;0,SUMIFS(T_StockCount[CountedQty],T_StockCount[Part Name],$A3,T_StockCount[WeekIndex],63),IF((('T_SelfStock'!BL7&lt;&gt;""))*(('T_TTAFStock'!BL7&lt;&gt;""))&gt;0,'T_SelfStock'!BL7+'T_TTAFStock'!BL7,BK3+'Grid_Incoming'!BL3-'Grid_Requirement'!BL3))</f>
        <v/>
      </c>
      <c r="BM3">
        <f>IF(COUNTIFS(T_StockCount[Part Name],$A3,T_StockCount[WeekIndex],64)&gt;0,SUMIFS(T_StockCount[CountedQty],T_StockCount[Part Name],$A3,T_StockCount[WeekIndex],64),IF((('T_SelfStock'!BM7&lt;&gt;""))*(('T_TTAFStock'!BM7&lt;&gt;""))&gt;0,'T_SelfStock'!BM7+'T_TTAFStock'!BM7,BL3+'Grid_Incoming'!BM3-'Grid_Requirement'!BM3))</f>
        <v/>
      </c>
      <c r="BN3">
        <f>IF(COUNTIFS(T_StockCount[Part Name],$A3,T_StockCount[WeekIndex],65)&gt;0,SUMIFS(T_StockCount[CountedQty],T_StockCount[Part Name],$A3,T_StockCount[WeekIndex],65),IF((('T_SelfStock'!BN7&lt;&gt;""))*(('T_TTAFStock'!BN7&lt;&gt;""))&gt;0,'T_SelfStock'!BN7+'T_TTAFStock'!BN7,BM3+'Grid_Incoming'!BN3-'Grid_Requirement'!BN3))</f>
        <v/>
      </c>
      <c r="BO3">
        <f>IF(COUNTIFS(T_StockCount[Part Name],$A3,T_StockCount[WeekIndex],66)&gt;0,SUMIFS(T_StockCount[CountedQty],T_StockCount[Part Name],$A3,T_StockCount[WeekIndex],66),IF((('T_SelfStock'!BO7&lt;&gt;""))*(('T_TTAFStock'!BO7&lt;&gt;""))&gt;0,'T_SelfStock'!BO7+'T_TTAFStock'!BO7,BN3+'Grid_Incoming'!BO3-'Grid_Requirement'!BO3))</f>
        <v/>
      </c>
      <c r="BP3">
        <f>IF(COUNTIFS(T_StockCount[Part Name],$A3,T_StockCount[WeekIndex],67)&gt;0,SUMIFS(T_StockCount[CountedQty],T_StockCount[Part Name],$A3,T_StockCount[WeekIndex],67),IF((('T_SelfStock'!BP7&lt;&gt;""))*(('T_TTAFStock'!BP7&lt;&gt;""))&gt;0,'T_SelfStock'!BP7+'T_TTAFStock'!BP7,BO3+'Grid_Incoming'!BP3-'Grid_Requirement'!BP3))</f>
        <v/>
      </c>
      <c r="BQ3">
        <f>IF(COUNTIFS(T_StockCount[Part Name],$A3,T_StockCount[WeekIndex],68)&gt;0,SUMIFS(T_StockCount[CountedQty],T_StockCount[Part Name],$A3,T_StockCount[WeekIndex],68),IF((('T_SelfStock'!BQ7&lt;&gt;""))*(('T_TTAFStock'!BQ7&lt;&gt;""))&gt;0,'T_SelfStock'!BQ7+'T_TTAFStock'!BQ7,BP3+'Grid_Incoming'!BQ3-'Grid_Requirement'!BQ3))</f>
        <v/>
      </c>
      <c r="BR3">
        <f>IF(COUNTIFS(T_StockCount[Part Name],$A3,T_StockCount[WeekIndex],69)&gt;0,SUMIFS(T_StockCount[CountedQty],T_StockCount[Part Name],$A3,T_StockCount[WeekIndex],69),IF((('T_SelfStock'!BR7&lt;&gt;""))*(('T_TTAFStock'!BR7&lt;&gt;""))&gt;0,'T_SelfStock'!BR7+'T_TTAFStock'!BR7,BQ3+'Grid_Incoming'!BR3-'Grid_Requirement'!BR3))</f>
        <v/>
      </c>
      <c r="BS3">
        <f>IF(COUNTIFS(T_StockCount[Part Name],$A3,T_StockCount[WeekIndex],70)&gt;0,SUMIFS(T_StockCount[CountedQty],T_StockCount[Part Name],$A3,T_StockCount[WeekIndex],70),IF((('T_SelfStock'!BS7&lt;&gt;""))*(('T_TTAFStock'!BS7&lt;&gt;""))&gt;0,'T_SelfStock'!BS7+'T_TTAFStock'!BS7,BR3+'Grid_Incoming'!BS3-'Grid_Requirement'!BS3))</f>
        <v/>
      </c>
      <c r="BT3">
        <f>IF(COUNTIFS(T_StockCount[Part Name],$A3,T_StockCount[WeekIndex],71)&gt;0,SUMIFS(T_StockCount[CountedQty],T_StockCount[Part Name],$A3,T_StockCount[WeekIndex],71),IF((('T_SelfStock'!BT7&lt;&gt;""))*(('T_TTAFStock'!BT7&lt;&gt;""))&gt;0,'T_SelfStock'!BT7+'T_TTAFStock'!BT7,BS3+'Grid_Incoming'!BT3-'Grid_Requirement'!BT3))</f>
        <v/>
      </c>
      <c r="BU3">
        <f>IF(COUNTIFS(T_StockCount[Part Name],$A3,T_StockCount[WeekIndex],72)&gt;0,SUMIFS(T_StockCount[CountedQty],T_StockCount[Part Name],$A3,T_StockCount[WeekIndex],72),IF((('T_SelfStock'!BU7&lt;&gt;""))*(('T_TTAFStock'!BU7&lt;&gt;""))&gt;0,'T_SelfStock'!BU7+'T_TTAFStock'!BU7,BT3+'Grid_Incoming'!BU3-'Grid_Requirement'!BU3))</f>
        <v/>
      </c>
      <c r="BV3">
        <f>IF(COUNTIFS(T_StockCount[Part Name],$A3,T_StockCount[WeekIndex],73)&gt;0,SUMIFS(T_StockCount[CountedQty],T_StockCount[Part Name],$A3,T_StockCount[WeekIndex],73),IF((('T_SelfStock'!BV7&lt;&gt;""))*(('T_TTAFStock'!BV7&lt;&gt;""))&gt;0,'T_SelfStock'!BV7+'T_TTAFStock'!BV7,BU3+'Grid_Incoming'!BV3-'Grid_Requirement'!BV3))</f>
        <v/>
      </c>
      <c r="BW3">
        <f>IF(COUNTIFS(T_StockCount[Part Name],$A3,T_StockCount[WeekIndex],74)&gt;0,SUMIFS(T_StockCount[CountedQty],T_StockCount[Part Name],$A3,T_StockCount[WeekIndex],74),IF((('T_SelfStock'!BW7&lt;&gt;""))*(('T_TTAFStock'!BW7&lt;&gt;""))&gt;0,'T_SelfStock'!BW7+'T_TTAFStock'!BW7,BV3+'Grid_Incoming'!BW3-'Grid_Requirement'!BW3))</f>
        <v/>
      </c>
      <c r="BX3">
        <f>IF(COUNTIFS(T_StockCount[Part Name],$A3,T_StockCount[WeekIndex],75)&gt;0,SUMIFS(T_StockCount[CountedQty],T_StockCount[Part Name],$A3,T_StockCount[WeekIndex],75),IF((('T_SelfStock'!BX7&lt;&gt;""))*(('T_TTAFStock'!BX7&lt;&gt;""))&gt;0,'T_SelfStock'!BX7+'T_TTAFStock'!BX7,BW3+'Grid_Incoming'!BX3-'Grid_Requirement'!BX3))</f>
        <v/>
      </c>
      <c r="BY3">
        <f>IF(COUNTIFS(T_StockCount[Part Name],$A3,T_StockCount[WeekIndex],76)&gt;0,SUMIFS(T_StockCount[CountedQty],T_StockCount[Part Name],$A3,T_StockCount[WeekIndex],76),IF((('T_SelfStock'!BY7&lt;&gt;""))*(('T_TTAFStock'!BY7&lt;&gt;""))&gt;0,'T_SelfStock'!BY7+'T_TTAFStock'!BY7,BX3+'Grid_Incoming'!BY3-'Grid_Requirement'!BY3))</f>
        <v/>
      </c>
      <c r="BZ3">
        <f>IF(COUNTIFS(T_StockCount[Part Name],$A3,T_StockCount[WeekIndex],77)&gt;0,SUMIFS(T_StockCount[CountedQty],T_StockCount[Part Name],$A3,T_StockCount[WeekIndex],77),IF((('T_SelfStock'!BZ7&lt;&gt;""))*(('T_TTAFStock'!BZ7&lt;&gt;""))&gt;0,'T_SelfStock'!BZ7+'T_TTAFStock'!BZ7,BY3+'Grid_Incoming'!BZ3-'Grid_Requirement'!BZ3))</f>
        <v/>
      </c>
      <c r="CA3">
        <f>IF(COUNTIFS(T_StockCount[Part Name],$A3,T_StockCount[WeekIndex],78)&gt;0,SUMIFS(T_StockCount[CountedQty],T_StockCount[Part Name],$A3,T_StockCount[WeekIndex],78),IF((('T_SelfStock'!CA7&lt;&gt;""))*(('T_TTAFStock'!CA7&lt;&gt;""))&gt;0,'T_SelfStock'!CA7+'T_TTAFStock'!CA7,BZ3+'Grid_Incoming'!CA3-'Grid_Requirement'!CA3))</f>
        <v/>
      </c>
      <c r="CB3">
        <f>IF(COUNTIFS(T_StockCount[Part Name],$A3,T_StockCount[WeekIndex],79)&gt;0,SUMIFS(T_StockCount[CountedQty],T_StockCount[Part Name],$A3,T_StockCount[WeekIndex],79),IF((('T_SelfStock'!CB7&lt;&gt;""))*(('T_TTAFStock'!CB7&lt;&gt;""))&gt;0,'T_SelfStock'!CB7+'T_TTAFStock'!CB7,CA3+'Grid_Incoming'!CB3-'Grid_Requirement'!CB3))</f>
        <v/>
      </c>
      <c r="CC3">
        <f>IF(COUNTIFS(T_StockCount[Part Name],$A3,T_StockCount[WeekIndex],80)&gt;0,SUMIFS(T_StockCount[CountedQty],T_StockCount[Part Name],$A3,T_StockCount[WeekIndex],80),IF((('T_SelfStock'!CC7&lt;&gt;""))*(('T_TTAFStock'!CC7&lt;&gt;""))&gt;0,'T_SelfStock'!CC7+'T_TTAFStock'!CC7,CB3+'Grid_Incoming'!CC3-'Grid_Requirement'!CC3))</f>
        <v/>
      </c>
      <c r="CD3">
        <f>IF(COUNTIFS(T_StockCount[Part Name],$A3,T_StockCount[WeekIndex],81)&gt;0,SUMIFS(T_StockCount[CountedQty],T_StockCount[Part Name],$A3,T_StockCount[WeekIndex],81),IF((('T_SelfStock'!CD7&lt;&gt;""))*(('T_TTAFStock'!CD7&lt;&gt;""))&gt;0,'T_SelfStock'!CD7+'T_TTAFStock'!CD7,CC3+'Grid_Incoming'!CD3-'Grid_Requirement'!CD3))</f>
        <v/>
      </c>
      <c r="CE3">
        <f>IF(COUNTIFS(T_StockCount[Part Name],$A3,T_StockCount[WeekIndex],82)&gt;0,SUMIFS(T_StockCount[CountedQty],T_StockCount[Part Name],$A3,T_StockCount[WeekIndex],82),IF((('T_SelfStock'!CE7&lt;&gt;""))*(('T_TTAFStock'!CE7&lt;&gt;""))&gt;0,'T_SelfStock'!CE7+'T_TTAFStock'!CE7,CD3+'Grid_Incoming'!CE3-'Grid_Requirement'!CE3))</f>
        <v/>
      </c>
      <c r="CF3">
        <f>IF(COUNTIFS(T_StockCount[Part Name],$A3,T_StockCount[WeekIndex],83)&gt;0,SUMIFS(T_StockCount[CountedQty],T_StockCount[Part Name],$A3,T_StockCount[WeekIndex],83),IF((('T_SelfStock'!CF7&lt;&gt;""))*(('T_TTAFStock'!CF7&lt;&gt;""))&gt;0,'T_SelfStock'!CF7+'T_TTAFStock'!CF7,CE3+'Grid_Incoming'!CF3-'Grid_Requirement'!CF3))</f>
        <v/>
      </c>
      <c r="CG3">
        <f>IF(COUNTIFS(T_StockCount[Part Name],$A3,T_StockCount[WeekIndex],84)&gt;0,SUMIFS(T_StockCount[CountedQty],T_StockCount[Part Name],$A3,T_StockCount[WeekIndex],84),IF((('T_SelfStock'!CG7&lt;&gt;""))*(('T_TTAFStock'!CG7&lt;&gt;""))&gt;0,'T_SelfStock'!CG7+'T_TTAFStock'!CG7,CF3+'Grid_Incoming'!CG3-'Grid_Requirement'!CG3))</f>
        <v/>
      </c>
      <c r="CH3">
        <f>IF(COUNTIFS(T_StockCount[Part Name],$A3,T_StockCount[WeekIndex],85)&gt;0,SUMIFS(T_StockCount[CountedQty],T_StockCount[Part Name],$A3,T_StockCount[WeekIndex],85),IF((('T_SelfStock'!CH7&lt;&gt;""))*(('T_TTAFStock'!CH7&lt;&gt;""))&gt;0,'T_SelfStock'!CH7+'T_TTAFStock'!CH7,CG3+'Grid_Incoming'!CH3-'Grid_Requirement'!CH3))</f>
        <v/>
      </c>
      <c r="CI3">
        <f>IF(COUNTIFS(T_StockCount[Part Name],$A3,T_StockCount[WeekIndex],86)&gt;0,SUMIFS(T_StockCount[CountedQty],T_StockCount[Part Name],$A3,T_StockCount[WeekIndex],86),IF((('T_SelfStock'!CI7&lt;&gt;""))*(('T_TTAFStock'!CI7&lt;&gt;""))&gt;0,'T_SelfStock'!CI7+'T_TTAFStock'!CI7,CH3+'Grid_Incoming'!CI3-'Grid_Requirement'!CI3))</f>
        <v/>
      </c>
      <c r="CJ3">
        <f>IF(COUNTIFS(T_StockCount[Part Name],$A3,T_StockCount[WeekIndex],87)&gt;0,SUMIFS(T_StockCount[CountedQty],T_StockCount[Part Name],$A3,T_StockCount[WeekIndex],87),IF((('T_SelfStock'!CJ7&lt;&gt;""))*(('T_TTAFStock'!CJ7&lt;&gt;""))&gt;0,'T_SelfStock'!CJ7+'T_TTAFStock'!CJ7,CI3+'Grid_Incoming'!CJ3-'Grid_Requirement'!CJ3))</f>
        <v/>
      </c>
      <c r="CK3">
        <f>IF(COUNTIFS(T_StockCount[Part Name],$A3,T_StockCount[WeekIndex],88)&gt;0,SUMIFS(T_StockCount[CountedQty],T_StockCount[Part Name],$A3,T_StockCount[WeekIndex],88),IF((('T_SelfStock'!CK7&lt;&gt;""))*(('T_TTAFStock'!CK7&lt;&gt;""))&gt;0,'T_SelfStock'!CK7+'T_TTAFStock'!CK7,CJ3+'Grid_Incoming'!CK3-'Grid_Requirement'!CK3))</f>
        <v/>
      </c>
      <c r="CL3">
        <f>IF(COUNTIFS(T_StockCount[Part Name],$A3,T_StockCount[WeekIndex],89)&gt;0,SUMIFS(T_StockCount[CountedQty],T_StockCount[Part Name],$A3,T_StockCount[WeekIndex],89),IF((('T_SelfStock'!CL7&lt;&gt;""))*(('T_TTAFStock'!CL7&lt;&gt;""))&gt;0,'T_SelfStock'!CL7+'T_TTAFStock'!CL7,CK3+'Grid_Incoming'!CL3-'Grid_Requirement'!CL3))</f>
        <v/>
      </c>
      <c r="CM3">
        <f>IF(COUNTIFS(T_StockCount[Part Name],$A3,T_StockCount[WeekIndex],90)&gt;0,SUMIFS(T_StockCount[CountedQty],T_StockCount[Part Name],$A3,T_StockCount[WeekIndex],90),IF((('T_SelfStock'!CM7&lt;&gt;""))*(('T_TTAFStock'!CM7&lt;&gt;""))&gt;0,'T_SelfStock'!CM7+'T_TTAFStock'!CM7,CL3+'Grid_Incoming'!CM3-'Grid_Requirement'!CM3))</f>
        <v/>
      </c>
      <c r="CN3">
        <f>IF(COUNTIFS(T_StockCount[Part Name],$A3,T_StockCount[WeekIndex],91)&gt;0,SUMIFS(T_StockCount[CountedQty],T_StockCount[Part Name],$A3,T_StockCount[WeekIndex],91),IF((('T_SelfStock'!CN7&lt;&gt;""))*(('T_TTAFStock'!CN7&lt;&gt;""))&gt;0,'T_SelfStock'!CN7+'T_TTAFStock'!CN7,CM3+'Grid_Incoming'!CN3-'Grid_Requirement'!CN3))</f>
        <v/>
      </c>
      <c r="CO3">
        <f>IF(COUNTIFS(T_StockCount[Part Name],$A3,T_StockCount[WeekIndex],92)&gt;0,SUMIFS(T_StockCount[CountedQty],T_StockCount[Part Name],$A3,T_StockCount[WeekIndex],92),IF((('T_SelfStock'!CO7&lt;&gt;""))*(('T_TTAFStock'!CO7&lt;&gt;""))&gt;0,'T_SelfStock'!CO7+'T_TTAFStock'!CO7,CN3+'Grid_Incoming'!CO3-'Grid_Requirement'!CO3))</f>
        <v/>
      </c>
      <c r="CP3">
        <f>IF(COUNTIFS(T_StockCount[Part Name],$A3,T_StockCount[WeekIndex],93)&gt;0,SUMIFS(T_StockCount[CountedQty],T_StockCount[Part Name],$A3,T_StockCount[WeekIndex],93),IF((('T_SelfStock'!CP7&lt;&gt;""))*(('T_TTAFStock'!CP7&lt;&gt;""))&gt;0,'T_SelfStock'!CP7+'T_TTAFStock'!CP7,CO3+'Grid_Incoming'!CP3-'Grid_Requirement'!CP3))</f>
        <v/>
      </c>
      <c r="CQ3">
        <f>IF(COUNTIFS(T_StockCount[Part Name],$A3,T_StockCount[WeekIndex],94)&gt;0,SUMIFS(T_StockCount[CountedQty],T_StockCount[Part Name],$A3,T_StockCount[WeekIndex],94),IF((('T_SelfStock'!CQ7&lt;&gt;""))*(('T_TTAFStock'!CQ7&lt;&gt;""))&gt;0,'T_SelfStock'!CQ7+'T_TTAFStock'!CQ7,CP3+'Grid_Incoming'!CQ3-'Grid_Requirement'!CQ3))</f>
        <v/>
      </c>
      <c r="CR3">
        <f>IF(COUNTIFS(T_StockCount[Part Name],$A3,T_StockCount[WeekIndex],95)&gt;0,SUMIFS(T_StockCount[CountedQty],T_StockCount[Part Name],$A3,T_StockCount[WeekIndex],95),IF((('T_SelfStock'!CR7&lt;&gt;""))*(('T_TTAFStock'!CR7&lt;&gt;""))&gt;0,'T_SelfStock'!CR7+'T_TTAFStock'!CR7,CQ3+'Grid_Incoming'!CR3-'Grid_Requirement'!CR3))</f>
        <v/>
      </c>
      <c r="CS3">
        <f>IF(COUNTIFS(T_StockCount[Part Name],$A3,T_StockCount[WeekIndex],96)&gt;0,SUMIFS(T_StockCount[CountedQty],T_StockCount[Part Name],$A3,T_StockCount[WeekIndex],96),IF((('T_SelfStock'!CS7&lt;&gt;""))*(('T_TTAFStock'!CS7&lt;&gt;""))&gt;0,'T_SelfStock'!CS7+'T_TTAFStock'!CS7,CR3+'Grid_Incoming'!CS3-'Grid_Requirement'!CS3))</f>
        <v/>
      </c>
      <c r="CT3">
        <f>IF(COUNTIFS(T_StockCount[Part Name],$A3,T_StockCount[WeekIndex],97)&gt;0,SUMIFS(T_StockCount[CountedQty],T_StockCount[Part Name],$A3,T_StockCount[WeekIndex],97),IF((('T_SelfStock'!CT7&lt;&gt;""))*(('T_TTAFStock'!CT7&lt;&gt;""))&gt;0,'T_SelfStock'!CT7+'T_TTAFStock'!CT7,CS3+'Grid_Incoming'!CT3-'Grid_Requirement'!CT3))</f>
        <v/>
      </c>
      <c r="CU3">
        <f>IF(COUNTIFS(T_StockCount[Part Name],$A3,T_StockCount[WeekIndex],98)&gt;0,SUMIFS(T_StockCount[CountedQty],T_StockCount[Part Name],$A3,T_StockCount[WeekIndex],98),IF((('T_SelfStock'!CU7&lt;&gt;""))*(('T_TTAFStock'!CU7&lt;&gt;""))&gt;0,'T_SelfStock'!CU7+'T_TTAFStock'!CU7,CT3+'Grid_Incoming'!CU3-'Grid_Requirement'!CU3))</f>
        <v/>
      </c>
      <c r="CV3">
        <f>IF(COUNTIFS(T_StockCount[Part Name],$A3,T_StockCount[WeekIndex],99)&gt;0,SUMIFS(T_StockCount[CountedQty],T_StockCount[Part Name],$A3,T_StockCount[WeekIndex],99),IF((('T_SelfStock'!CV7&lt;&gt;""))*(('T_TTAFStock'!CV7&lt;&gt;""))&gt;0,'T_SelfStock'!CV7+'T_TTAFStock'!CV7,CU3+'Grid_Incoming'!CV3-'Grid_Requirement'!CV3))</f>
        <v/>
      </c>
      <c r="CW3">
        <f>IF(COUNTIFS(T_StockCount[Part Name],$A3,T_StockCount[WeekIndex],100)&gt;0,SUMIFS(T_StockCount[CountedQty],T_StockCount[Part Name],$A3,T_StockCount[WeekIndex],100),IF((('T_SelfStock'!CW7&lt;&gt;""))*(('T_TTAFStock'!CW7&lt;&gt;""))&gt;0,'T_SelfStock'!CW7+'T_TTAFStock'!CW7,CV3+'Grid_Incoming'!CW3-'Grid_Requirement'!CW3))</f>
        <v/>
      </c>
      <c r="CX3">
        <f>IF(COUNTIFS(T_StockCount[Part Name],$A3,T_StockCount[WeekIndex],101)&gt;0,SUMIFS(T_StockCount[CountedQty],T_StockCount[Part Name],$A3,T_StockCount[WeekIndex],101),IF((('T_SelfStock'!CX7&lt;&gt;""))*(('T_TTAFStock'!CX7&lt;&gt;""))&gt;0,'T_SelfStock'!CX7+'T_TTAFStock'!CX7,CW3+'Grid_Incoming'!CX3-'Grid_Requirement'!CX3))</f>
        <v/>
      </c>
      <c r="CY3">
        <f>IF(COUNTIFS(T_StockCount[Part Name],$A3,T_StockCount[WeekIndex],102)&gt;0,SUMIFS(T_StockCount[CountedQty],T_StockCount[Part Name],$A3,T_StockCount[WeekIndex],102),IF((('T_SelfStock'!CY7&lt;&gt;""))*(('T_TTAFStock'!CY7&lt;&gt;""))&gt;0,'T_SelfStock'!CY7+'T_TTAFStock'!CY7,CX3+'Grid_Incoming'!CY3-'Grid_Requirement'!CY3))</f>
        <v/>
      </c>
      <c r="CZ3">
        <f>IF(COUNTIFS(T_StockCount[Part Name],$A3,T_StockCount[WeekIndex],103)&gt;0,SUMIFS(T_StockCount[CountedQty],T_StockCount[Part Name],$A3,T_StockCount[WeekIndex],103),IF((('T_SelfStock'!CZ7&lt;&gt;""))*(('T_TTAFStock'!CZ7&lt;&gt;""))&gt;0,'T_SelfStock'!CZ7+'T_TTAFStock'!CZ7,CY3+'Grid_Incoming'!CZ3-'Grid_Requirement'!CZ3))</f>
        <v/>
      </c>
      <c r="DA3">
        <f>IF(COUNTIFS(T_StockCount[Part Name],$A3,T_StockCount[WeekIndex],104)&gt;0,SUMIFS(T_StockCount[CountedQty],T_StockCount[Part Name],$A3,T_StockCount[WeekIndex],104),IF((('T_SelfStock'!DA7&lt;&gt;""))*(('T_TTAFStock'!DA7&lt;&gt;""))&gt;0,'T_SelfStock'!DA7+'T_TTAFStock'!DA7,CZ3+'Grid_Incoming'!DA3-'Grid_Requirement'!DA3))</f>
        <v/>
      </c>
    </row>
    <row r="4">
      <c r="A4" t="inlineStr">
        <is>
          <t>4HL</t>
        </is>
      </c>
      <c r="B4">
        <f>IF(COUNTIFS(T_StockCount[Part Name],$A4,T_StockCount[WeekIndex],1)&gt;0,SUMIFS(T_StockCount[CountedQty],T_StockCount[Part Name],$A4,T_StockCount[WeekIndex],1),IF((('T_SelfStock'!B8&lt;&gt;""))*(('T_TTAFStock'!B8&lt;&gt;""))&gt;0,'T_SelfStock'!B8+'T_TTAFStock'!B8,IFERROR(INDEX(T_OpeningStock[Opening_Qty_要入力],MATCH($A4,T_OpeningStock[Part Name],0)),0)+'Grid_Incoming'!B4-'Grid_Requirement'!B4))</f>
        <v/>
      </c>
      <c r="C4">
        <f>IF(COUNTIFS(T_StockCount[Part Name],$A4,T_StockCount[WeekIndex],2)&gt;0,SUMIFS(T_StockCount[CountedQty],T_StockCount[Part Name],$A4,T_StockCount[WeekIndex],2),IF((('T_SelfStock'!C8&lt;&gt;""))*(('T_TTAFStock'!C8&lt;&gt;""))&gt;0,'T_SelfStock'!C8+'T_TTAFStock'!C8,B4+'Grid_Incoming'!C4-'Grid_Requirement'!C4))</f>
        <v/>
      </c>
      <c r="D4">
        <f>IF(COUNTIFS(T_StockCount[Part Name],$A4,T_StockCount[WeekIndex],3)&gt;0,SUMIFS(T_StockCount[CountedQty],T_StockCount[Part Name],$A4,T_StockCount[WeekIndex],3),IF((('T_SelfStock'!D8&lt;&gt;""))*(('T_TTAFStock'!D8&lt;&gt;""))&gt;0,'T_SelfStock'!D8+'T_TTAFStock'!D8,C4+'Grid_Incoming'!D4-'Grid_Requirement'!D4))</f>
        <v/>
      </c>
      <c r="E4">
        <f>IF(COUNTIFS(T_StockCount[Part Name],$A4,T_StockCount[WeekIndex],4)&gt;0,SUMIFS(T_StockCount[CountedQty],T_StockCount[Part Name],$A4,T_StockCount[WeekIndex],4),IF((('T_SelfStock'!E8&lt;&gt;""))*(('T_TTAFStock'!E8&lt;&gt;""))&gt;0,'T_SelfStock'!E8+'T_TTAFStock'!E8,D4+'Grid_Incoming'!E4-'Grid_Requirement'!E4))</f>
        <v/>
      </c>
      <c r="F4">
        <f>IF(COUNTIFS(T_StockCount[Part Name],$A4,T_StockCount[WeekIndex],5)&gt;0,SUMIFS(T_StockCount[CountedQty],T_StockCount[Part Name],$A4,T_StockCount[WeekIndex],5),IF((('T_SelfStock'!F8&lt;&gt;""))*(('T_TTAFStock'!F8&lt;&gt;""))&gt;0,'T_SelfStock'!F8+'T_TTAFStock'!F8,E4+'Grid_Incoming'!F4-'Grid_Requirement'!F4))</f>
        <v/>
      </c>
      <c r="G4">
        <f>IF(COUNTIFS(T_StockCount[Part Name],$A4,T_StockCount[WeekIndex],6)&gt;0,SUMIFS(T_StockCount[CountedQty],T_StockCount[Part Name],$A4,T_StockCount[WeekIndex],6),IF((('T_SelfStock'!G8&lt;&gt;""))*(('T_TTAFStock'!G8&lt;&gt;""))&gt;0,'T_SelfStock'!G8+'T_TTAFStock'!G8,F4+'Grid_Incoming'!G4-'Grid_Requirement'!G4))</f>
        <v/>
      </c>
      <c r="H4">
        <f>IF(COUNTIFS(T_StockCount[Part Name],$A4,T_StockCount[WeekIndex],7)&gt;0,SUMIFS(T_StockCount[CountedQty],T_StockCount[Part Name],$A4,T_StockCount[WeekIndex],7),IF((('T_SelfStock'!H8&lt;&gt;""))*(('T_TTAFStock'!H8&lt;&gt;""))&gt;0,'T_SelfStock'!H8+'T_TTAFStock'!H8,G4+'Grid_Incoming'!H4-'Grid_Requirement'!H4))</f>
        <v/>
      </c>
      <c r="I4">
        <f>IF(COUNTIFS(T_StockCount[Part Name],$A4,T_StockCount[WeekIndex],8)&gt;0,SUMIFS(T_StockCount[CountedQty],T_StockCount[Part Name],$A4,T_StockCount[WeekIndex],8),IF((('T_SelfStock'!I8&lt;&gt;""))*(('T_TTAFStock'!I8&lt;&gt;""))&gt;0,'T_SelfStock'!I8+'T_TTAFStock'!I8,H4+'Grid_Incoming'!I4-'Grid_Requirement'!I4))</f>
        <v/>
      </c>
      <c r="J4">
        <f>IF(COUNTIFS(T_StockCount[Part Name],$A4,T_StockCount[WeekIndex],9)&gt;0,SUMIFS(T_StockCount[CountedQty],T_StockCount[Part Name],$A4,T_StockCount[WeekIndex],9),IF((('T_SelfStock'!J8&lt;&gt;""))*(('T_TTAFStock'!J8&lt;&gt;""))&gt;0,'T_SelfStock'!J8+'T_TTAFStock'!J8,I4+'Grid_Incoming'!J4-'Grid_Requirement'!J4))</f>
        <v/>
      </c>
      <c r="K4">
        <f>IF(COUNTIFS(T_StockCount[Part Name],$A4,T_StockCount[WeekIndex],10)&gt;0,SUMIFS(T_StockCount[CountedQty],T_StockCount[Part Name],$A4,T_StockCount[WeekIndex],10),IF((('T_SelfStock'!K8&lt;&gt;""))*(('T_TTAFStock'!K8&lt;&gt;""))&gt;0,'T_SelfStock'!K8+'T_TTAFStock'!K8,J4+'Grid_Incoming'!K4-'Grid_Requirement'!K4))</f>
        <v/>
      </c>
      <c r="L4">
        <f>IF(COUNTIFS(T_StockCount[Part Name],$A4,T_StockCount[WeekIndex],11)&gt;0,SUMIFS(T_StockCount[CountedQty],T_StockCount[Part Name],$A4,T_StockCount[WeekIndex],11),IF((('T_SelfStock'!L8&lt;&gt;""))*(('T_TTAFStock'!L8&lt;&gt;""))&gt;0,'T_SelfStock'!L8+'T_TTAFStock'!L8,K4+'Grid_Incoming'!L4-'Grid_Requirement'!L4))</f>
        <v/>
      </c>
      <c r="M4">
        <f>IF(COUNTIFS(T_StockCount[Part Name],$A4,T_StockCount[WeekIndex],12)&gt;0,SUMIFS(T_StockCount[CountedQty],T_StockCount[Part Name],$A4,T_StockCount[WeekIndex],12),IF((('T_SelfStock'!M8&lt;&gt;""))*(('T_TTAFStock'!M8&lt;&gt;""))&gt;0,'T_SelfStock'!M8+'T_TTAFStock'!M8,L4+'Grid_Incoming'!M4-'Grid_Requirement'!M4))</f>
        <v/>
      </c>
      <c r="N4">
        <f>IF(COUNTIFS(T_StockCount[Part Name],$A4,T_StockCount[WeekIndex],13)&gt;0,SUMIFS(T_StockCount[CountedQty],T_StockCount[Part Name],$A4,T_StockCount[WeekIndex],13),IF((('T_SelfStock'!N8&lt;&gt;""))*(('T_TTAFStock'!N8&lt;&gt;""))&gt;0,'T_SelfStock'!N8+'T_TTAFStock'!N8,M4+'Grid_Incoming'!N4-'Grid_Requirement'!N4))</f>
        <v/>
      </c>
      <c r="O4">
        <f>IF(COUNTIFS(T_StockCount[Part Name],$A4,T_StockCount[WeekIndex],14)&gt;0,SUMIFS(T_StockCount[CountedQty],T_StockCount[Part Name],$A4,T_StockCount[WeekIndex],14),IF((('T_SelfStock'!O8&lt;&gt;""))*(('T_TTAFStock'!O8&lt;&gt;""))&gt;0,'T_SelfStock'!O8+'T_TTAFStock'!O8,N4+'Grid_Incoming'!O4-'Grid_Requirement'!O4))</f>
        <v/>
      </c>
      <c r="P4">
        <f>IF(COUNTIFS(T_StockCount[Part Name],$A4,T_StockCount[WeekIndex],15)&gt;0,SUMIFS(T_StockCount[CountedQty],T_StockCount[Part Name],$A4,T_StockCount[WeekIndex],15),IF((('T_SelfStock'!P8&lt;&gt;""))*(('T_TTAFStock'!P8&lt;&gt;""))&gt;0,'T_SelfStock'!P8+'T_TTAFStock'!P8,O4+'Grid_Incoming'!P4-'Grid_Requirement'!P4))</f>
        <v/>
      </c>
      <c r="Q4">
        <f>IF(COUNTIFS(T_StockCount[Part Name],$A4,T_StockCount[WeekIndex],16)&gt;0,SUMIFS(T_StockCount[CountedQty],T_StockCount[Part Name],$A4,T_StockCount[WeekIndex],16),IF((('T_SelfStock'!Q8&lt;&gt;""))*(('T_TTAFStock'!Q8&lt;&gt;""))&gt;0,'T_SelfStock'!Q8+'T_TTAFStock'!Q8,P4+'Grid_Incoming'!Q4-'Grid_Requirement'!Q4))</f>
        <v/>
      </c>
      <c r="R4">
        <f>IF(COUNTIFS(T_StockCount[Part Name],$A4,T_StockCount[WeekIndex],17)&gt;0,SUMIFS(T_StockCount[CountedQty],T_StockCount[Part Name],$A4,T_StockCount[WeekIndex],17),IF((('T_SelfStock'!R8&lt;&gt;""))*(('T_TTAFStock'!R8&lt;&gt;""))&gt;0,'T_SelfStock'!R8+'T_TTAFStock'!R8,Q4+'Grid_Incoming'!R4-'Grid_Requirement'!R4))</f>
        <v/>
      </c>
      <c r="S4">
        <f>IF(COUNTIFS(T_StockCount[Part Name],$A4,T_StockCount[WeekIndex],18)&gt;0,SUMIFS(T_StockCount[CountedQty],T_StockCount[Part Name],$A4,T_StockCount[WeekIndex],18),IF((('T_SelfStock'!S8&lt;&gt;""))*(('T_TTAFStock'!S8&lt;&gt;""))&gt;0,'T_SelfStock'!S8+'T_TTAFStock'!S8,R4+'Grid_Incoming'!S4-'Grid_Requirement'!S4))</f>
        <v/>
      </c>
      <c r="T4">
        <f>IF(COUNTIFS(T_StockCount[Part Name],$A4,T_StockCount[WeekIndex],19)&gt;0,SUMIFS(T_StockCount[CountedQty],T_StockCount[Part Name],$A4,T_StockCount[WeekIndex],19),IF((('T_SelfStock'!T8&lt;&gt;""))*(('T_TTAFStock'!T8&lt;&gt;""))&gt;0,'T_SelfStock'!T8+'T_TTAFStock'!T8,S4+'Grid_Incoming'!T4-'Grid_Requirement'!T4))</f>
        <v/>
      </c>
      <c r="U4">
        <f>IF(COUNTIFS(T_StockCount[Part Name],$A4,T_StockCount[WeekIndex],20)&gt;0,SUMIFS(T_StockCount[CountedQty],T_StockCount[Part Name],$A4,T_StockCount[WeekIndex],20),IF((('T_SelfStock'!U8&lt;&gt;""))*(('T_TTAFStock'!U8&lt;&gt;""))&gt;0,'T_SelfStock'!U8+'T_TTAFStock'!U8,T4+'Grid_Incoming'!U4-'Grid_Requirement'!U4))</f>
        <v/>
      </c>
      <c r="V4">
        <f>IF(COUNTIFS(T_StockCount[Part Name],$A4,T_StockCount[WeekIndex],21)&gt;0,SUMIFS(T_StockCount[CountedQty],T_StockCount[Part Name],$A4,T_StockCount[WeekIndex],21),IF((('T_SelfStock'!V8&lt;&gt;""))*(('T_TTAFStock'!V8&lt;&gt;""))&gt;0,'T_SelfStock'!V8+'T_TTAFStock'!V8,U4+'Grid_Incoming'!V4-'Grid_Requirement'!V4))</f>
        <v/>
      </c>
      <c r="W4">
        <f>IF(COUNTIFS(T_StockCount[Part Name],$A4,T_StockCount[WeekIndex],22)&gt;0,SUMIFS(T_StockCount[CountedQty],T_StockCount[Part Name],$A4,T_StockCount[WeekIndex],22),IF((('T_SelfStock'!W8&lt;&gt;""))*(('T_TTAFStock'!W8&lt;&gt;""))&gt;0,'T_SelfStock'!W8+'T_TTAFStock'!W8,V4+'Grid_Incoming'!W4-'Grid_Requirement'!W4))</f>
        <v/>
      </c>
      <c r="X4">
        <f>IF(COUNTIFS(T_StockCount[Part Name],$A4,T_StockCount[WeekIndex],23)&gt;0,SUMIFS(T_StockCount[CountedQty],T_StockCount[Part Name],$A4,T_StockCount[WeekIndex],23),IF((('T_SelfStock'!X8&lt;&gt;""))*(('T_TTAFStock'!X8&lt;&gt;""))&gt;0,'T_SelfStock'!X8+'T_TTAFStock'!X8,W4+'Grid_Incoming'!X4-'Grid_Requirement'!X4))</f>
        <v/>
      </c>
      <c r="Y4">
        <f>IF(COUNTIFS(T_StockCount[Part Name],$A4,T_StockCount[WeekIndex],24)&gt;0,SUMIFS(T_StockCount[CountedQty],T_StockCount[Part Name],$A4,T_StockCount[WeekIndex],24),IF((('T_SelfStock'!Y8&lt;&gt;""))*(('T_TTAFStock'!Y8&lt;&gt;""))&gt;0,'T_SelfStock'!Y8+'T_TTAFStock'!Y8,X4+'Grid_Incoming'!Y4-'Grid_Requirement'!Y4))</f>
        <v/>
      </c>
      <c r="Z4">
        <f>IF(COUNTIFS(T_StockCount[Part Name],$A4,T_StockCount[WeekIndex],25)&gt;0,SUMIFS(T_StockCount[CountedQty],T_StockCount[Part Name],$A4,T_StockCount[WeekIndex],25),IF((('T_SelfStock'!Z8&lt;&gt;""))*(('T_TTAFStock'!Z8&lt;&gt;""))&gt;0,'T_SelfStock'!Z8+'T_TTAFStock'!Z8,Y4+'Grid_Incoming'!Z4-'Grid_Requirement'!Z4))</f>
        <v/>
      </c>
      <c r="AA4">
        <f>IF(COUNTIFS(T_StockCount[Part Name],$A4,T_StockCount[WeekIndex],26)&gt;0,SUMIFS(T_StockCount[CountedQty],T_StockCount[Part Name],$A4,T_StockCount[WeekIndex],26),IF((('T_SelfStock'!AA8&lt;&gt;""))*(('T_TTAFStock'!AA8&lt;&gt;""))&gt;0,'T_SelfStock'!AA8+'T_TTAFStock'!AA8,Z4+'Grid_Incoming'!AA4-'Grid_Requirement'!AA4))</f>
        <v/>
      </c>
      <c r="AB4">
        <f>IF(COUNTIFS(T_StockCount[Part Name],$A4,T_StockCount[WeekIndex],27)&gt;0,SUMIFS(T_StockCount[CountedQty],T_StockCount[Part Name],$A4,T_StockCount[WeekIndex],27),IF((('T_SelfStock'!AB8&lt;&gt;""))*(('T_TTAFStock'!AB8&lt;&gt;""))&gt;0,'T_SelfStock'!AB8+'T_TTAFStock'!AB8,AA4+'Grid_Incoming'!AB4-'Grid_Requirement'!AB4))</f>
        <v/>
      </c>
      <c r="AC4">
        <f>IF(COUNTIFS(T_StockCount[Part Name],$A4,T_StockCount[WeekIndex],28)&gt;0,SUMIFS(T_StockCount[CountedQty],T_StockCount[Part Name],$A4,T_StockCount[WeekIndex],28),IF((('T_SelfStock'!AC8&lt;&gt;""))*(('T_TTAFStock'!AC8&lt;&gt;""))&gt;0,'T_SelfStock'!AC8+'T_TTAFStock'!AC8,AB4+'Grid_Incoming'!AC4-'Grid_Requirement'!AC4))</f>
        <v/>
      </c>
      <c r="AD4">
        <f>IF(COUNTIFS(T_StockCount[Part Name],$A4,T_StockCount[WeekIndex],29)&gt;0,SUMIFS(T_StockCount[CountedQty],T_StockCount[Part Name],$A4,T_StockCount[WeekIndex],29),IF((('T_SelfStock'!AD8&lt;&gt;""))*(('T_TTAFStock'!AD8&lt;&gt;""))&gt;0,'T_SelfStock'!AD8+'T_TTAFStock'!AD8,AC4+'Grid_Incoming'!AD4-'Grid_Requirement'!AD4))</f>
        <v/>
      </c>
      <c r="AE4">
        <f>IF(COUNTIFS(T_StockCount[Part Name],$A4,T_StockCount[WeekIndex],30)&gt;0,SUMIFS(T_StockCount[CountedQty],T_StockCount[Part Name],$A4,T_StockCount[WeekIndex],30),IF((('T_SelfStock'!AE8&lt;&gt;""))*(('T_TTAFStock'!AE8&lt;&gt;""))&gt;0,'T_SelfStock'!AE8+'T_TTAFStock'!AE8,AD4+'Grid_Incoming'!AE4-'Grid_Requirement'!AE4))</f>
        <v/>
      </c>
      <c r="AF4">
        <f>IF(COUNTIFS(T_StockCount[Part Name],$A4,T_StockCount[WeekIndex],31)&gt;0,SUMIFS(T_StockCount[CountedQty],T_StockCount[Part Name],$A4,T_StockCount[WeekIndex],31),IF((('T_SelfStock'!AF8&lt;&gt;""))*(('T_TTAFStock'!AF8&lt;&gt;""))&gt;0,'T_SelfStock'!AF8+'T_TTAFStock'!AF8,AE4+'Grid_Incoming'!AF4-'Grid_Requirement'!AF4))</f>
        <v/>
      </c>
      <c r="AG4">
        <f>IF(COUNTIFS(T_StockCount[Part Name],$A4,T_StockCount[WeekIndex],32)&gt;0,SUMIFS(T_StockCount[CountedQty],T_StockCount[Part Name],$A4,T_StockCount[WeekIndex],32),IF((('T_SelfStock'!AG8&lt;&gt;""))*(('T_TTAFStock'!AG8&lt;&gt;""))&gt;0,'T_SelfStock'!AG8+'T_TTAFStock'!AG8,AF4+'Grid_Incoming'!AG4-'Grid_Requirement'!AG4))</f>
        <v/>
      </c>
      <c r="AH4">
        <f>IF(COUNTIFS(T_StockCount[Part Name],$A4,T_StockCount[WeekIndex],33)&gt;0,SUMIFS(T_StockCount[CountedQty],T_StockCount[Part Name],$A4,T_StockCount[WeekIndex],33),IF((('T_SelfStock'!AH8&lt;&gt;""))*(('T_TTAFStock'!AH8&lt;&gt;""))&gt;0,'T_SelfStock'!AH8+'T_TTAFStock'!AH8,AG4+'Grid_Incoming'!AH4-'Grid_Requirement'!AH4))</f>
        <v/>
      </c>
      <c r="AI4">
        <f>IF(COUNTIFS(T_StockCount[Part Name],$A4,T_StockCount[WeekIndex],34)&gt;0,SUMIFS(T_StockCount[CountedQty],T_StockCount[Part Name],$A4,T_StockCount[WeekIndex],34),IF((('T_SelfStock'!AI8&lt;&gt;""))*(('T_TTAFStock'!AI8&lt;&gt;""))&gt;0,'T_SelfStock'!AI8+'T_TTAFStock'!AI8,AH4+'Grid_Incoming'!AI4-'Grid_Requirement'!AI4))</f>
        <v/>
      </c>
      <c r="AJ4">
        <f>IF(COUNTIFS(T_StockCount[Part Name],$A4,T_StockCount[WeekIndex],35)&gt;0,SUMIFS(T_StockCount[CountedQty],T_StockCount[Part Name],$A4,T_StockCount[WeekIndex],35),IF((('T_SelfStock'!AJ8&lt;&gt;""))*(('T_TTAFStock'!AJ8&lt;&gt;""))&gt;0,'T_SelfStock'!AJ8+'T_TTAFStock'!AJ8,AI4+'Grid_Incoming'!AJ4-'Grid_Requirement'!AJ4))</f>
        <v/>
      </c>
      <c r="AK4">
        <f>IF(COUNTIFS(T_StockCount[Part Name],$A4,T_StockCount[WeekIndex],36)&gt;0,SUMIFS(T_StockCount[CountedQty],T_StockCount[Part Name],$A4,T_StockCount[WeekIndex],36),IF((('T_SelfStock'!AK8&lt;&gt;""))*(('T_TTAFStock'!AK8&lt;&gt;""))&gt;0,'T_SelfStock'!AK8+'T_TTAFStock'!AK8,AJ4+'Grid_Incoming'!AK4-'Grid_Requirement'!AK4))</f>
        <v/>
      </c>
      <c r="AL4">
        <f>IF(COUNTIFS(T_StockCount[Part Name],$A4,T_StockCount[WeekIndex],37)&gt;0,SUMIFS(T_StockCount[CountedQty],T_StockCount[Part Name],$A4,T_StockCount[WeekIndex],37),IF((('T_SelfStock'!AL8&lt;&gt;""))*(('T_TTAFStock'!AL8&lt;&gt;""))&gt;0,'T_SelfStock'!AL8+'T_TTAFStock'!AL8,AK4+'Grid_Incoming'!AL4-'Grid_Requirement'!AL4))</f>
        <v/>
      </c>
      <c r="AM4">
        <f>IF(COUNTIFS(T_StockCount[Part Name],$A4,T_StockCount[WeekIndex],38)&gt;0,SUMIFS(T_StockCount[CountedQty],T_StockCount[Part Name],$A4,T_StockCount[WeekIndex],38),IF((('T_SelfStock'!AM8&lt;&gt;""))*(('T_TTAFStock'!AM8&lt;&gt;""))&gt;0,'T_SelfStock'!AM8+'T_TTAFStock'!AM8,AL4+'Grid_Incoming'!AM4-'Grid_Requirement'!AM4))</f>
        <v/>
      </c>
      <c r="AN4">
        <f>IF(COUNTIFS(T_StockCount[Part Name],$A4,T_StockCount[WeekIndex],39)&gt;0,SUMIFS(T_StockCount[CountedQty],T_StockCount[Part Name],$A4,T_StockCount[WeekIndex],39),IF((('T_SelfStock'!AN8&lt;&gt;""))*(('T_TTAFStock'!AN8&lt;&gt;""))&gt;0,'T_SelfStock'!AN8+'T_TTAFStock'!AN8,AM4+'Grid_Incoming'!AN4-'Grid_Requirement'!AN4))</f>
        <v/>
      </c>
      <c r="AO4">
        <f>IF(COUNTIFS(T_StockCount[Part Name],$A4,T_StockCount[WeekIndex],40)&gt;0,SUMIFS(T_StockCount[CountedQty],T_StockCount[Part Name],$A4,T_StockCount[WeekIndex],40),IF((('T_SelfStock'!AO8&lt;&gt;""))*(('T_TTAFStock'!AO8&lt;&gt;""))&gt;0,'T_SelfStock'!AO8+'T_TTAFStock'!AO8,AN4+'Grid_Incoming'!AO4-'Grid_Requirement'!AO4))</f>
        <v/>
      </c>
      <c r="AP4">
        <f>IF(COUNTIFS(T_StockCount[Part Name],$A4,T_StockCount[WeekIndex],41)&gt;0,SUMIFS(T_StockCount[CountedQty],T_StockCount[Part Name],$A4,T_StockCount[WeekIndex],41),IF((('T_SelfStock'!AP8&lt;&gt;""))*(('T_TTAFStock'!AP8&lt;&gt;""))&gt;0,'T_SelfStock'!AP8+'T_TTAFStock'!AP8,AO4+'Grid_Incoming'!AP4-'Grid_Requirement'!AP4))</f>
        <v/>
      </c>
      <c r="AQ4">
        <f>IF(COUNTIFS(T_StockCount[Part Name],$A4,T_StockCount[WeekIndex],42)&gt;0,SUMIFS(T_StockCount[CountedQty],T_StockCount[Part Name],$A4,T_StockCount[WeekIndex],42),IF((('T_SelfStock'!AQ8&lt;&gt;""))*(('T_TTAFStock'!AQ8&lt;&gt;""))&gt;0,'T_SelfStock'!AQ8+'T_TTAFStock'!AQ8,AP4+'Grid_Incoming'!AQ4-'Grid_Requirement'!AQ4))</f>
        <v/>
      </c>
      <c r="AR4">
        <f>IF(COUNTIFS(T_StockCount[Part Name],$A4,T_StockCount[WeekIndex],43)&gt;0,SUMIFS(T_StockCount[CountedQty],T_StockCount[Part Name],$A4,T_StockCount[WeekIndex],43),IF((('T_SelfStock'!AR8&lt;&gt;""))*(('T_TTAFStock'!AR8&lt;&gt;""))&gt;0,'T_SelfStock'!AR8+'T_TTAFStock'!AR8,AQ4+'Grid_Incoming'!AR4-'Grid_Requirement'!AR4))</f>
        <v/>
      </c>
      <c r="AS4">
        <f>IF(COUNTIFS(T_StockCount[Part Name],$A4,T_StockCount[WeekIndex],44)&gt;0,SUMIFS(T_StockCount[CountedQty],T_StockCount[Part Name],$A4,T_StockCount[WeekIndex],44),IF((('T_SelfStock'!AS8&lt;&gt;""))*(('T_TTAFStock'!AS8&lt;&gt;""))&gt;0,'T_SelfStock'!AS8+'T_TTAFStock'!AS8,AR4+'Grid_Incoming'!AS4-'Grid_Requirement'!AS4))</f>
        <v/>
      </c>
      <c r="AT4">
        <f>IF(COUNTIFS(T_StockCount[Part Name],$A4,T_StockCount[WeekIndex],45)&gt;0,SUMIFS(T_StockCount[CountedQty],T_StockCount[Part Name],$A4,T_StockCount[WeekIndex],45),IF((('T_SelfStock'!AT8&lt;&gt;""))*(('T_TTAFStock'!AT8&lt;&gt;""))&gt;0,'T_SelfStock'!AT8+'T_TTAFStock'!AT8,AS4+'Grid_Incoming'!AT4-'Grid_Requirement'!AT4))</f>
        <v/>
      </c>
      <c r="AU4">
        <f>IF(COUNTIFS(T_StockCount[Part Name],$A4,T_StockCount[WeekIndex],46)&gt;0,SUMIFS(T_StockCount[CountedQty],T_StockCount[Part Name],$A4,T_StockCount[WeekIndex],46),IF((('T_SelfStock'!AU8&lt;&gt;""))*(('T_TTAFStock'!AU8&lt;&gt;""))&gt;0,'T_SelfStock'!AU8+'T_TTAFStock'!AU8,AT4+'Grid_Incoming'!AU4-'Grid_Requirement'!AU4))</f>
        <v/>
      </c>
      <c r="AV4">
        <f>IF(COUNTIFS(T_StockCount[Part Name],$A4,T_StockCount[WeekIndex],47)&gt;0,SUMIFS(T_StockCount[CountedQty],T_StockCount[Part Name],$A4,T_StockCount[WeekIndex],47),IF((('T_SelfStock'!AV8&lt;&gt;""))*(('T_TTAFStock'!AV8&lt;&gt;""))&gt;0,'T_SelfStock'!AV8+'T_TTAFStock'!AV8,AU4+'Grid_Incoming'!AV4-'Grid_Requirement'!AV4))</f>
        <v/>
      </c>
      <c r="AW4">
        <f>IF(COUNTIFS(T_StockCount[Part Name],$A4,T_StockCount[WeekIndex],48)&gt;0,SUMIFS(T_StockCount[CountedQty],T_StockCount[Part Name],$A4,T_StockCount[WeekIndex],48),IF((('T_SelfStock'!AW8&lt;&gt;""))*(('T_TTAFStock'!AW8&lt;&gt;""))&gt;0,'T_SelfStock'!AW8+'T_TTAFStock'!AW8,AV4+'Grid_Incoming'!AW4-'Grid_Requirement'!AW4))</f>
        <v/>
      </c>
      <c r="AX4">
        <f>IF(COUNTIFS(T_StockCount[Part Name],$A4,T_StockCount[WeekIndex],49)&gt;0,SUMIFS(T_StockCount[CountedQty],T_StockCount[Part Name],$A4,T_StockCount[WeekIndex],49),IF((('T_SelfStock'!AX8&lt;&gt;""))*(('T_TTAFStock'!AX8&lt;&gt;""))&gt;0,'T_SelfStock'!AX8+'T_TTAFStock'!AX8,AW4+'Grid_Incoming'!AX4-'Grid_Requirement'!AX4))</f>
        <v/>
      </c>
      <c r="AY4">
        <f>IF(COUNTIFS(T_StockCount[Part Name],$A4,T_StockCount[WeekIndex],50)&gt;0,SUMIFS(T_StockCount[CountedQty],T_StockCount[Part Name],$A4,T_StockCount[WeekIndex],50),IF((('T_SelfStock'!AY8&lt;&gt;""))*(('T_TTAFStock'!AY8&lt;&gt;""))&gt;0,'T_SelfStock'!AY8+'T_TTAFStock'!AY8,AX4+'Grid_Incoming'!AY4-'Grid_Requirement'!AY4))</f>
        <v/>
      </c>
      <c r="AZ4">
        <f>IF(COUNTIFS(T_StockCount[Part Name],$A4,T_StockCount[WeekIndex],51)&gt;0,SUMIFS(T_StockCount[CountedQty],T_StockCount[Part Name],$A4,T_StockCount[WeekIndex],51),IF((('T_SelfStock'!AZ8&lt;&gt;""))*(('T_TTAFStock'!AZ8&lt;&gt;""))&gt;0,'T_SelfStock'!AZ8+'T_TTAFStock'!AZ8,AY4+'Grid_Incoming'!AZ4-'Grid_Requirement'!AZ4))</f>
        <v/>
      </c>
      <c r="BA4">
        <f>IF(COUNTIFS(T_StockCount[Part Name],$A4,T_StockCount[WeekIndex],52)&gt;0,SUMIFS(T_StockCount[CountedQty],T_StockCount[Part Name],$A4,T_StockCount[WeekIndex],52),IF((('T_SelfStock'!BA8&lt;&gt;""))*(('T_TTAFStock'!BA8&lt;&gt;""))&gt;0,'T_SelfStock'!BA8+'T_TTAFStock'!BA8,AZ4+'Grid_Incoming'!BA4-'Grid_Requirement'!BA4))</f>
        <v/>
      </c>
      <c r="BB4">
        <f>IF(COUNTIFS(T_StockCount[Part Name],$A4,T_StockCount[WeekIndex],53)&gt;0,SUMIFS(T_StockCount[CountedQty],T_StockCount[Part Name],$A4,T_StockCount[WeekIndex],53),IF((('T_SelfStock'!BB8&lt;&gt;""))*(('T_TTAFStock'!BB8&lt;&gt;""))&gt;0,'T_SelfStock'!BB8+'T_TTAFStock'!BB8,BA4+'Grid_Incoming'!BB4-'Grid_Requirement'!BB4))</f>
        <v/>
      </c>
      <c r="BC4">
        <f>IF(COUNTIFS(T_StockCount[Part Name],$A4,T_StockCount[WeekIndex],54)&gt;0,SUMIFS(T_StockCount[CountedQty],T_StockCount[Part Name],$A4,T_StockCount[WeekIndex],54),IF((('T_SelfStock'!BC8&lt;&gt;""))*(('T_TTAFStock'!BC8&lt;&gt;""))&gt;0,'T_SelfStock'!BC8+'T_TTAFStock'!BC8,BB4+'Grid_Incoming'!BC4-'Grid_Requirement'!BC4))</f>
        <v/>
      </c>
      <c r="BD4">
        <f>IF(COUNTIFS(T_StockCount[Part Name],$A4,T_StockCount[WeekIndex],55)&gt;0,SUMIFS(T_StockCount[CountedQty],T_StockCount[Part Name],$A4,T_StockCount[WeekIndex],55),IF((('T_SelfStock'!BD8&lt;&gt;""))*(('T_TTAFStock'!BD8&lt;&gt;""))&gt;0,'T_SelfStock'!BD8+'T_TTAFStock'!BD8,BC4+'Grid_Incoming'!BD4-'Grid_Requirement'!BD4))</f>
        <v/>
      </c>
      <c r="BE4">
        <f>IF(COUNTIFS(T_StockCount[Part Name],$A4,T_StockCount[WeekIndex],56)&gt;0,SUMIFS(T_StockCount[CountedQty],T_StockCount[Part Name],$A4,T_StockCount[WeekIndex],56),IF((('T_SelfStock'!BE8&lt;&gt;""))*(('T_TTAFStock'!BE8&lt;&gt;""))&gt;0,'T_SelfStock'!BE8+'T_TTAFStock'!BE8,BD4+'Grid_Incoming'!BE4-'Grid_Requirement'!BE4))</f>
        <v/>
      </c>
      <c r="BF4">
        <f>IF(COUNTIFS(T_StockCount[Part Name],$A4,T_StockCount[WeekIndex],57)&gt;0,SUMIFS(T_StockCount[CountedQty],T_StockCount[Part Name],$A4,T_StockCount[WeekIndex],57),IF((('T_SelfStock'!BF8&lt;&gt;""))*(('T_TTAFStock'!BF8&lt;&gt;""))&gt;0,'T_SelfStock'!BF8+'T_TTAFStock'!BF8,BE4+'Grid_Incoming'!BF4-'Grid_Requirement'!BF4))</f>
        <v/>
      </c>
      <c r="BG4">
        <f>IF(COUNTIFS(T_StockCount[Part Name],$A4,T_StockCount[WeekIndex],58)&gt;0,SUMIFS(T_StockCount[CountedQty],T_StockCount[Part Name],$A4,T_StockCount[WeekIndex],58),IF((('T_SelfStock'!BG8&lt;&gt;""))*(('T_TTAFStock'!BG8&lt;&gt;""))&gt;0,'T_SelfStock'!BG8+'T_TTAFStock'!BG8,BF4+'Grid_Incoming'!BG4-'Grid_Requirement'!BG4))</f>
        <v/>
      </c>
      <c r="BH4">
        <f>IF(COUNTIFS(T_StockCount[Part Name],$A4,T_StockCount[WeekIndex],59)&gt;0,SUMIFS(T_StockCount[CountedQty],T_StockCount[Part Name],$A4,T_StockCount[WeekIndex],59),IF((('T_SelfStock'!BH8&lt;&gt;""))*(('T_TTAFStock'!BH8&lt;&gt;""))&gt;0,'T_SelfStock'!BH8+'T_TTAFStock'!BH8,BG4+'Grid_Incoming'!BH4-'Grid_Requirement'!BH4))</f>
        <v/>
      </c>
      <c r="BI4">
        <f>IF(COUNTIFS(T_StockCount[Part Name],$A4,T_StockCount[WeekIndex],60)&gt;0,SUMIFS(T_StockCount[CountedQty],T_StockCount[Part Name],$A4,T_StockCount[WeekIndex],60),IF((('T_SelfStock'!BI8&lt;&gt;""))*(('T_TTAFStock'!BI8&lt;&gt;""))&gt;0,'T_SelfStock'!BI8+'T_TTAFStock'!BI8,BH4+'Grid_Incoming'!BI4-'Grid_Requirement'!BI4))</f>
        <v/>
      </c>
      <c r="BJ4">
        <f>IF(COUNTIFS(T_StockCount[Part Name],$A4,T_StockCount[WeekIndex],61)&gt;0,SUMIFS(T_StockCount[CountedQty],T_StockCount[Part Name],$A4,T_StockCount[WeekIndex],61),IF((('T_SelfStock'!BJ8&lt;&gt;""))*(('T_TTAFStock'!BJ8&lt;&gt;""))&gt;0,'T_SelfStock'!BJ8+'T_TTAFStock'!BJ8,BI4+'Grid_Incoming'!BJ4-'Grid_Requirement'!BJ4))</f>
        <v/>
      </c>
      <c r="BK4">
        <f>IF(COUNTIFS(T_StockCount[Part Name],$A4,T_StockCount[WeekIndex],62)&gt;0,SUMIFS(T_StockCount[CountedQty],T_StockCount[Part Name],$A4,T_StockCount[WeekIndex],62),IF((('T_SelfStock'!BK8&lt;&gt;""))*(('T_TTAFStock'!BK8&lt;&gt;""))&gt;0,'T_SelfStock'!BK8+'T_TTAFStock'!BK8,BJ4+'Grid_Incoming'!BK4-'Grid_Requirement'!BK4))</f>
        <v/>
      </c>
      <c r="BL4">
        <f>IF(COUNTIFS(T_StockCount[Part Name],$A4,T_StockCount[WeekIndex],63)&gt;0,SUMIFS(T_StockCount[CountedQty],T_StockCount[Part Name],$A4,T_StockCount[WeekIndex],63),IF((('T_SelfStock'!BL8&lt;&gt;""))*(('T_TTAFStock'!BL8&lt;&gt;""))&gt;0,'T_SelfStock'!BL8+'T_TTAFStock'!BL8,BK4+'Grid_Incoming'!BL4-'Grid_Requirement'!BL4))</f>
        <v/>
      </c>
      <c r="BM4">
        <f>IF(COUNTIFS(T_StockCount[Part Name],$A4,T_StockCount[WeekIndex],64)&gt;0,SUMIFS(T_StockCount[CountedQty],T_StockCount[Part Name],$A4,T_StockCount[WeekIndex],64),IF((('T_SelfStock'!BM8&lt;&gt;""))*(('T_TTAFStock'!BM8&lt;&gt;""))&gt;0,'T_SelfStock'!BM8+'T_TTAFStock'!BM8,BL4+'Grid_Incoming'!BM4-'Grid_Requirement'!BM4))</f>
        <v/>
      </c>
      <c r="BN4">
        <f>IF(COUNTIFS(T_StockCount[Part Name],$A4,T_StockCount[WeekIndex],65)&gt;0,SUMIFS(T_StockCount[CountedQty],T_StockCount[Part Name],$A4,T_StockCount[WeekIndex],65),IF((('T_SelfStock'!BN8&lt;&gt;""))*(('T_TTAFStock'!BN8&lt;&gt;""))&gt;0,'T_SelfStock'!BN8+'T_TTAFStock'!BN8,BM4+'Grid_Incoming'!BN4-'Grid_Requirement'!BN4))</f>
        <v/>
      </c>
      <c r="BO4">
        <f>IF(COUNTIFS(T_StockCount[Part Name],$A4,T_StockCount[WeekIndex],66)&gt;0,SUMIFS(T_StockCount[CountedQty],T_StockCount[Part Name],$A4,T_StockCount[WeekIndex],66),IF((('T_SelfStock'!BO8&lt;&gt;""))*(('T_TTAFStock'!BO8&lt;&gt;""))&gt;0,'T_SelfStock'!BO8+'T_TTAFStock'!BO8,BN4+'Grid_Incoming'!BO4-'Grid_Requirement'!BO4))</f>
        <v/>
      </c>
      <c r="BP4">
        <f>IF(COUNTIFS(T_StockCount[Part Name],$A4,T_StockCount[WeekIndex],67)&gt;0,SUMIFS(T_StockCount[CountedQty],T_StockCount[Part Name],$A4,T_StockCount[WeekIndex],67),IF((('T_SelfStock'!BP8&lt;&gt;""))*(('T_TTAFStock'!BP8&lt;&gt;""))&gt;0,'T_SelfStock'!BP8+'T_TTAFStock'!BP8,BO4+'Grid_Incoming'!BP4-'Grid_Requirement'!BP4))</f>
        <v/>
      </c>
      <c r="BQ4">
        <f>IF(COUNTIFS(T_StockCount[Part Name],$A4,T_StockCount[WeekIndex],68)&gt;0,SUMIFS(T_StockCount[CountedQty],T_StockCount[Part Name],$A4,T_StockCount[WeekIndex],68),IF((('T_SelfStock'!BQ8&lt;&gt;""))*(('T_TTAFStock'!BQ8&lt;&gt;""))&gt;0,'T_SelfStock'!BQ8+'T_TTAFStock'!BQ8,BP4+'Grid_Incoming'!BQ4-'Grid_Requirement'!BQ4))</f>
        <v/>
      </c>
      <c r="BR4">
        <f>IF(COUNTIFS(T_StockCount[Part Name],$A4,T_StockCount[WeekIndex],69)&gt;0,SUMIFS(T_StockCount[CountedQty],T_StockCount[Part Name],$A4,T_StockCount[WeekIndex],69),IF((('T_SelfStock'!BR8&lt;&gt;""))*(('T_TTAFStock'!BR8&lt;&gt;""))&gt;0,'T_SelfStock'!BR8+'T_TTAFStock'!BR8,BQ4+'Grid_Incoming'!BR4-'Grid_Requirement'!BR4))</f>
        <v/>
      </c>
      <c r="BS4">
        <f>IF(COUNTIFS(T_StockCount[Part Name],$A4,T_StockCount[WeekIndex],70)&gt;0,SUMIFS(T_StockCount[CountedQty],T_StockCount[Part Name],$A4,T_StockCount[WeekIndex],70),IF((('T_SelfStock'!BS8&lt;&gt;""))*(('T_TTAFStock'!BS8&lt;&gt;""))&gt;0,'T_SelfStock'!BS8+'T_TTAFStock'!BS8,BR4+'Grid_Incoming'!BS4-'Grid_Requirement'!BS4))</f>
        <v/>
      </c>
      <c r="BT4">
        <f>IF(COUNTIFS(T_StockCount[Part Name],$A4,T_StockCount[WeekIndex],71)&gt;0,SUMIFS(T_StockCount[CountedQty],T_StockCount[Part Name],$A4,T_StockCount[WeekIndex],71),IF((('T_SelfStock'!BT8&lt;&gt;""))*(('T_TTAFStock'!BT8&lt;&gt;""))&gt;0,'T_SelfStock'!BT8+'T_TTAFStock'!BT8,BS4+'Grid_Incoming'!BT4-'Grid_Requirement'!BT4))</f>
        <v/>
      </c>
      <c r="BU4">
        <f>IF(COUNTIFS(T_StockCount[Part Name],$A4,T_StockCount[WeekIndex],72)&gt;0,SUMIFS(T_StockCount[CountedQty],T_StockCount[Part Name],$A4,T_StockCount[WeekIndex],72),IF((('T_SelfStock'!BU8&lt;&gt;""))*(('T_TTAFStock'!BU8&lt;&gt;""))&gt;0,'T_SelfStock'!BU8+'T_TTAFStock'!BU8,BT4+'Grid_Incoming'!BU4-'Grid_Requirement'!BU4))</f>
        <v/>
      </c>
      <c r="BV4">
        <f>IF(COUNTIFS(T_StockCount[Part Name],$A4,T_StockCount[WeekIndex],73)&gt;0,SUMIFS(T_StockCount[CountedQty],T_StockCount[Part Name],$A4,T_StockCount[WeekIndex],73),IF((('T_SelfStock'!BV8&lt;&gt;""))*(('T_TTAFStock'!BV8&lt;&gt;""))&gt;0,'T_SelfStock'!BV8+'T_TTAFStock'!BV8,BU4+'Grid_Incoming'!BV4-'Grid_Requirement'!BV4))</f>
        <v/>
      </c>
      <c r="BW4">
        <f>IF(COUNTIFS(T_StockCount[Part Name],$A4,T_StockCount[WeekIndex],74)&gt;0,SUMIFS(T_StockCount[CountedQty],T_StockCount[Part Name],$A4,T_StockCount[WeekIndex],74),IF((('T_SelfStock'!BW8&lt;&gt;""))*(('T_TTAFStock'!BW8&lt;&gt;""))&gt;0,'T_SelfStock'!BW8+'T_TTAFStock'!BW8,BV4+'Grid_Incoming'!BW4-'Grid_Requirement'!BW4))</f>
        <v/>
      </c>
      <c r="BX4">
        <f>IF(COUNTIFS(T_StockCount[Part Name],$A4,T_StockCount[WeekIndex],75)&gt;0,SUMIFS(T_StockCount[CountedQty],T_StockCount[Part Name],$A4,T_StockCount[WeekIndex],75),IF((('T_SelfStock'!BX8&lt;&gt;""))*(('T_TTAFStock'!BX8&lt;&gt;""))&gt;0,'T_SelfStock'!BX8+'T_TTAFStock'!BX8,BW4+'Grid_Incoming'!BX4-'Grid_Requirement'!BX4))</f>
        <v/>
      </c>
      <c r="BY4">
        <f>IF(COUNTIFS(T_StockCount[Part Name],$A4,T_StockCount[WeekIndex],76)&gt;0,SUMIFS(T_StockCount[CountedQty],T_StockCount[Part Name],$A4,T_StockCount[WeekIndex],76),IF((('T_SelfStock'!BY8&lt;&gt;""))*(('T_TTAFStock'!BY8&lt;&gt;""))&gt;0,'T_SelfStock'!BY8+'T_TTAFStock'!BY8,BX4+'Grid_Incoming'!BY4-'Grid_Requirement'!BY4))</f>
        <v/>
      </c>
      <c r="BZ4">
        <f>IF(COUNTIFS(T_StockCount[Part Name],$A4,T_StockCount[WeekIndex],77)&gt;0,SUMIFS(T_StockCount[CountedQty],T_StockCount[Part Name],$A4,T_StockCount[WeekIndex],77),IF((('T_SelfStock'!BZ8&lt;&gt;""))*(('T_TTAFStock'!BZ8&lt;&gt;""))&gt;0,'T_SelfStock'!BZ8+'T_TTAFStock'!BZ8,BY4+'Grid_Incoming'!BZ4-'Grid_Requirement'!BZ4))</f>
        <v/>
      </c>
      <c r="CA4">
        <f>IF(COUNTIFS(T_StockCount[Part Name],$A4,T_StockCount[WeekIndex],78)&gt;0,SUMIFS(T_StockCount[CountedQty],T_StockCount[Part Name],$A4,T_StockCount[WeekIndex],78),IF((('T_SelfStock'!CA8&lt;&gt;""))*(('T_TTAFStock'!CA8&lt;&gt;""))&gt;0,'T_SelfStock'!CA8+'T_TTAFStock'!CA8,BZ4+'Grid_Incoming'!CA4-'Grid_Requirement'!CA4))</f>
        <v/>
      </c>
      <c r="CB4">
        <f>IF(COUNTIFS(T_StockCount[Part Name],$A4,T_StockCount[WeekIndex],79)&gt;0,SUMIFS(T_StockCount[CountedQty],T_StockCount[Part Name],$A4,T_StockCount[WeekIndex],79),IF((('T_SelfStock'!CB8&lt;&gt;""))*(('T_TTAFStock'!CB8&lt;&gt;""))&gt;0,'T_SelfStock'!CB8+'T_TTAFStock'!CB8,CA4+'Grid_Incoming'!CB4-'Grid_Requirement'!CB4))</f>
        <v/>
      </c>
      <c r="CC4">
        <f>IF(COUNTIFS(T_StockCount[Part Name],$A4,T_StockCount[WeekIndex],80)&gt;0,SUMIFS(T_StockCount[CountedQty],T_StockCount[Part Name],$A4,T_StockCount[WeekIndex],80),IF((('T_SelfStock'!CC8&lt;&gt;""))*(('T_TTAFStock'!CC8&lt;&gt;""))&gt;0,'T_SelfStock'!CC8+'T_TTAFStock'!CC8,CB4+'Grid_Incoming'!CC4-'Grid_Requirement'!CC4))</f>
        <v/>
      </c>
      <c r="CD4">
        <f>IF(COUNTIFS(T_StockCount[Part Name],$A4,T_StockCount[WeekIndex],81)&gt;0,SUMIFS(T_StockCount[CountedQty],T_StockCount[Part Name],$A4,T_StockCount[WeekIndex],81),IF((('T_SelfStock'!CD8&lt;&gt;""))*(('T_TTAFStock'!CD8&lt;&gt;""))&gt;0,'T_SelfStock'!CD8+'T_TTAFStock'!CD8,CC4+'Grid_Incoming'!CD4-'Grid_Requirement'!CD4))</f>
        <v/>
      </c>
      <c r="CE4">
        <f>IF(COUNTIFS(T_StockCount[Part Name],$A4,T_StockCount[WeekIndex],82)&gt;0,SUMIFS(T_StockCount[CountedQty],T_StockCount[Part Name],$A4,T_StockCount[WeekIndex],82),IF((('T_SelfStock'!CE8&lt;&gt;""))*(('T_TTAFStock'!CE8&lt;&gt;""))&gt;0,'T_SelfStock'!CE8+'T_TTAFStock'!CE8,CD4+'Grid_Incoming'!CE4-'Grid_Requirement'!CE4))</f>
        <v/>
      </c>
      <c r="CF4">
        <f>IF(COUNTIFS(T_StockCount[Part Name],$A4,T_StockCount[WeekIndex],83)&gt;0,SUMIFS(T_StockCount[CountedQty],T_StockCount[Part Name],$A4,T_StockCount[WeekIndex],83),IF((('T_SelfStock'!CF8&lt;&gt;""))*(('T_TTAFStock'!CF8&lt;&gt;""))&gt;0,'T_SelfStock'!CF8+'T_TTAFStock'!CF8,CE4+'Grid_Incoming'!CF4-'Grid_Requirement'!CF4))</f>
        <v/>
      </c>
      <c r="CG4">
        <f>IF(COUNTIFS(T_StockCount[Part Name],$A4,T_StockCount[WeekIndex],84)&gt;0,SUMIFS(T_StockCount[CountedQty],T_StockCount[Part Name],$A4,T_StockCount[WeekIndex],84),IF((('T_SelfStock'!CG8&lt;&gt;""))*(('T_TTAFStock'!CG8&lt;&gt;""))&gt;0,'T_SelfStock'!CG8+'T_TTAFStock'!CG8,CF4+'Grid_Incoming'!CG4-'Grid_Requirement'!CG4))</f>
        <v/>
      </c>
      <c r="CH4">
        <f>IF(COUNTIFS(T_StockCount[Part Name],$A4,T_StockCount[WeekIndex],85)&gt;0,SUMIFS(T_StockCount[CountedQty],T_StockCount[Part Name],$A4,T_StockCount[WeekIndex],85),IF((('T_SelfStock'!CH8&lt;&gt;""))*(('T_TTAFStock'!CH8&lt;&gt;""))&gt;0,'T_SelfStock'!CH8+'T_TTAFStock'!CH8,CG4+'Grid_Incoming'!CH4-'Grid_Requirement'!CH4))</f>
        <v/>
      </c>
      <c r="CI4">
        <f>IF(COUNTIFS(T_StockCount[Part Name],$A4,T_StockCount[WeekIndex],86)&gt;0,SUMIFS(T_StockCount[CountedQty],T_StockCount[Part Name],$A4,T_StockCount[WeekIndex],86),IF((('T_SelfStock'!CI8&lt;&gt;""))*(('T_TTAFStock'!CI8&lt;&gt;""))&gt;0,'T_SelfStock'!CI8+'T_TTAFStock'!CI8,CH4+'Grid_Incoming'!CI4-'Grid_Requirement'!CI4))</f>
        <v/>
      </c>
      <c r="CJ4">
        <f>IF(COUNTIFS(T_StockCount[Part Name],$A4,T_StockCount[WeekIndex],87)&gt;0,SUMIFS(T_StockCount[CountedQty],T_StockCount[Part Name],$A4,T_StockCount[WeekIndex],87),IF((('T_SelfStock'!CJ8&lt;&gt;""))*(('T_TTAFStock'!CJ8&lt;&gt;""))&gt;0,'T_SelfStock'!CJ8+'T_TTAFStock'!CJ8,CI4+'Grid_Incoming'!CJ4-'Grid_Requirement'!CJ4))</f>
        <v/>
      </c>
      <c r="CK4">
        <f>IF(COUNTIFS(T_StockCount[Part Name],$A4,T_StockCount[WeekIndex],88)&gt;0,SUMIFS(T_StockCount[CountedQty],T_StockCount[Part Name],$A4,T_StockCount[WeekIndex],88),IF((('T_SelfStock'!CK8&lt;&gt;""))*(('T_TTAFStock'!CK8&lt;&gt;""))&gt;0,'T_SelfStock'!CK8+'T_TTAFStock'!CK8,CJ4+'Grid_Incoming'!CK4-'Grid_Requirement'!CK4))</f>
        <v/>
      </c>
      <c r="CL4">
        <f>IF(COUNTIFS(T_StockCount[Part Name],$A4,T_StockCount[WeekIndex],89)&gt;0,SUMIFS(T_StockCount[CountedQty],T_StockCount[Part Name],$A4,T_StockCount[WeekIndex],89),IF((('T_SelfStock'!CL8&lt;&gt;""))*(('T_TTAFStock'!CL8&lt;&gt;""))&gt;0,'T_SelfStock'!CL8+'T_TTAFStock'!CL8,CK4+'Grid_Incoming'!CL4-'Grid_Requirement'!CL4))</f>
        <v/>
      </c>
      <c r="CM4">
        <f>IF(COUNTIFS(T_StockCount[Part Name],$A4,T_StockCount[WeekIndex],90)&gt;0,SUMIFS(T_StockCount[CountedQty],T_StockCount[Part Name],$A4,T_StockCount[WeekIndex],90),IF((('T_SelfStock'!CM8&lt;&gt;""))*(('T_TTAFStock'!CM8&lt;&gt;""))&gt;0,'T_SelfStock'!CM8+'T_TTAFStock'!CM8,CL4+'Grid_Incoming'!CM4-'Grid_Requirement'!CM4))</f>
        <v/>
      </c>
      <c r="CN4">
        <f>IF(COUNTIFS(T_StockCount[Part Name],$A4,T_StockCount[WeekIndex],91)&gt;0,SUMIFS(T_StockCount[CountedQty],T_StockCount[Part Name],$A4,T_StockCount[WeekIndex],91),IF((('T_SelfStock'!CN8&lt;&gt;""))*(('T_TTAFStock'!CN8&lt;&gt;""))&gt;0,'T_SelfStock'!CN8+'T_TTAFStock'!CN8,CM4+'Grid_Incoming'!CN4-'Grid_Requirement'!CN4))</f>
        <v/>
      </c>
      <c r="CO4">
        <f>IF(COUNTIFS(T_StockCount[Part Name],$A4,T_StockCount[WeekIndex],92)&gt;0,SUMIFS(T_StockCount[CountedQty],T_StockCount[Part Name],$A4,T_StockCount[WeekIndex],92),IF((('T_SelfStock'!CO8&lt;&gt;""))*(('T_TTAFStock'!CO8&lt;&gt;""))&gt;0,'T_SelfStock'!CO8+'T_TTAFStock'!CO8,CN4+'Grid_Incoming'!CO4-'Grid_Requirement'!CO4))</f>
        <v/>
      </c>
      <c r="CP4">
        <f>IF(COUNTIFS(T_StockCount[Part Name],$A4,T_StockCount[WeekIndex],93)&gt;0,SUMIFS(T_StockCount[CountedQty],T_StockCount[Part Name],$A4,T_StockCount[WeekIndex],93),IF((('T_SelfStock'!CP8&lt;&gt;""))*(('T_TTAFStock'!CP8&lt;&gt;""))&gt;0,'T_SelfStock'!CP8+'T_TTAFStock'!CP8,CO4+'Grid_Incoming'!CP4-'Grid_Requirement'!CP4))</f>
        <v/>
      </c>
      <c r="CQ4">
        <f>IF(COUNTIFS(T_StockCount[Part Name],$A4,T_StockCount[WeekIndex],94)&gt;0,SUMIFS(T_StockCount[CountedQty],T_StockCount[Part Name],$A4,T_StockCount[WeekIndex],94),IF((('T_SelfStock'!CQ8&lt;&gt;""))*(('T_TTAFStock'!CQ8&lt;&gt;""))&gt;0,'T_SelfStock'!CQ8+'T_TTAFStock'!CQ8,CP4+'Grid_Incoming'!CQ4-'Grid_Requirement'!CQ4))</f>
        <v/>
      </c>
      <c r="CR4">
        <f>IF(COUNTIFS(T_StockCount[Part Name],$A4,T_StockCount[WeekIndex],95)&gt;0,SUMIFS(T_StockCount[CountedQty],T_StockCount[Part Name],$A4,T_StockCount[WeekIndex],95),IF((('T_SelfStock'!CR8&lt;&gt;""))*(('T_TTAFStock'!CR8&lt;&gt;""))&gt;0,'T_SelfStock'!CR8+'T_TTAFStock'!CR8,CQ4+'Grid_Incoming'!CR4-'Grid_Requirement'!CR4))</f>
        <v/>
      </c>
      <c r="CS4">
        <f>IF(COUNTIFS(T_StockCount[Part Name],$A4,T_StockCount[WeekIndex],96)&gt;0,SUMIFS(T_StockCount[CountedQty],T_StockCount[Part Name],$A4,T_StockCount[WeekIndex],96),IF((('T_SelfStock'!CS8&lt;&gt;""))*(('T_TTAFStock'!CS8&lt;&gt;""))&gt;0,'T_SelfStock'!CS8+'T_TTAFStock'!CS8,CR4+'Grid_Incoming'!CS4-'Grid_Requirement'!CS4))</f>
        <v/>
      </c>
      <c r="CT4">
        <f>IF(COUNTIFS(T_StockCount[Part Name],$A4,T_StockCount[WeekIndex],97)&gt;0,SUMIFS(T_StockCount[CountedQty],T_StockCount[Part Name],$A4,T_StockCount[WeekIndex],97),IF((('T_SelfStock'!CT8&lt;&gt;""))*(('T_TTAFStock'!CT8&lt;&gt;""))&gt;0,'T_SelfStock'!CT8+'T_TTAFStock'!CT8,CS4+'Grid_Incoming'!CT4-'Grid_Requirement'!CT4))</f>
        <v/>
      </c>
      <c r="CU4">
        <f>IF(COUNTIFS(T_StockCount[Part Name],$A4,T_StockCount[WeekIndex],98)&gt;0,SUMIFS(T_StockCount[CountedQty],T_StockCount[Part Name],$A4,T_StockCount[WeekIndex],98),IF((('T_SelfStock'!CU8&lt;&gt;""))*(('T_TTAFStock'!CU8&lt;&gt;""))&gt;0,'T_SelfStock'!CU8+'T_TTAFStock'!CU8,CT4+'Grid_Incoming'!CU4-'Grid_Requirement'!CU4))</f>
        <v/>
      </c>
      <c r="CV4">
        <f>IF(COUNTIFS(T_StockCount[Part Name],$A4,T_StockCount[WeekIndex],99)&gt;0,SUMIFS(T_StockCount[CountedQty],T_StockCount[Part Name],$A4,T_StockCount[WeekIndex],99),IF((('T_SelfStock'!CV8&lt;&gt;""))*(('T_TTAFStock'!CV8&lt;&gt;""))&gt;0,'T_SelfStock'!CV8+'T_TTAFStock'!CV8,CU4+'Grid_Incoming'!CV4-'Grid_Requirement'!CV4))</f>
        <v/>
      </c>
      <c r="CW4">
        <f>IF(COUNTIFS(T_StockCount[Part Name],$A4,T_StockCount[WeekIndex],100)&gt;0,SUMIFS(T_StockCount[CountedQty],T_StockCount[Part Name],$A4,T_StockCount[WeekIndex],100),IF((('T_SelfStock'!CW8&lt;&gt;""))*(('T_TTAFStock'!CW8&lt;&gt;""))&gt;0,'T_SelfStock'!CW8+'T_TTAFStock'!CW8,CV4+'Grid_Incoming'!CW4-'Grid_Requirement'!CW4))</f>
        <v/>
      </c>
      <c r="CX4">
        <f>IF(COUNTIFS(T_StockCount[Part Name],$A4,T_StockCount[WeekIndex],101)&gt;0,SUMIFS(T_StockCount[CountedQty],T_StockCount[Part Name],$A4,T_StockCount[WeekIndex],101),IF((('T_SelfStock'!CX8&lt;&gt;""))*(('T_TTAFStock'!CX8&lt;&gt;""))&gt;0,'T_SelfStock'!CX8+'T_TTAFStock'!CX8,CW4+'Grid_Incoming'!CX4-'Grid_Requirement'!CX4))</f>
        <v/>
      </c>
      <c r="CY4">
        <f>IF(COUNTIFS(T_StockCount[Part Name],$A4,T_StockCount[WeekIndex],102)&gt;0,SUMIFS(T_StockCount[CountedQty],T_StockCount[Part Name],$A4,T_StockCount[WeekIndex],102),IF((('T_SelfStock'!CY8&lt;&gt;""))*(('T_TTAFStock'!CY8&lt;&gt;""))&gt;0,'T_SelfStock'!CY8+'T_TTAFStock'!CY8,CX4+'Grid_Incoming'!CY4-'Grid_Requirement'!CY4))</f>
        <v/>
      </c>
      <c r="CZ4">
        <f>IF(COUNTIFS(T_StockCount[Part Name],$A4,T_StockCount[WeekIndex],103)&gt;0,SUMIFS(T_StockCount[CountedQty],T_StockCount[Part Name],$A4,T_StockCount[WeekIndex],103),IF((('T_SelfStock'!CZ8&lt;&gt;""))*(('T_TTAFStock'!CZ8&lt;&gt;""))&gt;0,'T_SelfStock'!CZ8+'T_TTAFStock'!CZ8,CY4+'Grid_Incoming'!CZ4-'Grid_Requirement'!CZ4))</f>
        <v/>
      </c>
      <c r="DA4">
        <f>IF(COUNTIFS(T_StockCount[Part Name],$A4,T_StockCount[WeekIndex],104)&gt;0,SUMIFS(T_StockCount[CountedQty],T_StockCount[Part Name],$A4,T_StockCount[WeekIndex],104),IF((('T_SelfStock'!DA8&lt;&gt;""))*(('T_TTAFStock'!DA8&lt;&gt;""))&gt;0,'T_SelfStock'!DA8+'T_TTAFStock'!DA8,CZ4+'Grid_Incoming'!DA4-'Grid_Requirement'!DA4))</f>
        <v/>
      </c>
    </row>
    <row r="5">
      <c r="A5" t="inlineStr">
        <is>
          <t>9RN</t>
        </is>
      </c>
      <c r="B5">
        <f>IF(COUNTIFS(T_StockCount[Part Name],$A5,T_StockCount[WeekIndex],1)&gt;0,SUMIFS(T_StockCount[CountedQty],T_StockCount[Part Name],$A5,T_StockCount[WeekIndex],1),IF((('T_SelfStock'!B9&lt;&gt;""))*(('T_TTAFStock'!B9&lt;&gt;""))&gt;0,'T_SelfStock'!B9+'T_TTAFStock'!B9,IFERROR(INDEX(T_OpeningStock[Opening_Qty_要入力],MATCH($A5,T_OpeningStock[Part Name],0)),0)+'Grid_Incoming'!B5-'Grid_Requirement'!B5))</f>
        <v/>
      </c>
      <c r="C5">
        <f>IF(COUNTIFS(T_StockCount[Part Name],$A5,T_StockCount[WeekIndex],2)&gt;0,SUMIFS(T_StockCount[CountedQty],T_StockCount[Part Name],$A5,T_StockCount[WeekIndex],2),IF((('T_SelfStock'!C9&lt;&gt;""))*(('T_TTAFStock'!C9&lt;&gt;""))&gt;0,'T_SelfStock'!C9+'T_TTAFStock'!C9,B5+'Grid_Incoming'!C5-'Grid_Requirement'!C5))</f>
        <v/>
      </c>
      <c r="D5">
        <f>IF(COUNTIFS(T_StockCount[Part Name],$A5,T_StockCount[WeekIndex],3)&gt;0,SUMIFS(T_StockCount[CountedQty],T_StockCount[Part Name],$A5,T_StockCount[WeekIndex],3),IF((('T_SelfStock'!D9&lt;&gt;""))*(('T_TTAFStock'!D9&lt;&gt;""))&gt;0,'T_SelfStock'!D9+'T_TTAFStock'!D9,C5+'Grid_Incoming'!D5-'Grid_Requirement'!D5))</f>
        <v/>
      </c>
      <c r="E5">
        <f>IF(COUNTIFS(T_StockCount[Part Name],$A5,T_StockCount[WeekIndex],4)&gt;0,SUMIFS(T_StockCount[CountedQty],T_StockCount[Part Name],$A5,T_StockCount[WeekIndex],4),IF((('T_SelfStock'!E9&lt;&gt;""))*(('T_TTAFStock'!E9&lt;&gt;""))&gt;0,'T_SelfStock'!E9+'T_TTAFStock'!E9,D5+'Grid_Incoming'!E5-'Grid_Requirement'!E5))</f>
        <v/>
      </c>
      <c r="F5">
        <f>IF(COUNTIFS(T_StockCount[Part Name],$A5,T_StockCount[WeekIndex],5)&gt;0,SUMIFS(T_StockCount[CountedQty],T_StockCount[Part Name],$A5,T_StockCount[WeekIndex],5),IF((('T_SelfStock'!F9&lt;&gt;""))*(('T_TTAFStock'!F9&lt;&gt;""))&gt;0,'T_SelfStock'!F9+'T_TTAFStock'!F9,E5+'Grid_Incoming'!F5-'Grid_Requirement'!F5))</f>
        <v/>
      </c>
      <c r="G5">
        <f>IF(COUNTIFS(T_StockCount[Part Name],$A5,T_StockCount[WeekIndex],6)&gt;0,SUMIFS(T_StockCount[CountedQty],T_StockCount[Part Name],$A5,T_StockCount[WeekIndex],6),IF((('T_SelfStock'!G9&lt;&gt;""))*(('T_TTAFStock'!G9&lt;&gt;""))&gt;0,'T_SelfStock'!G9+'T_TTAFStock'!G9,F5+'Grid_Incoming'!G5-'Grid_Requirement'!G5))</f>
        <v/>
      </c>
      <c r="H5">
        <f>IF(COUNTIFS(T_StockCount[Part Name],$A5,T_StockCount[WeekIndex],7)&gt;0,SUMIFS(T_StockCount[CountedQty],T_StockCount[Part Name],$A5,T_StockCount[WeekIndex],7),IF((('T_SelfStock'!H9&lt;&gt;""))*(('T_TTAFStock'!H9&lt;&gt;""))&gt;0,'T_SelfStock'!H9+'T_TTAFStock'!H9,G5+'Grid_Incoming'!H5-'Grid_Requirement'!H5))</f>
        <v/>
      </c>
      <c r="I5">
        <f>IF(COUNTIFS(T_StockCount[Part Name],$A5,T_StockCount[WeekIndex],8)&gt;0,SUMIFS(T_StockCount[CountedQty],T_StockCount[Part Name],$A5,T_StockCount[WeekIndex],8),IF((('T_SelfStock'!I9&lt;&gt;""))*(('T_TTAFStock'!I9&lt;&gt;""))&gt;0,'T_SelfStock'!I9+'T_TTAFStock'!I9,H5+'Grid_Incoming'!I5-'Grid_Requirement'!I5))</f>
        <v/>
      </c>
      <c r="J5">
        <f>IF(COUNTIFS(T_StockCount[Part Name],$A5,T_StockCount[WeekIndex],9)&gt;0,SUMIFS(T_StockCount[CountedQty],T_StockCount[Part Name],$A5,T_StockCount[WeekIndex],9),IF((('T_SelfStock'!J9&lt;&gt;""))*(('T_TTAFStock'!J9&lt;&gt;""))&gt;0,'T_SelfStock'!J9+'T_TTAFStock'!J9,I5+'Grid_Incoming'!J5-'Grid_Requirement'!J5))</f>
        <v/>
      </c>
      <c r="K5">
        <f>IF(COUNTIFS(T_StockCount[Part Name],$A5,T_StockCount[WeekIndex],10)&gt;0,SUMIFS(T_StockCount[CountedQty],T_StockCount[Part Name],$A5,T_StockCount[WeekIndex],10),IF((('T_SelfStock'!K9&lt;&gt;""))*(('T_TTAFStock'!K9&lt;&gt;""))&gt;0,'T_SelfStock'!K9+'T_TTAFStock'!K9,J5+'Grid_Incoming'!K5-'Grid_Requirement'!K5))</f>
        <v/>
      </c>
      <c r="L5">
        <f>IF(COUNTIFS(T_StockCount[Part Name],$A5,T_StockCount[WeekIndex],11)&gt;0,SUMIFS(T_StockCount[CountedQty],T_StockCount[Part Name],$A5,T_StockCount[WeekIndex],11),IF((('T_SelfStock'!L9&lt;&gt;""))*(('T_TTAFStock'!L9&lt;&gt;""))&gt;0,'T_SelfStock'!L9+'T_TTAFStock'!L9,K5+'Grid_Incoming'!L5-'Grid_Requirement'!L5))</f>
        <v/>
      </c>
      <c r="M5">
        <f>IF(COUNTIFS(T_StockCount[Part Name],$A5,T_StockCount[WeekIndex],12)&gt;0,SUMIFS(T_StockCount[CountedQty],T_StockCount[Part Name],$A5,T_StockCount[WeekIndex],12),IF((('T_SelfStock'!M9&lt;&gt;""))*(('T_TTAFStock'!M9&lt;&gt;""))&gt;0,'T_SelfStock'!M9+'T_TTAFStock'!M9,L5+'Grid_Incoming'!M5-'Grid_Requirement'!M5))</f>
        <v/>
      </c>
      <c r="N5">
        <f>IF(COUNTIFS(T_StockCount[Part Name],$A5,T_StockCount[WeekIndex],13)&gt;0,SUMIFS(T_StockCount[CountedQty],T_StockCount[Part Name],$A5,T_StockCount[WeekIndex],13),IF((('T_SelfStock'!N9&lt;&gt;""))*(('T_TTAFStock'!N9&lt;&gt;""))&gt;0,'T_SelfStock'!N9+'T_TTAFStock'!N9,M5+'Grid_Incoming'!N5-'Grid_Requirement'!N5))</f>
        <v/>
      </c>
      <c r="O5">
        <f>IF(COUNTIFS(T_StockCount[Part Name],$A5,T_StockCount[WeekIndex],14)&gt;0,SUMIFS(T_StockCount[CountedQty],T_StockCount[Part Name],$A5,T_StockCount[WeekIndex],14),IF((('T_SelfStock'!O9&lt;&gt;""))*(('T_TTAFStock'!O9&lt;&gt;""))&gt;0,'T_SelfStock'!O9+'T_TTAFStock'!O9,N5+'Grid_Incoming'!O5-'Grid_Requirement'!O5))</f>
        <v/>
      </c>
      <c r="P5">
        <f>IF(COUNTIFS(T_StockCount[Part Name],$A5,T_StockCount[WeekIndex],15)&gt;0,SUMIFS(T_StockCount[CountedQty],T_StockCount[Part Name],$A5,T_StockCount[WeekIndex],15),IF((('T_SelfStock'!P9&lt;&gt;""))*(('T_TTAFStock'!P9&lt;&gt;""))&gt;0,'T_SelfStock'!P9+'T_TTAFStock'!P9,O5+'Grid_Incoming'!P5-'Grid_Requirement'!P5))</f>
        <v/>
      </c>
      <c r="Q5">
        <f>IF(COUNTIFS(T_StockCount[Part Name],$A5,T_StockCount[WeekIndex],16)&gt;0,SUMIFS(T_StockCount[CountedQty],T_StockCount[Part Name],$A5,T_StockCount[WeekIndex],16),IF((('T_SelfStock'!Q9&lt;&gt;""))*(('T_TTAFStock'!Q9&lt;&gt;""))&gt;0,'T_SelfStock'!Q9+'T_TTAFStock'!Q9,P5+'Grid_Incoming'!Q5-'Grid_Requirement'!Q5))</f>
        <v/>
      </c>
      <c r="R5">
        <f>IF(COUNTIFS(T_StockCount[Part Name],$A5,T_StockCount[WeekIndex],17)&gt;0,SUMIFS(T_StockCount[CountedQty],T_StockCount[Part Name],$A5,T_StockCount[WeekIndex],17),IF((('T_SelfStock'!R9&lt;&gt;""))*(('T_TTAFStock'!R9&lt;&gt;""))&gt;0,'T_SelfStock'!R9+'T_TTAFStock'!R9,Q5+'Grid_Incoming'!R5-'Grid_Requirement'!R5))</f>
        <v/>
      </c>
      <c r="S5">
        <f>IF(COUNTIFS(T_StockCount[Part Name],$A5,T_StockCount[WeekIndex],18)&gt;0,SUMIFS(T_StockCount[CountedQty],T_StockCount[Part Name],$A5,T_StockCount[WeekIndex],18),IF((('T_SelfStock'!S9&lt;&gt;""))*(('T_TTAFStock'!S9&lt;&gt;""))&gt;0,'T_SelfStock'!S9+'T_TTAFStock'!S9,R5+'Grid_Incoming'!S5-'Grid_Requirement'!S5))</f>
        <v/>
      </c>
      <c r="T5">
        <f>IF(COUNTIFS(T_StockCount[Part Name],$A5,T_StockCount[WeekIndex],19)&gt;0,SUMIFS(T_StockCount[CountedQty],T_StockCount[Part Name],$A5,T_StockCount[WeekIndex],19),IF((('T_SelfStock'!T9&lt;&gt;""))*(('T_TTAFStock'!T9&lt;&gt;""))&gt;0,'T_SelfStock'!T9+'T_TTAFStock'!T9,S5+'Grid_Incoming'!T5-'Grid_Requirement'!T5))</f>
        <v/>
      </c>
      <c r="U5">
        <f>IF(COUNTIFS(T_StockCount[Part Name],$A5,T_StockCount[WeekIndex],20)&gt;0,SUMIFS(T_StockCount[CountedQty],T_StockCount[Part Name],$A5,T_StockCount[WeekIndex],20),IF((('T_SelfStock'!U9&lt;&gt;""))*(('T_TTAFStock'!U9&lt;&gt;""))&gt;0,'T_SelfStock'!U9+'T_TTAFStock'!U9,T5+'Grid_Incoming'!U5-'Grid_Requirement'!U5))</f>
        <v/>
      </c>
      <c r="V5">
        <f>IF(COUNTIFS(T_StockCount[Part Name],$A5,T_StockCount[WeekIndex],21)&gt;0,SUMIFS(T_StockCount[CountedQty],T_StockCount[Part Name],$A5,T_StockCount[WeekIndex],21),IF((('T_SelfStock'!V9&lt;&gt;""))*(('T_TTAFStock'!V9&lt;&gt;""))&gt;0,'T_SelfStock'!V9+'T_TTAFStock'!V9,U5+'Grid_Incoming'!V5-'Grid_Requirement'!V5))</f>
        <v/>
      </c>
      <c r="W5">
        <f>IF(COUNTIFS(T_StockCount[Part Name],$A5,T_StockCount[WeekIndex],22)&gt;0,SUMIFS(T_StockCount[CountedQty],T_StockCount[Part Name],$A5,T_StockCount[WeekIndex],22),IF((('T_SelfStock'!W9&lt;&gt;""))*(('T_TTAFStock'!W9&lt;&gt;""))&gt;0,'T_SelfStock'!W9+'T_TTAFStock'!W9,V5+'Grid_Incoming'!W5-'Grid_Requirement'!W5))</f>
        <v/>
      </c>
      <c r="X5">
        <f>IF(COUNTIFS(T_StockCount[Part Name],$A5,T_StockCount[WeekIndex],23)&gt;0,SUMIFS(T_StockCount[CountedQty],T_StockCount[Part Name],$A5,T_StockCount[WeekIndex],23),IF((('T_SelfStock'!X9&lt;&gt;""))*(('T_TTAFStock'!X9&lt;&gt;""))&gt;0,'T_SelfStock'!X9+'T_TTAFStock'!X9,W5+'Grid_Incoming'!X5-'Grid_Requirement'!X5))</f>
        <v/>
      </c>
      <c r="Y5">
        <f>IF(COUNTIFS(T_StockCount[Part Name],$A5,T_StockCount[WeekIndex],24)&gt;0,SUMIFS(T_StockCount[CountedQty],T_StockCount[Part Name],$A5,T_StockCount[WeekIndex],24),IF((('T_SelfStock'!Y9&lt;&gt;""))*(('T_TTAFStock'!Y9&lt;&gt;""))&gt;0,'T_SelfStock'!Y9+'T_TTAFStock'!Y9,X5+'Grid_Incoming'!Y5-'Grid_Requirement'!Y5))</f>
        <v/>
      </c>
      <c r="Z5">
        <f>IF(COUNTIFS(T_StockCount[Part Name],$A5,T_StockCount[WeekIndex],25)&gt;0,SUMIFS(T_StockCount[CountedQty],T_StockCount[Part Name],$A5,T_StockCount[WeekIndex],25),IF((('T_SelfStock'!Z9&lt;&gt;""))*(('T_TTAFStock'!Z9&lt;&gt;""))&gt;0,'T_SelfStock'!Z9+'T_TTAFStock'!Z9,Y5+'Grid_Incoming'!Z5-'Grid_Requirement'!Z5))</f>
        <v/>
      </c>
      <c r="AA5">
        <f>IF(COUNTIFS(T_StockCount[Part Name],$A5,T_StockCount[WeekIndex],26)&gt;0,SUMIFS(T_StockCount[CountedQty],T_StockCount[Part Name],$A5,T_StockCount[WeekIndex],26),IF((('T_SelfStock'!AA9&lt;&gt;""))*(('T_TTAFStock'!AA9&lt;&gt;""))&gt;0,'T_SelfStock'!AA9+'T_TTAFStock'!AA9,Z5+'Grid_Incoming'!AA5-'Grid_Requirement'!AA5))</f>
        <v/>
      </c>
      <c r="AB5">
        <f>IF(COUNTIFS(T_StockCount[Part Name],$A5,T_StockCount[WeekIndex],27)&gt;0,SUMIFS(T_StockCount[CountedQty],T_StockCount[Part Name],$A5,T_StockCount[WeekIndex],27),IF((('T_SelfStock'!AB9&lt;&gt;""))*(('T_TTAFStock'!AB9&lt;&gt;""))&gt;0,'T_SelfStock'!AB9+'T_TTAFStock'!AB9,AA5+'Grid_Incoming'!AB5-'Grid_Requirement'!AB5))</f>
        <v/>
      </c>
      <c r="AC5">
        <f>IF(COUNTIFS(T_StockCount[Part Name],$A5,T_StockCount[WeekIndex],28)&gt;0,SUMIFS(T_StockCount[CountedQty],T_StockCount[Part Name],$A5,T_StockCount[WeekIndex],28),IF((('T_SelfStock'!AC9&lt;&gt;""))*(('T_TTAFStock'!AC9&lt;&gt;""))&gt;0,'T_SelfStock'!AC9+'T_TTAFStock'!AC9,AB5+'Grid_Incoming'!AC5-'Grid_Requirement'!AC5))</f>
        <v/>
      </c>
      <c r="AD5">
        <f>IF(COUNTIFS(T_StockCount[Part Name],$A5,T_StockCount[WeekIndex],29)&gt;0,SUMIFS(T_StockCount[CountedQty],T_StockCount[Part Name],$A5,T_StockCount[WeekIndex],29),IF((('T_SelfStock'!AD9&lt;&gt;""))*(('T_TTAFStock'!AD9&lt;&gt;""))&gt;0,'T_SelfStock'!AD9+'T_TTAFStock'!AD9,AC5+'Grid_Incoming'!AD5-'Grid_Requirement'!AD5))</f>
        <v/>
      </c>
      <c r="AE5">
        <f>IF(COUNTIFS(T_StockCount[Part Name],$A5,T_StockCount[WeekIndex],30)&gt;0,SUMIFS(T_StockCount[CountedQty],T_StockCount[Part Name],$A5,T_StockCount[WeekIndex],30),IF((('T_SelfStock'!AE9&lt;&gt;""))*(('T_TTAFStock'!AE9&lt;&gt;""))&gt;0,'T_SelfStock'!AE9+'T_TTAFStock'!AE9,AD5+'Grid_Incoming'!AE5-'Grid_Requirement'!AE5))</f>
        <v/>
      </c>
      <c r="AF5">
        <f>IF(COUNTIFS(T_StockCount[Part Name],$A5,T_StockCount[WeekIndex],31)&gt;0,SUMIFS(T_StockCount[CountedQty],T_StockCount[Part Name],$A5,T_StockCount[WeekIndex],31),IF((('T_SelfStock'!AF9&lt;&gt;""))*(('T_TTAFStock'!AF9&lt;&gt;""))&gt;0,'T_SelfStock'!AF9+'T_TTAFStock'!AF9,AE5+'Grid_Incoming'!AF5-'Grid_Requirement'!AF5))</f>
        <v/>
      </c>
      <c r="AG5">
        <f>IF(COUNTIFS(T_StockCount[Part Name],$A5,T_StockCount[WeekIndex],32)&gt;0,SUMIFS(T_StockCount[CountedQty],T_StockCount[Part Name],$A5,T_StockCount[WeekIndex],32),IF((('T_SelfStock'!AG9&lt;&gt;""))*(('T_TTAFStock'!AG9&lt;&gt;""))&gt;0,'T_SelfStock'!AG9+'T_TTAFStock'!AG9,AF5+'Grid_Incoming'!AG5-'Grid_Requirement'!AG5))</f>
        <v/>
      </c>
      <c r="AH5">
        <f>IF(COUNTIFS(T_StockCount[Part Name],$A5,T_StockCount[WeekIndex],33)&gt;0,SUMIFS(T_StockCount[CountedQty],T_StockCount[Part Name],$A5,T_StockCount[WeekIndex],33),IF((('T_SelfStock'!AH9&lt;&gt;""))*(('T_TTAFStock'!AH9&lt;&gt;""))&gt;0,'T_SelfStock'!AH9+'T_TTAFStock'!AH9,AG5+'Grid_Incoming'!AH5-'Grid_Requirement'!AH5))</f>
        <v/>
      </c>
      <c r="AI5">
        <f>IF(COUNTIFS(T_StockCount[Part Name],$A5,T_StockCount[WeekIndex],34)&gt;0,SUMIFS(T_StockCount[CountedQty],T_StockCount[Part Name],$A5,T_StockCount[WeekIndex],34),IF((('T_SelfStock'!AI9&lt;&gt;""))*(('T_TTAFStock'!AI9&lt;&gt;""))&gt;0,'T_SelfStock'!AI9+'T_TTAFStock'!AI9,AH5+'Grid_Incoming'!AI5-'Grid_Requirement'!AI5))</f>
        <v/>
      </c>
      <c r="AJ5">
        <f>IF(COUNTIFS(T_StockCount[Part Name],$A5,T_StockCount[WeekIndex],35)&gt;0,SUMIFS(T_StockCount[CountedQty],T_StockCount[Part Name],$A5,T_StockCount[WeekIndex],35),IF((('T_SelfStock'!AJ9&lt;&gt;""))*(('T_TTAFStock'!AJ9&lt;&gt;""))&gt;0,'T_SelfStock'!AJ9+'T_TTAFStock'!AJ9,AI5+'Grid_Incoming'!AJ5-'Grid_Requirement'!AJ5))</f>
        <v/>
      </c>
      <c r="AK5">
        <f>IF(COUNTIFS(T_StockCount[Part Name],$A5,T_StockCount[WeekIndex],36)&gt;0,SUMIFS(T_StockCount[CountedQty],T_StockCount[Part Name],$A5,T_StockCount[WeekIndex],36),IF((('T_SelfStock'!AK9&lt;&gt;""))*(('T_TTAFStock'!AK9&lt;&gt;""))&gt;0,'T_SelfStock'!AK9+'T_TTAFStock'!AK9,AJ5+'Grid_Incoming'!AK5-'Grid_Requirement'!AK5))</f>
        <v/>
      </c>
      <c r="AL5">
        <f>IF(COUNTIFS(T_StockCount[Part Name],$A5,T_StockCount[WeekIndex],37)&gt;0,SUMIFS(T_StockCount[CountedQty],T_StockCount[Part Name],$A5,T_StockCount[WeekIndex],37),IF((('T_SelfStock'!AL9&lt;&gt;""))*(('T_TTAFStock'!AL9&lt;&gt;""))&gt;0,'T_SelfStock'!AL9+'T_TTAFStock'!AL9,AK5+'Grid_Incoming'!AL5-'Grid_Requirement'!AL5))</f>
        <v/>
      </c>
      <c r="AM5">
        <f>IF(COUNTIFS(T_StockCount[Part Name],$A5,T_StockCount[WeekIndex],38)&gt;0,SUMIFS(T_StockCount[CountedQty],T_StockCount[Part Name],$A5,T_StockCount[WeekIndex],38),IF((('T_SelfStock'!AM9&lt;&gt;""))*(('T_TTAFStock'!AM9&lt;&gt;""))&gt;0,'T_SelfStock'!AM9+'T_TTAFStock'!AM9,AL5+'Grid_Incoming'!AM5-'Grid_Requirement'!AM5))</f>
        <v/>
      </c>
      <c r="AN5">
        <f>IF(COUNTIFS(T_StockCount[Part Name],$A5,T_StockCount[WeekIndex],39)&gt;0,SUMIFS(T_StockCount[CountedQty],T_StockCount[Part Name],$A5,T_StockCount[WeekIndex],39),IF((('T_SelfStock'!AN9&lt;&gt;""))*(('T_TTAFStock'!AN9&lt;&gt;""))&gt;0,'T_SelfStock'!AN9+'T_TTAFStock'!AN9,AM5+'Grid_Incoming'!AN5-'Grid_Requirement'!AN5))</f>
        <v/>
      </c>
      <c r="AO5">
        <f>IF(COUNTIFS(T_StockCount[Part Name],$A5,T_StockCount[WeekIndex],40)&gt;0,SUMIFS(T_StockCount[CountedQty],T_StockCount[Part Name],$A5,T_StockCount[WeekIndex],40),IF((('T_SelfStock'!AO9&lt;&gt;""))*(('T_TTAFStock'!AO9&lt;&gt;""))&gt;0,'T_SelfStock'!AO9+'T_TTAFStock'!AO9,AN5+'Grid_Incoming'!AO5-'Grid_Requirement'!AO5))</f>
        <v/>
      </c>
      <c r="AP5">
        <f>IF(COUNTIFS(T_StockCount[Part Name],$A5,T_StockCount[WeekIndex],41)&gt;0,SUMIFS(T_StockCount[CountedQty],T_StockCount[Part Name],$A5,T_StockCount[WeekIndex],41),IF((('T_SelfStock'!AP9&lt;&gt;""))*(('T_TTAFStock'!AP9&lt;&gt;""))&gt;0,'T_SelfStock'!AP9+'T_TTAFStock'!AP9,AO5+'Grid_Incoming'!AP5-'Grid_Requirement'!AP5))</f>
        <v/>
      </c>
      <c r="AQ5">
        <f>IF(COUNTIFS(T_StockCount[Part Name],$A5,T_StockCount[WeekIndex],42)&gt;0,SUMIFS(T_StockCount[CountedQty],T_StockCount[Part Name],$A5,T_StockCount[WeekIndex],42),IF((('T_SelfStock'!AQ9&lt;&gt;""))*(('T_TTAFStock'!AQ9&lt;&gt;""))&gt;0,'T_SelfStock'!AQ9+'T_TTAFStock'!AQ9,AP5+'Grid_Incoming'!AQ5-'Grid_Requirement'!AQ5))</f>
        <v/>
      </c>
      <c r="AR5">
        <f>IF(COUNTIFS(T_StockCount[Part Name],$A5,T_StockCount[WeekIndex],43)&gt;0,SUMIFS(T_StockCount[CountedQty],T_StockCount[Part Name],$A5,T_StockCount[WeekIndex],43),IF((('T_SelfStock'!AR9&lt;&gt;""))*(('T_TTAFStock'!AR9&lt;&gt;""))&gt;0,'T_SelfStock'!AR9+'T_TTAFStock'!AR9,AQ5+'Grid_Incoming'!AR5-'Grid_Requirement'!AR5))</f>
        <v/>
      </c>
      <c r="AS5">
        <f>IF(COUNTIFS(T_StockCount[Part Name],$A5,T_StockCount[WeekIndex],44)&gt;0,SUMIFS(T_StockCount[CountedQty],T_StockCount[Part Name],$A5,T_StockCount[WeekIndex],44),IF((('T_SelfStock'!AS9&lt;&gt;""))*(('T_TTAFStock'!AS9&lt;&gt;""))&gt;0,'T_SelfStock'!AS9+'T_TTAFStock'!AS9,AR5+'Grid_Incoming'!AS5-'Grid_Requirement'!AS5))</f>
        <v/>
      </c>
      <c r="AT5">
        <f>IF(COUNTIFS(T_StockCount[Part Name],$A5,T_StockCount[WeekIndex],45)&gt;0,SUMIFS(T_StockCount[CountedQty],T_StockCount[Part Name],$A5,T_StockCount[WeekIndex],45),IF((('T_SelfStock'!AT9&lt;&gt;""))*(('T_TTAFStock'!AT9&lt;&gt;""))&gt;0,'T_SelfStock'!AT9+'T_TTAFStock'!AT9,AS5+'Grid_Incoming'!AT5-'Grid_Requirement'!AT5))</f>
        <v/>
      </c>
      <c r="AU5">
        <f>IF(COUNTIFS(T_StockCount[Part Name],$A5,T_StockCount[WeekIndex],46)&gt;0,SUMIFS(T_StockCount[CountedQty],T_StockCount[Part Name],$A5,T_StockCount[WeekIndex],46),IF((('T_SelfStock'!AU9&lt;&gt;""))*(('T_TTAFStock'!AU9&lt;&gt;""))&gt;0,'T_SelfStock'!AU9+'T_TTAFStock'!AU9,AT5+'Grid_Incoming'!AU5-'Grid_Requirement'!AU5))</f>
        <v/>
      </c>
      <c r="AV5">
        <f>IF(COUNTIFS(T_StockCount[Part Name],$A5,T_StockCount[WeekIndex],47)&gt;0,SUMIFS(T_StockCount[CountedQty],T_StockCount[Part Name],$A5,T_StockCount[WeekIndex],47),IF((('T_SelfStock'!AV9&lt;&gt;""))*(('T_TTAFStock'!AV9&lt;&gt;""))&gt;0,'T_SelfStock'!AV9+'T_TTAFStock'!AV9,AU5+'Grid_Incoming'!AV5-'Grid_Requirement'!AV5))</f>
        <v/>
      </c>
      <c r="AW5">
        <f>IF(COUNTIFS(T_StockCount[Part Name],$A5,T_StockCount[WeekIndex],48)&gt;0,SUMIFS(T_StockCount[CountedQty],T_StockCount[Part Name],$A5,T_StockCount[WeekIndex],48),IF((('T_SelfStock'!AW9&lt;&gt;""))*(('T_TTAFStock'!AW9&lt;&gt;""))&gt;0,'T_SelfStock'!AW9+'T_TTAFStock'!AW9,AV5+'Grid_Incoming'!AW5-'Grid_Requirement'!AW5))</f>
        <v/>
      </c>
      <c r="AX5">
        <f>IF(COUNTIFS(T_StockCount[Part Name],$A5,T_StockCount[WeekIndex],49)&gt;0,SUMIFS(T_StockCount[CountedQty],T_StockCount[Part Name],$A5,T_StockCount[WeekIndex],49),IF((('T_SelfStock'!AX9&lt;&gt;""))*(('T_TTAFStock'!AX9&lt;&gt;""))&gt;0,'T_SelfStock'!AX9+'T_TTAFStock'!AX9,AW5+'Grid_Incoming'!AX5-'Grid_Requirement'!AX5))</f>
        <v/>
      </c>
      <c r="AY5">
        <f>IF(COUNTIFS(T_StockCount[Part Name],$A5,T_StockCount[WeekIndex],50)&gt;0,SUMIFS(T_StockCount[CountedQty],T_StockCount[Part Name],$A5,T_StockCount[WeekIndex],50),IF((('T_SelfStock'!AY9&lt;&gt;""))*(('T_TTAFStock'!AY9&lt;&gt;""))&gt;0,'T_SelfStock'!AY9+'T_TTAFStock'!AY9,AX5+'Grid_Incoming'!AY5-'Grid_Requirement'!AY5))</f>
        <v/>
      </c>
      <c r="AZ5">
        <f>IF(COUNTIFS(T_StockCount[Part Name],$A5,T_StockCount[WeekIndex],51)&gt;0,SUMIFS(T_StockCount[CountedQty],T_StockCount[Part Name],$A5,T_StockCount[WeekIndex],51),IF((('T_SelfStock'!AZ9&lt;&gt;""))*(('T_TTAFStock'!AZ9&lt;&gt;""))&gt;0,'T_SelfStock'!AZ9+'T_TTAFStock'!AZ9,AY5+'Grid_Incoming'!AZ5-'Grid_Requirement'!AZ5))</f>
        <v/>
      </c>
      <c r="BA5">
        <f>IF(COUNTIFS(T_StockCount[Part Name],$A5,T_StockCount[WeekIndex],52)&gt;0,SUMIFS(T_StockCount[CountedQty],T_StockCount[Part Name],$A5,T_StockCount[WeekIndex],52),IF((('T_SelfStock'!BA9&lt;&gt;""))*(('T_TTAFStock'!BA9&lt;&gt;""))&gt;0,'T_SelfStock'!BA9+'T_TTAFStock'!BA9,AZ5+'Grid_Incoming'!BA5-'Grid_Requirement'!BA5))</f>
        <v/>
      </c>
      <c r="BB5">
        <f>IF(COUNTIFS(T_StockCount[Part Name],$A5,T_StockCount[WeekIndex],53)&gt;0,SUMIFS(T_StockCount[CountedQty],T_StockCount[Part Name],$A5,T_StockCount[WeekIndex],53),IF((('T_SelfStock'!BB9&lt;&gt;""))*(('T_TTAFStock'!BB9&lt;&gt;""))&gt;0,'T_SelfStock'!BB9+'T_TTAFStock'!BB9,BA5+'Grid_Incoming'!BB5-'Grid_Requirement'!BB5))</f>
        <v/>
      </c>
      <c r="BC5">
        <f>IF(COUNTIFS(T_StockCount[Part Name],$A5,T_StockCount[WeekIndex],54)&gt;0,SUMIFS(T_StockCount[CountedQty],T_StockCount[Part Name],$A5,T_StockCount[WeekIndex],54),IF((('T_SelfStock'!BC9&lt;&gt;""))*(('T_TTAFStock'!BC9&lt;&gt;""))&gt;0,'T_SelfStock'!BC9+'T_TTAFStock'!BC9,BB5+'Grid_Incoming'!BC5-'Grid_Requirement'!BC5))</f>
        <v/>
      </c>
      <c r="BD5">
        <f>IF(COUNTIFS(T_StockCount[Part Name],$A5,T_StockCount[WeekIndex],55)&gt;0,SUMIFS(T_StockCount[CountedQty],T_StockCount[Part Name],$A5,T_StockCount[WeekIndex],55),IF((('T_SelfStock'!BD9&lt;&gt;""))*(('T_TTAFStock'!BD9&lt;&gt;""))&gt;0,'T_SelfStock'!BD9+'T_TTAFStock'!BD9,BC5+'Grid_Incoming'!BD5-'Grid_Requirement'!BD5))</f>
        <v/>
      </c>
      <c r="BE5">
        <f>IF(COUNTIFS(T_StockCount[Part Name],$A5,T_StockCount[WeekIndex],56)&gt;0,SUMIFS(T_StockCount[CountedQty],T_StockCount[Part Name],$A5,T_StockCount[WeekIndex],56),IF((('T_SelfStock'!BE9&lt;&gt;""))*(('T_TTAFStock'!BE9&lt;&gt;""))&gt;0,'T_SelfStock'!BE9+'T_TTAFStock'!BE9,BD5+'Grid_Incoming'!BE5-'Grid_Requirement'!BE5))</f>
        <v/>
      </c>
      <c r="BF5">
        <f>IF(COUNTIFS(T_StockCount[Part Name],$A5,T_StockCount[WeekIndex],57)&gt;0,SUMIFS(T_StockCount[CountedQty],T_StockCount[Part Name],$A5,T_StockCount[WeekIndex],57),IF((('T_SelfStock'!BF9&lt;&gt;""))*(('T_TTAFStock'!BF9&lt;&gt;""))&gt;0,'T_SelfStock'!BF9+'T_TTAFStock'!BF9,BE5+'Grid_Incoming'!BF5-'Grid_Requirement'!BF5))</f>
        <v/>
      </c>
      <c r="BG5">
        <f>IF(COUNTIFS(T_StockCount[Part Name],$A5,T_StockCount[WeekIndex],58)&gt;0,SUMIFS(T_StockCount[CountedQty],T_StockCount[Part Name],$A5,T_StockCount[WeekIndex],58),IF((('T_SelfStock'!BG9&lt;&gt;""))*(('T_TTAFStock'!BG9&lt;&gt;""))&gt;0,'T_SelfStock'!BG9+'T_TTAFStock'!BG9,BF5+'Grid_Incoming'!BG5-'Grid_Requirement'!BG5))</f>
        <v/>
      </c>
      <c r="BH5">
        <f>IF(COUNTIFS(T_StockCount[Part Name],$A5,T_StockCount[WeekIndex],59)&gt;0,SUMIFS(T_StockCount[CountedQty],T_StockCount[Part Name],$A5,T_StockCount[WeekIndex],59),IF((('T_SelfStock'!BH9&lt;&gt;""))*(('T_TTAFStock'!BH9&lt;&gt;""))&gt;0,'T_SelfStock'!BH9+'T_TTAFStock'!BH9,BG5+'Grid_Incoming'!BH5-'Grid_Requirement'!BH5))</f>
        <v/>
      </c>
      <c r="BI5">
        <f>IF(COUNTIFS(T_StockCount[Part Name],$A5,T_StockCount[WeekIndex],60)&gt;0,SUMIFS(T_StockCount[CountedQty],T_StockCount[Part Name],$A5,T_StockCount[WeekIndex],60),IF((('T_SelfStock'!BI9&lt;&gt;""))*(('T_TTAFStock'!BI9&lt;&gt;""))&gt;0,'T_SelfStock'!BI9+'T_TTAFStock'!BI9,BH5+'Grid_Incoming'!BI5-'Grid_Requirement'!BI5))</f>
        <v/>
      </c>
      <c r="BJ5">
        <f>IF(COUNTIFS(T_StockCount[Part Name],$A5,T_StockCount[WeekIndex],61)&gt;0,SUMIFS(T_StockCount[CountedQty],T_StockCount[Part Name],$A5,T_StockCount[WeekIndex],61),IF((('T_SelfStock'!BJ9&lt;&gt;""))*(('T_TTAFStock'!BJ9&lt;&gt;""))&gt;0,'T_SelfStock'!BJ9+'T_TTAFStock'!BJ9,BI5+'Grid_Incoming'!BJ5-'Grid_Requirement'!BJ5))</f>
        <v/>
      </c>
      <c r="BK5">
        <f>IF(COUNTIFS(T_StockCount[Part Name],$A5,T_StockCount[WeekIndex],62)&gt;0,SUMIFS(T_StockCount[CountedQty],T_StockCount[Part Name],$A5,T_StockCount[WeekIndex],62),IF((('T_SelfStock'!BK9&lt;&gt;""))*(('T_TTAFStock'!BK9&lt;&gt;""))&gt;0,'T_SelfStock'!BK9+'T_TTAFStock'!BK9,BJ5+'Grid_Incoming'!BK5-'Grid_Requirement'!BK5))</f>
        <v/>
      </c>
      <c r="BL5">
        <f>IF(COUNTIFS(T_StockCount[Part Name],$A5,T_StockCount[WeekIndex],63)&gt;0,SUMIFS(T_StockCount[CountedQty],T_StockCount[Part Name],$A5,T_StockCount[WeekIndex],63),IF((('T_SelfStock'!BL9&lt;&gt;""))*(('T_TTAFStock'!BL9&lt;&gt;""))&gt;0,'T_SelfStock'!BL9+'T_TTAFStock'!BL9,BK5+'Grid_Incoming'!BL5-'Grid_Requirement'!BL5))</f>
        <v/>
      </c>
      <c r="BM5">
        <f>IF(COUNTIFS(T_StockCount[Part Name],$A5,T_StockCount[WeekIndex],64)&gt;0,SUMIFS(T_StockCount[CountedQty],T_StockCount[Part Name],$A5,T_StockCount[WeekIndex],64),IF((('T_SelfStock'!BM9&lt;&gt;""))*(('T_TTAFStock'!BM9&lt;&gt;""))&gt;0,'T_SelfStock'!BM9+'T_TTAFStock'!BM9,BL5+'Grid_Incoming'!BM5-'Grid_Requirement'!BM5))</f>
        <v/>
      </c>
      <c r="BN5">
        <f>IF(COUNTIFS(T_StockCount[Part Name],$A5,T_StockCount[WeekIndex],65)&gt;0,SUMIFS(T_StockCount[CountedQty],T_StockCount[Part Name],$A5,T_StockCount[WeekIndex],65),IF((('T_SelfStock'!BN9&lt;&gt;""))*(('T_TTAFStock'!BN9&lt;&gt;""))&gt;0,'T_SelfStock'!BN9+'T_TTAFStock'!BN9,BM5+'Grid_Incoming'!BN5-'Grid_Requirement'!BN5))</f>
        <v/>
      </c>
      <c r="BO5">
        <f>IF(COUNTIFS(T_StockCount[Part Name],$A5,T_StockCount[WeekIndex],66)&gt;0,SUMIFS(T_StockCount[CountedQty],T_StockCount[Part Name],$A5,T_StockCount[WeekIndex],66),IF((('T_SelfStock'!BO9&lt;&gt;""))*(('T_TTAFStock'!BO9&lt;&gt;""))&gt;0,'T_SelfStock'!BO9+'T_TTAFStock'!BO9,BN5+'Grid_Incoming'!BO5-'Grid_Requirement'!BO5))</f>
        <v/>
      </c>
      <c r="BP5">
        <f>IF(COUNTIFS(T_StockCount[Part Name],$A5,T_StockCount[WeekIndex],67)&gt;0,SUMIFS(T_StockCount[CountedQty],T_StockCount[Part Name],$A5,T_StockCount[WeekIndex],67),IF((('T_SelfStock'!BP9&lt;&gt;""))*(('T_TTAFStock'!BP9&lt;&gt;""))&gt;0,'T_SelfStock'!BP9+'T_TTAFStock'!BP9,BO5+'Grid_Incoming'!BP5-'Grid_Requirement'!BP5))</f>
        <v/>
      </c>
      <c r="BQ5">
        <f>IF(COUNTIFS(T_StockCount[Part Name],$A5,T_StockCount[WeekIndex],68)&gt;0,SUMIFS(T_StockCount[CountedQty],T_StockCount[Part Name],$A5,T_StockCount[WeekIndex],68),IF((('T_SelfStock'!BQ9&lt;&gt;""))*(('T_TTAFStock'!BQ9&lt;&gt;""))&gt;0,'T_SelfStock'!BQ9+'T_TTAFStock'!BQ9,BP5+'Grid_Incoming'!BQ5-'Grid_Requirement'!BQ5))</f>
        <v/>
      </c>
      <c r="BR5">
        <f>IF(COUNTIFS(T_StockCount[Part Name],$A5,T_StockCount[WeekIndex],69)&gt;0,SUMIFS(T_StockCount[CountedQty],T_StockCount[Part Name],$A5,T_StockCount[WeekIndex],69),IF((('T_SelfStock'!BR9&lt;&gt;""))*(('T_TTAFStock'!BR9&lt;&gt;""))&gt;0,'T_SelfStock'!BR9+'T_TTAFStock'!BR9,BQ5+'Grid_Incoming'!BR5-'Grid_Requirement'!BR5))</f>
        <v/>
      </c>
      <c r="BS5">
        <f>IF(COUNTIFS(T_StockCount[Part Name],$A5,T_StockCount[WeekIndex],70)&gt;0,SUMIFS(T_StockCount[CountedQty],T_StockCount[Part Name],$A5,T_StockCount[WeekIndex],70),IF((('T_SelfStock'!BS9&lt;&gt;""))*(('T_TTAFStock'!BS9&lt;&gt;""))&gt;0,'T_SelfStock'!BS9+'T_TTAFStock'!BS9,BR5+'Grid_Incoming'!BS5-'Grid_Requirement'!BS5))</f>
        <v/>
      </c>
      <c r="BT5">
        <f>IF(COUNTIFS(T_StockCount[Part Name],$A5,T_StockCount[WeekIndex],71)&gt;0,SUMIFS(T_StockCount[CountedQty],T_StockCount[Part Name],$A5,T_StockCount[WeekIndex],71),IF((('T_SelfStock'!BT9&lt;&gt;""))*(('T_TTAFStock'!BT9&lt;&gt;""))&gt;0,'T_SelfStock'!BT9+'T_TTAFStock'!BT9,BS5+'Grid_Incoming'!BT5-'Grid_Requirement'!BT5))</f>
        <v/>
      </c>
      <c r="BU5">
        <f>IF(COUNTIFS(T_StockCount[Part Name],$A5,T_StockCount[WeekIndex],72)&gt;0,SUMIFS(T_StockCount[CountedQty],T_StockCount[Part Name],$A5,T_StockCount[WeekIndex],72),IF((('T_SelfStock'!BU9&lt;&gt;""))*(('T_TTAFStock'!BU9&lt;&gt;""))&gt;0,'T_SelfStock'!BU9+'T_TTAFStock'!BU9,BT5+'Grid_Incoming'!BU5-'Grid_Requirement'!BU5))</f>
        <v/>
      </c>
      <c r="BV5">
        <f>IF(COUNTIFS(T_StockCount[Part Name],$A5,T_StockCount[WeekIndex],73)&gt;0,SUMIFS(T_StockCount[CountedQty],T_StockCount[Part Name],$A5,T_StockCount[WeekIndex],73),IF((('T_SelfStock'!BV9&lt;&gt;""))*(('T_TTAFStock'!BV9&lt;&gt;""))&gt;0,'T_SelfStock'!BV9+'T_TTAFStock'!BV9,BU5+'Grid_Incoming'!BV5-'Grid_Requirement'!BV5))</f>
        <v/>
      </c>
      <c r="BW5">
        <f>IF(COUNTIFS(T_StockCount[Part Name],$A5,T_StockCount[WeekIndex],74)&gt;0,SUMIFS(T_StockCount[CountedQty],T_StockCount[Part Name],$A5,T_StockCount[WeekIndex],74),IF((('T_SelfStock'!BW9&lt;&gt;""))*(('T_TTAFStock'!BW9&lt;&gt;""))&gt;0,'T_SelfStock'!BW9+'T_TTAFStock'!BW9,BV5+'Grid_Incoming'!BW5-'Grid_Requirement'!BW5))</f>
        <v/>
      </c>
      <c r="BX5">
        <f>IF(COUNTIFS(T_StockCount[Part Name],$A5,T_StockCount[WeekIndex],75)&gt;0,SUMIFS(T_StockCount[CountedQty],T_StockCount[Part Name],$A5,T_StockCount[WeekIndex],75),IF((('T_SelfStock'!BX9&lt;&gt;""))*(('T_TTAFStock'!BX9&lt;&gt;""))&gt;0,'T_SelfStock'!BX9+'T_TTAFStock'!BX9,BW5+'Grid_Incoming'!BX5-'Grid_Requirement'!BX5))</f>
        <v/>
      </c>
      <c r="BY5">
        <f>IF(COUNTIFS(T_StockCount[Part Name],$A5,T_StockCount[WeekIndex],76)&gt;0,SUMIFS(T_StockCount[CountedQty],T_StockCount[Part Name],$A5,T_StockCount[WeekIndex],76),IF((('T_SelfStock'!BY9&lt;&gt;""))*(('T_TTAFStock'!BY9&lt;&gt;""))&gt;0,'T_SelfStock'!BY9+'T_TTAFStock'!BY9,BX5+'Grid_Incoming'!BY5-'Grid_Requirement'!BY5))</f>
        <v/>
      </c>
      <c r="BZ5">
        <f>IF(COUNTIFS(T_StockCount[Part Name],$A5,T_StockCount[WeekIndex],77)&gt;0,SUMIFS(T_StockCount[CountedQty],T_StockCount[Part Name],$A5,T_StockCount[WeekIndex],77),IF((('T_SelfStock'!BZ9&lt;&gt;""))*(('T_TTAFStock'!BZ9&lt;&gt;""))&gt;0,'T_SelfStock'!BZ9+'T_TTAFStock'!BZ9,BY5+'Grid_Incoming'!BZ5-'Grid_Requirement'!BZ5))</f>
        <v/>
      </c>
      <c r="CA5">
        <f>IF(COUNTIFS(T_StockCount[Part Name],$A5,T_StockCount[WeekIndex],78)&gt;0,SUMIFS(T_StockCount[CountedQty],T_StockCount[Part Name],$A5,T_StockCount[WeekIndex],78),IF((('T_SelfStock'!CA9&lt;&gt;""))*(('T_TTAFStock'!CA9&lt;&gt;""))&gt;0,'T_SelfStock'!CA9+'T_TTAFStock'!CA9,BZ5+'Grid_Incoming'!CA5-'Grid_Requirement'!CA5))</f>
        <v/>
      </c>
      <c r="CB5">
        <f>IF(COUNTIFS(T_StockCount[Part Name],$A5,T_StockCount[WeekIndex],79)&gt;0,SUMIFS(T_StockCount[CountedQty],T_StockCount[Part Name],$A5,T_StockCount[WeekIndex],79),IF((('T_SelfStock'!CB9&lt;&gt;""))*(('T_TTAFStock'!CB9&lt;&gt;""))&gt;0,'T_SelfStock'!CB9+'T_TTAFStock'!CB9,CA5+'Grid_Incoming'!CB5-'Grid_Requirement'!CB5))</f>
        <v/>
      </c>
      <c r="CC5">
        <f>IF(COUNTIFS(T_StockCount[Part Name],$A5,T_StockCount[WeekIndex],80)&gt;0,SUMIFS(T_StockCount[CountedQty],T_StockCount[Part Name],$A5,T_StockCount[WeekIndex],80),IF((('T_SelfStock'!CC9&lt;&gt;""))*(('T_TTAFStock'!CC9&lt;&gt;""))&gt;0,'T_SelfStock'!CC9+'T_TTAFStock'!CC9,CB5+'Grid_Incoming'!CC5-'Grid_Requirement'!CC5))</f>
        <v/>
      </c>
      <c r="CD5">
        <f>IF(COUNTIFS(T_StockCount[Part Name],$A5,T_StockCount[WeekIndex],81)&gt;0,SUMIFS(T_StockCount[CountedQty],T_StockCount[Part Name],$A5,T_StockCount[WeekIndex],81),IF((('T_SelfStock'!CD9&lt;&gt;""))*(('T_TTAFStock'!CD9&lt;&gt;""))&gt;0,'T_SelfStock'!CD9+'T_TTAFStock'!CD9,CC5+'Grid_Incoming'!CD5-'Grid_Requirement'!CD5))</f>
        <v/>
      </c>
      <c r="CE5">
        <f>IF(COUNTIFS(T_StockCount[Part Name],$A5,T_StockCount[WeekIndex],82)&gt;0,SUMIFS(T_StockCount[CountedQty],T_StockCount[Part Name],$A5,T_StockCount[WeekIndex],82),IF((('T_SelfStock'!CE9&lt;&gt;""))*(('T_TTAFStock'!CE9&lt;&gt;""))&gt;0,'T_SelfStock'!CE9+'T_TTAFStock'!CE9,CD5+'Grid_Incoming'!CE5-'Grid_Requirement'!CE5))</f>
        <v/>
      </c>
      <c r="CF5">
        <f>IF(COUNTIFS(T_StockCount[Part Name],$A5,T_StockCount[WeekIndex],83)&gt;0,SUMIFS(T_StockCount[CountedQty],T_StockCount[Part Name],$A5,T_StockCount[WeekIndex],83),IF((('T_SelfStock'!CF9&lt;&gt;""))*(('T_TTAFStock'!CF9&lt;&gt;""))&gt;0,'T_SelfStock'!CF9+'T_TTAFStock'!CF9,CE5+'Grid_Incoming'!CF5-'Grid_Requirement'!CF5))</f>
        <v/>
      </c>
      <c r="CG5">
        <f>IF(COUNTIFS(T_StockCount[Part Name],$A5,T_StockCount[WeekIndex],84)&gt;0,SUMIFS(T_StockCount[CountedQty],T_StockCount[Part Name],$A5,T_StockCount[WeekIndex],84),IF((('T_SelfStock'!CG9&lt;&gt;""))*(('T_TTAFStock'!CG9&lt;&gt;""))&gt;0,'T_SelfStock'!CG9+'T_TTAFStock'!CG9,CF5+'Grid_Incoming'!CG5-'Grid_Requirement'!CG5))</f>
        <v/>
      </c>
      <c r="CH5">
        <f>IF(COUNTIFS(T_StockCount[Part Name],$A5,T_StockCount[WeekIndex],85)&gt;0,SUMIFS(T_StockCount[CountedQty],T_StockCount[Part Name],$A5,T_StockCount[WeekIndex],85),IF((('T_SelfStock'!CH9&lt;&gt;""))*(('T_TTAFStock'!CH9&lt;&gt;""))&gt;0,'T_SelfStock'!CH9+'T_TTAFStock'!CH9,CG5+'Grid_Incoming'!CH5-'Grid_Requirement'!CH5))</f>
        <v/>
      </c>
      <c r="CI5">
        <f>IF(COUNTIFS(T_StockCount[Part Name],$A5,T_StockCount[WeekIndex],86)&gt;0,SUMIFS(T_StockCount[CountedQty],T_StockCount[Part Name],$A5,T_StockCount[WeekIndex],86),IF((('T_SelfStock'!CI9&lt;&gt;""))*(('T_TTAFStock'!CI9&lt;&gt;""))&gt;0,'T_SelfStock'!CI9+'T_TTAFStock'!CI9,CH5+'Grid_Incoming'!CI5-'Grid_Requirement'!CI5))</f>
        <v/>
      </c>
      <c r="CJ5">
        <f>IF(COUNTIFS(T_StockCount[Part Name],$A5,T_StockCount[WeekIndex],87)&gt;0,SUMIFS(T_StockCount[CountedQty],T_StockCount[Part Name],$A5,T_StockCount[WeekIndex],87),IF((('T_SelfStock'!CJ9&lt;&gt;""))*(('T_TTAFStock'!CJ9&lt;&gt;""))&gt;0,'T_SelfStock'!CJ9+'T_TTAFStock'!CJ9,CI5+'Grid_Incoming'!CJ5-'Grid_Requirement'!CJ5))</f>
        <v/>
      </c>
      <c r="CK5">
        <f>IF(COUNTIFS(T_StockCount[Part Name],$A5,T_StockCount[WeekIndex],88)&gt;0,SUMIFS(T_StockCount[CountedQty],T_StockCount[Part Name],$A5,T_StockCount[WeekIndex],88),IF((('T_SelfStock'!CK9&lt;&gt;""))*(('T_TTAFStock'!CK9&lt;&gt;""))&gt;0,'T_SelfStock'!CK9+'T_TTAFStock'!CK9,CJ5+'Grid_Incoming'!CK5-'Grid_Requirement'!CK5))</f>
        <v/>
      </c>
      <c r="CL5">
        <f>IF(COUNTIFS(T_StockCount[Part Name],$A5,T_StockCount[WeekIndex],89)&gt;0,SUMIFS(T_StockCount[CountedQty],T_StockCount[Part Name],$A5,T_StockCount[WeekIndex],89),IF((('T_SelfStock'!CL9&lt;&gt;""))*(('T_TTAFStock'!CL9&lt;&gt;""))&gt;0,'T_SelfStock'!CL9+'T_TTAFStock'!CL9,CK5+'Grid_Incoming'!CL5-'Grid_Requirement'!CL5))</f>
        <v/>
      </c>
      <c r="CM5">
        <f>IF(COUNTIFS(T_StockCount[Part Name],$A5,T_StockCount[WeekIndex],90)&gt;0,SUMIFS(T_StockCount[CountedQty],T_StockCount[Part Name],$A5,T_StockCount[WeekIndex],90),IF((('T_SelfStock'!CM9&lt;&gt;""))*(('T_TTAFStock'!CM9&lt;&gt;""))&gt;0,'T_SelfStock'!CM9+'T_TTAFStock'!CM9,CL5+'Grid_Incoming'!CM5-'Grid_Requirement'!CM5))</f>
        <v/>
      </c>
      <c r="CN5">
        <f>IF(COUNTIFS(T_StockCount[Part Name],$A5,T_StockCount[WeekIndex],91)&gt;0,SUMIFS(T_StockCount[CountedQty],T_StockCount[Part Name],$A5,T_StockCount[WeekIndex],91),IF((('T_SelfStock'!CN9&lt;&gt;""))*(('T_TTAFStock'!CN9&lt;&gt;""))&gt;0,'T_SelfStock'!CN9+'T_TTAFStock'!CN9,CM5+'Grid_Incoming'!CN5-'Grid_Requirement'!CN5))</f>
        <v/>
      </c>
      <c r="CO5">
        <f>IF(COUNTIFS(T_StockCount[Part Name],$A5,T_StockCount[WeekIndex],92)&gt;0,SUMIFS(T_StockCount[CountedQty],T_StockCount[Part Name],$A5,T_StockCount[WeekIndex],92),IF((('T_SelfStock'!CO9&lt;&gt;""))*(('T_TTAFStock'!CO9&lt;&gt;""))&gt;0,'T_SelfStock'!CO9+'T_TTAFStock'!CO9,CN5+'Grid_Incoming'!CO5-'Grid_Requirement'!CO5))</f>
        <v/>
      </c>
      <c r="CP5">
        <f>IF(COUNTIFS(T_StockCount[Part Name],$A5,T_StockCount[WeekIndex],93)&gt;0,SUMIFS(T_StockCount[CountedQty],T_StockCount[Part Name],$A5,T_StockCount[WeekIndex],93),IF((('T_SelfStock'!CP9&lt;&gt;""))*(('T_TTAFStock'!CP9&lt;&gt;""))&gt;0,'T_SelfStock'!CP9+'T_TTAFStock'!CP9,CO5+'Grid_Incoming'!CP5-'Grid_Requirement'!CP5))</f>
        <v/>
      </c>
      <c r="CQ5">
        <f>IF(COUNTIFS(T_StockCount[Part Name],$A5,T_StockCount[WeekIndex],94)&gt;0,SUMIFS(T_StockCount[CountedQty],T_StockCount[Part Name],$A5,T_StockCount[WeekIndex],94),IF((('T_SelfStock'!CQ9&lt;&gt;""))*(('T_TTAFStock'!CQ9&lt;&gt;""))&gt;0,'T_SelfStock'!CQ9+'T_TTAFStock'!CQ9,CP5+'Grid_Incoming'!CQ5-'Grid_Requirement'!CQ5))</f>
        <v/>
      </c>
      <c r="CR5">
        <f>IF(COUNTIFS(T_StockCount[Part Name],$A5,T_StockCount[WeekIndex],95)&gt;0,SUMIFS(T_StockCount[CountedQty],T_StockCount[Part Name],$A5,T_StockCount[WeekIndex],95),IF((('T_SelfStock'!CR9&lt;&gt;""))*(('T_TTAFStock'!CR9&lt;&gt;""))&gt;0,'T_SelfStock'!CR9+'T_TTAFStock'!CR9,CQ5+'Grid_Incoming'!CR5-'Grid_Requirement'!CR5))</f>
        <v/>
      </c>
      <c r="CS5">
        <f>IF(COUNTIFS(T_StockCount[Part Name],$A5,T_StockCount[WeekIndex],96)&gt;0,SUMIFS(T_StockCount[CountedQty],T_StockCount[Part Name],$A5,T_StockCount[WeekIndex],96),IF((('T_SelfStock'!CS9&lt;&gt;""))*(('T_TTAFStock'!CS9&lt;&gt;""))&gt;0,'T_SelfStock'!CS9+'T_TTAFStock'!CS9,CR5+'Grid_Incoming'!CS5-'Grid_Requirement'!CS5))</f>
        <v/>
      </c>
      <c r="CT5">
        <f>IF(COUNTIFS(T_StockCount[Part Name],$A5,T_StockCount[WeekIndex],97)&gt;0,SUMIFS(T_StockCount[CountedQty],T_StockCount[Part Name],$A5,T_StockCount[WeekIndex],97),IF((('T_SelfStock'!CT9&lt;&gt;""))*(('T_TTAFStock'!CT9&lt;&gt;""))&gt;0,'T_SelfStock'!CT9+'T_TTAFStock'!CT9,CS5+'Grid_Incoming'!CT5-'Grid_Requirement'!CT5))</f>
        <v/>
      </c>
      <c r="CU5">
        <f>IF(COUNTIFS(T_StockCount[Part Name],$A5,T_StockCount[WeekIndex],98)&gt;0,SUMIFS(T_StockCount[CountedQty],T_StockCount[Part Name],$A5,T_StockCount[WeekIndex],98),IF((('T_SelfStock'!CU9&lt;&gt;""))*(('T_TTAFStock'!CU9&lt;&gt;""))&gt;0,'T_SelfStock'!CU9+'T_TTAFStock'!CU9,CT5+'Grid_Incoming'!CU5-'Grid_Requirement'!CU5))</f>
        <v/>
      </c>
      <c r="CV5">
        <f>IF(COUNTIFS(T_StockCount[Part Name],$A5,T_StockCount[WeekIndex],99)&gt;0,SUMIFS(T_StockCount[CountedQty],T_StockCount[Part Name],$A5,T_StockCount[WeekIndex],99),IF((('T_SelfStock'!CV9&lt;&gt;""))*(('T_TTAFStock'!CV9&lt;&gt;""))&gt;0,'T_SelfStock'!CV9+'T_TTAFStock'!CV9,CU5+'Grid_Incoming'!CV5-'Grid_Requirement'!CV5))</f>
        <v/>
      </c>
      <c r="CW5">
        <f>IF(COUNTIFS(T_StockCount[Part Name],$A5,T_StockCount[WeekIndex],100)&gt;0,SUMIFS(T_StockCount[CountedQty],T_StockCount[Part Name],$A5,T_StockCount[WeekIndex],100),IF((('T_SelfStock'!CW9&lt;&gt;""))*(('T_TTAFStock'!CW9&lt;&gt;""))&gt;0,'T_SelfStock'!CW9+'T_TTAFStock'!CW9,CV5+'Grid_Incoming'!CW5-'Grid_Requirement'!CW5))</f>
        <v/>
      </c>
      <c r="CX5">
        <f>IF(COUNTIFS(T_StockCount[Part Name],$A5,T_StockCount[WeekIndex],101)&gt;0,SUMIFS(T_StockCount[CountedQty],T_StockCount[Part Name],$A5,T_StockCount[WeekIndex],101),IF((('T_SelfStock'!CX9&lt;&gt;""))*(('T_TTAFStock'!CX9&lt;&gt;""))&gt;0,'T_SelfStock'!CX9+'T_TTAFStock'!CX9,CW5+'Grid_Incoming'!CX5-'Grid_Requirement'!CX5))</f>
        <v/>
      </c>
      <c r="CY5">
        <f>IF(COUNTIFS(T_StockCount[Part Name],$A5,T_StockCount[WeekIndex],102)&gt;0,SUMIFS(T_StockCount[CountedQty],T_StockCount[Part Name],$A5,T_StockCount[WeekIndex],102),IF((('T_SelfStock'!CY9&lt;&gt;""))*(('T_TTAFStock'!CY9&lt;&gt;""))&gt;0,'T_SelfStock'!CY9+'T_TTAFStock'!CY9,CX5+'Grid_Incoming'!CY5-'Grid_Requirement'!CY5))</f>
        <v/>
      </c>
      <c r="CZ5">
        <f>IF(COUNTIFS(T_StockCount[Part Name],$A5,T_StockCount[WeekIndex],103)&gt;0,SUMIFS(T_StockCount[CountedQty],T_StockCount[Part Name],$A5,T_StockCount[WeekIndex],103),IF((('T_SelfStock'!CZ9&lt;&gt;""))*(('T_TTAFStock'!CZ9&lt;&gt;""))&gt;0,'T_SelfStock'!CZ9+'T_TTAFStock'!CZ9,CY5+'Grid_Incoming'!CZ5-'Grid_Requirement'!CZ5))</f>
        <v/>
      </c>
      <c r="DA5">
        <f>IF(COUNTIFS(T_StockCount[Part Name],$A5,T_StockCount[WeekIndex],104)&gt;0,SUMIFS(T_StockCount[CountedQty],T_StockCount[Part Name],$A5,T_StockCount[WeekIndex],104),IF((('T_SelfStock'!DA9&lt;&gt;""))*(('T_TTAFStock'!DA9&lt;&gt;""))&gt;0,'T_SelfStock'!DA9+'T_TTAFStock'!DA9,CZ5+'Grid_Incoming'!DA5-'Grid_Requirement'!DA5))</f>
        <v/>
      </c>
    </row>
    <row r="6">
      <c r="A6" t="inlineStr">
        <is>
          <t>7CL</t>
        </is>
      </c>
      <c r="B6">
        <f>IF(COUNTIFS(T_StockCount[Part Name],$A6,T_StockCount[WeekIndex],1)&gt;0,SUMIFS(T_StockCount[CountedQty],T_StockCount[Part Name],$A6,T_StockCount[WeekIndex],1),IF((('T_SelfStock'!B10&lt;&gt;""))*(('T_TTAFStock'!B10&lt;&gt;""))&gt;0,'T_SelfStock'!B10+'T_TTAFStock'!B10,IFERROR(INDEX(T_OpeningStock[Opening_Qty_要入力],MATCH($A6,T_OpeningStock[Part Name],0)),0)+'Grid_Incoming'!B6-'Grid_Requirement'!B6))</f>
        <v/>
      </c>
      <c r="C6">
        <f>IF(COUNTIFS(T_StockCount[Part Name],$A6,T_StockCount[WeekIndex],2)&gt;0,SUMIFS(T_StockCount[CountedQty],T_StockCount[Part Name],$A6,T_StockCount[WeekIndex],2),IF((('T_SelfStock'!C10&lt;&gt;""))*(('T_TTAFStock'!C10&lt;&gt;""))&gt;0,'T_SelfStock'!C10+'T_TTAFStock'!C10,B6+'Grid_Incoming'!C6-'Grid_Requirement'!C6))</f>
        <v/>
      </c>
      <c r="D6">
        <f>IF(COUNTIFS(T_StockCount[Part Name],$A6,T_StockCount[WeekIndex],3)&gt;0,SUMIFS(T_StockCount[CountedQty],T_StockCount[Part Name],$A6,T_StockCount[WeekIndex],3),IF((('T_SelfStock'!D10&lt;&gt;""))*(('T_TTAFStock'!D10&lt;&gt;""))&gt;0,'T_SelfStock'!D10+'T_TTAFStock'!D10,C6+'Grid_Incoming'!D6-'Grid_Requirement'!D6))</f>
        <v/>
      </c>
      <c r="E6">
        <f>IF(COUNTIFS(T_StockCount[Part Name],$A6,T_StockCount[WeekIndex],4)&gt;0,SUMIFS(T_StockCount[CountedQty],T_StockCount[Part Name],$A6,T_StockCount[WeekIndex],4),IF((('T_SelfStock'!E10&lt;&gt;""))*(('T_TTAFStock'!E10&lt;&gt;""))&gt;0,'T_SelfStock'!E10+'T_TTAFStock'!E10,D6+'Grid_Incoming'!E6-'Grid_Requirement'!E6))</f>
        <v/>
      </c>
      <c r="F6">
        <f>IF(COUNTIFS(T_StockCount[Part Name],$A6,T_StockCount[WeekIndex],5)&gt;0,SUMIFS(T_StockCount[CountedQty],T_StockCount[Part Name],$A6,T_StockCount[WeekIndex],5),IF((('T_SelfStock'!F10&lt;&gt;""))*(('T_TTAFStock'!F10&lt;&gt;""))&gt;0,'T_SelfStock'!F10+'T_TTAFStock'!F10,E6+'Grid_Incoming'!F6-'Grid_Requirement'!F6))</f>
        <v/>
      </c>
      <c r="G6">
        <f>IF(COUNTIFS(T_StockCount[Part Name],$A6,T_StockCount[WeekIndex],6)&gt;0,SUMIFS(T_StockCount[CountedQty],T_StockCount[Part Name],$A6,T_StockCount[WeekIndex],6),IF((('T_SelfStock'!G10&lt;&gt;""))*(('T_TTAFStock'!G10&lt;&gt;""))&gt;0,'T_SelfStock'!G10+'T_TTAFStock'!G10,F6+'Grid_Incoming'!G6-'Grid_Requirement'!G6))</f>
        <v/>
      </c>
      <c r="H6">
        <f>IF(COUNTIFS(T_StockCount[Part Name],$A6,T_StockCount[WeekIndex],7)&gt;0,SUMIFS(T_StockCount[CountedQty],T_StockCount[Part Name],$A6,T_StockCount[WeekIndex],7),IF((('T_SelfStock'!H10&lt;&gt;""))*(('T_TTAFStock'!H10&lt;&gt;""))&gt;0,'T_SelfStock'!H10+'T_TTAFStock'!H10,G6+'Grid_Incoming'!H6-'Grid_Requirement'!H6))</f>
        <v/>
      </c>
      <c r="I6">
        <f>IF(COUNTIFS(T_StockCount[Part Name],$A6,T_StockCount[WeekIndex],8)&gt;0,SUMIFS(T_StockCount[CountedQty],T_StockCount[Part Name],$A6,T_StockCount[WeekIndex],8),IF((('T_SelfStock'!I10&lt;&gt;""))*(('T_TTAFStock'!I10&lt;&gt;""))&gt;0,'T_SelfStock'!I10+'T_TTAFStock'!I10,H6+'Grid_Incoming'!I6-'Grid_Requirement'!I6))</f>
        <v/>
      </c>
      <c r="J6">
        <f>IF(COUNTIFS(T_StockCount[Part Name],$A6,T_StockCount[WeekIndex],9)&gt;0,SUMIFS(T_StockCount[CountedQty],T_StockCount[Part Name],$A6,T_StockCount[WeekIndex],9),IF((('T_SelfStock'!J10&lt;&gt;""))*(('T_TTAFStock'!J10&lt;&gt;""))&gt;0,'T_SelfStock'!J10+'T_TTAFStock'!J10,I6+'Grid_Incoming'!J6-'Grid_Requirement'!J6))</f>
        <v/>
      </c>
      <c r="K6">
        <f>IF(COUNTIFS(T_StockCount[Part Name],$A6,T_StockCount[WeekIndex],10)&gt;0,SUMIFS(T_StockCount[CountedQty],T_StockCount[Part Name],$A6,T_StockCount[WeekIndex],10),IF((('T_SelfStock'!K10&lt;&gt;""))*(('T_TTAFStock'!K10&lt;&gt;""))&gt;0,'T_SelfStock'!K10+'T_TTAFStock'!K10,J6+'Grid_Incoming'!K6-'Grid_Requirement'!K6))</f>
        <v/>
      </c>
      <c r="L6">
        <f>IF(COUNTIFS(T_StockCount[Part Name],$A6,T_StockCount[WeekIndex],11)&gt;0,SUMIFS(T_StockCount[CountedQty],T_StockCount[Part Name],$A6,T_StockCount[WeekIndex],11),IF((('T_SelfStock'!L10&lt;&gt;""))*(('T_TTAFStock'!L10&lt;&gt;""))&gt;0,'T_SelfStock'!L10+'T_TTAFStock'!L10,K6+'Grid_Incoming'!L6-'Grid_Requirement'!L6))</f>
        <v/>
      </c>
      <c r="M6">
        <f>IF(COUNTIFS(T_StockCount[Part Name],$A6,T_StockCount[WeekIndex],12)&gt;0,SUMIFS(T_StockCount[CountedQty],T_StockCount[Part Name],$A6,T_StockCount[WeekIndex],12),IF((('T_SelfStock'!M10&lt;&gt;""))*(('T_TTAFStock'!M10&lt;&gt;""))&gt;0,'T_SelfStock'!M10+'T_TTAFStock'!M10,L6+'Grid_Incoming'!M6-'Grid_Requirement'!M6))</f>
        <v/>
      </c>
      <c r="N6">
        <f>IF(COUNTIFS(T_StockCount[Part Name],$A6,T_StockCount[WeekIndex],13)&gt;0,SUMIFS(T_StockCount[CountedQty],T_StockCount[Part Name],$A6,T_StockCount[WeekIndex],13),IF((('T_SelfStock'!N10&lt;&gt;""))*(('T_TTAFStock'!N10&lt;&gt;""))&gt;0,'T_SelfStock'!N10+'T_TTAFStock'!N10,M6+'Grid_Incoming'!N6-'Grid_Requirement'!N6))</f>
        <v/>
      </c>
      <c r="O6">
        <f>IF(COUNTIFS(T_StockCount[Part Name],$A6,T_StockCount[WeekIndex],14)&gt;0,SUMIFS(T_StockCount[CountedQty],T_StockCount[Part Name],$A6,T_StockCount[WeekIndex],14),IF((('T_SelfStock'!O10&lt;&gt;""))*(('T_TTAFStock'!O10&lt;&gt;""))&gt;0,'T_SelfStock'!O10+'T_TTAFStock'!O10,N6+'Grid_Incoming'!O6-'Grid_Requirement'!O6))</f>
        <v/>
      </c>
      <c r="P6">
        <f>IF(COUNTIFS(T_StockCount[Part Name],$A6,T_StockCount[WeekIndex],15)&gt;0,SUMIFS(T_StockCount[CountedQty],T_StockCount[Part Name],$A6,T_StockCount[WeekIndex],15),IF((('T_SelfStock'!P10&lt;&gt;""))*(('T_TTAFStock'!P10&lt;&gt;""))&gt;0,'T_SelfStock'!P10+'T_TTAFStock'!P10,O6+'Grid_Incoming'!P6-'Grid_Requirement'!P6))</f>
        <v/>
      </c>
      <c r="Q6">
        <f>IF(COUNTIFS(T_StockCount[Part Name],$A6,T_StockCount[WeekIndex],16)&gt;0,SUMIFS(T_StockCount[CountedQty],T_StockCount[Part Name],$A6,T_StockCount[WeekIndex],16),IF((('T_SelfStock'!Q10&lt;&gt;""))*(('T_TTAFStock'!Q10&lt;&gt;""))&gt;0,'T_SelfStock'!Q10+'T_TTAFStock'!Q10,P6+'Grid_Incoming'!Q6-'Grid_Requirement'!Q6))</f>
        <v/>
      </c>
      <c r="R6">
        <f>IF(COUNTIFS(T_StockCount[Part Name],$A6,T_StockCount[WeekIndex],17)&gt;0,SUMIFS(T_StockCount[CountedQty],T_StockCount[Part Name],$A6,T_StockCount[WeekIndex],17),IF((('T_SelfStock'!R10&lt;&gt;""))*(('T_TTAFStock'!R10&lt;&gt;""))&gt;0,'T_SelfStock'!R10+'T_TTAFStock'!R10,Q6+'Grid_Incoming'!R6-'Grid_Requirement'!R6))</f>
        <v/>
      </c>
      <c r="S6">
        <f>IF(COUNTIFS(T_StockCount[Part Name],$A6,T_StockCount[WeekIndex],18)&gt;0,SUMIFS(T_StockCount[CountedQty],T_StockCount[Part Name],$A6,T_StockCount[WeekIndex],18),IF((('T_SelfStock'!S10&lt;&gt;""))*(('T_TTAFStock'!S10&lt;&gt;""))&gt;0,'T_SelfStock'!S10+'T_TTAFStock'!S10,R6+'Grid_Incoming'!S6-'Grid_Requirement'!S6))</f>
        <v/>
      </c>
      <c r="T6">
        <f>IF(COUNTIFS(T_StockCount[Part Name],$A6,T_StockCount[WeekIndex],19)&gt;0,SUMIFS(T_StockCount[CountedQty],T_StockCount[Part Name],$A6,T_StockCount[WeekIndex],19),IF((('T_SelfStock'!T10&lt;&gt;""))*(('T_TTAFStock'!T10&lt;&gt;""))&gt;0,'T_SelfStock'!T10+'T_TTAFStock'!T10,S6+'Grid_Incoming'!T6-'Grid_Requirement'!T6))</f>
        <v/>
      </c>
      <c r="U6">
        <f>IF(COUNTIFS(T_StockCount[Part Name],$A6,T_StockCount[WeekIndex],20)&gt;0,SUMIFS(T_StockCount[CountedQty],T_StockCount[Part Name],$A6,T_StockCount[WeekIndex],20),IF((('T_SelfStock'!U10&lt;&gt;""))*(('T_TTAFStock'!U10&lt;&gt;""))&gt;0,'T_SelfStock'!U10+'T_TTAFStock'!U10,T6+'Grid_Incoming'!U6-'Grid_Requirement'!U6))</f>
        <v/>
      </c>
      <c r="V6">
        <f>IF(COUNTIFS(T_StockCount[Part Name],$A6,T_StockCount[WeekIndex],21)&gt;0,SUMIFS(T_StockCount[CountedQty],T_StockCount[Part Name],$A6,T_StockCount[WeekIndex],21),IF((('T_SelfStock'!V10&lt;&gt;""))*(('T_TTAFStock'!V10&lt;&gt;""))&gt;0,'T_SelfStock'!V10+'T_TTAFStock'!V10,U6+'Grid_Incoming'!V6-'Grid_Requirement'!V6))</f>
        <v/>
      </c>
      <c r="W6">
        <f>IF(COUNTIFS(T_StockCount[Part Name],$A6,T_StockCount[WeekIndex],22)&gt;0,SUMIFS(T_StockCount[CountedQty],T_StockCount[Part Name],$A6,T_StockCount[WeekIndex],22),IF((('T_SelfStock'!W10&lt;&gt;""))*(('T_TTAFStock'!W10&lt;&gt;""))&gt;0,'T_SelfStock'!W10+'T_TTAFStock'!W10,V6+'Grid_Incoming'!W6-'Grid_Requirement'!W6))</f>
        <v/>
      </c>
      <c r="X6">
        <f>IF(COUNTIFS(T_StockCount[Part Name],$A6,T_StockCount[WeekIndex],23)&gt;0,SUMIFS(T_StockCount[CountedQty],T_StockCount[Part Name],$A6,T_StockCount[WeekIndex],23),IF((('T_SelfStock'!X10&lt;&gt;""))*(('T_TTAFStock'!X10&lt;&gt;""))&gt;0,'T_SelfStock'!X10+'T_TTAFStock'!X10,W6+'Grid_Incoming'!X6-'Grid_Requirement'!X6))</f>
        <v/>
      </c>
      <c r="Y6">
        <f>IF(COUNTIFS(T_StockCount[Part Name],$A6,T_StockCount[WeekIndex],24)&gt;0,SUMIFS(T_StockCount[CountedQty],T_StockCount[Part Name],$A6,T_StockCount[WeekIndex],24),IF((('T_SelfStock'!Y10&lt;&gt;""))*(('T_TTAFStock'!Y10&lt;&gt;""))&gt;0,'T_SelfStock'!Y10+'T_TTAFStock'!Y10,X6+'Grid_Incoming'!Y6-'Grid_Requirement'!Y6))</f>
        <v/>
      </c>
      <c r="Z6">
        <f>IF(COUNTIFS(T_StockCount[Part Name],$A6,T_StockCount[WeekIndex],25)&gt;0,SUMIFS(T_StockCount[CountedQty],T_StockCount[Part Name],$A6,T_StockCount[WeekIndex],25),IF((('T_SelfStock'!Z10&lt;&gt;""))*(('T_TTAFStock'!Z10&lt;&gt;""))&gt;0,'T_SelfStock'!Z10+'T_TTAFStock'!Z10,Y6+'Grid_Incoming'!Z6-'Grid_Requirement'!Z6))</f>
        <v/>
      </c>
      <c r="AA6">
        <f>IF(COUNTIFS(T_StockCount[Part Name],$A6,T_StockCount[WeekIndex],26)&gt;0,SUMIFS(T_StockCount[CountedQty],T_StockCount[Part Name],$A6,T_StockCount[WeekIndex],26),IF((('T_SelfStock'!AA10&lt;&gt;""))*(('T_TTAFStock'!AA10&lt;&gt;""))&gt;0,'T_SelfStock'!AA10+'T_TTAFStock'!AA10,Z6+'Grid_Incoming'!AA6-'Grid_Requirement'!AA6))</f>
        <v/>
      </c>
      <c r="AB6">
        <f>IF(COUNTIFS(T_StockCount[Part Name],$A6,T_StockCount[WeekIndex],27)&gt;0,SUMIFS(T_StockCount[CountedQty],T_StockCount[Part Name],$A6,T_StockCount[WeekIndex],27),IF((('T_SelfStock'!AB10&lt;&gt;""))*(('T_TTAFStock'!AB10&lt;&gt;""))&gt;0,'T_SelfStock'!AB10+'T_TTAFStock'!AB10,AA6+'Grid_Incoming'!AB6-'Grid_Requirement'!AB6))</f>
        <v/>
      </c>
      <c r="AC6">
        <f>IF(COUNTIFS(T_StockCount[Part Name],$A6,T_StockCount[WeekIndex],28)&gt;0,SUMIFS(T_StockCount[CountedQty],T_StockCount[Part Name],$A6,T_StockCount[WeekIndex],28),IF((('T_SelfStock'!AC10&lt;&gt;""))*(('T_TTAFStock'!AC10&lt;&gt;""))&gt;0,'T_SelfStock'!AC10+'T_TTAFStock'!AC10,AB6+'Grid_Incoming'!AC6-'Grid_Requirement'!AC6))</f>
        <v/>
      </c>
      <c r="AD6">
        <f>IF(COUNTIFS(T_StockCount[Part Name],$A6,T_StockCount[WeekIndex],29)&gt;0,SUMIFS(T_StockCount[CountedQty],T_StockCount[Part Name],$A6,T_StockCount[WeekIndex],29),IF((('T_SelfStock'!AD10&lt;&gt;""))*(('T_TTAFStock'!AD10&lt;&gt;""))&gt;0,'T_SelfStock'!AD10+'T_TTAFStock'!AD10,AC6+'Grid_Incoming'!AD6-'Grid_Requirement'!AD6))</f>
        <v/>
      </c>
      <c r="AE6">
        <f>IF(COUNTIFS(T_StockCount[Part Name],$A6,T_StockCount[WeekIndex],30)&gt;0,SUMIFS(T_StockCount[CountedQty],T_StockCount[Part Name],$A6,T_StockCount[WeekIndex],30),IF((('T_SelfStock'!AE10&lt;&gt;""))*(('T_TTAFStock'!AE10&lt;&gt;""))&gt;0,'T_SelfStock'!AE10+'T_TTAFStock'!AE10,AD6+'Grid_Incoming'!AE6-'Grid_Requirement'!AE6))</f>
        <v/>
      </c>
      <c r="AF6">
        <f>IF(COUNTIFS(T_StockCount[Part Name],$A6,T_StockCount[WeekIndex],31)&gt;0,SUMIFS(T_StockCount[CountedQty],T_StockCount[Part Name],$A6,T_StockCount[WeekIndex],31),IF((('T_SelfStock'!AF10&lt;&gt;""))*(('T_TTAFStock'!AF10&lt;&gt;""))&gt;0,'T_SelfStock'!AF10+'T_TTAFStock'!AF10,AE6+'Grid_Incoming'!AF6-'Grid_Requirement'!AF6))</f>
        <v/>
      </c>
      <c r="AG6">
        <f>IF(COUNTIFS(T_StockCount[Part Name],$A6,T_StockCount[WeekIndex],32)&gt;0,SUMIFS(T_StockCount[CountedQty],T_StockCount[Part Name],$A6,T_StockCount[WeekIndex],32),IF((('T_SelfStock'!AG10&lt;&gt;""))*(('T_TTAFStock'!AG10&lt;&gt;""))&gt;0,'T_SelfStock'!AG10+'T_TTAFStock'!AG10,AF6+'Grid_Incoming'!AG6-'Grid_Requirement'!AG6))</f>
        <v/>
      </c>
      <c r="AH6">
        <f>IF(COUNTIFS(T_StockCount[Part Name],$A6,T_StockCount[WeekIndex],33)&gt;0,SUMIFS(T_StockCount[CountedQty],T_StockCount[Part Name],$A6,T_StockCount[WeekIndex],33),IF((('T_SelfStock'!AH10&lt;&gt;""))*(('T_TTAFStock'!AH10&lt;&gt;""))&gt;0,'T_SelfStock'!AH10+'T_TTAFStock'!AH10,AG6+'Grid_Incoming'!AH6-'Grid_Requirement'!AH6))</f>
        <v/>
      </c>
      <c r="AI6">
        <f>IF(COUNTIFS(T_StockCount[Part Name],$A6,T_StockCount[WeekIndex],34)&gt;0,SUMIFS(T_StockCount[CountedQty],T_StockCount[Part Name],$A6,T_StockCount[WeekIndex],34),IF((('T_SelfStock'!AI10&lt;&gt;""))*(('T_TTAFStock'!AI10&lt;&gt;""))&gt;0,'T_SelfStock'!AI10+'T_TTAFStock'!AI10,AH6+'Grid_Incoming'!AI6-'Grid_Requirement'!AI6))</f>
        <v/>
      </c>
      <c r="AJ6">
        <f>IF(COUNTIFS(T_StockCount[Part Name],$A6,T_StockCount[WeekIndex],35)&gt;0,SUMIFS(T_StockCount[CountedQty],T_StockCount[Part Name],$A6,T_StockCount[WeekIndex],35),IF((('T_SelfStock'!AJ10&lt;&gt;""))*(('T_TTAFStock'!AJ10&lt;&gt;""))&gt;0,'T_SelfStock'!AJ10+'T_TTAFStock'!AJ10,AI6+'Grid_Incoming'!AJ6-'Grid_Requirement'!AJ6))</f>
        <v/>
      </c>
      <c r="AK6">
        <f>IF(COUNTIFS(T_StockCount[Part Name],$A6,T_StockCount[WeekIndex],36)&gt;0,SUMIFS(T_StockCount[CountedQty],T_StockCount[Part Name],$A6,T_StockCount[WeekIndex],36),IF((('T_SelfStock'!AK10&lt;&gt;""))*(('T_TTAFStock'!AK10&lt;&gt;""))&gt;0,'T_SelfStock'!AK10+'T_TTAFStock'!AK10,AJ6+'Grid_Incoming'!AK6-'Grid_Requirement'!AK6))</f>
        <v/>
      </c>
      <c r="AL6">
        <f>IF(COUNTIFS(T_StockCount[Part Name],$A6,T_StockCount[WeekIndex],37)&gt;0,SUMIFS(T_StockCount[CountedQty],T_StockCount[Part Name],$A6,T_StockCount[WeekIndex],37),IF((('T_SelfStock'!AL10&lt;&gt;""))*(('T_TTAFStock'!AL10&lt;&gt;""))&gt;0,'T_SelfStock'!AL10+'T_TTAFStock'!AL10,AK6+'Grid_Incoming'!AL6-'Grid_Requirement'!AL6))</f>
        <v/>
      </c>
      <c r="AM6">
        <f>IF(COUNTIFS(T_StockCount[Part Name],$A6,T_StockCount[WeekIndex],38)&gt;0,SUMIFS(T_StockCount[CountedQty],T_StockCount[Part Name],$A6,T_StockCount[WeekIndex],38),IF((('T_SelfStock'!AM10&lt;&gt;""))*(('T_TTAFStock'!AM10&lt;&gt;""))&gt;0,'T_SelfStock'!AM10+'T_TTAFStock'!AM10,AL6+'Grid_Incoming'!AM6-'Grid_Requirement'!AM6))</f>
        <v/>
      </c>
      <c r="AN6">
        <f>IF(COUNTIFS(T_StockCount[Part Name],$A6,T_StockCount[WeekIndex],39)&gt;0,SUMIFS(T_StockCount[CountedQty],T_StockCount[Part Name],$A6,T_StockCount[WeekIndex],39),IF((('T_SelfStock'!AN10&lt;&gt;""))*(('T_TTAFStock'!AN10&lt;&gt;""))&gt;0,'T_SelfStock'!AN10+'T_TTAFStock'!AN10,AM6+'Grid_Incoming'!AN6-'Grid_Requirement'!AN6))</f>
        <v/>
      </c>
      <c r="AO6">
        <f>IF(COUNTIFS(T_StockCount[Part Name],$A6,T_StockCount[WeekIndex],40)&gt;0,SUMIFS(T_StockCount[CountedQty],T_StockCount[Part Name],$A6,T_StockCount[WeekIndex],40),IF((('T_SelfStock'!AO10&lt;&gt;""))*(('T_TTAFStock'!AO10&lt;&gt;""))&gt;0,'T_SelfStock'!AO10+'T_TTAFStock'!AO10,AN6+'Grid_Incoming'!AO6-'Grid_Requirement'!AO6))</f>
        <v/>
      </c>
      <c r="AP6">
        <f>IF(COUNTIFS(T_StockCount[Part Name],$A6,T_StockCount[WeekIndex],41)&gt;0,SUMIFS(T_StockCount[CountedQty],T_StockCount[Part Name],$A6,T_StockCount[WeekIndex],41),IF((('T_SelfStock'!AP10&lt;&gt;""))*(('T_TTAFStock'!AP10&lt;&gt;""))&gt;0,'T_SelfStock'!AP10+'T_TTAFStock'!AP10,AO6+'Grid_Incoming'!AP6-'Grid_Requirement'!AP6))</f>
        <v/>
      </c>
      <c r="AQ6">
        <f>IF(COUNTIFS(T_StockCount[Part Name],$A6,T_StockCount[WeekIndex],42)&gt;0,SUMIFS(T_StockCount[CountedQty],T_StockCount[Part Name],$A6,T_StockCount[WeekIndex],42),IF((('T_SelfStock'!AQ10&lt;&gt;""))*(('T_TTAFStock'!AQ10&lt;&gt;""))&gt;0,'T_SelfStock'!AQ10+'T_TTAFStock'!AQ10,AP6+'Grid_Incoming'!AQ6-'Grid_Requirement'!AQ6))</f>
        <v/>
      </c>
      <c r="AR6">
        <f>IF(COUNTIFS(T_StockCount[Part Name],$A6,T_StockCount[WeekIndex],43)&gt;0,SUMIFS(T_StockCount[CountedQty],T_StockCount[Part Name],$A6,T_StockCount[WeekIndex],43),IF((('T_SelfStock'!AR10&lt;&gt;""))*(('T_TTAFStock'!AR10&lt;&gt;""))&gt;0,'T_SelfStock'!AR10+'T_TTAFStock'!AR10,AQ6+'Grid_Incoming'!AR6-'Grid_Requirement'!AR6))</f>
        <v/>
      </c>
      <c r="AS6">
        <f>IF(COUNTIFS(T_StockCount[Part Name],$A6,T_StockCount[WeekIndex],44)&gt;0,SUMIFS(T_StockCount[CountedQty],T_StockCount[Part Name],$A6,T_StockCount[WeekIndex],44),IF((('T_SelfStock'!AS10&lt;&gt;""))*(('T_TTAFStock'!AS10&lt;&gt;""))&gt;0,'T_SelfStock'!AS10+'T_TTAFStock'!AS10,AR6+'Grid_Incoming'!AS6-'Grid_Requirement'!AS6))</f>
        <v/>
      </c>
      <c r="AT6">
        <f>IF(COUNTIFS(T_StockCount[Part Name],$A6,T_StockCount[WeekIndex],45)&gt;0,SUMIFS(T_StockCount[CountedQty],T_StockCount[Part Name],$A6,T_StockCount[WeekIndex],45),IF((('T_SelfStock'!AT10&lt;&gt;""))*(('T_TTAFStock'!AT10&lt;&gt;""))&gt;0,'T_SelfStock'!AT10+'T_TTAFStock'!AT10,AS6+'Grid_Incoming'!AT6-'Grid_Requirement'!AT6))</f>
        <v/>
      </c>
      <c r="AU6">
        <f>IF(COUNTIFS(T_StockCount[Part Name],$A6,T_StockCount[WeekIndex],46)&gt;0,SUMIFS(T_StockCount[CountedQty],T_StockCount[Part Name],$A6,T_StockCount[WeekIndex],46),IF((('T_SelfStock'!AU10&lt;&gt;""))*(('T_TTAFStock'!AU10&lt;&gt;""))&gt;0,'T_SelfStock'!AU10+'T_TTAFStock'!AU10,AT6+'Grid_Incoming'!AU6-'Grid_Requirement'!AU6))</f>
        <v/>
      </c>
      <c r="AV6">
        <f>IF(COUNTIFS(T_StockCount[Part Name],$A6,T_StockCount[WeekIndex],47)&gt;0,SUMIFS(T_StockCount[CountedQty],T_StockCount[Part Name],$A6,T_StockCount[WeekIndex],47),IF((('T_SelfStock'!AV10&lt;&gt;""))*(('T_TTAFStock'!AV10&lt;&gt;""))&gt;0,'T_SelfStock'!AV10+'T_TTAFStock'!AV10,AU6+'Grid_Incoming'!AV6-'Grid_Requirement'!AV6))</f>
        <v/>
      </c>
      <c r="AW6">
        <f>IF(COUNTIFS(T_StockCount[Part Name],$A6,T_StockCount[WeekIndex],48)&gt;0,SUMIFS(T_StockCount[CountedQty],T_StockCount[Part Name],$A6,T_StockCount[WeekIndex],48),IF((('T_SelfStock'!AW10&lt;&gt;""))*(('T_TTAFStock'!AW10&lt;&gt;""))&gt;0,'T_SelfStock'!AW10+'T_TTAFStock'!AW10,AV6+'Grid_Incoming'!AW6-'Grid_Requirement'!AW6))</f>
        <v/>
      </c>
      <c r="AX6">
        <f>IF(COUNTIFS(T_StockCount[Part Name],$A6,T_StockCount[WeekIndex],49)&gt;0,SUMIFS(T_StockCount[CountedQty],T_StockCount[Part Name],$A6,T_StockCount[WeekIndex],49),IF((('T_SelfStock'!AX10&lt;&gt;""))*(('T_TTAFStock'!AX10&lt;&gt;""))&gt;0,'T_SelfStock'!AX10+'T_TTAFStock'!AX10,AW6+'Grid_Incoming'!AX6-'Grid_Requirement'!AX6))</f>
        <v/>
      </c>
      <c r="AY6">
        <f>IF(COUNTIFS(T_StockCount[Part Name],$A6,T_StockCount[WeekIndex],50)&gt;0,SUMIFS(T_StockCount[CountedQty],T_StockCount[Part Name],$A6,T_StockCount[WeekIndex],50),IF((('T_SelfStock'!AY10&lt;&gt;""))*(('T_TTAFStock'!AY10&lt;&gt;""))&gt;0,'T_SelfStock'!AY10+'T_TTAFStock'!AY10,AX6+'Grid_Incoming'!AY6-'Grid_Requirement'!AY6))</f>
        <v/>
      </c>
      <c r="AZ6">
        <f>IF(COUNTIFS(T_StockCount[Part Name],$A6,T_StockCount[WeekIndex],51)&gt;0,SUMIFS(T_StockCount[CountedQty],T_StockCount[Part Name],$A6,T_StockCount[WeekIndex],51),IF((('T_SelfStock'!AZ10&lt;&gt;""))*(('T_TTAFStock'!AZ10&lt;&gt;""))&gt;0,'T_SelfStock'!AZ10+'T_TTAFStock'!AZ10,AY6+'Grid_Incoming'!AZ6-'Grid_Requirement'!AZ6))</f>
        <v/>
      </c>
      <c r="BA6">
        <f>IF(COUNTIFS(T_StockCount[Part Name],$A6,T_StockCount[WeekIndex],52)&gt;0,SUMIFS(T_StockCount[CountedQty],T_StockCount[Part Name],$A6,T_StockCount[WeekIndex],52),IF((('T_SelfStock'!BA10&lt;&gt;""))*(('T_TTAFStock'!BA10&lt;&gt;""))&gt;0,'T_SelfStock'!BA10+'T_TTAFStock'!BA10,AZ6+'Grid_Incoming'!BA6-'Grid_Requirement'!BA6))</f>
        <v/>
      </c>
      <c r="BB6">
        <f>IF(COUNTIFS(T_StockCount[Part Name],$A6,T_StockCount[WeekIndex],53)&gt;0,SUMIFS(T_StockCount[CountedQty],T_StockCount[Part Name],$A6,T_StockCount[WeekIndex],53),IF((('T_SelfStock'!BB10&lt;&gt;""))*(('T_TTAFStock'!BB10&lt;&gt;""))&gt;0,'T_SelfStock'!BB10+'T_TTAFStock'!BB10,BA6+'Grid_Incoming'!BB6-'Grid_Requirement'!BB6))</f>
        <v/>
      </c>
      <c r="BC6">
        <f>IF(COUNTIFS(T_StockCount[Part Name],$A6,T_StockCount[WeekIndex],54)&gt;0,SUMIFS(T_StockCount[CountedQty],T_StockCount[Part Name],$A6,T_StockCount[WeekIndex],54),IF((('T_SelfStock'!BC10&lt;&gt;""))*(('T_TTAFStock'!BC10&lt;&gt;""))&gt;0,'T_SelfStock'!BC10+'T_TTAFStock'!BC10,BB6+'Grid_Incoming'!BC6-'Grid_Requirement'!BC6))</f>
        <v/>
      </c>
      <c r="BD6">
        <f>IF(COUNTIFS(T_StockCount[Part Name],$A6,T_StockCount[WeekIndex],55)&gt;0,SUMIFS(T_StockCount[CountedQty],T_StockCount[Part Name],$A6,T_StockCount[WeekIndex],55),IF((('T_SelfStock'!BD10&lt;&gt;""))*(('T_TTAFStock'!BD10&lt;&gt;""))&gt;0,'T_SelfStock'!BD10+'T_TTAFStock'!BD10,BC6+'Grid_Incoming'!BD6-'Grid_Requirement'!BD6))</f>
        <v/>
      </c>
      <c r="BE6">
        <f>IF(COUNTIFS(T_StockCount[Part Name],$A6,T_StockCount[WeekIndex],56)&gt;0,SUMIFS(T_StockCount[CountedQty],T_StockCount[Part Name],$A6,T_StockCount[WeekIndex],56),IF((('T_SelfStock'!BE10&lt;&gt;""))*(('T_TTAFStock'!BE10&lt;&gt;""))&gt;0,'T_SelfStock'!BE10+'T_TTAFStock'!BE10,BD6+'Grid_Incoming'!BE6-'Grid_Requirement'!BE6))</f>
        <v/>
      </c>
      <c r="BF6">
        <f>IF(COUNTIFS(T_StockCount[Part Name],$A6,T_StockCount[WeekIndex],57)&gt;0,SUMIFS(T_StockCount[CountedQty],T_StockCount[Part Name],$A6,T_StockCount[WeekIndex],57),IF((('T_SelfStock'!BF10&lt;&gt;""))*(('T_TTAFStock'!BF10&lt;&gt;""))&gt;0,'T_SelfStock'!BF10+'T_TTAFStock'!BF10,BE6+'Grid_Incoming'!BF6-'Grid_Requirement'!BF6))</f>
        <v/>
      </c>
      <c r="BG6">
        <f>IF(COUNTIFS(T_StockCount[Part Name],$A6,T_StockCount[WeekIndex],58)&gt;0,SUMIFS(T_StockCount[CountedQty],T_StockCount[Part Name],$A6,T_StockCount[WeekIndex],58),IF((('T_SelfStock'!BG10&lt;&gt;""))*(('T_TTAFStock'!BG10&lt;&gt;""))&gt;0,'T_SelfStock'!BG10+'T_TTAFStock'!BG10,BF6+'Grid_Incoming'!BG6-'Grid_Requirement'!BG6))</f>
        <v/>
      </c>
      <c r="BH6">
        <f>IF(COUNTIFS(T_StockCount[Part Name],$A6,T_StockCount[WeekIndex],59)&gt;0,SUMIFS(T_StockCount[CountedQty],T_StockCount[Part Name],$A6,T_StockCount[WeekIndex],59),IF((('T_SelfStock'!BH10&lt;&gt;""))*(('T_TTAFStock'!BH10&lt;&gt;""))&gt;0,'T_SelfStock'!BH10+'T_TTAFStock'!BH10,BG6+'Grid_Incoming'!BH6-'Grid_Requirement'!BH6))</f>
        <v/>
      </c>
      <c r="BI6">
        <f>IF(COUNTIFS(T_StockCount[Part Name],$A6,T_StockCount[WeekIndex],60)&gt;0,SUMIFS(T_StockCount[CountedQty],T_StockCount[Part Name],$A6,T_StockCount[WeekIndex],60),IF((('T_SelfStock'!BI10&lt;&gt;""))*(('T_TTAFStock'!BI10&lt;&gt;""))&gt;0,'T_SelfStock'!BI10+'T_TTAFStock'!BI10,BH6+'Grid_Incoming'!BI6-'Grid_Requirement'!BI6))</f>
        <v/>
      </c>
      <c r="BJ6">
        <f>IF(COUNTIFS(T_StockCount[Part Name],$A6,T_StockCount[WeekIndex],61)&gt;0,SUMIFS(T_StockCount[CountedQty],T_StockCount[Part Name],$A6,T_StockCount[WeekIndex],61),IF((('T_SelfStock'!BJ10&lt;&gt;""))*(('T_TTAFStock'!BJ10&lt;&gt;""))&gt;0,'T_SelfStock'!BJ10+'T_TTAFStock'!BJ10,BI6+'Grid_Incoming'!BJ6-'Grid_Requirement'!BJ6))</f>
        <v/>
      </c>
      <c r="BK6">
        <f>IF(COUNTIFS(T_StockCount[Part Name],$A6,T_StockCount[WeekIndex],62)&gt;0,SUMIFS(T_StockCount[CountedQty],T_StockCount[Part Name],$A6,T_StockCount[WeekIndex],62),IF((('T_SelfStock'!BK10&lt;&gt;""))*(('T_TTAFStock'!BK10&lt;&gt;""))&gt;0,'T_SelfStock'!BK10+'T_TTAFStock'!BK10,BJ6+'Grid_Incoming'!BK6-'Grid_Requirement'!BK6))</f>
        <v/>
      </c>
      <c r="BL6">
        <f>IF(COUNTIFS(T_StockCount[Part Name],$A6,T_StockCount[WeekIndex],63)&gt;0,SUMIFS(T_StockCount[CountedQty],T_StockCount[Part Name],$A6,T_StockCount[WeekIndex],63),IF((('T_SelfStock'!BL10&lt;&gt;""))*(('T_TTAFStock'!BL10&lt;&gt;""))&gt;0,'T_SelfStock'!BL10+'T_TTAFStock'!BL10,BK6+'Grid_Incoming'!BL6-'Grid_Requirement'!BL6))</f>
        <v/>
      </c>
      <c r="BM6">
        <f>IF(COUNTIFS(T_StockCount[Part Name],$A6,T_StockCount[WeekIndex],64)&gt;0,SUMIFS(T_StockCount[CountedQty],T_StockCount[Part Name],$A6,T_StockCount[WeekIndex],64),IF((('T_SelfStock'!BM10&lt;&gt;""))*(('T_TTAFStock'!BM10&lt;&gt;""))&gt;0,'T_SelfStock'!BM10+'T_TTAFStock'!BM10,BL6+'Grid_Incoming'!BM6-'Grid_Requirement'!BM6))</f>
        <v/>
      </c>
      <c r="BN6">
        <f>IF(COUNTIFS(T_StockCount[Part Name],$A6,T_StockCount[WeekIndex],65)&gt;0,SUMIFS(T_StockCount[CountedQty],T_StockCount[Part Name],$A6,T_StockCount[WeekIndex],65),IF((('T_SelfStock'!BN10&lt;&gt;""))*(('T_TTAFStock'!BN10&lt;&gt;""))&gt;0,'T_SelfStock'!BN10+'T_TTAFStock'!BN10,BM6+'Grid_Incoming'!BN6-'Grid_Requirement'!BN6))</f>
        <v/>
      </c>
      <c r="BO6">
        <f>IF(COUNTIFS(T_StockCount[Part Name],$A6,T_StockCount[WeekIndex],66)&gt;0,SUMIFS(T_StockCount[CountedQty],T_StockCount[Part Name],$A6,T_StockCount[WeekIndex],66),IF((('T_SelfStock'!BO10&lt;&gt;""))*(('T_TTAFStock'!BO10&lt;&gt;""))&gt;0,'T_SelfStock'!BO10+'T_TTAFStock'!BO10,BN6+'Grid_Incoming'!BO6-'Grid_Requirement'!BO6))</f>
        <v/>
      </c>
      <c r="BP6">
        <f>IF(COUNTIFS(T_StockCount[Part Name],$A6,T_StockCount[WeekIndex],67)&gt;0,SUMIFS(T_StockCount[CountedQty],T_StockCount[Part Name],$A6,T_StockCount[WeekIndex],67),IF((('T_SelfStock'!BP10&lt;&gt;""))*(('T_TTAFStock'!BP10&lt;&gt;""))&gt;0,'T_SelfStock'!BP10+'T_TTAFStock'!BP10,BO6+'Grid_Incoming'!BP6-'Grid_Requirement'!BP6))</f>
        <v/>
      </c>
      <c r="BQ6">
        <f>IF(COUNTIFS(T_StockCount[Part Name],$A6,T_StockCount[WeekIndex],68)&gt;0,SUMIFS(T_StockCount[CountedQty],T_StockCount[Part Name],$A6,T_StockCount[WeekIndex],68),IF((('T_SelfStock'!BQ10&lt;&gt;""))*(('T_TTAFStock'!BQ10&lt;&gt;""))&gt;0,'T_SelfStock'!BQ10+'T_TTAFStock'!BQ10,BP6+'Grid_Incoming'!BQ6-'Grid_Requirement'!BQ6))</f>
        <v/>
      </c>
      <c r="BR6">
        <f>IF(COUNTIFS(T_StockCount[Part Name],$A6,T_StockCount[WeekIndex],69)&gt;0,SUMIFS(T_StockCount[CountedQty],T_StockCount[Part Name],$A6,T_StockCount[WeekIndex],69),IF((('T_SelfStock'!BR10&lt;&gt;""))*(('T_TTAFStock'!BR10&lt;&gt;""))&gt;0,'T_SelfStock'!BR10+'T_TTAFStock'!BR10,BQ6+'Grid_Incoming'!BR6-'Grid_Requirement'!BR6))</f>
        <v/>
      </c>
      <c r="BS6">
        <f>IF(COUNTIFS(T_StockCount[Part Name],$A6,T_StockCount[WeekIndex],70)&gt;0,SUMIFS(T_StockCount[CountedQty],T_StockCount[Part Name],$A6,T_StockCount[WeekIndex],70),IF((('T_SelfStock'!BS10&lt;&gt;""))*(('T_TTAFStock'!BS10&lt;&gt;""))&gt;0,'T_SelfStock'!BS10+'T_TTAFStock'!BS10,BR6+'Grid_Incoming'!BS6-'Grid_Requirement'!BS6))</f>
        <v/>
      </c>
      <c r="BT6">
        <f>IF(COUNTIFS(T_StockCount[Part Name],$A6,T_StockCount[WeekIndex],71)&gt;0,SUMIFS(T_StockCount[CountedQty],T_StockCount[Part Name],$A6,T_StockCount[WeekIndex],71),IF((('T_SelfStock'!BT10&lt;&gt;""))*(('T_TTAFStock'!BT10&lt;&gt;""))&gt;0,'T_SelfStock'!BT10+'T_TTAFStock'!BT10,BS6+'Grid_Incoming'!BT6-'Grid_Requirement'!BT6))</f>
        <v/>
      </c>
      <c r="BU6">
        <f>IF(COUNTIFS(T_StockCount[Part Name],$A6,T_StockCount[WeekIndex],72)&gt;0,SUMIFS(T_StockCount[CountedQty],T_StockCount[Part Name],$A6,T_StockCount[WeekIndex],72),IF((('T_SelfStock'!BU10&lt;&gt;""))*(('T_TTAFStock'!BU10&lt;&gt;""))&gt;0,'T_SelfStock'!BU10+'T_TTAFStock'!BU10,BT6+'Grid_Incoming'!BU6-'Grid_Requirement'!BU6))</f>
        <v/>
      </c>
      <c r="BV6">
        <f>IF(COUNTIFS(T_StockCount[Part Name],$A6,T_StockCount[WeekIndex],73)&gt;0,SUMIFS(T_StockCount[CountedQty],T_StockCount[Part Name],$A6,T_StockCount[WeekIndex],73),IF((('T_SelfStock'!BV10&lt;&gt;""))*(('T_TTAFStock'!BV10&lt;&gt;""))&gt;0,'T_SelfStock'!BV10+'T_TTAFStock'!BV10,BU6+'Grid_Incoming'!BV6-'Grid_Requirement'!BV6))</f>
        <v/>
      </c>
      <c r="BW6">
        <f>IF(COUNTIFS(T_StockCount[Part Name],$A6,T_StockCount[WeekIndex],74)&gt;0,SUMIFS(T_StockCount[CountedQty],T_StockCount[Part Name],$A6,T_StockCount[WeekIndex],74),IF((('T_SelfStock'!BW10&lt;&gt;""))*(('T_TTAFStock'!BW10&lt;&gt;""))&gt;0,'T_SelfStock'!BW10+'T_TTAFStock'!BW10,BV6+'Grid_Incoming'!BW6-'Grid_Requirement'!BW6))</f>
        <v/>
      </c>
      <c r="BX6">
        <f>IF(COUNTIFS(T_StockCount[Part Name],$A6,T_StockCount[WeekIndex],75)&gt;0,SUMIFS(T_StockCount[CountedQty],T_StockCount[Part Name],$A6,T_StockCount[WeekIndex],75),IF((('T_SelfStock'!BX10&lt;&gt;""))*(('T_TTAFStock'!BX10&lt;&gt;""))&gt;0,'T_SelfStock'!BX10+'T_TTAFStock'!BX10,BW6+'Grid_Incoming'!BX6-'Grid_Requirement'!BX6))</f>
        <v/>
      </c>
      <c r="BY6">
        <f>IF(COUNTIFS(T_StockCount[Part Name],$A6,T_StockCount[WeekIndex],76)&gt;0,SUMIFS(T_StockCount[CountedQty],T_StockCount[Part Name],$A6,T_StockCount[WeekIndex],76),IF((('T_SelfStock'!BY10&lt;&gt;""))*(('T_TTAFStock'!BY10&lt;&gt;""))&gt;0,'T_SelfStock'!BY10+'T_TTAFStock'!BY10,BX6+'Grid_Incoming'!BY6-'Grid_Requirement'!BY6))</f>
        <v/>
      </c>
      <c r="BZ6">
        <f>IF(COUNTIFS(T_StockCount[Part Name],$A6,T_StockCount[WeekIndex],77)&gt;0,SUMIFS(T_StockCount[CountedQty],T_StockCount[Part Name],$A6,T_StockCount[WeekIndex],77),IF((('T_SelfStock'!BZ10&lt;&gt;""))*(('T_TTAFStock'!BZ10&lt;&gt;""))&gt;0,'T_SelfStock'!BZ10+'T_TTAFStock'!BZ10,BY6+'Grid_Incoming'!BZ6-'Grid_Requirement'!BZ6))</f>
        <v/>
      </c>
      <c r="CA6">
        <f>IF(COUNTIFS(T_StockCount[Part Name],$A6,T_StockCount[WeekIndex],78)&gt;0,SUMIFS(T_StockCount[CountedQty],T_StockCount[Part Name],$A6,T_StockCount[WeekIndex],78),IF((('T_SelfStock'!CA10&lt;&gt;""))*(('T_TTAFStock'!CA10&lt;&gt;""))&gt;0,'T_SelfStock'!CA10+'T_TTAFStock'!CA10,BZ6+'Grid_Incoming'!CA6-'Grid_Requirement'!CA6))</f>
        <v/>
      </c>
      <c r="CB6">
        <f>IF(COUNTIFS(T_StockCount[Part Name],$A6,T_StockCount[WeekIndex],79)&gt;0,SUMIFS(T_StockCount[CountedQty],T_StockCount[Part Name],$A6,T_StockCount[WeekIndex],79),IF((('T_SelfStock'!CB10&lt;&gt;""))*(('T_TTAFStock'!CB10&lt;&gt;""))&gt;0,'T_SelfStock'!CB10+'T_TTAFStock'!CB10,CA6+'Grid_Incoming'!CB6-'Grid_Requirement'!CB6))</f>
        <v/>
      </c>
      <c r="CC6">
        <f>IF(COUNTIFS(T_StockCount[Part Name],$A6,T_StockCount[WeekIndex],80)&gt;0,SUMIFS(T_StockCount[CountedQty],T_StockCount[Part Name],$A6,T_StockCount[WeekIndex],80),IF((('T_SelfStock'!CC10&lt;&gt;""))*(('T_TTAFStock'!CC10&lt;&gt;""))&gt;0,'T_SelfStock'!CC10+'T_TTAFStock'!CC10,CB6+'Grid_Incoming'!CC6-'Grid_Requirement'!CC6))</f>
        <v/>
      </c>
      <c r="CD6">
        <f>IF(COUNTIFS(T_StockCount[Part Name],$A6,T_StockCount[WeekIndex],81)&gt;0,SUMIFS(T_StockCount[CountedQty],T_StockCount[Part Name],$A6,T_StockCount[WeekIndex],81),IF((('T_SelfStock'!CD10&lt;&gt;""))*(('T_TTAFStock'!CD10&lt;&gt;""))&gt;0,'T_SelfStock'!CD10+'T_TTAFStock'!CD10,CC6+'Grid_Incoming'!CD6-'Grid_Requirement'!CD6))</f>
        <v/>
      </c>
      <c r="CE6">
        <f>IF(COUNTIFS(T_StockCount[Part Name],$A6,T_StockCount[WeekIndex],82)&gt;0,SUMIFS(T_StockCount[CountedQty],T_StockCount[Part Name],$A6,T_StockCount[WeekIndex],82),IF((('T_SelfStock'!CE10&lt;&gt;""))*(('T_TTAFStock'!CE10&lt;&gt;""))&gt;0,'T_SelfStock'!CE10+'T_TTAFStock'!CE10,CD6+'Grid_Incoming'!CE6-'Grid_Requirement'!CE6))</f>
        <v/>
      </c>
      <c r="CF6">
        <f>IF(COUNTIFS(T_StockCount[Part Name],$A6,T_StockCount[WeekIndex],83)&gt;0,SUMIFS(T_StockCount[CountedQty],T_StockCount[Part Name],$A6,T_StockCount[WeekIndex],83),IF((('T_SelfStock'!CF10&lt;&gt;""))*(('T_TTAFStock'!CF10&lt;&gt;""))&gt;0,'T_SelfStock'!CF10+'T_TTAFStock'!CF10,CE6+'Grid_Incoming'!CF6-'Grid_Requirement'!CF6))</f>
        <v/>
      </c>
      <c r="CG6">
        <f>IF(COUNTIFS(T_StockCount[Part Name],$A6,T_StockCount[WeekIndex],84)&gt;0,SUMIFS(T_StockCount[CountedQty],T_StockCount[Part Name],$A6,T_StockCount[WeekIndex],84),IF((('T_SelfStock'!CG10&lt;&gt;""))*(('T_TTAFStock'!CG10&lt;&gt;""))&gt;0,'T_SelfStock'!CG10+'T_TTAFStock'!CG10,CF6+'Grid_Incoming'!CG6-'Grid_Requirement'!CG6))</f>
        <v/>
      </c>
      <c r="CH6">
        <f>IF(COUNTIFS(T_StockCount[Part Name],$A6,T_StockCount[WeekIndex],85)&gt;0,SUMIFS(T_StockCount[CountedQty],T_StockCount[Part Name],$A6,T_StockCount[WeekIndex],85),IF((('T_SelfStock'!CH10&lt;&gt;""))*(('T_TTAFStock'!CH10&lt;&gt;""))&gt;0,'T_SelfStock'!CH10+'T_TTAFStock'!CH10,CG6+'Grid_Incoming'!CH6-'Grid_Requirement'!CH6))</f>
        <v/>
      </c>
      <c r="CI6">
        <f>IF(COUNTIFS(T_StockCount[Part Name],$A6,T_StockCount[WeekIndex],86)&gt;0,SUMIFS(T_StockCount[CountedQty],T_StockCount[Part Name],$A6,T_StockCount[WeekIndex],86),IF((('T_SelfStock'!CI10&lt;&gt;""))*(('T_TTAFStock'!CI10&lt;&gt;""))&gt;0,'T_SelfStock'!CI10+'T_TTAFStock'!CI10,CH6+'Grid_Incoming'!CI6-'Grid_Requirement'!CI6))</f>
        <v/>
      </c>
      <c r="CJ6">
        <f>IF(COUNTIFS(T_StockCount[Part Name],$A6,T_StockCount[WeekIndex],87)&gt;0,SUMIFS(T_StockCount[CountedQty],T_StockCount[Part Name],$A6,T_StockCount[WeekIndex],87),IF((('T_SelfStock'!CJ10&lt;&gt;""))*(('T_TTAFStock'!CJ10&lt;&gt;""))&gt;0,'T_SelfStock'!CJ10+'T_TTAFStock'!CJ10,CI6+'Grid_Incoming'!CJ6-'Grid_Requirement'!CJ6))</f>
        <v/>
      </c>
      <c r="CK6">
        <f>IF(COUNTIFS(T_StockCount[Part Name],$A6,T_StockCount[WeekIndex],88)&gt;0,SUMIFS(T_StockCount[CountedQty],T_StockCount[Part Name],$A6,T_StockCount[WeekIndex],88),IF((('T_SelfStock'!CK10&lt;&gt;""))*(('T_TTAFStock'!CK10&lt;&gt;""))&gt;0,'T_SelfStock'!CK10+'T_TTAFStock'!CK10,CJ6+'Grid_Incoming'!CK6-'Grid_Requirement'!CK6))</f>
        <v/>
      </c>
      <c r="CL6">
        <f>IF(COUNTIFS(T_StockCount[Part Name],$A6,T_StockCount[WeekIndex],89)&gt;0,SUMIFS(T_StockCount[CountedQty],T_StockCount[Part Name],$A6,T_StockCount[WeekIndex],89),IF((('T_SelfStock'!CL10&lt;&gt;""))*(('T_TTAFStock'!CL10&lt;&gt;""))&gt;0,'T_SelfStock'!CL10+'T_TTAFStock'!CL10,CK6+'Grid_Incoming'!CL6-'Grid_Requirement'!CL6))</f>
        <v/>
      </c>
      <c r="CM6">
        <f>IF(COUNTIFS(T_StockCount[Part Name],$A6,T_StockCount[WeekIndex],90)&gt;0,SUMIFS(T_StockCount[CountedQty],T_StockCount[Part Name],$A6,T_StockCount[WeekIndex],90),IF((('T_SelfStock'!CM10&lt;&gt;""))*(('T_TTAFStock'!CM10&lt;&gt;""))&gt;0,'T_SelfStock'!CM10+'T_TTAFStock'!CM10,CL6+'Grid_Incoming'!CM6-'Grid_Requirement'!CM6))</f>
        <v/>
      </c>
      <c r="CN6">
        <f>IF(COUNTIFS(T_StockCount[Part Name],$A6,T_StockCount[WeekIndex],91)&gt;0,SUMIFS(T_StockCount[CountedQty],T_StockCount[Part Name],$A6,T_StockCount[WeekIndex],91),IF((('T_SelfStock'!CN10&lt;&gt;""))*(('T_TTAFStock'!CN10&lt;&gt;""))&gt;0,'T_SelfStock'!CN10+'T_TTAFStock'!CN10,CM6+'Grid_Incoming'!CN6-'Grid_Requirement'!CN6))</f>
        <v/>
      </c>
      <c r="CO6">
        <f>IF(COUNTIFS(T_StockCount[Part Name],$A6,T_StockCount[WeekIndex],92)&gt;0,SUMIFS(T_StockCount[CountedQty],T_StockCount[Part Name],$A6,T_StockCount[WeekIndex],92),IF((('T_SelfStock'!CO10&lt;&gt;""))*(('T_TTAFStock'!CO10&lt;&gt;""))&gt;0,'T_SelfStock'!CO10+'T_TTAFStock'!CO10,CN6+'Grid_Incoming'!CO6-'Grid_Requirement'!CO6))</f>
        <v/>
      </c>
      <c r="CP6">
        <f>IF(COUNTIFS(T_StockCount[Part Name],$A6,T_StockCount[WeekIndex],93)&gt;0,SUMIFS(T_StockCount[CountedQty],T_StockCount[Part Name],$A6,T_StockCount[WeekIndex],93),IF((('T_SelfStock'!CP10&lt;&gt;""))*(('T_TTAFStock'!CP10&lt;&gt;""))&gt;0,'T_SelfStock'!CP10+'T_TTAFStock'!CP10,CO6+'Grid_Incoming'!CP6-'Grid_Requirement'!CP6))</f>
        <v/>
      </c>
      <c r="CQ6">
        <f>IF(COUNTIFS(T_StockCount[Part Name],$A6,T_StockCount[WeekIndex],94)&gt;0,SUMIFS(T_StockCount[CountedQty],T_StockCount[Part Name],$A6,T_StockCount[WeekIndex],94),IF((('T_SelfStock'!CQ10&lt;&gt;""))*(('T_TTAFStock'!CQ10&lt;&gt;""))&gt;0,'T_SelfStock'!CQ10+'T_TTAFStock'!CQ10,CP6+'Grid_Incoming'!CQ6-'Grid_Requirement'!CQ6))</f>
        <v/>
      </c>
      <c r="CR6">
        <f>IF(COUNTIFS(T_StockCount[Part Name],$A6,T_StockCount[WeekIndex],95)&gt;0,SUMIFS(T_StockCount[CountedQty],T_StockCount[Part Name],$A6,T_StockCount[WeekIndex],95),IF((('T_SelfStock'!CR10&lt;&gt;""))*(('T_TTAFStock'!CR10&lt;&gt;""))&gt;0,'T_SelfStock'!CR10+'T_TTAFStock'!CR10,CQ6+'Grid_Incoming'!CR6-'Grid_Requirement'!CR6))</f>
        <v/>
      </c>
      <c r="CS6">
        <f>IF(COUNTIFS(T_StockCount[Part Name],$A6,T_StockCount[WeekIndex],96)&gt;0,SUMIFS(T_StockCount[CountedQty],T_StockCount[Part Name],$A6,T_StockCount[WeekIndex],96),IF((('T_SelfStock'!CS10&lt;&gt;""))*(('T_TTAFStock'!CS10&lt;&gt;""))&gt;0,'T_SelfStock'!CS10+'T_TTAFStock'!CS10,CR6+'Grid_Incoming'!CS6-'Grid_Requirement'!CS6))</f>
        <v/>
      </c>
      <c r="CT6">
        <f>IF(COUNTIFS(T_StockCount[Part Name],$A6,T_StockCount[WeekIndex],97)&gt;0,SUMIFS(T_StockCount[CountedQty],T_StockCount[Part Name],$A6,T_StockCount[WeekIndex],97),IF((('T_SelfStock'!CT10&lt;&gt;""))*(('T_TTAFStock'!CT10&lt;&gt;""))&gt;0,'T_SelfStock'!CT10+'T_TTAFStock'!CT10,CS6+'Grid_Incoming'!CT6-'Grid_Requirement'!CT6))</f>
        <v/>
      </c>
      <c r="CU6">
        <f>IF(COUNTIFS(T_StockCount[Part Name],$A6,T_StockCount[WeekIndex],98)&gt;0,SUMIFS(T_StockCount[CountedQty],T_StockCount[Part Name],$A6,T_StockCount[WeekIndex],98),IF((('T_SelfStock'!CU10&lt;&gt;""))*(('T_TTAFStock'!CU10&lt;&gt;""))&gt;0,'T_SelfStock'!CU10+'T_TTAFStock'!CU10,CT6+'Grid_Incoming'!CU6-'Grid_Requirement'!CU6))</f>
        <v/>
      </c>
      <c r="CV6">
        <f>IF(COUNTIFS(T_StockCount[Part Name],$A6,T_StockCount[WeekIndex],99)&gt;0,SUMIFS(T_StockCount[CountedQty],T_StockCount[Part Name],$A6,T_StockCount[WeekIndex],99),IF((('T_SelfStock'!CV10&lt;&gt;""))*(('T_TTAFStock'!CV10&lt;&gt;""))&gt;0,'T_SelfStock'!CV10+'T_TTAFStock'!CV10,CU6+'Grid_Incoming'!CV6-'Grid_Requirement'!CV6))</f>
        <v/>
      </c>
      <c r="CW6">
        <f>IF(COUNTIFS(T_StockCount[Part Name],$A6,T_StockCount[WeekIndex],100)&gt;0,SUMIFS(T_StockCount[CountedQty],T_StockCount[Part Name],$A6,T_StockCount[WeekIndex],100),IF((('T_SelfStock'!CW10&lt;&gt;""))*(('T_TTAFStock'!CW10&lt;&gt;""))&gt;0,'T_SelfStock'!CW10+'T_TTAFStock'!CW10,CV6+'Grid_Incoming'!CW6-'Grid_Requirement'!CW6))</f>
        <v/>
      </c>
      <c r="CX6">
        <f>IF(COUNTIFS(T_StockCount[Part Name],$A6,T_StockCount[WeekIndex],101)&gt;0,SUMIFS(T_StockCount[CountedQty],T_StockCount[Part Name],$A6,T_StockCount[WeekIndex],101),IF((('T_SelfStock'!CX10&lt;&gt;""))*(('T_TTAFStock'!CX10&lt;&gt;""))&gt;0,'T_SelfStock'!CX10+'T_TTAFStock'!CX10,CW6+'Grid_Incoming'!CX6-'Grid_Requirement'!CX6))</f>
        <v/>
      </c>
      <c r="CY6">
        <f>IF(COUNTIFS(T_StockCount[Part Name],$A6,T_StockCount[WeekIndex],102)&gt;0,SUMIFS(T_StockCount[CountedQty],T_StockCount[Part Name],$A6,T_StockCount[WeekIndex],102),IF((('T_SelfStock'!CY10&lt;&gt;""))*(('T_TTAFStock'!CY10&lt;&gt;""))&gt;0,'T_SelfStock'!CY10+'T_TTAFStock'!CY10,CX6+'Grid_Incoming'!CY6-'Grid_Requirement'!CY6))</f>
        <v/>
      </c>
      <c r="CZ6">
        <f>IF(COUNTIFS(T_StockCount[Part Name],$A6,T_StockCount[WeekIndex],103)&gt;0,SUMIFS(T_StockCount[CountedQty],T_StockCount[Part Name],$A6,T_StockCount[WeekIndex],103),IF((('T_SelfStock'!CZ10&lt;&gt;""))*(('T_TTAFStock'!CZ10&lt;&gt;""))&gt;0,'T_SelfStock'!CZ10+'T_TTAFStock'!CZ10,CY6+'Grid_Incoming'!CZ6-'Grid_Requirement'!CZ6))</f>
        <v/>
      </c>
      <c r="DA6">
        <f>IF(COUNTIFS(T_StockCount[Part Name],$A6,T_StockCount[WeekIndex],104)&gt;0,SUMIFS(T_StockCount[CountedQty],T_StockCount[Part Name],$A6,T_StockCount[WeekIndex],104),IF((('T_SelfStock'!DA10&lt;&gt;""))*(('T_TTAFStock'!DA10&lt;&gt;""))&gt;0,'T_SelfStock'!DA10+'T_TTAFStock'!DA10,CZ6+'Grid_Incoming'!DA6-'Grid_Requirement'!DA6))</f>
        <v/>
      </c>
    </row>
    <row r="7">
      <c r="A7" t="inlineStr">
        <is>
          <t>OJN</t>
        </is>
      </c>
      <c r="B7">
        <f>IF(COUNTIFS(T_StockCount[Part Name],$A7,T_StockCount[WeekIndex],1)&gt;0,SUMIFS(T_StockCount[CountedQty],T_StockCount[Part Name],$A7,T_StockCount[WeekIndex],1),IF((('T_SelfStock'!B11&lt;&gt;""))*(('T_TTAFStock'!B11&lt;&gt;""))&gt;0,'T_SelfStock'!B11+'T_TTAFStock'!B11,IFERROR(INDEX(T_OpeningStock[Opening_Qty_要入力],MATCH($A7,T_OpeningStock[Part Name],0)),0)+'Grid_Incoming'!B7-'Grid_Requirement'!B7))</f>
        <v/>
      </c>
      <c r="C7">
        <f>IF(COUNTIFS(T_StockCount[Part Name],$A7,T_StockCount[WeekIndex],2)&gt;0,SUMIFS(T_StockCount[CountedQty],T_StockCount[Part Name],$A7,T_StockCount[WeekIndex],2),IF((('T_SelfStock'!C11&lt;&gt;""))*(('T_TTAFStock'!C11&lt;&gt;""))&gt;0,'T_SelfStock'!C11+'T_TTAFStock'!C11,B7+'Grid_Incoming'!C7-'Grid_Requirement'!C7))</f>
        <v/>
      </c>
      <c r="D7">
        <f>IF(COUNTIFS(T_StockCount[Part Name],$A7,T_StockCount[WeekIndex],3)&gt;0,SUMIFS(T_StockCount[CountedQty],T_StockCount[Part Name],$A7,T_StockCount[WeekIndex],3),IF((('T_SelfStock'!D11&lt;&gt;""))*(('T_TTAFStock'!D11&lt;&gt;""))&gt;0,'T_SelfStock'!D11+'T_TTAFStock'!D11,C7+'Grid_Incoming'!D7-'Grid_Requirement'!D7))</f>
        <v/>
      </c>
      <c r="E7">
        <f>IF(COUNTIFS(T_StockCount[Part Name],$A7,T_StockCount[WeekIndex],4)&gt;0,SUMIFS(T_StockCount[CountedQty],T_StockCount[Part Name],$A7,T_StockCount[WeekIndex],4),IF((('T_SelfStock'!E11&lt;&gt;""))*(('T_TTAFStock'!E11&lt;&gt;""))&gt;0,'T_SelfStock'!E11+'T_TTAFStock'!E11,D7+'Grid_Incoming'!E7-'Grid_Requirement'!E7))</f>
        <v/>
      </c>
      <c r="F7">
        <f>IF(COUNTIFS(T_StockCount[Part Name],$A7,T_StockCount[WeekIndex],5)&gt;0,SUMIFS(T_StockCount[CountedQty],T_StockCount[Part Name],$A7,T_StockCount[WeekIndex],5),IF((('T_SelfStock'!F11&lt;&gt;""))*(('T_TTAFStock'!F11&lt;&gt;""))&gt;0,'T_SelfStock'!F11+'T_TTAFStock'!F11,E7+'Grid_Incoming'!F7-'Grid_Requirement'!F7))</f>
        <v/>
      </c>
      <c r="G7">
        <f>IF(COUNTIFS(T_StockCount[Part Name],$A7,T_StockCount[WeekIndex],6)&gt;0,SUMIFS(T_StockCount[CountedQty],T_StockCount[Part Name],$A7,T_StockCount[WeekIndex],6),IF((('T_SelfStock'!G11&lt;&gt;""))*(('T_TTAFStock'!G11&lt;&gt;""))&gt;0,'T_SelfStock'!G11+'T_TTAFStock'!G11,F7+'Grid_Incoming'!G7-'Grid_Requirement'!G7))</f>
        <v/>
      </c>
      <c r="H7">
        <f>IF(COUNTIFS(T_StockCount[Part Name],$A7,T_StockCount[WeekIndex],7)&gt;0,SUMIFS(T_StockCount[CountedQty],T_StockCount[Part Name],$A7,T_StockCount[WeekIndex],7),IF((('T_SelfStock'!H11&lt;&gt;""))*(('T_TTAFStock'!H11&lt;&gt;""))&gt;0,'T_SelfStock'!H11+'T_TTAFStock'!H11,G7+'Grid_Incoming'!H7-'Grid_Requirement'!H7))</f>
        <v/>
      </c>
      <c r="I7">
        <f>IF(COUNTIFS(T_StockCount[Part Name],$A7,T_StockCount[WeekIndex],8)&gt;0,SUMIFS(T_StockCount[CountedQty],T_StockCount[Part Name],$A7,T_StockCount[WeekIndex],8),IF((('T_SelfStock'!I11&lt;&gt;""))*(('T_TTAFStock'!I11&lt;&gt;""))&gt;0,'T_SelfStock'!I11+'T_TTAFStock'!I11,H7+'Grid_Incoming'!I7-'Grid_Requirement'!I7))</f>
        <v/>
      </c>
      <c r="J7">
        <f>IF(COUNTIFS(T_StockCount[Part Name],$A7,T_StockCount[WeekIndex],9)&gt;0,SUMIFS(T_StockCount[CountedQty],T_StockCount[Part Name],$A7,T_StockCount[WeekIndex],9),IF((('T_SelfStock'!J11&lt;&gt;""))*(('T_TTAFStock'!J11&lt;&gt;""))&gt;0,'T_SelfStock'!J11+'T_TTAFStock'!J11,I7+'Grid_Incoming'!J7-'Grid_Requirement'!J7))</f>
        <v/>
      </c>
      <c r="K7">
        <f>IF(COUNTIFS(T_StockCount[Part Name],$A7,T_StockCount[WeekIndex],10)&gt;0,SUMIFS(T_StockCount[CountedQty],T_StockCount[Part Name],$A7,T_StockCount[WeekIndex],10),IF((('T_SelfStock'!K11&lt;&gt;""))*(('T_TTAFStock'!K11&lt;&gt;""))&gt;0,'T_SelfStock'!K11+'T_TTAFStock'!K11,J7+'Grid_Incoming'!K7-'Grid_Requirement'!K7))</f>
        <v/>
      </c>
      <c r="L7">
        <f>IF(COUNTIFS(T_StockCount[Part Name],$A7,T_StockCount[WeekIndex],11)&gt;0,SUMIFS(T_StockCount[CountedQty],T_StockCount[Part Name],$A7,T_StockCount[WeekIndex],11),IF((('T_SelfStock'!L11&lt;&gt;""))*(('T_TTAFStock'!L11&lt;&gt;""))&gt;0,'T_SelfStock'!L11+'T_TTAFStock'!L11,K7+'Grid_Incoming'!L7-'Grid_Requirement'!L7))</f>
        <v/>
      </c>
      <c r="M7">
        <f>IF(COUNTIFS(T_StockCount[Part Name],$A7,T_StockCount[WeekIndex],12)&gt;0,SUMIFS(T_StockCount[CountedQty],T_StockCount[Part Name],$A7,T_StockCount[WeekIndex],12),IF((('T_SelfStock'!M11&lt;&gt;""))*(('T_TTAFStock'!M11&lt;&gt;""))&gt;0,'T_SelfStock'!M11+'T_TTAFStock'!M11,L7+'Grid_Incoming'!M7-'Grid_Requirement'!M7))</f>
        <v/>
      </c>
      <c r="N7">
        <f>IF(COUNTIFS(T_StockCount[Part Name],$A7,T_StockCount[WeekIndex],13)&gt;0,SUMIFS(T_StockCount[CountedQty],T_StockCount[Part Name],$A7,T_StockCount[WeekIndex],13),IF((('T_SelfStock'!N11&lt;&gt;""))*(('T_TTAFStock'!N11&lt;&gt;""))&gt;0,'T_SelfStock'!N11+'T_TTAFStock'!N11,M7+'Grid_Incoming'!N7-'Grid_Requirement'!N7))</f>
        <v/>
      </c>
      <c r="O7">
        <f>IF(COUNTIFS(T_StockCount[Part Name],$A7,T_StockCount[WeekIndex],14)&gt;0,SUMIFS(T_StockCount[CountedQty],T_StockCount[Part Name],$A7,T_StockCount[WeekIndex],14),IF((('T_SelfStock'!O11&lt;&gt;""))*(('T_TTAFStock'!O11&lt;&gt;""))&gt;0,'T_SelfStock'!O11+'T_TTAFStock'!O11,N7+'Grid_Incoming'!O7-'Grid_Requirement'!O7))</f>
        <v/>
      </c>
      <c r="P7">
        <f>IF(COUNTIFS(T_StockCount[Part Name],$A7,T_StockCount[WeekIndex],15)&gt;0,SUMIFS(T_StockCount[CountedQty],T_StockCount[Part Name],$A7,T_StockCount[WeekIndex],15),IF((('T_SelfStock'!P11&lt;&gt;""))*(('T_TTAFStock'!P11&lt;&gt;""))&gt;0,'T_SelfStock'!P11+'T_TTAFStock'!P11,O7+'Grid_Incoming'!P7-'Grid_Requirement'!P7))</f>
        <v/>
      </c>
      <c r="Q7">
        <f>IF(COUNTIFS(T_StockCount[Part Name],$A7,T_StockCount[WeekIndex],16)&gt;0,SUMIFS(T_StockCount[CountedQty],T_StockCount[Part Name],$A7,T_StockCount[WeekIndex],16),IF((('T_SelfStock'!Q11&lt;&gt;""))*(('T_TTAFStock'!Q11&lt;&gt;""))&gt;0,'T_SelfStock'!Q11+'T_TTAFStock'!Q11,P7+'Grid_Incoming'!Q7-'Grid_Requirement'!Q7))</f>
        <v/>
      </c>
      <c r="R7">
        <f>IF(COUNTIFS(T_StockCount[Part Name],$A7,T_StockCount[WeekIndex],17)&gt;0,SUMIFS(T_StockCount[CountedQty],T_StockCount[Part Name],$A7,T_StockCount[WeekIndex],17),IF((('T_SelfStock'!R11&lt;&gt;""))*(('T_TTAFStock'!R11&lt;&gt;""))&gt;0,'T_SelfStock'!R11+'T_TTAFStock'!R11,Q7+'Grid_Incoming'!R7-'Grid_Requirement'!R7))</f>
        <v/>
      </c>
      <c r="S7">
        <f>IF(COUNTIFS(T_StockCount[Part Name],$A7,T_StockCount[WeekIndex],18)&gt;0,SUMIFS(T_StockCount[CountedQty],T_StockCount[Part Name],$A7,T_StockCount[WeekIndex],18),IF((('T_SelfStock'!S11&lt;&gt;""))*(('T_TTAFStock'!S11&lt;&gt;""))&gt;0,'T_SelfStock'!S11+'T_TTAFStock'!S11,R7+'Grid_Incoming'!S7-'Grid_Requirement'!S7))</f>
        <v/>
      </c>
      <c r="T7">
        <f>IF(COUNTIFS(T_StockCount[Part Name],$A7,T_StockCount[WeekIndex],19)&gt;0,SUMIFS(T_StockCount[CountedQty],T_StockCount[Part Name],$A7,T_StockCount[WeekIndex],19),IF((('T_SelfStock'!T11&lt;&gt;""))*(('T_TTAFStock'!T11&lt;&gt;""))&gt;0,'T_SelfStock'!T11+'T_TTAFStock'!T11,S7+'Grid_Incoming'!T7-'Grid_Requirement'!T7))</f>
        <v/>
      </c>
      <c r="U7">
        <f>IF(COUNTIFS(T_StockCount[Part Name],$A7,T_StockCount[WeekIndex],20)&gt;0,SUMIFS(T_StockCount[CountedQty],T_StockCount[Part Name],$A7,T_StockCount[WeekIndex],20),IF((('T_SelfStock'!U11&lt;&gt;""))*(('T_TTAFStock'!U11&lt;&gt;""))&gt;0,'T_SelfStock'!U11+'T_TTAFStock'!U11,T7+'Grid_Incoming'!U7-'Grid_Requirement'!U7))</f>
        <v/>
      </c>
      <c r="V7">
        <f>IF(COUNTIFS(T_StockCount[Part Name],$A7,T_StockCount[WeekIndex],21)&gt;0,SUMIFS(T_StockCount[CountedQty],T_StockCount[Part Name],$A7,T_StockCount[WeekIndex],21),IF((('T_SelfStock'!V11&lt;&gt;""))*(('T_TTAFStock'!V11&lt;&gt;""))&gt;0,'T_SelfStock'!V11+'T_TTAFStock'!V11,U7+'Grid_Incoming'!V7-'Grid_Requirement'!V7))</f>
        <v/>
      </c>
      <c r="W7">
        <f>IF(COUNTIFS(T_StockCount[Part Name],$A7,T_StockCount[WeekIndex],22)&gt;0,SUMIFS(T_StockCount[CountedQty],T_StockCount[Part Name],$A7,T_StockCount[WeekIndex],22),IF((('T_SelfStock'!W11&lt;&gt;""))*(('T_TTAFStock'!W11&lt;&gt;""))&gt;0,'T_SelfStock'!W11+'T_TTAFStock'!W11,V7+'Grid_Incoming'!W7-'Grid_Requirement'!W7))</f>
        <v/>
      </c>
      <c r="X7">
        <f>IF(COUNTIFS(T_StockCount[Part Name],$A7,T_StockCount[WeekIndex],23)&gt;0,SUMIFS(T_StockCount[CountedQty],T_StockCount[Part Name],$A7,T_StockCount[WeekIndex],23),IF((('T_SelfStock'!X11&lt;&gt;""))*(('T_TTAFStock'!X11&lt;&gt;""))&gt;0,'T_SelfStock'!X11+'T_TTAFStock'!X11,W7+'Grid_Incoming'!X7-'Grid_Requirement'!X7))</f>
        <v/>
      </c>
      <c r="Y7">
        <f>IF(COUNTIFS(T_StockCount[Part Name],$A7,T_StockCount[WeekIndex],24)&gt;0,SUMIFS(T_StockCount[CountedQty],T_StockCount[Part Name],$A7,T_StockCount[WeekIndex],24),IF((('T_SelfStock'!Y11&lt;&gt;""))*(('T_TTAFStock'!Y11&lt;&gt;""))&gt;0,'T_SelfStock'!Y11+'T_TTAFStock'!Y11,X7+'Grid_Incoming'!Y7-'Grid_Requirement'!Y7))</f>
        <v/>
      </c>
      <c r="Z7">
        <f>IF(COUNTIFS(T_StockCount[Part Name],$A7,T_StockCount[WeekIndex],25)&gt;0,SUMIFS(T_StockCount[CountedQty],T_StockCount[Part Name],$A7,T_StockCount[WeekIndex],25),IF((('T_SelfStock'!Z11&lt;&gt;""))*(('T_TTAFStock'!Z11&lt;&gt;""))&gt;0,'T_SelfStock'!Z11+'T_TTAFStock'!Z11,Y7+'Grid_Incoming'!Z7-'Grid_Requirement'!Z7))</f>
        <v/>
      </c>
      <c r="AA7">
        <f>IF(COUNTIFS(T_StockCount[Part Name],$A7,T_StockCount[WeekIndex],26)&gt;0,SUMIFS(T_StockCount[CountedQty],T_StockCount[Part Name],$A7,T_StockCount[WeekIndex],26),IF((('T_SelfStock'!AA11&lt;&gt;""))*(('T_TTAFStock'!AA11&lt;&gt;""))&gt;0,'T_SelfStock'!AA11+'T_TTAFStock'!AA11,Z7+'Grid_Incoming'!AA7-'Grid_Requirement'!AA7))</f>
        <v/>
      </c>
      <c r="AB7">
        <f>IF(COUNTIFS(T_StockCount[Part Name],$A7,T_StockCount[WeekIndex],27)&gt;0,SUMIFS(T_StockCount[CountedQty],T_StockCount[Part Name],$A7,T_StockCount[WeekIndex],27),IF((('T_SelfStock'!AB11&lt;&gt;""))*(('T_TTAFStock'!AB11&lt;&gt;""))&gt;0,'T_SelfStock'!AB11+'T_TTAFStock'!AB11,AA7+'Grid_Incoming'!AB7-'Grid_Requirement'!AB7))</f>
        <v/>
      </c>
      <c r="AC7">
        <f>IF(COUNTIFS(T_StockCount[Part Name],$A7,T_StockCount[WeekIndex],28)&gt;0,SUMIFS(T_StockCount[CountedQty],T_StockCount[Part Name],$A7,T_StockCount[WeekIndex],28),IF((('T_SelfStock'!AC11&lt;&gt;""))*(('T_TTAFStock'!AC11&lt;&gt;""))&gt;0,'T_SelfStock'!AC11+'T_TTAFStock'!AC11,AB7+'Grid_Incoming'!AC7-'Grid_Requirement'!AC7))</f>
        <v/>
      </c>
      <c r="AD7">
        <f>IF(COUNTIFS(T_StockCount[Part Name],$A7,T_StockCount[WeekIndex],29)&gt;0,SUMIFS(T_StockCount[CountedQty],T_StockCount[Part Name],$A7,T_StockCount[WeekIndex],29),IF((('T_SelfStock'!AD11&lt;&gt;""))*(('T_TTAFStock'!AD11&lt;&gt;""))&gt;0,'T_SelfStock'!AD11+'T_TTAFStock'!AD11,AC7+'Grid_Incoming'!AD7-'Grid_Requirement'!AD7))</f>
        <v/>
      </c>
      <c r="AE7">
        <f>IF(COUNTIFS(T_StockCount[Part Name],$A7,T_StockCount[WeekIndex],30)&gt;0,SUMIFS(T_StockCount[CountedQty],T_StockCount[Part Name],$A7,T_StockCount[WeekIndex],30),IF((('T_SelfStock'!AE11&lt;&gt;""))*(('T_TTAFStock'!AE11&lt;&gt;""))&gt;0,'T_SelfStock'!AE11+'T_TTAFStock'!AE11,AD7+'Grid_Incoming'!AE7-'Grid_Requirement'!AE7))</f>
        <v/>
      </c>
      <c r="AF7">
        <f>IF(COUNTIFS(T_StockCount[Part Name],$A7,T_StockCount[WeekIndex],31)&gt;0,SUMIFS(T_StockCount[CountedQty],T_StockCount[Part Name],$A7,T_StockCount[WeekIndex],31),IF((('T_SelfStock'!AF11&lt;&gt;""))*(('T_TTAFStock'!AF11&lt;&gt;""))&gt;0,'T_SelfStock'!AF11+'T_TTAFStock'!AF11,AE7+'Grid_Incoming'!AF7-'Grid_Requirement'!AF7))</f>
        <v/>
      </c>
      <c r="AG7">
        <f>IF(COUNTIFS(T_StockCount[Part Name],$A7,T_StockCount[WeekIndex],32)&gt;0,SUMIFS(T_StockCount[CountedQty],T_StockCount[Part Name],$A7,T_StockCount[WeekIndex],32),IF((('T_SelfStock'!AG11&lt;&gt;""))*(('T_TTAFStock'!AG11&lt;&gt;""))&gt;0,'T_SelfStock'!AG11+'T_TTAFStock'!AG11,AF7+'Grid_Incoming'!AG7-'Grid_Requirement'!AG7))</f>
        <v/>
      </c>
      <c r="AH7">
        <f>IF(COUNTIFS(T_StockCount[Part Name],$A7,T_StockCount[WeekIndex],33)&gt;0,SUMIFS(T_StockCount[CountedQty],T_StockCount[Part Name],$A7,T_StockCount[WeekIndex],33),IF((('T_SelfStock'!AH11&lt;&gt;""))*(('T_TTAFStock'!AH11&lt;&gt;""))&gt;0,'T_SelfStock'!AH11+'T_TTAFStock'!AH11,AG7+'Grid_Incoming'!AH7-'Grid_Requirement'!AH7))</f>
        <v/>
      </c>
      <c r="AI7">
        <f>IF(COUNTIFS(T_StockCount[Part Name],$A7,T_StockCount[WeekIndex],34)&gt;0,SUMIFS(T_StockCount[CountedQty],T_StockCount[Part Name],$A7,T_StockCount[WeekIndex],34),IF((('T_SelfStock'!AI11&lt;&gt;""))*(('T_TTAFStock'!AI11&lt;&gt;""))&gt;0,'T_SelfStock'!AI11+'T_TTAFStock'!AI11,AH7+'Grid_Incoming'!AI7-'Grid_Requirement'!AI7))</f>
        <v/>
      </c>
      <c r="AJ7">
        <f>IF(COUNTIFS(T_StockCount[Part Name],$A7,T_StockCount[WeekIndex],35)&gt;0,SUMIFS(T_StockCount[CountedQty],T_StockCount[Part Name],$A7,T_StockCount[WeekIndex],35),IF((('T_SelfStock'!AJ11&lt;&gt;""))*(('T_TTAFStock'!AJ11&lt;&gt;""))&gt;0,'T_SelfStock'!AJ11+'T_TTAFStock'!AJ11,AI7+'Grid_Incoming'!AJ7-'Grid_Requirement'!AJ7))</f>
        <v/>
      </c>
      <c r="AK7">
        <f>IF(COUNTIFS(T_StockCount[Part Name],$A7,T_StockCount[WeekIndex],36)&gt;0,SUMIFS(T_StockCount[CountedQty],T_StockCount[Part Name],$A7,T_StockCount[WeekIndex],36),IF((('T_SelfStock'!AK11&lt;&gt;""))*(('T_TTAFStock'!AK11&lt;&gt;""))&gt;0,'T_SelfStock'!AK11+'T_TTAFStock'!AK11,AJ7+'Grid_Incoming'!AK7-'Grid_Requirement'!AK7))</f>
        <v/>
      </c>
      <c r="AL7">
        <f>IF(COUNTIFS(T_StockCount[Part Name],$A7,T_StockCount[WeekIndex],37)&gt;0,SUMIFS(T_StockCount[CountedQty],T_StockCount[Part Name],$A7,T_StockCount[WeekIndex],37),IF((('T_SelfStock'!AL11&lt;&gt;""))*(('T_TTAFStock'!AL11&lt;&gt;""))&gt;0,'T_SelfStock'!AL11+'T_TTAFStock'!AL11,AK7+'Grid_Incoming'!AL7-'Grid_Requirement'!AL7))</f>
        <v/>
      </c>
      <c r="AM7">
        <f>IF(COUNTIFS(T_StockCount[Part Name],$A7,T_StockCount[WeekIndex],38)&gt;0,SUMIFS(T_StockCount[CountedQty],T_StockCount[Part Name],$A7,T_StockCount[WeekIndex],38),IF((('T_SelfStock'!AM11&lt;&gt;""))*(('T_TTAFStock'!AM11&lt;&gt;""))&gt;0,'T_SelfStock'!AM11+'T_TTAFStock'!AM11,AL7+'Grid_Incoming'!AM7-'Grid_Requirement'!AM7))</f>
        <v/>
      </c>
      <c r="AN7">
        <f>IF(COUNTIFS(T_StockCount[Part Name],$A7,T_StockCount[WeekIndex],39)&gt;0,SUMIFS(T_StockCount[CountedQty],T_StockCount[Part Name],$A7,T_StockCount[WeekIndex],39),IF((('T_SelfStock'!AN11&lt;&gt;""))*(('T_TTAFStock'!AN11&lt;&gt;""))&gt;0,'T_SelfStock'!AN11+'T_TTAFStock'!AN11,AM7+'Grid_Incoming'!AN7-'Grid_Requirement'!AN7))</f>
        <v/>
      </c>
      <c r="AO7">
        <f>IF(COUNTIFS(T_StockCount[Part Name],$A7,T_StockCount[WeekIndex],40)&gt;0,SUMIFS(T_StockCount[CountedQty],T_StockCount[Part Name],$A7,T_StockCount[WeekIndex],40),IF((('T_SelfStock'!AO11&lt;&gt;""))*(('T_TTAFStock'!AO11&lt;&gt;""))&gt;0,'T_SelfStock'!AO11+'T_TTAFStock'!AO11,AN7+'Grid_Incoming'!AO7-'Grid_Requirement'!AO7))</f>
        <v/>
      </c>
      <c r="AP7">
        <f>IF(COUNTIFS(T_StockCount[Part Name],$A7,T_StockCount[WeekIndex],41)&gt;0,SUMIFS(T_StockCount[CountedQty],T_StockCount[Part Name],$A7,T_StockCount[WeekIndex],41),IF((('T_SelfStock'!AP11&lt;&gt;""))*(('T_TTAFStock'!AP11&lt;&gt;""))&gt;0,'T_SelfStock'!AP11+'T_TTAFStock'!AP11,AO7+'Grid_Incoming'!AP7-'Grid_Requirement'!AP7))</f>
        <v/>
      </c>
      <c r="AQ7">
        <f>IF(COUNTIFS(T_StockCount[Part Name],$A7,T_StockCount[WeekIndex],42)&gt;0,SUMIFS(T_StockCount[CountedQty],T_StockCount[Part Name],$A7,T_StockCount[WeekIndex],42),IF((('T_SelfStock'!AQ11&lt;&gt;""))*(('T_TTAFStock'!AQ11&lt;&gt;""))&gt;0,'T_SelfStock'!AQ11+'T_TTAFStock'!AQ11,AP7+'Grid_Incoming'!AQ7-'Grid_Requirement'!AQ7))</f>
        <v/>
      </c>
      <c r="AR7">
        <f>IF(COUNTIFS(T_StockCount[Part Name],$A7,T_StockCount[WeekIndex],43)&gt;0,SUMIFS(T_StockCount[CountedQty],T_StockCount[Part Name],$A7,T_StockCount[WeekIndex],43),IF((('T_SelfStock'!AR11&lt;&gt;""))*(('T_TTAFStock'!AR11&lt;&gt;""))&gt;0,'T_SelfStock'!AR11+'T_TTAFStock'!AR11,AQ7+'Grid_Incoming'!AR7-'Grid_Requirement'!AR7))</f>
        <v/>
      </c>
      <c r="AS7">
        <f>IF(COUNTIFS(T_StockCount[Part Name],$A7,T_StockCount[WeekIndex],44)&gt;0,SUMIFS(T_StockCount[CountedQty],T_StockCount[Part Name],$A7,T_StockCount[WeekIndex],44),IF((('T_SelfStock'!AS11&lt;&gt;""))*(('T_TTAFStock'!AS11&lt;&gt;""))&gt;0,'T_SelfStock'!AS11+'T_TTAFStock'!AS11,AR7+'Grid_Incoming'!AS7-'Grid_Requirement'!AS7))</f>
        <v/>
      </c>
      <c r="AT7">
        <f>IF(COUNTIFS(T_StockCount[Part Name],$A7,T_StockCount[WeekIndex],45)&gt;0,SUMIFS(T_StockCount[CountedQty],T_StockCount[Part Name],$A7,T_StockCount[WeekIndex],45),IF((('T_SelfStock'!AT11&lt;&gt;""))*(('T_TTAFStock'!AT11&lt;&gt;""))&gt;0,'T_SelfStock'!AT11+'T_TTAFStock'!AT11,AS7+'Grid_Incoming'!AT7-'Grid_Requirement'!AT7))</f>
        <v/>
      </c>
      <c r="AU7">
        <f>IF(COUNTIFS(T_StockCount[Part Name],$A7,T_StockCount[WeekIndex],46)&gt;0,SUMIFS(T_StockCount[CountedQty],T_StockCount[Part Name],$A7,T_StockCount[WeekIndex],46),IF((('T_SelfStock'!AU11&lt;&gt;""))*(('T_TTAFStock'!AU11&lt;&gt;""))&gt;0,'T_SelfStock'!AU11+'T_TTAFStock'!AU11,AT7+'Grid_Incoming'!AU7-'Grid_Requirement'!AU7))</f>
        <v/>
      </c>
      <c r="AV7">
        <f>IF(COUNTIFS(T_StockCount[Part Name],$A7,T_StockCount[WeekIndex],47)&gt;0,SUMIFS(T_StockCount[CountedQty],T_StockCount[Part Name],$A7,T_StockCount[WeekIndex],47),IF((('T_SelfStock'!AV11&lt;&gt;""))*(('T_TTAFStock'!AV11&lt;&gt;""))&gt;0,'T_SelfStock'!AV11+'T_TTAFStock'!AV11,AU7+'Grid_Incoming'!AV7-'Grid_Requirement'!AV7))</f>
        <v/>
      </c>
      <c r="AW7">
        <f>IF(COUNTIFS(T_StockCount[Part Name],$A7,T_StockCount[WeekIndex],48)&gt;0,SUMIFS(T_StockCount[CountedQty],T_StockCount[Part Name],$A7,T_StockCount[WeekIndex],48),IF((('T_SelfStock'!AW11&lt;&gt;""))*(('T_TTAFStock'!AW11&lt;&gt;""))&gt;0,'T_SelfStock'!AW11+'T_TTAFStock'!AW11,AV7+'Grid_Incoming'!AW7-'Grid_Requirement'!AW7))</f>
        <v/>
      </c>
      <c r="AX7">
        <f>IF(COUNTIFS(T_StockCount[Part Name],$A7,T_StockCount[WeekIndex],49)&gt;0,SUMIFS(T_StockCount[CountedQty],T_StockCount[Part Name],$A7,T_StockCount[WeekIndex],49),IF((('T_SelfStock'!AX11&lt;&gt;""))*(('T_TTAFStock'!AX11&lt;&gt;""))&gt;0,'T_SelfStock'!AX11+'T_TTAFStock'!AX11,AW7+'Grid_Incoming'!AX7-'Grid_Requirement'!AX7))</f>
        <v/>
      </c>
      <c r="AY7">
        <f>IF(COUNTIFS(T_StockCount[Part Name],$A7,T_StockCount[WeekIndex],50)&gt;0,SUMIFS(T_StockCount[CountedQty],T_StockCount[Part Name],$A7,T_StockCount[WeekIndex],50),IF((('T_SelfStock'!AY11&lt;&gt;""))*(('T_TTAFStock'!AY11&lt;&gt;""))&gt;0,'T_SelfStock'!AY11+'T_TTAFStock'!AY11,AX7+'Grid_Incoming'!AY7-'Grid_Requirement'!AY7))</f>
        <v/>
      </c>
      <c r="AZ7">
        <f>IF(COUNTIFS(T_StockCount[Part Name],$A7,T_StockCount[WeekIndex],51)&gt;0,SUMIFS(T_StockCount[CountedQty],T_StockCount[Part Name],$A7,T_StockCount[WeekIndex],51),IF((('T_SelfStock'!AZ11&lt;&gt;""))*(('T_TTAFStock'!AZ11&lt;&gt;""))&gt;0,'T_SelfStock'!AZ11+'T_TTAFStock'!AZ11,AY7+'Grid_Incoming'!AZ7-'Grid_Requirement'!AZ7))</f>
        <v/>
      </c>
      <c r="BA7">
        <f>IF(COUNTIFS(T_StockCount[Part Name],$A7,T_StockCount[WeekIndex],52)&gt;0,SUMIFS(T_StockCount[CountedQty],T_StockCount[Part Name],$A7,T_StockCount[WeekIndex],52),IF((('T_SelfStock'!BA11&lt;&gt;""))*(('T_TTAFStock'!BA11&lt;&gt;""))&gt;0,'T_SelfStock'!BA11+'T_TTAFStock'!BA11,AZ7+'Grid_Incoming'!BA7-'Grid_Requirement'!BA7))</f>
        <v/>
      </c>
      <c r="BB7">
        <f>IF(COUNTIFS(T_StockCount[Part Name],$A7,T_StockCount[WeekIndex],53)&gt;0,SUMIFS(T_StockCount[CountedQty],T_StockCount[Part Name],$A7,T_StockCount[WeekIndex],53),IF((('T_SelfStock'!BB11&lt;&gt;""))*(('T_TTAFStock'!BB11&lt;&gt;""))&gt;0,'T_SelfStock'!BB11+'T_TTAFStock'!BB11,BA7+'Grid_Incoming'!BB7-'Grid_Requirement'!BB7))</f>
        <v/>
      </c>
      <c r="BC7">
        <f>IF(COUNTIFS(T_StockCount[Part Name],$A7,T_StockCount[WeekIndex],54)&gt;0,SUMIFS(T_StockCount[CountedQty],T_StockCount[Part Name],$A7,T_StockCount[WeekIndex],54),IF((('T_SelfStock'!BC11&lt;&gt;""))*(('T_TTAFStock'!BC11&lt;&gt;""))&gt;0,'T_SelfStock'!BC11+'T_TTAFStock'!BC11,BB7+'Grid_Incoming'!BC7-'Grid_Requirement'!BC7))</f>
        <v/>
      </c>
      <c r="BD7">
        <f>IF(COUNTIFS(T_StockCount[Part Name],$A7,T_StockCount[WeekIndex],55)&gt;0,SUMIFS(T_StockCount[CountedQty],T_StockCount[Part Name],$A7,T_StockCount[WeekIndex],55),IF((('T_SelfStock'!BD11&lt;&gt;""))*(('T_TTAFStock'!BD11&lt;&gt;""))&gt;0,'T_SelfStock'!BD11+'T_TTAFStock'!BD11,BC7+'Grid_Incoming'!BD7-'Grid_Requirement'!BD7))</f>
        <v/>
      </c>
      <c r="BE7">
        <f>IF(COUNTIFS(T_StockCount[Part Name],$A7,T_StockCount[WeekIndex],56)&gt;0,SUMIFS(T_StockCount[CountedQty],T_StockCount[Part Name],$A7,T_StockCount[WeekIndex],56),IF((('T_SelfStock'!BE11&lt;&gt;""))*(('T_TTAFStock'!BE11&lt;&gt;""))&gt;0,'T_SelfStock'!BE11+'T_TTAFStock'!BE11,BD7+'Grid_Incoming'!BE7-'Grid_Requirement'!BE7))</f>
        <v/>
      </c>
      <c r="BF7">
        <f>IF(COUNTIFS(T_StockCount[Part Name],$A7,T_StockCount[WeekIndex],57)&gt;0,SUMIFS(T_StockCount[CountedQty],T_StockCount[Part Name],$A7,T_StockCount[WeekIndex],57),IF((('T_SelfStock'!BF11&lt;&gt;""))*(('T_TTAFStock'!BF11&lt;&gt;""))&gt;0,'T_SelfStock'!BF11+'T_TTAFStock'!BF11,BE7+'Grid_Incoming'!BF7-'Grid_Requirement'!BF7))</f>
        <v/>
      </c>
      <c r="BG7">
        <f>IF(COUNTIFS(T_StockCount[Part Name],$A7,T_StockCount[WeekIndex],58)&gt;0,SUMIFS(T_StockCount[CountedQty],T_StockCount[Part Name],$A7,T_StockCount[WeekIndex],58),IF((('T_SelfStock'!BG11&lt;&gt;""))*(('T_TTAFStock'!BG11&lt;&gt;""))&gt;0,'T_SelfStock'!BG11+'T_TTAFStock'!BG11,BF7+'Grid_Incoming'!BG7-'Grid_Requirement'!BG7))</f>
        <v/>
      </c>
      <c r="BH7">
        <f>IF(COUNTIFS(T_StockCount[Part Name],$A7,T_StockCount[WeekIndex],59)&gt;0,SUMIFS(T_StockCount[CountedQty],T_StockCount[Part Name],$A7,T_StockCount[WeekIndex],59),IF((('T_SelfStock'!BH11&lt;&gt;""))*(('T_TTAFStock'!BH11&lt;&gt;""))&gt;0,'T_SelfStock'!BH11+'T_TTAFStock'!BH11,BG7+'Grid_Incoming'!BH7-'Grid_Requirement'!BH7))</f>
        <v/>
      </c>
      <c r="BI7">
        <f>IF(COUNTIFS(T_StockCount[Part Name],$A7,T_StockCount[WeekIndex],60)&gt;0,SUMIFS(T_StockCount[CountedQty],T_StockCount[Part Name],$A7,T_StockCount[WeekIndex],60),IF((('T_SelfStock'!BI11&lt;&gt;""))*(('T_TTAFStock'!BI11&lt;&gt;""))&gt;0,'T_SelfStock'!BI11+'T_TTAFStock'!BI11,BH7+'Grid_Incoming'!BI7-'Grid_Requirement'!BI7))</f>
        <v/>
      </c>
      <c r="BJ7">
        <f>IF(COUNTIFS(T_StockCount[Part Name],$A7,T_StockCount[WeekIndex],61)&gt;0,SUMIFS(T_StockCount[CountedQty],T_StockCount[Part Name],$A7,T_StockCount[WeekIndex],61),IF((('T_SelfStock'!BJ11&lt;&gt;""))*(('T_TTAFStock'!BJ11&lt;&gt;""))&gt;0,'T_SelfStock'!BJ11+'T_TTAFStock'!BJ11,BI7+'Grid_Incoming'!BJ7-'Grid_Requirement'!BJ7))</f>
        <v/>
      </c>
      <c r="BK7">
        <f>IF(COUNTIFS(T_StockCount[Part Name],$A7,T_StockCount[WeekIndex],62)&gt;0,SUMIFS(T_StockCount[CountedQty],T_StockCount[Part Name],$A7,T_StockCount[WeekIndex],62),IF((('T_SelfStock'!BK11&lt;&gt;""))*(('T_TTAFStock'!BK11&lt;&gt;""))&gt;0,'T_SelfStock'!BK11+'T_TTAFStock'!BK11,BJ7+'Grid_Incoming'!BK7-'Grid_Requirement'!BK7))</f>
        <v/>
      </c>
      <c r="BL7">
        <f>IF(COUNTIFS(T_StockCount[Part Name],$A7,T_StockCount[WeekIndex],63)&gt;0,SUMIFS(T_StockCount[CountedQty],T_StockCount[Part Name],$A7,T_StockCount[WeekIndex],63),IF((('T_SelfStock'!BL11&lt;&gt;""))*(('T_TTAFStock'!BL11&lt;&gt;""))&gt;0,'T_SelfStock'!BL11+'T_TTAFStock'!BL11,BK7+'Grid_Incoming'!BL7-'Grid_Requirement'!BL7))</f>
        <v/>
      </c>
      <c r="BM7">
        <f>IF(COUNTIFS(T_StockCount[Part Name],$A7,T_StockCount[WeekIndex],64)&gt;0,SUMIFS(T_StockCount[CountedQty],T_StockCount[Part Name],$A7,T_StockCount[WeekIndex],64),IF((('T_SelfStock'!BM11&lt;&gt;""))*(('T_TTAFStock'!BM11&lt;&gt;""))&gt;0,'T_SelfStock'!BM11+'T_TTAFStock'!BM11,BL7+'Grid_Incoming'!BM7-'Grid_Requirement'!BM7))</f>
        <v/>
      </c>
      <c r="BN7">
        <f>IF(COUNTIFS(T_StockCount[Part Name],$A7,T_StockCount[WeekIndex],65)&gt;0,SUMIFS(T_StockCount[CountedQty],T_StockCount[Part Name],$A7,T_StockCount[WeekIndex],65),IF((('T_SelfStock'!BN11&lt;&gt;""))*(('T_TTAFStock'!BN11&lt;&gt;""))&gt;0,'T_SelfStock'!BN11+'T_TTAFStock'!BN11,BM7+'Grid_Incoming'!BN7-'Grid_Requirement'!BN7))</f>
        <v/>
      </c>
      <c r="BO7">
        <f>IF(COUNTIFS(T_StockCount[Part Name],$A7,T_StockCount[WeekIndex],66)&gt;0,SUMIFS(T_StockCount[CountedQty],T_StockCount[Part Name],$A7,T_StockCount[WeekIndex],66),IF((('T_SelfStock'!BO11&lt;&gt;""))*(('T_TTAFStock'!BO11&lt;&gt;""))&gt;0,'T_SelfStock'!BO11+'T_TTAFStock'!BO11,BN7+'Grid_Incoming'!BO7-'Grid_Requirement'!BO7))</f>
        <v/>
      </c>
      <c r="BP7">
        <f>IF(COUNTIFS(T_StockCount[Part Name],$A7,T_StockCount[WeekIndex],67)&gt;0,SUMIFS(T_StockCount[CountedQty],T_StockCount[Part Name],$A7,T_StockCount[WeekIndex],67),IF((('T_SelfStock'!BP11&lt;&gt;""))*(('T_TTAFStock'!BP11&lt;&gt;""))&gt;0,'T_SelfStock'!BP11+'T_TTAFStock'!BP11,BO7+'Grid_Incoming'!BP7-'Grid_Requirement'!BP7))</f>
        <v/>
      </c>
      <c r="BQ7">
        <f>IF(COUNTIFS(T_StockCount[Part Name],$A7,T_StockCount[WeekIndex],68)&gt;0,SUMIFS(T_StockCount[CountedQty],T_StockCount[Part Name],$A7,T_StockCount[WeekIndex],68),IF((('T_SelfStock'!BQ11&lt;&gt;""))*(('T_TTAFStock'!BQ11&lt;&gt;""))&gt;0,'T_SelfStock'!BQ11+'T_TTAFStock'!BQ11,BP7+'Grid_Incoming'!BQ7-'Grid_Requirement'!BQ7))</f>
        <v/>
      </c>
      <c r="BR7">
        <f>IF(COUNTIFS(T_StockCount[Part Name],$A7,T_StockCount[WeekIndex],69)&gt;0,SUMIFS(T_StockCount[CountedQty],T_StockCount[Part Name],$A7,T_StockCount[WeekIndex],69),IF((('T_SelfStock'!BR11&lt;&gt;""))*(('T_TTAFStock'!BR11&lt;&gt;""))&gt;0,'T_SelfStock'!BR11+'T_TTAFStock'!BR11,BQ7+'Grid_Incoming'!BR7-'Grid_Requirement'!BR7))</f>
        <v/>
      </c>
      <c r="BS7">
        <f>IF(COUNTIFS(T_StockCount[Part Name],$A7,T_StockCount[WeekIndex],70)&gt;0,SUMIFS(T_StockCount[CountedQty],T_StockCount[Part Name],$A7,T_StockCount[WeekIndex],70),IF((('T_SelfStock'!BS11&lt;&gt;""))*(('T_TTAFStock'!BS11&lt;&gt;""))&gt;0,'T_SelfStock'!BS11+'T_TTAFStock'!BS11,BR7+'Grid_Incoming'!BS7-'Grid_Requirement'!BS7))</f>
        <v/>
      </c>
      <c r="BT7">
        <f>IF(COUNTIFS(T_StockCount[Part Name],$A7,T_StockCount[WeekIndex],71)&gt;0,SUMIFS(T_StockCount[CountedQty],T_StockCount[Part Name],$A7,T_StockCount[WeekIndex],71),IF((('T_SelfStock'!BT11&lt;&gt;""))*(('T_TTAFStock'!BT11&lt;&gt;""))&gt;0,'T_SelfStock'!BT11+'T_TTAFStock'!BT11,BS7+'Grid_Incoming'!BT7-'Grid_Requirement'!BT7))</f>
        <v/>
      </c>
      <c r="BU7">
        <f>IF(COUNTIFS(T_StockCount[Part Name],$A7,T_StockCount[WeekIndex],72)&gt;0,SUMIFS(T_StockCount[CountedQty],T_StockCount[Part Name],$A7,T_StockCount[WeekIndex],72),IF((('T_SelfStock'!BU11&lt;&gt;""))*(('T_TTAFStock'!BU11&lt;&gt;""))&gt;0,'T_SelfStock'!BU11+'T_TTAFStock'!BU11,BT7+'Grid_Incoming'!BU7-'Grid_Requirement'!BU7))</f>
        <v/>
      </c>
      <c r="BV7">
        <f>IF(COUNTIFS(T_StockCount[Part Name],$A7,T_StockCount[WeekIndex],73)&gt;0,SUMIFS(T_StockCount[CountedQty],T_StockCount[Part Name],$A7,T_StockCount[WeekIndex],73),IF((('T_SelfStock'!BV11&lt;&gt;""))*(('T_TTAFStock'!BV11&lt;&gt;""))&gt;0,'T_SelfStock'!BV11+'T_TTAFStock'!BV11,BU7+'Grid_Incoming'!BV7-'Grid_Requirement'!BV7))</f>
        <v/>
      </c>
      <c r="BW7">
        <f>IF(COUNTIFS(T_StockCount[Part Name],$A7,T_StockCount[WeekIndex],74)&gt;0,SUMIFS(T_StockCount[CountedQty],T_StockCount[Part Name],$A7,T_StockCount[WeekIndex],74),IF((('T_SelfStock'!BW11&lt;&gt;""))*(('T_TTAFStock'!BW11&lt;&gt;""))&gt;0,'T_SelfStock'!BW11+'T_TTAFStock'!BW11,BV7+'Grid_Incoming'!BW7-'Grid_Requirement'!BW7))</f>
        <v/>
      </c>
      <c r="BX7">
        <f>IF(COUNTIFS(T_StockCount[Part Name],$A7,T_StockCount[WeekIndex],75)&gt;0,SUMIFS(T_StockCount[CountedQty],T_StockCount[Part Name],$A7,T_StockCount[WeekIndex],75),IF((('T_SelfStock'!BX11&lt;&gt;""))*(('T_TTAFStock'!BX11&lt;&gt;""))&gt;0,'T_SelfStock'!BX11+'T_TTAFStock'!BX11,BW7+'Grid_Incoming'!BX7-'Grid_Requirement'!BX7))</f>
        <v/>
      </c>
      <c r="BY7">
        <f>IF(COUNTIFS(T_StockCount[Part Name],$A7,T_StockCount[WeekIndex],76)&gt;0,SUMIFS(T_StockCount[CountedQty],T_StockCount[Part Name],$A7,T_StockCount[WeekIndex],76),IF((('T_SelfStock'!BY11&lt;&gt;""))*(('T_TTAFStock'!BY11&lt;&gt;""))&gt;0,'T_SelfStock'!BY11+'T_TTAFStock'!BY11,BX7+'Grid_Incoming'!BY7-'Grid_Requirement'!BY7))</f>
        <v/>
      </c>
      <c r="BZ7">
        <f>IF(COUNTIFS(T_StockCount[Part Name],$A7,T_StockCount[WeekIndex],77)&gt;0,SUMIFS(T_StockCount[CountedQty],T_StockCount[Part Name],$A7,T_StockCount[WeekIndex],77),IF((('T_SelfStock'!BZ11&lt;&gt;""))*(('T_TTAFStock'!BZ11&lt;&gt;""))&gt;0,'T_SelfStock'!BZ11+'T_TTAFStock'!BZ11,BY7+'Grid_Incoming'!BZ7-'Grid_Requirement'!BZ7))</f>
        <v/>
      </c>
      <c r="CA7">
        <f>IF(COUNTIFS(T_StockCount[Part Name],$A7,T_StockCount[WeekIndex],78)&gt;0,SUMIFS(T_StockCount[CountedQty],T_StockCount[Part Name],$A7,T_StockCount[WeekIndex],78),IF((('T_SelfStock'!CA11&lt;&gt;""))*(('T_TTAFStock'!CA11&lt;&gt;""))&gt;0,'T_SelfStock'!CA11+'T_TTAFStock'!CA11,BZ7+'Grid_Incoming'!CA7-'Grid_Requirement'!CA7))</f>
        <v/>
      </c>
      <c r="CB7">
        <f>IF(COUNTIFS(T_StockCount[Part Name],$A7,T_StockCount[WeekIndex],79)&gt;0,SUMIFS(T_StockCount[CountedQty],T_StockCount[Part Name],$A7,T_StockCount[WeekIndex],79),IF((('T_SelfStock'!CB11&lt;&gt;""))*(('T_TTAFStock'!CB11&lt;&gt;""))&gt;0,'T_SelfStock'!CB11+'T_TTAFStock'!CB11,CA7+'Grid_Incoming'!CB7-'Grid_Requirement'!CB7))</f>
        <v/>
      </c>
      <c r="CC7">
        <f>IF(COUNTIFS(T_StockCount[Part Name],$A7,T_StockCount[WeekIndex],80)&gt;0,SUMIFS(T_StockCount[CountedQty],T_StockCount[Part Name],$A7,T_StockCount[WeekIndex],80),IF((('T_SelfStock'!CC11&lt;&gt;""))*(('T_TTAFStock'!CC11&lt;&gt;""))&gt;0,'T_SelfStock'!CC11+'T_TTAFStock'!CC11,CB7+'Grid_Incoming'!CC7-'Grid_Requirement'!CC7))</f>
        <v/>
      </c>
      <c r="CD7">
        <f>IF(COUNTIFS(T_StockCount[Part Name],$A7,T_StockCount[WeekIndex],81)&gt;0,SUMIFS(T_StockCount[CountedQty],T_StockCount[Part Name],$A7,T_StockCount[WeekIndex],81),IF((('T_SelfStock'!CD11&lt;&gt;""))*(('T_TTAFStock'!CD11&lt;&gt;""))&gt;0,'T_SelfStock'!CD11+'T_TTAFStock'!CD11,CC7+'Grid_Incoming'!CD7-'Grid_Requirement'!CD7))</f>
        <v/>
      </c>
      <c r="CE7">
        <f>IF(COUNTIFS(T_StockCount[Part Name],$A7,T_StockCount[WeekIndex],82)&gt;0,SUMIFS(T_StockCount[CountedQty],T_StockCount[Part Name],$A7,T_StockCount[WeekIndex],82),IF((('T_SelfStock'!CE11&lt;&gt;""))*(('T_TTAFStock'!CE11&lt;&gt;""))&gt;0,'T_SelfStock'!CE11+'T_TTAFStock'!CE11,CD7+'Grid_Incoming'!CE7-'Grid_Requirement'!CE7))</f>
        <v/>
      </c>
      <c r="CF7">
        <f>IF(COUNTIFS(T_StockCount[Part Name],$A7,T_StockCount[WeekIndex],83)&gt;0,SUMIFS(T_StockCount[CountedQty],T_StockCount[Part Name],$A7,T_StockCount[WeekIndex],83),IF((('T_SelfStock'!CF11&lt;&gt;""))*(('T_TTAFStock'!CF11&lt;&gt;""))&gt;0,'T_SelfStock'!CF11+'T_TTAFStock'!CF11,CE7+'Grid_Incoming'!CF7-'Grid_Requirement'!CF7))</f>
        <v/>
      </c>
      <c r="CG7">
        <f>IF(COUNTIFS(T_StockCount[Part Name],$A7,T_StockCount[WeekIndex],84)&gt;0,SUMIFS(T_StockCount[CountedQty],T_StockCount[Part Name],$A7,T_StockCount[WeekIndex],84),IF((('T_SelfStock'!CG11&lt;&gt;""))*(('T_TTAFStock'!CG11&lt;&gt;""))&gt;0,'T_SelfStock'!CG11+'T_TTAFStock'!CG11,CF7+'Grid_Incoming'!CG7-'Grid_Requirement'!CG7))</f>
        <v/>
      </c>
      <c r="CH7">
        <f>IF(COUNTIFS(T_StockCount[Part Name],$A7,T_StockCount[WeekIndex],85)&gt;0,SUMIFS(T_StockCount[CountedQty],T_StockCount[Part Name],$A7,T_StockCount[WeekIndex],85),IF((('T_SelfStock'!CH11&lt;&gt;""))*(('T_TTAFStock'!CH11&lt;&gt;""))&gt;0,'T_SelfStock'!CH11+'T_TTAFStock'!CH11,CG7+'Grid_Incoming'!CH7-'Grid_Requirement'!CH7))</f>
        <v/>
      </c>
      <c r="CI7">
        <f>IF(COUNTIFS(T_StockCount[Part Name],$A7,T_StockCount[WeekIndex],86)&gt;0,SUMIFS(T_StockCount[CountedQty],T_StockCount[Part Name],$A7,T_StockCount[WeekIndex],86),IF((('T_SelfStock'!CI11&lt;&gt;""))*(('T_TTAFStock'!CI11&lt;&gt;""))&gt;0,'T_SelfStock'!CI11+'T_TTAFStock'!CI11,CH7+'Grid_Incoming'!CI7-'Grid_Requirement'!CI7))</f>
        <v/>
      </c>
      <c r="CJ7">
        <f>IF(COUNTIFS(T_StockCount[Part Name],$A7,T_StockCount[WeekIndex],87)&gt;0,SUMIFS(T_StockCount[CountedQty],T_StockCount[Part Name],$A7,T_StockCount[WeekIndex],87),IF((('T_SelfStock'!CJ11&lt;&gt;""))*(('T_TTAFStock'!CJ11&lt;&gt;""))&gt;0,'T_SelfStock'!CJ11+'T_TTAFStock'!CJ11,CI7+'Grid_Incoming'!CJ7-'Grid_Requirement'!CJ7))</f>
        <v/>
      </c>
      <c r="CK7">
        <f>IF(COUNTIFS(T_StockCount[Part Name],$A7,T_StockCount[WeekIndex],88)&gt;0,SUMIFS(T_StockCount[CountedQty],T_StockCount[Part Name],$A7,T_StockCount[WeekIndex],88),IF((('T_SelfStock'!CK11&lt;&gt;""))*(('T_TTAFStock'!CK11&lt;&gt;""))&gt;0,'T_SelfStock'!CK11+'T_TTAFStock'!CK11,CJ7+'Grid_Incoming'!CK7-'Grid_Requirement'!CK7))</f>
        <v/>
      </c>
      <c r="CL7">
        <f>IF(COUNTIFS(T_StockCount[Part Name],$A7,T_StockCount[WeekIndex],89)&gt;0,SUMIFS(T_StockCount[CountedQty],T_StockCount[Part Name],$A7,T_StockCount[WeekIndex],89),IF((('T_SelfStock'!CL11&lt;&gt;""))*(('T_TTAFStock'!CL11&lt;&gt;""))&gt;0,'T_SelfStock'!CL11+'T_TTAFStock'!CL11,CK7+'Grid_Incoming'!CL7-'Grid_Requirement'!CL7))</f>
        <v/>
      </c>
      <c r="CM7">
        <f>IF(COUNTIFS(T_StockCount[Part Name],$A7,T_StockCount[WeekIndex],90)&gt;0,SUMIFS(T_StockCount[CountedQty],T_StockCount[Part Name],$A7,T_StockCount[WeekIndex],90),IF((('T_SelfStock'!CM11&lt;&gt;""))*(('T_TTAFStock'!CM11&lt;&gt;""))&gt;0,'T_SelfStock'!CM11+'T_TTAFStock'!CM11,CL7+'Grid_Incoming'!CM7-'Grid_Requirement'!CM7))</f>
        <v/>
      </c>
      <c r="CN7">
        <f>IF(COUNTIFS(T_StockCount[Part Name],$A7,T_StockCount[WeekIndex],91)&gt;0,SUMIFS(T_StockCount[CountedQty],T_StockCount[Part Name],$A7,T_StockCount[WeekIndex],91),IF((('T_SelfStock'!CN11&lt;&gt;""))*(('T_TTAFStock'!CN11&lt;&gt;""))&gt;0,'T_SelfStock'!CN11+'T_TTAFStock'!CN11,CM7+'Grid_Incoming'!CN7-'Grid_Requirement'!CN7))</f>
        <v/>
      </c>
      <c r="CO7">
        <f>IF(COUNTIFS(T_StockCount[Part Name],$A7,T_StockCount[WeekIndex],92)&gt;0,SUMIFS(T_StockCount[CountedQty],T_StockCount[Part Name],$A7,T_StockCount[WeekIndex],92),IF((('T_SelfStock'!CO11&lt;&gt;""))*(('T_TTAFStock'!CO11&lt;&gt;""))&gt;0,'T_SelfStock'!CO11+'T_TTAFStock'!CO11,CN7+'Grid_Incoming'!CO7-'Grid_Requirement'!CO7))</f>
        <v/>
      </c>
      <c r="CP7">
        <f>IF(COUNTIFS(T_StockCount[Part Name],$A7,T_StockCount[WeekIndex],93)&gt;0,SUMIFS(T_StockCount[CountedQty],T_StockCount[Part Name],$A7,T_StockCount[WeekIndex],93),IF((('T_SelfStock'!CP11&lt;&gt;""))*(('T_TTAFStock'!CP11&lt;&gt;""))&gt;0,'T_SelfStock'!CP11+'T_TTAFStock'!CP11,CO7+'Grid_Incoming'!CP7-'Grid_Requirement'!CP7))</f>
        <v/>
      </c>
      <c r="CQ7">
        <f>IF(COUNTIFS(T_StockCount[Part Name],$A7,T_StockCount[WeekIndex],94)&gt;0,SUMIFS(T_StockCount[CountedQty],T_StockCount[Part Name],$A7,T_StockCount[WeekIndex],94),IF((('T_SelfStock'!CQ11&lt;&gt;""))*(('T_TTAFStock'!CQ11&lt;&gt;""))&gt;0,'T_SelfStock'!CQ11+'T_TTAFStock'!CQ11,CP7+'Grid_Incoming'!CQ7-'Grid_Requirement'!CQ7))</f>
        <v/>
      </c>
      <c r="CR7">
        <f>IF(COUNTIFS(T_StockCount[Part Name],$A7,T_StockCount[WeekIndex],95)&gt;0,SUMIFS(T_StockCount[CountedQty],T_StockCount[Part Name],$A7,T_StockCount[WeekIndex],95),IF((('T_SelfStock'!CR11&lt;&gt;""))*(('T_TTAFStock'!CR11&lt;&gt;""))&gt;0,'T_SelfStock'!CR11+'T_TTAFStock'!CR11,CQ7+'Grid_Incoming'!CR7-'Grid_Requirement'!CR7))</f>
        <v/>
      </c>
      <c r="CS7">
        <f>IF(COUNTIFS(T_StockCount[Part Name],$A7,T_StockCount[WeekIndex],96)&gt;0,SUMIFS(T_StockCount[CountedQty],T_StockCount[Part Name],$A7,T_StockCount[WeekIndex],96),IF((('T_SelfStock'!CS11&lt;&gt;""))*(('T_TTAFStock'!CS11&lt;&gt;""))&gt;0,'T_SelfStock'!CS11+'T_TTAFStock'!CS11,CR7+'Grid_Incoming'!CS7-'Grid_Requirement'!CS7))</f>
        <v/>
      </c>
      <c r="CT7">
        <f>IF(COUNTIFS(T_StockCount[Part Name],$A7,T_StockCount[WeekIndex],97)&gt;0,SUMIFS(T_StockCount[CountedQty],T_StockCount[Part Name],$A7,T_StockCount[WeekIndex],97),IF((('T_SelfStock'!CT11&lt;&gt;""))*(('T_TTAFStock'!CT11&lt;&gt;""))&gt;0,'T_SelfStock'!CT11+'T_TTAFStock'!CT11,CS7+'Grid_Incoming'!CT7-'Grid_Requirement'!CT7))</f>
        <v/>
      </c>
      <c r="CU7">
        <f>IF(COUNTIFS(T_StockCount[Part Name],$A7,T_StockCount[WeekIndex],98)&gt;0,SUMIFS(T_StockCount[CountedQty],T_StockCount[Part Name],$A7,T_StockCount[WeekIndex],98),IF((('T_SelfStock'!CU11&lt;&gt;""))*(('T_TTAFStock'!CU11&lt;&gt;""))&gt;0,'T_SelfStock'!CU11+'T_TTAFStock'!CU11,CT7+'Grid_Incoming'!CU7-'Grid_Requirement'!CU7))</f>
        <v/>
      </c>
      <c r="CV7">
        <f>IF(COUNTIFS(T_StockCount[Part Name],$A7,T_StockCount[WeekIndex],99)&gt;0,SUMIFS(T_StockCount[CountedQty],T_StockCount[Part Name],$A7,T_StockCount[WeekIndex],99),IF((('T_SelfStock'!CV11&lt;&gt;""))*(('T_TTAFStock'!CV11&lt;&gt;""))&gt;0,'T_SelfStock'!CV11+'T_TTAFStock'!CV11,CU7+'Grid_Incoming'!CV7-'Grid_Requirement'!CV7))</f>
        <v/>
      </c>
      <c r="CW7">
        <f>IF(COUNTIFS(T_StockCount[Part Name],$A7,T_StockCount[WeekIndex],100)&gt;0,SUMIFS(T_StockCount[CountedQty],T_StockCount[Part Name],$A7,T_StockCount[WeekIndex],100),IF((('T_SelfStock'!CW11&lt;&gt;""))*(('T_TTAFStock'!CW11&lt;&gt;""))&gt;0,'T_SelfStock'!CW11+'T_TTAFStock'!CW11,CV7+'Grid_Incoming'!CW7-'Grid_Requirement'!CW7))</f>
        <v/>
      </c>
      <c r="CX7">
        <f>IF(COUNTIFS(T_StockCount[Part Name],$A7,T_StockCount[WeekIndex],101)&gt;0,SUMIFS(T_StockCount[CountedQty],T_StockCount[Part Name],$A7,T_StockCount[WeekIndex],101),IF((('T_SelfStock'!CX11&lt;&gt;""))*(('T_TTAFStock'!CX11&lt;&gt;""))&gt;0,'T_SelfStock'!CX11+'T_TTAFStock'!CX11,CW7+'Grid_Incoming'!CX7-'Grid_Requirement'!CX7))</f>
        <v/>
      </c>
      <c r="CY7">
        <f>IF(COUNTIFS(T_StockCount[Part Name],$A7,T_StockCount[WeekIndex],102)&gt;0,SUMIFS(T_StockCount[CountedQty],T_StockCount[Part Name],$A7,T_StockCount[WeekIndex],102),IF((('T_SelfStock'!CY11&lt;&gt;""))*(('T_TTAFStock'!CY11&lt;&gt;""))&gt;0,'T_SelfStock'!CY11+'T_TTAFStock'!CY11,CX7+'Grid_Incoming'!CY7-'Grid_Requirement'!CY7))</f>
        <v/>
      </c>
      <c r="CZ7">
        <f>IF(COUNTIFS(T_StockCount[Part Name],$A7,T_StockCount[WeekIndex],103)&gt;0,SUMIFS(T_StockCount[CountedQty],T_StockCount[Part Name],$A7,T_StockCount[WeekIndex],103),IF((('T_SelfStock'!CZ11&lt;&gt;""))*(('T_TTAFStock'!CZ11&lt;&gt;""))&gt;0,'T_SelfStock'!CZ11+'T_TTAFStock'!CZ11,CY7+'Grid_Incoming'!CZ7-'Grid_Requirement'!CZ7))</f>
        <v/>
      </c>
      <c r="DA7">
        <f>IF(COUNTIFS(T_StockCount[Part Name],$A7,T_StockCount[WeekIndex],104)&gt;0,SUMIFS(T_StockCount[CountedQty],T_StockCount[Part Name],$A7,T_StockCount[WeekIndex],104),IF((('T_SelfStock'!DA11&lt;&gt;""))*(('T_TTAFStock'!DA11&lt;&gt;""))&gt;0,'T_SelfStock'!DA11+'T_TTAFStock'!DA11,CZ7+'Grid_Incoming'!DA7-'Grid_Requirement'!DA7))</f>
        <v/>
      </c>
    </row>
    <row r="8">
      <c r="A8" t="inlineStr">
        <is>
          <t>TDJ</t>
        </is>
      </c>
      <c r="B8">
        <f>IF(COUNTIFS(T_StockCount[Part Name],$A8,T_StockCount[WeekIndex],1)&gt;0,SUMIFS(T_StockCount[CountedQty],T_StockCount[Part Name],$A8,T_StockCount[WeekIndex],1),IF((('T_SelfStock'!B12&lt;&gt;""))*(('T_TTAFStock'!B12&lt;&gt;""))&gt;0,'T_SelfStock'!B12+'T_TTAFStock'!B12,IFERROR(INDEX(T_OpeningStock[Opening_Qty_要入力],MATCH($A8,T_OpeningStock[Part Name],0)),0)+'Grid_Incoming'!B8-'Grid_Requirement'!B8))</f>
        <v/>
      </c>
      <c r="C8">
        <f>IF(COUNTIFS(T_StockCount[Part Name],$A8,T_StockCount[WeekIndex],2)&gt;0,SUMIFS(T_StockCount[CountedQty],T_StockCount[Part Name],$A8,T_StockCount[WeekIndex],2),IF((('T_SelfStock'!C12&lt;&gt;""))*(('T_TTAFStock'!C12&lt;&gt;""))&gt;0,'T_SelfStock'!C12+'T_TTAFStock'!C12,B8+'Grid_Incoming'!C8-'Grid_Requirement'!C8))</f>
        <v/>
      </c>
      <c r="D8">
        <f>IF(COUNTIFS(T_StockCount[Part Name],$A8,T_StockCount[WeekIndex],3)&gt;0,SUMIFS(T_StockCount[CountedQty],T_StockCount[Part Name],$A8,T_StockCount[WeekIndex],3),IF((('T_SelfStock'!D12&lt;&gt;""))*(('T_TTAFStock'!D12&lt;&gt;""))&gt;0,'T_SelfStock'!D12+'T_TTAFStock'!D12,C8+'Grid_Incoming'!D8-'Grid_Requirement'!D8))</f>
        <v/>
      </c>
      <c r="E8">
        <f>IF(COUNTIFS(T_StockCount[Part Name],$A8,T_StockCount[WeekIndex],4)&gt;0,SUMIFS(T_StockCount[CountedQty],T_StockCount[Part Name],$A8,T_StockCount[WeekIndex],4),IF((('T_SelfStock'!E12&lt;&gt;""))*(('T_TTAFStock'!E12&lt;&gt;""))&gt;0,'T_SelfStock'!E12+'T_TTAFStock'!E12,D8+'Grid_Incoming'!E8-'Grid_Requirement'!E8))</f>
        <v/>
      </c>
      <c r="F8">
        <f>IF(COUNTIFS(T_StockCount[Part Name],$A8,T_StockCount[WeekIndex],5)&gt;0,SUMIFS(T_StockCount[CountedQty],T_StockCount[Part Name],$A8,T_StockCount[WeekIndex],5),IF((('T_SelfStock'!F12&lt;&gt;""))*(('T_TTAFStock'!F12&lt;&gt;""))&gt;0,'T_SelfStock'!F12+'T_TTAFStock'!F12,E8+'Grid_Incoming'!F8-'Grid_Requirement'!F8))</f>
        <v/>
      </c>
      <c r="G8">
        <f>IF(COUNTIFS(T_StockCount[Part Name],$A8,T_StockCount[WeekIndex],6)&gt;0,SUMIFS(T_StockCount[CountedQty],T_StockCount[Part Name],$A8,T_StockCount[WeekIndex],6),IF((('T_SelfStock'!G12&lt;&gt;""))*(('T_TTAFStock'!G12&lt;&gt;""))&gt;0,'T_SelfStock'!G12+'T_TTAFStock'!G12,F8+'Grid_Incoming'!G8-'Grid_Requirement'!G8))</f>
        <v/>
      </c>
      <c r="H8">
        <f>IF(COUNTIFS(T_StockCount[Part Name],$A8,T_StockCount[WeekIndex],7)&gt;0,SUMIFS(T_StockCount[CountedQty],T_StockCount[Part Name],$A8,T_StockCount[WeekIndex],7),IF((('T_SelfStock'!H12&lt;&gt;""))*(('T_TTAFStock'!H12&lt;&gt;""))&gt;0,'T_SelfStock'!H12+'T_TTAFStock'!H12,G8+'Grid_Incoming'!H8-'Grid_Requirement'!H8))</f>
        <v/>
      </c>
      <c r="I8">
        <f>IF(COUNTIFS(T_StockCount[Part Name],$A8,T_StockCount[WeekIndex],8)&gt;0,SUMIFS(T_StockCount[CountedQty],T_StockCount[Part Name],$A8,T_StockCount[WeekIndex],8),IF((('T_SelfStock'!I12&lt;&gt;""))*(('T_TTAFStock'!I12&lt;&gt;""))&gt;0,'T_SelfStock'!I12+'T_TTAFStock'!I12,H8+'Grid_Incoming'!I8-'Grid_Requirement'!I8))</f>
        <v/>
      </c>
      <c r="J8">
        <f>IF(COUNTIFS(T_StockCount[Part Name],$A8,T_StockCount[WeekIndex],9)&gt;0,SUMIFS(T_StockCount[CountedQty],T_StockCount[Part Name],$A8,T_StockCount[WeekIndex],9),IF((('T_SelfStock'!J12&lt;&gt;""))*(('T_TTAFStock'!J12&lt;&gt;""))&gt;0,'T_SelfStock'!J12+'T_TTAFStock'!J12,I8+'Grid_Incoming'!J8-'Grid_Requirement'!J8))</f>
        <v/>
      </c>
      <c r="K8">
        <f>IF(COUNTIFS(T_StockCount[Part Name],$A8,T_StockCount[WeekIndex],10)&gt;0,SUMIFS(T_StockCount[CountedQty],T_StockCount[Part Name],$A8,T_StockCount[WeekIndex],10),IF((('T_SelfStock'!K12&lt;&gt;""))*(('T_TTAFStock'!K12&lt;&gt;""))&gt;0,'T_SelfStock'!K12+'T_TTAFStock'!K12,J8+'Grid_Incoming'!K8-'Grid_Requirement'!K8))</f>
        <v/>
      </c>
      <c r="L8">
        <f>IF(COUNTIFS(T_StockCount[Part Name],$A8,T_StockCount[WeekIndex],11)&gt;0,SUMIFS(T_StockCount[CountedQty],T_StockCount[Part Name],$A8,T_StockCount[WeekIndex],11),IF((('T_SelfStock'!L12&lt;&gt;""))*(('T_TTAFStock'!L12&lt;&gt;""))&gt;0,'T_SelfStock'!L12+'T_TTAFStock'!L12,K8+'Grid_Incoming'!L8-'Grid_Requirement'!L8))</f>
        <v/>
      </c>
      <c r="M8">
        <f>IF(COUNTIFS(T_StockCount[Part Name],$A8,T_StockCount[WeekIndex],12)&gt;0,SUMIFS(T_StockCount[CountedQty],T_StockCount[Part Name],$A8,T_StockCount[WeekIndex],12),IF((('T_SelfStock'!M12&lt;&gt;""))*(('T_TTAFStock'!M12&lt;&gt;""))&gt;0,'T_SelfStock'!M12+'T_TTAFStock'!M12,L8+'Grid_Incoming'!M8-'Grid_Requirement'!M8))</f>
        <v/>
      </c>
      <c r="N8">
        <f>IF(COUNTIFS(T_StockCount[Part Name],$A8,T_StockCount[WeekIndex],13)&gt;0,SUMIFS(T_StockCount[CountedQty],T_StockCount[Part Name],$A8,T_StockCount[WeekIndex],13),IF((('T_SelfStock'!N12&lt;&gt;""))*(('T_TTAFStock'!N12&lt;&gt;""))&gt;0,'T_SelfStock'!N12+'T_TTAFStock'!N12,M8+'Grid_Incoming'!N8-'Grid_Requirement'!N8))</f>
        <v/>
      </c>
      <c r="O8">
        <f>IF(COUNTIFS(T_StockCount[Part Name],$A8,T_StockCount[WeekIndex],14)&gt;0,SUMIFS(T_StockCount[CountedQty],T_StockCount[Part Name],$A8,T_StockCount[WeekIndex],14),IF((('T_SelfStock'!O12&lt;&gt;""))*(('T_TTAFStock'!O12&lt;&gt;""))&gt;0,'T_SelfStock'!O12+'T_TTAFStock'!O12,N8+'Grid_Incoming'!O8-'Grid_Requirement'!O8))</f>
        <v/>
      </c>
      <c r="P8">
        <f>IF(COUNTIFS(T_StockCount[Part Name],$A8,T_StockCount[WeekIndex],15)&gt;0,SUMIFS(T_StockCount[CountedQty],T_StockCount[Part Name],$A8,T_StockCount[WeekIndex],15),IF((('T_SelfStock'!P12&lt;&gt;""))*(('T_TTAFStock'!P12&lt;&gt;""))&gt;0,'T_SelfStock'!P12+'T_TTAFStock'!P12,O8+'Grid_Incoming'!P8-'Grid_Requirement'!P8))</f>
        <v/>
      </c>
      <c r="Q8">
        <f>IF(COUNTIFS(T_StockCount[Part Name],$A8,T_StockCount[WeekIndex],16)&gt;0,SUMIFS(T_StockCount[CountedQty],T_StockCount[Part Name],$A8,T_StockCount[WeekIndex],16),IF((('T_SelfStock'!Q12&lt;&gt;""))*(('T_TTAFStock'!Q12&lt;&gt;""))&gt;0,'T_SelfStock'!Q12+'T_TTAFStock'!Q12,P8+'Grid_Incoming'!Q8-'Grid_Requirement'!Q8))</f>
        <v/>
      </c>
      <c r="R8">
        <f>IF(COUNTIFS(T_StockCount[Part Name],$A8,T_StockCount[WeekIndex],17)&gt;0,SUMIFS(T_StockCount[CountedQty],T_StockCount[Part Name],$A8,T_StockCount[WeekIndex],17),IF((('T_SelfStock'!R12&lt;&gt;""))*(('T_TTAFStock'!R12&lt;&gt;""))&gt;0,'T_SelfStock'!R12+'T_TTAFStock'!R12,Q8+'Grid_Incoming'!R8-'Grid_Requirement'!R8))</f>
        <v/>
      </c>
      <c r="S8">
        <f>IF(COUNTIFS(T_StockCount[Part Name],$A8,T_StockCount[WeekIndex],18)&gt;0,SUMIFS(T_StockCount[CountedQty],T_StockCount[Part Name],$A8,T_StockCount[WeekIndex],18),IF((('T_SelfStock'!S12&lt;&gt;""))*(('T_TTAFStock'!S12&lt;&gt;""))&gt;0,'T_SelfStock'!S12+'T_TTAFStock'!S12,R8+'Grid_Incoming'!S8-'Grid_Requirement'!S8))</f>
        <v/>
      </c>
      <c r="T8">
        <f>IF(COUNTIFS(T_StockCount[Part Name],$A8,T_StockCount[WeekIndex],19)&gt;0,SUMIFS(T_StockCount[CountedQty],T_StockCount[Part Name],$A8,T_StockCount[WeekIndex],19),IF((('T_SelfStock'!T12&lt;&gt;""))*(('T_TTAFStock'!T12&lt;&gt;""))&gt;0,'T_SelfStock'!T12+'T_TTAFStock'!T12,S8+'Grid_Incoming'!T8-'Grid_Requirement'!T8))</f>
        <v/>
      </c>
      <c r="U8">
        <f>IF(COUNTIFS(T_StockCount[Part Name],$A8,T_StockCount[WeekIndex],20)&gt;0,SUMIFS(T_StockCount[CountedQty],T_StockCount[Part Name],$A8,T_StockCount[WeekIndex],20),IF((('T_SelfStock'!U12&lt;&gt;""))*(('T_TTAFStock'!U12&lt;&gt;""))&gt;0,'T_SelfStock'!U12+'T_TTAFStock'!U12,T8+'Grid_Incoming'!U8-'Grid_Requirement'!U8))</f>
        <v/>
      </c>
      <c r="V8">
        <f>IF(COUNTIFS(T_StockCount[Part Name],$A8,T_StockCount[WeekIndex],21)&gt;0,SUMIFS(T_StockCount[CountedQty],T_StockCount[Part Name],$A8,T_StockCount[WeekIndex],21),IF((('T_SelfStock'!V12&lt;&gt;""))*(('T_TTAFStock'!V12&lt;&gt;""))&gt;0,'T_SelfStock'!V12+'T_TTAFStock'!V12,U8+'Grid_Incoming'!V8-'Grid_Requirement'!V8))</f>
        <v/>
      </c>
      <c r="W8">
        <f>IF(COUNTIFS(T_StockCount[Part Name],$A8,T_StockCount[WeekIndex],22)&gt;0,SUMIFS(T_StockCount[CountedQty],T_StockCount[Part Name],$A8,T_StockCount[WeekIndex],22),IF((('T_SelfStock'!W12&lt;&gt;""))*(('T_TTAFStock'!W12&lt;&gt;""))&gt;0,'T_SelfStock'!W12+'T_TTAFStock'!W12,V8+'Grid_Incoming'!W8-'Grid_Requirement'!W8))</f>
        <v/>
      </c>
      <c r="X8">
        <f>IF(COUNTIFS(T_StockCount[Part Name],$A8,T_StockCount[WeekIndex],23)&gt;0,SUMIFS(T_StockCount[CountedQty],T_StockCount[Part Name],$A8,T_StockCount[WeekIndex],23),IF((('T_SelfStock'!X12&lt;&gt;""))*(('T_TTAFStock'!X12&lt;&gt;""))&gt;0,'T_SelfStock'!X12+'T_TTAFStock'!X12,W8+'Grid_Incoming'!X8-'Grid_Requirement'!X8))</f>
        <v/>
      </c>
      <c r="Y8">
        <f>IF(COUNTIFS(T_StockCount[Part Name],$A8,T_StockCount[WeekIndex],24)&gt;0,SUMIFS(T_StockCount[CountedQty],T_StockCount[Part Name],$A8,T_StockCount[WeekIndex],24),IF((('T_SelfStock'!Y12&lt;&gt;""))*(('T_TTAFStock'!Y12&lt;&gt;""))&gt;0,'T_SelfStock'!Y12+'T_TTAFStock'!Y12,X8+'Grid_Incoming'!Y8-'Grid_Requirement'!Y8))</f>
        <v/>
      </c>
      <c r="Z8">
        <f>IF(COUNTIFS(T_StockCount[Part Name],$A8,T_StockCount[WeekIndex],25)&gt;0,SUMIFS(T_StockCount[CountedQty],T_StockCount[Part Name],$A8,T_StockCount[WeekIndex],25),IF((('T_SelfStock'!Z12&lt;&gt;""))*(('T_TTAFStock'!Z12&lt;&gt;""))&gt;0,'T_SelfStock'!Z12+'T_TTAFStock'!Z12,Y8+'Grid_Incoming'!Z8-'Grid_Requirement'!Z8))</f>
        <v/>
      </c>
      <c r="AA8">
        <f>IF(COUNTIFS(T_StockCount[Part Name],$A8,T_StockCount[WeekIndex],26)&gt;0,SUMIFS(T_StockCount[CountedQty],T_StockCount[Part Name],$A8,T_StockCount[WeekIndex],26),IF((('T_SelfStock'!AA12&lt;&gt;""))*(('T_TTAFStock'!AA12&lt;&gt;""))&gt;0,'T_SelfStock'!AA12+'T_TTAFStock'!AA12,Z8+'Grid_Incoming'!AA8-'Grid_Requirement'!AA8))</f>
        <v/>
      </c>
      <c r="AB8">
        <f>IF(COUNTIFS(T_StockCount[Part Name],$A8,T_StockCount[WeekIndex],27)&gt;0,SUMIFS(T_StockCount[CountedQty],T_StockCount[Part Name],$A8,T_StockCount[WeekIndex],27),IF((('T_SelfStock'!AB12&lt;&gt;""))*(('T_TTAFStock'!AB12&lt;&gt;""))&gt;0,'T_SelfStock'!AB12+'T_TTAFStock'!AB12,AA8+'Grid_Incoming'!AB8-'Grid_Requirement'!AB8))</f>
        <v/>
      </c>
      <c r="AC8">
        <f>IF(COUNTIFS(T_StockCount[Part Name],$A8,T_StockCount[WeekIndex],28)&gt;0,SUMIFS(T_StockCount[CountedQty],T_StockCount[Part Name],$A8,T_StockCount[WeekIndex],28),IF((('T_SelfStock'!AC12&lt;&gt;""))*(('T_TTAFStock'!AC12&lt;&gt;""))&gt;0,'T_SelfStock'!AC12+'T_TTAFStock'!AC12,AB8+'Grid_Incoming'!AC8-'Grid_Requirement'!AC8))</f>
        <v/>
      </c>
      <c r="AD8">
        <f>IF(COUNTIFS(T_StockCount[Part Name],$A8,T_StockCount[WeekIndex],29)&gt;0,SUMIFS(T_StockCount[CountedQty],T_StockCount[Part Name],$A8,T_StockCount[WeekIndex],29),IF((('T_SelfStock'!AD12&lt;&gt;""))*(('T_TTAFStock'!AD12&lt;&gt;""))&gt;0,'T_SelfStock'!AD12+'T_TTAFStock'!AD12,AC8+'Grid_Incoming'!AD8-'Grid_Requirement'!AD8))</f>
        <v/>
      </c>
      <c r="AE8">
        <f>IF(COUNTIFS(T_StockCount[Part Name],$A8,T_StockCount[WeekIndex],30)&gt;0,SUMIFS(T_StockCount[CountedQty],T_StockCount[Part Name],$A8,T_StockCount[WeekIndex],30),IF((('T_SelfStock'!AE12&lt;&gt;""))*(('T_TTAFStock'!AE12&lt;&gt;""))&gt;0,'T_SelfStock'!AE12+'T_TTAFStock'!AE12,AD8+'Grid_Incoming'!AE8-'Grid_Requirement'!AE8))</f>
        <v/>
      </c>
      <c r="AF8">
        <f>IF(COUNTIFS(T_StockCount[Part Name],$A8,T_StockCount[WeekIndex],31)&gt;0,SUMIFS(T_StockCount[CountedQty],T_StockCount[Part Name],$A8,T_StockCount[WeekIndex],31),IF((('T_SelfStock'!AF12&lt;&gt;""))*(('T_TTAFStock'!AF12&lt;&gt;""))&gt;0,'T_SelfStock'!AF12+'T_TTAFStock'!AF12,AE8+'Grid_Incoming'!AF8-'Grid_Requirement'!AF8))</f>
        <v/>
      </c>
      <c r="AG8">
        <f>IF(COUNTIFS(T_StockCount[Part Name],$A8,T_StockCount[WeekIndex],32)&gt;0,SUMIFS(T_StockCount[CountedQty],T_StockCount[Part Name],$A8,T_StockCount[WeekIndex],32),IF((('T_SelfStock'!AG12&lt;&gt;""))*(('T_TTAFStock'!AG12&lt;&gt;""))&gt;0,'T_SelfStock'!AG12+'T_TTAFStock'!AG12,AF8+'Grid_Incoming'!AG8-'Grid_Requirement'!AG8))</f>
        <v/>
      </c>
      <c r="AH8">
        <f>IF(COUNTIFS(T_StockCount[Part Name],$A8,T_StockCount[WeekIndex],33)&gt;0,SUMIFS(T_StockCount[CountedQty],T_StockCount[Part Name],$A8,T_StockCount[WeekIndex],33),IF((('T_SelfStock'!AH12&lt;&gt;""))*(('T_TTAFStock'!AH12&lt;&gt;""))&gt;0,'T_SelfStock'!AH12+'T_TTAFStock'!AH12,AG8+'Grid_Incoming'!AH8-'Grid_Requirement'!AH8))</f>
        <v/>
      </c>
      <c r="AI8">
        <f>IF(COUNTIFS(T_StockCount[Part Name],$A8,T_StockCount[WeekIndex],34)&gt;0,SUMIFS(T_StockCount[CountedQty],T_StockCount[Part Name],$A8,T_StockCount[WeekIndex],34),IF((('T_SelfStock'!AI12&lt;&gt;""))*(('T_TTAFStock'!AI12&lt;&gt;""))&gt;0,'T_SelfStock'!AI12+'T_TTAFStock'!AI12,AH8+'Grid_Incoming'!AI8-'Grid_Requirement'!AI8))</f>
        <v/>
      </c>
      <c r="AJ8">
        <f>IF(COUNTIFS(T_StockCount[Part Name],$A8,T_StockCount[WeekIndex],35)&gt;0,SUMIFS(T_StockCount[CountedQty],T_StockCount[Part Name],$A8,T_StockCount[WeekIndex],35),IF((('T_SelfStock'!AJ12&lt;&gt;""))*(('T_TTAFStock'!AJ12&lt;&gt;""))&gt;0,'T_SelfStock'!AJ12+'T_TTAFStock'!AJ12,AI8+'Grid_Incoming'!AJ8-'Grid_Requirement'!AJ8))</f>
        <v/>
      </c>
      <c r="AK8">
        <f>IF(COUNTIFS(T_StockCount[Part Name],$A8,T_StockCount[WeekIndex],36)&gt;0,SUMIFS(T_StockCount[CountedQty],T_StockCount[Part Name],$A8,T_StockCount[WeekIndex],36),IF((('T_SelfStock'!AK12&lt;&gt;""))*(('T_TTAFStock'!AK12&lt;&gt;""))&gt;0,'T_SelfStock'!AK12+'T_TTAFStock'!AK12,AJ8+'Grid_Incoming'!AK8-'Grid_Requirement'!AK8))</f>
        <v/>
      </c>
      <c r="AL8">
        <f>IF(COUNTIFS(T_StockCount[Part Name],$A8,T_StockCount[WeekIndex],37)&gt;0,SUMIFS(T_StockCount[CountedQty],T_StockCount[Part Name],$A8,T_StockCount[WeekIndex],37),IF((('T_SelfStock'!AL12&lt;&gt;""))*(('T_TTAFStock'!AL12&lt;&gt;""))&gt;0,'T_SelfStock'!AL12+'T_TTAFStock'!AL12,AK8+'Grid_Incoming'!AL8-'Grid_Requirement'!AL8))</f>
        <v/>
      </c>
      <c r="AM8">
        <f>IF(COUNTIFS(T_StockCount[Part Name],$A8,T_StockCount[WeekIndex],38)&gt;0,SUMIFS(T_StockCount[CountedQty],T_StockCount[Part Name],$A8,T_StockCount[WeekIndex],38),IF((('T_SelfStock'!AM12&lt;&gt;""))*(('T_TTAFStock'!AM12&lt;&gt;""))&gt;0,'T_SelfStock'!AM12+'T_TTAFStock'!AM12,AL8+'Grid_Incoming'!AM8-'Grid_Requirement'!AM8))</f>
        <v/>
      </c>
      <c r="AN8">
        <f>IF(COUNTIFS(T_StockCount[Part Name],$A8,T_StockCount[WeekIndex],39)&gt;0,SUMIFS(T_StockCount[CountedQty],T_StockCount[Part Name],$A8,T_StockCount[WeekIndex],39),IF((('T_SelfStock'!AN12&lt;&gt;""))*(('T_TTAFStock'!AN12&lt;&gt;""))&gt;0,'T_SelfStock'!AN12+'T_TTAFStock'!AN12,AM8+'Grid_Incoming'!AN8-'Grid_Requirement'!AN8))</f>
        <v/>
      </c>
      <c r="AO8">
        <f>IF(COUNTIFS(T_StockCount[Part Name],$A8,T_StockCount[WeekIndex],40)&gt;0,SUMIFS(T_StockCount[CountedQty],T_StockCount[Part Name],$A8,T_StockCount[WeekIndex],40),IF((('T_SelfStock'!AO12&lt;&gt;""))*(('T_TTAFStock'!AO12&lt;&gt;""))&gt;0,'T_SelfStock'!AO12+'T_TTAFStock'!AO12,AN8+'Grid_Incoming'!AO8-'Grid_Requirement'!AO8))</f>
        <v/>
      </c>
      <c r="AP8">
        <f>IF(COUNTIFS(T_StockCount[Part Name],$A8,T_StockCount[WeekIndex],41)&gt;0,SUMIFS(T_StockCount[CountedQty],T_StockCount[Part Name],$A8,T_StockCount[WeekIndex],41),IF((('T_SelfStock'!AP12&lt;&gt;""))*(('T_TTAFStock'!AP12&lt;&gt;""))&gt;0,'T_SelfStock'!AP12+'T_TTAFStock'!AP12,AO8+'Grid_Incoming'!AP8-'Grid_Requirement'!AP8))</f>
        <v/>
      </c>
      <c r="AQ8">
        <f>IF(COUNTIFS(T_StockCount[Part Name],$A8,T_StockCount[WeekIndex],42)&gt;0,SUMIFS(T_StockCount[CountedQty],T_StockCount[Part Name],$A8,T_StockCount[WeekIndex],42),IF((('T_SelfStock'!AQ12&lt;&gt;""))*(('T_TTAFStock'!AQ12&lt;&gt;""))&gt;0,'T_SelfStock'!AQ12+'T_TTAFStock'!AQ12,AP8+'Grid_Incoming'!AQ8-'Grid_Requirement'!AQ8))</f>
        <v/>
      </c>
      <c r="AR8">
        <f>IF(COUNTIFS(T_StockCount[Part Name],$A8,T_StockCount[WeekIndex],43)&gt;0,SUMIFS(T_StockCount[CountedQty],T_StockCount[Part Name],$A8,T_StockCount[WeekIndex],43),IF((('T_SelfStock'!AR12&lt;&gt;""))*(('T_TTAFStock'!AR12&lt;&gt;""))&gt;0,'T_SelfStock'!AR12+'T_TTAFStock'!AR12,AQ8+'Grid_Incoming'!AR8-'Grid_Requirement'!AR8))</f>
        <v/>
      </c>
      <c r="AS8">
        <f>IF(COUNTIFS(T_StockCount[Part Name],$A8,T_StockCount[WeekIndex],44)&gt;0,SUMIFS(T_StockCount[CountedQty],T_StockCount[Part Name],$A8,T_StockCount[WeekIndex],44),IF((('T_SelfStock'!AS12&lt;&gt;""))*(('T_TTAFStock'!AS12&lt;&gt;""))&gt;0,'T_SelfStock'!AS12+'T_TTAFStock'!AS12,AR8+'Grid_Incoming'!AS8-'Grid_Requirement'!AS8))</f>
        <v/>
      </c>
      <c r="AT8">
        <f>IF(COUNTIFS(T_StockCount[Part Name],$A8,T_StockCount[WeekIndex],45)&gt;0,SUMIFS(T_StockCount[CountedQty],T_StockCount[Part Name],$A8,T_StockCount[WeekIndex],45),IF((('T_SelfStock'!AT12&lt;&gt;""))*(('T_TTAFStock'!AT12&lt;&gt;""))&gt;0,'T_SelfStock'!AT12+'T_TTAFStock'!AT12,AS8+'Grid_Incoming'!AT8-'Grid_Requirement'!AT8))</f>
        <v/>
      </c>
      <c r="AU8">
        <f>IF(COUNTIFS(T_StockCount[Part Name],$A8,T_StockCount[WeekIndex],46)&gt;0,SUMIFS(T_StockCount[CountedQty],T_StockCount[Part Name],$A8,T_StockCount[WeekIndex],46),IF((('T_SelfStock'!AU12&lt;&gt;""))*(('T_TTAFStock'!AU12&lt;&gt;""))&gt;0,'T_SelfStock'!AU12+'T_TTAFStock'!AU12,AT8+'Grid_Incoming'!AU8-'Grid_Requirement'!AU8))</f>
        <v/>
      </c>
      <c r="AV8">
        <f>IF(COUNTIFS(T_StockCount[Part Name],$A8,T_StockCount[WeekIndex],47)&gt;0,SUMIFS(T_StockCount[CountedQty],T_StockCount[Part Name],$A8,T_StockCount[WeekIndex],47),IF((('T_SelfStock'!AV12&lt;&gt;""))*(('T_TTAFStock'!AV12&lt;&gt;""))&gt;0,'T_SelfStock'!AV12+'T_TTAFStock'!AV12,AU8+'Grid_Incoming'!AV8-'Grid_Requirement'!AV8))</f>
        <v/>
      </c>
      <c r="AW8">
        <f>IF(COUNTIFS(T_StockCount[Part Name],$A8,T_StockCount[WeekIndex],48)&gt;0,SUMIFS(T_StockCount[CountedQty],T_StockCount[Part Name],$A8,T_StockCount[WeekIndex],48),IF((('T_SelfStock'!AW12&lt;&gt;""))*(('T_TTAFStock'!AW12&lt;&gt;""))&gt;0,'T_SelfStock'!AW12+'T_TTAFStock'!AW12,AV8+'Grid_Incoming'!AW8-'Grid_Requirement'!AW8))</f>
        <v/>
      </c>
      <c r="AX8">
        <f>IF(COUNTIFS(T_StockCount[Part Name],$A8,T_StockCount[WeekIndex],49)&gt;0,SUMIFS(T_StockCount[CountedQty],T_StockCount[Part Name],$A8,T_StockCount[WeekIndex],49),IF((('T_SelfStock'!AX12&lt;&gt;""))*(('T_TTAFStock'!AX12&lt;&gt;""))&gt;0,'T_SelfStock'!AX12+'T_TTAFStock'!AX12,AW8+'Grid_Incoming'!AX8-'Grid_Requirement'!AX8))</f>
        <v/>
      </c>
      <c r="AY8">
        <f>IF(COUNTIFS(T_StockCount[Part Name],$A8,T_StockCount[WeekIndex],50)&gt;0,SUMIFS(T_StockCount[CountedQty],T_StockCount[Part Name],$A8,T_StockCount[WeekIndex],50),IF((('T_SelfStock'!AY12&lt;&gt;""))*(('T_TTAFStock'!AY12&lt;&gt;""))&gt;0,'T_SelfStock'!AY12+'T_TTAFStock'!AY12,AX8+'Grid_Incoming'!AY8-'Grid_Requirement'!AY8))</f>
        <v/>
      </c>
      <c r="AZ8">
        <f>IF(COUNTIFS(T_StockCount[Part Name],$A8,T_StockCount[WeekIndex],51)&gt;0,SUMIFS(T_StockCount[CountedQty],T_StockCount[Part Name],$A8,T_StockCount[WeekIndex],51),IF((('T_SelfStock'!AZ12&lt;&gt;""))*(('T_TTAFStock'!AZ12&lt;&gt;""))&gt;0,'T_SelfStock'!AZ12+'T_TTAFStock'!AZ12,AY8+'Grid_Incoming'!AZ8-'Grid_Requirement'!AZ8))</f>
        <v/>
      </c>
      <c r="BA8">
        <f>IF(COUNTIFS(T_StockCount[Part Name],$A8,T_StockCount[WeekIndex],52)&gt;0,SUMIFS(T_StockCount[CountedQty],T_StockCount[Part Name],$A8,T_StockCount[WeekIndex],52),IF((('T_SelfStock'!BA12&lt;&gt;""))*(('T_TTAFStock'!BA12&lt;&gt;""))&gt;0,'T_SelfStock'!BA12+'T_TTAFStock'!BA12,AZ8+'Grid_Incoming'!BA8-'Grid_Requirement'!BA8))</f>
        <v/>
      </c>
      <c r="BB8">
        <f>IF(COUNTIFS(T_StockCount[Part Name],$A8,T_StockCount[WeekIndex],53)&gt;0,SUMIFS(T_StockCount[CountedQty],T_StockCount[Part Name],$A8,T_StockCount[WeekIndex],53),IF((('T_SelfStock'!BB12&lt;&gt;""))*(('T_TTAFStock'!BB12&lt;&gt;""))&gt;0,'T_SelfStock'!BB12+'T_TTAFStock'!BB12,BA8+'Grid_Incoming'!BB8-'Grid_Requirement'!BB8))</f>
        <v/>
      </c>
      <c r="BC8">
        <f>IF(COUNTIFS(T_StockCount[Part Name],$A8,T_StockCount[WeekIndex],54)&gt;0,SUMIFS(T_StockCount[CountedQty],T_StockCount[Part Name],$A8,T_StockCount[WeekIndex],54),IF((('T_SelfStock'!BC12&lt;&gt;""))*(('T_TTAFStock'!BC12&lt;&gt;""))&gt;0,'T_SelfStock'!BC12+'T_TTAFStock'!BC12,BB8+'Grid_Incoming'!BC8-'Grid_Requirement'!BC8))</f>
        <v/>
      </c>
      <c r="BD8">
        <f>IF(COUNTIFS(T_StockCount[Part Name],$A8,T_StockCount[WeekIndex],55)&gt;0,SUMIFS(T_StockCount[CountedQty],T_StockCount[Part Name],$A8,T_StockCount[WeekIndex],55),IF((('T_SelfStock'!BD12&lt;&gt;""))*(('T_TTAFStock'!BD12&lt;&gt;""))&gt;0,'T_SelfStock'!BD12+'T_TTAFStock'!BD12,BC8+'Grid_Incoming'!BD8-'Grid_Requirement'!BD8))</f>
        <v/>
      </c>
      <c r="BE8">
        <f>IF(COUNTIFS(T_StockCount[Part Name],$A8,T_StockCount[WeekIndex],56)&gt;0,SUMIFS(T_StockCount[CountedQty],T_StockCount[Part Name],$A8,T_StockCount[WeekIndex],56),IF((('T_SelfStock'!BE12&lt;&gt;""))*(('T_TTAFStock'!BE12&lt;&gt;""))&gt;0,'T_SelfStock'!BE12+'T_TTAFStock'!BE12,BD8+'Grid_Incoming'!BE8-'Grid_Requirement'!BE8))</f>
        <v/>
      </c>
      <c r="BF8">
        <f>IF(COUNTIFS(T_StockCount[Part Name],$A8,T_StockCount[WeekIndex],57)&gt;0,SUMIFS(T_StockCount[CountedQty],T_StockCount[Part Name],$A8,T_StockCount[WeekIndex],57),IF((('T_SelfStock'!BF12&lt;&gt;""))*(('T_TTAFStock'!BF12&lt;&gt;""))&gt;0,'T_SelfStock'!BF12+'T_TTAFStock'!BF12,BE8+'Grid_Incoming'!BF8-'Grid_Requirement'!BF8))</f>
        <v/>
      </c>
      <c r="BG8">
        <f>IF(COUNTIFS(T_StockCount[Part Name],$A8,T_StockCount[WeekIndex],58)&gt;0,SUMIFS(T_StockCount[CountedQty],T_StockCount[Part Name],$A8,T_StockCount[WeekIndex],58),IF((('T_SelfStock'!BG12&lt;&gt;""))*(('T_TTAFStock'!BG12&lt;&gt;""))&gt;0,'T_SelfStock'!BG12+'T_TTAFStock'!BG12,BF8+'Grid_Incoming'!BG8-'Grid_Requirement'!BG8))</f>
        <v/>
      </c>
      <c r="BH8">
        <f>IF(COUNTIFS(T_StockCount[Part Name],$A8,T_StockCount[WeekIndex],59)&gt;0,SUMIFS(T_StockCount[CountedQty],T_StockCount[Part Name],$A8,T_StockCount[WeekIndex],59),IF((('T_SelfStock'!BH12&lt;&gt;""))*(('T_TTAFStock'!BH12&lt;&gt;""))&gt;0,'T_SelfStock'!BH12+'T_TTAFStock'!BH12,BG8+'Grid_Incoming'!BH8-'Grid_Requirement'!BH8))</f>
        <v/>
      </c>
      <c r="BI8">
        <f>IF(COUNTIFS(T_StockCount[Part Name],$A8,T_StockCount[WeekIndex],60)&gt;0,SUMIFS(T_StockCount[CountedQty],T_StockCount[Part Name],$A8,T_StockCount[WeekIndex],60),IF((('T_SelfStock'!BI12&lt;&gt;""))*(('T_TTAFStock'!BI12&lt;&gt;""))&gt;0,'T_SelfStock'!BI12+'T_TTAFStock'!BI12,BH8+'Grid_Incoming'!BI8-'Grid_Requirement'!BI8))</f>
        <v/>
      </c>
      <c r="BJ8">
        <f>IF(COUNTIFS(T_StockCount[Part Name],$A8,T_StockCount[WeekIndex],61)&gt;0,SUMIFS(T_StockCount[CountedQty],T_StockCount[Part Name],$A8,T_StockCount[WeekIndex],61),IF((('T_SelfStock'!BJ12&lt;&gt;""))*(('T_TTAFStock'!BJ12&lt;&gt;""))&gt;0,'T_SelfStock'!BJ12+'T_TTAFStock'!BJ12,BI8+'Grid_Incoming'!BJ8-'Grid_Requirement'!BJ8))</f>
        <v/>
      </c>
      <c r="BK8">
        <f>IF(COUNTIFS(T_StockCount[Part Name],$A8,T_StockCount[WeekIndex],62)&gt;0,SUMIFS(T_StockCount[CountedQty],T_StockCount[Part Name],$A8,T_StockCount[WeekIndex],62),IF((('T_SelfStock'!BK12&lt;&gt;""))*(('T_TTAFStock'!BK12&lt;&gt;""))&gt;0,'T_SelfStock'!BK12+'T_TTAFStock'!BK12,BJ8+'Grid_Incoming'!BK8-'Grid_Requirement'!BK8))</f>
        <v/>
      </c>
      <c r="BL8">
        <f>IF(COUNTIFS(T_StockCount[Part Name],$A8,T_StockCount[WeekIndex],63)&gt;0,SUMIFS(T_StockCount[CountedQty],T_StockCount[Part Name],$A8,T_StockCount[WeekIndex],63),IF((('T_SelfStock'!BL12&lt;&gt;""))*(('T_TTAFStock'!BL12&lt;&gt;""))&gt;0,'T_SelfStock'!BL12+'T_TTAFStock'!BL12,BK8+'Grid_Incoming'!BL8-'Grid_Requirement'!BL8))</f>
        <v/>
      </c>
      <c r="BM8">
        <f>IF(COUNTIFS(T_StockCount[Part Name],$A8,T_StockCount[WeekIndex],64)&gt;0,SUMIFS(T_StockCount[CountedQty],T_StockCount[Part Name],$A8,T_StockCount[WeekIndex],64),IF((('T_SelfStock'!BM12&lt;&gt;""))*(('T_TTAFStock'!BM12&lt;&gt;""))&gt;0,'T_SelfStock'!BM12+'T_TTAFStock'!BM12,BL8+'Grid_Incoming'!BM8-'Grid_Requirement'!BM8))</f>
        <v/>
      </c>
      <c r="BN8">
        <f>IF(COUNTIFS(T_StockCount[Part Name],$A8,T_StockCount[WeekIndex],65)&gt;0,SUMIFS(T_StockCount[CountedQty],T_StockCount[Part Name],$A8,T_StockCount[WeekIndex],65),IF((('T_SelfStock'!BN12&lt;&gt;""))*(('T_TTAFStock'!BN12&lt;&gt;""))&gt;0,'T_SelfStock'!BN12+'T_TTAFStock'!BN12,BM8+'Grid_Incoming'!BN8-'Grid_Requirement'!BN8))</f>
        <v/>
      </c>
      <c r="BO8">
        <f>IF(COUNTIFS(T_StockCount[Part Name],$A8,T_StockCount[WeekIndex],66)&gt;0,SUMIFS(T_StockCount[CountedQty],T_StockCount[Part Name],$A8,T_StockCount[WeekIndex],66),IF((('T_SelfStock'!BO12&lt;&gt;""))*(('T_TTAFStock'!BO12&lt;&gt;""))&gt;0,'T_SelfStock'!BO12+'T_TTAFStock'!BO12,BN8+'Grid_Incoming'!BO8-'Grid_Requirement'!BO8))</f>
        <v/>
      </c>
      <c r="BP8">
        <f>IF(COUNTIFS(T_StockCount[Part Name],$A8,T_StockCount[WeekIndex],67)&gt;0,SUMIFS(T_StockCount[CountedQty],T_StockCount[Part Name],$A8,T_StockCount[WeekIndex],67),IF((('T_SelfStock'!BP12&lt;&gt;""))*(('T_TTAFStock'!BP12&lt;&gt;""))&gt;0,'T_SelfStock'!BP12+'T_TTAFStock'!BP12,BO8+'Grid_Incoming'!BP8-'Grid_Requirement'!BP8))</f>
        <v/>
      </c>
      <c r="BQ8">
        <f>IF(COUNTIFS(T_StockCount[Part Name],$A8,T_StockCount[WeekIndex],68)&gt;0,SUMIFS(T_StockCount[CountedQty],T_StockCount[Part Name],$A8,T_StockCount[WeekIndex],68),IF((('T_SelfStock'!BQ12&lt;&gt;""))*(('T_TTAFStock'!BQ12&lt;&gt;""))&gt;0,'T_SelfStock'!BQ12+'T_TTAFStock'!BQ12,BP8+'Grid_Incoming'!BQ8-'Grid_Requirement'!BQ8))</f>
        <v/>
      </c>
      <c r="BR8">
        <f>IF(COUNTIFS(T_StockCount[Part Name],$A8,T_StockCount[WeekIndex],69)&gt;0,SUMIFS(T_StockCount[CountedQty],T_StockCount[Part Name],$A8,T_StockCount[WeekIndex],69),IF((('T_SelfStock'!BR12&lt;&gt;""))*(('T_TTAFStock'!BR12&lt;&gt;""))&gt;0,'T_SelfStock'!BR12+'T_TTAFStock'!BR12,BQ8+'Grid_Incoming'!BR8-'Grid_Requirement'!BR8))</f>
        <v/>
      </c>
      <c r="BS8">
        <f>IF(COUNTIFS(T_StockCount[Part Name],$A8,T_StockCount[WeekIndex],70)&gt;0,SUMIFS(T_StockCount[CountedQty],T_StockCount[Part Name],$A8,T_StockCount[WeekIndex],70),IF((('T_SelfStock'!BS12&lt;&gt;""))*(('T_TTAFStock'!BS12&lt;&gt;""))&gt;0,'T_SelfStock'!BS12+'T_TTAFStock'!BS12,BR8+'Grid_Incoming'!BS8-'Grid_Requirement'!BS8))</f>
        <v/>
      </c>
      <c r="BT8">
        <f>IF(COUNTIFS(T_StockCount[Part Name],$A8,T_StockCount[WeekIndex],71)&gt;0,SUMIFS(T_StockCount[CountedQty],T_StockCount[Part Name],$A8,T_StockCount[WeekIndex],71),IF((('T_SelfStock'!BT12&lt;&gt;""))*(('T_TTAFStock'!BT12&lt;&gt;""))&gt;0,'T_SelfStock'!BT12+'T_TTAFStock'!BT12,BS8+'Grid_Incoming'!BT8-'Grid_Requirement'!BT8))</f>
        <v/>
      </c>
      <c r="BU8">
        <f>IF(COUNTIFS(T_StockCount[Part Name],$A8,T_StockCount[WeekIndex],72)&gt;0,SUMIFS(T_StockCount[CountedQty],T_StockCount[Part Name],$A8,T_StockCount[WeekIndex],72),IF((('T_SelfStock'!BU12&lt;&gt;""))*(('T_TTAFStock'!BU12&lt;&gt;""))&gt;0,'T_SelfStock'!BU12+'T_TTAFStock'!BU12,BT8+'Grid_Incoming'!BU8-'Grid_Requirement'!BU8))</f>
        <v/>
      </c>
      <c r="BV8">
        <f>IF(COUNTIFS(T_StockCount[Part Name],$A8,T_StockCount[WeekIndex],73)&gt;0,SUMIFS(T_StockCount[CountedQty],T_StockCount[Part Name],$A8,T_StockCount[WeekIndex],73),IF((('T_SelfStock'!BV12&lt;&gt;""))*(('T_TTAFStock'!BV12&lt;&gt;""))&gt;0,'T_SelfStock'!BV12+'T_TTAFStock'!BV12,BU8+'Grid_Incoming'!BV8-'Grid_Requirement'!BV8))</f>
        <v/>
      </c>
      <c r="BW8">
        <f>IF(COUNTIFS(T_StockCount[Part Name],$A8,T_StockCount[WeekIndex],74)&gt;0,SUMIFS(T_StockCount[CountedQty],T_StockCount[Part Name],$A8,T_StockCount[WeekIndex],74),IF((('T_SelfStock'!BW12&lt;&gt;""))*(('T_TTAFStock'!BW12&lt;&gt;""))&gt;0,'T_SelfStock'!BW12+'T_TTAFStock'!BW12,BV8+'Grid_Incoming'!BW8-'Grid_Requirement'!BW8))</f>
        <v/>
      </c>
      <c r="BX8">
        <f>IF(COUNTIFS(T_StockCount[Part Name],$A8,T_StockCount[WeekIndex],75)&gt;0,SUMIFS(T_StockCount[CountedQty],T_StockCount[Part Name],$A8,T_StockCount[WeekIndex],75),IF((('T_SelfStock'!BX12&lt;&gt;""))*(('T_TTAFStock'!BX12&lt;&gt;""))&gt;0,'T_SelfStock'!BX12+'T_TTAFStock'!BX12,BW8+'Grid_Incoming'!BX8-'Grid_Requirement'!BX8))</f>
        <v/>
      </c>
      <c r="BY8">
        <f>IF(COUNTIFS(T_StockCount[Part Name],$A8,T_StockCount[WeekIndex],76)&gt;0,SUMIFS(T_StockCount[CountedQty],T_StockCount[Part Name],$A8,T_StockCount[WeekIndex],76),IF((('T_SelfStock'!BY12&lt;&gt;""))*(('T_TTAFStock'!BY12&lt;&gt;""))&gt;0,'T_SelfStock'!BY12+'T_TTAFStock'!BY12,BX8+'Grid_Incoming'!BY8-'Grid_Requirement'!BY8))</f>
        <v/>
      </c>
      <c r="BZ8">
        <f>IF(COUNTIFS(T_StockCount[Part Name],$A8,T_StockCount[WeekIndex],77)&gt;0,SUMIFS(T_StockCount[CountedQty],T_StockCount[Part Name],$A8,T_StockCount[WeekIndex],77),IF((('T_SelfStock'!BZ12&lt;&gt;""))*(('T_TTAFStock'!BZ12&lt;&gt;""))&gt;0,'T_SelfStock'!BZ12+'T_TTAFStock'!BZ12,BY8+'Grid_Incoming'!BZ8-'Grid_Requirement'!BZ8))</f>
        <v/>
      </c>
      <c r="CA8">
        <f>IF(COUNTIFS(T_StockCount[Part Name],$A8,T_StockCount[WeekIndex],78)&gt;0,SUMIFS(T_StockCount[CountedQty],T_StockCount[Part Name],$A8,T_StockCount[WeekIndex],78),IF((('T_SelfStock'!CA12&lt;&gt;""))*(('T_TTAFStock'!CA12&lt;&gt;""))&gt;0,'T_SelfStock'!CA12+'T_TTAFStock'!CA12,BZ8+'Grid_Incoming'!CA8-'Grid_Requirement'!CA8))</f>
        <v/>
      </c>
      <c r="CB8">
        <f>IF(COUNTIFS(T_StockCount[Part Name],$A8,T_StockCount[WeekIndex],79)&gt;0,SUMIFS(T_StockCount[CountedQty],T_StockCount[Part Name],$A8,T_StockCount[WeekIndex],79),IF((('T_SelfStock'!CB12&lt;&gt;""))*(('T_TTAFStock'!CB12&lt;&gt;""))&gt;0,'T_SelfStock'!CB12+'T_TTAFStock'!CB12,CA8+'Grid_Incoming'!CB8-'Grid_Requirement'!CB8))</f>
        <v/>
      </c>
      <c r="CC8">
        <f>IF(COUNTIFS(T_StockCount[Part Name],$A8,T_StockCount[WeekIndex],80)&gt;0,SUMIFS(T_StockCount[CountedQty],T_StockCount[Part Name],$A8,T_StockCount[WeekIndex],80),IF((('T_SelfStock'!CC12&lt;&gt;""))*(('T_TTAFStock'!CC12&lt;&gt;""))&gt;0,'T_SelfStock'!CC12+'T_TTAFStock'!CC12,CB8+'Grid_Incoming'!CC8-'Grid_Requirement'!CC8))</f>
        <v/>
      </c>
      <c r="CD8">
        <f>IF(COUNTIFS(T_StockCount[Part Name],$A8,T_StockCount[WeekIndex],81)&gt;0,SUMIFS(T_StockCount[CountedQty],T_StockCount[Part Name],$A8,T_StockCount[WeekIndex],81),IF((('T_SelfStock'!CD12&lt;&gt;""))*(('T_TTAFStock'!CD12&lt;&gt;""))&gt;0,'T_SelfStock'!CD12+'T_TTAFStock'!CD12,CC8+'Grid_Incoming'!CD8-'Grid_Requirement'!CD8))</f>
        <v/>
      </c>
      <c r="CE8">
        <f>IF(COUNTIFS(T_StockCount[Part Name],$A8,T_StockCount[WeekIndex],82)&gt;0,SUMIFS(T_StockCount[CountedQty],T_StockCount[Part Name],$A8,T_StockCount[WeekIndex],82),IF((('T_SelfStock'!CE12&lt;&gt;""))*(('T_TTAFStock'!CE12&lt;&gt;""))&gt;0,'T_SelfStock'!CE12+'T_TTAFStock'!CE12,CD8+'Grid_Incoming'!CE8-'Grid_Requirement'!CE8))</f>
        <v/>
      </c>
      <c r="CF8">
        <f>IF(COUNTIFS(T_StockCount[Part Name],$A8,T_StockCount[WeekIndex],83)&gt;0,SUMIFS(T_StockCount[CountedQty],T_StockCount[Part Name],$A8,T_StockCount[WeekIndex],83),IF((('T_SelfStock'!CF12&lt;&gt;""))*(('T_TTAFStock'!CF12&lt;&gt;""))&gt;0,'T_SelfStock'!CF12+'T_TTAFStock'!CF12,CE8+'Grid_Incoming'!CF8-'Grid_Requirement'!CF8))</f>
        <v/>
      </c>
      <c r="CG8">
        <f>IF(COUNTIFS(T_StockCount[Part Name],$A8,T_StockCount[WeekIndex],84)&gt;0,SUMIFS(T_StockCount[CountedQty],T_StockCount[Part Name],$A8,T_StockCount[WeekIndex],84),IF((('T_SelfStock'!CG12&lt;&gt;""))*(('T_TTAFStock'!CG12&lt;&gt;""))&gt;0,'T_SelfStock'!CG12+'T_TTAFStock'!CG12,CF8+'Grid_Incoming'!CG8-'Grid_Requirement'!CG8))</f>
        <v/>
      </c>
      <c r="CH8">
        <f>IF(COUNTIFS(T_StockCount[Part Name],$A8,T_StockCount[WeekIndex],85)&gt;0,SUMIFS(T_StockCount[CountedQty],T_StockCount[Part Name],$A8,T_StockCount[WeekIndex],85),IF((('T_SelfStock'!CH12&lt;&gt;""))*(('T_TTAFStock'!CH12&lt;&gt;""))&gt;0,'T_SelfStock'!CH12+'T_TTAFStock'!CH12,CG8+'Grid_Incoming'!CH8-'Grid_Requirement'!CH8))</f>
        <v/>
      </c>
      <c r="CI8">
        <f>IF(COUNTIFS(T_StockCount[Part Name],$A8,T_StockCount[WeekIndex],86)&gt;0,SUMIFS(T_StockCount[CountedQty],T_StockCount[Part Name],$A8,T_StockCount[WeekIndex],86),IF((('T_SelfStock'!CI12&lt;&gt;""))*(('T_TTAFStock'!CI12&lt;&gt;""))&gt;0,'T_SelfStock'!CI12+'T_TTAFStock'!CI12,CH8+'Grid_Incoming'!CI8-'Grid_Requirement'!CI8))</f>
        <v/>
      </c>
      <c r="CJ8">
        <f>IF(COUNTIFS(T_StockCount[Part Name],$A8,T_StockCount[WeekIndex],87)&gt;0,SUMIFS(T_StockCount[CountedQty],T_StockCount[Part Name],$A8,T_StockCount[WeekIndex],87),IF((('T_SelfStock'!CJ12&lt;&gt;""))*(('T_TTAFStock'!CJ12&lt;&gt;""))&gt;0,'T_SelfStock'!CJ12+'T_TTAFStock'!CJ12,CI8+'Grid_Incoming'!CJ8-'Grid_Requirement'!CJ8))</f>
        <v/>
      </c>
      <c r="CK8">
        <f>IF(COUNTIFS(T_StockCount[Part Name],$A8,T_StockCount[WeekIndex],88)&gt;0,SUMIFS(T_StockCount[CountedQty],T_StockCount[Part Name],$A8,T_StockCount[WeekIndex],88),IF((('T_SelfStock'!CK12&lt;&gt;""))*(('T_TTAFStock'!CK12&lt;&gt;""))&gt;0,'T_SelfStock'!CK12+'T_TTAFStock'!CK12,CJ8+'Grid_Incoming'!CK8-'Grid_Requirement'!CK8))</f>
        <v/>
      </c>
      <c r="CL8">
        <f>IF(COUNTIFS(T_StockCount[Part Name],$A8,T_StockCount[WeekIndex],89)&gt;0,SUMIFS(T_StockCount[CountedQty],T_StockCount[Part Name],$A8,T_StockCount[WeekIndex],89),IF((('T_SelfStock'!CL12&lt;&gt;""))*(('T_TTAFStock'!CL12&lt;&gt;""))&gt;0,'T_SelfStock'!CL12+'T_TTAFStock'!CL12,CK8+'Grid_Incoming'!CL8-'Grid_Requirement'!CL8))</f>
        <v/>
      </c>
      <c r="CM8">
        <f>IF(COUNTIFS(T_StockCount[Part Name],$A8,T_StockCount[WeekIndex],90)&gt;0,SUMIFS(T_StockCount[CountedQty],T_StockCount[Part Name],$A8,T_StockCount[WeekIndex],90),IF((('T_SelfStock'!CM12&lt;&gt;""))*(('T_TTAFStock'!CM12&lt;&gt;""))&gt;0,'T_SelfStock'!CM12+'T_TTAFStock'!CM12,CL8+'Grid_Incoming'!CM8-'Grid_Requirement'!CM8))</f>
        <v/>
      </c>
      <c r="CN8">
        <f>IF(COUNTIFS(T_StockCount[Part Name],$A8,T_StockCount[WeekIndex],91)&gt;0,SUMIFS(T_StockCount[CountedQty],T_StockCount[Part Name],$A8,T_StockCount[WeekIndex],91),IF((('T_SelfStock'!CN12&lt;&gt;""))*(('T_TTAFStock'!CN12&lt;&gt;""))&gt;0,'T_SelfStock'!CN12+'T_TTAFStock'!CN12,CM8+'Grid_Incoming'!CN8-'Grid_Requirement'!CN8))</f>
        <v/>
      </c>
      <c r="CO8">
        <f>IF(COUNTIFS(T_StockCount[Part Name],$A8,T_StockCount[WeekIndex],92)&gt;0,SUMIFS(T_StockCount[CountedQty],T_StockCount[Part Name],$A8,T_StockCount[WeekIndex],92),IF((('T_SelfStock'!CO12&lt;&gt;""))*(('T_TTAFStock'!CO12&lt;&gt;""))&gt;0,'T_SelfStock'!CO12+'T_TTAFStock'!CO12,CN8+'Grid_Incoming'!CO8-'Grid_Requirement'!CO8))</f>
        <v/>
      </c>
      <c r="CP8">
        <f>IF(COUNTIFS(T_StockCount[Part Name],$A8,T_StockCount[WeekIndex],93)&gt;0,SUMIFS(T_StockCount[CountedQty],T_StockCount[Part Name],$A8,T_StockCount[WeekIndex],93),IF((('T_SelfStock'!CP12&lt;&gt;""))*(('T_TTAFStock'!CP12&lt;&gt;""))&gt;0,'T_SelfStock'!CP12+'T_TTAFStock'!CP12,CO8+'Grid_Incoming'!CP8-'Grid_Requirement'!CP8))</f>
        <v/>
      </c>
      <c r="CQ8">
        <f>IF(COUNTIFS(T_StockCount[Part Name],$A8,T_StockCount[WeekIndex],94)&gt;0,SUMIFS(T_StockCount[CountedQty],T_StockCount[Part Name],$A8,T_StockCount[WeekIndex],94),IF((('T_SelfStock'!CQ12&lt;&gt;""))*(('T_TTAFStock'!CQ12&lt;&gt;""))&gt;0,'T_SelfStock'!CQ12+'T_TTAFStock'!CQ12,CP8+'Grid_Incoming'!CQ8-'Grid_Requirement'!CQ8))</f>
        <v/>
      </c>
      <c r="CR8">
        <f>IF(COUNTIFS(T_StockCount[Part Name],$A8,T_StockCount[WeekIndex],95)&gt;0,SUMIFS(T_StockCount[CountedQty],T_StockCount[Part Name],$A8,T_StockCount[WeekIndex],95),IF((('T_SelfStock'!CR12&lt;&gt;""))*(('T_TTAFStock'!CR12&lt;&gt;""))&gt;0,'T_SelfStock'!CR12+'T_TTAFStock'!CR12,CQ8+'Grid_Incoming'!CR8-'Grid_Requirement'!CR8))</f>
        <v/>
      </c>
      <c r="CS8">
        <f>IF(COUNTIFS(T_StockCount[Part Name],$A8,T_StockCount[WeekIndex],96)&gt;0,SUMIFS(T_StockCount[CountedQty],T_StockCount[Part Name],$A8,T_StockCount[WeekIndex],96),IF((('T_SelfStock'!CS12&lt;&gt;""))*(('T_TTAFStock'!CS12&lt;&gt;""))&gt;0,'T_SelfStock'!CS12+'T_TTAFStock'!CS12,CR8+'Grid_Incoming'!CS8-'Grid_Requirement'!CS8))</f>
        <v/>
      </c>
      <c r="CT8">
        <f>IF(COUNTIFS(T_StockCount[Part Name],$A8,T_StockCount[WeekIndex],97)&gt;0,SUMIFS(T_StockCount[CountedQty],T_StockCount[Part Name],$A8,T_StockCount[WeekIndex],97),IF((('T_SelfStock'!CT12&lt;&gt;""))*(('T_TTAFStock'!CT12&lt;&gt;""))&gt;0,'T_SelfStock'!CT12+'T_TTAFStock'!CT12,CS8+'Grid_Incoming'!CT8-'Grid_Requirement'!CT8))</f>
        <v/>
      </c>
      <c r="CU8">
        <f>IF(COUNTIFS(T_StockCount[Part Name],$A8,T_StockCount[WeekIndex],98)&gt;0,SUMIFS(T_StockCount[CountedQty],T_StockCount[Part Name],$A8,T_StockCount[WeekIndex],98),IF((('T_SelfStock'!CU12&lt;&gt;""))*(('T_TTAFStock'!CU12&lt;&gt;""))&gt;0,'T_SelfStock'!CU12+'T_TTAFStock'!CU12,CT8+'Grid_Incoming'!CU8-'Grid_Requirement'!CU8))</f>
        <v/>
      </c>
      <c r="CV8">
        <f>IF(COUNTIFS(T_StockCount[Part Name],$A8,T_StockCount[WeekIndex],99)&gt;0,SUMIFS(T_StockCount[CountedQty],T_StockCount[Part Name],$A8,T_StockCount[WeekIndex],99),IF((('T_SelfStock'!CV12&lt;&gt;""))*(('T_TTAFStock'!CV12&lt;&gt;""))&gt;0,'T_SelfStock'!CV12+'T_TTAFStock'!CV12,CU8+'Grid_Incoming'!CV8-'Grid_Requirement'!CV8))</f>
        <v/>
      </c>
      <c r="CW8">
        <f>IF(COUNTIFS(T_StockCount[Part Name],$A8,T_StockCount[WeekIndex],100)&gt;0,SUMIFS(T_StockCount[CountedQty],T_StockCount[Part Name],$A8,T_StockCount[WeekIndex],100),IF((('T_SelfStock'!CW12&lt;&gt;""))*(('T_TTAFStock'!CW12&lt;&gt;""))&gt;0,'T_SelfStock'!CW12+'T_TTAFStock'!CW12,CV8+'Grid_Incoming'!CW8-'Grid_Requirement'!CW8))</f>
        <v/>
      </c>
      <c r="CX8">
        <f>IF(COUNTIFS(T_StockCount[Part Name],$A8,T_StockCount[WeekIndex],101)&gt;0,SUMIFS(T_StockCount[CountedQty],T_StockCount[Part Name],$A8,T_StockCount[WeekIndex],101),IF((('T_SelfStock'!CX12&lt;&gt;""))*(('T_TTAFStock'!CX12&lt;&gt;""))&gt;0,'T_SelfStock'!CX12+'T_TTAFStock'!CX12,CW8+'Grid_Incoming'!CX8-'Grid_Requirement'!CX8))</f>
        <v/>
      </c>
      <c r="CY8">
        <f>IF(COUNTIFS(T_StockCount[Part Name],$A8,T_StockCount[WeekIndex],102)&gt;0,SUMIFS(T_StockCount[CountedQty],T_StockCount[Part Name],$A8,T_StockCount[WeekIndex],102),IF((('T_SelfStock'!CY12&lt;&gt;""))*(('T_TTAFStock'!CY12&lt;&gt;""))&gt;0,'T_SelfStock'!CY12+'T_TTAFStock'!CY12,CX8+'Grid_Incoming'!CY8-'Grid_Requirement'!CY8))</f>
        <v/>
      </c>
      <c r="CZ8">
        <f>IF(COUNTIFS(T_StockCount[Part Name],$A8,T_StockCount[WeekIndex],103)&gt;0,SUMIFS(T_StockCount[CountedQty],T_StockCount[Part Name],$A8,T_StockCount[WeekIndex],103),IF((('T_SelfStock'!CZ12&lt;&gt;""))*(('T_TTAFStock'!CZ12&lt;&gt;""))&gt;0,'T_SelfStock'!CZ12+'T_TTAFStock'!CZ12,CY8+'Grid_Incoming'!CZ8-'Grid_Requirement'!CZ8))</f>
        <v/>
      </c>
      <c r="DA8">
        <f>IF(COUNTIFS(T_StockCount[Part Name],$A8,T_StockCount[WeekIndex],104)&gt;0,SUMIFS(T_StockCount[CountedQty],T_StockCount[Part Name],$A8,T_StockCount[WeekIndex],104),IF((('T_SelfStock'!DA12&lt;&gt;""))*(('T_TTAFStock'!DA12&lt;&gt;""))&gt;0,'T_SelfStock'!DA12+'T_TTAFStock'!DA12,CZ8+'Grid_Incoming'!DA8-'Grid_Requirement'!DA8))</f>
        <v/>
      </c>
    </row>
    <row r="9">
      <c r="A9" t="inlineStr">
        <is>
          <t>3TP</t>
        </is>
      </c>
      <c r="B9">
        <f>IF(COUNTIFS(T_StockCount[Part Name],$A9,T_StockCount[WeekIndex],1)&gt;0,SUMIFS(T_StockCount[CountedQty],T_StockCount[Part Name],$A9,T_StockCount[WeekIndex],1),IF((('T_SelfStock'!B13&lt;&gt;""))*(('T_TTAFStock'!B13&lt;&gt;""))&gt;0,'T_SelfStock'!B13+'T_TTAFStock'!B13,IFERROR(INDEX(T_OpeningStock[Opening_Qty_要入力],MATCH($A9,T_OpeningStock[Part Name],0)),0)+'Grid_Incoming'!B9-'Grid_Requirement'!B9))</f>
        <v/>
      </c>
      <c r="C9">
        <f>IF(COUNTIFS(T_StockCount[Part Name],$A9,T_StockCount[WeekIndex],2)&gt;0,SUMIFS(T_StockCount[CountedQty],T_StockCount[Part Name],$A9,T_StockCount[WeekIndex],2),IF((('T_SelfStock'!C13&lt;&gt;""))*(('T_TTAFStock'!C13&lt;&gt;""))&gt;0,'T_SelfStock'!C13+'T_TTAFStock'!C13,B9+'Grid_Incoming'!C9-'Grid_Requirement'!C9))</f>
        <v/>
      </c>
      <c r="D9">
        <f>IF(COUNTIFS(T_StockCount[Part Name],$A9,T_StockCount[WeekIndex],3)&gt;0,SUMIFS(T_StockCount[CountedQty],T_StockCount[Part Name],$A9,T_StockCount[WeekIndex],3),IF((('T_SelfStock'!D13&lt;&gt;""))*(('T_TTAFStock'!D13&lt;&gt;""))&gt;0,'T_SelfStock'!D13+'T_TTAFStock'!D13,C9+'Grid_Incoming'!D9-'Grid_Requirement'!D9))</f>
        <v/>
      </c>
      <c r="E9">
        <f>IF(COUNTIFS(T_StockCount[Part Name],$A9,T_StockCount[WeekIndex],4)&gt;0,SUMIFS(T_StockCount[CountedQty],T_StockCount[Part Name],$A9,T_StockCount[WeekIndex],4),IF((('T_SelfStock'!E13&lt;&gt;""))*(('T_TTAFStock'!E13&lt;&gt;""))&gt;0,'T_SelfStock'!E13+'T_TTAFStock'!E13,D9+'Grid_Incoming'!E9-'Grid_Requirement'!E9))</f>
        <v/>
      </c>
      <c r="F9">
        <f>IF(COUNTIFS(T_StockCount[Part Name],$A9,T_StockCount[WeekIndex],5)&gt;0,SUMIFS(T_StockCount[CountedQty],T_StockCount[Part Name],$A9,T_StockCount[WeekIndex],5),IF((('T_SelfStock'!F13&lt;&gt;""))*(('T_TTAFStock'!F13&lt;&gt;""))&gt;0,'T_SelfStock'!F13+'T_TTAFStock'!F13,E9+'Grid_Incoming'!F9-'Grid_Requirement'!F9))</f>
        <v/>
      </c>
      <c r="G9">
        <f>IF(COUNTIFS(T_StockCount[Part Name],$A9,T_StockCount[WeekIndex],6)&gt;0,SUMIFS(T_StockCount[CountedQty],T_StockCount[Part Name],$A9,T_StockCount[WeekIndex],6),IF((('T_SelfStock'!G13&lt;&gt;""))*(('T_TTAFStock'!G13&lt;&gt;""))&gt;0,'T_SelfStock'!G13+'T_TTAFStock'!G13,F9+'Grid_Incoming'!G9-'Grid_Requirement'!G9))</f>
        <v/>
      </c>
      <c r="H9">
        <f>IF(COUNTIFS(T_StockCount[Part Name],$A9,T_StockCount[WeekIndex],7)&gt;0,SUMIFS(T_StockCount[CountedQty],T_StockCount[Part Name],$A9,T_StockCount[WeekIndex],7),IF((('T_SelfStock'!H13&lt;&gt;""))*(('T_TTAFStock'!H13&lt;&gt;""))&gt;0,'T_SelfStock'!H13+'T_TTAFStock'!H13,G9+'Grid_Incoming'!H9-'Grid_Requirement'!H9))</f>
        <v/>
      </c>
      <c r="I9">
        <f>IF(COUNTIFS(T_StockCount[Part Name],$A9,T_StockCount[WeekIndex],8)&gt;0,SUMIFS(T_StockCount[CountedQty],T_StockCount[Part Name],$A9,T_StockCount[WeekIndex],8),IF((('T_SelfStock'!I13&lt;&gt;""))*(('T_TTAFStock'!I13&lt;&gt;""))&gt;0,'T_SelfStock'!I13+'T_TTAFStock'!I13,H9+'Grid_Incoming'!I9-'Grid_Requirement'!I9))</f>
        <v/>
      </c>
      <c r="J9">
        <f>IF(COUNTIFS(T_StockCount[Part Name],$A9,T_StockCount[WeekIndex],9)&gt;0,SUMIFS(T_StockCount[CountedQty],T_StockCount[Part Name],$A9,T_StockCount[WeekIndex],9),IF((('T_SelfStock'!J13&lt;&gt;""))*(('T_TTAFStock'!J13&lt;&gt;""))&gt;0,'T_SelfStock'!J13+'T_TTAFStock'!J13,I9+'Grid_Incoming'!J9-'Grid_Requirement'!J9))</f>
        <v/>
      </c>
      <c r="K9">
        <f>IF(COUNTIFS(T_StockCount[Part Name],$A9,T_StockCount[WeekIndex],10)&gt;0,SUMIFS(T_StockCount[CountedQty],T_StockCount[Part Name],$A9,T_StockCount[WeekIndex],10),IF((('T_SelfStock'!K13&lt;&gt;""))*(('T_TTAFStock'!K13&lt;&gt;""))&gt;0,'T_SelfStock'!K13+'T_TTAFStock'!K13,J9+'Grid_Incoming'!K9-'Grid_Requirement'!K9))</f>
        <v/>
      </c>
      <c r="L9">
        <f>IF(COUNTIFS(T_StockCount[Part Name],$A9,T_StockCount[WeekIndex],11)&gt;0,SUMIFS(T_StockCount[CountedQty],T_StockCount[Part Name],$A9,T_StockCount[WeekIndex],11),IF((('T_SelfStock'!L13&lt;&gt;""))*(('T_TTAFStock'!L13&lt;&gt;""))&gt;0,'T_SelfStock'!L13+'T_TTAFStock'!L13,K9+'Grid_Incoming'!L9-'Grid_Requirement'!L9))</f>
        <v/>
      </c>
      <c r="M9">
        <f>IF(COUNTIFS(T_StockCount[Part Name],$A9,T_StockCount[WeekIndex],12)&gt;0,SUMIFS(T_StockCount[CountedQty],T_StockCount[Part Name],$A9,T_StockCount[WeekIndex],12),IF((('T_SelfStock'!M13&lt;&gt;""))*(('T_TTAFStock'!M13&lt;&gt;""))&gt;0,'T_SelfStock'!M13+'T_TTAFStock'!M13,L9+'Grid_Incoming'!M9-'Grid_Requirement'!M9))</f>
        <v/>
      </c>
      <c r="N9">
        <f>IF(COUNTIFS(T_StockCount[Part Name],$A9,T_StockCount[WeekIndex],13)&gt;0,SUMIFS(T_StockCount[CountedQty],T_StockCount[Part Name],$A9,T_StockCount[WeekIndex],13),IF((('T_SelfStock'!N13&lt;&gt;""))*(('T_TTAFStock'!N13&lt;&gt;""))&gt;0,'T_SelfStock'!N13+'T_TTAFStock'!N13,M9+'Grid_Incoming'!N9-'Grid_Requirement'!N9))</f>
        <v/>
      </c>
      <c r="O9">
        <f>IF(COUNTIFS(T_StockCount[Part Name],$A9,T_StockCount[WeekIndex],14)&gt;0,SUMIFS(T_StockCount[CountedQty],T_StockCount[Part Name],$A9,T_StockCount[WeekIndex],14),IF((('T_SelfStock'!O13&lt;&gt;""))*(('T_TTAFStock'!O13&lt;&gt;""))&gt;0,'T_SelfStock'!O13+'T_TTAFStock'!O13,N9+'Grid_Incoming'!O9-'Grid_Requirement'!O9))</f>
        <v/>
      </c>
      <c r="P9">
        <f>IF(COUNTIFS(T_StockCount[Part Name],$A9,T_StockCount[WeekIndex],15)&gt;0,SUMIFS(T_StockCount[CountedQty],T_StockCount[Part Name],$A9,T_StockCount[WeekIndex],15),IF((('T_SelfStock'!P13&lt;&gt;""))*(('T_TTAFStock'!P13&lt;&gt;""))&gt;0,'T_SelfStock'!P13+'T_TTAFStock'!P13,O9+'Grid_Incoming'!P9-'Grid_Requirement'!P9))</f>
        <v/>
      </c>
      <c r="Q9">
        <f>IF(COUNTIFS(T_StockCount[Part Name],$A9,T_StockCount[WeekIndex],16)&gt;0,SUMIFS(T_StockCount[CountedQty],T_StockCount[Part Name],$A9,T_StockCount[WeekIndex],16),IF((('T_SelfStock'!Q13&lt;&gt;""))*(('T_TTAFStock'!Q13&lt;&gt;""))&gt;0,'T_SelfStock'!Q13+'T_TTAFStock'!Q13,P9+'Grid_Incoming'!Q9-'Grid_Requirement'!Q9))</f>
        <v/>
      </c>
      <c r="R9">
        <f>IF(COUNTIFS(T_StockCount[Part Name],$A9,T_StockCount[WeekIndex],17)&gt;0,SUMIFS(T_StockCount[CountedQty],T_StockCount[Part Name],$A9,T_StockCount[WeekIndex],17),IF((('T_SelfStock'!R13&lt;&gt;""))*(('T_TTAFStock'!R13&lt;&gt;""))&gt;0,'T_SelfStock'!R13+'T_TTAFStock'!R13,Q9+'Grid_Incoming'!R9-'Grid_Requirement'!R9))</f>
        <v/>
      </c>
      <c r="S9">
        <f>IF(COUNTIFS(T_StockCount[Part Name],$A9,T_StockCount[WeekIndex],18)&gt;0,SUMIFS(T_StockCount[CountedQty],T_StockCount[Part Name],$A9,T_StockCount[WeekIndex],18),IF((('T_SelfStock'!S13&lt;&gt;""))*(('T_TTAFStock'!S13&lt;&gt;""))&gt;0,'T_SelfStock'!S13+'T_TTAFStock'!S13,R9+'Grid_Incoming'!S9-'Grid_Requirement'!S9))</f>
        <v/>
      </c>
      <c r="T9">
        <f>IF(COUNTIFS(T_StockCount[Part Name],$A9,T_StockCount[WeekIndex],19)&gt;0,SUMIFS(T_StockCount[CountedQty],T_StockCount[Part Name],$A9,T_StockCount[WeekIndex],19),IF((('T_SelfStock'!T13&lt;&gt;""))*(('T_TTAFStock'!T13&lt;&gt;""))&gt;0,'T_SelfStock'!T13+'T_TTAFStock'!T13,S9+'Grid_Incoming'!T9-'Grid_Requirement'!T9))</f>
        <v/>
      </c>
      <c r="U9">
        <f>IF(COUNTIFS(T_StockCount[Part Name],$A9,T_StockCount[WeekIndex],20)&gt;0,SUMIFS(T_StockCount[CountedQty],T_StockCount[Part Name],$A9,T_StockCount[WeekIndex],20),IF((('T_SelfStock'!U13&lt;&gt;""))*(('T_TTAFStock'!U13&lt;&gt;""))&gt;0,'T_SelfStock'!U13+'T_TTAFStock'!U13,T9+'Grid_Incoming'!U9-'Grid_Requirement'!U9))</f>
        <v/>
      </c>
      <c r="V9">
        <f>IF(COUNTIFS(T_StockCount[Part Name],$A9,T_StockCount[WeekIndex],21)&gt;0,SUMIFS(T_StockCount[CountedQty],T_StockCount[Part Name],$A9,T_StockCount[WeekIndex],21),IF((('T_SelfStock'!V13&lt;&gt;""))*(('T_TTAFStock'!V13&lt;&gt;""))&gt;0,'T_SelfStock'!V13+'T_TTAFStock'!V13,U9+'Grid_Incoming'!V9-'Grid_Requirement'!V9))</f>
        <v/>
      </c>
      <c r="W9">
        <f>IF(COUNTIFS(T_StockCount[Part Name],$A9,T_StockCount[WeekIndex],22)&gt;0,SUMIFS(T_StockCount[CountedQty],T_StockCount[Part Name],$A9,T_StockCount[WeekIndex],22),IF((('T_SelfStock'!W13&lt;&gt;""))*(('T_TTAFStock'!W13&lt;&gt;""))&gt;0,'T_SelfStock'!W13+'T_TTAFStock'!W13,V9+'Grid_Incoming'!W9-'Grid_Requirement'!W9))</f>
        <v/>
      </c>
      <c r="X9">
        <f>IF(COUNTIFS(T_StockCount[Part Name],$A9,T_StockCount[WeekIndex],23)&gt;0,SUMIFS(T_StockCount[CountedQty],T_StockCount[Part Name],$A9,T_StockCount[WeekIndex],23),IF((('T_SelfStock'!X13&lt;&gt;""))*(('T_TTAFStock'!X13&lt;&gt;""))&gt;0,'T_SelfStock'!X13+'T_TTAFStock'!X13,W9+'Grid_Incoming'!X9-'Grid_Requirement'!X9))</f>
        <v/>
      </c>
      <c r="Y9">
        <f>IF(COUNTIFS(T_StockCount[Part Name],$A9,T_StockCount[WeekIndex],24)&gt;0,SUMIFS(T_StockCount[CountedQty],T_StockCount[Part Name],$A9,T_StockCount[WeekIndex],24),IF((('T_SelfStock'!Y13&lt;&gt;""))*(('T_TTAFStock'!Y13&lt;&gt;""))&gt;0,'T_SelfStock'!Y13+'T_TTAFStock'!Y13,X9+'Grid_Incoming'!Y9-'Grid_Requirement'!Y9))</f>
        <v/>
      </c>
      <c r="Z9">
        <f>IF(COUNTIFS(T_StockCount[Part Name],$A9,T_StockCount[WeekIndex],25)&gt;0,SUMIFS(T_StockCount[CountedQty],T_StockCount[Part Name],$A9,T_StockCount[WeekIndex],25),IF((('T_SelfStock'!Z13&lt;&gt;""))*(('T_TTAFStock'!Z13&lt;&gt;""))&gt;0,'T_SelfStock'!Z13+'T_TTAFStock'!Z13,Y9+'Grid_Incoming'!Z9-'Grid_Requirement'!Z9))</f>
        <v/>
      </c>
      <c r="AA9">
        <f>IF(COUNTIFS(T_StockCount[Part Name],$A9,T_StockCount[WeekIndex],26)&gt;0,SUMIFS(T_StockCount[CountedQty],T_StockCount[Part Name],$A9,T_StockCount[WeekIndex],26),IF((('T_SelfStock'!AA13&lt;&gt;""))*(('T_TTAFStock'!AA13&lt;&gt;""))&gt;0,'T_SelfStock'!AA13+'T_TTAFStock'!AA13,Z9+'Grid_Incoming'!AA9-'Grid_Requirement'!AA9))</f>
        <v/>
      </c>
      <c r="AB9">
        <f>IF(COUNTIFS(T_StockCount[Part Name],$A9,T_StockCount[WeekIndex],27)&gt;0,SUMIFS(T_StockCount[CountedQty],T_StockCount[Part Name],$A9,T_StockCount[WeekIndex],27),IF((('T_SelfStock'!AB13&lt;&gt;""))*(('T_TTAFStock'!AB13&lt;&gt;""))&gt;0,'T_SelfStock'!AB13+'T_TTAFStock'!AB13,AA9+'Grid_Incoming'!AB9-'Grid_Requirement'!AB9))</f>
        <v/>
      </c>
      <c r="AC9">
        <f>IF(COUNTIFS(T_StockCount[Part Name],$A9,T_StockCount[WeekIndex],28)&gt;0,SUMIFS(T_StockCount[CountedQty],T_StockCount[Part Name],$A9,T_StockCount[WeekIndex],28),IF((('T_SelfStock'!AC13&lt;&gt;""))*(('T_TTAFStock'!AC13&lt;&gt;""))&gt;0,'T_SelfStock'!AC13+'T_TTAFStock'!AC13,AB9+'Grid_Incoming'!AC9-'Grid_Requirement'!AC9))</f>
        <v/>
      </c>
      <c r="AD9">
        <f>IF(COUNTIFS(T_StockCount[Part Name],$A9,T_StockCount[WeekIndex],29)&gt;0,SUMIFS(T_StockCount[CountedQty],T_StockCount[Part Name],$A9,T_StockCount[WeekIndex],29),IF((('T_SelfStock'!AD13&lt;&gt;""))*(('T_TTAFStock'!AD13&lt;&gt;""))&gt;0,'T_SelfStock'!AD13+'T_TTAFStock'!AD13,AC9+'Grid_Incoming'!AD9-'Grid_Requirement'!AD9))</f>
        <v/>
      </c>
      <c r="AE9">
        <f>IF(COUNTIFS(T_StockCount[Part Name],$A9,T_StockCount[WeekIndex],30)&gt;0,SUMIFS(T_StockCount[CountedQty],T_StockCount[Part Name],$A9,T_StockCount[WeekIndex],30),IF((('T_SelfStock'!AE13&lt;&gt;""))*(('T_TTAFStock'!AE13&lt;&gt;""))&gt;0,'T_SelfStock'!AE13+'T_TTAFStock'!AE13,AD9+'Grid_Incoming'!AE9-'Grid_Requirement'!AE9))</f>
        <v/>
      </c>
      <c r="AF9">
        <f>IF(COUNTIFS(T_StockCount[Part Name],$A9,T_StockCount[WeekIndex],31)&gt;0,SUMIFS(T_StockCount[CountedQty],T_StockCount[Part Name],$A9,T_StockCount[WeekIndex],31),IF((('T_SelfStock'!AF13&lt;&gt;""))*(('T_TTAFStock'!AF13&lt;&gt;""))&gt;0,'T_SelfStock'!AF13+'T_TTAFStock'!AF13,AE9+'Grid_Incoming'!AF9-'Grid_Requirement'!AF9))</f>
        <v/>
      </c>
      <c r="AG9">
        <f>IF(COUNTIFS(T_StockCount[Part Name],$A9,T_StockCount[WeekIndex],32)&gt;0,SUMIFS(T_StockCount[CountedQty],T_StockCount[Part Name],$A9,T_StockCount[WeekIndex],32),IF((('T_SelfStock'!AG13&lt;&gt;""))*(('T_TTAFStock'!AG13&lt;&gt;""))&gt;0,'T_SelfStock'!AG13+'T_TTAFStock'!AG13,AF9+'Grid_Incoming'!AG9-'Grid_Requirement'!AG9))</f>
        <v/>
      </c>
      <c r="AH9">
        <f>IF(COUNTIFS(T_StockCount[Part Name],$A9,T_StockCount[WeekIndex],33)&gt;0,SUMIFS(T_StockCount[CountedQty],T_StockCount[Part Name],$A9,T_StockCount[WeekIndex],33),IF((('T_SelfStock'!AH13&lt;&gt;""))*(('T_TTAFStock'!AH13&lt;&gt;""))&gt;0,'T_SelfStock'!AH13+'T_TTAFStock'!AH13,AG9+'Grid_Incoming'!AH9-'Grid_Requirement'!AH9))</f>
        <v/>
      </c>
      <c r="AI9">
        <f>IF(COUNTIFS(T_StockCount[Part Name],$A9,T_StockCount[WeekIndex],34)&gt;0,SUMIFS(T_StockCount[CountedQty],T_StockCount[Part Name],$A9,T_StockCount[WeekIndex],34),IF((('T_SelfStock'!AI13&lt;&gt;""))*(('T_TTAFStock'!AI13&lt;&gt;""))&gt;0,'T_SelfStock'!AI13+'T_TTAFStock'!AI13,AH9+'Grid_Incoming'!AI9-'Grid_Requirement'!AI9))</f>
        <v/>
      </c>
      <c r="AJ9">
        <f>IF(COUNTIFS(T_StockCount[Part Name],$A9,T_StockCount[WeekIndex],35)&gt;0,SUMIFS(T_StockCount[CountedQty],T_StockCount[Part Name],$A9,T_StockCount[WeekIndex],35),IF((('T_SelfStock'!AJ13&lt;&gt;""))*(('T_TTAFStock'!AJ13&lt;&gt;""))&gt;0,'T_SelfStock'!AJ13+'T_TTAFStock'!AJ13,AI9+'Grid_Incoming'!AJ9-'Grid_Requirement'!AJ9))</f>
        <v/>
      </c>
      <c r="AK9">
        <f>IF(COUNTIFS(T_StockCount[Part Name],$A9,T_StockCount[WeekIndex],36)&gt;0,SUMIFS(T_StockCount[CountedQty],T_StockCount[Part Name],$A9,T_StockCount[WeekIndex],36),IF((('T_SelfStock'!AK13&lt;&gt;""))*(('T_TTAFStock'!AK13&lt;&gt;""))&gt;0,'T_SelfStock'!AK13+'T_TTAFStock'!AK13,AJ9+'Grid_Incoming'!AK9-'Grid_Requirement'!AK9))</f>
        <v/>
      </c>
      <c r="AL9">
        <f>IF(COUNTIFS(T_StockCount[Part Name],$A9,T_StockCount[WeekIndex],37)&gt;0,SUMIFS(T_StockCount[CountedQty],T_StockCount[Part Name],$A9,T_StockCount[WeekIndex],37),IF((('T_SelfStock'!AL13&lt;&gt;""))*(('T_TTAFStock'!AL13&lt;&gt;""))&gt;0,'T_SelfStock'!AL13+'T_TTAFStock'!AL13,AK9+'Grid_Incoming'!AL9-'Grid_Requirement'!AL9))</f>
        <v/>
      </c>
      <c r="AM9">
        <f>IF(COUNTIFS(T_StockCount[Part Name],$A9,T_StockCount[WeekIndex],38)&gt;0,SUMIFS(T_StockCount[CountedQty],T_StockCount[Part Name],$A9,T_StockCount[WeekIndex],38),IF((('T_SelfStock'!AM13&lt;&gt;""))*(('T_TTAFStock'!AM13&lt;&gt;""))&gt;0,'T_SelfStock'!AM13+'T_TTAFStock'!AM13,AL9+'Grid_Incoming'!AM9-'Grid_Requirement'!AM9))</f>
        <v/>
      </c>
      <c r="AN9">
        <f>IF(COUNTIFS(T_StockCount[Part Name],$A9,T_StockCount[WeekIndex],39)&gt;0,SUMIFS(T_StockCount[CountedQty],T_StockCount[Part Name],$A9,T_StockCount[WeekIndex],39),IF((('T_SelfStock'!AN13&lt;&gt;""))*(('T_TTAFStock'!AN13&lt;&gt;""))&gt;0,'T_SelfStock'!AN13+'T_TTAFStock'!AN13,AM9+'Grid_Incoming'!AN9-'Grid_Requirement'!AN9))</f>
        <v/>
      </c>
      <c r="AO9">
        <f>IF(COUNTIFS(T_StockCount[Part Name],$A9,T_StockCount[WeekIndex],40)&gt;0,SUMIFS(T_StockCount[CountedQty],T_StockCount[Part Name],$A9,T_StockCount[WeekIndex],40),IF((('T_SelfStock'!AO13&lt;&gt;""))*(('T_TTAFStock'!AO13&lt;&gt;""))&gt;0,'T_SelfStock'!AO13+'T_TTAFStock'!AO13,AN9+'Grid_Incoming'!AO9-'Grid_Requirement'!AO9))</f>
        <v/>
      </c>
      <c r="AP9">
        <f>IF(COUNTIFS(T_StockCount[Part Name],$A9,T_StockCount[WeekIndex],41)&gt;0,SUMIFS(T_StockCount[CountedQty],T_StockCount[Part Name],$A9,T_StockCount[WeekIndex],41),IF((('T_SelfStock'!AP13&lt;&gt;""))*(('T_TTAFStock'!AP13&lt;&gt;""))&gt;0,'T_SelfStock'!AP13+'T_TTAFStock'!AP13,AO9+'Grid_Incoming'!AP9-'Grid_Requirement'!AP9))</f>
        <v/>
      </c>
      <c r="AQ9">
        <f>IF(COUNTIFS(T_StockCount[Part Name],$A9,T_StockCount[WeekIndex],42)&gt;0,SUMIFS(T_StockCount[CountedQty],T_StockCount[Part Name],$A9,T_StockCount[WeekIndex],42),IF((('T_SelfStock'!AQ13&lt;&gt;""))*(('T_TTAFStock'!AQ13&lt;&gt;""))&gt;0,'T_SelfStock'!AQ13+'T_TTAFStock'!AQ13,AP9+'Grid_Incoming'!AQ9-'Grid_Requirement'!AQ9))</f>
        <v/>
      </c>
      <c r="AR9">
        <f>IF(COUNTIFS(T_StockCount[Part Name],$A9,T_StockCount[WeekIndex],43)&gt;0,SUMIFS(T_StockCount[CountedQty],T_StockCount[Part Name],$A9,T_StockCount[WeekIndex],43),IF((('T_SelfStock'!AR13&lt;&gt;""))*(('T_TTAFStock'!AR13&lt;&gt;""))&gt;0,'T_SelfStock'!AR13+'T_TTAFStock'!AR13,AQ9+'Grid_Incoming'!AR9-'Grid_Requirement'!AR9))</f>
        <v/>
      </c>
      <c r="AS9">
        <f>IF(COUNTIFS(T_StockCount[Part Name],$A9,T_StockCount[WeekIndex],44)&gt;0,SUMIFS(T_StockCount[CountedQty],T_StockCount[Part Name],$A9,T_StockCount[WeekIndex],44),IF((('T_SelfStock'!AS13&lt;&gt;""))*(('T_TTAFStock'!AS13&lt;&gt;""))&gt;0,'T_SelfStock'!AS13+'T_TTAFStock'!AS13,AR9+'Grid_Incoming'!AS9-'Grid_Requirement'!AS9))</f>
        <v/>
      </c>
      <c r="AT9">
        <f>IF(COUNTIFS(T_StockCount[Part Name],$A9,T_StockCount[WeekIndex],45)&gt;0,SUMIFS(T_StockCount[CountedQty],T_StockCount[Part Name],$A9,T_StockCount[WeekIndex],45),IF((('T_SelfStock'!AT13&lt;&gt;""))*(('T_TTAFStock'!AT13&lt;&gt;""))&gt;0,'T_SelfStock'!AT13+'T_TTAFStock'!AT13,AS9+'Grid_Incoming'!AT9-'Grid_Requirement'!AT9))</f>
        <v/>
      </c>
      <c r="AU9">
        <f>IF(COUNTIFS(T_StockCount[Part Name],$A9,T_StockCount[WeekIndex],46)&gt;0,SUMIFS(T_StockCount[CountedQty],T_StockCount[Part Name],$A9,T_StockCount[WeekIndex],46),IF((('T_SelfStock'!AU13&lt;&gt;""))*(('T_TTAFStock'!AU13&lt;&gt;""))&gt;0,'T_SelfStock'!AU13+'T_TTAFStock'!AU13,AT9+'Grid_Incoming'!AU9-'Grid_Requirement'!AU9))</f>
        <v/>
      </c>
      <c r="AV9">
        <f>IF(COUNTIFS(T_StockCount[Part Name],$A9,T_StockCount[WeekIndex],47)&gt;0,SUMIFS(T_StockCount[CountedQty],T_StockCount[Part Name],$A9,T_StockCount[WeekIndex],47),IF((('T_SelfStock'!AV13&lt;&gt;""))*(('T_TTAFStock'!AV13&lt;&gt;""))&gt;0,'T_SelfStock'!AV13+'T_TTAFStock'!AV13,AU9+'Grid_Incoming'!AV9-'Grid_Requirement'!AV9))</f>
        <v/>
      </c>
      <c r="AW9">
        <f>IF(COUNTIFS(T_StockCount[Part Name],$A9,T_StockCount[WeekIndex],48)&gt;0,SUMIFS(T_StockCount[CountedQty],T_StockCount[Part Name],$A9,T_StockCount[WeekIndex],48),IF((('T_SelfStock'!AW13&lt;&gt;""))*(('T_TTAFStock'!AW13&lt;&gt;""))&gt;0,'T_SelfStock'!AW13+'T_TTAFStock'!AW13,AV9+'Grid_Incoming'!AW9-'Grid_Requirement'!AW9))</f>
        <v/>
      </c>
      <c r="AX9">
        <f>IF(COUNTIFS(T_StockCount[Part Name],$A9,T_StockCount[WeekIndex],49)&gt;0,SUMIFS(T_StockCount[CountedQty],T_StockCount[Part Name],$A9,T_StockCount[WeekIndex],49),IF((('T_SelfStock'!AX13&lt;&gt;""))*(('T_TTAFStock'!AX13&lt;&gt;""))&gt;0,'T_SelfStock'!AX13+'T_TTAFStock'!AX13,AW9+'Grid_Incoming'!AX9-'Grid_Requirement'!AX9))</f>
        <v/>
      </c>
      <c r="AY9">
        <f>IF(COUNTIFS(T_StockCount[Part Name],$A9,T_StockCount[WeekIndex],50)&gt;0,SUMIFS(T_StockCount[CountedQty],T_StockCount[Part Name],$A9,T_StockCount[WeekIndex],50),IF((('T_SelfStock'!AY13&lt;&gt;""))*(('T_TTAFStock'!AY13&lt;&gt;""))&gt;0,'T_SelfStock'!AY13+'T_TTAFStock'!AY13,AX9+'Grid_Incoming'!AY9-'Grid_Requirement'!AY9))</f>
        <v/>
      </c>
      <c r="AZ9">
        <f>IF(COUNTIFS(T_StockCount[Part Name],$A9,T_StockCount[WeekIndex],51)&gt;0,SUMIFS(T_StockCount[CountedQty],T_StockCount[Part Name],$A9,T_StockCount[WeekIndex],51),IF((('T_SelfStock'!AZ13&lt;&gt;""))*(('T_TTAFStock'!AZ13&lt;&gt;""))&gt;0,'T_SelfStock'!AZ13+'T_TTAFStock'!AZ13,AY9+'Grid_Incoming'!AZ9-'Grid_Requirement'!AZ9))</f>
        <v/>
      </c>
      <c r="BA9">
        <f>IF(COUNTIFS(T_StockCount[Part Name],$A9,T_StockCount[WeekIndex],52)&gt;0,SUMIFS(T_StockCount[CountedQty],T_StockCount[Part Name],$A9,T_StockCount[WeekIndex],52),IF((('T_SelfStock'!BA13&lt;&gt;""))*(('T_TTAFStock'!BA13&lt;&gt;""))&gt;0,'T_SelfStock'!BA13+'T_TTAFStock'!BA13,AZ9+'Grid_Incoming'!BA9-'Grid_Requirement'!BA9))</f>
        <v/>
      </c>
      <c r="BB9">
        <f>IF(COUNTIFS(T_StockCount[Part Name],$A9,T_StockCount[WeekIndex],53)&gt;0,SUMIFS(T_StockCount[CountedQty],T_StockCount[Part Name],$A9,T_StockCount[WeekIndex],53),IF((('T_SelfStock'!BB13&lt;&gt;""))*(('T_TTAFStock'!BB13&lt;&gt;""))&gt;0,'T_SelfStock'!BB13+'T_TTAFStock'!BB13,BA9+'Grid_Incoming'!BB9-'Grid_Requirement'!BB9))</f>
        <v/>
      </c>
      <c r="BC9">
        <f>IF(COUNTIFS(T_StockCount[Part Name],$A9,T_StockCount[WeekIndex],54)&gt;0,SUMIFS(T_StockCount[CountedQty],T_StockCount[Part Name],$A9,T_StockCount[WeekIndex],54),IF((('T_SelfStock'!BC13&lt;&gt;""))*(('T_TTAFStock'!BC13&lt;&gt;""))&gt;0,'T_SelfStock'!BC13+'T_TTAFStock'!BC13,BB9+'Grid_Incoming'!BC9-'Grid_Requirement'!BC9))</f>
        <v/>
      </c>
      <c r="BD9">
        <f>IF(COUNTIFS(T_StockCount[Part Name],$A9,T_StockCount[WeekIndex],55)&gt;0,SUMIFS(T_StockCount[CountedQty],T_StockCount[Part Name],$A9,T_StockCount[WeekIndex],55),IF((('T_SelfStock'!BD13&lt;&gt;""))*(('T_TTAFStock'!BD13&lt;&gt;""))&gt;0,'T_SelfStock'!BD13+'T_TTAFStock'!BD13,BC9+'Grid_Incoming'!BD9-'Grid_Requirement'!BD9))</f>
        <v/>
      </c>
      <c r="BE9">
        <f>IF(COUNTIFS(T_StockCount[Part Name],$A9,T_StockCount[WeekIndex],56)&gt;0,SUMIFS(T_StockCount[CountedQty],T_StockCount[Part Name],$A9,T_StockCount[WeekIndex],56),IF((('T_SelfStock'!BE13&lt;&gt;""))*(('T_TTAFStock'!BE13&lt;&gt;""))&gt;0,'T_SelfStock'!BE13+'T_TTAFStock'!BE13,BD9+'Grid_Incoming'!BE9-'Grid_Requirement'!BE9))</f>
        <v/>
      </c>
      <c r="BF9">
        <f>IF(COUNTIFS(T_StockCount[Part Name],$A9,T_StockCount[WeekIndex],57)&gt;0,SUMIFS(T_StockCount[CountedQty],T_StockCount[Part Name],$A9,T_StockCount[WeekIndex],57),IF((('T_SelfStock'!BF13&lt;&gt;""))*(('T_TTAFStock'!BF13&lt;&gt;""))&gt;0,'T_SelfStock'!BF13+'T_TTAFStock'!BF13,BE9+'Grid_Incoming'!BF9-'Grid_Requirement'!BF9))</f>
        <v/>
      </c>
      <c r="BG9">
        <f>IF(COUNTIFS(T_StockCount[Part Name],$A9,T_StockCount[WeekIndex],58)&gt;0,SUMIFS(T_StockCount[CountedQty],T_StockCount[Part Name],$A9,T_StockCount[WeekIndex],58),IF((('T_SelfStock'!BG13&lt;&gt;""))*(('T_TTAFStock'!BG13&lt;&gt;""))&gt;0,'T_SelfStock'!BG13+'T_TTAFStock'!BG13,BF9+'Grid_Incoming'!BG9-'Grid_Requirement'!BG9))</f>
        <v/>
      </c>
      <c r="BH9">
        <f>IF(COUNTIFS(T_StockCount[Part Name],$A9,T_StockCount[WeekIndex],59)&gt;0,SUMIFS(T_StockCount[CountedQty],T_StockCount[Part Name],$A9,T_StockCount[WeekIndex],59),IF((('T_SelfStock'!BH13&lt;&gt;""))*(('T_TTAFStock'!BH13&lt;&gt;""))&gt;0,'T_SelfStock'!BH13+'T_TTAFStock'!BH13,BG9+'Grid_Incoming'!BH9-'Grid_Requirement'!BH9))</f>
        <v/>
      </c>
      <c r="BI9">
        <f>IF(COUNTIFS(T_StockCount[Part Name],$A9,T_StockCount[WeekIndex],60)&gt;0,SUMIFS(T_StockCount[CountedQty],T_StockCount[Part Name],$A9,T_StockCount[WeekIndex],60),IF((('T_SelfStock'!BI13&lt;&gt;""))*(('T_TTAFStock'!BI13&lt;&gt;""))&gt;0,'T_SelfStock'!BI13+'T_TTAFStock'!BI13,BH9+'Grid_Incoming'!BI9-'Grid_Requirement'!BI9))</f>
        <v/>
      </c>
      <c r="BJ9">
        <f>IF(COUNTIFS(T_StockCount[Part Name],$A9,T_StockCount[WeekIndex],61)&gt;0,SUMIFS(T_StockCount[CountedQty],T_StockCount[Part Name],$A9,T_StockCount[WeekIndex],61),IF((('T_SelfStock'!BJ13&lt;&gt;""))*(('T_TTAFStock'!BJ13&lt;&gt;""))&gt;0,'T_SelfStock'!BJ13+'T_TTAFStock'!BJ13,BI9+'Grid_Incoming'!BJ9-'Grid_Requirement'!BJ9))</f>
        <v/>
      </c>
      <c r="BK9">
        <f>IF(COUNTIFS(T_StockCount[Part Name],$A9,T_StockCount[WeekIndex],62)&gt;0,SUMIFS(T_StockCount[CountedQty],T_StockCount[Part Name],$A9,T_StockCount[WeekIndex],62),IF((('T_SelfStock'!BK13&lt;&gt;""))*(('T_TTAFStock'!BK13&lt;&gt;""))&gt;0,'T_SelfStock'!BK13+'T_TTAFStock'!BK13,BJ9+'Grid_Incoming'!BK9-'Grid_Requirement'!BK9))</f>
        <v/>
      </c>
      <c r="BL9">
        <f>IF(COUNTIFS(T_StockCount[Part Name],$A9,T_StockCount[WeekIndex],63)&gt;0,SUMIFS(T_StockCount[CountedQty],T_StockCount[Part Name],$A9,T_StockCount[WeekIndex],63),IF((('T_SelfStock'!BL13&lt;&gt;""))*(('T_TTAFStock'!BL13&lt;&gt;""))&gt;0,'T_SelfStock'!BL13+'T_TTAFStock'!BL13,BK9+'Grid_Incoming'!BL9-'Grid_Requirement'!BL9))</f>
        <v/>
      </c>
      <c r="BM9">
        <f>IF(COUNTIFS(T_StockCount[Part Name],$A9,T_StockCount[WeekIndex],64)&gt;0,SUMIFS(T_StockCount[CountedQty],T_StockCount[Part Name],$A9,T_StockCount[WeekIndex],64),IF((('T_SelfStock'!BM13&lt;&gt;""))*(('T_TTAFStock'!BM13&lt;&gt;""))&gt;0,'T_SelfStock'!BM13+'T_TTAFStock'!BM13,BL9+'Grid_Incoming'!BM9-'Grid_Requirement'!BM9))</f>
        <v/>
      </c>
      <c r="BN9">
        <f>IF(COUNTIFS(T_StockCount[Part Name],$A9,T_StockCount[WeekIndex],65)&gt;0,SUMIFS(T_StockCount[CountedQty],T_StockCount[Part Name],$A9,T_StockCount[WeekIndex],65),IF((('T_SelfStock'!BN13&lt;&gt;""))*(('T_TTAFStock'!BN13&lt;&gt;""))&gt;0,'T_SelfStock'!BN13+'T_TTAFStock'!BN13,BM9+'Grid_Incoming'!BN9-'Grid_Requirement'!BN9))</f>
        <v/>
      </c>
      <c r="BO9">
        <f>IF(COUNTIFS(T_StockCount[Part Name],$A9,T_StockCount[WeekIndex],66)&gt;0,SUMIFS(T_StockCount[CountedQty],T_StockCount[Part Name],$A9,T_StockCount[WeekIndex],66),IF((('T_SelfStock'!BO13&lt;&gt;""))*(('T_TTAFStock'!BO13&lt;&gt;""))&gt;0,'T_SelfStock'!BO13+'T_TTAFStock'!BO13,BN9+'Grid_Incoming'!BO9-'Grid_Requirement'!BO9))</f>
        <v/>
      </c>
      <c r="BP9">
        <f>IF(COUNTIFS(T_StockCount[Part Name],$A9,T_StockCount[WeekIndex],67)&gt;0,SUMIFS(T_StockCount[CountedQty],T_StockCount[Part Name],$A9,T_StockCount[WeekIndex],67),IF((('T_SelfStock'!BP13&lt;&gt;""))*(('T_TTAFStock'!BP13&lt;&gt;""))&gt;0,'T_SelfStock'!BP13+'T_TTAFStock'!BP13,BO9+'Grid_Incoming'!BP9-'Grid_Requirement'!BP9))</f>
        <v/>
      </c>
      <c r="BQ9">
        <f>IF(COUNTIFS(T_StockCount[Part Name],$A9,T_StockCount[WeekIndex],68)&gt;0,SUMIFS(T_StockCount[CountedQty],T_StockCount[Part Name],$A9,T_StockCount[WeekIndex],68),IF((('T_SelfStock'!BQ13&lt;&gt;""))*(('T_TTAFStock'!BQ13&lt;&gt;""))&gt;0,'T_SelfStock'!BQ13+'T_TTAFStock'!BQ13,BP9+'Grid_Incoming'!BQ9-'Grid_Requirement'!BQ9))</f>
        <v/>
      </c>
      <c r="BR9">
        <f>IF(COUNTIFS(T_StockCount[Part Name],$A9,T_StockCount[WeekIndex],69)&gt;0,SUMIFS(T_StockCount[CountedQty],T_StockCount[Part Name],$A9,T_StockCount[WeekIndex],69),IF((('T_SelfStock'!BR13&lt;&gt;""))*(('T_TTAFStock'!BR13&lt;&gt;""))&gt;0,'T_SelfStock'!BR13+'T_TTAFStock'!BR13,BQ9+'Grid_Incoming'!BR9-'Grid_Requirement'!BR9))</f>
        <v/>
      </c>
      <c r="BS9">
        <f>IF(COUNTIFS(T_StockCount[Part Name],$A9,T_StockCount[WeekIndex],70)&gt;0,SUMIFS(T_StockCount[CountedQty],T_StockCount[Part Name],$A9,T_StockCount[WeekIndex],70),IF((('T_SelfStock'!BS13&lt;&gt;""))*(('T_TTAFStock'!BS13&lt;&gt;""))&gt;0,'T_SelfStock'!BS13+'T_TTAFStock'!BS13,BR9+'Grid_Incoming'!BS9-'Grid_Requirement'!BS9))</f>
        <v/>
      </c>
      <c r="BT9">
        <f>IF(COUNTIFS(T_StockCount[Part Name],$A9,T_StockCount[WeekIndex],71)&gt;0,SUMIFS(T_StockCount[CountedQty],T_StockCount[Part Name],$A9,T_StockCount[WeekIndex],71),IF((('T_SelfStock'!BT13&lt;&gt;""))*(('T_TTAFStock'!BT13&lt;&gt;""))&gt;0,'T_SelfStock'!BT13+'T_TTAFStock'!BT13,BS9+'Grid_Incoming'!BT9-'Grid_Requirement'!BT9))</f>
        <v/>
      </c>
      <c r="BU9">
        <f>IF(COUNTIFS(T_StockCount[Part Name],$A9,T_StockCount[WeekIndex],72)&gt;0,SUMIFS(T_StockCount[CountedQty],T_StockCount[Part Name],$A9,T_StockCount[WeekIndex],72),IF((('T_SelfStock'!BU13&lt;&gt;""))*(('T_TTAFStock'!BU13&lt;&gt;""))&gt;0,'T_SelfStock'!BU13+'T_TTAFStock'!BU13,BT9+'Grid_Incoming'!BU9-'Grid_Requirement'!BU9))</f>
        <v/>
      </c>
      <c r="BV9">
        <f>IF(COUNTIFS(T_StockCount[Part Name],$A9,T_StockCount[WeekIndex],73)&gt;0,SUMIFS(T_StockCount[CountedQty],T_StockCount[Part Name],$A9,T_StockCount[WeekIndex],73),IF((('T_SelfStock'!BV13&lt;&gt;""))*(('T_TTAFStock'!BV13&lt;&gt;""))&gt;0,'T_SelfStock'!BV13+'T_TTAFStock'!BV13,BU9+'Grid_Incoming'!BV9-'Grid_Requirement'!BV9))</f>
        <v/>
      </c>
      <c r="BW9">
        <f>IF(COUNTIFS(T_StockCount[Part Name],$A9,T_StockCount[WeekIndex],74)&gt;0,SUMIFS(T_StockCount[CountedQty],T_StockCount[Part Name],$A9,T_StockCount[WeekIndex],74),IF((('T_SelfStock'!BW13&lt;&gt;""))*(('T_TTAFStock'!BW13&lt;&gt;""))&gt;0,'T_SelfStock'!BW13+'T_TTAFStock'!BW13,BV9+'Grid_Incoming'!BW9-'Grid_Requirement'!BW9))</f>
        <v/>
      </c>
      <c r="BX9">
        <f>IF(COUNTIFS(T_StockCount[Part Name],$A9,T_StockCount[WeekIndex],75)&gt;0,SUMIFS(T_StockCount[CountedQty],T_StockCount[Part Name],$A9,T_StockCount[WeekIndex],75),IF((('T_SelfStock'!BX13&lt;&gt;""))*(('T_TTAFStock'!BX13&lt;&gt;""))&gt;0,'T_SelfStock'!BX13+'T_TTAFStock'!BX13,BW9+'Grid_Incoming'!BX9-'Grid_Requirement'!BX9))</f>
        <v/>
      </c>
      <c r="BY9">
        <f>IF(COUNTIFS(T_StockCount[Part Name],$A9,T_StockCount[WeekIndex],76)&gt;0,SUMIFS(T_StockCount[CountedQty],T_StockCount[Part Name],$A9,T_StockCount[WeekIndex],76),IF((('T_SelfStock'!BY13&lt;&gt;""))*(('T_TTAFStock'!BY13&lt;&gt;""))&gt;0,'T_SelfStock'!BY13+'T_TTAFStock'!BY13,BX9+'Grid_Incoming'!BY9-'Grid_Requirement'!BY9))</f>
        <v/>
      </c>
      <c r="BZ9">
        <f>IF(COUNTIFS(T_StockCount[Part Name],$A9,T_StockCount[WeekIndex],77)&gt;0,SUMIFS(T_StockCount[CountedQty],T_StockCount[Part Name],$A9,T_StockCount[WeekIndex],77),IF((('T_SelfStock'!BZ13&lt;&gt;""))*(('T_TTAFStock'!BZ13&lt;&gt;""))&gt;0,'T_SelfStock'!BZ13+'T_TTAFStock'!BZ13,BY9+'Grid_Incoming'!BZ9-'Grid_Requirement'!BZ9))</f>
        <v/>
      </c>
      <c r="CA9">
        <f>IF(COUNTIFS(T_StockCount[Part Name],$A9,T_StockCount[WeekIndex],78)&gt;0,SUMIFS(T_StockCount[CountedQty],T_StockCount[Part Name],$A9,T_StockCount[WeekIndex],78),IF((('T_SelfStock'!CA13&lt;&gt;""))*(('T_TTAFStock'!CA13&lt;&gt;""))&gt;0,'T_SelfStock'!CA13+'T_TTAFStock'!CA13,BZ9+'Grid_Incoming'!CA9-'Grid_Requirement'!CA9))</f>
        <v/>
      </c>
      <c r="CB9">
        <f>IF(COUNTIFS(T_StockCount[Part Name],$A9,T_StockCount[WeekIndex],79)&gt;0,SUMIFS(T_StockCount[CountedQty],T_StockCount[Part Name],$A9,T_StockCount[WeekIndex],79),IF((('T_SelfStock'!CB13&lt;&gt;""))*(('T_TTAFStock'!CB13&lt;&gt;""))&gt;0,'T_SelfStock'!CB13+'T_TTAFStock'!CB13,CA9+'Grid_Incoming'!CB9-'Grid_Requirement'!CB9))</f>
        <v/>
      </c>
      <c r="CC9">
        <f>IF(COUNTIFS(T_StockCount[Part Name],$A9,T_StockCount[WeekIndex],80)&gt;0,SUMIFS(T_StockCount[CountedQty],T_StockCount[Part Name],$A9,T_StockCount[WeekIndex],80),IF((('T_SelfStock'!CC13&lt;&gt;""))*(('T_TTAFStock'!CC13&lt;&gt;""))&gt;0,'T_SelfStock'!CC13+'T_TTAFStock'!CC13,CB9+'Grid_Incoming'!CC9-'Grid_Requirement'!CC9))</f>
        <v/>
      </c>
      <c r="CD9">
        <f>IF(COUNTIFS(T_StockCount[Part Name],$A9,T_StockCount[WeekIndex],81)&gt;0,SUMIFS(T_StockCount[CountedQty],T_StockCount[Part Name],$A9,T_StockCount[WeekIndex],81),IF((('T_SelfStock'!CD13&lt;&gt;""))*(('T_TTAFStock'!CD13&lt;&gt;""))&gt;0,'T_SelfStock'!CD13+'T_TTAFStock'!CD13,CC9+'Grid_Incoming'!CD9-'Grid_Requirement'!CD9))</f>
        <v/>
      </c>
      <c r="CE9">
        <f>IF(COUNTIFS(T_StockCount[Part Name],$A9,T_StockCount[WeekIndex],82)&gt;0,SUMIFS(T_StockCount[CountedQty],T_StockCount[Part Name],$A9,T_StockCount[WeekIndex],82),IF((('T_SelfStock'!CE13&lt;&gt;""))*(('T_TTAFStock'!CE13&lt;&gt;""))&gt;0,'T_SelfStock'!CE13+'T_TTAFStock'!CE13,CD9+'Grid_Incoming'!CE9-'Grid_Requirement'!CE9))</f>
        <v/>
      </c>
      <c r="CF9">
        <f>IF(COUNTIFS(T_StockCount[Part Name],$A9,T_StockCount[WeekIndex],83)&gt;0,SUMIFS(T_StockCount[CountedQty],T_StockCount[Part Name],$A9,T_StockCount[WeekIndex],83),IF((('T_SelfStock'!CF13&lt;&gt;""))*(('T_TTAFStock'!CF13&lt;&gt;""))&gt;0,'T_SelfStock'!CF13+'T_TTAFStock'!CF13,CE9+'Grid_Incoming'!CF9-'Grid_Requirement'!CF9))</f>
        <v/>
      </c>
      <c r="CG9">
        <f>IF(COUNTIFS(T_StockCount[Part Name],$A9,T_StockCount[WeekIndex],84)&gt;0,SUMIFS(T_StockCount[CountedQty],T_StockCount[Part Name],$A9,T_StockCount[WeekIndex],84),IF((('T_SelfStock'!CG13&lt;&gt;""))*(('T_TTAFStock'!CG13&lt;&gt;""))&gt;0,'T_SelfStock'!CG13+'T_TTAFStock'!CG13,CF9+'Grid_Incoming'!CG9-'Grid_Requirement'!CG9))</f>
        <v/>
      </c>
      <c r="CH9">
        <f>IF(COUNTIFS(T_StockCount[Part Name],$A9,T_StockCount[WeekIndex],85)&gt;0,SUMIFS(T_StockCount[CountedQty],T_StockCount[Part Name],$A9,T_StockCount[WeekIndex],85),IF((('T_SelfStock'!CH13&lt;&gt;""))*(('T_TTAFStock'!CH13&lt;&gt;""))&gt;0,'T_SelfStock'!CH13+'T_TTAFStock'!CH13,CG9+'Grid_Incoming'!CH9-'Grid_Requirement'!CH9))</f>
        <v/>
      </c>
      <c r="CI9">
        <f>IF(COUNTIFS(T_StockCount[Part Name],$A9,T_StockCount[WeekIndex],86)&gt;0,SUMIFS(T_StockCount[CountedQty],T_StockCount[Part Name],$A9,T_StockCount[WeekIndex],86),IF((('T_SelfStock'!CI13&lt;&gt;""))*(('T_TTAFStock'!CI13&lt;&gt;""))&gt;0,'T_SelfStock'!CI13+'T_TTAFStock'!CI13,CH9+'Grid_Incoming'!CI9-'Grid_Requirement'!CI9))</f>
        <v/>
      </c>
      <c r="CJ9">
        <f>IF(COUNTIFS(T_StockCount[Part Name],$A9,T_StockCount[WeekIndex],87)&gt;0,SUMIFS(T_StockCount[CountedQty],T_StockCount[Part Name],$A9,T_StockCount[WeekIndex],87),IF((('T_SelfStock'!CJ13&lt;&gt;""))*(('T_TTAFStock'!CJ13&lt;&gt;""))&gt;0,'T_SelfStock'!CJ13+'T_TTAFStock'!CJ13,CI9+'Grid_Incoming'!CJ9-'Grid_Requirement'!CJ9))</f>
        <v/>
      </c>
      <c r="CK9">
        <f>IF(COUNTIFS(T_StockCount[Part Name],$A9,T_StockCount[WeekIndex],88)&gt;0,SUMIFS(T_StockCount[CountedQty],T_StockCount[Part Name],$A9,T_StockCount[WeekIndex],88),IF((('T_SelfStock'!CK13&lt;&gt;""))*(('T_TTAFStock'!CK13&lt;&gt;""))&gt;0,'T_SelfStock'!CK13+'T_TTAFStock'!CK13,CJ9+'Grid_Incoming'!CK9-'Grid_Requirement'!CK9))</f>
        <v/>
      </c>
      <c r="CL9">
        <f>IF(COUNTIFS(T_StockCount[Part Name],$A9,T_StockCount[WeekIndex],89)&gt;0,SUMIFS(T_StockCount[CountedQty],T_StockCount[Part Name],$A9,T_StockCount[WeekIndex],89),IF((('T_SelfStock'!CL13&lt;&gt;""))*(('T_TTAFStock'!CL13&lt;&gt;""))&gt;0,'T_SelfStock'!CL13+'T_TTAFStock'!CL13,CK9+'Grid_Incoming'!CL9-'Grid_Requirement'!CL9))</f>
        <v/>
      </c>
      <c r="CM9">
        <f>IF(COUNTIFS(T_StockCount[Part Name],$A9,T_StockCount[WeekIndex],90)&gt;0,SUMIFS(T_StockCount[CountedQty],T_StockCount[Part Name],$A9,T_StockCount[WeekIndex],90),IF((('T_SelfStock'!CM13&lt;&gt;""))*(('T_TTAFStock'!CM13&lt;&gt;""))&gt;0,'T_SelfStock'!CM13+'T_TTAFStock'!CM13,CL9+'Grid_Incoming'!CM9-'Grid_Requirement'!CM9))</f>
        <v/>
      </c>
      <c r="CN9">
        <f>IF(COUNTIFS(T_StockCount[Part Name],$A9,T_StockCount[WeekIndex],91)&gt;0,SUMIFS(T_StockCount[CountedQty],T_StockCount[Part Name],$A9,T_StockCount[WeekIndex],91),IF((('T_SelfStock'!CN13&lt;&gt;""))*(('T_TTAFStock'!CN13&lt;&gt;""))&gt;0,'T_SelfStock'!CN13+'T_TTAFStock'!CN13,CM9+'Grid_Incoming'!CN9-'Grid_Requirement'!CN9))</f>
        <v/>
      </c>
      <c r="CO9">
        <f>IF(COUNTIFS(T_StockCount[Part Name],$A9,T_StockCount[WeekIndex],92)&gt;0,SUMIFS(T_StockCount[CountedQty],T_StockCount[Part Name],$A9,T_StockCount[WeekIndex],92),IF((('T_SelfStock'!CO13&lt;&gt;""))*(('T_TTAFStock'!CO13&lt;&gt;""))&gt;0,'T_SelfStock'!CO13+'T_TTAFStock'!CO13,CN9+'Grid_Incoming'!CO9-'Grid_Requirement'!CO9))</f>
        <v/>
      </c>
      <c r="CP9">
        <f>IF(COUNTIFS(T_StockCount[Part Name],$A9,T_StockCount[WeekIndex],93)&gt;0,SUMIFS(T_StockCount[CountedQty],T_StockCount[Part Name],$A9,T_StockCount[WeekIndex],93),IF((('T_SelfStock'!CP13&lt;&gt;""))*(('T_TTAFStock'!CP13&lt;&gt;""))&gt;0,'T_SelfStock'!CP13+'T_TTAFStock'!CP13,CO9+'Grid_Incoming'!CP9-'Grid_Requirement'!CP9))</f>
        <v/>
      </c>
      <c r="CQ9">
        <f>IF(COUNTIFS(T_StockCount[Part Name],$A9,T_StockCount[WeekIndex],94)&gt;0,SUMIFS(T_StockCount[CountedQty],T_StockCount[Part Name],$A9,T_StockCount[WeekIndex],94),IF((('T_SelfStock'!CQ13&lt;&gt;""))*(('T_TTAFStock'!CQ13&lt;&gt;""))&gt;0,'T_SelfStock'!CQ13+'T_TTAFStock'!CQ13,CP9+'Grid_Incoming'!CQ9-'Grid_Requirement'!CQ9))</f>
        <v/>
      </c>
      <c r="CR9">
        <f>IF(COUNTIFS(T_StockCount[Part Name],$A9,T_StockCount[WeekIndex],95)&gt;0,SUMIFS(T_StockCount[CountedQty],T_StockCount[Part Name],$A9,T_StockCount[WeekIndex],95),IF((('T_SelfStock'!CR13&lt;&gt;""))*(('T_TTAFStock'!CR13&lt;&gt;""))&gt;0,'T_SelfStock'!CR13+'T_TTAFStock'!CR13,CQ9+'Grid_Incoming'!CR9-'Grid_Requirement'!CR9))</f>
        <v/>
      </c>
      <c r="CS9">
        <f>IF(COUNTIFS(T_StockCount[Part Name],$A9,T_StockCount[WeekIndex],96)&gt;0,SUMIFS(T_StockCount[CountedQty],T_StockCount[Part Name],$A9,T_StockCount[WeekIndex],96),IF((('T_SelfStock'!CS13&lt;&gt;""))*(('T_TTAFStock'!CS13&lt;&gt;""))&gt;0,'T_SelfStock'!CS13+'T_TTAFStock'!CS13,CR9+'Grid_Incoming'!CS9-'Grid_Requirement'!CS9))</f>
        <v/>
      </c>
      <c r="CT9">
        <f>IF(COUNTIFS(T_StockCount[Part Name],$A9,T_StockCount[WeekIndex],97)&gt;0,SUMIFS(T_StockCount[CountedQty],T_StockCount[Part Name],$A9,T_StockCount[WeekIndex],97),IF((('T_SelfStock'!CT13&lt;&gt;""))*(('T_TTAFStock'!CT13&lt;&gt;""))&gt;0,'T_SelfStock'!CT13+'T_TTAFStock'!CT13,CS9+'Grid_Incoming'!CT9-'Grid_Requirement'!CT9))</f>
        <v/>
      </c>
      <c r="CU9">
        <f>IF(COUNTIFS(T_StockCount[Part Name],$A9,T_StockCount[WeekIndex],98)&gt;0,SUMIFS(T_StockCount[CountedQty],T_StockCount[Part Name],$A9,T_StockCount[WeekIndex],98),IF((('T_SelfStock'!CU13&lt;&gt;""))*(('T_TTAFStock'!CU13&lt;&gt;""))&gt;0,'T_SelfStock'!CU13+'T_TTAFStock'!CU13,CT9+'Grid_Incoming'!CU9-'Grid_Requirement'!CU9))</f>
        <v/>
      </c>
      <c r="CV9">
        <f>IF(COUNTIFS(T_StockCount[Part Name],$A9,T_StockCount[WeekIndex],99)&gt;0,SUMIFS(T_StockCount[CountedQty],T_StockCount[Part Name],$A9,T_StockCount[WeekIndex],99),IF((('T_SelfStock'!CV13&lt;&gt;""))*(('T_TTAFStock'!CV13&lt;&gt;""))&gt;0,'T_SelfStock'!CV13+'T_TTAFStock'!CV13,CU9+'Grid_Incoming'!CV9-'Grid_Requirement'!CV9))</f>
        <v/>
      </c>
      <c r="CW9">
        <f>IF(COUNTIFS(T_StockCount[Part Name],$A9,T_StockCount[WeekIndex],100)&gt;0,SUMIFS(T_StockCount[CountedQty],T_StockCount[Part Name],$A9,T_StockCount[WeekIndex],100),IF((('T_SelfStock'!CW13&lt;&gt;""))*(('T_TTAFStock'!CW13&lt;&gt;""))&gt;0,'T_SelfStock'!CW13+'T_TTAFStock'!CW13,CV9+'Grid_Incoming'!CW9-'Grid_Requirement'!CW9))</f>
        <v/>
      </c>
      <c r="CX9">
        <f>IF(COUNTIFS(T_StockCount[Part Name],$A9,T_StockCount[WeekIndex],101)&gt;0,SUMIFS(T_StockCount[CountedQty],T_StockCount[Part Name],$A9,T_StockCount[WeekIndex],101),IF((('T_SelfStock'!CX13&lt;&gt;""))*(('T_TTAFStock'!CX13&lt;&gt;""))&gt;0,'T_SelfStock'!CX13+'T_TTAFStock'!CX13,CW9+'Grid_Incoming'!CX9-'Grid_Requirement'!CX9))</f>
        <v/>
      </c>
      <c r="CY9">
        <f>IF(COUNTIFS(T_StockCount[Part Name],$A9,T_StockCount[WeekIndex],102)&gt;0,SUMIFS(T_StockCount[CountedQty],T_StockCount[Part Name],$A9,T_StockCount[WeekIndex],102),IF((('T_SelfStock'!CY13&lt;&gt;""))*(('T_TTAFStock'!CY13&lt;&gt;""))&gt;0,'T_SelfStock'!CY13+'T_TTAFStock'!CY13,CX9+'Grid_Incoming'!CY9-'Grid_Requirement'!CY9))</f>
        <v/>
      </c>
      <c r="CZ9">
        <f>IF(COUNTIFS(T_StockCount[Part Name],$A9,T_StockCount[WeekIndex],103)&gt;0,SUMIFS(T_StockCount[CountedQty],T_StockCount[Part Name],$A9,T_StockCount[WeekIndex],103),IF((('T_SelfStock'!CZ13&lt;&gt;""))*(('T_TTAFStock'!CZ13&lt;&gt;""))&gt;0,'T_SelfStock'!CZ13+'T_TTAFStock'!CZ13,CY9+'Grid_Incoming'!CZ9-'Grid_Requirement'!CZ9))</f>
        <v/>
      </c>
      <c r="DA9">
        <f>IF(COUNTIFS(T_StockCount[Part Name],$A9,T_StockCount[WeekIndex],104)&gt;0,SUMIFS(T_StockCount[CountedQty],T_StockCount[Part Name],$A9,T_StockCount[WeekIndex],104),IF((('T_SelfStock'!DA13&lt;&gt;""))*(('T_TTAFStock'!DA13&lt;&gt;""))&gt;0,'T_SelfStock'!DA13+'T_TTAFStock'!DA13,CZ9+'Grid_Incoming'!DA9-'Grid_Requirement'!DA9))</f>
        <v/>
      </c>
    </row>
    <row r="10">
      <c r="A10" t="inlineStr">
        <is>
          <t>KEJ</t>
        </is>
      </c>
      <c r="B10">
        <f>IF(COUNTIFS(T_StockCount[Part Name],$A10,T_StockCount[WeekIndex],1)&gt;0,SUMIFS(T_StockCount[CountedQty],T_StockCount[Part Name],$A10,T_StockCount[WeekIndex],1),IF((('T_SelfStock'!B14&lt;&gt;""))*(('T_TTAFStock'!B14&lt;&gt;""))&gt;0,'T_SelfStock'!B14+'T_TTAFStock'!B14,IFERROR(INDEX(T_OpeningStock[Opening_Qty_要入力],MATCH($A10,T_OpeningStock[Part Name],0)),0)+'Grid_Incoming'!B10-'Grid_Requirement'!B10))</f>
        <v/>
      </c>
      <c r="C10">
        <f>IF(COUNTIFS(T_StockCount[Part Name],$A10,T_StockCount[WeekIndex],2)&gt;0,SUMIFS(T_StockCount[CountedQty],T_StockCount[Part Name],$A10,T_StockCount[WeekIndex],2),IF((('T_SelfStock'!C14&lt;&gt;""))*(('T_TTAFStock'!C14&lt;&gt;""))&gt;0,'T_SelfStock'!C14+'T_TTAFStock'!C14,B10+'Grid_Incoming'!C10-'Grid_Requirement'!C10))</f>
        <v/>
      </c>
      <c r="D10">
        <f>IF(COUNTIFS(T_StockCount[Part Name],$A10,T_StockCount[WeekIndex],3)&gt;0,SUMIFS(T_StockCount[CountedQty],T_StockCount[Part Name],$A10,T_StockCount[WeekIndex],3),IF((('T_SelfStock'!D14&lt;&gt;""))*(('T_TTAFStock'!D14&lt;&gt;""))&gt;0,'T_SelfStock'!D14+'T_TTAFStock'!D14,C10+'Grid_Incoming'!D10-'Grid_Requirement'!D10))</f>
        <v/>
      </c>
      <c r="E10">
        <f>IF(COUNTIFS(T_StockCount[Part Name],$A10,T_StockCount[WeekIndex],4)&gt;0,SUMIFS(T_StockCount[CountedQty],T_StockCount[Part Name],$A10,T_StockCount[WeekIndex],4),IF((('T_SelfStock'!E14&lt;&gt;""))*(('T_TTAFStock'!E14&lt;&gt;""))&gt;0,'T_SelfStock'!E14+'T_TTAFStock'!E14,D10+'Grid_Incoming'!E10-'Grid_Requirement'!E10))</f>
        <v/>
      </c>
      <c r="F10">
        <f>IF(COUNTIFS(T_StockCount[Part Name],$A10,T_StockCount[WeekIndex],5)&gt;0,SUMIFS(T_StockCount[CountedQty],T_StockCount[Part Name],$A10,T_StockCount[WeekIndex],5),IF((('T_SelfStock'!F14&lt;&gt;""))*(('T_TTAFStock'!F14&lt;&gt;""))&gt;0,'T_SelfStock'!F14+'T_TTAFStock'!F14,E10+'Grid_Incoming'!F10-'Grid_Requirement'!F10))</f>
        <v/>
      </c>
      <c r="G10">
        <f>IF(COUNTIFS(T_StockCount[Part Name],$A10,T_StockCount[WeekIndex],6)&gt;0,SUMIFS(T_StockCount[CountedQty],T_StockCount[Part Name],$A10,T_StockCount[WeekIndex],6),IF((('T_SelfStock'!G14&lt;&gt;""))*(('T_TTAFStock'!G14&lt;&gt;""))&gt;0,'T_SelfStock'!G14+'T_TTAFStock'!G14,F10+'Grid_Incoming'!G10-'Grid_Requirement'!G10))</f>
        <v/>
      </c>
      <c r="H10">
        <f>IF(COUNTIFS(T_StockCount[Part Name],$A10,T_StockCount[WeekIndex],7)&gt;0,SUMIFS(T_StockCount[CountedQty],T_StockCount[Part Name],$A10,T_StockCount[WeekIndex],7),IF((('T_SelfStock'!H14&lt;&gt;""))*(('T_TTAFStock'!H14&lt;&gt;""))&gt;0,'T_SelfStock'!H14+'T_TTAFStock'!H14,G10+'Grid_Incoming'!H10-'Grid_Requirement'!H10))</f>
        <v/>
      </c>
      <c r="I10">
        <f>IF(COUNTIFS(T_StockCount[Part Name],$A10,T_StockCount[WeekIndex],8)&gt;0,SUMIFS(T_StockCount[CountedQty],T_StockCount[Part Name],$A10,T_StockCount[WeekIndex],8),IF((('T_SelfStock'!I14&lt;&gt;""))*(('T_TTAFStock'!I14&lt;&gt;""))&gt;0,'T_SelfStock'!I14+'T_TTAFStock'!I14,H10+'Grid_Incoming'!I10-'Grid_Requirement'!I10))</f>
        <v/>
      </c>
      <c r="J10">
        <f>IF(COUNTIFS(T_StockCount[Part Name],$A10,T_StockCount[WeekIndex],9)&gt;0,SUMIFS(T_StockCount[CountedQty],T_StockCount[Part Name],$A10,T_StockCount[WeekIndex],9),IF((('T_SelfStock'!J14&lt;&gt;""))*(('T_TTAFStock'!J14&lt;&gt;""))&gt;0,'T_SelfStock'!J14+'T_TTAFStock'!J14,I10+'Grid_Incoming'!J10-'Grid_Requirement'!J10))</f>
        <v/>
      </c>
      <c r="K10">
        <f>IF(COUNTIFS(T_StockCount[Part Name],$A10,T_StockCount[WeekIndex],10)&gt;0,SUMIFS(T_StockCount[CountedQty],T_StockCount[Part Name],$A10,T_StockCount[WeekIndex],10),IF((('T_SelfStock'!K14&lt;&gt;""))*(('T_TTAFStock'!K14&lt;&gt;""))&gt;0,'T_SelfStock'!K14+'T_TTAFStock'!K14,J10+'Grid_Incoming'!K10-'Grid_Requirement'!K10))</f>
        <v/>
      </c>
      <c r="L10">
        <f>IF(COUNTIFS(T_StockCount[Part Name],$A10,T_StockCount[WeekIndex],11)&gt;0,SUMIFS(T_StockCount[CountedQty],T_StockCount[Part Name],$A10,T_StockCount[WeekIndex],11),IF((('T_SelfStock'!L14&lt;&gt;""))*(('T_TTAFStock'!L14&lt;&gt;""))&gt;0,'T_SelfStock'!L14+'T_TTAFStock'!L14,K10+'Grid_Incoming'!L10-'Grid_Requirement'!L10))</f>
        <v/>
      </c>
      <c r="M10">
        <f>IF(COUNTIFS(T_StockCount[Part Name],$A10,T_StockCount[WeekIndex],12)&gt;0,SUMIFS(T_StockCount[CountedQty],T_StockCount[Part Name],$A10,T_StockCount[WeekIndex],12),IF((('T_SelfStock'!M14&lt;&gt;""))*(('T_TTAFStock'!M14&lt;&gt;""))&gt;0,'T_SelfStock'!M14+'T_TTAFStock'!M14,L10+'Grid_Incoming'!M10-'Grid_Requirement'!M10))</f>
        <v/>
      </c>
      <c r="N10">
        <f>IF(COUNTIFS(T_StockCount[Part Name],$A10,T_StockCount[WeekIndex],13)&gt;0,SUMIFS(T_StockCount[CountedQty],T_StockCount[Part Name],$A10,T_StockCount[WeekIndex],13),IF((('T_SelfStock'!N14&lt;&gt;""))*(('T_TTAFStock'!N14&lt;&gt;""))&gt;0,'T_SelfStock'!N14+'T_TTAFStock'!N14,M10+'Grid_Incoming'!N10-'Grid_Requirement'!N10))</f>
        <v/>
      </c>
      <c r="O10">
        <f>IF(COUNTIFS(T_StockCount[Part Name],$A10,T_StockCount[WeekIndex],14)&gt;0,SUMIFS(T_StockCount[CountedQty],T_StockCount[Part Name],$A10,T_StockCount[WeekIndex],14),IF((('T_SelfStock'!O14&lt;&gt;""))*(('T_TTAFStock'!O14&lt;&gt;""))&gt;0,'T_SelfStock'!O14+'T_TTAFStock'!O14,N10+'Grid_Incoming'!O10-'Grid_Requirement'!O10))</f>
        <v/>
      </c>
      <c r="P10">
        <f>IF(COUNTIFS(T_StockCount[Part Name],$A10,T_StockCount[WeekIndex],15)&gt;0,SUMIFS(T_StockCount[CountedQty],T_StockCount[Part Name],$A10,T_StockCount[WeekIndex],15),IF((('T_SelfStock'!P14&lt;&gt;""))*(('T_TTAFStock'!P14&lt;&gt;""))&gt;0,'T_SelfStock'!P14+'T_TTAFStock'!P14,O10+'Grid_Incoming'!P10-'Grid_Requirement'!P10))</f>
        <v/>
      </c>
      <c r="Q10">
        <f>IF(COUNTIFS(T_StockCount[Part Name],$A10,T_StockCount[WeekIndex],16)&gt;0,SUMIFS(T_StockCount[CountedQty],T_StockCount[Part Name],$A10,T_StockCount[WeekIndex],16),IF((('T_SelfStock'!Q14&lt;&gt;""))*(('T_TTAFStock'!Q14&lt;&gt;""))&gt;0,'T_SelfStock'!Q14+'T_TTAFStock'!Q14,P10+'Grid_Incoming'!Q10-'Grid_Requirement'!Q10))</f>
        <v/>
      </c>
      <c r="R10">
        <f>IF(COUNTIFS(T_StockCount[Part Name],$A10,T_StockCount[WeekIndex],17)&gt;0,SUMIFS(T_StockCount[CountedQty],T_StockCount[Part Name],$A10,T_StockCount[WeekIndex],17),IF((('T_SelfStock'!R14&lt;&gt;""))*(('T_TTAFStock'!R14&lt;&gt;""))&gt;0,'T_SelfStock'!R14+'T_TTAFStock'!R14,Q10+'Grid_Incoming'!R10-'Grid_Requirement'!R10))</f>
        <v/>
      </c>
      <c r="S10">
        <f>IF(COUNTIFS(T_StockCount[Part Name],$A10,T_StockCount[WeekIndex],18)&gt;0,SUMIFS(T_StockCount[CountedQty],T_StockCount[Part Name],$A10,T_StockCount[WeekIndex],18),IF((('T_SelfStock'!S14&lt;&gt;""))*(('T_TTAFStock'!S14&lt;&gt;""))&gt;0,'T_SelfStock'!S14+'T_TTAFStock'!S14,R10+'Grid_Incoming'!S10-'Grid_Requirement'!S10))</f>
        <v/>
      </c>
      <c r="T10">
        <f>IF(COUNTIFS(T_StockCount[Part Name],$A10,T_StockCount[WeekIndex],19)&gt;0,SUMIFS(T_StockCount[CountedQty],T_StockCount[Part Name],$A10,T_StockCount[WeekIndex],19),IF((('T_SelfStock'!T14&lt;&gt;""))*(('T_TTAFStock'!T14&lt;&gt;""))&gt;0,'T_SelfStock'!T14+'T_TTAFStock'!T14,S10+'Grid_Incoming'!T10-'Grid_Requirement'!T10))</f>
        <v/>
      </c>
      <c r="U10">
        <f>IF(COUNTIFS(T_StockCount[Part Name],$A10,T_StockCount[WeekIndex],20)&gt;0,SUMIFS(T_StockCount[CountedQty],T_StockCount[Part Name],$A10,T_StockCount[WeekIndex],20),IF((('T_SelfStock'!U14&lt;&gt;""))*(('T_TTAFStock'!U14&lt;&gt;""))&gt;0,'T_SelfStock'!U14+'T_TTAFStock'!U14,T10+'Grid_Incoming'!U10-'Grid_Requirement'!U10))</f>
        <v/>
      </c>
      <c r="V10">
        <f>IF(COUNTIFS(T_StockCount[Part Name],$A10,T_StockCount[WeekIndex],21)&gt;0,SUMIFS(T_StockCount[CountedQty],T_StockCount[Part Name],$A10,T_StockCount[WeekIndex],21),IF((('T_SelfStock'!V14&lt;&gt;""))*(('T_TTAFStock'!V14&lt;&gt;""))&gt;0,'T_SelfStock'!V14+'T_TTAFStock'!V14,U10+'Grid_Incoming'!V10-'Grid_Requirement'!V10))</f>
        <v/>
      </c>
      <c r="W10">
        <f>IF(COUNTIFS(T_StockCount[Part Name],$A10,T_StockCount[WeekIndex],22)&gt;0,SUMIFS(T_StockCount[CountedQty],T_StockCount[Part Name],$A10,T_StockCount[WeekIndex],22),IF((('T_SelfStock'!W14&lt;&gt;""))*(('T_TTAFStock'!W14&lt;&gt;""))&gt;0,'T_SelfStock'!W14+'T_TTAFStock'!W14,V10+'Grid_Incoming'!W10-'Grid_Requirement'!W10))</f>
        <v/>
      </c>
      <c r="X10">
        <f>IF(COUNTIFS(T_StockCount[Part Name],$A10,T_StockCount[WeekIndex],23)&gt;0,SUMIFS(T_StockCount[CountedQty],T_StockCount[Part Name],$A10,T_StockCount[WeekIndex],23),IF((('T_SelfStock'!X14&lt;&gt;""))*(('T_TTAFStock'!X14&lt;&gt;""))&gt;0,'T_SelfStock'!X14+'T_TTAFStock'!X14,W10+'Grid_Incoming'!X10-'Grid_Requirement'!X10))</f>
        <v/>
      </c>
      <c r="Y10">
        <f>IF(COUNTIFS(T_StockCount[Part Name],$A10,T_StockCount[WeekIndex],24)&gt;0,SUMIFS(T_StockCount[CountedQty],T_StockCount[Part Name],$A10,T_StockCount[WeekIndex],24),IF((('T_SelfStock'!Y14&lt;&gt;""))*(('T_TTAFStock'!Y14&lt;&gt;""))&gt;0,'T_SelfStock'!Y14+'T_TTAFStock'!Y14,X10+'Grid_Incoming'!Y10-'Grid_Requirement'!Y10))</f>
        <v/>
      </c>
      <c r="Z10">
        <f>IF(COUNTIFS(T_StockCount[Part Name],$A10,T_StockCount[WeekIndex],25)&gt;0,SUMIFS(T_StockCount[CountedQty],T_StockCount[Part Name],$A10,T_StockCount[WeekIndex],25),IF((('T_SelfStock'!Z14&lt;&gt;""))*(('T_TTAFStock'!Z14&lt;&gt;""))&gt;0,'T_SelfStock'!Z14+'T_TTAFStock'!Z14,Y10+'Grid_Incoming'!Z10-'Grid_Requirement'!Z10))</f>
        <v/>
      </c>
      <c r="AA10">
        <f>IF(COUNTIFS(T_StockCount[Part Name],$A10,T_StockCount[WeekIndex],26)&gt;0,SUMIFS(T_StockCount[CountedQty],T_StockCount[Part Name],$A10,T_StockCount[WeekIndex],26),IF((('T_SelfStock'!AA14&lt;&gt;""))*(('T_TTAFStock'!AA14&lt;&gt;""))&gt;0,'T_SelfStock'!AA14+'T_TTAFStock'!AA14,Z10+'Grid_Incoming'!AA10-'Grid_Requirement'!AA10))</f>
        <v/>
      </c>
      <c r="AB10">
        <f>IF(COUNTIFS(T_StockCount[Part Name],$A10,T_StockCount[WeekIndex],27)&gt;0,SUMIFS(T_StockCount[CountedQty],T_StockCount[Part Name],$A10,T_StockCount[WeekIndex],27),IF((('T_SelfStock'!AB14&lt;&gt;""))*(('T_TTAFStock'!AB14&lt;&gt;""))&gt;0,'T_SelfStock'!AB14+'T_TTAFStock'!AB14,AA10+'Grid_Incoming'!AB10-'Grid_Requirement'!AB10))</f>
        <v/>
      </c>
      <c r="AC10">
        <f>IF(COUNTIFS(T_StockCount[Part Name],$A10,T_StockCount[WeekIndex],28)&gt;0,SUMIFS(T_StockCount[CountedQty],T_StockCount[Part Name],$A10,T_StockCount[WeekIndex],28),IF((('T_SelfStock'!AC14&lt;&gt;""))*(('T_TTAFStock'!AC14&lt;&gt;""))&gt;0,'T_SelfStock'!AC14+'T_TTAFStock'!AC14,AB10+'Grid_Incoming'!AC10-'Grid_Requirement'!AC10))</f>
        <v/>
      </c>
      <c r="AD10">
        <f>IF(COUNTIFS(T_StockCount[Part Name],$A10,T_StockCount[WeekIndex],29)&gt;0,SUMIFS(T_StockCount[CountedQty],T_StockCount[Part Name],$A10,T_StockCount[WeekIndex],29),IF((('T_SelfStock'!AD14&lt;&gt;""))*(('T_TTAFStock'!AD14&lt;&gt;""))&gt;0,'T_SelfStock'!AD14+'T_TTAFStock'!AD14,AC10+'Grid_Incoming'!AD10-'Grid_Requirement'!AD10))</f>
        <v/>
      </c>
      <c r="AE10">
        <f>IF(COUNTIFS(T_StockCount[Part Name],$A10,T_StockCount[WeekIndex],30)&gt;0,SUMIFS(T_StockCount[CountedQty],T_StockCount[Part Name],$A10,T_StockCount[WeekIndex],30),IF((('T_SelfStock'!AE14&lt;&gt;""))*(('T_TTAFStock'!AE14&lt;&gt;""))&gt;0,'T_SelfStock'!AE14+'T_TTAFStock'!AE14,AD10+'Grid_Incoming'!AE10-'Grid_Requirement'!AE10))</f>
        <v/>
      </c>
      <c r="AF10">
        <f>IF(COUNTIFS(T_StockCount[Part Name],$A10,T_StockCount[WeekIndex],31)&gt;0,SUMIFS(T_StockCount[CountedQty],T_StockCount[Part Name],$A10,T_StockCount[WeekIndex],31),IF((('T_SelfStock'!AF14&lt;&gt;""))*(('T_TTAFStock'!AF14&lt;&gt;""))&gt;0,'T_SelfStock'!AF14+'T_TTAFStock'!AF14,AE10+'Grid_Incoming'!AF10-'Grid_Requirement'!AF10))</f>
        <v/>
      </c>
      <c r="AG10">
        <f>IF(COUNTIFS(T_StockCount[Part Name],$A10,T_StockCount[WeekIndex],32)&gt;0,SUMIFS(T_StockCount[CountedQty],T_StockCount[Part Name],$A10,T_StockCount[WeekIndex],32),IF((('T_SelfStock'!AG14&lt;&gt;""))*(('T_TTAFStock'!AG14&lt;&gt;""))&gt;0,'T_SelfStock'!AG14+'T_TTAFStock'!AG14,AF10+'Grid_Incoming'!AG10-'Grid_Requirement'!AG10))</f>
        <v/>
      </c>
      <c r="AH10">
        <f>IF(COUNTIFS(T_StockCount[Part Name],$A10,T_StockCount[WeekIndex],33)&gt;0,SUMIFS(T_StockCount[CountedQty],T_StockCount[Part Name],$A10,T_StockCount[WeekIndex],33),IF((('T_SelfStock'!AH14&lt;&gt;""))*(('T_TTAFStock'!AH14&lt;&gt;""))&gt;0,'T_SelfStock'!AH14+'T_TTAFStock'!AH14,AG10+'Grid_Incoming'!AH10-'Grid_Requirement'!AH10))</f>
        <v/>
      </c>
      <c r="AI10">
        <f>IF(COUNTIFS(T_StockCount[Part Name],$A10,T_StockCount[WeekIndex],34)&gt;0,SUMIFS(T_StockCount[CountedQty],T_StockCount[Part Name],$A10,T_StockCount[WeekIndex],34),IF((('T_SelfStock'!AI14&lt;&gt;""))*(('T_TTAFStock'!AI14&lt;&gt;""))&gt;0,'T_SelfStock'!AI14+'T_TTAFStock'!AI14,AH10+'Grid_Incoming'!AI10-'Grid_Requirement'!AI10))</f>
        <v/>
      </c>
      <c r="AJ10">
        <f>IF(COUNTIFS(T_StockCount[Part Name],$A10,T_StockCount[WeekIndex],35)&gt;0,SUMIFS(T_StockCount[CountedQty],T_StockCount[Part Name],$A10,T_StockCount[WeekIndex],35),IF((('T_SelfStock'!AJ14&lt;&gt;""))*(('T_TTAFStock'!AJ14&lt;&gt;""))&gt;0,'T_SelfStock'!AJ14+'T_TTAFStock'!AJ14,AI10+'Grid_Incoming'!AJ10-'Grid_Requirement'!AJ10))</f>
        <v/>
      </c>
      <c r="AK10">
        <f>IF(COUNTIFS(T_StockCount[Part Name],$A10,T_StockCount[WeekIndex],36)&gt;0,SUMIFS(T_StockCount[CountedQty],T_StockCount[Part Name],$A10,T_StockCount[WeekIndex],36),IF((('T_SelfStock'!AK14&lt;&gt;""))*(('T_TTAFStock'!AK14&lt;&gt;""))&gt;0,'T_SelfStock'!AK14+'T_TTAFStock'!AK14,AJ10+'Grid_Incoming'!AK10-'Grid_Requirement'!AK10))</f>
        <v/>
      </c>
      <c r="AL10">
        <f>IF(COUNTIFS(T_StockCount[Part Name],$A10,T_StockCount[WeekIndex],37)&gt;0,SUMIFS(T_StockCount[CountedQty],T_StockCount[Part Name],$A10,T_StockCount[WeekIndex],37),IF((('T_SelfStock'!AL14&lt;&gt;""))*(('T_TTAFStock'!AL14&lt;&gt;""))&gt;0,'T_SelfStock'!AL14+'T_TTAFStock'!AL14,AK10+'Grid_Incoming'!AL10-'Grid_Requirement'!AL10))</f>
        <v/>
      </c>
      <c r="AM10">
        <f>IF(COUNTIFS(T_StockCount[Part Name],$A10,T_StockCount[WeekIndex],38)&gt;0,SUMIFS(T_StockCount[CountedQty],T_StockCount[Part Name],$A10,T_StockCount[WeekIndex],38),IF((('T_SelfStock'!AM14&lt;&gt;""))*(('T_TTAFStock'!AM14&lt;&gt;""))&gt;0,'T_SelfStock'!AM14+'T_TTAFStock'!AM14,AL10+'Grid_Incoming'!AM10-'Grid_Requirement'!AM10))</f>
        <v/>
      </c>
      <c r="AN10">
        <f>IF(COUNTIFS(T_StockCount[Part Name],$A10,T_StockCount[WeekIndex],39)&gt;0,SUMIFS(T_StockCount[CountedQty],T_StockCount[Part Name],$A10,T_StockCount[WeekIndex],39),IF((('T_SelfStock'!AN14&lt;&gt;""))*(('T_TTAFStock'!AN14&lt;&gt;""))&gt;0,'T_SelfStock'!AN14+'T_TTAFStock'!AN14,AM10+'Grid_Incoming'!AN10-'Grid_Requirement'!AN10))</f>
        <v/>
      </c>
      <c r="AO10">
        <f>IF(COUNTIFS(T_StockCount[Part Name],$A10,T_StockCount[WeekIndex],40)&gt;0,SUMIFS(T_StockCount[CountedQty],T_StockCount[Part Name],$A10,T_StockCount[WeekIndex],40),IF((('T_SelfStock'!AO14&lt;&gt;""))*(('T_TTAFStock'!AO14&lt;&gt;""))&gt;0,'T_SelfStock'!AO14+'T_TTAFStock'!AO14,AN10+'Grid_Incoming'!AO10-'Grid_Requirement'!AO10))</f>
        <v/>
      </c>
      <c r="AP10">
        <f>IF(COUNTIFS(T_StockCount[Part Name],$A10,T_StockCount[WeekIndex],41)&gt;0,SUMIFS(T_StockCount[CountedQty],T_StockCount[Part Name],$A10,T_StockCount[WeekIndex],41),IF((('T_SelfStock'!AP14&lt;&gt;""))*(('T_TTAFStock'!AP14&lt;&gt;""))&gt;0,'T_SelfStock'!AP14+'T_TTAFStock'!AP14,AO10+'Grid_Incoming'!AP10-'Grid_Requirement'!AP10))</f>
        <v/>
      </c>
      <c r="AQ10">
        <f>IF(COUNTIFS(T_StockCount[Part Name],$A10,T_StockCount[WeekIndex],42)&gt;0,SUMIFS(T_StockCount[CountedQty],T_StockCount[Part Name],$A10,T_StockCount[WeekIndex],42),IF((('T_SelfStock'!AQ14&lt;&gt;""))*(('T_TTAFStock'!AQ14&lt;&gt;""))&gt;0,'T_SelfStock'!AQ14+'T_TTAFStock'!AQ14,AP10+'Grid_Incoming'!AQ10-'Grid_Requirement'!AQ10))</f>
        <v/>
      </c>
      <c r="AR10">
        <f>IF(COUNTIFS(T_StockCount[Part Name],$A10,T_StockCount[WeekIndex],43)&gt;0,SUMIFS(T_StockCount[CountedQty],T_StockCount[Part Name],$A10,T_StockCount[WeekIndex],43),IF((('T_SelfStock'!AR14&lt;&gt;""))*(('T_TTAFStock'!AR14&lt;&gt;""))&gt;0,'T_SelfStock'!AR14+'T_TTAFStock'!AR14,AQ10+'Grid_Incoming'!AR10-'Grid_Requirement'!AR10))</f>
        <v/>
      </c>
      <c r="AS10">
        <f>IF(COUNTIFS(T_StockCount[Part Name],$A10,T_StockCount[WeekIndex],44)&gt;0,SUMIFS(T_StockCount[CountedQty],T_StockCount[Part Name],$A10,T_StockCount[WeekIndex],44),IF((('T_SelfStock'!AS14&lt;&gt;""))*(('T_TTAFStock'!AS14&lt;&gt;""))&gt;0,'T_SelfStock'!AS14+'T_TTAFStock'!AS14,AR10+'Grid_Incoming'!AS10-'Grid_Requirement'!AS10))</f>
        <v/>
      </c>
      <c r="AT10">
        <f>IF(COUNTIFS(T_StockCount[Part Name],$A10,T_StockCount[WeekIndex],45)&gt;0,SUMIFS(T_StockCount[CountedQty],T_StockCount[Part Name],$A10,T_StockCount[WeekIndex],45),IF((('T_SelfStock'!AT14&lt;&gt;""))*(('T_TTAFStock'!AT14&lt;&gt;""))&gt;0,'T_SelfStock'!AT14+'T_TTAFStock'!AT14,AS10+'Grid_Incoming'!AT10-'Grid_Requirement'!AT10))</f>
        <v/>
      </c>
      <c r="AU10">
        <f>IF(COUNTIFS(T_StockCount[Part Name],$A10,T_StockCount[WeekIndex],46)&gt;0,SUMIFS(T_StockCount[CountedQty],T_StockCount[Part Name],$A10,T_StockCount[WeekIndex],46),IF((('T_SelfStock'!AU14&lt;&gt;""))*(('T_TTAFStock'!AU14&lt;&gt;""))&gt;0,'T_SelfStock'!AU14+'T_TTAFStock'!AU14,AT10+'Grid_Incoming'!AU10-'Grid_Requirement'!AU10))</f>
        <v/>
      </c>
      <c r="AV10">
        <f>IF(COUNTIFS(T_StockCount[Part Name],$A10,T_StockCount[WeekIndex],47)&gt;0,SUMIFS(T_StockCount[CountedQty],T_StockCount[Part Name],$A10,T_StockCount[WeekIndex],47),IF((('T_SelfStock'!AV14&lt;&gt;""))*(('T_TTAFStock'!AV14&lt;&gt;""))&gt;0,'T_SelfStock'!AV14+'T_TTAFStock'!AV14,AU10+'Grid_Incoming'!AV10-'Grid_Requirement'!AV10))</f>
        <v/>
      </c>
      <c r="AW10">
        <f>IF(COUNTIFS(T_StockCount[Part Name],$A10,T_StockCount[WeekIndex],48)&gt;0,SUMIFS(T_StockCount[CountedQty],T_StockCount[Part Name],$A10,T_StockCount[WeekIndex],48),IF((('T_SelfStock'!AW14&lt;&gt;""))*(('T_TTAFStock'!AW14&lt;&gt;""))&gt;0,'T_SelfStock'!AW14+'T_TTAFStock'!AW14,AV10+'Grid_Incoming'!AW10-'Grid_Requirement'!AW10))</f>
        <v/>
      </c>
      <c r="AX10">
        <f>IF(COUNTIFS(T_StockCount[Part Name],$A10,T_StockCount[WeekIndex],49)&gt;0,SUMIFS(T_StockCount[CountedQty],T_StockCount[Part Name],$A10,T_StockCount[WeekIndex],49),IF((('T_SelfStock'!AX14&lt;&gt;""))*(('T_TTAFStock'!AX14&lt;&gt;""))&gt;0,'T_SelfStock'!AX14+'T_TTAFStock'!AX14,AW10+'Grid_Incoming'!AX10-'Grid_Requirement'!AX10))</f>
        <v/>
      </c>
      <c r="AY10">
        <f>IF(COUNTIFS(T_StockCount[Part Name],$A10,T_StockCount[WeekIndex],50)&gt;0,SUMIFS(T_StockCount[CountedQty],T_StockCount[Part Name],$A10,T_StockCount[WeekIndex],50),IF((('T_SelfStock'!AY14&lt;&gt;""))*(('T_TTAFStock'!AY14&lt;&gt;""))&gt;0,'T_SelfStock'!AY14+'T_TTAFStock'!AY14,AX10+'Grid_Incoming'!AY10-'Grid_Requirement'!AY10))</f>
        <v/>
      </c>
      <c r="AZ10">
        <f>IF(COUNTIFS(T_StockCount[Part Name],$A10,T_StockCount[WeekIndex],51)&gt;0,SUMIFS(T_StockCount[CountedQty],T_StockCount[Part Name],$A10,T_StockCount[WeekIndex],51),IF((('T_SelfStock'!AZ14&lt;&gt;""))*(('T_TTAFStock'!AZ14&lt;&gt;""))&gt;0,'T_SelfStock'!AZ14+'T_TTAFStock'!AZ14,AY10+'Grid_Incoming'!AZ10-'Grid_Requirement'!AZ10))</f>
        <v/>
      </c>
      <c r="BA10">
        <f>IF(COUNTIFS(T_StockCount[Part Name],$A10,T_StockCount[WeekIndex],52)&gt;0,SUMIFS(T_StockCount[CountedQty],T_StockCount[Part Name],$A10,T_StockCount[WeekIndex],52),IF((('T_SelfStock'!BA14&lt;&gt;""))*(('T_TTAFStock'!BA14&lt;&gt;""))&gt;0,'T_SelfStock'!BA14+'T_TTAFStock'!BA14,AZ10+'Grid_Incoming'!BA10-'Grid_Requirement'!BA10))</f>
        <v/>
      </c>
      <c r="BB10">
        <f>IF(COUNTIFS(T_StockCount[Part Name],$A10,T_StockCount[WeekIndex],53)&gt;0,SUMIFS(T_StockCount[CountedQty],T_StockCount[Part Name],$A10,T_StockCount[WeekIndex],53),IF((('T_SelfStock'!BB14&lt;&gt;""))*(('T_TTAFStock'!BB14&lt;&gt;""))&gt;0,'T_SelfStock'!BB14+'T_TTAFStock'!BB14,BA10+'Grid_Incoming'!BB10-'Grid_Requirement'!BB10))</f>
        <v/>
      </c>
      <c r="BC10">
        <f>IF(COUNTIFS(T_StockCount[Part Name],$A10,T_StockCount[WeekIndex],54)&gt;0,SUMIFS(T_StockCount[CountedQty],T_StockCount[Part Name],$A10,T_StockCount[WeekIndex],54),IF((('T_SelfStock'!BC14&lt;&gt;""))*(('T_TTAFStock'!BC14&lt;&gt;""))&gt;0,'T_SelfStock'!BC14+'T_TTAFStock'!BC14,BB10+'Grid_Incoming'!BC10-'Grid_Requirement'!BC10))</f>
        <v/>
      </c>
      <c r="BD10">
        <f>IF(COUNTIFS(T_StockCount[Part Name],$A10,T_StockCount[WeekIndex],55)&gt;0,SUMIFS(T_StockCount[CountedQty],T_StockCount[Part Name],$A10,T_StockCount[WeekIndex],55),IF((('T_SelfStock'!BD14&lt;&gt;""))*(('T_TTAFStock'!BD14&lt;&gt;""))&gt;0,'T_SelfStock'!BD14+'T_TTAFStock'!BD14,BC10+'Grid_Incoming'!BD10-'Grid_Requirement'!BD10))</f>
        <v/>
      </c>
      <c r="BE10">
        <f>IF(COUNTIFS(T_StockCount[Part Name],$A10,T_StockCount[WeekIndex],56)&gt;0,SUMIFS(T_StockCount[CountedQty],T_StockCount[Part Name],$A10,T_StockCount[WeekIndex],56),IF((('T_SelfStock'!BE14&lt;&gt;""))*(('T_TTAFStock'!BE14&lt;&gt;""))&gt;0,'T_SelfStock'!BE14+'T_TTAFStock'!BE14,BD10+'Grid_Incoming'!BE10-'Grid_Requirement'!BE10))</f>
        <v/>
      </c>
      <c r="BF10">
        <f>IF(COUNTIFS(T_StockCount[Part Name],$A10,T_StockCount[WeekIndex],57)&gt;0,SUMIFS(T_StockCount[CountedQty],T_StockCount[Part Name],$A10,T_StockCount[WeekIndex],57),IF((('T_SelfStock'!BF14&lt;&gt;""))*(('T_TTAFStock'!BF14&lt;&gt;""))&gt;0,'T_SelfStock'!BF14+'T_TTAFStock'!BF14,BE10+'Grid_Incoming'!BF10-'Grid_Requirement'!BF10))</f>
        <v/>
      </c>
      <c r="BG10">
        <f>IF(COUNTIFS(T_StockCount[Part Name],$A10,T_StockCount[WeekIndex],58)&gt;0,SUMIFS(T_StockCount[CountedQty],T_StockCount[Part Name],$A10,T_StockCount[WeekIndex],58),IF((('T_SelfStock'!BG14&lt;&gt;""))*(('T_TTAFStock'!BG14&lt;&gt;""))&gt;0,'T_SelfStock'!BG14+'T_TTAFStock'!BG14,BF10+'Grid_Incoming'!BG10-'Grid_Requirement'!BG10))</f>
        <v/>
      </c>
      <c r="BH10">
        <f>IF(COUNTIFS(T_StockCount[Part Name],$A10,T_StockCount[WeekIndex],59)&gt;0,SUMIFS(T_StockCount[CountedQty],T_StockCount[Part Name],$A10,T_StockCount[WeekIndex],59),IF((('T_SelfStock'!BH14&lt;&gt;""))*(('T_TTAFStock'!BH14&lt;&gt;""))&gt;0,'T_SelfStock'!BH14+'T_TTAFStock'!BH14,BG10+'Grid_Incoming'!BH10-'Grid_Requirement'!BH10))</f>
        <v/>
      </c>
      <c r="BI10">
        <f>IF(COUNTIFS(T_StockCount[Part Name],$A10,T_StockCount[WeekIndex],60)&gt;0,SUMIFS(T_StockCount[CountedQty],T_StockCount[Part Name],$A10,T_StockCount[WeekIndex],60),IF((('T_SelfStock'!BI14&lt;&gt;""))*(('T_TTAFStock'!BI14&lt;&gt;""))&gt;0,'T_SelfStock'!BI14+'T_TTAFStock'!BI14,BH10+'Grid_Incoming'!BI10-'Grid_Requirement'!BI10))</f>
        <v/>
      </c>
      <c r="BJ10">
        <f>IF(COUNTIFS(T_StockCount[Part Name],$A10,T_StockCount[WeekIndex],61)&gt;0,SUMIFS(T_StockCount[CountedQty],T_StockCount[Part Name],$A10,T_StockCount[WeekIndex],61),IF((('T_SelfStock'!BJ14&lt;&gt;""))*(('T_TTAFStock'!BJ14&lt;&gt;""))&gt;0,'T_SelfStock'!BJ14+'T_TTAFStock'!BJ14,BI10+'Grid_Incoming'!BJ10-'Grid_Requirement'!BJ10))</f>
        <v/>
      </c>
      <c r="BK10">
        <f>IF(COUNTIFS(T_StockCount[Part Name],$A10,T_StockCount[WeekIndex],62)&gt;0,SUMIFS(T_StockCount[CountedQty],T_StockCount[Part Name],$A10,T_StockCount[WeekIndex],62),IF((('T_SelfStock'!BK14&lt;&gt;""))*(('T_TTAFStock'!BK14&lt;&gt;""))&gt;0,'T_SelfStock'!BK14+'T_TTAFStock'!BK14,BJ10+'Grid_Incoming'!BK10-'Grid_Requirement'!BK10))</f>
        <v/>
      </c>
      <c r="BL10">
        <f>IF(COUNTIFS(T_StockCount[Part Name],$A10,T_StockCount[WeekIndex],63)&gt;0,SUMIFS(T_StockCount[CountedQty],T_StockCount[Part Name],$A10,T_StockCount[WeekIndex],63),IF((('T_SelfStock'!BL14&lt;&gt;""))*(('T_TTAFStock'!BL14&lt;&gt;""))&gt;0,'T_SelfStock'!BL14+'T_TTAFStock'!BL14,BK10+'Grid_Incoming'!BL10-'Grid_Requirement'!BL10))</f>
        <v/>
      </c>
      <c r="BM10">
        <f>IF(COUNTIFS(T_StockCount[Part Name],$A10,T_StockCount[WeekIndex],64)&gt;0,SUMIFS(T_StockCount[CountedQty],T_StockCount[Part Name],$A10,T_StockCount[WeekIndex],64),IF((('T_SelfStock'!BM14&lt;&gt;""))*(('T_TTAFStock'!BM14&lt;&gt;""))&gt;0,'T_SelfStock'!BM14+'T_TTAFStock'!BM14,BL10+'Grid_Incoming'!BM10-'Grid_Requirement'!BM10))</f>
        <v/>
      </c>
      <c r="BN10">
        <f>IF(COUNTIFS(T_StockCount[Part Name],$A10,T_StockCount[WeekIndex],65)&gt;0,SUMIFS(T_StockCount[CountedQty],T_StockCount[Part Name],$A10,T_StockCount[WeekIndex],65),IF((('T_SelfStock'!BN14&lt;&gt;""))*(('T_TTAFStock'!BN14&lt;&gt;""))&gt;0,'T_SelfStock'!BN14+'T_TTAFStock'!BN14,BM10+'Grid_Incoming'!BN10-'Grid_Requirement'!BN10))</f>
        <v/>
      </c>
      <c r="BO10">
        <f>IF(COUNTIFS(T_StockCount[Part Name],$A10,T_StockCount[WeekIndex],66)&gt;0,SUMIFS(T_StockCount[CountedQty],T_StockCount[Part Name],$A10,T_StockCount[WeekIndex],66),IF((('T_SelfStock'!BO14&lt;&gt;""))*(('T_TTAFStock'!BO14&lt;&gt;""))&gt;0,'T_SelfStock'!BO14+'T_TTAFStock'!BO14,BN10+'Grid_Incoming'!BO10-'Grid_Requirement'!BO10))</f>
        <v/>
      </c>
      <c r="BP10">
        <f>IF(COUNTIFS(T_StockCount[Part Name],$A10,T_StockCount[WeekIndex],67)&gt;0,SUMIFS(T_StockCount[CountedQty],T_StockCount[Part Name],$A10,T_StockCount[WeekIndex],67),IF((('T_SelfStock'!BP14&lt;&gt;""))*(('T_TTAFStock'!BP14&lt;&gt;""))&gt;0,'T_SelfStock'!BP14+'T_TTAFStock'!BP14,BO10+'Grid_Incoming'!BP10-'Grid_Requirement'!BP10))</f>
        <v/>
      </c>
      <c r="BQ10">
        <f>IF(COUNTIFS(T_StockCount[Part Name],$A10,T_StockCount[WeekIndex],68)&gt;0,SUMIFS(T_StockCount[CountedQty],T_StockCount[Part Name],$A10,T_StockCount[WeekIndex],68),IF((('T_SelfStock'!BQ14&lt;&gt;""))*(('T_TTAFStock'!BQ14&lt;&gt;""))&gt;0,'T_SelfStock'!BQ14+'T_TTAFStock'!BQ14,BP10+'Grid_Incoming'!BQ10-'Grid_Requirement'!BQ10))</f>
        <v/>
      </c>
      <c r="BR10">
        <f>IF(COUNTIFS(T_StockCount[Part Name],$A10,T_StockCount[WeekIndex],69)&gt;0,SUMIFS(T_StockCount[CountedQty],T_StockCount[Part Name],$A10,T_StockCount[WeekIndex],69),IF((('T_SelfStock'!BR14&lt;&gt;""))*(('T_TTAFStock'!BR14&lt;&gt;""))&gt;0,'T_SelfStock'!BR14+'T_TTAFStock'!BR14,BQ10+'Grid_Incoming'!BR10-'Grid_Requirement'!BR10))</f>
        <v/>
      </c>
      <c r="BS10">
        <f>IF(COUNTIFS(T_StockCount[Part Name],$A10,T_StockCount[WeekIndex],70)&gt;0,SUMIFS(T_StockCount[CountedQty],T_StockCount[Part Name],$A10,T_StockCount[WeekIndex],70),IF((('T_SelfStock'!BS14&lt;&gt;""))*(('T_TTAFStock'!BS14&lt;&gt;""))&gt;0,'T_SelfStock'!BS14+'T_TTAFStock'!BS14,BR10+'Grid_Incoming'!BS10-'Grid_Requirement'!BS10))</f>
        <v/>
      </c>
      <c r="BT10">
        <f>IF(COUNTIFS(T_StockCount[Part Name],$A10,T_StockCount[WeekIndex],71)&gt;0,SUMIFS(T_StockCount[CountedQty],T_StockCount[Part Name],$A10,T_StockCount[WeekIndex],71),IF((('T_SelfStock'!BT14&lt;&gt;""))*(('T_TTAFStock'!BT14&lt;&gt;""))&gt;0,'T_SelfStock'!BT14+'T_TTAFStock'!BT14,BS10+'Grid_Incoming'!BT10-'Grid_Requirement'!BT10))</f>
        <v/>
      </c>
      <c r="BU10">
        <f>IF(COUNTIFS(T_StockCount[Part Name],$A10,T_StockCount[WeekIndex],72)&gt;0,SUMIFS(T_StockCount[CountedQty],T_StockCount[Part Name],$A10,T_StockCount[WeekIndex],72),IF((('T_SelfStock'!BU14&lt;&gt;""))*(('T_TTAFStock'!BU14&lt;&gt;""))&gt;0,'T_SelfStock'!BU14+'T_TTAFStock'!BU14,BT10+'Grid_Incoming'!BU10-'Grid_Requirement'!BU10))</f>
        <v/>
      </c>
      <c r="BV10">
        <f>IF(COUNTIFS(T_StockCount[Part Name],$A10,T_StockCount[WeekIndex],73)&gt;0,SUMIFS(T_StockCount[CountedQty],T_StockCount[Part Name],$A10,T_StockCount[WeekIndex],73),IF((('T_SelfStock'!BV14&lt;&gt;""))*(('T_TTAFStock'!BV14&lt;&gt;""))&gt;0,'T_SelfStock'!BV14+'T_TTAFStock'!BV14,BU10+'Grid_Incoming'!BV10-'Grid_Requirement'!BV10))</f>
        <v/>
      </c>
      <c r="BW10">
        <f>IF(COUNTIFS(T_StockCount[Part Name],$A10,T_StockCount[WeekIndex],74)&gt;0,SUMIFS(T_StockCount[CountedQty],T_StockCount[Part Name],$A10,T_StockCount[WeekIndex],74),IF((('T_SelfStock'!BW14&lt;&gt;""))*(('T_TTAFStock'!BW14&lt;&gt;""))&gt;0,'T_SelfStock'!BW14+'T_TTAFStock'!BW14,BV10+'Grid_Incoming'!BW10-'Grid_Requirement'!BW10))</f>
        <v/>
      </c>
      <c r="BX10">
        <f>IF(COUNTIFS(T_StockCount[Part Name],$A10,T_StockCount[WeekIndex],75)&gt;0,SUMIFS(T_StockCount[CountedQty],T_StockCount[Part Name],$A10,T_StockCount[WeekIndex],75),IF((('T_SelfStock'!BX14&lt;&gt;""))*(('T_TTAFStock'!BX14&lt;&gt;""))&gt;0,'T_SelfStock'!BX14+'T_TTAFStock'!BX14,BW10+'Grid_Incoming'!BX10-'Grid_Requirement'!BX10))</f>
        <v/>
      </c>
      <c r="BY10">
        <f>IF(COUNTIFS(T_StockCount[Part Name],$A10,T_StockCount[WeekIndex],76)&gt;0,SUMIFS(T_StockCount[CountedQty],T_StockCount[Part Name],$A10,T_StockCount[WeekIndex],76),IF((('T_SelfStock'!BY14&lt;&gt;""))*(('T_TTAFStock'!BY14&lt;&gt;""))&gt;0,'T_SelfStock'!BY14+'T_TTAFStock'!BY14,BX10+'Grid_Incoming'!BY10-'Grid_Requirement'!BY10))</f>
        <v/>
      </c>
      <c r="BZ10">
        <f>IF(COUNTIFS(T_StockCount[Part Name],$A10,T_StockCount[WeekIndex],77)&gt;0,SUMIFS(T_StockCount[CountedQty],T_StockCount[Part Name],$A10,T_StockCount[WeekIndex],77),IF((('T_SelfStock'!BZ14&lt;&gt;""))*(('T_TTAFStock'!BZ14&lt;&gt;""))&gt;0,'T_SelfStock'!BZ14+'T_TTAFStock'!BZ14,BY10+'Grid_Incoming'!BZ10-'Grid_Requirement'!BZ10))</f>
        <v/>
      </c>
      <c r="CA10">
        <f>IF(COUNTIFS(T_StockCount[Part Name],$A10,T_StockCount[WeekIndex],78)&gt;0,SUMIFS(T_StockCount[CountedQty],T_StockCount[Part Name],$A10,T_StockCount[WeekIndex],78),IF((('T_SelfStock'!CA14&lt;&gt;""))*(('T_TTAFStock'!CA14&lt;&gt;""))&gt;0,'T_SelfStock'!CA14+'T_TTAFStock'!CA14,BZ10+'Grid_Incoming'!CA10-'Grid_Requirement'!CA10))</f>
        <v/>
      </c>
      <c r="CB10">
        <f>IF(COUNTIFS(T_StockCount[Part Name],$A10,T_StockCount[WeekIndex],79)&gt;0,SUMIFS(T_StockCount[CountedQty],T_StockCount[Part Name],$A10,T_StockCount[WeekIndex],79),IF((('T_SelfStock'!CB14&lt;&gt;""))*(('T_TTAFStock'!CB14&lt;&gt;""))&gt;0,'T_SelfStock'!CB14+'T_TTAFStock'!CB14,CA10+'Grid_Incoming'!CB10-'Grid_Requirement'!CB10))</f>
        <v/>
      </c>
      <c r="CC10">
        <f>IF(COUNTIFS(T_StockCount[Part Name],$A10,T_StockCount[WeekIndex],80)&gt;0,SUMIFS(T_StockCount[CountedQty],T_StockCount[Part Name],$A10,T_StockCount[WeekIndex],80),IF((('T_SelfStock'!CC14&lt;&gt;""))*(('T_TTAFStock'!CC14&lt;&gt;""))&gt;0,'T_SelfStock'!CC14+'T_TTAFStock'!CC14,CB10+'Grid_Incoming'!CC10-'Grid_Requirement'!CC10))</f>
        <v/>
      </c>
      <c r="CD10">
        <f>IF(COUNTIFS(T_StockCount[Part Name],$A10,T_StockCount[WeekIndex],81)&gt;0,SUMIFS(T_StockCount[CountedQty],T_StockCount[Part Name],$A10,T_StockCount[WeekIndex],81),IF((('T_SelfStock'!CD14&lt;&gt;""))*(('T_TTAFStock'!CD14&lt;&gt;""))&gt;0,'T_SelfStock'!CD14+'T_TTAFStock'!CD14,CC10+'Grid_Incoming'!CD10-'Grid_Requirement'!CD10))</f>
        <v/>
      </c>
      <c r="CE10">
        <f>IF(COUNTIFS(T_StockCount[Part Name],$A10,T_StockCount[WeekIndex],82)&gt;0,SUMIFS(T_StockCount[CountedQty],T_StockCount[Part Name],$A10,T_StockCount[WeekIndex],82),IF((('T_SelfStock'!CE14&lt;&gt;""))*(('T_TTAFStock'!CE14&lt;&gt;""))&gt;0,'T_SelfStock'!CE14+'T_TTAFStock'!CE14,CD10+'Grid_Incoming'!CE10-'Grid_Requirement'!CE10))</f>
        <v/>
      </c>
      <c r="CF10">
        <f>IF(COUNTIFS(T_StockCount[Part Name],$A10,T_StockCount[WeekIndex],83)&gt;0,SUMIFS(T_StockCount[CountedQty],T_StockCount[Part Name],$A10,T_StockCount[WeekIndex],83),IF((('T_SelfStock'!CF14&lt;&gt;""))*(('T_TTAFStock'!CF14&lt;&gt;""))&gt;0,'T_SelfStock'!CF14+'T_TTAFStock'!CF14,CE10+'Grid_Incoming'!CF10-'Grid_Requirement'!CF10))</f>
        <v/>
      </c>
      <c r="CG10">
        <f>IF(COUNTIFS(T_StockCount[Part Name],$A10,T_StockCount[WeekIndex],84)&gt;0,SUMIFS(T_StockCount[CountedQty],T_StockCount[Part Name],$A10,T_StockCount[WeekIndex],84),IF((('T_SelfStock'!CG14&lt;&gt;""))*(('T_TTAFStock'!CG14&lt;&gt;""))&gt;0,'T_SelfStock'!CG14+'T_TTAFStock'!CG14,CF10+'Grid_Incoming'!CG10-'Grid_Requirement'!CG10))</f>
        <v/>
      </c>
      <c r="CH10">
        <f>IF(COUNTIFS(T_StockCount[Part Name],$A10,T_StockCount[WeekIndex],85)&gt;0,SUMIFS(T_StockCount[CountedQty],T_StockCount[Part Name],$A10,T_StockCount[WeekIndex],85),IF((('T_SelfStock'!CH14&lt;&gt;""))*(('T_TTAFStock'!CH14&lt;&gt;""))&gt;0,'T_SelfStock'!CH14+'T_TTAFStock'!CH14,CG10+'Grid_Incoming'!CH10-'Grid_Requirement'!CH10))</f>
        <v/>
      </c>
      <c r="CI10">
        <f>IF(COUNTIFS(T_StockCount[Part Name],$A10,T_StockCount[WeekIndex],86)&gt;0,SUMIFS(T_StockCount[CountedQty],T_StockCount[Part Name],$A10,T_StockCount[WeekIndex],86),IF((('T_SelfStock'!CI14&lt;&gt;""))*(('T_TTAFStock'!CI14&lt;&gt;""))&gt;0,'T_SelfStock'!CI14+'T_TTAFStock'!CI14,CH10+'Grid_Incoming'!CI10-'Grid_Requirement'!CI10))</f>
        <v/>
      </c>
      <c r="CJ10">
        <f>IF(COUNTIFS(T_StockCount[Part Name],$A10,T_StockCount[WeekIndex],87)&gt;0,SUMIFS(T_StockCount[CountedQty],T_StockCount[Part Name],$A10,T_StockCount[WeekIndex],87),IF((('T_SelfStock'!CJ14&lt;&gt;""))*(('T_TTAFStock'!CJ14&lt;&gt;""))&gt;0,'T_SelfStock'!CJ14+'T_TTAFStock'!CJ14,CI10+'Grid_Incoming'!CJ10-'Grid_Requirement'!CJ10))</f>
        <v/>
      </c>
      <c r="CK10">
        <f>IF(COUNTIFS(T_StockCount[Part Name],$A10,T_StockCount[WeekIndex],88)&gt;0,SUMIFS(T_StockCount[CountedQty],T_StockCount[Part Name],$A10,T_StockCount[WeekIndex],88),IF((('T_SelfStock'!CK14&lt;&gt;""))*(('T_TTAFStock'!CK14&lt;&gt;""))&gt;0,'T_SelfStock'!CK14+'T_TTAFStock'!CK14,CJ10+'Grid_Incoming'!CK10-'Grid_Requirement'!CK10))</f>
        <v/>
      </c>
      <c r="CL10">
        <f>IF(COUNTIFS(T_StockCount[Part Name],$A10,T_StockCount[WeekIndex],89)&gt;0,SUMIFS(T_StockCount[CountedQty],T_StockCount[Part Name],$A10,T_StockCount[WeekIndex],89),IF((('T_SelfStock'!CL14&lt;&gt;""))*(('T_TTAFStock'!CL14&lt;&gt;""))&gt;0,'T_SelfStock'!CL14+'T_TTAFStock'!CL14,CK10+'Grid_Incoming'!CL10-'Grid_Requirement'!CL10))</f>
        <v/>
      </c>
      <c r="CM10">
        <f>IF(COUNTIFS(T_StockCount[Part Name],$A10,T_StockCount[WeekIndex],90)&gt;0,SUMIFS(T_StockCount[CountedQty],T_StockCount[Part Name],$A10,T_StockCount[WeekIndex],90),IF((('T_SelfStock'!CM14&lt;&gt;""))*(('T_TTAFStock'!CM14&lt;&gt;""))&gt;0,'T_SelfStock'!CM14+'T_TTAFStock'!CM14,CL10+'Grid_Incoming'!CM10-'Grid_Requirement'!CM10))</f>
        <v/>
      </c>
      <c r="CN10">
        <f>IF(COUNTIFS(T_StockCount[Part Name],$A10,T_StockCount[WeekIndex],91)&gt;0,SUMIFS(T_StockCount[CountedQty],T_StockCount[Part Name],$A10,T_StockCount[WeekIndex],91),IF((('T_SelfStock'!CN14&lt;&gt;""))*(('T_TTAFStock'!CN14&lt;&gt;""))&gt;0,'T_SelfStock'!CN14+'T_TTAFStock'!CN14,CM10+'Grid_Incoming'!CN10-'Grid_Requirement'!CN10))</f>
        <v/>
      </c>
      <c r="CO10">
        <f>IF(COUNTIFS(T_StockCount[Part Name],$A10,T_StockCount[WeekIndex],92)&gt;0,SUMIFS(T_StockCount[CountedQty],T_StockCount[Part Name],$A10,T_StockCount[WeekIndex],92),IF((('T_SelfStock'!CO14&lt;&gt;""))*(('T_TTAFStock'!CO14&lt;&gt;""))&gt;0,'T_SelfStock'!CO14+'T_TTAFStock'!CO14,CN10+'Grid_Incoming'!CO10-'Grid_Requirement'!CO10))</f>
        <v/>
      </c>
      <c r="CP10">
        <f>IF(COUNTIFS(T_StockCount[Part Name],$A10,T_StockCount[WeekIndex],93)&gt;0,SUMIFS(T_StockCount[CountedQty],T_StockCount[Part Name],$A10,T_StockCount[WeekIndex],93),IF((('T_SelfStock'!CP14&lt;&gt;""))*(('T_TTAFStock'!CP14&lt;&gt;""))&gt;0,'T_SelfStock'!CP14+'T_TTAFStock'!CP14,CO10+'Grid_Incoming'!CP10-'Grid_Requirement'!CP10))</f>
        <v/>
      </c>
      <c r="CQ10">
        <f>IF(COUNTIFS(T_StockCount[Part Name],$A10,T_StockCount[WeekIndex],94)&gt;0,SUMIFS(T_StockCount[CountedQty],T_StockCount[Part Name],$A10,T_StockCount[WeekIndex],94),IF((('T_SelfStock'!CQ14&lt;&gt;""))*(('T_TTAFStock'!CQ14&lt;&gt;""))&gt;0,'T_SelfStock'!CQ14+'T_TTAFStock'!CQ14,CP10+'Grid_Incoming'!CQ10-'Grid_Requirement'!CQ10))</f>
        <v/>
      </c>
      <c r="CR10">
        <f>IF(COUNTIFS(T_StockCount[Part Name],$A10,T_StockCount[WeekIndex],95)&gt;0,SUMIFS(T_StockCount[CountedQty],T_StockCount[Part Name],$A10,T_StockCount[WeekIndex],95),IF((('T_SelfStock'!CR14&lt;&gt;""))*(('T_TTAFStock'!CR14&lt;&gt;""))&gt;0,'T_SelfStock'!CR14+'T_TTAFStock'!CR14,CQ10+'Grid_Incoming'!CR10-'Grid_Requirement'!CR10))</f>
        <v/>
      </c>
      <c r="CS10">
        <f>IF(COUNTIFS(T_StockCount[Part Name],$A10,T_StockCount[WeekIndex],96)&gt;0,SUMIFS(T_StockCount[CountedQty],T_StockCount[Part Name],$A10,T_StockCount[WeekIndex],96),IF((('T_SelfStock'!CS14&lt;&gt;""))*(('T_TTAFStock'!CS14&lt;&gt;""))&gt;0,'T_SelfStock'!CS14+'T_TTAFStock'!CS14,CR10+'Grid_Incoming'!CS10-'Grid_Requirement'!CS10))</f>
        <v/>
      </c>
      <c r="CT10">
        <f>IF(COUNTIFS(T_StockCount[Part Name],$A10,T_StockCount[WeekIndex],97)&gt;0,SUMIFS(T_StockCount[CountedQty],T_StockCount[Part Name],$A10,T_StockCount[WeekIndex],97),IF((('T_SelfStock'!CT14&lt;&gt;""))*(('T_TTAFStock'!CT14&lt;&gt;""))&gt;0,'T_SelfStock'!CT14+'T_TTAFStock'!CT14,CS10+'Grid_Incoming'!CT10-'Grid_Requirement'!CT10))</f>
        <v/>
      </c>
      <c r="CU10">
        <f>IF(COUNTIFS(T_StockCount[Part Name],$A10,T_StockCount[WeekIndex],98)&gt;0,SUMIFS(T_StockCount[CountedQty],T_StockCount[Part Name],$A10,T_StockCount[WeekIndex],98),IF((('T_SelfStock'!CU14&lt;&gt;""))*(('T_TTAFStock'!CU14&lt;&gt;""))&gt;0,'T_SelfStock'!CU14+'T_TTAFStock'!CU14,CT10+'Grid_Incoming'!CU10-'Grid_Requirement'!CU10))</f>
        <v/>
      </c>
      <c r="CV10">
        <f>IF(COUNTIFS(T_StockCount[Part Name],$A10,T_StockCount[WeekIndex],99)&gt;0,SUMIFS(T_StockCount[CountedQty],T_StockCount[Part Name],$A10,T_StockCount[WeekIndex],99),IF((('T_SelfStock'!CV14&lt;&gt;""))*(('T_TTAFStock'!CV14&lt;&gt;""))&gt;0,'T_SelfStock'!CV14+'T_TTAFStock'!CV14,CU10+'Grid_Incoming'!CV10-'Grid_Requirement'!CV10))</f>
        <v/>
      </c>
      <c r="CW10">
        <f>IF(COUNTIFS(T_StockCount[Part Name],$A10,T_StockCount[WeekIndex],100)&gt;0,SUMIFS(T_StockCount[CountedQty],T_StockCount[Part Name],$A10,T_StockCount[WeekIndex],100),IF((('T_SelfStock'!CW14&lt;&gt;""))*(('T_TTAFStock'!CW14&lt;&gt;""))&gt;0,'T_SelfStock'!CW14+'T_TTAFStock'!CW14,CV10+'Grid_Incoming'!CW10-'Grid_Requirement'!CW10))</f>
        <v/>
      </c>
      <c r="CX10">
        <f>IF(COUNTIFS(T_StockCount[Part Name],$A10,T_StockCount[WeekIndex],101)&gt;0,SUMIFS(T_StockCount[CountedQty],T_StockCount[Part Name],$A10,T_StockCount[WeekIndex],101),IF((('T_SelfStock'!CX14&lt;&gt;""))*(('T_TTAFStock'!CX14&lt;&gt;""))&gt;0,'T_SelfStock'!CX14+'T_TTAFStock'!CX14,CW10+'Grid_Incoming'!CX10-'Grid_Requirement'!CX10))</f>
        <v/>
      </c>
      <c r="CY10">
        <f>IF(COUNTIFS(T_StockCount[Part Name],$A10,T_StockCount[WeekIndex],102)&gt;0,SUMIFS(T_StockCount[CountedQty],T_StockCount[Part Name],$A10,T_StockCount[WeekIndex],102),IF((('T_SelfStock'!CY14&lt;&gt;""))*(('T_TTAFStock'!CY14&lt;&gt;""))&gt;0,'T_SelfStock'!CY14+'T_TTAFStock'!CY14,CX10+'Grid_Incoming'!CY10-'Grid_Requirement'!CY10))</f>
        <v/>
      </c>
      <c r="CZ10">
        <f>IF(COUNTIFS(T_StockCount[Part Name],$A10,T_StockCount[WeekIndex],103)&gt;0,SUMIFS(T_StockCount[CountedQty],T_StockCount[Part Name],$A10,T_StockCount[WeekIndex],103),IF((('T_SelfStock'!CZ14&lt;&gt;""))*(('T_TTAFStock'!CZ14&lt;&gt;""))&gt;0,'T_SelfStock'!CZ14+'T_TTAFStock'!CZ14,CY10+'Grid_Incoming'!CZ10-'Grid_Requirement'!CZ10))</f>
        <v/>
      </c>
      <c r="DA10">
        <f>IF(COUNTIFS(T_StockCount[Part Name],$A10,T_StockCount[WeekIndex],104)&gt;0,SUMIFS(T_StockCount[CountedQty],T_StockCount[Part Name],$A10,T_StockCount[WeekIndex],104),IF((('T_SelfStock'!DA14&lt;&gt;""))*(('T_TTAFStock'!DA14&lt;&gt;""))&gt;0,'T_SelfStock'!DA14+'T_TTAFStock'!DA14,CZ10+'Grid_Incoming'!DA10-'Grid_Requirement'!DA10))</f>
        <v/>
      </c>
    </row>
    <row r="11">
      <c r="A11" t="inlineStr">
        <is>
          <t>JEJ</t>
        </is>
      </c>
      <c r="B11">
        <f>IF(COUNTIFS(T_StockCount[Part Name],$A11,T_StockCount[WeekIndex],1)&gt;0,SUMIFS(T_StockCount[CountedQty],T_StockCount[Part Name],$A11,T_StockCount[WeekIndex],1),IF((('T_SelfStock'!B15&lt;&gt;""))*(('T_TTAFStock'!B15&lt;&gt;""))&gt;0,'T_SelfStock'!B15+'T_TTAFStock'!B15,IFERROR(INDEX(T_OpeningStock[Opening_Qty_要入力],MATCH($A11,T_OpeningStock[Part Name],0)),0)+'Grid_Incoming'!B11-'Grid_Requirement'!B11))</f>
        <v/>
      </c>
      <c r="C11">
        <f>IF(COUNTIFS(T_StockCount[Part Name],$A11,T_StockCount[WeekIndex],2)&gt;0,SUMIFS(T_StockCount[CountedQty],T_StockCount[Part Name],$A11,T_StockCount[WeekIndex],2),IF((('T_SelfStock'!C15&lt;&gt;""))*(('T_TTAFStock'!C15&lt;&gt;""))&gt;0,'T_SelfStock'!C15+'T_TTAFStock'!C15,B11+'Grid_Incoming'!C11-'Grid_Requirement'!C11))</f>
        <v/>
      </c>
      <c r="D11">
        <f>IF(COUNTIFS(T_StockCount[Part Name],$A11,T_StockCount[WeekIndex],3)&gt;0,SUMIFS(T_StockCount[CountedQty],T_StockCount[Part Name],$A11,T_StockCount[WeekIndex],3),IF((('T_SelfStock'!D15&lt;&gt;""))*(('T_TTAFStock'!D15&lt;&gt;""))&gt;0,'T_SelfStock'!D15+'T_TTAFStock'!D15,C11+'Grid_Incoming'!D11-'Grid_Requirement'!D11))</f>
        <v/>
      </c>
      <c r="E11">
        <f>IF(COUNTIFS(T_StockCount[Part Name],$A11,T_StockCount[WeekIndex],4)&gt;0,SUMIFS(T_StockCount[CountedQty],T_StockCount[Part Name],$A11,T_StockCount[WeekIndex],4),IF((('T_SelfStock'!E15&lt;&gt;""))*(('T_TTAFStock'!E15&lt;&gt;""))&gt;0,'T_SelfStock'!E15+'T_TTAFStock'!E15,D11+'Grid_Incoming'!E11-'Grid_Requirement'!E11))</f>
        <v/>
      </c>
      <c r="F11">
        <f>IF(COUNTIFS(T_StockCount[Part Name],$A11,T_StockCount[WeekIndex],5)&gt;0,SUMIFS(T_StockCount[CountedQty],T_StockCount[Part Name],$A11,T_StockCount[WeekIndex],5),IF((('T_SelfStock'!F15&lt;&gt;""))*(('T_TTAFStock'!F15&lt;&gt;""))&gt;0,'T_SelfStock'!F15+'T_TTAFStock'!F15,E11+'Grid_Incoming'!F11-'Grid_Requirement'!F11))</f>
        <v/>
      </c>
      <c r="G11">
        <f>IF(COUNTIFS(T_StockCount[Part Name],$A11,T_StockCount[WeekIndex],6)&gt;0,SUMIFS(T_StockCount[CountedQty],T_StockCount[Part Name],$A11,T_StockCount[WeekIndex],6),IF((('T_SelfStock'!G15&lt;&gt;""))*(('T_TTAFStock'!G15&lt;&gt;""))&gt;0,'T_SelfStock'!G15+'T_TTAFStock'!G15,F11+'Grid_Incoming'!G11-'Grid_Requirement'!G11))</f>
        <v/>
      </c>
      <c r="H11">
        <f>IF(COUNTIFS(T_StockCount[Part Name],$A11,T_StockCount[WeekIndex],7)&gt;0,SUMIFS(T_StockCount[CountedQty],T_StockCount[Part Name],$A11,T_StockCount[WeekIndex],7),IF((('T_SelfStock'!H15&lt;&gt;""))*(('T_TTAFStock'!H15&lt;&gt;""))&gt;0,'T_SelfStock'!H15+'T_TTAFStock'!H15,G11+'Grid_Incoming'!H11-'Grid_Requirement'!H11))</f>
        <v/>
      </c>
      <c r="I11">
        <f>IF(COUNTIFS(T_StockCount[Part Name],$A11,T_StockCount[WeekIndex],8)&gt;0,SUMIFS(T_StockCount[CountedQty],T_StockCount[Part Name],$A11,T_StockCount[WeekIndex],8),IF((('T_SelfStock'!I15&lt;&gt;""))*(('T_TTAFStock'!I15&lt;&gt;""))&gt;0,'T_SelfStock'!I15+'T_TTAFStock'!I15,H11+'Grid_Incoming'!I11-'Grid_Requirement'!I11))</f>
        <v/>
      </c>
      <c r="J11">
        <f>IF(COUNTIFS(T_StockCount[Part Name],$A11,T_StockCount[WeekIndex],9)&gt;0,SUMIFS(T_StockCount[CountedQty],T_StockCount[Part Name],$A11,T_StockCount[WeekIndex],9),IF((('T_SelfStock'!J15&lt;&gt;""))*(('T_TTAFStock'!J15&lt;&gt;""))&gt;0,'T_SelfStock'!J15+'T_TTAFStock'!J15,I11+'Grid_Incoming'!J11-'Grid_Requirement'!J11))</f>
        <v/>
      </c>
      <c r="K11">
        <f>IF(COUNTIFS(T_StockCount[Part Name],$A11,T_StockCount[WeekIndex],10)&gt;0,SUMIFS(T_StockCount[CountedQty],T_StockCount[Part Name],$A11,T_StockCount[WeekIndex],10),IF((('T_SelfStock'!K15&lt;&gt;""))*(('T_TTAFStock'!K15&lt;&gt;""))&gt;0,'T_SelfStock'!K15+'T_TTAFStock'!K15,J11+'Grid_Incoming'!K11-'Grid_Requirement'!K11))</f>
        <v/>
      </c>
      <c r="L11">
        <f>IF(COUNTIFS(T_StockCount[Part Name],$A11,T_StockCount[WeekIndex],11)&gt;0,SUMIFS(T_StockCount[CountedQty],T_StockCount[Part Name],$A11,T_StockCount[WeekIndex],11),IF((('T_SelfStock'!L15&lt;&gt;""))*(('T_TTAFStock'!L15&lt;&gt;""))&gt;0,'T_SelfStock'!L15+'T_TTAFStock'!L15,K11+'Grid_Incoming'!L11-'Grid_Requirement'!L11))</f>
        <v/>
      </c>
      <c r="M11">
        <f>IF(COUNTIFS(T_StockCount[Part Name],$A11,T_StockCount[WeekIndex],12)&gt;0,SUMIFS(T_StockCount[CountedQty],T_StockCount[Part Name],$A11,T_StockCount[WeekIndex],12),IF((('T_SelfStock'!M15&lt;&gt;""))*(('T_TTAFStock'!M15&lt;&gt;""))&gt;0,'T_SelfStock'!M15+'T_TTAFStock'!M15,L11+'Grid_Incoming'!M11-'Grid_Requirement'!M11))</f>
        <v/>
      </c>
      <c r="N11">
        <f>IF(COUNTIFS(T_StockCount[Part Name],$A11,T_StockCount[WeekIndex],13)&gt;0,SUMIFS(T_StockCount[CountedQty],T_StockCount[Part Name],$A11,T_StockCount[WeekIndex],13),IF((('T_SelfStock'!N15&lt;&gt;""))*(('T_TTAFStock'!N15&lt;&gt;""))&gt;0,'T_SelfStock'!N15+'T_TTAFStock'!N15,M11+'Grid_Incoming'!N11-'Grid_Requirement'!N11))</f>
        <v/>
      </c>
      <c r="O11">
        <f>IF(COUNTIFS(T_StockCount[Part Name],$A11,T_StockCount[WeekIndex],14)&gt;0,SUMIFS(T_StockCount[CountedQty],T_StockCount[Part Name],$A11,T_StockCount[WeekIndex],14),IF((('T_SelfStock'!O15&lt;&gt;""))*(('T_TTAFStock'!O15&lt;&gt;""))&gt;0,'T_SelfStock'!O15+'T_TTAFStock'!O15,N11+'Grid_Incoming'!O11-'Grid_Requirement'!O11))</f>
        <v/>
      </c>
      <c r="P11">
        <f>IF(COUNTIFS(T_StockCount[Part Name],$A11,T_StockCount[WeekIndex],15)&gt;0,SUMIFS(T_StockCount[CountedQty],T_StockCount[Part Name],$A11,T_StockCount[WeekIndex],15),IF((('T_SelfStock'!P15&lt;&gt;""))*(('T_TTAFStock'!P15&lt;&gt;""))&gt;0,'T_SelfStock'!P15+'T_TTAFStock'!P15,O11+'Grid_Incoming'!P11-'Grid_Requirement'!P11))</f>
        <v/>
      </c>
      <c r="Q11">
        <f>IF(COUNTIFS(T_StockCount[Part Name],$A11,T_StockCount[WeekIndex],16)&gt;0,SUMIFS(T_StockCount[CountedQty],T_StockCount[Part Name],$A11,T_StockCount[WeekIndex],16),IF((('T_SelfStock'!Q15&lt;&gt;""))*(('T_TTAFStock'!Q15&lt;&gt;""))&gt;0,'T_SelfStock'!Q15+'T_TTAFStock'!Q15,P11+'Grid_Incoming'!Q11-'Grid_Requirement'!Q11))</f>
        <v/>
      </c>
      <c r="R11">
        <f>IF(COUNTIFS(T_StockCount[Part Name],$A11,T_StockCount[WeekIndex],17)&gt;0,SUMIFS(T_StockCount[CountedQty],T_StockCount[Part Name],$A11,T_StockCount[WeekIndex],17),IF((('T_SelfStock'!R15&lt;&gt;""))*(('T_TTAFStock'!R15&lt;&gt;""))&gt;0,'T_SelfStock'!R15+'T_TTAFStock'!R15,Q11+'Grid_Incoming'!R11-'Grid_Requirement'!R11))</f>
        <v/>
      </c>
      <c r="S11">
        <f>IF(COUNTIFS(T_StockCount[Part Name],$A11,T_StockCount[WeekIndex],18)&gt;0,SUMIFS(T_StockCount[CountedQty],T_StockCount[Part Name],$A11,T_StockCount[WeekIndex],18),IF((('T_SelfStock'!S15&lt;&gt;""))*(('T_TTAFStock'!S15&lt;&gt;""))&gt;0,'T_SelfStock'!S15+'T_TTAFStock'!S15,R11+'Grid_Incoming'!S11-'Grid_Requirement'!S11))</f>
        <v/>
      </c>
      <c r="T11">
        <f>IF(COUNTIFS(T_StockCount[Part Name],$A11,T_StockCount[WeekIndex],19)&gt;0,SUMIFS(T_StockCount[CountedQty],T_StockCount[Part Name],$A11,T_StockCount[WeekIndex],19),IF((('T_SelfStock'!T15&lt;&gt;""))*(('T_TTAFStock'!T15&lt;&gt;""))&gt;0,'T_SelfStock'!T15+'T_TTAFStock'!T15,S11+'Grid_Incoming'!T11-'Grid_Requirement'!T11))</f>
        <v/>
      </c>
      <c r="U11">
        <f>IF(COUNTIFS(T_StockCount[Part Name],$A11,T_StockCount[WeekIndex],20)&gt;0,SUMIFS(T_StockCount[CountedQty],T_StockCount[Part Name],$A11,T_StockCount[WeekIndex],20),IF((('T_SelfStock'!U15&lt;&gt;""))*(('T_TTAFStock'!U15&lt;&gt;""))&gt;0,'T_SelfStock'!U15+'T_TTAFStock'!U15,T11+'Grid_Incoming'!U11-'Grid_Requirement'!U11))</f>
        <v/>
      </c>
      <c r="V11">
        <f>IF(COUNTIFS(T_StockCount[Part Name],$A11,T_StockCount[WeekIndex],21)&gt;0,SUMIFS(T_StockCount[CountedQty],T_StockCount[Part Name],$A11,T_StockCount[WeekIndex],21),IF((('T_SelfStock'!V15&lt;&gt;""))*(('T_TTAFStock'!V15&lt;&gt;""))&gt;0,'T_SelfStock'!V15+'T_TTAFStock'!V15,U11+'Grid_Incoming'!V11-'Grid_Requirement'!V11))</f>
        <v/>
      </c>
      <c r="W11">
        <f>IF(COUNTIFS(T_StockCount[Part Name],$A11,T_StockCount[WeekIndex],22)&gt;0,SUMIFS(T_StockCount[CountedQty],T_StockCount[Part Name],$A11,T_StockCount[WeekIndex],22),IF((('T_SelfStock'!W15&lt;&gt;""))*(('T_TTAFStock'!W15&lt;&gt;""))&gt;0,'T_SelfStock'!W15+'T_TTAFStock'!W15,V11+'Grid_Incoming'!W11-'Grid_Requirement'!W11))</f>
        <v/>
      </c>
      <c r="X11">
        <f>IF(COUNTIFS(T_StockCount[Part Name],$A11,T_StockCount[WeekIndex],23)&gt;0,SUMIFS(T_StockCount[CountedQty],T_StockCount[Part Name],$A11,T_StockCount[WeekIndex],23),IF((('T_SelfStock'!X15&lt;&gt;""))*(('T_TTAFStock'!X15&lt;&gt;""))&gt;0,'T_SelfStock'!X15+'T_TTAFStock'!X15,W11+'Grid_Incoming'!X11-'Grid_Requirement'!X11))</f>
        <v/>
      </c>
      <c r="Y11">
        <f>IF(COUNTIFS(T_StockCount[Part Name],$A11,T_StockCount[WeekIndex],24)&gt;0,SUMIFS(T_StockCount[CountedQty],T_StockCount[Part Name],$A11,T_StockCount[WeekIndex],24),IF((('T_SelfStock'!Y15&lt;&gt;""))*(('T_TTAFStock'!Y15&lt;&gt;""))&gt;0,'T_SelfStock'!Y15+'T_TTAFStock'!Y15,X11+'Grid_Incoming'!Y11-'Grid_Requirement'!Y11))</f>
        <v/>
      </c>
      <c r="Z11">
        <f>IF(COUNTIFS(T_StockCount[Part Name],$A11,T_StockCount[WeekIndex],25)&gt;0,SUMIFS(T_StockCount[CountedQty],T_StockCount[Part Name],$A11,T_StockCount[WeekIndex],25),IF((('T_SelfStock'!Z15&lt;&gt;""))*(('T_TTAFStock'!Z15&lt;&gt;""))&gt;0,'T_SelfStock'!Z15+'T_TTAFStock'!Z15,Y11+'Grid_Incoming'!Z11-'Grid_Requirement'!Z11))</f>
        <v/>
      </c>
      <c r="AA11">
        <f>IF(COUNTIFS(T_StockCount[Part Name],$A11,T_StockCount[WeekIndex],26)&gt;0,SUMIFS(T_StockCount[CountedQty],T_StockCount[Part Name],$A11,T_StockCount[WeekIndex],26),IF((('T_SelfStock'!AA15&lt;&gt;""))*(('T_TTAFStock'!AA15&lt;&gt;""))&gt;0,'T_SelfStock'!AA15+'T_TTAFStock'!AA15,Z11+'Grid_Incoming'!AA11-'Grid_Requirement'!AA11))</f>
        <v/>
      </c>
      <c r="AB11">
        <f>IF(COUNTIFS(T_StockCount[Part Name],$A11,T_StockCount[WeekIndex],27)&gt;0,SUMIFS(T_StockCount[CountedQty],T_StockCount[Part Name],$A11,T_StockCount[WeekIndex],27),IF((('T_SelfStock'!AB15&lt;&gt;""))*(('T_TTAFStock'!AB15&lt;&gt;""))&gt;0,'T_SelfStock'!AB15+'T_TTAFStock'!AB15,AA11+'Grid_Incoming'!AB11-'Grid_Requirement'!AB11))</f>
        <v/>
      </c>
      <c r="AC11">
        <f>IF(COUNTIFS(T_StockCount[Part Name],$A11,T_StockCount[WeekIndex],28)&gt;0,SUMIFS(T_StockCount[CountedQty],T_StockCount[Part Name],$A11,T_StockCount[WeekIndex],28),IF((('T_SelfStock'!AC15&lt;&gt;""))*(('T_TTAFStock'!AC15&lt;&gt;""))&gt;0,'T_SelfStock'!AC15+'T_TTAFStock'!AC15,AB11+'Grid_Incoming'!AC11-'Grid_Requirement'!AC11))</f>
        <v/>
      </c>
      <c r="AD11">
        <f>IF(COUNTIFS(T_StockCount[Part Name],$A11,T_StockCount[WeekIndex],29)&gt;0,SUMIFS(T_StockCount[CountedQty],T_StockCount[Part Name],$A11,T_StockCount[WeekIndex],29),IF((('T_SelfStock'!AD15&lt;&gt;""))*(('T_TTAFStock'!AD15&lt;&gt;""))&gt;0,'T_SelfStock'!AD15+'T_TTAFStock'!AD15,AC11+'Grid_Incoming'!AD11-'Grid_Requirement'!AD11))</f>
        <v/>
      </c>
      <c r="AE11">
        <f>IF(COUNTIFS(T_StockCount[Part Name],$A11,T_StockCount[WeekIndex],30)&gt;0,SUMIFS(T_StockCount[CountedQty],T_StockCount[Part Name],$A11,T_StockCount[WeekIndex],30),IF((('T_SelfStock'!AE15&lt;&gt;""))*(('T_TTAFStock'!AE15&lt;&gt;""))&gt;0,'T_SelfStock'!AE15+'T_TTAFStock'!AE15,AD11+'Grid_Incoming'!AE11-'Grid_Requirement'!AE11))</f>
        <v/>
      </c>
      <c r="AF11">
        <f>IF(COUNTIFS(T_StockCount[Part Name],$A11,T_StockCount[WeekIndex],31)&gt;0,SUMIFS(T_StockCount[CountedQty],T_StockCount[Part Name],$A11,T_StockCount[WeekIndex],31),IF((('T_SelfStock'!AF15&lt;&gt;""))*(('T_TTAFStock'!AF15&lt;&gt;""))&gt;0,'T_SelfStock'!AF15+'T_TTAFStock'!AF15,AE11+'Grid_Incoming'!AF11-'Grid_Requirement'!AF11))</f>
        <v/>
      </c>
      <c r="AG11">
        <f>IF(COUNTIFS(T_StockCount[Part Name],$A11,T_StockCount[WeekIndex],32)&gt;0,SUMIFS(T_StockCount[CountedQty],T_StockCount[Part Name],$A11,T_StockCount[WeekIndex],32),IF((('T_SelfStock'!AG15&lt;&gt;""))*(('T_TTAFStock'!AG15&lt;&gt;""))&gt;0,'T_SelfStock'!AG15+'T_TTAFStock'!AG15,AF11+'Grid_Incoming'!AG11-'Grid_Requirement'!AG11))</f>
        <v/>
      </c>
      <c r="AH11">
        <f>IF(COUNTIFS(T_StockCount[Part Name],$A11,T_StockCount[WeekIndex],33)&gt;0,SUMIFS(T_StockCount[CountedQty],T_StockCount[Part Name],$A11,T_StockCount[WeekIndex],33),IF((('T_SelfStock'!AH15&lt;&gt;""))*(('T_TTAFStock'!AH15&lt;&gt;""))&gt;0,'T_SelfStock'!AH15+'T_TTAFStock'!AH15,AG11+'Grid_Incoming'!AH11-'Grid_Requirement'!AH11))</f>
        <v/>
      </c>
      <c r="AI11">
        <f>IF(COUNTIFS(T_StockCount[Part Name],$A11,T_StockCount[WeekIndex],34)&gt;0,SUMIFS(T_StockCount[CountedQty],T_StockCount[Part Name],$A11,T_StockCount[WeekIndex],34),IF((('T_SelfStock'!AI15&lt;&gt;""))*(('T_TTAFStock'!AI15&lt;&gt;""))&gt;0,'T_SelfStock'!AI15+'T_TTAFStock'!AI15,AH11+'Grid_Incoming'!AI11-'Grid_Requirement'!AI11))</f>
        <v/>
      </c>
      <c r="AJ11">
        <f>IF(COUNTIFS(T_StockCount[Part Name],$A11,T_StockCount[WeekIndex],35)&gt;0,SUMIFS(T_StockCount[CountedQty],T_StockCount[Part Name],$A11,T_StockCount[WeekIndex],35),IF((('T_SelfStock'!AJ15&lt;&gt;""))*(('T_TTAFStock'!AJ15&lt;&gt;""))&gt;0,'T_SelfStock'!AJ15+'T_TTAFStock'!AJ15,AI11+'Grid_Incoming'!AJ11-'Grid_Requirement'!AJ11))</f>
        <v/>
      </c>
      <c r="AK11">
        <f>IF(COUNTIFS(T_StockCount[Part Name],$A11,T_StockCount[WeekIndex],36)&gt;0,SUMIFS(T_StockCount[CountedQty],T_StockCount[Part Name],$A11,T_StockCount[WeekIndex],36),IF((('T_SelfStock'!AK15&lt;&gt;""))*(('T_TTAFStock'!AK15&lt;&gt;""))&gt;0,'T_SelfStock'!AK15+'T_TTAFStock'!AK15,AJ11+'Grid_Incoming'!AK11-'Grid_Requirement'!AK11))</f>
        <v/>
      </c>
      <c r="AL11">
        <f>IF(COUNTIFS(T_StockCount[Part Name],$A11,T_StockCount[WeekIndex],37)&gt;0,SUMIFS(T_StockCount[CountedQty],T_StockCount[Part Name],$A11,T_StockCount[WeekIndex],37),IF((('T_SelfStock'!AL15&lt;&gt;""))*(('T_TTAFStock'!AL15&lt;&gt;""))&gt;0,'T_SelfStock'!AL15+'T_TTAFStock'!AL15,AK11+'Grid_Incoming'!AL11-'Grid_Requirement'!AL11))</f>
        <v/>
      </c>
      <c r="AM11">
        <f>IF(COUNTIFS(T_StockCount[Part Name],$A11,T_StockCount[WeekIndex],38)&gt;0,SUMIFS(T_StockCount[CountedQty],T_StockCount[Part Name],$A11,T_StockCount[WeekIndex],38),IF((('T_SelfStock'!AM15&lt;&gt;""))*(('T_TTAFStock'!AM15&lt;&gt;""))&gt;0,'T_SelfStock'!AM15+'T_TTAFStock'!AM15,AL11+'Grid_Incoming'!AM11-'Grid_Requirement'!AM11))</f>
        <v/>
      </c>
      <c r="AN11">
        <f>IF(COUNTIFS(T_StockCount[Part Name],$A11,T_StockCount[WeekIndex],39)&gt;0,SUMIFS(T_StockCount[CountedQty],T_StockCount[Part Name],$A11,T_StockCount[WeekIndex],39),IF((('T_SelfStock'!AN15&lt;&gt;""))*(('T_TTAFStock'!AN15&lt;&gt;""))&gt;0,'T_SelfStock'!AN15+'T_TTAFStock'!AN15,AM11+'Grid_Incoming'!AN11-'Grid_Requirement'!AN11))</f>
        <v/>
      </c>
      <c r="AO11">
        <f>IF(COUNTIFS(T_StockCount[Part Name],$A11,T_StockCount[WeekIndex],40)&gt;0,SUMIFS(T_StockCount[CountedQty],T_StockCount[Part Name],$A11,T_StockCount[WeekIndex],40),IF((('T_SelfStock'!AO15&lt;&gt;""))*(('T_TTAFStock'!AO15&lt;&gt;""))&gt;0,'T_SelfStock'!AO15+'T_TTAFStock'!AO15,AN11+'Grid_Incoming'!AO11-'Grid_Requirement'!AO11))</f>
        <v/>
      </c>
      <c r="AP11">
        <f>IF(COUNTIFS(T_StockCount[Part Name],$A11,T_StockCount[WeekIndex],41)&gt;0,SUMIFS(T_StockCount[CountedQty],T_StockCount[Part Name],$A11,T_StockCount[WeekIndex],41),IF((('T_SelfStock'!AP15&lt;&gt;""))*(('T_TTAFStock'!AP15&lt;&gt;""))&gt;0,'T_SelfStock'!AP15+'T_TTAFStock'!AP15,AO11+'Grid_Incoming'!AP11-'Grid_Requirement'!AP11))</f>
        <v/>
      </c>
      <c r="AQ11">
        <f>IF(COUNTIFS(T_StockCount[Part Name],$A11,T_StockCount[WeekIndex],42)&gt;0,SUMIFS(T_StockCount[CountedQty],T_StockCount[Part Name],$A11,T_StockCount[WeekIndex],42),IF((('T_SelfStock'!AQ15&lt;&gt;""))*(('T_TTAFStock'!AQ15&lt;&gt;""))&gt;0,'T_SelfStock'!AQ15+'T_TTAFStock'!AQ15,AP11+'Grid_Incoming'!AQ11-'Grid_Requirement'!AQ11))</f>
        <v/>
      </c>
      <c r="AR11">
        <f>IF(COUNTIFS(T_StockCount[Part Name],$A11,T_StockCount[WeekIndex],43)&gt;0,SUMIFS(T_StockCount[CountedQty],T_StockCount[Part Name],$A11,T_StockCount[WeekIndex],43),IF((('T_SelfStock'!AR15&lt;&gt;""))*(('T_TTAFStock'!AR15&lt;&gt;""))&gt;0,'T_SelfStock'!AR15+'T_TTAFStock'!AR15,AQ11+'Grid_Incoming'!AR11-'Grid_Requirement'!AR11))</f>
        <v/>
      </c>
      <c r="AS11">
        <f>IF(COUNTIFS(T_StockCount[Part Name],$A11,T_StockCount[WeekIndex],44)&gt;0,SUMIFS(T_StockCount[CountedQty],T_StockCount[Part Name],$A11,T_StockCount[WeekIndex],44),IF((('T_SelfStock'!AS15&lt;&gt;""))*(('T_TTAFStock'!AS15&lt;&gt;""))&gt;0,'T_SelfStock'!AS15+'T_TTAFStock'!AS15,AR11+'Grid_Incoming'!AS11-'Grid_Requirement'!AS11))</f>
        <v/>
      </c>
      <c r="AT11">
        <f>IF(COUNTIFS(T_StockCount[Part Name],$A11,T_StockCount[WeekIndex],45)&gt;0,SUMIFS(T_StockCount[CountedQty],T_StockCount[Part Name],$A11,T_StockCount[WeekIndex],45),IF((('T_SelfStock'!AT15&lt;&gt;""))*(('T_TTAFStock'!AT15&lt;&gt;""))&gt;0,'T_SelfStock'!AT15+'T_TTAFStock'!AT15,AS11+'Grid_Incoming'!AT11-'Grid_Requirement'!AT11))</f>
        <v/>
      </c>
      <c r="AU11">
        <f>IF(COUNTIFS(T_StockCount[Part Name],$A11,T_StockCount[WeekIndex],46)&gt;0,SUMIFS(T_StockCount[CountedQty],T_StockCount[Part Name],$A11,T_StockCount[WeekIndex],46),IF((('T_SelfStock'!AU15&lt;&gt;""))*(('T_TTAFStock'!AU15&lt;&gt;""))&gt;0,'T_SelfStock'!AU15+'T_TTAFStock'!AU15,AT11+'Grid_Incoming'!AU11-'Grid_Requirement'!AU11))</f>
        <v/>
      </c>
      <c r="AV11">
        <f>IF(COUNTIFS(T_StockCount[Part Name],$A11,T_StockCount[WeekIndex],47)&gt;0,SUMIFS(T_StockCount[CountedQty],T_StockCount[Part Name],$A11,T_StockCount[WeekIndex],47),IF((('T_SelfStock'!AV15&lt;&gt;""))*(('T_TTAFStock'!AV15&lt;&gt;""))&gt;0,'T_SelfStock'!AV15+'T_TTAFStock'!AV15,AU11+'Grid_Incoming'!AV11-'Grid_Requirement'!AV11))</f>
        <v/>
      </c>
      <c r="AW11">
        <f>IF(COUNTIFS(T_StockCount[Part Name],$A11,T_StockCount[WeekIndex],48)&gt;0,SUMIFS(T_StockCount[CountedQty],T_StockCount[Part Name],$A11,T_StockCount[WeekIndex],48),IF((('T_SelfStock'!AW15&lt;&gt;""))*(('T_TTAFStock'!AW15&lt;&gt;""))&gt;0,'T_SelfStock'!AW15+'T_TTAFStock'!AW15,AV11+'Grid_Incoming'!AW11-'Grid_Requirement'!AW11))</f>
        <v/>
      </c>
      <c r="AX11">
        <f>IF(COUNTIFS(T_StockCount[Part Name],$A11,T_StockCount[WeekIndex],49)&gt;0,SUMIFS(T_StockCount[CountedQty],T_StockCount[Part Name],$A11,T_StockCount[WeekIndex],49),IF((('T_SelfStock'!AX15&lt;&gt;""))*(('T_TTAFStock'!AX15&lt;&gt;""))&gt;0,'T_SelfStock'!AX15+'T_TTAFStock'!AX15,AW11+'Grid_Incoming'!AX11-'Grid_Requirement'!AX11))</f>
        <v/>
      </c>
      <c r="AY11">
        <f>IF(COUNTIFS(T_StockCount[Part Name],$A11,T_StockCount[WeekIndex],50)&gt;0,SUMIFS(T_StockCount[CountedQty],T_StockCount[Part Name],$A11,T_StockCount[WeekIndex],50),IF((('T_SelfStock'!AY15&lt;&gt;""))*(('T_TTAFStock'!AY15&lt;&gt;""))&gt;0,'T_SelfStock'!AY15+'T_TTAFStock'!AY15,AX11+'Grid_Incoming'!AY11-'Grid_Requirement'!AY11))</f>
        <v/>
      </c>
      <c r="AZ11">
        <f>IF(COUNTIFS(T_StockCount[Part Name],$A11,T_StockCount[WeekIndex],51)&gt;0,SUMIFS(T_StockCount[CountedQty],T_StockCount[Part Name],$A11,T_StockCount[WeekIndex],51),IF((('T_SelfStock'!AZ15&lt;&gt;""))*(('T_TTAFStock'!AZ15&lt;&gt;""))&gt;0,'T_SelfStock'!AZ15+'T_TTAFStock'!AZ15,AY11+'Grid_Incoming'!AZ11-'Grid_Requirement'!AZ11))</f>
        <v/>
      </c>
      <c r="BA11">
        <f>IF(COUNTIFS(T_StockCount[Part Name],$A11,T_StockCount[WeekIndex],52)&gt;0,SUMIFS(T_StockCount[CountedQty],T_StockCount[Part Name],$A11,T_StockCount[WeekIndex],52),IF((('T_SelfStock'!BA15&lt;&gt;""))*(('T_TTAFStock'!BA15&lt;&gt;""))&gt;0,'T_SelfStock'!BA15+'T_TTAFStock'!BA15,AZ11+'Grid_Incoming'!BA11-'Grid_Requirement'!BA11))</f>
        <v/>
      </c>
      <c r="BB11">
        <f>IF(COUNTIFS(T_StockCount[Part Name],$A11,T_StockCount[WeekIndex],53)&gt;0,SUMIFS(T_StockCount[CountedQty],T_StockCount[Part Name],$A11,T_StockCount[WeekIndex],53),IF((('T_SelfStock'!BB15&lt;&gt;""))*(('T_TTAFStock'!BB15&lt;&gt;""))&gt;0,'T_SelfStock'!BB15+'T_TTAFStock'!BB15,BA11+'Grid_Incoming'!BB11-'Grid_Requirement'!BB11))</f>
        <v/>
      </c>
      <c r="BC11">
        <f>IF(COUNTIFS(T_StockCount[Part Name],$A11,T_StockCount[WeekIndex],54)&gt;0,SUMIFS(T_StockCount[CountedQty],T_StockCount[Part Name],$A11,T_StockCount[WeekIndex],54),IF((('T_SelfStock'!BC15&lt;&gt;""))*(('T_TTAFStock'!BC15&lt;&gt;""))&gt;0,'T_SelfStock'!BC15+'T_TTAFStock'!BC15,BB11+'Grid_Incoming'!BC11-'Grid_Requirement'!BC11))</f>
        <v/>
      </c>
      <c r="BD11">
        <f>IF(COUNTIFS(T_StockCount[Part Name],$A11,T_StockCount[WeekIndex],55)&gt;0,SUMIFS(T_StockCount[CountedQty],T_StockCount[Part Name],$A11,T_StockCount[WeekIndex],55),IF((('T_SelfStock'!BD15&lt;&gt;""))*(('T_TTAFStock'!BD15&lt;&gt;""))&gt;0,'T_SelfStock'!BD15+'T_TTAFStock'!BD15,BC11+'Grid_Incoming'!BD11-'Grid_Requirement'!BD11))</f>
        <v/>
      </c>
      <c r="BE11">
        <f>IF(COUNTIFS(T_StockCount[Part Name],$A11,T_StockCount[WeekIndex],56)&gt;0,SUMIFS(T_StockCount[CountedQty],T_StockCount[Part Name],$A11,T_StockCount[WeekIndex],56),IF((('T_SelfStock'!BE15&lt;&gt;""))*(('T_TTAFStock'!BE15&lt;&gt;""))&gt;0,'T_SelfStock'!BE15+'T_TTAFStock'!BE15,BD11+'Grid_Incoming'!BE11-'Grid_Requirement'!BE11))</f>
        <v/>
      </c>
      <c r="BF11">
        <f>IF(COUNTIFS(T_StockCount[Part Name],$A11,T_StockCount[WeekIndex],57)&gt;0,SUMIFS(T_StockCount[CountedQty],T_StockCount[Part Name],$A11,T_StockCount[WeekIndex],57),IF((('T_SelfStock'!BF15&lt;&gt;""))*(('T_TTAFStock'!BF15&lt;&gt;""))&gt;0,'T_SelfStock'!BF15+'T_TTAFStock'!BF15,BE11+'Grid_Incoming'!BF11-'Grid_Requirement'!BF11))</f>
        <v/>
      </c>
      <c r="BG11">
        <f>IF(COUNTIFS(T_StockCount[Part Name],$A11,T_StockCount[WeekIndex],58)&gt;0,SUMIFS(T_StockCount[CountedQty],T_StockCount[Part Name],$A11,T_StockCount[WeekIndex],58),IF((('T_SelfStock'!BG15&lt;&gt;""))*(('T_TTAFStock'!BG15&lt;&gt;""))&gt;0,'T_SelfStock'!BG15+'T_TTAFStock'!BG15,BF11+'Grid_Incoming'!BG11-'Grid_Requirement'!BG11))</f>
        <v/>
      </c>
      <c r="BH11">
        <f>IF(COUNTIFS(T_StockCount[Part Name],$A11,T_StockCount[WeekIndex],59)&gt;0,SUMIFS(T_StockCount[CountedQty],T_StockCount[Part Name],$A11,T_StockCount[WeekIndex],59),IF((('T_SelfStock'!BH15&lt;&gt;""))*(('T_TTAFStock'!BH15&lt;&gt;""))&gt;0,'T_SelfStock'!BH15+'T_TTAFStock'!BH15,BG11+'Grid_Incoming'!BH11-'Grid_Requirement'!BH11))</f>
        <v/>
      </c>
      <c r="BI11">
        <f>IF(COUNTIFS(T_StockCount[Part Name],$A11,T_StockCount[WeekIndex],60)&gt;0,SUMIFS(T_StockCount[CountedQty],T_StockCount[Part Name],$A11,T_StockCount[WeekIndex],60),IF((('T_SelfStock'!BI15&lt;&gt;""))*(('T_TTAFStock'!BI15&lt;&gt;""))&gt;0,'T_SelfStock'!BI15+'T_TTAFStock'!BI15,BH11+'Grid_Incoming'!BI11-'Grid_Requirement'!BI11))</f>
        <v/>
      </c>
      <c r="BJ11">
        <f>IF(COUNTIFS(T_StockCount[Part Name],$A11,T_StockCount[WeekIndex],61)&gt;0,SUMIFS(T_StockCount[CountedQty],T_StockCount[Part Name],$A11,T_StockCount[WeekIndex],61),IF((('T_SelfStock'!BJ15&lt;&gt;""))*(('T_TTAFStock'!BJ15&lt;&gt;""))&gt;0,'T_SelfStock'!BJ15+'T_TTAFStock'!BJ15,BI11+'Grid_Incoming'!BJ11-'Grid_Requirement'!BJ11))</f>
        <v/>
      </c>
      <c r="BK11">
        <f>IF(COUNTIFS(T_StockCount[Part Name],$A11,T_StockCount[WeekIndex],62)&gt;0,SUMIFS(T_StockCount[CountedQty],T_StockCount[Part Name],$A11,T_StockCount[WeekIndex],62),IF((('T_SelfStock'!BK15&lt;&gt;""))*(('T_TTAFStock'!BK15&lt;&gt;""))&gt;0,'T_SelfStock'!BK15+'T_TTAFStock'!BK15,BJ11+'Grid_Incoming'!BK11-'Grid_Requirement'!BK11))</f>
        <v/>
      </c>
      <c r="BL11">
        <f>IF(COUNTIFS(T_StockCount[Part Name],$A11,T_StockCount[WeekIndex],63)&gt;0,SUMIFS(T_StockCount[CountedQty],T_StockCount[Part Name],$A11,T_StockCount[WeekIndex],63),IF((('T_SelfStock'!BL15&lt;&gt;""))*(('T_TTAFStock'!BL15&lt;&gt;""))&gt;0,'T_SelfStock'!BL15+'T_TTAFStock'!BL15,BK11+'Grid_Incoming'!BL11-'Grid_Requirement'!BL11))</f>
        <v/>
      </c>
      <c r="BM11">
        <f>IF(COUNTIFS(T_StockCount[Part Name],$A11,T_StockCount[WeekIndex],64)&gt;0,SUMIFS(T_StockCount[CountedQty],T_StockCount[Part Name],$A11,T_StockCount[WeekIndex],64),IF((('T_SelfStock'!BM15&lt;&gt;""))*(('T_TTAFStock'!BM15&lt;&gt;""))&gt;0,'T_SelfStock'!BM15+'T_TTAFStock'!BM15,BL11+'Grid_Incoming'!BM11-'Grid_Requirement'!BM11))</f>
        <v/>
      </c>
      <c r="BN11">
        <f>IF(COUNTIFS(T_StockCount[Part Name],$A11,T_StockCount[WeekIndex],65)&gt;0,SUMIFS(T_StockCount[CountedQty],T_StockCount[Part Name],$A11,T_StockCount[WeekIndex],65),IF((('T_SelfStock'!BN15&lt;&gt;""))*(('T_TTAFStock'!BN15&lt;&gt;""))&gt;0,'T_SelfStock'!BN15+'T_TTAFStock'!BN15,BM11+'Grid_Incoming'!BN11-'Grid_Requirement'!BN11))</f>
        <v/>
      </c>
      <c r="BO11">
        <f>IF(COUNTIFS(T_StockCount[Part Name],$A11,T_StockCount[WeekIndex],66)&gt;0,SUMIFS(T_StockCount[CountedQty],T_StockCount[Part Name],$A11,T_StockCount[WeekIndex],66),IF((('T_SelfStock'!BO15&lt;&gt;""))*(('T_TTAFStock'!BO15&lt;&gt;""))&gt;0,'T_SelfStock'!BO15+'T_TTAFStock'!BO15,BN11+'Grid_Incoming'!BO11-'Grid_Requirement'!BO11))</f>
        <v/>
      </c>
      <c r="BP11">
        <f>IF(COUNTIFS(T_StockCount[Part Name],$A11,T_StockCount[WeekIndex],67)&gt;0,SUMIFS(T_StockCount[CountedQty],T_StockCount[Part Name],$A11,T_StockCount[WeekIndex],67),IF((('T_SelfStock'!BP15&lt;&gt;""))*(('T_TTAFStock'!BP15&lt;&gt;""))&gt;0,'T_SelfStock'!BP15+'T_TTAFStock'!BP15,BO11+'Grid_Incoming'!BP11-'Grid_Requirement'!BP11))</f>
        <v/>
      </c>
      <c r="BQ11">
        <f>IF(COUNTIFS(T_StockCount[Part Name],$A11,T_StockCount[WeekIndex],68)&gt;0,SUMIFS(T_StockCount[CountedQty],T_StockCount[Part Name],$A11,T_StockCount[WeekIndex],68),IF((('T_SelfStock'!BQ15&lt;&gt;""))*(('T_TTAFStock'!BQ15&lt;&gt;""))&gt;0,'T_SelfStock'!BQ15+'T_TTAFStock'!BQ15,BP11+'Grid_Incoming'!BQ11-'Grid_Requirement'!BQ11))</f>
        <v/>
      </c>
      <c r="BR11">
        <f>IF(COUNTIFS(T_StockCount[Part Name],$A11,T_StockCount[WeekIndex],69)&gt;0,SUMIFS(T_StockCount[CountedQty],T_StockCount[Part Name],$A11,T_StockCount[WeekIndex],69),IF((('T_SelfStock'!BR15&lt;&gt;""))*(('T_TTAFStock'!BR15&lt;&gt;""))&gt;0,'T_SelfStock'!BR15+'T_TTAFStock'!BR15,BQ11+'Grid_Incoming'!BR11-'Grid_Requirement'!BR11))</f>
        <v/>
      </c>
      <c r="BS11">
        <f>IF(COUNTIFS(T_StockCount[Part Name],$A11,T_StockCount[WeekIndex],70)&gt;0,SUMIFS(T_StockCount[CountedQty],T_StockCount[Part Name],$A11,T_StockCount[WeekIndex],70),IF((('T_SelfStock'!BS15&lt;&gt;""))*(('T_TTAFStock'!BS15&lt;&gt;""))&gt;0,'T_SelfStock'!BS15+'T_TTAFStock'!BS15,BR11+'Grid_Incoming'!BS11-'Grid_Requirement'!BS11))</f>
        <v/>
      </c>
      <c r="BT11">
        <f>IF(COUNTIFS(T_StockCount[Part Name],$A11,T_StockCount[WeekIndex],71)&gt;0,SUMIFS(T_StockCount[CountedQty],T_StockCount[Part Name],$A11,T_StockCount[WeekIndex],71),IF((('T_SelfStock'!BT15&lt;&gt;""))*(('T_TTAFStock'!BT15&lt;&gt;""))&gt;0,'T_SelfStock'!BT15+'T_TTAFStock'!BT15,BS11+'Grid_Incoming'!BT11-'Grid_Requirement'!BT11))</f>
        <v/>
      </c>
      <c r="BU11">
        <f>IF(COUNTIFS(T_StockCount[Part Name],$A11,T_StockCount[WeekIndex],72)&gt;0,SUMIFS(T_StockCount[CountedQty],T_StockCount[Part Name],$A11,T_StockCount[WeekIndex],72),IF((('T_SelfStock'!BU15&lt;&gt;""))*(('T_TTAFStock'!BU15&lt;&gt;""))&gt;0,'T_SelfStock'!BU15+'T_TTAFStock'!BU15,BT11+'Grid_Incoming'!BU11-'Grid_Requirement'!BU11))</f>
        <v/>
      </c>
      <c r="BV11">
        <f>IF(COUNTIFS(T_StockCount[Part Name],$A11,T_StockCount[WeekIndex],73)&gt;0,SUMIFS(T_StockCount[CountedQty],T_StockCount[Part Name],$A11,T_StockCount[WeekIndex],73),IF((('T_SelfStock'!BV15&lt;&gt;""))*(('T_TTAFStock'!BV15&lt;&gt;""))&gt;0,'T_SelfStock'!BV15+'T_TTAFStock'!BV15,BU11+'Grid_Incoming'!BV11-'Grid_Requirement'!BV11))</f>
        <v/>
      </c>
      <c r="BW11">
        <f>IF(COUNTIFS(T_StockCount[Part Name],$A11,T_StockCount[WeekIndex],74)&gt;0,SUMIFS(T_StockCount[CountedQty],T_StockCount[Part Name],$A11,T_StockCount[WeekIndex],74),IF((('T_SelfStock'!BW15&lt;&gt;""))*(('T_TTAFStock'!BW15&lt;&gt;""))&gt;0,'T_SelfStock'!BW15+'T_TTAFStock'!BW15,BV11+'Grid_Incoming'!BW11-'Grid_Requirement'!BW11))</f>
        <v/>
      </c>
      <c r="BX11">
        <f>IF(COUNTIFS(T_StockCount[Part Name],$A11,T_StockCount[WeekIndex],75)&gt;0,SUMIFS(T_StockCount[CountedQty],T_StockCount[Part Name],$A11,T_StockCount[WeekIndex],75),IF((('T_SelfStock'!BX15&lt;&gt;""))*(('T_TTAFStock'!BX15&lt;&gt;""))&gt;0,'T_SelfStock'!BX15+'T_TTAFStock'!BX15,BW11+'Grid_Incoming'!BX11-'Grid_Requirement'!BX11))</f>
        <v/>
      </c>
      <c r="BY11">
        <f>IF(COUNTIFS(T_StockCount[Part Name],$A11,T_StockCount[WeekIndex],76)&gt;0,SUMIFS(T_StockCount[CountedQty],T_StockCount[Part Name],$A11,T_StockCount[WeekIndex],76),IF((('T_SelfStock'!BY15&lt;&gt;""))*(('T_TTAFStock'!BY15&lt;&gt;""))&gt;0,'T_SelfStock'!BY15+'T_TTAFStock'!BY15,BX11+'Grid_Incoming'!BY11-'Grid_Requirement'!BY11))</f>
        <v/>
      </c>
      <c r="BZ11">
        <f>IF(COUNTIFS(T_StockCount[Part Name],$A11,T_StockCount[WeekIndex],77)&gt;0,SUMIFS(T_StockCount[CountedQty],T_StockCount[Part Name],$A11,T_StockCount[WeekIndex],77),IF((('T_SelfStock'!BZ15&lt;&gt;""))*(('T_TTAFStock'!BZ15&lt;&gt;""))&gt;0,'T_SelfStock'!BZ15+'T_TTAFStock'!BZ15,BY11+'Grid_Incoming'!BZ11-'Grid_Requirement'!BZ11))</f>
        <v/>
      </c>
      <c r="CA11">
        <f>IF(COUNTIFS(T_StockCount[Part Name],$A11,T_StockCount[WeekIndex],78)&gt;0,SUMIFS(T_StockCount[CountedQty],T_StockCount[Part Name],$A11,T_StockCount[WeekIndex],78),IF((('T_SelfStock'!CA15&lt;&gt;""))*(('T_TTAFStock'!CA15&lt;&gt;""))&gt;0,'T_SelfStock'!CA15+'T_TTAFStock'!CA15,BZ11+'Grid_Incoming'!CA11-'Grid_Requirement'!CA11))</f>
        <v/>
      </c>
      <c r="CB11">
        <f>IF(COUNTIFS(T_StockCount[Part Name],$A11,T_StockCount[WeekIndex],79)&gt;0,SUMIFS(T_StockCount[CountedQty],T_StockCount[Part Name],$A11,T_StockCount[WeekIndex],79),IF((('T_SelfStock'!CB15&lt;&gt;""))*(('T_TTAFStock'!CB15&lt;&gt;""))&gt;0,'T_SelfStock'!CB15+'T_TTAFStock'!CB15,CA11+'Grid_Incoming'!CB11-'Grid_Requirement'!CB11))</f>
        <v/>
      </c>
      <c r="CC11">
        <f>IF(COUNTIFS(T_StockCount[Part Name],$A11,T_StockCount[WeekIndex],80)&gt;0,SUMIFS(T_StockCount[CountedQty],T_StockCount[Part Name],$A11,T_StockCount[WeekIndex],80),IF((('T_SelfStock'!CC15&lt;&gt;""))*(('T_TTAFStock'!CC15&lt;&gt;""))&gt;0,'T_SelfStock'!CC15+'T_TTAFStock'!CC15,CB11+'Grid_Incoming'!CC11-'Grid_Requirement'!CC11))</f>
        <v/>
      </c>
      <c r="CD11">
        <f>IF(COUNTIFS(T_StockCount[Part Name],$A11,T_StockCount[WeekIndex],81)&gt;0,SUMIFS(T_StockCount[CountedQty],T_StockCount[Part Name],$A11,T_StockCount[WeekIndex],81),IF((('T_SelfStock'!CD15&lt;&gt;""))*(('T_TTAFStock'!CD15&lt;&gt;""))&gt;0,'T_SelfStock'!CD15+'T_TTAFStock'!CD15,CC11+'Grid_Incoming'!CD11-'Grid_Requirement'!CD11))</f>
        <v/>
      </c>
      <c r="CE11">
        <f>IF(COUNTIFS(T_StockCount[Part Name],$A11,T_StockCount[WeekIndex],82)&gt;0,SUMIFS(T_StockCount[CountedQty],T_StockCount[Part Name],$A11,T_StockCount[WeekIndex],82),IF((('T_SelfStock'!CE15&lt;&gt;""))*(('T_TTAFStock'!CE15&lt;&gt;""))&gt;0,'T_SelfStock'!CE15+'T_TTAFStock'!CE15,CD11+'Grid_Incoming'!CE11-'Grid_Requirement'!CE11))</f>
        <v/>
      </c>
      <c r="CF11">
        <f>IF(COUNTIFS(T_StockCount[Part Name],$A11,T_StockCount[WeekIndex],83)&gt;0,SUMIFS(T_StockCount[CountedQty],T_StockCount[Part Name],$A11,T_StockCount[WeekIndex],83),IF((('T_SelfStock'!CF15&lt;&gt;""))*(('T_TTAFStock'!CF15&lt;&gt;""))&gt;0,'T_SelfStock'!CF15+'T_TTAFStock'!CF15,CE11+'Grid_Incoming'!CF11-'Grid_Requirement'!CF11))</f>
        <v/>
      </c>
      <c r="CG11">
        <f>IF(COUNTIFS(T_StockCount[Part Name],$A11,T_StockCount[WeekIndex],84)&gt;0,SUMIFS(T_StockCount[CountedQty],T_StockCount[Part Name],$A11,T_StockCount[WeekIndex],84),IF((('T_SelfStock'!CG15&lt;&gt;""))*(('T_TTAFStock'!CG15&lt;&gt;""))&gt;0,'T_SelfStock'!CG15+'T_TTAFStock'!CG15,CF11+'Grid_Incoming'!CG11-'Grid_Requirement'!CG11))</f>
        <v/>
      </c>
      <c r="CH11">
        <f>IF(COUNTIFS(T_StockCount[Part Name],$A11,T_StockCount[WeekIndex],85)&gt;0,SUMIFS(T_StockCount[CountedQty],T_StockCount[Part Name],$A11,T_StockCount[WeekIndex],85),IF((('T_SelfStock'!CH15&lt;&gt;""))*(('T_TTAFStock'!CH15&lt;&gt;""))&gt;0,'T_SelfStock'!CH15+'T_TTAFStock'!CH15,CG11+'Grid_Incoming'!CH11-'Grid_Requirement'!CH11))</f>
        <v/>
      </c>
      <c r="CI11">
        <f>IF(COUNTIFS(T_StockCount[Part Name],$A11,T_StockCount[WeekIndex],86)&gt;0,SUMIFS(T_StockCount[CountedQty],T_StockCount[Part Name],$A11,T_StockCount[WeekIndex],86),IF((('T_SelfStock'!CI15&lt;&gt;""))*(('T_TTAFStock'!CI15&lt;&gt;""))&gt;0,'T_SelfStock'!CI15+'T_TTAFStock'!CI15,CH11+'Grid_Incoming'!CI11-'Grid_Requirement'!CI11))</f>
        <v/>
      </c>
      <c r="CJ11">
        <f>IF(COUNTIFS(T_StockCount[Part Name],$A11,T_StockCount[WeekIndex],87)&gt;0,SUMIFS(T_StockCount[CountedQty],T_StockCount[Part Name],$A11,T_StockCount[WeekIndex],87),IF((('T_SelfStock'!CJ15&lt;&gt;""))*(('T_TTAFStock'!CJ15&lt;&gt;""))&gt;0,'T_SelfStock'!CJ15+'T_TTAFStock'!CJ15,CI11+'Grid_Incoming'!CJ11-'Grid_Requirement'!CJ11))</f>
        <v/>
      </c>
      <c r="CK11">
        <f>IF(COUNTIFS(T_StockCount[Part Name],$A11,T_StockCount[WeekIndex],88)&gt;0,SUMIFS(T_StockCount[CountedQty],T_StockCount[Part Name],$A11,T_StockCount[WeekIndex],88),IF((('T_SelfStock'!CK15&lt;&gt;""))*(('T_TTAFStock'!CK15&lt;&gt;""))&gt;0,'T_SelfStock'!CK15+'T_TTAFStock'!CK15,CJ11+'Grid_Incoming'!CK11-'Grid_Requirement'!CK11))</f>
        <v/>
      </c>
      <c r="CL11">
        <f>IF(COUNTIFS(T_StockCount[Part Name],$A11,T_StockCount[WeekIndex],89)&gt;0,SUMIFS(T_StockCount[CountedQty],T_StockCount[Part Name],$A11,T_StockCount[WeekIndex],89),IF((('T_SelfStock'!CL15&lt;&gt;""))*(('T_TTAFStock'!CL15&lt;&gt;""))&gt;0,'T_SelfStock'!CL15+'T_TTAFStock'!CL15,CK11+'Grid_Incoming'!CL11-'Grid_Requirement'!CL11))</f>
        <v/>
      </c>
      <c r="CM11">
        <f>IF(COUNTIFS(T_StockCount[Part Name],$A11,T_StockCount[WeekIndex],90)&gt;0,SUMIFS(T_StockCount[CountedQty],T_StockCount[Part Name],$A11,T_StockCount[WeekIndex],90),IF((('T_SelfStock'!CM15&lt;&gt;""))*(('T_TTAFStock'!CM15&lt;&gt;""))&gt;0,'T_SelfStock'!CM15+'T_TTAFStock'!CM15,CL11+'Grid_Incoming'!CM11-'Grid_Requirement'!CM11))</f>
        <v/>
      </c>
      <c r="CN11">
        <f>IF(COUNTIFS(T_StockCount[Part Name],$A11,T_StockCount[WeekIndex],91)&gt;0,SUMIFS(T_StockCount[CountedQty],T_StockCount[Part Name],$A11,T_StockCount[WeekIndex],91),IF((('T_SelfStock'!CN15&lt;&gt;""))*(('T_TTAFStock'!CN15&lt;&gt;""))&gt;0,'T_SelfStock'!CN15+'T_TTAFStock'!CN15,CM11+'Grid_Incoming'!CN11-'Grid_Requirement'!CN11))</f>
        <v/>
      </c>
      <c r="CO11">
        <f>IF(COUNTIFS(T_StockCount[Part Name],$A11,T_StockCount[WeekIndex],92)&gt;0,SUMIFS(T_StockCount[CountedQty],T_StockCount[Part Name],$A11,T_StockCount[WeekIndex],92),IF((('T_SelfStock'!CO15&lt;&gt;""))*(('T_TTAFStock'!CO15&lt;&gt;""))&gt;0,'T_SelfStock'!CO15+'T_TTAFStock'!CO15,CN11+'Grid_Incoming'!CO11-'Grid_Requirement'!CO11))</f>
        <v/>
      </c>
      <c r="CP11">
        <f>IF(COUNTIFS(T_StockCount[Part Name],$A11,T_StockCount[WeekIndex],93)&gt;0,SUMIFS(T_StockCount[CountedQty],T_StockCount[Part Name],$A11,T_StockCount[WeekIndex],93),IF((('T_SelfStock'!CP15&lt;&gt;""))*(('T_TTAFStock'!CP15&lt;&gt;""))&gt;0,'T_SelfStock'!CP15+'T_TTAFStock'!CP15,CO11+'Grid_Incoming'!CP11-'Grid_Requirement'!CP11))</f>
        <v/>
      </c>
      <c r="CQ11">
        <f>IF(COUNTIFS(T_StockCount[Part Name],$A11,T_StockCount[WeekIndex],94)&gt;0,SUMIFS(T_StockCount[CountedQty],T_StockCount[Part Name],$A11,T_StockCount[WeekIndex],94),IF((('T_SelfStock'!CQ15&lt;&gt;""))*(('T_TTAFStock'!CQ15&lt;&gt;""))&gt;0,'T_SelfStock'!CQ15+'T_TTAFStock'!CQ15,CP11+'Grid_Incoming'!CQ11-'Grid_Requirement'!CQ11))</f>
        <v/>
      </c>
      <c r="CR11">
        <f>IF(COUNTIFS(T_StockCount[Part Name],$A11,T_StockCount[WeekIndex],95)&gt;0,SUMIFS(T_StockCount[CountedQty],T_StockCount[Part Name],$A11,T_StockCount[WeekIndex],95),IF((('T_SelfStock'!CR15&lt;&gt;""))*(('T_TTAFStock'!CR15&lt;&gt;""))&gt;0,'T_SelfStock'!CR15+'T_TTAFStock'!CR15,CQ11+'Grid_Incoming'!CR11-'Grid_Requirement'!CR11))</f>
        <v/>
      </c>
      <c r="CS11">
        <f>IF(COUNTIFS(T_StockCount[Part Name],$A11,T_StockCount[WeekIndex],96)&gt;0,SUMIFS(T_StockCount[CountedQty],T_StockCount[Part Name],$A11,T_StockCount[WeekIndex],96),IF((('T_SelfStock'!CS15&lt;&gt;""))*(('T_TTAFStock'!CS15&lt;&gt;""))&gt;0,'T_SelfStock'!CS15+'T_TTAFStock'!CS15,CR11+'Grid_Incoming'!CS11-'Grid_Requirement'!CS11))</f>
        <v/>
      </c>
      <c r="CT11">
        <f>IF(COUNTIFS(T_StockCount[Part Name],$A11,T_StockCount[WeekIndex],97)&gt;0,SUMIFS(T_StockCount[CountedQty],T_StockCount[Part Name],$A11,T_StockCount[WeekIndex],97),IF((('T_SelfStock'!CT15&lt;&gt;""))*(('T_TTAFStock'!CT15&lt;&gt;""))&gt;0,'T_SelfStock'!CT15+'T_TTAFStock'!CT15,CS11+'Grid_Incoming'!CT11-'Grid_Requirement'!CT11))</f>
        <v/>
      </c>
      <c r="CU11">
        <f>IF(COUNTIFS(T_StockCount[Part Name],$A11,T_StockCount[WeekIndex],98)&gt;0,SUMIFS(T_StockCount[CountedQty],T_StockCount[Part Name],$A11,T_StockCount[WeekIndex],98),IF((('T_SelfStock'!CU15&lt;&gt;""))*(('T_TTAFStock'!CU15&lt;&gt;""))&gt;0,'T_SelfStock'!CU15+'T_TTAFStock'!CU15,CT11+'Grid_Incoming'!CU11-'Grid_Requirement'!CU11))</f>
        <v/>
      </c>
      <c r="CV11">
        <f>IF(COUNTIFS(T_StockCount[Part Name],$A11,T_StockCount[WeekIndex],99)&gt;0,SUMIFS(T_StockCount[CountedQty],T_StockCount[Part Name],$A11,T_StockCount[WeekIndex],99),IF((('T_SelfStock'!CV15&lt;&gt;""))*(('T_TTAFStock'!CV15&lt;&gt;""))&gt;0,'T_SelfStock'!CV15+'T_TTAFStock'!CV15,CU11+'Grid_Incoming'!CV11-'Grid_Requirement'!CV11))</f>
        <v/>
      </c>
      <c r="CW11">
        <f>IF(COUNTIFS(T_StockCount[Part Name],$A11,T_StockCount[WeekIndex],100)&gt;0,SUMIFS(T_StockCount[CountedQty],T_StockCount[Part Name],$A11,T_StockCount[WeekIndex],100),IF((('T_SelfStock'!CW15&lt;&gt;""))*(('T_TTAFStock'!CW15&lt;&gt;""))&gt;0,'T_SelfStock'!CW15+'T_TTAFStock'!CW15,CV11+'Grid_Incoming'!CW11-'Grid_Requirement'!CW11))</f>
        <v/>
      </c>
      <c r="CX11">
        <f>IF(COUNTIFS(T_StockCount[Part Name],$A11,T_StockCount[WeekIndex],101)&gt;0,SUMIFS(T_StockCount[CountedQty],T_StockCount[Part Name],$A11,T_StockCount[WeekIndex],101),IF((('T_SelfStock'!CX15&lt;&gt;""))*(('T_TTAFStock'!CX15&lt;&gt;""))&gt;0,'T_SelfStock'!CX15+'T_TTAFStock'!CX15,CW11+'Grid_Incoming'!CX11-'Grid_Requirement'!CX11))</f>
        <v/>
      </c>
      <c r="CY11">
        <f>IF(COUNTIFS(T_StockCount[Part Name],$A11,T_StockCount[WeekIndex],102)&gt;0,SUMIFS(T_StockCount[CountedQty],T_StockCount[Part Name],$A11,T_StockCount[WeekIndex],102),IF((('T_SelfStock'!CY15&lt;&gt;""))*(('T_TTAFStock'!CY15&lt;&gt;""))&gt;0,'T_SelfStock'!CY15+'T_TTAFStock'!CY15,CX11+'Grid_Incoming'!CY11-'Grid_Requirement'!CY11))</f>
        <v/>
      </c>
      <c r="CZ11">
        <f>IF(COUNTIFS(T_StockCount[Part Name],$A11,T_StockCount[WeekIndex],103)&gt;0,SUMIFS(T_StockCount[CountedQty],T_StockCount[Part Name],$A11,T_StockCount[WeekIndex],103),IF((('T_SelfStock'!CZ15&lt;&gt;""))*(('T_TTAFStock'!CZ15&lt;&gt;""))&gt;0,'T_SelfStock'!CZ15+'T_TTAFStock'!CZ15,CY11+'Grid_Incoming'!CZ11-'Grid_Requirement'!CZ11))</f>
        <v/>
      </c>
      <c r="DA11">
        <f>IF(COUNTIFS(T_StockCount[Part Name],$A11,T_StockCount[WeekIndex],104)&gt;0,SUMIFS(T_StockCount[CountedQty],T_StockCount[Part Name],$A11,T_StockCount[WeekIndex],104),IF((('T_SelfStock'!DA15&lt;&gt;""))*(('T_TTAFStock'!DA15&lt;&gt;""))&gt;0,'T_SelfStock'!DA15+'T_TTAFStock'!DA15,CZ11+'Grid_Incoming'!DA11-'Grid_Requirement'!DA11))</f>
        <v/>
      </c>
    </row>
    <row r="12">
      <c r="A12" t="inlineStr">
        <is>
          <t>YAN</t>
        </is>
      </c>
      <c r="B12">
        <f>IF(COUNTIFS(T_StockCount[Part Name],$A12,T_StockCount[WeekIndex],1)&gt;0,SUMIFS(T_StockCount[CountedQty],T_StockCount[Part Name],$A12,T_StockCount[WeekIndex],1),IF((('T_SelfStock'!B16&lt;&gt;""))*(('T_TTAFStock'!B16&lt;&gt;""))&gt;0,'T_SelfStock'!B16+'T_TTAFStock'!B16,IFERROR(INDEX(T_OpeningStock[Opening_Qty_要入力],MATCH($A12,T_OpeningStock[Part Name],0)),0)+'Grid_Incoming'!B12-'Grid_Requirement'!B12))</f>
        <v/>
      </c>
      <c r="C12">
        <f>IF(COUNTIFS(T_StockCount[Part Name],$A12,T_StockCount[WeekIndex],2)&gt;0,SUMIFS(T_StockCount[CountedQty],T_StockCount[Part Name],$A12,T_StockCount[WeekIndex],2),IF((('T_SelfStock'!C16&lt;&gt;""))*(('T_TTAFStock'!C16&lt;&gt;""))&gt;0,'T_SelfStock'!C16+'T_TTAFStock'!C16,B12+'Grid_Incoming'!C12-'Grid_Requirement'!C12))</f>
        <v/>
      </c>
      <c r="D12">
        <f>IF(COUNTIFS(T_StockCount[Part Name],$A12,T_StockCount[WeekIndex],3)&gt;0,SUMIFS(T_StockCount[CountedQty],T_StockCount[Part Name],$A12,T_StockCount[WeekIndex],3),IF((('T_SelfStock'!D16&lt;&gt;""))*(('T_TTAFStock'!D16&lt;&gt;""))&gt;0,'T_SelfStock'!D16+'T_TTAFStock'!D16,C12+'Grid_Incoming'!D12-'Grid_Requirement'!D12))</f>
        <v/>
      </c>
      <c r="E12">
        <f>IF(COUNTIFS(T_StockCount[Part Name],$A12,T_StockCount[WeekIndex],4)&gt;0,SUMIFS(T_StockCount[CountedQty],T_StockCount[Part Name],$A12,T_StockCount[WeekIndex],4),IF((('T_SelfStock'!E16&lt;&gt;""))*(('T_TTAFStock'!E16&lt;&gt;""))&gt;0,'T_SelfStock'!E16+'T_TTAFStock'!E16,D12+'Grid_Incoming'!E12-'Grid_Requirement'!E12))</f>
        <v/>
      </c>
      <c r="F12">
        <f>IF(COUNTIFS(T_StockCount[Part Name],$A12,T_StockCount[WeekIndex],5)&gt;0,SUMIFS(T_StockCount[CountedQty],T_StockCount[Part Name],$A12,T_StockCount[WeekIndex],5),IF((('T_SelfStock'!F16&lt;&gt;""))*(('T_TTAFStock'!F16&lt;&gt;""))&gt;0,'T_SelfStock'!F16+'T_TTAFStock'!F16,E12+'Grid_Incoming'!F12-'Grid_Requirement'!F12))</f>
        <v/>
      </c>
      <c r="G12">
        <f>IF(COUNTIFS(T_StockCount[Part Name],$A12,T_StockCount[WeekIndex],6)&gt;0,SUMIFS(T_StockCount[CountedQty],T_StockCount[Part Name],$A12,T_StockCount[WeekIndex],6),IF((('T_SelfStock'!G16&lt;&gt;""))*(('T_TTAFStock'!G16&lt;&gt;""))&gt;0,'T_SelfStock'!G16+'T_TTAFStock'!G16,F12+'Grid_Incoming'!G12-'Grid_Requirement'!G12))</f>
        <v/>
      </c>
      <c r="H12">
        <f>IF(COUNTIFS(T_StockCount[Part Name],$A12,T_StockCount[WeekIndex],7)&gt;0,SUMIFS(T_StockCount[CountedQty],T_StockCount[Part Name],$A12,T_StockCount[WeekIndex],7),IF((('T_SelfStock'!H16&lt;&gt;""))*(('T_TTAFStock'!H16&lt;&gt;""))&gt;0,'T_SelfStock'!H16+'T_TTAFStock'!H16,G12+'Grid_Incoming'!H12-'Grid_Requirement'!H12))</f>
        <v/>
      </c>
      <c r="I12">
        <f>IF(COUNTIFS(T_StockCount[Part Name],$A12,T_StockCount[WeekIndex],8)&gt;0,SUMIFS(T_StockCount[CountedQty],T_StockCount[Part Name],$A12,T_StockCount[WeekIndex],8),IF((('T_SelfStock'!I16&lt;&gt;""))*(('T_TTAFStock'!I16&lt;&gt;""))&gt;0,'T_SelfStock'!I16+'T_TTAFStock'!I16,H12+'Grid_Incoming'!I12-'Grid_Requirement'!I12))</f>
        <v/>
      </c>
      <c r="J12">
        <f>IF(COUNTIFS(T_StockCount[Part Name],$A12,T_StockCount[WeekIndex],9)&gt;0,SUMIFS(T_StockCount[CountedQty],T_StockCount[Part Name],$A12,T_StockCount[WeekIndex],9),IF((('T_SelfStock'!J16&lt;&gt;""))*(('T_TTAFStock'!J16&lt;&gt;""))&gt;0,'T_SelfStock'!J16+'T_TTAFStock'!J16,I12+'Grid_Incoming'!J12-'Grid_Requirement'!J12))</f>
        <v/>
      </c>
      <c r="K12">
        <f>IF(COUNTIFS(T_StockCount[Part Name],$A12,T_StockCount[WeekIndex],10)&gt;0,SUMIFS(T_StockCount[CountedQty],T_StockCount[Part Name],$A12,T_StockCount[WeekIndex],10),IF((('T_SelfStock'!K16&lt;&gt;""))*(('T_TTAFStock'!K16&lt;&gt;""))&gt;0,'T_SelfStock'!K16+'T_TTAFStock'!K16,J12+'Grid_Incoming'!K12-'Grid_Requirement'!K12))</f>
        <v/>
      </c>
      <c r="L12">
        <f>IF(COUNTIFS(T_StockCount[Part Name],$A12,T_StockCount[WeekIndex],11)&gt;0,SUMIFS(T_StockCount[CountedQty],T_StockCount[Part Name],$A12,T_StockCount[WeekIndex],11),IF((('T_SelfStock'!L16&lt;&gt;""))*(('T_TTAFStock'!L16&lt;&gt;""))&gt;0,'T_SelfStock'!L16+'T_TTAFStock'!L16,K12+'Grid_Incoming'!L12-'Grid_Requirement'!L12))</f>
        <v/>
      </c>
      <c r="M12">
        <f>IF(COUNTIFS(T_StockCount[Part Name],$A12,T_StockCount[WeekIndex],12)&gt;0,SUMIFS(T_StockCount[CountedQty],T_StockCount[Part Name],$A12,T_StockCount[WeekIndex],12),IF((('T_SelfStock'!M16&lt;&gt;""))*(('T_TTAFStock'!M16&lt;&gt;""))&gt;0,'T_SelfStock'!M16+'T_TTAFStock'!M16,L12+'Grid_Incoming'!M12-'Grid_Requirement'!M12))</f>
        <v/>
      </c>
      <c r="N12">
        <f>IF(COUNTIFS(T_StockCount[Part Name],$A12,T_StockCount[WeekIndex],13)&gt;0,SUMIFS(T_StockCount[CountedQty],T_StockCount[Part Name],$A12,T_StockCount[WeekIndex],13),IF((('T_SelfStock'!N16&lt;&gt;""))*(('T_TTAFStock'!N16&lt;&gt;""))&gt;0,'T_SelfStock'!N16+'T_TTAFStock'!N16,M12+'Grid_Incoming'!N12-'Grid_Requirement'!N12))</f>
        <v/>
      </c>
      <c r="O12">
        <f>IF(COUNTIFS(T_StockCount[Part Name],$A12,T_StockCount[WeekIndex],14)&gt;0,SUMIFS(T_StockCount[CountedQty],T_StockCount[Part Name],$A12,T_StockCount[WeekIndex],14),IF((('T_SelfStock'!O16&lt;&gt;""))*(('T_TTAFStock'!O16&lt;&gt;""))&gt;0,'T_SelfStock'!O16+'T_TTAFStock'!O16,N12+'Grid_Incoming'!O12-'Grid_Requirement'!O12))</f>
        <v/>
      </c>
      <c r="P12">
        <f>IF(COUNTIFS(T_StockCount[Part Name],$A12,T_StockCount[WeekIndex],15)&gt;0,SUMIFS(T_StockCount[CountedQty],T_StockCount[Part Name],$A12,T_StockCount[WeekIndex],15),IF((('T_SelfStock'!P16&lt;&gt;""))*(('T_TTAFStock'!P16&lt;&gt;""))&gt;0,'T_SelfStock'!P16+'T_TTAFStock'!P16,O12+'Grid_Incoming'!P12-'Grid_Requirement'!P12))</f>
        <v/>
      </c>
      <c r="Q12">
        <f>IF(COUNTIFS(T_StockCount[Part Name],$A12,T_StockCount[WeekIndex],16)&gt;0,SUMIFS(T_StockCount[CountedQty],T_StockCount[Part Name],$A12,T_StockCount[WeekIndex],16),IF((('T_SelfStock'!Q16&lt;&gt;""))*(('T_TTAFStock'!Q16&lt;&gt;""))&gt;0,'T_SelfStock'!Q16+'T_TTAFStock'!Q16,P12+'Grid_Incoming'!Q12-'Grid_Requirement'!Q12))</f>
        <v/>
      </c>
      <c r="R12">
        <f>IF(COUNTIFS(T_StockCount[Part Name],$A12,T_StockCount[WeekIndex],17)&gt;0,SUMIFS(T_StockCount[CountedQty],T_StockCount[Part Name],$A12,T_StockCount[WeekIndex],17),IF((('T_SelfStock'!R16&lt;&gt;""))*(('T_TTAFStock'!R16&lt;&gt;""))&gt;0,'T_SelfStock'!R16+'T_TTAFStock'!R16,Q12+'Grid_Incoming'!R12-'Grid_Requirement'!R12))</f>
        <v/>
      </c>
      <c r="S12">
        <f>IF(COUNTIFS(T_StockCount[Part Name],$A12,T_StockCount[WeekIndex],18)&gt;0,SUMIFS(T_StockCount[CountedQty],T_StockCount[Part Name],$A12,T_StockCount[WeekIndex],18),IF((('T_SelfStock'!S16&lt;&gt;""))*(('T_TTAFStock'!S16&lt;&gt;""))&gt;0,'T_SelfStock'!S16+'T_TTAFStock'!S16,R12+'Grid_Incoming'!S12-'Grid_Requirement'!S12))</f>
        <v/>
      </c>
      <c r="T12">
        <f>IF(COUNTIFS(T_StockCount[Part Name],$A12,T_StockCount[WeekIndex],19)&gt;0,SUMIFS(T_StockCount[CountedQty],T_StockCount[Part Name],$A12,T_StockCount[WeekIndex],19),IF((('T_SelfStock'!T16&lt;&gt;""))*(('T_TTAFStock'!T16&lt;&gt;""))&gt;0,'T_SelfStock'!T16+'T_TTAFStock'!T16,S12+'Grid_Incoming'!T12-'Grid_Requirement'!T12))</f>
        <v/>
      </c>
      <c r="U12">
        <f>IF(COUNTIFS(T_StockCount[Part Name],$A12,T_StockCount[WeekIndex],20)&gt;0,SUMIFS(T_StockCount[CountedQty],T_StockCount[Part Name],$A12,T_StockCount[WeekIndex],20),IF((('T_SelfStock'!U16&lt;&gt;""))*(('T_TTAFStock'!U16&lt;&gt;""))&gt;0,'T_SelfStock'!U16+'T_TTAFStock'!U16,T12+'Grid_Incoming'!U12-'Grid_Requirement'!U12))</f>
        <v/>
      </c>
      <c r="V12">
        <f>IF(COUNTIFS(T_StockCount[Part Name],$A12,T_StockCount[WeekIndex],21)&gt;0,SUMIFS(T_StockCount[CountedQty],T_StockCount[Part Name],$A12,T_StockCount[WeekIndex],21),IF((('T_SelfStock'!V16&lt;&gt;""))*(('T_TTAFStock'!V16&lt;&gt;""))&gt;0,'T_SelfStock'!V16+'T_TTAFStock'!V16,U12+'Grid_Incoming'!V12-'Grid_Requirement'!V12))</f>
        <v/>
      </c>
      <c r="W12">
        <f>IF(COUNTIFS(T_StockCount[Part Name],$A12,T_StockCount[WeekIndex],22)&gt;0,SUMIFS(T_StockCount[CountedQty],T_StockCount[Part Name],$A12,T_StockCount[WeekIndex],22),IF((('T_SelfStock'!W16&lt;&gt;""))*(('T_TTAFStock'!W16&lt;&gt;""))&gt;0,'T_SelfStock'!W16+'T_TTAFStock'!W16,V12+'Grid_Incoming'!W12-'Grid_Requirement'!W12))</f>
        <v/>
      </c>
      <c r="X12">
        <f>IF(COUNTIFS(T_StockCount[Part Name],$A12,T_StockCount[WeekIndex],23)&gt;0,SUMIFS(T_StockCount[CountedQty],T_StockCount[Part Name],$A12,T_StockCount[WeekIndex],23),IF((('T_SelfStock'!X16&lt;&gt;""))*(('T_TTAFStock'!X16&lt;&gt;""))&gt;0,'T_SelfStock'!X16+'T_TTAFStock'!X16,W12+'Grid_Incoming'!X12-'Grid_Requirement'!X12))</f>
        <v/>
      </c>
      <c r="Y12">
        <f>IF(COUNTIFS(T_StockCount[Part Name],$A12,T_StockCount[WeekIndex],24)&gt;0,SUMIFS(T_StockCount[CountedQty],T_StockCount[Part Name],$A12,T_StockCount[WeekIndex],24),IF((('T_SelfStock'!Y16&lt;&gt;""))*(('T_TTAFStock'!Y16&lt;&gt;""))&gt;0,'T_SelfStock'!Y16+'T_TTAFStock'!Y16,X12+'Grid_Incoming'!Y12-'Grid_Requirement'!Y12))</f>
        <v/>
      </c>
      <c r="Z12">
        <f>IF(COUNTIFS(T_StockCount[Part Name],$A12,T_StockCount[WeekIndex],25)&gt;0,SUMIFS(T_StockCount[CountedQty],T_StockCount[Part Name],$A12,T_StockCount[WeekIndex],25),IF((('T_SelfStock'!Z16&lt;&gt;""))*(('T_TTAFStock'!Z16&lt;&gt;""))&gt;0,'T_SelfStock'!Z16+'T_TTAFStock'!Z16,Y12+'Grid_Incoming'!Z12-'Grid_Requirement'!Z12))</f>
        <v/>
      </c>
      <c r="AA12">
        <f>IF(COUNTIFS(T_StockCount[Part Name],$A12,T_StockCount[WeekIndex],26)&gt;0,SUMIFS(T_StockCount[CountedQty],T_StockCount[Part Name],$A12,T_StockCount[WeekIndex],26),IF((('T_SelfStock'!AA16&lt;&gt;""))*(('T_TTAFStock'!AA16&lt;&gt;""))&gt;0,'T_SelfStock'!AA16+'T_TTAFStock'!AA16,Z12+'Grid_Incoming'!AA12-'Grid_Requirement'!AA12))</f>
        <v/>
      </c>
      <c r="AB12">
        <f>IF(COUNTIFS(T_StockCount[Part Name],$A12,T_StockCount[WeekIndex],27)&gt;0,SUMIFS(T_StockCount[CountedQty],T_StockCount[Part Name],$A12,T_StockCount[WeekIndex],27),IF((('T_SelfStock'!AB16&lt;&gt;""))*(('T_TTAFStock'!AB16&lt;&gt;""))&gt;0,'T_SelfStock'!AB16+'T_TTAFStock'!AB16,AA12+'Grid_Incoming'!AB12-'Grid_Requirement'!AB12))</f>
        <v/>
      </c>
      <c r="AC12">
        <f>IF(COUNTIFS(T_StockCount[Part Name],$A12,T_StockCount[WeekIndex],28)&gt;0,SUMIFS(T_StockCount[CountedQty],T_StockCount[Part Name],$A12,T_StockCount[WeekIndex],28),IF((('T_SelfStock'!AC16&lt;&gt;""))*(('T_TTAFStock'!AC16&lt;&gt;""))&gt;0,'T_SelfStock'!AC16+'T_TTAFStock'!AC16,AB12+'Grid_Incoming'!AC12-'Grid_Requirement'!AC12))</f>
        <v/>
      </c>
      <c r="AD12">
        <f>IF(COUNTIFS(T_StockCount[Part Name],$A12,T_StockCount[WeekIndex],29)&gt;0,SUMIFS(T_StockCount[CountedQty],T_StockCount[Part Name],$A12,T_StockCount[WeekIndex],29),IF((('T_SelfStock'!AD16&lt;&gt;""))*(('T_TTAFStock'!AD16&lt;&gt;""))&gt;0,'T_SelfStock'!AD16+'T_TTAFStock'!AD16,AC12+'Grid_Incoming'!AD12-'Grid_Requirement'!AD12))</f>
        <v/>
      </c>
      <c r="AE12">
        <f>IF(COUNTIFS(T_StockCount[Part Name],$A12,T_StockCount[WeekIndex],30)&gt;0,SUMIFS(T_StockCount[CountedQty],T_StockCount[Part Name],$A12,T_StockCount[WeekIndex],30),IF((('T_SelfStock'!AE16&lt;&gt;""))*(('T_TTAFStock'!AE16&lt;&gt;""))&gt;0,'T_SelfStock'!AE16+'T_TTAFStock'!AE16,AD12+'Grid_Incoming'!AE12-'Grid_Requirement'!AE12))</f>
        <v/>
      </c>
      <c r="AF12">
        <f>IF(COUNTIFS(T_StockCount[Part Name],$A12,T_StockCount[WeekIndex],31)&gt;0,SUMIFS(T_StockCount[CountedQty],T_StockCount[Part Name],$A12,T_StockCount[WeekIndex],31),IF((('T_SelfStock'!AF16&lt;&gt;""))*(('T_TTAFStock'!AF16&lt;&gt;""))&gt;0,'T_SelfStock'!AF16+'T_TTAFStock'!AF16,AE12+'Grid_Incoming'!AF12-'Grid_Requirement'!AF12))</f>
        <v/>
      </c>
      <c r="AG12">
        <f>IF(COUNTIFS(T_StockCount[Part Name],$A12,T_StockCount[WeekIndex],32)&gt;0,SUMIFS(T_StockCount[CountedQty],T_StockCount[Part Name],$A12,T_StockCount[WeekIndex],32),IF((('T_SelfStock'!AG16&lt;&gt;""))*(('T_TTAFStock'!AG16&lt;&gt;""))&gt;0,'T_SelfStock'!AG16+'T_TTAFStock'!AG16,AF12+'Grid_Incoming'!AG12-'Grid_Requirement'!AG12))</f>
        <v/>
      </c>
      <c r="AH12">
        <f>IF(COUNTIFS(T_StockCount[Part Name],$A12,T_StockCount[WeekIndex],33)&gt;0,SUMIFS(T_StockCount[CountedQty],T_StockCount[Part Name],$A12,T_StockCount[WeekIndex],33),IF((('T_SelfStock'!AH16&lt;&gt;""))*(('T_TTAFStock'!AH16&lt;&gt;""))&gt;0,'T_SelfStock'!AH16+'T_TTAFStock'!AH16,AG12+'Grid_Incoming'!AH12-'Grid_Requirement'!AH12))</f>
        <v/>
      </c>
      <c r="AI12">
        <f>IF(COUNTIFS(T_StockCount[Part Name],$A12,T_StockCount[WeekIndex],34)&gt;0,SUMIFS(T_StockCount[CountedQty],T_StockCount[Part Name],$A12,T_StockCount[WeekIndex],34),IF((('T_SelfStock'!AI16&lt;&gt;""))*(('T_TTAFStock'!AI16&lt;&gt;""))&gt;0,'T_SelfStock'!AI16+'T_TTAFStock'!AI16,AH12+'Grid_Incoming'!AI12-'Grid_Requirement'!AI12))</f>
        <v/>
      </c>
      <c r="AJ12">
        <f>IF(COUNTIFS(T_StockCount[Part Name],$A12,T_StockCount[WeekIndex],35)&gt;0,SUMIFS(T_StockCount[CountedQty],T_StockCount[Part Name],$A12,T_StockCount[WeekIndex],35),IF((('T_SelfStock'!AJ16&lt;&gt;""))*(('T_TTAFStock'!AJ16&lt;&gt;""))&gt;0,'T_SelfStock'!AJ16+'T_TTAFStock'!AJ16,AI12+'Grid_Incoming'!AJ12-'Grid_Requirement'!AJ12))</f>
        <v/>
      </c>
      <c r="AK12">
        <f>IF(COUNTIFS(T_StockCount[Part Name],$A12,T_StockCount[WeekIndex],36)&gt;0,SUMIFS(T_StockCount[CountedQty],T_StockCount[Part Name],$A12,T_StockCount[WeekIndex],36),IF((('T_SelfStock'!AK16&lt;&gt;""))*(('T_TTAFStock'!AK16&lt;&gt;""))&gt;0,'T_SelfStock'!AK16+'T_TTAFStock'!AK16,AJ12+'Grid_Incoming'!AK12-'Grid_Requirement'!AK12))</f>
        <v/>
      </c>
      <c r="AL12">
        <f>IF(COUNTIFS(T_StockCount[Part Name],$A12,T_StockCount[WeekIndex],37)&gt;0,SUMIFS(T_StockCount[CountedQty],T_StockCount[Part Name],$A12,T_StockCount[WeekIndex],37),IF((('T_SelfStock'!AL16&lt;&gt;""))*(('T_TTAFStock'!AL16&lt;&gt;""))&gt;0,'T_SelfStock'!AL16+'T_TTAFStock'!AL16,AK12+'Grid_Incoming'!AL12-'Grid_Requirement'!AL12))</f>
        <v/>
      </c>
      <c r="AM12">
        <f>IF(COUNTIFS(T_StockCount[Part Name],$A12,T_StockCount[WeekIndex],38)&gt;0,SUMIFS(T_StockCount[CountedQty],T_StockCount[Part Name],$A12,T_StockCount[WeekIndex],38),IF((('T_SelfStock'!AM16&lt;&gt;""))*(('T_TTAFStock'!AM16&lt;&gt;""))&gt;0,'T_SelfStock'!AM16+'T_TTAFStock'!AM16,AL12+'Grid_Incoming'!AM12-'Grid_Requirement'!AM12))</f>
        <v/>
      </c>
      <c r="AN12">
        <f>IF(COUNTIFS(T_StockCount[Part Name],$A12,T_StockCount[WeekIndex],39)&gt;0,SUMIFS(T_StockCount[CountedQty],T_StockCount[Part Name],$A12,T_StockCount[WeekIndex],39),IF((('T_SelfStock'!AN16&lt;&gt;""))*(('T_TTAFStock'!AN16&lt;&gt;""))&gt;0,'T_SelfStock'!AN16+'T_TTAFStock'!AN16,AM12+'Grid_Incoming'!AN12-'Grid_Requirement'!AN12))</f>
        <v/>
      </c>
      <c r="AO12">
        <f>IF(COUNTIFS(T_StockCount[Part Name],$A12,T_StockCount[WeekIndex],40)&gt;0,SUMIFS(T_StockCount[CountedQty],T_StockCount[Part Name],$A12,T_StockCount[WeekIndex],40),IF((('T_SelfStock'!AO16&lt;&gt;""))*(('T_TTAFStock'!AO16&lt;&gt;""))&gt;0,'T_SelfStock'!AO16+'T_TTAFStock'!AO16,AN12+'Grid_Incoming'!AO12-'Grid_Requirement'!AO12))</f>
        <v/>
      </c>
      <c r="AP12">
        <f>IF(COUNTIFS(T_StockCount[Part Name],$A12,T_StockCount[WeekIndex],41)&gt;0,SUMIFS(T_StockCount[CountedQty],T_StockCount[Part Name],$A12,T_StockCount[WeekIndex],41),IF((('T_SelfStock'!AP16&lt;&gt;""))*(('T_TTAFStock'!AP16&lt;&gt;""))&gt;0,'T_SelfStock'!AP16+'T_TTAFStock'!AP16,AO12+'Grid_Incoming'!AP12-'Grid_Requirement'!AP12))</f>
        <v/>
      </c>
      <c r="AQ12">
        <f>IF(COUNTIFS(T_StockCount[Part Name],$A12,T_StockCount[WeekIndex],42)&gt;0,SUMIFS(T_StockCount[CountedQty],T_StockCount[Part Name],$A12,T_StockCount[WeekIndex],42),IF((('T_SelfStock'!AQ16&lt;&gt;""))*(('T_TTAFStock'!AQ16&lt;&gt;""))&gt;0,'T_SelfStock'!AQ16+'T_TTAFStock'!AQ16,AP12+'Grid_Incoming'!AQ12-'Grid_Requirement'!AQ12))</f>
        <v/>
      </c>
      <c r="AR12">
        <f>IF(COUNTIFS(T_StockCount[Part Name],$A12,T_StockCount[WeekIndex],43)&gt;0,SUMIFS(T_StockCount[CountedQty],T_StockCount[Part Name],$A12,T_StockCount[WeekIndex],43),IF((('T_SelfStock'!AR16&lt;&gt;""))*(('T_TTAFStock'!AR16&lt;&gt;""))&gt;0,'T_SelfStock'!AR16+'T_TTAFStock'!AR16,AQ12+'Grid_Incoming'!AR12-'Grid_Requirement'!AR12))</f>
        <v/>
      </c>
      <c r="AS12">
        <f>IF(COUNTIFS(T_StockCount[Part Name],$A12,T_StockCount[WeekIndex],44)&gt;0,SUMIFS(T_StockCount[CountedQty],T_StockCount[Part Name],$A12,T_StockCount[WeekIndex],44),IF((('T_SelfStock'!AS16&lt;&gt;""))*(('T_TTAFStock'!AS16&lt;&gt;""))&gt;0,'T_SelfStock'!AS16+'T_TTAFStock'!AS16,AR12+'Grid_Incoming'!AS12-'Grid_Requirement'!AS12))</f>
        <v/>
      </c>
      <c r="AT12">
        <f>IF(COUNTIFS(T_StockCount[Part Name],$A12,T_StockCount[WeekIndex],45)&gt;0,SUMIFS(T_StockCount[CountedQty],T_StockCount[Part Name],$A12,T_StockCount[WeekIndex],45),IF((('T_SelfStock'!AT16&lt;&gt;""))*(('T_TTAFStock'!AT16&lt;&gt;""))&gt;0,'T_SelfStock'!AT16+'T_TTAFStock'!AT16,AS12+'Grid_Incoming'!AT12-'Grid_Requirement'!AT12))</f>
        <v/>
      </c>
      <c r="AU12">
        <f>IF(COUNTIFS(T_StockCount[Part Name],$A12,T_StockCount[WeekIndex],46)&gt;0,SUMIFS(T_StockCount[CountedQty],T_StockCount[Part Name],$A12,T_StockCount[WeekIndex],46),IF((('T_SelfStock'!AU16&lt;&gt;""))*(('T_TTAFStock'!AU16&lt;&gt;""))&gt;0,'T_SelfStock'!AU16+'T_TTAFStock'!AU16,AT12+'Grid_Incoming'!AU12-'Grid_Requirement'!AU12))</f>
        <v/>
      </c>
      <c r="AV12">
        <f>IF(COUNTIFS(T_StockCount[Part Name],$A12,T_StockCount[WeekIndex],47)&gt;0,SUMIFS(T_StockCount[CountedQty],T_StockCount[Part Name],$A12,T_StockCount[WeekIndex],47),IF((('T_SelfStock'!AV16&lt;&gt;""))*(('T_TTAFStock'!AV16&lt;&gt;""))&gt;0,'T_SelfStock'!AV16+'T_TTAFStock'!AV16,AU12+'Grid_Incoming'!AV12-'Grid_Requirement'!AV12))</f>
        <v/>
      </c>
      <c r="AW12">
        <f>IF(COUNTIFS(T_StockCount[Part Name],$A12,T_StockCount[WeekIndex],48)&gt;0,SUMIFS(T_StockCount[CountedQty],T_StockCount[Part Name],$A12,T_StockCount[WeekIndex],48),IF((('T_SelfStock'!AW16&lt;&gt;""))*(('T_TTAFStock'!AW16&lt;&gt;""))&gt;0,'T_SelfStock'!AW16+'T_TTAFStock'!AW16,AV12+'Grid_Incoming'!AW12-'Grid_Requirement'!AW12))</f>
        <v/>
      </c>
      <c r="AX12">
        <f>IF(COUNTIFS(T_StockCount[Part Name],$A12,T_StockCount[WeekIndex],49)&gt;0,SUMIFS(T_StockCount[CountedQty],T_StockCount[Part Name],$A12,T_StockCount[WeekIndex],49),IF((('T_SelfStock'!AX16&lt;&gt;""))*(('T_TTAFStock'!AX16&lt;&gt;""))&gt;0,'T_SelfStock'!AX16+'T_TTAFStock'!AX16,AW12+'Grid_Incoming'!AX12-'Grid_Requirement'!AX12))</f>
        <v/>
      </c>
      <c r="AY12">
        <f>IF(COUNTIFS(T_StockCount[Part Name],$A12,T_StockCount[WeekIndex],50)&gt;0,SUMIFS(T_StockCount[CountedQty],T_StockCount[Part Name],$A12,T_StockCount[WeekIndex],50),IF((('T_SelfStock'!AY16&lt;&gt;""))*(('T_TTAFStock'!AY16&lt;&gt;""))&gt;0,'T_SelfStock'!AY16+'T_TTAFStock'!AY16,AX12+'Grid_Incoming'!AY12-'Grid_Requirement'!AY12))</f>
        <v/>
      </c>
      <c r="AZ12">
        <f>IF(COUNTIFS(T_StockCount[Part Name],$A12,T_StockCount[WeekIndex],51)&gt;0,SUMIFS(T_StockCount[CountedQty],T_StockCount[Part Name],$A12,T_StockCount[WeekIndex],51),IF((('T_SelfStock'!AZ16&lt;&gt;""))*(('T_TTAFStock'!AZ16&lt;&gt;""))&gt;0,'T_SelfStock'!AZ16+'T_TTAFStock'!AZ16,AY12+'Grid_Incoming'!AZ12-'Grid_Requirement'!AZ12))</f>
        <v/>
      </c>
      <c r="BA12">
        <f>IF(COUNTIFS(T_StockCount[Part Name],$A12,T_StockCount[WeekIndex],52)&gt;0,SUMIFS(T_StockCount[CountedQty],T_StockCount[Part Name],$A12,T_StockCount[WeekIndex],52),IF((('T_SelfStock'!BA16&lt;&gt;""))*(('T_TTAFStock'!BA16&lt;&gt;""))&gt;0,'T_SelfStock'!BA16+'T_TTAFStock'!BA16,AZ12+'Grid_Incoming'!BA12-'Grid_Requirement'!BA12))</f>
        <v/>
      </c>
      <c r="BB12">
        <f>IF(COUNTIFS(T_StockCount[Part Name],$A12,T_StockCount[WeekIndex],53)&gt;0,SUMIFS(T_StockCount[CountedQty],T_StockCount[Part Name],$A12,T_StockCount[WeekIndex],53),IF((('T_SelfStock'!BB16&lt;&gt;""))*(('T_TTAFStock'!BB16&lt;&gt;""))&gt;0,'T_SelfStock'!BB16+'T_TTAFStock'!BB16,BA12+'Grid_Incoming'!BB12-'Grid_Requirement'!BB12))</f>
        <v/>
      </c>
      <c r="BC12">
        <f>IF(COUNTIFS(T_StockCount[Part Name],$A12,T_StockCount[WeekIndex],54)&gt;0,SUMIFS(T_StockCount[CountedQty],T_StockCount[Part Name],$A12,T_StockCount[WeekIndex],54),IF((('T_SelfStock'!BC16&lt;&gt;""))*(('T_TTAFStock'!BC16&lt;&gt;""))&gt;0,'T_SelfStock'!BC16+'T_TTAFStock'!BC16,BB12+'Grid_Incoming'!BC12-'Grid_Requirement'!BC12))</f>
        <v/>
      </c>
      <c r="BD12">
        <f>IF(COUNTIFS(T_StockCount[Part Name],$A12,T_StockCount[WeekIndex],55)&gt;0,SUMIFS(T_StockCount[CountedQty],T_StockCount[Part Name],$A12,T_StockCount[WeekIndex],55),IF((('T_SelfStock'!BD16&lt;&gt;""))*(('T_TTAFStock'!BD16&lt;&gt;""))&gt;0,'T_SelfStock'!BD16+'T_TTAFStock'!BD16,BC12+'Grid_Incoming'!BD12-'Grid_Requirement'!BD12))</f>
        <v/>
      </c>
      <c r="BE12">
        <f>IF(COUNTIFS(T_StockCount[Part Name],$A12,T_StockCount[WeekIndex],56)&gt;0,SUMIFS(T_StockCount[CountedQty],T_StockCount[Part Name],$A12,T_StockCount[WeekIndex],56),IF((('T_SelfStock'!BE16&lt;&gt;""))*(('T_TTAFStock'!BE16&lt;&gt;""))&gt;0,'T_SelfStock'!BE16+'T_TTAFStock'!BE16,BD12+'Grid_Incoming'!BE12-'Grid_Requirement'!BE12))</f>
        <v/>
      </c>
      <c r="BF12">
        <f>IF(COUNTIFS(T_StockCount[Part Name],$A12,T_StockCount[WeekIndex],57)&gt;0,SUMIFS(T_StockCount[CountedQty],T_StockCount[Part Name],$A12,T_StockCount[WeekIndex],57),IF((('T_SelfStock'!BF16&lt;&gt;""))*(('T_TTAFStock'!BF16&lt;&gt;""))&gt;0,'T_SelfStock'!BF16+'T_TTAFStock'!BF16,BE12+'Grid_Incoming'!BF12-'Grid_Requirement'!BF12))</f>
        <v/>
      </c>
      <c r="BG12">
        <f>IF(COUNTIFS(T_StockCount[Part Name],$A12,T_StockCount[WeekIndex],58)&gt;0,SUMIFS(T_StockCount[CountedQty],T_StockCount[Part Name],$A12,T_StockCount[WeekIndex],58),IF((('T_SelfStock'!BG16&lt;&gt;""))*(('T_TTAFStock'!BG16&lt;&gt;""))&gt;0,'T_SelfStock'!BG16+'T_TTAFStock'!BG16,BF12+'Grid_Incoming'!BG12-'Grid_Requirement'!BG12))</f>
        <v/>
      </c>
      <c r="BH12">
        <f>IF(COUNTIFS(T_StockCount[Part Name],$A12,T_StockCount[WeekIndex],59)&gt;0,SUMIFS(T_StockCount[CountedQty],T_StockCount[Part Name],$A12,T_StockCount[WeekIndex],59),IF((('T_SelfStock'!BH16&lt;&gt;""))*(('T_TTAFStock'!BH16&lt;&gt;""))&gt;0,'T_SelfStock'!BH16+'T_TTAFStock'!BH16,BG12+'Grid_Incoming'!BH12-'Grid_Requirement'!BH12))</f>
        <v/>
      </c>
      <c r="BI12">
        <f>IF(COUNTIFS(T_StockCount[Part Name],$A12,T_StockCount[WeekIndex],60)&gt;0,SUMIFS(T_StockCount[CountedQty],T_StockCount[Part Name],$A12,T_StockCount[WeekIndex],60),IF((('T_SelfStock'!BI16&lt;&gt;""))*(('T_TTAFStock'!BI16&lt;&gt;""))&gt;0,'T_SelfStock'!BI16+'T_TTAFStock'!BI16,BH12+'Grid_Incoming'!BI12-'Grid_Requirement'!BI12))</f>
        <v/>
      </c>
      <c r="BJ12">
        <f>IF(COUNTIFS(T_StockCount[Part Name],$A12,T_StockCount[WeekIndex],61)&gt;0,SUMIFS(T_StockCount[CountedQty],T_StockCount[Part Name],$A12,T_StockCount[WeekIndex],61),IF((('T_SelfStock'!BJ16&lt;&gt;""))*(('T_TTAFStock'!BJ16&lt;&gt;""))&gt;0,'T_SelfStock'!BJ16+'T_TTAFStock'!BJ16,BI12+'Grid_Incoming'!BJ12-'Grid_Requirement'!BJ12))</f>
        <v/>
      </c>
      <c r="BK12">
        <f>IF(COUNTIFS(T_StockCount[Part Name],$A12,T_StockCount[WeekIndex],62)&gt;0,SUMIFS(T_StockCount[CountedQty],T_StockCount[Part Name],$A12,T_StockCount[WeekIndex],62),IF((('T_SelfStock'!BK16&lt;&gt;""))*(('T_TTAFStock'!BK16&lt;&gt;""))&gt;0,'T_SelfStock'!BK16+'T_TTAFStock'!BK16,BJ12+'Grid_Incoming'!BK12-'Grid_Requirement'!BK12))</f>
        <v/>
      </c>
      <c r="BL12">
        <f>IF(COUNTIFS(T_StockCount[Part Name],$A12,T_StockCount[WeekIndex],63)&gt;0,SUMIFS(T_StockCount[CountedQty],T_StockCount[Part Name],$A12,T_StockCount[WeekIndex],63),IF((('T_SelfStock'!BL16&lt;&gt;""))*(('T_TTAFStock'!BL16&lt;&gt;""))&gt;0,'T_SelfStock'!BL16+'T_TTAFStock'!BL16,BK12+'Grid_Incoming'!BL12-'Grid_Requirement'!BL12))</f>
        <v/>
      </c>
      <c r="BM12">
        <f>IF(COUNTIFS(T_StockCount[Part Name],$A12,T_StockCount[WeekIndex],64)&gt;0,SUMIFS(T_StockCount[CountedQty],T_StockCount[Part Name],$A12,T_StockCount[WeekIndex],64),IF((('T_SelfStock'!BM16&lt;&gt;""))*(('T_TTAFStock'!BM16&lt;&gt;""))&gt;0,'T_SelfStock'!BM16+'T_TTAFStock'!BM16,BL12+'Grid_Incoming'!BM12-'Grid_Requirement'!BM12))</f>
        <v/>
      </c>
      <c r="BN12">
        <f>IF(COUNTIFS(T_StockCount[Part Name],$A12,T_StockCount[WeekIndex],65)&gt;0,SUMIFS(T_StockCount[CountedQty],T_StockCount[Part Name],$A12,T_StockCount[WeekIndex],65),IF((('T_SelfStock'!BN16&lt;&gt;""))*(('T_TTAFStock'!BN16&lt;&gt;""))&gt;0,'T_SelfStock'!BN16+'T_TTAFStock'!BN16,BM12+'Grid_Incoming'!BN12-'Grid_Requirement'!BN12))</f>
        <v/>
      </c>
      <c r="BO12">
        <f>IF(COUNTIFS(T_StockCount[Part Name],$A12,T_StockCount[WeekIndex],66)&gt;0,SUMIFS(T_StockCount[CountedQty],T_StockCount[Part Name],$A12,T_StockCount[WeekIndex],66),IF((('T_SelfStock'!BO16&lt;&gt;""))*(('T_TTAFStock'!BO16&lt;&gt;""))&gt;0,'T_SelfStock'!BO16+'T_TTAFStock'!BO16,BN12+'Grid_Incoming'!BO12-'Grid_Requirement'!BO12))</f>
        <v/>
      </c>
      <c r="BP12">
        <f>IF(COUNTIFS(T_StockCount[Part Name],$A12,T_StockCount[WeekIndex],67)&gt;0,SUMIFS(T_StockCount[CountedQty],T_StockCount[Part Name],$A12,T_StockCount[WeekIndex],67),IF((('T_SelfStock'!BP16&lt;&gt;""))*(('T_TTAFStock'!BP16&lt;&gt;""))&gt;0,'T_SelfStock'!BP16+'T_TTAFStock'!BP16,BO12+'Grid_Incoming'!BP12-'Grid_Requirement'!BP12))</f>
        <v/>
      </c>
      <c r="BQ12">
        <f>IF(COUNTIFS(T_StockCount[Part Name],$A12,T_StockCount[WeekIndex],68)&gt;0,SUMIFS(T_StockCount[CountedQty],T_StockCount[Part Name],$A12,T_StockCount[WeekIndex],68),IF((('T_SelfStock'!BQ16&lt;&gt;""))*(('T_TTAFStock'!BQ16&lt;&gt;""))&gt;0,'T_SelfStock'!BQ16+'T_TTAFStock'!BQ16,BP12+'Grid_Incoming'!BQ12-'Grid_Requirement'!BQ12))</f>
        <v/>
      </c>
      <c r="BR12">
        <f>IF(COUNTIFS(T_StockCount[Part Name],$A12,T_StockCount[WeekIndex],69)&gt;0,SUMIFS(T_StockCount[CountedQty],T_StockCount[Part Name],$A12,T_StockCount[WeekIndex],69),IF((('T_SelfStock'!BR16&lt;&gt;""))*(('T_TTAFStock'!BR16&lt;&gt;""))&gt;0,'T_SelfStock'!BR16+'T_TTAFStock'!BR16,BQ12+'Grid_Incoming'!BR12-'Grid_Requirement'!BR12))</f>
        <v/>
      </c>
      <c r="BS12">
        <f>IF(COUNTIFS(T_StockCount[Part Name],$A12,T_StockCount[WeekIndex],70)&gt;0,SUMIFS(T_StockCount[CountedQty],T_StockCount[Part Name],$A12,T_StockCount[WeekIndex],70),IF((('T_SelfStock'!BS16&lt;&gt;""))*(('T_TTAFStock'!BS16&lt;&gt;""))&gt;0,'T_SelfStock'!BS16+'T_TTAFStock'!BS16,BR12+'Grid_Incoming'!BS12-'Grid_Requirement'!BS12))</f>
        <v/>
      </c>
      <c r="BT12">
        <f>IF(COUNTIFS(T_StockCount[Part Name],$A12,T_StockCount[WeekIndex],71)&gt;0,SUMIFS(T_StockCount[CountedQty],T_StockCount[Part Name],$A12,T_StockCount[WeekIndex],71),IF((('T_SelfStock'!BT16&lt;&gt;""))*(('T_TTAFStock'!BT16&lt;&gt;""))&gt;0,'T_SelfStock'!BT16+'T_TTAFStock'!BT16,BS12+'Grid_Incoming'!BT12-'Grid_Requirement'!BT12))</f>
        <v/>
      </c>
      <c r="BU12">
        <f>IF(COUNTIFS(T_StockCount[Part Name],$A12,T_StockCount[WeekIndex],72)&gt;0,SUMIFS(T_StockCount[CountedQty],T_StockCount[Part Name],$A12,T_StockCount[WeekIndex],72),IF((('T_SelfStock'!BU16&lt;&gt;""))*(('T_TTAFStock'!BU16&lt;&gt;""))&gt;0,'T_SelfStock'!BU16+'T_TTAFStock'!BU16,BT12+'Grid_Incoming'!BU12-'Grid_Requirement'!BU12))</f>
        <v/>
      </c>
      <c r="BV12">
        <f>IF(COUNTIFS(T_StockCount[Part Name],$A12,T_StockCount[WeekIndex],73)&gt;0,SUMIFS(T_StockCount[CountedQty],T_StockCount[Part Name],$A12,T_StockCount[WeekIndex],73),IF((('T_SelfStock'!BV16&lt;&gt;""))*(('T_TTAFStock'!BV16&lt;&gt;""))&gt;0,'T_SelfStock'!BV16+'T_TTAFStock'!BV16,BU12+'Grid_Incoming'!BV12-'Grid_Requirement'!BV12))</f>
        <v/>
      </c>
      <c r="BW12">
        <f>IF(COUNTIFS(T_StockCount[Part Name],$A12,T_StockCount[WeekIndex],74)&gt;0,SUMIFS(T_StockCount[CountedQty],T_StockCount[Part Name],$A12,T_StockCount[WeekIndex],74),IF((('T_SelfStock'!BW16&lt;&gt;""))*(('T_TTAFStock'!BW16&lt;&gt;""))&gt;0,'T_SelfStock'!BW16+'T_TTAFStock'!BW16,BV12+'Grid_Incoming'!BW12-'Grid_Requirement'!BW12))</f>
        <v/>
      </c>
      <c r="BX12">
        <f>IF(COUNTIFS(T_StockCount[Part Name],$A12,T_StockCount[WeekIndex],75)&gt;0,SUMIFS(T_StockCount[CountedQty],T_StockCount[Part Name],$A12,T_StockCount[WeekIndex],75),IF((('T_SelfStock'!BX16&lt;&gt;""))*(('T_TTAFStock'!BX16&lt;&gt;""))&gt;0,'T_SelfStock'!BX16+'T_TTAFStock'!BX16,BW12+'Grid_Incoming'!BX12-'Grid_Requirement'!BX12))</f>
        <v/>
      </c>
      <c r="BY12">
        <f>IF(COUNTIFS(T_StockCount[Part Name],$A12,T_StockCount[WeekIndex],76)&gt;0,SUMIFS(T_StockCount[CountedQty],T_StockCount[Part Name],$A12,T_StockCount[WeekIndex],76),IF((('T_SelfStock'!BY16&lt;&gt;""))*(('T_TTAFStock'!BY16&lt;&gt;""))&gt;0,'T_SelfStock'!BY16+'T_TTAFStock'!BY16,BX12+'Grid_Incoming'!BY12-'Grid_Requirement'!BY12))</f>
        <v/>
      </c>
      <c r="BZ12">
        <f>IF(COUNTIFS(T_StockCount[Part Name],$A12,T_StockCount[WeekIndex],77)&gt;0,SUMIFS(T_StockCount[CountedQty],T_StockCount[Part Name],$A12,T_StockCount[WeekIndex],77),IF((('T_SelfStock'!BZ16&lt;&gt;""))*(('T_TTAFStock'!BZ16&lt;&gt;""))&gt;0,'T_SelfStock'!BZ16+'T_TTAFStock'!BZ16,BY12+'Grid_Incoming'!BZ12-'Grid_Requirement'!BZ12))</f>
        <v/>
      </c>
      <c r="CA12">
        <f>IF(COUNTIFS(T_StockCount[Part Name],$A12,T_StockCount[WeekIndex],78)&gt;0,SUMIFS(T_StockCount[CountedQty],T_StockCount[Part Name],$A12,T_StockCount[WeekIndex],78),IF((('T_SelfStock'!CA16&lt;&gt;""))*(('T_TTAFStock'!CA16&lt;&gt;""))&gt;0,'T_SelfStock'!CA16+'T_TTAFStock'!CA16,BZ12+'Grid_Incoming'!CA12-'Grid_Requirement'!CA12))</f>
        <v/>
      </c>
      <c r="CB12">
        <f>IF(COUNTIFS(T_StockCount[Part Name],$A12,T_StockCount[WeekIndex],79)&gt;0,SUMIFS(T_StockCount[CountedQty],T_StockCount[Part Name],$A12,T_StockCount[WeekIndex],79),IF((('T_SelfStock'!CB16&lt;&gt;""))*(('T_TTAFStock'!CB16&lt;&gt;""))&gt;0,'T_SelfStock'!CB16+'T_TTAFStock'!CB16,CA12+'Grid_Incoming'!CB12-'Grid_Requirement'!CB12))</f>
        <v/>
      </c>
      <c r="CC12">
        <f>IF(COUNTIFS(T_StockCount[Part Name],$A12,T_StockCount[WeekIndex],80)&gt;0,SUMIFS(T_StockCount[CountedQty],T_StockCount[Part Name],$A12,T_StockCount[WeekIndex],80),IF((('T_SelfStock'!CC16&lt;&gt;""))*(('T_TTAFStock'!CC16&lt;&gt;""))&gt;0,'T_SelfStock'!CC16+'T_TTAFStock'!CC16,CB12+'Grid_Incoming'!CC12-'Grid_Requirement'!CC12))</f>
        <v/>
      </c>
      <c r="CD12">
        <f>IF(COUNTIFS(T_StockCount[Part Name],$A12,T_StockCount[WeekIndex],81)&gt;0,SUMIFS(T_StockCount[CountedQty],T_StockCount[Part Name],$A12,T_StockCount[WeekIndex],81),IF((('T_SelfStock'!CD16&lt;&gt;""))*(('T_TTAFStock'!CD16&lt;&gt;""))&gt;0,'T_SelfStock'!CD16+'T_TTAFStock'!CD16,CC12+'Grid_Incoming'!CD12-'Grid_Requirement'!CD12))</f>
        <v/>
      </c>
      <c r="CE12">
        <f>IF(COUNTIFS(T_StockCount[Part Name],$A12,T_StockCount[WeekIndex],82)&gt;0,SUMIFS(T_StockCount[CountedQty],T_StockCount[Part Name],$A12,T_StockCount[WeekIndex],82),IF((('T_SelfStock'!CE16&lt;&gt;""))*(('T_TTAFStock'!CE16&lt;&gt;""))&gt;0,'T_SelfStock'!CE16+'T_TTAFStock'!CE16,CD12+'Grid_Incoming'!CE12-'Grid_Requirement'!CE12))</f>
        <v/>
      </c>
      <c r="CF12">
        <f>IF(COUNTIFS(T_StockCount[Part Name],$A12,T_StockCount[WeekIndex],83)&gt;0,SUMIFS(T_StockCount[CountedQty],T_StockCount[Part Name],$A12,T_StockCount[WeekIndex],83),IF((('T_SelfStock'!CF16&lt;&gt;""))*(('T_TTAFStock'!CF16&lt;&gt;""))&gt;0,'T_SelfStock'!CF16+'T_TTAFStock'!CF16,CE12+'Grid_Incoming'!CF12-'Grid_Requirement'!CF12))</f>
        <v/>
      </c>
      <c r="CG12">
        <f>IF(COUNTIFS(T_StockCount[Part Name],$A12,T_StockCount[WeekIndex],84)&gt;0,SUMIFS(T_StockCount[CountedQty],T_StockCount[Part Name],$A12,T_StockCount[WeekIndex],84),IF((('T_SelfStock'!CG16&lt;&gt;""))*(('T_TTAFStock'!CG16&lt;&gt;""))&gt;0,'T_SelfStock'!CG16+'T_TTAFStock'!CG16,CF12+'Grid_Incoming'!CG12-'Grid_Requirement'!CG12))</f>
        <v/>
      </c>
      <c r="CH12">
        <f>IF(COUNTIFS(T_StockCount[Part Name],$A12,T_StockCount[WeekIndex],85)&gt;0,SUMIFS(T_StockCount[CountedQty],T_StockCount[Part Name],$A12,T_StockCount[WeekIndex],85),IF((('T_SelfStock'!CH16&lt;&gt;""))*(('T_TTAFStock'!CH16&lt;&gt;""))&gt;0,'T_SelfStock'!CH16+'T_TTAFStock'!CH16,CG12+'Grid_Incoming'!CH12-'Grid_Requirement'!CH12))</f>
        <v/>
      </c>
      <c r="CI12">
        <f>IF(COUNTIFS(T_StockCount[Part Name],$A12,T_StockCount[WeekIndex],86)&gt;0,SUMIFS(T_StockCount[CountedQty],T_StockCount[Part Name],$A12,T_StockCount[WeekIndex],86),IF((('T_SelfStock'!CI16&lt;&gt;""))*(('T_TTAFStock'!CI16&lt;&gt;""))&gt;0,'T_SelfStock'!CI16+'T_TTAFStock'!CI16,CH12+'Grid_Incoming'!CI12-'Grid_Requirement'!CI12))</f>
        <v/>
      </c>
      <c r="CJ12">
        <f>IF(COUNTIFS(T_StockCount[Part Name],$A12,T_StockCount[WeekIndex],87)&gt;0,SUMIFS(T_StockCount[CountedQty],T_StockCount[Part Name],$A12,T_StockCount[WeekIndex],87),IF((('T_SelfStock'!CJ16&lt;&gt;""))*(('T_TTAFStock'!CJ16&lt;&gt;""))&gt;0,'T_SelfStock'!CJ16+'T_TTAFStock'!CJ16,CI12+'Grid_Incoming'!CJ12-'Grid_Requirement'!CJ12))</f>
        <v/>
      </c>
      <c r="CK12">
        <f>IF(COUNTIFS(T_StockCount[Part Name],$A12,T_StockCount[WeekIndex],88)&gt;0,SUMIFS(T_StockCount[CountedQty],T_StockCount[Part Name],$A12,T_StockCount[WeekIndex],88),IF((('T_SelfStock'!CK16&lt;&gt;""))*(('T_TTAFStock'!CK16&lt;&gt;""))&gt;0,'T_SelfStock'!CK16+'T_TTAFStock'!CK16,CJ12+'Grid_Incoming'!CK12-'Grid_Requirement'!CK12))</f>
        <v/>
      </c>
      <c r="CL12">
        <f>IF(COUNTIFS(T_StockCount[Part Name],$A12,T_StockCount[WeekIndex],89)&gt;0,SUMIFS(T_StockCount[CountedQty],T_StockCount[Part Name],$A12,T_StockCount[WeekIndex],89),IF((('T_SelfStock'!CL16&lt;&gt;""))*(('T_TTAFStock'!CL16&lt;&gt;""))&gt;0,'T_SelfStock'!CL16+'T_TTAFStock'!CL16,CK12+'Grid_Incoming'!CL12-'Grid_Requirement'!CL12))</f>
        <v/>
      </c>
      <c r="CM12">
        <f>IF(COUNTIFS(T_StockCount[Part Name],$A12,T_StockCount[WeekIndex],90)&gt;0,SUMIFS(T_StockCount[CountedQty],T_StockCount[Part Name],$A12,T_StockCount[WeekIndex],90),IF((('T_SelfStock'!CM16&lt;&gt;""))*(('T_TTAFStock'!CM16&lt;&gt;""))&gt;0,'T_SelfStock'!CM16+'T_TTAFStock'!CM16,CL12+'Grid_Incoming'!CM12-'Grid_Requirement'!CM12))</f>
        <v/>
      </c>
      <c r="CN12">
        <f>IF(COUNTIFS(T_StockCount[Part Name],$A12,T_StockCount[WeekIndex],91)&gt;0,SUMIFS(T_StockCount[CountedQty],T_StockCount[Part Name],$A12,T_StockCount[WeekIndex],91),IF((('T_SelfStock'!CN16&lt;&gt;""))*(('T_TTAFStock'!CN16&lt;&gt;""))&gt;0,'T_SelfStock'!CN16+'T_TTAFStock'!CN16,CM12+'Grid_Incoming'!CN12-'Grid_Requirement'!CN12))</f>
        <v/>
      </c>
      <c r="CO12">
        <f>IF(COUNTIFS(T_StockCount[Part Name],$A12,T_StockCount[WeekIndex],92)&gt;0,SUMIFS(T_StockCount[CountedQty],T_StockCount[Part Name],$A12,T_StockCount[WeekIndex],92),IF((('T_SelfStock'!CO16&lt;&gt;""))*(('T_TTAFStock'!CO16&lt;&gt;""))&gt;0,'T_SelfStock'!CO16+'T_TTAFStock'!CO16,CN12+'Grid_Incoming'!CO12-'Grid_Requirement'!CO12))</f>
        <v/>
      </c>
      <c r="CP12">
        <f>IF(COUNTIFS(T_StockCount[Part Name],$A12,T_StockCount[WeekIndex],93)&gt;0,SUMIFS(T_StockCount[CountedQty],T_StockCount[Part Name],$A12,T_StockCount[WeekIndex],93),IF((('T_SelfStock'!CP16&lt;&gt;""))*(('T_TTAFStock'!CP16&lt;&gt;""))&gt;0,'T_SelfStock'!CP16+'T_TTAFStock'!CP16,CO12+'Grid_Incoming'!CP12-'Grid_Requirement'!CP12))</f>
        <v/>
      </c>
      <c r="CQ12">
        <f>IF(COUNTIFS(T_StockCount[Part Name],$A12,T_StockCount[WeekIndex],94)&gt;0,SUMIFS(T_StockCount[CountedQty],T_StockCount[Part Name],$A12,T_StockCount[WeekIndex],94),IF((('T_SelfStock'!CQ16&lt;&gt;""))*(('T_TTAFStock'!CQ16&lt;&gt;""))&gt;0,'T_SelfStock'!CQ16+'T_TTAFStock'!CQ16,CP12+'Grid_Incoming'!CQ12-'Grid_Requirement'!CQ12))</f>
        <v/>
      </c>
      <c r="CR12">
        <f>IF(COUNTIFS(T_StockCount[Part Name],$A12,T_StockCount[WeekIndex],95)&gt;0,SUMIFS(T_StockCount[CountedQty],T_StockCount[Part Name],$A12,T_StockCount[WeekIndex],95),IF((('T_SelfStock'!CR16&lt;&gt;""))*(('T_TTAFStock'!CR16&lt;&gt;""))&gt;0,'T_SelfStock'!CR16+'T_TTAFStock'!CR16,CQ12+'Grid_Incoming'!CR12-'Grid_Requirement'!CR12))</f>
        <v/>
      </c>
      <c r="CS12">
        <f>IF(COUNTIFS(T_StockCount[Part Name],$A12,T_StockCount[WeekIndex],96)&gt;0,SUMIFS(T_StockCount[CountedQty],T_StockCount[Part Name],$A12,T_StockCount[WeekIndex],96),IF((('T_SelfStock'!CS16&lt;&gt;""))*(('T_TTAFStock'!CS16&lt;&gt;""))&gt;0,'T_SelfStock'!CS16+'T_TTAFStock'!CS16,CR12+'Grid_Incoming'!CS12-'Grid_Requirement'!CS12))</f>
        <v/>
      </c>
      <c r="CT12">
        <f>IF(COUNTIFS(T_StockCount[Part Name],$A12,T_StockCount[WeekIndex],97)&gt;0,SUMIFS(T_StockCount[CountedQty],T_StockCount[Part Name],$A12,T_StockCount[WeekIndex],97),IF((('T_SelfStock'!CT16&lt;&gt;""))*(('T_TTAFStock'!CT16&lt;&gt;""))&gt;0,'T_SelfStock'!CT16+'T_TTAFStock'!CT16,CS12+'Grid_Incoming'!CT12-'Grid_Requirement'!CT12))</f>
        <v/>
      </c>
      <c r="CU12">
        <f>IF(COUNTIFS(T_StockCount[Part Name],$A12,T_StockCount[WeekIndex],98)&gt;0,SUMIFS(T_StockCount[CountedQty],T_StockCount[Part Name],$A12,T_StockCount[WeekIndex],98),IF((('T_SelfStock'!CU16&lt;&gt;""))*(('T_TTAFStock'!CU16&lt;&gt;""))&gt;0,'T_SelfStock'!CU16+'T_TTAFStock'!CU16,CT12+'Grid_Incoming'!CU12-'Grid_Requirement'!CU12))</f>
        <v/>
      </c>
      <c r="CV12">
        <f>IF(COUNTIFS(T_StockCount[Part Name],$A12,T_StockCount[WeekIndex],99)&gt;0,SUMIFS(T_StockCount[CountedQty],T_StockCount[Part Name],$A12,T_StockCount[WeekIndex],99),IF((('T_SelfStock'!CV16&lt;&gt;""))*(('T_TTAFStock'!CV16&lt;&gt;""))&gt;0,'T_SelfStock'!CV16+'T_TTAFStock'!CV16,CU12+'Grid_Incoming'!CV12-'Grid_Requirement'!CV12))</f>
        <v/>
      </c>
      <c r="CW12">
        <f>IF(COUNTIFS(T_StockCount[Part Name],$A12,T_StockCount[WeekIndex],100)&gt;0,SUMIFS(T_StockCount[CountedQty],T_StockCount[Part Name],$A12,T_StockCount[WeekIndex],100),IF((('T_SelfStock'!CW16&lt;&gt;""))*(('T_TTAFStock'!CW16&lt;&gt;""))&gt;0,'T_SelfStock'!CW16+'T_TTAFStock'!CW16,CV12+'Grid_Incoming'!CW12-'Grid_Requirement'!CW12))</f>
        <v/>
      </c>
      <c r="CX12">
        <f>IF(COUNTIFS(T_StockCount[Part Name],$A12,T_StockCount[WeekIndex],101)&gt;0,SUMIFS(T_StockCount[CountedQty],T_StockCount[Part Name],$A12,T_StockCount[WeekIndex],101),IF((('T_SelfStock'!CX16&lt;&gt;""))*(('T_TTAFStock'!CX16&lt;&gt;""))&gt;0,'T_SelfStock'!CX16+'T_TTAFStock'!CX16,CW12+'Grid_Incoming'!CX12-'Grid_Requirement'!CX12))</f>
        <v/>
      </c>
      <c r="CY12">
        <f>IF(COUNTIFS(T_StockCount[Part Name],$A12,T_StockCount[WeekIndex],102)&gt;0,SUMIFS(T_StockCount[CountedQty],T_StockCount[Part Name],$A12,T_StockCount[WeekIndex],102),IF((('T_SelfStock'!CY16&lt;&gt;""))*(('T_TTAFStock'!CY16&lt;&gt;""))&gt;0,'T_SelfStock'!CY16+'T_TTAFStock'!CY16,CX12+'Grid_Incoming'!CY12-'Grid_Requirement'!CY12))</f>
        <v/>
      </c>
      <c r="CZ12">
        <f>IF(COUNTIFS(T_StockCount[Part Name],$A12,T_StockCount[WeekIndex],103)&gt;0,SUMIFS(T_StockCount[CountedQty],T_StockCount[Part Name],$A12,T_StockCount[WeekIndex],103),IF((('T_SelfStock'!CZ16&lt;&gt;""))*(('T_TTAFStock'!CZ16&lt;&gt;""))&gt;0,'T_SelfStock'!CZ16+'T_TTAFStock'!CZ16,CY12+'Grid_Incoming'!CZ12-'Grid_Requirement'!CZ12))</f>
        <v/>
      </c>
      <c r="DA12">
        <f>IF(COUNTIFS(T_StockCount[Part Name],$A12,T_StockCount[WeekIndex],104)&gt;0,SUMIFS(T_StockCount[CountedQty],T_StockCount[Part Name],$A12,T_StockCount[WeekIndex],104),IF((('T_SelfStock'!DA16&lt;&gt;""))*(('T_TTAFStock'!DA16&lt;&gt;""))&gt;0,'T_SelfStock'!DA16+'T_TTAFStock'!DA16,CZ12+'Grid_Incoming'!DA12-'Grid_Requirement'!DA12))</f>
        <v/>
      </c>
    </row>
    <row r="13">
      <c r="A13" t="inlineStr">
        <is>
          <t>ABN</t>
        </is>
      </c>
      <c r="B13">
        <f>IF(COUNTIFS(T_StockCount[Part Name],$A13,T_StockCount[WeekIndex],1)&gt;0,SUMIFS(T_StockCount[CountedQty],T_StockCount[Part Name],$A13,T_StockCount[WeekIndex],1),IF((('T_SelfStock'!B17&lt;&gt;""))*(('T_TTAFStock'!B17&lt;&gt;""))&gt;0,'T_SelfStock'!B17+'T_TTAFStock'!B17,IFERROR(INDEX(T_OpeningStock[Opening_Qty_要入力],MATCH($A13,T_OpeningStock[Part Name],0)),0)+'Grid_Incoming'!B13-'Grid_Requirement'!B13))</f>
        <v/>
      </c>
      <c r="C13">
        <f>IF(COUNTIFS(T_StockCount[Part Name],$A13,T_StockCount[WeekIndex],2)&gt;0,SUMIFS(T_StockCount[CountedQty],T_StockCount[Part Name],$A13,T_StockCount[WeekIndex],2),IF((('T_SelfStock'!C17&lt;&gt;""))*(('T_TTAFStock'!C17&lt;&gt;""))&gt;0,'T_SelfStock'!C17+'T_TTAFStock'!C17,B13+'Grid_Incoming'!C13-'Grid_Requirement'!C13))</f>
        <v/>
      </c>
      <c r="D13">
        <f>IF(COUNTIFS(T_StockCount[Part Name],$A13,T_StockCount[WeekIndex],3)&gt;0,SUMIFS(T_StockCount[CountedQty],T_StockCount[Part Name],$A13,T_StockCount[WeekIndex],3),IF((('T_SelfStock'!D17&lt;&gt;""))*(('T_TTAFStock'!D17&lt;&gt;""))&gt;0,'T_SelfStock'!D17+'T_TTAFStock'!D17,C13+'Grid_Incoming'!D13-'Grid_Requirement'!D13))</f>
        <v/>
      </c>
      <c r="E13">
        <f>IF(COUNTIFS(T_StockCount[Part Name],$A13,T_StockCount[WeekIndex],4)&gt;0,SUMIFS(T_StockCount[CountedQty],T_StockCount[Part Name],$A13,T_StockCount[WeekIndex],4),IF((('T_SelfStock'!E17&lt;&gt;""))*(('T_TTAFStock'!E17&lt;&gt;""))&gt;0,'T_SelfStock'!E17+'T_TTAFStock'!E17,D13+'Grid_Incoming'!E13-'Grid_Requirement'!E13))</f>
        <v/>
      </c>
      <c r="F13">
        <f>IF(COUNTIFS(T_StockCount[Part Name],$A13,T_StockCount[WeekIndex],5)&gt;0,SUMIFS(T_StockCount[CountedQty],T_StockCount[Part Name],$A13,T_StockCount[WeekIndex],5),IF((('T_SelfStock'!F17&lt;&gt;""))*(('T_TTAFStock'!F17&lt;&gt;""))&gt;0,'T_SelfStock'!F17+'T_TTAFStock'!F17,E13+'Grid_Incoming'!F13-'Grid_Requirement'!F13))</f>
        <v/>
      </c>
      <c r="G13">
        <f>IF(COUNTIFS(T_StockCount[Part Name],$A13,T_StockCount[WeekIndex],6)&gt;0,SUMIFS(T_StockCount[CountedQty],T_StockCount[Part Name],$A13,T_StockCount[WeekIndex],6),IF((('T_SelfStock'!G17&lt;&gt;""))*(('T_TTAFStock'!G17&lt;&gt;""))&gt;0,'T_SelfStock'!G17+'T_TTAFStock'!G17,F13+'Grid_Incoming'!G13-'Grid_Requirement'!G13))</f>
        <v/>
      </c>
      <c r="H13">
        <f>IF(COUNTIFS(T_StockCount[Part Name],$A13,T_StockCount[WeekIndex],7)&gt;0,SUMIFS(T_StockCount[CountedQty],T_StockCount[Part Name],$A13,T_StockCount[WeekIndex],7),IF((('T_SelfStock'!H17&lt;&gt;""))*(('T_TTAFStock'!H17&lt;&gt;""))&gt;0,'T_SelfStock'!H17+'T_TTAFStock'!H17,G13+'Grid_Incoming'!H13-'Grid_Requirement'!H13))</f>
        <v/>
      </c>
      <c r="I13">
        <f>IF(COUNTIFS(T_StockCount[Part Name],$A13,T_StockCount[WeekIndex],8)&gt;0,SUMIFS(T_StockCount[CountedQty],T_StockCount[Part Name],$A13,T_StockCount[WeekIndex],8),IF((('T_SelfStock'!I17&lt;&gt;""))*(('T_TTAFStock'!I17&lt;&gt;""))&gt;0,'T_SelfStock'!I17+'T_TTAFStock'!I17,H13+'Grid_Incoming'!I13-'Grid_Requirement'!I13))</f>
        <v/>
      </c>
      <c r="J13">
        <f>IF(COUNTIFS(T_StockCount[Part Name],$A13,T_StockCount[WeekIndex],9)&gt;0,SUMIFS(T_StockCount[CountedQty],T_StockCount[Part Name],$A13,T_StockCount[WeekIndex],9),IF((('T_SelfStock'!J17&lt;&gt;""))*(('T_TTAFStock'!J17&lt;&gt;""))&gt;0,'T_SelfStock'!J17+'T_TTAFStock'!J17,I13+'Grid_Incoming'!J13-'Grid_Requirement'!J13))</f>
        <v/>
      </c>
      <c r="K13">
        <f>IF(COUNTIFS(T_StockCount[Part Name],$A13,T_StockCount[WeekIndex],10)&gt;0,SUMIFS(T_StockCount[CountedQty],T_StockCount[Part Name],$A13,T_StockCount[WeekIndex],10),IF((('T_SelfStock'!K17&lt;&gt;""))*(('T_TTAFStock'!K17&lt;&gt;""))&gt;0,'T_SelfStock'!K17+'T_TTAFStock'!K17,J13+'Grid_Incoming'!K13-'Grid_Requirement'!K13))</f>
        <v/>
      </c>
      <c r="L13">
        <f>IF(COUNTIFS(T_StockCount[Part Name],$A13,T_StockCount[WeekIndex],11)&gt;0,SUMIFS(T_StockCount[CountedQty],T_StockCount[Part Name],$A13,T_StockCount[WeekIndex],11),IF((('T_SelfStock'!L17&lt;&gt;""))*(('T_TTAFStock'!L17&lt;&gt;""))&gt;0,'T_SelfStock'!L17+'T_TTAFStock'!L17,K13+'Grid_Incoming'!L13-'Grid_Requirement'!L13))</f>
        <v/>
      </c>
      <c r="M13">
        <f>IF(COUNTIFS(T_StockCount[Part Name],$A13,T_StockCount[WeekIndex],12)&gt;0,SUMIFS(T_StockCount[CountedQty],T_StockCount[Part Name],$A13,T_StockCount[WeekIndex],12),IF((('T_SelfStock'!M17&lt;&gt;""))*(('T_TTAFStock'!M17&lt;&gt;""))&gt;0,'T_SelfStock'!M17+'T_TTAFStock'!M17,L13+'Grid_Incoming'!M13-'Grid_Requirement'!M13))</f>
        <v/>
      </c>
      <c r="N13">
        <f>IF(COUNTIFS(T_StockCount[Part Name],$A13,T_StockCount[WeekIndex],13)&gt;0,SUMIFS(T_StockCount[CountedQty],T_StockCount[Part Name],$A13,T_StockCount[WeekIndex],13),IF((('T_SelfStock'!N17&lt;&gt;""))*(('T_TTAFStock'!N17&lt;&gt;""))&gt;0,'T_SelfStock'!N17+'T_TTAFStock'!N17,M13+'Grid_Incoming'!N13-'Grid_Requirement'!N13))</f>
        <v/>
      </c>
      <c r="O13">
        <f>IF(COUNTIFS(T_StockCount[Part Name],$A13,T_StockCount[WeekIndex],14)&gt;0,SUMIFS(T_StockCount[CountedQty],T_StockCount[Part Name],$A13,T_StockCount[WeekIndex],14),IF((('T_SelfStock'!O17&lt;&gt;""))*(('T_TTAFStock'!O17&lt;&gt;""))&gt;0,'T_SelfStock'!O17+'T_TTAFStock'!O17,N13+'Grid_Incoming'!O13-'Grid_Requirement'!O13))</f>
        <v/>
      </c>
      <c r="P13">
        <f>IF(COUNTIFS(T_StockCount[Part Name],$A13,T_StockCount[WeekIndex],15)&gt;0,SUMIFS(T_StockCount[CountedQty],T_StockCount[Part Name],$A13,T_StockCount[WeekIndex],15),IF((('T_SelfStock'!P17&lt;&gt;""))*(('T_TTAFStock'!P17&lt;&gt;""))&gt;0,'T_SelfStock'!P17+'T_TTAFStock'!P17,O13+'Grid_Incoming'!P13-'Grid_Requirement'!P13))</f>
        <v/>
      </c>
      <c r="Q13">
        <f>IF(COUNTIFS(T_StockCount[Part Name],$A13,T_StockCount[WeekIndex],16)&gt;0,SUMIFS(T_StockCount[CountedQty],T_StockCount[Part Name],$A13,T_StockCount[WeekIndex],16),IF((('T_SelfStock'!Q17&lt;&gt;""))*(('T_TTAFStock'!Q17&lt;&gt;""))&gt;0,'T_SelfStock'!Q17+'T_TTAFStock'!Q17,P13+'Grid_Incoming'!Q13-'Grid_Requirement'!Q13))</f>
        <v/>
      </c>
      <c r="R13">
        <f>IF(COUNTIFS(T_StockCount[Part Name],$A13,T_StockCount[WeekIndex],17)&gt;0,SUMIFS(T_StockCount[CountedQty],T_StockCount[Part Name],$A13,T_StockCount[WeekIndex],17),IF((('T_SelfStock'!R17&lt;&gt;""))*(('T_TTAFStock'!R17&lt;&gt;""))&gt;0,'T_SelfStock'!R17+'T_TTAFStock'!R17,Q13+'Grid_Incoming'!R13-'Grid_Requirement'!R13))</f>
        <v/>
      </c>
      <c r="S13">
        <f>IF(COUNTIFS(T_StockCount[Part Name],$A13,T_StockCount[WeekIndex],18)&gt;0,SUMIFS(T_StockCount[CountedQty],T_StockCount[Part Name],$A13,T_StockCount[WeekIndex],18),IF((('T_SelfStock'!S17&lt;&gt;""))*(('T_TTAFStock'!S17&lt;&gt;""))&gt;0,'T_SelfStock'!S17+'T_TTAFStock'!S17,R13+'Grid_Incoming'!S13-'Grid_Requirement'!S13))</f>
        <v/>
      </c>
      <c r="T13">
        <f>IF(COUNTIFS(T_StockCount[Part Name],$A13,T_StockCount[WeekIndex],19)&gt;0,SUMIFS(T_StockCount[CountedQty],T_StockCount[Part Name],$A13,T_StockCount[WeekIndex],19),IF((('T_SelfStock'!T17&lt;&gt;""))*(('T_TTAFStock'!T17&lt;&gt;""))&gt;0,'T_SelfStock'!T17+'T_TTAFStock'!T17,S13+'Grid_Incoming'!T13-'Grid_Requirement'!T13))</f>
        <v/>
      </c>
      <c r="U13">
        <f>IF(COUNTIFS(T_StockCount[Part Name],$A13,T_StockCount[WeekIndex],20)&gt;0,SUMIFS(T_StockCount[CountedQty],T_StockCount[Part Name],$A13,T_StockCount[WeekIndex],20),IF((('T_SelfStock'!U17&lt;&gt;""))*(('T_TTAFStock'!U17&lt;&gt;""))&gt;0,'T_SelfStock'!U17+'T_TTAFStock'!U17,T13+'Grid_Incoming'!U13-'Grid_Requirement'!U13))</f>
        <v/>
      </c>
      <c r="V13">
        <f>IF(COUNTIFS(T_StockCount[Part Name],$A13,T_StockCount[WeekIndex],21)&gt;0,SUMIFS(T_StockCount[CountedQty],T_StockCount[Part Name],$A13,T_StockCount[WeekIndex],21),IF((('T_SelfStock'!V17&lt;&gt;""))*(('T_TTAFStock'!V17&lt;&gt;""))&gt;0,'T_SelfStock'!V17+'T_TTAFStock'!V17,U13+'Grid_Incoming'!V13-'Grid_Requirement'!V13))</f>
        <v/>
      </c>
      <c r="W13">
        <f>IF(COUNTIFS(T_StockCount[Part Name],$A13,T_StockCount[WeekIndex],22)&gt;0,SUMIFS(T_StockCount[CountedQty],T_StockCount[Part Name],$A13,T_StockCount[WeekIndex],22),IF((('T_SelfStock'!W17&lt;&gt;""))*(('T_TTAFStock'!W17&lt;&gt;""))&gt;0,'T_SelfStock'!W17+'T_TTAFStock'!W17,V13+'Grid_Incoming'!W13-'Grid_Requirement'!W13))</f>
        <v/>
      </c>
      <c r="X13">
        <f>IF(COUNTIFS(T_StockCount[Part Name],$A13,T_StockCount[WeekIndex],23)&gt;0,SUMIFS(T_StockCount[CountedQty],T_StockCount[Part Name],$A13,T_StockCount[WeekIndex],23),IF((('T_SelfStock'!X17&lt;&gt;""))*(('T_TTAFStock'!X17&lt;&gt;""))&gt;0,'T_SelfStock'!X17+'T_TTAFStock'!X17,W13+'Grid_Incoming'!X13-'Grid_Requirement'!X13))</f>
        <v/>
      </c>
      <c r="Y13">
        <f>IF(COUNTIFS(T_StockCount[Part Name],$A13,T_StockCount[WeekIndex],24)&gt;0,SUMIFS(T_StockCount[CountedQty],T_StockCount[Part Name],$A13,T_StockCount[WeekIndex],24),IF((('T_SelfStock'!Y17&lt;&gt;""))*(('T_TTAFStock'!Y17&lt;&gt;""))&gt;0,'T_SelfStock'!Y17+'T_TTAFStock'!Y17,X13+'Grid_Incoming'!Y13-'Grid_Requirement'!Y13))</f>
        <v/>
      </c>
      <c r="Z13">
        <f>IF(COUNTIFS(T_StockCount[Part Name],$A13,T_StockCount[WeekIndex],25)&gt;0,SUMIFS(T_StockCount[CountedQty],T_StockCount[Part Name],$A13,T_StockCount[WeekIndex],25),IF((('T_SelfStock'!Z17&lt;&gt;""))*(('T_TTAFStock'!Z17&lt;&gt;""))&gt;0,'T_SelfStock'!Z17+'T_TTAFStock'!Z17,Y13+'Grid_Incoming'!Z13-'Grid_Requirement'!Z13))</f>
        <v/>
      </c>
      <c r="AA13">
        <f>IF(COUNTIFS(T_StockCount[Part Name],$A13,T_StockCount[WeekIndex],26)&gt;0,SUMIFS(T_StockCount[CountedQty],T_StockCount[Part Name],$A13,T_StockCount[WeekIndex],26),IF((('T_SelfStock'!AA17&lt;&gt;""))*(('T_TTAFStock'!AA17&lt;&gt;""))&gt;0,'T_SelfStock'!AA17+'T_TTAFStock'!AA17,Z13+'Grid_Incoming'!AA13-'Grid_Requirement'!AA13))</f>
        <v/>
      </c>
      <c r="AB13">
        <f>IF(COUNTIFS(T_StockCount[Part Name],$A13,T_StockCount[WeekIndex],27)&gt;0,SUMIFS(T_StockCount[CountedQty],T_StockCount[Part Name],$A13,T_StockCount[WeekIndex],27),IF((('T_SelfStock'!AB17&lt;&gt;""))*(('T_TTAFStock'!AB17&lt;&gt;""))&gt;0,'T_SelfStock'!AB17+'T_TTAFStock'!AB17,AA13+'Grid_Incoming'!AB13-'Grid_Requirement'!AB13))</f>
        <v/>
      </c>
      <c r="AC13">
        <f>IF(COUNTIFS(T_StockCount[Part Name],$A13,T_StockCount[WeekIndex],28)&gt;0,SUMIFS(T_StockCount[CountedQty],T_StockCount[Part Name],$A13,T_StockCount[WeekIndex],28),IF((('T_SelfStock'!AC17&lt;&gt;""))*(('T_TTAFStock'!AC17&lt;&gt;""))&gt;0,'T_SelfStock'!AC17+'T_TTAFStock'!AC17,AB13+'Grid_Incoming'!AC13-'Grid_Requirement'!AC13))</f>
        <v/>
      </c>
      <c r="AD13">
        <f>IF(COUNTIFS(T_StockCount[Part Name],$A13,T_StockCount[WeekIndex],29)&gt;0,SUMIFS(T_StockCount[CountedQty],T_StockCount[Part Name],$A13,T_StockCount[WeekIndex],29),IF((('T_SelfStock'!AD17&lt;&gt;""))*(('T_TTAFStock'!AD17&lt;&gt;""))&gt;0,'T_SelfStock'!AD17+'T_TTAFStock'!AD17,AC13+'Grid_Incoming'!AD13-'Grid_Requirement'!AD13))</f>
        <v/>
      </c>
      <c r="AE13">
        <f>IF(COUNTIFS(T_StockCount[Part Name],$A13,T_StockCount[WeekIndex],30)&gt;0,SUMIFS(T_StockCount[CountedQty],T_StockCount[Part Name],$A13,T_StockCount[WeekIndex],30),IF((('T_SelfStock'!AE17&lt;&gt;""))*(('T_TTAFStock'!AE17&lt;&gt;""))&gt;0,'T_SelfStock'!AE17+'T_TTAFStock'!AE17,AD13+'Grid_Incoming'!AE13-'Grid_Requirement'!AE13))</f>
        <v/>
      </c>
      <c r="AF13">
        <f>IF(COUNTIFS(T_StockCount[Part Name],$A13,T_StockCount[WeekIndex],31)&gt;0,SUMIFS(T_StockCount[CountedQty],T_StockCount[Part Name],$A13,T_StockCount[WeekIndex],31),IF((('T_SelfStock'!AF17&lt;&gt;""))*(('T_TTAFStock'!AF17&lt;&gt;""))&gt;0,'T_SelfStock'!AF17+'T_TTAFStock'!AF17,AE13+'Grid_Incoming'!AF13-'Grid_Requirement'!AF13))</f>
        <v/>
      </c>
      <c r="AG13">
        <f>IF(COUNTIFS(T_StockCount[Part Name],$A13,T_StockCount[WeekIndex],32)&gt;0,SUMIFS(T_StockCount[CountedQty],T_StockCount[Part Name],$A13,T_StockCount[WeekIndex],32),IF((('T_SelfStock'!AG17&lt;&gt;""))*(('T_TTAFStock'!AG17&lt;&gt;""))&gt;0,'T_SelfStock'!AG17+'T_TTAFStock'!AG17,AF13+'Grid_Incoming'!AG13-'Grid_Requirement'!AG13))</f>
        <v/>
      </c>
      <c r="AH13">
        <f>IF(COUNTIFS(T_StockCount[Part Name],$A13,T_StockCount[WeekIndex],33)&gt;0,SUMIFS(T_StockCount[CountedQty],T_StockCount[Part Name],$A13,T_StockCount[WeekIndex],33),IF((('T_SelfStock'!AH17&lt;&gt;""))*(('T_TTAFStock'!AH17&lt;&gt;""))&gt;0,'T_SelfStock'!AH17+'T_TTAFStock'!AH17,AG13+'Grid_Incoming'!AH13-'Grid_Requirement'!AH13))</f>
        <v/>
      </c>
      <c r="AI13">
        <f>IF(COUNTIFS(T_StockCount[Part Name],$A13,T_StockCount[WeekIndex],34)&gt;0,SUMIFS(T_StockCount[CountedQty],T_StockCount[Part Name],$A13,T_StockCount[WeekIndex],34),IF((('T_SelfStock'!AI17&lt;&gt;""))*(('T_TTAFStock'!AI17&lt;&gt;""))&gt;0,'T_SelfStock'!AI17+'T_TTAFStock'!AI17,AH13+'Grid_Incoming'!AI13-'Grid_Requirement'!AI13))</f>
        <v/>
      </c>
      <c r="AJ13">
        <f>IF(COUNTIFS(T_StockCount[Part Name],$A13,T_StockCount[WeekIndex],35)&gt;0,SUMIFS(T_StockCount[CountedQty],T_StockCount[Part Name],$A13,T_StockCount[WeekIndex],35),IF((('T_SelfStock'!AJ17&lt;&gt;""))*(('T_TTAFStock'!AJ17&lt;&gt;""))&gt;0,'T_SelfStock'!AJ17+'T_TTAFStock'!AJ17,AI13+'Grid_Incoming'!AJ13-'Grid_Requirement'!AJ13))</f>
        <v/>
      </c>
      <c r="AK13">
        <f>IF(COUNTIFS(T_StockCount[Part Name],$A13,T_StockCount[WeekIndex],36)&gt;0,SUMIFS(T_StockCount[CountedQty],T_StockCount[Part Name],$A13,T_StockCount[WeekIndex],36),IF((('T_SelfStock'!AK17&lt;&gt;""))*(('T_TTAFStock'!AK17&lt;&gt;""))&gt;0,'T_SelfStock'!AK17+'T_TTAFStock'!AK17,AJ13+'Grid_Incoming'!AK13-'Grid_Requirement'!AK13))</f>
        <v/>
      </c>
      <c r="AL13">
        <f>IF(COUNTIFS(T_StockCount[Part Name],$A13,T_StockCount[WeekIndex],37)&gt;0,SUMIFS(T_StockCount[CountedQty],T_StockCount[Part Name],$A13,T_StockCount[WeekIndex],37),IF((('T_SelfStock'!AL17&lt;&gt;""))*(('T_TTAFStock'!AL17&lt;&gt;""))&gt;0,'T_SelfStock'!AL17+'T_TTAFStock'!AL17,AK13+'Grid_Incoming'!AL13-'Grid_Requirement'!AL13))</f>
        <v/>
      </c>
      <c r="AM13">
        <f>IF(COUNTIFS(T_StockCount[Part Name],$A13,T_StockCount[WeekIndex],38)&gt;0,SUMIFS(T_StockCount[CountedQty],T_StockCount[Part Name],$A13,T_StockCount[WeekIndex],38),IF((('T_SelfStock'!AM17&lt;&gt;""))*(('T_TTAFStock'!AM17&lt;&gt;""))&gt;0,'T_SelfStock'!AM17+'T_TTAFStock'!AM17,AL13+'Grid_Incoming'!AM13-'Grid_Requirement'!AM13))</f>
        <v/>
      </c>
      <c r="AN13">
        <f>IF(COUNTIFS(T_StockCount[Part Name],$A13,T_StockCount[WeekIndex],39)&gt;0,SUMIFS(T_StockCount[CountedQty],T_StockCount[Part Name],$A13,T_StockCount[WeekIndex],39),IF((('T_SelfStock'!AN17&lt;&gt;""))*(('T_TTAFStock'!AN17&lt;&gt;""))&gt;0,'T_SelfStock'!AN17+'T_TTAFStock'!AN17,AM13+'Grid_Incoming'!AN13-'Grid_Requirement'!AN13))</f>
        <v/>
      </c>
      <c r="AO13">
        <f>IF(COUNTIFS(T_StockCount[Part Name],$A13,T_StockCount[WeekIndex],40)&gt;0,SUMIFS(T_StockCount[CountedQty],T_StockCount[Part Name],$A13,T_StockCount[WeekIndex],40),IF((('T_SelfStock'!AO17&lt;&gt;""))*(('T_TTAFStock'!AO17&lt;&gt;""))&gt;0,'T_SelfStock'!AO17+'T_TTAFStock'!AO17,AN13+'Grid_Incoming'!AO13-'Grid_Requirement'!AO13))</f>
        <v/>
      </c>
      <c r="AP13">
        <f>IF(COUNTIFS(T_StockCount[Part Name],$A13,T_StockCount[WeekIndex],41)&gt;0,SUMIFS(T_StockCount[CountedQty],T_StockCount[Part Name],$A13,T_StockCount[WeekIndex],41),IF((('T_SelfStock'!AP17&lt;&gt;""))*(('T_TTAFStock'!AP17&lt;&gt;""))&gt;0,'T_SelfStock'!AP17+'T_TTAFStock'!AP17,AO13+'Grid_Incoming'!AP13-'Grid_Requirement'!AP13))</f>
        <v/>
      </c>
      <c r="AQ13">
        <f>IF(COUNTIFS(T_StockCount[Part Name],$A13,T_StockCount[WeekIndex],42)&gt;0,SUMIFS(T_StockCount[CountedQty],T_StockCount[Part Name],$A13,T_StockCount[WeekIndex],42),IF((('T_SelfStock'!AQ17&lt;&gt;""))*(('T_TTAFStock'!AQ17&lt;&gt;""))&gt;0,'T_SelfStock'!AQ17+'T_TTAFStock'!AQ17,AP13+'Grid_Incoming'!AQ13-'Grid_Requirement'!AQ13))</f>
        <v/>
      </c>
      <c r="AR13">
        <f>IF(COUNTIFS(T_StockCount[Part Name],$A13,T_StockCount[WeekIndex],43)&gt;0,SUMIFS(T_StockCount[CountedQty],T_StockCount[Part Name],$A13,T_StockCount[WeekIndex],43),IF((('T_SelfStock'!AR17&lt;&gt;""))*(('T_TTAFStock'!AR17&lt;&gt;""))&gt;0,'T_SelfStock'!AR17+'T_TTAFStock'!AR17,AQ13+'Grid_Incoming'!AR13-'Grid_Requirement'!AR13))</f>
        <v/>
      </c>
      <c r="AS13">
        <f>IF(COUNTIFS(T_StockCount[Part Name],$A13,T_StockCount[WeekIndex],44)&gt;0,SUMIFS(T_StockCount[CountedQty],T_StockCount[Part Name],$A13,T_StockCount[WeekIndex],44),IF((('T_SelfStock'!AS17&lt;&gt;""))*(('T_TTAFStock'!AS17&lt;&gt;""))&gt;0,'T_SelfStock'!AS17+'T_TTAFStock'!AS17,AR13+'Grid_Incoming'!AS13-'Grid_Requirement'!AS13))</f>
        <v/>
      </c>
      <c r="AT13">
        <f>IF(COUNTIFS(T_StockCount[Part Name],$A13,T_StockCount[WeekIndex],45)&gt;0,SUMIFS(T_StockCount[CountedQty],T_StockCount[Part Name],$A13,T_StockCount[WeekIndex],45),IF((('T_SelfStock'!AT17&lt;&gt;""))*(('T_TTAFStock'!AT17&lt;&gt;""))&gt;0,'T_SelfStock'!AT17+'T_TTAFStock'!AT17,AS13+'Grid_Incoming'!AT13-'Grid_Requirement'!AT13))</f>
        <v/>
      </c>
      <c r="AU13">
        <f>IF(COUNTIFS(T_StockCount[Part Name],$A13,T_StockCount[WeekIndex],46)&gt;0,SUMIFS(T_StockCount[CountedQty],T_StockCount[Part Name],$A13,T_StockCount[WeekIndex],46),IF((('T_SelfStock'!AU17&lt;&gt;""))*(('T_TTAFStock'!AU17&lt;&gt;""))&gt;0,'T_SelfStock'!AU17+'T_TTAFStock'!AU17,AT13+'Grid_Incoming'!AU13-'Grid_Requirement'!AU13))</f>
        <v/>
      </c>
      <c r="AV13">
        <f>IF(COUNTIFS(T_StockCount[Part Name],$A13,T_StockCount[WeekIndex],47)&gt;0,SUMIFS(T_StockCount[CountedQty],T_StockCount[Part Name],$A13,T_StockCount[WeekIndex],47),IF((('T_SelfStock'!AV17&lt;&gt;""))*(('T_TTAFStock'!AV17&lt;&gt;""))&gt;0,'T_SelfStock'!AV17+'T_TTAFStock'!AV17,AU13+'Grid_Incoming'!AV13-'Grid_Requirement'!AV13))</f>
        <v/>
      </c>
      <c r="AW13">
        <f>IF(COUNTIFS(T_StockCount[Part Name],$A13,T_StockCount[WeekIndex],48)&gt;0,SUMIFS(T_StockCount[CountedQty],T_StockCount[Part Name],$A13,T_StockCount[WeekIndex],48),IF((('T_SelfStock'!AW17&lt;&gt;""))*(('T_TTAFStock'!AW17&lt;&gt;""))&gt;0,'T_SelfStock'!AW17+'T_TTAFStock'!AW17,AV13+'Grid_Incoming'!AW13-'Grid_Requirement'!AW13))</f>
        <v/>
      </c>
      <c r="AX13">
        <f>IF(COUNTIFS(T_StockCount[Part Name],$A13,T_StockCount[WeekIndex],49)&gt;0,SUMIFS(T_StockCount[CountedQty],T_StockCount[Part Name],$A13,T_StockCount[WeekIndex],49),IF((('T_SelfStock'!AX17&lt;&gt;""))*(('T_TTAFStock'!AX17&lt;&gt;""))&gt;0,'T_SelfStock'!AX17+'T_TTAFStock'!AX17,AW13+'Grid_Incoming'!AX13-'Grid_Requirement'!AX13))</f>
        <v/>
      </c>
      <c r="AY13">
        <f>IF(COUNTIFS(T_StockCount[Part Name],$A13,T_StockCount[WeekIndex],50)&gt;0,SUMIFS(T_StockCount[CountedQty],T_StockCount[Part Name],$A13,T_StockCount[WeekIndex],50),IF((('T_SelfStock'!AY17&lt;&gt;""))*(('T_TTAFStock'!AY17&lt;&gt;""))&gt;0,'T_SelfStock'!AY17+'T_TTAFStock'!AY17,AX13+'Grid_Incoming'!AY13-'Grid_Requirement'!AY13))</f>
        <v/>
      </c>
      <c r="AZ13">
        <f>IF(COUNTIFS(T_StockCount[Part Name],$A13,T_StockCount[WeekIndex],51)&gt;0,SUMIFS(T_StockCount[CountedQty],T_StockCount[Part Name],$A13,T_StockCount[WeekIndex],51),IF((('T_SelfStock'!AZ17&lt;&gt;""))*(('T_TTAFStock'!AZ17&lt;&gt;""))&gt;0,'T_SelfStock'!AZ17+'T_TTAFStock'!AZ17,AY13+'Grid_Incoming'!AZ13-'Grid_Requirement'!AZ13))</f>
        <v/>
      </c>
      <c r="BA13">
        <f>IF(COUNTIFS(T_StockCount[Part Name],$A13,T_StockCount[WeekIndex],52)&gt;0,SUMIFS(T_StockCount[CountedQty],T_StockCount[Part Name],$A13,T_StockCount[WeekIndex],52),IF((('T_SelfStock'!BA17&lt;&gt;""))*(('T_TTAFStock'!BA17&lt;&gt;""))&gt;0,'T_SelfStock'!BA17+'T_TTAFStock'!BA17,AZ13+'Grid_Incoming'!BA13-'Grid_Requirement'!BA13))</f>
        <v/>
      </c>
      <c r="BB13">
        <f>IF(COUNTIFS(T_StockCount[Part Name],$A13,T_StockCount[WeekIndex],53)&gt;0,SUMIFS(T_StockCount[CountedQty],T_StockCount[Part Name],$A13,T_StockCount[WeekIndex],53),IF((('T_SelfStock'!BB17&lt;&gt;""))*(('T_TTAFStock'!BB17&lt;&gt;""))&gt;0,'T_SelfStock'!BB17+'T_TTAFStock'!BB17,BA13+'Grid_Incoming'!BB13-'Grid_Requirement'!BB13))</f>
        <v/>
      </c>
      <c r="BC13">
        <f>IF(COUNTIFS(T_StockCount[Part Name],$A13,T_StockCount[WeekIndex],54)&gt;0,SUMIFS(T_StockCount[CountedQty],T_StockCount[Part Name],$A13,T_StockCount[WeekIndex],54),IF((('T_SelfStock'!BC17&lt;&gt;""))*(('T_TTAFStock'!BC17&lt;&gt;""))&gt;0,'T_SelfStock'!BC17+'T_TTAFStock'!BC17,BB13+'Grid_Incoming'!BC13-'Grid_Requirement'!BC13))</f>
        <v/>
      </c>
      <c r="BD13">
        <f>IF(COUNTIFS(T_StockCount[Part Name],$A13,T_StockCount[WeekIndex],55)&gt;0,SUMIFS(T_StockCount[CountedQty],T_StockCount[Part Name],$A13,T_StockCount[WeekIndex],55),IF((('T_SelfStock'!BD17&lt;&gt;""))*(('T_TTAFStock'!BD17&lt;&gt;""))&gt;0,'T_SelfStock'!BD17+'T_TTAFStock'!BD17,BC13+'Grid_Incoming'!BD13-'Grid_Requirement'!BD13))</f>
        <v/>
      </c>
      <c r="BE13">
        <f>IF(COUNTIFS(T_StockCount[Part Name],$A13,T_StockCount[WeekIndex],56)&gt;0,SUMIFS(T_StockCount[CountedQty],T_StockCount[Part Name],$A13,T_StockCount[WeekIndex],56),IF((('T_SelfStock'!BE17&lt;&gt;""))*(('T_TTAFStock'!BE17&lt;&gt;""))&gt;0,'T_SelfStock'!BE17+'T_TTAFStock'!BE17,BD13+'Grid_Incoming'!BE13-'Grid_Requirement'!BE13))</f>
        <v/>
      </c>
      <c r="BF13">
        <f>IF(COUNTIFS(T_StockCount[Part Name],$A13,T_StockCount[WeekIndex],57)&gt;0,SUMIFS(T_StockCount[CountedQty],T_StockCount[Part Name],$A13,T_StockCount[WeekIndex],57),IF((('T_SelfStock'!BF17&lt;&gt;""))*(('T_TTAFStock'!BF17&lt;&gt;""))&gt;0,'T_SelfStock'!BF17+'T_TTAFStock'!BF17,BE13+'Grid_Incoming'!BF13-'Grid_Requirement'!BF13))</f>
        <v/>
      </c>
      <c r="BG13">
        <f>IF(COUNTIFS(T_StockCount[Part Name],$A13,T_StockCount[WeekIndex],58)&gt;0,SUMIFS(T_StockCount[CountedQty],T_StockCount[Part Name],$A13,T_StockCount[WeekIndex],58),IF((('T_SelfStock'!BG17&lt;&gt;""))*(('T_TTAFStock'!BG17&lt;&gt;""))&gt;0,'T_SelfStock'!BG17+'T_TTAFStock'!BG17,BF13+'Grid_Incoming'!BG13-'Grid_Requirement'!BG13))</f>
        <v/>
      </c>
      <c r="BH13">
        <f>IF(COUNTIFS(T_StockCount[Part Name],$A13,T_StockCount[WeekIndex],59)&gt;0,SUMIFS(T_StockCount[CountedQty],T_StockCount[Part Name],$A13,T_StockCount[WeekIndex],59),IF((('T_SelfStock'!BH17&lt;&gt;""))*(('T_TTAFStock'!BH17&lt;&gt;""))&gt;0,'T_SelfStock'!BH17+'T_TTAFStock'!BH17,BG13+'Grid_Incoming'!BH13-'Grid_Requirement'!BH13))</f>
        <v/>
      </c>
      <c r="BI13">
        <f>IF(COUNTIFS(T_StockCount[Part Name],$A13,T_StockCount[WeekIndex],60)&gt;0,SUMIFS(T_StockCount[CountedQty],T_StockCount[Part Name],$A13,T_StockCount[WeekIndex],60),IF((('T_SelfStock'!BI17&lt;&gt;""))*(('T_TTAFStock'!BI17&lt;&gt;""))&gt;0,'T_SelfStock'!BI17+'T_TTAFStock'!BI17,BH13+'Grid_Incoming'!BI13-'Grid_Requirement'!BI13))</f>
        <v/>
      </c>
      <c r="BJ13">
        <f>IF(COUNTIFS(T_StockCount[Part Name],$A13,T_StockCount[WeekIndex],61)&gt;0,SUMIFS(T_StockCount[CountedQty],T_StockCount[Part Name],$A13,T_StockCount[WeekIndex],61),IF((('T_SelfStock'!BJ17&lt;&gt;""))*(('T_TTAFStock'!BJ17&lt;&gt;""))&gt;0,'T_SelfStock'!BJ17+'T_TTAFStock'!BJ17,BI13+'Grid_Incoming'!BJ13-'Grid_Requirement'!BJ13))</f>
        <v/>
      </c>
      <c r="BK13">
        <f>IF(COUNTIFS(T_StockCount[Part Name],$A13,T_StockCount[WeekIndex],62)&gt;0,SUMIFS(T_StockCount[CountedQty],T_StockCount[Part Name],$A13,T_StockCount[WeekIndex],62),IF((('T_SelfStock'!BK17&lt;&gt;""))*(('T_TTAFStock'!BK17&lt;&gt;""))&gt;0,'T_SelfStock'!BK17+'T_TTAFStock'!BK17,BJ13+'Grid_Incoming'!BK13-'Grid_Requirement'!BK13))</f>
        <v/>
      </c>
      <c r="BL13">
        <f>IF(COUNTIFS(T_StockCount[Part Name],$A13,T_StockCount[WeekIndex],63)&gt;0,SUMIFS(T_StockCount[CountedQty],T_StockCount[Part Name],$A13,T_StockCount[WeekIndex],63),IF((('T_SelfStock'!BL17&lt;&gt;""))*(('T_TTAFStock'!BL17&lt;&gt;""))&gt;0,'T_SelfStock'!BL17+'T_TTAFStock'!BL17,BK13+'Grid_Incoming'!BL13-'Grid_Requirement'!BL13))</f>
        <v/>
      </c>
      <c r="BM13">
        <f>IF(COUNTIFS(T_StockCount[Part Name],$A13,T_StockCount[WeekIndex],64)&gt;0,SUMIFS(T_StockCount[CountedQty],T_StockCount[Part Name],$A13,T_StockCount[WeekIndex],64),IF((('T_SelfStock'!BM17&lt;&gt;""))*(('T_TTAFStock'!BM17&lt;&gt;""))&gt;0,'T_SelfStock'!BM17+'T_TTAFStock'!BM17,BL13+'Grid_Incoming'!BM13-'Grid_Requirement'!BM13))</f>
        <v/>
      </c>
      <c r="BN13">
        <f>IF(COUNTIFS(T_StockCount[Part Name],$A13,T_StockCount[WeekIndex],65)&gt;0,SUMIFS(T_StockCount[CountedQty],T_StockCount[Part Name],$A13,T_StockCount[WeekIndex],65),IF((('T_SelfStock'!BN17&lt;&gt;""))*(('T_TTAFStock'!BN17&lt;&gt;""))&gt;0,'T_SelfStock'!BN17+'T_TTAFStock'!BN17,BM13+'Grid_Incoming'!BN13-'Grid_Requirement'!BN13))</f>
        <v/>
      </c>
      <c r="BO13">
        <f>IF(COUNTIFS(T_StockCount[Part Name],$A13,T_StockCount[WeekIndex],66)&gt;0,SUMIFS(T_StockCount[CountedQty],T_StockCount[Part Name],$A13,T_StockCount[WeekIndex],66),IF((('T_SelfStock'!BO17&lt;&gt;""))*(('T_TTAFStock'!BO17&lt;&gt;""))&gt;0,'T_SelfStock'!BO17+'T_TTAFStock'!BO17,BN13+'Grid_Incoming'!BO13-'Grid_Requirement'!BO13))</f>
        <v/>
      </c>
      <c r="BP13">
        <f>IF(COUNTIFS(T_StockCount[Part Name],$A13,T_StockCount[WeekIndex],67)&gt;0,SUMIFS(T_StockCount[CountedQty],T_StockCount[Part Name],$A13,T_StockCount[WeekIndex],67),IF((('T_SelfStock'!BP17&lt;&gt;""))*(('T_TTAFStock'!BP17&lt;&gt;""))&gt;0,'T_SelfStock'!BP17+'T_TTAFStock'!BP17,BO13+'Grid_Incoming'!BP13-'Grid_Requirement'!BP13))</f>
        <v/>
      </c>
      <c r="BQ13">
        <f>IF(COUNTIFS(T_StockCount[Part Name],$A13,T_StockCount[WeekIndex],68)&gt;0,SUMIFS(T_StockCount[CountedQty],T_StockCount[Part Name],$A13,T_StockCount[WeekIndex],68),IF((('T_SelfStock'!BQ17&lt;&gt;""))*(('T_TTAFStock'!BQ17&lt;&gt;""))&gt;0,'T_SelfStock'!BQ17+'T_TTAFStock'!BQ17,BP13+'Grid_Incoming'!BQ13-'Grid_Requirement'!BQ13))</f>
        <v/>
      </c>
      <c r="BR13">
        <f>IF(COUNTIFS(T_StockCount[Part Name],$A13,T_StockCount[WeekIndex],69)&gt;0,SUMIFS(T_StockCount[CountedQty],T_StockCount[Part Name],$A13,T_StockCount[WeekIndex],69),IF((('T_SelfStock'!BR17&lt;&gt;""))*(('T_TTAFStock'!BR17&lt;&gt;""))&gt;0,'T_SelfStock'!BR17+'T_TTAFStock'!BR17,BQ13+'Grid_Incoming'!BR13-'Grid_Requirement'!BR13))</f>
        <v/>
      </c>
      <c r="BS13">
        <f>IF(COUNTIFS(T_StockCount[Part Name],$A13,T_StockCount[WeekIndex],70)&gt;0,SUMIFS(T_StockCount[CountedQty],T_StockCount[Part Name],$A13,T_StockCount[WeekIndex],70),IF((('T_SelfStock'!BS17&lt;&gt;""))*(('T_TTAFStock'!BS17&lt;&gt;""))&gt;0,'T_SelfStock'!BS17+'T_TTAFStock'!BS17,BR13+'Grid_Incoming'!BS13-'Grid_Requirement'!BS13))</f>
        <v/>
      </c>
      <c r="BT13">
        <f>IF(COUNTIFS(T_StockCount[Part Name],$A13,T_StockCount[WeekIndex],71)&gt;0,SUMIFS(T_StockCount[CountedQty],T_StockCount[Part Name],$A13,T_StockCount[WeekIndex],71),IF((('T_SelfStock'!BT17&lt;&gt;""))*(('T_TTAFStock'!BT17&lt;&gt;""))&gt;0,'T_SelfStock'!BT17+'T_TTAFStock'!BT17,BS13+'Grid_Incoming'!BT13-'Grid_Requirement'!BT13))</f>
        <v/>
      </c>
      <c r="BU13">
        <f>IF(COUNTIFS(T_StockCount[Part Name],$A13,T_StockCount[WeekIndex],72)&gt;0,SUMIFS(T_StockCount[CountedQty],T_StockCount[Part Name],$A13,T_StockCount[WeekIndex],72),IF((('T_SelfStock'!BU17&lt;&gt;""))*(('T_TTAFStock'!BU17&lt;&gt;""))&gt;0,'T_SelfStock'!BU17+'T_TTAFStock'!BU17,BT13+'Grid_Incoming'!BU13-'Grid_Requirement'!BU13))</f>
        <v/>
      </c>
      <c r="BV13">
        <f>IF(COUNTIFS(T_StockCount[Part Name],$A13,T_StockCount[WeekIndex],73)&gt;0,SUMIFS(T_StockCount[CountedQty],T_StockCount[Part Name],$A13,T_StockCount[WeekIndex],73),IF((('T_SelfStock'!BV17&lt;&gt;""))*(('T_TTAFStock'!BV17&lt;&gt;""))&gt;0,'T_SelfStock'!BV17+'T_TTAFStock'!BV17,BU13+'Grid_Incoming'!BV13-'Grid_Requirement'!BV13))</f>
        <v/>
      </c>
      <c r="BW13">
        <f>IF(COUNTIFS(T_StockCount[Part Name],$A13,T_StockCount[WeekIndex],74)&gt;0,SUMIFS(T_StockCount[CountedQty],T_StockCount[Part Name],$A13,T_StockCount[WeekIndex],74),IF((('T_SelfStock'!BW17&lt;&gt;""))*(('T_TTAFStock'!BW17&lt;&gt;""))&gt;0,'T_SelfStock'!BW17+'T_TTAFStock'!BW17,BV13+'Grid_Incoming'!BW13-'Grid_Requirement'!BW13))</f>
        <v/>
      </c>
      <c r="BX13">
        <f>IF(COUNTIFS(T_StockCount[Part Name],$A13,T_StockCount[WeekIndex],75)&gt;0,SUMIFS(T_StockCount[CountedQty],T_StockCount[Part Name],$A13,T_StockCount[WeekIndex],75),IF((('T_SelfStock'!BX17&lt;&gt;""))*(('T_TTAFStock'!BX17&lt;&gt;""))&gt;0,'T_SelfStock'!BX17+'T_TTAFStock'!BX17,BW13+'Grid_Incoming'!BX13-'Grid_Requirement'!BX13))</f>
        <v/>
      </c>
      <c r="BY13">
        <f>IF(COUNTIFS(T_StockCount[Part Name],$A13,T_StockCount[WeekIndex],76)&gt;0,SUMIFS(T_StockCount[CountedQty],T_StockCount[Part Name],$A13,T_StockCount[WeekIndex],76),IF((('T_SelfStock'!BY17&lt;&gt;""))*(('T_TTAFStock'!BY17&lt;&gt;""))&gt;0,'T_SelfStock'!BY17+'T_TTAFStock'!BY17,BX13+'Grid_Incoming'!BY13-'Grid_Requirement'!BY13))</f>
        <v/>
      </c>
      <c r="BZ13">
        <f>IF(COUNTIFS(T_StockCount[Part Name],$A13,T_StockCount[WeekIndex],77)&gt;0,SUMIFS(T_StockCount[CountedQty],T_StockCount[Part Name],$A13,T_StockCount[WeekIndex],77),IF((('T_SelfStock'!BZ17&lt;&gt;""))*(('T_TTAFStock'!BZ17&lt;&gt;""))&gt;0,'T_SelfStock'!BZ17+'T_TTAFStock'!BZ17,BY13+'Grid_Incoming'!BZ13-'Grid_Requirement'!BZ13))</f>
        <v/>
      </c>
      <c r="CA13">
        <f>IF(COUNTIFS(T_StockCount[Part Name],$A13,T_StockCount[WeekIndex],78)&gt;0,SUMIFS(T_StockCount[CountedQty],T_StockCount[Part Name],$A13,T_StockCount[WeekIndex],78),IF((('T_SelfStock'!CA17&lt;&gt;""))*(('T_TTAFStock'!CA17&lt;&gt;""))&gt;0,'T_SelfStock'!CA17+'T_TTAFStock'!CA17,BZ13+'Grid_Incoming'!CA13-'Grid_Requirement'!CA13))</f>
        <v/>
      </c>
      <c r="CB13">
        <f>IF(COUNTIFS(T_StockCount[Part Name],$A13,T_StockCount[WeekIndex],79)&gt;0,SUMIFS(T_StockCount[CountedQty],T_StockCount[Part Name],$A13,T_StockCount[WeekIndex],79),IF((('T_SelfStock'!CB17&lt;&gt;""))*(('T_TTAFStock'!CB17&lt;&gt;""))&gt;0,'T_SelfStock'!CB17+'T_TTAFStock'!CB17,CA13+'Grid_Incoming'!CB13-'Grid_Requirement'!CB13))</f>
        <v/>
      </c>
      <c r="CC13">
        <f>IF(COUNTIFS(T_StockCount[Part Name],$A13,T_StockCount[WeekIndex],80)&gt;0,SUMIFS(T_StockCount[CountedQty],T_StockCount[Part Name],$A13,T_StockCount[WeekIndex],80),IF((('T_SelfStock'!CC17&lt;&gt;""))*(('T_TTAFStock'!CC17&lt;&gt;""))&gt;0,'T_SelfStock'!CC17+'T_TTAFStock'!CC17,CB13+'Grid_Incoming'!CC13-'Grid_Requirement'!CC13))</f>
        <v/>
      </c>
      <c r="CD13">
        <f>IF(COUNTIFS(T_StockCount[Part Name],$A13,T_StockCount[WeekIndex],81)&gt;0,SUMIFS(T_StockCount[CountedQty],T_StockCount[Part Name],$A13,T_StockCount[WeekIndex],81),IF((('T_SelfStock'!CD17&lt;&gt;""))*(('T_TTAFStock'!CD17&lt;&gt;""))&gt;0,'T_SelfStock'!CD17+'T_TTAFStock'!CD17,CC13+'Grid_Incoming'!CD13-'Grid_Requirement'!CD13))</f>
        <v/>
      </c>
      <c r="CE13">
        <f>IF(COUNTIFS(T_StockCount[Part Name],$A13,T_StockCount[WeekIndex],82)&gt;0,SUMIFS(T_StockCount[CountedQty],T_StockCount[Part Name],$A13,T_StockCount[WeekIndex],82),IF((('T_SelfStock'!CE17&lt;&gt;""))*(('T_TTAFStock'!CE17&lt;&gt;""))&gt;0,'T_SelfStock'!CE17+'T_TTAFStock'!CE17,CD13+'Grid_Incoming'!CE13-'Grid_Requirement'!CE13))</f>
        <v/>
      </c>
      <c r="CF13">
        <f>IF(COUNTIFS(T_StockCount[Part Name],$A13,T_StockCount[WeekIndex],83)&gt;0,SUMIFS(T_StockCount[CountedQty],T_StockCount[Part Name],$A13,T_StockCount[WeekIndex],83),IF((('T_SelfStock'!CF17&lt;&gt;""))*(('T_TTAFStock'!CF17&lt;&gt;""))&gt;0,'T_SelfStock'!CF17+'T_TTAFStock'!CF17,CE13+'Grid_Incoming'!CF13-'Grid_Requirement'!CF13))</f>
        <v/>
      </c>
      <c r="CG13">
        <f>IF(COUNTIFS(T_StockCount[Part Name],$A13,T_StockCount[WeekIndex],84)&gt;0,SUMIFS(T_StockCount[CountedQty],T_StockCount[Part Name],$A13,T_StockCount[WeekIndex],84),IF((('T_SelfStock'!CG17&lt;&gt;""))*(('T_TTAFStock'!CG17&lt;&gt;""))&gt;0,'T_SelfStock'!CG17+'T_TTAFStock'!CG17,CF13+'Grid_Incoming'!CG13-'Grid_Requirement'!CG13))</f>
        <v/>
      </c>
      <c r="CH13">
        <f>IF(COUNTIFS(T_StockCount[Part Name],$A13,T_StockCount[WeekIndex],85)&gt;0,SUMIFS(T_StockCount[CountedQty],T_StockCount[Part Name],$A13,T_StockCount[WeekIndex],85),IF((('T_SelfStock'!CH17&lt;&gt;""))*(('T_TTAFStock'!CH17&lt;&gt;""))&gt;0,'T_SelfStock'!CH17+'T_TTAFStock'!CH17,CG13+'Grid_Incoming'!CH13-'Grid_Requirement'!CH13))</f>
        <v/>
      </c>
      <c r="CI13">
        <f>IF(COUNTIFS(T_StockCount[Part Name],$A13,T_StockCount[WeekIndex],86)&gt;0,SUMIFS(T_StockCount[CountedQty],T_StockCount[Part Name],$A13,T_StockCount[WeekIndex],86),IF((('T_SelfStock'!CI17&lt;&gt;""))*(('T_TTAFStock'!CI17&lt;&gt;""))&gt;0,'T_SelfStock'!CI17+'T_TTAFStock'!CI17,CH13+'Grid_Incoming'!CI13-'Grid_Requirement'!CI13))</f>
        <v/>
      </c>
      <c r="CJ13">
        <f>IF(COUNTIFS(T_StockCount[Part Name],$A13,T_StockCount[WeekIndex],87)&gt;0,SUMIFS(T_StockCount[CountedQty],T_StockCount[Part Name],$A13,T_StockCount[WeekIndex],87),IF((('T_SelfStock'!CJ17&lt;&gt;""))*(('T_TTAFStock'!CJ17&lt;&gt;""))&gt;0,'T_SelfStock'!CJ17+'T_TTAFStock'!CJ17,CI13+'Grid_Incoming'!CJ13-'Grid_Requirement'!CJ13))</f>
        <v/>
      </c>
      <c r="CK13">
        <f>IF(COUNTIFS(T_StockCount[Part Name],$A13,T_StockCount[WeekIndex],88)&gt;0,SUMIFS(T_StockCount[CountedQty],T_StockCount[Part Name],$A13,T_StockCount[WeekIndex],88),IF((('T_SelfStock'!CK17&lt;&gt;""))*(('T_TTAFStock'!CK17&lt;&gt;""))&gt;0,'T_SelfStock'!CK17+'T_TTAFStock'!CK17,CJ13+'Grid_Incoming'!CK13-'Grid_Requirement'!CK13))</f>
        <v/>
      </c>
      <c r="CL13">
        <f>IF(COUNTIFS(T_StockCount[Part Name],$A13,T_StockCount[WeekIndex],89)&gt;0,SUMIFS(T_StockCount[CountedQty],T_StockCount[Part Name],$A13,T_StockCount[WeekIndex],89),IF((('T_SelfStock'!CL17&lt;&gt;""))*(('T_TTAFStock'!CL17&lt;&gt;""))&gt;0,'T_SelfStock'!CL17+'T_TTAFStock'!CL17,CK13+'Grid_Incoming'!CL13-'Grid_Requirement'!CL13))</f>
        <v/>
      </c>
      <c r="CM13">
        <f>IF(COUNTIFS(T_StockCount[Part Name],$A13,T_StockCount[WeekIndex],90)&gt;0,SUMIFS(T_StockCount[CountedQty],T_StockCount[Part Name],$A13,T_StockCount[WeekIndex],90),IF((('T_SelfStock'!CM17&lt;&gt;""))*(('T_TTAFStock'!CM17&lt;&gt;""))&gt;0,'T_SelfStock'!CM17+'T_TTAFStock'!CM17,CL13+'Grid_Incoming'!CM13-'Grid_Requirement'!CM13))</f>
        <v/>
      </c>
      <c r="CN13">
        <f>IF(COUNTIFS(T_StockCount[Part Name],$A13,T_StockCount[WeekIndex],91)&gt;0,SUMIFS(T_StockCount[CountedQty],T_StockCount[Part Name],$A13,T_StockCount[WeekIndex],91),IF((('T_SelfStock'!CN17&lt;&gt;""))*(('T_TTAFStock'!CN17&lt;&gt;""))&gt;0,'T_SelfStock'!CN17+'T_TTAFStock'!CN17,CM13+'Grid_Incoming'!CN13-'Grid_Requirement'!CN13))</f>
        <v/>
      </c>
      <c r="CO13">
        <f>IF(COUNTIFS(T_StockCount[Part Name],$A13,T_StockCount[WeekIndex],92)&gt;0,SUMIFS(T_StockCount[CountedQty],T_StockCount[Part Name],$A13,T_StockCount[WeekIndex],92),IF((('T_SelfStock'!CO17&lt;&gt;""))*(('T_TTAFStock'!CO17&lt;&gt;""))&gt;0,'T_SelfStock'!CO17+'T_TTAFStock'!CO17,CN13+'Grid_Incoming'!CO13-'Grid_Requirement'!CO13))</f>
        <v/>
      </c>
      <c r="CP13">
        <f>IF(COUNTIFS(T_StockCount[Part Name],$A13,T_StockCount[WeekIndex],93)&gt;0,SUMIFS(T_StockCount[CountedQty],T_StockCount[Part Name],$A13,T_StockCount[WeekIndex],93),IF((('T_SelfStock'!CP17&lt;&gt;""))*(('T_TTAFStock'!CP17&lt;&gt;""))&gt;0,'T_SelfStock'!CP17+'T_TTAFStock'!CP17,CO13+'Grid_Incoming'!CP13-'Grid_Requirement'!CP13))</f>
        <v/>
      </c>
      <c r="CQ13">
        <f>IF(COUNTIFS(T_StockCount[Part Name],$A13,T_StockCount[WeekIndex],94)&gt;0,SUMIFS(T_StockCount[CountedQty],T_StockCount[Part Name],$A13,T_StockCount[WeekIndex],94),IF((('T_SelfStock'!CQ17&lt;&gt;""))*(('T_TTAFStock'!CQ17&lt;&gt;""))&gt;0,'T_SelfStock'!CQ17+'T_TTAFStock'!CQ17,CP13+'Grid_Incoming'!CQ13-'Grid_Requirement'!CQ13))</f>
        <v/>
      </c>
      <c r="CR13">
        <f>IF(COUNTIFS(T_StockCount[Part Name],$A13,T_StockCount[WeekIndex],95)&gt;0,SUMIFS(T_StockCount[CountedQty],T_StockCount[Part Name],$A13,T_StockCount[WeekIndex],95),IF((('T_SelfStock'!CR17&lt;&gt;""))*(('T_TTAFStock'!CR17&lt;&gt;""))&gt;0,'T_SelfStock'!CR17+'T_TTAFStock'!CR17,CQ13+'Grid_Incoming'!CR13-'Grid_Requirement'!CR13))</f>
        <v/>
      </c>
      <c r="CS13">
        <f>IF(COUNTIFS(T_StockCount[Part Name],$A13,T_StockCount[WeekIndex],96)&gt;0,SUMIFS(T_StockCount[CountedQty],T_StockCount[Part Name],$A13,T_StockCount[WeekIndex],96),IF((('T_SelfStock'!CS17&lt;&gt;""))*(('T_TTAFStock'!CS17&lt;&gt;""))&gt;0,'T_SelfStock'!CS17+'T_TTAFStock'!CS17,CR13+'Grid_Incoming'!CS13-'Grid_Requirement'!CS13))</f>
        <v/>
      </c>
      <c r="CT13">
        <f>IF(COUNTIFS(T_StockCount[Part Name],$A13,T_StockCount[WeekIndex],97)&gt;0,SUMIFS(T_StockCount[CountedQty],T_StockCount[Part Name],$A13,T_StockCount[WeekIndex],97),IF((('T_SelfStock'!CT17&lt;&gt;""))*(('T_TTAFStock'!CT17&lt;&gt;""))&gt;0,'T_SelfStock'!CT17+'T_TTAFStock'!CT17,CS13+'Grid_Incoming'!CT13-'Grid_Requirement'!CT13))</f>
        <v/>
      </c>
      <c r="CU13">
        <f>IF(COUNTIFS(T_StockCount[Part Name],$A13,T_StockCount[WeekIndex],98)&gt;0,SUMIFS(T_StockCount[CountedQty],T_StockCount[Part Name],$A13,T_StockCount[WeekIndex],98),IF((('T_SelfStock'!CU17&lt;&gt;""))*(('T_TTAFStock'!CU17&lt;&gt;""))&gt;0,'T_SelfStock'!CU17+'T_TTAFStock'!CU17,CT13+'Grid_Incoming'!CU13-'Grid_Requirement'!CU13))</f>
        <v/>
      </c>
      <c r="CV13">
        <f>IF(COUNTIFS(T_StockCount[Part Name],$A13,T_StockCount[WeekIndex],99)&gt;0,SUMIFS(T_StockCount[CountedQty],T_StockCount[Part Name],$A13,T_StockCount[WeekIndex],99),IF((('T_SelfStock'!CV17&lt;&gt;""))*(('T_TTAFStock'!CV17&lt;&gt;""))&gt;0,'T_SelfStock'!CV17+'T_TTAFStock'!CV17,CU13+'Grid_Incoming'!CV13-'Grid_Requirement'!CV13))</f>
        <v/>
      </c>
      <c r="CW13">
        <f>IF(COUNTIFS(T_StockCount[Part Name],$A13,T_StockCount[WeekIndex],100)&gt;0,SUMIFS(T_StockCount[CountedQty],T_StockCount[Part Name],$A13,T_StockCount[WeekIndex],100),IF((('T_SelfStock'!CW17&lt;&gt;""))*(('T_TTAFStock'!CW17&lt;&gt;""))&gt;0,'T_SelfStock'!CW17+'T_TTAFStock'!CW17,CV13+'Grid_Incoming'!CW13-'Grid_Requirement'!CW13))</f>
        <v/>
      </c>
      <c r="CX13">
        <f>IF(COUNTIFS(T_StockCount[Part Name],$A13,T_StockCount[WeekIndex],101)&gt;0,SUMIFS(T_StockCount[CountedQty],T_StockCount[Part Name],$A13,T_StockCount[WeekIndex],101),IF((('T_SelfStock'!CX17&lt;&gt;""))*(('T_TTAFStock'!CX17&lt;&gt;""))&gt;0,'T_SelfStock'!CX17+'T_TTAFStock'!CX17,CW13+'Grid_Incoming'!CX13-'Grid_Requirement'!CX13))</f>
        <v/>
      </c>
      <c r="CY13">
        <f>IF(COUNTIFS(T_StockCount[Part Name],$A13,T_StockCount[WeekIndex],102)&gt;0,SUMIFS(T_StockCount[CountedQty],T_StockCount[Part Name],$A13,T_StockCount[WeekIndex],102),IF((('T_SelfStock'!CY17&lt;&gt;""))*(('T_TTAFStock'!CY17&lt;&gt;""))&gt;0,'T_SelfStock'!CY17+'T_TTAFStock'!CY17,CX13+'Grid_Incoming'!CY13-'Grid_Requirement'!CY13))</f>
        <v/>
      </c>
      <c r="CZ13">
        <f>IF(COUNTIFS(T_StockCount[Part Name],$A13,T_StockCount[WeekIndex],103)&gt;0,SUMIFS(T_StockCount[CountedQty],T_StockCount[Part Name],$A13,T_StockCount[WeekIndex],103),IF((('T_SelfStock'!CZ17&lt;&gt;""))*(('T_TTAFStock'!CZ17&lt;&gt;""))&gt;0,'T_SelfStock'!CZ17+'T_TTAFStock'!CZ17,CY13+'Grid_Incoming'!CZ13-'Grid_Requirement'!CZ13))</f>
        <v/>
      </c>
      <c r="DA13">
        <f>IF(COUNTIFS(T_StockCount[Part Name],$A13,T_StockCount[WeekIndex],104)&gt;0,SUMIFS(T_StockCount[CountedQty],T_StockCount[Part Name],$A13,T_StockCount[WeekIndex],104),IF((('T_SelfStock'!DA17&lt;&gt;""))*(('T_TTAFStock'!DA17&lt;&gt;""))&gt;0,'T_SelfStock'!DA17+'T_TTAFStock'!DA17,CZ13+'Grid_Incoming'!DA13-'Grid_Requirement'!DA13))</f>
        <v/>
      </c>
    </row>
    <row r="14">
      <c r="A14" t="inlineStr">
        <is>
          <t>OLJ</t>
        </is>
      </c>
      <c r="B14">
        <f>IF(COUNTIFS(T_StockCount[Part Name],$A14,T_StockCount[WeekIndex],1)&gt;0,SUMIFS(T_StockCount[CountedQty],T_StockCount[Part Name],$A14,T_StockCount[WeekIndex],1),IF((('T_SelfStock'!B18&lt;&gt;""))*(('T_TTAFStock'!B18&lt;&gt;""))&gt;0,'T_SelfStock'!B18+'T_TTAFStock'!B18,IFERROR(INDEX(T_OpeningStock[Opening_Qty_要入力],MATCH($A14,T_OpeningStock[Part Name],0)),0)+'Grid_Incoming'!B14-'Grid_Requirement'!B14))</f>
        <v/>
      </c>
      <c r="C14">
        <f>IF(COUNTIFS(T_StockCount[Part Name],$A14,T_StockCount[WeekIndex],2)&gt;0,SUMIFS(T_StockCount[CountedQty],T_StockCount[Part Name],$A14,T_StockCount[WeekIndex],2),IF((('T_SelfStock'!C18&lt;&gt;""))*(('T_TTAFStock'!C18&lt;&gt;""))&gt;0,'T_SelfStock'!C18+'T_TTAFStock'!C18,B14+'Grid_Incoming'!C14-'Grid_Requirement'!C14))</f>
        <v/>
      </c>
      <c r="D14">
        <f>IF(COUNTIFS(T_StockCount[Part Name],$A14,T_StockCount[WeekIndex],3)&gt;0,SUMIFS(T_StockCount[CountedQty],T_StockCount[Part Name],$A14,T_StockCount[WeekIndex],3),IF((('T_SelfStock'!D18&lt;&gt;""))*(('T_TTAFStock'!D18&lt;&gt;""))&gt;0,'T_SelfStock'!D18+'T_TTAFStock'!D18,C14+'Grid_Incoming'!D14-'Grid_Requirement'!D14))</f>
        <v/>
      </c>
      <c r="E14">
        <f>IF(COUNTIFS(T_StockCount[Part Name],$A14,T_StockCount[WeekIndex],4)&gt;0,SUMIFS(T_StockCount[CountedQty],T_StockCount[Part Name],$A14,T_StockCount[WeekIndex],4),IF((('T_SelfStock'!E18&lt;&gt;""))*(('T_TTAFStock'!E18&lt;&gt;""))&gt;0,'T_SelfStock'!E18+'T_TTAFStock'!E18,D14+'Grid_Incoming'!E14-'Grid_Requirement'!E14))</f>
        <v/>
      </c>
      <c r="F14">
        <f>IF(COUNTIFS(T_StockCount[Part Name],$A14,T_StockCount[WeekIndex],5)&gt;0,SUMIFS(T_StockCount[CountedQty],T_StockCount[Part Name],$A14,T_StockCount[WeekIndex],5),IF((('T_SelfStock'!F18&lt;&gt;""))*(('T_TTAFStock'!F18&lt;&gt;""))&gt;0,'T_SelfStock'!F18+'T_TTAFStock'!F18,E14+'Grid_Incoming'!F14-'Grid_Requirement'!F14))</f>
        <v/>
      </c>
      <c r="G14">
        <f>IF(COUNTIFS(T_StockCount[Part Name],$A14,T_StockCount[WeekIndex],6)&gt;0,SUMIFS(T_StockCount[CountedQty],T_StockCount[Part Name],$A14,T_StockCount[WeekIndex],6),IF((('T_SelfStock'!G18&lt;&gt;""))*(('T_TTAFStock'!G18&lt;&gt;""))&gt;0,'T_SelfStock'!G18+'T_TTAFStock'!G18,F14+'Grid_Incoming'!G14-'Grid_Requirement'!G14))</f>
        <v/>
      </c>
      <c r="H14">
        <f>IF(COUNTIFS(T_StockCount[Part Name],$A14,T_StockCount[WeekIndex],7)&gt;0,SUMIFS(T_StockCount[CountedQty],T_StockCount[Part Name],$A14,T_StockCount[WeekIndex],7),IF((('T_SelfStock'!H18&lt;&gt;""))*(('T_TTAFStock'!H18&lt;&gt;""))&gt;0,'T_SelfStock'!H18+'T_TTAFStock'!H18,G14+'Grid_Incoming'!H14-'Grid_Requirement'!H14))</f>
        <v/>
      </c>
      <c r="I14">
        <f>IF(COUNTIFS(T_StockCount[Part Name],$A14,T_StockCount[WeekIndex],8)&gt;0,SUMIFS(T_StockCount[CountedQty],T_StockCount[Part Name],$A14,T_StockCount[WeekIndex],8),IF((('T_SelfStock'!I18&lt;&gt;""))*(('T_TTAFStock'!I18&lt;&gt;""))&gt;0,'T_SelfStock'!I18+'T_TTAFStock'!I18,H14+'Grid_Incoming'!I14-'Grid_Requirement'!I14))</f>
        <v/>
      </c>
      <c r="J14">
        <f>IF(COUNTIFS(T_StockCount[Part Name],$A14,T_StockCount[WeekIndex],9)&gt;0,SUMIFS(T_StockCount[CountedQty],T_StockCount[Part Name],$A14,T_StockCount[WeekIndex],9),IF((('T_SelfStock'!J18&lt;&gt;""))*(('T_TTAFStock'!J18&lt;&gt;""))&gt;0,'T_SelfStock'!J18+'T_TTAFStock'!J18,I14+'Grid_Incoming'!J14-'Grid_Requirement'!J14))</f>
        <v/>
      </c>
      <c r="K14">
        <f>IF(COUNTIFS(T_StockCount[Part Name],$A14,T_StockCount[WeekIndex],10)&gt;0,SUMIFS(T_StockCount[CountedQty],T_StockCount[Part Name],$A14,T_StockCount[WeekIndex],10),IF((('T_SelfStock'!K18&lt;&gt;""))*(('T_TTAFStock'!K18&lt;&gt;""))&gt;0,'T_SelfStock'!K18+'T_TTAFStock'!K18,J14+'Grid_Incoming'!K14-'Grid_Requirement'!K14))</f>
        <v/>
      </c>
      <c r="L14">
        <f>IF(COUNTIFS(T_StockCount[Part Name],$A14,T_StockCount[WeekIndex],11)&gt;0,SUMIFS(T_StockCount[CountedQty],T_StockCount[Part Name],$A14,T_StockCount[WeekIndex],11),IF((('T_SelfStock'!L18&lt;&gt;""))*(('T_TTAFStock'!L18&lt;&gt;""))&gt;0,'T_SelfStock'!L18+'T_TTAFStock'!L18,K14+'Grid_Incoming'!L14-'Grid_Requirement'!L14))</f>
        <v/>
      </c>
      <c r="M14">
        <f>IF(COUNTIFS(T_StockCount[Part Name],$A14,T_StockCount[WeekIndex],12)&gt;0,SUMIFS(T_StockCount[CountedQty],T_StockCount[Part Name],$A14,T_StockCount[WeekIndex],12),IF((('T_SelfStock'!M18&lt;&gt;""))*(('T_TTAFStock'!M18&lt;&gt;""))&gt;0,'T_SelfStock'!M18+'T_TTAFStock'!M18,L14+'Grid_Incoming'!M14-'Grid_Requirement'!M14))</f>
        <v/>
      </c>
      <c r="N14">
        <f>IF(COUNTIFS(T_StockCount[Part Name],$A14,T_StockCount[WeekIndex],13)&gt;0,SUMIFS(T_StockCount[CountedQty],T_StockCount[Part Name],$A14,T_StockCount[WeekIndex],13),IF((('T_SelfStock'!N18&lt;&gt;""))*(('T_TTAFStock'!N18&lt;&gt;""))&gt;0,'T_SelfStock'!N18+'T_TTAFStock'!N18,M14+'Grid_Incoming'!N14-'Grid_Requirement'!N14))</f>
        <v/>
      </c>
      <c r="O14">
        <f>IF(COUNTIFS(T_StockCount[Part Name],$A14,T_StockCount[WeekIndex],14)&gt;0,SUMIFS(T_StockCount[CountedQty],T_StockCount[Part Name],$A14,T_StockCount[WeekIndex],14),IF((('T_SelfStock'!O18&lt;&gt;""))*(('T_TTAFStock'!O18&lt;&gt;""))&gt;0,'T_SelfStock'!O18+'T_TTAFStock'!O18,N14+'Grid_Incoming'!O14-'Grid_Requirement'!O14))</f>
        <v/>
      </c>
      <c r="P14">
        <f>IF(COUNTIFS(T_StockCount[Part Name],$A14,T_StockCount[WeekIndex],15)&gt;0,SUMIFS(T_StockCount[CountedQty],T_StockCount[Part Name],$A14,T_StockCount[WeekIndex],15),IF((('T_SelfStock'!P18&lt;&gt;""))*(('T_TTAFStock'!P18&lt;&gt;""))&gt;0,'T_SelfStock'!P18+'T_TTAFStock'!P18,O14+'Grid_Incoming'!P14-'Grid_Requirement'!P14))</f>
        <v/>
      </c>
      <c r="Q14">
        <f>IF(COUNTIFS(T_StockCount[Part Name],$A14,T_StockCount[WeekIndex],16)&gt;0,SUMIFS(T_StockCount[CountedQty],T_StockCount[Part Name],$A14,T_StockCount[WeekIndex],16),IF((('T_SelfStock'!Q18&lt;&gt;""))*(('T_TTAFStock'!Q18&lt;&gt;""))&gt;0,'T_SelfStock'!Q18+'T_TTAFStock'!Q18,P14+'Grid_Incoming'!Q14-'Grid_Requirement'!Q14))</f>
        <v/>
      </c>
      <c r="R14">
        <f>IF(COUNTIFS(T_StockCount[Part Name],$A14,T_StockCount[WeekIndex],17)&gt;0,SUMIFS(T_StockCount[CountedQty],T_StockCount[Part Name],$A14,T_StockCount[WeekIndex],17),IF((('T_SelfStock'!R18&lt;&gt;""))*(('T_TTAFStock'!R18&lt;&gt;""))&gt;0,'T_SelfStock'!R18+'T_TTAFStock'!R18,Q14+'Grid_Incoming'!R14-'Grid_Requirement'!R14))</f>
        <v/>
      </c>
      <c r="S14">
        <f>IF(COUNTIFS(T_StockCount[Part Name],$A14,T_StockCount[WeekIndex],18)&gt;0,SUMIFS(T_StockCount[CountedQty],T_StockCount[Part Name],$A14,T_StockCount[WeekIndex],18),IF((('T_SelfStock'!S18&lt;&gt;""))*(('T_TTAFStock'!S18&lt;&gt;""))&gt;0,'T_SelfStock'!S18+'T_TTAFStock'!S18,R14+'Grid_Incoming'!S14-'Grid_Requirement'!S14))</f>
        <v/>
      </c>
      <c r="T14">
        <f>IF(COUNTIFS(T_StockCount[Part Name],$A14,T_StockCount[WeekIndex],19)&gt;0,SUMIFS(T_StockCount[CountedQty],T_StockCount[Part Name],$A14,T_StockCount[WeekIndex],19),IF((('T_SelfStock'!T18&lt;&gt;""))*(('T_TTAFStock'!T18&lt;&gt;""))&gt;0,'T_SelfStock'!T18+'T_TTAFStock'!T18,S14+'Grid_Incoming'!T14-'Grid_Requirement'!T14))</f>
        <v/>
      </c>
      <c r="U14">
        <f>IF(COUNTIFS(T_StockCount[Part Name],$A14,T_StockCount[WeekIndex],20)&gt;0,SUMIFS(T_StockCount[CountedQty],T_StockCount[Part Name],$A14,T_StockCount[WeekIndex],20),IF((('T_SelfStock'!U18&lt;&gt;""))*(('T_TTAFStock'!U18&lt;&gt;""))&gt;0,'T_SelfStock'!U18+'T_TTAFStock'!U18,T14+'Grid_Incoming'!U14-'Grid_Requirement'!U14))</f>
        <v/>
      </c>
      <c r="V14">
        <f>IF(COUNTIFS(T_StockCount[Part Name],$A14,T_StockCount[WeekIndex],21)&gt;0,SUMIFS(T_StockCount[CountedQty],T_StockCount[Part Name],$A14,T_StockCount[WeekIndex],21),IF((('T_SelfStock'!V18&lt;&gt;""))*(('T_TTAFStock'!V18&lt;&gt;""))&gt;0,'T_SelfStock'!V18+'T_TTAFStock'!V18,U14+'Grid_Incoming'!V14-'Grid_Requirement'!V14))</f>
        <v/>
      </c>
      <c r="W14">
        <f>IF(COUNTIFS(T_StockCount[Part Name],$A14,T_StockCount[WeekIndex],22)&gt;0,SUMIFS(T_StockCount[CountedQty],T_StockCount[Part Name],$A14,T_StockCount[WeekIndex],22),IF((('T_SelfStock'!W18&lt;&gt;""))*(('T_TTAFStock'!W18&lt;&gt;""))&gt;0,'T_SelfStock'!W18+'T_TTAFStock'!W18,V14+'Grid_Incoming'!W14-'Grid_Requirement'!W14))</f>
        <v/>
      </c>
      <c r="X14">
        <f>IF(COUNTIFS(T_StockCount[Part Name],$A14,T_StockCount[WeekIndex],23)&gt;0,SUMIFS(T_StockCount[CountedQty],T_StockCount[Part Name],$A14,T_StockCount[WeekIndex],23),IF((('T_SelfStock'!X18&lt;&gt;""))*(('T_TTAFStock'!X18&lt;&gt;""))&gt;0,'T_SelfStock'!X18+'T_TTAFStock'!X18,W14+'Grid_Incoming'!X14-'Grid_Requirement'!X14))</f>
        <v/>
      </c>
      <c r="Y14">
        <f>IF(COUNTIFS(T_StockCount[Part Name],$A14,T_StockCount[WeekIndex],24)&gt;0,SUMIFS(T_StockCount[CountedQty],T_StockCount[Part Name],$A14,T_StockCount[WeekIndex],24),IF((('T_SelfStock'!Y18&lt;&gt;""))*(('T_TTAFStock'!Y18&lt;&gt;""))&gt;0,'T_SelfStock'!Y18+'T_TTAFStock'!Y18,X14+'Grid_Incoming'!Y14-'Grid_Requirement'!Y14))</f>
        <v/>
      </c>
      <c r="Z14">
        <f>IF(COUNTIFS(T_StockCount[Part Name],$A14,T_StockCount[WeekIndex],25)&gt;0,SUMIFS(T_StockCount[CountedQty],T_StockCount[Part Name],$A14,T_StockCount[WeekIndex],25),IF((('T_SelfStock'!Z18&lt;&gt;""))*(('T_TTAFStock'!Z18&lt;&gt;""))&gt;0,'T_SelfStock'!Z18+'T_TTAFStock'!Z18,Y14+'Grid_Incoming'!Z14-'Grid_Requirement'!Z14))</f>
        <v/>
      </c>
      <c r="AA14">
        <f>IF(COUNTIFS(T_StockCount[Part Name],$A14,T_StockCount[WeekIndex],26)&gt;0,SUMIFS(T_StockCount[CountedQty],T_StockCount[Part Name],$A14,T_StockCount[WeekIndex],26),IF((('T_SelfStock'!AA18&lt;&gt;""))*(('T_TTAFStock'!AA18&lt;&gt;""))&gt;0,'T_SelfStock'!AA18+'T_TTAFStock'!AA18,Z14+'Grid_Incoming'!AA14-'Grid_Requirement'!AA14))</f>
        <v/>
      </c>
      <c r="AB14">
        <f>IF(COUNTIFS(T_StockCount[Part Name],$A14,T_StockCount[WeekIndex],27)&gt;0,SUMIFS(T_StockCount[CountedQty],T_StockCount[Part Name],$A14,T_StockCount[WeekIndex],27),IF((('T_SelfStock'!AB18&lt;&gt;""))*(('T_TTAFStock'!AB18&lt;&gt;""))&gt;0,'T_SelfStock'!AB18+'T_TTAFStock'!AB18,AA14+'Grid_Incoming'!AB14-'Grid_Requirement'!AB14))</f>
        <v/>
      </c>
      <c r="AC14">
        <f>IF(COUNTIFS(T_StockCount[Part Name],$A14,T_StockCount[WeekIndex],28)&gt;0,SUMIFS(T_StockCount[CountedQty],T_StockCount[Part Name],$A14,T_StockCount[WeekIndex],28),IF((('T_SelfStock'!AC18&lt;&gt;""))*(('T_TTAFStock'!AC18&lt;&gt;""))&gt;0,'T_SelfStock'!AC18+'T_TTAFStock'!AC18,AB14+'Grid_Incoming'!AC14-'Grid_Requirement'!AC14))</f>
        <v/>
      </c>
      <c r="AD14">
        <f>IF(COUNTIFS(T_StockCount[Part Name],$A14,T_StockCount[WeekIndex],29)&gt;0,SUMIFS(T_StockCount[CountedQty],T_StockCount[Part Name],$A14,T_StockCount[WeekIndex],29),IF((('T_SelfStock'!AD18&lt;&gt;""))*(('T_TTAFStock'!AD18&lt;&gt;""))&gt;0,'T_SelfStock'!AD18+'T_TTAFStock'!AD18,AC14+'Grid_Incoming'!AD14-'Grid_Requirement'!AD14))</f>
        <v/>
      </c>
      <c r="AE14">
        <f>IF(COUNTIFS(T_StockCount[Part Name],$A14,T_StockCount[WeekIndex],30)&gt;0,SUMIFS(T_StockCount[CountedQty],T_StockCount[Part Name],$A14,T_StockCount[WeekIndex],30),IF((('T_SelfStock'!AE18&lt;&gt;""))*(('T_TTAFStock'!AE18&lt;&gt;""))&gt;0,'T_SelfStock'!AE18+'T_TTAFStock'!AE18,AD14+'Grid_Incoming'!AE14-'Grid_Requirement'!AE14))</f>
        <v/>
      </c>
      <c r="AF14">
        <f>IF(COUNTIFS(T_StockCount[Part Name],$A14,T_StockCount[WeekIndex],31)&gt;0,SUMIFS(T_StockCount[CountedQty],T_StockCount[Part Name],$A14,T_StockCount[WeekIndex],31),IF((('T_SelfStock'!AF18&lt;&gt;""))*(('T_TTAFStock'!AF18&lt;&gt;""))&gt;0,'T_SelfStock'!AF18+'T_TTAFStock'!AF18,AE14+'Grid_Incoming'!AF14-'Grid_Requirement'!AF14))</f>
        <v/>
      </c>
      <c r="AG14">
        <f>IF(COUNTIFS(T_StockCount[Part Name],$A14,T_StockCount[WeekIndex],32)&gt;0,SUMIFS(T_StockCount[CountedQty],T_StockCount[Part Name],$A14,T_StockCount[WeekIndex],32),IF((('T_SelfStock'!AG18&lt;&gt;""))*(('T_TTAFStock'!AG18&lt;&gt;""))&gt;0,'T_SelfStock'!AG18+'T_TTAFStock'!AG18,AF14+'Grid_Incoming'!AG14-'Grid_Requirement'!AG14))</f>
        <v/>
      </c>
      <c r="AH14">
        <f>IF(COUNTIFS(T_StockCount[Part Name],$A14,T_StockCount[WeekIndex],33)&gt;0,SUMIFS(T_StockCount[CountedQty],T_StockCount[Part Name],$A14,T_StockCount[WeekIndex],33),IF((('T_SelfStock'!AH18&lt;&gt;""))*(('T_TTAFStock'!AH18&lt;&gt;""))&gt;0,'T_SelfStock'!AH18+'T_TTAFStock'!AH18,AG14+'Grid_Incoming'!AH14-'Grid_Requirement'!AH14))</f>
        <v/>
      </c>
      <c r="AI14">
        <f>IF(COUNTIFS(T_StockCount[Part Name],$A14,T_StockCount[WeekIndex],34)&gt;0,SUMIFS(T_StockCount[CountedQty],T_StockCount[Part Name],$A14,T_StockCount[WeekIndex],34),IF((('T_SelfStock'!AI18&lt;&gt;""))*(('T_TTAFStock'!AI18&lt;&gt;""))&gt;0,'T_SelfStock'!AI18+'T_TTAFStock'!AI18,AH14+'Grid_Incoming'!AI14-'Grid_Requirement'!AI14))</f>
        <v/>
      </c>
      <c r="AJ14">
        <f>IF(COUNTIFS(T_StockCount[Part Name],$A14,T_StockCount[WeekIndex],35)&gt;0,SUMIFS(T_StockCount[CountedQty],T_StockCount[Part Name],$A14,T_StockCount[WeekIndex],35),IF((('T_SelfStock'!AJ18&lt;&gt;""))*(('T_TTAFStock'!AJ18&lt;&gt;""))&gt;0,'T_SelfStock'!AJ18+'T_TTAFStock'!AJ18,AI14+'Grid_Incoming'!AJ14-'Grid_Requirement'!AJ14))</f>
        <v/>
      </c>
      <c r="AK14">
        <f>IF(COUNTIFS(T_StockCount[Part Name],$A14,T_StockCount[WeekIndex],36)&gt;0,SUMIFS(T_StockCount[CountedQty],T_StockCount[Part Name],$A14,T_StockCount[WeekIndex],36),IF((('T_SelfStock'!AK18&lt;&gt;""))*(('T_TTAFStock'!AK18&lt;&gt;""))&gt;0,'T_SelfStock'!AK18+'T_TTAFStock'!AK18,AJ14+'Grid_Incoming'!AK14-'Grid_Requirement'!AK14))</f>
        <v/>
      </c>
      <c r="AL14">
        <f>IF(COUNTIFS(T_StockCount[Part Name],$A14,T_StockCount[WeekIndex],37)&gt;0,SUMIFS(T_StockCount[CountedQty],T_StockCount[Part Name],$A14,T_StockCount[WeekIndex],37),IF((('T_SelfStock'!AL18&lt;&gt;""))*(('T_TTAFStock'!AL18&lt;&gt;""))&gt;0,'T_SelfStock'!AL18+'T_TTAFStock'!AL18,AK14+'Grid_Incoming'!AL14-'Grid_Requirement'!AL14))</f>
        <v/>
      </c>
      <c r="AM14">
        <f>IF(COUNTIFS(T_StockCount[Part Name],$A14,T_StockCount[WeekIndex],38)&gt;0,SUMIFS(T_StockCount[CountedQty],T_StockCount[Part Name],$A14,T_StockCount[WeekIndex],38),IF((('T_SelfStock'!AM18&lt;&gt;""))*(('T_TTAFStock'!AM18&lt;&gt;""))&gt;0,'T_SelfStock'!AM18+'T_TTAFStock'!AM18,AL14+'Grid_Incoming'!AM14-'Grid_Requirement'!AM14))</f>
        <v/>
      </c>
      <c r="AN14">
        <f>IF(COUNTIFS(T_StockCount[Part Name],$A14,T_StockCount[WeekIndex],39)&gt;0,SUMIFS(T_StockCount[CountedQty],T_StockCount[Part Name],$A14,T_StockCount[WeekIndex],39),IF((('T_SelfStock'!AN18&lt;&gt;""))*(('T_TTAFStock'!AN18&lt;&gt;""))&gt;0,'T_SelfStock'!AN18+'T_TTAFStock'!AN18,AM14+'Grid_Incoming'!AN14-'Grid_Requirement'!AN14))</f>
        <v/>
      </c>
      <c r="AO14">
        <f>IF(COUNTIFS(T_StockCount[Part Name],$A14,T_StockCount[WeekIndex],40)&gt;0,SUMIFS(T_StockCount[CountedQty],T_StockCount[Part Name],$A14,T_StockCount[WeekIndex],40),IF((('T_SelfStock'!AO18&lt;&gt;""))*(('T_TTAFStock'!AO18&lt;&gt;""))&gt;0,'T_SelfStock'!AO18+'T_TTAFStock'!AO18,AN14+'Grid_Incoming'!AO14-'Grid_Requirement'!AO14))</f>
        <v/>
      </c>
      <c r="AP14">
        <f>IF(COUNTIFS(T_StockCount[Part Name],$A14,T_StockCount[WeekIndex],41)&gt;0,SUMIFS(T_StockCount[CountedQty],T_StockCount[Part Name],$A14,T_StockCount[WeekIndex],41),IF((('T_SelfStock'!AP18&lt;&gt;""))*(('T_TTAFStock'!AP18&lt;&gt;""))&gt;0,'T_SelfStock'!AP18+'T_TTAFStock'!AP18,AO14+'Grid_Incoming'!AP14-'Grid_Requirement'!AP14))</f>
        <v/>
      </c>
      <c r="AQ14">
        <f>IF(COUNTIFS(T_StockCount[Part Name],$A14,T_StockCount[WeekIndex],42)&gt;0,SUMIFS(T_StockCount[CountedQty],T_StockCount[Part Name],$A14,T_StockCount[WeekIndex],42),IF((('T_SelfStock'!AQ18&lt;&gt;""))*(('T_TTAFStock'!AQ18&lt;&gt;""))&gt;0,'T_SelfStock'!AQ18+'T_TTAFStock'!AQ18,AP14+'Grid_Incoming'!AQ14-'Grid_Requirement'!AQ14))</f>
        <v/>
      </c>
      <c r="AR14">
        <f>IF(COUNTIFS(T_StockCount[Part Name],$A14,T_StockCount[WeekIndex],43)&gt;0,SUMIFS(T_StockCount[CountedQty],T_StockCount[Part Name],$A14,T_StockCount[WeekIndex],43),IF((('T_SelfStock'!AR18&lt;&gt;""))*(('T_TTAFStock'!AR18&lt;&gt;""))&gt;0,'T_SelfStock'!AR18+'T_TTAFStock'!AR18,AQ14+'Grid_Incoming'!AR14-'Grid_Requirement'!AR14))</f>
        <v/>
      </c>
      <c r="AS14">
        <f>IF(COUNTIFS(T_StockCount[Part Name],$A14,T_StockCount[WeekIndex],44)&gt;0,SUMIFS(T_StockCount[CountedQty],T_StockCount[Part Name],$A14,T_StockCount[WeekIndex],44),IF((('T_SelfStock'!AS18&lt;&gt;""))*(('T_TTAFStock'!AS18&lt;&gt;""))&gt;0,'T_SelfStock'!AS18+'T_TTAFStock'!AS18,AR14+'Grid_Incoming'!AS14-'Grid_Requirement'!AS14))</f>
        <v/>
      </c>
      <c r="AT14">
        <f>IF(COUNTIFS(T_StockCount[Part Name],$A14,T_StockCount[WeekIndex],45)&gt;0,SUMIFS(T_StockCount[CountedQty],T_StockCount[Part Name],$A14,T_StockCount[WeekIndex],45),IF((('T_SelfStock'!AT18&lt;&gt;""))*(('T_TTAFStock'!AT18&lt;&gt;""))&gt;0,'T_SelfStock'!AT18+'T_TTAFStock'!AT18,AS14+'Grid_Incoming'!AT14-'Grid_Requirement'!AT14))</f>
        <v/>
      </c>
      <c r="AU14">
        <f>IF(COUNTIFS(T_StockCount[Part Name],$A14,T_StockCount[WeekIndex],46)&gt;0,SUMIFS(T_StockCount[CountedQty],T_StockCount[Part Name],$A14,T_StockCount[WeekIndex],46),IF((('T_SelfStock'!AU18&lt;&gt;""))*(('T_TTAFStock'!AU18&lt;&gt;""))&gt;0,'T_SelfStock'!AU18+'T_TTAFStock'!AU18,AT14+'Grid_Incoming'!AU14-'Grid_Requirement'!AU14))</f>
        <v/>
      </c>
      <c r="AV14">
        <f>IF(COUNTIFS(T_StockCount[Part Name],$A14,T_StockCount[WeekIndex],47)&gt;0,SUMIFS(T_StockCount[CountedQty],T_StockCount[Part Name],$A14,T_StockCount[WeekIndex],47),IF((('T_SelfStock'!AV18&lt;&gt;""))*(('T_TTAFStock'!AV18&lt;&gt;""))&gt;0,'T_SelfStock'!AV18+'T_TTAFStock'!AV18,AU14+'Grid_Incoming'!AV14-'Grid_Requirement'!AV14))</f>
        <v/>
      </c>
      <c r="AW14">
        <f>IF(COUNTIFS(T_StockCount[Part Name],$A14,T_StockCount[WeekIndex],48)&gt;0,SUMIFS(T_StockCount[CountedQty],T_StockCount[Part Name],$A14,T_StockCount[WeekIndex],48),IF((('T_SelfStock'!AW18&lt;&gt;""))*(('T_TTAFStock'!AW18&lt;&gt;""))&gt;0,'T_SelfStock'!AW18+'T_TTAFStock'!AW18,AV14+'Grid_Incoming'!AW14-'Grid_Requirement'!AW14))</f>
        <v/>
      </c>
      <c r="AX14">
        <f>IF(COUNTIFS(T_StockCount[Part Name],$A14,T_StockCount[WeekIndex],49)&gt;0,SUMIFS(T_StockCount[CountedQty],T_StockCount[Part Name],$A14,T_StockCount[WeekIndex],49),IF((('T_SelfStock'!AX18&lt;&gt;""))*(('T_TTAFStock'!AX18&lt;&gt;""))&gt;0,'T_SelfStock'!AX18+'T_TTAFStock'!AX18,AW14+'Grid_Incoming'!AX14-'Grid_Requirement'!AX14))</f>
        <v/>
      </c>
      <c r="AY14">
        <f>IF(COUNTIFS(T_StockCount[Part Name],$A14,T_StockCount[WeekIndex],50)&gt;0,SUMIFS(T_StockCount[CountedQty],T_StockCount[Part Name],$A14,T_StockCount[WeekIndex],50),IF((('T_SelfStock'!AY18&lt;&gt;""))*(('T_TTAFStock'!AY18&lt;&gt;""))&gt;0,'T_SelfStock'!AY18+'T_TTAFStock'!AY18,AX14+'Grid_Incoming'!AY14-'Grid_Requirement'!AY14))</f>
        <v/>
      </c>
      <c r="AZ14">
        <f>IF(COUNTIFS(T_StockCount[Part Name],$A14,T_StockCount[WeekIndex],51)&gt;0,SUMIFS(T_StockCount[CountedQty],T_StockCount[Part Name],$A14,T_StockCount[WeekIndex],51),IF((('T_SelfStock'!AZ18&lt;&gt;""))*(('T_TTAFStock'!AZ18&lt;&gt;""))&gt;0,'T_SelfStock'!AZ18+'T_TTAFStock'!AZ18,AY14+'Grid_Incoming'!AZ14-'Grid_Requirement'!AZ14))</f>
        <v/>
      </c>
      <c r="BA14">
        <f>IF(COUNTIFS(T_StockCount[Part Name],$A14,T_StockCount[WeekIndex],52)&gt;0,SUMIFS(T_StockCount[CountedQty],T_StockCount[Part Name],$A14,T_StockCount[WeekIndex],52),IF((('T_SelfStock'!BA18&lt;&gt;""))*(('T_TTAFStock'!BA18&lt;&gt;""))&gt;0,'T_SelfStock'!BA18+'T_TTAFStock'!BA18,AZ14+'Grid_Incoming'!BA14-'Grid_Requirement'!BA14))</f>
        <v/>
      </c>
      <c r="BB14">
        <f>IF(COUNTIFS(T_StockCount[Part Name],$A14,T_StockCount[WeekIndex],53)&gt;0,SUMIFS(T_StockCount[CountedQty],T_StockCount[Part Name],$A14,T_StockCount[WeekIndex],53),IF((('T_SelfStock'!BB18&lt;&gt;""))*(('T_TTAFStock'!BB18&lt;&gt;""))&gt;0,'T_SelfStock'!BB18+'T_TTAFStock'!BB18,BA14+'Grid_Incoming'!BB14-'Grid_Requirement'!BB14))</f>
        <v/>
      </c>
      <c r="BC14">
        <f>IF(COUNTIFS(T_StockCount[Part Name],$A14,T_StockCount[WeekIndex],54)&gt;0,SUMIFS(T_StockCount[CountedQty],T_StockCount[Part Name],$A14,T_StockCount[WeekIndex],54),IF((('T_SelfStock'!BC18&lt;&gt;""))*(('T_TTAFStock'!BC18&lt;&gt;""))&gt;0,'T_SelfStock'!BC18+'T_TTAFStock'!BC18,BB14+'Grid_Incoming'!BC14-'Grid_Requirement'!BC14))</f>
        <v/>
      </c>
      <c r="BD14">
        <f>IF(COUNTIFS(T_StockCount[Part Name],$A14,T_StockCount[WeekIndex],55)&gt;0,SUMIFS(T_StockCount[CountedQty],T_StockCount[Part Name],$A14,T_StockCount[WeekIndex],55),IF((('T_SelfStock'!BD18&lt;&gt;""))*(('T_TTAFStock'!BD18&lt;&gt;""))&gt;0,'T_SelfStock'!BD18+'T_TTAFStock'!BD18,BC14+'Grid_Incoming'!BD14-'Grid_Requirement'!BD14))</f>
        <v/>
      </c>
      <c r="BE14">
        <f>IF(COUNTIFS(T_StockCount[Part Name],$A14,T_StockCount[WeekIndex],56)&gt;0,SUMIFS(T_StockCount[CountedQty],T_StockCount[Part Name],$A14,T_StockCount[WeekIndex],56),IF((('T_SelfStock'!BE18&lt;&gt;""))*(('T_TTAFStock'!BE18&lt;&gt;""))&gt;0,'T_SelfStock'!BE18+'T_TTAFStock'!BE18,BD14+'Grid_Incoming'!BE14-'Grid_Requirement'!BE14))</f>
        <v/>
      </c>
      <c r="BF14">
        <f>IF(COUNTIFS(T_StockCount[Part Name],$A14,T_StockCount[WeekIndex],57)&gt;0,SUMIFS(T_StockCount[CountedQty],T_StockCount[Part Name],$A14,T_StockCount[WeekIndex],57),IF((('T_SelfStock'!BF18&lt;&gt;""))*(('T_TTAFStock'!BF18&lt;&gt;""))&gt;0,'T_SelfStock'!BF18+'T_TTAFStock'!BF18,BE14+'Grid_Incoming'!BF14-'Grid_Requirement'!BF14))</f>
        <v/>
      </c>
      <c r="BG14">
        <f>IF(COUNTIFS(T_StockCount[Part Name],$A14,T_StockCount[WeekIndex],58)&gt;0,SUMIFS(T_StockCount[CountedQty],T_StockCount[Part Name],$A14,T_StockCount[WeekIndex],58),IF((('T_SelfStock'!BG18&lt;&gt;""))*(('T_TTAFStock'!BG18&lt;&gt;""))&gt;0,'T_SelfStock'!BG18+'T_TTAFStock'!BG18,BF14+'Grid_Incoming'!BG14-'Grid_Requirement'!BG14))</f>
        <v/>
      </c>
      <c r="BH14">
        <f>IF(COUNTIFS(T_StockCount[Part Name],$A14,T_StockCount[WeekIndex],59)&gt;0,SUMIFS(T_StockCount[CountedQty],T_StockCount[Part Name],$A14,T_StockCount[WeekIndex],59),IF((('T_SelfStock'!BH18&lt;&gt;""))*(('T_TTAFStock'!BH18&lt;&gt;""))&gt;0,'T_SelfStock'!BH18+'T_TTAFStock'!BH18,BG14+'Grid_Incoming'!BH14-'Grid_Requirement'!BH14))</f>
        <v/>
      </c>
      <c r="BI14">
        <f>IF(COUNTIFS(T_StockCount[Part Name],$A14,T_StockCount[WeekIndex],60)&gt;0,SUMIFS(T_StockCount[CountedQty],T_StockCount[Part Name],$A14,T_StockCount[WeekIndex],60),IF((('T_SelfStock'!BI18&lt;&gt;""))*(('T_TTAFStock'!BI18&lt;&gt;""))&gt;0,'T_SelfStock'!BI18+'T_TTAFStock'!BI18,BH14+'Grid_Incoming'!BI14-'Grid_Requirement'!BI14))</f>
        <v/>
      </c>
      <c r="BJ14">
        <f>IF(COUNTIFS(T_StockCount[Part Name],$A14,T_StockCount[WeekIndex],61)&gt;0,SUMIFS(T_StockCount[CountedQty],T_StockCount[Part Name],$A14,T_StockCount[WeekIndex],61),IF((('T_SelfStock'!BJ18&lt;&gt;""))*(('T_TTAFStock'!BJ18&lt;&gt;""))&gt;0,'T_SelfStock'!BJ18+'T_TTAFStock'!BJ18,BI14+'Grid_Incoming'!BJ14-'Grid_Requirement'!BJ14))</f>
        <v/>
      </c>
      <c r="BK14">
        <f>IF(COUNTIFS(T_StockCount[Part Name],$A14,T_StockCount[WeekIndex],62)&gt;0,SUMIFS(T_StockCount[CountedQty],T_StockCount[Part Name],$A14,T_StockCount[WeekIndex],62),IF((('T_SelfStock'!BK18&lt;&gt;""))*(('T_TTAFStock'!BK18&lt;&gt;""))&gt;0,'T_SelfStock'!BK18+'T_TTAFStock'!BK18,BJ14+'Grid_Incoming'!BK14-'Grid_Requirement'!BK14))</f>
        <v/>
      </c>
      <c r="BL14">
        <f>IF(COUNTIFS(T_StockCount[Part Name],$A14,T_StockCount[WeekIndex],63)&gt;0,SUMIFS(T_StockCount[CountedQty],T_StockCount[Part Name],$A14,T_StockCount[WeekIndex],63),IF((('T_SelfStock'!BL18&lt;&gt;""))*(('T_TTAFStock'!BL18&lt;&gt;""))&gt;0,'T_SelfStock'!BL18+'T_TTAFStock'!BL18,BK14+'Grid_Incoming'!BL14-'Grid_Requirement'!BL14))</f>
        <v/>
      </c>
      <c r="BM14">
        <f>IF(COUNTIFS(T_StockCount[Part Name],$A14,T_StockCount[WeekIndex],64)&gt;0,SUMIFS(T_StockCount[CountedQty],T_StockCount[Part Name],$A14,T_StockCount[WeekIndex],64),IF((('T_SelfStock'!BM18&lt;&gt;""))*(('T_TTAFStock'!BM18&lt;&gt;""))&gt;0,'T_SelfStock'!BM18+'T_TTAFStock'!BM18,BL14+'Grid_Incoming'!BM14-'Grid_Requirement'!BM14))</f>
        <v/>
      </c>
      <c r="BN14">
        <f>IF(COUNTIFS(T_StockCount[Part Name],$A14,T_StockCount[WeekIndex],65)&gt;0,SUMIFS(T_StockCount[CountedQty],T_StockCount[Part Name],$A14,T_StockCount[WeekIndex],65),IF((('T_SelfStock'!BN18&lt;&gt;""))*(('T_TTAFStock'!BN18&lt;&gt;""))&gt;0,'T_SelfStock'!BN18+'T_TTAFStock'!BN18,BM14+'Grid_Incoming'!BN14-'Grid_Requirement'!BN14))</f>
        <v/>
      </c>
      <c r="BO14">
        <f>IF(COUNTIFS(T_StockCount[Part Name],$A14,T_StockCount[WeekIndex],66)&gt;0,SUMIFS(T_StockCount[CountedQty],T_StockCount[Part Name],$A14,T_StockCount[WeekIndex],66),IF((('T_SelfStock'!BO18&lt;&gt;""))*(('T_TTAFStock'!BO18&lt;&gt;""))&gt;0,'T_SelfStock'!BO18+'T_TTAFStock'!BO18,BN14+'Grid_Incoming'!BO14-'Grid_Requirement'!BO14))</f>
        <v/>
      </c>
      <c r="BP14">
        <f>IF(COUNTIFS(T_StockCount[Part Name],$A14,T_StockCount[WeekIndex],67)&gt;0,SUMIFS(T_StockCount[CountedQty],T_StockCount[Part Name],$A14,T_StockCount[WeekIndex],67),IF((('T_SelfStock'!BP18&lt;&gt;""))*(('T_TTAFStock'!BP18&lt;&gt;""))&gt;0,'T_SelfStock'!BP18+'T_TTAFStock'!BP18,BO14+'Grid_Incoming'!BP14-'Grid_Requirement'!BP14))</f>
        <v/>
      </c>
      <c r="BQ14">
        <f>IF(COUNTIFS(T_StockCount[Part Name],$A14,T_StockCount[WeekIndex],68)&gt;0,SUMIFS(T_StockCount[CountedQty],T_StockCount[Part Name],$A14,T_StockCount[WeekIndex],68),IF((('T_SelfStock'!BQ18&lt;&gt;""))*(('T_TTAFStock'!BQ18&lt;&gt;""))&gt;0,'T_SelfStock'!BQ18+'T_TTAFStock'!BQ18,BP14+'Grid_Incoming'!BQ14-'Grid_Requirement'!BQ14))</f>
        <v/>
      </c>
      <c r="BR14">
        <f>IF(COUNTIFS(T_StockCount[Part Name],$A14,T_StockCount[WeekIndex],69)&gt;0,SUMIFS(T_StockCount[CountedQty],T_StockCount[Part Name],$A14,T_StockCount[WeekIndex],69),IF((('T_SelfStock'!BR18&lt;&gt;""))*(('T_TTAFStock'!BR18&lt;&gt;""))&gt;0,'T_SelfStock'!BR18+'T_TTAFStock'!BR18,BQ14+'Grid_Incoming'!BR14-'Grid_Requirement'!BR14))</f>
        <v/>
      </c>
      <c r="BS14">
        <f>IF(COUNTIFS(T_StockCount[Part Name],$A14,T_StockCount[WeekIndex],70)&gt;0,SUMIFS(T_StockCount[CountedQty],T_StockCount[Part Name],$A14,T_StockCount[WeekIndex],70),IF((('T_SelfStock'!BS18&lt;&gt;""))*(('T_TTAFStock'!BS18&lt;&gt;""))&gt;0,'T_SelfStock'!BS18+'T_TTAFStock'!BS18,BR14+'Grid_Incoming'!BS14-'Grid_Requirement'!BS14))</f>
        <v/>
      </c>
      <c r="BT14">
        <f>IF(COUNTIFS(T_StockCount[Part Name],$A14,T_StockCount[WeekIndex],71)&gt;0,SUMIFS(T_StockCount[CountedQty],T_StockCount[Part Name],$A14,T_StockCount[WeekIndex],71),IF((('T_SelfStock'!BT18&lt;&gt;""))*(('T_TTAFStock'!BT18&lt;&gt;""))&gt;0,'T_SelfStock'!BT18+'T_TTAFStock'!BT18,BS14+'Grid_Incoming'!BT14-'Grid_Requirement'!BT14))</f>
        <v/>
      </c>
      <c r="BU14">
        <f>IF(COUNTIFS(T_StockCount[Part Name],$A14,T_StockCount[WeekIndex],72)&gt;0,SUMIFS(T_StockCount[CountedQty],T_StockCount[Part Name],$A14,T_StockCount[WeekIndex],72),IF((('T_SelfStock'!BU18&lt;&gt;""))*(('T_TTAFStock'!BU18&lt;&gt;""))&gt;0,'T_SelfStock'!BU18+'T_TTAFStock'!BU18,BT14+'Grid_Incoming'!BU14-'Grid_Requirement'!BU14))</f>
        <v/>
      </c>
      <c r="BV14">
        <f>IF(COUNTIFS(T_StockCount[Part Name],$A14,T_StockCount[WeekIndex],73)&gt;0,SUMIFS(T_StockCount[CountedQty],T_StockCount[Part Name],$A14,T_StockCount[WeekIndex],73),IF((('T_SelfStock'!BV18&lt;&gt;""))*(('T_TTAFStock'!BV18&lt;&gt;""))&gt;0,'T_SelfStock'!BV18+'T_TTAFStock'!BV18,BU14+'Grid_Incoming'!BV14-'Grid_Requirement'!BV14))</f>
        <v/>
      </c>
      <c r="BW14">
        <f>IF(COUNTIFS(T_StockCount[Part Name],$A14,T_StockCount[WeekIndex],74)&gt;0,SUMIFS(T_StockCount[CountedQty],T_StockCount[Part Name],$A14,T_StockCount[WeekIndex],74),IF((('T_SelfStock'!BW18&lt;&gt;""))*(('T_TTAFStock'!BW18&lt;&gt;""))&gt;0,'T_SelfStock'!BW18+'T_TTAFStock'!BW18,BV14+'Grid_Incoming'!BW14-'Grid_Requirement'!BW14))</f>
        <v/>
      </c>
      <c r="BX14">
        <f>IF(COUNTIFS(T_StockCount[Part Name],$A14,T_StockCount[WeekIndex],75)&gt;0,SUMIFS(T_StockCount[CountedQty],T_StockCount[Part Name],$A14,T_StockCount[WeekIndex],75),IF((('T_SelfStock'!BX18&lt;&gt;""))*(('T_TTAFStock'!BX18&lt;&gt;""))&gt;0,'T_SelfStock'!BX18+'T_TTAFStock'!BX18,BW14+'Grid_Incoming'!BX14-'Grid_Requirement'!BX14))</f>
        <v/>
      </c>
      <c r="BY14">
        <f>IF(COUNTIFS(T_StockCount[Part Name],$A14,T_StockCount[WeekIndex],76)&gt;0,SUMIFS(T_StockCount[CountedQty],T_StockCount[Part Name],$A14,T_StockCount[WeekIndex],76),IF((('T_SelfStock'!BY18&lt;&gt;""))*(('T_TTAFStock'!BY18&lt;&gt;""))&gt;0,'T_SelfStock'!BY18+'T_TTAFStock'!BY18,BX14+'Grid_Incoming'!BY14-'Grid_Requirement'!BY14))</f>
        <v/>
      </c>
      <c r="BZ14">
        <f>IF(COUNTIFS(T_StockCount[Part Name],$A14,T_StockCount[WeekIndex],77)&gt;0,SUMIFS(T_StockCount[CountedQty],T_StockCount[Part Name],$A14,T_StockCount[WeekIndex],77),IF((('T_SelfStock'!BZ18&lt;&gt;""))*(('T_TTAFStock'!BZ18&lt;&gt;""))&gt;0,'T_SelfStock'!BZ18+'T_TTAFStock'!BZ18,BY14+'Grid_Incoming'!BZ14-'Grid_Requirement'!BZ14))</f>
        <v/>
      </c>
      <c r="CA14">
        <f>IF(COUNTIFS(T_StockCount[Part Name],$A14,T_StockCount[WeekIndex],78)&gt;0,SUMIFS(T_StockCount[CountedQty],T_StockCount[Part Name],$A14,T_StockCount[WeekIndex],78),IF((('T_SelfStock'!CA18&lt;&gt;""))*(('T_TTAFStock'!CA18&lt;&gt;""))&gt;0,'T_SelfStock'!CA18+'T_TTAFStock'!CA18,BZ14+'Grid_Incoming'!CA14-'Grid_Requirement'!CA14))</f>
        <v/>
      </c>
      <c r="CB14">
        <f>IF(COUNTIFS(T_StockCount[Part Name],$A14,T_StockCount[WeekIndex],79)&gt;0,SUMIFS(T_StockCount[CountedQty],T_StockCount[Part Name],$A14,T_StockCount[WeekIndex],79),IF((('T_SelfStock'!CB18&lt;&gt;""))*(('T_TTAFStock'!CB18&lt;&gt;""))&gt;0,'T_SelfStock'!CB18+'T_TTAFStock'!CB18,CA14+'Grid_Incoming'!CB14-'Grid_Requirement'!CB14))</f>
        <v/>
      </c>
      <c r="CC14">
        <f>IF(COUNTIFS(T_StockCount[Part Name],$A14,T_StockCount[WeekIndex],80)&gt;0,SUMIFS(T_StockCount[CountedQty],T_StockCount[Part Name],$A14,T_StockCount[WeekIndex],80),IF((('T_SelfStock'!CC18&lt;&gt;""))*(('T_TTAFStock'!CC18&lt;&gt;""))&gt;0,'T_SelfStock'!CC18+'T_TTAFStock'!CC18,CB14+'Grid_Incoming'!CC14-'Grid_Requirement'!CC14))</f>
        <v/>
      </c>
      <c r="CD14">
        <f>IF(COUNTIFS(T_StockCount[Part Name],$A14,T_StockCount[WeekIndex],81)&gt;0,SUMIFS(T_StockCount[CountedQty],T_StockCount[Part Name],$A14,T_StockCount[WeekIndex],81),IF((('T_SelfStock'!CD18&lt;&gt;""))*(('T_TTAFStock'!CD18&lt;&gt;""))&gt;0,'T_SelfStock'!CD18+'T_TTAFStock'!CD18,CC14+'Grid_Incoming'!CD14-'Grid_Requirement'!CD14))</f>
        <v/>
      </c>
      <c r="CE14">
        <f>IF(COUNTIFS(T_StockCount[Part Name],$A14,T_StockCount[WeekIndex],82)&gt;0,SUMIFS(T_StockCount[CountedQty],T_StockCount[Part Name],$A14,T_StockCount[WeekIndex],82),IF((('T_SelfStock'!CE18&lt;&gt;""))*(('T_TTAFStock'!CE18&lt;&gt;""))&gt;0,'T_SelfStock'!CE18+'T_TTAFStock'!CE18,CD14+'Grid_Incoming'!CE14-'Grid_Requirement'!CE14))</f>
        <v/>
      </c>
      <c r="CF14">
        <f>IF(COUNTIFS(T_StockCount[Part Name],$A14,T_StockCount[WeekIndex],83)&gt;0,SUMIFS(T_StockCount[CountedQty],T_StockCount[Part Name],$A14,T_StockCount[WeekIndex],83),IF((('T_SelfStock'!CF18&lt;&gt;""))*(('T_TTAFStock'!CF18&lt;&gt;""))&gt;0,'T_SelfStock'!CF18+'T_TTAFStock'!CF18,CE14+'Grid_Incoming'!CF14-'Grid_Requirement'!CF14))</f>
        <v/>
      </c>
      <c r="CG14">
        <f>IF(COUNTIFS(T_StockCount[Part Name],$A14,T_StockCount[WeekIndex],84)&gt;0,SUMIFS(T_StockCount[CountedQty],T_StockCount[Part Name],$A14,T_StockCount[WeekIndex],84),IF((('T_SelfStock'!CG18&lt;&gt;""))*(('T_TTAFStock'!CG18&lt;&gt;""))&gt;0,'T_SelfStock'!CG18+'T_TTAFStock'!CG18,CF14+'Grid_Incoming'!CG14-'Grid_Requirement'!CG14))</f>
        <v/>
      </c>
      <c r="CH14">
        <f>IF(COUNTIFS(T_StockCount[Part Name],$A14,T_StockCount[WeekIndex],85)&gt;0,SUMIFS(T_StockCount[CountedQty],T_StockCount[Part Name],$A14,T_StockCount[WeekIndex],85),IF((('T_SelfStock'!CH18&lt;&gt;""))*(('T_TTAFStock'!CH18&lt;&gt;""))&gt;0,'T_SelfStock'!CH18+'T_TTAFStock'!CH18,CG14+'Grid_Incoming'!CH14-'Grid_Requirement'!CH14))</f>
        <v/>
      </c>
      <c r="CI14">
        <f>IF(COUNTIFS(T_StockCount[Part Name],$A14,T_StockCount[WeekIndex],86)&gt;0,SUMIFS(T_StockCount[CountedQty],T_StockCount[Part Name],$A14,T_StockCount[WeekIndex],86),IF((('T_SelfStock'!CI18&lt;&gt;""))*(('T_TTAFStock'!CI18&lt;&gt;""))&gt;0,'T_SelfStock'!CI18+'T_TTAFStock'!CI18,CH14+'Grid_Incoming'!CI14-'Grid_Requirement'!CI14))</f>
        <v/>
      </c>
      <c r="CJ14">
        <f>IF(COUNTIFS(T_StockCount[Part Name],$A14,T_StockCount[WeekIndex],87)&gt;0,SUMIFS(T_StockCount[CountedQty],T_StockCount[Part Name],$A14,T_StockCount[WeekIndex],87),IF((('T_SelfStock'!CJ18&lt;&gt;""))*(('T_TTAFStock'!CJ18&lt;&gt;""))&gt;0,'T_SelfStock'!CJ18+'T_TTAFStock'!CJ18,CI14+'Grid_Incoming'!CJ14-'Grid_Requirement'!CJ14))</f>
        <v/>
      </c>
      <c r="CK14">
        <f>IF(COUNTIFS(T_StockCount[Part Name],$A14,T_StockCount[WeekIndex],88)&gt;0,SUMIFS(T_StockCount[CountedQty],T_StockCount[Part Name],$A14,T_StockCount[WeekIndex],88),IF((('T_SelfStock'!CK18&lt;&gt;""))*(('T_TTAFStock'!CK18&lt;&gt;""))&gt;0,'T_SelfStock'!CK18+'T_TTAFStock'!CK18,CJ14+'Grid_Incoming'!CK14-'Grid_Requirement'!CK14))</f>
        <v/>
      </c>
      <c r="CL14">
        <f>IF(COUNTIFS(T_StockCount[Part Name],$A14,T_StockCount[WeekIndex],89)&gt;0,SUMIFS(T_StockCount[CountedQty],T_StockCount[Part Name],$A14,T_StockCount[WeekIndex],89),IF((('T_SelfStock'!CL18&lt;&gt;""))*(('T_TTAFStock'!CL18&lt;&gt;""))&gt;0,'T_SelfStock'!CL18+'T_TTAFStock'!CL18,CK14+'Grid_Incoming'!CL14-'Grid_Requirement'!CL14))</f>
        <v/>
      </c>
      <c r="CM14">
        <f>IF(COUNTIFS(T_StockCount[Part Name],$A14,T_StockCount[WeekIndex],90)&gt;0,SUMIFS(T_StockCount[CountedQty],T_StockCount[Part Name],$A14,T_StockCount[WeekIndex],90),IF((('T_SelfStock'!CM18&lt;&gt;""))*(('T_TTAFStock'!CM18&lt;&gt;""))&gt;0,'T_SelfStock'!CM18+'T_TTAFStock'!CM18,CL14+'Grid_Incoming'!CM14-'Grid_Requirement'!CM14))</f>
        <v/>
      </c>
      <c r="CN14">
        <f>IF(COUNTIFS(T_StockCount[Part Name],$A14,T_StockCount[WeekIndex],91)&gt;0,SUMIFS(T_StockCount[CountedQty],T_StockCount[Part Name],$A14,T_StockCount[WeekIndex],91),IF((('T_SelfStock'!CN18&lt;&gt;""))*(('T_TTAFStock'!CN18&lt;&gt;""))&gt;0,'T_SelfStock'!CN18+'T_TTAFStock'!CN18,CM14+'Grid_Incoming'!CN14-'Grid_Requirement'!CN14))</f>
        <v/>
      </c>
      <c r="CO14">
        <f>IF(COUNTIFS(T_StockCount[Part Name],$A14,T_StockCount[WeekIndex],92)&gt;0,SUMIFS(T_StockCount[CountedQty],T_StockCount[Part Name],$A14,T_StockCount[WeekIndex],92),IF((('T_SelfStock'!CO18&lt;&gt;""))*(('T_TTAFStock'!CO18&lt;&gt;""))&gt;0,'T_SelfStock'!CO18+'T_TTAFStock'!CO18,CN14+'Grid_Incoming'!CO14-'Grid_Requirement'!CO14))</f>
        <v/>
      </c>
      <c r="CP14">
        <f>IF(COUNTIFS(T_StockCount[Part Name],$A14,T_StockCount[WeekIndex],93)&gt;0,SUMIFS(T_StockCount[CountedQty],T_StockCount[Part Name],$A14,T_StockCount[WeekIndex],93),IF((('T_SelfStock'!CP18&lt;&gt;""))*(('T_TTAFStock'!CP18&lt;&gt;""))&gt;0,'T_SelfStock'!CP18+'T_TTAFStock'!CP18,CO14+'Grid_Incoming'!CP14-'Grid_Requirement'!CP14))</f>
        <v/>
      </c>
      <c r="CQ14">
        <f>IF(COUNTIFS(T_StockCount[Part Name],$A14,T_StockCount[WeekIndex],94)&gt;0,SUMIFS(T_StockCount[CountedQty],T_StockCount[Part Name],$A14,T_StockCount[WeekIndex],94),IF((('T_SelfStock'!CQ18&lt;&gt;""))*(('T_TTAFStock'!CQ18&lt;&gt;""))&gt;0,'T_SelfStock'!CQ18+'T_TTAFStock'!CQ18,CP14+'Grid_Incoming'!CQ14-'Grid_Requirement'!CQ14))</f>
        <v/>
      </c>
      <c r="CR14">
        <f>IF(COUNTIFS(T_StockCount[Part Name],$A14,T_StockCount[WeekIndex],95)&gt;0,SUMIFS(T_StockCount[CountedQty],T_StockCount[Part Name],$A14,T_StockCount[WeekIndex],95),IF((('T_SelfStock'!CR18&lt;&gt;""))*(('T_TTAFStock'!CR18&lt;&gt;""))&gt;0,'T_SelfStock'!CR18+'T_TTAFStock'!CR18,CQ14+'Grid_Incoming'!CR14-'Grid_Requirement'!CR14))</f>
        <v/>
      </c>
      <c r="CS14">
        <f>IF(COUNTIFS(T_StockCount[Part Name],$A14,T_StockCount[WeekIndex],96)&gt;0,SUMIFS(T_StockCount[CountedQty],T_StockCount[Part Name],$A14,T_StockCount[WeekIndex],96),IF((('T_SelfStock'!CS18&lt;&gt;""))*(('T_TTAFStock'!CS18&lt;&gt;""))&gt;0,'T_SelfStock'!CS18+'T_TTAFStock'!CS18,CR14+'Grid_Incoming'!CS14-'Grid_Requirement'!CS14))</f>
        <v/>
      </c>
      <c r="CT14">
        <f>IF(COUNTIFS(T_StockCount[Part Name],$A14,T_StockCount[WeekIndex],97)&gt;0,SUMIFS(T_StockCount[CountedQty],T_StockCount[Part Name],$A14,T_StockCount[WeekIndex],97),IF((('T_SelfStock'!CT18&lt;&gt;""))*(('T_TTAFStock'!CT18&lt;&gt;""))&gt;0,'T_SelfStock'!CT18+'T_TTAFStock'!CT18,CS14+'Grid_Incoming'!CT14-'Grid_Requirement'!CT14))</f>
        <v/>
      </c>
      <c r="CU14">
        <f>IF(COUNTIFS(T_StockCount[Part Name],$A14,T_StockCount[WeekIndex],98)&gt;0,SUMIFS(T_StockCount[CountedQty],T_StockCount[Part Name],$A14,T_StockCount[WeekIndex],98),IF((('T_SelfStock'!CU18&lt;&gt;""))*(('T_TTAFStock'!CU18&lt;&gt;""))&gt;0,'T_SelfStock'!CU18+'T_TTAFStock'!CU18,CT14+'Grid_Incoming'!CU14-'Grid_Requirement'!CU14))</f>
        <v/>
      </c>
      <c r="CV14">
        <f>IF(COUNTIFS(T_StockCount[Part Name],$A14,T_StockCount[WeekIndex],99)&gt;0,SUMIFS(T_StockCount[CountedQty],T_StockCount[Part Name],$A14,T_StockCount[WeekIndex],99),IF((('T_SelfStock'!CV18&lt;&gt;""))*(('T_TTAFStock'!CV18&lt;&gt;""))&gt;0,'T_SelfStock'!CV18+'T_TTAFStock'!CV18,CU14+'Grid_Incoming'!CV14-'Grid_Requirement'!CV14))</f>
        <v/>
      </c>
      <c r="CW14">
        <f>IF(COUNTIFS(T_StockCount[Part Name],$A14,T_StockCount[WeekIndex],100)&gt;0,SUMIFS(T_StockCount[CountedQty],T_StockCount[Part Name],$A14,T_StockCount[WeekIndex],100),IF((('T_SelfStock'!CW18&lt;&gt;""))*(('T_TTAFStock'!CW18&lt;&gt;""))&gt;0,'T_SelfStock'!CW18+'T_TTAFStock'!CW18,CV14+'Grid_Incoming'!CW14-'Grid_Requirement'!CW14))</f>
        <v/>
      </c>
      <c r="CX14">
        <f>IF(COUNTIFS(T_StockCount[Part Name],$A14,T_StockCount[WeekIndex],101)&gt;0,SUMIFS(T_StockCount[CountedQty],T_StockCount[Part Name],$A14,T_StockCount[WeekIndex],101),IF((('T_SelfStock'!CX18&lt;&gt;""))*(('T_TTAFStock'!CX18&lt;&gt;""))&gt;0,'T_SelfStock'!CX18+'T_TTAFStock'!CX18,CW14+'Grid_Incoming'!CX14-'Grid_Requirement'!CX14))</f>
        <v/>
      </c>
      <c r="CY14">
        <f>IF(COUNTIFS(T_StockCount[Part Name],$A14,T_StockCount[WeekIndex],102)&gt;0,SUMIFS(T_StockCount[CountedQty],T_StockCount[Part Name],$A14,T_StockCount[WeekIndex],102),IF((('T_SelfStock'!CY18&lt;&gt;""))*(('T_TTAFStock'!CY18&lt;&gt;""))&gt;0,'T_SelfStock'!CY18+'T_TTAFStock'!CY18,CX14+'Grid_Incoming'!CY14-'Grid_Requirement'!CY14))</f>
        <v/>
      </c>
      <c r="CZ14">
        <f>IF(COUNTIFS(T_StockCount[Part Name],$A14,T_StockCount[WeekIndex],103)&gt;0,SUMIFS(T_StockCount[CountedQty],T_StockCount[Part Name],$A14,T_StockCount[WeekIndex],103),IF((('T_SelfStock'!CZ18&lt;&gt;""))*(('T_TTAFStock'!CZ18&lt;&gt;""))&gt;0,'T_SelfStock'!CZ18+'T_TTAFStock'!CZ18,CY14+'Grid_Incoming'!CZ14-'Grid_Requirement'!CZ14))</f>
        <v/>
      </c>
      <c r="DA14">
        <f>IF(COUNTIFS(T_StockCount[Part Name],$A14,T_StockCount[WeekIndex],104)&gt;0,SUMIFS(T_StockCount[CountedQty],T_StockCount[Part Name],$A14,T_StockCount[WeekIndex],104),IF((('T_SelfStock'!DA18&lt;&gt;""))*(('T_TTAFStock'!DA18&lt;&gt;""))&gt;0,'T_SelfStock'!DA18+'T_TTAFStock'!DA18,CZ14+'Grid_Incoming'!DA14-'Grid_Requirement'!DA14))</f>
        <v/>
      </c>
    </row>
    <row r="15">
      <c r="A15" t="inlineStr">
        <is>
          <t>5SN</t>
        </is>
      </c>
      <c r="B15">
        <f>IF(COUNTIFS(T_StockCount[Part Name],$A15,T_StockCount[WeekIndex],1)&gt;0,SUMIFS(T_StockCount[CountedQty],T_StockCount[Part Name],$A15,T_StockCount[WeekIndex],1),IF((('T_SelfStock'!B19&lt;&gt;""))*(('T_TTAFStock'!B19&lt;&gt;""))&gt;0,'T_SelfStock'!B19+'T_TTAFStock'!B19,IFERROR(INDEX(T_OpeningStock[Opening_Qty_要入力],MATCH($A15,T_OpeningStock[Part Name],0)),0)+'Grid_Incoming'!B15-'Grid_Requirement'!B15))</f>
        <v/>
      </c>
      <c r="C15">
        <f>IF(COUNTIFS(T_StockCount[Part Name],$A15,T_StockCount[WeekIndex],2)&gt;0,SUMIFS(T_StockCount[CountedQty],T_StockCount[Part Name],$A15,T_StockCount[WeekIndex],2),IF((('T_SelfStock'!C19&lt;&gt;""))*(('T_TTAFStock'!C19&lt;&gt;""))&gt;0,'T_SelfStock'!C19+'T_TTAFStock'!C19,B15+'Grid_Incoming'!C15-'Grid_Requirement'!C15))</f>
        <v/>
      </c>
      <c r="D15">
        <f>IF(COUNTIFS(T_StockCount[Part Name],$A15,T_StockCount[WeekIndex],3)&gt;0,SUMIFS(T_StockCount[CountedQty],T_StockCount[Part Name],$A15,T_StockCount[WeekIndex],3),IF((('T_SelfStock'!D19&lt;&gt;""))*(('T_TTAFStock'!D19&lt;&gt;""))&gt;0,'T_SelfStock'!D19+'T_TTAFStock'!D19,C15+'Grid_Incoming'!D15-'Grid_Requirement'!D15))</f>
        <v/>
      </c>
      <c r="E15">
        <f>IF(COUNTIFS(T_StockCount[Part Name],$A15,T_StockCount[WeekIndex],4)&gt;0,SUMIFS(T_StockCount[CountedQty],T_StockCount[Part Name],$A15,T_StockCount[WeekIndex],4),IF((('T_SelfStock'!E19&lt;&gt;""))*(('T_TTAFStock'!E19&lt;&gt;""))&gt;0,'T_SelfStock'!E19+'T_TTAFStock'!E19,D15+'Grid_Incoming'!E15-'Grid_Requirement'!E15))</f>
        <v/>
      </c>
      <c r="F15">
        <f>IF(COUNTIFS(T_StockCount[Part Name],$A15,T_StockCount[WeekIndex],5)&gt;0,SUMIFS(T_StockCount[CountedQty],T_StockCount[Part Name],$A15,T_StockCount[WeekIndex],5),IF((('T_SelfStock'!F19&lt;&gt;""))*(('T_TTAFStock'!F19&lt;&gt;""))&gt;0,'T_SelfStock'!F19+'T_TTAFStock'!F19,E15+'Grid_Incoming'!F15-'Grid_Requirement'!F15))</f>
        <v/>
      </c>
      <c r="G15">
        <f>IF(COUNTIFS(T_StockCount[Part Name],$A15,T_StockCount[WeekIndex],6)&gt;0,SUMIFS(T_StockCount[CountedQty],T_StockCount[Part Name],$A15,T_StockCount[WeekIndex],6),IF((('T_SelfStock'!G19&lt;&gt;""))*(('T_TTAFStock'!G19&lt;&gt;""))&gt;0,'T_SelfStock'!G19+'T_TTAFStock'!G19,F15+'Grid_Incoming'!G15-'Grid_Requirement'!G15))</f>
        <v/>
      </c>
      <c r="H15">
        <f>IF(COUNTIFS(T_StockCount[Part Name],$A15,T_StockCount[WeekIndex],7)&gt;0,SUMIFS(T_StockCount[CountedQty],T_StockCount[Part Name],$A15,T_StockCount[WeekIndex],7),IF((('T_SelfStock'!H19&lt;&gt;""))*(('T_TTAFStock'!H19&lt;&gt;""))&gt;0,'T_SelfStock'!H19+'T_TTAFStock'!H19,G15+'Grid_Incoming'!H15-'Grid_Requirement'!H15))</f>
        <v/>
      </c>
      <c r="I15">
        <f>IF(COUNTIFS(T_StockCount[Part Name],$A15,T_StockCount[WeekIndex],8)&gt;0,SUMIFS(T_StockCount[CountedQty],T_StockCount[Part Name],$A15,T_StockCount[WeekIndex],8),IF((('T_SelfStock'!I19&lt;&gt;""))*(('T_TTAFStock'!I19&lt;&gt;""))&gt;0,'T_SelfStock'!I19+'T_TTAFStock'!I19,H15+'Grid_Incoming'!I15-'Grid_Requirement'!I15))</f>
        <v/>
      </c>
      <c r="J15">
        <f>IF(COUNTIFS(T_StockCount[Part Name],$A15,T_StockCount[WeekIndex],9)&gt;0,SUMIFS(T_StockCount[CountedQty],T_StockCount[Part Name],$A15,T_StockCount[WeekIndex],9),IF((('T_SelfStock'!J19&lt;&gt;""))*(('T_TTAFStock'!J19&lt;&gt;""))&gt;0,'T_SelfStock'!J19+'T_TTAFStock'!J19,I15+'Grid_Incoming'!J15-'Grid_Requirement'!J15))</f>
        <v/>
      </c>
      <c r="K15">
        <f>IF(COUNTIFS(T_StockCount[Part Name],$A15,T_StockCount[WeekIndex],10)&gt;0,SUMIFS(T_StockCount[CountedQty],T_StockCount[Part Name],$A15,T_StockCount[WeekIndex],10),IF((('T_SelfStock'!K19&lt;&gt;""))*(('T_TTAFStock'!K19&lt;&gt;""))&gt;0,'T_SelfStock'!K19+'T_TTAFStock'!K19,J15+'Grid_Incoming'!K15-'Grid_Requirement'!K15))</f>
        <v/>
      </c>
      <c r="L15">
        <f>IF(COUNTIFS(T_StockCount[Part Name],$A15,T_StockCount[WeekIndex],11)&gt;0,SUMIFS(T_StockCount[CountedQty],T_StockCount[Part Name],$A15,T_StockCount[WeekIndex],11),IF((('T_SelfStock'!L19&lt;&gt;""))*(('T_TTAFStock'!L19&lt;&gt;""))&gt;0,'T_SelfStock'!L19+'T_TTAFStock'!L19,K15+'Grid_Incoming'!L15-'Grid_Requirement'!L15))</f>
        <v/>
      </c>
      <c r="M15">
        <f>IF(COUNTIFS(T_StockCount[Part Name],$A15,T_StockCount[WeekIndex],12)&gt;0,SUMIFS(T_StockCount[CountedQty],T_StockCount[Part Name],$A15,T_StockCount[WeekIndex],12),IF((('T_SelfStock'!M19&lt;&gt;""))*(('T_TTAFStock'!M19&lt;&gt;""))&gt;0,'T_SelfStock'!M19+'T_TTAFStock'!M19,L15+'Grid_Incoming'!M15-'Grid_Requirement'!M15))</f>
        <v/>
      </c>
      <c r="N15">
        <f>IF(COUNTIFS(T_StockCount[Part Name],$A15,T_StockCount[WeekIndex],13)&gt;0,SUMIFS(T_StockCount[CountedQty],T_StockCount[Part Name],$A15,T_StockCount[WeekIndex],13),IF((('T_SelfStock'!N19&lt;&gt;""))*(('T_TTAFStock'!N19&lt;&gt;""))&gt;0,'T_SelfStock'!N19+'T_TTAFStock'!N19,M15+'Grid_Incoming'!N15-'Grid_Requirement'!N15))</f>
        <v/>
      </c>
      <c r="O15">
        <f>IF(COUNTIFS(T_StockCount[Part Name],$A15,T_StockCount[WeekIndex],14)&gt;0,SUMIFS(T_StockCount[CountedQty],T_StockCount[Part Name],$A15,T_StockCount[WeekIndex],14),IF((('T_SelfStock'!O19&lt;&gt;""))*(('T_TTAFStock'!O19&lt;&gt;""))&gt;0,'T_SelfStock'!O19+'T_TTAFStock'!O19,N15+'Grid_Incoming'!O15-'Grid_Requirement'!O15))</f>
        <v/>
      </c>
      <c r="P15">
        <f>IF(COUNTIFS(T_StockCount[Part Name],$A15,T_StockCount[WeekIndex],15)&gt;0,SUMIFS(T_StockCount[CountedQty],T_StockCount[Part Name],$A15,T_StockCount[WeekIndex],15),IF((('T_SelfStock'!P19&lt;&gt;""))*(('T_TTAFStock'!P19&lt;&gt;""))&gt;0,'T_SelfStock'!P19+'T_TTAFStock'!P19,O15+'Grid_Incoming'!P15-'Grid_Requirement'!P15))</f>
        <v/>
      </c>
      <c r="Q15">
        <f>IF(COUNTIFS(T_StockCount[Part Name],$A15,T_StockCount[WeekIndex],16)&gt;0,SUMIFS(T_StockCount[CountedQty],T_StockCount[Part Name],$A15,T_StockCount[WeekIndex],16),IF((('T_SelfStock'!Q19&lt;&gt;""))*(('T_TTAFStock'!Q19&lt;&gt;""))&gt;0,'T_SelfStock'!Q19+'T_TTAFStock'!Q19,P15+'Grid_Incoming'!Q15-'Grid_Requirement'!Q15))</f>
        <v/>
      </c>
      <c r="R15">
        <f>IF(COUNTIFS(T_StockCount[Part Name],$A15,T_StockCount[WeekIndex],17)&gt;0,SUMIFS(T_StockCount[CountedQty],T_StockCount[Part Name],$A15,T_StockCount[WeekIndex],17),IF((('T_SelfStock'!R19&lt;&gt;""))*(('T_TTAFStock'!R19&lt;&gt;""))&gt;0,'T_SelfStock'!R19+'T_TTAFStock'!R19,Q15+'Grid_Incoming'!R15-'Grid_Requirement'!R15))</f>
        <v/>
      </c>
      <c r="S15">
        <f>IF(COUNTIFS(T_StockCount[Part Name],$A15,T_StockCount[WeekIndex],18)&gt;0,SUMIFS(T_StockCount[CountedQty],T_StockCount[Part Name],$A15,T_StockCount[WeekIndex],18),IF((('T_SelfStock'!S19&lt;&gt;""))*(('T_TTAFStock'!S19&lt;&gt;""))&gt;0,'T_SelfStock'!S19+'T_TTAFStock'!S19,R15+'Grid_Incoming'!S15-'Grid_Requirement'!S15))</f>
        <v/>
      </c>
      <c r="T15">
        <f>IF(COUNTIFS(T_StockCount[Part Name],$A15,T_StockCount[WeekIndex],19)&gt;0,SUMIFS(T_StockCount[CountedQty],T_StockCount[Part Name],$A15,T_StockCount[WeekIndex],19),IF((('T_SelfStock'!T19&lt;&gt;""))*(('T_TTAFStock'!T19&lt;&gt;""))&gt;0,'T_SelfStock'!T19+'T_TTAFStock'!T19,S15+'Grid_Incoming'!T15-'Grid_Requirement'!T15))</f>
        <v/>
      </c>
      <c r="U15">
        <f>IF(COUNTIFS(T_StockCount[Part Name],$A15,T_StockCount[WeekIndex],20)&gt;0,SUMIFS(T_StockCount[CountedQty],T_StockCount[Part Name],$A15,T_StockCount[WeekIndex],20),IF((('T_SelfStock'!U19&lt;&gt;""))*(('T_TTAFStock'!U19&lt;&gt;""))&gt;0,'T_SelfStock'!U19+'T_TTAFStock'!U19,T15+'Grid_Incoming'!U15-'Grid_Requirement'!U15))</f>
        <v/>
      </c>
      <c r="V15">
        <f>IF(COUNTIFS(T_StockCount[Part Name],$A15,T_StockCount[WeekIndex],21)&gt;0,SUMIFS(T_StockCount[CountedQty],T_StockCount[Part Name],$A15,T_StockCount[WeekIndex],21),IF((('T_SelfStock'!V19&lt;&gt;""))*(('T_TTAFStock'!V19&lt;&gt;""))&gt;0,'T_SelfStock'!V19+'T_TTAFStock'!V19,U15+'Grid_Incoming'!V15-'Grid_Requirement'!V15))</f>
        <v/>
      </c>
      <c r="W15">
        <f>IF(COUNTIFS(T_StockCount[Part Name],$A15,T_StockCount[WeekIndex],22)&gt;0,SUMIFS(T_StockCount[CountedQty],T_StockCount[Part Name],$A15,T_StockCount[WeekIndex],22),IF((('T_SelfStock'!W19&lt;&gt;""))*(('T_TTAFStock'!W19&lt;&gt;""))&gt;0,'T_SelfStock'!W19+'T_TTAFStock'!W19,V15+'Grid_Incoming'!W15-'Grid_Requirement'!W15))</f>
        <v/>
      </c>
      <c r="X15">
        <f>IF(COUNTIFS(T_StockCount[Part Name],$A15,T_StockCount[WeekIndex],23)&gt;0,SUMIFS(T_StockCount[CountedQty],T_StockCount[Part Name],$A15,T_StockCount[WeekIndex],23),IF((('T_SelfStock'!X19&lt;&gt;""))*(('T_TTAFStock'!X19&lt;&gt;""))&gt;0,'T_SelfStock'!X19+'T_TTAFStock'!X19,W15+'Grid_Incoming'!X15-'Grid_Requirement'!X15))</f>
        <v/>
      </c>
      <c r="Y15">
        <f>IF(COUNTIFS(T_StockCount[Part Name],$A15,T_StockCount[WeekIndex],24)&gt;0,SUMIFS(T_StockCount[CountedQty],T_StockCount[Part Name],$A15,T_StockCount[WeekIndex],24),IF((('T_SelfStock'!Y19&lt;&gt;""))*(('T_TTAFStock'!Y19&lt;&gt;""))&gt;0,'T_SelfStock'!Y19+'T_TTAFStock'!Y19,X15+'Grid_Incoming'!Y15-'Grid_Requirement'!Y15))</f>
        <v/>
      </c>
      <c r="Z15">
        <f>IF(COUNTIFS(T_StockCount[Part Name],$A15,T_StockCount[WeekIndex],25)&gt;0,SUMIFS(T_StockCount[CountedQty],T_StockCount[Part Name],$A15,T_StockCount[WeekIndex],25),IF((('T_SelfStock'!Z19&lt;&gt;""))*(('T_TTAFStock'!Z19&lt;&gt;""))&gt;0,'T_SelfStock'!Z19+'T_TTAFStock'!Z19,Y15+'Grid_Incoming'!Z15-'Grid_Requirement'!Z15))</f>
        <v/>
      </c>
      <c r="AA15">
        <f>IF(COUNTIFS(T_StockCount[Part Name],$A15,T_StockCount[WeekIndex],26)&gt;0,SUMIFS(T_StockCount[CountedQty],T_StockCount[Part Name],$A15,T_StockCount[WeekIndex],26),IF((('T_SelfStock'!AA19&lt;&gt;""))*(('T_TTAFStock'!AA19&lt;&gt;""))&gt;0,'T_SelfStock'!AA19+'T_TTAFStock'!AA19,Z15+'Grid_Incoming'!AA15-'Grid_Requirement'!AA15))</f>
        <v/>
      </c>
      <c r="AB15">
        <f>IF(COUNTIFS(T_StockCount[Part Name],$A15,T_StockCount[WeekIndex],27)&gt;0,SUMIFS(T_StockCount[CountedQty],T_StockCount[Part Name],$A15,T_StockCount[WeekIndex],27),IF((('T_SelfStock'!AB19&lt;&gt;""))*(('T_TTAFStock'!AB19&lt;&gt;""))&gt;0,'T_SelfStock'!AB19+'T_TTAFStock'!AB19,AA15+'Grid_Incoming'!AB15-'Grid_Requirement'!AB15))</f>
        <v/>
      </c>
      <c r="AC15">
        <f>IF(COUNTIFS(T_StockCount[Part Name],$A15,T_StockCount[WeekIndex],28)&gt;0,SUMIFS(T_StockCount[CountedQty],T_StockCount[Part Name],$A15,T_StockCount[WeekIndex],28),IF((('T_SelfStock'!AC19&lt;&gt;""))*(('T_TTAFStock'!AC19&lt;&gt;""))&gt;0,'T_SelfStock'!AC19+'T_TTAFStock'!AC19,AB15+'Grid_Incoming'!AC15-'Grid_Requirement'!AC15))</f>
        <v/>
      </c>
      <c r="AD15">
        <f>IF(COUNTIFS(T_StockCount[Part Name],$A15,T_StockCount[WeekIndex],29)&gt;0,SUMIFS(T_StockCount[CountedQty],T_StockCount[Part Name],$A15,T_StockCount[WeekIndex],29),IF((('T_SelfStock'!AD19&lt;&gt;""))*(('T_TTAFStock'!AD19&lt;&gt;""))&gt;0,'T_SelfStock'!AD19+'T_TTAFStock'!AD19,AC15+'Grid_Incoming'!AD15-'Grid_Requirement'!AD15))</f>
        <v/>
      </c>
      <c r="AE15">
        <f>IF(COUNTIFS(T_StockCount[Part Name],$A15,T_StockCount[WeekIndex],30)&gt;0,SUMIFS(T_StockCount[CountedQty],T_StockCount[Part Name],$A15,T_StockCount[WeekIndex],30),IF((('T_SelfStock'!AE19&lt;&gt;""))*(('T_TTAFStock'!AE19&lt;&gt;""))&gt;0,'T_SelfStock'!AE19+'T_TTAFStock'!AE19,AD15+'Grid_Incoming'!AE15-'Grid_Requirement'!AE15))</f>
        <v/>
      </c>
      <c r="AF15">
        <f>IF(COUNTIFS(T_StockCount[Part Name],$A15,T_StockCount[WeekIndex],31)&gt;0,SUMIFS(T_StockCount[CountedQty],T_StockCount[Part Name],$A15,T_StockCount[WeekIndex],31),IF((('T_SelfStock'!AF19&lt;&gt;""))*(('T_TTAFStock'!AF19&lt;&gt;""))&gt;0,'T_SelfStock'!AF19+'T_TTAFStock'!AF19,AE15+'Grid_Incoming'!AF15-'Grid_Requirement'!AF15))</f>
        <v/>
      </c>
      <c r="AG15">
        <f>IF(COUNTIFS(T_StockCount[Part Name],$A15,T_StockCount[WeekIndex],32)&gt;0,SUMIFS(T_StockCount[CountedQty],T_StockCount[Part Name],$A15,T_StockCount[WeekIndex],32),IF((('T_SelfStock'!AG19&lt;&gt;""))*(('T_TTAFStock'!AG19&lt;&gt;""))&gt;0,'T_SelfStock'!AG19+'T_TTAFStock'!AG19,AF15+'Grid_Incoming'!AG15-'Grid_Requirement'!AG15))</f>
        <v/>
      </c>
      <c r="AH15">
        <f>IF(COUNTIFS(T_StockCount[Part Name],$A15,T_StockCount[WeekIndex],33)&gt;0,SUMIFS(T_StockCount[CountedQty],T_StockCount[Part Name],$A15,T_StockCount[WeekIndex],33),IF((('T_SelfStock'!AH19&lt;&gt;""))*(('T_TTAFStock'!AH19&lt;&gt;""))&gt;0,'T_SelfStock'!AH19+'T_TTAFStock'!AH19,AG15+'Grid_Incoming'!AH15-'Grid_Requirement'!AH15))</f>
        <v/>
      </c>
      <c r="AI15">
        <f>IF(COUNTIFS(T_StockCount[Part Name],$A15,T_StockCount[WeekIndex],34)&gt;0,SUMIFS(T_StockCount[CountedQty],T_StockCount[Part Name],$A15,T_StockCount[WeekIndex],34),IF((('T_SelfStock'!AI19&lt;&gt;""))*(('T_TTAFStock'!AI19&lt;&gt;""))&gt;0,'T_SelfStock'!AI19+'T_TTAFStock'!AI19,AH15+'Grid_Incoming'!AI15-'Grid_Requirement'!AI15))</f>
        <v/>
      </c>
      <c r="AJ15">
        <f>IF(COUNTIFS(T_StockCount[Part Name],$A15,T_StockCount[WeekIndex],35)&gt;0,SUMIFS(T_StockCount[CountedQty],T_StockCount[Part Name],$A15,T_StockCount[WeekIndex],35),IF((('T_SelfStock'!AJ19&lt;&gt;""))*(('T_TTAFStock'!AJ19&lt;&gt;""))&gt;0,'T_SelfStock'!AJ19+'T_TTAFStock'!AJ19,AI15+'Grid_Incoming'!AJ15-'Grid_Requirement'!AJ15))</f>
        <v/>
      </c>
      <c r="AK15">
        <f>IF(COUNTIFS(T_StockCount[Part Name],$A15,T_StockCount[WeekIndex],36)&gt;0,SUMIFS(T_StockCount[CountedQty],T_StockCount[Part Name],$A15,T_StockCount[WeekIndex],36),IF((('T_SelfStock'!AK19&lt;&gt;""))*(('T_TTAFStock'!AK19&lt;&gt;""))&gt;0,'T_SelfStock'!AK19+'T_TTAFStock'!AK19,AJ15+'Grid_Incoming'!AK15-'Grid_Requirement'!AK15))</f>
        <v/>
      </c>
      <c r="AL15">
        <f>IF(COUNTIFS(T_StockCount[Part Name],$A15,T_StockCount[WeekIndex],37)&gt;0,SUMIFS(T_StockCount[CountedQty],T_StockCount[Part Name],$A15,T_StockCount[WeekIndex],37),IF((('T_SelfStock'!AL19&lt;&gt;""))*(('T_TTAFStock'!AL19&lt;&gt;""))&gt;0,'T_SelfStock'!AL19+'T_TTAFStock'!AL19,AK15+'Grid_Incoming'!AL15-'Grid_Requirement'!AL15))</f>
        <v/>
      </c>
      <c r="AM15">
        <f>IF(COUNTIFS(T_StockCount[Part Name],$A15,T_StockCount[WeekIndex],38)&gt;0,SUMIFS(T_StockCount[CountedQty],T_StockCount[Part Name],$A15,T_StockCount[WeekIndex],38),IF((('T_SelfStock'!AM19&lt;&gt;""))*(('T_TTAFStock'!AM19&lt;&gt;""))&gt;0,'T_SelfStock'!AM19+'T_TTAFStock'!AM19,AL15+'Grid_Incoming'!AM15-'Grid_Requirement'!AM15))</f>
        <v/>
      </c>
      <c r="AN15">
        <f>IF(COUNTIFS(T_StockCount[Part Name],$A15,T_StockCount[WeekIndex],39)&gt;0,SUMIFS(T_StockCount[CountedQty],T_StockCount[Part Name],$A15,T_StockCount[WeekIndex],39),IF((('T_SelfStock'!AN19&lt;&gt;""))*(('T_TTAFStock'!AN19&lt;&gt;""))&gt;0,'T_SelfStock'!AN19+'T_TTAFStock'!AN19,AM15+'Grid_Incoming'!AN15-'Grid_Requirement'!AN15))</f>
        <v/>
      </c>
      <c r="AO15">
        <f>IF(COUNTIFS(T_StockCount[Part Name],$A15,T_StockCount[WeekIndex],40)&gt;0,SUMIFS(T_StockCount[CountedQty],T_StockCount[Part Name],$A15,T_StockCount[WeekIndex],40),IF((('T_SelfStock'!AO19&lt;&gt;""))*(('T_TTAFStock'!AO19&lt;&gt;""))&gt;0,'T_SelfStock'!AO19+'T_TTAFStock'!AO19,AN15+'Grid_Incoming'!AO15-'Grid_Requirement'!AO15))</f>
        <v/>
      </c>
      <c r="AP15">
        <f>IF(COUNTIFS(T_StockCount[Part Name],$A15,T_StockCount[WeekIndex],41)&gt;0,SUMIFS(T_StockCount[CountedQty],T_StockCount[Part Name],$A15,T_StockCount[WeekIndex],41),IF((('T_SelfStock'!AP19&lt;&gt;""))*(('T_TTAFStock'!AP19&lt;&gt;""))&gt;0,'T_SelfStock'!AP19+'T_TTAFStock'!AP19,AO15+'Grid_Incoming'!AP15-'Grid_Requirement'!AP15))</f>
        <v/>
      </c>
      <c r="AQ15">
        <f>IF(COUNTIFS(T_StockCount[Part Name],$A15,T_StockCount[WeekIndex],42)&gt;0,SUMIFS(T_StockCount[CountedQty],T_StockCount[Part Name],$A15,T_StockCount[WeekIndex],42),IF((('T_SelfStock'!AQ19&lt;&gt;""))*(('T_TTAFStock'!AQ19&lt;&gt;""))&gt;0,'T_SelfStock'!AQ19+'T_TTAFStock'!AQ19,AP15+'Grid_Incoming'!AQ15-'Grid_Requirement'!AQ15))</f>
        <v/>
      </c>
      <c r="AR15">
        <f>IF(COUNTIFS(T_StockCount[Part Name],$A15,T_StockCount[WeekIndex],43)&gt;0,SUMIFS(T_StockCount[CountedQty],T_StockCount[Part Name],$A15,T_StockCount[WeekIndex],43),IF((('T_SelfStock'!AR19&lt;&gt;""))*(('T_TTAFStock'!AR19&lt;&gt;""))&gt;0,'T_SelfStock'!AR19+'T_TTAFStock'!AR19,AQ15+'Grid_Incoming'!AR15-'Grid_Requirement'!AR15))</f>
        <v/>
      </c>
      <c r="AS15">
        <f>IF(COUNTIFS(T_StockCount[Part Name],$A15,T_StockCount[WeekIndex],44)&gt;0,SUMIFS(T_StockCount[CountedQty],T_StockCount[Part Name],$A15,T_StockCount[WeekIndex],44),IF((('T_SelfStock'!AS19&lt;&gt;""))*(('T_TTAFStock'!AS19&lt;&gt;""))&gt;0,'T_SelfStock'!AS19+'T_TTAFStock'!AS19,AR15+'Grid_Incoming'!AS15-'Grid_Requirement'!AS15))</f>
        <v/>
      </c>
      <c r="AT15">
        <f>IF(COUNTIFS(T_StockCount[Part Name],$A15,T_StockCount[WeekIndex],45)&gt;0,SUMIFS(T_StockCount[CountedQty],T_StockCount[Part Name],$A15,T_StockCount[WeekIndex],45),IF((('T_SelfStock'!AT19&lt;&gt;""))*(('T_TTAFStock'!AT19&lt;&gt;""))&gt;0,'T_SelfStock'!AT19+'T_TTAFStock'!AT19,AS15+'Grid_Incoming'!AT15-'Grid_Requirement'!AT15))</f>
        <v/>
      </c>
      <c r="AU15">
        <f>IF(COUNTIFS(T_StockCount[Part Name],$A15,T_StockCount[WeekIndex],46)&gt;0,SUMIFS(T_StockCount[CountedQty],T_StockCount[Part Name],$A15,T_StockCount[WeekIndex],46),IF((('T_SelfStock'!AU19&lt;&gt;""))*(('T_TTAFStock'!AU19&lt;&gt;""))&gt;0,'T_SelfStock'!AU19+'T_TTAFStock'!AU19,AT15+'Grid_Incoming'!AU15-'Grid_Requirement'!AU15))</f>
        <v/>
      </c>
      <c r="AV15">
        <f>IF(COUNTIFS(T_StockCount[Part Name],$A15,T_StockCount[WeekIndex],47)&gt;0,SUMIFS(T_StockCount[CountedQty],T_StockCount[Part Name],$A15,T_StockCount[WeekIndex],47),IF((('T_SelfStock'!AV19&lt;&gt;""))*(('T_TTAFStock'!AV19&lt;&gt;""))&gt;0,'T_SelfStock'!AV19+'T_TTAFStock'!AV19,AU15+'Grid_Incoming'!AV15-'Grid_Requirement'!AV15))</f>
        <v/>
      </c>
      <c r="AW15">
        <f>IF(COUNTIFS(T_StockCount[Part Name],$A15,T_StockCount[WeekIndex],48)&gt;0,SUMIFS(T_StockCount[CountedQty],T_StockCount[Part Name],$A15,T_StockCount[WeekIndex],48),IF((('T_SelfStock'!AW19&lt;&gt;""))*(('T_TTAFStock'!AW19&lt;&gt;""))&gt;0,'T_SelfStock'!AW19+'T_TTAFStock'!AW19,AV15+'Grid_Incoming'!AW15-'Grid_Requirement'!AW15))</f>
        <v/>
      </c>
      <c r="AX15">
        <f>IF(COUNTIFS(T_StockCount[Part Name],$A15,T_StockCount[WeekIndex],49)&gt;0,SUMIFS(T_StockCount[CountedQty],T_StockCount[Part Name],$A15,T_StockCount[WeekIndex],49),IF((('T_SelfStock'!AX19&lt;&gt;""))*(('T_TTAFStock'!AX19&lt;&gt;""))&gt;0,'T_SelfStock'!AX19+'T_TTAFStock'!AX19,AW15+'Grid_Incoming'!AX15-'Grid_Requirement'!AX15))</f>
        <v/>
      </c>
      <c r="AY15">
        <f>IF(COUNTIFS(T_StockCount[Part Name],$A15,T_StockCount[WeekIndex],50)&gt;0,SUMIFS(T_StockCount[CountedQty],T_StockCount[Part Name],$A15,T_StockCount[WeekIndex],50),IF((('T_SelfStock'!AY19&lt;&gt;""))*(('T_TTAFStock'!AY19&lt;&gt;""))&gt;0,'T_SelfStock'!AY19+'T_TTAFStock'!AY19,AX15+'Grid_Incoming'!AY15-'Grid_Requirement'!AY15))</f>
        <v/>
      </c>
      <c r="AZ15">
        <f>IF(COUNTIFS(T_StockCount[Part Name],$A15,T_StockCount[WeekIndex],51)&gt;0,SUMIFS(T_StockCount[CountedQty],T_StockCount[Part Name],$A15,T_StockCount[WeekIndex],51),IF((('T_SelfStock'!AZ19&lt;&gt;""))*(('T_TTAFStock'!AZ19&lt;&gt;""))&gt;0,'T_SelfStock'!AZ19+'T_TTAFStock'!AZ19,AY15+'Grid_Incoming'!AZ15-'Grid_Requirement'!AZ15))</f>
        <v/>
      </c>
      <c r="BA15">
        <f>IF(COUNTIFS(T_StockCount[Part Name],$A15,T_StockCount[WeekIndex],52)&gt;0,SUMIFS(T_StockCount[CountedQty],T_StockCount[Part Name],$A15,T_StockCount[WeekIndex],52),IF((('T_SelfStock'!BA19&lt;&gt;""))*(('T_TTAFStock'!BA19&lt;&gt;""))&gt;0,'T_SelfStock'!BA19+'T_TTAFStock'!BA19,AZ15+'Grid_Incoming'!BA15-'Grid_Requirement'!BA15))</f>
        <v/>
      </c>
      <c r="BB15">
        <f>IF(COUNTIFS(T_StockCount[Part Name],$A15,T_StockCount[WeekIndex],53)&gt;0,SUMIFS(T_StockCount[CountedQty],T_StockCount[Part Name],$A15,T_StockCount[WeekIndex],53),IF((('T_SelfStock'!BB19&lt;&gt;""))*(('T_TTAFStock'!BB19&lt;&gt;""))&gt;0,'T_SelfStock'!BB19+'T_TTAFStock'!BB19,BA15+'Grid_Incoming'!BB15-'Grid_Requirement'!BB15))</f>
        <v/>
      </c>
      <c r="BC15">
        <f>IF(COUNTIFS(T_StockCount[Part Name],$A15,T_StockCount[WeekIndex],54)&gt;0,SUMIFS(T_StockCount[CountedQty],T_StockCount[Part Name],$A15,T_StockCount[WeekIndex],54),IF((('T_SelfStock'!BC19&lt;&gt;""))*(('T_TTAFStock'!BC19&lt;&gt;""))&gt;0,'T_SelfStock'!BC19+'T_TTAFStock'!BC19,BB15+'Grid_Incoming'!BC15-'Grid_Requirement'!BC15))</f>
        <v/>
      </c>
      <c r="BD15">
        <f>IF(COUNTIFS(T_StockCount[Part Name],$A15,T_StockCount[WeekIndex],55)&gt;0,SUMIFS(T_StockCount[CountedQty],T_StockCount[Part Name],$A15,T_StockCount[WeekIndex],55),IF((('T_SelfStock'!BD19&lt;&gt;""))*(('T_TTAFStock'!BD19&lt;&gt;""))&gt;0,'T_SelfStock'!BD19+'T_TTAFStock'!BD19,BC15+'Grid_Incoming'!BD15-'Grid_Requirement'!BD15))</f>
        <v/>
      </c>
      <c r="BE15">
        <f>IF(COUNTIFS(T_StockCount[Part Name],$A15,T_StockCount[WeekIndex],56)&gt;0,SUMIFS(T_StockCount[CountedQty],T_StockCount[Part Name],$A15,T_StockCount[WeekIndex],56),IF((('T_SelfStock'!BE19&lt;&gt;""))*(('T_TTAFStock'!BE19&lt;&gt;""))&gt;0,'T_SelfStock'!BE19+'T_TTAFStock'!BE19,BD15+'Grid_Incoming'!BE15-'Grid_Requirement'!BE15))</f>
        <v/>
      </c>
      <c r="BF15">
        <f>IF(COUNTIFS(T_StockCount[Part Name],$A15,T_StockCount[WeekIndex],57)&gt;0,SUMIFS(T_StockCount[CountedQty],T_StockCount[Part Name],$A15,T_StockCount[WeekIndex],57),IF((('T_SelfStock'!BF19&lt;&gt;""))*(('T_TTAFStock'!BF19&lt;&gt;""))&gt;0,'T_SelfStock'!BF19+'T_TTAFStock'!BF19,BE15+'Grid_Incoming'!BF15-'Grid_Requirement'!BF15))</f>
        <v/>
      </c>
      <c r="BG15">
        <f>IF(COUNTIFS(T_StockCount[Part Name],$A15,T_StockCount[WeekIndex],58)&gt;0,SUMIFS(T_StockCount[CountedQty],T_StockCount[Part Name],$A15,T_StockCount[WeekIndex],58),IF((('T_SelfStock'!BG19&lt;&gt;""))*(('T_TTAFStock'!BG19&lt;&gt;""))&gt;0,'T_SelfStock'!BG19+'T_TTAFStock'!BG19,BF15+'Grid_Incoming'!BG15-'Grid_Requirement'!BG15))</f>
        <v/>
      </c>
      <c r="BH15">
        <f>IF(COUNTIFS(T_StockCount[Part Name],$A15,T_StockCount[WeekIndex],59)&gt;0,SUMIFS(T_StockCount[CountedQty],T_StockCount[Part Name],$A15,T_StockCount[WeekIndex],59),IF((('T_SelfStock'!BH19&lt;&gt;""))*(('T_TTAFStock'!BH19&lt;&gt;""))&gt;0,'T_SelfStock'!BH19+'T_TTAFStock'!BH19,BG15+'Grid_Incoming'!BH15-'Grid_Requirement'!BH15))</f>
        <v/>
      </c>
      <c r="BI15">
        <f>IF(COUNTIFS(T_StockCount[Part Name],$A15,T_StockCount[WeekIndex],60)&gt;0,SUMIFS(T_StockCount[CountedQty],T_StockCount[Part Name],$A15,T_StockCount[WeekIndex],60),IF((('T_SelfStock'!BI19&lt;&gt;""))*(('T_TTAFStock'!BI19&lt;&gt;""))&gt;0,'T_SelfStock'!BI19+'T_TTAFStock'!BI19,BH15+'Grid_Incoming'!BI15-'Grid_Requirement'!BI15))</f>
        <v/>
      </c>
      <c r="BJ15">
        <f>IF(COUNTIFS(T_StockCount[Part Name],$A15,T_StockCount[WeekIndex],61)&gt;0,SUMIFS(T_StockCount[CountedQty],T_StockCount[Part Name],$A15,T_StockCount[WeekIndex],61),IF((('T_SelfStock'!BJ19&lt;&gt;""))*(('T_TTAFStock'!BJ19&lt;&gt;""))&gt;0,'T_SelfStock'!BJ19+'T_TTAFStock'!BJ19,BI15+'Grid_Incoming'!BJ15-'Grid_Requirement'!BJ15))</f>
        <v/>
      </c>
      <c r="BK15">
        <f>IF(COUNTIFS(T_StockCount[Part Name],$A15,T_StockCount[WeekIndex],62)&gt;0,SUMIFS(T_StockCount[CountedQty],T_StockCount[Part Name],$A15,T_StockCount[WeekIndex],62),IF((('T_SelfStock'!BK19&lt;&gt;""))*(('T_TTAFStock'!BK19&lt;&gt;""))&gt;0,'T_SelfStock'!BK19+'T_TTAFStock'!BK19,BJ15+'Grid_Incoming'!BK15-'Grid_Requirement'!BK15))</f>
        <v/>
      </c>
      <c r="BL15">
        <f>IF(COUNTIFS(T_StockCount[Part Name],$A15,T_StockCount[WeekIndex],63)&gt;0,SUMIFS(T_StockCount[CountedQty],T_StockCount[Part Name],$A15,T_StockCount[WeekIndex],63),IF((('T_SelfStock'!BL19&lt;&gt;""))*(('T_TTAFStock'!BL19&lt;&gt;""))&gt;0,'T_SelfStock'!BL19+'T_TTAFStock'!BL19,BK15+'Grid_Incoming'!BL15-'Grid_Requirement'!BL15))</f>
        <v/>
      </c>
      <c r="BM15">
        <f>IF(COUNTIFS(T_StockCount[Part Name],$A15,T_StockCount[WeekIndex],64)&gt;0,SUMIFS(T_StockCount[CountedQty],T_StockCount[Part Name],$A15,T_StockCount[WeekIndex],64),IF((('T_SelfStock'!BM19&lt;&gt;""))*(('T_TTAFStock'!BM19&lt;&gt;""))&gt;0,'T_SelfStock'!BM19+'T_TTAFStock'!BM19,BL15+'Grid_Incoming'!BM15-'Grid_Requirement'!BM15))</f>
        <v/>
      </c>
      <c r="BN15">
        <f>IF(COUNTIFS(T_StockCount[Part Name],$A15,T_StockCount[WeekIndex],65)&gt;0,SUMIFS(T_StockCount[CountedQty],T_StockCount[Part Name],$A15,T_StockCount[WeekIndex],65),IF((('T_SelfStock'!BN19&lt;&gt;""))*(('T_TTAFStock'!BN19&lt;&gt;""))&gt;0,'T_SelfStock'!BN19+'T_TTAFStock'!BN19,BM15+'Grid_Incoming'!BN15-'Grid_Requirement'!BN15))</f>
        <v/>
      </c>
      <c r="BO15">
        <f>IF(COUNTIFS(T_StockCount[Part Name],$A15,T_StockCount[WeekIndex],66)&gt;0,SUMIFS(T_StockCount[CountedQty],T_StockCount[Part Name],$A15,T_StockCount[WeekIndex],66),IF((('T_SelfStock'!BO19&lt;&gt;""))*(('T_TTAFStock'!BO19&lt;&gt;""))&gt;0,'T_SelfStock'!BO19+'T_TTAFStock'!BO19,BN15+'Grid_Incoming'!BO15-'Grid_Requirement'!BO15))</f>
        <v/>
      </c>
      <c r="BP15">
        <f>IF(COUNTIFS(T_StockCount[Part Name],$A15,T_StockCount[WeekIndex],67)&gt;0,SUMIFS(T_StockCount[CountedQty],T_StockCount[Part Name],$A15,T_StockCount[WeekIndex],67),IF((('T_SelfStock'!BP19&lt;&gt;""))*(('T_TTAFStock'!BP19&lt;&gt;""))&gt;0,'T_SelfStock'!BP19+'T_TTAFStock'!BP19,BO15+'Grid_Incoming'!BP15-'Grid_Requirement'!BP15))</f>
        <v/>
      </c>
      <c r="BQ15">
        <f>IF(COUNTIFS(T_StockCount[Part Name],$A15,T_StockCount[WeekIndex],68)&gt;0,SUMIFS(T_StockCount[CountedQty],T_StockCount[Part Name],$A15,T_StockCount[WeekIndex],68),IF((('T_SelfStock'!BQ19&lt;&gt;""))*(('T_TTAFStock'!BQ19&lt;&gt;""))&gt;0,'T_SelfStock'!BQ19+'T_TTAFStock'!BQ19,BP15+'Grid_Incoming'!BQ15-'Grid_Requirement'!BQ15))</f>
        <v/>
      </c>
      <c r="BR15">
        <f>IF(COUNTIFS(T_StockCount[Part Name],$A15,T_StockCount[WeekIndex],69)&gt;0,SUMIFS(T_StockCount[CountedQty],T_StockCount[Part Name],$A15,T_StockCount[WeekIndex],69),IF((('T_SelfStock'!BR19&lt;&gt;""))*(('T_TTAFStock'!BR19&lt;&gt;""))&gt;0,'T_SelfStock'!BR19+'T_TTAFStock'!BR19,BQ15+'Grid_Incoming'!BR15-'Grid_Requirement'!BR15))</f>
        <v/>
      </c>
      <c r="BS15">
        <f>IF(COUNTIFS(T_StockCount[Part Name],$A15,T_StockCount[WeekIndex],70)&gt;0,SUMIFS(T_StockCount[CountedQty],T_StockCount[Part Name],$A15,T_StockCount[WeekIndex],70),IF((('T_SelfStock'!BS19&lt;&gt;""))*(('T_TTAFStock'!BS19&lt;&gt;""))&gt;0,'T_SelfStock'!BS19+'T_TTAFStock'!BS19,BR15+'Grid_Incoming'!BS15-'Grid_Requirement'!BS15))</f>
        <v/>
      </c>
      <c r="BT15">
        <f>IF(COUNTIFS(T_StockCount[Part Name],$A15,T_StockCount[WeekIndex],71)&gt;0,SUMIFS(T_StockCount[CountedQty],T_StockCount[Part Name],$A15,T_StockCount[WeekIndex],71),IF((('T_SelfStock'!BT19&lt;&gt;""))*(('T_TTAFStock'!BT19&lt;&gt;""))&gt;0,'T_SelfStock'!BT19+'T_TTAFStock'!BT19,BS15+'Grid_Incoming'!BT15-'Grid_Requirement'!BT15))</f>
        <v/>
      </c>
      <c r="BU15">
        <f>IF(COUNTIFS(T_StockCount[Part Name],$A15,T_StockCount[WeekIndex],72)&gt;0,SUMIFS(T_StockCount[CountedQty],T_StockCount[Part Name],$A15,T_StockCount[WeekIndex],72),IF((('T_SelfStock'!BU19&lt;&gt;""))*(('T_TTAFStock'!BU19&lt;&gt;""))&gt;0,'T_SelfStock'!BU19+'T_TTAFStock'!BU19,BT15+'Grid_Incoming'!BU15-'Grid_Requirement'!BU15))</f>
        <v/>
      </c>
      <c r="BV15">
        <f>IF(COUNTIFS(T_StockCount[Part Name],$A15,T_StockCount[WeekIndex],73)&gt;0,SUMIFS(T_StockCount[CountedQty],T_StockCount[Part Name],$A15,T_StockCount[WeekIndex],73),IF((('T_SelfStock'!BV19&lt;&gt;""))*(('T_TTAFStock'!BV19&lt;&gt;""))&gt;0,'T_SelfStock'!BV19+'T_TTAFStock'!BV19,BU15+'Grid_Incoming'!BV15-'Grid_Requirement'!BV15))</f>
        <v/>
      </c>
      <c r="BW15">
        <f>IF(COUNTIFS(T_StockCount[Part Name],$A15,T_StockCount[WeekIndex],74)&gt;0,SUMIFS(T_StockCount[CountedQty],T_StockCount[Part Name],$A15,T_StockCount[WeekIndex],74),IF((('T_SelfStock'!BW19&lt;&gt;""))*(('T_TTAFStock'!BW19&lt;&gt;""))&gt;0,'T_SelfStock'!BW19+'T_TTAFStock'!BW19,BV15+'Grid_Incoming'!BW15-'Grid_Requirement'!BW15))</f>
        <v/>
      </c>
      <c r="BX15">
        <f>IF(COUNTIFS(T_StockCount[Part Name],$A15,T_StockCount[WeekIndex],75)&gt;0,SUMIFS(T_StockCount[CountedQty],T_StockCount[Part Name],$A15,T_StockCount[WeekIndex],75),IF((('T_SelfStock'!BX19&lt;&gt;""))*(('T_TTAFStock'!BX19&lt;&gt;""))&gt;0,'T_SelfStock'!BX19+'T_TTAFStock'!BX19,BW15+'Grid_Incoming'!BX15-'Grid_Requirement'!BX15))</f>
        <v/>
      </c>
      <c r="BY15">
        <f>IF(COUNTIFS(T_StockCount[Part Name],$A15,T_StockCount[WeekIndex],76)&gt;0,SUMIFS(T_StockCount[CountedQty],T_StockCount[Part Name],$A15,T_StockCount[WeekIndex],76),IF((('T_SelfStock'!BY19&lt;&gt;""))*(('T_TTAFStock'!BY19&lt;&gt;""))&gt;0,'T_SelfStock'!BY19+'T_TTAFStock'!BY19,BX15+'Grid_Incoming'!BY15-'Grid_Requirement'!BY15))</f>
        <v/>
      </c>
      <c r="BZ15">
        <f>IF(COUNTIFS(T_StockCount[Part Name],$A15,T_StockCount[WeekIndex],77)&gt;0,SUMIFS(T_StockCount[CountedQty],T_StockCount[Part Name],$A15,T_StockCount[WeekIndex],77),IF((('T_SelfStock'!BZ19&lt;&gt;""))*(('T_TTAFStock'!BZ19&lt;&gt;""))&gt;0,'T_SelfStock'!BZ19+'T_TTAFStock'!BZ19,BY15+'Grid_Incoming'!BZ15-'Grid_Requirement'!BZ15))</f>
        <v/>
      </c>
      <c r="CA15">
        <f>IF(COUNTIFS(T_StockCount[Part Name],$A15,T_StockCount[WeekIndex],78)&gt;0,SUMIFS(T_StockCount[CountedQty],T_StockCount[Part Name],$A15,T_StockCount[WeekIndex],78),IF((('T_SelfStock'!CA19&lt;&gt;""))*(('T_TTAFStock'!CA19&lt;&gt;""))&gt;0,'T_SelfStock'!CA19+'T_TTAFStock'!CA19,BZ15+'Grid_Incoming'!CA15-'Grid_Requirement'!CA15))</f>
        <v/>
      </c>
      <c r="CB15">
        <f>IF(COUNTIFS(T_StockCount[Part Name],$A15,T_StockCount[WeekIndex],79)&gt;0,SUMIFS(T_StockCount[CountedQty],T_StockCount[Part Name],$A15,T_StockCount[WeekIndex],79),IF((('T_SelfStock'!CB19&lt;&gt;""))*(('T_TTAFStock'!CB19&lt;&gt;""))&gt;0,'T_SelfStock'!CB19+'T_TTAFStock'!CB19,CA15+'Grid_Incoming'!CB15-'Grid_Requirement'!CB15))</f>
        <v/>
      </c>
      <c r="CC15">
        <f>IF(COUNTIFS(T_StockCount[Part Name],$A15,T_StockCount[WeekIndex],80)&gt;0,SUMIFS(T_StockCount[CountedQty],T_StockCount[Part Name],$A15,T_StockCount[WeekIndex],80),IF((('T_SelfStock'!CC19&lt;&gt;""))*(('T_TTAFStock'!CC19&lt;&gt;""))&gt;0,'T_SelfStock'!CC19+'T_TTAFStock'!CC19,CB15+'Grid_Incoming'!CC15-'Grid_Requirement'!CC15))</f>
        <v/>
      </c>
      <c r="CD15">
        <f>IF(COUNTIFS(T_StockCount[Part Name],$A15,T_StockCount[WeekIndex],81)&gt;0,SUMIFS(T_StockCount[CountedQty],T_StockCount[Part Name],$A15,T_StockCount[WeekIndex],81),IF((('T_SelfStock'!CD19&lt;&gt;""))*(('T_TTAFStock'!CD19&lt;&gt;""))&gt;0,'T_SelfStock'!CD19+'T_TTAFStock'!CD19,CC15+'Grid_Incoming'!CD15-'Grid_Requirement'!CD15))</f>
        <v/>
      </c>
      <c r="CE15">
        <f>IF(COUNTIFS(T_StockCount[Part Name],$A15,T_StockCount[WeekIndex],82)&gt;0,SUMIFS(T_StockCount[CountedQty],T_StockCount[Part Name],$A15,T_StockCount[WeekIndex],82),IF((('T_SelfStock'!CE19&lt;&gt;""))*(('T_TTAFStock'!CE19&lt;&gt;""))&gt;0,'T_SelfStock'!CE19+'T_TTAFStock'!CE19,CD15+'Grid_Incoming'!CE15-'Grid_Requirement'!CE15))</f>
        <v/>
      </c>
      <c r="CF15">
        <f>IF(COUNTIFS(T_StockCount[Part Name],$A15,T_StockCount[WeekIndex],83)&gt;0,SUMIFS(T_StockCount[CountedQty],T_StockCount[Part Name],$A15,T_StockCount[WeekIndex],83),IF((('T_SelfStock'!CF19&lt;&gt;""))*(('T_TTAFStock'!CF19&lt;&gt;""))&gt;0,'T_SelfStock'!CF19+'T_TTAFStock'!CF19,CE15+'Grid_Incoming'!CF15-'Grid_Requirement'!CF15))</f>
        <v/>
      </c>
      <c r="CG15">
        <f>IF(COUNTIFS(T_StockCount[Part Name],$A15,T_StockCount[WeekIndex],84)&gt;0,SUMIFS(T_StockCount[CountedQty],T_StockCount[Part Name],$A15,T_StockCount[WeekIndex],84),IF((('T_SelfStock'!CG19&lt;&gt;""))*(('T_TTAFStock'!CG19&lt;&gt;""))&gt;0,'T_SelfStock'!CG19+'T_TTAFStock'!CG19,CF15+'Grid_Incoming'!CG15-'Grid_Requirement'!CG15))</f>
        <v/>
      </c>
      <c r="CH15">
        <f>IF(COUNTIFS(T_StockCount[Part Name],$A15,T_StockCount[WeekIndex],85)&gt;0,SUMIFS(T_StockCount[CountedQty],T_StockCount[Part Name],$A15,T_StockCount[WeekIndex],85),IF((('T_SelfStock'!CH19&lt;&gt;""))*(('T_TTAFStock'!CH19&lt;&gt;""))&gt;0,'T_SelfStock'!CH19+'T_TTAFStock'!CH19,CG15+'Grid_Incoming'!CH15-'Grid_Requirement'!CH15))</f>
        <v/>
      </c>
      <c r="CI15">
        <f>IF(COUNTIFS(T_StockCount[Part Name],$A15,T_StockCount[WeekIndex],86)&gt;0,SUMIFS(T_StockCount[CountedQty],T_StockCount[Part Name],$A15,T_StockCount[WeekIndex],86),IF((('T_SelfStock'!CI19&lt;&gt;""))*(('T_TTAFStock'!CI19&lt;&gt;""))&gt;0,'T_SelfStock'!CI19+'T_TTAFStock'!CI19,CH15+'Grid_Incoming'!CI15-'Grid_Requirement'!CI15))</f>
        <v/>
      </c>
      <c r="CJ15">
        <f>IF(COUNTIFS(T_StockCount[Part Name],$A15,T_StockCount[WeekIndex],87)&gt;0,SUMIFS(T_StockCount[CountedQty],T_StockCount[Part Name],$A15,T_StockCount[WeekIndex],87),IF((('T_SelfStock'!CJ19&lt;&gt;""))*(('T_TTAFStock'!CJ19&lt;&gt;""))&gt;0,'T_SelfStock'!CJ19+'T_TTAFStock'!CJ19,CI15+'Grid_Incoming'!CJ15-'Grid_Requirement'!CJ15))</f>
        <v/>
      </c>
      <c r="CK15">
        <f>IF(COUNTIFS(T_StockCount[Part Name],$A15,T_StockCount[WeekIndex],88)&gt;0,SUMIFS(T_StockCount[CountedQty],T_StockCount[Part Name],$A15,T_StockCount[WeekIndex],88),IF((('T_SelfStock'!CK19&lt;&gt;""))*(('T_TTAFStock'!CK19&lt;&gt;""))&gt;0,'T_SelfStock'!CK19+'T_TTAFStock'!CK19,CJ15+'Grid_Incoming'!CK15-'Grid_Requirement'!CK15))</f>
        <v/>
      </c>
      <c r="CL15">
        <f>IF(COUNTIFS(T_StockCount[Part Name],$A15,T_StockCount[WeekIndex],89)&gt;0,SUMIFS(T_StockCount[CountedQty],T_StockCount[Part Name],$A15,T_StockCount[WeekIndex],89),IF((('T_SelfStock'!CL19&lt;&gt;""))*(('T_TTAFStock'!CL19&lt;&gt;""))&gt;0,'T_SelfStock'!CL19+'T_TTAFStock'!CL19,CK15+'Grid_Incoming'!CL15-'Grid_Requirement'!CL15))</f>
        <v/>
      </c>
      <c r="CM15">
        <f>IF(COUNTIFS(T_StockCount[Part Name],$A15,T_StockCount[WeekIndex],90)&gt;0,SUMIFS(T_StockCount[CountedQty],T_StockCount[Part Name],$A15,T_StockCount[WeekIndex],90),IF((('T_SelfStock'!CM19&lt;&gt;""))*(('T_TTAFStock'!CM19&lt;&gt;""))&gt;0,'T_SelfStock'!CM19+'T_TTAFStock'!CM19,CL15+'Grid_Incoming'!CM15-'Grid_Requirement'!CM15))</f>
        <v/>
      </c>
      <c r="CN15">
        <f>IF(COUNTIFS(T_StockCount[Part Name],$A15,T_StockCount[WeekIndex],91)&gt;0,SUMIFS(T_StockCount[CountedQty],T_StockCount[Part Name],$A15,T_StockCount[WeekIndex],91),IF((('T_SelfStock'!CN19&lt;&gt;""))*(('T_TTAFStock'!CN19&lt;&gt;""))&gt;0,'T_SelfStock'!CN19+'T_TTAFStock'!CN19,CM15+'Grid_Incoming'!CN15-'Grid_Requirement'!CN15))</f>
        <v/>
      </c>
      <c r="CO15">
        <f>IF(COUNTIFS(T_StockCount[Part Name],$A15,T_StockCount[WeekIndex],92)&gt;0,SUMIFS(T_StockCount[CountedQty],T_StockCount[Part Name],$A15,T_StockCount[WeekIndex],92),IF((('T_SelfStock'!CO19&lt;&gt;""))*(('T_TTAFStock'!CO19&lt;&gt;""))&gt;0,'T_SelfStock'!CO19+'T_TTAFStock'!CO19,CN15+'Grid_Incoming'!CO15-'Grid_Requirement'!CO15))</f>
        <v/>
      </c>
      <c r="CP15">
        <f>IF(COUNTIFS(T_StockCount[Part Name],$A15,T_StockCount[WeekIndex],93)&gt;0,SUMIFS(T_StockCount[CountedQty],T_StockCount[Part Name],$A15,T_StockCount[WeekIndex],93),IF((('T_SelfStock'!CP19&lt;&gt;""))*(('T_TTAFStock'!CP19&lt;&gt;""))&gt;0,'T_SelfStock'!CP19+'T_TTAFStock'!CP19,CO15+'Grid_Incoming'!CP15-'Grid_Requirement'!CP15))</f>
        <v/>
      </c>
      <c r="CQ15">
        <f>IF(COUNTIFS(T_StockCount[Part Name],$A15,T_StockCount[WeekIndex],94)&gt;0,SUMIFS(T_StockCount[CountedQty],T_StockCount[Part Name],$A15,T_StockCount[WeekIndex],94),IF((('T_SelfStock'!CQ19&lt;&gt;""))*(('T_TTAFStock'!CQ19&lt;&gt;""))&gt;0,'T_SelfStock'!CQ19+'T_TTAFStock'!CQ19,CP15+'Grid_Incoming'!CQ15-'Grid_Requirement'!CQ15))</f>
        <v/>
      </c>
      <c r="CR15">
        <f>IF(COUNTIFS(T_StockCount[Part Name],$A15,T_StockCount[WeekIndex],95)&gt;0,SUMIFS(T_StockCount[CountedQty],T_StockCount[Part Name],$A15,T_StockCount[WeekIndex],95),IF((('T_SelfStock'!CR19&lt;&gt;""))*(('T_TTAFStock'!CR19&lt;&gt;""))&gt;0,'T_SelfStock'!CR19+'T_TTAFStock'!CR19,CQ15+'Grid_Incoming'!CR15-'Grid_Requirement'!CR15))</f>
        <v/>
      </c>
      <c r="CS15">
        <f>IF(COUNTIFS(T_StockCount[Part Name],$A15,T_StockCount[WeekIndex],96)&gt;0,SUMIFS(T_StockCount[CountedQty],T_StockCount[Part Name],$A15,T_StockCount[WeekIndex],96),IF((('T_SelfStock'!CS19&lt;&gt;""))*(('T_TTAFStock'!CS19&lt;&gt;""))&gt;0,'T_SelfStock'!CS19+'T_TTAFStock'!CS19,CR15+'Grid_Incoming'!CS15-'Grid_Requirement'!CS15))</f>
        <v/>
      </c>
      <c r="CT15">
        <f>IF(COUNTIFS(T_StockCount[Part Name],$A15,T_StockCount[WeekIndex],97)&gt;0,SUMIFS(T_StockCount[CountedQty],T_StockCount[Part Name],$A15,T_StockCount[WeekIndex],97),IF((('T_SelfStock'!CT19&lt;&gt;""))*(('T_TTAFStock'!CT19&lt;&gt;""))&gt;0,'T_SelfStock'!CT19+'T_TTAFStock'!CT19,CS15+'Grid_Incoming'!CT15-'Grid_Requirement'!CT15))</f>
        <v/>
      </c>
      <c r="CU15">
        <f>IF(COUNTIFS(T_StockCount[Part Name],$A15,T_StockCount[WeekIndex],98)&gt;0,SUMIFS(T_StockCount[CountedQty],T_StockCount[Part Name],$A15,T_StockCount[WeekIndex],98),IF((('T_SelfStock'!CU19&lt;&gt;""))*(('T_TTAFStock'!CU19&lt;&gt;""))&gt;0,'T_SelfStock'!CU19+'T_TTAFStock'!CU19,CT15+'Grid_Incoming'!CU15-'Grid_Requirement'!CU15))</f>
        <v/>
      </c>
      <c r="CV15">
        <f>IF(COUNTIFS(T_StockCount[Part Name],$A15,T_StockCount[WeekIndex],99)&gt;0,SUMIFS(T_StockCount[CountedQty],T_StockCount[Part Name],$A15,T_StockCount[WeekIndex],99),IF((('T_SelfStock'!CV19&lt;&gt;""))*(('T_TTAFStock'!CV19&lt;&gt;""))&gt;0,'T_SelfStock'!CV19+'T_TTAFStock'!CV19,CU15+'Grid_Incoming'!CV15-'Grid_Requirement'!CV15))</f>
        <v/>
      </c>
      <c r="CW15">
        <f>IF(COUNTIFS(T_StockCount[Part Name],$A15,T_StockCount[WeekIndex],100)&gt;0,SUMIFS(T_StockCount[CountedQty],T_StockCount[Part Name],$A15,T_StockCount[WeekIndex],100),IF((('T_SelfStock'!CW19&lt;&gt;""))*(('T_TTAFStock'!CW19&lt;&gt;""))&gt;0,'T_SelfStock'!CW19+'T_TTAFStock'!CW19,CV15+'Grid_Incoming'!CW15-'Grid_Requirement'!CW15))</f>
        <v/>
      </c>
      <c r="CX15">
        <f>IF(COUNTIFS(T_StockCount[Part Name],$A15,T_StockCount[WeekIndex],101)&gt;0,SUMIFS(T_StockCount[CountedQty],T_StockCount[Part Name],$A15,T_StockCount[WeekIndex],101),IF((('T_SelfStock'!CX19&lt;&gt;""))*(('T_TTAFStock'!CX19&lt;&gt;""))&gt;0,'T_SelfStock'!CX19+'T_TTAFStock'!CX19,CW15+'Grid_Incoming'!CX15-'Grid_Requirement'!CX15))</f>
        <v/>
      </c>
      <c r="CY15">
        <f>IF(COUNTIFS(T_StockCount[Part Name],$A15,T_StockCount[WeekIndex],102)&gt;0,SUMIFS(T_StockCount[CountedQty],T_StockCount[Part Name],$A15,T_StockCount[WeekIndex],102),IF((('T_SelfStock'!CY19&lt;&gt;""))*(('T_TTAFStock'!CY19&lt;&gt;""))&gt;0,'T_SelfStock'!CY19+'T_TTAFStock'!CY19,CX15+'Grid_Incoming'!CY15-'Grid_Requirement'!CY15))</f>
        <v/>
      </c>
      <c r="CZ15">
        <f>IF(COUNTIFS(T_StockCount[Part Name],$A15,T_StockCount[WeekIndex],103)&gt;0,SUMIFS(T_StockCount[CountedQty],T_StockCount[Part Name],$A15,T_StockCount[WeekIndex],103),IF((('T_SelfStock'!CZ19&lt;&gt;""))*(('T_TTAFStock'!CZ19&lt;&gt;""))&gt;0,'T_SelfStock'!CZ19+'T_TTAFStock'!CZ19,CY15+'Grid_Incoming'!CZ15-'Grid_Requirement'!CZ15))</f>
        <v/>
      </c>
      <c r="DA15">
        <f>IF(COUNTIFS(T_StockCount[Part Name],$A15,T_StockCount[WeekIndex],104)&gt;0,SUMIFS(T_StockCount[CountedQty],T_StockCount[Part Name],$A15,T_StockCount[WeekIndex],104),IF((('T_SelfStock'!DA19&lt;&gt;""))*(('T_TTAFStock'!DA19&lt;&gt;""))&gt;0,'T_SelfStock'!DA19+'T_TTAFStock'!DA19,CZ15+'Grid_Incoming'!DA15-'Grid_Requirement'!DA15))</f>
        <v/>
      </c>
    </row>
    <row r="16">
      <c r="A16" t="inlineStr">
        <is>
          <t>8EN</t>
        </is>
      </c>
      <c r="B16">
        <f>IF(COUNTIFS(T_StockCount[Part Name],$A16,T_StockCount[WeekIndex],1)&gt;0,SUMIFS(T_StockCount[CountedQty],T_StockCount[Part Name],$A16,T_StockCount[WeekIndex],1),IF((('T_SelfStock'!B20&lt;&gt;""))*(('T_TTAFStock'!B20&lt;&gt;""))&gt;0,'T_SelfStock'!B20+'T_TTAFStock'!B20,IFERROR(INDEX(T_OpeningStock[Opening_Qty_要入力],MATCH($A16,T_OpeningStock[Part Name],0)),0)+'Grid_Incoming'!B16-'Grid_Requirement'!B16))</f>
        <v/>
      </c>
      <c r="C16">
        <f>IF(COUNTIFS(T_StockCount[Part Name],$A16,T_StockCount[WeekIndex],2)&gt;0,SUMIFS(T_StockCount[CountedQty],T_StockCount[Part Name],$A16,T_StockCount[WeekIndex],2),IF((('T_SelfStock'!C20&lt;&gt;""))*(('T_TTAFStock'!C20&lt;&gt;""))&gt;0,'T_SelfStock'!C20+'T_TTAFStock'!C20,B16+'Grid_Incoming'!C16-'Grid_Requirement'!C16))</f>
        <v/>
      </c>
      <c r="D16">
        <f>IF(COUNTIFS(T_StockCount[Part Name],$A16,T_StockCount[WeekIndex],3)&gt;0,SUMIFS(T_StockCount[CountedQty],T_StockCount[Part Name],$A16,T_StockCount[WeekIndex],3),IF((('T_SelfStock'!D20&lt;&gt;""))*(('T_TTAFStock'!D20&lt;&gt;""))&gt;0,'T_SelfStock'!D20+'T_TTAFStock'!D20,C16+'Grid_Incoming'!D16-'Grid_Requirement'!D16))</f>
        <v/>
      </c>
      <c r="E16">
        <f>IF(COUNTIFS(T_StockCount[Part Name],$A16,T_StockCount[WeekIndex],4)&gt;0,SUMIFS(T_StockCount[CountedQty],T_StockCount[Part Name],$A16,T_StockCount[WeekIndex],4),IF((('T_SelfStock'!E20&lt;&gt;""))*(('T_TTAFStock'!E20&lt;&gt;""))&gt;0,'T_SelfStock'!E20+'T_TTAFStock'!E20,D16+'Grid_Incoming'!E16-'Grid_Requirement'!E16))</f>
        <v/>
      </c>
      <c r="F16">
        <f>IF(COUNTIFS(T_StockCount[Part Name],$A16,T_StockCount[WeekIndex],5)&gt;0,SUMIFS(T_StockCount[CountedQty],T_StockCount[Part Name],$A16,T_StockCount[WeekIndex],5),IF((('T_SelfStock'!F20&lt;&gt;""))*(('T_TTAFStock'!F20&lt;&gt;""))&gt;0,'T_SelfStock'!F20+'T_TTAFStock'!F20,E16+'Grid_Incoming'!F16-'Grid_Requirement'!F16))</f>
        <v/>
      </c>
      <c r="G16">
        <f>IF(COUNTIFS(T_StockCount[Part Name],$A16,T_StockCount[WeekIndex],6)&gt;0,SUMIFS(T_StockCount[CountedQty],T_StockCount[Part Name],$A16,T_StockCount[WeekIndex],6),IF((('T_SelfStock'!G20&lt;&gt;""))*(('T_TTAFStock'!G20&lt;&gt;""))&gt;0,'T_SelfStock'!G20+'T_TTAFStock'!G20,F16+'Grid_Incoming'!G16-'Grid_Requirement'!G16))</f>
        <v/>
      </c>
      <c r="H16">
        <f>IF(COUNTIFS(T_StockCount[Part Name],$A16,T_StockCount[WeekIndex],7)&gt;0,SUMIFS(T_StockCount[CountedQty],T_StockCount[Part Name],$A16,T_StockCount[WeekIndex],7),IF((('T_SelfStock'!H20&lt;&gt;""))*(('T_TTAFStock'!H20&lt;&gt;""))&gt;0,'T_SelfStock'!H20+'T_TTAFStock'!H20,G16+'Grid_Incoming'!H16-'Grid_Requirement'!H16))</f>
        <v/>
      </c>
      <c r="I16">
        <f>IF(COUNTIFS(T_StockCount[Part Name],$A16,T_StockCount[WeekIndex],8)&gt;0,SUMIFS(T_StockCount[CountedQty],T_StockCount[Part Name],$A16,T_StockCount[WeekIndex],8),IF((('T_SelfStock'!I20&lt;&gt;""))*(('T_TTAFStock'!I20&lt;&gt;""))&gt;0,'T_SelfStock'!I20+'T_TTAFStock'!I20,H16+'Grid_Incoming'!I16-'Grid_Requirement'!I16))</f>
        <v/>
      </c>
      <c r="J16">
        <f>IF(COUNTIFS(T_StockCount[Part Name],$A16,T_StockCount[WeekIndex],9)&gt;0,SUMIFS(T_StockCount[CountedQty],T_StockCount[Part Name],$A16,T_StockCount[WeekIndex],9),IF((('T_SelfStock'!J20&lt;&gt;""))*(('T_TTAFStock'!J20&lt;&gt;""))&gt;0,'T_SelfStock'!J20+'T_TTAFStock'!J20,I16+'Grid_Incoming'!J16-'Grid_Requirement'!J16))</f>
        <v/>
      </c>
      <c r="K16">
        <f>IF(COUNTIFS(T_StockCount[Part Name],$A16,T_StockCount[WeekIndex],10)&gt;0,SUMIFS(T_StockCount[CountedQty],T_StockCount[Part Name],$A16,T_StockCount[WeekIndex],10),IF((('T_SelfStock'!K20&lt;&gt;""))*(('T_TTAFStock'!K20&lt;&gt;""))&gt;0,'T_SelfStock'!K20+'T_TTAFStock'!K20,J16+'Grid_Incoming'!K16-'Grid_Requirement'!K16))</f>
        <v/>
      </c>
      <c r="L16">
        <f>IF(COUNTIFS(T_StockCount[Part Name],$A16,T_StockCount[WeekIndex],11)&gt;0,SUMIFS(T_StockCount[CountedQty],T_StockCount[Part Name],$A16,T_StockCount[WeekIndex],11),IF((('T_SelfStock'!L20&lt;&gt;""))*(('T_TTAFStock'!L20&lt;&gt;""))&gt;0,'T_SelfStock'!L20+'T_TTAFStock'!L20,K16+'Grid_Incoming'!L16-'Grid_Requirement'!L16))</f>
        <v/>
      </c>
      <c r="M16">
        <f>IF(COUNTIFS(T_StockCount[Part Name],$A16,T_StockCount[WeekIndex],12)&gt;0,SUMIFS(T_StockCount[CountedQty],T_StockCount[Part Name],$A16,T_StockCount[WeekIndex],12),IF((('T_SelfStock'!M20&lt;&gt;""))*(('T_TTAFStock'!M20&lt;&gt;""))&gt;0,'T_SelfStock'!M20+'T_TTAFStock'!M20,L16+'Grid_Incoming'!M16-'Grid_Requirement'!M16))</f>
        <v/>
      </c>
      <c r="N16">
        <f>IF(COUNTIFS(T_StockCount[Part Name],$A16,T_StockCount[WeekIndex],13)&gt;0,SUMIFS(T_StockCount[CountedQty],T_StockCount[Part Name],$A16,T_StockCount[WeekIndex],13),IF((('T_SelfStock'!N20&lt;&gt;""))*(('T_TTAFStock'!N20&lt;&gt;""))&gt;0,'T_SelfStock'!N20+'T_TTAFStock'!N20,M16+'Grid_Incoming'!N16-'Grid_Requirement'!N16))</f>
        <v/>
      </c>
      <c r="O16">
        <f>IF(COUNTIFS(T_StockCount[Part Name],$A16,T_StockCount[WeekIndex],14)&gt;0,SUMIFS(T_StockCount[CountedQty],T_StockCount[Part Name],$A16,T_StockCount[WeekIndex],14),IF((('T_SelfStock'!O20&lt;&gt;""))*(('T_TTAFStock'!O20&lt;&gt;""))&gt;0,'T_SelfStock'!O20+'T_TTAFStock'!O20,N16+'Grid_Incoming'!O16-'Grid_Requirement'!O16))</f>
        <v/>
      </c>
      <c r="P16">
        <f>IF(COUNTIFS(T_StockCount[Part Name],$A16,T_StockCount[WeekIndex],15)&gt;0,SUMIFS(T_StockCount[CountedQty],T_StockCount[Part Name],$A16,T_StockCount[WeekIndex],15),IF((('T_SelfStock'!P20&lt;&gt;""))*(('T_TTAFStock'!P20&lt;&gt;""))&gt;0,'T_SelfStock'!P20+'T_TTAFStock'!P20,O16+'Grid_Incoming'!P16-'Grid_Requirement'!P16))</f>
        <v/>
      </c>
      <c r="Q16">
        <f>IF(COUNTIFS(T_StockCount[Part Name],$A16,T_StockCount[WeekIndex],16)&gt;0,SUMIFS(T_StockCount[CountedQty],T_StockCount[Part Name],$A16,T_StockCount[WeekIndex],16),IF((('T_SelfStock'!Q20&lt;&gt;""))*(('T_TTAFStock'!Q20&lt;&gt;""))&gt;0,'T_SelfStock'!Q20+'T_TTAFStock'!Q20,P16+'Grid_Incoming'!Q16-'Grid_Requirement'!Q16))</f>
        <v/>
      </c>
      <c r="R16">
        <f>IF(COUNTIFS(T_StockCount[Part Name],$A16,T_StockCount[WeekIndex],17)&gt;0,SUMIFS(T_StockCount[CountedQty],T_StockCount[Part Name],$A16,T_StockCount[WeekIndex],17),IF((('T_SelfStock'!R20&lt;&gt;""))*(('T_TTAFStock'!R20&lt;&gt;""))&gt;0,'T_SelfStock'!R20+'T_TTAFStock'!R20,Q16+'Grid_Incoming'!R16-'Grid_Requirement'!R16))</f>
        <v/>
      </c>
      <c r="S16">
        <f>IF(COUNTIFS(T_StockCount[Part Name],$A16,T_StockCount[WeekIndex],18)&gt;0,SUMIFS(T_StockCount[CountedQty],T_StockCount[Part Name],$A16,T_StockCount[WeekIndex],18),IF((('T_SelfStock'!S20&lt;&gt;""))*(('T_TTAFStock'!S20&lt;&gt;""))&gt;0,'T_SelfStock'!S20+'T_TTAFStock'!S20,R16+'Grid_Incoming'!S16-'Grid_Requirement'!S16))</f>
        <v/>
      </c>
      <c r="T16">
        <f>IF(COUNTIFS(T_StockCount[Part Name],$A16,T_StockCount[WeekIndex],19)&gt;0,SUMIFS(T_StockCount[CountedQty],T_StockCount[Part Name],$A16,T_StockCount[WeekIndex],19),IF((('T_SelfStock'!T20&lt;&gt;""))*(('T_TTAFStock'!T20&lt;&gt;""))&gt;0,'T_SelfStock'!T20+'T_TTAFStock'!T20,S16+'Grid_Incoming'!T16-'Grid_Requirement'!T16))</f>
        <v/>
      </c>
      <c r="U16">
        <f>IF(COUNTIFS(T_StockCount[Part Name],$A16,T_StockCount[WeekIndex],20)&gt;0,SUMIFS(T_StockCount[CountedQty],T_StockCount[Part Name],$A16,T_StockCount[WeekIndex],20),IF((('T_SelfStock'!U20&lt;&gt;""))*(('T_TTAFStock'!U20&lt;&gt;""))&gt;0,'T_SelfStock'!U20+'T_TTAFStock'!U20,T16+'Grid_Incoming'!U16-'Grid_Requirement'!U16))</f>
        <v/>
      </c>
      <c r="V16">
        <f>IF(COUNTIFS(T_StockCount[Part Name],$A16,T_StockCount[WeekIndex],21)&gt;0,SUMIFS(T_StockCount[CountedQty],T_StockCount[Part Name],$A16,T_StockCount[WeekIndex],21),IF((('T_SelfStock'!V20&lt;&gt;""))*(('T_TTAFStock'!V20&lt;&gt;""))&gt;0,'T_SelfStock'!V20+'T_TTAFStock'!V20,U16+'Grid_Incoming'!V16-'Grid_Requirement'!V16))</f>
        <v/>
      </c>
      <c r="W16">
        <f>IF(COUNTIFS(T_StockCount[Part Name],$A16,T_StockCount[WeekIndex],22)&gt;0,SUMIFS(T_StockCount[CountedQty],T_StockCount[Part Name],$A16,T_StockCount[WeekIndex],22),IF((('T_SelfStock'!W20&lt;&gt;""))*(('T_TTAFStock'!W20&lt;&gt;""))&gt;0,'T_SelfStock'!W20+'T_TTAFStock'!W20,V16+'Grid_Incoming'!W16-'Grid_Requirement'!W16))</f>
        <v/>
      </c>
      <c r="X16">
        <f>IF(COUNTIFS(T_StockCount[Part Name],$A16,T_StockCount[WeekIndex],23)&gt;0,SUMIFS(T_StockCount[CountedQty],T_StockCount[Part Name],$A16,T_StockCount[WeekIndex],23),IF((('T_SelfStock'!X20&lt;&gt;""))*(('T_TTAFStock'!X20&lt;&gt;""))&gt;0,'T_SelfStock'!X20+'T_TTAFStock'!X20,W16+'Grid_Incoming'!X16-'Grid_Requirement'!X16))</f>
        <v/>
      </c>
      <c r="Y16">
        <f>IF(COUNTIFS(T_StockCount[Part Name],$A16,T_StockCount[WeekIndex],24)&gt;0,SUMIFS(T_StockCount[CountedQty],T_StockCount[Part Name],$A16,T_StockCount[WeekIndex],24),IF((('T_SelfStock'!Y20&lt;&gt;""))*(('T_TTAFStock'!Y20&lt;&gt;""))&gt;0,'T_SelfStock'!Y20+'T_TTAFStock'!Y20,X16+'Grid_Incoming'!Y16-'Grid_Requirement'!Y16))</f>
        <v/>
      </c>
      <c r="Z16">
        <f>IF(COUNTIFS(T_StockCount[Part Name],$A16,T_StockCount[WeekIndex],25)&gt;0,SUMIFS(T_StockCount[CountedQty],T_StockCount[Part Name],$A16,T_StockCount[WeekIndex],25),IF((('T_SelfStock'!Z20&lt;&gt;""))*(('T_TTAFStock'!Z20&lt;&gt;""))&gt;0,'T_SelfStock'!Z20+'T_TTAFStock'!Z20,Y16+'Grid_Incoming'!Z16-'Grid_Requirement'!Z16))</f>
        <v/>
      </c>
      <c r="AA16">
        <f>IF(COUNTIFS(T_StockCount[Part Name],$A16,T_StockCount[WeekIndex],26)&gt;0,SUMIFS(T_StockCount[CountedQty],T_StockCount[Part Name],$A16,T_StockCount[WeekIndex],26),IF((('T_SelfStock'!AA20&lt;&gt;""))*(('T_TTAFStock'!AA20&lt;&gt;""))&gt;0,'T_SelfStock'!AA20+'T_TTAFStock'!AA20,Z16+'Grid_Incoming'!AA16-'Grid_Requirement'!AA16))</f>
        <v/>
      </c>
      <c r="AB16">
        <f>IF(COUNTIFS(T_StockCount[Part Name],$A16,T_StockCount[WeekIndex],27)&gt;0,SUMIFS(T_StockCount[CountedQty],T_StockCount[Part Name],$A16,T_StockCount[WeekIndex],27),IF((('T_SelfStock'!AB20&lt;&gt;""))*(('T_TTAFStock'!AB20&lt;&gt;""))&gt;0,'T_SelfStock'!AB20+'T_TTAFStock'!AB20,AA16+'Grid_Incoming'!AB16-'Grid_Requirement'!AB16))</f>
        <v/>
      </c>
      <c r="AC16">
        <f>IF(COUNTIFS(T_StockCount[Part Name],$A16,T_StockCount[WeekIndex],28)&gt;0,SUMIFS(T_StockCount[CountedQty],T_StockCount[Part Name],$A16,T_StockCount[WeekIndex],28),IF((('T_SelfStock'!AC20&lt;&gt;""))*(('T_TTAFStock'!AC20&lt;&gt;""))&gt;0,'T_SelfStock'!AC20+'T_TTAFStock'!AC20,AB16+'Grid_Incoming'!AC16-'Grid_Requirement'!AC16))</f>
        <v/>
      </c>
      <c r="AD16">
        <f>IF(COUNTIFS(T_StockCount[Part Name],$A16,T_StockCount[WeekIndex],29)&gt;0,SUMIFS(T_StockCount[CountedQty],T_StockCount[Part Name],$A16,T_StockCount[WeekIndex],29),IF((('T_SelfStock'!AD20&lt;&gt;""))*(('T_TTAFStock'!AD20&lt;&gt;""))&gt;0,'T_SelfStock'!AD20+'T_TTAFStock'!AD20,AC16+'Grid_Incoming'!AD16-'Grid_Requirement'!AD16))</f>
        <v/>
      </c>
      <c r="AE16">
        <f>IF(COUNTIFS(T_StockCount[Part Name],$A16,T_StockCount[WeekIndex],30)&gt;0,SUMIFS(T_StockCount[CountedQty],T_StockCount[Part Name],$A16,T_StockCount[WeekIndex],30),IF((('T_SelfStock'!AE20&lt;&gt;""))*(('T_TTAFStock'!AE20&lt;&gt;""))&gt;0,'T_SelfStock'!AE20+'T_TTAFStock'!AE20,AD16+'Grid_Incoming'!AE16-'Grid_Requirement'!AE16))</f>
        <v/>
      </c>
      <c r="AF16">
        <f>IF(COUNTIFS(T_StockCount[Part Name],$A16,T_StockCount[WeekIndex],31)&gt;0,SUMIFS(T_StockCount[CountedQty],T_StockCount[Part Name],$A16,T_StockCount[WeekIndex],31),IF((('T_SelfStock'!AF20&lt;&gt;""))*(('T_TTAFStock'!AF20&lt;&gt;""))&gt;0,'T_SelfStock'!AF20+'T_TTAFStock'!AF20,AE16+'Grid_Incoming'!AF16-'Grid_Requirement'!AF16))</f>
        <v/>
      </c>
      <c r="AG16">
        <f>IF(COUNTIFS(T_StockCount[Part Name],$A16,T_StockCount[WeekIndex],32)&gt;0,SUMIFS(T_StockCount[CountedQty],T_StockCount[Part Name],$A16,T_StockCount[WeekIndex],32),IF((('T_SelfStock'!AG20&lt;&gt;""))*(('T_TTAFStock'!AG20&lt;&gt;""))&gt;0,'T_SelfStock'!AG20+'T_TTAFStock'!AG20,AF16+'Grid_Incoming'!AG16-'Grid_Requirement'!AG16))</f>
        <v/>
      </c>
      <c r="AH16">
        <f>IF(COUNTIFS(T_StockCount[Part Name],$A16,T_StockCount[WeekIndex],33)&gt;0,SUMIFS(T_StockCount[CountedQty],T_StockCount[Part Name],$A16,T_StockCount[WeekIndex],33),IF((('T_SelfStock'!AH20&lt;&gt;""))*(('T_TTAFStock'!AH20&lt;&gt;""))&gt;0,'T_SelfStock'!AH20+'T_TTAFStock'!AH20,AG16+'Grid_Incoming'!AH16-'Grid_Requirement'!AH16))</f>
        <v/>
      </c>
      <c r="AI16">
        <f>IF(COUNTIFS(T_StockCount[Part Name],$A16,T_StockCount[WeekIndex],34)&gt;0,SUMIFS(T_StockCount[CountedQty],T_StockCount[Part Name],$A16,T_StockCount[WeekIndex],34),IF((('T_SelfStock'!AI20&lt;&gt;""))*(('T_TTAFStock'!AI20&lt;&gt;""))&gt;0,'T_SelfStock'!AI20+'T_TTAFStock'!AI20,AH16+'Grid_Incoming'!AI16-'Grid_Requirement'!AI16))</f>
        <v/>
      </c>
      <c r="AJ16">
        <f>IF(COUNTIFS(T_StockCount[Part Name],$A16,T_StockCount[WeekIndex],35)&gt;0,SUMIFS(T_StockCount[CountedQty],T_StockCount[Part Name],$A16,T_StockCount[WeekIndex],35),IF((('T_SelfStock'!AJ20&lt;&gt;""))*(('T_TTAFStock'!AJ20&lt;&gt;""))&gt;0,'T_SelfStock'!AJ20+'T_TTAFStock'!AJ20,AI16+'Grid_Incoming'!AJ16-'Grid_Requirement'!AJ16))</f>
        <v/>
      </c>
      <c r="AK16">
        <f>IF(COUNTIFS(T_StockCount[Part Name],$A16,T_StockCount[WeekIndex],36)&gt;0,SUMIFS(T_StockCount[CountedQty],T_StockCount[Part Name],$A16,T_StockCount[WeekIndex],36),IF((('T_SelfStock'!AK20&lt;&gt;""))*(('T_TTAFStock'!AK20&lt;&gt;""))&gt;0,'T_SelfStock'!AK20+'T_TTAFStock'!AK20,AJ16+'Grid_Incoming'!AK16-'Grid_Requirement'!AK16))</f>
        <v/>
      </c>
      <c r="AL16">
        <f>IF(COUNTIFS(T_StockCount[Part Name],$A16,T_StockCount[WeekIndex],37)&gt;0,SUMIFS(T_StockCount[CountedQty],T_StockCount[Part Name],$A16,T_StockCount[WeekIndex],37),IF((('T_SelfStock'!AL20&lt;&gt;""))*(('T_TTAFStock'!AL20&lt;&gt;""))&gt;0,'T_SelfStock'!AL20+'T_TTAFStock'!AL20,AK16+'Grid_Incoming'!AL16-'Grid_Requirement'!AL16))</f>
        <v/>
      </c>
      <c r="AM16">
        <f>IF(COUNTIFS(T_StockCount[Part Name],$A16,T_StockCount[WeekIndex],38)&gt;0,SUMIFS(T_StockCount[CountedQty],T_StockCount[Part Name],$A16,T_StockCount[WeekIndex],38),IF((('T_SelfStock'!AM20&lt;&gt;""))*(('T_TTAFStock'!AM20&lt;&gt;""))&gt;0,'T_SelfStock'!AM20+'T_TTAFStock'!AM20,AL16+'Grid_Incoming'!AM16-'Grid_Requirement'!AM16))</f>
        <v/>
      </c>
      <c r="AN16">
        <f>IF(COUNTIFS(T_StockCount[Part Name],$A16,T_StockCount[WeekIndex],39)&gt;0,SUMIFS(T_StockCount[CountedQty],T_StockCount[Part Name],$A16,T_StockCount[WeekIndex],39),IF((('T_SelfStock'!AN20&lt;&gt;""))*(('T_TTAFStock'!AN20&lt;&gt;""))&gt;0,'T_SelfStock'!AN20+'T_TTAFStock'!AN20,AM16+'Grid_Incoming'!AN16-'Grid_Requirement'!AN16))</f>
        <v/>
      </c>
      <c r="AO16">
        <f>IF(COUNTIFS(T_StockCount[Part Name],$A16,T_StockCount[WeekIndex],40)&gt;0,SUMIFS(T_StockCount[CountedQty],T_StockCount[Part Name],$A16,T_StockCount[WeekIndex],40),IF((('T_SelfStock'!AO20&lt;&gt;""))*(('T_TTAFStock'!AO20&lt;&gt;""))&gt;0,'T_SelfStock'!AO20+'T_TTAFStock'!AO20,AN16+'Grid_Incoming'!AO16-'Grid_Requirement'!AO16))</f>
        <v/>
      </c>
      <c r="AP16">
        <f>IF(COUNTIFS(T_StockCount[Part Name],$A16,T_StockCount[WeekIndex],41)&gt;0,SUMIFS(T_StockCount[CountedQty],T_StockCount[Part Name],$A16,T_StockCount[WeekIndex],41),IF((('T_SelfStock'!AP20&lt;&gt;""))*(('T_TTAFStock'!AP20&lt;&gt;""))&gt;0,'T_SelfStock'!AP20+'T_TTAFStock'!AP20,AO16+'Grid_Incoming'!AP16-'Grid_Requirement'!AP16))</f>
        <v/>
      </c>
      <c r="AQ16">
        <f>IF(COUNTIFS(T_StockCount[Part Name],$A16,T_StockCount[WeekIndex],42)&gt;0,SUMIFS(T_StockCount[CountedQty],T_StockCount[Part Name],$A16,T_StockCount[WeekIndex],42),IF((('T_SelfStock'!AQ20&lt;&gt;""))*(('T_TTAFStock'!AQ20&lt;&gt;""))&gt;0,'T_SelfStock'!AQ20+'T_TTAFStock'!AQ20,AP16+'Grid_Incoming'!AQ16-'Grid_Requirement'!AQ16))</f>
        <v/>
      </c>
      <c r="AR16">
        <f>IF(COUNTIFS(T_StockCount[Part Name],$A16,T_StockCount[WeekIndex],43)&gt;0,SUMIFS(T_StockCount[CountedQty],T_StockCount[Part Name],$A16,T_StockCount[WeekIndex],43),IF((('T_SelfStock'!AR20&lt;&gt;""))*(('T_TTAFStock'!AR20&lt;&gt;""))&gt;0,'T_SelfStock'!AR20+'T_TTAFStock'!AR20,AQ16+'Grid_Incoming'!AR16-'Grid_Requirement'!AR16))</f>
        <v/>
      </c>
      <c r="AS16">
        <f>IF(COUNTIFS(T_StockCount[Part Name],$A16,T_StockCount[WeekIndex],44)&gt;0,SUMIFS(T_StockCount[CountedQty],T_StockCount[Part Name],$A16,T_StockCount[WeekIndex],44),IF((('T_SelfStock'!AS20&lt;&gt;""))*(('T_TTAFStock'!AS20&lt;&gt;""))&gt;0,'T_SelfStock'!AS20+'T_TTAFStock'!AS20,AR16+'Grid_Incoming'!AS16-'Grid_Requirement'!AS16))</f>
        <v/>
      </c>
      <c r="AT16">
        <f>IF(COUNTIFS(T_StockCount[Part Name],$A16,T_StockCount[WeekIndex],45)&gt;0,SUMIFS(T_StockCount[CountedQty],T_StockCount[Part Name],$A16,T_StockCount[WeekIndex],45),IF((('T_SelfStock'!AT20&lt;&gt;""))*(('T_TTAFStock'!AT20&lt;&gt;""))&gt;0,'T_SelfStock'!AT20+'T_TTAFStock'!AT20,AS16+'Grid_Incoming'!AT16-'Grid_Requirement'!AT16))</f>
        <v/>
      </c>
      <c r="AU16">
        <f>IF(COUNTIFS(T_StockCount[Part Name],$A16,T_StockCount[WeekIndex],46)&gt;0,SUMIFS(T_StockCount[CountedQty],T_StockCount[Part Name],$A16,T_StockCount[WeekIndex],46),IF((('T_SelfStock'!AU20&lt;&gt;""))*(('T_TTAFStock'!AU20&lt;&gt;""))&gt;0,'T_SelfStock'!AU20+'T_TTAFStock'!AU20,AT16+'Grid_Incoming'!AU16-'Grid_Requirement'!AU16))</f>
        <v/>
      </c>
      <c r="AV16">
        <f>IF(COUNTIFS(T_StockCount[Part Name],$A16,T_StockCount[WeekIndex],47)&gt;0,SUMIFS(T_StockCount[CountedQty],T_StockCount[Part Name],$A16,T_StockCount[WeekIndex],47),IF((('T_SelfStock'!AV20&lt;&gt;""))*(('T_TTAFStock'!AV20&lt;&gt;""))&gt;0,'T_SelfStock'!AV20+'T_TTAFStock'!AV20,AU16+'Grid_Incoming'!AV16-'Grid_Requirement'!AV16))</f>
        <v/>
      </c>
      <c r="AW16">
        <f>IF(COUNTIFS(T_StockCount[Part Name],$A16,T_StockCount[WeekIndex],48)&gt;0,SUMIFS(T_StockCount[CountedQty],T_StockCount[Part Name],$A16,T_StockCount[WeekIndex],48),IF((('T_SelfStock'!AW20&lt;&gt;""))*(('T_TTAFStock'!AW20&lt;&gt;""))&gt;0,'T_SelfStock'!AW20+'T_TTAFStock'!AW20,AV16+'Grid_Incoming'!AW16-'Grid_Requirement'!AW16))</f>
        <v/>
      </c>
      <c r="AX16">
        <f>IF(COUNTIFS(T_StockCount[Part Name],$A16,T_StockCount[WeekIndex],49)&gt;0,SUMIFS(T_StockCount[CountedQty],T_StockCount[Part Name],$A16,T_StockCount[WeekIndex],49),IF((('T_SelfStock'!AX20&lt;&gt;""))*(('T_TTAFStock'!AX20&lt;&gt;""))&gt;0,'T_SelfStock'!AX20+'T_TTAFStock'!AX20,AW16+'Grid_Incoming'!AX16-'Grid_Requirement'!AX16))</f>
        <v/>
      </c>
      <c r="AY16">
        <f>IF(COUNTIFS(T_StockCount[Part Name],$A16,T_StockCount[WeekIndex],50)&gt;0,SUMIFS(T_StockCount[CountedQty],T_StockCount[Part Name],$A16,T_StockCount[WeekIndex],50),IF((('T_SelfStock'!AY20&lt;&gt;""))*(('T_TTAFStock'!AY20&lt;&gt;""))&gt;0,'T_SelfStock'!AY20+'T_TTAFStock'!AY20,AX16+'Grid_Incoming'!AY16-'Grid_Requirement'!AY16))</f>
        <v/>
      </c>
      <c r="AZ16">
        <f>IF(COUNTIFS(T_StockCount[Part Name],$A16,T_StockCount[WeekIndex],51)&gt;0,SUMIFS(T_StockCount[CountedQty],T_StockCount[Part Name],$A16,T_StockCount[WeekIndex],51),IF((('T_SelfStock'!AZ20&lt;&gt;""))*(('T_TTAFStock'!AZ20&lt;&gt;""))&gt;0,'T_SelfStock'!AZ20+'T_TTAFStock'!AZ20,AY16+'Grid_Incoming'!AZ16-'Grid_Requirement'!AZ16))</f>
        <v/>
      </c>
      <c r="BA16">
        <f>IF(COUNTIFS(T_StockCount[Part Name],$A16,T_StockCount[WeekIndex],52)&gt;0,SUMIFS(T_StockCount[CountedQty],T_StockCount[Part Name],$A16,T_StockCount[WeekIndex],52),IF((('T_SelfStock'!BA20&lt;&gt;""))*(('T_TTAFStock'!BA20&lt;&gt;""))&gt;0,'T_SelfStock'!BA20+'T_TTAFStock'!BA20,AZ16+'Grid_Incoming'!BA16-'Grid_Requirement'!BA16))</f>
        <v/>
      </c>
      <c r="BB16">
        <f>IF(COUNTIFS(T_StockCount[Part Name],$A16,T_StockCount[WeekIndex],53)&gt;0,SUMIFS(T_StockCount[CountedQty],T_StockCount[Part Name],$A16,T_StockCount[WeekIndex],53),IF((('T_SelfStock'!BB20&lt;&gt;""))*(('T_TTAFStock'!BB20&lt;&gt;""))&gt;0,'T_SelfStock'!BB20+'T_TTAFStock'!BB20,BA16+'Grid_Incoming'!BB16-'Grid_Requirement'!BB16))</f>
        <v/>
      </c>
      <c r="BC16">
        <f>IF(COUNTIFS(T_StockCount[Part Name],$A16,T_StockCount[WeekIndex],54)&gt;0,SUMIFS(T_StockCount[CountedQty],T_StockCount[Part Name],$A16,T_StockCount[WeekIndex],54),IF((('T_SelfStock'!BC20&lt;&gt;""))*(('T_TTAFStock'!BC20&lt;&gt;""))&gt;0,'T_SelfStock'!BC20+'T_TTAFStock'!BC20,BB16+'Grid_Incoming'!BC16-'Grid_Requirement'!BC16))</f>
        <v/>
      </c>
      <c r="BD16">
        <f>IF(COUNTIFS(T_StockCount[Part Name],$A16,T_StockCount[WeekIndex],55)&gt;0,SUMIFS(T_StockCount[CountedQty],T_StockCount[Part Name],$A16,T_StockCount[WeekIndex],55),IF((('T_SelfStock'!BD20&lt;&gt;""))*(('T_TTAFStock'!BD20&lt;&gt;""))&gt;0,'T_SelfStock'!BD20+'T_TTAFStock'!BD20,BC16+'Grid_Incoming'!BD16-'Grid_Requirement'!BD16))</f>
        <v/>
      </c>
      <c r="BE16">
        <f>IF(COUNTIFS(T_StockCount[Part Name],$A16,T_StockCount[WeekIndex],56)&gt;0,SUMIFS(T_StockCount[CountedQty],T_StockCount[Part Name],$A16,T_StockCount[WeekIndex],56),IF((('T_SelfStock'!BE20&lt;&gt;""))*(('T_TTAFStock'!BE20&lt;&gt;""))&gt;0,'T_SelfStock'!BE20+'T_TTAFStock'!BE20,BD16+'Grid_Incoming'!BE16-'Grid_Requirement'!BE16))</f>
        <v/>
      </c>
      <c r="BF16">
        <f>IF(COUNTIFS(T_StockCount[Part Name],$A16,T_StockCount[WeekIndex],57)&gt;0,SUMIFS(T_StockCount[CountedQty],T_StockCount[Part Name],$A16,T_StockCount[WeekIndex],57),IF((('T_SelfStock'!BF20&lt;&gt;""))*(('T_TTAFStock'!BF20&lt;&gt;""))&gt;0,'T_SelfStock'!BF20+'T_TTAFStock'!BF20,BE16+'Grid_Incoming'!BF16-'Grid_Requirement'!BF16))</f>
        <v/>
      </c>
      <c r="BG16">
        <f>IF(COUNTIFS(T_StockCount[Part Name],$A16,T_StockCount[WeekIndex],58)&gt;0,SUMIFS(T_StockCount[CountedQty],T_StockCount[Part Name],$A16,T_StockCount[WeekIndex],58),IF((('T_SelfStock'!BG20&lt;&gt;""))*(('T_TTAFStock'!BG20&lt;&gt;""))&gt;0,'T_SelfStock'!BG20+'T_TTAFStock'!BG20,BF16+'Grid_Incoming'!BG16-'Grid_Requirement'!BG16))</f>
        <v/>
      </c>
      <c r="BH16">
        <f>IF(COUNTIFS(T_StockCount[Part Name],$A16,T_StockCount[WeekIndex],59)&gt;0,SUMIFS(T_StockCount[CountedQty],T_StockCount[Part Name],$A16,T_StockCount[WeekIndex],59),IF((('T_SelfStock'!BH20&lt;&gt;""))*(('T_TTAFStock'!BH20&lt;&gt;""))&gt;0,'T_SelfStock'!BH20+'T_TTAFStock'!BH20,BG16+'Grid_Incoming'!BH16-'Grid_Requirement'!BH16))</f>
        <v/>
      </c>
      <c r="BI16">
        <f>IF(COUNTIFS(T_StockCount[Part Name],$A16,T_StockCount[WeekIndex],60)&gt;0,SUMIFS(T_StockCount[CountedQty],T_StockCount[Part Name],$A16,T_StockCount[WeekIndex],60),IF((('T_SelfStock'!BI20&lt;&gt;""))*(('T_TTAFStock'!BI20&lt;&gt;""))&gt;0,'T_SelfStock'!BI20+'T_TTAFStock'!BI20,BH16+'Grid_Incoming'!BI16-'Grid_Requirement'!BI16))</f>
        <v/>
      </c>
      <c r="BJ16">
        <f>IF(COUNTIFS(T_StockCount[Part Name],$A16,T_StockCount[WeekIndex],61)&gt;0,SUMIFS(T_StockCount[CountedQty],T_StockCount[Part Name],$A16,T_StockCount[WeekIndex],61),IF((('T_SelfStock'!BJ20&lt;&gt;""))*(('T_TTAFStock'!BJ20&lt;&gt;""))&gt;0,'T_SelfStock'!BJ20+'T_TTAFStock'!BJ20,BI16+'Grid_Incoming'!BJ16-'Grid_Requirement'!BJ16))</f>
        <v/>
      </c>
      <c r="BK16">
        <f>IF(COUNTIFS(T_StockCount[Part Name],$A16,T_StockCount[WeekIndex],62)&gt;0,SUMIFS(T_StockCount[CountedQty],T_StockCount[Part Name],$A16,T_StockCount[WeekIndex],62),IF((('T_SelfStock'!BK20&lt;&gt;""))*(('T_TTAFStock'!BK20&lt;&gt;""))&gt;0,'T_SelfStock'!BK20+'T_TTAFStock'!BK20,BJ16+'Grid_Incoming'!BK16-'Grid_Requirement'!BK16))</f>
        <v/>
      </c>
      <c r="BL16">
        <f>IF(COUNTIFS(T_StockCount[Part Name],$A16,T_StockCount[WeekIndex],63)&gt;0,SUMIFS(T_StockCount[CountedQty],T_StockCount[Part Name],$A16,T_StockCount[WeekIndex],63),IF((('T_SelfStock'!BL20&lt;&gt;""))*(('T_TTAFStock'!BL20&lt;&gt;""))&gt;0,'T_SelfStock'!BL20+'T_TTAFStock'!BL20,BK16+'Grid_Incoming'!BL16-'Grid_Requirement'!BL16))</f>
        <v/>
      </c>
      <c r="BM16">
        <f>IF(COUNTIFS(T_StockCount[Part Name],$A16,T_StockCount[WeekIndex],64)&gt;0,SUMIFS(T_StockCount[CountedQty],T_StockCount[Part Name],$A16,T_StockCount[WeekIndex],64),IF((('T_SelfStock'!BM20&lt;&gt;""))*(('T_TTAFStock'!BM20&lt;&gt;""))&gt;0,'T_SelfStock'!BM20+'T_TTAFStock'!BM20,BL16+'Grid_Incoming'!BM16-'Grid_Requirement'!BM16))</f>
        <v/>
      </c>
      <c r="BN16">
        <f>IF(COUNTIFS(T_StockCount[Part Name],$A16,T_StockCount[WeekIndex],65)&gt;0,SUMIFS(T_StockCount[CountedQty],T_StockCount[Part Name],$A16,T_StockCount[WeekIndex],65),IF((('T_SelfStock'!BN20&lt;&gt;""))*(('T_TTAFStock'!BN20&lt;&gt;""))&gt;0,'T_SelfStock'!BN20+'T_TTAFStock'!BN20,BM16+'Grid_Incoming'!BN16-'Grid_Requirement'!BN16))</f>
        <v/>
      </c>
      <c r="BO16">
        <f>IF(COUNTIFS(T_StockCount[Part Name],$A16,T_StockCount[WeekIndex],66)&gt;0,SUMIFS(T_StockCount[CountedQty],T_StockCount[Part Name],$A16,T_StockCount[WeekIndex],66),IF((('T_SelfStock'!BO20&lt;&gt;""))*(('T_TTAFStock'!BO20&lt;&gt;""))&gt;0,'T_SelfStock'!BO20+'T_TTAFStock'!BO20,BN16+'Grid_Incoming'!BO16-'Grid_Requirement'!BO16))</f>
        <v/>
      </c>
      <c r="BP16">
        <f>IF(COUNTIFS(T_StockCount[Part Name],$A16,T_StockCount[WeekIndex],67)&gt;0,SUMIFS(T_StockCount[CountedQty],T_StockCount[Part Name],$A16,T_StockCount[WeekIndex],67),IF((('T_SelfStock'!BP20&lt;&gt;""))*(('T_TTAFStock'!BP20&lt;&gt;""))&gt;0,'T_SelfStock'!BP20+'T_TTAFStock'!BP20,BO16+'Grid_Incoming'!BP16-'Grid_Requirement'!BP16))</f>
        <v/>
      </c>
      <c r="BQ16">
        <f>IF(COUNTIFS(T_StockCount[Part Name],$A16,T_StockCount[WeekIndex],68)&gt;0,SUMIFS(T_StockCount[CountedQty],T_StockCount[Part Name],$A16,T_StockCount[WeekIndex],68),IF((('T_SelfStock'!BQ20&lt;&gt;""))*(('T_TTAFStock'!BQ20&lt;&gt;""))&gt;0,'T_SelfStock'!BQ20+'T_TTAFStock'!BQ20,BP16+'Grid_Incoming'!BQ16-'Grid_Requirement'!BQ16))</f>
        <v/>
      </c>
      <c r="BR16">
        <f>IF(COUNTIFS(T_StockCount[Part Name],$A16,T_StockCount[WeekIndex],69)&gt;0,SUMIFS(T_StockCount[CountedQty],T_StockCount[Part Name],$A16,T_StockCount[WeekIndex],69),IF((('T_SelfStock'!BR20&lt;&gt;""))*(('T_TTAFStock'!BR20&lt;&gt;""))&gt;0,'T_SelfStock'!BR20+'T_TTAFStock'!BR20,BQ16+'Grid_Incoming'!BR16-'Grid_Requirement'!BR16))</f>
        <v/>
      </c>
      <c r="BS16">
        <f>IF(COUNTIFS(T_StockCount[Part Name],$A16,T_StockCount[WeekIndex],70)&gt;0,SUMIFS(T_StockCount[CountedQty],T_StockCount[Part Name],$A16,T_StockCount[WeekIndex],70),IF((('T_SelfStock'!BS20&lt;&gt;""))*(('T_TTAFStock'!BS20&lt;&gt;""))&gt;0,'T_SelfStock'!BS20+'T_TTAFStock'!BS20,BR16+'Grid_Incoming'!BS16-'Grid_Requirement'!BS16))</f>
        <v/>
      </c>
      <c r="BT16">
        <f>IF(COUNTIFS(T_StockCount[Part Name],$A16,T_StockCount[WeekIndex],71)&gt;0,SUMIFS(T_StockCount[CountedQty],T_StockCount[Part Name],$A16,T_StockCount[WeekIndex],71),IF((('T_SelfStock'!BT20&lt;&gt;""))*(('T_TTAFStock'!BT20&lt;&gt;""))&gt;0,'T_SelfStock'!BT20+'T_TTAFStock'!BT20,BS16+'Grid_Incoming'!BT16-'Grid_Requirement'!BT16))</f>
        <v/>
      </c>
      <c r="BU16">
        <f>IF(COUNTIFS(T_StockCount[Part Name],$A16,T_StockCount[WeekIndex],72)&gt;0,SUMIFS(T_StockCount[CountedQty],T_StockCount[Part Name],$A16,T_StockCount[WeekIndex],72),IF((('T_SelfStock'!BU20&lt;&gt;""))*(('T_TTAFStock'!BU20&lt;&gt;""))&gt;0,'T_SelfStock'!BU20+'T_TTAFStock'!BU20,BT16+'Grid_Incoming'!BU16-'Grid_Requirement'!BU16))</f>
        <v/>
      </c>
      <c r="BV16">
        <f>IF(COUNTIFS(T_StockCount[Part Name],$A16,T_StockCount[WeekIndex],73)&gt;0,SUMIFS(T_StockCount[CountedQty],T_StockCount[Part Name],$A16,T_StockCount[WeekIndex],73),IF((('T_SelfStock'!BV20&lt;&gt;""))*(('T_TTAFStock'!BV20&lt;&gt;""))&gt;0,'T_SelfStock'!BV20+'T_TTAFStock'!BV20,BU16+'Grid_Incoming'!BV16-'Grid_Requirement'!BV16))</f>
        <v/>
      </c>
      <c r="BW16">
        <f>IF(COUNTIFS(T_StockCount[Part Name],$A16,T_StockCount[WeekIndex],74)&gt;0,SUMIFS(T_StockCount[CountedQty],T_StockCount[Part Name],$A16,T_StockCount[WeekIndex],74),IF((('T_SelfStock'!BW20&lt;&gt;""))*(('T_TTAFStock'!BW20&lt;&gt;""))&gt;0,'T_SelfStock'!BW20+'T_TTAFStock'!BW20,BV16+'Grid_Incoming'!BW16-'Grid_Requirement'!BW16))</f>
        <v/>
      </c>
      <c r="BX16">
        <f>IF(COUNTIFS(T_StockCount[Part Name],$A16,T_StockCount[WeekIndex],75)&gt;0,SUMIFS(T_StockCount[CountedQty],T_StockCount[Part Name],$A16,T_StockCount[WeekIndex],75),IF((('T_SelfStock'!BX20&lt;&gt;""))*(('T_TTAFStock'!BX20&lt;&gt;""))&gt;0,'T_SelfStock'!BX20+'T_TTAFStock'!BX20,BW16+'Grid_Incoming'!BX16-'Grid_Requirement'!BX16))</f>
        <v/>
      </c>
      <c r="BY16">
        <f>IF(COUNTIFS(T_StockCount[Part Name],$A16,T_StockCount[WeekIndex],76)&gt;0,SUMIFS(T_StockCount[CountedQty],T_StockCount[Part Name],$A16,T_StockCount[WeekIndex],76),IF((('T_SelfStock'!BY20&lt;&gt;""))*(('T_TTAFStock'!BY20&lt;&gt;""))&gt;0,'T_SelfStock'!BY20+'T_TTAFStock'!BY20,BX16+'Grid_Incoming'!BY16-'Grid_Requirement'!BY16))</f>
        <v/>
      </c>
      <c r="BZ16">
        <f>IF(COUNTIFS(T_StockCount[Part Name],$A16,T_StockCount[WeekIndex],77)&gt;0,SUMIFS(T_StockCount[CountedQty],T_StockCount[Part Name],$A16,T_StockCount[WeekIndex],77),IF((('T_SelfStock'!BZ20&lt;&gt;""))*(('T_TTAFStock'!BZ20&lt;&gt;""))&gt;0,'T_SelfStock'!BZ20+'T_TTAFStock'!BZ20,BY16+'Grid_Incoming'!BZ16-'Grid_Requirement'!BZ16))</f>
        <v/>
      </c>
      <c r="CA16">
        <f>IF(COUNTIFS(T_StockCount[Part Name],$A16,T_StockCount[WeekIndex],78)&gt;0,SUMIFS(T_StockCount[CountedQty],T_StockCount[Part Name],$A16,T_StockCount[WeekIndex],78),IF((('T_SelfStock'!CA20&lt;&gt;""))*(('T_TTAFStock'!CA20&lt;&gt;""))&gt;0,'T_SelfStock'!CA20+'T_TTAFStock'!CA20,BZ16+'Grid_Incoming'!CA16-'Grid_Requirement'!CA16))</f>
        <v/>
      </c>
      <c r="CB16">
        <f>IF(COUNTIFS(T_StockCount[Part Name],$A16,T_StockCount[WeekIndex],79)&gt;0,SUMIFS(T_StockCount[CountedQty],T_StockCount[Part Name],$A16,T_StockCount[WeekIndex],79),IF((('T_SelfStock'!CB20&lt;&gt;""))*(('T_TTAFStock'!CB20&lt;&gt;""))&gt;0,'T_SelfStock'!CB20+'T_TTAFStock'!CB20,CA16+'Grid_Incoming'!CB16-'Grid_Requirement'!CB16))</f>
        <v/>
      </c>
      <c r="CC16">
        <f>IF(COUNTIFS(T_StockCount[Part Name],$A16,T_StockCount[WeekIndex],80)&gt;0,SUMIFS(T_StockCount[CountedQty],T_StockCount[Part Name],$A16,T_StockCount[WeekIndex],80),IF((('T_SelfStock'!CC20&lt;&gt;""))*(('T_TTAFStock'!CC20&lt;&gt;""))&gt;0,'T_SelfStock'!CC20+'T_TTAFStock'!CC20,CB16+'Grid_Incoming'!CC16-'Grid_Requirement'!CC16))</f>
        <v/>
      </c>
      <c r="CD16">
        <f>IF(COUNTIFS(T_StockCount[Part Name],$A16,T_StockCount[WeekIndex],81)&gt;0,SUMIFS(T_StockCount[CountedQty],T_StockCount[Part Name],$A16,T_StockCount[WeekIndex],81),IF((('T_SelfStock'!CD20&lt;&gt;""))*(('T_TTAFStock'!CD20&lt;&gt;""))&gt;0,'T_SelfStock'!CD20+'T_TTAFStock'!CD20,CC16+'Grid_Incoming'!CD16-'Grid_Requirement'!CD16))</f>
        <v/>
      </c>
      <c r="CE16">
        <f>IF(COUNTIFS(T_StockCount[Part Name],$A16,T_StockCount[WeekIndex],82)&gt;0,SUMIFS(T_StockCount[CountedQty],T_StockCount[Part Name],$A16,T_StockCount[WeekIndex],82),IF((('T_SelfStock'!CE20&lt;&gt;""))*(('T_TTAFStock'!CE20&lt;&gt;""))&gt;0,'T_SelfStock'!CE20+'T_TTAFStock'!CE20,CD16+'Grid_Incoming'!CE16-'Grid_Requirement'!CE16))</f>
        <v/>
      </c>
      <c r="CF16">
        <f>IF(COUNTIFS(T_StockCount[Part Name],$A16,T_StockCount[WeekIndex],83)&gt;0,SUMIFS(T_StockCount[CountedQty],T_StockCount[Part Name],$A16,T_StockCount[WeekIndex],83),IF((('T_SelfStock'!CF20&lt;&gt;""))*(('T_TTAFStock'!CF20&lt;&gt;""))&gt;0,'T_SelfStock'!CF20+'T_TTAFStock'!CF20,CE16+'Grid_Incoming'!CF16-'Grid_Requirement'!CF16))</f>
        <v/>
      </c>
      <c r="CG16">
        <f>IF(COUNTIFS(T_StockCount[Part Name],$A16,T_StockCount[WeekIndex],84)&gt;0,SUMIFS(T_StockCount[CountedQty],T_StockCount[Part Name],$A16,T_StockCount[WeekIndex],84),IF((('T_SelfStock'!CG20&lt;&gt;""))*(('T_TTAFStock'!CG20&lt;&gt;""))&gt;0,'T_SelfStock'!CG20+'T_TTAFStock'!CG20,CF16+'Grid_Incoming'!CG16-'Grid_Requirement'!CG16))</f>
        <v/>
      </c>
      <c r="CH16">
        <f>IF(COUNTIFS(T_StockCount[Part Name],$A16,T_StockCount[WeekIndex],85)&gt;0,SUMIFS(T_StockCount[CountedQty],T_StockCount[Part Name],$A16,T_StockCount[WeekIndex],85),IF((('T_SelfStock'!CH20&lt;&gt;""))*(('T_TTAFStock'!CH20&lt;&gt;""))&gt;0,'T_SelfStock'!CH20+'T_TTAFStock'!CH20,CG16+'Grid_Incoming'!CH16-'Grid_Requirement'!CH16))</f>
        <v/>
      </c>
      <c r="CI16">
        <f>IF(COUNTIFS(T_StockCount[Part Name],$A16,T_StockCount[WeekIndex],86)&gt;0,SUMIFS(T_StockCount[CountedQty],T_StockCount[Part Name],$A16,T_StockCount[WeekIndex],86),IF((('T_SelfStock'!CI20&lt;&gt;""))*(('T_TTAFStock'!CI20&lt;&gt;""))&gt;0,'T_SelfStock'!CI20+'T_TTAFStock'!CI20,CH16+'Grid_Incoming'!CI16-'Grid_Requirement'!CI16))</f>
        <v/>
      </c>
      <c r="CJ16">
        <f>IF(COUNTIFS(T_StockCount[Part Name],$A16,T_StockCount[WeekIndex],87)&gt;0,SUMIFS(T_StockCount[CountedQty],T_StockCount[Part Name],$A16,T_StockCount[WeekIndex],87),IF((('T_SelfStock'!CJ20&lt;&gt;""))*(('T_TTAFStock'!CJ20&lt;&gt;""))&gt;0,'T_SelfStock'!CJ20+'T_TTAFStock'!CJ20,CI16+'Grid_Incoming'!CJ16-'Grid_Requirement'!CJ16))</f>
        <v/>
      </c>
      <c r="CK16">
        <f>IF(COUNTIFS(T_StockCount[Part Name],$A16,T_StockCount[WeekIndex],88)&gt;0,SUMIFS(T_StockCount[CountedQty],T_StockCount[Part Name],$A16,T_StockCount[WeekIndex],88),IF((('T_SelfStock'!CK20&lt;&gt;""))*(('T_TTAFStock'!CK20&lt;&gt;""))&gt;0,'T_SelfStock'!CK20+'T_TTAFStock'!CK20,CJ16+'Grid_Incoming'!CK16-'Grid_Requirement'!CK16))</f>
        <v/>
      </c>
      <c r="CL16">
        <f>IF(COUNTIFS(T_StockCount[Part Name],$A16,T_StockCount[WeekIndex],89)&gt;0,SUMIFS(T_StockCount[CountedQty],T_StockCount[Part Name],$A16,T_StockCount[WeekIndex],89),IF((('T_SelfStock'!CL20&lt;&gt;""))*(('T_TTAFStock'!CL20&lt;&gt;""))&gt;0,'T_SelfStock'!CL20+'T_TTAFStock'!CL20,CK16+'Grid_Incoming'!CL16-'Grid_Requirement'!CL16))</f>
        <v/>
      </c>
      <c r="CM16">
        <f>IF(COUNTIFS(T_StockCount[Part Name],$A16,T_StockCount[WeekIndex],90)&gt;0,SUMIFS(T_StockCount[CountedQty],T_StockCount[Part Name],$A16,T_StockCount[WeekIndex],90),IF((('T_SelfStock'!CM20&lt;&gt;""))*(('T_TTAFStock'!CM20&lt;&gt;""))&gt;0,'T_SelfStock'!CM20+'T_TTAFStock'!CM20,CL16+'Grid_Incoming'!CM16-'Grid_Requirement'!CM16))</f>
        <v/>
      </c>
      <c r="CN16">
        <f>IF(COUNTIFS(T_StockCount[Part Name],$A16,T_StockCount[WeekIndex],91)&gt;0,SUMIFS(T_StockCount[CountedQty],T_StockCount[Part Name],$A16,T_StockCount[WeekIndex],91),IF((('T_SelfStock'!CN20&lt;&gt;""))*(('T_TTAFStock'!CN20&lt;&gt;""))&gt;0,'T_SelfStock'!CN20+'T_TTAFStock'!CN20,CM16+'Grid_Incoming'!CN16-'Grid_Requirement'!CN16))</f>
        <v/>
      </c>
      <c r="CO16">
        <f>IF(COUNTIFS(T_StockCount[Part Name],$A16,T_StockCount[WeekIndex],92)&gt;0,SUMIFS(T_StockCount[CountedQty],T_StockCount[Part Name],$A16,T_StockCount[WeekIndex],92),IF((('T_SelfStock'!CO20&lt;&gt;""))*(('T_TTAFStock'!CO20&lt;&gt;""))&gt;0,'T_SelfStock'!CO20+'T_TTAFStock'!CO20,CN16+'Grid_Incoming'!CO16-'Grid_Requirement'!CO16))</f>
        <v/>
      </c>
      <c r="CP16">
        <f>IF(COUNTIFS(T_StockCount[Part Name],$A16,T_StockCount[WeekIndex],93)&gt;0,SUMIFS(T_StockCount[CountedQty],T_StockCount[Part Name],$A16,T_StockCount[WeekIndex],93),IF((('T_SelfStock'!CP20&lt;&gt;""))*(('T_TTAFStock'!CP20&lt;&gt;""))&gt;0,'T_SelfStock'!CP20+'T_TTAFStock'!CP20,CO16+'Grid_Incoming'!CP16-'Grid_Requirement'!CP16))</f>
        <v/>
      </c>
      <c r="CQ16">
        <f>IF(COUNTIFS(T_StockCount[Part Name],$A16,T_StockCount[WeekIndex],94)&gt;0,SUMIFS(T_StockCount[CountedQty],T_StockCount[Part Name],$A16,T_StockCount[WeekIndex],94),IF((('T_SelfStock'!CQ20&lt;&gt;""))*(('T_TTAFStock'!CQ20&lt;&gt;""))&gt;0,'T_SelfStock'!CQ20+'T_TTAFStock'!CQ20,CP16+'Grid_Incoming'!CQ16-'Grid_Requirement'!CQ16))</f>
        <v/>
      </c>
      <c r="CR16">
        <f>IF(COUNTIFS(T_StockCount[Part Name],$A16,T_StockCount[WeekIndex],95)&gt;0,SUMIFS(T_StockCount[CountedQty],T_StockCount[Part Name],$A16,T_StockCount[WeekIndex],95),IF((('T_SelfStock'!CR20&lt;&gt;""))*(('T_TTAFStock'!CR20&lt;&gt;""))&gt;0,'T_SelfStock'!CR20+'T_TTAFStock'!CR20,CQ16+'Grid_Incoming'!CR16-'Grid_Requirement'!CR16))</f>
        <v/>
      </c>
      <c r="CS16">
        <f>IF(COUNTIFS(T_StockCount[Part Name],$A16,T_StockCount[WeekIndex],96)&gt;0,SUMIFS(T_StockCount[CountedQty],T_StockCount[Part Name],$A16,T_StockCount[WeekIndex],96),IF((('T_SelfStock'!CS20&lt;&gt;""))*(('T_TTAFStock'!CS20&lt;&gt;""))&gt;0,'T_SelfStock'!CS20+'T_TTAFStock'!CS20,CR16+'Grid_Incoming'!CS16-'Grid_Requirement'!CS16))</f>
        <v/>
      </c>
      <c r="CT16">
        <f>IF(COUNTIFS(T_StockCount[Part Name],$A16,T_StockCount[WeekIndex],97)&gt;0,SUMIFS(T_StockCount[CountedQty],T_StockCount[Part Name],$A16,T_StockCount[WeekIndex],97),IF((('T_SelfStock'!CT20&lt;&gt;""))*(('T_TTAFStock'!CT20&lt;&gt;""))&gt;0,'T_SelfStock'!CT20+'T_TTAFStock'!CT20,CS16+'Grid_Incoming'!CT16-'Grid_Requirement'!CT16))</f>
        <v/>
      </c>
      <c r="CU16">
        <f>IF(COUNTIFS(T_StockCount[Part Name],$A16,T_StockCount[WeekIndex],98)&gt;0,SUMIFS(T_StockCount[CountedQty],T_StockCount[Part Name],$A16,T_StockCount[WeekIndex],98),IF((('T_SelfStock'!CU20&lt;&gt;""))*(('T_TTAFStock'!CU20&lt;&gt;""))&gt;0,'T_SelfStock'!CU20+'T_TTAFStock'!CU20,CT16+'Grid_Incoming'!CU16-'Grid_Requirement'!CU16))</f>
        <v/>
      </c>
      <c r="CV16">
        <f>IF(COUNTIFS(T_StockCount[Part Name],$A16,T_StockCount[WeekIndex],99)&gt;0,SUMIFS(T_StockCount[CountedQty],T_StockCount[Part Name],$A16,T_StockCount[WeekIndex],99),IF((('T_SelfStock'!CV20&lt;&gt;""))*(('T_TTAFStock'!CV20&lt;&gt;""))&gt;0,'T_SelfStock'!CV20+'T_TTAFStock'!CV20,CU16+'Grid_Incoming'!CV16-'Grid_Requirement'!CV16))</f>
        <v/>
      </c>
      <c r="CW16">
        <f>IF(COUNTIFS(T_StockCount[Part Name],$A16,T_StockCount[WeekIndex],100)&gt;0,SUMIFS(T_StockCount[CountedQty],T_StockCount[Part Name],$A16,T_StockCount[WeekIndex],100),IF((('T_SelfStock'!CW20&lt;&gt;""))*(('T_TTAFStock'!CW20&lt;&gt;""))&gt;0,'T_SelfStock'!CW20+'T_TTAFStock'!CW20,CV16+'Grid_Incoming'!CW16-'Grid_Requirement'!CW16))</f>
        <v/>
      </c>
      <c r="CX16">
        <f>IF(COUNTIFS(T_StockCount[Part Name],$A16,T_StockCount[WeekIndex],101)&gt;0,SUMIFS(T_StockCount[CountedQty],T_StockCount[Part Name],$A16,T_StockCount[WeekIndex],101),IF((('T_SelfStock'!CX20&lt;&gt;""))*(('T_TTAFStock'!CX20&lt;&gt;""))&gt;0,'T_SelfStock'!CX20+'T_TTAFStock'!CX20,CW16+'Grid_Incoming'!CX16-'Grid_Requirement'!CX16))</f>
        <v/>
      </c>
      <c r="CY16">
        <f>IF(COUNTIFS(T_StockCount[Part Name],$A16,T_StockCount[WeekIndex],102)&gt;0,SUMIFS(T_StockCount[CountedQty],T_StockCount[Part Name],$A16,T_StockCount[WeekIndex],102),IF((('T_SelfStock'!CY20&lt;&gt;""))*(('T_TTAFStock'!CY20&lt;&gt;""))&gt;0,'T_SelfStock'!CY20+'T_TTAFStock'!CY20,CX16+'Grid_Incoming'!CY16-'Grid_Requirement'!CY16))</f>
        <v/>
      </c>
      <c r="CZ16">
        <f>IF(COUNTIFS(T_StockCount[Part Name],$A16,T_StockCount[WeekIndex],103)&gt;0,SUMIFS(T_StockCount[CountedQty],T_StockCount[Part Name],$A16,T_StockCount[WeekIndex],103),IF((('T_SelfStock'!CZ20&lt;&gt;""))*(('T_TTAFStock'!CZ20&lt;&gt;""))&gt;0,'T_SelfStock'!CZ20+'T_TTAFStock'!CZ20,CY16+'Grid_Incoming'!CZ16-'Grid_Requirement'!CZ16))</f>
        <v/>
      </c>
      <c r="DA16">
        <f>IF(COUNTIFS(T_StockCount[Part Name],$A16,T_StockCount[WeekIndex],104)&gt;0,SUMIFS(T_StockCount[CountedQty],T_StockCount[Part Name],$A16,T_StockCount[WeekIndex],104),IF((('T_SelfStock'!DA20&lt;&gt;""))*(('T_TTAFStock'!DA20&lt;&gt;""))&gt;0,'T_SelfStock'!DA20+'T_TTAFStock'!DA20,CZ16+'Grid_Incoming'!DA16-'Grid_Requirement'!DA16))</f>
        <v/>
      </c>
    </row>
    <row r="17">
      <c r="A17" t="inlineStr">
        <is>
          <t>9RJ</t>
        </is>
      </c>
      <c r="B17">
        <f>IF(COUNTIFS(T_StockCount[Part Name],$A17,T_StockCount[WeekIndex],1)&gt;0,SUMIFS(T_StockCount[CountedQty],T_StockCount[Part Name],$A17,T_StockCount[WeekIndex],1),IF((('T_SelfStock'!B21&lt;&gt;""))*(('T_TTAFStock'!B21&lt;&gt;""))&gt;0,'T_SelfStock'!B21+'T_TTAFStock'!B21,IFERROR(INDEX(T_OpeningStock[Opening_Qty_要入力],MATCH($A17,T_OpeningStock[Part Name],0)),0)+'Grid_Incoming'!B17-'Grid_Requirement'!B17))</f>
        <v/>
      </c>
      <c r="C17">
        <f>IF(COUNTIFS(T_StockCount[Part Name],$A17,T_StockCount[WeekIndex],2)&gt;0,SUMIFS(T_StockCount[CountedQty],T_StockCount[Part Name],$A17,T_StockCount[WeekIndex],2),IF((('T_SelfStock'!C21&lt;&gt;""))*(('T_TTAFStock'!C21&lt;&gt;""))&gt;0,'T_SelfStock'!C21+'T_TTAFStock'!C21,B17+'Grid_Incoming'!C17-'Grid_Requirement'!C17))</f>
        <v/>
      </c>
      <c r="D17">
        <f>IF(COUNTIFS(T_StockCount[Part Name],$A17,T_StockCount[WeekIndex],3)&gt;0,SUMIFS(T_StockCount[CountedQty],T_StockCount[Part Name],$A17,T_StockCount[WeekIndex],3),IF((('T_SelfStock'!D21&lt;&gt;""))*(('T_TTAFStock'!D21&lt;&gt;""))&gt;0,'T_SelfStock'!D21+'T_TTAFStock'!D21,C17+'Grid_Incoming'!D17-'Grid_Requirement'!D17))</f>
        <v/>
      </c>
      <c r="E17">
        <f>IF(COUNTIFS(T_StockCount[Part Name],$A17,T_StockCount[WeekIndex],4)&gt;0,SUMIFS(T_StockCount[CountedQty],T_StockCount[Part Name],$A17,T_StockCount[WeekIndex],4),IF((('T_SelfStock'!E21&lt;&gt;""))*(('T_TTAFStock'!E21&lt;&gt;""))&gt;0,'T_SelfStock'!E21+'T_TTAFStock'!E21,D17+'Grid_Incoming'!E17-'Grid_Requirement'!E17))</f>
        <v/>
      </c>
      <c r="F17">
        <f>IF(COUNTIFS(T_StockCount[Part Name],$A17,T_StockCount[WeekIndex],5)&gt;0,SUMIFS(T_StockCount[CountedQty],T_StockCount[Part Name],$A17,T_StockCount[WeekIndex],5),IF((('T_SelfStock'!F21&lt;&gt;""))*(('T_TTAFStock'!F21&lt;&gt;""))&gt;0,'T_SelfStock'!F21+'T_TTAFStock'!F21,E17+'Grid_Incoming'!F17-'Grid_Requirement'!F17))</f>
        <v/>
      </c>
      <c r="G17">
        <f>IF(COUNTIFS(T_StockCount[Part Name],$A17,T_StockCount[WeekIndex],6)&gt;0,SUMIFS(T_StockCount[CountedQty],T_StockCount[Part Name],$A17,T_StockCount[WeekIndex],6),IF((('T_SelfStock'!G21&lt;&gt;""))*(('T_TTAFStock'!G21&lt;&gt;""))&gt;0,'T_SelfStock'!G21+'T_TTAFStock'!G21,F17+'Grid_Incoming'!G17-'Grid_Requirement'!G17))</f>
        <v/>
      </c>
      <c r="H17">
        <f>IF(COUNTIFS(T_StockCount[Part Name],$A17,T_StockCount[WeekIndex],7)&gt;0,SUMIFS(T_StockCount[CountedQty],T_StockCount[Part Name],$A17,T_StockCount[WeekIndex],7),IF((('T_SelfStock'!H21&lt;&gt;""))*(('T_TTAFStock'!H21&lt;&gt;""))&gt;0,'T_SelfStock'!H21+'T_TTAFStock'!H21,G17+'Grid_Incoming'!H17-'Grid_Requirement'!H17))</f>
        <v/>
      </c>
      <c r="I17">
        <f>IF(COUNTIFS(T_StockCount[Part Name],$A17,T_StockCount[WeekIndex],8)&gt;0,SUMIFS(T_StockCount[CountedQty],T_StockCount[Part Name],$A17,T_StockCount[WeekIndex],8),IF((('T_SelfStock'!I21&lt;&gt;""))*(('T_TTAFStock'!I21&lt;&gt;""))&gt;0,'T_SelfStock'!I21+'T_TTAFStock'!I21,H17+'Grid_Incoming'!I17-'Grid_Requirement'!I17))</f>
        <v/>
      </c>
      <c r="J17">
        <f>IF(COUNTIFS(T_StockCount[Part Name],$A17,T_StockCount[WeekIndex],9)&gt;0,SUMIFS(T_StockCount[CountedQty],T_StockCount[Part Name],$A17,T_StockCount[WeekIndex],9),IF((('T_SelfStock'!J21&lt;&gt;""))*(('T_TTAFStock'!J21&lt;&gt;""))&gt;0,'T_SelfStock'!J21+'T_TTAFStock'!J21,I17+'Grid_Incoming'!J17-'Grid_Requirement'!J17))</f>
        <v/>
      </c>
      <c r="K17">
        <f>IF(COUNTIFS(T_StockCount[Part Name],$A17,T_StockCount[WeekIndex],10)&gt;0,SUMIFS(T_StockCount[CountedQty],T_StockCount[Part Name],$A17,T_StockCount[WeekIndex],10),IF((('T_SelfStock'!K21&lt;&gt;""))*(('T_TTAFStock'!K21&lt;&gt;""))&gt;0,'T_SelfStock'!K21+'T_TTAFStock'!K21,J17+'Grid_Incoming'!K17-'Grid_Requirement'!K17))</f>
        <v/>
      </c>
      <c r="L17">
        <f>IF(COUNTIFS(T_StockCount[Part Name],$A17,T_StockCount[WeekIndex],11)&gt;0,SUMIFS(T_StockCount[CountedQty],T_StockCount[Part Name],$A17,T_StockCount[WeekIndex],11),IF((('T_SelfStock'!L21&lt;&gt;""))*(('T_TTAFStock'!L21&lt;&gt;""))&gt;0,'T_SelfStock'!L21+'T_TTAFStock'!L21,K17+'Grid_Incoming'!L17-'Grid_Requirement'!L17))</f>
        <v/>
      </c>
      <c r="M17">
        <f>IF(COUNTIFS(T_StockCount[Part Name],$A17,T_StockCount[WeekIndex],12)&gt;0,SUMIFS(T_StockCount[CountedQty],T_StockCount[Part Name],$A17,T_StockCount[WeekIndex],12),IF((('T_SelfStock'!M21&lt;&gt;""))*(('T_TTAFStock'!M21&lt;&gt;""))&gt;0,'T_SelfStock'!M21+'T_TTAFStock'!M21,L17+'Grid_Incoming'!M17-'Grid_Requirement'!M17))</f>
        <v/>
      </c>
      <c r="N17">
        <f>IF(COUNTIFS(T_StockCount[Part Name],$A17,T_StockCount[WeekIndex],13)&gt;0,SUMIFS(T_StockCount[CountedQty],T_StockCount[Part Name],$A17,T_StockCount[WeekIndex],13),IF((('T_SelfStock'!N21&lt;&gt;""))*(('T_TTAFStock'!N21&lt;&gt;""))&gt;0,'T_SelfStock'!N21+'T_TTAFStock'!N21,M17+'Grid_Incoming'!N17-'Grid_Requirement'!N17))</f>
        <v/>
      </c>
      <c r="O17">
        <f>IF(COUNTIFS(T_StockCount[Part Name],$A17,T_StockCount[WeekIndex],14)&gt;0,SUMIFS(T_StockCount[CountedQty],T_StockCount[Part Name],$A17,T_StockCount[WeekIndex],14),IF((('T_SelfStock'!O21&lt;&gt;""))*(('T_TTAFStock'!O21&lt;&gt;""))&gt;0,'T_SelfStock'!O21+'T_TTAFStock'!O21,N17+'Grid_Incoming'!O17-'Grid_Requirement'!O17))</f>
        <v/>
      </c>
      <c r="P17">
        <f>IF(COUNTIFS(T_StockCount[Part Name],$A17,T_StockCount[WeekIndex],15)&gt;0,SUMIFS(T_StockCount[CountedQty],T_StockCount[Part Name],$A17,T_StockCount[WeekIndex],15),IF((('T_SelfStock'!P21&lt;&gt;""))*(('T_TTAFStock'!P21&lt;&gt;""))&gt;0,'T_SelfStock'!P21+'T_TTAFStock'!P21,O17+'Grid_Incoming'!P17-'Grid_Requirement'!P17))</f>
        <v/>
      </c>
      <c r="Q17">
        <f>IF(COUNTIFS(T_StockCount[Part Name],$A17,T_StockCount[WeekIndex],16)&gt;0,SUMIFS(T_StockCount[CountedQty],T_StockCount[Part Name],$A17,T_StockCount[WeekIndex],16),IF((('T_SelfStock'!Q21&lt;&gt;""))*(('T_TTAFStock'!Q21&lt;&gt;""))&gt;0,'T_SelfStock'!Q21+'T_TTAFStock'!Q21,P17+'Grid_Incoming'!Q17-'Grid_Requirement'!Q17))</f>
        <v/>
      </c>
      <c r="R17">
        <f>IF(COUNTIFS(T_StockCount[Part Name],$A17,T_StockCount[WeekIndex],17)&gt;0,SUMIFS(T_StockCount[CountedQty],T_StockCount[Part Name],$A17,T_StockCount[WeekIndex],17),IF((('T_SelfStock'!R21&lt;&gt;""))*(('T_TTAFStock'!R21&lt;&gt;""))&gt;0,'T_SelfStock'!R21+'T_TTAFStock'!R21,Q17+'Grid_Incoming'!R17-'Grid_Requirement'!R17))</f>
        <v/>
      </c>
      <c r="S17">
        <f>IF(COUNTIFS(T_StockCount[Part Name],$A17,T_StockCount[WeekIndex],18)&gt;0,SUMIFS(T_StockCount[CountedQty],T_StockCount[Part Name],$A17,T_StockCount[WeekIndex],18),IF((('T_SelfStock'!S21&lt;&gt;""))*(('T_TTAFStock'!S21&lt;&gt;""))&gt;0,'T_SelfStock'!S21+'T_TTAFStock'!S21,R17+'Grid_Incoming'!S17-'Grid_Requirement'!S17))</f>
        <v/>
      </c>
      <c r="T17">
        <f>IF(COUNTIFS(T_StockCount[Part Name],$A17,T_StockCount[WeekIndex],19)&gt;0,SUMIFS(T_StockCount[CountedQty],T_StockCount[Part Name],$A17,T_StockCount[WeekIndex],19),IF((('T_SelfStock'!T21&lt;&gt;""))*(('T_TTAFStock'!T21&lt;&gt;""))&gt;0,'T_SelfStock'!T21+'T_TTAFStock'!T21,S17+'Grid_Incoming'!T17-'Grid_Requirement'!T17))</f>
        <v/>
      </c>
      <c r="U17">
        <f>IF(COUNTIFS(T_StockCount[Part Name],$A17,T_StockCount[WeekIndex],20)&gt;0,SUMIFS(T_StockCount[CountedQty],T_StockCount[Part Name],$A17,T_StockCount[WeekIndex],20),IF((('T_SelfStock'!U21&lt;&gt;""))*(('T_TTAFStock'!U21&lt;&gt;""))&gt;0,'T_SelfStock'!U21+'T_TTAFStock'!U21,T17+'Grid_Incoming'!U17-'Grid_Requirement'!U17))</f>
        <v/>
      </c>
      <c r="V17">
        <f>IF(COUNTIFS(T_StockCount[Part Name],$A17,T_StockCount[WeekIndex],21)&gt;0,SUMIFS(T_StockCount[CountedQty],T_StockCount[Part Name],$A17,T_StockCount[WeekIndex],21),IF((('T_SelfStock'!V21&lt;&gt;""))*(('T_TTAFStock'!V21&lt;&gt;""))&gt;0,'T_SelfStock'!V21+'T_TTAFStock'!V21,U17+'Grid_Incoming'!V17-'Grid_Requirement'!V17))</f>
        <v/>
      </c>
      <c r="W17">
        <f>IF(COUNTIFS(T_StockCount[Part Name],$A17,T_StockCount[WeekIndex],22)&gt;0,SUMIFS(T_StockCount[CountedQty],T_StockCount[Part Name],$A17,T_StockCount[WeekIndex],22),IF((('T_SelfStock'!W21&lt;&gt;""))*(('T_TTAFStock'!W21&lt;&gt;""))&gt;0,'T_SelfStock'!W21+'T_TTAFStock'!W21,V17+'Grid_Incoming'!W17-'Grid_Requirement'!W17))</f>
        <v/>
      </c>
      <c r="X17">
        <f>IF(COUNTIFS(T_StockCount[Part Name],$A17,T_StockCount[WeekIndex],23)&gt;0,SUMIFS(T_StockCount[CountedQty],T_StockCount[Part Name],$A17,T_StockCount[WeekIndex],23),IF((('T_SelfStock'!X21&lt;&gt;""))*(('T_TTAFStock'!X21&lt;&gt;""))&gt;0,'T_SelfStock'!X21+'T_TTAFStock'!X21,W17+'Grid_Incoming'!X17-'Grid_Requirement'!X17))</f>
        <v/>
      </c>
      <c r="Y17">
        <f>IF(COUNTIFS(T_StockCount[Part Name],$A17,T_StockCount[WeekIndex],24)&gt;0,SUMIFS(T_StockCount[CountedQty],T_StockCount[Part Name],$A17,T_StockCount[WeekIndex],24),IF((('T_SelfStock'!Y21&lt;&gt;""))*(('T_TTAFStock'!Y21&lt;&gt;""))&gt;0,'T_SelfStock'!Y21+'T_TTAFStock'!Y21,X17+'Grid_Incoming'!Y17-'Grid_Requirement'!Y17))</f>
        <v/>
      </c>
      <c r="Z17">
        <f>IF(COUNTIFS(T_StockCount[Part Name],$A17,T_StockCount[WeekIndex],25)&gt;0,SUMIFS(T_StockCount[CountedQty],T_StockCount[Part Name],$A17,T_StockCount[WeekIndex],25),IF((('T_SelfStock'!Z21&lt;&gt;""))*(('T_TTAFStock'!Z21&lt;&gt;""))&gt;0,'T_SelfStock'!Z21+'T_TTAFStock'!Z21,Y17+'Grid_Incoming'!Z17-'Grid_Requirement'!Z17))</f>
        <v/>
      </c>
      <c r="AA17">
        <f>IF(COUNTIFS(T_StockCount[Part Name],$A17,T_StockCount[WeekIndex],26)&gt;0,SUMIFS(T_StockCount[CountedQty],T_StockCount[Part Name],$A17,T_StockCount[WeekIndex],26),IF((('T_SelfStock'!AA21&lt;&gt;""))*(('T_TTAFStock'!AA21&lt;&gt;""))&gt;0,'T_SelfStock'!AA21+'T_TTAFStock'!AA21,Z17+'Grid_Incoming'!AA17-'Grid_Requirement'!AA17))</f>
        <v/>
      </c>
      <c r="AB17">
        <f>IF(COUNTIFS(T_StockCount[Part Name],$A17,T_StockCount[WeekIndex],27)&gt;0,SUMIFS(T_StockCount[CountedQty],T_StockCount[Part Name],$A17,T_StockCount[WeekIndex],27),IF((('T_SelfStock'!AB21&lt;&gt;""))*(('T_TTAFStock'!AB21&lt;&gt;""))&gt;0,'T_SelfStock'!AB21+'T_TTAFStock'!AB21,AA17+'Grid_Incoming'!AB17-'Grid_Requirement'!AB17))</f>
        <v/>
      </c>
      <c r="AC17">
        <f>IF(COUNTIFS(T_StockCount[Part Name],$A17,T_StockCount[WeekIndex],28)&gt;0,SUMIFS(T_StockCount[CountedQty],T_StockCount[Part Name],$A17,T_StockCount[WeekIndex],28),IF((('T_SelfStock'!AC21&lt;&gt;""))*(('T_TTAFStock'!AC21&lt;&gt;""))&gt;0,'T_SelfStock'!AC21+'T_TTAFStock'!AC21,AB17+'Grid_Incoming'!AC17-'Grid_Requirement'!AC17))</f>
        <v/>
      </c>
      <c r="AD17">
        <f>IF(COUNTIFS(T_StockCount[Part Name],$A17,T_StockCount[WeekIndex],29)&gt;0,SUMIFS(T_StockCount[CountedQty],T_StockCount[Part Name],$A17,T_StockCount[WeekIndex],29),IF((('T_SelfStock'!AD21&lt;&gt;""))*(('T_TTAFStock'!AD21&lt;&gt;""))&gt;0,'T_SelfStock'!AD21+'T_TTAFStock'!AD21,AC17+'Grid_Incoming'!AD17-'Grid_Requirement'!AD17))</f>
        <v/>
      </c>
      <c r="AE17">
        <f>IF(COUNTIFS(T_StockCount[Part Name],$A17,T_StockCount[WeekIndex],30)&gt;0,SUMIFS(T_StockCount[CountedQty],T_StockCount[Part Name],$A17,T_StockCount[WeekIndex],30),IF((('T_SelfStock'!AE21&lt;&gt;""))*(('T_TTAFStock'!AE21&lt;&gt;""))&gt;0,'T_SelfStock'!AE21+'T_TTAFStock'!AE21,AD17+'Grid_Incoming'!AE17-'Grid_Requirement'!AE17))</f>
        <v/>
      </c>
      <c r="AF17">
        <f>IF(COUNTIFS(T_StockCount[Part Name],$A17,T_StockCount[WeekIndex],31)&gt;0,SUMIFS(T_StockCount[CountedQty],T_StockCount[Part Name],$A17,T_StockCount[WeekIndex],31),IF((('T_SelfStock'!AF21&lt;&gt;""))*(('T_TTAFStock'!AF21&lt;&gt;""))&gt;0,'T_SelfStock'!AF21+'T_TTAFStock'!AF21,AE17+'Grid_Incoming'!AF17-'Grid_Requirement'!AF17))</f>
        <v/>
      </c>
      <c r="AG17">
        <f>IF(COUNTIFS(T_StockCount[Part Name],$A17,T_StockCount[WeekIndex],32)&gt;0,SUMIFS(T_StockCount[CountedQty],T_StockCount[Part Name],$A17,T_StockCount[WeekIndex],32),IF((('T_SelfStock'!AG21&lt;&gt;""))*(('T_TTAFStock'!AG21&lt;&gt;""))&gt;0,'T_SelfStock'!AG21+'T_TTAFStock'!AG21,AF17+'Grid_Incoming'!AG17-'Grid_Requirement'!AG17))</f>
        <v/>
      </c>
      <c r="AH17">
        <f>IF(COUNTIFS(T_StockCount[Part Name],$A17,T_StockCount[WeekIndex],33)&gt;0,SUMIFS(T_StockCount[CountedQty],T_StockCount[Part Name],$A17,T_StockCount[WeekIndex],33),IF((('T_SelfStock'!AH21&lt;&gt;""))*(('T_TTAFStock'!AH21&lt;&gt;""))&gt;0,'T_SelfStock'!AH21+'T_TTAFStock'!AH21,AG17+'Grid_Incoming'!AH17-'Grid_Requirement'!AH17))</f>
        <v/>
      </c>
      <c r="AI17">
        <f>IF(COUNTIFS(T_StockCount[Part Name],$A17,T_StockCount[WeekIndex],34)&gt;0,SUMIFS(T_StockCount[CountedQty],T_StockCount[Part Name],$A17,T_StockCount[WeekIndex],34),IF((('T_SelfStock'!AI21&lt;&gt;""))*(('T_TTAFStock'!AI21&lt;&gt;""))&gt;0,'T_SelfStock'!AI21+'T_TTAFStock'!AI21,AH17+'Grid_Incoming'!AI17-'Grid_Requirement'!AI17))</f>
        <v/>
      </c>
      <c r="AJ17">
        <f>IF(COUNTIFS(T_StockCount[Part Name],$A17,T_StockCount[WeekIndex],35)&gt;0,SUMIFS(T_StockCount[CountedQty],T_StockCount[Part Name],$A17,T_StockCount[WeekIndex],35),IF((('T_SelfStock'!AJ21&lt;&gt;""))*(('T_TTAFStock'!AJ21&lt;&gt;""))&gt;0,'T_SelfStock'!AJ21+'T_TTAFStock'!AJ21,AI17+'Grid_Incoming'!AJ17-'Grid_Requirement'!AJ17))</f>
        <v/>
      </c>
      <c r="AK17">
        <f>IF(COUNTIFS(T_StockCount[Part Name],$A17,T_StockCount[WeekIndex],36)&gt;0,SUMIFS(T_StockCount[CountedQty],T_StockCount[Part Name],$A17,T_StockCount[WeekIndex],36),IF((('T_SelfStock'!AK21&lt;&gt;""))*(('T_TTAFStock'!AK21&lt;&gt;""))&gt;0,'T_SelfStock'!AK21+'T_TTAFStock'!AK21,AJ17+'Grid_Incoming'!AK17-'Grid_Requirement'!AK17))</f>
        <v/>
      </c>
      <c r="AL17">
        <f>IF(COUNTIFS(T_StockCount[Part Name],$A17,T_StockCount[WeekIndex],37)&gt;0,SUMIFS(T_StockCount[CountedQty],T_StockCount[Part Name],$A17,T_StockCount[WeekIndex],37),IF((('T_SelfStock'!AL21&lt;&gt;""))*(('T_TTAFStock'!AL21&lt;&gt;""))&gt;0,'T_SelfStock'!AL21+'T_TTAFStock'!AL21,AK17+'Grid_Incoming'!AL17-'Grid_Requirement'!AL17))</f>
        <v/>
      </c>
      <c r="AM17">
        <f>IF(COUNTIFS(T_StockCount[Part Name],$A17,T_StockCount[WeekIndex],38)&gt;0,SUMIFS(T_StockCount[CountedQty],T_StockCount[Part Name],$A17,T_StockCount[WeekIndex],38),IF((('T_SelfStock'!AM21&lt;&gt;""))*(('T_TTAFStock'!AM21&lt;&gt;""))&gt;0,'T_SelfStock'!AM21+'T_TTAFStock'!AM21,AL17+'Grid_Incoming'!AM17-'Grid_Requirement'!AM17))</f>
        <v/>
      </c>
      <c r="AN17">
        <f>IF(COUNTIFS(T_StockCount[Part Name],$A17,T_StockCount[WeekIndex],39)&gt;0,SUMIFS(T_StockCount[CountedQty],T_StockCount[Part Name],$A17,T_StockCount[WeekIndex],39),IF((('T_SelfStock'!AN21&lt;&gt;""))*(('T_TTAFStock'!AN21&lt;&gt;""))&gt;0,'T_SelfStock'!AN21+'T_TTAFStock'!AN21,AM17+'Grid_Incoming'!AN17-'Grid_Requirement'!AN17))</f>
        <v/>
      </c>
      <c r="AO17">
        <f>IF(COUNTIFS(T_StockCount[Part Name],$A17,T_StockCount[WeekIndex],40)&gt;0,SUMIFS(T_StockCount[CountedQty],T_StockCount[Part Name],$A17,T_StockCount[WeekIndex],40),IF((('T_SelfStock'!AO21&lt;&gt;""))*(('T_TTAFStock'!AO21&lt;&gt;""))&gt;0,'T_SelfStock'!AO21+'T_TTAFStock'!AO21,AN17+'Grid_Incoming'!AO17-'Grid_Requirement'!AO17))</f>
        <v/>
      </c>
      <c r="AP17">
        <f>IF(COUNTIFS(T_StockCount[Part Name],$A17,T_StockCount[WeekIndex],41)&gt;0,SUMIFS(T_StockCount[CountedQty],T_StockCount[Part Name],$A17,T_StockCount[WeekIndex],41),IF((('T_SelfStock'!AP21&lt;&gt;""))*(('T_TTAFStock'!AP21&lt;&gt;""))&gt;0,'T_SelfStock'!AP21+'T_TTAFStock'!AP21,AO17+'Grid_Incoming'!AP17-'Grid_Requirement'!AP17))</f>
        <v/>
      </c>
      <c r="AQ17">
        <f>IF(COUNTIFS(T_StockCount[Part Name],$A17,T_StockCount[WeekIndex],42)&gt;0,SUMIFS(T_StockCount[CountedQty],T_StockCount[Part Name],$A17,T_StockCount[WeekIndex],42),IF((('T_SelfStock'!AQ21&lt;&gt;""))*(('T_TTAFStock'!AQ21&lt;&gt;""))&gt;0,'T_SelfStock'!AQ21+'T_TTAFStock'!AQ21,AP17+'Grid_Incoming'!AQ17-'Grid_Requirement'!AQ17))</f>
        <v/>
      </c>
      <c r="AR17">
        <f>IF(COUNTIFS(T_StockCount[Part Name],$A17,T_StockCount[WeekIndex],43)&gt;0,SUMIFS(T_StockCount[CountedQty],T_StockCount[Part Name],$A17,T_StockCount[WeekIndex],43),IF((('T_SelfStock'!AR21&lt;&gt;""))*(('T_TTAFStock'!AR21&lt;&gt;""))&gt;0,'T_SelfStock'!AR21+'T_TTAFStock'!AR21,AQ17+'Grid_Incoming'!AR17-'Grid_Requirement'!AR17))</f>
        <v/>
      </c>
      <c r="AS17">
        <f>IF(COUNTIFS(T_StockCount[Part Name],$A17,T_StockCount[WeekIndex],44)&gt;0,SUMIFS(T_StockCount[CountedQty],T_StockCount[Part Name],$A17,T_StockCount[WeekIndex],44),IF((('T_SelfStock'!AS21&lt;&gt;""))*(('T_TTAFStock'!AS21&lt;&gt;""))&gt;0,'T_SelfStock'!AS21+'T_TTAFStock'!AS21,AR17+'Grid_Incoming'!AS17-'Grid_Requirement'!AS17))</f>
        <v/>
      </c>
      <c r="AT17">
        <f>IF(COUNTIFS(T_StockCount[Part Name],$A17,T_StockCount[WeekIndex],45)&gt;0,SUMIFS(T_StockCount[CountedQty],T_StockCount[Part Name],$A17,T_StockCount[WeekIndex],45),IF((('T_SelfStock'!AT21&lt;&gt;""))*(('T_TTAFStock'!AT21&lt;&gt;""))&gt;0,'T_SelfStock'!AT21+'T_TTAFStock'!AT21,AS17+'Grid_Incoming'!AT17-'Grid_Requirement'!AT17))</f>
        <v/>
      </c>
      <c r="AU17">
        <f>IF(COUNTIFS(T_StockCount[Part Name],$A17,T_StockCount[WeekIndex],46)&gt;0,SUMIFS(T_StockCount[CountedQty],T_StockCount[Part Name],$A17,T_StockCount[WeekIndex],46),IF((('T_SelfStock'!AU21&lt;&gt;""))*(('T_TTAFStock'!AU21&lt;&gt;""))&gt;0,'T_SelfStock'!AU21+'T_TTAFStock'!AU21,AT17+'Grid_Incoming'!AU17-'Grid_Requirement'!AU17))</f>
        <v/>
      </c>
      <c r="AV17">
        <f>IF(COUNTIFS(T_StockCount[Part Name],$A17,T_StockCount[WeekIndex],47)&gt;0,SUMIFS(T_StockCount[CountedQty],T_StockCount[Part Name],$A17,T_StockCount[WeekIndex],47),IF((('T_SelfStock'!AV21&lt;&gt;""))*(('T_TTAFStock'!AV21&lt;&gt;""))&gt;0,'T_SelfStock'!AV21+'T_TTAFStock'!AV21,AU17+'Grid_Incoming'!AV17-'Grid_Requirement'!AV17))</f>
        <v/>
      </c>
      <c r="AW17">
        <f>IF(COUNTIFS(T_StockCount[Part Name],$A17,T_StockCount[WeekIndex],48)&gt;0,SUMIFS(T_StockCount[CountedQty],T_StockCount[Part Name],$A17,T_StockCount[WeekIndex],48),IF((('T_SelfStock'!AW21&lt;&gt;""))*(('T_TTAFStock'!AW21&lt;&gt;""))&gt;0,'T_SelfStock'!AW21+'T_TTAFStock'!AW21,AV17+'Grid_Incoming'!AW17-'Grid_Requirement'!AW17))</f>
        <v/>
      </c>
      <c r="AX17">
        <f>IF(COUNTIFS(T_StockCount[Part Name],$A17,T_StockCount[WeekIndex],49)&gt;0,SUMIFS(T_StockCount[CountedQty],T_StockCount[Part Name],$A17,T_StockCount[WeekIndex],49),IF((('T_SelfStock'!AX21&lt;&gt;""))*(('T_TTAFStock'!AX21&lt;&gt;""))&gt;0,'T_SelfStock'!AX21+'T_TTAFStock'!AX21,AW17+'Grid_Incoming'!AX17-'Grid_Requirement'!AX17))</f>
        <v/>
      </c>
      <c r="AY17">
        <f>IF(COUNTIFS(T_StockCount[Part Name],$A17,T_StockCount[WeekIndex],50)&gt;0,SUMIFS(T_StockCount[CountedQty],T_StockCount[Part Name],$A17,T_StockCount[WeekIndex],50),IF((('T_SelfStock'!AY21&lt;&gt;""))*(('T_TTAFStock'!AY21&lt;&gt;""))&gt;0,'T_SelfStock'!AY21+'T_TTAFStock'!AY21,AX17+'Grid_Incoming'!AY17-'Grid_Requirement'!AY17))</f>
        <v/>
      </c>
      <c r="AZ17">
        <f>IF(COUNTIFS(T_StockCount[Part Name],$A17,T_StockCount[WeekIndex],51)&gt;0,SUMIFS(T_StockCount[CountedQty],T_StockCount[Part Name],$A17,T_StockCount[WeekIndex],51),IF((('T_SelfStock'!AZ21&lt;&gt;""))*(('T_TTAFStock'!AZ21&lt;&gt;""))&gt;0,'T_SelfStock'!AZ21+'T_TTAFStock'!AZ21,AY17+'Grid_Incoming'!AZ17-'Grid_Requirement'!AZ17))</f>
        <v/>
      </c>
      <c r="BA17">
        <f>IF(COUNTIFS(T_StockCount[Part Name],$A17,T_StockCount[WeekIndex],52)&gt;0,SUMIFS(T_StockCount[CountedQty],T_StockCount[Part Name],$A17,T_StockCount[WeekIndex],52),IF((('T_SelfStock'!BA21&lt;&gt;""))*(('T_TTAFStock'!BA21&lt;&gt;""))&gt;0,'T_SelfStock'!BA21+'T_TTAFStock'!BA21,AZ17+'Grid_Incoming'!BA17-'Grid_Requirement'!BA17))</f>
        <v/>
      </c>
      <c r="BB17">
        <f>IF(COUNTIFS(T_StockCount[Part Name],$A17,T_StockCount[WeekIndex],53)&gt;0,SUMIFS(T_StockCount[CountedQty],T_StockCount[Part Name],$A17,T_StockCount[WeekIndex],53),IF((('T_SelfStock'!BB21&lt;&gt;""))*(('T_TTAFStock'!BB21&lt;&gt;""))&gt;0,'T_SelfStock'!BB21+'T_TTAFStock'!BB21,BA17+'Grid_Incoming'!BB17-'Grid_Requirement'!BB17))</f>
        <v/>
      </c>
      <c r="BC17">
        <f>IF(COUNTIFS(T_StockCount[Part Name],$A17,T_StockCount[WeekIndex],54)&gt;0,SUMIFS(T_StockCount[CountedQty],T_StockCount[Part Name],$A17,T_StockCount[WeekIndex],54),IF((('T_SelfStock'!BC21&lt;&gt;""))*(('T_TTAFStock'!BC21&lt;&gt;""))&gt;0,'T_SelfStock'!BC21+'T_TTAFStock'!BC21,BB17+'Grid_Incoming'!BC17-'Grid_Requirement'!BC17))</f>
        <v/>
      </c>
      <c r="BD17">
        <f>IF(COUNTIFS(T_StockCount[Part Name],$A17,T_StockCount[WeekIndex],55)&gt;0,SUMIFS(T_StockCount[CountedQty],T_StockCount[Part Name],$A17,T_StockCount[WeekIndex],55),IF((('T_SelfStock'!BD21&lt;&gt;""))*(('T_TTAFStock'!BD21&lt;&gt;""))&gt;0,'T_SelfStock'!BD21+'T_TTAFStock'!BD21,BC17+'Grid_Incoming'!BD17-'Grid_Requirement'!BD17))</f>
        <v/>
      </c>
      <c r="BE17">
        <f>IF(COUNTIFS(T_StockCount[Part Name],$A17,T_StockCount[WeekIndex],56)&gt;0,SUMIFS(T_StockCount[CountedQty],T_StockCount[Part Name],$A17,T_StockCount[WeekIndex],56),IF((('T_SelfStock'!BE21&lt;&gt;""))*(('T_TTAFStock'!BE21&lt;&gt;""))&gt;0,'T_SelfStock'!BE21+'T_TTAFStock'!BE21,BD17+'Grid_Incoming'!BE17-'Grid_Requirement'!BE17))</f>
        <v/>
      </c>
      <c r="BF17">
        <f>IF(COUNTIFS(T_StockCount[Part Name],$A17,T_StockCount[WeekIndex],57)&gt;0,SUMIFS(T_StockCount[CountedQty],T_StockCount[Part Name],$A17,T_StockCount[WeekIndex],57),IF((('T_SelfStock'!BF21&lt;&gt;""))*(('T_TTAFStock'!BF21&lt;&gt;""))&gt;0,'T_SelfStock'!BF21+'T_TTAFStock'!BF21,BE17+'Grid_Incoming'!BF17-'Grid_Requirement'!BF17))</f>
        <v/>
      </c>
      <c r="BG17">
        <f>IF(COUNTIFS(T_StockCount[Part Name],$A17,T_StockCount[WeekIndex],58)&gt;0,SUMIFS(T_StockCount[CountedQty],T_StockCount[Part Name],$A17,T_StockCount[WeekIndex],58),IF((('T_SelfStock'!BG21&lt;&gt;""))*(('T_TTAFStock'!BG21&lt;&gt;""))&gt;0,'T_SelfStock'!BG21+'T_TTAFStock'!BG21,BF17+'Grid_Incoming'!BG17-'Grid_Requirement'!BG17))</f>
        <v/>
      </c>
      <c r="BH17">
        <f>IF(COUNTIFS(T_StockCount[Part Name],$A17,T_StockCount[WeekIndex],59)&gt;0,SUMIFS(T_StockCount[CountedQty],T_StockCount[Part Name],$A17,T_StockCount[WeekIndex],59),IF((('T_SelfStock'!BH21&lt;&gt;""))*(('T_TTAFStock'!BH21&lt;&gt;""))&gt;0,'T_SelfStock'!BH21+'T_TTAFStock'!BH21,BG17+'Grid_Incoming'!BH17-'Grid_Requirement'!BH17))</f>
        <v/>
      </c>
      <c r="BI17">
        <f>IF(COUNTIFS(T_StockCount[Part Name],$A17,T_StockCount[WeekIndex],60)&gt;0,SUMIFS(T_StockCount[CountedQty],T_StockCount[Part Name],$A17,T_StockCount[WeekIndex],60),IF((('T_SelfStock'!BI21&lt;&gt;""))*(('T_TTAFStock'!BI21&lt;&gt;""))&gt;0,'T_SelfStock'!BI21+'T_TTAFStock'!BI21,BH17+'Grid_Incoming'!BI17-'Grid_Requirement'!BI17))</f>
        <v/>
      </c>
      <c r="BJ17">
        <f>IF(COUNTIFS(T_StockCount[Part Name],$A17,T_StockCount[WeekIndex],61)&gt;0,SUMIFS(T_StockCount[CountedQty],T_StockCount[Part Name],$A17,T_StockCount[WeekIndex],61),IF((('T_SelfStock'!BJ21&lt;&gt;""))*(('T_TTAFStock'!BJ21&lt;&gt;""))&gt;0,'T_SelfStock'!BJ21+'T_TTAFStock'!BJ21,BI17+'Grid_Incoming'!BJ17-'Grid_Requirement'!BJ17))</f>
        <v/>
      </c>
      <c r="BK17">
        <f>IF(COUNTIFS(T_StockCount[Part Name],$A17,T_StockCount[WeekIndex],62)&gt;0,SUMIFS(T_StockCount[CountedQty],T_StockCount[Part Name],$A17,T_StockCount[WeekIndex],62),IF((('T_SelfStock'!BK21&lt;&gt;""))*(('T_TTAFStock'!BK21&lt;&gt;""))&gt;0,'T_SelfStock'!BK21+'T_TTAFStock'!BK21,BJ17+'Grid_Incoming'!BK17-'Grid_Requirement'!BK17))</f>
        <v/>
      </c>
      <c r="BL17">
        <f>IF(COUNTIFS(T_StockCount[Part Name],$A17,T_StockCount[WeekIndex],63)&gt;0,SUMIFS(T_StockCount[CountedQty],T_StockCount[Part Name],$A17,T_StockCount[WeekIndex],63),IF((('T_SelfStock'!BL21&lt;&gt;""))*(('T_TTAFStock'!BL21&lt;&gt;""))&gt;0,'T_SelfStock'!BL21+'T_TTAFStock'!BL21,BK17+'Grid_Incoming'!BL17-'Grid_Requirement'!BL17))</f>
        <v/>
      </c>
      <c r="BM17">
        <f>IF(COUNTIFS(T_StockCount[Part Name],$A17,T_StockCount[WeekIndex],64)&gt;0,SUMIFS(T_StockCount[CountedQty],T_StockCount[Part Name],$A17,T_StockCount[WeekIndex],64),IF((('T_SelfStock'!BM21&lt;&gt;""))*(('T_TTAFStock'!BM21&lt;&gt;""))&gt;0,'T_SelfStock'!BM21+'T_TTAFStock'!BM21,BL17+'Grid_Incoming'!BM17-'Grid_Requirement'!BM17))</f>
        <v/>
      </c>
      <c r="BN17">
        <f>IF(COUNTIFS(T_StockCount[Part Name],$A17,T_StockCount[WeekIndex],65)&gt;0,SUMIFS(T_StockCount[CountedQty],T_StockCount[Part Name],$A17,T_StockCount[WeekIndex],65),IF((('T_SelfStock'!BN21&lt;&gt;""))*(('T_TTAFStock'!BN21&lt;&gt;""))&gt;0,'T_SelfStock'!BN21+'T_TTAFStock'!BN21,BM17+'Grid_Incoming'!BN17-'Grid_Requirement'!BN17))</f>
        <v/>
      </c>
      <c r="BO17">
        <f>IF(COUNTIFS(T_StockCount[Part Name],$A17,T_StockCount[WeekIndex],66)&gt;0,SUMIFS(T_StockCount[CountedQty],T_StockCount[Part Name],$A17,T_StockCount[WeekIndex],66),IF((('T_SelfStock'!BO21&lt;&gt;""))*(('T_TTAFStock'!BO21&lt;&gt;""))&gt;0,'T_SelfStock'!BO21+'T_TTAFStock'!BO21,BN17+'Grid_Incoming'!BO17-'Grid_Requirement'!BO17))</f>
        <v/>
      </c>
      <c r="BP17">
        <f>IF(COUNTIFS(T_StockCount[Part Name],$A17,T_StockCount[WeekIndex],67)&gt;0,SUMIFS(T_StockCount[CountedQty],T_StockCount[Part Name],$A17,T_StockCount[WeekIndex],67),IF((('T_SelfStock'!BP21&lt;&gt;""))*(('T_TTAFStock'!BP21&lt;&gt;""))&gt;0,'T_SelfStock'!BP21+'T_TTAFStock'!BP21,BO17+'Grid_Incoming'!BP17-'Grid_Requirement'!BP17))</f>
        <v/>
      </c>
      <c r="BQ17">
        <f>IF(COUNTIFS(T_StockCount[Part Name],$A17,T_StockCount[WeekIndex],68)&gt;0,SUMIFS(T_StockCount[CountedQty],T_StockCount[Part Name],$A17,T_StockCount[WeekIndex],68),IF((('T_SelfStock'!BQ21&lt;&gt;""))*(('T_TTAFStock'!BQ21&lt;&gt;""))&gt;0,'T_SelfStock'!BQ21+'T_TTAFStock'!BQ21,BP17+'Grid_Incoming'!BQ17-'Grid_Requirement'!BQ17))</f>
        <v/>
      </c>
      <c r="BR17">
        <f>IF(COUNTIFS(T_StockCount[Part Name],$A17,T_StockCount[WeekIndex],69)&gt;0,SUMIFS(T_StockCount[CountedQty],T_StockCount[Part Name],$A17,T_StockCount[WeekIndex],69),IF((('T_SelfStock'!BR21&lt;&gt;""))*(('T_TTAFStock'!BR21&lt;&gt;""))&gt;0,'T_SelfStock'!BR21+'T_TTAFStock'!BR21,BQ17+'Grid_Incoming'!BR17-'Grid_Requirement'!BR17))</f>
        <v/>
      </c>
      <c r="BS17">
        <f>IF(COUNTIFS(T_StockCount[Part Name],$A17,T_StockCount[WeekIndex],70)&gt;0,SUMIFS(T_StockCount[CountedQty],T_StockCount[Part Name],$A17,T_StockCount[WeekIndex],70),IF((('T_SelfStock'!BS21&lt;&gt;""))*(('T_TTAFStock'!BS21&lt;&gt;""))&gt;0,'T_SelfStock'!BS21+'T_TTAFStock'!BS21,BR17+'Grid_Incoming'!BS17-'Grid_Requirement'!BS17))</f>
        <v/>
      </c>
      <c r="BT17">
        <f>IF(COUNTIFS(T_StockCount[Part Name],$A17,T_StockCount[WeekIndex],71)&gt;0,SUMIFS(T_StockCount[CountedQty],T_StockCount[Part Name],$A17,T_StockCount[WeekIndex],71),IF((('T_SelfStock'!BT21&lt;&gt;""))*(('T_TTAFStock'!BT21&lt;&gt;""))&gt;0,'T_SelfStock'!BT21+'T_TTAFStock'!BT21,BS17+'Grid_Incoming'!BT17-'Grid_Requirement'!BT17))</f>
        <v/>
      </c>
      <c r="BU17">
        <f>IF(COUNTIFS(T_StockCount[Part Name],$A17,T_StockCount[WeekIndex],72)&gt;0,SUMIFS(T_StockCount[CountedQty],T_StockCount[Part Name],$A17,T_StockCount[WeekIndex],72),IF((('T_SelfStock'!BU21&lt;&gt;""))*(('T_TTAFStock'!BU21&lt;&gt;""))&gt;0,'T_SelfStock'!BU21+'T_TTAFStock'!BU21,BT17+'Grid_Incoming'!BU17-'Grid_Requirement'!BU17))</f>
        <v/>
      </c>
      <c r="BV17">
        <f>IF(COUNTIFS(T_StockCount[Part Name],$A17,T_StockCount[WeekIndex],73)&gt;0,SUMIFS(T_StockCount[CountedQty],T_StockCount[Part Name],$A17,T_StockCount[WeekIndex],73),IF((('T_SelfStock'!BV21&lt;&gt;""))*(('T_TTAFStock'!BV21&lt;&gt;""))&gt;0,'T_SelfStock'!BV21+'T_TTAFStock'!BV21,BU17+'Grid_Incoming'!BV17-'Grid_Requirement'!BV17))</f>
        <v/>
      </c>
      <c r="BW17">
        <f>IF(COUNTIFS(T_StockCount[Part Name],$A17,T_StockCount[WeekIndex],74)&gt;0,SUMIFS(T_StockCount[CountedQty],T_StockCount[Part Name],$A17,T_StockCount[WeekIndex],74),IF((('T_SelfStock'!BW21&lt;&gt;""))*(('T_TTAFStock'!BW21&lt;&gt;""))&gt;0,'T_SelfStock'!BW21+'T_TTAFStock'!BW21,BV17+'Grid_Incoming'!BW17-'Grid_Requirement'!BW17))</f>
        <v/>
      </c>
      <c r="BX17">
        <f>IF(COUNTIFS(T_StockCount[Part Name],$A17,T_StockCount[WeekIndex],75)&gt;0,SUMIFS(T_StockCount[CountedQty],T_StockCount[Part Name],$A17,T_StockCount[WeekIndex],75),IF((('T_SelfStock'!BX21&lt;&gt;""))*(('T_TTAFStock'!BX21&lt;&gt;""))&gt;0,'T_SelfStock'!BX21+'T_TTAFStock'!BX21,BW17+'Grid_Incoming'!BX17-'Grid_Requirement'!BX17))</f>
        <v/>
      </c>
      <c r="BY17">
        <f>IF(COUNTIFS(T_StockCount[Part Name],$A17,T_StockCount[WeekIndex],76)&gt;0,SUMIFS(T_StockCount[CountedQty],T_StockCount[Part Name],$A17,T_StockCount[WeekIndex],76),IF((('T_SelfStock'!BY21&lt;&gt;""))*(('T_TTAFStock'!BY21&lt;&gt;""))&gt;0,'T_SelfStock'!BY21+'T_TTAFStock'!BY21,BX17+'Grid_Incoming'!BY17-'Grid_Requirement'!BY17))</f>
        <v/>
      </c>
      <c r="BZ17">
        <f>IF(COUNTIFS(T_StockCount[Part Name],$A17,T_StockCount[WeekIndex],77)&gt;0,SUMIFS(T_StockCount[CountedQty],T_StockCount[Part Name],$A17,T_StockCount[WeekIndex],77),IF((('T_SelfStock'!BZ21&lt;&gt;""))*(('T_TTAFStock'!BZ21&lt;&gt;""))&gt;0,'T_SelfStock'!BZ21+'T_TTAFStock'!BZ21,BY17+'Grid_Incoming'!BZ17-'Grid_Requirement'!BZ17))</f>
        <v/>
      </c>
      <c r="CA17">
        <f>IF(COUNTIFS(T_StockCount[Part Name],$A17,T_StockCount[WeekIndex],78)&gt;0,SUMIFS(T_StockCount[CountedQty],T_StockCount[Part Name],$A17,T_StockCount[WeekIndex],78),IF((('T_SelfStock'!CA21&lt;&gt;""))*(('T_TTAFStock'!CA21&lt;&gt;""))&gt;0,'T_SelfStock'!CA21+'T_TTAFStock'!CA21,BZ17+'Grid_Incoming'!CA17-'Grid_Requirement'!CA17))</f>
        <v/>
      </c>
      <c r="CB17">
        <f>IF(COUNTIFS(T_StockCount[Part Name],$A17,T_StockCount[WeekIndex],79)&gt;0,SUMIFS(T_StockCount[CountedQty],T_StockCount[Part Name],$A17,T_StockCount[WeekIndex],79),IF((('T_SelfStock'!CB21&lt;&gt;""))*(('T_TTAFStock'!CB21&lt;&gt;""))&gt;0,'T_SelfStock'!CB21+'T_TTAFStock'!CB21,CA17+'Grid_Incoming'!CB17-'Grid_Requirement'!CB17))</f>
        <v/>
      </c>
      <c r="CC17">
        <f>IF(COUNTIFS(T_StockCount[Part Name],$A17,T_StockCount[WeekIndex],80)&gt;0,SUMIFS(T_StockCount[CountedQty],T_StockCount[Part Name],$A17,T_StockCount[WeekIndex],80),IF((('T_SelfStock'!CC21&lt;&gt;""))*(('T_TTAFStock'!CC21&lt;&gt;""))&gt;0,'T_SelfStock'!CC21+'T_TTAFStock'!CC21,CB17+'Grid_Incoming'!CC17-'Grid_Requirement'!CC17))</f>
        <v/>
      </c>
      <c r="CD17">
        <f>IF(COUNTIFS(T_StockCount[Part Name],$A17,T_StockCount[WeekIndex],81)&gt;0,SUMIFS(T_StockCount[CountedQty],T_StockCount[Part Name],$A17,T_StockCount[WeekIndex],81),IF((('T_SelfStock'!CD21&lt;&gt;""))*(('T_TTAFStock'!CD21&lt;&gt;""))&gt;0,'T_SelfStock'!CD21+'T_TTAFStock'!CD21,CC17+'Grid_Incoming'!CD17-'Grid_Requirement'!CD17))</f>
        <v/>
      </c>
      <c r="CE17">
        <f>IF(COUNTIFS(T_StockCount[Part Name],$A17,T_StockCount[WeekIndex],82)&gt;0,SUMIFS(T_StockCount[CountedQty],T_StockCount[Part Name],$A17,T_StockCount[WeekIndex],82),IF((('T_SelfStock'!CE21&lt;&gt;""))*(('T_TTAFStock'!CE21&lt;&gt;""))&gt;0,'T_SelfStock'!CE21+'T_TTAFStock'!CE21,CD17+'Grid_Incoming'!CE17-'Grid_Requirement'!CE17))</f>
        <v/>
      </c>
      <c r="CF17">
        <f>IF(COUNTIFS(T_StockCount[Part Name],$A17,T_StockCount[WeekIndex],83)&gt;0,SUMIFS(T_StockCount[CountedQty],T_StockCount[Part Name],$A17,T_StockCount[WeekIndex],83),IF((('T_SelfStock'!CF21&lt;&gt;""))*(('T_TTAFStock'!CF21&lt;&gt;""))&gt;0,'T_SelfStock'!CF21+'T_TTAFStock'!CF21,CE17+'Grid_Incoming'!CF17-'Grid_Requirement'!CF17))</f>
        <v/>
      </c>
      <c r="CG17">
        <f>IF(COUNTIFS(T_StockCount[Part Name],$A17,T_StockCount[WeekIndex],84)&gt;0,SUMIFS(T_StockCount[CountedQty],T_StockCount[Part Name],$A17,T_StockCount[WeekIndex],84),IF((('T_SelfStock'!CG21&lt;&gt;""))*(('T_TTAFStock'!CG21&lt;&gt;""))&gt;0,'T_SelfStock'!CG21+'T_TTAFStock'!CG21,CF17+'Grid_Incoming'!CG17-'Grid_Requirement'!CG17))</f>
        <v/>
      </c>
      <c r="CH17">
        <f>IF(COUNTIFS(T_StockCount[Part Name],$A17,T_StockCount[WeekIndex],85)&gt;0,SUMIFS(T_StockCount[CountedQty],T_StockCount[Part Name],$A17,T_StockCount[WeekIndex],85),IF((('T_SelfStock'!CH21&lt;&gt;""))*(('T_TTAFStock'!CH21&lt;&gt;""))&gt;0,'T_SelfStock'!CH21+'T_TTAFStock'!CH21,CG17+'Grid_Incoming'!CH17-'Grid_Requirement'!CH17))</f>
        <v/>
      </c>
      <c r="CI17">
        <f>IF(COUNTIFS(T_StockCount[Part Name],$A17,T_StockCount[WeekIndex],86)&gt;0,SUMIFS(T_StockCount[CountedQty],T_StockCount[Part Name],$A17,T_StockCount[WeekIndex],86),IF((('T_SelfStock'!CI21&lt;&gt;""))*(('T_TTAFStock'!CI21&lt;&gt;""))&gt;0,'T_SelfStock'!CI21+'T_TTAFStock'!CI21,CH17+'Grid_Incoming'!CI17-'Grid_Requirement'!CI17))</f>
        <v/>
      </c>
      <c r="CJ17">
        <f>IF(COUNTIFS(T_StockCount[Part Name],$A17,T_StockCount[WeekIndex],87)&gt;0,SUMIFS(T_StockCount[CountedQty],T_StockCount[Part Name],$A17,T_StockCount[WeekIndex],87),IF((('T_SelfStock'!CJ21&lt;&gt;""))*(('T_TTAFStock'!CJ21&lt;&gt;""))&gt;0,'T_SelfStock'!CJ21+'T_TTAFStock'!CJ21,CI17+'Grid_Incoming'!CJ17-'Grid_Requirement'!CJ17))</f>
        <v/>
      </c>
      <c r="CK17">
        <f>IF(COUNTIFS(T_StockCount[Part Name],$A17,T_StockCount[WeekIndex],88)&gt;0,SUMIFS(T_StockCount[CountedQty],T_StockCount[Part Name],$A17,T_StockCount[WeekIndex],88),IF((('T_SelfStock'!CK21&lt;&gt;""))*(('T_TTAFStock'!CK21&lt;&gt;""))&gt;0,'T_SelfStock'!CK21+'T_TTAFStock'!CK21,CJ17+'Grid_Incoming'!CK17-'Grid_Requirement'!CK17))</f>
        <v/>
      </c>
      <c r="CL17">
        <f>IF(COUNTIFS(T_StockCount[Part Name],$A17,T_StockCount[WeekIndex],89)&gt;0,SUMIFS(T_StockCount[CountedQty],T_StockCount[Part Name],$A17,T_StockCount[WeekIndex],89),IF((('T_SelfStock'!CL21&lt;&gt;""))*(('T_TTAFStock'!CL21&lt;&gt;""))&gt;0,'T_SelfStock'!CL21+'T_TTAFStock'!CL21,CK17+'Grid_Incoming'!CL17-'Grid_Requirement'!CL17))</f>
        <v/>
      </c>
      <c r="CM17">
        <f>IF(COUNTIFS(T_StockCount[Part Name],$A17,T_StockCount[WeekIndex],90)&gt;0,SUMIFS(T_StockCount[CountedQty],T_StockCount[Part Name],$A17,T_StockCount[WeekIndex],90),IF((('T_SelfStock'!CM21&lt;&gt;""))*(('T_TTAFStock'!CM21&lt;&gt;""))&gt;0,'T_SelfStock'!CM21+'T_TTAFStock'!CM21,CL17+'Grid_Incoming'!CM17-'Grid_Requirement'!CM17))</f>
        <v/>
      </c>
      <c r="CN17">
        <f>IF(COUNTIFS(T_StockCount[Part Name],$A17,T_StockCount[WeekIndex],91)&gt;0,SUMIFS(T_StockCount[CountedQty],T_StockCount[Part Name],$A17,T_StockCount[WeekIndex],91),IF((('T_SelfStock'!CN21&lt;&gt;""))*(('T_TTAFStock'!CN21&lt;&gt;""))&gt;0,'T_SelfStock'!CN21+'T_TTAFStock'!CN21,CM17+'Grid_Incoming'!CN17-'Grid_Requirement'!CN17))</f>
        <v/>
      </c>
      <c r="CO17">
        <f>IF(COUNTIFS(T_StockCount[Part Name],$A17,T_StockCount[WeekIndex],92)&gt;0,SUMIFS(T_StockCount[CountedQty],T_StockCount[Part Name],$A17,T_StockCount[WeekIndex],92),IF((('T_SelfStock'!CO21&lt;&gt;""))*(('T_TTAFStock'!CO21&lt;&gt;""))&gt;0,'T_SelfStock'!CO21+'T_TTAFStock'!CO21,CN17+'Grid_Incoming'!CO17-'Grid_Requirement'!CO17))</f>
        <v/>
      </c>
      <c r="CP17">
        <f>IF(COUNTIFS(T_StockCount[Part Name],$A17,T_StockCount[WeekIndex],93)&gt;0,SUMIFS(T_StockCount[CountedQty],T_StockCount[Part Name],$A17,T_StockCount[WeekIndex],93),IF((('T_SelfStock'!CP21&lt;&gt;""))*(('T_TTAFStock'!CP21&lt;&gt;""))&gt;0,'T_SelfStock'!CP21+'T_TTAFStock'!CP21,CO17+'Grid_Incoming'!CP17-'Grid_Requirement'!CP17))</f>
        <v/>
      </c>
      <c r="CQ17">
        <f>IF(COUNTIFS(T_StockCount[Part Name],$A17,T_StockCount[WeekIndex],94)&gt;0,SUMIFS(T_StockCount[CountedQty],T_StockCount[Part Name],$A17,T_StockCount[WeekIndex],94),IF((('T_SelfStock'!CQ21&lt;&gt;""))*(('T_TTAFStock'!CQ21&lt;&gt;""))&gt;0,'T_SelfStock'!CQ21+'T_TTAFStock'!CQ21,CP17+'Grid_Incoming'!CQ17-'Grid_Requirement'!CQ17))</f>
        <v/>
      </c>
      <c r="CR17">
        <f>IF(COUNTIFS(T_StockCount[Part Name],$A17,T_StockCount[WeekIndex],95)&gt;0,SUMIFS(T_StockCount[CountedQty],T_StockCount[Part Name],$A17,T_StockCount[WeekIndex],95),IF((('T_SelfStock'!CR21&lt;&gt;""))*(('T_TTAFStock'!CR21&lt;&gt;""))&gt;0,'T_SelfStock'!CR21+'T_TTAFStock'!CR21,CQ17+'Grid_Incoming'!CR17-'Grid_Requirement'!CR17))</f>
        <v/>
      </c>
      <c r="CS17">
        <f>IF(COUNTIFS(T_StockCount[Part Name],$A17,T_StockCount[WeekIndex],96)&gt;0,SUMIFS(T_StockCount[CountedQty],T_StockCount[Part Name],$A17,T_StockCount[WeekIndex],96),IF((('T_SelfStock'!CS21&lt;&gt;""))*(('T_TTAFStock'!CS21&lt;&gt;""))&gt;0,'T_SelfStock'!CS21+'T_TTAFStock'!CS21,CR17+'Grid_Incoming'!CS17-'Grid_Requirement'!CS17))</f>
        <v/>
      </c>
      <c r="CT17">
        <f>IF(COUNTIFS(T_StockCount[Part Name],$A17,T_StockCount[WeekIndex],97)&gt;0,SUMIFS(T_StockCount[CountedQty],T_StockCount[Part Name],$A17,T_StockCount[WeekIndex],97),IF((('T_SelfStock'!CT21&lt;&gt;""))*(('T_TTAFStock'!CT21&lt;&gt;""))&gt;0,'T_SelfStock'!CT21+'T_TTAFStock'!CT21,CS17+'Grid_Incoming'!CT17-'Grid_Requirement'!CT17))</f>
        <v/>
      </c>
      <c r="CU17">
        <f>IF(COUNTIFS(T_StockCount[Part Name],$A17,T_StockCount[WeekIndex],98)&gt;0,SUMIFS(T_StockCount[CountedQty],T_StockCount[Part Name],$A17,T_StockCount[WeekIndex],98),IF((('T_SelfStock'!CU21&lt;&gt;""))*(('T_TTAFStock'!CU21&lt;&gt;""))&gt;0,'T_SelfStock'!CU21+'T_TTAFStock'!CU21,CT17+'Grid_Incoming'!CU17-'Grid_Requirement'!CU17))</f>
        <v/>
      </c>
      <c r="CV17">
        <f>IF(COUNTIFS(T_StockCount[Part Name],$A17,T_StockCount[WeekIndex],99)&gt;0,SUMIFS(T_StockCount[CountedQty],T_StockCount[Part Name],$A17,T_StockCount[WeekIndex],99),IF((('T_SelfStock'!CV21&lt;&gt;""))*(('T_TTAFStock'!CV21&lt;&gt;""))&gt;0,'T_SelfStock'!CV21+'T_TTAFStock'!CV21,CU17+'Grid_Incoming'!CV17-'Grid_Requirement'!CV17))</f>
        <v/>
      </c>
      <c r="CW17">
        <f>IF(COUNTIFS(T_StockCount[Part Name],$A17,T_StockCount[WeekIndex],100)&gt;0,SUMIFS(T_StockCount[CountedQty],T_StockCount[Part Name],$A17,T_StockCount[WeekIndex],100),IF((('T_SelfStock'!CW21&lt;&gt;""))*(('T_TTAFStock'!CW21&lt;&gt;""))&gt;0,'T_SelfStock'!CW21+'T_TTAFStock'!CW21,CV17+'Grid_Incoming'!CW17-'Grid_Requirement'!CW17))</f>
        <v/>
      </c>
      <c r="CX17">
        <f>IF(COUNTIFS(T_StockCount[Part Name],$A17,T_StockCount[WeekIndex],101)&gt;0,SUMIFS(T_StockCount[CountedQty],T_StockCount[Part Name],$A17,T_StockCount[WeekIndex],101),IF((('T_SelfStock'!CX21&lt;&gt;""))*(('T_TTAFStock'!CX21&lt;&gt;""))&gt;0,'T_SelfStock'!CX21+'T_TTAFStock'!CX21,CW17+'Grid_Incoming'!CX17-'Grid_Requirement'!CX17))</f>
        <v/>
      </c>
      <c r="CY17">
        <f>IF(COUNTIFS(T_StockCount[Part Name],$A17,T_StockCount[WeekIndex],102)&gt;0,SUMIFS(T_StockCount[CountedQty],T_StockCount[Part Name],$A17,T_StockCount[WeekIndex],102),IF((('T_SelfStock'!CY21&lt;&gt;""))*(('T_TTAFStock'!CY21&lt;&gt;""))&gt;0,'T_SelfStock'!CY21+'T_TTAFStock'!CY21,CX17+'Grid_Incoming'!CY17-'Grid_Requirement'!CY17))</f>
        <v/>
      </c>
      <c r="CZ17">
        <f>IF(COUNTIFS(T_StockCount[Part Name],$A17,T_StockCount[WeekIndex],103)&gt;0,SUMIFS(T_StockCount[CountedQty],T_StockCount[Part Name],$A17,T_StockCount[WeekIndex],103),IF((('T_SelfStock'!CZ21&lt;&gt;""))*(('T_TTAFStock'!CZ21&lt;&gt;""))&gt;0,'T_SelfStock'!CZ21+'T_TTAFStock'!CZ21,CY17+'Grid_Incoming'!CZ17-'Grid_Requirement'!CZ17))</f>
        <v/>
      </c>
      <c r="DA17">
        <f>IF(COUNTIFS(T_StockCount[Part Name],$A17,T_StockCount[WeekIndex],104)&gt;0,SUMIFS(T_StockCount[CountedQty],T_StockCount[Part Name],$A17,T_StockCount[WeekIndex],104),IF((('T_SelfStock'!DA21&lt;&gt;""))*(('T_TTAFStock'!DA21&lt;&gt;""))&gt;0,'T_SelfStock'!DA21+'T_TTAFStock'!DA21,CZ17+'Grid_Incoming'!DA17-'Grid_Requirement'!DA17))</f>
        <v/>
      </c>
    </row>
    <row r="18">
      <c r="A18" t="inlineStr">
        <is>
          <t>5JK</t>
        </is>
      </c>
      <c r="B18">
        <f>IF(COUNTIFS(T_StockCount[Part Name],$A18,T_StockCount[WeekIndex],1)&gt;0,SUMIFS(T_StockCount[CountedQty],T_StockCount[Part Name],$A18,T_StockCount[WeekIndex],1),IF((('T_SelfStock'!B22&lt;&gt;""))*(('T_TTAFStock'!B22&lt;&gt;""))&gt;0,'T_SelfStock'!B22+'T_TTAFStock'!B22,IFERROR(INDEX(T_OpeningStock[Opening_Qty_要入力],MATCH($A18,T_OpeningStock[Part Name],0)),0)+'Grid_Incoming'!B18-'Grid_Requirement'!B18))</f>
        <v/>
      </c>
      <c r="C18">
        <f>IF(COUNTIFS(T_StockCount[Part Name],$A18,T_StockCount[WeekIndex],2)&gt;0,SUMIFS(T_StockCount[CountedQty],T_StockCount[Part Name],$A18,T_StockCount[WeekIndex],2),IF((('T_SelfStock'!C22&lt;&gt;""))*(('T_TTAFStock'!C22&lt;&gt;""))&gt;0,'T_SelfStock'!C22+'T_TTAFStock'!C22,B18+'Grid_Incoming'!C18-'Grid_Requirement'!C18))</f>
        <v/>
      </c>
      <c r="D18">
        <f>IF(COUNTIFS(T_StockCount[Part Name],$A18,T_StockCount[WeekIndex],3)&gt;0,SUMIFS(T_StockCount[CountedQty],T_StockCount[Part Name],$A18,T_StockCount[WeekIndex],3),IF((('T_SelfStock'!D22&lt;&gt;""))*(('T_TTAFStock'!D22&lt;&gt;""))&gt;0,'T_SelfStock'!D22+'T_TTAFStock'!D22,C18+'Grid_Incoming'!D18-'Grid_Requirement'!D18))</f>
        <v/>
      </c>
      <c r="E18">
        <f>IF(COUNTIFS(T_StockCount[Part Name],$A18,T_StockCount[WeekIndex],4)&gt;0,SUMIFS(T_StockCount[CountedQty],T_StockCount[Part Name],$A18,T_StockCount[WeekIndex],4),IF((('T_SelfStock'!E22&lt;&gt;""))*(('T_TTAFStock'!E22&lt;&gt;""))&gt;0,'T_SelfStock'!E22+'T_TTAFStock'!E22,D18+'Grid_Incoming'!E18-'Grid_Requirement'!E18))</f>
        <v/>
      </c>
      <c r="F18">
        <f>IF(COUNTIFS(T_StockCount[Part Name],$A18,T_StockCount[WeekIndex],5)&gt;0,SUMIFS(T_StockCount[CountedQty],T_StockCount[Part Name],$A18,T_StockCount[WeekIndex],5),IF((('T_SelfStock'!F22&lt;&gt;""))*(('T_TTAFStock'!F22&lt;&gt;""))&gt;0,'T_SelfStock'!F22+'T_TTAFStock'!F22,E18+'Grid_Incoming'!F18-'Grid_Requirement'!F18))</f>
        <v/>
      </c>
      <c r="G18">
        <f>IF(COUNTIFS(T_StockCount[Part Name],$A18,T_StockCount[WeekIndex],6)&gt;0,SUMIFS(T_StockCount[CountedQty],T_StockCount[Part Name],$A18,T_StockCount[WeekIndex],6),IF((('T_SelfStock'!G22&lt;&gt;""))*(('T_TTAFStock'!G22&lt;&gt;""))&gt;0,'T_SelfStock'!G22+'T_TTAFStock'!G22,F18+'Grid_Incoming'!G18-'Grid_Requirement'!G18))</f>
        <v/>
      </c>
      <c r="H18">
        <f>IF(COUNTIFS(T_StockCount[Part Name],$A18,T_StockCount[WeekIndex],7)&gt;0,SUMIFS(T_StockCount[CountedQty],T_StockCount[Part Name],$A18,T_StockCount[WeekIndex],7),IF((('T_SelfStock'!H22&lt;&gt;""))*(('T_TTAFStock'!H22&lt;&gt;""))&gt;0,'T_SelfStock'!H22+'T_TTAFStock'!H22,G18+'Grid_Incoming'!H18-'Grid_Requirement'!H18))</f>
        <v/>
      </c>
      <c r="I18">
        <f>IF(COUNTIFS(T_StockCount[Part Name],$A18,T_StockCount[WeekIndex],8)&gt;0,SUMIFS(T_StockCount[CountedQty],T_StockCount[Part Name],$A18,T_StockCount[WeekIndex],8),IF((('T_SelfStock'!I22&lt;&gt;""))*(('T_TTAFStock'!I22&lt;&gt;""))&gt;0,'T_SelfStock'!I22+'T_TTAFStock'!I22,H18+'Grid_Incoming'!I18-'Grid_Requirement'!I18))</f>
        <v/>
      </c>
      <c r="J18">
        <f>IF(COUNTIFS(T_StockCount[Part Name],$A18,T_StockCount[WeekIndex],9)&gt;0,SUMIFS(T_StockCount[CountedQty],T_StockCount[Part Name],$A18,T_StockCount[WeekIndex],9),IF((('T_SelfStock'!J22&lt;&gt;""))*(('T_TTAFStock'!J22&lt;&gt;""))&gt;0,'T_SelfStock'!J22+'T_TTAFStock'!J22,I18+'Grid_Incoming'!J18-'Grid_Requirement'!J18))</f>
        <v/>
      </c>
      <c r="K18">
        <f>IF(COUNTIFS(T_StockCount[Part Name],$A18,T_StockCount[WeekIndex],10)&gt;0,SUMIFS(T_StockCount[CountedQty],T_StockCount[Part Name],$A18,T_StockCount[WeekIndex],10),IF((('T_SelfStock'!K22&lt;&gt;""))*(('T_TTAFStock'!K22&lt;&gt;""))&gt;0,'T_SelfStock'!K22+'T_TTAFStock'!K22,J18+'Grid_Incoming'!K18-'Grid_Requirement'!K18))</f>
        <v/>
      </c>
      <c r="L18">
        <f>IF(COUNTIFS(T_StockCount[Part Name],$A18,T_StockCount[WeekIndex],11)&gt;0,SUMIFS(T_StockCount[CountedQty],T_StockCount[Part Name],$A18,T_StockCount[WeekIndex],11),IF((('T_SelfStock'!L22&lt;&gt;""))*(('T_TTAFStock'!L22&lt;&gt;""))&gt;0,'T_SelfStock'!L22+'T_TTAFStock'!L22,K18+'Grid_Incoming'!L18-'Grid_Requirement'!L18))</f>
        <v/>
      </c>
      <c r="M18">
        <f>IF(COUNTIFS(T_StockCount[Part Name],$A18,T_StockCount[WeekIndex],12)&gt;0,SUMIFS(T_StockCount[CountedQty],T_StockCount[Part Name],$A18,T_StockCount[WeekIndex],12),IF((('T_SelfStock'!M22&lt;&gt;""))*(('T_TTAFStock'!M22&lt;&gt;""))&gt;0,'T_SelfStock'!M22+'T_TTAFStock'!M22,L18+'Grid_Incoming'!M18-'Grid_Requirement'!M18))</f>
        <v/>
      </c>
      <c r="N18">
        <f>IF(COUNTIFS(T_StockCount[Part Name],$A18,T_StockCount[WeekIndex],13)&gt;0,SUMIFS(T_StockCount[CountedQty],T_StockCount[Part Name],$A18,T_StockCount[WeekIndex],13),IF((('T_SelfStock'!N22&lt;&gt;""))*(('T_TTAFStock'!N22&lt;&gt;""))&gt;0,'T_SelfStock'!N22+'T_TTAFStock'!N22,M18+'Grid_Incoming'!N18-'Grid_Requirement'!N18))</f>
        <v/>
      </c>
      <c r="O18">
        <f>IF(COUNTIFS(T_StockCount[Part Name],$A18,T_StockCount[WeekIndex],14)&gt;0,SUMIFS(T_StockCount[CountedQty],T_StockCount[Part Name],$A18,T_StockCount[WeekIndex],14),IF((('T_SelfStock'!O22&lt;&gt;""))*(('T_TTAFStock'!O22&lt;&gt;""))&gt;0,'T_SelfStock'!O22+'T_TTAFStock'!O22,N18+'Grid_Incoming'!O18-'Grid_Requirement'!O18))</f>
        <v/>
      </c>
      <c r="P18">
        <f>IF(COUNTIFS(T_StockCount[Part Name],$A18,T_StockCount[WeekIndex],15)&gt;0,SUMIFS(T_StockCount[CountedQty],T_StockCount[Part Name],$A18,T_StockCount[WeekIndex],15),IF((('T_SelfStock'!P22&lt;&gt;""))*(('T_TTAFStock'!P22&lt;&gt;""))&gt;0,'T_SelfStock'!P22+'T_TTAFStock'!P22,O18+'Grid_Incoming'!P18-'Grid_Requirement'!P18))</f>
        <v/>
      </c>
      <c r="Q18">
        <f>IF(COUNTIFS(T_StockCount[Part Name],$A18,T_StockCount[WeekIndex],16)&gt;0,SUMIFS(T_StockCount[CountedQty],T_StockCount[Part Name],$A18,T_StockCount[WeekIndex],16),IF((('T_SelfStock'!Q22&lt;&gt;""))*(('T_TTAFStock'!Q22&lt;&gt;""))&gt;0,'T_SelfStock'!Q22+'T_TTAFStock'!Q22,P18+'Grid_Incoming'!Q18-'Grid_Requirement'!Q18))</f>
        <v/>
      </c>
      <c r="R18">
        <f>IF(COUNTIFS(T_StockCount[Part Name],$A18,T_StockCount[WeekIndex],17)&gt;0,SUMIFS(T_StockCount[CountedQty],T_StockCount[Part Name],$A18,T_StockCount[WeekIndex],17),IF((('T_SelfStock'!R22&lt;&gt;""))*(('T_TTAFStock'!R22&lt;&gt;""))&gt;0,'T_SelfStock'!R22+'T_TTAFStock'!R22,Q18+'Grid_Incoming'!R18-'Grid_Requirement'!R18))</f>
        <v/>
      </c>
      <c r="S18">
        <f>IF(COUNTIFS(T_StockCount[Part Name],$A18,T_StockCount[WeekIndex],18)&gt;0,SUMIFS(T_StockCount[CountedQty],T_StockCount[Part Name],$A18,T_StockCount[WeekIndex],18),IF((('T_SelfStock'!S22&lt;&gt;""))*(('T_TTAFStock'!S22&lt;&gt;""))&gt;0,'T_SelfStock'!S22+'T_TTAFStock'!S22,R18+'Grid_Incoming'!S18-'Grid_Requirement'!S18))</f>
        <v/>
      </c>
      <c r="T18">
        <f>IF(COUNTIFS(T_StockCount[Part Name],$A18,T_StockCount[WeekIndex],19)&gt;0,SUMIFS(T_StockCount[CountedQty],T_StockCount[Part Name],$A18,T_StockCount[WeekIndex],19),IF((('T_SelfStock'!T22&lt;&gt;""))*(('T_TTAFStock'!T22&lt;&gt;""))&gt;0,'T_SelfStock'!T22+'T_TTAFStock'!T22,S18+'Grid_Incoming'!T18-'Grid_Requirement'!T18))</f>
        <v/>
      </c>
      <c r="U18">
        <f>IF(COUNTIFS(T_StockCount[Part Name],$A18,T_StockCount[WeekIndex],20)&gt;0,SUMIFS(T_StockCount[CountedQty],T_StockCount[Part Name],$A18,T_StockCount[WeekIndex],20),IF((('T_SelfStock'!U22&lt;&gt;""))*(('T_TTAFStock'!U22&lt;&gt;""))&gt;0,'T_SelfStock'!U22+'T_TTAFStock'!U22,T18+'Grid_Incoming'!U18-'Grid_Requirement'!U18))</f>
        <v/>
      </c>
      <c r="V18">
        <f>IF(COUNTIFS(T_StockCount[Part Name],$A18,T_StockCount[WeekIndex],21)&gt;0,SUMIFS(T_StockCount[CountedQty],T_StockCount[Part Name],$A18,T_StockCount[WeekIndex],21),IF((('T_SelfStock'!V22&lt;&gt;""))*(('T_TTAFStock'!V22&lt;&gt;""))&gt;0,'T_SelfStock'!V22+'T_TTAFStock'!V22,U18+'Grid_Incoming'!V18-'Grid_Requirement'!V18))</f>
        <v/>
      </c>
      <c r="W18">
        <f>IF(COUNTIFS(T_StockCount[Part Name],$A18,T_StockCount[WeekIndex],22)&gt;0,SUMIFS(T_StockCount[CountedQty],T_StockCount[Part Name],$A18,T_StockCount[WeekIndex],22),IF((('T_SelfStock'!W22&lt;&gt;""))*(('T_TTAFStock'!W22&lt;&gt;""))&gt;0,'T_SelfStock'!W22+'T_TTAFStock'!W22,V18+'Grid_Incoming'!W18-'Grid_Requirement'!W18))</f>
        <v/>
      </c>
      <c r="X18">
        <f>IF(COUNTIFS(T_StockCount[Part Name],$A18,T_StockCount[WeekIndex],23)&gt;0,SUMIFS(T_StockCount[CountedQty],T_StockCount[Part Name],$A18,T_StockCount[WeekIndex],23),IF((('T_SelfStock'!X22&lt;&gt;""))*(('T_TTAFStock'!X22&lt;&gt;""))&gt;0,'T_SelfStock'!X22+'T_TTAFStock'!X22,W18+'Grid_Incoming'!X18-'Grid_Requirement'!X18))</f>
        <v/>
      </c>
      <c r="Y18">
        <f>IF(COUNTIFS(T_StockCount[Part Name],$A18,T_StockCount[WeekIndex],24)&gt;0,SUMIFS(T_StockCount[CountedQty],T_StockCount[Part Name],$A18,T_StockCount[WeekIndex],24),IF((('T_SelfStock'!Y22&lt;&gt;""))*(('T_TTAFStock'!Y22&lt;&gt;""))&gt;0,'T_SelfStock'!Y22+'T_TTAFStock'!Y22,X18+'Grid_Incoming'!Y18-'Grid_Requirement'!Y18))</f>
        <v/>
      </c>
      <c r="Z18">
        <f>IF(COUNTIFS(T_StockCount[Part Name],$A18,T_StockCount[WeekIndex],25)&gt;0,SUMIFS(T_StockCount[CountedQty],T_StockCount[Part Name],$A18,T_StockCount[WeekIndex],25),IF((('T_SelfStock'!Z22&lt;&gt;""))*(('T_TTAFStock'!Z22&lt;&gt;""))&gt;0,'T_SelfStock'!Z22+'T_TTAFStock'!Z22,Y18+'Grid_Incoming'!Z18-'Grid_Requirement'!Z18))</f>
        <v/>
      </c>
      <c r="AA18">
        <f>IF(COUNTIFS(T_StockCount[Part Name],$A18,T_StockCount[WeekIndex],26)&gt;0,SUMIFS(T_StockCount[CountedQty],T_StockCount[Part Name],$A18,T_StockCount[WeekIndex],26),IF((('T_SelfStock'!AA22&lt;&gt;""))*(('T_TTAFStock'!AA22&lt;&gt;""))&gt;0,'T_SelfStock'!AA22+'T_TTAFStock'!AA22,Z18+'Grid_Incoming'!AA18-'Grid_Requirement'!AA18))</f>
        <v/>
      </c>
      <c r="AB18">
        <f>IF(COUNTIFS(T_StockCount[Part Name],$A18,T_StockCount[WeekIndex],27)&gt;0,SUMIFS(T_StockCount[CountedQty],T_StockCount[Part Name],$A18,T_StockCount[WeekIndex],27),IF((('T_SelfStock'!AB22&lt;&gt;""))*(('T_TTAFStock'!AB22&lt;&gt;""))&gt;0,'T_SelfStock'!AB22+'T_TTAFStock'!AB22,AA18+'Grid_Incoming'!AB18-'Grid_Requirement'!AB18))</f>
        <v/>
      </c>
      <c r="AC18">
        <f>IF(COUNTIFS(T_StockCount[Part Name],$A18,T_StockCount[WeekIndex],28)&gt;0,SUMIFS(T_StockCount[CountedQty],T_StockCount[Part Name],$A18,T_StockCount[WeekIndex],28),IF((('T_SelfStock'!AC22&lt;&gt;""))*(('T_TTAFStock'!AC22&lt;&gt;""))&gt;0,'T_SelfStock'!AC22+'T_TTAFStock'!AC22,AB18+'Grid_Incoming'!AC18-'Grid_Requirement'!AC18))</f>
        <v/>
      </c>
      <c r="AD18">
        <f>IF(COUNTIFS(T_StockCount[Part Name],$A18,T_StockCount[WeekIndex],29)&gt;0,SUMIFS(T_StockCount[CountedQty],T_StockCount[Part Name],$A18,T_StockCount[WeekIndex],29),IF((('T_SelfStock'!AD22&lt;&gt;""))*(('T_TTAFStock'!AD22&lt;&gt;""))&gt;0,'T_SelfStock'!AD22+'T_TTAFStock'!AD22,AC18+'Grid_Incoming'!AD18-'Grid_Requirement'!AD18))</f>
        <v/>
      </c>
      <c r="AE18">
        <f>IF(COUNTIFS(T_StockCount[Part Name],$A18,T_StockCount[WeekIndex],30)&gt;0,SUMIFS(T_StockCount[CountedQty],T_StockCount[Part Name],$A18,T_StockCount[WeekIndex],30),IF((('T_SelfStock'!AE22&lt;&gt;""))*(('T_TTAFStock'!AE22&lt;&gt;""))&gt;0,'T_SelfStock'!AE22+'T_TTAFStock'!AE22,AD18+'Grid_Incoming'!AE18-'Grid_Requirement'!AE18))</f>
        <v/>
      </c>
      <c r="AF18">
        <f>IF(COUNTIFS(T_StockCount[Part Name],$A18,T_StockCount[WeekIndex],31)&gt;0,SUMIFS(T_StockCount[CountedQty],T_StockCount[Part Name],$A18,T_StockCount[WeekIndex],31),IF((('T_SelfStock'!AF22&lt;&gt;""))*(('T_TTAFStock'!AF22&lt;&gt;""))&gt;0,'T_SelfStock'!AF22+'T_TTAFStock'!AF22,AE18+'Grid_Incoming'!AF18-'Grid_Requirement'!AF18))</f>
        <v/>
      </c>
      <c r="AG18">
        <f>IF(COUNTIFS(T_StockCount[Part Name],$A18,T_StockCount[WeekIndex],32)&gt;0,SUMIFS(T_StockCount[CountedQty],T_StockCount[Part Name],$A18,T_StockCount[WeekIndex],32),IF((('T_SelfStock'!AG22&lt;&gt;""))*(('T_TTAFStock'!AG22&lt;&gt;""))&gt;0,'T_SelfStock'!AG22+'T_TTAFStock'!AG22,AF18+'Grid_Incoming'!AG18-'Grid_Requirement'!AG18))</f>
        <v/>
      </c>
      <c r="AH18">
        <f>IF(COUNTIFS(T_StockCount[Part Name],$A18,T_StockCount[WeekIndex],33)&gt;0,SUMIFS(T_StockCount[CountedQty],T_StockCount[Part Name],$A18,T_StockCount[WeekIndex],33),IF((('T_SelfStock'!AH22&lt;&gt;""))*(('T_TTAFStock'!AH22&lt;&gt;""))&gt;0,'T_SelfStock'!AH22+'T_TTAFStock'!AH22,AG18+'Grid_Incoming'!AH18-'Grid_Requirement'!AH18))</f>
        <v/>
      </c>
      <c r="AI18">
        <f>IF(COUNTIFS(T_StockCount[Part Name],$A18,T_StockCount[WeekIndex],34)&gt;0,SUMIFS(T_StockCount[CountedQty],T_StockCount[Part Name],$A18,T_StockCount[WeekIndex],34),IF((('T_SelfStock'!AI22&lt;&gt;""))*(('T_TTAFStock'!AI22&lt;&gt;""))&gt;0,'T_SelfStock'!AI22+'T_TTAFStock'!AI22,AH18+'Grid_Incoming'!AI18-'Grid_Requirement'!AI18))</f>
        <v/>
      </c>
      <c r="AJ18">
        <f>IF(COUNTIFS(T_StockCount[Part Name],$A18,T_StockCount[WeekIndex],35)&gt;0,SUMIFS(T_StockCount[CountedQty],T_StockCount[Part Name],$A18,T_StockCount[WeekIndex],35),IF((('T_SelfStock'!AJ22&lt;&gt;""))*(('T_TTAFStock'!AJ22&lt;&gt;""))&gt;0,'T_SelfStock'!AJ22+'T_TTAFStock'!AJ22,AI18+'Grid_Incoming'!AJ18-'Grid_Requirement'!AJ18))</f>
        <v/>
      </c>
      <c r="AK18">
        <f>IF(COUNTIFS(T_StockCount[Part Name],$A18,T_StockCount[WeekIndex],36)&gt;0,SUMIFS(T_StockCount[CountedQty],T_StockCount[Part Name],$A18,T_StockCount[WeekIndex],36),IF((('T_SelfStock'!AK22&lt;&gt;""))*(('T_TTAFStock'!AK22&lt;&gt;""))&gt;0,'T_SelfStock'!AK22+'T_TTAFStock'!AK22,AJ18+'Grid_Incoming'!AK18-'Grid_Requirement'!AK18))</f>
        <v/>
      </c>
      <c r="AL18">
        <f>IF(COUNTIFS(T_StockCount[Part Name],$A18,T_StockCount[WeekIndex],37)&gt;0,SUMIFS(T_StockCount[CountedQty],T_StockCount[Part Name],$A18,T_StockCount[WeekIndex],37),IF((('T_SelfStock'!AL22&lt;&gt;""))*(('T_TTAFStock'!AL22&lt;&gt;""))&gt;0,'T_SelfStock'!AL22+'T_TTAFStock'!AL22,AK18+'Grid_Incoming'!AL18-'Grid_Requirement'!AL18))</f>
        <v/>
      </c>
      <c r="AM18">
        <f>IF(COUNTIFS(T_StockCount[Part Name],$A18,T_StockCount[WeekIndex],38)&gt;0,SUMIFS(T_StockCount[CountedQty],T_StockCount[Part Name],$A18,T_StockCount[WeekIndex],38),IF((('T_SelfStock'!AM22&lt;&gt;""))*(('T_TTAFStock'!AM22&lt;&gt;""))&gt;0,'T_SelfStock'!AM22+'T_TTAFStock'!AM22,AL18+'Grid_Incoming'!AM18-'Grid_Requirement'!AM18))</f>
        <v/>
      </c>
      <c r="AN18">
        <f>IF(COUNTIFS(T_StockCount[Part Name],$A18,T_StockCount[WeekIndex],39)&gt;0,SUMIFS(T_StockCount[CountedQty],T_StockCount[Part Name],$A18,T_StockCount[WeekIndex],39),IF((('T_SelfStock'!AN22&lt;&gt;""))*(('T_TTAFStock'!AN22&lt;&gt;""))&gt;0,'T_SelfStock'!AN22+'T_TTAFStock'!AN22,AM18+'Grid_Incoming'!AN18-'Grid_Requirement'!AN18))</f>
        <v/>
      </c>
      <c r="AO18">
        <f>IF(COUNTIFS(T_StockCount[Part Name],$A18,T_StockCount[WeekIndex],40)&gt;0,SUMIFS(T_StockCount[CountedQty],T_StockCount[Part Name],$A18,T_StockCount[WeekIndex],40),IF((('T_SelfStock'!AO22&lt;&gt;""))*(('T_TTAFStock'!AO22&lt;&gt;""))&gt;0,'T_SelfStock'!AO22+'T_TTAFStock'!AO22,AN18+'Grid_Incoming'!AO18-'Grid_Requirement'!AO18))</f>
        <v/>
      </c>
      <c r="AP18">
        <f>IF(COUNTIFS(T_StockCount[Part Name],$A18,T_StockCount[WeekIndex],41)&gt;0,SUMIFS(T_StockCount[CountedQty],T_StockCount[Part Name],$A18,T_StockCount[WeekIndex],41),IF((('T_SelfStock'!AP22&lt;&gt;""))*(('T_TTAFStock'!AP22&lt;&gt;""))&gt;0,'T_SelfStock'!AP22+'T_TTAFStock'!AP22,AO18+'Grid_Incoming'!AP18-'Grid_Requirement'!AP18))</f>
        <v/>
      </c>
      <c r="AQ18">
        <f>IF(COUNTIFS(T_StockCount[Part Name],$A18,T_StockCount[WeekIndex],42)&gt;0,SUMIFS(T_StockCount[CountedQty],T_StockCount[Part Name],$A18,T_StockCount[WeekIndex],42),IF((('T_SelfStock'!AQ22&lt;&gt;""))*(('T_TTAFStock'!AQ22&lt;&gt;""))&gt;0,'T_SelfStock'!AQ22+'T_TTAFStock'!AQ22,AP18+'Grid_Incoming'!AQ18-'Grid_Requirement'!AQ18))</f>
        <v/>
      </c>
      <c r="AR18">
        <f>IF(COUNTIFS(T_StockCount[Part Name],$A18,T_StockCount[WeekIndex],43)&gt;0,SUMIFS(T_StockCount[CountedQty],T_StockCount[Part Name],$A18,T_StockCount[WeekIndex],43),IF((('T_SelfStock'!AR22&lt;&gt;""))*(('T_TTAFStock'!AR22&lt;&gt;""))&gt;0,'T_SelfStock'!AR22+'T_TTAFStock'!AR22,AQ18+'Grid_Incoming'!AR18-'Grid_Requirement'!AR18))</f>
        <v/>
      </c>
      <c r="AS18">
        <f>IF(COUNTIFS(T_StockCount[Part Name],$A18,T_StockCount[WeekIndex],44)&gt;0,SUMIFS(T_StockCount[CountedQty],T_StockCount[Part Name],$A18,T_StockCount[WeekIndex],44),IF((('T_SelfStock'!AS22&lt;&gt;""))*(('T_TTAFStock'!AS22&lt;&gt;""))&gt;0,'T_SelfStock'!AS22+'T_TTAFStock'!AS22,AR18+'Grid_Incoming'!AS18-'Grid_Requirement'!AS18))</f>
        <v/>
      </c>
      <c r="AT18">
        <f>IF(COUNTIFS(T_StockCount[Part Name],$A18,T_StockCount[WeekIndex],45)&gt;0,SUMIFS(T_StockCount[CountedQty],T_StockCount[Part Name],$A18,T_StockCount[WeekIndex],45),IF((('T_SelfStock'!AT22&lt;&gt;""))*(('T_TTAFStock'!AT22&lt;&gt;""))&gt;0,'T_SelfStock'!AT22+'T_TTAFStock'!AT22,AS18+'Grid_Incoming'!AT18-'Grid_Requirement'!AT18))</f>
        <v/>
      </c>
      <c r="AU18">
        <f>IF(COUNTIFS(T_StockCount[Part Name],$A18,T_StockCount[WeekIndex],46)&gt;0,SUMIFS(T_StockCount[CountedQty],T_StockCount[Part Name],$A18,T_StockCount[WeekIndex],46),IF((('T_SelfStock'!AU22&lt;&gt;""))*(('T_TTAFStock'!AU22&lt;&gt;""))&gt;0,'T_SelfStock'!AU22+'T_TTAFStock'!AU22,AT18+'Grid_Incoming'!AU18-'Grid_Requirement'!AU18))</f>
        <v/>
      </c>
      <c r="AV18">
        <f>IF(COUNTIFS(T_StockCount[Part Name],$A18,T_StockCount[WeekIndex],47)&gt;0,SUMIFS(T_StockCount[CountedQty],T_StockCount[Part Name],$A18,T_StockCount[WeekIndex],47),IF((('T_SelfStock'!AV22&lt;&gt;""))*(('T_TTAFStock'!AV22&lt;&gt;""))&gt;0,'T_SelfStock'!AV22+'T_TTAFStock'!AV22,AU18+'Grid_Incoming'!AV18-'Grid_Requirement'!AV18))</f>
        <v/>
      </c>
      <c r="AW18">
        <f>IF(COUNTIFS(T_StockCount[Part Name],$A18,T_StockCount[WeekIndex],48)&gt;0,SUMIFS(T_StockCount[CountedQty],T_StockCount[Part Name],$A18,T_StockCount[WeekIndex],48),IF((('T_SelfStock'!AW22&lt;&gt;""))*(('T_TTAFStock'!AW22&lt;&gt;""))&gt;0,'T_SelfStock'!AW22+'T_TTAFStock'!AW22,AV18+'Grid_Incoming'!AW18-'Grid_Requirement'!AW18))</f>
        <v/>
      </c>
      <c r="AX18">
        <f>IF(COUNTIFS(T_StockCount[Part Name],$A18,T_StockCount[WeekIndex],49)&gt;0,SUMIFS(T_StockCount[CountedQty],T_StockCount[Part Name],$A18,T_StockCount[WeekIndex],49),IF((('T_SelfStock'!AX22&lt;&gt;""))*(('T_TTAFStock'!AX22&lt;&gt;""))&gt;0,'T_SelfStock'!AX22+'T_TTAFStock'!AX22,AW18+'Grid_Incoming'!AX18-'Grid_Requirement'!AX18))</f>
        <v/>
      </c>
      <c r="AY18">
        <f>IF(COUNTIFS(T_StockCount[Part Name],$A18,T_StockCount[WeekIndex],50)&gt;0,SUMIFS(T_StockCount[CountedQty],T_StockCount[Part Name],$A18,T_StockCount[WeekIndex],50),IF((('T_SelfStock'!AY22&lt;&gt;""))*(('T_TTAFStock'!AY22&lt;&gt;""))&gt;0,'T_SelfStock'!AY22+'T_TTAFStock'!AY22,AX18+'Grid_Incoming'!AY18-'Grid_Requirement'!AY18))</f>
        <v/>
      </c>
      <c r="AZ18">
        <f>IF(COUNTIFS(T_StockCount[Part Name],$A18,T_StockCount[WeekIndex],51)&gt;0,SUMIFS(T_StockCount[CountedQty],T_StockCount[Part Name],$A18,T_StockCount[WeekIndex],51),IF((('T_SelfStock'!AZ22&lt;&gt;""))*(('T_TTAFStock'!AZ22&lt;&gt;""))&gt;0,'T_SelfStock'!AZ22+'T_TTAFStock'!AZ22,AY18+'Grid_Incoming'!AZ18-'Grid_Requirement'!AZ18))</f>
        <v/>
      </c>
      <c r="BA18">
        <f>IF(COUNTIFS(T_StockCount[Part Name],$A18,T_StockCount[WeekIndex],52)&gt;0,SUMIFS(T_StockCount[CountedQty],T_StockCount[Part Name],$A18,T_StockCount[WeekIndex],52),IF((('T_SelfStock'!BA22&lt;&gt;""))*(('T_TTAFStock'!BA22&lt;&gt;""))&gt;0,'T_SelfStock'!BA22+'T_TTAFStock'!BA22,AZ18+'Grid_Incoming'!BA18-'Grid_Requirement'!BA18))</f>
        <v/>
      </c>
      <c r="BB18">
        <f>IF(COUNTIFS(T_StockCount[Part Name],$A18,T_StockCount[WeekIndex],53)&gt;0,SUMIFS(T_StockCount[CountedQty],T_StockCount[Part Name],$A18,T_StockCount[WeekIndex],53),IF((('T_SelfStock'!BB22&lt;&gt;""))*(('T_TTAFStock'!BB22&lt;&gt;""))&gt;0,'T_SelfStock'!BB22+'T_TTAFStock'!BB22,BA18+'Grid_Incoming'!BB18-'Grid_Requirement'!BB18))</f>
        <v/>
      </c>
      <c r="BC18">
        <f>IF(COUNTIFS(T_StockCount[Part Name],$A18,T_StockCount[WeekIndex],54)&gt;0,SUMIFS(T_StockCount[CountedQty],T_StockCount[Part Name],$A18,T_StockCount[WeekIndex],54),IF((('T_SelfStock'!BC22&lt;&gt;""))*(('T_TTAFStock'!BC22&lt;&gt;""))&gt;0,'T_SelfStock'!BC22+'T_TTAFStock'!BC22,BB18+'Grid_Incoming'!BC18-'Grid_Requirement'!BC18))</f>
        <v/>
      </c>
      <c r="BD18">
        <f>IF(COUNTIFS(T_StockCount[Part Name],$A18,T_StockCount[WeekIndex],55)&gt;0,SUMIFS(T_StockCount[CountedQty],T_StockCount[Part Name],$A18,T_StockCount[WeekIndex],55),IF((('T_SelfStock'!BD22&lt;&gt;""))*(('T_TTAFStock'!BD22&lt;&gt;""))&gt;0,'T_SelfStock'!BD22+'T_TTAFStock'!BD22,BC18+'Grid_Incoming'!BD18-'Grid_Requirement'!BD18))</f>
        <v/>
      </c>
      <c r="BE18">
        <f>IF(COUNTIFS(T_StockCount[Part Name],$A18,T_StockCount[WeekIndex],56)&gt;0,SUMIFS(T_StockCount[CountedQty],T_StockCount[Part Name],$A18,T_StockCount[WeekIndex],56),IF((('T_SelfStock'!BE22&lt;&gt;""))*(('T_TTAFStock'!BE22&lt;&gt;""))&gt;0,'T_SelfStock'!BE22+'T_TTAFStock'!BE22,BD18+'Grid_Incoming'!BE18-'Grid_Requirement'!BE18))</f>
        <v/>
      </c>
      <c r="BF18">
        <f>IF(COUNTIFS(T_StockCount[Part Name],$A18,T_StockCount[WeekIndex],57)&gt;0,SUMIFS(T_StockCount[CountedQty],T_StockCount[Part Name],$A18,T_StockCount[WeekIndex],57),IF((('T_SelfStock'!BF22&lt;&gt;""))*(('T_TTAFStock'!BF22&lt;&gt;""))&gt;0,'T_SelfStock'!BF22+'T_TTAFStock'!BF22,BE18+'Grid_Incoming'!BF18-'Grid_Requirement'!BF18))</f>
        <v/>
      </c>
      <c r="BG18">
        <f>IF(COUNTIFS(T_StockCount[Part Name],$A18,T_StockCount[WeekIndex],58)&gt;0,SUMIFS(T_StockCount[CountedQty],T_StockCount[Part Name],$A18,T_StockCount[WeekIndex],58),IF((('T_SelfStock'!BG22&lt;&gt;""))*(('T_TTAFStock'!BG22&lt;&gt;""))&gt;0,'T_SelfStock'!BG22+'T_TTAFStock'!BG22,BF18+'Grid_Incoming'!BG18-'Grid_Requirement'!BG18))</f>
        <v/>
      </c>
      <c r="BH18">
        <f>IF(COUNTIFS(T_StockCount[Part Name],$A18,T_StockCount[WeekIndex],59)&gt;0,SUMIFS(T_StockCount[CountedQty],T_StockCount[Part Name],$A18,T_StockCount[WeekIndex],59),IF((('T_SelfStock'!BH22&lt;&gt;""))*(('T_TTAFStock'!BH22&lt;&gt;""))&gt;0,'T_SelfStock'!BH22+'T_TTAFStock'!BH22,BG18+'Grid_Incoming'!BH18-'Grid_Requirement'!BH18))</f>
        <v/>
      </c>
      <c r="BI18">
        <f>IF(COUNTIFS(T_StockCount[Part Name],$A18,T_StockCount[WeekIndex],60)&gt;0,SUMIFS(T_StockCount[CountedQty],T_StockCount[Part Name],$A18,T_StockCount[WeekIndex],60),IF((('T_SelfStock'!BI22&lt;&gt;""))*(('T_TTAFStock'!BI22&lt;&gt;""))&gt;0,'T_SelfStock'!BI22+'T_TTAFStock'!BI22,BH18+'Grid_Incoming'!BI18-'Grid_Requirement'!BI18))</f>
        <v/>
      </c>
      <c r="BJ18">
        <f>IF(COUNTIFS(T_StockCount[Part Name],$A18,T_StockCount[WeekIndex],61)&gt;0,SUMIFS(T_StockCount[CountedQty],T_StockCount[Part Name],$A18,T_StockCount[WeekIndex],61),IF((('T_SelfStock'!BJ22&lt;&gt;""))*(('T_TTAFStock'!BJ22&lt;&gt;""))&gt;0,'T_SelfStock'!BJ22+'T_TTAFStock'!BJ22,BI18+'Grid_Incoming'!BJ18-'Grid_Requirement'!BJ18))</f>
        <v/>
      </c>
      <c r="BK18">
        <f>IF(COUNTIFS(T_StockCount[Part Name],$A18,T_StockCount[WeekIndex],62)&gt;0,SUMIFS(T_StockCount[CountedQty],T_StockCount[Part Name],$A18,T_StockCount[WeekIndex],62),IF((('T_SelfStock'!BK22&lt;&gt;""))*(('T_TTAFStock'!BK22&lt;&gt;""))&gt;0,'T_SelfStock'!BK22+'T_TTAFStock'!BK22,BJ18+'Grid_Incoming'!BK18-'Grid_Requirement'!BK18))</f>
        <v/>
      </c>
      <c r="BL18">
        <f>IF(COUNTIFS(T_StockCount[Part Name],$A18,T_StockCount[WeekIndex],63)&gt;0,SUMIFS(T_StockCount[CountedQty],T_StockCount[Part Name],$A18,T_StockCount[WeekIndex],63),IF((('T_SelfStock'!BL22&lt;&gt;""))*(('T_TTAFStock'!BL22&lt;&gt;""))&gt;0,'T_SelfStock'!BL22+'T_TTAFStock'!BL22,BK18+'Grid_Incoming'!BL18-'Grid_Requirement'!BL18))</f>
        <v/>
      </c>
      <c r="BM18">
        <f>IF(COUNTIFS(T_StockCount[Part Name],$A18,T_StockCount[WeekIndex],64)&gt;0,SUMIFS(T_StockCount[CountedQty],T_StockCount[Part Name],$A18,T_StockCount[WeekIndex],64),IF((('T_SelfStock'!BM22&lt;&gt;""))*(('T_TTAFStock'!BM22&lt;&gt;""))&gt;0,'T_SelfStock'!BM22+'T_TTAFStock'!BM22,BL18+'Grid_Incoming'!BM18-'Grid_Requirement'!BM18))</f>
        <v/>
      </c>
      <c r="BN18">
        <f>IF(COUNTIFS(T_StockCount[Part Name],$A18,T_StockCount[WeekIndex],65)&gt;0,SUMIFS(T_StockCount[CountedQty],T_StockCount[Part Name],$A18,T_StockCount[WeekIndex],65),IF((('T_SelfStock'!BN22&lt;&gt;""))*(('T_TTAFStock'!BN22&lt;&gt;""))&gt;0,'T_SelfStock'!BN22+'T_TTAFStock'!BN22,BM18+'Grid_Incoming'!BN18-'Grid_Requirement'!BN18))</f>
        <v/>
      </c>
      <c r="BO18">
        <f>IF(COUNTIFS(T_StockCount[Part Name],$A18,T_StockCount[WeekIndex],66)&gt;0,SUMIFS(T_StockCount[CountedQty],T_StockCount[Part Name],$A18,T_StockCount[WeekIndex],66),IF((('T_SelfStock'!BO22&lt;&gt;""))*(('T_TTAFStock'!BO22&lt;&gt;""))&gt;0,'T_SelfStock'!BO22+'T_TTAFStock'!BO22,BN18+'Grid_Incoming'!BO18-'Grid_Requirement'!BO18))</f>
        <v/>
      </c>
      <c r="BP18">
        <f>IF(COUNTIFS(T_StockCount[Part Name],$A18,T_StockCount[WeekIndex],67)&gt;0,SUMIFS(T_StockCount[CountedQty],T_StockCount[Part Name],$A18,T_StockCount[WeekIndex],67),IF((('T_SelfStock'!BP22&lt;&gt;""))*(('T_TTAFStock'!BP22&lt;&gt;""))&gt;0,'T_SelfStock'!BP22+'T_TTAFStock'!BP22,BO18+'Grid_Incoming'!BP18-'Grid_Requirement'!BP18))</f>
        <v/>
      </c>
      <c r="BQ18">
        <f>IF(COUNTIFS(T_StockCount[Part Name],$A18,T_StockCount[WeekIndex],68)&gt;0,SUMIFS(T_StockCount[CountedQty],T_StockCount[Part Name],$A18,T_StockCount[WeekIndex],68),IF((('T_SelfStock'!BQ22&lt;&gt;""))*(('T_TTAFStock'!BQ22&lt;&gt;""))&gt;0,'T_SelfStock'!BQ22+'T_TTAFStock'!BQ22,BP18+'Grid_Incoming'!BQ18-'Grid_Requirement'!BQ18))</f>
        <v/>
      </c>
      <c r="BR18">
        <f>IF(COUNTIFS(T_StockCount[Part Name],$A18,T_StockCount[WeekIndex],69)&gt;0,SUMIFS(T_StockCount[CountedQty],T_StockCount[Part Name],$A18,T_StockCount[WeekIndex],69),IF((('T_SelfStock'!BR22&lt;&gt;""))*(('T_TTAFStock'!BR22&lt;&gt;""))&gt;0,'T_SelfStock'!BR22+'T_TTAFStock'!BR22,BQ18+'Grid_Incoming'!BR18-'Grid_Requirement'!BR18))</f>
        <v/>
      </c>
      <c r="BS18">
        <f>IF(COUNTIFS(T_StockCount[Part Name],$A18,T_StockCount[WeekIndex],70)&gt;0,SUMIFS(T_StockCount[CountedQty],T_StockCount[Part Name],$A18,T_StockCount[WeekIndex],70),IF((('T_SelfStock'!BS22&lt;&gt;""))*(('T_TTAFStock'!BS22&lt;&gt;""))&gt;0,'T_SelfStock'!BS22+'T_TTAFStock'!BS22,BR18+'Grid_Incoming'!BS18-'Grid_Requirement'!BS18))</f>
        <v/>
      </c>
      <c r="BT18">
        <f>IF(COUNTIFS(T_StockCount[Part Name],$A18,T_StockCount[WeekIndex],71)&gt;0,SUMIFS(T_StockCount[CountedQty],T_StockCount[Part Name],$A18,T_StockCount[WeekIndex],71),IF((('T_SelfStock'!BT22&lt;&gt;""))*(('T_TTAFStock'!BT22&lt;&gt;""))&gt;0,'T_SelfStock'!BT22+'T_TTAFStock'!BT22,BS18+'Grid_Incoming'!BT18-'Grid_Requirement'!BT18))</f>
        <v/>
      </c>
      <c r="BU18">
        <f>IF(COUNTIFS(T_StockCount[Part Name],$A18,T_StockCount[WeekIndex],72)&gt;0,SUMIFS(T_StockCount[CountedQty],T_StockCount[Part Name],$A18,T_StockCount[WeekIndex],72),IF((('T_SelfStock'!BU22&lt;&gt;""))*(('T_TTAFStock'!BU22&lt;&gt;""))&gt;0,'T_SelfStock'!BU22+'T_TTAFStock'!BU22,BT18+'Grid_Incoming'!BU18-'Grid_Requirement'!BU18))</f>
        <v/>
      </c>
      <c r="BV18">
        <f>IF(COUNTIFS(T_StockCount[Part Name],$A18,T_StockCount[WeekIndex],73)&gt;0,SUMIFS(T_StockCount[CountedQty],T_StockCount[Part Name],$A18,T_StockCount[WeekIndex],73),IF((('T_SelfStock'!BV22&lt;&gt;""))*(('T_TTAFStock'!BV22&lt;&gt;""))&gt;0,'T_SelfStock'!BV22+'T_TTAFStock'!BV22,BU18+'Grid_Incoming'!BV18-'Grid_Requirement'!BV18))</f>
        <v/>
      </c>
      <c r="BW18">
        <f>IF(COUNTIFS(T_StockCount[Part Name],$A18,T_StockCount[WeekIndex],74)&gt;0,SUMIFS(T_StockCount[CountedQty],T_StockCount[Part Name],$A18,T_StockCount[WeekIndex],74),IF((('T_SelfStock'!BW22&lt;&gt;""))*(('T_TTAFStock'!BW22&lt;&gt;""))&gt;0,'T_SelfStock'!BW22+'T_TTAFStock'!BW22,BV18+'Grid_Incoming'!BW18-'Grid_Requirement'!BW18))</f>
        <v/>
      </c>
      <c r="BX18">
        <f>IF(COUNTIFS(T_StockCount[Part Name],$A18,T_StockCount[WeekIndex],75)&gt;0,SUMIFS(T_StockCount[CountedQty],T_StockCount[Part Name],$A18,T_StockCount[WeekIndex],75),IF((('T_SelfStock'!BX22&lt;&gt;""))*(('T_TTAFStock'!BX22&lt;&gt;""))&gt;0,'T_SelfStock'!BX22+'T_TTAFStock'!BX22,BW18+'Grid_Incoming'!BX18-'Grid_Requirement'!BX18))</f>
        <v/>
      </c>
      <c r="BY18">
        <f>IF(COUNTIFS(T_StockCount[Part Name],$A18,T_StockCount[WeekIndex],76)&gt;0,SUMIFS(T_StockCount[CountedQty],T_StockCount[Part Name],$A18,T_StockCount[WeekIndex],76),IF((('T_SelfStock'!BY22&lt;&gt;""))*(('T_TTAFStock'!BY22&lt;&gt;""))&gt;0,'T_SelfStock'!BY22+'T_TTAFStock'!BY22,BX18+'Grid_Incoming'!BY18-'Grid_Requirement'!BY18))</f>
        <v/>
      </c>
      <c r="BZ18">
        <f>IF(COUNTIFS(T_StockCount[Part Name],$A18,T_StockCount[WeekIndex],77)&gt;0,SUMIFS(T_StockCount[CountedQty],T_StockCount[Part Name],$A18,T_StockCount[WeekIndex],77),IF((('T_SelfStock'!BZ22&lt;&gt;""))*(('T_TTAFStock'!BZ22&lt;&gt;""))&gt;0,'T_SelfStock'!BZ22+'T_TTAFStock'!BZ22,BY18+'Grid_Incoming'!BZ18-'Grid_Requirement'!BZ18))</f>
        <v/>
      </c>
      <c r="CA18">
        <f>IF(COUNTIFS(T_StockCount[Part Name],$A18,T_StockCount[WeekIndex],78)&gt;0,SUMIFS(T_StockCount[CountedQty],T_StockCount[Part Name],$A18,T_StockCount[WeekIndex],78),IF((('T_SelfStock'!CA22&lt;&gt;""))*(('T_TTAFStock'!CA22&lt;&gt;""))&gt;0,'T_SelfStock'!CA22+'T_TTAFStock'!CA22,BZ18+'Grid_Incoming'!CA18-'Grid_Requirement'!CA18))</f>
        <v/>
      </c>
      <c r="CB18">
        <f>IF(COUNTIFS(T_StockCount[Part Name],$A18,T_StockCount[WeekIndex],79)&gt;0,SUMIFS(T_StockCount[CountedQty],T_StockCount[Part Name],$A18,T_StockCount[WeekIndex],79),IF((('T_SelfStock'!CB22&lt;&gt;""))*(('T_TTAFStock'!CB22&lt;&gt;""))&gt;0,'T_SelfStock'!CB22+'T_TTAFStock'!CB22,CA18+'Grid_Incoming'!CB18-'Grid_Requirement'!CB18))</f>
        <v/>
      </c>
      <c r="CC18">
        <f>IF(COUNTIFS(T_StockCount[Part Name],$A18,T_StockCount[WeekIndex],80)&gt;0,SUMIFS(T_StockCount[CountedQty],T_StockCount[Part Name],$A18,T_StockCount[WeekIndex],80),IF((('T_SelfStock'!CC22&lt;&gt;""))*(('T_TTAFStock'!CC22&lt;&gt;""))&gt;0,'T_SelfStock'!CC22+'T_TTAFStock'!CC22,CB18+'Grid_Incoming'!CC18-'Grid_Requirement'!CC18))</f>
        <v/>
      </c>
      <c r="CD18">
        <f>IF(COUNTIFS(T_StockCount[Part Name],$A18,T_StockCount[WeekIndex],81)&gt;0,SUMIFS(T_StockCount[CountedQty],T_StockCount[Part Name],$A18,T_StockCount[WeekIndex],81),IF((('T_SelfStock'!CD22&lt;&gt;""))*(('T_TTAFStock'!CD22&lt;&gt;""))&gt;0,'T_SelfStock'!CD22+'T_TTAFStock'!CD22,CC18+'Grid_Incoming'!CD18-'Grid_Requirement'!CD18))</f>
        <v/>
      </c>
      <c r="CE18">
        <f>IF(COUNTIFS(T_StockCount[Part Name],$A18,T_StockCount[WeekIndex],82)&gt;0,SUMIFS(T_StockCount[CountedQty],T_StockCount[Part Name],$A18,T_StockCount[WeekIndex],82),IF((('T_SelfStock'!CE22&lt;&gt;""))*(('T_TTAFStock'!CE22&lt;&gt;""))&gt;0,'T_SelfStock'!CE22+'T_TTAFStock'!CE22,CD18+'Grid_Incoming'!CE18-'Grid_Requirement'!CE18))</f>
        <v/>
      </c>
      <c r="CF18">
        <f>IF(COUNTIFS(T_StockCount[Part Name],$A18,T_StockCount[WeekIndex],83)&gt;0,SUMIFS(T_StockCount[CountedQty],T_StockCount[Part Name],$A18,T_StockCount[WeekIndex],83),IF((('T_SelfStock'!CF22&lt;&gt;""))*(('T_TTAFStock'!CF22&lt;&gt;""))&gt;0,'T_SelfStock'!CF22+'T_TTAFStock'!CF22,CE18+'Grid_Incoming'!CF18-'Grid_Requirement'!CF18))</f>
        <v/>
      </c>
      <c r="CG18">
        <f>IF(COUNTIFS(T_StockCount[Part Name],$A18,T_StockCount[WeekIndex],84)&gt;0,SUMIFS(T_StockCount[CountedQty],T_StockCount[Part Name],$A18,T_StockCount[WeekIndex],84),IF((('T_SelfStock'!CG22&lt;&gt;""))*(('T_TTAFStock'!CG22&lt;&gt;""))&gt;0,'T_SelfStock'!CG22+'T_TTAFStock'!CG22,CF18+'Grid_Incoming'!CG18-'Grid_Requirement'!CG18))</f>
        <v/>
      </c>
      <c r="CH18">
        <f>IF(COUNTIFS(T_StockCount[Part Name],$A18,T_StockCount[WeekIndex],85)&gt;0,SUMIFS(T_StockCount[CountedQty],T_StockCount[Part Name],$A18,T_StockCount[WeekIndex],85),IF((('T_SelfStock'!CH22&lt;&gt;""))*(('T_TTAFStock'!CH22&lt;&gt;""))&gt;0,'T_SelfStock'!CH22+'T_TTAFStock'!CH22,CG18+'Grid_Incoming'!CH18-'Grid_Requirement'!CH18))</f>
        <v/>
      </c>
      <c r="CI18">
        <f>IF(COUNTIFS(T_StockCount[Part Name],$A18,T_StockCount[WeekIndex],86)&gt;0,SUMIFS(T_StockCount[CountedQty],T_StockCount[Part Name],$A18,T_StockCount[WeekIndex],86),IF((('T_SelfStock'!CI22&lt;&gt;""))*(('T_TTAFStock'!CI22&lt;&gt;""))&gt;0,'T_SelfStock'!CI22+'T_TTAFStock'!CI22,CH18+'Grid_Incoming'!CI18-'Grid_Requirement'!CI18))</f>
        <v/>
      </c>
      <c r="CJ18">
        <f>IF(COUNTIFS(T_StockCount[Part Name],$A18,T_StockCount[WeekIndex],87)&gt;0,SUMIFS(T_StockCount[CountedQty],T_StockCount[Part Name],$A18,T_StockCount[WeekIndex],87),IF((('T_SelfStock'!CJ22&lt;&gt;""))*(('T_TTAFStock'!CJ22&lt;&gt;""))&gt;0,'T_SelfStock'!CJ22+'T_TTAFStock'!CJ22,CI18+'Grid_Incoming'!CJ18-'Grid_Requirement'!CJ18))</f>
        <v/>
      </c>
      <c r="CK18">
        <f>IF(COUNTIFS(T_StockCount[Part Name],$A18,T_StockCount[WeekIndex],88)&gt;0,SUMIFS(T_StockCount[CountedQty],T_StockCount[Part Name],$A18,T_StockCount[WeekIndex],88),IF((('T_SelfStock'!CK22&lt;&gt;""))*(('T_TTAFStock'!CK22&lt;&gt;""))&gt;0,'T_SelfStock'!CK22+'T_TTAFStock'!CK22,CJ18+'Grid_Incoming'!CK18-'Grid_Requirement'!CK18))</f>
        <v/>
      </c>
      <c r="CL18">
        <f>IF(COUNTIFS(T_StockCount[Part Name],$A18,T_StockCount[WeekIndex],89)&gt;0,SUMIFS(T_StockCount[CountedQty],T_StockCount[Part Name],$A18,T_StockCount[WeekIndex],89),IF((('T_SelfStock'!CL22&lt;&gt;""))*(('T_TTAFStock'!CL22&lt;&gt;""))&gt;0,'T_SelfStock'!CL22+'T_TTAFStock'!CL22,CK18+'Grid_Incoming'!CL18-'Grid_Requirement'!CL18))</f>
        <v/>
      </c>
      <c r="CM18">
        <f>IF(COUNTIFS(T_StockCount[Part Name],$A18,T_StockCount[WeekIndex],90)&gt;0,SUMIFS(T_StockCount[CountedQty],T_StockCount[Part Name],$A18,T_StockCount[WeekIndex],90),IF((('T_SelfStock'!CM22&lt;&gt;""))*(('T_TTAFStock'!CM22&lt;&gt;""))&gt;0,'T_SelfStock'!CM22+'T_TTAFStock'!CM22,CL18+'Grid_Incoming'!CM18-'Grid_Requirement'!CM18))</f>
        <v/>
      </c>
      <c r="CN18">
        <f>IF(COUNTIFS(T_StockCount[Part Name],$A18,T_StockCount[WeekIndex],91)&gt;0,SUMIFS(T_StockCount[CountedQty],T_StockCount[Part Name],$A18,T_StockCount[WeekIndex],91),IF((('T_SelfStock'!CN22&lt;&gt;""))*(('T_TTAFStock'!CN22&lt;&gt;""))&gt;0,'T_SelfStock'!CN22+'T_TTAFStock'!CN22,CM18+'Grid_Incoming'!CN18-'Grid_Requirement'!CN18))</f>
        <v/>
      </c>
      <c r="CO18">
        <f>IF(COUNTIFS(T_StockCount[Part Name],$A18,T_StockCount[WeekIndex],92)&gt;0,SUMIFS(T_StockCount[CountedQty],T_StockCount[Part Name],$A18,T_StockCount[WeekIndex],92),IF((('T_SelfStock'!CO22&lt;&gt;""))*(('T_TTAFStock'!CO22&lt;&gt;""))&gt;0,'T_SelfStock'!CO22+'T_TTAFStock'!CO22,CN18+'Grid_Incoming'!CO18-'Grid_Requirement'!CO18))</f>
        <v/>
      </c>
      <c r="CP18">
        <f>IF(COUNTIFS(T_StockCount[Part Name],$A18,T_StockCount[WeekIndex],93)&gt;0,SUMIFS(T_StockCount[CountedQty],T_StockCount[Part Name],$A18,T_StockCount[WeekIndex],93),IF((('T_SelfStock'!CP22&lt;&gt;""))*(('T_TTAFStock'!CP22&lt;&gt;""))&gt;0,'T_SelfStock'!CP22+'T_TTAFStock'!CP22,CO18+'Grid_Incoming'!CP18-'Grid_Requirement'!CP18))</f>
        <v/>
      </c>
      <c r="CQ18">
        <f>IF(COUNTIFS(T_StockCount[Part Name],$A18,T_StockCount[WeekIndex],94)&gt;0,SUMIFS(T_StockCount[CountedQty],T_StockCount[Part Name],$A18,T_StockCount[WeekIndex],94),IF((('T_SelfStock'!CQ22&lt;&gt;""))*(('T_TTAFStock'!CQ22&lt;&gt;""))&gt;0,'T_SelfStock'!CQ22+'T_TTAFStock'!CQ22,CP18+'Grid_Incoming'!CQ18-'Grid_Requirement'!CQ18))</f>
        <v/>
      </c>
      <c r="CR18">
        <f>IF(COUNTIFS(T_StockCount[Part Name],$A18,T_StockCount[WeekIndex],95)&gt;0,SUMIFS(T_StockCount[CountedQty],T_StockCount[Part Name],$A18,T_StockCount[WeekIndex],95),IF((('T_SelfStock'!CR22&lt;&gt;""))*(('T_TTAFStock'!CR22&lt;&gt;""))&gt;0,'T_SelfStock'!CR22+'T_TTAFStock'!CR22,CQ18+'Grid_Incoming'!CR18-'Grid_Requirement'!CR18))</f>
        <v/>
      </c>
      <c r="CS18">
        <f>IF(COUNTIFS(T_StockCount[Part Name],$A18,T_StockCount[WeekIndex],96)&gt;0,SUMIFS(T_StockCount[CountedQty],T_StockCount[Part Name],$A18,T_StockCount[WeekIndex],96),IF((('T_SelfStock'!CS22&lt;&gt;""))*(('T_TTAFStock'!CS22&lt;&gt;""))&gt;0,'T_SelfStock'!CS22+'T_TTAFStock'!CS22,CR18+'Grid_Incoming'!CS18-'Grid_Requirement'!CS18))</f>
        <v/>
      </c>
      <c r="CT18">
        <f>IF(COUNTIFS(T_StockCount[Part Name],$A18,T_StockCount[WeekIndex],97)&gt;0,SUMIFS(T_StockCount[CountedQty],T_StockCount[Part Name],$A18,T_StockCount[WeekIndex],97),IF((('T_SelfStock'!CT22&lt;&gt;""))*(('T_TTAFStock'!CT22&lt;&gt;""))&gt;0,'T_SelfStock'!CT22+'T_TTAFStock'!CT22,CS18+'Grid_Incoming'!CT18-'Grid_Requirement'!CT18))</f>
        <v/>
      </c>
      <c r="CU18">
        <f>IF(COUNTIFS(T_StockCount[Part Name],$A18,T_StockCount[WeekIndex],98)&gt;0,SUMIFS(T_StockCount[CountedQty],T_StockCount[Part Name],$A18,T_StockCount[WeekIndex],98),IF((('T_SelfStock'!CU22&lt;&gt;""))*(('T_TTAFStock'!CU22&lt;&gt;""))&gt;0,'T_SelfStock'!CU22+'T_TTAFStock'!CU22,CT18+'Grid_Incoming'!CU18-'Grid_Requirement'!CU18))</f>
        <v/>
      </c>
      <c r="CV18">
        <f>IF(COUNTIFS(T_StockCount[Part Name],$A18,T_StockCount[WeekIndex],99)&gt;0,SUMIFS(T_StockCount[CountedQty],T_StockCount[Part Name],$A18,T_StockCount[WeekIndex],99),IF((('T_SelfStock'!CV22&lt;&gt;""))*(('T_TTAFStock'!CV22&lt;&gt;""))&gt;0,'T_SelfStock'!CV22+'T_TTAFStock'!CV22,CU18+'Grid_Incoming'!CV18-'Grid_Requirement'!CV18))</f>
        <v/>
      </c>
      <c r="CW18">
        <f>IF(COUNTIFS(T_StockCount[Part Name],$A18,T_StockCount[WeekIndex],100)&gt;0,SUMIFS(T_StockCount[CountedQty],T_StockCount[Part Name],$A18,T_StockCount[WeekIndex],100),IF((('T_SelfStock'!CW22&lt;&gt;""))*(('T_TTAFStock'!CW22&lt;&gt;""))&gt;0,'T_SelfStock'!CW22+'T_TTAFStock'!CW22,CV18+'Grid_Incoming'!CW18-'Grid_Requirement'!CW18))</f>
        <v/>
      </c>
      <c r="CX18">
        <f>IF(COUNTIFS(T_StockCount[Part Name],$A18,T_StockCount[WeekIndex],101)&gt;0,SUMIFS(T_StockCount[CountedQty],T_StockCount[Part Name],$A18,T_StockCount[WeekIndex],101),IF((('T_SelfStock'!CX22&lt;&gt;""))*(('T_TTAFStock'!CX22&lt;&gt;""))&gt;0,'T_SelfStock'!CX22+'T_TTAFStock'!CX22,CW18+'Grid_Incoming'!CX18-'Grid_Requirement'!CX18))</f>
        <v/>
      </c>
      <c r="CY18">
        <f>IF(COUNTIFS(T_StockCount[Part Name],$A18,T_StockCount[WeekIndex],102)&gt;0,SUMIFS(T_StockCount[CountedQty],T_StockCount[Part Name],$A18,T_StockCount[WeekIndex],102),IF((('T_SelfStock'!CY22&lt;&gt;""))*(('T_TTAFStock'!CY22&lt;&gt;""))&gt;0,'T_SelfStock'!CY22+'T_TTAFStock'!CY22,CX18+'Grid_Incoming'!CY18-'Grid_Requirement'!CY18))</f>
        <v/>
      </c>
      <c r="CZ18">
        <f>IF(COUNTIFS(T_StockCount[Part Name],$A18,T_StockCount[WeekIndex],103)&gt;0,SUMIFS(T_StockCount[CountedQty],T_StockCount[Part Name],$A18,T_StockCount[WeekIndex],103),IF((('T_SelfStock'!CZ22&lt;&gt;""))*(('T_TTAFStock'!CZ22&lt;&gt;""))&gt;0,'T_SelfStock'!CZ22+'T_TTAFStock'!CZ22,CY18+'Grid_Incoming'!CZ18-'Grid_Requirement'!CZ18))</f>
        <v/>
      </c>
      <c r="DA18">
        <f>IF(COUNTIFS(T_StockCount[Part Name],$A18,T_StockCount[WeekIndex],104)&gt;0,SUMIFS(T_StockCount[CountedQty],T_StockCount[Part Name],$A18,T_StockCount[WeekIndex],104),IF((('T_SelfStock'!DA22&lt;&gt;""))*(('T_TTAFStock'!DA22&lt;&gt;""))&gt;0,'T_SelfStock'!DA22+'T_TTAFStock'!DA22,CZ18+'Grid_Incoming'!DA18-'Grid_Requirement'!DA18))</f>
        <v/>
      </c>
    </row>
    <row r="19">
      <c r="A19" t="inlineStr">
        <is>
          <t>26F</t>
        </is>
      </c>
      <c r="B19">
        <f>IF(COUNTIFS(T_StockCount[Part Name],$A19,T_StockCount[WeekIndex],1)&gt;0,SUMIFS(T_StockCount[CountedQty],T_StockCount[Part Name],$A19,T_StockCount[WeekIndex],1),IF((('T_SelfStock'!B23&lt;&gt;""))*(('T_TTAFStock'!B23&lt;&gt;""))&gt;0,'T_SelfStock'!B23+'T_TTAFStock'!B23,IFERROR(INDEX(T_OpeningStock[Opening_Qty_要入力],MATCH($A19,T_OpeningStock[Part Name],0)),0)+'Grid_Incoming'!B19-'Grid_Requirement'!B19))</f>
        <v/>
      </c>
      <c r="C19">
        <f>IF(COUNTIFS(T_StockCount[Part Name],$A19,T_StockCount[WeekIndex],2)&gt;0,SUMIFS(T_StockCount[CountedQty],T_StockCount[Part Name],$A19,T_StockCount[WeekIndex],2),IF((('T_SelfStock'!C23&lt;&gt;""))*(('T_TTAFStock'!C23&lt;&gt;""))&gt;0,'T_SelfStock'!C23+'T_TTAFStock'!C23,B19+'Grid_Incoming'!C19-'Grid_Requirement'!C19))</f>
        <v/>
      </c>
      <c r="D19">
        <f>IF(COUNTIFS(T_StockCount[Part Name],$A19,T_StockCount[WeekIndex],3)&gt;0,SUMIFS(T_StockCount[CountedQty],T_StockCount[Part Name],$A19,T_StockCount[WeekIndex],3),IF((('T_SelfStock'!D23&lt;&gt;""))*(('T_TTAFStock'!D23&lt;&gt;""))&gt;0,'T_SelfStock'!D23+'T_TTAFStock'!D23,C19+'Grid_Incoming'!D19-'Grid_Requirement'!D19))</f>
        <v/>
      </c>
      <c r="E19">
        <f>IF(COUNTIFS(T_StockCount[Part Name],$A19,T_StockCount[WeekIndex],4)&gt;0,SUMIFS(T_StockCount[CountedQty],T_StockCount[Part Name],$A19,T_StockCount[WeekIndex],4),IF((('T_SelfStock'!E23&lt;&gt;""))*(('T_TTAFStock'!E23&lt;&gt;""))&gt;0,'T_SelfStock'!E23+'T_TTAFStock'!E23,D19+'Grid_Incoming'!E19-'Grid_Requirement'!E19))</f>
        <v/>
      </c>
      <c r="F19">
        <f>IF(COUNTIFS(T_StockCount[Part Name],$A19,T_StockCount[WeekIndex],5)&gt;0,SUMIFS(T_StockCount[CountedQty],T_StockCount[Part Name],$A19,T_StockCount[WeekIndex],5),IF((('T_SelfStock'!F23&lt;&gt;""))*(('T_TTAFStock'!F23&lt;&gt;""))&gt;0,'T_SelfStock'!F23+'T_TTAFStock'!F23,E19+'Grid_Incoming'!F19-'Grid_Requirement'!F19))</f>
        <v/>
      </c>
      <c r="G19">
        <f>IF(COUNTIFS(T_StockCount[Part Name],$A19,T_StockCount[WeekIndex],6)&gt;0,SUMIFS(T_StockCount[CountedQty],T_StockCount[Part Name],$A19,T_StockCount[WeekIndex],6),IF((('T_SelfStock'!G23&lt;&gt;""))*(('T_TTAFStock'!G23&lt;&gt;""))&gt;0,'T_SelfStock'!G23+'T_TTAFStock'!G23,F19+'Grid_Incoming'!G19-'Grid_Requirement'!G19))</f>
        <v/>
      </c>
      <c r="H19">
        <f>IF(COUNTIFS(T_StockCount[Part Name],$A19,T_StockCount[WeekIndex],7)&gt;0,SUMIFS(T_StockCount[CountedQty],T_StockCount[Part Name],$A19,T_StockCount[WeekIndex],7),IF((('T_SelfStock'!H23&lt;&gt;""))*(('T_TTAFStock'!H23&lt;&gt;""))&gt;0,'T_SelfStock'!H23+'T_TTAFStock'!H23,G19+'Grid_Incoming'!H19-'Grid_Requirement'!H19))</f>
        <v/>
      </c>
      <c r="I19">
        <f>IF(COUNTIFS(T_StockCount[Part Name],$A19,T_StockCount[WeekIndex],8)&gt;0,SUMIFS(T_StockCount[CountedQty],T_StockCount[Part Name],$A19,T_StockCount[WeekIndex],8),IF((('T_SelfStock'!I23&lt;&gt;""))*(('T_TTAFStock'!I23&lt;&gt;""))&gt;0,'T_SelfStock'!I23+'T_TTAFStock'!I23,H19+'Grid_Incoming'!I19-'Grid_Requirement'!I19))</f>
        <v/>
      </c>
      <c r="J19">
        <f>IF(COUNTIFS(T_StockCount[Part Name],$A19,T_StockCount[WeekIndex],9)&gt;0,SUMIFS(T_StockCount[CountedQty],T_StockCount[Part Name],$A19,T_StockCount[WeekIndex],9),IF((('T_SelfStock'!J23&lt;&gt;""))*(('T_TTAFStock'!J23&lt;&gt;""))&gt;0,'T_SelfStock'!J23+'T_TTAFStock'!J23,I19+'Grid_Incoming'!J19-'Grid_Requirement'!J19))</f>
        <v/>
      </c>
      <c r="K19">
        <f>IF(COUNTIFS(T_StockCount[Part Name],$A19,T_StockCount[WeekIndex],10)&gt;0,SUMIFS(T_StockCount[CountedQty],T_StockCount[Part Name],$A19,T_StockCount[WeekIndex],10),IF((('T_SelfStock'!K23&lt;&gt;""))*(('T_TTAFStock'!K23&lt;&gt;""))&gt;0,'T_SelfStock'!K23+'T_TTAFStock'!K23,J19+'Grid_Incoming'!K19-'Grid_Requirement'!K19))</f>
        <v/>
      </c>
      <c r="L19">
        <f>IF(COUNTIFS(T_StockCount[Part Name],$A19,T_StockCount[WeekIndex],11)&gt;0,SUMIFS(T_StockCount[CountedQty],T_StockCount[Part Name],$A19,T_StockCount[WeekIndex],11),IF((('T_SelfStock'!L23&lt;&gt;""))*(('T_TTAFStock'!L23&lt;&gt;""))&gt;0,'T_SelfStock'!L23+'T_TTAFStock'!L23,K19+'Grid_Incoming'!L19-'Grid_Requirement'!L19))</f>
        <v/>
      </c>
      <c r="M19">
        <f>IF(COUNTIFS(T_StockCount[Part Name],$A19,T_StockCount[WeekIndex],12)&gt;0,SUMIFS(T_StockCount[CountedQty],T_StockCount[Part Name],$A19,T_StockCount[WeekIndex],12),IF((('T_SelfStock'!M23&lt;&gt;""))*(('T_TTAFStock'!M23&lt;&gt;""))&gt;0,'T_SelfStock'!M23+'T_TTAFStock'!M23,L19+'Grid_Incoming'!M19-'Grid_Requirement'!M19))</f>
        <v/>
      </c>
      <c r="N19">
        <f>IF(COUNTIFS(T_StockCount[Part Name],$A19,T_StockCount[WeekIndex],13)&gt;0,SUMIFS(T_StockCount[CountedQty],T_StockCount[Part Name],$A19,T_StockCount[WeekIndex],13),IF((('T_SelfStock'!N23&lt;&gt;""))*(('T_TTAFStock'!N23&lt;&gt;""))&gt;0,'T_SelfStock'!N23+'T_TTAFStock'!N23,M19+'Grid_Incoming'!N19-'Grid_Requirement'!N19))</f>
        <v/>
      </c>
      <c r="O19">
        <f>IF(COUNTIFS(T_StockCount[Part Name],$A19,T_StockCount[WeekIndex],14)&gt;0,SUMIFS(T_StockCount[CountedQty],T_StockCount[Part Name],$A19,T_StockCount[WeekIndex],14),IF((('T_SelfStock'!O23&lt;&gt;""))*(('T_TTAFStock'!O23&lt;&gt;""))&gt;0,'T_SelfStock'!O23+'T_TTAFStock'!O23,N19+'Grid_Incoming'!O19-'Grid_Requirement'!O19))</f>
        <v/>
      </c>
      <c r="P19">
        <f>IF(COUNTIFS(T_StockCount[Part Name],$A19,T_StockCount[WeekIndex],15)&gt;0,SUMIFS(T_StockCount[CountedQty],T_StockCount[Part Name],$A19,T_StockCount[WeekIndex],15),IF((('T_SelfStock'!P23&lt;&gt;""))*(('T_TTAFStock'!P23&lt;&gt;""))&gt;0,'T_SelfStock'!P23+'T_TTAFStock'!P23,O19+'Grid_Incoming'!P19-'Grid_Requirement'!P19))</f>
        <v/>
      </c>
      <c r="Q19">
        <f>IF(COUNTIFS(T_StockCount[Part Name],$A19,T_StockCount[WeekIndex],16)&gt;0,SUMIFS(T_StockCount[CountedQty],T_StockCount[Part Name],$A19,T_StockCount[WeekIndex],16),IF((('T_SelfStock'!Q23&lt;&gt;""))*(('T_TTAFStock'!Q23&lt;&gt;""))&gt;0,'T_SelfStock'!Q23+'T_TTAFStock'!Q23,P19+'Grid_Incoming'!Q19-'Grid_Requirement'!Q19))</f>
        <v/>
      </c>
      <c r="R19">
        <f>IF(COUNTIFS(T_StockCount[Part Name],$A19,T_StockCount[WeekIndex],17)&gt;0,SUMIFS(T_StockCount[CountedQty],T_StockCount[Part Name],$A19,T_StockCount[WeekIndex],17),IF((('T_SelfStock'!R23&lt;&gt;""))*(('T_TTAFStock'!R23&lt;&gt;""))&gt;0,'T_SelfStock'!R23+'T_TTAFStock'!R23,Q19+'Grid_Incoming'!R19-'Grid_Requirement'!R19))</f>
        <v/>
      </c>
      <c r="S19">
        <f>IF(COUNTIFS(T_StockCount[Part Name],$A19,T_StockCount[WeekIndex],18)&gt;0,SUMIFS(T_StockCount[CountedQty],T_StockCount[Part Name],$A19,T_StockCount[WeekIndex],18),IF((('T_SelfStock'!S23&lt;&gt;""))*(('T_TTAFStock'!S23&lt;&gt;""))&gt;0,'T_SelfStock'!S23+'T_TTAFStock'!S23,R19+'Grid_Incoming'!S19-'Grid_Requirement'!S19))</f>
        <v/>
      </c>
      <c r="T19">
        <f>IF(COUNTIFS(T_StockCount[Part Name],$A19,T_StockCount[WeekIndex],19)&gt;0,SUMIFS(T_StockCount[CountedQty],T_StockCount[Part Name],$A19,T_StockCount[WeekIndex],19),IF((('T_SelfStock'!T23&lt;&gt;""))*(('T_TTAFStock'!T23&lt;&gt;""))&gt;0,'T_SelfStock'!T23+'T_TTAFStock'!T23,S19+'Grid_Incoming'!T19-'Grid_Requirement'!T19))</f>
        <v/>
      </c>
      <c r="U19">
        <f>IF(COUNTIFS(T_StockCount[Part Name],$A19,T_StockCount[WeekIndex],20)&gt;0,SUMIFS(T_StockCount[CountedQty],T_StockCount[Part Name],$A19,T_StockCount[WeekIndex],20),IF((('T_SelfStock'!U23&lt;&gt;""))*(('T_TTAFStock'!U23&lt;&gt;""))&gt;0,'T_SelfStock'!U23+'T_TTAFStock'!U23,T19+'Grid_Incoming'!U19-'Grid_Requirement'!U19))</f>
        <v/>
      </c>
      <c r="V19">
        <f>IF(COUNTIFS(T_StockCount[Part Name],$A19,T_StockCount[WeekIndex],21)&gt;0,SUMIFS(T_StockCount[CountedQty],T_StockCount[Part Name],$A19,T_StockCount[WeekIndex],21),IF((('T_SelfStock'!V23&lt;&gt;""))*(('T_TTAFStock'!V23&lt;&gt;""))&gt;0,'T_SelfStock'!V23+'T_TTAFStock'!V23,U19+'Grid_Incoming'!V19-'Grid_Requirement'!V19))</f>
        <v/>
      </c>
      <c r="W19">
        <f>IF(COUNTIFS(T_StockCount[Part Name],$A19,T_StockCount[WeekIndex],22)&gt;0,SUMIFS(T_StockCount[CountedQty],T_StockCount[Part Name],$A19,T_StockCount[WeekIndex],22),IF((('T_SelfStock'!W23&lt;&gt;""))*(('T_TTAFStock'!W23&lt;&gt;""))&gt;0,'T_SelfStock'!W23+'T_TTAFStock'!W23,V19+'Grid_Incoming'!W19-'Grid_Requirement'!W19))</f>
        <v/>
      </c>
      <c r="X19">
        <f>IF(COUNTIFS(T_StockCount[Part Name],$A19,T_StockCount[WeekIndex],23)&gt;0,SUMIFS(T_StockCount[CountedQty],T_StockCount[Part Name],$A19,T_StockCount[WeekIndex],23),IF((('T_SelfStock'!X23&lt;&gt;""))*(('T_TTAFStock'!X23&lt;&gt;""))&gt;0,'T_SelfStock'!X23+'T_TTAFStock'!X23,W19+'Grid_Incoming'!X19-'Grid_Requirement'!X19))</f>
        <v/>
      </c>
      <c r="Y19">
        <f>IF(COUNTIFS(T_StockCount[Part Name],$A19,T_StockCount[WeekIndex],24)&gt;0,SUMIFS(T_StockCount[CountedQty],T_StockCount[Part Name],$A19,T_StockCount[WeekIndex],24),IF((('T_SelfStock'!Y23&lt;&gt;""))*(('T_TTAFStock'!Y23&lt;&gt;""))&gt;0,'T_SelfStock'!Y23+'T_TTAFStock'!Y23,X19+'Grid_Incoming'!Y19-'Grid_Requirement'!Y19))</f>
        <v/>
      </c>
      <c r="Z19">
        <f>IF(COUNTIFS(T_StockCount[Part Name],$A19,T_StockCount[WeekIndex],25)&gt;0,SUMIFS(T_StockCount[CountedQty],T_StockCount[Part Name],$A19,T_StockCount[WeekIndex],25),IF((('T_SelfStock'!Z23&lt;&gt;""))*(('T_TTAFStock'!Z23&lt;&gt;""))&gt;0,'T_SelfStock'!Z23+'T_TTAFStock'!Z23,Y19+'Grid_Incoming'!Z19-'Grid_Requirement'!Z19))</f>
        <v/>
      </c>
      <c r="AA19">
        <f>IF(COUNTIFS(T_StockCount[Part Name],$A19,T_StockCount[WeekIndex],26)&gt;0,SUMIFS(T_StockCount[CountedQty],T_StockCount[Part Name],$A19,T_StockCount[WeekIndex],26),IF((('T_SelfStock'!AA23&lt;&gt;""))*(('T_TTAFStock'!AA23&lt;&gt;""))&gt;0,'T_SelfStock'!AA23+'T_TTAFStock'!AA23,Z19+'Grid_Incoming'!AA19-'Grid_Requirement'!AA19))</f>
        <v/>
      </c>
      <c r="AB19">
        <f>IF(COUNTIFS(T_StockCount[Part Name],$A19,T_StockCount[WeekIndex],27)&gt;0,SUMIFS(T_StockCount[CountedQty],T_StockCount[Part Name],$A19,T_StockCount[WeekIndex],27),IF((('T_SelfStock'!AB23&lt;&gt;""))*(('T_TTAFStock'!AB23&lt;&gt;""))&gt;0,'T_SelfStock'!AB23+'T_TTAFStock'!AB23,AA19+'Grid_Incoming'!AB19-'Grid_Requirement'!AB19))</f>
        <v/>
      </c>
      <c r="AC19">
        <f>IF(COUNTIFS(T_StockCount[Part Name],$A19,T_StockCount[WeekIndex],28)&gt;0,SUMIFS(T_StockCount[CountedQty],T_StockCount[Part Name],$A19,T_StockCount[WeekIndex],28),IF((('T_SelfStock'!AC23&lt;&gt;""))*(('T_TTAFStock'!AC23&lt;&gt;""))&gt;0,'T_SelfStock'!AC23+'T_TTAFStock'!AC23,AB19+'Grid_Incoming'!AC19-'Grid_Requirement'!AC19))</f>
        <v/>
      </c>
      <c r="AD19">
        <f>IF(COUNTIFS(T_StockCount[Part Name],$A19,T_StockCount[WeekIndex],29)&gt;0,SUMIFS(T_StockCount[CountedQty],T_StockCount[Part Name],$A19,T_StockCount[WeekIndex],29),IF((('T_SelfStock'!AD23&lt;&gt;""))*(('T_TTAFStock'!AD23&lt;&gt;""))&gt;0,'T_SelfStock'!AD23+'T_TTAFStock'!AD23,AC19+'Grid_Incoming'!AD19-'Grid_Requirement'!AD19))</f>
        <v/>
      </c>
      <c r="AE19">
        <f>IF(COUNTIFS(T_StockCount[Part Name],$A19,T_StockCount[WeekIndex],30)&gt;0,SUMIFS(T_StockCount[CountedQty],T_StockCount[Part Name],$A19,T_StockCount[WeekIndex],30),IF((('T_SelfStock'!AE23&lt;&gt;""))*(('T_TTAFStock'!AE23&lt;&gt;""))&gt;0,'T_SelfStock'!AE23+'T_TTAFStock'!AE23,AD19+'Grid_Incoming'!AE19-'Grid_Requirement'!AE19))</f>
        <v/>
      </c>
      <c r="AF19">
        <f>IF(COUNTIFS(T_StockCount[Part Name],$A19,T_StockCount[WeekIndex],31)&gt;0,SUMIFS(T_StockCount[CountedQty],T_StockCount[Part Name],$A19,T_StockCount[WeekIndex],31),IF((('T_SelfStock'!AF23&lt;&gt;""))*(('T_TTAFStock'!AF23&lt;&gt;""))&gt;0,'T_SelfStock'!AF23+'T_TTAFStock'!AF23,AE19+'Grid_Incoming'!AF19-'Grid_Requirement'!AF19))</f>
        <v/>
      </c>
      <c r="AG19">
        <f>IF(COUNTIFS(T_StockCount[Part Name],$A19,T_StockCount[WeekIndex],32)&gt;0,SUMIFS(T_StockCount[CountedQty],T_StockCount[Part Name],$A19,T_StockCount[WeekIndex],32),IF((('T_SelfStock'!AG23&lt;&gt;""))*(('T_TTAFStock'!AG23&lt;&gt;""))&gt;0,'T_SelfStock'!AG23+'T_TTAFStock'!AG23,AF19+'Grid_Incoming'!AG19-'Grid_Requirement'!AG19))</f>
        <v/>
      </c>
      <c r="AH19">
        <f>IF(COUNTIFS(T_StockCount[Part Name],$A19,T_StockCount[WeekIndex],33)&gt;0,SUMIFS(T_StockCount[CountedQty],T_StockCount[Part Name],$A19,T_StockCount[WeekIndex],33),IF((('T_SelfStock'!AH23&lt;&gt;""))*(('T_TTAFStock'!AH23&lt;&gt;""))&gt;0,'T_SelfStock'!AH23+'T_TTAFStock'!AH23,AG19+'Grid_Incoming'!AH19-'Grid_Requirement'!AH19))</f>
        <v/>
      </c>
      <c r="AI19">
        <f>IF(COUNTIFS(T_StockCount[Part Name],$A19,T_StockCount[WeekIndex],34)&gt;0,SUMIFS(T_StockCount[CountedQty],T_StockCount[Part Name],$A19,T_StockCount[WeekIndex],34),IF((('T_SelfStock'!AI23&lt;&gt;""))*(('T_TTAFStock'!AI23&lt;&gt;""))&gt;0,'T_SelfStock'!AI23+'T_TTAFStock'!AI23,AH19+'Grid_Incoming'!AI19-'Grid_Requirement'!AI19))</f>
        <v/>
      </c>
      <c r="AJ19">
        <f>IF(COUNTIFS(T_StockCount[Part Name],$A19,T_StockCount[WeekIndex],35)&gt;0,SUMIFS(T_StockCount[CountedQty],T_StockCount[Part Name],$A19,T_StockCount[WeekIndex],35),IF((('T_SelfStock'!AJ23&lt;&gt;""))*(('T_TTAFStock'!AJ23&lt;&gt;""))&gt;0,'T_SelfStock'!AJ23+'T_TTAFStock'!AJ23,AI19+'Grid_Incoming'!AJ19-'Grid_Requirement'!AJ19))</f>
        <v/>
      </c>
      <c r="AK19">
        <f>IF(COUNTIFS(T_StockCount[Part Name],$A19,T_StockCount[WeekIndex],36)&gt;0,SUMIFS(T_StockCount[CountedQty],T_StockCount[Part Name],$A19,T_StockCount[WeekIndex],36),IF((('T_SelfStock'!AK23&lt;&gt;""))*(('T_TTAFStock'!AK23&lt;&gt;""))&gt;0,'T_SelfStock'!AK23+'T_TTAFStock'!AK23,AJ19+'Grid_Incoming'!AK19-'Grid_Requirement'!AK19))</f>
        <v/>
      </c>
      <c r="AL19">
        <f>IF(COUNTIFS(T_StockCount[Part Name],$A19,T_StockCount[WeekIndex],37)&gt;0,SUMIFS(T_StockCount[CountedQty],T_StockCount[Part Name],$A19,T_StockCount[WeekIndex],37),IF((('T_SelfStock'!AL23&lt;&gt;""))*(('T_TTAFStock'!AL23&lt;&gt;""))&gt;0,'T_SelfStock'!AL23+'T_TTAFStock'!AL23,AK19+'Grid_Incoming'!AL19-'Grid_Requirement'!AL19))</f>
        <v/>
      </c>
      <c r="AM19">
        <f>IF(COUNTIFS(T_StockCount[Part Name],$A19,T_StockCount[WeekIndex],38)&gt;0,SUMIFS(T_StockCount[CountedQty],T_StockCount[Part Name],$A19,T_StockCount[WeekIndex],38),IF((('T_SelfStock'!AM23&lt;&gt;""))*(('T_TTAFStock'!AM23&lt;&gt;""))&gt;0,'T_SelfStock'!AM23+'T_TTAFStock'!AM23,AL19+'Grid_Incoming'!AM19-'Grid_Requirement'!AM19))</f>
        <v/>
      </c>
      <c r="AN19">
        <f>IF(COUNTIFS(T_StockCount[Part Name],$A19,T_StockCount[WeekIndex],39)&gt;0,SUMIFS(T_StockCount[CountedQty],T_StockCount[Part Name],$A19,T_StockCount[WeekIndex],39),IF((('T_SelfStock'!AN23&lt;&gt;""))*(('T_TTAFStock'!AN23&lt;&gt;""))&gt;0,'T_SelfStock'!AN23+'T_TTAFStock'!AN23,AM19+'Grid_Incoming'!AN19-'Grid_Requirement'!AN19))</f>
        <v/>
      </c>
      <c r="AO19">
        <f>IF(COUNTIFS(T_StockCount[Part Name],$A19,T_StockCount[WeekIndex],40)&gt;0,SUMIFS(T_StockCount[CountedQty],T_StockCount[Part Name],$A19,T_StockCount[WeekIndex],40),IF((('T_SelfStock'!AO23&lt;&gt;""))*(('T_TTAFStock'!AO23&lt;&gt;""))&gt;0,'T_SelfStock'!AO23+'T_TTAFStock'!AO23,AN19+'Grid_Incoming'!AO19-'Grid_Requirement'!AO19))</f>
        <v/>
      </c>
      <c r="AP19">
        <f>IF(COUNTIFS(T_StockCount[Part Name],$A19,T_StockCount[WeekIndex],41)&gt;0,SUMIFS(T_StockCount[CountedQty],T_StockCount[Part Name],$A19,T_StockCount[WeekIndex],41),IF((('T_SelfStock'!AP23&lt;&gt;""))*(('T_TTAFStock'!AP23&lt;&gt;""))&gt;0,'T_SelfStock'!AP23+'T_TTAFStock'!AP23,AO19+'Grid_Incoming'!AP19-'Grid_Requirement'!AP19))</f>
        <v/>
      </c>
      <c r="AQ19">
        <f>IF(COUNTIFS(T_StockCount[Part Name],$A19,T_StockCount[WeekIndex],42)&gt;0,SUMIFS(T_StockCount[CountedQty],T_StockCount[Part Name],$A19,T_StockCount[WeekIndex],42),IF((('T_SelfStock'!AQ23&lt;&gt;""))*(('T_TTAFStock'!AQ23&lt;&gt;""))&gt;0,'T_SelfStock'!AQ23+'T_TTAFStock'!AQ23,AP19+'Grid_Incoming'!AQ19-'Grid_Requirement'!AQ19))</f>
        <v/>
      </c>
      <c r="AR19">
        <f>IF(COUNTIFS(T_StockCount[Part Name],$A19,T_StockCount[WeekIndex],43)&gt;0,SUMIFS(T_StockCount[CountedQty],T_StockCount[Part Name],$A19,T_StockCount[WeekIndex],43),IF((('T_SelfStock'!AR23&lt;&gt;""))*(('T_TTAFStock'!AR23&lt;&gt;""))&gt;0,'T_SelfStock'!AR23+'T_TTAFStock'!AR23,AQ19+'Grid_Incoming'!AR19-'Grid_Requirement'!AR19))</f>
        <v/>
      </c>
      <c r="AS19">
        <f>IF(COUNTIFS(T_StockCount[Part Name],$A19,T_StockCount[WeekIndex],44)&gt;0,SUMIFS(T_StockCount[CountedQty],T_StockCount[Part Name],$A19,T_StockCount[WeekIndex],44),IF((('T_SelfStock'!AS23&lt;&gt;""))*(('T_TTAFStock'!AS23&lt;&gt;""))&gt;0,'T_SelfStock'!AS23+'T_TTAFStock'!AS23,AR19+'Grid_Incoming'!AS19-'Grid_Requirement'!AS19))</f>
        <v/>
      </c>
      <c r="AT19">
        <f>IF(COUNTIFS(T_StockCount[Part Name],$A19,T_StockCount[WeekIndex],45)&gt;0,SUMIFS(T_StockCount[CountedQty],T_StockCount[Part Name],$A19,T_StockCount[WeekIndex],45),IF((('T_SelfStock'!AT23&lt;&gt;""))*(('T_TTAFStock'!AT23&lt;&gt;""))&gt;0,'T_SelfStock'!AT23+'T_TTAFStock'!AT23,AS19+'Grid_Incoming'!AT19-'Grid_Requirement'!AT19))</f>
        <v/>
      </c>
      <c r="AU19">
        <f>IF(COUNTIFS(T_StockCount[Part Name],$A19,T_StockCount[WeekIndex],46)&gt;0,SUMIFS(T_StockCount[CountedQty],T_StockCount[Part Name],$A19,T_StockCount[WeekIndex],46),IF((('T_SelfStock'!AU23&lt;&gt;""))*(('T_TTAFStock'!AU23&lt;&gt;""))&gt;0,'T_SelfStock'!AU23+'T_TTAFStock'!AU23,AT19+'Grid_Incoming'!AU19-'Grid_Requirement'!AU19))</f>
        <v/>
      </c>
      <c r="AV19">
        <f>IF(COUNTIFS(T_StockCount[Part Name],$A19,T_StockCount[WeekIndex],47)&gt;0,SUMIFS(T_StockCount[CountedQty],T_StockCount[Part Name],$A19,T_StockCount[WeekIndex],47),IF((('T_SelfStock'!AV23&lt;&gt;""))*(('T_TTAFStock'!AV23&lt;&gt;""))&gt;0,'T_SelfStock'!AV23+'T_TTAFStock'!AV23,AU19+'Grid_Incoming'!AV19-'Grid_Requirement'!AV19))</f>
        <v/>
      </c>
      <c r="AW19">
        <f>IF(COUNTIFS(T_StockCount[Part Name],$A19,T_StockCount[WeekIndex],48)&gt;0,SUMIFS(T_StockCount[CountedQty],T_StockCount[Part Name],$A19,T_StockCount[WeekIndex],48),IF((('T_SelfStock'!AW23&lt;&gt;""))*(('T_TTAFStock'!AW23&lt;&gt;""))&gt;0,'T_SelfStock'!AW23+'T_TTAFStock'!AW23,AV19+'Grid_Incoming'!AW19-'Grid_Requirement'!AW19))</f>
        <v/>
      </c>
      <c r="AX19">
        <f>IF(COUNTIFS(T_StockCount[Part Name],$A19,T_StockCount[WeekIndex],49)&gt;0,SUMIFS(T_StockCount[CountedQty],T_StockCount[Part Name],$A19,T_StockCount[WeekIndex],49),IF((('T_SelfStock'!AX23&lt;&gt;""))*(('T_TTAFStock'!AX23&lt;&gt;""))&gt;0,'T_SelfStock'!AX23+'T_TTAFStock'!AX23,AW19+'Grid_Incoming'!AX19-'Grid_Requirement'!AX19))</f>
        <v/>
      </c>
      <c r="AY19">
        <f>IF(COUNTIFS(T_StockCount[Part Name],$A19,T_StockCount[WeekIndex],50)&gt;0,SUMIFS(T_StockCount[CountedQty],T_StockCount[Part Name],$A19,T_StockCount[WeekIndex],50),IF((('T_SelfStock'!AY23&lt;&gt;""))*(('T_TTAFStock'!AY23&lt;&gt;""))&gt;0,'T_SelfStock'!AY23+'T_TTAFStock'!AY23,AX19+'Grid_Incoming'!AY19-'Grid_Requirement'!AY19))</f>
        <v/>
      </c>
      <c r="AZ19">
        <f>IF(COUNTIFS(T_StockCount[Part Name],$A19,T_StockCount[WeekIndex],51)&gt;0,SUMIFS(T_StockCount[CountedQty],T_StockCount[Part Name],$A19,T_StockCount[WeekIndex],51),IF((('T_SelfStock'!AZ23&lt;&gt;""))*(('T_TTAFStock'!AZ23&lt;&gt;""))&gt;0,'T_SelfStock'!AZ23+'T_TTAFStock'!AZ23,AY19+'Grid_Incoming'!AZ19-'Grid_Requirement'!AZ19))</f>
        <v/>
      </c>
      <c r="BA19">
        <f>IF(COUNTIFS(T_StockCount[Part Name],$A19,T_StockCount[WeekIndex],52)&gt;0,SUMIFS(T_StockCount[CountedQty],T_StockCount[Part Name],$A19,T_StockCount[WeekIndex],52),IF((('T_SelfStock'!BA23&lt;&gt;""))*(('T_TTAFStock'!BA23&lt;&gt;""))&gt;0,'T_SelfStock'!BA23+'T_TTAFStock'!BA23,AZ19+'Grid_Incoming'!BA19-'Grid_Requirement'!BA19))</f>
        <v/>
      </c>
      <c r="BB19">
        <f>IF(COUNTIFS(T_StockCount[Part Name],$A19,T_StockCount[WeekIndex],53)&gt;0,SUMIFS(T_StockCount[CountedQty],T_StockCount[Part Name],$A19,T_StockCount[WeekIndex],53),IF((('T_SelfStock'!BB23&lt;&gt;""))*(('T_TTAFStock'!BB23&lt;&gt;""))&gt;0,'T_SelfStock'!BB23+'T_TTAFStock'!BB23,BA19+'Grid_Incoming'!BB19-'Grid_Requirement'!BB19))</f>
        <v/>
      </c>
      <c r="BC19">
        <f>IF(COUNTIFS(T_StockCount[Part Name],$A19,T_StockCount[WeekIndex],54)&gt;0,SUMIFS(T_StockCount[CountedQty],T_StockCount[Part Name],$A19,T_StockCount[WeekIndex],54),IF((('T_SelfStock'!BC23&lt;&gt;""))*(('T_TTAFStock'!BC23&lt;&gt;""))&gt;0,'T_SelfStock'!BC23+'T_TTAFStock'!BC23,BB19+'Grid_Incoming'!BC19-'Grid_Requirement'!BC19))</f>
        <v/>
      </c>
      <c r="BD19">
        <f>IF(COUNTIFS(T_StockCount[Part Name],$A19,T_StockCount[WeekIndex],55)&gt;0,SUMIFS(T_StockCount[CountedQty],T_StockCount[Part Name],$A19,T_StockCount[WeekIndex],55),IF((('T_SelfStock'!BD23&lt;&gt;""))*(('T_TTAFStock'!BD23&lt;&gt;""))&gt;0,'T_SelfStock'!BD23+'T_TTAFStock'!BD23,BC19+'Grid_Incoming'!BD19-'Grid_Requirement'!BD19))</f>
        <v/>
      </c>
      <c r="BE19">
        <f>IF(COUNTIFS(T_StockCount[Part Name],$A19,T_StockCount[WeekIndex],56)&gt;0,SUMIFS(T_StockCount[CountedQty],T_StockCount[Part Name],$A19,T_StockCount[WeekIndex],56),IF((('T_SelfStock'!BE23&lt;&gt;""))*(('T_TTAFStock'!BE23&lt;&gt;""))&gt;0,'T_SelfStock'!BE23+'T_TTAFStock'!BE23,BD19+'Grid_Incoming'!BE19-'Grid_Requirement'!BE19))</f>
        <v/>
      </c>
      <c r="BF19">
        <f>IF(COUNTIFS(T_StockCount[Part Name],$A19,T_StockCount[WeekIndex],57)&gt;0,SUMIFS(T_StockCount[CountedQty],T_StockCount[Part Name],$A19,T_StockCount[WeekIndex],57),IF((('T_SelfStock'!BF23&lt;&gt;""))*(('T_TTAFStock'!BF23&lt;&gt;""))&gt;0,'T_SelfStock'!BF23+'T_TTAFStock'!BF23,BE19+'Grid_Incoming'!BF19-'Grid_Requirement'!BF19))</f>
        <v/>
      </c>
      <c r="BG19">
        <f>IF(COUNTIFS(T_StockCount[Part Name],$A19,T_StockCount[WeekIndex],58)&gt;0,SUMIFS(T_StockCount[CountedQty],T_StockCount[Part Name],$A19,T_StockCount[WeekIndex],58),IF((('T_SelfStock'!BG23&lt;&gt;""))*(('T_TTAFStock'!BG23&lt;&gt;""))&gt;0,'T_SelfStock'!BG23+'T_TTAFStock'!BG23,BF19+'Grid_Incoming'!BG19-'Grid_Requirement'!BG19))</f>
        <v/>
      </c>
      <c r="BH19">
        <f>IF(COUNTIFS(T_StockCount[Part Name],$A19,T_StockCount[WeekIndex],59)&gt;0,SUMIFS(T_StockCount[CountedQty],T_StockCount[Part Name],$A19,T_StockCount[WeekIndex],59),IF((('T_SelfStock'!BH23&lt;&gt;""))*(('T_TTAFStock'!BH23&lt;&gt;""))&gt;0,'T_SelfStock'!BH23+'T_TTAFStock'!BH23,BG19+'Grid_Incoming'!BH19-'Grid_Requirement'!BH19))</f>
        <v/>
      </c>
      <c r="BI19">
        <f>IF(COUNTIFS(T_StockCount[Part Name],$A19,T_StockCount[WeekIndex],60)&gt;0,SUMIFS(T_StockCount[CountedQty],T_StockCount[Part Name],$A19,T_StockCount[WeekIndex],60),IF((('T_SelfStock'!BI23&lt;&gt;""))*(('T_TTAFStock'!BI23&lt;&gt;""))&gt;0,'T_SelfStock'!BI23+'T_TTAFStock'!BI23,BH19+'Grid_Incoming'!BI19-'Grid_Requirement'!BI19))</f>
        <v/>
      </c>
      <c r="BJ19">
        <f>IF(COUNTIFS(T_StockCount[Part Name],$A19,T_StockCount[WeekIndex],61)&gt;0,SUMIFS(T_StockCount[CountedQty],T_StockCount[Part Name],$A19,T_StockCount[WeekIndex],61),IF((('T_SelfStock'!BJ23&lt;&gt;""))*(('T_TTAFStock'!BJ23&lt;&gt;""))&gt;0,'T_SelfStock'!BJ23+'T_TTAFStock'!BJ23,BI19+'Grid_Incoming'!BJ19-'Grid_Requirement'!BJ19))</f>
        <v/>
      </c>
      <c r="BK19">
        <f>IF(COUNTIFS(T_StockCount[Part Name],$A19,T_StockCount[WeekIndex],62)&gt;0,SUMIFS(T_StockCount[CountedQty],T_StockCount[Part Name],$A19,T_StockCount[WeekIndex],62),IF((('T_SelfStock'!BK23&lt;&gt;""))*(('T_TTAFStock'!BK23&lt;&gt;""))&gt;0,'T_SelfStock'!BK23+'T_TTAFStock'!BK23,BJ19+'Grid_Incoming'!BK19-'Grid_Requirement'!BK19))</f>
        <v/>
      </c>
      <c r="BL19">
        <f>IF(COUNTIFS(T_StockCount[Part Name],$A19,T_StockCount[WeekIndex],63)&gt;0,SUMIFS(T_StockCount[CountedQty],T_StockCount[Part Name],$A19,T_StockCount[WeekIndex],63),IF((('T_SelfStock'!BL23&lt;&gt;""))*(('T_TTAFStock'!BL23&lt;&gt;""))&gt;0,'T_SelfStock'!BL23+'T_TTAFStock'!BL23,BK19+'Grid_Incoming'!BL19-'Grid_Requirement'!BL19))</f>
        <v/>
      </c>
      <c r="BM19">
        <f>IF(COUNTIFS(T_StockCount[Part Name],$A19,T_StockCount[WeekIndex],64)&gt;0,SUMIFS(T_StockCount[CountedQty],T_StockCount[Part Name],$A19,T_StockCount[WeekIndex],64),IF((('T_SelfStock'!BM23&lt;&gt;""))*(('T_TTAFStock'!BM23&lt;&gt;""))&gt;0,'T_SelfStock'!BM23+'T_TTAFStock'!BM23,BL19+'Grid_Incoming'!BM19-'Grid_Requirement'!BM19))</f>
        <v/>
      </c>
      <c r="BN19">
        <f>IF(COUNTIFS(T_StockCount[Part Name],$A19,T_StockCount[WeekIndex],65)&gt;0,SUMIFS(T_StockCount[CountedQty],T_StockCount[Part Name],$A19,T_StockCount[WeekIndex],65),IF((('T_SelfStock'!BN23&lt;&gt;""))*(('T_TTAFStock'!BN23&lt;&gt;""))&gt;0,'T_SelfStock'!BN23+'T_TTAFStock'!BN23,BM19+'Grid_Incoming'!BN19-'Grid_Requirement'!BN19))</f>
        <v/>
      </c>
      <c r="BO19">
        <f>IF(COUNTIFS(T_StockCount[Part Name],$A19,T_StockCount[WeekIndex],66)&gt;0,SUMIFS(T_StockCount[CountedQty],T_StockCount[Part Name],$A19,T_StockCount[WeekIndex],66),IF((('T_SelfStock'!BO23&lt;&gt;""))*(('T_TTAFStock'!BO23&lt;&gt;""))&gt;0,'T_SelfStock'!BO23+'T_TTAFStock'!BO23,BN19+'Grid_Incoming'!BO19-'Grid_Requirement'!BO19))</f>
        <v/>
      </c>
      <c r="BP19">
        <f>IF(COUNTIFS(T_StockCount[Part Name],$A19,T_StockCount[WeekIndex],67)&gt;0,SUMIFS(T_StockCount[CountedQty],T_StockCount[Part Name],$A19,T_StockCount[WeekIndex],67),IF((('T_SelfStock'!BP23&lt;&gt;""))*(('T_TTAFStock'!BP23&lt;&gt;""))&gt;0,'T_SelfStock'!BP23+'T_TTAFStock'!BP23,BO19+'Grid_Incoming'!BP19-'Grid_Requirement'!BP19))</f>
        <v/>
      </c>
      <c r="BQ19">
        <f>IF(COUNTIFS(T_StockCount[Part Name],$A19,T_StockCount[WeekIndex],68)&gt;0,SUMIFS(T_StockCount[CountedQty],T_StockCount[Part Name],$A19,T_StockCount[WeekIndex],68),IF((('T_SelfStock'!BQ23&lt;&gt;""))*(('T_TTAFStock'!BQ23&lt;&gt;""))&gt;0,'T_SelfStock'!BQ23+'T_TTAFStock'!BQ23,BP19+'Grid_Incoming'!BQ19-'Grid_Requirement'!BQ19))</f>
        <v/>
      </c>
      <c r="BR19">
        <f>IF(COUNTIFS(T_StockCount[Part Name],$A19,T_StockCount[WeekIndex],69)&gt;0,SUMIFS(T_StockCount[CountedQty],T_StockCount[Part Name],$A19,T_StockCount[WeekIndex],69),IF((('T_SelfStock'!BR23&lt;&gt;""))*(('T_TTAFStock'!BR23&lt;&gt;""))&gt;0,'T_SelfStock'!BR23+'T_TTAFStock'!BR23,BQ19+'Grid_Incoming'!BR19-'Grid_Requirement'!BR19))</f>
        <v/>
      </c>
      <c r="BS19">
        <f>IF(COUNTIFS(T_StockCount[Part Name],$A19,T_StockCount[WeekIndex],70)&gt;0,SUMIFS(T_StockCount[CountedQty],T_StockCount[Part Name],$A19,T_StockCount[WeekIndex],70),IF((('T_SelfStock'!BS23&lt;&gt;""))*(('T_TTAFStock'!BS23&lt;&gt;""))&gt;0,'T_SelfStock'!BS23+'T_TTAFStock'!BS23,BR19+'Grid_Incoming'!BS19-'Grid_Requirement'!BS19))</f>
        <v/>
      </c>
      <c r="BT19">
        <f>IF(COUNTIFS(T_StockCount[Part Name],$A19,T_StockCount[WeekIndex],71)&gt;0,SUMIFS(T_StockCount[CountedQty],T_StockCount[Part Name],$A19,T_StockCount[WeekIndex],71),IF((('T_SelfStock'!BT23&lt;&gt;""))*(('T_TTAFStock'!BT23&lt;&gt;""))&gt;0,'T_SelfStock'!BT23+'T_TTAFStock'!BT23,BS19+'Grid_Incoming'!BT19-'Grid_Requirement'!BT19))</f>
        <v/>
      </c>
      <c r="BU19">
        <f>IF(COUNTIFS(T_StockCount[Part Name],$A19,T_StockCount[WeekIndex],72)&gt;0,SUMIFS(T_StockCount[CountedQty],T_StockCount[Part Name],$A19,T_StockCount[WeekIndex],72),IF((('T_SelfStock'!BU23&lt;&gt;""))*(('T_TTAFStock'!BU23&lt;&gt;""))&gt;0,'T_SelfStock'!BU23+'T_TTAFStock'!BU23,BT19+'Grid_Incoming'!BU19-'Grid_Requirement'!BU19))</f>
        <v/>
      </c>
      <c r="BV19">
        <f>IF(COUNTIFS(T_StockCount[Part Name],$A19,T_StockCount[WeekIndex],73)&gt;0,SUMIFS(T_StockCount[CountedQty],T_StockCount[Part Name],$A19,T_StockCount[WeekIndex],73),IF((('T_SelfStock'!BV23&lt;&gt;""))*(('T_TTAFStock'!BV23&lt;&gt;""))&gt;0,'T_SelfStock'!BV23+'T_TTAFStock'!BV23,BU19+'Grid_Incoming'!BV19-'Grid_Requirement'!BV19))</f>
        <v/>
      </c>
      <c r="BW19">
        <f>IF(COUNTIFS(T_StockCount[Part Name],$A19,T_StockCount[WeekIndex],74)&gt;0,SUMIFS(T_StockCount[CountedQty],T_StockCount[Part Name],$A19,T_StockCount[WeekIndex],74),IF((('T_SelfStock'!BW23&lt;&gt;""))*(('T_TTAFStock'!BW23&lt;&gt;""))&gt;0,'T_SelfStock'!BW23+'T_TTAFStock'!BW23,BV19+'Grid_Incoming'!BW19-'Grid_Requirement'!BW19))</f>
        <v/>
      </c>
      <c r="BX19">
        <f>IF(COUNTIFS(T_StockCount[Part Name],$A19,T_StockCount[WeekIndex],75)&gt;0,SUMIFS(T_StockCount[CountedQty],T_StockCount[Part Name],$A19,T_StockCount[WeekIndex],75),IF((('T_SelfStock'!BX23&lt;&gt;""))*(('T_TTAFStock'!BX23&lt;&gt;""))&gt;0,'T_SelfStock'!BX23+'T_TTAFStock'!BX23,BW19+'Grid_Incoming'!BX19-'Grid_Requirement'!BX19))</f>
        <v/>
      </c>
      <c r="BY19">
        <f>IF(COUNTIFS(T_StockCount[Part Name],$A19,T_StockCount[WeekIndex],76)&gt;0,SUMIFS(T_StockCount[CountedQty],T_StockCount[Part Name],$A19,T_StockCount[WeekIndex],76),IF((('T_SelfStock'!BY23&lt;&gt;""))*(('T_TTAFStock'!BY23&lt;&gt;""))&gt;0,'T_SelfStock'!BY23+'T_TTAFStock'!BY23,BX19+'Grid_Incoming'!BY19-'Grid_Requirement'!BY19))</f>
        <v/>
      </c>
      <c r="BZ19">
        <f>IF(COUNTIFS(T_StockCount[Part Name],$A19,T_StockCount[WeekIndex],77)&gt;0,SUMIFS(T_StockCount[CountedQty],T_StockCount[Part Name],$A19,T_StockCount[WeekIndex],77),IF((('T_SelfStock'!BZ23&lt;&gt;""))*(('T_TTAFStock'!BZ23&lt;&gt;""))&gt;0,'T_SelfStock'!BZ23+'T_TTAFStock'!BZ23,BY19+'Grid_Incoming'!BZ19-'Grid_Requirement'!BZ19))</f>
        <v/>
      </c>
      <c r="CA19">
        <f>IF(COUNTIFS(T_StockCount[Part Name],$A19,T_StockCount[WeekIndex],78)&gt;0,SUMIFS(T_StockCount[CountedQty],T_StockCount[Part Name],$A19,T_StockCount[WeekIndex],78),IF((('T_SelfStock'!CA23&lt;&gt;""))*(('T_TTAFStock'!CA23&lt;&gt;""))&gt;0,'T_SelfStock'!CA23+'T_TTAFStock'!CA23,BZ19+'Grid_Incoming'!CA19-'Grid_Requirement'!CA19))</f>
        <v/>
      </c>
      <c r="CB19">
        <f>IF(COUNTIFS(T_StockCount[Part Name],$A19,T_StockCount[WeekIndex],79)&gt;0,SUMIFS(T_StockCount[CountedQty],T_StockCount[Part Name],$A19,T_StockCount[WeekIndex],79),IF((('T_SelfStock'!CB23&lt;&gt;""))*(('T_TTAFStock'!CB23&lt;&gt;""))&gt;0,'T_SelfStock'!CB23+'T_TTAFStock'!CB23,CA19+'Grid_Incoming'!CB19-'Grid_Requirement'!CB19))</f>
        <v/>
      </c>
      <c r="CC19">
        <f>IF(COUNTIFS(T_StockCount[Part Name],$A19,T_StockCount[WeekIndex],80)&gt;0,SUMIFS(T_StockCount[CountedQty],T_StockCount[Part Name],$A19,T_StockCount[WeekIndex],80),IF((('T_SelfStock'!CC23&lt;&gt;""))*(('T_TTAFStock'!CC23&lt;&gt;""))&gt;0,'T_SelfStock'!CC23+'T_TTAFStock'!CC23,CB19+'Grid_Incoming'!CC19-'Grid_Requirement'!CC19))</f>
        <v/>
      </c>
      <c r="CD19">
        <f>IF(COUNTIFS(T_StockCount[Part Name],$A19,T_StockCount[WeekIndex],81)&gt;0,SUMIFS(T_StockCount[CountedQty],T_StockCount[Part Name],$A19,T_StockCount[WeekIndex],81),IF((('T_SelfStock'!CD23&lt;&gt;""))*(('T_TTAFStock'!CD23&lt;&gt;""))&gt;0,'T_SelfStock'!CD23+'T_TTAFStock'!CD23,CC19+'Grid_Incoming'!CD19-'Grid_Requirement'!CD19))</f>
        <v/>
      </c>
      <c r="CE19">
        <f>IF(COUNTIFS(T_StockCount[Part Name],$A19,T_StockCount[WeekIndex],82)&gt;0,SUMIFS(T_StockCount[CountedQty],T_StockCount[Part Name],$A19,T_StockCount[WeekIndex],82),IF((('T_SelfStock'!CE23&lt;&gt;""))*(('T_TTAFStock'!CE23&lt;&gt;""))&gt;0,'T_SelfStock'!CE23+'T_TTAFStock'!CE23,CD19+'Grid_Incoming'!CE19-'Grid_Requirement'!CE19))</f>
        <v/>
      </c>
      <c r="CF19">
        <f>IF(COUNTIFS(T_StockCount[Part Name],$A19,T_StockCount[WeekIndex],83)&gt;0,SUMIFS(T_StockCount[CountedQty],T_StockCount[Part Name],$A19,T_StockCount[WeekIndex],83),IF((('T_SelfStock'!CF23&lt;&gt;""))*(('T_TTAFStock'!CF23&lt;&gt;""))&gt;0,'T_SelfStock'!CF23+'T_TTAFStock'!CF23,CE19+'Grid_Incoming'!CF19-'Grid_Requirement'!CF19))</f>
        <v/>
      </c>
      <c r="CG19">
        <f>IF(COUNTIFS(T_StockCount[Part Name],$A19,T_StockCount[WeekIndex],84)&gt;0,SUMIFS(T_StockCount[CountedQty],T_StockCount[Part Name],$A19,T_StockCount[WeekIndex],84),IF((('T_SelfStock'!CG23&lt;&gt;""))*(('T_TTAFStock'!CG23&lt;&gt;""))&gt;0,'T_SelfStock'!CG23+'T_TTAFStock'!CG23,CF19+'Grid_Incoming'!CG19-'Grid_Requirement'!CG19))</f>
        <v/>
      </c>
      <c r="CH19">
        <f>IF(COUNTIFS(T_StockCount[Part Name],$A19,T_StockCount[WeekIndex],85)&gt;0,SUMIFS(T_StockCount[CountedQty],T_StockCount[Part Name],$A19,T_StockCount[WeekIndex],85),IF((('T_SelfStock'!CH23&lt;&gt;""))*(('T_TTAFStock'!CH23&lt;&gt;""))&gt;0,'T_SelfStock'!CH23+'T_TTAFStock'!CH23,CG19+'Grid_Incoming'!CH19-'Grid_Requirement'!CH19))</f>
        <v/>
      </c>
      <c r="CI19">
        <f>IF(COUNTIFS(T_StockCount[Part Name],$A19,T_StockCount[WeekIndex],86)&gt;0,SUMIFS(T_StockCount[CountedQty],T_StockCount[Part Name],$A19,T_StockCount[WeekIndex],86),IF((('T_SelfStock'!CI23&lt;&gt;""))*(('T_TTAFStock'!CI23&lt;&gt;""))&gt;0,'T_SelfStock'!CI23+'T_TTAFStock'!CI23,CH19+'Grid_Incoming'!CI19-'Grid_Requirement'!CI19))</f>
        <v/>
      </c>
      <c r="CJ19">
        <f>IF(COUNTIFS(T_StockCount[Part Name],$A19,T_StockCount[WeekIndex],87)&gt;0,SUMIFS(T_StockCount[CountedQty],T_StockCount[Part Name],$A19,T_StockCount[WeekIndex],87),IF((('T_SelfStock'!CJ23&lt;&gt;""))*(('T_TTAFStock'!CJ23&lt;&gt;""))&gt;0,'T_SelfStock'!CJ23+'T_TTAFStock'!CJ23,CI19+'Grid_Incoming'!CJ19-'Grid_Requirement'!CJ19))</f>
        <v/>
      </c>
      <c r="CK19">
        <f>IF(COUNTIFS(T_StockCount[Part Name],$A19,T_StockCount[WeekIndex],88)&gt;0,SUMIFS(T_StockCount[CountedQty],T_StockCount[Part Name],$A19,T_StockCount[WeekIndex],88),IF((('T_SelfStock'!CK23&lt;&gt;""))*(('T_TTAFStock'!CK23&lt;&gt;""))&gt;0,'T_SelfStock'!CK23+'T_TTAFStock'!CK23,CJ19+'Grid_Incoming'!CK19-'Grid_Requirement'!CK19))</f>
        <v/>
      </c>
      <c r="CL19">
        <f>IF(COUNTIFS(T_StockCount[Part Name],$A19,T_StockCount[WeekIndex],89)&gt;0,SUMIFS(T_StockCount[CountedQty],T_StockCount[Part Name],$A19,T_StockCount[WeekIndex],89),IF((('T_SelfStock'!CL23&lt;&gt;""))*(('T_TTAFStock'!CL23&lt;&gt;""))&gt;0,'T_SelfStock'!CL23+'T_TTAFStock'!CL23,CK19+'Grid_Incoming'!CL19-'Grid_Requirement'!CL19))</f>
        <v/>
      </c>
      <c r="CM19">
        <f>IF(COUNTIFS(T_StockCount[Part Name],$A19,T_StockCount[WeekIndex],90)&gt;0,SUMIFS(T_StockCount[CountedQty],T_StockCount[Part Name],$A19,T_StockCount[WeekIndex],90),IF((('T_SelfStock'!CM23&lt;&gt;""))*(('T_TTAFStock'!CM23&lt;&gt;""))&gt;0,'T_SelfStock'!CM23+'T_TTAFStock'!CM23,CL19+'Grid_Incoming'!CM19-'Grid_Requirement'!CM19))</f>
        <v/>
      </c>
      <c r="CN19">
        <f>IF(COUNTIFS(T_StockCount[Part Name],$A19,T_StockCount[WeekIndex],91)&gt;0,SUMIFS(T_StockCount[CountedQty],T_StockCount[Part Name],$A19,T_StockCount[WeekIndex],91),IF((('T_SelfStock'!CN23&lt;&gt;""))*(('T_TTAFStock'!CN23&lt;&gt;""))&gt;0,'T_SelfStock'!CN23+'T_TTAFStock'!CN23,CM19+'Grid_Incoming'!CN19-'Grid_Requirement'!CN19))</f>
        <v/>
      </c>
      <c r="CO19">
        <f>IF(COUNTIFS(T_StockCount[Part Name],$A19,T_StockCount[WeekIndex],92)&gt;0,SUMIFS(T_StockCount[CountedQty],T_StockCount[Part Name],$A19,T_StockCount[WeekIndex],92),IF((('T_SelfStock'!CO23&lt;&gt;""))*(('T_TTAFStock'!CO23&lt;&gt;""))&gt;0,'T_SelfStock'!CO23+'T_TTAFStock'!CO23,CN19+'Grid_Incoming'!CO19-'Grid_Requirement'!CO19))</f>
        <v/>
      </c>
      <c r="CP19">
        <f>IF(COUNTIFS(T_StockCount[Part Name],$A19,T_StockCount[WeekIndex],93)&gt;0,SUMIFS(T_StockCount[CountedQty],T_StockCount[Part Name],$A19,T_StockCount[WeekIndex],93),IF((('T_SelfStock'!CP23&lt;&gt;""))*(('T_TTAFStock'!CP23&lt;&gt;""))&gt;0,'T_SelfStock'!CP23+'T_TTAFStock'!CP23,CO19+'Grid_Incoming'!CP19-'Grid_Requirement'!CP19))</f>
        <v/>
      </c>
      <c r="CQ19">
        <f>IF(COUNTIFS(T_StockCount[Part Name],$A19,T_StockCount[WeekIndex],94)&gt;0,SUMIFS(T_StockCount[CountedQty],T_StockCount[Part Name],$A19,T_StockCount[WeekIndex],94),IF((('T_SelfStock'!CQ23&lt;&gt;""))*(('T_TTAFStock'!CQ23&lt;&gt;""))&gt;0,'T_SelfStock'!CQ23+'T_TTAFStock'!CQ23,CP19+'Grid_Incoming'!CQ19-'Grid_Requirement'!CQ19))</f>
        <v/>
      </c>
      <c r="CR19">
        <f>IF(COUNTIFS(T_StockCount[Part Name],$A19,T_StockCount[WeekIndex],95)&gt;0,SUMIFS(T_StockCount[CountedQty],T_StockCount[Part Name],$A19,T_StockCount[WeekIndex],95),IF((('T_SelfStock'!CR23&lt;&gt;""))*(('T_TTAFStock'!CR23&lt;&gt;""))&gt;0,'T_SelfStock'!CR23+'T_TTAFStock'!CR23,CQ19+'Grid_Incoming'!CR19-'Grid_Requirement'!CR19))</f>
        <v/>
      </c>
      <c r="CS19">
        <f>IF(COUNTIFS(T_StockCount[Part Name],$A19,T_StockCount[WeekIndex],96)&gt;0,SUMIFS(T_StockCount[CountedQty],T_StockCount[Part Name],$A19,T_StockCount[WeekIndex],96),IF((('T_SelfStock'!CS23&lt;&gt;""))*(('T_TTAFStock'!CS23&lt;&gt;""))&gt;0,'T_SelfStock'!CS23+'T_TTAFStock'!CS23,CR19+'Grid_Incoming'!CS19-'Grid_Requirement'!CS19))</f>
        <v/>
      </c>
      <c r="CT19">
        <f>IF(COUNTIFS(T_StockCount[Part Name],$A19,T_StockCount[WeekIndex],97)&gt;0,SUMIFS(T_StockCount[CountedQty],T_StockCount[Part Name],$A19,T_StockCount[WeekIndex],97),IF((('T_SelfStock'!CT23&lt;&gt;""))*(('T_TTAFStock'!CT23&lt;&gt;""))&gt;0,'T_SelfStock'!CT23+'T_TTAFStock'!CT23,CS19+'Grid_Incoming'!CT19-'Grid_Requirement'!CT19))</f>
        <v/>
      </c>
      <c r="CU19">
        <f>IF(COUNTIFS(T_StockCount[Part Name],$A19,T_StockCount[WeekIndex],98)&gt;0,SUMIFS(T_StockCount[CountedQty],T_StockCount[Part Name],$A19,T_StockCount[WeekIndex],98),IF((('T_SelfStock'!CU23&lt;&gt;""))*(('T_TTAFStock'!CU23&lt;&gt;""))&gt;0,'T_SelfStock'!CU23+'T_TTAFStock'!CU23,CT19+'Grid_Incoming'!CU19-'Grid_Requirement'!CU19))</f>
        <v/>
      </c>
      <c r="CV19">
        <f>IF(COUNTIFS(T_StockCount[Part Name],$A19,T_StockCount[WeekIndex],99)&gt;0,SUMIFS(T_StockCount[CountedQty],T_StockCount[Part Name],$A19,T_StockCount[WeekIndex],99),IF((('T_SelfStock'!CV23&lt;&gt;""))*(('T_TTAFStock'!CV23&lt;&gt;""))&gt;0,'T_SelfStock'!CV23+'T_TTAFStock'!CV23,CU19+'Grid_Incoming'!CV19-'Grid_Requirement'!CV19))</f>
        <v/>
      </c>
      <c r="CW19">
        <f>IF(COUNTIFS(T_StockCount[Part Name],$A19,T_StockCount[WeekIndex],100)&gt;0,SUMIFS(T_StockCount[CountedQty],T_StockCount[Part Name],$A19,T_StockCount[WeekIndex],100),IF((('T_SelfStock'!CW23&lt;&gt;""))*(('T_TTAFStock'!CW23&lt;&gt;""))&gt;0,'T_SelfStock'!CW23+'T_TTAFStock'!CW23,CV19+'Grid_Incoming'!CW19-'Grid_Requirement'!CW19))</f>
        <v/>
      </c>
      <c r="CX19">
        <f>IF(COUNTIFS(T_StockCount[Part Name],$A19,T_StockCount[WeekIndex],101)&gt;0,SUMIFS(T_StockCount[CountedQty],T_StockCount[Part Name],$A19,T_StockCount[WeekIndex],101),IF((('T_SelfStock'!CX23&lt;&gt;""))*(('T_TTAFStock'!CX23&lt;&gt;""))&gt;0,'T_SelfStock'!CX23+'T_TTAFStock'!CX23,CW19+'Grid_Incoming'!CX19-'Grid_Requirement'!CX19))</f>
        <v/>
      </c>
      <c r="CY19">
        <f>IF(COUNTIFS(T_StockCount[Part Name],$A19,T_StockCount[WeekIndex],102)&gt;0,SUMIFS(T_StockCount[CountedQty],T_StockCount[Part Name],$A19,T_StockCount[WeekIndex],102),IF((('T_SelfStock'!CY23&lt;&gt;""))*(('T_TTAFStock'!CY23&lt;&gt;""))&gt;0,'T_SelfStock'!CY23+'T_TTAFStock'!CY23,CX19+'Grid_Incoming'!CY19-'Grid_Requirement'!CY19))</f>
        <v/>
      </c>
      <c r="CZ19">
        <f>IF(COUNTIFS(T_StockCount[Part Name],$A19,T_StockCount[WeekIndex],103)&gt;0,SUMIFS(T_StockCount[CountedQty],T_StockCount[Part Name],$A19,T_StockCount[WeekIndex],103),IF((('T_SelfStock'!CZ23&lt;&gt;""))*(('T_TTAFStock'!CZ23&lt;&gt;""))&gt;0,'T_SelfStock'!CZ23+'T_TTAFStock'!CZ23,CY19+'Grid_Incoming'!CZ19-'Grid_Requirement'!CZ19))</f>
        <v/>
      </c>
      <c r="DA19">
        <f>IF(COUNTIFS(T_StockCount[Part Name],$A19,T_StockCount[WeekIndex],104)&gt;0,SUMIFS(T_StockCount[CountedQty],T_StockCount[Part Name],$A19,T_StockCount[WeekIndex],104),IF((('T_SelfStock'!DA23&lt;&gt;""))*(('T_TTAFStock'!DA23&lt;&gt;""))&gt;0,'T_SelfStock'!DA23+'T_TTAFStock'!DA23,CZ19+'Grid_Incoming'!DA19-'Grid_Requirement'!DA19))</f>
        <v/>
      </c>
    </row>
    <row r="20">
      <c r="A20" t="inlineStr">
        <is>
          <t>73K</t>
        </is>
      </c>
      <c r="B20">
        <f>IF(COUNTIFS(T_StockCount[Part Name],$A20,T_StockCount[WeekIndex],1)&gt;0,SUMIFS(T_StockCount[CountedQty],T_StockCount[Part Name],$A20,T_StockCount[WeekIndex],1),IF((('T_SelfStock'!B24&lt;&gt;""))*(('T_TTAFStock'!B24&lt;&gt;""))&gt;0,'T_SelfStock'!B24+'T_TTAFStock'!B24,IFERROR(INDEX(T_OpeningStock[Opening_Qty_要入力],MATCH($A20,T_OpeningStock[Part Name],0)),0)+'Grid_Incoming'!B20-'Grid_Requirement'!B20))</f>
        <v/>
      </c>
      <c r="C20">
        <f>IF(COUNTIFS(T_StockCount[Part Name],$A20,T_StockCount[WeekIndex],2)&gt;0,SUMIFS(T_StockCount[CountedQty],T_StockCount[Part Name],$A20,T_StockCount[WeekIndex],2),IF((('T_SelfStock'!C24&lt;&gt;""))*(('T_TTAFStock'!C24&lt;&gt;""))&gt;0,'T_SelfStock'!C24+'T_TTAFStock'!C24,B20+'Grid_Incoming'!C20-'Grid_Requirement'!C20))</f>
        <v/>
      </c>
      <c r="D20">
        <f>IF(COUNTIFS(T_StockCount[Part Name],$A20,T_StockCount[WeekIndex],3)&gt;0,SUMIFS(T_StockCount[CountedQty],T_StockCount[Part Name],$A20,T_StockCount[WeekIndex],3),IF((('T_SelfStock'!D24&lt;&gt;""))*(('T_TTAFStock'!D24&lt;&gt;""))&gt;0,'T_SelfStock'!D24+'T_TTAFStock'!D24,C20+'Grid_Incoming'!D20-'Grid_Requirement'!D20))</f>
        <v/>
      </c>
      <c r="E20">
        <f>IF(COUNTIFS(T_StockCount[Part Name],$A20,T_StockCount[WeekIndex],4)&gt;0,SUMIFS(T_StockCount[CountedQty],T_StockCount[Part Name],$A20,T_StockCount[WeekIndex],4),IF((('T_SelfStock'!E24&lt;&gt;""))*(('T_TTAFStock'!E24&lt;&gt;""))&gt;0,'T_SelfStock'!E24+'T_TTAFStock'!E24,D20+'Grid_Incoming'!E20-'Grid_Requirement'!E20))</f>
        <v/>
      </c>
      <c r="F20">
        <f>IF(COUNTIFS(T_StockCount[Part Name],$A20,T_StockCount[WeekIndex],5)&gt;0,SUMIFS(T_StockCount[CountedQty],T_StockCount[Part Name],$A20,T_StockCount[WeekIndex],5),IF((('T_SelfStock'!F24&lt;&gt;""))*(('T_TTAFStock'!F24&lt;&gt;""))&gt;0,'T_SelfStock'!F24+'T_TTAFStock'!F24,E20+'Grid_Incoming'!F20-'Grid_Requirement'!F20))</f>
        <v/>
      </c>
      <c r="G20">
        <f>IF(COUNTIFS(T_StockCount[Part Name],$A20,T_StockCount[WeekIndex],6)&gt;0,SUMIFS(T_StockCount[CountedQty],T_StockCount[Part Name],$A20,T_StockCount[WeekIndex],6),IF((('T_SelfStock'!G24&lt;&gt;""))*(('T_TTAFStock'!G24&lt;&gt;""))&gt;0,'T_SelfStock'!G24+'T_TTAFStock'!G24,F20+'Grid_Incoming'!G20-'Grid_Requirement'!G20))</f>
        <v/>
      </c>
      <c r="H20">
        <f>IF(COUNTIFS(T_StockCount[Part Name],$A20,T_StockCount[WeekIndex],7)&gt;0,SUMIFS(T_StockCount[CountedQty],T_StockCount[Part Name],$A20,T_StockCount[WeekIndex],7),IF((('T_SelfStock'!H24&lt;&gt;""))*(('T_TTAFStock'!H24&lt;&gt;""))&gt;0,'T_SelfStock'!H24+'T_TTAFStock'!H24,G20+'Grid_Incoming'!H20-'Grid_Requirement'!H20))</f>
        <v/>
      </c>
      <c r="I20">
        <f>IF(COUNTIFS(T_StockCount[Part Name],$A20,T_StockCount[WeekIndex],8)&gt;0,SUMIFS(T_StockCount[CountedQty],T_StockCount[Part Name],$A20,T_StockCount[WeekIndex],8),IF((('T_SelfStock'!I24&lt;&gt;""))*(('T_TTAFStock'!I24&lt;&gt;""))&gt;0,'T_SelfStock'!I24+'T_TTAFStock'!I24,H20+'Grid_Incoming'!I20-'Grid_Requirement'!I20))</f>
        <v/>
      </c>
      <c r="J20">
        <f>IF(COUNTIFS(T_StockCount[Part Name],$A20,T_StockCount[WeekIndex],9)&gt;0,SUMIFS(T_StockCount[CountedQty],T_StockCount[Part Name],$A20,T_StockCount[WeekIndex],9),IF((('T_SelfStock'!J24&lt;&gt;""))*(('T_TTAFStock'!J24&lt;&gt;""))&gt;0,'T_SelfStock'!J24+'T_TTAFStock'!J24,I20+'Grid_Incoming'!J20-'Grid_Requirement'!J20))</f>
        <v/>
      </c>
      <c r="K20">
        <f>IF(COUNTIFS(T_StockCount[Part Name],$A20,T_StockCount[WeekIndex],10)&gt;0,SUMIFS(T_StockCount[CountedQty],T_StockCount[Part Name],$A20,T_StockCount[WeekIndex],10),IF((('T_SelfStock'!K24&lt;&gt;""))*(('T_TTAFStock'!K24&lt;&gt;""))&gt;0,'T_SelfStock'!K24+'T_TTAFStock'!K24,J20+'Grid_Incoming'!K20-'Grid_Requirement'!K20))</f>
        <v/>
      </c>
      <c r="L20">
        <f>IF(COUNTIFS(T_StockCount[Part Name],$A20,T_StockCount[WeekIndex],11)&gt;0,SUMIFS(T_StockCount[CountedQty],T_StockCount[Part Name],$A20,T_StockCount[WeekIndex],11),IF((('T_SelfStock'!L24&lt;&gt;""))*(('T_TTAFStock'!L24&lt;&gt;""))&gt;0,'T_SelfStock'!L24+'T_TTAFStock'!L24,K20+'Grid_Incoming'!L20-'Grid_Requirement'!L20))</f>
        <v/>
      </c>
      <c r="M20">
        <f>IF(COUNTIFS(T_StockCount[Part Name],$A20,T_StockCount[WeekIndex],12)&gt;0,SUMIFS(T_StockCount[CountedQty],T_StockCount[Part Name],$A20,T_StockCount[WeekIndex],12),IF((('T_SelfStock'!M24&lt;&gt;""))*(('T_TTAFStock'!M24&lt;&gt;""))&gt;0,'T_SelfStock'!M24+'T_TTAFStock'!M24,L20+'Grid_Incoming'!M20-'Grid_Requirement'!M20))</f>
        <v/>
      </c>
      <c r="N20">
        <f>IF(COUNTIFS(T_StockCount[Part Name],$A20,T_StockCount[WeekIndex],13)&gt;0,SUMIFS(T_StockCount[CountedQty],T_StockCount[Part Name],$A20,T_StockCount[WeekIndex],13),IF((('T_SelfStock'!N24&lt;&gt;""))*(('T_TTAFStock'!N24&lt;&gt;""))&gt;0,'T_SelfStock'!N24+'T_TTAFStock'!N24,M20+'Grid_Incoming'!N20-'Grid_Requirement'!N20))</f>
        <v/>
      </c>
      <c r="O20">
        <f>IF(COUNTIFS(T_StockCount[Part Name],$A20,T_StockCount[WeekIndex],14)&gt;0,SUMIFS(T_StockCount[CountedQty],T_StockCount[Part Name],$A20,T_StockCount[WeekIndex],14),IF((('T_SelfStock'!O24&lt;&gt;""))*(('T_TTAFStock'!O24&lt;&gt;""))&gt;0,'T_SelfStock'!O24+'T_TTAFStock'!O24,N20+'Grid_Incoming'!O20-'Grid_Requirement'!O20))</f>
        <v/>
      </c>
      <c r="P20">
        <f>IF(COUNTIFS(T_StockCount[Part Name],$A20,T_StockCount[WeekIndex],15)&gt;0,SUMIFS(T_StockCount[CountedQty],T_StockCount[Part Name],$A20,T_StockCount[WeekIndex],15),IF((('T_SelfStock'!P24&lt;&gt;""))*(('T_TTAFStock'!P24&lt;&gt;""))&gt;0,'T_SelfStock'!P24+'T_TTAFStock'!P24,O20+'Grid_Incoming'!P20-'Grid_Requirement'!P20))</f>
        <v/>
      </c>
      <c r="Q20">
        <f>IF(COUNTIFS(T_StockCount[Part Name],$A20,T_StockCount[WeekIndex],16)&gt;0,SUMIFS(T_StockCount[CountedQty],T_StockCount[Part Name],$A20,T_StockCount[WeekIndex],16),IF((('T_SelfStock'!Q24&lt;&gt;""))*(('T_TTAFStock'!Q24&lt;&gt;""))&gt;0,'T_SelfStock'!Q24+'T_TTAFStock'!Q24,P20+'Grid_Incoming'!Q20-'Grid_Requirement'!Q20))</f>
        <v/>
      </c>
      <c r="R20">
        <f>IF(COUNTIFS(T_StockCount[Part Name],$A20,T_StockCount[WeekIndex],17)&gt;0,SUMIFS(T_StockCount[CountedQty],T_StockCount[Part Name],$A20,T_StockCount[WeekIndex],17),IF((('T_SelfStock'!R24&lt;&gt;""))*(('T_TTAFStock'!R24&lt;&gt;""))&gt;0,'T_SelfStock'!R24+'T_TTAFStock'!R24,Q20+'Grid_Incoming'!R20-'Grid_Requirement'!R20))</f>
        <v/>
      </c>
      <c r="S20">
        <f>IF(COUNTIFS(T_StockCount[Part Name],$A20,T_StockCount[WeekIndex],18)&gt;0,SUMIFS(T_StockCount[CountedQty],T_StockCount[Part Name],$A20,T_StockCount[WeekIndex],18),IF((('T_SelfStock'!S24&lt;&gt;""))*(('T_TTAFStock'!S24&lt;&gt;""))&gt;0,'T_SelfStock'!S24+'T_TTAFStock'!S24,R20+'Grid_Incoming'!S20-'Grid_Requirement'!S20))</f>
        <v/>
      </c>
      <c r="T20">
        <f>IF(COUNTIFS(T_StockCount[Part Name],$A20,T_StockCount[WeekIndex],19)&gt;0,SUMIFS(T_StockCount[CountedQty],T_StockCount[Part Name],$A20,T_StockCount[WeekIndex],19),IF((('T_SelfStock'!T24&lt;&gt;""))*(('T_TTAFStock'!T24&lt;&gt;""))&gt;0,'T_SelfStock'!T24+'T_TTAFStock'!T24,S20+'Grid_Incoming'!T20-'Grid_Requirement'!T20))</f>
        <v/>
      </c>
      <c r="U20">
        <f>IF(COUNTIFS(T_StockCount[Part Name],$A20,T_StockCount[WeekIndex],20)&gt;0,SUMIFS(T_StockCount[CountedQty],T_StockCount[Part Name],$A20,T_StockCount[WeekIndex],20),IF((('T_SelfStock'!U24&lt;&gt;""))*(('T_TTAFStock'!U24&lt;&gt;""))&gt;0,'T_SelfStock'!U24+'T_TTAFStock'!U24,T20+'Grid_Incoming'!U20-'Grid_Requirement'!U20))</f>
        <v/>
      </c>
      <c r="V20">
        <f>IF(COUNTIFS(T_StockCount[Part Name],$A20,T_StockCount[WeekIndex],21)&gt;0,SUMIFS(T_StockCount[CountedQty],T_StockCount[Part Name],$A20,T_StockCount[WeekIndex],21),IF((('T_SelfStock'!V24&lt;&gt;""))*(('T_TTAFStock'!V24&lt;&gt;""))&gt;0,'T_SelfStock'!V24+'T_TTAFStock'!V24,U20+'Grid_Incoming'!V20-'Grid_Requirement'!V20))</f>
        <v/>
      </c>
      <c r="W20">
        <f>IF(COUNTIFS(T_StockCount[Part Name],$A20,T_StockCount[WeekIndex],22)&gt;0,SUMIFS(T_StockCount[CountedQty],T_StockCount[Part Name],$A20,T_StockCount[WeekIndex],22),IF((('T_SelfStock'!W24&lt;&gt;""))*(('T_TTAFStock'!W24&lt;&gt;""))&gt;0,'T_SelfStock'!W24+'T_TTAFStock'!W24,V20+'Grid_Incoming'!W20-'Grid_Requirement'!W20))</f>
        <v/>
      </c>
      <c r="X20">
        <f>IF(COUNTIFS(T_StockCount[Part Name],$A20,T_StockCount[WeekIndex],23)&gt;0,SUMIFS(T_StockCount[CountedQty],T_StockCount[Part Name],$A20,T_StockCount[WeekIndex],23),IF((('T_SelfStock'!X24&lt;&gt;""))*(('T_TTAFStock'!X24&lt;&gt;""))&gt;0,'T_SelfStock'!X24+'T_TTAFStock'!X24,W20+'Grid_Incoming'!X20-'Grid_Requirement'!X20))</f>
        <v/>
      </c>
      <c r="Y20">
        <f>IF(COUNTIFS(T_StockCount[Part Name],$A20,T_StockCount[WeekIndex],24)&gt;0,SUMIFS(T_StockCount[CountedQty],T_StockCount[Part Name],$A20,T_StockCount[WeekIndex],24),IF((('T_SelfStock'!Y24&lt;&gt;""))*(('T_TTAFStock'!Y24&lt;&gt;""))&gt;0,'T_SelfStock'!Y24+'T_TTAFStock'!Y24,X20+'Grid_Incoming'!Y20-'Grid_Requirement'!Y20))</f>
        <v/>
      </c>
      <c r="Z20">
        <f>IF(COUNTIFS(T_StockCount[Part Name],$A20,T_StockCount[WeekIndex],25)&gt;0,SUMIFS(T_StockCount[CountedQty],T_StockCount[Part Name],$A20,T_StockCount[WeekIndex],25),IF((('T_SelfStock'!Z24&lt;&gt;""))*(('T_TTAFStock'!Z24&lt;&gt;""))&gt;0,'T_SelfStock'!Z24+'T_TTAFStock'!Z24,Y20+'Grid_Incoming'!Z20-'Grid_Requirement'!Z20))</f>
        <v/>
      </c>
      <c r="AA20">
        <f>IF(COUNTIFS(T_StockCount[Part Name],$A20,T_StockCount[WeekIndex],26)&gt;0,SUMIFS(T_StockCount[CountedQty],T_StockCount[Part Name],$A20,T_StockCount[WeekIndex],26),IF((('T_SelfStock'!AA24&lt;&gt;""))*(('T_TTAFStock'!AA24&lt;&gt;""))&gt;0,'T_SelfStock'!AA24+'T_TTAFStock'!AA24,Z20+'Grid_Incoming'!AA20-'Grid_Requirement'!AA20))</f>
        <v/>
      </c>
      <c r="AB20">
        <f>IF(COUNTIFS(T_StockCount[Part Name],$A20,T_StockCount[WeekIndex],27)&gt;0,SUMIFS(T_StockCount[CountedQty],T_StockCount[Part Name],$A20,T_StockCount[WeekIndex],27),IF((('T_SelfStock'!AB24&lt;&gt;""))*(('T_TTAFStock'!AB24&lt;&gt;""))&gt;0,'T_SelfStock'!AB24+'T_TTAFStock'!AB24,AA20+'Grid_Incoming'!AB20-'Grid_Requirement'!AB20))</f>
        <v/>
      </c>
      <c r="AC20">
        <f>IF(COUNTIFS(T_StockCount[Part Name],$A20,T_StockCount[WeekIndex],28)&gt;0,SUMIFS(T_StockCount[CountedQty],T_StockCount[Part Name],$A20,T_StockCount[WeekIndex],28),IF((('T_SelfStock'!AC24&lt;&gt;""))*(('T_TTAFStock'!AC24&lt;&gt;""))&gt;0,'T_SelfStock'!AC24+'T_TTAFStock'!AC24,AB20+'Grid_Incoming'!AC20-'Grid_Requirement'!AC20))</f>
        <v/>
      </c>
      <c r="AD20">
        <f>IF(COUNTIFS(T_StockCount[Part Name],$A20,T_StockCount[WeekIndex],29)&gt;0,SUMIFS(T_StockCount[CountedQty],T_StockCount[Part Name],$A20,T_StockCount[WeekIndex],29),IF((('T_SelfStock'!AD24&lt;&gt;""))*(('T_TTAFStock'!AD24&lt;&gt;""))&gt;0,'T_SelfStock'!AD24+'T_TTAFStock'!AD24,AC20+'Grid_Incoming'!AD20-'Grid_Requirement'!AD20))</f>
        <v/>
      </c>
      <c r="AE20">
        <f>IF(COUNTIFS(T_StockCount[Part Name],$A20,T_StockCount[WeekIndex],30)&gt;0,SUMIFS(T_StockCount[CountedQty],T_StockCount[Part Name],$A20,T_StockCount[WeekIndex],30),IF((('T_SelfStock'!AE24&lt;&gt;""))*(('T_TTAFStock'!AE24&lt;&gt;""))&gt;0,'T_SelfStock'!AE24+'T_TTAFStock'!AE24,AD20+'Grid_Incoming'!AE20-'Grid_Requirement'!AE20))</f>
        <v/>
      </c>
      <c r="AF20">
        <f>IF(COUNTIFS(T_StockCount[Part Name],$A20,T_StockCount[WeekIndex],31)&gt;0,SUMIFS(T_StockCount[CountedQty],T_StockCount[Part Name],$A20,T_StockCount[WeekIndex],31),IF((('T_SelfStock'!AF24&lt;&gt;""))*(('T_TTAFStock'!AF24&lt;&gt;""))&gt;0,'T_SelfStock'!AF24+'T_TTAFStock'!AF24,AE20+'Grid_Incoming'!AF20-'Grid_Requirement'!AF20))</f>
        <v/>
      </c>
      <c r="AG20">
        <f>IF(COUNTIFS(T_StockCount[Part Name],$A20,T_StockCount[WeekIndex],32)&gt;0,SUMIFS(T_StockCount[CountedQty],T_StockCount[Part Name],$A20,T_StockCount[WeekIndex],32),IF((('T_SelfStock'!AG24&lt;&gt;""))*(('T_TTAFStock'!AG24&lt;&gt;""))&gt;0,'T_SelfStock'!AG24+'T_TTAFStock'!AG24,AF20+'Grid_Incoming'!AG20-'Grid_Requirement'!AG20))</f>
        <v/>
      </c>
      <c r="AH20">
        <f>IF(COUNTIFS(T_StockCount[Part Name],$A20,T_StockCount[WeekIndex],33)&gt;0,SUMIFS(T_StockCount[CountedQty],T_StockCount[Part Name],$A20,T_StockCount[WeekIndex],33),IF((('T_SelfStock'!AH24&lt;&gt;""))*(('T_TTAFStock'!AH24&lt;&gt;""))&gt;0,'T_SelfStock'!AH24+'T_TTAFStock'!AH24,AG20+'Grid_Incoming'!AH20-'Grid_Requirement'!AH20))</f>
        <v/>
      </c>
      <c r="AI20">
        <f>IF(COUNTIFS(T_StockCount[Part Name],$A20,T_StockCount[WeekIndex],34)&gt;0,SUMIFS(T_StockCount[CountedQty],T_StockCount[Part Name],$A20,T_StockCount[WeekIndex],34),IF((('T_SelfStock'!AI24&lt;&gt;""))*(('T_TTAFStock'!AI24&lt;&gt;""))&gt;0,'T_SelfStock'!AI24+'T_TTAFStock'!AI24,AH20+'Grid_Incoming'!AI20-'Grid_Requirement'!AI20))</f>
        <v/>
      </c>
      <c r="AJ20">
        <f>IF(COUNTIFS(T_StockCount[Part Name],$A20,T_StockCount[WeekIndex],35)&gt;0,SUMIFS(T_StockCount[CountedQty],T_StockCount[Part Name],$A20,T_StockCount[WeekIndex],35),IF((('T_SelfStock'!AJ24&lt;&gt;""))*(('T_TTAFStock'!AJ24&lt;&gt;""))&gt;0,'T_SelfStock'!AJ24+'T_TTAFStock'!AJ24,AI20+'Grid_Incoming'!AJ20-'Grid_Requirement'!AJ20))</f>
        <v/>
      </c>
      <c r="AK20">
        <f>IF(COUNTIFS(T_StockCount[Part Name],$A20,T_StockCount[WeekIndex],36)&gt;0,SUMIFS(T_StockCount[CountedQty],T_StockCount[Part Name],$A20,T_StockCount[WeekIndex],36),IF((('T_SelfStock'!AK24&lt;&gt;""))*(('T_TTAFStock'!AK24&lt;&gt;""))&gt;0,'T_SelfStock'!AK24+'T_TTAFStock'!AK24,AJ20+'Grid_Incoming'!AK20-'Grid_Requirement'!AK20))</f>
        <v/>
      </c>
      <c r="AL20">
        <f>IF(COUNTIFS(T_StockCount[Part Name],$A20,T_StockCount[WeekIndex],37)&gt;0,SUMIFS(T_StockCount[CountedQty],T_StockCount[Part Name],$A20,T_StockCount[WeekIndex],37),IF((('T_SelfStock'!AL24&lt;&gt;""))*(('T_TTAFStock'!AL24&lt;&gt;""))&gt;0,'T_SelfStock'!AL24+'T_TTAFStock'!AL24,AK20+'Grid_Incoming'!AL20-'Grid_Requirement'!AL20))</f>
        <v/>
      </c>
      <c r="AM20">
        <f>IF(COUNTIFS(T_StockCount[Part Name],$A20,T_StockCount[WeekIndex],38)&gt;0,SUMIFS(T_StockCount[CountedQty],T_StockCount[Part Name],$A20,T_StockCount[WeekIndex],38),IF((('T_SelfStock'!AM24&lt;&gt;""))*(('T_TTAFStock'!AM24&lt;&gt;""))&gt;0,'T_SelfStock'!AM24+'T_TTAFStock'!AM24,AL20+'Grid_Incoming'!AM20-'Grid_Requirement'!AM20))</f>
        <v/>
      </c>
      <c r="AN20">
        <f>IF(COUNTIFS(T_StockCount[Part Name],$A20,T_StockCount[WeekIndex],39)&gt;0,SUMIFS(T_StockCount[CountedQty],T_StockCount[Part Name],$A20,T_StockCount[WeekIndex],39),IF((('T_SelfStock'!AN24&lt;&gt;""))*(('T_TTAFStock'!AN24&lt;&gt;""))&gt;0,'T_SelfStock'!AN24+'T_TTAFStock'!AN24,AM20+'Grid_Incoming'!AN20-'Grid_Requirement'!AN20))</f>
        <v/>
      </c>
      <c r="AO20">
        <f>IF(COUNTIFS(T_StockCount[Part Name],$A20,T_StockCount[WeekIndex],40)&gt;0,SUMIFS(T_StockCount[CountedQty],T_StockCount[Part Name],$A20,T_StockCount[WeekIndex],40),IF((('T_SelfStock'!AO24&lt;&gt;""))*(('T_TTAFStock'!AO24&lt;&gt;""))&gt;0,'T_SelfStock'!AO24+'T_TTAFStock'!AO24,AN20+'Grid_Incoming'!AO20-'Grid_Requirement'!AO20))</f>
        <v/>
      </c>
      <c r="AP20">
        <f>IF(COUNTIFS(T_StockCount[Part Name],$A20,T_StockCount[WeekIndex],41)&gt;0,SUMIFS(T_StockCount[CountedQty],T_StockCount[Part Name],$A20,T_StockCount[WeekIndex],41),IF((('T_SelfStock'!AP24&lt;&gt;""))*(('T_TTAFStock'!AP24&lt;&gt;""))&gt;0,'T_SelfStock'!AP24+'T_TTAFStock'!AP24,AO20+'Grid_Incoming'!AP20-'Grid_Requirement'!AP20))</f>
        <v/>
      </c>
      <c r="AQ20">
        <f>IF(COUNTIFS(T_StockCount[Part Name],$A20,T_StockCount[WeekIndex],42)&gt;0,SUMIFS(T_StockCount[CountedQty],T_StockCount[Part Name],$A20,T_StockCount[WeekIndex],42),IF((('T_SelfStock'!AQ24&lt;&gt;""))*(('T_TTAFStock'!AQ24&lt;&gt;""))&gt;0,'T_SelfStock'!AQ24+'T_TTAFStock'!AQ24,AP20+'Grid_Incoming'!AQ20-'Grid_Requirement'!AQ20))</f>
        <v/>
      </c>
      <c r="AR20">
        <f>IF(COUNTIFS(T_StockCount[Part Name],$A20,T_StockCount[WeekIndex],43)&gt;0,SUMIFS(T_StockCount[CountedQty],T_StockCount[Part Name],$A20,T_StockCount[WeekIndex],43),IF((('T_SelfStock'!AR24&lt;&gt;""))*(('T_TTAFStock'!AR24&lt;&gt;""))&gt;0,'T_SelfStock'!AR24+'T_TTAFStock'!AR24,AQ20+'Grid_Incoming'!AR20-'Grid_Requirement'!AR20))</f>
        <v/>
      </c>
      <c r="AS20">
        <f>IF(COUNTIFS(T_StockCount[Part Name],$A20,T_StockCount[WeekIndex],44)&gt;0,SUMIFS(T_StockCount[CountedQty],T_StockCount[Part Name],$A20,T_StockCount[WeekIndex],44),IF((('T_SelfStock'!AS24&lt;&gt;""))*(('T_TTAFStock'!AS24&lt;&gt;""))&gt;0,'T_SelfStock'!AS24+'T_TTAFStock'!AS24,AR20+'Grid_Incoming'!AS20-'Grid_Requirement'!AS20))</f>
        <v/>
      </c>
      <c r="AT20">
        <f>IF(COUNTIFS(T_StockCount[Part Name],$A20,T_StockCount[WeekIndex],45)&gt;0,SUMIFS(T_StockCount[CountedQty],T_StockCount[Part Name],$A20,T_StockCount[WeekIndex],45),IF((('T_SelfStock'!AT24&lt;&gt;""))*(('T_TTAFStock'!AT24&lt;&gt;""))&gt;0,'T_SelfStock'!AT24+'T_TTAFStock'!AT24,AS20+'Grid_Incoming'!AT20-'Grid_Requirement'!AT20))</f>
        <v/>
      </c>
      <c r="AU20">
        <f>IF(COUNTIFS(T_StockCount[Part Name],$A20,T_StockCount[WeekIndex],46)&gt;0,SUMIFS(T_StockCount[CountedQty],T_StockCount[Part Name],$A20,T_StockCount[WeekIndex],46),IF((('T_SelfStock'!AU24&lt;&gt;""))*(('T_TTAFStock'!AU24&lt;&gt;""))&gt;0,'T_SelfStock'!AU24+'T_TTAFStock'!AU24,AT20+'Grid_Incoming'!AU20-'Grid_Requirement'!AU20))</f>
        <v/>
      </c>
      <c r="AV20">
        <f>IF(COUNTIFS(T_StockCount[Part Name],$A20,T_StockCount[WeekIndex],47)&gt;0,SUMIFS(T_StockCount[CountedQty],T_StockCount[Part Name],$A20,T_StockCount[WeekIndex],47),IF((('T_SelfStock'!AV24&lt;&gt;""))*(('T_TTAFStock'!AV24&lt;&gt;""))&gt;0,'T_SelfStock'!AV24+'T_TTAFStock'!AV24,AU20+'Grid_Incoming'!AV20-'Grid_Requirement'!AV20))</f>
        <v/>
      </c>
      <c r="AW20">
        <f>IF(COUNTIFS(T_StockCount[Part Name],$A20,T_StockCount[WeekIndex],48)&gt;0,SUMIFS(T_StockCount[CountedQty],T_StockCount[Part Name],$A20,T_StockCount[WeekIndex],48),IF((('T_SelfStock'!AW24&lt;&gt;""))*(('T_TTAFStock'!AW24&lt;&gt;""))&gt;0,'T_SelfStock'!AW24+'T_TTAFStock'!AW24,AV20+'Grid_Incoming'!AW20-'Grid_Requirement'!AW20))</f>
        <v/>
      </c>
      <c r="AX20">
        <f>IF(COUNTIFS(T_StockCount[Part Name],$A20,T_StockCount[WeekIndex],49)&gt;0,SUMIFS(T_StockCount[CountedQty],T_StockCount[Part Name],$A20,T_StockCount[WeekIndex],49),IF((('T_SelfStock'!AX24&lt;&gt;""))*(('T_TTAFStock'!AX24&lt;&gt;""))&gt;0,'T_SelfStock'!AX24+'T_TTAFStock'!AX24,AW20+'Grid_Incoming'!AX20-'Grid_Requirement'!AX20))</f>
        <v/>
      </c>
      <c r="AY20">
        <f>IF(COUNTIFS(T_StockCount[Part Name],$A20,T_StockCount[WeekIndex],50)&gt;0,SUMIFS(T_StockCount[CountedQty],T_StockCount[Part Name],$A20,T_StockCount[WeekIndex],50),IF((('T_SelfStock'!AY24&lt;&gt;""))*(('T_TTAFStock'!AY24&lt;&gt;""))&gt;0,'T_SelfStock'!AY24+'T_TTAFStock'!AY24,AX20+'Grid_Incoming'!AY20-'Grid_Requirement'!AY20))</f>
        <v/>
      </c>
      <c r="AZ20">
        <f>IF(COUNTIFS(T_StockCount[Part Name],$A20,T_StockCount[WeekIndex],51)&gt;0,SUMIFS(T_StockCount[CountedQty],T_StockCount[Part Name],$A20,T_StockCount[WeekIndex],51),IF((('T_SelfStock'!AZ24&lt;&gt;""))*(('T_TTAFStock'!AZ24&lt;&gt;""))&gt;0,'T_SelfStock'!AZ24+'T_TTAFStock'!AZ24,AY20+'Grid_Incoming'!AZ20-'Grid_Requirement'!AZ20))</f>
        <v/>
      </c>
      <c r="BA20">
        <f>IF(COUNTIFS(T_StockCount[Part Name],$A20,T_StockCount[WeekIndex],52)&gt;0,SUMIFS(T_StockCount[CountedQty],T_StockCount[Part Name],$A20,T_StockCount[WeekIndex],52),IF((('T_SelfStock'!BA24&lt;&gt;""))*(('T_TTAFStock'!BA24&lt;&gt;""))&gt;0,'T_SelfStock'!BA24+'T_TTAFStock'!BA24,AZ20+'Grid_Incoming'!BA20-'Grid_Requirement'!BA20))</f>
        <v/>
      </c>
      <c r="BB20">
        <f>IF(COUNTIFS(T_StockCount[Part Name],$A20,T_StockCount[WeekIndex],53)&gt;0,SUMIFS(T_StockCount[CountedQty],T_StockCount[Part Name],$A20,T_StockCount[WeekIndex],53),IF((('T_SelfStock'!BB24&lt;&gt;""))*(('T_TTAFStock'!BB24&lt;&gt;""))&gt;0,'T_SelfStock'!BB24+'T_TTAFStock'!BB24,BA20+'Grid_Incoming'!BB20-'Grid_Requirement'!BB20))</f>
        <v/>
      </c>
      <c r="BC20">
        <f>IF(COUNTIFS(T_StockCount[Part Name],$A20,T_StockCount[WeekIndex],54)&gt;0,SUMIFS(T_StockCount[CountedQty],T_StockCount[Part Name],$A20,T_StockCount[WeekIndex],54),IF((('T_SelfStock'!BC24&lt;&gt;""))*(('T_TTAFStock'!BC24&lt;&gt;""))&gt;0,'T_SelfStock'!BC24+'T_TTAFStock'!BC24,BB20+'Grid_Incoming'!BC20-'Grid_Requirement'!BC20))</f>
        <v/>
      </c>
      <c r="BD20">
        <f>IF(COUNTIFS(T_StockCount[Part Name],$A20,T_StockCount[WeekIndex],55)&gt;0,SUMIFS(T_StockCount[CountedQty],T_StockCount[Part Name],$A20,T_StockCount[WeekIndex],55),IF((('T_SelfStock'!BD24&lt;&gt;""))*(('T_TTAFStock'!BD24&lt;&gt;""))&gt;0,'T_SelfStock'!BD24+'T_TTAFStock'!BD24,BC20+'Grid_Incoming'!BD20-'Grid_Requirement'!BD20))</f>
        <v/>
      </c>
      <c r="BE20">
        <f>IF(COUNTIFS(T_StockCount[Part Name],$A20,T_StockCount[WeekIndex],56)&gt;0,SUMIFS(T_StockCount[CountedQty],T_StockCount[Part Name],$A20,T_StockCount[WeekIndex],56),IF((('T_SelfStock'!BE24&lt;&gt;""))*(('T_TTAFStock'!BE24&lt;&gt;""))&gt;0,'T_SelfStock'!BE24+'T_TTAFStock'!BE24,BD20+'Grid_Incoming'!BE20-'Grid_Requirement'!BE20))</f>
        <v/>
      </c>
      <c r="BF20">
        <f>IF(COUNTIFS(T_StockCount[Part Name],$A20,T_StockCount[WeekIndex],57)&gt;0,SUMIFS(T_StockCount[CountedQty],T_StockCount[Part Name],$A20,T_StockCount[WeekIndex],57),IF((('T_SelfStock'!BF24&lt;&gt;""))*(('T_TTAFStock'!BF24&lt;&gt;""))&gt;0,'T_SelfStock'!BF24+'T_TTAFStock'!BF24,BE20+'Grid_Incoming'!BF20-'Grid_Requirement'!BF20))</f>
        <v/>
      </c>
      <c r="BG20">
        <f>IF(COUNTIFS(T_StockCount[Part Name],$A20,T_StockCount[WeekIndex],58)&gt;0,SUMIFS(T_StockCount[CountedQty],T_StockCount[Part Name],$A20,T_StockCount[WeekIndex],58),IF((('T_SelfStock'!BG24&lt;&gt;""))*(('T_TTAFStock'!BG24&lt;&gt;""))&gt;0,'T_SelfStock'!BG24+'T_TTAFStock'!BG24,BF20+'Grid_Incoming'!BG20-'Grid_Requirement'!BG20))</f>
        <v/>
      </c>
      <c r="BH20">
        <f>IF(COUNTIFS(T_StockCount[Part Name],$A20,T_StockCount[WeekIndex],59)&gt;0,SUMIFS(T_StockCount[CountedQty],T_StockCount[Part Name],$A20,T_StockCount[WeekIndex],59),IF((('T_SelfStock'!BH24&lt;&gt;""))*(('T_TTAFStock'!BH24&lt;&gt;""))&gt;0,'T_SelfStock'!BH24+'T_TTAFStock'!BH24,BG20+'Grid_Incoming'!BH20-'Grid_Requirement'!BH20))</f>
        <v/>
      </c>
      <c r="BI20">
        <f>IF(COUNTIFS(T_StockCount[Part Name],$A20,T_StockCount[WeekIndex],60)&gt;0,SUMIFS(T_StockCount[CountedQty],T_StockCount[Part Name],$A20,T_StockCount[WeekIndex],60),IF((('T_SelfStock'!BI24&lt;&gt;""))*(('T_TTAFStock'!BI24&lt;&gt;""))&gt;0,'T_SelfStock'!BI24+'T_TTAFStock'!BI24,BH20+'Grid_Incoming'!BI20-'Grid_Requirement'!BI20))</f>
        <v/>
      </c>
      <c r="BJ20">
        <f>IF(COUNTIFS(T_StockCount[Part Name],$A20,T_StockCount[WeekIndex],61)&gt;0,SUMIFS(T_StockCount[CountedQty],T_StockCount[Part Name],$A20,T_StockCount[WeekIndex],61),IF((('T_SelfStock'!BJ24&lt;&gt;""))*(('T_TTAFStock'!BJ24&lt;&gt;""))&gt;0,'T_SelfStock'!BJ24+'T_TTAFStock'!BJ24,BI20+'Grid_Incoming'!BJ20-'Grid_Requirement'!BJ20))</f>
        <v/>
      </c>
      <c r="BK20">
        <f>IF(COUNTIFS(T_StockCount[Part Name],$A20,T_StockCount[WeekIndex],62)&gt;0,SUMIFS(T_StockCount[CountedQty],T_StockCount[Part Name],$A20,T_StockCount[WeekIndex],62),IF((('T_SelfStock'!BK24&lt;&gt;""))*(('T_TTAFStock'!BK24&lt;&gt;""))&gt;0,'T_SelfStock'!BK24+'T_TTAFStock'!BK24,BJ20+'Grid_Incoming'!BK20-'Grid_Requirement'!BK20))</f>
        <v/>
      </c>
      <c r="BL20">
        <f>IF(COUNTIFS(T_StockCount[Part Name],$A20,T_StockCount[WeekIndex],63)&gt;0,SUMIFS(T_StockCount[CountedQty],T_StockCount[Part Name],$A20,T_StockCount[WeekIndex],63),IF((('T_SelfStock'!BL24&lt;&gt;""))*(('T_TTAFStock'!BL24&lt;&gt;""))&gt;0,'T_SelfStock'!BL24+'T_TTAFStock'!BL24,BK20+'Grid_Incoming'!BL20-'Grid_Requirement'!BL20))</f>
        <v/>
      </c>
      <c r="BM20">
        <f>IF(COUNTIFS(T_StockCount[Part Name],$A20,T_StockCount[WeekIndex],64)&gt;0,SUMIFS(T_StockCount[CountedQty],T_StockCount[Part Name],$A20,T_StockCount[WeekIndex],64),IF((('T_SelfStock'!BM24&lt;&gt;""))*(('T_TTAFStock'!BM24&lt;&gt;""))&gt;0,'T_SelfStock'!BM24+'T_TTAFStock'!BM24,BL20+'Grid_Incoming'!BM20-'Grid_Requirement'!BM20))</f>
        <v/>
      </c>
      <c r="BN20">
        <f>IF(COUNTIFS(T_StockCount[Part Name],$A20,T_StockCount[WeekIndex],65)&gt;0,SUMIFS(T_StockCount[CountedQty],T_StockCount[Part Name],$A20,T_StockCount[WeekIndex],65),IF((('T_SelfStock'!BN24&lt;&gt;""))*(('T_TTAFStock'!BN24&lt;&gt;""))&gt;0,'T_SelfStock'!BN24+'T_TTAFStock'!BN24,BM20+'Grid_Incoming'!BN20-'Grid_Requirement'!BN20))</f>
        <v/>
      </c>
      <c r="BO20">
        <f>IF(COUNTIFS(T_StockCount[Part Name],$A20,T_StockCount[WeekIndex],66)&gt;0,SUMIFS(T_StockCount[CountedQty],T_StockCount[Part Name],$A20,T_StockCount[WeekIndex],66),IF((('T_SelfStock'!BO24&lt;&gt;""))*(('T_TTAFStock'!BO24&lt;&gt;""))&gt;0,'T_SelfStock'!BO24+'T_TTAFStock'!BO24,BN20+'Grid_Incoming'!BO20-'Grid_Requirement'!BO20))</f>
        <v/>
      </c>
      <c r="BP20">
        <f>IF(COUNTIFS(T_StockCount[Part Name],$A20,T_StockCount[WeekIndex],67)&gt;0,SUMIFS(T_StockCount[CountedQty],T_StockCount[Part Name],$A20,T_StockCount[WeekIndex],67),IF((('T_SelfStock'!BP24&lt;&gt;""))*(('T_TTAFStock'!BP24&lt;&gt;""))&gt;0,'T_SelfStock'!BP24+'T_TTAFStock'!BP24,BO20+'Grid_Incoming'!BP20-'Grid_Requirement'!BP20))</f>
        <v/>
      </c>
      <c r="BQ20">
        <f>IF(COUNTIFS(T_StockCount[Part Name],$A20,T_StockCount[WeekIndex],68)&gt;0,SUMIFS(T_StockCount[CountedQty],T_StockCount[Part Name],$A20,T_StockCount[WeekIndex],68),IF((('T_SelfStock'!BQ24&lt;&gt;""))*(('T_TTAFStock'!BQ24&lt;&gt;""))&gt;0,'T_SelfStock'!BQ24+'T_TTAFStock'!BQ24,BP20+'Grid_Incoming'!BQ20-'Grid_Requirement'!BQ20))</f>
        <v/>
      </c>
      <c r="BR20">
        <f>IF(COUNTIFS(T_StockCount[Part Name],$A20,T_StockCount[WeekIndex],69)&gt;0,SUMIFS(T_StockCount[CountedQty],T_StockCount[Part Name],$A20,T_StockCount[WeekIndex],69),IF((('T_SelfStock'!BR24&lt;&gt;""))*(('T_TTAFStock'!BR24&lt;&gt;""))&gt;0,'T_SelfStock'!BR24+'T_TTAFStock'!BR24,BQ20+'Grid_Incoming'!BR20-'Grid_Requirement'!BR20))</f>
        <v/>
      </c>
      <c r="BS20">
        <f>IF(COUNTIFS(T_StockCount[Part Name],$A20,T_StockCount[WeekIndex],70)&gt;0,SUMIFS(T_StockCount[CountedQty],T_StockCount[Part Name],$A20,T_StockCount[WeekIndex],70),IF((('T_SelfStock'!BS24&lt;&gt;""))*(('T_TTAFStock'!BS24&lt;&gt;""))&gt;0,'T_SelfStock'!BS24+'T_TTAFStock'!BS24,BR20+'Grid_Incoming'!BS20-'Grid_Requirement'!BS20))</f>
        <v/>
      </c>
      <c r="BT20">
        <f>IF(COUNTIFS(T_StockCount[Part Name],$A20,T_StockCount[WeekIndex],71)&gt;0,SUMIFS(T_StockCount[CountedQty],T_StockCount[Part Name],$A20,T_StockCount[WeekIndex],71),IF((('T_SelfStock'!BT24&lt;&gt;""))*(('T_TTAFStock'!BT24&lt;&gt;""))&gt;0,'T_SelfStock'!BT24+'T_TTAFStock'!BT24,BS20+'Grid_Incoming'!BT20-'Grid_Requirement'!BT20))</f>
        <v/>
      </c>
      <c r="BU20">
        <f>IF(COUNTIFS(T_StockCount[Part Name],$A20,T_StockCount[WeekIndex],72)&gt;0,SUMIFS(T_StockCount[CountedQty],T_StockCount[Part Name],$A20,T_StockCount[WeekIndex],72),IF((('T_SelfStock'!BU24&lt;&gt;""))*(('T_TTAFStock'!BU24&lt;&gt;""))&gt;0,'T_SelfStock'!BU24+'T_TTAFStock'!BU24,BT20+'Grid_Incoming'!BU20-'Grid_Requirement'!BU20))</f>
        <v/>
      </c>
      <c r="BV20">
        <f>IF(COUNTIFS(T_StockCount[Part Name],$A20,T_StockCount[WeekIndex],73)&gt;0,SUMIFS(T_StockCount[CountedQty],T_StockCount[Part Name],$A20,T_StockCount[WeekIndex],73),IF((('T_SelfStock'!BV24&lt;&gt;""))*(('T_TTAFStock'!BV24&lt;&gt;""))&gt;0,'T_SelfStock'!BV24+'T_TTAFStock'!BV24,BU20+'Grid_Incoming'!BV20-'Grid_Requirement'!BV20))</f>
        <v/>
      </c>
      <c r="BW20">
        <f>IF(COUNTIFS(T_StockCount[Part Name],$A20,T_StockCount[WeekIndex],74)&gt;0,SUMIFS(T_StockCount[CountedQty],T_StockCount[Part Name],$A20,T_StockCount[WeekIndex],74),IF((('T_SelfStock'!BW24&lt;&gt;""))*(('T_TTAFStock'!BW24&lt;&gt;""))&gt;0,'T_SelfStock'!BW24+'T_TTAFStock'!BW24,BV20+'Grid_Incoming'!BW20-'Grid_Requirement'!BW20))</f>
        <v/>
      </c>
      <c r="BX20">
        <f>IF(COUNTIFS(T_StockCount[Part Name],$A20,T_StockCount[WeekIndex],75)&gt;0,SUMIFS(T_StockCount[CountedQty],T_StockCount[Part Name],$A20,T_StockCount[WeekIndex],75),IF((('T_SelfStock'!BX24&lt;&gt;""))*(('T_TTAFStock'!BX24&lt;&gt;""))&gt;0,'T_SelfStock'!BX24+'T_TTAFStock'!BX24,BW20+'Grid_Incoming'!BX20-'Grid_Requirement'!BX20))</f>
        <v/>
      </c>
      <c r="BY20">
        <f>IF(COUNTIFS(T_StockCount[Part Name],$A20,T_StockCount[WeekIndex],76)&gt;0,SUMIFS(T_StockCount[CountedQty],T_StockCount[Part Name],$A20,T_StockCount[WeekIndex],76),IF((('T_SelfStock'!BY24&lt;&gt;""))*(('T_TTAFStock'!BY24&lt;&gt;""))&gt;0,'T_SelfStock'!BY24+'T_TTAFStock'!BY24,BX20+'Grid_Incoming'!BY20-'Grid_Requirement'!BY20))</f>
        <v/>
      </c>
      <c r="BZ20">
        <f>IF(COUNTIFS(T_StockCount[Part Name],$A20,T_StockCount[WeekIndex],77)&gt;0,SUMIFS(T_StockCount[CountedQty],T_StockCount[Part Name],$A20,T_StockCount[WeekIndex],77),IF((('T_SelfStock'!BZ24&lt;&gt;""))*(('T_TTAFStock'!BZ24&lt;&gt;""))&gt;0,'T_SelfStock'!BZ24+'T_TTAFStock'!BZ24,BY20+'Grid_Incoming'!BZ20-'Grid_Requirement'!BZ20))</f>
        <v/>
      </c>
      <c r="CA20">
        <f>IF(COUNTIFS(T_StockCount[Part Name],$A20,T_StockCount[WeekIndex],78)&gt;0,SUMIFS(T_StockCount[CountedQty],T_StockCount[Part Name],$A20,T_StockCount[WeekIndex],78),IF((('T_SelfStock'!CA24&lt;&gt;""))*(('T_TTAFStock'!CA24&lt;&gt;""))&gt;0,'T_SelfStock'!CA24+'T_TTAFStock'!CA24,BZ20+'Grid_Incoming'!CA20-'Grid_Requirement'!CA20))</f>
        <v/>
      </c>
      <c r="CB20">
        <f>IF(COUNTIFS(T_StockCount[Part Name],$A20,T_StockCount[WeekIndex],79)&gt;0,SUMIFS(T_StockCount[CountedQty],T_StockCount[Part Name],$A20,T_StockCount[WeekIndex],79),IF((('T_SelfStock'!CB24&lt;&gt;""))*(('T_TTAFStock'!CB24&lt;&gt;""))&gt;0,'T_SelfStock'!CB24+'T_TTAFStock'!CB24,CA20+'Grid_Incoming'!CB20-'Grid_Requirement'!CB20))</f>
        <v/>
      </c>
      <c r="CC20">
        <f>IF(COUNTIFS(T_StockCount[Part Name],$A20,T_StockCount[WeekIndex],80)&gt;0,SUMIFS(T_StockCount[CountedQty],T_StockCount[Part Name],$A20,T_StockCount[WeekIndex],80),IF((('T_SelfStock'!CC24&lt;&gt;""))*(('T_TTAFStock'!CC24&lt;&gt;""))&gt;0,'T_SelfStock'!CC24+'T_TTAFStock'!CC24,CB20+'Grid_Incoming'!CC20-'Grid_Requirement'!CC20))</f>
        <v/>
      </c>
      <c r="CD20">
        <f>IF(COUNTIFS(T_StockCount[Part Name],$A20,T_StockCount[WeekIndex],81)&gt;0,SUMIFS(T_StockCount[CountedQty],T_StockCount[Part Name],$A20,T_StockCount[WeekIndex],81),IF((('T_SelfStock'!CD24&lt;&gt;""))*(('T_TTAFStock'!CD24&lt;&gt;""))&gt;0,'T_SelfStock'!CD24+'T_TTAFStock'!CD24,CC20+'Grid_Incoming'!CD20-'Grid_Requirement'!CD20))</f>
        <v/>
      </c>
      <c r="CE20">
        <f>IF(COUNTIFS(T_StockCount[Part Name],$A20,T_StockCount[WeekIndex],82)&gt;0,SUMIFS(T_StockCount[CountedQty],T_StockCount[Part Name],$A20,T_StockCount[WeekIndex],82),IF((('T_SelfStock'!CE24&lt;&gt;""))*(('T_TTAFStock'!CE24&lt;&gt;""))&gt;0,'T_SelfStock'!CE24+'T_TTAFStock'!CE24,CD20+'Grid_Incoming'!CE20-'Grid_Requirement'!CE20))</f>
        <v/>
      </c>
      <c r="CF20">
        <f>IF(COUNTIFS(T_StockCount[Part Name],$A20,T_StockCount[WeekIndex],83)&gt;0,SUMIFS(T_StockCount[CountedQty],T_StockCount[Part Name],$A20,T_StockCount[WeekIndex],83),IF((('T_SelfStock'!CF24&lt;&gt;""))*(('T_TTAFStock'!CF24&lt;&gt;""))&gt;0,'T_SelfStock'!CF24+'T_TTAFStock'!CF24,CE20+'Grid_Incoming'!CF20-'Grid_Requirement'!CF20))</f>
        <v/>
      </c>
      <c r="CG20">
        <f>IF(COUNTIFS(T_StockCount[Part Name],$A20,T_StockCount[WeekIndex],84)&gt;0,SUMIFS(T_StockCount[CountedQty],T_StockCount[Part Name],$A20,T_StockCount[WeekIndex],84),IF((('T_SelfStock'!CG24&lt;&gt;""))*(('T_TTAFStock'!CG24&lt;&gt;""))&gt;0,'T_SelfStock'!CG24+'T_TTAFStock'!CG24,CF20+'Grid_Incoming'!CG20-'Grid_Requirement'!CG20))</f>
        <v/>
      </c>
      <c r="CH20">
        <f>IF(COUNTIFS(T_StockCount[Part Name],$A20,T_StockCount[WeekIndex],85)&gt;0,SUMIFS(T_StockCount[CountedQty],T_StockCount[Part Name],$A20,T_StockCount[WeekIndex],85),IF((('T_SelfStock'!CH24&lt;&gt;""))*(('T_TTAFStock'!CH24&lt;&gt;""))&gt;0,'T_SelfStock'!CH24+'T_TTAFStock'!CH24,CG20+'Grid_Incoming'!CH20-'Grid_Requirement'!CH20))</f>
        <v/>
      </c>
      <c r="CI20">
        <f>IF(COUNTIFS(T_StockCount[Part Name],$A20,T_StockCount[WeekIndex],86)&gt;0,SUMIFS(T_StockCount[CountedQty],T_StockCount[Part Name],$A20,T_StockCount[WeekIndex],86),IF((('T_SelfStock'!CI24&lt;&gt;""))*(('T_TTAFStock'!CI24&lt;&gt;""))&gt;0,'T_SelfStock'!CI24+'T_TTAFStock'!CI24,CH20+'Grid_Incoming'!CI20-'Grid_Requirement'!CI20))</f>
        <v/>
      </c>
      <c r="CJ20">
        <f>IF(COUNTIFS(T_StockCount[Part Name],$A20,T_StockCount[WeekIndex],87)&gt;0,SUMIFS(T_StockCount[CountedQty],T_StockCount[Part Name],$A20,T_StockCount[WeekIndex],87),IF((('T_SelfStock'!CJ24&lt;&gt;""))*(('T_TTAFStock'!CJ24&lt;&gt;""))&gt;0,'T_SelfStock'!CJ24+'T_TTAFStock'!CJ24,CI20+'Grid_Incoming'!CJ20-'Grid_Requirement'!CJ20))</f>
        <v/>
      </c>
      <c r="CK20">
        <f>IF(COUNTIFS(T_StockCount[Part Name],$A20,T_StockCount[WeekIndex],88)&gt;0,SUMIFS(T_StockCount[CountedQty],T_StockCount[Part Name],$A20,T_StockCount[WeekIndex],88),IF((('T_SelfStock'!CK24&lt;&gt;""))*(('T_TTAFStock'!CK24&lt;&gt;""))&gt;0,'T_SelfStock'!CK24+'T_TTAFStock'!CK24,CJ20+'Grid_Incoming'!CK20-'Grid_Requirement'!CK20))</f>
        <v/>
      </c>
      <c r="CL20">
        <f>IF(COUNTIFS(T_StockCount[Part Name],$A20,T_StockCount[WeekIndex],89)&gt;0,SUMIFS(T_StockCount[CountedQty],T_StockCount[Part Name],$A20,T_StockCount[WeekIndex],89),IF((('T_SelfStock'!CL24&lt;&gt;""))*(('T_TTAFStock'!CL24&lt;&gt;""))&gt;0,'T_SelfStock'!CL24+'T_TTAFStock'!CL24,CK20+'Grid_Incoming'!CL20-'Grid_Requirement'!CL20))</f>
        <v/>
      </c>
      <c r="CM20">
        <f>IF(COUNTIFS(T_StockCount[Part Name],$A20,T_StockCount[WeekIndex],90)&gt;0,SUMIFS(T_StockCount[CountedQty],T_StockCount[Part Name],$A20,T_StockCount[WeekIndex],90),IF((('T_SelfStock'!CM24&lt;&gt;""))*(('T_TTAFStock'!CM24&lt;&gt;""))&gt;0,'T_SelfStock'!CM24+'T_TTAFStock'!CM24,CL20+'Grid_Incoming'!CM20-'Grid_Requirement'!CM20))</f>
        <v/>
      </c>
      <c r="CN20">
        <f>IF(COUNTIFS(T_StockCount[Part Name],$A20,T_StockCount[WeekIndex],91)&gt;0,SUMIFS(T_StockCount[CountedQty],T_StockCount[Part Name],$A20,T_StockCount[WeekIndex],91),IF((('T_SelfStock'!CN24&lt;&gt;""))*(('T_TTAFStock'!CN24&lt;&gt;""))&gt;0,'T_SelfStock'!CN24+'T_TTAFStock'!CN24,CM20+'Grid_Incoming'!CN20-'Grid_Requirement'!CN20))</f>
        <v/>
      </c>
      <c r="CO20">
        <f>IF(COUNTIFS(T_StockCount[Part Name],$A20,T_StockCount[WeekIndex],92)&gt;0,SUMIFS(T_StockCount[CountedQty],T_StockCount[Part Name],$A20,T_StockCount[WeekIndex],92),IF((('T_SelfStock'!CO24&lt;&gt;""))*(('T_TTAFStock'!CO24&lt;&gt;""))&gt;0,'T_SelfStock'!CO24+'T_TTAFStock'!CO24,CN20+'Grid_Incoming'!CO20-'Grid_Requirement'!CO20))</f>
        <v/>
      </c>
      <c r="CP20">
        <f>IF(COUNTIFS(T_StockCount[Part Name],$A20,T_StockCount[WeekIndex],93)&gt;0,SUMIFS(T_StockCount[CountedQty],T_StockCount[Part Name],$A20,T_StockCount[WeekIndex],93),IF((('T_SelfStock'!CP24&lt;&gt;""))*(('T_TTAFStock'!CP24&lt;&gt;""))&gt;0,'T_SelfStock'!CP24+'T_TTAFStock'!CP24,CO20+'Grid_Incoming'!CP20-'Grid_Requirement'!CP20))</f>
        <v/>
      </c>
      <c r="CQ20">
        <f>IF(COUNTIFS(T_StockCount[Part Name],$A20,T_StockCount[WeekIndex],94)&gt;0,SUMIFS(T_StockCount[CountedQty],T_StockCount[Part Name],$A20,T_StockCount[WeekIndex],94),IF((('T_SelfStock'!CQ24&lt;&gt;""))*(('T_TTAFStock'!CQ24&lt;&gt;""))&gt;0,'T_SelfStock'!CQ24+'T_TTAFStock'!CQ24,CP20+'Grid_Incoming'!CQ20-'Grid_Requirement'!CQ20))</f>
        <v/>
      </c>
      <c r="CR20">
        <f>IF(COUNTIFS(T_StockCount[Part Name],$A20,T_StockCount[WeekIndex],95)&gt;0,SUMIFS(T_StockCount[CountedQty],T_StockCount[Part Name],$A20,T_StockCount[WeekIndex],95),IF((('T_SelfStock'!CR24&lt;&gt;""))*(('T_TTAFStock'!CR24&lt;&gt;""))&gt;0,'T_SelfStock'!CR24+'T_TTAFStock'!CR24,CQ20+'Grid_Incoming'!CR20-'Grid_Requirement'!CR20))</f>
        <v/>
      </c>
      <c r="CS20">
        <f>IF(COUNTIFS(T_StockCount[Part Name],$A20,T_StockCount[WeekIndex],96)&gt;0,SUMIFS(T_StockCount[CountedQty],T_StockCount[Part Name],$A20,T_StockCount[WeekIndex],96),IF((('T_SelfStock'!CS24&lt;&gt;""))*(('T_TTAFStock'!CS24&lt;&gt;""))&gt;0,'T_SelfStock'!CS24+'T_TTAFStock'!CS24,CR20+'Grid_Incoming'!CS20-'Grid_Requirement'!CS20))</f>
        <v/>
      </c>
      <c r="CT20">
        <f>IF(COUNTIFS(T_StockCount[Part Name],$A20,T_StockCount[WeekIndex],97)&gt;0,SUMIFS(T_StockCount[CountedQty],T_StockCount[Part Name],$A20,T_StockCount[WeekIndex],97),IF((('T_SelfStock'!CT24&lt;&gt;""))*(('T_TTAFStock'!CT24&lt;&gt;""))&gt;0,'T_SelfStock'!CT24+'T_TTAFStock'!CT24,CS20+'Grid_Incoming'!CT20-'Grid_Requirement'!CT20))</f>
        <v/>
      </c>
      <c r="CU20">
        <f>IF(COUNTIFS(T_StockCount[Part Name],$A20,T_StockCount[WeekIndex],98)&gt;0,SUMIFS(T_StockCount[CountedQty],T_StockCount[Part Name],$A20,T_StockCount[WeekIndex],98),IF((('T_SelfStock'!CU24&lt;&gt;""))*(('T_TTAFStock'!CU24&lt;&gt;""))&gt;0,'T_SelfStock'!CU24+'T_TTAFStock'!CU24,CT20+'Grid_Incoming'!CU20-'Grid_Requirement'!CU20))</f>
        <v/>
      </c>
      <c r="CV20">
        <f>IF(COUNTIFS(T_StockCount[Part Name],$A20,T_StockCount[WeekIndex],99)&gt;0,SUMIFS(T_StockCount[CountedQty],T_StockCount[Part Name],$A20,T_StockCount[WeekIndex],99),IF((('T_SelfStock'!CV24&lt;&gt;""))*(('T_TTAFStock'!CV24&lt;&gt;""))&gt;0,'T_SelfStock'!CV24+'T_TTAFStock'!CV24,CU20+'Grid_Incoming'!CV20-'Grid_Requirement'!CV20))</f>
        <v/>
      </c>
      <c r="CW20">
        <f>IF(COUNTIFS(T_StockCount[Part Name],$A20,T_StockCount[WeekIndex],100)&gt;0,SUMIFS(T_StockCount[CountedQty],T_StockCount[Part Name],$A20,T_StockCount[WeekIndex],100),IF((('T_SelfStock'!CW24&lt;&gt;""))*(('T_TTAFStock'!CW24&lt;&gt;""))&gt;0,'T_SelfStock'!CW24+'T_TTAFStock'!CW24,CV20+'Grid_Incoming'!CW20-'Grid_Requirement'!CW20))</f>
        <v/>
      </c>
      <c r="CX20">
        <f>IF(COUNTIFS(T_StockCount[Part Name],$A20,T_StockCount[WeekIndex],101)&gt;0,SUMIFS(T_StockCount[CountedQty],T_StockCount[Part Name],$A20,T_StockCount[WeekIndex],101),IF((('T_SelfStock'!CX24&lt;&gt;""))*(('T_TTAFStock'!CX24&lt;&gt;""))&gt;0,'T_SelfStock'!CX24+'T_TTAFStock'!CX24,CW20+'Grid_Incoming'!CX20-'Grid_Requirement'!CX20))</f>
        <v/>
      </c>
      <c r="CY20">
        <f>IF(COUNTIFS(T_StockCount[Part Name],$A20,T_StockCount[WeekIndex],102)&gt;0,SUMIFS(T_StockCount[CountedQty],T_StockCount[Part Name],$A20,T_StockCount[WeekIndex],102),IF((('T_SelfStock'!CY24&lt;&gt;""))*(('T_TTAFStock'!CY24&lt;&gt;""))&gt;0,'T_SelfStock'!CY24+'T_TTAFStock'!CY24,CX20+'Grid_Incoming'!CY20-'Grid_Requirement'!CY20))</f>
        <v/>
      </c>
      <c r="CZ20">
        <f>IF(COUNTIFS(T_StockCount[Part Name],$A20,T_StockCount[WeekIndex],103)&gt;0,SUMIFS(T_StockCount[CountedQty],T_StockCount[Part Name],$A20,T_StockCount[WeekIndex],103),IF((('T_SelfStock'!CZ24&lt;&gt;""))*(('T_TTAFStock'!CZ24&lt;&gt;""))&gt;0,'T_SelfStock'!CZ24+'T_TTAFStock'!CZ24,CY20+'Grid_Incoming'!CZ20-'Grid_Requirement'!CZ20))</f>
        <v/>
      </c>
      <c r="DA20">
        <f>IF(COUNTIFS(T_StockCount[Part Name],$A20,T_StockCount[WeekIndex],104)&gt;0,SUMIFS(T_StockCount[CountedQty],T_StockCount[Part Name],$A20,T_StockCount[WeekIndex],104),IF((('T_SelfStock'!DA24&lt;&gt;""))*(('T_TTAFStock'!DA24&lt;&gt;""))&gt;0,'T_SelfStock'!DA24+'T_TTAFStock'!DA24,CZ20+'Grid_Incoming'!DA20-'Grid_Requirement'!DA20))</f>
        <v/>
      </c>
    </row>
    <row r="21">
      <c r="A21" t="inlineStr">
        <is>
          <t>1JN</t>
        </is>
      </c>
      <c r="B21">
        <f>IF(COUNTIFS(T_StockCount[Part Name],$A21,T_StockCount[WeekIndex],1)&gt;0,SUMIFS(T_StockCount[CountedQty],T_StockCount[Part Name],$A21,T_StockCount[WeekIndex],1),IF((('T_SelfStock'!B25&lt;&gt;""))*(('T_TTAFStock'!B25&lt;&gt;""))&gt;0,'T_SelfStock'!B25+'T_TTAFStock'!B25,IFERROR(INDEX(T_OpeningStock[Opening_Qty_要入力],MATCH($A21,T_OpeningStock[Part Name],0)),0)+'Grid_Incoming'!B21-'Grid_Requirement'!B21))</f>
        <v/>
      </c>
      <c r="C21">
        <f>IF(COUNTIFS(T_StockCount[Part Name],$A21,T_StockCount[WeekIndex],2)&gt;0,SUMIFS(T_StockCount[CountedQty],T_StockCount[Part Name],$A21,T_StockCount[WeekIndex],2),IF((('T_SelfStock'!C25&lt;&gt;""))*(('T_TTAFStock'!C25&lt;&gt;""))&gt;0,'T_SelfStock'!C25+'T_TTAFStock'!C25,B21+'Grid_Incoming'!C21-'Grid_Requirement'!C21))</f>
        <v/>
      </c>
      <c r="D21">
        <f>IF(COUNTIFS(T_StockCount[Part Name],$A21,T_StockCount[WeekIndex],3)&gt;0,SUMIFS(T_StockCount[CountedQty],T_StockCount[Part Name],$A21,T_StockCount[WeekIndex],3),IF((('T_SelfStock'!D25&lt;&gt;""))*(('T_TTAFStock'!D25&lt;&gt;""))&gt;0,'T_SelfStock'!D25+'T_TTAFStock'!D25,C21+'Grid_Incoming'!D21-'Grid_Requirement'!D21))</f>
        <v/>
      </c>
      <c r="E21">
        <f>IF(COUNTIFS(T_StockCount[Part Name],$A21,T_StockCount[WeekIndex],4)&gt;0,SUMIFS(T_StockCount[CountedQty],T_StockCount[Part Name],$A21,T_StockCount[WeekIndex],4),IF((('T_SelfStock'!E25&lt;&gt;""))*(('T_TTAFStock'!E25&lt;&gt;""))&gt;0,'T_SelfStock'!E25+'T_TTAFStock'!E25,D21+'Grid_Incoming'!E21-'Grid_Requirement'!E21))</f>
        <v/>
      </c>
      <c r="F21">
        <f>IF(COUNTIFS(T_StockCount[Part Name],$A21,T_StockCount[WeekIndex],5)&gt;0,SUMIFS(T_StockCount[CountedQty],T_StockCount[Part Name],$A21,T_StockCount[WeekIndex],5),IF((('T_SelfStock'!F25&lt;&gt;""))*(('T_TTAFStock'!F25&lt;&gt;""))&gt;0,'T_SelfStock'!F25+'T_TTAFStock'!F25,E21+'Grid_Incoming'!F21-'Grid_Requirement'!F21))</f>
        <v/>
      </c>
      <c r="G21">
        <f>IF(COUNTIFS(T_StockCount[Part Name],$A21,T_StockCount[WeekIndex],6)&gt;0,SUMIFS(T_StockCount[CountedQty],T_StockCount[Part Name],$A21,T_StockCount[WeekIndex],6),IF((('T_SelfStock'!G25&lt;&gt;""))*(('T_TTAFStock'!G25&lt;&gt;""))&gt;0,'T_SelfStock'!G25+'T_TTAFStock'!G25,F21+'Grid_Incoming'!G21-'Grid_Requirement'!G21))</f>
        <v/>
      </c>
      <c r="H21">
        <f>IF(COUNTIFS(T_StockCount[Part Name],$A21,T_StockCount[WeekIndex],7)&gt;0,SUMIFS(T_StockCount[CountedQty],T_StockCount[Part Name],$A21,T_StockCount[WeekIndex],7),IF((('T_SelfStock'!H25&lt;&gt;""))*(('T_TTAFStock'!H25&lt;&gt;""))&gt;0,'T_SelfStock'!H25+'T_TTAFStock'!H25,G21+'Grid_Incoming'!H21-'Grid_Requirement'!H21))</f>
        <v/>
      </c>
      <c r="I21">
        <f>IF(COUNTIFS(T_StockCount[Part Name],$A21,T_StockCount[WeekIndex],8)&gt;0,SUMIFS(T_StockCount[CountedQty],T_StockCount[Part Name],$A21,T_StockCount[WeekIndex],8),IF((('T_SelfStock'!I25&lt;&gt;""))*(('T_TTAFStock'!I25&lt;&gt;""))&gt;0,'T_SelfStock'!I25+'T_TTAFStock'!I25,H21+'Grid_Incoming'!I21-'Grid_Requirement'!I21))</f>
        <v/>
      </c>
      <c r="J21">
        <f>IF(COUNTIFS(T_StockCount[Part Name],$A21,T_StockCount[WeekIndex],9)&gt;0,SUMIFS(T_StockCount[CountedQty],T_StockCount[Part Name],$A21,T_StockCount[WeekIndex],9),IF((('T_SelfStock'!J25&lt;&gt;""))*(('T_TTAFStock'!J25&lt;&gt;""))&gt;0,'T_SelfStock'!J25+'T_TTAFStock'!J25,I21+'Grid_Incoming'!J21-'Grid_Requirement'!J21))</f>
        <v/>
      </c>
      <c r="K21">
        <f>IF(COUNTIFS(T_StockCount[Part Name],$A21,T_StockCount[WeekIndex],10)&gt;0,SUMIFS(T_StockCount[CountedQty],T_StockCount[Part Name],$A21,T_StockCount[WeekIndex],10),IF((('T_SelfStock'!K25&lt;&gt;""))*(('T_TTAFStock'!K25&lt;&gt;""))&gt;0,'T_SelfStock'!K25+'T_TTAFStock'!K25,J21+'Grid_Incoming'!K21-'Grid_Requirement'!K21))</f>
        <v/>
      </c>
      <c r="L21">
        <f>IF(COUNTIFS(T_StockCount[Part Name],$A21,T_StockCount[WeekIndex],11)&gt;0,SUMIFS(T_StockCount[CountedQty],T_StockCount[Part Name],$A21,T_StockCount[WeekIndex],11),IF((('T_SelfStock'!L25&lt;&gt;""))*(('T_TTAFStock'!L25&lt;&gt;""))&gt;0,'T_SelfStock'!L25+'T_TTAFStock'!L25,K21+'Grid_Incoming'!L21-'Grid_Requirement'!L21))</f>
        <v/>
      </c>
      <c r="M21">
        <f>IF(COUNTIFS(T_StockCount[Part Name],$A21,T_StockCount[WeekIndex],12)&gt;0,SUMIFS(T_StockCount[CountedQty],T_StockCount[Part Name],$A21,T_StockCount[WeekIndex],12),IF((('T_SelfStock'!M25&lt;&gt;""))*(('T_TTAFStock'!M25&lt;&gt;""))&gt;0,'T_SelfStock'!M25+'T_TTAFStock'!M25,L21+'Grid_Incoming'!M21-'Grid_Requirement'!M21))</f>
        <v/>
      </c>
      <c r="N21">
        <f>IF(COUNTIFS(T_StockCount[Part Name],$A21,T_StockCount[WeekIndex],13)&gt;0,SUMIFS(T_StockCount[CountedQty],T_StockCount[Part Name],$A21,T_StockCount[WeekIndex],13),IF((('T_SelfStock'!N25&lt;&gt;""))*(('T_TTAFStock'!N25&lt;&gt;""))&gt;0,'T_SelfStock'!N25+'T_TTAFStock'!N25,M21+'Grid_Incoming'!N21-'Grid_Requirement'!N21))</f>
        <v/>
      </c>
      <c r="O21">
        <f>IF(COUNTIFS(T_StockCount[Part Name],$A21,T_StockCount[WeekIndex],14)&gt;0,SUMIFS(T_StockCount[CountedQty],T_StockCount[Part Name],$A21,T_StockCount[WeekIndex],14),IF((('T_SelfStock'!O25&lt;&gt;""))*(('T_TTAFStock'!O25&lt;&gt;""))&gt;0,'T_SelfStock'!O25+'T_TTAFStock'!O25,N21+'Grid_Incoming'!O21-'Grid_Requirement'!O21))</f>
        <v/>
      </c>
      <c r="P21">
        <f>IF(COUNTIFS(T_StockCount[Part Name],$A21,T_StockCount[WeekIndex],15)&gt;0,SUMIFS(T_StockCount[CountedQty],T_StockCount[Part Name],$A21,T_StockCount[WeekIndex],15),IF((('T_SelfStock'!P25&lt;&gt;""))*(('T_TTAFStock'!P25&lt;&gt;""))&gt;0,'T_SelfStock'!P25+'T_TTAFStock'!P25,O21+'Grid_Incoming'!P21-'Grid_Requirement'!P21))</f>
        <v/>
      </c>
      <c r="Q21">
        <f>IF(COUNTIFS(T_StockCount[Part Name],$A21,T_StockCount[WeekIndex],16)&gt;0,SUMIFS(T_StockCount[CountedQty],T_StockCount[Part Name],$A21,T_StockCount[WeekIndex],16),IF((('T_SelfStock'!Q25&lt;&gt;""))*(('T_TTAFStock'!Q25&lt;&gt;""))&gt;0,'T_SelfStock'!Q25+'T_TTAFStock'!Q25,P21+'Grid_Incoming'!Q21-'Grid_Requirement'!Q21))</f>
        <v/>
      </c>
      <c r="R21">
        <f>IF(COUNTIFS(T_StockCount[Part Name],$A21,T_StockCount[WeekIndex],17)&gt;0,SUMIFS(T_StockCount[CountedQty],T_StockCount[Part Name],$A21,T_StockCount[WeekIndex],17),IF((('T_SelfStock'!R25&lt;&gt;""))*(('T_TTAFStock'!R25&lt;&gt;""))&gt;0,'T_SelfStock'!R25+'T_TTAFStock'!R25,Q21+'Grid_Incoming'!R21-'Grid_Requirement'!R21))</f>
        <v/>
      </c>
      <c r="S21">
        <f>IF(COUNTIFS(T_StockCount[Part Name],$A21,T_StockCount[WeekIndex],18)&gt;0,SUMIFS(T_StockCount[CountedQty],T_StockCount[Part Name],$A21,T_StockCount[WeekIndex],18),IF((('T_SelfStock'!S25&lt;&gt;""))*(('T_TTAFStock'!S25&lt;&gt;""))&gt;0,'T_SelfStock'!S25+'T_TTAFStock'!S25,R21+'Grid_Incoming'!S21-'Grid_Requirement'!S21))</f>
        <v/>
      </c>
      <c r="T21">
        <f>IF(COUNTIFS(T_StockCount[Part Name],$A21,T_StockCount[WeekIndex],19)&gt;0,SUMIFS(T_StockCount[CountedQty],T_StockCount[Part Name],$A21,T_StockCount[WeekIndex],19),IF((('T_SelfStock'!T25&lt;&gt;""))*(('T_TTAFStock'!T25&lt;&gt;""))&gt;0,'T_SelfStock'!T25+'T_TTAFStock'!T25,S21+'Grid_Incoming'!T21-'Grid_Requirement'!T21))</f>
        <v/>
      </c>
      <c r="U21">
        <f>IF(COUNTIFS(T_StockCount[Part Name],$A21,T_StockCount[WeekIndex],20)&gt;0,SUMIFS(T_StockCount[CountedQty],T_StockCount[Part Name],$A21,T_StockCount[WeekIndex],20),IF((('T_SelfStock'!U25&lt;&gt;""))*(('T_TTAFStock'!U25&lt;&gt;""))&gt;0,'T_SelfStock'!U25+'T_TTAFStock'!U25,T21+'Grid_Incoming'!U21-'Grid_Requirement'!U21))</f>
        <v/>
      </c>
      <c r="V21">
        <f>IF(COUNTIFS(T_StockCount[Part Name],$A21,T_StockCount[WeekIndex],21)&gt;0,SUMIFS(T_StockCount[CountedQty],T_StockCount[Part Name],$A21,T_StockCount[WeekIndex],21),IF((('T_SelfStock'!V25&lt;&gt;""))*(('T_TTAFStock'!V25&lt;&gt;""))&gt;0,'T_SelfStock'!V25+'T_TTAFStock'!V25,U21+'Grid_Incoming'!V21-'Grid_Requirement'!V21))</f>
        <v/>
      </c>
      <c r="W21">
        <f>IF(COUNTIFS(T_StockCount[Part Name],$A21,T_StockCount[WeekIndex],22)&gt;0,SUMIFS(T_StockCount[CountedQty],T_StockCount[Part Name],$A21,T_StockCount[WeekIndex],22),IF((('T_SelfStock'!W25&lt;&gt;""))*(('T_TTAFStock'!W25&lt;&gt;""))&gt;0,'T_SelfStock'!W25+'T_TTAFStock'!W25,V21+'Grid_Incoming'!W21-'Grid_Requirement'!W21))</f>
        <v/>
      </c>
      <c r="X21">
        <f>IF(COUNTIFS(T_StockCount[Part Name],$A21,T_StockCount[WeekIndex],23)&gt;0,SUMIFS(T_StockCount[CountedQty],T_StockCount[Part Name],$A21,T_StockCount[WeekIndex],23),IF((('T_SelfStock'!X25&lt;&gt;""))*(('T_TTAFStock'!X25&lt;&gt;""))&gt;0,'T_SelfStock'!X25+'T_TTAFStock'!X25,W21+'Grid_Incoming'!X21-'Grid_Requirement'!X21))</f>
        <v/>
      </c>
      <c r="Y21">
        <f>IF(COUNTIFS(T_StockCount[Part Name],$A21,T_StockCount[WeekIndex],24)&gt;0,SUMIFS(T_StockCount[CountedQty],T_StockCount[Part Name],$A21,T_StockCount[WeekIndex],24),IF((('T_SelfStock'!Y25&lt;&gt;""))*(('T_TTAFStock'!Y25&lt;&gt;""))&gt;0,'T_SelfStock'!Y25+'T_TTAFStock'!Y25,X21+'Grid_Incoming'!Y21-'Grid_Requirement'!Y21))</f>
        <v/>
      </c>
      <c r="Z21">
        <f>IF(COUNTIFS(T_StockCount[Part Name],$A21,T_StockCount[WeekIndex],25)&gt;0,SUMIFS(T_StockCount[CountedQty],T_StockCount[Part Name],$A21,T_StockCount[WeekIndex],25),IF((('T_SelfStock'!Z25&lt;&gt;""))*(('T_TTAFStock'!Z25&lt;&gt;""))&gt;0,'T_SelfStock'!Z25+'T_TTAFStock'!Z25,Y21+'Grid_Incoming'!Z21-'Grid_Requirement'!Z21))</f>
        <v/>
      </c>
      <c r="AA21">
        <f>IF(COUNTIFS(T_StockCount[Part Name],$A21,T_StockCount[WeekIndex],26)&gt;0,SUMIFS(T_StockCount[CountedQty],T_StockCount[Part Name],$A21,T_StockCount[WeekIndex],26),IF((('T_SelfStock'!AA25&lt;&gt;""))*(('T_TTAFStock'!AA25&lt;&gt;""))&gt;0,'T_SelfStock'!AA25+'T_TTAFStock'!AA25,Z21+'Grid_Incoming'!AA21-'Grid_Requirement'!AA21))</f>
        <v/>
      </c>
      <c r="AB21">
        <f>IF(COUNTIFS(T_StockCount[Part Name],$A21,T_StockCount[WeekIndex],27)&gt;0,SUMIFS(T_StockCount[CountedQty],T_StockCount[Part Name],$A21,T_StockCount[WeekIndex],27),IF((('T_SelfStock'!AB25&lt;&gt;""))*(('T_TTAFStock'!AB25&lt;&gt;""))&gt;0,'T_SelfStock'!AB25+'T_TTAFStock'!AB25,AA21+'Grid_Incoming'!AB21-'Grid_Requirement'!AB21))</f>
        <v/>
      </c>
      <c r="AC21">
        <f>IF(COUNTIFS(T_StockCount[Part Name],$A21,T_StockCount[WeekIndex],28)&gt;0,SUMIFS(T_StockCount[CountedQty],T_StockCount[Part Name],$A21,T_StockCount[WeekIndex],28),IF((('T_SelfStock'!AC25&lt;&gt;""))*(('T_TTAFStock'!AC25&lt;&gt;""))&gt;0,'T_SelfStock'!AC25+'T_TTAFStock'!AC25,AB21+'Grid_Incoming'!AC21-'Grid_Requirement'!AC21))</f>
        <v/>
      </c>
      <c r="AD21">
        <f>IF(COUNTIFS(T_StockCount[Part Name],$A21,T_StockCount[WeekIndex],29)&gt;0,SUMIFS(T_StockCount[CountedQty],T_StockCount[Part Name],$A21,T_StockCount[WeekIndex],29),IF((('T_SelfStock'!AD25&lt;&gt;""))*(('T_TTAFStock'!AD25&lt;&gt;""))&gt;0,'T_SelfStock'!AD25+'T_TTAFStock'!AD25,AC21+'Grid_Incoming'!AD21-'Grid_Requirement'!AD21))</f>
        <v/>
      </c>
      <c r="AE21">
        <f>IF(COUNTIFS(T_StockCount[Part Name],$A21,T_StockCount[WeekIndex],30)&gt;0,SUMIFS(T_StockCount[CountedQty],T_StockCount[Part Name],$A21,T_StockCount[WeekIndex],30),IF((('T_SelfStock'!AE25&lt;&gt;""))*(('T_TTAFStock'!AE25&lt;&gt;""))&gt;0,'T_SelfStock'!AE25+'T_TTAFStock'!AE25,AD21+'Grid_Incoming'!AE21-'Grid_Requirement'!AE21))</f>
        <v/>
      </c>
      <c r="AF21">
        <f>IF(COUNTIFS(T_StockCount[Part Name],$A21,T_StockCount[WeekIndex],31)&gt;0,SUMIFS(T_StockCount[CountedQty],T_StockCount[Part Name],$A21,T_StockCount[WeekIndex],31),IF((('T_SelfStock'!AF25&lt;&gt;""))*(('T_TTAFStock'!AF25&lt;&gt;""))&gt;0,'T_SelfStock'!AF25+'T_TTAFStock'!AF25,AE21+'Grid_Incoming'!AF21-'Grid_Requirement'!AF21))</f>
        <v/>
      </c>
      <c r="AG21">
        <f>IF(COUNTIFS(T_StockCount[Part Name],$A21,T_StockCount[WeekIndex],32)&gt;0,SUMIFS(T_StockCount[CountedQty],T_StockCount[Part Name],$A21,T_StockCount[WeekIndex],32),IF((('T_SelfStock'!AG25&lt;&gt;""))*(('T_TTAFStock'!AG25&lt;&gt;""))&gt;0,'T_SelfStock'!AG25+'T_TTAFStock'!AG25,AF21+'Grid_Incoming'!AG21-'Grid_Requirement'!AG21))</f>
        <v/>
      </c>
      <c r="AH21">
        <f>IF(COUNTIFS(T_StockCount[Part Name],$A21,T_StockCount[WeekIndex],33)&gt;0,SUMIFS(T_StockCount[CountedQty],T_StockCount[Part Name],$A21,T_StockCount[WeekIndex],33),IF((('T_SelfStock'!AH25&lt;&gt;""))*(('T_TTAFStock'!AH25&lt;&gt;""))&gt;0,'T_SelfStock'!AH25+'T_TTAFStock'!AH25,AG21+'Grid_Incoming'!AH21-'Grid_Requirement'!AH21))</f>
        <v/>
      </c>
      <c r="AI21">
        <f>IF(COUNTIFS(T_StockCount[Part Name],$A21,T_StockCount[WeekIndex],34)&gt;0,SUMIFS(T_StockCount[CountedQty],T_StockCount[Part Name],$A21,T_StockCount[WeekIndex],34),IF((('T_SelfStock'!AI25&lt;&gt;""))*(('T_TTAFStock'!AI25&lt;&gt;""))&gt;0,'T_SelfStock'!AI25+'T_TTAFStock'!AI25,AH21+'Grid_Incoming'!AI21-'Grid_Requirement'!AI21))</f>
        <v/>
      </c>
      <c r="AJ21">
        <f>IF(COUNTIFS(T_StockCount[Part Name],$A21,T_StockCount[WeekIndex],35)&gt;0,SUMIFS(T_StockCount[CountedQty],T_StockCount[Part Name],$A21,T_StockCount[WeekIndex],35),IF((('T_SelfStock'!AJ25&lt;&gt;""))*(('T_TTAFStock'!AJ25&lt;&gt;""))&gt;0,'T_SelfStock'!AJ25+'T_TTAFStock'!AJ25,AI21+'Grid_Incoming'!AJ21-'Grid_Requirement'!AJ21))</f>
        <v/>
      </c>
      <c r="AK21">
        <f>IF(COUNTIFS(T_StockCount[Part Name],$A21,T_StockCount[WeekIndex],36)&gt;0,SUMIFS(T_StockCount[CountedQty],T_StockCount[Part Name],$A21,T_StockCount[WeekIndex],36),IF((('T_SelfStock'!AK25&lt;&gt;""))*(('T_TTAFStock'!AK25&lt;&gt;""))&gt;0,'T_SelfStock'!AK25+'T_TTAFStock'!AK25,AJ21+'Grid_Incoming'!AK21-'Grid_Requirement'!AK21))</f>
        <v/>
      </c>
      <c r="AL21">
        <f>IF(COUNTIFS(T_StockCount[Part Name],$A21,T_StockCount[WeekIndex],37)&gt;0,SUMIFS(T_StockCount[CountedQty],T_StockCount[Part Name],$A21,T_StockCount[WeekIndex],37),IF((('T_SelfStock'!AL25&lt;&gt;""))*(('T_TTAFStock'!AL25&lt;&gt;""))&gt;0,'T_SelfStock'!AL25+'T_TTAFStock'!AL25,AK21+'Grid_Incoming'!AL21-'Grid_Requirement'!AL21))</f>
        <v/>
      </c>
      <c r="AM21">
        <f>IF(COUNTIFS(T_StockCount[Part Name],$A21,T_StockCount[WeekIndex],38)&gt;0,SUMIFS(T_StockCount[CountedQty],T_StockCount[Part Name],$A21,T_StockCount[WeekIndex],38),IF((('T_SelfStock'!AM25&lt;&gt;""))*(('T_TTAFStock'!AM25&lt;&gt;""))&gt;0,'T_SelfStock'!AM25+'T_TTAFStock'!AM25,AL21+'Grid_Incoming'!AM21-'Grid_Requirement'!AM21))</f>
        <v/>
      </c>
      <c r="AN21">
        <f>IF(COUNTIFS(T_StockCount[Part Name],$A21,T_StockCount[WeekIndex],39)&gt;0,SUMIFS(T_StockCount[CountedQty],T_StockCount[Part Name],$A21,T_StockCount[WeekIndex],39),IF((('T_SelfStock'!AN25&lt;&gt;""))*(('T_TTAFStock'!AN25&lt;&gt;""))&gt;0,'T_SelfStock'!AN25+'T_TTAFStock'!AN25,AM21+'Grid_Incoming'!AN21-'Grid_Requirement'!AN21))</f>
        <v/>
      </c>
      <c r="AO21">
        <f>IF(COUNTIFS(T_StockCount[Part Name],$A21,T_StockCount[WeekIndex],40)&gt;0,SUMIFS(T_StockCount[CountedQty],T_StockCount[Part Name],$A21,T_StockCount[WeekIndex],40),IF((('T_SelfStock'!AO25&lt;&gt;""))*(('T_TTAFStock'!AO25&lt;&gt;""))&gt;0,'T_SelfStock'!AO25+'T_TTAFStock'!AO25,AN21+'Grid_Incoming'!AO21-'Grid_Requirement'!AO21))</f>
        <v/>
      </c>
      <c r="AP21">
        <f>IF(COUNTIFS(T_StockCount[Part Name],$A21,T_StockCount[WeekIndex],41)&gt;0,SUMIFS(T_StockCount[CountedQty],T_StockCount[Part Name],$A21,T_StockCount[WeekIndex],41),IF((('T_SelfStock'!AP25&lt;&gt;""))*(('T_TTAFStock'!AP25&lt;&gt;""))&gt;0,'T_SelfStock'!AP25+'T_TTAFStock'!AP25,AO21+'Grid_Incoming'!AP21-'Grid_Requirement'!AP21))</f>
        <v/>
      </c>
      <c r="AQ21">
        <f>IF(COUNTIFS(T_StockCount[Part Name],$A21,T_StockCount[WeekIndex],42)&gt;0,SUMIFS(T_StockCount[CountedQty],T_StockCount[Part Name],$A21,T_StockCount[WeekIndex],42),IF((('T_SelfStock'!AQ25&lt;&gt;""))*(('T_TTAFStock'!AQ25&lt;&gt;""))&gt;0,'T_SelfStock'!AQ25+'T_TTAFStock'!AQ25,AP21+'Grid_Incoming'!AQ21-'Grid_Requirement'!AQ21))</f>
        <v/>
      </c>
      <c r="AR21">
        <f>IF(COUNTIFS(T_StockCount[Part Name],$A21,T_StockCount[WeekIndex],43)&gt;0,SUMIFS(T_StockCount[CountedQty],T_StockCount[Part Name],$A21,T_StockCount[WeekIndex],43),IF((('T_SelfStock'!AR25&lt;&gt;""))*(('T_TTAFStock'!AR25&lt;&gt;""))&gt;0,'T_SelfStock'!AR25+'T_TTAFStock'!AR25,AQ21+'Grid_Incoming'!AR21-'Grid_Requirement'!AR21))</f>
        <v/>
      </c>
      <c r="AS21">
        <f>IF(COUNTIFS(T_StockCount[Part Name],$A21,T_StockCount[WeekIndex],44)&gt;0,SUMIFS(T_StockCount[CountedQty],T_StockCount[Part Name],$A21,T_StockCount[WeekIndex],44),IF((('T_SelfStock'!AS25&lt;&gt;""))*(('T_TTAFStock'!AS25&lt;&gt;""))&gt;0,'T_SelfStock'!AS25+'T_TTAFStock'!AS25,AR21+'Grid_Incoming'!AS21-'Grid_Requirement'!AS21))</f>
        <v/>
      </c>
      <c r="AT21">
        <f>IF(COUNTIFS(T_StockCount[Part Name],$A21,T_StockCount[WeekIndex],45)&gt;0,SUMIFS(T_StockCount[CountedQty],T_StockCount[Part Name],$A21,T_StockCount[WeekIndex],45),IF((('T_SelfStock'!AT25&lt;&gt;""))*(('T_TTAFStock'!AT25&lt;&gt;""))&gt;0,'T_SelfStock'!AT25+'T_TTAFStock'!AT25,AS21+'Grid_Incoming'!AT21-'Grid_Requirement'!AT21))</f>
        <v/>
      </c>
      <c r="AU21">
        <f>IF(COUNTIFS(T_StockCount[Part Name],$A21,T_StockCount[WeekIndex],46)&gt;0,SUMIFS(T_StockCount[CountedQty],T_StockCount[Part Name],$A21,T_StockCount[WeekIndex],46),IF((('T_SelfStock'!AU25&lt;&gt;""))*(('T_TTAFStock'!AU25&lt;&gt;""))&gt;0,'T_SelfStock'!AU25+'T_TTAFStock'!AU25,AT21+'Grid_Incoming'!AU21-'Grid_Requirement'!AU21))</f>
        <v/>
      </c>
      <c r="AV21">
        <f>IF(COUNTIFS(T_StockCount[Part Name],$A21,T_StockCount[WeekIndex],47)&gt;0,SUMIFS(T_StockCount[CountedQty],T_StockCount[Part Name],$A21,T_StockCount[WeekIndex],47),IF((('T_SelfStock'!AV25&lt;&gt;""))*(('T_TTAFStock'!AV25&lt;&gt;""))&gt;0,'T_SelfStock'!AV25+'T_TTAFStock'!AV25,AU21+'Grid_Incoming'!AV21-'Grid_Requirement'!AV21))</f>
        <v/>
      </c>
      <c r="AW21">
        <f>IF(COUNTIFS(T_StockCount[Part Name],$A21,T_StockCount[WeekIndex],48)&gt;0,SUMIFS(T_StockCount[CountedQty],T_StockCount[Part Name],$A21,T_StockCount[WeekIndex],48),IF((('T_SelfStock'!AW25&lt;&gt;""))*(('T_TTAFStock'!AW25&lt;&gt;""))&gt;0,'T_SelfStock'!AW25+'T_TTAFStock'!AW25,AV21+'Grid_Incoming'!AW21-'Grid_Requirement'!AW21))</f>
        <v/>
      </c>
      <c r="AX21">
        <f>IF(COUNTIFS(T_StockCount[Part Name],$A21,T_StockCount[WeekIndex],49)&gt;0,SUMIFS(T_StockCount[CountedQty],T_StockCount[Part Name],$A21,T_StockCount[WeekIndex],49),IF((('T_SelfStock'!AX25&lt;&gt;""))*(('T_TTAFStock'!AX25&lt;&gt;""))&gt;0,'T_SelfStock'!AX25+'T_TTAFStock'!AX25,AW21+'Grid_Incoming'!AX21-'Grid_Requirement'!AX21))</f>
        <v/>
      </c>
      <c r="AY21">
        <f>IF(COUNTIFS(T_StockCount[Part Name],$A21,T_StockCount[WeekIndex],50)&gt;0,SUMIFS(T_StockCount[CountedQty],T_StockCount[Part Name],$A21,T_StockCount[WeekIndex],50),IF((('T_SelfStock'!AY25&lt;&gt;""))*(('T_TTAFStock'!AY25&lt;&gt;""))&gt;0,'T_SelfStock'!AY25+'T_TTAFStock'!AY25,AX21+'Grid_Incoming'!AY21-'Grid_Requirement'!AY21))</f>
        <v/>
      </c>
      <c r="AZ21">
        <f>IF(COUNTIFS(T_StockCount[Part Name],$A21,T_StockCount[WeekIndex],51)&gt;0,SUMIFS(T_StockCount[CountedQty],T_StockCount[Part Name],$A21,T_StockCount[WeekIndex],51),IF((('T_SelfStock'!AZ25&lt;&gt;""))*(('T_TTAFStock'!AZ25&lt;&gt;""))&gt;0,'T_SelfStock'!AZ25+'T_TTAFStock'!AZ25,AY21+'Grid_Incoming'!AZ21-'Grid_Requirement'!AZ21))</f>
        <v/>
      </c>
      <c r="BA21">
        <f>IF(COUNTIFS(T_StockCount[Part Name],$A21,T_StockCount[WeekIndex],52)&gt;0,SUMIFS(T_StockCount[CountedQty],T_StockCount[Part Name],$A21,T_StockCount[WeekIndex],52),IF((('T_SelfStock'!BA25&lt;&gt;""))*(('T_TTAFStock'!BA25&lt;&gt;""))&gt;0,'T_SelfStock'!BA25+'T_TTAFStock'!BA25,AZ21+'Grid_Incoming'!BA21-'Grid_Requirement'!BA21))</f>
        <v/>
      </c>
      <c r="BB21">
        <f>IF(COUNTIFS(T_StockCount[Part Name],$A21,T_StockCount[WeekIndex],53)&gt;0,SUMIFS(T_StockCount[CountedQty],T_StockCount[Part Name],$A21,T_StockCount[WeekIndex],53),IF((('T_SelfStock'!BB25&lt;&gt;""))*(('T_TTAFStock'!BB25&lt;&gt;""))&gt;0,'T_SelfStock'!BB25+'T_TTAFStock'!BB25,BA21+'Grid_Incoming'!BB21-'Grid_Requirement'!BB21))</f>
        <v/>
      </c>
      <c r="BC21">
        <f>IF(COUNTIFS(T_StockCount[Part Name],$A21,T_StockCount[WeekIndex],54)&gt;0,SUMIFS(T_StockCount[CountedQty],T_StockCount[Part Name],$A21,T_StockCount[WeekIndex],54),IF((('T_SelfStock'!BC25&lt;&gt;""))*(('T_TTAFStock'!BC25&lt;&gt;""))&gt;0,'T_SelfStock'!BC25+'T_TTAFStock'!BC25,BB21+'Grid_Incoming'!BC21-'Grid_Requirement'!BC21))</f>
        <v/>
      </c>
      <c r="BD21">
        <f>IF(COUNTIFS(T_StockCount[Part Name],$A21,T_StockCount[WeekIndex],55)&gt;0,SUMIFS(T_StockCount[CountedQty],T_StockCount[Part Name],$A21,T_StockCount[WeekIndex],55),IF((('T_SelfStock'!BD25&lt;&gt;""))*(('T_TTAFStock'!BD25&lt;&gt;""))&gt;0,'T_SelfStock'!BD25+'T_TTAFStock'!BD25,BC21+'Grid_Incoming'!BD21-'Grid_Requirement'!BD21))</f>
        <v/>
      </c>
      <c r="BE21">
        <f>IF(COUNTIFS(T_StockCount[Part Name],$A21,T_StockCount[WeekIndex],56)&gt;0,SUMIFS(T_StockCount[CountedQty],T_StockCount[Part Name],$A21,T_StockCount[WeekIndex],56),IF((('T_SelfStock'!BE25&lt;&gt;""))*(('T_TTAFStock'!BE25&lt;&gt;""))&gt;0,'T_SelfStock'!BE25+'T_TTAFStock'!BE25,BD21+'Grid_Incoming'!BE21-'Grid_Requirement'!BE21))</f>
        <v/>
      </c>
      <c r="BF21">
        <f>IF(COUNTIFS(T_StockCount[Part Name],$A21,T_StockCount[WeekIndex],57)&gt;0,SUMIFS(T_StockCount[CountedQty],T_StockCount[Part Name],$A21,T_StockCount[WeekIndex],57),IF((('T_SelfStock'!BF25&lt;&gt;""))*(('T_TTAFStock'!BF25&lt;&gt;""))&gt;0,'T_SelfStock'!BF25+'T_TTAFStock'!BF25,BE21+'Grid_Incoming'!BF21-'Grid_Requirement'!BF21))</f>
        <v/>
      </c>
      <c r="BG21">
        <f>IF(COUNTIFS(T_StockCount[Part Name],$A21,T_StockCount[WeekIndex],58)&gt;0,SUMIFS(T_StockCount[CountedQty],T_StockCount[Part Name],$A21,T_StockCount[WeekIndex],58),IF((('T_SelfStock'!BG25&lt;&gt;""))*(('T_TTAFStock'!BG25&lt;&gt;""))&gt;0,'T_SelfStock'!BG25+'T_TTAFStock'!BG25,BF21+'Grid_Incoming'!BG21-'Grid_Requirement'!BG21))</f>
        <v/>
      </c>
      <c r="BH21">
        <f>IF(COUNTIFS(T_StockCount[Part Name],$A21,T_StockCount[WeekIndex],59)&gt;0,SUMIFS(T_StockCount[CountedQty],T_StockCount[Part Name],$A21,T_StockCount[WeekIndex],59),IF((('T_SelfStock'!BH25&lt;&gt;""))*(('T_TTAFStock'!BH25&lt;&gt;""))&gt;0,'T_SelfStock'!BH25+'T_TTAFStock'!BH25,BG21+'Grid_Incoming'!BH21-'Grid_Requirement'!BH21))</f>
        <v/>
      </c>
      <c r="BI21">
        <f>IF(COUNTIFS(T_StockCount[Part Name],$A21,T_StockCount[WeekIndex],60)&gt;0,SUMIFS(T_StockCount[CountedQty],T_StockCount[Part Name],$A21,T_StockCount[WeekIndex],60),IF((('T_SelfStock'!BI25&lt;&gt;""))*(('T_TTAFStock'!BI25&lt;&gt;""))&gt;0,'T_SelfStock'!BI25+'T_TTAFStock'!BI25,BH21+'Grid_Incoming'!BI21-'Grid_Requirement'!BI21))</f>
        <v/>
      </c>
      <c r="BJ21">
        <f>IF(COUNTIFS(T_StockCount[Part Name],$A21,T_StockCount[WeekIndex],61)&gt;0,SUMIFS(T_StockCount[CountedQty],T_StockCount[Part Name],$A21,T_StockCount[WeekIndex],61),IF((('T_SelfStock'!BJ25&lt;&gt;""))*(('T_TTAFStock'!BJ25&lt;&gt;""))&gt;0,'T_SelfStock'!BJ25+'T_TTAFStock'!BJ25,BI21+'Grid_Incoming'!BJ21-'Grid_Requirement'!BJ21))</f>
        <v/>
      </c>
      <c r="BK21">
        <f>IF(COUNTIFS(T_StockCount[Part Name],$A21,T_StockCount[WeekIndex],62)&gt;0,SUMIFS(T_StockCount[CountedQty],T_StockCount[Part Name],$A21,T_StockCount[WeekIndex],62),IF((('T_SelfStock'!BK25&lt;&gt;""))*(('T_TTAFStock'!BK25&lt;&gt;""))&gt;0,'T_SelfStock'!BK25+'T_TTAFStock'!BK25,BJ21+'Grid_Incoming'!BK21-'Grid_Requirement'!BK21))</f>
        <v/>
      </c>
      <c r="BL21">
        <f>IF(COUNTIFS(T_StockCount[Part Name],$A21,T_StockCount[WeekIndex],63)&gt;0,SUMIFS(T_StockCount[CountedQty],T_StockCount[Part Name],$A21,T_StockCount[WeekIndex],63),IF((('T_SelfStock'!BL25&lt;&gt;""))*(('T_TTAFStock'!BL25&lt;&gt;""))&gt;0,'T_SelfStock'!BL25+'T_TTAFStock'!BL25,BK21+'Grid_Incoming'!BL21-'Grid_Requirement'!BL21))</f>
        <v/>
      </c>
      <c r="BM21">
        <f>IF(COUNTIFS(T_StockCount[Part Name],$A21,T_StockCount[WeekIndex],64)&gt;0,SUMIFS(T_StockCount[CountedQty],T_StockCount[Part Name],$A21,T_StockCount[WeekIndex],64),IF((('T_SelfStock'!BM25&lt;&gt;""))*(('T_TTAFStock'!BM25&lt;&gt;""))&gt;0,'T_SelfStock'!BM25+'T_TTAFStock'!BM25,BL21+'Grid_Incoming'!BM21-'Grid_Requirement'!BM21))</f>
        <v/>
      </c>
      <c r="BN21">
        <f>IF(COUNTIFS(T_StockCount[Part Name],$A21,T_StockCount[WeekIndex],65)&gt;0,SUMIFS(T_StockCount[CountedQty],T_StockCount[Part Name],$A21,T_StockCount[WeekIndex],65),IF((('T_SelfStock'!BN25&lt;&gt;""))*(('T_TTAFStock'!BN25&lt;&gt;""))&gt;0,'T_SelfStock'!BN25+'T_TTAFStock'!BN25,BM21+'Grid_Incoming'!BN21-'Grid_Requirement'!BN21))</f>
        <v/>
      </c>
      <c r="BO21">
        <f>IF(COUNTIFS(T_StockCount[Part Name],$A21,T_StockCount[WeekIndex],66)&gt;0,SUMIFS(T_StockCount[CountedQty],T_StockCount[Part Name],$A21,T_StockCount[WeekIndex],66),IF((('T_SelfStock'!BO25&lt;&gt;""))*(('T_TTAFStock'!BO25&lt;&gt;""))&gt;0,'T_SelfStock'!BO25+'T_TTAFStock'!BO25,BN21+'Grid_Incoming'!BO21-'Grid_Requirement'!BO21))</f>
        <v/>
      </c>
      <c r="BP21">
        <f>IF(COUNTIFS(T_StockCount[Part Name],$A21,T_StockCount[WeekIndex],67)&gt;0,SUMIFS(T_StockCount[CountedQty],T_StockCount[Part Name],$A21,T_StockCount[WeekIndex],67),IF((('T_SelfStock'!BP25&lt;&gt;""))*(('T_TTAFStock'!BP25&lt;&gt;""))&gt;0,'T_SelfStock'!BP25+'T_TTAFStock'!BP25,BO21+'Grid_Incoming'!BP21-'Grid_Requirement'!BP21))</f>
        <v/>
      </c>
      <c r="BQ21">
        <f>IF(COUNTIFS(T_StockCount[Part Name],$A21,T_StockCount[WeekIndex],68)&gt;0,SUMIFS(T_StockCount[CountedQty],T_StockCount[Part Name],$A21,T_StockCount[WeekIndex],68),IF((('T_SelfStock'!BQ25&lt;&gt;""))*(('T_TTAFStock'!BQ25&lt;&gt;""))&gt;0,'T_SelfStock'!BQ25+'T_TTAFStock'!BQ25,BP21+'Grid_Incoming'!BQ21-'Grid_Requirement'!BQ21))</f>
        <v/>
      </c>
      <c r="BR21">
        <f>IF(COUNTIFS(T_StockCount[Part Name],$A21,T_StockCount[WeekIndex],69)&gt;0,SUMIFS(T_StockCount[CountedQty],T_StockCount[Part Name],$A21,T_StockCount[WeekIndex],69),IF((('T_SelfStock'!BR25&lt;&gt;""))*(('T_TTAFStock'!BR25&lt;&gt;""))&gt;0,'T_SelfStock'!BR25+'T_TTAFStock'!BR25,BQ21+'Grid_Incoming'!BR21-'Grid_Requirement'!BR21))</f>
        <v/>
      </c>
      <c r="BS21">
        <f>IF(COUNTIFS(T_StockCount[Part Name],$A21,T_StockCount[WeekIndex],70)&gt;0,SUMIFS(T_StockCount[CountedQty],T_StockCount[Part Name],$A21,T_StockCount[WeekIndex],70),IF((('T_SelfStock'!BS25&lt;&gt;""))*(('T_TTAFStock'!BS25&lt;&gt;""))&gt;0,'T_SelfStock'!BS25+'T_TTAFStock'!BS25,BR21+'Grid_Incoming'!BS21-'Grid_Requirement'!BS21))</f>
        <v/>
      </c>
      <c r="BT21">
        <f>IF(COUNTIFS(T_StockCount[Part Name],$A21,T_StockCount[WeekIndex],71)&gt;0,SUMIFS(T_StockCount[CountedQty],T_StockCount[Part Name],$A21,T_StockCount[WeekIndex],71),IF((('T_SelfStock'!BT25&lt;&gt;""))*(('T_TTAFStock'!BT25&lt;&gt;""))&gt;0,'T_SelfStock'!BT25+'T_TTAFStock'!BT25,BS21+'Grid_Incoming'!BT21-'Grid_Requirement'!BT21))</f>
        <v/>
      </c>
      <c r="BU21">
        <f>IF(COUNTIFS(T_StockCount[Part Name],$A21,T_StockCount[WeekIndex],72)&gt;0,SUMIFS(T_StockCount[CountedQty],T_StockCount[Part Name],$A21,T_StockCount[WeekIndex],72),IF((('T_SelfStock'!BU25&lt;&gt;""))*(('T_TTAFStock'!BU25&lt;&gt;""))&gt;0,'T_SelfStock'!BU25+'T_TTAFStock'!BU25,BT21+'Grid_Incoming'!BU21-'Grid_Requirement'!BU21))</f>
        <v/>
      </c>
      <c r="BV21">
        <f>IF(COUNTIFS(T_StockCount[Part Name],$A21,T_StockCount[WeekIndex],73)&gt;0,SUMIFS(T_StockCount[CountedQty],T_StockCount[Part Name],$A21,T_StockCount[WeekIndex],73),IF((('T_SelfStock'!BV25&lt;&gt;""))*(('T_TTAFStock'!BV25&lt;&gt;""))&gt;0,'T_SelfStock'!BV25+'T_TTAFStock'!BV25,BU21+'Grid_Incoming'!BV21-'Grid_Requirement'!BV21))</f>
        <v/>
      </c>
      <c r="BW21">
        <f>IF(COUNTIFS(T_StockCount[Part Name],$A21,T_StockCount[WeekIndex],74)&gt;0,SUMIFS(T_StockCount[CountedQty],T_StockCount[Part Name],$A21,T_StockCount[WeekIndex],74),IF((('T_SelfStock'!BW25&lt;&gt;""))*(('T_TTAFStock'!BW25&lt;&gt;""))&gt;0,'T_SelfStock'!BW25+'T_TTAFStock'!BW25,BV21+'Grid_Incoming'!BW21-'Grid_Requirement'!BW21))</f>
        <v/>
      </c>
      <c r="BX21">
        <f>IF(COUNTIFS(T_StockCount[Part Name],$A21,T_StockCount[WeekIndex],75)&gt;0,SUMIFS(T_StockCount[CountedQty],T_StockCount[Part Name],$A21,T_StockCount[WeekIndex],75),IF((('T_SelfStock'!BX25&lt;&gt;""))*(('T_TTAFStock'!BX25&lt;&gt;""))&gt;0,'T_SelfStock'!BX25+'T_TTAFStock'!BX25,BW21+'Grid_Incoming'!BX21-'Grid_Requirement'!BX21))</f>
        <v/>
      </c>
      <c r="BY21">
        <f>IF(COUNTIFS(T_StockCount[Part Name],$A21,T_StockCount[WeekIndex],76)&gt;0,SUMIFS(T_StockCount[CountedQty],T_StockCount[Part Name],$A21,T_StockCount[WeekIndex],76),IF((('T_SelfStock'!BY25&lt;&gt;""))*(('T_TTAFStock'!BY25&lt;&gt;""))&gt;0,'T_SelfStock'!BY25+'T_TTAFStock'!BY25,BX21+'Grid_Incoming'!BY21-'Grid_Requirement'!BY21))</f>
        <v/>
      </c>
      <c r="BZ21">
        <f>IF(COUNTIFS(T_StockCount[Part Name],$A21,T_StockCount[WeekIndex],77)&gt;0,SUMIFS(T_StockCount[CountedQty],T_StockCount[Part Name],$A21,T_StockCount[WeekIndex],77),IF((('T_SelfStock'!BZ25&lt;&gt;""))*(('T_TTAFStock'!BZ25&lt;&gt;""))&gt;0,'T_SelfStock'!BZ25+'T_TTAFStock'!BZ25,BY21+'Grid_Incoming'!BZ21-'Grid_Requirement'!BZ21))</f>
        <v/>
      </c>
      <c r="CA21">
        <f>IF(COUNTIFS(T_StockCount[Part Name],$A21,T_StockCount[WeekIndex],78)&gt;0,SUMIFS(T_StockCount[CountedQty],T_StockCount[Part Name],$A21,T_StockCount[WeekIndex],78),IF((('T_SelfStock'!CA25&lt;&gt;""))*(('T_TTAFStock'!CA25&lt;&gt;""))&gt;0,'T_SelfStock'!CA25+'T_TTAFStock'!CA25,BZ21+'Grid_Incoming'!CA21-'Grid_Requirement'!CA21))</f>
        <v/>
      </c>
      <c r="CB21">
        <f>IF(COUNTIFS(T_StockCount[Part Name],$A21,T_StockCount[WeekIndex],79)&gt;0,SUMIFS(T_StockCount[CountedQty],T_StockCount[Part Name],$A21,T_StockCount[WeekIndex],79),IF((('T_SelfStock'!CB25&lt;&gt;""))*(('T_TTAFStock'!CB25&lt;&gt;""))&gt;0,'T_SelfStock'!CB25+'T_TTAFStock'!CB25,CA21+'Grid_Incoming'!CB21-'Grid_Requirement'!CB21))</f>
        <v/>
      </c>
      <c r="CC21">
        <f>IF(COUNTIFS(T_StockCount[Part Name],$A21,T_StockCount[WeekIndex],80)&gt;0,SUMIFS(T_StockCount[CountedQty],T_StockCount[Part Name],$A21,T_StockCount[WeekIndex],80),IF((('T_SelfStock'!CC25&lt;&gt;""))*(('T_TTAFStock'!CC25&lt;&gt;""))&gt;0,'T_SelfStock'!CC25+'T_TTAFStock'!CC25,CB21+'Grid_Incoming'!CC21-'Grid_Requirement'!CC21))</f>
        <v/>
      </c>
      <c r="CD21">
        <f>IF(COUNTIFS(T_StockCount[Part Name],$A21,T_StockCount[WeekIndex],81)&gt;0,SUMIFS(T_StockCount[CountedQty],T_StockCount[Part Name],$A21,T_StockCount[WeekIndex],81),IF((('T_SelfStock'!CD25&lt;&gt;""))*(('T_TTAFStock'!CD25&lt;&gt;""))&gt;0,'T_SelfStock'!CD25+'T_TTAFStock'!CD25,CC21+'Grid_Incoming'!CD21-'Grid_Requirement'!CD21))</f>
        <v/>
      </c>
      <c r="CE21">
        <f>IF(COUNTIFS(T_StockCount[Part Name],$A21,T_StockCount[WeekIndex],82)&gt;0,SUMIFS(T_StockCount[CountedQty],T_StockCount[Part Name],$A21,T_StockCount[WeekIndex],82),IF((('T_SelfStock'!CE25&lt;&gt;""))*(('T_TTAFStock'!CE25&lt;&gt;""))&gt;0,'T_SelfStock'!CE25+'T_TTAFStock'!CE25,CD21+'Grid_Incoming'!CE21-'Grid_Requirement'!CE21))</f>
        <v/>
      </c>
      <c r="CF21">
        <f>IF(COUNTIFS(T_StockCount[Part Name],$A21,T_StockCount[WeekIndex],83)&gt;0,SUMIFS(T_StockCount[CountedQty],T_StockCount[Part Name],$A21,T_StockCount[WeekIndex],83),IF((('T_SelfStock'!CF25&lt;&gt;""))*(('T_TTAFStock'!CF25&lt;&gt;""))&gt;0,'T_SelfStock'!CF25+'T_TTAFStock'!CF25,CE21+'Grid_Incoming'!CF21-'Grid_Requirement'!CF21))</f>
        <v/>
      </c>
      <c r="CG21">
        <f>IF(COUNTIFS(T_StockCount[Part Name],$A21,T_StockCount[WeekIndex],84)&gt;0,SUMIFS(T_StockCount[CountedQty],T_StockCount[Part Name],$A21,T_StockCount[WeekIndex],84),IF((('T_SelfStock'!CG25&lt;&gt;""))*(('T_TTAFStock'!CG25&lt;&gt;""))&gt;0,'T_SelfStock'!CG25+'T_TTAFStock'!CG25,CF21+'Grid_Incoming'!CG21-'Grid_Requirement'!CG21))</f>
        <v/>
      </c>
      <c r="CH21">
        <f>IF(COUNTIFS(T_StockCount[Part Name],$A21,T_StockCount[WeekIndex],85)&gt;0,SUMIFS(T_StockCount[CountedQty],T_StockCount[Part Name],$A21,T_StockCount[WeekIndex],85),IF((('T_SelfStock'!CH25&lt;&gt;""))*(('T_TTAFStock'!CH25&lt;&gt;""))&gt;0,'T_SelfStock'!CH25+'T_TTAFStock'!CH25,CG21+'Grid_Incoming'!CH21-'Grid_Requirement'!CH21))</f>
        <v/>
      </c>
      <c r="CI21">
        <f>IF(COUNTIFS(T_StockCount[Part Name],$A21,T_StockCount[WeekIndex],86)&gt;0,SUMIFS(T_StockCount[CountedQty],T_StockCount[Part Name],$A21,T_StockCount[WeekIndex],86),IF((('T_SelfStock'!CI25&lt;&gt;""))*(('T_TTAFStock'!CI25&lt;&gt;""))&gt;0,'T_SelfStock'!CI25+'T_TTAFStock'!CI25,CH21+'Grid_Incoming'!CI21-'Grid_Requirement'!CI21))</f>
        <v/>
      </c>
      <c r="CJ21">
        <f>IF(COUNTIFS(T_StockCount[Part Name],$A21,T_StockCount[WeekIndex],87)&gt;0,SUMIFS(T_StockCount[CountedQty],T_StockCount[Part Name],$A21,T_StockCount[WeekIndex],87),IF((('T_SelfStock'!CJ25&lt;&gt;""))*(('T_TTAFStock'!CJ25&lt;&gt;""))&gt;0,'T_SelfStock'!CJ25+'T_TTAFStock'!CJ25,CI21+'Grid_Incoming'!CJ21-'Grid_Requirement'!CJ21))</f>
        <v/>
      </c>
      <c r="CK21">
        <f>IF(COUNTIFS(T_StockCount[Part Name],$A21,T_StockCount[WeekIndex],88)&gt;0,SUMIFS(T_StockCount[CountedQty],T_StockCount[Part Name],$A21,T_StockCount[WeekIndex],88),IF((('T_SelfStock'!CK25&lt;&gt;""))*(('T_TTAFStock'!CK25&lt;&gt;""))&gt;0,'T_SelfStock'!CK25+'T_TTAFStock'!CK25,CJ21+'Grid_Incoming'!CK21-'Grid_Requirement'!CK21))</f>
        <v/>
      </c>
      <c r="CL21">
        <f>IF(COUNTIFS(T_StockCount[Part Name],$A21,T_StockCount[WeekIndex],89)&gt;0,SUMIFS(T_StockCount[CountedQty],T_StockCount[Part Name],$A21,T_StockCount[WeekIndex],89),IF((('T_SelfStock'!CL25&lt;&gt;""))*(('T_TTAFStock'!CL25&lt;&gt;""))&gt;0,'T_SelfStock'!CL25+'T_TTAFStock'!CL25,CK21+'Grid_Incoming'!CL21-'Grid_Requirement'!CL21))</f>
        <v/>
      </c>
      <c r="CM21">
        <f>IF(COUNTIFS(T_StockCount[Part Name],$A21,T_StockCount[WeekIndex],90)&gt;0,SUMIFS(T_StockCount[CountedQty],T_StockCount[Part Name],$A21,T_StockCount[WeekIndex],90),IF((('T_SelfStock'!CM25&lt;&gt;""))*(('T_TTAFStock'!CM25&lt;&gt;""))&gt;0,'T_SelfStock'!CM25+'T_TTAFStock'!CM25,CL21+'Grid_Incoming'!CM21-'Grid_Requirement'!CM21))</f>
        <v/>
      </c>
      <c r="CN21">
        <f>IF(COUNTIFS(T_StockCount[Part Name],$A21,T_StockCount[WeekIndex],91)&gt;0,SUMIFS(T_StockCount[CountedQty],T_StockCount[Part Name],$A21,T_StockCount[WeekIndex],91),IF((('T_SelfStock'!CN25&lt;&gt;""))*(('T_TTAFStock'!CN25&lt;&gt;""))&gt;0,'T_SelfStock'!CN25+'T_TTAFStock'!CN25,CM21+'Grid_Incoming'!CN21-'Grid_Requirement'!CN21))</f>
        <v/>
      </c>
      <c r="CO21">
        <f>IF(COUNTIFS(T_StockCount[Part Name],$A21,T_StockCount[WeekIndex],92)&gt;0,SUMIFS(T_StockCount[CountedQty],T_StockCount[Part Name],$A21,T_StockCount[WeekIndex],92),IF((('T_SelfStock'!CO25&lt;&gt;""))*(('T_TTAFStock'!CO25&lt;&gt;""))&gt;0,'T_SelfStock'!CO25+'T_TTAFStock'!CO25,CN21+'Grid_Incoming'!CO21-'Grid_Requirement'!CO21))</f>
        <v/>
      </c>
      <c r="CP21">
        <f>IF(COUNTIFS(T_StockCount[Part Name],$A21,T_StockCount[WeekIndex],93)&gt;0,SUMIFS(T_StockCount[CountedQty],T_StockCount[Part Name],$A21,T_StockCount[WeekIndex],93),IF((('T_SelfStock'!CP25&lt;&gt;""))*(('T_TTAFStock'!CP25&lt;&gt;""))&gt;0,'T_SelfStock'!CP25+'T_TTAFStock'!CP25,CO21+'Grid_Incoming'!CP21-'Grid_Requirement'!CP21))</f>
        <v/>
      </c>
      <c r="CQ21">
        <f>IF(COUNTIFS(T_StockCount[Part Name],$A21,T_StockCount[WeekIndex],94)&gt;0,SUMIFS(T_StockCount[CountedQty],T_StockCount[Part Name],$A21,T_StockCount[WeekIndex],94),IF((('T_SelfStock'!CQ25&lt;&gt;""))*(('T_TTAFStock'!CQ25&lt;&gt;""))&gt;0,'T_SelfStock'!CQ25+'T_TTAFStock'!CQ25,CP21+'Grid_Incoming'!CQ21-'Grid_Requirement'!CQ21))</f>
        <v/>
      </c>
      <c r="CR21">
        <f>IF(COUNTIFS(T_StockCount[Part Name],$A21,T_StockCount[WeekIndex],95)&gt;0,SUMIFS(T_StockCount[CountedQty],T_StockCount[Part Name],$A21,T_StockCount[WeekIndex],95),IF((('T_SelfStock'!CR25&lt;&gt;""))*(('T_TTAFStock'!CR25&lt;&gt;""))&gt;0,'T_SelfStock'!CR25+'T_TTAFStock'!CR25,CQ21+'Grid_Incoming'!CR21-'Grid_Requirement'!CR21))</f>
        <v/>
      </c>
      <c r="CS21">
        <f>IF(COUNTIFS(T_StockCount[Part Name],$A21,T_StockCount[WeekIndex],96)&gt;0,SUMIFS(T_StockCount[CountedQty],T_StockCount[Part Name],$A21,T_StockCount[WeekIndex],96),IF((('T_SelfStock'!CS25&lt;&gt;""))*(('T_TTAFStock'!CS25&lt;&gt;""))&gt;0,'T_SelfStock'!CS25+'T_TTAFStock'!CS25,CR21+'Grid_Incoming'!CS21-'Grid_Requirement'!CS21))</f>
        <v/>
      </c>
      <c r="CT21">
        <f>IF(COUNTIFS(T_StockCount[Part Name],$A21,T_StockCount[WeekIndex],97)&gt;0,SUMIFS(T_StockCount[CountedQty],T_StockCount[Part Name],$A21,T_StockCount[WeekIndex],97),IF((('T_SelfStock'!CT25&lt;&gt;""))*(('T_TTAFStock'!CT25&lt;&gt;""))&gt;0,'T_SelfStock'!CT25+'T_TTAFStock'!CT25,CS21+'Grid_Incoming'!CT21-'Grid_Requirement'!CT21))</f>
        <v/>
      </c>
      <c r="CU21">
        <f>IF(COUNTIFS(T_StockCount[Part Name],$A21,T_StockCount[WeekIndex],98)&gt;0,SUMIFS(T_StockCount[CountedQty],T_StockCount[Part Name],$A21,T_StockCount[WeekIndex],98),IF((('T_SelfStock'!CU25&lt;&gt;""))*(('T_TTAFStock'!CU25&lt;&gt;""))&gt;0,'T_SelfStock'!CU25+'T_TTAFStock'!CU25,CT21+'Grid_Incoming'!CU21-'Grid_Requirement'!CU21))</f>
        <v/>
      </c>
      <c r="CV21">
        <f>IF(COUNTIFS(T_StockCount[Part Name],$A21,T_StockCount[WeekIndex],99)&gt;0,SUMIFS(T_StockCount[CountedQty],T_StockCount[Part Name],$A21,T_StockCount[WeekIndex],99),IF((('T_SelfStock'!CV25&lt;&gt;""))*(('T_TTAFStock'!CV25&lt;&gt;""))&gt;0,'T_SelfStock'!CV25+'T_TTAFStock'!CV25,CU21+'Grid_Incoming'!CV21-'Grid_Requirement'!CV21))</f>
        <v/>
      </c>
      <c r="CW21">
        <f>IF(COUNTIFS(T_StockCount[Part Name],$A21,T_StockCount[WeekIndex],100)&gt;0,SUMIFS(T_StockCount[CountedQty],T_StockCount[Part Name],$A21,T_StockCount[WeekIndex],100),IF((('T_SelfStock'!CW25&lt;&gt;""))*(('T_TTAFStock'!CW25&lt;&gt;""))&gt;0,'T_SelfStock'!CW25+'T_TTAFStock'!CW25,CV21+'Grid_Incoming'!CW21-'Grid_Requirement'!CW21))</f>
        <v/>
      </c>
      <c r="CX21">
        <f>IF(COUNTIFS(T_StockCount[Part Name],$A21,T_StockCount[WeekIndex],101)&gt;0,SUMIFS(T_StockCount[CountedQty],T_StockCount[Part Name],$A21,T_StockCount[WeekIndex],101),IF((('T_SelfStock'!CX25&lt;&gt;""))*(('T_TTAFStock'!CX25&lt;&gt;""))&gt;0,'T_SelfStock'!CX25+'T_TTAFStock'!CX25,CW21+'Grid_Incoming'!CX21-'Grid_Requirement'!CX21))</f>
        <v/>
      </c>
      <c r="CY21">
        <f>IF(COUNTIFS(T_StockCount[Part Name],$A21,T_StockCount[WeekIndex],102)&gt;0,SUMIFS(T_StockCount[CountedQty],T_StockCount[Part Name],$A21,T_StockCount[WeekIndex],102),IF((('T_SelfStock'!CY25&lt;&gt;""))*(('T_TTAFStock'!CY25&lt;&gt;""))&gt;0,'T_SelfStock'!CY25+'T_TTAFStock'!CY25,CX21+'Grid_Incoming'!CY21-'Grid_Requirement'!CY21))</f>
        <v/>
      </c>
      <c r="CZ21">
        <f>IF(COUNTIFS(T_StockCount[Part Name],$A21,T_StockCount[WeekIndex],103)&gt;0,SUMIFS(T_StockCount[CountedQty],T_StockCount[Part Name],$A21,T_StockCount[WeekIndex],103),IF((('T_SelfStock'!CZ25&lt;&gt;""))*(('T_TTAFStock'!CZ25&lt;&gt;""))&gt;0,'T_SelfStock'!CZ25+'T_TTAFStock'!CZ25,CY21+'Grid_Incoming'!CZ21-'Grid_Requirement'!CZ21))</f>
        <v/>
      </c>
      <c r="DA21">
        <f>IF(COUNTIFS(T_StockCount[Part Name],$A21,T_StockCount[WeekIndex],104)&gt;0,SUMIFS(T_StockCount[CountedQty],T_StockCount[Part Name],$A21,T_StockCount[WeekIndex],104),IF((('T_SelfStock'!DA25&lt;&gt;""))*(('T_TTAFStock'!DA25&lt;&gt;""))&gt;0,'T_SelfStock'!DA25+'T_TTAFStock'!DA25,CZ21+'Grid_Incoming'!DA21-'Grid_Requirement'!DA21))</f>
        <v/>
      </c>
    </row>
    <row r="22">
      <c r="A22" t="inlineStr">
        <is>
          <t>CHEM-1670</t>
        </is>
      </c>
      <c r="B22">
        <f>IF(COUNTIFS(T_StockCount[Part Name],$A22,T_StockCount[WeekIndex],1)&gt;0,SUMIFS(T_StockCount[CountedQty],T_StockCount[Part Name],$A22,T_StockCount[WeekIndex],1),IF((('T_SelfStock'!B26&lt;&gt;""))*(('T_TTAFStock'!B26&lt;&gt;""))&gt;0,'T_SelfStock'!B26+'T_TTAFStock'!B26,IFERROR(INDEX(T_OpeningStock[Opening_Qty_要入力],MATCH($A22,T_OpeningStock[Part Name],0)),0)+'Grid_Incoming'!B22-'Grid_Requirement'!B22))</f>
        <v/>
      </c>
      <c r="C22">
        <f>IF(COUNTIFS(T_StockCount[Part Name],$A22,T_StockCount[WeekIndex],2)&gt;0,SUMIFS(T_StockCount[CountedQty],T_StockCount[Part Name],$A22,T_StockCount[WeekIndex],2),IF((('T_SelfStock'!C26&lt;&gt;""))*(('T_TTAFStock'!C26&lt;&gt;""))&gt;0,'T_SelfStock'!C26+'T_TTAFStock'!C26,B22+'Grid_Incoming'!C22-'Grid_Requirement'!C22))</f>
        <v/>
      </c>
      <c r="D22">
        <f>IF(COUNTIFS(T_StockCount[Part Name],$A22,T_StockCount[WeekIndex],3)&gt;0,SUMIFS(T_StockCount[CountedQty],T_StockCount[Part Name],$A22,T_StockCount[WeekIndex],3),IF((('T_SelfStock'!D26&lt;&gt;""))*(('T_TTAFStock'!D26&lt;&gt;""))&gt;0,'T_SelfStock'!D26+'T_TTAFStock'!D26,C22+'Grid_Incoming'!D22-'Grid_Requirement'!D22))</f>
        <v/>
      </c>
      <c r="E22">
        <f>IF(COUNTIFS(T_StockCount[Part Name],$A22,T_StockCount[WeekIndex],4)&gt;0,SUMIFS(T_StockCount[CountedQty],T_StockCount[Part Name],$A22,T_StockCount[WeekIndex],4),IF((('T_SelfStock'!E26&lt;&gt;""))*(('T_TTAFStock'!E26&lt;&gt;""))&gt;0,'T_SelfStock'!E26+'T_TTAFStock'!E26,D22+'Grid_Incoming'!E22-'Grid_Requirement'!E22))</f>
        <v/>
      </c>
      <c r="F22">
        <f>IF(COUNTIFS(T_StockCount[Part Name],$A22,T_StockCount[WeekIndex],5)&gt;0,SUMIFS(T_StockCount[CountedQty],T_StockCount[Part Name],$A22,T_StockCount[WeekIndex],5),IF((('T_SelfStock'!F26&lt;&gt;""))*(('T_TTAFStock'!F26&lt;&gt;""))&gt;0,'T_SelfStock'!F26+'T_TTAFStock'!F26,E22+'Grid_Incoming'!F22-'Grid_Requirement'!F22))</f>
        <v/>
      </c>
      <c r="G22">
        <f>IF(COUNTIFS(T_StockCount[Part Name],$A22,T_StockCount[WeekIndex],6)&gt;0,SUMIFS(T_StockCount[CountedQty],T_StockCount[Part Name],$A22,T_StockCount[WeekIndex],6),IF((('T_SelfStock'!G26&lt;&gt;""))*(('T_TTAFStock'!G26&lt;&gt;""))&gt;0,'T_SelfStock'!G26+'T_TTAFStock'!G26,F22+'Grid_Incoming'!G22-'Grid_Requirement'!G22))</f>
        <v/>
      </c>
      <c r="H22">
        <f>IF(COUNTIFS(T_StockCount[Part Name],$A22,T_StockCount[WeekIndex],7)&gt;0,SUMIFS(T_StockCount[CountedQty],T_StockCount[Part Name],$A22,T_StockCount[WeekIndex],7),IF((('T_SelfStock'!H26&lt;&gt;""))*(('T_TTAFStock'!H26&lt;&gt;""))&gt;0,'T_SelfStock'!H26+'T_TTAFStock'!H26,G22+'Grid_Incoming'!H22-'Grid_Requirement'!H22))</f>
        <v/>
      </c>
      <c r="I22">
        <f>IF(COUNTIFS(T_StockCount[Part Name],$A22,T_StockCount[WeekIndex],8)&gt;0,SUMIFS(T_StockCount[CountedQty],T_StockCount[Part Name],$A22,T_StockCount[WeekIndex],8),IF((('T_SelfStock'!I26&lt;&gt;""))*(('T_TTAFStock'!I26&lt;&gt;""))&gt;0,'T_SelfStock'!I26+'T_TTAFStock'!I26,H22+'Grid_Incoming'!I22-'Grid_Requirement'!I22))</f>
        <v/>
      </c>
      <c r="J22">
        <f>IF(COUNTIFS(T_StockCount[Part Name],$A22,T_StockCount[WeekIndex],9)&gt;0,SUMIFS(T_StockCount[CountedQty],T_StockCount[Part Name],$A22,T_StockCount[WeekIndex],9),IF((('T_SelfStock'!J26&lt;&gt;""))*(('T_TTAFStock'!J26&lt;&gt;""))&gt;0,'T_SelfStock'!J26+'T_TTAFStock'!J26,I22+'Grid_Incoming'!J22-'Grid_Requirement'!J22))</f>
        <v/>
      </c>
      <c r="K22">
        <f>IF(COUNTIFS(T_StockCount[Part Name],$A22,T_StockCount[WeekIndex],10)&gt;0,SUMIFS(T_StockCount[CountedQty],T_StockCount[Part Name],$A22,T_StockCount[WeekIndex],10),IF((('T_SelfStock'!K26&lt;&gt;""))*(('T_TTAFStock'!K26&lt;&gt;""))&gt;0,'T_SelfStock'!K26+'T_TTAFStock'!K26,J22+'Grid_Incoming'!K22-'Grid_Requirement'!K22))</f>
        <v/>
      </c>
      <c r="L22">
        <f>IF(COUNTIFS(T_StockCount[Part Name],$A22,T_StockCount[WeekIndex],11)&gt;0,SUMIFS(T_StockCount[CountedQty],T_StockCount[Part Name],$A22,T_StockCount[WeekIndex],11),IF((('T_SelfStock'!L26&lt;&gt;""))*(('T_TTAFStock'!L26&lt;&gt;""))&gt;0,'T_SelfStock'!L26+'T_TTAFStock'!L26,K22+'Grid_Incoming'!L22-'Grid_Requirement'!L22))</f>
        <v/>
      </c>
      <c r="M22">
        <f>IF(COUNTIFS(T_StockCount[Part Name],$A22,T_StockCount[WeekIndex],12)&gt;0,SUMIFS(T_StockCount[CountedQty],T_StockCount[Part Name],$A22,T_StockCount[WeekIndex],12),IF((('T_SelfStock'!M26&lt;&gt;""))*(('T_TTAFStock'!M26&lt;&gt;""))&gt;0,'T_SelfStock'!M26+'T_TTAFStock'!M26,L22+'Grid_Incoming'!M22-'Grid_Requirement'!M22))</f>
        <v/>
      </c>
      <c r="N22">
        <f>IF(COUNTIFS(T_StockCount[Part Name],$A22,T_StockCount[WeekIndex],13)&gt;0,SUMIFS(T_StockCount[CountedQty],T_StockCount[Part Name],$A22,T_StockCount[WeekIndex],13),IF((('T_SelfStock'!N26&lt;&gt;""))*(('T_TTAFStock'!N26&lt;&gt;""))&gt;0,'T_SelfStock'!N26+'T_TTAFStock'!N26,M22+'Grid_Incoming'!N22-'Grid_Requirement'!N22))</f>
        <v/>
      </c>
      <c r="O22">
        <f>IF(COUNTIFS(T_StockCount[Part Name],$A22,T_StockCount[WeekIndex],14)&gt;0,SUMIFS(T_StockCount[CountedQty],T_StockCount[Part Name],$A22,T_StockCount[WeekIndex],14),IF((('T_SelfStock'!O26&lt;&gt;""))*(('T_TTAFStock'!O26&lt;&gt;""))&gt;0,'T_SelfStock'!O26+'T_TTAFStock'!O26,N22+'Grid_Incoming'!O22-'Grid_Requirement'!O22))</f>
        <v/>
      </c>
      <c r="P22">
        <f>IF(COUNTIFS(T_StockCount[Part Name],$A22,T_StockCount[WeekIndex],15)&gt;0,SUMIFS(T_StockCount[CountedQty],T_StockCount[Part Name],$A22,T_StockCount[WeekIndex],15),IF((('T_SelfStock'!P26&lt;&gt;""))*(('T_TTAFStock'!P26&lt;&gt;""))&gt;0,'T_SelfStock'!P26+'T_TTAFStock'!P26,O22+'Grid_Incoming'!P22-'Grid_Requirement'!P22))</f>
        <v/>
      </c>
      <c r="Q22">
        <f>IF(COUNTIFS(T_StockCount[Part Name],$A22,T_StockCount[WeekIndex],16)&gt;0,SUMIFS(T_StockCount[CountedQty],T_StockCount[Part Name],$A22,T_StockCount[WeekIndex],16),IF((('T_SelfStock'!Q26&lt;&gt;""))*(('T_TTAFStock'!Q26&lt;&gt;""))&gt;0,'T_SelfStock'!Q26+'T_TTAFStock'!Q26,P22+'Grid_Incoming'!Q22-'Grid_Requirement'!Q22))</f>
        <v/>
      </c>
      <c r="R22">
        <f>IF(COUNTIFS(T_StockCount[Part Name],$A22,T_StockCount[WeekIndex],17)&gt;0,SUMIFS(T_StockCount[CountedQty],T_StockCount[Part Name],$A22,T_StockCount[WeekIndex],17),IF((('T_SelfStock'!R26&lt;&gt;""))*(('T_TTAFStock'!R26&lt;&gt;""))&gt;0,'T_SelfStock'!R26+'T_TTAFStock'!R26,Q22+'Grid_Incoming'!R22-'Grid_Requirement'!R22))</f>
        <v/>
      </c>
      <c r="S22">
        <f>IF(COUNTIFS(T_StockCount[Part Name],$A22,T_StockCount[WeekIndex],18)&gt;0,SUMIFS(T_StockCount[CountedQty],T_StockCount[Part Name],$A22,T_StockCount[WeekIndex],18),IF((('T_SelfStock'!S26&lt;&gt;""))*(('T_TTAFStock'!S26&lt;&gt;""))&gt;0,'T_SelfStock'!S26+'T_TTAFStock'!S26,R22+'Grid_Incoming'!S22-'Grid_Requirement'!S22))</f>
        <v/>
      </c>
      <c r="T22">
        <f>IF(COUNTIFS(T_StockCount[Part Name],$A22,T_StockCount[WeekIndex],19)&gt;0,SUMIFS(T_StockCount[CountedQty],T_StockCount[Part Name],$A22,T_StockCount[WeekIndex],19),IF((('T_SelfStock'!T26&lt;&gt;""))*(('T_TTAFStock'!T26&lt;&gt;""))&gt;0,'T_SelfStock'!T26+'T_TTAFStock'!T26,S22+'Grid_Incoming'!T22-'Grid_Requirement'!T22))</f>
        <v/>
      </c>
      <c r="U22">
        <f>IF(COUNTIFS(T_StockCount[Part Name],$A22,T_StockCount[WeekIndex],20)&gt;0,SUMIFS(T_StockCount[CountedQty],T_StockCount[Part Name],$A22,T_StockCount[WeekIndex],20),IF((('T_SelfStock'!U26&lt;&gt;""))*(('T_TTAFStock'!U26&lt;&gt;""))&gt;0,'T_SelfStock'!U26+'T_TTAFStock'!U26,T22+'Grid_Incoming'!U22-'Grid_Requirement'!U22))</f>
        <v/>
      </c>
      <c r="V22">
        <f>IF(COUNTIFS(T_StockCount[Part Name],$A22,T_StockCount[WeekIndex],21)&gt;0,SUMIFS(T_StockCount[CountedQty],T_StockCount[Part Name],$A22,T_StockCount[WeekIndex],21),IF((('T_SelfStock'!V26&lt;&gt;""))*(('T_TTAFStock'!V26&lt;&gt;""))&gt;0,'T_SelfStock'!V26+'T_TTAFStock'!V26,U22+'Grid_Incoming'!V22-'Grid_Requirement'!V22))</f>
        <v/>
      </c>
      <c r="W22">
        <f>IF(COUNTIFS(T_StockCount[Part Name],$A22,T_StockCount[WeekIndex],22)&gt;0,SUMIFS(T_StockCount[CountedQty],T_StockCount[Part Name],$A22,T_StockCount[WeekIndex],22),IF((('T_SelfStock'!W26&lt;&gt;""))*(('T_TTAFStock'!W26&lt;&gt;""))&gt;0,'T_SelfStock'!W26+'T_TTAFStock'!W26,V22+'Grid_Incoming'!W22-'Grid_Requirement'!W22))</f>
        <v/>
      </c>
      <c r="X22">
        <f>IF(COUNTIFS(T_StockCount[Part Name],$A22,T_StockCount[WeekIndex],23)&gt;0,SUMIFS(T_StockCount[CountedQty],T_StockCount[Part Name],$A22,T_StockCount[WeekIndex],23),IF((('T_SelfStock'!X26&lt;&gt;""))*(('T_TTAFStock'!X26&lt;&gt;""))&gt;0,'T_SelfStock'!X26+'T_TTAFStock'!X26,W22+'Grid_Incoming'!X22-'Grid_Requirement'!X22))</f>
        <v/>
      </c>
      <c r="Y22">
        <f>IF(COUNTIFS(T_StockCount[Part Name],$A22,T_StockCount[WeekIndex],24)&gt;0,SUMIFS(T_StockCount[CountedQty],T_StockCount[Part Name],$A22,T_StockCount[WeekIndex],24),IF((('T_SelfStock'!Y26&lt;&gt;""))*(('T_TTAFStock'!Y26&lt;&gt;""))&gt;0,'T_SelfStock'!Y26+'T_TTAFStock'!Y26,X22+'Grid_Incoming'!Y22-'Grid_Requirement'!Y22))</f>
        <v/>
      </c>
      <c r="Z22">
        <f>IF(COUNTIFS(T_StockCount[Part Name],$A22,T_StockCount[WeekIndex],25)&gt;0,SUMIFS(T_StockCount[CountedQty],T_StockCount[Part Name],$A22,T_StockCount[WeekIndex],25),IF((('T_SelfStock'!Z26&lt;&gt;""))*(('T_TTAFStock'!Z26&lt;&gt;""))&gt;0,'T_SelfStock'!Z26+'T_TTAFStock'!Z26,Y22+'Grid_Incoming'!Z22-'Grid_Requirement'!Z22))</f>
        <v/>
      </c>
      <c r="AA22">
        <f>IF(COUNTIFS(T_StockCount[Part Name],$A22,T_StockCount[WeekIndex],26)&gt;0,SUMIFS(T_StockCount[CountedQty],T_StockCount[Part Name],$A22,T_StockCount[WeekIndex],26),IF((('T_SelfStock'!AA26&lt;&gt;""))*(('T_TTAFStock'!AA26&lt;&gt;""))&gt;0,'T_SelfStock'!AA26+'T_TTAFStock'!AA26,Z22+'Grid_Incoming'!AA22-'Grid_Requirement'!AA22))</f>
        <v/>
      </c>
      <c r="AB22">
        <f>IF(COUNTIFS(T_StockCount[Part Name],$A22,T_StockCount[WeekIndex],27)&gt;0,SUMIFS(T_StockCount[CountedQty],T_StockCount[Part Name],$A22,T_StockCount[WeekIndex],27),IF((('T_SelfStock'!AB26&lt;&gt;""))*(('T_TTAFStock'!AB26&lt;&gt;""))&gt;0,'T_SelfStock'!AB26+'T_TTAFStock'!AB26,AA22+'Grid_Incoming'!AB22-'Grid_Requirement'!AB22))</f>
        <v/>
      </c>
      <c r="AC22">
        <f>IF(COUNTIFS(T_StockCount[Part Name],$A22,T_StockCount[WeekIndex],28)&gt;0,SUMIFS(T_StockCount[CountedQty],T_StockCount[Part Name],$A22,T_StockCount[WeekIndex],28),IF((('T_SelfStock'!AC26&lt;&gt;""))*(('T_TTAFStock'!AC26&lt;&gt;""))&gt;0,'T_SelfStock'!AC26+'T_TTAFStock'!AC26,AB22+'Grid_Incoming'!AC22-'Grid_Requirement'!AC22))</f>
        <v/>
      </c>
      <c r="AD22">
        <f>IF(COUNTIFS(T_StockCount[Part Name],$A22,T_StockCount[WeekIndex],29)&gt;0,SUMIFS(T_StockCount[CountedQty],T_StockCount[Part Name],$A22,T_StockCount[WeekIndex],29),IF((('T_SelfStock'!AD26&lt;&gt;""))*(('T_TTAFStock'!AD26&lt;&gt;""))&gt;0,'T_SelfStock'!AD26+'T_TTAFStock'!AD26,AC22+'Grid_Incoming'!AD22-'Grid_Requirement'!AD22))</f>
        <v/>
      </c>
      <c r="AE22">
        <f>IF(COUNTIFS(T_StockCount[Part Name],$A22,T_StockCount[WeekIndex],30)&gt;0,SUMIFS(T_StockCount[CountedQty],T_StockCount[Part Name],$A22,T_StockCount[WeekIndex],30),IF((('T_SelfStock'!AE26&lt;&gt;""))*(('T_TTAFStock'!AE26&lt;&gt;""))&gt;0,'T_SelfStock'!AE26+'T_TTAFStock'!AE26,AD22+'Grid_Incoming'!AE22-'Grid_Requirement'!AE22))</f>
        <v/>
      </c>
      <c r="AF22">
        <f>IF(COUNTIFS(T_StockCount[Part Name],$A22,T_StockCount[WeekIndex],31)&gt;0,SUMIFS(T_StockCount[CountedQty],T_StockCount[Part Name],$A22,T_StockCount[WeekIndex],31),IF((('T_SelfStock'!AF26&lt;&gt;""))*(('T_TTAFStock'!AF26&lt;&gt;""))&gt;0,'T_SelfStock'!AF26+'T_TTAFStock'!AF26,AE22+'Grid_Incoming'!AF22-'Grid_Requirement'!AF22))</f>
        <v/>
      </c>
      <c r="AG22">
        <f>IF(COUNTIFS(T_StockCount[Part Name],$A22,T_StockCount[WeekIndex],32)&gt;0,SUMIFS(T_StockCount[CountedQty],T_StockCount[Part Name],$A22,T_StockCount[WeekIndex],32),IF((('T_SelfStock'!AG26&lt;&gt;""))*(('T_TTAFStock'!AG26&lt;&gt;""))&gt;0,'T_SelfStock'!AG26+'T_TTAFStock'!AG26,AF22+'Grid_Incoming'!AG22-'Grid_Requirement'!AG22))</f>
        <v/>
      </c>
      <c r="AH22">
        <f>IF(COUNTIFS(T_StockCount[Part Name],$A22,T_StockCount[WeekIndex],33)&gt;0,SUMIFS(T_StockCount[CountedQty],T_StockCount[Part Name],$A22,T_StockCount[WeekIndex],33),IF((('T_SelfStock'!AH26&lt;&gt;""))*(('T_TTAFStock'!AH26&lt;&gt;""))&gt;0,'T_SelfStock'!AH26+'T_TTAFStock'!AH26,AG22+'Grid_Incoming'!AH22-'Grid_Requirement'!AH22))</f>
        <v/>
      </c>
      <c r="AI22">
        <f>IF(COUNTIFS(T_StockCount[Part Name],$A22,T_StockCount[WeekIndex],34)&gt;0,SUMIFS(T_StockCount[CountedQty],T_StockCount[Part Name],$A22,T_StockCount[WeekIndex],34),IF((('T_SelfStock'!AI26&lt;&gt;""))*(('T_TTAFStock'!AI26&lt;&gt;""))&gt;0,'T_SelfStock'!AI26+'T_TTAFStock'!AI26,AH22+'Grid_Incoming'!AI22-'Grid_Requirement'!AI22))</f>
        <v/>
      </c>
      <c r="AJ22">
        <f>IF(COUNTIFS(T_StockCount[Part Name],$A22,T_StockCount[WeekIndex],35)&gt;0,SUMIFS(T_StockCount[CountedQty],T_StockCount[Part Name],$A22,T_StockCount[WeekIndex],35),IF((('T_SelfStock'!AJ26&lt;&gt;""))*(('T_TTAFStock'!AJ26&lt;&gt;""))&gt;0,'T_SelfStock'!AJ26+'T_TTAFStock'!AJ26,AI22+'Grid_Incoming'!AJ22-'Grid_Requirement'!AJ22))</f>
        <v/>
      </c>
      <c r="AK22">
        <f>IF(COUNTIFS(T_StockCount[Part Name],$A22,T_StockCount[WeekIndex],36)&gt;0,SUMIFS(T_StockCount[CountedQty],T_StockCount[Part Name],$A22,T_StockCount[WeekIndex],36),IF((('T_SelfStock'!AK26&lt;&gt;""))*(('T_TTAFStock'!AK26&lt;&gt;""))&gt;0,'T_SelfStock'!AK26+'T_TTAFStock'!AK26,AJ22+'Grid_Incoming'!AK22-'Grid_Requirement'!AK22))</f>
        <v/>
      </c>
      <c r="AL22">
        <f>IF(COUNTIFS(T_StockCount[Part Name],$A22,T_StockCount[WeekIndex],37)&gt;0,SUMIFS(T_StockCount[CountedQty],T_StockCount[Part Name],$A22,T_StockCount[WeekIndex],37),IF((('T_SelfStock'!AL26&lt;&gt;""))*(('T_TTAFStock'!AL26&lt;&gt;""))&gt;0,'T_SelfStock'!AL26+'T_TTAFStock'!AL26,AK22+'Grid_Incoming'!AL22-'Grid_Requirement'!AL22))</f>
        <v/>
      </c>
      <c r="AM22">
        <f>IF(COUNTIFS(T_StockCount[Part Name],$A22,T_StockCount[WeekIndex],38)&gt;0,SUMIFS(T_StockCount[CountedQty],T_StockCount[Part Name],$A22,T_StockCount[WeekIndex],38),IF((('T_SelfStock'!AM26&lt;&gt;""))*(('T_TTAFStock'!AM26&lt;&gt;""))&gt;0,'T_SelfStock'!AM26+'T_TTAFStock'!AM26,AL22+'Grid_Incoming'!AM22-'Grid_Requirement'!AM22))</f>
        <v/>
      </c>
      <c r="AN22">
        <f>IF(COUNTIFS(T_StockCount[Part Name],$A22,T_StockCount[WeekIndex],39)&gt;0,SUMIFS(T_StockCount[CountedQty],T_StockCount[Part Name],$A22,T_StockCount[WeekIndex],39),IF((('T_SelfStock'!AN26&lt;&gt;""))*(('T_TTAFStock'!AN26&lt;&gt;""))&gt;0,'T_SelfStock'!AN26+'T_TTAFStock'!AN26,AM22+'Grid_Incoming'!AN22-'Grid_Requirement'!AN22))</f>
        <v/>
      </c>
      <c r="AO22">
        <f>IF(COUNTIFS(T_StockCount[Part Name],$A22,T_StockCount[WeekIndex],40)&gt;0,SUMIFS(T_StockCount[CountedQty],T_StockCount[Part Name],$A22,T_StockCount[WeekIndex],40),IF((('T_SelfStock'!AO26&lt;&gt;""))*(('T_TTAFStock'!AO26&lt;&gt;""))&gt;0,'T_SelfStock'!AO26+'T_TTAFStock'!AO26,AN22+'Grid_Incoming'!AO22-'Grid_Requirement'!AO22))</f>
        <v/>
      </c>
      <c r="AP22">
        <f>IF(COUNTIFS(T_StockCount[Part Name],$A22,T_StockCount[WeekIndex],41)&gt;0,SUMIFS(T_StockCount[CountedQty],T_StockCount[Part Name],$A22,T_StockCount[WeekIndex],41),IF((('T_SelfStock'!AP26&lt;&gt;""))*(('T_TTAFStock'!AP26&lt;&gt;""))&gt;0,'T_SelfStock'!AP26+'T_TTAFStock'!AP26,AO22+'Grid_Incoming'!AP22-'Grid_Requirement'!AP22))</f>
        <v/>
      </c>
      <c r="AQ22">
        <f>IF(COUNTIFS(T_StockCount[Part Name],$A22,T_StockCount[WeekIndex],42)&gt;0,SUMIFS(T_StockCount[CountedQty],T_StockCount[Part Name],$A22,T_StockCount[WeekIndex],42),IF((('T_SelfStock'!AQ26&lt;&gt;""))*(('T_TTAFStock'!AQ26&lt;&gt;""))&gt;0,'T_SelfStock'!AQ26+'T_TTAFStock'!AQ26,AP22+'Grid_Incoming'!AQ22-'Grid_Requirement'!AQ22))</f>
        <v/>
      </c>
      <c r="AR22">
        <f>IF(COUNTIFS(T_StockCount[Part Name],$A22,T_StockCount[WeekIndex],43)&gt;0,SUMIFS(T_StockCount[CountedQty],T_StockCount[Part Name],$A22,T_StockCount[WeekIndex],43),IF((('T_SelfStock'!AR26&lt;&gt;""))*(('T_TTAFStock'!AR26&lt;&gt;""))&gt;0,'T_SelfStock'!AR26+'T_TTAFStock'!AR26,AQ22+'Grid_Incoming'!AR22-'Grid_Requirement'!AR22))</f>
        <v/>
      </c>
      <c r="AS22">
        <f>IF(COUNTIFS(T_StockCount[Part Name],$A22,T_StockCount[WeekIndex],44)&gt;0,SUMIFS(T_StockCount[CountedQty],T_StockCount[Part Name],$A22,T_StockCount[WeekIndex],44),IF((('T_SelfStock'!AS26&lt;&gt;""))*(('T_TTAFStock'!AS26&lt;&gt;""))&gt;0,'T_SelfStock'!AS26+'T_TTAFStock'!AS26,AR22+'Grid_Incoming'!AS22-'Grid_Requirement'!AS22))</f>
        <v/>
      </c>
      <c r="AT22">
        <f>IF(COUNTIFS(T_StockCount[Part Name],$A22,T_StockCount[WeekIndex],45)&gt;0,SUMIFS(T_StockCount[CountedQty],T_StockCount[Part Name],$A22,T_StockCount[WeekIndex],45),IF((('T_SelfStock'!AT26&lt;&gt;""))*(('T_TTAFStock'!AT26&lt;&gt;""))&gt;0,'T_SelfStock'!AT26+'T_TTAFStock'!AT26,AS22+'Grid_Incoming'!AT22-'Grid_Requirement'!AT22))</f>
        <v/>
      </c>
      <c r="AU22">
        <f>IF(COUNTIFS(T_StockCount[Part Name],$A22,T_StockCount[WeekIndex],46)&gt;0,SUMIFS(T_StockCount[CountedQty],T_StockCount[Part Name],$A22,T_StockCount[WeekIndex],46),IF((('T_SelfStock'!AU26&lt;&gt;""))*(('T_TTAFStock'!AU26&lt;&gt;""))&gt;0,'T_SelfStock'!AU26+'T_TTAFStock'!AU26,AT22+'Grid_Incoming'!AU22-'Grid_Requirement'!AU22))</f>
        <v/>
      </c>
      <c r="AV22">
        <f>IF(COUNTIFS(T_StockCount[Part Name],$A22,T_StockCount[WeekIndex],47)&gt;0,SUMIFS(T_StockCount[CountedQty],T_StockCount[Part Name],$A22,T_StockCount[WeekIndex],47),IF((('T_SelfStock'!AV26&lt;&gt;""))*(('T_TTAFStock'!AV26&lt;&gt;""))&gt;0,'T_SelfStock'!AV26+'T_TTAFStock'!AV26,AU22+'Grid_Incoming'!AV22-'Grid_Requirement'!AV22))</f>
        <v/>
      </c>
      <c r="AW22">
        <f>IF(COUNTIFS(T_StockCount[Part Name],$A22,T_StockCount[WeekIndex],48)&gt;0,SUMIFS(T_StockCount[CountedQty],T_StockCount[Part Name],$A22,T_StockCount[WeekIndex],48),IF((('T_SelfStock'!AW26&lt;&gt;""))*(('T_TTAFStock'!AW26&lt;&gt;""))&gt;0,'T_SelfStock'!AW26+'T_TTAFStock'!AW26,AV22+'Grid_Incoming'!AW22-'Grid_Requirement'!AW22))</f>
        <v/>
      </c>
      <c r="AX22">
        <f>IF(COUNTIFS(T_StockCount[Part Name],$A22,T_StockCount[WeekIndex],49)&gt;0,SUMIFS(T_StockCount[CountedQty],T_StockCount[Part Name],$A22,T_StockCount[WeekIndex],49),IF((('T_SelfStock'!AX26&lt;&gt;""))*(('T_TTAFStock'!AX26&lt;&gt;""))&gt;0,'T_SelfStock'!AX26+'T_TTAFStock'!AX26,AW22+'Grid_Incoming'!AX22-'Grid_Requirement'!AX22))</f>
        <v/>
      </c>
      <c r="AY22">
        <f>IF(COUNTIFS(T_StockCount[Part Name],$A22,T_StockCount[WeekIndex],50)&gt;0,SUMIFS(T_StockCount[CountedQty],T_StockCount[Part Name],$A22,T_StockCount[WeekIndex],50),IF((('T_SelfStock'!AY26&lt;&gt;""))*(('T_TTAFStock'!AY26&lt;&gt;""))&gt;0,'T_SelfStock'!AY26+'T_TTAFStock'!AY26,AX22+'Grid_Incoming'!AY22-'Grid_Requirement'!AY22))</f>
        <v/>
      </c>
      <c r="AZ22">
        <f>IF(COUNTIFS(T_StockCount[Part Name],$A22,T_StockCount[WeekIndex],51)&gt;0,SUMIFS(T_StockCount[CountedQty],T_StockCount[Part Name],$A22,T_StockCount[WeekIndex],51),IF((('T_SelfStock'!AZ26&lt;&gt;""))*(('T_TTAFStock'!AZ26&lt;&gt;""))&gt;0,'T_SelfStock'!AZ26+'T_TTAFStock'!AZ26,AY22+'Grid_Incoming'!AZ22-'Grid_Requirement'!AZ22))</f>
        <v/>
      </c>
      <c r="BA22">
        <f>IF(COUNTIFS(T_StockCount[Part Name],$A22,T_StockCount[WeekIndex],52)&gt;0,SUMIFS(T_StockCount[CountedQty],T_StockCount[Part Name],$A22,T_StockCount[WeekIndex],52),IF((('T_SelfStock'!BA26&lt;&gt;""))*(('T_TTAFStock'!BA26&lt;&gt;""))&gt;0,'T_SelfStock'!BA26+'T_TTAFStock'!BA26,AZ22+'Grid_Incoming'!BA22-'Grid_Requirement'!BA22))</f>
        <v/>
      </c>
      <c r="BB22">
        <f>IF(COUNTIFS(T_StockCount[Part Name],$A22,T_StockCount[WeekIndex],53)&gt;0,SUMIFS(T_StockCount[CountedQty],T_StockCount[Part Name],$A22,T_StockCount[WeekIndex],53),IF((('T_SelfStock'!BB26&lt;&gt;""))*(('T_TTAFStock'!BB26&lt;&gt;""))&gt;0,'T_SelfStock'!BB26+'T_TTAFStock'!BB26,BA22+'Grid_Incoming'!BB22-'Grid_Requirement'!BB22))</f>
        <v/>
      </c>
      <c r="BC22">
        <f>IF(COUNTIFS(T_StockCount[Part Name],$A22,T_StockCount[WeekIndex],54)&gt;0,SUMIFS(T_StockCount[CountedQty],T_StockCount[Part Name],$A22,T_StockCount[WeekIndex],54),IF((('T_SelfStock'!BC26&lt;&gt;""))*(('T_TTAFStock'!BC26&lt;&gt;""))&gt;0,'T_SelfStock'!BC26+'T_TTAFStock'!BC26,BB22+'Grid_Incoming'!BC22-'Grid_Requirement'!BC22))</f>
        <v/>
      </c>
      <c r="BD22">
        <f>IF(COUNTIFS(T_StockCount[Part Name],$A22,T_StockCount[WeekIndex],55)&gt;0,SUMIFS(T_StockCount[CountedQty],T_StockCount[Part Name],$A22,T_StockCount[WeekIndex],55),IF((('T_SelfStock'!BD26&lt;&gt;""))*(('T_TTAFStock'!BD26&lt;&gt;""))&gt;0,'T_SelfStock'!BD26+'T_TTAFStock'!BD26,BC22+'Grid_Incoming'!BD22-'Grid_Requirement'!BD22))</f>
        <v/>
      </c>
      <c r="BE22">
        <f>IF(COUNTIFS(T_StockCount[Part Name],$A22,T_StockCount[WeekIndex],56)&gt;0,SUMIFS(T_StockCount[CountedQty],T_StockCount[Part Name],$A22,T_StockCount[WeekIndex],56),IF((('T_SelfStock'!BE26&lt;&gt;""))*(('T_TTAFStock'!BE26&lt;&gt;""))&gt;0,'T_SelfStock'!BE26+'T_TTAFStock'!BE26,BD22+'Grid_Incoming'!BE22-'Grid_Requirement'!BE22))</f>
        <v/>
      </c>
      <c r="BF22">
        <f>IF(COUNTIFS(T_StockCount[Part Name],$A22,T_StockCount[WeekIndex],57)&gt;0,SUMIFS(T_StockCount[CountedQty],T_StockCount[Part Name],$A22,T_StockCount[WeekIndex],57),IF((('T_SelfStock'!BF26&lt;&gt;""))*(('T_TTAFStock'!BF26&lt;&gt;""))&gt;0,'T_SelfStock'!BF26+'T_TTAFStock'!BF26,BE22+'Grid_Incoming'!BF22-'Grid_Requirement'!BF22))</f>
        <v/>
      </c>
      <c r="BG22">
        <f>IF(COUNTIFS(T_StockCount[Part Name],$A22,T_StockCount[WeekIndex],58)&gt;0,SUMIFS(T_StockCount[CountedQty],T_StockCount[Part Name],$A22,T_StockCount[WeekIndex],58),IF((('T_SelfStock'!BG26&lt;&gt;""))*(('T_TTAFStock'!BG26&lt;&gt;""))&gt;0,'T_SelfStock'!BG26+'T_TTAFStock'!BG26,BF22+'Grid_Incoming'!BG22-'Grid_Requirement'!BG22))</f>
        <v/>
      </c>
      <c r="BH22">
        <f>IF(COUNTIFS(T_StockCount[Part Name],$A22,T_StockCount[WeekIndex],59)&gt;0,SUMIFS(T_StockCount[CountedQty],T_StockCount[Part Name],$A22,T_StockCount[WeekIndex],59),IF((('T_SelfStock'!BH26&lt;&gt;""))*(('T_TTAFStock'!BH26&lt;&gt;""))&gt;0,'T_SelfStock'!BH26+'T_TTAFStock'!BH26,BG22+'Grid_Incoming'!BH22-'Grid_Requirement'!BH22))</f>
        <v/>
      </c>
      <c r="BI22">
        <f>IF(COUNTIFS(T_StockCount[Part Name],$A22,T_StockCount[WeekIndex],60)&gt;0,SUMIFS(T_StockCount[CountedQty],T_StockCount[Part Name],$A22,T_StockCount[WeekIndex],60),IF((('T_SelfStock'!BI26&lt;&gt;""))*(('T_TTAFStock'!BI26&lt;&gt;""))&gt;0,'T_SelfStock'!BI26+'T_TTAFStock'!BI26,BH22+'Grid_Incoming'!BI22-'Grid_Requirement'!BI22))</f>
        <v/>
      </c>
      <c r="BJ22">
        <f>IF(COUNTIFS(T_StockCount[Part Name],$A22,T_StockCount[WeekIndex],61)&gt;0,SUMIFS(T_StockCount[CountedQty],T_StockCount[Part Name],$A22,T_StockCount[WeekIndex],61),IF((('T_SelfStock'!BJ26&lt;&gt;""))*(('T_TTAFStock'!BJ26&lt;&gt;""))&gt;0,'T_SelfStock'!BJ26+'T_TTAFStock'!BJ26,BI22+'Grid_Incoming'!BJ22-'Grid_Requirement'!BJ22))</f>
        <v/>
      </c>
      <c r="BK22">
        <f>IF(COUNTIFS(T_StockCount[Part Name],$A22,T_StockCount[WeekIndex],62)&gt;0,SUMIFS(T_StockCount[CountedQty],T_StockCount[Part Name],$A22,T_StockCount[WeekIndex],62),IF((('T_SelfStock'!BK26&lt;&gt;""))*(('T_TTAFStock'!BK26&lt;&gt;""))&gt;0,'T_SelfStock'!BK26+'T_TTAFStock'!BK26,BJ22+'Grid_Incoming'!BK22-'Grid_Requirement'!BK22))</f>
        <v/>
      </c>
      <c r="BL22">
        <f>IF(COUNTIFS(T_StockCount[Part Name],$A22,T_StockCount[WeekIndex],63)&gt;0,SUMIFS(T_StockCount[CountedQty],T_StockCount[Part Name],$A22,T_StockCount[WeekIndex],63),IF((('T_SelfStock'!BL26&lt;&gt;""))*(('T_TTAFStock'!BL26&lt;&gt;""))&gt;0,'T_SelfStock'!BL26+'T_TTAFStock'!BL26,BK22+'Grid_Incoming'!BL22-'Grid_Requirement'!BL22))</f>
        <v/>
      </c>
      <c r="BM22">
        <f>IF(COUNTIFS(T_StockCount[Part Name],$A22,T_StockCount[WeekIndex],64)&gt;0,SUMIFS(T_StockCount[CountedQty],T_StockCount[Part Name],$A22,T_StockCount[WeekIndex],64),IF((('T_SelfStock'!BM26&lt;&gt;""))*(('T_TTAFStock'!BM26&lt;&gt;""))&gt;0,'T_SelfStock'!BM26+'T_TTAFStock'!BM26,BL22+'Grid_Incoming'!BM22-'Grid_Requirement'!BM22))</f>
        <v/>
      </c>
      <c r="BN22">
        <f>IF(COUNTIFS(T_StockCount[Part Name],$A22,T_StockCount[WeekIndex],65)&gt;0,SUMIFS(T_StockCount[CountedQty],T_StockCount[Part Name],$A22,T_StockCount[WeekIndex],65),IF((('T_SelfStock'!BN26&lt;&gt;""))*(('T_TTAFStock'!BN26&lt;&gt;""))&gt;0,'T_SelfStock'!BN26+'T_TTAFStock'!BN26,BM22+'Grid_Incoming'!BN22-'Grid_Requirement'!BN22))</f>
        <v/>
      </c>
      <c r="BO22">
        <f>IF(COUNTIFS(T_StockCount[Part Name],$A22,T_StockCount[WeekIndex],66)&gt;0,SUMIFS(T_StockCount[CountedQty],T_StockCount[Part Name],$A22,T_StockCount[WeekIndex],66),IF((('T_SelfStock'!BO26&lt;&gt;""))*(('T_TTAFStock'!BO26&lt;&gt;""))&gt;0,'T_SelfStock'!BO26+'T_TTAFStock'!BO26,BN22+'Grid_Incoming'!BO22-'Grid_Requirement'!BO22))</f>
        <v/>
      </c>
      <c r="BP22">
        <f>IF(COUNTIFS(T_StockCount[Part Name],$A22,T_StockCount[WeekIndex],67)&gt;0,SUMIFS(T_StockCount[CountedQty],T_StockCount[Part Name],$A22,T_StockCount[WeekIndex],67),IF((('T_SelfStock'!BP26&lt;&gt;""))*(('T_TTAFStock'!BP26&lt;&gt;""))&gt;0,'T_SelfStock'!BP26+'T_TTAFStock'!BP26,BO22+'Grid_Incoming'!BP22-'Grid_Requirement'!BP22))</f>
        <v/>
      </c>
      <c r="BQ22">
        <f>IF(COUNTIFS(T_StockCount[Part Name],$A22,T_StockCount[WeekIndex],68)&gt;0,SUMIFS(T_StockCount[CountedQty],T_StockCount[Part Name],$A22,T_StockCount[WeekIndex],68),IF((('T_SelfStock'!BQ26&lt;&gt;""))*(('T_TTAFStock'!BQ26&lt;&gt;""))&gt;0,'T_SelfStock'!BQ26+'T_TTAFStock'!BQ26,BP22+'Grid_Incoming'!BQ22-'Grid_Requirement'!BQ22))</f>
        <v/>
      </c>
      <c r="BR22">
        <f>IF(COUNTIFS(T_StockCount[Part Name],$A22,T_StockCount[WeekIndex],69)&gt;0,SUMIFS(T_StockCount[CountedQty],T_StockCount[Part Name],$A22,T_StockCount[WeekIndex],69),IF((('T_SelfStock'!BR26&lt;&gt;""))*(('T_TTAFStock'!BR26&lt;&gt;""))&gt;0,'T_SelfStock'!BR26+'T_TTAFStock'!BR26,BQ22+'Grid_Incoming'!BR22-'Grid_Requirement'!BR22))</f>
        <v/>
      </c>
      <c r="BS22">
        <f>IF(COUNTIFS(T_StockCount[Part Name],$A22,T_StockCount[WeekIndex],70)&gt;0,SUMIFS(T_StockCount[CountedQty],T_StockCount[Part Name],$A22,T_StockCount[WeekIndex],70),IF((('T_SelfStock'!BS26&lt;&gt;""))*(('T_TTAFStock'!BS26&lt;&gt;""))&gt;0,'T_SelfStock'!BS26+'T_TTAFStock'!BS26,BR22+'Grid_Incoming'!BS22-'Grid_Requirement'!BS22))</f>
        <v/>
      </c>
      <c r="BT22">
        <f>IF(COUNTIFS(T_StockCount[Part Name],$A22,T_StockCount[WeekIndex],71)&gt;0,SUMIFS(T_StockCount[CountedQty],T_StockCount[Part Name],$A22,T_StockCount[WeekIndex],71),IF((('T_SelfStock'!BT26&lt;&gt;""))*(('T_TTAFStock'!BT26&lt;&gt;""))&gt;0,'T_SelfStock'!BT26+'T_TTAFStock'!BT26,BS22+'Grid_Incoming'!BT22-'Grid_Requirement'!BT22))</f>
        <v/>
      </c>
      <c r="BU22">
        <f>IF(COUNTIFS(T_StockCount[Part Name],$A22,T_StockCount[WeekIndex],72)&gt;0,SUMIFS(T_StockCount[CountedQty],T_StockCount[Part Name],$A22,T_StockCount[WeekIndex],72),IF((('T_SelfStock'!BU26&lt;&gt;""))*(('T_TTAFStock'!BU26&lt;&gt;""))&gt;0,'T_SelfStock'!BU26+'T_TTAFStock'!BU26,BT22+'Grid_Incoming'!BU22-'Grid_Requirement'!BU22))</f>
        <v/>
      </c>
      <c r="BV22">
        <f>IF(COUNTIFS(T_StockCount[Part Name],$A22,T_StockCount[WeekIndex],73)&gt;0,SUMIFS(T_StockCount[CountedQty],T_StockCount[Part Name],$A22,T_StockCount[WeekIndex],73),IF((('T_SelfStock'!BV26&lt;&gt;""))*(('T_TTAFStock'!BV26&lt;&gt;""))&gt;0,'T_SelfStock'!BV26+'T_TTAFStock'!BV26,BU22+'Grid_Incoming'!BV22-'Grid_Requirement'!BV22))</f>
        <v/>
      </c>
      <c r="BW22">
        <f>IF(COUNTIFS(T_StockCount[Part Name],$A22,T_StockCount[WeekIndex],74)&gt;0,SUMIFS(T_StockCount[CountedQty],T_StockCount[Part Name],$A22,T_StockCount[WeekIndex],74),IF((('T_SelfStock'!BW26&lt;&gt;""))*(('T_TTAFStock'!BW26&lt;&gt;""))&gt;0,'T_SelfStock'!BW26+'T_TTAFStock'!BW26,BV22+'Grid_Incoming'!BW22-'Grid_Requirement'!BW22))</f>
        <v/>
      </c>
      <c r="BX22">
        <f>IF(COUNTIFS(T_StockCount[Part Name],$A22,T_StockCount[WeekIndex],75)&gt;0,SUMIFS(T_StockCount[CountedQty],T_StockCount[Part Name],$A22,T_StockCount[WeekIndex],75),IF((('T_SelfStock'!BX26&lt;&gt;""))*(('T_TTAFStock'!BX26&lt;&gt;""))&gt;0,'T_SelfStock'!BX26+'T_TTAFStock'!BX26,BW22+'Grid_Incoming'!BX22-'Grid_Requirement'!BX22))</f>
        <v/>
      </c>
      <c r="BY22">
        <f>IF(COUNTIFS(T_StockCount[Part Name],$A22,T_StockCount[WeekIndex],76)&gt;0,SUMIFS(T_StockCount[CountedQty],T_StockCount[Part Name],$A22,T_StockCount[WeekIndex],76),IF((('T_SelfStock'!BY26&lt;&gt;""))*(('T_TTAFStock'!BY26&lt;&gt;""))&gt;0,'T_SelfStock'!BY26+'T_TTAFStock'!BY26,BX22+'Grid_Incoming'!BY22-'Grid_Requirement'!BY22))</f>
        <v/>
      </c>
      <c r="BZ22">
        <f>IF(COUNTIFS(T_StockCount[Part Name],$A22,T_StockCount[WeekIndex],77)&gt;0,SUMIFS(T_StockCount[CountedQty],T_StockCount[Part Name],$A22,T_StockCount[WeekIndex],77),IF((('T_SelfStock'!BZ26&lt;&gt;""))*(('T_TTAFStock'!BZ26&lt;&gt;""))&gt;0,'T_SelfStock'!BZ26+'T_TTAFStock'!BZ26,BY22+'Grid_Incoming'!BZ22-'Grid_Requirement'!BZ22))</f>
        <v/>
      </c>
      <c r="CA22">
        <f>IF(COUNTIFS(T_StockCount[Part Name],$A22,T_StockCount[WeekIndex],78)&gt;0,SUMIFS(T_StockCount[CountedQty],T_StockCount[Part Name],$A22,T_StockCount[WeekIndex],78),IF((('T_SelfStock'!CA26&lt;&gt;""))*(('T_TTAFStock'!CA26&lt;&gt;""))&gt;0,'T_SelfStock'!CA26+'T_TTAFStock'!CA26,BZ22+'Grid_Incoming'!CA22-'Grid_Requirement'!CA22))</f>
        <v/>
      </c>
      <c r="CB22">
        <f>IF(COUNTIFS(T_StockCount[Part Name],$A22,T_StockCount[WeekIndex],79)&gt;0,SUMIFS(T_StockCount[CountedQty],T_StockCount[Part Name],$A22,T_StockCount[WeekIndex],79),IF((('T_SelfStock'!CB26&lt;&gt;""))*(('T_TTAFStock'!CB26&lt;&gt;""))&gt;0,'T_SelfStock'!CB26+'T_TTAFStock'!CB26,CA22+'Grid_Incoming'!CB22-'Grid_Requirement'!CB22))</f>
        <v/>
      </c>
      <c r="CC22">
        <f>IF(COUNTIFS(T_StockCount[Part Name],$A22,T_StockCount[WeekIndex],80)&gt;0,SUMIFS(T_StockCount[CountedQty],T_StockCount[Part Name],$A22,T_StockCount[WeekIndex],80),IF((('T_SelfStock'!CC26&lt;&gt;""))*(('T_TTAFStock'!CC26&lt;&gt;""))&gt;0,'T_SelfStock'!CC26+'T_TTAFStock'!CC26,CB22+'Grid_Incoming'!CC22-'Grid_Requirement'!CC22))</f>
        <v/>
      </c>
      <c r="CD22">
        <f>IF(COUNTIFS(T_StockCount[Part Name],$A22,T_StockCount[WeekIndex],81)&gt;0,SUMIFS(T_StockCount[CountedQty],T_StockCount[Part Name],$A22,T_StockCount[WeekIndex],81),IF((('T_SelfStock'!CD26&lt;&gt;""))*(('T_TTAFStock'!CD26&lt;&gt;""))&gt;0,'T_SelfStock'!CD26+'T_TTAFStock'!CD26,CC22+'Grid_Incoming'!CD22-'Grid_Requirement'!CD22))</f>
        <v/>
      </c>
      <c r="CE22">
        <f>IF(COUNTIFS(T_StockCount[Part Name],$A22,T_StockCount[WeekIndex],82)&gt;0,SUMIFS(T_StockCount[CountedQty],T_StockCount[Part Name],$A22,T_StockCount[WeekIndex],82),IF((('T_SelfStock'!CE26&lt;&gt;""))*(('T_TTAFStock'!CE26&lt;&gt;""))&gt;0,'T_SelfStock'!CE26+'T_TTAFStock'!CE26,CD22+'Grid_Incoming'!CE22-'Grid_Requirement'!CE22))</f>
        <v/>
      </c>
      <c r="CF22">
        <f>IF(COUNTIFS(T_StockCount[Part Name],$A22,T_StockCount[WeekIndex],83)&gt;0,SUMIFS(T_StockCount[CountedQty],T_StockCount[Part Name],$A22,T_StockCount[WeekIndex],83),IF((('T_SelfStock'!CF26&lt;&gt;""))*(('T_TTAFStock'!CF26&lt;&gt;""))&gt;0,'T_SelfStock'!CF26+'T_TTAFStock'!CF26,CE22+'Grid_Incoming'!CF22-'Grid_Requirement'!CF22))</f>
        <v/>
      </c>
      <c r="CG22">
        <f>IF(COUNTIFS(T_StockCount[Part Name],$A22,T_StockCount[WeekIndex],84)&gt;0,SUMIFS(T_StockCount[CountedQty],T_StockCount[Part Name],$A22,T_StockCount[WeekIndex],84),IF((('T_SelfStock'!CG26&lt;&gt;""))*(('T_TTAFStock'!CG26&lt;&gt;""))&gt;0,'T_SelfStock'!CG26+'T_TTAFStock'!CG26,CF22+'Grid_Incoming'!CG22-'Grid_Requirement'!CG22))</f>
        <v/>
      </c>
      <c r="CH22">
        <f>IF(COUNTIFS(T_StockCount[Part Name],$A22,T_StockCount[WeekIndex],85)&gt;0,SUMIFS(T_StockCount[CountedQty],T_StockCount[Part Name],$A22,T_StockCount[WeekIndex],85),IF((('T_SelfStock'!CH26&lt;&gt;""))*(('T_TTAFStock'!CH26&lt;&gt;""))&gt;0,'T_SelfStock'!CH26+'T_TTAFStock'!CH26,CG22+'Grid_Incoming'!CH22-'Grid_Requirement'!CH22))</f>
        <v/>
      </c>
      <c r="CI22">
        <f>IF(COUNTIFS(T_StockCount[Part Name],$A22,T_StockCount[WeekIndex],86)&gt;0,SUMIFS(T_StockCount[CountedQty],T_StockCount[Part Name],$A22,T_StockCount[WeekIndex],86),IF((('T_SelfStock'!CI26&lt;&gt;""))*(('T_TTAFStock'!CI26&lt;&gt;""))&gt;0,'T_SelfStock'!CI26+'T_TTAFStock'!CI26,CH22+'Grid_Incoming'!CI22-'Grid_Requirement'!CI22))</f>
        <v/>
      </c>
      <c r="CJ22">
        <f>IF(COUNTIFS(T_StockCount[Part Name],$A22,T_StockCount[WeekIndex],87)&gt;0,SUMIFS(T_StockCount[CountedQty],T_StockCount[Part Name],$A22,T_StockCount[WeekIndex],87),IF((('T_SelfStock'!CJ26&lt;&gt;""))*(('T_TTAFStock'!CJ26&lt;&gt;""))&gt;0,'T_SelfStock'!CJ26+'T_TTAFStock'!CJ26,CI22+'Grid_Incoming'!CJ22-'Grid_Requirement'!CJ22))</f>
        <v/>
      </c>
      <c r="CK22">
        <f>IF(COUNTIFS(T_StockCount[Part Name],$A22,T_StockCount[WeekIndex],88)&gt;0,SUMIFS(T_StockCount[CountedQty],T_StockCount[Part Name],$A22,T_StockCount[WeekIndex],88),IF((('T_SelfStock'!CK26&lt;&gt;""))*(('T_TTAFStock'!CK26&lt;&gt;""))&gt;0,'T_SelfStock'!CK26+'T_TTAFStock'!CK26,CJ22+'Grid_Incoming'!CK22-'Grid_Requirement'!CK22))</f>
        <v/>
      </c>
      <c r="CL22">
        <f>IF(COUNTIFS(T_StockCount[Part Name],$A22,T_StockCount[WeekIndex],89)&gt;0,SUMIFS(T_StockCount[CountedQty],T_StockCount[Part Name],$A22,T_StockCount[WeekIndex],89),IF((('T_SelfStock'!CL26&lt;&gt;""))*(('T_TTAFStock'!CL26&lt;&gt;""))&gt;0,'T_SelfStock'!CL26+'T_TTAFStock'!CL26,CK22+'Grid_Incoming'!CL22-'Grid_Requirement'!CL22))</f>
        <v/>
      </c>
      <c r="CM22">
        <f>IF(COUNTIFS(T_StockCount[Part Name],$A22,T_StockCount[WeekIndex],90)&gt;0,SUMIFS(T_StockCount[CountedQty],T_StockCount[Part Name],$A22,T_StockCount[WeekIndex],90),IF((('T_SelfStock'!CM26&lt;&gt;""))*(('T_TTAFStock'!CM26&lt;&gt;""))&gt;0,'T_SelfStock'!CM26+'T_TTAFStock'!CM26,CL22+'Grid_Incoming'!CM22-'Grid_Requirement'!CM22))</f>
        <v/>
      </c>
      <c r="CN22">
        <f>IF(COUNTIFS(T_StockCount[Part Name],$A22,T_StockCount[WeekIndex],91)&gt;0,SUMIFS(T_StockCount[CountedQty],T_StockCount[Part Name],$A22,T_StockCount[WeekIndex],91),IF((('T_SelfStock'!CN26&lt;&gt;""))*(('T_TTAFStock'!CN26&lt;&gt;""))&gt;0,'T_SelfStock'!CN26+'T_TTAFStock'!CN26,CM22+'Grid_Incoming'!CN22-'Grid_Requirement'!CN22))</f>
        <v/>
      </c>
      <c r="CO22">
        <f>IF(COUNTIFS(T_StockCount[Part Name],$A22,T_StockCount[WeekIndex],92)&gt;0,SUMIFS(T_StockCount[CountedQty],T_StockCount[Part Name],$A22,T_StockCount[WeekIndex],92),IF((('T_SelfStock'!CO26&lt;&gt;""))*(('T_TTAFStock'!CO26&lt;&gt;""))&gt;0,'T_SelfStock'!CO26+'T_TTAFStock'!CO26,CN22+'Grid_Incoming'!CO22-'Grid_Requirement'!CO22))</f>
        <v/>
      </c>
      <c r="CP22">
        <f>IF(COUNTIFS(T_StockCount[Part Name],$A22,T_StockCount[WeekIndex],93)&gt;0,SUMIFS(T_StockCount[CountedQty],T_StockCount[Part Name],$A22,T_StockCount[WeekIndex],93),IF((('T_SelfStock'!CP26&lt;&gt;""))*(('T_TTAFStock'!CP26&lt;&gt;""))&gt;0,'T_SelfStock'!CP26+'T_TTAFStock'!CP26,CO22+'Grid_Incoming'!CP22-'Grid_Requirement'!CP22))</f>
        <v/>
      </c>
      <c r="CQ22">
        <f>IF(COUNTIFS(T_StockCount[Part Name],$A22,T_StockCount[WeekIndex],94)&gt;0,SUMIFS(T_StockCount[CountedQty],T_StockCount[Part Name],$A22,T_StockCount[WeekIndex],94),IF((('T_SelfStock'!CQ26&lt;&gt;""))*(('T_TTAFStock'!CQ26&lt;&gt;""))&gt;0,'T_SelfStock'!CQ26+'T_TTAFStock'!CQ26,CP22+'Grid_Incoming'!CQ22-'Grid_Requirement'!CQ22))</f>
        <v/>
      </c>
      <c r="CR22">
        <f>IF(COUNTIFS(T_StockCount[Part Name],$A22,T_StockCount[WeekIndex],95)&gt;0,SUMIFS(T_StockCount[CountedQty],T_StockCount[Part Name],$A22,T_StockCount[WeekIndex],95),IF((('T_SelfStock'!CR26&lt;&gt;""))*(('T_TTAFStock'!CR26&lt;&gt;""))&gt;0,'T_SelfStock'!CR26+'T_TTAFStock'!CR26,CQ22+'Grid_Incoming'!CR22-'Grid_Requirement'!CR22))</f>
        <v/>
      </c>
      <c r="CS22">
        <f>IF(COUNTIFS(T_StockCount[Part Name],$A22,T_StockCount[WeekIndex],96)&gt;0,SUMIFS(T_StockCount[CountedQty],T_StockCount[Part Name],$A22,T_StockCount[WeekIndex],96),IF((('T_SelfStock'!CS26&lt;&gt;""))*(('T_TTAFStock'!CS26&lt;&gt;""))&gt;0,'T_SelfStock'!CS26+'T_TTAFStock'!CS26,CR22+'Grid_Incoming'!CS22-'Grid_Requirement'!CS22))</f>
        <v/>
      </c>
      <c r="CT22">
        <f>IF(COUNTIFS(T_StockCount[Part Name],$A22,T_StockCount[WeekIndex],97)&gt;0,SUMIFS(T_StockCount[CountedQty],T_StockCount[Part Name],$A22,T_StockCount[WeekIndex],97),IF((('T_SelfStock'!CT26&lt;&gt;""))*(('T_TTAFStock'!CT26&lt;&gt;""))&gt;0,'T_SelfStock'!CT26+'T_TTAFStock'!CT26,CS22+'Grid_Incoming'!CT22-'Grid_Requirement'!CT22))</f>
        <v/>
      </c>
      <c r="CU22">
        <f>IF(COUNTIFS(T_StockCount[Part Name],$A22,T_StockCount[WeekIndex],98)&gt;0,SUMIFS(T_StockCount[CountedQty],T_StockCount[Part Name],$A22,T_StockCount[WeekIndex],98),IF((('T_SelfStock'!CU26&lt;&gt;""))*(('T_TTAFStock'!CU26&lt;&gt;""))&gt;0,'T_SelfStock'!CU26+'T_TTAFStock'!CU26,CT22+'Grid_Incoming'!CU22-'Grid_Requirement'!CU22))</f>
        <v/>
      </c>
      <c r="CV22">
        <f>IF(COUNTIFS(T_StockCount[Part Name],$A22,T_StockCount[WeekIndex],99)&gt;0,SUMIFS(T_StockCount[CountedQty],T_StockCount[Part Name],$A22,T_StockCount[WeekIndex],99),IF((('T_SelfStock'!CV26&lt;&gt;""))*(('T_TTAFStock'!CV26&lt;&gt;""))&gt;0,'T_SelfStock'!CV26+'T_TTAFStock'!CV26,CU22+'Grid_Incoming'!CV22-'Grid_Requirement'!CV22))</f>
        <v/>
      </c>
      <c r="CW22">
        <f>IF(COUNTIFS(T_StockCount[Part Name],$A22,T_StockCount[WeekIndex],100)&gt;0,SUMIFS(T_StockCount[CountedQty],T_StockCount[Part Name],$A22,T_StockCount[WeekIndex],100),IF((('T_SelfStock'!CW26&lt;&gt;""))*(('T_TTAFStock'!CW26&lt;&gt;""))&gt;0,'T_SelfStock'!CW26+'T_TTAFStock'!CW26,CV22+'Grid_Incoming'!CW22-'Grid_Requirement'!CW22))</f>
        <v/>
      </c>
      <c r="CX22">
        <f>IF(COUNTIFS(T_StockCount[Part Name],$A22,T_StockCount[WeekIndex],101)&gt;0,SUMIFS(T_StockCount[CountedQty],T_StockCount[Part Name],$A22,T_StockCount[WeekIndex],101),IF((('T_SelfStock'!CX26&lt;&gt;""))*(('T_TTAFStock'!CX26&lt;&gt;""))&gt;0,'T_SelfStock'!CX26+'T_TTAFStock'!CX26,CW22+'Grid_Incoming'!CX22-'Grid_Requirement'!CX22))</f>
        <v/>
      </c>
      <c r="CY22">
        <f>IF(COUNTIFS(T_StockCount[Part Name],$A22,T_StockCount[WeekIndex],102)&gt;0,SUMIFS(T_StockCount[CountedQty],T_StockCount[Part Name],$A22,T_StockCount[WeekIndex],102),IF((('T_SelfStock'!CY26&lt;&gt;""))*(('T_TTAFStock'!CY26&lt;&gt;""))&gt;0,'T_SelfStock'!CY26+'T_TTAFStock'!CY26,CX22+'Grid_Incoming'!CY22-'Grid_Requirement'!CY22))</f>
        <v/>
      </c>
      <c r="CZ22">
        <f>IF(COUNTIFS(T_StockCount[Part Name],$A22,T_StockCount[WeekIndex],103)&gt;0,SUMIFS(T_StockCount[CountedQty],T_StockCount[Part Name],$A22,T_StockCount[WeekIndex],103),IF((('T_SelfStock'!CZ26&lt;&gt;""))*(('T_TTAFStock'!CZ26&lt;&gt;""))&gt;0,'T_SelfStock'!CZ26+'T_TTAFStock'!CZ26,CY22+'Grid_Incoming'!CZ22-'Grid_Requirement'!CZ22))</f>
        <v/>
      </c>
      <c r="DA22">
        <f>IF(COUNTIFS(T_StockCount[Part Name],$A22,T_StockCount[WeekIndex],104)&gt;0,SUMIFS(T_StockCount[CountedQty],T_StockCount[Part Name],$A22,T_StockCount[WeekIndex],104),IF((('T_SelfStock'!DA26&lt;&gt;""))*(('T_TTAFStock'!DA26&lt;&gt;""))&gt;0,'T_SelfStock'!DA26+'T_TTAFStock'!DA26,CZ22+'Grid_Incoming'!DA22-'Grid_Requirement'!DA22))</f>
        <v/>
      </c>
    </row>
    <row r="23">
      <c r="A23" t="inlineStr">
        <is>
          <t>CHEM-1110</t>
        </is>
      </c>
      <c r="B23">
        <f>IF(COUNTIFS(T_StockCount[Part Name],$A23,T_StockCount[WeekIndex],1)&gt;0,SUMIFS(T_StockCount[CountedQty],T_StockCount[Part Name],$A23,T_StockCount[WeekIndex],1),IF((('T_SelfStock'!B27&lt;&gt;""))*(('T_TTAFStock'!B27&lt;&gt;""))&gt;0,'T_SelfStock'!B27+'T_TTAFStock'!B27,IFERROR(INDEX(T_OpeningStock[Opening_Qty_要入力],MATCH($A23,T_OpeningStock[Part Name],0)),0)+'Grid_Incoming'!B23-'Grid_Requirement'!B23))</f>
        <v/>
      </c>
      <c r="C23">
        <f>IF(COUNTIFS(T_StockCount[Part Name],$A23,T_StockCount[WeekIndex],2)&gt;0,SUMIFS(T_StockCount[CountedQty],T_StockCount[Part Name],$A23,T_StockCount[WeekIndex],2),IF((('T_SelfStock'!C27&lt;&gt;""))*(('T_TTAFStock'!C27&lt;&gt;""))&gt;0,'T_SelfStock'!C27+'T_TTAFStock'!C27,B23+'Grid_Incoming'!C23-'Grid_Requirement'!C23))</f>
        <v/>
      </c>
      <c r="D23">
        <f>IF(COUNTIFS(T_StockCount[Part Name],$A23,T_StockCount[WeekIndex],3)&gt;0,SUMIFS(T_StockCount[CountedQty],T_StockCount[Part Name],$A23,T_StockCount[WeekIndex],3),IF((('T_SelfStock'!D27&lt;&gt;""))*(('T_TTAFStock'!D27&lt;&gt;""))&gt;0,'T_SelfStock'!D27+'T_TTAFStock'!D27,C23+'Grid_Incoming'!D23-'Grid_Requirement'!D23))</f>
        <v/>
      </c>
      <c r="E23">
        <f>IF(COUNTIFS(T_StockCount[Part Name],$A23,T_StockCount[WeekIndex],4)&gt;0,SUMIFS(T_StockCount[CountedQty],T_StockCount[Part Name],$A23,T_StockCount[WeekIndex],4),IF((('T_SelfStock'!E27&lt;&gt;""))*(('T_TTAFStock'!E27&lt;&gt;""))&gt;0,'T_SelfStock'!E27+'T_TTAFStock'!E27,D23+'Grid_Incoming'!E23-'Grid_Requirement'!E23))</f>
        <v/>
      </c>
      <c r="F23">
        <f>IF(COUNTIFS(T_StockCount[Part Name],$A23,T_StockCount[WeekIndex],5)&gt;0,SUMIFS(T_StockCount[CountedQty],T_StockCount[Part Name],$A23,T_StockCount[WeekIndex],5),IF((('T_SelfStock'!F27&lt;&gt;""))*(('T_TTAFStock'!F27&lt;&gt;""))&gt;0,'T_SelfStock'!F27+'T_TTAFStock'!F27,E23+'Grid_Incoming'!F23-'Grid_Requirement'!F23))</f>
        <v/>
      </c>
      <c r="G23">
        <f>IF(COUNTIFS(T_StockCount[Part Name],$A23,T_StockCount[WeekIndex],6)&gt;0,SUMIFS(T_StockCount[CountedQty],T_StockCount[Part Name],$A23,T_StockCount[WeekIndex],6),IF((('T_SelfStock'!G27&lt;&gt;""))*(('T_TTAFStock'!G27&lt;&gt;""))&gt;0,'T_SelfStock'!G27+'T_TTAFStock'!G27,F23+'Grid_Incoming'!G23-'Grid_Requirement'!G23))</f>
        <v/>
      </c>
      <c r="H23">
        <f>IF(COUNTIFS(T_StockCount[Part Name],$A23,T_StockCount[WeekIndex],7)&gt;0,SUMIFS(T_StockCount[CountedQty],T_StockCount[Part Name],$A23,T_StockCount[WeekIndex],7),IF((('T_SelfStock'!H27&lt;&gt;""))*(('T_TTAFStock'!H27&lt;&gt;""))&gt;0,'T_SelfStock'!H27+'T_TTAFStock'!H27,G23+'Grid_Incoming'!H23-'Grid_Requirement'!H23))</f>
        <v/>
      </c>
      <c r="I23">
        <f>IF(COUNTIFS(T_StockCount[Part Name],$A23,T_StockCount[WeekIndex],8)&gt;0,SUMIFS(T_StockCount[CountedQty],T_StockCount[Part Name],$A23,T_StockCount[WeekIndex],8),IF((('T_SelfStock'!I27&lt;&gt;""))*(('T_TTAFStock'!I27&lt;&gt;""))&gt;0,'T_SelfStock'!I27+'T_TTAFStock'!I27,H23+'Grid_Incoming'!I23-'Grid_Requirement'!I23))</f>
        <v/>
      </c>
      <c r="J23">
        <f>IF(COUNTIFS(T_StockCount[Part Name],$A23,T_StockCount[WeekIndex],9)&gt;0,SUMIFS(T_StockCount[CountedQty],T_StockCount[Part Name],$A23,T_StockCount[WeekIndex],9),IF((('T_SelfStock'!J27&lt;&gt;""))*(('T_TTAFStock'!J27&lt;&gt;""))&gt;0,'T_SelfStock'!J27+'T_TTAFStock'!J27,I23+'Grid_Incoming'!J23-'Grid_Requirement'!J23))</f>
        <v/>
      </c>
      <c r="K23">
        <f>IF(COUNTIFS(T_StockCount[Part Name],$A23,T_StockCount[WeekIndex],10)&gt;0,SUMIFS(T_StockCount[CountedQty],T_StockCount[Part Name],$A23,T_StockCount[WeekIndex],10),IF((('T_SelfStock'!K27&lt;&gt;""))*(('T_TTAFStock'!K27&lt;&gt;""))&gt;0,'T_SelfStock'!K27+'T_TTAFStock'!K27,J23+'Grid_Incoming'!K23-'Grid_Requirement'!K23))</f>
        <v/>
      </c>
      <c r="L23">
        <f>IF(COUNTIFS(T_StockCount[Part Name],$A23,T_StockCount[WeekIndex],11)&gt;0,SUMIFS(T_StockCount[CountedQty],T_StockCount[Part Name],$A23,T_StockCount[WeekIndex],11),IF((('T_SelfStock'!L27&lt;&gt;""))*(('T_TTAFStock'!L27&lt;&gt;""))&gt;0,'T_SelfStock'!L27+'T_TTAFStock'!L27,K23+'Grid_Incoming'!L23-'Grid_Requirement'!L23))</f>
        <v/>
      </c>
      <c r="M23">
        <f>IF(COUNTIFS(T_StockCount[Part Name],$A23,T_StockCount[WeekIndex],12)&gt;0,SUMIFS(T_StockCount[CountedQty],T_StockCount[Part Name],$A23,T_StockCount[WeekIndex],12),IF((('T_SelfStock'!M27&lt;&gt;""))*(('T_TTAFStock'!M27&lt;&gt;""))&gt;0,'T_SelfStock'!M27+'T_TTAFStock'!M27,L23+'Grid_Incoming'!M23-'Grid_Requirement'!M23))</f>
        <v/>
      </c>
      <c r="N23">
        <f>IF(COUNTIFS(T_StockCount[Part Name],$A23,T_StockCount[WeekIndex],13)&gt;0,SUMIFS(T_StockCount[CountedQty],T_StockCount[Part Name],$A23,T_StockCount[WeekIndex],13),IF((('T_SelfStock'!N27&lt;&gt;""))*(('T_TTAFStock'!N27&lt;&gt;""))&gt;0,'T_SelfStock'!N27+'T_TTAFStock'!N27,M23+'Grid_Incoming'!N23-'Grid_Requirement'!N23))</f>
        <v/>
      </c>
      <c r="O23">
        <f>IF(COUNTIFS(T_StockCount[Part Name],$A23,T_StockCount[WeekIndex],14)&gt;0,SUMIFS(T_StockCount[CountedQty],T_StockCount[Part Name],$A23,T_StockCount[WeekIndex],14),IF((('T_SelfStock'!O27&lt;&gt;""))*(('T_TTAFStock'!O27&lt;&gt;""))&gt;0,'T_SelfStock'!O27+'T_TTAFStock'!O27,N23+'Grid_Incoming'!O23-'Grid_Requirement'!O23))</f>
        <v/>
      </c>
      <c r="P23">
        <f>IF(COUNTIFS(T_StockCount[Part Name],$A23,T_StockCount[WeekIndex],15)&gt;0,SUMIFS(T_StockCount[CountedQty],T_StockCount[Part Name],$A23,T_StockCount[WeekIndex],15),IF((('T_SelfStock'!P27&lt;&gt;""))*(('T_TTAFStock'!P27&lt;&gt;""))&gt;0,'T_SelfStock'!P27+'T_TTAFStock'!P27,O23+'Grid_Incoming'!P23-'Grid_Requirement'!P23))</f>
        <v/>
      </c>
      <c r="Q23">
        <f>IF(COUNTIFS(T_StockCount[Part Name],$A23,T_StockCount[WeekIndex],16)&gt;0,SUMIFS(T_StockCount[CountedQty],T_StockCount[Part Name],$A23,T_StockCount[WeekIndex],16),IF((('T_SelfStock'!Q27&lt;&gt;""))*(('T_TTAFStock'!Q27&lt;&gt;""))&gt;0,'T_SelfStock'!Q27+'T_TTAFStock'!Q27,P23+'Grid_Incoming'!Q23-'Grid_Requirement'!Q23))</f>
        <v/>
      </c>
      <c r="R23">
        <f>IF(COUNTIFS(T_StockCount[Part Name],$A23,T_StockCount[WeekIndex],17)&gt;0,SUMIFS(T_StockCount[CountedQty],T_StockCount[Part Name],$A23,T_StockCount[WeekIndex],17),IF((('T_SelfStock'!R27&lt;&gt;""))*(('T_TTAFStock'!R27&lt;&gt;""))&gt;0,'T_SelfStock'!R27+'T_TTAFStock'!R27,Q23+'Grid_Incoming'!R23-'Grid_Requirement'!R23))</f>
        <v/>
      </c>
      <c r="S23">
        <f>IF(COUNTIFS(T_StockCount[Part Name],$A23,T_StockCount[WeekIndex],18)&gt;0,SUMIFS(T_StockCount[CountedQty],T_StockCount[Part Name],$A23,T_StockCount[WeekIndex],18),IF((('T_SelfStock'!S27&lt;&gt;""))*(('T_TTAFStock'!S27&lt;&gt;""))&gt;0,'T_SelfStock'!S27+'T_TTAFStock'!S27,R23+'Grid_Incoming'!S23-'Grid_Requirement'!S23))</f>
        <v/>
      </c>
      <c r="T23">
        <f>IF(COUNTIFS(T_StockCount[Part Name],$A23,T_StockCount[WeekIndex],19)&gt;0,SUMIFS(T_StockCount[CountedQty],T_StockCount[Part Name],$A23,T_StockCount[WeekIndex],19),IF((('T_SelfStock'!T27&lt;&gt;""))*(('T_TTAFStock'!T27&lt;&gt;""))&gt;0,'T_SelfStock'!T27+'T_TTAFStock'!T27,S23+'Grid_Incoming'!T23-'Grid_Requirement'!T23))</f>
        <v/>
      </c>
      <c r="U23">
        <f>IF(COUNTIFS(T_StockCount[Part Name],$A23,T_StockCount[WeekIndex],20)&gt;0,SUMIFS(T_StockCount[CountedQty],T_StockCount[Part Name],$A23,T_StockCount[WeekIndex],20),IF((('T_SelfStock'!U27&lt;&gt;""))*(('T_TTAFStock'!U27&lt;&gt;""))&gt;0,'T_SelfStock'!U27+'T_TTAFStock'!U27,T23+'Grid_Incoming'!U23-'Grid_Requirement'!U23))</f>
        <v/>
      </c>
      <c r="V23">
        <f>IF(COUNTIFS(T_StockCount[Part Name],$A23,T_StockCount[WeekIndex],21)&gt;0,SUMIFS(T_StockCount[CountedQty],T_StockCount[Part Name],$A23,T_StockCount[WeekIndex],21),IF((('T_SelfStock'!V27&lt;&gt;""))*(('T_TTAFStock'!V27&lt;&gt;""))&gt;0,'T_SelfStock'!V27+'T_TTAFStock'!V27,U23+'Grid_Incoming'!V23-'Grid_Requirement'!V23))</f>
        <v/>
      </c>
      <c r="W23">
        <f>IF(COUNTIFS(T_StockCount[Part Name],$A23,T_StockCount[WeekIndex],22)&gt;0,SUMIFS(T_StockCount[CountedQty],T_StockCount[Part Name],$A23,T_StockCount[WeekIndex],22),IF((('T_SelfStock'!W27&lt;&gt;""))*(('T_TTAFStock'!W27&lt;&gt;""))&gt;0,'T_SelfStock'!W27+'T_TTAFStock'!W27,V23+'Grid_Incoming'!W23-'Grid_Requirement'!W23))</f>
        <v/>
      </c>
      <c r="X23">
        <f>IF(COUNTIFS(T_StockCount[Part Name],$A23,T_StockCount[WeekIndex],23)&gt;0,SUMIFS(T_StockCount[CountedQty],T_StockCount[Part Name],$A23,T_StockCount[WeekIndex],23),IF((('T_SelfStock'!X27&lt;&gt;""))*(('T_TTAFStock'!X27&lt;&gt;""))&gt;0,'T_SelfStock'!X27+'T_TTAFStock'!X27,W23+'Grid_Incoming'!X23-'Grid_Requirement'!X23))</f>
        <v/>
      </c>
      <c r="Y23">
        <f>IF(COUNTIFS(T_StockCount[Part Name],$A23,T_StockCount[WeekIndex],24)&gt;0,SUMIFS(T_StockCount[CountedQty],T_StockCount[Part Name],$A23,T_StockCount[WeekIndex],24),IF((('T_SelfStock'!Y27&lt;&gt;""))*(('T_TTAFStock'!Y27&lt;&gt;""))&gt;0,'T_SelfStock'!Y27+'T_TTAFStock'!Y27,X23+'Grid_Incoming'!Y23-'Grid_Requirement'!Y23))</f>
        <v/>
      </c>
      <c r="Z23">
        <f>IF(COUNTIFS(T_StockCount[Part Name],$A23,T_StockCount[WeekIndex],25)&gt;0,SUMIFS(T_StockCount[CountedQty],T_StockCount[Part Name],$A23,T_StockCount[WeekIndex],25),IF((('T_SelfStock'!Z27&lt;&gt;""))*(('T_TTAFStock'!Z27&lt;&gt;""))&gt;0,'T_SelfStock'!Z27+'T_TTAFStock'!Z27,Y23+'Grid_Incoming'!Z23-'Grid_Requirement'!Z23))</f>
        <v/>
      </c>
      <c r="AA23">
        <f>IF(COUNTIFS(T_StockCount[Part Name],$A23,T_StockCount[WeekIndex],26)&gt;0,SUMIFS(T_StockCount[CountedQty],T_StockCount[Part Name],$A23,T_StockCount[WeekIndex],26),IF((('T_SelfStock'!AA27&lt;&gt;""))*(('T_TTAFStock'!AA27&lt;&gt;""))&gt;0,'T_SelfStock'!AA27+'T_TTAFStock'!AA27,Z23+'Grid_Incoming'!AA23-'Grid_Requirement'!AA23))</f>
        <v/>
      </c>
      <c r="AB23">
        <f>IF(COUNTIFS(T_StockCount[Part Name],$A23,T_StockCount[WeekIndex],27)&gt;0,SUMIFS(T_StockCount[CountedQty],T_StockCount[Part Name],$A23,T_StockCount[WeekIndex],27),IF((('T_SelfStock'!AB27&lt;&gt;""))*(('T_TTAFStock'!AB27&lt;&gt;""))&gt;0,'T_SelfStock'!AB27+'T_TTAFStock'!AB27,AA23+'Grid_Incoming'!AB23-'Grid_Requirement'!AB23))</f>
        <v/>
      </c>
      <c r="AC23">
        <f>IF(COUNTIFS(T_StockCount[Part Name],$A23,T_StockCount[WeekIndex],28)&gt;0,SUMIFS(T_StockCount[CountedQty],T_StockCount[Part Name],$A23,T_StockCount[WeekIndex],28),IF((('T_SelfStock'!AC27&lt;&gt;""))*(('T_TTAFStock'!AC27&lt;&gt;""))&gt;0,'T_SelfStock'!AC27+'T_TTAFStock'!AC27,AB23+'Grid_Incoming'!AC23-'Grid_Requirement'!AC23))</f>
        <v/>
      </c>
      <c r="AD23">
        <f>IF(COUNTIFS(T_StockCount[Part Name],$A23,T_StockCount[WeekIndex],29)&gt;0,SUMIFS(T_StockCount[CountedQty],T_StockCount[Part Name],$A23,T_StockCount[WeekIndex],29),IF((('T_SelfStock'!AD27&lt;&gt;""))*(('T_TTAFStock'!AD27&lt;&gt;""))&gt;0,'T_SelfStock'!AD27+'T_TTAFStock'!AD27,AC23+'Grid_Incoming'!AD23-'Grid_Requirement'!AD23))</f>
        <v/>
      </c>
      <c r="AE23">
        <f>IF(COUNTIFS(T_StockCount[Part Name],$A23,T_StockCount[WeekIndex],30)&gt;0,SUMIFS(T_StockCount[CountedQty],T_StockCount[Part Name],$A23,T_StockCount[WeekIndex],30),IF((('T_SelfStock'!AE27&lt;&gt;""))*(('T_TTAFStock'!AE27&lt;&gt;""))&gt;0,'T_SelfStock'!AE27+'T_TTAFStock'!AE27,AD23+'Grid_Incoming'!AE23-'Grid_Requirement'!AE23))</f>
        <v/>
      </c>
      <c r="AF23">
        <f>IF(COUNTIFS(T_StockCount[Part Name],$A23,T_StockCount[WeekIndex],31)&gt;0,SUMIFS(T_StockCount[CountedQty],T_StockCount[Part Name],$A23,T_StockCount[WeekIndex],31),IF((('T_SelfStock'!AF27&lt;&gt;""))*(('T_TTAFStock'!AF27&lt;&gt;""))&gt;0,'T_SelfStock'!AF27+'T_TTAFStock'!AF27,AE23+'Grid_Incoming'!AF23-'Grid_Requirement'!AF23))</f>
        <v/>
      </c>
      <c r="AG23">
        <f>IF(COUNTIFS(T_StockCount[Part Name],$A23,T_StockCount[WeekIndex],32)&gt;0,SUMIFS(T_StockCount[CountedQty],T_StockCount[Part Name],$A23,T_StockCount[WeekIndex],32),IF((('T_SelfStock'!AG27&lt;&gt;""))*(('T_TTAFStock'!AG27&lt;&gt;""))&gt;0,'T_SelfStock'!AG27+'T_TTAFStock'!AG27,AF23+'Grid_Incoming'!AG23-'Grid_Requirement'!AG23))</f>
        <v/>
      </c>
      <c r="AH23">
        <f>IF(COUNTIFS(T_StockCount[Part Name],$A23,T_StockCount[WeekIndex],33)&gt;0,SUMIFS(T_StockCount[CountedQty],T_StockCount[Part Name],$A23,T_StockCount[WeekIndex],33),IF((('T_SelfStock'!AH27&lt;&gt;""))*(('T_TTAFStock'!AH27&lt;&gt;""))&gt;0,'T_SelfStock'!AH27+'T_TTAFStock'!AH27,AG23+'Grid_Incoming'!AH23-'Grid_Requirement'!AH23))</f>
        <v/>
      </c>
      <c r="AI23">
        <f>IF(COUNTIFS(T_StockCount[Part Name],$A23,T_StockCount[WeekIndex],34)&gt;0,SUMIFS(T_StockCount[CountedQty],T_StockCount[Part Name],$A23,T_StockCount[WeekIndex],34),IF((('T_SelfStock'!AI27&lt;&gt;""))*(('T_TTAFStock'!AI27&lt;&gt;""))&gt;0,'T_SelfStock'!AI27+'T_TTAFStock'!AI27,AH23+'Grid_Incoming'!AI23-'Grid_Requirement'!AI23))</f>
        <v/>
      </c>
      <c r="AJ23">
        <f>IF(COUNTIFS(T_StockCount[Part Name],$A23,T_StockCount[WeekIndex],35)&gt;0,SUMIFS(T_StockCount[CountedQty],T_StockCount[Part Name],$A23,T_StockCount[WeekIndex],35),IF((('T_SelfStock'!AJ27&lt;&gt;""))*(('T_TTAFStock'!AJ27&lt;&gt;""))&gt;0,'T_SelfStock'!AJ27+'T_TTAFStock'!AJ27,AI23+'Grid_Incoming'!AJ23-'Grid_Requirement'!AJ23))</f>
        <v/>
      </c>
      <c r="AK23">
        <f>IF(COUNTIFS(T_StockCount[Part Name],$A23,T_StockCount[WeekIndex],36)&gt;0,SUMIFS(T_StockCount[CountedQty],T_StockCount[Part Name],$A23,T_StockCount[WeekIndex],36),IF((('T_SelfStock'!AK27&lt;&gt;""))*(('T_TTAFStock'!AK27&lt;&gt;""))&gt;0,'T_SelfStock'!AK27+'T_TTAFStock'!AK27,AJ23+'Grid_Incoming'!AK23-'Grid_Requirement'!AK23))</f>
        <v/>
      </c>
      <c r="AL23">
        <f>IF(COUNTIFS(T_StockCount[Part Name],$A23,T_StockCount[WeekIndex],37)&gt;0,SUMIFS(T_StockCount[CountedQty],T_StockCount[Part Name],$A23,T_StockCount[WeekIndex],37),IF((('T_SelfStock'!AL27&lt;&gt;""))*(('T_TTAFStock'!AL27&lt;&gt;""))&gt;0,'T_SelfStock'!AL27+'T_TTAFStock'!AL27,AK23+'Grid_Incoming'!AL23-'Grid_Requirement'!AL23))</f>
        <v/>
      </c>
      <c r="AM23">
        <f>IF(COUNTIFS(T_StockCount[Part Name],$A23,T_StockCount[WeekIndex],38)&gt;0,SUMIFS(T_StockCount[CountedQty],T_StockCount[Part Name],$A23,T_StockCount[WeekIndex],38),IF((('T_SelfStock'!AM27&lt;&gt;""))*(('T_TTAFStock'!AM27&lt;&gt;""))&gt;0,'T_SelfStock'!AM27+'T_TTAFStock'!AM27,AL23+'Grid_Incoming'!AM23-'Grid_Requirement'!AM23))</f>
        <v/>
      </c>
      <c r="AN23">
        <f>IF(COUNTIFS(T_StockCount[Part Name],$A23,T_StockCount[WeekIndex],39)&gt;0,SUMIFS(T_StockCount[CountedQty],T_StockCount[Part Name],$A23,T_StockCount[WeekIndex],39),IF((('T_SelfStock'!AN27&lt;&gt;""))*(('T_TTAFStock'!AN27&lt;&gt;""))&gt;0,'T_SelfStock'!AN27+'T_TTAFStock'!AN27,AM23+'Grid_Incoming'!AN23-'Grid_Requirement'!AN23))</f>
        <v/>
      </c>
      <c r="AO23">
        <f>IF(COUNTIFS(T_StockCount[Part Name],$A23,T_StockCount[WeekIndex],40)&gt;0,SUMIFS(T_StockCount[CountedQty],T_StockCount[Part Name],$A23,T_StockCount[WeekIndex],40),IF((('T_SelfStock'!AO27&lt;&gt;""))*(('T_TTAFStock'!AO27&lt;&gt;""))&gt;0,'T_SelfStock'!AO27+'T_TTAFStock'!AO27,AN23+'Grid_Incoming'!AO23-'Grid_Requirement'!AO23))</f>
        <v/>
      </c>
      <c r="AP23">
        <f>IF(COUNTIFS(T_StockCount[Part Name],$A23,T_StockCount[WeekIndex],41)&gt;0,SUMIFS(T_StockCount[CountedQty],T_StockCount[Part Name],$A23,T_StockCount[WeekIndex],41),IF((('T_SelfStock'!AP27&lt;&gt;""))*(('T_TTAFStock'!AP27&lt;&gt;""))&gt;0,'T_SelfStock'!AP27+'T_TTAFStock'!AP27,AO23+'Grid_Incoming'!AP23-'Grid_Requirement'!AP23))</f>
        <v/>
      </c>
      <c r="AQ23">
        <f>IF(COUNTIFS(T_StockCount[Part Name],$A23,T_StockCount[WeekIndex],42)&gt;0,SUMIFS(T_StockCount[CountedQty],T_StockCount[Part Name],$A23,T_StockCount[WeekIndex],42),IF((('T_SelfStock'!AQ27&lt;&gt;""))*(('T_TTAFStock'!AQ27&lt;&gt;""))&gt;0,'T_SelfStock'!AQ27+'T_TTAFStock'!AQ27,AP23+'Grid_Incoming'!AQ23-'Grid_Requirement'!AQ23))</f>
        <v/>
      </c>
      <c r="AR23">
        <f>IF(COUNTIFS(T_StockCount[Part Name],$A23,T_StockCount[WeekIndex],43)&gt;0,SUMIFS(T_StockCount[CountedQty],T_StockCount[Part Name],$A23,T_StockCount[WeekIndex],43),IF((('T_SelfStock'!AR27&lt;&gt;""))*(('T_TTAFStock'!AR27&lt;&gt;""))&gt;0,'T_SelfStock'!AR27+'T_TTAFStock'!AR27,AQ23+'Grid_Incoming'!AR23-'Grid_Requirement'!AR23))</f>
        <v/>
      </c>
      <c r="AS23">
        <f>IF(COUNTIFS(T_StockCount[Part Name],$A23,T_StockCount[WeekIndex],44)&gt;0,SUMIFS(T_StockCount[CountedQty],T_StockCount[Part Name],$A23,T_StockCount[WeekIndex],44),IF((('T_SelfStock'!AS27&lt;&gt;""))*(('T_TTAFStock'!AS27&lt;&gt;""))&gt;0,'T_SelfStock'!AS27+'T_TTAFStock'!AS27,AR23+'Grid_Incoming'!AS23-'Grid_Requirement'!AS23))</f>
        <v/>
      </c>
      <c r="AT23">
        <f>IF(COUNTIFS(T_StockCount[Part Name],$A23,T_StockCount[WeekIndex],45)&gt;0,SUMIFS(T_StockCount[CountedQty],T_StockCount[Part Name],$A23,T_StockCount[WeekIndex],45),IF((('T_SelfStock'!AT27&lt;&gt;""))*(('T_TTAFStock'!AT27&lt;&gt;""))&gt;0,'T_SelfStock'!AT27+'T_TTAFStock'!AT27,AS23+'Grid_Incoming'!AT23-'Grid_Requirement'!AT23))</f>
        <v/>
      </c>
      <c r="AU23">
        <f>IF(COUNTIFS(T_StockCount[Part Name],$A23,T_StockCount[WeekIndex],46)&gt;0,SUMIFS(T_StockCount[CountedQty],T_StockCount[Part Name],$A23,T_StockCount[WeekIndex],46),IF((('T_SelfStock'!AU27&lt;&gt;""))*(('T_TTAFStock'!AU27&lt;&gt;""))&gt;0,'T_SelfStock'!AU27+'T_TTAFStock'!AU27,AT23+'Grid_Incoming'!AU23-'Grid_Requirement'!AU23))</f>
        <v/>
      </c>
      <c r="AV23">
        <f>IF(COUNTIFS(T_StockCount[Part Name],$A23,T_StockCount[WeekIndex],47)&gt;0,SUMIFS(T_StockCount[CountedQty],T_StockCount[Part Name],$A23,T_StockCount[WeekIndex],47),IF((('T_SelfStock'!AV27&lt;&gt;""))*(('T_TTAFStock'!AV27&lt;&gt;""))&gt;0,'T_SelfStock'!AV27+'T_TTAFStock'!AV27,AU23+'Grid_Incoming'!AV23-'Grid_Requirement'!AV23))</f>
        <v/>
      </c>
      <c r="AW23">
        <f>IF(COUNTIFS(T_StockCount[Part Name],$A23,T_StockCount[WeekIndex],48)&gt;0,SUMIFS(T_StockCount[CountedQty],T_StockCount[Part Name],$A23,T_StockCount[WeekIndex],48),IF((('T_SelfStock'!AW27&lt;&gt;""))*(('T_TTAFStock'!AW27&lt;&gt;""))&gt;0,'T_SelfStock'!AW27+'T_TTAFStock'!AW27,AV23+'Grid_Incoming'!AW23-'Grid_Requirement'!AW23))</f>
        <v/>
      </c>
      <c r="AX23">
        <f>IF(COUNTIFS(T_StockCount[Part Name],$A23,T_StockCount[WeekIndex],49)&gt;0,SUMIFS(T_StockCount[CountedQty],T_StockCount[Part Name],$A23,T_StockCount[WeekIndex],49),IF((('T_SelfStock'!AX27&lt;&gt;""))*(('T_TTAFStock'!AX27&lt;&gt;""))&gt;0,'T_SelfStock'!AX27+'T_TTAFStock'!AX27,AW23+'Grid_Incoming'!AX23-'Grid_Requirement'!AX23))</f>
        <v/>
      </c>
      <c r="AY23">
        <f>IF(COUNTIFS(T_StockCount[Part Name],$A23,T_StockCount[WeekIndex],50)&gt;0,SUMIFS(T_StockCount[CountedQty],T_StockCount[Part Name],$A23,T_StockCount[WeekIndex],50),IF((('T_SelfStock'!AY27&lt;&gt;""))*(('T_TTAFStock'!AY27&lt;&gt;""))&gt;0,'T_SelfStock'!AY27+'T_TTAFStock'!AY27,AX23+'Grid_Incoming'!AY23-'Grid_Requirement'!AY23))</f>
        <v/>
      </c>
      <c r="AZ23">
        <f>IF(COUNTIFS(T_StockCount[Part Name],$A23,T_StockCount[WeekIndex],51)&gt;0,SUMIFS(T_StockCount[CountedQty],T_StockCount[Part Name],$A23,T_StockCount[WeekIndex],51),IF((('T_SelfStock'!AZ27&lt;&gt;""))*(('T_TTAFStock'!AZ27&lt;&gt;""))&gt;0,'T_SelfStock'!AZ27+'T_TTAFStock'!AZ27,AY23+'Grid_Incoming'!AZ23-'Grid_Requirement'!AZ23))</f>
        <v/>
      </c>
      <c r="BA23">
        <f>IF(COUNTIFS(T_StockCount[Part Name],$A23,T_StockCount[WeekIndex],52)&gt;0,SUMIFS(T_StockCount[CountedQty],T_StockCount[Part Name],$A23,T_StockCount[WeekIndex],52),IF((('T_SelfStock'!BA27&lt;&gt;""))*(('T_TTAFStock'!BA27&lt;&gt;""))&gt;0,'T_SelfStock'!BA27+'T_TTAFStock'!BA27,AZ23+'Grid_Incoming'!BA23-'Grid_Requirement'!BA23))</f>
        <v/>
      </c>
      <c r="BB23">
        <f>IF(COUNTIFS(T_StockCount[Part Name],$A23,T_StockCount[WeekIndex],53)&gt;0,SUMIFS(T_StockCount[CountedQty],T_StockCount[Part Name],$A23,T_StockCount[WeekIndex],53),IF((('T_SelfStock'!BB27&lt;&gt;""))*(('T_TTAFStock'!BB27&lt;&gt;""))&gt;0,'T_SelfStock'!BB27+'T_TTAFStock'!BB27,BA23+'Grid_Incoming'!BB23-'Grid_Requirement'!BB23))</f>
        <v/>
      </c>
      <c r="BC23">
        <f>IF(COUNTIFS(T_StockCount[Part Name],$A23,T_StockCount[WeekIndex],54)&gt;0,SUMIFS(T_StockCount[CountedQty],T_StockCount[Part Name],$A23,T_StockCount[WeekIndex],54),IF((('T_SelfStock'!BC27&lt;&gt;""))*(('T_TTAFStock'!BC27&lt;&gt;""))&gt;0,'T_SelfStock'!BC27+'T_TTAFStock'!BC27,BB23+'Grid_Incoming'!BC23-'Grid_Requirement'!BC23))</f>
        <v/>
      </c>
      <c r="BD23">
        <f>IF(COUNTIFS(T_StockCount[Part Name],$A23,T_StockCount[WeekIndex],55)&gt;0,SUMIFS(T_StockCount[CountedQty],T_StockCount[Part Name],$A23,T_StockCount[WeekIndex],55),IF((('T_SelfStock'!BD27&lt;&gt;""))*(('T_TTAFStock'!BD27&lt;&gt;""))&gt;0,'T_SelfStock'!BD27+'T_TTAFStock'!BD27,BC23+'Grid_Incoming'!BD23-'Grid_Requirement'!BD23))</f>
        <v/>
      </c>
      <c r="BE23">
        <f>IF(COUNTIFS(T_StockCount[Part Name],$A23,T_StockCount[WeekIndex],56)&gt;0,SUMIFS(T_StockCount[CountedQty],T_StockCount[Part Name],$A23,T_StockCount[WeekIndex],56),IF((('T_SelfStock'!BE27&lt;&gt;""))*(('T_TTAFStock'!BE27&lt;&gt;""))&gt;0,'T_SelfStock'!BE27+'T_TTAFStock'!BE27,BD23+'Grid_Incoming'!BE23-'Grid_Requirement'!BE23))</f>
        <v/>
      </c>
      <c r="BF23">
        <f>IF(COUNTIFS(T_StockCount[Part Name],$A23,T_StockCount[WeekIndex],57)&gt;0,SUMIFS(T_StockCount[CountedQty],T_StockCount[Part Name],$A23,T_StockCount[WeekIndex],57),IF((('T_SelfStock'!BF27&lt;&gt;""))*(('T_TTAFStock'!BF27&lt;&gt;""))&gt;0,'T_SelfStock'!BF27+'T_TTAFStock'!BF27,BE23+'Grid_Incoming'!BF23-'Grid_Requirement'!BF23))</f>
        <v/>
      </c>
      <c r="BG23">
        <f>IF(COUNTIFS(T_StockCount[Part Name],$A23,T_StockCount[WeekIndex],58)&gt;0,SUMIFS(T_StockCount[CountedQty],T_StockCount[Part Name],$A23,T_StockCount[WeekIndex],58),IF((('T_SelfStock'!BG27&lt;&gt;""))*(('T_TTAFStock'!BG27&lt;&gt;""))&gt;0,'T_SelfStock'!BG27+'T_TTAFStock'!BG27,BF23+'Grid_Incoming'!BG23-'Grid_Requirement'!BG23))</f>
        <v/>
      </c>
      <c r="BH23">
        <f>IF(COUNTIFS(T_StockCount[Part Name],$A23,T_StockCount[WeekIndex],59)&gt;0,SUMIFS(T_StockCount[CountedQty],T_StockCount[Part Name],$A23,T_StockCount[WeekIndex],59),IF((('T_SelfStock'!BH27&lt;&gt;""))*(('T_TTAFStock'!BH27&lt;&gt;""))&gt;0,'T_SelfStock'!BH27+'T_TTAFStock'!BH27,BG23+'Grid_Incoming'!BH23-'Grid_Requirement'!BH23))</f>
        <v/>
      </c>
      <c r="BI23">
        <f>IF(COUNTIFS(T_StockCount[Part Name],$A23,T_StockCount[WeekIndex],60)&gt;0,SUMIFS(T_StockCount[CountedQty],T_StockCount[Part Name],$A23,T_StockCount[WeekIndex],60),IF((('T_SelfStock'!BI27&lt;&gt;""))*(('T_TTAFStock'!BI27&lt;&gt;""))&gt;0,'T_SelfStock'!BI27+'T_TTAFStock'!BI27,BH23+'Grid_Incoming'!BI23-'Grid_Requirement'!BI23))</f>
        <v/>
      </c>
      <c r="BJ23">
        <f>IF(COUNTIFS(T_StockCount[Part Name],$A23,T_StockCount[WeekIndex],61)&gt;0,SUMIFS(T_StockCount[CountedQty],T_StockCount[Part Name],$A23,T_StockCount[WeekIndex],61),IF((('T_SelfStock'!BJ27&lt;&gt;""))*(('T_TTAFStock'!BJ27&lt;&gt;""))&gt;0,'T_SelfStock'!BJ27+'T_TTAFStock'!BJ27,BI23+'Grid_Incoming'!BJ23-'Grid_Requirement'!BJ23))</f>
        <v/>
      </c>
      <c r="BK23">
        <f>IF(COUNTIFS(T_StockCount[Part Name],$A23,T_StockCount[WeekIndex],62)&gt;0,SUMIFS(T_StockCount[CountedQty],T_StockCount[Part Name],$A23,T_StockCount[WeekIndex],62),IF((('T_SelfStock'!BK27&lt;&gt;""))*(('T_TTAFStock'!BK27&lt;&gt;""))&gt;0,'T_SelfStock'!BK27+'T_TTAFStock'!BK27,BJ23+'Grid_Incoming'!BK23-'Grid_Requirement'!BK23))</f>
        <v/>
      </c>
      <c r="BL23">
        <f>IF(COUNTIFS(T_StockCount[Part Name],$A23,T_StockCount[WeekIndex],63)&gt;0,SUMIFS(T_StockCount[CountedQty],T_StockCount[Part Name],$A23,T_StockCount[WeekIndex],63),IF((('T_SelfStock'!BL27&lt;&gt;""))*(('T_TTAFStock'!BL27&lt;&gt;""))&gt;0,'T_SelfStock'!BL27+'T_TTAFStock'!BL27,BK23+'Grid_Incoming'!BL23-'Grid_Requirement'!BL23))</f>
        <v/>
      </c>
      <c r="BM23">
        <f>IF(COUNTIFS(T_StockCount[Part Name],$A23,T_StockCount[WeekIndex],64)&gt;0,SUMIFS(T_StockCount[CountedQty],T_StockCount[Part Name],$A23,T_StockCount[WeekIndex],64),IF((('T_SelfStock'!BM27&lt;&gt;""))*(('T_TTAFStock'!BM27&lt;&gt;""))&gt;0,'T_SelfStock'!BM27+'T_TTAFStock'!BM27,BL23+'Grid_Incoming'!BM23-'Grid_Requirement'!BM23))</f>
        <v/>
      </c>
      <c r="BN23">
        <f>IF(COUNTIFS(T_StockCount[Part Name],$A23,T_StockCount[WeekIndex],65)&gt;0,SUMIFS(T_StockCount[CountedQty],T_StockCount[Part Name],$A23,T_StockCount[WeekIndex],65),IF((('T_SelfStock'!BN27&lt;&gt;""))*(('T_TTAFStock'!BN27&lt;&gt;""))&gt;0,'T_SelfStock'!BN27+'T_TTAFStock'!BN27,BM23+'Grid_Incoming'!BN23-'Grid_Requirement'!BN23))</f>
        <v/>
      </c>
      <c r="BO23">
        <f>IF(COUNTIFS(T_StockCount[Part Name],$A23,T_StockCount[WeekIndex],66)&gt;0,SUMIFS(T_StockCount[CountedQty],T_StockCount[Part Name],$A23,T_StockCount[WeekIndex],66),IF((('T_SelfStock'!BO27&lt;&gt;""))*(('T_TTAFStock'!BO27&lt;&gt;""))&gt;0,'T_SelfStock'!BO27+'T_TTAFStock'!BO27,BN23+'Grid_Incoming'!BO23-'Grid_Requirement'!BO23))</f>
        <v/>
      </c>
      <c r="BP23">
        <f>IF(COUNTIFS(T_StockCount[Part Name],$A23,T_StockCount[WeekIndex],67)&gt;0,SUMIFS(T_StockCount[CountedQty],T_StockCount[Part Name],$A23,T_StockCount[WeekIndex],67),IF((('T_SelfStock'!BP27&lt;&gt;""))*(('T_TTAFStock'!BP27&lt;&gt;""))&gt;0,'T_SelfStock'!BP27+'T_TTAFStock'!BP27,BO23+'Grid_Incoming'!BP23-'Grid_Requirement'!BP23))</f>
        <v/>
      </c>
      <c r="BQ23">
        <f>IF(COUNTIFS(T_StockCount[Part Name],$A23,T_StockCount[WeekIndex],68)&gt;0,SUMIFS(T_StockCount[CountedQty],T_StockCount[Part Name],$A23,T_StockCount[WeekIndex],68),IF((('T_SelfStock'!BQ27&lt;&gt;""))*(('T_TTAFStock'!BQ27&lt;&gt;""))&gt;0,'T_SelfStock'!BQ27+'T_TTAFStock'!BQ27,BP23+'Grid_Incoming'!BQ23-'Grid_Requirement'!BQ23))</f>
        <v/>
      </c>
      <c r="BR23">
        <f>IF(COUNTIFS(T_StockCount[Part Name],$A23,T_StockCount[WeekIndex],69)&gt;0,SUMIFS(T_StockCount[CountedQty],T_StockCount[Part Name],$A23,T_StockCount[WeekIndex],69),IF((('T_SelfStock'!BR27&lt;&gt;""))*(('T_TTAFStock'!BR27&lt;&gt;""))&gt;0,'T_SelfStock'!BR27+'T_TTAFStock'!BR27,BQ23+'Grid_Incoming'!BR23-'Grid_Requirement'!BR23))</f>
        <v/>
      </c>
      <c r="BS23">
        <f>IF(COUNTIFS(T_StockCount[Part Name],$A23,T_StockCount[WeekIndex],70)&gt;0,SUMIFS(T_StockCount[CountedQty],T_StockCount[Part Name],$A23,T_StockCount[WeekIndex],70),IF((('T_SelfStock'!BS27&lt;&gt;""))*(('T_TTAFStock'!BS27&lt;&gt;""))&gt;0,'T_SelfStock'!BS27+'T_TTAFStock'!BS27,BR23+'Grid_Incoming'!BS23-'Grid_Requirement'!BS23))</f>
        <v/>
      </c>
      <c r="BT23">
        <f>IF(COUNTIFS(T_StockCount[Part Name],$A23,T_StockCount[WeekIndex],71)&gt;0,SUMIFS(T_StockCount[CountedQty],T_StockCount[Part Name],$A23,T_StockCount[WeekIndex],71),IF((('T_SelfStock'!BT27&lt;&gt;""))*(('T_TTAFStock'!BT27&lt;&gt;""))&gt;0,'T_SelfStock'!BT27+'T_TTAFStock'!BT27,BS23+'Grid_Incoming'!BT23-'Grid_Requirement'!BT23))</f>
        <v/>
      </c>
      <c r="BU23">
        <f>IF(COUNTIFS(T_StockCount[Part Name],$A23,T_StockCount[WeekIndex],72)&gt;0,SUMIFS(T_StockCount[CountedQty],T_StockCount[Part Name],$A23,T_StockCount[WeekIndex],72),IF((('T_SelfStock'!BU27&lt;&gt;""))*(('T_TTAFStock'!BU27&lt;&gt;""))&gt;0,'T_SelfStock'!BU27+'T_TTAFStock'!BU27,BT23+'Grid_Incoming'!BU23-'Grid_Requirement'!BU23))</f>
        <v/>
      </c>
      <c r="BV23">
        <f>IF(COUNTIFS(T_StockCount[Part Name],$A23,T_StockCount[WeekIndex],73)&gt;0,SUMIFS(T_StockCount[CountedQty],T_StockCount[Part Name],$A23,T_StockCount[WeekIndex],73),IF((('T_SelfStock'!BV27&lt;&gt;""))*(('T_TTAFStock'!BV27&lt;&gt;""))&gt;0,'T_SelfStock'!BV27+'T_TTAFStock'!BV27,BU23+'Grid_Incoming'!BV23-'Grid_Requirement'!BV23))</f>
        <v/>
      </c>
      <c r="BW23">
        <f>IF(COUNTIFS(T_StockCount[Part Name],$A23,T_StockCount[WeekIndex],74)&gt;0,SUMIFS(T_StockCount[CountedQty],T_StockCount[Part Name],$A23,T_StockCount[WeekIndex],74),IF((('T_SelfStock'!BW27&lt;&gt;""))*(('T_TTAFStock'!BW27&lt;&gt;""))&gt;0,'T_SelfStock'!BW27+'T_TTAFStock'!BW27,BV23+'Grid_Incoming'!BW23-'Grid_Requirement'!BW23))</f>
        <v/>
      </c>
      <c r="BX23">
        <f>IF(COUNTIFS(T_StockCount[Part Name],$A23,T_StockCount[WeekIndex],75)&gt;0,SUMIFS(T_StockCount[CountedQty],T_StockCount[Part Name],$A23,T_StockCount[WeekIndex],75),IF((('T_SelfStock'!BX27&lt;&gt;""))*(('T_TTAFStock'!BX27&lt;&gt;""))&gt;0,'T_SelfStock'!BX27+'T_TTAFStock'!BX27,BW23+'Grid_Incoming'!BX23-'Grid_Requirement'!BX23))</f>
        <v/>
      </c>
      <c r="BY23">
        <f>IF(COUNTIFS(T_StockCount[Part Name],$A23,T_StockCount[WeekIndex],76)&gt;0,SUMIFS(T_StockCount[CountedQty],T_StockCount[Part Name],$A23,T_StockCount[WeekIndex],76),IF((('T_SelfStock'!BY27&lt;&gt;""))*(('T_TTAFStock'!BY27&lt;&gt;""))&gt;0,'T_SelfStock'!BY27+'T_TTAFStock'!BY27,BX23+'Grid_Incoming'!BY23-'Grid_Requirement'!BY23))</f>
        <v/>
      </c>
      <c r="BZ23">
        <f>IF(COUNTIFS(T_StockCount[Part Name],$A23,T_StockCount[WeekIndex],77)&gt;0,SUMIFS(T_StockCount[CountedQty],T_StockCount[Part Name],$A23,T_StockCount[WeekIndex],77),IF((('T_SelfStock'!BZ27&lt;&gt;""))*(('T_TTAFStock'!BZ27&lt;&gt;""))&gt;0,'T_SelfStock'!BZ27+'T_TTAFStock'!BZ27,BY23+'Grid_Incoming'!BZ23-'Grid_Requirement'!BZ23))</f>
        <v/>
      </c>
      <c r="CA23">
        <f>IF(COUNTIFS(T_StockCount[Part Name],$A23,T_StockCount[WeekIndex],78)&gt;0,SUMIFS(T_StockCount[CountedQty],T_StockCount[Part Name],$A23,T_StockCount[WeekIndex],78),IF((('T_SelfStock'!CA27&lt;&gt;""))*(('T_TTAFStock'!CA27&lt;&gt;""))&gt;0,'T_SelfStock'!CA27+'T_TTAFStock'!CA27,BZ23+'Grid_Incoming'!CA23-'Grid_Requirement'!CA23))</f>
        <v/>
      </c>
      <c r="CB23">
        <f>IF(COUNTIFS(T_StockCount[Part Name],$A23,T_StockCount[WeekIndex],79)&gt;0,SUMIFS(T_StockCount[CountedQty],T_StockCount[Part Name],$A23,T_StockCount[WeekIndex],79),IF((('T_SelfStock'!CB27&lt;&gt;""))*(('T_TTAFStock'!CB27&lt;&gt;""))&gt;0,'T_SelfStock'!CB27+'T_TTAFStock'!CB27,CA23+'Grid_Incoming'!CB23-'Grid_Requirement'!CB23))</f>
        <v/>
      </c>
      <c r="CC23">
        <f>IF(COUNTIFS(T_StockCount[Part Name],$A23,T_StockCount[WeekIndex],80)&gt;0,SUMIFS(T_StockCount[CountedQty],T_StockCount[Part Name],$A23,T_StockCount[WeekIndex],80),IF((('T_SelfStock'!CC27&lt;&gt;""))*(('T_TTAFStock'!CC27&lt;&gt;""))&gt;0,'T_SelfStock'!CC27+'T_TTAFStock'!CC27,CB23+'Grid_Incoming'!CC23-'Grid_Requirement'!CC23))</f>
        <v/>
      </c>
      <c r="CD23">
        <f>IF(COUNTIFS(T_StockCount[Part Name],$A23,T_StockCount[WeekIndex],81)&gt;0,SUMIFS(T_StockCount[CountedQty],T_StockCount[Part Name],$A23,T_StockCount[WeekIndex],81),IF((('T_SelfStock'!CD27&lt;&gt;""))*(('T_TTAFStock'!CD27&lt;&gt;""))&gt;0,'T_SelfStock'!CD27+'T_TTAFStock'!CD27,CC23+'Grid_Incoming'!CD23-'Grid_Requirement'!CD23))</f>
        <v/>
      </c>
      <c r="CE23">
        <f>IF(COUNTIFS(T_StockCount[Part Name],$A23,T_StockCount[WeekIndex],82)&gt;0,SUMIFS(T_StockCount[CountedQty],T_StockCount[Part Name],$A23,T_StockCount[WeekIndex],82),IF((('T_SelfStock'!CE27&lt;&gt;""))*(('T_TTAFStock'!CE27&lt;&gt;""))&gt;0,'T_SelfStock'!CE27+'T_TTAFStock'!CE27,CD23+'Grid_Incoming'!CE23-'Grid_Requirement'!CE23))</f>
        <v/>
      </c>
      <c r="CF23">
        <f>IF(COUNTIFS(T_StockCount[Part Name],$A23,T_StockCount[WeekIndex],83)&gt;0,SUMIFS(T_StockCount[CountedQty],T_StockCount[Part Name],$A23,T_StockCount[WeekIndex],83),IF((('T_SelfStock'!CF27&lt;&gt;""))*(('T_TTAFStock'!CF27&lt;&gt;""))&gt;0,'T_SelfStock'!CF27+'T_TTAFStock'!CF27,CE23+'Grid_Incoming'!CF23-'Grid_Requirement'!CF23))</f>
        <v/>
      </c>
      <c r="CG23">
        <f>IF(COUNTIFS(T_StockCount[Part Name],$A23,T_StockCount[WeekIndex],84)&gt;0,SUMIFS(T_StockCount[CountedQty],T_StockCount[Part Name],$A23,T_StockCount[WeekIndex],84),IF((('T_SelfStock'!CG27&lt;&gt;""))*(('T_TTAFStock'!CG27&lt;&gt;""))&gt;0,'T_SelfStock'!CG27+'T_TTAFStock'!CG27,CF23+'Grid_Incoming'!CG23-'Grid_Requirement'!CG23))</f>
        <v/>
      </c>
      <c r="CH23">
        <f>IF(COUNTIFS(T_StockCount[Part Name],$A23,T_StockCount[WeekIndex],85)&gt;0,SUMIFS(T_StockCount[CountedQty],T_StockCount[Part Name],$A23,T_StockCount[WeekIndex],85),IF((('T_SelfStock'!CH27&lt;&gt;""))*(('T_TTAFStock'!CH27&lt;&gt;""))&gt;0,'T_SelfStock'!CH27+'T_TTAFStock'!CH27,CG23+'Grid_Incoming'!CH23-'Grid_Requirement'!CH23))</f>
        <v/>
      </c>
      <c r="CI23">
        <f>IF(COUNTIFS(T_StockCount[Part Name],$A23,T_StockCount[WeekIndex],86)&gt;0,SUMIFS(T_StockCount[CountedQty],T_StockCount[Part Name],$A23,T_StockCount[WeekIndex],86),IF((('T_SelfStock'!CI27&lt;&gt;""))*(('T_TTAFStock'!CI27&lt;&gt;""))&gt;0,'T_SelfStock'!CI27+'T_TTAFStock'!CI27,CH23+'Grid_Incoming'!CI23-'Grid_Requirement'!CI23))</f>
        <v/>
      </c>
      <c r="CJ23">
        <f>IF(COUNTIFS(T_StockCount[Part Name],$A23,T_StockCount[WeekIndex],87)&gt;0,SUMIFS(T_StockCount[CountedQty],T_StockCount[Part Name],$A23,T_StockCount[WeekIndex],87),IF((('T_SelfStock'!CJ27&lt;&gt;""))*(('T_TTAFStock'!CJ27&lt;&gt;""))&gt;0,'T_SelfStock'!CJ27+'T_TTAFStock'!CJ27,CI23+'Grid_Incoming'!CJ23-'Grid_Requirement'!CJ23))</f>
        <v/>
      </c>
      <c r="CK23">
        <f>IF(COUNTIFS(T_StockCount[Part Name],$A23,T_StockCount[WeekIndex],88)&gt;0,SUMIFS(T_StockCount[CountedQty],T_StockCount[Part Name],$A23,T_StockCount[WeekIndex],88),IF((('T_SelfStock'!CK27&lt;&gt;""))*(('T_TTAFStock'!CK27&lt;&gt;""))&gt;0,'T_SelfStock'!CK27+'T_TTAFStock'!CK27,CJ23+'Grid_Incoming'!CK23-'Grid_Requirement'!CK23))</f>
        <v/>
      </c>
      <c r="CL23">
        <f>IF(COUNTIFS(T_StockCount[Part Name],$A23,T_StockCount[WeekIndex],89)&gt;0,SUMIFS(T_StockCount[CountedQty],T_StockCount[Part Name],$A23,T_StockCount[WeekIndex],89),IF((('T_SelfStock'!CL27&lt;&gt;""))*(('T_TTAFStock'!CL27&lt;&gt;""))&gt;0,'T_SelfStock'!CL27+'T_TTAFStock'!CL27,CK23+'Grid_Incoming'!CL23-'Grid_Requirement'!CL23))</f>
        <v/>
      </c>
      <c r="CM23">
        <f>IF(COUNTIFS(T_StockCount[Part Name],$A23,T_StockCount[WeekIndex],90)&gt;0,SUMIFS(T_StockCount[CountedQty],T_StockCount[Part Name],$A23,T_StockCount[WeekIndex],90),IF((('T_SelfStock'!CM27&lt;&gt;""))*(('T_TTAFStock'!CM27&lt;&gt;""))&gt;0,'T_SelfStock'!CM27+'T_TTAFStock'!CM27,CL23+'Grid_Incoming'!CM23-'Grid_Requirement'!CM23))</f>
        <v/>
      </c>
      <c r="CN23">
        <f>IF(COUNTIFS(T_StockCount[Part Name],$A23,T_StockCount[WeekIndex],91)&gt;0,SUMIFS(T_StockCount[CountedQty],T_StockCount[Part Name],$A23,T_StockCount[WeekIndex],91),IF((('T_SelfStock'!CN27&lt;&gt;""))*(('T_TTAFStock'!CN27&lt;&gt;""))&gt;0,'T_SelfStock'!CN27+'T_TTAFStock'!CN27,CM23+'Grid_Incoming'!CN23-'Grid_Requirement'!CN23))</f>
        <v/>
      </c>
      <c r="CO23">
        <f>IF(COUNTIFS(T_StockCount[Part Name],$A23,T_StockCount[WeekIndex],92)&gt;0,SUMIFS(T_StockCount[CountedQty],T_StockCount[Part Name],$A23,T_StockCount[WeekIndex],92),IF((('T_SelfStock'!CO27&lt;&gt;""))*(('T_TTAFStock'!CO27&lt;&gt;""))&gt;0,'T_SelfStock'!CO27+'T_TTAFStock'!CO27,CN23+'Grid_Incoming'!CO23-'Grid_Requirement'!CO23))</f>
        <v/>
      </c>
      <c r="CP23">
        <f>IF(COUNTIFS(T_StockCount[Part Name],$A23,T_StockCount[WeekIndex],93)&gt;0,SUMIFS(T_StockCount[CountedQty],T_StockCount[Part Name],$A23,T_StockCount[WeekIndex],93),IF((('T_SelfStock'!CP27&lt;&gt;""))*(('T_TTAFStock'!CP27&lt;&gt;""))&gt;0,'T_SelfStock'!CP27+'T_TTAFStock'!CP27,CO23+'Grid_Incoming'!CP23-'Grid_Requirement'!CP23))</f>
        <v/>
      </c>
      <c r="CQ23">
        <f>IF(COUNTIFS(T_StockCount[Part Name],$A23,T_StockCount[WeekIndex],94)&gt;0,SUMIFS(T_StockCount[CountedQty],T_StockCount[Part Name],$A23,T_StockCount[WeekIndex],94),IF((('T_SelfStock'!CQ27&lt;&gt;""))*(('T_TTAFStock'!CQ27&lt;&gt;""))&gt;0,'T_SelfStock'!CQ27+'T_TTAFStock'!CQ27,CP23+'Grid_Incoming'!CQ23-'Grid_Requirement'!CQ23))</f>
        <v/>
      </c>
      <c r="CR23">
        <f>IF(COUNTIFS(T_StockCount[Part Name],$A23,T_StockCount[WeekIndex],95)&gt;0,SUMIFS(T_StockCount[CountedQty],T_StockCount[Part Name],$A23,T_StockCount[WeekIndex],95),IF((('T_SelfStock'!CR27&lt;&gt;""))*(('T_TTAFStock'!CR27&lt;&gt;""))&gt;0,'T_SelfStock'!CR27+'T_TTAFStock'!CR27,CQ23+'Grid_Incoming'!CR23-'Grid_Requirement'!CR23))</f>
        <v/>
      </c>
      <c r="CS23">
        <f>IF(COUNTIFS(T_StockCount[Part Name],$A23,T_StockCount[WeekIndex],96)&gt;0,SUMIFS(T_StockCount[CountedQty],T_StockCount[Part Name],$A23,T_StockCount[WeekIndex],96),IF((('T_SelfStock'!CS27&lt;&gt;""))*(('T_TTAFStock'!CS27&lt;&gt;""))&gt;0,'T_SelfStock'!CS27+'T_TTAFStock'!CS27,CR23+'Grid_Incoming'!CS23-'Grid_Requirement'!CS23))</f>
        <v/>
      </c>
      <c r="CT23">
        <f>IF(COUNTIFS(T_StockCount[Part Name],$A23,T_StockCount[WeekIndex],97)&gt;0,SUMIFS(T_StockCount[CountedQty],T_StockCount[Part Name],$A23,T_StockCount[WeekIndex],97),IF((('T_SelfStock'!CT27&lt;&gt;""))*(('T_TTAFStock'!CT27&lt;&gt;""))&gt;0,'T_SelfStock'!CT27+'T_TTAFStock'!CT27,CS23+'Grid_Incoming'!CT23-'Grid_Requirement'!CT23))</f>
        <v/>
      </c>
      <c r="CU23">
        <f>IF(COUNTIFS(T_StockCount[Part Name],$A23,T_StockCount[WeekIndex],98)&gt;0,SUMIFS(T_StockCount[CountedQty],T_StockCount[Part Name],$A23,T_StockCount[WeekIndex],98),IF((('T_SelfStock'!CU27&lt;&gt;""))*(('T_TTAFStock'!CU27&lt;&gt;""))&gt;0,'T_SelfStock'!CU27+'T_TTAFStock'!CU27,CT23+'Grid_Incoming'!CU23-'Grid_Requirement'!CU23))</f>
        <v/>
      </c>
      <c r="CV23">
        <f>IF(COUNTIFS(T_StockCount[Part Name],$A23,T_StockCount[WeekIndex],99)&gt;0,SUMIFS(T_StockCount[CountedQty],T_StockCount[Part Name],$A23,T_StockCount[WeekIndex],99),IF((('T_SelfStock'!CV27&lt;&gt;""))*(('T_TTAFStock'!CV27&lt;&gt;""))&gt;0,'T_SelfStock'!CV27+'T_TTAFStock'!CV27,CU23+'Grid_Incoming'!CV23-'Grid_Requirement'!CV23))</f>
        <v/>
      </c>
      <c r="CW23">
        <f>IF(COUNTIFS(T_StockCount[Part Name],$A23,T_StockCount[WeekIndex],100)&gt;0,SUMIFS(T_StockCount[CountedQty],T_StockCount[Part Name],$A23,T_StockCount[WeekIndex],100),IF((('T_SelfStock'!CW27&lt;&gt;""))*(('T_TTAFStock'!CW27&lt;&gt;""))&gt;0,'T_SelfStock'!CW27+'T_TTAFStock'!CW27,CV23+'Grid_Incoming'!CW23-'Grid_Requirement'!CW23))</f>
        <v/>
      </c>
      <c r="CX23">
        <f>IF(COUNTIFS(T_StockCount[Part Name],$A23,T_StockCount[WeekIndex],101)&gt;0,SUMIFS(T_StockCount[CountedQty],T_StockCount[Part Name],$A23,T_StockCount[WeekIndex],101),IF((('T_SelfStock'!CX27&lt;&gt;""))*(('T_TTAFStock'!CX27&lt;&gt;""))&gt;0,'T_SelfStock'!CX27+'T_TTAFStock'!CX27,CW23+'Grid_Incoming'!CX23-'Grid_Requirement'!CX23))</f>
        <v/>
      </c>
      <c r="CY23">
        <f>IF(COUNTIFS(T_StockCount[Part Name],$A23,T_StockCount[WeekIndex],102)&gt;0,SUMIFS(T_StockCount[CountedQty],T_StockCount[Part Name],$A23,T_StockCount[WeekIndex],102),IF((('T_SelfStock'!CY27&lt;&gt;""))*(('T_TTAFStock'!CY27&lt;&gt;""))&gt;0,'T_SelfStock'!CY27+'T_TTAFStock'!CY27,CX23+'Grid_Incoming'!CY23-'Grid_Requirement'!CY23))</f>
        <v/>
      </c>
      <c r="CZ23">
        <f>IF(COUNTIFS(T_StockCount[Part Name],$A23,T_StockCount[WeekIndex],103)&gt;0,SUMIFS(T_StockCount[CountedQty],T_StockCount[Part Name],$A23,T_StockCount[WeekIndex],103),IF((('T_SelfStock'!CZ27&lt;&gt;""))*(('T_TTAFStock'!CZ27&lt;&gt;""))&gt;0,'T_SelfStock'!CZ27+'T_TTAFStock'!CZ27,CY23+'Grid_Incoming'!CZ23-'Grid_Requirement'!CZ23))</f>
        <v/>
      </c>
      <c r="DA23">
        <f>IF(COUNTIFS(T_StockCount[Part Name],$A23,T_StockCount[WeekIndex],104)&gt;0,SUMIFS(T_StockCount[CountedQty],T_StockCount[Part Name],$A23,T_StockCount[WeekIndex],104),IF((('T_SelfStock'!DA27&lt;&gt;""))*(('T_TTAFStock'!DA27&lt;&gt;""))&gt;0,'T_SelfStock'!DA27+'T_TTAFStock'!DA27,CZ23+'Grid_Incoming'!DA23-'Grid_Requirement'!DA23))</f>
        <v/>
      </c>
    </row>
    <row r="24">
      <c r="A24" t="inlineStr">
        <is>
          <t>CHEM-1240</t>
        </is>
      </c>
      <c r="B24">
        <f>IF(COUNTIFS(T_StockCount[Part Name],$A24,T_StockCount[WeekIndex],1)&gt;0,SUMIFS(T_StockCount[CountedQty],T_StockCount[Part Name],$A24,T_StockCount[WeekIndex],1),IF((('T_SelfStock'!B28&lt;&gt;""))*(('T_TTAFStock'!B28&lt;&gt;""))&gt;0,'T_SelfStock'!B28+'T_TTAFStock'!B28,IFERROR(INDEX(T_OpeningStock[Opening_Qty_要入力],MATCH($A24,T_OpeningStock[Part Name],0)),0)+'Grid_Incoming'!B24-'Grid_Requirement'!B24))</f>
        <v/>
      </c>
      <c r="C24">
        <f>IF(COUNTIFS(T_StockCount[Part Name],$A24,T_StockCount[WeekIndex],2)&gt;0,SUMIFS(T_StockCount[CountedQty],T_StockCount[Part Name],$A24,T_StockCount[WeekIndex],2),IF((('T_SelfStock'!C28&lt;&gt;""))*(('T_TTAFStock'!C28&lt;&gt;""))&gt;0,'T_SelfStock'!C28+'T_TTAFStock'!C28,B24+'Grid_Incoming'!C24-'Grid_Requirement'!C24))</f>
        <v/>
      </c>
      <c r="D24">
        <f>IF(COUNTIFS(T_StockCount[Part Name],$A24,T_StockCount[WeekIndex],3)&gt;0,SUMIFS(T_StockCount[CountedQty],T_StockCount[Part Name],$A24,T_StockCount[WeekIndex],3),IF((('T_SelfStock'!D28&lt;&gt;""))*(('T_TTAFStock'!D28&lt;&gt;""))&gt;0,'T_SelfStock'!D28+'T_TTAFStock'!D28,C24+'Grid_Incoming'!D24-'Grid_Requirement'!D24))</f>
        <v/>
      </c>
      <c r="E24">
        <f>IF(COUNTIFS(T_StockCount[Part Name],$A24,T_StockCount[WeekIndex],4)&gt;0,SUMIFS(T_StockCount[CountedQty],T_StockCount[Part Name],$A24,T_StockCount[WeekIndex],4),IF((('T_SelfStock'!E28&lt;&gt;""))*(('T_TTAFStock'!E28&lt;&gt;""))&gt;0,'T_SelfStock'!E28+'T_TTAFStock'!E28,D24+'Grid_Incoming'!E24-'Grid_Requirement'!E24))</f>
        <v/>
      </c>
      <c r="F24">
        <f>IF(COUNTIFS(T_StockCount[Part Name],$A24,T_StockCount[WeekIndex],5)&gt;0,SUMIFS(T_StockCount[CountedQty],T_StockCount[Part Name],$A24,T_StockCount[WeekIndex],5),IF((('T_SelfStock'!F28&lt;&gt;""))*(('T_TTAFStock'!F28&lt;&gt;""))&gt;0,'T_SelfStock'!F28+'T_TTAFStock'!F28,E24+'Grid_Incoming'!F24-'Grid_Requirement'!F24))</f>
        <v/>
      </c>
      <c r="G24">
        <f>IF(COUNTIFS(T_StockCount[Part Name],$A24,T_StockCount[WeekIndex],6)&gt;0,SUMIFS(T_StockCount[CountedQty],T_StockCount[Part Name],$A24,T_StockCount[WeekIndex],6),IF((('T_SelfStock'!G28&lt;&gt;""))*(('T_TTAFStock'!G28&lt;&gt;""))&gt;0,'T_SelfStock'!G28+'T_TTAFStock'!G28,F24+'Grid_Incoming'!G24-'Grid_Requirement'!G24))</f>
        <v/>
      </c>
      <c r="H24">
        <f>IF(COUNTIFS(T_StockCount[Part Name],$A24,T_StockCount[WeekIndex],7)&gt;0,SUMIFS(T_StockCount[CountedQty],T_StockCount[Part Name],$A24,T_StockCount[WeekIndex],7),IF((('T_SelfStock'!H28&lt;&gt;""))*(('T_TTAFStock'!H28&lt;&gt;""))&gt;0,'T_SelfStock'!H28+'T_TTAFStock'!H28,G24+'Grid_Incoming'!H24-'Grid_Requirement'!H24))</f>
        <v/>
      </c>
      <c r="I24">
        <f>IF(COUNTIFS(T_StockCount[Part Name],$A24,T_StockCount[WeekIndex],8)&gt;0,SUMIFS(T_StockCount[CountedQty],T_StockCount[Part Name],$A24,T_StockCount[WeekIndex],8),IF((('T_SelfStock'!I28&lt;&gt;""))*(('T_TTAFStock'!I28&lt;&gt;""))&gt;0,'T_SelfStock'!I28+'T_TTAFStock'!I28,H24+'Grid_Incoming'!I24-'Grid_Requirement'!I24))</f>
        <v/>
      </c>
      <c r="J24">
        <f>IF(COUNTIFS(T_StockCount[Part Name],$A24,T_StockCount[WeekIndex],9)&gt;0,SUMIFS(T_StockCount[CountedQty],T_StockCount[Part Name],$A24,T_StockCount[WeekIndex],9),IF((('T_SelfStock'!J28&lt;&gt;""))*(('T_TTAFStock'!J28&lt;&gt;""))&gt;0,'T_SelfStock'!J28+'T_TTAFStock'!J28,I24+'Grid_Incoming'!J24-'Grid_Requirement'!J24))</f>
        <v/>
      </c>
      <c r="K24">
        <f>IF(COUNTIFS(T_StockCount[Part Name],$A24,T_StockCount[WeekIndex],10)&gt;0,SUMIFS(T_StockCount[CountedQty],T_StockCount[Part Name],$A24,T_StockCount[WeekIndex],10),IF((('T_SelfStock'!K28&lt;&gt;""))*(('T_TTAFStock'!K28&lt;&gt;""))&gt;0,'T_SelfStock'!K28+'T_TTAFStock'!K28,J24+'Grid_Incoming'!K24-'Grid_Requirement'!K24))</f>
        <v/>
      </c>
      <c r="L24">
        <f>IF(COUNTIFS(T_StockCount[Part Name],$A24,T_StockCount[WeekIndex],11)&gt;0,SUMIFS(T_StockCount[CountedQty],T_StockCount[Part Name],$A24,T_StockCount[WeekIndex],11),IF((('T_SelfStock'!L28&lt;&gt;""))*(('T_TTAFStock'!L28&lt;&gt;""))&gt;0,'T_SelfStock'!L28+'T_TTAFStock'!L28,K24+'Grid_Incoming'!L24-'Grid_Requirement'!L24))</f>
        <v/>
      </c>
      <c r="M24">
        <f>IF(COUNTIFS(T_StockCount[Part Name],$A24,T_StockCount[WeekIndex],12)&gt;0,SUMIFS(T_StockCount[CountedQty],T_StockCount[Part Name],$A24,T_StockCount[WeekIndex],12),IF((('T_SelfStock'!M28&lt;&gt;""))*(('T_TTAFStock'!M28&lt;&gt;""))&gt;0,'T_SelfStock'!M28+'T_TTAFStock'!M28,L24+'Grid_Incoming'!M24-'Grid_Requirement'!M24))</f>
        <v/>
      </c>
      <c r="N24">
        <f>IF(COUNTIFS(T_StockCount[Part Name],$A24,T_StockCount[WeekIndex],13)&gt;0,SUMIFS(T_StockCount[CountedQty],T_StockCount[Part Name],$A24,T_StockCount[WeekIndex],13),IF((('T_SelfStock'!N28&lt;&gt;""))*(('T_TTAFStock'!N28&lt;&gt;""))&gt;0,'T_SelfStock'!N28+'T_TTAFStock'!N28,M24+'Grid_Incoming'!N24-'Grid_Requirement'!N24))</f>
        <v/>
      </c>
      <c r="O24">
        <f>IF(COUNTIFS(T_StockCount[Part Name],$A24,T_StockCount[WeekIndex],14)&gt;0,SUMIFS(T_StockCount[CountedQty],T_StockCount[Part Name],$A24,T_StockCount[WeekIndex],14),IF((('T_SelfStock'!O28&lt;&gt;""))*(('T_TTAFStock'!O28&lt;&gt;""))&gt;0,'T_SelfStock'!O28+'T_TTAFStock'!O28,N24+'Grid_Incoming'!O24-'Grid_Requirement'!O24))</f>
        <v/>
      </c>
      <c r="P24">
        <f>IF(COUNTIFS(T_StockCount[Part Name],$A24,T_StockCount[WeekIndex],15)&gt;0,SUMIFS(T_StockCount[CountedQty],T_StockCount[Part Name],$A24,T_StockCount[WeekIndex],15),IF((('T_SelfStock'!P28&lt;&gt;""))*(('T_TTAFStock'!P28&lt;&gt;""))&gt;0,'T_SelfStock'!P28+'T_TTAFStock'!P28,O24+'Grid_Incoming'!P24-'Grid_Requirement'!P24))</f>
        <v/>
      </c>
      <c r="Q24">
        <f>IF(COUNTIFS(T_StockCount[Part Name],$A24,T_StockCount[WeekIndex],16)&gt;0,SUMIFS(T_StockCount[CountedQty],T_StockCount[Part Name],$A24,T_StockCount[WeekIndex],16),IF((('T_SelfStock'!Q28&lt;&gt;""))*(('T_TTAFStock'!Q28&lt;&gt;""))&gt;0,'T_SelfStock'!Q28+'T_TTAFStock'!Q28,P24+'Grid_Incoming'!Q24-'Grid_Requirement'!Q24))</f>
        <v/>
      </c>
      <c r="R24">
        <f>IF(COUNTIFS(T_StockCount[Part Name],$A24,T_StockCount[WeekIndex],17)&gt;0,SUMIFS(T_StockCount[CountedQty],T_StockCount[Part Name],$A24,T_StockCount[WeekIndex],17),IF((('T_SelfStock'!R28&lt;&gt;""))*(('T_TTAFStock'!R28&lt;&gt;""))&gt;0,'T_SelfStock'!R28+'T_TTAFStock'!R28,Q24+'Grid_Incoming'!R24-'Grid_Requirement'!R24))</f>
        <v/>
      </c>
      <c r="S24">
        <f>IF(COUNTIFS(T_StockCount[Part Name],$A24,T_StockCount[WeekIndex],18)&gt;0,SUMIFS(T_StockCount[CountedQty],T_StockCount[Part Name],$A24,T_StockCount[WeekIndex],18),IF((('T_SelfStock'!S28&lt;&gt;""))*(('T_TTAFStock'!S28&lt;&gt;""))&gt;0,'T_SelfStock'!S28+'T_TTAFStock'!S28,R24+'Grid_Incoming'!S24-'Grid_Requirement'!S24))</f>
        <v/>
      </c>
      <c r="T24">
        <f>IF(COUNTIFS(T_StockCount[Part Name],$A24,T_StockCount[WeekIndex],19)&gt;0,SUMIFS(T_StockCount[CountedQty],T_StockCount[Part Name],$A24,T_StockCount[WeekIndex],19),IF((('T_SelfStock'!T28&lt;&gt;""))*(('T_TTAFStock'!T28&lt;&gt;""))&gt;0,'T_SelfStock'!T28+'T_TTAFStock'!T28,S24+'Grid_Incoming'!T24-'Grid_Requirement'!T24))</f>
        <v/>
      </c>
      <c r="U24">
        <f>IF(COUNTIFS(T_StockCount[Part Name],$A24,T_StockCount[WeekIndex],20)&gt;0,SUMIFS(T_StockCount[CountedQty],T_StockCount[Part Name],$A24,T_StockCount[WeekIndex],20),IF((('T_SelfStock'!U28&lt;&gt;""))*(('T_TTAFStock'!U28&lt;&gt;""))&gt;0,'T_SelfStock'!U28+'T_TTAFStock'!U28,T24+'Grid_Incoming'!U24-'Grid_Requirement'!U24))</f>
        <v/>
      </c>
      <c r="V24">
        <f>IF(COUNTIFS(T_StockCount[Part Name],$A24,T_StockCount[WeekIndex],21)&gt;0,SUMIFS(T_StockCount[CountedQty],T_StockCount[Part Name],$A24,T_StockCount[WeekIndex],21),IF((('T_SelfStock'!V28&lt;&gt;""))*(('T_TTAFStock'!V28&lt;&gt;""))&gt;0,'T_SelfStock'!V28+'T_TTAFStock'!V28,U24+'Grid_Incoming'!V24-'Grid_Requirement'!V24))</f>
        <v/>
      </c>
      <c r="W24">
        <f>IF(COUNTIFS(T_StockCount[Part Name],$A24,T_StockCount[WeekIndex],22)&gt;0,SUMIFS(T_StockCount[CountedQty],T_StockCount[Part Name],$A24,T_StockCount[WeekIndex],22),IF((('T_SelfStock'!W28&lt;&gt;""))*(('T_TTAFStock'!W28&lt;&gt;""))&gt;0,'T_SelfStock'!W28+'T_TTAFStock'!W28,V24+'Grid_Incoming'!W24-'Grid_Requirement'!W24))</f>
        <v/>
      </c>
      <c r="X24">
        <f>IF(COUNTIFS(T_StockCount[Part Name],$A24,T_StockCount[WeekIndex],23)&gt;0,SUMIFS(T_StockCount[CountedQty],T_StockCount[Part Name],$A24,T_StockCount[WeekIndex],23),IF((('T_SelfStock'!X28&lt;&gt;""))*(('T_TTAFStock'!X28&lt;&gt;""))&gt;0,'T_SelfStock'!X28+'T_TTAFStock'!X28,W24+'Grid_Incoming'!X24-'Grid_Requirement'!X24))</f>
        <v/>
      </c>
      <c r="Y24">
        <f>IF(COUNTIFS(T_StockCount[Part Name],$A24,T_StockCount[WeekIndex],24)&gt;0,SUMIFS(T_StockCount[CountedQty],T_StockCount[Part Name],$A24,T_StockCount[WeekIndex],24),IF((('T_SelfStock'!Y28&lt;&gt;""))*(('T_TTAFStock'!Y28&lt;&gt;""))&gt;0,'T_SelfStock'!Y28+'T_TTAFStock'!Y28,X24+'Grid_Incoming'!Y24-'Grid_Requirement'!Y24))</f>
        <v/>
      </c>
      <c r="Z24">
        <f>IF(COUNTIFS(T_StockCount[Part Name],$A24,T_StockCount[WeekIndex],25)&gt;0,SUMIFS(T_StockCount[CountedQty],T_StockCount[Part Name],$A24,T_StockCount[WeekIndex],25),IF((('T_SelfStock'!Z28&lt;&gt;""))*(('T_TTAFStock'!Z28&lt;&gt;""))&gt;0,'T_SelfStock'!Z28+'T_TTAFStock'!Z28,Y24+'Grid_Incoming'!Z24-'Grid_Requirement'!Z24))</f>
        <v/>
      </c>
      <c r="AA24">
        <f>IF(COUNTIFS(T_StockCount[Part Name],$A24,T_StockCount[WeekIndex],26)&gt;0,SUMIFS(T_StockCount[CountedQty],T_StockCount[Part Name],$A24,T_StockCount[WeekIndex],26),IF((('T_SelfStock'!AA28&lt;&gt;""))*(('T_TTAFStock'!AA28&lt;&gt;""))&gt;0,'T_SelfStock'!AA28+'T_TTAFStock'!AA28,Z24+'Grid_Incoming'!AA24-'Grid_Requirement'!AA24))</f>
        <v/>
      </c>
      <c r="AB24">
        <f>IF(COUNTIFS(T_StockCount[Part Name],$A24,T_StockCount[WeekIndex],27)&gt;0,SUMIFS(T_StockCount[CountedQty],T_StockCount[Part Name],$A24,T_StockCount[WeekIndex],27),IF((('T_SelfStock'!AB28&lt;&gt;""))*(('T_TTAFStock'!AB28&lt;&gt;""))&gt;0,'T_SelfStock'!AB28+'T_TTAFStock'!AB28,AA24+'Grid_Incoming'!AB24-'Grid_Requirement'!AB24))</f>
        <v/>
      </c>
      <c r="AC24">
        <f>IF(COUNTIFS(T_StockCount[Part Name],$A24,T_StockCount[WeekIndex],28)&gt;0,SUMIFS(T_StockCount[CountedQty],T_StockCount[Part Name],$A24,T_StockCount[WeekIndex],28),IF((('T_SelfStock'!AC28&lt;&gt;""))*(('T_TTAFStock'!AC28&lt;&gt;""))&gt;0,'T_SelfStock'!AC28+'T_TTAFStock'!AC28,AB24+'Grid_Incoming'!AC24-'Grid_Requirement'!AC24))</f>
        <v/>
      </c>
      <c r="AD24">
        <f>IF(COUNTIFS(T_StockCount[Part Name],$A24,T_StockCount[WeekIndex],29)&gt;0,SUMIFS(T_StockCount[CountedQty],T_StockCount[Part Name],$A24,T_StockCount[WeekIndex],29),IF((('T_SelfStock'!AD28&lt;&gt;""))*(('T_TTAFStock'!AD28&lt;&gt;""))&gt;0,'T_SelfStock'!AD28+'T_TTAFStock'!AD28,AC24+'Grid_Incoming'!AD24-'Grid_Requirement'!AD24))</f>
        <v/>
      </c>
      <c r="AE24">
        <f>IF(COUNTIFS(T_StockCount[Part Name],$A24,T_StockCount[WeekIndex],30)&gt;0,SUMIFS(T_StockCount[CountedQty],T_StockCount[Part Name],$A24,T_StockCount[WeekIndex],30),IF((('T_SelfStock'!AE28&lt;&gt;""))*(('T_TTAFStock'!AE28&lt;&gt;""))&gt;0,'T_SelfStock'!AE28+'T_TTAFStock'!AE28,AD24+'Grid_Incoming'!AE24-'Grid_Requirement'!AE24))</f>
        <v/>
      </c>
      <c r="AF24">
        <f>IF(COUNTIFS(T_StockCount[Part Name],$A24,T_StockCount[WeekIndex],31)&gt;0,SUMIFS(T_StockCount[CountedQty],T_StockCount[Part Name],$A24,T_StockCount[WeekIndex],31),IF((('T_SelfStock'!AF28&lt;&gt;""))*(('T_TTAFStock'!AF28&lt;&gt;""))&gt;0,'T_SelfStock'!AF28+'T_TTAFStock'!AF28,AE24+'Grid_Incoming'!AF24-'Grid_Requirement'!AF24))</f>
        <v/>
      </c>
      <c r="AG24">
        <f>IF(COUNTIFS(T_StockCount[Part Name],$A24,T_StockCount[WeekIndex],32)&gt;0,SUMIFS(T_StockCount[CountedQty],T_StockCount[Part Name],$A24,T_StockCount[WeekIndex],32),IF((('T_SelfStock'!AG28&lt;&gt;""))*(('T_TTAFStock'!AG28&lt;&gt;""))&gt;0,'T_SelfStock'!AG28+'T_TTAFStock'!AG28,AF24+'Grid_Incoming'!AG24-'Grid_Requirement'!AG24))</f>
        <v/>
      </c>
      <c r="AH24">
        <f>IF(COUNTIFS(T_StockCount[Part Name],$A24,T_StockCount[WeekIndex],33)&gt;0,SUMIFS(T_StockCount[CountedQty],T_StockCount[Part Name],$A24,T_StockCount[WeekIndex],33),IF((('T_SelfStock'!AH28&lt;&gt;""))*(('T_TTAFStock'!AH28&lt;&gt;""))&gt;0,'T_SelfStock'!AH28+'T_TTAFStock'!AH28,AG24+'Grid_Incoming'!AH24-'Grid_Requirement'!AH24))</f>
        <v/>
      </c>
      <c r="AI24">
        <f>IF(COUNTIFS(T_StockCount[Part Name],$A24,T_StockCount[WeekIndex],34)&gt;0,SUMIFS(T_StockCount[CountedQty],T_StockCount[Part Name],$A24,T_StockCount[WeekIndex],34),IF((('T_SelfStock'!AI28&lt;&gt;""))*(('T_TTAFStock'!AI28&lt;&gt;""))&gt;0,'T_SelfStock'!AI28+'T_TTAFStock'!AI28,AH24+'Grid_Incoming'!AI24-'Grid_Requirement'!AI24))</f>
        <v/>
      </c>
      <c r="AJ24">
        <f>IF(COUNTIFS(T_StockCount[Part Name],$A24,T_StockCount[WeekIndex],35)&gt;0,SUMIFS(T_StockCount[CountedQty],T_StockCount[Part Name],$A24,T_StockCount[WeekIndex],35),IF((('T_SelfStock'!AJ28&lt;&gt;""))*(('T_TTAFStock'!AJ28&lt;&gt;""))&gt;0,'T_SelfStock'!AJ28+'T_TTAFStock'!AJ28,AI24+'Grid_Incoming'!AJ24-'Grid_Requirement'!AJ24))</f>
        <v/>
      </c>
      <c r="AK24">
        <f>IF(COUNTIFS(T_StockCount[Part Name],$A24,T_StockCount[WeekIndex],36)&gt;0,SUMIFS(T_StockCount[CountedQty],T_StockCount[Part Name],$A24,T_StockCount[WeekIndex],36),IF((('T_SelfStock'!AK28&lt;&gt;""))*(('T_TTAFStock'!AK28&lt;&gt;""))&gt;0,'T_SelfStock'!AK28+'T_TTAFStock'!AK28,AJ24+'Grid_Incoming'!AK24-'Grid_Requirement'!AK24))</f>
        <v/>
      </c>
      <c r="AL24">
        <f>IF(COUNTIFS(T_StockCount[Part Name],$A24,T_StockCount[WeekIndex],37)&gt;0,SUMIFS(T_StockCount[CountedQty],T_StockCount[Part Name],$A24,T_StockCount[WeekIndex],37),IF((('T_SelfStock'!AL28&lt;&gt;""))*(('T_TTAFStock'!AL28&lt;&gt;""))&gt;0,'T_SelfStock'!AL28+'T_TTAFStock'!AL28,AK24+'Grid_Incoming'!AL24-'Grid_Requirement'!AL24))</f>
        <v/>
      </c>
      <c r="AM24">
        <f>IF(COUNTIFS(T_StockCount[Part Name],$A24,T_StockCount[WeekIndex],38)&gt;0,SUMIFS(T_StockCount[CountedQty],T_StockCount[Part Name],$A24,T_StockCount[WeekIndex],38),IF((('T_SelfStock'!AM28&lt;&gt;""))*(('T_TTAFStock'!AM28&lt;&gt;""))&gt;0,'T_SelfStock'!AM28+'T_TTAFStock'!AM28,AL24+'Grid_Incoming'!AM24-'Grid_Requirement'!AM24))</f>
        <v/>
      </c>
      <c r="AN24">
        <f>IF(COUNTIFS(T_StockCount[Part Name],$A24,T_StockCount[WeekIndex],39)&gt;0,SUMIFS(T_StockCount[CountedQty],T_StockCount[Part Name],$A24,T_StockCount[WeekIndex],39),IF((('T_SelfStock'!AN28&lt;&gt;""))*(('T_TTAFStock'!AN28&lt;&gt;""))&gt;0,'T_SelfStock'!AN28+'T_TTAFStock'!AN28,AM24+'Grid_Incoming'!AN24-'Grid_Requirement'!AN24))</f>
        <v/>
      </c>
      <c r="AO24">
        <f>IF(COUNTIFS(T_StockCount[Part Name],$A24,T_StockCount[WeekIndex],40)&gt;0,SUMIFS(T_StockCount[CountedQty],T_StockCount[Part Name],$A24,T_StockCount[WeekIndex],40),IF((('T_SelfStock'!AO28&lt;&gt;""))*(('T_TTAFStock'!AO28&lt;&gt;""))&gt;0,'T_SelfStock'!AO28+'T_TTAFStock'!AO28,AN24+'Grid_Incoming'!AO24-'Grid_Requirement'!AO24))</f>
        <v/>
      </c>
      <c r="AP24">
        <f>IF(COUNTIFS(T_StockCount[Part Name],$A24,T_StockCount[WeekIndex],41)&gt;0,SUMIFS(T_StockCount[CountedQty],T_StockCount[Part Name],$A24,T_StockCount[WeekIndex],41),IF((('T_SelfStock'!AP28&lt;&gt;""))*(('T_TTAFStock'!AP28&lt;&gt;""))&gt;0,'T_SelfStock'!AP28+'T_TTAFStock'!AP28,AO24+'Grid_Incoming'!AP24-'Grid_Requirement'!AP24))</f>
        <v/>
      </c>
      <c r="AQ24">
        <f>IF(COUNTIFS(T_StockCount[Part Name],$A24,T_StockCount[WeekIndex],42)&gt;0,SUMIFS(T_StockCount[CountedQty],T_StockCount[Part Name],$A24,T_StockCount[WeekIndex],42),IF((('T_SelfStock'!AQ28&lt;&gt;""))*(('T_TTAFStock'!AQ28&lt;&gt;""))&gt;0,'T_SelfStock'!AQ28+'T_TTAFStock'!AQ28,AP24+'Grid_Incoming'!AQ24-'Grid_Requirement'!AQ24))</f>
        <v/>
      </c>
      <c r="AR24">
        <f>IF(COUNTIFS(T_StockCount[Part Name],$A24,T_StockCount[WeekIndex],43)&gt;0,SUMIFS(T_StockCount[CountedQty],T_StockCount[Part Name],$A24,T_StockCount[WeekIndex],43),IF((('T_SelfStock'!AR28&lt;&gt;""))*(('T_TTAFStock'!AR28&lt;&gt;""))&gt;0,'T_SelfStock'!AR28+'T_TTAFStock'!AR28,AQ24+'Grid_Incoming'!AR24-'Grid_Requirement'!AR24))</f>
        <v/>
      </c>
      <c r="AS24">
        <f>IF(COUNTIFS(T_StockCount[Part Name],$A24,T_StockCount[WeekIndex],44)&gt;0,SUMIFS(T_StockCount[CountedQty],T_StockCount[Part Name],$A24,T_StockCount[WeekIndex],44),IF((('T_SelfStock'!AS28&lt;&gt;""))*(('T_TTAFStock'!AS28&lt;&gt;""))&gt;0,'T_SelfStock'!AS28+'T_TTAFStock'!AS28,AR24+'Grid_Incoming'!AS24-'Grid_Requirement'!AS24))</f>
        <v/>
      </c>
      <c r="AT24">
        <f>IF(COUNTIFS(T_StockCount[Part Name],$A24,T_StockCount[WeekIndex],45)&gt;0,SUMIFS(T_StockCount[CountedQty],T_StockCount[Part Name],$A24,T_StockCount[WeekIndex],45),IF((('T_SelfStock'!AT28&lt;&gt;""))*(('T_TTAFStock'!AT28&lt;&gt;""))&gt;0,'T_SelfStock'!AT28+'T_TTAFStock'!AT28,AS24+'Grid_Incoming'!AT24-'Grid_Requirement'!AT24))</f>
        <v/>
      </c>
      <c r="AU24">
        <f>IF(COUNTIFS(T_StockCount[Part Name],$A24,T_StockCount[WeekIndex],46)&gt;0,SUMIFS(T_StockCount[CountedQty],T_StockCount[Part Name],$A24,T_StockCount[WeekIndex],46),IF((('T_SelfStock'!AU28&lt;&gt;""))*(('T_TTAFStock'!AU28&lt;&gt;""))&gt;0,'T_SelfStock'!AU28+'T_TTAFStock'!AU28,AT24+'Grid_Incoming'!AU24-'Grid_Requirement'!AU24))</f>
        <v/>
      </c>
      <c r="AV24">
        <f>IF(COUNTIFS(T_StockCount[Part Name],$A24,T_StockCount[WeekIndex],47)&gt;0,SUMIFS(T_StockCount[CountedQty],T_StockCount[Part Name],$A24,T_StockCount[WeekIndex],47),IF((('T_SelfStock'!AV28&lt;&gt;""))*(('T_TTAFStock'!AV28&lt;&gt;""))&gt;0,'T_SelfStock'!AV28+'T_TTAFStock'!AV28,AU24+'Grid_Incoming'!AV24-'Grid_Requirement'!AV24))</f>
        <v/>
      </c>
      <c r="AW24">
        <f>IF(COUNTIFS(T_StockCount[Part Name],$A24,T_StockCount[WeekIndex],48)&gt;0,SUMIFS(T_StockCount[CountedQty],T_StockCount[Part Name],$A24,T_StockCount[WeekIndex],48),IF((('T_SelfStock'!AW28&lt;&gt;""))*(('T_TTAFStock'!AW28&lt;&gt;""))&gt;0,'T_SelfStock'!AW28+'T_TTAFStock'!AW28,AV24+'Grid_Incoming'!AW24-'Grid_Requirement'!AW24))</f>
        <v/>
      </c>
      <c r="AX24">
        <f>IF(COUNTIFS(T_StockCount[Part Name],$A24,T_StockCount[WeekIndex],49)&gt;0,SUMIFS(T_StockCount[CountedQty],T_StockCount[Part Name],$A24,T_StockCount[WeekIndex],49),IF((('T_SelfStock'!AX28&lt;&gt;""))*(('T_TTAFStock'!AX28&lt;&gt;""))&gt;0,'T_SelfStock'!AX28+'T_TTAFStock'!AX28,AW24+'Grid_Incoming'!AX24-'Grid_Requirement'!AX24))</f>
        <v/>
      </c>
      <c r="AY24">
        <f>IF(COUNTIFS(T_StockCount[Part Name],$A24,T_StockCount[WeekIndex],50)&gt;0,SUMIFS(T_StockCount[CountedQty],T_StockCount[Part Name],$A24,T_StockCount[WeekIndex],50),IF((('T_SelfStock'!AY28&lt;&gt;""))*(('T_TTAFStock'!AY28&lt;&gt;""))&gt;0,'T_SelfStock'!AY28+'T_TTAFStock'!AY28,AX24+'Grid_Incoming'!AY24-'Grid_Requirement'!AY24))</f>
        <v/>
      </c>
      <c r="AZ24">
        <f>IF(COUNTIFS(T_StockCount[Part Name],$A24,T_StockCount[WeekIndex],51)&gt;0,SUMIFS(T_StockCount[CountedQty],T_StockCount[Part Name],$A24,T_StockCount[WeekIndex],51),IF((('T_SelfStock'!AZ28&lt;&gt;""))*(('T_TTAFStock'!AZ28&lt;&gt;""))&gt;0,'T_SelfStock'!AZ28+'T_TTAFStock'!AZ28,AY24+'Grid_Incoming'!AZ24-'Grid_Requirement'!AZ24))</f>
        <v/>
      </c>
      <c r="BA24">
        <f>IF(COUNTIFS(T_StockCount[Part Name],$A24,T_StockCount[WeekIndex],52)&gt;0,SUMIFS(T_StockCount[CountedQty],T_StockCount[Part Name],$A24,T_StockCount[WeekIndex],52),IF((('T_SelfStock'!BA28&lt;&gt;""))*(('T_TTAFStock'!BA28&lt;&gt;""))&gt;0,'T_SelfStock'!BA28+'T_TTAFStock'!BA28,AZ24+'Grid_Incoming'!BA24-'Grid_Requirement'!BA24))</f>
        <v/>
      </c>
      <c r="BB24">
        <f>IF(COUNTIFS(T_StockCount[Part Name],$A24,T_StockCount[WeekIndex],53)&gt;0,SUMIFS(T_StockCount[CountedQty],T_StockCount[Part Name],$A24,T_StockCount[WeekIndex],53),IF((('T_SelfStock'!BB28&lt;&gt;""))*(('T_TTAFStock'!BB28&lt;&gt;""))&gt;0,'T_SelfStock'!BB28+'T_TTAFStock'!BB28,BA24+'Grid_Incoming'!BB24-'Grid_Requirement'!BB24))</f>
        <v/>
      </c>
      <c r="BC24">
        <f>IF(COUNTIFS(T_StockCount[Part Name],$A24,T_StockCount[WeekIndex],54)&gt;0,SUMIFS(T_StockCount[CountedQty],T_StockCount[Part Name],$A24,T_StockCount[WeekIndex],54),IF((('T_SelfStock'!BC28&lt;&gt;""))*(('T_TTAFStock'!BC28&lt;&gt;""))&gt;0,'T_SelfStock'!BC28+'T_TTAFStock'!BC28,BB24+'Grid_Incoming'!BC24-'Grid_Requirement'!BC24))</f>
        <v/>
      </c>
      <c r="BD24">
        <f>IF(COUNTIFS(T_StockCount[Part Name],$A24,T_StockCount[WeekIndex],55)&gt;0,SUMIFS(T_StockCount[CountedQty],T_StockCount[Part Name],$A24,T_StockCount[WeekIndex],55),IF((('T_SelfStock'!BD28&lt;&gt;""))*(('T_TTAFStock'!BD28&lt;&gt;""))&gt;0,'T_SelfStock'!BD28+'T_TTAFStock'!BD28,BC24+'Grid_Incoming'!BD24-'Grid_Requirement'!BD24))</f>
        <v/>
      </c>
      <c r="BE24">
        <f>IF(COUNTIFS(T_StockCount[Part Name],$A24,T_StockCount[WeekIndex],56)&gt;0,SUMIFS(T_StockCount[CountedQty],T_StockCount[Part Name],$A24,T_StockCount[WeekIndex],56),IF((('T_SelfStock'!BE28&lt;&gt;""))*(('T_TTAFStock'!BE28&lt;&gt;""))&gt;0,'T_SelfStock'!BE28+'T_TTAFStock'!BE28,BD24+'Grid_Incoming'!BE24-'Grid_Requirement'!BE24))</f>
        <v/>
      </c>
      <c r="BF24">
        <f>IF(COUNTIFS(T_StockCount[Part Name],$A24,T_StockCount[WeekIndex],57)&gt;0,SUMIFS(T_StockCount[CountedQty],T_StockCount[Part Name],$A24,T_StockCount[WeekIndex],57),IF((('T_SelfStock'!BF28&lt;&gt;""))*(('T_TTAFStock'!BF28&lt;&gt;""))&gt;0,'T_SelfStock'!BF28+'T_TTAFStock'!BF28,BE24+'Grid_Incoming'!BF24-'Grid_Requirement'!BF24))</f>
        <v/>
      </c>
      <c r="BG24">
        <f>IF(COUNTIFS(T_StockCount[Part Name],$A24,T_StockCount[WeekIndex],58)&gt;0,SUMIFS(T_StockCount[CountedQty],T_StockCount[Part Name],$A24,T_StockCount[WeekIndex],58),IF((('T_SelfStock'!BG28&lt;&gt;""))*(('T_TTAFStock'!BG28&lt;&gt;""))&gt;0,'T_SelfStock'!BG28+'T_TTAFStock'!BG28,BF24+'Grid_Incoming'!BG24-'Grid_Requirement'!BG24))</f>
        <v/>
      </c>
      <c r="BH24">
        <f>IF(COUNTIFS(T_StockCount[Part Name],$A24,T_StockCount[WeekIndex],59)&gt;0,SUMIFS(T_StockCount[CountedQty],T_StockCount[Part Name],$A24,T_StockCount[WeekIndex],59),IF((('T_SelfStock'!BH28&lt;&gt;""))*(('T_TTAFStock'!BH28&lt;&gt;""))&gt;0,'T_SelfStock'!BH28+'T_TTAFStock'!BH28,BG24+'Grid_Incoming'!BH24-'Grid_Requirement'!BH24))</f>
        <v/>
      </c>
      <c r="BI24">
        <f>IF(COUNTIFS(T_StockCount[Part Name],$A24,T_StockCount[WeekIndex],60)&gt;0,SUMIFS(T_StockCount[CountedQty],T_StockCount[Part Name],$A24,T_StockCount[WeekIndex],60),IF((('T_SelfStock'!BI28&lt;&gt;""))*(('T_TTAFStock'!BI28&lt;&gt;""))&gt;0,'T_SelfStock'!BI28+'T_TTAFStock'!BI28,BH24+'Grid_Incoming'!BI24-'Grid_Requirement'!BI24))</f>
        <v/>
      </c>
      <c r="BJ24">
        <f>IF(COUNTIFS(T_StockCount[Part Name],$A24,T_StockCount[WeekIndex],61)&gt;0,SUMIFS(T_StockCount[CountedQty],T_StockCount[Part Name],$A24,T_StockCount[WeekIndex],61),IF((('T_SelfStock'!BJ28&lt;&gt;""))*(('T_TTAFStock'!BJ28&lt;&gt;""))&gt;0,'T_SelfStock'!BJ28+'T_TTAFStock'!BJ28,BI24+'Grid_Incoming'!BJ24-'Grid_Requirement'!BJ24))</f>
        <v/>
      </c>
      <c r="BK24">
        <f>IF(COUNTIFS(T_StockCount[Part Name],$A24,T_StockCount[WeekIndex],62)&gt;0,SUMIFS(T_StockCount[CountedQty],T_StockCount[Part Name],$A24,T_StockCount[WeekIndex],62),IF((('T_SelfStock'!BK28&lt;&gt;""))*(('T_TTAFStock'!BK28&lt;&gt;""))&gt;0,'T_SelfStock'!BK28+'T_TTAFStock'!BK28,BJ24+'Grid_Incoming'!BK24-'Grid_Requirement'!BK24))</f>
        <v/>
      </c>
      <c r="BL24">
        <f>IF(COUNTIFS(T_StockCount[Part Name],$A24,T_StockCount[WeekIndex],63)&gt;0,SUMIFS(T_StockCount[CountedQty],T_StockCount[Part Name],$A24,T_StockCount[WeekIndex],63),IF((('T_SelfStock'!BL28&lt;&gt;""))*(('T_TTAFStock'!BL28&lt;&gt;""))&gt;0,'T_SelfStock'!BL28+'T_TTAFStock'!BL28,BK24+'Grid_Incoming'!BL24-'Grid_Requirement'!BL24))</f>
        <v/>
      </c>
      <c r="BM24">
        <f>IF(COUNTIFS(T_StockCount[Part Name],$A24,T_StockCount[WeekIndex],64)&gt;0,SUMIFS(T_StockCount[CountedQty],T_StockCount[Part Name],$A24,T_StockCount[WeekIndex],64),IF((('T_SelfStock'!BM28&lt;&gt;""))*(('T_TTAFStock'!BM28&lt;&gt;""))&gt;0,'T_SelfStock'!BM28+'T_TTAFStock'!BM28,BL24+'Grid_Incoming'!BM24-'Grid_Requirement'!BM24))</f>
        <v/>
      </c>
      <c r="BN24">
        <f>IF(COUNTIFS(T_StockCount[Part Name],$A24,T_StockCount[WeekIndex],65)&gt;0,SUMIFS(T_StockCount[CountedQty],T_StockCount[Part Name],$A24,T_StockCount[WeekIndex],65),IF((('T_SelfStock'!BN28&lt;&gt;""))*(('T_TTAFStock'!BN28&lt;&gt;""))&gt;0,'T_SelfStock'!BN28+'T_TTAFStock'!BN28,BM24+'Grid_Incoming'!BN24-'Grid_Requirement'!BN24))</f>
        <v/>
      </c>
      <c r="BO24">
        <f>IF(COUNTIFS(T_StockCount[Part Name],$A24,T_StockCount[WeekIndex],66)&gt;0,SUMIFS(T_StockCount[CountedQty],T_StockCount[Part Name],$A24,T_StockCount[WeekIndex],66),IF((('T_SelfStock'!BO28&lt;&gt;""))*(('T_TTAFStock'!BO28&lt;&gt;""))&gt;0,'T_SelfStock'!BO28+'T_TTAFStock'!BO28,BN24+'Grid_Incoming'!BO24-'Grid_Requirement'!BO24))</f>
        <v/>
      </c>
      <c r="BP24">
        <f>IF(COUNTIFS(T_StockCount[Part Name],$A24,T_StockCount[WeekIndex],67)&gt;0,SUMIFS(T_StockCount[CountedQty],T_StockCount[Part Name],$A24,T_StockCount[WeekIndex],67),IF((('T_SelfStock'!BP28&lt;&gt;""))*(('T_TTAFStock'!BP28&lt;&gt;""))&gt;0,'T_SelfStock'!BP28+'T_TTAFStock'!BP28,BO24+'Grid_Incoming'!BP24-'Grid_Requirement'!BP24))</f>
        <v/>
      </c>
      <c r="BQ24">
        <f>IF(COUNTIFS(T_StockCount[Part Name],$A24,T_StockCount[WeekIndex],68)&gt;0,SUMIFS(T_StockCount[CountedQty],T_StockCount[Part Name],$A24,T_StockCount[WeekIndex],68),IF((('T_SelfStock'!BQ28&lt;&gt;""))*(('T_TTAFStock'!BQ28&lt;&gt;""))&gt;0,'T_SelfStock'!BQ28+'T_TTAFStock'!BQ28,BP24+'Grid_Incoming'!BQ24-'Grid_Requirement'!BQ24))</f>
        <v/>
      </c>
      <c r="BR24">
        <f>IF(COUNTIFS(T_StockCount[Part Name],$A24,T_StockCount[WeekIndex],69)&gt;0,SUMIFS(T_StockCount[CountedQty],T_StockCount[Part Name],$A24,T_StockCount[WeekIndex],69),IF((('T_SelfStock'!BR28&lt;&gt;""))*(('T_TTAFStock'!BR28&lt;&gt;""))&gt;0,'T_SelfStock'!BR28+'T_TTAFStock'!BR28,BQ24+'Grid_Incoming'!BR24-'Grid_Requirement'!BR24))</f>
        <v/>
      </c>
      <c r="BS24">
        <f>IF(COUNTIFS(T_StockCount[Part Name],$A24,T_StockCount[WeekIndex],70)&gt;0,SUMIFS(T_StockCount[CountedQty],T_StockCount[Part Name],$A24,T_StockCount[WeekIndex],70),IF((('T_SelfStock'!BS28&lt;&gt;""))*(('T_TTAFStock'!BS28&lt;&gt;""))&gt;0,'T_SelfStock'!BS28+'T_TTAFStock'!BS28,BR24+'Grid_Incoming'!BS24-'Grid_Requirement'!BS24))</f>
        <v/>
      </c>
      <c r="BT24">
        <f>IF(COUNTIFS(T_StockCount[Part Name],$A24,T_StockCount[WeekIndex],71)&gt;0,SUMIFS(T_StockCount[CountedQty],T_StockCount[Part Name],$A24,T_StockCount[WeekIndex],71),IF((('T_SelfStock'!BT28&lt;&gt;""))*(('T_TTAFStock'!BT28&lt;&gt;""))&gt;0,'T_SelfStock'!BT28+'T_TTAFStock'!BT28,BS24+'Grid_Incoming'!BT24-'Grid_Requirement'!BT24))</f>
        <v/>
      </c>
      <c r="BU24">
        <f>IF(COUNTIFS(T_StockCount[Part Name],$A24,T_StockCount[WeekIndex],72)&gt;0,SUMIFS(T_StockCount[CountedQty],T_StockCount[Part Name],$A24,T_StockCount[WeekIndex],72),IF((('T_SelfStock'!BU28&lt;&gt;""))*(('T_TTAFStock'!BU28&lt;&gt;""))&gt;0,'T_SelfStock'!BU28+'T_TTAFStock'!BU28,BT24+'Grid_Incoming'!BU24-'Grid_Requirement'!BU24))</f>
        <v/>
      </c>
      <c r="BV24">
        <f>IF(COUNTIFS(T_StockCount[Part Name],$A24,T_StockCount[WeekIndex],73)&gt;0,SUMIFS(T_StockCount[CountedQty],T_StockCount[Part Name],$A24,T_StockCount[WeekIndex],73),IF((('T_SelfStock'!BV28&lt;&gt;""))*(('T_TTAFStock'!BV28&lt;&gt;""))&gt;0,'T_SelfStock'!BV28+'T_TTAFStock'!BV28,BU24+'Grid_Incoming'!BV24-'Grid_Requirement'!BV24))</f>
        <v/>
      </c>
      <c r="BW24">
        <f>IF(COUNTIFS(T_StockCount[Part Name],$A24,T_StockCount[WeekIndex],74)&gt;0,SUMIFS(T_StockCount[CountedQty],T_StockCount[Part Name],$A24,T_StockCount[WeekIndex],74),IF((('T_SelfStock'!BW28&lt;&gt;""))*(('T_TTAFStock'!BW28&lt;&gt;""))&gt;0,'T_SelfStock'!BW28+'T_TTAFStock'!BW28,BV24+'Grid_Incoming'!BW24-'Grid_Requirement'!BW24))</f>
        <v/>
      </c>
      <c r="BX24">
        <f>IF(COUNTIFS(T_StockCount[Part Name],$A24,T_StockCount[WeekIndex],75)&gt;0,SUMIFS(T_StockCount[CountedQty],T_StockCount[Part Name],$A24,T_StockCount[WeekIndex],75),IF((('T_SelfStock'!BX28&lt;&gt;""))*(('T_TTAFStock'!BX28&lt;&gt;""))&gt;0,'T_SelfStock'!BX28+'T_TTAFStock'!BX28,BW24+'Grid_Incoming'!BX24-'Grid_Requirement'!BX24))</f>
        <v/>
      </c>
      <c r="BY24">
        <f>IF(COUNTIFS(T_StockCount[Part Name],$A24,T_StockCount[WeekIndex],76)&gt;0,SUMIFS(T_StockCount[CountedQty],T_StockCount[Part Name],$A24,T_StockCount[WeekIndex],76),IF((('T_SelfStock'!BY28&lt;&gt;""))*(('T_TTAFStock'!BY28&lt;&gt;""))&gt;0,'T_SelfStock'!BY28+'T_TTAFStock'!BY28,BX24+'Grid_Incoming'!BY24-'Grid_Requirement'!BY24))</f>
        <v/>
      </c>
      <c r="BZ24">
        <f>IF(COUNTIFS(T_StockCount[Part Name],$A24,T_StockCount[WeekIndex],77)&gt;0,SUMIFS(T_StockCount[CountedQty],T_StockCount[Part Name],$A24,T_StockCount[WeekIndex],77),IF((('T_SelfStock'!BZ28&lt;&gt;""))*(('T_TTAFStock'!BZ28&lt;&gt;""))&gt;0,'T_SelfStock'!BZ28+'T_TTAFStock'!BZ28,BY24+'Grid_Incoming'!BZ24-'Grid_Requirement'!BZ24))</f>
        <v/>
      </c>
      <c r="CA24">
        <f>IF(COUNTIFS(T_StockCount[Part Name],$A24,T_StockCount[WeekIndex],78)&gt;0,SUMIFS(T_StockCount[CountedQty],T_StockCount[Part Name],$A24,T_StockCount[WeekIndex],78),IF((('T_SelfStock'!CA28&lt;&gt;""))*(('T_TTAFStock'!CA28&lt;&gt;""))&gt;0,'T_SelfStock'!CA28+'T_TTAFStock'!CA28,BZ24+'Grid_Incoming'!CA24-'Grid_Requirement'!CA24))</f>
        <v/>
      </c>
      <c r="CB24">
        <f>IF(COUNTIFS(T_StockCount[Part Name],$A24,T_StockCount[WeekIndex],79)&gt;0,SUMIFS(T_StockCount[CountedQty],T_StockCount[Part Name],$A24,T_StockCount[WeekIndex],79),IF((('T_SelfStock'!CB28&lt;&gt;""))*(('T_TTAFStock'!CB28&lt;&gt;""))&gt;0,'T_SelfStock'!CB28+'T_TTAFStock'!CB28,CA24+'Grid_Incoming'!CB24-'Grid_Requirement'!CB24))</f>
        <v/>
      </c>
      <c r="CC24">
        <f>IF(COUNTIFS(T_StockCount[Part Name],$A24,T_StockCount[WeekIndex],80)&gt;0,SUMIFS(T_StockCount[CountedQty],T_StockCount[Part Name],$A24,T_StockCount[WeekIndex],80),IF((('T_SelfStock'!CC28&lt;&gt;""))*(('T_TTAFStock'!CC28&lt;&gt;""))&gt;0,'T_SelfStock'!CC28+'T_TTAFStock'!CC28,CB24+'Grid_Incoming'!CC24-'Grid_Requirement'!CC24))</f>
        <v/>
      </c>
      <c r="CD24">
        <f>IF(COUNTIFS(T_StockCount[Part Name],$A24,T_StockCount[WeekIndex],81)&gt;0,SUMIFS(T_StockCount[CountedQty],T_StockCount[Part Name],$A24,T_StockCount[WeekIndex],81),IF((('T_SelfStock'!CD28&lt;&gt;""))*(('T_TTAFStock'!CD28&lt;&gt;""))&gt;0,'T_SelfStock'!CD28+'T_TTAFStock'!CD28,CC24+'Grid_Incoming'!CD24-'Grid_Requirement'!CD24))</f>
        <v/>
      </c>
      <c r="CE24">
        <f>IF(COUNTIFS(T_StockCount[Part Name],$A24,T_StockCount[WeekIndex],82)&gt;0,SUMIFS(T_StockCount[CountedQty],T_StockCount[Part Name],$A24,T_StockCount[WeekIndex],82),IF((('T_SelfStock'!CE28&lt;&gt;""))*(('T_TTAFStock'!CE28&lt;&gt;""))&gt;0,'T_SelfStock'!CE28+'T_TTAFStock'!CE28,CD24+'Grid_Incoming'!CE24-'Grid_Requirement'!CE24))</f>
        <v/>
      </c>
      <c r="CF24">
        <f>IF(COUNTIFS(T_StockCount[Part Name],$A24,T_StockCount[WeekIndex],83)&gt;0,SUMIFS(T_StockCount[CountedQty],T_StockCount[Part Name],$A24,T_StockCount[WeekIndex],83),IF((('T_SelfStock'!CF28&lt;&gt;""))*(('T_TTAFStock'!CF28&lt;&gt;""))&gt;0,'T_SelfStock'!CF28+'T_TTAFStock'!CF28,CE24+'Grid_Incoming'!CF24-'Grid_Requirement'!CF24))</f>
        <v/>
      </c>
      <c r="CG24">
        <f>IF(COUNTIFS(T_StockCount[Part Name],$A24,T_StockCount[WeekIndex],84)&gt;0,SUMIFS(T_StockCount[CountedQty],T_StockCount[Part Name],$A24,T_StockCount[WeekIndex],84),IF((('T_SelfStock'!CG28&lt;&gt;""))*(('T_TTAFStock'!CG28&lt;&gt;""))&gt;0,'T_SelfStock'!CG28+'T_TTAFStock'!CG28,CF24+'Grid_Incoming'!CG24-'Grid_Requirement'!CG24))</f>
        <v/>
      </c>
      <c r="CH24">
        <f>IF(COUNTIFS(T_StockCount[Part Name],$A24,T_StockCount[WeekIndex],85)&gt;0,SUMIFS(T_StockCount[CountedQty],T_StockCount[Part Name],$A24,T_StockCount[WeekIndex],85),IF((('T_SelfStock'!CH28&lt;&gt;""))*(('T_TTAFStock'!CH28&lt;&gt;""))&gt;0,'T_SelfStock'!CH28+'T_TTAFStock'!CH28,CG24+'Grid_Incoming'!CH24-'Grid_Requirement'!CH24))</f>
        <v/>
      </c>
      <c r="CI24">
        <f>IF(COUNTIFS(T_StockCount[Part Name],$A24,T_StockCount[WeekIndex],86)&gt;0,SUMIFS(T_StockCount[CountedQty],T_StockCount[Part Name],$A24,T_StockCount[WeekIndex],86),IF((('T_SelfStock'!CI28&lt;&gt;""))*(('T_TTAFStock'!CI28&lt;&gt;""))&gt;0,'T_SelfStock'!CI28+'T_TTAFStock'!CI28,CH24+'Grid_Incoming'!CI24-'Grid_Requirement'!CI24))</f>
        <v/>
      </c>
      <c r="CJ24">
        <f>IF(COUNTIFS(T_StockCount[Part Name],$A24,T_StockCount[WeekIndex],87)&gt;0,SUMIFS(T_StockCount[CountedQty],T_StockCount[Part Name],$A24,T_StockCount[WeekIndex],87),IF((('T_SelfStock'!CJ28&lt;&gt;""))*(('T_TTAFStock'!CJ28&lt;&gt;""))&gt;0,'T_SelfStock'!CJ28+'T_TTAFStock'!CJ28,CI24+'Grid_Incoming'!CJ24-'Grid_Requirement'!CJ24))</f>
        <v/>
      </c>
      <c r="CK24">
        <f>IF(COUNTIFS(T_StockCount[Part Name],$A24,T_StockCount[WeekIndex],88)&gt;0,SUMIFS(T_StockCount[CountedQty],T_StockCount[Part Name],$A24,T_StockCount[WeekIndex],88),IF((('T_SelfStock'!CK28&lt;&gt;""))*(('T_TTAFStock'!CK28&lt;&gt;""))&gt;0,'T_SelfStock'!CK28+'T_TTAFStock'!CK28,CJ24+'Grid_Incoming'!CK24-'Grid_Requirement'!CK24))</f>
        <v/>
      </c>
      <c r="CL24">
        <f>IF(COUNTIFS(T_StockCount[Part Name],$A24,T_StockCount[WeekIndex],89)&gt;0,SUMIFS(T_StockCount[CountedQty],T_StockCount[Part Name],$A24,T_StockCount[WeekIndex],89),IF((('T_SelfStock'!CL28&lt;&gt;""))*(('T_TTAFStock'!CL28&lt;&gt;""))&gt;0,'T_SelfStock'!CL28+'T_TTAFStock'!CL28,CK24+'Grid_Incoming'!CL24-'Grid_Requirement'!CL24))</f>
        <v/>
      </c>
      <c r="CM24">
        <f>IF(COUNTIFS(T_StockCount[Part Name],$A24,T_StockCount[WeekIndex],90)&gt;0,SUMIFS(T_StockCount[CountedQty],T_StockCount[Part Name],$A24,T_StockCount[WeekIndex],90),IF((('T_SelfStock'!CM28&lt;&gt;""))*(('T_TTAFStock'!CM28&lt;&gt;""))&gt;0,'T_SelfStock'!CM28+'T_TTAFStock'!CM28,CL24+'Grid_Incoming'!CM24-'Grid_Requirement'!CM24))</f>
        <v/>
      </c>
      <c r="CN24">
        <f>IF(COUNTIFS(T_StockCount[Part Name],$A24,T_StockCount[WeekIndex],91)&gt;0,SUMIFS(T_StockCount[CountedQty],T_StockCount[Part Name],$A24,T_StockCount[WeekIndex],91),IF((('T_SelfStock'!CN28&lt;&gt;""))*(('T_TTAFStock'!CN28&lt;&gt;""))&gt;0,'T_SelfStock'!CN28+'T_TTAFStock'!CN28,CM24+'Grid_Incoming'!CN24-'Grid_Requirement'!CN24))</f>
        <v/>
      </c>
      <c r="CO24">
        <f>IF(COUNTIFS(T_StockCount[Part Name],$A24,T_StockCount[WeekIndex],92)&gt;0,SUMIFS(T_StockCount[CountedQty],T_StockCount[Part Name],$A24,T_StockCount[WeekIndex],92),IF((('T_SelfStock'!CO28&lt;&gt;""))*(('T_TTAFStock'!CO28&lt;&gt;""))&gt;0,'T_SelfStock'!CO28+'T_TTAFStock'!CO28,CN24+'Grid_Incoming'!CO24-'Grid_Requirement'!CO24))</f>
        <v/>
      </c>
      <c r="CP24">
        <f>IF(COUNTIFS(T_StockCount[Part Name],$A24,T_StockCount[WeekIndex],93)&gt;0,SUMIFS(T_StockCount[CountedQty],T_StockCount[Part Name],$A24,T_StockCount[WeekIndex],93),IF((('T_SelfStock'!CP28&lt;&gt;""))*(('T_TTAFStock'!CP28&lt;&gt;""))&gt;0,'T_SelfStock'!CP28+'T_TTAFStock'!CP28,CO24+'Grid_Incoming'!CP24-'Grid_Requirement'!CP24))</f>
        <v/>
      </c>
      <c r="CQ24">
        <f>IF(COUNTIFS(T_StockCount[Part Name],$A24,T_StockCount[WeekIndex],94)&gt;0,SUMIFS(T_StockCount[CountedQty],T_StockCount[Part Name],$A24,T_StockCount[WeekIndex],94),IF((('T_SelfStock'!CQ28&lt;&gt;""))*(('T_TTAFStock'!CQ28&lt;&gt;""))&gt;0,'T_SelfStock'!CQ28+'T_TTAFStock'!CQ28,CP24+'Grid_Incoming'!CQ24-'Grid_Requirement'!CQ24))</f>
        <v/>
      </c>
      <c r="CR24">
        <f>IF(COUNTIFS(T_StockCount[Part Name],$A24,T_StockCount[WeekIndex],95)&gt;0,SUMIFS(T_StockCount[CountedQty],T_StockCount[Part Name],$A24,T_StockCount[WeekIndex],95),IF((('T_SelfStock'!CR28&lt;&gt;""))*(('T_TTAFStock'!CR28&lt;&gt;""))&gt;0,'T_SelfStock'!CR28+'T_TTAFStock'!CR28,CQ24+'Grid_Incoming'!CR24-'Grid_Requirement'!CR24))</f>
        <v/>
      </c>
      <c r="CS24">
        <f>IF(COUNTIFS(T_StockCount[Part Name],$A24,T_StockCount[WeekIndex],96)&gt;0,SUMIFS(T_StockCount[CountedQty],T_StockCount[Part Name],$A24,T_StockCount[WeekIndex],96),IF((('T_SelfStock'!CS28&lt;&gt;""))*(('T_TTAFStock'!CS28&lt;&gt;""))&gt;0,'T_SelfStock'!CS28+'T_TTAFStock'!CS28,CR24+'Grid_Incoming'!CS24-'Grid_Requirement'!CS24))</f>
        <v/>
      </c>
      <c r="CT24">
        <f>IF(COUNTIFS(T_StockCount[Part Name],$A24,T_StockCount[WeekIndex],97)&gt;0,SUMIFS(T_StockCount[CountedQty],T_StockCount[Part Name],$A24,T_StockCount[WeekIndex],97),IF((('T_SelfStock'!CT28&lt;&gt;""))*(('T_TTAFStock'!CT28&lt;&gt;""))&gt;0,'T_SelfStock'!CT28+'T_TTAFStock'!CT28,CS24+'Grid_Incoming'!CT24-'Grid_Requirement'!CT24))</f>
        <v/>
      </c>
      <c r="CU24">
        <f>IF(COUNTIFS(T_StockCount[Part Name],$A24,T_StockCount[WeekIndex],98)&gt;0,SUMIFS(T_StockCount[CountedQty],T_StockCount[Part Name],$A24,T_StockCount[WeekIndex],98),IF((('T_SelfStock'!CU28&lt;&gt;""))*(('T_TTAFStock'!CU28&lt;&gt;""))&gt;0,'T_SelfStock'!CU28+'T_TTAFStock'!CU28,CT24+'Grid_Incoming'!CU24-'Grid_Requirement'!CU24))</f>
        <v/>
      </c>
      <c r="CV24">
        <f>IF(COUNTIFS(T_StockCount[Part Name],$A24,T_StockCount[WeekIndex],99)&gt;0,SUMIFS(T_StockCount[CountedQty],T_StockCount[Part Name],$A24,T_StockCount[WeekIndex],99),IF((('T_SelfStock'!CV28&lt;&gt;""))*(('T_TTAFStock'!CV28&lt;&gt;""))&gt;0,'T_SelfStock'!CV28+'T_TTAFStock'!CV28,CU24+'Grid_Incoming'!CV24-'Grid_Requirement'!CV24))</f>
        <v/>
      </c>
      <c r="CW24">
        <f>IF(COUNTIFS(T_StockCount[Part Name],$A24,T_StockCount[WeekIndex],100)&gt;0,SUMIFS(T_StockCount[CountedQty],T_StockCount[Part Name],$A24,T_StockCount[WeekIndex],100),IF((('T_SelfStock'!CW28&lt;&gt;""))*(('T_TTAFStock'!CW28&lt;&gt;""))&gt;0,'T_SelfStock'!CW28+'T_TTAFStock'!CW28,CV24+'Grid_Incoming'!CW24-'Grid_Requirement'!CW24))</f>
        <v/>
      </c>
      <c r="CX24">
        <f>IF(COUNTIFS(T_StockCount[Part Name],$A24,T_StockCount[WeekIndex],101)&gt;0,SUMIFS(T_StockCount[CountedQty],T_StockCount[Part Name],$A24,T_StockCount[WeekIndex],101),IF((('T_SelfStock'!CX28&lt;&gt;""))*(('T_TTAFStock'!CX28&lt;&gt;""))&gt;0,'T_SelfStock'!CX28+'T_TTAFStock'!CX28,CW24+'Grid_Incoming'!CX24-'Grid_Requirement'!CX24))</f>
        <v/>
      </c>
      <c r="CY24">
        <f>IF(COUNTIFS(T_StockCount[Part Name],$A24,T_StockCount[WeekIndex],102)&gt;0,SUMIFS(T_StockCount[CountedQty],T_StockCount[Part Name],$A24,T_StockCount[WeekIndex],102),IF((('T_SelfStock'!CY28&lt;&gt;""))*(('T_TTAFStock'!CY28&lt;&gt;""))&gt;0,'T_SelfStock'!CY28+'T_TTAFStock'!CY28,CX24+'Grid_Incoming'!CY24-'Grid_Requirement'!CY24))</f>
        <v/>
      </c>
      <c r="CZ24">
        <f>IF(COUNTIFS(T_StockCount[Part Name],$A24,T_StockCount[WeekIndex],103)&gt;0,SUMIFS(T_StockCount[CountedQty],T_StockCount[Part Name],$A24,T_StockCount[WeekIndex],103),IF((('T_SelfStock'!CZ28&lt;&gt;""))*(('T_TTAFStock'!CZ28&lt;&gt;""))&gt;0,'T_SelfStock'!CZ28+'T_TTAFStock'!CZ28,CY24+'Grid_Incoming'!CZ24-'Grid_Requirement'!CZ24))</f>
        <v/>
      </c>
      <c r="DA24">
        <f>IF(COUNTIFS(T_StockCount[Part Name],$A24,T_StockCount[WeekIndex],104)&gt;0,SUMIFS(T_StockCount[CountedQty],T_StockCount[Part Name],$A24,T_StockCount[WeekIndex],104),IF((('T_SelfStock'!DA28&lt;&gt;""))*(('T_TTAFStock'!DA28&lt;&gt;""))&gt;0,'T_SelfStock'!DA28+'T_TTAFStock'!DA28,CZ24+'Grid_Incoming'!DA24-'Grid_Requirement'!DA24))</f>
        <v/>
      </c>
    </row>
    <row r="25">
      <c r="A25" t="inlineStr">
        <is>
          <t>CHEM-1510</t>
        </is>
      </c>
      <c r="B25">
        <f>IF(COUNTIFS(T_StockCount[Part Name],$A25,T_StockCount[WeekIndex],1)&gt;0,SUMIFS(T_StockCount[CountedQty],T_StockCount[Part Name],$A25,T_StockCount[WeekIndex],1),IF((('T_SelfStock'!B29&lt;&gt;""))*(('T_TTAFStock'!B29&lt;&gt;""))&gt;0,'T_SelfStock'!B29+'T_TTAFStock'!B29,IFERROR(INDEX(T_OpeningStock[Opening_Qty_要入力],MATCH($A25,T_OpeningStock[Part Name],0)),0)+'Grid_Incoming'!B25-'Grid_Requirement'!B25))</f>
        <v/>
      </c>
      <c r="C25">
        <f>IF(COUNTIFS(T_StockCount[Part Name],$A25,T_StockCount[WeekIndex],2)&gt;0,SUMIFS(T_StockCount[CountedQty],T_StockCount[Part Name],$A25,T_StockCount[WeekIndex],2),IF((('T_SelfStock'!C29&lt;&gt;""))*(('T_TTAFStock'!C29&lt;&gt;""))&gt;0,'T_SelfStock'!C29+'T_TTAFStock'!C29,B25+'Grid_Incoming'!C25-'Grid_Requirement'!C25))</f>
        <v/>
      </c>
      <c r="D25">
        <f>IF(COUNTIFS(T_StockCount[Part Name],$A25,T_StockCount[WeekIndex],3)&gt;0,SUMIFS(T_StockCount[CountedQty],T_StockCount[Part Name],$A25,T_StockCount[WeekIndex],3),IF((('T_SelfStock'!D29&lt;&gt;""))*(('T_TTAFStock'!D29&lt;&gt;""))&gt;0,'T_SelfStock'!D29+'T_TTAFStock'!D29,C25+'Grid_Incoming'!D25-'Grid_Requirement'!D25))</f>
        <v/>
      </c>
      <c r="E25">
        <f>IF(COUNTIFS(T_StockCount[Part Name],$A25,T_StockCount[WeekIndex],4)&gt;0,SUMIFS(T_StockCount[CountedQty],T_StockCount[Part Name],$A25,T_StockCount[WeekIndex],4),IF((('T_SelfStock'!E29&lt;&gt;""))*(('T_TTAFStock'!E29&lt;&gt;""))&gt;0,'T_SelfStock'!E29+'T_TTAFStock'!E29,D25+'Grid_Incoming'!E25-'Grid_Requirement'!E25))</f>
        <v/>
      </c>
      <c r="F25">
        <f>IF(COUNTIFS(T_StockCount[Part Name],$A25,T_StockCount[WeekIndex],5)&gt;0,SUMIFS(T_StockCount[CountedQty],T_StockCount[Part Name],$A25,T_StockCount[WeekIndex],5),IF((('T_SelfStock'!F29&lt;&gt;""))*(('T_TTAFStock'!F29&lt;&gt;""))&gt;0,'T_SelfStock'!F29+'T_TTAFStock'!F29,E25+'Grid_Incoming'!F25-'Grid_Requirement'!F25))</f>
        <v/>
      </c>
      <c r="G25">
        <f>IF(COUNTIFS(T_StockCount[Part Name],$A25,T_StockCount[WeekIndex],6)&gt;0,SUMIFS(T_StockCount[CountedQty],T_StockCount[Part Name],$A25,T_StockCount[WeekIndex],6),IF((('T_SelfStock'!G29&lt;&gt;""))*(('T_TTAFStock'!G29&lt;&gt;""))&gt;0,'T_SelfStock'!G29+'T_TTAFStock'!G29,F25+'Grid_Incoming'!G25-'Grid_Requirement'!G25))</f>
        <v/>
      </c>
      <c r="H25">
        <f>IF(COUNTIFS(T_StockCount[Part Name],$A25,T_StockCount[WeekIndex],7)&gt;0,SUMIFS(T_StockCount[CountedQty],T_StockCount[Part Name],$A25,T_StockCount[WeekIndex],7),IF((('T_SelfStock'!H29&lt;&gt;""))*(('T_TTAFStock'!H29&lt;&gt;""))&gt;0,'T_SelfStock'!H29+'T_TTAFStock'!H29,G25+'Grid_Incoming'!H25-'Grid_Requirement'!H25))</f>
        <v/>
      </c>
      <c r="I25">
        <f>IF(COUNTIFS(T_StockCount[Part Name],$A25,T_StockCount[WeekIndex],8)&gt;0,SUMIFS(T_StockCount[CountedQty],T_StockCount[Part Name],$A25,T_StockCount[WeekIndex],8),IF((('T_SelfStock'!I29&lt;&gt;""))*(('T_TTAFStock'!I29&lt;&gt;""))&gt;0,'T_SelfStock'!I29+'T_TTAFStock'!I29,H25+'Grid_Incoming'!I25-'Grid_Requirement'!I25))</f>
        <v/>
      </c>
      <c r="J25">
        <f>IF(COUNTIFS(T_StockCount[Part Name],$A25,T_StockCount[WeekIndex],9)&gt;0,SUMIFS(T_StockCount[CountedQty],T_StockCount[Part Name],$A25,T_StockCount[WeekIndex],9),IF((('T_SelfStock'!J29&lt;&gt;""))*(('T_TTAFStock'!J29&lt;&gt;""))&gt;0,'T_SelfStock'!J29+'T_TTAFStock'!J29,I25+'Grid_Incoming'!J25-'Grid_Requirement'!J25))</f>
        <v/>
      </c>
      <c r="K25">
        <f>IF(COUNTIFS(T_StockCount[Part Name],$A25,T_StockCount[WeekIndex],10)&gt;0,SUMIFS(T_StockCount[CountedQty],T_StockCount[Part Name],$A25,T_StockCount[WeekIndex],10),IF((('T_SelfStock'!K29&lt;&gt;""))*(('T_TTAFStock'!K29&lt;&gt;""))&gt;0,'T_SelfStock'!K29+'T_TTAFStock'!K29,J25+'Grid_Incoming'!K25-'Grid_Requirement'!K25))</f>
        <v/>
      </c>
      <c r="L25">
        <f>IF(COUNTIFS(T_StockCount[Part Name],$A25,T_StockCount[WeekIndex],11)&gt;0,SUMIFS(T_StockCount[CountedQty],T_StockCount[Part Name],$A25,T_StockCount[WeekIndex],11),IF((('T_SelfStock'!L29&lt;&gt;""))*(('T_TTAFStock'!L29&lt;&gt;""))&gt;0,'T_SelfStock'!L29+'T_TTAFStock'!L29,K25+'Grid_Incoming'!L25-'Grid_Requirement'!L25))</f>
        <v/>
      </c>
      <c r="M25">
        <f>IF(COUNTIFS(T_StockCount[Part Name],$A25,T_StockCount[WeekIndex],12)&gt;0,SUMIFS(T_StockCount[CountedQty],T_StockCount[Part Name],$A25,T_StockCount[WeekIndex],12),IF((('T_SelfStock'!M29&lt;&gt;""))*(('T_TTAFStock'!M29&lt;&gt;""))&gt;0,'T_SelfStock'!M29+'T_TTAFStock'!M29,L25+'Grid_Incoming'!M25-'Grid_Requirement'!M25))</f>
        <v/>
      </c>
      <c r="N25">
        <f>IF(COUNTIFS(T_StockCount[Part Name],$A25,T_StockCount[WeekIndex],13)&gt;0,SUMIFS(T_StockCount[CountedQty],T_StockCount[Part Name],$A25,T_StockCount[WeekIndex],13),IF((('T_SelfStock'!N29&lt;&gt;""))*(('T_TTAFStock'!N29&lt;&gt;""))&gt;0,'T_SelfStock'!N29+'T_TTAFStock'!N29,M25+'Grid_Incoming'!N25-'Grid_Requirement'!N25))</f>
        <v/>
      </c>
      <c r="O25">
        <f>IF(COUNTIFS(T_StockCount[Part Name],$A25,T_StockCount[WeekIndex],14)&gt;0,SUMIFS(T_StockCount[CountedQty],T_StockCount[Part Name],$A25,T_StockCount[WeekIndex],14),IF((('T_SelfStock'!O29&lt;&gt;""))*(('T_TTAFStock'!O29&lt;&gt;""))&gt;0,'T_SelfStock'!O29+'T_TTAFStock'!O29,N25+'Grid_Incoming'!O25-'Grid_Requirement'!O25))</f>
        <v/>
      </c>
      <c r="P25">
        <f>IF(COUNTIFS(T_StockCount[Part Name],$A25,T_StockCount[WeekIndex],15)&gt;0,SUMIFS(T_StockCount[CountedQty],T_StockCount[Part Name],$A25,T_StockCount[WeekIndex],15),IF((('T_SelfStock'!P29&lt;&gt;""))*(('T_TTAFStock'!P29&lt;&gt;""))&gt;0,'T_SelfStock'!P29+'T_TTAFStock'!P29,O25+'Grid_Incoming'!P25-'Grid_Requirement'!P25))</f>
        <v/>
      </c>
      <c r="Q25">
        <f>IF(COUNTIFS(T_StockCount[Part Name],$A25,T_StockCount[WeekIndex],16)&gt;0,SUMIFS(T_StockCount[CountedQty],T_StockCount[Part Name],$A25,T_StockCount[WeekIndex],16),IF((('T_SelfStock'!Q29&lt;&gt;""))*(('T_TTAFStock'!Q29&lt;&gt;""))&gt;0,'T_SelfStock'!Q29+'T_TTAFStock'!Q29,P25+'Grid_Incoming'!Q25-'Grid_Requirement'!Q25))</f>
        <v/>
      </c>
      <c r="R25">
        <f>IF(COUNTIFS(T_StockCount[Part Name],$A25,T_StockCount[WeekIndex],17)&gt;0,SUMIFS(T_StockCount[CountedQty],T_StockCount[Part Name],$A25,T_StockCount[WeekIndex],17),IF((('T_SelfStock'!R29&lt;&gt;""))*(('T_TTAFStock'!R29&lt;&gt;""))&gt;0,'T_SelfStock'!R29+'T_TTAFStock'!R29,Q25+'Grid_Incoming'!R25-'Grid_Requirement'!R25))</f>
        <v/>
      </c>
      <c r="S25">
        <f>IF(COUNTIFS(T_StockCount[Part Name],$A25,T_StockCount[WeekIndex],18)&gt;0,SUMIFS(T_StockCount[CountedQty],T_StockCount[Part Name],$A25,T_StockCount[WeekIndex],18),IF((('T_SelfStock'!S29&lt;&gt;""))*(('T_TTAFStock'!S29&lt;&gt;""))&gt;0,'T_SelfStock'!S29+'T_TTAFStock'!S29,R25+'Grid_Incoming'!S25-'Grid_Requirement'!S25))</f>
        <v/>
      </c>
      <c r="T25">
        <f>IF(COUNTIFS(T_StockCount[Part Name],$A25,T_StockCount[WeekIndex],19)&gt;0,SUMIFS(T_StockCount[CountedQty],T_StockCount[Part Name],$A25,T_StockCount[WeekIndex],19),IF((('T_SelfStock'!T29&lt;&gt;""))*(('T_TTAFStock'!T29&lt;&gt;""))&gt;0,'T_SelfStock'!T29+'T_TTAFStock'!T29,S25+'Grid_Incoming'!T25-'Grid_Requirement'!T25))</f>
        <v/>
      </c>
      <c r="U25">
        <f>IF(COUNTIFS(T_StockCount[Part Name],$A25,T_StockCount[WeekIndex],20)&gt;0,SUMIFS(T_StockCount[CountedQty],T_StockCount[Part Name],$A25,T_StockCount[WeekIndex],20),IF((('T_SelfStock'!U29&lt;&gt;""))*(('T_TTAFStock'!U29&lt;&gt;""))&gt;0,'T_SelfStock'!U29+'T_TTAFStock'!U29,T25+'Grid_Incoming'!U25-'Grid_Requirement'!U25))</f>
        <v/>
      </c>
      <c r="V25">
        <f>IF(COUNTIFS(T_StockCount[Part Name],$A25,T_StockCount[WeekIndex],21)&gt;0,SUMIFS(T_StockCount[CountedQty],T_StockCount[Part Name],$A25,T_StockCount[WeekIndex],21),IF((('T_SelfStock'!V29&lt;&gt;""))*(('T_TTAFStock'!V29&lt;&gt;""))&gt;0,'T_SelfStock'!V29+'T_TTAFStock'!V29,U25+'Grid_Incoming'!V25-'Grid_Requirement'!V25))</f>
        <v/>
      </c>
      <c r="W25">
        <f>IF(COUNTIFS(T_StockCount[Part Name],$A25,T_StockCount[WeekIndex],22)&gt;0,SUMIFS(T_StockCount[CountedQty],T_StockCount[Part Name],$A25,T_StockCount[WeekIndex],22),IF((('T_SelfStock'!W29&lt;&gt;""))*(('T_TTAFStock'!W29&lt;&gt;""))&gt;0,'T_SelfStock'!W29+'T_TTAFStock'!W29,V25+'Grid_Incoming'!W25-'Grid_Requirement'!W25))</f>
        <v/>
      </c>
      <c r="X25">
        <f>IF(COUNTIFS(T_StockCount[Part Name],$A25,T_StockCount[WeekIndex],23)&gt;0,SUMIFS(T_StockCount[CountedQty],T_StockCount[Part Name],$A25,T_StockCount[WeekIndex],23),IF((('T_SelfStock'!X29&lt;&gt;""))*(('T_TTAFStock'!X29&lt;&gt;""))&gt;0,'T_SelfStock'!X29+'T_TTAFStock'!X29,W25+'Grid_Incoming'!X25-'Grid_Requirement'!X25))</f>
        <v/>
      </c>
      <c r="Y25">
        <f>IF(COUNTIFS(T_StockCount[Part Name],$A25,T_StockCount[WeekIndex],24)&gt;0,SUMIFS(T_StockCount[CountedQty],T_StockCount[Part Name],$A25,T_StockCount[WeekIndex],24),IF((('T_SelfStock'!Y29&lt;&gt;""))*(('T_TTAFStock'!Y29&lt;&gt;""))&gt;0,'T_SelfStock'!Y29+'T_TTAFStock'!Y29,X25+'Grid_Incoming'!Y25-'Grid_Requirement'!Y25))</f>
        <v/>
      </c>
      <c r="Z25">
        <f>IF(COUNTIFS(T_StockCount[Part Name],$A25,T_StockCount[WeekIndex],25)&gt;0,SUMIFS(T_StockCount[CountedQty],T_StockCount[Part Name],$A25,T_StockCount[WeekIndex],25),IF((('T_SelfStock'!Z29&lt;&gt;""))*(('T_TTAFStock'!Z29&lt;&gt;""))&gt;0,'T_SelfStock'!Z29+'T_TTAFStock'!Z29,Y25+'Grid_Incoming'!Z25-'Grid_Requirement'!Z25))</f>
        <v/>
      </c>
      <c r="AA25">
        <f>IF(COUNTIFS(T_StockCount[Part Name],$A25,T_StockCount[WeekIndex],26)&gt;0,SUMIFS(T_StockCount[CountedQty],T_StockCount[Part Name],$A25,T_StockCount[WeekIndex],26),IF((('T_SelfStock'!AA29&lt;&gt;""))*(('T_TTAFStock'!AA29&lt;&gt;""))&gt;0,'T_SelfStock'!AA29+'T_TTAFStock'!AA29,Z25+'Grid_Incoming'!AA25-'Grid_Requirement'!AA25))</f>
        <v/>
      </c>
      <c r="AB25">
        <f>IF(COUNTIFS(T_StockCount[Part Name],$A25,T_StockCount[WeekIndex],27)&gt;0,SUMIFS(T_StockCount[CountedQty],T_StockCount[Part Name],$A25,T_StockCount[WeekIndex],27),IF((('T_SelfStock'!AB29&lt;&gt;""))*(('T_TTAFStock'!AB29&lt;&gt;""))&gt;0,'T_SelfStock'!AB29+'T_TTAFStock'!AB29,AA25+'Grid_Incoming'!AB25-'Grid_Requirement'!AB25))</f>
        <v/>
      </c>
      <c r="AC25">
        <f>IF(COUNTIFS(T_StockCount[Part Name],$A25,T_StockCount[WeekIndex],28)&gt;0,SUMIFS(T_StockCount[CountedQty],T_StockCount[Part Name],$A25,T_StockCount[WeekIndex],28),IF((('T_SelfStock'!AC29&lt;&gt;""))*(('T_TTAFStock'!AC29&lt;&gt;""))&gt;0,'T_SelfStock'!AC29+'T_TTAFStock'!AC29,AB25+'Grid_Incoming'!AC25-'Grid_Requirement'!AC25))</f>
        <v/>
      </c>
      <c r="AD25">
        <f>IF(COUNTIFS(T_StockCount[Part Name],$A25,T_StockCount[WeekIndex],29)&gt;0,SUMIFS(T_StockCount[CountedQty],T_StockCount[Part Name],$A25,T_StockCount[WeekIndex],29),IF((('T_SelfStock'!AD29&lt;&gt;""))*(('T_TTAFStock'!AD29&lt;&gt;""))&gt;0,'T_SelfStock'!AD29+'T_TTAFStock'!AD29,AC25+'Grid_Incoming'!AD25-'Grid_Requirement'!AD25))</f>
        <v/>
      </c>
      <c r="AE25">
        <f>IF(COUNTIFS(T_StockCount[Part Name],$A25,T_StockCount[WeekIndex],30)&gt;0,SUMIFS(T_StockCount[CountedQty],T_StockCount[Part Name],$A25,T_StockCount[WeekIndex],30),IF((('T_SelfStock'!AE29&lt;&gt;""))*(('T_TTAFStock'!AE29&lt;&gt;""))&gt;0,'T_SelfStock'!AE29+'T_TTAFStock'!AE29,AD25+'Grid_Incoming'!AE25-'Grid_Requirement'!AE25))</f>
        <v/>
      </c>
      <c r="AF25">
        <f>IF(COUNTIFS(T_StockCount[Part Name],$A25,T_StockCount[WeekIndex],31)&gt;0,SUMIFS(T_StockCount[CountedQty],T_StockCount[Part Name],$A25,T_StockCount[WeekIndex],31),IF((('T_SelfStock'!AF29&lt;&gt;""))*(('T_TTAFStock'!AF29&lt;&gt;""))&gt;0,'T_SelfStock'!AF29+'T_TTAFStock'!AF29,AE25+'Grid_Incoming'!AF25-'Grid_Requirement'!AF25))</f>
        <v/>
      </c>
      <c r="AG25">
        <f>IF(COUNTIFS(T_StockCount[Part Name],$A25,T_StockCount[WeekIndex],32)&gt;0,SUMIFS(T_StockCount[CountedQty],T_StockCount[Part Name],$A25,T_StockCount[WeekIndex],32),IF((('T_SelfStock'!AG29&lt;&gt;""))*(('T_TTAFStock'!AG29&lt;&gt;""))&gt;0,'T_SelfStock'!AG29+'T_TTAFStock'!AG29,AF25+'Grid_Incoming'!AG25-'Grid_Requirement'!AG25))</f>
        <v/>
      </c>
      <c r="AH25">
        <f>IF(COUNTIFS(T_StockCount[Part Name],$A25,T_StockCount[WeekIndex],33)&gt;0,SUMIFS(T_StockCount[CountedQty],T_StockCount[Part Name],$A25,T_StockCount[WeekIndex],33),IF((('T_SelfStock'!AH29&lt;&gt;""))*(('T_TTAFStock'!AH29&lt;&gt;""))&gt;0,'T_SelfStock'!AH29+'T_TTAFStock'!AH29,AG25+'Grid_Incoming'!AH25-'Grid_Requirement'!AH25))</f>
        <v/>
      </c>
      <c r="AI25">
        <f>IF(COUNTIFS(T_StockCount[Part Name],$A25,T_StockCount[WeekIndex],34)&gt;0,SUMIFS(T_StockCount[CountedQty],T_StockCount[Part Name],$A25,T_StockCount[WeekIndex],34),IF((('T_SelfStock'!AI29&lt;&gt;""))*(('T_TTAFStock'!AI29&lt;&gt;""))&gt;0,'T_SelfStock'!AI29+'T_TTAFStock'!AI29,AH25+'Grid_Incoming'!AI25-'Grid_Requirement'!AI25))</f>
        <v/>
      </c>
      <c r="AJ25">
        <f>IF(COUNTIFS(T_StockCount[Part Name],$A25,T_StockCount[WeekIndex],35)&gt;0,SUMIFS(T_StockCount[CountedQty],T_StockCount[Part Name],$A25,T_StockCount[WeekIndex],35),IF((('T_SelfStock'!AJ29&lt;&gt;""))*(('T_TTAFStock'!AJ29&lt;&gt;""))&gt;0,'T_SelfStock'!AJ29+'T_TTAFStock'!AJ29,AI25+'Grid_Incoming'!AJ25-'Grid_Requirement'!AJ25))</f>
        <v/>
      </c>
      <c r="AK25">
        <f>IF(COUNTIFS(T_StockCount[Part Name],$A25,T_StockCount[WeekIndex],36)&gt;0,SUMIFS(T_StockCount[CountedQty],T_StockCount[Part Name],$A25,T_StockCount[WeekIndex],36),IF((('T_SelfStock'!AK29&lt;&gt;""))*(('T_TTAFStock'!AK29&lt;&gt;""))&gt;0,'T_SelfStock'!AK29+'T_TTAFStock'!AK29,AJ25+'Grid_Incoming'!AK25-'Grid_Requirement'!AK25))</f>
        <v/>
      </c>
      <c r="AL25">
        <f>IF(COUNTIFS(T_StockCount[Part Name],$A25,T_StockCount[WeekIndex],37)&gt;0,SUMIFS(T_StockCount[CountedQty],T_StockCount[Part Name],$A25,T_StockCount[WeekIndex],37),IF((('T_SelfStock'!AL29&lt;&gt;""))*(('T_TTAFStock'!AL29&lt;&gt;""))&gt;0,'T_SelfStock'!AL29+'T_TTAFStock'!AL29,AK25+'Grid_Incoming'!AL25-'Grid_Requirement'!AL25))</f>
        <v/>
      </c>
      <c r="AM25">
        <f>IF(COUNTIFS(T_StockCount[Part Name],$A25,T_StockCount[WeekIndex],38)&gt;0,SUMIFS(T_StockCount[CountedQty],T_StockCount[Part Name],$A25,T_StockCount[WeekIndex],38),IF((('T_SelfStock'!AM29&lt;&gt;""))*(('T_TTAFStock'!AM29&lt;&gt;""))&gt;0,'T_SelfStock'!AM29+'T_TTAFStock'!AM29,AL25+'Grid_Incoming'!AM25-'Grid_Requirement'!AM25))</f>
        <v/>
      </c>
      <c r="AN25">
        <f>IF(COUNTIFS(T_StockCount[Part Name],$A25,T_StockCount[WeekIndex],39)&gt;0,SUMIFS(T_StockCount[CountedQty],T_StockCount[Part Name],$A25,T_StockCount[WeekIndex],39),IF((('T_SelfStock'!AN29&lt;&gt;""))*(('T_TTAFStock'!AN29&lt;&gt;""))&gt;0,'T_SelfStock'!AN29+'T_TTAFStock'!AN29,AM25+'Grid_Incoming'!AN25-'Grid_Requirement'!AN25))</f>
        <v/>
      </c>
      <c r="AO25">
        <f>IF(COUNTIFS(T_StockCount[Part Name],$A25,T_StockCount[WeekIndex],40)&gt;0,SUMIFS(T_StockCount[CountedQty],T_StockCount[Part Name],$A25,T_StockCount[WeekIndex],40),IF((('T_SelfStock'!AO29&lt;&gt;""))*(('T_TTAFStock'!AO29&lt;&gt;""))&gt;0,'T_SelfStock'!AO29+'T_TTAFStock'!AO29,AN25+'Grid_Incoming'!AO25-'Grid_Requirement'!AO25))</f>
        <v/>
      </c>
      <c r="AP25">
        <f>IF(COUNTIFS(T_StockCount[Part Name],$A25,T_StockCount[WeekIndex],41)&gt;0,SUMIFS(T_StockCount[CountedQty],T_StockCount[Part Name],$A25,T_StockCount[WeekIndex],41),IF((('T_SelfStock'!AP29&lt;&gt;""))*(('T_TTAFStock'!AP29&lt;&gt;""))&gt;0,'T_SelfStock'!AP29+'T_TTAFStock'!AP29,AO25+'Grid_Incoming'!AP25-'Grid_Requirement'!AP25))</f>
        <v/>
      </c>
      <c r="AQ25">
        <f>IF(COUNTIFS(T_StockCount[Part Name],$A25,T_StockCount[WeekIndex],42)&gt;0,SUMIFS(T_StockCount[CountedQty],T_StockCount[Part Name],$A25,T_StockCount[WeekIndex],42),IF((('T_SelfStock'!AQ29&lt;&gt;""))*(('T_TTAFStock'!AQ29&lt;&gt;""))&gt;0,'T_SelfStock'!AQ29+'T_TTAFStock'!AQ29,AP25+'Grid_Incoming'!AQ25-'Grid_Requirement'!AQ25))</f>
        <v/>
      </c>
      <c r="AR25">
        <f>IF(COUNTIFS(T_StockCount[Part Name],$A25,T_StockCount[WeekIndex],43)&gt;0,SUMIFS(T_StockCount[CountedQty],T_StockCount[Part Name],$A25,T_StockCount[WeekIndex],43),IF((('T_SelfStock'!AR29&lt;&gt;""))*(('T_TTAFStock'!AR29&lt;&gt;""))&gt;0,'T_SelfStock'!AR29+'T_TTAFStock'!AR29,AQ25+'Grid_Incoming'!AR25-'Grid_Requirement'!AR25))</f>
        <v/>
      </c>
      <c r="AS25">
        <f>IF(COUNTIFS(T_StockCount[Part Name],$A25,T_StockCount[WeekIndex],44)&gt;0,SUMIFS(T_StockCount[CountedQty],T_StockCount[Part Name],$A25,T_StockCount[WeekIndex],44),IF((('T_SelfStock'!AS29&lt;&gt;""))*(('T_TTAFStock'!AS29&lt;&gt;""))&gt;0,'T_SelfStock'!AS29+'T_TTAFStock'!AS29,AR25+'Grid_Incoming'!AS25-'Grid_Requirement'!AS25))</f>
        <v/>
      </c>
      <c r="AT25">
        <f>IF(COUNTIFS(T_StockCount[Part Name],$A25,T_StockCount[WeekIndex],45)&gt;0,SUMIFS(T_StockCount[CountedQty],T_StockCount[Part Name],$A25,T_StockCount[WeekIndex],45),IF((('T_SelfStock'!AT29&lt;&gt;""))*(('T_TTAFStock'!AT29&lt;&gt;""))&gt;0,'T_SelfStock'!AT29+'T_TTAFStock'!AT29,AS25+'Grid_Incoming'!AT25-'Grid_Requirement'!AT25))</f>
        <v/>
      </c>
      <c r="AU25">
        <f>IF(COUNTIFS(T_StockCount[Part Name],$A25,T_StockCount[WeekIndex],46)&gt;0,SUMIFS(T_StockCount[CountedQty],T_StockCount[Part Name],$A25,T_StockCount[WeekIndex],46),IF((('T_SelfStock'!AU29&lt;&gt;""))*(('T_TTAFStock'!AU29&lt;&gt;""))&gt;0,'T_SelfStock'!AU29+'T_TTAFStock'!AU29,AT25+'Grid_Incoming'!AU25-'Grid_Requirement'!AU25))</f>
        <v/>
      </c>
      <c r="AV25">
        <f>IF(COUNTIFS(T_StockCount[Part Name],$A25,T_StockCount[WeekIndex],47)&gt;0,SUMIFS(T_StockCount[CountedQty],T_StockCount[Part Name],$A25,T_StockCount[WeekIndex],47),IF((('T_SelfStock'!AV29&lt;&gt;""))*(('T_TTAFStock'!AV29&lt;&gt;""))&gt;0,'T_SelfStock'!AV29+'T_TTAFStock'!AV29,AU25+'Grid_Incoming'!AV25-'Grid_Requirement'!AV25))</f>
        <v/>
      </c>
      <c r="AW25">
        <f>IF(COUNTIFS(T_StockCount[Part Name],$A25,T_StockCount[WeekIndex],48)&gt;0,SUMIFS(T_StockCount[CountedQty],T_StockCount[Part Name],$A25,T_StockCount[WeekIndex],48),IF((('T_SelfStock'!AW29&lt;&gt;""))*(('T_TTAFStock'!AW29&lt;&gt;""))&gt;0,'T_SelfStock'!AW29+'T_TTAFStock'!AW29,AV25+'Grid_Incoming'!AW25-'Grid_Requirement'!AW25))</f>
        <v/>
      </c>
      <c r="AX25">
        <f>IF(COUNTIFS(T_StockCount[Part Name],$A25,T_StockCount[WeekIndex],49)&gt;0,SUMIFS(T_StockCount[CountedQty],T_StockCount[Part Name],$A25,T_StockCount[WeekIndex],49),IF((('T_SelfStock'!AX29&lt;&gt;""))*(('T_TTAFStock'!AX29&lt;&gt;""))&gt;0,'T_SelfStock'!AX29+'T_TTAFStock'!AX29,AW25+'Grid_Incoming'!AX25-'Grid_Requirement'!AX25))</f>
        <v/>
      </c>
      <c r="AY25">
        <f>IF(COUNTIFS(T_StockCount[Part Name],$A25,T_StockCount[WeekIndex],50)&gt;0,SUMIFS(T_StockCount[CountedQty],T_StockCount[Part Name],$A25,T_StockCount[WeekIndex],50),IF((('T_SelfStock'!AY29&lt;&gt;""))*(('T_TTAFStock'!AY29&lt;&gt;""))&gt;0,'T_SelfStock'!AY29+'T_TTAFStock'!AY29,AX25+'Grid_Incoming'!AY25-'Grid_Requirement'!AY25))</f>
        <v/>
      </c>
      <c r="AZ25">
        <f>IF(COUNTIFS(T_StockCount[Part Name],$A25,T_StockCount[WeekIndex],51)&gt;0,SUMIFS(T_StockCount[CountedQty],T_StockCount[Part Name],$A25,T_StockCount[WeekIndex],51),IF((('T_SelfStock'!AZ29&lt;&gt;""))*(('T_TTAFStock'!AZ29&lt;&gt;""))&gt;0,'T_SelfStock'!AZ29+'T_TTAFStock'!AZ29,AY25+'Grid_Incoming'!AZ25-'Grid_Requirement'!AZ25))</f>
        <v/>
      </c>
      <c r="BA25">
        <f>IF(COUNTIFS(T_StockCount[Part Name],$A25,T_StockCount[WeekIndex],52)&gt;0,SUMIFS(T_StockCount[CountedQty],T_StockCount[Part Name],$A25,T_StockCount[WeekIndex],52),IF((('T_SelfStock'!BA29&lt;&gt;""))*(('T_TTAFStock'!BA29&lt;&gt;""))&gt;0,'T_SelfStock'!BA29+'T_TTAFStock'!BA29,AZ25+'Grid_Incoming'!BA25-'Grid_Requirement'!BA25))</f>
        <v/>
      </c>
      <c r="BB25">
        <f>IF(COUNTIFS(T_StockCount[Part Name],$A25,T_StockCount[WeekIndex],53)&gt;0,SUMIFS(T_StockCount[CountedQty],T_StockCount[Part Name],$A25,T_StockCount[WeekIndex],53),IF((('T_SelfStock'!BB29&lt;&gt;""))*(('T_TTAFStock'!BB29&lt;&gt;""))&gt;0,'T_SelfStock'!BB29+'T_TTAFStock'!BB29,BA25+'Grid_Incoming'!BB25-'Grid_Requirement'!BB25))</f>
        <v/>
      </c>
      <c r="BC25">
        <f>IF(COUNTIFS(T_StockCount[Part Name],$A25,T_StockCount[WeekIndex],54)&gt;0,SUMIFS(T_StockCount[CountedQty],T_StockCount[Part Name],$A25,T_StockCount[WeekIndex],54),IF((('T_SelfStock'!BC29&lt;&gt;""))*(('T_TTAFStock'!BC29&lt;&gt;""))&gt;0,'T_SelfStock'!BC29+'T_TTAFStock'!BC29,BB25+'Grid_Incoming'!BC25-'Grid_Requirement'!BC25))</f>
        <v/>
      </c>
      <c r="BD25">
        <f>IF(COUNTIFS(T_StockCount[Part Name],$A25,T_StockCount[WeekIndex],55)&gt;0,SUMIFS(T_StockCount[CountedQty],T_StockCount[Part Name],$A25,T_StockCount[WeekIndex],55),IF((('T_SelfStock'!BD29&lt;&gt;""))*(('T_TTAFStock'!BD29&lt;&gt;""))&gt;0,'T_SelfStock'!BD29+'T_TTAFStock'!BD29,BC25+'Grid_Incoming'!BD25-'Grid_Requirement'!BD25))</f>
        <v/>
      </c>
      <c r="BE25">
        <f>IF(COUNTIFS(T_StockCount[Part Name],$A25,T_StockCount[WeekIndex],56)&gt;0,SUMIFS(T_StockCount[CountedQty],T_StockCount[Part Name],$A25,T_StockCount[WeekIndex],56),IF((('T_SelfStock'!BE29&lt;&gt;""))*(('T_TTAFStock'!BE29&lt;&gt;""))&gt;0,'T_SelfStock'!BE29+'T_TTAFStock'!BE29,BD25+'Grid_Incoming'!BE25-'Grid_Requirement'!BE25))</f>
        <v/>
      </c>
      <c r="BF25">
        <f>IF(COUNTIFS(T_StockCount[Part Name],$A25,T_StockCount[WeekIndex],57)&gt;0,SUMIFS(T_StockCount[CountedQty],T_StockCount[Part Name],$A25,T_StockCount[WeekIndex],57),IF((('T_SelfStock'!BF29&lt;&gt;""))*(('T_TTAFStock'!BF29&lt;&gt;""))&gt;0,'T_SelfStock'!BF29+'T_TTAFStock'!BF29,BE25+'Grid_Incoming'!BF25-'Grid_Requirement'!BF25))</f>
        <v/>
      </c>
      <c r="BG25">
        <f>IF(COUNTIFS(T_StockCount[Part Name],$A25,T_StockCount[WeekIndex],58)&gt;0,SUMIFS(T_StockCount[CountedQty],T_StockCount[Part Name],$A25,T_StockCount[WeekIndex],58),IF((('T_SelfStock'!BG29&lt;&gt;""))*(('T_TTAFStock'!BG29&lt;&gt;""))&gt;0,'T_SelfStock'!BG29+'T_TTAFStock'!BG29,BF25+'Grid_Incoming'!BG25-'Grid_Requirement'!BG25))</f>
        <v/>
      </c>
      <c r="BH25">
        <f>IF(COUNTIFS(T_StockCount[Part Name],$A25,T_StockCount[WeekIndex],59)&gt;0,SUMIFS(T_StockCount[CountedQty],T_StockCount[Part Name],$A25,T_StockCount[WeekIndex],59),IF((('T_SelfStock'!BH29&lt;&gt;""))*(('T_TTAFStock'!BH29&lt;&gt;""))&gt;0,'T_SelfStock'!BH29+'T_TTAFStock'!BH29,BG25+'Grid_Incoming'!BH25-'Grid_Requirement'!BH25))</f>
        <v/>
      </c>
      <c r="BI25">
        <f>IF(COUNTIFS(T_StockCount[Part Name],$A25,T_StockCount[WeekIndex],60)&gt;0,SUMIFS(T_StockCount[CountedQty],T_StockCount[Part Name],$A25,T_StockCount[WeekIndex],60),IF((('T_SelfStock'!BI29&lt;&gt;""))*(('T_TTAFStock'!BI29&lt;&gt;""))&gt;0,'T_SelfStock'!BI29+'T_TTAFStock'!BI29,BH25+'Grid_Incoming'!BI25-'Grid_Requirement'!BI25))</f>
        <v/>
      </c>
      <c r="BJ25">
        <f>IF(COUNTIFS(T_StockCount[Part Name],$A25,T_StockCount[WeekIndex],61)&gt;0,SUMIFS(T_StockCount[CountedQty],T_StockCount[Part Name],$A25,T_StockCount[WeekIndex],61),IF((('T_SelfStock'!BJ29&lt;&gt;""))*(('T_TTAFStock'!BJ29&lt;&gt;""))&gt;0,'T_SelfStock'!BJ29+'T_TTAFStock'!BJ29,BI25+'Grid_Incoming'!BJ25-'Grid_Requirement'!BJ25))</f>
        <v/>
      </c>
      <c r="BK25">
        <f>IF(COUNTIFS(T_StockCount[Part Name],$A25,T_StockCount[WeekIndex],62)&gt;0,SUMIFS(T_StockCount[CountedQty],T_StockCount[Part Name],$A25,T_StockCount[WeekIndex],62),IF((('T_SelfStock'!BK29&lt;&gt;""))*(('T_TTAFStock'!BK29&lt;&gt;""))&gt;0,'T_SelfStock'!BK29+'T_TTAFStock'!BK29,BJ25+'Grid_Incoming'!BK25-'Grid_Requirement'!BK25))</f>
        <v/>
      </c>
      <c r="BL25">
        <f>IF(COUNTIFS(T_StockCount[Part Name],$A25,T_StockCount[WeekIndex],63)&gt;0,SUMIFS(T_StockCount[CountedQty],T_StockCount[Part Name],$A25,T_StockCount[WeekIndex],63),IF((('T_SelfStock'!BL29&lt;&gt;""))*(('T_TTAFStock'!BL29&lt;&gt;""))&gt;0,'T_SelfStock'!BL29+'T_TTAFStock'!BL29,BK25+'Grid_Incoming'!BL25-'Grid_Requirement'!BL25))</f>
        <v/>
      </c>
      <c r="BM25">
        <f>IF(COUNTIFS(T_StockCount[Part Name],$A25,T_StockCount[WeekIndex],64)&gt;0,SUMIFS(T_StockCount[CountedQty],T_StockCount[Part Name],$A25,T_StockCount[WeekIndex],64),IF((('T_SelfStock'!BM29&lt;&gt;""))*(('T_TTAFStock'!BM29&lt;&gt;""))&gt;0,'T_SelfStock'!BM29+'T_TTAFStock'!BM29,BL25+'Grid_Incoming'!BM25-'Grid_Requirement'!BM25))</f>
        <v/>
      </c>
      <c r="BN25">
        <f>IF(COUNTIFS(T_StockCount[Part Name],$A25,T_StockCount[WeekIndex],65)&gt;0,SUMIFS(T_StockCount[CountedQty],T_StockCount[Part Name],$A25,T_StockCount[WeekIndex],65),IF((('T_SelfStock'!BN29&lt;&gt;""))*(('T_TTAFStock'!BN29&lt;&gt;""))&gt;0,'T_SelfStock'!BN29+'T_TTAFStock'!BN29,BM25+'Grid_Incoming'!BN25-'Grid_Requirement'!BN25))</f>
        <v/>
      </c>
      <c r="BO25">
        <f>IF(COUNTIFS(T_StockCount[Part Name],$A25,T_StockCount[WeekIndex],66)&gt;0,SUMIFS(T_StockCount[CountedQty],T_StockCount[Part Name],$A25,T_StockCount[WeekIndex],66),IF((('T_SelfStock'!BO29&lt;&gt;""))*(('T_TTAFStock'!BO29&lt;&gt;""))&gt;0,'T_SelfStock'!BO29+'T_TTAFStock'!BO29,BN25+'Grid_Incoming'!BO25-'Grid_Requirement'!BO25))</f>
        <v/>
      </c>
      <c r="BP25">
        <f>IF(COUNTIFS(T_StockCount[Part Name],$A25,T_StockCount[WeekIndex],67)&gt;0,SUMIFS(T_StockCount[CountedQty],T_StockCount[Part Name],$A25,T_StockCount[WeekIndex],67),IF((('T_SelfStock'!BP29&lt;&gt;""))*(('T_TTAFStock'!BP29&lt;&gt;""))&gt;0,'T_SelfStock'!BP29+'T_TTAFStock'!BP29,BO25+'Grid_Incoming'!BP25-'Grid_Requirement'!BP25))</f>
        <v/>
      </c>
      <c r="BQ25">
        <f>IF(COUNTIFS(T_StockCount[Part Name],$A25,T_StockCount[WeekIndex],68)&gt;0,SUMIFS(T_StockCount[CountedQty],T_StockCount[Part Name],$A25,T_StockCount[WeekIndex],68),IF((('T_SelfStock'!BQ29&lt;&gt;""))*(('T_TTAFStock'!BQ29&lt;&gt;""))&gt;0,'T_SelfStock'!BQ29+'T_TTAFStock'!BQ29,BP25+'Grid_Incoming'!BQ25-'Grid_Requirement'!BQ25))</f>
        <v/>
      </c>
      <c r="BR25">
        <f>IF(COUNTIFS(T_StockCount[Part Name],$A25,T_StockCount[WeekIndex],69)&gt;0,SUMIFS(T_StockCount[CountedQty],T_StockCount[Part Name],$A25,T_StockCount[WeekIndex],69),IF((('T_SelfStock'!BR29&lt;&gt;""))*(('T_TTAFStock'!BR29&lt;&gt;""))&gt;0,'T_SelfStock'!BR29+'T_TTAFStock'!BR29,BQ25+'Grid_Incoming'!BR25-'Grid_Requirement'!BR25))</f>
        <v/>
      </c>
      <c r="BS25">
        <f>IF(COUNTIFS(T_StockCount[Part Name],$A25,T_StockCount[WeekIndex],70)&gt;0,SUMIFS(T_StockCount[CountedQty],T_StockCount[Part Name],$A25,T_StockCount[WeekIndex],70),IF((('T_SelfStock'!BS29&lt;&gt;""))*(('T_TTAFStock'!BS29&lt;&gt;""))&gt;0,'T_SelfStock'!BS29+'T_TTAFStock'!BS29,BR25+'Grid_Incoming'!BS25-'Grid_Requirement'!BS25))</f>
        <v/>
      </c>
      <c r="BT25">
        <f>IF(COUNTIFS(T_StockCount[Part Name],$A25,T_StockCount[WeekIndex],71)&gt;0,SUMIFS(T_StockCount[CountedQty],T_StockCount[Part Name],$A25,T_StockCount[WeekIndex],71),IF((('T_SelfStock'!BT29&lt;&gt;""))*(('T_TTAFStock'!BT29&lt;&gt;""))&gt;0,'T_SelfStock'!BT29+'T_TTAFStock'!BT29,BS25+'Grid_Incoming'!BT25-'Grid_Requirement'!BT25))</f>
        <v/>
      </c>
      <c r="BU25">
        <f>IF(COUNTIFS(T_StockCount[Part Name],$A25,T_StockCount[WeekIndex],72)&gt;0,SUMIFS(T_StockCount[CountedQty],T_StockCount[Part Name],$A25,T_StockCount[WeekIndex],72),IF((('T_SelfStock'!BU29&lt;&gt;""))*(('T_TTAFStock'!BU29&lt;&gt;""))&gt;0,'T_SelfStock'!BU29+'T_TTAFStock'!BU29,BT25+'Grid_Incoming'!BU25-'Grid_Requirement'!BU25))</f>
        <v/>
      </c>
      <c r="BV25">
        <f>IF(COUNTIFS(T_StockCount[Part Name],$A25,T_StockCount[WeekIndex],73)&gt;0,SUMIFS(T_StockCount[CountedQty],T_StockCount[Part Name],$A25,T_StockCount[WeekIndex],73),IF((('T_SelfStock'!BV29&lt;&gt;""))*(('T_TTAFStock'!BV29&lt;&gt;""))&gt;0,'T_SelfStock'!BV29+'T_TTAFStock'!BV29,BU25+'Grid_Incoming'!BV25-'Grid_Requirement'!BV25))</f>
        <v/>
      </c>
      <c r="BW25">
        <f>IF(COUNTIFS(T_StockCount[Part Name],$A25,T_StockCount[WeekIndex],74)&gt;0,SUMIFS(T_StockCount[CountedQty],T_StockCount[Part Name],$A25,T_StockCount[WeekIndex],74),IF((('T_SelfStock'!BW29&lt;&gt;""))*(('T_TTAFStock'!BW29&lt;&gt;""))&gt;0,'T_SelfStock'!BW29+'T_TTAFStock'!BW29,BV25+'Grid_Incoming'!BW25-'Grid_Requirement'!BW25))</f>
        <v/>
      </c>
      <c r="BX25">
        <f>IF(COUNTIFS(T_StockCount[Part Name],$A25,T_StockCount[WeekIndex],75)&gt;0,SUMIFS(T_StockCount[CountedQty],T_StockCount[Part Name],$A25,T_StockCount[WeekIndex],75),IF((('T_SelfStock'!BX29&lt;&gt;""))*(('T_TTAFStock'!BX29&lt;&gt;""))&gt;0,'T_SelfStock'!BX29+'T_TTAFStock'!BX29,BW25+'Grid_Incoming'!BX25-'Grid_Requirement'!BX25))</f>
        <v/>
      </c>
      <c r="BY25">
        <f>IF(COUNTIFS(T_StockCount[Part Name],$A25,T_StockCount[WeekIndex],76)&gt;0,SUMIFS(T_StockCount[CountedQty],T_StockCount[Part Name],$A25,T_StockCount[WeekIndex],76),IF((('T_SelfStock'!BY29&lt;&gt;""))*(('T_TTAFStock'!BY29&lt;&gt;""))&gt;0,'T_SelfStock'!BY29+'T_TTAFStock'!BY29,BX25+'Grid_Incoming'!BY25-'Grid_Requirement'!BY25))</f>
        <v/>
      </c>
      <c r="BZ25">
        <f>IF(COUNTIFS(T_StockCount[Part Name],$A25,T_StockCount[WeekIndex],77)&gt;0,SUMIFS(T_StockCount[CountedQty],T_StockCount[Part Name],$A25,T_StockCount[WeekIndex],77),IF((('T_SelfStock'!BZ29&lt;&gt;""))*(('T_TTAFStock'!BZ29&lt;&gt;""))&gt;0,'T_SelfStock'!BZ29+'T_TTAFStock'!BZ29,BY25+'Grid_Incoming'!BZ25-'Grid_Requirement'!BZ25))</f>
        <v/>
      </c>
      <c r="CA25">
        <f>IF(COUNTIFS(T_StockCount[Part Name],$A25,T_StockCount[WeekIndex],78)&gt;0,SUMIFS(T_StockCount[CountedQty],T_StockCount[Part Name],$A25,T_StockCount[WeekIndex],78),IF((('T_SelfStock'!CA29&lt;&gt;""))*(('T_TTAFStock'!CA29&lt;&gt;""))&gt;0,'T_SelfStock'!CA29+'T_TTAFStock'!CA29,BZ25+'Grid_Incoming'!CA25-'Grid_Requirement'!CA25))</f>
        <v/>
      </c>
      <c r="CB25">
        <f>IF(COUNTIFS(T_StockCount[Part Name],$A25,T_StockCount[WeekIndex],79)&gt;0,SUMIFS(T_StockCount[CountedQty],T_StockCount[Part Name],$A25,T_StockCount[WeekIndex],79),IF((('T_SelfStock'!CB29&lt;&gt;""))*(('T_TTAFStock'!CB29&lt;&gt;""))&gt;0,'T_SelfStock'!CB29+'T_TTAFStock'!CB29,CA25+'Grid_Incoming'!CB25-'Grid_Requirement'!CB25))</f>
        <v/>
      </c>
      <c r="CC25">
        <f>IF(COUNTIFS(T_StockCount[Part Name],$A25,T_StockCount[WeekIndex],80)&gt;0,SUMIFS(T_StockCount[CountedQty],T_StockCount[Part Name],$A25,T_StockCount[WeekIndex],80),IF((('T_SelfStock'!CC29&lt;&gt;""))*(('T_TTAFStock'!CC29&lt;&gt;""))&gt;0,'T_SelfStock'!CC29+'T_TTAFStock'!CC29,CB25+'Grid_Incoming'!CC25-'Grid_Requirement'!CC25))</f>
        <v/>
      </c>
      <c r="CD25">
        <f>IF(COUNTIFS(T_StockCount[Part Name],$A25,T_StockCount[WeekIndex],81)&gt;0,SUMIFS(T_StockCount[CountedQty],T_StockCount[Part Name],$A25,T_StockCount[WeekIndex],81),IF((('T_SelfStock'!CD29&lt;&gt;""))*(('T_TTAFStock'!CD29&lt;&gt;""))&gt;0,'T_SelfStock'!CD29+'T_TTAFStock'!CD29,CC25+'Grid_Incoming'!CD25-'Grid_Requirement'!CD25))</f>
        <v/>
      </c>
      <c r="CE25">
        <f>IF(COUNTIFS(T_StockCount[Part Name],$A25,T_StockCount[WeekIndex],82)&gt;0,SUMIFS(T_StockCount[CountedQty],T_StockCount[Part Name],$A25,T_StockCount[WeekIndex],82),IF((('T_SelfStock'!CE29&lt;&gt;""))*(('T_TTAFStock'!CE29&lt;&gt;""))&gt;0,'T_SelfStock'!CE29+'T_TTAFStock'!CE29,CD25+'Grid_Incoming'!CE25-'Grid_Requirement'!CE25))</f>
        <v/>
      </c>
      <c r="CF25">
        <f>IF(COUNTIFS(T_StockCount[Part Name],$A25,T_StockCount[WeekIndex],83)&gt;0,SUMIFS(T_StockCount[CountedQty],T_StockCount[Part Name],$A25,T_StockCount[WeekIndex],83),IF((('T_SelfStock'!CF29&lt;&gt;""))*(('T_TTAFStock'!CF29&lt;&gt;""))&gt;0,'T_SelfStock'!CF29+'T_TTAFStock'!CF29,CE25+'Grid_Incoming'!CF25-'Grid_Requirement'!CF25))</f>
        <v/>
      </c>
      <c r="CG25">
        <f>IF(COUNTIFS(T_StockCount[Part Name],$A25,T_StockCount[WeekIndex],84)&gt;0,SUMIFS(T_StockCount[CountedQty],T_StockCount[Part Name],$A25,T_StockCount[WeekIndex],84),IF((('T_SelfStock'!CG29&lt;&gt;""))*(('T_TTAFStock'!CG29&lt;&gt;""))&gt;0,'T_SelfStock'!CG29+'T_TTAFStock'!CG29,CF25+'Grid_Incoming'!CG25-'Grid_Requirement'!CG25))</f>
        <v/>
      </c>
      <c r="CH25">
        <f>IF(COUNTIFS(T_StockCount[Part Name],$A25,T_StockCount[WeekIndex],85)&gt;0,SUMIFS(T_StockCount[CountedQty],T_StockCount[Part Name],$A25,T_StockCount[WeekIndex],85),IF((('T_SelfStock'!CH29&lt;&gt;""))*(('T_TTAFStock'!CH29&lt;&gt;""))&gt;0,'T_SelfStock'!CH29+'T_TTAFStock'!CH29,CG25+'Grid_Incoming'!CH25-'Grid_Requirement'!CH25))</f>
        <v/>
      </c>
      <c r="CI25">
        <f>IF(COUNTIFS(T_StockCount[Part Name],$A25,T_StockCount[WeekIndex],86)&gt;0,SUMIFS(T_StockCount[CountedQty],T_StockCount[Part Name],$A25,T_StockCount[WeekIndex],86),IF((('T_SelfStock'!CI29&lt;&gt;""))*(('T_TTAFStock'!CI29&lt;&gt;""))&gt;0,'T_SelfStock'!CI29+'T_TTAFStock'!CI29,CH25+'Grid_Incoming'!CI25-'Grid_Requirement'!CI25))</f>
        <v/>
      </c>
      <c r="CJ25">
        <f>IF(COUNTIFS(T_StockCount[Part Name],$A25,T_StockCount[WeekIndex],87)&gt;0,SUMIFS(T_StockCount[CountedQty],T_StockCount[Part Name],$A25,T_StockCount[WeekIndex],87),IF((('T_SelfStock'!CJ29&lt;&gt;""))*(('T_TTAFStock'!CJ29&lt;&gt;""))&gt;0,'T_SelfStock'!CJ29+'T_TTAFStock'!CJ29,CI25+'Grid_Incoming'!CJ25-'Grid_Requirement'!CJ25))</f>
        <v/>
      </c>
      <c r="CK25">
        <f>IF(COUNTIFS(T_StockCount[Part Name],$A25,T_StockCount[WeekIndex],88)&gt;0,SUMIFS(T_StockCount[CountedQty],T_StockCount[Part Name],$A25,T_StockCount[WeekIndex],88),IF((('T_SelfStock'!CK29&lt;&gt;""))*(('T_TTAFStock'!CK29&lt;&gt;""))&gt;0,'T_SelfStock'!CK29+'T_TTAFStock'!CK29,CJ25+'Grid_Incoming'!CK25-'Grid_Requirement'!CK25))</f>
        <v/>
      </c>
      <c r="CL25">
        <f>IF(COUNTIFS(T_StockCount[Part Name],$A25,T_StockCount[WeekIndex],89)&gt;0,SUMIFS(T_StockCount[CountedQty],T_StockCount[Part Name],$A25,T_StockCount[WeekIndex],89),IF((('T_SelfStock'!CL29&lt;&gt;""))*(('T_TTAFStock'!CL29&lt;&gt;""))&gt;0,'T_SelfStock'!CL29+'T_TTAFStock'!CL29,CK25+'Grid_Incoming'!CL25-'Grid_Requirement'!CL25))</f>
        <v/>
      </c>
      <c r="CM25">
        <f>IF(COUNTIFS(T_StockCount[Part Name],$A25,T_StockCount[WeekIndex],90)&gt;0,SUMIFS(T_StockCount[CountedQty],T_StockCount[Part Name],$A25,T_StockCount[WeekIndex],90),IF((('T_SelfStock'!CM29&lt;&gt;""))*(('T_TTAFStock'!CM29&lt;&gt;""))&gt;0,'T_SelfStock'!CM29+'T_TTAFStock'!CM29,CL25+'Grid_Incoming'!CM25-'Grid_Requirement'!CM25))</f>
        <v/>
      </c>
      <c r="CN25">
        <f>IF(COUNTIFS(T_StockCount[Part Name],$A25,T_StockCount[WeekIndex],91)&gt;0,SUMIFS(T_StockCount[CountedQty],T_StockCount[Part Name],$A25,T_StockCount[WeekIndex],91),IF((('T_SelfStock'!CN29&lt;&gt;""))*(('T_TTAFStock'!CN29&lt;&gt;""))&gt;0,'T_SelfStock'!CN29+'T_TTAFStock'!CN29,CM25+'Grid_Incoming'!CN25-'Grid_Requirement'!CN25))</f>
        <v/>
      </c>
      <c r="CO25">
        <f>IF(COUNTIFS(T_StockCount[Part Name],$A25,T_StockCount[WeekIndex],92)&gt;0,SUMIFS(T_StockCount[CountedQty],T_StockCount[Part Name],$A25,T_StockCount[WeekIndex],92),IF((('T_SelfStock'!CO29&lt;&gt;""))*(('T_TTAFStock'!CO29&lt;&gt;""))&gt;0,'T_SelfStock'!CO29+'T_TTAFStock'!CO29,CN25+'Grid_Incoming'!CO25-'Grid_Requirement'!CO25))</f>
        <v/>
      </c>
      <c r="CP25">
        <f>IF(COUNTIFS(T_StockCount[Part Name],$A25,T_StockCount[WeekIndex],93)&gt;0,SUMIFS(T_StockCount[CountedQty],T_StockCount[Part Name],$A25,T_StockCount[WeekIndex],93),IF((('T_SelfStock'!CP29&lt;&gt;""))*(('T_TTAFStock'!CP29&lt;&gt;""))&gt;0,'T_SelfStock'!CP29+'T_TTAFStock'!CP29,CO25+'Grid_Incoming'!CP25-'Grid_Requirement'!CP25))</f>
        <v/>
      </c>
      <c r="CQ25">
        <f>IF(COUNTIFS(T_StockCount[Part Name],$A25,T_StockCount[WeekIndex],94)&gt;0,SUMIFS(T_StockCount[CountedQty],T_StockCount[Part Name],$A25,T_StockCount[WeekIndex],94),IF((('T_SelfStock'!CQ29&lt;&gt;""))*(('T_TTAFStock'!CQ29&lt;&gt;""))&gt;0,'T_SelfStock'!CQ29+'T_TTAFStock'!CQ29,CP25+'Grid_Incoming'!CQ25-'Grid_Requirement'!CQ25))</f>
        <v/>
      </c>
      <c r="CR25">
        <f>IF(COUNTIFS(T_StockCount[Part Name],$A25,T_StockCount[WeekIndex],95)&gt;0,SUMIFS(T_StockCount[CountedQty],T_StockCount[Part Name],$A25,T_StockCount[WeekIndex],95),IF((('T_SelfStock'!CR29&lt;&gt;""))*(('T_TTAFStock'!CR29&lt;&gt;""))&gt;0,'T_SelfStock'!CR29+'T_TTAFStock'!CR29,CQ25+'Grid_Incoming'!CR25-'Grid_Requirement'!CR25))</f>
        <v/>
      </c>
      <c r="CS25">
        <f>IF(COUNTIFS(T_StockCount[Part Name],$A25,T_StockCount[WeekIndex],96)&gt;0,SUMIFS(T_StockCount[CountedQty],T_StockCount[Part Name],$A25,T_StockCount[WeekIndex],96),IF((('T_SelfStock'!CS29&lt;&gt;""))*(('T_TTAFStock'!CS29&lt;&gt;""))&gt;0,'T_SelfStock'!CS29+'T_TTAFStock'!CS29,CR25+'Grid_Incoming'!CS25-'Grid_Requirement'!CS25))</f>
        <v/>
      </c>
      <c r="CT25">
        <f>IF(COUNTIFS(T_StockCount[Part Name],$A25,T_StockCount[WeekIndex],97)&gt;0,SUMIFS(T_StockCount[CountedQty],T_StockCount[Part Name],$A25,T_StockCount[WeekIndex],97),IF((('T_SelfStock'!CT29&lt;&gt;""))*(('T_TTAFStock'!CT29&lt;&gt;""))&gt;0,'T_SelfStock'!CT29+'T_TTAFStock'!CT29,CS25+'Grid_Incoming'!CT25-'Grid_Requirement'!CT25))</f>
        <v/>
      </c>
      <c r="CU25">
        <f>IF(COUNTIFS(T_StockCount[Part Name],$A25,T_StockCount[WeekIndex],98)&gt;0,SUMIFS(T_StockCount[CountedQty],T_StockCount[Part Name],$A25,T_StockCount[WeekIndex],98),IF((('T_SelfStock'!CU29&lt;&gt;""))*(('T_TTAFStock'!CU29&lt;&gt;""))&gt;0,'T_SelfStock'!CU29+'T_TTAFStock'!CU29,CT25+'Grid_Incoming'!CU25-'Grid_Requirement'!CU25))</f>
        <v/>
      </c>
      <c r="CV25">
        <f>IF(COUNTIFS(T_StockCount[Part Name],$A25,T_StockCount[WeekIndex],99)&gt;0,SUMIFS(T_StockCount[CountedQty],T_StockCount[Part Name],$A25,T_StockCount[WeekIndex],99),IF((('T_SelfStock'!CV29&lt;&gt;""))*(('T_TTAFStock'!CV29&lt;&gt;""))&gt;0,'T_SelfStock'!CV29+'T_TTAFStock'!CV29,CU25+'Grid_Incoming'!CV25-'Grid_Requirement'!CV25))</f>
        <v/>
      </c>
      <c r="CW25">
        <f>IF(COUNTIFS(T_StockCount[Part Name],$A25,T_StockCount[WeekIndex],100)&gt;0,SUMIFS(T_StockCount[CountedQty],T_StockCount[Part Name],$A25,T_StockCount[WeekIndex],100),IF((('T_SelfStock'!CW29&lt;&gt;""))*(('T_TTAFStock'!CW29&lt;&gt;""))&gt;0,'T_SelfStock'!CW29+'T_TTAFStock'!CW29,CV25+'Grid_Incoming'!CW25-'Grid_Requirement'!CW25))</f>
        <v/>
      </c>
      <c r="CX25">
        <f>IF(COUNTIFS(T_StockCount[Part Name],$A25,T_StockCount[WeekIndex],101)&gt;0,SUMIFS(T_StockCount[CountedQty],T_StockCount[Part Name],$A25,T_StockCount[WeekIndex],101),IF((('T_SelfStock'!CX29&lt;&gt;""))*(('T_TTAFStock'!CX29&lt;&gt;""))&gt;0,'T_SelfStock'!CX29+'T_TTAFStock'!CX29,CW25+'Grid_Incoming'!CX25-'Grid_Requirement'!CX25))</f>
        <v/>
      </c>
      <c r="CY25">
        <f>IF(COUNTIFS(T_StockCount[Part Name],$A25,T_StockCount[WeekIndex],102)&gt;0,SUMIFS(T_StockCount[CountedQty],T_StockCount[Part Name],$A25,T_StockCount[WeekIndex],102),IF((('T_SelfStock'!CY29&lt;&gt;""))*(('T_TTAFStock'!CY29&lt;&gt;""))&gt;0,'T_SelfStock'!CY29+'T_TTAFStock'!CY29,CX25+'Grid_Incoming'!CY25-'Grid_Requirement'!CY25))</f>
        <v/>
      </c>
      <c r="CZ25">
        <f>IF(COUNTIFS(T_StockCount[Part Name],$A25,T_StockCount[WeekIndex],103)&gt;0,SUMIFS(T_StockCount[CountedQty],T_StockCount[Part Name],$A25,T_StockCount[WeekIndex],103),IF((('T_SelfStock'!CZ29&lt;&gt;""))*(('T_TTAFStock'!CZ29&lt;&gt;""))&gt;0,'T_SelfStock'!CZ29+'T_TTAFStock'!CZ29,CY25+'Grid_Incoming'!CZ25-'Grid_Requirement'!CZ25))</f>
        <v/>
      </c>
      <c r="DA25">
        <f>IF(COUNTIFS(T_StockCount[Part Name],$A25,T_StockCount[WeekIndex],104)&gt;0,SUMIFS(T_StockCount[CountedQty],T_StockCount[Part Name],$A25,T_StockCount[WeekIndex],104),IF((('T_SelfStock'!DA29&lt;&gt;""))*(('T_TTAFStock'!DA29&lt;&gt;""))&gt;0,'T_SelfStock'!DA29+'T_TTAFStock'!DA29,CZ25+'Grid_Incoming'!DA25-'Grid_Requirement'!DA25))</f>
        <v/>
      </c>
    </row>
    <row r="26">
      <c r="A26" t="inlineStr">
        <is>
          <t>CHEM-1580</t>
        </is>
      </c>
      <c r="B26">
        <f>IF(COUNTIFS(T_StockCount[Part Name],$A26,T_StockCount[WeekIndex],1)&gt;0,SUMIFS(T_StockCount[CountedQty],T_StockCount[Part Name],$A26,T_StockCount[WeekIndex],1),IF((('T_SelfStock'!B30&lt;&gt;""))*(('T_TTAFStock'!B30&lt;&gt;""))&gt;0,'T_SelfStock'!B30+'T_TTAFStock'!B30,IFERROR(INDEX(T_OpeningStock[Opening_Qty_要入力],MATCH($A26,T_OpeningStock[Part Name],0)),0)+'Grid_Incoming'!B26-'Grid_Requirement'!B26))</f>
        <v/>
      </c>
      <c r="C26">
        <f>IF(COUNTIFS(T_StockCount[Part Name],$A26,T_StockCount[WeekIndex],2)&gt;0,SUMIFS(T_StockCount[CountedQty],T_StockCount[Part Name],$A26,T_StockCount[WeekIndex],2),IF((('T_SelfStock'!C30&lt;&gt;""))*(('T_TTAFStock'!C30&lt;&gt;""))&gt;0,'T_SelfStock'!C30+'T_TTAFStock'!C30,B26+'Grid_Incoming'!C26-'Grid_Requirement'!C26))</f>
        <v/>
      </c>
      <c r="D26">
        <f>IF(COUNTIFS(T_StockCount[Part Name],$A26,T_StockCount[WeekIndex],3)&gt;0,SUMIFS(T_StockCount[CountedQty],T_StockCount[Part Name],$A26,T_StockCount[WeekIndex],3),IF((('T_SelfStock'!D30&lt;&gt;""))*(('T_TTAFStock'!D30&lt;&gt;""))&gt;0,'T_SelfStock'!D30+'T_TTAFStock'!D30,C26+'Grid_Incoming'!D26-'Grid_Requirement'!D26))</f>
        <v/>
      </c>
      <c r="E26">
        <f>IF(COUNTIFS(T_StockCount[Part Name],$A26,T_StockCount[WeekIndex],4)&gt;0,SUMIFS(T_StockCount[CountedQty],T_StockCount[Part Name],$A26,T_StockCount[WeekIndex],4),IF((('T_SelfStock'!E30&lt;&gt;""))*(('T_TTAFStock'!E30&lt;&gt;""))&gt;0,'T_SelfStock'!E30+'T_TTAFStock'!E30,D26+'Grid_Incoming'!E26-'Grid_Requirement'!E26))</f>
        <v/>
      </c>
      <c r="F26">
        <f>IF(COUNTIFS(T_StockCount[Part Name],$A26,T_StockCount[WeekIndex],5)&gt;0,SUMIFS(T_StockCount[CountedQty],T_StockCount[Part Name],$A26,T_StockCount[WeekIndex],5),IF((('T_SelfStock'!F30&lt;&gt;""))*(('T_TTAFStock'!F30&lt;&gt;""))&gt;0,'T_SelfStock'!F30+'T_TTAFStock'!F30,E26+'Grid_Incoming'!F26-'Grid_Requirement'!F26))</f>
        <v/>
      </c>
      <c r="G26">
        <f>IF(COUNTIFS(T_StockCount[Part Name],$A26,T_StockCount[WeekIndex],6)&gt;0,SUMIFS(T_StockCount[CountedQty],T_StockCount[Part Name],$A26,T_StockCount[WeekIndex],6),IF((('T_SelfStock'!G30&lt;&gt;""))*(('T_TTAFStock'!G30&lt;&gt;""))&gt;0,'T_SelfStock'!G30+'T_TTAFStock'!G30,F26+'Grid_Incoming'!G26-'Grid_Requirement'!G26))</f>
        <v/>
      </c>
      <c r="H26">
        <f>IF(COUNTIFS(T_StockCount[Part Name],$A26,T_StockCount[WeekIndex],7)&gt;0,SUMIFS(T_StockCount[CountedQty],T_StockCount[Part Name],$A26,T_StockCount[WeekIndex],7),IF((('T_SelfStock'!H30&lt;&gt;""))*(('T_TTAFStock'!H30&lt;&gt;""))&gt;0,'T_SelfStock'!H30+'T_TTAFStock'!H30,G26+'Grid_Incoming'!H26-'Grid_Requirement'!H26))</f>
        <v/>
      </c>
      <c r="I26">
        <f>IF(COUNTIFS(T_StockCount[Part Name],$A26,T_StockCount[WeekIndex],8)&gt;0,SUMIFS(T_StockCount[CountedQty],T_StockCount[Part Name],$A26,T_StockCount[WeekIndex],8),IF((('T_SelfStock'!I30&lt;&gt;""))*(('T_TTAFStock'!I30&lt;&gt;""))&gt;0,'T_SelfStock'!I30+'T_TTAFStock'!I30,H26+'Grid_Incoming'!I26-'Grid_Requirement'!I26))</f>
        <v/>
      </c>
      <c r="J26">
        <f>IF(COUNTIFS(T_StockCount[Part Name],$A26,T_StockCount[WeekIndex],9)&gt;0,SUMIFS(T_StockCount[CountedQty],T_StockCount[Part Name],$A26,T_StockCount[WeekIndex],9),IF((('T_SelfStock'!J30&lt;&gt;""))*(('T_TTAFStock'!J30&lt;&gt;""))&gt;0,'T_SelfStock'!J30+'T_TTAFStock'!J30,I26+'Grid_Incoming'!J26-'Grid_Requirement'!J26))</f>
        <v/>
      </c>
      <c r="K26">
        <f>IF(COUNTIFS(T_StockCount[Part Name],$A26,T_StockCount[WeekIndex],10)&gt;0,SUMIFS(T_StockCount[CountedQty],T_StockCount[Part Name],$A26,T_StockCount[WeekIndex],10),IF((('T_SelfStock'!K30&lt;&gt;""))*(('T_TTAFStock'!K30&lt;&gt;""))&gt;0,'T_SelfStock'!K30+'T_TTAFStock'!K30,J26+'Grid_Incoming'!K26-'Grid_Requirement'!K26))</f>
        <v/>
      </c>
      <c r="L26">
        <f>IF(COUNTIFS(T_StockCount[Part Name],$A26,T_StockCount[WeekIndex],11)&gt;0,SUMIFS(T_StockCount[CountedQty],T_StockCount[Part Name],$A26,T_StockCount[WeekIndex],11),IF((('T_SelfStock'!L30&lt;&gt;""))*(('T_TTAFStock'!L30&lt;&gt;""))&gt;0,'T_SelfStock'!L30+'T_TTAFStock'!L30,K26+'Grid_Incoming'!L26-'Grid_Requirement'!L26))</f>
        <v/>
      </c>
      <c r="M26">
        <f>IF(COUNTIFS(T_StockCount[Part Name],$A26,T_StockCount[WeekIndex],12)&gt;0,SUMIFS(T_StockCount[CountedQty],T_StockCount[Part Name],$A26,T_StockCount[WeekIndex],12),IF((('T_SelfStock'!M30&lt;&gt;""))*(('T_TTAFStock'!M30&lt;&gt;""))&gt;0,'T_SelfStock'!M30+'T_TTAFStock'!M30,L26+'Grid_Incoming'!M26-'Grid_Requirement'!M26))</f>
        <v/>
      </c>
      <c r="N26">
        <f>IF(COUNTIFS(T_StockCount[Part Name],$A26,T_StockCount[WeekIndex],13)&gt;0,SUMIFS(T_StockCount[CountedQty],T_StockCount[Part Name],$A26,T_StockCount[WeekIndex],13),IF((('T_SelfStock'!N30&lt;&gt;""))*(('T_TTAFStock'!N30&lt;&gt;""))&gt;0,'T_SelfStock'!N30+'T_TTAFStock'!N30,M26+'Grid_Incoming'!N26-'Grid_Requirement'!N26))</f>
        <v/>
      </c>
      <c r="O26">
        <f>IF(COUNTIFS(T_StockCount[Part Name],$A26,T_StockCount[WeekIndex],14)&gt;0,SUMIFS(T_StockCount[CountedQty],T_StockCount[Part Name],$A26,T_StockCount[WeekIndex],14),IF((('T_SelfStock'!O30&lt;&gt;""))*(('T_TTAFStock'!O30&lt;&gt;""))&gt;0,'T_SelfStock'!O30+'T_TTAFStock'!O30,N26+'Grid_Incoming'!O26-'Grid_Requirement'!O26))</f>
        <v/>
      </c>
      <c r="P26">
        <f>IF(COUNTIFS(T_StockCount[Part Name],$A26,T_StockCount[WeekIndex],15)&gt;0,SUMIFS(T_StockCount[CountedQty],T_StockCount[Part Name],$A26,T_StockCount[WeekIndex],15),IF((('T_SelfStock'!P30&lt;&gt;""))*(('T_TTAFStock'!P30&lt;&gt;""))&gt;0,'T_SelfStock'!P30+'T_TTAFStock'!P30,O26+'Grid_Incoming'!P26-'Grid_Requirement'!P26))</f>
        <v/>
      </c>
      <c r="Q26">
        <f>IF(COUNTIFS(T_StockCount[Part Name],$A26,T_StockCount[WeekIndex],16)&gt;0,SUMIFS(T_StockCount[CountedQty],T_StockCount[Part Name],$A26,T_StockCount[WeekIndex],16),IF((('T_SelfStock'!Q30&lt;&gt;""))*(('T_TTAFStock'!Q30&lt;&gt;""))&gt;0,'T_SelfStock'!Q30+'T_TTAFStock'!Q30,P26+'Grid_Incoming'!Q26-'Grid_Requirement'!Q26))</f>
        <v/>
      </c>
      <c r="R26">
        <f>IF(COUNTIFS(T_StockCount[Part Name],$A26,T_StockCount[WeekIndex],17)&gt;0,SUMIFS(T_StockCount[CountedQty],T_StockCount[Part Name],$A26,T_StockCount[WeekIndex],17),IF((('T_SelfStock'!R30&lt;&gt;""))*(('T_TTAFStock'!R30&lt;&gt;""))&gt;0,'T_SelfStock'!R30+'T_TTAFStock'!R30,Q26+'Grid_Incoming'!R26-'Grid_Requirement'!R26))</f>
        <v/>
      </c>
      <c r="S26">
        <f>IF(COUNTIFS(T_StockCount[Part Name],$A26,T_StockCount[WeekIndex],18)&gt;0,SUMIFS(T_StockCount[CountedQty],T_StockCount[Part Name],$A26,T_StockCount[WeekIndex],18),IF((('T_SelfStock'!S30&lt;&gt;""))*(('T_TTAFStock'!S30&lt;&gt;""))&gt;0,'T_SelfStock'!S30+'T_TTAFStock'!S30,R26+'Grid_Incoming'!S26-'Grid_Requirement'!S26))</f>
        <v/>
      </c>
      <c r="T26">
        <f>IF(COUNTIFS(T_StockCount[Part Name],$A26,T_StockCount[WeekIndex],19)&gt;0,SUMIFS(T_StockCount[CountedQty],T_StockCount[Part Name],$A26,T_StockCount[WeekIndex],19),IF((('T_SelfStock'!T30&lt;&gt;""))*(('T_TTAFStock'!T30&lt;&gt;""))&gt;0,'T_SelfStock'!T30+'T_TTAFStock'!T30,S26+'Grid_Incoming'!T26-'Grid_Requirement'!T26))</f>
        <v/>
      </c>
      <c r="U26">
        <f>IF(COUNTIFS(T_StockCount[Part Name],$A26,T_StockCount[WeekIndex],20)&gt;0,SUMIFS(T_StockCount[CountedQty],T_StockCount[Part Name],$A26,T_StockCount[WeekIndex],20),IF((('T_SelfStock'!U30&lt;&gt;""))*(('T_TTAFStock'!U30&lt;&gt;""))&gt;0,'T_SelfStock'!U30+'T_TTAFStock'!U30,T26+'Grid_Incoming'!U26-'Grid_Requirement'!U26))</f>
        <v/>
      </c>
      <c r="V26">
        <f>IF(COUNTIFS(T_StockCount[Part Name],$A26,T_StockCount[WeekIndex],21)&gt;0,SUMIFS(T_StockCount[CountedQty],T_StockCount[Part Name],$A26,T_StockCount[WeekIndex],21),IF((('T_SelfStock'!V30&lt;&gt;""))*(('T_TTAFStock'!V30&lt;&gt;""))&gt;0,'T_SelfStock'!V30+'T_TTAFStock'!V30,U26+'Grid_Incoming'!V26-'Grid_Requirement'!V26))</f>
        <v/>
      </c>
      <c r="W26">
        <f>IF(COUNTIFS(T_StockCount[Part Name],$A26,T_StockCount[WeekIndex],22)&gt;0,SUMIFS(T_StockCount[CountedQty],T_StockCount[Part Name],$A26,T_StockCount[WeekIndex],22),IF((('T_SelfStock'!W30&lt;&gt;""))*(('T_TTAFStock'!W30&lt;&gt;""))&gt;0,'T_SelfStock'!W30+'T_TTAFStock'!W30,V26+'Grid_Incoming'!W26-'Grid_Requirement'!W26))</f>
        <v/>
      </c>
      <c r="X26">
        <f>IF(COUNTIFS(T_StockCount[Part Name],$A26,T_StockCount[WeekIndex],23)&gt;0,SUMIFS(T_StockCount[CountedQty],T_StockCount[Part Name],$A26,T_StockCount[WeekIndex],23),IF((('T_SelfStock'!X30&lt;&gt;""))*(('T_TTAFStock'!X30&lt;&gt;""))&gt;0,'T_SelfStock'!X30+'T_TTAFStock'!X30,W26+'Grid_Incoming'!X26-'Grid_Requirement'!X26))</f>
        <v/>
      </c>
      <c r="Y26">
        <f>IF(COUNTIFS(T_StockCount[Part Name],$A26,T_StockCount[WeekIndex],24)&gt;0,SUMIFS(T_StockCount[CountedQty],T_StockCount[Part Name],$A26,T_StockCount[WeekIndex],24),IF((('T_SelfStock'!Y30&lt;&gt;""))*(('T_TTAFStock'!Y30&lt;&gt;""))&gt;0,'T_SelfStock'!Y30+'T_TTAFStock'!Y30,X26+'Grid_Incoming'!Y26-'Grid_Requirement'!Y26))</f>
        <v/>
      </c>
      <c r="Z26">
        <f>IF(COUNTIFS(T_StockCount[Part Name],$A26,T_StockCount[WeekIndex],25)&gt;0,SUMIFS(T_StockCount[CountedQty],T_StockCount[Part Name],$A26,T_StockCount[WeekIndex],25),IF((('T_SelfStock'!Z30&lt;&gt;""))*(('T_TTAFStock'!Z30&lt;&gt;""))&gt;0,'T_SelfStock'!Z30+'T_TTAFStock'!Z30,Y26+'Grid_Incoming'!Z26-'Grid_Requirement'!Z26))</f>
        <v/>
      </c>
      <c r="AA26">
        <f>IF(COUNTIFS(T_StockCount[Part Name],$A26,T_StockCount[WeekIndex],26)&gt;0,SUMIFS(T_StockCount[CountedQty],T_StockCount[Part Name],$A26,T_StockCount[WeekIndex],26),IF((('T_SelfStock'!AA30&lt;&gt;""))*(('T_TTAFStock'!AA30&lt;&gt;""))&gt;0,'T_SelfStock'!AA30+'T_TTAFStock'!AA30,Z26+'Grid_Incoming'!AA26-'Grid_Requirement'!AA26))</f>
        <v/>
      </c>
      <c r="AB26">
        <f>IF(COUNTIFS(T_StockCount[Part Name],$A26,T_StockCount[WeekIndex],27)&gt;0,SUMIFS(T_StockCount[CountedQty],T_StockCount[Part Name],$A26,T_StockCount[WeekIndex],27),IF((('T_SelfStock'!AB30&lt;&gt;""))*(('T_TTAFStock'!AB30&lt;&gt;""))&gt;0,'T_SelfStock'!AB30+'T_TTAFStock'!AB30,AA26+'Grid_Incoming'!AB26-'Grid_Requirement'!AB26))</f>
        <v/>
      </c>
      <c r="AC26">
        <f>IF(COUNTIFS(T_StockCount[Part Name],$A26,T_StockCount[WeekIndex],28)&gt;0,SUMIFS(T_StockCount[CountedQty],T_StockCount[Part Name],$A26,T_StockCount[WeekIndex],28),IF((('T_SelfStock'!AC30&lt;&gt;""))*(('T_TTAFStock'!AC30&lt;&gt;""))&gt;0,'T_SelfStock'!AC30+'T_TTAFStock'!AC30,AB26+'Grid_Incoming'!AC26-'Grid_Requirement'!AC26))</f>
        <v/>
      </c>
      <c r="AD26">
        <f>IF(COUNTIFS(T_StockCount[Part Name],$A26,T_StockCount[WeekIndex],29)&gt;0,SUMIFS(T_StockCount[CountedQty],T_StockCount[Part Name],$A26,T_StockCount[WeekIndex],29),IF((('T_SelfStock'!AD30&lt;&gt;""))*(('T_TTAFStock'!AD30&lt;&gt;""))&gt;0,'T_SelfStock'!AD30+'T_TTAFStock'!AD30,AC26+'Grid_Incoming'!AD26-'Grid_Requirement'!AD26))</f>
        <v/>
      </c>
      <c r="AE26">
        <f>IF(COUNTIFS(T_StockCount[Part Name],$A26,T_StockCount[WeekIndex],30)&gt;0,SUMIFS(T_StockCount[CountedQty],T_StockCount[Part Name],$A26,T_StockCount[WeekIndex],30),IF((('T_SelfStock'!AE30&lt;&gt;""))*(('T_TTAFStock'!AE30&lt;&gt;""))&gt;0,'T_SelfStock'!AE30+'T_TTAFStock'!AE30,AD26+'Grid_Incoming'!AE26-'Grid_Requirement'!AE26))</f>
        <v/>
      </c>
      <c r="AF26">
        <f>IF(COUNTIFS(T_StockCount[Part Name],$A26,T_StockCount[WeekIndex],31)&gt;0,SUMIFS(T_StockCount[CountedQty],T_StockCount[Part Name],$A26,T_StockCount[WeekIndex],31),IF((('T_SelfStock'!AF30&lt;&gt;""))*(('T_TTAFStock'!AF30&lt;&gt;""))&gt;0,'T_SelfStock'!AF30+'T_TTAFStock'!AF30,AE26+'Grid_Incoming'!AF26-'Grid_Requirement'!AF26))</f>
        <v/>
      </c>
      <c r="AG26">
        <f>IF(COUNTIFS(T_StockCount[Part Name],$A26,T_StockCount[WeekIndex],32)&gt;0,SUMIFS(T_StockCount[CountedQty],T_StockCount[Part Name],$A26,T_StockCount[WeekIndex],32),IF((('T_SelfStock'!AG30&lt;&gt;""))*(('T_TTAFStock'!AG30&lt;&gt;""))&gt;0,'T_SelfStock'!AG30+'T_TTAFStock'!AG30,AF26+'Grid_Incoming'!AG26-'Grid_Requirement'!AG26))</f>
        <v/>
      </c>
      <c r="AH26">
        <f>IF(COUNTIFS(T_StockCount[Part Name],$A26,T_StockCount[WeekIndex],33)&gt;0,SUMIFS(T_StockCount[CountedQty],T_StockCount[Part Name],$A26,T_StockCount[WeekIndex],33),IF((('T_SelfStock'!AH30&lt;&gt;""))*(('T_TTAFStock'!AH30&lt;&gt;""))&gt;0,'T_SelfStock'!AH30+'T_TTAFStock'!AH30,AG26+'Grid_Incoming'!AH26-'Grid_Requirement'!AH26))</f>
        <v/>
      </c>
      <c r="AI26">
        <f>IF(COUNTIFS(T_StockCount[Part Name],$A26,T_StockCount[WeekIndex],34)&gt;0,SUMIFS(T_StockCount[CountedQty],T_StockCount[Part Name],$A26,T_StockCount[WeekIndex],34),IF((('T_SelfStock'!AI30&lt;&gt;""))*(('T_TTAFStock'!AI30&lt;&gt;""))&gt;0,'T_SelfStock'!AI30+'T_TTAFStock'!AI30,AH26+'Grid_Incoming'!AI26-'Grid_Requirement'!AI26))</f>
        <v/>
      </c>
      <c r="AJ26">
        <f>IF(COUNTIFS(T_StockCount[Part Name],$A26,T_StockCount[WeekIndex],35)&gt;0,SUMIFS(T_StockCount[CountedQty],T_StockCount[Part Name],$A26,T_StockCount[WeekIndex],35),IF((('T_SelfStock'!AJ30&lt;&gt;""))*(('T_TTAFStock'!AJ30&lt;&gt;""))&gt;0,'T_SelfStock'!AJ30+'T_TTAFStock'!AJ30,AI26+'Grid_Incoming'!AJ26-'Grid_Requirement'!AJ26))</f>
        <v/>
      </c>
      <c r="AK26">
        <f>IF(COUNTIFS(T_StockCount[Part Name],$A26,T_StockCount[WeekIndex],36)&gt;0,SUMIFS(T_StockCount[CountedQty],T_StockCount[Part Name],$A26,T_StockCount[WeekIndex],36),IF((('T_SelfStock'!AK30&lt;&gt;""))*(('T_TTAFStock'!AK30&lt;&gt;""))&gt;0,'T_SelfStock'!AK30+'T_TTAFStock'!AK30,AJ26+'Grid_Incoming'!AK26-'Grid_Requirement'!AK26))</f>
        <v/>
      </c>
      <c r="AL26">
        <f>IF(COUNTIFS(T_StockCount[Part Name],$A26,T_StockCount[WeekIndex],37)&gt;0,SUMIFS(T_StockCount[CountedQty],T_StockCount[Part Name],$A26,T_StockCount[WeekIndex],37),IF((('T_SelfStock'!AL30&lt;&gt;""))*(('T_TTAFStock'!AL30&lt;&gt;""))&gt;0,'T_SelfStock'!AL30+'T_TTAFStock'!AL30,AK26+'Grid_Incoming'!AL26-'Grid_Requirement'!AL26))</f>
        <v/>
      </c>
      <c r="AM26">
        <f>IF(COUNTIFS(T_StockCount[Part Name],$A26,T_StockCount[WeekIndex],38)&gt;0,SUMIFS(T_StockCount[CountedQty],T_StockCount[Part Name],$A26,T_StockCount[WeekIndex],38),IF((('T_SelfStock'!AM30&lt;&gt;""))*(('T_TTAFStock'!AM30&lt;&gt;""))&gt;0,'T_SelfStock'!AM30+'T_TTAFStock'!AM30,AL26+'Grid_Incoming'!AM26-'Grid_Requirement'!AM26))</f>
        <v/>
      </c>
      <c r="AN26">
        <f>IF(COUNTIFS(T_StockCount[Part Name],$A26,T_StockCount[WeekIndex],39)&gt;0,SUMIFS(T_StockCount[CountedQty],T_StockCount[Part Name],$A26,T_StockCount[WeekIndex],39),IF((('T_SelfStock'!AN30&lt;&gt;""))*(('T_TTAFStock'!AN30&lt;&gt;""))&gt;0,'T_SelfStock'!AN30+'T_TTAFStock'!AN30,AM26+'Grid_Incoming'!AN26-'Grid_Requirement'!AN26))</f>
        <v/>
      </c>
      <c r="AO26">
        <f>IF(COUNTIFS(T_StockCount[Part Name],$A26,T_StockCount[WeekIndex],40)&gt;0,SUMIFS(T_StockCount[CountedQty],T_StockCount[Part Name],$A26,T_StockCount[WeekIndex],40),IF((('T_SelfStock'!AO30&lt;&gt;""))*(('T_TTAFStock'!AO30&lt;&gt;""))&gt;0,'T_SelfStock'!AO30+'T_TTAFStock'!AO30,AN26+'Grid_Incoming'!AO26-'Grid_Requirement'!AO26))</f>
        <v/>
      </c>
      <c r="AP26">
        <f>IF(COUNTIFS(T_StockCount[Part Name],$A26,T_StockCount[WeekIndex],41)&gt;0,SUMIFS(T_StockCount[CountedQty],T_StockCount[Part Name],$A26,T_StockCount[WeekIndex],41),IF((('T_SelfStock'!AP30&lt;&gt;""))*(('T_TTAFStock'!AP30&lt;&gt;""))&gt;0,'T_SelfStock'!AP30+'T_TTAFStock'!AP30,AO26+'Grid_Incoming'!AP26-'Grid_Requirement'!AP26))</f>
        <v/>
      </c>
      <c r="AQ26">
        <f>IF(COUNTIFS(T_StockCount[Part Name],$A26,T_StockCount[WeekIndex],42)&gt;0,SUMIFS(T_StockCount[CountedQty],T_StockCount[Part Name],$A26,T_StockCount[WeekIndex],42),IF((('T_SelfStock'!AQ30&lt;&gt;""))*(('T_TTAFStock'!AQ30&lt;&gt;""))&gt;0,'T_SelfStock'!AQ30+'T_TTAFStock'!AQ30,AP26+'Grid_Incoming'!AQ26-'Grid_Requirement'!AQ26))</f>
        <v/>
      </c>
      <c r="AR26">
        <f>IF(COUNTIFS(T_StockCount[Part Name],$A26,T_StockCount[WeekIndex],43)&gt;0,SUMIFS(T_StockCount[CountedQty],T_StockCount[Part Name],$A26,T_StockCount[WeekIndex],43),IF((('T_SelfStock'!AR30&lt;&gt;""))*(('T_TTAFStock'!AR30&lt;&gt;""))&gt;0,'T_SelfStock'!AR30+'T_TTAFStock'!AR30,AQ26+'Grid_Incoming'!AR26-'Grid_Requirement'!AR26))</f>
        <v/>
      </c>
      <c r="AS26">
        <f>IF(COUNTIFS(T_StockCount[Part Name],$A26,T_StockCount[WeekIndex],44)&gt;0,SUMIFS(T_StockCount[CountedQty],T_StockCount[Part Name],$A26,T_StockCount[WeekIndex],44),IF((('T_SelfStock'!AS30&lt;&gt;""))*(('T_TTAFStock'!AS30&lt;&gt;""))&gt;0,'T_SelfStock'!AS30+'T_TTAFStock'!AS30,AR26+'Grid_Incoming'!AS26-'Grid_Requirement'!AS26))</f>
        <v/>
      </c>
      <c r="AT26">
        <f>IF(COUNTIFS(T_StockCount[Part Name],$A26,T_StockCount[WeekIndex],45)&gt;0,SUMIFS(T_StockCount[CountedQty],T_StockCount[Part Name],$A26,T_StockCount[WeekIndex],45),IF((('T_SelfStock'!AT30&lt;&gt;""))*(('T_TTAFStock'!AT30&lt;&gt;""))&gt;0,'T_SelfStock'!AT30+'T_TTAFStock'!AT30,AS26+'Grid_Incoming'!AT26-'Grid_Requirement'!AT26))</f>
        <v/>
      </c>
      <c r="AU26">
        <f>IF(COUNTIFS(T_StockCount[Part Name],$A26,T_StockCount[WeekIndex],46)&gt;0,SUMIFS(T_StockCount[CountedQty],T_StockCount[Part Name],$A26,T_StockCount[WeekIndex],46),IF((('T_SelfStock'!AU30&lt;&gt;""))*(('T_TTAFStock'!AU30&lt;&gt;""))&gt;0,'T_SelfStock'!AU30+'T_TTAFStock'!AU30,AT26+'Grid_Incoming'!AU26-'Grid_Requirement'!AU26))</f>
        <v/>
      </c>
      <c r="AV26">
        <f>IF(COUNTIFS(T_StockCount[Part Name],$A26,T_StockCount[WeekIndex],47)&gt;0,SUMIFS(T_StockCount[CountedQty],T_StockCount[Part Name],$A26,T_StockCount[WeekIndex],47),IF((('T_SelfStock'!AV30&lt;&gt;""))*(('T_TTAFStock'!AV30&lt;&gt;""))&gt;0,'T_SelfStock'!AV30+'T_TTAFStock'!AV30,AU26+'Grid_Incoming'!AV26-'Grid_Requirement'!AV26))</f>
        <v/>
      </c>
      <c r="AW26">
        <f>IF(COUNTIFS(T_StockCount[Part Name],$A26,T_StockCount[WeekIndex],48)&gt;0,SUMIFS(T_StockCount[CountedQty],T_StockCount[Part Name],$A26,T_StockCount[WeekIndex],48),IF((('T_SelfStock'!AW30&lt;&gt;""))*(('T_TTAFStock'!AW30&lt;&gt;""))&gt;0,'T_SelfStock'!AW30+'T_TTAFStock'!AW30,AV26+'Grid_Incoming'!AW26-'Grid_Requirement'!AW26))</f>
        <v/>
      </c>
      <c r="AX26">
        <f>IF(COUNTIFS(T_StockCount[Part Name],$A26,T_StockCount[WeekIndex],49)&gt;0,SUMIFS(T_StockCount[CountedQty],T_StockCount[Part Name],$A26,T_StockCount[WeekIndex],49),IF((('T_SelfStock'!AX30&lt;&gt;""))*(('T_TTAFStock'!AX30&lt;&gt;""))&gt;0,'T_SelfStock'!AX30+'T_TTAFStock'!AX30,AW26+'Grid_Incoming'!AX26-'Grid_Requirement'!AX26))</f>
        <v/>
      </c>
      <c r="AY26">
        <f>IF(COUNTIFS(T_StockCount[Part Name],$A26,T_StockCount[WeekIndex],50)&gt;0,SUMIFS(T_StockCount[CountedQty],T_StockCount[Part Name],$A26,T_StockCount[WeekIndex],50),IF((('T_SelfStock'!AY30&lt;&gt;""))*(('T_TTAFStock'!AY30&lt;&gt;""))&gt;0,'T_SelfStock'!AY30+'T_TTAFStock'!AY30,AX26+'Grid_Incoming'!AY26-'Grid_Requirement'!AY26))</f>
        <v/>
      </c>
      <c r="AZ26">
        <f>IF(COUNTIFS(T_StockCount[Part Name],$A26,T_StockCount[WeekIndex],51)&gt;0,SUMIFS(T_StockCount[CountedQty],T_StockCount[Part Name],$A26,T_StockCount[WeekIndex],51),IF((('T_SelfStock'!AZ30&lt;&gt;""))*(('T_TTAFStock'!AZ30&lt;&gt;""))&gt;0,'T_SelfStock'!AZ30+'T_TTAFStock'!AZ30,AY26+'Grid_Incoming'!AZ26-'Grid_Requirement'!AZ26))</f>
        <v/>
      </c>
      <c r="BA26">
        <f>IF(COUNTIFS(T_StockCount[Part Name],$A26,T_StockCount[WeekIndex],52)&gt;0,SUMIFS(T_StockCount[CountedQty],T_StockCount[Part Name],$A26,T_StockCount[WeekIndex],52),IF((('T_SelfStock'!BA30&lt;&gt;""))*(('T_TTAFStock'!BA30&lt;&gt;""))&gt;0,'T_SelfStock'!BA30+'T_TTAFStock'!BA30,AZ26+'Grid_Incoming'!BA26-'Grid_Requirement'!BA26))</f>
        <v/>
      </c>
      <c r="BB26">
        <f>IF(COUNTIFS(T_StockCount[Part Name],$A26,T_StockCount[WeekIndex],53)&gt;0,SUMIFS(T_StockCount[CountedQty],T_StockCount[Part Name],$A26,T_StockCount[WeekIndex],53),IF((('T_SelfStock'!BB30&lt;&gt;""))*(('T_TTAFStock'!BB30&lt;&gt;""))&gt;0,'T_SelfStock'!BB30+'T_TTAFStock'!BB30,BA26+'Grid_Incoming'!BB26-'Grid_Requirement'!BB26))</f>
        <v/>
      </c>
      <c r="BC26">
        <f>IF(COUNTIFS(T_StockCount[Part Name],$A26,T_StockCount[WeekIndex],54)&gt;0,SUMIFS(T_StockCount[CountedQty],T_StockCount[Part Name],$A26,T_StockCount[WeekIndex],54),IF((('T_SelfStock'!BC30&lt;&gt;""))*(('T_TTAFStock'!BC30&lt;&gt;""))&gt;0,'T_SelfStock'!BC30+'T_TTAFStock'!BC30,BB26+'Grid_Incoming'!BC26-'Grid_Requirement'!BC26))</f>
        <v/>
      </c>
      <c r="BD26">
        <f>IF(COUNTIFS(T_StockCount[Part Name],$A26,T_StockCount[WeekIndex],55)&gt;0,SUMIFS(T_StockCount[CountedQty],T_StockCount[Part Name],$A26,T_StockCount[WeekIndex],55),IF((('T_SelfStock'!BD30&lt;&gt;""))*(('T_TTAFStock'!BD30&lt;&gt;""))&gt;0,'T_SelfStock'!BD30+'T_TTAFStock'!BD30,BC26+'Grid_Incoming'!BD26-'Grid_Requirement'!BD26))</f>
        <v/>
      </c>
      <c r="BE26">
        <f>IF(COUNTIFS(T_StockCount[Part Name],$A26,T_StockCount[WeekIndex],56)&gt;0,SUMIFS(T_StockCount[CountedQty],T_StockCount[Part Name],$A26,T_StockCount[WeekIndex],56),IF((('T_SelfStock'!BE30&lt;&gt;""))*(('T_TTAFStock'!BE30&lt;&gt;""))&gt;0,'T_SelfStock'!BE30+'T_TTAFStock'!BE30,BD26+'Grid_Incoming'!BE26-'Grid_Requirement'!BE26))</f>
        <v/>
      </c>
      <c r="BF26">
        <f>IF(COUNTIFS(T_StockCount[Part Name],$A26,T_StockCount[WeekIndex],57)&gt;0,SUMIFS(T_StockCount[CountedQty],T_StockCount[Part Name],$A26,T_StockCount[WeekIndex],57),IF((('T_SelfStock'!BF30&lt;&gt;""))*(('T_TTAFStock'!BF30&lt;&gt;""))&gt;0,'T_SelfStock'!BF30+'T_TTAFStock'!BF30,BE26+'Grid_Incoming'!BF26-'Grid_Requirement'!BF26))</f>
        <v/>
      </c>
      <c r="BG26">
        <f>IF(COUNTIFS(T_StockCount[Part Name],$A26,T_StockCount[WeekIndex],58)&gt;0,SUMIFS(T_StockCount[CountedQty],T_StockCount[Part Name],$A26,T_StockCount[WeekIndex],58),IF((('T_SelfStock'!BG30&lt;&gt;""))*(('T_TTAFStock'!BG30&lt;&gt;""))&gt;0,'T_SelfStock'!BG30+'T_TTAFStock'!BG30,BF26+'Grid_Incoming'!BG26-'Grid_Requirement'!BG26))</f>
        <v/>
      </c>
      <c r="BH26">
        <f>IF(COUNTIFS(T_StockCount[Part Name],$A26,T_StockCount[WeekIndex],59)&gt;0,SUMIFS(T_StockCount[CountedQty],T_StockCount[Part Name],$A26,T_StockCount[WeekIndex],59),IF((('T_SelfStock'!BH30&lt;&gt;""))*(('T_TTAFStock'!BH30&lt;&gt;""))&gt;0,'T_SelfStock'!BH30+'T_TTAFStock'!BH30,BG26+'Grid_Incoming'!BH26-'Grid_Requirement'!BH26))</f>
        <v/>
      </c>
      <c r="BI26">
        <f>IF(COUNTIFS(T_StockCount[Part Name],$A26,T_StockCount[WeekIndex],60)&gt;0,SUMIFS(T_StockCount[CountedQty],T_StockCount[Part Name],$A26,T_StockCount[WeekIndex],60),IF((('T_SelfStock'!BI30&lt;&gt;""))*(('T_TTAFStock'!BI30&lt;&gt;""))&gt;0,'T_SelfStock'!BI30+'T_TTAFStock'!BI30,BH26+'Grid_Incoming'!BI26-'Grid_Requirement'!BI26))</f>
        <v/>
      </c>
      <c r="BJ26">
        <f>IF(COUNTIFS(T_StockCount[Part Name],$A26,T_StockCount[WeekIndex],61)&gt;0,SUMIFS(T_StockCount[CountedQty],T_StockCount[Part Name],$A26,T_StockCount[WeekIndex],61),IF((('T_SelfStock'!BJ30&lt;&gt;""))*(('T_TTAFStock'!BJ30&lt;&gt;""))&gt;0,'T_SelfStock'!BJ30+'T_TTAFStock'!BJ30,BI26+'Grid_Incoming'!BJ26-'Grid_Requirement'!BJ26))</f>
        <v/>
      </c>
      <c r="BK26">
        <f>IF(COUNTIFS(T_StockCount[Part Name],$A26,T_StockCount[WeekIndex],62)&gt;0,SUMIFS(T_StockCount[CountedQty],T_StockCount[Part Name],$A26,T_StockCount[WeekIndex],62),IF((('T_SelfStock'!BK30&lt;&gt;""))*(('T_TTAFStock'!BK30&lt;&gt;""))&gt;0,'T_SelfStock'!BK30+'T_TTAFStock'!BK30,BJ26+'Grid_Incoming'!BK26-'Grid_Requirement'!BK26))</f>
        <v/>
      </c>
      <c r="BL26">
        <f>IF(COUNTIFS(T_StockCount[Part Name],$A26,T_StockCount[WeekIndex],63)&gt;0,SUMIFS(T_StockCount[CountedQty],T_StockCount[Part Name],$A26,T_StockCount[WeekIndex],63),IF((('T_SelfStock'!BL30&lt;&gt;""))*(('T_TTAFStock'!BL30&lt;&gt;""))&gt;0,'T_SelfStock'!BL30+'T_TTAFStock'!BL30,BK26+'Grid_Incoming'!BL26-'Grid_Requirement'!BL26))</f>
        <v/>
      </c>
      <c r="BM26">
        <f>IF(COUNTIFS(T_StockCount[Part Name],$A26,T_StockCount[WeekIndex],64)&gt;0,SUMIFS(T_StockCount[CountedQty],T_StockCount[Part Name],$A26,T_StockCount[WeekIndex],64),IF((('T_SelfStock'!BM30&lt;&gt;""))*(('T_TTAFStock'!BM30&lt;&gt;""))&gt;0,'T_SelfStock'!BM30+'T_TTAFStock'!BM30,BL26+'Grid_Incoming'!BM26-'Grid_Requirement'!BM26))</f>
        <v/>
      </c>
      <c r="BN26">
        <f>IF(COUNTIFS(T_StockCount[Part Name],$A26,T_StockCount[WeekIndex],65)&gt;0,SUMIFS(T_StockCount[CountedQty],T_StockCount[Part Name],$A26,T_StockCount[WeekIndex],65),IF((('T_SelfStock'!BN30&lt;&gt;""))*(('T_TTAFStock'!BN30&lt;&gt;""))&gt;0,'T_SelfStock'!BN30+'T_TTAFStock'!BN30,BM26+'Grid_Incoming'!BN26-'Grid_Requirement'!BN26))</f>
        <v/>
      </c>
      <c r="BO26">
        <f>IF(COUNTIFS(T_StockCount[Part Name],$A26,T_StockCount[WeekIndex],66)&gt;0,SUMIFS(T_StockCount[CountedQty],T_StockCount[Part Name],$A26,T_StockCount[WeekIndex],66),IF((('T_SelfStock'!BO30&lt;&gt;""))*(('T_TTAFStock'!BO30&lt;&gt;""))&gt;0,'T_SelfStock'!BO30+'T_TTAFStock'!BO30,BN26+'Grid_Incoming'!BO26-'Grid_Requirement'!BO26))</f>
        <v/>
      </c>
      <c r="BP26">
        <f>IF(COUNTIFS(T_StockCount[Part Name],$A26,T_StockCount[WeekIndex],67)&gt;0,SUMIFS(T_StockCount[CountedQty],T_StockCount[Part Name],$A26,T_StockCount[WeekIndex],67),IF((('T_SelfStock'!BP30&lt;&gt;""))*(('T_TTAFStock'!BP30&lt;&gt;""))&gt;0,'T_SelfStock'!BP30+'T_TTAFStock'!BP30,BO26+'Grid_Incoming'!BP26-'Grid_Requirement'!BP26))</f>
        <v/>
      </c>
      <c r="BQ26">
        <f>IF(COUNTIFS(T_StockCount[Part Name],$A26,T_StockCount[WeekIndex],68)&gt;0,SUMIFS(T_StockCount[CountedQty],T_StockCount[Part Name],$A26,T_StockCount[WeekIndex],68),IF((('T_SelfStock'!BQ30&lt;&gt;""))*(('T_TTAFStock'!BQ30&lt;&gt;""))&gt;0,'T_SelfStock'!BQ30+'T_TTAFStock'!BQ30,BP26+'Grid_Incoming'!BQ26-'Grid_Requirement'!BQ26))</f>
        <v/>
      </c>
      <c r="BR26">
        <f>IF(COUNTIFS(T_StockCount[Part Name],$A26,T_StockCount[WeekIndex],69)&gt;0,SUMIFS(T_StockCount[CountedQty],T_StockCount[Part Name],$A26,T_StockCount[WeekIndex],69),IF((('T_SelfStock'!BR30&lt;&gt;""))*(('T_TTAFStock'!BR30&lt;&gt;""))&gt;0,'T_SelfStock'!BR30+'T_TTAFStock'!BR30,BQ26+'Grid_Incoming'!BR26-'Grid_Requirement'!BR26))</f>
        <v/>
      </c>
      <c r="BS26">
        <f>IF(COUNTIFS(T_StockCount[Part Name],$A26,T_StockCount[WeekIndex],70)&gt;0,SUMIFS(T_StockCount[CountedQty],T_StockCount[Part Name],$A26,T_StockCount[WeekIndex],70),IF((('T_SelfStock'!BS30&lt;&gt;""))*(('T_TTAFStock'!BS30&lt;&gt;""))&gt;0,'T_SelfStock'!BS30+'T_TTAFStock'!BS30,BR26+'Grid_Incoming'!BS26-'Grid_Requirement'!BS26))</f>
        <v/>
      </c>
      <c r="BT26">
        <f>IF(COUNTIFS(T_StockCount[Part Name],$A26,T_StockCount[WeekIndex],71)&gt;0,SUMIFS(T_StockCount[CountedQty],T_StockCount[Part Name],$A26,T_StockCount[WeekIndex],71),IF((('T_SelfStock'!BT30&lt;&gt;""))*(('T_TTAFStock'!BT30&lt;&gt;""))&gt;0,'T_SelfStock'!BT30+'T_TTAFStock'!BT30,BS26+'Grid_Incoming'!BT26-'Grid_Requirement'!BT26))</f>
        <v/>
      </c>
      <c r="BU26">
        <f>IF(COUNTIFS(T_StockCount[Part Name],$A26,T_StockCount[WeekIndex],72)&gt;0,SUMIFS(T_StockCount[CountedQty],T_StockCount[Part Name],$A26,T_StockCount[WeekIndex],72),IF((('T_SelfStock'!BU30&lt;&gt;""))*(('T_TTAFStock'!BU30&lt;&gt;""))&gt;0,'T_SelfStock'!BU30+'T_TTAFStock'!BU30,BT26+'Grid_Incoming'!BU26-'Grid_Requirement'!BU26))</f>
        <v/>
      </c>
      <c r="BV26">
        <f>IF(COUNTIFS(T_StockCount[Part Name],$A26,T_StockCount[WeekIndex],73)&gt;0,SUMIFS(T_StockCount[CountedQty],T_StockCount[Part Name],$A26,T_StockCount[WeekIndex],73),IF((('T_SelfStock'!BV30&lt;&gt;""))*(('T_TTAFStock'!BV30&lt;&gt;""))&gt;0,'T_SelfStock'!BV30+'T_TTAFStock'!BV30,BU26+'Grid_Incoming'!BV26-'Grid_Requirement'!BV26))</f>
        <v/>
      </c>
      <c r="BW26">
        <f>IF(COUNTIFS(T_StockCount[Part Name],$A26,T_StockCount[WeekIndex],74)&gt;0,SUMIFS(T_StockCount[CountedQty],T_StockCount[Part Name],$A26,T_StockCount[WeekIndex],74),IF((('T_SelfStock'!BW30&lt;&gt;""))*(('T_TTAFStock'!BW30&lt;&gt;""))&gt;0,'T_SelfStock'!BW30+'T_TTAFStock'!BW30,BV26+'Grid_Incoming'!BW26-'Grid_Requirement'!BW26))</f>
        <v/>
      </c>
      <c r="BX26">
        <f>IF(COUNTIFS(T_StockCount[Part Name],$A26,T_StockCount[WeekIndex],75)&gt;0,SUMIFS(T_StockCount[CountedQty],T_StockCount[Part Name],$A26,T_StockCount[WeekIndex],75),IF((('T_SelfStock'!BX30&lt;&gt;""))*(('T_TTAFStock'!BX30&lt;&gt;""))&gt;0,'T_SelfStock'!BX30+'T_TTAFStock'!BX30,BW26+'Grid_Incoming'!BX26-'Grid_Requirement'!BX26))</f>
        <v/>
      </c>
      <c r="BY26">
        <f>IF(COUNTIFS(T_StockCount[Part Name],$A26,T_StockCount[WeekIndex],76)&gt;0,SUMIFS(T_StockCount[CountedQty],T_StockCount[Part Name],$A26,T_StockCount[WeekIndex],76),IF((('T_SelfStock'!BY30&lt;&gt;""))*(('T_TTAFStock'!BY30&lt;&gt;""))&gt;0,'T_SelfStock'!BY30+'T_TTAFStock'!BY30,BX26+'Grid_Incoming'!BY26-'Grid_Requirement'!BY26))</f>
        <v/>
      </c>
      <c r="BZ26">
        <f>IF(COUNTIFS(T_StockCount[Part Name],$A26,T_StockCount[WeekIndex],77)&gt;0,SUMIFS(T_StockCount[CountedQty],T_StockCount[Part Name],$A26,T_StockCount[WeekIndex],77),IF((('T_SelfStock'!BZ30&lt;&gt;""))*(('T_TTAFStock'!BZ30&lt;&gt;""))&gt;0,'T_SelfStock'!BZ30+'T_TTAFStock'!BZ30,BY26+'Grid_Incoming'!BZ26-'Grid_Requirement'!BZ26))</f>
        <v/>
      </c>
      <c r="CA26">
        <f>IF(COUNTIFS(T_StockCount[Part Name],$A26,T_StockCount[WeekIndex],78)&gt;0,SUMIFS(T_StockCount[CountedQty],T_StockCount[Part Name],$A26,T_StockCount[WeekIndex],78),IF((('T_SelfStock'!CA30&lt;&gt;""))*(('T_TTAFStock'!CA30&lt;&gt;""))&gt;0,'T_SelfStock'!CA30+'T_TTAFStock'!CA30,BZ26+'Grid_Incoming'!CA26-'Grid_Requirement'!CA26))</f>
        <v/>
      </c>
      <c r="CB26">
        <f>IF(COUNTIFS(T_StockCount[Part Name],$A26,T_StockCount[WeekIndex],79)&gt;0,SUMIFS(T_StockCount[CountedQty],T_StockCount[Part Name],$A26,T_StockCount[WeekIndex],79),IF((('T_SelfStock'!CB30&lt;&gt;""))*(('T_TTAFStock'!CB30&lt;&gt;""))&gt;0,'T_SelfStock'!CB30+'T_TTAFStock'!CB30,CA26+'Grid_Incoming'!CB26-'Grid_Requirement'!CB26))</f>
        <v/>
      </c>
      <c r="CC26">
        <f>IF(COUNTIFS(T_StockCount[Part Name],$A26,T_StockCount[WeekIndex],80)&gt;0,SUMIFS(T_StockCount[CountedQty],T_StockCount[Part Name],$A26,T_StockCount[WeekIndex],80),IF((('T_SelfStock'!CC30&lt;&gt;""))*(('T_TTAFStock'!CC30&lt;&gt;""))&gt;0,'T_SelfStock'!CC30+'T_TTAFStock'!CC30,CB26+'Grid_Incoming'!CC26-'Grid_Requirement'!CC26))</f>
        <v/>
      </c>
      <c r="CD26">
        <f>IF(COUNTIFS(T_StockCount[Part Name],$A26,T_StockCount[WeekIndex],81)&gt;0,SUMIFS(T_StockCount[CountedQty],T_StockCount[Part Name],$A26,T_StockCount[WeekIndex],81),IF((('T_SelfStock'!CD30&lt;&gt;""))*(('T_TTAFStock'!CD30&lt;&gt;""))&gt;0,'T_SelfStock'!CD30+'T_TTAFStock'!CD30,CC26+'Grid_Incoming'!CD26-'Grid_Requirement'!CD26))</f>
        <v/>
      </c>
      <c r="CE26">
        <f>IF(COUNTIFS(T_StockCount[Part Name],$A26,T_StockCount[WeekIndex],82)&gt;0,SUMIFS(T_StockCount[CountedQty],T_StockCount[Part Name],$A26,T_StockCount[WeekIndex],82),IF((('T_SelfStock'!CE30&lt;&gt;""))*(('T_TTAFStock'!CE30&lt;&gt;""))&gt;0,'T_SelfStock'!CE30+'T_TTAFStock'!CE30,CD26+'Grid_Incoming'!CE26-'Grid_Requirement'!CE26))</f>
        <v/>
      </c>
      <c r="CF26">
        <f>IF(COUNTIFS(T_StockCount[Part Name],$A26,T_StockCount[WeekIndex],83)&gt;0,SUMIFS(T_StockCount[CountedQty],T_StockCount[Part Name],$A26,T_StockCount[WeekIndex],83),IF((('T_SelfStock'!CF30&lt;&gt;""))*(('T_TTAFStock'!CF30&lt;&gt;""))&gt;0,'T_SelfStock'!CF30+'T_TTAFStock'!CF30,CE26+'Grid_Incoming'!CF26-'Grid_Requirement'!CF26))</f>
        <v/>
      </c>
      <c r="CG26">
        <f>IF(COUNTIFS(T_StockCount[Part Name],$A26,T_StockCount[WeekIndex],84)&gt;0,SUMIFS(T_StockCount[CountedQty],T_StockCount[Part Name],$A26,T_StockCount[WeekIndex],84),IF((('T_SelfStock'!CG30&lt;&gt;""))*(('T_TTAFStock'!CG30&lt;&gt;""))&gt;0,'T_SelfStock'!CG30+'T_TTAFStock'!CG30,CF26+'Grid_Incoming'!CG26-'Grid_Requirement'!CG26))</f>
        <v/>
      </c>
      <c r="CH26">
        <f>IF(COUNTIFS(T_StockCount[Part Name],$A26,T_StockCount[WeekIndex],85)&gt;0,SUMIFS(T_StockCount[CountedQty],T_StockCount[Part Name],$A26,T_StockCount[WeekIndex],85),IF((('T_SelfStock'!CH30&lt;&gt;""))*(('T_TTAFStock'!CH30&lt;&gt;""))&gt;0,'T_SelfStock'!CH30+'T_TTAFStock'!CH30,CG26+'Grid_Incoming'!CH26-'Grid_Requirement'!CH26))</f>
        <v/>
      </c>
      <c r="CI26">
        <f>IF(COUNTIFS(T_StockCount[Part Name],$A26,T_StockCount[WeekIndex],86)&gt;0,SUMIFS(T_StockCount[CountedQty],T_StockCount[Part Name],$A26,T_StockCount[WeekIndex],86),IF((('T_SelfStock'!CI30&lt;&gt;""))*(('T_TTAFStock'!CI30&lt;&gt;""))&gt;0,'T_SelfStock'!CI30+'T_TTAFStock'!CI30,CH26+'Grid_Incoming'!CI26-'Grid_Requirement'!CI26))</f>
        <v/>
      </c>
      <c r="CJ26">
        <f>IF(COUNTIFS(T_StockCount[Part Name],$A26,T_StockCount[WeekIndex],87)&gt;0,SUMIFS(T_StockCount[CountedQty],T_StockCount[Part Name],$A26,T_StockCount[WeekIndex],87),IF((('T_SelfStock'!CJ30&lt;&gt;""))*(('T_TTAFStock'!CJ30&lt;&gt;""))&gt;0,'T_SelfStock'!CJ30+'T_TTAFStock'!CJ30,CI26+'Grid_Incoming'!CJ26-'Grid_Requirement'!CJ26))</f>
        <v/>
      </c>
      <c r="CK26">
        <f>IF(COUNTIFS(T_StockCount[Part Name],$A26,T_StockCount[WeekIndex],88)&gt;0,SUMIFS(T_StockCount[CountedQty],T_StockCount[Part Name],$A26,T_StockCount[WeekIndex],88),IF((('T_SelfStock'!CK30&lt;&gt;""))*(('T_TTAFStock'!CK30&lt;&gt;""))&gt;0,'T_SelfStock'!CK30+'T_TTAFStock'!CK30,CJ26+'Grid_Incoming'!CK26-'Grid_Requirement'!CK26))</f>
        <v/>
      </c>
      <c r="CL26">
        <f>IF(COUNTIFS(T_StockCount[Part Name],$A26,T_StockCount[WeekIndex],89)&gt;0,SUMIFS(T_StockCount[CountedQty],T_StockCount[Part Name],$A26,T_StockCount[WeekIndex],89),IF((('T_SelfStock'!CL30&lt;&gt;""))*(('T_TTAFStock'!CL30&lt;&gt;""))&gt;0,'T_SelfStock'!CL30+'T_TTAFStock'!CL30,CK26+'Grid_Incoming'!CL26-'Grid_Requirement'!CL26))</f>
        <v/>
      </c>
      <c r="CM26">
        <f>IF(COUNTIFS(T_StockCount[Part Name],$A26,T_StockCount[WeekIndex],90)&gt;0,SUMIFS(T_StockCount[CountedQty],T_StockCount[Part Name],$A26,T_StockCount[WeekIndex],90),IF((('T_SelfStock'!CM30&lt;&gt;""))*(('T_TTAFStock'!CM30&lt;&gt;""))&gt;0,'T_SelfStock'!CM30+'T_TTAFStock'!CM30,CL26+'Grid_Incoming'!CM26-'Grid_Requirement'!CM26))</f>
        <v/>
      </c>
      <c r="CN26">
        <f>IF(COUNTIFS(T_StockCount[Part Name],$A26,T_StockCount[WeekIndex],91)&gt;0,SUMIFS(T_StockCount[CountedQty],T_StockCount[Part Name],$A26,T_StockCount[WeekIndex],91),IF((('T_SelfStock'!CN30&lt;&gt;""))*(('T_TTAFStock'!CN30&lt;&gt;""))&gt;0,'T_SelfStock'!CN30+'T_TTAFStock'!CN30,CM26+'Grid_Incoming'!CN26-'Grid_Requirement'!CN26))</f>
        <v/>
      </c>
      <c r="CO26">
        <f>IF(COUNTIFS(T_StockCount[Part Name],$A26,T_StockCount[WeekIndex],92)&gt;0,SUMIFS(T_StockCount[CountedQty],T_StockCount[Part Name],$A26,T_StockCount[WeekIndex],92),IF((('T_SelfStock'!CO30&lt;&gt;""))*(('T_TTAFStock'!CO30&lt;&gt;""))&gt;0,'T_SelfStock'!CO30+'T_TTAFStock'!CO30,CN26+'Grid_Incoming'!CO26-'Grid_Requirement'!CO26))</f>
        <v/>
      </c>
      <c r="CP26">
        <f>IF(COUNTIFS(T_StockCount[Part Name],$A26,T_StockCount[WeekIndex],93)&gt;0,SUMIFS(T_StockCount[CountedQty],T_StockCount[Part Name],$A26,T_StockCount[WeekIndex],93),IF((('T_SelfStock'!CP30&lt;&gt;""))*(('T_TTAFStock'!CP30&lt;&gt;""))&gt;0,'T_SelfStock'!CP30+'T_TTAFStock'!CP30,CO26+'Grid_Incoming'!CP26-'Grid_Requirement'!CP26))</f>
        <v/>
      </c>
      <c r="CQ26">
        <f>IF(COUNTIFS(T_StockCount[Part Name],$A26,T_StockCount[WeekIndex],94)&gt;0,SUMIFS(T_StockCount[CountedQty],T_StockCount[Part Name],$A26,T_StockCount[WeekIndex],94),IF((('T_SelfStock'!CQ30&lt;&gt;""))*(('T_TTAFStock'!CQ30&lt;&gt;""))&gt;0,'T_SelfStock'!CQ30+'T_TTAFStock'!CQ30,CP26+'Grid_Incoming'!CQ26-'Grid_Requirement'!CQ26))</f>
        <v/>
      </c>
      <c r="CR26">
        <f>IF(COUNTIFS(T_StockCount[Part Name],$A26,T_StockCount[WeekIndex],95)&gt;0,SUMIFS(T_StockCount[CountedQty],T_StockCount[Part Name],$A26,T_StockCount[WeekIndex],95),IF((('T_SelfStock'!CR30&lt;&gt;""))*(('T_TTAFStock'!CR30&lt;&gt;""))&gt;0,'T_SelfStock'!CR30+'T_TTAFStock'!CR30,CQ26+'Grid_Incoming'!CR26-'Grid_Requirement'!CR26))</f>
        <v/>
      </c>
      <c r="CS26">
        <f>IF(COUNTIFS(T_StockCount[Part Name],$A26,T_StockCount[WeekIndex],96)&gt;0,SUMIFS(T_StockCount[CountedQty],T_StockCount[Part Name],$A26,T_StockCount[WeekIndex],96),IF((('T_SelfStock'!CS30&lt;&gt;""))*(('T_TTAFStock'!CS30&lt;&gt;""))&gt;0,'T_SelfStock'!CS30+'T_TTAFStock'!CS30,CR26+'Grid_Incoming'!CS26-'Grid_Requirement'!CS26))</f>
        <v/>
      </c>
      <c r="CT26">
        <f>IF(COUNTIFS(T_StockCount[Part Name],$A26,T_StockCount[WeekIndex],97)&gt;0,SUMIFS(T_StockCount[CountedQty],T_StockCount[Part Name],$A26,T_StockCount[WeekIndex],97),IF((('T_SelfStock'!CT30&lt;&gt;""))*(('T_TTAFStock'!CT30&lt;&gt;""))&gt;0,'T_SelfStock'!CT30+'T_TTAFStock'!CT30,CS26+'Grid_Incoming'!CT26-'Grid_Requirement'!CT26))</f>
        <v/>
      </c>
      <c r="CU26">
        <f>IF(COUNTIFS(T_StockCount[Part Name],$A26,T_StockCount[WeekIndex],98)&gt;0,SUMIFS(T_StockCount[CountedQty],T_StockCount[Part Name],$A26,T_StockCount[WeekIndex],98),IF((('T_SelfStock'!CU30&lt;&gt;""))*(('T_TTAFStock'!CU30&lt;&gt;""))&gt;0,'T_SelfStock'!CU30+'T_TTAFStock'!CU30,CT26+'Grid_Incoming'!CU26-'Grid_Requirement'!CU26))</f>
        <v/>
      </c>
      <c r="CV26">
        <f>IF(COUNTIFS(T_StockCount[Part Name],$A26,T_StockCount[WeekIndex],99)&gt;0,SUMIFS(T_StockCount[CountedQty],T_StockCount[Part Name],$A26,T_StockCount[WeekIndex],99),IF((('T_SelfStock'!CV30&lt;&gt;""))*(('T_TTAFStock'!CV30&lt;&gt;""))&gt;0,'T_SelfStock'!CV30+'T_TTAFStock'!CV30,CU26+'Grid_Incoming'!CV26-'Grid_Requirement'!CV26))</f>
        <v/>
      </c>
      <c r="CW26">
        <f>IF(COUNTIFS(T_StockCount[Part Name],$A26,T_StockCount[WeekIndex],100)&gt;0,SUMIFS(T_StockCount[CountedQty],T_StockCount[Part Name],$A26,T_StockCount[WeekIndex],100),IF((('T_SelfStock'!CW30&lt;&gt;""))*(('T_TTAFStock'!CW30&lt;&gt;""))&gt;0,'T_SelfStock'!CW30+'T_TTAFStock'!CW30,CV26+'Grid_Incoming'!CW26-'Grid_Requirement'!CW26))</f>
        <v/>
      </c>
      <c r="CX26">
        <f>IF(COUNTIFS(T_StockCount[Part Name],$A26,T_StockCount[WeekIndex],101)&gt;0,SUMIFS(T_StockCount[CountedQty],T_StockCount[Part Name],$A26,T_StockCount[WeekIndex],101),IF((('T_SelfStock'!CX30&lt;&gt;""))*(('T_TTAFStock'!CX30&lt;&gt;""))&gt;0,'T_SelfStock'!CX30+'T_TTAFStock'!CX30,CW26+'Grid_Incoming'!CX26-'Grid_Requirement'!CX26))</f>
        <v/>
      </c>
      <c r="CY26">
        <f>IF(COUNTIFS(T_StockCount[Part Name],$A26,T_StockCount[WeekIndex],102)&gt;0,SUMIFS(T_StockCount[CountedQty],T_StockCount[Part Name],$A26,T_StockCount[WeekIndex],102),IF((('T_SelfStock'!CY30&lt;&gt;""))*(('T_TTAFStock'!CY30&lt;&gt;""))&gt;0,'T_SelfStock'!CY30+'T_TTAFStock'!CY30,CX26+'Grid_Incoming'!CY26-'Grid_Requirement'!CY26))</f>
        <v/>
      </c>
      <c r="CZ26">
        <f>IF(COUNTIFS(T_StockCount[Part Name],$A26,T_StockCount[WeekIndex],103)&gt;0,SUMIFS(T_StockCount[CountedQty],T_StockCount[Part Name],$A26,T_StockCount[WeekIndex],103),IF((('T_SelfStock'!CZ30&lt;&gt;""))*(('T_TTAFStock'!CZ30&lt;&gt;""))&gt;0,'T_SelfStock'!CZ30+'T_TTAFStock'!CZ30,CY26+'Grid_Incoming'!CZ26-'Grid_Requirement'!CZ26))</f>
        <v/>
      </c>
      <c r="DA26">
        <f>IF(COUNTIFS(T_StockCount[Part Name],$A26,T_StockCount[WeekIndex],104)&gt;0,SUMIFS(T_StockCount[CountedQty],T_StockCount[Part Name],$A26,T_StockCount[WeekIndex],104),IF((('T_SelfStock'!DA30&lt;&gt;""))*(('T_TTAFStock'!DA30&lt;&gt;""))&gt;0,'T_SelfStock'!DA30+'T_TTAFStock'!DA30,CZ26+'Grid_Incoming'!DA26-'Grid_Requirement'!DA26))</f>
        <v/>
      </c>
    </row>
    <row r="27">
      <c r="A27" t="inlineStr">
        <is>
          <t>CHEM-1250</t>
        </is>
      </c>
      <c r="B27">
        <f>IF(COUNTIFS(T_StockCount[Part Name],$A27,T_StockCount[WeekIndex],1)&gt;0,SUMIFS(T_StockCount[CountedQty],T_StockCount[Part Name],$A27,T_StockCount[WeekIndex],1),IF((('T_SelfStock'!B31&lt;&gt;""))*(('T_TTAFStock'!B31&lt;&gt;""))&gt;0,'T_SelfStock'!B31+'T_TTAFStock'!B31,IFERROR(INDEX(T_OpeningStock[Opening_Qty_要入力],MATCH($A27,T_OpeningStock[Part Name],0)),0)+'Grid_Incoming'!B27-'Grid_Requirement'!B27))</f>
        <v/>
      </c>
      <c r="C27">
        <f>IF(COUNTIFS(T_StockCount[Part Name],$A27,T_StockCount[WeekIndex],2)&gt;0,SUMIFS(T_StockCount[CountedQty],T_StockCount[Part Name],$A27,T_StockCount[WeekIndex],2),IF((('T_SelfStock'!C31&lt;&gt;""))*(('T_TTAFStock'!C31&lt;&gt;""))&gt;0,'T_SelfStock'!C31+'T_TTAFStock'!C31,B27+'Grid_Incoming'!C27-'Grid_Requirement'!C27))</f>
        <v/>
      </c>
      <c r="D27">
        <f>IF(COUNTIFS(T_StockCount[Part Name],$A27,T_StockCount[WeekIndex],3)&gt;0,SUMIFS(T_StockCount[CountedQty],T_StockCount[Part Name],$A27,T_StockCount[WeekIndex],3),IF((('T_SelfStock'!D31&lt;&gt;""))*(('T_TTAFStock'!D31&lt;&gt;""))&gt;0,'T_SelfStock'!D31+'T_TTAFStock'!D31,C27+'Grid_Incoming'!D27-'Grid_Requirement'!D27))</f>
        <v/>
      </c>
      <c r="E27">
        <f>IF(COUNTIFS(T_StockCount[Part Name],$A27,T_StockCount[WeekIndex],4)&gt;0,SUMIFS(T_StockCount[CountedQty],T_StockCount[Part Name],$A27,T_StockCount[WeekIndex],4),IF((('T_SelfStock'!E31&lt;&gt;""))*(('T_TTAFStock'!E31&lt;&gt;""))&gt;0,'T_SelfStock'!E31+'T_TTAFStock'!E31,D27+'Grid_Incoming'!E27-'Grid_Requirement'!E27))</f>
        <v/>
      </c>
      <c r="F27">
        <f>IF(COUNTIFS(T_StockCount[Part Name],$A27,T_StockCount[WeekIndex],5)&gt;0,SUMIFS(T_StockCount[CountedQty],T_StockCount[Part Name],$A27,T_StockCount[WeekIndex],5),IF((('T_SelfStock'!F31&lt;&gt;""))*(('T_TTAFStock'!F31&lt;&gt;""))&gt;0,'T_SelfStock'!F31+'T_TTAFStock'!F31,E27+'Grid_Incoming'!F27-'Grid_Requirement'!F27))</f>
        <v/>
      </c>
      <c r="G27">
        <f>IF(COUNTIFS(T_StockCount[Part Name],$A27,T_StockCount[WeekIndex],6)&gt;0,SUMIFS(T_StockCount[CountedQty],T_StockCount[Part Name],$A27,T_StockCount[WeekIndex],6),IF((('T_SelfStock'!G31&lt;&gt;""))*(('T_TTAFStock'!G31&lt;&gt;""))&gt;0,'T_SelfStock'!G31+'T_TTAFStock'!G31,F27+'Grid_Incoming'!G27-'Grid_Requirement'!G27))</f>
        <v/>
      </c>
      <c r="H27">
        <f>IF(COUNTIFS(T_StockCount[Part Name],$A27,T_StockCount[WeekIndex],7)&gt;0,SUMIFS(T_StockCount[CountedQty],T_StockCount[Part Name],$A27,T_StockCount[WeekIndex],7),IF((('T_SelfStock'!H31&lt;&gt;""))*(('T_TTAFStock'!H31&lt;&gt;""))&gt;0,'T_SelfStock'!H31+'T_TTAFStock'!H31,G27+'Grid_Incoming'!H27-'Grid_Requirement'!H27))</f>
        <v/>
      </c>
      <c r="I27">
        <f>IF(COUNTIFS(T_StockCount[Part Name],$A27,T_StockCount[WeekIndex],8)&gt;0,SUMIFS(T_StockCount[CountedQty],T_StockCount[Part Name],$A27,T_StockCount[WeekIndex],8),IF((('T_SelfStock'!I31&lt;&gt;""))*(('T_TTAFStock'!I31&lt;&gt;""))&gt;0,'T_SelfStock'!I31+'T_TTAFStock'!I31,H27+'Grid_Incoming'!I27-'Grid_Requirement'!I27))</f>
        <v/>
      </c>
      <c r="J27">
        <f>IF(COUNTIFS(T_StockCount[Part Name],$A27,T_StockCount[WeekIndex],9)&gt;0,SUMIFS(T_StockCount[CountedQty],T_StockCount[Part Name],$A27,T_StockCount[WeekIndex],9),IF((('T_SelfStock'!J31&lt;&gt;""))*(('T_TTAFStock'!J31&lt;&gt;""))&gt;0,'T_SelfStock'!J31+'T_TTAFStock'!J31,I27+'Grid_Incoming'!J27-'Grid_Requirement'!J27))</f>
        <v/>
      </c>
      <c r="K27">
        <f>IF(COUNTIFS(T_StockCount[Part Name],$A27,T_StockCount[WeekIndex],10)&gt;0,SUMIFS(T_StockCount[CountedQty],T_StockCount[Part Name],$A27,T_StockCount[WeekIndex],10),IF((('T_SelfStock'!K31&lt;&gt;""))*(('T_TTAFStock'!K31&lt;&gt;""))&gt;0,'T_SelfStock'!K31+'T_TTAFStock'!K31,J27+'Grid_Incoming'!K27-'Grid_Requirement'!K27))</f>
        <v/>
      </c>
      <c r="L27">
        <f>IF(COUNTIFS(T_StockCount[Part Name],$A27,T_StockCount[WeekIndex],11)&gt;0,SUMIFS(T_StockCount[CountedQty],T_StockCount[Part Name],$A27,T_StockCount[WeekIndex],11),IF((('T_SelfStock'!L31&lt;&gt;""))*(('T_TTAFStock'!L31&lt;&gt;""))&gt;0,'T_SelfStock'!L31+'T_TTAFStock'!L31,K27+'Grid_Incoming'!L27-'Grid_Requirement'!L27))</f>
        <v/>
      </c>
      <c r="M27">
        <f>IF(COUNTIFS(T_StockCount[Part Name],$A27,T_StockCount[WeekIndex],12)&gt;0,SUMIFS(T_StockCount[CountedQty],T_StockCount[Part Name],$A27,T_StockCount[WeekIndex],12),IF((('T_SelfStock'!M31&lt;&gt;""))*(('T_TTAFStock'!M31&lt;&gt;""))&gt;0,'T_SelfStock'!M31+'T_TTAFStock'!M31,L27+'Grid_Incoming'!M27-'Grid_Requirement'!M27))</f>
        <v/>
      </c>
      <c r="N27">
        <f>IF(COUNTIFS(T_StockCount[Part Name],$A27,T_StockCount[WeekIndex],13)&gt;0,SUMIFS(T_StockCount[CountedQty],T_StockCount[Part Name],$A27,T_StockCount[WeekIndex],13),IF((('T_SelfStock'!N31&lt;&gt;""))*(('T_TTAFStock'!N31&lt;&gt;""))&gt;0,'T_SelfStock'!N31+'T_TTAFStock'!N31,M27+'Grid_Incoming'!N27-'Grid_Requirement'!N27))</f>
        <v/>
      </c>
      <c r="O27">
        <f>IF(COUNTIFS(T_StockCount[Part Name],$A27,T_StockCount[WeekIndex],14)&gt;0,SUMIFS(T_StockCount[CountedQty],T_StockCount[Part Name],$A27,T_StockCount[WeekIndex],14),IF((('T_SelfStock'!O31&lt;&gt;""))*(('T_TTAFStock'!O31&lt;&gt;""))&gt;0,'T_SelfStock'!O31+'T_TTAFStock'!O31,N27+'Grid_Incoming'!O27-'Grid_Requirement'!O27))</f>
        <v/>
      </c>
      <c r="P27">
        <f>IF(COUNTIFS(T_StockCount[Part Name],$A27,T_StockCount[WeekIndex],15)&gt;0,SUMIFS(T_StockCount[CountedQty],T_StockCount[Part Name],$A27,T_StockCount[WeekIndex],15),IF((('T_SelfStock'!P31&lt;&gt;""))*(('T_TTAFStock'!P31&lt;&gt;""))&gt;0,'T_SelfStock'!P31+'T_TTAFStock'!P31,O27+'Grid_Incoming'!P27-'Grid_Requirement'!P27))</f>
        <v/>
      </c>
      <c r="Q27">
        <f>IF(COUNTIFS(T_StockCount[Part Name],$A27,T_StockCount[WeekIndex],16)&gt;0,SUMIFS(T_StockCount[CountedQty],T_StockCount[Part Name],$A27,T_StockCount[WeekIndex],16),IF((('T_SelfStock'!Q31&lt;&gt;""))*(('T_TTAFStock'!Q31&lt;&gt;""))&gt;0,'T_SelfStock'!Q31+'T_TTAFStock'!Q31,P27+'Grid_Incoming'!Q27-'Grid_Requirement'!Q27))</f>
        <v/>
      </c>
      <c r="R27">
        <f>IF(COUNTIFS(T_StockCount[Part Name],$A27,T_StockCount[WeekIndex],17)&gt;0,SUMIFS(T_StockCount[CountedQty],T_StockCount[Part Name],$A27,T_StockCount[WeekIndex],17),IF((('T_SelfStock'!R31&lt;&gt;""))*(('T_TTAFStock'!R31&lt;&gt;""))&gt;0,'T_SelfStock'!R31+'T_TTAFStock'!R31,Q27+'Grid_Incoming'!R27-'Grid_Requirement'!R27))</f>
        <v/>
      </c>
      <c r="S27">
        <f>IF(COUNTIFS(T_StockCount[Part Name],$A27,T_StockCount[WeekIndex],18)&gt;0,SUMIFS(T_StockCount[CountedQty],T_StockCount[Part Name],$A27,T_StockCount[WeekIndex],18),IF((('T_SelfStock'!S31&lt;&gt;""))*(('T_TTAFStock'!S31&lt;&gt;""))&gt;0,'T_SelfStock'!S31+'T_TTAFStock'!S31,R27+'Grid_Incoming'!S27-'Grid_Requirement'!S27))</f>
        <v/>
      </c>
      <c r="T27">
        <f>IF(COUNTIFS(T_StockCount[Part Name],$A27,T_StockCount[WeekIndex],19)&gt;0,SUMIFS(T_StockCount[CountedQty],T_StockCount[Part Name],$A27,T_StockCount[WeekIndex],19),IF((('T_SelfStock'!T31&lt;&gt;""))*(('T_TTAFStock'!T31&lt;&gt;""))&gt;0,'T_SelfStock'!T31+'T_TTAFStock'!T31,S27+'Grid_Incoming'!T27-'Grid_Requirement'!T27))</f>
        <v/>
      </c>
      <c r="U27">
        <f>IF(COUNTIFS(T_StockCount[Part Name],$A27,T_StockCount[WeekIndex],20)&gt;0,SUMIFS(T_StockCount[CountedQty],T_StockCount[Part Name],$A27,T_StockCount[WeekIndex],20),IF((('T_SelfStock'!U31&lt;&gt;""))*(('T_TTAFStock'!U31&lt;&gt;""))&gt;0,'T_SelfStock'!U31+'T_TTAFStock'!U31,T27+'Grid_Incoming'!U27-'Grid_Requirement'!U27))</f>
        <v/>
      </c>
      <c r="V27">
        <f>IF(COUNTIFS(T_StockCount[Part Name],$A27,T_StockCount[WeekIndex],21)&gt;0,SUMIFS(T_StockCount[CountedQty],T_StockCount[Part Name],$A27,T_StockCount[WeekIndex],21),IF((('T_SelfStock'!V31&lt;&gt;""))*(('T_TTAFStock'!V31&lt;&gt;""))&gt;0,'T_SelfStock'!V31+'T_TTAFStock'!V31,U27+'Grid_Incoming'!V27-'Grid_Requirement'!V27))</f>
        <v/>
      </c>
      <c r="W27">
        <f>IF(COUNTIFS(T_StockCount[Part Name],$A27,T_StockCount[WeekIndex],22)&gt;0,SUMIFS(T_StockCount[CountedQty],T_StockCount[Part Name],$A27,T_StockCount[WeekIndex],22),IF((('T_SelfStock'!W31&lt;&gt;""))*(('T_TTAFStock'!W31&lt;&gt;""))&gt;0,'T_SelfStock'!W31+'T_TTAFStock'!W31,V27+'Grid_Incoming'!W27-'Grid_Requirement'!W27))</f>
        <v/>
      </c>
      <c r="X27">
        <f>IF(COUNTIFS(T_StockCount[Part Name],$A27,T_StockCount[WeekIndex],23)&gt;0,SUMIFS(T_StockCount[CountedQty],T_StockCount[Part Name],$A27,T_StockCount[WeekIndex],23),IF((('T_SelfStock'!X31&lt;&gt;""))*(('T_TTAFStock'!X31&lt;&gt;""))&gt;0,'T_SelfStock'!X31+'T_TTAFStock'!X31,W27+'Grid_Incoming'!X27-'Grid_Requirement'!X27))</f>
        <v/>
      </c>
      <c r="Y27">
        <f>IF(COUNTIFS(T_StockCount[Part Name],$A27,T_StockCount[WeekIndex],24)&gt;0,SUMIFS(T_StockCount[CountedQty],T_StockCount[Part Name],$A27,T_StockCount[WeekIndex],24),IF((('T_SelfStock'!Y31&lt;&gt;""))*(('T_TTAFStock'!Y31&lt;&gt;""))&gt;0,'T_SelfStock'!Y31+'T_TTAFStock'!Y31,X27+'Grid_Incoming'!Y27-'Grid_Requirement'!Y27))</f>
        <v/>
      </c>
      <c r="Z27">
        <f>IF(COUNTIFS(T_StockCount[Part Name],$A27,T_StockCount[WeekIndex],25)&gt;0,SUMIFS(T_StockCount[CountedQty],T_StockCount[Part Name],$A27,T_StockCount[WeekIndex],25),IF((('T_SelfStock'!Z31&lt;&gt;""))*(('T_TTAFStock'!Z31&lt;&gt;""))&gt;0,'T_SelfStock'!Z31+'T_TTAFStock'!Z31,Y27+'Grid_Incoming'!Z27-'Grid_Requirement'!Z27))</f>
        <v/>
      </c>
      <c r="AA27">
        <f>IF(COUNTIFS(T_StockCount[Part Name],$A27,T_StockCount[WeekIndex],26)&gt;0,SUMIFS(T_StockCount[CountedQty],T_StockCount[Part Name],$A27,T_StockCount[WeekIndex],26),IF((('T_SelfStock'!AA31&lt;&gt;""))*(('T_TTAFStock'!AA31&lt;&gt;""))&gt;0,'T_SelfStock'!AA31+'T_TTAFStock'!AA31,Z27+'Grid_Incoming'!AA27-'Grid_Requirement'!AA27))</f>
        <v/>
      </c>
      <c r="AB27">
        <f>IF(COUNTIFS(T_StockCount[Part Name],$A27,T_StockCount[WeekIndex],27)&gt;0,SUMIFS(T_StockCount[CountedQty],T_StockCount[Part Name],$A27,T_StockCount[WeekIndex],27),IF((('T_SelfStock'!AB31&lt;&gt;""))*(('T_TTAFStock'!AB31&lt;&gt;""))&gt;0,'T_SelfStock'!AB31+'T_TTAFStock'!AB31,AA27+'Grid_Incoming'!AB27-'Grid_Requirement'!AB27))</f>
        <v/>
      </c>
      <c r="AC27">
        <f>IF(COUNTIFS(T_StockCount[Part Name],$A27,T_StockCount[WeekIndex],28)&gt;0,SUMIFS(T_StockCount[CountedQty],T_StockCount[Part Name],$A27,T_StockCount[WeekIndex],28),IF((('T_SelfStock'!AC31&lt;&gt;""))*(('T_TTAFStock'!AC31&lt;&gt;""))&gt;0,'T_SelfStock'!AC31+'T_TTAFStock'!AC31,AB27+'Grid_Incoming'!AC27-'Grid_Requirement'!AC27))</f>
        <v/>
      </c>
      <c r="AD27">
        <f>IF(COUNTIFS(T_StockCount[Part Name],$A27,T_StockCount[WeekIndex],29)&gt;0,SUMIFS(T_StockCount[CountedQty],T_StockCount[Part Name],$A27,T_StockCount[WeekIndex],29),IF((('T_SelfStock'!AD31&lt;&gt;""))*(('T_TTAFStock'!AD31&lt;&gt;""))&gt;0,'T_SelfStock'!AD31+'T_TTAFStock'!AD31,AC27+'Grid_Incoming'!AD27-'Grid_Requirement'!AD27))</f>
        <v/>
      </c>
      <c r="AE27">
        <f>IF(COUNTIFS(T_StockCount[Part Name],$A27,T_StockCount[WeekIndex],30)&gt;0,SUMIFS(T_StockCount[CountedQty],T_StockCount[Part Name],$A27,T_StockCount[WeekIndex],30),IF((('T_SelfStock'!AE31&lt;&gt;""))*(('T_TTAFStock'!AE31&lt;&gt;""))&gt;0,'T_SelfStock'!AE31+'T_TTAFStock'!AE31,AD27+'Grid_Incoming'!AE27-'Grid_Requirement'!AE27))</f>
        <v/>
      </c>
      <c r="AF27">
        <f>IF(COUNTIFS(T_StockCount[Part Name],$A27,T_StockCount[WeekIndex],31)&gt;0,SUMIFS(T_StockCount[CountedQty],T_StockCount[Part Name],$A27,T_StockCount[WeekIndex],31),IF((('T_SelfStock'!AF31&lt;&gt;""))*(('T_TTAFStock'!AF31&lt;&gt;""))&gt;0,'T_SelfStock'!AF31+'T_TTAFStock'!AF31,AE27+'Grid_Incoming'!AF27-'Grid_Requirement'!AF27))</f>
        <v/>
      </c>
      <c r="AG27">
        <f>IF(COUNTIFS(T_StockCount[Part Name],$A27,T_StockCount[WeekIndex],32)&gt;0,SUMIFS(T_StockCount[CountedQty],T_StockCount[Part Name],$A27,T_StockCount[WeekIndex],32),IF((('T_SelfStock'!AG31&lt;&gt;""))*(('T_TTAFStock'!AG31&lt;&gt;""))&gt;0,'T_SelfStock'!AG31+'T_TTAFStock'!AG31,AF27+'Grid_Incoming'!AG27-'Grid_Requirement'!AG27))</f>
        <v/>
      </c>
      <c r="AH27">
        <f>IF(COUNTIFS(T_StockCount[Part Name],$A27,T_StockCount[WeekIndex],33)&gt;0,SUMIFS(T_StockCount[CountedQty],T_StockCount[Part Name],$A27,T_StockCount[WeekIndex],33),IF((('T_SelfStock'!AH31&lt;&gt;""))*(('T_TTAFStock'!AH31&lt;&gt;""))&gt;0,'T_SelfStock'!AH31+'T_TTAFStock'!AH31,AG27+'Grid_Incoming'!AH27-'Grid_Requirement'!AH27))</f>
        <v/>
      </c>
      <c r="AI27">
        <f>IF(COUNTIFS(T_StockCount[Part Name],$A27,T_StockCount[WeekIndex],34)&gt;0,SUMIFS(T_StockCount[CountedQty],T_StockCount[Part Name],$A27,T_StockCount[WeekIndex],34),IF((('T_SelfStock'!AI31&lt;&gt;""))*(('T_TTAFStock'!AI31&lt;&gt;""))&gt;0,'T_SelfStock'!AI31+'T_TTAFStock'!AI31,AH27+'Grid_Incoming'!AI27-'Grid_Requirement'!AI27))</f>
        <v/>
      </c>
      <c r="AJ27">
        <f>IF(COUNTIFS(T_StockCount[Part Name],$A27,T_StockCount[WeekIndex],35)&gt;0,SUMIFS(T_StockCount[CountedQty],T_StockCount[Part Name],$A27,T_StockCount[WeekIndex],35),IF((('T_SelfStock'!AJ31&lt;&gt;""))*(('T_TTAFStock'!AJ31&lt;&gt;""))&gt;0,'T_SelfStock'!AJ31+'T_TTAFStock'!AJ31,AI27+'Grid_Incoming'!AJ27-'Grid_Requirement'!AJ27))</f>
        <v/>
      </c>
      <c r="AK27">
        <f>IF(COUNTIFS(T_StockCount[Part Name],$A27,T_StockCount[WeekIndex],36)&gt;0,SUMIFS(T_StockCount[CountedQty],T_StockCount[Part Name],$A27,T_StockCount[WeekIndex],36),IF((('T_SelfStock'!AK31&lt;&gt;""))*(('T_TTAFStock'!AK31&lt;&gt;""))&gt;0,'T_SelfStock'!AK31+'T_TTAFStock'!AK31,AJ27+'Grid_Incoming'!AK27-'Grid_Requirement'!AK27))</f>
        <v/>
      </c>
      <c r="AL27">
        <f>IF(COUNTIFS(T_StockCount[Part Name],$A27,T_StockCount[WeekIndex],37)&gt;0,SUMIFS(T_StockCount[CountedQty],T_StockCount[Part Name],$A27,T_StockCount[WeekIndex],37),IF((('T_SelfStock'!AL31&lt;&gt;""))*(('T_TTAFStock'!AL31&lt;&gt;""))&gt;0,'T_SelfStock'!AL31+'T_TTAFStock'!AL31,AK27+'Grid_Incoming'!AL27-'Grid_Requirement'!AL27))</f>
        <v/>
      </c>
      <c r="AM27">
        <f>IF(COUNTIFS(T_StockCount[Part Name],$A27,T_StockCount[WeekIndex],38)&gt;0,SUMIFS(T_StockCount[CountedQty],T_StockCount[Part Name],$A27,T_StockCount[WeekIndex],38),IF((('T_SelfStock'!AM31&lt;&gt;""))*(('T_TTAFStock'!AM31&lt;&gt;""))&gt;0,'T_SelfStock'!AM31+'T_TTAFStock'!AM31,AL27+'Grid_Incoming'!AM27-'Grid_Requirement'!AM27))</f>
        <v/>
      </c>
      <c r="AN27">
        <f>IF(COUNTIFS(T_StockCount[Part Name],$A27,T_StockCount[WeekIndex],39)&gt;0,SUMIFS(T_StockCount[CountedQty],T_StockCount[Part Name],$A27,T_StockCount[WeekIndex],39),IF((('T_SelfStock'!AN31&lt;&gt;""))*(('T_TTAFStock'!AN31&lt;&gt;""))&gt;0,'T_SelfStock'!AN31+'T_TTAFStock'!AN31,AM27+'Grid_Incoming'!AN27-'Grid_Requirement'!AN27))</f>
        <v/>
      </c>
      <c r="AO27">
        <f>IF(COUNTIFS(T_StockCount[Part Name],$A27,T_StockCount[WeekIndex],40)&gt;0,SUMIFS(T_StockCount[CountedQty],T_StockCount[Part Name],$A27,T_StockCount[WeekIndex],40),IF((('T_SelfStock'!AO31&lt;&gt;""))*(('T_TTAFStock'!AO31&lt;&gt;""))&gt;0,'T_SelfStock'!AO31+'T_TTAFStock'!AO31,AN27+'Grid_Incoming'!AO27-'Grid_Requirement'!AO27))</f>
        <v/>
      </c>
      <c r="AP27">
        <f>IF(COUNTIFS(T_StockCount[Part Name],$A27,T_StockCount[WeekIndex],41)&gt;0,SUMIFS(T_StockCount[CountedQty],T_StockCount[Part Name],$A27,T_StockCount[WeekIndex],41),IF((('T_SelfStock'!AP31&lt;&gt;""))*(('T_TTAFStock'!AP31&lt;&gt;""))&gt;0,'T_SelfStock'!AP31+'T_TTAFStock'!AP31,AO27+'Grid_Incoming'!AP27-'Grid_Requirement'!AP27))</f>
        <v/>
      </c>
      <c r="AQ27">
        <f>IF(COUNTIFS(T_StockCount[Part Name],$A27,T_StockCount[WeekIndex],42)&gt;0,SUMIFS(T_StockCount[CountedQty],T_StockCount[Part Name],$A27,T_StockCount[WeekIndex],42),IF((('T_SelfStock'!AQ31&lt;&gt;""))*(('T_TTAFStock'!AQ31&lt;&gt;""))&gt;0,'T_SelfStock'!AQ31+'T_TTAFStock'!AQ31,AP27+'Grid_Incoming'!AQ27-'Grid_Requirement'!AQ27))</f>
        <v/>
      </c>
      <c r="AR27">
        <f>IF(COUNTIFS(T_StockCount[Part Name],$A27,T_StockCount[WeekIndex],43)&gt;0,SUMIFS(T_StockCount[CountedQty],T_StockCount[Part Name],$A27,T_StockCount[WeekIndex],43),IF((('T_SelfStock'!AR31&lt;&gt;""))*(('T_TTAFStock'!AR31&lt;&gt;""))&gt;0,'T_SelfStock'!AR31+'T_TTAFStock'!AR31,AQ27+'Grid_Incoming'!AR27-'Grid_Requirement'!AR27))</f>
        <v/>
      </c>
      <c r="AS27">
        <f>IF(COUNTIFS(T_StockCount[Part Name],$A27,T_StockCount[WeekIndex],44)&gt;0,SUMIFS(T_StockCount[CountedQty],T_StockCount[Part Name],$A27,T_StockCount[WeekIndex],44),IF((('T_SelfStock'!AS31&lt;&gt;""))*(('T_TTAFStock'!AS31&lt;&gt;""))&gt;0,'T_SelfStock'!AS31+'T_TTAFStock'!AS31,AR27+'Grid_Incoming'!AS27-'Grid_Requirement'!AS27))</f>
        <v/>
      </c>
      <c r="AT27">
        <f>IF(COUNTIFS(T_StockCount[Part Name],$A27,T_StockCount[WeekIndex],45)&gt;0,SUMIFS(T_StockCount[CountedQty],T_StockCount[Part Name],$A27,T_StockCount[WeekIndex],45),IF((('T_SelfStock'!AT31&lt;&gt;""))*(('T_TTAFStock'!AT31&lt;&gt;""))&gt;0,'T_SelfStock'!AT31+'T_TTAFStock'!AT31,AS27+'Grid_Incoming'!AT27-'Grid_Requirement'!AT27))</f>
        <v/>
      </c>
      <c r="AU27">
        <f>IF(COUNTIFS(T_StockCount[Part Name],$A27,T_StockCount[WeekIndex],46)&gt;0,SUMIFS(T_StockCount[CountedQty],T_StockCount[Part Name],$A27,T_StockCount[WeekIndex],46),IF((('T_SelfStock'!AU31&lt;&gt;""))*(('T_TTAFStock'!AU31&lt;&gt;""))&gt;0,'T_SelfStock'!AU31+'T_TTAFStock'!AU31,AT27+'Grid_Incoming'!AU27-'Grid_Requirement'!AU27))</f>
        <v/>
      </c>
      <c r="AV27">
        <f>IF(COUNTIFS(T_StockCount[Part Name],$A27,T_StockCount[WeekIndex],47)&gt;0,SUMIFS(T_StockCount[CountedQty],T_StockCount[Part Name],$A27,T_StockCount[WeekIndex],47),IF((('T_SelfStock'!AV31&lt;&gt;""))*(('T_TTAFStock'!AV31&lt;&gt;""))&gt;0,'T_SelfStock'!AV31+'T_TTAFStock'!AV31,AU27+'Grid_Incoming'!AV27-'Grid_Requirement'!AV27))</f>
        <v/>
      </c>
      <c r="AW27">
        <f>IF(COUNTIFS(T_StockCount[Part Name],$A27,T_StockCount[WeekIndex],48)&gt;0,SUMIFS(T_StockCount[CountedQty],T_StockCount[Part Name],$A27,T_StockCount[WeekIndex],48),IF((('T_SelfStock'!AW31&lt;&gt;""))*(('T_TTAFStock'!AW31&lt;&gt;""))&gt;0,'T_SelfStock'!AW31+'T_TTAFStock'!AW31,AV27+'Grid_Incoming'!AW27-'Grid_Requirement'!AW27))</f>
        <v/>
      </c>
      <c r="AX27">
        <f>IF(COUNTIFS(T_StockCount[Part Name],$A27,T_StockCount[WeekIndex],49)&gt;0,SUMIFS(T_StockCount[CountedQty],T_StockCount[Part Name],$A27,T_StockCount[WeekIndex],49),IF((('T_SelfStock'!AX31&lt;&gt;""))*(('T_TTAFStock'!AX31&lt;&gt;""))&gt;0,'T_SelfStock'!AX31+'T_TTAFStock'!AX31,AW27+'Grid_Incoming'!AX27-'Grid_Requirement'!AX27))</f>
        <v/>
      </c>
      <c r="AY27">
        <f>IF(COUNTIFS(T_StockCount[Part Name],$A27,T_StockCount[WeekIndex],50)&gt;0,SUMIFS(T_StockCount[CountedQty],T_StockCount[Part Name],$A27,T_StockCount[WeekIndex],50),IF((('T_SelfStock'!AY31&lt;&gt;""))*(('T_TTAFStock'!AY31&lt;&gt;""))&gt;0,'T_SelfStock'!AY31+'T_TTAFStock'!AY31,AX27+'Grid_Incoming'!AY27-'Grid_Requirement'!AY27))</f>
        <v/>
      </c>
      <c r="AZ27">
        <f>IF(COUNTIFS(T_StockCount[Part Name],$A27,T_StockCount[WeekIndex],51)&gt;0,SUMIFS(T_StockCount[CountedQty],T_StockCount[Part Name],$A27,T_StockCount[WeekIndex],51),IF((('T_SelfStock'!AZ31&lt;&gt;""))*(('T_TTAFStock'!AZ31&lt;&gt;""))&gt;0,'T_SelfStock'!AZ31+'T_TTAFStock'!AZ31,AY27+'Grid_Incoming'!AZ27-'Grid_Requirement'!AZ27))</f>
        <v/>
      </c>
      <c r="BA27">
        <f>IF(COUNTIFS(T_StockCount[Part Name],$A27,T_StockCount[WeekIndex],52)&gt;0,SUMIFS(T_StockCount[CountedQty],T_StockCount[Part Name],$A27,T_StockCount[WeekIndex],52),IF((('T_SelfStock'!BA31&lt;&gt;""))*(('T_TTAFStock'!BA31&lt;&gt;""))&gt;0,'T_SelfStock'!BA31+'T_TTAFStock'!BA31,AZ27+'Grid_Incoming'!BA27-'Grid_Requirement'!BA27))</f>
        <v/>
      </c>
      <c r="BB27">
        <f>IF(COUNTIFS(T_StockCount[Part Name],$A27,T_StockCount[WeekIndex],53)&gt;0,SUMIFS(T_StockCount[CountedQty],T_StockCount[Part Name],$A27,T_StockCount[WeekIndex],53),IF((('T_SelfStock'!BB31&lt;&gt;""))*(('T_TTAFStock'!BB31&lt;&gt;""))&gt;0,'T_SelfStock'!BB31+'T_TTAFStock'!BB31,BA27+'Grid_Incoming'!BB27-'Grid_Requirement'!BB27))</f>
        <v/>
      </c>
      <c r="BC27">
        <f>IF(COUNTIFS(T_StockCount[Part Name],$A27,T_StockCount[WeekIndex],54)&gt;0,SUMIFS(T_StockCount[CountedQty],T_StockCount[Part Name],$A27,T_StockCount[WeekIndex],54),IF((('T_SelfStock'!BC31&lt;&gt;""))*(('T_TTAFStock'!BC31&lt;&gt;""))&gt;0,'T_SelfStock'!BC31+'T_TTAFStock'!BC31,BB27+'Grid_Incoming'!BC27-'Grid_Requirement'!BC27))</f>
        <v/>
      </c>
      <c r="BD27">
        <f>IF(COUNTIFS(T_StockCount[Part Name],$A27,T_StockCount[WeekIndex],55)&gt;0,SUMIFS(T_StockCount[CountedQty],T_StockCount[Part Name],$A27,T_StockCount[WeekIndex],55),IF((('T_SelfStock'!BD31&lt;&gt;""))*(('T_TTAFStock'!BD31&lt;&gt;""))&gt;0,'T_SelfStock'!BD31+'T_TTAFStock'!BD31,BC27+'Grid_Incoming'!BD27-'Grid_Requirement'!BD27))</f>
        <v/>
      </c>
      <c r="BE27">
        <f>IF(COUNTIFS(T_StockCount[Part Name],$A27,T_StockCount[WeekIndex],56)&gt;0,SUMIFS(T_StockCount[CountedQty],T_StockCount[Part Name],$A27,T_StockCount[WeekIndex],56),IF((('T_SelfStock'!BE31&lt;&gt;""))*(('T_TTAFStock'!BE31&lt;&gt;""))&gt;0,'T_SelfStock'!BE31+'T_TTAFStock'!BE31,BD27+'Grid_Incoming'!BE27-'Grid_Requirement'!BE27))</f>
        <v/>
      </c>
      <c r="BF27">
        <f>IF(COUNTIFS(T_StockCount[Part Name],$A27,T_StockCount[WeekIndex],57)&gt;0,SUMIFS(T_StockCount[CountedQty],T_StockCount[Part Name],$A27,T_StockCount[WeekIndex],57),IF((('T_SelfStock'!BF31&lt;&gt;""))*(('T_TTAFStock'!BF31&lt;&gt;""))&gt;0,'T_SelfStock'!BF31+'T_TTAFStock'!BF31,BE27+'Grid_Incoming'!BF27-'Grid_Requirement'!BF27))</f>
        <v/>
      </c>
      <c r="BG27">
        <f>IF(COUNTIFS(T_StockCount[Part Name],$A27,T_StockCount[WeekIndex],58)&gt;0,SUMIFS(T_StockCount[CountedQty],T_StockCount[Part Name],$A27,T_StockCount[WeekIndex],58),IF((('T_SelfStock'!BG31&lt;&gt;""))*(('T_TTAFStock'!BG31&lt;&gt;""))&gt;0,'T_SelfStock'!BG31+'T_TTAFStock'!BG31,BF27+'Grid_Incoming'!BG27-'Grid_Requirement'!BG27))</f>
        <v/>
      </c>
      <c r="BH27">
        <f>IF(COUNTIFS(T_StockCount[Part Name],$A27,T_StockCount[WeekIndex],59)&gt;0,SUMIFS(T_StockCount[CountedQty],T_StockCount[Part Name],$A27,T_StockCount[WeekIndex],59),IF((('T_SelfStock'!BH31&lt;&gt;""))*(('T_TTAFStock'!BH31&lt;&gt;""))&gt;0,'T_SelfStock'!BH31+'T_TTAFStock'!BH31,BG27+'Grid_Incoming'!BH27-'Grid_Requirement'!BH27))</f>
        <v/>
      </c>
      <c r="BI27">
        <f>IF(COUNTIFS(T_StockCount[Part Name],$A27,T_StockCount[WeekIndex],60)&gt;0,SUMIFS(T_StockCount[CountedQty],T_StockCount[Part Name],$A27,T_StockCount[WeekIndex],60),IF((('T_SelfStock'!BI31&lt;&gt;""))*(('T_TTAFStock'!BI31&lt;&gt;""))&gt;0,'T_SelfStock'!BI31+'T_TTAFStock'!BI31,BH27+'Grid_Incoming'!BI27-'Grid_Requirement'!BI27))</f>
        <v/>
      </c>
      <c r="BJ27">
        <f>IF(COUNTIFS(T_StockCount[Part Name],$A27,T_StockCount[WeekIndex],61)&gt;0,SUMIFS(T_StockCount[CountedQty],T_StockCount[Part Name],$A27,T_StockCount[WeekIndex],61),IF((('T_SelfStock'!BJ31&lt;&gt;""))*(('T_TTAFStock'!BJ31&lt;&gt;""))&gt;0,'T_SelfStock'!BJ31+'T_TTAFStock'!BJ31,BI27+'Grid_Incoming'!BJ27-'Grid_Requirement'!BJ27))</f>
        <v/>
      </c>
      <c r="BK27">
        <f>IF(COUNTIFS(T_StockCount[Part Name],$A27,T_StockCount[WeekIndex],62)&gt;0,SUMIFS(T_StockCount[CountedQty],T_StockCount[Part Name],$A27,T_StockCount[WeekIndex],62),IF((('T_SelfStock'!BK31&lt;&gt;""))*(('T_TTAFStock'!BK31&lt;&gt;""))&gt;0,'T_SelfStock'!BK31+'T_TTAFStock'!BK31,BJ27+'Grid_Incoming'!BK27-'Grid_Requirement'!BK27))</f>
        <v/>
      </c>
      <c r="BL27">
        <f>IF(COUNTIFS(T_StockCount[Part Name],$A27,T_StockCount[WeekIndex],63)&gt;0,SUMIFS(T_StockCount[CountedQty],T_StockCount[Part Name],$A27,T_StockCount[WeekIndex],63),IF((('T_SelfStock'!BL31&lt;&gt;""))*(('T_TTAFStock'!BL31&lt;&gt;""))&gt;0,'T_SelfStock'!BL31+'T_TTAFStock'!BL31,BK27+'Grid_Incoming'!BL27-'Grid_Requirement'!BL27))</f>
        <v/>
      </c>
      <c r="BM27">
        <f>IF(COUNTIFS(T_StockCount[Part Name],$A27,T_StockCount[WeekIndex],64)&gt;0,SUMIFS(T_StockCount[CountedQty],T_StockCount[Part Name],$A27,T_StockCount[WeekIndex],64),IF((('T_SelfStock'!BM31&lt;&gt;""))*(('T_TTAFStock'!BM31&lt;&gt;""))&gt;0,'T_SelfStock'!BM31+'T_TTAFStock'!BM31,BL27+'Grid_Incoming'!BM27-'Grid_Requirement'!BM27))</f>
        <v/>
      </c>
      <c r="BN27">
        <f>IF(COUNTIFS(T_StockCount[Part Name],$A27,T_StockCount[WeekIndex],65)&gt;0,SUMIFS(T_StockCount[CountedQty],T_StockCount[Part Name],$A27,T_StockCount[WeekIndex],65),IF((('T_SelfStock'!BN31&lt;&gt;""))*(('T_TTAFStock'!BN31&lt;&gt;""))&gt;0,'T_SelfStock'!BN31+'T_TTAFStock'!BN31,BM27+'Grid_Incoming'!BN27-'Grid_Requirement'!BN27))</f>
        <v/>
      </c>
      <c r="BO27">
        <f>IF(COUNTIFS(T_StockCount[Part Name],$A27,T_StockCount[WeekIndex],66)&gt;0,SUMIFS(T_StockCount[CountedQty],T_StockCount[Part Name],$A27,T_StockCount[WeekIndex],66),IF((('T_SelfStock'!BO31&lt;&gt;""))*(('T_TTAFStock'!BO31&lt;&gt;""))&gt;0,'T_SelfStock'!BO31+'T_TTAFStock'!BO31,BN27+'Grid_Incoming'!BO27-'Grid_Requirement'!BO27))</f>
        <v/>
      </c>
      <c r="BP27">
        <f>IF(COUNTIFS(T_StockCount[Part Name],$A27,T_StockCount[WeekIndex],67)&gt;0,SUMIFS(T_StockCount[CountedQty],T_StockCount[Part Name],$A27,T_StockCount[WeekIndex],67),IF((('T_SelfStock'!BP31&lt;&gt;""))*(('T_TTAFStock'!BP31&lt;&gt;""))&gt;0,'T_SelfStock'!BP31+'T_TTAFStock'!BP31,BO27+'Grid_Incoming'!BP27-'Grid_Requirement'!BP27))</f>
        <v/>
      </c>
      <c r="BQ27">
        <f>IF(COUNTIFS(T_StockCount[Part Name],$A27,T_StockCount[WeekIndex],68)&gt;0,SUMIFS(T_StockCount[CountedQty],T_StockCount[Part Name],$A27,T_StockCount[WeekIndex],68),IF((('T_SelfStock'!BQ31&lt;&gt;""))*(('T_TTAFStock'!BQ31&lt;&gt;""))&gt;0,'T_SelfStock'!BQ31+'T_TTAFStock'!BQ31,BP27+'Grid_Incoming'!BQ27-'Grid_Requirement'!BQ27))</f>
        <v/>
      </c>
      <c r="BR27">
        <f>IF(COUNTIFS(T_StockCount[Part Name],$A27,T_StockCount[WeekIndex],69)&gt;0,SUMIFS(T_StockCount[CountedQty],T_StockCount[Part Name],$A27,T_StockCount[WeekIndex],69),IF((('T_SelfStock'!BR31&lt;&gt;""))*(('T_TTAFStock'!BR31&lt;&gt;""))&gt;0,'T_SelfStock'!BR31+'T_TTAFStock'!BR31,BQ27+'Grid_Incoming'!BR27-'Grid_Requirement'!BR27))</f>
        <v/>
      </c>
      <c r="BS27">
        <f>IF(COUNTIFS(T_StockCount[Part Name],$A27,T_StockCount[WeekIndex],70)&gt;0,SUMIFS(T_StockCount[CountedQty],T_StockCount[Part Name],$A27,T_StockCount[WeekIndex],70),IF((('T_SelfStock'!BS31&lt;&gt;""))*(('T_TTAFStock'!BS31&lt;&gt;""))&gt;0,'T_SelfStock'!BS31+'T_TTAFStock'!BS31,BR27+'Grid_Incoming'!BS27-'Grid_Requirement'!BS27))</f>
        <v/>
      </c>
      <c r="BT27">
        <f>IF(COUNTIFS(T_StockCount[Part Name],$A27,T_StockCount[WeekIndex],71)&gt;0,SUMIFS(T_StockCount[CountedQty],T_StockCount[Part Name],$A27,T_StockCount[WeekIndex],71),IF((('T_SelfStock'!BT31&lt;&gt;""))*(('T_TTAFStock'!BT31&lt;&gt;""))&gt;0,'T_SelfStock'!BT31+'T_TTAFStock'!BT31,BS27+'Grid_Incoming'!BT27-'Grid_Requirement'!BT27))</f>
        <v/>
      </c>
      <c r="BU27">
        <f>IF(COUNTIFS(T_StockCount[Part Name],$A27,T_StockCount[WeekIndex],72)&gt;0,SUMIFS(T_StockCount[CountedQty],T_StockCount[Part Name],$A27,T_StockCount[WeekIndex],72),IF((('T_SelfStock'!BU31&lt;&gt;""))*(('T_TTAFStock'!BU31&lt;&gt;""))&gt;0,'T_SelfStock'!BU31+'T_TTAFStock'!BU31,BT27+'Grid_Incoming'!BU27-'Grid_Requirement'!BU27))</f>
        <v/>
      </c>
      <c r="BV27">
        <f>IF(COUNTIFS(T_StockCount[Part Name],$A27,T_StockCount[WeekIndex],73)&gt;0,SUMIFS(T_StockCount[CountedQty],T_StockCount[Part Name],$A27,T_StockCount[WeekIndex],73),IF((('T_SelfStock'!BV31&lt;&gt;""))*(('T_TTAFStock'!BV31&lt;&gt;""))&gt;0,'T_SelfStock'!BV31+'T_TTAFStock'!BV31,BU27+'Grid_Incoming'!BV27-'Grid_Requirement'!BV27))</f>
        <v/>
      </c>
      <c r="BW27">
        <f>IF(COUNTIFS(T_StockCount[Part Name],$A27,T_StockCount[WeekIndex],74)&gt;0,SUMIFS(T_StockCount[CountedQty],T_StockCount[Part Name],$A27,T_StockCount[WeekIndex],74),IF((('T_SelfStock'!BW31&lt;&gt;""))*(('T_TTAFStock'!BW31&lt;&gt;""))&gt;0,'T_SelfStock'!BW31+'T_TTAFStock'!BW31,BV27+'Grid_Incoming'!BW27-'Grid_Requirement'!BW27))</f>
        <v/>
      </c>
      <c r="BX27">
        <f>IF(COUNTIFS(T_StockCount[Part Name],$A27,T_StockCount[WeekIndex],75)&gt;0,SUMIFS(T_StockCount[CountedQty],T_StockCount[Part Name],$A27,T_StockCount[WeekIndex],75),IF((('T_SelfStock'!BX31&lt;&gt;""))*(('T_TTAFStock'!BX31&lt;&gt;""))&gt;0,'T_SelfStock'!BX31+'T_TTAFStock'!BX31,BW27+'Grid_Incoming'!BX27-'Grid_Requirement'!BX27))</f>
        <v/>
      </c>
      <c r="BY27">
        <f>IF(COUNTIFS(T_StockCount[Part Name],$A27,T_StockCount[WeekIndex],76)&gt;0,SUMIFS(T_StockCount[CountedQty],T_StockCount[Part Name],$A27,T_StockCount[WeekIndex],76),IF((('T_SelfStock'!BY31&lt;&gt;""))*(('T_TTAFStock'!BY31&lt;&gt;""))&gt;0,'T_SelfStock'!BY31+'T_TTAFStock'!BY31,BX27+'Grid_Incoming'!BY27-'Grid_Requirement'!BY27))</f>
        <v/>
      </c>
      <c r="BZ27">
        <f>IF(COUNTIFS(T_StockCount[Part Name],$A27,T_StockCount[WeekIndex],77)&gt;0,SUMIFS(T_StockCount[CountedQty],T_StockCount[Part Name],$A27,T_StockCount[WeekIndex],77),IF((('T_SelfStock'!BZ31&lt;&gt;""))*(('T_TTAFStock'!BZ31&lt;&gt;""))&gt;0,'T_SelfStock'!BZ31+'T_TTAFStock'!BZ31,BY27+'Grid_Incoming'!BZ27-'Grid_Requirement'!BZ27))</f>
        <v/>
      </c>
      <c r="CA27">
        <f>IF(COUNTIFS(T_StockCount[Part Name],$A27,T_StockCount[WeekIndex],78)&gt;0,SUMIFS(T_StockCount[CountedQty],T_StockCount[Part Name],$A27,T_StockCount[WeekIndex],78),IF((('T_SelfStock'!CA31&lt;&gt;""))*(('T_TTAFStock'!CA31&lt;&gt;""))&gt;0,'T_SelfStock'!CA31+'T_TTAFStock'!CA31,BZ27+'Grid_Incoming'!CA27-'Grid_Requirement'!CA27))</f>
        <v/>
      </c>
      <c r="CB27">
        <f>IF(COUNTIFS(T_StockCount[Part Name],$A27,T_StockCount[WeekIndex],79)&gt;0,SUMIFS(T_StockCount[CountedQty],T_StockCount[Part Name],$A27,T_StockCount[WeekIndex],79),IF((('T_SelfStock'!CB31&lt;&gt;""))*(('T_TTAFStock'!CB31&lt;&gt;""))&gt;0,'T_SelfStock'!CB31+'T_TTAFStock'!CB31,CA27+'Grid_Incoming'!CB27-'Grid_Requirement'!CB27))</f>
        <v/>
      </c>
      <c r="CC27">
        <f>IF(COUNTIFS(T_StockCount[Part Name],$A27,T_StockCount[WeekIndex],80)&gt;0,SUMIFS(T_StockCount[CountedQty],T_StockCount[Part Name],$A27,T_StockCount[WeekIndex],80),IF((('T_SelfStock'!CC31&lt;&gt;""))*(('T_TTAFStock'!CC31&lt;&gt;""))&gt;0,'T_SelfStock'!CC31+'T_TTAFStock'!CC31,CB27+'Grid_Incoming'!CC27-'Grid_Requirement'!CC27))</f>
        <v/>
      </c>
      <c r="CD27">
        <f>IF(COUNTIFS(T_StockCount[Part Name],$A27,T_StockCount[WeekIndex],81)&gt;0,SUMIFS(T_StockCount[CountedQty],T_StockCount[Part Name],$A27,T_StockCount[WeekIndex],81),IF((('T_SelfStock'!CD31&lt;&gt;""))*(('T_TTAFStock'!CD31&lt;&gt;""))&gt;0,'T_SelfStock'!CD31+'T_TTAFStock'!CD31,CC27+'Grid_Incoming'!CD27-'Grid_Requirement'!CD27))</f>
        <v/>
      </c>
      <c r="CE27">
        <f>IF(COUNTIFS(T_StockCount[Part Name],$A27,T_StockCount[WeekIndex],82)&gt;0,SUMIFS(T_StockCount[CountedQty],T_StockCount[Part Name],$A27,T_StockCount[WeekIndex],82),IF((('T_SelfStock'!CE31&lt;&gt;""))*(('T_TTAFStock'!CE31&lt;&gt;""))&gt;0,'T_SelfStock'!CE31+'T_TTAFStock'!CE31,CD27+'Grid_Incoming'!CE27-'Grid_Requirement'!CE27))</f>
        <v/>
      </c>
      <c r="CF27">
        <f>IF(COUNTIFS(T_StockCount[Part Name],$A27,T_StockCount[WeekIndex],83)&gt;0,SUMIFS(T_StockCount[CountedQty],T_StockCount[Part Name],$A27,T_StockCount[WeekIndex],83),IF((('T_SelfStock'!CF31&lt;&gt;""))*(('T_TTAFStock'!CF31&lt;&gt;""))&gt;0,'T_SelfStock'!CF31+'T_TTAFStock'!CF31,CE27+'Grid_Incoming'!CF27-'Grid_Requirement'!CF27))</f>
        <v/>
      </c>
      <c r="CG27">
        <f>IF(COUNTIFS(T_StockCount[Part Name],$A27,T_StockCount[WeekIndex],84)&gt;0,SUMIFS(T_StockCount[CountedQty],T_StockCount[Part Name],$A27,T_StockCount[WeekIndex],84),IF((('T_SelfStock'!CG31&lt;&gt;""))*(('T_TTAFStock'!CG31&lt;&gt;""))&gt;0,'T_SelfStock'!CG31+'T_TTAFStock'!CG31,CF27+'Grid_Incoming'!CG27-'Grid_Requirement'!CG27))</f>
        <v/>
      </c>
      <c r="CH27">
        <f>IF(COUNTIFS(T_StockCount[Part Name],$A27,T_StockCount[WeekIndex],85)&gt;0,SUMIFS(T_StockCount[CountedQty],T_StockCount[Part Name],$A27,T_StockCount[WeekIndex],85),IF((('T_SelfStock'!CH31&lt;&gt;""))*(('T_TTAFStock'!CH31&lt;&gt;""))&gt;0,'T_SelfStock'!CH31+'T_TTAFStock'!CH31,CG27+'Grid_Incoming'!CH27-'Grid_Requirement'!CH27))</f>
        <v/>
      </c>
      <c r="CI27">
        <f>IF(COUNTIFS(T_StockCount[Part Name],$A27,T_StockCount[WeekIndex],86)&gt;0,SUMIFS(T_StockCount[CountedQty],T_StockCount[Part Name],$A27,T_StockCount[WeekIndex],86),IF((('T_SelfStock'!CI31&lt;&gt;""))*(('T_TTAFStock'!CI31&lt;&gt;""))&gt;0,'T_SelfStock'!CI31+'T_TTAFStock'!CI31,CH27+'Grid_Incoming'!CI27-'Grid_Requirement'!CI27))</f>
        <v/>
      </c>
      <c r="CJ27">
        <f>IF(COUNTIFS(T_StockCount[Part Name],$A27,T_StockCount[WeekIndex],87)&gt;0,SUMIFS(T_StockCount[CountedQty],T_StockCount[Part Name],$A27,T_StockCount[WeekIndex],87),IF((('T_SelfStock'!CJ31&lt;&gt;""))*(('T_TTAFStock'!CJ31&lt;&gt;""))&gt;0,'T_SelfStock'!CJ31+'T_TTAFStock'!CJ31,CI27+'Grid_Incoming'!CJ27-'Grid_Requirement'!CJ27))</f>
        <v/>
      </c>
      <c r="CK27">
        <f>IF(COUNTIFS(T_StockCount[Part Name],$A27,T_StockCount[WeekIndex],88)&gt;0,SUMIFS(T_StockCount[CountedQty],T_StockCount[Part Name],$A27,T_StockCount[WeekIndex],88),IF((('T_SelfStock'!CK31&lt;&gt;""))*(('T_TTAFStock'!CK31&lt;&gt;""))&gt;0,'T_SelfStock'!CK31+'T_TTAFStock'!CK31,CJ27+'Grid_Incoming'!CK27-'Grid_Requirement'!CK27))</f>
        <v/>
      </c>
      <c r="CL27">
        <f>IF(COUNTIFS(T_StockCount[Part Name],$A27,T_StockCount[WeekIndex],89)&gt;0,SUMIFS(T_StockCount[CountedQty],T_StockCount[Part Name],$A27,T_StockCount[WeekIndex],89),IF((('T_SelfStock'!CL31&lt;&gt;""))*(('T_TTAFStock'!CL31&lt;&gt;""))&gt;0,'T_SelfStock'!CL31+'T_TTAFStock'!CL31,CK27+'Grid_Incoming'!CL27-'Grid_Requirement'!CL27))</f>
        <v/>
      </c>
      <c r="CM27">
        <f>IF(COUNTIFS(T_StockCount[Part Name],$A27,T_StockCount[WeekIndex],90)&gt;0,SUMIFS(T_StockCount[CountedQty],T_StockCount[Part Name],$A27,T_StockCount[WeekIndex],90),IF((('T_SelfStock'!CM31&lt;&gt;""))*(('T_TTAFStock'!CM31&lt;&gt;""))&gt;0,'T_SelfStock'!CM31+'T_TTAFStock'!CM31,CL27+'Grid_Incoming'!CM27-'Grid_Requirement'!CM27))</f>
        <v/>
      </c>
      <c r="CN27">
        <f>IF(COUNTIFS(T_StockCount[Part Name],$A27,T_StockCount[WeekIndex],91)&gt;0,SUMIFS(T_StockCount[CountedQty],T_StockCount[Part Name],$A27,T_StockCount[WeekIndex],91),IF((('T_SelfStock'!CN31&lt;&gt;""))*(('T_TTAFStock'!CN31&lt;&gt;""))&gt;0,'T_SelfStock'!CN31+'T_TTAFStock'!CN31,CM27+'Grid_Incoming'!CN27-'Grid_Requirement'!CN27))</f>
        <v/>
      </c>
      <c r="CO27">
        <f>IF(COUNTIFS(T_StockCount[Part Name],$A27,T_StockCount[WeekIndex],92)&gt;0,SUMIFS(T_StockCount[CountedQty],T_StockCount[Part Name],$A27,T_StockCount[WeekIndex],92),IF((('T_SelfStock'!CO31&lt;&gt;""))*(('T_TTAFStock'!CO31&lt;&gt;""))&gt;0,'T_SelfStock'!CO31+'T_TTAFStock'!CO31,CN27+'Grid_Incoming'!CO27-'Grid_Requirement'!CO27))</f>
        <v/>
      </c>
      <c r="CP27">
        <f>IF(COUNTIFS(T_StockCount[Part Name],$A27,T_StockCount[WeekIndex],93)&gt;0,SUMIFS(T_StockCount[CountedQty],T_StockCount[Part Name],$A27,T_StockCount[WeekIndex],93),IF((('T_SelfStock'!CP31&lt;&gt;""))*(('T_TTAFStock'!CP31&lt;&gt;""))&gt;0,'T_SelfStock'!CP31+'T_TTAFStock'!CP31,CO27+'Grid_Incoming'!CP27-'Grid_Requirement'!CP27))</f>
        <v/>
      </c>
      <c r="CQ27">
        <f>IF(COUNTIFS(T_StockCount[Part Name],$A27,T_StockCount[WeekIndex],94)&gt;0,SUMIFS(T_StockCount[CountedQty],T_StockCount[Part Name],$A27,T_StockCount[WeekIndex],94),IF((('T_SelfStock'!CQ31&lt;&gt;""))*(('T_TTAFStock'!CQ31&lt;&gt;""))&gt;0,'T_SelfStock'!CQ31+'T_TTAFStock'!CQ31,CP27+'Grid_Incoming'!CQ27-'Grid_Requirement'!CQ27))</f>
        <v/>
      </c>
      <c r="CR27">
        <f>IF(COUNTIFS(T_StockCount[Part Name],$A27,T_StockCount[WeekIndex],95)&gt;0,SUMIFS(T_StockCount[CountedQty],T_StockCount[Part Name],$A27,T_StockCount[WeekIndex],95),IF((('T_SelfStock'!CR31&lt;&gt;""))*(('T_TTAFStock'!CR31&lt;&gt;""))&gt;0,'T_SelfStock'!CR31+'T_TTAFStock'!CR31,CQ27+'Grid_Incoming'!CR27-'Grid_Requirement'!CR27))</f>
        <v/>
      </c>
      <c r="CS27">
        <f>IF(COUNTIFS(T_StockCount[Part Name],$A27,T_StockCount[WeekIndex],96)&gt;0,SUMIFS(T_StockCount[CountedQty],T_StockCount[Part Name],$A27,T_StockCount[WeekIndex],96),IF((('T_SelfStock'!CS31&lt;&gt;""))*(('T_TTAFStock'!CS31&lt;&gt;""))&gt;0,'T_SelfStock'!CS31+'T_TTAFStock'!CS31,CR27+'Grid_Incoming'!CS27-'Grid_Requirement'!CS27))</f>
        <v/>
      </c>
      <c r="CT27">
        <f>IF(COUNTIFS(T_StockCount[Part Name],$A27,T_StockCount[WeekIndex],97)&gt;0,SUMIFS(T_StockCount[CountedQty],T_StockCount[Part Name],$A27,T_StockCount[WeekIndex],97),IF((('T_SelfStock'!CT31&lt;&gt;""))*(('T_TTAFStock'!CT31&lt;&gt;""))&gt;0,'T_SelfStock'!CT31+'T_TTAFStock'!CT31,CS27+'Grid_Incoming'!CT27-'Grid_Requirement'!CT27))</f>
        <v/>
      </c>
      <c r="CU27">
        <f>IF(COUNTIFS(T_StockCount[Part Name],$A27,T_StockCount[WeekIndex],98)&gt;0,SUMIFS(T_StockCount[CountedQty],T_StockCount[Part Name],$A27,T_StockCount[WeekIndex],98),IF((('T_SelfStock'!CU31&lt;&gt;""))*(('T_TTAFStock'!CU31&lt;&gt;""))&gt;0,'T_SelfStock'!CU31+'T_TTAFStock'!CU31,CT27+'Grid_Incoming'!CU27-'Grid_Requirement'!CU27))</f>
        <v/>
      </c>
      <c r="CV27">
        <f>IF(COUNTIFS(T_StockCount[Part Name],$A27,T_StockCount[WeekIndex],99)&gt;0,SUMIFS(T_StockCount[CountedQty],T_StockCount[Part Name],$A27,T_StockCount[WeekIndex],99),IF((('T_SelfStock'!CV31&lt;&gt;""))*(('T_TTAFStock'!CV31&lt;&gt;""))&gt;0,'T_SelfStock'!CV31+'T_TTAFStock'!CV31,CU27+'Grid_Incoming'!CV27-'Grid_Requirement'!CV27))</f>
        <v/>
      </c>
      <c r="CW27">
        <f>IF(COUNTIFS(T_StockCount[Part Name],$A27,T_StockCount[WeekIndex],100)&gt;0,SUMIFS(T_StockCount[CountedQty],T_StockCount[Part Name],$A27,T_StockCount[WeekIndex],100),IF((('T_SelfStock'!CW31&lt;&gt;""))*(('T_TTAFStock'!CW31&lt;&gt;""))&gt;0,'T_SelfStock'!CW31+'T_TTAFStock'!CW31,CV27+'Grid_Incoming'!CW27-'Grid_Requirement'!CW27))</f>
        <v/>
      </c>
      <c r="CX27">
        <f>IF(COUNTIFS(T_StockCount[Part Name],$A27,T_StockCount[WeekIndex],101)&gt;0,SUMIFS(T_StockCount[CountedQty],T_StockCount[Part Name],$A27,T_StockCount[WeekIndex],101),IF((('T_SelfStock'!CX31&lt;&gt;""))*(('T_TTAFStock'!CX31&lt;&gt;""))&gt;0,'T_SelfStock'!CX31+'T_TTAFStock'!CX31,CW27+'Grid_Incoming'!CX27-'Grid_Requirement'!CX27))</f>
        <v/>
      </c>
      <c r="CY27">
        <f>IF(COUNTIFS(T_StockCount[Part Name],$A27,T_StockCount[WeekIndex],102)&gt;0,SUMIFS(T_StockCount[CountedQty],T_StockCount[Part Name],$A27,T_StockCount[WeekIndex],102),IF((('T_SelfStock'!CY31&lt;&gt;""))*(('T_TTAFStock'!CY31&lt;&gt;""))&gt;0,'T_SelfStock'!CY31+'T_TTAFStock'!CY31,CX27+'Grid_Incoming'!CY27-'Grid_Requirement'!CY27))</f>
        <v/>
      </c>
      <c r="CZ27">
        <f>IF(COUNTIFS(T_StockCount[Part Name],$A27,T_StockCount[WeekIndex],103)&gt;0,SUMIFS(T_StockCount[CountedQty],T_StockCount[Part Name],$A27,T_StockCount[WeekIndex],103),IF((('T_SelfStock'!CZ31&lt;&gt;""))*(('T_TTAFStock'!CZ31&lt;&gt;""))&gt;0,'T_SelfStock'!CZ31+'T_TTAFStock'!CZ31,CY27+'Grid_Incoming'!CZ27-'Grid_Requirement'!CZ27))</f>
        <v/>
      </c>
      <c r="DA27">
        <f>IF(COUNTIFS(T_StockCount[Part Name],$A27,T_StockCount[WeekIndex],104)&gt;0,SUMIFS(T_StockCount[CountedQty],T_StockCount[Part Name],$A27,T_StockCount[WeekIndex],104),IF((('T_SelfStock'!DA31&lt;&gt;""))*(('T_TTAFStock'!DA31&lt;&gt;""))&gt;0,'T_SelfStock'!DA31+'T_TTAFStock'!DA31,CZ27+'Grid_Incoming'!DA27-'Grid_Requirement'!DA27))</f>
        <v/>
      </c>
    </row>
    <row r="28">
      <c r="A28" t="inlineStr">
        <is>
          <t>CHEM-1600</t>
        </is>
      </c>
      <c r="B28">
        <f>IF(COUNTIFS(T_StockCount[Part Name],$A28,T_StockCount[WeekIndex],1)&gt;0,SUMIFS(T_StockCount[CountedQty],T_StockCount[Part Name],$A28,T_StockCount[WeekIndex],1),IF((('T_SelfStock'!B32&lt;&gt;""))*(('T_TTAFStock'!B32&lt;&gt;""))&gt;0,'T_SelfStock'!B32+'T_TTAFStock'!B32,IFERROR(INDEX(T_OpeningStock[Opening_Qty_要入力],MATCH($A28,T_OpeningStock[Part Name],0)),0)+'Grid_Incoming'!B28-'Grid_Requirement'!B28))</f>
        <v/>
      </c>
      <c r="C28">
        <f>IF(COUNTIFS(T_StockCount[Part Name],$A28,T_StockCount[WeekIndex],2)&gt;0,SUMIFS(T_StockCount[CountedQty],T_StockCount[Part Name],$A28,T_StockCount[WeekIndex],2),IF((('T_SelfStock'!C32&lt;&gt;""))*(('T_TTAFStock'!C32&lt;&gt;""))&gt;0,'T_SelfStock'!C32+'T_TTAFStock'!C32,B28+'Grid_Incoming'!C28-'Grid_Requirement'!C28))</f>
        <v/>
      </c>
      <c r="D28">
        <f>IF(COUNTIFS(T_StockCount[Part Name],$A28,T_StockCount[WeekIndex],3)&gt;0,SUMIFS(T_StockCount[CountedQty],T_StockCount[Part Name],$A28,T_StockCount[WeekIndex],3),IF((('T_SelfStock'!D32&lt;&gt;""))*(('T_TTAFStock'!D32&lt;&gt;""))&gt;0,'T_SelfStock'!D32+'T_TTAFStock'!D32,C28+'Grid_Incoming'!D28-'Grid_Requirement'!D28))</f>
        <v/>
      </c>
      <c r="E28">
        <f>IF(COUNTIFS(T_StockCount[Part Name],$A28,T_StockCount[WeekIndex],4)&gt;0,SUMIFS(T_StockCount[CountedQty],T_StockCount[Part Name],$A28,T_StockCount[WeekIndex],4),IF((('T_SelfStock'!E32&lt;&gt;""))*(('T_TTAFStock'!E32&lt;&gt;""))&gt;0,'T_SelfStock'!E32+'T_TTAFStock'!E32,D28+'Grid_Incoming'!E28-'Grid_Requirement'!E28))</f>
        <v/>
      </c>
      <c r="F28">
        <f>IF(COUNTIFS(T_StockCount[Part Name],$A28,T_StockCount[WeekIndex],5)&gt;0,SUMIFS(T_StockCount[CountedQty],T_StockCount[Part Name],$A28,T_StockCount[WeekIndex],5),IF((('T_SelfStock'!F32&lt;&gt;""))*(('T_TTAFStock'!F32&lt;&gt;""))&gt;0,'T_SelfStock'!F32+'T_TTAFStock'!F32,E28+'Grid_Incoming'!F28-'Grid_Requirement'!F28))</f>
        <v/>
      </c>
      <c r="G28">
        <f>IF(COUNTIFS(T_StockCount[Part Name],$A28,T_StockCount[WeekIndex],6)&gt;0,SUMIFS(T_StockCount[CountedQty],T_StockCount[Part Name],$A28,T_StockCount[WeekIndex],6),IF((('T_SelfStock'!G32&lt;&gt;""))*(('T_TTAFStock'!G32&lt;&gt;""))&gt;0,'T_SelfStock'!G32+'T_TTAFStock'!G32,F28+'Grid_Incoming'!G28-'Grid_Requirement'!G28))</f>
        <v/>
      </c>
      <c r="H28">
        <f>IF(COUNTIFS(T_StockCount[Part Name],$A28,T_StockCount[WeekIndex],7)&gt;0,SUMIFS(T_StockCount[CountedQty],T_StockCount[Part Name],$A28,T_StockCount[WeekIndex],7),IF((('T_SelfStock'!H32&lt;&gt;""))*(('T_TTAFStock'!H32&lt;&gt;""))&gt;0,'T_SelfStock'!H32+'T_TTAFStock'!H32,G28+'Grid_Incoming'!H28-'Grid_Requirement'!H28))</f>
        <v/>
      </c>
      <c r="I28">
        <f>IF(COUNTIFS(T_StockCount[Part Name],$A28,T_StockCount[WeekIndex],8)&gt;0,SUMIFS(T_StockCount[CountedQty],T_StockCount[Part Name],$A28,T_StockCount[WeekIndex],8),IF((('T_SelfStock'!I32&lt;&gt;""))*(('T_TTAFStock'!I32&lt;&gt;""))&gt;0,'T_SelfStock'!I32+'T_TTAFStock'!I32,H28+'Grid_Incoming'!I28-'Grid_Requirement'!I28))</f>
        <v/>
      </c>
      <c r="J28">
        <f>IF(COUNTIFS(T_StockCount[Part Name],$A28,T_StockCount[WeekIndex],9)&gt;0,SUMIFS(T_StockCount[CountedQty],T_StockCount[Part Name],$A28,T_StockCount[WeekIndex],9),IF((('T_SelfStock'!J32&lt;&gt;""))*(('T_TTAFStock'!J32&lt;&gt;""))&gt;0,'T_SelfStock'!J32+'T_TTAFStock'!J32,I28+'Grid_Incoming'!J28-'Grid_Requirement'!J28))</f>
        <v/>
      </c>
      <c r="K28">
        <f>IF(COUNTIFS(T_StockCount[Part Name],$A28,T_StockCount[WeekIndex],10)&gt;0,SUMIFS(T_StockCount[CountedQty],T_StockCount[Part Name],$A28,T_StockCount[WeekIndex],10),IF((('T_SelfStock'!K32&lt;&gt;""))*(('T_TTAFStock'!K32&lt;&gt;""))&gt;0,'T_SelfStock'!K32+'T_TTAFStock'!K32,J28+'Grid_Incoming'!K28-'Grid_Requirement'!K28))</f>
        <v/>
      </c>
      <c r="L28">
        <f>IF(COUNTIFS(T_StockCount[Part Name],$A28,T_StockCount[WeekIndex],11)&gt;0,SUMIFS(T_StockCount[CountedQty],T_StockCount[Part Name],$A28,T_StockCount[WeekIndex],11),IF((('T_SelfStock'!L32&lt;&gt;""))*(('T_TTAFStock'!L32&lt;&gt;""))&gt;0,'T_SelfStock'!L32+'T_TTAFStock'!L32,K28+'Grid_Incoming'!L28-'Grid_Requirement'!L28))</f>
        <v/>
      </c>
      <c r="M28">
        <f>IF(COUNTIFS(T_StockCount[Part Name],$A28,T_StockCount[WeekIndex],12)&gt;0,SUMIFS(T_StockCount[CountedQty],T_StockCount[Part Name],$A28,T_StockCount[WeekIndex],12),IF((('T_SelfStock'!M32&lt;&gt;""))*(('T_TTAFStock'!M32&lt;&gt;""))&gt;0,'T_SelfStock'!M32+'T_TTAFStock'!M32,L28+'Grid_Incoming'!M28-'Grid_Requirement'!M28))</f>
        <v/>
      </c>
      <c r="N28">
        <f>IF(COUNTIFS(T_StockCount[Part Name],$A28,T_StockCount[WeekIndex],13)&gt;0,SUMIFS(T_StockCount[CountedQty],T_StockCount[Part Name],$A28,T_StockCount[WeekIndex],13),IF((('T_SelfStock'!N32&lt;&gt;""))*(('T_TTAFStock'!N32&lt;&gt;""))&gt;0,'T_SelfStock'!N32+'T_TTAFStock'!N32,M28+'Grid_Incoming'!N28-'Grid_Requirement'!N28))</f>
        <v/>
      </c>
      <c r="O28">
        <f>IF(COUNTIFS(T_StockCount[Part Name],$A28,T_StockCount[WeekIndex],14)&gt;0,SUMIFS(T_StockCount[CountedQty],T_StockCount[Part Name],$A28,T_StockCount[WeekIndex],14),IF((('T_SelfStock'!O32&lt;&gt;""))*(('T_TTAFStock'!O32&lt;&gt;""))&gt;0,'T_SelfStock'!O32+'T_TTAFStock'!O32,N28+'Grid_Incoming'!O28-'Grid_Requirement'!O28))</f>
        <v/>
      </c>
      <c r="P28">
        <f>IF(COUNTIFS(T_StockCount[Part Name],$A28,T_StockCount[WeekIndex],15)&gt;0,SUMIFS(T_StockCount[CountedQty],T_StockCount[Part Name],$A28,T_StockCount[WeekIndex],15),IF((('T_SelfStock'!P32&lt;&gt;""))*(('T_TTAFStock'!P32&lt;&gt;""))&gt;0,'T_SelfStock'!P32+'T_TTAFStock'!P32,O28+'Grid_Incoming'!P28-'Grid_Requirement'!P28))</f>
        <v/>
      </c>
      <c r="Q28">
        <f>IF(COUNTIFS(T_StockCount[Part Name],$A28,T_StockCount[WeekIndex],16)&gt;0,SUMIFS(T_StockCount[CountedQty],T_StockCount[Part Name],$A28,T_StockCount[WeekIndex],16),IF((('T_SelfStock'!Q32&lt;&gt;""))*(('T_TTAFStock'!Q32&lt;&gt;""))&gt;0,'T_SelfStock'!Q32+'T_TTAFStock'!Q32,P28+'Grid_Incoming'!Q28-'Grid_Requirement'!Q28))</f>
        <v/>
      </c>
      <c r="R28">
        <f>IF(COUNTIFS(T_StockCount[Part Name],$A28,T_StockCount[WeekIndex],17)&gt;0,SUMIFS(T_StockCount[CountedQty],T_StockCount[Part Name],$A28,T_StockCount[WeekIndex],17),IF((('T_SelfStock'!R32&lt;&gt;""))*(('T_TTAFStock'!R32&lt;&gt;""))&gt;0,'T_SelfStock'!R32+'T_TTAFStock'!R32,Q28+'Grid_Incoming'!R28-'Grid_Requirement'!R28))</f>
        <v/>
      </c>
      <c r="S28">
        <f>IF(COUNTIFS(T_StockCount[Part Name],$A28,T_StockCount[WeekIndex],18)&gt;0,SUMIFS(T_StockCount[CountedQty],T_StockCount[Part Name],$A28,T_StockCount[WeekIndex],18),IF((('T_SelfStock'!S32&lt;&gt;""))*(('T_TTAFStock'!S32&lt;&gt;""))&gt;0,'T_SelfStock'!S32+'T_TTAFStock'!S32,R28+'Grid_Incoming'!S28-'Grid_Requirement'!S28))</f>
        <v/>
      </c>
      <c r="T28">
        <f>IF(COUNTIFS(T_StockCount[Part Name],$A28,T_StockCount[WeekIndex],19)&gt;0,SUMIFS(T_StockCount[CountedQty],T_StockCount[Part Name],$A28,T_StockCount[WeekIndex],19),IF((('T_SelfStock'!T32&lt;&gt;""))*(('T_TTAFStock'!T32&lt;&gt;""))&gt;0,'T_SelfStock'!T32+'T_TTAFStock'!T32,S28+'Grid_Incoming'!T28-'Grid_Requirement'!T28))</f>
        <v/>
      </c>
      <c r="U28">
        <f>IF(COUNTIFS(T_StockCount[Part Name],$A28,T_StockCount[WeekIndex],20)&gt;0,SUMIFS(T_StockCount[CountedQty],T_StockCount[Part Name],$A28,T_StockCount[WeekIndex],20),IF((('T_SelfStock'!U32&lt;&gt;""))*(('T_TTAFStock'!U32&lt;&gt;""))&gt;0,'T_SelfStock'!U32+'T_TTAFStock'!U32,T28+'Grid_Incoming'!U28-'Grid_Requirement'!U28))</f>
        <v/>
      </c>
      <c r="V28">
        <f>IF(COUNTIFS(T_StockCount[Part Name],$A28,T_StockCount[WeekIndex],21)&gt;0,SUMIFS(T_StockCount[CountedQty],T_StockCount[Part Name],$A28,T_StockCount[WeekIndex],21),IF((('T_SelfStock'!V32&lt;&gt;""))*(('T_TTAFStock'!V32&lt;&gt;""))&gt;0,'T_SelfStock'!V32+'T_TTAFStock'!V32,U28+'Grid_Incoming'!V28-'Grid_Requirement'!V28))</f>
        <v/>
      </c>
      <c r="W28">
        <f>IF(COUNTIFS(T_StockCount[Part Name],$A28,T_StockCount[WeekIndex],22)&gt;0,SUMIFS(T_StockCount[CountedQty],T_StockCount[Part Name],$A28,T_StockCount[WeekIndex],22),IF((('T_SelfStock'!W32&lt;&gt;""))*(('T_TTAFStock'!W32&lt;&gt;""))&gt;0,'T_SelfStock'!W32+'T_TTAFStock'!W32,V28+'Grid_Incoming'!W28-'Grid_Requirement'!W28))</f>
        <v/>
      </c>
      <c r="X28">
        <f>IF(COUNTIFS(T_StockCount[Part Name],$A28,T_StockCount[WeekIndex],23)&gt;0,SUMIFS(T_StockCount[CountedQty],T_StockCount[Part Name],$A28,T_StockCount[WeekIndex],23),IF((('T_SelfStock'!X32&lt;&gt;""))*(('T_TTAFStock'!X32&lt;&gt;""))&gt;0,'T_SelfStock'!X32+'T_TTAFStock'!X32,W28+'Grid_Incoming'!X28-'Grid_Requirement'!X28))</f>
        <v/>
      </c>
      <c r="Y28">
        <f>IF(COUNTIFS(T_StockCount[Part Name],$A28,T_StockCount[WeekIndex],24)&gt;0,SUMIFS(T_StockCount[CountedQty],T_StockCount[Part Name],$A28,T_StockCount[WeekIndex],24),IF((('T_SelfStock'!Y32&lt;&gt;""))*(('T_TTAFStock'!Y32&lt;&gt;""))&gt;0,'T_SelfStock'!Y32+'T_TTAFStock'!Y32,X28+'Grid_Incoming'!Y28-'Grid_Requirement'!Y28))</f>
        <v/>
      </c>
      <c r="Z28">
        <f>IF(COUNTIFS(T_StockCount[Part Name],$A28,T_StockCount[WeekIndex],25)&gt;0,SUMIFS(T_StockCount[CountedQty],T_StockCount[Part Name],$A28,T_StockCount[WeekIndex],25),IF((('T_SelfStock'!Z32&lt;&gt;""))*(('T_TTAFStock'!Z32&lt;&gt;""))&gt;0,'T_SelfStock'!Z32+'T_TTAFStock'!Z32,Y28+'Grid_Incoming'!Z28-'Grid_Requirement'!Z28))</f>
        <v/>
      </c>
      <c r="AA28">
        <f>IF(COUNTIFS(T_StockCount[Part Name],$A28,T_StockCount[WeekIndex],26)&gt;0,SUMIFS(T_StockCount[CountedQty],T_StockCount[Part Name],$A28,T_StockCount[WeekIndex],26),IF((('T_SelfStock'!AA32&lt;&gt;""))*(('T_TTAFStock'!AA32&lt;&gt;""))&gt;0,'T_SelfStock'!AA32+'T_TTAFStock'!AA32,Z28+'Grid_Incoming'!AA28-'Grid_Requirement'!AA28))</f>
        <v/>
      </c>
      <c r="AB28">
        <f>IF(COUNTIFS(T_StockCount[Part Name],$A28,T_StockCount[WeekIndex],27)&gt;0,SUMIFS(T_StockCount[CountedQty],T_StockCount[Part Name],$A28,T_StockCount[WeekIndex],27),IF((('T_SelfStock'!AB32&lt;&gt;""))*(('T_TTAFStock'!AB32&lt;&gt;""))&gt;0,'T_SelfStock'!AB32+'T_TTAFStock'!AB32,AA28+'Grid_Incoming'!AB28-'Grid_Requirement'!AB28))</f>
        <v/>
      </c>
      <c r="AC28">
        <f>IF(COUNTIFS(T_StockCount[Part Name],$A28,T_StockCount[WeekIndex],28)&gt;0,SUMIFS(T_StockCount[CountedQty],T_StockCount[Part Name],$A28,T_StockCount[WeekIndex],28),IF((('T_SelfStock'!AC32&lt;&gt;""))*(('T_TTAFStock'!AC32&lt;&gt;""))&gt;0,'T_SelfStock'!AC32+'T_TTAFStock'!AC32,AB28+'Grid_Incoming'!AC28-'Grid_Requirement'!AC28))</f>
        <v/>
      </c>
      <c r="AD28">
        <f>IF(COUNTIFS(T_StockCount[Part Name],$A28,T_StockCount[WeekIndex],29)&gt;0,SUMIFS(T_StockCount[CountedQty],T_StockCount[Part Name],$A28,T_StockCount[WeekIndex],29),IF((('T_SelfStock'!AD32&lt;&gt;""))*(('T_TTAFStock'!AD32&lt;&gt;""))&gt;0,'T_SelfStock'!AD32+'T_TTAFStock'!AD32,AC28+'Grid_Incoming'!AD28-'Grid_Requirement'!AD28))</f>
        <v/>
      </c>
      <c r="AE28">
        <f>IF(COUNTIFS(T_StockCount[Part Name],$A28,T_StockCount[WeekIndex],30)&gt;0,SUMIFS(T_StockCount[CountedQty],T_StockCount[Part Name],$A28,T_StockCount[WeekIndex],30),IF((('T_SelfStock'!AE32&lt;&gt;""))*(('T_TTAFStock'!AE32&lt;&gt;""))&gt;0,'T_SelfStock'!AE32+'T_TTAFStock'!AE32,AD28+'Grid_Incoming'!AE28-'Grid_Requirement'!AE28))</f>
        <v/>
      </c>
      <c r="AF28">
        <f>IF(COUNTIFS(T_StockCount[Part Name],$A28,T_StockCount[WeekIndex],31)&gt;0,SUMIFS(T_StockCount[CountedQty],T_StockCount[Part Name],$A28,T_StockCount[WeekIndex],31),IF((('T_SelfStock'!AF32&lt;&gt;""))*(('T_TTAFStock'!AF32&lt;&gt;""))&gt;0,'T_SelfStock'!AF32+'T_TTAFStock'!AF32,AE28+'Grid_Incoming'!AF28-'Grid_Requirement'!AF28))</f>
        <v/>
      </c>
      <c r="AG28">
        <f>IF(COUNTIFS(T_StockCount[Part Name],$A28,T_StockCount[WeekIndex],32)&gt;0,SUMIFS(T_StockCount[CountedQty],T_StockCount[Part Name],$A28,T_StockCount[WeekIndex],32),IF((('T_SelfStock'!AG32&lt;&gt;""))*(('T_TTAFStock'!AG32&lt;&gt;""))&gt;0,'T_SelfStock'!AG32+'T_TTAFStock'!AG32,AF28+'Grid_Incoming'!AG28-'Grid_Requirement'!AG28))</f>
        <v/>
      </c>
      <c r="AH28">
        <f>IF(COUNTIFS(T_StockCount[Part Name],$A28,T_StockCount[WeekIndex],33)&gt;0,SUMIFS(T_StockCount[CountedQty],T_StockCount[Part Name],$A28,T_StockCount[WeekIndex],33),IF((('T_SelfStock'!AH32&lt;&gt;""))*(('T_TTAFStock'!AH32&lt;&gt;""))&gt;0,'T_SelfStock'!AH32+'T_TTAFStock'!AH32,AG28+'Grid_Incoming'!AH28-'Grid_Requirement'!AH28))</f>
        <v/>
      </c>
      <c r="AI28">
        <f>IF(COUNTIFS(T_StockCount[Part Name],$A28,T_StockCount[WeekIndex],34)&gt;0,SUMIFS(T_StockCount[CountedQty],T_StockCount[Part Name],$A28,T_StockCount[WeekIndex],34),IF((('T_SelfStock'!AI32&lt;&gt;""))*(('T_TTAFStock'!AI32&lt;&gt;""))&gt;0,'T_SelfStock'!AI32+'T_TTAFStock'!AI32,AH28+'Grid_Incoming'!AI28-'Grid_Requirement'!AI28))</f>
        <v/>
      </c>
      <c r="AJ28">
        <f>IF(COUNTIFS(T_StockCount[Part Name],$A28,T_StockCount[WeekIndex],35)&gt;0,SUMIFS(T_StockCount[CountedQty],T_StockCount[Part Name],$A28,T_StockCount[WeekIndex],35),IF((('T_SelfStock'!AJ32&lt;&gt;""))*(('T_TTAFStock'!AJ32&lt;&gt;""))&gt;0,'T_SelfStock'!AJ32+'T_TTAFStock'!AJ32,AI28+'Grid_Incoming'!AJ28-'Grid_Requirement'!AJ28))</f>
        <v/>
      </c>
      <c r="AK28">
        <f>IF(COUNTIFS(T_StockCount[Part Name],$A28,T_StockCount[WeekIndex],36)&gt;0,SUMIFS(T_StockCount[CountedQty],T_StockCount[Part Name],$A28,T_StockCount[WeekIndex],36),IF((('T_SelfStock'!AK32&lt;&gt;""))*(('T_TTAFStock'!AK32&lt;&gt;""))&gt;0,'T_SelfStock'!AK32+'T_TTAFStock'!AK32,AJ28+'Grid_Incoming'!AK28-'Grid_Requirement'!AK28))</f>
        <v/>
      </c>
      <c r="AL28">
        <f>IF(COUNTIFS(T_StockCount[Part Name],$A28,T_StockCount[WeekIndex],37)&gt;0,SUMIFS(T_StockCount[CountedQty],T_StockCount[Part Name],$A28,T_StockCount[WeekIndex],37),IF((('T_SelfStock'!AL32&lt;&gt;""))*(('T_TTAFStock'!AL32&lt;&gt;""))&gt;0,'T_SelfStock'!AL32+'T_TTAFStock'!AL32,AK28+'Grid_Incoming'!AL28-'Grid_Requirement'!AL28))</f>
        <v/>
      </c>
      <c r="AM28">
        <f>IF(COUNTIFS(T_StockCount[Part Name],$A28,T_StockCount[WeekIndex],38)&gt;0,SUMIFS(T_StockCount[CountedQty],T_StockCount[Part Name],$A28,T_StockCount[WeekIndex],38),IF((('T_SelfStock'!AM32&lt;&gt;""))*(('T_TTAFStock'!AM32&lt;&gt;""))&gt;0,'T_SelfStock'!AM32+'T_TTAFStock'!AM32,AL28+'Grid_Incoming'!AM28-'Grid_Requirement'!AM28))</f>
        <v/>
      </c>
      <c r="AN28">
        <f>IF(COUNTIFS(T_StockCount[Part Name],$A28,T_StockCount[WeekIndex],39)&gt;0,SUMIFS(T_StockCount[CountedQty],T_StockCount[Part Name],$A28,T_StockCount[WeekIndex],39),IF((('T_SelfStock'!AN32&lt;&gt;""))*(('T_TTAFStock'!AN32&lt;&gt;""))&gt;0,'T_SelfStock'!AN32+'T_TTAFStock'!AN32,AM28+'Grid_Incoming'!AN28-'Grid_Requirement'!AN28))</f>
        <v/>
      </c>
      <c r="AO28">
        <f>IF(COUNTIFS(T_StockCount[Part Name],$A28,T_StockCount[WeekIndex],40)&gt;0,SUMIFS(T_StockCount[CountedQty],T_StockCount[Part Name],$A28,T_StockCount[WeekIndex],40),IF((('T_SelfStock'!AO32&lt;&gt;""))*(('T_TTAFStock'!AO32&lt;&gt;""))&gt;0,'T_SelfStock'!AO32+'T_TTAFStock'!AO32,AN28+'Grid_Incoming'!AO28-'Grid_Requirement'!AO28))</f>
        <v/>
      </c>
      <c r="AP28">
        <f>IF(COUNTIFS(T_StockCount[Part Name],$A28,T_StockCount[WeekIndex],41)&gt;0,SUMIFS(T_StockCount[CountedQty],T_StockCount[Part Name],$A28,T_StockCount[WeekIndex],41),IF((('T_SelfStock'!AP32&lt;&gt;""))*(('T_TTAFStock'!AP32&lt;&gt;""))&gt;0,'T_SelfStock'!AP32+'T_TTAFStock'!AP32,AO28+'Grid_Incoming'!AP28-'Grid_Requirement'!AP28))</f>
        <v/>
      </c>
      <c r="AQ28">
        <f>IF(COUNTIFS(T_StockCount[Part Name],$A28,T_StockCount[WeekIndex],42)&gt;0,SUMIFS(T_StockCount[CountedQty],T_StockCount[Part Name],$A28,T_StockCount[WeekIndex],42),IF((('T_SelfStock'!AQ32&lt;&gt;""))*(('T_TTAFStock'!AQ32&lt;&gt;""))&gt;0,'T_SelfStock'!AQ32+'T_TTAFStock'!AQ32,AP28+'Grid_Incoming'!AQ28-'Grid_Requirement'!AQ28))</f>
        <v/>
      </c>
      <c r="AR28">
        <f>IF(COUNTIFS(T_StockCount[Part Name],$A28,T_StockCount[WeekIndex],43)&gt;0,SUMIFS(T_StockCount[CountedQty],T_StockCount[Part Name],$A28,T_StockCount[WeekIndex],43),IF((('T_SelfStock'!AR32&lt;&gt;""))*(('T_TTAFStock'!AR32&lt;&gt;""))&gt;0,'T_SelfStock'!AR32+'T_TTAFStock'!AR32,AQ28+'Grid_Incoming'!AR28-'Grid_Requirement'!AR28))</f>
        <v/>
      </c>
      <c r="AS28">
        <f>IF(COUNTIFS(T_StockCount[Part Name],$A28,T_StockCount[WeekIndex],44)&gt;0,SUMIFS(T_StockCount[CountedQty],T_StockCount[Part Name],$A28,T_StockCount[WeekIndex],44),IF((('T_SelfStock'!AS32&lt;&gt;""))*(('T_TTAFStock'!AS32&lt;&gt;""))&gt;0,'T_SelfStock'!AS32+'T_TTAFStock'!AS32,AR28+'Grid_Incoming'!AS28-'Grid_Requirement'!AS28))</f>
        <v/>
      </c>
      <c r="AT28">
        <f>IF(COUNTIFS(T_StockCount[Part Name],$A28,T_StockCount[WeekIndex],45)&gt;0,SUMIFS(T_StockCount[CountedQty],T_StockCount[Part Name],$A28,T_StockCount[WeekIndex],45),IF((('T_SelfStock'!AT32&lt;&gt;""))*(('T_TTAFStock'!AT32&lt;&gt;""))&gt;0,'T_SelfStock'!AT32+'T_TTAFStock'!AT32,AS28+'Grid_Incoming'!AT28-'Grid_Requirement'!AT28))</f>
        <v/>
      </c>
      <c r="AU28">
        <f>IF(COUNTIFS(T_StockCount[Part Name],$A28,T_StockCount[WeekIndex],46)&gt;0,SUMIFS(T_StockCount[CountedQty],T_StockCount[Part Name],$A28,T_StockCount[WeekIndex],46),IF((('T_SelfStock'!AU32&lt;&gt;""))*(('T_TTAFStock'!AU32&lt;&gt;""))&gt;0,'T_SelfStock'!AU32+'T_TTAFStock'!AU32,AT28+'Grid_Incoming'!AU28-'Grid_Requirement'!AU28))</f>
        <v/>
      </c>
      <c r="AV28">
        <f>IF(COUNTIFS(T_StockCount[Part Name],$A28,T_StockCount[WeekIndex],47)&gt;0,SUMIFS(T_StockCount[CountedQty],T_StockCount[Part Name],$A28,T_StockCount[WeekIndex],47),IF((('T_SelfStock'!AV32&lt;&gt;""))*(('T_TTAFStock'!AV32&lt;&gt;""))&gt;0,'T_SelfStock'!AV32+'T_TTAFStock'!AV32,AU28+'Grid_Incoming'!AV28-'Grid_Requirement'!AV28))</f>
        <v/>
      </c>
      <c r="AW28">
        <f>IF(COUNTIFS(T_StockCount[Part Name],$A28,T_StockCount[WeekIndex],48)&gt;0,SUMIFS(T_StockCount[CountedQty],T_StockCount[Part Name],$A28,T_StockCount[WeekIndex],48),IF((('T_SelfStock'!AW32&lt;&gt;""))*(('T_TTAFStock'!AW32&lt;&gt;""))&gt;0,'T_SelfStock'!AW32+'T_TTAFStock'!AW32,AV28+'Grid_Incoming'!AW28-'Grid_Requirement'!AW28))</f>
        <v/>
      </c>
      <c r="AX28">
        <f>IF(COUNTIFS(T_StockCount[Part Name],$A28,T_StockCount[WeekIndex],49)&gt;0,SUMIFS(T_StockCount[CountedQty],T_StockCount[Part Name],$A28,T_StockCount[WeekIndex],49),IF((('T_SelfStock'!AX32&lt;&gt;""))*(('T_TTAFStock'!AX32&lt;&gt;""))&gt;0,'T_SelfStock'!AX32+'T_TTAFStock'!AX32,AW28+'Grid_Incoming'!AX28-'Grid_Requirement'!AX28))</f>
        <v/>
      </c>
      <c r="AY28">
        <f>IF(COUNTIFS(T_StockCount[Part Name],$A28,T_StockCount[WeekIndex],50)&gt;0,SUMIFS(T_StockCount[CountedQty],T_StockCount[Part Name],$A28,T_StockCount[WeekIndex],50),IF((('T_SelfStock'!AY32&lt;&gt;""))*(('T_TTAFStock'!AY32&lt;&gt;""))&gt;0,'T_SelfStock'!AY32+'T_TTAFStock'!AY32,AX28+'Grid_Incoming'!AY28-'Grid_Requirement'!AY28))</f>
        <v/>
      </c>
      <c r="AZ28">
        <f>IF(COUNTIFS(T_StockCount[Part Name],$A28,T_StockCount[WeekIndex],51)&gt;0,SUMIFS(T_StockCount[CountedQty],T_StockCount[Part Name],$A28,T_StockCount[WeekIndex],51),IF((('T_SelfStock'!AZ32&lt;&gt;""))*(('T_TTAFStock'!AZ32&lt;&gt;""))&gt;0,'T_SelfStock'!AZ32+'T_TTAFStock'!AZ32,AY28+'Grid_Incoming'!AZ28-'Grid_Requirement'!AZ28))</f>
        <v/>
      </c>
      <c r="BA28">
        <f>IF(COUNTIFS(T_StockCount[Part Name],$A28,T_StockCount[WeekIndex],52)&gt;0,SUMIFS(T_StockCount[CountedQty],T_StockCount[Part Name],$A28,T_StockCount[WeekIndex],52),IF((('T_SelfStock'!BA32&lt;&gt;""))*(('T_TTAFStock'!BA32&lt;&gt;""))&gt;0,'T_SelfStock'!BA32+'T_TTAFStock'!BA32,AZ28+'Grid_Incoming'!BA28-'Grid_Requirement'!BA28))</f>
        <v/>
      </c>
      <c r="BB28">
        <f>IF(COUNTIFS(T_StockCount[Part Name],$A28,T_StockCount[WeekIndex],53)&gt;0,SUMIFS(T_StockCount[CountedQty],T_StockCount[Part Name],$A28,T_StockCount[WeekIndex],53),IF((('T_SelfStock'!BB32&lt;&gt;""))*(('T_TTAFStock'!BB32&lt;&gt;""))&gt;0,'T_SelfStock'!BB32+'T_TTAFStock'!BB32,BA28+'Grid_Incoming'!BB28-'Grid_Requirement'!BB28))</f>
        <v/>
      </c>
      <c r="BC28">
        <f>IF(COUNTIFS(T_StockCount[Part Name],$A28,T_StockCount[WeekIndex],54)&gt;0,SUMIFS(T_StockCount[CountedQty],T_StockCount[Part Name],$A28,T_StockCount[WeekIndex],54),IF((('T_SelfStock'!BC32&lt;&gt;""))*(('T_TTAFStock'!BC32&lt;&gt;""))&gt;0,'T_SelfStock'!BC32+'T_TTAFStock'!BC32,BB28+'Grid_Incoming'!BC28-'Grid_Requirement'!BC28))</f>
        <v/>
      </c>
      <c r="BD28">
        <f>IF(COUNTIFS(T_StockCount[Part Name],$A28,T_StockCount[WeekIndex],55)&gt;0,SUMIFS(T_StockCount[CountedQty],T_StockCount[Part Name],$A28,T_StockCount[WeekIndex],55),IF((('T_SelfStock'!BD32&lt;&gt;""))*(('T_TTAFStock'!BD32&lt;&gt;""))&gt;0,'T_SelfStock'!BD32+'T_TTAFStock'!BD32,BC28+'Grid_Incoming'!BD28-'Grid_Requirement'!BD28))</f>
        <v/>
      </c>
      <c r="BE28">
        <f>IF(COUNTIFS(T_StockCount[Part Name],$A28,T_StockCount[WeekIndex],56)&gt;0,SUMIFS(T_StockCount[CountedQty],T_StockCount[Part Name],$A28,T_StockCount[WeekIndex],56),IF((('T_SelfStock'!BE32&lt;&gt;""))*(('T_TTAFStock'!BE32&lt;&gt;""))&gt;0,'T_SelfStock'!BE32+'T_TTAFStock'!BE32,BD28+'Grid_Incoming'!BE28-'Grid_Requirement'!BE28))</f>
        <v/>
      </c>
      <c r="BF28">
        <f>IF(COUNTIFS(T_StockCount[Part Name],$A28,T_StockCount[WeekIndex],57)&gt;0,SUMIFS(T_StockCount[CountedQty],T_StockCount[Part Name],$A28,T_StockCount[WeekIndex],57),IF((('T_SelfStock'!BF32&lt;&gt;""))*(('T_TTAFStock'!BF32&lt;&gt;""))&gt;0,'T_SelfStock'!BF32+'T_TTAFStock'!BF32,BE28+'Grid_Incoming'!BF28-'Grid_Requirement'!BF28))</f>
        <v/>
      </c>
      <c r="BG28">
        <f>IF(COUNTIFS(T_StockCount[Part Name],$A28,T_StockCount[WeekIndex],58)&gt;0,SUMIFS(T_StockCount[CountedQty],T_StockCount[Part Name],$A28,T_StockCount[WeekIndex],58),IF((('T_SelfStock'!BG32&lt;&gt;""))*(('T_TTAFStock'!BG32&lt;&gt;""))&gt;0,'T_SelfStock'!BG32+'T_TTAFStock'!BG32,BF28+'Grid_Incoming'!BG28-'Grid_Requirement'!BG28))</f>
        <v/>
      </c>
      <c r="BH28">
        <f>IF(COUNTIFS(T_StockCount[Part Name],$A28,T_StockCount[WeekIndex],59)&gt;0,SUMIFS(T_StockCount[CountedQty],T_StockCount[Part Name],$A28,T_StockCount[WeekIndex],59),IF((('T_SelfStock'!BH32&lt;&gt;""))*(('T_TTAFStock'!BH32&lt;&gt;""))&gt;0,'T_SelfStock'!BH32+'T_TTAFStock'!BH32,BG28+'Grid_Incoming'!BH28-'Grid_Requirement'!BH28))</f>
        <v/>
      </c>
      <c r="BI28">
        <f>IF(COUNTIFS(T_StockCount[Part Name],$A28,T_StockCount[WeekIndex],60)&gt;0,SUMIFS(T_StockCount[CountedQty],T_StockCount[Part Name],$A28,T_StockCount[WeekIndex],60),IF((('T_SelfStock'!BI32&lt;&gt;""))*(('T_TTAFStock'!BI32&lt;&gt;""))&gt;0,'T_SelfStock'!BI32+'T_TTAFStock'!BI32,BH28+'Grid_Incoming'!BI28-'Grid_Requirement'!BI28))</f>
        <v/>
      </c>
      <c r="BJ28">
        <f>IF(COUNTIFS(T_StockCount[Part Name],$A28,T_StockCount[WeekIndex],61)&gt;0,SUMIFS(T_StockCount[CountedQty],T_StockCount[Part Name],$A28,T_StockCount[WeekIndex],61),IF((('T_SelfStock'!BJ32&lt;&gt;""))*(('T_TTAFStock'!BJ32&lt;&gt;""))&gt;0,'T_SelfStock'!BJ32+'T_TTAFStock'!BJ32,BI28+'Grid_Incoming'!BJ28-'Grid_Requirement'!BJ28))</f>
        <v/>
      </c>
      <c r="BK28">
        <f>IF(COUNTIFS(T_StockCount[Part Name],$A28,T_StockCount[WeekIndex],62)&gt;0,SUMIFS(T_StockCount[CountedQty],T_StockCount[Part Name],$A28,T_StockCount[WeekIndex],62),IF((('T_SelfStock'!BK32&lt;&gt;""))*(('T_TTAFStock'!BK32&lt;&gt;""))&gt;0,'T_SelfStock'!BK32+'T_TTAFStock'!BK32,BJ28+'Grid_Incoming'!BK28-'Grid_Requirement'!BK28))</f>
        <v/>
      </c>
      <c r="BL28">
        <f>IF(COUNTIFS(T_StockCount[Part Name],$A28,T_StockCount[WeekIndex],63)&gt;0,SUMIFS(T_StockCount[CountedQty],T_StockCount[Part Name],$A28,T_StockCount[WeekIndex],63),IF((('T_SelfStock'!BL32&lt;&gt;""))*(('T_TTAFStock'!BL32&lt;&gt;""))&gt;0,'T_SelfStock'!BL32+'T_TTAFStock'!BL32,BK28+'Grid_Incoming'!BL28-'Grid_Requirement'!BL28))</f>
        <v/>
      </c>
      <c r="BM28">
        <f>IF(COUNTIFS(T_StockCount[Part Name],$A28,T_StockCount[WeekIndex],64)&gt;0,SUMIFS(T_StockCount[CountedQty],T_StockCount[Part Name],$A28,T_StockCount[WeekIndex],64),IF((('T_SelfStock'!BM32&lt;&gt;""))*(('T_TTAFStock'!BM32&lt;&gt;""))&gt;0,'T_SelfStock'!BM32+'T_TTAFStock'!BM32,BL28+'Grid_Incoming'!BM28-'Grid_Requirement'!BM28))</f>
        <v/>
      </c>
      <c r="BN28">
        <f>IF(COUNTIFS(T_StockCount[Part Name],$A28,T_StockCount[WeekIndex],65)&gt;0,SUMIFS(T_StockCount[CountedQty],T_StockCount[Part Name],$A28,T_StockCount[WeekIndex],65),IF((('T_SelfStock'!BN32&lt;&gt;""))*(('T_TTAFStock'!BN32&lt;&gt;""))&gt;0,'T_SelfStock'!BN32+'T_TTAFStock'!BN32,BM28+'Grid_Incoming'!BN28-'Grid_Requirement'!BN28))</f>
        <v/>
      </c>
      <c r="BO28">
        <f>IF(COUNTIFS(T_StockCount[Part Name],$A28,T_StockCount[WeekIndex],66)&gt;0,SUMIFS(T_StockCount[CountedQty],T_StockCount[Part Name],$A28,T_StockCount[WeekIndex],66),IF((('T_SelfStock'!BO32&lt;&gt;""))*(('T_TTAFStock'!BO32&lt;&gt;""))&gt;0,'T_SelfStock'!BO32+'T_TTAFStock'!BO32,BN28+'Grid_Incoming'!BO28-'Grid_Requirement'!BO28))</f>
        <v/>
      </c>
      <c r="BP28">
        <f>IF(COUNTIFS(T_StockCount[Part Name],$A28,T_StockCount[WeekIndex],67)&gt;0,SUMIFS(T_StockCount[CountedQty],T_StockCount[Part Name],$A28,T_StockCount[WeekIndex],67),IF((('T_SelfStock'!BP32&lt;&gt;""))*(('T_TTAFStock'!BP32&lt;&gt;""))&gt;0,'T_SelfStock'!BP32+'T_TTAFStock'!BP32,BO28+'Grid_Incoming'!BP28-'Grid_Requirement'!BP28))</f>
        <v/>
      </c>
      <c r="BQ28">
        <f>IF(COUNTIFS(T_StockCount[Part Name],$A28,T_StockCount[WeekIndex],68)&gt;0,SUMIFS(T_StockCount[CountedQty],T_StockCount[Part Name],$A28,T_StockCount[WeekIndex],68),IF((('T_SelfStock'!BQ32&lt;&gt;""))*(('T_TTAFStock'!BQ32&lt;&gt;""))&gt;0,'T_SelfStock'!BQ32+'T_TTAFStock'!BQ32,BP28+'Grid_Incoming'!BQ28-'Grid_Requirement'!BQ28))</f>
        <v/>
      </c>
      <c r="BR28">
        <f>IF(COUNTIFS(T_StockCount[Part Name],$A28,T_StockCount[WeekIndex],69)&gt;0,SUMIFS(T_StockCount[CountedQty],T_StockCount[Part Name],$A28,T_StockCount[WeekIndex],69),IF((('T_SelfStock'!BR32&lt;&gt;""))*(('T_TTAFStock'!BR32&lt;&gt;""))&gt;0,'T_SelfStock'!BR32+'T_TTAFStock'!BR32,BQ28+'Grid_Incoming'!BR28-'Grid_Requirement'!BR28))</f>
        <v/>
      </c>
      <c r="BS28">
        <f>IF(COUNTIFS(T_StockCount[Part Name],$A28,T_StockCount[WeekIndex],70)&gt;0,SUMIFS(T_StockCount[CountedQty],T_StockCount[Part Name],$A28,T_StockCount[WeekIndex],70),IF((('T_SelfStock'!BS32&lt;&gt;""))*(('T_TTAFStock'!BS32&lt;&gt;""))&gt;0,'T_SelfStock'!BS32+'T_TTAFStock'!BS32,BR28+'Grid_Incoming'!BS28-'Grid_Requirement'!BS28))</f>
        <v/>
      </c>
      <c r="BT28">
        <f>IF(COUNTIFS(T_StockCount[Part Name],$A28,T_StockCount[WeekIndex],71)&gt;0,SUMIFS(T_StockCount[CountedQty],T_StockCount[Part Name],$A28,T_StockCount[WeekIndex],71),IF((('T_SelfStock'!BT32&lt;&gt;""))*(('T_TTAFStock'!BT32&lt;&gt;""))&gt;0,'T_SelfStock'!BT32+'T_TTAFStock'!BT32,BS28+'Grid_Incoming'!BT28-'Grid_Requirement'!BT28))</f>
        <v/>
      </c>
      <c r="BU28">
        <f>IF(COUNTIFS(T_StockCount[Part Name],$A28,T_StockCount[WeekIndex],72)&gt;0,SUMIFS(T_StockCount[CountedQty],T_StockCount[Part Name],$A28,T_StockCount[WeekIndex],72),IF((('T_SelfStock'!BU32&lt;&gt;""))*(('T_TTAFStock'!BU32&lt;&gt;""))&gt;0,'T_SelfStock'!BU32+'T_TTAFStock'!BU32,BT28+'Grid_Incoming'!BU28-'Grid_Requirement'!BU28))</f>
        <v/>
      </c>
      <c r="BV28">
        <f>IF(COUNTIFS(T_StockCount[Part Name],$A28,T_StockCount[WeekIndex],73)&gt;0,SUMIFS(T_StockCount[CountedQty],T_StockCount[Part Name],$A28,T_StockCount[WeekIndex],73),IF((('T_SelfStock'!BV32&lt;&gt;""))*(('T_TTAFStock'!BV32&lt;&gt;""))&gt;0,'T_SelfStock'!BV32+'T_TTAFStock'!BV32,BU28+'Grid_Incoming'!BV28-'Grid_Requirement'!BV28))</f>
        <v/>
      </c>
      <c r="BW28">
        <f>IF(COUNTIFS(T_StockCount[Part Name],$A28,T_StockCount[WeekIndex],74)&gt;0,SUMIFS(T_StockCount[CountedQty],T_StockCount[Part Name],$A28,T_StockCount[WeekIndex],74),IF((('T_SelfStock'!BW32&lt;&gt;""))*(('T_TTAFStock'!BW32&lt;&gt;""))&gt;0,'T_SelfStock'!BW32+'T_TTAFStock'!BW32,BV28+'Grid_Incoming'!BW28-'Grid_Requirement'!BW28))</f>
        <v/>
      </c>
      <c r="BX28">
        <f>IF(COUNTIFS(T_StockCount[Part Name],$A28,T_StockCount[WeekIndex],75)&gt;0,SUMIFS(T_StockCount[CountedQty],T_StockCount[Part Name],$A28,T_StockCount[WeekIndex],75),IF((('T_SelfStock'!BX32&lt;&gt;""))*(('T_TTAFStock'!BX32&lt;&gt;""))&gt;0,'T_SelfStock'!BX32+'T_TTAFStock'!BX32,BW28+'Grid_Incoming'!BX28-'Grid_Requirement'!BX28))</f>
        <v/>
      </c>
      <c r="BY28">
        <f>IF(COUNTIFS(T_StockCount[Part Name],$A28,T_StockCount[WeekIndex],76)&gt;0,SUMIFS(T_StockCount[CountedQty],T_StockCount[Part Name],$A28,T_StockCount[WeekIndex],76),IF((('T_SelfStock'!BY32&lt;&gt;""))*(('T_TTAFStock'!BY32&lt;&gt;""))&gt;0,'T_SelfStock'!BY32+'T_TTAFStock'!BY32,BX28+'Grid_Incoming'!BY28-'Grid_Requirement'!BY28))</f>
        <v/>
      </c>
      <c r="BZ28">
        <f>IF(COUNTIFS(T_StockCount[Part Name],$A28,T_StockCount[WeekIndex],77)&gt;0,SUMIFS(T_StockCount[CountedQty],T_StockCount[Part Name],$A28,T_StockCount[WeekIndex],77),IF((('T_SelfStock'!BZ32&lt;&gt;""))*(('T_TTAFStock'!BZ32&lt;&gt;""))&gt;0,'T_SelfStock'!BZ32+'T_TTAFStock'!BZ32,BY28+'Grid_Incoming'!BZ28-'Grid_Requirement'!BZ28))</f>
        <v/>
      </c>
      <c r="CA28">
        <f>IF(COUNTIFS(T_StockCount[Part Name],$A28,T_StockCount[WeekIndex],78)&gt;0,SUMIFS(T_StockCount[CountedQty],T_StockCount[Part Name],$A28,T_StockCount[WeekIndex],78),IF((('T_SelfStock'!CA32&lt;&gt;""))*(('T_TTAFStock'!CA32&lt;&gt;""))&gt;0,'T_SelfStock'!CA32+'T_TTAFStock'!CA32,BZ28+'Grid_Incoming'!CA28-'Grid_Requirement'!CA28))</f>
        <v/>
      </c>
      <c r="CB28">
        <f>IF(COUNTIFS(T_StockCount[Part Name],$A28,T_StockCount[WeekIndex],79)&gt;0,SUMIFS(T_StockCount[CountedQty],T_StockCount[Part Name],$A28,T_StockCount[WeekIndex],79),IF((('T_SelfStock'!CB32&lt;&gt;""))*(('T_TTAFStock'!CB32&lt;&gt;""))&gt;0,'T_SelfStock'!CB32+'T_TTAFStock'!CB32,CA28+'Grid_Incoming'!CB28-'Grid_Requirement'!CB28))</f>
        <v/>
      </c>
      <c r="CC28">
        <f>IF(COUNTIFS(T_StockCount[Part Name],$A28,T_StockCount[WeekIndex],80)&gt;0,SUMIFS(T_StockCount[CountedQty],T_StockCount[Part Name],$A28,T_StockCount[WeekIndex],80),IF((('T_SelfStock'!CC32&lt;&gt;""))*(('T_TTAFStock'!CC32&lt;&gt;""))&gt;0,'T_SelfStock'!CC32+'T_TTAFStock'!CC32,CB28+'Grid_Incoming'!CC28-'Grid_Requirement'!CC28))</f>
        <v/>
      </c>
      <c r="CD28">
        <f>IF(COUNTIFS(T_StockCount[Part Name],$A28,T_StockCount[WeekIndex],81)&gt;0,SUMIFS(T_StockCount[CountedQty],T_StockCount[Part Name],$A28,T_StockCount[WeekIndex],81),IF((('T_SelfStock'!CD32&lt;&gt;""))*(('T_TTAFStock'!CD32&lt;&gt;""))&gt;0,'T_SelfStock'!CD32+'T_TTAFStock'!CD32,CC28+'Grid_Incoming'!CD28-'Grid_Requirement'!CD28))</f>
        <v/>
      </c>
      <c r="CE28">
        <f>IF(COUNTIFS(T_StockCount[Part Name],$A28,T_StockCount[WeekIndex],82)&gt;0,SUMIFS(T_StockCount[CountedQty],T_StockCount[Part Name],$A28,T_StockCount[WeekIndex],82),IF((('T_SelfStock'!CE32&lt;&gt;""))*(('T_TTAFStock'!CE32&lt;&gt;""))&gt;0,'T_SelfStock'!CE32+'T_TTAFStock'!CE32,CD28+'Grid_Incoming'!CE28-'Grid_Requirement'!CE28))</f>
        <v/>
      </c>
      <c r="CF28">
        <f>IF(COUNTIFS(T_StockCount[Part Name],$A28,T_StockCount[WeekIndex],83)&gt;0,SUMIFS(T_StockCount[CountedQty],T_StockCount[Part Name],$A28,T_StockCount[WeekIndex],83),IF((('T_SelfStock'!CF32&lt;&gt;""))*(('T_TTAFStock'!CF32&lt;&gt;""))&gt;0,'T_SelfStock'!CF32+'T_TTAFStock'!CF32,CE28+'Grid_Incoming'!CF28-'Grid_Requirement'!CF28))</f>
        <v/>
      </c>
      <c r="CG28">
        <f>IF(COUNTIFS(T_StockCount[Part Name],$A28,T_StockCount[WeekIndex],84)&gt;0,SUMIFS(T_StockCount[CountedQty],T_StockCount[Part Name],$A28,T_StockCount[WeekIndex],84),IF((('T_SelfStock'!CG32&lt;&gt;""))*(('T_TTAFStock'!CG32&lt;&gt;""))&gt;0,'T_SelfStock'!CG32+'T_TTAFStock'!CG32,CF28+'Grid_Incoming'!CG28-'Grid_Requirement'!CG28))</f>
        <v/>
      </c>
      <c r="CH28">
        <f>IF(COUNTIFS(T_StockCount[Part Name],$A28,T_StockCount[WeekIndex],85)&gt;0,SUMIFS(T_StockCount[CountedQty],T_StockCount[Part Name],$A28,T_StockCount[WeekIndex],85),IF((('T_SelfStock'!CH32&lt;&gt;""))*(('T_TTAFStock'!CH32&lt;&gt;""))&gt;0,'T_SelfStock'!CH32+'T_TTAFStock'!CH32,CG28+'Grid_Incoming'!CH28-'Grid_Requirement'!CH28))</f>
        <v/>
      </c>
      <c r="CI28">
        <f>IF(COUNTIFS(T_StockCount[Part Name],$A28,T_StockCount[WeekIndex],86)&gt;0,SUMIFS(T_StockCount[CountedQty],T_StockCount[Part Name],$A28,T_StockCount[WeekIndex],86),IF((('T_SelfStock'!CI32&lt;&gt;""))*(('T_TTAFStock'!CI32&lt;&gt;""))&gt;0,'T_SelfStock'!CI32+'T_TTAFStock'!CI32,CH28+'Grid_Incoming'!CI28-'Grid_Requirement'!CI28))</f>
        <v/>
      </c>
      <c r="CJ28">
        <f>IF(COUNTIFS(T_StockCount[Part Name],$A28,T_StockCount[WeekIndex],87)&gt;0,SUMIFS(T_StockCount[CountedQty],T_StockCount[Part Name],$A28,T_StockCount[WeekIndex],87),IF((('T_SelfStock'!CJ32&lt;&gt;""))*(('T_TTAFStock'!CJ32&lt;&gt;""))&gt;0,'T_SelfStock'!CJ32+'T_TTAFStock'!CJ32,CI28+'Grid_Incoming'!CJ28-'Grid_Requirement'!CJ28))</f>
        <v/>
      </c>
      <c r="CK28">
        <f>IF(COUNTIFS(T_StockCount[Part Name],$A28,T_StockCount[WeekIndex],88)&gt;0,SUMIFS(T_StockCount[CountedQty],T_StockCount[Part Name],$A28,T_StockCount[WeekIndex],88),IF((('T_SelfStock'!CK32&lt;&gt;""))*(('T_TTAFStock'!CK32&lt;&gt;""))&gt;0,'T_SelfStock'!CK32+'T_TTAFStock'!CK32,CJ28+'Grid_Incoming'!CK28-'Grid_Requirement'!CK28))</f>
        <v/>
      </c>
      <c r="CL28">
        <f>IF(COUNTIFS(T_StockCount[Part Name],$A28,T_StockCount[WeekIndex],89)&gt;0,SUMIFS(T_StockCount[CountedQty],T_StockCount[Part Name],$A28,T_StockCount[WeekIndex],89),IF((('T_SelfStock'!CL32&lt;&gt;""))*(('T_TTAFStock'!CL32&lt;&gt;""))&gt;0,'T_SelfStock'!CL32+'T_TTAFStock'!CL32,CK28+'Grid_Incoming'!CL28-'Grid_Requirement'!CL28))</f>
        <v/>
      </c>
      <c r="CM28">
        <f>IF(COUNTIFS(T_StockCount[Part Name],$A28,T_StockCount[WeekIndex],90)&gt;0,SUMIFS(T_StockCount[CountedQty],T_StockCount[Part Name],$A28,T_StockCount[WeekIndex],90),IF((('T_SelfStock'!CM32&lt;&gt;""))*(('T_TTAFStock'!CM32&lt;&gt;""))&gt;0,'T_SelfStock'!CM32+'T_TTAFStock'!CM32,CL28+'Grid_Incoming'!CM28-'Grid_Requirement'!CM28))</f>
        <v/>
      </c>
      <c r="CN28">
        <f>IF(COUNTIFS(T_StockCount[Part Name],$A28,T_StockCount[WeekIndex],91)&gt;0,SUMIFS(T_StockCount[CountedQty],T_StockCount[Part Name],$A28,T_StockCount[WeekIndex],91),IF((('T_SelfStock'!CN32&lt;&gt;""))*(('T_TTAFStock'!CN32&lt;&gt;""))&gt;0,'T_SelfStock'!CN32+'T_TTAFStock'!CN32,CM28+'Grid_Incoming'!CN28-'Grid_Requirement'!CN28))</f>
        <v/>
      </c>
      <c r="CO28">
        <f>IF(COUNTIFS(T_StockCount[Part Name],$A28,T_StockCount[WeekIndex],92)&gt;0,SUMIFS(T_StockCount[CountedQty],T_StockCount[Part Name],$A28,T_StockCount[WeekIndex],92),IF((('T_SelfStock'!CO32&lt;&gt;""))*(('T_TTAFStock'!CO32&lt;&gt;""))&gt;0,'T_SelfStock'!CO32+'T_TTAFStock'!CO32,CN28+'Grid_Incoming'!CO28-'Grid_Requirement'!CO28))</f>
        <v/>
      </c>
      <c r="CP28">
        <f>IF(COUNTIFS(T_StockCount[Part Name],$A28,T_StockCount[WeekIndex],93)&gt;0,SUMIFS(T_StockCount[CountedQty],T_StockCount[Part Name],$A28,T_StockCount[WeekIndex],93),IF((('T_SelfStock'!CP32&lt;&gt;""))*(('T_TTAFStock'!CP32&lt;&gt;""))&gt;0,'T_SelfStock'!CP32+'T_TTAFStock'!CP32,CO28+'Grid_Incoming'!CP28-'Grid_Requirement'!CP28))</f>
        <v/>
      </c>
      <c r="CQ28">
        <f>IF(COUNTIFS(T_StockCount[Part Name],$A28,T_StockCount[WeekIndex],94)&gt;0,SUMIFS(T_StockCount[CountedQty],T_StockCount[Part Name],$A28,T_StockCount[WeekIndex],94),IF((('T_SelfStock'!CQ32&lt;&gt;""))*(('T_TTAFStock'!CQ32&lt;&gt;""))&gt;0,'T_SelfStock'!CQ32+'T_TTAFStock'!CQ32,CP28+'Grid_Incoming'!CQ28-'Grid_Requirement'!CQ28))</f>
        <v/>
      </c>
      <c r="CR28">
        <f>IF(COUNTIFS(T_StockCount[Part Name],$A28,T_StockCount[WeekIndex],95)&gt;0,SUMIFS(T_StockCount[CountedQty],T_StockCount[Part Name],$A28,T_StockCount[WeekIndex],95),IF((('T_SelfStock'!CR32&lt;&gt;""))*(('T_TTAFStock'!CR32&lt;&gt;""))&gt;0,'T_SelfStock'!CR32+'T_TTAFStock'!CR32,CQ28+'Grid_Incoming'!CR28-'Grid_Requirement'!CR28))</f>
        <v/>
      </c>
      <c r="CS28">
        <f>IF(COUNTIFS(T_StockCount[Part Name],$A28,T_StockCount[WeekIndex],96)&gt;0,SUMIFS(T_StockCount[CountedQty],T_StockCount[Part Name],$A28,T_StockCount[WeekIndex],96),IF((('T_SelfStock'!CS32&lt;&gt;""))*(('T_TTAFStock'!CS32&lt;&gt;""))&gt;0,'T_SelfStock'!CS32+'T_TTAFStock'!CS32,CR28+'Grid_Incoming'!CS28-'Grid_Requirement'!CS28))</f>
        <v/>
      </c>
      <c r="CT28">
        <f>IF(COUNTIFS(T_StockCount[Part Name],$A28,T_StockCount[WeekIndex],97)&gt;0,SUMIFS(T_StockCount[CountedQty],T_StockCount[Part Name],$A28,T_StockCount[WeekIndex],97),IF((('T_SelfStock'!CT32&lt;&gt;""))*(('T_TTAFStock'!CT32&lt;&gt;""))&gt;0,'T_SelfStock'!CT32+'T_TTAFStock'!CT32,CS28+'Grid_Incoming'!CT28-'Grid_Requirement'!CT28))</f>
        <v/>
      </c>
      <c r="CU28">
        <f>IF(COUNTIFS(T_StockCount[Part Name],$A28,T_StockCount[WeekIndex],98)&gt;0,SUMIFS(T_StockCount[CountedQty],T_StockCount[Part Name],$A28,T_StockCount[WeekIndex],98),IF((('T_SelfStock'!CU32&lt;&gt;""))*(('T_TTAFStock'!CU32&lt;&gt;""))&gt;0,'T_SelfStock'!CU32+'T_TTAFStock'!CU32,CT28+'Grid_Incoming'!CU28-'Grid_Requirement'!CU28))</f>
        <v/>
      </c>
      <c r="CV28">
        <f>IF(COUNTIFS(T_StockCount[Part Name],$A28,T_StockCount[WeekIndex],99)&gt;0,SUMIFS(T_StockCount[CountedQty],T_StockCount[Part Name],$A28,T_StockCount[WeekIndex],99),IF((('T_SelfStock'!CV32&lt;&gt;""))*(('T_TTAFStock'!CV32&lt;&gt;""))&gt;0,'T_SelfStock'!CV32+'T_TTAFStock'!CV32,CU28+'Grid_Incoming'!CV28-'Grid_Requirement'!CV28))</f>
        <v/>
      </c>
      <c r="CW28">
        <f>IF(COUNTIFS(T_StockCount[Part Name],$A28,T_StockCount[WeekIndex],100)&gt;0,SUMIFS(T_StockCount[CountedQty],T_StockCount[Part Name],$A28,T_StockCount[WeekIndex],100),IF((('T_SelfStock'!CW32&lt;&gt;""))*(('T_TTAFStock'!CW32&lt;&gt;""))&gt;0,'T_SelfStock'!CW32+'T_TTAFStock'!CW32,CV28+'Grid_Incoming'!CW28-'Grid_Requirement'!CW28))</f>
        <v/>
      </c>
      <c r="CX28">
        <f>IF(COUNTIFS(T_StockCount[Part Name],$A28,T_StockCount[WeekIndex],101)&gt;0,SUMIFS(T_StockCount[CountedQty],T_StockCount[Part Name],$A28,T_StockCount[WeekIndex],101),IF((('T_SelfStock'!CX32&lt;&gt;""))*(('T_TTAFStock'!CX32&lt;&gt;""))&gt;0,'T_SelfStock'!CX32+'T_TTAFStock'!CX32,CW28+'Grid_Incoming'!CX28-'Grid_Requirement'!CX28))</f>
        <v/>
      </c>
      <c r="CY28">
        <f>IF(COUNTIFS(T_StockCount[Part Name],$A28,T_StockCount[WeekIndex],102)&gt;0,SUMIFS(T_StockCount[CountedQty],T_StockCount[Part Name],$A28,T_StockCount[WeekIndex],102),IF((('T_SelfStock'!CY32&lt;&gt;""))*(('T_TTAFStock'!CY32&lt;&gt;""))&gt;0,'T_SelfStock'!CY32+'T_TTAFStock'!CY32,CX28+'Grid_Incoming'!CY28-'Grid_Requirement'!CY28))</f>
        <v/>
      </c>
      <c r="CZ28">
        <f>IF(COUNTIFS(T_StockCount[Part Name],$A28,T_StockCount[WeekIndex],103)&gt;0,SUMIFS(T_StockCount[CountedQty],T_StockCount[Part Name],$A28,T_StockCount[WeekIndex],103),IF((('T_SelfStock'!CZ32&lt;&gt;""))*(('T_TTAFStock'!CZ32&lt;&gt;""))&gt;0,'T_SelfStock'!CZ32+'T_TTAFStock'!CZ32,CY28+'Grid_Incoming'!CZ28-'Grid_Requirement'!CZ28))</f>
        <v/>
      </c>
      <c r="DA28">
        <f>IF(COUNTIFS(T_StockCount[Part Name],$A28,T_StockCount[WeekIndex],104)&gt;0,SUMIFS(T_StockCount[CountedQty],T_StockCount[Part Name],$A28,T_StockCount[WeekIndex],104),IF((('T_SelfStock'!DA32&lt;&gt;""))*(('T_TTAFStock'!DA32&lt;&gt;""))&gt;0,'T_SelfStock'!DA32+'T_TTAFStock'!DA32,CZ28+'Grid_Incoming'!DA28-'Grid_Requirement'!DA28))</f>
        <v/>
      </c>
    </row>
    <row r="29">
      <c r="A29" t="inlineStr">
        <is>
          <t>CHEM-1120</t>
        </is>
      </c>
      <c r="B29">
        <f>IF(COUNTIFS(T_StockCount[Part Name],$A29,T_StockCount[WeekIndex],1)&gt;0,SUMIFS(T_StockCount[CountedQty],T_StockCount[Part Name],$A29,T_StockCount[WeekIndex],1),IF((('T_SelfStock'!B33&lt;&gt;""))*(('T_TTAFStock'!B33&lt;&gt;""))&gt;0,'T_SelfStock'!B33+'T_TTAFStock'!B33,IFERROR(INDEX(T_OpeningStock[Opening_Qty_要入力],MATCH($A29,T_OpeningStock[Part Name],0)),0)+'Grid_Incoming'!B29-'Grid_Requirement'!B29))</f>
        <v/>
      </c>
      <c r="C29">
        <f>IF(COUNTIFS(T_StockCount[Part Name],$A29,T_StockCount[WeekIndex],2)&gt;0,SUMIFS(T_StockCount[CountedQty],T_StockCount[Part Name],$A29,T_StockCount[WeekIndex],2),IF((('T_SelfStock'!C33&lt;&gt;""))*(('T_TTAFStock'!C33&lt;&gt;""))&gt;0,'T_SelfStock'!C33+'T_TTAFStock'!C33,B29+'Grid_Incoming'!C29-'Grid_Requirement'!C29))</f>
        <v/>
      </c>
      <c r="D29">
        <f>IF(COUNTIFS(T_StockCount[Part Name],$A29,T_StockCount[WeekIndex],3)&gt;0,SUMIFS(T_StockCount[CountedQty],T_StockCount[Part Name],$A29,T_StockCount[WeekIndex],3),IF((('T_SelfStock'!D33&lt;&gt;""))*(('T_TTAFStock'!D33&lt;&gt;""))&gt;0,'T_SelfStock'!D33+'T_TTAFStock'!D33,C29+'Grid_Incoming'!D29-'Grid_Requirement'!D29))</f>
        <v/>
      </c>
      <c r="E29">
        <f>IF(COUNTIFS(T_StockCount[Part Name],$A29,T_StockCount[WeekIndex],4)&gt;0,SUMIFS(T_StockCount[CountedQty],T_StockCount[Part Name],$A29,T_StockCount[WeekIndex],4),IF((('T_SelfStock'!E33&lt;&gt;""))*(('T_TTAFStock'!E33&lt;&gt;""))&gt;0,'T_SelfStock'!E33+'T_TTAFStock'!E33,D29+'Grid_Incoming'!E29-'Grid_Requirement'!E29))</f>
        <v/>
      </c>
      <c r="F29">
        <f>IF(COUNTIFS(T_StockCount[Part Name],$A29,T_StockCount[WeekIndex],5)&gt;0,SUMIFS(T_StockCount[CountedQty],T_StockCount[Part Name],$A29,T_StockCount[WeekIndex],5),IF((('T_SelfStock'!F33&lt;&gt;""))*(('T_TTAFStock'!F33&lt;&gt;""))&gt;0,'T_SelfStock'!F33+'T_TTAFStock'!F33,E29+'Grid_Incoming'!F29-'Grid_Requirement'!F29))</f>
        <v/>
      </c>
      <c r="G29">
        <f>IF(COUNTIFS(T_StockCount[Part Name],$A29,T_StockCount[WeekIndex],6)&gt;0,SUMIFS(T_StockCount[CountedQty],T_StockCount[Part Name],$A29,T_StockCount[WeekIndex],6),IF((('T_SelfStock'!G33&lt;&gt;""))*(('T_TTAFStock'!G33&lt;&gt;""))&gt;0,'T_SelfStock'!G33+'T_TTAFStock'!G33,F29+'Grid_Incoming'!G29-'Grid_Requirement'!G29))</f>
        <v/>
      </c>
      <c r="H29">
        <f>IF(COUNTIFS(T_StockCount[Part Name],$A29,T_StockCount[WeekIndex],7)&gt;0,SUMIFS(T_StockCount[CountedQty],T_StockCount[Part Name],$A29,T_StockCount[WeekIndex],7),IF((('T_SelfStock'!H33&lt;&gt;""))*(('T_TTAFStock'!H33&lt;&gt;""))&gt;0,'T_SelfStock'!H33+'T_TTAFStock'!H33,G29+'Grid_Incoming'!H29-'Grid_Requirement'!H29))</f>
        <v/>
      </c>
      <c r="I29">
        <f>IF(COUNTIFS(T_StockCount[Part Name],$A29,T_StockCount[WeekIndex],8)&gt;0,SUMIFS(T_StockCount[CountedQty],T_StockCount[Part Name],$A29,T_StockCount[WeekIndex],8),IF((('T_SelfStock'!I33&lt;&gt;""))*(('T_TTAFStock'!I33&lt;&gt;""))&gt;0,'T_SelfStock'!I33+'T_TTAFStock'!I33,H29+'Grid_Incoming'!I29-'Grid_Requirement'!I29))</f>
        <v/>
      </c>
      <c r="J29">
        <f>IF(COUNTIFS(T_StockCount[Part Name],$A29,T_StockCount[WeekIndex],9)&gt;0,SUMIFS(T_StockCount[CountedQty],T_StockCount[Part Name],$A29,T_StockCount[WeekIndex],9),IF((('T_SelfStock'!J33&lt;&gt;""))*(('T_TTAFStock'!J33&lt;&gt;""))&gt;0,'T_SelfStock'!J33+'T_TTAFStock'!J33,I29+'Grid_Incoming'!J29-'Grid_Requirement'!J29))</f>
        <v/>
      </c>
      <c r="K29">
        <f>IF(COUNTIFS(T_StockCount[Part Name],$A29,T_StockCount[WeekIndex],10)&gt;0,SUMIFS(T_StockCount[CountedQty],T_StockCount[Part Name],$A29,T_StockCount[WeekIndex],10),IF((('T_SelfStock'!K33&lt;&gt;""))*(('T_TTAFStock'!K33&lt;&gt;""))&gt;0,'T_SelfStock'!K33+'T_TTAFStock'!K33,J29+'Grid_Incoming'!K29-'Grid_Requirement'!K29))</f>
        <v/>
      </c>
      <c r="L29">
        <f>IF(COUNTIFS(T_StockCount[Part Name],$A29,T_StockCount[WeekIndex],11)&gt;0,SUMIFS(T_StockCount[CountedQty],T_StockCount[Part Name],$A29,T_StockCount[WeekIndex],11),IF((('T_SelfStock'!L33&lt;&gt;""))*(('T_TTAFStock'!L33&lt;&gt;""))&gt;0,'T_SelfStock'!L33+'T_TTAFStock'!L33,K29+'Grid_Incoming'!L29-'Grid_Requirement'!L29))</f>
        <v/>
      </c>
      <c r="M29">
        <f>IF(COUNTIFS(T_StockCount[Part Name],$A29,T_StockCount[WeekIndex],12)&gt;0,SUMIFS(T_StockCount[CountedQty],T_StockCount[Part Name],$A29,T_StockCount[WeekIndex],12),IF((('T_SelfStock'!M33&lt;&gt;""))*(('T_TTAFStock'!M33&lt;&gt;""))&gt;0,'T_SelfStock'!M33+'T_TTAFStock'!M33,L29+'Grid_Incoming'!M29-'Grid_Requirement'!M29))</f>
        <v/>
      </c>
      <c r="N29">
        <f>IF(COUNTIFS(T_StockCount[Part Name],$A29,T_StockCount[WeekIndex],13)&gt;0,SUMIFS(T_StockCount[CountedQty],T_StockCount[Part Name],$A29,T_StockCount[WeekIndex],13),IF((('T_SelfStock'!N33&lt;&gt;""))*(('T_TTAFStock'!N33&lt;&gt;""))&gt;0,'T_SelfStock'!N33+'T_TTAFStock'!N33,M29+'Grid_Incoming'!N29-'Grid_Requirement'!N29))</f>
        <v/>
      </c>
      <c r="O29">
        <f>IF(COUNTIFS(T_StockCount[Part Name],$A29,T_StockCount[WeekIndex],14)&gt;0,SUMIFS(T_StockCount[CountedQty],T_StockCount[Part Name],$A29,T_StockCount[WeekIndex],14),IF((('T_SelfStock'!O33&lt;&gt;""))*(('T_TTAFStock'!O33&lt;&gt;""))&gt;0,'T_SelfStock'!O33+'T_TTAFStock'!O33,N29+'Grid_Incoming'!O29-'Grid_Requirement'!O29))</f>
        <v/>
      </c>
      <c r="P29">
        <f>IF(COUNTIFS(T_StockCount[Part Name],$A29,T_StockCount[WeekIndex],15)&gt;0,SUMIFS(T_StockCount[CountedQty],T_StockCount[Part Name],$A29,T_StockCount[WeekIndex],15),IF((('T_SelfStock'!P33&lt;&gt;""))*(('T_TTAFStock'!P33&lt;&gt;""))&gt;0,'T_SelfStock'!P33+'T_TTAFStock'!P33,O29+'Grid_Incoming'!P29-'Grid_Requirement'!P29))</f>
        <v/>
      </c>
      <c r="Q29">
        <f>IF(COUNTIFS(T_StockCount[Part Name],$A29,T_StockCount[WeekIndex],16)&gt;0,SUMIFS(T_StockCount[CountedQty],T_StockCount[Part Name],$A29,T_StockCount[WeekIndex],16),IF((('T_SelfStock'!Q33&lt;&gt;""))*(('T_TTAFStock'!Q33&lt;&gt;""))&gt;0,'T_SelfStock'!Q33+'T_TTAFStock'!Q33,P29+'Grid_Incoming'!Q29-'Grid_Requirement'!Q29))</f>
        <v/>
      </c>
      <c r="R29">
        <f>IF(COUNTIFS(T_StockCount[Part Name],$A29,T_StockCount[WeekIndex],17)&gt;0,SUMIFS(T_StockCount[CountedQty],T_StockCount[Part Name],$A29,T_StockCount[WeekIndex],17),IF((('T_SelfStock'!R33&lt;&gt;""))*(('T_TTAFStock'!R33&lt;&gt;""))&gt;0,'T_SelfStock'!R33+'T_TTAFStock'!R33,Q29+'Grid_Incoming'!R29-'Grid_Requirement'!R29))</f>
        <v/>
      </c>
      <c r="S29">
        <f>IF(COUNTIFS(T_StockCount[Part Name],$A29,T_StockCount[WeekIndex],18)&gt;0,SUMIFS(T_StockCount[CountedQty],T_StockCount[Part Name],$A29,T_StockCount[WeekIndex],18),IF((('T_SelfStock'!S33&lt;&gt;""))*(('T_TTAFStock'!S33&lt;&gt;""))&gt;0,'T_SelfStock'!S33+'T_TTAFStock'!S33,R29+'Grid_Incoming'!S29-'Grid_Requirement'!S29))</f>
        <v/>
      </c>
      <c r="T29">
        <f>IF(COUNTIFS(T_StockCount[Part Name],$A29,T_StockCount[WeekIndex],19)&gt;0,SUMIFS(T_StockCount[CountedQty],T_StockCount[Part Name],$A29,T_StockCount[WeekIndex],19),IF((('T_SelfStock'!T33&lt;&gt;""))*(('T_TTAFStock'!T33&lt;&gt;""))&gt;0,'T_SelfStock'!T33+'T_TTAFStock'!T33,S29+'Grid_Incoming'!T29-'Grid_Requirement'!T29))</f>
        <v/>
      </c>
      <c r="U29">
        <f>IF(COUNTIFS(T_StockCount[Part Name],$A29,T_StockCount[WeekIndex],20)&gt;0,SUMIFS(T_StockCount[CountedQty],T_StockCount[Part Name],$A29,T_StockCount[WeekIndex],20),IF((('T_SelfStock'!U33&lt;&gt;""))*(('T_TTAFStock'!U33&lt;&gt;""))&gt;0,'T_SelfStock'!U33+'T_TTAFStock'!U33,T29+'Grid_Incoming'!U29-'Grid_Requirement'!U29))</f>
        <v/>
      </c>
      <c r="V29">
        <f>IF(COUNTIFS(T_StockCount[Part Name],$A29,T_StockCount[WeekIndex],21)&gt;0,SUMIFS(T_StockCount[CountedQty],T_StockCount[Part Name],$A29,T_StockCount[WeekIndex],21),IF((('T_SelfStock'!V33&lt;&gt;""))*(('T_TTAFStock'!V33&lt;&gt;""))&gt;0,'T_SelfStock'!V33+'T_TTAFStock'!V33,U29+'Grid_Incoming'!V29-'Grid_Requirement'!V29))</f>
        <v/>
      </c>
      <c r="W29">
        <f>IF(COUNTIFS(T_StockCount[Part Name],$A29,T_StockCount[WeekIndex],22)&gt;0,SUMIFS(T_StockCount[CountedQty],T_StockCount[Part Name],$A29,T_StockCount[WeekIndex],22),IF((('T_SelfStock'!W33&lt;&gt;""))*(('T_TTAFStock'!W33&lt;&gt;""))&gt;0,'T_SelfStock'!W33+'T_TTAFStock'!W33,V29+'Grid_Incoming'!W29-'Grid_Requirement'!W29))</f>
        <v/>
      </c>
      <c r="X29">
        <f>IF(COUNTIFS(T_StockCount[Part Name],$A29,T_StockCount[WeekIndex],23)&gt;0,SUMIFS(T_StockCount[CountedQty],T_StockCount[Part Name],$A29,T_StockCount[WeekIndex],23),IF((('T_SelfStock'!X33&lt;&gt;""))*(('T_TTAFStock'!X33&lt;&gt;""))&gt;0,'T_SelfStock'!X33+'T_TTAFStock'!X33,W29+'Grid_Incoming'!X29-'Grid_Requirement'!X29))</f>
        <v/>
      </c>
      <c r="Y29">
        <f>IF(COUNTIFS(T_StockCount[Part Name],$A29,T_StockCount[WeekIndex],24)&gt;0,SUMIFS(T_StockCount[CountedQty],T_StockCount[Part Name],$A29,T_StockCount[WeekIndex],24),IF((('T_SelfStock'!Y33&lt;&gt;""))*(('T_TTAFStock'!Y33&lt;&gt;""))&gt;0,'T_SelfStock'!Y33+'T_TTAFStock'!Y33,X29+'Grid_Incoming'!Y29-'Grid_Requirement'!Y29))</f>
        <v/>
      </c>
      <c r="Z29">
        <f>IF(COUNTIFS(T_StockCount[Part Name],$A29,T_StockCount[WeekIndex],25)&gt;0,SUMIFS(T_StockCount[CountedQty],T_StockCount[Part Name],$A29,T_StockCount[WeekIndex],25),IF((('T_SelfStock'!Z33&lt;&gt;""))*(('T_TTAFStock'!Z33&lt;&gt;""))&gt;0,'T_SelfStock'!Z33+'T_TTAFStock'!Z33,Y29+'Grid_Incoming'!Z29-'Grid_Requirement'!Z29))</f>
        <v/>
      </c>
      <c r="AA29">
        <f>IF(COUNTIFS(T_StockCount[Part Name],$A29,T_StockCount[WeekIndex],26)&gt;0,SUMIFS(T_StockCount[CountedQty],T_StockCount[Part Name],$A29,T_StockCount[WeekIndex],26),IF((('T_SelfStock'!AA33&lt;&gt;""))*(('T_TTAFStock'!AA33&lt;&gt;""))&gt;0,'T_SelfStock'!AA33+'T_TTAFStock'!AA33,Z29+'Grid_Incoming'!AA29-'Grid_Requirement'!AA29))</f>
        <v/>
      </c>
      <c r="AB29">
        <f>IF(COUNTIFS(T_StockCount[Part Name],$A29,T_StockCount[WeekIndex],27)&gt;0,SUMIFS(T_StockCount[CountedQty],T_StockCount[Part Name],$A29,T_StockCount[WeekIndex],27),IF((('T_SelfStock'!AB33&lt;&gt;""))*(('T_TTAFStock'!AB33&lt;&gt;""))&gt;0,'T_SelfStock'!AB33+'T_TTAFStock'!AB33,AA29+'Grid_Incoming'!AB29-'Grid_Requirement'!AB29))</f>
        <v/>
      </c>
      <c r="AC29">
        <f>IF(COUNTIFS(T_StockCount[Part Name],$A29,T_StockCount[WeekIndex],28)&gt;0,SUMIFS(T_StockCount[CountedQty],T_StockCount[Part Name],$A29,T_StockCount[WeekIndex],28),IF((('T_SelfStock'!AC33&lt;&gt;""))*(('T_TTAFStock'!AC33&lt;&gt;""))&gt;0,'T_SelfStock'!AC33+'T_TTAFStock'!AC33,AB29+'Grid_Incoming'!AC29-'Grid_Requirement'!AC29))</f>
        <v/>
      </c>
      <c r="AD29">
        <f>IF(COUNTIFS(T_StockCount[Part Name],$A29,T_StockCount[WeekIndex],29)&gt;0,SUMIFS(T_StockCount[CountedQty],T_StockCount[Part Name],$A29,T_StockCount[WeekIndex],29),IF((('T_SelfStock'!AD33&lt;&gt;""))*(('T_TTAFStock'!AD33&lt;&gt;""))&gt;0,'T_SelfStock'!AD33+'T_TTAFStock'!AD33,AC29+'Grid_Incoming'!AD29-'Grid_Requirement'!AD29))</f>
        <v/>
      </c>
      <c r="AE29">
        <f>IF(COUNTIFS(T_StockCount[Part Name],$A29,T_StockCount[WeekIndex],30)&gt;0,SUMIFS(T_StockCount[CountedQty],T_StockCount[Part Name],$A29,T_StockCount[WeekIndex],30),IF((('T_SelfStock'!AE33&lt;&gt;""))*(('T_TTAFStock'!AE33&lt;&gt;""))&gt;0,'T_SelfStock'!AE33+'T_TTAFStock'!AE33,AD29+'Grid_Incoming'!AE29-'Grid_Requirement'!AE29))</f>
        <v/>
      </c>
      <c r="AF29">
        <f>IF(COUNTIFS(T_StockCount[Part Name],$A29,T_StockCount[WeekIndex],31)&gt;0,SUMIFS(T_StockCount[CountedQty],T_StockCount[Part Name],$A29,T_StockCount[WeekIndex],31),IF((('T_SelfStock'!AF33&lt;&gt;""))*(('T_TTAFStock'!AF33&lt;&gt;""))&gt;0,'T_SelfStock'!AF33+'T_TTAFStock'!AF33,AE29+'Grid_Incoming'!AF29-'Grid_Requirement'!AF29))</f>
        <v/>
      </c>
      <c r="AG29">
        <f>IF(COUNTIFS(T_StockCount[Part Name],$A29,T_StockCount[WeekIndex],32)&gt;0,SUMIFS(T_StockCount[CountedQty],T_StockCount[Part Name],$A29,T_StockCount[WeekIndex],32),IF((('T_SelfStock'!AG33&lt;&gt;""))*(('T_TTAFStock'!AG33&lt;&gt;""))&gt;0,'T_SelfStock'!AG33+'T_TTAFStock'!AG33,AF29+'Grid_Incoming'!AG29-'Grid_Requirement'!AG29))</f>
        <v/>
      </c>
      <c r="AH29">
        <f>IF(COUNTIFS(T_StockCount[Part Name],$A29,T_StockCount[WeekIndex],33)&gt;0,SUMIFS(T_StockCount[CountedQty],T_StockCount[Part Name],$A29,T_StockCount[WeekIndex],33),IF((('T_SelfStock'!AH33&lt;&gt;""))*(('T_TTAFStock'!AH33&lt;&gt;""))&gt;0,'T_SelfStock'!AH33+'T_TTAFStock'!AH33,AG29+'Grid_Incoming'!AH29-'Grid_Requirement'!AH29))</f>
        <v/>
      </c>
      <c r="AI29">
        <f>IF(COUNTIFS(T_StockCount[Part Name],$A29,T_StockCount[WeekIndex],34)&gt;0,SUMIFS(T_StockCount[CountedQty],T_StockCount[Part Name],$A29,T_StockCount[WeekIndex],34),IF((('T_SelfStock'!AI33&lt;&gt;""))*(('T_TTAFStock'!AI33&lt;&gt;""))&gt;0,'T_SelfStock'!AI33+'T_TTAFStock'!AI33,AH29+'Grid_Incoming'!AI29-'Grid_Requirement'!AI29))</f>
        <v/>
      </c>
      <c r="AJ29">
        <f>IF(COUNTIFS(T_StockCount[Part Name],$A29,T_StockCount[WeekIndex],35)&gt;0,SUMIFS(T_StockCount[CountedQty],T_StockCount[Part Name],$A29,T_StockCount[WeekIndex],35),IF((('T_SelfStock'!AJ33&lt;&gt;""))*(('T_TTAFStock'!AJ33&lt;&gt;""))&gt;0,'T_SelfStock'!AJ33+'T_TTAFStock'!AJ33,AI29+'Grid_Incoming'!AJ29-'Grid_Requirement'!AJ29))</f>
        <v/>
      </c>
      <c r="AK29">
        <f>IF(COUNTIFS(T_StockCount[Part Name],$A29,T_StockCount[WeekIndex],36)&gt;0,SUMIFS(T_StockCount[CountedQty],T_StockCount[Part Name],$A29,T_StockCount[WeekIndex],36),IF((('T_SelfStock'!AK33&lt;&gt;""))*(('T_TTAFStock'!AK33&lt;&gt;""))&gt;0,'T_SelfStock'!AK33+'T_TTAFStock'!AK33,AJ29+'Grid_Incoming'!AK29-'Grid_Requirement'!AK29))</f>
        <v/>
      </c>
      <c r="AL29">
        <f>IF(COUNTIFS(T_StockCount[Part Name],$A29,T_StockCount[WeekIndex],37)&gt;0,SUMIFS(T_StockCount[CountedQty],T_StockCount[Part Name],$A29,T_StockCount[WeekIndex],37),IF((('T_SelfStock'!AL33&lt;&gt;""))*(('T_TTAFStock'!AL33&lt;&gt;""))&gt;0,'T_SelfStock'!AL33+'T_TTAFStock'!AL33,AK29+'Grid_Incoming'!AL29-'Grid_Requirement'!AL29))</f>
        <v/>
      </c>
      <c r="AM29">
        <f>IF(COUNTIFS(T_StockCount[Part Name],$A29,T_StockCount[WeekIndex],38)&gt;0,SUMIFS(T_StockCount[CountedQty],T_StockCount[Part Name],$A29,T_StockCount[WeekIndex],38),IF((('T_SelfStock'!AM33&lt;&gt;""))*(('T_TTAFStock'!AM33&lt;&gt;""))&gt;0,'T_SelfStock'!AM33+'T_TTAFStock'!AM33,AL29+'Grid_Incoming'!AM29-'Grid_Requirement'!AM29))</f>
        <v/>
      </c>
      <c r="AN29">
        <f>IF(COUNTIFS(T_StockCount[Part Name],$A29,T_StockCount[WeekIndex],39)&gt;0,SUMIFS(T_StockCount[CountedQty],T_StockCount[Part Name],$A29,T_StockCount[WeekIndex],39),IF((('T_SelfStock'!AN33&lt;&gt;""))*(('T_TTAFStock'!AN33&lt;&gt;""))&gt;0,'T_SelfStock'!AN33+'T_TTAFStock'!AN33,AM29+'Grid_Incoming'!AN29-'Grid_Requirement'!AN29))</f>
        <v/>
      </c>
      <c r="AO29">
        <f>IF(COUNTIFS(T_StockCount[Part Name],$A29,T_StockCount[WeekIndex],40)&gt;0,SUMIFS(T_StockCount[CountedQty],T_StockCount[Part Name],$A29,T_StockCount[WeekIndex],40),IF((('T_SelfStock'!AO33&lt;&gt;""))*(('T_TTAFStock'!AO33&lt;&gt;""))&gt;0,'T_SelfStock'!AO33+'T_TTAFStock'!AO33,AN29+'Grid_Incoming'!AO29-'Grid_Requirement'!AO29))</f>
        <v/>
      </c>
      <c r="AP29">
        <f>IF(COUNTIFS(T_StockCount[Part Name],$A29,T_StockCount[WeekIndex],41)&gt;0,SUMIFS(T_StockCount[CountedQty],T_StockCount[Part Name],$A29,T_StockCount[WeekIndex],41),IF((('T_SelfStock'!AP33&lt;&gt;""))*(('T_TTAFStock'!AP33&lt;&gt;""))&gt;0,'T_SelfStock'!AP33+'T_TTAFStock'!AP33,AO29+'Grid_Incoming'!AP29-'Grid_Requirement'!AP29))</f>
        <v/>
      </c>
      <c r="AQ29">
        <f>IF(COUNTIFS(T_StockCount[Part Name],$A29,T_StockCount[WeekIndex],42)&gt;0,SUMIFS(T_StockCount[CountedQty],T_StockCount[Part Name],$A29,T_StockCount[WeekIndex],42),IF((('T_SelfStock'!AQ33&lt;&gt;""))*(('T_TTAFStock'!AQ33&lt;&gt;""))&gt;0,'T_SelfStock'!AQ33+'T_TTAFStock'!AQ33,AP29+'Grid_Incoming'!AQ29-'Grid_Requirement'!AQ29))</f>
        <v/>
      </c>
      <c r="AR29">
        <f>IF(COUNTIFS(T_StockCount[Part Name],$A29,T_StockCount[WeekIndex],43)&gt;0,SUMIFS(T_StockCount[CountedQty],T_StockCount[Part Name],$A29,T_StockCount[WeekIndex],43),IF((('T_SelfStock'!AR33&lt;&gt;""))*(('T_TTAFStock'!AR33&lt;&gt;""))&gt;0,'T_SelfStock'!AR33+'T_TTAFStock'!AR33,AQ29+'Grid_Incoming'!AR29-'Grid_Requirement'!AR29))</f>
        <v/>
      </c>
      <c r="AS29">
        <f>IF(COUNTIFS(T_StockCount[Part Name],$A29,T_StockCount[WeekIndex],44)&gt;0,SUMIFS(T_StockCount[CountedQty],T_StockCount[Part Name],$A29,T_StockCount[WeekIndex],44),IF((('T_SelfStock'!AS33&lt;&gt;""))*(('T_TTAFStock'!AS33&lt;&gt;""))&gt;0,'T_SelfStock'!AS33+'T_TTAFStock'!AS33,AR29+'Grid_Incoming'!AS29-'Grid_Requirement'!AS29))</f>
        <v/>
      </c>
      <c r="AT29">
        <f>IF(COUNTIFS(T_StockCount[Part Name],$A29,T_StockCount[WeekIndex],45)&gt;0,SUMIFS(T_StockCount[CountedQty],T_StockCount[Part Name],$A29,T_StockCount[WeekIndex],45),IF((('T_SelfStock'!AT33&lt;&gt;""))*(('T_TTAFStock'!AT33&lt;&gt;""))&gt;0,'T_SelfStock'!AT33+'T_TTAFStock'!AT33,AS29+'Grid_Incoming'!AT29-'Grid_Requirement'!AT29))</f>
        <v/>
      </c>
      <c r="AU29">
        <f>IF(COUNTIFS(T_StockCount[Part Name],$A29,T_StockCount[WeekIndex],46)&gt;0,SUMIFS(T_StockCount[CountedQty],T_StockCount[Part Name],$A29,T_StockCount[WeekIndex],46),IF((('T_SelfStock'!AU33&lt;&gt;""))*(('T_TTAFStock'!AU33&lt;&gt;""))&gt;0,'T_SelfStock'!AU33+'T_TTAFStock'!AU33,AT29+'Grid_Incoming'!AU29-'Grid_Requirement'!AU29))</f>
        <v/>
      </c>
      <c r="AV29">
        <f>IF(COUNTIFS(T_StockCount[Part Name],$A29,T_StockCount[WeekIndex],47)&gt;0,SUMIFS(T_StockCount[CountedQty],T_StockCount[Part Name],$A29,T_StockCount[WeekIndex],47),IF((('T_SelfStock'!AV33&lt;&gt;""))*(('T_TTAFStock'!AV33&lt;&gt;""))&gt;0,'T_SelfStock'!AV33+'T_TTAFStock'!AV33,AU29+'Grid_Incoming'!AV29-'Grid_Requirement'!AV29))</f>
        <v/>
      </c>
      <c r="AW29">
        <f>IF(COUNTIFS(T_StockCount[Part Name],$A29,T_StockCount[WeekIndex],48)&gt;0,SUMIFS(T_StockCount[CountedQty],T_StockCount[Part Name],$A29,T_StockCount[WeekIndex],48),IF((('T_SelfStock'!AW33&lt;&gt;""))*(('T_TTAFStock'!AW33&lt;&gt;""))&gt;0,'T_SelfStock'!AW33+'T_TTAFStock'!AW33,AV29+'Grid_Incoming'!AW29-'Grid_Requirement'!AW29))</f>
        <v/>
      </c>
      <c r="AX29">
        <f>IF(COUNTIFS(T_StockCount[Part Name],$A29,T_StockCount[WeekIndex],49)&gt;0,SUMIFS(T_StockCount[CountedQty],T_StockCount[Part Name],$A29,T_StockCount[WeekIndex],49),IF((('T_SelfStock'!AX33&lt;&gt;""))*(('T_TTAFStock'!AX33&lt;&gt;""))&gt;0,'T_SelfStock'!AX33+'T_TTAFStock'!AX33,AW29+'Grid_Incoming'!AX29-'Grid_Requirement'!AX29))</f>
        <v/>
      </c>
      <c r="AY29">
        <f>IF(COUNTIFS(T_StockCount[Part Name],$A29,T_StockCount[WeekIndex],50)&gt;0,SUMIFS(T_StockCount[CountedQty],T_StockCount[Part Name],$A29,T_StockCount[WeekIndex],50),IF((('T_SelfStock'!AY33&lt;&gt;""))*(('T_TTAFStock'!AY33&lt;&gt;""))&gt;0,'T_SelfStock'!AY33+'T_TTAFStock'!AY33,AX29+'Grid_Incoming'!AY29-'Grid_Requirement'!AY29))</f>
        <v/>
      </c>
      <c r="AZ29">
        <f>IF(COUNTIFS(T_StockCount[Part Name],$A29,T_StockCount[WeekIndex],51)&gt;0,SUMIFS(T_StockCount[CountedQty],T_StockCount[Part Name],$A29,T_StockCount[WeekIndex],51),IF((('T_SelfStock'!AZ33&lt;&gt;""))*(('T_TTAFStock'!AZ33&lt;&gt;""))&gt;0,'T_SelfStock'!AZ33+'T_TTAFStock'!AZ33,AY29+'Grid_Incoming'!AZ29-'Grid_Requirement'!AZ29))</f>
        <v/>
      </c>
      <c r="BA29">
        <f>IF(COUNTIFS(T_StockCount[Part Name],$A29,T_StockCount[WeekIndex],52)&gt;0,SUMIFS(T_StockCount[CountedQty],T_StockCount[Part Name],$A29,T_StockCount[WeekIndex],52),IF((('T_SelfStock'!BA33&lt;&gt;""))*(('T_TTAFStock'!BA33&lt;&gt;""))&gt;0,'T_SelfStock'!BA33+'T_TTAFStock'!BA33,AZ29+'Grid_Incoming'!BA29-'Grid_Requirement'!BA29))</f>
        <v/>
      </c>
      <c r="BB29">
        <f>IF(COUNTIFS(T_StockCount[Part Name],$A29,T_StockCount[WeekIndex],53)&gt;0,SUMIFS(T_StockCount[CountedQty],T_StockCount[Part Name],$A29,T_StockCount[WeekIndex],53),IF((('T_SelfStock'!BB33&lt;&gt;""))*(('T_TTAFStock'!BB33&lt;&gt;""))&gt;0,'T_SelfStock'!BB33+'T_TTAFStock'!BB33,BA29+'Grid_Incoming'!BB29-'Grid_Requirement'!BB29))</f>
        <v/>
      </c>
      <c r="BC29">
        <f>IF(COUNTIFS(T_StockCount[Part Name],$A29,T_StockCount[WeekIndex],54)&gt;0,SUMIFS(T_StockCount[CountedQty],T_StockCount[Part Name],$A29,T_StockCount[WeekIndex],54),IF((('T_SelfStock'!BC33&lt;&gt;""))*(('T_TTAFStock'!BC33&lt;&gt;""))&gt;0,'T_SelfStock'!BC33+'T_TTAFStock'!BC33,BB29+'Grid_Incoming'!BC29-'Grid_Requirement'!BC29))</f>
        <v/>
      </c>
      <c r="BD29">
        <f>IF(COUNTIFS(T_StockCount[Part Name],$A29,T_StockCount[WeekIndex],55)&gt;0,SUMIFS(T_StockCount[CountedQty],T_StockCount[Part Name],$A29,T_StockCount[WeekIndex],55),IF((('T_SelfStock'!BD33&lt;&gt;""))*(('T_TTAFStock'!BD33&lt;&gt;""))&gt;0,'T_SelfStock'!BD33+'T_TTAFStock'!BD33,BC29+'Grid_Incoming'!BD29-'Grid_Requirement'!BD29))</f>
        <v/>
      </c>
      <c r="BE29">
        <f>IF(COUNTIFS(T_StockCount[Part Name],$A29,T_StockCount[WeekIndex],56)&gt;0,SUMIFS(T_StockCount[CountedQty],T_StockCount[Part Name],$A29,T_StockCount[WeekIndex],56),IF((('T_SelfStock'!BE33&lt;&gt;""))*(('T_TTAFStock'!BE33&lt;&gt;""))&gt;0,'T_SelfStock'!BE33+'T_TTAFStock'!BE33,BD29+'Grid_Incoming'!BE29-'Grid_Requirement'!BE29))</f>
        <v/>
      </c>
      <c r="BF29">
        <f>IF(COUNTIFS(T_StockCount[Part Name],$A29,T_StockCount[WeekIndex],57)&gt;0,SUMIFS(T_StockCount[CountedQty],T_StockCount[Part Name],$A29,T_StockCount[WeekIndex],57),IF((('T_SelfStock'!BF33&lt;&gt;""))*(('T_TTAFStock'!BF33&lt;&gt;""))&gt;0,'T_SelfStock'!BF33+'T_TTAFStock'!BF33,BE29+'Grid_Incoming'!BF29-'Grid_Requirement'!BF29))</f>
        <v/>
      </c>
      <c r="BG29">
        <f>IF(COUNTIFS(T_StockCount[Part Name],$A29,T_StockCount[WeekIndex],58)&gt;0,SUMIFS(T_StockCount[CountedQty],T_StockCount[Part Name],$A29,T_StockCount[WeekIndex],58),IF((('T_SelfStock'!BG33&lt;&gt;""))*(('T_TTAFStock'!BG33&lt;&gt;""))&gt;0,'T_SelfStock'!BG33+'T_TTAFStock'!BG33,BF29+'Grid_Incoming'!BG29-'Grid_Requirement'!BG29))</f>
        <v/>
      </c>
      <c r="BH29">
        <f>IF(COUNTIFS(T_StockCount[Part Name],$A29,T_StockCount[WeekIndex],59)&gt;0,SUMIFS(T_StockCount[CountedQty],T_StockCount[Part Name],$A29,T_StockCount[WeekIndex],59),IF((('T_SelfStock'!BH33&lt;&gt;""))*(('T_TTAFStock'!BH33&lt;&gt;""))&gt;0,'T_SelfStock'!BH33+'T_TTAFStock'!BH33,BG29+'Grid_Incoming'!BH29-'Grid_Requirement'!BH29))</f>
        <v/>
      </c>
      <c r="BI29">
        <f>IF(COUNTIFS(T_StockCount[Part Name],$A29,T_StockCount[WeekIndex],60)&gt;0,SUMIFS(T_StockCount[CountedQty],T_StockCount[Part Name],$A29,T_StockCount[WeekIndex],60),IF((('T_SelfStock'!BI33&lt;&gt;""))*(('T_TTAFStock'!BI33&lt;&gt;""))&gt;0,'T_SelfStock'!BI33+'T_TTAFStock'!BI33,BH29+'Grid_Incoming'!BI29-'Grid_Requirement'!BI29))</f>
        <v/>
      </c>
      <c r="BJ29">
        <f>IF(COUNTIFS(T_StockCount[Part Name],$A29,T_StockCount[WeekIndex],61)&gt;0,SUMIFS(T_StockCount[CountedQty],T_StockCount[Part Name],$A29,T_StockCount[WeekIndex],61),IF((('T_SelfStock'!BJ33&lt;&gt;""))*(('T_TTAFStock'!BJ33&lt;&gt;""))&gt;0,'T_SelfStock'!BJ33+'T_TTAFStock'!BJ33,BI29+'Grid_Incoming'!BJ29-'Grid_Requirement'!BJ29))</f>
        <v/>
      </c>
      <c r="BK29">
        <f>IF(COUNTIFS(T_StockCount[Part Name],$A29,T_StockCount[WeekIndex],62)&gt;0,SUMIFS(T_StockCount[CountedQty],T_StockCount[Part Name],$A29,T_StockCount[WeekIndex],62),IF((('T_SelfStock'!BK33&lt;&gt;""))*(('T_TTAFStock'!BK33&lt;&gt;""))&gt;0,'T_SelfStock'!BK33+'T_TTAFStock'!BK33,BJ29+'Grid_Incoming'!BK29-'Grid_Requirement'!BK29))</f>
        <v/>
      </c>
      <c r="BL29">
        <f>IF(COUNTIFS(T_StockCount[Part Name],$A29,T_StockCount[WeekIndex],63)&gt;0,SUMIFS(T_StockCount[CountedQty],T_StockCount[Part Name],$A29,T_StockCount[WeekIndex],63),IF((('T_SelfStock'!BL33&lt;&gt;""))*(('T_TTAFStock'!BL33&lt;&gt;""))&gt;0,'T_SelfStock'!BL33+'T_TTAFStock'!BL33,BK29+'Grid_Incoming'!BL29-'Grid_Requirement'!BL29))</f>
        <v/>
      </c>
      <c r="BM29">
        <f>IF(COUNTIFS(T_StockCount[Part Name],$A29,T_StockCount[WeekIndex],64)&gt;0,SUMIFS(T_StockCount[CountedQty],T_StockCount[Part Name],$A29,T_StockCount[WeekIndex],64),IF((('T_SelfStock'!BM33&lt;&gt;""))*(('T_TTAFStock'!BM33&lt;&gt;""))&gt;0,'T_SelfStock'!BM33+'T_TTAFStock'!BM33,BL29+'Grid_Incoming'!BM29-'Grid_Requirement'!BM29))</f>
        <v/>
      </c>
      <c r="BN29">
        <f>IF(COUNTIFS(T_StockCount[Part Name],$A29,T_StockCount[WeekIndex],65)&gt;0,SUMIFS(T_StockCount[CountedQty],T_StockCount[Part Name],$A29,T_StockCount[WeekIndex],65),IF((('T_SelfStock'!BN33&lt;&gt;""))*(('T_TTAFStock'!BN33&lt;&gt;""))&gt;0,'T_SelfStock'!BN33+'T_TTAFStock'!BN33,BM29+'Grid_Incoming'!BN29-'Grid_Requirement'!BN29))</f>
        <v/>
      </c>
      <c r="BO29">
        <f>IF(COUNTIFS(T_StockCount[Part Name],$A29,T_StockCount[WeekIndex],66)&gt;0,SUMIFS(T_StockCount[CountedQty],T_StockCount[Part Name],$A29,T_StockCount[WeekIndex],66),IF((('T_SelfStock'!BO33&lt;&gt;""))*(('T_TTAFStock'!BO33&lt;&gt;""))&gt;0,'T_SelfStock'!BO33+'T_TTAFStock'!BO33,BN29+'Grid_Incoming'!BO29-'Grid_Requirement'!BO29))</f>
        <v/>
      </c>
      <c r="BP29">
        <f>IF(COUNTIFS(T_StockCount[Part Name],$A29,T_StockCount[WeekIndex],67)&gt;0,SUMIFS(T_StockCount[CountedQty],T_StockCount[Part Name],$A29,T_StockCount[WeekIndex],67),IF((('T_SelfStock'!BP33&lt;&gt;""))*(('T_TTAFStock'!BP33&lt;&gt;""))&gt;0,'T_SelfStock'!BP33+'T_TTAFStock'!BP33,BO29+'Grid_Incoming'!BP29-'Grid_Requirement'!BP29))</f>
        <v/>
      </c>
      <c r="BQ29">
        <f>IF(COUNTIFS(T_StockCount[Part Name],$A29,T_StockCount[WeekIndex],68)&gt;0,SUMIFS(T_StockCount[CountedQty],T_StockCount[Part Name],$A29,T_StockCount[WeekIndex],68),IF((('T_SelfStock'!BQ33&lt;&gt;""))*(('T_TTAFStock'!BQ33&lt;&gt;""))&gt;0,'T_SelfStock'!BQ33+'T_TTAFStock'!BQ33,BP29+'Grid_Incoming'!BQ29-'Grid_Requirement'!BQ29))</f>
        <v/>
      </c>
      <c r="BR29">
        <f>IF(COUNTIFS(T_StockCount[Part Name],$A29,T_StockCount[WeekIndex],69)&gt;0,SUMIFS(T_StockCount[CountedQty],T_StockCount[Part Name],$A29,T_StockCount[WeekIndex],69),IF((('T_SelfStock'!BR33&lt;&gt;""))*(('T_TTAFStock'!BR33&lt;&gt;""))&gt;0,'T_SelfStock'!BR33+'T_TTAFStock'!BR33,BQ29+'Grid_Incoming'!BR29-'Grid_Requirement'!BR29))</f>
        <v/>
      </c>
      <c r="BS29">
        <f>IF(COUNTIFS(T_StockCount[Part Name],$A29,T_StockCount[WeekIndex],70)&gt;0,SUMIFS(T_StockCount[CountedQty],T_StockCount[Part Name],$A29,T_StockCount[WeekIndex],70),IF((('T_SelfStock'!BS33&lt;&gt;""))*(('T_TTAFStock'!BS33&lt;&gt;""))&gt;0,'T_SelfStock'!BS33+'T_TTAFStock'!BS33,BR29+'Grid_Incoming'!BS29-'Grid_Requirement'!BS29))</f>
        <v/>
      </c>
      <c r="BT29">
        <f>IF(COUNTIFS(T_StockCount[Part Name],$A29,T_StockCount[WeekIndex],71)&gt;0,SUMIFS(T_StockCount[CountedQty],T_StockCount[Part Name],$A29,T_StockCount[WeekIndex],71),IF((('T_SelfStock'!BT33&lt;&gt;""))*(('T_TTAFStock'!BT33&lt;&gt;""))&gt;0,'T_SelfStock'!BT33+'T_TTAFStock'!BT33,BS29+'Grid_Incoming'!BT29-'Grid_Requirement'!BT29))</f>
        <v/>
      </c>
      <c r="BU29">
        <f>IF(COUNTIFS(T_StockCount[Part Name],$A29,T_StockCount[WeekIndex],72)&gt;0,SUMIFS(T_StockCount[CountedQty],T_StockCount[Part Name],$A29,T_StockCount[WeekIndex],72),IF((('T_SelfStock'!BU33&lt;&gt;""))*(('T_TTAFStock'!BU33&lt;&gt;""))&gt;0,'T_SelfStock'!BU33+'T_TTAFStock'!BU33,BT29+'Grid_Incoming'!BU29-'Grid_Requirement'!BU29))</f>
        <v/>
      </c>
      <c r="BV29">
        <f>IF(COUNTIFS(T_StockCount[Part Name],$A29,T_StockCount[WeekIndex],73)&gt;0,SUMIFS(T_StockCount[CountedQty],T_StockCount[Part Name],$A29,T_StockCount[WeekIndex],73),IF((('T_SelfStock'!BV33&lt;&gt;""))*(('T_TTAFStock'!BV33&lt;&gt;""))&gt;0,'T_SelfStock'!BV33+'T_TTAFStock'!BV33,BU29+'Grid_Incoming'!BV29-'Grid_Requirement'!BV29))</f>
        <v/>
      </c>
      <c r="BW29">
        <f>IF(COUNTIFS(T_StockCount[Part Name],$A29,T_StockCount[WeekIndex],74)&gt;0,SUMIFS(T_StockCount[CountedQty],T_StockCount[Part Name],$A29,T_StockCount[WeekIndex],74),IF((('T_SelfStock'!BW33&lt;&gt;""))*(('T_TTAFStock'!BW33&lt;&gt;""))&gt;0,'T_SelfStock'!BW33+'T_TTAFStock'!BW33,BV29+'Grid_Incoming'!BW29-'Grid_Requirement'!BW29))</f>
        <v/>
      </c>
      <c r="BX29">
        <f>IF(COUNTIFS(T_StockCount[Part Name],$A29,T_StockCount[WeekIndex],75)&gt;0,SUMIFS(T_StockCount[CountedQty],T_StockCount[Part Name],$A29,T_StockCount[WeekIndex],75),IF((('T_SelfStock'!BX33&lt;&gt;""))*(('T_TTAFStock'!BX33&lt;&gt;""))&gt;0,'T_SelfStock'!BX33+'T_TTAFStock'!BX33,BW29+'Grid_Incoming'!BX29-'Grid_Requirement'!BX29))</f>
        <v/>
      </c>
      <c r="BY29">
        <f>IF(COUNTIFS(T_StockCount[Part Name],$A29,T_StockCount[WeekIndex],76)&gt;0,SUMIFS(T_StockCount[CountedQty],T_StockCount[Part Name],$A29,T_StockCount[WeekIndex],76),IF((('T_SelfStock'!BY33&lt;&gt;""))*(('T_TTAFStock'!BY33&lt;&gt;""))&gt;0,'T_SelfStock'!BY33+'T_TTAFStock'!BY33,BX29+'Grid_Incoming'!BY29-'Grid_Requirement'!BY29))</f>
        <v/>
      </c>
      <c r="BZ29">
        <f>IF(COUNTIFS(T_StockCount[Part Name],$A29,T_StockCount[WeekIndex],77)&gt;0,SUMIFS(T_StockCount[CountedQty],T_StockCount[Part Name],$A29,T_StockCount[WeekIndex],77),IF((('T_SelfStock'!BZ33&lt;&gt;""))*(('T_TTAFStock'!BZ33&lt;&gt;""))&gt;0,'T_SelfStock'!BZ33+'T_TTAFStock'!BZ33,BY29+'Grid_Incoming'!BZ29-'Grid_Requirement'!BZ29))</f>
        <v/>
      </c>
      <c r="CA29">
        <f>IF(COUNTIFS(T_StockCount[Part Name],$A29,T_StockCount[WeekIndex],78)&gt;0,SUMIFS(T_StockCount[CountedQty],T_StockCount[Part Name],$A29,T_StockCount[WeekIndex],78),IF((('T_SelfStock'!CA33&lt;&gt;""))*(('T_TTAFStock'!CA33&lt;&gt;""))&gt;0,'T_SelfStock'!CA33+'T_TTAFStock'!CA33,BZ29+'Grid_Incoming'!CA29-'Grid_Requirement'!CA29))</f>
        <v/>
      </c>
      <c r="CB29">
        <f>IF(COUNTIFS(T_StockCount[Part Name],$A29,T_StockCount[WeekIndex],79)&gt;0,SUMIFS(T_StockCount[CountedQty],T_StockCount[Part Name],$A29,T_StockCount[WeekIndex],79),IF((('T_SelfStock'!CB33&lt;&gt;""))*(('T_TTAFStock'!CB33&lt;&gt;""))&gt;0,'T_SelfStock'!CB33+'T_TTAFStock'!CB33,CA29+'Grid_Incoming'!CB29-'Grid_Requirement'!CB29))</f>
        <v/>
      </c>
      <c r="CC29">
        <f>IF(COUNTIFS(T_StockCount[Part Name],$A29,T_StockCount[WeekIndex],80)&gt;0,SUMIFS(T_StockCount[CountedQty],T_StockCount[Part Name],$A29,T_StockCount[WeekIndex],80),IF((('T_SelfStock'!CC33&lt;&gt;""))*(('T_TTAFStock'!CC33&lt;&gt;""))&gt;0,'T_SelfStock'!CC33+'T_TTAFStock'!CC33,CB29+'Grid_Incoming'!CC29-'Grid_Requirement'!CC29))</f>
        <v/>
      </c>
      <c r="CD29">
        <f>IF(COUNTIFS(T_StockCount[Part Name],$A29,T_StockCount[WeekIndex],81)&gt;0,SUMIFS(T_StockCount[CountedQty],T_StockCount[Part Name],$A29,T_StockCount[WeekIndex],81),IF((('T_SelfStock'!CD33&lt;&gt;""))*(('T_TTAFStock'!CD33&lt;&gt;""))&gt;0,'T_SelfStock'!CD33+'T_TTAFStock'!CD33,CC29+'Grid_Incoming'!CD29-'Grid_Requirement'!CD29))</f>
        <v/>
      </c>
      <c r="CE29">
        <f>IF(COUNTIFS(T_StockCount[Part Name],$A29,T_StockCount[WeekIndex],82)&gt;0,SUMIFS(T_StockCount[CountedQty],T_StockCount[Part Name],$A29,T_StockCount[WeekIndex],82),IF((('T_SelfStock'!CE33&lt;&gt;""))*(('T_TTAFStock'!CE33&lt;&gt;""))&gt;0,'T_SelfStock'!CE33+'T_TTAFStock'!CE33,CD29+'Grid_Incoming'!CE29-'Grid_Requirement'!CE29))</f>
        <v/>
      </c>
      <c r="CF29">
        <f>IF(COUNTIFS(T_StockCount[Part Name],$A29,T_StockCount[WeekIndex],83)&gt;0,SUMIFS(T_StockCount[CountedQty],T_StockCount[Part Name],$A29,T_StockCount[WeekIndex],83),IF((('T_SelfStock'!CF33&lt;&gt;""))*(('T_TTAFStock'!CF33&lt;&gt;""))&gt;0,'T_SelfStock'!CF33+'T_TTAFStock'!CF33,CE29+'Grid_Incoming'!CF29-'Grid_Requirement'!CF29))</f>
        <v/>
      </c>
      <c r="CG29">
        <f>IF(COUNTIFS(T_StockCount[Part Name],$A29,T_StockCount[WeekIndex],84)&gt;0,SUMIFS(T_StockCount[CountedQty],T_StockCount[Part Name],$A29,T_StockCount[WeekIndex],84),IF((('T_SelfStock'!CG33&lt;&gt;""))*(('T_TTAFStock'!CG33&lt;&gt;""))&gt;0,'T_SelfStock'!CG33+'T_TTAFStock'!CG33,CF29+'Grid_Incoming'!CG29-'Grid_Requirement'!CG29))</f>
        <v/>
      </c>
      <c r="CH29">
        <f>IF(COUNTIFS(T_StockCount[Part Name],$A29,T_StockCount[WeekIndex],85)&gt;0,SUMIFS(T_StockCount[CountedQty],T_StockCount[Part Name],$A29,T_StockCount[WeekIndex],85),IF((('T_SelfStock'!CH33&lt;&gt;""))*(('T_TTAFStock'!CH33&lt;&gt;""))&gt;0,'T_SelfStock'!CH33+'T_TTAFStock'!CH33,CG29+'Grid_Incoming'!CH29-'Grid_Requirement'!CH29))</f>
        <v/>
      </c>
      <c r="CI29">
        <f>IF(COUNTIFS(T_StockCount[Part Name],$A29,T_StockCount[WeekIndex],86)&gt;0,SUMIFS(T_StockCount[CountedQty],T_StockCount[Part Name],$A29,T_StockCount[WeekIndex],86),IF((('T_SelfStock'!CI33&lt;&gt;""))*(('T_TTAFStock'!CI33&lt;&gt;""))&gt;0,'T_SelfStock'!CI33+'T_TTAFStock'!CI33,CH29+'Grid_Incoming'!CI29-'Grid_Requirement'!CI29))</f>
        <v/>
      </c>
      <c r="CJ29">
        <f>IF(COUNTIFS(T_StockCount[Part Name],$A29,T_StockCount[WeekIndex],87)&gt;0,SUMIFS(T_StockCount[CountedQty],T_StockCount[Part Name],$A29,T_StockCount[WeekIndex],87),IF((('T_SelfStock'!CJ33&lt;&gt;""))*(('T_TTAFStock'!CJ33&lt;&gt;""))&gt;0,'T_SelfStock'!CJ33+'T_TTAFStock'!CJ33,CI29+'Grid_Incoming'!CJ29-'Grid_Requirement'!CJ29))</f>
        <v/>
      </c>
      <c r="CK29">
        <f>IF(COUNTIFS(T_StockCount[Part Name],$A29,T_StockCount[WeekIndex],88)&gt;0,SUMIFS(T_StockCount[CountedQty],T_StockCount[Part Name],$A29,T_StockCount[WeekIndex],88),IF((('T_SelfStock'!CK33&lt;&gt;""))*(('T_TTAFStock'!CK33&lt;&gt;""))&gt;0,'T_SelfStock'!CK33+'T_TTAFStock'!CK33,CJ29+'Grid_Incoming'!CK29-'Grid_Requirement'!CK29))</f>
        <v/>
      </c>
      <c r="CL29">
        <f>IF(COUNTIFS(T_StockCount[Part Name],$A29,T_StockCount[WeekIndex],89)&gt;0,SUMIFS(T_StockCount[CountedQty],T_StockCount[Part Name],$A29,T_StockCount[WeekIndex],89),IF((('T_SelfStock'!CL33&lt;&gt;""))*(('T_TTAFStock'!CL33&lt;&gt;""))&gt;0,'T_SelfStock'!CL33+'T_TTAFStock'!CL33,CK29+'Grid_Incoming'!CL29-'Grid_Requirement'!CL29))</f>
        <v/>
      </c>
      <c r="CM29">
        <f>IF(COUNTIFS(T_StockCount[Part Name],$A29,T_StockCount[WeekIndex],90)&gt;0,SUMIFS(T_StockCount[CountedQty],T_StockCount[Part Name],$A29,T_StockCount[WeekIndex],90),IF((('T_SelfStock'!CM33&lt;&gt;""))*(('T_TTAFStock'!CM33&lt;&gt;""))&gt;0,'T_SelfStock'!CM33+'T_TTAFStock'!CM33,CL29+'Grid_Incoming'!CM29-'Grid_Requirement'!CM29))</f>
        <v/>
      </c>
      <c r="CN29">
        <f>IF(COUNTIFS(T_StockCount[Part Name],$A29,T_StockCount[WeekIndex],91)&gt;0,SUMIFS(T_StockCount[CountedQty],T_StockCount[Part Name],$A29,T_StockCount[WeekIndex],91),IF((('T_SelfStock'!CN33&lt;&gt;""))*(('T_TTAFStock'!CN33&lt;&gt;""))&gt;0,'T_SelfStock'!CN33+'T_TTAFStock'!CN33,CM29+'Grid_Incoming'!CN29-'Grid_Requirement'!CN29))</f>
        <v/>
      </c>
      <c r="CO29">
        <f>IF(COUNTIFS(T_StockCount[Part Name],$A29,T_StockCount[WeekIndex],92)&gt;0,SUMIFS(T_StockCount[CountedQty],T_StockCount[Part Name],$A29,T_StockCount[WeekIndex],92),IF((('T_SelfStock'!CO33&lt;&gt;""))*(('T_TTAFStock'!CO33&lt;&gt;""))&gt;0,'T_SelfStock'!CO33+'T_TTAFStock'!CO33,CN29+'Grid_Incoming'!CO29-'Grid_Requirement'!CO29))</f>
        <v/>
      </c>
      <c r="CP29">
        <f>IF(COUNTIFS(T_StockCount[Part Name],$A29,T_StockCount[WeekIndex],93)&gt;0,SUMIFS(T_StockCount[CountedQty],T_StockCount[Part Name],$A29,T_StockCount[WeekIndex],93),IF((('T_SelfStock'!CP33&lt;&gt;""))*(('T_TTAFStock'!CP33&lt;&gt;""))&gt;0,'T_SelfStock'!CP33+'T_TTAFStock'!CP33,CO29+'Grid_Incoming'!CP29-'Grid_Requirement'!CP29))</f>
        <v/>
      </c>
      <c r="CQ29">
        <f>IF(COUNTIFS(T_StockCount[Part Name],$A29,T_StockCount[WeekIndex],94)&gt;0,SUMIFS(T_StockCount[CountedQty],T_StockCount[Part Name],$A29,T_StockCount[WeekIndex],94),IF((('T_SelfStock'!CQ33&lt;&gt;""))*(('T_TTAFStock'!CQ33&lt;&gt;""))&gt;0,'T_SelfStock'!CQ33+'T_TTAFStock'!CQ33,CP29+'Grid_Incoming'!CQ29-'Grid_Requirement'!CQ29))</f>
        <v/>
      </c>
      <c r="CR29">
        <f>IF(COUNTIFS(T_StockCount[Part Name],$A29,T_StockCount[WeekIndex],95)&gt;0,SUMIFS(T_StockCount[CountedQty],T_StockCount[Part Name],$A29,T_StockCount[WeekIndex],95),IF((('T_SelfStock'!CR33&lt;&gt;""))*(('T_TTAFStock'!CR33&lt;&gt;""))&gt;0,'T_SelfStock'!CR33+'T_TTAFStock'!CR33,CQ29+'Grid_Incoming'!CR29-'Grid_Requirement'!CR29))</f>
        <v/>
      </c>
      <c r="CS29">
        <f>IF(COUNTIFS(T_StockCount[Part Name],$A29,T_StockCount[WeekIndex],96)&gt;0,SUMIFS(T_StockCount[CountedQty],T_StockCount[Part Name],$A29,T_StockCount[WeekIndex],96),IF((('T_SelfStock'!CS33&lt;&gt;""))*(('T_TTAFStock'!CS33&lt;&gt;""))&gt;0,'T_SelfStock'!CS33+'T_TTAFStock'!CS33,CR29+'Grid_Incoming'!CS29-'Grid_Requirement'!CS29))</f>
        <v/>
      </c>
      <c r="CT29">
        <f>IF(COUNTIFS(T_StockCount[Part Name],$A29,T_StockCount[WeekIndex],97)&gt;0,SUMIFS(T_StockCount[CountedQty],T_StockCount[Part Name],$A29,T_StockCount[WeekIndex],97),IF((('T_SelfStock'!CT33&lt;&gt;""))*(('T_TTAFStock'!CT33&lt;&gt;""))&gt;0,'T_SelfStock'!CT33+'T_TTAFStock'!CT33,CS29+'Grid_Incoming'!CT29-'Grid_Requirement'!CT29))</f>
        <v/>
      </c>
      <c r="CU29">
        <f>IF(COUNTIFS(T_StockCount[Part Name],$A29,T_StockCount[WeekIndex],98)&gt;0,SUMIFS(T_StockCount[CountedQty],T_StockCount[Part Name],$A29,T_StockCount[WeekIndex],98),IF((('T_SelfStock'!CU33&lt;&gt;""))*(('T_TTAFStock'!CU33&lt;&gt;""))&gt;0,'T_SelfStock'!CU33+'T_TTAFStock'!CU33,CT29+'Grid_Incoming'!CU29-'Grid_Requirement'!CU29))</f>
        <v/>
      </c>
      <c r="CV29">
        <f>IF(COUNTIFS(T_StockCount[Part Name],$A29,T_StockCount[WeekIndex],99)&gt;0,SUMIFS(T_StockCount[CountedQty],T_StockCount[Part Name],$A29,T_StockCount[WeekIndex],99),IF((('T_SelfStock'!CV33&lt;&gt;""))*(('T_TTAFStock'!CV33&lt;&gt;""))&gt;0,'T_SelfStock'!CV33+'T_TTAFStock'!CV33,CU29+'Grid_Incoming'!CV29-'Grid_Requirement'!CV29))</f>
        <v/>
      </c>
      <c r="CW29">
        <f>IF(COUNTIFS(T_StockCount[Part Name],$A29,T_StockCount[WeekIndex],100)&gt;0,SUMIFS(T_StockCount[CountedQty],T_StockCount[Part Name],$A29,T_StockCount[WeekIndex],100),IF((('T_SelfStock'!CW33&lt;&gt;""))*(('T_TTAFStock'!CW33&lt;&gt;""))&gt;0,'T_SelfStock'!CW33+'T_TTAFStock'!CW33,CV29+'Grid_Incoming'!CW29-'Grid_Requirement'!CW29))</f>
        <v/>
      </c>
      <c r="CX29">
        <f>IF(COUNTIFS(T_StockCount[Part Name],$A29,T_StockCount[WeekIndex],101)&gt;0,SUMIFS(T_StockCount[CountedQty],T_StockCount[Part Name],$A29,T_StockCount[WeekIndex],101),IF((('T_SelfStock'!CX33&lt;&gt;""))*(('T_TTAFStock'!CX33&lt;&gt;""))&gt;0,'T_SelfStock'!CX33+'T_TTAFStock'!CX33,CW29+'Grid_Incoming'!CX29-'Grid_Requirement'!CX29))</f>
        <v/>
      </c>
      <c r="CY29">
        <f>IF(COUNTIFS(T_StockCount[Part Name],$A29,T_StockCount[WeekIndex],102)&gt;0,SUMIFS(T_StockCount[CountedQty],T_StockCount[Part Name],$A29,T_StockCount[WeekIndex],102),IF((('T_SelfStock'!CY33&lt;&gt;""))*(('T_TTAFStock'!CY33&lt;&gt;""))&gt;0,'T_SelfStock'!CY33+'T_TTAFStock'!CY33,CX29+'Grid_Incoming'!CY29-'Grid_Requirement'!CY29))</f>
        <v/>
      </c>
      <c r="CZ29">
        <f>IF(COUNTIFS(T_StockCount[Part Name],$A29,T_StockCount[WeekIndex],103)&gt;0,SUMIFS(T_StockCount[CountedQty],T_StockCount[Part Name],$A29,T_StockCount[WeekIndex],103),IF((('T_SelfStock'!CZ33&lt;&gt;""))*(('T_TTAFStock'!CZ33&lt;&gt;""))&gt;0,'T_SelfStock'!CZ33+'T_TTAFStock'!CZ33,CY29+'Grid_Incoming'!CZ29-'Grid_Requirement'!CZ29))</f>
        <v/>
      </c>
      <c r="DA29">
        <f>IF(COUNTIFS(T_StockCount[Part Name],$A29,T_StockCount[WeekIndex],104)&gt;0,SUMIFS(T_StockCount[CountedQty],T_StockCount[Part Name],$A29,T_StockCount[WeekIndex],104),IF((('T_SelfStock'!DA33&lt;&gt;""))*(('T_TTAFStock'!DA33&lt;&gt;""))&gt;0,'T_SelfStock'!DA33+'T_TTAFStock'!DA33,CZ29+'Grid_Incoming'!DA29-'Grid_Requirement'!DA29))</f>
        <v/>
      </c>
    </row>
    <row r="30">
      <c r="A30" t="inlineStr">
        <is>
          <t>CHEM-1550</t>
        </is>
      </c>
      <c r="B30">
        <f>IF(COUNTIFS(T_StockCount[Part Name],$A30,T_StockCount[WeekIndex],1)&gt;0,SUMIFS(T_StockCount[CountedQty],T_StockCount[Part Name],$A30,T_StockCount[WeekIndex],1),IF((('T_SelfStock'!B34&lt;&gt;""))*(('T_TTAFStock'!B34&lt;&gt;""))&gt;0,'T_SelfStock'!B34+'T_TTAFStock'!B34,IFERROR(INDEX(T_OpeningStock[Opening_Qty_要入力],MATCH($A30,T_OpeningStock[Part Name],0)),0)+'Grid_Incoming'!B30-'Grid_Requirement'!B30))</f>
        <v/>
      </c>
      <c r="C30">
        <f>IF(COUNTIFS(T_StockCount[Part Name],$A30,T_StockCount[WeekIndex],2)&gt;0,SUMIFS(T_StockCount[CountedQty],T_StockCount[Part Name],$A30,T_StockCount[WeekIndex],2),IF((('T_SelfStock'!C34&lt;&gt;""))*(('T_TTAFStock'!C34&lt;&gt;""))&gt;0,'T_SelfStock'!C34+'T_TTAFStock'!C34,B30+'Grid_Incoming'!C30-'Grid_Requirement'!C30))</f>
        <v/>
      </c>
      <c r="D30">
        <f>IF(COUNTIFS(T_StockCount[Part Name],$A30,T_StockCount[WeekIndex],3)&gt;0,SUMIFS(T_StockCount[CountedQty],T_StockCount[Part Name],$A30,T_StockCount[WeekIndex],3),IF((('T_SelfStock'!D34&lt;&gt;""))*(('T_TTAFStock'!D34&lt;&gt;""))&gt;0,'T_SelfStock'!D34+'T_TTAFStock'!D34,C30+'Grid_Incoming'!D30-'Grid_Requirement'!D30))</f>
        <v/>
      </c>
      <c r="E30">
        <f>IF(COUNTIFS(T_StockCount[Part Name],$A30,T_StockCount[WeekIndex],4)&gt;0,SUMIFS(T_StockCount[CountedQty],T_StockCount[Part Name],$A30,T_StockCount[WeekIndex],4),IF((('T_SelfStock'!E34&lt;&gt;""))*(('T_TTAFStock'!E34&lt;&gt;""))&gt;0,'T_SelfStock'!E34+'T_TTAFStock'!E34,D30+'Grid_Incoming'!E30-'Grid_Requirement'!E30))</f>
        <v/>
      </c>
      <c r="F30">
        <f>IF(COUNTIFS(T_StockCount[Part Name],$A30,T_StockCount[WeekIndex],5)&gt;0,SUMIFS(T_StockCount[CountedQty],T_StockCount[Part Name],$A30,T_StockCount[WeekIndex],5),IF((('T_SelfStock'!F34&lt;&gt;""))*(('T_TTAFStock'!F34&lt;&gt;""))&gt;0,'T_SelfStock'!F34+'T_TTAFStock'!F34,E30+'Grid_Incoming'!F30-'Grid_Requirement'!F30))</f>
        <v/>
      </c>
      <c r="G30">
        <f>IF(COUNTIFS(T_StockCount[Part Name],$A30,T_StockCount[WeekIndex],6)&gt;0,SUMIFS(T_StockCount[CountedQty],T_StockCount[Part Name],$A30,T_StockCount[WeekIndex],6),IF((('T_SelfStock'!G34&lt;&gt;""))*(('T_TTAFStock'!G34&lt;&gt;""))&gt;0,'T_SelfStock'!G34+'T_TTAFStock'!G34,F30+'Grid_Incoming'!G30-'Grid_Requirement'!G30))</f>
        <v/>
      </c>
      <c r="H30">
        <f>IF(COUNTIFS(T_StockCount[Part Name],$A30,T_StockCount[WeekIndex],7)&gt;0,SUMIFS(T_StockCount[CountedQty],T_StockCount[Part Name],$A30,T_StockCount[WeekIndex],7),IF((('T_SelfStock'!H34&lt;&gt;""))*(('T_TTAFStock'!H34&lt;&gt;""))&gt;0,'T_SelfStock'!H34+'T_TTAFStock'!H34,G30+'Grid_Incoming'!H30-'Grid_Requirement'!H30))</f>
        <v/>
      </c>
      <c r="I30">
        <f>IF(COUNTIFS(T_StockCount[Part Name],$A30,T_StockCount[WeekIndex],8)&gt;0,SUMIFS(T_StockCount[CountedQty],T_StockCount[Part Name],$A30,T_StockCount[WeekIndex],8),IF((('T_SelfStock'!I34&lt;&gt;""))*(('T_TTAFStock'!I34&lt;&gt;""))&gt;0,'T_SelfStock'!I34+'T_TTAFStock'!I34,H30+'Grid_Incoming'!I30-'Grid_Requirement'!I30))</f>
        <v/>
      </c>
      <c r="J30">
        <f>IF(COUNTIFS(T_StockCount[Part Name],$A30,T_StockCount[WeekIndex],9)&gt;0,SUMIFS(T_StockCount[CountedQty],T_StockCount[Part Name],$A30,T_StockCount[WeekIndex],9),IF((('T_SelfStock'!J34&lt;&gt;""))*(('T_TTAFStock'!J34&lt;&gt;""))&gt;0,'T_SelfStock'!J34+'T_TTAFStock'!J34,I30+'Grid_Incoming'!J30-'Grid_Requirement'!J30))</f>
        <v/>
      </c>
      <c r="K30">
        <f>IF(COUNTIFS(T_StockCount[Part Name],$A30,T_StockCount[WeekIndex],10)&gt;0,SUMIFS(T_StockCount[CountedQty],T_StockCount[Part Name],$A30,T_StockCount[WeekIndex],10),IF((('T_SelfStock'!K34&lt;&gt;""))*(('T_TTAFStock'!K34&lt;&gt;""))&gt;0,'T_SelfStock'!K34+'T_TTAFStock'!K34,J30+'Grid_Incoming'!K30-'Grid_Requirement'!K30))</f>
        <v/>
      </c>
      <c r="L30">
        <f>IF(COUNTIFS(T_StockCount[Part Name],$A30,T_StockCount[WeekIndex],11)&gt;0,SUMIFS(T_StockCount[CountedQty],T_StockCount[Part Name],$A30,T_StockCount[WeekIndex],11),IF((('T_SelfStock'!L34&lt;&gt;""))*(('T_TTAFStock'!L34&lt;&gt;""))&gt;0,'T_SelfStock'!L34+'T_TTAFStock'!L34,K30+'Grid_Incoming'!L30-'Grid_Requirement'!L30))</f>
        <v/>
      </c>
      <c r="M30">
        <f>IF(COUNTIFS(T_StockCount[Part Name],$A30,T_StockCount[WeekIndex],12)&gt;0,SUMIFS(T_StockCount[CountedQty],T_StockCount[Part Name],$A30,T_StockCount[WeekIndex],12),IF((('T_SelfStock'!M34&lt;&gt;""))*(('T_TTAFStock'!M34&lt;&gt;""))&gt;0,'T_SelfStock'!M34+'T_TTAFStock'!M34,L30+'Grid_Incoming'!M30-'Grid_Requirement'!M30))</f>
        <v/>
      </c>
      <c r="N30">
        <f>IF(COUNTIFS(T_StockCount[Part Name],$A30,T_StockCount[WeekIndex],13)&gt;0,SUMIFS(T_StockCount[CountedQty],T_StockCount[Part Name],$A30,T_StockCount[WeekIndex],13),IF((('T_SelfStock'!N34&lt;&gt;""))*(('T_TTAFStock'!N34&lt;&gt;""))&gt;0,'T_SelfStock'!N34+'T_TTAFStock'!N34,M30+'Grid_Incoming'!N30-'Grid_Requirement'!N30))</f>
        <v/>
      </c>
      <c r="O30">
        <f>IF(COUNTIFS(T_StockCount[Part Name],$A30,T_StockCount[WeekIndex],14)&gt;0,SUMIFS(T_StockCount[CountedQty],T_StockCount[Part Name],$A30,T_StockCount[WeekIndex],14),IF((('T_SelfStock'!O34&lt;&gt;""))*(('T_TTAFStock'!O34&lt;&gt;""))&gt;0,'T_SelfStock'!O34+'T_TTAFStock'!O34,N30+'Grid_Incoming'!O30-'Grid_Requirement'!O30))</f>
        <v/>
      </c>
      <c r="P30">
        <f>IF(COUNTIFS(T_StockCount[Part Name],$A30,T_StockCount[WeekIndex],15)&gt;0,SUMIFS(T_StockCount[CountedQty],T_StockCount[Part Name],$A30,T_StockCount[WeekIndex],15),IF((('T_SelfStock'!P34&lt;&gt;""))*(('T_TTAFStock'!P34&lt;&gt;""))&gt;0,'T_SelfStock'!P34+'T_TTAFStock'!P34,O30+'Grid_Incoming'!P30-'Grid_Requirement'!P30))</f>
        <v/>
      </c>
      <c r="Q30">
        <f>IF(COUNTIFS(T_StockCount[Part Name],$A30,T_StockCount[WeekIndex],16)&gt;0,SUMIFS(T_StockCount[CountedQty],T_StockCount[Part Name],$A30,T_StockCount[WeekIndex],16),IF((('T_SelfStock'!Q34&lt;&gt;""))*(('T_TTAFStock'!Q34&lt;&gt;""))&gt;0,'T_SelfStock'!Q34+'T_TTAFStock'!Q34,P30+'Grid_Incoming'!Q30-'Grid_Requirement'!Q30))</f>
        <v/>
      </c>
      <c r="R30">
        <f>IF(COUNTIFS(T_StockCount[Part Name],$A30,T_StockCount[WeekIndex],17)&gt;0,SUMIFS(T_StockCount[CountedQty],T_StockCount[Part Name],$A30,T_StockCount[WeekIndex],17),IF((('T_SelfStock'!R34&lt;&gt;""))*(('T_TTAFStock'!R34&lt;&gt;""))&gt;0,'T_SelfStock'!R34+'T_TTAFStock'!R34,Q30+'Grid_Incoming'!R30-'Grid_Requirement'!R30))</f>
        <v/>
      </c>
      <c r="S30">
        <f>IF(COUNTIFS(T_StockCount[Part Name],$A30,T_StockCount[WeekIndex],18)&gt;0,SUMIFS(T_StockCount[CountedQty],T_StockCount[Part Name],$A30,T_StockCount[WeekIndex],18),IF((('T_SelfStock'!S34&lt;&gt;""))*(('T_TTAFStock'!S34&lt;&gt;""))&gt;0,'T_SelfStock'!S34+'T_TTAFStock'!S34,R30+'Grid_Incoming'!S30-'Grid_Requirement'!S30))</f>
        <v/>
      </c>
      <c r="T30">
        <f>IF(COUNTIFS(T_StockCount[Part Name],$A30,T_StockCount[WeekIndex],19)&gt;0,SUMIFS(T_StockCount[CountedQty],T_StockCount[Part Name],$A30,T_StockCount[WeekIndex],19),IF((('T_SelfStock'!T34&lt;&gt;""))*(('T_TTAFStock'!T34&lt;&gt;""))&gt;0,'T_SelfStock'!T34+'T_TTAFStock'!T34,S30+'Grid_Incoming'!T30-'Grid_Requirement'!T30))</f>
        <v/>
      </c>
      <c r="U30">
        <f>IF(COUNTIFS(T_StockCount[Part Name],$A30,T_StockCount[WeekIndex],20)&gt;0,SUMIFS(T_StockCount[CountedQty],T_StockCount[Part Name],$A30,T_StockCount[WeekIndex],20),IF((('T_SelfStock'!U34&lt;&gt;""))*(('T_TTAFStock'!U34&lt;&gt;""))&gt;0,'T_SelfStock'!U34+'T_TTAFStock'!U34,T30+'Grid_Incoming'!U30-'Grid_Requirement'!U30))</f>
        <v/>
      </c>
      <c r="V30">
        <f>IF(COUNTIFS(T_StockCount[Part Name],$A30,T_StockCount[WeekIndex],21)&gt;0,SUMIFS(T_StockCount[CountedQty],T_StockCount[Part Name],$A30,T_StockCount[WeekIndex],21),IF((('T_SelfStock'!V34&lt;&gt;""))*(('T_TTAFStock'!V34&lt;&gt;""))&gt;0,'T_SelfStock'!V34+'T_TTAFStock'!V34,U30+'Grid_Incoming'!V30-'Grid_Requirement'!V30))</f>
        <v/>
      </c>
      <c r="W30">
        <f>IF(COUNTIFS(T_StockCount[Part Name],$A30,T_StockCount[WeekIndex],22)&gt;0,SUMIFS(T_StockCount[CountedQty],T_StockCount[Part Name],$A30,T_StockCount[WeekIndex],22),IF((('T_SelfStock'!W34&lt;&gt;""))*(('T_TTAFStock'!W34&lt;&gt;""))&gt;0,'T_SelfStock'!W34+'T_TTAFStock'!W34,V30+'Grid_Incoming'!W30-'Grid_Requirement'!W30))</f>
        <v/>
      </c>
      <c r="X30">
        <f>IF(COUNTIFS(T_StockCount[Part Name],$A30,T_StockCount[WeekIndex],23)&gt;0,SUMIFS(T_StockCount[CountedQty],T_StockCount[Part Name],$A30,T_StockCount[WeekIndex],23),IF((('T_SelfStock'!X34&lt;&gt;""))*(('T_TTAFStock'!X34&lt;&gt;""))&gt;0,'T_SelfStock'!X34+'T_TTAFStock'!X34,W30+'Grid_Incoming'!X30-'Grid_Requirement'!X30))</f>
        <v/>
      </c>
      <c r="Y30">
        <f>IF(COUNTIFS(T_StockCount[Part Name],$A30,T_StockCount[WeekIndex],24)&gt;0,SUMIFS(T_StockCount[CountedQty],T_StockCount[Part Name],$A30,T_StockCount[WeekIndex],24),IF((('T_SelfStock'!Y34&lt;&gt;""))*(('T_TTAFStock'!Y34&lt;&gt;""))&gt;0,'T_SelfStock'!Y34+'T_TTAFStock'!Y34,X30+'Grid_Incoming'!Y30-'Grid_Requirement'!Y30))</f>
        <v/>
      </c>
      <c r="Z30">
        <f>IF(COUNTIFS(T_StockCount[Part Name],$A30,T_StockCount[WeekIndex],25)&gt;0,SUMIFS(T_StockCount[CountedQty],T_StockCount[Part Name],$A30,T_StockCount[WeekIndex],25),IF((('T_SelfStock'!Z34&lt;&gt;""))*(('T_TTAFStock'!Z34&lt;&gt;""))&gt;0,'T_SelfStock'!Z34+'T_TTAFStock'!Z34,Y30+'Grid_Incoming'!Z30-'Grid_Requirement'!Z30))</f>
        <v/>
      </c>
      <c r="AA30">
        <f>IF(COUNTIFS(T_StockCount[Part Name],$A30,T_StockCount[WeekIndex],26)&gt;0,SUMIFS(T_StockCount[CountedQty],T_StockCount[Part Name],$A30,T_StockCount[WeekIndex],26),IF((('T_SelfStock'!AA34&lt;&gt;""))*(('T_TTAFStock'!AA34&lt;&gt;""))&gt;0,'T_SelfStock'!AA34+'T_TTAFStock'!AA34,Z30+'Grid_Incoming'!AA30-'Grid_Requirement'!AA30))</f>
        <v/>
      </c>
      <c r="AB30">
        <f>IF(COUNTIFS(T_StockCount[Part Name],$A30,T_StockCount[WeekIndex],27)&gt;0,SUMIFS(T_StockCount[CountedQty],T_StockCount[Part Name],$A30,T_StockCount[WeekIndex],27),IF((('T_SelfStock'!AB34&lt;&gt;""))*(('T_TTAFStock'!AB34&lt;&gt;""))&gt;0,'T_SelfStock'!AB34+'T_TTAFStock'!AB34,AA30+'Grid_Incoming'!AB30-'Grid_Requirement'!AB30))</f>
        <v/>
      </c>
      <c r="AC30">
        <f>IF(COUNTIFS(T_StockCount[Part Name],$A30,T_StockCount[WeekIndex],28)&gt;0,SUMIFS(T_StockCount[CountedQty],T_StockCount[Part Name],$A30,T_StockCount[WeekIndex],28),IF((('T_SelfStock'!AC34&lt;&gt;""))*(('T_TTAFStock'!AC34&lt;&gt;""))&gt;0,'T_SelfStock'!AC34+'T_TTAFStock'!AC34,AB30+'Grid_Incoming'!AC30-'Grid_Requirement'!AC30))</f>
        <v/>
      </c>
      <c r="AD30">
        <f>IF(COUNTIFS(T_StockCount[Part Name],$A30,T_StockCount[WeekIndex],29)&gt;0,SUMIFS(T_StockCount[CountedQty],T_StockCount[Part Name],$A30,T_StockCount[WeekIndex],29),IF((('T_SelfStock'!AD34&lt;&gt;""))*(('T_TTAFStock'!AD34&lt;&gt;""))&gt;0,'T_SelfStock'!AD34+'T_TTAFStock'!AD34,AC30+'Grid_Incoming'!AD30-'Grid_Requirement'!AD30))</f>
        <v/>
      </c>
      <c r="AE30">
        <f>IF(COUNTIFS(T_StockCount[Part Name],$A30,T_StockCount[WeekIndex],30)&gt;0,SUMIFS(T_StockCount[CountedQty],T_StockCount[Part Name],$A30,T_StockCount[WeekIndex],30),IF((('T_SelfStock'!AE34&lt;&gt;""))*(('T_TTAFStock'!AE34&lt;&gt;""))&gt;0,'T_SelfStock'!AE34+'T_TTAFStock'!AE34,AD30+'Grid_Incoming'!AE30-'Grid_Requirement'!AE30))</f>
        <v/>
      </c>
      <c r="AF30">
        <f>IF(COUNTIFS(T_StockCount[Part Name],$A30,T_StockCount[WeekIndex],31)&gt;0,SUMIFS(T_StockCount[CountedQty],T_StockCount[Part Name],$A30,T_StockCount[WeekIndex],31),IF((('T_SelfStock'!AF34&lt;&gt;""))*(('T_TTAFStock'!AF34&lt;&gt;""))&gt;0,'T_SelfStock'!AF34+'T_TTAFStock'!AF34,AE30+'Grid_Incoming'!AF30-'Grid_Requirement'!AF30))</f>
        <v/>
      </c>
      <c r="AG30">
        <f>IF(COUNTIFS(T_StockCount[Part Name],$A30,T_StockCount[WeekIndex],32)&gt;0,SUMIFS(T_StockCount[CountedQty],T_StockCount[Part Name],$A30,T_StockCount[WeekIndex],32),IF((('T_SelfStock'!AG34&lt;&gt;""))*(('T_TTAFStock'!AG34&lt;&gt;""))&gt;0,'T_SelfStock'!AG34+'T_TTAFStock'!AG34,AF30+'Grid_Incoming'!AG30-'Grid_Requirement'!AG30))</f>
        <v/>
      </c>
      <c r="AH30">
        <f>IF(COUNTIFS(T_StockCount[Part Name],$A30,T_StockCount[WeekIndex],33)&gt;0,SUMIFS(T_StockCount[CountedQty],T_StockCount[Part Name],$A30,T_StockCount[WeekIndex],33),IF((('T_SelfStock'!AH34&lt;&gt;""))*(('T_TTAFStock'!AH34&lt;&gt;""))&gt;0,'T_SelfStock'!AH34+'T_TTAFStock'!AH34,AG30+'Grid_Incoming'!AH30-'Grid_Requirement'!AH30))</f>
        <v/>
      </c>
      <c r="AI30">
        <f>IF(COUNTIFS(T_StockCount[Part Name],$A30,T_StockCount[WeekIndex],34)&gt;0,SUMIFS(T_StockCount[CountedQty],T_StockCount[Part Name],$A30,T_StockCount[WeekIndex],34),IF((('T_SelfStock'!AI34&lt;&gt;""))*(('T_TTAFStock'!AI34&lt;&gt;""))&gt;0,'T_SelfStock'!AI34+'T_TTAFStock'!AI34,AH30+'Grid_Incoming'!AI30-'Grid_Requirement'!AI30))</f>
        <v/>
      </c>
      <c r="AJ30">
        <f>IF(COUNTIFS(T_StockCount[Part Name],$A30,T_StockCount[WeekIndex],35)&gt;0,SUMIFS(T_StockCount[CountedQty],T_StockCount[Part Name],$A30,T_StockCount[WeekIndex],35),IF((('T_SelfStock'!AJ34&lt;&gt;""))*(('T_TTAFStock'!AJ34&lt;&gt;""))&gt;0,'T_SelfStock'!AJ34+'T_TTAFStock'!AJ34,AI30+'Grid_Incoming'!AJ30-'Grid_Requirement'!AJ30))</f>
        <v/>
      </c>
      <c r="AK30">
        <f>IF(COUNTIFS(T_StockCount[Part Name],$A30,T_StockCount[WeekIndex],36)&gt;0,SUMIFS(T_StockCount[CountedQty],T_StockCount[Part Name],$A30,T_StockCount[WeekIndex],36),IF((('T_SelfStock'!AK34&lt;&gt;""))*(('T_TTAFStock'!AK34&lt;&gt;""))&gt;0,'T_SelfStock'!AK34+'T_TTAFStock'!AK34,AJ30+'Grid_Incoming'!AK30-'Grid_Requirement'!AK30))</f>
        <v/>
      </c>
      <c r="AL30">
        <f>IF(COUNTIFS(T_StockCount[Part Name],$A30,T_StockCount[WeekIndex],37)&gt;0,SUMIFS(T_StockCount[CountedQty],T_StockCount[Part Name],$A30,T_StockCount[WeekIndex],37),IF((('T_SelfStock'!AL34&lt;&gt;""))*(('T_TTAFStock'!AL34&lt;&gt;""))&gt;0,'T_SelfStock'!AL34+'T_TTAFStock'!AL34,AK30+'Grid_Incoming'!AL30-'Grid_Requirement'!AL30))</f>
        <v/>
      </c>
      <c r="AM30">
        <f>IF(COUNTIFS(T_StockCount[Part Name],$A30,T_StockCount[WeekIndex],38)&gt;0,SUMIFS(T_StockCount[CountedQty],T_StockCount[Part Name],$A30,T_StockCount[WeekIndex],38),IF((('T_SelfStock'!AM34&lt;&gt;""))*(('T_TTAFStock'!AM34&lt;&gt;""))&gt;0,'T_SelfStock'!AM34+'T_TTAFStock'!AM34,AL30+'Grid_Incoming'!AM30-'Grid_Requirement'!AM30))</f>
        <v/>
      </c>
      <c r="AN30">
        <f>IF(COUNTIFS(T_StockCount[Part Name],$A30,T_StockCount[WeekIndex],39)&gt;0,SUMIFS(T_StockCount[CountedQty],T_StockCount[Part Name],$A30,T_StockCount[WeekIndex],39),IF((('T_SelfStock'!AN34&lt;&gt;""))*(('T_TTAFStock'!AN34&lt;&gt;""))&gt;0,'T_SelfStock'!AN34+'T_TTAFStock'!AN34,AM30+'Grid_Incoming'!AN30-'Grid_Requirement'!AN30))</f>
        <v/>
      </c>
      <c r="AO30">
        <f>IF(COUNTIFS(T_StockCount[Part Name],$A30,T_StockCount[WeekIndex],40)&gt;0,SUMIFS(T_StockCount[CountedQty],T_StockCount[Part Name],$A30,T_StockCount[WeekIndex],40),IF((('T_SelfStock'!AO34&lt;&gt;""))*(('T_TTAFStock'!AO34&lt;&gt;""))&gt;0,'T_SelfStock'!AO34+'T_TTAFStock'!AO34,AN30+'Grid_Incoming'!AO30-'Grid_Requirement'!AO30))</f>
        <v/>
      </c>
      <c r="AP30">
        <f>IF(COUNTIFS(T_StockCount[Part Name],$A30,T_StockCount[WeekIndex],41)&gt;0,SUMIFS(T_StockCount[CountedQty],T_StockCount[Part Name],$A30,T_StockCount[WeekIndex],41),IF((('T_SelfStock'!AP34&lt;&gt;""))*(('T_TTAFStock'!AP34&lt;&gt;""))&gt;0,'T_SelfStock'!AP34+'T_TTAFStock'!AP34,AO30+'Grid_Incoming'!AP30-'Grid_Requirement'!AP30))</f>
        <v/>
      </c>
      <c r="AQ30">
        <f>IF(COUNTIFS(T_StockCount[Part Name],$A30,T_StockCount[WeekIndex],42)&gt;0,SUMIFS(T_StockCount[CountedQty],T_StockCount[Part Name],$A30,T_StockCount[WeekIndex],42),IF((('T_SelfStock'!AQ34&lt;&gt;""))*(('T_TTAFStock'!AQ34&lt;&gt;""))&gt;0,'T_SelfStock'!AQ34+'T_TTAFStock'!AQ34,AP30+'Grid_Incoming'!AQ30-'Grid_Requirement'!AQ30))</f>
        <v/>
      </c>
      <c r="AR30">
        <f>IF(COUNTIFS(T_StockCount[Part Name],$A30,T_StockCount[WeekIndex],43)&gt;0,SUMIFS(T_StockCount[CountedQty],T_StockCount[Part Name],$A30,T_StockCount[WeekIndex],43),IF((('T_SelfStock'!AR34&lt;&gt;""))*(('T_TTAFStock'!AR34&lt;&gt;""))&gt;0,'T_SelfStock'!AR34+'T_TTAFStock'!AR34,AQ30+'Grid_Incoming'!AR30-'Grid_Requirement'!AR30))</f>
        <v/>
      </c>
      <c r="AS30">
        <f>IF(COUNTIFS(T_StockCount[Part Name],$A30,T_StockCount[WeekIndex],44)&gt;0,SUMIFS(T_StockCount[CountedQty],T_StockCount[Part Name],$A30,T_StockCount[WeekIndex],44),IF((('T_SelfStock'!AS34&lt;&gt;""))*(('T_TTAFStock'!AS34&lt;&gt;""))&gt;0,'T_SelfStock'!AS34+'T_TTAFStock'!AS34,AR30+'Grid_Incoming'!AS30-'Grid_Requirement'!AS30))</f>
        <v/>
      </c>
      <c r="AT30">
        <f>IF(COUNTIFS(T_StockCount[Part Name],$A30,T_StockCount[WeekIndex],45)&gt;0,SUMIFS(T_StockCount[CountedQty],T_StockCount[Part Name],$A30,T_StockCount[WeekIndex],45),IF((('T_SelfStock'!AT34&lt;&gt;""))*(('T_TTAFStock'!AT34&lt;&gt;""))&gt;0,'T_SelfStock'!AT34+'T_TTAFStock'!AT34,AS30+'Grid_Incoming'!AT30-'Grid_Requirement'!AT30))</f>
        <v/>
      </c>
      <c r="AU30">
        <f>IF(COUNTIFS(T_StockCount[Part Name],$A30,T_StockCount[WeekIndex],46)&gt;0,SUMIFS(T_StockCount[CountedQty],T_StockCount[Part Name],$A30,T_StockCount[WeekIndex],46),IF((('T_SelfStock'!AU34&lt;&gt;""))*(('T_TTAFStock'!AU34&lt;&gt;""))&gt;0,'T_SelfStock'!AU34+'T_TTAFStock'!AU34,AT30+'Grid_Incoming'!AU30-'Grid_Requirement'!AU30))</f>
        <v/>
      </c>
      <c r="AV30">
        <f>IF(COUNTIFS(T_StockCount[Part Name],$A30,T_StockCount[WeekIndex],47)&gt;0,SUMIFS(T_StockCount[CountedQty],T_StockCount[Part Name],$A30,T_StockCount[WeekIndex],47),IF((('T_SelfStock'!AV34&lt;&gt;""))*(('T_TTAFStock'!AV34&lt;&gt;""))&gt;0,'T_SelfStock'!AV34+'T_TTAFStock'!AV34,AU30+'Grid_Incoming'!AV30-'Grid_Requirement'!AV30))</f>
        <v/>
      </c>
      <c r="AW30">
        <f>IF(COUNTIFS(T_StockCount[Part Name],$A30,T_StockCount[WeekIndex],48)&gt;0,SUMIFS(T_StockCount[CountedQty],T_StockCount[Part Name],$A30,T_StockCount[WeekIndex],48),IF((('T_SelfStock'!AW34&lt;&gt;""))*(('T_TTAFStock'!AW34&lt;&gt;""))&gt;0,'T_SelfStock'!AW34+'T_TTAFStock'!AW34,AV30+'Grid_Incoming'!AW30-'Grid_Requirement'!AW30))</f>
        <v/>
      </c>
      <c r="AX30">
        <f>IF(COUNTIFS(T_StockCount[Part Name],$A30,T_StockCount[WeekIndex],49)&gt;0,SUMIFS(T_StockCount[CountedQty],T_StockCount[Part Name],$A30,T_StockCount[WeekIndex],49),IF((('T_SelfStock'!AX34&lt;&gt;""))*(('T_TTAFStock'!AX34&lt;&gt;""))&gt;0,'T_SelfStock'!AX34+'T_TTAFStock'!AX34,AW30+'Grid_Incoming'!AX30-'Grid_Requirement'!AX30))</f>
        <v/>
      </c>
      <c r="AY30">
        <f>IF(COUNTIFS(T_StockCount[Part Name],$A30,T_StockCount[WeekIndex],50)&gt;0,SUMIFS(T_StockCount[CountedQty],T_StockCount[Part Name],$A30,T_StockCount[WeekIndex],50),IF((('T_SelfStock'!AY34&lt;&gt;""))*(('T_TTAFStock'!AY34&lt;&gt;""))&gt;0,'T_SelfStock'!AY34+'T_TTAFStock'!AY34,AX30+'Grid_Incoming'!AY30-'Grid_Requirement'!AY30))</f>
        <v/>
      </c>
      <c r="AZ30">
        <f>IF(COUNTIFS(T_StockCount[Part Name],$A30,T_StockCount[WeekIndex],51)&gt;0,SUMIFS(T_StockCount[CountedQty],T_StockCount[Part Name],$A30,T_StockCount[WeekIndex],51),IF((('T_SelfStock'!AZ34&lt;&gt;""))*(('T_TTAFStock'!AZ34&lt;&gt;""))&gt;0,'T_SelfStock'!AZ34+'T_TTAFStock'!AZ34,AY30+'Grid_Incoming'!AZ30-'Grid_Requirement'!AZ30))</f>
        <v/>
      </c>
      <c r="BA30">
        <f>IF(COUNTIFS(T_StockCount[Part Name],$A30,T_StockCount[WeekIndex],52)&gt;0,SUMIFS(T_StockCount[CountedQty],T_StockCount[Part Name],$A30,T_StockCount[WeekIndex],52),IF((('T_SelfStock'!BA34&lt;&gt;""))*(('T_TTAFStock'!BA34&lt;&gt;""))&gt;0,'T_SelfStock'!BA34+'T_TTAFStock'!BA34,AZ30+'Grid_Incoming'!BA30-'Grid_Requirement'!BA30))</f>
        <v/>
      </c>
      <c r="BB30">
        <f>IF(COUNTIFS(T_StockCount[Part Name],$A30,T_StockCount[WeekIndex],53)&gt;0,SUMIFS(T_StockCount[CountedQty],T_StockCount[Part Name],$A30,T_StockCount[WeekIndex],53),IF((('T_SelfStock'!BB34&lt;&gt;""))*(('T_TTAFStock'!BB34&lt;&gt;""))&gt;0,'T_SelfStock'!BB34+'T_TTAFStock'!BB34,BA30+'Grid_Incoming'!BB30-'Grid_Requirement'!BB30))</f>
        <v/>
      </c>
      <c r="BC30">
        <f>IF(COUNTIFS(T_StockCount[Part Name],$A30,T_StockCount[WeekIndex],54)&gt;0,SUMIFS(T_StockCount[CountedQty],T_StockCount[Part Name],$A30,T_StockCount[WeekIndex],54),IF((('T_SelfStock'!BC34&lt;&gt;""))*(('T_TTAFStock'!BC34&lt;&gt;""))&gt;0,'T_SelfStock'!BC34+'T_TTAFStock'!BC34,BB30+'Grid_Incoming'!BC30-'Grid_Requirement'!BC30))</f>
        <v/>
      </c>
      <c r="BD30">
        <f>IF(COUNTIFS(T_StockCount[Part Name],$A30,T_StockCount[WeekIndex],55)&gt;0,SUMIFS(T_StockCount[CountedQty],T_StockCount[Part Name],$A30,T_StockCount[WeekIndex],55),IF((('T_SelfStock'!BD34&lt;&gt;""))*(('T_TTAFStock'!BD34&lt;&gt;""))&gt;0,'T_SelfStock'!BD34+'T_TTAFStock'!BD34,BC30+'Grid_Incoming'!BD30-'Grid_Requirement'!BD30))</f>
        <v/>
      </c>
      <c r="BE30">
        <f>IF(COUNTIFS(T_StockCount[Part Name],$A30,T_StockCount[WeekIndex],56)&gt;0,SUMIFS(T_StockCount[CountedQty],T_StockCount[Part Name],$A30,T_StockCount[WeekIndex],56),IF((('T_SelfStock'!BE34&lt;&gt;""))*(('T_TTAFStock'!BE34&lt;&gt;""))&gt;0,'T_SelfStock'!BE34+'T_TTAFStock'!BE34,BD30+'Grid_Incoming'!BE30-'Grid_Requirement'!BE30))</f>
        <v/>
      </c>
      <c r="BF30">
        <f>IF(COUNTIFS(T_StockCount[Part Name],$A30,T_StockCount[WeekIndex],57)&gt;0,SUMIFS(T_StockCount[CountedQty],T_StockCount[Part Name],$A30,T_StockCount[WeekIndex],57),IF((('T_SelfStock'!BF34&lt;&gt;""))*(('T_TTAFStock'!BF34&lt;&gt;""))&gt;0,'T_SelfStock'!BF34+'T_TTAFStock'!BF34,BE30+'Grid_Incoming'!BF30-'Grid_Requirement'!BF30))</f>
        <v/>
      </c>
      <c r="BG30">
        <f>IF(COUNTIFS(T_StockCount[Part Name],$A30,T_StockCount[WeekIndex],58)&gt;0,SUMIFS(T_StockCount[CountedQty],T_StockCount[Part Name],$A30,T_StockCount[WeekIndex],58),IF((('T_SelfStock'!BG34&lt;&gt;""))*(('T_TTAFStock'!BG34&lt;&gt;""))&gt;0,'T_SelfStock'!BG34+'T_TTAFStock'!BG34,BF30+'Grid_Incoming'!BG30-'Grid_Requirement'!BG30))</f>
        <v/>
      </c>
      <c r="BH30">
        <f>IF(COUNTIFS(T_StockCount[Part Name],$A30,T_StockCount[WeekIndex],59)&gt;0,SUMIFS(T_StockCount[CountedQty],T_StockCount[Part Name],$A30,T_StockCount[WeekIndex],59),IF((('T_SelfStock'!BH34&lt;&gt;""))*(('T_TTAFStock'!BH34&lt;&gt;""))&gt;0,'T_SelfStock'!BH34+'T_TTAFStock'!BH34,BG30+'Grid_Incoming'!BH30-'Grid_Requirement'!BH30))</f>
        <v/>
      </c>
      <c r="BI30">
        <f>IF(COUNTIFS(T_StockCount[Part Name],$A30,T_StockCount[WeekIndex],60)&gt;0,SUMIFS(T_StockCount[CountedQty],T_StockCount[Part Name],$A30,T_StockCount[WeekIndex],60),IF((('T_SelfStock'!BI34&lt;&gt;""))*(('T_TTAFStock'!BI34&lt;&gt;""))&gt;0,'T_SelfStock'!BI34+'T_TTAFStock'!BI34,BH30+'Grid_Incoming'!BI30-'Grid_Requirement'!BI30))</f>
        <v/>
      </c>
      <c r="BJ30">
        <f>IF(COUNTIFS(T_StockCount[Part Name],$A30,T_StockCount[WeekIndex],61)&gt;0,SUMIFS(T_StockCount[CountedQty],T_StockCount[Part Name],$A30,T_StockCount[WeekIndex],61),IF((('T_SelfStock'!BJ34&lt;&gt;""))*(('T_TTAFStock'!BJ34&lt;&gt;""))&gt;0,'T_SelfStock'!BJ34+'T_TTAFStock'!BJ34,BI30+'Grid_Incoming'!BJ30-'Grid_Requirement'!BJ30))</f>
        <v/>
      </c>
      <c r="BK30">
        <f>IF(COUNTIFS(T_StockCount[Part Name],$A30,T_StockCount[WeekIndex],62)&gt;0,SUMIFS(T_StockCount[CountedQty],T_StockCount[Part Name],$A30,T_StockCount[WeekIndex],62),IF((('T_SelfStock'!BK34&lt;&gt;""))*(('T_TTAFStock'!BK34&lt;&gt;""))&gt;0,'T_SelfStock'!BK34+'T_TTAFStock'!BK34,BJ30+'Grid_Incoming'!BK30-'Grid_Requirement'!BK30))</f>
        <v/>
      </c>
      <c r="BL30">
        <f>IF(COUNTIFS(T_StockCount[Part Name],$A30,T_StockCount[WeekIndex],63)&gt;0,SUMIFS(T_StockCount[CountedQty],T_StockCount[Part Name],$A30,T_StockCount[WeekIndex],63),IF((('T_SelfStock'!BL34&lt;&gt;""))*(('T_TTAFStock'!BL34&lt;&gt;""))&gt;0,'T_SelfStock'!BL34+'T_TTAFStock'!BL34,BK30+'Grid_Incoming'!BL30-'Grid_Requirement'!BL30))</f>
        <v/>
      </c>
      <c r="BM30">
        <f>IF(COUNTIFS(T_StockCount[Part Name],$A30,T_StockCount[WeekIndex],64)&gt;0,SUMIFS(T_StockCount[CountedQty],T_StockCount[Part Name],$A30,T_StockCount[WeekIndex],64),IF((('T_SelfStock'!BM34&lt;&gt;""))*(('T_TTAFStock'!BM34&lt;&gt;""))&gt;0,'T_SelfStock'!BM34+'T_TTAFStock'!BM34,BL30+'Grid_Incoming'!BM30-'Grid_Requirement'!BM30))</f>
        <v/>
      </c>
      <c r="BN30">
        <f>IF(COUNTIFS(T_StockCount[Part Name],$A30,T_StockCount[WeekIndex],65)&gt;0,SUMIFS(T_StockCount[CountedQty],T_StockCount[Part Name],$A30,T_StockCount[WeekIndex],65),IF((('T_SelfStock'!BN34&lt;&gt;""))*(('T_TTAFStock'!BN34&lt;&gt;""))&gt;0,'T_SelfStock'!BN34+'T_TTAFStock'!BN34,BM30+'Grid_Incoming'!BN30-'Grid_Requirement'!BN30))</f>
        <v/>
      </c>
      <c r="BO30">
        <f>IF(COUNTIFS(T_StockCount[Part Name],$A30,T_StockCount[WeekIndex],66)&gt;0,SUMIFS(T_StockCount[CountedQty],T_StockCount[Part Name],$A30,T_StockCount[WeekIndex],66),IF((('T_SelfStock'!BO34&lt;&gt;""))*(('T_TTAFStock'!BO34&lt;&gt;""))&gt;0,'T_SelfStock'!BO34+'T_TTAFStock'!BO34,BN30+'Grid_Incoming'!BO30-'Grid_Requirement'!BO30))</f>
        <v/>
      </c>
      <c r="BP30">
        <f>IF(COUNTIFS(T_StockCount[Part Name],$A30,T_StockCount[WeekIndex],67)&gt;0,SUMIFS(T_StockCount[CountedQty],T_StockCount[Part Name],$A30,T_StockCount[WeekIndex],67),IF((('T_SelfStock'!BP34&lt;&gt;""))*(('T_TTAFStock'!BP34&lt;&gt;""))&gt;0,'T_SelfStock'!BP34+'T_TTAFStock'!BP34,BO30+'Grid_Incoming'!BP30-'Grid_Requirement'!BP30))</f>
        <v/>
      </c>
      <c r="BQ30">
        <f>IF(COUNTIFS(T_StockCount[Part Name],$A30,T_StockCount[WeekIndex],68)&gt;0,SUMIFS(T_StockCount[CountedQty],T_StockCount[Part Name],$A30,T_StockCount[WeekIndex],68),IF((('T_SelfStock'!BQ34&lt;&gt;""))*(('T_TTAFStock'!BQ34&lt;&gt;""))&gt;0,'T_SelfStock'!BQ34+'T_TTAFStock'!BQ34,BP30+'Grid_Incoming'!BQ30-'Grid_Requirement'!BQ30))</f>
        <v/>
      </c>
      <c r="BR30">
        <f>IF(COUNTIFS(T_StockCount[Part Name],$A30,T_StockCount[WeekIndex],69)&gt;0,SUMIFS(T_StockCount[CountedQty],T_StockCount[Part Name],$A30,T_StockCount[WeekIndex],69),IF((('T_SelfStock'!BR34&lt;&gt;""))*(('T_TTAFStock'!BR34&lt;&gt;""))&gt;0,'T_SelfStock'!BR34+'T_TTAFStock'!BR34,BQ30+'Grid_Incoming'!BR30-'Grid_Requirement'!BR30))</f>
        <v/>
      </c>
      <c r="BS30">
        <f>IF(COUNTIFS(T_StockCount[Part Name],$A30,T_StockCount[WeekIndex],70)&gt;0,SUMIFS(T_StockCount[CountedQty],T_StockCount[Part Name],$A30,T_StockCount[WeekIndex],70),IF((('T_SelfStock'!BS34&lt;&gt;""))*(('T_TTAFStock'!BS34&lt;&gt;""))&gt;0,'T_SelfStock'!BS34+'T_TTAFStock'!BS34,BR30+'Grid_Incoming'!BS30-'Grid_Requirement'!BS30))</f>
        <v/>
      </c>
      <c r="BT30">
        <f>IF(COUNTIFS(T_StockCount[Part Name],$A30,T_StockCount[WeekIndex],71)&gt;0,SUMIFS(T_StockCount[CountedQty],T_StockCount[Part Name],$A30,T_StockCount[WeekIndex],71),IF((('T_SelfStock'!BT34&lt;&gt;""))*(('T_TTAFStock'!BT34&lt;&gt;""))&gt;0,'T_SelfStock'!BT34+'T_TTAFStock'!BT34,BS30+'Grid_Incoming'!BT30-'Grid_Requirement'!BT30))</f>
        <v/>
      </c>
      <c r="BU30">
        <f>IF(COUNTIFS(T_StockCount[Part Name],$A30,T_StockCount[WeekIndex],72)&gt;0,SUMIFS(T_StockCount[CountedQty],T_StockCount[Part Name],$A30,T_StockCount[WeekIndex],72),IF((('T_SelfStock'!BU34&lt;&gt;""))*(('T_TTAFStock'!BU34&lt;&gt;""))&gt;0,'T_SelfStock'!BU34+'T_TTAFStock'!BU34,BT30+'Grid_Incoming'!BU30-'Grid_Requirement'!BU30))</f>
        <v/>
      </c>
      <c r="BV30">
        <f>IF(COUNTIFS(T_StockCount[Part Name],$A30,T_StockCount[WeekIndex],73)&gt;0,SUMIFS(T_StockCount[CountedQty],T_StockCount[Part Name],$A30,T_StockCount[WeekIndex],73),IF((('T_SelfStock'!BV34&lt;&gt;""))*(('T_TTAFStock'!BV34&lt;&gt;""))&gt;0,'T_SelfStock'!BV34+'T_TTAFStock'!BV34,BU30+'Grid_Incoming'!BV30-'Grid_Requirement'!BV30))</f>
        <v/>
      </c>
      <c r="BW30">
        <f>IF(COUNTIFS(T_StockCount[Part Name],$A30,T_StockCount[WeekIndex],74)&gt;0,SUMIFS(T_StockCount[CountedQty],T_StockCount[Part Name],$A30,T_StockCount[WeekIndex],74),IF((('T_SelfStock'!BW34&lt;&gt;""))*(('T_TTAFStock'!BW34&lt;&gt;""))&gt;0,'T_SelfStock'!BW34+'T_TTAFStock'!BW34,BV30+'Grid_Incoming'!BW30-'Grid_Requirement'!BW30))</f>
        <v/>
      </c>
      <c r="BX30">
        <f>IF(COUNTIFS(T_StockCount[Part Name],$A30,T_StockCount[WeekIndex],75)&gt;0,SUMIFS(T_StockCount[CountedQty],T_StockCount[Part Name],$A30,T_StockCount[WeekIndex],75),IF((('T_SelfStock'!BX34&lt;&gt;""))*(('T_TTAFStock'!BX34&lt;&gt;""))&gt;0,'T_SelfStock'!BX34+'T_TTAFStock'!BX34,BW30+'Grid_Incoming'!BX30-'Grid_Requirement'!BX30))</f>
        <v/>
      </c>
      <c r="BY30">
        <f>IF(COUNTIFS(T_StockCount[Part Name],$A30,T_StockCount[WeekIndex],76)&gt;0,SUMIFS(T_StockCount[CountedQty],T_StockCount[Part Name],$A30,T_StockCount[WeekIndex],76),IF((('T_SelfStock'!BY34&lt;&gt;""))*(('T_TTAFStock'!BY34&lt;&gt;""))&gt;0,'T_SelfStock'!BY34+'T_TTAFStock'!BY34,BX30+'Grid_Incoming'!BY30-'Grid_Requirement'!BY30))</f>
        <v/>
      </c>
      <c r="BZ30">
        <f>IF(COUNTIFS(T_StockCount[Part Name],$A30,T_StockCount[WeekIndex],77)&gt;0,SUMIFS(T_StockCount[CountedQty],T_StockCount[Part Name],$A30,T_StockCount[WeekIndex],77),IF((('T_SelfStock'!BZ34&lt;&gt;""))*(('T_TTAFStock'!BZ34&lt;&gt;""))&gt;0,'T_SelfStock'!BZ34+'T_TTAFStock'!BZ34,BY30+'Grid_Incoming'!BZ30-'Grid_Requirement'!BZ30))</f>
        <v/>
      </c>
      <c r="CA30">
        <f>IF(COUNTIFS(T_StockCount[Part Name],$A30,T_StockCount[WeekIndex],78)&gt;0,SUMIFS(T_StockCount[CountedQty],T_StockCount[Part Name],$A30,T_StockCount[WeekIndex],78),IF((('T_SelfStock'!CA34&lt;&gt;""))*(('T_TTAFStock'!CA34&lt;&gt;""))&gt;0,'T_SelfStock'!CA34+'T_TTAFStock'!CA34,BZ30+'Grid_Incoming'!CA30-'Grid_Requirement'!CA30))</f>
        <v/>
      </c>
      <c r="CB30">
        <f>IF(COUNTIFS(T_StockCount[Part Name],$A30,T_StockCount[WeekIndex],79)&gt;0,SUMIFS(T_StockCount[CountedQty],T_StockCount[Part Name],$A30,T_StockCount[WeekIndex],79),IF((('T_SelfStock'!CB34&lt;&gt;""))*(('T_TTAFStock'!CB34&lt;&gt;""))&gt;0,'T_SelfStock'!CB34+'T_TTAFStock'!CB34,CA30+'Grid_Incoming'!CB30-'Grid_Requirement'!CB30))</f>
        <v/>
      </c>
      <c r="CC30">
        <f>IF(COUNTIFS(T_StockCount[Part Name],$A30,T_StockCount[WeekIndex],80)&gt;0,SUMIFS(T_StockCount[CountedQty],T_StockCount[Part Name],$A30,T_StockCount[WeekIndex],80),IF((('T_SelfStock'!CC34&lt;&gt;""))*(('T_TTAFStock'!CC34&lt;&gt;""))&gt;0,'T_SelfStock'!CC34+'T_TTAFStock'!CC34,CB30+'Grid_Incoming'!CC30-'Grid_Requirement'!CC30))</f>
        <v/>
      </c>
      <c r="CD30">
        <f>IF(COUNTIFS(T_StockCount[Part Name],$A30,T_StockCount[WeekIndex],81)&gt;0,SUMIFS(T_StockCount[CountedQty],T_StockCount[Part Name],$A30,T_StockCount[WeekIndex],81),IF((('T_SelfStock'!CD34&lt;&gt;""))*(('T_TTAFStock'!CD34&lt;&gt;""))&gt;0,'T_SelfStock'!CD34+'T_TTAFStock'!CD34,CC30+'Grid_Incoming'!CD30-'Grid_Requirement'!CD30))</f>
        <v/>
      </c>
      <c r="CE30">
        <f>IF(COUNTIFS(T_StockCount[Part Name],$A30,T_StockCount[WeekIndex],82)&gt;0,SUMIFS(T_StockCount[CountedQty],T_StockCount[Part Name],$A30,T_StockCount[WeekIndex],82),IF((('T_SelfStock'!CE34&lt;&gt;""))*(('T_TTAFStock'!CE34&lt;&gt;""))&gt;0,'T_SelfStock'!CE34+'T_TTAFStock'!CE34,CD30+'Grid_Incoming'!CE30-'Grid_Requirement'!CE30))</f>
        <v/>
      </c>
      <c r="CF30">
        <f>IF(COUNTIFS(T_StockCount[Part Name],$A30,T_StockCount[WeekIndex],83)&gt;0,SUMIFS(T_StockCount[CountedQty],T_StockCount[Part Name],$A30,T_StockCount[WeekIndex],83),IF((('T_SelfStock'!CF34&lt;&gt;""))*(('T_TTAFStock'!CF34&lt;&gt;""))&gt;0,'T_SelfStock'!CF34+'T_TTAFStock'!CF34,CE30+'Grid_Incoming'!CF30-'Grid_Requirement'!CF30))</f>
        <v/>
      </c>
      <c r="CG30">
        <f>IF(COUNTIFS(T_StockCount[Part Name],$A30,T_StockCount[WeekIndex],84)&gt;0,SUMIFS(T_StockCount[CountedQty],T_StockCount[Part Name],$A30,T_StockCount[WeekIndex],84),IF((('T_SelfStock'!CG34&lt;&gt;""))*(('T_TTAFStock'!CG34&lt;&gt;""))&gt;0,'T_SelfStock'!CG34+'T_TTAFStock'!CG34,CF30+'Grid_Incoming'!CG30-'Grid_Requirement'!CG30))</f>
        <v/>
      </c>
      <c r="CH30">
        <f>IF(COUNTIFS(T_StockCount[Part Name],$A30,T_StockCount[WeekIndex],85)&gt;0,SUMIFS(T_StockCount[CountedQty],T_StockCount[Part Name],$A30,T_StockCount[WeekIndex],85),IF((('T_SelfStock'!CH34&lt;&gt;""))*(('T_TTAFStock'!CH34&lt;&gt;""))&gt;0,'T_SelfStock'!CH34+'T_TTAFStock'!CH34,CG30+'Grid_Incoming'!CH30-'Grid_Requirement'!CH30))</f>
        <v/>
      </c>
      <c r="CI30">
        <f>IF(COUNTIFS(T_StockCount[Part Name],$A30,T_StockCount[WeekIndex],86)&gt;0,SUMIFS(T_StockCount[CountedQty],T_StockCount[Part Name],$A30,T_StockCount[WeekIndex],86),IF((('T_SelfStock'!CI34&lt;&gt;""))*(('T_TTAFStock'!CI34&lt;&gt;""))&gt;0,'T_SelfStock'!CI34+'T_TTAFStock'!CI34,CH30+'Grid_Incoming'!CI30-'Grid_Requirement'!CI30))</f>
        <v/>
      </c>
      <c r="CJ30">
        <f>IF(COUNTIFS(T_StockCount[Part Name],$A30,T_StockCount[WeekIndex],87)&gt;0,SUMIFS(T_StockCount[CountedQty],T_StockCount[Part Name],$A30,T_StockCount[WeekIndex],87),IF((('T_SelfStock'!CJ34&lt;&gt;""))*(('T_TTAFStock'!CJ34&lt;&gt;""))&gt;0,'T_SelfStock'!CJ34+'T_TTAFStock'!CJ34,CI30+'Grid_Incoming'!CJ30-'Grid_Requirement'!CJ30))</f>
        <v/>
      </c>
      <c r="CK30">
        <f>IF(COUNTIFS(T_StockCount[Part Name],$A30,T_StockCount[WeekIndex],88)&gt;0,SUMIFS(T_StockCount[CountedQty],T_StockCount[Part Name],$A30,T_StockCount[WeekIndex],88),IF((('T_SelfStock'!CK34&lt;&gt;""))*(('T_TTAFStock'!CK34&lt;&gt;""))&gt;0,'T_SelfStock'!CK34+'T_TTAFStock'!CK34,CJ30+'Grid_Incoming'!CK30-'Grid_Requirement'!CK30))</f>
        <v/>
      </c>
      <c r="CL30">
        <f>IF(COUNTIFS(T_StockCount[Part Name],$A30,T_StockCount[WeekIndex],89)&gt;0,SUMIFS(T_StockCount[CountedQty],T_StockCount[Part Name],$A30,T_StockCount[WeekIndex],89),IF((('T_SelfStock'!CL34&lt;&gt;""))*(('T_TTAFStock'!CL34&lt;&gt;""))&gt;0,'T_SelfStock'!CL34+'T_TTAFStock'!CL34,CK30+'Grid_Incoming'!CL30-'Grid_Requirement'!CL30))</f>
        <v/>
      </c>
      <c r="CM30">
        <f>IF(COUNTIFS(T_StockCount[Part Name],$A30,T_StockCount[WeekIndex],90)&gt;0,SUMIFS(T_StockCount[CountedQty],T_StockCount[Part Name],$A30,T_StockCount[WeekIndex],90),IF((('T_SelfStock'!CM34&lt;&gt;""))*(('T_TTAFStock'!CM34&lt;&gt;""))&gt;0,'T_SelfStock'!CM34+'T_TTAFStock'!CM34,CL30+'Grid_Incoming'!CM30-'Grid_Requirement'!CM30))</f>
        <v/>
      </c>
      <c r="CN30">
        <f>IF(COUNTIFS(T_StockCount[Part Name],$A30,T_StockCount[WeekIndex],91)&gt;0,SUMIFS(T_StockCount[CountedQty],T_StockCount[Part Name],$A30,T_StockCount[WeekIndex],91),IF((('T_SelfStock'!CN34&lt;&gt;""))*(('T_TTAFStock'!CN34&lt;&gt;""))&gt;0,'T_SelfStock'!CN34+'T_TTAFStock'!CN34,CM30+'Grid_Incoming'!CN30-'Grid_Requirement'!CN30))</f>
        <v/>
      </c>
      <c r="CO30">
        <f>IF(COUNTIFS(T_StockCount[Part Name],$A30,T_StockCount[WeekIndex],92)&gt;0,SUMIFS(T_StockCount[CountedQty],T_StockCount[Part Name],$A30,T_StockCount[WeekIndex],92),IF((('T_SelfStock'!CO34&lt;&gt;""))*(('T_TTAFStock'!CO34&lt;&gt;""))&gt;0,'T_SelfStock'!CO34+'T_TTAFStock'!CO34,CN30+'Grid_Incoming'!CO30-'Grid_Requirement'!CO30))</f>
        <v/>
      </c>
      <c r="CP30">
        <f>IF(COUNTIFS(T_StockCount[Part Name],$A30,T_StockCount[WeekIndex],93)&gt;0,SUMIFS(T_StockCount[CountedQty],T_StockCount[Part Name],$A30,T_StockCount[WeekIndex],93),IF((('T_SelfStock'!CP34&lt;&gt;""))*(('T_TTAFStock'!CP34&lt;&gt;""))&gt;0,'T_SelfStock'!CP34+'T_TTAFStock'!CP34,CO30+'Grid_Incoming'!CP30-'Grid_Requirement'!CP30))</f>
        <v/>
      </c>
      <c r="CQ30">
        <f>IF(COUNTIFS(T_StockCount[Part Name],$A30,T_StockCount[WeekIndex],94)&gt;0,SUMIFS(T_StockCount[CountedQty],T_StockCount[Part Name],$A30,T_StockCount[WeekIndex],94),IF((('T_SelfStock'!CQ34&lt;&gt;""))*(('T_TTAFStock'!CQ34&lt;&gt;""))&gt;0,'T_SelfStock'!CQ34+'T_TTAFStock'!CQ34,CP30+'Grid_Incoming'!CQ30-'Grid_Requirement'!CQ30))</f>
        <v/>
      </c>
      <c r="CR30">
        <f>IF(COUNTIFS(T_StockCount[Part Name],$A30,T_StockCount[WeekIndex],95)&gt;0,SUMIFS(T_StockCount[CountedQty],T_StockCount[Part Name],$A30,T_StockCount[WeekIndex],95),IF((('T_SelfStock'!CR34&lt;&gt;""))*(('T_TTAFStock'!CR34&lt;&gt;""))&gt;0,'T_SelfStock'!CR34+'T_TTAFStock'!CR34,CQ30+'Grid_Incoming'!CR30-'Grid_Requirement'!CR30))</f>
        <v/>
      </c>
      <c r="CS30">
        <f>IF(COUNTIFS(T_StockCount[Part Name],$A30,T_StockCount[WeekIndex],96)&gt;0,SUMIFS(T_StockCount[CountedQty],T_StockCount[Part Name],$A30,T_StockCount[WeekIndex],96),IF((('T_SelfStock'!CS34&lt;&gt;""))*(('T_TTAFStock'!CS34&lt;&gt;""))&gt;0,'T_SelfStock'!CS34+'T_TTAFStock'!CS34,CR30+'Grid_Incoming'!CS30-'Grid_Requirement'!CS30))</f>
        <v/>
      </c>
      <c r="CT30">
        <f>IF(COUNTIFS(T_StockCount[Part Name],$A30,T_StockCount[WeekIndex],97)&gt;0,SUMIFS(T_StockCount[CountedQty],T_StockCount[Part Name],$A30,T_StockCount[WeekIndex],97),IF((('T_SelfStock'!CT34&lt;&gt;""))*(('T_TTAFStock'!CT34&lt;&gt;""))&gt;0,'T_SelfStock'!CT34+'T_TTAFStock'!CT34,CS30+'Grid_Incoming'!CT30-'Grid_Requirement'!CT30))</f>
        <v/>
      </c>
      <c r="CU30">
        <f>IF(COUNTIFS(T_StockCount[Part Name],$A30,T_StockCount[WeekIndex],98)&gt;0,SUMIFS(T_StockCount[CountedQty],T_StockCount[Part Name],$A30,T_StockCount[WeekIndex],98),IF((('T_SelfStock'!CU34&lt;&gt;""))*(('T_TTAFStock'!CU34&lt;&gt;""))&gt;0,'T_SelfStock'!CU34+'T_TTAFStock'!CU34,CT30+'Grid_Incoming'!CU30-'Grid_Requirement'!CU30))</f>
        <v/>
      </c>
      <c r="CV30">
        <f>IF(COUNTIFS(T_StockCount[Part Name],$A30,T_StockCount[WeekIndex],99)&gt;0,SUMIFS(T_StockCount[CountedQty],T_StockCount[Part Name],$A30,T_StockCount[WeekIndex],99),IF((('T_SelfStock'!CV34&lt;&gt;""))*(('T_TTAFStock'!CV34&lt;&gt;""))&gt;0,'T_SelfStock'!CV34+'T_TTAFStock'!CV34,CU30+'Grid_Incoming'!CV30-'Grid_Requirement'!CV30))</f>
        <v/>
      </c>
      <c r="CW30">
        <f>IF(COUNTIFS(T_StockCount[Part Name],$A30,T_StockCount[WeekIndex],100)&gt;0,SUMIFS(T_StockCount[CountedQty],T_StockCount[Part Name],$A30,T_StockCount[WeekIndex],100),IF((('T_SelfStock'!CW34&lt;&gt;""))*(('T_TTAFStock'!CW34&lt;&gt;""))&gt;0,'T_SelfStock'!CW34+'T_TTAFStock'!CW34,CV30+'Grid_Incoming'!CW30-'Grid_Requirement'!CW30))</f>
        <v/>
      </c>
      <c r="CX30">
        <f>IF(COUNTIFS(T_StockCount[Part Name],$A30,T_StockCount[WeekIndex],101)&gt;0,SUMIFS(T_StockCount[CountedQty],T_StockCount[Part Name],$A30,T_StockCount[WeekIndex],101),IF((('T_SelfStock'!CX34&lt;&gt;""))*(('T_TTAFStock'!CX34&lt;&gt;""))&gt;0,'T_SelfStock'!CX34+'T_TTAFStock'!CX34,CW30+'Grid_Incoming'!CX30-'Grid_Requirement'!CX30))</f>
        <v/>
      </c>
      <c r="CY30">
        <f>IF(COUNTIFS(T_StockCount[Part Name],$A30,T_StockCount[WeekIndex],102)&gt;0,SUMIFS(T_StockCount[CountedQty],T_StockCount[Part Name],$A30,T_StockCount[WeekIndex],102),IF((('T_SelfStock'!CY34&lt;&gt;""))*(('T_TTAFStock'!CY34&lt;&gt;""))&gt;0,'T_SelfStock'!CY34+'T_TTAFStock'!CY34,CX30+'Grid_Incoming'!CY30-'Grid_Requirement'!CY30))</f>
        <v/>
      </c>
      <c r="CZ30">
        <f>IF(COUNTIFS(T_StockCount[Part Name],$A30,T_StockCount[WeekIndex],103)&gt;0,SUMIFS(T_StockCount[CountedQty],T_StockCount[Part Name],$A30,T_StockCount[WeekIndex],103),IF((('T_SelfStock'!CZ34&lt;&gt;""))*(('T_TTAFStock'!CZ34&lt;&gt;""))&gt;0,'T_SelfStock'!CZ34+'T_TTAFStock'!CZ34,CY30+'Grid_Incoming'!CZ30-'Grid_Requirement'!CZ30))</f>
        <v/>
      </c>
      <c r="DA30">
        <f>IF(COUNTIFS(T_StockCount[Part Name],$A30,T_StockCount[WeekIndex],104)&gt;0,SUMIFS(T_StockCount[CountedQty],T_StockCount[Part Name],$A30,T_StockCount[WeekIndex],104),IF((('T_SelfStock'!DA34&lt;&gt;""))*(('T_TTAFStock'!DA34&lt;&gt;""))&gt;0,'T_SelfStock'!DA34+'T_TTAFStock'!DA34,CZ30+'Grid_Incoming'!DA30-'Grid_Requirement'!DA30))</f>
        <v/>
      </c>
    </row>
    <row r="31">
      <c r="A31" t="inlineStr">
        <is>
          <t>CHEM-1440</t>
        </is>
      </c>
      <c r="B31">
        <f>IF(COUNTIFS(T_StockCount[Part Name],$A31,T_StockCount[WeekIndex],1)&gt;0,SUMIFS(T_StockCount[CountedQty],T_StockCount[Part Name],$A31,T_StockCount[WeekIndex],1),IF((('T_SelfStock'!B35&lt;&gt;""))*(('T_TTAFStock'!B35&lt;&gt;""))&gt;0,'T_SelfStock'!B35+'T_TTAFStock'!B35,IFERROR(INDEX(T_OpeningStock[Opening_Qty_要入力],MATCH($A31,T_OpeningStock[Part Name],0)),0)+'Grid_Incoming'!B31-'Grid_Requirement'!B31))</f>
        <v/>
      </c>
      <c r="C31">
        <f>IF(COUNTIFS(T_StockCount[Part Name],$A31,T_StockCount[WeekIndex],2)&gt;0,SUMIFS(T_StockCount[CountedQty],T_StockCount[Part Name],$A31,T_StockCount[WeekIndex],2),IF((('T_SelfStock'!C35&lt;&gt;""))*(('T_TTAFStock'!C35&lt;&gt;""))&gt;0,'T_SelfStock'!C35+'T_TTAFStock'!C35,B31+'Grid_Incoming'!C31-'Grid_Requirement'!C31))</f>
        <v/>
      </c>
      <c r="D31">
        <f>IF(COUNTIFS(T_StockCount[Part Name],$A31,T_StockCount[WeekIndex],3)&gt;0,SUMIFS(T_StockCount[CountedQty],T_StockCount[Part Name],$A31,T_StockCount[WeekIndex],3),IF((('T_SelfStock'!D35&lt;&gt;""))*(('T_TTAFStock'!D35&lt;&gt;""))&gt;0,'T_SelfStock'!D35+'T_TTAFStock'!D35,C31+'Grid_Incoming'!D31-'Grid_Requirement'!D31))</f>
        <v/>
      </c>
      <c r="E31">
        <f>IF(COUNTIFS(T_StockCount[Part Name],$A31,T_StockCount[WeekIndex],4)&gt;0,SUMIFS(T_StockCount[CountedQty],T_StockCount[Part Name],$A31,T_StockCount[WeekIndex],4),IF((('T_SelfStock'!E35&lt;&gt;""))*(('T_TTAFStock'!E35&lt;&gt;""))&gt;0,'T_SelfStock'!E35+'T_TTAFStock'!E35,D31+'Grid_Incoming'!E31-'Grid_Requirement'!E31))</f>
        <v/>
      </c>
      <c r="F31">
        <f>IF(COUNTIFS(T_StockCount[Part Name],$A31,T_StockCount[WeekIndex],5)&gt;0,SUMIFS(T_StockCount[CountedQty],T_StockCount[Part Name],$A31,T_StockCount[WeekIndex],5),IF((('T_SelfStock'!F35&lt;&gt;""))*(('T_TTAFStock'!F35&lt;&gt;""))&gt;0,'T_SelfStock'!F35+'T_TTAFStock'!F35,E31+'Grid_Incoming'!F31-'Grid_Requirement'!F31))</f>
        <v/>
      </c>
      <c r="G31">
        <f>IF(COUNTIFS(T_StockCount[Part Name],$A31,T_StockCount[WeekIndex],6)&gt;0,SUMIFS(T_StockCount[CountedQty],T_StockCount[Part Name],$A31,T_StockCount[WeekIndex],6),IF((('T_SelfStock'!G35&lt;&gt;""))*(('T_TTAFStock'!G35&lt;&gt;""))&gt;0,'T_SelfStock'!G35+'T_TTAFStock'!G35,F31+'Grid_Incoming'!G31-'Grid_Requirement'!G31))</f>
        <v/>
      </c>
      <c r="H31">
        <f>IF(COUNTIFS(T_StockCount[Part Name],$A31,T_StockCount[WeekIndex],7)&gt;0,SUMIFS(T_StockCount[CountedQty],T_StockCount[Part Name],$A31,T_StockCount[WeekIndex],7),IF((('T_SelfStock'!H35&lt;&gt;""))*(('T_TTAFStock'!H35&lt;&gt;""))&gt;0,'T_SelfStock'!H35+'T_TTAFStock'!H35,G31+'Grid_Incoming'!H31-'Grid_Requirement'!H31))</f>
        <v/>
      </c>
      <c r="I31">
        <f>IF(COUNTIFS(T_StockCount[Part Name],$A31,T_StockCount[WeekIndex],8)&gt;0,SUMIFS(T_StockCount[CountedQty],T_StockCount[Part Name],$A31,T_StockCount[WeekIndex],8),IF((('T_SelfStock'!I35&lt;&gt;""))*(('T_TTAFStock'!I35&lt;&gt;""))&gt;0,'T_SelfStock'!I35+'T_TTAFStock'!I35,H31+'Grid_Incoming'!I31-'Grid_Requirement'!I31))</f>
        <v/>
      </c>
      <c r="J31">
        <f>IF(COUNTIFS(T_StockCount[Part Name],$A31,T_StockCount[WeekIndex],9)&gt;0,SUMIFS(T_StockCount[CountedQty],T_StockCount[Part Name],$A31,T_StockCount[WeekIndex],9),IF((('T_SelfStock'!J35&lt;&gt;""))*(('T_TTAFStock'!J35&lt;&gt;""))&gt;0,'T_SelfStock'!J35+'T_TTAFStock'!J35,I31+'Grid_Incoming'!J31-'Grid_Requirement'!J31))</f>
        <v/>
      </c>
      <c r="K31">
        <f>IF(COUNTIFS(T_StockCount[Part Name],$A31,T_StockCount[WeekIndex],10)&gt;0,SUMIFS(T_StockCount[CountedQty],T_StockCount[Part Name],$A31,T_StockCount[WeekIndex],10),IF((('T_SelfStock'!K35&lt;&gt;""))*(('T_TTAFStock'!K35&lt;&gt;""))&gt;0,'T_SelfStock'!K35+'T_TTAFStock'!K35,J31+'Grid_Incoming'!K31-'Grid_Requirement'!K31))</f>
        <v/>
      </c>
      <c r="L31">
        <f>IF(COUNTIFS(T_StockCount[Part Name],$A31,T_StockCount[WeekIndex],11)&gt;0,SUMIFS(T_StockCount[CountedQty],T_StockCount[Part Name],$A31,T_StockCount[WeekIndex],11),IF((('T_SelfStock'!L35&lt;&gt;""))*(('T_TTAFStock'!L35&lt;&gt;""))&gt;0,'T_SelfStock'!L35+'T_TTAFStock'!L35,K31+'Grid_Incoming'!L31-'Grid_Requirement'!L31))</f>
        <v/>
      </c>
      <c r="M31">
        <f>IF(COUNTIFS(T_StockCount[Part Name],$A31,T_StockCount[WeekIndex],12)&gt;0,SUMIFS(T_StockCount[CountedQty],T_StockCount[Part Name],$A31,T_StockCount[WeekIndex],12),IF((('T_SelfStock'!M35&lt;&gt;""))*(('T_TTAFStock'!M35&lt;&gt;""))&gt;0,'T_SelfStock'!M35+'T_TTAFStock'!M35,L31+'Grid_Incoming'!M31-'Grid_Requirement'!M31))</f>
        <v/>
      </c>
      <c r="N31">
        <f>IF(COUNTIFS(T_StockCount[Part Name],$A31,T_StockCount[WeekIndex],13)&gt;0,SUMIFS(T_StockCount[CountedQty],T_StockCount[Part Name],$A31,T_StockCount[WeekIndex],13),IF((('T_SelfStock'!N35&lt;&gt;""))*(('T_TTAFStock'!N35&lt;&gt;""))&gt;0,'T_SelfStock'!N35+'T_TTAFStock'!N35,M31+'Grid_Incoming'!N31-'Grid_Requirement'!N31))</f>
        <v/>
      </c>
      <c r="O31">
        <f>IF(COUNTIFS(T_StockCount[Part Name],$A31,T_StockCount[WeekIndex],14)&gt;0,SUMIFS(T_StockCount[CountedQty],T_StockCount[Part Name],$A31,T_StockCount[WeekIndex],14),IF((('T_SelfStock'!O35&lt;&gt;""))*(('T_TTAFStock'!O35&lt;&gt;""))&gt;0,'T_SelfStock'!O35+'T_TTAFStock'!O35,N31+'Grid_Incoming'!O31-'Grid_Requirement'!O31))</f>
        <v/>
      </c>
      <c r="P31">
        <f>IF(COUNTIFS(T_StockCount[Part Name],$A31,T_StockCount[WeekIndex],15)&gt;0,SUMIFS(T_StockCount[CountedQty],T_StockCount[Part Name],$A31,T_StockCount[WeekIndex],15),IF((('T_SelfStock'!P35&lt;&gt;""))*(('T_TTAFStock'!P35&lt;&gt;""))&gt;0,'T_SelfStock'!P35+'T_TTAFStock'!P35,O31+'Grid_Incoming'!P31-'Grid_Requirement'!P31))</f>
        <v/>
      </c>
      <c r="Q31">
        <f>IF(COUNTIFS(T_StockCount[Part Name],$A31,T_StockCount[WeekIndex],16)&gt;0,SUMIFS(T_StockCount[CountedQty],T_StockCount[Part Name],$A31,T_StockCount[WeekIndex],16),IF((('T_SelfStock'!Q35&lt;&gt;""))*(('T_TTAFStock'!Q35&lt;&gt;""))&gt;0,'T_SelfStock'!Q35+'T_TTAFStock'!Q35,P31+'Grid_Incoming'!Q31-'Grid_Requirement'!Q31))</f>
        <v/>
      </c>
      <c r="R31">
        <f>IF(COUNTIFS(T_StockCount[Part Name],$A31,T_StockCount[WeekIndex],17)&gt;0,SUMIFS(T_StockCount[CountedQty],T_StockCount[Part Name],$A31,T_StockCount[WeekIndex],17),IF((('T_SelfStock'!R35&lt;&gt;""))*(('T_TTAFStock'!R35&lt;&gt;""))&gt;0,'T_SelfStock'!R35+'T_TTAFStock'!R35,Q31+'Grid_Incoming'!R31-'Grid_Requirement'!R31))</f>
        <v/>
      </c>
      <c r="S31">
        <f>IF(COUNTIFS(T_StockCount[Part Name],$A31,T_StockCount[WeekIndex],18)&gt;0,SUMIFS(T_StockCount[CountedQty],T_StockCount[Part Name],$A31,T_StockCount[WeekIndex],18),IF((('T_SelfStock'!S35&lt;&gt;""))*(('T_TTAFStock'!S35&lt;&gt;""))&gt;0,'T_SelfStock'!S35+'T_TTAFStock'!S35,R31+'Grid_Incoming'!S31-'Grid_Requirement'!S31))</f>
        <v/>
      </c>
      <c r="T31">
        <f>IF(COUNTIFS(T_StockCount[Part Name],$A31,T_StockCount[WeekIndex],19)&gt;0,SUMIFS(T_StockCount[CountedQty],T_StockCount[Part Name],$A31,T_StockCount[WeekIndex],19),IF((('T_SelfStock'!T35&lt;&gt;""))*(('T_TTAFStock'!T35&lt;&gt;""))&gt;0,'T_SelfStock'!T35+'T_TTAFStock'!T35,S31+'Grid_Incoming'!T31-'Grid_Requirement'!T31))</f>
        <v/>
      </c>
      <c r="U31">
        <f>IF(COUNTIFS(T_StockCount[Part Name],$A31,T_StockCount[WeekIndex],20)&gt;0,SUMIFS(T_StockCount[CountedQty],T_StockCount[Part Name],$A31,T_StockCount[WeekIndex],20),IF((('T_SelfStock'!U35&lt;&gt;""))*(('T_TTAFStock'!U35&lt;&gt;""))&gt;0,'T_SelfStock'!U35+'T_TTAFStock'!U35,T31+'Grid_Incoming'!U31-'Grid_Requirement'!U31))</f>
        <v/>
      </c>
      <c r="V31">
        <f>IF(COUNTIFS(T_StockCount[Part Name],$A31,T_StockCount[WeekIndex],21)&gt;0,SUMIFS(T_StockCount[CountedQty],T_StockCount[Part Name],$A31,T_StockCount[WeekIndex],21),IF((('T_SelfStock'!V35&lt;&gt;""))*(('T_TTAFStock'!V35&lt;&gt;""))&gt;0,'T_SelfStock'!V35+'T_TTAFStock'!V35,U31+'Grid_Incoming'!V31-'Grid_Requirement'!V31))</f>
        <v/>
      </c>
      <c r="W31">
        <f>IF(COUNTIFS(T_StockCount[Part Name],$A31,T_StockCount[WeekIndex],22)&gt;0,SUMIFS(T_StockCount[CountedQty],T_StockCount[Part Name],$A31,T_StockCount[WeekIndex],22),IF((('T_SelfStock'!W35&lt;&gt;""))*(('T_TTAFStock'!W35&lt;&gt;""))&gt;0,'T_SelfStock'!W35+'T_TTAFStock'!W35,V31+'Grid_Incoming'!W31-'Grid_Requirement'!W31))</f>
        <v/>
      </c>
      <c r="X31">
        <f>IF(COUNTIFS(T_StockCount[Part Name],$A31,T_StockCount[WeekIndex],23)&gt;0,SUMIFS(T_StockCount[CountedQty],T_StockCount[Part Name],$A31,T_StockCount[WeekIndex],23),IF((('T_SelfStock'!X35&lt;&gt;""))*(('T_TTAFStock'!X35&lt;&gt;""))&gt;0,'T_SelfStock'!X35+'T_TTAFStock'!X35,W31+'Grid_Incoming'!X31-'Grid_Requirement'!X31))</f>
        <v/>
      </c>
      <c r="Y31">
        <f>IF(COUNTIFS(T_StockCount[Part Name],$A31,T_StockCount[WeekIndex],24)&gt;0,SUMIFS(T_StockCount[CountedQty],T_StockCount[Part Name],$A31,T_StockCount[WeekIndex],24),IF((('T_SelfStock'!Y35&lt;&gt;""))*(('T_TTAFStock'!Y35&lt;&gt;""))&gt;0,'T_SelfStock'!Y35+'T_TTAFStock'!Y35,X31+'Grid_Incoming'!Y31-'Grid_Requirement'!Y31))</f>
        <v/>
      </c>
      <c r="Z31">
        <f>IF(COUNTIFS(T_StockCount[Part Name],$A31,T_StockCount[WeekIndex],25)&gt;0,SUMIFS(T_StockCount[CountedQty],T_StockCount[Part Name],$A31,T_StockCount[WeekIndex],25),IF((('T_SelfStock'!Z35&lt;&gt;""))*(('T_TTAFStock'!Z35&lt;&gt;""))&gt;0,'T_SelfStock'!Z35+'T_TTAFStock'!Z35,Y31+'Grid_Incoming'!Z31-'Grid_Requirement'!Z31))</f>
        <v/>
      </c>
      <c r="AA31">
        <f>IF(COUNTIFS(T_StockCount[Part Name],$A31,T_StockCount[WeekIndex],26)&gt;0,SUMIFS(T_StockCount[CountedQty],T_StockCount[Part Name],$A31,T_StockCount[WeekIndex],26),IF((('T_SelfStock'!AA35&lt;&gt;""))*(('T_TTAFStock'!AA35&lt;&gt;""))&gt;0,'T_SelfStock'!AA35+'T_TTAFStock'!AA35,Z31+'Grid_Incoming'!AA31-'Grid_Requirement'!AA31))</f>
        <v/>
      </c>
      <c r="AB31">
        <f>IF(COUNTIFS(T_StockCount[Part Name],$A31,T_StockCount[WeekIndex],27)&gt;0,SUMIFS(T_StockCount[CountedQty],T_StockCount[Part Name],$A31,T_StockCount[WeekIndex],27),IF((('T_SelfStock'!AB35&lt;&gt;""))*(('T_TTAFStock'!AB35&lt;&gt;""))&gt;0,'T_SelfStock'!AB35+'T_TTAFStock'!AB35,AA31+'Grid_Incoming'!AB31-'Grid_Requirement'!AB31))</f>
        <v/>
      </c>
      <c r="AC31">
        <f>IF(COUNTIFS(T_StockCount[Part Name],$A31,T_StockCount[WeekIndex],28)&gt;0,SUMIFS(T_StockCount[CountedQty],T_StockCount[Part Name],$A31,T_StockCount[WeekIndex],28),IF((('T_SelfStock'!AC35&lt;&gt;""))*(('T_TTAFStock'!AC35&lt;&gt;""))&gt;0,'T_SelfStock'!AC35+'T_TTAFStock'!AC35,AB31+'Grid_Incoming'!AC31-'Grid_Requirement'!AC31))</f>
        <v/>
      </c>
      <c r="AD31">
        <f>IF(COUNTIFS(T_StockCount[Part Name],$A31,T_StockCount[WeekIndex],29)&gt;0,SUMIFS(T_StockCount[CountedQty],T_StockCount[Part Name],$A31,T_StockCount[WeekIndex],29),IF((('T_SelfStock'!AD35&lt;&gt;""))*(('T_TTAFStock'!AD35&lt;&gt;""))&gt;0,'T_SelfStock'!AD35+'T_TTAFStock'!AD35,AC31+'Grid_Incoming'!AD31-'Grid_Requirement'!AD31))</f>
        <v/>
      </c>
      <c r="AE31">
        <f>IF(COUNTIFS(T_StockCount[Part Name],$A31,T_StockCount[WeekIndex],30)&gt;0,SUMIFS(T_StockCount[CountedQty],T_StockCount[Part Name],$A31,T_StockCount[WeekIndex],30),IF((('T_SelfStock'!AE35&lt;&gt;""))*(('T_TTAFStock'!AE35&lt;&gt;""))&gt;0,'T_SelfStock'!AE35+'T_TTAFStock'!AE35,AD31+'Grid_Incoming'!AE31-'Grid_Requirement'!AE31))</f>
        <v/>
      </c>
      <c r="AF31">
        <f>IF(COUNTIFS(T_StockCount[Part Name],$A31,T_StockCount[WeekIndex],31)&gt;0,SUMIFS(T_StockCount[CountedQty],T_StockCount[Part Name],$A31,T_StockCount[WeekIndex],31),IF((('T_SelfStock'!AF35&lt;&gt;""))*(('T_TTAFStock'!AF35&lt;&gt;""))&gt;0,'T_SelfStock'!AF35+'T_TTAFStock'!AF35,AE31+'Grid_Incoming'!AF31-'Grid_Requirement'!AF31))</f>
        <v/>
      </c>
      <c r="AG31">
        <f>IF(COUNTIFS(T_StockCount[Part Name],$A31,T_StockCount[WeekIndex],32)&gt;0,SUMIFS(T_StockCount[CountedQty],T_StockCount[Part Name],$A31,T_StockCount[WeekIndex],32),IF((('T_SelfStock'!AG35&lt;&gt;""))*(('T_TTAFStock'!AG35&lt;&gt;""))&gt;0,'T_SelfStock'!AG35+'T_TTAFStock'!AG35,AF31+'Grid_Incoming'!AG31-'Grid_Requirement'!AG31))</f>
        <v/>
      </c>
      <c r="AH31">
        <f>IF(COUNTIFS(T_StockCount[Part Name],$A31,T_StockCount[WeekIndex],33)&gt;0,SUMIFS(T_StockCount[CountedQty],T_StockCount[Part Name],$A31,T_StockCount[WeekIndex],33),IF((('T_SelfStock'!AH35&lt;&gt;""))*(('T_TTAFStock'!AH35&lt;&gt;""))&gt;0,'T_SelfStock'!AH35+'T_TTAFStock'!AH35,AG31+'Grid_Incoming'!AH31-'Grid_Requirement'!AH31))</f>
        <v/>
      </c>
      <c r="AI31">
        <f>IF(COUNTIFS(T_StockCount[Part Name],$A31,T_StockCount[WeekIndex],34)&gt;0,SUMIFS(T_StockCount[CountedQty],T_StockCount[Part Name],$A31,T_StockCount[WeekIndex],34),IF((('T_SelfStock'!AI35&lt;&gt;""))*(('T_TTAFStock'!AI35&lt;&gt;""))&gt;0,'T_SelfStock'!AI35+'T_TTAFStock'!AI35,AH31+'Grid_Incoming'!AI31-'Grid_Requirement'!AI31))</f>
        <v/>
      </c>
      <c r="AJ31">
        <f>IF(COUNTIFS(T_StockCount[Part Name],$A31,T_StockCount[WeekIndex],35)&gt;0,SUMIFS(T_StockCount[CountedQty],T_StockCount[Part Name],$A31,T_StockCount[WeekIndex],35),IF((('T_SelfStock'!AJ35&lt;&gt;""))*(('T_TTAFStock'!AJ35&lt;&gt;""))&gt;0,'T_SelfStock'!AJ35+'T_TTAFStock'!AJ35,AI31+'Grid_Incoming'!AJ31-'Grid_Requirement'!AJ31))</f>
        <v/>
      </c>
      <c r="AK31">
        <f>IF(COUNTIFS(T_StockCount[Part Name],$A31,T_StockCount[WeekIndex],36)&gt;0,SUMIFS(T_StockCount[CountedQty],T_StockCount[Part Name],$A31,T_StockCount[WeekIndex],36),IF((('T_SelfStock'!AK35&lt;&gt;""))*(('T_TTAFStock'!AK35&lt;&gt;""))&gt;0,'T_SelfStock'!AK35+'T_TTAFStock'!AK35,AJ31+'Grid_Incoming'!AK31-'Grid_Requirement'!AK31))</f>
        <v/>
      </c>
      <c r="AL31">
        <f>IF(COUNTIFS(T_StockCount[Part Name],$A31,T_StockCount[WeekIndex],37)&gt;0,SUMIFS(T_StockCount[CountedQty],T_StockCount[Part Name],$A31,T_StockCount[WeekIndex],37),IF((('T_SelfStock'!AL35&lt;&gt;""))*(('T_TTAFStock'!AL35&lt;&gt;""))&gt;0,'T_SelfStock'!AL35+'T_TTAFStock'!AL35,AK31+'Grid_Incoming'!AL31-'Grid_Requirement'!AL31))</f>
        <v/>
      </c>
      <c r="AM31">
        <f>IF(COUNTIFS(T_StockCount[Part Name],$A31,T_StockCount[WeekIndex],38)&gt;0,SUMIFS(T_StockCount[CountedQty],T_StockCount[Part Name],$A31,T_StockCount[WeekIndex],38),IF((('T_SelfStock'!AM35&lt;&gt;""))*(('T_TTAFStock'!AM35&lt;&gt;""))&gt;0,'T_SelfStock'!AM35+'T_TTAFStock'!AM35,AL31+'Grid_Incoming'!AM31-'Grid_Requirement'!AM31))</f>
        <v/>
      </c>
      <c r="AN31">
        <f>IF(COUNTIFS(T_StockCount[Part Name],$A31,T_StockCount[WeekIndex],39)&gt;0,SUMIFS(T_StockCount[CountedQty],T_StockCount[Part Name],$A31,T_StockCount[WeekIndex],39),IF((('T_SelfStock'!AN35&lt;&gt;""))*(('T_TTAFStock'!AN35&lt;&gt;""))&gt;0,'T_SelfStock'!AN35+'T_TTAFStock'!AN35,AM31+'Grid_Incoming'!AN31-'Grid_Requirement'!AN31))</f>
        <v/>
      </c>
      <c r="AO31">
        <f>IF(COUNTIFS(T_StockCount[Part Name],$A31,T_StockCount[WeekIndex],40)&gt;0,SUMIFS(T_StockCount[CountedQty],T_StockCount[Part Name],$A31,T_StockCount[WeekIndex],40),IF((('T_SelfStock'!AO35&lt;&gt;""))*(('T_TTAFStock'!AO35&lt;&gt;""))&gt;0,'T_SelfStock'!AO35+'T_TTAFStock'!AO35,AN31+'Grid_Incoming'!AO31-'Grid_Requirement'!AO31))</f>
        <v/>
      </c>
      <c r="AP31">
        <f>IF(COUNTIFS(T_StockCount[Part Name],$A31,T_StockCount[WeekIndex],41)&gt;0,SUMIFS(T_StockCount[CountedQty],T_StockCount[Part Name],$A31,T_StockCount[WeekIndex],41),IF((('T_SelfStock'!AP35&lt;&gt;""))*(('T_TTAFStock'!AP35&lt;&gt;""))&gt;0,'T_SelfStock'!AP35+'T_TTAFStock'!AP35,AO31+'Grid_Incoming'!AP31-'Grid_Requirement'!AP31))</f>
        <v/>
      </c>
      <c r="AQ31">
        <f>IF(COUNTIFS(T_StockCount[Part Name],$A31,T_StockCount[WeekIndex],42)&gt;0,SUMIFS(T_StockCount[CountedQty],T_StockCount[Part Name],$A31,T_StockCount[WeekIndex],42),IF((('T_SelfStock'!AQ35&lt;&gt;""))*(('T_TTAFStock'!AQ35&lt;&gt;""))&gt;0,'T_SelfStock'!AQ35+'T_TTAFStock'!AQ35,AP31+'Grid_Incoming'!AQ31-'Grid_Requirement'!AQ31))</f>
        <v/>
      </c>
      <c r="AR31">
        <f>IF(COUNTIFS(T_StockCount[Part Name],$A31,T_StockCount[WeekIndex],43)&gt;0,SUMIFS(T_StockCount[CountedQty],T_StockCount[Part Name],$A31,T_StockCount[WeekIndex],43),IF((('T_SelfStock'!AR35&lt;&gt;""))*(('T_TTAFStock'!AR35&lt;&gt;""))&gt;0,'T_SelfStock'!AR35+'T_TTAFStock'!AR35,AQ31+'Grid_Incoming'!AR31-'Grid_Requirement'!AR31))</f>
        <v/>
      </c>
      <c r="AS31">
        <f>IF(COUNTIFS(T_StockCount[Part Name],$A31,T_StockCount[WeekIndex],44)&gt;0,SUMIFS(T_StockCount[CountedQty],T_StockCount[Part Name],$A31,T_StockCount[WeekIndex],44),IF((('T_SelfStock'!AS35&lt;&gt;""))*(('T_TTAFStock'!AS35&lt;&gt;""))&gt;0,'T_SelfStock'!AS35+'T_TTAFStock'!AS35,AR31+'Grid_Incoming'!AS31-'Grid_Requirement'!AS31))</f>
        <v/>
      </c>
      <c r="AT31">
        <f>IF(COUNTIFS(T_StockCount[Part Name],$A31,T_StockCount[WeekIndex],45)&gt;0,SUMIFS(T_StockCount[CountedQty],T_StockCount[Part Name],$A31,T_StockCount[WeekIndex],45),IF((('T_SelfStock'!AT35&lt;&gt;""))*(('T_TTAFStock'!AT35&lt;&gt;""))&gt;0,'T_SelfStock'!AT35+'T_TTAFStock'!AT35,AS31+'Grid_Incoming'!AT31-'Grid_Requirement'!AT31))</f>
        <v/>
      </c>
      <c r="AU31">
        <f>IF(COUNTIFS(T_StockCount[Part Name],$A31,T_StockCount[WeekIndex],46)&gt;0,SUMIFS(T_StockCount[CountedQty],T_StockCount[Part Name],$A31,T_StockCount[WeekIndex],46),IF((('T_SelfStock'!AU35&lt;&gt;""))*(('T_TTAFStock'!AU35&lt;&gt;""))&gt;0,'T_SelfStock'!AU35+'T_TTAFStock'!AU35,AT31+'Grid_Incoming'!AU31-'Grid_Requirement'!AU31))</f>
        <v/>
      </c>
      <c r="AV31">
        <f>IF(COUNTIFS(T_StockCount[Part Name],$A31,T_StockCount[WeekIndex],47)&gt;0,SUMIFS(T_StockCount[CountedQty],T_StockCount[Part Name],$A31,T_StockCount[WeekIndex],47),IF((('T_SelfStock'!AV35&lt;&gt;""))*(('T_TTAFStock'!AV35&lt;&gt;""))&gt;0,'T_SelfStock'!AV35+'T_TTAFStock'!AV35,AU31+'Grid_Incoming'!AV31-'Grid_Requirement'!AV31))</f>
        <v/>
      </c>
      <c r="AW31">
        <f>IF(COUNTIFS(T_StockCount[Part Name],$A31,T_StockCount[WeekIndex],48)&gt;0,SUMIFS(T_StockCount[CountedQty],T_StockCount[Part Name],$A31,T_StockCount[WeekIndex],48),IF((('T_SelfStock'!AW35&lt;&gt;""))*(('T_TTAFStock'!AW35&lt;&gt;""))&gt;0,'T_SelfStock'!AW35+'T_TTAFStock'!AW35,AV31+'Grid_Incoming'!AW31-'Grid_Requirement'!AW31))</f>
        <v/>
      </c>
      <c r="AX31">
        <f>IF(COUNTIFS(T_StockCount[Part Name],$A31,T_StockCount[WeekIndex],49)&gt;0,SUMIFS(T_StockCount[CountedQty],T_StockCount[Part Name],$A31,T_StockCount[WeekIndex],49),IF((('T_SelfStock'!AX35&lt;&gt;""))*(('T_TTAFStock'!AX35&lt;&gt;""))&gt;0,'T_SelfStock'!AX35+'T_TTAFStock'!AX35,AW31+'Grid_Incoming'!AX31-'Grid_Requirement'!AX31))</f>
        <v/>
      </c>
      <c r="AY31">
        <f>IF(COUNTIFS(T_StockCount[Part Name],$A31,T_StockCount[WeekIndex],50)&gt;0,SUMIFS(T_StockCount[CountedQty],T_StockCount[Part Name],$A31,T_StockCount[WeekIndex],50),IF((('T_SelfStock'!AY35&lt;&gt;""))*(('T_TTAFStock'!AY35&lt;&gt;""))&gt;0,'T_SelfStock'!AY35+'T_TTAFStock'!AY35,AX31+'Grid_Incoming'!AY31-'Grid_Requirement'!AY31))</f>
        <v/>
      </c>
      <c r="AZ31">
        <f>IF(COUNTIFS(T_StockCount[Part Name],$A31,T_StockCount[WeekIndex],51)&gt;0,SUMIFS(T_StockCount[CountedQty],T_StockCount[Part Name],$A31,T_StockCount[WeekIndex],51),IF((('T_SelfStock'!AZ35&lt;&gt;""))*(('T_TTAFStock'!AZ35&lt;&gt;""))&gt;0,'T_SelfStock'!AZ35+'T_TTAFStock'!AZ35,AY31+'Grid_Incoming'!AZ31-'Grid_Requirement'!AZ31))</f>
        <v/>
      </c>
      <c r="BA31">
        <f>IF(COUNTIFS(T_StockCount[Part Name],$A31,T_StockCount[WeekIndex],52)&gt;0,SUMIFS(T_StockCount[CountedQty],T_StockCount[Part Name],$A31,T_StockCount[WeekIndex],52),IF((('T_SelfStock'!BA35&lt;&gt;""))*(('T_TTAFStock'!BA35&lt;&gt;""))&gt;0,'T_SelfStock'!BA35+'T_TTAFStock'!BA35,AZ31+'Grid_Incoming'!BA31-'Grid_Requirement'!BA31))</f>
        <v/>
      </c>
      <c r="BB31">
        <f>IF(COUNTIFS(T_StockCount[Part Name],$A31,T_StockCount[WeekIndex],53)&gt;0,SUMIFS(T_StockCount[CountedQty],T_StockCount[Part Name],$A31,T_StockCount[WeekIndex],53),IF((('T_SelfStock'!BB35&lt;&gt;""))*(('T_TTAFStock'!BB35&lt;&gt;""))&gt;0,'T_SelfStock'!BB35+'T_TTAFStock'!BB35,BA31+'Grid_Incoming'!BB31-'Grid_Requirement'!BB31))</f>
        <v/>
      </c>
      <c r="BC31">
        <f>IF(COUNTIFS(T_StockCount[Part Name],$A31,T_StockCount[WeekIndex],54)&gt;0,SUMIFS(T_StockCount[CountedQty],T_StockCount[Part Name],$A31,T_StockCount[WeekIndex],54),IF((('T_SelfStock'!BC35&lt;&gt;""))*(('T_TTAFStock'!BC35&lt;&gt;""))&gt;0,'T_SelfStock'!BC35+'T_TTAFStock'!BC35,BB31+'Grid_Incoming'!BC31-'Grid_Requirement'!BC31))</f>
        <v/>
      </c>
      <c r="BD31">
        <f>IF(COUNTIFS(T_StockCount[Part Name],$A31,T_StockCount[WeekIndex],55)&gt;0,SUMIFS(T_StockCount[CountedQty],T_StockCount[Part Name],$A31,T_StockCount[WeekIndex],55),IF((('T_SelfStock'!BD35&lt;&gt;""))*(('T_TTAFStock'!BD35&lt;&gt;""))&gt;0,'T_SelfStock'!BD35+'T_TTAFStock'!BD35,BC31+'Grid_Incoming'!BD31-'Grid_Requirement'!BD31))</f>
        <v/>
      </c>
      <c r="BE31">
        <f>IF(COUNTIFS(T_StockCount[Part Name],$A31,T_StockCount[WeekIndex],56)&gt;0,SUMIFS(T_StockCount[CountedQty],T_StockCount[Part Name],$A31,T_StockCount[WeekIndex],56),IF((('T_SelfStock'!BE35&lt;&gt;""))*(('T_TTAFStock'!BE35&lt;&gt;""))&gt;0,'T_SelfStock'!BE35+'T_TTAFStock'!BE35,BD31+'Grid_Incoming'!BE31-'Grid_Requirement'!BE31))</f>
        <v/>
      </c>
      <c r="BF31">
        <f>IF(COUNTIFS(T_StockCount[Part Name],$A31,T_StockCount[WeekIndex],57)&gt;0,SUMIFS(T_StockCount[CountedQty],T_StockCount[Part Name],$A31,T_StockCount[WeekIndex],57),IF((('T_SelfStock'!BF35&lt;&gt;""))*(('T_TTAFStock'!BF35&lt;&gt;""))&gt;0,'T_SelfStock'!BF35+'T_TTAFStock'!BF35,BE31+'Grid_Incoming'!BF31-'Grid_Requirement'!BF31))</f>
        <v/>
      </c>
      <c r="BG31">
        <f>IF(COUNTIFS(T_StockCount[Part Name],$A31,T_StockCount[WeekIndex],58)&gt;0,SUMIFS(T_StockCount[CountedQty],T_StockCount[Part Name],$A31,T_StockCount[WeekIndex],58),IF((('T_SelfStock'!BG35&lt;&gt;""))*(('T_TTAFStock'!BG35&lt;&gt;""))&gt;0,'T_SelfStock'!BG35+'T_TTAFStock'!BG35,BF31+'Grid_Incoming'!BG31-'Grid_Requirement'!BG31))</f>
        <v/>
      </c>
      <c r="BH31">
        <f>IF(COUNTIFS(T_StockCount[Part Name],$A31,T_StockCount[WeekIndex],59)&gt;0,SUMIFS(T_StockCount[CountedQty],T_StockCount[Part Name],$A31,T_StockCount[WeekIndex],59),IF((('T_SelfStock'!BH35&lt;&gt;""))*(('T_TTAFStock'!BH35&lt;&gt;""))&gt;0,'T_SelfStock'!BH35+'T_TTAFStock'!BH35,BG31+'Grid_Incoming'!BH31-'Grid_Requirement'!BH31))</f>
        <v/>
      </c>
      <c r="BI31">
        <f>IF(COUNTIFS(T_StockCount[Part Name],$A31,T_StockCount[WeekIndex],60)&gt;0,SUMIFS(T_StockCount[CountedQty],T_StockCount[Part Name],$A31,T_StockCount[WeekIndex],60),IF((('T_SelfStock'!BI35&lt;&gt;""))*(('T_TTAFStock'!BI35&lt;&gt;""))&gt;0,'T_SelfStock'!BI35+'T_TTAFStock'!BI35,BH31+'Grid_Incoming'!BI31-'Grid_Requirement'!BI31))</f>
        <v/>
      </c>
      <c r="BJ31">
        <f>IF(COUNTIFS(T_StockCount[Part Name],$A31,T_StockCount[WeekIndex],61)&gt;0,SUMIFS(T_StockCount[CountedQty],T_StockCount[Part Name],$A31,T_StockCount[WeekIndex],61),IF((('T_SelfStock'!BJ35&lt;&gt;""))*(('T_TTAFStock'!BJ35&lt;&gt;""))&gt;0,'T_SelfStock'!BJ35+'T_TTAFStock'!BJ35,BI31+'Grid_Incoming'!BJ31-'Grid_Requirement'!BJ31))</f>
        <v/>
      </c>
      <c r="BK31">
        <f>IF(COUNTIFS(T_StockCount[Part Name],$A31,T_StockCount[WeekIndex],62)&gt;0,SUMIFS(T_StockCount[CountedQty],T_StockCount[Part Name],$A31,T_StockCount[WeekIndex],62),IF((('T_SelfStock'!BK35&lt;&gt;""))*(('T_TTAFStock'!BK35&lt;&gt;""))&gt;0,'T_SelfStock'!BK35+'T_TTAFStock'!BK35,BJ31+'Grid_Incoming'!BK31-'Grid_Requirement'!BK31))</f>
        <v/>
      </c>
      <c r="BL31">
        <f>IF(COUNTIFS(T_StockCount[Part Name],$A31,T_StockCount[WeekIndex],63)&gt;0,SUMIFS(T_StockCount[CountedQty],T_StockCount[Part Name],$A31,T_StockCount[WeekIndex],63),IF((('T_SelfStock'!BL35&lt;&gt;""))*(('T_TTAFStock'!BL35&lt;&gt;""))&gt;0,'T_SelfStock'!BL35+'T_TTAFStock'!BL35,BK31+'Grid_Incoming'!BL31-'Grid_Requirement'!BL31))</f>
        <v/>
      </c>
      <c r="BM31">
        <f>IF(COUNTIFS(T_StockCount[Part Name],$A31,T_StockCount[WeekIndex],64)&gt;0,SUMIFS(T_StockCount[CountedQty],T_StockCount[Part Name],$A31,T_StockCount[WeekIndex],64),IF((('T_SelfStock'!BM35&lt;&gt;""))*(('T_TTAFStock'!BM35&lt;&gt;""))&gt;0,'T_SelfStock'!BM35+'T_TTAFStock'!BM35,BL31+'Grid_Incoming'!BM31-'Grid_Requirement'!BM31))</f>
        <v/>
      </c>
      <c r="BN31">
        <f>IF(COUNTIFS(T_StockCount[Part Name],$A31,T_StockCount[WeekIndex],65)&gt;0,SUMIFS(T_StockCount[CountedQty],T_StockCount[Part Name],$A31,T_StockCount[WeekIndex],65),IF((('T_SelfStock'!BN35&lt;&gt;""))*(('T_TTAFStock'!BN35&lt;&gt;""))&gt;0,'T_SelfStock'!BN35+'T_TTAFStock'!BN35,BM31+'Grid_Incoming'!BN31-'Grid_Requirement'!BN31))</f>
        <v/>
      </c>
      <c r="BO31">
        <f>IF(COUNTIFS(T_StockCount[Part Name],$A31,T_StockCount[WeekIndex],66)&gt;0,SUMIFS(T_StockCount[CountedQty],T_StockCount[Part Name],$A31,T_StockCount[WeekIndex],66),IF((('T_SelfStock'!BO35&lt;&gt;""))*(('T_TTAFStock'!BO35&lt;&gt;""))&gt;0,'T_SelfStock'!BO35+'T_TTAFStock'!BO35,BN31+'Grid_Incoming'!BO31-'Grid_Requirement'!BO31))</f>
        <v/>
      </c>
      <c r="BP31">
        <f>IF(COUNTIFS(T_StockCount[Part Name],$A31,T_StockCount[WeekIndex],67)&gt;0,SUMIFS(T_StockCount[CountedQty],T_StockCount[Part Name],$A31,T_StockCount[WeekIndex],67),IF((('T_SelfStock'!BP35&lt;&gt;""))*(('T_TTAFStock'!BP35&lt;&gt;""))&gt;0,'T_SelfStock'!BP35+'T_TTAFStock'!BP35,BO31+'Grid_Incoming'!BP31-'Grid_Requirement'!BP31))</f>
        <v/>
      </c>
      <c r="BQ31">
        <f>IF(COUNTIFS(T_StockCount[Part Name],$A31,T_StockCount[WeekIndex],68)&gt;0,SUMIFS(T_StockCount[CountedQty],T_StockCount[Part Name],$A31,T_StockCount[WeekIndex],68),IF((('T_SelfStock'!BQ35&lt;&gt;""))*(('T_TTAFStock'!BQ35&lt;&gt;""))&gt;0,'T_SelfStock'!BQ35+'T_TTAFStock'!BQ35,BP31+'Grid_Incoming'!BQ31-'Grid_Requirement'!BQ31))</f>
        <v/>
      </c>
      <c r="BR31">
        <f>IF(COUNTIFS(T_StockCount[Part Name],$A31,T_StockCount[WeekIndex],69)&gt;0,SUMIFS(T_StockCount[CountedQty],T_StockCount[Part Name],$A31,T_StockCount[WeekIndex],69),IF((('T_SelfStock'!BR35&lt;&gt;""))*(('T_TTAFStock'!BR35&lt;&gt;""))&gt;0,'T_SelfStock'!BR35+'T_TTAFStock'!BR35,BQ31+'Grid_Incoming'!BR31-'Grid_Requirement'!BR31))</f>
        <v/>
      </c>
      <c r="BS31">
        <f>IF(COUNTIFS(T_StockCount[Part Name],$A31,T_StockCount[WeekIndex],70)&gt;0,SUMIFS(T_StockCount[CountedQty],T_StockCount[Part Name],$A31,T_StockCount[WeekIndex],70),IF((('T_SelfStock'!BS35&lt;&gt;""))*(('T_TTAFStock'!BS35&lt;&gt;""))&gt;0,'T_SelfStock'!BS35+'T_TTAFStock'!BS35,BR31+'Grid_Incoming'!BS31-'Grid_Requirement'!BS31))</f>
        <v/>
      </c>
      <c r="BT31">
        <f>IF(COUNTIFS(T_StockCount[Part Name],$A31,T_StockCount[WeekIndex],71)&gt;0,SUMIFS(T_StockCount[CountedQty],T_StockCount[Part Name],$A31,T_StockCount[WeekIndex],71),IF((('T_SelfStock'!BT35&lt;&gt;""))*(('T_TTAFStock'!BT35&lt;&gt;""))&gt;0,'T_SelfStock'!BT35+'T_TTAFStock'!BT35,BS31+'Grid_Incoming'!BT31-'Grid_Requirement'!BT31))</f>
        <v/>
      </c>
      <c r="BU31">
        <f>IF(COUNTIFS(T_StockCount[Part Name],$A31,T_StockCount[WeekIndex],72)&gt;0,SUMIFS(T_StockCount[CountedQty],T_StockCount[Part Name],$A31,T_StockCount[WeekIndex],72),IF((('T_SelfStock'!BU35&lt;&gt;""))*(('T_TTAFStock'!BU35&lt;&gt;""))&gt;0,'T_SelfStock'!BU35+'T_TTAFStock'!BU35,BT31+'Grid_Incoming'!BU31-'Grid_Requirement'!BU31))</f>
        <v/>
      </c>
      <c r="BV31">
        <f>IF(COUNTIFS(T_StockCount[Part Name],$A31,T_StockCount[WeekIndex],73)&gt;0,SUMIFS(T_StockCount[CountedQty],T_StockCount[Part Name],$A31,T_StockCount[WeekIndex],73),IF((('T_SelfStock'!BV35&lt;&gt;""))*(('T_TTAFStock'!BV35&lt;&gt;""))&gt;0,'T_SelfStock'!BV35+'T_TTAFStock'!BV35,BU31+'Grid_Incoming'!BV31-'Grid_Requirement'!BV31))</f>
        <v/>
      </c>
      <c r="BW31">
        <f>IF(COUNTIFS(T_StockCount[Part Name],$A31,T_StockCount[WeekIndex],74)&gt;0,SUMIFS(T_StockCount[CountedQty],T_StockCount[Part Name],$A31,T_StockCount[WeekIndex],74),IF((('T_SelfStock'!BW35&lt;&gt;""))*(('T_TTAFStock'!BW35&lt;&gt;""))&gt;0,'T_SelfStock'!BW35+'T_TTAFStock'!BW35,BV31+'Grid_Incoming'!BW31-'Grid_Requirement'!BW31))</f>
        <v/>
      </c>
      <c r="BX31">
        <f>IF(COUNTIFS(T_StockCount[Part Name],$A31,T_StockCount[WeekIndex],75)&gt;0,SUMIFS(T_StockCount[CountedQty],T_StockCount[Part Name],$A31,T_StockCount[WeekIndex],75),IF((('T_SelfStock'!BX35&lt;&gt;""))*(('T_TTAFStock'!BX35&lt;&gt;""))&gt;0,'T_SelfStock'!BX35+'T_TTAFStock'!BX35,BW31+'Grid_Incoming'!BX31-'Grid_Requirement'!BX31))</f>
        <v/>
      </c>
      <c r="BY31">
        <f>IF(COUNTIFS(T_StockCount[Part Name],$A31,T_StockCount[WeekIndex],76)&gt;0,SUMIFS(T_StockCount[CountedQty],T_StockCount[Part Name],$A31,T_StockCount[WeekIndex],76),IF((('T_SelfStock'!BY35&lt;&gt;""))*(('T_TTAFStock'!BY35&lt;&gt;""))&gt;0,'T_SelfStock'!BY35+'T_TTAFStock'!BY35,BX31+'Grid_Incoming'!BY31-'Grid_Requirement'!BY31))</f>
        <v/>
      </c>
      <c r="BZ31">
        <f>IF(COUNTIFS(T_StockCount[Part Name],$A31,T_StockCount[WeekIndex],77)&gt;0,SUMIFS(T_StockCount[CountedQty],T_StockCount[Part Name],$A31,T_StockCount[WeekIndex],77),IF((('T_SelfStock'!BZ35&lt;&gt;""))*(('T_TTAFStock'!BZ35&lt;&gt;""))&gt;0,'T_SelfStock'!BZ35+'T_TTAFStock'!BZ35,BY31+'Grid_Incoming'!BZ31-'Grid_Requirement'!BZ31))</f>
        <v/>
      </c>
      <c r="CA31">
        <f>IF(COUNTIFS(T_StockCount[Part Name],$A31,T_StockCount[WeekIndex],78)&gt;0,SUMIFS(T_StockCount[CountedQty],T_StockCount[Part Name],$A31,T_StockCount[WeekIndex],78),IF((('T_SelfStock'!CA35&lt;&gt;""))*(('T_TTAFStock'!CA35&lt;&gt;""))&gt;0,'T_SelfStock'!CA35+'T_TTAFStock'!CA35,BZ31+'Grid_Incoming'!CA31-'Grid_Requirement'!CA31))</f>
        <v/>
      </c>
      <c r="CB31">
        <f>IF(COUNTIFS(T_StockCount[Part Name],$A31,T_StockCount[WeekIndex],79)&gt;0,SUMIFS(T_StockCount[CountedQty],T_StockCount[Part Name],$A31,T_StockCount[WeekIndex],79),IF((('T_SelfStock'!CB35&lt;&gt;""))*(('T_TTAFStock'!CB35&lt;&gt;""))&gt;0,'T_SelfStock'!CB35+'T_TTAFStock'!CB35,CA31+'Grid_Incoming'!CB31-'Grid_Requirement'!CB31))</f>
        <v/>
      </c>
      <c r="CC31">
        <f>IF(COUNTIFS(T_StockCount[Part Name],$A31,T_StockCount[WeekIndex],80)&gt;0,SUMIFS(T_StockCount[CountedQty],T_StockCount[Part Name],$A31,T_StockCount[WeekIndex],80),IF((('T_SelfStock'!CC35&lt;&gt;""))*(('T_TTAFStock'!CC35&lt;&gt;""))&gt;0,'T_SelfStock'!CC35+'T_TTAFStock'!CC35,CB31+'Grid_Incoming'!CC31-'Grid_Requirement'!CC31))</f>
        <v/>
      </c>
      <c r="CD31">
        <f>IF(COUNTIFS(T_StockCount[Part Name],$A31,T_StockCount[WeekIndex],81)&gt;0,SUMIFS(T_StockCount[CountedQty],T_StockCount[Part Name],$A31,T_StockCount[WeekIndex],81),IF((('T_SelfStock'!CD35&lt;&gt;""))*(('T_TTAFStock'!CD35&lt;&gt;""))&gt;0,'T_SelfStock'!CD35+'T_TTAFStock'!CD35,CC31+'Grid_Incoming'!CD31-'Grid_Requirement'!CD31))</f>
        <v/>
      </c>
      <c r="CE31">
        <f>IF(COUNTIFS(T_StockCount[Part Name],$A31,T_StockCount[WeekIndex],82)&gt;0,SUMIFS(T_StockCount[CountedQty],T_StockCount[Part Name],$A31,T_StockCount[WeekIndex],82),IF((('T_SelfStock'!CE35&lt;&gt;""))*(('T_TTAFStock'!CE35&lt;&gt;""))&gt;0,'T_SelfStock'!CE35+'T_TTAFStock'!CE35,CD31+'Grid_Incoming'!CE31-'Grid_Requirement'!CE31))</f>
        <v/>
      </c>
      <c r="CF31">
        <f>IF(COUNTIFS(T_StockCount[Part Name],$A31,T_StockCount[WeekIndex],83)&gt;0,SUMIFS(T_StockCount[CountedQty],T_StockCount[Part Name],$A31,T_StockCount[WeekIndex],83),IF((('T_SelfStock'!CF35&lt;&gt;""))*(('T_TTAFStock'!CF35&lt;&gt;""))&gt;0,'T_SelfStock'!CF35+'T_TTAFStock'!CF35,CE31+'Grid_Incoming'!CF31-'Grid_Requirement'!CF31))</f>
        <v/>
      </c>
      <c r="CG31">
        <f>IF(COUNTIFS(T_StockCount[Part Name],$A31,T_StockCount[WeekIndex],84)&gt;0,SUMIFS(T_StockCount[CountedQty],T_StockCount[Part Name],$A31,T_StockCount[WeekIndex],84),IF((('T_SelfStock'!CG35&lt;&gt;""))*(('T_TTAFStock'!CG35&lt;&gt;""))&gt;0,'T_SelfStock'!CG35+'T_TTAFStock'!CG35,CF31+'Grid_Incoming'!CG31-'Grid_Requirement'!CG31))</f>
        <v/>
      </c>
      <c r="CH31">
        <f>IF(COUNTIFS(T_StockCount[Part Name],$A31,T_StockCount[WeekIndex],85)&gt;0,SUMIFS(T_StockCount[CountedQty],T_StockCount[Part Name],$A31,T_StockCount[WeekIndex],85),IF((('T_SelfStock'!CH35&lt;&gt;""))*(('T_TTAFStock'!CH35&lt;&gt;""))&gt;0,'T_SelfStock'!CH35+'T_TTAFStock'!CH35,CG31+'Grid_Incoming'!CH31-'Grid_Requirement'!CH31))</f>
        <v/>
      </c>
      <c r="CI31">
        <f>IF(COUNTIFS(T_StockCount[Part Name],$A31,T_StockCount[WeekIndex],86)&gt;0,SUMIFS(T_StockCount[CountedQty],T_StockCount[Part Name],$A31,T_StockCount[WeekIndex],86),IF((('T_SelfStock'!CI35&lt;&gt;""))*(('T_TTAFStock'!CI35&lt;&gt;""))&gt;0,'T_SelfStock'!CI35+'T_TTAFStock'!CI35,CH31+'Grid_Incoming'!CI31-'Grid_Requirement'!CI31))</f>
        <v/>
      </c>
      <c r="CJ31">
        <f>IF(COUNTIFS(T_StockCount[Part Name],$A31,T_StockCount[WeekIndex],87)&gt;0,SUMIFS(T_StockCount[CountedQty],T_StockCount[Part Name],$A31,T_StockCount[WeekIndex],87),IF((('T_SelfStock'!CJ35&lt;&gt;""))*(('T_TTAFStock'!CJ35&lt;&gt;""))&gt;0,'T_SelfStock'!CJ35+'T_TTAFStock'!CJ35,CI31+'Grid_Incoming'!CJ31-'Grid_Requirement'!CJ31))</f>
        <v/>
      </c>
      <c r="CK31">
        <f>IF(COUNTIFS(T_StockCount[Part Name],$A31,T_StockCount[WeekIndex],88)&gt;0,SUMIFS(T_StockCount[CountedQty],T_StockCount[Part Name],$A31,T_StockCount[WeekIndex],88),IF((('T_SelfStock'!CK35&lt;&gt;""))*(('T_TTAFStock'!CK35&lt;&gt;""))&gt;0,'T_SelfStock'!CK35+'T_TTAFStock'!CK35,CJ31+'Grid_Incoming'!CK31-'Grid_Requirement'!CK31))</f>
        <v/>
      </c>
      <c r="CL31">
        <f>IF(COUNTIFS(T_StockCount[Part Name],$A31,T_StockCount[WeekIndex],89)&gt;0,SUMIFS(T_StockCount[CountedQty],T_StockCount[Part Name],$A31,T_StockCount[WeekIndex],89),IF((('T_SelfStock'!CL35&lt;&gt;""))*(('T_TTAFStock'!CL35&lt;&gt;""))&gt;0,'T_SelfStock'!CL35+'T_TTAFStock'!CL35,CK31+'Grid_Incoming'!CL31-'Grid_Requirement'!CL31))</f>
        <v/>
      </c>
      <c r="CM31">
        <f>IF(COUNTIFS(T_StockCount[Part Name],$A31,T_StockCount[WeekIndex],90)&gt;0,SUMIFS(T_StockCount[CountedQty],T_StockCount[Part Name],$A31,T_StockCount[WeekIndex],90),IF((('T_SelfStock'!CM35&lt;&gt;""))*(('T_TTAFStock'!CM35&lt;&gt;""))&gt;0,'T_SelfStock'!CM35+'T_TTAFStock'!CM35,CL31+'Grid_Incoming'!CM31-'Grid_Requirement'!CM31))</f>
        <v/>
      </c>
      <c r="CN31">
        <f>IF(COUNTIFS(T_StockCount[Part Name],$A31,T_StockCount[WeekIndex],91)&gt;0,SUMIFS(T_StockCount[CountedQty],T_StockCount[Part Name],$A31,T_StockCount[WeekIndex],91),IF((('T_SelfStock'!CN35&lt;&gt;""))*(('T_TTAFStock'!CN35&lt;&gt;""))&gt;0,'T_SelfStock'!CN35+'T_TTAFStock'!CN35,CM31+'Grid_Incoming'!CN31-'Grid_Requirement'!CN31))</f>
        <v/>
      </c>
      <c r="CO31">
        <f>IF(COUNTIFS(T_StockCount[Part Name],$A31,T_StockCount[WeekIndex],92)&gt;0,SUMIFS(T_StockCount[CountedQty],T_StockCount[Part Name],$A31,T_StockCount[WeekIndex],92),IF((('T_SelfStock'!CO35&lt;&gt;""))*(('T_TTAFStock'!CO35&lt;&gt;""))&gt;0,'T_SelfStock'!CO35+'T_TTAFStock'!CO35,CN31+'Grid_Incoming'!CO31-'Grid_Requirement'!CO31))</f>
        <v/>
      </c>
      <c r="CP31">
        <f>IF(COUNTIFS(T_StockCount[Part Name],$A31,T_StockCount[WeekIndex],93)&gt;0,SUMIFS(T_StockCount[CountedQty],T_StockCount[Part Name],$A31,T_StockCount[WeekIndex],93),IF((('T_SelfStock'!CP35&lt;&gt;""))*(('T_TTAFStock'!CP35&lt;&gt;""))&gt;0,'T_SelfStock'!CP35+'T_TTAFStock'!CP35,CO31+'Grid_Incoming'!CP31-'Grid_Requirement'!CP31))</f>
        <v/>
      </c>
      <c r="CQ31">
        <f>IF(COUNTIFS(T_StockCount[Part Name],$A31,T_StockCount[WeekIndex],94)&gt;0,SUMIFS(T_StockCount[CountedQty],T_StockCount[Part Name],$A31,T_StockCount[WeekIndex],94),IF((('T_SelfStock'!CQ35&lt;&gt;""))*(('T_TTAFStock'!CQ35&lt;&gt;""))&gt;0,'T_SelfStock'!CQ35+'T_TTAFStock'!CQ35,CP31+'Grid_Incoming'!CQ31-'Grid_Requirement'!CQ31))</f>
        <v/>
      </c>
      <c r="CR31">
        <f>IF(COUNTIFS(T_StockCount[Part Name],$A31,T_StockCount[WeekIndex],95)&gt;0,SUMIFS(T_StockCount[CountedQty],T_StockCount[Part Name],$A31,T_StockCount[WeekIndex],95),IF((('T_SelfStock'!CR35&lt;&gt;""))*(('T_TTAFStock'!CR35&lt;&gt;""))&gt;0,'T_SelfStock'!CR35+'T_TTAFStock'!CR35,CQ31+'Grid_Incoming'!CR31-'Grid_Requirement'!CR31))</f>
        <v/>
      </c>
      <c r="CS31">
        <f>IF(COUNTIFS(T_StockCount[Part Name],$A31,T_StockCount[WeekIndex],96)&gt;0,SUMIFS(T_StockCount[CountedQty],T_StockCount[Part Name],$A31,T_StockCount[WeekIndex],96),IF((('T_SelfStock'!CS35&lt;&gt;""))*(('T_TTAFStock'!CS35&lt;&gt;""))&gt;0,'T_SelfStock'!CS35+'T_TTAFStock'!CS35,CR31+'Grid_Incoming'!CS31-'Grid_Requirement'!CS31))</f>
        <v/>
      </c>
      <c r="CT31">
        <f>IF(COUNTIFS(T_StockCount[Part Name],$A31,T_StockCount[WeekIndex],97)&gt;0,SUMIFS(T_StockCount[CountedQty],T_StockCount[Part Name],$A31,T_StockCount[WeekIndex],97),IF((('T_SelfStock'!CT35&lt;&gt;""))*(('T_TTAFStock'!CT35&lt;&gt;""))&gt;0,'T_SelfStock'!CT35+'T_TTAFStock'!CT35,CS31+'Grid_Incoming'!CT31-'Grid_Requirement'!CT31))</f>
        <v/>
      </c>
      <c r="CU31">
        <f>IF(COUNTIFS(T_StockCount[Part Name],$A31,T_StockCount[WeekIndex],98)&gt;0,SUMIFS(T_StockCount[CountedQty],T_StockCount[Part Name],$A31,T_StockCount[WeekIndex],98),IF((('T_SelfStock'!CU35&lt;&gt;""))*(('T_TTAFStock'!CU35&lt;&gt;""))&gt;0,'T_SelfStock'!CU35+'T_TTAFStock'!CU35,CT31+'Grid_Incoming'!CU31-'Grid_Requirement'!CU31))</f>
        <v/>
      </c>
      <c r="CV31">
        <f>IF(COUNTIFS(T_StockCount[Part Name],$A31,T_StockCount[WeekIndex],99)&gt;0,SUMIFS(T_StockCount[CountedQty],T_StockCount[Part Name],$A31,T_StockCount[WeekIndex],99),IF((('T_SelfStock'!CV35&lt;&gt;""))*(('T_TTAFStock'!CV35&lt;&gt;""))&gt;0,'T_SelfStock'!CV35+'T_TTAFStock'!CV35,CU31+'Grid_Incoming'!CV31-'Grid_Requirement'!CV31))</f>
        <v/>
      </c>
      <c r="CW31">
        <f>IF(COUNTIFS(T_StockCount[Part Name],$A31,T_StockCount[WeekIndex],100)&gt;0,SUMIFS(T_StockCount[CountedQty],T_StockCount[Part Name],$A31,T_StockCount[WeekIndex],100),IF((('T_SelfStock'!CW35&lt;&gt;""))*(('T_TTAFStock'!CW35&lt;&gt;""))&gt;0,'T_SelfStock'!CW35+'T_TTAFStock'!CW35,CV31+'Grid_Incoming'!CW31-'Grid_Requirement'!CW31))</f>
        <v/>
      </c>
      <c r="CX31">
        <f>IF(COUNTIFS(T_StockCount[Part Name],$A31,T_StockCount[WeekIndex],101)&gt;0,SUMIFS(T_StockCount[CountedQty],T_StockCount[Part Name],$A31,T_StockCount[WeekIndex],101),IF((('T_SelfStock'!CX35&lt;&gt;""))*(('T_TTAFStock'!CX35&lt;&gt;""))&gt;0,'T_SelfStock'!CX35+'T_TTAFStock'!CX35,CW31+'Grid_Incoming'!CX31-'Grid_Requirement'!CX31))</f>
        <v/>
      </c>
      <c r="CY31">
        <f>IF(COUNTIFS(T_StockCount[Part Name],$A31,T_StockCount[WeekIndex],102)&gt;0,SUMIFS(T_StockCount[CountedQty],T_StockCount[Part Name],$A31,T_StockCount[WeekIndex],102),IF((('T_SelfStock'!CY35&lt;&gt;""))*(('T_TTAFStock'!CY35&lt;&gt;""))&gt;0,'T_SelfStock'!CY35+'T_TTAFStock'!CY35,CX31+'Grid_Incoming'!CY31-'Grid_Requirement'!CY31))</f>
        <v/>
      </c>
      <c r="CZ31">
        <f>IF(COUNTIFS(T_StockCount[Part Name],$A31,T_StockCount[WeekIndex],103)&gt;0,SUMIFS(T_StockCount[CountedQty],T_StockCount[Part Name],$A31,T_StockCount[WeekIndex],103),IF((('T_SelfStock'!CZ35&lt;&gt;""))*(('T_TTAFStock'!CZ35&lt;&gt;""))&gt;0,'T_SelfStock'!CZ35+'T_TTAFStock'!CZ35,CY31+'Grid_Incoming'!CZ31-'Grid_Requirement'!CZ31))</f>
        <v/>
      </c>
      <c r="DA31">
        <f>IF(COUNTIFS(T_StockCount[Part Name],$A31,T_StockCount[WeekIndex],104)&gt;0,SUMIFS(T_StockCount[CountedQty],T_StockCount[Part Name],$A31,T_StockCount[WeekIndex],104),IF((('T_SelfStock'!DA35&lt;&gt;""))*(('T_TTAFStock'!DA35&lt;&gt;""))&gt;0,'T_SelfStock'!DA35+'T_TTAFStock'!DA35,CZ31+'Grid_Incoming'!DA31-'Grid_Requirement'!DA31))</f>
        <v/>
      </c>
    </row>
    <row r="32">
      <c r="A32" t="inlineStr">
        <is>
          <t>CHEM-1780</t>
        </is>
      </c>
      <c r="B32">
        <f>IF(COUNTIFS(T_StockCount[Part Name],$A32,T_StockCount[WeekIndex],1)&gt;0,SUMIFS(T_StockCount[CountedQty],T_StockCount[Part Name],$A32,T_StockCount[WeekIndex],1),IF((('T_SelfStock'!B36&lt;&gt;""))*(('T_TTAFStock'!B36&lt;&gt;""))&gt;0,'T_SelfStock'!B36+'T_TTAFStock'!B36,IFERROR(INDEX(T_OpeningStock[Opening_Qty_要入力],MATCH($A32,T_OpeningStock[Part Name],0)),0)+'Grid_Incoming'!B32-'Grid_Requirement'!B32))</f>
        <v/>
      </c>
      <c r="C32">
        <f>IF(COUNTIFS(T_StockCount[Part Name],$A32,T_StockCount[WeekIndex],2)&gt;0,SUMIFS(T_StockCount[CountedQty],T_StockCount[Part Name],$A32,T_StockCount[WeekIndex],2),IF((('T_SelfStock'!C36&lt;&gt;""))*(('T_TTAFStock'!C36&lt;&gt;""))&gt;0,'T_SelfStock'!C36+'T_TTAFStock'!C36,B32+'Grid_Incoming'!C32-'Grid_Requirement'!C32))</f>
        <v/>
      </c>
      <c r="D32">
        <f>IF(COUNTIFS(T_StockCount[Part Name],$A32,T_StockCount[WeekIndex],3)&gt;0,SUMIFS(T_StockCount[CountedQty],T_StockCount[Part Name],$A32,T_StockCount[WeekIndex],3),IF((('T_SelfStock'!D36&lt;&gt;""))*(('T_TTAFStock'!D36&lt;&gt;""))&gt;0,'T_SelfStock'!D36+'T_TTAFStock'!D36,C32+'Grid_Incoming'!D32-'Grid_Requirement'!D32))</f>
        <v/>
      </c>
      <c r="E32">
        <f>IF(COUNTIFS(T_StockCount[Part Name],$A32,T_StockCount[WeekIndex],4)&gt;0,SUMIFS(T_StockCount[CountedQty],T_StockCount[Part Name],$A32,T_StockCount[WeekIndex],4),IF((('T_SelfStock'!E36&lt;&gt;""))*(('T_TTAFStock'!E36&lt;&gt;""))&gt;0,'T_SelfStock'!E36+'T_TTAFStock'!E36,D32+'Grid_Incoming'!E32-'Grid_Requirement'!E32))</f>
        <v/>
      </c>
      <c r="F32">
        <f>IF(COUNTIFS(T_StockCount[Part Name],$A32,T_StockCount[WeekIndex],5)&gt;0,SUMIFS(T_StockCount[CountedQty],T_StockCount[Part Name],$A32,T_StockCount[WeekIndex],5),IF((('T_SelfStock'!F36&lt;&gt;""))*(('T_TTAFStock'!F36&lt;&gt;""))&gt;0,'T_SelfStock'!F36+'T_TTAFStock'!F36,E32+'Grid_Incoming'!F32-'Grid_Requirement'!F32))</f>
        <v/>
      </c>
      <c r="G32">
        <f>IF(COUNTIFS(T_StockCount[Part Name],$A32,T_StockCount[WeekIndex],6)&gt;0,SUMIFS(T_StockCount[CountedQty],T_StockCount[Part Name],$A32,T_StockCount[WeekIndex],6),IF((('T_SelfStock'!G36&lt;&gt;""))*(('T_TTAFStock'!G36&lt;&gt;""))&gt;0,'T_SelfStock'!G36+'T_TTAFStock'!G36,F32+'Grid_Incoming'!G32-'Grid_Requirement'!G32))</f>
        <v/>
      </c>
      <c r="H32">
        <f>IF(COUNTIFS(T_StockCount[Part Name],$A32,T_StockCount[WeekIndex],7)&gt;0,SUMIFS(T_StockCount[CountedQty],T_StockCount[Part Name],$A32,T_StockCount[WeekIndex],7),IF((('T_SelfStock'!H36&lt;&gt;""))*(('T_TTAFStock'!H36&lt;&gt;""))&gt;0,'T_SelfStock'!H36+'T_TTAFStock'!H36,G32+'Grid_Incoming'!H32-'Grid_Requirement'!H32))</f>
        <v/>
      </c>
      <c r="I32">
        <f>IF(COUNTIFS(T_StockCount[Part Name],$A32,T_StockCount[WeekIndex],8)&gt;0,SUMIFS(T_StockCount[CountedQty],T_StockCount[Part Name],$A32,T_StockCount[WeekIndex],8),IF((('T_SelfStock'!I36&lt;&gt;""))*(('T_TTAFStock'!I36&lt;&gt;""))&gt;0,'T_SelfStock'!I36+'T_TTAFStock'!I36,H32+'Grid_Incoming'!I32-'Grid_Requirement'!I32))</f>
        <v/>
      </c>
      <c r="J32">
        <f>IF(COUNTIFS(T_StockCount[Part Name],$A32,T_StockCount[WeekIndex],9)&gt;0,SUMIFS(T_StockCount[CountedQty],T_StockCount[Part Name],$A32,T_StockCount[WeekIndex],9),IF((('T_SelfStock'!J36&lt;&gt;""))*(('T_TTAFStock'!J36&lt;&gt;""))&gt;0,'T_SelfStock'!J36+'T_TTAFStock'!J36,I32+'Grid_Incoming'!J32-'Grid_Requirement'!J32))</f>
        <v/>
      </c>
      <c r="K32">
        <f>IF(COUNTIFS(T_StockCount[Part Name],$A32,T_StockCount[WeekIndex],10)&gt;0,SUMIFS(T_StockCount[CountedQty],T_StockCount[Part Name],$A32,T_StockCount[WeekIndex],10),IF((('T_SelfStock'!K36&lt;&gt;""))*(('T_TTAFStock'!K36&lt;&gt;""))&gt;0,'T_SelfStock'!K36+'T_TTAFStock'!K36,J32+'Grid_Incoming'!K32-'Grid_Requirement'!K32))</f>
        <v/>
      </c>
      <c r="L32">
        <f>IF(COUNTIFS(T_StockCount[Part Name],$A32,T_StockCount[WeekIndex],11)&gt;0,SUMIFS(T_StockCount[CountedQty],T_StockCount[Part Name],$A32,T_StockCount[WeekIndex],11),IF((('T_SelfStock'!L36&lt;&gt;""))*(('T_TTAFStock'!L36&lt;&gt;""))&gt;0,'T_SelfStock'!L36+'T_TTAFStock'!L36,K32+'Grid_Incoming'!L32-'Grid_Requirement'!L32))</f>
        <v/>
      </c>
      <c r="M32">
        <f>IF(COUNTIFS(T_StockCount[Part Name],$A32,T_StockCount[WeekIndex],12)&gt;0,SUMIFS(T_StockCount[CountedQty],T_StockCount[Part Name],$A32,T_StockCount[WeekIndex],12),IF((('T_SelfStock'!M36&lt;&gt;""))*(('T_TTAFStock'!M36&lt;&gt;""))&gt;0,'T_SelfStock'!M36+'T_TTAFStock'!M36,L32+'Grid_Incoming'!M32-'Grid_Requirement'!M32))</f>
        <v/>
      </c>
      <c r="N32">
        <f>IF(COUNTIFS(T_StockCount[Part Name],$A32,T_StockCount[WeekIndex],13)&gt;0,SUMIFS(T_StockCount[CountedQty],T_StockCount[Part Name],$A32,T_StockCount[WeekIndex],13),IF((('T_SelfStock'!N36&lt;&gt;""))*(('T_TTAFStock'!N36&lt;&gt;""))&gt;0,'T_SelfStock'!N36+'T_TTAFStock'!N36,M32+'Grid_Incoming'!N32-'Grid_Requirement'!N32))</f>
        <v/>
      </c>
      <c r="O32">
        <f>IF(COUNTIFS(T_StockCount[Part Name],$A32,T_StockCount[WeekIndex],14)&gt;0,SUMIFS(T_StockCount[CountedQty],T_StockCount[Part Name],$A32,T_StockCount[WeekIndex],14),IF((('T_SelfStock'!O36&lt;&gt;""))*(('T_TTAFStock'!O36&lt;&gt;""))&gt;0,'T_SelfStock'!O36+'T_TTAFStock'!O36,N32+'Grid_Incoming'!O32-'Grid_Requirement'!O32))</f>
        <v/>
      </c>
      <c r="P32">
        <f>IF(COUNTIFS(T_StockCount[Part Name],$A32,T_StockCount[WeekIndex],15)&gt;0,SUMIFS(T_StockCount[CountedQty],T_StockCount[Part Name],$A32,T_StockCount[WeekIndex],15),IF((('T_SelfStock'!P36&lt;&gt;""))*(('T_TTAFStock'!P36&lt;&gt;""))&gt;0,'T_SelfStock'!P36+'T_TTAFStock'!P36,O32+'Grid_Incoming'!P32-'Grid_Requirement'!P32))</f>
        <v/>
      </c>
      <c r="Q32">
        <f>IF(COUNTIFS(T_StockCount[Part Name],$A32,T_StockCount[WeekIndex],16)&gt;0,SUMIFS(T_StockCount[CountedQty],T_StockCount[Part Name],$A32,T_StockCount[WeekIndex],16),IF((('T_SelfStock'!Q36&lt;&gt;""))*(('T_TTAFStock'!Q36&lt;&gt;""))&gt;0,'T_SelfStock'!Q36+'T_TTAFStock'!Q36,P32+'Grid_Incoming'!Q32-'Grid_Requirement'!Q32))</f>
        <v/>
      </c>
      <c r="R32">
        <f>IF(COUNTIFS(T_StockCount[Part Name],$A32,T_StockCount[WeekIndex],17)&gt;0,SUMIFS(T_StockCount[CountedQty],T_StockCount[Part Name],$A32,T_StockCount[WeekIndex],17),IF((('T_SelfStock'!R36&lt;&gt;""))*(('T_TTAFStock'!R36&lt;&gt;""))&gt;0,'T_SelfStock'!R36+'T_TTAFStock'!R36,Q32+'Grid_Incoming'!R32-'Grid_Requirement'!R32))</f>
        <v/>
      </c>
      <c r="S32">
        <f>IF(COUNTIFS(T_StockCount[Part Name],$A32,T_StockCount[WeekIndex],18)&gt;0,SUMIFS(T_StockCount[CountedQty],T_StockCount[Part Name],$A32,T_StockCount[WeekIndex],18),IF((('T_SelfStock'!S36&lt;&gt;""))*(('T_TTAFStock'!S36&lt;&gt;""))&gt;0,'T_SelfStock'!S36+'T_TTAFStock'!S36,R32+'Grid_Incoming'!S32-'Grid_Requirement'!S32))</f>
        <v/>
      </c>
      <c r="T32">
        <f>IF(COUNTIFS(T_StockCount[Part Name],$A32,T_StockCount[WeekIndex],19)&gt;0,SUMIFS(T_StockCount[CountedQty],T_StockCount[Part Name],$A32,T_StockCount[WeekIndex],19),IF((('T_SelfStock'!T36&lt;&gt;""))*(('T_TTAFStock'!T36&lt;&gt;""))&gt;0,'T_SelfStock'!T36+'T_TTAFStock'!T36,S32+'Grid_Incoming'!T32-'Grid_Requirement'!T32))</f>
        <v/>
      </c>
      <c r="U32">
        <f>IF(COUNTIFS(T_StockCount[Part Name],$A32,T_StockCount[WeekIndex],20)&gt;0,SUMIFS(T_StockCount[CountedQty],T_StockCount[Part Name],$A32,T_StockCount[WeekIndex],20),IF((('T_SelfStock'!U36&lt;&gt;""))*(('T_TTAFStock'!U36&lt;&gt;""))&gt;0,'T_SelfStock'!U36+'T_TTAFStock'!U36,T32+'Grid_Incoming'!U32-'Grid_Requirement'!U32))</f>
        <v/>
      </c>
      <c r="V32">
        <f>IF(COUNTIFS(T_StockCount[Part Name],$A32,T_StockCount[WeekIndex],21)&gt;0,SUMIFS(T_StockCount[CountedQty],T_StockCount[Part Name],$A32,T_StockCount[WeekIndex],21),IF((('T_SelfStock'!V36&lt;&gt;""))*(('T_TTAFStock'!V36&lt;&gt;""))&gt;0,'T_SelfStock'!V36+'T_TTAFStock'!V36,U32+'Grid_Incoming'!V32-'Grid_Requirement'!V32))</f>
        <v/>
      </c>
      <c r="W32">
        <f>IF(COUNTIFS(T_StockCount[Part Name],$A32,T_StockCount[WeekIndex],22)&gt;0,SUMIFS(T_StockCount[CountedQty],T_StockCount[Part Name],$A32,T_StockCount[WeekIndex],22),IF((('T_SelfStock'!W36&lt;&gt;""))*(('T_TTAFStock'!W36&lt;&gt;""))&gt;0,'T_SelfStock'!W36+'T_TTAFStock'!W36,V32+'Grid_Incoming'!W32-'Grid_Requirement'!W32))</f>
        <v/>
      </c>
      <c r="X32">
        <f>IF(COUNTIFS(T_StockCount[Part Name],$A32,T_StockCount[WeekIndex],23)&gt;0,SUMIFS(T_StockCount[CountedQty],T_StockCount[Part Name],$A32,T_StockCount[WeekIndex],23),IF((('T_SelfStock'!X36&lt;&gt;""))*(('T_TTAFStock'!X36&lt;&gt;""))&gt;0,'T_SelfStock'!X36+'T_TTAFStock'!X36,W32+'Grid_Incoming'!X32-'Grid_Requirement'!X32))</f>
        <v/>
      </c>
      <c r="Y32">
        <f>IF(COUNTIFS(T_StockCount[Part Name],$A32,T_StockCount[WeekIndex],24)&gt;0,SUMIFS(T_StockCount[CountedQty],T_StockCount[Part Name],$A32,T_StockCount[WeekIndex],24),IF((('T_SelfStock'!Y36&lt;&gt;""))*(('T_TTAFStock'!Y36&lt;&gt;""))&gt;0,'T_SelfStock'!Y36+'T_TTAFStock'!Y36,X32+'Grid_Incoming'!Y32-'Grid_Requirement'!Y32))</f>
        <v/>
      </c>
      <c r="Z32">
        <f>IF(COUNTIFS(T_StockCount[Part Name],$A32,T_StockCount[WeekIndex],25)&gt;0,SUMIFS(T_StockCount[CountedQty],T_StockCount[Part Name],$A32,T_StockCount[WeekIndex],25),IF((('T_SelfStock'!Z36&lt;&gt;""))*(('T_TTAFStock'!Z36&lt;&gt;""))&gt;0,'T_SelfStock'!Z36+'T_TTAFStock'!Z36,Y32+'Grid_Incoming'!Z32-'Grid_Requirement'!Z32))</f>
        <v/>
      </c>
      <c r="AA32">
        <f>IF(COUNTIFS(T_StockCount[Part Name],$A32,T_StockCount[WeekIndex],26)&gt;0,SUMIFS(T_StockCount[CountedQty],T_StockCount[Part Name],$A32,T_StockCount[WeekIndex],26),IF((('T_SelfStock'!AA36&lt;&gt;""))*(('T_TTAFStock'!AA36&lt;&gt;""))&gt;0,'T_SelfStock'!AA36+'T_TTAFStock'!AA36,Z32+'Grid_Incoming'!AA32-'Grid_Requirement'!AA32))</f>
        <v/>
      </c>
      <c r="AB32">
        <f>IF(COUNTIFS(T_StockCount[Part Name],$A32,T_StockCount[WeekIndex],27)&gt;0,SUMIFS(T_StockCount[CountedQty],T_StockCount[Part Name],$A32,T_StockCount[WeekIndex],27),IF((('T_SelfStock'!AB36&lt;&gt;""))*(('T_TTAFStock'!AB36&lt;&gt;""))&gt;0,'T_SelfStock'!AB36+'T_TTAFStock'!AB36,AA32+'Grid_Incoming'!AB32-'Grid_Requirement'!AB32))</f>
        <v/>
      </c>
      <c r="AC32">
        <f>IF(COUNTIFS(T_StockCount[Part Name],$A32,T_StockCount[WeekIndex],28)&gt;0,SUMIFS(T_StockCount[CountedQty],T_StockCount[Part Name],$A32,T_StockCount[WeekIndex],28),IF((('T_SelfStock'!AC36&lt;&gt;""))*(('T_TTAFStock'!AC36&lt;&gt;""))&gt;0,'T_SelfStock'!AC36+'T_TTAFStock'!AC36,AB32+'Grid_Incoming'!AC32-'Grid_Requirement'!AC32))</f>
        <v/>
      </c>
      <c r="AD32">
        <f>IF(COUNTIFS(T_StockCount[Part Name],$A32,T_StockCount[WeekIndex],29)&gt;0,SUMIFS(T_StockCount[CountedQty],T_StockCount[Part Name],$A32,T_StockCount[WeekIndex],29),IF((('T_SelfStock'!AD36&lt;&gt;""))*(('T_TTAFStock'!AD36&lt;&gt;""))&gt;0,'T_SelfStock'!AD36+'T_TTAFStock'!AD36,AC32+'Grid_Incoming'!AD32-'Grid_Requirement'!AD32))</f>
        <v/>
      </c>
      <c r="AE32">
        <f>IF(COUNTIFS(T_StockCount[Part Name],$A32,T_StockCount[WeekIndex],30)&gt;0,SUMIFS(T_StockCount[CountedQty],T_StockCount[Part Name],$A32,T_StockCount[WeekIndex],30),IF((('T_SelfStock'!AE36&lt;&gt;""))*(('T_TTAFStock'!AE36&lt;&gt;""))&gt;0,'T_SelfStock'!AE36+'T_TTAFStock'!AE36,AD32+'Grid_Incoming'!AE32-'Grid_Requirement'!AE32))</f>
        <v/>
      </c>
      <c r="AF32">
        <f>IF(COUNTIFS(T_StockCount[Part Name],$A32,T_StockCount[WeekIndex],31)&gt;0,SUMIFS(T_StockCount[CountedQty],T_StockCount[Part Name],$A32,T_StockCount[WeekIndex],31),IF((('T_SelfStock'!AF36&lt;&gt;""))*(('T_TTAFStock'!AF36&lt;&gt;""))&gt;0,'T_SelfStock'!AF36+'T_TTAFStock'!AF36,AE32+'Grid_Incoming'!AF32-'Grid_Requirement'!AF32))</f>
        <v/>
      </c>
      <c r="AG32">
        <f>IF(COUNTIFS(T_StockCount[Part Name],$A32,T_StockCount[WeekIndex],32)&gt;0,SUMIFS(T_StockCount[CountedQty],T_StockCount[Part Name],$A32,T_StockCount[WeekIndex],32),IF((('T_SelfStock'!AG36&lt;&gt;""))*(('T_TTAFStock'!AG36&lt;&gt;""))&gt;0,'T_SelfStock'!AG36+'T_TTAFStock'!AG36,AF32+'Grid_Incoming'!AG32-'Grid_Requirement'!AG32))</f>
        <v/>
      </c>
      <c r="AH32">
        <f>IF(COUNTIFS(T_StockCount[Part Name],$A32,T_StockCount[WeekIndex],33)&gt;0,SUMIFS(T_StockCount[CountedQty],T_StockCount[Part Name],$A32,T_StockCount[WeekIndex],33),IF((('T_SelfStock'!AH36&lt;&gt;""))*(('T_TTAFStock'!AH36&lt;&gt;""))&gt;0,'T_SelfStock'!AH36+'T_TTAFStock'!AH36,AG32+'Grid_Incoming'!AH32-'Grid_Requirement'!AH32))</f>
        <v/>
      </c>
      <c r="AI32">
        <f>IF(COUNTIFS(T_StockCount[Part Name],$A32,T_StockCount[WeekIndex],34)&gt;0,SUMIFS(T_StockCount[CountedQty],T_StockCount[Part Name],$A32,T_StockCount[WeekIndex],34),IF((('T_SelfStock'!AI36&lt;&gt;""))*(('T_TTAFStock'!AI36&lt;&gt;""))&gt;0,'T_SelfStock'!AI36+'T_TTAFStock'!AI36,AH32+'Grid_Incoming'!AI32-'Grid_Requirement'!AI32))</f>
        <v/>
      </c>
      <c r="AJ32">
        <f>IF(COUNTIFS(T_StockCount[Part Name],$A32,T_StockCount[WeekIndex],35)&gt;0,SUMIFS(T_StockCount[CountedQty],T_StockCount[Part Name],$A32,T_StockCount[WeekIndex],35),IF((('T_SelfStock'!AJ36&lt;&gt;""))*(('T_TTAFStock'!AJ36&lt;&gt;""))&gt;0,'T_SelfStock'!AJ36+'T_TTAFStock'!AJ36,AI32+'Grid_Incoming'!AJ32-'Grid_Requirement'!AJ32))</f>
        <v/>
      </c>
      <c r="AK32">
        <f>IF(COUNTIFS(T_StockCount[Part Name],$A32,T_StockCount[WeekIndex],36)&gt;0,SUMIFS(T_StockCount[CountedQty],T_StockCount[Part Name],$A32,T_StockCount[WeekIndex],36),IF((('T_SelfStock'!AK36&lt;&gt;""))*(('T_TTAFStock'!AK36&lt;&gt;""))&gt;0,'T_SelfStock'!AK36+'T_TTAFStock'!AK36,AJ32+'Grid_Incoming'!AK32-'Grid_Requirement'!AK32))</f>
        <v/>
      </c>
      <c r="AL32">
        <f>IF(COUNTIFS(T_StockCount[Part Name],$A32,T_StockCount[WeekIndex],37)&gt;0,SUMIFS(T_StockCount[CountedQty],T_StockCount[Part Name],$A32,T_StockCount[WeekIndex],37),IF((('T_SelfStock'!AL36&lt;&gt;""))*(('T_TTAFStock'!AL36&lt;&gt;""))&gt;0,'T_SelfStock'!AL36+'T_TTAFStock'!AL36,AK32+'Grid_Incoming'!AL32-'Grid_Requirement'!AL32))</f>
        <v/>
      </c>
      <c r="AM32">
        <f>IF(COUNTIFS(T_StockCount[Part Name],$A32,T_StockCount[WeekIndex],38)&gt;0,SUMIFS(T_StockCount[CountedQty],T_StockCount[Part Name],$A32,T_StockCount[WeekIndex],38),IF((('T_SelfStock'!AM36&lt;&gt;""))*(('T_TTAFStock'!AM36&lt;&gt;""))&gt;0,'T_SelfStock'!AM36+'T_TTAFStock'!AM36,AL32+'Grid_Incoming'!AM32-'Grid_Requirement'!AM32))</f>
        <v/>
      </c>
      <c r="AN32">
        <f>IF(COUNTIFS(T_StockCount[Part Name],$A32,T_StockCount[WeekIndex],39)&gt;0,SUMIFS(T_StockCount[CountedQty],T_StockCount[Part Name],$A32,T_StockCount[WeekIndex],39),IF((('T_SelfStock'!AN36&lt;&gt;""))*(('T_TTAFStock'!AN36&lt;&gt;""))&gt;0,'T_SelfStock'!AN36+'T_TTAFStock'!AN36,AM32+'Grid_Incoming'!AN32-'Grid_Requirement'!AN32))</f>
        <v/>
      </c>
      <c r="AO32">
        <f>IF(COUNTIFS(T_StockCount[Part Name],$A32,T_StockCount[WeekIndex],40)&gt;0,SUMIFS(T_StockCount[CountedQty],T_StockCount[Part Name],$A32,T_StockCount[WeekIndex],40),IF((('T_SelfStock'!AO36&lt;&gt;""))*(('T_TTAFStock'!AO36&lt;&gt;""))&gt;0,'T_SelfStock'!AO36+'T_TTAFStock'!AO36,AN32+'Grid_Incoming'!AO32-'Grid_Requirement'!AO32))</f>
        <v/>
      </c>
      <c r="AP32">
        <f>IF(COUNTIFS(T_StockCount[Part Name],$A32,T_StockCount[WeekIndex],41)&gt;0,SUMIFS(T_StockCount[CountedQty],T_StockCount[Part Name],$A32,T_StockCount[WeekIndex],41),IF((('T_SelfStock'!AP36&lt;&gt;""))*(('T_TTAFStock'!AP36&lt;&gt;""))&gt;0,'T_SelfStock'!AP36+'T_TTAFStock'!AP36,AO32+'Grid_Incoming'!AP32-'Grid_Requirement'!AP32))</f>
        <v/>
      </c>
      <c r="AQ32">
        <f>IF(COUNTIFS(T_StockCount[Part Name],$A32,T_StockCount[WeekIndex],42)&gt;0,SUMIFS(T_StockCount[CountedQty],T_StockCount[Part Name],$A32,T_StockCount[WeekIndex],42),IF((('T_SelfStock'!AQ36&lt;&gt;""))*(('T_TTAFStock'!AQ36&lt;&gt;""))&gt;0,'T_SelfStock'!AQ36+'T_TTAFStock'!AQ36,AP32+'Grid_Incoming'!AQ32-'Grid_Requirement'!AQ32))</f>
        <v/>
      </c>
      <c r="AR32">
        <f>IF(COUNTIFS(T_StockCount[Part Name],$A32,T_StockCount[WeekIndex],43)&gt;0,SUMIFS(T_StockCount[CountedQty],T_StockCount[Part Name],$A32,T_StockCount[WeekIndex],43),IF((('T_SelfStock'!AR36&lt;&gt;""))*(('T_TTAFStock'!AR36&lt;&gt;""))&gt;0,'T_SelfStock'!AR36+'T_TTAFStock'!AR36,AQ32+'Grid_Incoming'!AR32-'Grid_Requirement'!AR32))</f>
        <v/>
      </c>
      <c r="AS32">
        <f>IF(COUNTIFS(T_StockCount[Part Name],$A32,T_StockCount[WeekIndex],44)&gt;0,SUMIFS(T_StockCount[CountedQty],T_StockCount[Part Name],$A32,T_StockCount[WeekIndex],44),IF((('T_SelfStock'!AS36&lt;&gt;""))*(('T_TTAFStock'!AS36&lt;&gt;""))&gt;0,'T_SelfStock'!AS36+'T_TTAFStock'!AS36,AR32+'Grid_Incoming'!AS32-'Grid_Requirement'!AS32))</f>
        <v/>
      </c>
      <c r="AT32">
        <f>IF(COUNTIFS(T_StockCount[Part Name],$A32,T_StockCount[WeekIndex],45)&gt;0,SUMIFS(T_StockCount[CountedQty],T_StockCount[Part Name],$A32,T_StockCount[WeekIndex],45),IF((('T_SelfStock'!AT36&lt;&gt;""))*(('T_TTAFStock'!AT36&lt;&gt;""))&gt;0,'T_SelfStock'!AT36+'T_TTAFStock'!AT36,AS32+'Grid_Incoming'!AT32-'Grid_Requirement'!AT32))</f>
        <v/>
      </c>
      <c r="AU32">
        <f>IF(COUNTIFS(T_StockCount[Part Name],$A32,T_StockCount[WeekIndex],46)&gt;0,SUMIFS(T_StockCount[CountedQty],T_StockCount[Part Name],$A32,T_StockCount[WeekIndex],46),IF((('T_SelfStock'!AU36&lt;&gt;""))*(('T_TTAFStock'!AU36&lt;&gt;""))&gt;0,'T_SelfStock'!AU36+'T_TTAFStock'!AU36,AT32+'Grid_Incoming'!AU32-'Grid_Requirement'!AU32))</f>
        <v/>
      </c>
      <c r="AV32">
        <f>IF(COUNTIFS(T_StockCount[Part Name],$A32,T_StockCount[WeekIndex],47)&gt;0,SUMIFS(T_StockCount[CountedQty],T_StockCount[Part Name],$A32,T_StockCount[WeekIndex],47),IF((('T_SelfStock'!AV36&lt;&gt;""))*(('T_TTAFStock'!AV36&lt;&gt;""))&gt;0,'T_SelfStock'!AV36+'T_TTAFStock'!AV36,AU32+'Grid_Incoming'!AV32-'Grid_Requirement'!AV32))</f>
        <v/>
      </c>
      <c r="AW32">
        <f>IF(COUNTIFS(T_StockCount[Part Name],$A32,T_StockCount[WeekIndex],48)&gt;0,SUMIFS(T_StockCount[CountedQty],T_StockCount[Part Name],$A32,T_StockCount[WeekIndex],48),IF((('T_SelfStock'!AW36&lt;&gt;""))*(('T_TTAFStock'!AW36&lt;&gt;""))&gt;0,'T_SelfStock'!AW36+'T_TTAFStock'!AW36,AV32+'Grid_Incoming'!AW32-'Grid_Requirement'!AW32))</f>
        <v/>
      </c>
      <c r="AX32">
        <f>IF(COUNTIFS(T_StockCount[Part Name],$A32,T_StockCount[WeekIndex],49)&gt;0,SUMIFS(T_StockCount[CountedQty],T_StockCount[Part Name],$A32,T_StockCount[WeekIndex],49),IF((('T_SelfStock'!AX36&lt;&gt;""))*(('T_TTAFStock'!AX36&lt;&gt;""))&gt;0,'T_SelfStock'!AX36+'T_TTAFStock'!AX36,AW32+'Grid_Incoming'!AX32-'Grid_Requirement'!AX32))</f>
        <v/>
      </c>
      <c r="AY32">
        <f>IF(COUNTIFS(T_StockCount[Part Name],$A32,T_StockCount[WeekIndex],50)&gt;0,SUMIFS(T_StockCount[CountedQty],T_StockCount[Part Name],$A32,T_StockCount[WeekIndex],50),IF((('T_SelfStock'!AY36&lt;&gt;""))*(('T_TTAFStock'!AY36&lt;&gt;""))&gt;0,'T_SelfStock'!AY36+'T_TTAFStock'!AY36,AX32+'Grid_Incoming'!AY32-'Grid_Requirement'!AY32))</f>
        <v/>
      </c>
      <c r="AZ32">
        <f>IF(COUNTIFS(T_StockCount[Part Name],$A32,T_StockCount[WeekIndex],51)&gt;0,SUMIFS(T_StockCount[CountedQty],T_StockCount[Part Name],$A32,T_StockCount[WeekIndex],51),IF((('T_SelfStock'!AZ36&lt;&gt;""))*(('T_TTAFStock'!AZ36&lt;&gt;""))&gt;0,'T_SelfStock'!AZ36+'T_TTAFStock'!AZ36,AY32+'Grid_Incoming'!AZ32-'Grid_Requirement'!AZ32))</f>
        <v/>
      </c>
      <c r="BA32">
        <f>IF(COUNTIFS(T_StockCount[Part Name],$A32,T_StockCount[WeekIndex],52)&gt;0,SUMIFS(T_StockCount[CountedQty],T_StockCount[Part Name],$A32,T_StockCount[WeekIndex],52),IF((('T_SelfStock'!BA36&lt;&gt;""))*(('T_TTAFStock'!BA36&lt;&gt;""))&gt;0,'T_SelfStock'!BA36+'T_TTAFStock'!BA36,AZ32+'Grid_Incoming'!BA32-'Grid_Requirement'!BA32))</f>
        <v/>
      </c>
      <c r="BB32">
        <f>IF(COUNTIFS(T_StockCount[Part Name],$A32,T_StockCount[WeekIndex],53)&gt;0,SUMIFS(T_StockCount[CountedQty],T_StockCount[Part Name],$A32,T_StockCount[WeekIndex],53),IF((('T_SelfStock'!BB36&lt;&gt;""))*(('T_TTAFStock'!BB36&lt;&gt;""))&gt;0,'T_SelfStock'!BB36+'T_TTAFStock'!BB36,BA32+'Grid_Incoming'!BB32-'Grid_Requirement'!BB32))</f>
        <v/>
      </c>
      <c r="BC32">
        <f>IF(COUNTIFS(T_StockCount[Part Name],$A32,T_StockCount[WeekIndex],54)&gt;0,SUMIFS(T_StockCount[CountedQty],T_StockCount[Part Name],$A32,T_StockCount[WeekIndex],54),IF((('T_SelfStock'!BC36&lt;&gt;""))*(('T_TTAFStock'!BC36&lt;&gt;""))&gt;0,'T_SelfStock'!BC36+'T_TTAFStock'!BC36,BB32+'Grid_Incoming'!BC32-'Grid_Requirement'!BC32))</f>
        <v/>
      </c>
      <c r="BD32">
        <f>IF(COUNTIFS(T_StockCount[Part Name],$A32,T_StockCount[WeekIndex],55)&gt;0,SUMIFS(T_StockCount[CountedQty],T_StockCount[Part Name],$A32,T_StockCount[WeekIndex],55),IF((('T_SelfStock'!BD36&lt;&gt;""))*(('T_TTAFStock'!BD36&lt;&gt;""))&gt;0,'T_SelfStock'!BD36+'T_TTAFStock'!BD36,BC32+'Grid_Incoming'!BD32-'Grid_Requirement'!BD32))</f>
        <v/>
      </c>
      <c r="BE32">
        <f>IF(COUNTIFS(T_StockCount[Part Name],$A32,T_StockCount[WeekIndex],56)&gt;0,SUMIFS(T_StockCount[CountedQty],T_StockCount[Part Name],$A32,T_StockCount[WeekIndex],56),IF((('T_SelfStock'!BE36&lt;&gt;""))*(('T_TTAFStock'!BE36&lt;&gt;""))&gt;0,'T_SelfStock'!BE36+'T_TTAFStock'!BE36,BD32+'Grid_Incoming'!BE32-'Grid_Requirement'!BE32))</f>
        <v/>
      </c>
      <c r="BF32">
        <f>IF(COUNTIFS(T_StockCount[Part Name],$A32,T_StockCount[WeekIndex],57)&gt;0,SUMIFS(T_StockCount[CountedQty],T_StockCount[Part Name],$A32,T_StockCount[WeekIndex],57),IF((('T_SelfStock'!BF36&lt;&gt;""))*(('T_TTAFStock'!BF36&lt;&gt;""))&gt;0,'T_SelfStock'!BF36+'T_TTAFStock'!BF36,BE32+'Grid_Incoming'!BF32-'Grid_Requirement'!BF32))</f>
        <v/>
      </c>
      <c r="BG32">
        <f>IF(COUNTIFS(T_StockCount[Part Name],$A32,T_StockCount[WeekIndex],58)&gt;0,SUMIFS(T_StockCount[CountedQty],T_StockCount[Part Name],$A32,T_StockCount[WeekIndex],58),IF((('T_SelfStock'!BG36&lt;&gt;""))*(('T_TTAFStock'!BG36&lt;&gt;""))&gt;0,'T_SelfStock'!BG36+'T_TTAFStock'!BG36,BF32+'Grid_Incoming'!BG32-'Grid_Requirement'!BG32))</f>
        <v/>
      </c>
      <c r="BH32">
        <f>IF(COUNTIFS(T_StockCount[Part Name],$A32,T_StockCount[WeekIndex],59)&gt;0,SUMIFS(T_StockCount[CountedQty],T_StockCount[Part Name],$A32,T_StockCount[WeekIndex],59),IF((('T_SelfStock'!BH36&lt;&gt;""))*(('T_TTAFStock'!BH36&lt;&gt;""))&gt;0,'T_SelfStock'!BH36+'T_TTAFStock'!BH36,BG32+'Grid_Incoming'!BH32-'Grid_Requirement'!BH32))</f>
        <v/>
      </c>
      <c r="BI32">
        <f>IF(COUNTIFS(T_StockCount[Part Name],$A32,T_StockCount[WeekIndex],60)&gt;0,SUMIFS(T_StockCount[CountedQty],T_StockCount[Part Name],$A32,T_StockCount[WeekIndex],60),IF((('T_SelfStock'!BI36&lt;&gt;""))*(('T_TTAFStock'!BI36&lt;&gt;""))&gt;0,'T_SelfStock'!BI36+'T_TTAFStock'!BI36,BH32+'Grid_Incoming'!BI32-'Grid_Requirement'!BI32))</f>
        <v/>
      </c>
      <c r="BJ32">
        <f>IF(COUNTIFS(T_StockCount[Part Name],$A32,T_StockCount[WeekIndex],61)&gt;0,SUMIFS(T_StockCount[CountedQty],T_StockCount[Part Name],$A32,T_StockCount[WeekIndex],61),IF((('T_SelfStock'!BJ36&lt;&gt;""))*(('T_TTAFStock'!BJ36&lt;&gt;""))&gt;0,'T_SelfStock'!BJ36+'T_TTAFStock'!BJ36,BI32+'Grid_Incoming'!BJ32-'Grid_Requirement'!BJ32))</f>
        <v/>
      </c>
      <c r="BK32">
        <f>IF(COUNTIFS(T_StockCount[Part Name],$A32,T_StockCount[WeekIndex],62)&gt;0,SUMIFS(T_StockCount[CountedQty],T_StockCount[Part Name],$A32,T_StockCount[WeekIndex],62),IF((('T_SelfStock'!BK36&lt;&gt;""))*(('T_TTAFStock'!BK36&lt;&gt;""))&gt;0,'T_SelfStock'!BK36+'T_TTAFStock'!BK36,BJ32+'Grid_Incoming'!BK32-'Grid_Requirement'!BK32))</f>
        <v/>
      </c>
      <c r="BL32">
        <f>IF(COUNTIFS(T_StockCount[Part Name],$A32,T_StockCount[WeekIndex],63)&gt;0,SUMIFS(T_StockCount[CountedQty],T_StockCount[Part Name],$A32,T_StockCount[WeekIndex],63),IF((('T_SelfStock'!BL36&lt;&gt;""))*(('T_TTAFStock'!BL36&lt;&gt;""))&gt;0,'T_SelfStock'!BL36+'T_TTAFStock'!BL36,BK32+'Grid_Incoming'!BL32-'Grid_Requirement'!BL32))</f>
        <v/>
      </c>
      <c r="BM32">
        <f>IF(COUNTIFS(T_StockCount[Part Name],$A32,T_StockCount[WeekIndex],64)&gt;0,SUMIFS(T_StockCount[CountedQty],T_StockCount[Part Name],$A32,T_StockCount[WeekIndex],64),IF((('T_SelfStock'!BM36&lt;&gt;""))*(('T_TTAFStock'!BM36&lt;&gt;""))&gt;0,'T_SelfStock'!BM36+'T_TTAFStock'!BM36,BL32+'Grid_Incoming'!BM32-'Grid_Requirement'!BM32))</f>
        <v/>
      </c>
      <c r="BN32">
        <f>IF(COUNTIFS(T_StockCount[Part Name],$A32,T_StockCount[WeekIndex],65)&gt;0,SUMIFS(T_StockCount[CountedQty],T_StockCount[Part Name],$A32,T_StockCount[WeekIndex],65),IF((('T_SelfStock'!BN36&lt;&gt;""))*(('T_TTAFStock'!BN36&lt;&gt;""))&gt;0,'T_SelfStock'!BN36+'T_TTAFStock'!BN36,BM32+'Grid_Incoming'!BN32-'Grid_Requirement'!BN32))</f>
        <v/>
      </c>
      <c r="BO32">
        <f>IF(COUNTIFS(T_StockCount[Part Name],$A32,T_StockCount[WeekIndex],66)&gt;0,SUMIFS(T_StockCount[CountedQty],T_StockCount[Part Name],$A32,T_StockCount[WeekIndex],66),IF((('T_SelfStock'!BO36&lt;&gt;""))*(('T_TTAFStock'!BO36&lt;&gt;""))&gt;0,'T_SelfStock'!BO36+'T_TTAFStock'!BO36,BN32+'Grid_Incoming'!BO32-'Grid_Requirement'!BO32))</f>
        <v/>
      </c>
      <c r="BP32">
        <f>IF(COUNTIFS(T_StockCount[Part Name],$A32,T_StockCount[WeekIndex],67)&gt;0,SUMIFS(T_StockCount[CountedQty],T_StockCount[Part Name],$A32,T_StockCount[WeekIndex],67),IF((('T_SelfStock'!BP36&lt;&gt;""))*(('T_TTAFStock'!BP36&lt;&gt;""))&gt;0,'T_SelfStock'!BP36+'T_TTAFStock'!BP36,BO32+'Grid_Incoming'!BP32-'Grid_Requirement'!BP32))</f>
        <v/>
      </c>
      <c r="BQ32">
        <f>IF(COUNTIFS(T_StockCount[Part Name],$A32,T_StockCount[WeekIndex],68)&gt;0,SUMIFS(T_StockCount[CountedQty],T_StockCount[Part Name],$A32,T_StockCount[WeekIndex],68),IF((('T_SelfStock'!BQ36&lt;&gt;""))*(('T_TTAFStock'!BQ36&lt;&gt;""))&gt;0,'T_SelfStock'!BQ36+'T_TTAFStock'!BQ36,BP32+'Grid_Incoming'!BQ32-'Grid_Requirement'!BQ32))</f>
        <v/>
      </c>
      <c r="BR32">
        <f>IF(COUNTIFS(T_StockCount[Part Name],$A32,T_StockCount[WeekIndex],69)&gt;0,SUMIFS(T_StockCount[CountedQty],T_StockCount[Part Name],$A32,T_StockCount[WeekIndex],69),IF((('T_SelfStock'!BR36&lt;&gt;""))*(('T_TTAFStock'!BR36&lt;&gt;""))&gt;0,'T_SelfStock'!BR36+'T_TTAFStock'!BR36,BQ32+'Grid_Incoming'!BR32-'Grid_Requirement'!BR32))</f>
        <v/>
      </c>
      <c r="BS32">
        <f>IF(COUNTIFS(T_StockCount[Part Name],$A32,T_StockCount[WeekIndex],70)&gt;0,SUMIFS(T_StockCount[CountedQty],T_StockCount[Part Name],$A32,T_StockCount[WeekIndex],70),IF((('T_SelfStock'!BS36&lt;&gt;""))*(('T_TTAFStock'!BS36&lt;&gt;""))&gt;0,'T_SelfStock'!BS36+'T_TTAFStock'!BS36,BR32+'Grid_Incoming'!BS32-'Grid_Requirement'!BS32))</f>
        <v/>
      </c>
      <c r="BT32">
        <f>IF(COUNTIFS(T_StockCount[Part Name],$A32,T_StockCount[WeekIndex],71)&gt;0,SUMIFS(T_StockCount[CountedQty],T_StockCount[Part Name],$A32,T_StockCount[WeekIndex],71),IF((('T_SelfStock'!BT36&lt;&gt;""))*(('T_TTAFStock'!BT36&lt;&gt;""))&gt;0,'T_SelfStock'!BT36+'T_TTAFStock'!BT36,BS32+'Grid_Incoming'!BT32-'Grid_Requirement'!BT32))</f>
        <v/>
      </c>
      <c r="BU32">
        <f>IF(COUNTIFS(T_StockCount[Part Name],$A32,T_StockCount[WeekIndex],72)&gt;0,SUMIFS(T_StockCount[CountedQty],T_StockCount[Part Name],$A32,T_StockCount[WeekIndex],72),IF((('T_SelfStock'!BU36&lt;&gt;""))*(('T_TTAFStock'!BU36&lt;&gt;""))&gt;0,'T_SelfStock'!BU36+'T_TTAFStock'!BU36,BT32+'Grid_Incoming'!BU32-'Grid_Requirement'!BU32))</f>
        <v/>
      </c>
      <c r="BV32">
        <f>IF(COUNTIFS(T_StockCount[Part Name],$A32,T_StockCount[WeekIndex],73)&gt;0,SUMIFS(T_StockCount[CountedQty],T_StockCount[Part Name],$A32,T_StockCount[WeekIndex],73),IF((('T_SelfStock'!BV36&lt;&gt;""))*(('T_TTAFStock'!BV36&lt;&gt;""))&gt;0,'T_SelfStock'!BV36+'T_TTAFStock'!BV36,BU32+'Grid_Incoming'!BV32-'Grid_Requirement'!BV32))</f>
        <v/>
      </c>
      <c r="BW32">
        <f>IF(COUNTIFS(T_StockCount[Part Name],$A32,T_StockCount[WeekIndex],74)&gt;0,SUMIFS(T_StockCount[CountedQty],T_StockCount[Part Name],$A32,T_StockCount[WeekIndex],74),IF((('T_SelfStock'!BW36&lt;&gt;""))*(('T_TTAFStock'!BW36&lt;&gt;""))&gt;0,'T_SelfStock'!BW36+'T_TTAFStock'!BW36,BV32+'Grid_Incoming'!BW32-'Grid_Requirement'!BW32))</f>
        <v/>
      </c>
      <c r="BX32">
        <f>IF(COUNTIFS(T_StockCount[Part Name],$A32,T_StockCount[WeekIndex],75)&gt;0,SUMIFS(T_StockCount[CountedQty],T_StockCount[Part Name],$A32,T_StockCount[WeekIndex],75),IF((('T_SelfStock'!BX36&lt;&gt;""))*(('T_TTAFStock'!BX36&lt;&gt;""))&gt;0,'T_SelfStock'!BX36+'T_TTAFStock'!BX36,BW32+'Grid_Incoming'!BX32-'Grid_Requirement'!BX32))</f>
        <v/>
      </c>
      <c r="BY32">
        <f>IF(COUNTIFS(T_StockCount[Part Name],$A32,T_StockCount[WeekIndex],76)&gt;0,SUMIFS(T_StockCount[CountedQty],T_StockCount[Part Name],$A32,T_StockCount[WeekIndex],76),IF((('T_SelfStock'!BY36&lt;&gt;""))*(('T_TTAFStock'!BY36&lt;&gt;""))&gt;0,'T_SelfStock'!BY36+'T_TTAFStock'!BY36,BX32+'Grid_Incoming'!BY32-'Grid_Requirement'!BY32))</f>
        <v/>
      </c>
      <c r="BZ32">
        <f>IF(COUNTIFS(T_StockCount[Part Name],$A32,T_StockCount[WeekIndex],77)&gt;0,SUMIFS(T_StockCount[CountedQty],T_StockCount[Part Name],$A32,T_StockCount[WeekIndex],77),IF((('T_SelfStock'!BZ36&lt;&gt;""))*(('T_TTAFStock'!BZ36&lt;&gt;""))&gt;0,'T_SelfStock'!BZ36+'T_TTAFStock'!BZ36,BY32+'Grid_Incoming'!BZ32-'Grid_Requirement'!BZ32))</f>
        <v/>
      </c>
      <c r="CA32">
        <f>IF(COUNTIFS(T_StockCount[Part Name],$A32,T_StockCount[WeekIndex],78)&gt;0,SUMIFS(T_StockCount[CountedQty],T_StockCount[Part Name],$A32,T_StockCount[WeekIndex],78),IF((('T_SelfStock'!CA36&lt;&gt;""))*(('T_TTAFStock'!CA36&lt;&gt;""))&gt;0,'T_SelfStock'!CA36+'T_TTAFStock'!CA36,BZ32+'Grid_Incoming'!CA32-'Grid_Requirement'!CA32))</f>
        <v/>
      </c>
      <c r="CB32">
        <f>IF(COUNTIFS(T_StockCount[Part Name],$A32,T_StockCount[WeekIndex],79)&gt;0,SUMIFS(T_StockCount[CountedQty],T_StockCount[Part Name],$A32,T_StockCount[WeekIndex],79),IF((('T_SelfStock'!CB36&lt;&gt;""))*(('T_TTAFStock'!CB36&lt;&gt;""))&gt;0,'T_SelfStock'!CB36+'T_TTAFStock'!CB36,CA32+'Grid_Incoming'!CB32-'Grid_Requirement'!CB32))</f>
        <v/>
      </c>
      <c r="CC32">
        <f>IF(COUNTIFS(T_StockCount[Part Name],$A32,T_StockCount[WeekIndex],80)&gt;0,SUMIFS(T_StockCount[CountedQty],T_StockCount[Part Name],$A32,T_StockCount[WeekIndex],80),IF((('T_SelfStock'!CC36&lt;&gt;""))*(('T_TTAFStock'!CC36&lt;&gt;""))&gt;0,'T_SelfStock'!CC36+'T_TTAFStock'!CC36,CB32+'Grid_Incoming'!CC32-'Grid_Requirement'!CC32))</f>
        <v/>
      </c>
      <c r="CD32">
        <f>IF(COUNTIFS(T_StockCount[Part Name],$A32,T_StockCount[WeekIndex],81)&gt;0,SUMIFS(T_StockCount[CountedQty],T_StockCount[Part Name],$A32,T_StockCount[WeekIndex],81),IF((('T_SelfStock'!CD36&lt;&gt;""))*(('T_TTAFStock'!CD36&lt;&gt;""))&gt;0,'T_SelfStock'!CD36+'T_TTAFStock'!CD36,CC32+'Grid_Incoming'!CD32-'Grid_Requirement'!CD32))</f>
        <v/>
      </c>
      <c r="CE32">
        <f>IF(COUNTIFS(T_StockCount[Part Name],$A32,T_StockCount[WeekIndex],82)&gt;0,SUMIFS(T_StockCount[CountedQty],T_StockCount[Part Name],$A32,T_StockCount[WeekIndex],82),IF((('T_SelfStock'!CE36&lt;&gt;""))*(('T_TTAFStock'!CE36&lt;&gt;""))&gt;0,'T_SelfStock'!CE36+'T_TTAFStock'!CE36,CD32+'Grid_Incoming'!CE32-'Grid_Requirement'!CE32))</f>
        <v/>
      </c>
      <c r="CF32">
        <f>IF(COUNTIFS(T_StockCount[Part Name],$A32,T_StockCount[WeekIndex],83)&gt;0,SUMIFS(T_StockCount[CountedQty],T_StockCount[Part Name],$A32,T_StockCount[WeekIndex],83),IF((('T_SelfStock'!CF36&lt;&gt;""))*(('T_TTAFStock'!CF36&lt;&gt;""))&gt;0,'T_SelfStock'!CF36+'T_TTAFStock'!CF36,CE32+'Grid_Incoming'!CF32-'Grid_Requirement'!CF32))</f>
        <v/>
      </c>
      <c r="CG32">
        <f>IF(COUNTIFS(T_StockCount[Part Name],$A32,T_StockCount[WeekIndex],84)&gt;0,SUMIFS(T_StockCount[CountedQty],T_StockCount[Part Name],$A32,T_StockCount[WeekIndex],84),IF((('T_SelfStock'!CG36&lt;&gt;""))*(('T_TTAFStock'!CG36&lt;&gt;""))&gt;0,'T_SelfStock'!CG36+'T_TTAFStock'!CG36,CF32+'Grid_Incoming'!CG32-'Grid_Requirement'!CG32))</f>
        <v/>
      </c>
      <c r="CH32">
        <f>IF(COUNTIFS(T_StockCount[Part Name],$A32,T_StockCount[WeekIndex],85)&gt;0,SUMIFS(T_StockCount[CountedQty],T_StockCount[Part Name],$A32,T_StockCount[WeekIndex],85),IF((('T_SelfStock'!CH36&lt;&gt;""))*(('T_TTAFStock'!CH36&lt;&gt;""))&gt;0,'T_SelfStock'!CH36+'T_TTAFStock'!CH36,CG32+'Grid_Incoming'!CH32-'Grid_Requirement'!CH32))</f>
        <v/>
      </c>
      <c r="CI32">
        <f>IF(COUNTIFS(T_StockCount[Part Name],$A32,T_StockCount[WeekIndex],86)&gt;0,SUMIFS(T_StockCount[CountedQty],T_StockCount[Part Name],$A32,T_StockCount[WeekIndex],86),IF((('T_SelfStock'!CI36&lt;&gt;""))*(('T_TTAFStock'!CI36&lt;&gt;""))&gt;0,'T_SelfStock'!CI36+'T_TTAFStock'!CI36,CH32+'Grid_Incoming'!CI32-'Grid_Requirement'!CI32))</f>
        <v/>
      </c>
      <c r="CJ32">
        <f>IF(COUNTIFS(T_StockCount[Part Name],$A32,T_StockCount[WeekIndex],87)&gt;0,SUMIFS(T_StockCount[CountedQty],T_StockCount[Part Name],$A32,T_StockCount[WeekIndex],87),IF((('T_SelfStock'!CJ36&lt;&gt;""))*(('T_TTAFStock'!CJ36&lt;&gt;""))&gt;0,'T_SelfStock'!CJ36+'T_TTAFStock'!CJ36,CI32+'Grid_Incoming'!CJ32-'Grid_Requirement'!CJ32))</f>
        <v/>
      </c>
      <c r="CK32">
        <f>IF(COUNTIFS(T_StockCount[Part Name],$A32,T_StockCount[WeekIndex],88)&gt;0,SUMIFS(T_StockCount[CountedQty],T_StockCount[Part Name],$A32,T_StockCount[WeekIndex],88),IF((('T_SelfStock'!CK36&lt;&gt;""))*(('T_TTAFStock'!CK36&lt;&gt;""))&gt;0,'T_SelfStock'!CK36+'T_TTAFStock'!CK36,CJ32+'Grid_Incoming'!CK32-'Grid_Requirement'!CK32))</f>
        <v/>
      </c>
      <c r="CL32">
        <f>IF(COUNTIFS(T_StockCount[Part Name],$A32,T_StockCount[WeekIndex],89)&gt;0,SUMIFS(T_StockCount[CountedQty],T_StockCount[Part Name],$A32,T_StockCount[WeekIndex],89),IF((('T_SelfStock'!CL36&lt;&gt;""))*(('T_TTAFStock'!CL36&lt;&gt;""))&gt;0,'T_SelfStock'!CL36+'T_TTAFStock'!CL36,CK32+'Grid_Incoming'!CL32-'Grid_Requirement'!CL32))</f>
        <v/>
      </c>
      <c r="CM32">
        <f>IF(COUNTIFS(T_StockCount[Part Name],$A32,T_StockCount[WeekIndex],90)&gt;0,SUMIFS(T_StockCount[CountedQty],T_StockCount[Part Name],$A32,T_StockCount[WeekIndex],90),IF((('T_SelfStock'!CM36&lt;&gt;""))*(('T_TTAFStock'!CM36&lt;&gt;""))&gt;0,'T_SelfStock'!CM36+'T_TTAFStock'!CM36,CL32+'Grid_Incoming'!CM32-'Grid_Requirement'!CM32))</f>
        <v/>
      </c>
      <c r="CN32">
        <f>IF(COUNTIFS(T_StockCount[Part Name],$A32,T_StockCount[WeekIndex],91)&gt;0,SUMIFS(T_StockCount[CountedQty],T_StockCount[Part Name],$A32,T_StockCount[WeekIndex],91),IF((('T_SelfStock'!CN36&lt;&gt;""))*(('T_TTAFStock'!CN36&lt;&gt;""))&gt;0,'T_SelfStock'!CN36+'T_TTAFStock'!CN36,CM32+'Grid_Incoming'!CN32-'Grid_Requirement'!CN32))</f>
        <v/>
      </c>
      <c r="CO32">
        <f>IF(COUNTIFS(T_StockCount[Part Name],$A32,T_StockCount[WeekIndex],92)&gt;0,SUMIFS(T_StockCount[CountedQty],T_StockCount[Part Name],$A32,T_StockCount[WeekIndex],92),IF((('T_SelfStock'!CO36&lt;&gt;""))*(('T_TTAFStock'!CO36&lt;&gt;""))&gt;0,'T_SelfStock'!CO36+'T_TTAFStock'!CO36,CN32+'Grid_Incoming'!CO32-'Grid_Requirement'!CO32))</f>
        <v/>
      </c>
      <c r="CP32">
        <f>IF(COUNTIFS(T_StockCount[Part Name],$A32,T_StockCount[WeekIndex],93)&gt;0,SUMIFS(T_StockCount[CountedQty],T_StockCount[Part Name],$A32,T_StockCount[WeekIndex],93),IF((('T_SelfStock'!CP36&lt;&gt;""))*(('T_TTAFStock'!CP36&lt;&gt;""))&gt;0,'T_SelfStock'!CP36+'T_TTAFStock'!CP36,CO32+'Grid_Incoming'!CP32-'Grid_Requirement'!CP32))</f>
        <v/>
      </c>
      <c r="CQ32">
        <f>IF(COUNTIFS(T_StockCount[Part Name],$A32,T_StockCount[WeekIndex],94)&gt;0,SUMIFS(T_StockCount[CountedQty],T_StockCount[Part Name],$A32,T_StockCount[WeekIndex],94),IF((('T_SelfStock'!CQ36&lt;&gt;""))*(('T_TTAFStock'!CQ36&lt;&gt;""))&gt;0,'T_SelfStock'!CQ36+'T_TTAFStock'!CQ36,CP32+'Grid_Incoming'!CQ32-'Grid_Requirement'!CQ32))</f>
        <v/>
      </c>
      <c r="CR32">
        <f>IF(COUNTIFS(T_StockCount[Part Name],$A32,T_StockCount[WeekIndex],95)&gt;0,SUMIFS(T_StockCount[CountedQty],T_StockCount[Part Name],$A32,T_StockCount[WeekIndex],95),IF((('T_SelfStock'!CR36&lt;&gt;""))*(('T_TTAFStock'!CR36&lt;&gt;""))&gt;0,'T_SelfStock'!CR36+'T_TTAFStock'!CR36,CQ32+'Grid_Incoming'!CR32-'Grid_Requirement'!CR32))</f>
        <v/>
      </c>
      <c r="CS32">
        <f>IF(COUNTIFS(T_StockCount[Part Name],$A32,T_StockCount[WeekIndex],96)&gt;0,SUMIFS(T_StockCount[CountedQty],T_StockCount[Part Name],$A32,T_StockCount[WeekIndex],96),IF((('T_SelfStock'!CS36&lt;&gt;""))*(('T_TTAFStock'!CS36&lt;&gt;""))&gt;0,'T_SelfStock'!CS36+'T_TTAFStock'!CS36,CR32+'Grid_Incoming'!CS32-'Grid_Requirement'!CS32))</f>
        <v/>
      </c>
      <c r="CT32">
        <f>IF(COUNTIFS(T_StockCount[Part Name],$A32,T_StockCount[WeekIndex],97)&gt;0,SUMIFS(T_StockCount[CountedQty],T_StockCount[Part Name],$A32,T_StockCount[WeekIndex],97),IF((('T_SelfStock'!CT36&lt;&gt;""))*(('T_TTAFStock'!CT36&lt;&gt;""))&gt;0,'T_SelfStock'!CT36+'T_TTAFStock'!CT36,CS32+'Grid_Incoming'!CT32-'Grid_Requirement'!CT32))</f>
        <v/>
      </c>
      <c r="CU32">
        <f>IF(COUNTIFS(T_StockCount[Part Name],$A32,T_StockCount[WeekIndex],98)&gt;0,SUMIFS(T_StockCount[CountedQty],T_StockCount[Part Name],$A32,T_StockCount[WeekIndex],98),IF((('T_SelfStock'!CU36&lt;&gt;""))*(('T_TTAFStock'!CU36&lt;&gt;""))&gt;0,'T_SelfStock'!CU36+'T_TTAFStock'!CU36,CT32+'Grid_Incoming'!CU32-'Grid_Requirement'!CU32))</f>
        <v/>
      </c>
      <c r="CV32">
        <f>IF(COUNTIFS(T_StockCount[Part Name],$A32,T_StockCount[WeekIndex],99)&gt;0,SUMIFS(T_StockCount[CountedQty],T_StockCount[Part Name],$A32,T_StockCount[WeekIndex],99),IF((('T_SelfStock'!CV36&lt;&gt;""))*(('T_TTAFStock'!CV36&lt;&gt;""))&gt;0,'T_SelfStock'!CV36+'T_TTAFStock'!CV36,CU32+'Grid_Incoming'!CV32-'Grid_Requirement'!CV32))</f>
        <v/>
      </c>
      <c r="CW32">
        <f>IF(COUNTIFS(T_StockCount[Part Name],$A32,T_StockCount[WeekIndex],100)&gt;0,SUMIFS(T_StockCount[CountedQty],T_StockCount[Part Name],$A32,T_StockCount[WeekIndex],100),IF((('T_SelfStock'!CW36&lt;&gt;""))*(('T_TTAFStock'!CW36&lt;&gt;""))&gt;0,'T_SelfStock'!CW36+'T_TTAFStock'!CW36,CV32+'Grid_Incoming'!CW32-'Grid_Requirement'!CW32))</f>
        <v/>
      </c>
      <c r="CX32">
        <f>IF(COUNTIFS(T_StockCount[Part Name],$A32,T_StockCount[WeekIndex],101)&gt;0,SUMIFS(T_StockCount[CountedQty],T_StockCount[Part Name],$A32,T_StockCount[WeekIndex],101),IF((('T_SelfStock'!CX36&lt;&gt;""))*(('T_TTAFStock'!CX36&lt;&gt;""))&gt;0,'T_SelfStock'!CX36+'T_TTAFStock'!CX36,CW32+'Grid_Incoming'!CX32-'Grid_Requirement'!CX32))</f>
        <v/>
      </c>
      <c r="CY32">
        <f>IF(COUNTIFS(T_StockCount[Part Name],$A32,T_StockCount[WeekIndex],102)&gt;0,SUMIFS(T_StockCount[CountedQty],T_StockCount[Part Name],$A32,T_StockCount[WeekIndex],102),IF((('T_SelfStock'!CY36&lt;&gt;""))*(('T_TTAFStock'!CY36&lt;&gt;""))&gt;0,'T_SelfStock'!CY36+'T_TTAFStock'!CY36,CX32+'Grid_Incoming'!CY32-'Grid_Requirement'!CY32))</f>
        <v/>
      </c>
      <c r="CZ32">
        <f>IF(COUNTIFS(T_StockCount[Part Name],$A32,T_StockCount[WeekIndex],103)&gt;0,SUMIFS(T_StockCount[CountedQty],T_StockCount[Part Name],$A32,T_StockCount[WeekIndex],103),IF((('T_SelfStock'!CZ36&lt;&gt;""))*(('T_TTAFStock'!CZ36&lt;&gt;""))&gt;0,'T_SelfStock'!CZ36+'T_TTAFStock'!CZ36,CY32+'Grid_Incoming'!CZ32-'Grid_Requirement'!CZ32))</f>
        <v/>
      </c>
      <c r="DA32">
        <f>IF(COUNTIFS(T_StockCount[Part Name],$A32,T_StockCount[WeekIndex],104)&gt;0,SUMIFS(T_StockCount[CountedQty],T_StockCount[Part Name],$A32,T_StockCount[WeekIndex],104),IF((('T_SelfStock'!DA36&lt;&gt;""))*(('T_TTAFStock'!DA36&lt;&gt;""))&gt;0,'T_SelfStock'!DA36+'T_TTAFStock'!DA36,CZ32+'Grid_Incoming'!DA32-'Grid_Requirement'!DA32))</f>
        <v/>
      </c>
    </row>
    <row r="33">
      <c r="A33" t="inlineStr">
        <is>
          <t>CHEM-1400</t>
        </is>
      </c>
      <c r="B33">
        <f>IF(COUNTIFS(T_StockCount[Part Name],$A33,T_StockCount[WeekIndex],1)&gt;0,SUMIFS(T_StockCount[CountedQty],T_StockCount[Part Name],$A33,T_StockCount[WeekIndex],1),IF((('T_SelfStock'!B37&lt;&gt;""))*(('T_TTAFStock'!B37&lt;&gt;""))&gt;0,'T_SelfStock'!B37+'T_TTAFStock'!B37,IFERROR(INDEX(T_OpeningStock[Opening_Qty_要入力],MATCH($A33,T_OpeningStock[Part Name],0)),0)+'Grid_Incoming'!B33-'Grid_Requirement'!B33))</f>
        <v/>
      </c>
      <c r="C33">
        <f>IF(COUNTIFS(T_StockCount[Part Name],$A33,T_StockCount[WeekIndex],2)&gt;0,SUMIFS(T_StockCount[CountedQty],T_StockCount[Part Name],$A33,T_StockCount[WeekIndex],2),IF((('T_SelfStock'!C37&lt;&gt;""))*(('T_TTAFStock'!C37&lt;&gt;""))&gt;0,'T_SelfStock'!C37+'T_TTAFStock'!C37,B33+'Grid_Incoming'!C33-'Grid_Requirement'!C33))</f>
        <v/>
      </c>
      <c r="D33">
        <f>IF(COUNTIFS(T_StockCount[Part Name],$A33,T_StockCount[WeekIndex],3)&gt;0,SUMIFS(T_StockCount[CountedQty],T_StockCount[Part Name],$A33,T_StockCount[WeekIndex],3),IF((('T_SelfStock'!D37&lt;&gt;""))*(('T_TTAFStock'!D37&lt;&gt;""))&gt;0,'T_SelfStock'!D37+'T_TTAFStock'!D37,C33+'Grid_Incoming'!D33-'Grid_Requirement'!D33))</f>
        <v/>
      </c>
      <c r="E33">
        <f>IF(COUNTIFS(T_StockCount[Part Name],$A33,T_StockCount[WeekIndex],4)&gt;0,SUMIFS(T_StockCount[CountedQty],T_StockCount[Part Name],$A33,T_StockCount[WeekIndex],4),IF((('T_SelfStock'!E37&lt;&gt;""))*(('T_TTAFStock'!E37&lt;&gt;""))&gt;0,'T_SelfStock'!E37+'T_TTAFStock'!E37,D33+'Grid_Incoming'!E33-'Grid_Requirement'!E33))</f>
        <v/>
      </c>
      <c r="F33">
        <f>IF(COUNTIFS(T_StockCount[Part Name],$A33,T_StockCount[WeekIndex],5)&gt;0,SUMIFS(T_StockCount[CountedQty],T_StockCount[Part Name],$A33,T_StockCount[WeekIndex],5),IF((('T_SelfStock'!F37&lt;&gt;""))*(('T_TTAFStock'!F37&lt;&gt;""))&gt;0,'T_SelfStock'!F37+'T_TTAFStock'!F37,E33+'Grid_Incoming'!F33-'Grid_Requirement'!F33))</f>
        <v/>
      </c>
      <c r="G33">
        <f>IF(COUNTIFS(T_StockCount[Part Name],$A33,T_StockCount[WeekIndex],6)&gt;0,SUMIFS(T_StockCount[CountedQty],T_StockCount[Part Name],$A33,T_StockCount[WeekIndex],6),IF((('T_SelfStock'!G37&lt;&gt;""))*(('T_TTAFStock'!G37&lt;&gt;""))&gt;0,'T_SelfStock'!G37+'T_TTAFStock'!G37,F33+'Grid_Incoming'!G33-'Grid_Requirement'!G33))</f>
        <v/>
      </c>
      <c r="H33">
        <f>IF(COUNTIFS(T_StockCount[Part Name],$A33,T_StockCount[WeekIndex],7)&gt;0,SUMIFS(T_StockCount[CountedQty],T_StockCount[Part Name],$A33,T_StockCount[WeekIndex],7),IF((('T_SelfStock'!H37&lt;&gt;""))*(('T_TTAFStock'!H37&lt;&gt;""))&gt;0,'T_SelfStock'!H37+'T_TTAFStock'!H37,G33+'Grid_Incoming'!H33-'Grid_Requirement'!H33))</f>
        <v/>
      </c>
      <c r="I33">
        <f>IF(COUNTIFS(T_StockCount[Part Name],$A33,T_StockCount[WeekIndex],8)&gt;0,SUMIFS(T_StockCount[CountedQty],T_StockCount[Part Name],$A33,T_StockCount[WeekIndex],8),IF((('T_SelfStock'!I37&lt;&gt;""))*(('T_TTAFStock'!I37&lt;&gt;""))&gt;0,'T_SelfStock'!I37+'T_TTAFStock'!I37,H33+'Grid_Incoming'!I33-'Grid_Requirement'!I33))</f>
        <v/>
      </c>
      <c r="J33">
        <f>IF(COUNTIFS(T_StockCount[Part Name],$A33,T_StockCount[WeekIndex],9)&gt;0,SUMIFS(T_StockCount[CountedQty],T_StockCount[Part Name],$A33,T_StockCount[WeekIndex],9),IF((('T_SelfStock'!J37&lt;&gt;""))*(('T_TTAFStock'!J37&lt;&gt;""))&gt;0,'T_SelfStock'!J37+'T_TTAFStock'!J37,I33+'Grid_Incoming'!J33-'Grid_Requirement'!J33))</f>
        <v/>
      </c>
      <c r="K33">
        <f>IF(COUNTIFS(T_StockCount[Part Name],$A33,T_StockCount[WeekIndex],10)&gt;0,SUMIFS(T_StockCount[CountedQty],T_StockCount[Part Name],$A33,T_StockCount[WeekIndex],10),IF((('T_SelfStock'!K37&lt;&gt;""))*(('T_TTAFStock'!K37&lt;&gt;""))&gt;0,'T_SelfStock'!K37+'T_TTAFStock'!K37,J33+'Grid_Incoming'!K33-'Grid_Requirement'!K33))</f>
        <v/>
      </c>
      <c r="L33">
        <f>IF(COUNTIFS(T_StockCount[Part Name],$A33,T_StockCount[WeekIndex],11)&gt;0,SUMIFS(T_StockCount[CountedQty],T_StockCount[Part Name],$A33,T_StockCount[WeekIndex],11),IF((('T_SelfStock'!L37&lt;&gt;""))*(('T_TTAFStock'!L37&lt;&gt;""))&gt;0,'T_SelfStock'!L37+'T_TTAFStock'!L37,K33+'Grid_Incoming'!L33-'Grid_Requirement'!L33))</f>
        <v/>
      </c>
      <c r="M33">
        <f>IF(COUNTIFS(T_StockCount[Part Name],$A33,T_StockCount[WeekIndex],12)&gt;0,SUMIFS(T_StockCount[CountedQty],T_StockCount[Part Name],$A33,T_StockCount[WeekIndex],12),IF((('T_SelfStock'!M37&lt;&gt;""))*(('T_TTAFStock'!M37&lt;&gt;""))&gt;0,'T_SelfStock'!M37+'T_TTAFStock'!M37,L33+'Grid_Incoming'!M33-'Grid_Requirement'!M33))</f>
        <v/>
      </c>
      <c r="N33">
        <f>IF(COUNTIFS(T_StockCount[Part Name],$A33,T_StockCount[WeekIndex],13)&gt;0,SUMIFS(T_StockCount[CountedQty],T_StockCount[Part Name],$A33,T_StockCount[WeekIndex],13),IF((('T_SelfStock'!N37&lt;&gt;""))*(('T_TTAFStock'!N37&lt;&gt;""))&gt;0,'T_SelfStock'!N37+'T_TTAFStock'!N37,M33+'Grid_Incoming'!N33-'Grid_Requirement'!N33))</f>
        <v/>
      </c>
      <c r="O33">
        <f>IF(COUNTIFS(T_StockCount[Part Name],$A33,T_StockCount[WeekIndex],14)&gt;0,SUMIFS(T_StockCount[CountedQty],T_StockCount[Part Name],$A33,T_StockCount[WeekIndex],14),IF((('T_SelfStock'!O37&lt;&gt;""))*(('T_TTAFStock'!O37&lt;&gt;""))&gt;0,'T_SelfStock'!O37+'T_TTAFStock'!O37,N33+'Grid_Incoming'!O33-'Grid_Requirement'!O33))</f>
        <v/>
      </c>
      <c r="P33">
        <f>IF(COUNTIFS(T_StockCount[Part Name],$A33,T_StockCount[WeekIndex],15)&gt;0,SUMIFS(T_StockCount[CountedQty],T_StockCount[Part Name],$A33,T_StockCount[WeekIndex],15),IF((('T_SelfStock'!P37&lt;&gt;""))*(('T_TTAFStock'!P37&lt;&gt;""))&gt;0,'T_SelfStock'!P37+'T_TTAFStock'!P37,O33+'Grid_Incoming'!P33-'Grid_Requirement'!P33))</f>
        <v/>
      </c>
      <c r="Q33">
        <f>IF(COUNTIFS(T_StockCount[Part Name],$A33,T_StockCount[WeekIndex],16)&gt;0,SUMIFS(T_StockCount[CountedQty],T_StockCount[Part Name],$A33,T_StockCount[WeekIndex],16),IF((('T_SelfStock'!Q37&lt;&gt;""))*(('T_TTAFStock'!Q37&lt;&gt;""))&gt;0,'T_SelfStock'!Q37+'T_TTAFStock'!Q37,P33+'Grid_Incoming'!Q33-'Grid_Requirement'!Q33))</f>
        <v/>
      </c>
      <c r="R33">
        <f>IF(COUNTIFS(T_StockCount[Part Name],$A33,T_StockCount[WeekIndex],17)&gt;0,SUMIFS(T_StockCount[CountedQty],T_StockCount[Part Name],$A33,T_StockCount[WeekIndex],17),IF((('T_SelfStock'!R37&lt;&gt;""))*(('T_TTAFStock'!R37&lt;&gt;""))&gt;0,'T_SelfStock'!R37+'T_TTAFStock'!R37,Q33+'Grid_Incoming'!R33-'Grid_Requirement'!R33))</f>
        <v/>
      </c>
      <c r="S33">
        <f>IF(COUNTIFS(T_StockCount[Part Name],$A33,T_StockCount[WeekIndex],18)&gt;0,SUMIFS(T_StockCount[CountedQty],T_StockCount[Part Name],$A33,T_StockCount[WeekIndex],18),IF((('T_SelfStock'!S37&lt;&gt;""))*(('T_TTAFStock'!S37&lt;&gt;""))&gt;0,'T_SelfStock'!S37+'T_TTAFStock'!S37,R33+'Grid_Incoming'!S33-'Grid_Requirement'!S33))</f>
        <v/>
      </c>
      <c r="T33">
        <f>IF(COUNTIFS(T_StockCount[Part Name],$A33,T_StockCount[WeekIndex],19)&gt;0,SUMIFS(T_StockCount[CountedQty],T_StockCount[Part Name],$A33,T_StockCount[WeekIndex],19),IF((('T_SelfStock'!T37&lt;&gt;""))*(('T_TTAFStock'!T37&lt;&gt;""))&gt;0,'T_SelfStock'!T37+'T_TTAFStock'!T37,S33+'Grid_Incoming'!T33-'Grid_Requirement'!T33))</f>
        <v/>
      </c>
      <c r="U33">
        <f>IF(COUNTIFS(T_StockCount[Part Name],$A33,T_StockCount[WeekIndex],20)&gt;0,SUMIFS(T_StockCount[CountedQty],T_StockCount[Part Name],$A33,T_StockCount[WeekIndex],20),IF((('T_SelfStock'!U37&lt;&gt;""))*(('T_TTAFStock'!U37&lt;&gt;""))&gt;0,'T_SelfStock'!U37+'T_TTAFStock'!U37,T33+'Grid_Incoming'!U33-'Grid_Requirement'!U33))</f>
        <v/>
      </c>
      <c r="V33">
        <f>IF(COUNTIFS(T_StockCount[Part Name],$A33,T_StockCount[WeekIndex],21)&gt;0,SUMIFS(T_StockCount[CountedQty],T_StockCount[Part Name],$A33,T_StockCount[WeekIndex],21),IF((('T_SelfStock'!V37&lt;&gt;""))*(('T_TTAFStock'!V37&lt;&gt;""))&gt;0,'T_SelfStock'!V37+'T_TTAFStock'!V37,U33+'Grid_Incoming'!V33-'Grid_Requirement'!V33))</f>
        <v/>
      </c>
      <c r="W33">
        <f>IF(COUNTIFS(T_StockCount[Part Name],$A33,T_StockCount[WeekIndex],22)&gt;0,SUMIFS(T_StockCount[CountedQty],T_StockCount[Part Name],$A33,T_StockCount[WeekIndex],22),IF((('T_SelfStock'!W37&lt;&gt;""))*(('T_TTAFStock'!W37&lt;&gt;""))&gt;0,'T_SelfStock'!W37+'T_TTAFStock'!W37,V33+'Grid_Incoming'!W33-'Grid_Requirement'!W33))</f>
        <v/>
      </c>
      <c r="X33">
        <f>IF(COUNTIFS(T_StockCount[Part Name],$A33,T_StockCount[WeekIndex],23)&gt;0,SUMIFS(T_StockCount[CountedQty],T_StockCount[Part Name],$A33,T_StockCount[WeekIndex],23),IF((('T_SelfStock'!X37&lt;&gt;""))*(('T_TTAFStock'!X37&lt;&gt;""))&gt;0,'T_SelfStock'!X37+'T_TTAFStock'!X37,W33+'Grid_Incoming'!X33-'Grid_Requirement'!X33))</f>
        <v/>
      </c>
      <c r="Y33">
        <f>IF(COUNTIFS(T_StockCount[Part Name],$A33,T_StockCount[WeekIndex],24)&gt;0,SUMIFS(T_StockCount[CountedQty],T_StockCount[Part Name],$A33,T_StockCount[WeekIndex],24),IF((('T_SelfStock'!Y37&lt;&gt;""))*(('T_TTAFStock'!Y37&lt;&gt;""))&gt;0,'T_SelfStock'!Y37+'T_TTAFStock'!Y37,X33+'Grid_Incoming'!Y33-'Grid_Requirement'!Y33))</f>
        <v/>
      </c>
      <c r="Z33">
        <f>IF(COUNTIFS(T_StockCount[Part Name],$A33,T_StockCount[WeekIndex],25)&gt;0,SUMIFS(T_StockCount[CountedQty],T_StockCount[Part Name],$A33,T_StockCount[WeekIndex],25),IF((('T_SelfStock'!Z37&lt;&gt;""))*(('T_TTAFStock'!Z37&lt;&gt;""))&gt;0,'T_SelfStock'!Z37+'T_TTAFStock'!Z37,Y33+'Grid_Incoming'!Z33-'Grid_Requirement'!Z33))</f>
        <v/>
      </c>
      <c r="AA33">
        <f>IF(COUNTIFS(T_StockCount[Part Name],$A33,T_StockCount[WeekIndex],26)&gt;0,SUMIFS(T_StockCount[CountedQty],T_StockCount[Part Name],$A33,T_StockCount[WeekIndex],26),IF((('T_SelfStock'!AA37&lt;&gt;""))*(('T_TTAFStock'!AA37&lt;&gt;""))&gt;0,'T_SelfStock'!AA37+'T_TTAFStock'!AA37,Z33+'Grid_Incoming'!AA33-'Grid_Requirement'!AA33))</f>
        <v/>
      </c>
      <c r="AB33">
        <f>IF(COUNTIFS(T_StockCount[Part Name],$A33,T_StockCount[WeekIndex],27)&gt;0,SUMIFS(T_StockCount[CountedQty],T_StockCount[Part Name],$A33,T_StockCount[WeekIndex],27),IF((('T_SelfStock'!AB37&lt;&gt;""))*(('T_TTAFStock'!AB37&lt;&gt;""))&gt;0,'T_SelfStock'!AB37+'T_TTAFStock'!AB37,AA33+'Grid_Incoming'!AB33-'Grid_Requirement'!AB33))</f>
        <v/>
      </c>
      <c r="AC33">
        <f>IF(COUNTIFS(T_StockCount[Part Name],$A33,T_StockCount[WeekIndex],28)&gt;0,SUMIFS(T_StockCount[CountedQty],T_StockCount[Part Name],$A33,T_StockCount[WeekIndex],28),IF((('T_SelfStock'!AC37&lt;&gt;""))*(('T_TTAFStock'!AC37&lt;&gt;""))&gt;0,'T_SelfStock'!AC37+'T_TTAFStock'!AC37,AB33+'Grid_Incoming'!AC33-'Grid_Requirement'!AC33))</f>
        <v/>
      </c>
      <c r="AD33">
        <f>IF(COUNTIFS(T_StockCount[Part Name],$A33,T_StockCount[WeekIndex],29)&gt;0,SUMIFS(T_StockCount[CountedQty],T_StockCount[Part Name],$A33,T_StockCount[WeekIndex],29),IF((('T_SelfStock'!AD37&lt;&gt;""))*(('T_TTAFStock'!AD37&lt;&gt;""))&gt;0,'T_SelfStock'!AD37+'T_TTAFStock'!AD37,AC33+'Grid_Incoming'!AD33-'Grid_Requirement'!AD33))</f>
        <v/>
      </c>
      <c r="AE33">
        <f>IF(COUNTIFS(T_StockCount[Part Name],$A33,T_StockCount[WeekIndex],30)&gt;0,SUMIFS(T_StockCount[CountedQty],T_StockCount[Part Name],$A33,T_StockCount[WeekIndex],30),IF((('T_SelfStock'!AE37&lt;&gt;""))*(('T_TTAFStock'!AE37&lt;&gt;""))&gt;0,'T_SelfStock'!AE37+'T_TTAFStock'!AE37,AD33+'Grid_Incoming'!AE33-'Grid_Requirement'!AE33))</f>
        <v/>
      </c>
      <c r="AF33">
        <f>IF(COUNTIFS(T_StockCount[Part Name],$A33,T_StockCount[WeekIndex],31)&gt;0,SUMIFS(T_StockCount[CountedQty],T_StockCount[Part Name],$A33,T_StockCount[WeekIndex],31),IF((('T_SelfStock'!AF37&lt;&gt;""))*(('T_TTAFStock'!AF37&lt;&gt;""))&gt;0,'T_SelfStock'!AF37+'T_TTAFStock'!AF37,AE33+'Grid_Incoming'!AF33-'Grid_Requirement'!AF33))</f>
        <v/>
      </c>
      <c r="AG33">
        <f>IF(COUNTIFS(T_StockCount[Part Name],$A33,T_StockCount[WeekIndex],32)&gt;0,SUMIFS(T_StockCount[CountedQty],T_StockCount[Part Name],$A33,T_StockCount[WeekIndex],32),IF((('T_SelfStock'!AG37&lt;&gt;""))*(('T_TTAFStock'!AG37&lt;&gt;""))&gt;0,'T_SelfStock'!AG37+'T_TTAFStock'!AG37,AF33+'Grid_Incoming'!AG33-'Grid_Requirement'!AG33))</f>
        <v/>
      </c>
      <c r="AH33">
        <f>IF(COUNTIFS(T_StockCount[Part Name],$A33,T_StockCount[WeekIndex],33)&gt;0,SUMIFS(T_StockCount[CountedQty],T_StockCount[Part Name],$A33,T_StockCount[WeekIndex],33),IF((('T_SelfStock'!AH37&lt;&gt;""))*(('T_TTAFStock'!AH37&lt;&gt;""))&gt;0,'T_SelfStock'!AH37+'T_TTAFStock'!AH37,AG33+'Grid_Incoming'!AH33-'Grid_Requirement'!AH33))</f>
        <v/>
      </c>
      <c r="AI33">
        <f>IF(COUNTIFS(T_StockCount[Part Name],$A33,T_StockCount[WeekIndex],34)&gt;0,SUMIFS(T_StockCount[CountedQty],T_StockCount[Part Name],$A33,T_StockCount[WeekIndex],34),IF((('T_SelfStock'!AI37&lt;&gt;""))*(('T_TTAFStock'!AI37&lt;&gt;""))&gt;0,'T_SelfStock'!AI37+'T_TTAFStock'!AI37,AH33+'Grid_Incoming'!AI33-'Grid_Requirement'!AI33))</f>
        <v/>
      </c>
      <c r="AJ33">
        <f>IF(COUNTIFS(T_StockCount[Part Name],$A33,T_StockCount[WeekIndex],35)&gt;0,SUMIFS(T_StockCount[CountedQty],T_StockCount[Part Name],$A33,T_StockCount[WeekIndex],35),IF((('T_SelfStock'!AJ37&lt;&gt;""))*(('T_TTAFStock'!AJ37&lt;&gt;""))&gt;0,'T_SelfStock'!AJ37+'T_TTAFStock'!AJ37,AI33+'Grid_Incoming'!AJ33-'Grid_Requirement'!AJ33))</f>
        <v/>
      </c>
      <c r="AK33">
        <f>IF(COUNTIFS(T_StockCount[Part Name],$A33,T_StockCount[WeekIndex],36)&gt;0,SUMIFS(T_StockCount[CountedQty],T_StockCount[Part Name],$A33,T_StockCount[WeekIndex],36),IF((('T_SelfStock'!AK37&lt;&gt;""))*(('T_TTAFStock'!AK37&lt;&gt;""))&gt;0,'T_SelfStock'!AK37+'T_TTAFStock'!AK37,AJ33+'Grid_Incoming'!AK33-'Grid_Requirement'!AK33))</f>
        <v/>
      </c>
      <c r="AL33">
        <f>IF(COUNTIFS(T_StockCount[Part Name],$A33,T_StockCount[WeekIndex],37)&gt;0,SUMIFS(T_StockCount[CountedQty],T_StockCount[Part Name],$A33,T_StockCount[WeekIndex],37),IF((('T_SelfStock'!AL37&lt;&gt;""))*(('T_TTAFStock'!AL37&lt;&gt;""))&gt;0,'T_SelfStock'!AL37+'T_TTAFStock'!AL37,AK33+'Grid_Incoming'!AL33-'Grid_Requirement'!AL33))</f>
        <v/>
      </c>
      <c r="AM33">
        <f>IF(COUNTIFS(T_StockCount[Part Name],$A33,T_StockCount[WeekIndex],38)&gt;0,SUMIFS(T_StockCount[CountedQty],T_StockCount[Part Name],$A33,T_StockCount[WeekIndex],38),IF((('T_SelfStock'!AM37&lt;&gt;""))*(('T_TTAFStock'!AM37&lt;&gt;""))&gt;0,'T_SelfStock'!AM37+'T_TTAFStock'!AM37,AL33+'Grid_Incoming'!AM33-'Grid_Requirement'!AM33))</f>
        <v/>
      </c>
      <c r="AN33">
        <f>IF(COUNTIFS(T_StockCount[Part Name],$A33,T_StockCount[WeekIndex],39)&gt;0,SUMIFS(T_StockCount[CountedQty],T_StockCount[Part Name],$A33,T_StockCount[WeekIndex],39),IF((('T_SelfStock'!AN37&lt;&gt;""))*(('T_TTAFStock'!AN37&lt;&gt;""))&gt;0,'T_SelfStock'!AN37+'T_TTAFStock'!AN37,AM33+'Grid_Incoming'!AN33-'Grid_Requirement'!AN33))</f>
        <v/>
      </c>
      <c r="AO33">
        <f>IF(COUNTIFS(T_StockCount[Part Name],$A33,T_StockCount[WeekIndex],40)&gt;0,SUMIFS(T_StockCount[CountedQty],T_StockCount[Part Name],$A33,T_StockCount[WeekIndex],40),IF((('T_SelfStock'!AO37&lt;&gt;""))*(('T_TTAFStock'!AO37&lt;&gt;""))&gt;0,'T_SelfStock'!AO37+'T_TTAFStock'!AO37,AN33+'Grid_Incoming'!AO33-'Grid_Requirement'!AO33))</f>
        <v/>
      </c>
      <c r="AP33">
        <f>IF(COUNTIFS(T_StockCount[Part Name],$A33,T_StockCount[WeekIndex],41)&gt;0,SUMIFS(T_StockCount[CountedQty],T_StockCount[Part Name],$A33,T_StockCount[WeekIndex],41),IF((('T_SelfStock'!AP37&lt;&gt;""))*(('T_TTAFStock'!AP37&lt;&gt;""))&gt;0,'T_SelfStock'!AP37+'T_TTAFStock'!AP37,AO33+'Grid_Incoming'!AP33-'Grid_Requirement'!AP33))</f>
        <v/>
      </c>
      <c r="AQ33">
        <f>IF(COUNTIFS(T_StockCount[Part Name],$A33,T_StockCount[WeekIndex],42)&gt;0,SUMIFS(T_StockCount[CountedQty],T_StockCount[Part Name],$A33,T_StockCount[WeekIndex],42),IF((('T_SelfStock'!AQ37&lt;&gt;""))*(('T_TTAFStock'!AQ37&lt;&gt;""))&gt;0,'T_SelfStock'!AQ37+'T_TTAFStock'!AQ37,AP33+'Grid_Incoming'!AQ33-'Grid_Requirement'!AQ33))</f>
        <v/>
      </c>
      <c r="AR33">
        <f>IF(COUNTIFS(T_StockCount[Part Name],$A33,T_StockCount[WeekIndex],43)&gt;0,SUMIFS(T_StockCount[CountedQty],T_StockCount[Part Name],$A33,T_StockCount[WeekIndex],43),IF((('T_SelfStock'!AR37&lt;&gt;""))*(('T_TTAFStock'!AR37&lt;&gt;""))&gt;0,'T_SelfStock'!AR37+'T_TTAFStock'!AR37,AQ33+'Grid_Incoming'!AR33-'Grid_Requirement'!AR33))</f>
        <v/>
      </c>
      <c r="AS33">
        <f>IF(COUNTIFS(T_StockCount[Part Name],$A33,T_StockCount[WeekIndex],44)&gt;0,SUMIFS(T_StockCount[CountedQty],T_StockCount[Part Name],$A33,T_StockCount[WeekIndex],44),IF((('T_SelfStock'!AS37&lt;&gt;""))*(('T_TTAFStock'!AS37&lt;&gt;""))&gt;0,'T_SelfStock'!AS37+'T_TTAFStock'!AS37,AR33+'Grid_Incoming'!AS33-'Grid_Requirement'!AS33))</f>
        <v/>
      </c>
      <c r="AT33">
        <f>IF(COUNTIFS(T_StockCount[Part Name],$A33,T_StockCount[WeekIndex],45)&gt;0,SUMIFS(T_StockCount[CountedQty],T_StockCount[Part Name],$A33,T_StockCount[WeekIndex],45),IF((('T_SelfStock'!AT37&lt;&gt;""))*(('T_TTAFStock'!AT37&lt;&gt;""))&gt;0,'T_SelfStock'!AT37+'T_TTAFStock'!AT37,AS33+'Grid_Incoming'!AT33-'Grid_Requirement'!AT33))</f>
        <v/>
      </c>
      <c r="AU33">
        <f>IF(COUNTIFS(T_StockCount[Part Name],$A33,T_StockCount[WeekIndex],46)&gt;0,SUMIFS(T_StockCount[CountedQty],T_StockCount[Part Name],$A33,T_StockCount[WeekIndex],46),IF((('T_SelfStock'!AU37&lt;&gt;""))*(('T_TTAFStock'!AU37&lt;&gt;""))&gt;0,'T_SelfStock'!AU37+'T_TTAFStock'!AU37,AT33+'Grid_Incoming'!AU33-'Grid_Requirement'!AU33))</f>
        <v/>
      </c>
      <c r="AV33">
        <f>IF(COUNTIFS(T_StockCount[Part Name],$A33,T_StockCount[WeekIndex],47)&gt;0,SUMIFS(T_StockCount[CountedQty],T_StockCount[Part Name],$A33,T_StockCount[WeekIndex],47),IF((('T_SelfStock'!AV37&lt;&gt;""))*(('T_TTAFStock'!AV37&lt;&gt;""))&gt;0,'T_SelfStock'!AV37+'T_TTAFStock'!AV37,AU33+'Grid_Incoming'!AV33-'Grid_Requirement'!AV33))</f>
        <v/>
      </c>
      <c r="AW33">
        <f>IF(COUNTIFS(T_StockCount[Part Name],$A33,T_StockCount[WeekIndex],48)&gt;0,SUMIFS(T_StockCount[CountedQty],T_StockCount[Part Name],$A33,T_StockCount[WeekIndex],48),IF((('T_SelfStock'!AW37&lt;&gt;""))*(('T_TTAFStock'!AW37&lt;&gt;""))&gt;0,'T_SelfStock'!AW37+'T_TTAFStock'!AW37,AV33+'Grid_Incoming'!AW33-'Grid_Requirement'!AW33))</f>
        <v/>
      </c>
      <c r="AX33">
        <f>IF(COUNTIFS(T_StockCount[Part Name],$A33,T_StockCount[WeekIndex],49)&gt;0,SUMIFS(T_StockCount[CountedQty],T_StockCount[Part Name],$A33,T_StockCount[WeekIndex],49),IF((('T_SelfStock'!AX37&lt;&gt;""))*(('T_TTAFStock'!AX37&lt;&gt;""))&gt;0,'T_SelfStock'!AX37+'T_TTAFStock'!AX37,AW33+'Grid_Incoming'!AX33-'Grid_Requirement'!AX33))</f>
        <v/>
      </c>
      <c r="AY33">
        <f>IF(COUNTIFS(T_StockCount[Part Name],$A33,T_StockCount[WeekIndex],50)&gt;0,SUMIFS(T_StockCount[CountedQty],T_StockCount[Part Name],$A33,T_StockCount[WeekIndex],50),IF((('T_SelfStock'!AY37&lt;&gt;""))*(('T_TTAFStock'!AY37&lt;&gt;""))&gt;0,'T_SelfStock'!AY37+'T_TTAFStock'!AY37,AX33+'Grid_Incoming'!AY33-'Grid_Requirement'!AY33))</f>
        <v/>
      </c>
      <c r="AZ33">
        <f>IF(COUNTIFS(T_StockCount[Part Name],$A33,T_StockCount[WeekIndex],51)&gt;0,SUMIFS(T_StockCount[CountedQty],T_StockCount[Part Name],$A33,T_StockCount[WeekIndex],51),IF((('T_SelfStock'!AZ37&lt;&gt;""))*(('T_TTAFStock'!AZ37&lt;&gt;""))&gt;0,'T_SelfStock'!AZ37+'T_TTAFStock'!AZ37,AY33+'Grid_Incoming'!AZ33-'Grid_Requirement'!AZ33))</f>
        <v/>
      </c>
      <c r="BA33">
        <f>IF(COUNTIFS(T_StockCount[Part Name],$A33,T_StockCount[WeekIndex],52)&gt;0,SUMIFS(T_StockCount[CountedQty],T_StockCount[Part Name],$A33,T_StockCount[WeekIndex],52),IF((('T_SelfStock'!BA37&lt;&gt;""))*(('T_TTAFStock'!BA37&lt;&gt;""))&gt;0,'T_SelfStock'!BA37+'T_TTAFStock'!BA37,AZ33+'Grid_Incoming'!BA33-'Grid_Requirement'!BA33))</f>
        <v/>
      </c>
      <c r="BB33">
        <f>IF(COUNTIFS(T_StockCount[Part Name],$A33,T_StockCount[WeekIndex],53)&gt;0,SUMIFS(T_StockCount[CountedQty],T_StockCount[Part Name],$A33,T_StockCount[WeekIndex],53),IF((('T_SelfStock'!BB37&lt;&gt;""))*(('T_TTAFStock'!BB37&lt;&gt;""))&gt;0,'T_SelfStock'!BB37+'T_TTAFStock'!BB37,BA33+'Grid_Incoming'!BB33-'Grid_Requirement'!BB33))</f>
        <v/>
      </c>
      <c r="BC33">
        <f>IF(COUNTIFS(T_StockCount[Part Name],$A33,T_StockCount[WeekIndex],54)&gt;0,SUMIFS(T_StockCount[CountedQty],T_StockCount[Part Name],$A33,T_StockCount[WeekIndex],54),IF((('T_SelfStock'!BC37&lt;&gt;""))*(('T_TTAFStock'!BC37&lt;&gt;""))&gt;0,'T_SelfStock'!BC37+'T_TTAFStock'!BC37,BB33+'Grid_Incoming'!BC33-'Grid_Requirement'!BC33))</f>
        <v/>
      </c>
      <c r="BD33">
        <f>IF(COUNTIFS(T_StockCount[Part Name],$A33,T_StockCount[WeekIndex],55)&gt;0,SUMIFS(T_StockCount[CountedQty],T_StockCount[Part Name],$A33,T_StockCount[WeekIndex],55),IF((('T_SelfStock'!BD37&lt;&gt;""))*(('T_TTAFStock'!BD37&lt;&gt;""))&gt;0,'T_SelfStock'!BD37+'T_TTAFStock'!BD37,BC33+'Grid_Incoming'!BD33-'Grid_Requirement'!BD33))</f>
        <v/>
      </c>
      <c r="BE33">
        <f>IF(COUNTIFS(T_StockCount[Part Name],$A33,T_StockCount[WeekIndex],56)&gt;0,SUMIFS(T_StockCount[CountedQty],T_StockCount[Part Name],$A33,T_StockCount[WeekIndex],56),IF((('T_SelfStock'!BE37&lt;&gt;""))*(('T_TTAFStock'!BE37&lt;&gt;""))&gt;0,'T_SelfStock'!BE37+'T_TTAFStock'!BE37,BD33+'Grid_Incoming'!BE33-'Grid_Requirement'!BE33))</f>
        <v/>
      </c>
      <c r="BF33">
        <f>IF(COUNTIFS(T_StockCount[Part Name],$A33,T_StockCount[WeekIndex],57)&gt;0,SUMIFS(T_StockCount[CountedQty],T_StockCount[Part Name],$A33,T_StockCount[WeekIndex],57),IF((('T_SelfStock'!BF37&lt;&gt;""))*(('T_TTAFStock'!BF37&lt;&gt;""))&gt;0,'T_SelfStock'!BF37+'T_TTAFStock'!BF37,BE33+'Grid_Incoming'!BF33-'Grid_Requirement'!BF33))</f>
        <v/>
      </c>
      <c r="BG33">
        <f>IF(COUNTIFS(T_StockCount[Part Name],$A33,T_StockCount[WeekIndex],58)&gt;0,SUMIFS(T_StockCount[CountedQty],T_StockCount[Part Name],$A33,T_StockCount[WeekIndex],58),IF((('T_SelfStock'!BG37&lt;&gt;""))*(('T_TTAFStock'!BG37&lt;&gt;""))&gt;0,'T_SelfStock'!BG37+'T_TTAFStock'!BG37,BF33+'Grid_Incoming'!BG33-'Grid_Requirement'!BG33))</f>
        <v/>
      </c>
      <c r="BH33">
        <f>IF(COUNTIFS(T_StockCount[Part Name],$A33,T_StockCount[WeekIndex],59)&gt;0,SUMIFS(T_StockCount[CountedQty],T_StockCount[Part Name],$A33,T_StockCount[WeekIndex],59),IF((('T_SelfStock'!BH37&lt;&gt;""))*(('T_TTAFStock'!BH37&lt;&gt;""))&gt;0,'T_SelfStock'!BH37+'T_TTAFStock'!BH37,BG33+'Grid_Incoming'!BH33-'Grid_Requirement'!BH33))</f>
        <v/>
      </c>
      <c r="BI33">
        <f>IF(COUNTIFS(T_StockCount[Part Name],$A33,T_StockCount[WeekIndex],60)&gt;0,SUMIFS(T_StockCount[CountedQty],T_StockCount[Part Name],$A33,T_StockCount[WeekIndex],60),IF((('T_SelfStock'!BI37&lt;&gt;""))*(('T_TTAFStock'!BI37&lt;&gt;""))&gt;0,'T_SelfStock'!BI37+'T_TTAFStock'!BI37,BH33+'Grid_Incoming'!BI33-'Grid_Requirement'!BI33))</f>
        <v/>
      </c>
      <c r="BJ33">
        <f>IF(COUNTIFS(T_StockCount[Part Name],$A33,T_StockCount[WeekIndex],61)&gt;0,SUMIFS(T_StockCount[CountedQty],T_StockCount[Part Name],$A33,T_StockCount[WeekIndex],61),IF((('T_SelfStock'!BJ37&lt;&gt;""))*(('T_TTAFStock'!BJ37&lt;&gt;""))&gt;0,'T_SelfStock'!BJ37+'T_TTAFStock'!BJ37,BI33+'Grid_Incoming'!BJ33-'Grid_Requirement'!BJ33))</f>
        <v/>
      </c>
      <c r="BK33">
        <f>IF(COUNTIFS(T_StockCount[Part Name],$A33,T_StockCount[WeekIndex],62)&gt;0,SUMIFS(T_StockCount[CountedQty],T_StockCount[Part Name],$A33,T_StockCount[WeekIndex],62),IF((('T_SelfStock'!BK37&lt;&gt;""))*(('T_TTAFStock'!BK37&lt;&gt;""))&gt;0,'T_SelfStock'!BK37+'T_TTAFStock'!BK37,BJ33+'Grid_Incoming'!BK33-'Grid_Requirement'!BK33))</f>
        <v/>
      </c>
      <c r="BL33">
        <f>IF(COUNTIFS(T_StockCount[Part Name],$A33,T_StockCount[WeekIndex],63)&gt;0,SUMIFS(T_StockCount[CountedQty],T_StockCount[Part Name],$A33,T_StockCount[WeekIndex],63),IF((('T_SelfStock'!BL37&lt;&gt;""))*(('T_TTAFStock'!BL37&lt;&gt;""))&gt;0,'T_SelfStock'!BL37+'T_TTAFStock'!BL37,BK33+'Grid_Incoming'!BL33-'Grid_Requirement'!BL33))</f>
        <v/>
      </c>
      <c r="BM33">
        <f>IF(COUNTIFS(T_StockCount[Part Name],$A33,T_StockCount[WeekIndex],64)&gt;0,SUMIFS(T_StockCount[CountedQty],T_StockCount[Part Name],$A33,T_StockCount[WeekIndex],64),IF((('T_SelfStock'!BM37&lt;&gt;""))*(('T_TTAFStock'!BM37&lt;&gt;""))&gt;0,'T_SelfStock'!BM37+'T_TTAFStock'!BM37,BL33+'Grid_Incoming'!BM33-'Grid_Requirement'!BM33))</f>
        <v/>
      </c>
      <c r="BN33">
        <f>IF(COUNTIFS(T_StockCount[Part Name],$A33,T_StockCount[WeekIndex],65)&gt;0,SUMIFS(T_StockCount[CountedQty],T_StockCount[Part Name],$A33,T_StockCount[WeekIndex],65),IF((('T_SelfStock'!BN37&lt;&gt;""))*(('T_TTAFStock'!BN37&lt;&gt;""))&gt;0,'T_SelfStock'!BN37+'T_TTAFStock'!BN37,BM33+'Grid_Incoming'!BN33-'Grid_Requirement'!BN33))</f>
        <v/>
      </c>
      <c r="BO33">
        <f>IF(COUNTIFS(T_StockCount[Part Name],$A33,T_StockCount[WeekIndex],66)&gt;0,SUMIFS(T_StockCount[CountedQty],T_StockCount[Part Name],$A33,T_StockCount[WeekIndex],66),IF((('T_SelfStock'!BO37&lt;&gt;""))*(('T_TTAFStock'!BO37&lt;&gt;""))&gt;0,'T_SelfStock'!BO37+'T_TTAFStock'!BO37,BN33+'Grid_Incoming'!BO33-'Grid_Requirement'!BO33))</f>
        <v/>
      </c>
      <c r="BP33">
        <f>IF(COUNTIFS(T_StockCount[Part Name],$A33,T_StockCount[WeekIndex],67)&gt;0,SUMIFS(T_StockCount[CountedQty],T_StockCount[Part Name],$A33,T_StockCount[WeekIndex],67),IF((('T_SelfStock'!BP37&lt;&gt;""))*(('T_TTAFStock'!BP37&lt;&gt;""))&gt;0,'T_SelfStock'!BP37+'T_TTAFStock'!BP37,BO33+'Grid_Incoming'!BP33-'Grid_Requirement'!BP33))</f>
        <v/>
      </c>
      <c r="BQ33">
        <f>IF(COUNTIFS(T_StockCount[Part Name],$A33,T_StockCount[WeekIndex],68)&gt;0,SUMIFS(T_StockCount[CountedQty],T_StockCount[Part Name],$A33,T_StockCount[WeekIndex],68),IF((('T_SelfStock'!BQ37&lt;&gt;""))*(('T_TTAFStock'!BQ37&lt;&gt;""))&gt;0,'T_SelfStock'!BQ37+'T_TTAFStock'!BQ37,BP33+'Grid_Incoming'!BQ33-'Grid_Requirement'!BQ33))</f>
        <v/>
      </c>
      <c r="BR33">
        <f>IF(COUNTIFS(T_StockCount[Part Name],$A33,T_StockCount[WeekIndex],69)&gt;0,SUMIFS(T_StockCount[CountedQty],T_StockCount[Part Name],$A33,T_StockCount[WeekIndex],69),IF((('T_SelfStock'!BR37&lt;&gt;""))*(('T_TTAFStock'!BR37&lt;&gt;""))&gt;0,'T_SelfStock'!BR37+'T_TTAFStock'!BR37,BQ33+'Grid_Incoming'!BR33-'Grid_Requirement'!BR33))</f>
        <v/>
      </c>
      <c r="BS33">
        <f>IF(COUNTIFS(T_StockCount[Part Name],$A33,T_StockCount[WeekIndex],70)&gt;0,SUMIFS(T_StockCount[CountedQty],T_StockCount[Part Name],$A33,T_StockCount[WeekIndex],70),IF((('T_SelfStock'!BS37&lt;&gt;""))*(('T_TTAFStock'!BS37&lt;&gt;""))&gt;0,'T_SelfStock'!BS37+'T_TTAFStock'!BS37,BR33+'Grid_Incoming'!BS33-'Grid_Requirement'!BS33))</f>
        <v/>
      </c>
      <c r="BT33">
        <f>IF(COUNTIFS(T_StockCount[Part Name],$A33,T_StockCount[WeekIndex],71)&gt;0,SUMIFS(T_StockCount[CountedQty],T_StockCount[Part Name],$A33,T_StockCount[WeekIndex],71),IF((('T_SelfStock'!BT37&lt;&gt;""))*(('T_TTAFStock'!BT37&lt;&gt;""))&gt;0,'T_SelfStock'!BT37+'T_TTAFStock'!BT37,BS33+'Grid_Incoming'!BT33-'Grid_Requirement'!BT33))</f>
        <v/>
      </c>
      <c r="BU33">
        <f>IF(COUNTIFS(T_StockCount[Part Name],$A33,T_StockCount[WeekIndex],72)&gt;0,SUMIFS(T_StockCount[CountedQty],T_StockCount[Part Name],$A33,T_StockCount[WeekIndex],72),IF((('T_SelfStock'!BU37&lt;&gt;""))*(('T_TTAFStock'!BU37&lt;&gt;""))&gt;0,'T_SelfStock'!BU37+'T_TTAFStock'!BU37,BT33+'Grid_Incoming'!BU33-'Grid_Requirement'!BU33))</f>
        <v/>
      </c>
      <c r="BV33">
        <f>IF(COUNTIFS(T_StockCount[Part Name],$A33,T_StockCount[WeekIndex],73)&gt;0,SUMIFS(T_StockCount[CountedQty],T_StockCount[Part Name],$A33,T_StockCount[WeekIndex],73),IF((('T_SelfStock'!BV37&lt;&gt;""))*(('T_TTAFStock'!BV37&lt;&gt;""))&gt;0,'T_SelfStock'!BV37+'T_TTAFStock'!BV37,BU33+'Grid_Incoming'!BV33-'Grid_Requirement'!BV33))</f>
        <v/>
      </c>
      <c r="BW33">
        <f>IF(COUNTIFS(T_StockCount[Part Name],$A33,T_StockCount[WeekIndex],74)&gt;0,SUMIFS(T_StockCount[CountedQty],T_StockCount[Part Name],$A33,T_StockCount[WeekIndex],74),IF((('T_SelfStock'!BW37&lt;&gt;""))*(('T_TTAFStock'!BW37&lt;&gt;""))&gt;0,'T_SelfStock'!BW37+'T_TTAFStock'!BW37,BV33+'Grid_Incoming'!BW33-'Grid_Requirement'!BW33))</f>
        <v/>
      </c>
      <c r="BX33">
        <f>IF(COUNTIFS(T_StockCount[Part Name],$A33,T_StockCount[WeekIndex],75)&gt;0,SUMIFS(T_StockCount[CountedQty],T_StockCount[Part Name],$A33,T_StockCount[WeekIndex],75),IF((('T_SelfStock'!BX37&lt;&gt;""))*(('T_TTAFStock'!BX37&lt;&gt;""))&gt;0,'T_SelfStock'!BX37+'T_TTAFStock'!BX37,BW33+'Grid_Incoming'!BX33-'Grid_Requirement'!BX33))</f>
        <v/>
      </c>
      <c r="BY33">
        <f>IF(COUNTIFS(T_StockCount[Part Name],$A33,T_StockCount[WeekIndex],76)&gt;0,SUMIFS(T_StockCount[CountedQty],T_StockCount[Part Name],$A33,T_StockCount[WeekIndex],76),IF((('T_SelfStock'!BY37&lt;&gt;""))*(('T_TTAFStock'!BY37&lt;&gt;""))&gt;0,'T_SelfStock'!BY37+'T_TTAFStock'!BY37,BX33+'Grid_Incoming'!BY33-'Grid_Requirement'!BY33))</f>
        <v/>
      </c>
      <c r="BZ33">
        <f>IF(COUNTIFS(T_StockCount[Part Name],$A33,T_StockCount[WeekIndex],77)&gt;0,SUMIFS(T_StockCount[CountedQty],T_StockCount[Part Name],$A33,T_StockCount[WeekIndex],77),IF((('T_SelfStock'!BZ37&lt;&gt;""))*(('T_TTAFStock'!BZ37&lt;&gt;""))&gt;0,'T_SelfStock'!BZ37+'T_TTAFStock'!BZ37,BY33+'Grid_Incoming'!BZ33-'Grid_Requirement'!BZ33))</f>
        <v/>
      </c>
      <c r="CA33">
        <f>IF(COUNTIFS(T_StockCount[Part Name],$A33,T_StockCount[WeekIndex],78)&gt;0,SUMIFS(T_StockCount[CountedQty],T_StockCount[Part Name],$A33,T_StockCount[WeekIndex],78),IF((('T_SelfStock'!CA37&lt;&gt;""))*(('T_TTAFStock'!CA37&lt;&gt;""))&gt;0,'T_SelfStock'!CA37+'T_TTAFStock'!CA37,BZ33+'Grid_Incoming'!CA33-'Grid_Requirement'!CA33))</f>
        <v/>
      </c>
      <c r="CB33">
        <f>IF(COUNTIFS(T_StockCount[Part Name],$A33,T_StockCount[WeekIndex],79)&gt;0,SUMIFS(T_StockCount[CountedQty],T_StockCount[Part Name],$A33,T_StockCount[WeekIndex],79),IF((('T_SelfStock'!CB37&lt;&gt;""))*(('T_TTAFStock'!CB37&lt;&gt;""))&gt;0,'T_SelfStock'!CB37+'T_TTAFStock'!CB37,CA33+'Grid_Incoming'!CB33-'Grid_Requirement'!CB33))</f>
        <v/>
      </c>
      <c r="CC33">
        <f>IF(COUNTIFS(T_StockCount[Part Name],$A33,T_StockCount[WeekIndex],80)&gt;0,SUMIFS(T_StockCount[CountedQty],T_StockCount[Part Name],$A33,T_StockCount[WeekIndex],80),IF((('T_SelfStock'!CC37&lt;&gt;""))*(('T_TTAFStock'!CC37&lt;&gt;""))&gt;0,'T_SelfStock'!CC37+'T_TTAFStock'!CC37,CB33+'Grid_Incoming'!CC33-'Grid_Requirement'!CC33))</f>
        <v/>
      </c>
      <c r="CD33">
        <f>IF(COUNTIFS(T_StockCount[Part Name],$A33,T_StockCount[WeekIndex],81)&gt;0,SUMIFS(T_StockCount[CountedQty],T_StockCount[Part Name],$A33,T_StockCount[WeekIndex],81),IF((('T_SelfStock'!CD37&lt;&gt;""))*(('T_TTAFStock'!CD37&lt;&gt;""))&gt;0,'T_SelfStock'!CD37+'T_TTAFStock'!CD37,CC33+'Grid_Incoming'!CD33-'Grid_Requirement'!CD33))</f>
        <v/>
      </c>
      <c r="CE33">
        <f>IF(COUNTIFS(T_StockCount[Part Name],$A33,T_StockCount[WeekIndex],82)&gt;0,SUMIFS(T_StockCount[CountedQty],T_StockCount[Part Name],$A33,T_StockCount[WeekIndex],82),IF((('T_SelfStock'!CE37&lt;&gt;""))*(('T_TTAFStock'!CE37&lt;&gt;""))&gt;0,'T_SelfStock'!CE37+'T_TTAFStock'!CE37,CD33+'Grid_Incoming'!CE33-'Grid_Requirement'!CE33))</f>
        <v/>
      </c>
      <c r="CF33">
        <f>IF(COUNTIFS(T_StockCount[Part Name],$A33,T_StockCount[WeekIndex],83)&gt;0,SUMIFS(T_StockCount[CountedQty],T_StockCount[Part Name],$A33,T_StockCount[WeekIndex],83),IF((('T_SelfStock'!CF37&lt;&gt;""))*(('T_TTAFStock'!CF37&lt;&gt;""))&gt;0,'T_SelfStock'!CF37+'T_TTAFStock'!CF37,CE33+'Grid_Incoming'!CF33-'Grid_Requirement'!CF33))</f>
        <v/>
      </c>
      <c r="CG33">
        <f>IF(COUNTIFS(T_StockCount[Part Name],$A33,T_StockCount[WeekIndex],84)&gt;0,SUMIFS(T_StockCount[CountedQty],T_StockCount[Part Name],$A33,T_StockCount[WeekIndex],84),IF((('T_SelfStock'!CG37&lt;&gt;""))*(('T_TTAFStock'!CG37&lt;&gt;""))&gt;0,'T_SelfStock'!CG37+'T_TTAFStock'!CG37,CF33+'Grid_Incoming'!CG33-'Grid_Requirement'!CG33))</f>
        <v/>
      </c>
      <c r="CH33">
        <f>IF(COUNTIFS(T_StockCount[Part Name],$A33,T_StockCount[WeekIndex],85)&gt;0,SUMIFS(T_StockCount[CountedQty],T_StockCount[Part Name],$A33,T_StockCount[WeekIndex],85),IF((('T_SelfStock'!CH37&lt;&gt;""))*(('T_TTAFStock'!CH37&lt;&gt;""))&gt;0,'T_SelfStock'!CH37+'T_TTAFStock'!CH37,CG33+'Grid_Incoming'!CH33-'Grid_Requirement'!CH33))</f>
        <v/>
      </c>
      <c r="CI33">
        <f>IF(COUNTIFS(T_StockCount[Part Name],$A33,T_StockCount[WeekIndex],86)&gt;0,SUMIFS(T_StockCount[CountedQty],T_StockCount[Part Name],$A33,T_StockCount[WeekIndex],86),IF((('T_SelfStock'!CI37&lt;&gt;""))*(('T_TTAFStock'!CI37&lt;&gt;""))&gt;0,'T_SelfStock'!CI37+'T_TTAFStock'!CI37,CH33+'Grid_Incoming'!CI33-'Grid_Requirement'!CI33))</f>
        <v/>
      </c>
      <c r="CJ33">
        <f>IF(COUNTIFS(T_StockCount[Part Name],$A33,T_StockCount[WeekIndex],87)&gt;0,SUMIFS(T_StockCount[CountedQty],T_StockCount[Part Name],$A33,T_StockCount[WeekIndex],87),IF((('T_SelfStock'!CJ37&lt;&gt;""))*(('T_TTAFStock'!CJ37&lt;&gt;""))&gt;0,'T_SelfStock'!CJ37+'T_TTAFStock'!CJ37,CI33+'Grid_Incoming'!CJ33-'Grid_Requirement'!CJ33))</f>
        <v/>
      </c>
      <c r="CK33">
        <f>IF(COUNTIFS(T_StockCount[Part Name],$A33,T_StockCount[WeekIndex],88)&gt;0,SUMIFS(T_StockCount[CountedQty],T_StockCount[Part Name],$A33,T_StockCount[WeekIndex],88),IF((('T_SelfStock'!CK37&lt;&gt;""))*(('T_TTAFStock'!CK37&lt;&gt;""))&gt;0,'T_SelfStock'!CK37+'T_TTAFStock'!CK37,CJ33+'Grid_Incoming'!CK33-'Grid_Requirement'!CK33))</f>
        <v/>
      </c>
      <c r="CL33">
        <f>IF(COUNTIFS(T_StockCount[Part Name],$A33,T_StockCount[WeekIndex],89)&gt;0,SUMIFS(T_StockCount[CountedQty],T_StockCount[Part Name],$A33,T_StockCount[WeekIndex],89),IF((('T_SelfStock'!CL37&lt;&gt;""))*(('T_TTAFStock'!CL37&lt;&gt;""))&gt;0,'T_SelfStock'!CL37+'T_TTAFStock'!CL37,CK33+'Grid_Incoming'!CL33-'Grid_Requirement'!CL33))</f>
        <v/>
      </c>
      <c r="CM33">
        <f>IF(COUNTIFS(T_StockCount[Part Name],$A33,T_StockCount[WeekIndex],90)&gt;0,SUMIFS(T_StockCount[CountedQty],T_StockCount[Part Name],$A33,T_StockCount[WeekIndex],90),IF((('T_SelfStock'!CM37&lt;&gt;""))*(('T_TTAFStock'!CM37&lt;&gt;""))&gt;0,'T_SelfStock'!CM37+'T_TTAFStock'!CM37,CL33+'Grid_Incoming'!CM33-'Grid_Requirement'!CM33))</f>
        <v/>
      </c>
      <c r="CN33">
        <f>IF(COUNTIFS(T_StockCount[Part Name],$A33,T_StockCount[WeekIndex],91)&gt;0,SUMIFS(T_StockCount[CountedQty],T_StockCount[Part Name],$A33,T_StockCount[WeekIndex],91),IF((('T_SelfStock'!CN37&lt;&gt;""))*(('T_TTAFStock'!CN37&lt;&gt;""))&gt;0,'T_SelfStock'!CN37+'T_TTAFStock'!CN37,CM33+'Grid_Incoming'!CN33-'Grid_Requirement'!CN33))</f>
        <v/>
      </c>
      <c r="CO33">
        <f>IF(COUNTIFS(T_StockCount[Part Name],$A33,T_StockCount[WeekIndex],92)&gt;0,SUMIFS(T_StockCount[CountedQty],T_StockCount[Part Name],$A33,T_StockCount[WeekIndex],92),IF((('T_SelfStock'!CO37&lt;&gt;""))*(('T_TTAFStock'!CO37&lt;&gt;""))&gt;0,'T_SelfStock'!CO37+'T_TTAFStock'!CO37,CN33+'Grid_Incoming'!CO33-'Grid_Requirement'!CO33))</f>
        <v/>
      </c>
      <c r="CP33">
        <f>IF(COUNTIFS(T_StockCount[Part Name],$A33,T_StockCount[WeekIndex],93)&gt;0,SUMIFS(T_StockCount[CountedQty],T_StockCount[Part Name],$A33,T_StockCount[WeekIndex],93),IF((('T_SelfStock'!CP37&lt;&gt;""))*(('T_TTAFStock'!CP37&lt;&gt;""))&gt;0,'T_SelfStock'!CP37+'T_TTAFStock'!CP37,CO33+'Grid_Incoming'!CP33-'Grid_Requirement'!CP33))</f>
        <v/>
      </c>
      <c r="CQ33">
        <f>IF(COUNTIFS(T_StockCount[Part Name],$A33,T_StockCount[WeekIndex],94)&gt;0,SUMIFS(T_StockCount[CountedQty],T_StockCount[Part Name],$A33,T_StockCount[WeekIndex],94),IF((('T_SelfStock'!CQ37&lt;&gt;""))*(('T_TTAFStock'!CQ37&lt;&gt;""))&gt;0,'T_SelfStock'!CQ37+'T_TTAFStock'!CQ37,CP33+'Grid_Incoming'!CQ33-'Grid_Requirement'!CQ33))</f>
        <v/>
      </c>
      <c r="CR33">
        <f>IF(COUNTIFS(T_StockCount[Part Name],$A33,T_StockCount[WeekIndex],95)&gt;0,SUMIFS(T_StockCount[CountedQty],T_StockCount[Part Name],$A33,T_StockCount[WeekIndex],95),IF((('T_SelfStock'!CR37&lt;&gt;""))*(('T_TTAFStock'!CR37&lt;&gt;""))&gt;0,'T_SelfStock'!CR37+'T_TTAFStock'!CR37,CQ33+'Grid_Incoming'!CR33-'Grid_Requirement'!CR33))</f>
        <v/>
      </c>
      <c r="CS33">
        <f>IF(COUNTIFS(T_StockCount[Part Name],$A33,T_StockCount[WeekIndex],96)&gt;0,SUMIFS(T_StockCount[CountedQty],T_StockCount[Part Name],$A33,T_StockCount[WeekIndex],96),IF((('T_SelfStock'!CS37&lt;&gt;""))*(('T_TTAFStock'!CS37&lt;&gt;""))&gt;0,'T_SelfStock'!CS37+'T_TTAFStock'!CS37,CR33+'Grid_Incoming'!CS33-'Grid_Requirement'!CS33))</f>
        <v/>
      </c>
      <c r="CT33">
        <f>IF(COUNTIFS(T_StockCount[Part Name],$A33,T_StockCount[WeekIndex],97)&gt;0,SUMIFS(T_StockCount[CountedQty],T_StockCount[Part Name],$A33,T_StockCount[WeekIndex],97),IF((('T_SelfStock'!CT37&lt;&gt;""))*(('T_TTAFStock'!CT37&lt;&gt;""))&gt;0,'T_SelfStock'!CT37+'T_TTAFStock'!CT37,CS33+'Grid_Incoming'!CT33-'Grid_Requirement'!CT33))</f>
        <v/>
      </c>
      <c r="CU33">
        <f>IF(COUNTIFS(T_StockCount[Part Name],$A33,T_StockCount[WeekIndex],98)&gt;0,SUMIFS(T_StockCount[CountedQty],T_StockCount[Part Name],$A33,T_StockCount[WeekIndex],98),IF((('T_SelfStock'!CU37&lt;&gt;""))*(('T_TTAFStock'!CU37&lt;&gt;""))&gt;0,'T_SelfStock'!CU37+'T_TTAFStock'!CU37,CT33+'Grid_Incoming'!CU33-'Grid_Requirement'!CU33))</f>
        <v/>
      </c>
      <c r="CV33">
        <f>IF(COUNTIFS(T_StockCount[Part Name],$A33,T_StockCount[WeekIndex],99)&gt;0,SUMIFS(T_StockCount[CountedQty],T_StockCount[Part Name],$A33,T_StockCount[WeekIndex],99),IF((('T_SelfStock'!CV37&lt;&gt;""))*(('T_TTAFStock'!CV37&lt;&gt;""))&gt;0,'T_SelfStock'!CV37+'T_TTAFStock'!CV37,CU33+'Grid_Incoming'!CV33-'Grid_Requirement'!CV33))</f>
        <v/>
      </c>
      <c r="CW33">
        <f>IF(COUNTIFS(T_StockCount[Part Name],$A33,T_StockCount[WeekIndex],100)&gt;0,SUMIFS(T_StockCount[CountedQty],T_StockCount[Part Name],$A33,T_StockCount[WeekIndex],100),IF((('T_SelfStock'!CW37&lt;&gt;""))*(('T_TTAFStock'!CW37&lt;&gt;""))&gt;0,'T_SelfStock'!CW37+'T_TTAFStock'!CW37,CV33+'Grid_Incoming'!CW33-'Grid_Requirement'!CW33))</f>
        <v/>
      </c>
      <c r="CX33">
        <f>IF(COUNTIFS(T_StockCount[Part Name],$A33,T_StockCount[WeekIndex],101)&gt;0,SUMIFS(T_StockCount[CountedQty],T_StockCount[Part Name],$A33,T_StockCount[WeekIndex],101),IF((('T_SelfStock'!CX37&lt;&gt;""))*(('T_TTAFStock'!CX37&lt;&gt;""))&gt;0,'T_SelfStock'!CX37+'T_TTAFStock'!CX37,CW33+'Grid_Incoming'!CX33-'Grid_Requirement'!CX33))</f>
        <v/>
      </c>
      <c r="CY33">
        <f>IF(COUNTIFS(T_StockCount[Part Name],$A33,T_StockCount[WeekIndex],102)&gt;0,SUMIFS(T_StockCount[CountedQty],T_StockCount[Part Name],$A33,T_StockCount[WeekIndex],102),IF((('T_SelfStock'!CY37&lt;&gt;""))*(('T_TTAFStock'!CY37&lt;&gt;""))&gt;0,'T_SelfStock'!CY37+'T_TTAFStock'!CY37,CX33+'Grid_Incoming'!CY33-'Grid_Requirement'!CY33))</f>
        <v/>
      </c>
      <c r="CZ33">
        <f>IF(COUNTIFS(T_StockCount[Part Name],$A33,T_StockCount[WeekIndex],103)&gt;0,SUMIFS(T_StockCount[CountedQty],T_StockCount[Part Name],$A33,T_StockCount[WeekIndex],103),IF((('T_SelfStock'!CZ37&lt;&gt;""))*(('T_TTAFStock'!CZ37&lt;&gt;""))&gt;0,'T_SelfStock'!CZ37+'T_TTAFStock'!CZ37,CY33+'Grid_Incoming'!CZ33-'Grid_Requirement'!CZ33))</f>
        <v/>
      </c>
      <c r="DA33">
        <f>IF(COUNTIFS(T_StockCount[Part Name],$A33,T_StockCount[WeekIndex],104)&gt;0,SUMIFS(T_StockCount[CountedQty],T_StockCount[Part Name],$A33,T_StockCount[WeekIndex],104),IF((('T_SelfStock'!DA37&lt;&gt;""))*(('T_TTAFStock'!DA37&lt;&gt;""))&gt;0,'T_SelfStock'!DA37+'T_TTAFStock'!DA37,CZ33+'Grid_Incoming'!DA33-'Grid_Requirement'!DA33))</f>
        <v/>
      </c>
    </row>
    <row r="34">
      <c r="A34" t="inlineStr">
        <is>
          <t>CHEM-1650</t>
        </is>
      </c>
      <c r="B34">
        <f>IF(COUNTIFS(T_StockCount[Part Name],$A34,T_StockCount[WeekIndex],1)&gt;0,SUMIFS(T_StockCount[CountedQty],T_StockCount[Part Name],$A34,T_StockCount[WeekIndex],1),IF((('T_SelfStock'!B38&lt;&gt;""))*(('T_TTAFStock'!B38&lt;&gt;""))&gt;0,'T_SelfStock'!B38+'T_TTAFStock'!B38,IFERROR(INDEX(T_OpeningStock[Opening_Qty_要入力],MATCH($A34,T_OpeningStock[Part Name],0)),0)+'Grid_Incoming'!B34-'Grid_Requirement'!B34))</f>
        <v/>
      </c>
      <c r="C34">
        <f>IF(COUNTIFS(T_StockCount[Part Name],$A34,T_StockCount[WeekIndex],2)&gt;0,SUMIFS(T_StockCount[CountedQty],T_StockCount[Part Name],$A34,T_StockCount[WeekIndex],2),IF((('T_SelfStock'!C38&lt;&gt;""))*(('T_TTAFStock'!C38&lt;&gt;""))&gt;0,'T_SelfStock'!C38+'T_TTAFStock'!C38,B34+'Grid_Incoming'!C34-'Grid_Requirement'!C34))</f>
        <v/>
      </c>
      <c r="D34">
        <f>IF(COUNTIFS(T_StockCount[Part Name],$A34,T_StockCount[WeekIndex],3)&gt;0,SUMIFS(T_StockCount[CountedQty],T_StockCount[Part Name],$A34,T_StockCount[WeekIndex],3),IF((('T_SelfStock'!D38&lt;&gt;""))*(('T_TTAFStock'!D38&lt;&gt;""))&gt;0,'T_SelfStock'!D38+'T_TTAFStock'!D38,C34+'Grid_Incoming'!D34-'Grid_Requirement'!D34))</f>
        <v/>
      </c>
      <c r="E34">
        <f>IF(COUNTIFS(T_StockCount[Part Name],$A34,T_StockCount[WeekIndex],4)&gt;0,SUMIFS(T_StockCount[CountedQty],T_StockCount[Part Name],$A34,T_StockCount[WeekIndex],4),IF((('T_SelfStock'!E38&lt;&gt;""))*(('T_TTAFStock'!E38&lt;&gt;""))&gt;0,'T_SelfStock'!E38+'T_TTAFStock'!E38,D34+'Grid_Incoming'!E34-'Grid_Requirement'!E34))</f>
        <v/>
      </c>
      <c r="F34">
        <f>IF(COUNTIFS(T_StockCount[Part Name],$A34,T_StockCount[WeekIndex],5)&gt;0,SUMIFS(T_StockCount[CountedQty],T_StockCount[Part Name],$A34,T_StockCount[WeekIndex],5),IF((('T_SelfStock'!F38&lt;&gt;""))*(('T_TTAFStock'!F38&lt;&gt;""))&gt;0,'T_SelfStock'!F38+'T_TTAFStock'!F38,E34+'Grid_Incoming'!F34-'Grid_Requirement'!F34))</f>
        <v/>
      </c>
      <c r="G34">
        <f>IF(COUNTIFS(T_StockCount[Part Name],$A34,T_StockCount[WeekIndex],6)&gt;0,SUMIFS(T_StockCount[CountedQty],T_StockCount[Part Name],$A34,T_StockCount[WeekIndex],6),IF((('T_SelfStock'!G38&lt;&gt;""))*(('T_TTAFStock'!G38&lt;&gt;""))&gt;0,'T_SelfStock'!G38+'T_TTAFStock'!G38,F34+'Grid_Incoming'!G34-'Grid_Requirement'!G34))</f>
        <v/>
      </c>
      <c r="H34">
        <f>IF(COUNTIFS(T_StockCount[Part Name],$A34,T_StockCount[WeekIndex],7)&gt;0,SUMIFS(T_StockCount[CountedQty],T_StockCount[Part Name],$A34,T_StockCount[WeekIndex],7),IF((('T_SelfStock'!H38&lt;&gt;""))*(('T_TTAFStock'!H38&lt;&gt;""))&gt;0,'T_SelfStock'!H38+'T_TTAFStock'!H38,G34+'Grid_Incoming'!H34-'Grid_Requirement'!H34))</f>
        <v/>
      </c>
      <c r="I34">
        <f>IF(COUNTIFS(T_StockCount[Part Name],$A34,T_StockCount[WeekIndex],8)&gt;0,SUMIFS(T_StockCount[CountedQty],T_StockCount[Part Name],$A34,T_StockCount[WeekIndex],8),IF((('T_SelfStock'!I38&lt;&gt;""))*(('T_TTAFStock'!I38&lt;&gt;""))&gt;0,'T_SelfStock'!I38+'T_TTAFStock'!I38,H34+'Grid_Incoming'!I34-'Grid_Requirement'!I34))</f>
        <v/>
      </c>
      <c r="J34">
        <f>IF(COUNTIFS(T_StockCount[Part Name],$A34,T_StockCount[WeekIndex],9)&gt;0,SUMIFS(T_StockCount[CountedQty],T_StockCount[Part Name],$A34,T_StockCount[WeekIndex],9),IF((('T_SelfStock'!J38&lt;&gt;""))*(('T_TTAFStock'!J38&lt;&gt;""))&gt;0,'T_SelfStock'!J38+'T_TTAFStock'!J38,I34+'Grid_Incoming'!J34-'Grid_Requirement'!J34))</f>
        <v/>
      </c>
      <c r="K34">
        <f>IF(COUNTIFS(T_StockCount[Part Name],$A34,T_StockCount[WeekIndex],10)&gt;0,SUMIFS(T_StockCount[CountedQty],T_StockCount[Part Name],$A34,T_StockCount[WeekIndex],10),IF((('T_SelfStock'!K38&lt;&gt;""))*(('T_TTAFStock'!K38&lt;&gt;""))&gt;0,'T_SelfStock'!K38+'T_TTAFStock'!K38,J34+'Grid_Incoming'!K34-'Grid_Requirement'!K34))</f>
        <v/>
      </c>
      <c r="L34">
        <f>IF(COUNTIFS(T_StockCount[Part Name],$A34,T_StockCount[WeekIndex],11)&gt;0,SUMIFS(T_StockCount[CountedQty],T_StockCount[Part Name],$A34,T_StockCount[WeekIndex],11),IF((('T_SelfStock'!L38&lt;&gt;""))*(('T_TTAFStock'!L38&lt;&gt;""))&gt;0,'T_SelfStock'!L38+'T_TTAFStock'!L38,K34+'Grid_Incoming'!L34-'Grid_Requirement'!L34))</f>
        <v/>
      </c>
      <c r="M34">
        <f>IF(COUNTIFS(T_StockCount[Part Name],$A34,T_StockCount[WeekIndex],12)&gt;0,SUMIFS(T_StockCount[CountedQty],T_StockCount[Part Name],$A34,T_StockCount[WeekIndex],12),IF((('T_SelfStock'!M38&lt;&gt;""))*(('T_TTAFStock'!M38&lt;&gt;""))&gt;0,'T_SelfStock'!M38+'T_TTAFStock'!M38,L34+'Grid_Incoming'!M34-'Grid_Requirement'!M34))</f>
        <v/>
      </c>
      <c r="N34">
        <f>IF(COUNTIFS(T_StockCount[Part Name],$A34,T_StockCount[WeekIndex],13)&gt;0,SUMIFS(T_StockCount[CountedQty],T_StockCount[Part Name],$A34,T_StockCount[WeekIndex],13),IF((('T_SelfStock'!N38&lt;&gt;""))*(('T_TTAFStock'!N38&lt;&gt;""))&gt;0,'T_SelfStock'!N38+'T_TTAFStock'!N38,M34+'Grid_Incoming'!N34-'Grid_Requirement'!N34))</f>
        <v/>
      </c>
      <c r="O34">
        <f>IF(COUNTIFS(T_StockCount[Part Name],$A34,T_StockCount[WeekIndex],14)&gt;0,SUMIFS(T_StockCount[CountedQty],T_StockCount[Part Name],$A34,T_StockCount[WeekIndex],14),IF((('T_SelfStock'!O38&lt;&gt;""))*(('T_TTAFStock'!O38&lt;&gt;""))&gt;0,'T_SelfStock'!O38+'T_TTAFStock'!O38,N34+'Grid_Incoming'!O34-'Grid_Requirement'!O34))</f>
        <v/>
      </c>
      <c r="P34">
        <f>IF(COUNTIFS(T_StockCount[Part Name],$A34,T_StockCount[WeekIndex],15)&gt;0,SUMIFS(T_StockCount[CountedQty],T_StockCount[Part Name],$A34,T_StockCount[WeekIndex],15),IF((('T_SelfStock'!P38&lt;&gt;""))*(('T_TTAFStock'!P38&lt;&gt;""))&gt;0,'T_SelfStock'!P38+'T_TTAFStock'!P38,O34+'Grid_Incoming'!P34-'Grid_Requirement'!P34))</f>
        <v/>
      </c>
      <c r="Q34">
        <f>IF(COUNTIFS(T_StockCount[Part Name],$A34,T_StockCount[WeekIndex],16)&gt;0,SUMIFS(T_StockCount[CountedQty],T_StockCount[Part Name],$A34,T_StockCount[WeekIndex],16),IF((('T_SelfStock'!Q38&lt;&gt;""))*(('T_TTAFStock'!Q38&lt;&gt;""))&gt;0,'T_SelfStock'!Q38+'T_TTAFStock'!Q38,P34+'Grid_Incoming'!Q34-'Grid_Requirement'!Q34))</f>
        <v/>
      </c>
      <c r="R34">
        <f>IF(COUNTIFS(T_StockCount[Part Name],$A34,T_StockCount[WeekIndex],17)&gt;0,SUMIFS(T_StockCount[CountedQty],T_StockCount[Part Name],$A34,T_StockCount[WeekIndex],17),IF((('T_SelfStock'!R38&lt;&gt;""))*(('T_TTAFStock'!R38&lt;&gt;""))&gt;0,'T_SelfStock'!R38+'T_TTAFStock'!R38,Q34+'Grid_Incoming'!R34-'Grid_Requirement'!R34))</f>
        <v/>
      </c>
      <c r="S34">
        <f>IF(COUNTIFS(T_StockCount[Part Name],$A34,T_StockCount[WeekIndex],18)&gt;0,SUMIFS(T_StockCount[CountedQty],T_StockCount[Part Name],$A34,T_StockCount[WeekIndex],18),IF((('T_SelfStock'!S38&lt;&gt;""))*(('T_TTAFStock'!S38&lt;&gt;""))&gt;0,'T_SelfStock'!S38+'T_TTAFStock'!S38,R34+'Grid_Incoming'!S34-'Grid_Requirement'!S34))</f>
        <v/>
      </c>
      <c r="T34">
        <f>IF(COUNTIFS(T_StockCount[Part Name],$A34,T_StockCount[WeekIndex],19)&gt;0,SUMIFS(T_StockCount[CountedQty],T_StockCount[Part Name],$A34,T_StockCount[WeekIndex],19),IF((('T_SelfStock'!T38&lt;&gt;""))*(('T_TTAFStock'!T38&lt;&gt;""))&gt;0,'T_SelfStock'!T38+'T_TTAFStock'!T38,S34+'Grid_Incoming'!T34-'Grid_Requirement'!T34))</f>
        <v/>
      </c>
      <c r="U34">
        <f>IF(COUNTIFS(T_StockCount[Part Name],$A34,T_StockCount[WeekIndex],20)&gt;0,SUMIFS(T_StockCount[CountedQty],T_StockCount[Part Name],$A34,T_StockCount[WeekIndex],20),IF((('T_SelfStock'!U38&lt;&gt;""))*(('T_TTAFStock'!U38&lt;&gt;""))&gt;0,'T_SelfStock'!U38+'T_TTAFStock'!U38,T34+'Grid_Incoming'!U34-'Grid_Requirement'!U34))</f>
        <v/>
      </c>
      <c r="V34">
        <f>IF(COUNTIFS(T_StockCount[Part Name],$A34,T_StockCount[WeekIndex],21)&gt;0,SUMIFS(T_StockCount[CountedQty],T_StockCount[Part Name],$A34,T_StockCount[WeekIndex],21),IF((('T_SelfStock'!V38&lt;&gt;""))*(('T_TTAFStock'!V38&lt;&gt;""))&gt;0,'T_SelfStock'!V38+'T_TTAFStock'!V38,U34+'Grid_Incoming'!V34-'Grid_Requirement'!V34))</f>
        <v/>
      </c>
      <c r="W34">
        <f>IF(COUNTIFS(T_StockCount[Part Name],$A34,T_StockCount[WeekIndex],22)&gt;0,SUMIFS(T_StockCount[CountedQty],T_StockCount[Part Name],$A34,T_StockCount[WeekIndex],22),IF((('T_SelfStock'!W38&lt;&gt;""))*(('T_TTAFStock'!W38&lt;&gt;""))&gt;0,'T_SelfStock'!W38+'T_TTAFStock'!W38,V34+'Grid_Incoming'!W34-'Grid_Requirement'!W34))</f>
        <v/>
      </c>
      <c r="X34">
        <f>IF(COUNTIFS(T_StockCount[Part Name],$A34,T_StockCount[WeekIndex],23)&gt;0,SUMIFS(T_StockCount[CountedQty],T_StockCount[Part Name],$A34,T_StockCount[WeekIndex],23),IF((('T_SelfStock'!X38&lt;&gt;""))*(('T_TTAFStock'!X38&lt;&gt;""))&gt;0,'T_SelfStock'!X38+'T_TTAFStock'!X38,W34+'Grid_Incoming'!X34-'Grid_Requirement'!X34))</f>
        <v/>
      </c>
      <c r="Y34">
        <f>IF(COUNTIFS(T_StockCount[Part Name],$A34,T_StockCount[WeekIndex],24)&gt;0,SUMIFS(T_StockCount[CountedQty],T_StockCount[Part Name],$A34,T_StockCount[WeekIndex],24),IF((('T_SelfStock'!Y38&lt;&gt;""))*(('T_TTAFStock'!Y38&lt;&gt;""))&gt;0,'T_SelfStock'!Y38+'T_TTAFStock'!Y38,X34+'Grid_Incoming'!Y34-'Grid_Requirement'!Y34))</f>
        <v/>
      </c>
      <c r="Z34">
        <f>IF(COUNTIFS(T_StockCount[Part Name],$A34,T_StockCount[WeekIndex],25)&gt;0,SUMIFS(T_StockCount[CountedQty],T_StockCount[Part Name],$A34,T_StockCount[WeekIndex],25),IF((('T_SelfStock'!Z38&lt;&gt;""))*(('T_TTAFStock'!Z38&lt;&gt;""))&gt;0,'T_SelfStock'!Z38+'T_TTAFStock'!Z38,Y34+'Grid_Incoming'!Z34-'Grid_Requirement'!Z34))</f>
        <v/>
      </c>
      <c r="AA34">
        <f>IF(COUNTIFS(T_StockCount[Part Name],$A34,T_StockCount[WeekIndex],26)&gt;0,SUMIFS(T_StockCount[CountedQty],T_StockCount[Part Name],$A34,T_StockCount[WeekIndex],26),IF((('T_SelfStock'!AA38&lt;&gt;""))*(('T_TTAFStock'!AA38&lt;&gt;""))&gt;0,'T_SelfStock'!AA38+'T_TTAFStock'!AA38,Z34+'Grid_Incoming'!AA34-'Grid_Requirement'!AA34))</f>
        <v/>
      </c>
      <c r="AB34">
        <f>IF(COUNTIFS(T_StockCount[Part Name],$A34,T_StockCount[WeekIndex],27)&gt;0,SUMIFS(T_StockCount[CountedQty],T_StockCount[Part Name],$A34,T_StockCount[WeekIndex],27),IF((('T_SelfStock'!AB38&lt;&gt;""))*(('T_TTAFStock'!AB38&lt;&gt;""))&gt;0,'T_SelfStock'!AB38+'T_TTAFStock'!AB38,AA34+'Grid_Incoming'!AB34-'Grid_Requirement'!AB34))</f>
        <v/>
      </c>
      <c r="AC34">
        <f>IF(COUNTIFS(T_StockCount[Part Name],$A34,T_StockCount[WeekIndex],28)&gt;0,SUMIFS(T_StockCount[CountedQty],T_StockCount[Part Name],$A34,T_StockCount[WeekIndex],28),IF((('T_SelfStock'!AC38&lt;&gt;""))*(('T_TTAFStock'!AC38&lt;&gt;""))&gt;0,'T_SelfStock'!AC38+'T_TTAFStock'!AC38,AB34+'Grid_Incoming'!AC34-'Grid_Requirement'!AC34))</f>
        <v/>
      </c>
      <c r="AD34">
        <f>IF(COUNTIFS(T_StockCount[Part Name],$A34,T_StockCount[WeekIndex],29)&gt;0,SUMIFS(T_StockCount[CountedQty],T_StockCount[Part Name],$A34,T_StockCount[WeekIndex],29),IF((('T_SelfStock'!AD38&lt;&gt;""))*(('T_TTAFStock'!AD38&lt;&gt;""))&gt;0,'T_SelfStock'!AD38+'T_TTAFStock'!AD38,AC34+'Grid_Incoming'!AD34-'Grid_Requirement'!AD34))</f>
        <v/>
      </c>
      <c r="AE34">
        <f>IF(COUNTIFS(T_StockCount[Part Name],$A34,T_StockCount[WeekIndex],30)&gt;0,SUMIFS(T_StockCount[CountedQty],T_StockCount[Part Name],$A34,T_StockCount[WeekIndex],30),IF((('T_SelfStock'!AE38&lt;&gt;""))*(('T_TTAFStock'!AE38&lt;&gt;""))&gt;0,'T_SelfStock'!AE38+'T_TTAFStock'!AE38,AD34+'Grid_Incoming'!AE34-'Grid_Requirement'!AE34))</f>
        <v/>
      </c>
      <c r="AF34">
        <f>IF(COUNTIFS(T_StockCount[Part Name],$A34,T_StockCount[WeekIndex],31)&gt;0,SUMIFS(T_StockCount[CountedQty],T_StockCount[Part Name],$A34,T_StockCount[WeekIndex],31),IF((('T_SelfStock'!AF38&lt;&gt;""))*(('T_TTAFStock'!AF38&lt;&gt;""))&gt;0,'T_SelfStock'!AF38+'T_TTAFStock'!AF38,AE34+'Grid_Incoming'!AF34-'Grid_Requirement'!AF34))</f>
        <v/>
      </c>
      <c r="AG34">
        <f>IF(COUNTIFS(T_StockCount[Part Name],$A34,T_StockCount[WeekIndex],32)&gt;0,SUMIFS(T_StockCount[CountedQty],T_StockCount[Part Name],$A34,T_StockCount[WeekIndex],32),IF((('T_SelfStock'!AG38&lt;&gt;""))*(('T_TTAFStock'!AG38&lt;&gt;""))&gt;0,'T_SelfStock'!AG38+'T_TTAFStock'!AG38,AF34+'Grid_Incoming'!AG34-'Grid_Requirement'!AG34))</f>
        <v/>
      </c>
      <c r="AH34">
        <f>IF(COUNTIFS(T_StockCount[Part Name],$A34,T_StockCount[WeekIndex],33)&gt;0,SUMIFS(T_StockCount[CountedQty],T_StockCount[Part Name],$A34,T_StockCount[WeekIndex],33),IF((('T_SelfStock'!AH38&lt;&gt;""))*(('T_TTAFStock'!AH38&lt;&gt;""))&gt;0,'T_SelfStock'!AH38+'T_TTAFStock'!AH38,AG34+'Grid_Incoming'!AH34-'Grid_Requirement'!AH34))</f>
        <v/>
      </c>
      <c r="AI34">
        <f>IF(COUNTIFS(T_StockCount[Part Name],$A34,T_StockCount[WeekIndex],34)&gt;0,SUMIFS(T_StockCount[CountedQty],T_StockCount[Part Name],$A34,T_StockCount[WeekIndex],34),IF((('T_SelfStock'!AI38&lt;&gt;""))*(('T_TTAFStock'!AI38&lt;&gt;""))&gt;0,'T_SelfStock'!AI38+'T_TTAFStock'!AI38,AH34+'Grid_Incoming'!AI34-'Grid_Requirement'!AI34))</f>
        <v/>
      </c>
      <c r="AJ34">
        <f>IF(COUNTIFS(T_StockCount[Part Name],$A34,T_StockCount[WeekIndex],35)&gt;0,SUMIFS(T_StockCount[CountedQty],T_StockCount[Part Name],$A34,T_StockCount[WeekIndex],35),IF((('T_SelfStock'!AJ38&lt;&gt;""))*(('T_TTAFStock'!AJ38&lt;&gt;""))&gt;0,'T_SelfStock'!AJ38+'T_TTAFStock'!AJ38,AI34+'Grid_Incoming'!AJ34-'Grid_Requirement'!AJ34))</f>
        <v/>
      </c>
      <c r="AK34">
        <f>IF(COUNTIFS(T_StockCount[Part Name],$A34,T_StockCount[WeekIndex],36)&gt;0,SUMIFS(T_StockCount[CountedQty],T_StockCount[Part Name],$A34,T_StockCount[WeekIndex],36),IF((('T_SelfStock'!AK38&lt;&gt;""))*(('T_TTAFStock'!AK38&lt;&gt;""))&gt;0,'T_SelfStock'!AK38+'T_TTAFStock'!AK38,AJ34+'Grid_Incoming'!AK34-'Grid_Requirement'!AK34))</f>
        <v/>
      </c>
      <c r="AL34">
        <f>IF(COUNTIFS(T_StockCount[Part Name],$A34,T_StockCount[WeekIndex],37)&gt;0,SUMIFS(T_StockCount[CountedQty],T_StockCount[Part Name],$A34,T_StockCount[WeekIndex],37),IF((('T_SelfStock'!AL38&lt;&gt;""))*(('T_TTAFStock'!AL38&lt;&gt;""))&gt;0,'T_SelfStock'!AL38+'T_TTAFStock'!AL38,AK34+'Grid_Incoming'!AL34-'Grid_Requirement'!AL34))</f>
        <v/>
      </c>
      <c r="AM34">
        <f>IF(COUNTIFS(T_StockCount[Part Name],$A34,T_StockCount[WeekIndex],38)&gt;0,SUMIFS(T_StockCount[CountedQty],T_StockCount[Part Name],$A34,T_StockCount[WeekIndex],38),IF((('T_SelfStock'!AM38&lt;&gt;""))*(('T_TTAFStock'!AM38&lt;&gt;""))&gt;0,'T_SelfStock'!AM38+'T_TTAFStock'!AM38,AL34+'Grid_Incoming'!AM34-'Grid_Requirement'!AM34))</f>
        <v/>
      </c>
      <c r="AN34">
        <f>IF(COUNTIFS(T_StockCount[Part Name],$A34,T_StockCount[WeekIndex],39)&gt;0,SUMIFS(T_StockCount[CountedQty],T_StockCount[Part Name],$A34,T_StockCount[WeekIndex],39),IF((('T_SelfStock'!AN38&lt;&gt;""))*(('T_TTAFStock'!AN38&lt;&gt;""))&gt;0,'T_SelfStock'!AN38+'T_TTAFStock'!AN38,AM34+'Grid_Incoming'!AN34-'Grid_Requirement'!AN34))</f>
        <v/>
      </c>
      <c r="AO34">
        <f>IF(COUNTIFS(T_StockCount[Part Name],$A34,T_StockCount[WeekIndex],40)&gt;0,SUMIFS(T_StockCount[CountedQty],T_StockCount[Part Name],$A34,T_StockCount[WeekIndex],40),IF((('T_SelfStock'!AO38&lt;&gt;""))*(('T_TTAFStock'!AO38&lt;&gt;""))&gt;0,'T_SelfStock'!AO38+'T_TTAFStock'!AO38,AN34+'Grid_Incoming'!AO34-'Grid_Requirement'!AO34))</f>
        <v/>
      </c>
      <c r="AP34">
        <f>IF(COUNTIFS(T_StockCount[Part Name],$A34,T_StockCount[WeekIndex],41)&gt;0,SUMIFS(T_StockCount[CountedQty],T_StockCount[Part Name],$A34,T_StockCount[WeekIndex],41),IF((('T_SelfStock'!AP38&lt;&gt;""))*(('T_TTAFStock'!AP38&lt;&gt;""))&gt;0,'T_SelfStock'!AP38+'T_TTAFStock'!AP38,AO34+'Grid_Incoming'!AP34-'Grid_Requirement'!AP34))</f>
        <v/>
      </c>
      <c r="AQ34">
        <f>IF(COUNTIFS(T_StockCount[Part Name],$A34,T_StockCount[WeekIndex],42)&gt;0,SUMIFS(T_StockCount[CountedQty],T_StockCount[Part Name],$A34,T_StockCount[WeekIndex],42),IF((('T_SelfStock'!AQ38&lt;&gt;""))*(('T_TTAFStock'!AQ38&lt;&gt;""))&gt;0,'T_SelfStock'!AQ38+'T_TTAFStock'!AQ38,AP34+'Grid_Incoming'!AQ34-'Grid_Requirement'!AQ34))</f>
        <v/>
      </c>
      <c r="AR34">
        <f>IF(COUNTIFS(T_StockCount[Part Name],$A34,T_StockCount[WeekIndex],43)&gt;0,SUMIFS(T_StockCount[CountedQty],T_StockCount[Part Name],$A34,T_StockCount[WeekIndex],43),IF((('T_SelfStock'!AR38&lt;&gt;""))*(('T_TTAFStock'!AR38&lt;&gt;""))&gt;0,'T_SelfStock'!AR38+'T_TTAFStock'!AR38,AQ34+'Grid_Incoming'!AR34-'Grid_Requirement'!AR34))</f>
        <v/>
      </c>
      <c r="AS34">
        <f>IF(COUNTIFS(T_StockCount[Part Name],$A34,T_StockCount[WeekIndex],44)&gt;0,SUMIFS(T_StockCount[CountedQty],T_StockCount[Part Name],$A34,T_StockCount[WeekIndex],44),IF((('T_SelfStock'!AS38&lt;&gt;""))*(('T_TTAFStock'!AS38&lt;&gt;""))&gt;0,'T_SelfStock'!AS38+'T_TTAFStock'!AS38,AR34+'Grid_Incoming'!AS34-'Grid_Requirement'!AS34))</f>
        <v/>
      </c>
      <c r="AT34">
        <f>IF(COUNTIFS(T_StockCount[Part Name],$A34,T_StockCount[WeekIndex],45)&gt;0,SUMIFS(T_StockCount[CountedQty],T_StockCount[Part Name],$A34,T_StockCount[WeekIndex],45),IF((('T_SelfStock'!AT38&lt;&gt;""))*(('T_TTAFStock'!AT38&lt;&gt;""))&gt;0,'T_SelfStock'!AT38+'T_TTAFStock'!AT38,AS34+'Grid_Incoming'!AT34-'Grid_Requirement'!AT34))</f>
        <v/>
      </c>
      <c r="AU34">
        <f>IF(COUNTIFS(T_StockCount[Part Name],$A34,T_StockCount[WeekIndex],46)&gt;0,SUMIFS(T_StockCount[CountedQty],T_StockCount[Part Name],$A34,T_StockCount[WeekIndex],46),IF((('T_SelfStock'!AU38&lt;&gt;""))*(('T_TTAFStock'!AU38&lt;&gt;""))&gt;0,'T_SelfStock'!AU38+'T_TTAFStock'!AU38,AT34+'Grid_Incoming'!AU34-'Grid_Requirement'!AU34))</f>
        <v/>
      </c>
      <c r="AV34">
        <f>IF(COUNTIFS(T_StockCount[Part Name],$A34,T_StockCount[WeekIndex],47)&gt;0,SUMIFS(T_StockCount[CountedQty],T_StockCount[Part Name],$A34,T_StockCount[WeekIndex],47),IF((('T_SelfStock'!AV38&lt;&gt;""))*(('T_TTAFStock'!AV38&lt;&gt;""))&gt;0,'T_SelfStock'!AV38+'T_TTAFStock'!AV38,AU34+'Grid_Incoming'!AV34-'Grid_Requirement'!AV34))</f>
        <v/>
      </c>
      <c r="AW34">
        <f>IF(COUNTIFS(T_StockCount[Part Name],$A34,T_StockCount[WeekIndex],48)&gt;0,SUMIFS(T_StockCount[CountedQty],T_StockCount[Part Name],$A34,T_StockCount[WeekIndex],48),IF((('T_SelfStock'!AW38&lt;&gt;""))*(('T_TTAFStock'!AW38&lt;&gt;""))&gt;0,'T_SelfStock'!AW38+'T_TTAFStock'!AW38,AV34+'Grid_Incoming'!AW34-'Grid_Requirement'!AW34))</f>
        <v/>
      </c>
      <c r="AX34">
        <f>IF(COUNTIFS(T_StockCount[Part Name],$A34,T_StockCount[WeekIndex],49)&gt;0,SUMIFS(T_StockCount[CountedQty],T_StockCount[Part Name],$A34,T_StockCount[WeekIndex],49),IF((('T_SelfStock'!AX38&lt;&gt;""))*(('T_TTAFStock'!AX38&lt;&gt;""))&gt;0,'T_SelfStock'!AX38+'T_TTAFStock'!AX38,AW34+'Grid_Incoming'!AX34-'Grid_Requirement'!AX34))</f>
        <v/>
      </c>
      <c r="AY34">
        <f>IF(COUNTIFS(T_StockCount[Part Name],$A34,T_StockCount[WeekIndex],50)&gt;0,SUMIFS(T_StockCount[CountedQty],T_StockCount[Part Name],$A34,T_StockCount[WeekIndex],50),IF((('T_SelfStock'!AY38&lt;&gt;""))*(('T_TTAFStock'!AY38&lt;&gt;""))&gt;0,'T_SelfStock'!AY38+'T_TTAFStock'!AY38,AX34+'Grid_Incoming'!AY34-'Grid_Requirement'!AY34))</f>
        <v/>
      </c>
      <c r="AZ34">
        <f>IF(COUNTIFS(T_StockCount[Part Name],$A34,T_StockCount[WeekIndex],51)&gt;0,SUMIFS(T_StockCount[CountedQty],T_StockCount[Part Name],$A34,T_StockCount[WeekIndex],51),IF((('T_SelfStock'!AZ38&lt;&gt;""))*(('T_TTAFStock'!AZ38&lt;&gt;""))&gt;0,'T_SelfStock'!AZ38+'T_TTAFStock'!AZ38,AY34+'Grid_Incoming'!AZ34-'Grid_Requirement'!AZ34))</f>
        <v/>
      </c>
      <c r="BA34">
        <f>IF(COUNTIFS(T_StockCount[Part Name],$A34,T_StockCount[WeekIndex],52)&gt;0,SUMIFS(T_StockCount[CountedQty],T_StockCount[Part Name],$A34,T_StockCount[WeekIndex],52),IF((('T_SelfStock'!BA38&lt;&gt;""))*(('T_TTAFStock'!BA38&lt;&gt;""))&gt;0,'T_SelfStock'!BA38+'T_TTAFStock'!BA38,AZ34+'Grid_Incoming'!BA34-'Grid_Requirement'!BA34))</f>
        <v/>
      </c>
      <c r="BB34">
        <f>IF(COUNTIFS(T_StockCount[Part Name],$A34,T_StockCount[WeekIndex],53)&gt;0,SUMIFS(T_StockCount[CountedQty],T_StockCount[Part Name],$A34,T_StockCount[WeekIndex],53),IF((('T_SelfStock'!BB38&lt;&gt;""))*(('T_TTAFStock'!BB38&lt;&gt;""))&gt;0,'T_SelfStock'!BB38+'T_TTAFStock'!BB38,BA34+'Grid_Incoming'!BB34-'Grid_Requirement'!BB34))</f>
        <v/>
      </c>
      <c r="BC34">
        <f>IF(COUNTIFS(T_StockCount[Part Name],$A34,T_StockCount[WeekIndex],54)&gt;0,SUMIFS(T_StockCount[CountedQty],T_StockCount[Part Name],$A34,T_StockCount[WeekIndex],54),IF((('T_SelfStock'!BC38&lt;&gt;""))*(('T_TTAFStock'!BC38&lt;&gt;""))&gt;0,'T_SelfStock'!BC38+'T_TTAFStock'!BC38,BB34+'Grid_Incoming'!BC34-'Grid_Requirement'!BC34))</f>
        <v/>
      </c>
      <c r="BD34">
        <f>IF(COUNTIFS(T_StockCount[Part Name],$A34,T_StockCount[WeekIndex],55)&gt;0,SUMIFS(T_StockCount[CountedQty],T_StockCount[Part Name],$A34,T_StockCount[WeekIndex],55),IF((('T_SelfStock'!BD38&lt;&gt;""))*(('T_TTAFStock'!BD38&lt;&gt;""))&gt;0,'T_SelfStock'!BD38+'T_TTAFStock'!BD38,BC34+'Grid_Incoming'!BD34-'Grid_Requirement'!BD34))</f>
        <v/>
      </c>
      <c r="BE34">
        <f>IF(COUNTIFS(T_StockCount[Part Name],$A34,T_StockCount[WeekIndex],56)&gt;0,SUMIFS(T_StockCount[CountedQty],T_StockCount[Part Name],$A34,T_StockCount[WeekIndex],56),IF((('T_SelfStock'!BE38&lt;&gt;""))*(('T_TTAFStock'!BE38&lt;&gt;""))&gt;0,'T_SelfStock'!BE38+'T_TTAFStock'!BE38,BD34+'Grid_Incoming'!BE34-'Grid_Requirement'!BE34))</f>
        <v/>
      </c>
      <c r="BF34">
        <f>IF(COUNTIFS(T_StockCount[Part Name],$A34,T_StockCount[WeekIndex],57)&gt;0,SUMIFS(T_StockCount[CountedQty],T_StockCount[Part Name],$A34,T_StockCount[WeekIndex],57),IF((('T_SelfStock'!BF38&lt;&gt;""))*(('T_TTAFStock'!BF38&lt;&gt;""))&gt;0,'T_SelfStock'!BF38+'T_TTAFStock'!BF38,BE34+'Grid_Incoming'!BF34-'Grid_Requirement'!BF34))</f>
        <v/>
      </c>
      <c r="BG34">
        <f>IF(COUNTIFS(T_StockCount[Part Name],$A34,T_StockCount[WeekIndex],58)&gt;0,SUMIFS(T_StockCount[CountedQty],T_StockCount[Part Name],$A34,T_StockCount[WeekIndex],58),IF((('T_SelfStock'!BG38&lt;&gt;""))*(('T_TTAFStock'!BG38&lt;&gt;""))&gt;0,'T_SelfStock'!BG38+'T_TTAFStock'!BG38,BF34+'Grid_Incoming'!BG34-'Grid_Requirement'!BG34))</f>
        <v/>
      </c>
      <c r="BH34">
        <f>IF(COUNTIFS(T_StockCount[Part Name],$A34,T_StockCount[WeekIndex],59)&gt;0,SUMIFS(T_StockCount[CountedQty],T_StockCount[Part Name],$A34,T_StockCount[WeekIndex],59),IF((('T_SelfStock'!BH38&lt;&gt;""))*(('T_TTAFStock'!BH38&lt;&gt;""))&gt;0,'T_SelfStock'!BH38+'T_TTAFStock'!BH38,BG34+'Grid_Incoming'!BH34-'Grid_Requirement'!BH34))</f>
        <v/>
      </c>
      <c r="BI34">
        <f>IF(COUNTIFS(T_StockCount[Part Name],$A34,T_StockCount[WeekIndex],60)&gt;0,SUMIFS(T_StockCount[CountedQty],T_StockCount[Part Name],$A34,T_StockCount[WeekIndex],60),IF((('T_SelfStock'!BI38&lt;&gt;""))*(('T_TTAFStock'!BI38&lt;&gt;""))&gt;0,'T_SelfStock'!BI38+'T_TTAFStock'!BI38,BH34+'Grid_Incoming'!BI34-'Grid_Requirement'!BI34))</f>
        <v/>
      </c>
      <c r="BJ34">
        <f>IF(COUNTIFS(T_StockCount[Part Name],$A34,T_StockCount[WeekIndex],61)&gt;0,SUMIFS(T_StockCount[CountedQty],T_StockCount[Part Name],$A34,T_StockCount[WeekIndex],61),IF((('T_SelfStock'!BJ38&lt;&gt;""))*(('T_TTAFStock'!BJ38&lt;&gt;""))&gt;0,'T_SelfStock'!BJ38+'T_TTAFStock'!BJ38,BI34+'Grid_Incoming'!BJ34-'Grid_Requirement'!BJ34))</f>
        <v/>
      </c>
      <c r="BK34">
        <f>IF(COUNTIFS(T_StockCount[Part Name],$A34,T_StockCount[WeekIndex],62)&gt;0,SUMIFS(T_StockCount[CountedQty],T_StockCount[Part Name],$A34,T_StockCount[WeekIndex],62),IF((('T_SelfStock'!BK38&lt;&gt;""))*(('T_TTAFStock'!BK38&lt;&gt;""))&gt;0,'T_SelfStock'!BK38+'T_TTAFStock'!BK38,BJ34+'Grid_Incoming'!BK34-'Grid_Requirement'!BK34))</f>
        <v/>
      </c>
      <c r="BL34">
        <f>IF(COUNTIFS(T_StockCount[Part Name],$A34,T_StockCount[WeekIndex],63)&gt;0,SUMIFS(T_StockCount[CountedQty],T_StockCount[Part Name],$A34,T_StockCount[WeekIndex],63),IF((('T_SelfStock'!BL38&lt;&gt;""))*(('T_TTAFStock'!BL38&lt;&gt;""))&gt;0,'T_SelfStock'!BL38+'T_TTAFStock'!BL38,BK34+'Grid_Incoming'!BL34-'Grid_Requirement'!BL34))</f>
        <v/>
      </c>
      <c r="BM34">
        <f>IF(COUNTIFS(T_StockCount[Part Name],$A34,T_StockCount[WeekIndex],64)&gt;0,SUMIFS(T_StockCount[CountedQty],T_StockCount[Part Name],$A34,T_StockCount[WeekIndex],64),IF((('T_SelfStock'!BM38&lt;&gt;""))*(('T_TTAFStock'!BM38&lt;&gt;""))&gt;0,'T_SelfStock'!BM38+'T_TTAFStock'!BM38,BL34+'Grid_Incoming'!BM34-'Grid_Requirement'!BM34))</f>
        <v/>
      </c>
      <c r="BN34">
        <f>IF(COUNTIFS(T_StockCount[Part Name],$A34,T_StockCount[WeekIndex],65)&gt;0,SUMIFS(T_StockCount[CountedQty],T_StockCount[Part Name],$A34,T_StockCount[WeekIndex],65),IF((('T_SelfStock'!BN38&lt;&gt;""))*(('T_TTAFStock'!BN38&lt;&gt;""))&gt;0,'T_SelfStock'!BN38+'T_TTAFStock'!BN38,BM34+'Grid_Incoming'!BN34-'Grid_Requirement'!BN34))</f>
        <v/>
      </c>
      <c r="BO34">
        <f>IF(COUNTIFS(T_StockCount[Part Name],$A34,T_StockCount[WeekIndex],66)&gt;0,SUMIFS(T_StockCount[CountedQty],T_StockCount[Part Name],$A34,T_StockCount[WeekIndex],66),IF((('T_SelfStock'!BO38&lt;&gt;""))*(('T_TTAFStock'!BO38&lt;&gt;""))&gt;0,'T_SelfStock'!BO38+'T_TTAFStock'!BO38,BN34+'Grid_Incoming'!BO34-'Grid_Requirement'!BO34))</f>
        <v/>
      </c>
      <c r="BP34">
        <f>IF(COUNTIFS(T_StockCount[Part Name],$A34,T_StockCount[WeekIndex],67)&gt;0,SUMIFS(T_StockCount[CountedQty],T_StockCount[Part Name],$A34,T_StockCount[WeekIndex],67),IF((('T_SelfStock'!BP38&lt;&gt;""))*(('T_TTAFStock'!BP38&lt;&gt;""))&gt;0,'T_SelfStock'!BP38+'T_TTAFStock'!BP38,BO34+'Grid_Incoming'!BP34-'Grid_Requirement'!BP34))</f>
        <v/>
      </c>
      <c r="BQ34">
        <f>IF(COUNTIFS(T_StockCount[Part Name],$A34,T_StockCount[WeekIndex],68)&gt;0,SUMIFS(T_StockCount[CountedQty],T_StockCount[Part Name],$A34,T_StockCount[WeekIndex],68),IF((('T_SelfStock'!BQ38&lt;&gt;""))*(('T_TTAFStock'!BQ38&lt;&gt;""))&gt;0,'T_SelfStock'!BQ38+'T_TTAFStock'!BQ38,BP34+'Grid_Incoming'!BQ34-'Grid_Requirement'!BQ34))</f>
        <v/>
      </c>
      <c r="BR34">
        <f>IF(COUNTIFS(T_StockCount[Part Name],$A34,T_StockCount[WeekIndex],69)&gt;0,SUMIFS(T_StockCount[CountedQty],T_StockCount[Part Name],$A34,T_StockCount[WeekIndex],69),IF((('T_SelfStock'!BR38&lt;&gt;""))*(('T_TTAFStock'!BR38&lt;&gt;""))&gt;0,'T_SelfStock'!BR38+'T_TTAFStock'!BR38,BQ34+'Grid_Incoming'!BR34-'Grid_Requirement'!BR34))</f>
        <v/>
      </c>
      <c r="BS34">
        <f>IF(COUNTIFS(T_StockCount[Part Name],$A34,T_StockCount[WeekIndex],70)&gt;0,SUMIFS(T_StockCount[CountedQty],T_StockCount[Part Name],$A34,T_StockCount[WeekIndex],70),IF((('T_SelfStock'!BS38&lt;&gt;""))*(('T_TTAFStock'!BS38&lt;&gt;""))&gt;0,'T_SelfStock'!BS38+'T_TTAFStock'!BS38,BR34+'Grid_Incoming'!BS34-'Grid_Requirement'!BS34))</f>
        <v/>
      </c>
      <c r="BT34">
        <f>IF(COUNTIFS(T_StockCount[Part Name],$A34,T_StockCount[WeekIndex],71)&gt;0,SUMIFS(T_StockCount[CountedQty],T_StockCount[Part Name],$A34,T_StockCount[WeekIndex],71),IF((('T_SelfStock'!BT38&lt;&gt;""))*(('T_TTAFStock'!BT38&lt;&gt;""))&gt;0,'T_SelfStock'!BT38+'T_TTAFStock'!BT38,BS34+'Grid_Incoming'!BT34-'Grid_Requirement'!BT34))</f>
        <v/>
      </c>
      <c r="BU34">
        <f>IF(COUNTIFS(T_StockCount[Part Name],$A34,T_StockCount[WeekIndex],72)&gt;0,SUMIFS(T_StockCount[CountedQty],T_StockCount[Part Name],$A34,T_StockCount[WeekIndex],72),IF((('T_SelfStock'!BU38&lt;&gt;""))*(('T_TTAFStock'!BU38&lt;&gt;""))&gt;0,'T_SelfStock'!BU38+'T_TTAFStock'!BU38,BT34+'Grid_Incoming'!BU34-'Grid_Requirement'!BU34))</f>
        <v/>
      </c>
      <c r="BV34">
        <f>IF(COUNTIFS(T_StockCount[Part Name],$A34,T_StockCount[WeekIndex],73)&gt;0,SUMIFS(T_StockCount[CountedQty],T_StockCount[Part Name],$A34,T_StockCount[WeekIndex],73),IF((('T_SelfStock'!BV38&lt;&gt;""))*(('T_TTAFStock'!BV38&lt;&gt;""))&gt;0,'T_SelfStock'!BV38+'T_TTAFStock'!BV38,BU34+'Grid_Incoming'!BV34-'Grid_Requirement'!BV34))</f>
        <v/>
      </c>
      <c r="BW34">
        <f>IF(COUNTIFS(T_StockCount[Part Name],$A34,T_StockCount[WeekIndex],74)&gt;0,SUMIFS(T_StockCount[CountedQty],T_StockCount[Part Name],$A34,T_StockCount[WeekIndex],74),IF((('T_SelfStock'!BW38&lt;&gt;""))*(('T_TTAFStock'!BW38&lt;&gt;""))&gt;0,'T_SelfStock'!BW38+'T_TTAFStock'!BW38,BV34+'Grid_Incoming'!BW34-'Grid_Requirement'!BW34))</f>
        <v/>
      </c>
      <c r="BX34">
        <f>IF(COUNTIFS(T_StockCount[Part Name],$A34,T_StockCount[WeekIndex],75)&gt;0,SUMIFS(T_StockCount[CountedQty],T_StockCount[Part Name],$A34,T_StockCount[WeekIndex],75),IF((('T_SelfStock'!BX38&lt;&gt;""))*(('T_TTAFStock'!BX38&lt;&gt;""))&gt;0,'T_SelfStock'!BX38+'T_TTAFStock'!BX38,BW34+'Grid_Incoming'!BX34-'Grid_Requirement'!BX34))</f>
        <v/>
      </c>
      <c r="BY34">
        <f>IF(COUNTIFS(T_StockCount[Part Name],$A34,T_StockCount[WeekIndex],76)&gt;0,SUMIFS(T_StockCount[CountedQty],T_StockCount[Part Name],$A34,T_StockCount[WeekIndex],76),IF((('T_SelfStock'!BY38&lt;&gt;""))*(('T_TTAFStock'!BY38&lt;&gt;""))&gt;0,'T_SelfStock'!BY38+'T_TTAFStock'!BY38,BX34+'Grid_Incoming'!BY34-'Grid_Requirement'!BY34))</f>
        <v/>
      </c>
      <c r="BZ34">
        <f>IF(COUNTIFS(T_StockCount[Part Name],$A34,T_StockCount[WeekIndex],77)&gt;0,SUMIFS(T_StockCount[CountedQty],T_StockCount[Part Name],$A34,T_StockCount[WeekIndex],77),IF((('T_SelfStock'!BZ38&lt;&gt;""))*(('T_TTAFStock'!BZ38&lt;&gt;""))&gt;0,'T_SelfStock'!BZ38+'T_TTAFStock'!BZ38,BY34+'Grid_Incoming'!BZ34-'Grid_Requirement'!BZ34))</f>
        <v/>
      </c>
      <c r="CA34">
        <f>IF(COUNTIFS(T_StockCount[Part Name],$A34,T_StockCount[WeekIndex],78)&gt;0,SUMIFS(T_StockCount[CountedQty],T_StockCount[Part Name],$A34,T_StockCount[WeekIndex],78),IF((('T_SelfStock'!CA38&lt;&gt;""))*(('T_TTAFStock'!CA38&lt;&gt;""))&gt;0,'T_SelfStock'!CA38+'T_TTAFStock'!CA38,BZ34+'Grid_Incoming'!CA34-'Grid_Requirement'!CA34))</f>
        <v/>
      </c>
      <c r="CB34">
        <f>IF(COUNTIFS(T_StockCount[Part Name],$A34,T_StockCount[WeekIndex],79)&gt;0,SUMIFS(T_StockCount[CountedQty],T_StockCount[Part Name],$A34,T_StockCount[WeekIndex],79),IF((('T_SelfStock'!CB38&lt;&gt;""))*(('T_TTAFStock'!CB38&lt;&gt;""))&gt;0,'T_SelfStock'!CB38+'T_TTAFStock'!CB38,CA34+'Grid_Incoming'!CB34-'Grid_Requirement'!CB34))</f>
        <v/>
      </c>
      <c r="CC34">
        <f>IF(COUNTIFS(T_StockCount[Part Name],$A34,T_StockCount[WeekIndex],80)&gt;0,SUMIFS(T_StockCount[CountedQty],T_StockCount[Part Name],$A34,T_StockCount[WeekIndex],80),IF((('T_SelfStock'!CC38&lt;&gt;""))*(('T_TTAFStock'!CC38&lt;&gt;""))&gt;0,'T_SelfStock'!CC38+'T_TTAFStock'!CC38,CB34+'Grid_Incoming'!CC34-'Grid_Requirement'!CC34))</f>
        <v/>
      </c>
      <c r="CD34">
        <f>IF(COUNTIFS(T_StockCount[Part Name],$A34,T_StockCount[WeekIndex],81)&gt;0,SUMIFS(T_StockCount[CountedQty],T_StockCount[Part Name],$A34,T_StockCount[WeekIndex],81),IF((('T_SelfStock'!CD38&lt;&gt;""))*(('T_TTAFStock'!CD38&lt;&gt;""))&gt;0,'T_SelfStock'!CD38+'T_TTAFStock'!CD38,CC34+'Grid_Incoming'!CD34-'Grid_Requirement'!CD34))</f>
        <v/>
      </c>
      <c r="CE34">
        <f>IF(COUNTIFS(T_StockCount[Part Name],$A34,T_StockCount[WeekIndex],82)&gt;0,SUMIFS(T_StockCount[CountedQty],T_StockCount[Part Name],$A34,T_StockCount[WeekIndex],82),IF((('T_SelfStock'!CE38&lt;&gt;""))*(('T_TTAFStock'!CE38&lt;&gt;""))&gt;0,'T_SelfStock'!CE38+'T_TTAFStock'!CE38,CD34+'Grid_Incoming'!CE34-'Grid_Requirement'!CE34))</f>
        <v/>
      </c>
      <c r="CF34">
        <f>IF(COUNTIFS(T_StockCount[Part Name],$A34,T_StockCount[WeekIndex],83)&gt;0,SUMIFS(T_StockCount[CountedQty],T_StockCount[Part Name],$A34,T_StockCount[WeekIndex],83),IF((('T_SelfStock'!CF38&lt;&gt;""))*(('T_TTAFStock'!CF38&lt;&gt;""))&gt;0,'T_SelfStock'!CF38+'T_TTAFStock'!CF38,CE34+'Grid_Incoming'!CF34-'Grid_Requirement'!CF34))</f>
        <v/>
      </c>
      <c r="CG34">
        <f>IF(COUNTIFS(T_StockCount[Part Name],$A34,T_StockCount[WeekIndex],84)&gt;0,SUMIFS(T_StockCount[CountedQty],T_StockCount[Part Name],$A34,T_StockCount[WeekIndex],84),IF((('T_SelfStock'!CG38&lt;&gt;""))*(('T_TTAFStock'!CG38&lt;&gt;""))&gt;0,'T_SelfStock'!CG38+'T_TTAFStock'!CG38,CF34+'Grid_Incoming'!CG34-'Grid_Requirement'!CG34))</f>
        <v/>
      </c>
      <c r="CH34">
        <f>IF(COUNTIFS(T_StockCount[Part Name],$A34,T_StockCount[WeekIndex],85)&gt;0,SUMIFS(T_StockCount[CountedQty],T_StockCount[Part Name],$A34,T_StockCount[WeekIndex],85),IF((('T_SelfStock'!CH38&lt;&gt;""))*(('T_TTAFStock'!CH38&lt;&gt;""))&gt;0,'T_SelfStock'!CH38+'T_TTAFStock'!CH38,CG34+'Grid_Incoming'!CH34-'Grid_Requirement'!CH34))</f>
        <v/>
      </c>
      <c r="CI34">
        <f>IF(COUNTIFS(T_StockCount[Part Name],$A34,T_StockCount[WeekIndex],86)&gt;0,SUMIFS(T_StockCount[CountedQty],T_StockCount[Part Name],$A34,T_StockCount[WeekIndex],86),IF((('T_SelfStock'!CI38&lt;&gt;""))*(('T_TTAFStock'!CI38&lt;&gt;""))&gt;0,'T_SelfStock'!CI38+'T_TTAFStock'!CI38,CH34+'Grid_Incoming'!CI34-'Grid_Requirement'!CI34))</f>
        <v/>
      </c>
      <c r="CJ34">
        <f>IF(COUNTIFS(T_StockCount[Part Name],$A34,T_StockCount[WeekIndex],87)&gt;0,SUMIFS(T_StockCount[CountedQty],T_StockCount[Part Name],$A34,T_StockCount[WeekIndex],87),IF((('T_SelfStock'!CJ38&lt;&gt;""))*(('T_TTAFStock'!CJ38&lt;&gt;""))&gt;0,'T_SelfStock'!CJ38+'T_TTAFStock'!CJ38,CI34+'Grid_Incoming'!CJ34-'Grid_Requirement'!CJ34))</f>
        <v/>
      </c>
      <c r="CK34">
        <f>IF(COUNTIFS(T_StockCount[Part Name],$A34,T_StockCount[WeekIndex],88)&gt;0,SUMIFS(T_StockCount[CountedQty],T_StockCount[Part Name],$A34,T_StockCount[WeekIndex],88),IF((('T_SelfStock'!CK38&lt;&gt;""))*(('T_TTAFStock'!CK38&lt;&gt;""))&gt;0,'T_SelfStock'!CK38+'T_TTAFStock'!CK38,CJ34+'Grid_Incoming'!CK34-'Grid_Requirement'!CK34))</f>
        <v/>
      </c>
      <c r="CL34">
        <f>IF(COUNTIFS(T_StockCount[Part Name],$A34,T_StockCount[WeekIndex],89)&gt;0,SUMIFS(T_StockCount[CountedQty],T_StockCount[Part Name],$A34,T_StockCount[WeekIndex],89),IF((('T_SelfStock'!CL38&lt;&gt;""))*(('T_TTAFStock'!CL38&lt;&gt;""))&gt;0,'T_SelfStock'!CL38+'T_TTAFStock'!CL38,CK34+'Grid_Incoming'!CL34-'Grid_Requirement'!CL34))</f>
        <v/>
      </c>
      <c r="CM34">
        <f>IF(COUNTIFS(T_StockCount[Part Name],$A34,T_StockCount[WeekIndex],90)&gt;0,SUMIFS(T_StockCount[CountedQty],T_StockCount[Part Name],$A34,T_StockCount[WeekIndex],90),IF((('T_SelfStock'!CM38&lt;&gt;""))*(('T_TTAFStock'!CM38&lt;&gt;""))&gt;0,'T_SelfStock'!CM38+'T_TTAFStock'!CM38,CL34+'Grid_Incoming'!CM34-'Grid_Requirement'!CM34))</f>
        <v/>
      </c>
      <c r="CN34">
        <f>IF(COUNTIFS(T_StockCount[Part Name],$A34,T_StockCount[WeekIndex],91)&gt;0,SUMIFS(T_StockCount[CountedQty],T_StockCount[Part Name],$A34,T_StockCount[WeekIndex],91),IF((('T_SelfStock'!CN38&lt;&gt;""))*(('T_TTAFStock'!CN38&lt;&gt;""))&gt;0,'T_SelfStock'!CN38+'T_TTAFStock'!CN38,CM34+'Grid_Incoming'!CN34-'Grid_Requirement'!CN34))</f>
        <v/>
      </c>
      <c r="CO34">
        <f>IF(COUNTIFS(T_StockCount[Part Name],$A34,T_StockCount[WeekIndex],92)&gt;0,SUMIFS(T_StockCount[CountedQty],T_StockCount[Part Name],$A34,T_StockCount[WeekIndex],92),IF((('T_SelfStock'!CO38&lt;&gt;""))*(('T_TTAFStock'!CO38&lt;&gt;""))&gt;0,'T_SelfStock'!CO38+'T_TTAFStock'!CO38,CN34+'Grid_Incoming'!CO34-'Grid_Requirement'!CO34))</f>
        <v/>
      </c>
      <c r="CP34">
        <f>IF(COUNTIFS(T_StockCount[Part Name],$A34,T_StockCount[WeekIndex],93)&gt;0,SUMIFS(T_StockCount[CountedQty],T_StockCount[Part Name],$A34,T_StockCount[WeekIndex],93),IF((('T_SelfStock'!CP38&lt;&gt;""))*(('T_TTAFStock'!CP38&lt;&gt;""))&gt;0,'T_SelfStock'!CP38+'T_TTAFStock'!CP38,CO34+'Grid_Incoming'!CP34-'Grid_Requirement'!CP34))</f>
        <v/>
      </c>
      <c r="CQ34">
        <f>IF(COUNTIFS(T_StockCount[Part Name],$A34,T_StockCount[WeekIndex],94)&gt;0,SUMIFS(T_StockCount[CountedQty],T_StockCount[Part Name],$A34,T_StockCount[WeekIndex],94),IF((('T_SelfStock'!CQ38&lt;&gt;""))*(('T_TTAFStock'!CQ38&lt;&gt;""))&gt;0,'T_SelfStock'!CQ38+'T_TTAFStock'!CQ38,CP34+'Grid_Incoming'!CQ34-'Grid_Requirement'!CQ34))</f>
        <v/>
      </c>
      <c r="CR34">
        <f>IF(COUNTIFS(T_StockCount[Part Name],$A34,T_StockCount[WeekIndex],95)&gt;0,SUMIFS(T_StockCount[CountedQty],T_StockCount[Part Name],$A34,T_StockCount[WeekIndex],95),IF((('T_SelfStock'!CR38&lt;&gt;""))*(('T_TTAFStock'!CR38&lt;&gt;""))&gt;0,'T_SelfStock'!CR38+'T_TTAFStock'!CR38,CQ34+'Grid_Incoming'!CR34-'Grid_Requirement'!CR34))</f>
        <v/>
      </c>
      <c r="CS34">
        <f>IF(COUNTIFS(T_StockCount[Part Name],$A34,T_StockCount[WeekIndex],96)&gt;0,SUMIFS(T_StockCount[CountedQty],T_StockCount[Part Name],$A34,T_StockCount[WeekIndex],96),IF((('T_SelfStock'!CS38&lt;&gt;""))*(('T_TTAFStock'!CS38&lt;&gt;""))&gt;0,'T_SelfStock'!CS38+'T_TTAFStock'!CS38,CR34+'Grid_Incoming'!CS34-'Grid_Requirement'!CS34))</f>
        <v/>
      </c>
      <c r="CT34">
        <f>IF(COUNTIFS(T_StockCount[Part Name],$A34,T_StockCount[WeekIndex],97)&gt;0,SUMIFS(T_StockCount[CountedQty],T_StockCount[Part Name],$A34,T_StockCount[WeekIndex],97),IF((('T_SelfStock'!CT38&lt;&gt;""))*(('T_TTAFStock'!CT38&lt;&gt;""))&gt;0,'T_SelfStock'!CT38+'T_TTAFStock'!CT38,CS34+'Grid_Incoming'!CT34-'Grid_Requirement'!CT34))</f>
        <v/>
      </c>
      <c r="CU34">
        <f>IF(COUNTIFS(T_StockCount[Part Name],$A34,T_StockCount[WeekIndex],98)&gt;0,SUMIFS(T_StockCount[CountedQty],T_StockCount[Part Name],$A34,T_StockCount[WeekIndex],98),IF((('T_SelfStock'!CU38&lt;&gt;""))*(('T_TTAFStock'!CU38&lt;&gt;""))&gt;0,'T_SelfStock'!CU38+'T_TTAFStock'!CU38,CT34+'Grid_Incoming'!CU34-'Grid_Requirement'!CU34))</f>
        <v/>
      </c>
      <c r="CV34">
        <f>IF(COUNTIFS(T_StockCount[Part Name],$A34,T_StockCount[WeekIndex],99)&gt;0,SUMIFS(T_StockCount[CountedQty],T_StockCount[Part Name],$A34,T_StockCount[WeekIndex],99),IF((('T_SelfStock'!CV38&lt;&gt;""))*(('T_TTAFStock'!CV38&lt;&gt;""))&gt;0,'T_SelfStock'!CV38+'T_TTAFStock'!CV38,CU34+'Grid_Incoming'!CV34-'Grid_Requirement'!CV34))</f>
        <v/>
      </c>
      <c r="CW34">
        <f>IF(COUNTIFS(T_StockCount[Part Name],$A34,T_StockCount[WeekIndex],100)&gt;0,SUMIFS(T_StockCount[CountedQty],T_StockCount[Part Name],$A34,T_StockCount[WeekIndex],100),IF((('T_SelfStock'!CW38&lt;&gt;""))*(('T_TTAFStock'!CW38&lt;&gt;""))&gt;0,'T_SelfStock'!CW38+'T_TTAFStock'!CW38,CV34+'Grid_Incoming'!CW34-'Grid_Requirement'!CW34))</f>
        <v/>
      </c>
      <c r="CX34">
        <f>IF(COUNTIFS(T_StockCount[Part Name],$A34,T_StockCount[WeekIndex],101)&gt;0,SUMIFS(T_StockCount[CountedQty],T_StockCount[Part Name],$A34,T_StockCount[WeekIndex],101),IF((('T_SelfStock'!CX38&lt;&gt;""))*(('T_TTAFStock'!CX38&lt;&gt;""))&gt;0,'T_SelfStock'!CX38+'T_TTAFStock'!CX38,CW34+'Grid_Incoming'!CX34-'Grid_Requirement'!CX34))</f>
        <v/>
      </c>
      <c r="CY34">
        <f>IF(COUNTIFS(T_StockCount[Part Name],$A34,T_StockCount[WeekIndex],102)&gt;0,SUMIFS(T_StockCount[CountedQty],T_StockCount[Part Name],$A34,T_StockCount[WeekIndex],102),IF((('T_SelfStock'!CY38&lt;&gt;""))*(('T_TTAFStock'!CY38&lt;&gt;""))&gt;0,'T_SelfStock'!CY38+'T_TTAFStock'!CY38,CX34+'Grid_Incoming'!CY34-'Grid_Requirement'!CY34))</f>
        <v/>
      </c>
      <c r="CZ34">
        <f>IF(COUNTIFS(T_StockCount[Part Name],$A34,T_StockCount[WeekIndex],103)&gt;0,SUMIFS(T_StockCount[CountedQty],T_StockCount[Part Name],$A34,T_StockCount[WeekIndex],103),IF((('T_SelfStock'!CZ38&lt;&gt;""))*(('T_TTAFStock'!CZ38&lt;&gt;""))&gt;0,'T_SelfStock'!CZ38+'T_TTAFStock'!CZ38,CY34+'Grid_Incoming'!CZ34-'Grid_Requirement'!CZ34))</f>
        <v/>
      </c>
      <c r="DA34">
        <f>IF(COUNTIFS(T_StockCount[Part Name],$A34,T_StockCount[WeekIndex],104)&gt;0,SUMIFS(T_StockCount[CountedQty],T_StockCount[Part Name],$A34,T_StockCount[WeekIndex],104),IF((('T_SelfStock'!DA38&lt;&gt;""))*(('T_TTAFStock'!DA38&lt;&gt;""))&gt;0,'T_SelfStock'!DA38+'T_TTAFStock'!DA38,CZ34+'Grid_Incoming'!DA34-'Grid_Requirement'!DA34))</f>
        <v/>
      </c>
    </row>
    <row r="35">
      <c r="A35" t="inlineStr">
        <is>
          <t>CHEM-1660</t>
        </is>
      </c>
      <c r="B35">
        <f>IF(COUNTIFS(T_StockCount[Part Name],$A35,T_StockCount[WeekIndex],1)&gt;0,SUMIFS(T_StockCount[CountedQty],T_StockCount[Part Name],$A35,T_StockCount[WeekIndex],1),IF((('T_SelfStock'!B39&lt;&gt;""))*(('T_TTAFStock'!B39&lt;&gt;""))&gt;0,'T_SelfStock'!B39+'T_TTAFStock'!B39,IFERROR(INDEX(T_OpeningStock[Opening_Qty_要入力],MATCH($A35,T_OpeningStock[Part Name],0)),0)+'Grid_Incoming'!B35-'Grid_Requirement'!B35))</f>
        <v/>
      </c>
      <c r="C35">
        <f>IF(COUNTIFS(T_StockCount[Part Name],$A35,T_StockCount[WeekIndex],2)&gt;0,SUMIFS(T_StockCount[CountedQty],T_StockCount[Part Name],$A35,T_StockCount[WeekIndex],2),IF((('T_SelfStock'!C39&lt;&gt;""))*(('T_TTAFStock'!C39&lt;&gt;""))&gt;0,'T_SelfStock'!C39+'T_TTAFStock'!C39,B35+'Grid_Incoming'!C35-'Grid_Requirement'!C35))</f>
        <v/>
      </c>
      <c r="D35">
        <f>IF(COUNTIFS(T_StockCount[Part Name],$A35,T_StockCount[WeekIndex],3)&gt;0,SUMIFS(T_StockCount[CountedQty],T_StockCount[Part Name],$A35,T_StockCount[WeekIndex],3),IF((('T_SelfStock'!D39&lt;&gt;""))*(('T_TTAFStock'!D39&lt;&gt;""))&gt;0,'T_SelfStock'!D39+'T_TTAFStock'!D39,C35+'Grid_Incoming'!D35-'Grid_Requirement'!D35))</f>
        <v/>
      </c>
      <c r="E35">
        <f>IF(COUNTIFS(T_StockCount[Part Name],$A35,T_StockCount[WeekIndex],4)&gt;0,SUMIFS(T_StockCount[CountedQty],T_StockCount[Part Name],$A35,T_StockCount[WeekIndex],4),IF((('T_SelfStock'!E39&lt;&gt;""))*(('T_TTAFStock'!E39&lt;&gt;""))&gt;0,'T_SelfStock'!E39+'T_TTAFStock'!E39,D35+'Grid_Incoming'!E35-'Grid_Requirement'!E35))</f>
        <v/>
      </c>
      <c r="F35">
        <f>IF(COUNTIFS(T_StockCount[Part Name],$A35,T_StockCount[WeekIndex],5)&gt;0,SUMIFS(T_StockCount[CountedQty],T_StockCount[Part Name],$A35,T_StockCount[WeekIndex],5),IF((('T_SelfStock'!F39&lt;&gt;""))*(('T_TTAFStock'!F39&lt;&gt;""))&gt;0,'T_SelfStock'!F39+'T_TTAFStock'!F39,E35+'Grid_Incoming'!F35-'Grid_Requirement'!F35))</f>
        <v/>
      </c>
      <c r="G35">
        <f>IF(COUNTIFS(T_StockCount[Part Name],$A35,T_StockCount[WeekIndex],6)&gt;0,SUMIFS(T_StockCount[CountedQty],T_StockCount[Part Name],$A35,T_StockCount[WeekIndex],6),IF((('T_SelfStock'!G39&lt;&gt;""))*(('T_TTAFStock'!G39&lt;&gt;""))&gt;0,'T_SelfStock'!G39+'T_TTAFStock'!G39,F35+'Grid_Incoming'!G35-'Grid_Requirement'!G35))</f>
        <v/>
      </c>
      <c r="H35">
        <f>IF(COUNTIFS(T_StockCount[Part Name],$A35,T_StockCount[WeekIndex],7)&gt;0,SUMIFS(T_StockCount[CountedQty],T_StockCount[Part Name],$A35,T_StockCount[WeekIndex],7),IF((('T_SelfStock'!H39&lt;&gt;""))*(('T_TTAFStock'!H39&lt;&gt;""))&gt;0,'T_SelfStock'!H39+'T_TTAFStock'!H39,G35+'Grid_Incoming'!H35-'Grid_Requirement'!H35))</f>
        <v/>
      </c>
      <c r="I35">
        <f>IF(COUNTIFS(T_StockCount[Part Name],$A35,T_StockCount[WeekIndex],8)&gt;0,SUMIFS(T_StockCount[CountedQty],T_StockCount[Part Name],$A35,T_StockCount[WeekIndex],8),IF((('T_SelfStock'!I39&lt;&gt;""))*(('T_TTAFStock'!I39&lt;&gt;""))&gt;0,'T_SelfStock'!I39+'T_TTAFStock'!I39,H35+'Grid_Incoming'!I35-'Grid_Requirement'!I35))</f>
        <v/>
      </c>
      <c r="J35">
        <f>IF(COUNTIFS(T_StockCount[Part Name],$A35,T_StockCount[WeekIndex],9)&gt;0,SUMIFS(T_StockCount[CountedQty],T_StockCount[Part Name],$A35,T_StockCount[WeekIndex],9),IF((('T_SelfStock'!J39&lt;&gt;""))*(('T_TTAFStock'!J39&lt;&gt;""))&gt;0,'T_SelfStock'!J39+'T_TTAFStock'!J39,I35+'Grid_Incoming'!J35-'Grid_Requirement'!J35))</f>
        <v/>
      </c>
      <c r="K35">
        <f>IF(COUNTIFS(T_StockCount[Part Name],$A35,T_StockCount[WeekIndex],10)&gt;0,SUMIFS(T_StockCount[CountedQty],T_StockCount[Part Name],$A35,T_StockCount[WeekIndex],10),IF((('T_SelfStock'!K39&lt;&gt;""))*(('T_TTAFStock'!K39&lt;&gt;""))&gt;0,'T_SelfStock'!K39+'T_TTAFStock'!K39,J35+'Grid_Incoming'!K35-'Grid_Requirement'!K35))</f>
        <v/>
      </c>
      <c r="L35">
        <f>IF(COUNTIFS(T_StockCount[Part Name],$A35,T_StockCount[WeekIndex],11)&gt;0,SUMIFS(T_StockCount[CountedQty],T_StockCount[Part Name],$A35,T_StockCount[WeekIndex],11),IF((('T_SelfStock'!L39&lt;&gt;""))*(('T_TTAFStock'!L39&lt;&gt;""))&gt;0,'T_SelfStock'!L39+'T_TTAFStock'!L39,K35+'Grid_Incoming'!L35-'Grid_Requirement'!L35))</f>
        <v/>
      </c>
      <c r="M35">
        <f>IF(COUNTIFS(T_StockCount[Part Name],$A35,T_StockCount[WeekIndex],12)&gt;0,SUMIFS(T_StockCount[CountedQty],T_StockCount[Part Name],$A35,T_StockCount[WeekIndex],12),IF((('T_SelfStock'!M39&lt;&gt;""))*(('T_TTAFStock'!M39&lt;&gt;""))&gt;0,'T_SelfStock'!M39+'T_TTAFStock'!M39,L35+'Grid_Incoming'!M35-'Grid_Requirement'!M35))</f>
        <v/>
      </c>
      <c r="N35">
        <f>IF(COUNTIFS(T_StockCount[Part Name],$A35,T_StockCount[WeekIndex],13)&gt;0,SUMIFS(T_StockCount[CountedQty],T_StockCount[Part Name],$A35,T_StockCount[WeekIndex],13),IF((('T_SelfStock'!N39&lt;&gt;""))*(('T_TTAFStock'!N39&lt;&gt;""))&gt;0,'T_SelfStock'!N39+'T_TTAFStock'!N39,M35+'Grid_Incoming'!N35-'Grid_Requirement'!N35))</f>
        <v/>
      </c>
      <c r="O35">
        <f>IF(COUNTIFS(T_StockCount[Part Name],$A35,T_StockCount[WeekIndex],14)&gt;0,SUMIFS(T_StockCount[CountedQty],T_StockCount[Part Name],$A35,T_StockCount[WeekIndex],14),IF((('T_SelfStock'!O39&lt;&gt;""))*(('T_TTAFStock'!O39&lt;&gt;""))&gt;0,'T_SelfStock'!O39+'T_TTAFStock'!O39,N35+'Grid_Incoming'!O35-'Grid_Requirement'!O35))</f>
        <v/>
      </c>
      <c r="P35">
        <f>IF(COUNTIFS(T_StockCount[Part Name],$A35,T_StockCount[WeekIndex],15)&gt;0,SUMIFS(T_StockCount[CountedQty],T_StockCount[Part Name],$A35,T_StockCount[WeekIndex],15),IF((('T_SelfStock'!P39&lt;&gt;""))*(('T_TTAFStock'!P39&lt;&gt;""))&gt;0,'T_SelfStock'!P39+'T_TTAFStock'!P39,O35+'Grid_Incoming'!P35-'Grid_Requirement'!P35))</f>
        <v/>
      </c>
      <c r="Q35">
        <f>IF(COUNTIFS(T_StockCount[Part Name],$A35,T_StockCount[WeekIndex],16)&gt;0,SUMIFS(T_StockCount[CountedQty],T_StockCount[Part Name],$A35,T_StockCount[WeekIndex],16),IF((('T_SelfStock'!Q39&lt;&gt;""))*(('T_TTAFStock'!Q39&lt;&gt;""))&gt;0,'T_SelfStock'!Q39+'T_TTAFStock'!Q39,P35+'Grid_Incoming'!Q35-'Grid_Requirement'!Q35))</f>
        <v/>
      </c>
      <c r="R35">
        <f>IF(COUNTIFS(T_StockCount[Part Name],$A35,T_StockCount[WeekIndex],17)&gt;0,SUMIFS(T_StockCount[CountedQty],T_StockCount[Part Name],$A35,T_StockCount[WeekIndex],17),IF((('T_SelfStock'!R39&lt;&gt;""))*(('T_TTAFStock'!R39&lt;&gt;""))&gt;0,'T_SelfStock'!R39+'T_TTAFStock'!R39,Q35+'Grid_Incoming'!R35-'Grid_Requirement'!R35))</f>
        <v/>
      </c>
      <c r="S35">
        <f>IF(COUNTIFS(T_StockCount[Part Name],$A35,T_StockCount[WeekIndex],18)&gt;0,SUMIFS(T_StockCount[CountedQty],T_StockCount[Part Name],$A35,T_StockCount[WeekIndex],18),IF((('T_SelfStock'!S39&lt;&gt;""))*(('T_TTAFStock'!S39&lt;&gt;""))&gt;0,'T_SelfStock'!S39+'T_TTAFStock'!S39,R35+'Grid_Incoming'!S35-'Grid_Requirement'!S35))</f>
        <v/>
      </c>
      <c r="T35">
        <f>IF(COUNTIFS(T_StockCount[Part Name],$A35,T_StockCount[WeekIndex],19)&gt;0,SUMIFS(T_StockCount[CountedQty],T_StockCount[Part Name],$A35,T_StockCount[WeekIndex],19),IF((('T_SelfStock'!T39&lt;&gt;""))*(('T_TTAFStock'!T39&lt;&gt;""))&gt;0,'T_SelfStock'!T39+'T_TTAFStock'!T39,S35+'Grid_Incoming'!T35-'Grid_Requirement'!T35))</f>
        <v/>
      </c>
      <c r="U35">
        <f>IF(COUNTIFS(T_StockCount[Part Name],$A35,T_StockCount[WeekIndex],20)&gt;0,SUMIFS(T_StockCount[CountedQty],T_StockCount[Part Name],$A35,T_StockCount[WeekIndex],20),IF((('T_SelfStock'!U39&lt;&gt;""))*(('T_TTAFStock'!U39&lt;&gt;""))&gt;0,'T_SelfStock'!U39+'T_TTAFStock'!U39,T35+'Grid_Incoming'!U35-'Grid_Requirement'!U35))</f>
        <v/>
      </c>
      <c r="V35">
        <f>IF(COUNTIFS(T_StockCount[Part Name],$A35,T_StockCount[WeekIndex],21)&gt;0,SUMIFS(T_StockCount[CountedQty],T_StockCount[Part Name],$A35,T_StockCount[WeekIndex],21),IF((('T_SelfStock'!V39&lt;&gt;""))*(('T_TTAFStock'!V39&lt;&gt;""))&gt;0,'T_SelfStock'!V39+'T_TTAFStock'!V39,U35+'Grid_Incoming'!V35-'Grid_Requirement'!V35))</f>
        <v/>
      </c>
      <c r="W35">
        <f>IF(COUNTIFS(T_StockCount[Part Name],$A35,T_StockCount[WeekIndex],22)&gt;0,SUMIFS(T_StockCount[CountedQty],T_StockCount[Part Name],$A35,T_StockCount[WeekIndex],22),IF((('T_SelfStock'!W39&lt;&gt;""))*(('T_TTAFStock'!W39&lt;&gt;""))&gt;0,'T_SelfStock'!W39+'T_TTAFStock'!W39,V35+'Grid_Incoming'!W35-'Grid_Requirement'!W35))</f>
        <v/>
      </c>
      <c r="X35">
        <f>IF(COUNTIFS(T_StockCount[Part Name],$A35,T_StockCount[WeekIndex],23)&gt;0,SUMIFS(T_StockCount[CountedQty],T_StockCount[Part Name],$A35,T_StockCount[WeekIndex],23),IF((('T_SelfStock'!X39&lt;&gt;""))*(('T_TTAFStock'!X39&lt;&gt;""))&gt;0,'T_SelfStock'!X39+'T_TTAFStock'!X39,W35+'Grid_Incoming'!X35-'Grid_Requirement'!X35))</f>
        <v/>
      </c>
      <c r="Y35">
        <f>IF(COUNTIFS(T_StockCount[Part Name],$A35,T_StockCount[WeekIndex],24)&gt;0,SUMIFS(T_StockCount[CountedQty],T_StockCount[Part Name],$A35,T_StockCount[WeekIndex],24),IF((('T_SelfStock'!Y39&lt;&gt;""))*(('T_TTAFStock'!Y39&lt;&gt;""))&gt;0,'T_SelfStock'!Y39+'T_TTAFStock'!Y39,X35+'Grid_Incoming'!Y35-'Grid_Requirement'!Y35))</f>
        <v/>
      </c>
      <c r="Z35">
        <f>IF(COUNTIFS(T_StockCount[Part Name],$A35,T_StockCount[WeekIndex],25)&gt;0,SUMIFS(T_StockCount[CountedQty],T_StockCount[Part Name],$A35,T_StockCount[WeekIndex],25),IF((('T_SelfStock'!Z39&lt;&gt;""))*(('T_TTAFStock'!Z39&lt;&gt;""))&gt;0,'T_SelfStock'!Z39+'T_TTAFStock'!Z39,Y35+'Grid_Incoming'!Z35-'Grid_Requirement'!Z35))</f>
        <v/>
      </c>
      <c r="AA35">
        <f>IF(COUNTIFS(T_StockCount[Part Name],$A35,T_StockCount[WeekIndex],26)&gt;0,SUMIFS(T_StockCount[CountedQty],T_StockCount[Part Name],$A35,T_StockCount[WeekIndex],26),IF((('T_SelfStock'!AA39&lt;&gt;""))*(('T_TTAFStock'!AA39&lt;&gt;""))&gt;0,'T_SelfStock'!AA39+'T_TTAFStock'!AA39,Z35+'Grid_Incoming'!AA35-'Grid_Requirement'!AA35))</f>
        <v/>
      </c>
      <c r="AB35">
        <f>IF(COUNTIFS(T_StockCount[Part Name],$A35,T_StockCount[WeekIndex],27)&gt;0,SUMIFS(T_StockCount[CountedQty],T_StockCount[Part Name],$A35,T_StockCount[WeekIndex],27),IF((('T_SelfStock'!AB39&lt;&gt;""))*(('T_TTAFStock'!AB39&lt;&gt;""))&gt;0,'T_SelfStock'!AB39+'T_TTAFStock'!AB39,AA35+'Grid_Incoming'!AB35-'Grid_Requirement'!AB35))</f>
        <v/>
      </c>
      <c r="AC35">
        <f>IF(COUNTIFS(T_StockCount[Part Name],$A35,T_StockCount[WeekIndex],28)&gt;0,SUMIFS(T_StockCount[CountedQty],T_StockCount[Part Name],$A35,T_StockCount[WeekIndex],28),IF((('T_SelfStock'!AC39&lt;&gt;""))*(('T_TTAFStock'!AC39&lt;&gt;""))&gt;0,'T_SelfStock'!AC39+'T_TTAFStock'!AC39,AB35+'Grid_Incoming'!AC35-'Grid_Requirement'!AC35))</f>
        <v/>
      </c>
      <c r="AD35">
        <f>IF(COUNTIFS(T_StockCount[Part Name],$A35,T_StockCount[WeekIndex],29)&gt;0,SUMIFS(T_StockCount[CountedQty],T_StockCount[Part Name],$A35,T_StockCount[WeekIndex],29),IF((('T_SelfStock'!AD39&lt;&gt;""))*(('T_TTAFStock'!AD39&lt;&gt;""))&gt;0,'T_SelfStock'!AD39+'T_TTAFStock'!AD39,AC35+'Grid_Incoming'!AD35-'Grid_Requirement'!AD35))</f>
        <v/>
      </c>
      <c r="AE35">
        <f>IF(COUNTIFS(T_StockCount[Part Name],$A35,T_StockCount[WeekIndex],30)&gt;0,SUMIFS(T_StockCount[CountedQty],T_StockCount[Part Name],$A35,T_StockCount[WeekIndex],30),IF((('T_SelfStock'!AE39&lt;&gt;""))*(('T_TTAFStock'!AE39&lt;&gt;""))&gt;0,'T_SelfStock'!AE39+'T_TTAFStock'!AE39,AD35+'Grid_Incoming'!AE35-'Grid_Requirement'!AE35))</f>
        <v/>
      </c>
      <c r="AF35">
        <f>IF(COUNTIFS(T_StockCount[Part Name],$A35,T_StockCount[WeekIndex],31)&gt;0,SUMIFS(T_StockCount[CountedQty],T_StockCount[Part Name],$A35,T_StockCount[WeekIndex],31),IF((('T_SelfStock'!AF39&lt;&gt;""))*(('T_TTAFStock'!AF39&lt;&gt;""))&gt;0,'T_SelfStock'!AF39+'T_TTAFStock'!AF39,AE35+'Grid_Incoming'!AF35-'Grid_Requirement'!AF35))</f>
        <v/>
      </c>
      <c r="AG35">
        <f>IF(COUNTIFS(T_StockCount[Part Name],$A35,T_StockCount[WeekIndex],32)&gt;0,SUMIFS(T_StockCount[CountedQty],T_StockCount[Part Name],$A35,T_StockCount[WeekIndex],32),IF((('T_SelfStock'!AG39&lt;&gt;""))*(('T_TTAFStock'!AG39&lt;&gt;""))&gt;0,'T_SelfStock'!AG39+'T_TTAFStock'!AG39,AF35+'Grid_Incoming'!AG35-'Grid_Requirement'!AG35))</f>
        <v/>
      </c>
      <c r="AH35">
        <f>IF(COUNTIFS(T_StockCount[Part Name],$A35,T_StockCount[WeekIndex],33)&gt;0,SUMIFS(T_StockCount[CountedQty],T_StockCount[Part Name],$A35,T_StockCount[WeekIndex],33),IF((('T_SelfStock'!AH39&lt;&gt;""))*(('T_TTAFStock'!AH39&lt;&gt;""))&gt;0,'T_SelfStock'!AH39+'T_TTAFStock'!AH39,AG35+'Grid_Incoming'!AH35-'Grid_Requirement'!AH35))</f>
        <v/>
      </c>
      <c r="AI35">
        <f>IF(COUNTIFS(T_StockCount[Part Name],$A35,T_StockCount[WeekIndex],34)&gt;0,SUMIFS(T_StockCount[CountedQty],T_StockCount[Part Name],$A35,T_StockCount[WeekIndex],34),IF((('T_SelfStock'!AI39&lt;&gt;""))*(('T_TTAFStock'!AI39&lt;&gt;""))&gt;0,'T_SelfStock'!AI39+'T_TTAFStock'!AI39,AH35+'Grid_Incoming'!AI35-'Grid_Requirement'!AI35))</f>
        <v/>
      </c>
      <c r="AJ35">
        <f>IF(COUNTIFS(T_StockCount[Part Name],$A35,T_StockCount[WeekIndex],35)&gt;0,SUMIFS(T_StockCount[CountedQty],T_StockCount[Part Name],$A35,T_StockCount[WeekIndex],35),IF((('T_SelfStock'!AJ39&lt;&gt;""))*(('T_TTAFStock'!AJ39&lt;&gt;""))&gt;0,'T_SelfStock'!AJ39+'T_TTAFStock'!AJ39,AI35+'Grid_Incoming'!AJ35-'Grid_Requirement'!AJ35))</f>
        <v/>
      </c>
      <c r="AK35">
        <f>IF(COUNTIFS(T_StockCount[Part Name],$A35,T_StockCount[WeekIndex],36)&gt;0,SUMIFS(T_StockCount[CountedQty],T_StockCount[Part Name],$A35,T_StockCount[WeekIndex],36),IF((('T_SelfStock'!AK39&lt;&gt;""))*(('T_TTAFStock'!AK39&lt;&gt;""))&gt;0,'T_SelfStock'!AK39+'T_TTAFStock'!AK39,AJ35+'Grid_Incoming'!AK35-'Grid_Requirement'!AK35))</f>
        <v/>
      </c>
      <c r="AL35">
        <f>IF(COUNTIFS(T_StockCount[Part Name],$A35,T_StockCount[WeekIndex],37)&gt;0,SUMIFS(T_StockCount[CountedQty],T_StockCount[Part Name],$A35,T_StockCount[WeekIndex],37),IF((('T_SelfStock'!AL39&lt;&gt;""))*(('T_TTAFStock'!AL39&lt;&gt;""))&gt;0,'T_SelfStock'!AL39+'T_TTAFStock'!AL39,AK35+'Grid_Incoming'!AL35-'Grid_Requirement'!AL35))</f>
        <v/>
      </c>
      <c r="AM35">
        <f>IF(COUNTIFS(T_StockCount[Part Name],$A35,T_StockCount[WeekIndex],38)&gt;0,SUMIFS(T_StockCount[CountedQty],T_StockCount[Part Name],$A35,T_StockCount[WeekIndex],38),IF((('T_SelfStock'!AM39&lt;&gt;""))*(('T_TTAFStock'!AM39&lt;&gt;""))&gt;0,'T_SelfStock'!AM39+'T_TTAFStock'!AM39,AL35+'Grid_Incoming'!AM35-'Grid_Requirement'!AM35))</f>
        <v/>
      </c>
      <c r="AN35">
        <f>IF(COUNTIFS(T_StockCount[Part Name],$A35,T_StockCount[WeekIndex],39)&gt;0,SUMIFS(T_StockCount[CountedQty],T_StockCount[Part Name],$A35,T_StockCount[WeekIndex],39),IF((('T_SelfStock'!AN39&lt;&gt;""))*(('T_TTAFStock'!AN39&lt;&gt;""))&gt;0,'T_SelfStock'!AN39+'T_TTAFStock'!AN39,AM35+'Grid_Incoming'!AN35-'Grid_Requirement'!AN35))</f>
        <v/>
      </c>
      <c r="AO35">
        <f>IF(COUNTIFS(T_StockCount[Part Name],$A35,T_StockCount[WeekIndex],40)&gt;0,SUMIFS(T_StockCount[CountedQty],T_StockCount[Part Name],$A35,T_StockCount[WeekIndex],40),IF((('T_SelfStock'!AO39&lt;&gt;""))*(('T_TTAFStock'!AO39&lt;&gt;""))&gt;0,'T_SelfStock'!AO39+'T_TTAFStock'!AO39,AN35+'Grid_Incoming'!AO35-'Grid_Requirement'!AO35))</f>
        <v/>
      </c>
      <c r="AP35">
        <f>IF(COUNTIFS(T_StockCount[Part Name],$A35,T_StockCount[WeekIndex],41)&gt;0,SUMIFS(T_StockCount[CountedQty],T_StockCount[Part Name],$A35,T_StockCount[WeekIndex],41),IF((('T_SelfStock'!AP39&lt;&gt;""))*(('T_TTAFStock'!AP39&lt;&gt;""))&gt;0,'T_SelfStock'!AP39+'T_TTAFStock'!AP39,AO35+'Grid_Incoming'!AP35-'Grid_Requirement'!AP35))</f>
        <v/>
      </c>
      <c r="AQ35">
        <f>IF(COUNTIFS(T_StockCount[Part Name],$A35,T_StockCount[WeekIndex],42)&gt;0,SUMIFS(T_StockCount[CountedQty],T_StockCount[Part Name],$A35,T_StockCount[WeekIndex],42),IF((('T_SelfStock'!AQ39&lt;&gt;""))*(('T_TTAFStock'!AQ39&lt;&gt;""))&gt;0,'T_SelfStock'!AQ39+'T_TTAFStock'!AQ39,AP35+'Grid_Incoming'!AQ35-'Grid_Requirement'!AQ35))</f>
        <v/>
      </c>
      <c r="AR35">
        <f>IF(COUNTIFS(T_StockCount[Part Name],$A35,T_StockCount[WeekIndex],43)&gt;0,SUMIFS(T_StockCount[CountedQty],T_StockCount[Part Name],$A35,T_StockCount[WeekIndex],43),IF((('T_SelfStock'!AR39&lt;&gt;""))*(('T_TTAFStock'!AR39&lt;&gt;""))&gt;0,'T_SelfStock'!AR39+'T_TTAFStock'!AR39,AQ35+'Grid_Incoming'!AR35-'Grid_Requirement'!AR35))</f>
        <v/>
      </c>
      <c r="AS35">
        <f>IF(COUNTIFS(T_StockCount[Part Name],$A35,T_StockCount[WeekIndex],44)&gt;0,SUMIFS(T_StockCount[CountedQty],T_StockCount[Part Name],$A35,T_StockCount[WeekIndex],44),IF((('T_SelfStock'!AS39&lt;&gt;""))*(('T_TTAFStock'!AS39&lt;&gt;""))&gt;0,'T_SelfStock'!AS39+'T_TTAFStock'!AS39,AR35+'Grid_Incoming'!AS35-'Grid_Requirement'!AS35))</f>
        <v/>
      </c>
      <c r="AT35">
        <f>IF(COUNTIFS(T_StockCount[Part Name],$A35,T_StockCount[WeekIndex],45)&gt;0,SUMIFS(T_StockCount[CountedQty],T_StockCount[Part Name],$A35,T_StockCount[WeekIndex],45),IF((('T_SelfStock'!AT39&lt;&gt;""))*(('T_TTAFStock'!AT39&lt;&gt;""))&gt;0,'T_SelfStock'!AT39+'T_TTAFStock'!AT39,AS35+'Grid_Incoming'!AT35-'Grid_Requirement'!AT35))</f>
        <v/>
      </c>
      <c r="AU35">
        <f>IF(COUNTIFS(T_StockCount[Part Name],$A35,T_StockCount[WeekIndex],46)&gt;0,SUMIFS(T_StockCount[CountedQty],T_StockCount[Part Name],$A35,T_StockCount[WeekIndex],46),IF((('T_SelfStock'!AU39&lt;&gt;""))*(('T_TTAFStock'!AU39&lt;&gt;""))&gt;0,'T_SelfStock'!AU39+'T_TTAFStock'!AU39,AT35+'Grid_Incoming'!AU35-'Grid_Requirement'!AU35))</f>
        <v/>
      </c>
      <c r="AV35">
        <f>IF(COUNTIFS(T_StockCount[Part Name],$A35,T_StockCount[WeekIndex],47)&gt;0,SUMIFS(T_StockCount[CountedQty],T_StockCount[Part Name],$A35,T_StockCount[WeekIndex],47),IF((('T_SelfStock'!AV39&lt;&gt;""))*(('T_TTAFStock'!AV39&lt;&gt;""))&gt;0,'T_SelfStock'!AV39+'T_TTAFStock'!AV39,AU35+'Grid_Incoming'!AV35-'Grid_Requirement'!AV35))</f>
        <v/>
      </c>
      <c r="AW35">
        <f>IF(COUNTIFS(T_StockCount[Part Name],$A35,T_StockCount[WeekIndex],48)&gt;0,SUMIFS(T_StockCount[CountedQty],T_StockCount[Part Name],$A35,T_StockCount[WeekIndex],48),IF((('T_SelfStock'!AW39&lt;&gt;""))*(('T_TTAFStock'!AW39&lt;&gt;""))&gt;0,'T_SelfStock'!AW39+'T_TTAFStock'!AW39,AV35+'Grid_Incoming'!AW35-'Grid_Requirement'!AW35))</f>
        <v/>
      </c>
      <c r="AX35">
        <f>IF(COUNTIFS(T_StockCount[Part Name],$A35,T_StockCount[WeekIndex],49)&gt;0,SUMIFS(T_StockCount[CountedQty],T_StockCount[Part Name],$A35,T_StockCount[WeekIndex],49),IF((('T_SelfStock'!AX39&lt;&gt;""))*(('T_TTAFStock'!AX39&lt;&gt;""))&gt;0,'T_SelfStock'!AX39+'T_TTAFStock'!AX39,AW35+'Grid_Incoming'!AX35-'Grid_Requirement'!AX35))</f>
        <v/>
      </c>
      <c r="AY35">
        <f>IF(COUNTIFS(T_StockCount[Part Name],$A35,T_StockCount[WeekIndex],50)&gt;0,SUMIFS(T_StockCount[CountedQty],T_StockCount[Part Name],$A35,T_StockCount[WeekIndex],50),IF((('T_SelfStock'!AY39&lt;&gt;""))*(('T_TTAFStock'!AY39&lt;&gt;""))&gt;0,'T_SelfStock'!AY39+'T_TTAFStock'!AY39,AX35+'Grid_Incoming'!AY35-'Grid_Requirement'!AY35))</f>
        <v/>
      </c>
      <c r="AZ35">
        <f>IF(COUNTIFS(T_StockCount[Part Name],$A35,T_StockCount[WeekIndex],51)&gt;0,SUMIFS(T_StockCount[CountedQty],T_StockCount[Part Name],$A35,T_StockCount[WeekIndex],51),IF((('T_SelfStock'!AZ39&lt;&gt;""))*(('T_TTAFStock'!AZ39&lt;&gt;""))&gt;0,'T_SelfStock'!AZ39+'T_TTAFStock'!AZ39,AY35+'Grid_Incoming'!AZ35-'Grid_Requirement'!AZ35))</f>
        <v/>
      </c>
      <c r="BA35">
        <f>IF(COUNTIFS(T_StockCount[Part Name],$A35,T_StockCount[WeekIndex],52)&gt;0,SUMIFS(T_StockCount[CountedQty],T_StockCount[Part Name],$A35,T_StockCount[WeekIndex],52),IF((('T_SelfStock'!BA39&lt;&gt;""))*(('T_TTAFStock'!BA39&lt;&gt;""))&gt;0,'T_SelfStock'!BA39+'T_TTAFStock'!BA39,AZ35+'Grid_Incoming'!BA35-'Grid_Requirement'!BA35))</f>
        <v/>
      </c>
      <c r="BB35">
        <f>IF(COUNTIFS(T_StockCount[Part Name],$A35,T_StockCount[WeekIndex],53)&gt;0,SUMIFS(T_StockCount[CountedQty],T_StockCount[Part Name],$A35,T_StockCount[WeekIndex],53),IF((('T_SelfStock'!BB39&lt;&gt;""))*(('T_TTAFStock'!BB39&lt;&gt;""))&gt;0,'T_SelfStock'!BB39+'T_TTAFStock'!BB39,BA35+'Grid_Incoming'!BB35-'Grid_Requirement'!BB35))</f>
        <v/>
      </c>
      <c r="BC35">
        <f>IF(COUNTIFS(T_StockCount[Part Name],$A35,T_StockCount[WeekIndex],54)&gt;0,SUMIFS(T_StockCount[CountedQty],T_StockCount[Part Name],$A35,T_StockCount[WeekIndex],54),IF((('T_SelfStock'!BC39&lt;&gt;""))*(('T_TTAFStock'!BC39&lt;&gt;""))&gt;0,'T_SelfStock'!BC39+'T_TTAFStock'!BC39,BB35+'Grid_Incoming'!BC35-'Grid_Requirement'!BC35))</f>
        <v/>
      </c>
      <c r="BD35">
        <f>IF(COUNTIFS(T_StockCount[Part Name],$A35,T_StockCount[WeekIndex],55)&gt;0,SUMIFS(T_StockCount[CountedQty],T_StockCount[Part Name],$A35,T_StockCount[WeekIndex],55),IF((('T_SelfStock'!BD39&lt;&gt;""))*(('T_TTAFStock'!BD39&lt;&gt;""))&gt;0,'T_SelfStock'!BD39+'T_TTAFStock'!BD39,BC35+'Grid_Incoming'!BD35-'Grid_Requirement'!BD35))</f>
        <v/>
      </c>
      <c r="BE35">
        <f>IF(COUNTIFS(T_StockCount[Part Name],$A35,T_StockCount[WeekIndex],56)&gt;0,SUMIFS(T_StockCount[CountedQty],T_StockCount[Part Name],$A35,T_StockCount[WeekIndex],56),IF((('T_SelfStock'!BE39&lt;&gt;""))*(('T_TTAFStock'!BE39&lt;&gt;""))&gt;0,'T_SelfStock'!BE39+'T_TTAFStock'!BE39,BD35+'Grid_Incoming'!BE35-'Grid_Requirement'!BE35))</f>
        <v/>
      </c>
      <c r="BF35">
        <f>IF(COUNTIFS(T_StockCount[Part Name],$A35,T_StockCount[WeekIndex],57)&gt;0,SUMIFS(T_StockCount[CountedQty],T_StockCount[Part Name],$A35,T_StockCount[WeekIndex],57),IF((('T_SelfStock'!BF39&lt;&gt;""))*(('T_TTAFStock'!BF39&lt;&gt;""))&gt;0,'T_SelfStock'!BF39+'T_TTAFStock'!BF39,BE35+'Grid_Incoming'!BF35-'Grid_Requirement'!BF35))</f>
        <v/>
      </c>
      <c r="BG35">
        <f>IF(COUNTIFS(T_StockCount[Part Name],$A35,T_StockCount[WeekIndex],58)&gt;0,SUMIFS(T_StockCount[CountedQty],T_StockCount[Part Name],$A35,T_StockCount[WeekIndex],58),IF((('T_SelfStock'!BG39&lt;&gt;""))*(('T_TTAFStock'!BG39&lt;&gt;""))&gt;0,'T_SelfStock'!BG39+'T_TTAFStock'!BG39,BF35+'Grid_Incoming'!BG35-'Grid_Requirement'!BG35))</f>
        <v/>
      </c>
      <c r="BH35">
        <f>IF(COUNTIFS(T_StockCount[Part Name],$A35,T_StockCount[WeekIndex],59)&gt;0,SUMIFS(T_StockCount[CountedQty],T_StockCount[Part Name],$A35,T_StockCount[WeekIndex],59),IF((('T_SelfStock'!BH39&lt;&gt;""))*(('T_TTAFStock'!BH39&lt;&gt;""))&gt;0,'T_SelfStock'!BH39+'T_TTAFStock'!BH39,BG35+'Grid_Incoming'!BH35-'Grid_Requirement'!BH35))</f>
        <v/>
      </c>
      <c r="BI35">
        <f>IF(COUNTIFS(T_StockCount[Part Name],$A35,T_StockCount[WeekIndex],60)&gt;0,SUMIFS(T_StockCount[CountedQty],T_StockCount[Part Name],$A35,T_StockCount[WeekIndex],60),IF((('T_SelfStock'!BI39&lt;&gt;""))*(('T_TTAFStock'!BI39&lt;&gt;""))&gt;0,'T_SelfStock'!BI39+'T_TTAFStock'!BI39,BH35+'Grid_Incoming'!BI35-'Grid_Requirement'!BI35))</f>
        <v/>
      </c>
      <c r="BJ35">
        <f>IF(COUNTIFS(T_StockCount[Part Name],$A35,T_StockCount[WeekIndex],61)&gt;0,SUMIFS(T_StockCount[CountedQty],T_StockCount[Part Name],$A35,T_StockCount[WeekIndex],61),IF((('T_SelfStock'!BJ39&lt;&gt;""))*(('T_TTAFStock'!BJ39&lt;&gt;""))&gt;0,'T_SelfStock'!BJ39+'T_TTAFStock'!BJ39,BI35+'Grid_Incoming'!BJ35-'Grid_Requirement'!BJ35))</f>
        <v/>
      </c>
      <c r="BK35">
        <f>IF(COUNTIFS(T_StockCount[Part Name],$A35,T_StockCount[WeekIndex],62)&gt;0,SUMIFS(T_StockCount[CountedQty],T_StockCount[Part Name],$A35,T_StockCount[WeekIndex],62),IF((('T_SelfStock'!BK39&lt;&gt;""))*(('T_TTAFStock'!BK39&lt;&gt;""))&gt;0,'T_SelfStock'!BK39+'T_TTAFStock'!BK39,BJ35+'Grid_Incoming'!BK35-'Grid_Requirement'!BK35))</f>
        <v/>
      </c>
      <c r="BL35">
        <f>IF(COUNTIFS(T_StockCount[Part Name],$A35,T_StockCount[WeekIndex],63)&gt;0,SUMIFS(T_StockCount[CountedQty],T_StockCount[Part Name],$A35,T_StockCount[WeekIndex],63),IF((('T_SelfStock'!BL39&lt;&gt;""))*(('T_TTAFStock'!BL39&lt;&gt;""))&gt;0,'T_SelfStock'!BL39+'T_TTAFStock'!BL39,BK35+'Grid_Incoming'!BL35-'Grid_Requirement'!BL35))</f>
        <v/>
      </c>
      <c r="BM35">
        <f>IF(COUNTIFS(T_StockCount[Part Name],$A35,T_StockCount[WeekIndex],64)&gt;0,SUMIFS(T_StockCount[CountedQty],T_StockCount[Part Name],$A35,T_StockCount[WeekIndex],64),IF((('T_SelfStock'!BM39&lt;&gt;""))*(('T_TTAFStock'!BM39&lt;&gt;""))&gt;0,'T_SelfStock'!BM39+'T_TTAFStock'!BM39,BL35+'Grid_Incoming'!BM35-'Grid_Requirement'!BM35))</f>
        <v/>
      </c>
      <c r="BN35">
        <f>IF(COUNTIFS(T_StockCount[Part Name],$A35,T_StockCount[WeekIndex],65)&gt;0,SUMIFS(T_StockCount[CountedQty],T_StockCount[Part Name],$A35,T_StockCount[WeekIndex],65),IF((('T_SelfStock'!BN39&lt;&gt;""))*(('T_TTAFStock'!BN39&lt;&gt;""))&gt;0,'T_SelfStock'!BN39+'T_TTAFStock'!BN39,BM35+'Grid_Incoming'!BN35-'Grid_Requirement'!BN35))</f>
        <v/>
      </c>
      <c r="BO35">
        <f>IF(COUNTIFS(T_StockCount[Part Name],$A35,T_StockCount[WeekIndex],66)&gt;0,SUMIFS(T_StockCount[CountedQty],T_StockCount[Part Name],$A35,T_StockCount[WeekIndex],66),IF((('T_SelfStock'!BO39&lt;&gt;""))*(('T_TTAFStock'!BO39&lt;&gt;""))&gt;0,'T_SelfStock'!BO39+'T_TTAFStock'!BO39,BN35+'Grid_Incoming'!BO35-'Grid_Requirement'!BO35))</f>
        <v/>
      </c>
      <c r="BP35">
        <f>IF(COUNTIFS(T_StockCount[Part Name],$A35,T_StockCount[WeekIndex],67)&gt;0,SUMIFS(T_StockCount[CountedQty],T_StockCount[Part Name],$A35,T_StockCount[WeekIndex],67),IF((('T_SelfStock'!BP39&lt;&gt;""))*(('T_TTAFStock'!BP39&lt;&gt;""))&gt;0,'T_SelfStock'!BP39+'T_TTAFStock'!BP39,BO35+'Grid_Incoming'!BP35-'Grid_Requirement'!BP35))</f>
        <v/>
      </c>
      <c r="BQ35">
        <f>IF(COUNTIFS(T_StockCount[Part Name],$A35,T_StockCount[WeekIndex],68)&gt;0,SUMIFS(T_StockCount[CountedQty],T_StockCount[Part Name],$A35,T_StockCount[WeekIndex],68),IF((('T_SelfStock'!BQ39&lt;&gt;""))*(('T_TTAFStock'!BQ39&lt;&gt;""))&gt;0,'T_SelfStock'!BQ39+'T_TTAFStock'!BQ39,BP35+'Grid_Incoming'!BQ35-'Grid_Requirement'!BQ35))</f>
        <v/>
      </c>
      <c r="BR35">
        <f>IF(COUNTIFS(T_StockCount[Part Name],$A35,T_StockCount[WeekIndex],69)&gt;0,SUMIFS(T_StockCount[CountedQty],T_StockCount[Part Name],$A35,T_StockCount[WeekIndex],69),IF((('T_SelfStock'!BR39&lt;&gt;""))*(('T_TTAFStock'!BR39&lt;&gt;""))&gt;0,'T_SelfStock'!BR39+'T_TTAFStock'!BR39,BQ35+'Grid_Incoming'!BR35-'Grid_Requirement'!BR35))</f>
        <v/>
      </c>
      <c r="BS35">
        <f>IF(COUNTIFS(T_StockCount[Part Name],$A35,T_StockCount[WeekIndex],70)&gt;0,SUMIFS(T_StockCount[CountedQty],T_StockCount[Part Name],$A35,T_StockCount[WeekIndex],70),IF((('T_SelfStock'!BS39&lt;&gt;""))*(('T_TTAFStock'!BS39&lt;&gt;""))&gt;0,'T_SelfStock'!BS39+'T_TTAFStock'!BS39,BR35+'Grid_Incoming'!BS35-'Grid_Requirement'!BS35))</f>
        <v/>
      </c>
      <c r="BT35">
        <f>IF(COUNTIFS(T_StockCount[Part Name],$A35,T_StockCount[WeekIndex],71)&gt;0,SUMIFS(T_StockCount[CountedQty],T_StockCount[Part Name],$A35,T_StockCount[WeekIndex],71),IF((('T_SelfStock'!BT39&lt;&gt;""))*(('T_TTAFStock'!BT39&lt;&gt;""))&gt;0,'T_SelfStock'!BT39+'T_TTAFStock'!BT39,BS35+'Grid_Incoming'!BT35-'Grid_Requirement'!BT35))</f>
        <v/>
      </c>
      <c r="BU35">
        <f>IF(COUNTIFS(T_StockCount[Part Name],$A35,T_StockCount[WeekIndex],72)&gt;0,SUMIFS(T_StockCount[CountedQty],T_StockCount[Part Name],$A35,T_StockCount[WeekIndex],72),IF((('T_SelfStock'!BU39&lt;&gt;""))*(('T_TTAFStock'!BU39&lt;&gt;""))&gt;0,'T_SelfStock'!BU39+'T_TTAFStock'!BU39,BT35+'Grid_Incoming'!BU35-'Grid_Requirement'!BU35))</f>
        <v/>
      </c>
      <c r="BV35">
        <f>IF(COUNTIFS(T_StockCount[Part Name],$A35,T_StockCount[WeekIndex],73)&gt;0,SUMIFS(T_StockCount[CountedQty],T_StockCount[Part Name],$A35,T_StockCount[WeekIndex],73),IF((('T_SelfStock'!BV39&lt;&gt;""))*(('T_TTAFStock'!BV39&lt;&gt;""))&gt;0,'T_SelfStock'!BV39+'T_TTAFStock'!BV39,BU35+'Grid_Incoming'!BV35-'Grid_Requirement'!BV35))</f>
        <v/>
      </c>
      <c r="BW35">
        <f>IF(COUNTIFS(T_StockCount[Part Name],$A35,T_StockCount[WeekIndex],74)&gt;0,SUMIFS(T_StockCount[CountedQty],T_StockCount[Part Name],$A35,T_StockCount[WeekIndex],74),IF((('T_SelfStock'!BW39&lt;&gt;""))*(('T_TTAFStock'!BW39&lt;&gt;""))&gt;0,'T_SelfStock'!BW39+'T_TTAFStock'!BW39,BV35+'Grid_Incoming'!BW35-'Grid_Requirement'!BW35))</f>
        <v/>
      </c>
      <c r="BX35">
        <f>IF(COUNTIFS(T_StockCount[Part Name],$A35,T_StockCount[WeekIndex],75)&gt;0,SUMIFS(T_StockCount[CountedQty],T_StockCount[Part Name],$A35,T_StockCount[WeekIndex],75),IF((('T_SelfStock'!BX39&lt;&gt;""))*(('T_TTAFStock'!BX39&lt;&gt;""))&gt;0,'T_SelfStock'!BX39+'T_TTAFStock'!BX39,BW35+'Grid_Incoming'!BX35-'Grid_Requirement'!BX35))</f>
        <v/>
      </c>
      <c r="BY35">
        <f>IF(COUNTIFS(T_StockCount[Part Name],$A35,T_StockCount[WeekIndex],76)&gt;0,SUMIFS(T_StockCount[CountedQty],T_StockCount[Part Name],$A35,T_StockCount[WeekIndex],76),IF((('T_SelfStock'!BY39&lt;&gt;""))*(('T_TTAFStock'!BY39&lt;&gt;""))&gt;0,'T_SelfStock'!BY39+'T_TTAFStock'!BY39,BX35+'Grid_Incoming'!BY35-'Grid_Requirement'!BY35))</f>
        <v/>
      </c>
      <c r="BZ35">
        <f>IF(COUNTIFS(T_StockCount[Part Name],$A35,T_StockCount[WeekIndex],77)&gt;0,SUMIFS(T_StockCount[CountedQty],T_StockCount[Part Name],$A35,T_StockCount[WeekIndex],77),IF((('T_SelfStock'!BZ39&lt;&gt;""))*(('T_TTAFStock'!BZ39&lt;&gt;""))&gt;0,'T_SelfStock'!BZ39+'T_TTAFStock'!BZ39,BY35+'Grid_Incoming'!BZ35-'Grid_Requirement'!BZ35))</f>
        <v/>
      </c>
      <c r="CA35">
        <f>IF(COUNTIFS(T_StockCount[Part Name],$A35,T_StockCount[WeekIndex],78)&gt;0,SUMIFS(T_StockCount[CountedQty],T_StockCount[Part Name],$A35,T_StockCount[WeekIndex],78),IF((('T_SelfStock'!CA39&lt;&gt;""))*(('T_TTAFStock'!CA39&lt;&gt;""))&gt;0,'T_SelfStock'!CA39+'T_TTAFStock'!CA39,BZ35+'Grid_Incoming'!CA35-'Grid_Requirement'!CA35))</f>
        <v/>
      </c>
      <c r="CB35">
        <f>IF(COUNTIFS(T_StockCount[Part Name],$A35,T_StockCount[WeekIndex],79)&gt;0,SUMIFS(T_StockCount[CountedQty],T_StockCount[Part Name],$A35,T_StockCount[WeekIndex],79),IF((('T_SelfStock'!CB39&lt;&gt;""))*(('T_TTAFStock'!CB39&lt;&gt;""))&gt;0,'T_SelfStock'!CB39+'T_TTAFStock'!CB39,CA35+'Grid_Incoming'!CB35-'Grid_Requirement'!CB35))</f>
        <v/>
      </c>
      <c r="CC35">
        <f>IF(COUNTIFS(T_StockCount[Part Name],$A35,T_StockCount[WeekIndex],80)&gt;0,SUMIFS(T_StockCount[CountedQty],T_StockCount[Part Name],$A35,T_StockCount[WeekIndex],80),IF((('T_SelfStock'!CC39&lt;&gt;""))*(('T_TTAFStock'!CC39&lt;&gt;""))&gt;0,'T_SelfStock'!CC39+'T_TTAFStock'!CC39,CB35+'Grid_Incoming'!CC35-'Grid_Requirement'!CC35))</f>
        <v/>
      </c>
      <c r="CD35">
        <f>IF(COUNTIFS(T_StockCount[Part Name],$A35,T_StockCount[WeekIndex],81)&gt;0,SUMIFS(T_StockCount[CountedQty],T_StockCount[Part Name],$A35,T_StockCount[WeekIndex],81),IF((('T_SelfStock'!CD39&lt;&gt;""))*(('T_TTAFStock'!CD39&lt;&gt;""))&gt;0,'T_SelfStock'!CD39+'T_TTAFStock'!CD39,CC35+'Grid_Incoming'!CD35-'Grid_Requirement'!CD35))</f>
        <v/>
      </c>
      <c r="CE35">
        <f>IF(COUNTIFS(T_StockCount[Part Name],$A35,T_StockCount[WeekIndex],82)&gt;0,SUMIFS(T_StockCount[CountedQty],T_StockCount[Part Name],$A35,T_StockCount[WeekIndex],82),IF((('T_SelfStock'!CE39&lt;&gt;""))*(('T_TTAFStock'!CE39&lt;&gt;""))&gt;0,'T_SelfStock'!CE39+'T_TTAFStock'!CE39,CD35+'Grid_Incoming'!CE35-'Grid_Requirement'!CE35))</f>
        <v/>
      </c>
      <c r="CF35">
        <f>IF(COUNTIFS(T_StockCount[Part Name],$A35,T_StockCount[WeekIndex],83)&gt;0,SUMIFS(T_StockCount[CountedQty],T_StockCount[Part Name],$A35,T_StockCount[WeekIndex],83),IF((('T_SelfStock'!CF39&lt;&gt;""))*(('T_TTAFStock'!CF39&lt;&gt;""))&gt;0,'T_SelfStock'!CF39+'T_TTAFStock'!CF39,CE35+'Grid_Incoming'!CF35-'Grid_Requirement'!CF35))</f>
        <v/>
      </c>
      <c r="CG35">
        <f>IF(COUNTIFS(T_StockCount[Part Name],$A35,T_StockCount[WeekIndex],84)&gt;0,SUMIFS(T_StockCount[CountedQty],T_StockCount[Part Name],$A35,T_StockCount[WeekIndex],84),IF((('T_SelfStock'!CG39&lt;&gt;""))*(('T_TTAFStock'!CG39&lt;&gt;""))&gt;0,'T_SelfStock'!CG39+'T_TTAFStock'!CG39,CF35+'Grid_Incoming'!CG35-'Grid_Requirement'!CG35))</f>
        <v/>
      </c>
      <c r="CH35">
        <f>IF(COUNTIFS(T_StockCount[Part Name],$A35,T_StockCount[WeekIndex],85)&gt;0,SUMIFS(T_StockCount[CountedQty],T_StockCount[Part Name],$A35,T_StockCount[WeekIndex],85),IF((('T_SelfStock'!CH39&lt;&gt;""))*(('T_TTAFStock'!CH39&lt;&gt;""))&gt;0,'T_SelfStock'!CH39+'T_TTAFStock'!CH39,CG35+'Grid_Incoming'!CH35-'Grid_Requirement'!CH35))</f>
        <v/>
      </c>
      <c r="CI35">
        <f>IF(COUNTIFS(T_StockCount[Part Name],$A35,T_StockCount[WeekIndex],86)&gt;0,SUMIFS(T_StockCount[CountedQty],T_StockCount[Part Name],$A35,T_StockCount[WeekIndex],86),IF((('T_SelfStock'!CI39&lt;&gt;""))*(('T_TTAFStock'!CI39&lt;&gt;""))&gt;0,'T_SelfStock'!CI39+'T_TTAFStock'!CI39,CH35+'Grid_Incoming'!CI35-'Grid_Requirement'!CI35))</f>
        <v/>
      </c>
      <c r="CJ35">
        <f>IF(COUNTIFS(T_StockCount[Part Name],$A35,T_StockCount[WeekIndex],87)&gt;0,SUMIFS(T_StockCount[CountedQty],T_StockCount[Part Name],$A35,T_StockCount[WeekIndex],87),IF((('T_SelfStock'!CJ39&lt;&gt;""))*(('T_TTAFStock'!CJ39&lt;&gt;""))&gt;0,'T_SelfStock'!CJ39+'T_TTAFStock'!CJ39,CI35+'Grid_Incoming'!CJ35-'Grid_Requirement'!CJ35))</f>
        <v/>
      </c>
      <c r="CK35">
        <f>IF(COUNTIFS(T_StockCount[Part Name],$A35,T_StockCount[WeekIndex],88)&gt;0,SUMIFS(T_StockCount[CountedQty],T_StockCount[Part Name],$A35,T_StockCount[WeekIndex],88),IF((('T_SelfStock'!CK39&lt;&gt;""))*(('T_TTAFStock'!CK39&lt;&gt;""))&gt;0,'T_SelfStock'!CK39+'T_TTAFStock'!CK39,CJ35+'Grid_Incoming'!CK35-'Grid_Requirement'!CK35))</f>
        <v/>
      </c>
      <c r="CL35">
        <f>IF(COUNTIFS(T_StockCount[Part Name],$A35,T_StockCount[WeekIndex],89)&gt;0,SUMIFS(T_StockCount[CountedQty],T_StockCount[Part Name],$A35,T_StockCount[WeekIndex],89),IF((('T_SelfStock'!CL39&lt;&gt;""))*(('T_TTAFStock'!CL39&lt;&gt;""))&gt;0,'T_SelfStock'!CL39+'T_TTAFStock'!CL39,CK35+'Grid_Incoming'!CL35-'Grid_Requirement'!CL35))</f>
        <v/>
      </c>
      <c r="CM35">
        <f>IF(COUNTIFS(T_StockCount[Part Name],$A35,T_StockCount[WeekIndex],90)&gt;0,SUMIFS(T_StockCount[CountedQty],T_StockCount[Part Name],$A35,T_StockCount[WeekIndex],90),IF((('T_SelfStock'!CM39&lt;&gt;""))*(('T_TTAFStock'!CM39&lt;&gt;""))&gt;0,'T_SelfStock'!CM39+'T_TTAFStock'!CM39,CL35+'Grid_Incoming'!CM35-'Grid_Requirement'!CM35))</f>
        <v/>
      </c>
      <c r="CN35">
        <f>IF(COUNTIFS(T_StockCount[Part Name],$A35,T_StockCount[WeekIndex],91)&gt;0,SUMIFS(T_StockCount[CountedQty],T_StockCount[Part Name],$A35,T_StockCount[WeekIndex],91),IF((('T_SelfStock'!CN39&lt;&gt;""))*(('T_TTAFStock'!CN39&lt;&gt;""))&gt;0,'T_SelfStock'!CN39+'T_TTAFStock'!CN39,CM35+'Grid_Incoming'!CN35-'Grid_Requirement'!CN35))</f>
        <v/>
      </c>
      <c r="CO35">
        <f>IF(COUNTIFS(T_StockCount[Part Name],$A35,T_StockCount[WeekIndex],92)&gt;0,SUMIFS(T_StockCount[CountedQty],T_StockCount[Part Name],$A35,T_StockCount[WeekIndex],92),IF((('T_SelfStock'!CO39&lt;&gt;""))*(('T_TTAFStock'!CO39&lt;&gt;""))&gt;0,'T_SelfStock'!CO39+'T_TTAFStock'!CO39,CN35+'Grid_Incoming'!CO35-'Grid_Requirement'!CO35))</f>
        <v/>
      </c>
      <c r="CP35">
        <f>IF(COUNTIFS(T_StockCount[Part Name],$A35,T_StockCount[WeekIndex],93)&gt;0,SUMIFS(T_StockCount[CountedQty],T_StockCount[Part Name],$A35,T_StockCount[WeekIndex],93),IF((('T_SelfStock'!CP39&lt;&gt;""))*(('T_TTAFStock'!CP39&lt;&gt;""))&gt;0,'T_SelfStock'!CP39+'T_TTAFStock'!CP39,CO35+'Grid_Incoming'!CP35-'Grid_Requirement'!CP35))</f>
        <v/>
      </c>
      <c r="CQ35">
        <f>IF(COUNTIFS(T_StockCount[Part Name],$A35,T_StockCount[WeekIndex],94)&gt;0,SUMIFS(T_StockCount[CountedQty],T_StockCount[Part Name],$A35,T_StockCount[WeekIndex],94),IF((('T_SelfStock'!CQ39&lt;&gt;""))*(('T_TTAFStock'!CQ39&lt;&gt;""))&gt;0,'T_SelfStock'!CQ39+'T_TTAFStock'!CQ39,CP35+'Grid_Incoming'!CQ35-'Grid_Requirement'!CQ35))</f>
        <v/>
      </c>
      <c r="CR35">
        <f>IF(COUNTIFS(T_StockCount[Part Name],$A35,T_StockCount[WeekIndex],95)&gt;0,SUMIFS(T_StockCount[CountedQty],T_StockCount[Part Name],$A35,T_StockCount[WeekIndex],95),IF((('T_SelfStock'!CR39&lt;&gt;""))*(('T_TTAFStock'!CR39&lt;&gt;""))&gt;0,'T_SelfStock'!CR39+'T_TTAFStock'!CR39,CQ35+'Grid_Incoming'!CR35-'Grid_Requirement'!CR35))</f>
        <v/>
      </c>
      <c r="CS35">
        <f>IF(COUNTIFS(T_StockCount[Part Name],$A35,T_StockCount[WeekIndex],96)&gt;0,SUMIFS(T_StockCount[CountedQty],T_StockCount[Part Name],$A35,T_StockCount[WeekIndex],96),IF((('T_SelfStock'!CS39&lt;&gt;""))*(('T_TTAFStock'!CS39&lt;&gt;""))&gt;0,'T_SelfStock'!CS39+'T_TTAFStock'!CS39,CR35+'Grid_Incoming'!CS35-'Grid_Requirement'!CS35))</f>
        <v/>
      </c>
      <c r="CT35">
        <f>IF(COUNTIFS(T_StockCount[Part Name],$A35,T_StockCount[WeekIndex],97)&gt;0,SUMIFS(T_StockCount[CountedQty],T_StockCount[Part Name],$A35,T_StockCount[WeekIndex],97),IF((('T_SelfStock'!CT39&lt;&gt;""))*(('T_TTAFStock'!CT39&lt;&gt;""))&gt;0,'T_SelfStock'!CT39+'T_TTAFStock'!CT39,CS35+'Grid_Incoming'!CT35-'Grid_Requirement'!CT35))</f>
        <v/>
      </c>
      <c r="CU35">
        <f>IF(COUNTIFS(T_StockCount[Part Name],$A35,T_StockCount[WeekIndex],98)&gt;0,SUMIFS(T_StockCount[CountedQty],T_StockCount[Part Name],$A35,T_StockCount[WeekIndex],98),IF((('T_SelfStock'!CU39&lt;&gt;""))*(('T_TTAFStock'!CU39&lt;&gt;""))&gt;0,'T_SelfStock'!CU39+'T_TTAFStock'!CU39,CT35+'Grid_Incoming'!CU35-'Grid_Requirement'!CU35))</f>
        <v/>
      </c>
      <c r="CV35">
        <f>IF(COUNTIFS(T_StockCount[Part Name],$A35,T_StockCount[WeekIndex],99)&gt;0,SUMIFS(T_StockCount[CountedQty],T_StockCount[Part Name],$A35,T_StockCount[WeekIndex],99),IF((('T_SelfStock'!CV39&lt;&gt;""))*(('T_TTAFStock'!CV39&lt;&gt;""))&gt;0,'T_SelfStock'!CV39+'T_TTAFStock'!CV39,CU35+'Grid_Incoming'!CV35-'Grid_Requirement'!CV35))</f>
        <v/>
      </c>
      <c r="CW35">
        <f>IF(COUNTIFS(T_StockCount[Part Name],$A35,T_StockCount[WeekIndex],100)&gt;0,SUMIFS(T_StockCount[CountedQty],T_StockCount[Part Name],$A35,T_StockCount[WeekIndex],100),IF((('T_SelfStock'!CW39&lt;&gt;""))*(('T_TTAFStock'!CW39&lt;&gt;""))&gt;0,'T_SelfStock'!CW39+'T_TTAFStock'!CW39,CV35+'Grid_Incoming'!CW35-'Grid_Requirement'!CW35))</f>
        <v/>
      </c>
      <c r="CX35">
        <f>IF(COUNTIFS(T_StockCount[Part Name],$A35,T_StockCount[WeekIndex],101)&gt;0,SUMIFS(T_StockCount[CountedQty],T_StockCount[Part Name],$A35,T_StockCount[WeekIndex],101),IF((('T_SelfStock'!CX39&lt;&gt;""))*(('T_TTAFStock'!CX39&lt;&gt;""))&gt;0,'T_SelfStock'!CX39+'T_TTAFStock'!CX39,CW35+'Grid_Incoming'!CX35-'Grid_Requirement'!CX35))</f>
        <v/>
      </c>
      <c r="CY35">
        <f>IF(COUNTIFS(T_StockCount[Part Name],$A35,T_StockCount[WeekIndex],102)&gt;0,SUMIFS(T_StockCount[CountedQty],T_StockCount[Part Name],$A35,T_StockCount[WeekIndex],102),IF((('T_SelfStock'!CY39&lt;&gt;""))*(('T_TTAFStock'!CY39&lt;&gt;""))&gt;0,'T_SelfStock'!CY39+'T_TTAFStock'!CY39,CX35+'Grid_Incoming'!CY35-'Grid_Requirement'!CY35))</f>
        <v/>
      </c>
      <c r="CZ35">
        <f>IF(COUNTIFS(T_StockCount[Part Name],$A35,T_StockCount[WeekIndex],103)&gt;0,SUMIFS(T_StockCount[CountedQty],T_StockCount[Part Name],$A35,T_StockCount[WeekIndex],103),IF((('T_SelfStock'!CZ39&lt;&gt;""))*(('T_TTAFStock'!CZ39&lt;&gt;""))&gt;0,'T_SelfStock'!CZ39+'T_TTAFStock'!CZ39,CY35+'Grid_Incoming'!CZ35-'Grid_Requirement'!CZ35))</f>
        <v/>
      </c>
      <c r="DA35">
        <f>IF(COUNTIFS(T_StockCount[Part Name],$A35,T_StockCount[WeekIndex],104)&gt;0,SUMIFS(T_StockCount[CountedQty],T_StockCount[Part Name],$A35,T_StockCount[WeekIndex],104),IF((('T_SelfStock'!DA39&lt;&gt;""))*(('T_TTAFStock'!DA39&lt;&gt;""))&gt;0,'T_SelfStock'!DA39+'T_TTAFStock'!DA39,CZ35+'Grid_Incoming'!DA35-'Grid_Requirement'!DA35))</f>
        <v/>
      </c>
    </row>
    <row r="36">
      <c r="A36" t="inlineStr">
        <is>
          <t>CHEM-1420</t>
        </is>
      </c>
      <c r="B36">
        <f>IF(COUNTIFS(T_StockCount[Part Name],$A36,T_StockCount[WeekIndex],1)&gt;0,SUMIFS(T_StockCount[CountedQty],T_StockCount[Part Name],$A36,T_StockCount[WeekIndex],1),IF((('T_SelfStock'!B40&lt;&gt;""))*(('T_TTAFStock'!B40&lt;&gt;""))&gt;0,'T_SelfStock'!B40+'T_TTAFStock'!B40,IFERROR(INDEX(T_OpeningStock[Opening_Qty_要入力],MATCH($A36,T_OpeningStock[Part Name],0)),0)+'Grid_Incoming'!B36-'Grid_Requirement'!B36))</f>
        <v/>
      </c>
      <c r="C36">
        <f>IF(COUNTIFS(T_StockCount[Part Name],$A36,T_StockCount[WeekIndex],2)&gt;0,SUMIFS(T_StockCount[CountedQty],T_StockCount[Part Name],$A36,T_StockCount[WeekIndex],2),IF((('T_SelfStock'!C40&lt;&gt;""))*(('T_TTAFStock'!C40&lt;&gt;""))&gt;0,'T_SelfStock'!C40+'T_TTAFStock'!C40,B36+'Grid_Incoming'!C36-'Grid_Requirement'!C36))</f>
        <v/>
      </c>
      <c r="D36">
        <f>IF(COUNTIFS(T_StockCount[Part Name],$A36,T_StockCount[WeekIndex],3)&gt;0,SUMIFS(T_StockCount[CountedQty],T_StockCount[Part Name],$A36,T_StockCount[WeekIndex],3),IF((('T_SelfStock'!D40&lt;&gt;""))*(('T_TTAFStock'!D40&lt;&gt;""))&gt;0,'T_SelfStock'!D40+'T_TTAFStock'!D40,C36+'Grid_Incoming'!D36-'Grid_Requirement'!D36))</f>
        <v/>
      </c>
      <c r="E36">
        <f>IF(COUNTIFS(T_StockCount[Part Name],$A36,T_StockCount[WeekIndex],4)&gt;0,SUMIFS(T_StockCount[CountedQty],T_StockCount[Part Name],$A36,T_StockCount[WeekIndex],4),IF((('T_SelfStock'!E40&lt;&gt;""))*(('T_TTAFStock'!E40&lt;&gt;""))&gt;0,'T_SelfStock'!E40+'T_TTAFStock'!E40,D36+'Grid_Incoming'!E36-'Grid_Requirement'!E36))</f>
        <v/>
      </c>
      <c r="F36">
        <f>IF(COUNTIFS(T_StockCount[Part Name],$A36,T_StockCount[WeekIndex],5)&gt;0,SUMIFS(T_StockCount[CountedQty],T_StockCount[Part Name],$A36,T_StockCount[WeekIndex],5),IF((('T_SelfStock'!F40&lt;&gt;""))*(('T_TTAFStock'!F40&lt;&gt;""))&gt;0,'T_SelfStock'!F40+'T_TTAFStock'!F40,E36+'Grid_Incoming'!F36-'Grid_Requirement'!F36))</f>
        <v/>
      </c>
      <c r="G36">
        <f>IF(COUNTIFS(T_StockCount[Part Name],$A36,T_StockCount[WeekIndex],6)&gt;0,SUMIFS(T_StockCount[CountedQty],T_StockCount[Part Name],$A36,T_StockCount[WeekIndex],6),IF((('T_SelfStock'!G40&lt;&gt;""))*(('T_TTAFStock'!G40&lt;&gt;""))&gt;0,'T_SelfStock'!G40+'T_TTAFStock'!G40,F36+'Grid_Incoming'!G36-'Grid_Requirement'!G36))</f>
        <v/>
      </c>
      <c r="H36">
        <f>IF(COUNTIFS(T_StockCount[Part Name],$A36,T_StockCount[WeekIndex],7)&gt;0,SUMIFS(T_StockCount[CountedQty],T_StockCount[Part Name],$A36,T_StockCount[WeekIndex],7),IF((('T_SelfStock'!H40&lt;&gt;""))*(('T_TTAFStock'!H40&lt;&gt;""))&gt;0,'T_SelfStock'!H40+'T_TTAFStock'!H40,G36+'Grid_Incoming'!H36-'Grid_Requirement'!H36))</f>
        <v/>
      </c>
      <c r="I36">
        <f>IF(COUNTIFS(T_StockCount[Part Name],$A36,T_StockCount[WeekIndex],8)&gt;0,SUMIFS(T_StockCount[CountedQty],T_StockCount[Part Name],$A36,T_StockCount[WeekIndex],8),IF((('T_SelfStock'!I40&lt;&gt;""))*(('T_TTAFStock'!I40&lt;&gt;""))&gt;0,'T_SelfStock'!I40+'T_TTAFStock'!I40,H36+'Grid_Incoming'!I36-'Grid_Requirement'!I36))</f>
        <v/>
      </c>
      <c r="J36">
        <f>IF(COUNTIFS(T_StockCount[Part Name],$A36,T_StockCount[WeekIndex],9)&gt;0,SUMIFS(T_StockCount[CountedQty],T_StockCount[Part Name],$A36,T_StockCount[WeekIndex],9),IF((('T_SelfStock'!J40&lt;&gt;""))*(('T_TTAFStock'!J40&lt;&gt;""))&gt;0,'T_SelfStock'!J40+'T_TTAFStock'!J40,I36+'Grid_Incoming'!J36-'Grid_Requirement'!J36))</f>
        <v/>
      </c>
      <c r="K36">
        <f>IF(COUNTIFS(T_StockCount[Part Name],$A36,T_StockCount[WeekIndex],10)&gt;0,SUMIFS(T_StockCount[CountedQty],T_StockCount[Part Name],$A36,T_StockCount[WeekIndex],10),IF((('T_SelfStock'!K40&lt;&gt;""))*(('T_TTAFStock'!K40&lt;&gt;""))&gt;0,'T_SelfStock'!K40+'T_TTAFStock'!K40,J36+'Grid_Incoming'!K36-'Grid_Requirement'!K36))</f>
        <v/>
      </c>
      <c r="L36">
        <f>IF(COUNTIFS(T_StockCount[Part Name],$A36,T_StockCount[WeekIndex],11)&gt;0,SUMIFS(T_StockCount[CountedQty],T_StockCount[Part Name],$A36,T_StockCount[WeekIndex],11),IF((('T_SelfStock'!L40&lt;&gt;""))*(('T_TTAFStock'!L40&lt;&gt;""))&gt;0,'T_SelfStock'!L40+'T_TTAFStock'!L40,K36+'Grid_Incoming'!L36-'Grid_Requirement'!L36))</f>
        <v/>
      </c>
      <c r="M36">
        <f>IF(COUNTIFS(T_StockCount[Part Name],$A36,T_StockCount[WeekIndex],12)&gt;0,SUMIFS(T_StockCount[CountedQty],T_StockCount[Part Name],$A36,T_StockCount[WeekIndex],12),IF((('T_SelfStock'!M40&lt;&gt;""))*(('T_TTAFStock'!M40&lt;&gt;""))&gt;0,'T_SelfStock'!M40+'T_TTAFStock'!M40,L36+'Grid_Incoming'!M36-'Grid_Requirement'!M36))</f>
        <v/>
      </c>
      <c r="N36">
        <f>IF(COUNTIFS(T_StockCount[Part Name],$A36,T_StockCount[WeekIndex],13)&gt;0,SUMIFS(T_StockCount[CountedQty],T_StockCount[Part Name],$A36,T_StockCount[WeekIndex],13),IF((('T_SelfStock'!N40&lt;&gt;""))*(('T_TTAFStock'!N40&lt;&gt;""))&gt;0,'T_SelfStock'!N40+'T_TTAFStock'!N40,M36+'Grid_Incoming'!N36-'Grid_Requirement'!N36))</f>
        <v/>
      </c>
      <c r="O36">
        <f>IF(COUNTIFS(T_StockCount[Part Name],$A36,T_StockCount[WeekIndex],14)&gt;0,SUMIFS(T_StockCount[CountedQty],T_StockCount[Part Name],$A36,T_StockCount[WeekIndex],14),IF((('T_SelfStock'!O40&lt;&gt;""))*(('T_TTAFStock'!O40&lt;&gt;""))&gt;0,'T_SelfStock'!O40+'T_TTAFStock'!O40,N36+'Grid_Incoming'!O36-'Grid_Requirement'!O36))</f>
        <v/>
      </c>
      <c r="P36">
        <f>IF(COUNTIFS(T_StockCount[Part Name],$A36,T_StockCount[WeekIndex],15)&gt;0,SUMIFS(T_StockCount[CountedQty],T_StockCount[Part Name],$A36,T_StockCount[WeekIndex],15),IF((('T_SelfStock'!P40&lt;&gt;""))*(('T_TTAFStock'!P40&lt;&gt;""))&gt;0,'T_SelfStock'!P40+'T_TTAFStock'!P40,O36+'Grid_Incoming'!P36-'Grid_Requirement'!P36))</f>
        <v/>
      </c>
      <c r="Q36">
        <f>IF(COUNTIFS(T_StockCount[Part Name],$A36,T_StockCount[WeekIndex],16)&gt;0,SUMIFS(T_StockCount[CountedQty],T_StockCount[Part Name],$A36,T_StockCount[WeekIndex],16),IF((('T_SelfStock'!Q40&lt;&gt;""))*(('T_TTAFStock'!Q40&lt;&gt;""))&gt;0,'T_SelfStock'!Q40+'T_TTAFStock'!Q40,P36+'Grid_Incoming'!Q36-'Grid_Requirement'!Q36))</f>
        <v/>
      </c>
      <c r="R36">
        <f>IF(COUNTIFS(T_StockCount[Part Name],$A36,T_StockCount[WeekIndex],17)&gt;0,SUMIFS(T_StockCount[CountedQty],T_StockCount[Part Name],$A36,T_StockCount[WeekIndex],17),IF((('T_SelfStock'!R40&lt;&gt;""))*(('T_TTAFStock'!R40&lt;&gt;""))&gt;0,'T_SelfStock'!R40+'T_TTAFStock'!R40,Q36+'Grid_Incoming'!R36-'Grid_Requirement'!R36))</f>
        <v/>
      </c>
      <c r="S36">
        <f>IF(COUNTIFS(T_StockCount[Part Name],$A36,T_StockCount[WeekIndex],18)&gt;0,SUMIFS(T_StockCount[CountedQty],T_StockCount[Part Name],$A36,T_StockCount[WeekIndex],18),IF((('T_SelfStock'!S40&lt;&gt;""))*(('T_TTAFStock'!S40&lt;&gt;""))&gt;0,'T_SelfStock'!S40+'T_TTAFStock'!S40,R36+'Grid_Incoming'!S36-'Grid_Requirement'!S36))</f>
        <v/>
      </c>
      <c r="T36">
        <f>IF(COUNTIFS(T_StockCount[Part Name],$A36,T_StockCount[WeekIndex],19)&gt;0,SUMIFS(T_StockCount[CountedQty],T_StockCount[Part Name],$A36,T_StockCount[WeekIndex],19),IF((('T_SelfStock'!T40&lt;&gt;""))*(('T_TTAFStock'!T40&lt;&gt;""))&gt;0,'T_SelfStock'!T40+'T_TTAFStock'!T40,S36+'Grid_Incoming'!T36-'Grid_Requirement'!T36))</f>
        <v/>
      </c>
      <c r="U36">
        <f>IF(COUNTIFS(T_StockCount[Part Name],$A36,T_StockCount[WeekIndex],20)&gt;0,SUMIFS(T_StockCount[CountedQty],T_StockCount[Part Name],$A36,T_StockCount[WeekIndex],20),IF((('T_SelfStock'!U40&lt;&gt;""))*(('T_TTAFStock'!U40&lt;&gt;""))&gt;0,'T_SelfStock'!U40+'T_TTAFStock'!U40,T36+'Grid_Incoming'!U36-'Grid_Requirement'!U36))</f>
        <v/>
      </c>
      <c r="V36">
        <f>IF(COUNTIFS(T_StockCount[Part Name],$A36,T_StockCount[WeekIndex],21)&gt;0,SUMIFS(T_StockCount[CountedQty],T_StockCount[Part Name],$A36,T_StockCount[WeekIndex],21),IF((('T_SelfStock'!V40&lt;&gt;""))*(('T_TTAFStock'!V40&lt;&gt;""))&gt;0,'T_SelfStock'!V40+'T_TTAFStock'!V40,U36+'Grid_Incoming'!V36-'Grid_Requirement'!V36))</f>
        <v/>
      </c>
      <c r="W36">
        <f>IF(COUNTIFS(T_StockCount[Part Name],$A36,T_StockCount[WeekIndex],22)&gt;0,SUMIFS(T_StockCount[CountedQty],T_StockCount[Part Name],$A36,T_StockCount[WeekIndex],22),IF((('T_SelfStock'!W40&lt;&gt;""))*(('T_TTAFStock'!W40&lt;&gt;""))&gt;0,'T_SelfStock'!W40+'T_TTAFStock'!W40,V36+'Grid_Incoming'!W36-'Grid_Requirement'!W36))</f>
        <v/>
      </c>
      <c r="X36">
        <f>IF(COUNTIFS(T_StockCount[Part Name],$A36,T_StockCount[WeekIndex],23)&gt;0,SUMIFS(T_StockCount[CountedQty],T_StockCount[Part Name],$A36,T_StockCount[WeekIndex],23),IF((('T_SelfStock'!X40&lt;&gt;""))*(('T_TTAFStock'!X40&lt;&gt;""))&gt;0,'T_SelfStock'!X40+'T_TTAFStock'!X40,W36+'Grid_Incoming'!X36-'Grid_Requirement'!X36))</f>
        <v/>
      </c>
      <c r="Y36">
        <f>IF(COUNTIFS(T_StockCount[Part Name],$A36,T_StockCount[WeekIndex],24)&gt;0,SUMIFS(T_StockCount[CountedQty],T_StockCount[Part Name],$A36,T_StockCount[WeekIndex],24),IF((('T_SelfStock'!Y40&lt;&gt;""))*(('T_TTAFStock'!Y40&lt;&gt;""))&gt;0,'T_SelfStock'!Y40+'T_TTAFStock'!Y40,X36+'Grid_Incoming'!Y36-'Grid_Requirement'!Y36))</f>
        <v/>
      </c>
      <c r="Z36">
        <f>IF(COUNTIFS(T_StockCount[Part Name],$A36,T_StockCount[WeekIndex],25)&gt;0,SUMIFS(T_StockCount[CountedQty],T_StockCount[Part Name],$A36,T_StockCount[WeekIndex],25),IF((('T_SelfStock'!Z40&lt;&gt;""))*(('T_TTAFStock'!Z40&lt;&gt;""))&gt;0,'T_SelfStock'!Z40+'T_TTAFStock'!Z40,Y36+'Grid_Incoming'!Z36-'Grid_Requirement'!Z36))</f>
        <v/>
      </c>
      <c r="AA36">
        <f>IF(COUNTIFS(T_StockCount[Part Name],$A36,T_StockCount[WeekIndex],26)&gt;0,SUMIFS(T_StockCount[CountedQty],T_StockCount[Part Name],$A36,T_StockCount[WeekIndex],26),IF((('T_SelfStock'!AA40&lt;&gt;""))*(('T_TTAFStock'!AA40&lt;&gt;""))&gt;0,'T_SelfStock'!AA40+'T_TTAFStock'!AA40,Z36+'Grid_Incoming'!AA36-'Grid_Requirement'!AA36))</f>
        <v/>
      </c>
      <c r="AB36">
        <f>IF(COUNTIFS(T_StockCount[Part Name],$A36,T_StockCount[WeekIndex],27)&gt;0,SUMIFS(T_StockCount[CountedQty],T_StockCount[Part Name],$A36,T_StockCount[WeekIndex],27),IF((('T_SelfStock'!AB40&lt;&gt;""))*(('T_TTAFStock'!AB40&lt;&gt;""))&gt;0,'T_SelfStock'!AB40+'T_TTAFStock'!AB40,AA36+'Grid_Incoming'!AB36-'Grid_Requirement'!AB36))</f>
        <v/>
      </c>
      <c r="AC36">
        <f>IF(COUNTIFS(T_StockCount[Part Name],$A36,T_StockCount[WeekIndex],28)&gt;0,SUMIFS(T_StockCount[CountedQty],T_StockCount[Part Name],$A36,T_StockCount[WeekIndex],28),IF((('T_SelfStock'!AC40&lt;&gt;""))*(('T_TTAFStock'!AC40&lt;&gt;""))&gt;0,'T_SelfStock'!AC40+'T_TTAFStock'!AC40,AB36+'Grid_Incoming'!AC36-'Grid_Requirement'!AC36))</f>
        <v/>
      </c>
      <c r="AD36">
        <f>IF(COUNTIFS(T_StockCount[Part Name],$A36,T_StockCount[WeekIndex],29)&gt;0,SUMIFS(T_StockCount[CountedQty],T_StockCount[Part Name],$A36,T_StockCount[WeekIndex],29),IF((('T_SelfStock'!AD40&lt;&gt;""))*(('T_TTAFStock'!AD40&lt;&gt;""))&gt;0,'T_SelfStock'!AD40+'T_TTAFStock'!AD40,AC36+'Grid_Incoming'!AD36-'Grid_Requirement'!AD36))</f>
        <v/>
      </c>
      <c r="AE36">
        <f>IF(COUNTIFS(T_StockCount[Part Name],$A36,T_StockCount[WeekIndex],30)&gt;0,SUMIFS(T_StockCount[CountedQty],T_StockCount[Part Name],$A36,T_StockCount[WeekIndex],30),IF((('T_SelfStock'!AE40&lt;&gt;""))*(('T_TTAFStock'!AE40&lt;&gt;""))&gt;0,'T_SelfStock'!AE40+'T_TTAFStock'!AE40,AD36+'Grid_Incoming'!AE36-'Grid_Requirement'!AE36))</f>
        <v/>
      </c>
      <c r="AF36">
        <f>IF(COUNTIFS(T_StockCount[Part Name],$A36,T_StockCount[WeekIndex],31)&gt;0,SUMIFS(T_StockCount[CountedQty],T_StockCount[Part Name],$A36,T_StockCount[WeekIndex],31),IF((('T_SelfStock'!AF40&lt;&gt;""))*(('T_TTAFStock'!AF40&lt;&gt;""))&gt;0,'T_SelfStock'!AF40+'T_TTAFStock'!AF40,AE36+'Grid_Incoming'!AF36-'Grid_Requirement'!AF36))</f>
        <v/>
      </c>
      <c r="AG36">
        <f>IF(COUNTIFS(T_StockCount[Part Name],$A36,T_StockCount[WeekIndex],32)&gt;0,SUMIFS(T_StockCount[CountedQty],T_StockCount[Part Name],$A36,T_StockCount[WeekIndex],32),IF((('T_SelfStock'!AG40&lt;&gt;""))*(('T_TTAFStock'!AG40&lt;&gt;""))&gt;0,'T_SelfStock'!AG40+'T_TTAFStock'!AG40,AF36+'Grid_Incoming'!AG36-'Grid_Requirement'!AG36))</f>
        <v/>
      </c>
      <c r="AH36">
        <f>IF(COUNTIFS(T_StockCount[Part Name],$A36,T_StockCount[WeekIndex],33)&gt;0,SUMIFS(T_StockCount[CountedQty],T_StockCount[Part Name],$A36,T_StockCount[WeekIndex],33),IF((('T_SelfStock'!AH40&lt;&gt;""))*(('T_TTAFStock'!AH40&lt;&gt;""))&gt;0,'T_SelfStock'!AH40+'T_TTAFStock'!AH40,AG36+'Grid_Incoming'!AH36-'Grid_Requirement'!AH36))</f>
        <v/>
      </c>
      <c r="AI36">
        <f>IF(COUNTIFS(T_StockCount[Part Name],$A36,T_StockCount[WeekIndex],34)&gt;0,SUMIFS(T_StockCount[CountedQty],T_StockCount[Part Name],$A36,T_StockCount[WeekIndex],34),IF((('T_SelfStock'!AI40&lt;&gt;""))*(('T_TTAFStock'!AI40&lt;&gt;""))&gt;0,'T_SelfStock'!AI40+'T_TTAFStock'!AI40,AH36+'Grid_Incoming'!AI36-'Grid_Requirement'!AI36))</f>
        <v/>
      </c>
      <c r="AJ36">
        <f>IF(COUNTIFS(T_StockCount[Part Name],$A36,T_StockCount[WeekIndex],35)&gt;0,SUMIFS(T_StockCount[CountedQty],T_StockCount[Part Name],$A36,T_StockCount[WeekIndex],35),IF((('T_SelfStock'!AJ40&lt;&gt;""))*(('T_TTAFStock'!AJ40&lt;&gt;""))&gt;0,'T_SelfStock'!AJ40+'T_TTAFStock'!AJ40,AI36+'Grid_Incoming'!AJ36-'Grid_Requirement'!AJ36))</f>
        <v/>
      </c>
      <c r="AK36">
        <f>IF(COUNTIFS(T_StockCount[Part Name],$A36,T_StockCount[WeekIndex],36)&gt;0,SUMIFS(T_StockCount[CountedQty],T_StockCount[Part Name],$A36,T_StockCount[WeekIndex],36),IF((('T_SelfStock'!AK40&lt;&gt;""))*(('T_TTAFStock'!AK40&lt;&gt;""))&gt;0,'T_SelfStock'!AK40+'T_TTAFStock'!AK40,AJ36+'Grid_Incoming'!AK36-'Grid_Requirement'!AK36))</f>
        <v/>
      </c>
      <c r="AL36">
        <f>IF(COUNTIFS(T_StockCount[Part Name],$A36,T_StockCount[WeekIndex],37)&gt;0,SUMIFS(T_StockCount[CountedQty],T_StockCount[Part Name],$A36,T_StockCount[WeekIndex],37),IF((('T_SelfStock'!AL40&lt;&gt;""))*(('T_TTAFStock'!AL40&lt;&gt;""))&gt;0,'T_SelfStock'!AL40+'T_TTAFStock'!AL40,AK36+'Grid_Incoming'!AL36-'Grid_Requirement'!AL36))</f>
        <v/>
      </c>
      <c r="AM36">
        <f>IF(COUNTIFS(T_StockCount[Part Name],$A36,T_StockCount[WeekIndex],38)&gt;0,SUMIFS(T_StockCount[CountedQty],T_StockCount[Part Name],$A36,T_StockCount[WeekIndex],38),IF((('T_SelfStock'!AM40&lt;&gt;""))*(('T_TTAFStock'!AM40&lt;&gt;""))&gt;0,'T_SelfStock'!AM40+'T_TTAFStock'!AM40,AL36+'Grid_Incoming'!AM36-'Grid_Requirement'!AM36))</f>
        <v/>
      </c>
      <c r="AN36">
        <f>IF(COUNTIFS(T_StockCount[Part Name],$A36,T_StockCount[WeekIndex],39)&gt;0,SUMIFS(T_StockCount[CountedQty],T_StockCount[Part Name],$A36,T_StockCount[WeekIndex],39),IF((('T_SelfStock'!AN40&lt;&gt;""))*(('T_TTAFStock'!AN40&lt;&gt;""))&gt;0,'T_SelfStock'!AN40+'T_TTAFStock'!AN40,AM36+'Grid_Incoming'!AN36-'Grid_Requirement'!AN36))</f>
        <v/>
      </c>
      <c r="AO36">
        <f>IF(COUNTIFS(T_StockCount[Part Name],$A36,T_StockCount[WeekIndex],40)&gt;0,SUMIFS(T_StockCount[CountedQty],T_StockCount[Part Name],$A36,T_StockCount[WeekIndex],40),IF((('T_SelfStock'!AO40&lt;&gt;""))*(('T_TTAFStock'!AO40&lt;&gt;""))&gt;0,'T_SelfStock'!AO40+'T_TTAFStock'!AO40,AN36+'Grid_Incoming'!AO36-'Grid_Requirement'!AO36))</f>
        <v/>
      </c>
      <c r="AP36">
        <f>IF(COUNTIFS(T_StockCount[Part Name],$A36,T_StockCount[WeekIndex],41)&gt;0,SUMIFS(T_StockCount[CountedQty],T_StockCount[Part Name],$A36,T_StockCount[WeekIndex],41),IF((('T_SelfStock'!AP40&lt;&gt;""))*(('T_TTAFStock'!AP40&lt;&gt;""))&gt;0,'T_SelfStock'!AP40+'T_TTAFStock'!AP40,AO36+'Grid_Incoming'!AP36-'Grid_Requirement'!AP36))</f>
        <v/>
      </c>
      <c r="AQ36">
        <f>IF(COUNTIFS(T_StockCount[Part Name],$A36,T_StockCount[WeekIndex],42)&gt;0,SUMIFS(T_StockCount[CountedQty],T_StockCount[Part Name],$A36,T_StockCount[WeekIndex],42),IF((('T_SelfStock'!AQ40&lt;&gt;""))*(('T_TTAFStock'!AQ40&lt;&gt;""))&gt;0,'T_SelfStock'!AQ40+'T_TTAFStock'!AQ40,AP36+'Grid_Incoming'!AQ36-'Grid_Requirement'!AQ36))</f>
        <v/>
      </c>
      <c r="AR36">
        <f>IF(COUNTIFS(T_StockCount[Part Name],$A36,T_StockCount[WeekIndex],43)&gt;0,SUMIFS(T_StockCount[CountedQty],T_StockCount[Part Name],$A36,T_StockCount[WeekIndex],43),IF((('T_SelfStock'!AR40&lt;&gt;""))*(('T_TTAFStock'!AR40&lt;&gt;""))&gt;0,'T_SelfStock'!AR40+'T_TTAFStock'!AR40,AQ36+'Grid_Incoming'!AR36-'Grid_Requirement'!AR36))</f>
        <v/>
      </c>
      <c r="AS36">
        <f>IF(COUNTIFS(T_StockCount[Part Name],$A36,T_StockCount[WeekIndex],44)&gt;0,SUMIFS(T_StockCount[CountedQty],T_StockCount[Part Name],$A36,T_StockCount[WeekIndex],44),IF((('T_SelfStock'!AS40&lt;&gt;""))*(('T_TTAFStock'!AS40&lt;&gt;""))&gt;0,'T_SelfStock'!AS40+'T_TTAFStock'!AS40,AR36+'Grid_Incoming'!AS36-'Grid_Requirement'!AS36))</f>
        <v/>
      </c>
      <c r="AT36">
        <f>IF(COUNTIFS(T_StockCount[Part Name],$A36,T_StockCount[WeekIndex],45)&gt;0,SUMIFS(T_StockCount[CountedQty],T_StockCount[Part Name],$A36,T_StockCount[WeekIndex],45),IF((('T_SelfStock'!AT40&lt;&gt;""))*(('T_TTAFStock'!AT40&lt;&gt;""))&gt;0,'T_SelfStock'!AT40+'T_TTAFStock'!AT40,AS36+'Grid_Incoming'!AT36-'Grid_Requirement'!AT36))</f>
        <v/>
      </c>
      <c r="AU36">
        <f>IF(COUNTIFS(T_StockCount[Part Name],$A36,T_StockCount[WeekIndex],46)&gt;0,SUMIFS(T_StockCount[CountedQty],T_StockCount[Part Name],$A36,T_StockCount[WeekIndex],46),IF((('T_SelfStock'!AU40&lt;&gt;""))*(('T_TTAFStock'!AU40&lt;&gt;""))&gt;0,'T_SelfStock'!AU40+'T_TTAFStock'!AU40,AT36+'Grid_Incoming'!AU36-'Grid_Requirement'!AU36))</f>
        <v/>
      </c>
      <c r="AV36">
        <f>IF(COUNTIFS(T_StockCount[Part Name],$A36,T_StockCount[WeekIndex],47)&gt;0,SUMIFS(T_StockCount[CountedQty],T_StockCount[Part Name],$A36,T_StockCount[WeekIndex],47),IF((('T_SelfStock'!AV40&lt;&gt;""))*(('T_TTAFStock'!AV40&lt;&gt;""))&gt;0,'T_SelfStock'!AV40+'T_TTAFStock'!AV40,AU36+'Grid_Incoming'!AV36-'Grid_Requirement'!AV36))</f>
        <v/>
      </c>
      <c r="AW36">
        <f>IF(COUNTIFS(T_StockCount[Part Name],$A36,T_StockCount[WeekIndex],48)&gt;0,SUMIFS(T_StockCount[CountedQty],T_StockCount[Part Name],$A36,T_StockCount[WeekIndex],48),IF((('T_SelfStock'!AW40&lt;&gt;""))*(('T_TTAFStock'!AW40&lt;&gt;""))&gt;0,'T_SelfStock'!AW40+'T_TTAFStock'!AW40,AV36+'Grid_Incoming'!AW36-'Grid_Requirement'!AW36))</f>
        <v/>
      </c>
      <c r="AX36">
        <f>IF(COUNTIFS(T_StockCount[Part Name],$A36,T_StockCount[WeekIndex],49)&gt;0,SUMIFS(T_StockCount[CountedQty],T_StockCount[Part Name],$A36,T_StockCount[WeekIndex],49),IF((('T_SelfStock'!AX40&lt;&gt;""))*(('T_TTAFStock'!AX40&lt;&gt;""))&gt;0,'T_SelfStock'!AX40+'T_TTAFStock'!AX40,AW36+'Grid_Incoming'!AX36-'Grid_Requirement'!AX36))</f>
        <v/>
      </c>
      <c r="AY36">
        <f>IF(COUNTIFS(T_StockCount[Part Name],$A36,T_StockCount[WeekIndex],50)&gt;0,SUMIFS(T_StockCount[CountedQty],T_StockCount[Part Name],$A36,T_StockCount[WeekIndex],50),IF((('T_SelfStock'!AY40&lt;&gt;""))*(('T_TTAFStock'!AY40&lt;&gt;""))&gt;0,'T_SelfStock'!AY40+'T_TTAFStock'!AY40,AX36+'Grid_Incoming'!AY36-'Grid_Requirement'!AY36))</f>
        <v/>
      </c>
      <c r="AZ36">
        <f>IF(COUNTIFS(T_StockCount[Part Name],$A36,T_StockCount[WeekIndex],51)&gt;0,SUMIFS(T_StockCount[CountedQty],T_StockCount[Part Name],$A36,T_StockCount[WeekIndex],51),IF((('T_SelfStock'!AZ40&lt;&gt;""))*(('T_TTAFStock'!AZ40&lt;&gt;""))&gt;0,'T_SelfStock'!AZ40+'T_TTAFStock'!AZ40,AY36+'Grid_Incoming'!AZ36-'Grid_Requirement'!AZ36))</f>
        <v/>
      </c>
      <c r="BA36">
        <f>IF(COUNTIFS(T_StockCount[Part Name],$A36,T_StockCount[WeekIndex],52)&gt;0,SUMIFS(T_StockCount[CountedQty],T_StockCount[Part Name],$A36,T_StockCount[WeekIndex],52),IF((('T_SelfStock'!BA40&lt;&gt;""))*(('T_TTAFStock'!BA40&lt;&gt;""))&gt;0,'T_SelfStock'!BA40+'T_TTAFStock'!BA40,AZ36+'Grid_Incoming'!BA36-'Grid_Requirement'!BA36))</f>
        <v/>
      </c>
      <c r="BB36">
        <f>IF(COUNTIFS(T_StockCount[Part Name],$A36,T_StockCount[WeekIndex],53)&gt;0,SUMIFS(T_StockCount[CountedQty],T_StockCount[Part Name],$A36,T_StockCount[WeekIndex],53),IF((('T_SelfStock'!BB40&lt;&gt;""))*(('T_TTAFStock'!BB40&lt;&gt;""))&gt;0,'T_SelfStock'!BB40+'T_TTAFStock'!BB40,BA36+'Grid_Incoming'!BB36-'Grid_Requirement'!BB36))</f>
        <v/>
      </c>
      <c r="BC36">
        <f>IF(COUNTIFS(T_StockCount[Part Name],$A36,T_StockCount[WeekIndex],54)&gt;0,SUMIFS(T_StockCount[CountedQty],T_StockCount[Part Name],$A36,T_StockCount[WeekIndex],54),IF((('T_SelfStock'!BC40&lt;&gt;""))*(('T_TTAFStock'!BC40&lt;&gt;""))&gt;0,'T_SelfStock'!BC40+'T_TTAFStock'!BC40,BB36+'Grid_Incoming'!BC36-'Grid_Requirement'!BC36))</f>
        <v/>
      </c>
      <c r="BD36">
        <f>IF(COUNTIFS(T_StockCount[Part Name],$A36,T_StockCount[WeekIndex],55)&gt;0,SUMIFS(T_StockCount[CountedQty],T_StockCount[Part Name],$A36,T_StockCount[WeekIndex],55),IF((('T_SelfStock'!BD40&lt;&gt;""))*(('T_TTAFStock'!BD40&lt;&gt;""))&gt;0,'T_SelfStock'!BD40+'T_TTAFStock'!BD40,BC36+'Grid_Incoming'!BD36-'Grid_Requirement'!BD36))</f>
        <v/>
      </c>
      <c r="BE36">
        <f>IF(COUNTIFS(T_StockCount[Part Name],$A36,T_StockCount[WeekIndex],56)&gt;0,SUMIFS(T_StockCount[CountedQty],T_StockCount[Part Name],$A36,T_StockCount[WeekIndex],56),IF((('T_SelfStock'!BE40&lt;&gt;""))*(('T_TTAFStock'!BE40&lt;&gt;""))&gt;0,'T_SelfStock'!BE40+'T_TTAFStock'!BE40,BD36+'Grid_Incoming'!BE36-'Grid_Requirement'!BE36))</f>
        <v/>
      </c>
      <c r="BF36">
        <f>IF(COUNTIFS(T_StockCount[Part Name],$A36,T_StockCount[WeekIndex],57)&gt;0,SUMIFS(T_StockCount[CountedQty],T_StockCount[Part Name],$A36,T_StockCount[WeekIndex],57),IF((('T_SelfStock'!BF40&lt;&gt;""))*(('T_TTAFStock'!BF40&lt;&gt;""))&gt;0,'T_SelfStock'!BF40+'T_TTAFStock'!BF40,BE36+'Grid_Incoming'!BF36-'Grid_Requirement'!BF36))</f>
        <v/>
      </c>
      <c r="BG36">
        <f>IF(COUNTIFS(T_StockCount[Part Name],$A36,T_StockCount[WeekIndex],58)&gt;0,SUMIFS(T_StockCount[CountedQty],T_StockCount[Part Name],$A36,T_StockCount[WeekIndex],58),IF((('T_SelfStock'!BG40&lt;&gt;""))*(('T_TTAFStock'!BG40&lt;&gt;""))&gt;0,'T_SelfStock'!BG40+'T_TTAFStock'!BG40,BF36+'Grid_Incoming'!BG36-'Grid_Requirement'!BG36))</f>
        <v/>
      </c>
      <c r="BH36">
        <f>IF(COUNTIFS(T_StockCount[Part Name],$A36,T_StockCount[WeekIndex],59)&gt;0,SUMIFS(T_StockCount[CountedQty],T_StockCount[Part Name],$A36,T_StockCount[WeekIndex],59),IF((('T_SelfStock'!BH40&lt;&gt;""))*(('T_TTAFStock'!BH40&lt;&gt;""))&gt;0,'T_SelfStock'!BH40+'T_TTAFStock'!BH40,BG36+'Grid_Incoming'!BH36-'Grid_Requirement'!BH36))</f>
        <v/>
      </c>
      <c r="BI36">
        <f>IF(COUNTIFS(T_StockCount[Part Name],$A36,T_StockCount[WeekIndex],60)&gt;0,SUMIFS(T_StockCount[CountedQty],T_StockCount[Part Name],$A36,T_StockCount[WeekIndex],60),IF((('T_SelfStock'!BI40&lt;&gt;""))*(('T_TTAFStock'!BI40&lt;&gt;""))&gt;0,'T_SelfStock'!BI40+'T_TTAFStock'!BI40,BH36+'Grid_Incoming'!BI36-'Grid_Requirement'!BI36))</f>
        <v/>
      </c>
      <c r="BJ36">
        <f>IF(COUNTIFS(T_StockCount[Part Name],$A36,T_StockCount[WeekIndex],61)&gt;0,SUMIFS(T_StockCount[CountedQty],T_StockCount[Part Name],$A36,T_StockCount[WeekIndex],61),IF((('T_SelfStock'!BJ40&lt;&gt;""))*(('T_TTAFStock'!BJ40&lt;&gt;""))&gt;0,'T_SelfStock'!BJ40+'T_TTAFStock'!BJ40,BI36+'Grid_Incoming'!BJ36-'Grid_Requirement'!BJ36))</f>
        <v/>
      </c>
      <c r="BK36">
        <f>IF(COUNTIFS(T_StockCount[Part Name],$A36,T_StockCount[WeekIndex],62)&gt;0,SUMIFS(T_StockCount[CountedQty],T_StockCount[Part Name],$A36,T_StockCount[WeekIndex],62),IF((('T_SelfStock'!BK40&lt;&gt;""))*(('T_TTAFStock'!BK40&lt;&gt;""))&gt;0,'T_SelfStock'!BK40+'T_TTAFStock'!BK40,BJ36+'Grid_Incoming'!BK36-'Grid_Requirement'!BK36))</f>
        <v/>
      </c>
      <c r="BL36">
        <f>IF(COUNTIFS(T_StockCount[Part Name],$A36,T_StockCount[WeekIndex],63)&gt;0,SUMIFS(T_StockCount[CountedQty],T_StockCount[Part Name],$A36,T_StockCount[WeekIndex],63),IF((('T_SelfStock'!BL40&lt;&gt;""))*(('T_TTAFStock'!BL40&lt;&gt;""))&gt;0,'T_SelfStock'!BL40+'T_TTAFStock'!BL40,BK36+'Grid_Incoming'!BL36-'Grid_Requirement'!BL36))</f>
        <v/>
      </c>
      <c r="BM36">
        <f>IF(COUNTIFS(T_StockCount[Part Name],$A36,T_StockCount[WeekIndex],64)&gt;0,SUMIFS(T_StockCount[CountedQty],T_StockCount[Part Name],$A36,T_StockCount[WeekIndex],64),IF((('T_SelfStock'!BM40&lt;&gt;""))*(('T_TTAFStock'!BM40&lt;&gt;""))&gt;0,'T_SelfStock'!BM40+'T_TTAFStock'!BM40,BL36+'Grid_Incoming'!BM36-'Grid_Requirement'!BM36))</f>
        <v/>
      </c>
      <c r="BN36">
        <f>IF(COUNTIFS(T_StockCount[Part Name],$A36,T_StockCount[WeekIndex],65)&gt;0,SUMIFS(T_StockCount[CountedQty],T_StockCount[Part Name],$A36,T_StockCount[WeekIndex],65),IF((('T_SelfStock'!BN40&lt;&gt;""))*(('T_TTAFStock'!BN40&lt;&gt;""))&gt;0,'T_SelfStock'!BN40+'T_TTAFStock'!BN40,BM36+'Grid_Incoming'!BN36-'Grid_Requirement'!BN36))</f>
        <v/>
      </c>
      <c r="BO36">
        <f>IF(COUNTIFS(T_StockCount[Part Name],$A36,T_StockCount[WeekIndex],66)&gt;0,SUMIFS(T_StockCount[CountedQty],T_StockCount[Part Name],$A36,T_StockCount[WeekIndex],66),IF((('T_SelfStock'!BO40&lt;&gt;""))*(('T_TTAFStock'!BO40&lt;&gt;""))&gt;0,'T_SelfStock'!BO40+'T_TTAFStock'!BO40,BN36+'Grid_Incoming'!BO36-'Grid_Requirement'!BO36))</f>
        <v/>
      </c>
      <c r="BP36">
        <f>IF(COUNTIFS(T_StockCount[Part Name],$A36,T_StockCount[WeekIndex],67)&gt;0,SUMIFS(T_StockCount[CountedQty],T_StockCount[Part Name],$A36,T_StockCount[WeekIndex],67),IF((('T_SelfStock'!BP40&lt;&gt;""))*(('T_TTAFStock'!BP40&lt;&gt;""))&gt;0,'T_SelfStock'!BP40+'T_TTAFStock'!BP40,BO36+'Grid_Incoming'!BP36-'Grid_Requirement'!BP36))</f>
        <v/>
      </c>
      <c r="BQ36">
        <f>IF(COUNTIFS(T_StockCount[Part Name],$A36,T_StockCount[WeekIndex],68)&gt;0,SUMIFS(T_StockCount[CountedQty],T_StockCount[Part Name],$A36,T_StockCount[WeekIndex],68),IF((('T_SelfStock'!BQ40&lt;&gt;""))*(('T_TTAFStock'!BQ40&lt;&gt;""))&gt;0,'T_SelfStock'!BQ40+'T_TTAFStock'!BQ40,BP36+'Grid_Incoming'!BQ36-'Grid_Requirement'!BQ36))</f>
        <v/>
      </c>
      <c r="BR36">
        <f>IF(COUNTIFS(T_StockCount[Part Name],$A36,T_StockCount[WeekIndex],69)&gt;0,SUMIFS(T_StockCount[CountedQty],T_StockCount[Part Name],$A36,T_StockCount[WeekIndex],69),IF((('T_SelfStock'!BR40&lt;&gt;""))*(('T_TTAFStock'!BR40&lt;&gt;""))&gt;0,'T_SelfStock'!BR40+'T_TTAFStock'!BR40,BQ36+'Grid_Incoming'!BR36-'Grid_Requirement'!BR36))</f>
        <v/>
      </c>
      <c r="BS36">
        <f>IF(COUNTIFS(T_StockCount[Part Name],$A36,T_StockCount[WeekIndex],70)&gt;0,SUMIFS(T_StockCount[CountedQty],T_StockCount[Part Name],$A36,T_StockCount[WeekIndex],70),IF((('T_SelfStock'!BS40&lt;&gt;""))*(('T_TTAFStock'!BS40&lt;&gt;""))&gt;0,'T_SelfStock'!BS40+'T_TTAFStock'!BS40,BR36+'Grid_Incoming'!BS36-'Grid_Requirement'!BS36))</f>
        <v/>
      </c>
      <c r="BT36">
        <f>IF(COUNTIFS(T_StockCount[Part Name],$A36,T_StockCount[WeekIndex],71)&gt;0,SUMIFS(T_StockCount[CountedQty],T_StockCount[Part Name],$A36,T_StockCount[WeekIndex],71),IF((('T_SelfStock'!BT40&lt;&gt;""))*(('T_TTAFStock'!BT40&lt;&gt;""))&gt;0,'T_SelfStock'!BT40+'T_TTAFStock'!BT40,BS36+'Grid_Incoming'!BT36-'Grid_Requirement'!BT36))</f>
        <v/>
      </c>
      <c r="BU36">
        <f>IF(COUNTIFS(T_StockCount[Part Name],$A36,T_StockCount[WeekIndex],72)&gt;0,SUMIFS(T_StockCount[CountedQty],T_StockCount[Part Name],$A36,T_StockCount[WeekIndex],72),IF((('T_SelfStock'!BU40&lt;&gt;""))*(('T_TTAFStock'!BU40&lt;&gt;""))&gt;0,'T_SelfStock'!BU40+'T_TTAFStock'!BU40,BT36+'Grid_Incoming'!BU36-'Grid_Requirement'!BU36))</f>
        <v/>
      </c>
      <c r="BV36">
        <f>IF(COUNTIFS(T_StockCount[Part Name],$A36,T_StockCount[WeekIndex],73)&gt;0,SUMIFS(T_StockCount[CountedQty],T_StockCount[Part Name],$A36,T_StockCount[WeekIndex],73),IF((('T_SelfStock'!BV40&lt;&gt;""))*(('T_TTAFStock'!BV40&lt;&gt;""))&gt;0,'T_SelfStock'!BV40+'T_TTAFStock'!BV40,BU36+'Grid_Incoming'!BV36-'Grid_Requirement'!BV36))</f>
        <v/>
      </c>
      <c r="BW36">
        <f>IF(COUNTIFS(T_StockCount[Part Name],$A36,T_StockCount[WeekIndex],74)&gt;0,SUMIFS(T_StockCount[CountedQty],T_StockCount[Part Name],$A36,T_StockCount[WeekIndex],74),IF((('T_SelfStock'!BW40&lt;&gt;""))*(('T_TTAFStock'!BW40&lt;&gt;""))&gt;0,'T_SelfStock'!BW40+'T_TTAFStock'!BW40,BV36+'Grid_Incoming'!BW36-'Grid_Requirement'!BW36))</f>
        <v/>
      </c>
      <c r="BX36">
        <f>IF(COUNTIFS(T_StockCount[Part Name],$A36,T_StockCount[WeekIndex],75)&gt;0,SUMIFS(T_StockCount[CountedQty],T_StockCount[Part Name],$A36,T_StockCount[WeekIndex],75),IF((('T_SelfStock'!BX40&lt;&gt;""))*(('T_TTAFStock'!BX40&lt;&gt;""))&gt;0,'T_SelfStock'!BX40+'T_TTAFStock'!BX40,BW36+'Grid_Incoming'!BX36-'Grid_Requirement'!BX36))</f>
        <v/>
      </c>
      <c r="BY36">
        <f>IF(COUNTIFS(T_StockCount[Part Name],$A36,T_StockCount[WeekIndex],76)&gt;0,SUMIFS(T_StockCount[CountedQty],T_StockCount[Part Name],$A36,T_StockCount[WeekIndex],76),IF((('T_SelfStock'!BY40&lt;&gt;""))*(('T_TTAFStock'!BY40&lt;&gt;""))&gt;0,'T_SelfStock'!BY40+'T_TTAFStock'!BY40,BX36+'Grid_Incoming'!BY36-'Grid_Requirement'!BY36))</f>
        <v/>
      </c>
      <c r="BZ36">
        <f>IF(COUNTIFS(T_StockCount[Part Name],$A36,T_StockCount[WeekIndex],77)&gt;0,SUMIFS(T_StockCount[CountedQty],T_StockCount[Part Name],$A36,T_StockCount[WeekIndex],77),IF((('T_SelfStock'!BZ40&lt;&gt;""))*(('T_TTAFStock'!BZ40&lt;&gt;""))&gt;0,'T_SelfStock'!BZ40+'T_TTAFStock'!BZ40,BY36+'Grid_Incoming'!BZ36-'Grid_Requirement'!BZ36))</f>
        <v/>
      </c>
      <c r="CA36">
        <f>IF(COUNTIFS(T_StockCount[Part Name],$A36,T_StockCount[WeekIndex],78)&gt;0,SUMIFS(T_StockCount[CountedQty],T_StockCount[Part Name],$A36,T_StockCount[WeekIndex],78),IF((('T_SelfStock'!CA40&lt;&gt;""))*(('T_TTAFStock'!CA40&lt;&gt;""))&gt;0,'T_SelfStock'!CA40+'T_TTAFStock'!CA40,BZ36+'Grid_Incoming'!CA36-'Grid_Requirement'!CA36))</f>
        <v/>
      </c>
      <c r="CB36">
        <f>IF(COUNTIFS(T_StockCount[Part Name],$A36,T_StockCount[WeekIndex],79)&gt;0,SUMIFS(T_StockCount[CountedQty],T_StockCount[Part Name],$A36,T_StockCount[WeekIndex],79),IF((('T_SelfStock'!CB40&lt;&gt;""))*(('T_TTAFStock'!CB40&lt;&gt;""))&gt;0,'T_SelfStock'!CB40+'T_TTAFStock'!CB40,CA36+'Grid_Incoming'!CB36-'Grid_Requirement'!CB36))</f>
        <v/>
      </c>
      <c r="CC36">
        <f>IF(COUNTIFS(T_StockCount[Part Name],$A36,T_StockCount[WeekIndex],80)&gt;0,SUMIFS(T_StockCount[CountedQty],T_StockCount[Part Name],$A36,T_StockCount[WeekIndex],80),IF((('T_SelfStock'!CC40&lt;&gt;""))*(('T_TTAFStock'!CC40&lt;&gt;""))&gt;0,'T_SelfStock'!CC40+'T_TTAFStock'!CC40,CB36+'Grid_Incoming'!CC36-'Grid_Requirement'!CC36))</f>
        <v/>
      </c>
      <c r="CD36">
        <f>IF(COUNTIFS(T_StockCount[Part Name],$A36,T_StockCount[WeekIndex],81)&gt;0,SUMIFS(T_StockCount[CountedQty],T_StockCount[Part Name],$A36,T_StockCount[WeekIndex],81),IF((('T_SelfStock'!CD40&lt;&gt;""))*(('T_TTAFStock'!CD40&lt;&gt;""))&gt;0,'T_SelfStock'!CD40+'T_TTAFStock'!CD40,CC36+'Grid_Incoming'!CD36-'Grid_Requirement'!CD36))</f>
        <v/>
      </c>
      <c r="CE36">
        <f>IF(COUNTIFS(T_StockCount[Part Name],$A36,T_StockCount[WeekIndex],82)&gt;0,SUMIFS(T_StockCount[CountedQty],T_StockCount[Part Name],$A36,T_StockCount[WeekIndex],82),IF((('T_SelfStock'!CE40&lt;&gt;""))*(('T_TTAFStock'!CE40&lt;&gt;""))&gt;0,'T_SelfStock'!CE40+'T_TTAFStock'!CE40,CD36+'Grid_Incoming'!CE36-'Grid_Requirement'!CE36))</f>
        <v/>
      </c>
      <c r="CF36">
        <f>IF(COUNTIFS(T_StockCount[Part Name],$A36,T_StockCount[WeekIndex],83)&gt;0,SUMIFS(T_StockCount[CountedQty],T_StockCount[Part Name],$A36,T_StockCount[WeekIndex],83),IF((('T_SelfStock'!CF40&lt;&gt;""))*(('T_TTAFStock'!CF40&lt;&gt;""))&gt;0,'T_SelfStock'!CF40+'T_TTAFStock'!CF40,CE36+'Grid_Incoming'!CF36-'Grid_Requirement'!CF36))</f>
        <v/>
      </c>
      <c r="CG36">
        <f>IF(COUNTIFS(T_StockCount[Part Name],$A36,T_StockCount[WeekIndex],84)&gt;0,SUMIFS(T_StockCount[CountedQty],T_StockCount[Part Name],$A36,T_StockCount[WeekIndex],84),IF((('T_SelfStock'!CG40&lt;&gt;""))*(('T_TTAFStock'!CG40&lt;&gt;""))&gt;0,'T_SelfStock'!CG40+'T_TTAFStock'!CG40,CF36+'Grid_Incoming'!CG36-'Grid_Requirement'!CG36))</f>
        <v/>
      </c>
      <c r="CH36">
        <f>IF(COUNTIFS(T_StockCount[Part Name],$A36,T_StockCount[WeekIndex],85)&gt;0,SUMIFS(T_StockCount[CountedQty],T_StockCount[Part Name],$A36,T_StockCount[WeekIndex],85),IF((('T_SelfStock'!CH40&lt;&gt;""))*(('T_TTAFStock'!CH40&lt;&gt;""))&gt;0,'T_SelfStock'!CH40+'T_TTAFStock'!CH40,CG36+'Grid_Incoming'!CH36-'Grid_Requirement'!CH36))</f>
        <v/>
      </c>
      <c r="CI36">
        <f>IF(COUNTIFS(T_StockCount[Part Name],$A36,T_StockCount[WeekIndex],86)&gt;0,SUMIFS(T_StockCount[CountedQty],T_StockCount[Part Name],$A36,T_StockCount[WeekIndex],86),IF((('T_SelfStock'!CI40&lt;&gt;""))*(('T_TTAFStock'!CI40&lt;&gt;""))&gt;0,'T_SelfStock'!CI40+'T_TTAFStock'!CI40,CH36+'Grid_Incoming'!CI36-'Grid_Requirement'!CI36))</f>
        <v/>
      </c>
      <c r="CJ36">
        <f>IF(COUNTIFS(T_StockCount[Part Name],$A36,T_StockCount[WeekIndex],87)&gt;0,SUMIFS(T_StockCount[CountedQty],T_StockCount[Part Name],$A36,T_StockCount[WeekIndex],87),IF((('T_SelfStock'!CJ40&lt;&gt;""))*(('T_TTAFStock'!CJ40&lt;&gt;""))&gt;0,'T_SelfStock'!CJ40+'T_TTAFStock'!CJ40,CI36+'Grid_Incoming'!CJ36-'Grid_Requirement'!CJ36))</f>
        <v/>
      </c>
      <c r="CK36">
        <f>IF(COUNTIFS(T_StockCount[Part Name],$A36,T_StockCount[WeekIndex],88)&gt;0,SUMIFS(T_StockCount[CountedQty],T_StockCount[Part Name],$A36,T_StockCount[WeekIndex],88),IF((('T_SelfStock'!CK40&lt;&gt;""))*(('T_TTAFStock'!CK40&lt;&gt;""))&gt;0,'T_SelfStock'!CK40+'T_TTAFStock'!CK40,CJ36+'Grid_Incoming'!CK36-'Grid_Requirement'!CK36))</f>
        <v/>
      </c>
      <c r="CL36">
        <f>IF(COUNTIFS(T_StockCount[Part Name],$A36,T_StockCount[WeekIndex],89)&gt;0,SUMIFS(T_StockCount[CountedQty],T_StockCount[Part Name],$A36,T_StockCount[WeekIndex],89),IF((('T_SelfStock'!CL40&lt;&gt;""))*(('T_TTAFStock'!CL40&lt;&gt;""))&gt;0,'T_SelfStock'!CL40+'T_TTAFStock'!CL40,CK36+'Grid_Incoming'!CL36-'Grid_Requirement'!CL36))</f>
        <v/>
      </c>
      <c r="CM36">
        <f>IF(COUNTIFS(T_StockCount[Part Name],$A36,T_StockCount[WeekIndex],90)&gt;0,SUMIFS(T_StockCount[CountedQty],T_StockCount[Part Name],$A36,T_StockCount[WeekIndex],90),IF((('T_SelfStock'!CM40&lt;&gt;""))*(('T_TTAFStock'!CM40&lt;&gt;""))&gt;0,'T_SelfStock'!CM40+'T_TTAFStock'!CM40,CL36+'Grid_Incoming'!CM36-'Grid_Requirement'!CM36))</f>
        <v/>
      </c>
      <c r="CN36">
        <f>IF(COUNTIFS(T_StockCount[Part Name],$A36,T_StockCount[WeekIndex],91)&gt;0,SUMIFS(T_StockCount[CountedQty],T_StockCount[Part Name],$A36,T_StockCount[WeekIndex],91),IF((('T_SelfStock'!CN40&lt;&gt;""))*(('T_TTAFStock'!CN40&lt;&gt;""))&gt;0,'T_SelfStock'!CN40+'T_TTAFStock'!CN40,CM36+'Grid_Incoming'!CN36-'Grid_Requirement'!CN36))</f>
        <v/>
      </c>
      <c r="CO36">
        <f>IF(COUNTIFS(T_StockCount[Part Name],$A36,T_StockCount[WeekIndex],92)&gt;0,SUMIFS(T_StockCount[CountedQty],T_StockCount[Part Name],$A36,T_StockCount[WeekIndex],92),IF((('T_SelfStock'!CO40&lt;&gt;""))*(('T_TTAFStock'!CO40&lt;&gt;""))&gt;0,'T_SelfStock'!CO40+'T_TTAFStock'!CO40,CN36+'Grid_Incoming'!CO36-'Grid_Requirement'!CO36))</f>
        <v/>
      </c>
      <c r="CP36">
        <f>IF(COUNTIFS(T_StockCount[Part Name],$A36,T_StockCount[WeekIndex],93)&gt;0,SUMIFS(T_StockCount[CountedQty],T_StockCount[Part Name],$A36,T_StockCount[WeekIndex],93),IF((('T_SelfStock'!CP40&lt;&gt;""))*(('T_TTAFStock'!CP40&lt;&gt;""))&gt;0,'T_SelfStock'!CP40+'T_TTAFStock'!CP40,CO36+'Grid_Incoming'!CP36-'Grid_Requirement'!CP36))</f>
        <v/>
      </c>
      <c r="CQ36">
        <f>IF(COUNTIFS(T_StockCount[Part Name],$A36,T_StockCount[WeekIndex],94)&gt;0,SUMIFS(T_StockCount[CountedQty],T_StockCount[Part Name],$A36,T_StockCount[WeekIndex],94),IF((('T_SelfStock'!CQ40&lt;&gt;""))*(('T_TTAFStock'!CQ40&lt;&gt;""))&gt;0,'T_SelfStock'!CQ40+'T_TTAFStock'!CQ40,CP36+'Grid_Incoming'!CQ36-'Grid_Requirement'!CQ36))</f>
        <v/>
      </c>
      <c r="CR36">
        <f>IF(COUNTIFS(T_StockCount[Part Name],$A36,T_StockCount[WeekIndex],95)&gt;0,SUMIFS(T_StockCount[CountedQty],T_StockCount[Part Name],$A36,T_StockCount[WeekIndex],95),IF((('T_SelfStock'!CR40&lt;&gt;""))*(('T_TTAFStock'!CR40&lt;&gt;""))&gt;0,'T_SelfStock'!CR40+'T_TTAFStock'!CR40,CQ36+'Grid_Incoming'!CR36-'Grid_Requirement'!CR36))</f>
        <v/>
      </c>
      <c r="CS36">
        <f>IF(COUNTIFS(T_StockCount[Part Name],$A36,T_StockCount[WeekIndex],96)&gt;0,SUMIFS(T_StockCount[CountedQty],T_StockCount[Part Name],$A36,T_StockCount[WeekIndex],96),IF((('T_SelfStock'!CS40&lt;&gt;""))*(('T_TTAFStock'!CS40&lt;&gt;""))&gt;0,'T_SelfStock'!CS40+'T_TTAFStock'!CS40,CR36+'Grid_Incoming'!CS36-'Grid_Requirement'!CS36))</f>
        <v/>
      </c>
      <c r="CT36">
        <f>IF(COUNTIFS(T_StockCount[Part Name],$A36,T_StockCount[WeekIndex],97)&gt;0,SUMIFS(T_StockCount[CountedQty],T_StockCount[Part Name],$A36,T_StockCount[WeekIndex],97),IF((('T_SelfStock'!CT40&lt;&gt;""))*(('T_TTAFStock'!CT40&lt;&gt;""))&gt;0,'T_SelfStock'!CT40+'T_TTAFStock'!CT40,CS36+'Grid_Incoming'!CT36-'Grid_Requirement'!CT36))</f>
        <v/>
      </c>
      <c r="CU36">
        <f>IF(COUNTIFS(T_StockCount[Part Name],$A36,T_StockCount[WeekIndex],98)&gt;0,SUMIFS(T_StockCount[CountedQty],T_StockCount[Part Name],$A36,T_StockCount[WeekIndex],98),IF((('T_SelfStock'!CU40&lt;&gt;""))*(('T_TTAFStock'!CU40&lt;&gt;""))&gt;0,'T_SelfStock'!CU40+'T_TTAFStock'!CU40,CT36+'Grid_Incoming'!CU36-'Grid_Requirement'!CU36))</f>
        <v/>
      </c>
      <c r="CV36">
        <f>IF(COUNTIFS(T_StockCount[Part Name],$A36,T_StockCount[WeekIndex],99)&gt;0,SUMIFS(T_StockCount[CountedQty],T_StockCount[Part Name],$A36,T_StockCount[WeekIndex],99),IF((('T_SelfStock'!CV40&lt;&gt;""))*(('T_TTAFStock'!CV40&lt;&gt;""))&gt;0,'T_SelfStock'!CV40+'T_TTAFStock'!CV40,CU36+'Grid_Incoming'!CV36-'Grid_Requirement'!CV36))</f>
        <v/>
      </c>
      <c r="CW36">
        <f>IF(COUNTIFS(T_StockCount[Part Name],$A36,T_StockCount[WeekIndex],100)&gt;0,SUMIFS(T_StockCount[CountedQty],T_StockCount[Part Name],$A36,T_StockCount[WeekIndex],100),IF((('T_SelfStock'!CW40&lt;&gt;""))*(('T_TTAFStock'!CW40&lt;&gt;""))&gt;0,'T_SelfStock'!CW40+'T_TTAFStock'!CW40,CV36+'Grid_Incoming'!CW36-'Grid_Requirement'!CW36))</f>
        <v/>
      </c>
      <c r="CX36">
        <f>IF(COUNTIFS(T_StockCount[Part Name],$A36,T_StockCount[WeekIndex],101)&gt;0,SUMIFS(T_StockCount[CountedQty],T_StockCount[Part Name],$A36,T_StockCount[WeekIndex],101),IF((('T_SelfStock'!CX40&lt;&gt;""))*(('T_TTAFStock'!CX40&lt;&gt;""))&gt;0,'T_SelfStock'!CX40+'T_TTAFStock'!CX40,CW36+'Grid_Incoming'!CX36-'Grid_Requirement'!CX36))</f>
        <v/>
      </c>
      <c r="CY36">
        <f>IF(COUNTIFS(T_StockCount[Part Name],$A36,T_StockCount[WeekIndex],102)&gt;0,SUMIFS(T_StockCount[CountedQty],T_StockCount[Part Name],$A36,T_StockCount[WeekIndex],102),IF((('T_SelfStock'!CY40&lt;&gt;""))*(('T_TTAFStock'!CY40&lt;&gt;""))&gt;0,'T_SelfStock'!CY40+'T_TTAFStock'!CY40,CX36+'Grid_Incoming'!CY36-'Grid_Requirement'!CY36))</f>
        <v/>
      </c>
      <c r="CZ36">
        <f>IF(COUNTIFS(T_StockCount[Part Name],$A36,T_StockCount[WeekIndex],103)&gt;0,SUMIFS(T_StockCount[CountedQty],T_StockCount[Part Name],$A36,T_StockCount[WeekIndex],103),IF((('T_SelfStock'!CZ40&lt;&gt;""))*(('T_TTAFStock'!CZ40&lt;&gt;""))&gt;0,'T_SelfStock'!CZ40+'T_TTAFStock'!CZ40,CY36+'Grid_Incoming'!CZ36-'Grid_Requirement'!CZ36))</f>
        <v/>
      </c>
      <c r="DA36">
        <f>IF(COUNTIFS(T_StockCount[Part Name],$A36,T_StockCount[WeekIndex],104)&gt;0,SUMIFS(T_StockCount[CountedQty],T_StockCount[Part Name],$A36,T_StockCount[WeekIndex],104),IF((('T_SelfStock'!DA40&lt;&gt;""))*(('T_TTAFStock'!DA40&lt;&gt;""))&gt;0,'T_SelfStock'!DA40+'T_TTAFStock'!DA40,CZ36+'Grid_Incoming'!DA36-'Grid_Requirement'!DA36))</f>
        <v/>
      </c>
    </row>
    <row r="37">
      <c r="A37" t="inlineStr">
        <is>
          <t>CHEM-1080</t>
        </is>
      </c>
      <c r="B37">
        <f>IF(COUNTIFS(T_StockCount[Part Name],$A37,T_StockCount[WeekIndex],1)&gt;0,SUMIFS(T_StockCount[CountedQty],T_StockCount[Part Name],$A37,T_StockCount[WeekIndex],1),IF((('T_SelfStock'!B41&lt;&gt;""))*(('T_TTAFStock'!B41&lt;&gt;""))&gt;0,'T_SelfStock'!B41+'T_TTAFStock'!B41,IFERROR(INDEX(T_OpeningStock[Opening_Qty_要入力],MATCH($A37,T_OpeningStock[Part Name],0)),0)+'Grid_Incoming'!B37-'Grid_Requirement'!B37))</f>
        <v/>
      </c>
      <c r="C37">
        <f>IF(COUNTIFS(T_StockCount[Part Name],$A37,T_StockCount[WeekIndex],2)&gt;0,SUMIFS(T_StockCount[CountedQty],T_StockCount[Part Name],$A37,T_StockCount[WeekIndex],2),IF((('T_SelfStock'!C41&lt;&gt;""))*(('T_TTAFStock'!C41&lt;&gt;""))&gt;0,'T_SelfStock'!C41+'T_TTAFStock'!C41,B37+'Grid_Incoming'!C37-'Grid_Requirement'!C37))</f>
        <v/>
      </c>
      <c r="D37">
        <f>IF(COUNTIFS(T_StockCount[Part Name],$A37,T_StockCount[WeekIndex],3)&gt;0,SUMIFS(T_StockCount[CountedQty],T_StockCount[Part Name],$A37,T_StockCount[WeekIndex],3),IF((('T_SelfStock'!D41&lt;&gt;""))*(('T_TTAFStock'!D41&lt;&gt;""))&gt;0,'T_SelfStock'!D41+'T_TTAFStock'!D41,C37+'Grid_Incoming'!D37-'Grid_Requirement'!D37))</f>
        <v/>
      </c>
      <c r="E37">
        <f>IF(COUNTIFS(T_StockCount[Part Name],$A37,T_StockCount[WeekIndex],4)&gt;0,SUMIFS(T_StockCount[CountedQty],T_StockCount[Part Name],$A37,T_StockCount[WeekIndex],4),IF((('T_SelfStock'!E41&lt;&gt;""))*(('T_TTAFStock'!E41&lt;&gt;""))&gt;0,'T_SelfStock'!E41+'T_TTAFStock'!E41,D37+'Grid_Incoming'!E37-'Grid_Requirement'!E37))</f>
        <v/>
      </c>
      <c r="F37">
        <f>IF(COUNTIFS(T_StockCount[Part Name],$A37,T_StockCount[WeekIndex],5)&gt;0,SUMIFS(T_StockCount[CountedQty],T_StockCount[Part Name],$A37,T_StockCount[WeekIndex],5),IF((('T_SelfStock'!F41&lt;&gt;""))*(('T_TTAFStock'!F41&lt;&gt;""))&gt;0,'T_SelfStock'!F41+'T_TTAFStock'!F41,E37+'Grid_Incoming'!F37-'Grid_Requirement'!F37))</f>
        <v/>
      </c>
      <c r="G37">
        <f>IF(COUNTIFS(T_StockCount[Part Name],$A37,T_StockCount[WeekIndex],6)&gt;0,SUMIFS(T_StockCount[CountedQty],T_StockCount[Part Name],$A37,T_StockCount[WeekIndex],6),IF((('T_SelfStock'!G41&lt;&gt;""))*(('T_TTAFStock'!G41&lt;&gt;""))&gt;0,'T_SelfStock'!G41+'T_TTAFStock'!G41,F37+'Grid_Incoming'!G37-'Grid_Requirement'!G37))</f>
        <v/>
      </c>
      <c r="H37">
        <f>IF(COUNTIFS(T_StockCount[Part Name],$A37,T_StockCount[WeekIndex],7)&gt;0,SUMIFS(T_StockCount[CountedQty],T_StockCount[Part Name],$A37,T_StockCount[WeekIndex],7),IF((('T_SelfStock'!H41&lt;&gt;""))*(('T_TTAFStock'!H41&lt;&gt;""))&gt;0,'T_SelfStock'!H41+'T_TTAFStock'!H41,G37+'Grid_Incoming'!H37-'Grid_Requirement'!H37))</f>
        <v/>
      </c>
      <c r="I37">
        <f>IF(COUNTIFS(T_StockCount[Part Name],$A37,T_StockCount[WeekIndex],8)&gt;0,SUMIFS(T_StockCount[CountedQty],T_StockCount[Part Name],$A37,T_StockCount[WeekIndex],8),IF((('T_SelfStock'!I41&lt;&gt;""))*(('T_TTAFStock'!I41&lt;&gt;""))&gt;0,'T_SelfStock'!I41+'T_TTAFStock'!I41,H37+'Grid_Incoming'!I37-'Grid_Requirement'!I37))</f>
        <v/>
      </c>
      <c r="J37">
        <f>IF(COUNTIFS(T_StockCount[Part Name],$A37,T_StockCount[WeekIndex],9)&gt;0,SUMIFS(T_StockCount[CountedQty],T_StockCount[Part Name],$A37,T_StockCount[WeekIndex],9),IF((('T_SelfStock'!J41&lt;&gt;""))*(('T_TTAFStock'!J41&lt;&gt;""))&gt;0,'T_SelfStock'!J41+'T_TTAFStock'!J41,I37+'Grid_Incoming'!J37-'Grid_Requirement'!J37))</f>
        <v/>
      </c>
      <c r="K37">
        <f>IF(COUNTIFS(T_StockCount[Part Name],$A37,T_StockCount[WeekIndex],10)&gt;0,SUMIFS(T_StockCount[CountedQty],T_StockCount[Part Name],$A37,T_StockCount[WeekIndex],10),IF((('T_SelfStock'!K41&lt;&gt;""))*(('T_TTAFStock'!K41&lt;&gt;""))&gt;0,'T_SelfStock'!K41+'T_TTAFStock'!K41,J37+'Grid_Incoming'!K37-'Grid_Requirement'!K37))</f>
        <v/>
      </c>
      <c r="L37">
        <f>IF(COUNTIFS(T_StockCount[Part Name],$A37,T_StockCount[WeekIndex],11)&gt;0,SUMIFS(T_StockCount[CountedQty],T_StockCount[Part Name],$A37,T_StockCount[WeekIndex],11),IF((('T_SelfStock'!L41&lt;&gt;""))*(('T_TTAFStock'!L41&lt;&gt;""))&gt;0,'T_SelfStock'!L41+'T_TTAFStock'!L41,K37+'Grid_Incoming'!L37-'Grid_Requirement'!L37))</f>
        <v/>
      </c>
      <c r="M37">
        <f>IF(COUNTIFS(T_StockCount[Part Name],$A37,T_StockCount[WeekIndex],12)&gt;0,SUMIFS(T_StockCount[CountedQty],T_StockCount[Part Name],$A37,T_StockCount[WeekIndex],12),IF((('T_SelfStock'!M41&lt;&gt;""))*(('T_TTAFStock'!M41&lt;&gt;""))&gt;0,'T_SelfStock'!M41+'T_TTAFStock'!M41,L37+'Grid_Incoming'!M37-'Grid_Requirement'!M37))</f>
        <v/>
      </c>
      <c r="N37">
        <f>IF(COUNTIFS(T_StockCount[Part Name],$A37,T_StockCount[WeekIndex],13)&gt;0,SUMIFS(T_StockCount[CountedQty],T_StockCount[Part Name],$A37,T_StockCount[WeekIndex],13),IF((('T_SelfStock'!N41&lt;&gt;""))*(('T_TTAFStock'!N41&lt;&gt;""))&gt;0,'T_SelfStock'!N41+'T_TTAFStock'!N41,M37+'Grid_Incoming'!N37-'Grid_Requirement'!N37))</f>
        <v/>
      </c>
      <c r="O37">
        <f>IF(COUNTIFS(T_StockCount[Part Name],$A37,T_StockCount[WeekIndex],14)&gt;0,SUMIFS(T_StockCount[CountedQty],T_StockCount[Part Name],$A37,T_StockCount[WeekIndex],14),IF((('T_SelfStock'!O41&lt;&gt;""))*(('T_TTAFStock'!O41&lt;&gt;""))&gt;0,'T_SelfStock'!O41+'T_TTAFStock'!O41,N37+'Grid_Incoming'!O37-'Grid_Requirement'!O37))</f>
        <v/>
      </c>
      <c r="P37">
        <f>IF(COUNTIFS(T_StockCount[Part Name],$A37,T_StockCount[WeekIndex],15)&gt;0,SUMIFS(T_StockCount[CountedQty],T_StockCount[Part Name],$A37,T_StockCount[WeekIndex],15),IF((('T_SelfStock'!P41&lt;&gt;""))*(('T_TTAFStock'!P41&lt;&gt;""))&gt;0,'T_SelfStock'!P41+'T_TTAFStock'!P41,O37+'Grid_Incoming'!P37-'Grid_Requirement'!P37))</f>
        <v/>
      </c>
      <c r="Q37">
        <f>IF(COUNTIFS(T_StockCount[Part Name],$A37,T_StockCount[WeekIndex],16)&gt;0,SUMIFS(T_StockCount[CountedQty],T_StockCount[Part Name],$A37,T_StockCount[WeekIndex],16),IF((('T_SelfStock'!Q41&lt;&gt;""))*(('T_TTAFStock'!Q41&lt;&gt;""))&gt;0,'T_SelfStock'!Q41+'T_TTAFStock'!Q41,P37+'Grid_Incoming'!Q37-'Grid_Requirement'!Q37))</f>
        <v/>
      </c>
      <c r="R37">
        <f>IF(COUNTIFS(T_StockCount[Part Name],$A37,T_StockCount[WeekIndex],17)&gt;0,SUMIFS(T_StockCount[CountedQty],T_StockCount[Part Name],$A37,T_StockCount[WeekIndex],17),IF((('T_SelfStock'!R41&lt;&gt;""))*(('T_TTAFStock'!R41&lt;&gt;""))&gt;0,'T_SelfStock'!R41+'T_TTAFStock'!R41,Q37+'Grid_Incoming'!R37-'Grid_Requirement'!R37))</f>
        <v/>
      </c>
      <c r="S37">
        <f>IF(COUNTIFS(T_StockCount[Part Name],$A37,T_StockCount[WeekIndex],18)&gt;0,SUMIFS(T_StockCount[CountedQty],T_StockCount[Part Name],$A37,T_StockCount[WeekIndex],18),IF((('T_SelfStock'!S41&lt;&gt;""))*(('T_TTAFStock'!S41&lt;&gt;""))&gt;0,'T_SelfStock'!S41+'T_TTAFStock'!S41,R37+'Grid_Incoming'!S37-'Grid_Requirement'!S37))</f>
        <v/>
      </c>
      <c r="T37">
        <f>IF(COUNTIFS(T_StockCount[Part Name],$A37,T_StockCount[WeekIndex],19)&gt;0,SUMIFS(T_StockCount[CountedQty],T_StockCount[Part Name],$A37,T_StockCount[WeekIndex],19),IF((('T_SelfStock'!T41&lt;&gt;""))*(('T_TTAFStock'!T41&lt;&gt;""))&gt;0,'T_SelfStock'!T41+'T_TTAFStock'!T41,S37+'Grid_Incoming'!T37-'Grid_Requirement'!T37))</f>
        <v/>
      </c>
      <c r="U37">
        <f>IF(COUNTIFS(T_StockCount[Part Name],$A37,T_StockCount[WeekIndex],20)&gt;0,SUMIFS(T_StockCount[CountedQty],T_StockCount[Part Name],$A37,T_StockCount[WeekIndex],20),IF((('T_SelfStock'!U41&lt;&gt;""))*(('T_TTAFStock'!U41&lt;&gt;""))&gt;0,'T_SelfStock'!U41+'T_TTAFStock'!U41,T37+'Grid_Incoming'!U37-'Grid_Requirement'!U37))</f>
        <v/>
      </c>
      <c r="V37">
        <f>IF(COUNTIFS(T_StockCount[Part Name],$A37,T_StockCount[WeekIndex],21)&gt;0,SUMIFS(T_StockCount[CountedQty],T_StockCount[Part Name],$A37,T_StockCount[WeekIndex],21),IF((('T_SelfStock'!V41&lt;&gt;""))*(('T_TTAFStock'!V41&lt;&gt;""))&gt;0,'T_SelfStock'!V41+'T_TTAFStock'!V41,U37+'Grid_Incoming'!V37-'Grid_Requirement'!V37))</f>
        <v/>
      </c>
      <c r="W37">
        <f>IF(COUNTIFS(T_StockCount[Part Name],$A37,T_StockCount[WeekIndex],22)&gt;0,SUMIFS(T_StockCount[CountedQty],T_StockCount[Part Name],$A37,T_StockCount[WeekIndex],22),IF((('T_SelfStock'!W41&lt;&gt;""))*(('T_TTAFStock'!W41&lt;&gt;""))&gt;0,'T_SelfStock'!W41+'T_TTAFStock'!W41,V37+'Grid_Incoming'!W37-'Grid_Requirement'!W37))</f>
        <v/>
      </c>
      <c r="X37">
        <f>IF(COUNTIFS(T_StockCount[Part Name],$A37,T_StockCount[WeekIndex],23)&gt;0,SUMIFS(T_StockCount[CountedQty],T_StockCount[Part Name],$A37,T_StockCount[WeekIndex],23),IF((('T_SelfStock'!X41&lt;&gt;""))*(('T_TTAFStock'!X41&lt;&gt;""))&gt;0,'T_SelfStock'!X41+'T_TTAFStock'!X41,W37+'Grid_Incoming'!X37-'Grid_Requirement'!X37))</f>
        <v/>
      </c>
      <c r="Y37">
        <f>IF(COUNTIFS(T_StockCount[Part Name],$A37,T_StockCount[WeekIndex],24)&gt;0,SUMIFS(T_StockCount[CountedQty],T_StockCount[Part Name],$A37,T_StockCount[WeekIndex],24),IF((('T_SelfStock'!Y41&lt;&gt;""))*(('T_TTAFStock'!Y41&lt;&gt;""))&gt;0,'T_SelfStock'!Y41+'T_TTAFStock'!Y41,X37+'Grid_Incoming'!Y37-'Grid_Requirement'!Y37))</f>
        <v/>
      </c>
      <c r="Z37">
        <f>IF(COUNTIFS(T_StockCount[Part Name],$A37,T_StockCount[WeekIndex],25)&gt;0,SUMIFS(T_StockCount[CountedQty],T_StockCount[Part Name],$A37,T_StockCount[WeekIndex],25),IF((('T_SelfStock'!Z41&lt;&gt;""))*(('T_TTAFStock'!Z41&lt;&gt;""))&gt;0,'T_SelfStock'!Z41+'T_TTAFStock'!Z41,Y37+'Grid_Incoming'!Z37-'Grid_Requirement'!Z37))</f>
        <v/>
      </c>
      <c r="AA37">
        <f>IF(COUNTIFS(T_StockCount[Part Name],$A37,T_StockCount[WeekIndex],26)&gt;0,SUMIFS(T_StockCount[CountedQty],T_StockCount[Part Name],$A37,T_StockCount[WeekIndex],26),IF((('T_SelfStock'!AA41&lt;&gt;""))*(('T_TTAFStock'!AA41&lt;&gt;""))&gt;0,'T_SelfStock'!AA41+'T_TTAFStock'!AA41,Z37+'Grid_Incoming'!AA37-'Grid_Requirement'!AA37))</f>
        <v/>
      </c>
      <c r="AB37">
        <f>IF(COUNTIFS(T_StockCount[Part Name],$A37,T_StockCount[WeekIndex],27)&gt;0,SUMIFS(T_StockCount[CountedQty],T_StockCount[Part Name],$A37,T_StockCount[WeekIndex],27),IF((('T_SelfStock'!AB41&lt;&gt;""))*(('T_TTAFStock'!AB41&lt;&gt;""))&gt;0,'T_SelfStock'!AB41+'T_TTAFStock'!AB41,AA37+'Grid_Incoming'!AB37-'Grid_Requirement'!AB37))</f>
        <v/>
      </c>
      <c r="AC37">
        <f>IF(COUNTIFS(T_StockCount[Part Name],$A37,T_StockCount[WeekIndex],28)&gt;0,SUMIFS(T_StockCount[CountedQty],T_StockCount[Part Name],$A37,T_StockCount[WeekIndex],28),IF((('T_SelfStock'!AC41&lt;&gt;""))*(('T_TTAFStock'!AC41&lt;&gt;""))&gt;0,'T_SelfStock'!AC41+'T_TTAFStock'!AC41,AB37+'Grid_Incoming'!AC37-'Grid_Requirement'!AC37))</f>
        <v/>
      </c>
      <c r="AD37">
        <f>IF(COUNTIFS(T_StockCount[Part Name],$A37,T_StockCount[WeekIndex],29)&gt;0,SUMIFS(T_StockCount[CountedQty],T_StockCount[Part Name],$A37,T_StockCount[WeekIndex],29),IF((('T_SelfStock'!AD41&lt;&gt;""))*(('T_TTAFStock'!AD41&lt;&gt;""))&gt;0,'T_SelfStock'!AD41+'T_TTAFStock'!AD41,AC37+'Grid_Incoming'!AD37-'Grid_Requirement'!AD37))</f>
        <v/>
      </c>
      <c r="AE37">
        <f>IF(COUNTIFS(T_StockCount[Part Name],$A37,T_StockCount[WeekIndex],30)&gt;0,SUMIFS(T_StockCount[CountedQty],T_StockCount[Part Name],$A37,T_StockCount[WeekIndex],30),IF((('T_SelfStock'!AE41&lt;&gt;""))*(('T_TTAFStock'!AE41&lt;&gt;""))&gt;0,'T_SelfStock'!AE41+'T_TTAFStock'!AE41,AD37+'Grid_Incoming'!AE37-'Grid_Requirement'!AE37))</f>
        <v/>
      </c>
      <c r="AF37">
        <f>IF(COUNTIFS(T_StockCount[Part Name],$A37,T_StockCount[WeekIndex],31)&gt;0,SUMIFS(T_StockCount[CountedQty],T_StockCount[Part Name],$A37,T_StockCount[WeekIndex],31),IF((('T_SelfStock'!AF41&lt;&gt;""))*(('T_TTAFStock'!AF41&lt;&gt;""))&gt;0,'T_SelfStock'!AF41+'T_TTAFStock'!AF41,AE37+'Grid_Incoming'!AF37-'Grid_Requirement'!AF37))</f>
        <v/>
      </c>
      <c r="AG37">
        <f>IF(COUNTIFS(T_StockCount[Part Name],$A37,T_StockCount[WeekIndex],32)&gt;0,SUMIFS(T_StockCount[CountedQty],T_StockCount[Part Name],$A37,T_StockCount[WeekIndex],32),IF((('T_SelfStock'!AG41&lt;&gt;""))*(('T_TTAFStock'!AG41&lt;&gt;""))&gt;0,'T_SelfStock'!AG41+'T_TTAFStock'!AG41,AF37+'Grid_Incoming'!AG37-'Grid_Requirement'!AG37))</f>
        <v/>
      </c>
      <c r="AH37">
        <f>IF(COUNTIFS(T_StockCount[Part Name],$A37,T_StockCount[WeekIndex],33)&gt;0,SUMIFS(T_StockCount[CountedQty],T_StockCount[Part Name],$A37,T_StockCount[WeekIndex],33),IF((('T_SelfStock'!AH41&lt;&gt;""))*(('T_TTAFStock'!AH41&lt;&gt;""))&gt;0,'T_SelfStock'!AH41+'T_TTAFStock'!AH41,AG37+'Grid_Incoming'!AH37-'Grid_Requirement'!AH37))</f>
        <v/>
      </c>
      <c r="AI37">
        <f>IF(COUNTIFS(T_StockCount[Part Name],$A37,T_StockCount[WeekIndex],34)&gt;0,SUMIFS(T_StockCount[CountedQty],T_StockCount[Part Name],$A37,T_StockCount[WeekIndex],34),IF((('T_SelfStock'!AI41&lt;&gt;""))*(('T_TTAFStock'!AI41&lt;&gt;""))&gt;0,'T_SelfStock'!AI41+'T_TTAFStock'!AI41,AH37+'Grid_Incoming'!AI37-'Grid_Requirement'!AI37))</f>
        <v/>
      </c>
      <c r="AJ37">
        <f>IF(COUNTIFS(T_StockCount[Part Name],$A37,T_StockCount[WeekIndex],35)&gt;0,SUMIFS(T_StockCount[CountedQty],T_StockCount[Part Name],$A37,T_StockCount[WeekIndex],35),IF((('T_SelfStock'!AJ41&lt;&gt;""))*(('T_TTAFStock'!AJ41&lt;&gt;""))&gt;0,'T_SelfStock'!AJ41+'T_TTAFStock'!AJ41,AI37+'Grid_Incoming'!AJ37-'Grid_Requirement'!AJ37))</f>
        <v/>
      </c>
      <c r="AK37">
        <f>IF(COUNTIFS(T_StockCount[Part Name],$A37,T_StockCount[WeekIndex],36)&gt;0,SUMIFS(T_StockCount[CountedQty],T_StockCount[Part Name],$A37,T_StockCount[WeekIndex],36),IF((('T_SelfStock'!AK41&lt;&gt;""))*(('T_TTAFStock'!AK41&lt;&gt;""))&gt;0,'T_SelfStock'!AK41+'T_TTAFStock'!AK41,AJ37+'Grid_Incoming'!AK37-'Grid_Requirement'!AK37))</f>
        <v/>
      </c>
      <c r="AL37">
        <f>IF(COUNTIFS(T_StockCount[Part Name],$A37,T_StockCount[WeekIndex],37)&gt;0,SUMIFS(T_StockCount[CountedQty],T_StockCount[Part Name],$A37,T_StockCount[WeekIndex],37),IF((('T_SelfStock'!AL41&lt;&gt;""))*(('T_TTAFStock'!AL41&lt;&gt;""))&gt;0,'T_SelfStock'!AL41+'T_TTAFStock'!AL41,AK37+'Grid_Incoming'!AL37-'Grid_Requirement'!AL37))</f>
        <v/>
      </c>
      <c r="AM37">
        <f>IF(COUNTIFS(T_StockCount[Part Name],$A37,T_StockCount[WeekIndex],38)&gt;0,SUMIFS(T_StockCount[CountedQty],T_StockCount[Part Name],$A37,T_StockCount[WeekIndex],38),IF((('T_SelfStock'!AM41&lt;&gt;""))*(('T_TTAFStock'!AM41&lt;&gt;""))&gt;0,'T_SelfStock'!AM41+'T_TTAFStock'!AM41,AL37+'Grid_Incoming'!AM37-'Grid_Requirement'!AM37))</f>
        <v/>
      </c>
      <c r="AN37">
        <f>IF(COUNTIFS(T_StockCount[Part Name],$A37,T_StockCount[WeekIndex],39)&gt;0,SUMIFS(T_StockCount[CountedQty],T_StockCount[Part Name],$A37,T_StockCount[WeekIndex],39),IF((('T_SelfStock'!AN41&lt;&gt;""))*(('T_TTAFStock'!AN41&lt;&gt;""))&gt;0,'T_SelfStock'!AN41+'T_TTAFStock'!AN41,AM37+'Grid_Incoming'!AN37-'Grid_Requirement'!AN37))</f>
        <v/>
      </c>
      <c r="AO37">
        <f>IF(COUNTIFS(T_StockCount[Part Name],$A37,T_StockCount[WeekIndex],40)&gt;0,SUMIFS(T_StockCount[CountedQty],T_StockCount[Part Name],$A37,T_StockCount[WeekIndex],40),IF((('T_SelfStock'!AO41&lt;&gt;""))*(('T_TTAFStock'!AO41&lt;&gt;""))&gt;0,'T_SelfStock'!AO41+'T_TTAFStock'!AO41,AN37+'Grid_Incoming'!AO37-'Grid_Requirement'!AO37))</f>
        <v/>
      </c>
      <c r="AP37">
        <f>IF(COUNTIFS(T_StockCount[Part Name],$A37,T_StockCount[WeekIndex],41)&gt;0,SUMIFS(T_StockCount[CountedQty],T_StockCount[Part Name],$A37,T_StockCount[WeekIndex],41),IF((('T_SelfStock'!AP41&lt;&gt;""))*(('T_TTAFStock'!AP41&lt;&gt;""))&gt;0,'T_SelfStock'!AP41+'T_TTAFStock'!AP41,AO37+'Grid_Incoming'!AP37-'Grid_Requirement'!AP37))</f>
        <v/>
      </c>
      <c r="AQ37">
        <f>IF(COUNTIFS(T_StockCount[Part Name],$A37,T_StockCount[WeekIndex],42)&gt;0,SUMIFS(T_StockCount[CountedQty],T_StockCount[Part Name],$A37,T_StockCount[WeekIndex],42),IF((('T_SelfStock'!AQ41&lt;&gt;""))*(('T_TTAFStock'!AQ41&lt;&gt;""))&gt;0,'T_SelfStock'!AQ41+'T_TTAFStock'!AQ41,AP37+'Grid_Incoming'!AQ37-'Grid_Requirement'!AQ37))</f>
        <v/>
      </c>
      <c r="AR37">
        <f>IF(COUNTIFS(T_StockCount[Part Name],$A37,T_StockCount[WeekIndex],43)&gt;0,SUMIFS(T_StockCount[CountedQty],T_StockCount[Part Name],$A37,T_StockCount[WeekIndex],43),IF((('T_SelfStock'!AR41&lt;&gt;""))*(('T_TTAFStock'!AR41&lt;&gt;""))&gt;0,'T_SelfStock'!AR41+'T_TTAFStock'!AR41,AQ37+'Grid_Incoming'!AR37-'Grid_Requirement'!AR37))</f>
        <v/>
      </c>
      <c r="AS37">
        <f>IF(COUNTIFS(T_StockCount[Part Name],$A37,T_StockCount[WeekIndex],44)&gt;0,SUMIFS(T_StockCount[CountedQty],T_StockCount[Part Name],$A37,T_StockCount[WeekIndex],44),IF((('T_SelfStock'!AS41&lt;&gt;""))*(('T_TTAFStock'!AS41&lt;&gt;""))&gt;0,'T_SelfStock'!AS41+'T_TTAFStock'!AS41,AR37+'Grid_Incoming'!AS37-'Grid_Requirement'!AS37))</f>
        <v/>
      </c>
      <c r="AT37">
        <f>IF(COUNTIFS(T_StockCount[Part Name],$A37,T_StockCount[WeekIndex],45)&gt;0,SUMIFS(T_StockCount[CountedQty],T_StockCount[Part Name],$A37,T_StockCount[WeekIndex],45),IF((('T_SelfStock'!AT41&lt;&gt;""))*(('T_TTAFStock'!AT41&lt;&gt;""))&gt;0,'T_SelfStock'!AT41+'T_TTAFStock'!AT41,AS37+'Grid_Incoming'!AT37-'Grid_Requirement'!AT37))</f>
        <v/>
      </c>
      <c r="AU37">
        <f>IF(COUNTIFS(T_StockCount[Part Name],$A37,T_StockCount[WeekIndex],46)&gt;0,SUMIFS(T_StockCount[CountedQty],T_StockCount[Part Name],$A37,T_StockCount[WeekIndex],46),IF((('T_SelfStock'!AU41&lt;&gt;""))*(('T_TTAFStock'!AU41&lt;&gt;""))&gt;0,'T_SelfStock'!AU41+'T_TTAFStock'!AU41,AT37+'Grid_Incoming'!AU37-'Grid_Requirement'!AU37))</f>
        <v/>
      </c>
      <c r="AV37">
        <f>IF(COUNTIFS(T_StockCount[Part Name],$A37,T_StockCount[WeekIndex],47)&gt;0,SUMIFS(T_StockCount[CountedQty],T_StockCount[Part Name],$A37,T_StockCount[WeekIndex],47),IF((('T_SelfStock'!AV41&lt;&gt;""))*(('T_TTAFStock'!AV41&lt;&gt;""))&gt;0,'T_SelfStock'!AV41+'T_TTAFStock'!AV41,AU37+'Grid_Incoming'!AV37-'Grid_Requirement'!AV37))</f>
        <v/>
      </c>
      <c r="AW37">
        <f>IF(COUNTIFS(T_StockCount[Part Name],$A37,T_StockCount[WeekIndex],48)&gt;0,SUMIFS(T_StockCount[CountedQty],T_StockCount[Part Name],$A37,T_StockCount[WeekIndex],48),IF((('T_SelfStock'!AW41&lt;&gt;""))*(('T_TTAFStock'!AW41&lt;&gt;""))&gt;0,'T_SelfStock'!AW41+'T_TTAFStock'!AW41,AV37+'Grid_Incoming'!AW37-'Grid_Requirement'!AW37))</f>
        <v/>
      </c>
      <c r="AX37">
        <f>IF(COUNTIFS(T_StockCount[Part Name],$A37,T_StockCount[WeekIndex],49)&gt;0,SUMIFS(T_StockCount[CountedQty],T_StockCount[Part Name],$A37,T_StockCount[WeekIndex],49),IF((('T_SelfStock'!AX41&lt;&gt;""))*(('T_TTAFStock'!AX41&lt;&gt;""))&gt;0,'T_SelfStock'!AX41+'T_TTAFStock'!AX41,AW37+'Grid_Incoming'!AX37-'Grid_Requirement'!AX37))</f>
        <v/>
      </c>
      <c r="AY37">
        <f>IF(COUNTIFS(T_StockCount[Part Name],$A37,T_StockCount[WeekIndex],50)&gt;0,SUMIFS(T_StockCount[CountedQty],T_StockCount[Part Name],$A37,T_StockCount[WeekIndex],50),IF((('T_SelfStock'!AY41&lt;&gt;""))*(('T_TTAFStock'!AY41&lt;&gt;""))&gt;0,'T_SelfStock'!AY41+'T_TTAFStock'!AY41,AX37+'Grid_Incoming'!AY37-'Grid_Requirement'!AY37))</f>
        <v/>
      </c>
      <c r="AZ37">
        <f>IF(COUNTIFS(T_StockCount[Part Name],$A37,T_StockCount[WeekIndex],51)&gt;0,SUMIFS(T_StockCount[CountedQty],T_StockCount[Part Name],$A37,T_StockCount[WeekIndex],51),IF((('T_SelfStock'!AZ41&lt;&gt;""))*(('T_TTAFStock'!AZ41&lt;&gt;""))&gt;0,'T_SelfStock'!AZ41+'T_TTAFStock'!AZ41,AY37+'Grid_Incoming'!AZ37-'Grid_Requirement'!AZ37))</f>
        <v/>
      </c>
      <c r="BA37">
        <f>IF(COUNTIFS(T_StockCount[Part Name],$A37,T_StockCount[WeekIndex],52)&gt;0,SUMIFS(T_StockCount[CountedQty],T_StockCount[Part Name],$A37,T_StockCount[WeekIndex],52),IF((('T_SelfStock'!BA41&lt;&gt;""))*(('T_TTAFStock'!BA41&lt;&gt;""))&gt;0,'T_SelfStock'!BA41+'T_TTAFStock'!BA41,AZ37+'Grid_Incoming'!BA37-'Grid_Requirement'!BA37))</f>
        <v/>
      </c>
      <c r="BB37">
        <f>IF(COUNTIFS(T_StockCount[Part Name],$A37,T_StockCount[WeekIndex],53)&gt;0,SUMIFS(T_StockCount[CountedQty],T_StockCount[Part Name],$A37,T_StockCount[WeekIndex],53),IF((('T_SelfStock'!BB41&lt;&gt;""))*(('T_TTAFStock'!BB41&lt;&gt;""))&gt;0,'T_SelfStock'!BB41+'T_TTAFStock'!BB41,BA37+'Grid_Incoming'!BB37-'Grid_Requirement'!BB37))</f>
        <v/>
      </c>
      <c r="BC37">
        <f>IF(COUNTIFS(T_StockCount[Part Name],$A37,T_StockCount[WeekIndex],54)&gt;0,SUMIFS(T_StockCount[CountedQty],T_StockCount[Part Name],$A37,T_StockCount[WeekIndex],54),IF((('T_SelfStock'!BC41&lt;&gt;""))*(('T_TTAFStock'!BC41&lt;&gt;""))&gt;0,'T_SelfStock'!BC41+'T_TTAFStock'!BC41,BB37+'Grid_Incoming'!BC37-'Grid_Requirement'!BC37))</f>
        <v/>
      </c>
      <c r="BD37">
        <f>IF(COUNTIFS(T_StockCount[Part Name],$A37,T_StockCount[WeekIndex],55)&gt;0,SUMIFS(T_StockCount[CountedQty],T_StockCount[Part Name],$A37,T_StockCount[WeekIndex],55),IF((('T_SelfStock'!BD41&lt;&gt;""))*(('T_TTAFStock'!BD41&lt;&gt;""))&gt;0,'T_SelfStock'!BD41+'T_TTAFStock'!BD41,BC37+'Grid_Incoming'!BD37-'Grid_Requirement'!BD37))</f>
        <v/>
      </c>
      <c r="BE37">
        <f>IF(COUNTIFS(T_StockCount[Part Name],$A37,T_StockCount[WeekIndex],56)&gt;0,SUMIFS(T_StockCount[CountedQty],T_StockCount[Part Name],$A37,T_StockCount[WeekIndex],56),IF((('T_SelfStock'!BE41&lt;&gt;""))*(('T_TTAFStock'!BE41&lt;&gt;""))&gt;0,'T_SelfStock'!BE41+'T_TTAFStock'!BE41,BD37+'Grid_Incoming'!BE37-'Grid_Requirement'!BE37))</f>
        <v/>
      </c>
      <c r="BF37">
        <f>IF(COUNTIFS(T_StockCount[Part Name],$A37,T_StockCount[WeekIndex],57)&gt;0,SUMIFS(T_StockCount[CountedQty],T_StockCount[Part Name],$A37,T_StockCount[WeekIndex],57),IF((('T_SelfStock'!BF41&lt;&gt;""))*(('T_TTAFStock'!BF41&lt;&gt;""))&gt;0,'T_SelfStock'!BF41+'T_TTAFStock'!BF41,BE37+'Grid_Incoming'!BF37-'Grid_Requirement'!BF37))</f>
        <v/>
      </c>
      <c r="BG37">
        <f>IF(COUNTIFS(T_StockCount[Part Name],$A37,T_StockCount[WeekIndex],58)&gt;0,SUMIFS(T_StockCount[CountedQty],T_StockCount[Part Name],$A37,T_StockCount[WeekIndex],58),IF((('T_SelfStock'!BG41&lt;&gt;""))*(('T_TTAFStock'!BG41&lt;&gt;""))&gt;0,'T_SelfStock'!BG41+'T_TTAFStock'!BG41,BF37+'Grid_Incoming'!BG37-'Grid_Requirement'!BG37))</f>
        <v/>
      </c>
      <c r="BH37">
        <f>IF(COUNTIFS(T_StockCount[Part Name],$A37,T_StockCount[WeekIndex],59)&gt;0,SUMIFS(T_StockCount[CountedQty],T_StockCount[Part Name],$A37,T_StockCount[WeekIndex],59),IF((('T_SelfStock'!BH41&lt;&gt;""))*(('T_TTAFStock'!BH41&lt;&gt;""))&gt;0,'T_SelfStock'!BH41+'T_TTAFStock'!BH41,BG37+'Grid_Incoming'!BH37-'Grid_Requirement'!BH37))</f>
        <v/>
      </c>
      <c r="BI37">
        <f>IF(COUNTIFS(T_StockCount[Part Name],$A37,T_StockCount[WeekIndex],60)&gt;0,SUMIFS(T_StockCount[CountedQty],T_StockCount[Part Name],$A37,T_StockCount[WeekIndex],60),IF((('T_SelfStock'!BI41&lt;&gt;""))*(('T_TTAFStock'!BI41&lt;&gt;""))&gt;0,'T_SelfStock'!BI41+'T_TTAFStock'!BI41,BH37+'Grid_Incoming'!BI37-'Grid_Requirement'!BI37))</f>
        <v/>
      </c>
      <c r="BJ37">
        <f>IF(COUNTIFS(T_StockCount[Part Name],$A37,T_StockCount[WeekIndex],61)&gt;0,SUMIFS(T_StockCount[CountedQty],T_StockCount[Part Name],$A37,T_StockCount[WeekIndex],61),IF((('T_SelfStock'!BJ41&lt;&gt;""))*(('T_TTAFStock'!BJ41&lt;&gt;""))&gt;0,'T_SelfStock'!BJ41+'T_TTAFStock'!BJ41,BI37+'Grid_Incoming'!BJ37-'Grid_Requirement'!BJ37))</f>
        <v/>
      </c>
      <c r="BK37">
        <f>IF(COUNTIFS(T_StockCount[Part Name],$A37,T_StockCount[WeekIndex],62)&gt;0,SUMIFS(T_StockCount[CountedQty],T_StockCount[Part Name],$A37,T_StockCount[WeekIndex],62),IF((('T_SelfStock'!BK41&lt;&gt;""))*(('T_TTAFStock'!BK41&lt;&gt;""))&gt;0,'T_SelfStock'!BK41+'T_TTAFStock'!BK41,BJ37+'Grid_Incoming'!BK37-'Grid_Requirement'!BK37))</f>
        <v/>
      </c>
      <c r="BL37">
        <f>IF(COUNTIFS(T_StockCount[Part Name],$A37,T_StockCount[WeekIndex],63)&gt;0,SUMIFS(T_StockCount[CountedQty],T_StockCount[Part Name],$A37,T_StockCount[WeekIndex],63),IF((('T_SelfStock'!BL41&lt;&gt;""))*(('T_TTAFStock'!BL41&lt;&gt;""))&gt;0,'T_SelfStock'!BL41+'T_TTAFStock'!BL41,BK37+'Grid_Incoming'!BL37-'Grid_Requirement'!BL37))</f>
        <v/>
      </c>
      <c r="BM37">
        <f>IF(COUNTIFS(T_StockCount[Part Name],$A37,T_StockCount[WeekIndex],64)&gt;0,SUMIFS(T_StockCount[CountedQty],T_StockCount[Part Name],$A37,T_StockCount[WeekIndex],64),IF((('T_SelfStock'!BM41&lt;&gt;""))*(('T_TTAFStock'!BM41&lt;&gt;""))&gt;0,'T_SelfStock'!BM41+'T_TTAFStock'!BM41,BL37+'Grid_Incoming'!BM37-'Grid_Requirement'!BM37))</f>
        <v/>
      </c>
      <c r="BN37">
        <f>IF(COUNTIFS(T_StockCount[Part Name],$A37,T_StockCount[WeekIndex],65)&gt;0,SUMIFS(T_StockCount[CountedQty],T_StockCount[Part Name],$A37,T_StockCount[WeekIndex],65),IF((('T_SelfStock'!BN41&lt;&gt;""))*(('T_TTAFStock'!BN41&lt;&gt;""))&gt;0,'T_SelfStock'!BN41+'T_TTAFStock'!BN41,BM37+'Grid_Incoming'!BN37-'Grid_Requirement'!BN37))</f>
        <v/>
      </c>
      <c r="BO37">
        <f>IF(COUNTIFS(T_StockCount[Part Name],$A37,T_StockCount[WeekIndex],66)&gt;0,SUMIFS(T_StockCount[CountedQty],T_StockCount[Part Name],$A37,T_StockCount[WeekIndex],66),IF((('T_SelfStock'!BO41&lt;&gt;""))*(('T_TTAFStock'!BO41&lt;&gt;""))&gt;0,'T_SelfStock'!BO41+'T_TTAFStock'!BO41,BN37+'Grid_Incoming'!BO37-'Grid_Requirement'!BO37))</f>
        <v/>
      </c>
      <c r="BP37">
        <f>IF(COUNTIFS(T_StockCount[Part Name],$A37,T_StockCount[WeekIndex],67)&gt;0,SUMIFS(T_StockCount[CountedQty],T_StockCount[Part Name],$A37,T_StockCount[WeekIndex],67),IF((('T_SelfStock'!BP41&lt;&gt;""))*(('T_TTAFStock'!BP41&lt;&gt;""))&gt;0,'T_SelfStock'!BP41+'T_TTAFStock'!BP41,BO37+'Grid_Incoming'!BP37-'Grid_Requirement'!BP37))</f>
        <v/>
      </c>
      <c r="BQ37">
        <f>IF(COUNTIFS(T_StockCount[Part Name],$A37,T_StockCount[WeekIndex],68)&gt;0,SUMIFS(T_StockCount[CountedQty],T_StockCount[Part Name],$A37,T_StockCount[WeekIndex],68),IF((('T_SelfStock'!BQ41&lt;&gt;""))*(('T_TTAFStock'!BQ41&lt;&gt;""))&gt;0,'T_SelfStock'!BQ41+'T_TTAFStock'!BQ41,BP37+'Grid_Incoming'!BQ37-'Grid_Requirement'!BQ37))</f>
        <v/>
      </c>
      <c r="BR37">
        <f>IF(COUNTIFS(T_StockCount[Part Name],$A37,T_StockCount[WeekIndex],69)&gt;0,SUMIFS(T_StockCount[CountedQty],T_StockCount[Part Name],$A37,T_StockCount[WeekIndex],69),IF((('T_SelfStock'!BR41&lt;&gt;""))*(('T_TTAFStock'!BR41&lt;&gt;""))&gt;0,'T_SelfStock'!BR41+'T_TTAFStock'!BR41,BQ37+'Grid_Incoming'!BR37-'Grid_Requirement'!BR37))</f>
        <v/>
      </c>
      <c r="BS37">
        <f>IF(COUNTIFS(T_StockCount[Part Name],$A37,T_StockCount[WeekIndex],70)&gt;0,SUMIFS(T_StockCount[CountedQty],T_StockCount[Part Name],$A37,T_StockCount[WeekIndex],70),IF((('T_SelfStock'!BS41&lt;&gt;""))*(('T_TTAFStock'!BS41&lt;&gt;""))&gt;0,'T_SelfStock'!BS41+'T_TTAFStock'!BS41,BR37+'Grid_Incoming'!BS37-'Grid_Requirement'!BS37))</f>
        <v/>
      </c>
      <c r="BT37">
        <f>IF(COUNTIFS(T_StockCount[Part Name],$A37,T_StockCount[WeekIndex],71)&gt;0,SUMIFS(T_StockCount[CountedQty],T_StockCount[Part Name],$A37,T_StockCount[WeekIndex],71),IF((('T_SelfStock'!BT41&lt;&gt;""))*(('T_TTAFStock'!BT41&lt;&gt;""))&gt;0,'T_SelfStock'!BT41+'T_TTAFStock'!BT41,BS37+'Grid_Incoming'!BT37-'Grid_Requirement'!BT37))</f>
        <v/>
      </c>
      <c r="BU37">
        <f>IF(COUNTIFS(T_StockCount[Part Name],$A37,T_StockCount[WeekIndex],72)&gt;0,SUMIFS(T_StockCount[CountedQty],T_StockCount[Part Name],$A37,T_StockCount[WeekIndex],72),IF((('T_SelfStock'!BU41&lt;&gt;""))*(('T_TTAFStock'!BU41&lt;&gt;""))&gt;0,'T_SelfStock'!BU41+'T_TTAFStock'!BU41,BT37+'Grid_Incoming'!BU37-'Grid_Requirement'!BU37))</f>
        <v/>
      </c>
      <c r="BV37">
        <f>IF(COUNTIFS(T_StockCount[Part Name],$A37,T_StockCount[WeekIndex],73)&gt;0,SUMIFS(T_StockCount[CountedQty],T_StockCount[Part Name],$A37,T_StockCount[WeekIndex],73),IF((('T_SelfStock'!BV41&lt;&gt;""))*(('T_TTAFStock'!BV41&lt;&gt;""))&gt;0,'T_SelfStock'!BV41+'T_TTAFStock'!BV41,BU37+'Grid_Incoming'!BV37-'Grid_Requirement'!BV37))</f>
        <v/>
      </c>
      <c r="BW37">
        <f>IF(COUNTIFS(T_StockCount[Part Name],$A37,T_StockCount[WeekIndex],74)&gt;0,SUMIFS(T_StockCount[CountedQty],T_StockCount[Part Name],$A37,T_StockCount[WeekIndex],74),IF((('T_SelfStock'!BW41&lt;&gt;""))*(('T_TTAFStock'!BW41&lt;&gt;""))&gt;0,'T_SelfStock'!BW41+'T_TTAFStock'!BW41,BV37+'Grid_Incoming'!BW37-'Grid_Requirement'!BW37))</f>
        <v/>
      </c>
      <c r="BX37">
        <f>IF(COUNTIFS(T_StockCount[Part Name],$A37,T_StockCount[WeekIndex],75)&gt;0,SUMIFS(T_StockCount[CountedQty],T_StockCount[Part Name],$A37,T_StockCount[WeekIndex],75),IF((('T_SelfStock'!BX41&lt;&gt;""))*(('T_TTAFStock'!BX41&lt;&gt;""))&gt;0,'T_SelfStock'!BX41+'T_TTAFStock'!BX41,BW37+'Grid_Incoming'!BX37-'Grid_Requirement'!BX37))</f>
        <v/>
      </c>
      <c r="BY37">
        <f>IF(COUNTIFS(T_StockCount[Part Name],$A37,T_StockCount[WeekIndex],76)&gt;0,SUMIFS(T_StockCount[CountedQty],T_StockCount[Part Name],$A37,T_StockCount[WeekIndex],76),IF((('T_SelfStock'!BY41&lt;&gt;""))*(('T_TTAFStock'!BY41&lt;&gt;""))&gt;0,'T_SelfStock'!BY41+'T_TTAFStock'!BY41,BX37+'Grid_Incoming'!BY37-'Grid_Requirement'!BY37))</f>
        <v/>
      </c>
      <c r="BZ37">
        <f>IF(COUNTIFS(T_StockCount[Part Name],$A37,T_StockCount[WeekIndex],77)&gt;0,SUMIFS(T_StockCount[CountedQty],T_StockCount[Part Name],$A37,T_StockCount[WeekIndex],77),IF((('T_SelfStock'!BZ41&lt;&gt;""))*(('T_TTAFStock'!BZ41&lt;&gt;""))&gt;0,'T_SelfStock'!BZ41+'T_TTAFStock'!BZ41,BY37+'Grid_Incoming'!BZ37-'Grid_Requirement'!BZ37))</f>
        <v/>
      </c>
      <c r="CA37">
        <f>IF(COUNTIFS(T_StockCount[Part Name],$A37,T_StockCount[WeekIndex],78)&gt;0,SUMIFS(T_StockCount[CountedQty],T_StockCount[Part Name],$A37,T_StockCount[WeekIndex],78),IF((('T_SelfStock'!CA41&lt;&gt;""))*(('T_TTAFStock'!CA41&lt;&gt;""))&gt;0,'T_SelfStock'!CA41+'T_TTAFStock'!CA41,BZ37+'Grid_Incoming'!CA37-'Grid_Requirement'!CA37))</f>
        <v/>
      </c>
      <c r="CB37">
        <f>IF(COUNTIFS(T_StockCount[Part Name],$A37,T_StockCount[WeekIndex],79)&gt;0,SUMIFS(T_StockCount[CountedQty],T_StockCount[Part Name],$A37,T_StockCount[WeekIndex],79),IF((('T_SelfStock'!CB41&lt;&gt;""))*(('T_TTAFStock'!CB41&lt;&gt;""))&gt;0,'T_SelfStock'!CB41+'T_TTAFStock'!CB41,CA37+'Grid_Incoming'!CB37-'Grid_Requirement'!CB37))</f>
        <v/>
      </c>
      <c r="CC37">
        <f>IF(COUNTIFS(T_StockCount[Part Name],$A37,T_StockCount[WeekIndex],80)&gt;0,SUMIFS(T_StockCount[CountedQty],T_StockCount[Part Name],$A37,T_StockCount[WeekIndex],80),IF((('T_SelfStock'!CC41&lt;&gt;""))*(('T_TTAFStock'!CC41&lt;&gt;""))&gt;0,'T_SelfStock'!CC41+'T_TTAFStock'!CC41,CB37+'Grid_Incoming'!CC37-'Grid_Requirement'!CC37))</f>
        <v/>
      </c>
      <c r="CD37">
        <f>IF(COUNTIFS(T_StockCount[Part Name],$A37,T_StockCount[WeekIndex],81)&gt;0,SUMIFS(T_StockCount[CountedQty],T_StockCount[Part Name],$A37,T_StockCount[WeekIndex],81),IF((('T_SelfStock'!CD41&lt;&gt;""))*(('T_TTAFStock'!CD41&lt;&gt;""))&gt;0,'T_SelfStock'!CD41+'T_TTAFStock'!CD41,CC37+'Grid_Incoming'!CD37-'Grid_Requirement'!CD37))</f>
        <v/>
      </c>
      <c r="CE37">
        <f>IF(COUNTIFS(T_StockCount[Part Name],$A37,T_StockCount[WeekIndex],82)&gt;0,SUMIFS(T_StockCount[CountedQty],T_StockCount[Part Name],$A37,T_StockCount[WeekIndex],82),IF((('T_SelfStock'!CE41&lt;&gt;""))*(('T_TTAFStock'!CE41&lt;&gt;""))&gt;0,'T_SelfStock'!CE41+'T_TTAFStock'!CE41,CD37+'Grid_Incoming'!CE37-'Grid_Requirement'!CE37))</f>
        <v/>
      </c>
      <c r="CF37">
        <f>IF(COUNTIFS(T_StockCount[Part Name],$A37,T_StockCount[WeekIndex],83)&gt;0,SUMIFS(T_StockCount[CountedQty],T_StockCount[Part Name],$A37,T_StockCount[WeekIndex],83),IF((('T_SelfStock'!CF41&lt;&gt;""))*(('T_TTAFStock'!CF41&lt;&gt;""))&gt;0,'T_SelfStock'!CF41+'T_TTAFStock'!CF41,CE37+'Grid_Incoming'!CF37-'Grid_Requirement'!CF37))</f>
        <v/>
      </c>
      <c r="CG37">
        <f>IF(COUNTIFS(T_StockCount[Part Name],$A37,T_StockCount[WeekIndex],84)&gt;0,SUMIFS(T_StockCount[CountedQty],T_StockCount[Part Name],$A37,T_StockCount[WeekIndex],84),IF((('T_SelfStock'!CG41&lt;&gt;""))*(('T_TTAFStock'!CG41&lt;&gt;""))&gt;0,'T_SelfStock'!CG41+'T_TTAFStock'!CG41,CF37+'Grid_Incoming'!CG37-'Grid_Requirement'!CG37))</f>
        <v/>
      </c>
      <c r="CH37">
        <f>IF(COUNTIFS(T_StockCount[Part Name],$A37,T_StockCount[WeekIndex],85)&gt;0,SUMIFS(T_StockCount[CountedQty],T_StockCount[Part Name],$A37,T_StockCount[WeekIndex],85),IF((('T_SelfStock'!CH41&lt;&gt;""))*(('T_TTAFStock'!CH41&lt;&gt;""))&gt;0,'T_SelfStock'!CH41+'T_TTAFStock'!CH41,CG37+'Grid_Incoming'!CH37-'Grid_Requirement'!CH37))</f>
        <v/>
      </c>
      <c r="CI37">
        <f>IF(COUNTIFS(T_StockCount[Part Name],$A37,T_StockCount[WeekIndex],86)&gt;0,SUMIFS(T_StockCount[CountedQty],T_StockCount[Part Name],$A37,T_StockCount[WeekIndex],86),IF((('T_SelfStock'!CI41&lt;&gt;""))*(('T_TTAFStock'!CI41&lt;&gt;""))&gt;0,'T_SelfStock'!CI41+'T_TTAFStock'!CI41,CH37+'Grid_Incoming'!CI37-'Grid_Requirement'!CI37))</f>
        <v/>
      </c>
      <c r="CJ37">
        <f>IF(COUNTIFS(T_StockCount[Part Name],$A37,T_StockCount[WeekIndex],87)&gt;0,SUMIFS(T_StockCount[CountedQty],T_StockCount[Part Name],$A37,T_StockCount[WeekIndex],87),IF((('T_SelfStock'!CJ41&lt;&gt;""))*(('T_TTAFStock'!CJ41&lt;&gt;""))&gt;0,'T_SelfStock'!CJ41+'T_TTAFStock'!CJ41,CI37+'Grid_Incoming'!CJ37-'Grid_Requirement'!CJ37))</f>
        <v/>
      </c>
      <c r="CK37">
        <f>IF(COUNTIFS(T_StockCount[Part Name],$A37,T_StockCount[WeekIndex],88)&gt;0,SUMIFS(T_StockCount[CountedQty],T_StockCount[Part Name],$A37,T_StockCount[WeekIndex],88),IF((('T_SelfStock'!CK41&lt;&gt;""))*(('T_TTAFStock'!CK41&lt;&gt;""))&gt;0,'T_SelfStock'!CK41+'T_TTAFStock'!CK41,CJ37+'Grid_Incoming'!CK37-'Grid_Requirement'!CK37))</f>
        <v/>
      </c>
      <c r="CL37">
        <f>IF(COUNTIFS(T_StockCount[Part Name],$A37,T_StockCount[WeekIndex],89)&gt;0,SUMIFS(T_StockCount[CountedQty],T_StockCount[Part Name],$A37,T_StockCount[WeekIndex],89),IF((('T_SelfStock'!CL41&lt;&gt;""))*(('T_TTAFStock'!CL41&lt;&gt;""))&gt;0,'T_SelfStock'!CL41+'T_TTAFStock'!CL41,CK37+'Grid_Incoming'!CL37-'Grid_Requirement'!CL37))</f>
        <v/>
      </c>
      <c r="CM37">
        <f>IF(COUNTIFS(T_StockCount[Part Name],$A37,T_StockCount[WeekIndex],90)&gt;0,SUMIFS(T_StockCount[CountedQty],T_StockCount[Part Name],$A37,T_StockCount[WeekIndex],90),IF((('T_SelfStock'!CM41&lt;&gt;""))*(('T_TTAFStock'!CM41&lt;&gt;""))&gt;0,'T_SelfStock'!CM41+'T_TTAFStock'!CM41,CL37+'Grid_Incoming'!CM37-'Grid_Requirement'!CM37))</f>
        <v/>
      </c>
      <c r="CN37">
        <f>IF(COUNTIFS(T_StockCount[Part Name],$A37,T_StockCount[WeekIndex],91)&gt;0,SUMIFS(T_StockCount[CountedQty],T_StockCount[Part Name],$A37,T_StockCount[WeekIndex],91),IF((('T_SelfStock'!CN41&lt;&gt;""))*(('T_TTAFStock'!CN41&lt;&gt;""))&gt;0,'T_SelfStock'!CN41+'T_TTAFStock'!CN41,CM37+'Grid_Incoming'!CN37-'Grid_Requirement'!CN37))</f>
        <v/>
      </c>
      <c r="CO37">
        <f>IF(COUNTIFS(T_StockCount[Part Name],$A37,T_StockCount[WeekIndex],92)&gt;0,SUMIFS(T_StockCount[CountedQty],T_StockCount[Part Name],$A37,T_StockCount[WeekIndex],92),IF((('T_SelfStock'!CO41&lt;&gt;""))*(('T_TTAFStock'!CO41&lt;&gt;""))&gt;0,'T_SelfStock'!CO41+'T_TTAFStock'!CO41,CN37+'Grid_Incoming'!CO37-'Grid_Requirement'!CO37))</f>
        <v/>
      </c>
      <c r="CP37">
        <f>IF(COUNTIFS(T_StockCount[Part Name],$A37,T_StockCount[WeekIndex],93)&gt;0,SUMIFS(T_StockCount[CountedQty],T_StockCount[Part Name],$A37,T_StockCount[WeekIndex],93),IF((('T_SelfStock'!CP41&lt;&gt;""))*(('T_TTAFStock'!CP41&lt;&gt;""))&gt;0,'T_SelfStock'!CP41+'T_TTAFStock'!CP41,CO37+'Grid_Incoming'!CP37-'Grid_Requirement'!CP37))</f>
        <v/>
      </c>
      <c r="CQ37">
        <f>IF(COUNTIFS(T_StockCount[Part Name],$A37,T_StockCount[WeekIndex],94)&gt;0,SUMIFS(T_StockCount[CountedQty],T_StockCount[Part Name],$A37,T_StockCount[WeekIndex],94),IF((('T_SelfStock'!CQ41&lt;&gt;""))*(('T_TTAFStock'!CQ41&lt;&gt;""))&gt;0,'T_SelfStock'!CQ41+'T_TTAFStock'!CQ41,CP37+'Grid_Incoming'!CQ37-'Grid_Requirement'!CQ37))</f>
        <v/>
      </c>
      <c r="CR37">
        <f>IF(COUNTIFS(T_StockCount[Part Name],$A37,T_StockCount[WeekIndex],95)&gt;0,SUMIFS(T_StockCount[CountedQty],T_StockCount[Part Name],$A37,T_StockCount[WeekIndex],95),IF((('T_SelfStock'!CR41&lt;&gt;""))*(('T_TTAFStock'!CR41&lt;&gt;""))&gt;0,'T_SelfStock'!CR41+'T_TTAFStock'!CR41,CQ37+'Grid_Incoming'!CR37-'Grid_Requirement'!CR37))</f>
        <v/>
      </c>
      <c r="CS37">
        <f>IF(COUNTIFS(T_StockCount[Part Name],$A37,T_StockCount[WeekIndex],96)&gt;0,SUMIFS(T_StockCount[CountedQty],T_StockCount[Part Name],$A37,T_StockCount[WeekIndex],96),IF((('T_SelfStock'!CS41&lt;&gt;""))*(('T_TTAFStock'!CS41&lt;&gt;""))&gt;0,'T_SelfStock'!CS41+'T_TTAFStock'!CS41,CR37+'Grid_Incoming'!CS37-'Grid_Requirement'!CS37))</f>
        <v/>
      </c>
      <c r="CT37">
        <f>IF(COUNTIFS(T_StockCount[Part Name],$A37,T_StockCount[WeekIndex],97)&gt;0,SUMIFS(T_StockCount[CountedQty],T_StockCount[Part Name],$A37,T_StockCount[WeekIndex],97),IF((('T_SelfStock'!CT41&lt;&gt;""))*(('T_TTAFStock'!CT41&lt;&gt;""))&gt;0,'T_SelfStock'!CT41+'T_TTAFStock'!CT41,CS37+'Grid_Incoming'!CT37-'Grid_Requirement'!CT37))</f>
        <v/>
      </c>
      <c r="CU37">
        <f>IF(COUNTIFS(T_StockCount[Part Name],$A37,T_StockCount[WeekIndex],98)&gt;0,SUMIFS(T_StockCount[CountedQty],T_StockCount[Part Name],$A37,T_StockCount[WeekIndex],98),IF((('T_SelfStock'!CU41&lt;&gt;""))*(('T_TTAFStock'!CU41&lt;&gt;""))&gt;0,'T_SelfStock'!CU41+'T_TTAFStock'!CU41,CT37+'Grid_Incoming'!CU37-'Grid_Requirement'!CU37))</f>
        <v/>
      </c>
      <c r="CV37">
        <f>IF(COUNTIFS(T_StockCount[Part Name],$A37,T_StockCount[WeekIndex],99)&gt;0,SUMIFS(T_StockCount[CountedQty],T_StockCount[Part Name],$A37,T_StockCount[WeekIndex],99),IF((('T_SelfStock'!CV41&lt;&gt;""))*(('T_TTAFStock'!CV41&lt;&gt;""))&gt;0,'T_SelfStock'!CV41+'T_TTAFStock'!CV41,CU37+'Grid_Incoming'!CV37-'Grid_Requirement'!CV37))</f>
        <v/>
      </c>
      <c r="CW37">
        <f>IF(COUNTIFS(T_StockCount[Part Name],$A37,T_StockCount[WeekIndex],100)&gt;0,SUMIFS(T_StockCount[CountedQty],T_StockCount[Part Name],$A37,T_StockCount[WeekIndex],100),IF((('T_SelfStock'!CW41&lt;&gt;""))*(('T_TTAFStock'!CW41&lt;&gt;""))&gt;0,'T_SelfStock'!CW41+'T_TTAFStock'!CW41,CV37+'Grid_Incoming'!CW37-'Grid_Requirement'!CW37))</f>
        <v/>
      </c>
      <c r="CX37">
        <f>IF(COUNTIFS(T_StockCount[Part Name],$A37,T_StockCount[WeekIndex],101)&gt;0,SUMIFS(T_StockCount[CountedQty],T_StockCount[Part Name],$A37,T_StockCount[WeekIndex],101),IF((('T_SelfStock'!CX41&lt;&gt;""))*(('T_TTAFStock'!CX41&lt;&gt;""))&gt;0,'T_SelfStock'!CX41+'T_TTAFStock'!CX41,CW37+'Grid_Incoming'!CX37-'Grid_Requirement'!CX37))</f>
        <v/>
      </c>
      <c r="CY37">
        <f>IF(COUNTIFS(T_StockCount[Part Name],$A37,T_StockCount[WeekIndex],102)&gt;0,SUMIFS(T_StockCount[CountedQty],T_StockCount[Part Name],$A37,T_StockCount[WeekIndex],102),IF((('T_SelfStock'!CY41&lt;&gt;""))*(('T_TTAFStock'!CY41&lt;&gt;""))&gt;0,'T_SelfStock'!CY41+'T_TTAFStock'!CY41,CX37+'Grid_Incoming'!CY37-'Grid_Requirement'!CY37))</f>
        <v/>
      </c>
      <c r="CZ37">
        <f>IF(COUNTIFS(T_StockCount[Part Name],$A37,T_StockCount[WeekIndex],103)&gt;0,SUMIFS(T_StockCount[CountedQty],T_StockCount[Part Name],$A37,T_StockCount[WeekIndex],103),IF((('T_SelfStock'!CZ41&lt;&gt;""))*(('T_TTAFStock'!CZ41&lt;&gt;""))&gt;0,'T_SelfStock'!CZ41+'T_TTAFStock'!CZ41,CY37+'Grid_Incoming'!CZ37-'Grid_Requirement'!CZ37))</f>
        <v/>
      </c>
      <c r="DA37">
        <f>IF(COUNTIFS(T_StockCount[Part Name],$A37,T_StockCount[WeekIndex],104)&gt;0,SUMIFS(T_StockCount[CountedQty],T_StockCount[Part Name],$A37,T_StockCount[WeekIndex],104),IF((('T_SelfStock'!DA41&lt;&gt;""))*(('T_TTAFStock'!DA41&lt;&gt;""))&gt;0,'T_SelfStock'!DA41+'T_TTAFStock'!DA41,CZ37+'Grid_Incoming'!DA37-'Grid_Requirement'!DA37))</f>
        <v/>
      </c>
    </row>
    <row r="38">
      <c r="A38" t="inlineStr">
        <is>
          <t>CHEM-1530</t>
        </is>
      </c>
      <c r="B38">
        <f>IF(COUNTIFS(T_StockCount[Part Name],$A38,T_StockCount[WeekIndex],1)&gt;0,SUMIFS(T_StockCount[CountedQty],T_StockCount[Part Name],$A38,T_StockCount[WeekIndex],1),IF((('T_SelfStock'!B42&lt;&gt;""))*(('T_TTAFStock'!B42&lt;&gt;""))&gt;0,'T_SelfStock'!B42+'T_TTAFStock'!B42,IFERROR(INDEX(T_OpeningStock[Opening_Qty_要入力],MATCH($A38,T_OpeningStock[Part Name],0)),0)+'Grid_Incoming'!B38-'Grid_Requirement'!B38))</f>
        <v/>
      </c>
      <c r="C38">
        <f>IF(COUNTIFS(T_StockCount[Part Name],$A38,T_StockCount[WeekIndex],2)&gt;0,SUMIFS(T_StockCount[CountedQty],T_StockCount[Part Name],$A38,T_StockCount[WeekIndex],2),IF((('T_SelfStock'!C42&lt;&gt;""))*(('T_TTAFStock'!C42&lt;&gt;""))&gt;0,'T_SelfStock'!C42+'T_TTAFStock'!C42,B38+'Grid_Incoming'!C38-'Grid_Requirement'!C38))</f>
        <v/>
      </c>
      <c r="D38">
        <f>IF(COUNTIFS(T_StockCount[Part Name],$A38,T_StockCount[WeekIndex],3)&gt;0,SUMIFS(T_StockCount[CountedQty],T_StockCount[Part Name],$A38,T_StockCount[WeekIndex],3),IF((('T_SelfStock'!D42&lt;&gt;""))*(('T_TTAFStock'!D42&lt;&gt;""))&gt;0,'T_SelfStock'!D42+'T_TTAFStock'!D42,C38+'Grid_Incoming'!D38-'Grid_Requirement'!D38))</f>
        <v/>
      </c>
      <c r="E38">
        <f>IF(COUNTIFS(T_StockCount[Part Name],$A38,T_StockCount[WeekIndex],4)&gt;0,SUMIFS(T_StockCount[CountedQty],T_StockCount[Part Name],$A38,T_StockCount[WeekIndex],4),IF((('T_SelfStock'!E42&lt;&gt;""))*(('T_TTAFStock'!E42&lt;&gt;""))&gt;0,'T_SelfStock'!E42+'T_TTAFStock'!E42,D38+'Grid_Incoming'!E38-'Grid_Requirement'!E38))</f>
        <v/>
      </c>
      <c r="F38">
        <f>IF(COUNTIFS(T_StockCount[Part Name],$A38,T_StockCount[WeekIndex],5)&gt;0,SUMIFS(T_StockCount[CountedQty],T_StockCount[Part Name],$A38,T_StockCount[WeekIndex],5),IF((('T_SelfStock'!F42&lt;&gt;""))*(('T_TTAFStock'!F42&lt;&gt;""))&gt;0,'T_SelfStock'!F42+'T_TTAFStock'!F42,E38+'Grid_Incoming'!F38-'Grid_Requirement'!F38))</f>
        <v/>
      </c>
      <c r="G38">
        <f>IF(COUNTIFS(T_StockCount[Part Name],$A38,T_StockCount[WeekIndex],6)&gt;0,SUMIFS(T_StockCount[CountedQty],T_StockCount[Part Name],$A38,T_StockCount[WeekIndex],6),IF((('T_SelfStock'!G42&lt;&gt;""))*(('T_TTAFStock'!G42&lt;&gt;""))&gt;0,'T_SelfStock'!G42+'T_TTAFStock'!G42,F38+'Grid_Incoming'!G38-'Grid_Requirement'!G38))</f>
        <v/>
      </c>
      <c r="H38">
        <f>IF(COUNTIFS(T_StockCount[Part Name],$A38,T_StockCount[WeekIndex],7)&gt;0,SUMIFS(T_StockCount[CountedQty],T_StockCount[Part Name],$A38,T_StockCount[WeekIndex],7),IF((('T_SelfStock'!H42&lt;&gt;""))*(('T_TTAFStock'!H42&lt;&gt;""))&gt;0,'T_SelfStock'!H42+'T_TTAFStock'!H42,G38+'Grid_Incoming'!H38-'Grid_Requirement'!H38))</f>
        <v/>
      </c>
      <c r="I38">
        <f>IF(COUNTIFS(T_StockCount[Part Name],$A38,T_StockCount[WeekIndex],8)&gt;0,SUMIFS(T_StockCount[CountedQty],T_StockCount[Part Name],$A38,T_StockCount[WeekIndex],8),IF((('T_SelfStock'!I42&lt;&gt;""))*(('T_TTAFStock'!I42&lt;&gt;""))&gt;0,'T_SelfStock'!I42+'T_TTAFStock'!I42,H38+'Grid_Incoming'!I38-'Grid_Requirement'!I38))</f>
        <v/>
      </c>
      <c r="J38">
        <f>IF(COUNTIFS(T_StockCount[Part Name],$A38,T_StockCount[WeekIndex],9)&gt;0,SUMIFS(T_StockCount[CountedQty],T_StockCount[Part Name],$A38,T_StockCount[WeekIndex],9),IF((('T_SelfStock'!J42&lt;&gt;""))*(('T_TTAFStock'!J42&lt;&gt;""))&gt;0,'T_SelfStock'!J42+'T_TTAFStock'!J42,I38+'Grid_Incoming'!J38-'Grid_Requirement'!J38))</f>
        <v/>
      </c>
      <c r="K38">
        <f>IF(COUNTIFS(T_StockCount[Part Name],$A38,T_StockCount[WeekIndex],10)&gt;0,SUMIFS(T_StockCount[CountedQty],T_StockCount[Part Name],$A38,T_StockCount[WeekIndex],10),IF((('T_SelfStock'!K42&lt;&gt;""))*(('T_TTAFStock'!K42&lt;&gt;""))&gt;0,'T_SelfStock'!K42+'T_TTAFStock'!K42,J38+'Grid_Incoming'!K38-'Grid_Requirement'!K38))</f>
        <v/>
      </c>
      <c r="L38">
        <f>IF(COUNTIFS(T_StockCount[Part Name],$A38,T_StockCount[WeekIndex],11)&gt;0,SUMIFS(T_StockCount[CountedQty],T_StockCount[Part Name],$A38,T_StockCount[WeekIndex],11),IF((('T_SelfStock'!L42&lt;&gt;""))*(('T_TTAFStock'!L42&lt;&gt;""))&gt;0,'T_SelfStock'!L42+'T_TTAFStock'!L42,K38+'Grid_Incoming'!L38-'Grid_Requirement'!L38))</f>
        <v/>
      </c>
      <c r="M38">
        <f>IF(COUNTIFS(T_StockCount[Part Name],$A38,T_StockCount[WeekIndex],12)&gt;0,SUMIFS(T_StockCount[CountedQty],T_StockCount[Part Name],$A38,T_StockCount[WeekIndex],12),IF((('T_SelfStock'!M42&lt;&gt;""))*(('T_TTAFStock'!M42&lt;&gt;""))&gt;0,'T_SelfStock'!M42+'T_TTAFStock'!M42,L38+'Grid_Incoming'!M38-'Grid_Requirement'!M38))</f>
        <v/>
      </c>
      <c r="N38">
        <f>IF(COUNTIFS(T_StockCount[Part Name],$A38,T_StockCount[WeekIndex],13)&gt;0,SUMIFS(T_StockCount[CountedQty],T_StockCount[Part Name],$A38,T_StockCount[WeekIndex],13),IF((('T_SelfStock'!N42&lt;&gt;""))*(('T_TTAFStock'!N42&lt;&gt;""))&gt;0,'T_SelfStock'!N42+'T_TTAFStock'!N42,M38+'Grid_Incoming'!N38-'Grid_Requirement'!N38))</f>
        <v/>
      </c>
      <c r="O38">
        <f>IF(COUNTIFS(T_StockCount[Part Name],$A38,T_StockCount[WeekIndex],14)&gt;0,SUMIFS(T_StockCount[CountedQty],T_StockCount[Part Name],$A38,T_StockCount[WeekIndex],14),IF((('T_SelfStock'!O42&lt;&gt;""))*(('T_TTAFStock'!O42&lt;&gt;""))&gt;0,'T_SelfStock'!O42+'T_TTAFStock'!O42,N38+'Grid_Incoming'!O38-'Grid_Requirement'!O38))</f>
        <v/>
      </c>
      <c r="P38">
        <f>IF(COUNTIFS(T_StockCount[Part Name],$A38,T_StockCount[WeekIndex],15)&gt;0,SUMIFS(T_StockCount[CountedQty],T_StockCount[Part Name],$A38,T_StockCount[WeekIndex],15),IF((('T_SelfStock'!P42&lt;&gt;""))*(('T_TTAFStock'!P42&lt;&gt;""))&gt;0,'T_SelfStock'!P42+'T_TTAFStock'!P42,O38+'Grid_Incoming'!P38-'Grid_Requirement'!P38))</f>
        <v/>
      </c>
      <c r="Q38">
        <f>IF(COUNTIFS(T_StockCount[Part Name],$A38,T_StockCount[WeekIndex],16)&gt;0,SUMIFS(T_StockCount[CountedQty],T_StockCount[Part Name],$A38,T_StockCount[WeekIndex],16),IF((('T_SelfStock'!Q42&lt;&gt;""))*(('T_TTAFStock'!Q42&lt;&gt;""))&gt;0,'T_SelfStock'!Q42+'T_TTAFStock'!Q42,P38+'Grid_Incoming'!Q38-'Grid_Requirement'!Q38))</f>
        <v/>
      </c>
      <c r="R38">
        <f>IF(COUNTIFS(T_StockCount[Part Name],$A38,T_StockCount[WeekIndex],17)&gt;0,SUMIFS(T_StockCount[CountedQty],T_StockCount[Part Name],$A38,T_StockCount[WeekIndex],17),IF((('T_SelfStock'!R42&lt;&gt;""))*(('T_TTAFStock'!R42&lt;&gt;""))&gt;0,'T_SelfStock'!R42+'T_TTAFStock'!R42,Q38+'Grid_Incoming'!R38-'Grid_Requirement'!R38))</f>
        <v/>
      </c>
      <c r="S38">
        <f>IF(COUNTIFS(T_StockCount[Part Name],$A38,T_StockCount[WeekIndex],18)&gt;0,SUMIFS(T_StockCount[CountedQty],T_StockCount[Part Name],$A38,T_StockCount[WeekIndex],18),IF((('T_SelfStock'!S42&lt;&gt;""))*(('T_TTAFStock'!S42&lt;&gt;""))&gt;0,'T_SelfStock'!S42+'T_TTAFStock'!S42,R38+'Grid_Incoming'!S38-'Grid_Requirement'!S38))</f>
        <v/>
      </c>
      <c r="T38">
        <f>IF(COUNTIFS(T_StockCount[Part Name],$A38,T_StockCount[WeekIndex],19)&gt;0,SUMIFS(T_StockCount[CountedQty],T_StockCount[Part Name],$A38,T_StockCount[WeekIndex],19),IF((('T_SelfStock'!T42&lt;&gt;""))*(('T_TTAFStock'!T42&lt;&gt;""))&gt;0,'T_SelfStock'!T42+'T_TTAFStock'!T42,S38+'Grid_Incoming'!T38-'Grid_Requirement'!T38))</f>
        <v/>
      </c>
      <c r="U38">
        <f>IF(COUNTIFS(T_StockCount[Part Name],$A38,T_StockCount[WeekIndex],20)&gt;0,SUMIFS(T_StockCount[CountedQty],T_StockCount[Part Name],$A38,T_StockCount[WeekIndex],20),IF((('T_SelfStock'!U42&lt;&gt;""))*(('T_TTAFStock'!U42&lt;&gt;""))&gt;0,'T_SelfStock'!U42+'T_TTAFStock'!U42,T38+'Grid_Incoming'!U38-'Grid_Requirement'!U38))</f>
        <v/>
      </c>
      <c r="V38">
        <f>IF(COUNTIFS(T_StockCount[Part Name],$A38,T_StockCount[WeekIndex],21)&gt;0,SUMIFS(T_StockCount[CountedQty],T_StockCount[Part Name],$A38,T_StockCount[WeekIndex],21),IF((('T_SelfStock'!V42&lt;&gt;""))*(('T_TTAFStock'!V42&lt;&gt;""))&gt;0,'T_SelfStock'!V42+'T_TTAFStock'!V42,U38+'Grid_Incoming'!V38-'Grid_Requirement'!V38))</f>
        <v/>
      </c>
      <c r="W38">
        <f>IF(COUNTIFS(T_StockCount[Part Name],$A38,T_StockCount[WeekIndex],22)&gt;0,SUMIFS(T_StockCount[CountedQty],T_StockCount[Part Name],$A38,T_StockCount[WeekIndex],22),IF((('T_SelfStock'!W42&lt;&gt;""))*(('T_TTAFStock'!W42&lt;&gt;""))&gt;0,'T_SelfStock'!W42+'T_TTAFStock'!W42,V38+'Grid_Incoming'!W38-'Grid_Requirement'!W38))</f>
        <v/>
      </c>
      <c r="X38">
        <f>IF(COUNTIFS(T_StockCount[Part Name],$A38,T_StockCount[WeekIndex],23)&gt;0,SUMIFS(T_StockCount[CountedQty],T_StockCount[Part Name],$A38,T_StockCount[WeekIndex],23),IF((('T_SelfStock'!X42&lt;&gt;""))*(('T_TTAFStock'!X42&lt;&gt;""))&gt;0,'T_SelfStock'!X42+'T_TTAFStock'!X42,W38+'Grid_Incoming'!X38-'Grid_Requirement'!X38))</f>
        <v/>
      </c>
      <c r="Y38">
        <f>IF(COUNTIFS(T_StockCount[Part Name],$A38,T_StockCount[WeekIndex],24)&gt;0,SUMIFS(T_StockCount[CountedQty],T_StockCount[Part Name],$A38,T_StockCount[WeekIndex],24),IF((('T_SelfStock'!Y42&lt;&gt;""))*(('T_TTAFStock'!Y42&lt;&gt;""))&gt;0,'T_SelfStock'!Y42+'T_TTAFStock'!Y42,X38+'Grid_Incoming'!Y38-'Grid_Requirement'!Y38))</f>
        <v/>
      </c>
      <c r="Z38">
        <f>IF(COUNTIFS(T_StockCount[Part Name],$A38,T_StockCount[WeekIndex],25)&gt;0,SUMIFS(T_StockCount[CountedQty],T_StockCount[Part Name],$A38,T_StockCount[WeekIndex],25),IF((('T_SelfStock'!Z42&lt;&gt;""))*(('T_TTAFStock'!Z42&lt;&gt;""))&gt;0,'T_SelfStock'!Z42+'T_TTAFStock'!Z42,Y38+'Grid_Incoming'!Z38-'Grid_Requirement'!Z38))</f>
        <v/>
      </c>
      <c r="AA38">
        <f>IF(COUNTIFS(T_StockCount[Part Name],$A38,T_StockCount[WeekIndex],26)&gt;0,SUMIFS(T_StockCount[CountedQty],T_StockCount[Part Name],$A38,T_StockCount[WeekIndex],26),IF((('T_SelfStock'!AA42&lt;&gt;""))*(('T_TTAFStock'!AA42&lt;&gt;""))&gt;0,'T_SelfStock'!AA42+'T_TTAFStock'!AA42,Z38+'Grid_Incoming'!AA38-'Grid_Requirement'!AA38))</f>
        <v/>
      </c>
      <c r="AB38">
        <f>IF(COUNTIFS(T_StockCount[Part Name],$A38,T_StockCount[WeekIndex],27)&gt;0,SUMIFS(T_StockCount[CountedQty],T_StockCount[Part Name],$A38,T_StockCount[WeekIndex],27),IF((('T_SelfStock'!AB42&lt;&gt;""))*(('T_TTAFStock'!AB42&lt;&gt;""))&gt;0,'T_SelfStock'!AB42+'T_TTAFStock'!AB42,AA38+'Grid_Incoming'!AB38-'Grid_Requirement'!AB38))</f>
        <v/>
      </c>
      <c r="AC38">
        <f>IF(COUNTIFS(T_StockCount[Part Name],$A38,T_StockCount[WeekIndex],28)&gt;0,SUMIFS(T_StockCount[CountedQty],T_StockCount[Part Name],$A38,T_StockCount[WeekIndex],28),IF((('T_SelfStock'!AC42&lt;&gt;""))*(('T_TTAFStock'!AC42&lt;&gt;""))&gt;0,'T_SelfStock'!AC42+'T_TTAFStock'!AC42,AB38+'Grid_Incoming'!AC38-'Grid_Requirement'!AC38))</f>
        <v/>
      </c>
      <c r="AD38">
        <f>IF(COUNTIFS(T_StockCount[Part Name],$A38,T_StockCount[WeekIndex],29)&gt;0,SUMIFS(T_StockCount[CountedQty],T_StockCount[Part Name],$A38,T_StockCount[WeekIndex],29),IF((('T_SelfStock'!AD42&lt;&gt;""))*(('T_TTAFStock'!AD42&lt;&gt;""))&gt;0,'T_SelfStock'!AD42+'T_TTAFStock'!AD42,AC38+'Grid_Incoming'!AD38-'Grid_Requirement'!AD38))</f>
        <v/>
      </c>
      <c r="AE38">
        <f>IF(COUNTIFS(T_StockCount[Part Name],$A38,T_StockCount[WeekIndex],30)&gt;0,SUMIFS(T_StockCount[CountedQty],T_StockCount[Part Name],$A38,T_StockCount[WeekIndex],30),IF((('T_SelfStock'!AE42&lt;&gt;""))*(('T_TTAFStock'!AE42&lt;&gt;""))&gt;0,'T_SelfStock'!AE42+'T_TTAFStock'!AE42,AD38+'Grid_Incoming'!AE38-'Grid_Requirement'!AE38))</f>
        <v/>
      </c>
      <c r="AF38">
        <f>IF(COUNTIFS(T_StockCount[Part Name],$A38,T_StockCount[WeekIndex],31)&gt;0,SUMIFS(T_StockCount[CountedQty],T_StockCount[Part Name],$A38,T_StockCount[WeekIndex],31),IF((('T_SelfStock'!AF42&lt;&gt;""))*(('T_TTAFStock'!AF42&lt;&gt;""))&gt;0,'T_SelfStock'!AF42+'T_TTAFStock'!AF42,AE38+'Grid_Incoming'!AF38-'Grid_Requirement'!AF38))</f>
        <v/>
      </c>
      <c r="AG38">
        <f>IF(COUNTIFS(T_StockCount[Part Name],$A38,T_StockCount[WeekIndex],32)&gt;0,SUMIFS(T_StockCount[CountedQty],T_StockCount[Part Name],$A38,T_StockCount[WeekIndex],32),IF((('T_SelfStock'!AG42&lt;&gt;""))*(('T_TTAFStock'!AG42&lt;&gt;""))&gt;0,'T_SelfStock'!AG42+'T_TTAFStock'!AG42,AF38+'Grid_Incoming'!AG38-'Grid_Requirement'!AG38))</f>
        <v/>
      </c>
      <c r="AH38">
        <f>IF(COUNTIFS(T_StockCount[Part Name],$A38,T_StockCount[WeekIndex],33)&gt;0,SUMIFS(T_StockCount[CountedQty],T_StockCount[Part Name],$A38,T_StockCount[WeekIndex],33),IF((('T_SelfStock'!AH42&lt;&gt;""))*(('T_TTAFStock'!AH42&lt;&gt;""))&gt;0,'T_SelfStock'!AH42+'T_TTAFStock'!AH42,AG38+'Grid_Incoming'!AH38-'Grid_Requirement'!AH38))</f>
        <v/>
      </c>
      <c r="AI38">
        <f>IF(COUNTIFS(T_StockCount[Part Name],$A38,T_StockCount[WeekIndex],34)&gt;0,SUMIFS(T_StockCount[CountedQty],T_StockCount[Part Name],$A38,T_StockCount[WeekIndex],34),IF((('T_SelfStock'!AI42&lt;&gt;""))*(('T_TTAFStock'!AI42&lt;&gt;""))&gt;0,'T_SelfStock'!AI42+'T_TTAFStock'!AI42,AH38+'Grid_Incoming'!AI38-'Grid_Requirement'!AI38))</f>
        <v/>
      </c>
      <c r="AJ38">
        <f>IF(COUNTIFS(T_StockCount[Part Name],$A38,T_StockCount[WeekIndex],35)&gt;0,SUMIFS(T_StockCount[CountedQty],T_StockCount[Part Name],$A38,T_StockCount[WeekIndex],35),IF((('T_SelfStock'!AJ42&lt;&gt;""))*(('T_TTAFStock'!AJ42&lt;&gt;""))&gt;0,'T_SelfStock'!AJ42+'T_TTAFStock'!AJ42,AI38+'Grid_Incoming'!AJ38-'Grid_Requirement'!AJ38))</f>
        <v/>
      </c>
      <c r="AK38">
        <f>IF(COUNTIFS(T_StockCount[Part Name],$A38,T_StockCount[WeekIndex],36)&gt;0,SUMIFS(T_StockCount[CountedQty],T_StockCount[Part Name],$A38,T_StockCount[WeekIndex],36),IF((('T_SelfStock'!AK42&lt;&gt;""))*(('T_TTAFStock'!AK42&lt;&gt;""))&gt;0,'T_SelfStock'!AK42+'T_TTAFStock'!AK42,AJ38+'Grid_Incoming'!AK38-'Grid_Requirement'!AK38))</f>
        <v/>
      </c>
      <c r="AL38">
        <f>IF(COUNTIFS(T_StockCount[Part Name],$A38,T_StockCount[WeekIndex],37)&gt;0,SUMIFS(T_StockCount[CountedQty],T_StockCount[Part Name],$A38,T_StockCount[WeekIndex],37),IF((('T_SelfStock'!AL42&lt;&gt;""))*(('T_TTAFStock'!AL42&lt;&gt;""))&gt;0,'T_SelfStock'!AL42+'T_TTAFStock'!AL42,AK38+'Grid_Incoming'!AL38-'Grid_Requirement'!AL38))</f>
        <v/>
      </c>
      <c r="AM38">
        <f>IF(COUNTIFS(T_StockCount[Part Name],$A38,T_StockCount[WeekIndex],38)&gt;0,SUMIFS(T_StockCount[CountedQty],T_StockCount[Part Name],$A38,T_StockCount[WeekIndex],38),IF((('T_SelfStock'!AM42&lt;&gt;""))*(('T_TTAFStock'!AM42&lt;&gt;""))&gt;0,'T_SelfStock'!AM42+'T_TTAFStock'!AM42,AL38+'Grid_Incoming'!AM38-'Grid_Requirement'!AM38))</f>
        <v/>
      </c>
      <c r="AN38">
        <f>IF(COUNTIFS(T_StockCount[Part Name],$A38,T_StockCount[WeekIndex],39)&gt;0,SUMIFS(T_StockCount[CountedQty],T_StockCount[Part Name],$A38,T_StockCount[WeekIndex],39),IF((('T_SelfStock'!AN42&lt;&gt;""))*(('T_TTAFStock'!AN42&lt;&gt;""))&gt;0,'T_SelfStock'!AN42+'T_TTAFStock'!AN42,AM38+'Grid_Incoming'!AN38-'Grid_Requirement'!AN38))</f>
        <v/>
      </c>
      <c r="AO38">
        <f>IF(COUNTIFS(T_StockCount[Part Name],$A38,T_StockCount[WeekIndex],40)&gt;0,SUMIFS(T_StockCount[CountedQty],T_StockCount[Part Name],$A38,T_StockCount[WeekIndex],40),IF((('T_SelfStock'!AO42&lt;&gt;""))*(('T_TTAFStock'!AO42&lt;&gt;""))&gt;0,'T_SelfStock'!AO42+'T_TTAFStock'!AO42,AN38+'Grid_Incoming'!AO38-'Grid_Requirement'!AO38))</f>
        <v/>
      </c>
      <c r="AP38">
        <f>IF(COUNTIFS(T_StockCount[Part Name],$A38,T_StockCount[WeekIndex],41)&gt;0,SUMIFS(T_StockCount[CountedQty],T_StockCount[Part Name],$A38,T_StockCount[WeekIndex],41),IF((('T_SelfStock'!AP42&lt;&gt;""))*(('T_TTAFStock'!AP42&lt;&gt;""))&gt;0,'T_SelfStock'!AP42+'T_TTAFStock'!AP42,AO38+'Grid_Incoming'!AP38-'Grid_Requirement'!AP38))</f>
        <v/>
      </c>
      <c r="AQ38">
        <f>IF(COUNTIFS(T_StockCount[Part Name],$A38,T_StockCount[WeekIndex],42)&gt;0,SUMIFS(T_StockCount[CountedQty],T_StockCount[Part Name],$A38,T_StockCount[WeekIndex],42),IF((('T_SelfStock'!AQ42&lt;&gt;""))*(('T_TTAFStock'!AQ42&lt;&gt;""))&gt;0,'T_SelfStock'!AQ42+'T_TTAFStock'!AQ42,AP38+'Grid_Incoming'!AQ38-'Grid_Requirement'!AQ38))</f>
        <v/>
      </c>
      <c r="AR38">
        <f>IF(COUNTIFS(T_StockCount[Part Name],$A38,T_StockCount[WeekIndex],43)&gt;0,SUMIFS(T_StockCount[CountedQty],T_StockCount[Part Name],$A38,T_StockCount[WeekIndex],43),IF((('T_SelfStock'!AR42&lt;&gt;""))*(('T_TTAFStock'!AR42&lt;&gt;""))&gt;0,'T_SelfStock'!AR42+'T_TTAFStock'!AR42,AQ38+'Grid_Incoming'!AR38-'Grid_Requirement'!AR38))</f>
        <v/>
      </c>
      <c r="AS38">
        <f>IF(COUNTIFS(T_StockCount[Part Name],$A38,T_StockCount[WeekIndex],44)&gt;0,SUMIFS(T_StockCount[CountedQty],T_StockCount[Part Name],$A38,T_StockCount[WeekIndex],44),IF((('T_SelfStock'!AS42&lt;&gt;""))*(('T_TTAFStock'!AS42&lt;&gt;""))&gt;0,'T_SelfStock'!AS42+'T_TTAFStock'!AS42,AR38+'Grid_Incoming'!AS38-'Grid_Requirement'!AS38))</f>
        <v/>
      </c>
      <c r="AT38">
        <f>IF(COUNTIFS(T_StockCount[Part Name],$A38,T_StockCount[WeekIndex],45)&gt;0,SUMIFS(T_StockCount[CountedQty],T_StockCount[Part Name],$A38,T_StockCount[WeekIndex],45),IF((('T_SelfStock'!AT42&lt;&gt;""))*(('T_TTAFStock'!AT42&lt;&gt;""))&gt;0,'T_SelfStock'!AT42+'T_TTAFStock'!AT42,AS38+'Grid_Incoming'!AT38-'Grid_Requirement'!AT38))</f>
        <v/>
      </c>
      <c r="AU38">
        <f>IF(COUNTIFS(T_StockCount[Part Name],$A38,T_StockCount[WeekIndex],46)&gt;0,SUMIFS(T_StockCount[CountedQty],T_StockCount[Part Name],$A38,T_StockCount[WeekIndex],46),IF((('T_SelfStock'!AU42&lt;&gt;""))*(('T_TTAFStock'!AU42&lt;&gt;""))&gt;0,'T_SelfStock'!AU42+'T_TTAFStock'!AU42,AT38+'Grid_Incoming'!AU38-'Grid_Requirement'!AU38))</f>
        <v/>
      </c>
      <c r="AV38">
        <f>IF(COUNTIFS(T_StockCount[Part Name],$A38,T_StockCount[WeekIndex],47)&gt;0,SUMIFS(T_StockCount[CountedQty],T_StockCount[Part Name],$A38,T_StockCount[WeekIndex],47),IF((('T_SelfStock'!AV42&lt;&gt;""))*(('T_TTAFStock'!AV42&lt;&gt;""))&gt;0,'T_SelfStock'!AV42+'T_TTAFStock'!AV42,AU38+'Grid_Incoming'!AV38-'Grid_Requirement'!AV38))</f>
        <v/>
      </c>
      <c r="AW38">
        <f>IF(COUNTIFS(T_StockCount[Part Name],$A38,T_StockCount[WeekIndex],48)&gt;0,SUMIFS(T_StockCount[CountedQty],T_StockCount[Part Name],$A38,T_StockCount[WeekIndex],48),IF((('T_SelfStock'!AW42&lt;&gt;""))*(('T_TTAFStock'!AW42&lt;&gt;""))&gt;0,'T_SelfStock'!AW42+'T_TTAFStock'!AW42,AV38+'Grid_Incoming'!AW38-'Grid_Requirement'!AW38))</f>
        <v/>
      </c>
      <c r="AX38">
        <f>IF(COUNTIFS(T_StockCount[Part Name],$A38,T_StockCount[WeekIndex],49)&gt;0,SUMIFS(T_StockCount[CountedQty],T_StockCount[Part Name],$A38,T_StockCount[WeekIndex],49),IF((('T_SelfStock'!AX42&lt;&gt;""))*(('T_TTAFStock'!AX42&lt;&gt;""))&gt;0,'T_SelfStock'!AX42+'T_TTAFStock'!AX42,AW38+'Grid_Incoming'!AX38-'Grid_Requirement'!AX38))</f>
        <v/>
      </c>
      <c r="AY38">
        <f>IF(COUNTIFS(T_StockCount[Part Name],$A38,T_StockCount[WeekIndex],50)&gt;0,SUMIFS(T_StockCount[CountedQty],T_StockCount[Part Name],$A38,T_StockCount[WeekIndex],50),IF((('T_SelfStock'!AY42&lt;&gt;""))*(('T_TTAFStock'!AY42&lt;&gt;""))&gt;0,'T_SelfStock'!AY42+'T_TTAFStock'!AY42,AX38+'Grid_Incoming'!AY38-'Grid_Requirement'!AY38))</f>
        <v/>
      </c>
      <c r="AZ38">
        <f>IF(COUNTIFS(T_StockCount[Part Name],$A38,T_StockCount[WeekIndex],51)&gt;0,SUMIFS(T_StockCount[CountedQty],T_StockCount[Part Name],$A38,T_StockCount[WeekIndex],51),IF((('T_SelfStock'!AZ42&lt;&gt;""))*(('T_TTAFStock'!AZ42&lt;&gt;""))&gt;0,'T_SelfStock'!AZ42+'T_TTAFStock'!AZ42,AY38+'Grid_Incoming'!AZ38-'Grid_Requirement'!AZ38))</f>
        <v/>
      </c>
      <c r="BA38">
        <f>IF(COUNTIFS(T_StockCount[Part Name],$A38,T_StockCount[WeekIndex],52)&gt;0,SUMIFS(T_StockCount[CountedQty],T_StockCount[Part Name],$A38,T_StockCount[WeekIndex],52),IF((('T_SelfStock'!BA42&lt;&gt;""))*(('T_TTAFStock'!BA42&lt;&gt;""))&gt;0,'T_SelfStock'!BA42+'T_TTAFStock'!BA42,AZ38+'Grid_Incoming'!BA38-'Grid_Requirement'!BA38))</f>
        <v/>
      </c>
      <c r="BB38">
        <f>IF(COUNTIFS(T_StockCount[Part Name],$A38,T_StockCount[WeekIndex],53)&gt;0,SUMIFS(T_StockCount[CountedQty],T_StockCount[Part Name],$A38,T_StockCount[WeekIndex],53),IF((('T_SelfStock'!BB42&lt;&gt;""))*(('T_TTAFStock'!BB42&lt;&gt;""))&gt;0,'T_SelfStock'!BB42+'T_TTAFStock'!BB42,BA38+'Grid_Incoming'!BB38-'Grid_Requirement'!BB38))</f>
        <v/>
      </c>
      <c r="BC38">
        <f>IF(COUNTIFS(T_StockCount[Part Name],$A38,T_StockCount[WeekIndex],54)&gt;0,SUMIFS(T_StockCount[CountedQty],T_StockCount[Part Name],$A38,T_StockCount[WeekIndex],54),IF((('T_SelfStock'!BC42&lt;&gt;""))*(('T_TTAFStock'!BC42&lt;&gt;""))&gt;0,'T_SelfStock'!BC42+'T_TTAFStock'!BC42,BB38+'Grid_Incoming'!BC38-'Grid_Requirement'!BC38))</f>
        <v/>
      </c>
      <c r="BD38">
        <f>IF(COUNTIFS(T_StockCount[Part Name],$A38,T_StockCount[WeekIndex],55)&gt;0,SUMIFS(T_StockCount[CountedQty],T_StockCount[Part Name],$A38,T_StockCount[WeekIndex],55),IF((('T_SelfStock'!BD42&lt;&gt;""))*(('T_TTAFStock'!BD42&lt;&gt;""))&gt;0,'T_SelfStock'!BD42+'T_TTAFStock'!BD42,BC38+'Grid_Incoming'!BD38-'Grid_Requirement'!BD38))</f>
        <v/>
      </c>
      <c r="BE38">
        <f>IF(COUNTIFS(T_StockCount[Part Name],$A38,T_StockCount[WeekIndex],56)&gt;0,SUMIFS(T_StockCount[CountedQty],T_StockCount[Part Name],$A38,T_StockCount[WeekIndex],56),IF((('T_SelfStock'!BE42&lt;&gt;""))*(('T_TTAFStock'!BE42&lt;&gt;""))&gt;0,'T_SelfStock'!BE42+'T_TTAFStock'!BE42,BD38+'Grid_Incoming'!BE38-'Grid_Requirement'!BE38))</f>
        <v/>
      </c>
      <c r="BF38">
        <f>IF(COUNTIFS(T_StockCount[Part Name],$A38,T_StockCount[WeekIndex],57)&gt;0,SUMIFS(T_StockCount[CountedQty],T_StockCount[Part Name],$A38,T_StockCount[WeekIndex],57),IF((('T_SelfStock'!BF42&lt;&gt;""))*(('T_TTAFStock'!BF42&lt;&gt;""))&gt;0,'T_SelfStock'!BF42+'T_TTAFStock'!BF42,BE38+'Grid_Incoming'!BF38-'Grid_Requirement'!BF38))</f>
        <v/>
      </c>
      <c r="BG38">
        <f>IF(COUNTIFS(T_StockCount[Part Name],$A38,T_StockCount[WeekIndex],58)&gt;0,SUMIFS(T_StockCount[CountedQty],T_StockCount[Part Name],$A38,T_StockCount[WeekIndex],58),IF((('T_SelfStock'!BG42&lt;&gt;""))*(('T_TTAFStock'!BG42&lt;&gt;""))&gt;0,'T_SelfStock'!BG42+'T_TTAFStock'!BG42,BF38+'Grid_Incoming'!BG38-'Grid_Requirement'!BG38))</f>
        <v/>
      </c>
      <c r="BH38">
        <f>IF(COUNTIFS(T_StockCount[Part Name],$A38,T_StockCount[WeekIndex],59)&gt;0,SUMIFS(T_StockCount[CountedQty],T_StockCount[Part Name],$A38,T_StockCount[WeekIndex],59),IF((('T_SelfStock'!BH42&lt;&gt;""))*(('T_TTAFStock'!BH42&lt;&gt;""))&gt;0,'T_SelfStock'!BH42+'T_TTAFStock'!BH42,BG38+'Grid_Incoming'!BH38-'Grid_Requirement'!BH38))</f>
        <v/>
      </c>
      <c r="BI38">
        <f>IF(COUNTIFS(T_StockCount[Part Name],$A38,T_StockCount[WeekIndex],60)&gt;0,SUMIFS(T_StockCount[CountedQty],T_StockCount[Part Name],$A38,T_StockCount[WeekIndex],60),IF((('T_SelfStock'!BI42&lt;&gt;""))*(('T_TTAFStock'!BI42&lt;&gt;""))&gt;0,'T_SelfStock'!BI42+'T_TTAFStock'!BI42,BH38+'Grid_Incoming'!BI38-'Grid_Requirement'!BI38))</f>
        <v/>
      </c>
      <c r="BJ38">
        <f>IF(COUNTIFS(T_StockCount[Part Name],$A38,T_StockCount[WeekIndex],61)&gt;0,SUMIFS(T_StockCount[CountedQty],T_StockCount[Part Name],$A38,T_StockCount[WeekIndex],61),IF((('T_SelfStock'!BJ42&lt;&gt;""))*(('T_TTAFStock'!BJ42&lt;&gt;""))&gt;0,'T_SelfStock'!BJ42+'T_TTAFStock'!BJ42,BI38+'Grid_Incoming'!BJ38-'Grid_Requirement'!BJ38))</f>
        <v/>
      </c>
      <c r="BK38">
        <f>IF(COUNTIFS(T_StockCount[Part Name],$A38,T_StockCount[WeekIndex],62)&gt;0,SUMIFS(T_StockCount[CountedQty],T_StockCount[Part Name],$A38,T_StockCount[WeekIndex],62),IF((('T_SelfStock'!BK42&lt;&gt;""))*(('T_TTAFStock'!BK42&lt;&gt;""))&gt;0,'T_SelfStock'!BK42+'T_TTAFStock'!BK42,BJ38+'Grid_Incoming'!BK38-'Grid_Requirement'!BK38))</f>
        <v/>
      </c>
      <c r="BL38">
        <f>IF(COUNTIFS(T_StockCount[Part Name],$A38,T_StockCount[WeekIndex],63)&gt;0,SUMIFS(T_StockCount[CountedQty],T_StockCount[Part Name],$A38,T_StockCount[WeekIndex],63),IF((('T_SelfStock'!BL42&lt;&gt;""))*(('T_TTAFStock'!BL42&lt;&gt;""))&gt;0,'T_SelfStock'!BL42+'T_TTAFStock'!BL42,BK38+'Grid_Incoming'!BL38-'Grid_Requirement'!BL38))</f>
        <v/>
      </c>
      <c r="BM38">
        <f>IF(COUNTIFS(T_StockCount[Part Name],$A38,T_StockCount[WeekIndex],64)&gt;0,SUMIFS(T_StockCount[CountedQty],T_StockCount[Part Name],$A38,T_StockCount[WeekIndex],64),IF((('T_SelfStock'!BM42&lt;&gt;""))*(('T_TTAFStock'!BM42&lt;&gt;""))&gt;0,'T_SelfStock'!BM42+'T_TTAFStock'!BM42,BL38+'Grid_Incoming'!BM38-'Grid_Requirement'!BM38))</f>
        <v/>
      </c>
      <c r="BN38">
        <f>IF(COUNTIFS(T_StockCount[Part Name],$A38,T_StockCount[WeekIndex],65)&gt;0,SUMIFS(T_StockCount[CountedQty],T_StockCount[Part Name],$A38,T_StockCount[WeekIndex],65),IF((('T_SelfStock'!BN42&lt;&gt;""))*(('T_TTAFStock'!BN42&lt;&gt;""))&gt;0,'T_SelfStock'!BN42+'T_TTAFStock'!BN42,BM38+'Grid_Incoming'!BN38-'Grid_Requirement'!BN38))</f>
        <v/>
      </c>
      <c r="BO38">
        <f>IF(COUNTIFS(T_StockCount[Part Name],$A38,T_StockCount[WeekIndex],66)&gt;0,SUMIFS(T_StockCount[CountedQty],T_StockCount[Part Name],$A38,T_StockCount[WeekIndex],66),IF((('T_SelfStock'!BO42&lt;&gt;""))*(('T_TTAFStock'!BO42&lt;&gt;""))&gt;0,'T_SelfStock'!BO42+'T_TTAFStock'!BO42,BN38+'Grid_Incoming'!BO38-'Grid_Requirement'!BO38))</f>
        <v/>
      </c>
      <c r="BP38">
        <f>IF(COUNTIFS(T_StockCount[Part Name],$A38,T_StockCount[WeekIndex],67)&gt;0,SUMIFS(T_StockCount[CountedQty],T_StockCount[Part Name],$A38,T_StockCount[WeekIndex],67),IF((('T_SelfStock'!BP42&lt;&gt;""))*(('T_TTAFStock'!BP42&lt;&gt;""))&gt;0,'T_SelfStock'!BP42+'T_TTAFStock'!BP42,BO38+'Grid_Incoming'!BP38-'Grid_Requirement'!BP38))</f>
        <v/>
      </c>
      <c r="BQ38">
        <f>IF(COUNTIFS(T_StockCount[Part Name],$A38,T_StockCount[WeekIndex],68)&gt;0,SUMIFS(T_StockCount[CountedQty],T_StockCount[Part Name],$A38,T_StockCount[WeekIndex],68),IF((('T_SelfStock'!BQ42&lt;&gt;""))*(('T_TTAFStock'!BQ42&lt;&gt;""))&gt;0,'T_SelfStock'!BQ42+'T_TTAFStock'!BQ42,BP38+'Grid_Incoming'!BQ38-'Grid_Requirement'!BQ38))</f>
        <v/>
      </c>
      <c r="BR38">
        <f>IF(COUNTIFS(T_StockCount[Part Name],$A38,T_StockCount[WeekIndex],69)&gt;0,SUMIFS(T_StockCount[CountedQty],T_StockCount[Part Name],$A38,T_StockCount[WeekIndex],69),IF((('T_SelfStock'!BR42&lt;&gt;""))*(('T_TTAFStock'!BR42&lt;&gt;""))&gt;0,'T_SelfStock'!BR42+'T_TTAFStock'!BR42,BQ38+'Grid_Incoming'!BR38-'Grid_Requirement'!BR38))</f>
        <v/>
      </c>
      <c r="BS38">
        <f>IF(COUNTIFS(T_StockCount[Part Name],$A38,T_StockCount[WeekIndex],70)&gt;0,SUMIFS(T_StockCount[CountedQty],T_StockCount[Part Name],$A38,T_StockCount[WeekIndex],70),IF((('T_SelfStock'!BS42&lt;&gt;""))*(('T_TTAFStock'!BS42&lt;&gt;""))&gt;0,'T_SelfStock'!BS42+'T_TTAFStock'!BS42,BR38+'Grid_Incoming'!BS38-'Grid_Requirement'!BS38))</f>
        <v/>
      </c>
      <c r="BT38">
        <f>IF(COUNTIFS(T_StockCount[Part Name],$A38,T_StockCount[WeekIndex],71)&gt;0,SUMIFS(T_StockCount[CountedQty],T_StockCount[Part Name],$A38,T_StockCount[WeekIndex],71),IF((('T_SelfStock'!BT42&lt;&gt;""))*(('T_TTAFStock'!BT42&lt;&gt;""))&gt;0,'T_SelfStock'!BT42+'T_TTAFStock'!BT42,BS38+'Grid_Incoming'!BT38-'Grid_Requirement'!BT38))</f>
        <v/>
      </c>
      <c r="BU38">
        <f>IF(COUNTIFS(T_StockCount[Part Name],$A38,T_StockCount[WeekIndex],72)&gt;0,SUMIFS(T_StockCount[CountedQty],T_StockCount[Part Name],$A38,T_StockCount[WeekIndex],72),IF((('T_SelfStock'!BU42&lt;&gt;""))*(('T_TTAFStock'!BU42&lt;&gt;""))&gt;0,'T_SelfStock'!BU42+'T_TTAFStock'!BU42,BT38+'Grid_Incoming'!BU38-'Grid_Requirement'!BU38))</f>
        <v/>
      </c>
      <c r="BV38">
        <f>IF(COUNTIFS(T_StockCount[Part Name],$A38,T_StockCount[WeekIndex],73)&gt;0,SUMIFS(T_StockCount[CountedQty],T_StockCount[Part Name],$A38,T_StockCount[WeekIndex],73),IF((('T_SelfStock'!BV42&lt;&gt;""))*(('T_TTAFStock'!BV42&lt;&gt;""))&gt;0,'T_SelfStock'!BV42+'T_TTAFStock'!BV42,BU38+'Grid_Incoming'!BV38-'Grid_Requirement'!BV38))</f>
        <v/>
      </c>
      <c r="BW38">
        <f>IF(COUNTIFS(T_StockCount[Part Name],$A38,T_StockCount[WeekIndex],74)&gt;0,SUMIFS(T_StockCount[CountedQty],T_StockCount[Part Name],$A38,T_StockCount[WeekIndex],74),IF((('T_SelfStock'!BW42&lt;&gt;""))*(('T_TTAFStock'!BW42&lt;&gt;""))&gt;0,'T_SelfStock'!BW42+'T_TTAFStock'!BW42,BV38+'Grid_Incoming'!BW38-'Grid_Requirement'!BW38))</f>
        <v/>
      </c>
      <c r="BX38">
        <f>IF(COUNTIFS(T_StockCount[Part Name],$A38,T_StockCount[WeekIndex],75)&gt;0,SUMIFS(T_StockCount[CountedQty],T_StockCount[Part Name],$A38,T_StockCount[WeekIndex],75),IF((('T_SelfStock'!BX42&lt;&gt;""))*(('T_TTAFStock'!BX42&lt;&gt;""))&gt;0,'T_SelfStock'!BX42+'T_TTAFStock'!BX42,BW38+'Grid_Incoming'!BX38-'Grid_Requirement'!BX38))</f>
        <v/>
      </c>
      <c r="BY38">
        <f>IF(COUNTIFS(T_StockCount[Part Name],$A38,T_StockCount[WeekIndex],76)&gt;0,SUMIFS(T_StockCount[CountedQty],T_StockCount[Part Name],$A38,T_StockCount[WeekIndex],76),IF((('T_SelfStock'!BY42&lt;&gt;""))*(('T_TTAFStock'!BY42&lt;&gt;""))&gt;0,'T_SelfStock'!BY42+'T_TTAFStock'!BY42,BX38+'Grid_Incoming'!BY38-'Grid_Requirement'!BY38))</f>
        <v/>
      </c>
      <c r="BZ38">
        <f>IF(COUNTIFS(T_StockCount[Part Name],$A38,T_StockCount[WeekIndex],77)&gt;0,SUMIFS(T_StockCount[CountedQty],T_StockCount[Part Name],$A38,T_StockCount[WeekIndex],77),IF((('T_SelfStock'!BZ42&lt;&gt;""))*(('T_TTAFStock'!BZ42&lt;&gt;""))&gt;0,'T_SelfStock'!BZ42+'T_TTAFStock'!BZ42,BY38+'Grid_Incoming'!BZ38-'Grid_Requirement'!BZ38))</f>
        <v/>
      </c>
      <c r="CA38">
        <f>IF(COUNTIFS(T_StockCount[Part Name],$A38,T_StockCount[WeekIndex],78)&gt;0,SUMIFS(T_StockCount[CountedQty],T_StockCount[Part Name],$A38,T_StockCount[WeekIndex],78),IF((('T_SelfStock'!CA42&lt;&gt;""))*(('T_TTAFStock'!CA42&lt;&gt;""))&gt;0,'T_SelfStock'!CA42+'T_TTAFStock'!CA42,BZ38+'Grid_Incoming'!CA38-'Grid_Requirement'!CA38))</f>
        <v/>
      </c>
      <c r="CB38">
        <f>IF(COUNTIFS(T_StockCount[Part Name],$A38,T_StockCount[WeekIndex],79)&gt;0,SUMIFS(T_StockCount[CountedQty],T_StockCount[Part Name],$A38,T_StockCount[WeekIndex],79),IF((('T_SelfStock'!CB42&lt;&gt;""))*(('T_TTAFStock'!CB42&lt;&gt;""))&gt;0,'T_SelfStock'!CB42+'T_TTAFStock'!CB42,CA38+'Grid_Incoming'!CB38-'Grid_Requirement'!CB38))</f>
        <v/>
      </c>
      <c r="CC38">
        <f>IF(COUNTIFS(T_StockCount[Part Name],$A38,T_StockCount[WeekIndex],80)&gt;0,SUMIFS(T_StockCount[CountedQty],T_StockCount[Part Name],$A38,T_StockCount[WeekIndex],80),IF((('T_SelfStock'!CC42&lt;&gt;""))*(('T_TTAFStock'!CC42&lt;&gt;""))&gt;0,'T_SelfStock'!CC42+'T_TTAFStock'!CC42,CB38+'Grid_Incoming'!CC38-'Grid_Requirement'!CC38))</f>
        <v/>
      </c>
      <c r="CD38">
        <f>IF(COUNTIFS(T_StockCount[Part Name],$A38,T_StockCount[WeekIndex],81)&gt;0,SUMIFS(T_StockCount[CountedQty],T_StockCount[Part Name],$A38,T_StockCount[WeekIndex],81),IF((('T_SelfStock'!CD42&lt;&gt;""))*(('T_TTAFStock'!CD42&lt;&gt;""))&gt;0,'T_SelfStock'!CD42+'T_TTAFStock'!CD42,CC38+'Grid_Incoming'!CD38-'Grid_Requirement'!CD38))</f>
        <v/>
      </c>
      <c r="CE38">
        <f>IF(COUNTIFS(T_StockCount[Part Name],$A38,T_StockCount[WeekIndex],82)&gt;0,SUMIFS(T_StockCount[CountedQty],T_StockCount[Part Name],$A38,T_StockCount[WeekIndex],82),IF((('T_SelfStock'!CE42&lt;&gt;""))*(('T_TTAFStock'!CE42&lt;&gt;""))&gt;0,'T_SelfStock'!CE42+'T_TTAFStock'!CE42,CD38+'Grid_Incoming'!CE38-'Grid_Requirement'!CE38))</f>
        <v/>
      </c>
      <c r="CF38">
        <f>IF(COUNTIFS(T_StockCount[Part Name],$A38,T_StockCount[WeekIndex],83)&gt;0,SUMIFS(T_StockCount[CountedQty],T_StockCount[Part Name],$A38,T_StockCount[WeekIndex],83),IF((('T_SelfStock'!CF42&lt;&gt;""))*(('T_TTAFStock'!CF42&lt;&gt;""))&gt;0,'T_SelfStock'!CF42+'T_TTAFStock'!CF42,CE38+'Grid_Incoming'!CF38-'Grid_Requirement'!CF38))</f>
        <v/>
      </c>
      <c r="CG38">
        <f>IF(COUNTIFS(T_StockCount[Part Name],$A38,T_StockCount[WeekIndex],84)&gt;0,SUMIFS(T_StockCount[CountedQty],T_StockCount[Part Name],$A38,T_StockCount[WeekIndex],84),IF((('T_SelfStock'!CG42&lt;&gt;""))*(('T_TTAFStock'!CG42&lt;&gt;""))&gt;0,'T_SelfStock'!CG42+'T_TTAFStock'!CG42,CF38+'Grid_Incoming'!CG38-'Grid_Requirement'!CG38))</f>
        <v/>
      </c>
      <c r="CH38">
        <f>IF(COUNTIFS(T_StockCount[Part Name],$A38,T_StockCount[WeekIndex],85)&gt;0,SUMIFS(T_StockCount[CountedQty],T_StockCount[Part Name],$A38,T_StockCount[WeekIndex],85),IF((('T_SelfStock'!CH42&lt;&gt;""))*(('T_TTAFStock'!CH42&lt;&gt;""))&gt;0,'T_SelfStock'!CH42+'T_TTAFStock'!CH42,CG38+'Grid_Incoming'!CH38-'Grid_Requirement'!CH38))</f>
        <v/>
      </c>
      <c r="CI38">
        <f>IF(COUNTIFS(T_StockCount[Part Name],$A38,T_StockCount[WeekIndex],86)&gt;0,SUMIFS(T_StockCount[CountedQty],T_StockCount[Part Name],$A38,T_StockCount[WeekIndex],86),IF((('T_SelfStock'!CI42&lt;&gt;""))*(('T_TTAFStock'!CI42&lt;&gt;""))&gt;0,'T_SelfStock'!CI42+'T_TTAFStock'!CI42,CH38+'Grid_Incoming'!CI38-'Grid_Requirement'!CI38))</f>
        <v/>
      </c>
      <c r="CJ38">
        <f>IF(COUNTIFS(T_StockCount[Part Name],$A38,T_StockCount[WeekIndex],87)&gt;0,SUMIFS(T_StockCount[CountedQty],T_StockCount[Part Name],$A38,T_StockCount[WeekIndex],87),IF((('T_SelfStock'!CJ42&lt;&gt;""))*(('T_TTAFStock'!CJ42&lt;&gt;""))&gt;0,'T_SelfStock'!CJ42+'T_TTAFStock'!CJ42,CI38+'Grid_Incoming'!CJ38-'Grid_Requirement'!CJ38))</f>
        <v/>
      </c>
      <c r="CK38">
        <f>IF(COUNTIFS(T_StockCount[Part Name],$A38,T_StockCount[WeekIndex],88)&gt;0,SUMIFS(T_StockCount[CountedQty],T_StockCount[Part Name],$A38,T_StockCount[WeekIndex],88),IF((('T_SelfStock'!CK42&lt;&gt;""))*(('T_TTAFStock'!CK42&lt;&gt;""))&gt;0,'T_SelfStock'!CK42+'T_TTAFStock'!CK42,CJ38+'Grid_Incoming'!CK38-'Grid_Requirement'!CK38))</f>
        <v/>
      </c>
      <c r="CL38">
        <f>IF(COUNTIFS(T_StockCount[Part Name],$A38,T_StockCount[WeekIndex],89)&gt;0,SUMIFS(T_StockCount[CountedQty],T_StockCount[Part Name],$A38,T_StockCount[WeekIndex],89),IF((('T_SelfStock'!CL42&lt;&gt;""))*(('T_TTAFStock'!CL42&lt;&gt;""))&gt;0,'T_SelfStock'!CL42+'T_TTAFStock'!CL42,CK38+'Grid_Incoming'!CL38-'Grid_Requirement'!CL38))</f>
        <v/>
      </c>
      <c r="CM38">
        <f>IF(COUNTIFS(T_StockCount[Part Name],$A38,T_StockCount[WeekIndex],90)&gt;0,SUMIFS(T_StockCount[CountedQty],T_StockCount[Part Name],$A38,T_StockCount[WeekIndex],90),IF((('T_SelfStock'!CM42&lt;&gt;""))*(('T_TTAFStock'!CM42&lt;&gt;""))&gt;0,'T_SelfStock'!CM42+'T_TTAFStock'!CM42,CL38+'Grid_Incoming'!CM38-'Grid_Requirement'!CM38))</f>
        <v/>
      </c>
      <c r="CN38">
        <f>IF(COUNTIFS(T_StockCount[Part Name],$A38,T_StockCount[WeekIndex],91)&gt;0,SUMIFS(T_StockCount[CountedQty],T_StockCount[Part Name],$A38,T_StockCount[WeekIndex],91),IF((('T_SelfStock'!CN42&lt;&gt;""))*(('T_TTAFStock'!CN42&lt;&gt;""))&gt;0,'T_SelfStock'!CN42+'T_TTAFStock'!CN42,CM38+'Grid_Incoming'!CN38-'Grid_Requirement'!CN38))</f>
        <v/>
      </c>
      <c r="CO38">
        <f>IF(COUNTIFS(T_StockCount[Part Name],$A38,T_StockCount[WeekIndex],92)&gt;0,SUMIFS(T_StockCount[CountedQty],T_StockCount[Part Name],$A38,T_StockCount[WeekIndex],92),IF((('T_SelfStock'!CO42&lt;&gt;""))*(('T_TTAFStock'!CO42&lt;&gt;""))&gt;0,'T_SelfStock'!CO42+'T_TTAFStock'!CO42,CN38+'Grid_Incoming'!CO38-'Grid_Requirement'!CO38))</f>
        <v/>
      </c>
      <c r="CP38">
        <f>IF(COUNTIFS(T_StockCount[Part Name],$A38,T_StockCount[WeekIndex],93)&gt;0,SUMIFS(T_StockCount[CountedQty],T_StockCount[Part Name],$A38,T_StockCount[WeekIndex],93),IF((('T_SelfStock'!CP42&lt;&gt;""))*(('T_TTAFStock'!CP42&lt;&gt;""))&gt;0,'T_SelfStock'!CP42+'T_TTAFStock'!CP42,CO38+'Grid_Incoming'!CP38-'Grid_Requirement'!CP38))</f>
        <v/>
      </c>
      <c r="CQ38">
        <f>IF(COUNTIFS(T_StockCount[Part Name],$A38,T_StockCount[WeekIndex],94)&gt;0,SUMIFS(T_StockCount[CountedQty],T_StockCount[Part Name],$A38,T_StockCount[WeekIndex],94),IF((('T_SelfStock'!CQ42&lt;&gt;""))*(('T_TTAFStock'!CQ42&lt;&gt;""))&gt;0,'T_SelfStock'!CQ42+'T_TTAFStock'!CQ42,CP38+'Grid_Incoming'!CQ38-'Grid_Requirement'!CQ38))</f>
        <v/>
      </c>
      <c r="CR38">
        <f>IF(COUNTIFS(T_StockCount[Part Name],$A38,T_StockCount[WeekIndex],95)&gt;0,SUMIFS(T_StockCount[CountedQty],T_StockCount[Part Name],$A38,T_StockCount[WeekIndex],95),IF((('T_SelfStock'!CR42&lt;&gt;""))*(('T_TTAFStock'!CR42&lt;&gt;""))&gt;0,'T_SelfStock'!CR42+'T_TTAFStock'!CR42,CQ38+'Grid_Incoming'!CR38-'Grid_Requirement'!CR38))</f>
        <v/>
      </c>
      <c r="CS38">
        <f>IF(COUNTIFS(T_StockCount[Part Name],$A38,T_StockCount[WeekIndex],96)&gt;0,SUMIFS(T_StockCount[CountedQty],T_StockCount[Part Name],$A38,T_StockCount[WeekIndex],96),IF((('T_SelfStock'!CS42&lt;&gt;""))*(('T_TTAFStock'!CS42&lt;&gt;""))&gt;0,'T_SelfStock'!CS42+'T_TTAFStock'!CS42,CR38+'Grid_Incoming'!CS38-'Grid_Requirement'!CS38))</f>
        <v/>
      </c>
      <c r="CT38">
        <f>IF(COUNTIFS(T_StockCount[Part Name],$A38,T_StockCount[WeekIndex],97)&gt;0,SUMIFS(T_StockCount[CountedQty],T_StockCount[Part Name],$A38,T_StockCount[WeekIndex],97),IF((('T_SelfStock'!CT42&lt;&gt;""))*(('T_TTAFStock'!CT42&lt;&gt;""))&gt;0,'T_SelfStock'!CT42+'T_TTAFStock'!CT42,CS38+'Grid_Incoming'!CT38-'Grid_Requirement'!CT38))</f>
        <v/>
      </c>
      <c r="CU38">
        <f>IF(COUNTIFS(T_StockCount[Part Name],$A38,T_StockCount[WeekIndex],98)&gt;0,SUMIFS(T_StockCount[CountedQty],T_StockCount[Part Name],$A38,T_StockCount[WeekIndex],98),IF((('T_SelfStock'!CU42&lt;&gt;""))*(('T_TTAFStock'!CU42&lt;&gt;""))&gt;0,'T_SelfStock'!CU42+'T_TTAFStock'!CU42,CT38+'Grid_Incoming'!CU38-'Grid_Requirement'!CU38))</f>
        <v/>
      </c>
      <c r="CV38">
        <f>IF(COUNTIFS(T_StockCount[Part Name],$A38,T_StockCount[WeekIndex],99)&gt;0,SUMIFS(T_StockCount[CountedQty],T_StockCount[Part Name],$A38,T_StockCount[WeekIndex],99),IF((('T_SelfStock'!CV42&lt;&gt;""))*(('T_TTAFStock'!CV42&lt;&gt;""))&gt;0,'T_SelfStock'!CV42+'T_TTAFStock'!CV42,CU38+'Grid_Incoming'!CV38-'Grid_Requirement'!CV38))</f>
        <v/>
      </c>
      <c r="CW38">
        <f>IF(COUNTIFS(T_StockCount[Part Name],$A38,T_StockCount[WeekIndex],100)&gt;0,SUMIFS(T_StockCount[CountedQty],T_StockCount[Part Name],$A38,T_StockCount[WeekIndex],100),IF((('T_SelfStock'!CW42&lt;&gt;""))*(('T_TTAFStock'!CW42&lt;&gt;""))&gt;0,'T_SelfStock'!CW42+'T_TTAFStock'!CW42,CV38+'Grid_Incoming'!CW38-'Grid_Requirement'!CW38))</f>
        <v/>
      </c>
      <c r="CX38">
        <f>IF(COUNTIFS(T_StockCount[Part Name],$A38,T_StockCount[WeekIndex],101)&gt;0,SUMIFS(T_StockCount[CountedQty],T_StockCount[Part Name],$A38,T_StockCount[WeekIndex],101),IF((('T_SelfStock'!CX42&lt;&gt;""))*(('T_TTAFStock'!CX42&lt;&gt;""))&gt;0,'T_SelfStock'!CX42+'T_TTAFStock'!CX42,CW38+'Grid_Incoming'!CX38-'Grid_Requirement'!CX38))</f>
        <v/>
      </c>
      <c r="CY38">
        <f>IF(COUNTIFS(T_StockCount[Part Name],$A38,T_StockCount[WeekIndex],102)&gt;0,SUMIFS(T_StockCount[CountedQty],T_StockCount[Part Name],$A38,T_StockCount[WeekIndex],102),IF((('T_SelfStock'!CY42&lt;&gt;""))*(('T_TTAFStock'!CY42&lt;&gt;""))&gt;0,'T_SelfStock'!CY42+'T_TTAFStock'!CY42,CX38+'Grid_Incoming'!CY38-'Grid_Requirement'!CY38))</f>
        <v/>
      </c>
      <c r="CZ38">
        <f>IF(COUNTIFS(T_StockCount[Part Name],$A38,T_StockCount[WeekIndex],103)&gt;0,SUMIFS(T_StockCount[CountedQty],T_StockCount[Part Name],$A38,T_StockCount[WeekIndex],103),IF((('T_SelfStock'!CZ42&lt;&gt;""))*(('T_TTAFStock'!CZ42&lt;&gt;""))&gt;0,'T_SelfStock'!CZ42+'T_TTAFStock'!CZ42,CY38+'Grid_Incoming'!CZ38-'Grid_Requirement'!CZ38))</f>
        <v/>
      </c>
      <c r="DA38">
        <f>IF(COUNTIFS(T_StockCount[Part Name],$A38,T_StockCount[WeekIndex],104)&gt;0,SUMIFS(T_StockCount[CountedQty],T_StockCount[Part Name],$A38,T_StockCount[WeekIndex],104),IF((('T_SelfStock'!DA42&lt;&gt;""))*(('T_TTAFStock'!DA42&lt;&gt;""))&gt;0,'T_SelfStock'!DA42+'T_TTAFStock'!DA42,CZ38+'Grid_Incoming'!DA38-'Grid_Requirement'!DA38))</f>
        <v/>
      </c>
    </row>
    <row r="39">
      <c r="A39" t="inlineStr">
        <is>
          <t>CHEM-1480</t>
        </is>
      </c>
      <c r="B39">
        <f>IF(COUNTIFS(T_StockCount[Part Name],$A39,T_StockCount[WeekIndex],1)&gt;0,SUMIFS(T_StockCount[CountedQty],T_StockCount[Part Name],$A39,T_StockCount[WeekIndex],1),IF((('T_SelfStock'!B43&lt;&gt;""))*(('T_TTAFStock'!B43&lt;&gt;""))&gt;0,'T_SelfStock'!B43+'T_TTAFStock'!B43,IFERROR(INDEX(T_OpeningStock[Opening_Qty_要入力],MATCH($A39,T_OpeningStock[Part Name],0)),0)+'Grid_Incoming'!B39-'Grid_Requirement'!B39))</f>
        <v/>
      </c>
      <c r="C39">
        <f>IF(COUNTIFS(T_StockCount[Part Name],$A39,T_StockCount[WeekIndex],2)&gt;0,SUMIFS(T_StockCount[CountedQty],T_StockCount[Part Name],$A39,T_StockCount[WeekIndex],2),IF((('T_SelfStock'!C43&lt;&gt;""))*(('T_TTAFStock'!C43&lt;&gt;""))&gt;0,'T_SelfStock'!C43+'T_TTAFStock'!C43,B39+'Grid_Incoming'!C39-'Grid_Requirement'!C39))</f>
        <v/>
      </c>
      <c r="D39">
        <f>IF(COUNTIFS(T_StockCount[Part Name],$A39,T_StockCount[WeekIndex],3)&gt;0,SUMIFS(T_StockCount[CountedQty],T_StockCount[Part Name],$A39,T_StockCount[WeekIndex],3),IF((('T_SelfStock'!D43&lt;&gt;""))*(('T_TTAFStock'!D43&lt;&gt;""))&gt;0,'T_SelfStock'!D43+'T_TTAFStock'!D43,C39+'Grid_Incoming'!D39-'Grid_Requirement'!D39))</f>
        <v/>
      </c>
      <c r="E39">
        <f>IF(COUNTIFS(T_StockCount[Part Name],$A39,T_StockCount[WeekIndex],4)&gt;0,SUMIFS(T_StockCount[CountedQty],T_StockCount[Part Name],$A39,T_StockCount[WeekIndex],4),IF((('T_SelfStock'!E43&lt;&gt;""))*(('T_TTAFStock'!E43&lt;&gt;""))&gt;0,'T_SelfStock'!E43+'T_TTAFStock'!E43,D39+'Grid_Incoming'!E39-'Grid_Requirement'!E39))</f>
        <v/>
      </c>
      <c r="F39">
        <f>IF(COUNTIFS(T_StockCount[Part Name],$A39,T_StockCount[WeekIndex],5)&gt;0,SUMIFS(T_StockCount[CountedQty],T_StockCount[Part Name],$A39,T_StockCount[WeekIndex],5),IF((('T_SelfStock'!F43&lt;&gt;""))*(('T_TTAFStock'!F43&lt;&gt;""))&gt;0,'T_SelfStock'!F43+'T_TTAFStock'!F43,E39+'Grid_Incoming'!F39-'Grid_Requirement'!F39))</f>
        <v/>
      </c>
      <c r="G39">
        <f>IF(COUNTIFS(T_StockCount[Part Name],$A39,T_StockCount[WeekIndex],6)&gt;0,SUMIFS(T_StockCount[CountedQty],T_StockCount[Part Name],$A39,T_StockCount[WeekIndex],6),IF((('T_SelfStock'!G43&lt;&gt;""))*(('T_TTAFStock'!G43&lt;&gt;""))&gt;0,'T_SelfStock'!G43+'T_TTAFStock'!G43,F39+'Grid_Incoming'!G39-'Grid_Requirement'!G39))</f>
        <v/>
      </c>
      <c r="H39">
        <f>IF(COUNTIFS(T_StockCount[Part Name],$A39,T_StockCount[WeekIndex],7)&gt;0,SUMIFS(T_StockCount[CountedQty],T_StockCount[Part Name],$A39,T_StockCount[WeekIndex],7),IF((('T_SelfStock'!H43&lt;&gt;""))*(('T_TTAFStock'!H43&lt;&gt;""))&gt;0,'T_SelfStock'!H43+'T_TTAFStock'!H43,G39+'Grid_Incoming'!H39-'Grid_Requirement'!H39))</f>
        <v/>
      </c>
      <c r="I39">
        <f>IF(COUNTIFS(T_StockCount[Part Name],$A39,T_StockCount[WeekIndex],8)&gt;0,SUMIFS(T_StockCount[CountedQty],T_StockCount[Part Name],$A39,T_StockCount[WeekIndex],8),IF((('T_SelfStock'!I43&lt;&gt;""))*(('T_TTAFStock'!I43&lt;&gt;""))&gt;0,'T_SelfStock'!I43+'T_TTAFStock'!I43,H39+'Grid_Incoming'!I39-'Grid_Requirement'!I39))</f>
        <v/>
      </c>
      <c r="J39">
        <f>IF(COUNTIFS(T_StockCount[Part Name],$A39,T_StockCount[WeekIndex],9)&gt;0,SUMIFS(T_StockCount[CountedQty],T_StockCount[Part Name],$A39,T_StockCount[WeekIndex],9),IF((('T_SelfStock'!J43&lt;&gt;""))*(('T_TTAFStock'!J43&lt;&gt;""))&gt;0,'T_SelfStock'!J43+'T_TTAFStock'!J43,I39+'Grid_Incoming'!J39-'Grid_Requirement'!J39))</f>
        <v/>
      </c>
      <c r="K39">
        <f>IF(COUNTIFS(T_StockCount[Part Name],$A39,T_StockCount[WeekIndex],10)&gt;0,SUMIFS(T_StockCount[CountedQty],T_StockCount[Part Name],$A39,T_StockCount[WeekIndex],10),IF((('T_SelfStock'!K43&lt;&gt;""))*(('T_TTAFStock'!K43&lt;&gt;""))&gt;0,'T_SelfStock'!K43+'T_TTAFStock'!K43,J39+'Grid_Incoming'!K39-'Grid_Requirement'!K39))</f>
        <v/>
      </c>
      <c r="L39">
        <f>IF(COUNTIFS(T_StockCount[Part Name],$A39,T_StockCount[WeekIndex],11)&gt;0,SUMIFS(T_StockCount[CountedQty],T_StockCount[Part Name],$A39,T_StockCount[WeekIndex],11),IF((('T_SelfStock'!L43&lt;&gt;""))*(('T_TTAFStock'!L43&lt;&gt;""))&gt;0,'T_SelfStock'!L43+'T_TTAFStock'!L43,K39+'Grid_Incoming'!L39-'Grid_Requirement'!L39))</f>
        <v/>
      </c>
      <c r="M39">
        <f>IF(COUNTIFS(T_StockCount[Part Name],$A39,T_StockCount[WeekIndex],12)&gt;0,SUMIFS(T_StockCount[CountedQty],T_StockCount[Part Name],$A39,T_StockCount[WeekIndex],12),IF((('T_SelfStock'!M43&lt;&gt;""))*(('T_TTAFStock'!M43&lt;&gt;""))&gt;0,'T_SelfStock'!M43+'T_TTAFStock'!M43,L39+'Grid_Incoming'!M39-'Grid_Requirement'!M39))</f>
        <v/>
      </c>
      <c r="N39">
        <f>IF(COUNTIFS(T_StockCount[Part Name],$A39,T_StockCount[WeekIndex],13)&gt;0,SUMIFS(T_StockCount[CountedQty],T_StockCount[Part Name],$A39,T_StockCount[WeekIndex],13),IF((('T_SelfStock'!N43&lt;&gt;""))*(('T_TTAFStock'!N43&lt;&gt;""))&gt;0,'T_SelfStock'!N43+'T_TTAFStock'!N43,M39+'Grid_Incoming'!N39-'Grid_Requirement'!N39))</f>
        <v/>
      </c>
      <c r="O39">
        <f>IF(COUNTIFS(T_StockCount[Part Name],$A39,T_StockCount[WeekIndex],14)&gt;0,SUMIFS(T_StockCount[CountedQty],T_StockCount[Part Name],$A39,T_StockCount[WeekIndex],14),IF((('T_SelfStock'!O43&lt;&gt;""))*(('T_TTAFStock'!O43&lt;&gt;""))&gt;0,'T_SelfStock'!O43+'T_TTAFStock'!O43,N39+'Grid_Incoming'!O39-'Grid_Requirement'!O39))</f>
        <v/>
      </c>
      <c r="P39">
        <f>IF(COUNTIFS(T_StockCount[Part Name],$A39,T_StockCount[WeekIndex],15)&gt;0,SUMIFS(T_StockCount[CountedQty],T_StockCount[Part Name],$A39,T_StockCount[WeekIndex],15),IF((('T_SelfStock'!P43&lt;&gt;""))*(('T_TTAFStock'!P43&lt;&gt;""))&gt;0,'T_SelfStock'!P43+'T_TTAFStock'!P43,O39+'Grid_Incoming'!P39-'Grid_Requirement'!P39))</f>
        <v/>
      </c>
      <c r="Q39">
        <f>IF(COUNTIFS(T_StockCount[Part Name],$A39,T_StockCount[WeekIndex],16)&gt;0,SUMIFS(T_StockCount[CountedQty],T_StockCount[Part Name],$A39,T_StockCount[WeekIndex],16),IF((('T_SelfStock'!Q43&lt;&gt;""))*(('T_TTAFStock'!Q43&lt;&gt;""))&gt;0,'T_SelfStock'!Q43+'T_TTAFStock'!Q43,P39+'Grid_Incoming'!Q39-'Grid_Requirement'!Q39))</f>
        <v/>
      </c>
      <c r="R39">
        <f>IF(COUNTIFS(T_StockCount[Part Name],$A39,T_StockCount[WeekIndex],17)&gt;0,SUMIFS(T_StockCount[CountedQty],T_StockCount[Part Name],$A39,T_StockCount[WeekIndex],17),IF((('T_SelfStock'!R43&lt;&gt;""))*(('T_TTAFStock'!R43&lt;&gt;""))&gt;0,'T_SelfStock'!R43+'T_TTAFStock'!R43,Q39+'Grid_Incoming'!R39-'Grid_Requirement'!R39))</f>
        <v/>
      </c>
      <c r="S39">
        <f>IF(COUNTIFS(T_StockCount[Part Name],$A39,T_StockCount[WeekIndex],18)&gt;0,SUMIFS(T_StockCount[CountedQty],T_StockCount[Part Name],$A39,T_StockCount[WeekIndex],18),IF((('T_SelfStock'!S43&lt;&gt;""))*(('T_TTAFStock'!S43&lt;&gt;""))&gt;0,'T_SelfStock'!S43+'T_TTAFStock'!S43,R39+'Grid_Incoming'!S39-'Grid_Requirement'!S39))</f>
        <v/>
      </c>
      <c r="T39">
        <f>IF(COUNTIFS(T_StockCount[Part Name],$A39,T_StockCount[WeekIndex],19)&gt;0,SUMIFS(T_StockCount[CountedQty],T_StockCount[Part Name],$A39,T_StockCount[WeekIndex],19),IF((('T_SelfStock'!T43&lt;&gt;""))*(('T_TTAFStock'!T43&lt;&gt;""))&gt;0,'T_SelfStock'!T43+'T_TTAFStock'!T43,S39+'Grid_Incoming'!T39-'Grid_Requirement'!T39))</f>
        <v/>
      </c>
      <c r="U39">
        <f>IF(COUNTIFS(T_StockCount[Part Name],$A39,T_StockCount[WeekIndex],20)&gt;0,SUMIFS(T_StockCount[CountedQty],T_StockCount[Part Name],$A39,T_StockCount[WeekIndex],20),IF((('T_SelfStock'!U43&lt;&gt;""))*(('T_TTAFStock'!U43&lt;&gt;""))&gt;0,'T_SelfStock'!U43+'T_TTAFStock'!U43,T39+'Grid_Incoming'!U39-'Grid_Requirement'!U39))</f>
        <v/>
      </c>
      <c r="V39">
        <f>IF(COUNTIFS(T_StockCount[Part Name],$A39,T_StockCount[WeekIndex],21)&gt;0,SUMIFS(T_StockCount[CountedQty],T_StockCount[Part Name],$A39,T_StockCount[WeekIndex],21),IF((('T_SelfStock'!V43&lt;&gt;""))*(('T_TTAFStock'!V43&lt;&gt;""))&gt;0,'T_SelfStock'!V43+'T_TTAFStock'!V43,U39+'Grid_Incoming'!V39-'Grid_Requirement'!V39))</f>
        <v/>
      </c>
      <c r="W39">
        <f>IF(COUNTIFS(T_StockCount[Part Name],$A39,T_StockCount[WeekIndex],22)&gt;0,SUMIFS(T_StockCount[CountedQty],T_StockCount[Part Name],$A39,T_StockCount[WeekIndex],22),IF((('T_SelfStock'!W43&lt;&gt;""))*(('T_TTAFStock'!W43&lt;&gt;""))&gt;0,'T_SelfStock'!W43+'T_TTAFStock'!W43,V39+'Grid_Incoming'!W39-'Grid_Requirement'!W39))</f>
        <v/>
      </c>
      <c r="X39">
        <f>IF(COUNTIFS(T_StockCount[Part Name],$A39,T_StockCount[WeekIndex],23)&gt;0,SUMIFS(T_StockCount[CountedQty],T_StockCount[Part Name],$A39,T_StockCount[WeekIndex],23),IF((('T_SelfStock'!X43&lt;&gt;""))*(('T_TTAFStock'!X43&lt;&gt;""))&gt;0,'T_SelfStock'!X43+'T_TTAFStock'!X43,W39+'Grid_Incoming'!X39-'Grid_Requirement'!X39))</f>
        <v/>
      </c>
      <c r="Y39">
        <f>IF(COUNTIFS(T_StockCount[Part Name],$A39,T_StockCount[WeekIndex],24)&gt;0,SUMIFS(T_StockCount[CountedQty],T_StockCount[Part Name],$A39,T_StockCount[WeekIndex],24),IF((('T_SelfStock'!Y43&lt;&gt;""))*(('T_TTAFStock'!Y43&lt;&gt;""))&gt;0,'T_SelfStock'!Y43+'T_TTAFStock'!Y43,X39+'Grid_Incoming'!Y39-'Grid_Requirement'!Y39))</f>
        <v/>
      </c>
      <c r="Z39">
        <f>IF(COUNTIFS(T_StockCount[Part Name],$A39,T_StockCount[WeekIndex],25)&gt;0,SUMIFS(T_StockCount[CountedQty],T_StockCount[Part Name],$A39,T_StockCount[WeekIndex],25),IF((('T_SelfStock'!Z43&lt;&gt;""))*(('T_TTAFStock'!Z43&lt;&gt;""))&gt;0,'T_SelfStock'!Z43+'T_TTAFStock'!Z43,Y39+'Grid_Incoming'!Z39-'Grid_Requirement'!Z39))</f>
        <v/>
      </c>
      <c r="AA39">
        <f>IF(COUNTIFS(T_StockCount[Part Name],$A39,T_StockCount[WeekIndex],26)&gt;0,SUMIFS(T_StockCount[CountedQty],T_StockCount[Part Name],$A39,T_StockCount[WeekIndex],26),IF((('T_SelfStock'!AA43&lt;&gt;""))*(('T_TTAFStock'!AA43&lt;&gt;""))&gt;0,'T_SelfStock'!AA43+'T_TTAFStock'!AA43,Z39+'Grid_Incoming'!AA39-'Grid_Requirement'!AA39))</f>
        <v/>
      </c>
      <c r="AB39">
        <f>IF(COUNTIFS(T_StockCount[Part Name],$A39,T_StockCount[WeekIndex],27)&gt;0,SUMIFS(T_StockCount[CountedQty],T_StockCount[Part Name],$A39,T_StockCount[WeekIndex],27),IF((('T_SelfStock'!AB43&lt;&gt;""))*(('T_TTAFStock'!AB43&lt;&gt;""))&gt;0,'T_SelfStock'!AB43+'T_TTAFStock'!AB43,AA39+'Grid_Incoming'!AB39-'Grid_Requirement'!AB39))</f>
        <v/>
      </c>
      <c r="AC39">
        <f>IF(COUNTIFS(T_StockCount[Part Name],$A39,T_StockCount[WeekIndex],28)&gt;0,SUMIFS(T_StockCount[CountedQty],T_StockCount[Part Name],$A39,T_StockCount[WeekIndex],28),IF((('T_SelfStock'!AC43&lt;&gt;""))*(('T_TTAFStock'!AC43&lt;&gt;""))&gt;0,'T_SelfStock'!AC43+'T_TTAFStock'!AC43,AB39+'Grid_Incoming'!AC39-'Grid_Requirement'!AC39))</f>
        <v/>
      </c>
      <c r="AD39">
        <f>IF(COUNTIFS(T_StockCount[Part Name],$A39,T_StockCount[WeekIndex],29)&gt;0,SUMIFS(T_StockCount[CountedQty],T_StockCount[Part Name],$A39,T_StockCount[WeekIndex],29),IF((('T_SelfStock'!AD43&lt;&gt;""))*(('T_TTAFStock'!AD43&lt;&gt;""))&gt;0,'T_SelfStock'!AD43+'T_TTAFStock'!AD43,AC39+'Grid_Incoming'!AD39-'Grid_Requirement'!AD39))</f>
        <v/>
      </c>
      <c r="AE39">
        <f>IF(COUNTIFS(T_StockCount[Part Name],$A39,T_StockCount[WeekIndex],30)&gt;0,SUMIFS(T_StockCount[CountedQty],T_StockCount[Part Name],$A39,T_StockCount[WeekIndex],30),IF((('T_SelfStock'!AE43&lt;&gt;""))*(('T_TTAFStock'!AE43&lt;&gt;""))&gt;0,'T_SelfStock'!AE43+'T_TTAFStock'!AE43,AD39+'Grid_Incoming'!AE39-'Grid_Requirement'!AE39))</f>
        <v/>
      </c>
      <c r="AF39">
        <f>IF(COUNTIFS(T_StockCount[Part Name],$A39,T_StockCount[WeekIndex],31)&gt;0,SUMIFS(T_StockCount[CountedQty],T_StockCount[Part Name],$A39,T_StockCount[WeekIndex],31),IF((('T_SelfStock'!AF43&lt;&gt;""))*(('T_TTAFStock'!AF43&lt;&gt;""))&gt;0,'T_SelfStock'!AF43+'T_TTAFStock'!AF43,AE39+'Grid_Incoming'!AF39-'Grid_Requirement'!AF39))</f>
        <v/>
      </c>
      <c r="AG39">
        <f>IF(COUNTIFS(T_StockCount[Part Name],$A39,T_StockCount[WeekIndex],32)&gt;0,SUMIFS(T_StockCount[CountedQty],T_StockCount[Part Name],$A39,T_StockCount[WeekIndex],32),IF((('T_SelfStock'!AG43&lt;&gt;""))*(('T_TTAFStock'!AG43&lt;&gt;""))&gt;0,'T_SelfStock'!AG43+'T_TTAFStock'!AG43,AF39+'Grid_Incoming'!AG39-'Grid_Requirement'!AG39))</f>
        <v/>
      </c>
      <c r="AH39">
        <f>IF(COUNTIFS(T_StockCount[Part Name],$A39,T_StockCount[WeekIndex],33)&gt;0,SUMIFS(T_StockCount[CountedQty],T_StockCount[Part Name],$A39,T_StockCount[WeekIndex],33),IF((('T_SelfStock'!AH43&lt;&gt;""))*(('T_TTAFStock'!AH43&lt;&gt;""))&gt;0,'T_SelfStock'!AH43+'T_TTAFStock'!AH43,AG39+'Grid_Incoming'!AH39-'Grid_Requirement'!AH39))</f>
        <v/>
      </c>
      <c r="AI39">
        <f>IF(COUNTIFS(T_StockCount[Part Name],$A39,T_StockCount[WeekIndex],34)&gt;0,SUMIFS(T_StockCount[CountedQty],T_StockCount[Part Name],$A39,T_StockCount[WeekIndex],34),IF((('T_SelfStock'!AI43&lt;&gt;""))*(('T_TTAFStock'!AI43&lt;&gt;""))&gt;0,'T_SelfStock'!AI43+'T_TTAFStock'!AI43,AH39+'Grid_Incoming'!AI39-'Grid_Requirement'!AI39))</f>
        <v/>
      </c>
      <c r="AJ39">
        <f>IF(COUNTIFS(T_StockCount[Part Name],$A39,T_StockCount[WeekIndex],35)&gt;0,SUMIFS(T_StockCount[CountedQty],T_StockCount[Part Name],$A39,T_StockCount[WeekIndex],35),IF((('T_SelfStock'!AJ43&lt;&gt;""))*(('T_TTAFStock'!AJ43&lt;&gt;""))&gt;0,'T_SelfStock'!AJ43+'T_TTAFStock'!AJ43,AI39+'Grid_Incoming'!AJ39-'Grid_Requirement'!AJ39))</f>
        <v/>
      </c>
      <c r="AK39">
        <f>IF(COUNTIFS(T_StockCount[Part Name],$A39,T_StockCount[WeekIndex],36)&gt;0,SUMIFS(T_StockCount[CountedQty],T_StockCount[Part Name],$A39,T_StockCount[WeekIndex],36),IF((('T_SelfStock'!AK43&lt;&gt;""))*(('T_TTAFStock'!AK43&lt;&gt;""))&gt;0,'T_SelfStock'!AK43+'T_TTAFStock'!AK43,AJ39+'Grid_Incoming'!AK39-'Grid_Requirement'!AK39))</f>
        <v/>
      </c>
      <c r="AL39">
        <f>IF(COUNTIFS(T_StockCount[Part Name],$A39,T_StockCount[WeekIndex],37)&gt;0,SUMIFS(T_StockCount[CountedQty],T_StockCount[Part Name],$A39,T_StockCount[WeekIndex],37),IF((('T_SelfStock'!AL43&lt;&gt;""))*(('T_TTAFStock'!AL43&lt;&gt;""))&gt;0,'T_SelfStock'!AL43+'T_TTAFStock'!AL43,AK39+'Grid_Incoming'!AL39-'Grid_Requirement'!AL39))</f>
        <v/>
      </c>
      <c r="AM39">
        <f>IF(COUNTIFS(T_StockCount[Part Name],$A39,T_StockCount[WeekIndex],38)&gt;0,SUMIFS(T_StockCount[CountedQty],T_StockCount[Part Name],$A39,T_StockCount[WeekIndex],38),IF((('T_SelfStock'!AM43&lt;&gt;""))*(('T_TTAFStock'!AM43&lt;&gt;""))&gt;0,'T_SelfStock'!AM43+'T_TTAFStock'!AM43,AL39+'Grid_Incoming'!AM39-'Grid_Requirement'!AM39))</f>
        <v/>
      </c>
      <c r="AN39">
        <f>IF(COUNTIFS(T_StockCount[Part Name],$A39,T_StockCount[WeekIndex],39)&gt;0,SUMIFS(T_StockCount[CountedQty],T_StockCount[Part Name],$A39,T_StockCount[WeekIndex],39),IF((('T_SelfStock'!AN43&lt;&gt;""))*(('T_TTAFStock'!AN43&lt;&gt;""))&gt;0,'T_SelfStock'!AN43+'T_TTAFStock'!AN43,AM39+'Grid_Incoming'!AN39-'Grid_Requirement'!AN39))</f>
        <v/>
      </c>
      <c r="AO39">
        <f>IF(COUNTIFS(T_StockCount[Part Name],$A39,T_StockCount[WeekIndex],40)&gt;0,SUMIFS(T_StockCount[CountedQty],T_StockCount[Part Name],$A39,T_StockCount[WeekIndex],40),IF((('T_SelfStock'!AO43&lt;&gt;""))*(('T_TTAFStock'!AO43&lt;&gt;""))&gt;0,'T_SelfStock'!AO43+'T_TTAFStock'!AO43,AN39+'Grid_Incoming'!AO39-'Grid_Requirement'!AO39))</f>
        <v/>
      </c>
      <c r="AP39">
        <f>IF(COUNTIFS(T_StockCount[Part Name],$A39,T_StockCount[WeekIndex],41)&gt;0,SUMIFS(T_StockCount[CountedQty],T_StockCount[Part Name],$A39,T_StockCount[WeekIndex],41),IF((('T_SelfStock'!AP43&lt;&gt;""))*(('T_TTAFStock'!AP43&lt;&gt;""))&gt;0,'T_SelfStock'!AP43+'T_TTAFStock'!AP43,AO39+'Grid_Incoming'!AP39-'Grid_Requirement'!AP39))</f>
        <v/>
      </c>
      <c r="AQ39">
        <f>IF(COUNTIFS(T_StockCount[Part Name],$A39,T_StockCount[WeekIndex],42)&gt;0,SUMIFS(T_StockCount[CountedQty],T_StockCount[Part Name],$A39,T_StockCount[WeekIndex],42),IF((('T_SelfStock'!AQ43&lt;&gt;""))*(('T_TTAFStock'!AQ43&lt;&gt;""))&gt;0,'T_SelfStock'!AQ43+'T_TTAFStock'!AQ43,AP39+'Grid_Incoming'!AQ39-'Grid_Requirement'!AQ39))</f>
        <v/>
      </c>
      <c r="AR39">
        <f>IF(COUNTIFS(T_StockCount[Part Name],$A39,T_StockCount[WeekIndex],43)&gt;0,SUMIFS(T_StockCount[CountedQty],T_StockCount[Part Name],$A39,T_StockCount[WeekIndex],43),IF((('T_SelfStock'!AR43&lt;&gt;""))*(('T_TTAFStock'!AR43&lt;&gt;""))&gt;0,'T_SelfStock'!AR43+'T_TTAFStock'!AR43,AQ39+'Grid_Incoming'!AR39-'Grid_Requirement'!AR39))</f>
        <v/>
      </c>
      <c r="AS39">
        <f>IF(COUNTIFS(T_StockCount[Part Name],$A39,T_StockCount[WeekIndex],44)&gt;0,SUMIFS(T_StockCount[CountedQty],T_StockCount[Part Name],$A39,T_StockCount[WeekIndex],44),IF((('T_SelfStock'!AS43&lt;&gt;""))*(('T_TTAFStock'!AS43&lt;&gt;""))&gt;0,'T_SelfStock'!AS43+'T_TTAFStock'!AS43,AR39+'Grid_Incoming'!AS39-'Grid_Requirement'!AS39))</f>
        <v/>
      </c>
      <c r="AT39">
        <f>IF(COUNTIFS(T_StockCount[Part Name],$A39,T_StockCount[WeekIndex],45)&gt;0,SUMIFS(T_StockCount[CountedQty],T_StockCount[Part Name],$A39,T_StockCount[WeekIndex],45),IF((('T_SelfStock'!AT43&lt;&gt;""))*(('T_TTAFStock'!AT43&lt;&gt;""))&gt;0,'T_SelfStock'!AT43+'T_TTAFStock'!AT43,AS39+'Grid_Incoming'!AT39-'Grid_Requirement'!AT39))</f>
        <v/>
      </c>
      <c r="AU39">
        <f>IF(COUNTIFS(T_StockCount[Part Name],$A39,T_StockCount[WeekIndex],46)&gt;0,SUMIFS(T_StockCount[CountedQty],T_StockCount[Part Name],$A39,T_StockCount[WeekIndex],46),IF((('T_SelfStock'!AU43&lt;&gt;""))*(('T_TTAFStock'!AU43&lt;&gt;""))&gt;0,'T_SelfStock'!AU43+'T_TTAFStock'!AU43,AT39+'Grid_Incoming'!AU39-'Grid_Requirement'!AU39))</f>
        <v/>
      </c>
      <c r="AV39">
        <f>IF(COUNTIFS(T_StockCount[Part Name],$A39,T_StockCount[WeekIndex],47)&gt;0,SUMIFS(T_StockCount[CountedQty],T_StockCount[Part Name],$A39,T_StockCount[WeekIndex],47),IF((('T_SelfStock'!AV43&lt;&gt;""))*(('T_TTAFStock'!AV43&lt;&gt;""))&gt;0,'T_SelfStock'!AV43+'T_TTAFStock'!AV43,AU39+'Grid_Incoming'!AV39-'Grid_Requirement'!AV39))</f>
        <v/>
      </c>
      <c r="AW39">
        <f>IF(COUNTIFS(T_StockCount[Part Name],$A39,T_StockCount[WeekIndex],48)&gt;0,SUMIFS(T_StockCount[CountedQty],T_StockCount[Part Name],$A39,T_StockCount[WeekIndex],48),IF((('T_SelfStock'!AW43&lt;&gt;""))*(('T_TTAFStock'!AW43&lt;&gt;""))&gt;0,'T_SelfStock'!AW43+'T_TTAFStock'!AW43,AV39+'Grid_Incoming'!AW39-'Grid_Requirement'!AW39))</f>
        <v/>
      </c>
      <c r="AX39">
        <f>IF(COUNTIFS(T_StockCount[Part Name],$A39,T_StockCount[WeekIndex],49)&gt;0,SUMIFS(T_StockCount[CountedQty],T_StockCount[Part Name],$A39,T_StockCount[WeekIndex],49),IF((('T_SelfStock'!AX43&lt;&gt;""))*(('T_TTAFStock'!AX43&lt;&gt;""))&gt;0,'T_SelfStock'!AX43+'T_TTAFStock'!AX43,AW39+'Grid_Incoming'!AX39-'Grid_Requirement'!AX39))</f>
        <v/>
      </c>
      <c r="AY39">
        <f>IF(COUNTIFS(T_StockCount[Part Name],$A39,T_StockCount[WeekIndex],50)&gt;0,SUMIFS(T_StockCount[CountedQty],T_StockCount[Part Name],$A39,T_StockCount[WeekIndex],50),IF((('T_SelfStock'!AY43&lt;&gt;""))*(('T_TTAFStock'!AY43&lt;&gt;""))&gt;0,'T_SelfStock'!AY43+'T_TTAFStock'!AY43,AX39+'Grid_Incoming'!AY39-'Grid_Requirement'!AY39))</f>
        <v/>
      </c>
      <c r="AZ39">
        <f>IF(COUNTIFS(T_StockCount[Part Name],$A39,T_StockCount[WeekIndex],51)&gt;0,SUMIFS(T_StockCount[CountedQty],T_StockCount[Part Name],$A39,T_StockCount[WeekIndex],51),IF((('T_SelfStock'!AZ43&lt;&gt;""))*(('T_TTAFStock'!AZ43&lt;&gt;""))&gt;0,'T_SelfStock'!AZ43+'T_TTAFStock'!AZ43,AY39+'Grid_Incoming'!AZ39-'Grid_Requirement'!AZ39))</f>
        <v/>
      </c>
      <c r="BA39">
        <f>IF(COUNTIFS(T_StockCount[Part Name],$A39,T_StockCount[WeekIndex],52)&gt;0,SUMIFS(T_StockCount[CountedQty],T_StockCount[Part Name],$A39,T_StockCount[WeekIndex],52),IF((('T_SelfStock'!BA43&lt;&gt;""))*(('T_TTAFStock'!BA43&lt;&gt;""))&gt;0,'T_SelfStock'!BA43+'T_TTAFStock'!BA43,AZ39+'Grid_Incoming'!BA39-'Grid_Requirement'!BA39))</f>
        <v/>
      </c>
      <c r="BB39">
        <f>IF(COUNTIFS(T_StockCount[Part Name],$A39,T_StockCount[WeekIndex],53)&gt;0,SUMIFS(T_StockCount[CountedQty],T_StockCount[Part Name],$A39,T_StockCount[WeekIndex],53),IF((('T_SelfStock'!BB43&lt;&gt;""))*(('T_TTAFStock'!BB43&lt;&gt;""))&gt;0,'T_SelfStock'!BB43+'T_TTAFStock'!BB43,BA39+'Grid_Incoming'!BB39-'Grid_Requirement'!BB39))</f>
        <v/>
      </c>
      <c r="BC39">
        <f>IF(COUNTIFS(T_StockCount[Part Name],$A39,T_StockCount[WeekIndex],54)&gt;0,SUMIFS(T_StockCount[CountedQty],T_StockCount[Part Name],$A39,T_StockCount[WeekIndex],54),IF((('T_SelfStock'!BC43&lt;&gt;""))*(('T_TTAFStock'!BC43&lt;&gt;""))&gt;0,'T_SelfStock'!BC43+'T_TTAFStock'!BC43,BB39+'Grid_Incoming'!BC39-'Grid_Requirement'!BC39))</f>
        <v/>
      </c>
      <c r="BD39">
        <f>IF(COUNTIFS(T_StockCount[Part Name],$A39,T_StockCount[WeekIndex],55)&gt;0,SUMIFS(T_StockCount[CountedQty],T_StockCount[Part Name],$A39,T_StockCount[WeekIndex],55),IF((('T_SelfStock'!BD43&lt;&gt;""))*(('T_TTAFStock'!BD43&lt;&gt;""))&gt;0,'T_SelfStock'!BD43+'T_TTAFStock'!BD43,BC39+'Grid_Incoming'!BD39-'Grid_Requirement'!BD39))</f>
        <v/>
      </c>
      <c r="BE39">
        <f>IF(COUNTIFS(T_StockCount[Part Name],$A39,T_StockCount[WeekIndex],56)&gt;0,SUMIFS(T_StockCount[CountedQty],T_StockCount[Part Name],$A39,T_StockCount[WeekIndex],56),IF((('T_SelfStock'!BE43&lt;&gt;""))*(('T_TTAFStock'!BE43&lt;&gt;""))&gt;0,'T_SelfStock'!BE43+'T_TTAFStock'!BE43,BD39+'Grid_Incoming'!BE39-'Grid_Requirement'!BE39))</f>
        <v/>
      </c>
      <c r="BF39">
        <f>IF(COUNTIFS(T_StockCount[Part Name],$A39,T_StockCount[WeekIndex],57)&gt;0,SUMIFS(T_StockCount[CountedQty],T_StockCount[Part Name],$A39,T_StockCount[WeekIndex],57),IF((('T_SelfStock'!BF43&lt;&gt;""))*(('T_TTAFStock'!BF43&lt;&gt;""))&gt;0,'T_SelfStock'!BF43+'T_TTAFStock'!BF43,BE39+'Grid_Incoming'!BF39-'Grid_Requirement'!BF39))</f>
        <v/>
      </c>
      <c r="BG39">
        <f>IF(COUNTIFS(T_StockCount[Part Name],$A39,T_StockCount[WeekIndex],58)&gt;0,SUMIFS(T_StockCount[CountedQty],T_StockCount[Part Name],$A39,T_StockCount[WeekIndex],58),IF((('T_SelfStock'!BG43&lt;&gt;""))*(('T_TTAFStock'!BG43&lt;&gt;""))&gt;0,'T_SelfStock'!BG43+'T_TTAFStock'!BG43,BF39+'Grid_Incoming'!BG39-'Grid_Requirement'!BG39))</f>
        <v/>
      </c>
      <c r="BH39">
        <f>IF(COUNTIFS(T_StockCount[Part Name],$A39,T_StockCount[WeekIndex],59)&gt;0,SUMIFS(T_StockCount[CountedQty],T_StockCount[Part Name],$A39,T_StockCount[WeekIndex],59),IF((('T_SelfStock'!BH43&lt;&gt;""))*(('T_TTAFStock'!BH43&lt;&gt;""))&gt;0,'T_SelfStock'!BH43+'T_TTAFStock'!BH43,BG39+'Grid_Incoming'!BH39-'Grid_Requirement'!BH39))</f>
        <v/>
      </c>
      <c r="BI39">
        <f>IF(COUNTIFS(T_StockCount[Part Name],$A39,T_StockCount[WeekIndex],60)&gt;0,SUMIFS(T_StockCount[CountedQty],T_StockCount[Part Name],$A39,T_StockCount[WeekIndex],60),IF((('T_SelfStock'!BI43&lt;&gt;""))*(('T_TTAFStock'!BI43&lt;&gt;""))&gt;0,'T_SelfStock'!BI43+'T_TTAFStock'!BI43,BH39+'Grid_Incoming'!BI39-'Grid_Requirement'!BI39))</f>
        <v/>
      </c>
      <c r="BJ39">
        <f>IF(COUNTIFS(T_StockCount[Part Name],$A39,T_StockCount[WeekIndex],61)&gt;0,SUMIFS(T_StockCount[CountedQty],T_StockCount[Part Name],$A39,T_StockCount[WeekIndex],61),IF((('T_SelfStock'!BJ43&lt;&gt;""))*(('T_TTAFStock'!BJ43&lt;&gt;""))&gt;0,'T_SelfStock'!BJ43+'T_TTAFStock'!BJ43,BI39+'Grid_Incoming'!BJ39-'Grid_Requirement'!BJ39))</f>
        <v/>
      </c>
      <c r="BK39">
        <f>IF(COUNTIFS(T_StockCount[Part Name],$A39,T_StockCount[WeekIndex],62)&gt;0,SUMIFS(T_StockCount[CountedQty],T_StockCount[Part Name],$A39,T_StockCount[WeekIndex],62),IF((('T_SelfStock'!BK43&lt;&gt;""))*(('T_TTAFStock'!BK43&lt;&gt;""))&gt;0,'T_SelfStock'!BK43+'T_TTAFStock'!BK43,BJ39+'Grid_Incoming'!BK39-'Grid_Requirement'!BK39))</f>
        <v/>
      </c>
      <c r="BL39">
        <f>IF(COUNTIFS(T_StockCount[Part Name],$A39,T_StockCount[WeekIndex],63)&gt;0,SUMIFS(T_StockCount[CountedQty],T_StockCount[Part Name],$A39,T_StockCount[WeekIndex],63),IF((('T_SelfStock'!BL43&lt;&gt;""))*(('T_TTAFStock'!BL43&lt;&gt;""))&gt;0,'T_SelfStock'!BL43+'T_TTAFStock'!BL43,BK39+'Grid_Incoming'!BL39-'Grid_Requirement'!BL39))</f>
        <v/>
      </c>
      <c r="BM39">
        <f>IF(COUNTIFS(T_StockCount[Part Name],$A39,T_StockCount[WeekIndex],64)&gt;0,SUMIFS(T_StockCount[CountedQty],T_StockCount[Part Name],$A39,T_StockCount[WeekIndex],64),IF((('T_SelfStock'!BM43&lt;&gt;""))*(('T_TTAFStock'!BM43&lt;&gt;""))&gt;0,'T_SelfStock'!BM43+'T_TTAFStock'!BM43,BL39+'Grid_Incoming'!BM39-'Grid_Requirement'!BM39))</f>
        <v/>
      </c>
      <c r="BN39">
        <f>IF(COUNTIFS(T_StockCount[Part Name],$A39,T_StockCount[WeekIndex],65)&gt;0,SUMIFS(T_StockCount[CountedQty],T_StockCount[Part Name],$A39,T_StockCount[WeekIndex],65),IF((('T_SelfStock'!BN43&lt;&gt;""))*(('T_TTAFStock'!BN43&lt;&gt;""))&gt;0,'T_SelfStock'!BN43+'T_TTAFStock'!BN43,BM39+'Grid_Incoming'!BN39-'Grid_Requirement'!BN39))</f>
        <v/>
      </c>
      <c r="BO39">
        <f>IF(COUNTIFS(T_StockCount[Part Name],$A39,T_StockCount[WeekIndex],66)&gt;0,SUMIFS(T_StockCount[CountedQty],T_StockCount[Part Name],$A39,T_StockCount[WeekIndex],66),IF((('T_SelfStock'!BO43&lt;&gt;""))*(('T_TTAFStock'!BO43&lt;&gt;""))&gt;0,'T_SelfStock'!BO43+'T_TTAFStock'!BO43,BN39+'Grid_Incoming'!BO39-'Grid_Requirement'!BO39))</f>
        <v/>
      </c>
      <c r="BP39">
        <f>IF(COUNTIFS(T_StockCount[Part Name],$A39,T_StockCount[WeekIndex],67)&gt;0,SUMIFS(T_StockCount[CountedQty],T_StockCount[Part Name],$A39,T_StockCount[WeekIndex],67),IF((('T_SelfStock'!BP43&lt;&gt;""))*(('T_TTAFStock'!BP43&lt;&gt;""))&gt;0,'T_SelfStock'!BP43+'T_TTAFStock'!BP43,BO39+'Grid_Incoming'!BP39-'Grid_Requirement'!BP39))</f>
        <v/>
      </c>
      <c r="BQ39">
        <f>IF(COUNTIFS(T_StockCount[Part Name],$A39,T_StockCount[WeekIndex],68)&gt;0,SUMIFS(T_StockCount[CountedQty],T_StockCount[Part Name],$A39,T_StockCount[WeekIndex],68),IF((('T_SelfStock'!BQ43&lt;&gt;""))*(('T_TTAFStock'!BQ43&lt;&gt;""))&gt;0,'T_SelfStock'!BQ43+'T_TTAFStock'!BQ43,BP39+'Grid_Incoming'!BQ39-'Grid_Requirement'!BQ39))</f>
        <v/>
      </c>
      <c r="BR39">
        <f>IF(COUNTIFS(T_StockCount[Part Name],$A39,T_StockCount[WeekIndex],69)&gt;0,SUMIFS(T_StockCount[CountedQty],T_StockCount[Part Name],$A39,T_StockCount[WeekIndex],69),IF((('T_SelfStock'!BR43&lt;&gt;""))*(('T_TTAFStock'!BR43&lt;&gt;""))&gt;0,'T_SelfStock'!BR43+'T_TTAFStock'!BR43,BQ39+'Grid_Incoming'!BR39-'Grid_Requirement'!BR39))</f>
        <v/>
      </c>
      <c r="BS39">
        <f>IF(COUNTIFS(T_StockCount[Part Name],$A39,T_StockCount[WeekIndex],70)&gt;0,SUMIFS(T_StockCount[CountedQty],T_StockCount[Part Name],$A39,T_StockCount[WeekIndex],70),IF((('T_SelfStock'!BS43&lt;&gt;""))*(('T_TTAFStock'!BS43&lt;&gt;""))&gt;0,'T_SelfStock'!BS43+'T_TTAFStock'!BS43,BR39+'Grid_Incoming'!BS39-'Grid_Requirement'!BS39))</f>
        <v/>
      </c>
      <c r="BT39">
        <f>IF(COUNTIFS(T_StockCount[Part Name],$A39,T_StockCount[WeekIndex],71)&gt;0,SUMIFS(T_StockCount[CountedQty],T_StockCount[Part Name],$A39,T_StockCount[WeekIndex],71),IF((('T_SelfStock'!BT43&lt;&gt;""))*(('T_TTAFStock'!BT43&lt;&gt;""))&gt;0,'T_SelfStock'!BT43+'T_TTAFStock'!BT43,BS39+'Grid_Incoming'!BT39-'Grid_Requirement'!BT39))</f>
        <v/>
      </c>
      <c r="BU39">
        <f>IF(COUNTIFS(T_StockCount[Part Name],$A39,T_StockCount[WeekIndex],72)&gt;0,SUMIFS(T_StockCount[CountedQty],T_StockCount[Part Name],$A39,T_StockCount[WeekIndex],72),IF((('T_SelfStock'!BU43&lt;&gt;""))*(('T_TTAFStock'!BU43&lt;&gt;""))&gt;0,'T_SelfStock'!BU43+'T_TTAFStock'!BU43,BT39+'Grid_Incoming'!BU39-'Grid_Requirement'!BU39))</f>
        <v/>
      </c>
      <c r="BV39">
        <f>IF(COUNTIFS(T_StockCount[Part Name],$A39,T_StockCount[WeekIndex],73)&gt;0,SUMIFS(T_StockCount[CountedQty],T_StockCount[Part Name],$A39,T_StockCount[WeekIndex],73),IF((('T_SelfStock'!BV43&lt;&gt;""))*(('T_TTAFStock'!BV43&lt;&gt;""))&gt;0,'T_SelfStock'!BV43+'T_TTAFStock'!BV43,BU39+'Grid_Incoming'!BV39-'Grid_Requirement'!BV39))</f>
        <v/>
      </c>
      <c r="BW39">
        <f>IF(COUNTIFS(T_StockCount[Part Name],$A39,T_StockCount[WeekIndex],74)&gt;0,SUMIFS(T_StockCount[CountedQty],T_StockCount[Part Name],$A39,T_StockCount[WeekIndex],74),IF((('T_SelfStock'!BW43&lt;&gt;""))*(('T_TTAFStock'!BW43&lt;&gt;""))&gt;0,'T_SelfStock'!BW43+'T_TTAFStock'!BW43,BV39+'Grid_Incoming'!BW39-'Grid_Requirement'!BW39))</f>
        <v/>
      </c>
      <c r="BX39">
        <f>IF(COUNTIFS(T_StockCount[Part Name],$A39,T_StockCount[WeekIndex],75)&gt;0,SUMIFS(T_StockCount[CountedQty],T_StockCount[Part Name],$A39,T_StockCount[WeekIndex],75),IF((('T_SelfStock'!BX43&lt;&gt;""))*(('T_TTAFStock'!BX43&lt;&gt;""))&gt;0,'T_SelfStock'!BX43+'T_TTAFStock'!BX43,BW39+'Grid_Incoming'!BX39-'Grid_Requirement'!BX39))</f>
        <v/>
      </c>
      <c r="BY39">
        <f>IF(COUNTIFS(T_StockCount[Part Name],$A39,T_StockCount[WeekIndex],76)&gt;0,SUMIFS(T_StockCount[CountedQty],T_StockCount[Part Name],$A39,T_StockCount[WeekIndex],76),IF((('T_SelfStock'!BY43&lt;&gt;""))*(('T_TTAFStock'!BY43&lt;&gt;""))&gt;0,'T_SelfStock'!BY43+'T_TTAFStock'!BY43,BX39+'Grid_Incoming'!BY39-'Grid_Requirement'!BY39))</f>
        <v/>
      </c>
      <c r="BZ39">
        <f>IF(COUNTIFS(T_StockCount[Part Name],$A39,T_StockCount[WeekIndex],77)&gt;0,SUMIFS(T_StockCount[CountedQty],T_StockCount[Part Name],$A39,T_StockCount[WeekIndex],77),IF((('T_SelfStock'!BZ43&lt;&gt;""))*(('T_TTAFStock'!BZ43&lt;&gt;""))&gt;0,'T_SelfStock'!BZ43+'T_TTAFStock'!BZ43,BY39+'Grid_Incoming'!BZ39-'Grid_Requirement'!BZ39))</f>
        <v/>
      </c>
      <c r="CA39">
        <f>IF(COUNTIFS(T_StockCount[Part Name],$A39,T_StockCount[WeekIndex],78)&gt;0,SUMIFS(T_StockCount[CountedQty],T_StockCount[Part Name],$A39,T_StockCount[WeekIndex],78),IF((('T_SelfStock'!CA43&lt;&gt;""))*(('T_TTAFStock'!CA43&lt;&gt;""))&gt;0,'T_SelfStock'!CA43+'T_TTAFStock'!CA43,BZ39+'Grid_Incoming'!CA39-'Grid_Requirement'!CA39))</f>
        <v/>
      </c>
      <c r="CB39">
        <f>IF(COUNTIFS(T_StockCount[Part Name],$A39,T_StockCount[WeekIndex],79)&gt;0,SUMIFS(T_StockCount[CountedQty],T_StockCount[Part Name],$A39,T_StockCount[WeekIndex],79),IF((('T_SelfStock'!CB43&lt;&gt;""))*(('T_TTAFStock'!CB43&lt;&gt;""))&gt;0,'T_SelfStock'!CB43+'T_TTAFStock'!CB43,CA39+'Grid_Incoming'!CB39-'Grid_Requirement'!CB39))</f>
        <v/>
      </c>
      <c r="CC39">
        <f>IF(COUNTIFS(T_StockCount[Part Name],$A39,T_StockCount[WeekIndex],80)&gt;0,SUMIFS(T_StockCount[CountedQty],T_StockCount[Part Name],$A39,T_StockCount[WeekIndex],80),IF((('T_SelfStock'!CC43&lt;&gt;""))*(('T_TTAFStock'!CC43&lt;&gt;""))&gt;0,'T_SelfStock'!CC43+'T_TTAFStock'!CC43,CB39+'Grid_Incoming'!CC39-'Grid_Requirement'!CC39))</f>
        <v/>
      </c>
      <c r="CD39">
        <f>IF(COUNTIFS(T_StockCount[Part Name],$A39,T_StockCount[WeekIndex],81)&gt;0,SUMIFS(T_StockCount[CountedQty],T_StockCount[Part Name],$A39,T_StockCount[WeekIndex],81),IF((('T_SelfStock'!CD43&lt;&gt;""))*(('T_TTAFStock'!CD43&lt;&gt;""))&gt;0,'T_SelfStock'!CD43+'T_TTAFStock'!CD43,CC39+'Grid_Incoming'!CD39-'Grid_Requirement'!CD39))</f>
        <v/>
      </c>
      <c r="CE39">
        <f>IF(COUNTIFS(T_StockCount[Part Name],$A39,T_StockCount[WeekIndex],82)&gt;0,SUMIFS(T_StockCount[CountedQty],T_StockCount[Part Name],$A39,T_StockCount[WeekIndex],82),IF((('T_SelfStock'!CE43&lt;&gt;""))*(('T_TTAFStock'!CE43&lt;&gt;""))&gt;0,'T_SelfStock'!CE43+'T_TTAFStock'!CE43,CD39+'Grid_Incoming'!CE39-'Grid_Requirement'!CE39))</f>
        <v/>
      </c>
      <c r="CF39">
        <f>IF(COUNTIFS(T_StockCount[Part Name],$A39,T_StockCount[WeekIndex],83)&gt;0,SUMIFS(T_StockCount[CountedQty],T_StockCount[Part Name],$A39,T_StockCount[WeekIndex],83),IF((('T_SelfStock'!CF43&lt;&gt;""))*(('T_TTAFStock'!CF43&lt;&gt;""))&gt;0,'T_SelfStock'!CF43+'T_TTAFStock'!CF43,CE39+'Grid_Incoming'!CF39-'Grid_Requirement'!CF39))</f>
        <v/>
      </c>
      <c r="CG39">
        <f>IF(COUNTIFS(T_StockCount[Part Name],$A39,T_StockCount[WeekIndex],84)&gt;0,SUMIFS(T_StockCount[CountedQty],T_StockCount[Part Name],$A39,T_StockCount[WeekIndex],84),IF((('T_SelfStock'!CG43&lt;&gt;""))*(('T_TTAFStock'!CG43&lt;&gt;""))&gt;0,'T_SelfStock'!CG43+'T_TTAFStock'!CG43,CF39+'Grid_Incoming'!CG39-'Grid_Requirement'!CG39))</f>
        <v/>
      </c>
      <c r="CH39">
        <f>IF(COUNTIFS(T_StockCount[Part Name],$A39,T_StockCount[WeekIndex],85)&gt;0,SUMIFS(T_StockCount[CountedQty],T_StockCount[Part Name],$A39,T_StockCount[WeekIndex],85),IF((('T_SelfStock'!CH43&lt;&gt;""))*(('T_TTAFStock'!CH43&lt;&gt;""))&gt;0,'T_SelfStock'!CH43+'T_TTAFStock'!CH43,CG39+'Grid_Incoming'!CH39-'Grid_Requirement'!CH39))</f>
        <v/>
      </c>
      <c r="CI39">
        <f>IF(COUNTIFS(T_StockCount[Part Name],$A39,T_StockCount[WeekIndex],86)&gt;0,SUMIFS(T_StockCount[CountedQty],T_StockCount[Part Name],$A39,T_StockCount[WeekIndex],86),IF((('T_SelfStock'!CI43&lt;&gt;""))*(('T_TTAFStock'!CI43&lt;&gt;""))&gt;0,'T_SelfStock'!CI43+'T_TTAFStock'!CI43,CH39+'Grid_Incoming'!CI39-'Grid_Requirement'!CI39))</f>
        <v/>
      </c>
      <c r="CJ39">
        <f>IF(COUNTIFS(T_StockCount[Part Name],$A39,T_StockCount[WeekIndex],87)&gt;0,SUMIFS(T_StockCount[CountedQty],T_StockCount[Part Name],$A39,T_StockCount[WeekIndex],87),IF((('T_SelfStock'!CJ43&lt;&gt;""))*(('T_TTAFStock'!CJ43&lt;&gt;""))&gt;0,'T_SelfStock'!CJ43+'T_TTAFStock'!CJ43,CI39+'Grid_Incoming'!CJ39-'Grid_Requirement'!CJ39))</f>
        <v/>
      </c>
      <c r="CK39">
        <f>IF(COUNTIFS(T_StockCount[Part Name],$A39,T_StockCount[WeekIndex],88)&gt;0,SUMIFS(T_StockCount[CountedQty],T_StockCount[Part Name],$A39,T_StockCount[WeekIndex],88),IF((('T_SelfStock'!CK43&lt;&gt;""))*(('T_TTAFStock'!CK43&lt;&gt;""))&gt;0,'T_SelfStock'!CK43+'T_TTAFStock'!CK43,CJ39+'Grid_Incoming'!CK39-'Grid_Requirement'!CK39))</f>
        <v/>
      </c>
      <c r="CL39">
        <f>IF(COUNTIFS(T_StockCount[Part Name],$A39,T_StockCount[WeekIndex],89)&gt;0,SUMIFS(T_StockCount[CountedQty],T_StockCount[Part Name],$A39,T_StockCount[WeekIndex],89),IF((('T_SelfStock'!CL43&lt;&gt;""))*(('T_TTAFStock'!CL43&lt;&gt;""))&gt;0,'T_SelfStock'!CL43+'T_TTAFStock'!CL43,CK39+'Grid_Incoming'!CL39-'Grid_Requirement'!CL39))</f>
        <v/>
      </c>
      <c r="CM39">
        <f>IF(COUNTIFS(T_StockCount[Part Name],$A39,T_StockCount[WeekIndex],90)&gt;0,SUMIFS(T_StockCount[CountedQty],T_StockCount[Part Name],$A39,T_StockCount[WeekIndex],90),IF((('T_SelfStock'!CM43&lt;&gt;""))*(('T_TTAFStock'!CM43&lt;&gt;""))&gt;0,'T_SelfStock'!CM43+'T_TTAFStock'!CM43,CL39+'Grid_Incoming'!CM39-'Grid_Requirement'!CM39))</f>
        <v/>
      </c>
      <c r="CN39">
        <f>IF(COUNTIFS(T_StockCount[Part Name],$A39,T_StockCount[WeekIndex],91)&gt;0,SUMIFS(T_StockCount[CountedQty],T_StockCount[Part Name],$A39,T_StockCount[WeekIndex],91),IF((('T_SelfStock'!CN43&lt;&gt;""))*(('T_TTAFStock'!CN43&lt;&gt;""))&gt;0,'T_SelfStock'!CN43+'T_TTAFStock'!CN43,CM39+'Grid_Incoming'!CN39-'Grid_Requirement'!CN39))</f>
        <v/>
      </c>
      <c r="CO39">
        <f>IF(COUNTIFS(T_StockCount[Part Name],$A39,T_StockCount[WeekIndex],92)&gt;0,SUMIFS(T_StockCount[CountedQty],T_StockCount[Part Name],$A39,T_StockCount[WeekIndex],92),IF((('T_SelfStock'!CO43&lt;&gt;""))*(('T_TTAFStock'!CO43&lt;&gt;""))&gt;0,'T_SelfStock'!CO43+'T_TTAFStock'!CO43,CN39+'Grid_Incoming'!CO39-'Grid_Requirement'!CO39))</f>
        <v/>
      </c>
      <c r="CP39">
        <f>IF(COUNTIFS(T_StockCount[Part Name],$A39,T_StockCount[WeekIndex],93)&gt;0,SUMIFS(T_StockCount[CountedQty],T_StockCount[Part Name],$A39,T_StockCount[WeekIndex],93),IF((('T_SelfStock'!CP43&lt;&gt;""))*(('T_TTAFStock'!CP43&lt;&gt;""))&gt;0,'T_SelfStock'!CP43+'T_TTAFStock'!CP43,CO39+'Grid_Incoming'!CP39-'Grid_Requirement'!CP39))</f>
        <v/>
      </c>
      <c r="CQ39">
        <f>IF(COUNTIFS(T_StockCount[Part Name],$A39,T_StockCount[WeekIndex],94)&gt;0,SUMIFS(T_StockCount[CountedQty],T_StockCount[Part Name],$A39,T_StockCount[WeekIndex],94),IF((('T_SelfStock'!CQ43&lt;&gt;""))*(('T_TTAFStock'!CQ43&lt;&gt;""))&gt;0,'T_SelfStock'!CQ43+'T_TTAFStock'!CQ43,CP39+'Grid_Incoming'!CQ39-'Grid_Requirement'!CQ39))</f>
        <v/>
      </c>
      <c r="CR39">
        <f>IF(COUNTIFS(T_StockCount[Part Name],$A39,T_StockCount[WeekIndex],95)&gt;0,SUMIFS(T_StockCount[CountedQty],T_StockCount[Part Name],$A39,T_StockCount[WeekIndex],95),IF((('T_SelfStock'!CR43&lt;&gt;""))*(('T_TTAFStock'!CR43&lt;&gt;""))&gt;0,'T_SelfStock'!CR43+'T_TTAFStock'!CR43,CQ39+'Grid_Incoming'!CR39-'Grid_Requirement'!CR39))</f>
        <v/>
      </c>
      <c r="CS39">
        <f>IF(COUNTIFS(T_StockCount[Part Name],$A39,T_StockCount[WeekIndex],96)&gt;0,SUMIFS(T_StockCount[CountedQty],T_StockCount[Part Name],$A39,T_StockCount[WeekIndex],96),IF((('T_SelfStock'!CS43&lt;&gt;""))*(('T_TTAFStock'!CS43&lt;&gt;""))&gt;0,'T_SelfStock'!CS43+'T_TTAFStock'!CS43,CR39+'Grid_Incoming'!CS39-'Grid_Requirement'!CS39))</f>
        <v/>
      </c>
      <c r="CT39">
        <f>IF(COUNTIFS(T_StockCount[Part Name],$A39,T_StockCount[WeekIndex],97)&gt;0,SUMIFS(T_StockCount[CountedQty],T_StockCount[Part Name],$A39,T_StockCount[WeekIndex],97),IF((('T_SelfStock'!CT43&lt;&gt;""))*(('T_TTAFStock'!CT43&lt;&gt;""))&gt;0,'T_SelfStock'!CT43+'T_TTAFStock'!CT43,CS39+'Grid_Incoming'!CT39-'Grid_Requirement'!CT39))</f>
        <v/>
      </c>
      <c r="CU39">
        <f>IF(COUNTIFS(T_StockCount[Part Name],$A39,T_StockCount[WeekIndex],98)&gt;0,SUMIFS(T_StockCount[CountedQty],T_StockCount[Part Name],$A39,T_StockCount[WeekIndex],98),IF((('T_SelfStock'!CU43&lt;&gt;""))*(('T_TTAFStock'!CU43&lt;&gt;""))&gt;0,'T_SelfStock'!CU43+'T_TTAFStock'!CU43,CT39+'Grid_Incoming'!CU39-'Grid_Requirement'!CU39))</f>
        <v/>
      </c>
      <c r="CV39">
        <f>IF(COUNTIFS(T_StockCount[Part Name],$A39,T_StockCount[WeekIndex],99)&gt;0,SUMIFS(T_StockCount[CountedQty],T_StockCount[Part Name],$A39,T_StockCount[WeekIndex],99),IF((('T_SelfStock'!CV43&lt;&gt;""))*(('T_TTAFStock'!CV43&lt;&gt;""))&gt;0,'T_SelfStock'!CV43+'T_TTAFStock'!CV43,CU39+'Grid_Incoming'!CV39-'Grid_Requirement'!CV39))</f>
        <v/>
      </c>
      <c r="CW39">
        <f>IF(COUNTIFS(T_StockCount[Part Name],$A39,T_StockCount[WeekIndex],100)&gt;0,SUMIFS(T_StockCount[CountedQty],T_StockCount[Part Name],$A39,T_StockCount[WeekIndex],100),IF((('T_SelfStock'!CW43&lt;&gt;""))*(('T_TTAFStock'!CW43&lt;&gt;""))&gt;0,'T_SelfStock'!CW43+'T_TTAFStock'!CW43,CV39+'Grid_Incoming'!CW39-'Grid_Requirement'!CW39))</f>
        <v/>
      </c>
      <c r="CX39">
        <f>IF(COUNTIFS(T_StockCount[Part Name],$A39,T_StockCount[WeekIndex],101)&gt;0,SUMIFS(T_StockCount[CountedQty],T_StockCount[Part Name],$A39,T_StockCount[WeekIndex],101),IF((('T_SelfStock'!CX43&lt;&gt;""))*(('T_TTAFStock'!CX43&lt;&gt;""))&gt;0,'T_SelfStock'!CX43+'T_TTAFStock'!CX43,CW39+'Grid_Incoming'!CX39-'Grid_Requirement'!CX39))</f>
        <v/>
      </c>
      <c r="CY39">
        <f>IF(COUNTIFS(T_StockCount[Part Name],$A39,T_StockCount[WeekIndex],102)&gt;0,SUMIFS(T_StockCount[CountedQty],T_StockCount[Part Name],$A39,T_StockCount[WeekIndex],102),IF((('T_SelfStock'!CY43&lt;&gt;""))*(('T_TTAFStock'!CY43&lt;&gt;""))&gt;0,'T_SelfStock'!CY43+'T_TTAFStock'!CY43,CX39+'Grid_Incoming'!CY39-'Grid_Requirement'!CY39))</f>
        <v/>
      </c>
      <c r="CZ39">
        <f>IF(COUNTIFS(T_StockCount[Part Name],$A39,T_StockCount[WeekIndex],103)&gt;0,SUMIFS(T_StockCount[CountedQty],T_StockCount[Part Name],$A39,T_StockCount[WeekIndex],103),IF((('T_SelfStock'!CZ43&lt;&gt;""))*(('T_TTAFStock'!CZ43&lt;&gt;""))&gt;0,'T_SelfStock'!CZ43+'T_TTAFStock'!CZ43,CY39+'Grid_Incoming'!CZ39-'Grid_Requirement'!CZ39))</f>
        <v/>
      </c>
      <c r="DA39">
        <f>IF(COUNTIFS(T_StockCount[Part Name],$A39,T_StockCount[WeekIndex],104)&gt;0,SUMIFS(T_StockCount[CountedQty],T_StockCount[Part Name],$A39,T_StockCount[WeekIndex],104),IF((('T_SelfStock'!DA43&lt;&gt;""))*(('T_TTAFStock'!DA43&lt;&gt;""))&gt;0,'T_SelfStock'!DA43+'T_TTAFStock'!DA43,CZ39+'Grid_Incoming'!DA39-'Grid_Requirement'!DA39))</f>
        <v/>
      </c>
    </row>
    <row r="40">
      <c r="A40" t="inlineStr">
        <is>
          <t>CHEM-1540</t>
        </is>
      </c>
      <c r="B40">
        <f>IF(COUNTIFS(T_StockCount[Part Name],$A40,T_StockCount[WeekIndex],1)&gt;0,SUMIFS(T_StockCount[CountedQty],T_StockCount[Part Name],$A40,T_StockCount[WeekIndex],1),IF((('T_SelfStock'!B44&lt;&gt;""))*(('T_TTAFStock'!B44&lt;&gt;""))&gt;0,'T_SelfStock'!B44+'T_TTAFStock'!B44,IFERROR(INDEX(T_OpeningStock[Opening_Qty_要入力],MATCH($A40,T_OpeningStock[Part Name],0)),0)+'Grid_Incoming'!B40-'Grid_Requirement'!B40))</f>
        <v/>
      </c>
      <c r="C40">
        <f>IF(COUNTIFS(T_StockCount[Part Name],$A40,T_StockCount[WeekIndex],2)&gt;0,SUMIFS(T_StockCount[CountedQty],T_StockCount[Part Name],$A40,T_StockCount[WeekIndex],2),IF((('T_SelfStock'!C44&lt;&gt;""))*(('T_TTAFStock'!C44&lt;&gt;""))&gt;0,'T_SelfStock'!C44+'T_TTAFStock'!C44,B40+'Grid_Incoming'!C40-'Grid_Requirement'!C40))</f>
        <v/>
      </c>
      <c r="D40">
        <f>IF(COUNTIFS(T_StockCount[Part Name],$A40,T_StockCount[WeekIndex],3)&gt;0,SUMIFS(T_StockCount[CountedQty],T_StockCount[Part Name],$A40,T_StockCount[WeekIndex],3),IF((('T_SelfStock'!D44&lt;&gt;""))*(('T_TTAFStock'!D44&lt;&gt;""))&gt;0,'T_SelfStock'!D44+'T_TTAFStock'!D44,C40+'Grid_Incoming'!D40-'Grid_Requirement'!D40))</f>
        <v/>
      </c>
      <c r="E40">
        <f>IF(COUNTIFS(T_StockCount[Part Name],$A40,T_StockCount[WeekIndex],4)&gt;0,SUMIFS(T_StockCount[CountedQty],T_StockCount[Part Name],$A40,T_StockCount[WeekIndex],4),IF((('T_SelfStock'!E44&lt;&gt;""))*(('T_TTAFStock'!E44&lt;&gt;""))&gt;0,'T_SelfStock'!E44+'T_TTAFStock'!E44,D40+'Grid_Incoming'!E40-'Grid_Requirement'!E40))</f>
        <v/>
      </c>
      <c r="F40">
        <f>IF(COUNTIFS(T_StockCount[Part Name],$A40,T_StockCount[WeekIndex],5)&gt;0,SUMIFS(T_StockCount[CountedQty],T_StockCount[Part Name],$A40,T_StockCount[WeekIndex],5),IF((('T_SelfStock'!F44&lt;&gt;""))*(('T_TTAFStock'!F44&lt;&gt;""))&gt;0,'T_SelfStock'!F44+'T_TTAFStock'!F44,E40+'Grid_Incoming'!F40-'Grid_Requirement'!F40))</f>
        <v/>
      </c>
      <c r="G40">
        <f>IF(COUNTIFS(T_StockCount[Part Name],$A40,T_StockCount[WeekIndex],6)&gt;0,SUMIFS(T_StockCount[CountedQty],T_StockCount[Part Name],$A40,T_StockCount[WeekIndex],6),IF((('T_SelfStock'!G44&lt;&gt;""))*(('T_TTAFStock'!G44&lt;&gt;""))&gt;0,'T_SelfStock'!G44+'T_TTAFStock'!G44,F40+'Grid_Incoming'!G40-'Grid_Requirement'!G40))</f>
        <v/>
      </c>
      <c r="H40">
        <f>IF(COUNTIFS(T_StockCount[Part Name],$A40,T_StockCount[WeekIndex],7)&gt;0,SUMIFS(T_StockCount[CountedQty],T_StockCount[Part Name],$A40,T_StockCount[WeekIndex],7),IF((('T_SelfStock'!H44&lt;&gt;""))*(('T_TTAFStock'!H44&lt;&gt;""))&gt;0,'T_SelfStock'!H44+'T_TTAFStock'!H44,G40+'Grid_Incoming'!H40-'Grid_Requirement'!H40))</f>
        <v/>
      </c>
      <c r="I40">
        <f>IF(COUNTIFS(T_StockCount[Part Name],$A40,T_StockCount[WeekIndex],8)&gt;0,SUMIFS(T_StockCount[CountedQty],T_StockCount[Part Name],$A40,T_StockCount[WeekIndex],8),IF((('T_SelfStock'!I44&lt;&gt;""))*(('T_TTAFStock'!I44&lt;&gt;""))&gt;0,'T_SelfStock'!I44+'T_TTAFStock'!I44,H40+'Grid_Incoming'!I40-'Grid_Requirement'!I40))</f>
        <v/>
      </c>
      <c r="J40">
        <f>IF(COUNTIFS(T_StockCount[Part Name],$A40,T_StockCount[WeekIndex],9)&gt;0,SUMIFS(T_StockCount[CountedQty],T_StockCount[Part Name],$A40,T_StockCount[WeekIndex],9),IF((('T_SelfStock'!J44&lt;&gt;""))*(('T_TTAFStock'!J44&lt;&gt;""))&gt;0,'T_SelfStock'!J44+'T_TTAFStock'!J44,I40+'Grid_Incoming'!J40-'Grid_Requirement'!J40))</f>
        <v/>
      </c>
      <c r="K40">
        <f>IF(COUNTIFS(T_StockCount[Part Name],$A40,T_StockCount[WeekIndex],10)&gt;0,SUMIFS(T_StockCount[CountedQty],T_StockCount[Part Name],$A40,T_StockCount[WeekIndex],10),IF((('T_SelfStock'!K44&lt;&gt;""))*(('T_TTAFStock'!K44&lt;&gt;""))&gt;0,'T_SelfStock'!K44+'T_TTAFStock'!K44,J40+'Grid_Incoming'!K40-'Grid_Requirement'!K40))</f>
        <v/>
      </c>
      <c r="L40">
        <f>IF(COUNTIFS(T_StockCount[Part Name],$A40,T_StockCount[WeekIndex],11)&gt;0,SUMIFS(T_StockCount[CountedQty],T_StockCount[Part Name],$A40,T_StockCount[WeekIndex],11),IF((('T_SelfStock'!L44&lt;&gt;""))*(('T_TTAFStock'!L44&lt;&gt;""))&gt;0,'T_SelfStock'!L44+'T_TTAFStock'!L44,K40+'Grid_Incoming'!L40-'Grid_Requirement'!L40))</f>
        <v/>
      </c>
      <c r="M40">
        <f>IF(COUNTIFS(T_StockCount[Part Name],$A40,T_StockCount[WeekIndex],12)&gt;0,SUMIFS(T_StockCount[CountedQty],T_StockCount[Part Name],$A40,T_StockCount[WeekIndex],12),IF((('T_SelfStock'!M44&lt;&gt;""))*(('T_TTAFStock'!M44&lt;&gt;""))&gt;0,'T_SelfStock'!M44+'T_TTAFStock'!M44,L40+'Grid_Incoming'!M40-'Grid_Requirement'!M40))</f>
        <v/>
      </c>
      <c r="N40">
        <f>IF(COUNTIFS(T_StockCount[Part Name],$A40,T_StockCount[WeekIndex],13)&gt;0,SUMIFS(T_StockCount[CountedQty],T_StockCount[Part Name],$A40,T_StockCount[WeekIndex],13),IF((('T_SelfStock'!N44&lt;&gt;""))*(('T_TTAFStock'!N44&lt;&gt;""))&gt;0,'T_SelfStock'!N44+'T_TTAFStock'!N44,M40+'Grid_Incoming'!N40-'Grid_Requirement'!N40))</f>
        <v/>
      </c>
      <c r="O40">
        <f>IF(COUNTIFS(T_StockCount[Part Name],$A40,T_StockCount[WeekIndex],14)&gt;0,SUMIFS(T_StockCount[CountedQty],T_StockCount[Part Name],$A40,T_StockCount[WeekIndex],14),IF((('T_SelfStock'!O44&lt;&gt;""))*(('T_TTAFStock'!O44&lt;&gt;""))&gt;0,'T_SelfStock'!O44+'T_TTAFStock'!O44,N40+'Grid_Incoming'!O40-'Grid_Requirement'!O40))</f>
        <v/>
      </c>
      <c r="P40">
        <f>IF(COUNTIFS(T_StockCount[Part Name],$A40,T_StockCount[WeekIndex],15)&gt;0,SUMIFS(T_StockCount[CountedQty],T_StockCount[Part Name],$A40,T_StockCount[WeekIndex],15),IF((('T_SelfStock'!P44&lt;&gt;""))*(('T_TTAFStock'!P44&lt;&gt;""))&gt;0,'T_SelfStock'!P44+'T_TTAFStock'!P44,O40+'Grid_Incoming'!P40-'Grid_Requirement'!P40))</f>
        <v/>
      </c>
      <c r="Q40">
        <f>IF(COUNTIFS(T_StockCount[Part Name],$A40,T_StockCount[WeekIndex],16)&gt;0,SUMIFS(T_StockCount[CountedQty],T_StockCount[Part Name],$A40,T_StockCount[WeekIndex],16),IF((('T_SelfStock'!Q44&lt;&gt;""))*(('T_TTAFStock'!Q44&lt;&gt;""))&gt;0,'T_SelfStock'!Q44+'T_TTAFStock'!Q44,P40+'Grid_Incoming'!Q40-'Grid_Requirement'!Q40))</f>
        <v/>
      </c>
      <c r="R40">
        <f>IF(COUNTIFS(T_StockCount[Part Name],$A40,T_StockCount[WeekIndex],17)&gt;0,SUMIFS(T_StockCount[CountedQty],T_StockCount[Part Name],$A40,T_StockCount[WeekIndex],17),IF((('T_SelfStock'!R44&lt;&gt;""))*(('T_TTAFStock'!R44&lt;&gt;""))&gt;0,'T_SelfStock'!R44+'T_TTAFStock'!R44,Q40+'Grid_Incoming'!R40-'Grid_Requirement'!R40))</f>
        <v/>
      </c>
      <c r="S40">
        <f>IF(COUNTIFS(T_StockCount[Part Name],$A40,T_StockCount[WeekIndex],18)&gt;0,SUMIFS(T_StockCount[CountedQty],T_StockCount[Part Name],$A40,T_StockCount[WeekIndex],18),IF((('T_SelfStock'!S44&lt;&gt;""))*(('T_TTAFStock'!S44&lt;&gt;""))&gt;0,'T_SelfStock'!S44+'T_TTAFStock'!S44,R40+'Grid_Incoming'!S40-'Grid_Requirement'!S40))</f>
        <v/>
      </c>
      <c r="T40">
        <f>IF(COUNTIFS(T_StockCount[Part Name],$A40,T_StockCount[WeekIndex],19)&gt;0,SUMIFS(T_StockCount[CountedQty],T_StockCount[Part Name],$A40,T_StockCount[WeekIndex],19),IF((('T_SelfStock'!T44&lt;&gt;""))*(('T_TTAFStock'!T44&lt;&gt;""))&gt;0,'T_SelfStock'!T44+'T_TTAFStock'!T44,S40+'Grid_Incoming'!T40-'Grid_Requirement'!T40))</f>
        <v/>
      </c>
      <c r="U40">
        <f>IF(COUNTIFS(T_StockCount[Part Name],$A40,T_StockCount[WeekIndex],20)&gt;0,SUMIFS(T_StockCount[CountedQty],T_StockCount[Part Name],$A40,T_StockCount[WeekIndex],20),IF((('T_SelfStock'!U44&lt;&gt;""))*(('T_TTAFStock'!U44&lt;&gt;""))&gt;0,'T_SelfStock'!U44+'T_TTAFStock'!U44,T40+'Grid_Incoming'!U40-'Grid_Requirement'!U40))</f>
        <v/>
      </c>
      <c r="V40">
        <f>IF(COUNTIFS(T_StockCount[Part Name],$A40,T_StockCount[WeekIndex],21)&gt;0,SUMIFS(T_StockCount[CountedQty],T_StockCount[Part Name],$A40,T_StockCount[WeekIndex],21),IF((('T_SelfStock'!V44&lt;&gt;""))*(('T_TTAFStock'!V44&lt;&gt;""))&gt;0,'T_SelfStock'!V44+'T_TTAFStock'!V44,U40+'Grid_Incoming'!V40-'Grid_Requirement'!V40))</f>
        <v/>
      </c>
      <c r="W40">
        <f>IF(COUNTIFS(T_StockCount[Part Name],$A40,T_StockCount[WeekIndex],22)&gt;0,SUMIFS(T_StockCount[CountedQty],T_StockCount[Part Name],$A40,T_StockCount[WeekIndex],22),IF((('T_SelfStock'!W44&lt;&gt;""))*(('T_TTAFStock'!W44&lt;&gt;""))&gt;0,'T_SelfStock'!W44+'T_TTAFStock'!W44,V40+'Grid_Incoming'!W40-'Grid_Requirement'!W40))</f>
        <v/>
      </c>
      <c r="X40">
        <f>IF(COUNTIFS(T_StockCount[Part Name],$A40,T_StockCount[WeekIndex],23)&gt;0,SUMIFS(T_StockCount[CountedQty],T_StockCount[Part Name],$A40,T_StockCount[WeekIndex],23),IF((('T_SelfStock'!X44&lt;&gt;""))*(('T_TTAFStock'!X44&lt;&gt;""))&gt;0,'T_SelfStock'!X44+'T_TTAFStock'!X44,W40+'Grid_Incoming'!X40-'Grid_Requirement'!X40))</f>
        <v/>
      </c>
      <c r="Y40">
        <f>IF(COUNTIFS(T_StockCount[Part Name],$A40,T_StockCount[WeekIndex],24)&gt;0,SUMIFS(T_StockCount[CountedQty],T_StockCount[Part Name],$A40,T_StockCount[WeekIndex],24),IF((('T_SelfStock'!Y44&lt;&gt;""))*(('T_TTAFStock'!Y44&lt;&gt;""))&gt;0,'T_SelfStock'!Y44+'T_TTAFStock'!Y44,X40+'Grid_Incoming'!Y40-'Grid_Requirement'!Y40))</f>
        <v/>
      </c>
      <c r="Z40">
        <f>IF(COUNTIFS(T_StockCount[Part Name],$A40,T_StockCount[WeekIndex],25)&gt;0,SUMIFS(T_StockCount[CountedQty],T_StockCount[Part Name],$A40,T_StockCount[WeekIndex],25),IF((('T_SelfStock'!Z44&lt;&gt;""))*(('T_TTAFStock'!Z44&lt;&gt;""))&gt;0,'T_SelfStock'!Z44+'T_TTAFStock'!Z44,Y40+'Grid_Incoming'!Z40-'Grid_Requirement'!Z40))</f>
        <v/>
      </c>
      <c r="AA40">
        <f>IF(COUNTIFS(T_StockCount[Part Name],$A40,T_StockCount[WeekIndex],26)&gt;0,SUMIFS(T_StockCount[CountedQty],T_StockCount[Part Name],$A40,T_StockCount[WeekIndex],26),IF((('T_SelfStock'!AA44&lt;&gt;""))*(('T_TTAFStock'!AA44&lt;&gt;""))&gt;0,'T_SelfStock'!AA44+'T_TTAFStock'!AA44,Z40+'Grid_Incoming'!AA40-'Grid_Requirement'!AA40))</f>
        <v/>
      </c>
      <c r="AB40">
        <f>IF(COUNTIFS(T_StockCount[Part Name],$A40,T_StockCount[WeekIndex],27)&gt;0,SUMIFS(T_StockCount[CountedQty],T_StockCount[Part Name],$A40,T_StockCount[WeekIndex],27),IF((('T_SelfStock'!AB44&lt;&gt;""))*(('T_TTAFStock'!AB44&lt;&gt;""))&gt;0,'T_SelfStock'!AB44+'T_TTAFStock'!AB44,AA40+'Grid_Incoming'!AB40-'Grid_Requirement'!AB40))</f>
        <v/>
      </c>
      <c r="AC40">
        <f>IF(COUNTIFS(T_StockCount[Part Name],$A40,T_StockCount[WeekIndex],28)&gt;0,SUMIFS(T_StockCount[CountedQty],T_StockCount[Part Name],$A40,T_StockCount[WeekIndex],28),IF((('T_SelfStock'!AC44&lt;&gt;""))*(('T_TTAFStock'!AC44&lt;&gt;""))&gt;0,'T_SelfStock'!AC44+'T_TTAFStock'!AC44,AB40+'Grid_Incoming'!AC40-'Grid_Requirement'!AC40))</f>
        <v/>
      </c>
      <c r="AD40">
        <f>IF(COUNTIFS(T_StockCount[Part Name],$A40,T_StockCount[WeekIndex],29)&gt;0,SUMIFS(T_StockCount[CountedQty],T_StockCount[Part Name],$A40,T_StockCount[WeekIndex],29),IF((('T_SelfStock'!AD44&lt;&gt;""))*(('T_TTAFStock'!AD44&lt;&gt;""))&gt;0,'T_SelfStock'!AD44+'T_TTAFStock'!AD44,AC40+'Grid_Incoming'!AD40-'Grid_Requirement'!AD40))</f>
        <v/>
      </c>
      <c r="AE40">
        <f>IF(COUNTIFS(T_StockCount[Part Name],$A40,T_StockCount[WeekIndex],30)&gt;0,SUMIFS(T_StockCount[CountedQty],T_StockCount[Part Name],$A40,T_StockCount[WeekIndex],30),IF((('T_SelfStock'!AE44&lt;&gt;""))*(('T_TTAFStock'!AE44&lt;&gt;""))&gt;0,'T_SelfStock'!AE44+'T_TTAFStock'!AE44,AD40+'Grid_Incoming'!AE40-'Grid_Requirement'!AE40))</f>
        <v/>
      </c>
      <c r="AF40">
        <f>IF(COUNTIFS(T_StockCount[Part Name],$A40,T_StockCount[WeekIndex],31)&gt;0,SUMIFS(T_StockCount[CountedQty],T_StockCount[Part Name],$A40,T_StockCount[WeekIndex],31),IF((('T_SelfStock'!AF44&lt;&gt;""))*(('T_TTAFStock'!AF44&lt;&gt;""))&gt;0,'T_SelfStock'!AF44+'T_TTAFStock'!AF44,AE40+'Grid_Incoming'!AF40-'Grid_Requirement'!AF40))</f>
        <v/>
      </c>
      <c r="AG40">
        <f>IF(COUNTIFS(T_StockCount[Part Name],$A40,T_StockCount[WeekIndex],32)&gt;0,SUMIFS(T_StockCount[CountedQty],T_StockCount[Part Name],$A40,T_StockCount[WeekIndex],32),IF((('T_SelfStock'!AG44&lt;&gt;""))*(('T_TTAFStock'!AG44&lt;&gt;""))&gt;0,'T_SelfStock'!AG44+'T_TTAFStock'!AG44,AF40+'Grid_Incoming'!AG40-'Grid_Requirement'!AG40))</f>
        <v/>
      </c>
      <c r="AH40">
        <f>IF(COUNTIFS(T_StockCount[Part Name],$A40,T_StockCount[WeekIndex],33)&gt;0,SUMIFS(T_StockCount[CountedQty],T_StockCount[Part Name],$A40,T_StockCount[WeekIndex],33),IF((('T_SelfStock'!AH44&lt;&gt;""))*(('T_TTAFStock'!AH44&lt;&gt;""))&gt;0,'T_SelfStock'!AH44+'T_TTAFStock'!AH44,AG40+'Grid_Incoming'!AH40-'Grid_Requirement'!AH40))</f>
        <v/>
      </c>
      <c r="AI40">
        <f>IF(COUNTIFS(T_StockCount[Part Name],$A40,T_StockCount[WeekIndex],34)&gt;0,SUMIFS(T_StockCount[CountedQty],T_StockCount[Part Name],$A40,T_StockCount[WeekIndex],34),IF((('T_SelfStock'!AI44&lt;&gt;""))*(('T_TTAFStock'!AI44&lt;&gt;""))&gt;0,'T_SelfStock'!AI44+'T_TTAFStock'!AI44,AH40+'Grid_Incoming'!AI40-'Grid_Requirement'!AI40))</f>
        <v/>
      </c>
      <c r="AJ40">
        <f>IF(COUNTIFS(T_StockCount[Part Name],$A40,T_StockCount[WeekIndex],35)&gt;0,SUMIFS(T_StockCount[CountedQty],T_StockCount[Part Name],$A40,T_StockCount[WeekIndex],35),IF((('T_SelfStock'!AJ44&lt;&gt;""))*(('T_TTAFStock'!AJ44&lt;&gt;""))&gt;0,'T_SelfStock'!AJ44+'T_TTAFStock'!AJ44,AI40+'Grid_Incoming'!AJ40-'Grid_Requirement'!AJ40))</f>
        <v/>
      </c>
      <c r="AK40">
        <f>IF(COUNTIFS(T_StockCount[Part Name],$A40,T_StockCount[WeekIndex],36)&gt;0,SUMIFS(T_StockCount[CountedQty],T_StockCount[Part Name],$A40,T_StockCount[WeekIndex],36),IF((('T_SelfStock'!AK44&lt;&gt;""))*(('T_TTAFStock'!AK44&lt;&gt;""))&gt;0,'T_SelfStock'!AK44+'T_TTAFStock'!AK44,AJ40+'Grid_Incoming'!AK40-'Grid_Requirement'!AK40))</f>
        <v/>
      </c>
      <c r="AL40">
        <f>IF(COUNTIFS(T_StockCount[Part Name],$A40,T_StockCount[WeekIndex],37)&gt;0,SUMIFS(T_StockCount[CountedQty],T_StockCount[Part Name],$A40,T_StockCount[WeekIndex],37),IF((('T_SelfStock'!AL44&lt;&gt;""))*(('T_TTAFStock'!AL44&lt;&gt;""))&gt;0,'T_SelfStock'!AL44+'T_TTAFStock'!AL44,AK40+'Grid_Incoming'!AL40-'Grid_Requirement'!AL40))</f>
        <v/>
      </c>
      <c r="AM40">
        <f>IF(COUNTIFS(T_StockCount[Part Name],$A40,T_StockCount[WeekIndex],38)&gt;0,SUMIFS(T_StockCount[CountedQty],T_StockCount[Part Name],$A40,T_StockCount[WeekIndex],38),IF((('T_SelfStock'!AM44&lt;&gt;""))*(('T_TTAFStock'!AM44&lt;&gt;""))&gt;0,'T_SelfStock'!AM44+'T_TTAFStock'!AM44,AL40+'Grid_Incoming'!AM40-'Grid_Requirement'!AM40))</f>
        <v/>
      </c>
      <c r="AN40">
        <f>IF(COUNTIFS(T_StockCount[Part Name],$A40,T_StockCount[WeekIndex],39)&gt;0,SUMIFS(T_StockCount[CountedQty],T_StockCount[Part Name],$A40,T_StockCount[WeekIndex],39),IF((('T_SelfStock'!AN44&lt;&gt;""))*(('T_TTAFStock'!AN44&lt;&gt;""))&gt;0,'T_SelfStock'!AN44+'T_TTAFStock'!AN44,AM40+'Grid_Incoming'!AN40-'Grid_Requirement'!AN40))</f>
        <v/>
      </c>
      <c r="AO40">
        <f>IF(COUNTIFS(T_StockCount[Part Name],$A40,T_StockCount[WeekIndex],40)&gt;0,SUMIFS(T_StockCount[CountedQty],T_StockCount[Part Name],$A40,T_StockCount[WeekIndex],40),IF((('T_SelfStock'!AO44&lt;&gt;""))*(('T_TTAFStock'!AO44&lt;&gt;""))&gt;0,'T_SelfStock'!AO44+'T_TTAFStock'!AO44,AN40+'Grid_Incoming'!AO40-'Grid_Requirement'!AO40))</f>
        <v/>
      </c>
      <c r="AP40">
        <f>IF(COUNTIFS(T_StockCount[Part Name],$A40,T_StockCount[WeekIndex],41)&gt;0,SUMIFS(T_StockCount[CountedQty],T_StockCount[Part Name],$A40,T_StockCount[WeekIndex],41),IF((('T_SelfStock'!AP44&lt;&gt;""))*(('T_TTAFStock'!AP44&lt;&gt;""))&gt;0,'T_SelfStock'!AP44+'T_TTAFStock'!AP44,AO40+'Grid_Incoming'!AP40-'Grid_Requirement'!AP40))</f>
        <v/>
      </c>
      <c r="AQ40">
        <f>IF(COUNTIFS(T_StockCount[Part Name],$A40,T_StockCount[WeekIndex],42)&gt;0,SUMIFS(T_StockCount[CountedQty],T_StockCount[Part Name],$A40,T_StockCount[WeekIndex],42),IF((('T_SelfStock'!AQ44&lt;&gt;""))*(('T_TTAFStock'!AQ44&lt;&gt;""))&gt;0,'T_SelfStock'!AQ44+'T_TTAFStock'!AQ44,AP40+'Grid_Incoming'!AQ40-'Grid_Requirement'!AQ40))</f>
        <v/>
      </c>
      <c r="AR40">
        <f>IF(COUNTIFS(T_StockCount[Part Name],$A40,T_StockCount[WeekIndex],43)&gt;0,SUMIFS(T_StockCount[CountedQty],T_StockCount[Part Name],$A40,T_StockCount[WeekIndex],43),IF((('T_SelfStock'!AR44&lt;&gt;""))*(('T_TTAFStock'!AR44&lt;&gt;""))&gt;0,'T_SelfStock'!AR44+'T_TTAFStock'!AR44,AQ40+'Grid_Incoming'!AR40-'Grid_Requirement'!AR40))</f>
        <v/>
      </c>
      <c r="AS40">
        <f>IF(COUNTIFS(T_StockCount[Part Name],$A40,T_StockCount[WeekIndex],44)&gt;0,SUMIFS(T_StockCount[CountedQty],T_StockCount[Part Name],$A40,T_StockCount[WeekIndex],44),IF((('T_SelfStock'!AS44&lt;&gt;""))*(('T_TTAFStock'!AS44&lt;&gt;""))&gt;0,'T_SelfStock'!AS44+'T_TTAFStock'!AS44,AR40+'Grid_Incoming'!AS40-'Grid_Requirement'!AS40))</f>
        <v/>
      </c>
      <c r="AT40">
        <f>IF(COUNTIFS(T_StockCount[Part Name],$A40,T_StockCount[WeekIndex],45)&gt;0,SUMIFS(T_StockCount[CountedQty],T_StockCount[Part Name],$A40,T_StockCount[WeekIndex],45),IF((('T_SelfStock'!AT44&lt;&gt;""))*(('T_TTAFStock'!AT44&lt;&gt;""))&gt;0,'T_SelfStock'!AT44+'T_TTAFStock'!AT44,AS40+'Grid_Incoming'!AT40-'Grid_Requirement'!AT40))</f>
        <v/>
      </c>
      <c r="AU40">
        <f>IF(COUNTIFS(T_StockCount[Part Name],$A40,T_StockCount[WeekIndex],46)&gt;0,SUMIFS(T_StockCount[CountedQty],T_StockCount[Part Name],$A40,T_StockCount[WeekIndex],46),IF((('T_SelfStock'!AU44&lt;&gt;""))*(('T_TTAFStock'!AU44&lt;&gt;""))&gt;0,'T_SelfStock'!AU44+'T_TTAFStock'!AU44,AT40+'Grid_Incoming'!AU40-'Grid_Requirement'!AU40))</f>
        <v/>
      </c>
      <c r="AV40">
        <f>IF(COUNTIFS(T_StockCount[Part Name],$A40,T_StockCount[WeekIndex],47)&gt;0,SUMIFS(T_StockCount[CountedQty],T_StockCount[Part Name],$A40,T_StockCount[WeekIndex],47),IF((('T_SelfStock'!AV44&lt;&gt;""))*(('T_TTAFStock'!AV44&lt;&gt;""))&gt;0,'T_SelfStock'!AV44+'T_TTAFStock'!AV44,AU40+'Grid_Incoming'!AV40-'Grid_Requirement'!AV40))</f>
        <v/>
      </c>
      <c r="AW40">
        <f>IF(COUNTIFS(T_StockCount[Part Name],$A40,T_StockCount[WeekIndex],48)&gt;0,SUMIFS(T_StockCount[CountedQty],T_StockCount[Part Name],$A40,T_StockCount[WeekIndex],48),IF((('T_SelfStock'!AW44&lt;&gt;""))*(('T_TTAFStock'!AW44&lt;&gt;""))&gt;0,'T_SelfStock'!AW44+'T_TTAFStock'!AW44,AV40+'Grid_Incoming'!AW40-'Grid_Requirement'!AW40))</f>
        <v/>
      </c>
      <c r="AX40">
        <f>IF(COUNTIFS(T_StockCount[Part Name],$A40,T_StockCount[WeekIndex],49)&gt;0,SUMIFS(T_StockCount[CountedQty],T_StockCount[Part Name],$A40,T_StockCount[WeekIndex],49),IF((('T_SelfStock'!AX44&lt;&gt;""))*(('T_TTAFStock'!AX44&lt;&gt;""))&gt;0,'T_SelfStock'!AX44+'T_TTAFStock'!AX44,AW40+'Grid_Incoming'!AX40-'Grid_Requirement'!AX40))</f>
        <v/>
      </c>
      <c r="AY40">
        <f>IF(COUNTIFS(T_StockCount[Part Name],$A40,T_StockCount[WeekIndex],50)&gt;0,SUMIFS(T_StockCount[CountedQty],T_StockCount[Part Name],$A40,T_StockCount[WeekIndex],50),IF((('T_SelfStock'!AY44&lt;&gt;""))*(('T_TTAFStock'!AY44&lt;&gt;""))&gt;0,'T_SelfStock'!AY44+'T_TTAFStock'!AY44,AX40+'Grid_Incoming'!AY40-'Grid_Requirement'!AY40))</f>
        <v/>
      </c>
      <c r="AZ40">
        <f>IF(COUNTIFS(T_StockCount[Part Name],$A40,T_StockCount[WeekIndex],51)&gt;0,SUMIFS(T_StockCount[CountedQty],T_StockCount[Part Name],$A40,T_StockCount[WeekIndex],51),IF((('T_SelfStock'!AZ44&lt;&gt;""))*(('T_TTAFStock'!AZ44&lt;&gt;""))&gt;0,'T_SelfStock'!AZ44+'T_TTAFStock'!AZ44,AY40+'Grid_Incoming'!AZ40-'Grid_Requirement'!AZ40))</f>
        <v/>
      </c>
      <c r="BA40">
        <f>IF(COUNTIFS(T_StockCount[Part Name],$A40,T_StockCount[WeekIndex],52)&gt;0,SUMIFS(T_StockCount[CountedQty],T_StockCount[Part Name],$A40,T_StockCount[WeekIndex],52),IF((('T_SelfStock'!BA44&lt;&gt;""))*(('T_TTAFStock'!BA44&lt;&gt;""))&gt;0,'T_SelfStock'!BA44+'T_TTAFStock'!BA44,AZ40+'Grid_Incoming'!BA40-'Grid_Requirement'!BA40))</f>
        <v/>
      </c>
      <c r="BB40">
        <f>IF(COUNTIFS(T_StockCount[Part Name],$A40,T_StockCount[WeekIndex],53)&gt;0,SUMIFS(T_StockCount[CountedQty],T_StockCount[Part Name],$A40,T_StockCount[WeekIndex],53),IF((('T_SelfStock'!BB44&lt;&gt;""))*(('T_TTAFStock'!BB44&lt;&gt;""))&gt;0,'T_SelfStock'!BB44+'T_TTAFStock'!BB44,BA40+'Grid_Incoming'!BB40-'Grid_Requirement'!BB40))</f>
        <v/>
      </c>
      <c r="BC40">
        <f>IF(COUNTIFS(T_StockCount[Part Name],$A40,T_StockCount[WeekIndex],54)&gt;0,SUMIFS(T_StockCount[CountedQty],T_StockCount[Part Name],$A40,T_StockCount[WeekIndex],54),IF((('T_SelfStock'!BC44&lt;&gt;""))*(('T_TTAFStock'!BC44&lt;&gt;""))&gt;0,'T_SelfStock'!BC44+'T_TTAFStock'!BC44,BB40+'Grid_Incoming'!BC40-'Grid_Requirement'!BC40))</f>
        <v/>
      </c>
      <c r="BD40">
        <f>IF(COUNTIFS(T_StockCount[Part Name],$A40,T_StockCount[WeekIndex],55)&gt;0,SUMIFS(T_StockCount[CountedQty],T_StockCount[Part Name],$A40,T_StockCount[WeekIndex],55),IF((('T_SelfStock'!BD44&lt;&gt;""))*(('T_TTAFStock'!BD44&lt;&gt;""))&gt;0,'T_SelfStock'!BD44+'T_TTAFStock'!BD44,BC40+'Grid_Incoming'!BD40-'Grid_Requirement'!BD40))</f>
        <v/>
      </c>
      <c r="BE40">
        <f>IF(COUNTIFS(T_StockCount[Part Name],$A40,T_StockCount[WeekIndex],56)&gt;0,SUMIFS(T_StockCount[CountedQty],T_StockCount[Part Name],$A40,T_StockCount[WeekIndex],56),IF((('T_SelfStock'!BE44&lt;&gt;""))*(('T_TTAFStock'!BE44&lt;&gt;""))&gt;0,'T_SelfStock'!BE44+'T_TTAFStock'!BE44,BD40+'Grid_Incoming'!BE40-'Grid_Requirement'!BE40))</f>
        <v/>
      </c>
      <c r="BF40">
        <f>IF(COUNTIFS(T_StockCount[Part Name],$A40,T_StockCount[WeekIndex],57)&gt;0,SUMIFS(T_StockCount[CountedQty],T_StockCount[Part Name],$A40,T_StockCount[WeekIndex],57),IF((('T_SelfStock'!BF44&lt;&gt;""))*(('T_TTAFStock'!BF44&lt;&gt;""))&gt;0,'T_SelfStock'!BF44+'T_TTAFStock'!BF44,BE40+'Grid_Incoming'!BF40-'Grid_Requirement'!BF40))</f>
        <v/>
      </c>
      <c r="BG40">
        <f>IF(COUNTIFS(T_StockCount[Part Name],$A40,T_StockCount[WeekIndex],58)&gt;0,SUMIFS(T_StockCount[CountedQty],T_StockCount[Part Name],$A40,T_StockCount[WeekIndex],58),IF((('T_SelfStock'!BG44&lt;&gt;""))*(('T_TTAFStock'!BG44&lt;&gt;""))&gt;0,'T_SelfStock'!BG44+'T_TTAFStock'!BG44,BF40+'Grid_Incoming'!BG40-'Grid_Requirement'!BG40))</f>
        <v/>
      </c>
      <c r="BH40">
        <f>IF(COUNTIFS(T_StockCount[Part Name],$A40,T_StockCount[WeekIndex],59)&gt;0,SUMIFS(T_StockCount[CountedQty],T_StockCount[Part Name],$A40,T_StockCount[WeekIndex],59),IF((('T_SelfStock'!BH44&lt;&gt;""))*(('T_TTAFStock'!BH44&lt;&gt;""))&gt;0,'T_SelfStock'!BH44+'T_TTAFStock'!BH44,BG40+'Grid_Incoming'!BH40-'Grid_Requirement'!BH40))</f>
        <v/>
      </c>
      <c r="BI40">
        <f>IF(COUNTIFS(T_StockCount[Part Name],$A40,T_StockCount[WeekIndex],60)&gt;0,SUMIFS(T_StockCount[CountedQty],T_StockCount[Part Name],$A40,T_StockCount[WeekIndex],60),IF((('T_SelfStock'!BI44&lt;&gt;""))*(('T_TTAFStock'!BI44&lt;&gt;""))&gt;0,'T_SelfStock'!BI44+'T_TTAFStock'!BI44,BH40+'Grid_Incoming'!BI40-'Grid_Requirement'!BI40))</f>
        <v/>
      </c>
      <c r="BJ40">
        <f>IF(COUNTIFS(T_StockCount[Part Name],$A40,T_StockCount[WeekIndex],61)&gt;0,SUMIFS(T_StockCount[CountedQty],T_StockCount[Part Name],$A40,T_StockCount[WeekIndex],61),IF((('T_SelfStock'!BJ44&lt;&gt;""))*(('T_TTAFStock'!BJ44&lt;&gt;""))&gt;0,'T_SelfStock'!BJ44+'T_TTAFStock'!BJ44,BI40+'Grid_Incoming'!BJ40-'Grid_Requirement'!BJ40))</f>
        <v/>
      </c>
      <c r="BK40">
        <f>IF(COUNTIFS(T_StockCount[Part Name],$A40,T_StockCount[WeekIndex],62)&gt;0,SUMIFS(T_StockCount[CountedQty],T_StockCount[Part Name],$A40,T_StockCount[WeekIndex],62),IF((('T_SelfStock'!BK44&lt;&gt;""))*(('T_TTAFStock'!BK44&lt;&gt;""))&gt;0,'T_SelfStock'!BK44+'T_TTAFStock'!BK44,BJ40+'Grid_Incoming'!BK40-'Grid_Requirement'!BK40))</f>
        <v/>
      </c>
      <c r="BL40">
        <f>IF(COUNTIFS(T_StockCount[Part Name],$A40,T_StockCount[WeekIndex],63)&gt;0,SUMIFS(T_StockCount[CountedQty],T_StockCount[Part Name],$A40,T_StockCount[WeekIndex],63),IF((('T_SelfStock'!BL44&lt;&gt;""))*(('T_TTAFStock'!BL44&lt;&gt;""))&gt;0,'T_SelfStock'!BL44+'T_TTAFStock'!BL44,BK40+'Grid_Incoming'!BL40-'Grid_Requirement'!BL40))</f>
        <v/>
      </c>
      <c r="BM40">
        <f>IF(COUNTIFS(T_StockCount[Part Name],$A40,T_StockCount[WeekIndex],64)&gt;0,SUMIFS(T_StockCount[CountedQty],T_StockCount[Part Name],$A40,T_StockCount[WeekIndex],64),IF((('T_SelfStock'!BM44&lt;&gt;""))*(('T_TTAFStock'!BM44&lt;&gt;""))&gt;0,'T_SelfStock'!BM44+'T_TTAFStock'!BM44,BL40+'Grid_Incoming'!BM40-'Grid_Requirement'!BM40))</f>
        <v/>
      </c>
      <c r="BN40">
        <f>IF(COUNTIFS(T_StockCount[Part Name],$A40,T_StockCount[WeekIndex],65)&gt;0,SUMIFS(T_StockCount[CountedQty],T_StockCount[Part Name],$A40,T_StockCount[WeekIndex],65),IF((('T_SelfStock'!BN44&lt;&gt;""))*(('T_TTAFStock'!BN44&lt;&gt;""))&gt;0,'T_SelfStock'!BN44+'T_TTAFStock'!BN44,BM40+'Grid_Incoming'!BN40-'Grid_Requirement'!BN40))</f>
        <v/>
      </c>
      <c r="BO40">
        <f>IF(COUNTIFS(T_StockCount[Part Name],$A40,T_StockCount[WeekIndex],66)&gt;0,SUMIFS(T_StockCount[CountedQty],T_StockCount[Part Name],$A40,T_StockCount[WeekIndex],66),IF((('T_SelfStock'!BO44&lt;&gt;""))*(('T_TTAFStock'!BO44&lt;&gt;""))&gt;0,'T_SelfStock'!BO44+'T_TTAFStock'!BO44,BN40+'Grid_Incoming'!BO40-'Grid_Requirement'!BO40))</f>
        <v/>
      </c>
      <c r="BP40">
        <f>IF(COUNTIFS(T_StockCount[Part Name],$A40,T_StockCount[WeekIndex],67)&gt;0,SUMIFS(T_StockCount[CountedQty],T_StockCount[Part Name],$A40,T_StockCount[WeekIndex],67),IF((('T_SelfStock'!BP44&lt;&gt;""))*(('T_TTAFStock'!BP44&lt;&gt;""))&gt;0,'T_SelfStock'!BP44+'T_TTAFStock'!BP44,BO40+'Grid_Incoming'!BP40-'Grid_Requirement'!BP40))</f>
        <v/>
      </c>
      <c r="BQ40">
        <f>IF(COUNTIFS(T_StockCount[Part Name],$A40,T_StockCount[WeekIndex],68)&gt;0,SUMIFS(T_StockCount[CountedQty],T_StockCount[Part Name],$A40,T_StockCount[WeekIndex],68),IF((('T_SelfStock'!BQ44&lt;&gt;""))*(('T_TTAFStock'!BQ44&lt;&gt;""))&gt;0,'T_SelfStock'!BQ44+'T_TTAFStock'!BQ44,BP40+'Grid_Incoming'!BQ40-'Grid_Requirement'!BQ40))</f>
        <v/>
      </c>
      <c r="BR40">
        <f>IF(COUNTIFS(T_StockCount[Part Name],$A40,T_StockCount[WeekIndex],69)&gt;0,SUMIFS(T_StockCount[CountedQty],T_StockCount[Part Name],$A40,T_StockCount[WeekIndex],69),IF((('T_SelfStock'!BR44&lt;&gt;""))*(('T_TTAFStock'!BR44&lt;&gt;""))&gt;0,'T_SelfStock'!BR44+'T_TTAFStock'!BR44,BQ40+'Grid_Incoming'!BR40-'Grid_Requirement'!BR40))</f>
        <v/>
      </c>
      <c r="BS40">
        <f>IF(COUNTIFS(T_StockCount[Part Name],$A40,T_StockCount[WeekIndex],70)&gt;0,SUMIFS(T_StockCount[CountedQty],T_StockCount[Part Name],$A40,T_StockCount[WeekIndex],70),IF((('T_SelfStock'!BS44&lt;&gt;""))*(('T_TTAFStock'!BS44&lt;&gt;""))&gt;0,'T_SelfStock'!BS44+'T_TTAFStock'!BS44,BR40+'Grid_Incoming'!BS40-'Grid_Requirement'!BS40))</f>
        <v/>
      </c>
      <c r="BT40">
        <f>IF(COUNTIFS(T_StockCount[Part Name],$A40,T_StockCount[WeekIndex],71)&gt;0,SUMIFS(T_StockCount[CountedQty],T_StockCount[Part Name],$A40,T_StockCount[WeekIndex],71),IF((('T_SelfStock'!BT44&lt;&gt;""))*(('T_TTAFStock'!BT44&lt;&gt;""))&gt;0,'T_SelfStock'!BT44+'T_TTAFStock'!BT44,BS40+'Grid_Incoming'!BT40-'Grid_Requirement'!BT40))</f>
        <v/>
      </c>
      <c r="BU40">
        <f>IF(COUNTIFS(T_StockCount[Part Name],$A40,T_StockCount[WeekIndex],72)&gt;0,SUMIFS(T_StockCount[CountedQty],T_StockCount[Part Name],$A40,T_StockCount[WeekIndex],72),IF((('T_SelfStock'!BU44&lt;&gt;""))*(('T_TTAFStock'!BU44&lt;&gt;""))&gt;0,'T_SelfStock'!BU44+'T_TTAFStock'!BU44,BT40+'Grid_Incoming'!BU40-'Grid_Requirement'!BU40))</f>
        <v/>
      </c>
      <c r="BV40">
        <f>IF(COUNTIFS(T_StockCount[Part Name],$A40,T_StockCount[WeekIndex],73)&gt;0,SUMIFS(T_StockCount[CountedQty],T_StockCount[Part Name],$A40,T_StockCount[WeekIndex],73),IF((('T_SelfStock'!BV44&lt;&gt;""))*(('T_TTAFStock'!BV44&lt;&gt;""))&gt;0,'T_SelfStock'!BV44+'T_TTAFStock'!BV44,BU40+'Grid_Incoming'!BV40-'Grid_Requirement'!BV40))</f>
        <v/>
      </c>
      <c r="BW40">
        <f>IF(COUNTIFS(T_StockCount[Part Name],$A40,T_StockCount[WeekIndex],74)&gt;0,SUMIFS(T_StockCount[CountedQty],T_StockCount[Part Name],$A40,T_StockCount[WeekIndex],74),IF((('T_SelfStock'!BW44&lt;&gt;""))*(('T_TTAFStock'!BW44&lt;&gt;""))&gt;0,'T_SelfStock'!BW44+'T_TTAFStock'!BW44,BV40+'Grid_Incoming'!BW40-'Grid_Requirement'!BW40))</f>
        <v/>
      </c>
      <c r="BX40">
        <f>IF(COUNTIFS(T_StockCount[Part Name],$A40,T_StockCount[WeekIndex],75)&gt;0,SUMIFS(T_StockCount[CountedQty],T_StockCount[Part Name],$A40,T_StockCount[WeekIndex],75),IF((('T_SelfStock'!BX44&lt;&gt;""))*(('T_TTAFStock'!BX44&lt;&gt;""))&gt;0,'T_SelfStock'!BX44+'T_TTAFStock'!BX44,BW40+'Grid_Incoming'!BX40-'Grid_Requirement'!BX40))</f>
        <v/>
      </c>
      <c r="BY40">
        <f>IF(COUNTIFS(T_StockCount[Part Name],$A40,T_StockCount[WeekIndex],76)&gt;0,SUMIFS(T_StockCount[CountedQty],T_StockCount[Part Name],$A40,T_StockCount[WeekIndex],76),IF((('T_SelfStock'!BY44&lt;&gt;""))*(('T_TTAFStock'!BY44&lt;&gt;""))&gt;0,'T_SelfStock'!BY44+'T_TTAFStock'!BY44,BX40+'Grid_Incoming'!BY40-'Grid_Requirement'!BY40))</f>
        <v/>
      </c>
      <c r="BZ40">
        <f>IF(COUNTIFS(T_StockCount[Part Name],$A40,T_StockCount[WeekIndex],77)&gt;0,SUMIFS(T_StockCount[CountedQty],T_StockCount[Part Name],$A40,T_StockCount[WeekIndex],77),IF((('T_SelfStock'!BZ44&lt;&gt;""))*(('T_TTAFStock'!BZ44&lt;&gt;""))&gt;0,'T_SelfStock'!BZ44+'T_TTAFStock'!BZ44,BY40+'Grid_Incoming'!BZ40-'Grid_Requirement'!BZ40))</f>
        <v/>
      </c>
      <c r="CA40">
        <f>IF(COUNTIFS(T_StockCount[Part Name],$A40,T_StockCount[WeekIndex],78)&gt;0,SUMIFS(T_StockCount[CountedQty],T_StockCount[Part Name],$A40,T_StockCount[WeekIndex],78),IF((('T_SelfStock'!CA44&lt;&gt;""))*(('T_TTAFStock'!CA44&lt;&gt;""))&gt;0,'T_SelfStock'!CA44+'T_TTAFStock'!CA44,BZ40+'Grid_Incoming'!CA40-'Grid_Requirement'!CA40))</f>
        <v/>
      </c>
      <c r="CB40">
        <f>IF(COUNTIFS(T_StockCount[Part Name],$A40,T_StockCount[WeekIndex],79)&gt;0,SUMIFS(T_StockCount[CountedQty],T_StockCount[Part Name],$A40,T_StockCount[WeekIndex],79),IF((('T_SelfStock'!CB44&lt;&gt;""))*(('T_TTAFStock'!CB44&lt;&gt;""))&gt;0,'T_SelfStock'!CB44+'T_TTAFStock'!CB44,CA40+'Grid_Incoming'!CB40-'Grid_Requirement'!CB40))</f>
        <v/>
      </c>
      <c r="CC40">
        <f>IF(COUNTIFS(T_StockCount[Part Name],$A40,T_StockCount[WeekIndex],80)&gt;0,SUMIFS(T_StockCount[CountedQty],T_StockCount[Part Name],$A40,T_StockCount[WeekIndex],80),IF((('T_SelfStock'!CC44&lt;&gt;""))*(('T_TTAFStock'!CC44&lt;&gt;""))&gt;0,'T_SelfStock'!CC44+'T_TTAFStock'!CC44,CB40+'Grid_Incoming'!CC40-'Grid_Requirement'!CC40))</f>
        <v/>
      </c>
      <c r="CD40">
        <f>IF(COUNTIFS(T_StockCount[Part Name],$A40,T_StockCount[WeekIndex],81)&gt;0,SUMIFS(T_StockCount[CountedQty],T_StockCount[Part Name],$A40,T_StockCount[WeekIndex],81),IF((('T_SelfStock'!CD44&lt;&gt;""))*(('T_TTAFStock'!CD44&lt;&gt;""))&gt;0,'T_SelfStock'!CD44+'T_TTAFStock'!CD44,CC40+'Grid_Incoming'!CD40-'Grid_Requirement'!CD40))</f>
        <v/>
      </c>
      <c r="CE40">
        <f>IF(COUNTIFS(T_StockCount[Part Name],$A40,T_StockCount[WeekIndex],82)&gt;0,SUMIFS(T_StockCount[CountedQty],T_StockCount[Part Name],$A40,T_StockCount[WeekIndex],82),IF((('T_SelfStock'!CE44&lt;&gt;""))*(('T_TTAFStock'!CE44&lt;&gt;""))&gt;0,'T_SelfStock'!CE44+'T_TTAFStock'!CE44,CD40+'Grid_Incoming'!CE40-'Grid_Requirement'!CE40))</f>
        <v/>
      </c>
      <c r="CF40">
        <f>IF(COUNTIFS(T_StockCount[Part Name],$A40,T_StockCount[WeekIndex],83)&gt;0,SUMIFS(T_StockCount[CountedQty],T_StockCount[Part Name],$A40,T_StockCount[WeekIndex],83),IF((('T_SelfStock'!CF44&lt;&gt;""))*(('T_TTAFStock'!CF44&lt;&gt;""))&gt;0,'T_SelfStock'!CF44+'T_TTAFStock'!CF44,CE40+'Grid_Incoming'!CF40-'Grid_Requirement'!CF40))</f>
        <v/>
      </c>
      <c r="CG40">
        <f>IF(COUNTIFS(T_StockCount[Part Name],$A40,T_StockCount[WeekIndex],84)&gt;0,SUMIFS(T_StockCount[CountedQty],T_StockCount[Part Name],$A40,T_StockCount[WeekIndex],84),IF((('T_SelfStock'!CG44&lt;&gt;""))*(('T_TTAFStock'!CG44&lt;&gt;""))&gt;0,'T_SelfStock'!CG44+'T_TTAFStock'!CG44,CF40+'Grid_Incoming'!CG40-'Grid_Requirement'!CG40))</f>
        <v/>
      </c>
      <c r="CH40">
        <f>IF(COUNTIFS(T_StockCount[Part Name],$A40,T_StockCount[WeekIndex],85)&gt;0,SUMIFS(T_StockCount[CountedQty],T_StockCount[Part Name],$A40,T_StockCount[WeekIndex],85),IF((('T_SelfStock'!CH44&lt;&gt;""))*(('T_TTAFStock'!CH44&lt;&gt;""))&gt;0,'T_SelfStock'!CH44+'T_TTAFStock'!CH44,CG40+'Grid_Incoming'!CH40-'Grid_Requirement'!CH40))</f>
        <v/>
      </c>
      <c r="CI40">
        <f>IF(COUNTIFS(T_StockCount[Part Name],$A40,T_StockCount[WeekIndex],86)&gt;0,SUMIFS(T_StockCount[CountedQty],T_StockCount[Part Name],$A40,T_StockCount[WeekIndex],86),IF((('T_SelfStock'!CI44&lt;&gt;""))*(('T_TTAFStock'!CI44&lt;&gt;""))&gt;0,'T_SelfStock'!CI44+'T_TTAFStock'!CI44,CH40+'Grid_Incoming'!CI40-'Grid_Requirement'!CI40))</f>
        <v/>
      </c>
      <c r="CJ40">
        <f>IF(COUNTIFS(T_StockCount[Part Name],$A40,T_StockCount[WeekIndex],87)&gt;0,SUMIFS(T_StockCount[CountedQty],T_StockCount[Part Name],$A40,T_StockCount[WeekIndex],87),IF((('T_SelfStock'!CJ44&lt;&gt;""))*(('T_TTAFStock'!CJ44&lt;&gt;""))&gt;0,'T_SelfStock'!CJ44+'T_TTAFStock'!CJ44,CI40+'Grid_Incoming'!CJ40-'Grid_Requirement'!CJ40))</f>
        <v/>
      </c>
      <c r="CK40">
        <f>IF(COUNTIFS(T_StockCount[Part Name],$A40,T_StockCount[WeekIndex],88)&gt;0,SUMIFS(T_StockCount[CountedQty],T_StockCount[Part Name],$A40,T_StockCount[WeekIndex],88),IF((('T_SelfStock'!CK44&lt;&gt;""))*(('T_TTAFStock'!CK44&lt;&gt;""))&gt;0,'T_SelfStock'!CK44+'T_TTAFStock'!CK44,CJ40+'Grid_Incoming'!CK40-'Grid_Requirement'!CK40))</f>
        <v/>
      </c>
      <c r="CL40">
        <f>IF(COUNTIFS(T_StockCount[Part Name],$A40,T_StockCount[WeekIndex],89)&gt;0,SUMIFS(T_StockCount[CountedQty],T_StockCount[Part Name],$A40,T_StockCount[WeekIndex],89),IF((('T_SelfStock'!CL44&lt;&gt;""))*(('T_TTAFStock'!CL44&lt;&gt;""))&gt;0,'T_SelfStock'!CL44+'T_TTAFStock'!CL44,CK40+'Grid_Incoming'!CL40-'Grid_Requirement'!CL40))</f>
        <v/>
      </c>
      <c r="CM40">
        <f>IF(COUNTIFS(T_StockCount[Part Name],$A40,T_StockCount[WeekIndex],90)&gt;0,SUMIFS(T_StockCount[CountedQty],T_StockCount[Part Name],$A40,T_StockCount[WeekIndex],90),IF((('T_SelfStock'!CM44&lt;&gt;""))*(('T_TTAFStock'!CM44&lt;&gt;""))&gt;0,'T_SelfStock'!CM44+'T_TTAFStock'!CM44,CL40+'Grid_Incoming'!CM40-'Grid_Requirement'!CM40))</f>
        <v/>
      </c>
      <c r="CN40">
        <f>IF(COUNTIFS(T_StockCount[Part Name],$A40,T_StockCount[WeekIndex],91)&gt;0,SUMIFS(T_StockCount[CountedQty],T_StockCount[Part Name],$A40,T_StockCount[WeekIndex],91),IF((('T_SelfStock'!CN44&lt;&gt;""))*(('T_TTAFStock'!CN44&lt;&gt;""))&gt;0,'T_SelfStock'!CN44+'T_TTAFStock'!CN44,CM40+'Grid_Incoming'!CN40-'Grid_Requirement'!CN40))</f>
        <v/>
      </c>
      <c r="CO40">
        <f>IF(COUNTIFS(T_StockCount[Part Name],$A40,T_StockCount[WeekIndex],92)&gt;0,SUMIFS(T_StockCount[CountedQty],T_StockCount[Part Name],$A40,T_StockCount[WeekIndex],92),IF((('T_SelfStock'!CO44&lt;&gt;""))*(('T_TTAFStock'!CO44&lt;&gt;""))&gt;0,'T_SelfStock'!CO44+'T_TTAFStock'!CO44,CN40+'Grid_Incoming'!CO40-'Grid_Requirement'!CO40))</f>
        <v/>
      </c>
      <c r="CP40">
        <f>IF(COUNTIFS(T_StockCount[Part Name],$A40,T_StockCount[WeekIndex],93)&gt;0,SUMIFS(T_StockCount[CountedQty],T_StockCount[Part Name],$A40,T_StockCount[WeekIndex],93),IF((('T_SelfStock'!CP44&lt;&gt;""))*(('T_TTAFStock'!CP44&lt;&gt;""))&gt;0,'T_SelfStock'!CP44+'T_TTAFStock'!CP44,CO40+'Grid_Incoming'!CP40-'Grid_Requirement'!CP40))</f>
        <v/>
      </c>
      <c r="CQ40">
        <f>IF(COUNTIFS(T_StockCount[Part Name],$A40,T_StockCount[WeekIndex],94)&gt;0,SUMIFS(T_StockCount[CountedQty],T_StockCount[Part Name],$A40,T_StockCount[WeekIndex],94),IF((('T_SelfStock'!CQ44&lt;&gt;""))*(('T_TTAFStock'!CQ44&lt;&gt;""))&gt;0,'T_SelfStock'!CQ44+'T_TTAFStock'!CQ44,CP40+'Grid_Incoming'!CQ40-'Grid_Requirement'!CQ40))</f>
        <v/>
      </c>
      <c r="CR40">
        <f>IF(COUNTIFS(T_StockCount[Part Name],$A40,T_StockCount[WeekIndex],95)&gt;0,SUMIFS(T_StockCount[CountedQty],T_StockCount[Part Name],$A40,T_StockCount[WeekIndex],95),IF((('T_SelfStock'!CR44&lt;&gt;""))*(('T_TTAFStock'!CR44&lt;&gt;""))&gt;0,'T_SelfStock'!CR44+'T_TTAFStock'!CR44,CQ40+'Grid_Incoming'!CR40-'Grid_Requirement'!CR40))</f>
        <v/>
      </c>
      <c r="CS40">
        <f>IF(COUNTIFS(T_StockCount[Part Name],$A40,T_StockCount[WeekIndex],96)&gt;0,SUMIFS(T_StockCount[CountedQty],T_StockCount[Part Name],$A40,T_StockCount[WeekIndex],96),IF((('T_SelfStock'!CS44&lt;&gt;""))*(('T_TTAFStock'!CS44&lt;&gt;""))&gt;0,'T_SelfStock'!CS44+'T_TTAFStock'!CS44,CR40+'Grid_Incoming'!CS40-'Grid_Requirement'!CS40))</f>
        <v/>
      </c>
      <c r="CT40">
        <f>IF(COUNTIFS(T_StockCount[Part Name],$A40,T_StockCount[WeekIndex],97)&gt;0,SUMIFS(T_StockCount[CountedQty],T_StockCount[Part Name],$A40,T_StockCount[WeekIndex],97),IF((('T_SelfStock'!CT44&lt;&gt;""))*(('T_TTAFStock'!CT44&lt;&gt;""))&gt;0,'T_SelfStock'!CT44+'T_TTAFStock'!CT44,CS40+'Grid_Incoming'!CT40-'Grid_Requirement'!CT40))</f>
        <v/>
      </c>
      <c r="CU40">
        <f>IF(COUNTIFS(T_StockCount[Part Name],$A40,T_StockCount[WeekIndex],98)&gt;0,SUMIFS(T_StockCount[CountedQty],T_StockCount[Part Name],$A40,T_StockCount[WeekIndex],98),IF((('T_SelfStock'!CU44&lt;&gt;""))*(('T_TTAFStock'!CU44&lt;&gt;""))&gt;0,'T_SelfStock'!CU44+'T_TTAFStock'!CU44,CT40+'Grid_Incoming'!CU40-'Grid_Requirement'!CU40))</f>
        <v/>
      </c>
      <c r="CV40">
        <f>IF(COUNTIFS(T_StockCount[Part Name],$A40,T_StockCount[WeekIndex],99)&gt;0,SUMIFS(T_StockCount[CountedQty],T_StockCount[Part Name],$A40,T_StockCount[WeekIndex],99),IF((('T_SelfStock'!CV44&lt;&gt;""))*(('T_TTAFStock'!CV44&lt;&gt;""))&gt;0,'T_SelfStock'!CV44+'T_TTAFStock'!CV44,CU40+'Grid_Incoming'!CV40-'Grid_Requirement'!CV40))</f>
        <v/>
      </c>
      <c r="CW40">
        <f>IF(COUNTIFS(T_StockCount[Part Name],$A40,T_StockCount[WeekIndex],100)&gt;0,SUMIFS(T_StockCount[CountedQty],T_StockCount[Part Name],$A40,T_StockCount[WeekIndex],100),IF((('T_SelfStock'!CW44&lt;&gt;""))*(('T_TTAFStock'!CW44&lt;&gt;""))&gt;0,'T_SelfStock'!CW44+'T_TTAFStock'!CW44,CV40+'Grid_Incoming'!CW40-'Grid_Requirement'!CW40))</f>
        <v/>
      </c>
      <c r="CX40">
        <f>IF(COUNTIFS(T_StockCount[Part Name],$A40,T_StockCount[WeekIndex],101)&gt;0,SUMIFS(T_StockCount[CountedQty],T_StockCount[Part Name],$A40,T_StockCount[WeekIndex],101),IF((('T_SelfStock'!CX44&lt;&gt;""))*(('T_TTAFStock'!CX44&lt;&gt;""))&gt;0,'T_SelfStock'!CX44+'T_TTAFStock'!CX44,CW40+'Grid_Incoming'!CX40-'Grid_Requirement'!CX40))</f>
        <v/>
      </c>
      <c r="CY40">
        <f>IF(COUNTIFS(T_StockCount[Part Name],$A40,T_StockCount[WeekIndex],102)&gt;0,SUMIFS(T_StockCount[CountedQty],T_StockCount[Part Name],$A40,T_StockCount[WeekIndex],102),IF((('T_SelfStock'!CY44&lt;&gt;""))*(('T_TTAFStock'!CY44&lt;&gt;""))&gt;0,'T_SelfStock'!CY44+'T_TTAFStock'!CY44,CX40+'Grid_Incoming'!CY40-'Grid_Requirement'!CY40))</f>
        <v/>
      </c>
      <c r="CZ40">
        <f>IF(COUNTIFS(T_StockCount[Part Name],$A40,T_StockCount[WeekIndex],103)&gt;0,SUMIFS(T_StockCount[CountedQty],T_StockCount[Part Name],$A40,T_StockCount[WeekIndex],103),IF((('T_SelfStock'!CZ44&lt;&gt;""))*(('T_TTAFStock'!CZ44&lt;&gt;""))&gt;0,'T_SelfStock'!CZ44+'T_TTAFStock'!CZ44,CY40+'Grid_Incoming'!CZ40-'Grid_Requirement'!CZ40))</f>
        <v/>
      </c>
      <c r="DA40">
        <f>IF(COUNTIFS(T_StockCount[Part Name],$A40,T_StockCount[WeekIndex],104)&gt;0,SUMIFS(T_StockCount[CountedQty],T_StockCount[Part Name],$A40,T_StockCount[WeekIndex],104),IF((('T_SelfStock'!DA44&lt;&gt;""))*(('T_TTAFStock'!DA44&lt;&gt;""))&gt;0,'T_SelfStock'!DA44+'T_TTAFStock'!DA44,CZ40+'Grid_Incoming'!DA40-'Grid_Requirement'!DA40))</f>
        <v/>
      </c>
    </row>
    <row r="41">
      <c r="A41" t="inlineStr">
        <is>
          <t>CHEM-1680</t>
        </is>
      </c>
      <c r="B41">
        <f>IF(COUNTIFS(T_StockCount[Part Name],$A41,T_StockCount[WeekIndex],1)&gt;0,SUMIFS(T_StockCount[CountedQty],T_StockCount[Part Name],$A41,T_StockCount[WeekIndex],1),IF((('T_SelfStock'!B45&lt;&gt;""))*(('T_TTAFStock'!B45&lt;&gt;""))&gt;0,'T_SelfStock'!B45+'T_TTAFStock'!B45,IFERROR(INDEX(T_OpeningStock[Opening_Qty_要入力],MATCH($A41,T_OpeningStock[Part Name],0)),0)+'Grid_Incoming'!B41-'Grid_Requirement'!B41))</f>
        <v/>
      </c>
      <c r="C41">
        <f>IF(COUNTIFS(T_StockCount[Part Name],$A41,T_StockCount[WeekIndex],2)&gt;0,SUMIFS(T_StockCount[CountedQty],T_StockCount[Part Name],$A41,T_StockCount[WeekIndex],2),IF((('T_SelfStock'!C45&lt;&gt;""))*(('T_TTAFStock'!C45&lt;&gt;""))&gt;0,'T_SelfStock'!C45+'T_TTAFStock'!C45,B41+'Grid_Incoming'!C41-'Grid_Requirement'!C41))</f>
        <v/>
      </c>
      <c r="D41">
        <f>IF(COUNTIFS(T_StockCount[Part Name],$A41,T_StockCount[WeekIndex],3)&gt;0,SUMIFS(T_StockCount[CountedQty],T_StockCount[Part Name],$A41,T_StockCount[WeekIndex],3),IF((('T_SelfStock'!D45&lt;&gt;""))*(('T_TTAFStock'!D45&lt;&gt;""))&gt;0,'T_SelfStock'!D45+'T_TTAFStock'!D45,C41+'Grid_Incoming'!D41-'Grid_Requirement'!D41))</f>
        <v/>
      </c>
      <c r="E41">
        <f>IF(COUNTIFS(T_StockCount[Part Name],$A41,T_StockCount[WeekIndex],4)&gt;0,SUMIFS(T_StockCount[CountedQty],T_StockCount[Part Name],$A41,T_StockCount[WeekIndex],4),IF((('T_SelfStock'!E45&lt;&gt;""))*(('T_TTAFStock'!E45&lt;&gt;""))&gt;0,'T_SelfStock'!E45+'T_TTAFStock'!E45,D41+'Grid_Incoming'!E41-'Grid_Requirement'!E41))</f>
        <v/>
      </c>
      <c r="F41">
        <f>IF(COUNTIFS(T_StockCount[Part Name],$A41,T_StockCount[WeekIndex],5)&gt;0,SUMIFS(T_StockCount[CountedQty],T_StockCount[Part Name],$A41,T_StockCount[WeekIndex],5),IF((('T_SelfStock'!F45&lt;&gt;""))*(('T_TTAFStock'!F45&lt;&gt;""))&gt;0,'T_SelfStock'!F45+'T_TTAFStock'!F45,E41+'Grid_Incoming'!F41-'Grid_Requirement'!F41))</f>
        <v/>
      </c>
      <c r="G41">
        <f>IF(COUNTIFS(T_StockCount[Part Name],$A41,T_StockCount[WeekIndex],6)&gt;0,SUMIFS(T_StockCount[CountedQty],T_StockCount[Part Name],$A41,T_StockCount[WeekIndex],6),IF((('T_SelfStock'!G45&lt;&gt;""))*(('T_TTAFStock'!G45&lt;&gt;""))&gt;0,'T_SelfStock'!G45+'T_TTAFStock'!G45,F41+'Grid_Incoming'!G41-'Grid_Requirement'!G41))</f>
        <v/>
      </c>
      <c r="H41">
        <f>IF(COUNTIFS(T_StockCount[Part Name],$A41,T_StockCount[WeekIndex],7)&gt;0,SUMIFS(T_StockCount[CountedQty],T_StockCount[Part Name],$A41,T_StockCount[WeekIndex],7),IF((('T_SelfStock'!H45&lt;&gt;""))*(('T_TTAFStock'!H45&lt;&gt;""))&gt;0,'T_SelfStock'!H45+'T_TTAFStock'!H45,G41+'Grid_Incoming'!H41-'Grid_Requirement'!H41))</f>
        <v/>
      </c>
      <c r="I41">
        <f>IF(COUNTIFS(T_StockCount[Part Name],$A41,T_StockCount[WeekIndex],8)&gt;0,SUMIFS(T_StockCount[CountedQty],T_StockCount[Part Name],$A41,T_StockCount[WeekIndex],8),IF((('T_SelfStock'!I45&lt;&gt;""))*(('T_TTAFStock'!I45&lt;&gt;""))&gt;0,'T_SelfStock'!I45+'T_TTAFStock'!I45,H41+'Grid_Incoming'!I41-'Grid_Requirement'!I41))</f>
        <v/>
      </c>
      <c r="J41">
        <f>IF(COUNTIFS(T_StockCount[Part Name],$A41,T_StockCount[WeekIndex],9)&gt;0,SUMIFS(T_StockCount[CountedQty],T_StockCount[Part Name],$A41,T_StockCount[WeekIndex],9),IF((('T_SelfStock'!J45&lt;&gt;""))*(('T_TTAFStock'!J45&lt;&gt;""))&gt;0,'T_SelfStock'!J45+'T_TTAFStock'!J45,I41+'Grid_Incoming'!J41-'Grid_Requirement'!J41))</f>
        <v/>
      </c>
      <c r="K41">
        <f>IF(COUNTIFS(T_StockCount[Part Name],$A41,T_StockCount[WeekIndex],10)&gt;0,SUMIFS(T_StockCount[CountedQty],T_StockCount[Part Name],$A41,T_StockCount[WeekIndex],10),IF((('T_SelfStock'!K45&lt;&gt;""))*(('T_TTAFStock'!K45&lt;&gt;""))&gt;0,'T_SelfStock'!K45+'T_TTAFStock'!K45,J41+'Grid_Incoming'!K41-'Grid_Requirement'!K41))</f>
        <v/>
      </c>
      <c r="L41">
        <f>IF(COUNTIFS(T_StockCount[Part Name],$A41,T_StockCount[WeekIndex],11)&gt;0,SUMIFS(T_StockCount[CountedQty],T_StockCount[Part Name],$A41,T_StockCount[WeekIndex],11),IF((('T_SelfStock'!L45&lt;&gt;""))*(('T_TTAFStock'!L45&lt;&gt;""))&gt;0,'T_SelfStock'!L45+'T_TTAFStock'!L45,K41+'Grid_Incoming'!L41-'Grid_Requirement'!L41))</f>
        <v/>
      </c>
      <c r="M41">
        <f>IF(COUNTIFS(T_StockCount[Part Name],$A41,T_StockCount[WeekIndex],12)&gt;0,SUMIFS(T_StockCount[CountedQty],T_StockCount[Part Name],$A41,T_StockCount[WeekIndex],12),IF((('T_SelfStock'!M45&lt;&gt;""))*(('T_TTAFStock'!M45&lt;&gt;""))&gt;0,'T_SelfStock'!M45+'T_TTAFStock'!M45,L41+'Grid_Incoming'!M41-'Grid_Requirement'!M41))</f>
        <v/>
      </c>
      <c r="N41">
        <f>IF(COUNTIFS(T_StockCount[Part Name],$A41,T_StockCount[WeekIndex],13)&gt;0,SUMIFS(T_StockCount[CountedQty],T_StockCount[Part Name],$A41,T_StockCount[WeekIndex],13),IF((('T_SelfStock'!N45&lt;&gt;""))*(('T_TTAFStock'!N45&lt;&gt;""))&gt;0,'T_SelfStock'!N45+'T_TTAFStock'!N45,M41+'Grid_Incoming'!N41-'Grid_Requirement'!N41))</f>
        <v/>
      </c>
      <c r="O41">
        <f>IF(COUNTIFS(T_StockCount[Part Name],$A41,T_StockCount[WeekIndex],14)&gt;0,SUMIFS(T_StockCount[CountedQty],T_StockCount[Part Name],$A41,T_StockCount[WeekIndex],14),IF((('T_SelfStock'!O45&lt;&gt;""))*(('T_TTAFStock'!O45&lt;&gt;""))&gt;0,'T_SelfStock'!O45+'T_TTAFStock'!O45,N41+'Grid_Incoming'!O41-'Grid_Requirement'!O41))</f>
        <v/>
      </c>
      <c r="P41">
        <f>IF(COUNTIFS(T_StockCount[Part Name],$A41,T_StockCount[WeekIndex],15)&gt;0,SUMIFS(T_StockCount[CountedQty],T_StockCount[Part Name],$A41,T_StockCount[WeekIndex],15),IF((('T_SelfStock'!P45&lt;&gt;""))*(('T_TTAFStock'!P45&lt;&gt;""))&gt;0,'T_SelfStock'!P45+'T_TTAFStock'!P45,O41+'Grid_Incoming'!P41-'Grid_Requirement'!P41))</f>
        <v/>
      </c>
      <c r="Q41">
        <f>IF(COUNTIFS(T_StockCount[Part Name],$A41,T_StockCount[WeekIndex],16)&gt;0,SUMIFS(T_StockCount[CountedQty],T_StockCount[Part Name],$A41,T_StockCount[WeekIndex],16),IF((('T_SelfStock'!Q45&lt;&gt;""))*(('T_TTAFStock'!Q45&lt;&gt;""))&gt;0,'T_SelfStock'!Q45+'T_TTAFStock'!Q45,P41+'Grid_Incoming'!Q41-'Grid_Requirement'!Q41))</f>
        <v/>
      </c>
      <c r="R41">
        <f>IF(COUNTIFS(T_StockCount[Part Name],$A41,T_StockCount[WeekIndex],17)&gt;0,SUMIFS(T_StockCount[CountedQty],T_StockCount[Part Name],$A41,T_StockCount[WeekIndex],17),IF((('T_SelfStock'!R45&lt;&gt;""))*(('T_TTAFStock'!R45&lt;&gt;""))&gt;0,'T_SelfStock'!R45+'T_TTAFStock'!R45,Q41+'Grid_Incoming'!R41-'Grid_Requirement'!R41))</f>
        <v/>
      </c>
      <c r="S41">
        <f>IF(COUNTIFS(T_StockCount[Part Name],$A41,T_StockCount[WeekIndex],18)&gt;0,SUMIFS(T_StockCount[CountedQty],T_StockCount[Part Name],$A41,T_StockCount[WeekIndex],18),IF((('T_SelfStock'!S45&lt;&gt;""))*(('T_TTAFStock'!S45&lt;&gt;""))&gt;0,'T_SelfStock'!S45+'T_TTAFStock'!S45,R41+'Grid_Incoming'!S41-'Grid_Requirement'!S41))</f>
        <v/>
      </c>
      <c r="T41">
        <f>IF(COUNTIFS(T_StockCount[Part Name],$A41,T_StockCount[WeekIndex],19)&gt;0,SUMIFS(T_StockCount[CountedQty],T_StockCount[Part Name],$A41,T_StockCount[WeekIndex],19),IF((('T_SelfStock'!T45&lt;&gt;""))*(('T_TTAFStock'!T45&lt;&gt;""))&gt;0,'T_SelfStock'!T45+'T_TTAFStock'!T45,S41+'Grid_Incoming'!T41-'Grid_Requirement'!T41))</f>
        <v/>
      </c>
      <c r="U41">
        <f>IF(COUNTIFS(T_StockCount[Part Name],$A41,T_StockCount[WeekIndex],20)&gt;0,SUMIFS(T_StockCount[CountedQty],T_StockCount[Part Name],$A41,T_StockCount[WeekIndex],20),IF((('T_SelfStock'!U45&lt;&gt;""))*(('T_TTAFStock'!U45&lt;&gt;""))&gt;0,'T_SelfStock'!U45+'T_TTAFStock'!U45,T41+'Grid_Incoming'!U41-'Grid_Requirement'!U41))</f>
        <v/>
      </c>
      <c r="V41">
        <f>IF(COUNTIFS(T_StockCount[Part Name],$A41,T_StockCount[WeekIndex],21)&gt;0,SUMIFS(T_StockCount[CountedQty],T_StockCount[Part Name],$A41,T_StockCount[WeekIndex],21),IF((('T_SelfStock'!V45&lt;&gt;""))*(('T_TTAFStock'!V45&lt;&gt;""))&gt;0,'T_SelfStock'!V45+'T_TTAFStock'!V45,U41+'Grid_Incoming'!V41-'Grid_Requirement'!V41))</f>
        <v/>
      </c>
      <c r="W41">
        <f>IF(COUNTIFS(T_StockCount[Part Name],$A41,T_StockCount[WeekIndex],22)&gt;0,SUMIFS(T_StockCount[CountedQty],T_StockCount[Part Name],$A41,T_StockCount[WeekIndex],22),IF((('T_SelfStock'!W45&lt;&gt;""))*(('T_TTAFStock'!W45&lt;&gt;""))&gt;0,'T_SelfStock'!W45+'T_TTAFStock'!W45,V41+'Grid_Incoming'!W41-'Grid_Requirement'!W41))</f>
        <v/>
      </c>
      <c r="X41">
        <f>IF(COUNTIFS(T_StockCount[Part Name],$A41,T_StockCount[WeekIndex],23)&gt;0,SUMIFS(T_StockCount[CountedQty],T_StockCount[Part Name],$A41,T_StockCount[WeekIndex],23),IF((('T_SelfStock'!X45&lt;&gt;""))*(('T_TTAFStock'!X45&lt;&gt;""))&gt;0,'T_SelfStock'!X45+'T_TTAFStock'!X45,W41+'Grid_Incoming'!X41-'Grid_Requirement'!X41))</f>
        <v/>
      </c>
      <c r="Y41">
        <f>IF(COUNTIFS(T_StockCount[Part Name],$A41,T_StockCount[WeekIndex],24)&gt;0,SUMIFS(T_StockCount[CountedQty],T_StockCount[Part Name],$A41,T_StockCount[WeekIndex],24),IF((('T_SelfStock'!Y45&lt;&gt;""))*(('T_TTAFStock'!Y45&lt;&gt;""))&gt;0,'T_SelfStock'!Y45+'T_TTAFStock'!Y45,X41+'Grid_Incoming'!Y41-'Grid_Requirement'!Y41))</f>
        <v/>
      </c>
      <c r="Z41">
        <f>IF(COUNTIFS(T_StockCount[Part Name],$A41,T_StockCount[WeekIndex],25)&gt;0,SUMIFS(T_StockCount[CountedQty],T_StockCount[Part Name],$A41,T_StockCount[WeekIndex],25),IF((('T_SelfStock'!Z45&lt;&gt;""))*(('T_TTAFStock'!Z45&lt;&gt;""))&gt;0,'T_SelfStock'!Z45+'T_TTAFStock'!Z45,Y41+'Grid_Incoming'!Z41-'Grid_Requirement'!Z41))</f>
        <v/>
      </c>
      <c r="AA41">
        <f>IF(COUNTIFS(T_StockCount[Part Name],$A41,T_StockCount[WeekIndex],26)&gt;0,SUMIFS(T_StockCount[CountedQty],T_StockCount[Part Name],$A41,T_StockCount[WeekIndex],26),IF((('T_SelfStock'!AA45&lt;&gt;""))*(('T_TTAFStock'!AA45&lt;&gt;""))&gt;0,'T_SelfStock'!AA45+'T_TTAFStock'!AA45,Z41+'Grid_Incoming'!AA41-'Grid_Requirement'!AA41))</f>
        <v/>
      </c>
      <c r="AB41">
        <f>IF(COUNTIFS(T_StockCount[Part Name],$A41,T_StockCount[WeekIndex],27)&gt;0,SUMIFS(T_StockCount[CountedQty],T_StockCount[Part Name],$A41,T_StockCount[WeekIndex],27),IF((('T_SelfStock'!AB45&lt;&gt;""))*(('T_TTAFStock'!AB45&lt;&gt;""))&gt;0,'T_SelfStock'!AB45+'T_TTAFStock'!AB45,AA41+'Grid_Incoming'!AB41-'Grid_Requirement'!AB41))</f>
        <v/>
      </c>
      <c r="AC41">
        <f>IF(COUNTIFS(T_StockCount[Part Name],$A41,T_StockCount[WeekIndex],28)&gt;0,SUMIFS(T_StockCount[CountedQty],T_StockCount[Part Name],$A41,T_StockCount[WeekIndex],28),IF((('T_SelfStock'!AC45&lt;&gt;""))*(('T_TTAFStock'!AC45&lt;&gt;""))&gt;0,'T_SelfStock'!AC45+'T_TTAFStock'!AC45,AB41+'Grid_Incoming'!AC41-'Grid_Requirement'!AC41))</f>
        <v/>
      </c>
      <c r="AD41">
        <f>IF(COUNTIFS(T_StockCount[Part Name],$A41,T_StockCount[WeekIndex],29)&gt;0,SUMIFS(T_StockCount[CountedQty],T_StockCount[Part Name],$A41,T_StockCount[WeekIndex],29),IF((('T_SelfStock'!AD45&lt;&gt;""))*(('T_TTAFStock'!AD45&lt;&gt;""))&gt;0,'T_SelfStock'!AD45+'T_TTAFStock'!AD45,AC41+'Grid_Incoming'!AD41-'Grid_Requirement'!AD41))</f>
        <v/>
      </c>
      <c r="AE41">
        <f>IF(COUNTIFS(T_StockCount[Part Name],$A41,T_StockCount[WeekIndex],30)&gt;0,SUMIFS(T_StockCount[CountedQty],T_StockCount[Part Name],$A41,T_StockCount[WeekIndex],30),IF((('T_SelfStock'!AE45&lt;&gt;""))*(('T_TTAFStock'!AE45&lt;&gt;""))&gt;0,'T_SelfStock'!AE45+'T_TTAFStock'!AE45,AD41+'Grid_Incoming'!AE41-'Grid_Requirement'!AE41))</f>
        <v/>
      </c>
      <c r="AF41">
        <f>IF(COUNTIFS(T_StockCount[Part Name],$A41,T_StockCount[WeekIndex],31)&gt;0,SUMIFS(T_StockCount[CountedQty],T_StockCount[Part Name],$A41,T_StockCount[WeekIndex],31),IF((('T_SelfStock'!AF45&lt;&gt;""))*(('T_TTAFStock'!AF45&lt;&gt;""))&gt;0,'T_SelfStock'!AF45+'T_TTAFStock'!AF45,AE41+'Grid_Incoming'!AF41-'Grid_Requirement'!AF41))</f>
        <v/>
      </c>
      <c r="AG41">
        <f>IF(COUNTIFS(T_StockCount[Part Name],$A41,T_StockCount[WeekIndex],32)&gt;0,SUMIFS(T_StockCount[CountedQty],T_StockCount[Part Name],$A41,T_StockCount[WeekIndex],32),IF((('T_SelfStock'!AG45&lt;&gt;""))*(('T_TTAFStock'!AG45&lt;&gt;""))&gt;0,'T_SelfStock'!AG45+'T_TTAFStock'!AG45,AF41+'Grid_Incoming'!AG41-'Grid_Requirement'!AG41))</f>
        <v/>
      </c>
      <c r="AH41">
        <f>IF(COUNTIFS(T_StockCount[Part Name],$A41,T_StockCount[WeekIndex],33)&gt;0,SUMIFS(T_StockCount[CountedQty],T_StockCount[Part Name],$A41,T_StockCount[WeekIndex],33),IF((('T_SelfStock'!AH45&lt;&gt;""))*(('T_TTAFStock'!AH45&lt;&gt;""))&gt;0,'T_SelfStock'!AH45+'T_TTAFStock'!AH45,AG41+'Grid_Incoming'!AH41-'Grid_Requirement'!AH41))</f>
        <v/>
      </c>
      <c r="AI41">
        <f>IF(COUNTIFS(T_StockCount[Part Name],$A41,T_StockCount[WeekIndex],34)&gt;0,SUMIFS(T_StockCount[CountedQty],T_StockCount[Part Name],$A41,T_StockCount[WeekIndex],34),IF((('T_SelfStock'!AI45&lt;&gt;""))*(('T_TTAFStock'!AI45&lt;&gt;""))&gt;0,'T_SelfStock'!AI45+'T_TTAFStock'!AI45,AH41+'Grid_Incoming'!AI41-'Grid_Requirement'!AI41))</f>
        <v/>
      </c>
      <c r="AJ41">
        <f>IF(COUNTIFS(T_StockCount[Part Name],$A41,T_StockCount[WeekIndex],35)&gt;0,SUMIFS(T_StockCount[CountedQty],T_StockCount[Part Name],$A41,T_StockCount[WeekIndex],35),IF((('T_SelfStock'!AJ45&lt;&gt;""))*(('T_TTAFStock'!AJ45&lt;&gt;""))&gt;0,'T_SelfStock'!AJ45+'T_TTAFStock'!AJ45,AI41+'Grid_Incoming'!AJ41-'Grid_Requirement'!AJ41))</f>
        <v/>
      </c>
      <c r="AK41">
        <f>IF(COUNTIFS(T_StockCount[Part Name],$A41,T_StockCount[WeekIndex],36)&gt;0,SUMIFS(T_StockCount[CountedQty],T_StockCount[Part Name],$A41,T_StockCount[WeekIndex],36),IF((('T_SelfStock'!AK45&lt;&gt;""))*(('T_TTAFStock'!AK45&lt;&gt;""))&gt;0,'T_SelfStock'!AK45+'T_TTAFStock'!AK45,AJ41+'Grid_Incoming'!AK41-'Grid_Requirement'!AK41))</f>
        <v/>
      </c>
      <c r="AL41">
        <f>IF(COUNTIFS(T_StockCount[Part Name],$A41,T_StockCount[WeekIndex],37)&gt;0,SUMIFS(T_StockCount[CountedQty],T_StockCount[Part Name],$A41,T_StockCount[WeekIndex],37),IF((('T_SelfStock'!AL45&lt;&gt;""))*(('T_TTAFStock'!AL45&lt;&gt;""))&gt;0,'T_SelfStock'!AL45+'T_TTAFStock'!AL45,AK41+'Grid_Incoming'!AL41-'Grid_Requirement'!AL41))</f>
        <v/>
      </c>
      <c r="AM41">
        <f>IF(COUNTIFS(T_StockCount[Part Name],$A41,T_StockCount[WeekIndex],38)&gt;0,SUMIFS(T_StockCount[CountedQty],T_StockCount[Part Name],$A41,T_StockCount[WeekIndex],38),IF((('T_SelfStock'!AM45&lt;&gt;""))*(('T_TTAFStock'!AM45&lt;&gt;""))&gt;0,'T_SelfStock'!AM45+'T_TTAFStock'!AM45,AL41+'Grid_Incoming'!AM41-'Grid_Requirement'!AM41))</f>
        <v/>
      </c>
      <c r="AN41">
        <f>IF(COUNTIFS(T_StockCount[Part Name],$A41,T_StockCount[WeekIndex],39)&gt;0,SUMIFS(T_StockCount[CountedQty],T_StockCount[Part Name],$A41,T_StockCount[WeekIndex],39),IF((('T_SelfStock'!AN45&lt;&gt;""))*(('T_TTAFStock'!AN45&lt;&gt;""))&gt;0,'T_SelfStock'!AN45+'T_TTAFStock'!AN45,AM41+'Grid_Incoming'!AN41-'Grid_Requirement'!AN41))</f>
        <v/>
      </c>
      <c r="AO41">
        <f>IF(COUNTIFS(T_StockCount[Part Name],$A41,T_StockCount[WeekIndex],40)&gt;0,SUMIFS(T_StockCount[CountedQty],T_StockCount[Part Name],$A41,T_StockCount[WeekIndex],40),IF((('T_SelfStock'!AO45&lt;&gt;""))*(('T_TTAFStock'!AO45&lt;&gt;""))&gt;0,'T_SelfStock'!AO45+'T_TTAFStock'!AO45,AN41+'Grid_Incoming'!AO41-'Grid_Requirement'!AO41))</f>
        <v/>
      </c>
      <c r="AP41">
        <f>IF(COUNTIFS(T_StockCount[Part Name],$A41,T_StockCount[WeekIndex],41)&gt;0,SUMIFS(T_StockCount[CountedQty],T_StockCount[Part Name],$A41,T_StockCount[WeekIndex],41),IF((('T_SelfStock'!AP45&lt;&gt;""))*(('T_TTAFStock'!AP45&lt;&gt;""))&gt;0,'T_SelfStock'!AP45+'T_TTAFStock'!AP45,AO41+'Grid_Incoming'!AP41-'Grid_Requirement'!AP41))</f>
        <v/>
      </c>
      <c r="AQ41">
        <f>IF(COUNTIFS(T_StockCount[Part Name],$A41,T_StockCount[WeekIndex],42)&gt;0,SUMIFS(T_StockCount[CountedQty],T_StockCount[Part Name],$A41,T_StockCount[WeekIndex],42),IF((('T_SelfStock'!AQ45&lt;&gt;""))*(('T_TTAFStock'!AQ45&lt;&gt;""))&gt;0,'T_SelfStock'!AQ45+'T_TTAFStock'!AQ45,AP41+'Grid_Incoming'!AQ41-'Grid_Requirement'!AQ41))</f>
        <v/>
      </c>
      <c r="AR41">
        <f>IF(COUNTIFS(T_StockCount[Part Name],$A41,T_StockCount[WeekIndex],43)&gt;0,SUMIFS(T_StockCount[CountedQty],T_StockCount[Part Name],$A41,T_StockCount[WeekIndex],43),IF((('T_SelfStock'!AR45&lt;&gt;""))*(('T_TTAFStock'!AR45&lt;&gt;""))&gt;0,'T_SelfStock'!AR45+'T_TTAFStock'!AR45,AQ41+'Grid_Incoming'!AR41-'Grid_Requirement'!AR41))</f>
        <v/>
      </c>
      <c r="AS41">
        <f>IF(COUNTIFS(T_StockCount[Part Name],$A41,T_StockCount[WeekIndex],44)&gt;0,SUMIFS(T_StockCount[CountedQty],T_StockCount[Part Name],$A41,T_StockCount[WeekIndex],44),IF((('T_SelfStock'!AS45&lt;&gt;""))*(('T_TTAFStock'!AS45&lt;&gt;""))&gt;0,'T_SelfStock'!AS45+'T_TTAFStock'!AS45,AR41+'Grid_Incoming'!AS41-'Grid_Requirement'!AS41))</f>
        <v/>
      </c>
      <c r="AT41">
        <f>IF(COUNTIFS(T_StockCount[Part Name],$A41,T_StockCount[WeekIndex],45)&gt;0,SUMIFS(T_StockCount[CountedQty],T_StockCount[Part Name],$A41,T_StockCount[WeekIndex],45),IF((('T_SelfStock'!AT45&lt;&gt;""))*(('T_TTAFStock'!AT45&lt;&gt;""))&gt;0,'T_SelfStock'!AT45+'T_TTAFStock'!AT45,AS41+'Grid_Incoming'!AT41-'Grid_Requirement'!AT41))</f>
        <v/>
      </c>
      <c r="AU41">
        <f>IF(COUNTIFS(T_StockCount[Part Name],$A41,T_StockCount[WeekIndex],46)&gt;0,SUMIFS(T_StockCount[CountedQty],T_StockCount[Part Name],$A41,T_StockCount[WeekIndex],46),IF((('T_SelfStock'!AU45&lt;&gt;""))*(('T_TTAFStock'!AU45&lt;&gt;""))&gt;0,'T_SelfStock'!AU45+'T_TTAFStock'!AU45,AT41+'Grid_Incoming'!AU41-'Grid_Requirement'!AU41))</f>
        <v/>
      </c>
      <c r="AV41">
        <f>IF(COUNTIFS(T_StockCount[Part Name],$A41,T_StockCount[WeekIndex],47)&gt;0,SUMIFS(T_StockCount[CountedQty],T_StockCount[Part Name],$A41,T_StockCount[WeekIndex],47),IF((('T_SelfStock'!AV45&lt;&gt;""))*(('T_TTAFStock'!AV45&lt;&gt;""))&gt;0,'T_SelfStock'!AV45+'T_TTAFStock'!AV45,AU41+'Grid_Incoming'!AV41-'Grid_Requirement'!AV41))</f>
        <v/>
      </c>
      <c r="AW41">
        <f>IF(COUNTIFS(T_StockCount[Part Name],$A41,T_StockCount[WeekIndex],48)&gt;0,SUMIFS(T_StockCount[CountedQty],T_StockCount[Part Name],$A41,T_StockCount[WeekIndex],48),IF((('T_SelfStock'!AW45&lt;&gt;""))*(('T_TTAFStock'!AW45&lt;&gt;""))&gt;0,'T_SelfStock'!AW45+'T_TTAFStock'!AW45,AV41+'Grid_Incoming'!AW41-'Grid_Requirement'!AW41))</f>
        <v/>
      </c>
      <c r="AX41">
        <f>IF(COUNTIFS(T_StockCount[Part Name],$A41,T_StockCount[WeekIndex],49)&gt;0,SUMIFS(T_StockCount[CountedQty],T_StockCount[Part Name],$A41,T_StockCount[WeekIndex],49),IF((('T_SelfStock'!AX45&lt;&gt;""))*(('T_TTAFStock'!AX45&lt;&gt;""))&gt;0,'T_SelfStock'!AX45+'T_TTAFStock'!AX45,AW41+'Grid_Incoming'!AX41-'Grid_Requirement'!AX41))</f>
        <v/>
      </c>
      <c r="AY41">
        <f>IF(COUNTIFS(T_StockCount[Part Name],$A41,T_StockCount[WeekIndex],50)&gt;0,SUMIFS(T_StockCount[CountedQty],T_StockCount[Part Name],$A41,T_StockCount[WeekIndex],50),IF((('T_SelfStock'!AY45&lt;&gt;""))*(('T_TTAFStock'!AY45&lt;&gt;""))&gt;0,'T_SelfStock'!AY45+'T_TTAFStock'!AY45,AX41+'Grid_Incoming'!AY41-'Grid_Requirement'!AY41))</f>
        <v/>
      </c>
      <c r="AZ41">
        <f>IF(COUNTIFS(T_StockCount[Part Name],$A41,T_StockCount[WeekIndex],51)&gt;0,SUMIFS(T_StockCount[CountedQty],T_StockCount[Part Name],$A41,T_StockCount[WeekIndex],51),IF((('T_SelfStock'!AZ45&lt;&gt;""))*(('T_TTAFStock'!AZ45&lt;&gt;""))&gt;0,'T_SelfStock'!AZ45+'T_TTAFStock'!AZ45,AY41+'Grid_Incoming'!AZ41-'Grid_Requirement'!AZ41))</f>
        <v/>
      </c>
      <c r="BA41">
        <f>IF(COUNTIFS(T_StockCount[Part Name],$A41,T_StockCount[WeekIndex],52)&gt;0,SUMIFS(T_StockCount[CountedQty],T_StockCount[Part Name],$A41,T_StockCount[WeekIndex],52),IF((('T_SelfStock'!BA45&lt;&gt;""))*(('T_TTAFStock'!BA45&lt;&gt;""))&gt;0,'T_SelfStock'!BA45+'T_TTAFStock'!BA45,AZ41+'Grid_Incoming'!BA41-'Grid_Requirement'!BA41))</f>
        <v/>
      </c>
      <c r="BB41">
        <f>IF(COUNTIFS(T_StockCount[Part Name],$A41,T_StockCount[WeekIndex],53)&gt;0,SUMIFS(T_StockCount[CountedQty],T_StockCount[Part Name],$A41,T_StockCount[WeekIndex],53),IF((('T_SelfStock'!BB45&lt;&gt;""))*(('T_TTAFStock'!BB45&lt;&gt;""))&gt;0,'T_SelfStock'!BB45+'T_TTAFStock'!BB45,BA41+'Grid_Incoming'!BB41-'Grid_Requirement'!BB41))</f>
        <v/>
      </c>
      <c r="BC41">
        <f>IF(COUNTIFS(T_StockCount[Part Name],$A41,T_StockCount[WeekIndex],54)&gt;0,SUMIFS(T_StockCount[CountedQty],T_StockCount[Part Name],$A41,T_StockCount[WeekIndex],54),IF((('T_SelfStock'!BC45&lt;&gt;""))*(('T_TTAFStock'!BC45&lt;&gt;""))&gt;0,'T_SelfStock'!BC45+'T_TTAFStock'!BC45,BB41+'Grid_Incoming'!BC41-'Grid_Requirement'!BC41))</f>
        <v/>
      </c>
      <c r="BD41">
        <f>IF(COUNTIFS(T_StockCount[Part Name],$A41,T_StockCount[WeekIndex],55)&gt;0,SUMIFS(T_StockCount[CountedQty],T_StockCount[Part Name],$A41,T_StockCount[WeekIndex],55),IF((('T_SelfStock'!BD45&lt;&gt;""))*(('T_TTAFStock'!BD45&lt;&gt;""))&gt;0,'T_SelfStock'!BD45+'T_TTAFStock'!BD45,BC41+'Grid_Incoming'!BD41-'Grid_Requirement'!BD41))</f>
        <v/>
      </c>
      <c r="BE41">
        <f>IF(COUNTIFS(T_StockCount[Part Name],$A41,T_StockCount[WeekIndex],56)&gt;0,SUMIFS(T_StockCount[CountedQty],T_StockCount[Part Name],$A41,T_StockCount[WeekIndex],56),IF((('T_SelfStock'!BE45&lt;&gt;""))*(('T_TTAFStock'!BE45&lt;&gt;""))&gt;0,'T_SelfStock'!BE45+'T_TTAFStock'!BE45,BD41+'Grid_Incoming'!BE41-'Grid_Requirement'!BE41))</f>
        <v/>
      </c>
      <c r="BF41">
        <f>IF(COUNTIFS(T_StockCount[Part Name],$A41,T_StockCount[WeekIndex],57)&gt;0,SUMIFS(T_StockCount[CountedQty],T_StockCount[Part Name],$A41,T_StockCount[WeekIndex],57),IF((('T_SelfStock'!BF45&lt;&gt;""))*(('T_TTAFStock'!BF45&lt;&gt;""))&gt;0,'T_SelfStock'!BF45+'T_TTAFStock'!BF45,BE41+'Grid_Incoming'!BF41-'Grid_Requirement'!BF41))</f>
        <v/>
      </c>
      <c r="BG41">
        <f>IF(COUNTIFS(T_StockCount[Part Name],$A41,T_StockCount[WeekIndex],58)&gt;0,SUMIFS(T_StockCount[CountedQty],T_StockCount[Part Name],$A41,T_StockCount[WeekIndex],58),IF((('T_SelfStock'!BG45&lt;&gt;""))*(('T_TTAFStock'!BG45&lt;&gt;""))&gt;0,'T_SelfStock'!BG45+'T_TTAFStock'!BG45,BF41+'Grid_Incoming'!BG41-'Grid_Requirement'!BG41))</f>
        <v/>
      </c>
      <c r="BH41">
        <f>IF(COUNTIFS(T_StockCount[Part Name],$A41,T_StockCount[WeekIndex],59)&gt;0,SUMIFS(T_StockCount[CountedQty],T_StockCount[Part Name],$A41,T_StockCount[WeekIndex],59),IF((('T_SelfStock'!BH45&lt;&gt;""))*(('T_TTAFStock'!BH45&lt;&gt;""))&gt;0,'T_SelfStock'!BH45+'T_TTAFStock'!BH45,BG41+'Grid_Incoming'!BH41-'Grid_Requirement'!BH41))</f>
        <v/>
      </c>
      <c r="BI41">
        <f>IF(COUNTIFS(T_StockCount[Part Name],$A41,T_StockCount[WeekIndex],60)&gt;0,SUMIFS(T_StockCount[CountedQty],T_StockCount[Part Name],$A41,T_StockCount[WeekIndex],60),IF((('T_SelfStock'!BI45&lt;&gt;""))*(('T_TTAFStock'!BI45&lt;&gt;""))&gt;0,'T_SelfStock'!BI45+'T_TTAFStock'!BI45,BH41+'Grid_Incoming'!BI41-'Grid_Requirement'!BI41))</f>
        <v/>
      </c>
      <c r="BJ41">
        <f>IF(COUNTIFS(T_StockCount[Part Name],$A41,T_StockCount[WeekIndex],61)&gt;0,SUMIFS(T_StockCount[CountedQty],T_StockCount[Part Name],$A41,T_StockCount[WeekIndex],61),IF((('T_SelfStock'!BJ45&lt;&gt;""))*(('T_TTAFStock'!BJ45&lt;&gt;""))&gt;0,'T_SelfStock'!BJ45+'T_TTAFStock'!BJ45,BI41+'Grid_Incoming'!BJ41-'Grid_Requirement'!BJ41))</f>
        <v/>
      </c>
      <c r="BK41">
        <f>IF(COUNTIFS(T_StockCount[Part Name],$A41,T_StockCount[WeekIndex],62)&gt;0,SUMIFS(T_StockCount[CountedQty],T_StockCount[Part Name],$A41,T_StockCount[WeekIndex],62),IF((('T_SelfStock'!BK45&lt;&gt;""))*(('T_TTAFStock'!BK45&lt;&gt;""))&gt;0,'T_SelfStock'!BK45+'T_TTAFStock'!BK45,BJ41+'Grid_Incoming'!BK41-'Grid_Requirement'!BK41))</f>
        <v/>
      </c>
      <c r="BL41">
        <f>IF(COUNTIFS(T_StockCount[Part Name],$A41,T_StockCount[WeekIndex],63)&gt;0,SUMIFS(T_StockCount[CountedQty],T_StockCount[Part Name],$A41,T_StockCount[WeekIndex],63),IF((('T_SelfStock'!BL45&lt;&gt;""))*(('T_TTAFStock'!BL45&lt;&gt;""))&gt;0,'T_SelfStock'!BL45+'T_TTAFStock'!BL45,BK41+'Grid_Incoming'!BL41-'Grid_Requirement'!BL41))</f>
        <v/>
      </c>
      <c r="BM41">
        <f>IF(COUNTIFS(T_StockCount[Part Name],$A41,T_StockCount[WeekIndex],64)&gt;0,SUMIFS(T_StockCount[CountedQty],T_StockCount[Part Name],$A41,T_StockCount[WeekIndex],64),IF((('T_SelfStock'!BM45&lt;&gt;""))*(('T_TTAFStock'!BM45&lt;&gt;""))&gt;0,'T_SelfStock'!BM45+'T_TTAFStock'!BM45,BL41+'Grid_Incoming'!BM41-'Grid_Requirement'!BM41))</f>
        <v/>
      </c>
      <c r="BN41">
        <f>IF(COUNTIFS(T_StockCount[Part Name],$A41,T_StockCount[WeekIndex],65)&gt;0,SUMIFS(T_StockCount[CountedQty],T_StockCount[Part Name],$A41,T_StockCount[WeekIndex],65),IF((('T_SelfStock'!BN45&lt;&gt;""))*(('T_TTAFStock'!BN45&lt;&gt;""))&gt;0,'T_SelfStock'!BN45+'T_TTAFStock'!BN45,BM41+'Grid_Incoming'!BN41-'Grid_Requirement'!BN41))</f>
        <v/>
      </c>
      <c r="BO41">
        <f>IF(COUNTIFS(T_StockCount[Part Name],$A41,T_StockCount[WeekIndex],66)&gt;0,SUMIFS(T_StockCount[CountedQty],T_StockCount[Part Name],$A41,T_StockCount[WeekIndex],66),IF((('T_SelfStock'!BO45&lt;&gt;""))*(('T_TTAFStock'!BO45&lt;&gt;""))&gt;0,'T_SelfStock'!BO45+'T_TTAFStock'!BO45,BN41+'Grid_Incoming'!BO41-'Grid_Requirement'!BO41))</f>
        <v/>
      </c>
      <c r="BP41">
        <f>IF(COUNTIFS(T_StockCount[Part Name],$A41,T_StockCount[WeekIndex],67)&gt;0,SUMIFS(T_StockCount[CountedQty],T_StockCount[Part Name],$A41,T_StockCount[WeekIndex],67),IF((('T_SelfStock'!BP45&lt;&gt;""))*(('T_TTAFStock'!BP45&lt;&gt;""))&gt;0,'T_SelfStock'!BP45+'T_TTAFStock'!BP45,BO41+'Grid_Incoming'!BP41-'Grid_Requirement'!BP41))</f>
        <v/>
      </c>
      <c r="BQ41">
        <f>IF(COUNTIFS(T_StockCount[Part Name],$A41,T_StockCount[WeekIndex],68)&gt;0,SUMIFS(T_StockCount[CountedQty],T_StockCount[Part Name],$A41,T_StockCount[WeekIndex],68),IF((('T_SelfStock'!BQ45&lt;&gt;""))*(('T_TTAFStock'!BQ45&lt;&gt;""))&gt;0,'T_SelfStock'!BQ45+'T_TTAFStock'!BQ45,BP41+'Grid_Incoming'!BQ41-'Grid_Requirement'!BQ41))</f>
        <v/>
      </c>
      <c r="BR41">
        <f>IF(COUNTIFS(T_StockCount[Part Name],$A41,T_StockCount[WeekIndex],69)&gt;0,SUMIFS(T_StockCount[CountedQty],T_StockCount[Part Name],$A41,T_StockCount[WeekIndex],69),IF((('T_SelfStock'!BR45&lt;&gt;""))*(('T_TTAFStock'!BR45&lt;&gt;""))&gt;0,'T_SelfStock'!BR45+'T_TTAFStock'!BR45,BQ41+'Grid_Incoming'!BR41-'Grid_Requirement'!BR41))</f>
        <v/>
      </c>
      <c r="BS41">
        <f>IF(COUNTIFS(T_StockCount[Part Name],$A41,T_StockCount[WeekIndex],70)&gt;0,SUMIFS(T_StockCount[CountedQty],T_StockCount[Part Name],$A41,T_StockCount[WeekIndex],70),IF((('T_SelfStock'!BS45&lt;&gt;""))*(('T_TTAFStock'!BS45&lt;&gt;""))&gt;0,'T_SelfStock'!BS45+'T_TTAFStock'!BS45,BR41+'Grid_Incoming'!BS41-'Grid_Requirement'!BS41))</f>
        <v/>
      </c>
      <c r="BT41">
        <f>IF(COUNTIFS(T_StockCount[Part Name],$A41,T_StockCount[WeekIndex],71)&gt;0,SUMIFS(T_StockCount[CountedQty],T_StockCount[Part Name],$A41,T_StockCount[WeekIndex],71),IF((('T_SelfStock'!BT45&lt;&gt;""))*(('T_TTAFStock'!BT45&lt;&gt;""))&gt;0,'T_SelfStock'!BT45+'T_TTAFStock'!BT45,BS41+'Grid_Incoming'!BT41-'Grid_Requirement'!BT41))</f>
        <v/>
      </c>
      <c r="BU41">
        <f>IF(COUNTIFS(T_StockCount[Part Name],$A41,T_StockCount[WeekIndex],72)&gt;0,SUMIFS(T_StockCount[CountedQty],T_StockCount[Part Name],$A41,T_StockCount[WeekIndex],72),IF((('T_SelfStock'!BU45&lt;&gt;""))*(('T_TTAFStock'!BU45&lt;&gt;""))&gt;0,'T_SelfStock'!BU45+'T_TTAFStock'!BU45,BT41+'Grid_Incoming'!BU41-'Grid_Requirement'!BU41))</f>
        <v/>
      </c>
      <c r="BV41">
        <f>IF(COUNTIFS(T_StockCount[Part Name],$A41,T_StockCount[WeekIndex],73)&gt;0,SUMIFS(T_StockCount[CountedQty],T_StockCount[Part Name],$A41,T_StockCount[WeekIndex],73),IF((('T_SelfStock'!BV45&lt;&gt;""))*(('T_TTAFStock'!BV45&lt;&gt;""))&gt;0,'T_SelfStock'!BV45+'T_TTAFStock'!BV45,BU41+'Grid_Incoming'!BV41-'Grid_Requirement'!BV41))</f>
        <v/>
      </c>
      <c r="BW41">
        <f>IF(COUNTIFS(T_StockCount[Part Name],$A41,T_StockCount[WeekIndex],74)&gt;0,SUMIFS(T_StockCount[CountedQty],T_StockCount[Part Name],$A41,T_StockCount[WeekIndex],74),IF((('T_SelfStock'!BW45&lt;&gt;""))*(('T_TTAFStock'!BW45&lt;&gt;""))&gt;0,'T_SelfStock'!BW45+'T_TTAFStock'!BW45,BV41+'Grid_Incoming'!BW41-'Grid_Requirement'!BW41))</f>
        <v/>
      </c>
      <c r="BX41">
        <f>IF(COUNTIFS(T_StockCount[Part Name],$A41,T_StockCount[WeekIndex],75)&gt;0,SUMIFS(T_StockCount[CountedQty],T_StockCount[Part Name],$A41,T_StockCount[WeekIndex],75),IF((('T_SelfStock'!BX45&lt;&gt;""))*(('T_TTAFStock'!BX45&lt;&gt;""))&gt;0,'T_SelfStock'!BX45+'T_TTAFStock'!BX45,BW41+'Grid_Incoming'!BX41-'Grid_Requirement'!BX41))</f>
        <v/>
      </c>
      <c r="BY41">
        <f>IF(COUNTIFS(T_StockCount[Part Name],$A41,T_StockCount[WeekIndex],76)&gt;0,SUMIFS(T_StockCount[CountedQty],T_StockCount[Part Name],$A41,T_StockCount[WeekIndex],76),IF((('T_SelfStock'!BY45&lt;&gt;""))*(('T_TTAFStock'!BY45&lt;&gt;""))&gt;0,'T_SelfStock'!BY45+'T_TTAFStock'!BY45,BX41+'Grid_Incoming'!BY41-'Grid_Requirement'!BY41))</f>
        <v/>
      </c>
      <c r="BZ41">
        <f>IF(COUNTIFS(T_StockCount[Part Name],$A41,T_StockCount[WeekIndex],77)&gt;0,SUMIFS(T_StockCount[CountedQty],T_StockCount[Part Name],$A41,T_StockCount[WeekIndex],77),IF((('T_SelfStock'!BZ45&lt;&gt;""))*(('T_TTAFStock'!BZ45&lt;&gt;""))&gt;0,'T_SelfStock'!BZ45+'T_TTAFStock'!BZ45,BY41+'Grid_Incoming'!BZ41-'Grid_Requirement'!BZ41))</f>
        <v/>
      </c>
      <c r="CA41">
        <f>IF(COUNTIFS(T_StockCount[Part Name],$A41,T_StockCount[WeekIndex],78)&gt;0,SUMIFS(T_StockCount[CountedQty],T_StockCount[Part Name],$A41,T_StockCount[WeekIndex],78),IF((('T_SelfStock'!CA45&lt;&gt;""))*(('T_TTAFStock'!CA45&lt;&gt;""))&gt;0,'T_SelfStock'!CA45+'T_TTAFStock'!CA45,BZ41+'Grid_Incoming'!CA41-'Grid_Requirement'!CA41))</f>
        <v/>
      </c>
      <c r="CB41">
        <f>IF(COUNTIFS(T_StockCount[Part Name],$A41,T_StockCount[WeekIndex],79)&gt;0,SUMIFS(T_StockCount[CountedQty],T_StockCount[Part Name],$A41,T_StockCount[WeekIndex],79),IF((('T_SelfStock'!CB45&lt;&gt;""))*(('T_TTAFStock'!CB45&lt;&gt;""))&gt;0,'T_SelfStock'!CB45+'T_TTAFStock'!CB45,CA41+'Grid_Incoming'!CB41-'Grid_Requirement'!CB41))</f>
        <v/>
      </c>
      <c r="CC41">
        <f>IF(COUNTIFS(T_StockCount[Part Name],$A41,T_StockCount[WeekIndex],80)&gt;0,SUMIFS(T_StockCount[CountedQty],T_StockCount[Part Name],$A41,T_StockCount[WeekIndex],80),IF((('T_SelfStock'!CC45&lt;&gt;""))*(('T_TTAFStock'!CC45&lt;&gt;""))&gt;0,'T_SelfStock'!CC45+'T_TTAFStock'!CC45,CB41+'Grid_Incoming'!CC41-'Grid_Requirement'!CC41))</f>
        <v/>
      </c>
      <c r="CD41">
        <f>IF(COUNTIFS(T_StockCount[Part Name],$A41,T_StockCount[WeekIndex],81)&gt;0,SUMIFS(T_StockCount[CountedQty],T_StockCount[Part Name],$A41,T_StockCount[WeekIndex],81),IF((('T_SelfStock'!CD45&lt;&gt;""))*(('T_TTAFStock'!CD45&lt;&gt;""))&gt;0,'T_SelfStock'!CD45+'T_TTAFStock'!CD45,CC41+'Grid_Incoming'!CD41-'Grid_Requirement'!CD41))</f>
        <v/>
      </c>
      <c r="CE41">
        <f>IF(COUNTIFS(T_StockCount[Part Name],$A41,T_StockCount[WeekIndex],82)&gt;0,SUMIFS(T_StockCount[CountedQty],T_StockCount[Part Name],$A41,T_StockCount[WeekIndex],82),IF((('T_SelfStock'!CE45&lt;&gt;""))*(('T_TTAFStock'!CE45&lt;&gt;""))&gt;0,'T_SelfStock'!CE45+'T_TTAFStock'!CE45,CD41+'Grid_Incoming'!CE41-'Grid_Requirement'!CE41))</f>
        <v/>
      </c>
      <c r="CF41">
        <f>IF(COUNTIFS(T_StockCount[Part Name],$A41,T_StockCount[WeekIndex],83)&gt;0,SUMIFS(T_StockCount[CountedQty],T_StockCount[Part Name],$A41,T_StockCount[WeekIndex],83),IF((('T_SelfStock'!CF45&lt;&gt;""))*(('T_TTAFStock'!CF45&lt;&gt;""))&gt;0,'T_SelfStock'!CF45+'T_TTAFStock'!CF45,CE41+'Grid_Incoming'!CF41-'Grid_Requirement'!CF41))</f>
        <v/>
      </c>
      <c r="CG41">
        <f>IF(COUNTIFS(T_StockCount[Part Name],$A41,T_StockCount[WeekIndex],84)&gt;0,SUMIFS(T_StockCount[CountedQty],T_StockCount[Part Name],$A41,T_StockCount[WeekIndex],84),IF((('T_SelfStock'!CG45&lt;&gt;""))*(('T_TTAFStock'!CG45&lt;&gt;""))&gt;0,'T_SelfStock'!CG45+'T_TTAFStock'!CG45,CF41+'Grid_Incoming'!CG41-'Grid_Requirement'!CG41))</f>
        <v/>
      </c>
      <c r="CH41">
        <f>IF(COUNTIFS(T_StockCount[Part Name],$A41,T_StockCount[WeekIndex],85)&gt;0,SUMIFS(T_StockCount[CountedQty],T_StockCount[Part Name],$A41,T_StockCount[WeekIndex],85),IF((('T_SelfStock'!CH45&lt;&gt;""))*(('T_TTAFStock'!CH45&lt;&gt;""))&gt;0,'T_SelfStock'!CH45+'T_TTAFStock'!CH45,CG41+'Grid_Incoming'!CH41-'Grid_Requirement'!CH41))</f>
        <v/>
      </c>
      <c r="CI41">
        <f>IF(COUNTIFS(T_StockCount[Part Name],$A41,T_StockCount[WeekIndex],86)&gt;0,SUMIFS(T_StockCount[CountedQty],T_StockCount[Part Name],$A41,T_StockCount[WeekIndex],86),IF((('T_SelfStock'!CI45&lt;&gt;""))*(('T_TTAFStock'!CI45&lt;&gt;""))&gt;0,'T_SelfStock'!CI45+'T_TTAFStock'!CI45,CH41+'Grid_Incoming'!CI41-'Grid_Requirement'!CI41))</f>
        <v/>
      </c>
      <c r="CJ41">
        <f>IF(COUNTIFS(T_StockCount[Part Name],$A41,T_StockCount[WeekIndex],87)&gt;0,SUMIFS(T_StockCount[CountedQty],T_StockCount[Part Name],$A41,T_StockCount[WeekIndex],87),IF((('T_SelfStock'!CJ45&lt;&gt;""))*(('T_TTAFStock'!CJ45&lt;&gt;""))&gt;0,'T_SelfStock'!CJ45+'T_TTAFStock'!CJ45,CI41+'Grid_Incoming'!CJ41-'Grid_Requirement'!CJ41))</f>
        <v/>
      </c>
      <c r="CK41">
        <f>IF(COUNTIFS(T_StockCount[Part Name],$A41,T_StockCount[WeekIndex],88)&gt;0,SUMIFS(T_StockCount[CountedQty],T_StockCount[Part Name],$A41,T_StockCount[WeekIndex],88),IF((('T_SelfStock'!CK45&lt;&gt;""))*(('T_TTAFStock'!CK45&lt;&gt;""))&gt;0,'T_SelfStock'!CK45+'T_TTAFStock'!CK45,CJ41+'Grid_Incoming'!CK41-'Grid_Requirement'!CK41))</f>
        <v/>
      </c>
      <c r="CL41">
        <f>IF(COUNTIFS(T_StockCount[Part Name],$A41,T_StockCount[WeekIndex],89)&gt;0,SUMIFS(T_StockCount[CountedQty],T_StockCount[Part Name],$A41,T_StockCount[WeekIndex],89),IF((('T_SelfStock'!CL45&lt;&gt;""))*(('T_TTAFStock'!CL45&lt;&gt;""))&gt;0,'T_SelfStock'!CL45+'T_TTAFStock'!CL45,CK41+'Grid_Incoming'!CL41-'Grid_Requirement'!CL41))</f>
        <v/>
      </c>
      <c r="CM41">
        <f>IF(COUNTIFS(T_StockCount[Part Name],$A41,T_StockCount[WeekIndex],90)&gt;0,SUMIFS(T_StockCount[CountedQty],T_StockCount[Part Name],$A41,T_StockCount[WeekIndex],90),IF((('T_SelfStock'!CM45&lt;&gt;""))*(('T_TTAFStock'!CM45&lt;&gt;""))&gt;0,'T_SelfStock'!CM45+'T_TTAFStock'!CM45,CL41+'Grid_Incoming'!CM41-'Grid_Requirement'!CM41))</f>
        <v/>
      </c>
      <c r="CN41">
        <f>IF(COUNTIFS(T_StockCount[Part Name],$A41,T_StockCount[WeekIndex],91)&gt;0,SUMIFS(T_StockCount[CountedQty],T_StockCount[Part Name],$A41,T_StockCount[WeekIndex],91),IF((('T_SelfStock'!CN45&lt;&gt;""))*(('T_TTAFStock'!CN45&lt;&gt;""))&gt;0,'T_SelfStock'!CN45+'T_TTAFStock'!CN45,CM41+'Grid_Incoming'!CN41-'Grid_Requirement'!CN41))</f>
        <v/>
      </c>
      <c r="CO41">
        <f>IF(COUNTIFS(T_StockCount[Part Name],$A41,T_StockCount[WeekIndex],92)&gt;0,SUMIFS(T_StockCount[CountedQty],T_StockCount[Part Name],$A41,T_StockCount[WeekIndex],92),IF((('T_SelfStock'!CO45&lt;&gt;""))*(('T_TTAFStock'!CO45&lt;&gt;""))&gt;0,'T_SelfStock'!CO45+'T_TTAFStock'!CO45,CN41+'Grid_Incoming'!CO41-'Grid_Requirement'!CO41))</f>
        <v/>
      </c>
      <c r="CP41">
        <f>IF(COUNTIFS(T_StockCount[Part Name],$A41,T_StockCount[WeekIndex],93)&gt;0,SUMIFS(T_StockCount[CountedQty],T_StockCount[Part Name],$A41,T_StockCount[WeekIndex],93),IF((('T_SelfStock'!CP45&lt;&gt;""))*(('T_TTAFStock'!CP45&lt;&gt;""))&gt;0,'T_SelfStock'!CP45+'T_TTAFStock'!CP45,CO41+'Grid_Incoming'!CP41-'Grid_Requirement'!CP41))</f>
        <v/>
      </c>
      <c r="CQ41">
        <f>IF(COUNTIFS(T_StockCount[Part Name],$A41,T_StockCount[WeekIndex],94)&gt;0,SUMIFS(T_StockCount[CountedQty],T_StockCount[Part Name],$A41,T_StockCount[WeekIndex],94),IF((('T_SelfStock'!CQ45&lt;&gt;""))*(('T_TTAFStock'!CQ45&lt;&gt;""))&gt;0,'T_SelfStock'!CQ45+'T_TTAFStock'!CQ45,CP41+'Grid_Incoming'!CQ41-'Grid_Requirement'!CQ41))</f>
        <v/>
      </c>
      <c r="CR41">
        <f>IF(COUNTIFS(T_StockCount[Part Name],$A41,T_StockCount[WeekIndex],95)&gt;0,SUMIFS(T_StockCount[CountedQty],T_StockCount[Part Name],$A41,T_StockCount[WeekIndex],95),IF((('T_SelfStock'!CR45&lt;&gt;""))*(('T_TTAFStock'!CR45&lt;&gt;""))&gt;0,'T_SelfStock'!CR45+'T_TTAFStock'!CR45,CQ41+'Grid_Incoming'!CR41-'Grid_Requirement'!CR41))</f>
        <v/>
      </c>
      <c r="CS41">
        <f>IF(COUNTIFS(T_StockCount[Part Name],$A41,T_StockCount[WeekIndex],96)&gt;0,SUMIFS(T_StockCount[CountedQty],T_StockCount[Part Name],$A41,T_StockCount[WeekIndex],96),IF((('T_SelfStock'!CS45&lt;&gt;""))*(('T_TTAFStock'!CS45&lt;&gt;""))&gt;0,'T_SelfStock'!CS45+'T_TTAFStock'!CS45,CR41+'Grid_Incoming'!CS41-'Grid_Requirement'!CS41))</f>
        <v/>
      </c>
      <c r="CT41">
        <f>IF(COUNTIFS(T_StockCount[Part Name],$A41,T_StockCount[WeekIndex],97)&gt;0,SUMIFS(T_StockCount[CountedQty],T_StockCount[Part Name],$A41,T_StockCount[WeekIndex],97),IF((('T_SelfStock'!CT45&lt;&gt;""))*(('T_TTAFStock'!CT45&lt;&gt;""))&gt;0,'T_SelfStock'!CT45+'T_TTAFStock'!CT45,CS41+'Grid_Incoming'!CT41-'Grid_Requirement'!CT41))</f>
        <v/>
      </c>
      <c r="CU41">
        <f>IF(COUNTIFS(T_StockCount[Part Name],$A41,T_StockCount[WeekIndex],98)&gt;0,SUMIFS(T_StockCount[CountedQty],T_StockCount[Part Name],$A41,T_StockCount[WeekIndex],98),IF((('T_SelfStock'!CU45&lt;&gt;""))*(('T_TTAFStock'!CU45&lt;&gt;""))&gt;0,'T_SelfStock'!CU45+'T_TTAFStock'!CU45,CT41+'Grid_Incoming'!CU41-'Grid_Requirement'!CU41))</f>
        <v/>
      </c>
      <c r="CV41">
        <f>IF(COUNTIFS(T_StockCount[Part Name],$A41,T_StockCount[WeekIndex],99)&gt;0,SUMIFS(T_StockCount[CountedQty],T_StockCount[Part Name],$A41,T_StockCount[WeekIndex],99),IF((('T_SelfStock'!CV45&lt;&gt;""))*(('T_TTAFStock'!CV45&lt;&gt;""))&gt;0,'T_SelfStock'!CV45+'T_TTAFStock'!CV45,CU41+'Grid_Incoming'!CV41-'Grid_Requirement'!CV41))</f>
        <v/>
      </c>
      <c r="CW41">
        <f>IF(COUNTIFS(T_StockCount[Part Name],$A41,T_StockCount[WeekIndex],100)&gt;0,SUMIFS(T_StockCount[CountedQty],T_StockCount[Part Name],$A41,T_StockCount[WeekIndex],100),IF((('T_SelfStock'!CW45&lt;&gt;""))*(('T_TTAFStock'!CW45&lt;&gt;""))&gt;0,'T_SelfStock'!CW45+'T_TTAFStock'!CW45,CV41+'Grid_Incoming'!CW41-'Grid_Requirement'!CW41))</f>
        <v/>
      </c>
      <c r="CX41">
        <f>IF(COUNTIFS(T_StockCount[Part Name],$A41,T_StockCount[WeekIndex],101)&gt;0,SUMIFS(T_StockCount[CountedQty],T_StockCount[Part Name],$A41,T_StockCount[WeekIndex],101),IF((('T_SelfStock'!CX45&lt;&gt;""))*(('T_TTAFStock'!CX45&lt;&gt;""))&gt;0,'T_SelfStock'!CX45+'T_TTAFStock'!CX45,CW41+'Grid_Incoming'!CX41-'Grid_Requirement'!CX41))</f>
        <v/>
      </c>
      <c r="CY41">
        <f>IF(COUNTIFS(T_StockCount[Part Name],$A41,T_StockCount[WeekIndex],102)&gt;0,SUMIFS(T_StockCount[CountedQty],T_StockCount[Part Name],$A41,T_StockCount[WeekIndex],102),IF((('T_SelfStock'!CY45&lt;&gt;""))*(('T_TTAFStock'!CY45&lt;&gt;""))&gt;0,'T_SelfStock'!CY45+'T_TTAFStock'!CY45,CX41+'Grid_Incoming'!CY41-'Grid_Requirement'!CY41))</f>
        <v/>
      </c>
      <c r="CZ41">
        <f>IF(COUNTIFS(T_StockCount[Part Name],$A41,T_StockCount[WeekIndex],103)&gt;0,SUMIFS(T_StockCount[CountedQty],T_StockCount[Part Name],$A41,T_StockCount[WeekIndex],103),IF((('T_SelfStock'!CZ45&lt;&gt;""))*(('T_TTAFStock'!CZ45&lt;&gt;""))&gt;0,'T_SelfStock'!CZ45+'T_TTAFStock'!CZ45,CY41+'Grid_Incoming'!CZ41-'Grid_Requirement'!CZ41))</f>
        <v/>
      </c>
      <c r="DA41">
        <f>IF(COUNTIFS(T_StockCount[Part Name],$A41,T_StockCount[WeekIndex],104)&gt;0,SUMIFS(T_StockCount[CountedQty],T_StockCount[Part Name],$A41,T_StockCount[WeekIndex],104),IF((('T_SelfStock'!DA45&lt;&gt;""))*(('T_TTAFStock'!DA45&lt;&gt;""))&gt;0,'T_SelfStock'!DA45+'T_TTAFStock'!DA45,CZ41+'Grid_Incoming'!DA41-'Grid_Requirement'!DA41))</f>
        <v/>
      </c>
    </row>
    <row r="42">
      <c r="A42" t="inlineStr">
        <is>
          <t>CHEM-1730</t>
        </is>
      </c>
      <c r="B42">
        <f>IF(COUNTIFS(T_StockCount[Part Name],$A42,T_StockCount[WeekIndex],1)&gt;0,SUMIFS(T_StockCount[CountedQty],T_StockCount[Part Name],$A42,T_StockCount[WeekIndex],1),IF((('T_SelfStock'!B46&lt;&gt;""))*(('T_TTAFStock'!B46&lt;&gt;""))&gt;0,'T_SelfStock'!B46+'T_TTAFStock'!B46,IFERROR(INDEX(T_OpeningStock[Opening_Qty_要入力],MATCH($A42,T_OpeningStock[Part Name],0)),0)+'Grid_Incoming'!B42-'Grid_Requirement'!B42))</f>
        <v/>
      </c>
      <c r="C42">
        <f>IF(COUNTIFS(T_StockCount[Part Name],$A42,T_StockCount[WeekIndex],2)&gt;0,SUMIFS(T_StockCount[CountedQty],T_StockCount[Part Name],$A42,T_StockCount[WeekIndex],2),IF((('T_SelfStock'!C46&lt;&gt;""))*(('T_TTAFStock'!C46&lt;&gt;""))&gt;0,'T_SelfStock'!C46+'T_TTAFStock'!C46,B42+'Grid_Incoming'!C42-'Grid_Requirement'!C42))</f>
        <v/>
      </c>
      <c r="D42">
        <f>IF(COUNTIFS(T_StockCount[Part Name],$A42,T_StockCount[WeekIndex],3)&gt;0,SUMIFS(T_StockCount[CountedQty],T_StockCount[Part Name],$A42,T_StockCount[WeekIndex],3),IF((('T_SelfStock'!D46&lt;&gt;""))*(('T_TTAFStock'!D46&lt;&gt;""))&gt;0,'T_SelfStock'!D46+'T_TTAFStock'!D46,C42+'Grid_Incoming'!D42-'Grid_Requirement'!D42))</f>
        <v/>
      </c>
      <c r="E42">
        <f>IF(COUNTIFS(T_StockCount[Part Name],$A42,T_StockCount[WeekIndex],4)&gt;0,SUMIFS(T_StockCount[CountedQty],T_StockCount[Part Name],$A42,T_StockCount[WeekIndex],4),IF((('T_SelfStock'!E46&lt;&gt;""))*(('T_TTAFStock'!E46&lt;&gt;""))&gt;0,'T_SelfStock'!E46+'T_TTAFStock'!E46,D42+'Grid_Incoming'!E42-'Grid_Requirement'!E42))</f>
        <v/>
      </c>
      <c r="F42">
        <f>IF(COUNTIFS(T_StockCount[Part Name],$A42,T_StockCount[WeekIndex],5)&gt;0,SUMIFS(T_StockCount[CountedQty],T_StockCount[Part Name],$A42,T_StockCount[WeekIndex],5),IF((('T_SelfStock'!F46&lt;&gt;""))*(('T_TTAFStock'!F46&lt;&gt;""))&gt;0,'T_SelfStock'!F46+'T_TTAFStock'!F46,E42+'Grid_Incoming'!F42-'Grid_Requirement'!F42))</f>
        <v/>
      </c>
      <c r="G42">
        <f>IF(COUNTIFS(T_StockCount[Part Name],$A42,T_StockCount[WeekIndex],6)&gt;0,SUMIFS(T_StockCount[CountedQty],T_StockCount[Part Name],$A42,T_StockCount[WeekIndex],6),IF((('T_SelfStock'!G46&lt;&gt;""))*(('T_TTAFStock'!G46&lt;&gt;""))&gt;0,'T_SelfStock'!G46+'T_TTAFStock'!G46,F42+'Grid_Incoming'!G42-'Grid_Requirement'!G42))</f>
        <v/>
      </c>
      <c r="H42">
        <f>IF(COUNTIFS(T_StockCount[Part Name],$A42,T_StockCount[WeekIndex],7)&gt;0,SUMIFS(T_StockCount[CountedQty],T_StockCount[Part Name],$A42,T_StockCount[WeekIndex],7),IF((('T_SelfStock'!H46&lt;&gt;""))*(('T_TTAFStock'!H46&lt;&gt;""))&gt;0,'T_SelfStock'!H46+'T_TTAFStock'!H46,G42+'Grid_Incoming'!H42-'Grid_Requirement'!H42))</f>
        <v/>
      </c>
      <c r="I42">
        <f>IF(COUNTIFS(T_StockCount[Part Name],$A42,T_StockCount[WeekIndex],8)&gt;0,SUMIFS(T_StockCount[CountedQty],T_StockCount[Part Name],$A42,T_StockCount[WeekIndex],8),IF((('T_SelfStock'!I46&lt;&gt;""))*(('T_TTAFStock'!I46&lt;&gt;""))&gt;0,'T_SelfStock'!I46+'T_TTAFStock'!I46,H42+'Grid_Incoming'!I42-'Grid_Requirement'!I42))</f>
        <v/>
      </c>
      <c r="J42">
        <f>IF(COUNTIFS(T_StockCount[Part Name],$A42,T_StockCount[WeekIndex],9)&gt;0,SUMIFS(T_StockCount[CountedQty],T_StockCount[Part Name],$A42,T_StockCount[WeekIndex],9),IF((('T_SelfStock'!J46&lt;&gt;""))*(('T_TTAFStock'!J46&lt;&gt;""))&gt;0,'T_SelfStock'!J46+'T_TTAFStock'!J46,I42+'Grid_Incoming'!J42-'Grid_Requirement'!J42))</f>
        <v/>
      </c>
      <c r="K42">
        <f>IF(COUNTIFS(T_StockCount[Part Name],$A42,T_StockCount[WeekIndex],10)&gt;0,SUMIFS(T_StockCount[CountedQty],T_StockCount[Part Name],$A42,T_StockCount[WeekIndex],10),IF((('T_SelfStock'!K46&lt;&gt;""))*(('T_TTAFStock'!K46&lt;&gt;""))&gt;0,'T_SelfStock'!K46+'T_TTAFStock'!K46,J42+'Grid_Incoming'!K42-'Grid_Requirement'!K42))</f>
        <v/>
      </c>
      <c r="L42">
        <f>IF(COUNTIFS(T_StockCount[Part Name],$A42,T_StockCount[WeekIndex],11)&gt;0,SUMIFS(T_StockCount[CountedQty],T_StockCount[Part Name],$A42,T_StockCount[WeekIndex],11),IF((('T_SelfStock'!L46&lt;&gt;""))*(('T_TTAFStock'!L46&lt;&gt;""))&gt;0,'T_SelfStock'!L46+'T_TTAFStock'!L46,K42+'Grid_Incoming'!L42-'Grid_Requirement'!L42))</f>
        <v/>
      </c>
      <c r="M42">
        <f>IF(COUNTIFS(T_StockCount[Part Name],$A42,T_StockCount[WeekIndex],12)&gt;0,SUMIFS(T_StockCount[CountedQty],T_StockCount[Part Name],$A42,T_StockCount[WeekIndex],12),IF((('T_SelfStock'!M46&lt;&gt;""))*(('T_TTAFStock'!M46&lt;&gt;""))&gt;0,'T_SelfStock'!M46+'T_TTAFStock'!M46,L42+'Grid_Incoming'!M42-'Grid_Requirement'!M42))</f>
        <v/>
      </c>
      <c r="N42">
        <f>IF(COUNTIFS(T_StockCount[Part Name],$A42,T_StockCount[WeekIndex],13)&gt;0,SUMIFS(T_StockCount[CountedQty],T_StockCount[Part Name],$A42,T_StockCount[WeekIndex],13),IF((('T_SelfStock'!N46&lt;&gt;""))*(('T_TTAFStock'!N46&lt;&gt;""))&gt;0,'T_SelfStock'!N46+'T_TTAFStock'!N46,M42+'Grid_Incoming'!N42-'Grid_Requirement'!N42))</f>
        <v/>
      </c>
      <c r="O42">
        <f>IF(COUNTIFS(T_StockCount[Part Name],$A42,T_StockCount[WeekIndex],14)&gt;0,SUMIFS(T_StockCount[CountedQty],T_StockCount[Part Name],$A42,T_StockCount[WeekIndex],14),IF((('T_SelfStock'!O46&lt;&gt;""))*(('T_TTAFStock'!O46&lt;&gt;""))&gt;0,'T_SelfStock'!O46+'T_TTAFStock'!O46,N42+'Grid_Incoming'!O42-'Grid_Requirement'!O42))</f>
        <v/>
      </c>
      <c r="P42">
        <f>IF(COUNTIFS(T_StockCount[Part Name],$A42,T_StockCount[WeekIndex],15)&gt;0,SUMIFS(T_StockCount[CountedQty],T_StockCount[Part Name],$A42,T_StockCount[WeekIndex],15),IF((('T_SelfStock'!P46&lt;&gt;""))*(('T_TTAFStock'!P46&lt;&gt;""))&gt;0,'T_SelfStock'!P46+'T_TTAFStock'!P46,O42+'Grid_Incoming'!P42-'Grid_Requirement'!P42))</f>
        <v/>
      </c>
      <c r="Q42">
        <f>IF(COUNTIFS(T_StockCount[Part Name],$A42,T_StockCount[WeekIndex],16)&gt;0,SUMIFS(T_StockCount[CountedQty],T_StockCount[Part Name],$A42,T_StockCount[WeekIndex],16),IF((('T_SelfStock'!Q46&lt;&gt;""))*(('T_TTAFStock'!Q46&lt;&gt;""))&gt;0,'T_SelfStock'!Q46+'T_TTAFStock'!Q46,P42+'Grid_Incoming'!Q42-'Grid_Requirement'!Q42))</f>
        <v/>
      </c>
      <c r="R42">
        <f>IF(COUNTIFS(T_StockCount[Part Name],$A42,T_StockCount[WeekIndex],17)&gt;0,SUMIFS(T_StockCount[CountedQty],T_StockCount[Part Name],$A42,T_StockCount[WeekIndex],17),IF((('T_SelfStock'!R46&lt;&gt;""))*(('T_TTAFStock'!R46&lt;&gt;""))&gt;0,'T_SelfStock'!R46+'T_TTAFStock'!R46,Q42+'Grid_Incoming'!R42-'Grid_Requirement'!R42))</f>
        <v/>
      </c>
      <c r="S42">
        <f>IF(COUNTIFS(T_StockCount[Part Name],$A42,T_StockCount[WeekIndex],18)&gt;0,SUMIFS(T_StockCount[CountedQty],T_StockCount[Part Name],$A42,T_StockCount[WeekIndex],18),IF((('T_SelfStock'!S46&lt;&gt;""))*(('T_TTAFStock'!S46&lt;&gt;""))&gt;0,'T_SelfStock'!S46+'T_TTAFStock'!S46,R42+'Grid_Incoming'!S42-'Grid_Requirement'!S42))</f>
        <v/>
      </c>
      <c r="T42">
        <f>IF(COUNTIFS(T_StockCount[Part Name],$A42,T_StockCount[WeekIndex],19)&gt;0,SUMIFS(T_StockCount[CountedQty],T_StockCount[Part Name],$A42,T_StockCount[WeekIndex],19),IF((('T_SelfStock'!T46&lt;&gt;""))*(('T_TTAFStock'!T46&lt;&gt;""))&gt;0,'T_SelfStock'!T46+'T_TTAFStock'!T46,S42+'Grid_Incoming'!T42-'Grid_Requirement'!T42))</f>
        <v/>
      </c>
      <c r="U42">
        <f>IF(COUNTIFS(T_StockCount[Part Name],$A42,T_StockCount[WeekIndex],20)&gt;0,SUMIFS(T_StockCount[CountedQty],T_StockCount[Part Name],$A42,T_StockCount[WeekIndex],20),IF((('T_SelfStock'!U46&lt;&gt;""))*(('T_TTAFStock'!U46&lt;&gt;""))&gt;0,'T_SelfStock'!U46+'T_TTAFStock'!U46,T42+'Grid_Incoming'!U42-'Grid_Requirement'!U42))</f>
        <v/>
      </c>
      <c r="V42">
        <f>IF(COUNTIFS(T_StockCount[Part Name],$A42,T_StockCount[WeekIndex],21)&gt;0,SUMIFS(T_StockCount[CountedQty],T_StockCount[Part Name],$A42,T_StockCount[WeekIndex],21),IF((('T_SelfStock'!V46&lt;&gt;""))*(('T_TTAFStock'!V46&lt;&gt;""))&gt;0,'T_SelfStock'!V46+'T_TTAFStock'!V46,U42+'Grid_Incoming'!V42-'Grid_Requirement'!V42))</f>
        <v/>
      </c>
      <c r="W42">
        <f>IF(COUNTIFS(T_StockCount[Part Name],$A42,T_StockCount[WeekIndex],22)&gt;0,SUMIFS(T_StockCount[CountedQty],T_StockCount[Part Name],$A42,T_StockCount[WeekIndex],22),IF((('T_SelfStock'!W46&lt;&gt;""))*(('T_TTAFStock'!W46&lt;&gt;""))&gt;0,'T_SelfStock'!W46+'T_TTAFStock'!W46,V42+'Grid_Incoming'!W42-'Grid_Requirement'!W42))</f>
        <v/>
      </c>
      <c r="X42">
        <f>IF(COUNTIFS(T_StockCount[Part Name],$A42,T_StockCount[WeekIndex],23)&gt;0,SUMIFS(T_StockCount[CountedQty],T_StockCount[Part Name],$A42,T_StockCount[WeekIndex],23),IF((('T_SelfStock'!X46&lt;&gt;""))*(('T_TTAFStock'!X46&lt;&gt;""))&gt;0,'T_SelfStock'!X46+'T_TTAFStock'!X46,W42+'Grid_Incoming'!X42-'Grid_Requirement'!X42))</f>
        <v/>
      </c>
      <c r="Y42">
        <f>IF(COUNTIFS(T_StockCount[Part Name],$A42,T_StockCount[WeekIndex],24)&gt;0,SUMIFS(T_StockCount[CountedQty],T_StockCount[Part Name],$A42,T_StockCount[WeekIndex],24),IF((('T_SelfStock'!Y46&lt;&gt;""))*(('T_TTAFStock'!Y46&lt;&gt;""))&gt;0,'T_SelfStock'!Y46+'T_TTAFStock'!Y46,X42+'Grid_Incoming'!Y42-'Grid_Requirement'!Y42))</f>
        <v/>
      </c>
      <c r="Z42">
        <f>IF(COUNTIFS(T_StockCount[Part Name],$A42,T_StockCount[WeekIndex],25)&gt;0,SUMIFS(T_StockCount[CountedQty],T_StockCount[Part Name],$A42,T_StockCount[WeekIndex],25),IF((('T_SelfStock'!Z46&lt;&gt;""))*(('T_TTAFStock'!Z46&lt;&gt;""))&gt;0,'T_SelfStock'!Z46+'T_TTAFStock'!Z46,Y42+'Grid_Incoming'!Z42-'Grid_Requirement'!Z42))</f>
        <v/>
      </c>
      <c r="AA42">
        <f>IF(COUNTIFS(T_StockCount[Part Name],$A42,T_StockCount[WeekIndex],26)&gt;0,SUMIFS(T_StockCount[CountedQty],T_StockCount[Part Name],$A42,T_StockCount[WeekIndex],26),IF((('T_SelfStock'!AA46&lt;&gt;""))*(('T_TTAFStock'!AA46&lt;&gt;""))&gt;0,'T_SelfStock'!AA46+'T_TTAFStock'!AA46,Z42+'Grid_Incoming'!AA42-'Grid_Requirement'!AA42))</f>
        <v/>
      </c>
      <c r="AB42">
        <f>IF(COUNTIFS(T_StockCount[Part Name],$A42,T_StockCount[WeekIndex],27)&gt;0,SUMIFS(T_StockCount[CountedQty],T_StockCount[Part Name],$A42,T_StockCount[WeekIndex],27),IF((('T_SelfStock'!AB46&lt;&gt;""))*(('T_TTAFStock'!AB46&lt;&gt;""))&gt;0,'T_SelfStock'!AB46+'T_TTAFStock'!AB46,AA42+'Grid_Incoming'!AB42-'Grid_Requirement'!AB42))</f>
        <v/>
      </c>
      <c r="AC42">
        <f>IF(COUNTIFS(T_StockCount[Part Name],$A42,T_StockCount[WeekIndex],28)&gt;0,SUMIFS(T_StockCount[CountedQty],T_StockCount[Part Name],$A42,T_StockCount[WeekIndex],28),IF((('T_SelfStock'!AC46&lt;&gt;""))*(('T_TTAFStock'!AC46&lt;&gt;""))&gt;0,'T_SelfStock'!AC46+'T_TTAFStock'!AC46,AB42+'Grid_Incoming'!AC42-'Grid_Requirement'!AC42))</f>
        <v/>
      </c>
      <c r="AD42">
        <f>IF(COUNTIFS(T_StockCount[Part Name],$A42,T_StockCount[WeekIndex],29)&gt;0,SUMIFS(T_StockCount[CountedQty],T_StockCount[Part Name],$A42,T_StockCount[WeekIndex],29),IF((('T_SelfStock'!AD46&lt;&gt;""))*(('T_TTAFStock'!AD46&lt;&gt;""))&gt;0,'T_SelfStock'!AD46+'T_TTAFStock'!AD46,AC42+'Grid_Incoming'!AD42-'Grid_Requirement'!AD42))</f>
        <v/>
      </c>
      <c r="AE42">
        <f>IF(COUNTIFS(T_StockCount[Part Name],$A42,T_StockCount[WeekIndex],30)&gt;0,SUMIFS(T_StockCount[CountedQty],T_StockCount[Part Name],$A42,T_StockCount[WeekIndex],30),IF((('T_SelfStock'!AE46&lt;&gt;""))*(('T_TTAFStock'!AE46&lt;&gt;""))&gt;0,'T_SelfStock'!AE46+'T_TTAFStock'!AE46,AD42+'Grid_Incoming'!AE42-'Grid_Requirement'!AE42))</f>
        <v/>
      </c>
      <c r="AF42">
        <f>IF(COUNTIFS(T_StockCount[Part Name],$A42,T_StockCount[WeekIndex],31)&gt;0,SUMIFS(T_StockCount[CountedQty],T_StockCount[Part Name],$A42,T_StockCount[WeekIndex],31),IF((('T_SelfStock'!AF46&lt;&gt;""))*(('T_TTAFStock'!AF46&lt;&gt;""))&gt;0,'T_SelfStock'!AF46+'T_TTAFStock'!AF46,AE42+'Grid_Incoming'!AF42-'Grid_Requirement'!AF42))</f>
        <v/>
      </c>
      <c r="AG42">
        <f>IF(COUNTIFS(T_StockCount[Part Name],$A42,T_StockCount[WeekIndex],32)&gt;0,SUMIFS(T_StockCount[CountedQty],T_StockCount[Part Name],$A42,T_StockCount[WeekIndex],32),IF((('T_SelfStock'!AG46&lt;&gt;""))*(('T_TTAFStock'!AG46&lt;&gt;""))&gt;0,'T_SelfStock'!AG46+'T_TTAFStock'!AG46,AF42+'Grid_Incoming'!AG42-'Grid_Requirement'!AG42))</f>
        <v/>
      </c>
      <c r="AH42">
        <f>IF(COUNTIFS(T_StockCount[Part Name],$A42,T_StockCount[WeekIndex],33)&gt;0,SUMIFS(T_StockCount[CountedQty],T_StockCount[Part Name],$A42,T_StockCount[WeekIndex],33),IF((('T_SelfStock'!AH46&lt;&gt;""))*(('T_TTAFStock'!AH46&lt;&gt;""))&gt;0,'T_SelfStock'!AH46+'T_TTAFStock'!AH46,AG42+'Grid_Incoming'!AH42-'Grid_Requirement'!AH42))</f>
        <v/>
      </c>
      <c r="AI42">
        <f>IF(COUNTIFS(T_StockCount[Part Name],$A42,T_StockCount[WeekIndex],34)&gt;0,SUMIFS(T_StockCount[CountedQty],T_StockCount[Part Name],$A42,T_StockCount[WeekIndex],34),IF((('T_SelfStock'!AI46&lt;&gt;""))*(('T_TTAFStock'!AI46&lt;&gt;""))&gt;0,'T_SelfStock'!AI46+'T_TTAFStock'!AI46,AH42+'Grid_Incoming'!AI42-'Grid_Requirement'!AI42))</f>
        <v/>
      </c>
      <c r="AJ42">
        <f>IF(COUNTIFS(T_StockCount[Part Name],$A42,T_StockCount[WeekIndex],35)&gt;0,SUMIFS(T_StockCount[CountedQty],T_StockCount[Part Name],$A42,T_StockCount[WeekIndex],35),IF((('T_SelfStock'!AJ46&lt;&gt;""))*(('T_TTAFStock'!AJ46&lt;&gt;""))&gt;0,'T_SelfStock'!AJ46+'T_TTAFStock'!AJ46,AI42+'Grid_Incoming'!AJ42-'Grid_Requirement'!AJ42))</f>
        <v/>
      </c>
      <c r="AK42">
        <f>IF(COUNTIFS(T_StockCount[Part Name],$A42,T_StockCount[WeekIndex],36)&gt;0,SUMIFS(T_StockCount[CountedQty],T_StockCount[Part Name],$A42,T_StockCount[WeekIndex],36),IF((('T_SelfStock'!AK46&lt;&gt;""))*(('T_TTAFStock'!AK46&lt;&gt;""))&gt;0,'T_SelfStock'!AK46+'T_TTAFStock'!AK46,AJ42+'Grid_Incoming'!AK42-'Grid_Requirement'!AK42))</f>
        <v/>
      </c>
      <c r="AL42">
        <f>IF(COUNTIFS(T_StockCount[Part Name],$A42,T_StockCount[WeekIndex],37)&gt;0,SUMIFS(T_StockCount[CountedQty],T_StockCount[Part Name],$A42,T_StockCount[WeekIndex],37),IF((('T_SelfStock'!AL46&lt;&gt;""))*(('T_TTAFStock'!AL46&lt;&gt;""))&gt;0,'T_SelfStock'!AL46+'T_TTAFStock'!AL46,AK42+'Grid_Incoming'!AL42-'Grid_Requirement'!AL42))</f>
        <v/>
      </c>
      <c r="AM42">
        <f>IF(COUNTIFS(T_StockCount[Part Name],$A42,T_StockCount[WeekIndex],38)&gt;0,SUMIFS(T_StockCount[CountedQty],T_StockCount[Part Name],$A42,T_StockCount[WeekIndex],38),IF((('T_SelfStock'!AM46&lt;&gt;""))*(('T_TTAFStock'!AM46&lt;&gt;""))&gt;0,'T_SelfStock'!AM46+'T_TTAFStock'!AM46,AL42+'Grid_Incoming'!AM42-'Grid_Requirement'!AM42))</f>
        <v/>
      </c>
      <c r="AN42">
        <f>IF(COUNTIFS(T_StockCount[Part Name],$A42,T_StockCount[WeekIndex],39)&gt;0,SUMIFS(T_StockCount[CountedQty],T_StockCount[Part Name],$A42,T_StockCount[WeekIndex],39),IF((('T_SelfStock'!AN46&lt;&gt;""))*(('T_TTAFStock'!AN46&lt;&gt;""))&gt;0,'T_SelfStock'!AN46+'T_TTAFStock'!AN46,AM42+'Grid_Incoming'!AN42-'Grid_Requirement'!AN42))</f>
        <v/>
      </c>
      <c r="AO42">
        <f>IF(COUNTIFS(T_StockCount[Part Name],$A42,T_StockCount[WeekIndex],40)&gt;0,SUMIFS(T_StockCount[CountedQty],T_StockCount[Part Name],$A42,T_StockCount[WeekIndex],40),IF((('T_SelfStock'!AO46&lt;&gt;""))*(('T_TTAFStock'!AO46&lt;&gt;""))&gt;0,'T_SelfStock'!AO46+'T_TTAFStock'!AO46,AN42+'Grid_Incoming'!AO42-'Grid_Requirement'!AO42))</f>
        <v/>
      </c>
      <c r="AP42">
        <f>IF(COUNTIFS(T_StockCount[Part Name],$A42,T_StockCount[WeekIndex],41)&gt;0,SUMIFS(T_StockCount[CountedQty],T_StockCount[Part Name],$A42,T_StockCount[WeekIndex],41),IF((('T_SelfStock'!AP46&lt;&gt;""))*(('T_TTAFStock'!AP46&lt;&gt;""))&gt;0,'T_SelfStock'!AP46+'T_TTAFStock'!AP46,AO42+'Grid_Incoming'!AP42-'Grid_Requirement'!AP42))</f>
        <v/>
      </c>
      <c r="AQ42">
        <f>IF(COUNTIFS(T_StockCount[Part Name],$A42,T_StockCount[WeekIndex],42)&gt;0,SUMIFS(T_StockCount[CountedQty],T_StockCount[Part Name],$A42,T_StockCount[WeekIndex],42),IF((('T_SelfStock'!AQ46&lt;&gt;""))*(('T_TTAFStock'!AQ46&lt;&gt;""))&gt;0,'T_SelfStock'!AQ46+'T_TTAFStock'!AQ46,AP42+'Grid_Incoming'!AQ42-'Grid_Requirement'!AQ42))</f>
        <v/>
      </c>
      <c r="AR42">
        <f>IF(COUNTIFS(T_StockCount[Part Name],$A42,T_StockCount[WeekIndex],43)&gt;0,SUMIFS(T_StockCount[CountedQty],T_StockCount[Part Name],$A42,T_StockCount[WeekIndex],43),IF((('T_SelfStock'!AR46&lt;&gt;""))*(('T_TTAFStock'!AR46&lt;&gt;""))&gt;0,'T_SelfStock'!AR46+'T_TTAFStock'!AR46,AQ42+'Grid_Incoming'!AR42-'Grid_Requirement'!AR42))</f>
        <v/>
      </c>
      <c r="AS42">
        <f>IF(COUNTIFS(T_StockCount[Part Name],$A42,T_StockCount[WeekIndex],44)&gt;0,SUMIFS(T_StockCount[CountedQty],T_StockCount[Part Name],$A42,T_StockCount[WeekIndex],44),IF((('T_SelfStock'!AS46&lt;&gt;""))*(('T_TTAFStock'!AS46&lt;&gt;""))&gt;0,'T_SelfStock'!AS46+'T_TTAFStock'!AS46,AR42+'Grid_Incoming'!AS42-'Grid_Requirement'!AS42))</f>
        <v/>
      </c>
      <c r="AT42">
        <f>IF(COUNTIFS(T_StockCount[Part Name],$A42,T_StockCount[WeekIndex],45)&gt;0,SUMIFS(T_StockCount[CountedQty],T_StockCount[Part Name],$A42,T_StockCount[WeekIndex],45),IF((('T_SelfStock'!AT46&lt;&gt;""))*(('T_TTAFStock'!AT46&lt;&gt;""))&gt;0,'T_SelfStock'!AT46+'T_TTAFStock'!AT46,AS42+'Grid_Incoming'!AT42-'Grid_Requirement'!AT42))</f>
        <v/>
      </c>
      <c r="AU42">
        <f>IF(COUNTIFS(T_StockCount[Part Name],$A42,T_StockCount[WeekIndex],46)&gt;0,SUMIFS(T_StockCount[CountedQty],T_StockCount[Part Name],$A42,T_StockCount[WeekIndex],46),IF((('T_SelfStock'!AU46&lt;&gt;""))*(('T_TTAFStock'!AU46&lt;&gt;""))&gt;0,'T_SelfStock'!AU46+'T_TTAFStock'!AU46,AT42+'Grid_Incoming'!AU42-'Grid_Requirement'!AU42))</f>
        <v/>
      </c>
      <c r="AV42">
        <f>IF(COUNTIFS(T_StockCount[Part Name],$A42,T_StockCount[WeekIndex],47)&gt;0,SUMIFS(T_StockCount[CountedQty],T_StockCount[Part Name],$A42,T_StockCount[WeekIndex],47),IF((('T_SelfStock'!AV46&lt;&gt;""))*(('T_TTAFStock'!AV46&lt;&gt;""))&gt;0,'T_SelfStock'!AV46+'T_TTAFStock'!AV46,AU42+'Grid_Incoming'!AV42-'Grid_Requirement'!AV42))</f>
        <v/>
      </c>
      <c r="AW42">
        <f>IF(COUNTIFS(T_StockCount[Part Name],$A42,T_StockCount[WeekIndex],48)&gt;0,SUMIFS(T_StockCount[CountedQty],T_StockCount[Part Name],$A42,T_StockCount[WeekIndex],48),IF((('T_SelfStock'!AW46&lt;&gt;""))*(('T_TTAFStock'!AW46&lt;&gt;""))&gt;0,'T_SelfStock'!AW46+'T_TTAFStock'!AW46,AV42+'Grid_Incoming'!AW42-'Grid_Requirement'!AW42))</f>
        <v/>
      </c>
      <c r="AX42">
        <f>IF(COUNTIFS(T_StockCount[Part Name],$A42,T_StockCount[WeekIndex],49)&gt;0,SUMIFS(T_StockCount[CountedQty],T_StockCount[Part Name],$A42,T_StockCount[WeekIndex],49),IF((('T_SelfStock'!AX46&lt;&gt;""))*(('T_TTAFStock'!AX46&lt;&gt;""))&gt;0,'T_SelfStock'!AX46+'T_TTAFStock'!AX46,AW42+'Grid_Incoming'!AX42-'Grid_Requirement'!AX42))</f>
        <v/>
      </c>
      <c r="AY42">
        <f>IF(COUNTIFS(T_StockCount[Part Name],$A42,T_StockCount[WeekIndex],50)&gt;0,SUMIFS(T_StockCount[CountedQty],T_StockCount[Part Name],$A42,T_StockCount[WeekIndex],50),IF((('T_SelfStock'!AY46&lt;&gt;""))*(('T_TTAFStock'!AY46&lt;&gt;""))&gt;0,'T_SelfStock'!AY46+'T_TTAFStock'!AY46,AX42+'Grid_Incoming'!AY42-'Grid_Requirement'!AY42))</f>
        <v/>
      </c>
      <c r="AZ42">
        <f>IF(COUNTIFS(T_StockCount[Part Name],$A42,T_StockCount[WeekIndex],51)&gt;0,SUMIFS(T_StockCount[CountedQty],T_StockCount[Part Name],$A42,T_StockCount[WeekIndex],51),IF((('T_SelfStock'!AZ46&lt;&gt;""))*(('T_TTAFStock'!AZ46&lt;&gt;""))&gt;0,'T_SelfStock'!AZ46+'T_TTAFStock'!AZ46,AY42+'Grid_Incoming'!AZ42-'Grid_Requirement'!AZ42))</f>
        <v/>
      </c>
      <c r="BA42">
        <f>IF(COUNTIFS(T_StockCount[Part Name],$A42,T_StockCount[WeekIndex],52)&gt;0,SUMIFS(T_StockCount[CountedQty],T_StockCount[Part Name],$A42,T_StockCount[WeekIndex],52),IF((('T_SelfStock'!BA46&lt;&gt;""))*(('T_TTAFStock'!BA46&lt;&gt;""))&gt;0,'T_SelfStock'!BA46+'T_TTAFStock'!BA46,AZ42+'Grid_Incoming'!BA42-'Grid_Requirement'!BA42))</f>
        <v/>
      </c>
      <c r="BB42">
        <f>IF(COUNTIFS(T_StockCount[Part Name],$A42,T_StockCount[WeekIndex],53)&gt;0,SUMIFS(T_StockCount[CountedQty],T_StockCount[Part Name],$A42,T_StockCount[WeekIndex],53),IF((('T_SelfStock'!BB46&lt;&gt;""))*(('T_TTAFStock'!BB46&lt;&gt;""))&gt;0,'T_SelfStock'!BB46+'T_TTAFStock'!BB46,BA42+'Grid_Incoming'!BB42-'Grid_Requirement'!BB42))</f>
        <v/>
      </c>
      <c r="BC42">
        <f>IF(COUNTIFS(T_StockCount[Part Name],$A42,T_StockCount[WeekIndex],54)&gt;0,SUMIFS(T_StockCount[CountedQty],T_StockCount[Part Name],$A42,T_StockCount[WeekIndex],54),IF((('T_SelfStock'!BC46&lt;&gt;""))*(('T_TTAFStock'!BC46&lt;&gt;""))&gt;0,'T_SelfStock'!BC46+'T_TTAFStock'!BC46,BB42+'Grid_Incoming'!BC42-'Grid_Requirement'!BC42))</f>
        <v/>
      </c>
      <c r="BD42">
        <f>IF(COUNTIFS(T_StockCount[Part Name],$A42,T_StockCount[WeekIndex],55)&gt;0,SUMIFS(T_StockCount[CountedQty],T_StockCount[Part Name],$A42,T_StockCount[WeekIndex],55),IF((('T_SelfStock'!BD46&lt;&gt;""))*(('T_TTAFStock'!BD46&lt;&gt;""))&gt;0,'T_SelfStock'!BD46+'T_TTAFStock'!BD46,BC42+'Grid_Incoming'!BD42-'Grid_Requirement'!BD42))</f>
        <v/>
      </c>
      <c r="BE42">
        <f>IF(COUNTIFS(T_StockCount[Part Name],$A42,T_StockCount[WeekIndex],56)&gt;0,SUMIFS(T_StockCount[CountedQty],T_StockCount[Part Name],$A42,T_StockCount[WeekIndex],56),IF((('T_SelfStock'!BE46&lt;&gt;""))*(('T_TTAFStock'!BE46&lt;&gt;""))&gt;0,'T_SelfStock'!BE46+'T_TTAFStock'!BE46,BD42+'Grid_Incoming'!BE42-'Grid_Requirement'!BE42))</f>
        <v/>
      </c>
      <c r="BF42">
        <f>IF(COUNTIFS(T_StockCount[Part Name],$A42,T_StockCount[WeekIndex],57)&gt;0,SUMIFS(T_StockCount[CountedQty],T_StockCount[Part Name],$A42,T_StockCount[WeekIndex],57),IF((('T_SelfStock'!BF46&lt;&gt;""))*(('T_TTAFStock'!BF46&lt;&gt;""))&gt;0,'T_SelfStock'!BF46+'T_TTAFStock'!BF46,BE42+'Grid_Incoming'!BF42-'Grid_Requirement'!BF42))</f>
        <v/>
      </c>
      <c r="BG42">
        <f>IF(COUNTIFS(T_StockCount[Part Name],$A42,T_StockCount[WeekIndex],58)&gt;0,SUMIFS(T_StockCount[CountedQty],T_StockCount[Part Name],$A42,T_StockCount[WeekIndex],58),IF((('T_SelfStock'!BG46&lt;&gt;""))*(('T_TTAFStock'!BG46&lt;&gt;""))&gt;0,'T_SelfStock'!BG46+'T_TTAFStock'!BG46,BF42+'Grid_Incoming'!BG42-'Grid_Requirement'!BG42))</f>
        <v/>
      </c>
      <c r="BH42">
        <f>IF(COUNTIFS(T_StockCount[Part Name],$A42,T_StockCount[WeekIndex],59)&gt;0,SUMIFS(T_StockCount[CountedQty],T_StockCount[Part Name],$A42,T_StockCount[WeekIndex],59),IF((('T_SelfStock'!BH46&lt;&gt;""))*(('T_TTAFStock'!BH46&lt;&gt;""))&gt;0,'T_SelfStock'!BH46+'T_TTAFStock'!BH46,BG42+'Grid_Incoming'!BH42-'Grid_Requirement'!BH42))</f>
        <v/>
      </c>
      <c r="BI42">
        <f>IF(COUNTIFS(T_StockCount[Part Name],$A42,T_StockCount[WeekIndex],60)&gt;0,SUMIFS(T_StockCount[CountedQty],T_StockCount[Part Name],$A42,T_StockCount[WeekIndex],60),IF((('T_SelfStock'!BI46&lt;&gt;""))*(('T_TTAFStock'!BI46&lt;&gt;""))&gt;0,'T_SelfStock'!BI46+'T_TTAFStock'!BI46,BH42+'Grid_Incoming'!BI42-'Grid_Requirement'!BI42))</f>
        <v/>
      </c>
      <c r="BJ42">
        <f>IF(COUNTIFS(T_StockCount[Part Name],$A42,T_StockCount[WeekIndex],61)&gt;0,SUMIFS(T_StockCount[CountedQty],T_StockCount[Part Name],$A42,T_StockCount[WeekIndex],61),IF((('T_SelfStock'!BJ46&lt;&gt;""))*(('T_TTAFStock'!BJ46&lt;&gt;""))&gt;0,'T_SelfStock'!BJ46+'T_TTAFStock'!BJ46,BI42+'Grid_Incoming'!BJ42-'Grid_Requirement'!BJ42))</f>
        <v/>
      </c>
      <c r="BK42">
        <f>IF(COUNTIFS(T_StockCount[Part Name],$A42,T_StockCount[WeekIndex],62)&gt;0,SUMIFS(T_StockCount[CountedQty],T_StockCount[Part Name],$A42,T_StockCount[WeekIndex],62),IF((('T_SelfStock'!BK46&lt;&gt;""))*(('T_TTAFStock'!BK46&lt;&gt;""))&gt;0,'T_SelfStock'!BK46+'T_TTAFStock'!BK46,BJ42+'Grid_Incoming'!BK42-'Grid_Requirement'!BK42))</f>
        <v/>
      </c>
      <c r="BL42">
        <f>IF(COUNTIFS(T_StockCount[Part Name],$A42,T_StockCount[WeekIndex],63)&gt;0,SUMIFS(T_StockCount[CountedQty],T_StockCount[Part Name],$A42,T_StockCount[WeekIndex],63),IF((('T_SelfStock'!BL46&lt;&gt;""))*(('T_TTAFStock'!BL46&lt;&gt;""))&gt;0,'T_SelfStock'!BL46+'T_TTAFStock'!BL46,BK42+'Grid_Incoming'!BL42-'Grid_Requirement'!BL42))</f>
        <v/>
      </c>
      <c r="BM42">
        <f>IF(COUNTIFS(T_StockCount[Part Name],$A42,T_StockCount[WeekIndex],64)&gt;0,SUMIFS(T_StockCount[CountedQty],T_StockCount[Part Name],$A42,T_StockCount[WeekIndex],64),IF((('T_SelfStock'!BM46&lt;&gt;""))*(('T_TTAFStock'!BM46&lt;&gt;""))&gt;0,'T_SelfStock'!BM46+'T_TTAFStock'!BM46,BL42+'Grid_Incoming'!BM42-'Grid_Requirement'!BM42))</f>
        <v/>
      </c>
      <c r="BN42">
        <f>IF(COUNTIFS(T_StockCount[Part Name],$A42,T_StockCount[WeekIndex],65)&gt;0,SUMIFS(T_StockCount[CountedQty],T_StockCount[Part Name],$A42,T_StockCount[WeekIndex],65),IF((('T_SelfStock'!BN46&lt;&gt;""))*(('T_TTAFStock'!BN46&lt;&gt;""))&gt;0,'T_SelfStock'!BN46+'T_TTAFStock'!BN46,BM42+'Grid_Incoming'!BN42-'Grid_Requirement'!BN42))</f>
        <v/>
      </c>
      <c r="BO42">
        <f>IF(COUNTIFS(T_StockCount[Part Name],$A42,T_StockCount[WeekIndex],66)&gt;0,SUMIFS(T_StockCount[CountedQty],T_StockCount[Part Name],$A42,T_StockCount[WeekIndex],66),IF((('T_SelfStock'!BO46&lt;&gt;""))*(('T_TTAFStock'!BO46&lt;&gt;""))&gt;0,'T_SelfStock'!BO46+'T_TTAFStock'!BO46,BN42+'Grid_Incoming'!BO42-'Grid_Requirement'!BO42))</f>
        <v/>
      </c>
      <c r="BP42">
        <f>IF(COUNTIFS(T_StockCount[Part Name],$A42,T_StockCount[WeekIndex],67)&gt;0,SUMIFS(T_StockCount[CountedQty],T_StockCount[Part Name],$A42,T_StockCount[WeekIndex],67),IF((('T_SelfStock'!BP46&lt;&gt;""))*(('T_TTAFStock'!BP46&lt;&gt;""))&gt;0,'T_SelfStock'!BP46+'T_TTAFStock'!BP46,BO42+'Grid_Incoming'!BP42-'Grid_Requirement'!BP42))</f>
        <v/>
      </c>
      <c r="BQ42">
        <f>IF(COUNTIFS(T_StockCount[Part Name],$A42,T_StockCount[WeekIndex],68)&gt;0,SUMIFS(T_StockCount[CountedQty],T_StockCount[Part Name],$A42,T_StockCount[WeekIndex],68),IF((('T_SelfStock'!BQ46&lt;&gt;""))*(('T_TTAFStock'!BQ46&lt;&gt;""))&gt;0,'T_SelfStock'!BQ46+'T_TTAFStock'!BQ46,BP42+'Grid_Incoming'!BQ42-'Grid_Requirement'!BQ42))</f>
        <v/>
      </c>
      <c r="BR42">
        <f>IF(COUNTIFS(T_StockCount[Part Name],$A42,T_StockCount[WeekIndex],69)&gt;0,SUMIFS(T_StockCount[CountedQty],T_StockCount[Part Name],$A42,T_StockCount[WeekIndex],69),IF((('T_SelfStock'!BR46&lt;&gt;""))*(('T_TTAFStock'!BR46&lt;&gt;""))&gt;0,'T_SelfStock'!BR46+'T_TTAFStock'!BR46,BQ42+'Grid_Incoming'!BR42-'Grid_Requirement'!BR42))</f>
        <v/>
      </c>
      <c r="BS42">
        <f>IF(COUNTIFS(T_StockCount[Part Name],$A42,T_StockCount[WeekIndex],70)&gt;0,SUMIFS(T_StockCount[CountedQty],T_StockCount[Part Name],$A42,T_StockCount[WeekIndex],70),IF((('T_SelfStock'!BS46&lt;&gt;""))*(('T_TTAFStock'!BS46&lt;&gt;""))&gt;0,'T_SelfStock'!BS46+'T_TTAFStock'!BS46,BR42+'Grid_Incoming'!BS42-'Grid_Requirement'!BS42))</f>
        <v/>
      </c>
      <c r="BT42">
        <f>IF(COUNTIFS(T_StockCount[Part Name],$A42,T_StockCount[WeekIndex],71)&gt;0,SUMIFS(T_StockCount[CountedQty],T_StockCount[Part Name],$A42,T_StockCount[WeekIndex],71),IF((('T_SelfStock'!BT46&lt;&gt;""))*(('T_TTAFStock'!BT46&lt;&gt;""))&gt;0,'T_SelfStock'!BT46+'T_TTAFStock'!BT46,BS42+'Grid_Incoming'!BT42-'Grid_Requirement'!BT42))</f>
        <v/>
      </c>
      <c r="BU42">
        <f>IF(COUNTIFS(T_StockCount[Part Name],$A42,T_StockCount[WeekIndex],72)&gt;0,SUMIFS(T_StockCount[CountedQty],T_StockCount[Part Name],$A42,T_StockCount[WeekIndex],72),IF((('T_SelfStock'!BU46&lt;&gt;""))*(('T_TTAFStock'!BU46&lt;&gt;""))&gt;0,'T_SelfStock'!BU46+'T_TTAFStock'!BU46,BT42+'Grid_Incoming'!BU42-'Grid_Requirement'!BU42))</f>
        <v/>
      </c>
      <c r="BV42">
        <f>IF(COUNTIFS(T_StockCount[Part Name],$A42,T_StockCount[WeekIndex],73)&gt;0,SUMIFS(T_StockCount[CountedQty],T_StockCount[Part Name],$A42,T_StockCount[WeekIndex],73),IF((('T_SelfStock'!BV46&lt;&gt;""))*(('T_TTAFStock'!BV46&lt;&gt;""))&gt;0,'T_SelfStock'!BV46+'T_TTAFStock'!BV46,BU42+'Grid_Incoming'!BV42-'Grid_Requirement'!BV42))</f>
        <v/>
      </c>
      <c r="BW42">
        <f>IF(COUNTIFS(T_StockCount[Part Name],$A42,T_StockCount[WeekIndex],74)&gt;0,SUMIFS(T_StockCount[CountedQty],T_StockCount[Part Name],$A42,T_StockCount[WeekIndex],74),IF((('T_SelfStock'!BW46&lt;&gt;""))*(('T_TTAFStock'!BW46&lt;&gt;""))&gt;0,'T_SelfStock'!BW46+'T_TTAFStock'!BW46,BV42+'Grid_Incoming'!BW42-'Grid_Requirement'!BW42))</f>
        <v/>
      </c>
      <c r="BX42">
        <f>IF(COUNTIFS(T_StockCount[Part Name],$A42,T_StockCount[WeekIndex],75)&gt;0,SUMIFS(T_StockCount[CountedQty],T_StockCount[Part Name],$A42,T_StockCount[WeekIndex],75),IF((('T_SelfStock'!BX46&lt;&gt;""))*(('T_TTAFStock'!BX46&lt;&gt;""))&gt;0,'T_SelfStock'!BX46+'T_TTAFStock'!BX46,BW42+'Grid_Incoming'!BX42-'Grid_Requirement'!BX42))</f>
        <v/>
      </c>
      <c r="BY42">
        <f>IF(COUNTIFS(T_StockCount[Part Name],$A42,T_StockCount[WeekIndex],76)&gt;0,SUMIFS(T_StockCount[CountedQty],T_StockCount[Part Name],$A42,T_StockCount[WeekIndex],76),IF((('T_SelfStock'!BY46&lt;&gt;""))*(('T_TTAFStock'!BY46&lt;&gt;""))&gt;0,'T_SelfStock'!BY46+'T_TTAFStock'!BY46,BX42+'Grid_Incoming'!BY42-'Grid_Requirement'!BY42))</f>
        <v/>
      </c>
      <c r="BZ42">
        <f>IF(COUNTIFS(T_StockCount[Part Name],$A42,T_StockCount[WeekIndex],77)&gt;0,SUMIFS(T_StockCount[CountedQty],T_StockCount[Part Name],$A42,T_StockCount[WeekIndex],77),IF((('T_SelfStock'!BZ46&lt;&gt;""))*(('T_TTAFStock'!BZ46&lt;&gt;""))&gt;0,'T_SelfStock'!BZ46+'T_TTAFStock'!BZ46,BY42+'Grid_Incoming'!BZ42-'Grid_Requirement'!BZ42))</f>
        <v/>
      </c>
      <c r="CA42">
        <f>IF(COUNTIFS(T_StockCount[Part Name],$A42,T_StockCount[WeekIndex],78)&gt;0,SUMIFS(T_StockCount[CountedQty],T_StockCount[Part Name],$A42,T_StockCount[WeekIndex],78),IF((('T_SelfStock'!CA46&lt;&gt;""))*(('T_TTAFStock'!CA46&lt;&gt;""))&gt;0,'T_SelfStock'!CA46+'T_TTAFStock'!CA46,BZ42+'Grid_Incoming'!CA42-'Grid_Requirement'!CA42))</f>
        <v/>
      </c>
      <c r="CB42">
        <f>IF(COUNTIFS(T_StockCount[Part Name],$A42,T_StockCount[WeekIndex],79)&gt;0,SUMIFS(T_StockCount[CountedQty],T_StockCount[Part Name],$A42,T_StockCount[WeekIndex],79),IF((('T_SelfStock'!CB46&lt;&gt;""))*(('T_TTAFStock'!CB46&lt;&gt;""))&gt;0,'T_SelfStock'!CB46+'T_TTAFStock'!CB46,CA42+'Grid_Incoming'!CB42-'Grid_Requirement'!CB42))</f>
        <v/>
      </c>
      <c r="CC42">
        <f>IF(COUNTIFS(T_StockCount[Part Name],$A42,T_StockCount[WeekIndex],80)&gt;0,SUMIFS(T_StockCount[CountedQty],T_StockCount[Part Name],$A42,T_StockCount[WeekIndex],80),IF((('T_SelfStock'!CC46&lt;&gt;""))*(('T_TTAFStock'!CC46&lt;&gt;""))&gt;0,'T_SelfStock'!CC46+'T_TTAFStock'!CC46,CB42+'Grid_Incoming'!CC42-'Grid_Requirement'!CC42))</f>
        <v/>
      </c>
      <c r="CD42">
        <f>IF(COUNTIFS(T_StockCount[Part Name],$A42,T_StockCount[WeekIndex],81)&gt;0,SUMIFS(T_StockCount[CountedQty],T_StockCount[Part Name],$A42,T_StockCount[WeekIndex],81),IF((('T_SelfStock'!CD46&lt;&gt;""))*(('T_TTAFStock'!CD46&lt;&gt;""))&gt;0,'T_SelfStock'!CD46+'T_TTAFStock'!CD46,CC42+'Grid_Incoming'!CD42-'Grid_Requirement'!CD42))</f>
        <v/>
      </c>
      <c r="CE42">
        <f>IF(COUNTIFS(T_StockCount[Part Name],$A42,T_StockCount[WeekIndex],82)&gt;0,SUMIFS(T_StockCount[CountedQty],T_StockCount[Part Name],$A42,T_StockCount[WeekIndex],82),IF((('T_SelfStock'!CE46&lt;&gt;""))*(('T_TTAFStock'!CE46&lt;&gt;""))&gt;0,'T_SelfStock'!CE46+'T_TTAFStock'!CE46,CD42+'Grid_Incoming'!CE42-'Grid_Requirement'!CE42))</f>
        <v/>
      </c>
      <c r="CF42">
        <f>IF(COUNTIFS(T_StockCount[Part Name],$A42,T_StockCount[WeekIndex],83)&gt;0,SUMIFS(T_StockCount[CountedQty],T_StockCount[Part Name],$A42,T_StockCount[WeekIndex],83),IF((('T_SelfStock'!CF46&lt;&gt;""))*(('T_TTAFStock'!CF46&lt;&gt;""))&gt;0,'T_SelfStock'!CF46+'T_TTAFStock'!CF46,CE42+'Grid_Incoming'!CF42-'Grid_Requirement'!CF42))</f>
        <v/>
      </c>
      <c r="CG42">
        <f>IF(COUNTIFS(T_StockCount[Part Name],$A42,T_StockCount[WeekIndex],84)&gt;0,SUMIFS(T_StockCount[CountedQty],T_StockCount[Part Name],$A42,T_StockCount[WeekIndex],84),IF((('T_SelfStock'!CG46&lt;&gt;""))*(('T_TTAFStock'!CG46&lt;&gt;""))&gt;0,'T_SelfStock'!CG46+'T_TTAFStock'!CG46,CF42+'Grid_Incoming'!CG42-'Grid_Requirement'!CG42))</f>
        <v/>
      </c>
      <c r="CH42">
        <f>IF(COUNTIFS(T_StockCount[Part Name],$A42,T_StockCount[WeekIndex],85)&gt;0,SUMIFS(T_StockCount[CountedQty],T_StockCount[Part Name],$A42,T_StockCount[WeekIndex],85),IF((('T_SelfStock'!CH46&lt;&gt;""))*(('T_TTAFStock'!CH46&lt;&gt;""))&gt;0,'T_SelfStock'!CH46+'T_TTAFStock'!CH46,CG42+'Grid_Incoming'!CH42-'Grid_Requirement'!CH42))</f>
        <v/>
      </c>
      <c r="CI42">
        <f>IF(COUNTIFS(T_StockCount[Part Name],$A42,T_StockCount[WeekIndex],86)&gt;0,SUMIFS(T_StockCount[CountedQty],T_StockCount[Part Name],$A42,T_StockCount[WeekIndex],86),IF((('T_SelfStock'!CI46&lt;&gt;""))*(('T_TTAFStock'!CI46&lt;&gt;""))&gt;0,'T_SelfStock'!CI46+'T_TTAFStock'!CI46,CH42+'Grid_Incoming'!CI42-'Grid_Requirement'!CI42))</f>
        <v/>
      </c>
      <c r="CJ42">
        <f>IF(COUNTIFS(T_StockCount[Part Name],$A42,T_StockCount[WeekIndex],87)&gt;0,SUMIFS(T_StockCount[CountedQty],T_StockCount[Part Name],$A42,T_StockCount[WeekIndex],87),IF((('T_SelfStock'!CJ46&lt;&gt;""))*(('T_TTAFStock'!CJ46&lt;&gt;""))&gt;0,'T_SelfStock'!CJ46+'T_TTAFStock'!CJ46,CI42+'Grid_Incoming'!CJ42-'Grid_Requirement'!CJ42))</f>
        <v/>
      </c>
      <c r="CK42">
        <f>IF(COUNTIFS(T_StockCount[Part Name],$A42,T_StockCount[WeekIndex],88)&gt;0,SUMIFS(T_StockCount[CountedQty],T_StockCount[Part Name],$A42,T_StockCount[WeekIndex],88),IF((('T_SelfStock'!CK46&lt;&gt;""))*(('T_TTAFStock'!CK46&lt;&gt;""))&gt;0,'T_SelfStock'!CK46+'T_TTAFStock'!CK46,CJ42+'Grid_Incoming'!CK42-'Grid_Requirement'!CK42))</f>
        <v/>
      </c>
      <c r="CL42">
        <f>IF(COUNTIFS(T_StockCount[Part Name],$A42,T_StockCount[WeekIndex],89)&gt;0,SUMIFS(T_StockCount[CountedQty],T_StockCount[Part Name],$A42,T_StockCount[WeekIndex],89),IF((('T_SelfStock'!CL46&lt;&gt;""))*(('T_TTAFStock'!CL46&lt;&gt;""))&gt;0,'T_SelfStock'!CL46+'T_TTAFStock'!CL46,CK42+'Grid_Incoming'!CL42-'Grid_Requirement'!CL42))</f>
        <v/>
      </c>
      <c r="CM42">
        <f>IF(COUNTIFS(T_StockCount[Part Name],$A42,T_StockCount[WeekIndex],90)&gt;0,SUMIFS(T_StockCount[CountedQty],T_StockCount[Part Name],$A42,T_StockCount[WeekIndex],90),IF((('T_SelfStock'!CM46&lt;&gt;""))*(('T_TTAFStock'!CM46&lt;&gt;""))&gt;0,'T_SelfStock'!CM46+'T_TTAFStock'!CM46,CL42+'Grid_Incoming'!CM42-'Grid_Requirement'!CM42))</f>
        <v/>
      </c>
      <c r="CN42">
        <f>IF(COUNTIFS(T_StockCount[Part Name],$A42,T_StockCount[WeekIndex],91)&gt;0,SUMIFS(T_StockCount[CountedQty],T_StockCount[Part Name],$A42,T_StockCount[WeekIndex],91),IF((('T_SelfStock'!CN46&lt;&gt;""))*(('T_TTAFStock'!CN46&lt;&gt;""))&gt;0,'T_SelfStock'!CN46+'T_TTAFStock'!CN46,CM42+'Grid_Incoming'!CN42-'Grid_Requirement'!CN42))</f>
        <v/>
      </c>
      <c r="CO42">
        <f>IF(COUNTIFS(T_StockCount[Part Name],$A42,T_StockCount[WeekIndex],92)&gt;0,SUMIFS(T_StockCount[CountedQty],T_StockCount[Part Name],$A42,T_StockCount[WeekIndex],92),IF((('T_SelfStock'!CO46&lt;&gt;""))*(('T_TTAFStock'!CO46&lt;&gt;""))&gt;0,'T_SelfStock'!CO46+'T_TTAFStock'!CO46,CN42+'Grid_Incoming'!CO42-'Grid_Requirement'!CO42))</f>
        <v/>
      </c>
      <c r="CP42">
        <f>IF(COUNTIFS(T_StockCount[Part Name],$A42,T_StockCount[WeekIndex],93)&gt;0,SUMIFS(T_StockCount[CountedQty],T_StockCount[Part Name],$A42,T_StockCount[WeekIndex],93),IF((('T_SelfStock'!CP46&lt;&gt;""))*(('T_TTAFStock'!CP46&lt;&gt;""))&gt;0,'T_SelfStock'!CP46+'T_TTAFStock'!CP46,CO42+'Grid_Incoming'!CP42-'Grid_Requirement'!CP42))</f>
        <v/>
      </c>
      <c r="CQ42">
        <f>IF(COUNTIFS(T_StockCount[Part Name],$A42,T_StockCount[WeekIndex],94)&gt;0,SUMIFS(T_StockCount[CountedQty],T_StockCount[Part Name],$A42,T_StockCount[WeekIndex],94),IF((('T_SelfStock'!CQ46&lt;&gt;""))*(('T_TTAFStock'!CQ46&lt;&gt;""))&gt;0,'T_SelfStock'!CQ46+'T_TTAFStock'!CQ46,CP42+'Grid_Incoming'!CQ42-'Grid_Requirement'!CQ42))</f>
        <v/>
      </c>
      <c r="CR42">
        <f>IF(COUNTIFS(T_StockCount[Part Name],$A42,T_StockCount[WeekIndex],95)&gt;0,SUMIFS(T_StockCount[CountedQty],T_StockCount[Part Name],$A42,T_StockCount[WeekIndex],95),IF((('T_SelfStock'!CR46&lt;&gt;""))*(('T_TTAFStock'!CR46&lt;&gt;""))&gt;0,'T_SelfStock'!CR46+'T_TTAFStock'!CR46,CQ42+'Grid_Incoming'!CR42-'Grid_Requirement'!CR42))</f>
        <v/>
      </c>
      <c r="CS42">
        <f>IF(COUNTIFS(T_StockCount[Part Name],$A42,T_StockCount[WeekIndex],96)&gt;0,SUMIFS(T_StockCount[CountedQty],T_StockCount[Part Name],$A42,T_StockCount[WeekIndex],96),IF((('T_SelfStock'!CS46&lt;&gt;""))*(('T_TTAFStock'!CS46&lt;&gt;""))&gt;0,'T_SelfStock'!CS46+'T_TTAFStock'!CS46,CR42+'Grid_Incoming'!CS42-'Grid_Requirement'!CS42))</f>
        <v/>
      </c>
      <c r="CT42">
        <f>IF(COUNTIFS(T_StockCount[Part Name],$A42,T_StockCount[WeekIndex],97)&gt;0,SUMIFS(T_StockCount[CountedQty],T_StockCount[Part Name],$A42,T_StockCount[WeekIndex],97),IF((('T_SelfStock'!CT46&lt;&gt;""))*(('T_TTAFStock'!CT46&lt;&gt;""))&gt;0,'T_SelfStock'!CT46+'T_TTAFStock'!CT46,CS42+'Grid_Incoming'!CT42-'Grid_Requirement'!CT42))</f>
        <v/>
      </c>
      <c r="CU42">
        <f>IF(COUNTIFS(T_StockCount[Part Name],$A42,T_StockCount[WeekIndex],98)&gt;0,SUMIFS(T_StockCount[CountedQty],T_StockCount[Part Name],$A42,T_StockCount[WeekIndex],98),IF((('T_SelfStock'!CU46&lt;&gt;""))*(('T_TTAFStock'!CU46&lt;&gt;""))&gt;0,'T_SelfStock'!CU46+'T_TTAFStock'!CU46,CT42+'Grid_Incoming'!CU42-'Grid_Requirement'!CU42))</f>
        <v/>
      </c>
      <c r="CV42">
        <f>IF(COUNTIFS(T_StockCount[Part Name],$A42,T_StockCount[WeekIndex],99)&gt;0,SUMIFS(T_StockCount[CountedQty],T_StockCount[Part Name],$A42,T_StockCount[WeekIndex],99),IF((('T_SelfStock'!CV46&lt;&gt;""))*(('T_TTAFStock'!CV46&lt;&gt;""))&gt;0,'T_SelfStock'!CV46+'T_TTAFStock'!CV46,CU42+'Grid_Incoming'!CV42-'Grid_Requirement'!CV42))</f>
        <v/>
      </c>
      <c r="CW42">
        <f>IF(COUNTIFS(T_StockCount[Part Name],$A42,T_StockCount[WeekIndex],100)&gt;0,SUMIFS(T_StockCount[CountedQty],T_StockCount[Part Name],$A42,T_StockCount[WeekIndex],100),IF((('T_SelfStock'!CW46&lt;&gt;""))*(('T_TTAFStock'!CW46&lt;&gt;""))&gt;0,'T_SelfStock'!CW46+'T_TTAFStock'!CW46,CV42+'Grid_Incoming'!CW42-'Grid_Requirement'!CW42))</f>
        <v/>
      </c>
      <c r="CX42">
        <f>IF(COUNTIFS(T_StockCount[Part Name],$A42,T_StockCount[WeekIndex],101)&gt;0,SUMIFS(T_StockCount[CountedQty],T_StockCount[Part Name],$A42,T_StockCount[WeekIndex],101),IF((('T_SelfStock'!CX46&lt;&gt;""))*(('T_TTAFStock'!CX46&lt;&gt;""))&gt;0,'T_SelfStock'!CX46+'T_TTAFStock'!CX46,CW42+'Grid_Incoming'!CX42-'Grid_Requirement'!CX42))</f>
        <v/>
      </c>
      <c r="CY42">
        <f>IF(COUNTIFS(T_StockCount[Part Name],$A42,T_StockCount[WeekIndex],102)&gt;0,SUMIFS(T_StockCount[CountedQty],T_StockCount[Part Name],$A42,T_StockCount[WeekIndex],102),IF((('T_SelfStock'!CY46&lt;&gt;""))*(('T_TTAFStock'!CY46&lt;&gt;""))&gt;0,'T_SelfStock'!CY46+'T_TTAFStock'!CY46,CX42+'Grid_Incoming'!CY42-'Grid_Requirement'!CY42))</f>
        <v/>
      </c>
      <c r="CZ42">
        <f>IF(COUNTIFS(T_StockCount[Part Name],$A42,T_StockCount[WeekIndex],103)&gt;0,SUMIFS(T_StockCount[CountedQty],T_StockCount[Part Name],$A42,T_StockCount[WeekIndex],103),IF((('T_SelfStock'!CZ46&lt;&gt;""))*(('T_TTAFStock'!CZ46&lt;&gt;""))&gt;0,'T_SelfStock'!CZ46+'T_TTAFStock'!CZ46,CY42+'Grid_Incoming'!CZ42-'Grid_Requirement'!CZ42))</f>
        <v/>
      </c>
      <c r="DA42">
        <f>IF(COUNTIFS(T_StockCount[Part Name],$A42,T_StockCount[WeekIndex],104)&gt;0,SUMIFS(T_StockCount[CountedQty],T_StockCount[Part Name],$A42,T_StockCount[WeekIndex],104),IF((('T_SelfStock'!DA46&lt;&gt;""))*(('T_TTAFStock'!DA46&lt;&gt;""))&gt;0,'T_SelfStock'!DA46+'T_TTAFStock'!DA46,CZ42+'Grid_Incoming'!DA42-'Grid_Requirement'!DA42))</f>
        <v/>
      </c>
    </row>
    <row r="43">
      <c r="A43" t="inlineStr">
        <is>
          <t>CHEM-1280</t>
        </is>
      </c>
      <c r="B43">
        <f>IF(COUNTIFS(T_StockCount[Part Name],$A43,T_StockCount[WeekIndex],1)&gt;0,SUMIFS(T_StockCount[CountedQty],T_StockCount[Part Name],$A43,T_StockCount[WeekIndex],1),IF((('T_SelfStock'!B47&lt;&gt;""))*(('T_TTAFStock'!B47&lt;&gt;""))&gt;0,'T_SelfStock'!B47+'T_TTAFStock'!B47,IFERROR(INDEX(T_OpeningStock[Opening_Qty_要入力],MATCH($A43,T_OpeningStock[Part Name],0)),0)+'Grid_Incoming'!B43-'Grid_Requirement'!B43))</f>
        <v/>
      </c>
      <c r="C43">
        <f>IF(COUNTIFS(T_StockCount[Part Name],$A43,T_StockCount[WeekIndex],2)&gt;0,SUMIFS(T_StockCount[CountedQty],T_StockCount[Part Name],$A43,T_StockCount[WeekIndex],2),IF((('T_SelfStock'!C47&lt;&gt;""))*(('T_TTAFStock'!C47&lt;&gt;""))&gt;0,'T_SelfStock'!C47+'T_TTAFStock'!C47,B43+'Grid_Incoming'!C43-'Grid_Requirement'!C43))</f>
        <v/>
      </c>
      <c r="D43">
        <f>IF(COUNTIFS(T_StockCount[Part Name],$A43,T_StockCount[WeekIndex],3)&gt;0,SUMIFS(T_StockCount[CountedQty],T_StockCount[Part Name],$A43,T_StockCount[WeekIndex],3),IF((('T_SelfStock'!D47&lt;&gt;""))*(('T_TTAFStock'!D47&lt;&gt;""))&gt;0,'T_SelfStock'!D47+'T_TTAFStock'!D47,C43+'Grid_Incoming'!D43-'Grid_Requirement'!D43))</f>
        <v/>
      </c>
      <c r="E43">
        <f>IF(COUNTIFS(T_StockCount[Part Name],$A43,T_StockCount[WeekIndex],4)&gt;0,SUMIFS(T_StockCount[CountedQty],T_StockCount[Part Name],$A43,T_StockCount[WeekIndex],4),IF((('T_SelfStock'!E47&lt;&gt;""))*(('T_TTAFStock'!E47&lt;&gt;""))&gt;0,'T_SelfStock'!E47+'T_TTAFStock'!E47,D43+'Grid_Incoming'!E43-'Grid_Requirement'!E43))</f>
        <v/>
      </c>
      <c r="F43">
        <f>IF(COUNTIFS(T_StockCount[Part Name],$A43,T_StockCount[WeekIndex],5)&gt;0,SUMIFS(T_StockCount[CountedQty],T_StockCount[Part Name],$A43,T_StockCount[WeekIndex],5),IF((('T_SelfStock'!F47&lt;&gt;""))*(('T_TTAFStock'!F47&lt;&gt;""))&gt;0,'T_SelfStock'!F47+'T_TTAFStock'!F47,E43+'Grid_Incoming'!F43-'Grid_Requirement'!F43))</f>
        <v/>
      </c>
      <c r="G43">
        <f>IF(COUNTIFS(T_StockCount[Part Name],$A43,T_StockCount[WeekIndex],6)&gt;0,SUMIFS(T_StockCount[CountedQty],T_StockCount[Part Name],$A43,T_StockCount[WeekIndex],6),IF((('T_SelfStock'!G47&lt;&gt;""))*(('T_TTAFStock'!G47&lt;&gt;""))&gt;0,'T_SelfStock'!G47+'T_TTAFStock'!G47,F43+'Grid_Incoming'!G43-'Grid_Requirement'!G43))</f>
        <v/>
      </c>
      <c r="H43">
        <f>IF(COUNTIFS(T_StockCount[Part Name],$A43,T_StockCount[WeekIndex],7)&gt;0,SUMIFS(T_StockCount[CountedQty],T_StockCount[Part Name],$A43,T_StockCount[WeekIndex],7),IF((('T_SelfStock'!H47&lt;&gt;""))*(('T_TTAFStock'!H47&lt;&gt;""))&gt;0,'T_SelfStock'!H47+'T_TTAFStock'!H47,G43+'Grid_Incoming'!H43-'Grid_Requirement'!H43))</f>
        <v/>
      </c>
      <c r="I43">
        <f>IF(COUNTIFS(T_StockCount[Part Name],$A43,T_StockCount[WeekIndex],8)&gt;0,SUMIFS(T_StockCount[CountedQty],T_StockCount[Part Name],$A43,T_StockCount[WeekIndex],8),IF((('T_SelfStock'!I47&lt;&gt;""))*(('T_TTAFStock'!I47&lt;&gt;""))&gt;0,'T_SelfStock'!I47+'T_TTAFStock'!I47,H43+'Grid_Incoming'!I43-'Grid_Requirement'!I43))</f>
        <v/>
      </c>
      <c r="J43">
        <f>IF(COUNTIFS(T_StockCount[Part Name],$A43,T_StockCount[WeekIndex],9)&gt;0,SUMIFS(T_StockCount[CountedQty],T_StockCount[Part Name],$A43,T_StockCount[WeekIndex],9),IF((('T_SelfStock'!J47&lt;&gt;""))*(('T_TTAFStock'!J47&lt;&gt;""))&gt;0,'T_SelfStock'!J47+'T_TTAFStock'!J47,I43+'Grid_Incoming'!J43-'Grid_Requirement'!J43))</f>
        <v/>
      </c>
      <c r="K43">
        <f>IF(COUNTIFS(T_StockCount[Part Name],$A43,T_StockCount[WeekIndex],10)&gt;0,SUMIFS(T_StockCount[CountedQty],T_StockCount[Part Name],$A43,T_StockCount[WeekIndex],10),IF((('T_SelfStock'!K47&lt;&gt;""))*(('T_TTAFStock'!K47&lt;&gt;""))&gt;0,'T_SelfStock'!K47+'T_TTAFStock'!K47,J43+'Grid_Incoming'!K43-'Grid_Requirement'!K43))</f>
        <v/>
      </c>
      <c r="L43">
        <f>IF(COUNTIFS(T_StockCount[Part Name],$A43,T_StockCount[WeekIndex],11)&gt;0,SUMIFS(T_StockCount[CountedQty],T_StockCount[Part Name],$A43,T_StockCount[WeekIndex],11),IF((('T_SelfStock'!L47&lt;&gt;""))*(('T_TTAFStock'!L47&lt;&gt;""))&gt;0,'T_SelfStock'!L47+'T_TTAFStock'!L47,K43+'Grid_Incoming'!L43-'Grid_Requirement'!L43))</f>
        <v/>
      </c>
      <c r="M43">
        <f>IF(COUNTIFS(T_StockCount[Part Name],$A43,T_StockCount[WeekIndex],12)&gt;0,SUMIFS(T_StockCount[CountedQty],T_StockCount[Part Name],$A43,T_StockCount[WeekIndex],12),IF((('T_SelfStock'!M47&lt;&gt;""))*(('T_TTAFStock'!M47&lt;&gt;""))&gt;0,'T_SelfStock'!M47+'T_TTAFStock'!M47,L43+'Grid_Incoming'!M43-'Grid_Requirement'!M43))</f>
        <v/>
      </c>
      <c r="N43">
        <f>IF(COUNTIFS(T_StockCount[Part Name],$A43,T_StockCount[WeekIndex],13)&gt;0,SUMIFS(T_StockCount[CountedQty],T_StockCount[Part Name],$A43,T_StockCount[WeekIndex],13),IF((('T_SelfStock'!N47&lt;&gt;""))*(('T_TTAFStock'!N47&lt;&gt;""))&gt;0,'T_SelfStock'!N47+'T_TTAFStock'!N47,M43+'Grid_Incoming'!N43-'Grid_Requirement'!N43))</f>
        <v/>
      </c>
      <c r="O43">
        <f>IF(COUNTIFS(T_StockCount[Part Name],$A43,T_StockCount[WeekIndex],14)&gt;0,SUMIFS(T_StockCount[CountedQty],T_StockCount[Part Name],$A43,T_StockCount[WeekIndex],14),IF((('T_SelfStock'!O47&lt;&gt;""))*(('T_TTAFStock'!O47&lt;&gt;""))&gt;0,'T_SelfStock'!O47+'T_TTAFStock'!O47,N43+'Grid_Incoming'!O43-'Grid_Requirement'!O43))</f>
        <v/>
      </c>
      <c r="P43">
        <f>IF(COUNTIFS(T_StockCount[Part Name],$A43,T_StockCount[WeekIndex],15)&gt;0,SUMIFS(T_StockCount[CountedQty],T_StockCount[Part Name],$A43,T_StockCount[WeekIndex],15),IF((('T_SelfStock'!P47&lt;&gt;""))*(('T_TTAFStock'!P47&lt;&gt;""))&gt;0,'T_SelfStock'!P47+'T_TTAFStock'!P47,O43+'Grid_Incoming'!P43-'Grid_Requirement'!P43))</f>
        <v/>
      </c>
      <c r="Q43">
        <f>IF(COUNTIFS(T_StockCount[Part Name],$A43,T_StockCount[WeekIndex],16)&gt;0,SUMIFS(T_StockCount[CountedQty],T_StockCount[Part Name],$A43,T_StockCount[WeekIndex],16),IF((('T_SelfStock'!Q47&lt;&gt;""))*(('T_TTAFStock'!Q47&lt;&gt;""))&gt;0,'T_SelfStock'!Q47+'T_TTAFStock'!Q47,P43+'Grid_Incoming'!Q43-'Grid_Requirement'!Q43))</f>
        <v/>
      </c>
      <c r="R43">
        <f>IF(COUNTIFS(T_StockCount[Part Name],$A43,T_StockCount[WeekIndex],17)&gt;0,SUMIFS(T_StockCount[CountedQty],T_StockCount[Part Name],$A43,T_StockCount[WeekIndex],17),IF((('T_SelfStock'!R47&lt;&gt;""))*(('T_TTAFStock'!R47&lt;&gt;""))&gt;0,'T_SelfStock'!R47+'T_TTAFStock'!R47,Q43+'Grid_Incoming'!R43-'Grid_Requirement'!R43))</f>
        <v/>
      </c>
      <c r="S43">
        <f>IF(COUNTIFS(T_StockCount[Part Name],$A43,T_StockCount[WeekIndex],18)&gt;0,SUMIFS(T_StockCount[CountedQty],T_StockCount[Part Name],$A43,T_StockCount[WeekIndex],18),IF((('T_SelfStock'!S47&lt;&gt;""))*(('T_TTAFStock'!S47&lt;&gt;""))&gt;0,'T_SelfStock'!S47+'T_TTAFStock'!S47,R43+'Grid_Incoming'!S43-'Grid_Requirement'!S43))</f>
        <v/>
      </c>
      <c r="T43">
        <f>IF(COUNTIFS(T_StockCount[Part Name],$A43,T_StockCount[WeekIndex],19)&gt;0,SUMIFS(T_StockCount[CountedQty],T_StockCount[Part Name],$A43,T_StockCount[WeekIndex],19),IF((('T_SelfStock'!T47&lt;&gt;""))*(('T_TTAFStock'!T47&lt;&gt;""))&gt;0,'T_SelfStock'!T47+'T_TTAFStock'!T47,S43+'Grid_Incoming'!T43-'Grid_Requirement'!T43))</f>
        <v/>
      </c>
      <c r="U43">
        <f>IF(COUNTIFS(T_StockCount[Part Name],$A43,T_StockCount[WeekIndex],20)&gt;0,SUMIFS(T_StockCount[CountedQty],T_StockCount[Part Name],$A43,T_StockCount[WeekIndex],20),IF((('T_SelfStock'!U47&lt;&gt;""))*(('T_TTAFStock'!U47&lt;&gt;""))&gt;0,'T_SelfStock'!U47+'T_TTAFStock'!U47,T43+'Grid_Incoming'!U43-'Grid_Requirement'!U43))</f>
        <v/>
      </c>
      <c r="V43">
        <f>IF(COUNTIFS(T_StockCount[Part Name],$A43,T_StockCount[WeekIndex],21)&gt;0,SUMIFS(T_StockCount[CountedQty],T_StockCount[Part Name],$A43,T_StockCount[WeekIndex],21),IF((('T_SelfStock'!V47&lt;&gt;""))*(('T_TTAFStock'!V47&lt;&gt;""))&gt;0,'T_SelfStock'!V47+'T_TTAFStock'!V47,U43+'Grid_Incoming'!V43-'Grid_Requirement'!V43))</f>
        <v/>
      </c>
      <c r="W43">
        <f>IF(COUNTIFS(T_StockCount[Part Name],$A43,T_StockCount[WeekIndex],22)&gt;0,SUMIFS(T_StockCount[CountedQty],T_StockCount[Part Name],$A43,T_StockCount[WeekIndex],22),IF((('T_SelfStock'!W47&lt;&gt;""))*(('T_TTAFStock'!W47&lt;&gt;""))&gt;0,'T_SelfStock'!W47+'T_TTAFStock'!W47,V43+'Grid_Incoming'!W43-'Grid_Requirement'!W43))</f>
        <v/>
      </c>
      <c r="X43">
        <f>IF(COUNTIFS(T_StockCount[Part Name],$A43,T_StockCount[WeekIndex],23)&gt;0,SUMIFS(T_StockCount[CountedQty],T_StockCount[Part Name],$A43,T_StockCount[WeekIndex],23),IF((('T_SelfStock'!X47&lt;&gt;""))*(('T_TTAFStock'!X47&lt;&gt;""))&gt;0,'T_SelfStock'!X47+'T_TTAFStock'!X47,W43+'Grid_Incoming'!X43-'Grid_Requirement'!X43))</f>
        <v/>
      </c>
      <c r="Y43">
        <f>IF(COUNTIFS(T_StockCount[Part Name],$A43,T_StockCount[WeekIndex],24)&gt;0,SUMIFS(T_StockCount[CountedQty],T_StockCount[Part Name],$A43,T_StockCount[WeekIndex],24),IF((('T_SelfStock'!Y47&lt;&gt;""))*(('T_TTAFStock'!Y47&lt;&gt;""))&gt;0,'T_SelfStock'!Y47+'T_TTAFStock'!Y47,X43+'Grid_Incoming'!Y43-'Grid_Requirement'!Y43))</f>
        <v/>
      </c>
      <c r="Z43">
        <f>IF(COUNTIFS(T_StockCount[Part Name],$A43,T_StockCount[WeekIndex],25)&gt;0,SUMIFS(T_StockCount[CountedQty],T_StockCount[Part Name],$A43,T_StockCount[WeekIndex],25),IF((('T_SelfStock'!Z47&lt;&gt;""))*(('T_TTAFStock'!Z47&lt;&gt;""))&gt;0,'T_SelfStock'!Z47+'T_TTAFStock'!Z47,Y43+'Grid_Incoming'!Z43-'Grid_Requirement'!Z43))</f>
        <v/>
      </c>
      <c r="AA43">
        <f>IF(COUNTIFS(T_StockCount[Part Name],$A43,T_StockCount[WeekIndex],26)&gt;0,SUMIFS(T_StockCount[CountedQty],T_StockCount[Part Name],$A43,T_StockCount[WeekIndex],26),IF((('T_SelfStock'!AA47&lt;&gt;""))*(('T_TTAFStock'!AA47&lt;&gt;""))&gt;0,'T_SelfStock'!AA47+'T_TTAFStock'!AA47,Z43+'Grid_Incoming'!AA43-'Grid_Requirement'!AA43))</f>
        <v/>
      </c>
      <c r="AB43">
        <f>IF(COUNTIFS(T_StockCount[Part Name],$A43,T_StockCount[WeekIndex],27)&gt;0,SUMIFS(T_StockCount[CountedQty],T_StockCount[Part Name],$A43,T_StockCount[WeekIndex],27),IF((('T_SelfStock'!AB47&lt;&gt;""))*(('T_TTAFStock'!AB47&lt;&gt;""))&gt;0,'T_SelfStock'!AB47+'T_TTAFStock'!AB47,AA43+'Grid_Incoming'!AB43-'Grid_Requirement'!AB43))</f>
        <v/>
      </c>
      <c r="AC43">
        <f>IF(COUNTIFS(T_StockCount[Part Name],$A43,T_StockCount[WeekIndex],28)&gt;0,SUMIFS(T_StockCount[CountedQty],T_StockCount[Part Name],$A43,T_StockCount[WeekIndex],28),IF((('T_SelfStock'!AC47&lt;&gt;""))*(('T_TTAFStock'!AC47&lt;&gt;""))&gt;0,'T_SelfStock'!AC47+'T_TTAFStock'!AC47,AB43+'Grid_Incoming'!AC43-'Grid_Requirement'!AC43))</f>
        <v/>
      </c>
      <c r="AD43">
        <f>IF(COUNTIFS(T_StockCount[Part Name],$A43,T_StockCount[WeekIndex],29)&gt;0,SUMIFS(T_StockCount[CountedQty],T_StockCount[Part Name],$A43,T_StockCount[WeekIndex],29),IF((('T_SelfStock'!AD47&lt;&gt;""))*(('T_TTAFStock'!AD47&lt;&gt;""))&gt;0,'T_SelfStock'!AD47+'T_TTAFStock'!AD47,AC43+'Grid_Incoming'!AD43-'Grid_Requirement'!AD43))</f>
        <v/>
      </c>
      <c r="AE43">
        <f>IF(COUNTIFS(T_StockCount[Part Name],$A43,T_StockCount[WeekIndex],30)&gt;0,SUMIFS(T_StockCount[CountedQty],T_StockCount[Part Name],$A43,T_StockCount[WeekIndex],30),IF((('T_SelfStock'!AE47&lt;&gt;""))*(('T_TTAFStock'!AE47&lt;&gt;""))&gt;0,'T_SelfStock'!AE47+'T_TTAFStock'!AE47,AD43+'Grid_Incoming'!AE43-'Grid_Requirement'!AE43))</f>
        <v/>
      </c>
      <c r="AF43">
        <f>IF(COUNTIFS(T_StockCount[Part Name],$A43,T_StockCount[WeekIndex],31)&gt;0,SUMIFS(T_StockCount[CountedQty],T_StockCount[Part Name],$A43,T_StockCount[WeekIndex],31),IF((('T_SelfStock'!AF47&lt;&gt;""))*(('T_TTAFStock'!AF47&lt;&gt;""))&gt;0,'T_SelfStock'!AF47+'T_TTAFStock'!AF47,AE43+'Grid_Incoming'!AF43-'Grid_Requirement'!AF43))</f>
        <v/>
      </c>
      <c r="AG43">
        <f>IF(COUNTIFS(T_StockCount[Part Name],$A43,T_StockCount[WeekIndex],32)&gt;0,SUMIFS(T_StockCount[CountedQty],T_StockCount[Part Name],$A43,T_StockCount[WeekIndex],32),IF((('T_SelfStock'!AG47&lt;&gt;""))*(('T_TTAFStock'!AG47&lt;&gt;""))&gt;0,'T_SelfStock'!AG47+'T_TTAFStock'!AG47,AF43+'Grid_Incoming'!AG43-'Grid_Requirement'!AG43))</f>
        <v/>
      </c>
      <c r="AH43">
        <f>IF(COUNTIFS(T_StockCount[Part Name],$A43,T_StockCount[WeekIndex],33)&gt;0,SUMIFS(T_StockCount[CountedQty],T_StockCount[Part Name],$A43,T_StockCount[WeekIndex],33),IF((('T_SelfStock'!AH47&lt;&gt;""))*(('T_TTAFStock'!AH47&lt;&gt;""))&gt;0,'T_SelfStock'!AH47+'T_TTAFStock'!AH47,AG43+'Grid_Incoming'!AH43-'Grid_Requirement'!AH43))</f>
        <v/>
      </c>
      <c r="AI43">
        <f>IF(COUNTIFS(T_StockCount[Part Name],$A43,T_StockCount[WeekIndex],34)&gt;0,SUMIFS(T_StockCount[CountedQty],T_StockCount[Part Name],$A43,T_StockCount[WeekIndex],34),IF((('T_SelfStock'!AI47&lt;&gt;""))*(('T_TTAFStock'!AI47&lt;&gt;""))&gt;0,'T_SelfStock'!AI47+'T_TTAFStock'!AI47,AH43+'Grid_Incoming'!AI43-'Grid_Requirement'!AI43))</f>
        <v/>
      </c>
      <c r="AJ43">
        <f>IF(COUNTIFS(T_StockCount[Part Name],$A43,T_StockCount[WeekIndex],35)&gt;0,SUMIFS(T_StockCount[CountedQty],T_StockCount[Part Name],$A43,T_StockCount[WeekIndex],35),IF((('T_SelfStock'!AJ47&lt;&gt;""))*(('T_TTAFStock'!AJ47&lt;&gt;""))&gt;0,'T_SelfStock'!AJ47+'T_TTAFStock'!AJ47,AI43+'Grid_Incoming'!AJ43-'Grid_Requirement'!AJ43))</f>
        <v/>
      </c>
      <c r="AK43">
        <f>IF(COUNTIFS(T_StockCount[Part Name],$A43,T_StockCount[WeekIndex],36)&gt;0,SUMIFS(T_StockCount[CountedQty],T_StockCount[Part Name],$A43,T_StockCount[WeekIndex],36),IF((('T_SelfStock'!AK47&lt;&gt;""))*(('T_TTAFStock'!AK47&lt;&gt;""))&gt;0,'T_SelfStock'!AK47+'T_TTAFStock'!AK47,AJ43+'Grid_Incoming'!AK43-'Grid_Requirement'!AK43))</f>
        <v/>
      </c>
      <c r="AL43">
        <f>IF(COUNTIFS(T_StockCount[Part Name],$A43,T_StockCount[WeekIndex],37)&gt;0,SUMIFS(T_StockCount[CountedQty],T_StockCount[Part Name],$A43,T_StockCount[WeekIndex],37),IF((('T_SelfStock'!AL47&lt;&gt;""))*(('T_TTAFStock'!AL47&lt;&gt;""))&gt;0,'T_SelfStock'!AL47+'T_TTAFStock'!AL47,AK43+'Grid_Incoming'!AL43-'Grid_Requirement'!AL43))</f>
        <v/>
      </c>
      <c r="AM43">
        <f>IF(COUNTIFS(T_StockCount[Part Name],$A43,T_StockCount[WeekIndex],38)&gt;0,SUMIFS(T_StockCount[CountedQty],T_StockCount[Part Name],$A43,T_StockCount[WeekIndex],38),IF((('T_SelfStock'!AM47&lt;&gt;""))*(('T_TTAFStock'!AM47&lt;&gt;""))&gt;0,'T_SelfStock'!AM47+'T_TTAFStock'!AM47,AL43+'Grid_Incoming'!AM43-'Grid_Requirement'!AM43))</f>
        <v/>
      </c>
      <c r="AN43">
        <f>IF(COUNTIFS(T_StockCount[Part Name],$A43,T_StockCount[WeekIndex],39)&gt;0,SUMIFS(T_StockCount[CountedQty],T_StockCount[Part Name],$A43,T_StockCount[WeekIndex],39),IF((('T_SelfStock'!AN47&lt;&gt;""))*(('T_TTAFStock'!AN47&lt;&gt;""))&gt;0,'T_SelfStock'!AN47+'T_TTAFStock'!AN47,AM43+'Grid_Incoming'!AN43-'Grid_Requirement'!AN43))</f>
        <v/>
      </c>
      <c r="AO43">
        <f>IF(COUNTIFS(T_StockCount[Part Name],$A43,T_StockCount[WeekIndex],40)&gt;0,SUMIFS(T_StockCount[CountedQty],T_StockCount[Part Name],$A43,T_StockCount[WeekIndex],40),IF((('T_SelfStock'!AO47&lt;&gt;""))*(('T_TTAFStock'!AO47&lt;&gt;""))&gt;0,'T_SelfStock'!AO47+'T_TTAFStock'!AO47,AN43+'Grid_Incoming'!AO43-'Grid_Requirement'!AO43))</f>
        <v/>
      </c>
      <c r="AP43">
        <f>IF(COUNTIFS(T_StockCount[Part Name],$A43,T_StockCount[WeekIndex],41)&gt;0,SUMIFS(T_StockCount[CountedQty],T_StockCount[Part Name],$A43,T_StockCount[WeekIndex],41),IF((('T_SelfStock'!AP47&lt;&gt;""))*(('T_TTAFStock'!AP47&lt;&gt;""))&gt;0,'T_SelfStock'!AP47+'T_TTAFStock'!AP47,AO43+'Grid_Incoming'!AP43-'Grid_Requirement'!AP43))</f>
        <v/>
      </c>
      <c r="AQ43">
        <f>IF(COUNTIFS(T_StockCount[Part Name],$A43,T_StockCount[WeekIndex],42)&gt;0,SUMIFS(T_StockCount[CountedQty],T_StockCount[Part Name],$A43,T_StockCount[WeekIndex],42),IF((('T_SelfStock'!AQ47&lt;&gt;""))*(('T_TTAFStock'!AQ47&lt;&gt;""))&gt;0,'T_SelfStock'!AQ47+'T_TTAFStock'!AQ47,AP43+'Grid_Incoming'!AQ43-'Grid_Requirement'!AQ43))</f>
        <v/>
      </c>
      <c r="AR43">
        <f>IF(COUNTIFS(T_StockCount[Part Name],$A43,T_StockCount[WeekIndex],43)&gt;0,SUMIFS(T_StockCount[CountedQty],T_StockCount[Part Name],$A43,T_StockCount[WeekIndex],43),IF((('T_SelfStock'!AR47&lt;&gt;""))*(('T_TTAFStock'!AR47&lt;&gt;""))&gt;0,'T_SelfStock'!AR47+'T_TTAFStock'!AR47,AQ43+'Grid_Incoming'!AR43-'Grid_Requirement'!AR43))</f>
        <v/>
      </c>
      <c r="AS43">
        <f>IF(COUNTIFS(T_StockCount[Part Name],$A43,T_StockCount[WeekIndex],44)&gt;0,SUMIFS(T_StockCount[CountedQty],T_StockCount[Part Name],$A43,T_StockCount[WeekIndex],44),IF((('T_SelfStock'!AS47&lt;&gt;""))*(('T_TTAFStock'!AS47&lt;&gt;""))&gt;0,'T_SelfStock'!AS47+'T_TTAFStock'!AS47,AR43+'Grid_Incoming'!AS43-'Grid_Requirement'!AS43))</f>
        <v/>
      </c>
      <c r="AT43">
        <f>IF(COUNTIFS(T_StockCount[Part Name],$A43,T_StockCount[WeekIndex],45)&gt;0,SUMIFS(T_StockCount[CountedQty],T_StockCount[Part Name],$A43,T_StockCount[WeekIndex],45),IF((('T_SelfStock'!AT47&lt;&gt;""))*(('T_TTAFStock'!AT47&lt;&gt;""))&gt;0,'T_SelfStock'!AT47+'T_TTAFStock'!AT47,AS43+'Grid_Incoming'!AT43-'Grid_Requirement'!AT43))</f>
        <v/>
      </c>
      <c r="AU43">
        <f>IF(COUNTIFS(T_StockCount[Part Name],$A43,T_StockCount[WeekIndex],46)&gt;0,SUMIFS(T_StockCount[CountedQty],T_StockCount[Part Name],$A43,T_StockCount[WeekIndex],46),IF((('T_SelfStock'!AU47&lt;&gt;""))*(('T_TTAFStock'!AU47&lt;&gt;""))&gt;0,'T_SelfStock'!AU47+'T_TTAFStock'!AU47,AT43+'Grid_Incoming'!AU43-'Grid_Requirement'!AU43))</f>
        <v/>
      </c>
      <c r="AV43">
        <f>IF(COUNTIFS(T_StockCount[Part Name],$A43,T_StockCount[WeekIndex],47)&gt;0,SUMIFS(T_StockCount[CountedQty],T_StockCount[Part Name],$A43,T_StockCount[WeekIndex],47),IF((('T_SelfStock'!AV47&lt;&gt;""))*(('T_TTAFStock'!AV47&lt;&gt;""))&gt;0,'T_SelfStock'!AV47+'T_TTAFStock'!AV47,AU43+'Grid_Incoming'!AV43-'Grid_Requirement'!AV43))</f>
        <v/>
      </c>
      <c r="AW43">
        <f>IF(COUNTIFS(T_StockCount[Part Name],$A43,T_StockCount[WeekIndex],48)&gt;0,SUMIFS(T_StockCount[CountedQty],T_StockCount[Part Name],$A43,T_StockCount[WeekIndex],48),IF((('T_SelfStock'!AW47&lt;&gt;""))*(('T_TTAFStock'!AW47&lt;&gt;""))&gt;0,'T_SelfStock'!AW47+'T_TTAFStock'!AW47,AV43+'Grid_Incoming'!AW43-'Grid_Requirement'!AW43))</f>
        <v/>
      </c>
      <c r="AX43">
        <f>IF(COUNTIFS(T_StockCount[Part Name],$A43,T_StockCount[WeekIndex],49)&gt;0,SUMIFS(T_StockCount[CountedQty],T_StockCount[Part Name],$A43,T_StockCount[WeekIndex],49),IF((('T_SelfStock'!AX47&lt;&gt;""))*(('T_TTAFStock'!AX47&lt;&gt;""))&gt;0,'T_SelfStock'!AX47+'T_TTAFStock'!AX47,AW43+'Grid_Incoming'!AX43-'Grid_Requirement'!AX43))</f>
        <v/>
      </c>
      <c r="AY43">
        <f>IF(COUNTIFS(T_StockCount[Part Name],$A43,T_StockCount[WeekIndex],50)&gt;0,SUMIFS(T_StockCount[CountedQty],T_StockCount[Part Name],$A43,T_StockCount[WeekIndex],50),IF((('T_SelfStock'!AY47&lt;&gt;""))*(('T_TTAFStock'!AY47&lt;&gt;""))&gt;0,'T_SelfStock'!AY47+'T_TTAFStock'!AY47,AX43+'Grid_Incoming'!AY43-'Grid_Requirement'!AY43))</f>
        <v/>
      </c>
      <c r="AZ43">
        <f>IF(COUNTIFS(T_StockCount[Part Name],$A43,T_StockCount[WeekIndex],51)&gt;0,SUMIFS(T_StockCount[CountedQty],T_StockCount[Part Name],$A43,T_StockCount[WeekIndex],51),IF((('T_SelfStock'!AZ47&lt;&gt;""))*(('T_TTAFStock'!AZ47&lt;&gt;""))&gt;0,'T_SelfStock'!AZ47+'T_TTAFStock'!AZ47,AY43+'Grid_Incoming'!AZ43-'Grid_Requirement'!AZ43))</f>
        <v/>
      </c>
      <c r="BA43">
        <f>IF(COUNTIFS(T_StockCount[Part Name],$A43,T_StockCount[WeekIndex],52)&gt;0,SUMIFS(T_StockCount[CountedQty],T_StockCount[Part Name],$A43,T_StockCount[WeekIndex],52),IF((('T_SelfStock'!BA47&lt;&gt;""))*(('T_TTAFStock'!BA47&lt;&gt;""))&gt;0,'T_SelfStock'!BA47+'T_TTAFStock'!BA47,AZ43+'Grid_Incoming'!BA43-'Grid_Requirement'!BA43))</f>
        <v/>
      </c>
      <c r="BB43">
        <f>IF(COUNTIFS(T_StockCount[Part Name],$A43,T_StockCount[WeekIndex],53)&gt;0,SUMIFS(T_StockCount[CountedQty],T_StockCount[Part Name],$A43,T_StockCount[WeekIndex],53),IF((('T_SelfStock'!BB47&lt;&gt;""))*(('T_TTAFStock'!BB47&lt;&gt;""))&gt;0,'T_SelfStock'!BB47+'T_TTAFStock'!BB47,BA43+'Grid_Incoming'!BB43-'Grid_Requirement'!BB43))</f>
        <v/>
      </c>
      <c r="BC43">
        <f>IF(COUNTIFS(T_StockCount[Part Name],$A43,T_StockCount[WeekIndex],54)&gt;0,SUMIFS(T_StockCount[CountedQty],T_StockCount[Part Name],$A43,T_StockCount[WeekIndex],54),IF((('T_SelfStock'!BC47&lt;&gt;""))*(('T_TTAFStock'!BC47&lt;&gt;""))&gt;0,'T_SelfStock'!BC47+'T_TTAFStock'!BC47,BB43+'Grid_Incoming'!BC43-'Grid_Requirement'!BC43))</f>
        <v/>
      </c>
      <c r="BD43">
        <f>IF(COUNTIFS(T_StockCount[Part Name],$A43,T_StockCount[WeekIndex],55)&gt;0,SUMIFS(T_StockCount[CountedQty],T_StockCount[Part Name],$A43,T_StockCount[WeekIndex],55),IF((('T_SelfStock'!BD47&lt;&gt;""))*(('T_TTAFStock'!BD47&lt;&gt;""))&gt;0,'T_SelfStock'!BD47+'T_TTAFStock'!BD47,BC43+'Grid_Incoming'!BD43-'Grid_Requirement'!BD43))</f>
        <v/>
      </c>
      <c r="BE43">
        <f>IF(COUNTIFS(T_StockCount[Part Name],$A43,T_StockCount[WeekIndex],56)&gt;0,SUMIFS(T_StockCount[CountedQty],T_StockCount[Part Name],$A43,T_StockCount[WeekIndex],56),IF((('T_SelfStock'!BE47&lt;&gt;""))*(('T_TTAFStock'!BE47&lt;&gt;""))&gt;0,'T_SelfStock'!BE47+'T_TTAFStock'!BE47,BD43+'Grid_Incoming'!BE43-'Grid_Requirement'!BE43))</f>
        <v/>
      </c>
      <c r="BF43">
        <f>IF(COUNTIFS(T_StockCount[Part Name],$A43,T_StockCount[WeekIndex],57)&gt;0,SUMIFS(T_StockCount[CountedQty],T_StockCount[Part Name],$A43,T_StockCount[WeekIndex],57),IF((('T_SelfStock'!BF47&lt;&gt;""))*(('T_TTAFStock'!BF47&lt;&gt;""))&gt;0,'T_SelfStock'!BF47+'T_TTAFStock'!BF47,BE43+'Grid_Incoming'!BF43-'Grid_Requirement'!BF43))</f>
        <v/>
      </c>
      <c r="BG43">
        <f>IF(COUNTIFS(T_StockCount[Part Name],$A43,T_StockCount[WeekIndex],58)&gt;0,SUMIFS(T_StockCount[CountedQty],T_StockCount[Part Name],$A43,T_StockCount[WeekIndex],58),IF((('T_SelfStock'!BG47&lt;&gt;""))*(('T_TTAFStock'!BG47&lt;&gt;""))&gt;0,'T_SelfStock'!BG47+'T_TTAFStock'!BG47,BF43+'Grid_Incoming'!BG43-'Grid_Requirement'!BG43))</f>
        <v/>
      </c>
      <c r="BH43">
        <f>IF(COUNTIFS(T_StockCount[Part Name],$A43,T_StockCount[WeekIndex],59)&gt;0,SUMIFS(T_StockCount[CountedQty],T_StockCount[Part Name],$A43,T_StockCount[WeekIndex],59),IF((('T_SelfStock'!BH47&lt;&gt;""))*(('T_TTAFStock'!BH47&lt;&gt;""))&gt;0,'T_SelfStock'!BH47+'T_TTAFStock'!BH47,BG43+'Grid_Incoming'!BH43-'Grid_Requirement'!BH43))</f>
        <v/>
      </c>
      <c r="BI43">
        <f>IF(COUNTIFS(T_StockCount[Part Name],$A43,T_StockCount[WeekIndex],60)&gt;0,SUMIFS(T_StockCount[CountedQty],T_StockCount[Part Name],$A43,T_StockCount[WeekIndex],60),IF((('T_SelfStock'!BI47&lt;&gt;""))*(('T_TTAFStock'!BI47&lt;&gt;""))&gt;0,'T_SelfStock'!BI47+'T_TTAFStock'!BI47,BH43+'Grid_Incoming'!BI43-'Grid_Requirement'!BI43))</f>
        <v/>
      </c>
      <c r="BJ43">
        <f>IF(COUNTIFS(T_StockCount[Part Name],$A43,T_StockCount[WeekIndex],61)&gt;0,SUMIFS(T_StockCount[CountedQty],T_StockCount[Part Name],$A43,T_StockCount[WeekIndex],61),IF((('T_SelfStock'!BJ47&lt;&gt;""))*(('T_TTAFStock'!BJ47&lt;&gt;""))&gt;0,'T_SelfStock'!BJ47+'T_TTAFStock'!BJ47,BI43+'Grid_Incoming'!BJ43-'Grid_Requirement'!BJ43))</f>
        <v/>
      </c>
      <c r="BK43">
        <f>IF(COUNTIFS(T_StockCount[Part Name],$A43,T_StockCount[WeekIndex],62)&gt;0,SUMIFS(T_StockCount[CountedQty],T_StockCount[Part Name],$A43,T_StockCount[WeekIndex],62),IF((('T_SelfStock'!BK47&lt;&gt;""))*(('T_TTAFStock'!BK47&lt;&gt;""))&gt;0,'T_SelfStock'!BK47+'T_TTAFStock'!BK47,BJ43+'Grid_Incoming'!BK43-'Grid_Requirement'!BK43))</f>
        <v/>
      </c>
      <c r="BL43">
        <f>IF(COUNTIFS(T_StockCount[Part Name],$A43,T_StockCount[WeekIndex],63)&gt;0,SUMIFS(T_StockCount[CountedQty],T_StockCount[Part Name],$A43,T_StockCount[WeekIndex],63),IF((('T_SelfStock'!BL47&lt;&gt;""))*(('T_TTAFStock'!BL47&lt;&gt;""))&gt;0,'T_SelfStock'!BL47+'T_TTAFStock'!BL47,BK43+'Grid_Incoming'!BL43-'Grid_Requirement'!BL43))</f>
        <v/>
      </c>
      <c r="BM43">
        <f>IF(COUNTIFS(T_StockCount[Part Name],$A43,T_StockCount[WeekIndex],64)&gt;0,SUMIFS(T_StockCount[CountedQty],T_StockCount[Part Name],$A43,T_StockCount[WeekIndex],64),IF((('T_SelfStock'!BM47&lt;&gt;""))*(('T_TTAFStock'!BM47&lt;&gt;""))&gt;0,'T_SelfStock'!BM47+'T_TTAFStock'!BM47,BL43+'Grid_Incoming'!BM43-'Grid_Requirement'!BM43))</f>
        <v/>
      </c>
      <c r="BN43">
        <f>IF(COUNTIFS(T_StockCount[Part Name],$A43,T_StockCount[WeekIndex],65)&gt;0,SUMIFS(T_StockCount[CountedQty],T_StockCount[Part Name],$A43,T_StockCount[WeekIndex],65),IF((('T_SelfStock'!BN47&lt;&gt;""))*(('T_TTAFStock'!BN47&lt;&gt;""))&gt;0,'T_SelfStock'!BN47+'T_TTAFStock'!BN47,BM43+'Grid_Incoming'!BN43-'Grid_Requirement'!BN43))</f>
        <v/>
      </c>
      <c r="BO43">
        <f>IF(COUNTIFS(T_StockCount[Part Name],$A43,T_StockCount[WeekIndex],66)&gt;0,SUMIFS(T_StockCount[CountedQty],T_StockCount[Part Name],$A43,T_StockCount[WeekIndex],66),IF((('T_SelfStock'!BO47&lt;&gt;""))*(('T_TTAFStock'!BO47&lt;&gt;""))&gt;0,'T_SelfStock'!BO47+'T_TTAFStock'!BO47,BN43+'Grid_Incoming'!BO43-'Grid_Requirement'!BO43))</f>
        <v/>
      </c>
      <c r="BP43">
        <f>IF(COUNTIFS(T_StockCount[Part Name],$A43,T_StockCount[WeekIndex],67)&gt;0,SUMIFS(T_StockCount[CountedQty],T_StockCount[Part Name],$A43,T_StockCount[WeekIndex],67),IF((('T_SelfStock'!BP47&lt;&gt;""))*(('T_TTAFStock'!BP47&lt;&gt;""))&gt;0,'T_SelfStock'!BP47+'T_TTAFStock'!BP47,BO43+'Grid_Incoming'!BP43-'Grid_Requirement'!BP43))</f>
        <v/>
      </c>
      <c r="BQ43">
        <f>IF(COUNTIFS(T_StockCount[Part Name],$A43,T_StockCount[WeekIndex],68)&gt;0,SUMIFS(T_StockCount[CountedQty],T_StockCount[Part Name],$A43,T_StockCount[WeekIndex],68),IF((('T_SelfStock'!BQ47&lt;&gt;""))*(('T_TTAFStock'!BQ47&lt;&gt;""))&gt;0,'T_SelfStock'!BQ47+'T_TTAFStock'!BQ47,BP43+'Grid_Incoming'!BQ43-'Grid_Requirement'!BQ43))</f>
        <v/>
      </c>
      <c r="BR43">
        <f>IF(COUNTIFS(T_StockCount[Part Name],$A43,T_StockCount[WeekIndex],69)&gt;0,SUMIFS(T_StockCount[CountedQty],T_StockCount[Part Name],$A43,T_StockCount[WeekIndex],69),IF((('T_SelfStock'!BR47&lt;&gt;""))*(('T_TTAFStock'!BR47&lt;&gt;""))&gt;0,'T_SelfStock'!BR47+'T_TTAFStock'!BR47,BQ43+'Grid_Incoming'!BR43-'Grid_Requirement'!BR43))</f>
        <v/>
      </c>
      <c r="BS43">
        <f>IF(COUNTIFS(T_StockCount[Part Name],$A43,T_StockCount[WeekIndex],70)&gt;0,SUMIFS(T_StockCount[CountedQty],T_StockCount[Part Name],$A43,T_StockCount[WeekIndex],70),IF((('T_SelfStock'!BS47&lt;&gt;""))*(('T_TTAFStock'!BS47&lt;&gt;""))&gt;0,'T_SelfStock'!BS47+'T_TTAFStock'!BS47,BR43+'Grid_Incoming'!BS43-'Grid_Requirement'!BS43))</f>
        <v/>
      </c>
      <c r="BT43">
        <f>IF(COUNTIFS(T_StockCount[Part Name],$A43,T_StockCount[WeekIndex],71)&gt;0,SUMIFS(T_StockCount[CountedQty],T_StockCount[Part Name],$A43,T_StockCount[WeekIndex],71),IF((('T_SelfStock'!BT47&lt;&gt;""))*(('T_TTAFStock'!BT47&lt;&gt;""))&gt;0,'T_SelfStock'!BT47+'T_TTAFStock'!BT47,BS43+'Grid_Incoming'!BT43-'Grid_Requirement'!BT43))</f>
        <v/>
      </c>
      <c r="BU43">
        <f>IF(COUNTIFS(T_StockCount[Part Name],$A43,T_StockCount[WeekIndex],72)&gt;0,SUMIFS(T_StockCount[CountedQty],T_StockCount[Part Name],$A43,T_StockCount[WeekIndex],72),IF((('T_SelfStock'!BU47&lt;&gt;""))*(('T_TTAFStock'!BU47&lt;&gt;""))&gt;0,'T_SelfStock'!BU47+'T_TTAFStock'!BU47,BT43+'Grid_Incoming'!BU43-'Grid_Requirement'!BU43))</f>
        <v/>
      </c>
      <c r="BV43">
        <f>IF(COUNTIFS(T_StockCount[Part Name],$A43,T_StockCount[WeekIndex],73)&gt;0,SUMIFS(T_StockCount[CountedQty],T_StockCount[Part Name],$A43,T_StockCount[WeekIndex],73),IF((('T_SelfStock'!BV47&lt;&gt;""))*(('T_TTAFStock'!BV47&lt;&gt;""))&gt;0,'T_SelfStock'!BV47+'T_TTAFStock'!BV47,BU43+'Grid_Incoming'!BV43-'Grid_Requirement'!BV43))</f>
        <v/>
      </c>
      <c r="BW43">
        <f>IF(COUNTIFS(T_StockCount[Part Name],$A43,T_StockCount[WeekIndex],74)&gt;0,SUMIFS(T_StockCount[CountedQty],T_StockCount[Part Name],$A43,T_StockCount[WeekIndex],74),IF((('T_SelfStock'!BW47&lt;&gt;""))*(('T_TTAFStock'!BW47&lt;&gt;""))&gt;0,'T_SelfStock'!BW47+'T_TTAFStock'!BW47,BV43+'Grid_Incoming'!BW43-'Grid_Requirement'!BW43))</f>
        <v/>
      </c>
      <c r="BX43">
        <f>IF(COUNTIFS(T_StockCount[Part Name],$A43,T_StockCount[WeekIndex],75)&gt;0,SUMIFS(T_StockCount[CountedQty],T_StockCount[Part Name],$A43,T_StockCount[WeekIndex],75),IF((('T_SelfStock'!BX47&lt;&gt;""))*(('T_TTAFStock'!BX47&lt;&gt;""))&gt;0,'T_SelfStock'!BX47+'T_TTAFStock'!BX47,BW43+'Grid_Incoming'!BX43-'Grid_Requirement'!BX43))</f>
        <v/>
      </c>
      <c r="BY43">
        <f>IF(COUNTIFS(T_StockCount[Part Name],$A43,T_StockCount[WeekIndex],76)&gt;0,SUMIFS(T_StockCount[CountedQty],T_StockCount[Part Name],$A43,T_StockCount[WeekIndex],76),IF((('T_SelfStock'!BY47&lt;&gt;""))*(('T_TTAFStock'!BY47&lt;&gt;""))&gt;0,'T_SelfStock'!BY47+'T_TTAFStock'!BY47,BX43+'Grid_Incoming'!BY43-'Grid_Requirement'!BY43))</f>
        <v/>
      </c>
      <c r="BZ43">
        <f>IF(COUNTIFS(T_StockCount[Part Name],$A43,T_StockCount[WeekIndex],77)&gt;0,SUMIFS(T_StockCount[CountedQty],T_StockCount[Part Name],$A43,T_StockCount[WeekIndex],77),IF((('T_SelfStock'!BZ47&lt;&gt;""))*(('T_TTAFStock'!BZ47&lt;&gt;""))&gt;0,'T_SelfStock'!BZ47+'T_TTAFStock'!BZ47,BY43+'Grid_Incoming'!BZ43-'Grid_Requirement'!BZ43))</f>
        <v/>
      </c>
      <c r="CA43">
        <f>IF(COUNTIFS(T_StockCount[Part Name],$A43,T_StockCount[WeekIndex],78)&gt;0,SUMIFS(T_StockCount[CountedQty],T_StockCount[Part Name],$A43,T_StockCount[WeekIndex],78),IF((('T_SelfStock'!CA47&lt;&gt;""))*(('T_TTAFStock'!CA47&lt;&gt;""))&gt;0,'T_SelfStock'!CA47+'T_TTAFStock'!CA47,BZ43+'Grid_Incoming'!CA43-'Grid_Requirement'!CA43))</f>
        <v/>
      </c>
      <c r="CB43">
        <f>IF(COUNTIFS(T_StockCount[Part Name],$A43,T_StockCount[WeekIndex],79)&gt;0,SUMIFS(T_StockCount[CountedQty],T_StockCount[Part Name],$A43,T_StockCount[WeekIndex],79),IF((('T_SelfStock'!CB47&lt;&gt;""))*(('T_TTAFStock'!CB47&lt;&gt;""))&gt;0,'T_SelfStock'!CB47+'T_TTAFStock'!CB47,CA43+'Grid_Incoming'!CB43-'Grid_Requirement'!CB43))</f>
        <v/>
      </c>
      <c r="CC43">
        <f>IF(COUNTIFS(T_StockCount[Part Name],$A43,T_StockCount[WeekIndex],80)&gt;0,SUMIFS(T_StockCount[CountedQty],T_StockCount[Part Name],$A43,T_StockCount[WeekIndex],80),IF((('T_SelfStock'!CC47&lt;&gt;""))*(('T_TTAFStock'!CC47&lt;&gt;""))&gt;0,'T_SelfStock'!CC47+'T_TTAFStock'!CC47,CB43+'Grid_Incoming'!CC43-'Grid_Requirement'!CC43))</f>
        <v/>
      </c>
      <c r="CD43">
        <f>IF(COUNTIFS(T_StockCount[Part Name],$A43,T_StockCount[WeekIndex],81)&gt;0,SUMIFS(T_StockCount[CountedQty],T_StockCount[Part Name],$A43,T_StockCount[WeekIndex],81),IF((('T_SelfStock'!CD47&lt;&gt;""))*(('T_TTAFStock'!CD47&lt;&gt;""))&gt;0,'T_SelfStock'!CD47+'T_TTAFStock'!CD47,CC43+'Grid_Incoming'!CD43-'Grid_Requirement'!CD43))</f>
        <v/>
      </c>
      <c r="CE43">
        <f>IF(COUNTIFS(T_StockCount[Part Name],$A43,T_StockCount[WeekIndex],82)&gt;0,SUMIFS(T_StockCount[CountedQty],T_StockCount[Part Name],$A43,T_StockCount[WeekIndex],82),IF((('T_SelfStock'!CE47&lt;&gt;""))*(('T_TTAFStock'!CE47&lt;&gt;""))&gt;0,'T_SelfStock'!CE47+'T_TTAFStock'!CE47,CD43+'Grid_Incoming'!CE43-'Grid_Requirement'!CE43))</f>
        <v/>
      </c>
      <c r="CF43">
        <f>IF(COUNTIFS(T_StockCount[Part Name],$A43,T_StockCount[WeekIndex],83)&gt;0,SUMIFS(T_StockCount[CountedQty],T_StockCount[Part Name],$A43,T_StockCount[WeekIndex],83),IF((('T_SelfStock'!CF47&lt;&gt;""))*(('T_TTAFStock'!CF47&lt;&gt;""))&gt;0,'T_SelfStock'!CF47+'T_TTAFStock'!CF47,CE43+'Grid_Incoming'!CF43-'Grid_Requirement'!CF43))</f>
        <v/>
      </c>
      <c r="CG43">
        <f>IF(COUNTIFS(T_StockCount[Part Name],$A43,T_StockCount[WeekIndex],84)&gt;0,SUMIFS(T_StockCount[CountedQty],T_StockCount[Part Name],$A43,T_StockCount[WeekIndex],84),IF((('T_SelfStock'!CG47&lt;&gt;""))*(('T_TTAFStock'!CG47&lt;&gt;""))&gt;0,'T_SelfStock'!CG47+'T_TTAFStock'!CG47,CF43+'Grid_Incoming'!CG43-'Grid_Requirement'!CG43))</f>
        <v/>
      </c>
      <c r="CH43">
        <f>IF(COUNTIFS(T_StockCount[Part Name],$A43,T_StockCount[WeekIndex],85)&gt;0,SUMIFS(T_StockCount[CountedQty],T_StockCount[Part Name],$A43,T_StockCount[WeekIndex],85),IF((('T_SelfStock'!CH47&lt;&gt;""))*(('T_TTAFStock'!CH47&lt;&gt;""))&gt;0,'T_SelfStock'!CH47+'T_TTAFStock'!CH47,CG43+'Grid_Incoming'!CH43-'Grid_Requirement'!CH43))</f>
        <v/>
      </c>
      <c r="CI43">
        <f>IF(COUNTIFS(T_StockCount[Part Name],$A43,T_StockCount[WeekIndex],86)&gt;0,SUMIFS(T_StockCount[CountedQty],T_StockCount[Part Name],$A43,T_StockCount[WeekIndex],86),IF((('T_SelfStock'!CI47&lt;&gt;""))*(('T_TTAFStock'!CI47&lt;&gt;""))&gt;0,'T_SelfStock'!CI47+'T_TTAFStock'!CI47,CH43+'Grid_Incoming'!CI43-'Grid_Requirement'!CI43))</f>
        <v/>
      </c>
      <c r="CJ43">
        <f>IF(COUNTIFS(T_StockCount[Part Name],$A43,T_StockCount[WeekIndex],87)&gt;0,SUMIFS(T_StockCount[CountedQty],T_StockCount[Part Name],$A43,T_StockCount[WeekIndex],87),IF((('T_SelfStock'!CJ47&lt;&gt;""))*(('T_TTAFStock'!CJ47&lt;&gt;""))&gt;0,'T_SelfStock'!CJ47+'T_TTAFStock'!CJ47,CI43+'Grid_Incoming'!CJ43-'Grid_Requirement'!CJ43))</f>
        <v/>
      </c>
      <c r="CK43">
        <f>IF(COUNTIFS(T_StockCount[Part Name],$A43,T_StockCount[WeekIndex],88)&gt;0,SUMIFS(T_StockCount[CountedQty],T_StockCount[Part Name],$A43,T_StockCount[WeekIndex],88),IF((('T_SelfStock'!CK47&lt;&gt;""))*(('T_TTAFStock'!CK47&lt;&gt;""))&gt;0,'T_SelfStock'!CK47+'T_TTAFStock'!CK47,CJ43+'Grid_Incoming'!CK43-'Grid_Requirement'!CK43))</f>
        <v/>
      </c>
      <c r="CL43">
        <f>IF(COUNTIFS(T_StockCount[Part Name],$A43,T_StockCount[WeekIndex],89)&gt;0,SUMIFS(T_StockCount[CountedQty],T_StockCount[Part Name],$A43,T_StockCount[WeekIndex],89),IF((('T_SelfStock'!CL47&lt;&gt;""))*(('T_TTAFStock'!CL47&lt;&gt;""))&gt;0,'T_SelfStock'!CL47+'T_TTAFStock'!CL47,CK43+'Grid_Incoming'!CL43-'Grid_Requirement'!CL43))</f>
        <v/>
      </c>
      <c r="CM43">
        <f>IF(COUNTIFS(T_StockCount[Part Name],$A43,T_StockCount[WeekIndex],90)&gt;0,SUMIFS(T_StockCount[CountedQty],T_StockCount[Part Name],$A43,T_StockCount[WeekIndex],90),IF((('T_SelfStock'!CM47&lt;&gt;""))*(('T_TTAFStock'!CM47&lt;&gt;""))&gt;0,'T_SelfStock'!CM47+'T_TTAFStock'!CM47,CL43+'Grid_Incoming'!CM43-'Grid_Requirement'!CM43))</f>
        <v/>
      </c>
      <c r="CN43">
        <f>IF(COUNTIFS(T_StockCount[Part Name],$A43,T_StockCount[WeekIndex],91)&gt;0,SUMIFS(T_StockCount[CountedQty],T_StockCount[Part Name],$A43,T_StockCount[WeekIndex],91),IF((('T_SelfStock'!CN47&lt;&gt;""))*(('T_TTAFStock'!CN47&lt;&gt;""))&gt;0,'T_SelfStock'!CN47+'T_TTAFStock'!CN47,CM43+'Grid_Incoming'!CN43-'Grid_Requirement'!CN43))</f>
        <v/>
      </c>
      <c r="CO43">
        <f>IF(COUNTIFS(T_StockCount[Part Name],$A43,T_StockCount[WeekIndex],92)&gt;0,SUMIFS(T_StockCount[CountedQty],T_StockCount[Part Name],$A43,T_StockCount[WeekIndex],92),IF((('T_SelfStock'!CO47&lt;&gt;""))*(('T_TTAFStock'!CO47&lt;&gt;""))&gt;0,'T_SelfStock'!CO47+'T_TTAFStock'!CO47,CN43+'Grid_Incoming'!CO43-'Grid_Requirement'!CO43))</f>
        <v/>
      </c>
      <c r="CP43">
        <f>IF(COUNTIFS(T_StockCount[Part Name],$A43,T_StockCount[WeekIndex],93)&gt;0,SUMIFS(T_StockCount[CountedQty],T_StockCount[Part Name],$A43,T_StockCount[WeekIndex],93),IF((('T_SelfStock'!CP47&lt;&gt;""))*(('T_TTAFStock'!CP47&lt;&gt;""))&gt;0,'T_SelfStock'!CP47+'T_TTAFStock'!CP47,CO43+'Grid_Incoming'!CP43-'Grid_Requirement'!CP43))</f>
        <v/>
      </c>
      <c r="CQ43">
        <f>IF(COUNTIFS(T_StockCount[Part Name],$A43,T_StockCount[WeekIndex],94)&gt;0,SUMIFS(T_StockCount[CountedQty],T_StockCount[Part Name],$A43,T_StockCount[WeekIndex],94),IF((('T_SelfStock'!CQ47&lt;&gt;""))*(('T_TTAFStock'!CQ47&lt;&gt;""))&gt;0,'T_SelfStock'!CQ47+'T_TTAFStock'!CQ47,CP43+'Grid_Incoming'!CQ43-'Grid_Requirement'!CQ43))</f>
        <v/>
      </c>
      <c r="CR43">
        <f>IF(COUNTIFS(T_StockCount[Part Name],$A43,T_StockCount[WeekIndex],95)&gt;0,SUMIFS(T_StockCount[CountedQty],T_StockCount[Part Name],$A43,T_StockCount[WeekIndex],95),IF((('T_SelfStock'!CR47&lt;&gt;""))*(('T_TTAFStock'!CR47&lt;&gt;""))&gt;0,'T_SelfStock'!CR47+'T_TTAFStock'!CR47,CQ43+'Grid_Incoming'!CR43-'Grid_Requirement'!CR43))</f>
        <v/>
      </c>
      <c r="CS43">
        <f>IF(COUNTIFS(T_StockCount[Part Name],$A43,T_StockCount[WeekIndex],96)&gt;0,SUMIFS(T_StockCount[CountedQty],T_StockCount[Part Name],$A43,T_StockCount[WeekIndex],96),IF((('T_SelfStock'!CS47&lt;&gt;""))*(('T_TTAFStock'!CS47&lt;&gt;""))&gt;0,'T_SelfStock'!CS47+'T_TTAFStock'!CS47,CR43+'Grid_Incoming'!CS43-'Grid_Requirement'!CS43))</f>
        <v/>
      </c>
      <c r="CT43">
        <f>IF(COUNTIFS(T_StockCount[Part Name],$A43,T_StockCount[WeekIndex],97)&gt;0,SUMIFS(T_StockCount[CountedQty],T_StockCount[Part Name],$A43,T_StockCount[WeekIndex],97),IF((('T_SelfStock'!CT47&lt;&gt;""))*(('T_TTAFStock'!CT47&lt;&gt;""))&gt;0,'T_SelfStock'!CT47+'T_TTAFStock'!CT47,CS43+'Grid_Incoming'!CT43-'Grid_Requirement'!CT43))</f>
        <v/>
      </c>
      <c r="CU43">
        <f>IF(COUNTIFS(T_StockCount[Part Name],$A43,T_StockCount[WeekIndex],98)&gt;0,SUMIFS(T_StockCount[CountedQty],T_StockCount[Part Name],$A43,T_StockCount[WeekIndex],98),IF((('T_SelfStock'!CU47&lt;&gt;""))*(('T_TTAFStock'!CU47&lt;&gt;""))&gt;0,'T_SelfStock'!CU47+'T_TTAFStock'!CU47,CT43+'Grid_Incoming'!CU43-'Grid_Requirement'!CU43))</f>
        <v/>
      </c>
      <c r="CV43">
        <f>IF(COUNTIFS(T_StockCount[Part Name],$A43,T_StockCount[WeekIndex],99)&gt;0,SUMIFS(T_StockCount[CountedQty],T_StockCount[Part Name],$A43,T_StockCount[WeekIndex],99),IF((('T_SelfStock'!CV47&lt;&gt;""))*(('T_TTAFStock'!CV47&lt;&gt;""))&gt;0,'T_SelfStock'!CV47+'T_TTAFStock'!CV47,CU43+'Grid_Incoming'!CV43-'Grid_Requirement'!CV43))</f>
        <v/>
      </c>
      <c r="CW43">
        <f>IF(COUNTIFS(T_StockCount[Part Name],$A43,T_StockCount[WeekIndex],100)&gt;0,SUMIFS(T_StockCount[CountedQty],T_StockCount[Part Name],$A43,T_StockCount[WeekIndex],100),IF((('T_SelfStock'!CW47&lt;&gt;""))*(('T_TTAFStock'!CW47&lt;&gt;""))&gt;0,'T_SelfStock'!CW47+'T_TTAFStock'!CW47,CV43+'Grid_Incoming'!CW43-'Grid_Requirement'!CW43))</f>
        <v/>
      </c>
      <c r="CX43">
        <f>IF(COUNTIFS(T_StockCount[Part Name],$A43,T_StockCount[WeekIndex],101)&gt;0,SUMIFS(T_StockCount[CountedQty],T_StockCount[Part Name],$A43,T_StockCount[WeekIndex],101),IF((('T_SelfStock'!CX47&lt;&gt;""))*(('T_TTAFStock'!CX47&lt;&gt;""))&gt;0,'T_SelfStock'!CX47+'T_TTAFStock'!CX47,CW43+'Grid_Incoming'!CX43-'Grid_Requirement'!CX43))</f>
        <v/>
      </c>
      <c r="CY43">
        <f>IF(COUNTIFS(T_StockCount[Part Name],$A43,T_StockCount[WeekIndex],102)&gt;0,SUMIFS(T_StockCount[CountedQty],T_StockCount[Part Name],$A43,T_StockCount[WeekIndex],102),IF((('T_SelfStock'!CY47&lt;&gt;""))*(('T_TTAFStock'!CY47&lt;&gt;""))&gt;0,'T_SelfStock'!CY47+'T_TTAFStock'!CY47,CX43+'Grid_Incoming'!CY43-'Grid_Requirement'!CY43))</f>
        <v/>
      </c>
      <c r="CZ43">
        <f>IF(COUNTIFS(T_StockCount[Part Name],$A43,T_StockCount[WeekIndex],103)&gt;0,SUMIFS(T_StockCount[CountedQty],T_StockCount[Part Name],$A43,T_StockCount[WeekIndex],103),IF((('T_SelfStock'!CZ47&lt;&gt;""))*(('T_TTAFStock'!CZ47&lt;&gt;""))&gt;0,'T_SelfStock'!CZ47+'T_TTAFStock'!CZ47,CY43+'Grid_Incoming'!CZ43-'Grid_Requirement'!CZ43))</f>
        <v/>
      </c>
      <c r="DA43">
        <f>IF(COUNTIFS(T_StockCount[Part Name],$A43,T_StockCount[WeekIndex],104)&gt;0,SUMIFS(T_StockCount[CountedQty],T_StockCount[Part Name],$A43,T_StockCount[WeekIndex],104),IF((('T_SelfStock'!DA47&lt;&gt;""))*(('T_TTAFStock'!DA47&lt;&gt;""))&gt;0,'T_SelfStock'!DA47+'T_TTAFStock'!DA47,CZ43+'Grid_Incoming'!DA43-'Grid_Requirement'!DA43))</f>
        <v/>
      </c>
    </row>
    <row r="44">
      <c r="A44" t="inlineStr">
        <is>
          <t>CHEM-1570</t>
        </is>
      </c>
      <c r="B44">
        <f>IF(COUNTIFS(T_StockCount[Part Name],$A44,T_StockCount[WeekIndex],1)&gt;0,SUMIFS(T_StockCount[CountedQty],T_StockCount[Part Name],$A44,T_StockCount[WeekIndex],1),IF((('T_SelfStock'!B48&lt;&gt;""))*(('T_TTAFStock'!B48&lt;&gt;""))&gt;0,'T_SelfStock'!B48+'T_TTAFStock'!B48,IFERROR(INDEX(T_OpeningStock[Opening_Qty_要入力],MATCH($A44,T_OpeningStock[Part Name],0)),0)+'Grid_Incoming'!B44-'Grid_Requirement'!B44))</f>
        <v/>
      </c>
      <c r="C44">
        <f>IF(COUNTIFS(T_StockCount[Part Name],$A44,T_StockCount[WeekIndex],2)&gt;0,SUMIFS(T_StockCount[CountedQty],T_StockCount[Part Name],$A44,T_StockCount[WeekIndex],2),IF((('T_SelfStock'!C48&lt;&gt;""))*(('T_TTAFStock'!C48&lt;&gt;""))&gt;0,'T_SelfStock'!C48+'T_TTAFStock'!C48,B44+'Grid_Incoming'!C44-'Grid_Requirement'!C44))</f>
        <v/>
      </c>
      <c r="D44">
        <f>IF(COUNTIFS(T_StockCount[Part Name],$A44,T_StockCount[WeekIndex],3)&gt;0,SUMIFS(T_StockCount[CountedQty],T_StockCount[Part Name],$A44,T_StockCount[WeekIndex],3),IF((('T_SelfStock'!D48&lt;&gt;""))*(('T_TTAFStock'!D48&lt;&gt;""))&gt;0,'T_SelfStock'!D48+'T_TTAFStock'!D48,C44+'Grid_Incoming'!D44-'Grid_Requirement'!D44))</f>
        <v/>
      </c>
      <c r="E44">
        <f>IF(COUNTIFS(T_StockCount[Part Name],$A44,T_StockCount[WeekIndex],4)&gt;0,SUMIFS(T_StockCount[CountedQty],T_StockCount[Part Name],$A44,T_StockCount[WeekIndex],4),IF((('T_SelfStock'!E48&lt;&gt;""))*(('T_TTAFStock'!E48&lt;&gt;""))&gt;0,'T_SelfStock'!E48+'T_TTAFStock'!E48,D44+'Grid_Incoming'!E44-'Grid_Requirement'!E44))</f>
        <v/>
      </c>
      <c r="F44">
        <f>IF(COUNTIFS(T_StockCount[Part Name],$A44,T_StockCount[WeekIndex],5)&gt;0,SUMIFS(T_StockCount[CountedQty],T_StockCount[Part Name],$A44,T_StockCount[WeekIndex],5),IF((('T_SelfStock'!F48&lt;&gt;""))*(('T_TTAFStock'!F48&lt;&gt;""))&gt;0,'T_SelfStock'!F48+'T_TTAFStock'!F48,E44+'Grid_Incoming'!F44-'Grid_Requirement'!F44))</f>
        <v/>
      </c>
      <c r="G44">
        <f>IF(COUNTIFS(T_StockCount[Part Name],$A44,T_StockCount[WeekIndex],6)&gt;0,SUMIFS(T_StockCount[CountedQty],T_StockCount[Part Name],$A44,T_StockCount[WeekIndex],6),IF((('T_SelfStock'!G48&lt;&gt;""))*(('T_TTAFStock'!G48&lt;&gt;""))&gt;0,'T_SelfStock'!G48+'T_TTAFStock'!G48,F44+'Grid_Incoming'!G44-'Grid_Requirement'!G44))</f>
        <v/>
      </c>
      <c r="H44">
        <f>IF(COUNTIFS(T_StockCount[Part Name],$A44,T_StockCount[WeekIndex],7)&gt;0,SUMIFS(T_StockCount[CountedQty],T_StockCount[Part Name],$A44,T_StockCount[WeekIndex],7),IF((('T_SelfStock'!H48&lt;&gt;""))*(('T_TTAFStock'!H48&lt;&gt;""))&gt;0,'T_SelfStock'!H48+'T_TTAFStock'!H48,G44+'Grid_Incoming'!H44-'Grid_Requirement'!H44))</f>
        <v/>
      </c>
      <c r="I44">
        <f>IF(COUNTIFS(T_StockCount[Part Name],$A44,T_StockCount[WeekIndex],8)&gt;0,SUMIFS(T_StockCount[CountedQty],T_StockCount[Part Name],$A44,T_StockCount[WeekIndex],8),IF((('T_SelfStock'!I48&lt;&gt;""))*(('T_TTAFStock'!I48&lt;&gt;""))&gt;0,'T_SelfStock'!I48+'T_TTAFStock'!I48,H44+'Grid_Incoming'!I44-'Grid_Requirement'!I44))</f>
        <v/>
      </c>
      <c r="J44">
        <f>IF(COUNTIFS(T_StockCount[Part Name],$A44,T_StockCount[WeekIndex],9)&gt;0,SUMIFS(T_StockCount[CountedQty],T_StockCount[Part Name],$A44,T_StockCount[WeekIndex],9),IF((('T_SelfStock'!J48&lt;&gt;""))*(('T_TTAFStock'!J48&lt;&gt;""))&gt;0,'T_SelfStock'!J48+'T_TTAFStock'!J48,I44+'Grid_Incoming'!J44-'Grid_Requirement'!J44))</f>
        <v/>
      </c>
      <c r="K44">
        <f>IF(COUNTIFS(T_StockCount[Part Name],$A44,T_StockCount[WeekIndex],10)&gt;0,SUMIFS(T_StockCount[CountedQty],T_StockCount[Part Name],$A44,T_StockCount[WeekIndex],10),IF((('T_SelfStock'!K48&lt;&gt;""))*(('T_TTAFStock'!K48&lt;&gt;""))&gt;0,'T_SelfStock'!K48+'T_TTAFStock'!K48,J44+'Grid_Incoming'!K44-'Grid_Requirement'!K44))</f>
        <v/>
      </c>
      <c r="L44">
        <f>IF(COUNTIFS(T_StockCount[Part Name],$A44,T_StockCount[WeekIndex],11)&gt;0,SUMIFS(T_StockCount[CountedQty],T_StockCount[Part Name],$A44,T_StockCount[WeekIndex],11),IF((('T_SelfStock'!L48&lt;&gt;""))*(('T_TTAFStock'!L48&lt;&gt;""))&gt;0,'T_SelfStock'!L48+'T_TTAFStock'!L48,K44+'Grid_Incoming'!L44-'Grid_Requirement'!L44))</f>
        <v/>
      </c>
      <c r="M44">
        <f>IF(COUNTIFS(T_StockCount[Part Name],$A44,T_StockCount[WeekIndex],12)&gt;0,SUMIFS(T_StockCount[CountedQty],T_StockCount[Part Name],$A44,T_StockCount[WeekIndex],12),IF((('T_SelfStock'!M48&lt;&gt;""))*(('T_TTAFStock'!M48&lt;&gt;""))&gt;0,'T_SelfStock'!M48+'T_TTAFStock'!M48,L44+'Grid_Incoming'!M44-'Grid_Requirement'!M44))</f>
        <v/>
      </c>
      <c r="N44">
        <f>IF(COUNTIFS(T_StockCount[Part Name],$A44,T_StockCount[WeekIndex],13)&gt;0,SUMIFS(T_StockCount[CountedQty],T_StockCount[Part Name],$A44,T_StockCount[WeekIndex],13),IF((('T_SelfStock'!N48&lt;&gt;""))*(('T_TTAFStock'!N48&lt;&gt;""))&gt;0,'T_SelfStock'!N48+'T_TTAFStock'!N48,M44+'Grid_Incoming'!N44-'Grid_Requirement'!N44))</f>
        <v/>
      </c>
      <c r="O44">
        <f>IF(COUNTIFS(T_StockCount[Part Name],$A44,T_StockCount[WeekIndex],14)&gt;0,SUMIFS(T_StockCount[CountedQty],T_StockCount[Part Name],$A44,T_StockCount[WeekIndex],14),IF((('T_SelfStock'!O48&lt;&gt;""))*(('T_TTAFStock'!O48&lt;&gt;""))&gt;0,'T_SelfStock'!O48+'T_TTAFStock'!O48,N44+'Grid_Incoming'!O44-'Grid_Requirement'!O44))</f>
        <v/>
      </c>
      <c r="P44">
        <f>IF(COUNTIFS(T_StockCount[Part Name],$A44,T_StockCount[WeekIndex],15)&gt;0,SUMIFS(T_StockCount[CountedQty],T_StockCount[Part Name],$A44,T_StockCount[WeekIndex],15),IF((('T_SelfStock'!P48&lt;&gt;""))*(('T_TTAFStock'!P48&lt;&gt;""))&gt;0,'T_SelfStock'!P48+'T_TTAFStock'!P48,O44+'Grid_Incoming'!P44-'Grid_Requirement'!P44))</f>
        <v/>
      </c>
      <c r="Q44">
        <f>IF(COUNTIFS(T_StockCount[Part Name],$A44,T_StockCount[WeekIndex],16)&gt;0,SUMIFS(T_StockCount[CountedQty],T_StockCount[Part Name],$A44,T_StockCount[WeekIndex],16),IF((('T_SelfStock'!Q48&lt;&gt;""))*(('T_TTAFStock'!Q48&lt;&gt;""))&gt;0,'T_SelfStock'!Q48+'T_TTAFStock'!Q48,P44+'Grid_Incoming'!Q44-'Grid_Requirement'!Q44))</f>
        <v/>
      </c>
      <c r="R44">
        <f>IF(COUNTIFS(T_StockCount[Part Name],$A44,T_StockCount[WeekIndex],17)&gt;0,SUMIFS(T_StockCount[CountedQty],T_StockCount[Part Name],$A44,T_StockCount[WeekIndex],17),IF((('T_SelfStock'!R48&lt;&gt;""))*(('T_TTAFStock'!R48&lt;&gt;""))&gt;0,'T_SelfStock'!R48+'T_TTAFStock'!R48,Q44+'Grid_Incoming'!R44-'Grid_Requirement'!R44))</f>
        <v/>
      </c>
      <c r="S44">
        <f>IF(COUNTIFS(T_StockCount[Part Name],$A44,T_StockCount[WeekIndex],18)&gt;0,SUMIFS(T_StockCount[CountedQty],T_StockCount[Part Name],$A44,T_StockCount[WeekIndex],18),IF((('T_SelfStock'!S48&lt;&gt;""))*(('T_TTAFStock'!S48&lt;&gt;""))&gt;0,'T_SelfStock'!S48+'T_TTAFStock'!S48,R44+'Grid_Incoming'!S44-'Grid_Requirement'!S44))</f>
        <v/>
      </c>
      <c r="T44">
        <f>IF(COUNTIFS(T_StockCount[Part Name],$A44,T_StockCount[WeekIndex],19)&gt;0,SUMIFS(T_StockCount[CountedQty],T_StockCount[Part Name],$A44,T_StockCount[WeekIndex],19),IF((('T_SelfStock'!T48&lt;&gt;""))*(('T_TTAFStock'!T48&lt;&gt;""))&gt;0,'T_SelfStock'!T48+'T_TTAFStock'!T48,S44+'Grid_Incoming'!T44-'Grid_Requirement'!T44))</f>
        <v/>
      </c>
      <c r="U44">
        <f>IF(COUNTIFS(T_StockCount[Part Name],$A44,T_StockCount[WeekIndex],20)&gt;0,SUMIFS(T_StockCount[CountedQty],T_StockCount[Part Name],$A44,T_StockCount[WeekIndex],20),IF((('T_SelfStock'!U48&lt;&gt;""))*(('T_TTAFStock'!U48&lt;&gt;""))&gt;0,'T_SelfStock'!U48+'T_TTAFStock'!U48,T44+'Grid_Incoming'!U44-'Grid_Requirement'!U44))</f>
        <v/>
      </c>
      <c r="V44">
        <f>IF(COUNTIFS(T_StockCount[Part Name],$A44,T_StockCount[WeekIndex],21)&gt;0,SUMIFS(T_StockCount[CountedQty],T_StockCount[Part Name],$A44,T_StockCount[WeekIndex],21),IF((('T_SelfStock'!V48&lt;&gt;""))*(('T_TTAFStock'!V48&lt;&gt;""))&gt;0,'T_SelfStock'!V48+'T_TTAFStock'!V48,U44+'Grid_Incoming'!V44-'Grid_Requirement'!V44))</f>
        <v/>
      </c>
      <c r="W44">
        <f>IF(COUNTIFS(T_StockCount[Part Name],$A44,T_StockCount[WeekIndex],22)&gt;0,SUMIFS(T_StockCount[CountedQty],T_StockCount[Part Name],$A44,T_StockCount[WeekIndex],22),IF((('T_SelfStock'!W48&lt;&gt;""))*(('T_TTAFStock'!W48&lt;&gt;""))&gt;0,'T_SelfStock'!W48+'T_TTAFStock'!W48,V44+'Grid_Incoming'!W44-'Grid_Requirement'!W44))</f>
        <v/>
      </c>
      <c r="X44">
        <f>IF(COUNTIFS(T_StockCount[Part Name],$A44,T_StockCount[WeekIndex],23)&gt;0,SUMIFS(T_StockCount[CountedQty],T_StockCount[Part Name],$A44,T_StockCount[WeekIndex],23),IF((('T_SelfStock'!X48&lt;&gt;""))*(('T_TTAFStock'!X48&lt;&gt;""))&gt;0,'T_SelfStock'!X48+'T_TTAFStock'!X48,W44+'Grid_Incoming'!X44-'Grid_Requirement'!X44))</f>
        <v/>
      </c>
      <c r="Y44">
        <f>IF(COUNTIFS(T_StockCount[Part Name],$A44,T_StockCount[WeekIndex],24)&gt;0,SUMIFS(T_StockCount[CountedQty],T_StockCount[Part Name],$A44,T_StockCount[WeekIndex],24),IF((('T_SelfStock'!Y48&lt;&gt;""))*(('T_TTAFStock'!Y48&lt;&gt;""))&gt;0,'T_SelfStock'!Y48+'T_TTAFStock'!Y48,X44+'Grid_Incoming'!Y44-'Grid_Requirement'!Y44))</f>
        <v/>
      </c>
      <c r="Z44">
        <f>IF(COUNTIFS(T_StockCount[Part Name],$A44,T_StockCount[WeekIndex],25)&gt;0,SUMIFS(T_StockCount[CountedQty],T_StockCount[Part Name],$A44,T_StockCount[WeekIndex],25),IF((('T_SelfStock'!Z48&lt;&gt;""))*(('T_TTAFStock'!Z48&lt;&gt;""))&gt;0,'T_SelfStock'!Z48+'T_TTAFStock'!Z48,Y44+'Grid_Incoming'!Z44-'Grid_Requirement'!Z44))</f>
        <v/>
      </c>
      <c r="AA44">
        <f>IF(COUNTIFS(T_StockCount[Part Name],$A44,T_StockCount[WeekIndex],26)&gt;0,SUMIFS(T_StockCount[CountedQty],T_StockCount[Part Name],$A44,T_StockCount[WeekIndex],26),IF((('T_SelfStock'!AA48&lt;&gt;""))*(('T_TTAFStock'!AA48&lt;&gt;""))&gt;0,'T_SelfStock'!AA48+'T_TTAFStock'!AA48,Z44+'Grid_Incoming'!AA44-'Grid_Requirement'!AA44))</f>
        <v/>
      </c>
      <c r="AB44">
        <f>IF(COUNTIFS(T_StockCount[Part Name],$A44,T_StockCount[WeekIndex],27)&gt;0,SUMIFS(T_StockCount[CountedQty],T_StockCount[Part Name],$A44,T_StockCount[WeekIndex],27),IF((('T_SelfStock'!AB48&lt;&gt;""))*(('T_TTAFStock'!AB48&lt;&gt;""))&gt;0,'T_SelfStock'!AB48+'T_TTAFStock'!AB48,AA44+'Grid_Incoming'!AB44-'Grid_Requirement'!AB44))</f>
        <v/>
      </c>
      <c r="AC44">
        <f>IF(COUNTIFS(T_StockCount[Part Name],$A44,T_StockCount[WeekIndex],28)&gt;0,SUMIFS(T_StockCount[CountedQty],T_StockCount[Part Name],$A44,T_StockCount[WeekIndex],28),IF((('T_SelfStock'!AC48&lt;&gt;""))*(('T_TTAFStock'!AC48&lt;&gt;""))&gt;0,'T_SelfStock'!AC48+'T_TTAFStock'!AC48,AB44+'Grid_Incoming'!AC44-'Grid_Requirement'!AC44))</f>
        <v/>
      </c>
      <c r="AD44">
        <f>IF(COUNTIFS(T_StockCount[Part Name],$A44,T_StockCount[WeekIndex],29)&gt;0,SUMIFS(T_StockCount[CountedQty],T_StockCount[Part Name],$A44,T_StockCount[WeekIndex],29),IF((('T_SelfStock'!AD48&lt;&gt;""))*(('T_TTAFStock'!AD48&lt;&gt;""))&gt;0,'T_SelfStock'!AD48+'T_TTAFStock'!AD48,AC44+'Grid_Incoming'!AD44-'Grid_Requirement'!AD44))</f>
        <v/>
      </c>
      <c r="AE44">
        <f>IF(COUNTIFS(T_StockCount[Part Name],$A44,T_StockCount[WeekIndex],30)&gt;0,SUMIFS(T_StockCount[CountedQty],T_StockCount[Part Name],$A44,T_StockCount[WeekIndex],30),IF((('T_SelfStock'!AE48&lt;&gt;""))*(('T_TTAFStock'!AE48&lt;&gt;""))&gt;0,'T_SelfStock'!AE48+'T_TTAFStock'!AE48,AD44+'Grid_Incoming'!AE44-'Grid_Requirement'!AE44))</f>
        <v/>
      </c>
      <c r="AF44">
        <f>IF(COUNTIFS(T_StockCount[Part Name],$A44,T_StockCount[WeekIndex],31)&gt;0,SUMIFS(T_StockCount[CountedQty],T_StockCount[Part Name],$A44,T_StockCount[WeekIndex],31),IF((('T_SelfStock'!AF48&lt;&gt;""))*(('T_TTAFStock'!AF48&lt;&gt;""))&gt;0,'T_SelfStock'!AF48+'T_TTAFStock'!AF48,AE44+'Grid_Incoming'!AF44-'Grid_Requirement'!AF44))</f>
        <v/>
      </c>
      <c r="AG44">
        <f>IF(COUNTIFS(T_StockCount[Part Name],$A44,T_StockCount[WeekIndex],32)&gt;0,SUMIFS(T_StockCount[CountedQty],T_StockCount[Part Name],$A44,T_StockCount[WeekIndex],32),IF((('T_SelfStock'!AG48&lt;&gt;""))*(('T_TTAFStock'!AG48&lt;&gt;""))&gt;0,'T_SelfStock'!AG48+'T_TTAFStock'!AG48,AF44+'Grid_Incoming'!AG44-'Grid_Requirement'!AG44))</f>
        <v/>
      </c>
      <c r="AH44">
        <f>IF(COUNTIFS(T_StockCount[Part Name],$A44,T_StockCount[WeekIndex],33)&gt;0,SUMIFS(T_StockCount[CountedQty],T_StockCount[Part Name],$A44,T_StockCount[WeekIndex],33),IF((('T_SelfStock'!AH48&lt;&gt;""))*(('T_TTAFStock'!AH48&lt;&gt;""))&gt;0,'T_SelfStock'!AH48+'T_TTAFStock'!AH48,AG44+'Grid_Incoming'!AH44-'Grid_Requirement'!AH44))</f>
        <v/>
      </c>
      <c r="AI44">
        <f>IF(COUNTIFS(T_StockCount[Part Name],$A44,T_StockCount[WeekIndex],34)&gt;0,SUMIFS(T_StockCount[CountedQty],T_StockCount[Part Name],$A44,T_StockCount[WeekIndex],34),IF((('T_SelfStock'!AI48&lt;&gt;""))*(('T_TTAFStock'!AI48&lt;&gt;""))&gt;0,'T_SelfStock'!AI48+'T_TTAFStock'!AI48,AH44+'Grid_Incoming'!AI44-'Grid_Requirement'!AI44))</f>
        <v/>
      </c>
      <c r="AJ44">
        <f>IF(COUNTIFS(T_StockCount[Part Name],$A44,T_StockCount[WeekIndex],35)&gt;0,SUMIFS(T_StockCount[CountedQty],T_StockCount[Part Name],$A44,T_StockCount[WeekIndex],35),IF((('T_SelfStock'!AJ48&lt;&gt;""))*(('T_TTAFStock'!AJ48&lt;&gt;""))&gt;0,'T_SelfStock'!AJ48+'T_TTAFStock'!AJ48,AI44+'Grid_Incoming'!AJ44-'Grid_Requirement'!AJ44))</f>
        <v/>
      </c>
      <c r="AK44">
        <f>IF(COUNTIFS(T_StockCount[Part Name],$A44,T_StockCount[WeekIndex],36)&gt;0,SUMIFS(T_StockCount[CountedQty],T_StockCount[Part Name],$A44,T_StockCount[WeekIndex],36),IF((('T_SelfStock'!AK48&lt;&gt;""))*(('T_TTAFStock'!AK48&lt;&gt;""))&gt;0,'T_SelfStock'!AK48+'T_TTAFStock'!AK48,AJ44+'Grid_Incoming'!AK44-'Grid_Requirement'!AK44))</f>
        <v/>
      </c>
      <c r="AL44">
        <f>IF(COUNTIFS(T_StockCount[Part Name],$A44,T_StockCount[WeekIndex],37)&gt;0,SUMIFS(T_StockCount[CountedQty],T_StockCount[Part Name],$A44,T_StockCount[WeekIndex],37),IF((('T_SelfStock'!AL48&lt;&gt;""))*(('T_TTAFStock'!AL48&lt;&gt;""))&gt;0,'T_SelfStock'!AL48+'T_TTAFStock'!AL48,AK44+'Grid_Incoming'!AL44-'Grid_Requirement'!AL44))</f>
        <v/>
      </c>
      <c r="AM44">
        <f>IF(COUNTIFS(T_StockCount[Part Name],$A44,T_StockCount[WeekIndex],38)&gt;0,SUMIFS(T_StockCount[CountedQty],T_StockCount[Part Name],$A44,T_StockCount[WeekIndex],38),IF((('T_SelfStock'!AM48&lt;&gt;""))*(('T_TTAFStock'!AM48&lt;&gt;""))&gt;0,'T_SelfStock'!AM48+'T_TTAFStock'!AM48,AL44+'Grid_Incoming'!AM44-'Grid_Requirement'!AM44))</f>
        <v/>
      </c>
      <c r="AN44">
        <f>IF(COUNTIFS(T_StockCount[Part Name],$A44,T_StockCount[WeekIndex],39)&gt;0,SUMIFS(T_StockCount[CountedQty],T_StockCount[Part Name],$A44,T_StockCount[WeekIndex],39),IF((('T_SelfStock'!AN48&lt;&gt;""))*(('T_TTAFStock'!AN48&lt;&gt;""))&gt;0,'T_SelfStock'!AN48+'T_TTAFStock'!AN48,AM44+'Grid_Incoming'!AN44-'Grid_Requirement'!AN44))</f>
        <v/>
      </c>
      <c r="AO44">
        <f>IF(COUNTIFS(T_StockCount[Part Name],$A44,T_StockCount[WeekIndex],40)&gt;0,SUMIFS(T_StockCount[CountedQty],T_StockCount[Part Name],$A44,T_StockCount[WeekIndex],40),IF((('T_SelfStock'!AO48&lt;&gt;""))*(('T_TTAFStock'!AO48&lt;&gt;""))&gt;0,'T_SelfStock'!AO48+'T_TTAFStock'!AO48,AN44+'Grid_Incoming'!AO44-'Grid_Requirement'!AO44))</f>
        <v/>
      </c>
      <c r="AP44">
        <f>IF(COUNTIFS(T_StockCount[Part Name],$A44,T_StockCount[WeekIndex],41)&gt;0,SUMIFS(T_StockCount[CountedQty],T_StockCount[Part Name],$A44,T_StockCount[WeekIndex],41),IF((('T_SelfStock'!AP48&lt;&gt;""))*(('T_TTAFStock'!AP48&lt;&gt;""))&gt;0,'T_SelfStock'!AP48+'T_TTAFStock'!AP48,AO44+'Grid_Incoming'!AP44-'Grid_Requirement'!AP44))</f>
        <v/>
      </c>
      <c r="AQ44">
        <f>IF(COUNTIFS(T_StockCount[Part Name],$A44,T_StockCount[WeekIndex],42)&gt;0,SUMIFS(T_StockCount[CountedQty],T_StockCount[Part Name],$A44,T_StockCount[WeekIndex],42),IF((('T_SelfStock'!AQ48&lt;&gt;""))*(('T_TTAFStock'!AQ48&lt;&gt;""))&gt;0,'T_SelfStock'!AQ48+'T_TTAFStock'!AQ48,AP44+'Grid_Incoming'!AQ44-'Grid_Requirement'!AQ44))</f>
        <v/>
      </c>
      <c r="AR44">
        <f>IF(COUNTIFS(T_StockCount[Part Name],$A44,T_StockCount[WeekIndex],43)&gt;0,SUMIFS(T_StockCount[CountedQty],T_StockCount[Part Name],$A44,T_StockCount[WeekIndex],43),IF((('T_SelfStock'!AR48&lt;&gt;""))*(('T_TTAFStock'!AR48&lt;&gt;""))&gt;0,'T_SelfStock'!AR48+'T_TTAFStock'!AR48,AQ44+'Grid_Incoming'!AR44-'Grid_Requirement'!AR44))</f>
        <v/>
      </c>
      <c r="AS44">
        <f>IF(COUNTIFS(T_StockCount[Part Name],$A44,T_StockCount[WeekIndex],44)&gt;0,SUMIFS(T_StockCount[CountedQty],T_StockCount[Part Name],$A44,T_StockCount[WeekIndex],44),IF((('T_SelfStock'!AS48&lt;&gt;""))*(('T_TTAFStock'!AS48&lt;&gt;""))&gt;0,'T_SelfStock'!AS48+'T_TTAFStock'!AS48,AR44+'Grid_Incoming'!AS44-'Grid_Requirement'!AS44))</f>
        <v/>
      </c>
      <c r="AT44">
        <f>IF(COUNTIFS(T_StockCount[Part Name],$A44,T_StockCount[WeekIndex],45)&gt;0,SUMIFS(T_StockCount[CountedQty],T_StockCount[Part Name],$A44,T_StockCount[WeekIndex],45),IF((('T_SelfStock'!AT48&lt;&gt;""))*(('T_TTAFStock'!AT48&lt;&gt;""))&gt;0,'T_SelfStock'!AT48+'T_TTAFStock'!AT48,AS44+'Grid_Incoming'!AT44-'Grid_Requirement'!AT44))</f>
        <v/>
      </c>
      <c r="AU44">
        <f>IF(COUNTIFS(T_StockCount[Part Name],$A44,T_StockCount[WeekIndex],46)&gt;0,SUMIFS(T_StockCount[CountedQty],T_StockCount[Part Name],$A44,T_StockCount[WeekIndex],46),IF((('T_SelfStock'!AU48&lt;&gt;""))*(('T_TTAFStock'!AU48&lt;&gt;""))&gt;0,'T_SelfStock'!AU48+'T_TTAFStock'!AU48,AT44+'Grid_Incoming'!AU44-'Grid_Requirement'!AU44))</f>
        <v/>
      </c>
      <c r="AV44">
        <f>IF(COUNTIFS(T_StockCount[Part Name],$A44,T_StockCount[WeekIndex],47)&gt;0,SUMIFS(T_StockCount[CountedQty],T_StockCount[Part Name],$A44,T_StockCount[WeekIndex],47),IF((('T_SelfStock'!AV48&lt;&gt;""))*(('T_TTAFStock'!AV48&lt;&gt;""))&gt;0,'T_SelfStock'!AV48+'T_TTAFStock'!AV48,AU44+'Grid_Incoming'!AV44-'Grid_Requirement'!AV44))</f>
        <v/>
      </c>
      <c r="AW44">
        <f>IF(COUNTIFS(T_StockCount[Part Name],$A44,T_StockCount[WeekIndex],48)&gt;0,SUMIFS(T_StockCount[CountedQty],T_StockCount[Part Name],$A44,T_StockCount[WeekIndex],48),IF((('T_SelfStock'!AW48&lt;&gt;""))*(('T_TTAFStock'!AW48&lt;&gt;""))&gt;0,'T_SelfStock'!AW48+'T_TTAFStock'!AW48,AV44+'Grid_Incoming'!AW44-'Grid_Requirement'!AW44))</f>
        <v/>
      </c>
      <c r="AX44">
        <f>IF(COUNTIFS(T_StockCount[Part Name],$A44,T_StockCount[WeekIndex],49)&gt;0,SUMIFS(T_StockCount[CountedQty],T_StockCount[Part Name],$A44,T_StockCount[WeekIndex],49),IF((('T_SelfStock'!AX48&lt;&gt;""))*(('T_TTAFStock'!AX48&lt;&gt;""))&gt;0,'T_SelfStock'!AX48+'T_TTAFStock'!AX48,AW44+'Grid_Incoming'!AX44-'Grid_Requirement'!AX44))</f>
        <v/>
      </c>
      <c r="AY44">
        <f>IF(COUNTIFS(T_StockCount[Part Name],$A44,T_StockCount[WeekIndex],50)&gt;0,SUMIFS(T_StockCount[CountedQty],T_StockCount[Part Name],$A44,T_StockCount[WeekIndex],50),IF((('T_SelfStock'!AY48&lt;&gt;""))*(('T_TTAFStock'!AY48&lt;&gt;""))&gt;0,'T_SelfStock'!AY48+'T_TTAFStock'!AY48,AX44+'Grid_Incoming'!AY44-'Grid_Requirement'!AY44))</f>
        <v/>
      </c>
      <c r="AZ44">
        <f>IF(COUNTIFS(T_StockCount[Part Name],$A44,T_StockCount[WeekIndex],51)&gt;0,SUMIFS(T_StockCount[CountedQty],T_StockCount[Part Name],$A44,T_StockCount[WeekIndex],51),IF((('T_SelfStock'!AZ48&lt;&gt;""))*(('T_TTAFStock'!AZ48&lt;&gt;""))&gt;0,'T_SelfStock'!AZ48+'T_TTAFStock'!AZ48,AY44+'Grid_Incoming'!AZ44-'Grid_Requirement'!AZ44))</f>
        <v/>
      </c>
      <c r="BA44">
        <f>IF(COUNTIFS(T_StockCount[Part Name],$A44,T_StockCount[WeekIndex],52)&gt;0,SUMIFS(T_StockCount[CountedQty],T_StockCount[Part Name],$A44,T_StockCount[WeekIndex],52),IF((('T_SelfStock'!BA48&lt;&gt;""))*(('T_TTAFStock'!BA48&lt;&gt;""))&gt;0,'T_SelfStock'!BA48+'T_TTAFStock'!BA48,AZ44+'Grid_Incoming'!BA44-'Grid_Requirement'!BA44))</f>
        <v/>
      </c>
      <c r="BB44">
        <f>IF(COUNTIFS(T_StockCount[Part Name],$A44,T_StockCount[WeekIndex],53)&gt;0,SUMIFS(T_StockCount[CountedQty],T_StockCount[Part Name],$A44,T_StockCount[WeekIndex],53),IF((('T_SelfStock'!BB48&lt;&gt;""))*(('T_TTAFStock'!BB48&lt;&gt;""))&gt;0,'T_SelfStock'!BB48+'T_TTAFStock'!BB48,BA44+'Grid_Incoming'!BB44-'Grid_Requirement'!BB44))</f>
        <v/>
      </c>
      <c r="BC44">
        <f>IF(COUNTIFS(T_StockCount[Part Name],$A44,T_StockCount[WeekIndex],54)&gt;0,SUMIFS(T_StockCount[CountedQty],T_StockCount[Part Name],$A44,T_StockCount[WeekIndex],54),IF((('T_SelfStock'!BC48&lt;&gt;""))*(('T_TTAFStock'!BC48&lt;&gt;""))&gt;0,'T_SelfStock'!BC48+'T_TTAFStock'!BC48,BB44+'Grid_Incoming'!BC44-'Grid_Requirement'!BC44))</f>
        <v/>
      </c>
      <c r="BD44">
        <f>IF(COUNTIFS(T_StockCount[Part Name],$A44,T_StockCount[WeekIndex],55)&gt;0,SUMIFS(T_StockCount[CountedQty],T_StockCount[Part Name],$A44,T_StockCount[WeekIndex],55),IF((('T_SelfStock'!BD48&lt;&gt;""))*(('T_TTAFStock'!BD48&lt;&gt;""))&gt;0,'T_SelfStock'!BD48+'T_TTAFStock'!BD48,BC44+'Grid_Incoming'!BD44-'Grid_Requirement'!BD44))</f>
        <v/>
      </c>
      <c r="BE44">
        <f>IF(COUNTIFS(T_StockCount[Part Name],$A44,T_StockCount[WeekIndex],56)&gt;0,SUMIFS(T_StockCount[CountedQty],T_StockCount[Part Name],$A44,T_StockCount[WeekIndex],56),IF((('T_SelfStock'!BE48&lt;&gt;""))*(('T_TTAFStock'!BE48&lt;&gt;""))&gt;0,'T_SelfStock'!BE48+'T_TTAFStock'!BE48,BD44+'Grid_Incoming'!BE44-'Grid_Requirement'!BE44))</f>
        <v/>
      </c>
      <c r="BF44">
        <f>IF(COUNTIFS(T_StockCount[Part Name],$A44,T_StockCount[WeekIndex],57)&gt;0,SUMIFS(T_StockCount[CountedQty],T_StockCount[Part Name],$A44,T_StockCount[WeekIndex],57),IF((('T_SelfStock'!BF48&lt;&gt;""))*(('T_TTAFStock'!BF48&lt;&gt;""))&gt;0,'T_SelfStock'!BF48+'T_TTAFStock'!BF48,BE44+'Grid_Incoming'!BF44-'Grid_Requirement'!BF44))</f>
        <v/>
      </c>
      <c r="BG44">
        <f>IF(COUNTIFS(T_StockCount[Part Name],$A44,T_StockCount[WeekIndex],58)&gt;0,SUMIFS(T_StockCount[CountedQty],T_StockCount[Part Name],$A44,T_StockCount[WeekIndex],58),IF((('T_SelfStock'!BG48&lt;&gt;""))*(('T_TTAFStock'!BG48&lt;&gt;""))&gt;0,'T_SelfStock'!BG48+'T_TTAFStock'!BG48,BF44+'Grid_Incoming'!BG44-'Grid_Requirement'!BG44))</f>
        <v/>
      </c>
      <c r="BH44">
        <f>IF(COUNTIFS(T_StockCount[Part Name],$A44,T_StockCount[WeekIndex],59)&gt;0,SUMIFS(T_StockCount[CountedQty],T_StockCount[Part Name],$A44,T_StockCount[WeekIndex],59),IF((('T_SelfStock'!BH48&lt;&gt;""))*(('T_TTAFStock'!BH48&lt;&gt;""))&gt;0,'T_SelfStock'!BH48+'T_TTAFStock'!BH48,BG44+'Grid_Incoming'!BH44-'Grid_Requirement'!BH44))</f>
        <v/>
      </c>
      <c r="BI44">
        <f>IF(COUNTIFS(T_StockCount[Part Name],$A44,T_StockCount[WeekIndex],60)&gt;0,SUMIFS(T_StockCount[CountedQty],T_StockCount[Part Name],$A44,T_StockCount[WeekIndex],60),IF((('T_SelfStock'!BI48&lt;&gt;""))*(('T_TTAFStock'!BI48&lt;&gt;""))&gt;0,'T_SelfStock'!BI48+'T_TTAFStock'!BI48,BH44+'Grid_Incoming'!BI44-'Grid_Requirement'!BI44))</f>
        <v/>
      </c>
      <c r="BJ44">
        <f>IF(COUNTIFS(T_StockCount[Part Name],$A44,T_StockCount[WeekIndex],61)&gt;0,SUMIFS(T_StockCount[CountedQty],T_StockCount[Part Name],$A44,T_StockCount[WeekIndex],61),IF((('T_SelfStock'!BJ48&lt;&gt;""))*(('T_TTAFStock'!BJ48&lt;&gt;""))&gt;0,'T_SelfStock'!BJ48+'T_TTAFStock'!BJ48,BI44+'Grid_Incoming'!BJ44-'Grid_Requirement'!BJ44))</f>
        <v/>
      </c>
      <c r="BK44">
        <f>IF(COUNTIFS(T_StockCount[Part Name],$A44,T_StockCount[WeekIndex],62)&gt;0,SUMIFS(T_StockCount[CountedQty],T_StockCount[Part Name],$A44,T_StockCount[WeekIndex],62),IF((('T_SelfStock'!BK48&lt;&gt;""))*(('T_TTAFStock'!BK48&lt;&gt;""))&gt;0,'T_SelfStock'!BK48+'T_TTAFStock'!BK48,BJ44+'Grid_Incoming'!BK44-'Grid_Requirement'!BK44))</f>
        <v/>
      </c>
      <c r="BL44">
        <f>IF(COUNTIFS(T_StockCount[Part Name],$A44,T_StockCount[WeekIndex],63)&gt;0,SUMIFS(T_StockCount[CountedQty],T_StockCount[Part Name],$A44,T_StockCount[WeekIndex],63),IF((('T_SelfStock'!BL48&lt;&gt;""))*(('T_TTAFStock'!BL48&lt;&gt;""))&gt;0,'T_SelfStock'!BL48+'T_TTAFStock'!BL48,BK44+'Grid_Incoming'!BL44-'Grid_Requirement'!BL44))</f>
        <v/>
      </c>
      <c r="BM44">
        <f>IF(COUNTIFS(T_StockCount[Part Name],$A44,T_StockCount[WeekIndex],64)&gt;0,SUMIFS(T_StockCount[CountedQty],T_StockCount[Part Name],$A44,T_StockCount[WeekIndex],64),IF((('T_SelfStock'!BM48&lt;&gt;""))*(('T_TTAFStock'!BM48&lt;&gt;""))&gt;0,'T_SelfStock'!BM48+'T_TTAFStock'!BM48,BL44+'Grid_Incoming'!BM44-'Grid_Requirement'!BM44))</f>
        <v/>
      </c>
      <c r="BN44">
        <f>IF(COUNTIFS(T_StockCount[Part Name],$A44,T_StockCount[WeekIndex],65)&gt;0,SUMIFS(T_StockCount[CountedQty],T_StockCount[Part Name],$A44,T_StockCount[WeekIndex],65),IF((('T_SelfStock'!BN48&lt;&gt;""))*(('T_TTAFStock'!BN48&lt;&gt;""))&gt;0,'T_SelfStock'!BN48+'T_TTAFStock'!BN48,BM44+'Grid_Incoming'!BN44-'Grid_Requirement'!BN44))</f>
        <v/>
      </c>
      <c r="BO44">
        <f>IF(COUNTIFS(T_StockCount[Part Name],$A44,T_StockCount[WeekIndex],66)&gt;0,SUMIFS(T_StockCount[CountedQty],T_StockCount[Part Name],$A44,T_StockCount[WeekIndex],66),IF((('T_SelfStock'!BO48&lt;&gt;""))*(('T_TTAFStock'!BO48&lt;&gt;""))&gt;0,'T_SelfStock'!BO48+'T_TTAFStock'!BO48,BN44+'Grid_Incoming'!BO44-'Grid_Requirement'!BO44))</f>
        <v/>
      </c>
      <c r="BP44">
        <f>IF(COUNTIFS(T_StockCount[Part Name],$A44,T_StockCount[WeekIndex],67)&gt;0,SUMIFS(T_StockCount[CountedQty],T_StockCount[Part Name],$A44,T_StockCount[WeekIndex],67),IF((('T_SelfStock'!BP48&lt;&gt;""))*(('T_TTAFStock'!BP48&lt;&gt;""))&gt;0,'T_SelfStock'!BP48+'T_TTAFStock'!BP48,BO44+'Grid_Incoming'!BP44-'Grid_Requirement'!BP44))</f>
        <v/>
      </c>
      <c r="BQ44">
        <f>IF(COUNTIFS(T_StockCount[Part Name],$A44,T_StockCount[WeekIndex],68)&gt;0,SUMIFS(T_StockCount[CountedQty],T_StockCount[Part Name],$A44,T_StockCount[WeekIndex],68),IF((('T_SelfStock'!BQ48&lt;&gt;""))*(('T_TTAFStock'!BQ48&lt;&gt;""))&gt;0,'T_SelfStock'!BQ48+'T_TTAFStock'!BQ48,BP44+'Grid_Incoming'!BQ44-'Grid_Requirement'!BQ44))</f>
        <v/>
      </c>
      <c r="BR44">
        <f>IF(COUNTIFS(T_StockCount[Part Name],$A44,T_StockCount[WeekIndex],69)&gt;0,SUMIFS(T_StockCount[CountedQty],T_StockCount[Part Name],$A44,T_StockCount[WeekIndex],69),IF((('T_SelfStock'!BR48&lt;&gt;""))*(('T_TTAFStock'!BR48&lt;&gt;""))&gt;0,'T_SelfStock'!BR48+'T_TTAFStock'!BR48,BQ44+'Grid_Incoming'!BR44-'Grid_Requirement'!BR44))</f>
        <v/>
      </c>
      <c r="BS44">
        <f>IF(COUNTIFS(T_StockCount[Part Name],$A44,T_StockCount[WeekIndex],70)&gt;0,SUMIFS(T_StockCount[CountedQty],T_StockCount[Part Name],$A44,T_StockCount[WeekIndex],70),IF((('T_SelfStock'!BS48&lt;&gt;""))*(('T_TTAFStock'!BS48&lt;&gt;""))&gt;0,'T_SelfStock'!BS48+'T_TTAFStock'!BS48,BR44+'Grid_Incoming'!BS44-'Grid_Requirement'!BS44))</f>
        <v/>
      </c>
      <c r="BT44">
        <f>IF(COUNTIFS(T_StockCount[Part Name],$A44,T_StockCount[WeekIndex],71)&gt;0,SUMIFS(T_StockCount[CountedQty],T_StockCount[Part Name],$A44,T_StockCount[WeekIndex],71),IF((('T_SelfStock'!BT48&lt;&gt;""))*(('T_TTAFStock'!BT48&lt;&gt;""))&gt;0,'T_SelfStock'!BT48+'T_TTAFStock'!BT48,BS44+'Grid_Incoming'!BT44-'Grid_Requirement'!BT44))</f>
        <v/>
      </c>
      <c r="BU44">
        <f>IF(COUNTIFS(T_StockCount[Part Name],$A44,T_StockCount[WeekIndex],72)&gt;0,SUMIFS(T_StockCount[CountedQty],T_StockCount[Part Name],$A44,T_StockCount[WeekIndex],72),IF((('T_SelfStock'!BU48&lt;&gt;""))*(('T_TTAFStock'!BU48&lt;&gt;""))&gt;0,'T_SelfStock'!BU48+'T_TTAFStock'!BU48,BT44+'Grid_Incoming'!BU44-'Grid_Requirement'!BU44))</f>
        <v/>
      </c>
      <c r="BV44">
        <f>IF(COUNTIFS(T_StockCount[Part Name],$A44,T_StockCount[WeekIndex],73)&gt;0,SUMIFS(T_StockCount[CountedQty],T_StockCount[Part Name],$A44,T_StockCount[WeekIndex],73),IF((('T_SelfStock'!BV48&lt;&gt;""))*(('T_TTAFStock'!BV48&lt;&gt;""))&gt;0,'T_SelfStock'!BV48+'T_TTAFStock'!BV48,BU44+'Grid_Incoming'!BV44-'Grid_Requirement'!BV44))</f>
        <v/>
      </c>
      <c r="BW44">
        <f>IF(COUNTIFS(T_StockCount[Part Name],$A44,T_StockCount[WeekIndex],74)&gt;0,SUMIFS(T_StockCount[CountedQty],T_StockCount[Part Name],$A44,T_StockCount[WeekIndex],74),IF((('T_SelfStock'!BW48&lt;&gt;""))*(('T_TTAFStock'!BW48&lt;&gt;""))&gt;0,'T_SelfStock'!BW48+'T_TTAFStock'!BW48,BV44+'Grid_Incoming'!BW44-'Grid_Requirement'!BW44))</f>
        <v/>
      </c>
      <c r="BX44">
        <f>IF(COUNTIFS(T_StockCount[Part Name],$A44,T_StockCount[WeekIndex],75)&gt;0,SUMIFS(T_StockCount[CountedQty],T_StockCount[Part Name],$A44,T_StockCount[WeekIndex],75),IF((('T_SelfStock'!BX48&lt;&gt;""))*(('T_TTAFStock'!BX48&lt;&gt;""))&gt;0,'T_SelfStock'!BX48+'T_TTAFStock'!BX48,BW44+'Grid_Incoming'!BX44-'Grid_Requirement'!BX44))</f>
        <v/>
      </c>
      <c r="BY44">
        <f>IF(COUNTIFS(T_StockCount[Part Name],$A44,T_StockCount[WeekIndex],76)&gt;0,SUMIFS(T_StockCount[CountedQty],T_StockCount[Part Name],$A44,T_StockCount[WeekIndex],76),IF((('T_SelfStock'!BY48&lt;&gt;""))*(('T_TTAFStock'!BY48&lt;&gt;""))&gt;0,'T_SelfStock'!BY48+'T_TTAFStock'!BY48,BX44+'Grid_Incoming'!BY44-'Grid_Requirement'!BY44))</f>
        <v/>
      </c>
      <c r="BZ44">
        <f>IF(COUNTIFS(T_StockCount[Part Name],$A44,T_StockCount[WeekIndex],77)&gt;0,SUMIFS(T_StockCount[CountedQty],T_StockCount[Part Name],$A44,T_StockCount[WeekIndex],77),IF((('T_SelfStock'!BZ48&lt;&gt;""))*(('T_TTAFStock'!BZ48&lt;&gt;""))&gt;0,'T_SelfStock'!BZ48+'T_TTAFStock'!BZ48,BY44+'Grid_Incoming'!BZ44-'Grid_Requirement'!BZ44))</f>
        <v/>
      </c>
      <c r="CA44">
        <f>IF(COUNTIFS(T_StockCount[Part Name],$A44,T_StockCount[WeekIndex],78)&gt;0,SUMIFS(T_StockCount[CountedQty],T_StockCount[Part Name],$A44,T_StockCount[WeekIndex],78),IF((('T_SelfStock'!CA48&lt;&gt;""))*(('T_TTAFStock'!CA48&lt;&gt;""))&gt;0,'T_SelfStock'!CA48+'T_TTAFStock'!CA48,BZ44+'Grid_Incoming'!CA44-'Grid_Requirement'!CA44))</f>
        <v/>
      </c>
      <c r="CB44">
        <f>IF(COUNTIFS(T_StockCount[Part Name],$A44,T_StockCount[WeekIndex],79)&gt;0,SUMIFS(T_StockCount[CountedQty],T_StockCount[Part Name],$A44,T_StockCount[WeekIndex],79),IF((('T_SelfStock'!CB48&lt;&gt;""))*(('T_TTAFStock'!CB48&lt;&gt;""))&gt;0,'T_SelfStock'!CB48+'T_TTAFStock'!CB48,CA44+'Grid_Incoming'!CB44-'Grid_Requirement'!CB44))</f>
        <v/>
      </c>
      <c r="CC44">
        <f>IF(COUNTIFS(T_StockCount[Part Name],$A44,T_StockCount[WeekIndex],80)&gt;0,SUMIFS(T_StockCount[CountedQty],T_StockCount[Part Name],$A44,T_StockCount[WeekIndex],80),IF((('T_SelfStock'!CC48&lt;&gt;""))*(('T_TTAFStock'!CC48&lt;&gt;""))&gt;0,'T_SelfStock'!CC48+'T_TTAFStock'!CC48,CB44+'Grid_Incoming'!CC44-'Grid_Requirement'!CC44))</f>
        <v/>
      </c>
      <c r="CD44">
        <f>IF(COUNTIFS(T_StockCount[Part Name],$A44,T_StockCount[WeekIndex],81)&gt;0,SUMIFS(T_StockCount[CountedQty],T_StockCount[Part Name],$A44,T_StockCount[WeekIndex],81),IF((('T_SelfStock'!CD48&lt;&gt;""))*(('T_TTAFStock'!CD48&lt;&gt;""))&gt;0,'T_SelfStock'!CD48+'T_TTAFStock'!CD48,CC44+'Grid_Incoming'!CD44-'Grid_Requirement'!CD44))</f>
        <v/>
      </c>
      <c r="CE44">
        <f>IF(COUNTIFS(T_StockCount[Part Name],$A44,T_StockCount[WeekIndex],82)&gt;0,SUMIFS(T_StockCount[CountedQty],T_StockCount[Part Name],$A44,T_StockCount[WeekIndex],82),IF((('T_SelfStock'!CE48&lt;&gt;""))*(('T_TTAFStock'!CE48&lt;&gt;""))&gt;0,'T_SelfStock'!CE48+'T_TTAFStock'!CE48,CD44+'Grid_Incoming'!CE44-'Grid_Requirement'!CE44))</f>
        <v/>
      </c>
      <c r="CF44">
        <f>IF(COUNTIFS(T_StockCount[Part Name],$A44,T_StockCount[WeekIndex],83)&gt;0,SUMIFS(T_StockCount[CountedQty],T_StockCount[Part Name],$A44,T_StockCount[WeekIndex],83),IF((('T_SelfStock'!CF48&lt;&gt;""))*(('T_TTAFStock'!CF48&lt;&gt;""))&gt;0,'T_SelfStock'!CF48+'T_TTAFStock'!CF48,CE44+'Grid_Incoming'!CF44-'Grid_Requirement'!CF44))</f>
        <v/>
      </c>
      <c r="CG44">
        <f>IF(COUNTIFS(T_StockCount[Part Name],$A44,T_StockCount[WeekIndex],84)&gt;0,SUMIFS(T_StockCount[CountedQty],T_StockCount[Part Name],$A44,T_StockCount[WeekIndex],84),IF((('T_SelfStock'!CG48&lt;&gt;""))*(('T_TTAFStock'!CG48&lt;&gt;""))&gt;0,'T_SelfStock'!CG48+'T_TTAFStock'!CG48,CF44+'Grid_Incoming'!CG44-'Grid_Requirement'!CG44))</f>
        <v/>
      </c>
      <c r="CH44">
        <f>IF(COUNTIFS(T_StockCount[Part Name],$A44,T_StockCount[WeekIndex],85)&gt;0,SUMIFS(T_StockCount[CountedQty],T_StockCount[Part Name],$A44,T_StockCount[WeekIndex],85),IF((('T_SelfStock'!CH48&lt;&gt;""))*(('T_TTAFStock'!CH48&lt;&gt;""))&gt;0,'T_SelfStock'!CH48+'T_TTAFStock'!CH48,CG44+'Grid_Incoming'!CH44-'Grid_Requirement'!CH44))</f>
        <v/>
      </c>
      <c r="CI44">
        <f>IF(COUNTIFS(T_StockCount[Part Name],$A44,T_StockCount[WeekIndex],86)&gt;0,SUMIFS(T_StockCount[CountedQty],T_StockCount[Part Name],$A44,T_StockCount[WeekIndex],86),IF((('T_SelfStock'!CI48&lt;&gt;""))*(('T_TTAFStock'!CI48&lt;&gt;""))&gt;0,'T_SelfStock'!CI48+'T_TTAFStock'!CI48,CH44+'Grid_Incoming'!CI44-'Grid_Requirement'!CI44))</f>
        <v/>
      </c>
      <c r="CJ44">
        <f>IF(COUNTIFS(T_StockCount[Part Name],$A44,T_StockCount[WeekIndex],87)&gt;0,SUMIFS(T_StockCount[CountedQty],T_StockCount[Part Name],$A44,T_StockCount[WeekIndex],87),IF((('T_SelfStock'!CJ48&lt;&gt;""))*(('T_TTAFStock'!CJ48&lt;&gt;""))&gt;0,'T_SelfStock'!CJ48+'T_TTAFStock'!CJ48,CI44+'Grid_Incoming'!CJ44-'Grid_Requirement'!CJ44))</f>
        <v/>
      </c>
      <c r="CK44">
        <f>IF(COUNTIFS(T_StockCount[Part Name],$A44,T_StockCount[WeekIndex],88)&gt;0,SUMIFS(T_StockCount[CountedQty],T_StockCount[Part Name],$A44,T_StockCount[WeekIndex],88),IF((('T_SelfStock'!CK48&lt;&gt;""))*(('T_TTAFStock'!CK48&lt;&gt;""))&gt;0,'T_SelfStock'!CK48+'T_TTAFStock'!CK48,CJ44+'Grid_Incoming'!CK44-'Grid_Requirement'!CK44))</f>
        <v/>
      </c>
      <c r="CL44">
        <f>IF(COUNTIFS(T_StockCount[Part Name],$A44,T_StockCount[WeekIndex],89)&gt;0,SUMIFS(T_StockCount[CountedQty],T_StockCount[Part Name],$A44,T_StockCount[WeekIndex],89),IF((('T_SelfStock'!CL48&lt;&gt;""))*(('T_TTAFStock'!CL48&lt;&gt;""))&gt;0,'T_SelfStock'!CL48+'T_TTAFStock'!CL48,CK44+'Grid_Incoming'!CL44-'Grid_Requirement'!CL44))</f>
        <v/>
      </c>
      <c r="CM44">
        <f>IF(COUNTIFS(T_StockCount[Part Name],$A44,T_StockCount[WeekIndex],90)&gt;0,SUMIFS(T_StockCount[CountedQty],T_StockCount[Part Name],$A44,T_StockCount[WeekIndex],90),IF((('T_SelfStock'!CM48&lt;&gt;""))*(('T_TTAFStock'!CM48&lt;&gt;""))&gt;0,'T_SelfStock'!CM48+'T_TTAFStock'!CM48,CL44+'Grid_Incoming'!CM44-'Grid_Requirement'!CM44))</f>
        <v/>
      </c>
      <c r="CN44">
        <f>IF(COUNTIFS(T_StockCount[Part Name],$A44,T_StockCount[WeekIndex],91)&gt;0,SUMIFS(T_StockCount[CountedQty],T_StockCount[Part Name],$A44,T_StockCount[WeekIndex],91),IF((('T_SelfStock'!CN48&lt;&gt;""))*(('T_TTAFStock'!CN48&lt;&gt;""))&gt;0,'T_SelfStock'!CN48+'T_TTAFStock'!CN48,CM44+'Grid_Incoming'!CN44-'Grid_Requirement'!CN44))</f>
        <v/>
      </c>
      <c r="CO44">
        <f>IF(COUNTIFS(T_StockCount[Part Name],$A44,T_StockCount[WeekIndex],92)&gt;0,SUMIFS(T_StockCount[CountedQty],T_StockCount[Part Name],$A44,T_StockCount[WeekIndex],92),IF((('T_SelfStock'!CO48&lt;&gt;""))*(('T_TTAFStock'!CO48&lt;&gt;""))&gt;0,'T_SelfStock'!CO48+'T_TTAFStock'!CO48,CN44+'Grid_Incoming'!CO44-'Grid_Requirement'!CO44))</f>
        <v/>
      </c>
      <c r="CP44">
        <f>IF(COUNTIFS(T_StockCount[Part Name],$A44,T_StockCount[WeekIndex],93)&gt;0,SUMIFS(T_StockCount[CountedQty],T_StockCount[Part Name],$A44,T_StockCount[WeekIndex],93),IF((('T_SelfStock'!CP48&lt;&gt;""))*(('T_TTAFStock'!CP48&lt;&gt;""))&gt;0,'T_SelfStock'!CP48+'T_TTAFStock'!CP48,CO44+'Grid_Incoming'!CP44-'Grid_Requirement'!CP44))</f>
        <v/>
      </c>
      <c r="CQ44">
        <f>IF(COUNTIFS(T_StockCount[Part Name],$A44,T_StockCount[WeekIndex],94)&gt;0,SUMIFS(T_StockCount[CountedQty],T_StockCount[Part Name],$A44,T_StockCount[WeekIndex],94),IF((('T_SelfStock'!CQ48&lt;&gt;""))*(('T_TTAFStock'!CQ48&lt;&gt;""))&gt;0,'T_SelfStock'!CQ48+'T_TTAFStock'!CQ48,CP44+'Grid_Incoming'!CQ44-'Grid_Requirement'!CQ44))</f>
        <v/>
      </c>
      <c r="CR44">
        <f>IF(COUNTIFS(T_StockCount[Part Name],$A44,T_StockCount[WeekIndex],95)&gt;0,SUMIFS(T_StockCount[CountedQty],T_StockCount[Part Name],$A44,T_StockCount[WeekIndex],95),IF((('T_SelfStock'!CR48&lt;&gt;""))*(('T_TTAFStock'!CR48&lt;&gt;""))&gt;0,'T_SelfStock'!CR48+'T_TTAFStock'!CR48,CQ44+'Grid_Incoming'!CR44-'Grid_Requirement'!CR44))</f>
        <v/>
      </c>
      <c r="CS44">
        <f>IF(COUNTIFS(T_StockCount[Part Name],$A44,T_StockCount[WeekIndex],96)&gt;0,SUMIFS(T_StockCount[CountedQty],T_StockCount[Part Name],$A44,T_StockCount[WeekIndex],96),IF((('T_SelfStock'!CS48&lt;&gt;""))*(('T_TTAFStock'!CS48&lt;&gt;""))&gt;0,'T_SelfStock'!CS48+'T_TTAFStock'!CS48,CR44+'Grid_Incoming'!CS44-'Grid_Requirement'!CS44))</f>
        <v/>
      </c>
      <c r="CT44">
        <f>IF(COUNTIFS(T_StockCount[Part Name],$A44,T_StockCount[WeekIndex],97)&gt;0,SUMIFS(T_StockCount[CountedQty],T_StockCount[Part Name],$A44,T_StockCount[WeekIndex],97),IF((('T_SelfStock'!CT48&lt;&gt;""))*(('T_TTAFStock'!CT48&lt;&gt;""))&gt;0,'T_SelfStock'!CT48+'T_TTAFStock'!CT48,CS44+'Grid_Incoming'!CT44-'Grid_Requirement'!CT44))</f>
        <v/>
      </c>
      <c r="CU44">
        <f>IF(COUNTIFS(T_StockCount[Part Name],$A44,T_StockCount[WeekIndex],98)&gt;0,SUMIFS(T_StockCount[CountedQty],T_StockCount[Part Name],$A44,T_StockCount[WeekIndex],98),IF((('T_SelfStock'!CU48&lt;&gt;""))*(('T_TTAFStock'!CU48&lt;&gt;""))&gt;0,'T_SelfStock'!CU48+'T_TTAFStock'!CU48,CT44+'Grid_Incoming'!CU44-'Grid_Requirement'!CU44))</f>
        <v/>
      </c>
      <c r="CV44">
        <f>IF(COUNTIFS(T_StockCount[Part Name],$A44,T_StockCount[WeekIndex],99)&gt;0,SUMIFS(T_StockCount[CountedQty],T_StockCount[Part Name],$A44,T_StockCount[WeekIndex],99),IF((('T_SelfStock'!CV48&lt;&gt;""))*(('T_TTAFStock'!CV48&lt;&gt;""))&gt;0,'T_SelfStock'!CV48+'T_TTAFStock'!CV48,CU44+'Grid_Incoming'!CV44-'Grid_Requirement'!CV44))</f>
        <v/>
      </c>
      <c r="CW44">
        <f>IF(COUNTIFS(T_StockCount[Part Name],$A44,T_StockCount[WeekIndex],100)&gt;0,SUMIFS(T_StockCount[CountedQty],T_StockCount[Part Name],$A44,T_StockCount[WeekIndex],100),IF((('T_SelfStock'!CW48&lt;&gt;""))*(('T_TTAFStock'!CW48&lt;&gt;""))&gt;0,'T_SelfStock'!CW48+'T_TTAFStock'!CW48,CV44+'Grid_Incoming'!CW44-'Grid_Requirement'!CW44))</f>
        <v/>
      </c>
      <c r="CX44">
        <f>IF(COUNTIFS(T_StockCount[Part Name],$A44,T_StockCount[WeekIndex],101)&gt;0,SUMIFS(T_StockCount[CountedQty],T_StockCount[Part Name],$A44,T_StockCount[WeekIndex],101),IF((('T_SelfStock'!CX48&lt;&gt;""))*(('T_TTAFStock'!CX48&lt;&gt;""))&gt;0,'T_SelfStock'!CX48+'T_TTAFStock'!CX48,CW44+'Grid_Incoming'!CX44-'Grid_Requirement'!CX44))</f>
        <v/>
      </c>
      <c r="CY44">
        <f>IF(COUNTIFS(T_StockCount[Part Name],$A44,T_StockCount[WeekIndex],102)&gt;0,SUMIFS(T_StockCount[CountedQty],T_StockCount[Part Name],$A44,T_StockCount[WeekIndex],102),IF((('T_SelfStock'!CY48&lt;&gt;""))*(('T_TTAFStock'!CY48&lt;&gt;""))&gt;0,'T_SelfStock'!CY48+'T_TTAFStock'!CY48,CX44+'Grid_Incoming'!CY44-'Grid_Requirement'!CY44))</f>
        <v/>
      </c>
      <c r="CZ44">
        <f>IF(COUNTIFS(T_StockCount[Part Name],$A44,T_StockCount[WeekIndex],103)&gt;0,SUMIFS(T_StockCount[CountedQty],T_StockCount[Part Name],$A44,T_StockCount[WeekIndex],103),IF((('T_SelfStock'!CZ48&lt;&gt;""))*(('T_TTAFStock'!CZ48&lt;&gt;""))&gt;0,'T_SelfStock'!CZ48+'T_TTAFStock'!CZ48,CY44+'Grid_Incoming'!CZ44-'Grid_Requirement'!CZ44))</f>
        <v/>
      </c>
      <c r="DA44">
        <f>IF(COUNTIFS(T_StockCount[Part Name],$A44,T_StockCount[WeekIndex],104)&gt;0,SUMIFS(T_StockCount[CountedQty],T_StockCount[Part Name],$A44,T_StockCount[WeekIndex],104),IF((('T_SelfStock'!DA48&lt;&gt;""))*(('T_TTAFStock'!DA48&lt;&gt;""))&gt;0,'T_SelfStock'!DA48+'T_TTAFStock'!DA48,CZ44+'Grid_Incoming'!DA44-'Grid_Requirement'!DA44))</f>
        <v/>
      </c>
    </row>
    <row r="45">
      <c r="A45" t="inlineStr">
        <is>
          <t>CHEM-1450</t>
        </is>
      </c>
      <c r="B45">
        <f>IF(COUNTIFS(T_StockCount[Part Name],$A45,T_StockCount[WeekIndex],1)&gt;0,SUMIFS(T_StockCount[CountedQty],T_StockCount[Part Name],$A45,T_StockCount[WeekIndex],1),IF((('T_SelfStock'!B49&lt;&gt;""))*(('T_TTAFStock'!B49&lt;&gt;""))&gt;0,'T_SelfStock'!B49+'T_TTAFStock'!B49,IFERROR(INDEX(T_OpeningStock[Opening_Qty_要入力],MATCH($A45,T_OpeningStock[Part Name],0)),0)+'Grid_Incoming'!B45-'Grid_Requirement'!B45))</f>
        <v/>
      </c>
      <c r="C45">
        <f>IF(COUNTIFS(T_StockCount[Part Name],$A45,T_StockCount[WeekIndex],2)&gt;0,SUMIFS(T_StockCount[CountedQty],T_StockCount[Part Name],$A45,T_StockCount[WeekIndex],2),IF((('T_SelfStock'!C49&lt;&gt;""))*(('T_TTAFStock'!C49&lt;&gt;""))&gt;0,'T_SelfStock'!C49+'T_TTAFStock'!C49,B45+'Grid_Incoming'!C45-'Grid_Requirement'!C45))</f>
        <v/>
      </c>
      <c r="D45">
        <f>IF(COUNTIFS(T_StockCount[Part Name],$A45,T_StockCount[WeekIndex],3)&gt;0,SUMIFS(T_StockCount[CountedQty],T_StockCount[Part Name],$A45,T_StockCount[WeekIndex],3),IF((('T_SelfStock'!D49&lt;&gt;""))*(('T_TTAFStock'!D49&lt;&gt;""))&gt;0,'T_SelfStock'!D49+'T_TTAFStock'!D49,C45+'Grid_Incoming'!D45-'Grid_Requirement'!D45))</f>
        <v/>
      </c>
      <c r="E45">
        <f>IF(COUNTIFS(T_StockCount[Part Name],$A45,T_StockCount[WeekIndex],4)&gt;0,SUMIFS(T_StockCount[CountedQty],T_StockCount[Part Name],$A45,T_StockCount[WeekIndex],4),IF((('T_SelfStock'!E49&lt;&gt;""))*(('T_TTAFStock'!E49&lt;&gt;""))&gt;0,'T_SelfStock'!E49+'T_TTAFStock'!E49,D45+'Grid_Incoming'!E45-'Grid_Requirement'!E45))</f>
        <v/>
      </c>
      <c r="F45">
        <f>IF(COUNTIFS(T_StockCount[Part Name],$A45,T_StockCount[WeekIndex],5)&gt;0,SUMIFS(T_StockCount[CountedQty],T_StockCount[Part Name],$A45,T_StockCount[WeekIndex],5),IF((('T_SelfStock'!F49&lt;&gt;""))*(('T_TTAFStock'!F49&lt;&gt;""))&gt;0,'T_SelfStock'!F49+'T_TTAFStock'!F49,E45+'Grid_Incoming'!F45-'Grid_Requirement'!F45))</f>
        <v/>
      </c>
      <c r="G45">
        <f>IF(COUNTIFS(T_StockCount[Part Name],$A45,T_StockCount[WeekIndex],6)&gt;0,SUMIFS(T_StockCount[CountedQty],T_StockCount[Part Name],$A45,T_StockCount[WeekIndex],6),IF((('T_SelfStock'!G49&lt;&gt;""))*(('T_TTAFStock'!G49&lt;&gt;""))&gt;0,'T_SelfStock'!G49+'T_TTAFStock'!G49,F45+'Grid_Incoming'!G45-'Grid_Requirement'!G45))</f>
        <v/>
      </c>
      <c r="H45">
        <f>IF(COUNTIFS(T_StockCount[Part Name],$A45,T_StockCount[WeekIndex],7)&gt;0,SUMIFS(T_StockCount[CountedQty],T_StockCount[Part Name],$A45,T_StockCount[WeekIndex],7),IF((('T_SelfStock'!H49&lt;&gt;""))*(('T_TTAFStock'!H49&lt;&gt;""))&gt;0,'T_SelfStock'!H49+'T_TTAFStock'!H49,G45+'Grid_Incoming'!H45-'Grid_Requirement'!H45))</f>
        <v/>
      </c>
      <c r="I45">
        <f>IF(COUNTIFS(T_StockCount[Part Name],$A45,T_StockCount[WeekIndex],8)&gt;0,SUMIFS(T_StockCount[CountedQty],T_StockCount[Part Name],$A45,T_StockCount[WeekIndex],8),IF((('T_SelfStock'!I49&lt;&gt;""))*(('T_TTAFStock'!I49&lt;&gt;""))&gt;0,'T_SelfStock'!I49+'T_TTAFStock'!I49,H45+'Grid_Incoming'!I45-'Grid_Requirement'!I45))</f>
        <v/>
      </c>
      <c r="J45">
        <f>IF(COUNTIFS(T_StockCount[Part Name],$A45,T_StockCount[WeekIndex],9)&gt;0,SUMIFS(T_StockCount[CountedQty],T_StockCount[Part Name],$A45,T_StockCount[WeekIndex],9),IF((('T_SelfStock'!J49&lt;&gt;""))*(('T_TTAFStock'!J49&lt;&gt;""))&gt;0,'T_SelfStock'!J49+'T_TTAFStock'!J49,I45+'Grid_Incoming'!J45-'Grid_Requirement'!J45))</f>
        <v/>
      </c>
      <c r="K45">
        <f>IF(COUNTIFS(T_StockCount[Part Name],$A45,T_StockCount[WeekIndex],10)&gt;0,SUMIFS(T_StockCount[CountedQty],T_StockCount[Part Name],$A45,T_StockCount[WeekIndex],10),IF((('T_SelfStock'!K49&lt;&gt;""))*(('T_TTAFStock'!K49&lt;&gt;""))&gt;0,'T_SelfStock'!K49+'T_TTAFStock'!K49,J45+'Grid_Incoming'!K45-'Grid_Requirement'!K45))</f>
        <v/>
      </c>
      <c r="L45">
        <f>IF(COUNTIFS(T_StockCount[Part Name],$A45,T_StockCount[WeekIndex],11)&gt;0,SUMIFS(T_StockCount[CountedQty],T_StockCount[Part Name],$A45,T_StockCount[WeekIndex],11),IF((('T_SelfStock'!L49&lt;&gt;""))*(('T_TTAFStock'!L49&lt;&gt;""))&gt;0,'T_SelfStock'!L49+'T_TTAFStock'!L49,K45+'Grid_Incoming'!L45-'Grid_Requirement'!L45))</f>
        <v/>
      </c>
      <c r="M45">
        <f>IF(COUNTIFS(T_StockCount[Part Name],$A45,T_StockCount[WeekIndex],12)&gt;0,SUMIFS(T_StockCount[CountedQty],T_StockCount[Part Name],$A45,T_StockCount[WeekIndex],12),IF((('T_SelfStock'!M49&lt;&gt;""))*(('T_TTAFStock'!M49&lt;&gt;""))&gt;0,'T_SelfStock'!M49+'T_TTAFStock'!M49,L45+'Grid_Incoming'!M45-'Grid_Requirement'!M45))</f>
        <v/>
      </c>
      <c r="N45">
        <f>IF(COUNTIFS(T_StockCount[Part Name],$A45,T_StockCount[WeekIndex],13)&gt;0,SUMIFS(T_StockCount[CountedQty],T_StockCount[Part Name],$A45,T_StockCount[WeekIndex],13),IF((('T_SelfStock'!N49&lt;&gt;""))*(('T_TTAFStock'!N49&lt;&gt;""))&gt;0,'T_SelfStock'!N49+'T_TTAFStock'!N49,M45+'Grid_Incoming'!N45-'Grid_Requirement'!N45))</f>
        <v/>
      </c>
      <c r="O45">
        <f>IF(COUNTIFS(T_StockCount[Part Name],$A45,T_StockCount[WeekIndex],14)&gt;0,SUMIFS(T_StockCount[CountedQty],T_StockCount[Part Name],$A45,T_StockCount[WeekIndex],14),IF((('T_SelfStock'!O49&lt;&gt;""))*(('T_TTAFStock'!O49&lt;&gt;""))&gt;0,'T_SelfStock'!O49+'T_TTAFStock'!O49,N45+'Grid_Incoming'!O45-'Grid_Requirement'!O45))</f>
        <v/>
      </c>
      <c r="P45">
        <f>IF(COUNTIFS(T_StockCount[Part Name],$A45,T_StockCount[WeekIndex],15)&gt;0,SUMIFS(T_StockCount[CountedQty],T_StockCount[Part Name],$A45,T_StockCount[WeekIndex],15),IF((('T_SelfStock'!P49&lt;&gt;""))*(('T_TTAFStock'!P49&lt;&gt;""))&gt;0,'T_SelfStock'!P49+'T_TTAFStock'!P49,O45+'Grid_Incoming'!P45-'Grid_Requirement'!P45))</f>
        <v/>
      </c>
      <c r="Q45">
        <f>IF(COUNTIFS(T_StockCount[Part Name],$A45,T_StockCount[WeekIndex],16)&gt;0,SUMIFS(T_StockCount[CountedQty],T_StockCount[Part Name],$A45,T_StockCount[WeekIndex],16),IF((('T_SelfStock'!Q49&lt;&gt;""))*(('T_TTAFStock'!Q49&lt;&gt;""))&gt;0,'T_SelfStock'!Q49+'T_TTAFStock'!Q49,P45+'Grid_Incoming'!Q45-'Grid_Requirement'!Q45))</f>
        <v/>
      </c>
      <c r="R45">
        <f>IF(COUNTIFS(T_StockCount[Part Name],$A45,T_StockCount[WeekIndex],17)&gt;0,SUMIFS(T_StockCount[CountedQty],T_StockCount[Part Name],$A45,T_StockCount[WeekIndex],17),IF((('T_SelfStock'!R49&lt;&gt;""))*(('T_TTAFStock'!R49&lt;&gt;""))&gt;0,'T_SelfStock'!R49+'T_TTAFStock'!R49,Q45+'Grid_Incoming'!R45-'Grid_Requirement'!R45))</f>
        <v/>
      </c>
      <c r="S45">
        <f>IF(COUNTIFS(T_StockCount[Part Name],$A45,T_StockCount[WeekIndex],18)&gt;0,SUMIFS(T_StockCount[CountedQty],T_StockCount[Part Name],$A45,T_StockCount[WeekIndex],18),IF((('T_SelfStock'!S49&lt;&gt;""))*(('T_TTAFStock'!S49&lt;&gt;""))&gt;0,'T_SelfStock'!S49+'T_TTAFStock'!S49,R45+'Grid_Incoming'!S45-'Grid_Requirement'!S45))</f>
        <v/>
      </c>
      <c r="T45">
        <f>IF(COUNTIFS(T_StockCount[Part Name],$A45,T_StockCount[WeekIndex],19)&gt;0,SUMIFS(T_StockCount[CountedQty],T_StockCount[Part Name],$A45,T_StockCount[WeekIndex],19),IF((('T_SelfStock'!T49&lt;&gt;""))*(('T_TTAFStock'!T49&lt;&gt;""))&gt;0,'T_SelfStock'!T49+'T_TTAFStock'!T49,S45+'Grid_Incoming'!T45-'Grid_Requirement'!T45))</f>
        <v/>
      </c>
      <c r="U45">
        <f>IF(COUNTIFS(T_StockCount[Part Name],$A45,T_StockCount[WeekIndex],20)&gt;0,SUMIFS(T_StockCount[CountedQty],T_StockCount[Part Name],$A45,T_StockCount[WeekIndex],20),IF((('T_SelfStock'!U49&lt;&gt;""))*(('T_TTAFStock'!U49&lt;&gt;""))&gt;0,'T_SelfStock'!U49+'T_TTAFStock'!U49,T45+'Grid_Incoming'!U45-'Grid_Requirement'!U45))</f>
        <v/>
      </c>
      <c r="V45">
        <f>IF(COUNTIFS(T_StockCount[Part Name],$A45,T_StockCount[WeekIndex],21)&gt;0,SUMIFS(T_StockCount[CountedQty],T_StockCount[Part Name],$A45,T_StockCount[WeekIndex],21),IF((('T_SelfStock'!V49&lt;&gt;""))*(('T_TTAFStock'!V49&lt;&gt;""))&gt;0,'T_SelfStock'!V49+'T_TTAFStock'!V49,U45+'Grid_Incoming'!V45-'Grid_Requirement'!V45))</f>
        <v/>
      </c>
      <c r="W45">
        <f>IF(COUNTIFS(T_StockCount[Part Name],$A45,T_StockCount[WeekIndex],22)&gt;0,SUMIFS(T_StockCount[CountedQty],T_StockCount[Part Name],$A45,T_StockCount[WeekIndex],22),IF((('T_SelfStock'!W49&lt;&gt;""))*(('T_TTAFStock'!W49&lt;&gt;""))&gt;0,'T_SelfStock'!W49+'T_TTAFStock'!W49,V45+'Grid_Incoming'!W45-'Grid_Requirement'!W45))</f>
        <v/>
      </c>
      <c r="X45">
        <f>IF(COUNTIFS(T_StockCount[Part Name],$A45,T_StockCount[WeekIndex],23)&gt;0,SUMIFS(T_StockCount[CountedQty],T_StockCount[Part Name],$A45,T_StockCount[WeekIndex],23),IF((('T_SelfStock'!X49&lt;&gt;""))*(('T_TTAFStock'!X49&lt;&gt;""))&gt;0,'T_SelfStock'!X49+'T_TTAFStock'!X49,W45+'Grid_Incoming'!X45-'Grid_Requirement'!X45))</f>
        <v/>
      </c>
      <c r="Y45">
        <f>IF(COUNTIFS(T_StockCount[Part Name],$A45,T_StockCount[WeekIndex],24)&gt;0,SUMIFS(T_StockCount[CountedQty],T_StockCount[Part Name],$A45,T_StockCount[WeekIndex],24),IF((('T_SelfStock'!Y49&lt;&gt;""))*(('T_TTAFStock'!Y49&lt;&gt;""))&gt;0,'T_SelfStock'!Y49+'T_TTAFStock'!Y49,X45+'Grid_Incoming'!Y45-'Grid_Requirement'!Y45))</f>
        <v/>
      </c>
      <c r="Z45">
        <f>IF(COUNTIFS(T_StockCount[Part Name],$A45,T_StockCount[WeekIndex],25)&gt;0,SUMIFS(T_StockCount[CountedQty],T_StockCount[Part Name],$A45,T_StockCount[WeekIndex],25),IF((('T_SelfStock'!Z49&lt;&gt;""))*(('T_TTAFStock'!Z49&lt;&gt;""))&gt;0,'T_SelfStock'!Z49+'T_TTAFStock'!Z49,Y45+'Grid_Incoming'!Z45-'Grid_Requirement'!Z45))</f>
        <v/>
      </c>
      <c r="AA45">
        <f>IF(COUNTIFS(T_StockCount[Part Name],$A45,T_StockCount[WeekIndex],26)&gt;0,SUMIFS(T_StockCount[CountedQty],T_StockCount[Part Name],$A45,T_StockCount[WeekIndex],26),IF((('T_SelfStock'!AA49&lt;&gt;""))*(('T_TTAFStock'!AA49&lt;&gt;""))&gt;0,'T_SelfStock'!AA49+'T_TTAFStock'!AA49,Z45+'Grid_Incoming'!AA45-'Grid_Requirement'!AA45))</f>
        <v/>
      </c>
      <c r="AB45">
        <f>IF(COUNTIFS(T_StockCount[Part Name],$A45,T_StockCount[WeekIndex],27)&gt;0,SUMIFS(T_StockCount[CountedQty],T_StockCount[Part Name],$A45,T_StockCount[WeekIndex],27),IF((('T_SelfStock'!AB49&lt;&gt;""))*(('T_TTAFStock'!AB49&lt;&gt;""))&gt;0,'T_SelfStock'!AB49+'T_TTAFStock'!AB49,AA45+'Grid_Incoming'!AB45-'Grid_Requirement'!AB45))</f>
        <v/>
      </c>
      <c r="AC45">
        <f>IF(COUNTIFS(T_StockCount[Part Name],$A45,T_StockCount[WeekIndex],28)&gt;0,SUMIFS(T_StockCount[CountedQty],T_StockCount[Part Name],$A45,T_StockCount[WeekIndex],28),IF((('T_SelfStock'!AC49&lt;&gt;""))*(('T_TTAFStock'!AC49&lt;&gt;""))&gt;0,'T_SelfStock'!AC49+'T_TTAFStock'!AC49,AB45+'Grid_Incoming'!AC45-'Grid_Requirement'!AC45))</f>
        <v/>
      </c>
      <c r="AD45">
        <f>IF(COUNTIFS(T_StockCount[Part Name],$A45,T_StockCount[WeekIndex],29)&gt;0,SUMIFS(T_StockCount[CountedQty],T_StockCount[Part Name],$A45,T_StockCount[WeekIndex],29),IF((('T_SelfStock'!AD49&lt;&gt;""))*(('T_TTAFStock'!AD49&lt;&gt;""))&gt;0,'T_SelfStock'!AD49+'T_TTAFStock'!AD49,AC45+'Grid_Incoming'!AD45-'Grid_Requirement'!AD45))</f>
        <v/>
      </c>
      <c r="AE45">
        <f>IF(COUNTIFS(T_StockCount[Part Name],$A45,T_StockCount[WeekIndex],30)&gt;0,SUMIFS(T_StockCount[CountedQty],T_StockCount[Part Name],$A45,T_StockCount[WeekIndex],30),IF((('T_SelfStock'!AE49&lt;&gt;""))*(('T_TTAFStock'!AE49&lt;&gt;""))&gt;0,'T_SelfStock'!AE49+'T_TTAFStock'!AE49,AD45+'Grid_Incoming'!AE45-'Grid_Requirement'!AE45))</f>
        <v/>
      </c>
      <c r="AF45">
        <f>IF(COUNTIFS(T_StockCount[Part Name],$A45,T_StockCount[WeekIndex],31)&gt;0,SUMIFS(T_StockCount[CountedQty],T_StockCount[Part Name],$A45,T_StockCount[WeekIndex],31),IF((('T_SelfStock'!AF49&lt;&gt;""))*(('T_TTAFStock'!AF49&lt;&gt;""))&gt;0,'T_SelfStock'!AF49+'T_TTAFStock'!AF49,AE45+'Grid_Incoming'!AF45-'Grid_Requirement'!AF45))</f>
        <v/>
      </c>
      <c r="AG45">
        <f>IF(COUNTIFS(T_StockCount[Part Name],$A45,T_StockCount[WeekIndex],32)&gt;0,SUMIFS(T_StockCount[CountedQty],T_StockCount[Part Name],$A45,T_StockCount[WeekIndex],32),IF((('T_SelfStock'!AG49&lt;&gt;""))*(('T_TTAFStock'!AG49&lt;&gt;""))&gt;0,'T_SelfStock'!AG49+'T_TTAFStock'!AG49,AF45+'Grid_Incoming'!AG45-'Grid_Requirement'!AG45))</f>
        <v/>
      </c>
      <c r="AH45">
        <f>IF(COUNTIFS(T_StockCount[Part Name],$A45,T_StockCount[WeekIndex],33)&gt;0,SUMIFS(T_StockCount[CountedQty],T_StockCount[Part Name],$A45,T_StockCount[WeekIndex],33),IF((('T_SelfStock'!AH49&lt;&gt;""))*(('T_TTAFStock'!AH49&lt;&gt;""))&gt;0,'T_SelfStock'!AH49+'T_TTAFStock'!AH49,AG45+'Grid_Incoming'!AH45-'Grid_Requirement'!AH45))</f>
        <v/>
      </c>
      <c r="AI45">
        <f>IF(COUNTIFS(T_StockCount[Part Name],$A45,T_StockCount[WeekIndex],34)&gt;0,SUMIFS(T_StockCount[CountedQty],T_StockCount[Part Name],$A45,T_StockCount[WeekIndex],34),IF((('T_SelfStock'!AI49&lt;&gt;""))*(('T_TTAFStock'!AI49&lt;&gt;""))&gt;0,'T_SelfStock'!AI49+'T_TTAFStock'!AI49,AH45+'Grid_Incoming'!AI45-'Grid_Requirement'!AI45))</f>
        <v/>
      </c>
      <c r="AJ45">
        <f>IF(COUNTIFS(T_StockCount[Part Name],$A45,T_StockCount[WeekIndex],35)&gt;0,SUMIFS(T_StockCount[CountedQty],T_StockCount[Part Name],$A45,T_StockCount[WeekIndex],35),IF((('T_SelfStock'!AJ49&lt;&gt;""))*(('T_TTAFStock'!AJ49&lt;&gt;""))&gt;0,'T_SelfStock'!AJ49+'T_TTAFStock'!AJ49,AI45+'Grid_Incoming'!AJ45-'Grid_Requirement'!AJ45))</f>
        <v/>
      </c>
      <c r="AK45">
        <f>IF(COUNTIFS(T_StockCount[Part Name],$A45,T_StockCount[WeekIndex],36)&gt;0,SUMIFS(T_StockCount[CountedQty],T_StockCount[Part Name],$A45,T_StockCount[WeekIndex],36),IF((('T_SelfStock'!AK49&lt;&gt;""))*(('T_TTAFStock'!AK49&lt;&gt;""))&gt;0,'T_SelfStock'!AK49+'T_TTAFStock'!AK49,AJ45+'Grid_Incoming'!AK45-'Grid_Requirement'!AK45))</f>
        <v/>
      </c>
      <c r="AL45">
        <f>IF(COUNTIFS(T_StockCount[Part Name],$A45,T_StockCount[WeekIndex],37)&gt;0,SUMIFS(T_StockCount[CountedQty],T_StockCount[Part Name],$A45,T_StockCount[WeekIndex],37),IF((('T_SelfStock'!AL49&lt;&gt;""))*(('T_TTAFStock'!AL49&lt;&gt;""))&gt;0,'T_SelfStock'!AL49+'T_TTAFStock'!AL49,AK45+'Grid_Incoming'!AL45-'Grid_Requirement'!AL45))</f>
        <v/>
      </c>
      <c r="AM45">
        <f>IF(COUNTIFS(T_StockCount[Part Name],$A45,T_StockCount[WeekIndex],38)&gt;0,SUMIFS(T_StockCount[CountedQty],T_StockCount[Part Name],$A45,T_StockCount[WeekIndex],38),IF((('T_SelfStock'!AM49&lt;&gt;""))*(('T_TTAFStock'!AM49&lt;&gt;""))&gt;0,'T_SelfStock'!AM49+'T_TTAFStock'!AM49,AL45+'Grid_Incoming'!AM45-'Grid_Requirement'!AM45))</f>
        <v/>
      </c>
      <c r="AN45">
        <f>IF(COUNTIFS(T_StockCount[Part Name],$A45,T_StockCount[WeekIndex],39)&gt;0,SUMIFS(T_StockCount[CountedQty],T_StockCount[Part Name],$A45,T_StockCount[WeekIndex],39),IF((('T_SelfStock'!AN49&lt;&gt;""))*(('T_TTAFStock'!AN49&lt;&gt;""))&gt;0,'T_SelfStock'!AN49+'T_TTAFStock'!AN49,AM45+'Grid_Incoming'!AN45-'Grid_Requirement'!AN45))</f>
        <v/>
      </c>
      <c r="AO45">
        <f>IF(COUNTIFS(T_StockCount[Part Name],$A45,T_StockCount[WeekIndex],40)&gt;0,SUMIFS(T_StockCount[CountedQty],T_StockCount[Part Name],$A45,T_StockCount[WeekIndex],40),IF((('T_SelfStock'!AO49&lt;&gt;""))*(('T_TTAFStock'!AO49&lt;&gt;""))&gt;0,'T_SelfStock'!AO49+'T_TTAFStock'!AO49,AN45+'Grid_Incoming'!AO45-'Grid_Requirement'!AO45))</f>
        <v/>
      </c>
      <c r="AP45">
        <f>IF(COUNTIFS(T_StockCount[Part Name],$A45,T_StockCount[WeekIndex],41)&gt;0,SUMIFS(T_StockCount[CountedQty],T_StockCount[Part Name],$A45,T_StockCount[WeekIndex],41),IF((('T_SelfStock'!AP49&lt;&gt;""))*(('T_TTAFStock'!AP49&lt;&gt;""))&gt;0,'T_SelfStock'!AP49+'T_TTAFStock'!AP49,AO45+'Grid_Incoming'!AP45-'Grid_Requirement'!AP45))</f>
        <v/>
      </c>
      <c r="AQ45">
        <f>IF(COUNTIFS(T_StockCount[Part Name],$A45,T_StockCount[WeekIndex],42)&gt;0,SUMIFS(T_StockCount[CountedQty],T_StockCount[Part Name],$A45,T_StockCount[WeekIndex],42),IF((('T_SelfStock'!AQ49&lt;&gt;""))*(('T_TTAFStock'!AQ49&lt;&gt;""))&gt;0,'T_SelfStock'!AQ49+'T_TTAFStock'!AQ49,AP45+'Grid_Incoming'!AQ45-'Grid_Requirement'!AQ45))</f>
        <v/>
      </c>
      <c r="AR45">
        <f>IF(COUNTIFS(T_StockCount[Part Name],$A45,T_StockCount[WeekIndex],43)&gt;0,SUMIFS(T_StockCount[CountedQty],T_StockCount[Part Name],$A45,T_StockCount[WeekIndex],43),IF((('T_SelfStock'!AR49&lt;&gt;""))*(('T_TTAFStock'!AR49&lt;&gt;""))&gt;0,'T_SelfStock'!AR49+'T_TTAFStock'!AR49,AQ45+'Grid_Incoming'!AR45-'Grid_Requirement'!AR45))</f>
        <v/>
      </c>
      <c r="AS45">
        <f>IF(COUNTIFS(T_StockCount[Part Name],$A45,T_StockCount[WeekIndex],44)&gt;0,SUMIFS(T_StockCount[CountedQty],T_StockCount[Part Name],$A45,T_StockCount[WeekIndex],44),IF((('T_SelfStock'!AS49&lt;&gt;""))*(('T_TTAFStock'!AS49&lt;&gt;""))&gt;0,'T_SelfStock'!AS49+'T_TTAFStock'!AS49,AR45+'Grid_Incoming'!AS45-'Grid_Requirement'!AS45))</f>
        <v/>
      </c>
      <c r="AT45">
        <f>IF(COUNTIFS(T_StockCount[Part Name],$A45,T_StockCount[WeekIndex],45)&gt;0,SUMIFS(T_StockCount[CountedQty],T_StockCount[Part Name],$A45,T_StockCount[WeekIndex],45),IF((('T_SelfStock'!AT49&lt;&gt;""))*(('T_TTAFStock'!AT49&lt;&gt;""))&gt;0,'T_SelfStock'!AT49+'T_TTAFStock'!AT49,AS45+'Grid_Incoming'!AT45-'Grid_Requirement'!AT45))</f>
        <v/>
      </c>
      <c r="AU45">
        <f>IF(COUNTIFS(T_StockCount[Part Name],$A45,T_StockCount[WeekIndex],46)&gt;0,SUMIFS(T_StockCount[CountedQty],T_StockCount[Part Name],$A45,T_StockCount[WeekIndex],46),IF((('T_SelfStock'!AU49&lt;&gt;""))*(('T_TTAFStock'!AU49&lt;&gt;""))&gt;0,'T_SelfStock'!AU49+'T_TTAFStock'!AU49,AT45+'Grid_Incoming'!AU45-'Grid_Requirement'!AU45))</f>
        <v/>
      </c>
      <c r="AV45">
        <f>IF(COUNTIFS(T_StockCount[Part Name],$A45,T_StockCount[WeekIndex],47)&gt;0,SUMIFS(T_StockCount[CountedQty],T_StockCount[Part Name],$A45,T_StockCount[WeekIndex],47),IF((('T_SelfStock'!AV49&lt;&gt;""))*(('T_TTAFStock'!AV49&lt;&gt;""))&gt;0,'T_SelfStock'!AV49+'T_TTAFStock'!AV49,AU45+'Grid_Incoming'!AV45-'Grid_Requirement'!AV45))</f>
        <v/>
      </c>
      <c r="AW45">
        <f>IF(COUNTIFS(T_StockCount[Part Name],$A45,T_StockCount[WeekIndex],48)&gt;0,SUMIFS(T_StockCount[CountedQty],T_StockCount[Part Name],$A45,T_StockCount[WeekIndex],48),IF((('T_SelfStock'!AW49&lt;&gt;""))*(('T_TTAFStock'!AW49&lt;&gt;""))&gt;0,'T_SelfStock'!AW49+'T_TTAFStock'!AW49,AV45+'Grid_Incoming'!AW45-'Grid_Requirement'!AW45))</f>
        <v/>
      </c>
      <c r="AX45">
        <f>IF(COUNTIFS(T_StockCount[Part Name],$A45,T_StockCount[WeekIndex],49)&gt;0,SUMIFS(T_StockCount[CountedQty],T_StockCount[Part Name],$A45,T_StockCount[WeekIndex],49),IF((('T_SelfStock'!AX49&lt;&gt;""))*(('T_TTAFStock'!AX49&lt;&gt;""))&gt;0,'T_SelfStock'!AX49+'T_TTAFStock'!AX49,AW45+'Grid_Incoming'!AX45-'Grid_Requirement'!AX45))</f>
        <v/>
      </c>
      <c r="AY45">
        <f>IF(COUNTIFS(T_StockCount[Part Name],$A45,T_StockCount[WeekIndex],50)&gt;0,SUMIFS(T_StockCount[CountedQty],T_StockCount[Part Name],$A45,T_StockCount[WeekIndex],50),IF((('T_SelfStock'!AY49&lt;&gt;""))*(('T_TTAFStock'!AY49&lt;&gt;""))&gt;0,'T_SelfStock'!AY49+'T_TTAFStock'!AY49,AX45+'Grid_Incoming'!AY45-'Grid_Requirement'!AY45))</f>
        <v/>
      </c>
      <c r="AZ45">
        <f>IF(COUNTIFS(T_StockCount[Part Name],$A45,T_StockCount[WeekIndex],51)&gt;0,SUMIFS(T_StockCount[CountedQty],T_StockCount[Part Name],$A45,T_StockCount[WeekIndex],51),IF((('T_SelfStock'!AZ49&lt;&gt;""))*(('T_TTAFStock'!AZ49&lt;&gt;""))&gt;0,'T_SelfStock'!AZ49+'T_TTAFStock'!AZ49,AY45+'Grid_Incoming'!AZ45-'Grid_Requirement'!AZ45))</f>
        <v/>
      </c>
      <c r="BA45">
        <f>IF(COUNTIFS(T_StockCount[Part Name],$A45,T_StockCount[WeekIndex],52)&gt;0,SUMIFS(T_StockCount[CountedQty],T_StockCount[Part Name],$A45,T_StockCount[WeekIndex],52),IF((('T_SelfStock'!BA49&lt;&gt;""))*(('T_TTAFStock'!BA49&lt;&gt;""))&gt;0,'T_SelfStock'!BA49+'T_TTAFStock'!BA49,AZ45+'Grid_Incoming'!BA45-'Grid_Requirement'!BA45))</f>
        <v/>
      </c>
      <c r="BB45">
        <f>IF(COUNTIFS(T_StockCount[Part Name],$A45,T_StockCount[WeekIndex],53)&gt;0,SUMIFS(T_StockCount[CountedQty],T_StockCount[Part Name],$A45,T_StockCount[WeekIndex],53),IF((('T_SelfStock'!BB49&lt;&gt;""))*(('T_TTAFStock'!BB49&lt;&gt;""))&gt;0,'T_SelfStock'!BB49+'T_TTAFStock'!BB49,BA45+'Grid_Incoming'!BB45-'Grid_Requirement'!BB45))</f>
        <v/>
      </c>
      <c r="BC45">
        <f>IF(COUNTIFS(T_StockCount[Part Name],$A45,T_StockCount[WeekIndex],54)&gt;0,SUMIFS(T_StockCount[CountedQty],T_StockCount[Part Name],$A45,T_StockCount[WeekIndex],54),IF((('T_SelfStock'!BC49&lt;&gt;""))*(('T_TTAFStock'!BC49&lt;&gt;""))&gt;0,'T_SelfStock'!BC49+'T_TTAFStock'!BC49,BB45+'Grid_Incoming'!BC45-'Grid_Requirement'!BC45))</f>
        <v/>
      </c>
      <c r="BD45">
        <f>IF(COUNTIFS(T_StockCount[Part Name],$A45,T_StockCount[WeekIndex],55)&gt;0,SUMIFS(T_StockCount[CountedQty],T_StockCount[Part Name],$A45,T_StockCount[WeekIndex],55),IF((('T_SelfStock'!BD49&lt;&gt;""))*(('T_TTAFStock'!BD49&lt;&gt;""))&gt;0,'T_SelfStock'!BD49+'T_TTAFStock'!BD49,BC45+'Grid_Incoming'!BD45-'Grid_Requirement'!BD45))</f>
        <v/>
      </c>
      <c r="BE45">
        <f>IF(COUNTIFS(T_StockCount[Part Name],$A45,T_StockCount[WeekIndex],56)&gt;0,SUMIFS(T_StockCount[CountedQty],T_StockCount[Part Name],$A45,T_StockCount[WeekIndex],56),IF((('T_SelfStock'!BE49&lt;&gt;""))*(('T_TTAFStock'!BE49&lt;&gt;""))&gt;0,'T_SelfStock'!BE49+'T_TTAFStock'!BE49,BD45+'Grid_Incoming'!BE45-'Grid_Requirement'!BE45))</f>
        <v/>
      </c>
      <c r="BF45">
        <f>IF(COUNTIFS(T_StockCount[Part Name],$A45,T_StockCount[WeekIndex],57)&gt;0,SUMIFS(T_StockCount[CountedQty],T_StockCount[Part Name],$A45,T_StockCount[WeekIndex],57),IF((('T_SelfStock'!BF49&lt;&gt;""))*(('T_TTAFStock'!BF49&lt;&gt;""))&gt;0,'T_SelfStock'!BF49+'T_TTAFStock'!BF49,BE45+'Grid_Incoming'!BF45-'Grid_Requirement'!BF45))</f>
        <v/>
      </c>
      <c r="BG45">
        <f>IF(COUNTIFS(T_StockCount[Part Name],$A45,T_StockCount[WeekIndex],58)&gt;0,SUMIFS(T_StockCount[CountedQty],T_StockCount[Part Name],$A45,T_StockCount[WeekIndex],58),IF((('T_SelfStock'!BG49&lt;&gt;""))*(('T_TTAFStock'!BG49&lt;&gt;""))&gt;0,'T_SelfStock'!BG49+'T_TTAFStock'!BG49,BF45+'Grid_Incoming'!BG45-'Grid_Requirement'!BG45))</f>
        <v/>
      </c>
      <c r="BH45">
        <f>IF(COUNTIFS(T_StockCount[Part Name],$A45,T_StockCount[WeekIndex],59)&gt;0,SUMIFS(T_StockCount[CountedQty],T_StockCount[Part Name],$A45,T_StockCount[WeekIndex],59),IF((('T_SelfStock'!BH49&lt;&gt;""))*(('T_TTAFStock'!BH49&lt;&gt;""))&gt;0,'T_SelfStock'!BH49+'T_TTAFStock'!BH49,BG45+'Grid_Incoming'!BH45-'Grid_Requirement'!BH45))</f>
        <v/>
      </c>
      <c r="BI45">
        <f>IF(COUNTIFS(T_StockCount[Part Name],$A45,T_StockCount[WeekIndex],60)&gt;0,SUMIFS(T_StockCount[CountedQty],T_StockCount[Part Name],$A45,T_StockCount[WeekIndex],60),IF((('T_SelfStock'!BI49&lt;&gt;""))*(('T_TTAFStock'!BI49&lt;&gt;""))&gt;0,'T_SelfStock'!BI49+'T_TTAFStock'!BI49,BH45+'Grid_Incoming'!BI45-'Grid_Requirement'!BI45))</f>
        <v/>
      </c>
      <c r="BJ45">
        <f>IF(COUNTIFS(T_StockCount[Part Name],$A45,T_StockCount[WeekIndex],61)&gt;0,SUMIFS(T_StockCount[CountedQty],T_StockCount[Part Name],$A45,T_StockCount[WeekIndex],61),IF((('T_SelfStock'!BJ49&lt;&gt;""))*(('T_TTAFStock'!BJ49&lt;&gt;""))&gt;0,'T_SelfStock'!BJ49+'T_TTAFStock'!BJ49,BI45+'Grid_Incoming'!BJ45-'Grid_Requirement'!BJ45))</f>
        <v/>
      </c>
      <c r="BK45">
        <f>IF(COUNTIFS(T_StockCount[Part Name],$A45,T_StockCount[WeekIndex],62)&gt;0,SUMIFS(T_StockCount[CountedQty],T_StockCount[Part Name],$A45,T_StockCount[WeekIndex],62),IF((('T_SelfStock'!BK49&lt;&gt;""))*(('T_TTAFStock'!BK49&lt;&gt;""))&gt;0,'T_SelfStock'!BK49+'T_TTAFStock'!BK49,BJ45+'Grid_Incoming'!BK45-'Grid_Requirement'!BK45))</f>
        <v/>
      </c>
      <c r="BL45">
        <f>IF(COUNTIFS(T_StockCount[Part Name],$A45,T_StockCount[WeekIndex],63)&gt;0,SUMIFS(T_StockCount[CountedQty],T_StockCount[Part Name],$A45,T_StockCount[WeekIndex],63),IF((('T_SelfStock'!BL49&lt;&gt;""))*(('T_TTAFStock'!BL49&lt;&gt;""))&gt;0,'T_SelfStock'!BL49+'T_TTAFStock'!BL49,BK45+'Grid_Incoming'!BL45-'Grid_Requirement'!BL45))</f>
        <v/>
      </c>
      <c r="BM45">
        <f>IF(COUNTIFS(T_StockCount[Part Name],$A45,T_StockCount[WeekIndex],64)&gt;0,SUMIFS(T_StockCount[CountedQty],T_StockCount[Part Name],$A45,T_StockCount[WeekIndex],64),IF((('T_SelfStock'!BM49&lt;&gt;""))*(('T_TTAFStock'!BM49&lt;&gt;""))&gt;0,'T_SelfStock'!BM49+'T_TTAFStock'!BM49,BL45+'Grid_Incoming'!BM45-'Grid_Requirement'!BM45))</f>
        <v/>
      </c>
      <c r="BN45">
        <f>IF(COUNTIFS(T_StockCount[Part Name],$A45,T_StockCount[WeekIndex],65)&gt;0,SUMIFS(T_StockCount[CountedQty],T_StockCount[Part Name],$A45,T_StockCount[WeekIndex],65),IF((('T_SelfStock'!BN49&lt;&gt;""))*(('T_TTAFStock'!BN49&lt;&gt;""))&gt;0,'T_SelfStock'!BN49+'T_TTAFStock'!BN49,BM45+'Grid_Incoming'!BN45-'Grid_Requirement'!BN45))</f>
        <v/>
      </c>
      <c r="BO45">
        <f>IF(COUNTIFS(T_StockCount[Part Name],$A45,T_StockCount[WeekIndex],66)&gt;0,SUMIFS(T_StockCount[CountedQty],T_StockCount[Part Name],$A45,T_StockCount[WeekIndex],66),IF((('T_SelfStock'!BO49&lt;&gt;""))*(('T_TTAFStock'!BO49&lt;&gt;""))&gt;0,'T_SelfStock'!BO49+'T_TTAFStock'!BO49,BN45+'Grid_Incoming'!BO45-'Grid_Requirement'!BO45))</f>
        <v/>
      </c>
      <c r="BP45">
        <f>IF(COUNTIFS(T_StockCount[Part Name],$A45,T_StockCount[WeekIndex],67)&gt;0,SUMIFS(T_StockCount[CountedQty],T_StockCount[Part Name],$A45,T_StockCount[WeekIndex],67),IF((('T_SelfStock'!BP49&lt;&gt;""))*(('T_TTAFStock'!BP49&lt;&gt;""))&gt;0,'T_SelfStock'!BP49+'T_TTAFStock'!BP49,BO45+'Grid_Incoming'!BP45-'Grid_Requirement'!BP45))</f>
        <v/>
      </c>
      <c r="BQ45">
        <f>IF(COUNTIFS(T_StockCount[Part Name],$A45,T_StockCount[WeekIndex],68)&gt;0,SUMIFS(T_StockCount[CountedQty],T_StockCount[Part Name],$A45,T_StockCount[WeekIndex],68),IF((('T_SelfStock'!BQ49&lt;&gt;""))*(('T_TTAFStock'!BQ49&lt;&gt;""))&gt;0,'T_SelfStock'!BQ49+'T_TTAFStock'!BQ49,BP45+'Grid_Incoming'!BQ45-'Grid_Requirement'!BQ45))</f>
        <v/>
      </c>
      <c r="BR45">
        <f>IF(COUNTIFS(T_StockCount[Part Name],$A45,T_StockCount[WeekIndex],69)&gt;0,SUMIFS(T_StockCount[CountedQty],T_StockCount[Part Name],$A45,T_StockCount[WeekIndex],69),IF((('T_SelfStock'!BR49&lt;&gt;""))*(('T_TTAFStock'!BR49&lt;&gt;""))&gt;0,'T_SelfStock'!BR49+'T_TTAFStock'!BR49,BQ45+'Grid_Incoming'!BR45-'Grid_Requirement'!BR45))</f>
        <v/>
      </c>
      <c r="BS45">
        <f>IF(COUNTIFS(T_StockCount[Part Name],$A45,T_StockCount[WeekIndex],70)&gt;0,SUMIFS(T_StockCount[CountedQty],T_StockCount[Part Name],$A45,T_StockCount[WeekIndex],70),IF((('T_SelfStock'!BS49&lt;&gt;""))*(('T_TTAFStock'!BS49&lt;&gt;""))&gt;0,'T_SelfStock'!BS49+'T_TTAFStock'!BS49,BR45+'Grid_Incoming'!BS45-'Grid_Requirement'!BS45))</f>
        <v/>
      </c>
      <c r="BT45">
        <f>IF(COUNTIFS(T_StockCount[Part Name],$A45,T_StockCount[WeekIndex],71)&gt;0,SUMIFS(T_StockCount[CountedQty],T_StockCount[Part Name],$A45,T_StockCount[WeekIndex],71),IF((('T_SelfStock'!BT49&lt;&gt;""))*(('T_TTAFStock'!BT49&lt;&gt;""))&gt;0,'T_SelfStock'!BT49+'T_TTAFStock'!BT49,BS45+'Grid_Incoming'!BT45-'Grid_Requirement'!BT45))</f>
        <v/>
      </c>
      <c r="BU45">
        <f>IF(COUNTIFS(T_StockCount[Part Name],$A45,T_StockCount[WeekIndex],72)&gt;0,SUMIFS(T_StockCount[CountedQty],T_StockCount[Part Name],$A45,T_StockCount[WeekIndex],72),IF((('T_SelfStock'!BU49&lt;&gt;""))*(('T_TTAFStock'!BU49&lt;&gt;""))&gt;0,'T_SelfStock'!BU49+'T_TTAFStock'!BU49,BT45+'Grid_Incoming'!BU45-'Grid_Requirement'!BU45))</f>
        <v/>
      </c>
      <c r="BV45">
        <f>IF(COUNTIFS(T_StockCount[Part Name],$A45,T_StockCount[WeekIndex],73)&gt;0,SUMIFS(T_StockCount[CountedQty],T_StockCount[Part Name],$A45,T_StockCount[WeekIndex],73),IF((('T_SelfStock'!BV49&lt;&gt;""))*(('T_TTAFStock'!BV49&lt;&gt;""))&gt;0,'T_SelfStock'!BV49+'T_TTAFStock'!BV49,BU45+'Grid_Incoming'!BV45-'Grid_Requirement'!BV45))</f>
        <v/>
      </c>
      <c r="BW45">
        <f>IF(COUNTIFS(T_StockCount[Part Name],$A45,T_StockCount[WeekIndex],74)&gt;0,SUMIFS(T_StockCount[CountedQty],T_StockCount[Part Name],$A45,T_StockCount[WeekIndex],74),IF((('T_SelfStock'!BW49&lt;&gt;""))*(('T_TTAFStock'!BW49&lt;&gt;""))&gt;0,'T_SelfStock'!BW49+'T_TTAFStock'!BW49,BV45+'Grid_Incoming'!BW45-'Grid_Requirement'!BW45))</f>
        <v/>
      </c>
      <c r="BX45">
        <f>IF(COUNTIFS(T_StockCount[Part Name],$A45,T_StockCount[WeekIndex],75)&gt;0,SUMIFS(T_StockCount[CountedQty],T_StockCount[Part Name],$A45,T_StockCount[WeekIndex],75),IF((('T_SelfStock'!BX49&lt;&gt;""))*(('T_TTAFStock'!BX49&lt;&gt;""))&gt;0,'T_SelfStock'!BX49+'T_TTAFStock'!BX49,BW45+'Grid_Incoming'!BX45-'Grid_Requirement'!BX45))</f>
        <v/>
      </c>
      <c r="BY45">
        <f>IF(COUNTIFS(T_StockCount[Part Name],$A45,T_StockCount[WeekIndex],76)&gt;0,SUMIFS(T_StockCount[CountedQty],T_StockCount[Part Name],$A45,T_StockCount[WeekIndex],76),IF((('T_SelfStock'!BY49&lt;&gt;""))*(('T_TTAFStock'!BY49&lt;&gt;""))&gt;0,'T_SelfStock'!BY49+'T_TTAFStock'!BY49,BX45+'Grid_Incoming'!BY45-'Grid_Requirement'!BY45))</f>
        <v/>
      </c>
      <c r="BZ45">
        <f>IF(COUNTIFS(T_StockCount[Part Name],$A45,T_StockCount[WeekIndex],77)&gt;0,SUMIFS(T_StockCount[CountedQty],T_StockCount[Part Name],$A45,T_StockCount[WeekIndex],77),IF((('T_SelfStock'!BZ49&lt;&gt;""))*(('T_TTAFStock'!BZ49&lt;&gt;""))&gt;0,'T_SelfStock'!BZ49+'T_TTAFStock'!BZ49,BY45+'Grid_Incoming'!BZ45-'Grid_Requirement'!BZ45))</f>
        <v/>
      </c>
      <c r="CA45">
        <f>IF(COUNTIFS(T_StockCount[Part Name],$A45,T_StockCount[WeekIndex],78)&gt;0,SUMIFS(T_StockCount[CountedQty],T_StockCount[Part Name],$A45,T_StockCount[WeekIndex],78),IF((('T_SelfStock'!CA49&lt;&gt;""))*(('T_TTAFStock'!CA49&lt;&gt;""))&gt;0,'T_SelfStock'!CA49+'T_TTAFStock'!CA49,BZ45+'Grid_Incoming'!CA45-'Grid_Requirement'!CA45))</f>
        <v/>
      </c>
      <c r="CB45">
        <f>IF(COUNTIFS(T_StockCount[Part Name],$A45,T_StockCount[WeekIndex],79)&gt;0,SUMIFS(T_StockCount[CountedQty],T_StockCount[Part Name],$A45,T_StockCount[WeekIndex],79),IF((('T_SelfStock'!CB49&lt;&gt;""))*(('T_TTAFStock'!CB49&lt;&gt;""))&gt;0,'T_SelfStock'!CB49+'T_TTAFStock'!CB49,CA45+'Grid_Incoming'!CB45-'Grid_Requirement'!CB45))</f>
        <v/>
      </c>
      <c r="CC45">
        <f>IF(COUNTIFS(T_StockCount[Part Name],$A45,T_StockCount[WeekIndex],80)&gt;0,SUMIFS(T_StockCount[CountedQty],T_StockCount[Part Name],$A45,T_StockCount[WeekIndex],80),IF((('T_SelfStock'!CC49&lt;&gt;""))*(('T_TTAFStock'!CC49&lt;&gt;""))&gt;0,'T_SelfStock'!CC49+'T_TTAFStock'!CC49,CB45+'Grid_Incoming'!CC45-'Grid_Requirement'!CC45))</f>
        <v/>
      </c>
      <c r="CD45">
        <f>IF(COUNTIFS(T_StockCount[Part Name],$A45,T_StockCount[WeekIndex],81)&gt;0,SUMIFS(T_StockCount[CountedQty],T_StockCount[Part Name],$A45,T_StockCount[WeekIndex],81),IF((('T_SelfStock'!CD49&lt;&gt;""))*(('T_TTAFStock'!CD49&lt;&gt;""))&gt;0,'T_SelfStock'!CD49+'T_TTAFStock'!CD49,CC45+'Grid_Incoming'!CD45-'Grid_Requirement'!CD45))</f>
        <v/>
      </c>
      <c r="CE45">
        <f>IF(COUNTIFS(T_StockCount[Part Name],$A45,T_StockCount[WeekIndex],82)&gt;0,SUMIFS(T_StockCount[CountedQty],T_StockCount[Part Name],$A45,T_StockCount[WeekIndex],82),IF((('T_SelfStock'!CE49&lt;&gt;""))*(('T_TTAFStock'!CE49&lt;&gt;""))&gt;0,'T_SelfStock'!CE49+'T_TTAFStock'!CE49,CD45+'Grid_Incoming'!CE45-'Grid_Requirement'!CE45))</f>
        <v/>
      </c>
      <c r="CF45">
        <f>IF(COUNTIFS(T_StockCount[Part Name],$A45,T_StockCount[WeekIndex],83)&gt;0,SUMIFS(T_StockCount[CountedQty],T_StockCount[Part Name],$A45,T_StockCount[WeekIndex],83),IF((('T_SelfStock'!CF49&lt;&gt;""))*(('T_TTAFStock'!CF49&lt;&gt;""))&gt;0,'T_SelfStock'!CF49+'T_TTAFStock'!CF49,CE45+'Grid_Incoming'!CF45-'Grid_Requirement'!CF45))</f>
        <v/>
      </c>
      <c r="CG45">
        <f>IF(COUNTIFS(T_StockCount[Part Name],$A45,T_StockCount[WeekIndex],84)&gt;0,SUMIFS(T_StockCount[CountedQty],T_StockCount[Part Name],$A45,T_StockCount[WeekIndex],84),IF((('T_SelfStock'!CG49&lt;&gt;""))*(('T_TTAFStock'!CG49&lt;&gt;""))&gt;0,'T_SelfStock'!CG49+'T_TTAFStock'!CG49,CF45+'Grid_Incoming'!CG45-'Grid_Requirement'!CG45))</f>
        <v/>
      </c>
      <c r="CH45">
        <f>IF(COUNTIFS(T_StockCount[Part Name],$A45,T_StockCount[WeekIndex],85)&gt;0,SUMIFS(T_StockCount[CountedQty],T_StockCount[Part Name],$A45,T_StockCount[WeekIndex],85),IF((('T_SelfStock'!CH49&lt;&gt;""))*(('T_TTAFStock'!CH49&lt;&gt;""))&gt;0,'T_SelfStock'!CH49+'T_TTAFStock'!CH49,CG45+'Grid_Incoming'!CH45-'Grid_Requirement'!CH45))</f>
        <v/>
      </c>
      <c r="CI45">
        <f>IF(COUNTIFS(T_StockCount[Part Name],$A45,T_StockCount[WeekIndex],86)&gt;0,SUMIFS(T_StockCount[CountedQty],T_StockCount[Part Name],$A45,T_StockCount[WeekIndex],86),IF((('T_SelfStock'!CI49&lt;&gt;""))*(('T_TTAFStock'!CI49&lt;&gt;""))&gt;0,'T_SelfStock'!CI49+'T_TTAFStock'!CI49,CH45+'Grid_Incoming'!CI45-'Grid_Requirement'!CI45))</f>
        <v/>
      </c>
      <c r="CJ45">
        <f>IF(COUNTIFS(T_StockCount[Part Name],$A45,T_StockCount[WeekIndex],87)&gt;0,SUMIFS(T_StockCount[CountedQty],T_StockCount[Part Name],$A45,T_StockCount[WeekIndex],87),IF((('T_SelfStock'!CJ49&lt;&gt;""))*(('T_TTAFStock'!CJ49&lt;&gt;""))&gt;0,'T_SelfStock'!CJ49+'T_TTAFStock'!CJ49,CI45+'Grid_Incoming'!CJ45-'Grid_Requirement'!CJ45))</f>
        <v/>
      </c>
      <c r="CK45">
        <f>IF(COUNTIFS(T_StockCount[Part Name],$A45,T_StockCount[WeekIndex],88)&gt;0,SUMIFS(T_StockCount[CountedQty],T_StockCount[Part Name],$A45,T_StockCount[WeekIndex],88),IF((('T_SelfStock'!CK49&lt;&gt;""))*(('T_TTAFStock'!CK49&lt;&gt;""))&gt;0,'T_SelfStock'!CK49+'T_TTAFStock'!CK49,CJ45+'Grid_Incoming'!CK45-'Grid_Requirement'!CK45))</f>
        <v/>
      </c>
      <c r="CL45">
        <f>IF(COUNTIFS(T_StockCount[Part Name],$A45,T_StockCount[WeekIndex],89)&gt;0,SUMIFS(T_StockCount[CountedQty],T_StockCount[Part Name],$A45,T_StockCount[WeekIndex],89),IF((('T_SelfStock'!CL49&lt;&gt;""))*(('T_TTAFStock'!CL49&lt;&gt;""))&gt;0,'T_SelfStock'!CL49+'T_TTAFStock'!CL49,CK45+'Grid_Incoming'!CL45-'Grid_Requirement'!CL45))</f>
        <v/>
      </c>
      <c r="CM45">
        <f>IF(COUNTIFS(T_StockCount[Part Name],$A45,T_StockCount[WeekIndex],90)&gt;0,SUMIFS(T_StockCount[CountedQty],T_StockCount[Part Name],$A45,T_StockCount[WeekIndex],90),IF((('T_SelfStock'!CM49&lt;&gt;""))*(('T_TTAFStock'!CM49&lt;&gt;""))&gt;0,'T_SelfStock'!CM49+'T_TTAFStock'!CM49,CL45+'Grid_Incoming'!CM45-'Grid_Requirement'!CM45))</f>
        <v/>
      </c>
      <c r="CN45">
        <f>IF(COUNTIFS(T_StockCount[Part Name],$A45,T_StockCount[WeekIndex],91)&gt;0,SUMIFS(T_StockCount[CountedQty],T_StockCount[Part Name],$A45,T_StockCount[WeekIndex],91),IF((('T_SelfStock'!CN49&lt;&gt;""))*(('T_TTAFStock'!CN49&lt;&gt;""))&gt;0,'T_SelfStock'!CN49+'T_TTAFStock'!CN49,CM45+'Grid_Incoming'!CN45-'Grid_Requirement'!CN45))</f>
        <v/>
      </c>
      <c r="CO45">
        <f>IF(COUNTIFS(T_StockCount[Part Name],$A45,T_StockCount[WeekIndex],92)&gt;0,SUMIFS(T_StockCount[CountedQty],T_StockCount[Part Name],$A45,T_StockCount[WeekIndex],92),IF((('T_SelfStock'!CO49&lt;&gt;""))*(('T_TTAFStock'!CO49&lt;&gt;""))&gt;0,'T_SelfStock'!CO49+'T_TTAFStock'!CO49,CN45+'Grid_Incoming'!CO45-'Grid_Requirement'!CO45))</f>
        <v/>
      </c>
      <c r="CP45">
        <f>IF(COUNTIFS(T_StockCount[Part Name],$A45,T_StockCount[WeekIndex],93)&gt;0,SUMIFS(T_StockCount[CountedQty],T_StockCount[Part Name],$A45,T_StockCount[WeekIndex],93),IF((('T_SelfStock'!CP49&lt;&gt;""))*(('T_TTAFStock'!CP49&lt;&gt;""))&gt;0,'T_SelfStock'!CP49+'T_TTAFStock'!CP49,CO45+'Grid_Incoming'!CP45-'Grid_Requirement'!CP45))</f>
        <v/>
      </c>
      <c r="CQ45">
        <f>IF(COUNTIFS(T_StockCount[Part Name],$A45,T_StockCount[WeekIndex],94)&gt;0,SUMIFS(T_StockCount[CountedQty],T_StockCount[Part Name],$A45,T_StockCount[WeekIndex],94),IF((('T_SelfStock'!CQ49&lt;&gt;""))*(('T_TTAFStock'!CQ49&lt;&gt;""))&gt;0,'T_SelfStock'!CQ49+'T_TTAFStock'!CQ49,CP45+'Grid_Incoming'!CQ45-'Grid_Requirement'!CQ45))</f>
        <v/>
      </c>
      <c r="CR45">
        <f>IF(COUNTIFS(T_StockCount[Part Name],$A45,T_StockCount[WeekIndex],95)&gt;0,SUMIFS(T_StockCount[CountedQty],T_StockCount[Part Name],$A45,T_StockCount[WeekIndex],95),IF((('T_SelfStock'!CR49&lt;&gt;""))*(('T_TTAFStock'!CR49&lt;&gt;""))&gt;0,'T_SelfStock'!CR49+'T_TTAFStock'!CR49,CQ45+'Grid_Incoming'!CR45-'Grid_Requirement'!CR45))</f>
        <v/>
      </c>
      <c r="CS45">
        <f>IF(COUNTIFS(T_StockCount[Part Name],$A45,T_StockCount[WeekIndex],96)&gt;0,SUMIFS(T_StockCount[CountedQty],T_StockCount[Part Name],$A45,T_StockCount[WeekIndex],96),IF((('T_SelfStock'!CS49&lt;&gt;""))*(('T_TTAFStock'!CS49&lt;&gt;""))&gt;0,'T_SelfStock'!CS49+'T_TTAFStock'!CS49,CR45+'Grid_Incoming'!CS45-'Grid_Requirement'!CS45))</f>
        <v/>
      </c>
      <c r="CT45">
        <f>IF(COUNTIFS(T_StockCount[Part Name],$A45,T_StockCount[WeekIndex],97)&gt;0,SUMIFS(T_StockCount[CountedQty],T_StockCount[Part Name],$A45,T_StockCount[WeekIndex],97),IF((('T_SelfStock'!CT49&lt;&gt;""))*(('T_TTAFStock'!CT49&lt;&gt;""))&gt;0,'T_SelfStock'!CT49+'T_TTAFStock'!CT49,CS45+'Grid_Incoming'!CT45-'Grid_Requirement'!CT45))</f>
        <v/>
      </c>
      <c r="CU45">
        <f>IF(COUNTIFS(T_StockCount[Part Name],$A45,T_StockCount[WeekIndex],98)&gt;0,SUMIFS(T_StockCount[CountedQty],T_StockCount[Part Name],$A45,T_StockCount[WeekIndex],98),IF((('T_SelfStock'!CU49&lt;&gt;""))*(('T_TTAFStock'!CU49&lt;&gt;""))&gt;0,'T_SelfStock'!CU49+'T_TTAFStock'!CU49,CT45+'Grid_Incoming'!CU45-'Grid_Requirement'!CU45))</f>
        <v/>
      </c>
      <c r="CV45">
        <f>IF(COUNTIFS(T_StockCount[Part Name],$A45,T_StockCount[WeekIndex],99)&gt;0,SUMIFS(T_StockCount[CountedQty],T_StockCount[Part Name],$A45,T_StockCount[WeekIndex],99),IF((('T_SelfStock'!CV49&lt;&gt;""))*(('T_TTAFStock'!CV49&lt;&gt;""))&gt;0,'T_SelfStock'!CV49+'T_TTAFStock'!CV49,CU45+'Grid_Incoming'!CV45-'Grid_Requirement'!CV45))</f>
        <v/>
      </c>
      <c r="CW45">
        <f>IF(COUNTIFS(T_StockCount[Part Name],$A45,T_StockCount[WeekIndex],100)&gt;0,SUMIFS(T_StockCount[CountedQty],T_StockCount[Part Name],$A45,T_StockCount[WeekIndex],100),IF((('T_SelfStock'!CW49&lt;&gt;""))*(('T_TTAFStock'!CW49&lt;&gt;""))&gt;0,'T_SelfStock'!CW49+'T_TTAFStock'!CW49,CV45+'Grid_Incoming'!CW45-'Grid_Requirement'!CW45))</f>
        <v/>
      </c>
      <c r="CX45">
        <f>IF(COUNTIFS(T_StockCount[Part Name],$A45,T_StockCount[WeekIndex],101)&gt;0,SUMIFS(T_StockCount[CountedQty],T_StockCount[Part Name],$A45,T_StockCount[WeekIndex],101),IF((('T_SelfStock'!CX49&lt;&gt;""))*(('T_TTAFStock'!CX49&lt;&gt;""))&gt;0,'T_SelfStock'!CX49+'T_TTAFStock'!CX49,CW45+'Grid_Incoming'!CX45-'Grid_Requirement'!CX45))</f>
        <v/>
      </c>
      <c r="CY45">
        <f>IF(COUNTIFS(T_StockCount[Part Name],$A45,T_StockCount[WeekIndex],102)&gt;0,SUMIFS(T_StockCount[CountedQty],T_StockCount[Part Name],$A45,T_StockCount[WeekIndex],102),IF((('T_SelfStock'!CY49&lt;&gt;""))*(('T_TTAFStock'!CY49&lt;&gt;""))&gt;0,'T_SelfStock'!CY49+'T_TTAFStock'!CY49,CX45+'Grid_Incoming'!CY45-'Grid_Requirement'!CY45))</f>
        <v/>
      </c>
      <c r="CZ45">
        <f>IF(COUNTIFS(T_StockCount[Part Name],$A45,T_StockCount[WeekIndex],103)&gt;0,SUMIFS(T_StockCount[CountedQty],T_StockCount[Part Name],$A45,T_StockCount[WeekIndex],103),IF((('T_SelfStock'!CZ49&lt;&gt;""))*(('T_TTAFStock'!CZ49&lt;&gt;""))&gt;0,'T_SelfStock'!CZ49+'T_TTAFStock'!CZ49,CY45+'Grid_Incoming'!CZ45-'Grid_Requirement'!CZ45))</f>
        <v/>
      </c>
      <c r="DA45">
        <f>IF(COUNTIFS(T_StockCount[Part Name],$A45,T_StockCount[WeekIndex],104)&gt;0,SUMIFS(T_StockCount[CountedQty],T_StockCount[Part Name],$A45,T_StockCount[WeekIndex],104),IF((('T_SelfStock'!DA49&lt;&gt;""))*(('T_TTAFStock'!DA49&lt;&gt;""))&gt;0,'T_SelfStock'!DA49+'T_TTAFStock'!DA49,CZ45+'Grid_Incoming'!DA45-'Grid_Requirement'!DA45))</f>
        <v/>
      </c>
    </row>
    <row r="46">
      <c r="A46" t="inlineStr">
        <is>
          <t>CHEM-1770</t>
        </is>
      </c>
      <c r="B46">
        <f>IF(COUNTIFS(T_StockCount[Part Name],$A46,T_StockCount[WeekIndex],1)&gt;0,SUMIFS(T_StockCount[CountedQty],T_StockCount[Part Name],$A46,T_StockCount[WeekIndex],1),IF((('T_SelfStock'!B50&lt;&gt;""))*(('T_TTAFStock'!B50&lt;&gt;""))&gt;0,'T_SelfStock'!B50+'T_TTAFStock'!B50,IFERROR(INDEX(T_OpeningStock[Opening_Qty_要入力],MATCH($A46,T_OpeningStock[Part Name],0)),0)+'Grid_Incoming'!B46-'Grid_Requirement'!B46))</f>
        <v/>
      </c>
      <c r="C46">
        <f>IF(COUNTIFS(T_StockCount[Part Name],$A46,T_StockCount[WeekIndex],2)&gt;0,SUMIFS(T_StockCount[CountedQty],T_StockCount[Part Name],$A46,T_StockCount[WeekIndex],2),IF((('T_SelfStock'!C50&lt;&gt;""))*(('T_TTAFStock'!C50&lt;&gt;""))&gt;0,'T_SelfStock'!C50+'T_TTAFStock'!C50,B46+'Grid_Incoming'!C46-'Grid_Requirement'!C46))</f>
        <v/>
      </c>
      <c r="D46">
        <f>IF(COUNTIFS(T_StockCount[Part Name],$A46,T_StockCount[WeekIndex],3)&gt;0,SUMIFS(T_StockCount[CountedQty],T_StockCount[Part Name],$A46,T_StockCount[WeekIndex],3),IF((('T_SelfStock'!D50&lt;&gt;""))*(('T_TTAFStock'!D50&lt;&gt;""))&gt;0,'T_SelfStock'!D50+'T_TTAFStock'!D50,C46+'Grid_Incoming'!D46-'Grid_Requirement'!D46))</f>
        <v/>
      </c>
      <c r="E46">
        <f>IF(COUNTIFS(T_StockCount[Part Name],$A46,T_StockCount[WeekIndex],4)&gt;0,SUMIFS(T_StockCount[CountedQty],T_StockCount[Part Name],$A46,T_StockCount[WeekIndex],4),IF((('T_SelfStock'!E50&lt;&gt;""))*(('T_TTAFStock'!E50&lt;&gt;""))&gt;0,'T_SelfStock'!E50+'T_TTAFStock'!E50,D46+'Grid_Incoming'!E46-'Grid_Requirement'!E46))</f>
        <v/>
      </c>
      <c r="F46">
        <f>IF(COUNTIFS(T_StockCount[Part Name],$A46,T_StockCount[WeekIndex],5)&gt;0,SUMIFS(T_StockCount[CountedQty],T_StockCount[Part Name],$A46,T_StockCount[WeekIndex],5),IF((('T_SelfStock'!F50&lt;&gt;""))*(('T_TTAFStock'!F50&lt;&gt;""))&gt;0,'T_SelfStock'!F50+'T_TTAFStock'!F50,E46+'Grid_Incoming'!F46-'Grid_Requirement'!F46))</f>
        <v/>
      </c>
      <c r="G46">
        <f>IF(COUNTIFS(T_StockCount[Part Name],$A46,T_StockCount[WeekIndex],6)&gt;0,SUMIFS(T_StockCount[CountedQty],T_StockCount[Part Name],$A46,T_StockCount[WeekIndex],6),IF((('T_SelfStock'!G50&lt;&gt;""))*(('T_TTAFStock'!G50&lt;&gt;""))&gt;0,'T_SelfStock'!G50+'T_TTAFStock'!G50,F46+'Grid_Incoming'!G46-'Grid_Requirement'!G46))</f>
        <v/>
      </c>
      <c r="H46">
        <f>IF(COUNTIFS(T_StockCount[Part Name],$A46,T_StockCount[WeekIndex],7)&gt;0,SUMIFS(T_StockCount[CountedQty],T_StockCount[Part Name],$A46,T_StockCount[WeekIndex],7),IF((('T_SelfStock'!H50&lt;&gt;""))*(('T_TTAFStock'!H50&lt;&gt;""))&gt;0,'T_SelfStock'!H50+'T_TTAFStock'!H50,G46+'Grid_Incoming'!H46-'Grid_Requirement'!H46))</f>
        <v/>
      </c>
      <c r="I46">
        <f>IF(COUNTIFS(T_StockCount[Part Name],$A46,T_StockCount[WeekIndex],8)&gt;0,SUMIFS(T_StockCount[CountedQty],T_StockCount[Part Name],$A46,T_StockCount[WeekIndex],8),IF((('T_SelfStock'!I50&lt;&gt;""))*(('T_TTAFStock'!I50&lt;&gt;""))&gt;0,'T_SelfStock'!I50+'T_TTAFStock'!I50,H46+'Grid_Incoming'!I46-'Grid_Requirement'!I46))</f>
        <v/>
      </c>
      <c r="J46">
        <f>IF(COUNTIFS(T_StockCount[Part Name],$A46,T_StockCount[WeekIndex],9)&gt;0,SUMIFS(T_StockCount[CountedQty],T_StockCount[Part Name],$A46,T_StockCount[WeekIndex],9),IF((('T_SelfStock'!J50&lt;&gt;""))*(('T_TTAFStock'!J50&lt;&gt;""))&gt;0,'T_SelfStock'!J50+'T_TTAFStock'!J50,I46+'Grid_Incoming'!J46-'Grid_Requirement'!J46))</f>
        <v/>
      </c>
      <c r="K46">
        <f>IF(COUNTIFS(T_StockCount[Part Name],$A46,T_StockCount[WeekIndex],10)&gt;0,SUMIFS(T_StockCount[CountedQty],T_StockCount[Part Name],$A46,T_StockCount[WeekIndex],10),IF((('T_SelfStock'!K50&lt;&gt;""))*(('T_TTAFStock'!K50&lt;&gt;""))&gt;0,'T_SelfStock'!K50+'T_TTAFStock'!K50,J46+'Grid_Incoming'!K46-'Grid_Requirement'!K46))</f>
        <v/>
      </c>
      <c r="L46">
        <f>IF(COUNTIFS(T_StockCount[Part Name],$A46,T_StockCount[WeekIndex],11)&gt;0,SUMIFS(T_StockCount[CountedQty],T_StockCount[Part Name],$A46,T_StockCount[WeekIndex],11),IF((('T_SelfStock'!L50&lt;&gt;""))*(('T_TTAFStock'!L50&lt;&gt;""))&gt;0,'T_SelfStock'!L50+'T_TTAFStock'!L50,K46+'Grid_Incoming'!L46-'Grid_Requirement'!L46))</f>
        <v/>
      </c>
      <c r="M46">
        <f>IF(COUNTIFS(T_StockCount[Part Name],$A46,T_StockCount[WeekIndex],12)&gt;0,SUMIFS(T_StockCount[CountedQty],T_StockCount[Part Name],$A46,T_StockCount[WeekIndex],12),IF((('T_SelfStock'!M50&lt;&gt;""))*(('T_TTAFStock'!M50&lt;&gt;""))&gt;0,'T_SelfStock'!M50+'T_TTAFStock'!M50,L46+'Grid_Incoming'!M46-'Grid_Requirement'!M46))</f>
        <v/>
      </c>
      <c r="N46">
        <f>IF(COUNTIFS(T_StockCount[Part Name],$A46,T_StockCount[WeekIndex],13)&gt;0,SUMIFS(T_StockCount[CountedQty],T_StockCount[Part Name],$A46,T_StockCount[WeekIndex],13),IF((('T_SelfStock'!N50&lt;&gt;""))*(('T_TTAFStock'!N50&lt;&gt;""))&gt;0,'T_SelfStock'!N50+'T_TTAFStock'!N50,M46+'Grid_Incoming'!N46-'Grid_Requirement'!N46))</f>
        <v/>
      </c>
      <c r="O46">
        <f>IF(COUNTIFS(T_StockCount[Part Name],$A46,T_StockCount[WeekIndex],14)&gt;0,SUMIFS(T_StockCount[CountedQty],T_StockCount[Part Name],$A46,T_StockCount[WeekIndex],14),IF((('T_SelfStock'!O50&lt;&gt;""))*(('T_TTAFStock'!O50&lt;&gt;""))&gt;0,'T_SelfStock'!O50+'T_TTAFStock'!O50,N46+'Grid_Incoming'!O46-'Grid_Requirement'!O46))</f>
        <v/>
      </c>
      <c r="P46">
        <f>IF(COUNTIFS(T_StockCount[Part Name],$A46,T_StockCount[WeekIndex],15)&gt;0,SUMIFS(T_StockCount[CountedQty],T_StockCount[Part Name],$A46,T_StockCount[WeekIndex],15),IF((('T_SelfStock'!P50&lt;&gt;""))*(('T_TTAFStock'!P50&lt;&gt;""))&gt;0,'T_SelfStock'!P50+'T_TTAFStock'!P50,O46+'Grid_Incoming'!P46-'Grid_Requirement'!P46))</f>
        <v/>
      </c>
      <c r="Q46">
        <f>IF(COUNTIFS(T_StockCount[Part Name],$A46,T_StockCount[WeekIndex],16)&gt;0,SUMIFS(T_StockCount[CountedQty],T_StockCount[Part Name],$A46,T_StockCount[WeekIndex],16),IF((('T_SelfStock'!Q50&lt;&gt;""))*(('T_TTAFStock'!Q50&lt;&gt;""))&gt;0,'T_SelfStock'!Q50+'T_TTAFStock'!Q50,P46+'Grid_Incoming'!Q46-'Grid_Requirement'!Q46))</f>
        <v/>
      </c>
      <c r="R46">
        <f>IF(COUNTIFS(T_StockCount[Part Name],$A46,T_StockCount[WeekIndex],17)&gt;0,SUMIFS(T_StockCount[CountedQty],T_StockCount[Part Name],$A46,T_StockCount[WeekIndex],17),IF((('T_SelfStock'!R50&lt;&gt;""))*(('T_TTAFStock'!R50&lt;&gt;""))&gt;0,'T_SelfStock'!R50+'T_TTAFStock'!R50,Q46+'Grid_Incoming'!R46-'Grid_Requirement'!R46))</f>
        <v/>
      </c>
      <c r="S46">
        <f>IF(COUNTIFS(T_StockCount[Part Name],$A46,T_StockCount[WeekIndex],18)&gt;0,SUMIFS(T_StockCount[CountedQty],T_StockCount[Part Name],$A46,T_StockCount[WeekIndex],18),IF((('T_SelfStock'!S50&lt;&gt;""))*(('T_TTAFStock'!S50&lt;&gt;""))&gt;0,'T_SelfStock'!S50+'T_TTAFStock'!S50,R46+'Grid_Incoming'!S46-'Grid_Requirement'!S46))</f>
        <v/>
      </c>
      <c r="T46">
        <f>IF(COUNTIFS(T_StockCount[Part Name],$A46,T_StockCount[WeekIndex],19)&gt;0,SUMIFS(T_StockCount[CountedQty],T_StockCount[Part Name],$A46,T_StockCount[WeekIndex],19),IF((('T_SelfStock'!T50&lt;&gt;""))*(('T_TTAFStock'!T50&lt;&gt;""))&gt;0,'T_SelfStock'!T50+'T_TTAFStock'!T50,S46+'Grid_Incoming'!T46-'Grid_Requirement'!T46))</f>
        <v/>
      </c>
      <c r="U46">
        <f>IF(COUNTIFS(T_StockCount[Part Name],$A46,T_StockCount[WeekIndex],20)&gt;0,SUMIFS(T_StockCount[CountedQty],T_StockCount[Part Name],$A46,T_StockCount[WeekIndex],20),IF((('T_SelfStock'!U50&lt;&gt;""))*(('T_TTAFStock'!U50&lt;&gt;""))&gt;0,'T_SelfStock'!U50+'T_TTAFStock'!U50,T46+'Grid_Incoming'!U46-'Grid_Requirement'!U46))</f>
        <v/>
      </c>
      <c r="V46">
        <f>IF(COUNTIFS(T_StockCount[Part Name],$A46,T_StockCount[WeekIndex],21)&gt;0,SUMIFS(T_StockCount[CountedQty],T_StockCount[Part Name],$A46,T_StockCount[WeekIndex],21),IF((('T_SelfStock'!V50&lt;&gt;""))*(('T_TTAFStock'!V50&lt;&gt;""))&gt;0,'T_SelfStock'!V50+'T_TTAFStock'!V50,U46+'Grid_Incoming'!V46-'Grid_Requirement'!V46))</f>
        <v/>
      </c>
      <c r="W46">
        <f>IF(COUNTIFS(T_StockCount[Part Name],$A46,T_StockCount[WeekIndex],22)&gt;0,SUMIFS(T_StockCount[CountedQty],T_StockCount[Part Name],$A46,T_StockCount[WeekIndex],22),IF((('T_SelfStock'!W50&lt;&gt;""))*(('T_TTAFStock'!W50&lt;&gt;""))&gt;0,'T_SelfStock'!W50+'T_TTAFStock'!W50,V46+'Grid_Incoming'!W46-'Grid_Requirement'!W46))</f>
        <v/>
      </c>
      <c r="X46">
        <f>IF(COUNTIFS(T_StockCount[Part Name],$A46,T_StockCount[WeekIndex],23)&gt;0,SUMIFS(T_StockCount[CountedQty],T_StockCount[Part Name],$A46,T_StockCount[WeekIndex],23),IF((('T_SelfStock'!X50&lt;&gt;""))*(('T_TTAFStock'!X50&lt;&gt;""))&gt;0,'T_SelfStock'!X50+'T_TTAFStock'!X50,W46+'Grid_Incoming'!X46-'Grid_Requirement'!X46))</f>
        <v/>
      </c>
      <c r="Y46">
        <f>IF(COUNTIFS(T_StockCount[Part Name],$A46,T_StockCount[WeekIndex],24)&gt;0,SUMIFS(T_StockCount[CountedQty],T_StockCount[Part Name],$A46,T_StockCount[WeekIndex],24),IF((('T_SelfStock'!Y50&lt;&gt;""))*(('T_TTAFStock'!Y50&lt;&gt;""))&gt;0,'T_SelfStock'!Y50+'T_TTAFStock'!Y50,X46+'Grid_Incoming'!Y46-'Grid_Requirement'!Y46))</f>
        <v/>
      </c>
      <c r="Z46">
        <f>IF(COUNTIFS(T_StockCount[Part Name],$A46,T_StockCount[WeekIndex],25)&gt;0,SUMIFS(T_StockCount[CountedQty],T_StockCount[Part Name],$A46,T_StockCount[WeekIndex],25),IF((('T_SelfStock'!Z50&lt;&gt;""))*(('T_TTAFStock'!Z50&lt;&gt;""))&gt;0,'T_SelfStock'!Z50+'T_TTAFStock'!Z50,Y46+'Grid_Incoming'!Z46-'Grid_Requirement'!Z46))</f>
        <v/>
      </c>
      <c r="AA46">
        <f>IF(COUNTIFS(T_StockCount[Part Name],$A46,T_StockCount[WeekIndex],26)&gt;0,SUMIFS(T_StockCount[CountedQty],T_StockCount[Part Name],$A46,T_StockCount[WeekIndex],26),IF((('T_SelfStock'!AA50&lt;&gt;""))*(('T_TTAFStock'!AA50&lt;&gt;""))&gt;0,'T_SelfStock'!AA50+'T_TTAFStock'!AA50,Z46+'Grid_Incoming'!AA46-'Grid_Requirement'!AA46))</f>
        <v/>
      </c>
      <c r="AB46">
        <f>IF(COUNTIFS(T_StockCount[Part Name],$A46,T_StockCount[WeekIndex],27)&gt;0,SUMIFS(T_StockCount[CountedQty],T_StockCount[Part Name],$A46,T_StockCount[WeekIndex],27),IF((('T_SelfStock'!AB50&lt;&gt;""))*(('T_TTAFStock'!AB50&lt;&gt;""))&gt;0,'T_SelfStock'!AB50+'T_TTAFStock'!AB50,AA46+'Grid_Incoming'!AB46-'Grid_Requirement'!AB46))</f>
        <v/>
      </c>
      <c r="AC46">
        <f>IF(COUNTIFS(T_StockCount[Part Name],$A46,T_StockCount[WeekIndex],28)&gt;0,SUMIFS(T_StockCount[CountedQty],T_StockCount[Part Name],$A46,T_StockCount[WeekIndex],28),IF((('T_SelfStock'!AC50&lt;&gt;""))*(('T_TTAFStock'!AC50&lt;&gt;""))&gt;0,'T_SelfStock'!AC50+'T_TTAFStock'!AC50,AB46+'Grid_Incoming'!AC46-'Grid_Requirement'!AC46))</f>
        <v/>
      </c>
      <c r="AD46">
        <f>IF(COUNTIFS(T_StockCount[Part Name],$A46,T_StockCount[WeekIndex],29)&gt;0,SUMIFS(T_StockCount[CountedQty],T_StockCount[Part Name],$A46,T_StockCount[WeekIndex],29),IF((('T_SelfStock'!AD50&lt;&gt;""))*(('T_TTAFStock'!AD50&lt;&gt;""))&gt;0,'T_SelfStock'!AD50+'T_TTAFStock'!AD50,AC46+'Grid_Incoming'!AD46-'Grid_Requirement'!AD46))</f>
        <v/>
      </c>
      <c r="AE46">
        <f>IF(COUNTIFS(T_StockCount[Part Name],$A46,T_StockCount[WeekIndex],30)&gt;0,SUMIFS(T_StockCount[CountedQty],T_StockCount[Part Name],$A46,T_StockCount[WeekIndex],30),IF((('T_SelfStock'!AE50&lt;&gt;""))*(('T_TTAFStock'!AE50&lt;&gt;""))&gt;0,'T_SelfStock'!AE50+'T_TTAFStock'!AE50,AD46+'Grid_Incoming'!AE46-'Grid_Requirement'!AE46))</f>
        <v/>
      </c>
      <c r="AF46">
        <f>IF(COUNTIFS(T_StockCount[Part Name],$A46,T_StockCount[WeekIndex],31)&gt;0,SUMIFS(T_StockCount[CountedQty],T_StockCount[Part Name],$A46,T_StockCount[WeekIndex],31),IF((('T_SelfStock'!AF50&lt;&gt;""))*(('T_TTAFStock'!AF50&lt;&gt;""))&gt;0,'T_SelfStock'!AF50+'T_TTAFStock'!AF50,AE46+'Grid_Incoming'!AF46-'Grid_Requirement'!AF46))</f>
        <v/>
      </c>
      <c r="AG46">
        <f>IF(COUNTIFS(T_StockCount[Part Name],$A46,T_StockCount[WeekIndex],32)&gt;0,SUMIFS(T_StockCount[CountedQty],T_StockCount[Part Name],$A46,T_StockCount[WeekIndex],32),IF((('T_SelfStock'!AG50&lt;&gt;""))*(('T_TTAFStock'!AG50&lt;&gt;""))&gt;0,'T_SelfStock'!AG50+'T_TTAFStock'!AG50,AF46+'Grid_Incoming'!AG46-'Grid_Requirement'!AG46))</f>
        <v/>
      </c>
      <c r="AH46">
        <f>IF(COUNTIFS(T_StockCount[Part Name],$A46,T_StockCount[WeekIndex],33)&gt;0,SUMIFS(T_StockCount[CountedQty],T_StockCount[Part Name],$A46,T_StockCount[WeekIndex],33),IF((('T_SelfStock'!AH50&lt;&gt;""))*(('T_TTAFStock'!AH50&lt;&gt;""))&gt;0,'T_SelfStock'!AH50+'T_TTAFStock'!AH50,AG46+'Grid_Incoming'!AH46-'Grid_Requirement'!AH46))</f>
        <v/>
      </c>
      <c r="AI46">
        <f>IF(COUNTIFS(T_StockCount[Part Name],$A46,T_StockCount[WeekIndex],34)&gt;0,SUMIFS(T_StockCount[CountedQty],T_StockCount[Part Name],$A46,T_StockCount[WeekIndex],34),IF((('T_SelfStock'!AI50&lt;&gt;""))*(('T_TTAFStock'!AI50&lt;&gt;""))&gt;0,'T_SelfStock'!AI50+'T_TTAFStock'!AI50,AH46+'Grid_Incoming'!AI46-'Grid_Requirement'!AI46))</f>
        <v/>
      </c>
      <c r="AJ46">
        <f>IF(COUNTIFS(T_StockCount[Part Name],$A46,T_StockCount[WeekIndex],35)&gt;0,SUMIFS(T_StockCount[CountedQty],T_StockCount[Part Name],$A46,T_StockCount[WeekIndex],35),IF((('T_SelfStock'!AJ50&lt;&gt;""))*(('T_TTAFStock'!AJ50&lt;&gt;""))&gt;0,'T_SelfStock'!AJ50+'T_TTAFStock'!AJ50,AI46+'Grid_Incoming'!AJ46-'Grid_Requirement'!AJ46))</f>
        <v/>
      </c>
      <c r="AK46">
        <f>IF(COUNTIFS(T_StockCount[Part Name],$A46,T_StockCount[WeekIndex],36)&gt;0,SUMIFS(T_StockCount[CountedQty],T_StockCount[Part Name],$A46,T_StockCount[WeekIndex],36),IF((('T_SelfStock'!AK50&lt;&gt;""))*(('T_TTAFStock'!AK50&lt;&gt;""))&gt;0,'T_SelfStock'!AK50+'T_TTAFStock'!AK50,AJ46+'Grid_Incoming'!AK46-'Grid_Requirement'!AK46))</f>
        <v/>
      </c>
      <c r="AL46">
        <f>IF(COUNTIFS(T_StockCount[Part Name],$A46,T_StockCount[WeekIndex],37)&gt;0,SUMIFS(T_StockCount[CountedQty],T_StockCount[Part Name],$A46,T_StockCount[WeekIndex],37),IF((('T_SelfStock'!AL50&lt;&gt;""))*(('T_TTAFStock'!AL50&lt;&gt;""))&gt;0,'T_SelfStock'!AL50+'T_TTAFStock'!AL50,AK46+'Grid_Incoming'!AL46-'Grid_Requirement'!AL46))</f>
        <v/>
      </c>
      <c r="AM46">
        <f>IF(COUNTIFS(T_StockCount[Part Name],$A46,T_StockCount[WeekIndex],38)&gt;0,SUMIFS(T_StockCount[CountedQty],T_StockCount[Part Name],$A46,T_StockCount[WeekIndex],38),IF((('T_SelfStock'!AM50&lt;&gt;""))*(('T_TTAFStock'!AM50&lt;&gt;""))&gt;0,'T_SelfStock'!AM50+'T_TTAFStock'!AM50,AL46+'Grid_Incoming'!AM46-'Grid_Requirement'!AM46))</f>
        <v/>
      </c>
      <c r="AN46">
        <f>IF(COUNTIFS(T_StockCount[Part Name],$A46,T_StockCount[WeekIndex],39)&gt;0,SUMIFS(T_StockCount[CountedQty],T_StockCount[Part Name],$A46,T_StockCount[WeekIndex],39),IF((('T_SelfStock'!AN50&lt;&gt;""))*(('T_TTAFStock'!AN50&lt;&gt;""))&gt;0,'T_SelfStock'!AN50+'T_TTAFStock'!AN50,AM46+'Grid_Incoming'!AN46-'Grid_Requirement'!AN46))</f>
        <v/>
      </c>
      <c r="AO46">
        <f>IF(COUNTIFS(T_StockCount[Part Name],$A46,T_StockCount[WeekIndex],40)&gt;0,SUMIFS(T_StockCount[CountedQty],T_StockCount[Part Name],$A46,T_StockCount[WeekIndex],40),IF((('T_SelfStock'!AO50&lt;&gt;""))*(('T_TTAFStock'!AO50&lt;&gt;""))&gt;0,'T_SelfStock'!AO50+'T_TTAFStock'!AO50,AN46+'Grid_Incoming'!AO46-'Grid_Requirement'!AO46))</f>
        <v/>
      </c>
      <c r="AP46">
        <f>IF(COUNTIFS(T_StockCount[Part Name],$A46,T_StockCount[WeekIndex],41)&gt;0,SUMIFS(T_StockCount[CountedQty],T_StockCount[Part Name],$A46,T_StockCount[WeekIndex],41),IF((('T_SelfStock'!AP50&lt;&gt;""))*(('T_TTAFStock'!AP50&lt;&gt;""))&gt;0,'T_SelfStock'!AP50+'T_TTAFStock'!AP50,AO46+'Grid_Incoming'!AP46-'Grid_Requirement'!AP46))</f>
        <v/>
      </c>
      <c r="AQ46">
        <f>IF(COUNTIFS(T_StockCount[Part Name],$A46,T_StockCount[WeekIndex],42)&gt;0,SUMIFS(T_StockCount[CountedQty],T_StockCount[Part Name],$A46,T_StockCount[WeekIndex],42),IF((('T_SelfStock'!AQ50&lt;&gt;""))*(('T_TTAFStock'!AQ50&lt;&gt;""))&gt;0,'T_SelfStock'!AQ50+'T_TTAFStock'!AQ50,AP46+'Grid_Incoming'!AQ46-'Grid_Requirement'!AQ46))</f>
        <v/>
      </c>
      <c r="AR46">
        <f>IF(COUNTIFS(T_StockCount[Part Name],$A46,T_StockCount[WeekIndex],43)&gt;0,SUMIFS(T_StockCount[CountedQty],T_StockCount[Part Name],$A46,T_StockCount[WeekIndex],43),IF((('T_SelfStock'!AR50&lt;&gt;""))*(('T_TTAFStock'!AR50&lt;&gt;""))&gt;0,'T_SelfStock'!AR50+'T_TTAFStock'!AR50,AQ46+'Grid_Incoming'!AR46-'Grid_Requirement'!AR46))</f>
        <v/>
      </c>
      <c r="AS46">
        <f>IF(COUNTIFS(T_StockCount[Part Name],$A46,T_StockCount[WeekIndex],44)&gt;0,SUMIFS(T_StockCount[CountedQty],T_StockCount[Part Name],$A46,T_StockCount[WeekIndex],44),IF((('T_SelfStock'!AS50&lt;&gt;""))*(('T_TTAFStock'!AS50&lt;&gt;""))&gt;0,'T_SelfStock'!AS50+'T_TTAFStock'!AS50,AR46+'Grid_Incoming'!AS46-'Grid_Requirement'!AS46))</f>
        <v/>
      </c>
      <c r="AT46">
        <f>IF(COUNTIFS(T_StockCount[Part Name],$A46,T_StockCount[WeekIndex],45)&gt;0,SUMIFS(T_StockCount[CountedQty],T_StockCount[Part Name],$A46,T_StockCount[WeekIndex],45),IF((('T_SelfStock'!AT50&lt;&gt;""))*(('T_TTAFStock'!AT50&lt;&gt;""))&gt;0,'T_SelfStock'!AT50+'T_TTAFStock'!AT50,AS46+'Grid_Incoming'!AT46-'Grid_Requirement'!AT46))</f>
        <v/>
      </c>
      <c r="AU46">
        <f>IF(COUNTIFS(T_StockCount[Part Name],$A46,T_StockCount[WeekIndex],46)&gt;0,SUMIFS(T_StockCount[CountedQty],T_StockCount[Part Name],$A46,T_StockCount[WeekIndex],46),IF((('T_SelfStock'!AU50&lt;&gt;""))*(('T_TTAFStock'!AU50&lt;&gt;""))&gt;0,'T_SelfStock'!AU50+'T_TTAFStock'!AU50,AT46+'Grid_Incoming'!AU46-'Grid_Requirement'!AU46))</f>
        <v/>
      </c>
      <c r="AV46">
        <f>IF(COUNTIFS(T_StockCount[Part Name],$A46,T_StockCount[WeekIndex],47)&gt;0,SUMIFS(T_StockCount[CountedQty],T_StockCount[Part Name],$A46,T_StockCount[WeekIndex],47),IF((('T_SelfStock'!AV50&lt;&gt;""))*(('T_TTAFStock'!AV50&lt;&gt;""))&gt;0,'T_SelfStock'!AV50+'T_TTAFStock'!AV50,AU46+'Grid_Incoming'!AV46-'Grid_Requirement'!AV46))</f>
        <v/>
      </c>
      <c r="AW46">
        <f>IF(COUNTIFS(T_StockCount[Part Name],$A46,T_StockCount[WeekIndex],48)&gt;0,SUMIFS(T_StockCount[CountedQty],T_StockCount[Part Name],$A46,T_StockCount[WeekIndex],48),IF((('T_SelfStock'!AW50&lt;&gt;""))*(('T_TTAFStock'!AW50&lt;&gt;""))&gt;0,'T_SelfStock'!AW50+'T_TTAFStock'!AW50,AV46+'Grid_Incoming'!AW46-'Grid_Requirement'!AW46))</f>
        <v/>
      </c>
      <c r="AX46">
        <f>IF(COUNTIFS(T_StockCount[Part Name],$A46,T_StockCount[WeekIndex],49)&gt;0,SUMIFS(T_StockCount[CountedQty],T_StockCount[Part Name],$A46,T_StockCount[WeekIndex],49),IF((('T_SelfStock'!AX50&lt;&gt;""))*(('T_TTAFStock'!AX50&lt;&gt;""))&gt;0,'T_SelfStock'!AX50+'T_TTAFStock'!AX50,AW46+'Grid_Incoming'!AX46-'Grid_Requirement'!AX46))</f>
        <v/>
      </c>
      <c r="AY46">
        <f>IF(COUNTIFS(T_StockCount[Part Name],$A46,T_StockCount[WeekIndex],50)&gt;0,SUMIFS(T_StockCount[CountedQty],T_StockCount[Part Name],$A46,T_StockCount[WeekIndex],50),IF((('T_SelfStock'!AY50&lt;&gt;""))*(('T_TTAFStock'!AY50&lt;&gt;""))&gt;0,'T_SelfStock'!AY50+'T_TTAFStock'!AY50,AX46+'Grid_Incoming'!AY46-'Grid_Requirement'!AY46))</f>
        <v/>
      </c>
      <c r="AZ46">
        <f>IF(COUNTIFS(T_StockCount[Part Name],$A46,T_StockCount[WeekIndex],51)&gt;0,SUMIFS(T_StockCount[CountedQty],T_StockCount[Part Name],$A46,T_StockCount[WeekIndex],51),IF((('T_SelfStock'!AZ50&lt;&gt;""))*(('T_TTAFStock'!AZ50&lt;&gt;""))&gt;0,'T_SelfStock'!AZ50+'T_TTAFStock'!AZ50,AY46+'Grid_Incoming'!AZ46-'Grid_Requirement'!AZ46))</f>
        <v/>
      </c>
      <c r="BA46">
        <f>IF(COUNTIFS(T_StockCount[Part Name],$A46,T_StockCount[WeekIndex],52)&gt;0,SUMIFS(T_StockCount[CountedQty],T_StockCount[Part Name],$A46,T_StockCount[WeekIndex],52),IF((('T_SelfStock'!BA50&lt;&gt;""))*(('T_TTAFStock'!BA50&lt;&gt;""))&gt;0,'T_SelfStock'!BA50+'T_TTAFStock'!BA50,AZ46+'Grid_Incoming'!BA46-'Grid_Requirement'!BA46))</f>
        <v/>
      </c>
      <c r="BB46">
        <f>IF(COUNTIFS(T_StockCount[Part Name],$A46,T_StockCount[WeekIndex],53)&gt;0,SUMIFS(T_StockCount[CountedQty],T_StockCount[Part Name],$A46,T_StockCount[WeekIndex],53),IF((('T_SelfStock'!BB50&lt;&gt;""))*(('T_TTAFStock'!BB50&lt;&gt;""))&gt;0,'T_SelfStock'!BB50+'T_TTAFStock'!BB50,BA46+'Grid_Incoming'!BB46-'Grid_Requirement'!BB46))</f>
        <v/>
      </c>
      <c r="BC46">
        <f>IF(COUNTIFS(T_StockCount[Part Name],$A46,T_StockCount[WeekIndex],54)&gt;0,SUMIFS(T_StockCount[CountedQty],T_StockCount[Part Name],$A46,T_StockCount[WeekIndex],54),IF((('T_SelfStock'!BC50&lt;&gt;""))*(('T_TTAFStock'!BC50&lt;&gt;""))&gt;0,'T_SelfStock'!BC50+'T_TTAFStock'!BC50,BB46+'Grid_Incoming'!BC46-'Grid_Requirement'!BC46))</f>
        <v/>
      </c>
      <c r="BD46">
        <f>IF(COUNTIFS(T_StockCount[Part Name],$A46,T_StockCount[WeekIndex],55)&gt;0,SUMIFS(T_StockCount[CountedQty],T_StockCount[Part Name],$A46,T_StockCount[WeekIndex],55),IF((('T_SelfStock'!BD50&lt;&gt;""))*(('T_TTAFStock'!BD50&lt;&gt;""))&gt;0,'T_SelfStock'!BD50+'T_TTAFStock'!BD50,BC46+'Grid_Incoming'!BD46-'Grid_Requirement'!BD46))</f>
        <v/>
      </c>
      <c r="BE46">
        <f>IF(COUNTIFS(T_StockCount[Part Name],$A46,T_StockCount[WeekIndex],56)&gt;0,SUMIFS(T_StockCount[CountedQty],T_StockCount[Part Name],$A46,T_StockCount[WeekIndex],56),IF((('T_SelfStock'!BE50&lt;&gt;""))*(('T_TTAFStock'!BE50&lt;&gt;""))&gt;0,'T_SelfStock'!BE50+'T_TTAFStock'!BE50,BD46+'Grid_Incoming'!BE46-'Grid_Requirement'!BE46))</f>
        <v/>
      </c>
      <c r="BF46">
        <f>IF(COUNTIFS(T_StockCount[Part Name],$A46,T_StockCount[WeekIndex],57)&gt;0,SUMIFS(T_StockCount[CountedQty],T_StockCount[Part Name],$A46,T_StockCount[WeekIndex],57),IF((('T_SelfStock'!BF50&lt;&gt;""))*(('T_TTAFStock'!BF50&lt;&gt;""))&gt;0,'T_SelfStock'!BF50+'T_TTAFStock'!BF50,BE46+'Grid_Incoming'!BF46-'Grid_Requirement'!BF46))</f>
        <v/>
      </c>
      <c r="BG46">
        <f>IF(COUNTIFS(T_StockCount[Part Name],$A46,T_StockCount[WeekIndex],58)&gt;0,SUMIFS(T_StockCount[CountedQty],T_StockCount[Part Name],$A46,T_StockCount[WeekIndex],58),IF((('T_SelfStock'!BG50&lt;&gt;""))*(('T_TTAFStock'!BG50&lt;&gt;""))&gt;0,'T_SelfStock'!BG50+'T_TTAFStock'!BG50,BF46+'Grid_Incoming'!BG46-'Grid_Requirement'!BG46))</f>
        <v/>
      </c>
      <c r="BH46">
        <f>IF(COUNTIFS(T_StockCount[Part Name],$A46,T_StockCount[WeekIndex],59)&gt;0,SUMIFS(T_StockCount[CountedQty],T_StockCount[Part Name],$A46,T_StockCount[WeekIndex],59),IF((('T_SelfStock'!BH50&lt;&gt;""))*(('T_TTAFStock'!BH50&lt;&gt;""))&gt;0,'T_SelfStock'!BH50+'T_TTAFStock'!BH50,BG46+'Grid_Incoming'!BH46-'Grid_Requirement'!BH46))</f>
        <v/>
      </c>
      <c r="BI46">
        <f>IF(COUNTIFS(T_StockCount[Part Name],$A46,T_StockCount[WeekIndex],60)&gt;0,SUMIFS(T_StockCount[CountedQty],T_StockCount[Part Name],$A46,T_StockCount[WeekIndex],60),IF((('T_SelfStock'!BI50&lt;&gt;""))*(('T_TTAFStock'!BI50&lt;&gt;""))&gt;0,'T_SelfStock'!BI50+'T_TTAFStock'!BI50,BH46+'Grid_Incoming'!BI46-'Grid_Requirement'!BI46))</f>
        <v/>
      </c>
      <c r="BJ46">
        <f>IF(COUNTIFS(T_StockCount[Part Name],$A46,T_StockCount[WeekIndex],61)&gt;0,SUMIFS(T_StockCount[CountedQty],T_StockCount[Part Name],$A46,T_StockCount[WeekIndex],61),IF((('T_SelfStock'!BJ50&lt;&gt;""))*(('T_TTAFStock'!BJ50&lt;&gt;""))&gt;0,'T_SelfStock'!BJ50+'T_TTAFStock'!BJ50,BI46+'Grid_Incoming'!BJ46-'Grid_Requirement'!BJ46))</f>
        <v/>
      </c>
      <c r="BK46">
        <f>IF(COUNTIFS(T_StockCount[Part Name],$A46,T_StockCount[WeekIndex],62)&gt;0,SUMIFS(T_StockCount[CountedQty],T_StockCount[Part Name],$A46,T_StockCount[WeekIndex],62),IF((('T_SelfStock'!BK50&lt;&gt;""))*(('T_TTAFStock'!BK50&lt;&gt;""))&gt;0,'T_SelfStock'!BK50+'T_TTAFStock'!BK50,BJ46+'Grid_Incoming'!BK46-'Grid_Requirement'!BK46))</f>
        <v/>
      </c>
      <c r="BL46">
        <f>IF(COUNTIFS(T_StockCount[Part Name],$A46,T_StockCount[WeekIndex],63)&gt;0,SUMIFS(T_StockCount[CountedQty],T_StockCount[Part Name],$A46,T_StockCount[WeekIndex],63),IF((('T_SelfStock'!BL50&lt;&gt;""))*(('T_TTAFStock'!BL50&lt;&gt;""))&gt;0,'T_SelfStock'!BL50+'T_TTAFStock'!BL50,BK46+'Grid_Incoming'!BL46-'Grid_Requirement'!BL46))</f>
        <v/>
      </c>
      <c r="BM46">
        <f>IF(COUNTIFS(T_StockCount[Part Name],$A46,T_StockCount[WeekIndex],64)&gt;0,SUMIFS(T_StockCount[CountedQty],T_StockCount[Part Name],$A46,T_StockCount[WeekIndex],64),IF((('T_SelfStock'!BM50&lt;&gt;""))*(('T_TTAFStock'!BM50&lt;&gt;""))&gt;0,'T_SelfStock'!BM50+'T_TTAFStock'!BM50,BL46+'Grid_Incoming'!BM46-'Grid_Requirement'!BM46))</f>
        <v/>
      </c>
      <c r="BN46">
        <f>IF(COUNTIFS(T_StockCount[Part Name],$A46,T_StockCount[WeekIndex],65)&gt;0,SUMIFS(T_StockCount[CountedQty],T_StockCount[Part Name],$A46,T_StockCount[WeekIndex],65),IF((('T_SelfStock'!BN50&lt;&gt;""))*(('T_TTAFStock'!BN50&lt;&gt;""))&gt;0,'T_SelfStock'!BN50+'T_TTAFStock'!BN50,BM46+'Grid_Incoming'!BN46-'Grid_Requirement'!BN46))</f>
        <v/>
      </c>
      <c r="BO46">
        <f>IF(COUNTIFS(T_StockCount[Part Name],$A46,T_StockCount[WeekIndex],66)&gt;0,SUMIFS(T_StockCount[CountedQty],T_StockCount[Part Name],$A46,T_StockCount[WeekIndex],66),IF((('T_SelfStock'!BO50&lt;&gt;""))*(('T_TTAFStock'!BO50&lt;&gt;""))&gt;0,'T_SelfStock'!BO50+'T_TTAFStock'!BO50,BN46+'Grid_Incoming'!BO46-'Grid_Requirement'!BO46))</f>
        <v/>
      </c>
      <c r="BP46">
        <f>IF(COUNTIFS(T_StockCount[Part Name],$A46,T_StockCount[WeekIndex],67)&gt;0,SUMIFS(T_StockCount[CountedQty],T_StockCount[Part Name],$A46,T_StockCount[WeekIndex],67),IF((('T_SelfStock'!BP50&lt;&gt;""))*(('T_TTAFStock'!BP50&lt;&gt;""))&gt;0,'T_SelfStock'!BP50+'T_TTAFStock'!BP50,BO46+'Grid_Incoming'!BP46-'Grid_Requirement'!BP46))</f>
        <v/>
      </c>
      <c r="BQ46">
        <f>IF(COUNTIFS(T_StockCount[Part Name],$A46,T_StockCount[WeekIndex],68)&gt;0,SUMIFS(T_StockCount[CountedQty],T_StockCount[Part Name],$A46,T_StockCount[WeekIndex],68),IF((('T_SelfStock'!BQ50&lt;&gt;""))*(('T_TTAFStock'!BQ50&lt;&gt;""))&gt;0,'T_SelfStock'!BQ50+'T_TTAFStock'!BQ50,BP46+'Grid_Incoming'!BQ46-'Grid_Requirement'!BQ46))</f>
        <v/>
      </c>
      <c r="BR46">
        <f>IF(COUNTIFS(T_StockCount[Part Name],$A46,T_StockCount[WeekIndex],69)&gt;0,SUMIFS(T_StockCount[CountedQty],T_StockCount[Part Name],$A46,T_StockCount[WeekIndex],69),IF((('T_SelfStock'!BR50&lt;&gt;""))*(('T_TTAFStock'!BR50&lt;&gt;""))&gt;0,'T_SelfStock'!BR50+'T_TTAFStock'!BR50,BQ46+'Grid_Incoming'!BR46-'Grid_Requirement'!BR46))</f>
        <v/>
      </c>
      <c r="BS46">
        <f>IF(COUNTIFS(T_StockCount[Part Name],$A46,T_StockCount[WeekIndex],70)&gt;0,SUMIFS(T_StockCount[CountedQty],T_StockCount[Part Name],$A46,T_StockCount[WeekIndex],70),IF((('T_SelfStock'!BS50&lt;&gt;""))*(('T_TTAFStock'!BS50&lt;&gt;""))&gt;0,'T_SelfStock'!BS50+'T_TTAFStock'!BS50,BR46+'Grid_Incoming'!BS46-'Grid_Requirement'!BS46))</f>
        <v/>
      </c>
      <c r="BT46">
        <f>IF(COUNTIFS(T_StockCount[Part Name],$A46,T_StockCount[WeekIndex],71)&gt;0,SUMIFS(T_StockCount[CountedQty],T_StockCount[Part Name],$A46,T_StockCount[WeekIndex],71),IF((('T_SelfStock'!BT50&lt;&gt;""))*(('T_TTAFStock'!BT50&lt;&gt;""))&gt;0,'T_SelfStock'!BT50+'T_TTAFStock'!BT50,BS46+'Grid_Incoming'!BT46-'Grid_Requirement'!BT46))</f>
        <v/>
      </c>
      <c r="BU46">
        <f>IF(COUNTIFS(T_StockCount[Part Name],$A46,T_StockCount[WeekIndex],72)&gt;0,SUMIFS(T_StockCount[CountedQty],T_StockCount[Part Name],$A46,T_StockCount[WeekIndex],72),IF((('T_SelfStock'!BU50&lt;&gt;""))*(('T_TTAFStock'!BU50&lt;&gt;""))&gt;0,'T_SelfStock'!BU50+'T_TTAFStock'!BU50,BT46+'Grid_Incoming'!BU46-'Grid_Requirement'!BU46))</f>
        <v/>
      </c>
      <c r="BV46">
        <f>IF(COUNTIFS(T_StockCount[Part Name],$A46,T_StockCount[WeekIndex],73)&gt;0,SUMIFS(T_StockCount[CountedQty],T_StockCount[Part Name],$A46,T_StockCount[WeekIndex],73),IF((('T_SelfStock'!BV50&lt;&gt;""))*(('T_TTAFStock'!BV50&lt;&gt;""))&gt;0,'T_SelfStock'!BV50+'T_TTAFStock'!BV50,BU46+'Grid_Incoming'!BV46-'Grid_Requirement'!BV46))</f>
        <v/>
      </c>
      <c r="BW46">
        <f>IF(COUNTIFS(T_StockCount[Part Name],$A46,T_StockCount[WeekIndex],74)&gt;0,SUMIFS(T_StockCount[CountedQty],T_StockCount[Part Name],$A46,T_StockCount[WeekIndex],74),IF((('T_SelfStock'!BW50&lt;&gt;""))*(('T_TTAFStock'!BW50&lt;&gt;""))&gt;0,'T_SelfStock'!BW50+'T_TTAFStock'!BW50,BV46+'Grid_Incoming'!BW46-'Grid_Requirement'!BW46))</f>
        <v/>
      </c>
      <c r="BX46">
        <f>IF(COUNTIFS(T_StockCount[Part Name],$A46,T_StockCount[WeekIndex],75)&gt;0,SUMIFS(T_StockCount[CountedQty],T_StockCount[Part Name],$A46,T_StockCount[WeekIndex],75),IF((('T_SelfStock'!BX50&lt;&gt;""))*(('T_TTAFStock'!BX50&lt;&gt;""))&gt;0,'T_SelfStock'!BX50+'T_TTAFStock'!BX50,BW46+'Grid_Incoming'!BX46-'Grid_Requirement'!BX46))</f>
        <v/>
      </c>
      <c r="BY46">
        <f>IF(COUNTIFS(T_StockCount[Part Name],$A46,T_StockCount[WeekIndex],76)&gt;0,SUMIFS(T_StockCount[CountedQty],T_StockCount[Part Name],$A46,T_StockCount[WeekIndex],76),IF((('T_SelfStock'!BY50&lt;&gt;""))*(('T_TTAFStock'!BY50&lt;&gt;""))&gt;0,'T_SelfStock'!BY50+'T_TTAFStock'!BY50,BX46+'Grid_Incoming'!BY46-'Grid_Requirement'!BY46))</f>
        <v/>
      </c>
      <c r="BZ46">
        <f>IF(COUNTIFS(T_StockCount[Part Name],$A46,T_StockCount[WeekIndex],77)&gt;0,SUMIFS(T_StockCount[CountedQty],T_StockCount[Part Name],$A46,T_StockCount[WeekIndex],77),IF((('T_SelfStock'!BZ50&lt;&gt;""))*(('T_TTAFStock'!BZ50&lt;&gt;""))&gt;0,'T_SelfStock'!BZ50+'T_TTAFStock'!BZ50,BY46+'Grid_Incoming'!BZ46-'Grid_Requirement'!BZ46))</f>
        <v/>
      </c>
      <c r="CA46">
        <f>IF(COUNTIFS(T_StockCount[Part Name],$A46,T_StockCount[WeekIndex],78)&gt;0,SUMIFS(T_StockCount[CountedQty],T_StockCount[Part Name],$A46,T_StockCount[WeekIndex],78),IF((('T_SelfStock'!CA50&lt;&gt;""))*(('T_TTAFStock'!CA50&lt;&gt;""))&gt;0,'T_SelfStock'!CA50+'T_TTAFStock'!CA50,BZ46+'Grid_Incoming'!CA46-'Grid_Requirement'!CA46))</f>
        <v/>
      </c>
      <c r="CB46">
        <f>IF(COUNTIFS(T_StockCount[Part Name],$A46,T_StockCount[WeekIndex],79)&gt;0,SUMIFS(T_StockCount[CountedQty],T_StockCount[Part Name],$A46,T_StockCount[WeekIndex],79),IF((('T_SelfStock'!CB50&lt;&gt;""))*(('T_TTAFStock'!CB50&lt;&gt;""))&gt;0,'T_SelfStock'!CB50+'T_TTAFStock'!CB50,CA46+'Grid_Incoming'!CB46-'Grid_Requirement'!CB46))</f>
        <v/>
      </c>
      <c r="CC46">
        <f>IF(COUNTIFS(T_StockCount[Part Name],$A46,T_StockCount[WeekIndex],80)&gt;0,SUMIFS(T_StockCount[CountedQty],T_StockCount[Part Name],$A46,T_StockCount[WeekIndex],80),IF((('T_SelfStock'!CC50&lt;&gt;""))*(('T_TTAFStock'!CC50&lt;&gt;""))&gt;0,'T_SelfStock'!CC50+'T_TTAFStock'!CC50,CB46+'Grid_Incoming'!CC46-'Grid_Requirement'!CC46))</f>
        <v/>
      </c>
      <c r="CD46">
        <f>IF(COUNTIFS(T_StockCount[Part Name],$A46,T_StockCount[WeekIndex],81)&gt;0,SUMIFS(T_StockCount[CountedQty],T_StockCount[Part Name],$A46,T_StockCount[WeekIndex],81),IF((('T_SelfStock'!CD50&lt;&gt;""))*(('T_TTAFStock'!CD50&lt;&gt;""))&gt;0,'T_SelfStock'!CD50+'T_TTAFStock'!CD50,CC46+'Grid_Incoming'!CD46-'Grid_Requirement'!CD46))</f>
        <v/>
      </c>
      <c r="CE46">
        <f>IF(COUNTIFS(T_StockCount[Part Name],$A46,T_StockCount[WeekIndex],82)&gt;0,SUMIFS(T_StockCount[CountedQty],T_StockCount[Part Name],$A46,T_StockCount[WeekIndex],82),IF((('T_SelfStock'!CE50&lt;&gt;""))*(('T_TTAFStock'!CE50&lt;&gt;""))&gt;0,'T_SelfStock'!CE50+'T_TTAFStock'!CE50,CD46+'Grid_Incoming'!CE46-'Grid_Requirement'!CE46))</f>
        <v/>
      </c>
      <c r="CF46">
        <f>IF(COUNTIFS(T_StockCount[Part Name],$A46,T_StockCount[WeekIndex],83)&gt;0,SUMIFS(T_StockCount[CountedQty],T_StockCount[Part Name],$A46,T_StockCount[WeekIndex],83),IF((('T_SelfStock'!CF50&lt;&gt;""))*(('T_TTAFStock'!CF50&lt;&gt;""))&gt;0,'T_SelfStock'!CF50+'T_TTAFStock'!CF50,CE46+'Grid_Incoming'!CF46-'Grid_Requirement'!CF46))</f>
        <v/>
      </c>
      <c r="CG46">
        <f>IF(COUNTIFS(T_StockCount[Part Name],$A46,T_StockCount[WeekIndex],84)&gt;0,SUMIFS(T_StockCount[CountedQty],T_StockCount[Part Name],$A46,T_StockCount[WeekIndex],84),IF((('T_SelfStock'!CG50&lt;&gt;""))*(('T_TTAFStock'!CG50&lt;&gt;""))&gt;0,'T_SelfStock'!CG50+'T_TTAFStock'!CG50,CF46+'Grid_Incoming'!CG46-'Grid_Requirement'!CG46))</f>
        <v/>
      </c>
      <c r="CH46">
        <f>IF(COUNTIFS(T_StockCount[Part Name],$A46,T_StockCount[WeekIndex],85)&gt;0,SUMIFS(T_StockCount[CountedQty],T_StockCount[Part Name],$A46,T_StockCount[WeekIndex],85),IF((('T_SelfStock'!CH50&lt;&gt;""))*(('T_TTAFStock'!CH50&lt;&gt;""))&gt;0,'T_SelfStock'!CH50+'T_TTAFStock'!CH50,CG46+'Grid_Incoming'!CH46-'Grid_Requirement'!CH46))</f>
        <v/>
      </c>
      <c r="CI46">
        <f>IF(COUNTIFS(T_StockCount[Part Name],$A46,T_StockCount[WeekIndex],86)&gt;0,SUMIFS(T_StockCount[CountedQty],T_StockCount[Part Name],$A46,T_StockCount[WeekIndex],86),IF((('T_SelfStock'!CI50&lt;&gt;""))*(('T_TTAFStock'!CI50&lt;&gt;""))&gt;0,'T_SelfStock'!CI50+'T_TTAFStock'!CI50,CH46+'Grid_Incoming'!CI46-'Grid_Requirement'!CI46))</f>
        <v/>
      </c>
      <c r="CJ46">
        <f>IF(COUNTIFS(T_StockCount[Part Name],$A46,T_StockCount[WeekIndex],87)&gt;0,SUMIFS(T_StockCount[CountedQty],T_StockCount[Part Name],$A46,T_StockCount[WeekIndex],87),IF((('T_SelfStock'!CJ50&lt;&gt;""))*(('T_TTAFStock'!CJ50&lt;&gt;""))&gt;0,'T_SelfStock'!CJ50+'T_TTAFStock'!CJ50,CI46+'Grid_Incoming'!CJ46-'Grid_Requirement'!CJ46))</f>
        <v/>
      </c>
      <c r="CK46">
        <f>IF(COUNTIFS(T_StockCount[Part Name],$A46,T_StockCount[WeekIndex],88)&gt;0,SUMIFS(T_StockCount[CountedQty],T_StockCount[Part Name],$A46,T_StockCount[WeekIndex],88),IF((('T_SelfStock'!CK50&lt;&gt;""))*(('T_TTAFStock'!CK50&lt;&gt;""))&gt;0,'T_SelfStock'!CK50+'T_TTAFStock'!CK50,CJ46+'Grid_Incoming'!CK46-'Grid_Requirement'!CK46))</f>
        <v/>
      </c>
      <c r="CL46">
        <f>IF(COUNTIFS(T_StockCount[Part Name],$A46,T_StockCount[WeekIndex],89)&gt;0,SUMIFS(T_StockCount[CountedQty],T_StockCount[Part Name],$A46,T_StockCount[WeekIndex],89),IF((('T_SelfStock'!CL50&lt;&gt;""))*(('T_TTAFStock'!CL50&lt;&gt;""))&gt;0,'T_SelfStock'!CL50+'T_TTAFStock'!CL50,CK46+'Grid_Incoming'!CL46-'Grid_Requirement'!CL46))</f>
        <v/>
      </c>
      <c r="CM46">
        <f>IF(COUNTIFS(T_StockCount[Part Name],$A46,T_StockCount[WeekIndex],90)&gt;0,SUMIFS(T_StockCount[CountedQty],T_StockCount[Part Name],$A46,T_StockCount[WeekIndex],90),IF((('T_SelfStock'!CM50&lt;&gt;""))*(('T_TTAFStock'!CM50&lt;&gt;""))&gt;0,'T_SelfStock'!CM50+'T_TTAFStock'!CM50,CL46+'Grid_Incoming'!CM46-'Grid_Requirement'!CM46))</f>
        <v/>
      </c>
      <c r="CN46">
        <f>IF(COUNTIFS(T_StockCount[Part Name],$A46,T_StockCount[WeekIndex],91)&gt;0,SUMIFS(T_StockCount[CountedQty],T_StockCount[Part Name],$A46,T_StockCount[WeekIndex],91),IF((('T_SelfStock'!CN50&lt;&gt;""))*(('T_TTAFStock'!CN50&lt;&gt;""))&gt;0,'T_SelfStock'!CN50+'T_TTAFStock'!CN50,CM46+'Grid_Incoming'!CN46-'Grid_Requirement'!CN46))</f>
        <v/>
      </c>
      <c r="CO46">
        <f>IF(COUNTIFS(T_StockCount[Part Name],$A46,T_StockCount[WeekIndex],92)&gt;0,SUMIFS(T_StockCount[CountedQty],T_StockCount[Part Name],$A46,T_StockCount[WeekIndex],92),IF((('T_SelfStock'!CO50&lt;&gt;""))*(('T_TTAFStock'!CO50&lt;&gt;""))&gt;0,'T_SelfStock'!CO50+'T_TTAFStock'!CO50,CN46+'Grid_Incoming'!CO46-'Grid_Requirement'!CO46))</f>
        <v/>
      </c>
      <c r="CP46">
        <f>IF(COUNTIFS(T_StockCount[Part Name],$A46,T_StockCount[WeekIndex],93)&gt;0,SUMIFS(T_StockCount[CountedQty],T_StockCount[Part Name],$A46,T_StockCount[WeekIndex],93),IF((('T_SelfStock'!CP50&lt;&gt;""))*(('T_TTAFStock'!CP50&lt;&gt;""))&gt;0,'T_SelfStock'!CP50+'T_TTAFStock'!CP50,CO46+'Grid_Incoming'!CP46-'Grid_Requirement'!CP46))</f>
        <v/>
      </c>
      <c r="CQ46">
        <f>IF(COUNTIFS(T_StockCount[Part Name],$A46,T_StockCount[WeekIndex],94)&gt;0,SUMIFS(T_StockCount[CountedQty],T_StockCount[Part Name],$A46,T_StockCount[WeekIndex],94),IF((('T_SelfStock'!CQ50&lt;&gt;""))*(('T_TTAFStock'!CQ50&lt;&gt;""))&gt;0,'T_SelfStock'!CQ50+'T_TTAFStock'!CQ50,CP46+'Grid_Incoming'!CQ46-'Grid_Requirement'!CQ46))</f>
        <v/>
      </c>
      <c r="CR46">
        <f>IF(COUNTIFS(T_StockCount[Part Name],$A46,T_StockCount[WeekIndex],95)&gt;0,SUMIFS(T_StockCount[CountedQty],T_StockCount[Part Name],$A46,T_StockCount[WeekIndex],95),IF((('T_SelfStock'!CR50&lt;&gt;""))*(('T_TTAFStock'!CR50&lt;&gt;""))&gt;0,'T_SelfStock'!CR50+'T_TTAFStock'!CR50,CQ46+'Grid_Incoming'!CR46-'Grid_Requirement'!CR46))</f>
        <v/>
      </c>
      <c r="CS46">
        <f>IF(COUNTIFS(T_StockCount[Part Name],$A46,T_StockCount[WeekIndex],96)&gt;0,SUMIFS(T_StockCount[CountedQty],T_StockCount[Part Name],$A46,T_StockCount[WeekIndex],96),IF((('T_SelfStock'!CS50&lt;&gt;""))*(('T_TTAFStock'!CS50&lt;&gt;""))&gt;0,'T_SelfStock'!CS50+'T_TTAFStock'!CS50,CR46+'Grid_Incoming'!CS46-'Grid_Requirement'!CS46))</f>
        <v/>
      </c>
      <c r="CT46">
        <f>IF(COUNTIFS(T_StockCount[Part Name],$A46,T_StockCount[WeekIndex],97)&gt;0,SUMIFS(T_StockCount[CountedQty],T_StockCount[Part Name],$A46,T_StockCount[WeekIndex],97),IF((('T_SelfStock'!CT50&lt;&gt;""))*(('T_TTAFStock'!CT50&lt;&gt;""))&gt;0,'T_SelfStock'!CT50+'T_TTAFStock'!CT50,CS46+'Grid_Incoming'!CT46-'Grid_Requirement'!CT46))</f>
        <v/>
      </c>
      <c r="CU46">
        <f>IF(COUNTIFS(T_StockCount[Part Name],$A46,T_StockCount[WeekIndex],98)&gt;0,SUMIFS(T_StockCount[CountedQty],T_StockCount[Part Name],$A46,T_StockCount[WeekIndex],98),IF((('T_SelfStock'!CU50&lt;&gt;""))*(('T_TTAFStock'!CU50&lt;&gt;""))&gt;0,'T_SelfStock'!CU50+'T_TTAFStock'!CU50,CT46+'Grid_Incoming'!CU46-'Grid_Requirement'!CU46))</f>
        <v/>
      </c>
      <c r="CV46">
        <f>IF(COUNTIFS(T_StockCount[Part Name],$A46,T_StockCount[WeekIndex],99)&gt;0,SUMIFS(T_StockCount[CountedQty],T_StockCount[Part Name],$A46,T_StockCount[WeekIndex],99),IF((('T_SelfStock'!CV50&lt;&gt;""))*(('T_TTAFStock'!CV50&lt;&gt;""))&gt;0,'T_SelfStock'!CV50+'T_TTAFStock'!CV50,CU46+'Grid_Incoming'!CV46-'Grid_Requirement'!CV46))</f>
        <v/>
      </c>
      <c r="CW46">
        <f>IF(COUNTIFS(T_StockCount[Part Name],$A46,T_StockCount[WeekIndex],100)&gt;0,SUMIFS(T_StockCount[CountedQty],T_StockCount[Part Name],$A46,T_StockCount[WeekIndex],100),IF((('T_SelfStock'!CW50&lt;&gt;""))*(('T_TTAFStock'!CW50&lt;&gt;""))&gt;0,'T_SelfStock'!CW50+'T_TTAFStock'!CW50,CV46+'Grid_Incoming'!CW46-'Grid_Requirement'!CW46))</f>
        <v/>
      </c>
      <c r="CX46">
        <f>IF(COUNTIFS(T_StockCount[Part Name],$A46,T_StockCount[WeekIndex],101)&gt;0,SUMIFS(T_StockCount[CountedQty],T_StockCount[Part Name],$A46,T_StockCount[WeekIndex],101),IF((('T_SelfStock'!CX50&lt;&gt;""))*(('T_TTAFStock'!CX50&lt;&gt;""))&gt;0,'T_SelfStock'!CX50+'T_TTAFStock'!CX50,CW46+'Grid_Incoming'!CX46-'Grid_Requirement'!CX46))</f>
        <v/>
      </c>
      <c r="CY46">
        <f>IF(COUNTIFS(T_StockCount[Part Name],$A46,T_StockCount[WeekIndex],102)&gt;0,SUMIFS(T_StockCount[CountedQty],T_StockCount[Part Name],$A46,T_StockCount[WeekIndex],102),IF((('T_SelfStock'!CY50&lt;&gt;""))*(('T_TTAFStock'!CY50&lt;&gt;""))&gt;0,'T_SelfStock'!CY50+'T_TTAFStock'!CY50,CX46+'Grid_Incoming'!CY46-'Grid_Requirement'!CY46))</f>
        <v/>
      </c>
      <c r="CZ46">
        <f>IF(COUNTIFS(T_StockCount[Part Name],$A46,T_StockCount[WeekIndex],103)&gt;0,SUMIFS(T_StockCount[CountedQty],T_StockCount[Part Name],$A46,T_StockCount[WeekIndex],103),IF((('T_SelfStock'!CZ50&lt;&gt;""))*(('T_TTAFStock'!CZ50&lt;&gt;""))&gt;0,'T_SelfStock'!CZ50+'T_TTAFStock'!CZ50,CY46+'Grid_Incoming'!CZ46-'Grid_Requirement'!CZ46))</f>
        <v/>
      </c>
      <c r="DA46">
        <f>IF(COUNTIFS(T_StockCount[Part Name],$A46,T_StockCount[WeekIndex],104)&gt;0,SUMIFS(T_StockCount[CountedQty],T_StockCount[Part Name],$A46,T_StockCount[WeekIndex],104),IF((('T_SelfStock'!DA50&lt;&gt;""))*(('T_TTAFStock'!DA50&lt;&gt;""))&gt;0,'T_SelfStock'!DA50+'T_TTAFStock'!DA50,CZ46+'Grid_Incoming'!DA46-'Grid_Requirement'!DA46))</f>
        <v/>
      </c>
    </row>
    <row r="47">
      <c r="A47" t="inlineStr">
        <is>
          <t>CHEM-1430</t>
        </is>
      </c>
      <c r="B47">
        <f>IF(COUNTIFS(T_StockCount[Part Name],$A47,T_StockCount[WeekIndex],1)&gt;0,SUMIFS(T_StockCount[CountedQty],T_StockCount[Part Name],$A47,T_StockCount[WeekIndex],1),IF((('T_SelfStock'!B51&lt;&gt;""))*(('T_TTAFStock'!B51&lt;&gt;""))&gt;0,'T_SelfStock'!B51+'T_TTAFStock'!B51,IFERROR(INDEX(T_OpeningStock[Opening_Qty_要入力],MATCH($A47,T_OpeningStock[Part Name],0)),0)+'Grid_Incoming'!B47-'Grid_Requirement'!B47))</f>
        <v/>
      </c>
      <c r="C47">
        <f>IF(COUNTIFS(T_StockCount[Part Name],$A47,T_StockCount[WeekIndex],2)&gt;0,SUMIFS(T_StockCount[CountedQty],T_StockCount[Part Name],$A47,T_StockCount[WeekIndex],2),IF((('T_SelfStock'!C51&lt;&gt;""))*(('T_TTAFStock'!C51&lt;&gt;""))&gt;0,'T_SelfStock'!C51+'T_TTAFStock'!C51,B47+'Grid_Incoming'!C47-'Grid_Requirement'!C47))</f>
        <v/>
      </c>
      <c r="D47">
        <f>IF(COUNTIFS(T_StockCount[Part Name],$A47,T_StockCount[WeekIndex],3)&gt;0,SUMIFS(T_StockCount[CountedQty],T_StockCount[Part Name],$A47,T_StockCount[WeekIndex],3),IF((('T_SelfStock'!D51&lt;&gt;""))*(('T_TTAFStock'!D51&lt;&gt;""))&gt;0,'T_SelfStock'!D51+'T_TTAFStock'!D51,C47+'Grid_Incoming'!D47-'Grid_Requirement'!D47))</f>
        <v/>
      </c>
      <c r="E47">
        <f>IF(COUNTIFS(T_StockCount[Part Name],$A47,T_StockCount[WeekIndex],4)&gt;0,SUMIFS(T_StockCount[CountedQty],T_StockCount[Part Name],$A47,T_StockCount[WeekIndex],4),IF((('T_SelfStock'!E51&lt;&gt;""))*(('T_TTAFStock'!E51&lt;&gt;""))&gt;0,'T_SelfStock'!E51+'T_TTAFStock'!E51,D47+'Grid_Incoming'!E47-'Grid_Requirement'!E47))</f>
        <v/>
      </c>
      <c r="F47">
        <f>IF(COUNTIFS(T_StockCount[Part Name],$A47,T_StockCount[WeekIndex],5)&gt;0,SUMIFS(T_StockCount[CountedQty],T_StockCount[Part Name],$A47,T_StockCount[WeekIndex],5),IF((('T_SelfStock'!F51&lt;&gt;""))*(('T_TTAFStock'!F51&lt;&gt;""))&gt;0,'T_SelfStock'!F51+'T_TTAFStock'!F51,E47+'Grid_Incoming'!F47-'Grid_Requirement'!F47))</f>
        <v/>
      </c>
      <c r="G47">
        <f>IF(COUNTIFS(T_StockCount[Part Name],$A47,T_StockCount[WeekIndex],6)&gt;0,SUMIFS(T_StockCount[CountedQty],T_StockCount[Part Name],$A47,T_StockCount[WeekIndex],6),IF((('T_SelfStock'!G51&lt;&gt;""))*(('T_TTAFStock'!G51&lt;&gt;""))&gt;0,'T_SelfStock'!G51+'T_TTAFStock'!G51,F47+'Grid_Incoming'!G47-'Grid_Requirement'!G47))</f>
        <v/>
      </c>
      <c r="H47">
        <f>IF(COUNTIFS(T_StockCount[Part Name],$A47,T_StockCount[WeekIndex],7)&gt;0,SUMIFS(T_StockCount[CountedQty],T_StockCount[Part Name],$A47,T_StockCount[WeekIndex],7),IF((('T_SelfStock'!H51&lt;&gt;""))*(('T_TTAFStock'!H51&lt;&gt;""))&gt;0,'T_SelfStock'!H51+'T_TTAFStock'!H51,G47+'Grid_Incoming'!H47-'Grid_Requirement'!H47))</f>
        <v/>
      </c>
      <c r="I47">
        <f>IF(COUNTIFS(T_StockCount[Part Name],$A47,T_StockCount[WeekIndex],8)&gt;0,SUMIFS(T_StockCount[CountedQty],T_StockCount[Part Name],$A47,T_StockCount[WeekIndex],8),IF((('T_SelfStock'!I51&lt;&gt;""))*(('T_TTAFStock'!I51&lt;&gt;""))&gt;0,'T_SelfStock'!I51+'T_TTAFStock'!I51,H47+'Grid_Incoming'!I47-'Grid_Requirement'!I47))</f>
        <v/>
      </c>
      <c r="J47">
        <f>IF(COUNTIFS(T_StockCount[Part Name],$A47,T_StockCount[WeekIndex],9)&gt;0,SUMIFS(T_StockCount[CountedQty],T_StockCount[Part Name],$A47,T_StockCount[WeekIndex],9),IF((('T_SelfStock'!J51&lt;&gt;""))*(('T_TTAFStock'!J51&lt;&gt;""))&gt;0,'T_SelfStock'!J51+'T_TTAFStock'!J51,I47+'Grid_Incoming'!J47-'Grid_Requirement'!J47))</f>
        <v/>
      </c>
      <c r="K47">
        <f>IF(COUNTIFS(T_StockCount[Part Name],$A47,T_StockCount[WeekIndex],10)&gt;0,SUMIFS(T_StockCount[CountedQty],T_StockCount[Part Name],$A47,T_StockCount[WeekIndex],10),IF((('T_SelfStock'!K51&lt;&gt;""))*(('T_TTAFStock'!K51&lt;&gt;""))&gt;0,'T_SelfStock'!K51+'T_TTAFStock'!K51,J47+'Grid_Incoming'!K47-'Grid_Requirement'!K47))</f>
        <v/>
      </c>
      <c r="L47">
        <f>IF(COUNTIFS(T_StockCount[Part Name],$A47,T_StockCount[WeekIndex],11)&gt;0,SUMIFS(T_StockCount[CountedQty],T_StockCount[Part Name],$A47,T_StockCount[WeekIndex],11),IF((('T_SelfStock'!L51&lt;&gt;""))*(('T_TTAFStock'!L51&lt;&gt;""))&gt;0,'T_SelfStock'!L51+'T_TTAFStock'!L51,K47+'Grid_Incoming'!L47-'Grid_Requirement'!L47))</f>
        <v/>
      </c>
      <c r="M47">
        <f>IF(COUNTIFS(T_StockCount[Part Name],$A47,T_StockCount[WeekIndex],12)&gt;0,SUMIFS(T_StockCount[CountedQty],T_StockCount[Part Name],$A47,T_StockCount[WeekIndex],12),IF((('T_SelfStock'!M51&lt;&gt;""))*(('T_TTAFStock'!M51&lt;&gt;""))&gt;0,'T_SelfStock'!M51+'T_TTAFStock'!M51,L47+'Grid_Incoming'!M47-'Grid_Requirement'!M47))</f>
        <v/>
      </c>
      <c r="N47">
        <f>IF(COUNTIFS(T_StockCount[Part Name],$A47,T_StockCount[WeekIndex],13)&gt;0,SUMIFS(T_StockCount[CountedQty],T_StockCount[Part Name],$A47,T_StockCount[WeekIndex],13),IF((('T_SelfStock'!N51&lt;&gt;""))*(('T_TTAFStock'!N51&lt;&gt;""))&gt;0,'T_SelfStock'!N51+'T_TTAFStock'!N51,M47+'Grid_Incoming'!N47-'Grid_Requirement'!N47))</f>
        <v/>
      </c>
      <c r="O47">
        <f>IF(COUNTIFS(T_StockCount[Part Name],$A47,T_StockCount[WeekIndex],14)&gt;0,SUMIFS(T_StockCount[CountedQty],T_StockCount[Part Name],$A47,T_StockCount[WeekIndex],14),IF((('T_SelfStock'!O51&lt;&gt;""))*(('T_TTAFStock'!O51&lt;&gt;""))&gt;0,'T_SelfStock'!O51+'T_TTAFStock'!O51,N47+'Grid_Incoming'!O47-'Grid_Requirement'!O47))</f>
        <v/>
      </c>
      <c r="P47">
        <f>IF(COUNTIFS(T_StockCount[Part Name],$A47,T_StockCount[WeekIndex],15)&gt;0,SUMIFS(T_StockCount[CountedQty],T_StockCount[Part Name],$A47,T_StockCount[WeekIndex],15),IF((('T_SelfStock'!P51&lt;&gt;""))*(('T_TTAFStock'!P51&lt;&gt;""))&gt;0,'T_SelfStock'!P51+'T_TTAFStock'!P51,O47+'Grid_Incoming'!P47-'Grid_Requirement'!P47))</f>
        <v/>
      </c>
      <c r="Q47">
        <f>IF(COUNTIFS(T_StockCount[Part Name],$A47,T_StockCount[WeekIndex],16)&gt;0,SUMIFS(T_StockCount[CountedQty],T_StockCount[Part Name],$A47,T_StockCount[WeekIndex],16),IF((('T_SelfStock'!Q51&lt;&gt;""))*(('T_TTAFStock'!Q51&lt;&gt;""))&gt;0,'T_SelfStock'!Q51+'T_TTAFStock'!Q51,P47+'Grid_Incoming'!Q47-'Grid_Requirement'!Q47))</f>
        <v/>
      </c>
      <c r="R47">
        <f>IF(COUNTIFS(T_StockCount[Part Name],$A47,T_StockCount[WeekIndex],17)&gt;0,SUMIFS(T_StockCount[CountedQty],T_StockCount[Part Name],$A47,T_StockCount[WeekIndex],17),IF((('T_SelfStock'!R51&lt;&gt;""))*(('T_TTAFStock'!R51&lt;&gt;""))&gt;0,'T_SelfStock'!R51+'T_TTAFStock'!R51,Q47+'Grid_Incoming'!R47-'Grid_Requirement'!R47))</f>
        <v/>
      </c>
      <c r="S47">
        <f>IF(COUNTIFS(T_StockCount[Part Name],$A47,T_StockCount[WeekIndex],18)&gt;0,SUMIFS(T_StockCount[CountedQty],T_StockCount[Part Name],$A47,T_StockCount[WeekIndex],18),IF((('T_SelfStock'!S51&lt;&gt;""))*(('T_TTAFStock'!S51&lt;&gt;""))&gt;0,'T_SelfStock'!S51+'T_TTAFStock'!S51,R47+'Grid_Incoming'!S47-'Grid_Requirement'!S47))</f>
        <v/>
      </c>
      <c r="T47">
        <f>IF(COUNTIFS(T_StockCount[Part Name],$A47,T_StockCount[WeekIndex],19)&gt;0,SUMIFS(T_StockCount[CountedQty],T_StockCount[Part Name],$A47,T_StockCount[WeekIndex],19),IF((('T_SelfStock'!T51&lt;&gt;""))*(('T_TTAFStock'!T51&lt;&gt;""))&gt;0,'T_SelfStock'!T51+'T_TTAFStock'!T51,S47+'Grid_Incoming'!T47-'Grid_Requirement'!T47))</f>
        <v/>
      </c>
      <c r="U47">
        <f>IF(COUNTIFS(T_StockCount[Part Name],$A47,T_StockCount[WeekIndex],20)&gt;0,SUMIFS(T_StockCount[CountedQty],T_StockCount[Part Name],$A47,T_StockCount[WeekIndex],20),IF((('T_SelfStock'!U51&lt;&gt;""))*(('T_TTAFStock'!U51&lt;&gt;""))&gt;0,'T_SelfStock'!U51+'T_TTAFStock'!U51,T47+'Grid_Incoming'!U47-'Grid_Requirement'!U47))</f>
        <v/>
      </c>
      <c r="V47">
        <f>IF(COUNTIFS(T_StockCount[Part Name],$A47,T_StockCount[WeekIndex],21)&gt;0,SUMIFS(T_StockCount[CountedQty],T_StockCount[Part Name],$A47,T_StockCount[WeekIndex],21),IF((('T_SelfStock'!V51&lt;&gt;""))*(('T_TTAFStock'!V51&lt;&gt;""))&gt;0,'T_SelfStock'!V51+'T_TTAFStock'!V51,U47+'Grid_Incoming'!V47-'Grid_Requirement'!V47))</f>
        <v/>
      </c>
      <c r="W47">
        <f>IF(COUNTIFS(T_StockCount[Part Name],$A47,T_StockCount[WeekIndex],22)&gt;0,SUMIFS(T_StockCount[CountedQty],T_StockCount[Part Name],$A47,T_StockCount[WeekIndex],22),IF((('T_SelfStock'!W51&lt;&gt;""))*(('T_TTAFStock'!W51&lt;&gt;""))&gt;0,'T_SelfStock'!W51+'T_TTAFStock'!W51,V47+'Grid_Incoming'!W47-'Grid_Requirement'!W47))</f>
        <v/>
      </c>
      <c r="X47">
        <f>IF(COUNTIFS(T_StockCount[Part Name],$A47,T_StockCount[WeekIndex],23)&gt;0,SUMIFS(T_StockCount[CountedQty],T_StockCount[Part Name],$A47,T_StockCount[WeekIndex],23),IF((('T_SelfStock'!X51&lt;&gt;""))*(('T_TTAFStock'!X51&lt;&gt;""))&gt;0,'T_SelfStock'!X51+'T_TTAFStock'!X51,W47+'Grid_Incoming'!X47-'Grid_Requirement'!X47))</f>
        <v/>
      </c>
      <c r="Y47">
        <f>IF(COUNTIFS(T_StockCount[Part Name],$A47,T_StockCount[WeekIndex],24)&gt;0,SUMIFS(T_StockCount[CountedQty],T_StockCount[Part Name],$A47,T_StockCount[WeekIndex],24),IF((('T_SelfStock'!Y51&lt;&gt;""))*(('T_TTAFStock'!Y51&lt;&gt;""))&gt;0,'T_SelfStock'!Y51+'T_TTAFStock'!Y51,X47+'Grid_Incoming'!Y47-'Grid_Requirement'!Y47))</f>
        <v/>
      </c>
      <c r="Z47">
        <f>IF(COUNTIFS(T_StockCount[Part Name],$A47,T_StockCount[WeekIndex],25)&gt;0,SUMIFS(T_StockCount[CountedQty],T_StockCount[Part Name],$A47,T_StockCount[WeekIndex],25),IF((('T_SelfStock'!Z51&lt;&gt;""))*(('T_TTAFStock'!Z51&lt;&gt;""))&gt;0,'T_SelfStock'!Z51+'T_TTAFStock'!Z51,Y47+'Grid_Incoming'!Z47-'Grid_Requirement'!Z47))</f>
        <v/>
      </c>
      <c r="AA47">
        <f>IF(COUNTIFS(T_StockCount[Part Name],$A47,T_StockCount[WeekIndex],26)&gt;0,SUMIFS(T_StockCount[CountedQty],T_StockCount[Part Name],$A47,T_StockCount[WeekIndex],26),IF((('T_SelfStock'!AA51&lt;&gt;""))*(('T_TTAFStock'!AA51&lt;&gt;""))&gt;0,'T_SelfStock'!AA51+'T_TTAFStock'!AA51,Z47+'Grid_Incoming'!AA47-'Grid_Requirement'!AA47))</f>
        <v/>
      </c>
      <c r="AB47">
        <f>IF(COUNTIFS(T_StockCount[Part Name],$A47,T_StockCount[WeekIndex],27)&gt;0,SUMIFS(T_StockCount[CountedQty],T_StockCount[Part Name],$A47,T_StockCount[WeekIndex],27),IF((('T_SelfStock'!AB51&lt;&gt;""))*(('T_TTAFStock'!AB51&lt;&gt;""))&gt;0,'T_SelfStock'!AB51+'T_TTAFStock'!AB51,AA47+'Grid_Incoming'!AB47-'Grid_Requirement'!AB47))</f>
        <v/>
      </c>
      <c r="AC47">
        <f>IF(COUNTIFS(T_StockCount[Part Name],$A47,T_StockCount[WeekIndex],28)&gt;0,SUMIFS(T_StockCount[CountedQty],T_StockCount[Part Name],$A47,T_StockCount[WeekIndex],28),IF((('T_SelfStock'!AC51&lt;&gt;""))*(('T_TTAFStock'!AC51&lt;&gt;""))&gt;0,'T_SelfStock'!AC51+'T_TTAFStock'!AC51,AB47+'Grid_Incoming'!AC47-'Grid_Requirement'!AC47))</f>
        <v/>
      </c>
      <c r="AD47">
        <f>IF(COUNTIFS(T_StockCount[Part Name],$A47,T_StockCount[WeekIndex],29)&gt;0,SUMIFS(T_StockCount[CountedQty],T_StockCount[Part Name],$A47,T_StockCount[WeekIndex],29),IF((('T_SelfStock'!AD51&lt;&gt;""))*(('T_TTAFStock'!AD51&lt;&gt;""))&gt;0,'T_SelfStock'!AD51+'T_TTAFStock'!AD51,AC47+'Grid_Incoming'!AD47-'Grid_Requirement'!AD47))</f>
        <v/>
      </c>
      <c r="AE47">
        <f>IF(COUNTIFS(T_StockCount[Part Name],$A47,T_StockCount[WeekIndex],30)&gt;0,SUMIFS(T_StockCount[CountedQty],T_StockCount[Part Name],$A47,T_StockCount[WeekIndex],30),IF((('T_SelfStock'!AE51&lt;&gt;""))*(('T_TTAFStock'!AE51&lt;&gt;""))&gt;0,'T_SelfStock'!AE51+'T_TTAFStock'!AE51,AD47+'Grid_Incoming'!AE47-'Grid_Requirement'!AE47))</f>
        <v/>
      </c>
      <c r="AF47">
        <f>IF(COUNTIFS(T_StockCount[Part Name],$A47,T_StockCount[WeekIndex],31)&gt;0,SUMIFS(T_StockCount[CountedQty],T_StockCount[Part Name],$A47,T_StockCount[WeekIndex],31),IF((('T_SelfStock'!AF51&lt;&gt;""))*(('T_TTAFStock'!AF51&lt;&gt;""))&gt;0,'T_SelfStock'!AF51+'T_TTAFStock'!AF51,AE47+'Grid_Incoming'!AF47-'Grid_Requirement'!AF47))</f>
        <v/>
      </c>
      <c r="AG47">
        <f>IF(COUNTIFS(T_StockCount[Part Name],$A47,T_StockCount[WeekIndex],32)&gt;0,SUMIFS(T_StockCount[CountedQty],T_StockCount[Part Name],$A47,T_StockCount[WeekIndex],32),IF((('T_SelfStock'!AG51&lt;&gt;""))*(('T_TTAFStock'!AG51&lt;&gt;""))&gt;0,'T_SelfStock'!AG51+'T_TTAFStock'!AG51,AF47+'Grid_Incoming'!AG47-'Grid_Requirement'!AG47))</f>
        <v/>
      </c>
      <c r="AH47">
        <f>IF(COUNTIFS(T_StockCount[Part Name],$A47,T_StockCount[WeekIndex],33)&gt;0,SUMIFS(T_StockCount[CountedQty],T_StockCount[Part Name],$A47,T_StockCount[WeekIndex],33),IF((('T_SelfStock'!AH51&lt;&gt;""))*(('T_TTAFStock'!AH51&lt;&gt;""))&gt;0,'T_SelfStock'!AH51+'T_TTAFStock'!AH51,AG47+'Grid_Incoming'!AH47-'Grid_Requirement'!AH47))</f>
        <v/>
      </c>
      <c r="AI47">
        <f>IF(COUNTIFS(T_StockCount[Part Name],$A47,T_StockCount[WeekIndex],34)&gt;0,SUMIFS(T_StockCount[CountedQty],T_StockCount[Part Name],$A47,T_StockCount[WeekIndex],34),IF((('T_SelfStock'!AI51&lt;&gt;""))*(('T_TTAFStock'!AI51&lt;&gt;""))&gt;0,'T_SelfStock'!AI51+'T_TTAFStock'!AI51,AH47+'Grid_Incoming'!AI47-'Grid_Requirement'!AI47))</f>
        <v/>
      </c>
      <c r="AJ47">
        <f>IF(COUNTIFS(T_StockCount[Part Name],$A47,T_StockCount[WeekIndex],35)&gt;0,SUMIFS(T_StockCount[CountedQty],T_StockCount[Part Name],$A47,T_StockCount[WeekIndex],35),IF((('T_SelfStock'!AJ51&lt;&gt;""))*(('T_TTAFStock'!AJ51&lt;&gt;""))&gt;0,'T_SelfStock'!AJ51+'T_TTAFStock'!AJ51,AI47+'Grid_Incoming'!AJ47-'Grid_Requirement'!AJ47))</f>
        <v/>
      </c>
      <c r="AK47">
        <f>IF(COUNTIFS(T_StockCount[Part Name],$A47,T_StockCount[WeekIndex],36)&gt;0,SUMIFS(T_StockCount[CountedQty],T_StockCount[Part Name],$A47,T_StockCount[WeekIndex],36),IF((('T_SelfStock'!AK51&lt;&gt;""))*(('T_TTAFStock'!AK51&lt;&gt;""))&gt;0,'T_SelfStock'!AK51+'T_TTAFStock'!AK51,AJ47+'Grid_Incoming'!AK47-'Grid_Requirement'!AK47))</f>
        <v/>
      </c>
      <c r="AL47">
        <f>IF(COUNTIFS(T_StockCount[Part Name],$A47,T_StockCount[WeekIndex],37)&gt;0,SUMIFS(T_StockCount[CountedQty],T_StockCount[Part Name],$A47,T_StockCount[WeekIndex],37),IF((('T_SelfStock'!AL51&lt;&gt;""))*(('T_TTAFStock'!AL51&lt;&gt;""))&gt;0,'T_SelfStock'!AL51+'T_TTAFStock'!AL51,AK47+'Grid_Incoming'!AL47-'Grid_Requirement'!AL47))</f>
        <v/>
      </c>
      <c r="AM47">
        <f>IF(COUNTIFS(T_StockCount[Part Name],$A47,T_StockCount[WeekIndex],38)&gt;0,SUMIFS(T_StockCount[CountedQty],T_StockCount[Part Name],$A47,T_StockCount[WeekIndex],38),IF((('T_SelfStock'!AM51&lt;&gt;""))*(('T_TTAFStock'!AM51&lt;&gt;""))&gt;0,'T_SelfStock'!AM51+'T_TTAFStock'!AM51,AL47+'Grid_Incoming'!AM47-'Grid_Requirement'!AM47))</f>
        <v/>
      </c>
      <c r="AN47">
        <f>IF(COUNTIFS(T_StockCount[Part Name],$A47,T_StockCount[WeekIndex],39)&gt;0,SUMIFS(T_StockCount[CountedQty],T_StockCount[Part Name],$A47,T_StockCount[WeekIndex],39),IF((('T_SelfStock'!AN51&lt;&gt;""))*(('T_TTAFStock'!AN51&lt;&gt;""))&gt;0,'T_SelfStock'!AN51+'T_TTAFStock'!AN51,AM47+'Grid_Incoming'!AN47-'Grid_Requirement'!AN47))</f>
        <v/>
      </c>
      <c r="AO47">
        <f>IF(COUNTIFS(T_StockCount[Part Name],$A47,T_StockCount[WeekIndex],40)&gt;0,SUMIFS(T_StockCount[CountedQty],T_StockCount[Part Name],$A47,T_StockCount[WeekIndex],40),IF((('T_SelfStock'!AO51&lt;&gt;""))*(('T_TTAFStock'!AO51&lt;&gt;""))&gt;0,'T_SelfStock'!AO51+'T_TTAFStock'!AO51,AN47+'Grid_Incoming'!AO47-'Grid_Requirement'!AO47))</f>
        <v/>
      </c>
      <c r="AP47">
        <f>IF(COUNTIFS(T_StockCount[Part Name],$A47,T_StockCount[WeekIndex],41)&gt;0,SUMIFS(T_StockCount[CountedQty],T_StockCount[Part Name],$A47,T_StockCount[WeekIndex],41),IF((('T_SelfStock'!AP51&lt;&gt;""))*(('T_TTAFStock'!AP51&lt;&gt;""))&gt;0,'T_SelfStock'!AP51+'T_TTAFStock'!AP51,AO47+'Grid_Incoming'!AP47-'Grid_Requirement'!AP47))</f>
        <v/>
      </c>
      <c r="AQ47">
        <f>IF(COUNTIFS(T_StockCount[Part Name],$A47,T_StockCount[WeekIndex],42)&gt;0,SUMIFS(T_StockCount[CountedQty],T_StockCount[Part Name],$A47,T_StockCount[WeekIndex],42),IF((('T_SelfStock'!AQ51&lt;&gt;""))*(('T_TTAFStock'!AQ51&lt;&gt;""))&gt;0,'T_SelfStock'!AQ51+'T_TTAFStock'!AQ51,AP47+'Grid_Incoming'!AQ47-'Grid_Requirement'!AQ47))</f>
        <v/>
      </c>
      <c r="AR47">
        <f>IF(COUNTIFS(T_StockCount[Part Name],$A47,T_StockCount[WeekIndex],43)&gt;0,SUMIFS(T_StockCount[CountedQty],T_StockCount[Part Name],$A47,T_StockCount[WeekIndex],43),IF((('T_SelfStock'!AR51&lt;&gt;""))*(('T_TTAFStock'!AR51&lt;&gt;""))&gt;0,'T_SelfStock'!AR51+'T_TTAFStock'!AR51,AQ47+'Grid_Incoming'!AR47-'Grid_Requirement'!AR47))</f>
        <v/>
      </c>
      <c r="AS47">
        <f>IF(COUNTIFS(T_StockCount[Part Name],$A47,T_StockCount[WeekIndex],44)&gt;0,SUMIFS(T_StockCount[CountedQty],T_StockCount[Part Name],$A47,T_StockCount[WeekIndex],44),IF((('T_SelfStock'!AS51&lt;&gt;""))*(('T_TTAFStock'!AS51&lt;&gt;""))&gt;0,'T_SelfStock'!AS51+'T_TTAFStock'!AS51,AR47+'Grid_Incoming'!AS47-'Grid_Requirement'!AS47))</f>
        <v/>
      </c>
      <c r="AT47">
        <f>IF(COUNTIFS(T_StockCount[Part Name],$A47,T_StockCount[WeekIndex],45)&gt;0,SUMIFS(T_StockCount[CountedQty],T_StockCount[Part Name],$A47,T_StockCount[WeekIndex],45),IF((('T_SelfStock'!AT51&lt;&gt;""))*(('T_TTAFStock'!AT51&lt;&gt;""))&gt;0,'T_SelfStock'!AT51+'T_TTAFStock'!AT51,AS47+'Grid_Incoming'!AT47-'Grid_Requirement'!AT47))</f>
        <v/>
      </c>
      <c r="AU47">
        <f>IF(COUNTIFS(T_StockCount[Part Name],$A47,T_StockCount[WeekIndex],46)&gt;0,SUMIFS(T_StockCount[CountedQty],T_StockCount[Part Name],$A47,T_StockCount[WeekIndex],46),IF((('T_SelfStock'!AU51&lt;&gt;""))*(('T_TTAFStock'!AU51&lt;&gt;""))&gt;0,'T_SelfStock'!AU51+'T_TTAFStock'!AU51,AT47+'Grid_Incoming'!AU47-'Grid_Requirement'!AU47))</f>
        <v/>
      </c>
      <c r="AV47">
        <f>IF(COUNTIFS(T_StockCount[Part Name],$A47,T_StockCount[WeekIndex],47)&gt;0,SUMIFS(T_StockCount[CountedQty],T_StockCount[Part Name],$A47,T_StockCount[WeekIndex],47),IF((('T_SelfStock'!AV51&lt;&gt;""))*(('T_TTAFStock'!AV51&lt;&gt;""))&gt;0,'T_SelfStock'!AV51+'T_TTAFStock'!AV51,AU47+'Grid_Incoming'!AV47-'Grid_Requirement'!AV47))</f>
        <v/>
      </c>
      <c r="AW47">
        <f>IF(COUNTIFS(T_StockCount[Part Name],$A47,T_StockCount[WeekIndex],48)&gt;0,SUMIFS(T_StockCount[CountedQty],T_StockCount[Part Name],$A47,T_StockCount[WeekIndex],48),IF((('T_SelfStock'!AW51&lt;&gt;""))*(('T_TTAFStock'!AW51&lt;&gt;""))&gt;0,'T_SelfStock'!AW51+'T_TTAFStock'!AW51,AV47+'Grid_Incoming'!AW47-'Grid_Requirement'!AW47))</f>
        <v/>
      </c>
      <c r="AX47">
        <f>IF(COUNTIFS(T_StockCount[Part Name],$A47,T_StockCount[WeekIndex],49)&gt;0,SUMIFS(T_StockCount[CountedQty],T_StockCount[Part Name],$A47,T_StockCount[WeekIndex],49),IF((('T_SelfStock'!AX51&lt;&gt;""))*(('T_TTAFStock'!AX51&lt;&gt;""))&gt;0,'T_SelfStock'!AX51+'T_TTAFStock'!AX51,AW47+'Grid_Incoming'!AX47-'Grid_Requirement'!AX47))</f>
        <v/>
      </c>
      <c r="AY47">
        <f>IF(COUNTIFS(T_StockCount[Part Name],$A47,T_StockCount[WeekIndex],50)&gt;0,SUMIFS(T_StockCount[CountedQty],T_StockCount[Part Name],$A47,T_StockCount[WeekIndex],50),IF((('T_SelfStock'!AY51&lt;&gt;""))*(('T_TTAFStock'!AY51&lt;&gt;""))&gt;0,'T_SelfStock'!AY51+'T_TTAFStock'!AY51,AX47+'Grid_Incoming'!AY47-'Grid_Requirement'!AY47))</f>
        <v/>
      </c>
      <c r="AZ47">
        <f>IF(COUNTIFS(T_StockCount[Part Name],$A47,T_StockCount[WeekIndex],51)&gt;0,SUMIFS(T_StockCount[CountedQty],T_StockCount[Part Name],$A47,T_StockCount[WeekIndex],51),IF((('T_SelfStock'!AZ51&lt;&gt;""))*(('T_TTAFStock'!AZ51&lt;&gt;""))&gt;0,'T_SelfStock'!AZ51+'T_TTAFStock'!AZ51,AY47+'Grid_Incoming'!AZ47-'Grid_Requirement'!AZ47))</f>
        <v/>
      </c>
      <c r="BA47">
        <f>IF(COUNTIFS(T_StockCount[Part Name],$A47,T_StockCount[WeekIndex],52)&gt;0,SUMIFS(T_StockCount[CountedQty],T_StockCount[Part Name],$A47,T_StockCount[WeekIndex],52),IF((('T_SelfStock'!BA51&lt;&gt;""))*(('T_TTAFStock'!BA51&lt;&gt;""))&gt;0,'T_SelfStock'!BA51+'T_TTAFStock'!BA51,AZ47+'Grid_Incoming'!BA47-'Grid_Requirement'!BA47))</f>
        <v/>
      </c>
      <c r="BB47">
        <f>IF(COUNTIFS(T_StockCount[Part Name],$A47,T_StockCount[WeekIndex],53)&gt;0,SUMIFS(T_StockCount[CountedQty],T_StockCount[Part Name],$A47,T_StockCount[WeekIndex],53),IF((('T_SelfStock'!BB51&lt;&gt;""))*(('T_TTAFStock'!BB51&lt;&gt;""))&gt;0,'T_SelfStock'!BB51+'T_TTAFStock'!BB51,BA47+'Grid_Incoming'!BB47-'Grid_Requirement'!BB47))</f>
        <v/>
      </c>
      <c r="BC47">
        <f>IF(COUNTIFS(T_StockCount[Part Name],$A47,T_StockCount[WeekIndex],54)&gt;0,SUMIFS(T_StockCount[CountedQty],T_StockCount[Part Name],$A47,T_StockCount[WeekIndex],54),IF((('T_SelfStock'!BC51&lt;&gt;""))*(('T_TTAFStock'!BC51&lt;&gt;""))&gt;0,'T_SelfStock'!BC51+'T_TTAFStock'!BC51,BB47+'Grid_Incoming'!BC47-'Grid_Requirement'!BC47))</f>
        <v/>
      </c>
      <c r="BD47">
        <f>IF(COUNTIFS(T_StockCount[Part Name],$A47,T_StockCount[WeekIndex],55)&gt;0,SUMIFS(T_StockCount[CountedQty],T_StockCount[Part Name],$A47,T_StockCount[WeekIndex],55),IF((('T_SelfStock'!BD51&lt;&gt;""))*(('T_TTAFStock'!BD51&lt;&gt;""))&gt;0,'T_SelfStock'!BD51+'T_TTAFStock'!BD51,BC47+'Grid_Incoming'!BD47-'Grid_Requirement'!BD47))</f>
        <v/>
      </c>
      <c r="BE47">
        <f>IF(COUNTIFS(T_StockCount[Part Name],$A47,T_StockCount[WeekIndex],56)&gt;0,SUMIFS(T_StockCount[CountedQty],T_StockCount[Part Name],$A47,T_StockCount[WeekIndex],56),IF((('T_SelfStock'!BE51&lt;&gt;""))*(('T_TTAFStock'!BE51&lt;&gt;""))&gt;0,'T_SelfStock'!BE51+'T_TTAFStock'!BE51,BD47+'Grid_Incoming'!BE47-'Grid_Requirement'!BE47))</f>
        <v/>
      </c>
      <c r="BF47">
        <f>IF(COUNTIFS(T_StockCount[Part Name],$A47,T_StockCount[WeekIndex],57)&gt;0,SUMIFS(T_StockCount[CountedQty],T_StockCount[Part Name],$A47,T_StockCount[WeekIndex],57),IF((('T_SelfStock'!BF51&lt;&gt;""))*(('T_TTAFStock'!BF51&lt;&gt;""))&gt;0,'T_SelfStock'!BF51+'T_TTAFStock'!BF51,BE47+'Grid_Incoming'!BF47-'Grid_Requirement'!BF47))</f>
        <v/>
      </c>
      <c r="BG47">
        <f>IF(COUNTIFS(T_StockCount[Part Name],$A47,T_StockCount[WeekIndex],58)&gt;0,SUMIFS(T_StockCount[CountedQty],T_StockCount[Part Name],$A47,T_StockCount[WeekIndex],58),IF((('T_SelfStock'!BG51&lt;&gt;""))*(('T_TTAFStock'!BG51&lt;&gt;""))&gt;0,'T_SelfStock'!BG51+'T_TTAFStock'!BG51,BF47+'Grid_Incoming'!BG47-'Grid_Requirement'!BG47))</f>
        <v/>
      </c>
      <c r="BH47">
        <f>IF(COUNTIFS(T_StockCount[Part Name],$A47,T_StockCount[WeekIndex],59)&gt;0,SUMIFS(T_StockCount[CountedQty],T_StockCount[Part Name],$A47,T_StockCount[WeekIndex],59),IF((('T_SelfStock'!BH51&lt;&gt;""))*(('T_TTAFStock'!BH51&lt;&gt;""))&gt;0,'T_SelfStock'!BH51+'T_TTAFStock'!BH51,BG47+'Grid_Incoming'!BH47-'Grid_Requirement'!BH47))</f>
        <v/>
      </c>
      <c r="BI47">
        <f>IF(COUNTIFS(T_StockCount[Part Name],$A47,T_StockCount[WeekIndex],60)&gt;0,SUMIFS(T_StockCount[CountedQty],T_StockCount[Part Name],$A47,T_StockCount[WeekIndex],60),IF((('T_SelfStock'!BI51&lt;&gt;""))*(('T_TTAFStock'!BI51&lt;&gt;""))&gt;0,'T_SelfStock'!BI51+'T_TTAFStock'!BI51,BH47+'Grid_Incoming'!BI47-'Grid_Requirement'!BI47))</f>
        <v/>
      </c>
      <c r="BJ47">
        <f>IF(COUNTIFS(T_StockCount[Part Name],$A47,T_StockCount[WeekIndex],61)&gt;0,SUMIFS(T_StockCount[CountedQty],T_StockCount[Part Name],$A47,T_StockCount[WeekIndex],61),IF((('T_SelfStock'!BJ51&lt;&gt;""))*(('T_TTAFStock'!BJ51&lt;&gt;""))&gt;0,'T_SelfStock'!BJ51+'T_TTAFStock'!BJ51,BI47+'Grid_Incoming'!BJ47-'Grid_Requirement'!BJ47))</f>
        <v/>
      </c>
      <c r="BK47">
        <f>IF(COUNTIFS(T_StockCount[Part Name],$A47,T_StockCount[WeekIndex],62)&gt;0,SUMIFS(T_StockCount[CountedQty],T_StockCount[Part Name],$A47,T_StockCount[WeekIndex],62),IF((('T_SelfStock'!BK51&lt;&gt;""))*(('T_TTAFStock'!BK51&lt;&gt;""))&gt;0,'T_SelfStock'!BK51+'T_TTAFStock'!BK51,BJ47+'Grid_Incoming'!BK47-'Grid_Requirement'!BK47))</f>
        <v/>
      </c>
      <c r="BL47">
        <f>IF(COUNTIFS(T_StockCount[Part Name],$A47,T_StockCount[WeekIndex],63)&gt;0,SUMIFS(T_StockCount[CountedQty],T_StockCount[Part Name],$A47,T_StockCount[WeekIndex],63),IF((('T_SelfStock'!BL51&lt;&gt;""))*(('T_TTAFStock'!BL51&lt;&gt;""))&gt;0,'T_SelfStock'!BL51+'T_TTAFStock'!BL51,BK47+'Grid_Incoming'!BL47-'Grid_Requirement'!BL47))</f>
        <v/>
      </c>
      <c r="BM47">
        <f>IF(COUNTIFS(T_StockCount[Part Name],$A47,T_StockCount[WeekIndex],64)&gt;0,SUMIFS(T_StockCount[CountedQty],T_StockCount[Part Name],$A47,T_StockCount[WeekIndex],64),IF((('T_SelfStock'!BM51&lt;&gt;""))*(('T_TTAFStock'!BM51&lt;&gt;""))&gt;0,'T_SelfStock'!BM51+'T_TTAFStock'!BM51,BL47+'Grid_Incoming'!BM47-'Grid_Requirement'!BM47))</f>
        <v/>
      </c>
      <c r="BN47">
        <f>IF(COUNTIFS(T_StockCount[Part Name],$A47,T_StockCount[WeekIndex],65)&gt;0,SUMIFS(T_StockCount[CountedQty],T_StockCount[Part Name],$A47,T_StockCount[WeekIndex],65),IF((('T_SelfStock'!BN51&lt;&gt;""))*(('T_TTAFStock'!BN51&lt;&gt;""))&gt;0,'T_SelfStock'!BN51+'T_TTAFStock'!BN51,BM47+'Grid_Incoming'!BN47-'Grid_Requirement'!BN47))</f>
        <v/>
      </c>
      <c r="BO47">
        <f>IF(COUNTIFS(T_StockCount[Part Name],$A47,T_StockCount[WeekIndex],66)&gt;0,SUMIFS(T_StockCount[CountedQty],T_StockCount[Part Name],$A47,T_StockCount[WeekIndex],66),IF((('T_SelfStock'!BO51&lt;&gt;""))*(('T_TTAFStock'!BO51&lt;&gt;""))&gt;0,'T_SelfStock'!BO51+'T_TTAFStock'!BO51,BN47+'Grid_Incoming'!BO47-'Grid_Requirement'!BO47))</f>
        <v/>
      </c>
      <c r="BP47">
        <f>IF(COUNTIFS(T_StockCount[Part Name],$A47,T_StockCount[WeekIndex],67)&gt;0,SUMIFS(T_StockCount[CountedQty],T_StockCount[Part Name],$A47,T_StockCount[WeekIndex],67),IF((('T_SelfStock'!BP51&lt;&gt;""))*(('T_TTAFStock'!BP51&lt;&gt;""))&gt;0,'T_SelfStock'!BP51+'T_TTAFStock'!BP51,BO47+'Grid_Incoming'!BP47-'Grid_Requirement'!BP47))</f>
        <v/>
      </c>
      <c r="BQ47">
        <f>IF(COUNTIFS(T_StockCount[Part Name],$A47,T_StockCount[WeekIndex],68)&gt;0,SUMIFS(T_StockCount[CountedQty],T_StockCount[Part Name],$A47,T_StockCount[WeekIndex],68),IF((('T_SelfStock'!BQ51&lt;&gt;""))*(('T_TTAFStock'!BQ51&lt;&gt;""))&gt;0,'T_SelfStock'!BQ51+'T_TTAFStock'!BQ51,BP47+'Grid_Incoming'!BQ47-'Grid_Requirement'!BQ47))</f>
        <v/>
      </c>
      <c r="BR47">
        <f>IF(COUNTIFS(T_StockCount[Part Name],$A47,T_StockCount[WeekIndex],69)&gt;0,SUMIFS(T_StockCount[CountedQty],T_StockCount[Part Name],$A47,T_StockCount[WeekIndex],69),IF((('T_SelfStock'!BR51&lt;&gt;""))*(('T_TTAFStock'!BR51&lt;&gt;""))&gt;0,'T_SelfStock'!BR51+'T_TTAFStock'!BR51,BQ47+'Grid_Incoming'!BR47-'Grid_Requirement'!BR47))</f>
        <v/>
      </c>
      <c r="BS47">
        <f>IF(COUNTIFS(T_StockCount[Part Name],$A47,T_StockCount[WeekIndex],70)&gt;0,SUMIFS(T_StockCount[CountedQty],T_StockCount[Part Name],$A47,T_StockCount[WeekIndex],70),IF((('T_SelfStock'!BS51&lt;&gt;""))*(('T_TTAFStock'!BS51&lt;&gt;""))&gt;0,'T_SelfStock'!BS51+'T_TTAFStock'!BS51,BR47+'Grid_Incoming'!BS47-'Grid_Requirement'!BS47))</f>
        <v/>
      </c>
      <c r="BT47">
        <f>IF(COUNTIFS(T_StockCount[Part Name],$A47,T_StockCount[WeekIndex],71)&gt;0,SUMIFS(T_StockCount[CountedQty],T_StockCount[Part Name],$A47,T_StockCount[WeekIndex],71),IF((('T_SelfStock'!BT51&lt;&gt;""))*(('T_TTAFStock'!BT51&lt;&gt;""))&gt;0,'T_SelfStock'!BT51+'T_TTAFStock'!BT51,BS47+'Grid_Incoming'!BT47-'Grid_Requirement'!BT47))</f>
        <v/>
      </c>
      <c r="BU47">
        <f>IF(COUNTIFS(T_StockCount[Part Name],$A47,T_StockCount[WeekIndex],72)&gt;0,SUMIFS(T_StockCount[CountedQty],T_StockCount[Part Name],$A47,T_StockCount[WeekIndex],72),IF((('T_SelfStock'!BU51&lt;&gt;""))*(('T_TTAFStock'!BU51&lt;&gt;""))&gt;0,'T_SelfStock'!BU51+'T_TTAFStock'!BU51,BT47+'Grid_Incoming'!BU47-'Grid_Requirement'!BU47))</f>
        <v/>
      </c>
      <c r="BV47">
        <f>IF(COUNTIFS(T_StockCount[Part Name],$A47,T_StockCount[WeekIndex],73)&gt;0,SUMIFS(T_StockCount[CountedQty],T_StockCount[Part Name],$A47,T_StockCount[WeekIndex],73),IF((('T_SelfStock'!BV51&lt;&gt;""))*(('T_TTAFStock'!BV51&lt;&gt;""))&gt;0,'T_SelfStock'!BV51+'T_TTAFStock'!BV51,BU47+'Grid_Incoming'!BV47-'Grid_Requirement'!BV47))</f>
        <v/>
      </c>
      <c r="BW47">
        <f>IF(COUNTIFS(T_StockCount[Part Name],$A47,T_StockCount[WeekIndex],74)&gt;0,SUMIFS(T_StockCount[CountedQty],T_StockCount[Part Name],$A47,T_StockCount[WeekIndex],74),IF((('T_SelfStock'!BW51&lt;&gt;""))*(('T_TTAFStock'!BW51&lt;&gt;""))&gt;0,'T_SelfStock'!BW51+'T_TTAFStock'!BW51,BV47+'Grid_Incoming'!BW47-'Grid_Requirement'!BW47))</f>
        <v/>
      </c>
      <c r="BX47">
        <f>IF(COUNTIFS(T_StockCount[Part Name],$A47,T_StockCount[WeekIndex],75)&gt;0,SUMIFS(T_StockCount[CountedQty],T_StockCount[Part Name],$A47,T_StockCount[WeekIndex],75),IF((('T_SelfStock'!BX51&lt;&gt;""))*(('T_TTAFStock'!BX51&lt;&gt;""))&gt;0,'T_SelfStock'!BX51+'T_TTAFStock'!BX51,BW47+'Grid_Incoming'!BX47-'Grid_Requirement'!BX47))</f>
        <v/>
      </c>
      <c r="BY47">
        <f>IF(COUNTIFS(T_StockCount[Part Name],$A47,T_StockCount[WeekIndex],76)&gt;0,SUMIFS(T_StockCount[CountedQty],T_StockCount[Part Name],$A47,T_StockCount[WeekIndex],76),IF((('T_SelfStock'!BY51&lt;&gt;""))*(('T_TTAFStock'!BY51&lt;&gt;""))&gt;0,'T_SelfStock'!BY51+'T_TTAFStock'!BY51,BX47+'Grid_Incoming'!BY47-'Grid_Requirement'!BY47))</f>
        <v/>
      </c>
      <c r="BZ47">
        <f>IF(COUNTIFS(T_StockCount[Part Name],$A47,T_StockCount[WeekIndex],77)&gt;0,SUMIFS(T_StockCount[CountedQty],T_StockCount[Part Name],$A47,T_StockCount[WeekIndex],77),IF((('T_SelfStock'!BZ51&lt;&gt;""))*(('T_TTAFStock'!BZ51&lt;&gt;""))&gt;0,'T_SelfStock'!BZ51+'T_TTAFStock'!BZ51,BY47+'Grid_Incoming'!BZ47-'Grid_Requirement'!BZ47))</f>
        <v/>
      </c>
      <c r="CA47">
        <f>IF(COUNTIFS(T_StockCount[Part Name],$A47,T_StockCount[WeekIndex],78)&gt;0,SUMIFS(T_StockCount[CountedQty],T_StockCount[Part Name],$A47,T_StockCount[WeekIndex],78),IF((('T_SelfStock'!CA51&lt;&gt;""))*(('T_TTAFStock'!CA51&lt;&gt;""))&gt;0,'T_SelfStock'!CA51+'T_TTAFStock'!CA51,BZ47+'Grid_Incoming'!CA47-'Grid_Requirement'!CA47))</f>
        <v/>
      </c>
      <c r="CB47">
        <f>IF(COUNTIFS(T_StockCount[Part Name],$A47,T_StockCount[WeekIndex],79)&gt;0,SUMIFS(T_StockCount[CountedQty],T_StockCount[Part Name],$A47,T_StockCount[WeekIndex],79),IF((('T_SelfStock'!CB51&lt;&gt;""))*(('T_TTAFStock'!CB51&lt;&gt;""))&gt;0,'T_SelfStock'!CB51+'T_TTAFStock'!CB51,CA47+'Grid_Incoming'!CB47-'Grid_Requirement'!CB47))</f>
        <v/>
      </c>
      <c r="CC47">
        <f>IF(COUNTIFS(T_StockCount[Part Name],$A47,T_StockCount[WeekIndex],80)&gt;0,SUMIFS(T_StockCount[CountedQty],T_StockCount[Part Name],$A47,T_StockCount[WeekIndex],80),IF((('T_SelfStock'!CC51&lt;&gt;""))*(('T_TTAFStock'!CC51&lt;&gt;""))&gt;0,'T_SelfStock'!CC51+'T_TTAFStock'!CC51,CB47+'Grid_Incoming'!CC47-'Grid_Requirement'!CC47))</f>
        <v/>
      </c>
      <c r="CD47">
        <f>IF(COUNTIFS(T_StockCount[Part Name],$A47,T_StockCount[WeekIndex],81)&gt;0,SUMIFS(T_StockCount[CountedQty],T_StockCount[Part Name],$A47,T_StockCount[WeekIndex],81),IF((('T_SelfStock'!CD51&lt;&gt;""))*(('T_TTAFStock'!CD51&lt;&gt;""))&gt;0,'T_SelfStock'!CD51+'T_TTAFStock'!CD51,CC47+'Grid_Incoming'!CD47-'Grid_Requirement'!CD47))</f>
        <v/>
      </c>
      <c r="CE47">
        <f>IF(COUNTIFS(T_StockCount[Part Name],$A47,T_StockCount[WeekIndex],82)&gt;0,SUMIFS(T_StockCount[CountedQty],T_StockCount[Part Name],$A47,T_StockCount[WeekIndex],82),IF((('T_SelfStock'!CE51&lt;&gt;""))*(('T_TTAFStock'!CE51&lt;&gt;""))&gt;0,'T_SelfStock'!CE51+'T_TTAFStock'!CE51,CD47+'Grid_Incoming'!CE47-'Grid_Requirement'!CE47))</f>
        <v/>
      </c>
      <c r="CF47">
        <f>IF(COUNTIFS(T_StockCount[Part Name],$A47,T_StockCount[WeekIndex],83)&gt;0,SUMIFS(T_StockCount[CountedQty],T_StockCount[Part Name],$A47,T_StockCount[WeekIndex],83),IF((('T_SelfStock'!CF51&lt;&gt;""))*(('T_TTAFStock'!CF51&lt;&gt;""))&gt;0,'T_SelfStock'!CF51+'T_TTAFStock'!CF51,CE47+'Grid_Incoming'!CF47-'Grid_Requirement'!CF47))</f>
        <v/>
      </c>
      <c r="CG47">
        <f>IF(COUNTIFS(T_StockCount[Part Name],$A47,T_StockCount[WeekIndex],84)&gt;0,SUMIFS(T_StockCount[CountedQty],T_StockCount[Part Name],$A47,T_StockCount[WeekIndex],84),IF((('T_SelfStock'!CG51&lt;&gt;""))*(('T_TTAFStock'!CG51&lt;&gt;""))&gt;0,'T_SelfStock'!CG51+'T_TTAFStock'!CG51,CF47+'Grid_Incoming'!CG47-'Grid_Requirement'!CG47))</f>
        <v/>
      </c>
      <c r="CH47">
        <f>IF(COUNTIFS(T_StockCount[Part Name],$A47,T_StockCount[WeekIndex],85)&gt;0,SUMIFS(T_StockCount[CountedQty],T_StockCount[Part Name],$A47,T_StockCount[WeekIndex],85),IF((('T_SelfStock'!CH51&lt;&gt;""))*(('T_TTAFStock'!CH51&lt;&gt;""))&gt;0,'T_SelfStock'!CH51+'T_TTAFStock'!CH51,CG47+'Grid_Incoming'!CH47-'Grid_Requirement'!CH47))</f>
        <v/>
      </c>
      <c r="CI47">
        <f>IF(COUNTIFS(T_StockCount[Part Name],$A47,T_StockCount[WeekIndex],86)&gt;0,SUMIFS(T_StockCount[CountedQty],T_StockCount[Part Name],$A47,T_StockCount[WeekIndex],86),IF((('T_SelfStock'!CI51&lt;&gt;""))*(('T_TTAFStock'!CI51&lt;&gt;""))&gt;0,'T_SelfStock'!CI51+'T_TTAFStock'!CI51,CH47+'Grid_Incoming'!CI47-'Grid_Requirement'!CI47))</f>
        <v/>
      </c>
      <c r="CJ47">
        <f>IF(COUNTIFS(T_StockCount[Part Name],$A47,T_StockCount[WeekIndex],87)&gt;0,SUMIFS(T_StockCount[CountedQty],T_StockCount[Part Name],$A47,T_StockCount[WeekIndex],87),IF((('T_SelfStock'!CJ51&lt;&gt;""))*(('T_TTAFStock'!CJ51&lt;&gt;""))&gt;0,'T_SelfStock'!CJ51+'T_TTAFStock'!CJ51,CI47+'Grid_Incoming'!CJ47-'Grid_Requirement'!CJ47))</f>
        <v/>
      </c>
      <c r="CK47">
        <f>IF(COUNTIFS(T_StockCount[Part Name],$A47,T_StockCount[WeekIndex],88)&gt;0,SUMIFS(T_StockCount[CountedQty],T_StockCount[Part Name],$A47,T_StockCount[WeekIndex],88),IF((('T_SelfStock'!CK51&lt;&gt;""))*(('T_TTAFStock'!CK51&lt;&gt;""))&gt;0,'T_SelfStock'!CK51+'T_TTAFStock'!CK51,CJ47+'Grid_Incoming'!CK47-'Grid_Requirement'!CK47))</f>
        <v/>
      </c>
      <c r="CL47">
        <f>IF(COUNTIFS(T_StockCount[Part Name],$A47,T_StockCount[WeekIndex],89)&gt;0,SUMIFS(T_StockCount[CountedQty],T_StockCount[Part Name],$A47,T_StockCount[WeekIndex],89),IF((('T_SelfStock'!CL51&lt;&gt;""))*(('T_TTAFStock'!CL51&lt;&gt;""))&gt;0,'T_SelfStock'!CL51+'T_TTAFStock'!CL51,CK47+'Grid_Incoming'!CL47-'Grid_Requirement'!CL47))</f>
        <v/>
      </c>
      <c r="CM47">
        <f>IF(COUNTIFS(T_StockCount[Part Name],$A47,T_StockCount[WeekIndex],90)&gt;0,SUMIFS(T_StockCount[CountedQty],T_StockCount[Part Name],$A47,T_StockCount[WeekIndex],90),IF((('T_SelfStock'!CM51&lt;&gt;""))*(('T_TTAFStock'!CM51&lt;&gt;""))&gt;0,'T_SelfStock'!CM51+'T_TTAFStock'!CM51,CL47+'Grid_Incoming'!CM47-'Grid_Requirement'!CM47))</f>
        <v/>
      </c>
      <c r="CN47">
        <f>IF(COUNTIFS(T_StockCount[Part Name],$A47,T_StockCount[WeekIndex],91)&gt;0,SUMIFS(T_StockCount[CountedQty],T_StockCount[Part Name],$A47,T_StockCount[WeekIndex],91),IF((('T_SelfStock'!CN51&lt;&gt;""))*(('T_TTAFStock'!CN51&lt;&gt;""))&gt;0,'T_SelfStock'!CN51+'T_TTAFStock'!CN51,CM47+'Grid_Incoming'!CN47-'Grid_Requirement'!CN47))</f>
        <v/>
      </c>
      <c r="CO47">
        <f>IF(COUNTIFS(T_StockCount[Part Name],$A47,T_StockCount[WeekIndex],92)&gt;0,SUMIFS(T_StockCount[CountedQty],T_StockCount[Part Name],$A47,T_StockCount[WeekIndex],92),IF((('T_SelfStock'!CO51&lt;&gt;""))*(('T_TTAFStock'!CO51&lt;&gt;""))&gt;0,'T_SelfStock'!CO51+'T_TTAFStock'!CO51,CN47+'Grid_Incoming'!CO47-'Grid_Requirement'!CO47))</f>
        <v/>
      </c>
      <c r="CP47">
        <f>IF(COUNTIFS(T_StockCount[Part Name],$A47,T_StockCount[WeekIndex],93)&gt;0,SUMIFS(T_StockCount[CountedQty],T_StockCount[Part Name],$A47,T_StockCount[WeekIndex],93),IF((('T_SelfStock'!CP51&lt;&gt;""))*(('T_TTAFStock'!CP51&lt;&gt;""))&gt;0,'T_SelfStock'!CP51+'T_TTAFStock'!CP51,CO47+'Grid_Incoming'!CP47-'Grid_Requirement'!CP47))</f>
        <v/>
      </c>
      <c r="CQ47">
        <f>IF(COUNTIFS(T_StockCount[Part Name],$A47,T_StockCount[WeekIndex],94)&gt;0,SUMIFS(T_StockCount[CountedQty],T_StockCount[Part Name],$A47,T_StockCount[WeekIndex],94),IF((('T_SelfStock'!CQ51&lt;&gt;""))*(('T_TTAFStock'!CQ51&lt;&gt;""))&gt;0,'T_SelfStock'!CQ51+'T_TTAFStock'!CQ51,CP47+'Grid_Incoming'!CQ47-'Grid_Requirement'!CQ47))</f>
        <v/>
      </c>
      <c r="CR47">
        <f>IF(COUNTIFS(T_StockCount[Part Name],$A47,T_StockCount[WeekIndex],95)&gt;0,SUMIFS(T_StockCount[CountedQty],T_StockCount[Part Name],$A47,T_StockCount[WeekIndex],95),IF((('T_SelfStock'!CR51&lt;&gt;""))*(('T_TTAFStock'!CR51&lt;&gt;""))&gt;0,'T_SelfStock'!CR51+'T_TTAFStock'!CR51,CQ47+'Grid_Incoming'!CR47-'Grid_Requirement'!CR47))</f>
        <v/>
      </c>
      <c r="CS47">
        <f>IF(COUNTIFS(T_StockCount[Part Name],$A47,T_StockCount[WeekIndex],96)&gt;0,SUMIFS(T_StockCount[CountedQty],T_StockCount[Part Name],$A47,T_StockCount[WeekIndex],96),IF((('T_SelfStock'!CS51&lt;&gt;""))*(('T_TTAFStock'!CS51&lt;&gt;""))&gt;0,'T_SelfStock'!CS51+'T_TTAFStock'!CS51,CR47+'Grid_Incoming'!CS47-'Grid_Requirement'!CS47))</f>
        <v/>
      </c>
      <c r="CT47">
        <f>IF(COUNTIFS(T_StockCount[Part Name],$A47,T_StockCount[WeekIndex],97)&gt;0,SUMIFS(T_StockCount[CountedQty],T_StockCount[Part Name],$A47,T_StockCount[WeekIndex],97),IF((('T_SelfStock'!CT51&lt;&gt;""))*(('T_TTAFStock'!CT51&lt;&gt;""))&gt;0,'T_SelfStock'!CT51+'T_TTAFStock'!CT51,CS47+'Grid_Incoming'!CT47-'Grid_Requirement'!CT47))</f>
        <v/>
      </c>
      <c r="CU47">
        <f>IF(COUNTIFS(T_StockCount[Part Name],$A47,T_StockCount[WeekIndex],98)&gt;0,SUMIFS(T_StockCount[CountedQty],T_StockCount[Part Name],$A47,T_StockCount[WeekIndex],98),IF((('T_SelfStock'!CU51&lt;&gt;""))*(('T_TTAFStock'!CU51&lt;&gt;""))&gt;0,'T_SelfStock'!CU51+'T_TTAFStock'!CU51,CT47+'Grid_Incoming'!CU47-'Grid_Requirement'!CU47))</f>
        <v/>
      </c>
      <c r="CV47">
        <f>IF(COUNTIFS(T_StockCount[Part Name],$A47,T_StockCount[WeekIndex],99)&gt;0,SUMIFS(T_StockCount[CountedQty],T_StockCount[Part Name],$A47,T_StockCount[WeekIndex],99),IF((('T_SelfStock'!CV51&lt;&gt;""))*(('T_TTAFStock'!CV51&lt;&gt;""))&gt;0,'T_SelfStock'!CV51+'T_TTAFStock'!CV51,CU47+'Grid_Incoming'!CV47-'Grid_Requirement'!CV47))</f>
        <v/>
      </c>
      <c r="CW47">
        <f>IF(COUNTIFS(T_StockCount[Part Name],$A47,T_StockCount[WeekIndex],100)&gt;0,SUMIFS(T_StockCount[CountedQty],T_StockCount[Part Name],$A47,T_StockCount[WeekIndex],100),IF((('T_SelfStock'!CW51&lt;&gt;""))*(('T_TTAFStock'!CW51&lt;&gt;""))&gt;0,'T_SelfStock'!CW51+'T_TTAFStock'!CW51,CV47+'Grid_Incoming'!CW47-'Grid_Requirement'!CW47))</f>
        <v/>
      </c>
      <c r="CX47">
        <f>IF(COUNTIFS(T_StockCount[Part Name],$A47,T_StockCount[WeekIndex],101)&gt;0,SUMIFS(T_StockCount[CountedQty],T_StockCount[Part Name],$A47,T_StockCount[WeekIndex],101),IF((('T_SelfStock'!CX51&lt;&gt;""))*(('T_TTAFStock'!CX51&lt;&gt;""))&gt;0,'T_SelfStock'!CX51+'T_TTAFStock'!CX51,CW47+'Grid_Incoming'!CX47-'Grid_Requirement'!CX47))</f>
        <v/>
      </c>
      <c r="CY47">
        <f>IF(COUNTIFS(T_StockCount[Part Name],$A47,T_StockCount[WeekIndex],102)&gt;0,SUMIFS(T_StockCount[CountedQty],T_StockCount[Part Name],$A47,T_StockCount[WeekIndex],102),IF((('T_SelfStock'!CY51&lt;&gt;""))*(('T_TTAFStock'!CY51&lt;&gt;""))&gt;0,'T_SelfStock'!CY51+'T_TTAFStock'!CY51,CX47+'Grid_Incoming'!CY47-'Grid_Requirement'!CY47))</f>
        <v/>
      </c>
      <c r="CZ47">
        <f>IF(COUNTIFS(T_StockCount[Part Name],$A47,T_StockCount[WeekIndex],103)&gt;0,SUMIFS(T_StockCount[CountedQty],T_StockCount[Part Name],$A47,T_StockCount[WeekIndex],103),IF((('T_SelfStock'!CZ51&lt;&gt;""))*(('T_TTAFStock'!CZ51&lt;&gt;""))&gt;0,'T_SelfStock'!CZ51+'T_TTAFStock'!CZ51,CY47+'Grid_Incoming'!CZ47-'Grid_Requirement'!CZ47))</f>
        <v/>
      </c>
      <c r="DA47">
        <f>IF(COUNTIFS(T_StockCount[Part Name],$A47,T_StockCount[WeekIndex],104)&gt;0,SUMIFS(T_StockCount[CountedQty],T_StockCount[Part Name],$A47,T_StockCount[WeekIndex],104),IF((('T_SelfStock'!DA51&lt;&gt;""))*(('T_TTAFStock'!DA51&lt;&gt;""))&gt;0,'T_SelfStock'!DA51+'T_TTAFStock'!DA51,CZ47+'Grid_Incoming'!DA47-'Grid_Requirement'!DA47))</f>
        <v/>
      </c>
    </row>
    <row r="48">
      <c r="A48" t="inlineStr">
        <is>
          <t>CHEM-1470</t>
        </is>
      </c>
      <c r="B48">
        <f>IF(COUNTIFS(T_StockCount[Part Name],$A48,T_StockCount[WeekIndex],1)&gt;0,SUMIFS(T_StockCount[CountedQty],T_StockCount[Part Name],$A48,T_StockCount[WeekIndex],1),IF((('T_SelfStock'!B52&lt;&gt;""))*(('T_TTAFStock'!B52&lt;&gt;""))&gt;0,'T_SelfStock'!B52+'T_TTAFStock'!B52,IFERROR(INDEX(T_OpeningStock[Opening_Qty_要入力],MATCH($A48,T_OpeningStock[Part Name],0)),0)+'Grid_Incoming'!B48-'Grid_Requirement'!B48))</f>
        <v/>
      </c>
      <c r="C48">
        <f>IF(COUNTIFS(T_StockCount[Part Name],$A48,T_StockCount[WeekIndex],2)&gt;0,SUMIFS(T_StockCount[CountedQty],T_StockCount[Part Name],$A48,T_StockCount[WeekIndex],2),IF((('T_SelfStock'!C52&lt;&gt;""))*(('T_TTAFStock'!C52&lt;&gt;""))&gt;0,'T_SelfStock'!C52+'T_TTAFStock'!C52,B48+'Grid_Incoming'!C48-'Grid_Requirement'!C48))</f>
        <v/>
      </c>
      <c r="D48">
        <f>IF(COUNTIFS(T_StockCount[Part Name],$A48,T_StockCount[WeekIndex],3)&gt;0,SUMIFS(T_StockCount[CountedQty],T_StockCount[Part Name],$A48,T_StockCount[WeekIndex],3),IF((('T_SelfStock'!D52&lt;&gt;""))*(('T_TTAFStock'!D52&lt;&gt;""))&gt;0,'T_SelfStock'!D52+'T_TTAFStock'!D52,C48+'Grid_Incoming'!D48-'Grid_Requirement'!D48))</f>
        <v/>
      </c>
      <c r="E48">
        <f>IF(COUNTIFS(T_StockCount[Part Name],$A48,T_StockCount[WeekIndex],4)&gt;0,SUMIFS(T_StockCount[CountedQty],T_StockCount[Part Name],$A48,T_StockCount[WeekIndex],4),IF((('T_SelfStock'!E52&lt;&gt;""))*(('T_TTAFStock'!E52&lt;&gt;""))&gt;0,'T_SelfStock'!E52+'T_TTAFStock'!E52,D48+'Grid_Incoming'!E48-'Grid_Requirement'!E48))</f>
        <v/>
      </c>
      <c r="F48">
        <f>IF(COUNTIFS(T_StockCount[Part Name],$A48,T_StockCount[WeekIndex],5)&gt;0,SUMIFS(T_StockCount[CountedQty],T_StockCount[Part Name],$A48,T_StockCount[WeekIndex],5),IF((('T_SelfStock'!F52&lt;&gt;""))*(('T_TTAFStock'!F52&lt;&gt;""))&gt;0,'T_SelfStock'!F52+'T_TTAFStock'!F52,E48+'Grid_Incoming'!F48-'Grid_Requirement'!F48))</f>
        <v/>
      </c>
      <c r="G48">
        <f>IF(COUNTIFS(T_StockCount[Part Name],$A48,T_StockCount[WeekIndex],6)&gt;0,SUMIFS(T_StockCount[CountedQty],T_StockCount[Part Name],$A48,T_StockCount[WeekIndex],6),IF((('T_SelfStock'!G52&lt;&gt;""))*(('T_TTAFStock'!G52&lt;&gt;""))&gt;0,'T_SelfStock'!G52+'T_TTAFStock'!G52,F48+'Grid_Incoming'!G48-'Grid_Requirement'!G48))</f>
        <v/>
      </c>
      <c r="H48">
        <f>IF(COUNTIFS(T_StockCount[Part Name],$A48,T_StockCount[WeekIndex],7)&gt;0,SUMIFS(T_StockCount[CountedQty],T_StockCount[Part Name],$A48,T_StockCount[WeekIndex],7),IF((('T_SelfStock'!H52&lt;&gt;""))*(('T_TTAFStock'!H52&lt;&gt;""))&gt;0,'T_SelfStock'!H52+'T_TTAFStock'!H52,G48+'Grid_Incoming'!H48-'Grid_Requirement'!H48))</f>
        <v/>
      </c>
      <c r="I48">
        <f>IF(COUNTIFS(T_StockCount[Part Name],$A48,T_StockCount[WeekIndex],8)&gt;0,SUMIFS(T_StockCount[CountedQty],T_StockCount[Part Name],$A48,T_StockCount[WeekIndex],8),IF((('T_SelfStock'!I52&lt;&gt;""))*(('T_TTAFStock'!I52&lt;&gt;""))&gt;0,'T_SelfStock'!I52+'T_TTAFStock'!I52,H48+'Grid_Incoming'!I48-'Grid_Requirement'!I48))</f>
        <v/>
      </c>
      <c r="J48">
        <f>IF(COUNTIFS(T_StockCount[Part Name],$A48,T_StockCount[WeekIndex],9)&gt;0,SUMIFS(T_StockCount[CountedQty],T_StockCount[Part Name],$A48,T_StockCount[WeekIndex],9),IF((('T_SelfStock'!J52&lt;&gt;""))*(('T_TTAFStock'!J52&lt;&gt;""))&gt;0,'T_SelfStock'!J52+'T_TTAFStock'!J52,I48+'Grid_Incoming'!J48-'Grid_Requirement'!J48))</f>
        <v/>
      </c>
      <c r="K48">
        <f>IF(COUNTIFS(T_StockCount[Part Name],$A48,T_StockCount[WeekIndex],10)&gt;0,SUMIFS(T_StockCount[CountedQty],T_StockCount[Part Name],$A48,T_StockCount[WeekIndex],10),IF((('T_SelfStock'!K52&lt;&gt;""))*(('T_TTAFStock'!K52&lt;&gt;""))&gt;0,'T_SelfStock'!K52+'T_TTAFStock'!K52,J48+'Grid_Incoming'!K48-'Grid_Requirement'!K48))</f>
        <v/>
      </c>
      <c r="L48">
        <f>IF(COUNTIFS(T_StockCount[Part Name],$A48,T_StockCount[WeekIndex],11)&gt;0,SUMIFS(T_StockCount[CountedQty],T_StockCount[Part Name],$A48,T_StockCount[WeekIndex],11),IF((('T_SelfStock'!L52&lt;&gt;""))*(('T_TTAFStock'!L52&lt;&gt;""))&gt;0,'T_SelfStock'!L52+'T_TTAFStock'!L52,K48+'Grid_Incoming'!L48-'Grid_Requirement'!L48))</f>
        <v/>
      </c>
      <c r="M48">
        <f>IF(COUNTIFS(T_StockCount[Part Name],$A48,T_StockCount[WeekIndex],12)&gt;0,SUMIFS(T_StockCount[CountedQty],T_StockCount[Part Name],$A48,T_StockCount[WeekIndex],12),IF((('T_SelfStock'!M52&lt;&gt;""))*(('T_TTAFStock'!M52&lt;&gt;""))&gt;0,'T_SelfStock'!M52+'T_TTAFStock'!M52,L48+'Grid_Incoming'!M48-'Grid_Requirement'!M48))</f>
        <v/>
      </c>
      <c r="N48">
        <f>IF(COUNTIFS(T_StockCount[Part Name],$A48,T_StockCount[WeekIndex],13)&gt;0,SUMIFS(T_StockCount[CountedQty],T_StockCount[Part Name],$A48,T_StockCount[WeekIndex],13),IF((('T_SelfStock'!N52&lt;&gt;""))*(('T_TTAFStock'!N52&lt;&gt;""))&gt;0,'T_SelfStock'!N52+'T_TTAFStock'!N52,M48+'Grid_Incoming'!N48-'Grid_Requirement'!N48))</f>
        <v/>
      </c>
      <c r="O48">
        <f>IF(COUNTIFS(T_StockCount[Part Name],$A48,T_StockCount[WeekIndex],14)&gt;0,SUMIFS(T_StockCount[CountedQty],T_StockCount[Part Name],$A48,T_StockCount[WeekIndex],14),IF((('T_SelfStock'!O52&lt;&gt;""))*(('T_TTAFStock'!O52&lt;&gt;""))&gt;0,'T_SelfStock'!O52+'T_TTAFStock'!O52,N48+'Grid_Incoming'!O48-'Grid_Requirement'!O48))</f>
        <v/>
      </c>
      <c r="P48">
        <f>IF(COUNTIFS(T_StockCount[Part Name],$A48,T_StockCount[WeekIndex],15)&gt;0,SUMIFS(T_StockCount[CountedQty],T_StockCount[Part Name],$A48,T_StockCount[WeekIndex],15),IF((('T_SelfStock'!P52&lt;&gt;""))*(('T_TTAFStock'!P52&lt;&gt;""))&gt;0,'T_SelfStock'!P52+'T_TTAFStock'!P52,O48+'Grid_Incoming'!P48-'Grid_Requirement'!P48))</f>
        <v/>
      </c>
      <c r="Q48">
        <f>IF(COUNTIFS(T_StockCount[Part Name],$A48,T_StockCount[WeekIndex],16)&gt;0,SUMIFS(T_StockCount[CountedQty],T_StockCount[Part Name],$A48,T_StockCount[WeekIndex],16),IF((('T_SelfStock'!Q52&lt;&gt;""))*(('T_TTAFStock'!Q52&lt;&gt;""))&gt;0,'T_SelfStock'!Q52+'T_TTAFStock'!Q52,P48+'Grid_Incoming'!Q48-'Grid_Requirement'!Q48))</f>
        <v/>
      </c>
      <c r="R48">
        <f>IF(COUNTIFS(T_StockCount[Part Name],$A48,T_StockCount[WeekIndex],17)&gt;0,SUMIFS(T_StockCount[CountedQty],T_StockCount[Part Name],$A48,T_StockCount[WeekIndex],17),IF((('T_SelfStock'!R52&lt;&gt;""))*(('T_TTAFStock'!R52&lt;&gt;""))&gt;0,'T_SelfStock'!R52+'T_TTAFStock'!R52,Q48+'Grid_Incoming'!R48-'Grid_Requirement'!R48))</f>
        <v/>
      </c>
      <c r="S48">
        <f>IF(COUNTIFS(T_StockCount[Part Name],$A48,T_StockCount[WeekIndex],18)&gt;0,SUMIFS(T_StockCount[CountedQty],T_StockCount[Part Name],$A48,T_StockCount[WeekIndex],18),IF((('T_SelfStock'!S52&lt;&gt;""))*(('T_TTAFStock'!S52&lt;&gt;""))&gt;0,'T_SelfStock'!S52+'T_TTAFStock'!S52,R48+'Grid_Incoming'!S48-'Grid_Requirement'!S48))</f>
        <v/>
      </c>
      <c r="T48">
        <f>IF(COUNTIFS(T_StockCount[Part Name],$A48,T_StockCount[WeekIndex],19)&gt;0,SUMIFS(T_StockCount[CountedQty],T_StockCount[Part Name],$A48,T_StockCount[WeekIndex],19),IF((('T_SelfStock'!T52&lt;&gt;""))*(('T_TTAFStock'!T52&lt;&gt;""))&gt;0,'T_SelfStock'!T52+'T_TTAFStock'!T52,S48+'Grid_Incoming'!T48-'Grid_Requirement'!T48))</f>
        <v/>
      </c>
      <c r="U48">
        <f>IF(COUNTIFS(T_StockCount[Part Name],$A48,T_StockCount[WeekIndex],20)&gt;0,SUMIFS(T_StockCount[CountedQty],T_StockCount[Part Name],$A48,T_StockCount[WeekIndex],20),IF((('T_SelfStock'!U52&lt;&gt;""))*(('T_TTAFStock'!U52&lt;&gt;""))&gt;0,'T_SelfStock'!U52+'T_TTAFStock'!U52,T48+'Grid_Incoming'!U48-'Grid_Requirement'!U48))</f>
        <v/>
      </c>
      <c r="V48">
        <f>IF(COUNTIFS(T_StockCount[Part Name],$A48,T_StockCount[WeekIndex],21)&gt;0,SUMIFS(T_StockCount[CountedQty],T_StockCount[Part Name],$A48,T_StockCount[WeekIndex],21),IF((('T_SelfStock'!V52&lt;&gt;""))*(('T_TTAFStock'!V52&lt;&gt;""))&gt;0,'T_SelfStock'!V52+'T_TTAFStock'!V52,U48+'Grid_Incoming'!V48-'Grid_Requirement'!V48))</f>
        <v/>
      </c>
      <c r="W48">
        <f>IF(COUNTIFS(T_StockCount[Part Name],$A48,T_StockCount[WeekIndex],22)&gt;0,SUMIFS(T_StockCount[CountedQty],T_StockCount[Part Name],$A48,T_StockCount[WeekIndex],22),IF((('T_SelfStock'!W52&lt;&gt;""))*(('T_TTAFStock'!W52&lt;&gt;""))&gt;0,'T_SelfStock'!W52+'T_TTAFStock'!W52,V48+'Grid_Incoming'!W48-'Grid_Requirement'!W48))</f>
        <v/>
      </c>
      <c r="X48">
        <f>IF(COUNTIFS(T_StockCount[Part Name],$A48,T_StockCount[WeekIndex],23)&gt;0,SUMIFS(T_StockCount[CountedQty],T_StockCount[Part Name],$A48,T_StockCount[WeekIndex],23),IF((('T_SelfStock'!X52&lt;&gt;""))*(('T_TTAFStock'!X52&lt;&gt;""))&gt;0,'T_SelfStock'!X52+'T_TTAFStock'!X52,W48+'Grid_Incoming'!X48-'Grid_Requirement'!X48))</f>
        <v/>
      </c>
      <c r="Y48">
        <f>IF(COUNTIFS(T_StockCount[Part Name],$A48,T_StockCount[WeekIndex],24)&gt;0,SUMIFS(T_StockCount[CountedQty],T_StockCount[Part Name],$A48,T_StockCount[WeekIndex],24),IF((('T_SelfStock'!Y52&lt;&gt;""))*(('T_TTAFStock'!Y52&lt;&gt;""))&gt;0,'T_SelfStock'!Y52+'T_TTAFStock'!Y52,X48+'Grid_Incoming'!Y48-'Grid_Requirement'!Y48))</f>
        <v/>
      </c>
      <c r="Z48">
        <f>IF(COUNTIFS(T_StockCount[Part Name],$A48,T_StockCount[WeekIndex],25)&gt;0,SUMIFS(T_StockCount[CountedQty],T_StockCount[Part Name],$A48,T_StockCount[WeekIndex],25),IF((('T_SelfStock'!Z52&lt;&gt;""))*(('T_TTAFStock'!Z52&lt;&gt;""))&gt;0,'T_SelfStock'!Z52+'T_TTAFStock'!Z52,Y48+'Grid_Incoming'!Z48-'Grid_Requirement'!Z48))</f>
        <v/>
      </c>
      <c r="AA48">
        <f>IF(COUNTIFS(T_StockCount[Part Name],$A48,T_StockCount[WeekIndex],26)&gt;0,SUMIFS(T_StockCount[CountedQty],T_StockCount[Part Name],$A48,T_StockCount[WeekIndex],26),IF((('T_SelfStock'!AA52&lt;&gt;""))*(('T_TTAFStock'!AA52&lt;&gt;""))&gt;0,'T_SelfStock'!AA52+'T_TTAFStock'!AA52,Z48+'Grid_Incoming'!AA48-'Grid_Requirement'!AA48))</f>
        <v/>
      </c>
      <c r="AB48">
        <f>IF(COUNTIFS(T_StockCount[Part Name],$A48,T_StockCount[WeekIndex],27)&gt;0,SUMIFS(T_StockCount[CountedQty],T_StockCount[Part Name],$A48,T_StockCount[WeekIndex],27),IF((('T_SelfStock'!AB52&lt;&gt;""))*(('T_TTAFStock'!AB52&lt;&gt;""))&gt;0,'T_SelfStock'!AB52+'T_TTAFStock'!AB52,AA48+'Grid_Incoming'!AB48-'Grid_Requirement'!AB48))</f>
        <v/>
      </c>
      <c r="AC48">
        <f>IF(COUNTIFS(T_StockCount[Part Name],$A48,T_StockCount[WeekIndex],28)&gt;0,SUMIFS(T_StockCount[CountedQty],T_StockCount[Part Name],$A48,T_StockCount[WeekIndex],28),IF((('T_SelfStock'!AC52&lt;&gt;""))*(('T_TTAFStock'!AC52&lt;&gt;""))&gt;0,'T_SelfStock'!AC52+'T_TTAFStock'!AC52,AB48+'Grid_Incoming'!AC48-'Grid_Requirement'!AC48))</f>
        <v/>
      </c>
      <c r="AD48">
        <f>IF(COUNTIFS(T_StockCount[Part Name],$A48,T_StockCount[WeekIndex],29)&gt;0,SUMIFS(T_StockCount[CountedQty],T_StockCount[Part Name],$A48,T_StockCount[WeekIndex],29),IF((('T_SelfStock'!AD52&lt;&gt;""))*(('T_TTAFStock'!AD52&lt;&gt;""))&gt;0,'T_SelfStock'!AD52+'T_TTAFStock'!AD52,AC48+'Grid_Incoming'!AD48-'Grid_Requirement'!AD48))</f>
        <v/>
      </c>
      <c r="AE48">
        <f>IF(COUNTIFS(T_StockCount[Part Name],$A48,T_StockCount[WeekIndex],30)&gt;0,SUMIFS(T_StockCount[CountedQty],T_StockCount[Part Name],$A48,T_StockCount[WeekIndex],30),IF((('T_SelfStock'!AE52&lt;&gt;""))*(('T_TTAFStock'!AE52&lt;&gt;""))&gt;0,'T_SelfStock'!AE52+'T_TTAFStock'!AE52,AD48+'Grid_Incoming'!AE48-'Grid_Requirement'!AE48))</f>
        <v/>
      </c>
      <c r="AF48">
        <f>IF(COUNTIFS(T_StockCount[Part Name],$A48,T_StockCount[WeekIndex],31)&gt;0,SUMIFS(T_StockCount[CountedQty],T_StockCount[Part Name],$A48,T_StockCount[WeekIndex],31),IF((('T_SelfStock'!AF52&lt;&gt;""))*(('T_TTAFStock'!AF52&lt;&gt;""))&gt;0,'T_SelfStock'!AF52+'T_TTAFStock'!AF52,AE48+'Grid_Incoming'!AF48-'Grid_Requirement'!AF48))</f>
        <v/>
      </c>
      <c r="AG48">
        <f>IF(COUNTIFS(T_StockCount[Part Name],$A48,T_StockCount[WeekIndex],32)&gt;0,SUMIFS(T_StockCount[CountedQty],T_StockCount[Part Name],$A48,T_StockCount[WeekIndex],32),IF((('T_SelfStock'!AG52&lt;&gt;""))*(('T_TTAFStock'!AG52&lt;&gt;""))&gt;0,'T_SelfStock'!AG52+'T_TTAFStock'!AG52,AF48+'Grid_Incoming'!AG48-'Grid_Requirement'!AG48))</f>
        <v/>
      </c>
      <c r="AH48">
        <f>IF(COUNTIFS(T_StockCount[Part Name],$A48,T_StockCount[WeekIndex],33)&gt;0,SUMIFS(T_StockCount[CountedQty],T_StockCount[Part Name],$A48,T_StockCount[WeekIndex],33),IF((('T_SelfStock'!AH52&lt;&gt;""))*(('T_TTAFStock'!AH52&lt;&gt;""))&gt;0,'T_SelfStock'!AH52+'T_TTAFStock'!AH52,AG48+'Grid_Incoming'!AH48-'Grid_Requirement'!AH48))</f>
        <v/>
      </c>
      <c r="AI48">
        <f>IF(COUNTIFS(T_StockCount[Part Name],$A48,T_StockCount[WeekIndex],34)&gt;0,SUMIFS(T_StockCount[CountedQty],T_StockCount[Part Name],$A48,T_StockCount[WeekIndex],34),IF((('T_SelfStock'!AI52&lt;&gt;""))*(('T_TTAFStock'!AI52&lt;&gt;""))&gt;0,'T_SelfStock'!AI52+'T_TTAFStock'!AI52,AH48+'Grid_Incoming'!AI48-'Grid_Requirement'!AI48))</f>
        <v/>
      </c>
      <c r="AJ48">
        <f>IF(COUNTIFS(T_StockCount[Part Name],$A48,T_StockCount[WeekIndex],35)&gt;0,SUMIFS(T_StockCount[CountedQty],T_StockCount[Part Name],$A48,T_StockCount[WeekIndex],35),IF((('T_SelfStock'!AJ52&lt;&gt;""))*(('T_TTAFStock'!AJ52&lt;&gt;""))&gt;0,'T_SelfStock'!AJ52+'T_TTAFStock'!AJ52,AI48+'Grid_Incoming'!AJ48-'Grid_Requirement'!AJ48))</f>
        <v/>
      </c>
      <c r="AK48">
        <f>IF(COUNTIFS(T_StockCount[Part Name],$A48,T_StockCount[WeekIndex],36)&gt;0,SUMIFS(T_StockCount[CountedQty],T_StockCount[Part Name],$A48,T_StockCount[WeekIndex],36),IF((('T_SelfStock'!AK52&lt;&gt;""))*(('T_TTAFStock'!AK52&lt;&gt;""))&gt;0,'T_SelfStock'!AK52+'T_TTAFStock'!AK52,AJ48+'Grid_Incoming'!AK48-'Grid_Requirement'!AK48))</f>
        <v/>
      </c>
      <c r="AL48">
        <f>IF(COUNTIFS(T_StockCount[Part Name],$A48,T_StockCount[WeekIndex],37)&gt;0,SUMIFS(T_StockCount[CountedQty],T_StockCount[Part Name],$A48,T_StockCount[WeekIndex],37),IF((('T_SelfStock'!AL52&lt;&gt;""))*(('T_TTAFStock'!AL52&lt;&gt;""))&gt;0,'T_SelfStock'!AL52+'T_TTAFStock'!AL52,AK48+'Grid_Incoming'!AL48-'Grid_Requirement'!AL48))</f>
        <v/>
      </c>
      <c r="AM48">
        <f>IF(COUNTIFS(T_StockCount[Part Name],$A48,T_StockCount[WeekIndex],38)&gt;0,SUMIFS(T_StockCount[CountedQty],T_StockCount[Part Name],$A48,T_StockCount[WeekIndex],38),IF((('T_SelfStock'!AM52&lt;&gt;""))*(('T_TTAFStock'!AM52&lt;&gt;""))&gt;0,'T_SelfStock'!AM52+'T_TTAFStock'!AM52,AL48+'Grid_Incoming'!AM48-'Grid_Requirement'!AM48))</f>
        <v/>
      </c>
      <c r="AN48">
        <f>IF(COUNTIFS(T_StockCount[Part Name],$A48,T_StockCount[WeekIndex],39)&gt;0,SUMIFS(T_StockCount[CountedQty],T_StockCount[Part Name],$A48,T_StockCount[WeekIndex],39),IF((('T_SelfStock'!AN52&lt;&gt;""))*(('T_TTAFStock'!AN52&lt;&gt;""))&gt;0,'T_SelfStock'!AN52+'T_TTAFStock'!AN52,AM48+'Grid_Incoming'!AN48-'Grid_Requirement'!AN48))</f>
        <v/>
      </c>
      <c r="AO48">
        <f>IF(COUNTIFS(T_StockCount[Part Name],$A48,T_StockCount[WeekIndex],40)&gt;0,SUMIFS(T_StockCount[CountedQty],T_StockCount[Part Name],$A48,T_StockCount[WeekIndex],40),IF((('T_SelfStock'!AO52&lt;&gt;""))*(('T_TTAFStock'!AO52&lt;&gt;""))&gt;0,'T_SelfStock'!AO52+'T_TTAFStock'!AO52,AN48+'Grid_Incoming'!AO48-'Grid_Requirement'!AO48))</f>
        <v/>
      </c>
      <c r="AP48">
        <f>IF(COUNTIFS(T_StockCount[Part Name],$A48,T_StockCount[WeekIndex],41)&gt;0,SUMIFS(T_StockCount[CountedQty],T_StockCount[Part Name],$A48,T_StockCount[WeekIndex],41),IF((('T_SelfStock'!AP52&lt;&gt;""))*(('T_TTAFStock'!AP52&lt;&gt;""))&gt;0,'T_SelfStock'!AP52+'T_TTAFStock'!AP52,AO48+'Grid_Incoming'!AP48-'Grid_Requirement'!AP48))</f>
        <v/>
      </c>
      <c r="AQ48">
        <f>IF(COUNTIFS(T_StockCount[Part Name],$A48,T_StockCount[WeekIndex],42)&gt;0,SUMIFS(T_StockCount[CountedQty],T_StockCount[Part Name],$A48,T_StockCount[WeekIndex],42),IF((('T_SelfStock'!AQ52&lt;&gt;""))*(('T_TTAFStock'!AQ52&lt;&gt;""))&gt;0,'T_SelfStock'!AQ52+'T_TTAFStock'!AQ52,AP48+'Grid_Incoming'!AQ48-'Grid_Requirement'!AQ48))</f>
        <v/>
      </c>
      <c r="AR48">
        <f>IF(COUNTIFS(T_StockCount[Part Name],$A48,T_StockCount[WeekIndex],43)&gt;0,SUMIFS(T_StockCount[CountedQty],T_StockCount[Part Name],$A48,T_StockCount[WeekIndex],43),IF((('T_SelfStock'!AR52&lt;&gt;""))*(('T_TTAFStock'!AR52&lt;&gt;""))&gt;0,'T_SelfStock'!AR52+'T_TTAFStock'!AR52,AQ48+'Grid_Incoming'!AR48-'Grid_Requirement'!AR48))</f>
        <v/>
      </c>
      <c r="AS48">
        <f>IF(COUNTIFS(T_StockCount[Part Name],$A48,T_StockCount[WeekIndex],44)&gt;0,SUMIFS(T_StockCount[CountedQty],T_StockCount[Part Name],$A48,T_StockCount[WeekIndex],44),IF((('T_SelfStock'!AS52&lt;&gt;""))*(('T_TTAFStock'!AS52&lt;&gt;""))&gt;0,'T_SelfStock'!AS52+'T_TTAFStock'!AS52,AR48+'Grid_Incoming'!AS48-'Grid_Requirement'!AS48))</f>
        <v/>
      </c>
      <c r="AT48">
        <f>IF(COUNTIFS(T_StockCount[Part Name],$A48,T_StockCount[WeekIndex],45)&gt;0,SUMIFS(T_StockCount[CountedQty],T_StockCount[Part Name],$A48,T_StockCount[WeekIndex],45),IF((('T_SelfStock'!AT52&lt;&gt;""))*(('T_TTAFStock'!AT52&lt;&gt;""))&gt;0,'T_SelfStock'!AT52+'T_TTAFStock'!AT52,AS48+'Grid_Incoming'!AT48-'Grid_Requirement'!AT48))</f>
        <v/>
      </c>
      <c r="AU48">
        <f>IF(COUNTIFS(T_StockCount[Part Name],$A48,T_StockCount[WeekIndex],46)&gt;0,SUMIFS(T_StockCount[CountedQty],T_StockCount[Part Name],$A48,T_StockCount[WeekIndex],46),IF((('T_SelfStock'!AU52&lt;&gt;""))*(('T_TTAFStock'!AU52&lt;&gt;""))&gt;0,'T_SelfStock'!AU52+'T_TTAFStock'!AU52,AT48+'Grid_Incoming'!AU48-'Grid_Requirement'!AU48))</f>
        <v/>
      </c>
      <c r="AV48">
        <f>IF(COUNTIFS(T_StockCount[Part Name],$A48,T_StockCount[WeekIndex],47)&gt;0,SUMIFS(T_StockCount[CountedQty],T_StockCount[Part Name],$A48,T_StockCount[WeekIndex],47),IF((('T_SelfStock'!AV52&lt;&gt;""))*(('T_TTAFStock'!AV52&lt;&gt;""))&gt;0,'T_SelfStock'!AV52+'T_TTAFStock'!AV52,AU48+'Grid_Incoming'!AV48-'Grid_Requirement'!AV48))</f>
        <v/>
      </c>
      <c r="AW48">
        <f>IF(COUNTIFS(T_StockCount[Part Name],$A48,T_StockCount[WeekIndex],48)&gt;0,SUMIFS(T_StockCount[CountedQty],T_StockCount[Part Name],$A48,T_StockCount[WeekIndex],48),IF((('T_SelfStock'!AW52&lt;&gt;""))*(('T_TTAFStock'!AW52&lt;&gt;""))&gt;0,'T_SelfStock'!AW52+'T_TTAFStock'!AW52,AV48+'Grid_Incoming'!AW48-'Grid_Requirement'!AW48))</f>
        <v/>
      </c>
      <c r="AX48">
        <f>IF(COUNTIFS(T_StockCount[Part Name],$A48,T_StockCount[WeekIndex],49)&gt;0,SUMIFS(T_StockCount[CountedQty],T_StockCount[Part Name],$A48,T_StockCount[WeekIndex],49),IF((('T_SelfStock'!AX52&lt;&gt;""))*(('T_TTAFStock'!AX52&lt;&gt;""))&gt;0,'T_SelfStock'!AX52+'T_TTAFStock'!AX52,AW48+'Grid_Incoming'!AX48-'Grid_Requirement'!AX48))</f>
        <v/>
      </c>
      <c r="AY48">
        <f>IF(COUNTIFS(T_StockCount[Part Name],$A48,T_StockCount[WeekIndex],50)&gt;0,SUMIFS(T_StockCount[CountedQty],T_StockCount[Part Name],$A48,T_StockCount[WeekIndex],50),IF((('T_SelfStock'!AY52&lt;&gt;""))*(('T_TTAFStock'!AY52&lt;&gt;""))&gt;0,'T_SelfStock'!AY52+'T_TTAFStock'!AY52,AX48+'Grid_Incoming'!AY48-'Grid_Requirement'!AY48))</f>
        <v/>
      </c>
      <c r="AZ48">
        <f>IF(COUNTIFS(T_StockCount[Part Name],$A48,T_StockCount[WeekIndex],51)&gt;0,SUMIFS(T_StockCount[CountedQty],T_StockCount[Part Name],$A48,T_StockCount[WeekIndex],51),IF((('T_SelfStock'!AZ52&lt;&gt;""))*(('T_TTAFStock'!AZ52&lt;&gt;""))&gt;0,'T_SelfStock'!AZ52+'T_TTAFStock'!AZ52,AY48+'Grid_Incoming'!AZ48-'Grid_Requirement'!AZ48))</f>
        <v/>
      </c>
      <c r="BA48">
        <f>IF(COUNTIFS(T_StockCount[Part Name],$A48,T_StockCount[WeekIndex],52)&gt;0,SUMIFS(T_StockCount[CountedQty],T_StockCount[Part Name],$A48,T_StockCount[WeekIndex],52),IF((('T_SelfStock'!BA52&lt;&gt;""))*(('T_TTAFStock'!BA52&lt;&gt;""))&gt;0,'T_SelfStock'!BA52+'T_TTAFStock'!BA52,AZ48+'Grid_Incoming'!BA48-'Grid_Requirement'!BA48))</f>
        <v/>
      </c>
      <c r="BB48">
        <f>IF(COUNTIFS(T_StockCount[Part Name],$A48,T_StockCount[WeekIndex],53)&gt;0,SUMIFS(T_StockCount[CountedQty],T_StockCount[Part Name],$A48,T_StockCount[WeekIndex],53),IF((('T_SelfStock'!BB52&lt;&gt;""))*(('T_TTAFStock'!BB52&lt;&gt;""))&gt;0,'T_SelfStock'!BB52+'T_TTAFStock'!BB52,BA48+'Grid_Incoming'!BB48-'Grid_Requirement'!BB48))</f>
        <v/>
      </c>
      <c r="BC48">
        <f>IF(COUNTIFS(T_StockCount[Part Name],$A48,T_StockCount[WeekIndex],54)&gt;0,SUMIFS(T_StockCount[CountedQty],T_StockCount[Part Name],$A48,T_StockCount[WeekIndex],54),IF((('T_SelfStock'!BC52&lt;&gt;""))*(('T_TTAFStock'!BC52&lt;&gt;""))&gt;0,'T_SelfStock'!BC52+'T_TTAFStock'!BC52,BB48+'Grid_Incoming'!BC48-'Grid_Requirement'!BC48))</f>
        <v/>
      </c>
      <c r="BD48">
        <f>IF(COUNTIFS(T_StockCount[Part Name],$A48,T_StockCount[WeekIndex],55)&gt;0,SUMIFS(T_StockCount[CountedQty],T_StockCount[Part Name],$A48,T_StockCount[WeekIndex],55),IF((('T_SelfStock'!BD52&lt;&gt;""))*(('T_TTAFStock'!BD52&lt;&gt;""))&gt;0,'T_SelfStock'!BD52+'T_TTAFStock'!BD52,BC48+'Grid_Incoming'!BD48-'Grid_Requirement'!BD48))</f>
        <v/>
      </c>
      <c r="BE48">
        <f>IF(COUNTIFS(T_StockCount[Part Name],$A48,T_StockCount[WeekIndex],56)&gt;0,SUMIFS(T_StockCount[CountedQty],T_StockCount[Part Name],$A48,T_StockCount[WeekIndex],56),IF((('T_SelfStock'!BE52&lt;&gt;""))*(('T_TTAFStock'!BE52&lt;&gt;""))&gt;0,'T_SelfStock'!BE52+'T_TTAFStock'!BE52,BD48+'Grid_Incoming'!BE48-'Grid_Requirement'!BE48))</f>
        <v/>
      </c>
      <c r="BF48">
        <f>IF(COUNTIFS(T_StockCount[Part Name],$A48,T_StockCount[WeekIndex],57)&gt;0,SUMIFS(T_StockCount[CountedQty],T_StockCount[Part Name],$A48,T_StockCount[WeekIndex],57),IF((('T_SelfStock'!BF52&lt;&gt;""))*(('T_TTAFStock'!BF52&lt;&gt;""))&gt;0,'T_SelfStock'!BF52+'T_TTAFStock'!BF52,BE48+'Grid_Incoming'!BF48-'Grid_Requirement'!BF48))</f>
        <v/>
      </c>
      <c r="BG48">
        <f>IF(COUNTIFS(T_StockCount[Part Name],$A48,T_StockCount[WeekIndex],58)&gt;0,SUMIFS(T_StockCount[CountedQty],T_StockCount[Part Name],$A48,T_StockCount[WeekIndex],58),IF((('T_SelfStock'!BG52&lt;&gt;""))*(('T_TTAFStock'!BG52&lt;&gt;""))&gt;0,'T_SelfStock'!BG52+'T_TTAFStock'!BG52,BF48+'Grid_Incoming'!BG48-'Grid_Requirement'!BG48))</f>
        <v/>
      </c>
      <c r="BH48">
        <f>IF(COUNTIFS(T_StockCount[Part Name],$A48,T_StockCount[WeekIndex],59)&gt;0,SUMIFS(T_StockCount[CountedQty],T_StockCount[Part Name],$A48,T_StockCount[WeekIndex],59),IF((('T_SelfStock'!BH52&lt;&gt;""))*(('T_TTAFStock'!BH52&lt;&gt;""))&gt;0,'T_SelfStock'!BH52+'T_TTAFStock'!BH52,BG48+'Grid_Incoming'!BH48-'Grid_Requirement'!BH48))</f>
        <v/>
      </c>
      <c r="BI48">
        <f>IF(COUNTIFS(T_StockCount[Part Name],$A48,T_StockCount[WeekIndex],60)&gt;0,SUMIFS(T_StockCount[CountedQty],T_StockCount[Part Name],$A48,T_StockCount[WeekIndex],60),IF((('T_SelfStock'!BI52&lt;&gt;""))*(('T_TTAFStock'!BI52&lt;&gt;""))&gt;0,'T_SelfStock'!BI52+'T_TTAFStock'!BI52,BH48+'Grid_Incoming'!BI48-'Grid_Requirement'!BI48))</f>
        <v/>
      </c>
      <c r="BJ48">
        <f>IF(COUNTIFS(T_StockCount[Part Name],$A48,T_StockCount[WeekIndex],61)&gt;0,SUMIFS(T_StockCount[CountedQty],T_StockCount[Part Name],$A48,T_StockCount[WeekIndex],61),IF((('T_SelfStock'!BJ52&lt;&gt;""))*(('T_TTAFStock'!BJ52&lt;&gt;""))&gt;0,'T_SelfStock'!BJ52+'T_TTAFStock'!BJ52,BI48+'Grid_Incoming'!BJ48-'Grid_Requirement'!BJ48))</f>
        <v/>
      </c>
      <c r="BK48">
        <f>IF(COUNTIFS(T_StockCount[Part Name],$A48,T_StockCount[WeekIndex],62)&gt;0,SUMIFS(T_StockCount[CountedQty],T_StockCount[Part Name],$A48,T_StockCount[WeekIndex],62),IF((('T_SelfStock'!BK52&lt;&gt;""))*(('T_TTAFStock'!BK52&lt;&gt;""))&gt;0,'T_SelfStock'!BK52+'T_TTAFStock'!BK52,BJ48+'Grid_Incoming'!BK48-'Grid_Requirement'!BK48))</f>
        <v/>
      </c>
      <c r="BL48">
        <f>IF(COUNTIFS(T_StockCount[Part Name],$A48,T_StockCount[WeekIndex],63)&gt;0,SUMIFS(T_StockCount[CountedQty],T_StockCount[Part Name],$A48,T_StockCount[WeekIndex],63),IF((('T_SelfStock'!BL52&lt;&gt;""))*(('T_TTAFStock'!BL52&lt;&gt;""))&gt;0,'T_SelfStock'!BL52+'T_TTAFStock'!BL52,BK48+'Grid_Incoming'!BL48-'Grid_Requirement'!BL48))</f>
        <v/>
      </c>
      <c r="BM48">
        <f>IF(COUNTIFS(T_StockCount[Part Name],$A48,T_StockCount[WeekIndex],64)&gt;0,SUMIFS(T_StockCount[CountedQty],T_StockCount[Part Name],$A48,T_StockCount[WeekIndex],64),IF((('T_SelfStock'!BM52&lt;&gt;""))*(('T_TTAFStock'!BM52&lt;&gt;""))&gt;0,'T_SelfStock'!BM52+'T_TTAFStock'!BM52,BL48+'Grid_Incoming'!BM48-'Grid_Requirement'!BM48))</f>
        <v/>
      </c>
      <c r="BN48">
        <f>IF(COUNTIFS(T_StockCount[Part Name],$A48,T_StockCount[WeekIndex],65)&gt;0,SUMIFS(T_StockCount[CountedQty],T_StockCount[Part Name],$A48,T_StockCount[WeekIndex],65),IF((('T_SelfStock'!BN52&lt;&gt;""))*(('T_TTAFStock'!BN52&lt;&gt;""))&gt;0,'T_SelfStock'!BN52+'T_TTAFStock'!BN52,BM48+'Grid_Incoming'!BN48-'Grid_Requirement'!BN48))</f>
        <v/>
      </c>
      <c r="BO48">
        <f>IF(COUNTIFS(T_StockCount[Part Name],$A48,T_StockCount[WeekIndex],66)&gt;0,SUMIFS(T_StockCount[CountedQty],T_StockCount[Part Name],$A48,T_StockCount[WeekIndex],66),IF((('T_SelfStock'!BO52&lt;&gt;""))*(('T_TTAFStock'!BO52&lt;&gt;""))&gt;0,'T_SelfStock'!BO52+'T_TTAFStock'!BO52,BN48+'Grid_Incoming'!BO48-'Grid_Requirement'!BO48))</f>
        <v/>
      </c>
      <c r="BP48">
        <f>IF(COUNTIFS(T_StockCount[Part Name],$A48,T_StockCount[WeekIndex],67)&gt;0,SUMIFS(T_StockCount[CountedQty],T_StockCount[Part Name],$A48,T_StockCount[WeekIndex],67),IF((('T_SelfStock'!BP52&lt;&gt;""))*(('T_TTAFStock'!BP52&lt;&gt;""))&gt;0,'T_SelfStock'!BP52+'T_TTAFStock'!BP52,BO48+'Grid_Incoming'!BP48-'Grid_Requirement'!BP48))</f>
        <v/>
      </c>
      <c r="BQ48">
        <f>IF(COUNTIFS(T_StockCount[Part Name],$A48,T_StockCount[WeekIndex],68)&gt;0,SUMIFS(T_StockCount[CountedQty],T_StockCount[Part Name],$A48,T_StockCount[WeekIndex],68),IF((('T_SelfStock'!BQ52&lt;&gt;""))*(('T_TTAFStock'!BQ52&lt;&gt;""))&gt;0,'T_SelfStock'!BQ52+'T_TTAFStock'!BQ52,BP48+'Grid_Incoming'!BQ48-'Grid_Requirement'!BQ48))</f>
        <v/>
      </c>
      <c r="BR48">
        <f>IF(COUNTIFS(T_StockCount[Part Name],$A48,T_StockCount[WeekIndex],69)&gt;0,SUMIFS(T_StockCount[CountedQty],T_StockCount[Part Name],$A48,T_StockCount[WeekIndex],69),IF((('T_SelfStock'!BR52&lt;&gt;""))*(('T_TTAFStock'!BR52&lt;&gt;""))&gt;0,'T_SelfStock'!BR52+'T_TTAFStock'!BR52,BQ48+'Grid_Incoming'!BR48-'Grid_Requirement'!BR48))</f>
        <v/>
      </c>
      <c r="BS48">
        <f>IF(COUNTIFS(T_StockCount[Part Name],$A48,T_StockCount[WeekIndex],70)&gt;0,SUMIFS(T_StockCount[CountedQty],T_StockCount[Part Name],$A48,T_StockCount[WeekIndex],70),IF((('T_SelfStock'!BS52&lt;&gt;""))*(('T_TTAFStock'!BS52&lt;&gt;""))&gt;0,'T_SelfStock'!BS52+'T_TTAFStock'!BS52,BR48+'Grid_Incoming'!BS48-'Grid_Requirement'!BS48))</f>
        <v/>
      </c>
      <c r="BT48">
        <f>IF(COUNTIFS(T_StockCount[Part Name],$A48,T_StockCount[WeekIndex],71)&gt;0,SUMIFS(T_StockCount[CountedQty],T_StockCount[Part Name],$A48,T_StockCount[WeekIndex],71),IF((('T_SelfStock'!BT52&lt;&gt;""))*(('T_TTAFStock'!BT52&lt;&gt;""))&gt;0,'T_SelfStock'!BT52+'T_TTAFStock'!BT52,BS48+'Grid_Incoming'!BT48-'Grid_Requirement'!BT48))</f>
        <v/>
      </c>
      <c r="BU48">
        <f>IF(COUNTIFS(T_StockCount[Part Name],$A48,T_StockCount[WeekIndex],72)&gt;0,SUMIFS(T_StockCount[CountedQty],T_StockCount[Part Name],$A48,T_StockCount[WeekIndex],72),IF((('T_SelfStock'!BU52&lt;&gt;""))*(('T_TTAFStock'!BU52&lt;&gt;""))&gt;0,'T_SelfStock'!BU52+'T_TTAFStock'!BU52,BT48+'Grid_Incoming'!BU48-'Grid_Requirement'!BU48))</f>
        <v/>
      </c>
      <c r="BV48">
        <f>IF(COUNTIFS(T_StockCount[Part Name],$A48,T_StockCount[WeekIndex],73)&gt;0,SUMIFS(T_StockCount[CountedQty],T_StockCount[Part Name],$A48,T_StockCount[WeekIndex],73),IF((('T_SelfStock'!BV52&lt;&gt;""))*(('T_TTAFStock'!BV52&lt;&gt;""))&gt;0,'T_SelfStock'!BV52+'T_TTAFStock'!BV52,BU48+'Grid_Incoming'!BV48-'Grid_Requirement'!BV48))</f>
        <v/>
      </c>
      <c r="BW48">
        <f>IF(COUNTIFS(T_StockCount[Part Name],$A48,T_StockCount[WeekIndex],74)&gt;0,SUMIFS(T_StockCount[CountedQty],T_StockCount[Part Name],$A48,T_StockCount[WeekIndex],74),IF((('T_SelfStock'!BW52&lt;&gt;""))*(('T_TTAFStock'!BW52&lt;&gt;""))&gt;0,'T_SelfStock'!BW52+'T_TTAFStock'!BW52,BV48+'Grid_Incoming'!BW48-'Grid_Requirement'!BW48))</f>
        <v/>
      </c>
      <c r="BX48">
        <f>IF(COUNTIFS(T_StockCount[Part Name],$A48,T_StockCount[WeekIndex],75)&gt;0,SUMIFS(T_StockCount[CountedQty],T_StockCount[Part Name],$A48,T_StockCount[WeekIndex],75),IF((('T_SelfStock'!BX52&lt;&gt;""))*(('T_TTAFStock'!BX52&lt;&gt;""))&gt;0,'T_SelfStock'!BX52+'T_TTAFStock'!BX52,BW48+'Grid_Incoming'!BX48-'Grid_Requirement'!BX48))</f>
        <v/>
      </c>
      <c r="BY48">
        <f>IF(COUNTIFS(T_StockCount[Part Name],$A48,T_StockCount[WeekIndex],76)&gt;0,SUMIFS(T_StockCount[CountedQty],T_StockCount[Part Name],$A48,T_StockCount[WeekIndex],76),IF((('T_SelfStock'!BY52&lt;&gt;""))*(('T_TTAFStock'!BY52&lt;&gt;""))&gt;0,'T_SelfStock'!BY52+'T_TTAFStock'!BY52,BX48+'Grid_Incoming'!BY48-'Grid_Requirement'!BY48))</f>
        <v/>
      </c>
      <c r="BZ48">
        <f>IF(COUNTIFS(T_StockCount[Part Name],$A48,T_StockCount[WeekIndex],77)&gt;0,SUMIFS(T_StockCount[CountedQty],T_StockCount[Part Name],$A48,T_StockCount[WeekIndex],77),IF((('T_SelfStock'!BZ52&lt;&gt;""))*(('T_TTAFStock'!BZ52&lt;&gt;""))&gt;0,'T_SelfStock'!BZ52+'T_TTAFStock'!BZ52,BY48+'Grid_Incoming'!BZ48-'Grid_Requirement'!BZ48))</f>
        <v/>
      </c>
      <c r="CA48">
        <f>IF(COUNTIFS(T_StockCount[Part Name],$A48,T_StockCount[WeekIndex],78)&gt;0,SUMIFS(T_StockCount[CountedQty],T_StockCount[Part Name],$A48,T_StockCount[WeekIndex],78),IF((('T_SelfStock'!CA52&lt;&gt;""))*(('T_TTAFStock'!CA52&lt;&gt;""))&gt;0,'T_SelfStock'!CA52+'T_TTAFStock'!CA52,BZ48+'Grid_Incoming'!CA48-'Grid_Requirement'!CA48))</f>
        <v/>
      </c>
      <c r="CB48">
        <f>IF(COUNTIFS(T_StockCount[Part Name],$A48,T_StockCount[WeekIndex],79)&gt;0,SUMIFS(T_StockCount[CountedQty],T_StockCount[Part Name],$A48,T_StockCount[WeekIndex],79),IF((('T_SelfStock'!CB52&lt;&gt;""))*(('T_TTAFStock'!CB52&lt;&gt;""))&gt;0,'T_SelfStock'!CB52+'T_TTAFStock'!CB52,CA48+'Grid_Incoming'!CB48-'Grid_Requirement'!CB48))</f>
        <v/>
      </c>
      <c r="CC48">
        <f>IF(COUNTIFS(T_StockCount[Part Name],$A48,T_StockCount[WeekIndex],80)&gt;0,SUMIFS(T_StockCount[CountedQty],T_StockCount[Part Name],$A48,T_StockCount[WeekIndex],80),IF((('T_SelfStock'!CC52&lt;&gt;""))*(('T_TTAFStock'!CC52&lt;&gt;""))&gt;0,'T_SelfStock'!CC52+'T_TTAFStock'!CC52,CB48+'Grid_Incoming'!CC48-'Grid_Requirement'!CC48))</f>
        <v/>
      </c>
      <c r="CD48">
        <f>IF(COUNTIFS(T_StockCount[Part Name],$A48,T_StockCount[WeekIndex],81)&gt;0,SUMIFS(T_StockCount[CountedQty],T_StockCount[Part Name],$A48,T_StockCount[WeekIndex],81),IF((('T_SelfStock'!CD52&lt;&gt;""))*(('T_TTAFStock'!CD52&lt;&gt;""))&gt;0,'T_SelfStock'!CD52+'T_TTAFStock'!CD52,CC48+'Grid_Incoming'!CD48-'Grid_Requirement'!CD48))</f>
        <v/>
      </c>
      <c r="CE48">
        <f>IF(COUNTIFS(T_StockCount[Part Name],$A48,T_StockCount[WeekIndex],82)&gt;0,SUMIFS(T_StockCount[CountedQty],T_StockCount[Part Name],$A48,T_StockCount[WeekIndex],82),IF((('T_SelfStock'!CE52&lt;&gt;""))*(('T_TTAFStock'!CE52&lt;&gt;""))&gt;0,'T_SelfStock'!CE52+'T_TTAFStock'!CE52,CD48+'Grid_Incoming'!CE48-'Grid_Requirement'!CE48))</f>
        <v/>
      </c>
      <c r="CF48">
        <f>IF(COUNTIFS(T_StockCount[Part Name],$A48,T_StockCount[WeekIndex],83)&gt;0,SUMIFS(T_StockCount[CountedQty],T_StockCount[Part Name],$A48,T_StockCount[WeekIndex],83),IF((('T_SelfStock'!CF52&lt;&gt;""))*(('T_TTAFStock'!CF52&lt;&gt;""))&gt;0,'T_SelfStock'!CF52+'T_TTAFStock'!CF52,CE48+'Grid_Incoming'!CF48-'Grid_Requirement'!CF48))</f>
        <v/>
      </c>
      <c r="CG48">
        <f>IF(COUNTIFS(T_StockCount[Part Name],$A48,T_StockCount[WeekIndex],84)&gt;0,SUMIFS(T_StockCount[CountedQty],T_StockCount[Part Name],$A48,T_StockCount[WeekIndex],84),IF((('T_SelfStock'!CG52&lt;&gt;""))*(('T_TTAFStock'!CG52&lt;&gt;""))&gt;0,'T_SelfStock'!CG52+'T_TTAFStock'!CG52,CF48+'Grid_Incoming'!CG48-'Grid_Requirement'!CG48))</f>
        <v/>
      </c>
      <c r="CH48">
        <f>IF(COUNTIFS(T_StockCount[Part Name],$A48,T_StockCount[WeekIndex],85)&gt;0,SUMIFS(T_StockCount[CountedQty],T_StockCount[Part Name],$A48,T_StockCount[WeekIndex],85),IF((('T_SelfStock'!CH52&lt;&gt;""))*(('T_TTAFStock'!CH52&lt;&gt;""))&gt;0,'T_SelfStock'!CH52+'T_TTAFStock'!CH52,CG48+'Grid_Incoming'!CH48-'Grid_Requirement'!CH48))</f>
        <v/>
      </c>
      <c r="CI48">
        <f>IF(COUNTIFS(T_StockCount[Part Name],$A48,T_StockCount[WeekIndex],86)&gt;0,SUMIFS(T_StockCount[CountedQty],T_StockCount[Part Name],$A48,T_StockCount[WeekIndex],86),IF((('T_SelfStock'!CI52&lt;&gt;""))*(('T_TTAFStock'!CI52&lt;&gt;""))&gt;0,'T_SelfStock'!CI52+'T_TTAFStock'!CI52,CH48+'Grid_Incoming'!CI48-'Grid_Requirement'!CI48))</f>
        <v/>
      </c>
      <c r="CJ48">
        <f>IF(COUNTIFS(T_StockCount[Part Name],$A48,T_StockCount[WeekIndex],87)&gt;0,SUMIFS(T_StockCount[CountedQty],T_StockCount[Part Name],$A48,T_StockCount[WeekIndex],87),IF((('T_SelfStock'!CJ52&lt;&gt;""))*(('T_TTAFStock'!CJ52&lt;&gt;""))&gt;0,'T_SelfStock'!CJ52+'T_TTAFStock'!CJ52,CI48+'Grid_Incoming'!CJ48-'Grid_Requirement'!CJ48))</f>
        <v/>
      </c>
      <c r="CK48">
        <f>IF(COUNTIFS(T_StockCount[Part Name],$A48,T_StockCount[WeekIndex],88)&gt;0,SUMIFS(T_StockCount[CountedQty],T_StockCount[Part Name],$A48,T_StockCount[WeekIndex],88),IF((('T_SelfStock'!CK52&lt;&gt;""))*(('T_TTAFStock'!CK52&lt;&gt;""))&gt;0,'T_SelfStock'!CK52+'T_TTAFStock'!CK52,CJ48+'Grid_Incoming'!CK48-'Grid_Requirement'!CK48))</f>
        <v/>
      </c>
      <c r="CL48">
        <f>IF(COUNTIFS(T_StockCount[Part Name],$A48,T_StockCount[WeekIndex],89)&gt;0,SUMIFS(T_StockCount[CountedQty],T_StockCount[Part Name],$A48,T_StockCount[WeekIndex],89),IF((('T_SelfStock'!CL52&lt;&gt;""))*(('T_TTAFStock'!CL52&lt;&gt;""))&gt;0,'T_SelfStock'!CL52+'T_TTAFStock'!CL52,CK48+'Grid_Incoming'!CL48-'Grid_Requirement'!CL48))</f>
        <v/>
      </c>
      <c r="CM48">
        <f>IF(COUNTIFS(T_StockCount[Part Name],$A48,T_StockCount[WeekIndex],90)&gt;0,SUMIFS(T_StockCount[CountedQty],T_StockCount[Part Name],$A48,T_StockCount[WeekIndex],90),IF((('T_SelfStock'!CM52&lt;&gt;""))*(('T_TTAFStock'!CM52&lt;&gt;""))&gt;0,'T_SelfStock'!CM52+'T_TTAFStock'!CM52,CL48+'Grid_Incoming'!CM48-'Grid_Requirement'!CM48))</f>
        <v/>
      </c>
      <c r="CN48">
        <f>IF(COUNTIFS(T_StockCount[Part Name],$A48,T_StockCount[WeekIndex],91)&gt;0,SUMIFS(T_StockCount[CountedQty],T_StockCount[Part Name],$A48,T_StockCount[WeekIndex],91),IF((('T_SelfStock'!CN52&lt;&gt;""))*(('T_TTAFStock'!CN52&lt;&gt;""))&gt;0,'T_SelfStock'!CN52+'T_TTAFStock'!CN52,CM48+'Grid_Incoming'!CN48-'Grid_Requirement'!CN48))</f>
        <v/>
      </c>
      <c r="CO48">
        <f>IF(COUNTIFS(T_StockCount[Part Name],$A48,T_StockCount[WeekIndex],92)&gt;0,SUMIFS(T_StockCount[CountedQty],T_StockCount[Part Name],$A48,T_StockCount[WeekIndex],92),IF((('T_SelfStock'!CO52&lt;&gt;""))*(('T_TTAFStock'!CO52&lt;&gt;""))&gt;0,'T_SelfStock'!CO52+'T_TTAFStock'!CO52,CN48+'Grid_Incoming'!CO48-'Grid_Requirement'!CO48))</f>
        <v/>
      </c>
      <c r="CP48">
        <f>IF(COUNTIFS(T_StockCount[Part Name],$A48,T_StockCount[WeekIndex],93)&gt;0,SUMIFS(T_StockCount[CountedQty],T_StockCount[Part Name],$A48,T_StockCount[WeekIndex],93),IF((('T_SelfStock'!CP52&lt;&gt;""))*(('T_TTAFStock'!CP52&lt;&gt;""))&gt;0,'T_SelfStock'!CP52+'T_TTAFStock'!CP52,CO48+'Grid_Incoming'!CP48-'Grid_Requirement'!CP48))</f>
        <v/>
      </c>
      <c r="CQ48">
        <f>IF(COUNTIFS(T_StockCount[Part Name],$A48,T_StockCount[WeekIndex],94)&gt;0,SUMIFS(T_StockCount[CountedQty],T_StockCount[Part Name],$A48,T_StockCount[WeekIndex],94),IF((('T_SelfStock'!CQ52&lt;&gt;""))*(('T_TTAFStock'!CQ52&lt;&gt;""))&gt;0,'T_SelfStock'!CQ52+'T_TTAFStock'!CQ52,CP48+'Grid_Incoming'!CQ48-'Grid_Requirement'!CQ48))</f>
        <v/>
      </c>
      <c r="CR48">
        <f>IF(COUNTIFS(T_StockCount[Part Name],$A48,T_StockCount[WeekIndex],95)&gt;0,SUMIFS(T_StockCount[CountedQty],T_StockCount[Part Name],$A48,T_StockCount[WeekIndex],95),IF((('T_SelfStock'!CR52&lt;&gt;""))*(('T_TTAFStock'!CR52&lt;&gt;""))&gt;0,'T_SelfStock'!CR52+'T_TTAFStock'!CR52,CQ48+'Grid_Incoming'!CR48-'Grid_Requirement'!CR48))</f>
        <v/>
      </c>
      <c r="CS48">
        <f>IF(COUNTIFS(T_StockCount[Part Name],$A48,T_StockCount[WeekIndex],96)&gt;0,SUMIFS(T_StockCount[CountedQty],T_StockCount[Part Name],$A48,T_StockCount[WeekIndex],96),IF((('T_SelfStock'!CS52&lt;&gt;""))*(('T_TTAFStock'!CS52&lt;&gt;""))&gt;0,'T_SelfStock'!CS52+'T_TTAFStock'!CS52,CR48+'Grid_Incoming'!CS48-'Grid_Requirement'!CS48))</f>
        <v/>
      </c>
      <c r="CT48">
        <f>IF(COUNTIFS(T_StockCount[Part Name],$A48,T_StockCount[WeekIndex],97)&gt;0,SUMIFS(T_StockCount[CountedQty],T_StockCount[Part Name],$A48,T_StockCount[WeekIndex],97),IF((('T_SelfStock'!CT52&lt;&gt;""))*(('T_TTAFStock'!CT52&lt;&gt;""))&gt;0,'T_SelfStock'!CT52+'T_TTAFStock'!CT52,CS48+'Grid_Incoming'!CT48-'Grid_Requirement'!CT48))</f>
        <v/>
      </c>
      <c r="CU48">
        <f>IF(COUNTIFS(T_StockCount[Part Name],$A48,T_StockCount[WeekIndex],98)&gt;0,SUMIFS(T_StockCount[CountedQty],T_StockCount[Part Name],$A48,T_StockCount[WeekIndex],98),IF((('T_SelfStock'!CU52&lt;&gt;""))*(('T_TTAFStock'!CU52&lt;&gt;""))&gt;0,'T_SelfStock'!CU52+'T_TTAFStock'!CU52,CT48+'Grid_Incoming'!CU48-'Grid_Requirement'!CU48))</f>
        <v/>
      </c>
      <c r="CV48">
        <f>IF(COUNTIFS(T_StockCount[Part Name],$A48,T_StockCount[WeekIndex],99)&gt;0,SUMIFS(T_StockCount[CountedQty],T_StockCount[Part Name],$A48,T_StockCount[WeekIndex],99),IF((('T_SelfStock'!CV52&lt;&gt;""))*(('T_TTAFStock'!CV52&lt;&gt;""))&gt;0,'T_SelfStock'!CV52+'T_TTAFStock'!CV52,CU48+'Grid_Incoming'!CV48-'Grid_Requirement'!CV48))</f>
        <v/>
      </c>
      <c r="CW48">
        <f>IF(COUNTIFS(T_StockCount[Part Name],$A48,T_StockCount[WeekIndex],100)&gt;0,SUMIFS(T_StockCount[CountedQty],T_StockCount[Part Name],$A48,T_StockCount[WeekIndex],100),IF((('T_SelfStock'!CW52&lt;&gt;""))*(('T_TTAFStock'!CW52&lt;&gt;""))&gt;0,'T_SelfStock'!CW52+'T_TTAFStock'!CW52,CV48+'Grid_Incoming'!CW48-'Grid_Requirement'!CW48))</f>
        <v/>
      </c>
      <c r="CX48">
        <f>IF(COUNTIFS(T_StockCount[Part Name],$A48,T_StockCount[WeekIndex],101)&gt;0,SUMIFS(T_StockCount[CountedQty],T_StockCount[Part Name],$A48,T_StockCount[WeekIndex],101),IF((('T_SelfStock'!CX52&lt;&gt;""))*(('T_TTAFStock'!CX52&lt;&gt;""))&gt;0,'T_SelfStock'!CX52+'T_TTAFStock'!CX52,CW48+'Grid_Incoming'!CX48-'Grid_Requirement'!CX48))</f>
        <v/>
      </c>
      <c r="CY48">
        <f>IF(COUNTIFS(T_StockCount[Part Name],$A48,T_StockCount[WeekIndex],102)&gt;0,SUMIFS(T_StockCount[CountedQty],T_StockCount[Part Name],$A48,T_StockCount[WeekIndex],102),IF((('T_SelfStock'!CY52&lt;&gt;""))*(('T_TTAFStock'!CY52&lt;&gt;""))&gt;0,'T_SelfStock'!CY52+'T_TTAFStock'!CY52,CX48+'Grid_Incoming'!CY48-'Grid_Requirement'!CY48))</f>
        <v/>
      </c>
      <c r="CZ48">
        <f>IF(COUNTIFS(T_StockCount[Part Name],$A48,T_StockCount[WeekIndex],103)&gt;0,SUMIFS(T_StockCount[CountedQty],T_StockCount[Part Name],$A48,T_StockCount[WeekIndex],103),IF((('T_SelfStock'!CZ52&lt;&gt;""))*(('T_TTAFStock'!CZ52&lt;&gt;""))&gt;0,'T_SelfStock'!CZ52+'T_TTAFStock'!CZ52,CY48+'Grid_Incoming'!CZ48-'Grid_Requirement'!CZ48))</f>
        <v/>
      </c>
      <c r="DA48">
        <f>IF(COUNTIFS(T_StockCount[Part Name],$A48,T_StockCount[WeekIndex],104)&gt;0,SUMIFS(T_StockCount[CountedQty],T_StockCount[Part Name],$A48,T_StockCount[WeekIndex],104),IF((('T_SelfStock'!DA52&lt;&gt;""))*(('T_TTAFStock'!DA52&lt;&gt;""))&gt;0,'T_SelfStock'!DA52+'T_TTAFStock'!DA52,CZ48+'Grid_Incoming'!DA48-'Grid_Requirement'!DA48))</f>
        <v/>
      </c>
    </row>
    <row r="49">
      <c r="A49" t="inlineStr">
        <is>
          <t>CHEM-1010</t>
        </is>
      </c>
      <c r="B49">
        <f>IF(COUNTIFS(T_StockCount[Part Name],$A49,T_StockCount[WeekIndex],1)&gt;0,SUMIFS(T_StockCount[CountedQty],T_StockCount[Part Name],$A49,T_StockCount[WeekIndex],1),IF((('T_SelfStock'!B53&lt;&gt;""))*(('T_TTAFStock'!B53&lt;&gt;""))&gt;0,'T_SelfStock'!B53+'T_TTAFStock'!B53,IFERROR(INDEX(T_OpeningStock[Opening_Qty_要入力],MATCH($A49,T_OpeningStock[Part Name],0)),0)+'Grid_Incoming'!B49-'Grid_Requirement'!B49))</f>
        <v/>
      </c>
      <c r="C49">
        <f>IF(COUNTIFS(T_StockCount[Part Name],$A49,T_StockCount[WeekIndex],2)&gt;0,SUMIFS(T_StockCount[CountedQty],T_StockCount[Part Name],$A49,T_StockCount[WeekIndex],2),IF((('T_SelfStock'!C53&lt;&gt;""))*(('T_TTAFStock'!C53&lt;&gt;""))&gt;0,'T_SelfStock'!C53+'T_TTAFStock'!C53,B49+'Grid_Incoming'!C49-'Grid_Requirement'!C49))</f>
        <v/>
      </c>
      <c r="D49">
        <f>IF(COUNTIFS(T_StockCount[Part Name],$A49,T_StockCount[WeekIndex],3)&gt;0,SUMIFS(T_StockCount[CountedQty],T_StockCount[Part Name],$A49,T_StockCount[WeekIndex],3),IF((('T_SelfStock'!D53&lt;&gt;""))*(('T_TTAFStock'!D53&lt;&gt;""))&gt;0,'T_SelfStock'!D53+'T_TTAFStock'!D53,C49+'Grid_Incoming'!D49-'Grid_Requirement'!D49))</f>
        <v/>
      </c>
      <c r="E49">
        <f>IF(COUNTIFS(T_StockCount[Part Name],$A49,T_StockCount[WeekIndex],4)&gt;0,SUMIFS(T_StockCount[CountedQty],T_StockCount[Part Name],$A49,T_StockCount[WeekIndex],4),IF((('T_SelfStock'!E53&lt;&gt;""))*(('T_TTAFStock'!E53&lt;&gt;""))&gt;0,'T_SelfStock'!E53+'T_TTAFStock'!E53,D49+'Grid_Incoming'!E49-'Grid_Requirement'!E49))</f>
        <v/>
      </c>
      <c r="F49">
        <f>IF(COUNTIFS(T_StockCount[Part Name],$A49,T_StockCount[WeekIndex],5)&gt;0,SUMIFS(T_StockCount[CountedQty],T_StockCount[Part Name],$A49,T_StockCount[WeekIndex],5),IF((('T_SelfStock'!F53&lt;&gt;""))*(('T_TTAFStock'!F53&lt;&gt;""))&gt;0,'T_SelfStock'!F53+'T_TTAFStock'!F53,E49+'Grid_Incoming'!F49-'Grid_Requirement'!F49))</f>
        <v/>
      </c>
      <c r="G49">
        <f>IF(COUNTIFS(T_StockCount[Part Name],$A49,T_StockCount[WeekIndex],6)&gt;0,SUMIFS(T_StockCount[CountedQty],T_StockCount[Part Name],$A49,T_StockCount[WeekIndex],6),IF((('T_SelfStock'!G53&lt;&gt;""))*(('T_TTAFStock'!G53&lt;&gt;""))&gt;0,'T_SelfStock'!G53+'T_TTAFStock'!G53,F49+'Grid_Incoming'!G49-'Grid_Requirement'!G49))</f>
        <v/>
      </c>
      <c r="H49">
        <f>IF(COUNTIFS(T_StockCount[Part Name],$A49,T_StockCount[WeekIndex],7)&gt;0,SUMIFS(T_StockCount[CountedQty],T_StockCount[Part Name],$A49,T_StockCount[WeekIndex],7),IF((('T_SelfStock'!H53&lt;&gt;""))*(('T_TTAFStock'!H53&lt;&gt;""))&gt;0,'T_SelfStock'!H53+'T_TTAFStock'!H53,G49+'Grid_Incoming'!H49-'Grid_Requirement'!H49))</f>
        <v/>
      </c>
      <c r="I49">
        <f>IF(COUNTIFS(T_StockCount[Part Name],$A49,T_StockCount[WeekIndex],8)&gt;0,SUMIFS(T_StockCount[CountedQty],T_StockCount[Part Name],$A49,T_StockCount[WeekIndex],8),IF((('T_SelfStock'!I53&lt;&gt;""))*(('T_TTAFStock'!I53&lt;&gt;""))&gt;0,'T_SelfStock'!I53+'T_TTAFStock'!I53,H49+'Grid_Incoming'!I49-'Grid_Requirement'!I49))</f>
        <v/>
      </c>
      <c r="J49">
        <f>IF(COUNTIFS(T_StockCount[Part Name],$A49,T_StockCount[WeekIndex],9)&gt;0,SUMIFS(T_StockCount[CountedQty],T_StockCount[Part Name],$A49,T_StockCount[WeekIndex],9),IF((('T_SelfStock'!J53&lt;&gt;""))*(('T_TTAFStock'!J53&lt;&gt;""))&gt;0,'T_SelfStock'!J53+'T_TTAFStock'!J53,I49+'Grid_Incoming'!J49-'Grid_Requirement'!J49))</f>
        <v/>
      </c>
      <c r="K49">
        <f>IF(COUNTIFS(T_StockCount[Part Name],$A49,T_StockCount[WeekIndex],10)&gt;0,SUMIFS(T_StockCount[CountedQty],T_StockCount[Part Name],$A49,T_StockCount[WeekIndex],10),IF((('T_SelfStock'!K53&lt;&gt;""))*(('T_TTAFStock'!K53&lt;&gt;""))&gt;0,'T_SelfStock'!K53+'T_TTAFStock'!K53,J49+'Grid_Incoming'!K49-'Grid_Requirement'!K49))</f>
        <v/>
      </c>
      <c r="L49">
        <f>IF(COUNTIFS(T_StockCount[Part Name],$A49,T_StockCount[WeekIndex],11)&gt;0,SUMIFS(T_StockCount[CountedQty],T_StockCount[Part Name],$A49,T_StockCount[WeekIndex],11),IF((('T_SelfStock'!L53&lt;&gt;""))*(('T_TTAFStock'!L53&lt;&gt;""))&gt;0,'T_SelfStock'!L53+'T_TTAFStock'!L53,K49+'Grid_Incoming'!L49-'Grid_Requirement'!L49))</f>
        <v/>
      </c>
      <c r="M49">
        <f>IF(COUNTIFS(T_StockCount[Part Name],$A49,T_StockCount[WeekIndex],12)&gt;0,SUMIFS(T_StockCount[CountedQty],T_StockCount[Part Name],$A49,T_StockCount[WeekIndex],12),IF((('T_SelfStock'!M53&lt;&gt;""))*(('T_TTAFStock'!M53&lt;&gt;""))&gt;0,'T_SelfStock'!M53+'T_TTAFStock'!M53,L49+'Grid_Incoming'!M49-'Grid_Requirement'!M49))</f>
        <v/>
      </c>
      <c r="N49">
        <f>IF(COUNTIFS(T_StockCount[Part Name],$A49,T_StockCount[WeekIndex],13)&gt;0,SUMIFS(T_StockCount[CountedQty],T_StockCount[Part Name],$A49,T_StockCount[WeekIndex],13),IF((('T_SelfStock'!N53&lt;&gt;""))*(('T_TTAFStock'!N53&lt;&gt;""))&gt;0,'T_SelfStock'!N53+'T_TTAFStock'!N53,M49+'Grid_Incoming'!N49-'Grid_Requirement'!N49))</f>
        <v/>
      </c>
      <c r="O49">
        <f>IF(COUNTIFS(T_StockCount[Part Name],$A49,T_StockCount[WeekIndex],14)&gt;0,SUMIFS(T_StockCount[CountedQty],T_StockCount[Part Name],$A49,T_StockCount[WeekIndex],14),IF((('T_SelfStock'!O53&lt;&gt;""))*(('T_TTAFStock'!O53&lt;&gt;""))&gt;0,'T_SelfStock'!O53+'T_TTAFStock'!O53,N49+'Grid_Incoming'!O49-'Grid_Requirement'!O49))</f>
        <v/>
      </c>
      <c r="P49">
        <f>IF(COUNTIFS(T_StockCount[Part Name],$A49,T_StockCount[WeekIndex],15)&gt;0,SUMIFS(T_StockCount[CountedQty],T_StockCount[Part Name],$A49,T_StockCount[WeekIndex],15),IF((('T_SelfStock'!P53&lt;&gt;""))*(('T_TTAFStock'!P53&lt;&gt;""))&gt;0,'T_SelfStock'!P53+'T_TTAFStock'!P53,O49+'Grid_Incoming'!P49-'Grid_Requirement'!P49))</f>
        <v/>
      </c>
      <c r="Q49">
        <f>IF(COUNTIFS(T_StockCount[Part Name],$A49,T_StockCount[WeekIndex],16)&gt;0,SUMIFS(T_StockCount[CountedQty],T_StockCount[Part Name],$A49,T_StockCount[WeekIndex],16),IF((('T_SelfStock'!Q53&lt;&gt;""))*(('T_TTAFStock'!Q53&lt;&gt;""))&gt;0,'T_SelfStock'!Q53+'T_TTAFStock'!Q53,P49+'Grid_Incoming'!Q49-'Grid_Requirement'!Q49))</f>
        <v/>
      </c>
      <c r="R49">
        <f>IF(COUNTIFS(T_StockCount[Part Name],$A49,T_StockCount[WeekIndex],17)&gt;0,SUMIFS(T_StockCount[CountedQty],T_StockCount[Part Name],$A49,T_StockCount[WeekIndex],17),IF((('T_SelfStock'!R53&lt;&gt;""))*(('T_TTAFStock'!R53&lt;&gt;""))&gt;0,'T_SelfStock'!R53+'T_TTAFStock'!R53,Q49+'Grid_Incoming'!R49-'Grid_Requirement'!R49))</f>
        <v/>
      </c>
      <c r="S49">
        <f>IF(COUNTIFS(T_StockCount[Part Name],$A49,T_StockCount[WeekIndex],18)&gt;0,SUMIFS(T_StockCount[CountedQty],T_StockCount[Part Name],$A49,T_StockCount[WeekIndex],18),IF((('T_SelfStock'!S53&lt;&gt;""))*(('T_TTAFStock'!S53&lt;&gt;""))&gt;0,'T_SelfStock'!S53+'T_TTAFStock'!S53,R49+'Grid_Incoming'!S49-'Grid_Requirement'!S49))</f>
        <v/>
      </c>
      <c r="T49">
        <f>IF(COUNTIFS(T_StockCount[Part Name],$A49,T_StockCount[WeekIndex],19)&gt;0,SUMIFS(T_StockCount[CountedQty],T_StockCount[Part Name],$A49,T_StockCount[WeekIndex],19),IF((('T_SelfStock'!T53&lt;&gt;""))*(('T_TTAFStock'!T53&lt;&gt;""))&gt;0,'T_SelfStock'!T53+'T_TTAFStock'!T53,S49+'Grid_Incoming'!T49-'Grid_Requirement'!T49))</f>
        <v/>
      </c>
      <c r="U49">
        <f>IF(COUNTIFS(T_StockCount[Part Name],$A49,T_StockCount[WeekIndex],20)&gt;0,SUMIFS(T_StockCount[CountedQty],T_StockCount[Part Name],$A49,T_StockCount[WeekIndex],20),IF((('T_SelfStock'!U53&lt;&gt;""))*(('T_TTAFStock'!U53&lt;&gt;""))&gt;0,'T_SelfStock'!U53+'T_TTAFStock'!U53,T49+'Grid_Incoming'!U49-'Grid_Requirement'!U49))</f>
        <v/>
      </c>
      <c r="V49">
        <f>IF(COUNTIFS(T_StockCount[Part Name],$A49,T_StockCount[WeekIndex],21)&gt;0,SUMIFS(T_StockCount[CountedQty],T_StockCount[Part Name],$A49,T_StockCount[WeekIndex],21),IF((('T_SelfStock'!V53&lt;&gt;""))*(('T_TTAFStock'!V53&lt;&gt;""))&gt;0,'T_SelfStock'!V53+'T_TTAFStock'!V53,U49+'Grid_Incoming'!V49-'Grid_Requirement'!V49))</f>
        <v/>
      </c>
      <c r="W49">
        <f>IF(COUNTIFS(T_StockCount[Part Name],$A49,T_StockCount[WeekIndex],22)&gt;0,SUMIFS(T_StockCount[CountedQty],T_StockCount[Part Name],$A49,T_StockCount[WeekIndex],22),IF((('T_SelfStock'!W53&lt;&gt;""))*(('T_TTAFStock'!W53&lt;&gt;""))&gt;0,'T_SelfStock'!W53+'T_TTAFStock'!W53,V49+'Grid_Incoming'!W49-'Grid_Requirement'!W49))</f>
        <v/>
      </c>
      <c r="X49">
        <f>IF(COUNTIFS(T_StockCount[Part Name],$A49,T_StockCount[WeekIndex],23)&gt;0,SUMIFS(T_StockCount[CountedQty],T_StockCount[Part Name],$A49,T_StockCount[WeekIndex],23),IF((('T_SelfStock'!X53&lt;&gt;""))*(('T_TTAFStock'!X53&lt;&gt;""))&gt;0,'T_SelfStock'!X53+'T_TTAFStock'!X53,W49+'Grid_Incoming'!X49-'Grid_Requirement'!X49))</f>
        <v/>
      </c>
      <c r="Y49">
        <f>IF(COUNTIFS(T_StockCount[Part Name],$A49,T_StockCount[WeekIndex],24)&gt;0,SUMIFS(T_StockCount[CountedQty],T_StockCount[Part Name],$A49,T_StockCount[WeekIndex],24),IF((('T_SelfStock'!Y53&lt;&gt;""))*(('T_TTAFStock'!Y53&lt;&gt;""))&gt;0,'T_SelfStock'!Y53+'T_TTAFStock'!Y53,X49+'Grid_Incoming'!Y49-'Grid_Requirement'!Y49))</f>
        <v/>
      </c>
      <c r="Z49">
        <f>IF(COUNTIFS(T_StockCount[Part Name],$A49,T_StockCount[WeekIndex],25)&gt;0,SUMIFS(T_StockCount[CountedQty],T_StockCount[Part Name],$A49,T_StockCount[WeekIndex],25),IF((('T_SelfStock'!Z53&lt;&gt;""))*(('T_TTAFStock'!Z53&lt;&gt;""))&gt;0,'T_SelfStock'!Z53+'T_TTAFStock'!Z53,Y49+'Grid_Incoming'!Z49-'Grid_Requirement'!Z49))</f>
        <v/>
      </c>
      <c r="AA49">
        <f>IF(COUNTIFS(T_StockCount[Part Name],$A49,T_StockCount[WeekIndex],26)&gt;0,SUMIFS(T_StockCount[CountedQty],T_StockCount[Part Name],$A49,T_StockCount[WeekIndex],26),IF((('T_SelfStock'!AA53&lt;&gt;""))*(('T_TTAFStock'!AA53&lt;&gt;""))&gt;0,'T_SelfStock'!AA53+'T_TTAFStock'!AA53,Z49+'Grid_Incoming'!AA49-'Grid_Requirement'!AA49))</f>
        <v/>
      </c>
      <c r="AB49">
        <f>IF(COUNTIFS(T_StockCount[Part Name],$A49,T_StockCount[WeekIndex],27)&gt;0,SUMIFS(T_StockCount[CountedQty],T_StockCount[Part Name],$A49,T_StockCount[WeekIndex],27),IF((('T_SelfStock'!AB53&lt;&gt;""))*(('T_TTAFStock'!AB53&lt;&gt;""))&gt;0,'T_SelfStock'!AB53+'T_TTAFStock'!AB53,AA49+'Grid_Incoming'!AB49-'Grid_Requirement'!AB49))</f>
        <v/>
      </c>
      <c r="AC49">
        <f>IF(COUNTIFS(T_StockCount[Part Name],$A49,T_StockCount[WeekIndex],28)&gt;0,SUMIFS(T_StockCount[CountedQty],T_StockCount[Part Name],$A49,T_StockCount[WeekIndex],28),IF((('T_SelfStock'!AC53&lt;&gt;""))*(('T_TTAFStock'!AC53&lt;&gt;""))&gt;0,'T_SelfStock'!AC53+'T_TTAFStock'!AC53,AB49+'Grid_Incoming'!AC49-'Grid_Requirement'!AC49))</f>
        <v/>
      </c>
      <c r="AD49">
        <f>IF(COUNTIFS(T_StockCount[Part Name],$A49,T_StockCount[WeekIndex],29)&gt;0,SUMIFS(T_StockCount[CountedQty],T_StockCount[Part Name],$A49,T_StockCount[WeekIndex],29),IF((('T_SelfStock'!AD53&lt;&gt;""))*(('T_TTAFStock'!AD53&lt;&gt;""))&gt;0,'T_SelfStock'!AD53+'T_TTAFStock'!AD53,AC49+'Grid_Incoming'!AD49-'Grid_Requirement'!AD49))</f>
        <v/>
      </c>
      <c r="AE49">
        <f>IF(COUNTIFS(T_StockCount[Part Name],$A49,T_StockCount[WeekIndex],30)&gt;0,SUMIFS(T_StockCount[CountedQty],T_StockCount[Part Name],$A49,T_StockCount[WeekIndex],30),IF((('T_SelfStock'!AE53&lt;&gt;""))*(('T_TTAFStock'!AE53&lt;&gt;""))&gt;0,'T_SelfStock'!AE53+'T_TTAFStock'!AE53,AD49+'Grid_Incoming'!AE49-'Grid_Requirement'!AE49))</f>
        <v/>
      </c>
      <c r="AF49">
        <f>IF(COUNTIFS(T_StockCount[Part Name],$A49,T_StockCount[WeekIndex],31)&gt;0,SUMIFS(T_StockCount[CountedQty],T_StockCount[Part Name],$A49,T_StockCount[WeekIndex],31),IF((('T_SelfStock'!AF53&lt;&gt;""))*(('T_TTAFStock'!AF53&lt;&gt;""))&gt;0,'T_SelfStock'!AF53+'T_TTAFStock'!AF53,AE49+'Grid_Incoming'!AF49-'Grid_Requirement'!AF49))</f>
        <v/>
      </c>
      <c r="AG49">
        <f>IF(COUNTIFS(T_StockCount[Part Name],$A49,T_StockCount[WeekIndex],32)&gt;0,SUMIFS(T_StockCount[CountedQty],T_StockCount[Part Name],$A49,T_StockCount[WeekIndex],32),IF((('T_SelfStock'!AG53&lt;&gt;""))*(('T_TTAFStock'!AG53&lt;&gt;""))&gt;0,'T_SelfStock'!AG53+'T_TTAFStock'!AG53,AF49+'Grid_Incoming'!AG49-'Grid_Requirement'!AG49))</f>
        <v/>
      </c>
      <c r="AH49">
        <f>IF(COUNTIFS(T_StockCount[Part Name],$A49,T_StockCount[WeekIndex],33)&gt;0,SUMIFS(T_StockCount[CountedQty],T_StockCount[Part Name],$A49,T_StockCount[WeekIndex],33),IF((('T_SelfStock'!AH53&lt;&gt;""))*(('T_TTAFStock'!AH53&lt;&gt;""))&gt;0,'T_SelfStock'!AH53+'T_TTAFStock'!AH53,AG49+'Grid_Incoming'!AH49-'Grid_Requirement'!AH49))</f>
        <v/>
      </c>
      <c r="AI49">
        <f>IF(COUNTIFS(T_StockCount[Part Name],$A49,T_StockCount[WeekIndex],34)&gt;0,SUMIFS(T_StockCount[CountedQty],T_StockCount[Part Name],$A49,T_StockCount[WeekIndex],34),IF((('T_SelfStock'!AI53&lt;&gt;""))*(('T_TTAFStock'!AI53&lt;&gt;""))&gt;0,'T_SelfStock'!AI53+'T_TTAFStock'!AI53,AH49+'Grid_Incoming'!AI49-'Grid_Requirement'!AI49))</f>
        <v/>
      </c>
      <c r="AJ49">
        <f>IF(COUNTIFS(T_StockCount[Part Name],$A49,T_StockCount[WeekIndex],35)&gt;0,SUMIFS(T_StockCount[CountedQty],T_StockCount[Part Name],$A49,T_StockCount[WeekIndex],35),IF((('T_SelfStock'!AJ53&lt;&gt;""))*(('T_TTAFStock'!AJ53&lt;&gt;""))&gt;0,'T_SelfStock'!AJ53+'T_TTAFStock'!AJ53,AI49+'Grid_Incoming'!AJ49-'Grid_Requirement'!AJ49))</f>
        <v/>
      </c>
      <c r="AK49">
        <f>IF(COUNTIFS(T_StockCount[Part Name],$A49,T_StockCount[WeekIndex],36)&gt;0,SUMIFS(T_StockCount[CountedQty],T_StockCount[Part Name],$A49,T_StockCount[WeekIndex],36),IF((('T_SelfStock'!AK53&lt;&gt;""))*(('T_TTAFStock'!AK53&lt;&gt;""))&gt;0,'T_SelfStock'!AK53+'T_TTAFStock'!AK53,AJ49+'Grid_Incoming'!AK49-'Grid_Requirement'!AK49))</f>
        <v/>
      </c>
      <c r="AL49">
        <f>IF(COUNTIFS(T_StockCount[Part Name],$A49,T_StockCount[WeekIndex],37)&gt;0,SUMIFS(T_StockCount[CountedQty],T_StockCount[Part Name],$A49,T_StockCount[WeekIndex],37),IF((('T_SelfStock'!AL53&lt;&gt;""))*(('T_TTAFStock'!AL53&lt;&gt;""))&gt;0,'T_SelfStock'!AL53+'T_TTAFStock'!AL53,AK49+'Grid_Incoming'!AL49-'Grid_Requirement'!AL49))</f>
        <v/>
      </c>
      <c r="AM49">
        <f>IF(COUNTIFS(T_StockCount[Part Name],$A49,T_StockCount[WeekIndex],38)&gt;0,SUMIFS(T_StockCount[CountedQty],T_StockCount[Part Name],$A49,T_StockCount[WeekIndex],38),IF((('T_SelfStock'!AM53&lt;&gt;""))*(('T_TTAFStock'!AM53&lt;&gt;""))&gt;0,'T_SelfStock'!AM53+'T_TTAFStock'!AM53,AL49+'Grid_Incoming'!AM49-'Grid_Requirement'!AM49))</f>
        <v/>
      </c>
      <c r="AN49">
        <f>IF(COUNTIFS(T_StockCount[Part Name],$A49,T_StockCount[WeekIndex],39)&gt;0,SUMIFS(T_StockCount[CountedQty],T_StockCount[Part Name],$A49,T_StockCount[WeekIndex],39),IF((('T_SelfStock'!AN53&lt;&gt;""))*(('T_TTAFStock'!AN53&lt;&gt;""))&gt;0,'T_SelfStock'!AN53+'T_TTAFStock'!AN53,AM49+'Grid_Incoming'!AN49-'Grid_Requirement'!AN49))</f>
        <v/>
      </c>
      <c r="AO49">
        <f>IF(COUNTIFS(T_StockCount[Part Name],$A49,T_StockCount[WeekIndex],40)&gt;0,SUMIFS(T_StockCount[CountedQty],T_StockCount[Part Name],$A49,T_StockCount[WeekIndex],40),IF((('T_SelfStock'!AO53&lt;&gt;""))*(('T_TTAFStock'!AO53&lt;&gt;""))&gt;0,'T_SelfStock'!AO53+'T_TTAFStock'!AO53,AN49+'Grid_Incoming'!AO49-'Grid_Requirement'!AO49))</f>
        <v/>
      </c>
      <c r="AP49">
        <f>IF(COUNTIFS(T_StockCount[Part Name],$A49,T_StockCount[WeekIndex],41)&gt;0,SUMIFS(T_StockCount[CountedQty],T_StockCount[Part Name],$A49,T_StockCount[WeekIndex],41),IF((('T_SelfStock'!AP53&lt;&gt;""))*(('T_TTAFStock'!AP53&lt;&gt;""))&gt;0,'T_SelfStock'!AP53+'T_TTAFStock'!AP53,AO49+'Grid_Incoming'!AP49-'Grid_Requirement'!AP49))</f>
        <v/>
      </c>
      <c r="AQ49">
        <f>IF(COUNTIFS(T_StockCount[Part Name],$A49,T_StockCount[WeekIndex],42)&gt;0,SUMIFS(T_StockCount[CountedQty],T_StockCount[Part Name],$A49,T_StockCount[WeekIndex],42),IF((('T_SelfStock'!AQ53&lt;&gt;""))*(('T_TTAFStock'!AQ53&lt;&gt;""))&gt;0,'T_SelfStock'!AQ53+'T_TTAFStock'!AQ53,AP49+'Grid_Incoming'!AQ49-'Grid_Requirement'!AQ49))</f>
        <v/>
      </c>
      <c r="AR49">
        <f>IF(COUNTIFS(T_StockCount[Part Name],$A49,T_StockCount[WeekIndex],43)&gt;0,SUMIFS(T_StockCount[CountedQty],T_StockCount[Part Name],$A49,T_StockCount[WeekIndex],43),IF((('T_SelfStock'!AR53&lt;&gt;""))*(('T_TTAFStock'!AR53&lt;&gt;""))&gt;0,'T_SelfStock'!AR53+'T_TTAFStock'!AR53,AQ49+'Grid_Incoming'!AR49-'Grid_Requirement'!AR49))</f>
        <v/>
      </c>
      <c r="AS49">
        <f>IF(COUNTIFS(T_StockCount[Part Name],$A49,T_StockCount[WeekIndex],44)&gt;0,SUMIFS(T_StockCount[CountedQty],T_StockCount[Part Name],$A49,T_StockCount[WeekIndex],44),IF((('T_SelfStock'!AS53&lt;&gt;""))*(('T_TTAFStock'!AS53&lt;&gt;""))&gt;0,'T_SelfStock'!AS53+'T_TTAFStock'!AS53,AR49+'Grid_Incoming'!AS49-'Grid_Requirement'!AS49))</f>
        <v/>
      </c>
      <c r="AT49">
        <f>IF(COUNTIFS(T_StockCount[Part Name],$A49,T_StockCount[WeekIndex],45)&gt;0,SUMIFS(T_StockCount[CountedQty],T_StockCount[Part Name],$A49,T_StockCount[WeekIndex],45),IF((('T_SelfStock'!AT53&lt;&gt;""))*(('T_TTAFStock'!AT53&lt;&gt;""))&gt;0,'T_SelfStock'!AT53+'T_TTAFStock'!AT53,AS49+'Grid_Incoming'!AT49-'Grid_Requirement'!AT49))</f>
        <v/>
      </c>
      <c r="AU49">
        <f>IF(COUNTIFS(T_StockCount[Part Name],$A49,T_StockCount[WeekIndex],46)&gt;0,SUMIFS(T_StockCount[CountedQty],T_StockCount[Part Name],$A49,T_StockCount[WeekIndex],46),IF((('T_SelfStock'!AU53&lt;&gt;""))*(('T_TTAFStock'!AU53&lt;&gt;""))&gt;0,'T_SelfStock'!AU53+'T_TTAFStock'!AU53,AT49+'Grid_Incoming'!AU49-'Grid_Requirement'!AU49))</f>
        <v/>
      </c>
      <c r="AV49">
        <f>IF(COUNTIFS(T_StockCount[Part Name],$A49,T_StockCount[WeekIndex],47)&gt;0,SUMIFS(T_StockCount[CountedQty],T_StockCount[Part Name],$A49,T_StockCount[WeekIndex],47),IF((('T_SelfStock'!AV53&lt;&gt;""))*(('T_TTAFStock'!AV53&lt;&gt;""))&gt;0,'T_SelfStock'!AV53+'T_TTAFStock'!AV53,AU49+'Grid_Incoming'!AV49-'Grid_Requirement'!AV49))</f>
        <v/>
      </c>
      <c r="AW49">
        <f>IF(COUNTIFS(T_StockCount[Part Name],$A49,T_StockCount[WeekIndex],48)&gt;0,SUMIFS(T_StockCount[CountedQty],T_StockCount[Part Name],$A49,T_StockCount[WeekIndex],48),IF((('T_SelfStock'!AW53&lt;&gt;""))*(('T_TTAFStock'!AW53&lt;&gt;""))&gt;0,'T_SelfStock'!AW53+'T_TTAFStock'!AW53,AV49+'Grid_Incoming'!AW49-'Grid_Requirement'!AW49))</f>
        <v/>
      </c>
      <c r="AX49">
        <f>IF(COUNTIFS(T_StockCount[Part Name],$A49,T_StockCount[WeekIndex],49)&gt;0,SUMIFS(T_StockCount[CountedQty],T_StockCount[Part Name],$A49,T_StockCount[WeekIndex],49),IF((('T_SelfStock'!AX53&lt;&gt;""))*(('T_TTAFStock'!AX53&lt;&gt;""))&gt;0,'T_SelfStock'!AX53+'T_TTAFStock'!AX53,AW49+'Grid_Incoming'!AX49-'Grid_Requirement'!AX49))</f>
        <v/>
      </c>
      <c r="AY49">
        <f>IF(COUNTIFS(T_StockCount[Part Name],$A49,T_StockCount[WeekIndex],50)&gt;0,SUMIFS(T_StockCount[CountedQty],T_StockCount[Part Name],$A49,T_StockCount[WeekIndex],50),IF((('T_SelfStock'!AY53&lt;&gt;""))*(('T_TTAFStock'!AY53&lt;&gt;""))&gt;0,'T_SelfStock'!AY53+'T_TTAFStock'!AY53,AX49+'Grid_Incoming'!AY49-'Grid_Requirement'!AY49))</f>
        <v/>
      </c>
      <c r="AZ49">
        <f>IF(COUNTIFS(T_StockCount[Part Name],$A49,T_StockCount[WeekIndex],51)&gt;0,SUMIFS(T_StockCount[CountedQty],T_StockCount[Part Name],$A49,T_StockCount[WeekIndex],51),IF((('T_SelfStock'!AZ53&lt;&gt;""))*(('T_TTAFStock'!AZ53&lt;&gt;""))&gt;0,'T_SelfStock'!AZ53+'T_TTAFStock'!AZ53,AY49+'Grid_Incoming'!AZ49-'Grid_Requirement'!AZ49))</f>
        <v/>
      </c>
      <c r="BA49">
        <f>IF(COUNTIFS(T_StockCount[Part Name],$A49,T_StockCount[WeekIndex],52)&gt;0,SUMIFS(T_StockCount[CountedQty],T_StockCount[Part Name],$A49,T_StockCount[WeekIndex],52),IF((('T_SelfStock'!BA53&lt;&gt;""))*(('T_TTAFStock'!BA53&lt;&gt;""))&gt;0,'T_SelfStock'!BA53+'T_TTAFStock'!BA53,AZ49+'Grid_Incoming'!BA49-'Grid_Requirement'!BA49))</f>
        <v/>
      </c>
      <c r="BB49">
        <f>IF(COUNTIFS(T_StockCount[Part Name],$A49,T_StockCount[WeekIndex],53)&gt;0,SUMIFS(T_StockCount[CountedQty],T_StockCount[Part Name],$A49,T_StockCount[WeekIndex],53),IF((('T_SelfStock'!BB53&lt;&gt;""))*(('T_TTAFStock'!BB53&lt;&gt;""))&gt;0,'T_SelfStock'!BB53+'T_TTAFStock'!BB53,BA49+'Grid_Incoming'!BB49-'Grid_Requirement'!BB49))</f>
        <v/>
      </c>
      <c r="BC49">
        <f>IF(COUNTIFS(T_StockCount[Part Name],$A49,T_StockCount[WeekIndex],54)&gt;0,SUMIFS(T_StockCount[CountedQty],T_StockCount[Part Name],$A49,T_StockCount[WeekIndex],54),IF((('T_SelfStock'!BC53&lt;&gt;""))*(('T_TTAFStock'!BC53&lt;&gt;""))&gt;0,'T_SelfStock'!BC53+'T_TTAFStock'!BC53,BB49+'Grid_Incoming'!BC49-'Grid_Requirement'!BC49))</f>
        <v/>
      </c>
      <c r="BD49">
        <f>IF(COUNTIFS(T_StockCount[Part Name],$A49,T_StockCount[WeekIndex],55)&gt;0,SUMIFS(T_StockCount[CountedQty],T_StockCount[Part Name],$A49,T_StockCount[WeekIndex],55),IF((('T_SelfStock'!BD53&lt;&gt;""))*(('T_TTAFStock'!BD53&lt;&gt;""))&gt;0,'T_SelfStock'!BD53+'T_TTAFStock'!BD53,BC49+'Grid_Incoming'!BD49-'Grid_Requirement'!BD49))</f>
        <v/>
      </c>
      <c r="BE49">
        <f>IF(COUNTIFS(T_StockCount[Part Name],$A49,T_StockCount[WeekIndex],56)&gt;0,SUMIFS(T_StockCount[CountedQty],T_StockCount[Part Name],$A49,T_StockCount[WeekIndex],56),IF((('T_SelfStock'!BE53&lt;&gt;""))*(('T_TTAFStock'!BE53&lt;&gt;""))&gt;0,'T_SelfStock'!BE53+'T_TTAFStock'!BE53,BD49+'Grid_Incoming'!BE49-'Grid_Requirement'!BE49))</f>
        <v/>
      </c>
      <c r="BF49">
        <f>IF(COUNTIFS(T_StockCount[Part Name],$A49,T_StockCount[WeekIndex],57)&gt;0,SUMIFS(T_StockCount[CountedQty],T_StockCount[Part Name],$A49,T_StockCount[WeekIndex],57),IF((('T_SelfStock'!BF53&lt;&gt;""))*(('T_TTAFStock'!BF53&lt;&gt;""))&gt;0,'T_SelfStock'!BF53+'T_TTAFStock'!BF53,BE49+'Grid_Incoming'!BF49-'Grid_Requirement'!BF49))</f>
        <v/>
      </c>
      <c r="BG49">
        <f>IF(COUNTIFS(T_StockCount[Part Name],$A49,T_StockCount[WeekIndex],58)&gt;0,SUMIFS(T_StockCount[CountedQty],T_StockCount[Part Name],$A49,T_StockCount[WeekIndex],58),IF((('T_SelfStock'!BG53&lt;&gt;""))*(('T_TTAFStock'!BG53&lt;&gt;""))&gt;0,'T_SelfStock'!BG53+'T_TTAFStock'!BG53,BF49+'Grid_Incoming'!BG49-'Grid_Requirement'!BG49))</f>
        <v/>
      </c>
      <c r="BH49">
        <f>IF(COUNTIFS(T_StockCount[Part Name],$A49,T_StockCount[WeekIndex],59)&gt;0,SUMIFS(T_StockCount[CountedQty],T_StockCount[Part Name],$A49,T_StockCount[WeekIndex],59),IF((('T_SelfStock'!BH53&lt;&gt;""))*(('T_TTAFStock'!BH53&lt;&gt;""))&gt;0,'T_SelfStock'!BH53+'T_TTAFStock'!BH53,BG49+'Grid_Incoming'!BH49-'Grid_Requirement'!BH49))</f>
        <v/>
      </c>
      <c r="BI49">
        <f>IF(COUNTIFS(T_StockCount[Part Name],$A49,T_StockCount[WeekIndex],60)&gt;0,SUMIFS(T_StockCount[CountedQty],T_StockCount[Part Name],$A49,T_StockCount[WeekIndex],60),IF((('T_SelfStock'!BI53&lt;&gt;""))*(('T_TTAFStock'!BI53&lt;&gt;""))&gt;0,'T_SelfStock'!BI53+'T_TTAFStock'!BI53,BH49+'Grid_Incoming'!BI49-'Grid_Requirement'!BI49))</f>
        <v/>
      </c>
      <c r="BJ49">
        <f>IF(COUNTIFS(T_StockCount[Part Name],$A49,T_StockCount[WeekIndex],61)&gt;0,SUMIFS(T_StockCount[CountedQty],T_StockCount[Part Name],$A49,T_StockCount[WeekIndex],61),IF((('T_SelfStock'!BJ53&lt;&gt;""))*(('T_TTAFStock'!BJ53&lt;&gt;""))&gt;0,'T_SelfStock'!BJ53+'T_TTAFStock'!BJ53,BI49+'Grid_Incoming'!BJ49-'Grid_Requirement'!BJ49))</f>
        <v/>
      </c>
      <c r="BK49">
        <f>IF(COUNTIFS(T_StockCount[Part Name],$A49,T_StockCount[WeekIndex],62)&gt;0,SUMIFS(T_StockCount[CountedQty],T_StockCount[Part Name],$A49,T_StockCount[WeekIndex],62),IF((('T_SelfStock'!BK53&lt;&gt;""))*(('T_TTAFStock'!BK53&lt;&gt;""))&gt;0,'T_SelfStock'!BK53+'T_TTAFStock'!BK53,BJ49+'Grid_Incoming'!BK49-'Grid_Requirement'!BK49))</f>
        <v/>
      </c>
      <c r="BL49">
        <f>IF(COUNTIFS(T_StockCount[Part Name],$A49,T_StockCount[WeekIndex],63)&gt;0,SUMIFS(T_StockCount[CountedQty],T_StockCount[Part Name],$A49,T_StockCount[WeekIndex],63),IF((('T_SelfStock'!BL53&lt;&gt;""))*(('T_TTAFStock'!BL53&lt;&gt;""))&gt;0,'T_SelfStock'!BL53+'T_TTAFStock'!BL53,BK49+'Grid_Incoming'!BL49-'Grid_Requirement'!BL49))</f>
        <v/>
      </c>
      <c r="BM49">
        <f>IF(COUNTIFS(T_StockCount[Part Name],$A49,T_StockCount[WeekIndex],64)&gt;0,SUMIFS(T_StockCount[CountedQty],T_StockCount[Part Name],$A49,T_StockCount[WeekIndex],64),IF((('T_SelfStock'!BM53&lt;&gt;""))*(('T_TTAFStock'!BM53&lt;&gt;""))&gt;0,'T_SelfStock'!BM53+'T_TTAFStock'!BM53,BL49+'Grid_Incoming'!BM49-'Grid_Requirement'!BM49))</f>
        <v/>
      </c>
      <c r="BN49">
        <f>IF(COUNTIFS(T_StockCount[Part Name],$A49,T_StockCount[WeekIndex],65)&gt;0,SUMIFS(T_StockCount[CountedQty],T_StockCount[Part Name],$A49,T_StockCount[WeekIndex],65),IF((('T_SelfStock'!BN53&lt;&gt;""))*(('T_TTAFStock'!BN53&lt;&gt;""))&gt;0,'T_SelfStock'!BN53+'T_TTAFStock'!BN53,BM49+'Grid_Incoming'!BN49-'Grid_Requirement'!BN49))</f>
        <v/>
      </c>
      <c r="BO49">
        <f>IF(COUNTIFS(T_StockCount[Part Name],$A49,T_StockCount[WeekIndex],66)&gt;0,SUMIFS(T_StockCount[CountedQty],T_StockCount[Part Name],$A49,T_StockCount[WeekIndex],66),IF((('T_SelfStock'!BO53&lt;&gt;""))*(('T_TTAFStock'!BO53&lt;&gt;""))&gt;0,'T_SelfStock'!BO53+'T_TTAFStock'!BO53,BN49+'Grid_Incoming'!BO49-'Grid_Requirement'!BO49))</f>
        <v/>
      </c>
      <c r="BP49">
        <f>IF(COUNTIFS(T_StockCount[Part Name],$A49,T_StockCount[WeekIndex],67)&gt;0,SUMIFS(T_StockCount[CountedQty],T_StockCount[Part Name],$A49,T_StockCount[WeekIndex],67),IF((('T_SelfStock'!BP53&lt;&gt;""))*(('T_TTAFStock'!BP53&lt;&gt;""))&gt;0,'T_SelfStock'!BP53+'T_TTAFStock'!BP53,BO49+'Grid_Incoming'!BP49-'Grid_Requirement'!BP49))</f>
        <v/>
      </c>
      <c r="BQ49">
        <f>IF(COUNTIFS(T_StockCount[Part Name],$A49,T_StockCount[WeekIndex],68)&gt;0,SUMIFS(T_StockCount[CountedQty],T_StockCount[Part Name],$A49,T_StockCount[WeekIndex],68),IF((('T_SelfStock'!BQ53&lt;&gt;""))*(('T_TTAFStock'!BQ53&lt;&gt;""))&gt;0,'T_SelfStock'!BQ53+'T_TTAFStock'!BQ53,BP49+'Grid_Incoming'!BQ49-'Grid_Requirement'!BQ49))</f>
        <v/>
      </c>
      <c r="BR49">
        <f>IF(COUNTIFS(T_StockCount[Part Name],$A49,T_StockCount[WeekIndex],69)&gt;0,SUMIFS(T_StockCount[CountedQty],T_StockCount[Part Name],$A49,T_StockCount[WeekIndex],69),IF((('T_SelfStock'!BR53&lt;&gt;""))*(('T_TTAFStock'!BR53&lt;&gt;""))&gt;0,'T_SelfStock'!BR53+'T_TTAFStock'!BR53,BQ49+'Grid_Incoming'!BR49-'Grid_Requirement'!BR49))</f>
        <v/>
      </c>
      <c r="BS49">
        <f>IF(COUNTIFS(T_StockCount[Part Name],$A49,T_StockCount[WeekIndex],70)&gt;0,SUMIFS(T_StockCount[CountedQty],T_StockCount[Part Name],$A49,T_StockCount[WeekIndex],70),IF((('T_SelfStock'!BS53&lt;&gt;""))*(('T_TTAFStock'!BS53&lt;&gt;""))&gt;0,'T_SelfStock'!BS53+'T_TTAFStock'!BS53,BR49+'Grid_Incoming'!BS49-'Grid_Requirement'!BS49))</f>
        <v/>
      </c>
      <c r="BT49">
        <f>IF(COUNTIFS(T_StockCount[Part Name],$A49,T_StockCount[WeekIndex],71)&gt;0,SUMIFS(T_StockCount[CountedQty],T_StockCount[Part Name],$A49,T_StockCount[WeekIndex],71),IF((('T_SelfStock'!BT53&lt;&gt;""))*(('T_TTAFStock'!BT53&lt;&gt;""))&gt;0,'T_SelfStock'!BT53+'T_TTAFStock'!BT53,BS49+'Grid_Incoming'!BT49-'Grid_Requirement'!BT49))</f>
        <v/>
      </c>
      <c r="BU49">
        <f>IF(COUNTIFS(T_StockCount[Part Name],$A49,T_StockCount[WeekIndex],72)&gt;0,SUMIFS(T_StockCount[CountedQty],T_StockCount[Part Name],$A49,T_StockCount[WeekIndex],72),IF((('T_SelfStock'!BU53&lt;&gt;""))*(('T_TTAFStock'!BU53&lt;&gt;""))&gt;0,'T_SelfStock'!BU53+'T_TTAFStock'!BU53,BT49+'Grid_Incoming'!BU49-'Grid_Requirement'!BU49))</f>
        <v/>
      </c>
      <c r="BV49">
        <f>IF(COUNTIFS(T_StockCount[Part Name],$A49,T_StockCount[WeekIndex],73)&gt;0,SUMIFS(T_StockCount[CountedQty],T_StockCount[Part Name],$A49,T_StockCount[WeekIndex],73),IF((('T_SelfStock'!BV53&lt;&gt;""))*(('T_TTAFStock'!BV53&lt;&gt;""))&gt;0,'T_SelfStock'!BV53+'T_TTAFStock'!BV53,BU49+'Grid_Incoming'!BV49-'Grid_Requirement'!BV49))</f>
        <v/>
      </c>
      <c r="BW49">
        <f>IF(COUNTIFS(T_StockCount[Part Name],$A49,T_StockCount[WeekIndex],74)&gt;0,SUMIFS(T_StockCount[CountedQty],T_StockCount[Part Name],$A49,T_StockCount[WeekIndex],74),IF((('T_SelfStock'!BW53&lt;&gt;""))*(('T_TTAFStock'!BW53&lt;&gt;""))&gt;0,'T_SelfStock'!BW53+'T_TTAFStock'!BW53,BV49+'Grid_Incoming'!BW49-'Grid_Requirement'!BW49))</f>
        <v/>
      </c>
      <c r="BX49">
        <f>IF(COUNTIFS(T_StockCount[Part Name],$A49,T_StockCount[WeekIndex],75)&gt;0,SUMIFS(T_StockCount[CountedQty],T_StockCount[Part Name],$A49,T_StockCount[WeekIndex],75),IF((('T_SelfStock'!BX53&lt;&gt;""))*(('T_TTAFStock'!BX53&lt;&gt;""))&gt;0,'T_SelfStock'!BX53+'T_TTAFStock'!BX53,BW49+'Grid_Incoming'!BX49-'Grid_Requirement'!BX49))</f>
        <v/>
      </c>
      <c r="BY49">
        <f>IF(COUNTIFS(T_StockCount[Part Name],$A49,T_StockCount[WeekIndex],76)&gt;0,SUMIFS(T_StockCount[CountedQty],T_StockCount[Part Name],$A49,T_StockCount[WeekIndex],76),IF((('T_SelfStock'!BY53&lt;&gt;""))*(('T_TTAFStock'!BY53&lt;&gt;""))&gt;0,'T_SelfStock'!BY53+'T_TTAFStock'!BY53,BX49+'Grid_Incoming'!BY49-'Grid_Requirement'!BY49))</f>
        <v/>
      </c>
      <c r="BZ49">
        <f>IF(COUNTIFS(T_StockCount[Part Name],$A49,T_StockCount[WeekIndex],77)&gt;0,SUMIFS(T_StockCount[CountedQty],T_StockCount[Part Name],$A49,T_StockCount[WeekIndex],77),IF((('T_SelfStock'!BZ53&lt;&gt;""))*(('T_TTAFStock'!BZ53&lt;&gt;""))&gt;0,'T_SelfStock'!BZ53+'T_TTAFStock'!BZ53,BY49+'Grid_Incoming'!BZ49-'Grid_Requirement'!BZ49))</f>
        <v/>
      </c>
      <c r="CA49">
        <f>IF(COUNTIFS(T_StockCount[Part Name],$A49,T_StockCount[WeekIndex],78)&gt;0,SUMIFS(T_StockCount[CountedQty],T_StockCount[Part Name],$A49,T_StockCount[WeekIndex],78),IF((('T_SelfStock'!CA53&lt;&gt;""))*(('T_TTAFStock'!CA53&lt;&gt;""))&gt;0,'T_SelfStock'!CA53+'T_TTAFStock'!CA53,BZ49+'Grid_Incoming'!CA49-'Grid_Requirement'!CA49))</f>
        <v/>
      </c>
      <c r="CB49">
        <f>IF(COUNTIFS(T_StockCount[Part Name],$A49,T_StockCount[WeekIndex],79)&gt;0,SUMIFS(T_StockCount[CountedQty],T_StockCount[Part Name],$A49,T_StockCount[WeekIndex],79),IF((('T_SelfStock'!CB53&lt;&gt;""))*(('T_TTAFStock'!CB53&lt;&gt;""))&gt;0,'T_SelfStock'!CB53+'T_TTAFStock'!CB53,CA49+'Grid_Incoming'!CB49-'Grid_Requirement'!CB49))</f>
        <v/>
      </c>
      <c r="CC49">
        <f>IF(COUNTIFS(T_StockCount[Part Name],$A49,T_StockCount[WeekIndex],80)&gt;0,SUMIFS(T_StockCount[CountedQty],T_StockCount[Part Name],$A49,T_StockCount[WeekIndex],80),IF((('T_SelfStock'!CC53&lt;&gt;""))*(('T_TTAFStock'!CC53&lt;&gt;""))&gt;0,'T_SelfStock'!CC53+'T_TTAFStock'!CC53,CB49+'Grid_Incoming'!CC49-'Grid_Requirement'!CC49))</f>
        <v/>
      </c>
      <c r="CD49">
        <f>IF(COUNTIFS(T_StockCount[Part Name],$A49,T_StockCount[WeekIndex],81)&gt;0,SUMIFS(T_StockCount[CountedQty],T_StockCount[Part Name],$A49,T_StockCount[WeekIndex],81),IF((('T_SelfStock'!CD53&lt;&gt;""))*(('T_TTAFStock'!CD53&lt;&gt;""))&gt;0,'T_SelfStock'!CD53+'T_TTAFStock'!CD53,CC49+'Grid_Incoming'!CD49-'Grid_Requirement'!CD49))</f>
        <v/>
      </c>
      <c r="CE49">
        <f>IF(COUNTIFS(T_StockCount[Part Name],$A49,T_StockCount[WeekIndex],82)&gt;0,SUMIFS(T_StockCount[CountedQty],T_StockCount[Part Name],$A49,T_StockCount[WeekIndex],82),IF((('T_SelfStock'!CE53&lt;&gt;""))*(('T_TTAFStock'!CE53&lt;&gt;""))&gt;0,'T_SelfStock'!CE53+'T_TTAFStock'!CE53,CD49+'Grid_Incoming'!CE49-'Grid_Requirement'!CE49))</f>
        <v/>
      </c>
      <c r="CF49">
        <f>IF(COUNTIFS(T_StockCount[Part Name],$A49,T_StockCount[WeekIndex],83)&gt;0,SUMIFS(T_StockCount[CountedQty],T_StockCount[Part Name],$A49,T_StockCount[WeekIndex],83),IF((('T_SelfStock'!CF53&lt;&gt;""))*(('T_TTAFStock'!CF53&lt;&gt;""))&gt;0,'T_SelfStock'!CF53+'T_TTAFStock'!CF53,CE49+'Grid_Incoming'!CF49-'Grid_Requirement'!CF49))</f>
        <v/>
      </c>
      <c r="CG49">
        <f>IF(COUNTIFS(T_StockCount[Part Name],$A49,T_StockCount[WeekIndex],84)&gt;0,SUMIFS(T_StockCount[CountedQty],T_StockCount[Part Name],$A49,T_StockCount[WeekIndex],84),IF((('T_SelfStock'!CG53&lt;&gt;""))*(('T_TTAFStock'!CG53&lt;&gt;""))&gt;0,'T_SelfStock'!CG53+'T_TTAFStock'!CG53,CF49+'Grid_Incoming'!CG49-'Grid_Requirement'!CG49))</f>
        <v/>
      </c>
      <c r="CH49">
        <f>IF(COUNTIFS(T_StockCount[Part Name],$A49,T_StockCount[WeekIndex],85)&gt;0,SUMIFS(T_StockCount[CountedQty],T_StockCount[Part Name],$A49,T_StockCount[WeekIndex],85),IF((('T_SelfStock'!CH53&lt;&gt;""))*(('T_TTAFStock'!CH53&lt;&gt;""))&gt;0,'T_SelfStock'!CH53+'T_TTAFStock'!CH53,CG49+'Grid_Incoming'!CH49-'Grid_Requirement'!CH49))</f>
        <v/>
      </c>
      <c r="CI49">
        <f>IF(COUNTIFS(T_StockCount[Part Name],$A49,T_StockCount[WeekIndex],86)&gt;0,SUMIFS(T_StockCount[CountedQty],T_StockCount[Part Name],$A49,T_StockCount[WeekIndex],86),IF((('T_SelfStock'!CI53&lt;&gt;""))*(('T_TTAFStock'!CI53&lt;&gt;""))&gt;0,'T_SelfStock'!CI53+'T_TTAFStock'!CI53,CH49+'Grid_Incoming'!CI49-'Grid_Requirement'!CI49))</f>
        <v/>
      </c>
      <c r="CJ49">
        <f>IF(COUNTIFS(T_StockCount[Part Name],$A49,T_StockCount[WeekIndex],87)&gt;0,SUMIFS(T_StockCount[CountedQty],T_StockCount[Part Name],$A49,T_StockCount[WeekIndex],87),IF((('T_SelfStock'!CJ53&lt;&gt;""))*(('T_TTAFStock'!CJ53&lt;&gt;""))&gt;0,'T_SelfStock'!CJ53+'T_TTAFStock'!CJ53,CI49+'Grid_Incoming'!CJ49-'Grid_Requirement'!CJ49))</f>
        <v/>
      </c>
      <c r="CK49">
        <f>IF(COUNTIFS(T_StockCount[Part Name],$A49,T_StockCount[WeekIndex],88)&gt;0,SUMIFS(T_StockCount[CountedQty],T_StockCount[Part Name],$A49,T_StockCount[WeekIndex],88),IF((('T_SelfStock'!CK53&lt;&gt;""))*(('T_TTAFStock'!CK53&lt;&gt;""))&gt;0,'T_SelfStock'!CK53+'T_TTAFStock'!CK53,CJ49+'Grid_Incoming'!CK49-'Grid_Requirement'!CK49))</f>
        <v/>
      </c>
      <c r="CL49">
        <f>IF(COUNTIFS(T_StockCount[Part Name],$A49,T_StockCount[WeekIndex],89)&gt;0,SUMIFS(T_StockCount[CountedQty],T_StockCount[Part Name],$A49,T_StockCount[WeekIndex],89),IF((('T_SelfStock'!CL53&lt;&gt;""))*(('T_TTAFStock'!CL53&lt;&gt;""))&gt;0,'T_SelfStock'!CL53+'T_TTAFStock'!CL53,CK49+'Grid_Incoming'!CL49-'Grid_Requirement'!CL49))</f>
        <v/>
      </c>
      <c r="CM49">
        <f>IF(COUNTIFS(T_StockCount[Part Name],$A49,T_StockCount[WeekIndex],90)&gt;0,SUMIFS(T_StockCount[CountedQty],T_StockCount[Part Name],$A49,T_StockCount[WeekIndex],90),IF((('T_SelfStock'!CM53&lt;&gt;""))*(('T_TTAFStock'!CM53&lt;&gt;""))&gt;0,'T_SelfStock'!CM53+'T_TTAFStock'!CM53,CL49+'Grid_Incoming'!CM49-'Grid_Requirement'!CM49))</f>
        <v/>
      </c>
      <c r="CN49">
        <f>IF(COUNTIFS(T_StockCount[Part Name],$A49,T_StockCount[WeekIndex],91)&gt;0,SUMIFS(T_StockCount[CountedQty],T_StockCount[Part Name],$A49,T_StockCount[WeekIndex],91),IF((('T_SelfStock'!CN53&lt;&gt;""))*(('T_TTAFStock'!CN53&lt;&gt;""))&gt;0,'T_SelfStock'!CN53+'T_TTAFStock'!CN53,CM49+'Grid_Incoming'!CN49-'Grid_Requirement'!CN49))</f>
        <v/>
      </c>
      <c r="CO49">
        <f>IF(COUNTIFS(T_StockCount[Part Name],$A49,T_StockCount[WeekIndex],92)&gt;0,SUMIFS(T_StockCount[CountedQty],T_StockCount[Part Name],$A49,T_StockCount[WeekIndex],92),IF((('T_SelfStock'!CO53&lt;&gt;""))*(('T_TTAFStock'!CO53&lt;&gt;""))&gt;0,'T_SelfStock'!CO53+'T_TTAFStock'!CO53,CN49+'Grid_Incoming'!CO49-'Grid_Requirement'!CO49))</f>
        <v/>
      </c>
      <c r="CP49">
        <f>IF(COUNTIFS(T_StockCount[Part Name],$A49,T_StockCount[WeekIndex],93)&gt;0,SUMIFS(T_StockCount[CountedQty],T_StockCount[Part Name],$A49,T_StockCount[WeekIndex],93),IF((('T_SelfStock'!CP53&lt;&gt;""))*(('T_TTAFStock'!CP53&lt;&gt;""))&gt;0,'T_SelfStock'!CP53+'T_TTAFStock'!CP53,CO49+'Grid_Incoming'!CP49-'Grid_Requirement'!CP49))</f>
        <v/>
      </c>
      <c r="CQ49">
        <f>IF(COUNTIFS(T_StockCount[Part Name],$A49,T_StockCount[WeekIndex],94)&gt;0,SUMIFS(T_StockCount[CountedQty],T_StockCount[Part Name],$A49,T_StockCount[WeekIndex],94),IF((('T_SelfStock'!CQ53&lt;&gt;""))*(('T_TTAFStock'!CQ53&lt;&gt;""))&gt;0,'T_SelfStock'!CQ53+'T_TTAFStock'!CQ53,CP49+'Grid_Incoming'!CQ49-'Grid_Requirement'!CQ49))</f>
        <v/>
      </c>
      <c r="CR49">
        <f>IF(COUNTIFS(T_StockCount[Part Name],$A49,T_StockCount[WeekIndex],95)&gt;0,SUMIFS(T_StockCount[CountedQty],T_StockCount[Part Name],$A49,T_StockCount[WeekIndex],95),IF((('T_SelfStock'!CR53&lt;&gt;""))*(('T_TTAFStock'!CR53&lt;&gt;""))&gt;0,'T_SelfStock'!CR53+'T_TTAFStock'!CR53,CQ49+'Grid_Incoming'!CR49-'Grid_Requirement'!CR49))</f>
        <v/>
      </c>
      <c r="CS49">
        <f>IF(COUNTIFS(T_StockCount[Part Name],$A49,T_StockCount[WeekIndex],96)&gt;0,SUMIFS(T_StockCount[CountedQty],T_StockCount[Part Name],$A49,T_StockCount[WeekIndex],96),IF((('T_SelfStock'!CS53&lt;&gt;""))*(('T_TTAFStock'!CS53&lt;&gt;""))&gt;0,'T_SelfStock'!CS53+'T_TTAFStock'!CS53,CR49+'Grid_Incoming'!CS49-'Grid_Requirement'!CS49))</f>
        <v/>
      </c>
      <c r="CT49">
        <f>IF(COUNTIFS(T_StockCount[Part Name],$A49,T_StockCount[WeekIndex],97)&gt;0,SUMIFS(T_StockCount[CountedQty],T_StockCount[Part Name],$A49,T_StockCount[WeekIndex],97),IF((('T_SelfStock'!CT53&lt;&gt;""))*(('T_TTAFStock'!CT53&lt;&gt;""))&gt;0,'T_SelfStock'!CT53+'T_TTAFStock'!CT53,CS49+'Grid_Incoming'!CT49-'Grid_Requirement'!CT49))</f>
        <v/>
      </c>
      <c r="CU49">
        <f>IF(COUNTIFS(T_StockCount[Part Name],$A49,T_StockCount[WeekIndex],98)&gt;0,SUMIFS(T_StockCount[CountedQty],T_StockCount[Part Name],$A49,T_StockCount[WeekIndex],98),IF((('T_SelfStock'!CU53&lt;&gt;""))*(('T_TTAFStock'!CU53&lt;&gt;""))&gt;0,'T_SelfStock'!CU53+'T_TTAFStock'!CU53,CT49+'Grid_Incoming'!CU49-'Grid_Requirement'!CU49))</f>
        <v/>
      </c>
      <c r="CV49">
        <f>IF(COUNTIFS(T_StockCount[Part Name],$A49,T_StockCount[WeekIndex],99)&gt;0,SUMIFS(T_StockCount[CountedQty],T_StockCount[Part Name],$A49,T_StockCount[WeekIndex],99),IF((('T_SelfStock'!CV53&lt;&gt;""))*(('T_TTAFStock'!CV53&lt;&gt;""))&gt;0,'T_SelfStock'!CV53+'T_TTAFStock'!CV53,CU49+'Grid_Incoming'!CV49-'Grid_Requirement'!CV49))</f>
        <v/>
      </c>
      <c r="CW49">
        <f>IF(COUNTIFS(T_StockCount[Part Name],$A49,T_StockCount[WeekIndex],100)&gt;0,SUMIFS(T_StockCount[CountedQty],T_StockCount[Part Name],$A49,T_StockCount[WeekIndex],100),IF((('T_SelfStock'!CW53&lt;&gt;""))*(('T_TTAFStock'!CW53&lt;&gt;""))&gt;0,'T_SelfStock'!CW53+'T_TTAFStock'!CW53,CV49+'Grid_Incoming'!CW49-'Grid_Requirement'!CW49))</f>
        <v/>
      </c>
      <c r="CX49">
        <f>IF(COUNTIFS(T_StockCount[Part Name],$A49,T_StockCount[WeekIndex],101)&gt;0,SUMIFS(T_StockCount[CountedQty],T_StockCount[Part Name],$A49,T_StockCount[WeekIndex],101),IF((('T_SelfStock'!CX53&lt;&gt;""))*(('T_TTAFStock'!CX53&lt;&gt;""))&gt;0,'T_SelfStock'!CX53+'T_TTAFStock'!CX53,CW49+'Grid_Incoming'!CX49-'Grid_Requirement'!CX49))</f>
        <v/>
      </c>
      <c r="CY49">
        <f>IF(COUNTIFS(T_StockCount[Part Name],$A49,T_StockCount[WeekIndex],102)&gt;0,SUMIFS(T_StockCount[CountedQty],T_StockCount[Part Name],$A49,T_StockCount[WeekIndex],102),IF((('T_SelfStock'!CY53&lt;&gt;""))*(('T_TTAFStock'!CY53&lt;&gt;""))&gt;0,'T_SelfStock'!CY53+'T_TTAFStock'!CY53,CX49+'Grid_Incoming'!CY49-'Grid_Requirement'!CY49))</f>
        <v/>
      </c>
      <c r="CZ49">
        <f>IF(COUNTIFS(T_StockCount[Part Name],$A49,T_StockCount[WeekIndex],103)&gt;0,SUMIFS(T_StockCount[CountedQty],T_StockCount[Part Name],$A49,T_StockCount[WeekIndex],103),IF((('T_SelfStock'!CZ53&lt;&gt;""))*(('T_TTAFStock'!CZ53&lt;&gt;""))&gt;0,'T_SelfStock'!CZ53+'T_TTAFStock'!CZ53,CY49+'Grid_Incoming'!CZ49-'Grid_Requirement'!CZ49))</f>
        <v/>
      </c>
      <c r="DA49">
        <f>IF(COUNTIFS(T_StockCount[Part Name],$A49,T_StockCount[WeekIndex],104)&gt;0,SUMIFS(T_StockCount[CountedQty],T_StockCount[Part Name],$A49,T_StockCount[WeekIndex],104),IF((('T_SelfStock'!DA53&lt;&gt;""))*(('T_TTAFStock'!DA53&lt;&gt;""))&gt;0,'T_SelfStock'!DA53+'T_TTAFStock'!DA53,CZ49+'Grid_Incoming'!DA49-'Grid_Requirement'!DA49))</f>
        <v/>
      </c>
    </row>
    <row r="50">
      <c r="A50" t="inlineStr">
        <is>
          <t>CHEM-1760</t>
        </is>
      </c>
      <c r="B50">
        <f>IF(COUNTIFS(T_StockCount[Part Name],$A50,T_StockCount[WeekIndex],1)&gt;0,SUMIFS(T_StockCount[CountedQty],T_StockCount[Part Name],$A50,T_StockCount[WeekIndex],1),IF((('T_SelfStock'!B54&lt;&gt;""))*(('T_TTAFStock'!B54&lt;&gt;""))&gt;0,'T_SelfStock'!B54+'T_TTAFStock'!B54,IFERROR(INDEX(T_OpeningStock[Opening_Qty_要入力],MATCH($A50,T_OpeningStock[Part Name],0)),0)+'Grid_Incoming'!B50-'Grid_Requirement'!B50))</f>
        <v/>
      </c>
      <c r="C50">
        <f>IF(COUNTIFS(T_StockCount[Part Name],$A50,T_StockCount[WeekIndex],2)&gt;0,SUMIFS(T_StockCount[CountedQty],T_StockCount[Part Name],$A50,T_StockCount[WeekIndex],2),IF((('T_SelfStock'!C54&lt;&gt;""))*(('T_TTAFStock'!C54&lt;&gt;""))&gt;0,'T_SelfStock'!C54+'T_TTAFStock'!C54,B50+'Grid_Incoming'!C50-'Grid_Requirement'!C50))</f>
        <v/>
      </c>
      <c r="D50">
        <f>IF(COUNTIFS(T_StockCount[Part Name],$A50,T_StockCount[WeekIndex],3)&gt;0,SUMIFS(T_StockCount[CountedQty],T_StockCount[Part Name],$A50,T_StockCount[WeekIndex],3),IF((('T_SelfStock'!D54&lt;&gt;""))*(('T_TTAFStock'!D54&lt;&gt;""))&gt;0,'T_SelfStock'!D54+'T_TTAFStock'!D54,C50+'Grid_Incoming'!D50-'Grid_Requirement'!D50))</f>
        <v/>
      </c>
      <c r="E50">
        <f>IF(COUNTIFS(T_StockCount[Part Name],$A50,T_StockCount[WeekIndex],4)&gt;0,SUMIFS(T_StockCount[CountedQty],T_StockCount[Part Name],$A50,T_StockCount[WeekIndex],4),IF((('T_SelfStock'!E54&lt;&gt;""))*(('T_TTAFStock'!E54&lt;&gt;""))&gt;0,'T_SelfStock'!E54+'T_TTAFStock'!E54,D50+'Grid_Incoming'!E50-'Grid_Requirement'!E50))</f>
        <v/>
      </c>
      <c r="F50">
        <f>IF(COUNTIFS(T_StockCount[Part Name],$A50,T_StockCount[WeekIndex],5)&gt;0,SUMIFS(T_StockCount[CountedQty],T_StockCount[Part Name],$A50,T_StockCount[WeekIndex],5),IF((('T_SelfStock'!F54&lt;&gt;""))*(('T_TTAFStock'!F54&lt;&gt;""))&gt;0,'T_SelfStock'!F54+'T_TTAFStock'!F54,E50+'Grid_Incoming'!F50-'Grid_Requirement'!F50))</f>
        <v/>
      </c>
      <c r="G50">
        <f>IF(COUNTIFS(T_StockCount[Part Name],$A50,T_StockCount[WeekIndex],6)&gt;0,SUMIFS(T_StockCount[CountedQty],T_StockCount[Part Name],$A50,T_StockCount[WeekIndex],6),IF((('T_SelfStock'!G54&lt;&gt;""))*(('T_TTAFStock'!G54&lt;&gt;""))&gt;0,'T_SelfStock'!G54+'T_TTAFStock'!G54,F50+'Grid_Incoming'!G50-'Grid_Requirement'!G50))</f>
        <v/>
      </c>
      <c r="H50">
        <f>IF(COUNTIFS(T_StockCount[Part Name],$A50,T_StockCount[WeekIndex],7)&gt;0,SUMIFS(T_StockCount[CountedQty],T_StockCount[Part Name],$A50,T_StockCount[WeekIndex],7),IF((('T_SelfStock'!H54&lt;&gt;""))*(('T_TTAFStock'!H54&lt;&gt;""))&gt;0,'T_SelfStock'!H54+'T_TTAFStock'!H54,G50+'Grid_Incoming'!H50-'Grid_Requirement'!H50))</f>
        <v/>
      </c>
      <c r="I50">
        <f>IF(COUNTIFS(T_StockCount[Part Name],$A50,T_StockCount[WeekIndex],8)&gt;0,SUMIFS(T_StockCount[CountedQty],T_StockCount[Part Name],$A50,T_StockCount[WeekIndex],8),IF((('T_SelfStock'!I54&lt;&gt;""))*(('T_TTAFStock'!I54&lt;&gt;""))&gt;0,'T_SelfStock'!I54+'T_TTAFStock'!I54,H50+'Grid_Incoming'!I50-'Grid_Requirement'!I50))</f>
        <v/>
      </c>
      <c r="J50">
        <f>IF(COUNTIFS(T_StockCount[Part Name],$A50,T_StockCount[WeekIndex],9)&gt;0,SUMIFS(T_StockCount[CountedQty],T_StockCount[Part Name],$A50,T_StockCount[WeekIndex],9),IF((('T_SelfStock'!J54&lt;&gt;""))*(('T_TTAFStock'!J54&lt;&gt;""))&gt;0,'T_SelfStock'!J54+'T_TTAFStock'!J54,I50+'Grid_Incoming'!J50-'Grid_Requirement'!J50))</f>
        <v/>
      </c>
      <c r="K50">
        <f>IF(COUNTIFS(T_StockCount[Part Name],$A50,T_StockCount[WeekIndex],10)&gt;0,SUMIFS(T_StockCount[CountedQty],T_StockCount[Part Name],$A50,T_StockCount[WeekIndex],10),IF((('T_SelfStock'!K54&lt;&gt;""))*(('T_TTAFStock'!K54&lt;&gt;""))&gt;0,'T_SelfStock'!K54+'T_TTAFStock'!K54,J50+'Grid_Incoming'!K50-'Grid_Requirement'!K50))</f>
        <v/>
      </c>
      <c r="L50">
        <f>IF(COUNTIFS(T_StockCount[Part Name],$A50,T_StockCount[WeekIndex],11)&gt;0,SUMIFS(T_StockCount[CountedQty],T_StockCount[Part Name],$A50,T_StockCount[WeekIndex],11),IF((('T_SelfStock'!L54&lt;&gt;""))*(('T_TTAFStock'!L54&lt;&gt;""))&gt;0,'T_SelfStock'!L54+'T_TTAFStock'!L54,K50+'Grid_Incoming'!L50-'Grid_Requirement'!L50))</f>
        <v/>
      </c>
      <c r="M50">
        <f>IF(COUNTIFS(T_StockCount[Part Name],$A50,T_StockCount[WeekIndex],12)&gt;0,SUMIFS(T_StockCount[CountedQty],T_StockCount[Part Name],$A50,T_StockCount[WeekIndex],12),IF((('T_SelfStock'!M54&lt;&gt;""))*(('T_TTAFStock'!M54&lt;&gt;""))&gt;0,'T_SelfStock'!M54+'T_TTAFStock'!M54,L50+'Grid_Incoming'!M50-'Grid_Requirement'!M50))</f>
        <v/>
      </c>
      <c r="N50">
        <f>IF(COUNTIFS(T_StockCount[Part Name],$A50,T_StockCount[WeekIndex],13)&gt;0,SUMIFS(T_StockCount[CountedQty],T_StockCount[Part Name],$A50,T_StockCount[WeekIndex],13),IF((('T_SelfStock'!N54&lt;&gt;""))*(('T_TTAFStock'!N54&lt;&gt;""))&gt;0,'T_SelfStock'!N54+'T_TTAFStock'!N54,M50+'Grid_Incoming'!N50-'Grid_Requirement'!N50))</f>
        <v/>
      </c>
      <c r="O50">
        <f>IF(COUNTIFS(T_StockCount[Part Name],$A50,T_StockCount[WeekIndex],14)&gt;0,SUMIFS(T_StockCount[CountedQty],T_StockCount[Part Name],$A50,T_StockCount[WeekIndex],14),IF((('T_SelfStock'!O54&lt;&gt;""))*(('T_TTAFStock'!O54&lt;&gt;""))&gt;0,'T_SelfStock'!O54+'T_TTAFStock'!O54,N50+'Grid_Incoming'!O50-'Grid_Requirement'!O50))</f>
        <v/>
      </c>
      <c r="P50">
        <f>IF(COUNTIFS(T_StockCount[Part Name],$A50,T_StockCount[WeekIndex],15)&gt;0,SUMIFS(T_StockCount[CountedQty],T_StockCount[Part Name],$A50,T_StockCount[WeekIndex],15),IF((('T_SelfStock'!P54&lt;&gt;""))*(('T_TTAFStock'!P54&lt;&gt;""))&gt;0,'T_SelfStock'!P54+'T_TTAFStock'!P54,O50+'Grid_Incoming'!P50-'Grid_Requirement'!P50))</f>
        <v/>
      </c>
      <c r="Q50">
        <f>IF(COUNTIFS(T_StockCount[Part Name],$A50,T_StockCount[WeekIndex],16)&gt;0,SUMIFS(T_StockCount[CountedQty],T_StockCount[Part Name],$A50,T_StockCount[WeekIndex],16),IF((('T_SelfStock'!Q54&lt;&gt;""))*(('T_TTAFStock'!Q54&lt;&gt;""))&gt;0,'T_SelfStock'!Q54+'T_TTAFStock'!Q54,P50+'Grid_Incoming'!Q50-'Grid_Requirement'!Q50))</f>
        <v/>
      </c>
      <c r="R50">
        <f>IF(COUNTIFS(T_StockCount[Part Name],$A50,T_StockCount[WeekIndex],17)&gt;0,SUMIFS(T_StockCount[CountedQty],T_StockCount[Part Name],$A50,T_StockCount[WeekIndex],17),IF((('T_SelfStock'!R54&lt;&gt;""))*(('T_TTAFStock'!R54&lt;&gt;""))&gt;0,'T_SelfStock'!R54+'T_TTAFStock'!R54,Q50+'Grid_Incoming'!R50-'Grid_Requirement'!R50))</f>
        <v/>
      </c>
      <c r="S50">
        <f>IF(COUNTIFS(T_StockCount[Part Name],$A50,T_StockCount[WeekIndex],18)&gt;0,SUMIFS(T_StockCount[CountedQty],T_StockCount[Part Name],$A50,T_StockCount[WeekIndex],18),IF((('T_SelfStock'!S54&lt;&gt;""))*(('T_TTAFStock'!S54&lt;&gt;""))&gt;0,'T_SelfStock'!S54+'T_TTAFStock'!S54,R50+'Grid_Incoming'!S50-'Grid_Requirement'!S50))</f>
        <v/>
      </c>
      <c r="T50">
        <f>IF(COUNTIFS(T_StockCount[Part Name],$A50,T_StockCount[WeekIndex],19)&gt;0,SUMIFS(T_StockCount[CountedQty],T_StockCount[Part Name],$A50,T_StockCount[WeekIndex],19),IF((('T_SelfStock'!T54&lt;&gt;""))*(('T_TTAFStock'!T54&lt;&gt;""))&gt;0,'T_SelfStock'!T54+'T_TTAFStock'!T54,S50+'Grid_Incoming'!T50-'Grid_Requirement'!T50))</f>
        <v/>
      </c>
      <c r="U50">
        <f>IF(COUNTIFS(T_StockCount[Part Name],$A50,T_StockCount[WeekIndex],20)&gt;0,SUMIFS(T_StockCount[CountedQty],T_StockCount[Part Name],$A50,T_StockCount[WeekIndex],20),IF((('T_SelfStock'!U54&lt;&gt;""))*(('T_TTAFStock'!U54&lt;&gt;""))&gt;0,'T_SelfStock'!U54+'T_TTAFStock'!U54,T50+'Grid_Incoming'!U50-'Grid_Requirement'!U50))</f>
        <v/>
      </c>
      <c r="V50">
        <f>IF(COUNTIFS(T_StockCount[Part Name],$A50,T_StockCount[WeekIndex],21)&gt;0,SUMIFS(T_StockCount[CountedQty],T_StockCount[Part Name],$A50,T_StockCount[WeekIndex],21),IF((('T_SelfStock'!V54&lt;&gt;""))*(('T_TTAFStock'!V54&lt;&gt;""))&gt;0,'T_SelfStock'!V54+'T_TTAFStock'!V54,U50+'Grid_Incoming'!V50-'Grid_Requirement'!V50))</f>
        <v/>
      </c>
      <c r="W50">
        <f>IF(COUNTIFS(T_StockCount[Part Name],$A50,T_StockCount[WeekIndex],22)&gt;0,SUMIFS(T_StockCount[CountedQty],T_StockCount[Part Name],$A50,T_StockCount[WeekIndex],22),IF((('T_SelfStock'!W54&lt;&gt;""))*(('T_TTAFStock'!W54&lt;&gt;""))&gt;0,'T_SelfStock'!W54+'T_TTAFStock'!W54,V50+'Grid_Incoming'!W50-'Grid_Requirement'!W50))</f>
        <v/>
      </c>
      <c r="X50">
        <f>IF(COUNTIFS(T_StockCount[Part Name],$A50,T_StockCount[WeekIndex],23)&gt;0,SUMIFS(T_StockCount[CountedQty],T_StockCount[Part Name],$A50,T_StockCount[WeekIndex],23),IF((('T_SelfStock'!X54&lt;&gt;""))*(('T_TTAFStock'!X54&lt;&gt;""))&gt;0,'T_SelfStock'!X54+'T_TTAFStock'!X54,W50+'Grid_Incoming'!X50-'Grid_Requirement'!X50))</f>
        <v/>
      </c>
      <c r="Y50">
        <f>IF(COUNTIFS(T_StockCount[Part Name],$A50,T_StockCount[WeekIndex],24)&gt;0,SUMIFS(T_StockCount[CountedQty],T_StockCount[Part Name],$A50,T_StockCount[WeekIndex],24),IF((('T_SelfStock'!Y54&lt;&gt;""))*(('T_TTAFStock'!Y54&lt;&gt;""))&gt;0,'T_SelfStock'!Y54+'T_TTAFStock'!Y54,X50+'Grid_Incoming'!Y50-'Grid_Requirement'!Y50))</f>
        <v/>
      </c>
      <c r="Z50">
        <f>IF(COUNTIFS(T_StockCount[Part Name],$A50,T_StockCount[WeekIndex],25)&gt;0,SUMIFS(T_StockCount[CountedQty],T_StockCount[Part Name],$A50,T_StockCount[WeekIndex],25),IF((('T_SelfStock'!Z54&lt;&gt;""))*(('T_TTAFStock'!Z54&lt;&gt;""))&gt;0,'T_SelfStock'!Z54+'T_TTAFStock'!Z54,Y50+'Grid_Incoming'!Z50-'Grid_Requirement'!Z50))</f>
        <v/>
      </c>
      <c r="AA50">
        <f>IF(COUNTIFS(T_StockCount[Part Name],$A50,T_StockCount[WeekIndex],26)&gt;0,SUMIFS(T_StockCount[CountedQty],T_StockCount[Part Name],$A50,T_StockCount[WeekIndex],26),IF((('T_SelfStock'!AA54&lt;&gt;""))*(('T_TTAFStock'!AA54&lt;&gt;""))&gt;0,'T_SelfStock'!AA54+'T_TTAFStock'!AA54,Z50+'Grid_Incoming'!AA50-'Grid_Requirement'!AA50))</f>
        <v/>
      </c>
      <c r="AB50">
        <f>IF(COUNTIFS(T_StockCount[Part Name],$A50,T_StockCount[WeekIndex],27)&gt;0,SUMIFS(T_StockCount[CountedQty],T_StockCount[Part Name],$A50,T_StockCount[WeekIndex],27),IF((('T_SelfStock'!AB54&lt;&gt;""))*(('T_TTAFStock'!AB54&lt;&gt;""))&gt;0,'T_SelfStock'!AB54+'T_TTAFStock'!AB54,AA50+'Grid_Incoming'!AB50-'Grid_Requirement'!AB50))</f>
        <v/>
      </c>
      <c r="AC50">
        <f>IF(COUNTIFS(T_StockCount[Part Name],$A50,T_StockCount[WeekIndex],28)&gt;0,SUMIFS(T_StockCount[CountedQty],T_StockCount[Part Name],$A50,T_StockCount[WeekIndex],28),IF((('T_SelfStock'!AC54&lt;&gt;""))*(('T_TTAFStock'!AC54&lt;&gt;""))&gt;0,'T_SelfStock'!AC54+'T_TTAFStock'!AC54,AB50+'Grid_Incoming'!AC50-'Grid_Requirement'!AC50))</f>
        <v/>
      </c>
      <c r="AD50">
        <f>IF(COUNTIFS(T_StockCount[Part Name],$A50,T_StockCount[WeekIndex],29)&gt;0,SUMIFS(T_StockCount[CountedQty],T_StockCount[Part Name],$A50,T_StockCount[WeekIndex],29),IF((('T_SelfStock'!AD54&lt;&gt;""))*(('T_TTAFStock'!AD54&lt;&gt;""))&gt;0,'T_SelfStock'!AD54+'T_TTAFStock'!AD54,AC50+'Grid_Incoming'!AD50-'Grid_Requirement'!AD50))</f>
        <v/>
      </c>
      <c r="AE50">
        <f>IF(COUNTIFS(T_StockCount[Part Name],$A50,T_StockCount[WeekIndex],30)&gt;0,SUMIFS(T_StockCount[CountedQty],T_StockCount[Part Name],$A50,T_StockCount[WeekIndex],30),IF((('T_SelfStock'!AE54&lt;&gt;""))*(('T_TTAFStock'!AE54&lt;&gt;""))&gt;0,'T_SelfStock'!AE54+'T_TTAFStock'!AE54,AD50+'Grid_Incoming'!AE50-'Grid_Requirement'!AE50))</f>
        <v/>
      </c>
      <c r="AF50">
        <f>IF(COUNTIFS(T_StockCount[Part Name],$A50,T_StockCount[WeekIndex],31)&gt;0,SUMIFS(T_StockCount[CountedQty],T_StockCount[Part Name],$A50,T_StockCount[WeekIndex],31),IF((('T_SelfStock'!AF54&lt;&gt;""))*(('T_TTAFStock'!AF54&lt;&gt;""))&gt;0,'T_SelfStock'!AF54+'T_TTAFStock'!AF54,AE50+'Grid_Incoming'!AF50-'Grid_Requirement'!AF50))</f>
        <v/>
      </c>
      <c r="AG50">
        <f>IF(COUNTIFS(T_StockCount[Part Name],$A50,T_StockCount[WeekIndex],32)&gt;0,SUMIFS(T_StockCount[CountedQty],T_StockCount[Part Name],$A50,T_StockCount[WeekIndex],32),IF((('T_SelfStock'!AG54&lt;&gt;""))*(('T_TTAFStock'!AG54&lt;&gt;""))&gt;0,'T_SelfStock'!AG54+'T_TTAFStock'!AG54,AF50+'Grid_Incoming'!AG50-'Grid_Requirement'!AG50))</f>
        <v/>
      </c>
      <c r="AH50">
        <f>IF(COUNTIFS(T_StockCount[Part Name],$A50,T_StockCount[WeekIndex],33)&gt;0,SUMIFS(T_StockCount[CountedQty],T_StockCount[Part Name],$A50,T_StockCount[WeekIndex],33),IF((('T_SelfStock'!AH54&lt;&gt;""))*(('T_TTAFStock'!AH54&lt;&gt;""))&gt;0,'T_SelfStock'!AH54+'T_TTAFStock'!AH54,AG50+'Grid_Incoming'!AH50-'Grid_Requirement'!AH50))</f>
        <v/>
      </c>
      <c r="AI50">
        <f>IF(COUNTIFS(T_StockCount[Part Name],$A50,T_StockCount[WeekIndex],34)&gt;0,SUMIFS(T_StockCount[CountedQty],T_StockCount[Part Name],$A50,T_StockCount[WeekIndex],34),IF((('T_SelfStock'!AI54&lt;&gt;""))*(('T_TTAFStock'!AI54&lt;&gt;""))&gt;0,'T_SelfStock'!AI54+'T_TTAFStock'!AI54,AH50+'Grid_Incoming'!AI50-'Grid_Requirement'!AI50))</f>
        <v/>
      </c>
      <c r="AJ50">
        <f>IF(COUNTIFS(T_StockCount[Part Name],$A50,T_StockCount[WeekIndex],35)&gt;0,SUMIFS(T_StockCount[CountedQty],T_StockCount[Part Name],$A50,T_StockCount[WeekIndex],35),IF((('T_SelfStock'!AJ54&lt;&gt;""))*(('T_TTAFStock'!AJ54&lt;&gt;""))&gt;0,'T_SelfStock'!AJ54+'T_TTAFStock'!AJ54,AI50+'Grid_Incoming'!AJ50-'Grid_Requirement'!AJ50))</f>
        <v/>
      </c>
      <c r="AK50">
        <f>IF(COUNTIFS(T_StockCount[Part Name],$A50,T_StockCount[WeekIndex],36)&gt;0,SUMIFS(T_StockCount[CountedQty],T_StockCount[Part Name],$A50,T_StockCount[WeekIndex],36),IF((('T_SelfStock'!AK54&lt;&gt;""))*(('T_TTAFStock'!AK54&lt;&gt;""))&gt;0,'T_SelfStock'!AK54+'T_TTAFStock'!AK54,AJ50+'Grid_Incoming'!AK50-'Grid_Requirement'!AK50))</f>
        <v/>
      </c>
      <c r="AL50">
        <f>IF(COUNTIFS(T_StockCount[Part Name],$A50,T_StockCount[WeekIndex],37)&gt;0,SUMIFS(T_StockCount[CountedQty],T_StockCount[Part Name],$A50,T_StockCount[WeekIndex],37),IF((('T_SelfStock'!AL54&lt;&gt;""))*(('T_TTAFStock'!AL54&lt;&gt;""))&gt;0,'T_SelfStock'!AL54+'T_TTAFStock'!AL54,AK50+'Grid_Incoming'!AL50-'Grid_Requirement'!AL50))</f>
        <v/>
      </c>
      <c r="AM50">
        <f>IF(COUNTIFS(T_StockCount[Part Name],$A50,T_StockCount[WeekIndex],38)&gt;0,SUMIFS(T_StockCount[CountedQty],T_StockCount[Part Name],$A50,T_StockCount[WeekIndex],38),IF((('T_SelfStock'!AM54&lt;&gt;""))*(('T_TTAFStock'!AM54&lt;&gt;""))&gt;0,'T_SelfStock'!AM54+'T_TTAFStock'!AM54,AL50+'Grid_Incoming'!AM50-'Grid_Requirement'!AM50))</f>
        <v/>
      </c>
      <c r="AN50">
        <f>IF(COUNTIFS(T_StockCount[Part Name],$A50,T_StockCount[WeekIndex],39)&gt;0,SUMIFS(T_StockCount[CountedQty],T_StockCount[Part Name],$A50,T_StockCount[WeekIndex],39),IF((('T_SelfStock'!AN54&lt;&gt;""))*(('T_TTAFStock'!AN54&lt;&gt;""))&gt;0,'T_SelfStock'!AN54+'T_TTAFStock'!AN54,AM50+'Grid_Incoming'!AN50-'Grid_Requirement'!AN50))</f>
        <v/>
      </c>
      <c r="AO50">
        <f>IF(COUNTIFS(T_StockCount[Part Name],$A50,T_StockCount[WeekIndex],40)&gt;0,SUMIFS(T_StockCount[CountedQty],T_StockCount[Part Name],$A50,T_StockCount[WeekIndex],40),IF((('T_SelfStock'!AO54&lt;&gt;""))*(('T_TTAFStock'!AO54&lt;&gt;""))&gt;0,'T_SelfStock'!AO54+'T_TTAFStock'!AO54,AN50+'Grid_Incoming'!AO50-'Grid_Requirement'!AO50))</f>
        <v/>
      </c>
      <c r="AP50">
        <f>IF(COUNTIFS(T_StockCount[Part Name],$A50,T_StockCount[WeekIndex],41)&gt;0,SUMIFS(T_StockCount[CountedQty],T_StockCount[Part Name],$A50,T_StockCount[WeekIndex],41),IF((('T_SelfStock'!AP54&lt;&gt;""))*(('T_TTAFStock'!AP54&lt;&gt;""))&gt;0,'T_SelfStock'!AP54+'T_TTAFStock'!AP54,AO50+'Grid_Incoming'!AP50-'Grid_Requirement'!AP50))</f>
        <v/>
      </c>
      <c r="AQ50">
        <f>IF(COUNTIFS(T_StockCount[Part Name],$A50,T_StockCount[WeekIndex],42)&gt;0,SUMIFS(T_StockCount[CountedQty],T_StockCount[Part Name],$A50,T_StockCount[WeekIndex],42),IF((('T_SelfStock'!AQ54&lt;&gt;""))*(('T_TTAFStock'!AQ54&lt;&gt;""))&gt;0,'T_SelfStock'!AQ54+'T_TTAFStock'!AQ54,AP50+'Grid_Incoming'!AQ50-'Grid_Requirement'!AQ50))</f>
        <v/>
      </c>
      <c r="AR50">
        <f>IF(COUNTIFS(T_StockCount[Part Name],$A50,T_StockCount[WeekIndex],43)&gt;0,SUMIFS(T_StockCount[CountedQty],T_StockCount[Part Name],$A50,T_StockCount[WeekIndex],43),IF((('T_SelfStock'!AR54&lt;&gt;""))*(('T_TTAFStock'!AR54&lt;&gt;""))&gt;0,'T_SelfStock'!AR54+'T_TTAFStock'!AR54,AQ50+'Grid_Incoming'!AR50-'Grid_Requirement'!AR50))</f>
        <v/>
      </c>
      <c r="AS50">
        <f>IF(COUNTIFS(T_StockCount[Part Name],$A50,T_StockCount[WeekIndex],44)&gt;0,SUMIFS(T_StockCount[CountedQty],T_StockCount[Part Name],$A50,T_StockCount[WeekIndex],44),IF((('T_SelfStock'!AS54&lt;&gt;""))*(('T_TTAFStock'!AS54&lt;&gt;""))&gt;0,'T_SelfStock'!AS54+'T_TTAFStock'!AS54,AR50+'Grid_Incoming'!AS50-'Grid_Requirement'!AS50))</f>
        <v/>
      </c>
      <c r="AT50">
        <f>IF(COUNTIFS(T_StockCount[Part Name],$A50,T_StockCount[WeekIndex],45)&gt;0,SUMIFS(T_StockCount[CountedQty],T_StockCount[Part Name],$A50,T_StockCount[WeekIndex],45),IF((('T_SelfStock'!AT54&lt;&gt;""))*(('T_TTAFStock'!AT54&lt;&gt;""))&gt;0,'T_SelfStock'!AT54+'T_TTAFStock'!AT54,AS50+'Grid_Incoming'!AT50-'Grid_Requirement'!AT50))</f>
        <v/>
      </c>
      <c r="AU50">
        <f>IF(COUNTIFS(T_StockCount[Part Name],$A50,T_StockCount[WeekIndex],46)&gt;0,SUMIFS(T_StockCount[CountedQty],T_StockCount[Part Name],$A50,T_StockCount[WeekIndex],46),IF((('T_SelfStock'!AU54&lt;&gt;""))*(('T_TTAFStock'!AU54&lt;&gt;""))&gt;0,'T_SelfStock'!AU54+'T_TTAFStock'!AU54,AT50+'Grid_Incoming'!AU50-'Grid_Requirement'!AU50))</f>
        <v/>
      </c>
      <c r="AV50">
        <f>IF(COUNTIFS(T_StockCount[Part Name],$A50,T_StockCount[WeekIndex],47)&gt;0,SUMIFS(T_StockCount[CountedQty],T_StockCount[Part Name],$A50,T_StockCount[WeekIndex],47),IF((('T_SelfStock'!AV54&lt;&gt;""))*(('T_TTAFStock'!AV54&lt;&gt;""))&gt;0,'T_SelfStock'!AV54+'T_TTAFStock'!AV54,AU50+'Grid_Incoming'!AV50-'Grid_Requirement'!AV50))</f>
        <v/>
      </c>
      <c r="AW50">
        <f>IF(COUNTIFS(T_StockCount[Part Name],$A50,T_StockCount[WeekIndex],48)&gt;0,SUMIFS(T_StockCount[CountedQty],T_StockCount[Part Name],$A50,T_StockCount[WeekIndex],48),IF((('T_SelfStock'!AW54&lt;&gt;""))*(('T_TTAFStock'!AW54&lt;&gt;""))&gt;0,'T_SelfStock'!AW54+'T_TTAFStock'!AW54,AV50+'Grid_Incoming'!AW50-'Grid_Requirement'!AW50))</f>
        <v/>
      </c>
      <c r="AX50">
        <f>IF(COUNTIFS(T_StockCount[Part Name],$A50,T_StockCount[WeekIndex],49)&gt;0,SUMIFS(T_StockCount[CountedQty],T_StockCount[Part Name],$A50,T_StockCount[WeekIndex],49),IF((('T_SelfStock'!AX54&lt;&gt;""))*(('T_TTAFStock'!AX54&lt;&gt;""))&gt;0,'T_SelfStock'!AX54+'T_TTAFStock'!AX54,AW50+'Grid_Incoming'!AX50-'Grid_Requirement'!AX50))</f>
        <v/>
      </c>
      <c r="AY50">
        <f>IF(COUNTIFS(T_StockCount[Part Name],$A50,T_StockCount[WeekIndex],50)&gt;0,SUMIFS(T_StockCount[CountedQty],T_StockCount[Part Name],$A50,T_StockCount[WeekIndex],50),IF((('T_SelfStock'!AY54&lt;&gt;""))*(('T_TTAFStock'!AY54&lt;&gt;""))&gt;0,'T_SelfStock'!AY54+'T_TTAFStock'!AY54,AX50+'Grid_Incoming'!AY50-'Grid_Requirement'!AY50))</f>
        <v/>
      </c>
      <c r="AZ50">
        <f>IF(COUNTIFS(T_StockCount[Part Name],$A50,T_StockCount[WeekIndex],51)&gt;0,SUMIFS(T_StockCount[CountedQty],T_StockCount[Part Name],$A50,T_StockCount[WeekIndex],51),IF((('T_SelfStock'!AZ54&lt;&gt;""))*(('T_TTAFStock'!AZ54&lt;&gt;""))&gt;0,'T_SelfStock'!AZ54+'T_TTAFStock'!AZ54,AY50+'Grid_Incoming'!AZ50-'Grid_Requirement'!AZ50))</f>
        <v/>
      </c>
      <c r="BA50">
        <f>IF(COUNTIFS(T_StockCount[Part Name],$A50,T_StockCount[WeekIndex],52)&gt;0,SUMIFS(T_StockCount[CountedQty],T_StockCount[Part Name],$A50,T_StockCount[WeekIndex],52),IF((('T_SelfStock'!BA54&lt;&gt;""))*(('T_TTAFStock'!BA54&lt;&gt;""))&gt;0,'T_SelfStock'!BA54+'T_TTAFStock'!BA54,AZ50+'Grid_Incoming'!BA50-'Grid_Requirement'!BA50))</f>
        <v/>
      </c>
      <c r="BB50">
        <f>IF(COUNTIFS(T_StockCount[Part Name],$A50,T_StockCount[WeekIndex],53)&gt;0,SUMIFS(T_StockCount[CountedQty],T_StockCount[Part Name],$A50,T_StockCount[WeekIndex],53),IF((('T_SelfStock'!BB54&lt;&gt;""))*(('T_TTAFStock'!BB54&lt;&gt;""))&gt;0,'T_SelfStock'!BB54+'T_TTAFStock'!BB54,BA50+'Grid_Incoming'!BB50-'Grid_Requirement'!BB50))</f>
        <v/>
      </c>
      <c r="BC50">
        <f>IF(COUNTIFS(T_StockCount[Part Name],$A50,T_StockCount[WeekIndex],54)&gt;0,SUMIFS(T_StockCount[CountedQty],T_StockCount[Part Name],$A50,T_StockCount[WeekIndex],54),IF((('T_SelfStock'!BC54&lt;&gt;""))*(('T_TTAFStock'!BC54&lt;&gt;""))&gt;0,'T_SelfStock'!BC54+'T_TTAFStock'!BC54,BB50+'Grid_Incoming'!BC50-'Grid_Requirement'!BC50))</f>
        <v/>
      </c>
      <c r="BD50">
        <f>IF(COUNTIFS(T_StockCount[Part Name],$A50,T_StockCount[WeekIndex],55)&gt;0,SUMIFS(T_StockCount[CountedQty],T_StockCount[Part Name],$A50,T_StockCount[WeekIndex],55),IF((('T_SelfStock'!BD54&lt;&gt;""))*(('T_TTAFStock'!BD54&lt;&gt;""))&gt;0,'T_SelfStock'!BD54+'T_TTAFStock'!BD54,BC50+'Grid_Incoming'!BD50-'Grid_Requirement'!BD50))</f>
        <v/>
      </c>
      <c r="BE50">
        <f>IF(COUNTIFS(T_StockCount[Part Name],$A50,T_StockCount[WeekIndex],56)&gt;0,SUMIFS(T_StockCount[CountedQty],T_StockCount[Part Name],$A50,T_StockCount[WeekIndex],56),IF((('T_SelfStock'!BE54&lt;&gt;""))*(('T_TTAFStock'!BE54&lt;&gt;""))&gt;0,'T_SelfStock'!BE54+'T_TTAFStock'!BE54,BD50+'Grid_Incoming'!BE50-'Grid_Requirement'!BE50))</f>
        <v/>
      </c>
      <c r="BF50">
        <f>IF(COUNTIFS(T_StockCount[Part Name],$A50,T_StockCount[WeekIndex],57)&gt;0,SUMIFS(T_StockCount[CountedQty],T_StockCount[Part Name],$A50,T_StockCount[WeekIndex],57),IF((('T_SelfStock'!BF54&lt;&gt;""))*(('T_TTAFStock'!BF54&lt;&gt;""))&gt;0,'T_SelfStock'!BF54+'T_TTAFStock'!BF54,BE50+'Grid_Incoming'!BF50-'Grid_Requirement'!BF50))</f>
        <v/>
      </c>
      <c r="BG50">
        <f>IF(COUNTIFS(T_StockCount[Part Name],$A50,T_StockCount[WeekIndex],58)&gt;0,SUMIFS(T_StockCount[CountedQty],T_StockCount[Part Name],$A50,T_StockCount[WeekIndex],58),IF((('T_SelfStock'!BG54&lt;&gt;""))*(('T_TTAFStock'!BG54&lt;&gt;""))&gt;0,'T_SelfStock'!BG54+'T_TTAFStock'!BG54,BF50+'Grid_Incoming'!BG50-'Grid_Requirement'!BG50))</f>
        <v/>
      </c>
      <c r="BH50">
        <f>IF(COUNTIFS(T_StockCount[Part Name],$A50,T_StockCount[WeekIndex],59)&gt;0,SUMIFS(T_StockCount[CountedQty],T_StockCount[Part Name],$A50,T_StockCount[WeekIndex],59),IF((('T_SelfStock'!BH54&lt;&gt;""))*(('T_TTAFStock'!BH54&lt;&gt;""))&gt;0,'T_SelfStock'!BH54+'T_TTAFStock'!BH54,BG50+'Grid_Incoming'!BH50-'Grid_Requirement'!BH50))</f>
        <v/>
      </c>
      <c r="BI50">
        <f>IF(COUNTIFS(T_StockCount[Part Name],$A50,T_StockCount[WeekIndex],60)&gt;0,SUMIFS(T_StockCount[CountedQty],T_StockCount[Part Name],$A50,T_StockCount[WeekIndex],60),IF((('T_SelfStock'!BI54&lt;&gt;""))*(('T_TTAFStock'!BI54&lt;&gt;""))&gt;0,'T_SelfStock'!BI54+'T_TTAFStock'!BI54,BH50+'Grid_Incoming'!BI50-'Grid_Requirement'!BI50))</f>
        <v/>
      </c>
      <c r="BJ50">
        <f>IF(COUNTIFS(T_StockCount[Part Name],$A50,T_StockCount[WeekIndex],61)&gt;0,SUMIFS(T_StockCount[CountedQty],T_StockCount[Part Name],$A50,T_StockCount[WeekIndex],61),IF((('T_SelfStock'!BJ54&lt;&gt;""))*(('T_TTAFStock'!BJ54&lt;&gt;""))&gt;0,'T_SelfStock'!BJ54+'T_TTAFStock'!BJ54,BI50+'Grid_Incoming'!BJ50-'Grid_Requirement'!BJ50))</f>
        <v/>
      </c>
      <c r="BK50">
        <f>IF(COUNTIFS(T_StockCount[Part Name],$A50,T_StockCount[WeekIndex],62)&gt;0,SUMIFS(T_StockCount[CountedQty],T_StockCount[Part Name],$A50,T_StockCount[WeekIndex],62),IF((('T_SelfStock'!BK54&lt;&gt;""))*(('T_TTAFStock'!BK54&lt;&gt;""))&gt;0,'T_SelfStock'!BK54+'T_TTAFStock'!BK54,BJ50+'Grid_Incoming'!BK50-'Grid_Requirement'!BK50))</f>
        <v/>
      </c>
      <c r="BL50">
        <f>IF(COUNTIFS(T_StockCount[Part Name],$A50,T_StockCount[WeekIndex],63)&gt;0,SUMIFS(T_StockCount[CountedQty],T_StockCount[Part Name],$A50,T_StockCount[WeekIndex],63),IF((('T_SelfStock'!BL54&lt;&gt;""))*(('T_TTAFStock'!BL54&lt;&gt;""))&gt;0,'T_SelfStock'!BL54+'T_TTAFStock'!BL54,BK50+'Grid_Incoming'!BL50-'Grid_Requirement'!BL50))</f>
        <v/>
      </c>
      <c r="BM50">
        <f>IF(COUNTIFS(T_StockCount[Part Name],$A50,T_StockCount[WeekIndex],64)&gt;0,SUMIFS(T_StockCount[CountedQty],T_StockCount[Part Name],$A50,T_StockCount[WeekIndex],64),IF((('T_SelfStock'!BM54&lt;&gt;""))*(('T_TTAFStock'!BM54&lt;&gt;""))&gt;0,'T_SelfStock'!BM54+'T_TTAFStock'!BM54,BL50+'Grid_Incoming'!BM50-'Grid_Requirement'!BM50))</f>
        <v/>
      </c>
      <c r="BN50">
        <f>IF(COUNTIFS(T_StockCount[Part Name],$A50,T_StockCount[WeekIndex],65)&gt;0,SUMIFS(T_StockCount[CountedQty],T_StockCount[Part Name],$A50,T_StockCount[WeekIndex],65),IF((('T_SelfStock'!BN54&lt;&gt;""))*(('T_TTAFStock'!BN54&lt;&gt;""))&gt;0,'T_SelfStock'!BN54+'T_TTAFStock'!BN54,BM50+'Grid_Incoming'!BN50-'Grid_Requirement'!BN50))</f>
        <v/>
      </c>
      <c r="BO50">
        <f>IF(COUNTIFS(T_StockCount[Part Name],$A50,T_StockCount[WeekIndex],66)&gt;0,SUMIFS(T_StockCount[CountedQty],T_StockCount[Part Name],$A50,T_StockCount[WeekIndex],66),IF((('T_SelfStock'!BO54&lt;&gt;""))*(('T_TTAFStock'!BO54&lt;&gt;""))&gt;0,'T_SelfStock'!BO54+'T_TTAFStock'!BO54,BN50+'Grid_Incoming'!BO50-'Grid_Requirement'!BO50))</f>
        <v/>
      </c>
      <c r="BP50">
        <f>IF(COUNTIFS(T_StockCount[Part Name],$A50,T_StockCount[WeekIndex],67)&gt;0,SUMIFS(T_StockCount[CountedQty],T_StockCount[Part Name],$A50,T_StockCount[WeekIndex],67),IF((('T_SelfStock'!BP54&lt;&gt;""))*(('T_TTAFStock'!BP54&lt;&gt;""))&gt;0,'T_SelfStock'!BP54+'T_TTAFStock'!BP54,BO50+'Grid_Incoming'!BP50-'Grid_Requirement'!BP50))</f>
        <v/>
      </c>
      <c r="BQ50">
        <f>IF(COUNTIFS(T_StockCount[Part Name],$A50,T_StockCount[WeekIndex],68)&gt;0,SUMIFS(T_StockCount[CountedQty],T_StockCount[Part Name],$A50,T_StockCount[WeekIndex],68),IF((('T_SelfStock'!BQ54&lt;&gt;""))*(('T_TTAFStock'!BQ54&lt;&gt;""))&gt;0,'T_SelfStock'!BQ54+'T_TTAFStock'!BQ54,BP50+'Grid_Incoming'!BQ50-'Grid_Requirement'!BQ50))</f>
        <v/>
      </c>
      <c r="BR50">
        <f>IF(COUNTIFS(T_StockCount[Part Name],$A50,T_StockCount[WeekIndex],69)&gt;0,SUMIFS(T_StockCount[CountedQty],T_StockCount[Part Name],$A50,T_StockCount[WeekIndex],69),IF((('T_SelfStock'!BR54&lt;&gt;""))*(('T_TTAFStock'!BR54&lt;&gt;""))&gt;0,'T_SelfStock'!BR54+'T_TTAFStock'!BR54,BQ50+'Grid_Incoming'!BR50-'Grid_Requirement'!BR50))</f>
        <v/>
      </c>
      <c r="BS50">
        <f>IF(COUNTIFS(T_StockCount[Part Name],$A50,T_StockCount[WeekIndex],70)&gt;0,SUMIFS(T_StockCount[CountedQty],T_StockCount[Part Name],$A50,T_StockCount[WeekIndex],70),IF((('T_SelfStock'!BS54&lt;&gt;""))*(('T_TTAFStock'!BS54&lt;&gt;""))&gt;0,'T_SelfStock'!BS54+'T_TTAFStock'!BS54,BR50+'Grid_Incoming'!BS50-'Grid_Requirement'!BS50))</f>
        <v/>
      </c>
      <c r="BT50">
        <f>IF(COUNTIFS(T_StockCount[Part Name],$A50,T_StockCount[WeekIndex],71)&gt;0,SUMIFS(T_StockCount[CountedQty],T_StockCount[Part Name],$A50,T_StockCount[WeekIndex],71),IF((('T_SelfStock'!BT54&lt;&gt;""))*(('T_TTAFStock'!BT54&lt;&gt;""))&gt;0,'T_SelfStock'!BT54+'T_TTAFStock'!BT54,BS50+'Grid_Incoming'!BT50-'Grid_Requirement'!BT50))</f>
        <v/>
      </c>
      <c r="BU50">
        <f>IF(COUNTIFS(T_StockCount[Part Name],$A50,T_StockCount[WeekIndex],72)&gt;0,SUMIFS(T_StockCount[CountedQty],T_StockCount[Part Name],$A50,T_StockCount[WeekIndex],72),IF((('T_SelfStock'!BU54&lt;&gt;""))*(('T_TTAFStock'!BU54&lt;&gt;""))&gt;0,'T_SelfStock'!BU54+'T_TTAFStock'!BU54,BT50+'Grid_Incoming'!BU50-'Grid_Requirement'!BU50))</f>
        <v/>
      </c>
      <c r="BV50">
        <f>IF(COUNTIFS(T_StockCount[Part Name],$A50,T_StockCount[WeekIndex],73)&gt;0,SUMIFS(T_StockCount[CountedQty],T_StockCount[Part Name],$A50,T_StockCount[WeekIndex],73),IF((('T_SelfStock'!BV54&lt;&gt;""))*(('T_TTAFStock'!BV54&lt;&gt;""))&gt;0,'T_SelfStock'!BV54+'T_TTAFStock'!BV54,BU50+'Grid_Incoming'!BV50-'Grid_Requirement'!BV50))</f>
        <v/>
      </c>
      <c r="BW50">
        <f>IF(COUNTIFS(T_StockCount[Part Name],$A50,T_StockCount[WeekIndex],74)&gt;0,SUMIFS(T_StockCount[CountedQty],T_StockCount[Part Name],$A50,T_StockCount[WeekIndex],74),IF((('T_SelfStock'!BW54&lt;&gt;""))*(('T_TTAFStock'!BW54&lt;&gt;""))&gt;0,'T_SelfStock'!BW54+'T_TTAFStock'!BW54,BV50+'Grid_Incoming'!BW50-'Grid_Requirement'!BW50))</f>
        <v/>
      </c>
      <c r="BX50">
        <f>IF(COUNTIFS(T_StockCount[Part Name],$A50,T_StockCount[WeekIndex],75)&gt;0,SUMIFS(T_StockCount[CountedQty],T_StockCount[Part Name],$A50,T_StockCount[WeekIndex],75),IF((('T_SelfStock'!BX54&lt;&gt;""))*(('T_TTAFStock'!BX54&lt;&gt;""))&gt;0,'T_SelfStock'!BX54+'T_TTAFStock'!BX54,BW50+'Grid_Incoming'!BX50-'Grid_Requirement'!BX50))</f>
        <v/>
      </c>
      <c r="BY50">
        <f>IF(COUNTIFS(T_StockCount[Part Name],$A50,T_StockCount[WeekIndex],76)&gt;0,SUMIFS(T_StockCount[CountedQty],T_StockCount[Part Name],$A50,T_StockCount[WeekIndex],76),IF((('T_SelfStock'!BY54&lt;&gt;""))*(('T_TTAFStock'!BY54&lt;&gt;""))&gt;0,'T_SelfStock'!BY54+'T_TTAFStock'!BY54,BX50+'Grid_Incoming'!BY50-'Grid_Requirement'!BY50))</f>
        <v/>
      </c>
      <c r="BZ50">
        <f>IF(COUNTIFS(T_StockCount[Part Name],$A50,T_StockCount[WeekIndex],77)&gt;0,SUMIFS(T_StockCount[CountedQty],T_StockCount[Part Name],$A50,T_StockCount[WeekIndex],77),IF((('T_SelfStock'!BZ54&lt;&gt;""))*(('T_TTAFStock'!BZ54&lt;&gt;""))&gt;0,'T_SelfStock'!BZ54+'T_TTAFStock'!BZ54,BY50+'Grid_Incoming'!BZ50-'Grid_Requirement'!BZ50))</f>
        <v/>
      </c>
      <c r="CA50">
        <f>IF(COUNTIFS(T_StockCount[Part Name],$A50,T_StockCount[WeekIndex],78)&gt;0,SUMIFS(T_StockCount[CountedQty],T_StockCount[Part Name],$A50,T_StockCount[WeekIndex],78),IF((('T_SelfStock'!CA54&lt;&gt;""))*(('T_TTAFStock'!CA54&lt;&gt;""))&gt;0,'T_SelfStock'!CA54+'T_TTAFStock'!CA54,BZ50+'Grid_Incoming'!CA50-'Grid_Requirement'!CA50))</f>
        <v/>
      </c>
      <c r="CB50">
        <f>IF(COUNTIFS(T_StockCount[Part Name],$A50,T_StockCount[WeekIndex],79)&gt;0,SUMIFS(T_StockCount[CountedQty],T_StockCount[Part Name],$A50,T_StockCount[WeekIndex],79),IF((('T_SelfStock'!CB54&lt;&gt;""))*(('T_TTAFStock'!CB54&lt;&gt;""))&gt;0,'T_SelfStock'!CB54+'T_TTAFStock'!CB54,CA50+'Grid_Incoming'!CB50-'Grid_Requirement'!CB50))</f>
        <v/>
      </c>
      <c r="CC50">
        <f>IF(COUNTIFS(T_StockCount[Part Name],$A50,T_StockCount[WeekIndex],80)&gt;0,SUMIFS(T_StockCount[CountedQty],T_StockCount[Part Name],$A50,T_StockCount[WeekIndex],80),IF((('T_SelfStock'!CC54&lt;&gt;""))*(('T_TTAFStock'!CC54&lt;&gt;""))&gt;0,'T_SelfStock'!CC54+'T_TTAFStock'!CC54,CB50+'Grid_Incoming'!CC50-'Grid_Requirement'!CC50))</f>
        <v/>
      </c>
      <c r="CD50">
        <f>IF(COUNTIFS(T_StockCount[Part Name],$A50,T_StockCount[WeekIndex],81)&gt;0,SUMIFS(T_StockCount[CountedQty],T_StockCount[Part Name],$A50,T_StockCount[WeekIndex],81),IF((('T_SelfStock'!CD54&lt;&gt;""))*(('T_TTAFStock'!CD54&lt;&gt;""))&gt;0,'T_SelfStock'!CD54+'T_TTAFStock'!CD54,CC50+'Grid_Incoming'!CD50-'Grid_Requirement'!CD50))</f>
        <v/>
      </c>
      <c r="CE50">
        <f>IF(COUNTIFS(T_StockCount[Part Name],$A50,T_StockCount[WeekIndex],82)&gt;0,SUMIFS(T_StockCount[CountedQty],T_StockCount[Part Name],$A50,T_StockCount[WeekIndex],82),IF((('T_SelfStock'!CE54&lt;&gt;""))*(('T_TTAFStock'!CE54&lt;&gt;""))&gt;0,'T_SelfStock'!CE54+'T_TTAFStock'!CE54,CD50+'Grid_Incoming'!CE50-'Grid_Requirement'!CE50))</f>
        <v/>
      </c>
      <c r="CF50">
        <f>IF(COUNTIFS(T_StockCount[Part Name],$A50,T_StockCount[WeekIndex],83)&gt;0,SUMIFS(T_StockCount[CountedQty],T_StockCount[Part Name],$A50,T_StockCount[WeekIndex],83),IF((('T_SelfStock'!CF54&lt;&gt;""))*(('T_TTAFStock'!CF54&lt;&gt;""))&gt;0,'T_SelfStock'!CF54+'T_TTAFStock'!CF54,CE50+'Grid_Incoming'!CF50-'Grid_Requirement'!CF50))</f>
        <v/>
      </c>
      <c r="CG50">
        <f>IF(COUNTIFS(T_StockCount[Part Name],$A50,T_StockCount[WeekIndex],84)&gt;0,SUMIFS(T_StockCount[CountedQty],T_StockCount[Part Name],$A50,T_StockCount[WeekIndex],84),IF((('T_SelfStock'!CG54&lt;&gt;""))*(('T_TTAFStock'!CG54&lt;&gt;""))&gt;0,'T_SelfStock'!CG54+'T_TTAFStock'!CG54,CF50+'Grid_Incoming'!CG50-'Grid_Requirement'!CG50))</f>
        <v/>
      </c>
      <c r="CH50">
        <f>IF(COUNTIFS(T_StockCount[Part Name],$A50,T_StockCount[WeekIndex],85)&gt;0,SUMIFS(T_StockCount[CountedQty],T_StockCount[Part Name],$A50,T_StockCount[WeekIndex],85),IF((('T_SelfStock'!CH54&lt;&gt;""))*(('T_TTAFStock'!CH54&lt;&gt;""))&gt;0,'T_SelfStock'!CH54+'T_TTAFStock'!CH54,CG50+'Grid_Incoming'!CH50-'Grid_Requirement'!CH50))</f>
        <v/>
      </c>
      <c r="CI50">
        <f>IF(COUNTIFS(T_StockCount[Part Name],$A50,T_StockCount[WeekIndex],86)&gt;0,SUMIFS(T_StockCount[CountedQty],T_StockCount[Part Name],$A50,T_StockCount[WeekIndex],86),IF((('T_SelfStock'!CI54&lt;&gt;""))*(('T_TTAFStock'!CI54&lt;&gt;""))&gt;0,'T_SelfStock'!CI54+'T_TTAFStock'!CI54,CH50+'Grid_Incoming'!CI50-'Grid_Requirement'!CI50))</f>
        <v/>
      </c>
      <c r="CJ50">
        <f>IF(COUNTIFS(T_StockCount[Part Name],$A50,T_StockCount[WeekIndex],87)&gt;0,SUMIFS(T_StockCount[CountedQty],T_StockCount[Part Name],$A50,T_StockCount[WeekIndex],87),IF((('T_SelfStock'!CJ54&lt;&gt;""))*(('T_TTAFStock'!CJ54&lt;&gt;""))&gt;0,'T_SelfStock'!CJ54+'T_TTAFStock'!CJ54,CI50+'Grid_Incoming'!CJ50-'Grid_Requirement'!CJ50))</f>
        <v/>
      </c>
      <c r="CK50">
        <f>IF(COUNTIFS(T_StockCount[Part Name],$A50,T_StockCount[WeekIndex],88)&gt;0,SUMIFS(T_StockCount[CountedQty],T_StockCount[Part Name],$A50,T_StockCount[WeekIndex],88),IF((('T_SelfStock'!CK54&lt;&gt;""))*(('T_TTAFStock'!CK54&lt;&gt;""))&gt;0,'T_SelfStock'!CK54+'T_TTAFStock'!CK54,CJ50+'Grid_Incoming'!CK50-'Grid_Requirement'!CK50))</f>
        <v/>
      </c>
      <c r="CL50">
        <f>IF(COUNTIFS(T_StockCount[Part Name],$A50,T_StockCount[WeekIndex],89)&gt;0,SUMIFS(T_StockCount[CountedQty],T_StockCount[Part Name],$A50,T_StockCount[WeekIndex],89),IF((('T_SelfStock'!CL54&lt;&gt;""))*(('T_TTAFStock'!CL54&lt;&gt;""))&gt;0,'T_SelfStock'!CL54+'T_TTAFStock'!CL54,CK50+'Grid_Incoming'!CL50-'Grid_Requirement'!CL50))</f>
        <v/>
      </c>
      <c r="CM50">
        <f>IF(COUNTIFS(T_StockCount[Part Name],$A50,T_StockCount[WeekIndex],90)&gt;0,SUMIFS(T_StockCount[CountedQty],T_StockCount[Part Name],$A50,T_StockCount[WeekIndex],90),IF((('T_SelfStock'!CM54&lt;&gt;""))*(('T_TTAFStock'!CM54&lt;&gt;""))&gt;0,'T_SelfStock'!CM54+'T_TTAFStock'!CM54,CL50+'Grid_Incoming'!CM50-'Grid_Requirement'!CM50))</f>
        <v/>
      </c>
      <c r="CN50">
        <f>IF(COUNTIFS(T_StockCount[Part Name],$A50,T_StockCount[WeekIndex],91)&gt;0,SUMIFS(T_StockCount[CountedQty],T_StockCount[Part Name],$A50,T_StockCount[WeekIndex],91),IF((('T_SelfStock'!CN54&lt;&gt;""))*(('T_TTAFStock'!CN54&lt;&gt;""))&gt;0,'T_SelfStock'!CN54+'T_TTAFStock'!CN54,CM50+'Grid_Incoming'!CN50-'Grid_Requirement'!CN50))</f>
        <v/>
      </c>
      <c r="CO50">
        <f>IF(COUNTIFS(T_StockCount[Part Name],$A50,T_StockCount[WeekIndex],92)&gt;0,SUMIFS(T_StockCount[CountedQty],T_StockCount[Part Name],$A50,T_StockCount[WeekIndex],92),IF((('T_SelfStock'!CO54&lt;&gt;""))*(('T_TTAFStock'!CO54&lt;&gt;""))&gt;0,'T_SelfStock'!CO54+'T_TTAFStock'!CO54,CN50+'Grid_Incoming'!CO50-'Grid_Requirement'!CO50))</f>
        <v/>
      </c>
      <c r="CP50">
        <f>IF(COUNTIFS(T_StockCount[Part Name],$A50,T_StockCount[WeekIndex],93)&gt;0,SUMIFS(T_StockCount[CountedQty],T_StockCount[Part Name],$A50,T_StockCount[WeekIndex],93),IF((('T_SelfStock'!CP54&lt;&gt;""))*(('T_TTAFStock'!CP54&lt;&gt;""))&gt;0,'T_SelfStock'!CP54+'T_TTAFStock'!CP54,CO50+'Grid_Incoming'!CP50-'Grid_Requirement'!CP50))</f>
        <v/>
      </c>
      <c r="CQ50">
        <f>IF(COUNTIFS(T_StockCount[Part Name],$A50,T_StockCount[WeekIndex],94)&gt;0,SUMIFS(T_StockCount[CountedQty],T_StockCount[Part Name],$A50,T_StockCount[WeekIndex],94),IF((('T_SelfStock'!CQ54&lt;&gt;""))*(('T_TTAFStock'!CQ54&lt;&gt;""))&gt;0,'T_SelfStock'!CQ54+'T_TTAFStock'!CQ54,CP50+'Grid_Incoming'!CQ50-'Grid_Requirement'!CQ50))</f>
        <v/>
      </c>
      <c r="CR50">
        <f>IF(COUNTIFS(T_StockCount[Part Name],$A50,T_StockCount[WeekIndex],95)&gt;0,SUMIFS(T_StockCount[CountedQty],T_StockCount[Part Name],$A50,T_StockCount[WeekIndex],95),IF((('T_SelfStock'!CR54&lt;&gt;""))*(('T_TTAFStock'!CR54&lt;&gt;""))&gt;0,'T_SelfStock'!CR54+'T_TTAFStock'!CR54,CQ50+'Grid_Incoming'!CR50-'Grid_Requirement'!CR50))</f>
        <v/>
      </c>
      <c r="CS50">
        <f>IF(COUNTIFS(T_StockCount[Part Name],$A50,T_StockCount[WeekIndex],96)&gt;0,SUMIFS(T_StockCount[CountedQty],T_StockCount[Part Name],$A50,T_StockCount[WeekIndex],96),IF((('T_SelfStock'!CS54&lt;&gt;""))*(('T_TTAFStock'!CS54&lt;&gt;""))&gt;0,'T_SelfStock'!CS54+'T_TTAFStock'!CS54,CR50+'Grid_Incoming'!CS50-'Grid_Requirement'!CS50))</f>
        <v/>
      </c>
      <c r="CT50">
        <f>IF(COUNTIFS(T_StockCount[Part Name],$A50,T_StockCount[WeekIndex],97)&gt;0,SUMIFS(T_StockCount[CountedQty],T_StockCount[Part Name],$A50,T_StockCount[WeekIndex],97),IF((('T_SelfStock'!CT54&lt;&gt;""))*(('T_TTAFStock'!CT54&lt;&gt;""))&gt;0,'T_SelfStock'!CT54+'T_TTAFStock'!CT54,CS50+'Grid_Incoming'!CT50-'Grid_Requirement'!CT50))</f>
        <v/>
      </c>
      <c r="CU50">
        <f>IF(COUNTIFS(T_StockCount[Part Name],$A50,T_StockCount[WeekIndex],98)&gt;0,SUMIFS(T_StockCount[CountedQty],T_StockCount[Part Name],$A50,T_StockCount[WeekIndex],98),IF((('T_SelfStock'!CU54&lt;&gt;""))*(('T_TTAFStock'!CU54&lt;&gt;""))&gt;0,'T_SelfStock'!CU54+'T_TTAFStock'!CU54,CT50+'Grid_Incoming'!CU50-'Grid_Requirement'!CU50))</f>
        <v/>
      </c>
      <c r="CV50">
        <f>IF(COUNTIFS(T_StockCount[Part Name],$A50,T_StockCount[WeekIndex],99)&gt;0,SUMIFS(T_StockCount[CountedQty],T_StockCount[Part Name],$A50,T_StockCount[WeekIndex],99),IF((('T_SelfStock'!CV54&lt;&gt;""))*(('T_TTAFStock'!CV54&lt;&gt;""))&gt;0,'T_SelfStock'!CV54+'T_TTAFStock'!CV54,CU50+'Grid_Incoming'!CV50-'Grid_Requirement'!CV50))</f>
        <v/>
      </c>
      <c r="CW50">
        <f>IF(COUNTIFS(T_StockCount[Part Name],$A50,T_StockCount[WeekIndex],100)&gt;0,SUMIFS(T_StockCount[CountedQty],T_StockCount[Part Name],$A50,T_StockCount[WeekIndex],100),IF((('T_SelfStock'!CW54&lt;&gt;""))*(('T_TTAFStock'!CW54&lt;&gt;""))&gt;0,'T_SelfStock'!CW54+'T_TTAFStock'!CW54,CV50+'Grid_Incoming'!CW50-'Grid_Requirement'!CW50))</f>
        <v/>
      </c>
      <c r="CX50">
        <f>IF(COUNTIFS(T_StockCount[Part Name],$A50,T_StockCount[WeekIndex],101)&gt;0,SUMIFS(T_StockCount[CountedQty],T_StockCount[Part Name],$A50,T_StockCount[WeekIndex],101),IF((('T_SelfStock'!CX54&lt;&gt;""))*(('T_TTAFStock'!CX54&lt;&gt;""))&gt;0,'T_SelfStock'!CX54+'T_TTAFStock'!CX54,CW50+'Grid_Incoming'!CX50-'Grid_Requirement'!CX50))</f>
        <v/>
      </c>
      <c r="CY50">
        <f>IF(COUNTIFS(T_StockCount[Part Name],$A50,T_StockCount[WeekIndex],102)&gt;0,SUMIFS(T_StockCount[CountedQty],T_StockCount[Part Name],$A50,T_StockCount[WeekIndex],102),IF((('T_SelfStock'!CY54&lt;&gt;""))*(('T_TTAFStock'!CY54&lt;&gt;""))&gt;0,'T_SelfStock'!CY54+'T_TTAFStock'!CY54,CX50+'Grid_Incoming'!CY50-'Grid_Requirement'!CY50))</f>
        <v/>
      </c>
      <c r="CZ50">
        <f>IF(COUNTIFS(T_StockCount[Part Name],$A50,T_StockCount[WeekIndex],103)&gt;0,SUMIFS(T_StockCount[CountedQty],T_StockCount[Part Name],$A50,T_StockCount[WeekIndex],103),IF((('T_SelfStock'!CZ54&lt;&gt;""))*(('T_TTAFStock'!CZ54&lt;&gt;""))&gt;0,'T_SelfStock'!CZ54+'T_TTAFStock'!CZ54,CY50+'Grid_Incoming'!CZ50-'Grid_Requirement'!CZ50))</f>
        <v/>
      </c>
      <c r="DA50">
        <f>IF(COUNTIFS(T_StockCount[Part Name],$A50,T_StockCount[WeekIndex],104)&gt;0,SUMIFS(T_StockCount[CountedQty],T_StockCount[Part Name],$A50,T_StockCount[WeekIndex],104),IF((('T_SelfStock'!DA54&lt;&gt;""))*(('T_TTAFStock'!DA54&lt;&gt;""))&gt;0,'T_SelfStock'!DA54+'T_TTAFStock'!DA54,CZ50+'Grid_Incoming'!DA50-'Grid_Requirement'!DA50))</f>
        <v/>
      </c>
    </row>
    <row r="51">
      <c r="A51" t="inlineStr">
        <is>
          <t>CHEM-1700</t>
        </is>
      </c>
      <c r="B51">
        <f>IF(COUNTIFS(T_StockCount[Part Name],$A51,T_StockCount[WeekIndex],1)&gt;0,SUMIFS(T_StockCount[CountedQty],T_StockCount[Part Name],$A51,T_StockCount[WeekIndex],1),IF((('T_SelfStock'!B55&lt;&gt;""))*(('T_TTAFStock'!B55&lt;&gt;""))&gt;0,'T_SelfStock'!B55+'T_TTAFStock'!B55,IFERROR(INDEX(T_OpeningStock[Opening_Qty_要入力],MATCH($A51,T_OpeningStock[Part Name],0)),0)+'Grid_Incoming'!B51-'Grid_Requirement'!B51))</f>
        <v/>
      </c>
      <c r="C51">
        <f>IF(COUNTIFS(T_StockCount[Part Name],$A51,T_StockCount[WeekIndex],2)&gt;0,SUMIFS(T_StockCount[CountedQty],T_StockCount[Part Name],$A51,T_StockCount[WeekIndex],2),IF((('T_SelfStock'!C55&lt;&gt;""))*(('T_TTAFStock'!C55&lt;&gt;""))&gt;0,'T_SelfStock'!C55+'T_TTAFStock'!C55,B51+'Grid_Incoming'!C51-'Grid_Requirement'!C51))</f>
        <v/>
      </c>
      <c r="D51">
        <f>IF(COUNTIFS(T_StockCount[Part Name],$A51,T_StockCount[WeekIndex],3)&gt;0,SUMIFS(T_StockCount[CountedQty],T_StockCount[Part Name],$A51,T_StockCount[WeekIndex],3),IF((('T_SelfStock'!D55&lt;&gt;""))*(('T_TTAFStock'!D55&lt;&gt;""))&gt;0,'T_SelfStock'!D55+'T_TTAFStock'!D55,C51+'Grid_Incoming'!D51-'Grid_Requirement'!D51))</f>
        <v/>
      </c>
      <c r="E51">
        <f>IF(COUNTIFS(T_StockCount[Part Name],$A51,T_StockCount[WeekIndex],4)&gt;0,SUMIFS(T_StockCount[CountedQty],T_StockCount[Part Name],$A51,T_StockCount[WeekIndex],4),IF((('T_SelfStock'!E55&lt;&gt;""))*(('T_TTAFStock'!E55&lt;&gt;""))&gt;0,'T_SelfStock'!E55+'T_TTAFStock'!E55,D51+'Grid_Incoming'!E51-'Grid_Requirement'!E51))</f>
        <v/>
      </c>
      <c r="F51">
        <f>IF(COUNTIFS(T_StockCount[Part Name],$A51,T_StockCount[WeekIndex],5)&gt;0,SUMIFS(T_StockCount[CountedQty],T_StockCount[Part Name],$A51,T_StockCount[WeekIndex],5),IF((('T_SelfStock'!F55&lt;&gt;""))*(('T_TTAFStock'!F55&lt;&gt;""))&gt;0,'T_SelfStock'!F55+'T_TTAFStock'!F55,E51+'Grid_Incoming'!F51-'Grid_Requirement'!F51))</f>
        <v/>
      </c>
      <c r="G51">
        <f>IF(COUNTIFS(T_StockCount[Part Name],$A51,T_StockCount[WeekIndex],6)&gt;0,SUMIFS(T_StockCount[CountedQty],T_StockCount[Part Name],$A51,T_StockCount[WeekIndex],6),IF((('T_SelfStock'!G55&lt;&gt;""))*(('T_TTAFStock'!G55&lt;&gt;""))&gt;0,'T_SelfStock'!G55+'T_TTAFStock'!G55,F51+'Grid_Incoming'!G51-'Grid_Requirement'!G51))</f>
        <v/>
      </c>
      <c r="H51">
        <f>IF(COUNTIFS(T_StockCount[Part Name],$A51,T_StockCount[WeekIndex],7)&gt;0,SUMIFS(T_StockCount[CountedQty],T_StockCount[Part Name],$A51,T_StockCount[WeekIndex],7),IF((('T_SelfStock'!H55&lt;&gt;""))*(('T_TTAFStock'!H55&lt;&gt;""))&gt;0,'T_SelfStock'!H55+'T_TTAFStock'!H55,G51+'Grid_Incoming'!H51-'Grid_Requirement'!H51))</f>
        <v/>
      </c>
      <c r="I51">
        <f>IF(COUNTIFS(T_StockCount[Part Name],$A51,T_StockCount[WeekIndex],8)&gt;0,SUMIFS(T_StockCount[CountedQty],T_StockCount[Part Name],$A51,T_StockCount[WeekIndex],8),IF((('T_SelfStock'!I55&lt;&gt;""))*(('T_TTAFStock'!I55&lt;&gt;""))&gt;0,'T_SelfStock'!I55+'T_TTAFStock'!I55,H51+'Grid_Incoming'!I51-'Grid_Requirement'!I51))</f>
        <v/>
      </c>
      <c r="J51">
        <f>IF(COUNTIFS(T_StockCount[Part Name],$A51,T_StockCount[WeekIndex],9)&gt;0,SUMIFS(T_StockCount[CountedQty],T_StockCount[Part Name],$A51,T_StockCount[WeekIndex],9),IF((('T_SelfStock'!J55&lt;&gt;""))*(('T_TTAFStock'!J55&lt;&gt;""))&gt;0,'T_SelfStock'!J55+'T_TTAFStock'!J55,I51+'Grid_Incoming'!J51-'Grid_Requirement'!J51))</f>
        <v/>
      </c>
      <c r="K51">
        <f>IF(COUNTIFS(T_StockCount[Part Name],$A51,T_StockCount[WeekIndex],10)&gt;0,SUMIFS(T_StockCount[CountedQty],T_StockCount[Part Name],$A51,T_StockCount[WeekIndex],10),IF((('T_SelfStock'!K55&lt;&gt;""))*(('T_TTAFStock'!K55&lt;&gt;""))&gt;0,'T_SelfStock'!K55+'T_TTAFStock'!K55,J51+'Grid_Incoming'!K51-'Grid_Requirement'!K51))</f>
        <v/>
      </c>
      <c r="L51">
        <f>IF(COUNTIFS(T_StockCount[Part Name],$A51,T_StockCount[WeekIndex],11)&gt;0,SUMIFS(T_StockCount[CountedQty],T_StockCount[Part Name],$A51,T_StockCount[WeekIndex],11),IF((('T_SelfStock'!L55&lt;&gt;""))*(('T_TTAFStock'!L55&lt;&gt;""))&gt;0,'T_SelfStock'!L55+'T_TTAFStock'!L55,K51+'Grid_Incoming'!L51-'Grid_Requirement'!L51))</f>
        <v/>
      </c>
      <c r="M51">
        <f>IF(COUNTIFS(T_StockCount[Part Name],$A51,T_StockCount[WeekIndex],12)&gt;0,SUMIFS(T_StockCount[CountedQty],T_StockCount[Part Name],$A51,T_StockCount[WeekIndex],12),IF((('T_SelfStock'!M55&lt;&gt;""))*(('T_TTAFStock'!M55&lt;&gt;""))&gt;0,'T_SelfStock'!M55+'T_TTAFStock'!M55,L51+'Grid_Incoming'!M51-'Grid_Requirement'!M51))</f>
        <v/>
      </c>
      <c r="N51">
        <f>IF(COUNTIFS(T_StockCount[Part Name],$A51,T_StockCount[WeekIndex],13)&gt;0,SUMIFS(T_StockCount[CountedQty],T_StockCount[Part Name],$A51,T_StockCount[WeekIndex],13),IF((('T_SelfStock'!N55&lt;&gt;""))*(('T_TTAFStock'!N55&lt;&gt;""))&gt;0,'T_SelfStock'!N55+'T_TTAFStock'!N55,M51+'Grid_Incoming'!N51-'Grid_Requirement'!N51))</f>
        <v/>
      </c>
      <c r="O51">
        <f>IF(COUNTIFS(T_StockCount[Part Name],$A51,T_StockCount[WeekIndex],14)&gt;0,SUMIFS(T_StockCount[CountedQty],T_StockCount[Part Name],$A51,T_StockCount[WeekIndex],14),IF((('T_SelfStock'!O55&lt;&gt;""))*(('T_TTAFStock'!O55&lt;&gt;""))&gt;0,'T_SelfStock'!O55+'T_TTAFStock'!O55,N51+'Grid_Incoming'!O51-'Grid_Requirement'!O51))</f>
        <v/>
      </c>
      <c r="P51">
        <f>IF(COUNTIFS(T_StockCount[Part Name],$A51,T_StockCount[WeekIndex],15)&gt;0,SUMIFS(T_StockCount[CountedQty],T_StockCount[Part Name],$A51,T_StockCount[WeekIndex],15),IF((('T_SelfStock'!P55&lt;&gt;""))*(('T_TTAFStock'!P55&lt;&gt;""))&gt;0,'T_SelfStock'!P55+'T_TTAFStock'!P55,O51+'Grid_Incoming'!P51-'Grid_Requirement'!P51))</f>
        <v/>
      </c>
      <c r="Q51">
        <f>IF(COUNTIFS(T_StockCount[Part Name],$A51,T_StockCount[WeekIndex],16)&gt;0,SUMIFS(T_StockCount[CountedQty],T_StockCount[Part Name],$A51,T_StockCount[WeekIndex],16),IF((('T_SelfStock'!Q55&lt;&gt;""))*(('T_TTAFStock'!Q55&lt;&gt;""))&gt;0,'T_SelfStock'!Q55+'T_TTAFStock'!Q55,P51+'Grid_Incoming'!Q51-'Grid_Requirement'!Q51))</f>
        <v/>
      </c>
      <c r="R51">
        <f>IF(COUNTIFS(T_StockCount[Part Name],$A51,T_StockCount[WeekIndex],17)&gt;0,SUMIFS(T_StockCount[CountedQty],T_StockCount[Part Name],$A51,T_StockCount[WeekIndex],17),IF((('T_SelfStock'!R55&lt;&gt;""))*(('T_TTAFStock'!R55&lt;&gt;""))&gt;0,'T_SelfStock'!R55+'T_TTAFStock'!R55,Q51+'Grid_Incoming'!R51-'Grid_Requirement'!R51))</f>
        <v/>
      </c>
      <c r="S51">
        <f>IF(COUNTIFS(T_StockCount[Part Name],$A51,T_StockCount[WeekIndex],18)&gt;0,SUMIFS(T_StockCount[CountedQty],T_StockCount[Part Name],$A51,T_StockCount[WeekIndex],18),IF((('T_SelfStock'!S55&lt;&gt;""))*(('T_TTAFStock'!S55&lt;&gt;""))&gt;0,'T_SelfStock'!S55+'T_TTAFStock'!S55,R51+'Grid_Incoming'!S51-'Grid_Requirement'!S51))</f>
        <v/>
      </c>
      <c r="T51">
        <f>IF(COUNTIFS(T_StockCount[Part Name],$A51,T_StockCount[WeekIndex],19)&gt;0,SUMIFS(T_StockCount[CountedQty],T_StockCount[Part Name],$A51,T_StockCount[WeekIndex],19),IF((('T_SelfStock'!T55&lt;&gt;""))*(('T_TTAFStock'!T55&lt;&gt;""))&gt;0,'T_SelfStock'!T55+'T_TTAFStock'!T55,S51+'Grid_Incoming'!T51-'Grid_Requirement'!T51))</f>
        <v/>
      </c>
      <c r="U51">
        <f>IF(COUNTIFS(T_StockCount[Part Name],$A51,T_StockCount[WeekIndex],20)&gt;0,SUMIFS(T_StockCount[CountedQty],T_StockCount[Part Name],$A51,T_StockCount[WeekIndex],20),IF((('T_SelfStock'!U55&lt;&gt;""))*(('T_TTAFStock'!U55&lt;&gt;""))&gt;0,'T_SelfStock'!U55+'T_TTAFStock'!U55,T51+'Grid_Incoming'!U51-'Grid_Requirement'!U51))</f>
        <v/>
      </c>
      <c r="V51">
        <f>IF(COUNTIFS(T_StockCount[Part Name],$A51,T_StockCount[WeekIndex],21)&gt;0,SUMIFS(T_StockCount[CountedQty],T_StockCount[Part Name],$A51,T_StockCount[WeekIndex],21),IF((('T_SelfStock'!V55&lt;&gt;""))*(('T_TTAFStock'!V55&lt;&gt;""))&gt;0,'T_SelfStock'!V55+'T_TTAFStock'!V55,U51+'Grid_Incoming'!V51-'Grid_Requirement'!V51))</f>
        <v/>
      </c>
      <c r="W51">
        <f>IF(COUNTIFS(T_StockCount[Part Name],$A51,T_StockCount[WeekIndex],22)&gt;0,SUMIFS(T_StockCount[CountedQty],T_StockCount[Part Name],$A51,T_StockCount[WeekIndex],22),IF((('T_SelfStock'!W55&lt;&gt;""))*(('T_TTAFStock'!W55&lt;&gt;""))&gt;0,'T_SelfStock'!W55+'T_TTAFStock'!W55,V51+'Grid_Incoming'!W51-'Grid_Requirement'!W51))</f>
        <v/>
      </c>
      <c r="X51">
        <f>IF(COUNTIFS(T_StockCount[Part Name],$A51,T_StockCount[WeekIndex],23)&gt;0,SUMIFS(T_StockCount[CountedQty],T_StockCount[Part Name],$A51,T_StockCount[WeekIndex],23),IF((('T_SelfStock'!X55&lt;&gt;""))*(('T_TTAFStock'!X55&lt;&gt;""))&gt;0,'T_SelfStock'!X55+'T_TTAFStock'!X55,W51+'Grid_Incoming'!X51-'Grid_Requirement'!X51))</f>
        <v/>
      </c>
      <c r="Y51">
        <f>IF(COUNTIFS(T_StockCount[Part Name],$A51,T_StockCount[WeekIndex],24)&gt;0,SUMIFS(T_StockCount[CountedQty],T_StockCount[Part Name],$A51,T_StockCount[WeekIndex],24),IF((('T_SelfStock'!Y55&lt;&gt;""))*(('T_TTAFStock'!Y55&lt;&gt;""))&gt;0,'T_SelfStock'!Y55+'T_TTAFStock'!Y55,X51+'Grid_Incoming'!Y51-'Grid_Requirement'!Y51))</f>
        <v/>
      </c>
      <c r="Z51">
        <f>IF(COUNTIFS(T_StockCount[Part Name],$A51,T_StockCount[WeekIndex],25)&gt;0,SUMIFS(T_StockCount[CountedQty],T_StockCount[Part Name],$A51,T_StockCount[WeekIndex],25),IF((('T_SelfStock'!Z55&lt;&gt;""))*(('T_TTAFStock'!Z55&lt;&gt;""))&gt;0,'T_SelfStock'!Z55+'T_TTAFStock'!Z55,Y51+'Grid_Incoming'!Z51-'Grid_Requirement'!Z51))</f>
        <v/>
      </c>
      <c r="AA51">
        <f>IF(COUNTIFS(T_StockCount[Part Name],$A51,T_StockCount[WeekIndex],26)&gt;0,SUMIFS(T_StockCount[CountedQty],T_StockCount[Part Name],$A51,T_StockCount[WeekIndex],26),IF((('T_SelfStock'!AA55&lt;&gt;""))*(('T_TTAFStock'!AA55&lt;&gt;""))&gt;0,'T_SelfStock'!AA55+'T_TTAFStock'!AA55,Z51+'Grid_Incoming'!AA51-'Grid_Requirement'!AA51))</f>
        <v/>
      </c>
      <c r="AB51">
        <f>IF(COUNTIFS(T_StockCount[Part Name],$A51,T_StockCount[WeekIndex],27)&gt;0,SUMIFS(T_StockCount[CountedQty],T_StockCount[Part Name],$A51,T_StockCount[WeekIndex],27),IF((('T_SelfStock'!AB55&lt;&gt;""))*(('T_TTAFStock'!AB55&lt;&gt;""))&gt;0,'T_SelfStock'!AB55+'T_TTAFStock'!AB55,AA51+'Grid_Incoming'!AB51-'Grid_Requirement'!AB51))</f>
        <v/>
      </c>
      <c r="AC51">
        <f>IF(COUNTIFS(T_StockCount[Part Name],$A51,T_StockCount[WeekIndex],28)&gt;0,SUMIFS(T_StockCount[CountedQty],T_StockCount[Part Name],$A51,T_StockCount[WeekIndex],28),IF((('T_SelfStock'!AC55&lt;&gt;""))*(('T_TTAFStock'!AC55&lt;&gt;""))&gt;0,'T_SelfStock'!AC55+'T_TTAFStock'!AC55,AB51+'Grid_Incoming'!AC51-'Grid_Requirement'!AC51))</f>
        <v/>
      </c>
      <c r="AD51">
        <f>IF(COUNTIFS(T_StockCount[Part Name],$A51,T_StockCount[WeekIndex],29)&gt;0,SUMIFS(T_StockCount[CountedQty],T_StockCount[Part Name],$A51,T_StockCount[WeekIndex],29),IF((('T_SelfStock'!AD55&lt;&gt;""))*(('T_TTAFStock'!AD55&lt;&gt;""))&gt;0,'T_SelfStock'!AD55+'T_TTAFStock'!AD55,AC51+'Grid_Incoming'!AD51-'Grid_Requirement'!AD51))</f>
        <v/>
      </c>
      <c r="AE51">
        <f>IF(COUNTIFS(T_StockCount[Part Name],$A51,T_StockCount[WeekIndex],30)&gt;0,SUMIFS(T_StockCount[CountedQty],T_StockCount[Part Name],$A51,T_StockCount[WeekIndex],30),IF((('T_SelfStock'!AE55&lt;&gt;""))*(('T_TTAFStock'!AE55&lt;&gt;""))&gt;0,'T_SelfStock'!AE55+'T_TTAFStock'!AE55,AD51+'Grid_Incoming'!AE51-'Grid_Requirement'!AE51))</f>
        <v/>
      </c>
      <c r="AF51">
        <f>IF(COUNTIFS(T_StockCount[Part Name],$A51,T_StockCount[WeekIndex],31)&gt;0,SUMIFS(T_StockCount[CountedQty],T_StockCount[Part Name],$A51,T_StockCount[WeekIndex],31),IF((('T_SelfStock'!AF55&lt;&gt;""))*(('T_TTAFStock'!AF55&lt;&gt;""))&gt;0,'T_SelfStock'!AF55+'T_TTAFStock'!AF55,AE51+'Grid_Incoming'!AF51-'Grid_Requirement'!AF51))</f>
        <v/>
      </c>
      <c r="AG51">
        <f>IF(COUNTIFS(T_StockCount[Part Name],$A51,T_StockCount[WeekIndex],32)&gt;0,SUMIFS(T_StockCount[CountedQty],T_StockCount[Part Name],$A51,T_StockCount[WeekIndex],32),IF((('T_SelfStock'!AG55&lt;&gt;""))*(('T_TTAFStock'!AG55&lt;&gt;""))&gt;0,'T_SelfStock'!AG55+'T_TTAFStock'!AG55,AF51+'Grid_Incoming'!AG51-'Grid_Requirement'!AG51))</f>
        <v/>
      </c>
      <c r="AH51">
        <f>IF(COUNTIFS(T_StockCount[Part Name],$A51,T_StockCount[WeekIndex],33)&gt;0,SUMIFS(T_StockCount[CountedQty],T_StockCount[Part Name],$A51,T_StockCount[WeekIndex],33),IF((('T_SelfStock'!AH55&lt;&gt;""))*(('T_TTAFStock'!AH55&lt;&gt;""))&gt;0,'T_SelfStock'!AH55+'T_TTAFStock'!AH55,AG51+'Grid_Incoming'!AH51-'Grid_Requirement'!AH51))</f>
        <v/>
      </c>
      <c r="AI51">
        <f>IF(COUNTIFS(T_StockCount[Part Name],$A51,T_StockCount[WeekIndex],34)&gt;0,SUMIFS(T_StockCount[CountedQty],T_StockCount[Part Name],$A51,T_StockCount[WeekIndex],34),IF((('T_SelfStock'!AI55&lt;&gt;""))*(('T_TTAFStock'!AI55&lt;&gt;""))&gt;0,'T_SelfStock'!AI55+'T_TTAFStock'!AI55,AH51+'Grid_Incoming'!AI51-'Grid_Requirement'!AI51))</f>
        <v/>
      </c>
      <c r="AJ51">
        <f>IF(COUNTIFS(T_StockCount[Part Name],$A51,T_StockCount[WeekIndex],35)&gt;0,SUMIFS(T_StockCount[CountedQty],T_StockCount[Part Name],$A51,T_StockCount[WeekIndex],35),IF((('T_SelfStock'!AJ55&lt;&gt;""))*(('T_TTAFStock'!AJ55&lt;&gt;""))&gt;0,'T_SelfStock'!AJ55+'T_TTAFStock'!AJ55,AI51+'Grid_Incoming'!AJ51-'Grid_Requirement'!AJ51))</f>
        <v/>
      </c>
      <c r="AK51">
        <f>IF(COUNTIFS(T_StockCount[Part Name],$A51,T_StockCount[WeekIndex],36)&gt;0,SUMIFS(T_StockCount[CountedQty],T_StockCount[Part Name],$A51,T_StockCount[WeekIndex],36),IF((('T_SelfStock'!AK55&lt;&gt;""))*(('T_TTAFStock'!AK55&lt;&gt;""))&gt;0,'T_SelfStock'!AK55+'T_TTAFStock'!AK55,AJ51+'Grid_Incoming'!AK51-'Grid_Requirement'!AK51))</f>
        <v/>
      </c>
      <c r="AL51">
        <f>IF(COUNTIFS(T_StockCount[Part Name],$A51,T_StockCount[WeekIndex],37)&gt;0,SUMIFS(T_StockCount[CountedQty],T_StockCount[Part Name],$A51,T_StockCount[WeekIndex],37),IF((('T_SelfStock'!AL55&lt;&gt;""))*(('T_TTAFStock'!AL55&lt;&gt;""))&gt;0,'T_SelfStock'!AL55+'T_TTAFStock'!AL55,AK51+'Grid_Incoming'!AL51-'Grid_Requirement'!AL51))</f>
        <v/>
      </c>
      <c r="AM51">
        <f>IF(COUNTIFS(T_StockCount[Part Name],$A51,T_StockCount[WeekIndex],38)&gt;0,SUMIFS(T_StockCount[CountedQty],T_StockCount[Part Name],$A51,T_StockCount[WeekIndex],38),IF((('T_SelfStock'!AM55&lt;&gt;""))*(('T_TTAFStock'!AM55&lt;&gt;""))&gt;0,'T_SelfStock'!AM55+'T_TTAFStock'!AM55,AL51+'Grid_Incoming'!AM51-'Grid_Requirement'!AM51))</f>
        <v/>
      </c>
      <c r="AN51">
        <f>IF(COUNTIFS(T_StockCount[Part Name],$A51,T_StockCount[WeekIndex],39)&gt;0,SUMIFS(T_StockCount[CountedQty],T_StockCount[Part Name],$A51,T_StockCount[WeekIndex],39),IF((('T_SelfStock'!AN55&lt;&gt;""))*(('T_TTAFStock'!AN55&lt;&gt;""))&gt;0,'T_SelfStock'!AN55+'T_TTAFStock'!AN55,AM51+'Grid_Incoming'!AN51-'Grid_Requirement'!AN51))</f>
        <v/>
      </c>
      <c r="AO51">
        <f>IF(COUNTIFS(T_StockCount[Part Name],$A51,T_StockCount[WeekIndex],40)&gt;0,SUMIFS(T_StockCount[CountedQty],T_StockCount[Part Name],$A51,T_StockCount[WeekIndex],40),IF((('T_SelfStock'!AO55&lt;&gt;""))*(('T_TTAFStock'!AO55&lt;&gt;""))&gt;0,'T_SelfStock'!AO55+'T_TTAFStock'!AO55,AN51+'Grid_Incoming'!AO51-'Grid_Requirement'!AO51))</f>
        <v/>
      </c>
      <c r="AP51">
        <f>IF(COUNTIFS(T_StockCount[Part Name],$A51,T_StockCount[WeekIndex],41)&gt;0,SUMIFS(T_StockCount[CountedQty],T_StockCount[Part Name],$A51,T_StockCount[WeekIndex],41),IF((('T_SelfStock'!AP55&lt;&gt;""))*(('T_TTAFStock'!AP55&lt;&gt;""))&gt;0,'T_SelfStock'!AP55+'T_TTAFStock'!AP55,AO51+'Grid_Incoming'!AP51-'Grid_Requirement'!AP51))</f>
        <v/>
      </c>
      <c r="AQ51">
        <f>IF(COUNTIFS(T_StockCount[Part Name],$A51,T_StockCount[WeekIndex],42)&gt;0,SUMIFS(T_StockCount[CountedQty],T_StockCount[Part Name],$A51,T_StockCount[WeekIndex],42),IF((('T_SelfStock'!AQ55&lt;&gt;""))*(('T_TTAFStock'!AQ55&lt;&gt;""))&gt;0,'T_SelfStock'!AQ55+'T_TTAFStock'!AQ55,AP51+'Grid_Incoming'!AQ51-'Grid_Requirement'!AQ51))</f>
        <v/>
      </c>
      <c r="AR51">
        <f>IF(COUNTIFS(T_StockCount[Part Name],$A51,T_StockCount[WeekIndex],43)&gt;0,SUMIFS(T_StockCount[CountedQty],T_StockCount[Part Name],$A51,T_StockCount[WeekIndex],43),IF((('T_SelfStock'!AR55&lt;&gt;""))*(('T_TTAFStock'!AR55&lt;&gt;""))&gt;0,'T_SelfStock'!AR55+'T_TTAFStock'!AR55,AQ51+'Grid_Incoming'!AR51-'Grid_Requirement'!AR51))</f>
        <v/>
      </c>
      <c r="AS51">
        <f>IF(COUNTIFS(T_StockCount[Part Name],$A51,T_StockCount[WeekIndex],44)&gt;0,SUMIFS(T_StockCount[CountedQty],T_StockCount[Part Name],$A51,T_StockCount[WeekIndex],44),IF((('T_SelfStock'!AS55&lt;&gt;""))*(('T_TTAFStock'!AS55&lt;&gt;""))&gt;0,'T_SelfStock'!AS55+'T_TTAFStock'!AS55,AR51+'Grid_Incoming'!AS51-'Grid_Requirement'!AS51))</f>
        <v/>
      </c>
      <c r="AT51">
        <f>IF(COUNTIFS(T_StockCount[Part Name],$A51,T_StockCount[WeekIndex],45)&gt;0,SUMIFS(T_StockCount[CountedQty],T_StockCount[Part Name],$A51,T_StockCount[WeekIndex],45),IF((('T_SelfStock'!AT55&lt;&gt;""))*(('T_TTAFStock'!AT55&lt;&gt;""))&gt;0,'T_SelfStock'!AT55+'T_TTAFStock'!AT55,AS51+'Grid_Incoming'!AT51-'Grid_Requirement'!AT51))</f>
        <v/>
      </c>
      <c r="AU51">
        <f>IF(COUNTIFS(T_StockCount[Part Name],$A51,T_StockCount[WeekIndex],46)&gt;0,SUMIFS(T_StockCount[CountedQty],T_StockCount[Part Name],$A51,T_StockCount[WeekIndex],46),IF((('T_SelfStock'!AU55&lt;&gt;""))*(('T_TTAFStock'!AU55&lt;&gt;""))&gt;0,'T_SelfStock'!AU55+'T_TTAFStock'!AU55,AT51+'Grid_Incoming'!AU51-'Grid_Requirement'!AU51))</f>
        <v/>
      </c>
      <c r="AV51">
        <f>IF(COUNTIFS(T_StockCount[Part Name],$A51,T_StockCount[WeekIndex],47)&gt;0,SUMIFS(T_StockCount[CountedQty],T_StockCount[Part Name],$A51,T_StockCount[WeekIndex],47),IF((('T_SelfStock'!AV55&lt;&gt;""))*(('T_TTAFStock'!AV55&lt;&gt;""))&gt;0,'T_SelfStock'!AV55+'T_TTAFStock'!AV55,AU51+'Grid_Incoming'!AV51-'Grid_Requirement'!AV51))</f>
        <v/>
      </c>
      <c r="AW51">
        <f>IF(COUNTIFS(T_StockCount[Part Name],$A51,T_StockCount[WeekIndex],48)&gt;0,SUMIFS(T_StockCount[CountedQty],T_StockCount[Part Name],$A51,T_StockCount[WeekIndex],48),IF((('T_SelfStock'!AW55&lt;&gt;""))*(('T_TTAFStock'!AW55&lt;&gt;""))&gt;0,'T_SelfStock'!AW55+'T_TTAFStock'!AW55,AV51+'Grid_Incoming'!AW51-'Grid_Requirement'!AW51))</f>
        <v/>
      </c>
      <c r="AX51">
        <f>IF(COUNTIFS(T_StockCount[Part Name],$A51,T_StockCount[WeekIndex],49)&gt;0,SUMIFS(T_StockCount[CountedQty],T_StockCount[Part Name],$A51,T_StockCount[WeekIndex],49),IF((('T_SelfStock'!AX55&lt;&gt;""))*(('T_TTAFStock'!AX55&lt;&gt;""))&gt;0,'T_SelfStock'!AX55+'T_TTAFStock'!AX55,AW51+'Grid_Incoming'!AX51-'Grid_Requirement'!AX51))</f>
        <v/>
      </c>
      <c r="AY51">
        <f>IF(COUNTIFS(T_StockCount[Part Name],$A51,T_StockCount[WeekIndex],50)&gt;0,SUMIFS(T_StockCount[CountedQty],T_StockCount[Part Name],$A51,T_StockCount[WeekIndex],50),IF((('T_SelfStock'!AY55&lt;&gt;""))*(('T_TTAFStock'!AY55&lt;&gt;""))&gt;0,'T_SelfStock'!AY55+'T_TTAFStock'!AY55,AX51+'Grid_Incoming'!AY51-'Grid_Requirement'!AY51))</f>
        <v/>
      </c>
      <c r="AZ51">
        <f>IF(COUNTIFS(T_StockCount[Part Name],$A51,T_StockCount[WeekIndex],51)&gt;0,SUMIFS(T_StockCount[CountedQty],T_StockCount[Part Name],$A51,T_StockCount[WeekIndex],51),IF((('T_SelfStock'!AZ55&lt;&gt;""))*(('T_TTAFStock'!AZ55&lt;&gt;""))&gt;0,'T_SelfStock'!AZ55+'T_TTAFStock'!AZ55,AY51+'Grid_Incoming'!AZ51-'Grid_Requirement'!AZ51))</f>
        <v/>
      </c>
      <c r="BA51">
        <f>IF(COUNTIFS(T_StockCount[Part Name],$A51,T_StockCount[WeekIndex],52)&gt;0,SUMIFS(T_StockCount[CountedQty],T_StockCount[Part Name],$A51,T_StockCount[WeekIndex],52),IF((('T_SelfStock'!BA55&lt;&gt;""))*(('T_TTAFStock'!BA55&lt;&gt;""))&gt;0,'T_SelfStock'!BA55+'T_TTAFStock'!BA55,AZ51+'Grid_Incoming'!BA51-'Grid_Requirement'!BA51))</f>
        <v/>
      </c>
      <c r="BB51">
        <f>IF(COUNTIFS(T_StockCount[Part Name],$A51,T_StockCount[WeekIndex],53)&gt;0,SUMIFS(T_StockCount[CountedQty],T_StockCount[Part Name],$A51,T_StockCount[WeekIndex],53),IF((('T_SelfStock'!BB55&lt;&gt;""))*(('T_TTAFStock'!BB55&lt;&gt;""))&gt;0,'T_SelfStock'!BB55+'T_TTAFStock'!BB55,BA51+'Grid_Incoming'!BB51-'Grid_Requirement'!BB51))</f>
        <v/>
      </c>
      <c r="BC51">
        <f>IF(COUNTIFS(T_StockCount[Part Name],$A51,T_StockCount[WeekIndex],54)&gt;0,SUMIFS(T_StockCount[CountedQty],T_StockCount[Part Name],$A51,T_StockCount[WeekIndex],54),IF((('T_SelfStock'!BC55&lt;&gt;""))*(('T_TTAFStock'!BC55&lt;&gt;""))&gt;0,'T_SelfStock'!BC55+'T_TTAFStock'!BC55,BB51+'Grid_Incoming'!BC51-'Grid_Requirement'!BC51))</f>
        <v/>
      </c>
      <c r="BD51">
        <f>IF(COUNTIFS(T_StockCount[Part Name],$A51,T_StockCount[WeekIndex],55)&gt;0,SUMIFS(T_StockCount[CountedQty],T_StockCount[Part Name],$A51,T_StockCount[WeekIndex],55),IF((('T_SelfStock'!BD55&lt;&gt;""))*(('T_TTAFStock'!BD55&lt;&gt;""))&gt;0,'T_SelfStock'!BD55+'T_TTAFStock'!BD55,BC51+'Grid_Incoming'!BD51-'Grid_Requirement'!BD51))</f>
        <v/>
      </c>
      <c r="BE51">
        <f>IF(COUNTIFS(T_StockCount[Part Name],$A51,T_StockCount[WeekIndex],56)&gt;0,SUMIFS(T_StockCount[CountedQty],T_StockCount[Part Name],$A51,T_StockCount[WeekIndex],56),IF((('T_SelfStock'!BE55&lt;&gt;""))*(('T_TTAFStock'!BE55&lt;&gt;""))&gt;0,'T_SelfStock'!BE55+'T_TTAFStock'!BE55,BD51+'Grid_Incoming'!BE51-'Grid_Requirement'!BE51))</f>
        <v/>
      </c>
      <c r="BF51">
        <f>IF(COUNTIFS(T_StockCount[Part Name],$A51,T_StockCount[WeekIndex],57)&gt;0,SUMIFS(T_StockCount[CountedQty],T_StockCount[Part Name],$A51,T_StockCount[WeekIndex],57),IF((('T_SelfStock'!BF55&lt;&gt;""))*(('T_TTAFStock'!BF55&lt;&gt;""))&gt;0,'T_SelfStock'!BF55+'T_TTAFStock'!BF55,BE51+'Grid_Incoming'!BF51-'Grid_Requirement'!BF51))</f>
        <v/>
      </c>
      <c r="BG51">
        <f>IF(COUNTIFS(T_StockCount[Part Name],$A51,T_StockCount[WeekIndex],58)&gt;0,SUMIFS(T_StockCount[CountedQty],T_StockCount[Part Name],$A51,T_StockCount[WeekIndex],58),IF((('T_SelfStock'!BG55&lt;&gt;""))*(('T_TTAFStock'!BG55&lt;&gt;""))&gt;0,'T_SelfStock'!BG55+'T_TTAFStock'!BG55,BF51+'Grid_Incoming'!BG51-'Grid_Requirement'!BG51))</f>
        <v/>
      </c>
      <c r="BH51">
        <f>IF(COUNTIFS(T_StockCount[Part Name],$A51,T_StockCount[WeekIndex],59)&gt;0,SUMIFS(T_StockCount[CountedQty],T_StockCount[Part Name],$A51,T_StockCount[WeekIndex],59),IF((('T_SelfStock'!BH55&lt;&gt;""))*(('T_TTAFStock'!BH55&lt;&gt;""))&gt;0,'T_SelfStock'!BH55+'T_TTAFStock'!BH55,BG51+'Grid_Incoming'!BH51-'Grid_Requirement'!BH51))</f>
        <v/>
      </c>
      <c r="BI51">
        <f>IF(COUNTIFS(T_StockCount[Part Name],$A51,T_StockCount[WeekIndex],60)&gt;0,SUMIFS(T_StockCount[CountedQty],T_StockCount[Part Name],$A51,T_StockCount[WeekIndex],60),IF((('T_SelfStock'!BI55&lt;&gt;""))*(('T_TTAFStock'!BI55&lt;&gt;""))&gt;0,'T_SelfStock'!BI55+'T_TTAFStock'!BI55,BH51+'Grid_Incoming'!BI51-'Grid_Requirement'!BI51))</f>
        <v/>
      </c>
      <c r="BJ51">
        <f>IF(COUNTIFS(T_StockCount[Part Name],$A51,T_StockCount[WeekIndex],61)&gt;0,SUMIFS(T_StockCount[CountedQty],T_StockCount[Part Name],$A51,T_StockCount[WeekIndex],61),IF((('T_SelfStock'!BJ55&lt;&gt;""))*(('T_TTAFStock'!BJ55&lt;&gt;""))&gt;0,'T_SelfStock'!BJ55+'T_TTAFStock'!BJ55,BI51+'Grid_Incoming'!BJ51-'Grid_Requirement'!BJ51))</f>
        <v/>
      </c>
      <c r="BK51">
        <f>IF(COUNTIFS(T_StockCount[Part Name],$A51,T_StockCount[WeekIndex],62)&gt;0,SUMIFS(T_StockCount[CountedQty],T_StockCount[Part Name],$A51,T_StockCount[WeekIndex],62),IF((('T_SelfStock'!BK55&lt;&gt;""))*(('T_TTAFStock'!BK55&lt;&gt;""))&gt;0,'T_SelfStock'!BK55+'T_TTAFStock'!BK55,BJ51+'Grid_Incoming'!BK51-'Grid_Requirement'!BK51))</f>
        <v/>
      </c>
      <c r="BL51">
        <f>IF(COUNTIFS(T_StockCount[Part Name],$A51,T_StockCount[WeekIndex],63)&gt;0,SUMIFS(T_StockCount[CountedQty],T_StockCount[Part Name],$A51,T_StockCount[WeekIndex],63),IF((('T_SelfStock'!BL55&lt;&gt;""))*(('T_TTAFStock'!BL55&lt;&gt;""))&gt;0,'T_SelfStock'!BL55+'T_TTAFStock'!BL55,BK51+'Grid_Incoming'!BL51-'Grid_Requirement'!BL51))</f>
        <v/>
      </c>
      <c r="BM51">
        <f>IF(COUNTIFS(T_StockCount[Part Name],$A51,T_StockCount[WeekIndex],64)&gt;0,SUMIFS(T_StockCount[CountedQty],T_StockCount[Part Name],$A51,T_StockCount[WeekIndex],64),IF((('T_SelfStock'!BM55&lt;&gt;""))*(('T_TTAFStock'!BM55&lt;&gt;""))&gt;0,'T_SelfStock'!BM55+'T_TTAFStock'!BM55,BL51+'Grid_Incoming'!BM51-'Grid_Requirement'!BM51))</f>
        <v/>
      </c>
      <c r="BN51">
        <f>IF(COUNTIFS(T_StockCount[Part Name],$A51,T_StockCount[WeekIndex],65)&gt;0,SUMIFS(T_StockCount[CountedQty],T_StockCount[Part Name],$A51,T_StockCount[WeekIndex],65),IF((('T_SelfStock'!BN55&lt;&gt;""))*(('T_TTAFStock'!BN55&lt;&gt;""))&gt;0,'T_SelfStock'!BN55+'T_TTAFStock'!BN55,BM51+'Grid_Incoming'!BN51-'Grid_Requirement'!BN51))</f>
        <v/>
      </c>
      <c r="BO51">
        <f>IF(COUNTIFS(T_StockCount[Part Name],$A51,T_StockCount[WeekIndex],66)&gt;0,SUMIFS(T_StockCount[CountedQty],T_StockCount[Part Name],$A51,T_StockCount[WeekIndex],66),IF((('T_SelfStock'!BO55&lt;&gt;""))*(('T_TTAFStock'!BO55&lt;&gt;""))&gt;0,'T_SelfStock'!BO55+'T_TTAFStock'!BO55,BN51+'Grid_Incoming'!BO51-'Grid_Requirement'!BO51))</f>
        <v/>
      </c>
      <c r="BP51">
        <f>IF(COUNTIFS(T_StockCount[Part Name],$A51,T_StockCount[WeekIndex],67)&gt;0,SUMIFS(T_StockCount[CountedQty],T_StockCount[Part Name],$A51,T_StockCount[WeekIndex],67),IF((('T_SelfStock'!BP55&lt;&gt;""))*(('T_TTAFStock'!BP55&lt;&gt;""))&gt;0,'T_SelfStock'!BP55+'T_TTAFStock'!BP55,BO51+'Grid_Incoming'!BP51-'Grid_Requirement'!BP51))</f>
        <v/>
      </c>
      <c r="BQ51">
        <f>IF(COUNTIFS(T_StockCount[Part Name],$A51,T_StockCount[WeekIndex],68)&gt;0,SUMIFS(T_StockCount[CountedQty],T_StockCount[Part Name],$A51,T_StockCount[WeekIndex],68),IF((('T_SelfStock'!BQ55&lt;&gt;""))*(('T_TTAFStock'!BQ55&lt;&gt;""))&gt;0,'T_SelfStock'!BQ55+'T_TTAFStock'!BQ55,BP51+'Grid_Incoming'!BQ51-'Grid_Requirement'!BQ51))</f>
        <v/>
      </c>
      <c r="BR51">
        <f>IF(COUNTIFS(T_StockCount[Part Name],$A51,T_StockCount[WeekIndex],69)&gt;0,SUMIFS(T_StockCount[CountedQty],T_StockCount[Part Name],$A51,T_StockCount[WeekIndex],69),IF((('T_SelfStock'!BR55&lt;&gt;""))*(('T_TTAFStock'!BR55&lt;&gt;""))&gt;0,'T_SelfStock'!BR55+'T_TTAFStock'!BR55,BQ51+'Grid_Incoming'!BR51-'Grid_Requirement'!BR51))</f>
        <v/>
      </c>
      <c r="BS51">
        <f>IF(COUNTIFS(T_StockCount[Part Name],$A51,T_StockCount[WeekIndex],70)&gt;0,SUMIFS(T_StockCount[CountedQty],T_StockCount[Part Name],$A51,T_StockCount[WeekIndex],70),IF((('T_SelfStock'!BS55&lt;&gt;""))*(('T_TTAFStock'!BS55&lt;&gt;""))&gt;0,'T_SelfStock'!BS55+'T_TTAFStock'!BS55,BR51+'Grid_Incoming'!BS51-'Grid_Requirement'!BS51))</f>
        <v/>
      </c>
      <c r="BT51">
        <f>IF(COUNTIFS(T_StockCount[Part Name],$A51,T_StockCount[WeekIndex],71)&gt;0,SUMIFS(T_StockCount[CountedQty],T_StockCount[Part Name],$A51,T_StockCount[WeekIndex],71),IF((('T_SelfStock'!BT55&lt;&gt;""))*(('T_TTAFStock'!BT55&lt;&gt;""))&gt;0,'T_SelfStock'!BT55+'T_TTAFStock'!BT55,BS51+'Grid_Incoming'!BT51-'Grid_Requirement'!BT51))</f>
        <v/>
      </c>
      <c r="BU51">
        <f>IF(COUNTIFS(T_StockCount[Part Name],$A51,T_StockCount[WeekIndex],72)&gt;0,SUMIFS(T_StockCount[CountedQty],T_StockCount[Part Name],$A51,T_StockCount[WeekIndex],72),IF((('T_SelfStock'!BU55&lt;&gt;""))*(('T_TTAFStock'!BU55&lt;&gt;""))&gt;0,'T_SelfStock'!BU55+'T_TTAFStock'!BU55,BT51+'Grid_Incoming'!BU51-'Grid_Requirement'!BU51))</f>
        <v/>
      </c>
      <c r="BV51">
        <f>IF(COUNTIFS(T_StockCount[Part Name],$A51,T_StockCount[WeekIndex],73)&gt;0,SUMIFS(T_StockCount[CountedQty],T_StockCount[Part Name],$A51,T_StockCount[WeekIndex],73),IF((('T_SelfStock'!BV55&lt;&gt;""))*(('T_TTAFStock'!BV55&lt;&gt;""))&gt;0,'T_SelfStock'!BV55+'T_TTAFStock'!BV55,BU51+'Grid_Incoming'!BV51-'Grid_Requirement'!BV51))</f>
        <v/>
      </c>
      <c r="BW51">
        <f>IF(COUNTIFS(T_StockCount[Part Name],$A51,T_StockCount[WeekIndex],74)&gt;0,SUMIFS(T_StockCount[CountedQty],T_StockCount[Part Name],$A51,T_StockCount[WeekIndex],74),IF((('T_SelfStock'!BW55&lt;&gt;""))*(('T_TTAFStock'!BW55&lt;&gt;""))&gt;0,'T_SelfStock'!BW55+'T_TTAFStock'!BW55,BV51+'Grid_Incoming'!BW51-'Grid_Requirement'!BW51))</f>
        <v/>
      </c>
      <c r="BX51">
        <f>IF(COUNTIFS(T_StockCount[Part Name],$A51,T_StockCount[WeekIndex],75)&gt;0,SUMIFS(T_StockCount[CountedQty],T_StockCount[Part Name],$A51,T_StockCount[WeekIndex],75),IF((('T_SelfStock'!BX55&lt;&gt;""))*(('T_TTAFStock'!BX55&lt;&gt;""))&gt;0,'T_SelfStock'!BX55+'T_TTAFStock'!BX55,BW51+'Grid_Incoming'!BX51-'Grid_Requirement'!BX51))</f>
        <v/>
      </c>
      <c r="BY51">
        <f>IF(COUNTIFS(T_StockCount[Part Name],$A51,T_StockCount[WeekIndex],76)&gt;0,SUMIFS(T_StockCount[CountedQty],T_StockCount[Part Name],$A51,T_StockCount[WeekIndex],76),IF((('T_SelfStock'!BY55&lt;&gt;""))*(('T_TTAFStock'!BY55&lt;&gt;""))&gt;0,'T_SelfStock'!BY55+'T_TTAFStock'!BY55,BX51+'Grid_Incoming'!BY51-'Grid_Requirement'!BY51))</f>
        <v/>
      </c>
      <c r="BZ51">
        <f>IF(COUNTIFS(T_StockCount[Part Name],$A51,T_StockCount[WeekIndex],77)&gt;0,SUMIFS(T_StockCount[CountedQty],T_StockCount[Part Name],$A51,T_StockCount[WeekIndex],77),IF((('T_SelfStock'!BZ55&lt;&gt;""))*(('T_TTAFStock'!BZ55&lt;&gt;""))&gt;0,'T_SelfStock'!BZ55+'T_TTAFStock'!BZ55,BY51+'Grid_Incoming'!BZ51-'Grid_Requirement'!BZ51))</f>
        <v/>
      </c>
      <c r="CA51">
        <f>IF(COUNTIFS(T_StockCount[Part Name],$A51,T_StockCount[WeekIndex],78)&gt;0,SUMIFS(T_StockCount[CountedQty],T_StockCount[Part Name],$A51,T_StockCount[WeekIndex],78),IF((('T_SelfStock'!CA55&lt;&gt;""))*(('T_TTAFStock'!CA55&lt;&gt;""))&gt;0,'T_SelfStock'!CA55+'T_TTAFStock'!CA55,BZ51+'Grid_Incoming'!CA51-'Grid_Requirement'!CA51))</f>
        <v/>
      </c>
      <c r="CB51">
        <f>IF(COUNTIFS(T_StockCount[Part Name],$A51,T_StockCount[WeekIndex],79)&gt;0,SUMIFS(T_StockCount[CountedQty],T_StockCount[Part Name],$A51,T_StockCount[WeekIndex],79),IF((('T_SelfStock'!CB55&lt;&gt;""))*(('T_TTAFStock'!CB55&lt;&gt;""))&gt;0,'T_SelfStock'!CB55+'T_TTAFStock'!CB55,CA51+'Grid_Incoming'!CB51-'Grid_Requirement'!CB51))</f>
        <v/>
      </c>
      <c r="CC51">
        <f>IF(COUNTIFS(T_StockCount[Part Name],$A51,T_StockCount[WeekIndex],80)&gt;0,SUMIFS(T_StockCount[CountedQty],T_StockCount[Part Name],$A51,T_StockCount[WeekIndex],80),IF((('T_SelfStock'!CC55&lt;&gt;""))*(('T_TTAFStock'!CC55&lt;&gt;""))&gt;0,'T_SelfStock'!CC55+'T_TTAFStock'!CC55,CB51+'Grid_Incoming'!CC51-'Grid_Requirement'!CC51))</f>
        <v/>
      </c>
      <c r="CD51">
        <f>IF(COUNTIFS(T_StockCount[Part Name],$A51,T_StockCount[WeekIndex],81)&gt;0,SUMIFS(T_StockCount[CountedQty],T_StockCount[Part Name],$A51,T_StockCount[WeekIndex],81),IF((('T_SelfStock'!CD55&lt;&gt;""))*(('T_TTAFStock'!CD55&lt;&gt;""))&gt;0,'T_SelfStock'!CD55+'T_TTAFStock'!CD55,CC51+'Grid_Incoming'!CD51-'Grid_Requirement'!CD51))</f>
        <v/>
      </c>
      <c r="CE51">
        <f>IF(COUNTIFS(T_StockCount[Part Name],$A51,T_StockCount[WeekIndex],82)&gt;0,SUMIFS(T_StockCount[CountedQty],T_StockCount[Part Name],$A51,T_StockCount[WeekIndex],82),IF((('T_SelfStock'!CE55&lt;&gt;""))*(('T_TTAFStock'!CE55&lt;&gt;""))&gt;0,'T_SelfStock'!CE55+'T_TTAFStock'!CE55,CD51+'Grid_Incoming'!CE51-'Grid_Requirement'!CE51))</f>
        <v/>
      </c>
      <c r="CF51">
        <f>IF(COUNTIFS(T_StockCount[Part Name],$A51,T_StockCount[WeekIndex],83)&gt;0,SUMIFS(T_StockCount[CountedQty],T_StockCount[Part Name],$A51,T_StockCount[WeekIndex],83),IF((('T_SelfStock'!CF55&lt;&gt;""))*(('T_TTAFStock'!CF55&lt;&gt;""))&gt;0,'T_SelfStock'!CF55+'T_TTAFStock'!CF55,CE51+'Grid_Incoming'!CF51-'Grid_Requirement'!CF51))</f>
        <v/>
      </c>
      <c r="CG51">
        <f>IF(COUNTIFS(T_StockCount[Part Name],$A51,T_StockCount[WeekIndex],84)&gt;0,SUMIFS(T_StockCount[CountedQty],T_StockCount[Part Name],$A51,T_StockCount[WeekIndex],84),IF((('T_SelfStock'!CG55&lt;&gt;""))*(('T_TTAFStock'!CG55&lt;&gt;""))&gt;0,'T_SelfStock'!CG55+'T_TTAFStock'!CG55,CF51+'Grid_Incoming'!CG51-'Grid_Requirement'!CG51))</f>
        <v/>
      </c>
      <c r="CH51">
        <f>IF(COUNTIFS(T_StockCount[Part Name],$A51,T_StockCount[WeekIndex],85)&gt;0,SUMIFS(T_StockCount[CountedQty],T_StockCount[Part Name],$A51,T_StockCount[WeekIndex],85),IF((('T_SelfStock'!CH55&lt;&gt;""))*(('T_TTAFStock'!CH55&lt;&gt;""))&gt;0,'T_SelfStock'!CH55+'T_TTAFStock'!CH55,CG51+'Grid_Incoming'!CH51-'Grid_Requirement'!CH51))</f>
        <v/>
      </c>
      <c r="CI51">
        <f>IF(COUNTIFS(T_StockCount[Part Name],$A51,T_StockCount[WeekIndex],86)&gt;0,SUMIFS(T_StockCount[CountedQty],T_StockCount[Part Name],$A51,T_StockCount[WeekIndex],86),IF((('T_SelfStock'!CI55&lt;&gt;""))*(('T_TTAFStock'!CI55&lt;&gt;""))&gt;0,'T_SelfStock'!CI55+'T_TTAFStock'!CI55,CH51+'Grid_Incoming'!CI51-'Grid_Requirement'!CI51))</f>
        <v/>
      </c>
      <c r="CJ51">
        <f>IF(COUNTIFS(T_StockCount[Part Name],$A51,T_StockCount[WeekIndex],87)&gt;0,SUMIFS(T_StockCount[CountedQty],T_StockCount[Part Name],$A51,T_StockCount[WeekIndex],87),IF((('T_SelfStock'!CJ55&lt;&gt;""))*(('T_TTAFStock'!CJ55&lt;&gt;""))&gt;0,'T_SelfStock'!CJ55+'T_TTAFStock'!CJ55,CI51+'Grid_Incoming'!CJ51-'Grid_Requirement'!CJ51))</f>
        <v/>
      </c>
      <c r="CK51">
        <f>IF(COUNTIFS(T_StockCount[Part Name],$A51,T_StockCount[WeekIndex],88)&gt;0,SUMIFS(T_StockCount[CountedQty],T_StockCount[Part Name],$A51,T_StockCount[WeekIndex],88),IF((('T_SelfStock'!CK55&lt;&gt;""))*(('T_TTAFStock'!CK55&lt;&gt;""))&gt;0,'T_SelfStock'!CK55+'T_TTAFStock'!CK55,CJ51+'Grid_Incoming'!CK51-'Grid_Requirement'!CK51))</f>
        <v/>
      </c>
      <c r="CL51">
        <f>IF(COUNTIFS(T_StockCount[Part Name],$A51,T_StockCount[WeekIndex],89)&gt;0,SUMIFS(T_StockCount[CountedQty],T_StockCount[Part Name],$A51,T_StockCount[WeekIndex],89),IF((('T_SelfStock'!CL55&lt;&gt;""))*(('T_TTAFStock'!CL55&lt;&gt;""))&gt;0,'T_SelfStock'!CL55+'T_TTAFStock'!CL55,CK51+'Grid_Incoming'!CL51-'Grid_Requirement'!CL51))</f>
        <v/>
      </c>
      <c r="CM51">
        <f>IF(COUNTIFS(T_StockCount[Part Name],$A51,T_StockCount[WeekIndex],90)&gt;0,SUMIFS(T_StockCount[CountedQty],T_StockCount[Part Name],$A51,T_StockCount[WeekIndex],90),IF((('T_SelfStock'!CM55&lt;&gt;""))*(('T_TTAFStock'!CM55&lt;&gt;""))&gt;0,'T_SelfStock'!CM55+'T_TTAFStock'!CM55,CL51+'Grid_Incoming'!CM51-'Grid_Requirement'!CM51))</f>
        <v/>
      </c>
      <c r="CN51">
        <f>IF(COUNTIFS(T_StockCount[Part Name],$A51,T_StockCount[WeekIndex],91)&gt;0,SUMIFS(T_StockCount[CountedQty],T_StockCount[Part Name],$A51,T_StockCount[WeekIndex],91),IF((('T_SelfStock'!CN55&lt;&gt;""))*(('T_TTAFStock'!CN55&lt;&gt;""))&gt;0,'T_SelfStock'!CN55+'T_TTAFStock'!CN55,CM51+'Grid_Incoming'!CN51-'Grid_Requirement'!CN51))</f>
        <v/>
      </c>
      <c r="CO51">
        <f>IF(COUNTIFS(T_StockCount[Part Name],$A51,T_StockCount[WeekIndex],92)&gt;0,SUMIFS(T_StockCount[CountedQty],T_StockCount[Part Name],$A51,T_StockCount[WeekIndex],92),IF((('T_SelfStock'!CO55&lt;&gt;""))*(('T_TTAFStock'!CO55&lt;&gt;""))&gt;0,'T_SelfStock'!CO55+'T_TTAFStock'!CO55,CN51+'Grid_Incoming'!CO51-'Grid_Requirement'!CO51))</f>
        <v/>
      </c>
      <c r="CP51">
        <f>IF(COUNTIFS(T_StockCount[Part Name],$A51,T_StockCount[WeekIndex],93)&gt;0,SUMIFS(T_StockCount[CountedQty],T_StockCount[Part Name],$A51,T_StockCount[WeekIndex],93),IF((('T_SelfStock'!CP55&lt;&gt;""))*(('T_TTAFStock'!CP55&lt;&gt;""))&gt;0,'T_SelfStock'!CP55+'T_TTAFStock'!CP55,CO51+'Grid_Incoming'!CP51-'Grid_Requirement'!CP51))</f>
        <v/>
      </c>
      <c r="CQ51">
        <f>IF(COUNTIFS(T_StockCount[Part Name],$A51,T_StockCount[WeekIndex],94)&gt;0,SUMIFS(T_StockCount[CountedQty],T_StockCount[Part Name],$A51,T_StockCount[WeekIndex],94),IF((('T_SelfStock'!CQ55&lt;&gt;""))*(('T_TTAFStock'!CQ55&lt;&gt;""))&gt;0,'T_SelfStock'!CQ55+'T_TTAFStock'!CQ55,CP51+'Grid_Incoming'!CQ51-'Grid_Requirement'!CQ51))</f>
        <v/>
      </c>
      <c r="CR51">
        <f>IF(COUNTIFS(T_StockCount[Part Name],$A51,T_StockCount[WeekIndex],95)&gt;0,SUMIFS(T_StockCount[CountedQty],T_StockCount[Part Name],$A51,T_StockCount[WeekIndex],95),IF((('T_SelfStock'!CR55&lt;&gt;""))*(('T_TTAFStock'!CR55&lt;&gt;""))&gt;0,'T_SelfStock'!CR55+'T_TTAFStock'!CR55,CQ51+'Grid_Incoming'!CR51-'Grid_Requirement'!CR51))</f>
        <v/>
      </c>
      <c r="CS51">
        <f>IF(COUNTIFS(T_StockCount[Part Name],$A51,T_StockCount[WeekIndex],96)&gt;0,SUMIFS(T_StockCount[CountedQty],T_StockCount[Part Name],$A51,T_StockCount[WeekIndex],96),IF((('T_SelfStock'!CS55&lt;&gt;""))*(('T_TTAFStock'!CS55&lt;&gt;""))&gt;0,'T_SelfStock'!CS55+'T_TTAFStock'!CS55,CR51+'Grid_Incoming'!CS51-'Grid_Requirement'!CS51))</f>
        <v/>
      </c>
      <c r="CT51">
        <f>IF(COUNTIFS(T_StockCount[Part Name],$A51,T_StockCount[WeekIndex],97)&gt;0,SUMIFS(T_StockCount[CountedQty],T_StockCount[Part Name],$A51,T_StockCount[WeekIndex],97),IF((('T_SelfStock'!CT55&lt;&gt;""))*(('T_TTAFStock'!CT55&lt;&gt;""))&gt;0,'T_SelfStock'!CT55+'T_TTAFStock'!CT55,CS51+'Grid_Incoming'!CT51-'Grid_Requirement'!CT51))</f>
        <v/>
      </c>
      <c r="CU51">
        <f>IF(COUNTIFS(T_StockCount[Part Name],$A51,T_StockCount[WeekIndex],98)&gt;0,SUMIFS(T_StockCount[CountedQty],T_StockCount[Part Name],$A51,T_StockCount[WeekIndex],98),IF((('T_SelfStock'!CU55&lt;&gt;""))*(('T_TTAFStock'!CU55&lt;&gt;""))&gt;0,'T_SelfStock'!CU55+'T_TTAFStock'!CU55,CT51+'Grid_Incoming'!CU51-'Grid_Requirement'!CU51))</f>
        <v/>
      </c>
      <c r="CV51">
        <f>IF(COUNTIFS(T_StockCount[Part Name],$A51,T_StockCount[WeekIndex],99)&gt;0,SUMIFS(T_StockCount[CountedQty],T_StockCount[Part Name],$A51,T_StockCount[WeekIndex],99),IF((('T_SelfStock'!CV55&lt;&gt;""))*(('T_TTAFStock'!CV55&lt;&gt;""))&gt;0,'T_SelfStock'!CV55+'T_TTAFStock'!CV55,CU51+'Grid_Incoming'!CV51-'Grid_Requirement'!CV51))</f>
        <v/>
      </c>
      <c r="CW51">
        <f>IF(COUNTIFS(T_StockCount[Part Name],$A51,T_StockCount[WeekIndex],100)&gt;0,SUMIFS(T_StockCount[CountedQty],T_StockCount[Part Name],$A51,T_StockCount[WeekIndex],100),IF((('T_SelfStock'!CW55&lt;&gt;""))*(('T_TTAFStock'!CW55&lt;&gt;""))&gt;0,'T_SelfStock'!CW55+'T_TTAFStock'!CW55,CV51+'Grid_Incoming'!CW51-'Grid_Requirement'!CW51))</f>
        <v/>
      </c>
      <c r="CX51">
        <f>IF(COUNTIFS(T_StockCount[Part Name],$A51,T_StockCount[WeekIndex],101)&gt;0,SUMIFS(T_StockCount[CountedQty],T_StockCount[Part Name],$A51,T_StockCount[WeekIndex],101),IF((('T_SelfStock'!CX55&lt;&gt;""))*(('T_TTAFStock'!CX55&lt;&gt;""))&gt;0,'T_SelfStock'!CX55+'T_TTAFStock'!CX55,CW51+'Grid_Incoming'!CX51-'Grid_Requirement'!CX51))</f>
        <v/>
      </c>
      <c r="CY51">
        <f>IF(COUNTIFS(T_StockCount[Part Name],$A51,T_StockCount[WeekIndex],102)&gt;0,SUMIFS(T_StockCount[CountedQty],T_StockCount[Part Name],$A51,T_StockCount[WeekIndex],102),IF((('T_SelfStock'!CY55&lt;&gt;""))*(('T_TTAFStock'!CY55&lt;&gt;""))&gt;0,'T_SelfStock'!CY55+'T_TTAFStock'!CY55,CX51+'Grid_Incoming'!CY51-'Grid_Requirement'!CY51))</f>
        <v/>
      </c>
      <c r="CZ51">
        <f>IF(COUNTIFS(T_StockCount[Part Name],$A51,T_StockCount[WeekIndex],103)&gt;0,SUMIFS(T_StockCount[CountedQty],T_StockCount[Part Name],$A51,T_StockCount[WeekIndex],103),IF((('T_SelfStock'!CZ55&lt;&gt;""))*(('T_TTAFStock'!CZ55&lt;&gt;""))&gt;0,'T_SelfStock'!CZ55+'T_TTAFStock'!CZ55,CY51+'Grid_Incoming'!CZ51-'Grid_Requirement'!CZ51))</f>
        <v/>
      </c>
      <c r="DA51">
        <f>IF(COUNTIFS(T_StockCount[Part Name],$A51,T_StockCount[WeekIndex],104)&gt;0,SUMIFS(T_StockCount[CountedQty],T_StockCount[Part Name],$A51,T_StockCount[WeekIndex],104),IF((('T_SelfStock'!DA55&lt;&gt;""))*(('T_TTAFStock'!DA55&lt;&gt;""))&gt;0,'T_SelfStock'!DA55+'T_TTAFStock'!DA55,CZ51+'Grid_Incoming'!DA51-'Grid_Requirement'!DA51))</f>
        <v/>
      </c>
    </row>
    <row r="52">
      <c r="A52" t="inlineStr">
        <is>
          <t>CHEM-1850</t>
        </is>
      </c>
      <c r="B52">
        <f>IF(COUNTIFS(T_StockCount[Part Name],$A52,T_StockCount[WeekIndex],1)&gt;0,SUMIFS(T_StockCount[CountedQty],T_StockCount[Part Name],$A52,T_StockCount[WeekIndex],1),IF((('T_SelfStock'!B56&lt;&gt;""))*(('T_TTAFStock'!B56&lt;&gt;""))&gt;0,'T_SelfStock'!B56+'T_TTAFStock'!B56,IFERROR(INDEX(T_OpeningStock[Opening_Qty_要入力],MATCH($A52,T_OpeningStock[Part Name],0)),0)+'Grid_Incoming'!B52-'Grid_Requirement'!B52))</f>
        <v/>
      </c>
      <c r="C52">
        <f>IF(COUNTIFS(T_StockCount[Part Name],$A52,T_StockCount[WeekIndex],2)&gt;0,SUMIFS(T_StockCount[CountedQty],T_StockCount[Part Name],$A52,T_StockCount[WeekIndex],2),IF((('T_SelfStock'!C56&lt;&gt;""))*(('T_TTAFStock'!C56&lt;&gt;""))&gt;0,'T_SelfStock'!C56+'T_TTAFStock'!C56,B52+'Grid_Incoming'!C52-'Grid_Requirement'!C52))</f>
        <v/>
      </c>
      <c r="D52">
        <f>IF(COUNTIFS(T_StockCount[Part Name],$A52,T_StockCount[WeekIndex],3)&gt;0,SUMIFS(T_StockCount[CountedQty],T_StockCount[Part Name],$A52,T_StockCount[WeekIndex],3),IF((('T_SelfStock'!D56&lt;&gt;""))*(('T_TTAFStock'!D56&lt;&gt;""))&gt;0,'T_SelfStock'!D56+'T_TTAFStock'!D56,C52+'Grid_Incoming'!D52-'Grid_Requirement'!D52))</f>
        <v/>
      </c>
      <c r="E52">
        <f>IF(COUNTIFS(T_StockCount[Part Name],$A52,T_StockCount[WeekIndex],4)&gt;0,SUMIFS(T_StockCount[CountedQty],T_StockCount[Part Name],$A52,T_StockCount[WeekIndex],4),IF((('T_SelfStock'!E56&lt;&gt;""))*(('T_TTAFStock'!E56&lt;&gt;""))&gt;0,'T_SelfStock'!E56+'T_TTAFStock'!E56,D52+'Grid_Incoming'!E52-'Grid_Requirement'!E52))</f>
        <v/>
      </c>
      <c r="F52">
        <f>IF(COUNTIFS(T_StockCount[Part Name],$A52,T_StockCount[WeekIndex],5)&gt;0,SUMIFS(T_StockCount[CountedQty],T_StockCount[Part Name],$A52,T_StockCount[WeekIndex],5),IF((('T_SelfStock'!F56&lt;&gt;""))*(('T_TTAFStock'!F56&lt;&gt;""))&gt;0,'T_SelfStock'!F56+'T_TTAFStock'!F56,E52+'Grid_Incoming'!F52-'Grid_Requirement'!F52))</f>
        <v/>
      </c>
      <c r="G52">
        <f>IF(COUNTIFS(T_StockCount[Part Name],$A52,T_StockCount[WeekIndex],6)&gt;0,SUMIFS(T_StockCount[CountedQty],T_StockCount[Part Name],$A52,T_StockCount[WeekIndex],6),IF((('T_SelfStock'!G56&lt;&gt;""))*(('T_TTAFStock'!G56&lt;&gt;""))&gt;0,'T_SelfStock'!G56+'T_TTAFStock'!G56,F52+'Grid_Incoming'!G52-'Grid_Requirement'!G52))</f>
        <v/>
      </c>
      <c r="H52">
        <f>IF(COUNTIFS(T_StockCount[Part Name],$A52,T_StockCount[WeekIndex],7)&gt;0,SUMIFS(T_StockCount[CountedQty],T_StockCount[Part Name],$A52,T_StockCount[WeekIndex],7),IF((('T_SelfStock'!H56&lt;&gt;""))*(('T_TTAFStock'!H56&lt;&gt;""))&gt;0,'T_SelfStock'!H56+'T_TTAFStock'!H56,G52+'Grid_Incoming'!H52-'Grid_Requirement'!H52))</f>
        <v/>
      </c>
      <c r="I52">
        <f>IF(COUNTIFS(T_StockCount[Part Name],$A52,T_StockCount[WeekIndex],8)&gt;0,SUMIFS(T_StockCount[CountedQty],T_StockCount[Part Name],$A52,T_StockCount[WeekIndex],8),IF((('T_SelfStock'!I56&lt;&gt;""))*(('T_TTAFStock'!I56&lt;&gt;""))&gt;0,'T_SelfStock'!I56+'T_TTAFStock'!I56,H52+'Grid_Incoming'!I52-'Grid_Requirement'!I52))</f>
        <v/>
      </c>
      <c r="J52">
        <f>IF(COUNTIFS(T_StockCount[Part Name],$A52,T_StockCount[WeekIndex],9)&gt;0,SUMIFS(T_StockCount[CountedQty],T_StockCount[Part Name],$A52,T_StockCount[WeekIndex],9),IF((('T_SelfStock'!J56&lt;&gt;""))*(('T_TTAFStock'!J56&lt;&gt;""))&gt;0,'T_SelfStock'!J56+'T_TTAFStock'!J56,I52+'Grid_Incoming'!J52-'Grid_Requirement'!J52))</f>
        <v/>
      </c>
      <c r="K52">
        <f>IF(COUNTIFS(T_StockCount[Part Name],$A52,T_StockCount[WeekIndex],10)&gt;0,SUMIFS(T_StockCount[CountedQty],T_StockCount[Part Name],$A52,T_StockCount[WeekIndex],10),IF((('T_SelfStock'!K56&lt;&gt;""))*(('T_TTAFStock'!K56&lt;&gt;""))&gt;0,'T_SelfStock'!K56+'T_TTAFStock'!K56,J52+'Grid_Incoming'!K52-'Grid_Requirement'!K52))</f>
        <v/>
      </c>
      <c r="L52">
        <f>IF(COUNTIFS(T_StockCount[Part Name],$A52,T_StockCount[WeekIndex],11)&gt;0,SUMIFS(T_StockCount[CountedQty],T_StockCount[Part Name],$A52,T_StockCount[WeekIndex],11),IF((('T_SelfStock'!L56&lt;&gt;""))*(('T_TTAFStock'!L56&lt;&gt;""))&gt;0,'T_SelfStock'!L56+'T_TTAFStock'!L56,K52+'Grid_Incoming'!L52-'Grid_Requirement'!L52))</f>
        <v/>
      </c>
      <c r="M52">
        <f>IF(COUNTIFS(T_StockCount[Part Name],$A52,T_StockCount[WeekIndex],12)&gt;0,SUMIFS(T_StockCount[CountedQty],T_StockCount[Part Name],$A52,T_StockCount[WeekIndex],12),IF((('T_SelfStock'!M56&lt;&gt;""))*(('T_TTAFStock'!M56&lt;&gt;""))&gt;0,'T_SelfStock'!M56+'T_TTAFStock'!M56,L52+'Grid_Incoming'!M52-'Grid_Requirement'!M52))</f>
        <v/>
      </c>
      <c r="N52">
        <f>IF(COUNTIFS(T_StockCount[Part Name],$A52,T_StockCount[WeekIndex],13)&gt;0,SUMIFS(T_StockCount[CountedQty],T_StockCount[Part Name],$A52,T_StockCount[WeekIndex],13),IF((('T_SelfStock'!N56&lt;&gt;""))*(('T_TTAFStock'!N56&lt;&gt;""))&gt;0,'T_SelfStock'!N56+'T_TTAFStock'!N56,M52+'Grid_Incoming'!N52-'Grid_Requirement'!N52))</f>
        <v/>
      </c>
      <c r="O52">
        <f>IF(COUNTIFS(T_StockCount[Part Name],$A52,T_StockCount[WeekIndex],14)&gt;0,SUMIFS(T_StockCount[CountedQty],T_StockCount[Part Name],$A52,T_StockCount[WeekIndex],14),IF((('T_SelfStock'!O56&lt;&gt;""))*(('T_TTAFStock'!O56&lt;&gt;""))&gt;0,'T_SelfStock'!O56+'T_TTAFStock'!O56,N52+'Grid_Incoming'!O52-'Grid_Requirement'!O52))</f>
        <v/>
      </c>
      <c r="P52">
        <f>IF(COUNTIFS(T_StockCount[Part Name],$A52,T_StockCount[WeekIndex],15)&gt;0,SUMIFS(T_StockCount[CountedQty],T_StockCount[Part Name],$A52,T_StockCount[WeekIndex],15),IF((('T_SelfStock'!P56&lt;&gt;""))*(('T_TTAFStock'!P56&lt;&gt;""))&gt;0,'T_SelfStock'!P56+'T_TTAFStock'!P56,O52+'Grid_Incoming'!P52-'Grid_Requirement'!P52))</f>
        <v/>
      </c>
      <c r="Q52">
        <f>IF(COUNTIFS(T_StockCount[Part Name],$A52,T_StockCount[WeekIndex],16)&gt;0,SUMIFS(T_StockCount[CountedQty],T_StockCount[Part Name],$A52,T_StockCount[WeekIndex],16),IF((('T_SelfStock'!Q56&lt;&gt;""))*(('T_TTAFStock'!Q56&lt;&gt;""))&gt;0,'T_SelfStock'!Q56+'T_TTAFStock'!Q56,P52+'Grid_Incoming'!Q52-'Grid_Requirement'!Q52))</f>
        <v/>
      </c>
      <c r="R52">
        <f>IF(COUNTIFS(T_StockCount[Part Name],$A52,T_StockCount[WeekIndex],17)&gt;0,SUMIFS(T_StockCount[CountedQty],T_StockCount[Part Name],$A52,T_StockCount[WeekIndex],17),IF((('T_SelfStock'!R56&lt;&gt;""))*(('T_TTAFStock'!R56&lt;&gt;""))&gt;0,'T_SelfStock'!R56+'T_TTAFStock'!R56,Q52+'Grid_Incoming'!R52-'Grid_Requirement'!R52))</f>
        <v/>
      </c>
      <c r="S52">
        <f>IF(COUNTIFS(T_StockCount[Part Name],$A52,T_StockCount[WeekIndex],18)&gt;0,SUMIFS(T_StockCount[CountedQty],T_StockCount[Part Name],$A52,T_StockCount[WeekIndex],18),IF((('T_SelfStock'!S56&lt;&gt;""))*(('T_TTAFStock'!S56&lt;&gt;""))&gt;0,'T_SelfStock'!S56+'T_TTAFStock'!S56,R52+'Grid_Incoming'!S52-'Grid_Requirement'!S52))</f>
        <v/>
      </c>
      <c r="T52">
        <f>IF(COUNTIFS(T_StockCount[Part Name],$A52,T_StockCount[WeekIndex],19)&gt;0,SUMIFS(T_StockCount[CountedQty],T_StockCount[Part Name],$A52,T_StockCount[WeekIndex],19),IF((('T_SelfStock'!T56&lt;&gt;""))*(('T_TTAFStock'!T56&lt;&gt;""))&gt;0,'T_SelfStock'!T56+'T_TTAFStock'!T56,S52+'Grid_Incoming'!T52-'Grid_Requirement'!T52))</f>
        <v/>
      </c>
      <c r="U52">
        <f>IF(COUNTIFS(T_StockCount[Part Name],$A52,T_StockCount[WeekIndex],20)&gt;0,SUMIFS(T_StockCount[CountedQty],T_StockCount[Part Name],$A52,T_StockCount[WeekIndex],20),IF((('T_SelfStock'!U56&lt;&gt;""))*(('T_TTAFStock'!U56&lt;&gt;""))&gt;0,'T_SelfStock'!U56+'T_TTAFStock'!U56,T52+'Grid_Incoming'!U52-'Grid_Requirement'!U52))</f>
        <v/>
      </c>
      <c r="V52">
        <f>IF(COUNTIFS(T_StockCount[Part Name],$A52,T_StockCount[WeekIndex],21)&gt;0,SUMIFS(T_StockCount[CountedQty],T_StockCount[Part Name],$A52,T_StockCount[WeekIndex],21),IF((('T_SelfStock'!V56&lt;&gt;""))*(('T_TTAFStock'!V56&lt;&gt;""))&gt;0,'T_SelfStock'!V56+'T_TTAFStock'!V56,U52+'Grid_Incoming'!V52-'Grid_Requirement'!V52))</f>
        <v/>
      </c>
      <c r="W52">
        <f>IF(COUNTIFS(T_StockCount[Part Name],$A52,T_StockCount[WeekIndex],22)&gt;0,SUMIFS(T_StockCount[CountedQty],T_StockCount[Part Name],$A52,T_StockCount[WeekIndex],22),IF((('T_SelfStock'!W56&lt;&gt;""))*(('T_TTAFStock'!W56&lt;&gt;""))&gt;0,'T_SelfStock'!W56+'T_TTAFStock'!W56,V52+'Grid_Incoming'!W52-'Grid_Requirement'!W52))</f>
        <v/>
      </c>
      <c r="X52">
        <f>IF(COUNTIFS(T_StockCount[Part Name],$A52,T_StockCount[WeekIndex],23)&gt;0,SUMIFS(T_StockCount[CountedQty],T_StockCount[Part Name],$A52,T_StockCount[WeekIndex],23),IF((('T_SelfStock'!X56&lt;&gt;""))*(('T_TTAFStock'!X56&lt;&gt;""))&gt;0,'T_SelfStock'!X56+'T_TTAFStock'!X56,W52+'Grid_Incoming'!X52-'Grid_Requirement'!X52))</f>
        <v/>
      </c>
      <c r="Y52">
        <f>IF(COUNTIFS(T_StockCount[Part Name],$A52,T_StockCount[WeekIndex],24)&gt;0,SUMIFS(T_StockCount[CountedQty],T_StockCount[Part Name],$A52,T_StockCount[WeekIndex],24),IF((('T_SelfStock'!Y56&lt;&gt;""))*(('T_TTAFStock'!Y56&lt;&gt;""))&gt;0,'T_SelfStock'!Y56+'T_TTAFStock'!Y56,X52+'Grid_Incoming'!Y52-'Grid_Requirement'!Y52))</f>
        <v/>
      </c>
      <c r="Z52">
        <f>IF(COUNTIFS(T_StockCount[Part Name],$A52,T_StockCount[WeekIndex],25)&gt;0,SUMIFS(T_StockCount[CountedQty],T_StockCount[Part Name],$A52,T_StockCount[WeekIndex],25),IF((('T_SelfStock'!Z56&lt;&gt;""))*(('T_TTAFStock'!Z56&lt;&gt;""))&gt;0,'T_SelfStock'!Z56+'T_TTAFStock'!Z56,Y52+'Grid_Incoming'!Z52-'Grid_Requirement'!Z52))</f>
        <v/>
      </c>
      <c r="AA52">
        <f>IF(COUNTIFS(T_StockCount[Part Name],$A52,T_StockCount[WeekIndex],26)&gt;0,SUMIFS(T_StockCount[CountedQty],T_StockCount[Part Name],$A52,T_StockCount[WeekIndex],26),IF((('T_SelfStock'!AA56&lt;&gt;""))*(('T_TTAFStock'!AA56&lt;&gt;""))&gt;0,'T_SelfStock'!AA56+'T_TTAFStock'!AA56,Z52+'Grid_Incoming'!AA52-'Grid_Requirement'!AA52))</f>
        <v/>
      </c>
      <c r="AB52">
        <f>IF(COUNTIFS(T_StockCount[Part Name],$A52,T_StockCount[WeekIndex],27)&gt;0,SUMIFS(T_StockCount[CountedQty],T_StockCount[Part Name],$A52,T_StockCount[WeekIndex],27),IF((('T_SelfStock'!AB56&lt;&gt;""))*(('T_TTAFStock'!AB56&lt;&gt;""))&gt;0,'T_SelfStock'!AB56+'T_TTAFStock'!AB56,AA52+'Grid_Incoming'!AB52-'Grid_Requirement'!AB52))</f>
        <v/>
      </c>
      <c r="AC52">
        <f>IF(COUNTIFS(T_StockCount[Part Name],$A52,T_StockCount[WeekIndex],28)&gt;0,SUMIFS(T_StockCount[CountedQty],T_StockCount[Part Name],$A52,T_StockCount[WeekIndex],28),IF((('T_SelfStock'!AC56&lt;&gt;""))*(('T_TTAFStock'!AC56&lt;&gt;""))&gt;0,'T_SelfStock'!AC56+'T_TTAFStock'!AC56,AB52+'Grid_Incoming'!AC52-'Grid_Requirement'!AC52))</f>
        <v/>
      </c>
      <c r="AD52">
        <f>IF(COUNTIFS(T_StockCount[Part Name],$A52,T_StockCount[WeekIndex],29)&gt;0,SUMIFS(T_StockCount[CountedQty],T_StockCount[Part Name],$A52,T_StockCount[WeekIndex],29),IF((('T_SelfStock'!AD56&lt;&gt;""))*(('T_TTAFStock'!AD56&lt;&gt;""))&gt;0,'T_SelfStock'!AD56+'T_TTAFStock'!AD56,AC52+'Grid_Incoming'!AD52-'Grid_Requirement'!AD52))</f>
        <v/>
      </c>
      <c r="AE52">
        <f>IF(COUNTIFS(T_StockCount[Part Name],$A52,T_StockCount[WeekIndex],30)&gt;0,SUMIFS(T_StockCount[CountedQty],T_StockCount[Part Name],$A52,T_StockCount[WeekIndex],30),IF((('T_SelfStock'!AE56&lt;&gt;""))*(('T_TTAFStock'!AE56&lt;&gt;""))&gt;0,'T_SelfStock'!AE56+'T_TTAFStock'!AE56,AD52+'Grid_Incoming'!AE52-'Grid_Requirement'!AE52))</f>
        <v/>
      </c>
      <c r="AF52">
        <f>IF(COUNTIFS(T_StockCount[Part Name],$A52,T_StockCount[WeekIndex],31)&gt;0,SUMIFS(T_StockCount[CountedQty],T_StockCount[Part Name],$A52,T_StockCount[WeekIndex],31),IF((('T_SelfStock'!AF56&lt;&gt;""))*(('T_TTAFStock'!AF56&lt;&gt;""))&gt;0,'T_SelfStock'!AF56+'T_TTAFStock'!AF56,AE52+'Grid_Incoming'!AF52-'Grid_Requirement'!AF52))</f>
        <v/>
      </c>
      <c r="AG52">
        <f>IF(COUNTIFS(T_StockCount[Part Name],$A52,T_StockCount[WeekIndex],32)&gt;0,SUMIFS(T_StockCount[CountedQty],T_StockCount[Part Name],$A52,T_StockCount[WeekIndex],32),IF((('T_SelfStock'!AG56&lt;&gt;""))*(('T_TTAFStock'!AG56&lt;&gt;""))&gt;0,'T_SelfStock'!AG56+'T_TTAFStock'!AG56,AF52+'Grid_Incoming'!AG52-'Grid_Requirement'!AG52))</f>
        <v/>
      </c>
      <c r="AH52">
        <f>IF(COUNTIFS(T_StockCount[Part Name],$A52,T_StockCount[WeekIndex],33)&gt;0,SUMIFS(T_StockCount[CountedQty],T_StockCount[Part Name],$A52,T_StockCount[WeekIndex],33),IF((('T_SelfStock'!AH56&lt;&gt;""))*(('T_TTAFStock'!AH56&lt;&gt;""))&gt;0,'T_SelfStock'!AH56+'T_TTAFStock'!AH56,AG52+'Grid_Incoming'!AH52-'Grid_Requirement'!AH52))</f>
        <v/>
      </c>
      <c r="AI52">
        <f>IF(COUNTIFS(T_StockCount[Part Name],$A52,T_StockCount[WeekIndex],34)&gt;0,SUMIFS(T_StockCount[CountedQty],T_StockCount[Part Name],$A52,T_StockCount[WeekIndex],34),IF((('T_SelfStock'!AI56&lt;&gt;""))*(('T_TTAFStock'!AI56&lt;&gt;""))&gt;0,'T_SelfStock'!AI56+'T_TTAFStock'!AI56,AH52+'Grid_Incoming'!AI52-'Grid_Requirement'!AI52))</f>
        <v/>
      </c>
      <c r="AJ52">
        <f>IF(COUNTIFS(T_StockCount[Part Name],$A52,T_StockCount[WeekIndex],35)&gt;0,SUMIFS(T_StockCount[CountedQty],T_StockCount[Part Name],$A52,T_StockCount[WeekIndex],35),IF((('T_SelfStock'!AJ56&lt;&gt;""))*(('T_TTAFStock'!AJ56&lt;&gt;""))&gt;0,'T_SelfStock'!AJ56+'T_TTAFStock'!AJ56,AI52+'Grid_Incoming'!AJ52-'Grid_Requirement'!AJ52))</f>
        <v/>
      </c>
      <c r="AK52">
        <f>IF(COUNTIFS(T_StockCount[Part Name],$A52,T_StockCount[WeekIndex],36)&gt;0,SUMIFS(T_StockCount[CountedQty],T_StockCount[Part Name],$A52,T_StockCount[WeekIndex],36),IF((('T_SelfStock'!AK56&lt;&gt;""))*(('T_TTAFStock'!AK56&lt;&gt;""))&gt;0,'T_SelfStock'!AK56+'T_TTAFStock'!AK56,AJ52+'Grid_Incoming'!AK52-'Grid_Requirement'!AK52))</f>
        <v/>
      </c>
      <c r="AL52">
        <f>IF(COUNTIFS(T_StockCount[Part Name],$A52,T_StockCount[WeekIndex],37)&gt;0,SUMIFS(T_StockCount[CountedQty],T_StockCount[Part Name],$A52,T_StockCount[WeekIndex],37),IF((('T_SelfStock'!AL56&lt;&gt;""))*(('T_TTAFStock'!AL56&lt;&gt;""))&gt;0,'T_SelfStock'!AL56+'T_TTAFStock'!AL56,AK52+'Grid_Incoming'!AL52-'Grid_Requirement'!AL52))</f>
        <v/>
      </c>
      <c r="AM52">
        <f>IF(COUNTIFS(T_StockCount[Part Name],$A52,T_StockCount[WeekIndex],38)&gt;0,SUMIFS(T_StockCount[CountedQty],T_StockCount[Part Name],$A52,T_StockCount[WeekIndex],38),IF((('T_SelfStock'!AM56&lt;&gt;""))*(('T_TTAFStock'!AM56&lt;&gt;""))&gt;0,'T_SelfStock'!AM56+'T_TTAFStock'!AM56,AL52+'Grid_Incoming'!AM52-'Grid_Requirement'!AM52))</f>
        <v/>
      </c>
      <c r="AN52">
        <f>IF(COUNTIFS(T_StockCount[Part Name],$A52,T_StockCount[WeekIndex],39)&gt;0,SUMIFS(T_StockCount[CountedQty],T_StockCount[Part Name],$A52,T_StockCount[WeekIndex],39),IF((('T_SelfStock'!AN56&lt;&gt;""))*(('T_TTAFStock'!AN56&lt;&gt;""))&gt;0,'T_SelfStock'!AN56+'T_TTAFStock'!AN56,AM52+'Grid_Incoming'!AN52-'Grid_Requirement'!AN52))</f>
        <v/>
      </c>
      <c r="AO52">
        <f>IF(COUNTIFS(T_StockCount[Part Name],$A52,T_StockCount[WeekIndex],40)&gt;0,SUMIFS(T_StockCount[CountedQty],T_StockCount[Part Name],$A52,T_StockCount[WeekIndex],40),IF((('T_SelfStock'!AO56&lt;&gt;""))*(('T_TTAFStock'!AO56&lt;&gt;""))&gt;0,'T_SelfStock'!AO56+'T_TTAFStock'!AO56,AN52+'Grid_Incoming'!AO52-'Grid_Requirement'!AO52))</f>
        <v/>
      </c>
      <c r="AP52">
        <f>IF(COUNTIFS(T_StockCount[Part Name],$A52,T_StockCount[WeekIndex],41)&gt;0,SUMIFS(T_StockCount[CountedQty],T_StockCount[Part Name],$A52,T_StockCount[WeekIndex],41),IF((('T_SelfStock'!AP56&lt;&gt;""))*(('T_TTAFStock'!AP56&lt;&gt;""))&gt;0,'T_SelfStock'!AP56+'T_TTAFStock'!AP56,AO52+'Grid_Incoming'!AP52-'Grid_Requirement'!AP52))</f>
        <v/>
      </c>
      <c r="AQ52">
        <f>IF(COUNTIFS(T_StockCount[Part Name],$A52,T_StockCount[WeekIndex],42)&gt;0,SUMIFS(T_StockCount[CountedQty],T_StockCount[Part Name],$A52,T_StockCount[WeekIndex],42),IF((('T_SelfStock'!AQ56&lt;&gt;""))*(('T_TTAFStock'!AQ56&lt;&gt;""))&gt;0,'T_SelfStock'!AQ56+'T_TTAFStock'!AQ56,AP52+'Grid_Incoming'!AQ52-'Grid_Requirement'!AQ52))</f>
        <v/>
      </c>
      <c r="AR52">
        <f>IF(COUNTIFS(T_StockCount[Part Name],$A52,T_StockCount[WeekIndex],43)&gt;0,SUMIFS(T_StockCount[CountedQty],T_StockCount[Part Name],$A52,T_StockCount[WeekIndex],43),IF((('T_SelfStock'!AR56&lt;&gt;""))*(('T_TTAFStock'!AR56&lt;&gt;""))&gt;0,'T_SelfStock'!AR56+'T_TTAFStock'!AR56,AQ52+'Grid_Incoming'!AR52-'Grid_Requirement'!AR52))</f>
        <v/>
      </c>
      <c r="AS52">
        <f>IF(COUNTIFS(T_StockCount[Part Name],$A52,T_StockCount[WeekIndex],44)&gt;0,SUMIFS(T_StockCount[CountedQty],T_StockCount[Part Name],$A52,T_StockCount[WeekIndex],44),IF((('T_SelfStock'!AS56&lt;&gt;""))*(('T_TTAFStock'!AS56&lt;&gt;""))&gt;0,'T_SelfStock'!AS56+'T_TTAFStock'!AS56,AR52+'Grid_Incoming'!AS52-'Grid_Requirement'!AS52))</f>
        <v/>
      </c>
      <c r="AT52">
        <f>IF(COUNTIFS(T_StockCount[Part Name],$A52,T_StockCount[WeekIndex],45)&gt;0,SUMIFS(T_StockCount[CountedQty],T_StockCount[Part Name],$A52,T_StockCount[WeekIndex],45),IF((('T_SelfStock'!AT56&lt;&gt;""))*(('T_TTAFStock'!AT56&lt;&gt;""))&gt;0,'T_SelfStock'!AT56+'T_TTAFStock'!AT56,AS52+'Grid_Incoming'!AT52-'Grid_Requirement'!AT52))</f>
        <v/>
      </c>
      <c r="AU52">
        <f>IF(COUNTIFS(T_StockCount[Part Name],$A52,T_StockCount[WeekIndex],46)&gt;0,SUMIFS(T_StockCount[CountedQty],T_StockCount[Part Name],$A52,T_StockCount[WeekIndex],46),IF((('T_SelfStock'!AU56&lt;&gt;""))*(('T_TTAFStock'!AU56&lt;&gt;""))&gt;0,'T_SelfStock'!AU56+'T_TTAFStock'!AU56,AT52+'Grid_Incoming'!AU52-'Grid_Requirement'!AU52))</f>
        <v/>
      </c>
      <c r="AV52">
        <f>IF(COUNTIFS(T_StockCount[Part Name],$A52,T_StockCount[WeekIndex],47)&gt;0,SUMIFS(T_StockCount[CountedQty],T_StockCount[Part Name],$A52,T_StockCount[WeekIndex],47),IF((('T_SelfStock'!AV56&lt;&gt;""))*(('T_TTAFStock'!AV56&lt;&gt;""))&gt;0,'T_SelfStock'!AV56+'T_TTAFStock'!AV56,AU52+'Grid_Incoming'!AV52-'Grid_Requirement'!AV52))</f>
        <v/>
      </c>
      <c r="AW52">
        <f>IF(COUNTIFS(T_StockCount[Part Name],$A52,T_StockCount[WeekIndex],48)&gt;0,SUMIFS(T_StockCount[CountedQty],T_StockCount[Part Name],$A52,T_StockCount[WeekIndex],48),IF((('T_SelfStock'!AW56&lt;&gt;""))*(('T_TTAFStock'!AW56&lt;&gt;""))&gt;0,'T_SelfStock'!AW56+'T_TTAFStock'!AW56,AV52+'Grid_Incoming'!AW52-'Grid_Requirement'!AW52))</f>
        <v/>
      </c>
      <c r="AX52">
        <f>IF(COUNTIFS(T_StockCount[Part Name],$A52,T_StockCount[WeekIndex],49)&gt;0,SUMIFS(T_StockCount[CountedQty],T_StockCount[Part Name],$A52,T_StockCount[WeekIndex],49),IF((('T_SelfStock'!AX56&lt;&gt;""))*(('T_TTAFStock'!AX56&lt;&gt;""))&gt;0,'T_SelfStock'!AX56+'T_TTAFStock'!AX56,AW52+'Grid_Incoming'!AX52-'Grid_Requirement'!AX52))</f>
        <v/>
      </c>
      <c r="AY52">
        <f>IF(COUNTIFS(T_StockCount[Part Name],$A52,T_StockCount[WeekIndex],50)&gt;0,SUMIFS(T_StockCount[CountedQty],T_StockCount[Part Name],$A52,T_StockCount[WeekIndex],50),IF((('T_SelfStock'!AY56&lt;&gt;""))*(('T_TTAFStock'!AY56&lt;&gt;""))&gt;0,'T_SelfStock'!AY56+'T_TTAFStock'!AY56,AX52+'Grid_Incoming'!AY52-'Grid_Requirement'!AY52))</f>
        <v/>
      </c>
      <c r="AZ52">
        <f>IF(COUNTIFS(T_StockCount[Part Name],$A52,T_StockCount[WeekIndex],51)&gt;0,SUMIFS(T_StockCount[CountedQty],T_StockCount[Part Name],$A52,T_StockCount[WeekIndex],51),IF((('T_SelfStock'!AZ56&lt;&gt;""))*(('T_TTAFStock'!AZ56&lt;&gt;""))&gt;0,'T_SelfStock'!AZ56+'T_TTAFStock'!AZ56,AY52+'Grid_Incoming'!AZ52-'Grid_Requirement'!AZ52))</f>
        <v/>
      </c>
      <c r="BA52">
        <f>IF(COUNTIFS(T_StockCount[Part Name],$A52,T_StockCount[WeekIndex],52)&gt;0,SUMIFS(T_StockCount[CountedQty],T_StockCount[Part Name],$A52,T_StockCount[WeekIndex],52),IF((('T_SelfStock'!BA56&lt;&gt;""))*(('T_TTAFStock'!BA56&lt;&gt;""))&gt;0,'T_SelfStock'!BA56+'T_TTAFStock'!BA56,AZ52+'Grid_Incoming'!BA52-'Grid_Requirement'!BA52))</f>
        <v/>
      </c>
      <c r="BB52">
        <f>IF(COUNTIFS(T_StockCount[Part Name],$A52,T_StockCount[WeekIndex],53)&gt;0,SUMIFS(T_StockCount[CountedQty],T_StockCount[Part Name],$A52,T_StockCount[WeekIndex],53),IF((('T_SelfStock'!BB56&lt;&gt;""))*(('T_TTAFStock'!BB56&lt;&gt;""))&gt;0,'T_SelfStock'!BB56+'T_TTAFStock'!BB56,BA52+'Grid_Incoming'!BB52-'Grid_Requirement'!BB52))</f>
        <v/>
      </c>
      <c r="BC52">
        <f>IF(COUNTIFS(T_StockCount[Part Name],$A52,T_StockCount[WeekIndex],54)&gt;0,SUMIFS(T_StockCount[CountedQty],T_StockCount[Part Name],$A52,T_StockCount[WeekIndex],54),IF((('T_SelfStock'!BC56&lt;&gt;""))*(('T_TTAFStock'!BC56&lt;&gt;""))&gt;0,'T_SelfStock'!BC56+'T_TTAFStock'!BC56,BB52+'Grid_Incoming'!BC52-'Grid_Requirement'!BC52))</f>
        <v/>
      </c>
      <c r="BD52">
        <f>IF(COUNTIFS(T_StockCount[Part Name],$A52,T_StockCount[WeekIndex],55)&gt;0,SUMIFS(T_StockCount[CountedQty],T_StockCount[Part Name],$A52,T_StockCount[WeekIndex],55),IF((('T_SelfStock'!BD56&lt;&gt;""))*(('T_TTAFStock'!BD56&lt;&gt;""))&gt;0,'T_SelfStock'!BD56+'T_TTAFStock'!BD56,BC52+'Grid_Incoming'!BD52-'Grid_Requirement'!BD52))</f>
        <v/>
      </c>
      <c r="BE52">
        <f>IF(COUNTIFS(T_StockCount[Part Name],$A52,T_StockCount[WeekIndex],56)&gt;0,SUMIFS(T_StockCount[CountedQty],T_StockCount[Part Name],$A52,T_StockCount[WeekIndex],56),IF((('T_SelfStock'!BE56&lt;&gt;""))*(('T_TTAFStock'!BE56&lt;&gt;""))&gt;0,'T_SelfStock'!BE56+'T_TTAFStock'!BE56,BD52+'Grid_Incoming'!BE52-'Grid_Requirement'!BE52))</f>
        <v/>
      </c>
      <c r="BF52">
        <f>IF(COUNTIFS(T_StockCount[Part Name],$A52,T_StockCount[WeekIndex],57)&gt;0,SUMIFS(T_StockCount[CountedQty],T_StockCount[Part Name],$A52,T_StockCount[WeekIndex],57),IF((('T_SelfStock'!BF56&lt;&gt;""))*(('T_TTAFStock'!BF56&lt;&gt;""))&gt;0,'T_SelfStock'!BF56+'T_TTAFStock'!BF56,BE52+'Grid_Incoming'!BF52-'Grid_Requirement'!BF52))</f>
        <v/>
      </c>
      <c r="BG52">
        <f>IF(COUNTIFS(T_StockCount[Part Name],$A52,T_StockCount[WeekIndex],58)&gt;0,SUMIFS(T_StockCount[CountedQty],T_StockCount[Part Name],$A52,T_StockCount[WeekIndex],58),IF((('T_SelfStock'!BG56&lt;&gt;""))*(('T_TTAFStock'!BG56&lt;&gt;""))&gt;0,'T_SelfStock'!BG56+'T_TTAFStock'!BG56,BF52+'Grid_Incoming'!BG52-'Grid_Requirement'!BG52))</f>
        <v/>
      </c>
      <c r="BH52">
        <f>IF(COUNTIFS(T_StockCount[Part Name],$A52,T_StockCount[WeekIndex],59)&gt;0,SUMIFS(T_StockCount[CountedQty],T_StockCount[Part Name],$A52,T_StockCount[WeekIndex],59),IF((('T_SelfStock'!BH56&lt;&gt;""))*(('T_TTAFStock'!BH56&lt;&gt;""))&gt;0,'T_SelfStock'!BH56+'T_TTAFStock'!BH56,BG52+'Grid_Incoming'!BH52-'Grid_Requirement'!BH52))</f>
        <v/>
      </c>
      <c r="BI52">
        <f>IF(COUNTIFS(T_StockCount[Part Name],$A52,T_StockCount[WeekIndex],60)&gt;0,SUMIFS(T_StockCount[CountedQty],T_StockCount[Part Name],$A52,T_StockCount[WeekIndex],60),IF((('T_SelfStock'!BI56&lt;&gt;""))*(('T_TTAFStock'!BI56&lt;&gt;""))&gt;0,'T_SelfStock'!BI56+'T_TTAFStock'!BI56,BH52+'Grid_Incoming'!BI52-'Grid_Requirement'!BI52))</f>
        <v/>
      </c>
      <c r="BJ52">
        <f>IF(COUNTIFS(T_StockCount[Part Name],$A52,T_StockCount[WeekIndex],61)&gt;0,SUMIFS(T_StockCount[CountedQty],T_StockCount[Part Name],$A52,T_StockCount[WeekIndex],61),IF((('T_SelfStock'!BJ56&lt;&gt;""))*(('T_TTAFStock'!BJ56&lt;&gt;""))&gt;0,'T_SelfStock'!BJ56+'T_TTAFStock'!BJ56,BI52+'Grid_Incoming'!BJ52-'Grid_Requirement'!BJ52))</f>
        <v/>
      </c>
      <c r="BK52">
        <f>IF(COUNTIFS(T_StockCount[Part Name],$A52,T_StockCount[WeekIndex],62)&gt;0,SUMIFS(T_StockCount[CountedQty],T_StockCount[Part Name],$A52,T_StockCount[WeekIndex],62),IF((('T_SelfStock'!BK56&lt;&gt;""))*(('T_TTAFStock'!BK56&lt;&gt;""))&gt;0,'T_SelfStock'!BK56+'T_TTAFStock'!BK56,BJ52+'Grid_Incoming'!BK52-'Grid_Requirement'!BK52))</f>
        <v/>
      </c>
      <c r="BL52">
        <f>IF(COUNTIFS(T_StockCount[Part Name],$A52,T_StockCount[WeekIndex],63)&gt;0,SUMIFS(T_StockCount[CountedQty],T_StockCount[Part Name],$A52,T_StockCount[WeekIndex],63),IF((('T_SelfStock'!BL56&lt;&gt;""))*(('T_TTAFStock'!BL56&lt;&gt;""))&gt;0,'T_SelfStock'!BL56+'T_TTAFStock'!BL56,BK52+'Grid_Incoming'!BL52-'Grid_Requirement'!BL52))</f>
        <v/>
      </c>
      <c r="BM52">
        <f>IF(COUNTIFS(T_StockCount[Part Name],$A52,T_StockCount[WeekIndex],64)&gt;0,SUMIFS(T_StockCount[CountedQty],T_StockCount[Part Name],$A52,T_StockCount[WeekIndex],64),IF((('T_SelfStock'!BM56&lt;&gt;""))*(('T_TTAFStock'!BM56&lt;&gt;""))&gt;0,'T_SelfStock'!BM56+'T_TTAFStock'!BM56,BL52+'Grid_Incoming'!BM52-'Grid_Requirement'!BM52))</f>
        <v/>
      </c>
      <c r="BN52">
        <f>IF(COUNTIFS(T_StockCount[Part Name],$A52,T_StockCount[WeekIndex],65)&gt;0,SUMIFS(T_StockCount[CountedQty],T_StockCount[Part Name],$A52,T_StockCount[WeekIndex],65),IF((('T_SelfStock'!BN56&lt;&gt;""))*(('T_TTAFStock'!BN56&lt;&gt;""))&gt;0,'T_SelfStock'!BN56+'T_TTAFStock'!BN56,BM52+'Grid_Incoming'!BN52-'Grid_Requirement'!BN52))</f>
        <v/>
      </c>
      <c r="BO52">
        <f>IF(COUNTIFS(T_StockCount[Part Name],$A52,T_StockCount[WeekIndex],66)&gt;0,SUMIFS(T_StockCount[CountedQty],T_StockCount[Part Name],$A52,T_StockCount[WeekIndex],66),IF((('T_SelfStock'!BO56&lt;&gt;""))*(('T_TTAFStock'!BO56&lt;&gt;""))&gt;0,'T_SelfStock'!BO56+'T_TTAFStock'!BO56,BN52+'Grid_Incoming'!BO52-'Grid_Requirement'!BO52))</f>
        <v/>
      </c>
      <c r="BP52">
        <f>IF(COUNTIFS(T_StockCount[Part Name],$A52,T_StockCount[WeekIndex],67)&gt;0,SUMIFS(T_StockCount[CountedQty],T_StockCount[Part Name],$A52,T_StockCount[WeekIndex],67),IF((('T_SelfStock'!BP56&lt;&gt;""))*(('T_TTAFStock'!BP56&lt;&gt;""))&gt;0,'T_SelfStock'!BP56+'T_TTAFStock'!BP56,BO52+'Grid_Incoming'!BP52-'Grid_Requirement'!BP52))</f>
        <v/>
      </c>
      <c r="BQ52">
        <f>IF(COUNTIFS(T_StockCount[Part Name],$A52,T_StockCount[WeekIndex],68)&gt;0,SUMIFS(T_StockCount[CountedQty],T_StockCount[Part Name],$A52,T_StockCount[WeekIndex],68),IF((('T_SelfStock'!BQ56&lt;&gt;""))*(('T_TTAFStock'!BQ56&lt;&gt;""))&gt;0,'T_SelfStock'!BQ56+'T_TTAFStock'!BQ56,BP52+'Grid_Incoming'!BQ52-'Grid_Requirement'!BQ52))</f>
        <v/>
      </c>
      <c r="BR52">
        <f>IF(COUNTIFS(T_StockCount[Part Name],$A52,T_StockCount[WeekIndex],69)&gt;0,SUMIFS(T_StockCount[CountedQty],T_StockCount[Part Name],$A52,T_StockCount[WeekIndex],69),IF((('T_SelfStock'!BR56&lt;&gt;""))*(('T_TTAFStock'!BR56&lt;&gt;""))&gt;0,'T_SelfStock'!BR56+'T_TTAFStock'!BR56,BQ52+'Grid_Incoming'!BR52-'Grid_Requirement'!BR52))</f>
        <v/>
      </c>
      <c r="BS52">
        <f>IF(COUNTIFS(T_StockCount[Part Name],$A52,T_StockCount[WeekIndex],70)&gt;0,SUMIFS(T_StockCount[CountedQty],T_StockCount[Part Name],$A52,T_StockCount[WeekIndex],70),IF((('T_SelfStock'!BS56&lt;&gt;""))*(('T_TTAFStock'!BS56&lt;&gt;""))&gt;0,'T_SelfStock'!BS56+'T_TTAFStock'!BS56,BR52+'Grid_Incoming'!BS52-'Grid_Requirement'!BS52))</f>
        <v/>
      </c>
      <c r="BT52">
        <f>IF(COUNTIFS(T_StockCount[Part Name],$A52,T_StockCount[WeekIndex],71)&gt;0,SUMIFS(T_StockCount[CountedQty],T_StockCount[Part Name],$A52,T_StockCount[WeekIndex],71),IF((('T_SelfStock'!BT56&lt;&gt;""))*(('T_TTAFStock'!BT56&lt;&gt;""))&gt;0,'T_SelfStock'!BT56+'T_TTAFStock'!BT56,BS52+'Grid_Incoming'!BT52-'Grid_Requirement'!BT52))</f>
        <v/>
      </c>
      <c r="BU52">
        <f>IF(COUNTIFS(T_StockCount[Part Name],$A52,T_StockCount[WeekIndex],72)&gt;0,SUMIFS(T_StockCount[CountedQty],T_StockCount[Part Name],$A52,T_StockCount[WeekIndex],72),IF((('T_SelfStock'!BU56&lt;&gt;""))*(('T_TTAFStock'!BU56&lt;&gt;""))&gt;0,'T_SelfStock'!BU56+'T_TTAFStock'!BU56,BT52+'Grid_Incoming'!BU52-'Grid_Requirement'!BU52))</f>
        <v/>
      </c>
      <c r="BV52">
        <f>IF(COUNTIFS(T_StockCount[Part Name],$A52,T_StockCount[WeekIndex],73)&gt;0,SUMIFS(T_StockCount[CountedQty],T_StockCount[Part Name],$A52,T_StockCount[WeekIndex],73),IF((('T_SelfStock'!BV56&lt;&gt;""))*(('T_TTAFStock'!BV56&lt;&gt;""))&gt;0,'T_SelfStock'!BV56+'T_TTAFStock'!BV56,BU52+'Grid_Incoming'!BV52-'Grid_Requirement'!BV52))</f>
        <v/>
      </c>
      <c r="BW52">
        <f>IF(COUNTIFS(T_StockCount[Part Name],$A52,T_StockCount[WeekIndex],74)&gt;0,SUMIFS(T_StockCount[CountedQty],T_StockCount[Part Name],$A52,T_StockCount[WeekIndex],74),IF((('T_SelfStock'!BW56&lt;&gt;""))*(('T_TTAFStock'!BW56&lt;&gt;""))&gt;0,'T_SelfStock'!BW56+'T_TTAFStock'!BW56,BV52+'Grid_Incoming'!BW52-'Grid_Requirement'!BW52))</f>
        <v/>
      </c>
      <c r="BX52">
        <f>IF(COUNTIFS(T_StockCount[Part Name],$A52,T_StockCount[WeekIndex],75)&gt;0,SUMIFS(T_StockCount[CountedQty],T_StockCount[Part Name],$A52,T_StockCount[WeekIndex],75),IF((('T_SelfStock'!BX56&lt;&gt;""))*(('T_TTAFStock'!BX56&lt;&gt;""))&gt;0,'T_SelfStock'!BX56+'T_TTAFStock'!BX56,BW52+'Grid_Incoming'!BX52-'Grid_Requirement'!BX52))</f>
        <v/>
      </c>
      <c r="BY52">
        <f>IF(COUNTIFS(T_StockCount[Part Name],$A52,T_StockCount[WeekIndex],76)&gt;0,SUMIFS(T_StockCount[CountedQty],T_StockCount[Part Name],$A52,T_StockCount[WeekIndex],76),IF((('T_SelfStock'!BY56&lt;&gt;""))*(('T_TTAFStock'!BY56&lt;&gt;""))&gt;0,'T_SelfStock'!BY56+'T_TTAFStock'!BY56,BX52+'Grid_Incoming'!BY52-'Grid_Requirement'!BY52))</f>
        <v/>
      </c>
      <c r="BZ52">
        <f>IF(COUNTIFS(T_StockCount[Part Name],$A52,T_StockCount[WeekIndex],77)&gt;0,SUMIFS(T_StockCount[CountedQty],T_StockCount[Part Name],$A52,T_StockCount[WeekIndex],77),IF((('T_SelfStock'!BZ56&lt;&gt;""))*(('T_TTAFStock'!BZ56&lt;&gt;""))&gt;0,'T_SelfStock'!BZ56+'T_TTAFStock'!BZ56,BY52+'Grid_Incoming'!BZ52-'Grid_Requirement'!BZ52))</f>
        <v/>
      </c>
      <c r="CA52">
        <f>IF(COUNTIFS(T_StockCount[Part Name],$A52,T_StockCount[WeekIndex],78)&gt;0,SUMIFS(T_StockCount[CountedQty],T_StockCount[Part Name],$A52,T_StockCount[WeekIndex],78),IF((('T_SelfStock'!CA56&lt;&gt;""))*(('T_TTAFStock'!CA56&lt;&gt;""))&gt;0,'T_SelfStock'!CA56+'T_TTAFStock'!CA56,BZ52+'Grid_Incoming'!CA52-'Grid_Requirement'!CA52))</f>
        <v/>
      </c>
      <c r="CB52">
        <f>IF(COUNTIFS(T_StockCount[Part Name],$A52,T_StockCount[WeekIndex],79)&gt;0,SUMIFS(T_StockCount[CountedQty],T_StockCount[Part Name],$A52,T_StockCount[WeekIndex],79),IF((('T_SelfStock'!CB56&lt;&gt;""))*(('T_TTAFStock'!CB56&lt;&gt;""))&gt;0,'T_SelfStock'!CB56+'T_TTAFStock'!CB56,CA52+'Grid_Incoming'!CB52-'Grid_Requirement'!CB52))</f>
        <v/>
      </c>
      <c r="CC52">
        <f>IF(COUNTIFS(T_StockCount[Part Name],$A52,T_StockCount[WeekIndex],80)&gt;0,SUMIFS(T_StockCount[CountedQty],T_StockCount[Part Name],$A52,T_StockCount[WeekIndex],80),IF((('T_SelfStock'!CC56&lt;&gt;""))*(('T_TTAFStock'!CC56&lt;&gt;""))&gt;0,'T_SelfStock'!CC56+'T_TTAFStock'!CC56,CB52+'Grid_Incoming'!CC52-'Grid_Requirement'!CC52))</f>
        <v/>
      </c>
      <c r="CD52">
        <f>IF(COUNTIFS(T_StockCount[Part Name],$A52,T_StockCount[WeekIndex],81)&gt;0,SUMIFS(T_StockCount[CountedQty],T_StockCount[Part Name],$A52,T_StockCount[WeekIndex],81),IF((('T_SelfStock'!CD56&lt;&gt;""))*(('T_TTAFStock'!CD56&lt;&gt;""))&gt;0,'T_SelfStock'!CD56+'T_TTAFStock'!CD56,CC52+'Grid_Incoming'!CD52-'Grid_Requirement'!CD52))</f>
        <v/>
      </c>
      <c r="CE52">
        <f>IF(COUNTIFS(T_StockCount[Part Name],$A52,T_StockCount[WeekIndex],82)&gt;0,SUMIFS(T_StockCount[CountedQty],T_StockCount[Part Name],$A52,T_StockCount[WeekIndex],82),IF((('T_SelfStock'!CE56&lt;&gt;""))*(('T_TTAFStock'!CE56&lt;&gt;""))&gt;0,'T_SelfStock'!CE56+'T_TTAFStock'!CE56,CD52+'Grid_Incoming'!CE52-'Grid_Requirement'!CE52))</f>
        <v/>
      </c>
      <c r="CF52">
        <f>IF(COUNTIFS(T_StockCount[Part Name],$A52,T_StockCount[WeekIndex],83)&gt;0,SUMIFS(T_StockCount[CountedQty],T_StockCount[Part Name],$A52,T_StockCount[WeekIndex],83),IF((('T_SelfStock'!CF56&lt;&gt;""))*(('T_TTAFStock'!CF56&lt;&gt;""))&gt;0,'T_SelfStock'!CF56+'T_TTAFStock'!CF56,CE52+'Grid_Incoming'!CF52-'Grid_Requirement'!CF52))</f>
        <v/>
      </c>
      <c r="CG52">
        <f>IF(COUNTIFS(T_StockCount[Part Name],$A52,T_StockCount[WeekIndex],84)&gt;0,SUMIFS(T_StockCount[CountedQty],T_StockCount[Part Name],$A52,T_StockCount[WeekIndex],84),IF((('T_SelfStock'!CG56&lt;&gt;""))*(('T_TTAFStock'!CG56&lt;&gt;""))&gt;0,'T_SelfStock'!CG56+'T_TTAFStock'!CG56,CF52+'Grid_Incoming'!CG52-'Grid_Requirement'!CG52))</f>
        <v/>
      </c>
      <c r="CH52">
        <f>IF(COUNTIFS(T_StockCount[Part Name],$A52,T_StockCount[WeekIndex],85)&gt;0,SUMIFS(T_StockCount[CountedQty],T_StockCount[Part Name],$A52,T_StockCount[WeekIndex],85),IF((('T_SelfStock'!CH56&lt;&gt;""))*(('T_TTAFStock'!CH56&lt;&gt;""))&gt;0,'T_SelfStock'!CH56+'T_TTAFStock'!CH56,CG52+'Grid_Incoming'!CH52-'Grid_Requirement'!CH52))</f>
        <v/>
      </c>
      <c r="CI52">
        <f>IF(COUNTIFS(T_StockCount[Part Name],$A52,T_StockCount[WeekIndex],86)&gt;0,SUMIFS(T_StockCount[CountedQty],T_StockCount[Part Name],$A52,T_StockCount[WeekIndex],86),IF((('T_SelfStock'!CI56&lt;&gt;""))*(('T_TTAFStock'!CI56&lt;&gt;""))&gt;0,'T_SelfStock'!CI56+'T_TTAFStock'!CI56,CH52+'Grid_Incoming'!CI52-'Grid_Requirement'!CI52))</f>
        <v/>
      </c>
      <c r="CJ52">
        <f>IF(COUNTIFS(T_StockCount[Part Name],$A52,T_StockCount[WeekIndex],87)&gt;0,SUMIFS(T_StockCount[CountedQty],T_StockCount[Part Name],$A52,T_StockCount[WeekIndex],87),IF((('T_SelfStock'!CJ56&lt;&gt;""))*(('T_TTAFStock'!CJ56&lt;&gt;""))&gt;0,'T_SelfStock'!CJ56+'T_TTAFStock'!CJ56,CI52+'Grid_Incoming'!CJ52-'Grid_Requirement'!CJ52))</f>
        <v/>
      </c>
      <c r="CK52">
        <f>IF(COUNTIFS(T_StockCount[Part Name],$A52,T_StockCount[WeekIndex],88)&gt;0,SUMIFS(T_StockCount[CountedQty],T_StockCount[Part Name],$A52,T_StockCount[WeekIndex],88),IF((('T_SelfStock'!CK56&lt;&gt;""))*(('T_TTAFStock'!CK56&lt;&gt;""))&gt;0,'T_SelfStock'!CK56+'T_TTAFStock'!CK56,CJ52+'Grid_Incoming'!CK52-'Grid_Requirement'!CK52))</f>
        <v/>
      </c>
      <c r="CL52">
        <f>IF(COUNTIFS(T_StockCount[Part Name],$A52,T_StockCount[WeekIndex],89)&gt;0,SUMIFS(T_StockCount[CountedQty],T_StockCount[Part Name],$A52,T_StockCount[WeekIndex],89),IF((('T_SelfStock'!CL56&lt;&gt;""))*(('T_TTAFStock'!CL56&lt;&gt;""))&gt;0,'T_SelfStock'!CL56+'T_TTAFStock'!CL56,CK52+'Grid_Incoming'!CL52-'Grid_Requirement'!CL52))</f>
        <v/>
      </c>
      <c r="CM52">
        <f>IF(COUNTIFS(T_StockCount[Part Name],$A52,T_StockCount[WeekIndex],90)&gt;0,SUMIFS(T_StockCount[CountedQty],T_StockCount[Part Name],$A52,T_StockCount[WeekIndex],90),IF((('T_SelfStock'!CM56&lt;&gt;""))*(('T_TTAFStock'!CM56&lt;&gt;""))&gt;0,'T_SelfStock'!CM56+'T_TTAFStock'!CM56,CL52+'Grid_Incoming'!CM52-'Grid_Requirement'!CM52))</f>
        <v/>
      </c>
      <c r="CN52">
        <f>IF(COUNTIFS(T_StockCount[Part Name],$A52,T_StockCount[WeekIndex],91)&gt;0,SUMIFS(T_StockCount[CountedQty],T_StockCount[Part Name],$A52,T_StockCount[WeekIndex],91),IF((('T_SelfStock'!CN56&lt;&gt;""))*(('T_TTAFStock'!CN56&lt;&gt;""))&gt;0,'T_SelfStock'!CN56+'T_TTAFStock'!CN56,CM52+'Grid_Incoming'!CN52-'Grid_Requirement'!CN52))</f>
        <v/>
      </c>
      <c r="CO52">
        <f>IF(COUNTIFS(T_StockCount[Part Name],$A52,T_StockCount[WeekIndex],92)&gt;0,SUMIFS(T_StockCount[CountedQty],T_StockCount[Part Name],$A52,T_StockCount[WeekIndex],92),IF((('T_SelfStock'!CO56&lt;&gt;""))*(('T_TTAFStock'!CO56&lt;&gt;""))&gt;0,'T_SelfStock'!CO56+'T_TTAFStock'!CO56,CN52+'Grid_Incoming'!CO52-'Grid_Requirement'!CO52))</f>
        <v/>
      </c>
      <c r="CP52">
        <f>IF(COUNTIFS(T_StockCount[Part Name],$A52,T_StockCount[WeekIndex],93)&gt;0,SUMIFS(T_StockCount[CountedQty],T_StockCount[Part Name],$A52,T_StockCount[WeekIndex],93),IF((('T_SelfStock'!CP56&lt;&gt;""))*(('T_TTAFStock'!CP56&lt;&gt;""))&gt;0,'T_SelfStock'!CP56+'T_TTAFStock'!CP56,CO52+'Grid_Incoming'!CP52-'Grid_Requirement'!CP52))</f>
        <v/>
      </c>
      <c r="CQ52">
        <f>IF(COUNTIFS(T_StockCount[Part Name],$A52,T_StockCount[WeekIndex],94)&gt;0,SUMIFS(T_StockCount[CountedQty],T_StockCount[Part Name],$A52,T_StockCount[WeekIndex],94),IF((('T_SelfStock'!CQ56&lt;&gt;""))*(('T_TTAFStock'!CQ56&lt;&gt;""))&gt;0,'T_SelfStock'!CQ56+'T_TTAFStock'!CQ56,CP52+'Grid_Incoming'!CQ52-'Grid_Requirement'!CQ52))</f>
        <v/>
      </c>
      <c r="CR52">
        <f>IF(COUNTIFS(T_StockCount[Part Name],$A52,T_StockCount[WeekIndex],95)&gt;0,SUMIFS(T_StockCount[CountedQty],T_StockCount[Part Name],$A52,T_StockCount[WeekIndex],95),IF((('T_SelfStock'!CR56&lt;&gt;""))*(('T_TTAFStock'!CR56&lt;&gt;""))&gt;0,'T_SelfStock'!CR56+'T_TTAFStock'!CR56,CQ52+'Grid_Incoming'!CR52-'Grid_Requirement'!CR52))</f>
        <v/>
      </c>
      <c r="CS52">
        <f>IF(COUNTIFS(T_StockCount[Part Name],$A52,T_StockCount[WeekIndex],96)&gt;0,SUMIFS(T_StockCount[CountedQty],T_StockCount[Part Name],$A52,T_StockCount[WeekIndex],96),IF((('T_SelfStock'!CS56&lt;&gt;""))*(('T_TTAFStock'!CS56&lt;&gt;""))&gt;0,'T_SelfStock'!CS56+'T_TTAFStock'!CS56,CR52+'Grid_Incoming'!CS52-'Grid_Requirement'!CS52))</f>
        <v/>
      </c>
      <c r="CT52">
        <f>IF(COUNTIFS(T_StockCount[Part Name],$A52,T_StockCount[WeekIndex],97)&gt;0,SUMIFS(T_StockCount[CountedQty],T_StockCount[Part Name],$A52,T_StockCount[WeekIndex],97),IF((('T_SelfStock'!CT56&lt;&gt;""))*(('T_TTAFStock'!CT56&lt;&gt;""))&gt;0,'T_SelfStock'!CT56+'T_TTAFStock'!CT56,CS52+'Grid_Incoming'!CT52-'Grid_Requirement'!CT52))</f>
        <v/>
      </c>
      <c r="CU52">
        <f>IF(COUNTIFS(T_StockCount[Part Name],$A52,T_StockCount[WeekIndex],98)&gt;0,SUMIFS(T_StockCount[CountedQty],T_StockCount[Part Name],$A52,T_StockCount[WeekIndex],98),IF((('T_SelfStock'!CU56&lt;&gt;""))*(('T_TTAFStock'!CU56&lt;&gt;""))&gt;0,'T_SelfStock'!CU56+'T_TTAFStock'!CU56,CT52+'Grid_Incoming'!CU52-'Grid_Requirement'!CU52))</f>
        <v/>
      </c>
      <c r="CV52">
        <f>IF(COUNTIFS(T_StockCount[Part Name],$A52,T_StockCount[WeekIndex],99)&gt;0,SUMIFS(T_StockCount[CountedQty],T_StockCount[Part Name],$A52,T_StockCount[WeekIndex],99),IF((('T_SelfStock'!CV56&lt;&gt;""))*(('T_TTAFStock'!CV56&lt;&gt;""))&gt;0,'T_SelfStock'!CV56+'T_TTAFStock'!CV56,CU52+'Grid_Incoming'!CV52-'Grid_Requirement'!CV52))</f>
        <v/>
      </c>
      <c r="CW52">
        <f>IF(COUNTIFS(T_StockCount[Part Name],$A52,T_StockCount[WeekIndex],100)&gt;0,SUMIFS(T_StockCount[CountedQty],T_StockCount[Part Name],$A52,T_StockCount[WeekIndex],100),IF((('T_SelfStock'!CW56&lt;&gt;""))*(('T_TTAFStock'!CW56&lt;&gt;""))&gt;0,'T_SelfStock'!CW56+'T_TTAFStock'!CW56,CV52+'Grid_Incoming'!CW52-'Grid_Requirement'!CW52))</f>
        <v/>
      </c>
      <c r="CX52">
        <f>IF(COUNTIFS(T_StockCount[Part Name],$A52,T_StockCount[WeekIndex],101)&gt;0,SUMIFS(T_StockCount[CountedQty],T_StockCount[Part Name],$A52,T_StockCount[WeekIndex],101),IF((('T_SelfStock'!CX56&lt;&gt;""))*(('T_TTAFStock'!CX56&lt;&gt;""))&gt;0,'T_SelfStock'!CX56+'T_TTAFStock'!CX56,CW52+'Grid_Incoming'!CX52-'Grid_Requirement'!CX52))</f>
        <v/>
      </c>
      <c r="CY52">
        <f>IF(COUNTIFS(T_StockCount[Part Name],$A52,T_StockCount[WeekIndex],102)&gt;0,SUMIFS(T_StockCount[CountedQty],T_StockCount[Part Name],$A52,T_StockCount[WeekIndex],102),IF((('T_SelfStock'!CY56&lt;&gt;""))*(('T_TTAFStock'!CY56&lt;&gt;""))&gt;0,'T_SelfStock'!CY56+'T_TTAFStock'!CY56,CX52+'Grid_Incoming'!CY52-'Grid_Requirement'!CY52))</f>
        <v/>
      </c>
      <c r="CZ52">
        <f>IF(COUNTIFS(T_StockCount[Part Name],$A52,T_StockCount[WeekIndex],103)&gt;0,SUMIFS(T_StockCount[CountedQty],T_StockCount[Part Name],$A52,T_StockCount[WeekIndex],103),IF((('T_SelfStock'!CZ56&lt;&gt;""))*(('T_TTAFStock'!CZ56&lt;&gt;""))&gt;0,'T_SelfStock'!CZ56+'T_TTAFStock'!CZ56,CY52+'Grid_Incoming'!CZ52-'Grid_Requirement'!CZ52))</f>
        <v/>
      </c>
      <c r="DA52">
        <f>IF(COUNTIFS(T_StockCount[Part Name],$A52,T_StockCount[WeekIndex],104)&gt;0,SUMIFS(T_StockCount[CountedQty],T_StockCount[Part Name],$A52,T_StockCount[WeekIndex],104),IF((('T_SelfStock'!DA56&lt;&gt;""))*(('T_TTAFStock'!DA56&lt;&gt;""))&gt;0,'T_SelfStock'!DA56+'T_TTAFStock'!DA56,CZ52+'Grid_Incoming'!DA52-'Grid_Requirement'!DA52))</f>
        <v/>
      </c>
    </row>
    <row r="53">
      <c r="A53" t="inlineStr">
        <is>
          <t>18456-50041</t>
        </is>
      </c>
      <c r="B53">
        <f>IF(COUNTIFS(T_StockCount[Part Name],$A53,T_StockCount[WeekIndex],1)&gt;0,SUMIFS(T_StockCount[CountedQty],T_StockCount[Part Name],$A53,T_StockCount[WeekIndex],1),IF((('T_SelfStock'!B57&lt;&gt;""))*(('T_TTAFStock'!B57&lt;&gt;""))&gt;0,'T_SelfStock'!B57+'T_TTAFStock'!B57,IFERROR(INDEX(T_OpeningStock[Opening_Qty_要入力],MATCH($A53,T_OpeningStock[Part Name],0)),0)+'Grid_Incoming'!B53-'Grid_Requirement'!B53))</f>
        <v/>
      </c>
      <c r="C53">
        <f>IF(COUNTIFS(T_StockCount[Part Name],$A53,T_StockCount[WeekIndex],2)&gt;0,SUMIFS(T_StockCount[CountedQty],T_StockCount[Part Name],$A53,T_StockCount[WeekIndex],2),IF((('T_SelfStock'!C57&lt;&gt;""))*(('T_TTAFStock'!C57&lt;&gt;""))&gt;0,'T_SelfStock'!C57+'T_TTAFStock'!C57,B53+'Grid_Incoming'!C53-'Grid_Requirement'!C53))</f>
        <v/>
      </c>
      <c r="D53">
        <f>IF(COUNTIFS(T_StockCount[Part Name],$A53,T_StockCount[WeekIndex],3)&gt;0,SUMIFS(T_StockCount[CountedQty],T_StockCount[Part Name],$A53,T_StockCount[WeekIndex],3),IF((('T_SelfStock'!D57&lt;&gt;""))*(('T_TTAFStock'!D57&lt;&gt;""))&gt;0,'T_SelfStock'!D57+'T_TTAFStock'!D57,C53+'Grid_Incoming'!D53-'Grid_Requirement'!D53))</f>
        <v/>
      </c>
      <c r="E53">
        <f>IF(COUNTIFS(T_StockCount[Part Name],$A53,T_StockCount[WeekIndex],4)&gt;0,SUMIFS(T_StockCount[CountedQty],T_StockCount[Part Name],$A53,T_StockCount[WeekIndex],4),IF((('T_SelfStock'!E57&lt;&gt;""))*(('T_TTAFStock'!E57&lt;&gt;""))&gt;0,'T_SelfStock'!E57+'T_TTAFStock'!E57,D53+'Grid_Incoming'!E53-'Grid_Requirement'!E53))</f>
        <v/>
      </c>
      <c r="F53">
        <f>IF(COUNTIFS(T_StockCount[Part Name],$A53,T_StockCount[WeekIndex],5)&gt;0,SUMIFS(T_StockCount[CountedQty],T_StockCount[Part Name],$A53,T_StockCount[WeekIndex],5),IF((('T_SelfStock'!F57&lt;&gt;""))*(('T_TTAFStock'!F57&lt;&gt;""))&gt;0,'T_SelfStock'!F57+'T_TTAFStock'!F57,E53+'Grid_Incoming'!F53-'Grid_Requirement'!F53))</f>
        <v/>
      </c>
      <c r="G53">
        <f>IF(COUNTIFS(T_StockCount[Part Name],$A53,T_StockCount[WeekIndex],6)&gt;0,SUMIFS(T_StockCount[CountedQty],T_StockCount[Part Name],$A53,T_StockCount[WeekIndex],6),IF((('T_SelfStock'!G57&lt;&gt;""))*(('T_TTAFStock'!G57&lt;&gt;""))&gt;0,'T_SelfStock'!G57+'T_TTAFStock'!G57,F53+'Grid_Incoming'!G53-'Grid_Requirement'!G53))</f>
        <v/>
      </c>
      <c r="H53">
        <f>IF(COUNTIFS(T_StockCount[Part Name],$A53,T_StockCount[WeekIndex],7)&gt;0,SUMIFS(T_StockCount[CountedQty],T_StockCount[Part Name],$A53,T_StockCount[WeekIndex],7),IF((('T_SelfStock'!H57&lt;&gt;""))*(('T_TTAFStock'!H57&lt;&gt;""))&gt;0,'T_SelfStock'!H57+'T_TTAFStock'!H57,G53+'Grid_Incoming'!H53-'Grid_Requirement'!H53))</f>
        <v/>
      </c>
      <c r="I53">
        <f>IF(COUNTIFS(T_StockCount[Part Name],$A53,T_StockCount[WeekIndex],8)&gt;0,SUMIFS(T_StockCount[CountedQty],T_StockCount[Part Name],$A53,T_StockCount[WeekIndex],8),IF((('T_SelfStock'!I57&lt;&gt;""))*(('T_TTAFStock'!I57&lt;&gt;""))&gt;0,'T_SelfStock'!I57+'T_TTAFStock'!I57,H53+'Grid_Incoming'!I53-'Grid_Requirement'!I53))</f>
        <v/>
      </c>
      <c r="J53">
        <f>IF(COUNTIFS(T_StockCount[Part Name],$A53,T_StockCount[WeekIndex],9)&gt;0,SUMIFS(T_StockCount[CountedQty],T_StockCount[Part Name],$A53,T_StockCount[WeekIndex],9),IF((('T_SelfStock'!J57&lt;&gt;""))*(('T_TTAFStock'!J57&lt;&gt;""))&gt;0,'T_SelfStock'!J57+'T_TTAFStock'!J57,I53+'Grid_Incoming'!J53-'Grid_Requirement'!J53))</f>
        <v/>
      </c>
      <c r="K53">
        <f>IF(COUNTIFS(T_StockCount[Part Name],$A53,T_StockCount[WeekIndex],10)&gt;0,SUMIFS(T_StockCount[CountedQty],T_StockCount[Part Name],$A53,T_StockCount[WeekIndex],10),IF((('T_SelfStock'!K57&lt;&gt;""))*(('T_TTAFStock'!K57&lt;&gt;""))&gt;0,'T_SelfStock'!K57+'T_TTAFStock'!K57,J53+'Grid_Incoming'!K53-'Grid_Requirement'!K53))</f>
        <v/>
      </c>
      <c r="L53">
        <f>IF(COUNTIFS(T_StockCount[Part Name],$A53,T_StockCount[WeekIndex],11)&gt;0,SUMIFS(T_StockCount[CountedQty],T_StockCount[Part Name],$A53,T_StockCount[WeekIndex],11),IF((('T_SelfStock'!L57&lt;&gt;""))*(('T_TTAFStock'!L57&lt;&gt;""))&gt;0,'T_SelfStock'!L57+'T_TTAFStock'!L57,K53+'Grid_Incoming'!L53-'Grid_Requirement'!L53))</f>
        <v/>
      </c>
      <c r="M53">
        <f>IF(COUNTIFS(T_StockCount[Part Name],$A53,T_StockCount[WeekIndex],12)&gt;0,SUMIFS(T_StockCount[CountedQty],T_StockCount[Part Name],$A53,T_StockCount[WeekIndex],12),IF((('T_SelfStock'!M57&lt;&gt;""))*(('T_TTAFStock'!M57&lt;&gt;""))&gt;0,'T_SelfStock'!M57+'T_TTAFStock'!M57,L53+'Grid_Incoming'!M53-'Grid_Requirement'!M53))</f>
        <v/>
      </c>
      <c r="N53">
        <f>IF(COUNTIFS(T_StockCount[Part Name],$A53,T_StockCount[WeekIndex],13)&gt;0,SUMIFS(T_StockCount[CountedQty],T_StockCount[Part Name],$A53,T_StockCount[WeekIndex],13),IF((('T_SelfStock'!N57&lt;&gt;""))*(('T_TTAFStock'!N57&lt;&gt;""))&gt;0,'T_SelfStock'!N57+'T_TTAFStock'!N57,M53+'Grid_Incoming'!N53-'Grid_Requirement'!N53))</f>
        <v/>
      </c>
      <c r="O53">
        <f>IF(COUNTIFS(T_StockCount[Part Name],$A53,T_StockCount[WeekIndex],14)&gt;0,SUMIFS(T_StockCount[CountedQty],T_StockCount[Part Name],$A53,T_StockCount[WeekIndex],14),IF((('T_SelfStock'!O57&lt;&gt;""))*(('T_TTAFStock'!O57&lt;&gt;""))&gt;0,'T_SelfStock'!O57+'T_TTAFStock'!O57,N53+'Grid_Incoming'!O53-'Grid_Requirement'!O53))</f>
        <v/>
      </c>
      <c r="P53">
        <f>IF(COUNTIFS(T_StockCount[Part Name],$A53,T_StockCount[WeekIndex],15)&gt;0,SUMIFS(T_StockCount[CountedQty],T_StockCount[Part Name],$A53,T_StockCount[WeekIndex],15),IF((('T_SelfStock'!P57&lt;&gt;""))*(('T_TTAFStock'!P57&lt;&gt;""))&gt;0,'T_SelfStock'!P57+'T_TTAFStock'!P57,O53+'Grid_Incoming'!P53-'Grid_Requirement'!P53))</f>
        <v/>
      </c>
      <c r="Q53">
        <f>IF(COUNTIFS(T_StockCount[Part Name],$A53,T_StockCount[WeekIndex],16)&gt;0,SUMIFS(T_StockCount[CountedQty],T_StockCount[Part Name],$A53,T_StockCount[WeekIndex],16),IF((('T_SelfStock'!Q57&lt;&gt;""))*(('T_TTAFStock'!Q57&lt;&gt;""))&gt;0,'T_SelfStock'!Q57+'T_TTAFStock'!Q57,P53+'Grid_Incoming'!Q53-'Grid_Requirement'!Q53))</f>
        <v/>
      </c>
      <c r="R53">
        <f>IF(COUNTIFS(T_StockCount[Part Name],$A53,T_StockCount[WeekIndex],17)&gt;0,SUMIFS(T_StockCount[CountedQty],T_StockCount[Part Name],$A53,T_StockCount[WeekIndex],17),IF((('T_SelfStock'!R57&lt;&gt;""))*(('T_TTAFStock'!R57&lt;&gt;""))&gt;0,'T_SelfStock'!R57+'T_TTAFStock'!R57,Q53+'Grid_Incoming'!R53-'Grid_Requirement'!R53))</f>
        <v/>
      </c>
      <c r="S53">
        <f>IF(COUNTIFS(T_StockCount[Part Name],$A53,T_StockCount[WeekIndex],18)&gt;0,SUMIFS(T_StockCount[CountedQty],T_StockCount[Part Name],$A53,T_StockCount[WeekIndex],18),IF((('T_SelfStock'!S57&lt;&gt;""))*(('T_TTAFStock'!S57&lt;&gt;""))&gt;0,'T_SelfStock'!S57+'T_TTAFStock'!S57,R53+'Grid_Incoming'!S53-'Grid_Requirement'!S53))</f>
        <v/>
      </c>
      <c r="T53">
        <f>IF(COUNTIFS(T_StockCount[Part Name],$A53,T_StockCount[WeekIndex],19)&gt;0,SUMIFS(T_StockCount[CountedQty],T_StockCount[Part Name],$A53,T_StockCount[WeekIndex],19),IF((('T_SelfStock'!T57&lt;&gt;""))*(('T_TTAFStock'!T57&lt;&gt;""))&gt;0,'T_SelfStock'!T57+'T_TTAFStock'!T57,S53+'Grid_Incoming'!T53-'Grid_Requirement'!T53))</f>
        <v/>
      </c>
      <c r="U53">
        <f>IF(COUNTIFS(T_StockCount[Part Name],$A53,T_StockCount[WeekIndex],20)&gt;0,SUMIFS(T_StockCount[CountedQty],T_StockCount[Part Name],$A53,T_StockCount[WeekIndex],20),IF((('T_SelfStock'!U57&lt;&gt;""))*(('T_TTAFStock'!U57&lt;&gt;""))&gt;0,'T_SelfStock'!U57+'T_TTAFStock'!U57,T53+'Grid_Incoming'!U53-'Grid_Requirement'!U53))</f>
        <v/>
      </c>
      <c r="V53">
        <f>IF(COUNTIFS(T_StockCount[Part Name],$A53,T_StockCount[WeekIndex],21)&gt;0,SUMIFS(T_StockCount[CountedQty],T_StockCount[Part Name],$A53,T_StockCount[WeekIndex],21),IF((('T_SelfStock'!V57&lt;&gt;""))*(('T_TTAFStock'!V57&lt;&gt;""))&gt;0,'T_SelfStock'!V57+'T_TTAFStock'!V57,U53+'Grid_Incoming'!V53-'Grid_Requirement'!V53))</f>
        <v/>
      </c>
      <c r="W53">
        <f>IF(COUNTIFS(T_StockCount[Part Name],$A53,T_StockCount[WeekIndex],22)&gt;0,SUMIFS(T_StockCount[CountedQty],T_StockCount[Part Name],$A53,T_StockCount[WeekIndex],22),IF((('T_SelfStock'!W57&lt;&gt;""))*(('T_TTAFStock'!W57&lt;&gt;""))&gt;0,'T_SelfStock'!W57+'T_TTAFStock'!W57,V53+'Grid_Incoming'!W53-'Grid_Requirement'!W53))</f>
        <v/>
      </c>
      <c r="X53">
        <f>IF(COUNTIFS(T_StockCount[Part Name],$A53,T_StockCount[WeekIndex],23)&gt;0,SUMIFS(T_StockCount[CountedQty],T_StockCount[Part Name],$A53,T_StockCount[WeekIndex],23),IF((('T_SelfStock'!X57&lt;&gt;""))*(('T_TTAFStock'!X57&lt;&gt;""))&gt;0,'T_SelfStock'!X57+'T_TTAFStock'!X57,W53+'Grid_Incoming'!X53-'Grid_Requirement'!X53))</f>
        <v/>
      </c>
      <c r="Y53">
        <f>IF(COUNTIFS(T_StockCount[Part Name],$A53,T_StockCount[WeekIndex],24)&gt;0,SUMIFS(T_StockCount[CountedQty],T_StockCount[Part Name],$A53,T_StockCount[WeekIndex],24),IF((('T_SelfStock'!Y57&lt;&gt;""))*(('T_TTAFStock'!Y57&lt;&gt;""))&gt;0,'T_SelfStock'!Y57+'T_TTAFStock'!Y57,X53+'Grid_Incoming'!Y53-'Grid_Requirement'!Y53))</f>
        <v/>
      </c>
      <c r="Z53">
        <f>IF(COUNTIFS(T_StockCount[Part Name],$A53,T_StockCount[WeekIndex],25)&gt;0,SUMIFS(T_StockCount[CountedQty],T_StockCount[Part Name],$A53,T_StockCount[WeekIndex],25),IF((('T_SelfStock'!Z57&lt;&gt;""))*(('T_TTAFStock'!Z57&lt;&gt;""))&gt;0,'T_SelfStock'!Z57+'T_TTAFStock'!Z57,Y53+'Grid_Incoming'!Z53-'Grid_Requirement'!Z53))</f>
        <v/>
      </c>
      <c r="AA53">
        <f>IF(COUNTIFS(T_StockCount[Part Name],$A53,T_StockCount[WeekIndex],26)&gt;0,SUMIFS(T_StockCount[CountedQty],T_StockCount[Part Name],$A53,T_StockCount[WeekIndex],26),IF((('T_SelfStock'!AA57&lt;&gt;""))*(('T_TTAFStock'!AA57&lt;&gt;""))&gt;0,'T_SelfStock'!AA57+'T_TTAFStock'!AA57,Z53+'Grid_Incoming'!AA53-'Grid_Requirement'!AA53))</f>
        <v/>
      </c>
      <c r="AB53">
        <f>IF(COUNTIFS(T_StockCount[Part Name],$A53,T_StockCount[WeekIndex],27)&gt;0,SUMIFS(T_StockCount[CountedQty],T_StockCount[Part Name],$A53,T_StockCount[WeekIndex],27),IF((('T_SelfStock'!AB57&lt;&gt;""))*(('T_TTAFStock'!AB57&lt;&gt;""))&gt;0,'T_SelfStock'!AB57+'T_TTAFStock'!AB57,AA53+'Grid_Incoming'!AB53-'Grid_Requirement'!AB53))</f>
        <v/>
      </c>
      <c r="AC53">
        <f>IF(COUNTIFS(T_StockCount[Part Name],$A53,T_StockCount[WeekIndex],28)&gt;0,SUMIFS(T_StockCount[CountedQty],T_StockCount[Part Name],$A53,T_StockCount[WeekIndex],28),IF((('T_SelfStock'!AC57&lt;&gt;""))*(('T_TTAFStock'!AC57&lt;&gt;""))&gt;0,'T_SelfStock'!AC57+'T_TTAFStock'!AC57,AB53+'Grid_Incoming'!AC53-'Grid_Requirement'!AC53))</f>
        <v/>
      </c>
      <c r="AD53">
        <f>IF(COUNTIFS(T_StockCount[Part Name],$A53,T_StockCount[WeekIndex],29)&gt;0,SUMIFS(T_StockCount[CountedQty],T_StockCount[Part Name],$A53,T_StockCount[WeekIndex],29),IF((('T_SelfStock'!AD57&lt;&gt;""))*(('T_TTAFStock'!AD57&lt;&gt;""))&gt;0,'T_SelfStock'!AD57+'T_TTAFStock'!AD57,AC53+'Grid_Incoming'!AD53-'Grid_Requirement'!AD53))</f>
        <v/>
      </c>
      <c r="AE53">
        <f>IF(COUNTIFS(T_StockCount[Part Name],$A53,T_StockCount[WeekIndex],30)&gt;0,SUMIFS(T_StockCount[CountedQty],T_StockCount[Part Name],$A53,T_StockCount[WeekIndex],30),IF((('T_SelfStock'!AE57&lt;&gt;""))*(('T_TTAFStock'!AE57&lt;&gt;""))&gt;0,'T_SelfStock'!AE57+'T_TTAFStock'!AE57,AD53+'Grid_Incoming'!AE53-'Grid_Requirement'!AE53))</f>
        <v/>
      </c>
      <c r="AF53">
        <f>IF(COUNTIFS(T_StockCount[Part Name],$A53,T_StockCount[WeekIndex],31)&gt;0,SUMIFS(T_StockCount[CountedQty],T_StockCount[Part Name],$A53,T_StockCount[WeekIndex],31),IF((('T_SelfStock'!AF57&lt;&gt;""))*(('T_TTAFStock'!AF57&lt;&gt;""))&gt;0,'T_SelfStock'!AF57+'T_TTAFStock'!AF57,AE53+'Grid_Incoming'!AF53-'Grid_Requirement'!AF53))</f>
        <v/>
      </c>
      <c r="AG53">
        <f>IF(COUNTIFS(T_StockCount[Part Name],$A53,T_StockCount[WeekIndex],32)&gt;0,SUMIFS(T_StockCount[CountedQty],T_StockCount[Part Name],$A53,T_StockCount[WeekIndex],32),IF((('T_SelfStock'!AG57&lt;&gt;""))*(('T_TTAFStock'!AG57&lt;&gt;""))&gt;0,'T_SelfStock'!AG57+'T_TTAFStock'!AG57,AF53+'Grid_Incoming'!AG53-'Grid_Requirement'!AG53))</f>
        <v/>
      </c>
      <c r="AH53">
        <f>IF(COUNTIFS(T_StockCount[Part Name],$A53,T_StockCount[WeekIndex],33)&gt;0,SUMIFS(T_StockCount[CountedQty],T_StockCount[Part Name],$A53,T_StockCount[WeekIndex],33),IF((('T_SelfStock'!AH57&lt;&gt;""))*(('T_TTAFStock'!AH57&lt;&gt;""))&gt;0,'T_SelfStock'!AH57+'T_TTAFStock'!AH57,AG53+'Grid_Incoming'!AH53-'Grid_Requirement'!AH53))</f>
        <v/>
      </c>
      <c r="AI53">
        <f>IF(COUNTIFS(T_StockCount[Part Name],$A53,T_StockCount[WeekIndex],34)&gt;0,SUMIFS(T_StockCount[CountedQty],T_StockCount[Part Name],$A53,T_StockCount[WeekIndex],34),IF((('T_SelfStock'!AI57&lt;&gt;""))*(('T_TTAFStock'!AI57&lt;&gt;""))&gt;0,'T_SelfStock'!AI57+'T_TTAFStock'!AI57,AH53+'Grid_Incoming'!AI53-'Grid_Requirement'!AI53))</f>
        <v/>
      </c>
      <c r="AJ53">
        <f>IF(COUNTIFS(T_StockCount[Part Name],$A53,T_StockCount[WeekIndex],35)&gt;0,SUMIFS(T_StockCount[CountedQty],T_StockCount[Part Name],$A53,T_StockCount[WeekIndex],35),IF((('T_SelfStock'!AJ57&lt;&gt;""))*(('T_TTAFStock'!AJ57&lt;&gt;""))&gt;0,'T_SelfStock'!AJ57+'T_TTAFStock'!AJ57,AI53+'Grid_Incoming'!AJ53-'Grid_Requirement'!AJ53))</f>
        <v/>
      </c>
      <c r="AK53">
        <f>IF(COUNTIFS(T_StockCount[Part Name],$A53,T_StockCount[WeekIndex],36)&gt;0,SUMIFS(T_StockCount[CountedQty],T_StockCount[Part Name],$A53,T_StockCount[WeekIndex],36),IF((('T_SelfStock'!AK57&lt;&gt;""))*(('T_TTAFStock'!AK57&lt;&gt;""))&gt;0,'T_SelfStock'!AK57+'T_TTAFStock'!AK57,AJ53+'Grid_Incoming'!AK53-'Grid_Requirement'!AK53))</f>
        <v/>
      </c>
      <c r="AL53">
        <f>IF(COUNTIFS(T_StockCount[Part Name],$A53,T_StockCount[WeekIndex],37)&gt;0,SUMIFS(T_StockCount[CountedQty],T_StockCount[Part Name],$A53,T_StockCount[WeekIndex],37),IF((('T_SelfStock'!AL57&lt;&gt;""))*(('T_TTAFStock'!AL57&lt;&gt;""))&gt;0,'T_SelfStock'!AL57+'T_TTAFStock'!AL57,AK53+'Grid_Incoming'!AL53-'Grid_Requirement'!AL53))</f>
        <v/>
      </c>
      <c r="AM53">
        <f>IF(COUNTIFS(T_StockCount[Part Name],$A53,T_StockCount[WeekIndex],38)&gt;0,SUMIFS(T_StockCount[CountedQty],T_StockCount[Part Name],$A53,T_StockCount[WeekIndex],38),IF((('T_SelfStock'!AM57&lt;&gt;""))*(('T_TTAFStock'!AM57&lt;&gt;""))&gt;0,'T_SelfStock'!AM57+'T_TTAFStock'!AM57,AL53+'Grid_Incoming'!AM53-'Grid_Requirement'!AM53))</f>
        <v/>
      </c>
      <c r="AN53">
        <f>IF(COUNTIFS(T_StockCount[Part Name],$A53,T_StockCount[WeekIndex],39)&gt;0,SUMIFS(T_StockCount[CountedQty],T_StockCount[Part Name],$A53,T_StockCount[WeekIndex],39),IF((('T_SelfStock'!AN57&lt;&gt;""))*(('T_TTAFStock'!AN57&lt;&gt;""))&gt;0,'T_SelfStock'!AN57+'T_TTAFStock'!AN57,AM53+'Grid_Incoming'!AN53-'Grid_Requirement'!AN53))</f>
        <v/>
      </c>
      <c r="AO53">
        <f>IF(COUNTIFS(T_StockCount[Part Name],$A53,T_StockCount[WeekIndex],40)&gt;0,SUMIFS(T_StockCount[CountedQty],T_StockCount[Part Name],$A53,T_StockCount[WeekIndex],40),IF((('T_SelfStock'!AO57&lt;&gt;""))*(('T_TTAFStock'!AO57&lt;&gt;""))&gt;0,'T_SelfStock'!AO57+'T_TTAFStock'!AO57,AN53+'Grid_Incoming'!AO53-'Grid_Requirement'!AO53))</f>
        <v/>
      </c>
      <c r="AP53">
        <f>IF(COUNTIFS(T_StockCount[Part Name],$A53,T_StockCount[WeekIndex],41)&gt;0,SUMIFS(T_StockCount[CountedQty],T_StockCount[Part Name],$A53,T_StockCount[WeekIndex],41),IF((('T_SelfStock'!AP57&lt;&gt;""))*(('T_TTAFStock'!AP57&lt;&gt;""))&gt;0,'T_SelfStock'!AP57+'T_TTAFStock'!AP57,AO53+'Grid_Incoming'!AP53-'Grid_Requirement'!AP53))</f>
        <v/>
      </c>
      <c r="AQ53">
        <f>IF(COUNTIFS(T_StockCount[Part Name],$A53,T_StockCount[WeekIndex],42)&gt;0,SUMIFS(T_StockCount[CountedQty],T_StockCount[Part Name],$A53,T_StockCount[WeekIndex],42),IF((('T_SelfStock'!AQ57&lt;&gt;""))*(('T_TTAFStock'!AQ57&lt;&gt;""))&gt;0,'T_SelfStock'!AQ57+'T_TTAFStock'!AQ57,AP53+'Grid_Incoming'!AQ53-'Grid_Requirement'!AQ53))</f>
        <v/>
      </c>
      <c r="AR53">
        <f>IF(COUNTIFS(T_StockCount[Part Name],$A53,T_StockCount[WeekIndex],43)&gt;0,SUMIFS(T_StockCount[CountedQty],T_StockCount[Part Name],$A53,T_StockCount[WeekIndex],43),IF((('T_SelfStock'!AR57&lt;&gt;""))*(('T_TTAFStock'!AR57&lt;&gt;""))&gt;0,'T_SelfStock'!AR57+'T_TTAFStock'!AR57,AQ53+'Grid_Incoming'!AR53-'Grid_Requirement'!AR53))</f>
        <v/>
      </c>
      <c r="AS53">
        <f>IF(COUNTIFS(T_StockCount[Part Name],$A53,T_StockCount[WeekIndex],44)&gt;0,SUMIFS(T_StockCount[CountedQty],T_StockCount[Part Name],$A53,T_StockCount[WeekIndex],44),IF((('T_SelfStock'!AS57&lt;&gt;""))*(('T_TTAFStock'!AS57&lt;&gt;""))&gt;0,'T_SelfStock'!AS57+'T_TTAFStock'!AS57,AR53+'Grid_Incoming'!AS53-'Grid_Requirement'!AS53))</f>
        <v/>
      </c>
      <c r="AT53">
        <f>IF(COUNTIFS(T_StockCount[Part Name],$A53,T_StockCount[WeekIndex],45)&gt;0,SUMIFS(T_StockCount[CountedQty],T_StockCount[Part Name],$A53,T_StockCount[WeekIndex],45),IF((('T_SelfStock'!AT57&lt;&gt;""))*(('T_TTAFStock'!AT57&lt;&gt;""))&gt;0,'T_SelfStock'!AT57+'T_TTAFStock'!AT57,AS53+'Grid_Incoming'!AT53-'Grid_Requirement'!AT53))</f>
        <v/>
      </c>
      <c r="AU53">
        <f>IF(COUNTIFS(T_StockCount[Part Name],$A53,T_StockCount[WeekIndex],46)&gt;0,SUMIFS(T_StockCount[CountedQty],T_StockCount[Part Name],$A53,T_StockCount[WeekIndex],46),IF((('T_SelfStock'!AU57&lt;&gt;""))*(('T_TTAFStock'!AU57&lt;&gt;""))&gt;0,'T_SelfStock'!AU57+'T_TTAFStock'!AU57,AT53+'Grid_Incoming'!AU53-'Grid_Requirement'!AU53))</f>
        <v/>
      </c>
      <c r="AV53">
        <f>IF(COUNTIFS(T_StockCount[Part Name],$A53,T_StockCount[WeekIndex],47)&gt;0,SUMIFS(T_StockCount[CountedQty],T_StockCount[Part Name],$A53,T_StockCount[WeekIndex],47),IF((('T_SelfStock'!AV57&lt;&gt;""))*(('T_TTAFStock'!AV57&lt;&gt;""))&gt;0,'T_SelfStock'!AV57+'T_TTAFStock'!AV57,AU53+'Grid_Incoming'!AV53-'Grid_Requirement'!AV53))</f>
        <v/>
      </c>
      <c r="AW53">
        <f>IF(COUNTIFS(T_StockCount[Part Name],$A53,T_StockCount[WeekIndex],48)&gt;0,SUMIFS(T_StockCount[CountedQty],T_StockCount[Part Name],$A53,T_StockCount[WeekIndex],48),IF((('T_SelfStock'!AW57&lt;&gt;""))*(('T_TTAFStock'!AW57&lt;&gt;""))&gt;0,'T_SelfStock'!AW57+'T_TTAFStock'!AW57,AV53+'Grid_Incoming'!AW53-'Grid_Requirement'!AW53))</f>
        <v/>
      </c>
      <c r="AX53">
        <f>IF(COUNTIFS(T_StockCount[Part Name],$A53,T_StockCount[WeekIndex],49)&gt;0,SUMIFS(T_StockCount[CountedQty],T_StockCount[Part Name],$A53,T_StockCount[WeekIndex],49),IF((('T_SelfStock'!AX57&lt;&gt;""))*(('T_TTAFStock'!AX57&lt;&gt;""))&gt;0,'T_SelfStock'!AX57+'T_TTAFStock'!AX57,AW53+'Grid_Incoming'!AX53-'Grid_Requirement'!AX53))</f>
        <v/>
      </c>
      <c r="AY53">
        <f>IF(COUNTIFS(T_StockCount[Part Name],$A53,T_StockCount[WeekIndex],50)&gt;0,SUMIFS(T_StockCount[CountedQty],T_StockCount[Part Name],$A53,T_StockCount[WeekIndex],50),IF((('T_SelfStock'!AY57&lt;&gt;""))*(('T_TTAFStock'!AY57&lt;&gt;""))&gt;0,'T_SelfStock'!AY57+'T_TTAFStock'!AY57,AX53+'Grid_Incoming'!AY53-'Grid_Requirement'!AY53))</f>
        <v/>
      </c>
      <c r="AZ53">
        <f>IF(COUNTIFS(T_StockCount[Part Name],$A53,T_StockCount[WeekIndex],51)&gt;0,SUMIFS(T_StockCount[CountedQty],T_StockCount[Part Name],$A53,T_StockCount[WeekIndex],51),IF((('T_SelfStock'!AZ57&lt;&gt;""))*(('T_TTAFStock'!AZ57&lt;&gt;""))&gt;0,'T_SelfStock'!AZ57+'T_TTAFStock'!AZ57,AY53+'Grid_Incoming'!AZ53-'Grid_Requirement'!AZ53))</f>
        <v/>
      </c>
      <c r="BA53">
        <f>IF(COUNTIFS(T_StockCount[Part Name],$A53,T_StockCount[WeekIndex],52)&gt;0,SUMIFS(T_StockCount[CountedQty],T_StockCount[Part Name],$A53,T_StockCount[WeekIndex],52),IF((('T_SelfStock'!BA57&lt;&gt;""))*(('T_TTAFStock'!BA57&lt;&gt;""))&gt;0,'T_SelfStock'!BA57+'T_TTAFStock'!BA57,AZ53+'Grid_Incoming'!BA53-'Grid_Requirement'!BA53))</f>
        <v/>
      </c>
      <c r="BB53">
        <f>IF(COUNTIFS(T_StockCount[Part Name],$A53,T_StockCount[WeekIndex],53)&gt;0,SUMIFS(T_StockCount[CountedQty],T_StockCount[Part Name],$A53,T_StockCount[WeekIndex],53),IF((('T_SelfStock'!BB57&lt;&gt;""))*(('T_TTAFStock'!BB57&lt;&gt;""))&gt;0,'T_SelfStock'!BB57+'T_TTAFStock'!BB57,BA53+'Grid_Incoming'!BB53-'Grid_Requirement'!BB53))</f>
        <v/>
      </c>
      <c r="BC53">
        <f>IF(COUNTIFS(T_StockCount[Part Name],$A53,T_StockCount[WeekIndex],54)&gt;0,SUMIFS(T_StockCount[CountedQty],T_StockCount[Part Name],$A53,T_StockCount[WeekIndex],54),IF((('T_SelfStock'!BC57&lt;&gt;""))*(('T_TTAFStock'!BC57&lt;&gt;""))&gt;0,'T_SelfStock'!BC57+'T_TTAFStock'!BC57,BB53+'Grid_Incoming'!BC53-'Grid_Requirement'!BC53))</f>
        <v/>
      </c>
      <c r="BD53">
        <f>IF(COUNTIFS(T_StockCount[Part Name],$A53,T_StockCount[WeekIndex],55)&gt;0,SUMIFS(T_StockCount[CountedQty],T_StockCount[Part Name],$A53,T_StockCount[WeekIndex],55),IF((('T_SelfStock'!BD57&lt;&gt;""))*(('T_TTAFStock'!BD57&lt;&gt;""))&gt;0,'T_SelfStock'!BD57+'T_TTAFStock'!BD57,BC53+'Grid_Incoming'!BD53-'Grid_Requirement'!BD53))</f>
        <v/>
      </c>
      <c r="BE53">
        <f>IF(COUNTIFS(T_StockCount[Part Name],$A53,T_StockCount[WeekIndex],56)&gt;0,SUMIFS(T_StockCount[CountedQty],T_StockCount[Part Name],$A53,T_StockCount[WeekIndex],56),IF((('T_SelfStock'!BE57&lt;&gt;""))*(('T_TTAFStock'!BE57&lt;&gt;""))&gt;0,'T_SelfStock'!BE57+'T_TTAFStock'!BE57,BD53+'Grid_Incoming'!BE53-'Grid_Requirement'!BE53))</f>
        <v/>
      </c>
      <c r="BF53">
        <f>IF(COUNTIFS(T_StockCount[Part Name],$A53,T_StockCount[WeekIndex],57)&gt;0,SUMIFS(T_StockCount[CountedQty],T_StockCount[Part Name],$A53,T_StockCount[WeekIndex],57),IF((('T_SelfStock'!BF57&lt;&gt;""))*(('T_TTAFStock'!BF57&lt;&gt;""))&gt;0,'T_SelfStock'!BF57+'T_TTAFStock'!BF57,BE53+'Grid_Incoming'!BF53-'Grid_Requirement'!BF53))</f>
        <v/>
      </c>
      <c r="BG53">
        <f>IF(COUNTIFS(T_StockCount[Part Name],$A53,T_StockCount[WeekIndex],58)&gt;0,SUMIFS(T_StockCount[CountedQty],T_StockCount[Part Name],$A53,T_StockCount[WeekIndex],58),IF((('T_SelfStock'!BG57&lt;&gt;""))*(('T_TTAFStock'!BG57&lt;&gt;""))&gt;0,'T_SelfStock'!BG57+'T_TTAFStock'!BG57,BF53+'Grid_Incoming'!BG53-'Grid_Requirement'!BG53))</f>
        <v/>
      </c>
      <c r="BH53">
        <f>IF(COUNTIFS(T_StockCount[Part Name],$A53,T_StockCount[WeekIndex],59)&gt;0,SUMIFS(T_StockCount[CountedQty],T_StockCount[Part Name],$A53,T_StockCount[WeekIndex],59),IF((('T_SelfStock'!BH57&lt;&gt;""))*(('T_TTAFStock'!BH57&lt;&gt;""))&gt;0,'T_SelfStock'!BH57+'T_TTAFStock'!BH57,BG53+'Grid_Incoming'!BH53-'Grid_Requirement'!BH53))</f>
        <v/>
      </c>
      <c r="BI53">
        <f>IF(COUNTIFS(T_StockCount[Part Name],$A53,T_StockCount[WeekIndex],60)&gt;0,SUMIFS(T_StockCount[CountedQty],T_StockCount[Part Name],$A53,T_StockCount[WeekIndex],60),IF((('T_SelfStock'!BI57&lt;&gt;""))*(('T_TTAFStock'!BI57&lt;&gt;""))&gt;0,'T_SelfStock'!BI57+'T_TTAFStock'!BI57,BH53+'Grid_Incoming'!BI53-'Grid_Requirement'!BI53))</f>
        <v/>
      </c>
      <c r="BJ53">
        <f>IF(COUNTIFS(T_StockCount[Part Name],$A53,T_StockCount[WeekIndex],61)&gt;0,SUMIFS(T_StockCount[CountedQty],T_StockCount[Part Name],$A53,T_StockCount[WeekIndex],61),IF((('T_SelfStock'!BJ57&lt;&gt;""))*(('T_TTAFStock'!BJ57&lt;&gt;""))&gt;0,'T_SelfStock'!BJ57+'T_TTAFStock'!BJ57,BI53+'Grid_Incoming'!BJ53-'Grid_Requirement'!BJ53))</f>
        <v/>
      </c>
      <c r="BK53">
        <f>IF(COUNTIFS(T_StockCount[Part Name],$A53,T_StockCount[WeekIndex],62)&gt;0,SUMIFS(T_StockCount[CountedQty],T_StockCount[Part Name],$A53,T_StockCount[WeekIndex],62),IF((('T_SelfStock'!BK57&lt;&gt;""))*(('T_TTAFStock'!BK57&lt;&gt;""))&gt;0,'T_SelfStock'!BK57+'T_TTAFStock'!BK57,BJ53+'Grid_Incoming'!BK53-'Grid_Requirement'!BK53))</f>
        <v/>
      </c>
      <c r="BL53">
        <f>IF(COUNTIFS(T_StockCount[Part Name],$A53,T_StockCount[WeekIndex],63)&gt;0,SUMIFS(T_StockCount[CountedQty],T_StockCount[Part Name],$A53,T_StockCount[WeekIndex],63),IF((('T_SelfStock'!BL57&lt;&gt;""))*(('T_TTAFStock'!BL57&lt;&gt;""))&gt;0,'T_SelfStock'!BL57+'T_TTAFStock'!BL57,BK53+'Grid_Incoming'!BL53-'Grid_Requirement'!BL53))</f>
        <v/>
      </c>
      <c r="BM53">
        <f>IF(COUNTIFS(T_StockCount[Part Name],$A53,T_StockCount[WeekIndex],64)&gt;0,SUMIFS(T_StockCount[CountedQty],T_StockCount[Part Name],$A53,T_StockCount[WeekIndex],64),IF((('T_SelfStock'!BM57&lt;&gt;""))*(('T_TTAFStock'!BM57&lt;&gt;""))&gt;0,'T_SelfStock'!BM57+'T_TTAFStock'!BM57,BL53+'Grid_Incoming'!BM53-'Grid_Requirement'!BM53))</f>
        <v/>
      </c>
      <c r="BN53">
        <f>IF(COUNTIFS(T_StockCount[Part Name],$A53,T_StockCount[WeekIndex],65)&gt;0,SUMIFS(T_StockCount[CountedQty],T_StockCount[Part Name],$A53,T_StockCount[WeekIndex],65),IF((('T_SelfStock'!BN57&lt;&gt;""))*(('T_TTAFStock'!BN57&lt;&gt;""))&gt;0,'T_SelfStock'!BN57+'T_TTAFStock'!BN57,BM53+'Grid_Incoming'!BN53-'Grid_Requirement'!BN53))</f>
        <v/>
      </c>
      <c r="BO53">
        <f>IF(COUNTIFS(T_StockCount[Part Name],$A53,T_StockCount[WeekIndex],66)&gt;0,SUMIFS(T_StockCount[CountedQty],T_StockCount[Part Name],$A53,T_StockCount[WeekIndex],66),IF((('T_SelfStock'!BO57&lt;&gt;""))*(('T_TTAFStock'!BO57&lt;&gt;""))&gt;0,'T_SelfStock'!BO57+'T_TTAFStock'!BO57,BN53+'Grid_Incoming'!BO53-'Grid_Requirement'!BO53))</f>
        <v/>
      </c>
      <c r="BP53">
        <f>IF(COUNTIFS(T_StockCount[Part Name],$A53,T_StockCount[WeekIndex],67)&gt;0,SUMIFS(T_StockCount[CountedQty],T_StockCount[Part Name],$A53,T_StockCount[WeekIndex],67),IF((('T_SelfStock'!BP57&lt;&gt;""))*(('T_TTAFStock'!BP57&lt;&gt;""))&gt;0,'T_SelfStock'!BP57+'T_TTAFStock'!BP57,BO53+'Grid_Incoming'!BP53-'Grid_Requirement'!BP53))</f>
        <v/>
      </c>
      <c r="BQ53">
        <f>IF(COUNTIFS(T_StockCount[Part Name],$A53,T_StockCount[WeekIndex],68)&gt;0,SUMIFS(T_StockCount[CountedQty],T_StockCount[Part Name],$A53,T_StockCount[WeekIndex],68),IF((('T_SelfStock'!BQ57&lt;&gt;""))*(('T_TTAFStock'!BQ57&lt;&gt;""))&gt;0,'T_SelfStock'!BQ57+'T_TTAFStock'!BQ57,BP53+'Grid_Incoming'!BQ53-'Grid_Requirement'!BQ53))</f>
        <v/>
      </c>
      <c r="BR53">
        <f>IF(COUNTIFS(T_StockCount[Part Name],$A53,T_StockCount[WeekIndex],69)&gt;0,SUMIFS(T_StockCount[CountedQty],T_StockCount[Part Name],$A53,T_StockCount[WeekIndex],69),IF((('T_SelfStock'!BR57&lt;&gt;""))*(('T_TTAFStock'!BR57&lt;&gt;""))&gt;0,'T_SelfStock'!BR57+'T_TTAFStock'!BR57,BQ53+'Grid_Incoming'!BR53-'Grid_Requirement'!BR53))</f>
        <v/>
      </c>
      <c r="BS53">
        <f>IF(COUNTIFS(T_StockCount[Part Name],$A53,T_StockCount[WeekIndex],70)&gt;0,SUMIFS(T_StockCount[CountedQty],T_StockCount[Part Name],$A53,T_StockCount[WeekIndex],70),IF((('T_SelfStock'!BS57&lt;&gt;""))*(('T_TTAFStock'!BS57&lt;&gt;""))&gt;0,'T_SelfStock'!BS57+'T_TTAFStock'!BS57,BR53+'Grid_Incoming'!BS53-'Grid_Requirement'!BS53))</f>
        <v/>
      </c>
      <c r="BT53">
        <f>IF(COUNTIFS(T_StockCount[Part Name],$A53,T_StockCount[WeekIndex],71)&gt;0,SUMIFS(T_StockCount[CountedQty],T_StockCount[Part Name],$A53,T_StockCount[WeekIndex],71),IF((('T_SelfStock'!BT57&lt;&gt;""))*(('T_TTAFStock'!BT57&lt;&gt;""))&gt;0,'T_SelfStock'!BT57+'T_TTAFStock'!BT57,BS53+'Grid_Incoming'!BT53-'Grid_Requirement'!BT53))</f>
        <v/>
      </c>
      <c r="BU53">
        <f>IF(COUNTIFS(T_StockCount[Part Name],$A53,T_StockCount[WeekIndex],72)&gt;0,SUMIFS(T_StockCount[CountedQty],T_StockCount[Part Name],$A53,T_StockCount[WeekIndex],72),IF((('T_SelfStock'!BU57&lt;&gt;""))*(('T_TTAFStock'!BU57&lt;&gt;""))&gt;0,'T_SelfStock'!BU57+'T_TTAFStock'!BU57,BT53+'Grid_Incoming'!BU53-'Grid_Requirement'!BU53))</f>
        <v/>
      </c>
      <c r="BV53">
        <f>IF(COUNTIFS(T_StockCount[Part Name],$A53,T_StockCount[WeekIndex],73)&gt;0,SUMIFS(T_StockCount[CountedQty],T_StockCount[Part Name],$A53,T_StockCount[WeekIndex],73),IF((('T_SelfStock'!BV57&lt;&gt;""))*(('T_TTAFStock'!BV57&lt;&gt;""))&gt;0,'T_SelfStock'!BV57+'T_TTAFStock'!BV57,BU53+'Grid_Incoming'!BV53-'Grid_Requirement'!BV53))</f>
        <v/>
      </c>
      <c r="BW53">
        <f>IF(COUNTIFS(T_StockCount[Part Name],$A53,T_StockCount[WeekIndex],74)&gt;0,SUMIFS(T_StockCount[CountedQty],T_StockCount[Part Name],$A53,T_StockCount[WeekIndex],74),IF((('T_SelfStock'!BW57&lt;&gt;""))*(('T_TTAFStock'!BW57&lt;&gt;""))&gt;0,'T_SelfStock'!BW57+'T_TTAFStock'!BW57,BV53+'Grid_Incoming'!BW53-'Grid_Requirement'!BW53))</f>
        <v/>
      </c>
      <c r="BX53">
        <f>IF(COUNTIFS(T_StockCount[Part Name],$A53,T_StockCount[WeekIndex],75)&gt;0,SUMIFS(T_StockCount[CountedQty],T_StockCount[Part Name],$A53,T_StockCount[WeekIndex],75),IF((('T_SelfStock'!BX57&lt;&gt;""))*(('T_TTAFStock'!BX57&lt;&gt;""))&gt;0,'T_SelfStock'!BX57+'T_TTAFStock'!BX57,BW53+'Grid_Incoming'!BX53-'Grid_Requirement'!BX53))</f>
        <v/>
      </c>
      <c r="BY53">
        <f>IF(COUNTIFS(T_StockCount[Part Name],$A53,T_StockCount[WeekIndex],76)&gt;0,SUMIFS(T_StockCount[CountedQty],T_StockCount[Part Name],$A53,T_StockCount[WeekIndex],76),IF((('T_SelfStock'!BY57&lt;&gt;""))*(('T_TTAFStock'!BY57&lt;&gt;""))&gt;0,'T_SelfStock'!BY57+'T_TTAFStock'!BY57,BX53+'Grid_Incoming'!BY53-'Grid_Requirement'!BY53))</f>
        <v/>
      </c>
      <c r="BZ53">
        <f>IF(COUNTIFS(T_StockCount[Part Name],$A53,T_StockCount[WeekIndex],77)&gt;0,SUMIFS(T_StockCount[CountedQty],T_StockCount[Part Name],$A53,T_StockCount[WeekIndex],77),IF((('T_SelfStock'!BZ57&lt;&gt;""))*(('T_TTAFStock'!BZ57&lt;&gt;""))&gt;0,'T_SelfStock'!BZ57+'T_TTAFStock'!BZ57,BY53+'Grid_Incoming'!BZ53-'Grid_Requirement'!BZ53))</f>
        <v/>
      </c>
      <c r="CA53">
        <f>IF(COUNTIFS(T_StockCount[Part Name],$A53,T_StockCount[WeekIndex],78)&gt;0,SUMIFS(T_StockCount[CountedQty],T_StockCount[Part Name],$A53,T_StockCount[WeekIndex],78),IF((('T_SelfStock'!CA57&lt;&gt;""))*(('T_TTAFStock'!CA57&lt;&gt;""))&gt;0,'T_SelfStock'!CA57+'T_TTAFStock'!CA57,BZ53+'Grid_Incoming'!CA53-'Grid_Requirement'!CA53))</f>
        <v/>
      </c>
      <c r="CB53">
        <f>IF(COUNTIFS(T_StockCount[Part Name],$A53,T_StockCount[WeekIndex],79)&gt;0,SUMIFS(T_StockCount[CountedQty],T_StockCount[Part Name],$A53,T_StockCount[WeekIndex],79),IF((('T_SelfStock'!CB57&lt;&gt;""))*(('T_TTAFStock'!CB57&lt;&gt;""))&gt;0,'T_SelfStock'!CB57+'T_TTAFStock'!CB57,CA53+'Grid_Incoming'!CB53-'Grid_Requirement'!CB53))</f>
        <v/>
      </c>
      <c r="CC53">
        <f>IF(COUNTIFS(T_StockCount[Part Name],$A53,T_StockCount[WeekIndex],80)&gt;0,SUMIFS(T_StockCount[CountedQty],T_StockCount[Part Name],$A53,T_StockCount[WeekIndex],80),IF((('T_SelfStock'!CC57&lt;&gt;""))*(('T_TTAFStock'!CC57&lt;&gt;""))&gt;0,'T_SelfStock'!CC57+'T_TTAFStock'!CC57,CB53+'Grid_Incoming'!CC53-'Grid_Requirement'!CC53))</f>
        <v/>
      </c>
      <c r="CD53">
        <f>IF(COUNTIFS(T_StockCount[Part Name],$A53,T_StockCount[WeekIndex],81)&gt;0,SUMIFS(T_StockCount[CountedQty],T_StockCount[Part Name],$A53,T_StockCount[WeekIndex],81),IF((('T_SelfStock'!CD57&lt;&gt;""))*(('T_TTAFStock'!CD57&lt;&gt;""))&gt;0,'T_SelfStock'!CD57+'T_TTAFStock'!CD57,CC53+'Grid_Incoming'!CD53-'Grid_Requirement'!CD53))</f>
        <v/>
      </c>
      <c r="CE53">
        <f>IF(COUNTIFS(T_StockCount[Part Name],$A53,T_StockCount[WeekIndex],82)&gt;0,SUMIFS(T_StockCount[CountedQty],T_StockCount[Part Name],$A53,T_StockCount[WeekIndex],82),IF((('T_SelfStock'!CE57&lt;&gt;""))*(('T_TTAFStock'!CE57&lt;&gt;""))&gt;0,'T_SelfStock'!CE57+'T_TTAFStock'!CE57,CD53+'Grid_Incoming'!CE53-'Grid_Requirement'!CE53))</f>
        <v/>
      </c>
      <c r="CF53">
        <f>IF(COUNTIFS(T_StockCount[Part Name],$A53,T_StockCount[WeekIndex],83)&gt;0,SUMIFS(T_StockCount[CountedQty],T_StockCount[Part Name],$A53,T_StockCount[WeekIndex],83),IF((('T_SelfStock'!CF57&lt;&gt;""))*(('T_TTAFStock'!CF57&lt;&gt;""))&gt;0,'T_SelfStock'!CF57+'T_TTAFStock'!CF57,CE53+'Grid_Incoming'!CF53-'Grid_Requirement'!CF53))</f>
        <v/>
      </c>
      <c r="CG53">
        <f>IF(COUNTIFS(T_StockCount[Part Name],$A53,T_StockCount[WeekIndex],84)&gt;0,SUMIFS(T_StockCount[CountedQty],T_StockCount[Part Name],$A53,T_StockCount[WeekIndex],84),IF((('T_SelfStock'!CG57&lt;&gt;""))*(('T_TTAFStock'!CG57&lt;&gt;""))&gt;0,'T_SelfStock'!CG57+'T_TTAFStock'!CG57,CF53+'Grid_Incoming'!CG53-'Grid_Requirement'!CG53))</f>
        <v/>
      </c>
      <c r="CH53">
        <f>IF(COUNTIFS(T_StockCount[Part Name],$A53,T_StockCount[WeekIndex],85)&gt;0,SUMIFS(T_StockCount[CountedQty],T_StockCount[Part Name],$A53,T_StockCount[WeekIndex],85),IF((('T_SelfStock'!CH57&lt;&gt;""))*(('T_TTAFStock'!CH57&lt;&gt;""))&gt;0,'T_SelfStock'!CH57+'T_TTAFStock'!CH57,CG53+'Grid_Incoming'!CH53-'Grid_Requirement'!CH53))</f>
        <v/>
      </c>
      <c r="CI53">
        <f>IF(COUNTIFS(T_StockCount[Part Name],$A53,T_StockCount[WeekIndex],86)&gt;0,SUMIFS(T_StockCount[CountedQty],T_StockCount[Part Name],$A53,T_StockCount[WeekIndex],86),IF((('T_SelfStock'!CI57&lt;&gt;""))*(('T_TTAFStock'!CI57&lt;&gt;""))&gt;0,'T_SelfStock'!CI57+'T_TTAFStock'!CI57,CH53+'Grid_Incoming'!CI53-'Grid_Requirement'!CI53))</f>
        <v/>
      </c>
      <c r="CJ53">
        <f>IF(COUNTIFS(T_StockCount[Part Name],$A53,T_StockCount[WeekIndex],87)&gt;0,SUMIFS(T_StockCount[CountedQty],T_StockCount[Part Name],$A53,T_StockCount[WeekIndex],87),IF((('T_SelfStock'!CJ57&lt;&gt;""))*(('T_TTAFStock'!CJ57&lt;&gt;""))&gt;0,'T_SelfStock'!CJ57+'T_TTAFStock'!CJ57,CI53+'Grid_Incoming'!CJ53-'Grid_Requirement'!CJ53))</f>
        <v/>
      </c>
      <c r="CK53">
        <f>IF(COUNTIFS(T_StockCount[Part Name],$A53,T_StockCount[WeekIndex],88)&gt;0,SUMIFS(T_StockCount[CountedQty],T_StockCount[Part Name],$A53,T_StockCount[WeekIndex],88),IF((('T_SelfStock'!CK57&lt;&gt;""))*(('T_TTAFStock'!CK57&lt;&gt;""))&gt;0,'T_SelfStock'!CK57+'T_TTAFStock'!CK57,CJ53+'Grid_Incoming'!CK53-'Grid_Requirement'!CK53))</f>
        <v/>
      </c>
      <c r="CL53">
        <f>IF(COUNTIFS(T_StockCount[Part Name],$A53,T_StockCount[WeekIndex],89)&gt;0,SUMIFS(T_StockCount[CountedQty],T_StockCount[Part Name],$A53,T_StockCount[WeekIndex],89),IF((('T_SelfStock'!CL57&lt;&gt;""))*(('T_TTAFStock'!CL57&lt;&gt;""))&gt;0,'T_SelfStock'!CL57+'T_TTAFStock'!CL57,CK53+'Grid_Incoming'!CL53-'Grid_Requirement'!CL53))</f>
        <v/>
      </c>
      <c r="CM53">
        <f>IF(COUNTIFS(T_StockCount[Part Name],$A53,T_StockCount[WeekIndex],90)&gt;0,SUMIFS(T_StockCount[CountedQty],T_StockCount[Part Name],$A53,T_StockCount[WeekIndex],90),IF((('T_SelfStock'!CM57&lt;&gt;""))*(('T_TTAFStock'!CM57&lt;&gt;""))&gt;0,'T_SelfStock'!CM57+'T_TTAFStock'!CM57,CL53+'Grid_Incoming'!CM53-'Grid_Requirement'!CM53))</f>
        <v/>
      </c>
      <c r="CN53">
        <f>IF(COUNTIFS(T_StockCount[Part Name],$A53,T_StockCount[WeekIndex],91)&gt;0,SUMIFS(T_StockCount[CountedQty],T_StockCount[Part Name],$A53,T_StockCount[WeekIndex],91),IF((('T_SelfStock'!CN57&lt;&gt;""))*(('T_TTAFStock'!CN57&lt;&gt;""))&gt;0,'T_SelfStock'!CN57+'T_TTAFStock'!CN57,CM53+'Grid_Incoming'!CN53-'Grid_Requirement'!CN53))</f>
        <v/>
      </c>
      <c r="CO53">
        <f>IF(COUNTIFS(T_StockCount[Part Name],$A53,T_StockCount[WeekIndex],92)&gt;0,SUMIFS(T_StockCount[CountedQty],T_StockCount[Part Name],$A53,T_StockCount[WeekIndex],92),IF((('T_SelfStock'!CO57&lt;&gt;""))*(('T_TTAFStock'!CO57&lt;&gt;""))&gt;0,'T_SelfStock'!CO57+'T_TTAFStock'!CO57,CN53+'Grid_Incoming'!CO53-'Grid_Requirement'!CO53))</f>
        <v/>
      </c>
      <c r="CP53">
        <f>IF(COUNTIFS(T_StockCount[Part Name],$A53,T_StockCount[WeekIndex],93)&gt;0,SUMIFS(T_StockCount[CountedQty],T_StockCount[Part Name],$A53,T_StockCount[WeekIndex],93),IF((('T_SelfStock'!CP57&lt;&gt;""))*(('T_TTAFStock'!CP57&lt;&gt;""))&gt;0,'T_SelfStock'!CP57+'T_TTAFStock'!CP57,CO53+'Grid_Incoming'!CP53-'Grid_Requirement'!CP53))</f>
        <v/>
      </c>
      <c r="CQ53">
        <f>IF(COUNTIFS(T_StockCount[Part Name],$A53,T_StockCount[WeekIndex],94)&gt;0,SUMIFS(T_StockCount[CountedQty],T_StockCount[Part Name],$A53,T_StockCount[WeekIndex],94),IF((('T_SelfStock'!CQ57&lt;&gt;""))*(('T_TTAFStock'!CQ57&lt;&gt;""))&gt;0,'T_SelfStock'!CQ57+'T_TTAFStock'!CQ57,CP53+'Grid_Incoming'!CQ53-'Grid_Requirement'!CQ53))</f>
        <v/>
      </c>
      <c r="CR53">
        <f>IF(COUNTIFS(T_StockCount[Part Name],$A53,T_StockCount[WeekIndex],95)&gt;0,SUMIFS(T_StockCount[CountedQty],T_StockCount[Part Name],$A53,T_StockCount[WeekIndex],95),IF((('T_SelfStock'!CR57&lt;&gt;""))*(('T_TTAFStock'!CR57&lt;&gt;""))&gt;0,'T_SelfStock'!CR57+'T_TTAFStock'!CR57,CQ53+'Grid_Incoming'!CR53-'Grid_Requirement'!CR53))</f>
        <v/>
      </c>
      <c r="CS53">
        <f>IF(COUNTIFS(T_StockCount[Part Name],$A53,T_StockCount[WeekIndex],96)&gt;0,SUMIFS(T_StockCount[CountedQty],T_StockCount[Part Name],$A53,T_StockCount[WeekIndex],96),IF((('T_SelfStock'!CS57&lt;&gt;""))*(('T_TTAFStock'!CS57&lt;&gt;""))&gt;0,'T_SelfStock'!CS57+'T_TTAFStock'!CS57,CR53+'Grid_Incoming'!CS53-'Grid_Requirement'!CS53))</f>
        <v/>
      </c>
      <c r="CT53">
        <f>IF(COUNTIFS(T_StockCount[Part Name],$A53,T_StockCount[WeekIndex],97)&gt;0,SUMIFS(T_StockCount[CountedQty],T_StockCount[Part Name],$A53,T_StockCount[WeekIndex],97),IF((('T_SelfStock'!CT57&lt;&gt;""))*(('T_TTAFStock'!CT57&lt;&gt;""))&gt;0,'T_SelfStock'!CT57+'T_TTAFStock'!CT57,CS53+'Grid_Incoming'!CT53-'Grid_Requirement'!CT53))</f>
        <v/>
      </c>
      <c r="CU53">
        <f>IF(COUNTIFS(T_StockCount[Part Name],$A53,T_StockCount[WeekIndex],98)&gt;0,SUMIFS(T_StockCount[CountedQty],T_StockCount[Part Name],$A53,T_StockCount[WeekIndex],98),IF((('T_SelfStock'!CU57&lt;&gt;""))*(('T_TTAFStock'!CU57&lt;&gt;""))&gt;0,'T_SelfStock'!CU57+'T_TTAFStock'!CU57,CT53+'Grid_Incoming'!CU53-'Grid_Requirement'!CU53))</f>
        <v/>
      </c>
      <c r="CV53">
        <f>IF(COUNTIFS(T_StockCount[Part Name],$A53,T_StockCount[WeekIndex],99)&gt;0,SUMIFS(T_StockCount[CountedQty],T_StockCount[Part Name],$A53,T_StockCount[WeekIndex],99),IF((('T_SelfStock'!CV57&lt;&gt;""))*(('T_TTAFStock'!CV57&lt;&gt;""))&gt;0,'T_SelfStock'!CV57+'T_TTAFStock'!CV57,CU53+'Grid_Incoming'!CV53-'Grid_Requirement'!CV53))</f>
        <v/>
      </c>
      <c r="CW53">
        <f>IF(COUNTIFS(T_StockCount[Part Name],$A53,T_StockCount[WeekIndex],100)&gt;0,SUMIFS(T_StockCount[CountedQty],T_StockCount[Part Name],$A53,T_StockCount[WeekIndex],100),IF((('T_SelfStock'!CW57&lt;&gt;""))*(('T_TTAFStock'!CW57&lt;&gt;""))&gt;0,'T_SelfStock'!CW57+'T_TTAFStock'!CW57,CV53+'Grid_Incoming'!CW53-'Grid_Requirement'!CW53))</f>
        <v/>
      </c>
      <c r="CX53">
        <f>IF(COUNTIFS(T_StockCount[Part Name],$A53,T_StockCount[WeekIndex],101)&gt;0,SUMIFS(T_StockCount[CountedQty],T_StockCount[Part Name],$A53,T_StockCount[WeekIndex],101),IF((('T_SelfStock'!CX57&lt;&gt;""))*(('T_TTAFStock'!CX57&lt;&gt;""))&gt;0,'T_SelfStock'!CX57+'T_TTAFStock'!CX57,CW53+'Grid_Incoming'!CX53-'Grid_Requirement'!CX53))</f>
        <v/>
      </c>
      <c r="CY53">
        <f>IF(COUNTIFS(T_StockCount[Part Name],$A53,T_StockCount[WeekIndex],102)&gt;0,SUMIFS(T_StockCount[CountedQty],T_StockCount[Part Name],$A53,T_StockCount[WeekIndex],102),IF((('T_SelfStock'!CY57&lt;&gt;""))*(('T_TTAFStock'!CY57&lt;&gt;""))&gt;0,'T_SelfStock'!CY57+'T_TTAFStock'!CY57,CX53+'Grid_Incoming'!CY53-'Grid_Requirement'!CY53))</f>
        <v/>
      </c>
      <c r="CZ53">
        <f>IF(COUNTIFS(T_StockCount[Part Name],$A53,T_StockCount[WeekIndex],103)&gt;0,SUMIFS(T_StockCount[CountedQty],T_StockCount[Part Name],$A53,T_StockCount[WeekIndex],103),IF((('T_SelfStock'!CZ57&lt;&gt;""))*(('T_TTAFStock'!CZ57&lt;&gt;""))&gt;0,'T_SelfStock'!CZ57+'T_TTAFStock'!CZ57,CY53+'Grid_Incoming'!CZ53-'Grid_Requirement'!CZ53))</f>
        <v/>
      </c>
      <c r="DA53">
        <f>IF(COUNTIFS(T_StockCount[Part Name],$A53,T_StockCount[WeekIndex],104)&gt;0,SUMIFS(T_StockCount[CountedQty],T_StockCount[Part Name],$A53,T_StockCount[WeekIndex],104),IF((('T_SelfStock'!DA57&lt;&gt;""))*(('T_TTAFStock'!DA57&lt;&gt;""))&gt;0,'T_SelfStock'!DA57+'T_TTAFStock'!DA57,CZ53+'Grid_Incoming'!DA53-'Grid_Requirement'!DA53))</f>
        <v/>
      </c>
    </row>
    <row r="54">
      <c r="A54" t="inlineStr">
        <is>
          <t>18456-50061</t>
        </is>
      </c>
      <c r="B54">
        <f>IF(COUNTIFS(T_StockCount[Part Name],$A54,T_StockCount[WeekIndex],1)&gt;0,SUMIFS(T_StockCount[CountedQty],T_StockCount[Part Name],$A54,T_StockCount[WeekIndex],1),IF((('T_SelfStock'!B58&lt;&gt;""))*(('T_TTAFStock'!B58&lt;&gt;""))&gt;0,'T_SelfStock'!B58+'T_TTAFStock'!B58,IFERROR(INDEX(T_OpeningStock[Opening_Qty_要入力],MATCH($A54,T_OpeningStock[Part Name],0)),0)+'Grid_Incoming'!B54-'Grid_Requirement'!B54))</f>
        <v/>
      </c>
      <c r="C54">
        <f>IF(COUNTIFS(T_StockCount[Part Name],$A54,T_StockCount[WeekIndex],2)&gt;0,SUMIFS(T_StockCount[CountedQty],T_StockCount[Part Name],$A54,T_StockCount[WeekIndex],2),IF((('T_SelfStock'!C58&lt;&gt;""))*(('T_TTAFStock'!C58&lt;&gt;""))&gt;0,'T_SelfStock'!C58+'T_TTAFStock'!C58,B54+'Grid_Incoming'!C54-'Grid_Requirement'!C54))</f>
        <v/>
      </c>
      <c r="D54">
        <f>IF(COUNTIFS(T_StockCount[Part Name],$A54,T_StockCount[WeekIndex],3)&gt;0,SUMIFS(T_StockCount[CountedQty],T_StockCount[Part Name],$A54,T_StockCount[WeekIndex],3),IF((('T_SelfStock'!D58&lt;&gt;""))*(('T_TTAFStock'!D58&lt;&gt;""))&gt;0,'T_SelfStock'!D58+'T_TTAFStock'!D58,C54+'Grid_Incoming'!D54-'Grid_Requirement'!D54))</f>
        <v/>
      </c>
      <c r="E54">
        <f>IF(COUNTIFS(T_StockCount[Part Name],$A54,T_StockCount[WeekIndex],4)&gt;0,SUMIFS(T_StockCount[CountedQty],T_StockCount[Part Name],$A54,T_StockCount[WeekIndex],4),IF((('T_SelfStock'!E58&lt;&gt;""))*(('T_TTAFStock'!E58&lt;&gt;""))&gt;0,'T_SelfStock'!E58+'T_TTAFStock'!E58,D54+'Grid_Incoming'!E54-'Grid_Requirement'!E54))</f>
        <v/>
      </c>
      <c r="F54">
        <f>IF(COUNTIFS(T_StockCount[Part Name],$A54,T_StockCount[WeekIndex],5)&gt;0,SUMIFS(T_StockCount[CountedQty],T_StockCount[Part Name],$A54,T_StockCount[WeekIndex],5),IF((('T_SelfStock'!F58&lt;&gt;""))*(('T_TTAFStock'!F58&lt;&gt;""))&gt;0,'T_SelfStock'!F58+'T_TTAFStock'!F58,E54+'Grid_Incoming'!F54-'Grid_Requirement'!F54))</f>
        <v/>
      </c>
      <c r="G54">
        <f>IF(COUNTIFS(T_StockCount[Part Name],$A54,T_StockCount[WeekIndex],6)&gt;0,SUMIFS(T_StockCount[CountedQty],T_StockCount[Part Name],$A54,T_StockCount[WeekIndex],6),IF((('T_SelfStock'!G58&lt;&gt;""))*(('T_TTAFStock'!G58&lt;&gt;""))&gt;0,'T_SelfStock'!G58+'T_TTAFStock'!G58,F54+'Grid_Incoming'!G54-'Grid_Requirement'!G54))</f>
        <v/>
      </c>
      <c r="H54">
        <f>IF(COUNTIFS(T_StockCount[Part Name],$A54,T_StockCount[WeekIndex],7)&gt;0,SUMIFS(T_StockCount[CountedQty],T_StockCount[Part Name],$A54,T_StockCount[WeekIndex],7),IF((('T_SelfStock'!H58&lt;&gt;""))*(('T_TTAFStock'!H58&lt;&gt;""))&gt;0,'T_SelfStock'!H58+'T_TTAFStock'!H58,G54+'Grid_Incoming'!H54-'Grid_Requirement'!H54))</f>
        <v/>
      </c>
      <c r="I54">
        <f>IF(COUNTIFS(T_StockCount[Part Name],$A54,T_StockCount[WeekIndex],8)&gt;0,SUMIFS(T_StockCount[CountedQty],T_StockCount[Part Name],$A54,T_StockCount[WeekIndex],8),IF((('T_SelfStock'!I58&lt;&gt;""))*(('T_TTAFStock'!I58&lt;&gt;""))&gt;0,'T_SelfStock'!I58+'T_TTAFStock'!I58,H54+'Grid_Incoming'!I54-'Grid_Requirement'!I54))</f>
        <v/>
      </c>
      <c r="J54">
        <f>IF(COUNTIFS(T_StockCount[Part Name],$A54,T_StockCount[WeekIndex],9)&gt;0,SUMIFS(T_StockCount[CountedQty],T_StockCount[Part Name],$A54,T_StockCount[WeekIndex],9),IF((('T_SelfStock'!J58&lt;&gt;""))*(('T_TTAFStock'!J58&lt;&gt;""))&gt;0,'T_SelfStock'!J58+'T_TTAFStock'!J58,I54+'Grid_Incoming'!J54-'Grid_Requirement'!J54))</f>
        <v/>
      </c>
      <c r="K54">
        <f>IF(COUNTIFS(T_StockCount[Part Name],$A54,T_StockCount[WeekIndex],10)&gt;0,SUMIFS(T_StockCount[CountedQty],T_StockCount[Part Name],$A54,T_StockCount[WeekIndex],10),IF((('T_SelfStock'!K58&lt;&gt;""))*(('T_TTAFStock'!K58&lt;&gt;""))&gt;0,'T_SelfStock'!K58+'T_TTAFStock'!K58,J54+'Grid_Incoming'!K54-'Grid_Requirement'!K54))</f>
        <v/>
      </c>
      <c r="L54">
        <f>IF(COUNTIFS(T_StockCount[Part Name],$A54,T_StockCount[WeekIndex],11)&gt;0,SUMIFS(T_StockCount[CountedQty],T_StockCount[Part Name],$A54,T_StockCount[WeekIndex],11),IF((('T_SelfStock'!L58&lt;&gt;""))*(('T_TTAFStock'!L58&lt;&gt;""))&gt;0,'T_SelfStock'!L58+'T_TTAFStock'!L58,K54+'Grid_Incoming'!L54-'Grid_Requirement'!L54))</f>
        <v/>
      </c>
      <c r="M54">
        <f>IF(COUNTIFS(T_StockCount[Part Name],$A54,T_StockCount[WeekIndex],12)&gt;0,SUMIFS(T_StockCount[CountedQty],T_StockCount[Part Name],$A54,T_StockCount[WeekIndex],12),IF((('T_SelfStock'!M58&lt;&gt;""))*(('T_TTAFStock'!M58&lt;&gt;""))&gt;0,'T_SelfStock'!M58+'T_TTAFStock'!M58,L54+'Grid_Incoming'!M54-'Grid_Requirement'!M54))</f>
        <v/>
      </c>
      <c r="N54">
        <f>IF(COUNTIFS(T_StockCount[Part Name],$A54,T_StockCount[WeekIndex],13)&gt;0,SUMIFS(T_StockCount[CountedQty],T_StockCount[Part Name],$A54,T_StockCount[WeekIndex],13),IF((('T_SelfStock'!N58&lt;&gt;""))*(('T_TTAFStock'!N58&lt;&gt;""))&gt;0,'T_SelfStock'!N58+'T_TTAFStock'!N58,M54+'Grid_Incoming'!N54-'Grid_Requirement'!N54))</f>
        <v/>
      </c>
      <c r="O54">
        <f>IF(COUNTIFS(T_StockCount[Part Name],$A54,T_StockCount[WeekIndex],14)&gt;0,SUMIFS(T_StockCount[CountedQty],T_StockCount[Part Name],$A54,T_StockCount[WeekIndex],14),IF((('T_SelfStock'!O58&lt;&gt;""))*(('T_TTAFStock'!O58&lt;&gt;""))&gt;0,'T_SelfStock'!O58+'T_TTAFStock'!O58,N54+'Grid_Incoming'!O54-'Grid_Requirement'!O54))</f>
        <v/>
      </c>
      <c r="P54">
        <f>IF(COUNTIFS(T_StockCount[Part Name],$A54,T_StockCount[WeekIndex],15)&gt;0,SUMIFS(T_StockCount[CountedQty],T_StockCount[Part Name],$A54,T_StockCount[WeekIndex],15),IF((('T_SelfStock'!P58&lt;&gt;""))*(('T_TTAFStock'!P58&lt;&gt;""))&gt;0,'T_SelfStock'!P58+'T_TTAFStock'!P58,O54+'Grid_Incoming'!P54-'Grid_Requirement'!P54))</f>
        <v/>
      </c>
      <c r="Q54">
        <f>IF(COUNTIFS(T_StockCount[Part Name],$A54,T_StockCount[WeekIndex],16)&gt;0,SUMIFS(T_StockCount[CountedQty],T_StockCount[Part Name],$A54,T_StockCount[WeekIndex],16),IF((('T_SelfStock'!Q58&lt;&gt;""))*(('T_TTAFStock'!Q58&lt;&gt;""))&gt;0,'T_SelfStock'!Q58+'T_TTAFStock'!Q58,P54+'Grid_Incoming'!Q54-'Grid_Requirement'!Q54))</f>
        <v/>
      </c>
      <c r="R54">
        <f>IF(COUNTIFS(T_StockCount[Part Name],$A54,T_StockCount[WeekIndex],17)&gt;0,SUMIFS(T_StockCount[CountedQty],T_StockCount[Part Name],$A54,T_StockCount[WeekIndex],17),IF((('T_SelfStock'!R58&lt;&gt;""))*(('T_TTAFStock'!R58&lt;&gt;""))&gt;0,'T_SelfStock'!R58+'T_TTAFStock'!R58,Q54+'Grid_Incoming'!R54-'Grid_Requirement'!R54))</f>
        <v/>
      </c>
      <c r="S54">
        <f>IF(COUNTIFS(T_StockCount[Part Name],$A54,T_StockCount[WeekIndex],18)&gt;0,SUMIFS(T_StockCount[CountedQty],T_StockCount[Part Name],$A54,T_StockCount[WeekIndex],18),IF((('T_SelfStock'!S58&lt;&gt;""))*(('T_TTAFStock'!S58&lt;&gt;""))&gt;0,'T_SelfStock'!S58+'T_TTAFStock'!S58,R54+'Grid_Incoming'!S54-'Grid_Requirement'!S54))</f>
        <v/>
      </c>
      <c r="T54">
        <f>IF(COUNTIFS(T_StockCount[Part Name],$A54,T_StockCount[WeekIndex],19)&gt;0,SUMIFS(T_StockCount[CountedQty],T_StockCount[Part Name],$A54,T_StockCount[WeekIndex],19),IF((('T_SelfStock'!T58&lt;&gt;""))*(('T_TTAFStock'!T58&lt;&gt;""))&gt;0,'T_SelfStock'!T58+'T_TTAFStock'!T58,S54+'Grid_Incoming'!T54-'Grid_Requirement'!T54))</f>
        <v/>
      </c>
      <c r="U54">
        <f>IF(COUNTIFS(T_StockCount[Part Name],$A54,T_StockCount[WeekIndex],20)&gt;0,SUMIFS(T_StockCount[CountedQty],T_StockCount[Part Name],$A54,T_StockCount[WeekIndex],20),IF((('T_SelfStock'!U58&lt;&gt;""))*(('T_TTAFStock'!U58&lt;&gt;""))&gt;0,'T_SelfStock'!U58+'T_TTAFStock'!U58,T54+'Grid_Incoming'!U54-'Grid_Requirement'!U54))</f>
        <v/>
      </c>
      <c r="V54">
        <f>IF(COUNTIFS(T_StockCount[Part Name],$A54,T_StockCount[WeekIndex],21)&gt;0,SUMIFS(T_StockCount[CountedQty],T_StockCount[Part Name],$A54,T_StockCount[WeekIndex],21),IF((('T_SelfStock'!V58&lt;&gt;""))*(('T_TTAFStock'!V58&lt;&gt;""))&gt;0,'T_SelfStock'!V58+'T_TTAFStock'!V58,U54+'Grid_Incoming'!V54-'Grid_Requirement'!V54))</f>
        <v/>
      </c>
      <c r="W54">
        <f>IF(COUNTIFS(T_StockCount[Part Name],$A54,T_StockCount[WeekIndex],22)&gt;0,SUMIFS(T_StockCount[CountedQty],T_StockCount[Part Name],$A54,T_StockCount[WeekIndex],22),IF((('T_SelfStock'!W58&lt;&gt;""))*(('T_TTAFStock'!W58&lt;&gt;""))&gt;0,'T_SelfStock'!W58+'T_TTAFStock'!W58,V54+'Grid_Incoming'!W54-'Grid_Requirement'!W54))</f>
        <v/>
      </c>
      <c r="X54">
        <f>IF(COUNTIFS(T_StockCount[Part Name],$A54,T_StockCount[WeekIndex],23)&gt;0,SUMIFS(T_StockCount[CountedQty],T_StockCount[Part Name],$A54,T_StockCount[WeekIndex],23),IF((('T_SelfStock'!X58&lt;&gt;""))*(('T_TTAFStock'!X58&lt;&gt;""))&gt;0,'T_SelfStock'!X58+'T_TTAFStock'!X58,W54+'Grid_Incoming'!X54-'Grid_Requirement'!X54))</f>
        <v/>
      </c>
      <c r="Y54">
        <f>IF(COUNTIFS(T_StockCount[Part Name],$A54,T_StockCount[WeekIndex],24)&gt;0,SUMIFS(T_StockCount[CountedQty],T_StockCount[Part Name],$A54,T_StockCount[WeekIndex],24),IF((('T_SelfStock'!Y58&lt;&gt;""))*(('T_TTAFStock'!Y58&lt;&gt;""))&gt;0,'T_SelfStock'!Y58+'T_TTAFStock'!Y58,X54+'Grid_Incoming'!Y54-'Grid_Requirement'!Y54))</f>
        <v/>
      </c>
      <c r="Z54">
        <f>IF(COUNTIFS(T_StockCount[Part Name],$A54,T_StockCount[WeekIndex],25)&gt;0,SUMIFS(T_StockCount[CountedQty],T_StockCount[Part Name],$A54,T_StockCount[WeekIndex],25),IF((('T_SelfStock'!Z58&lt;&gt;""))*(('T_TTAFStock'!Z58&lt;&gt;""))&gt;0,'T_SelfStock'!Z58+'T_TTAFStock'!Z58,Y54+'Grid_Incoming'!Z54-'Grid_Requirement'!Z54))</f>
        <v/>
      </c>
      <c r="AA54">
        <f>IF(COUNTIFS(T_StockCount[Part Name],$A54,T_StockCount[WeekIndex],26)&gt;0,SUMIFS(T_StockCount[CountedQty],T_StockCount[Part Name],$A54,T_StockCount[WeekIndex],26),IF((('T_SelfStock'!AA58&lt;&gt;""))*(('T_TTAFStock'!AA58&lt;&gt;""))&gt;0,'T_SelfStock'!AA58+'T_TTAFStock'!AA58,Z54+'Grid_Incoming'!AA54-'Grid_Requirement'!AA54))</f>
        <v/>
      </c>
      <c r="AB54">
        <f>IF(COUNTIFS(T_StockCount[Part Name],$A54,T_StockCount[WeekIndex],27)&gt;0,SUMIFS(T_StockCount[CountedQty],T_StockCount[Part Name],$A54,T_StockCount[WeekIndex],27),IF((('T_SelfStock'!AB58&lt;&gt;""))*(('T_TTAFStock'!AB58&lt;&gt;""))&gt;0,'T_SelfStock'!AB58+'T_TTAFStock'!AB58,AA54+'Grid_Incoming'!AB54-'Grid_Requirement'!AB54))</f>
        <v/>
      </c>
      <c r="AC54">
        <f>IF(COUNTIFS(T_StockCount[Part Name],$A54,T_StockCount[WeekIndex],28)&gt;0,SUMIFS(T_StockCount[CountedQty],T_StockCount[Part Name],$A54,T_StockCount[WeekIndex],28),IF((('T_SelfStock'!AC58&lt;&gt;""))*(('T_TTAFStock'!AC58&lt;&gt;""))&gt;0,'T_SelfStock'!AC58+'T_TTAFStock'!AC58,AB54+'Grid_Incoming'!AC54-'Grid_Requirement'!AC54))</f>
        <v/>
      </c>
      <c r="AD54">
        <f>IF(COUNTIFS(T_StockCount[Part Name],$A54,T_StockCount[WeekIndex],29)&gt;0,SUMIFS(T_StockCount[CountedQty],T_StockCount[Part Name],$A54,T_StockCount[WeekIndex],29),IF((('T_SelfStock'!AD58&lt;&gt;""))*(('T_TTAFStock'!AD58&lt;&gt;""))&gt;0,'T_SelfStock'!AD58+'T_TTAFStock'!AD58,AC54+'Grid_Incoming'!AD54-'Grid_Requirement'!AD54))</f>
        <v/>
      </c>
      <c r="AE54">
        <f>IF(COUNTIFS(T_StockCount[Part Name],$A54,T_StockCount[WeekIndex],30)&gt;0,SUMIFS(T_StockCount[CountedQty],T_StockCount[Part Name],$A54,T_StockCount[WeekIndex],30),IF((('T_SelfStock'!AE58&lt;&gt;""))*(('T_TTAFStock'!AE58&lt;&gt;""))&gt;0,'T_SelfStock'!AE58+'T_TTAFStock'!AE58,AD54+'Grid_Incoming'!AE54-'Grid_Requirement'!AE54))</f>
        <v/>
      </c>
      <c r="AF54">
        <f>IF(COUNTIFS(T_StockCount[Part Name],$A54,T_StockCount[WeekIndex],31)&gt;0,SUMIFS(T_StockCount[CountedQty],T_StockCount[Part Name],$A54,T_StockCount[WeekIndex],31),IF((('T_SelfStock'!AF58&lt;&gt;""))*(('T_TTAFStock'!AF58&lt;&gt;""))&gt;0,'T_SelfStock'!AF58+'T_TTAFStock'!AF58,AE54+'Grid_Incoming'!AF54-'Grid_Requirement'!AF54))</f>
        <v/>
      </c>
      <c r="AG54">
        <f>IF(COUNTIFS(T_StockCount[Part Name],$A54,T_StockCount[WeekIndex],32)&gt;0,SUMIFS(T_StockCount[CountedQty],T_StockCount[Part Name],$A54,T_StockCount[WeekIndex],32),IF((('T_SelfStock'!AG58&lt;&gt;""))*(('T_TTAFStock'!AG58&lt;&gt;""))&gt;0,'T_SelfStock'!AG58+'T_TTAFStock'!AG58,AF54+'Grid_Incoming'!AG54-'Grid_Requirement'!AG54))</f>
        <v/>
      </c>
      <c r="AH54">
        <f>IF(COUNTIFS(T_StockCount[Part Name],$A54,T_StockCount[WeekIndex],33)&gt;0,SUMIFS(T_StockCount[CountedQty],T_StockCount[Part Name],$A54,T_StockCount[WeekIndex],33),IF((('T_SelfStock'!AH58&lt;&gt;""))*(('T_TTAFStock'!AH58&lt;&gt;""))&gt;0,'T_SelfStock'!AH58+'T_TTAFStock'!AH58,AG54+'Grid_Incoming'!AH54-'Grid_Requirement'!AH54))</f>
        <v/>
      </c>
      <c r="AI54">
        <f>IF(COUNTIFS(T_StockCount[Part Name],$A54,T_StockCount[WeekIndex],34)&gt;0,SUMIFS(T_StockCount[CountedQty],T_StockCount[Part Name],$A54,T_StockCount[WeekIndex],34),IF((('T_SelfStock'!AI58&lt;&gt;""))*(('T_TTAFStock'!AI58&lt;&gt;""))&gt;0,'T_SelfStock'!AI58+'T_TTAFStock'!AI58,AH54+'Grid_Incoming'!AI54-'Grid_Requirement'!AI54))</f>
        <v/>
      </c>
      <c r="AJ54">
        <f>IF(COUNTIFS(T_StockCount[Part Name],$A54,T_StockCount[WeekIndex],35)&gt;0,SUMIFS(T_StockCount[CountedQty],T_StockCount[Part Name],$A54,T_StockCount[WeekIndex],35),IF((('T_SelfStock'!AJ58&lt;&gt;""))*(('T_TTAFStock'!AJ58&lt;&gt;""))&gt;0,'T_SelfStock'!AJ58+'T_TTAFStock'!AJ58,AI54+'Grid_Incoming'!AJ54-'Grid_Requirement'!AJ54))</f>
        <v/>
      </c>
      <c r="AK54">
        <f>IF(COUNTIFS(T_StockCount[Part Name],$A54,T_StockCount[WeekIndex],36)&gt;0,SUMIFS(T_StockCount[CountedQty],T_StockCount[Part Name],$A54,T_StockCount[WeekIndex],36),IF((('T_SelfStock'!AK58&lt;&gt;""))*(('T_TTAFStock'!AK58&lt;&gt;""))&gt;0,'T_SelfStock'!AK58+'T_TTAFStock'!AK58,AJ54+'Grid_Incoming'!AK54-'Grid_Requirement'!AK54))</f>
        <v/>
      </c>
      <c r="AL54">
        <f>IF(COUNTIFS(T_StockCount[Part Name],$A54,T_StockCount[WeekIndex],37)&gt;0,SUMIFS(T_StockCount[CountedQty],T_StockCount[Part Name],$A54,T_StockCount[WeekIndex],37),IF((('T_SelfStock'!AL58&lt;&gt;""))*(('T_TTAFStock'!AL58&lt;&gt;""))&gt;0,'T_SelfStock'!AL58+'T_TTAFStock'!AL58,AK54+'Grid_Incoming'!AL54-'Grid_Requirement'!AL54))</f>
        <v/>
      </c>
      <c r="AM54">
        <f>IF(COUNTIFS(T_StockCount[Part Name],$A54,T_StockCount[WeekIndex],38)&gt;0,SUMIFS(T_StockCount[CountedQty],T_StockCount[Part Name],$A54,T_StockCount[WeekIndex],38),IF((('T_SelfStock'!AM58&lt;&gt;""))*(('T_TTAFStock'!AM58&lt;&gt;""))&gt;0,'T_SelfStock'!AM58+'T_TTAFStock'!AM58,AL54+'Grid_Incoming'!AM54-'Grid_Requirement'!AM54))</f>
        <v/>
      </c>
      <c r="AN54">
        <f>IF(COUNTIFS(T_StockCount[Part Name],$A54,T_StockCount[WeekIndex],39)&gt;0,SUMIFS(T_StockCount[CountedQty],T_StockCount[Part Name],$A54,T_StockCount[WeekIndex],39),IF((('T_SelfStock'!AN58&lt;&gt;""))*(('T_TTAFStock'!AN58&lt;&gt;""))&gt;0,'T_SelfStock'!AN58+'T_TTAFStock'!AN58,AM54+'Grid_Incoming'!AN54-'Grid_Requirement'!AN54))</f>
        <v/>
      </c>
      <c r="AO54">
        <f>IF(COUNTIFS(T_StockCount[Part Name],$A54,T_StockCount[WeekIndex],40)&gt;0,SUMIFS(T_StockCount[CountedQty],T_StockCount[Part Name],$A54,T_StockCount[WeekIndex],40),IF((('T_SelfStock'!AO58&lt;&gt;""))*(('T_TTAFStock'!AO58&lt;&gt;""))&gt;0,'T_SelfStock'!AO58+'T_TTAFStock'!AO58,AN54+'Grid_Incoming'!AO54-'Grid_Requirement'!AO54))</f>
        <v/>
      </c>
      <c r="AP54">
        <f>IF(COUNTIFS(T_StockCount[Part Name],$A54,T_StockCount[WeekIndex],41)&gt;0,SUMIFS(T_StockCount[CountedQty],T_StockCount[Part Name],$A54,T_StockCount[WeekIndex],41),IF((('T_SelfStock'!AP58&lt;&gt;""))*(('T_TTAFStock'!AP58&lt;&gt;""))&gt;0,'T_SelfStock'!AP58+'T_TTAFStock'!AP58,AO54+'Grid_Incoming'!AP54-'Grid_Requirement'!AP54))</f>
        <v/>
      </c>
      <c r="AQ54">
        <f>IF(COUNTIFS(T_StockCount[Part Name],$A54,T_StockCount[WeekIndex],42)&gt;0,SUMIFS(T_StockCount[CountedQty],T_StockCount[Part Name],$A54,T_StockCount[WeekIndex],42),IF((('T_SelfStock'!AQ58&lt;&gt;""))*(('T_TTAFStock'!AQ58&lt;&gt;""))&gt;0,'T_SelfStock'!AQ58+'T_TTAFStock'!AQ58,AP54+'Grid_Incoming'!AQ54-'Grid_Requirement'!AQ54))</f>
        <v/>
      </c>
      <c r="AR54">
        <f>IF(COUNTIFS(T_StockCount[Part Name],$A54,T_StockCount[WeekIndex],43)&gt;0,SUMIFS(T_StockCount[CountedQty],T_StockCount[Part Name],$A54,T_StockCount[WeekIndex],43),IF((('T_SelfStock'!AR58&lt;&gt;""))*(('T_TTAFStock'!AR58&lt;&gt;""))&gt;0,'T_SelfStock'!AR58+'T_TTAFStock'!AR58,AQ54+'Grid_Incoming'!AR54-'Grid_Requirement'!AR54))</f>
        <v/>
      </c>
      <c r="AS54">
        <f>IF(COUNTIFS(T_StockCount[Part Name],$A54,T_StockCount[WeekIndex],44)&gt;0,SUMIFS(T_StockCount[CountedQty],T_StockCount[Part Name],$A54,T_StockCount[WeekIndex],44),IF((('T_SelfStock'!AS58&lt;&gt;""))*(('T_TTAFStock'!AS58&lt;&gt;""))&gt;0,'T_SelfStock'!AS58+'T_TTAFStock'!AS58,AR54+'Grid_Incoming'!AS54-'Grid_Requirement'!AS54))</f>
        <v/>
      </c>
      <c r="AT54">
        <f>IF(COUNTIFS(T_StockCount[Part Name],$A54,T_StockCount[WeekIndex],45)&gt;0,SUMIFS(T_StockCount[CountedQty],T_StockCount[Part Name],$A54,T_StockCount[WeekIndex],45),IF((('T_SelfStock'!AT58&lt;&gt;""))*(('T_TTAFStock'!AT58&lt;&gt;""))&gt;0,'T_SelfStock'!AT58+'T_TTAFStock'!AT58,AS54+'Grid_Incoming'!AT54-'Grid_Requirement'!AT54))</f>
        <v/>
      </c>
      <c r="AU54">
        <f>IF(COUNTIFS(T_StockCount[Part Name],$A54,T_StockCount[WeekIndex],46)&gt;0,SUMIFS(T_StockCount[CountedQty],T_StockCount[Part Name],$A54,T_StockCount[WeekIndex],46),IF((('T_SelfStock'!AU58&lt;&gt;""))*(('T_TTAFStock'!AU58&lt;&gt;""))&gt;0,'T_SelfStock'!AU58+'T_TTAFStock'!AU58,AT54+'Grid_Incoming'!AU54-'Grid_Requirement'!AU54))</f>
        <v/>
      </c>
      <c r="AV54">
        <f>IF(COUNTIFS(T_StockCount[Part Name],$A54,T_StockCount[WeekIndex],47)&gt;0,SUMIFS(T_StockCount[CountedQty],T_StockCount[Part Name],$A54,T_StockCount[WeekIndex],47),IF((('T_SelfStock'!AV58&lt;&gt;""))*(('T_TTAFStock'!AV58&lt;&gt;""))&gt;0,'T_SelfStock'!AV58+'T_TTAFStock'!AV58,AU54+'Grid_Incoming'!AV54-'Grid_Requirement'!AV54))</f>
        <v/>
      </c>
      <c r="AW54">
        <f>IF(COUNTIFS(T_StockCount[Part Name],$A54,T_StockCount[WeekIndex],48)&gt;0,SUMIFS(T_StockCount[CountedQty],T_StockCount[Part Name],$A54,T_StockCount[WeekIndex],48),IF((('T_SelfStock'!AW58&lt;&gt;""))*(('T_TTAFStock'!AW58&lt;&gt;""))&gt;0,'T_SelfStock'!AW58+'T_TTAFStock'!AW58,AV54+'Grid_Incoming'!AW54-'Grid_Requirement'!AW54))</f>
        <v/>
      </c>
      <c r="AX54">
        <f>IF(COUNTIFS(T_StockCount[Part Name],$A54,T_StockCount[WeekIndex],49)&gt;0,SUMIFS(T_StockCount[CountedQty],T_StockCount[Part Name],$A54,T_StockCount[WeekIndex],49),IF((('T_SelfStock'!AX58&lt;&gt;""))*(('T_TTAFStock'!AX58&lt;&gt;""))&gt;0,'T_SelfStock'!AX58+'T_TTAFStock'!AX58,AW54+'Grid_Incoming'!AX54-'Grid_Requirement'!AX54))</f>
        <v/>
      </c>
      <c r="AY54">
        <f>IF(COUNTIFS(T_StockCount[Part Name],$A54,T_StockCount[WeekIndex],50)&gt;0,SUMIFS(T_StockCount[CountedQty],T_StockCount[Part Name],$A54,T_StockCount[WeekIndex],50),IF((('T_SelfStock'!AY58&lt;&gt;""))*(('T_TTAFStock'!AY58&lt;&gt;""))&gt;0,'T_SelfStock'!AY58+'T_TTAFStock'!AY58,AX54+'Grid_Incoming'!AY54-'Grid_Requirement'!AY54))</f>
        <v/>
      </c>
      <c r="AZ54">
        <f>IF(COUNTIFS(T_StockCount[Part Name],$A54,T_StockCount[WeekIndex],51)&gt;0,SUMIFS(T_StockCount[CountedQty],T_StockCount[Part Name],$A54,T_StockCount[WeekIndex],51),IF((('T_SelfStock'!AZ58&lt;&gt;""))*(('T_TTAFStock'!AZ58&lt;&gt;""))&gt;0,'T_SelfStock'!AZ58+'T_TTAFStock'!AZ58,AY54+'Grid_Incoming'!AZ54-'Grid_Requirement'!AZ54))</f>
        <v/>
      </c>
      <c r="BA54">
        <f>IF(COUNTIFS(T_StockCount[Part Name],$A54,T_StockCount[WeekIndex],52)&gt;0,SUMIFS(T_StockCount[CountedQty],T_StockCount[Part Name],$A54,T_StockCount[WeekIndex],52),IF((('T_SelfStock'!BA58&lt;&gt;""))*(('T_TTAFStock'!BA58&lt;&gt;""))&gt;0,'T_SelfStock'!BA58+'T_TTAFStock'!BA58,AZ54+'Grid_Incoming'!BA54-'Grid_Requirement'!BA54))</f>
        <v/>
      </c>
      <c r="BB54">
        <f>IF(COUNTIFS(T_StockCount[Part Name],$A54,T_StockCount[WeekIndex],53)&gt;0,SUMIFS(T_StockCount[CountedQty],T_StockCount[Part Name],$A54,T_StockCount[WeekIndex],53),IF((('T_SelfStock'!BB58&lt;&gt;""))*(('T_TTAFStock'!BB58&lt;&gt;""))&gt;0,'T_SelfStock'!BB58+'T_TTAFStock'!BB58,BA54+'Grid_Incoming'!BB54-'Grid_Requirement'!BB54))</f>
        <v/>
      </c>
      <c r="BC54">
        <f>IF(COUNTIFS(T_StockCount[Part Name],$A54,T_StockCount[WeekIndex],54)&gt;0,SUMIFS(T_StockCount[CountedQty],T_StockCount[Part Name],$A54,T_StockCount[WeekIndex],54),IF((('T_SelfStock'!BC58&lt;&gt;""))*(('T_TTAFStock'!BC58&lt;&gt;""))&gt;0,'T_SelfStock'!BC58+'T_TTAFStock'!BC58,BB54+'Grid_Incoming'!BC54-'Grid_Requirement'!BC54))</f>
        <v/>
      </c>
      <c r="BD54">
        <f>IF(COUNTIFS(T_StockCount[Part Name],$A54,T_StockCount[WeekIndex],55)&gt;0,SUMIFS(T_StockCount[CountedQty],T_StockCount[Part Name],$A54,T_StockCount[WeekIndex],55),IF((('T_SelfStock'!BD58&lt;&gt;""))*(('T_TTAFStock'!BD58&lt;&gt;""))&gt;0,'T_SelfStock'!BD58+'T_TTAFStock'!BD58,BC54+'Grid_Incoming'!BD54-'Grid_Requirement'!BD54))</f>
        <v/>
      </c>
      <c r="BE54">
        <f>IF(COUNTIFS(T_StockCount[Part Name],$A54,T_StockCount[WeekIndex],56)&gt;0,SUMIFS(T_StockCount[CountedQty],T_StockCount[Part Name],$A54,T_StockCount[WeekIndex],56),IF((('T_SelfStock'!BE58&lt;&gt;""))*(('T_TTAFStock'!BE58&lt;&gt;""))&gt;0,'T_SelfStock'!BE58+'T_TTAFStock'!BE58,BD54+'Grid_Incoming'!BE54-'Grid_Requirement'!BE54))</f>
        <v/>
      </c>
      <c r="BF54">
        <f>IF(COUNTIFS(T_StockCount[Part Name],$A54,T_StockCount[WeekIndex],57)&gt;0,SUMIFS(T_StockCount[CountedQty],T_StockCount[Part Name],$A54,T_StockCount[WeekIndex],57),IF((('T_SelfStock'!BF58&lt;&gt;""))*(('T_TTAFStock'!BF58&lt;&gt;""))&gt;0,'T_SelfStock'!BF58+'T_TTAFStock'!BF58,BE54+'Grid_Incoming'!BF54-'Grid_Requirement'!BF54))</f>
        <v/>
      </c>
      <c r="BG54">
        <f>IF(COUNTIFS(T_StockCount[Part Name],$A54,T_StockCount[WeekIndex],58)&gt;0,SUMIFS(T_StockCount[CountedQty],T_StockCount[Part Name],$A54,T_StockCount[WeekIndex],58),IF((('T_SelfStock'!BG58&lt;&gt;""))*(('T_TTAFStock'!BG58&lt;&gt;""))&gt;0,'T_SelfStock'!BG58+'T_TTAFStock'!BG58,BF54+'Grid_Incoming'!BG54-'Grid_Requirement'!BG54))</f>
        <v/>
      </c>
      <c r="BH54">
        <f>IF(COUNTIFS(T_StockCount[Part Name],$A54,T_StockCount[WeekIndex],59)&gt;0,SUMIFS(T_StockCount[CountedQty],T_StockCount[Part Name],$A54,T_StockCount[WeekIndex],59),IF((('T_SelfStock'!BH58&lt;&gt;""))*(('T_TTAFStock'!BH58&lt;&gt;""))&gt;0,'T_SelfStock'!BH58+'T_TTAFStock'!BH58,BG54+'Grid_Incoming'!BH54-'Grid_Requirement'!BH54))</f>
        <v/>
      </c>
      <c r="BI54">
        <f>IF(COUNTIFS(T_StockCount[Part Name],$A54,T_StockCount[WeekIndex],60)&gt;0,SUMIFS(T_StockCount[CountedQty],T_StockCount[Part Name],$A54,T_StockCount[WeekIndex],60),IF((('T_SelfStock'!BI58&lt;&gt;""))*(('T_TTAFStock'!BI58&lt;&gt;""))&gt;0,'T_SelfStock'!BI58+'T_TTAFStock'!BI58,BH54+'Grid_Incoming'!BI54-'Grid_Requirement'!BI54))</f>
        <v/>
      </c>
      <c r="BJ54">
        <f>IF(COUNTIFS(T_StockCount[Part Name],$A54,T_StockCount[WeekIndex],61)&gt;0,SUMIFS(T_StockCount[CountedQty],T_StockCount[Part Name],$A54,T_StockCount[WeekIndex],61),IF((('T_SelfStock'!BJ58&lt;&gt;""))*(('T_TTAFStock'!BJ58&lt;&gt;""))&gt;0,'T_SelfStock'!BJ58+'T_TTAFStock'!BJ58,BI54+'Grid_Incoming'!BJ54-'Grid_Requirement'!BJ54))</f>
        <v/>
      </c>
      <c r="BK54">
        <f>IF(COUNTIFS(T_StockCount[Part Name],$A54,T_StockCount[WeekIndex],62)&gt;0,SUMIFS(T_StockCount[CountedQty],T_StockCount[Part Name],$A54,T_StockCount[WeekIndex],62),IF((('T_SelfStock'!BK58&lt;&gt;""))*(('T_TTAFStock'!BK58&lt;&gt;""))&gt;0,'T_SelfStock'!BK58+'T_TTAFStock'!BK58,BJ54+'Grid_Incoming'!BK54-'Grid_Requirement'!BK54))</f>
        <v/>
      </c>
      <c r="BL54">
        <f>IF(COUNTIFS(T_StockCount[Part Name],$A54,T_StockCount[WeekIndex],63)&gt;0,SUMIFS(T_StockCount[CountedQty],T_StockCount[Part Name],$A54,T_StockCount[WeekIndex],63),IF((('T_SelfStock'!BL58&lt;&gt;""))*(('T_TTAFStock'!BL58&lt;&gt;""))&gt;0,'T_SelfStock'!BL58+'T_TTAFStock'!BL58,BK54+'Grid_Incoming'!BL54-'Grid_Requirement'!BL54))</f>
        <v/>
      </c>
      <c r="BM54">
        <f>IF(COUNTIFS(T_StockCount[Part Name],$A54,T_StockCount[WeekIndex],64)&gt;0,SUMIFS(T_StockCount[CountedQty],T_StockCount[Part Name],$A54,T_StockCount[WeekIndex],64),IF((('T_SelfStock'!BM58&lt;&gt;""))*(('T_TTAFStock'!BM58&lt;&gt;""))&gt;0,'T_SelfStock'!BM58+'T_TTAFStock'!BM58,BL54+'Grid_Incoming'!BM54-'Grid_Requirement'!BM54))</f>
        <v/>
      </c>
      <c r="BN54">
        <f>IF(COUNTIFS(T_StockCount[Part Name],$A54,T_StockCount[WeekIndex],65)&gt;0,SUMIFS(T_StockCount[CountedQty],T_StockCount[Part Name],$A54,T_StockCount[WeekIndex],65),IF((('T_SelfStock'!BN58&lt;&gt;""))*(('T_TTAFStock'!BN58&lt;&gt;""))&gt;0,'T_SelfStock'!BN58+'T_TTAFStock'!BN58,BM54+'Grid_Incoming'!BN54-'Grid_Requirement'!BN54))</f>
        <v/>
      </c>
      <c r="BO54">
        <f>IF(COUNTIFS(T_StockCount[Part Name],$A54,T_StockCount[WeekIndex],66)&gt;0,SUMIFS(T_StockCount[CountedQty],T_StockCount[Part Name],$A54,T_StockCount[WeekIndex],66),IF((('T_SelfStock'!BO58&lt;&gt;""))*(('T_TTAFStock'!BO58&lt;&gt;""))&gt;0,'T_SelfStock'!BO58+'T_TTAFStock'!BO58,BN54+'Grid_Incoming'!BO54-'Grid_Requirement'!BO54))</f>
        <v/>
      </c>
      <c r="BP54">
        <f>IF(COUNTIFS(T_StockCount[Part Name],$A54,T_StockCount[WeekIndex],67)&gt;0,SUMIFS(T_StockCount[CountedQty],T_StockCount[Part Name],$A54,T_StockCount[WeekIndex],67),IF((('T_SelfStock'!BP58&lt;&gt;""))*(('T_TTAFStock'!BP58&lt;&gt;""))&gt;0,'T_SelfStock'!BP58+'T_TTAFStock'!BP58,BO54+'Grid_Incoming'!BP54-'Grid_Requirement'!BP54))</f>
        <v/>
      </c>
      <c r="BQ54">
        <f>IF(COUNTIFS(T_StockCount[Part Name],$A54,T_StockCount[WeekIndex],68)&gt;0,SUMIFS(T_StockCount[CountedQty],T_StockCount[Part Name],$A54,T_StockCount[WeekIndex],68),IF((('T_SelfStock'!BQ58&lt;&gt;""))*(('T_TTAFStock'!BQ58&lt;&gt;""))&gt;0,'T_SelfStock'!BQ58+'T_TTAFStock'!BQ58,BP54+'Grid_Incoming'!BQ54-'Grid_Requirement'!BQ54))</f>
        <v/>
      </c>
      <c r="BR54">
        <f>IF(COUNTIFS(T_StockCount[Part Name],$A54,T_StockCount[WeekIndex],69)&gt;0,SUMIFS(T_StockCount[CountedQty],T_StockCount[Part Name],$A54,T_StockCount[WeekIndex],69),IF((('T_SelfStock'!BR58&lt;&gt;""))*(('T_TTAFStock'!BR58&lt;&gt;""))&gt;0,'T_SelfStock'!BR58+'T_TTAFStock'!BR58,BQ54+'Grid_Incoming'!BR54-'Grid_Requirement'!BR54))</f>
        <v/>
      </c>
      <c r="BS54">
        <f>IF(COUNTIFS(T_StockCount[Part Name],$A54,T_StockCount[WeekIndex],70)&gt;0,SUMIFS(T_StockCount[CountedQty],T_StockCount[Part Name],$A54,T_StockCount[WeekIndex],70),IF((('T_SelfStock'!BS58&lt;&gt;""))*(('T_TTAFStock'!BS58&lt;&gt;""))&gt;0,'T_SelfStock'!BS58+'T_TTAFStock'!BS58,BR54+'Grid_Incoming'!BS54-'Grid_Requirement'!BS54))</f>
        <v/>
      </c>
      <c r="BT54">
        <f>IF(COUNTIFS(T_StockCount[Part Name],$A54,T_StockCount[WeekIndex],71)&gt;0,SUMIFS(T_StockCount[CountedQty],T_StockCount[Part Name],$A54,T_StockCount[WeekIndex],71),IF((('T_SelfStock'!BT58&lt;&gt;""))*(('T_TTAFStock'!BT58&lt;&gt;""))&gt;0,'T_SelfStock'!BT58+'T_TTAFStock'!BT58,BS54+'Grid_Incoming'!BT54-'Grid_Requirement'!BT54))</f>
        <v/>
      </c>
      <c r="BU54">
        <f>IF(COUNTIFS(T_StockCount[Part Name],$A54,T_StockCount[WeekIndex],72)&gt;0,SUMIFS(T_StockCount[CountedQty],T_StockCount[Part Name],$A54,T_StockCount[WeekIndex],72),IF((('T_SelfStock'!BU58&lt;&gt;""))*(('T_TTAFStock'!BU58&lt;&gt;""))&gt;0,'T_SelfStock'!BU58+'T_TTAFStock'!BU58,BT54+'Grid_Incoming'!BU54-'Grid_Requirement'!BU54))</f>
        <v/>
      </c>
      <c r="BV54">
        <f>IF(COUNTIFS(T_StockCount[Part Name],$A54,T_StockCount[WeekIndex],73)&gt;0,SUMIFS(T_StockCount[CountedQty],T_StockCount[Part Name],$A54,T_StockCount[WeekIndex],73),IF((('T_SelfStock'!BV58&lt;&gt;""))*(('T_TTAFStock'!BV58&lt;&gt;""))&gt;0,'T_SelfStock'!BV58+'T_TTAFStock'!BV58,BU54+'Grid_Incoming'!BV54-'Grid_Requirement'!BV54))</f>
        <v/>
      </c>
      <c r="BW54">
        <f>IF(COUNTIFS(T_StockCount[Part Name],$A54,T_StockCount[WeekIndex],74)&gt;0,SUMIFS(T_StockCount[CountedQty],T_StockCount[Part Name],$A54,T_StockCount[WeekIndex],74),IF((('T_SelfStock'!BW58&lt;&gt;""))*(('T_TTAFStock'!BW58&lt;&gt;""))&gt;0,'T_SelfStock'!BW58+'T_TTAFStock'!BW58,BV54+'Grid_Incoming'!BW54-'Grid_Requirement'!BW54))</f>
        <v/>
      </c>
      <c r="BX54">
        <f>IF(COUNTIFS(T_StockCount[Part Name],$A54,T_StockCount[WeekIndex],75)&gt;0,SUMIFS(T_StockCount[CountedQty],T_StockCount[Part Name],$A54,T_StockCount[WeekIndex],75),IF((('T_SelfStock'!BX58&lt;&gt;""))*(('T_TTAFStock'!BX58&lt;&gt;""))&gt;0,'T_SelfStock'!BX58+'T_TTAFStock'!BX58,BW54+'Grid_Incoming'!BX54-'Grid_Requirement'!BX54))</f>
        <v/>
      </c>
      <c r="BY54">
        <f>IF(COUNTIFS(T_StockCount[Part Name],$A54,T_StockCount[WeekIndex],76)&gt;0,SUMIFS(T_StockCount[CountedQty],T_StockCount[Part Name],$A54,T_StockCount[WeekIndex],76),IF((('T_SelfStock'!BY58&lt;&gt;""))*(('T_TTAFStock'!BY58&lt;&gt;""))&gt;0,'T_SelfStock'!BY58+'T_TTAFStock'!BY58,BX54+'Grid_Incoming'!BY54-'Grid_Requirement'!BY54))</f>
        <v/>
      </c>
      <c r="BZ54">
        <f>IF(COUNTIFS(T_StockCount[Part Name],$A54,T_StockCount[WeekIndex],77)&gt;0,SUMIFS(T_StockCount[CountedQty],T_StockCount[Part Name],$A54,T_StockCount[WeekIndex],77),IF((('T_SelfStock'!BZ58&lt;&gt;""))*(('T_TTAFStock'!BZ58&lt;&gt;""))&gt;0,'T_SelfStock'!BZ58+'T_TTAFStock'!BZ58,BY54+'Grid_Incoming'!BZ54-'Grid_Requirement'!BZ54))</f>
        <v/>
      </c>
      <c r="CA54">
        <f>IF(COUNTIFS(T_StockCount[Part Name],$A54,T_StockCount[WeekIndex],78)&gt;0,SUMIFS(T_StockCount[CountedQty],T_StockCount[Part Name],$A54,T_StockCount[WeekIndex],78),IF((('T_SelfStock'!CA58&lt;&gt;""))*(('T_TTAFStock'!CA58&lt;&gt;""))&gt;0,'T_SelfStock'!CA58+'T_TTAFStock'!CA58,BZ54+'Grid_Incoming'!CA54-'Grid_Requirement'!CA54))</f>
        <v/>
      </c>
      <c r="CB54">
        <f>IF(COUNTIFS(T_StockCount[Part Name],$A54,T_StockCount[WeekIndex],79)&gt;0,SUMIFS(T_StockCount[CountedQty],T_StockCount[Part Name],$A54,T_StockCount[WeekIndex],79),IF((('T_SelfStock'!CB58&lt;&gt;""))*(('T_TTAFStock'!CB58&lt;&gt;""))&gt;0,'T_SelfStock'!CB58+'T_TTAFStock'!CB58,CA54+'Grid_Incoming'!CB54-'Grid_Requirement'!CB54))</f>
        <v/>
      </c>
      <c r="CC54">
        <f>IF(COUNTIFS(T_StockCount[Part Name],$A54,T_StockCount[WeekIndex],80)&gt;0,SUMIFS(T_StockCount[CountedQty],T_StockCount[Part Name],$A54,T_StockCount[WeekIndex],80),IF((('T_SelfStock'!CC58&lt;&gt;""))*(('T_TTAFStock'!CC58&lt;&gt;""))&gt;0,'T_SelfStock'!CC58+'T_TTAFStock'!CC58,CB54+'Grid_Incoming'!CC54-'Grid_Requirement'!CC54))</f>
        <v/>
      </c>
      <c r="CD54">
        <f>IF(COUNTIFS(T_StockCount[Part Name],$A54,T_StockCount[WeekIndex],81)&gt;0,SUMIFS(T_StockCount[CountedQty],T_StockCount[Part Name],$A54,T_StockCount[WeekIndex],81),IF((('T_SelfStock'!CD58&lt;&gt;""))*(('T_TTAFStock'!CD58&lt;&gt;""))&gt;0,'T_SelfStock'!CD58+'T_TTAFStock'!CD58,CC54+'Grid_Incoming'!CD54-'Grid_Requirement'!CD54))</f>
        <v/>
      </c>
      <c r="CE54">
        <f>IF(COUNTIFS(T_StockCount[Part Name],$A54,T_StockCount[WeekIndex],82)&gt;0,SUMIFS(T_StockCount[CountedQty],T_StockCount[Part Name],$A54,T_StockCount[WeekIndex],82),IF((('T_SelfStock'!CE58&lt;&gt;""))*(('T_TTAFStock'!CE58&lt;&gt;""))&gt;0,'T_SelfStock'!CE58+'T_TTAFStock'!CE58,CD54+'Grid_Incoming'!CE54-'Grid_Requirement'!CE54))</f>
        <v/>
      </c>
      <c r="CF54">
        <f>IF(COUNTIFS(T_StockCount[Part Name],$A54,T_StockCount[WeekIndex],83)&gt;0,SUMIFS(T_StockCount[CountedQty],T_StockCount[Part Name],$A54,T_StockCount[WeekIndex],83),IF((('T_SelfStock'!CF58&lt;&gt;""))*(('T_TTAFStock'!CF58&lt;&gt;""))&gt;0,'T_SelfStock'!CF58+'T_TTAFStock'!CF58,CE54+'Grid_Incoming'!CF54-'Grid_Requirement'!CF54))</f>
        <v/>
      </c>
      <c r="CG54">
        <f>IF(COUNTIFS(T_StockCount[Part Name],$A54,T_StockCount[WeekIndex],84)&gt;0,SUMIFS(T_StockCount[CountedQty],T_StockCount[Part Name],$A54,T_StockCount[WeekIndex],84),IF((('T_SelfStock'!CG58&lt;&gt;""))*(('T_TTAFStock'!CG58&lt;&gt;""))&gt;0,'T_SelfStock'!CG58+'T_TTAFStock'!CG58,CF54+'Grid_Incoming'!CG54-'Grid_Requirement'!CG54))</f>
        <v/>
      </c>
      <c r="CH54">
        <f>IF(COUNTIFS(T_StockCount[Part Name],$A54,T_StockCount[WeekIndex],85)&gt;0,SUMIFS(T_StockCount[CountedQty],T_StockCount[Part Name],$A54,T_StockCount[WeekIndex],85),IF((('T_SelfStock'!CH58&lt;&gt;""))*(('T_TTAFStock'!CH58&lt;&gt;""))&gt;0,'T_SelfStock'!CH58+'T_TTAFStock'!CH58,CG54+'Grid_Incoming'!CH54-'Grid_Requirement'!CH54))</f>
        <v/>
      </c>
      <c r="CI54">
        <f>IF(COUNTIFS(T_StockCount[Part Name],$A54,T_StockCount[WeekIndex],86)&gt;0,SUMIFS(T_StockCount[CountedQty],T_StockCount[Part Name],$A54,T_StockCount[WeekIndex],86),IF((('T_SelfStock'!CI58&lt;&gt;""))*(('T_TTAFStock'!CI58&lt;&gt;""))&gt;0,'T_SelfStock'!CI58+'T_TTAFStock'!CI58,CH54+'Grid_Incoming'!CI54-'Grid_Requirement'!CI54))</f>
        <v/>
      </c>
      <c r="CJ54">
        <f>IF(COUNTIFS(T_StockCount[Part Name],$A54,T_StockCount[WeekIndex],87)&gt;0,SUMIFS(T_StockCount[CountedQty],T_StockCount[Part Name],$A54,T_StockCount[WeekIndex],87),IF((('T_SelfStock'!CJ58&lt;&gt;""))*(('T_TTAFStock'!CJ58&lt;&gt;""))&gt;0,'T_SelfStock'!CJ58+'T_TTAFStock'!CJ58,CI54+'Grid_Incoming'!CJ54-'Grid_Requirement'!CJ54))</f>
        <v/>
      </c>
      <c r="CK54">
        <f>IF(COUNTIFS(T_StockCount[Part Name],$A54,T_StockCount[WeekIndex],88)&gt;0,SUMIFS(T_StockCount[CountedQty],T_StockCount[Part Name],$A54,T_StockCount[WeekIndex],88),IF((('T_SelfStock'!CK58&lt;&gt;""))*(('T_TTAFStock'!CK58&lt;&gt;""))&gt;0,'T_SelfStock'!CK58+'T_TTAFStock'!CK58,CJ54+'Grid_Incoming'!CK54-'Grid_Requirement'!CK54))</f>
        <v/>
      </c>
      <c r="CL54">
        <f>IF(COUNTIFS(T_StockCount[Part Name],$A54,T_StockCount[WeekIndex],89)&gt;0,SUMIFS(T_StockCount[CountedQty],T_StockCount[Part Name],$A54,T_StockCount[WeekIndex],89),IF((('T_SelfStock'!CL58&lt;&gt;""))*(('T_TTAFStock'!CL58&lt;&gt;""))&gt;0,'T_SelfStock'!CL58+'T_TTAFStock'!CL58,CK54+'Grid_Incoming'!CL54-'Grid_Requirement'!CL54))</f>
        <v/>
      </c>
      <c r="CM54">
        <f>IF(COUNTIFS(T_StockCount[Part Name],$A54,T_StockCount[WeekIndex],90)&gt;0,SUMIFS(T_StockCount[CountedQty],T_StockCount[Part Name],$A54,T_StockCount[WeekIndex],90),IF((('T_SelfStock'!CM58&lt;&gt;""))*(('T_TTAFStock'!CM58&lt;&gt;""))&gt;0,'T_SelfStock'!CM58+'T_TTAFStock'!CM58,CL54+'Grid_Incoming'!CM54-'Grid_Requirement'!CM54))</f>
        <v/>
      </c>
      <c r="CN54">
        <f>IF(COUNTIFS(T_StockCount[Part Name],$A54,T_StockCount[WeekIndex],91)&gt;0,SUMIFS(T_StockCount[CountedQty],T_StockCount[Part Name],$A54,T_StockCount[WeekIndex],91),IF((('T_SelfStock'!CN58&lt;&gt;""))*(('T_TTAFStock'!CN58&lt;&gt;""))&gt;0,'T_SelfStock'!CN58+'T_TTAFStock'!CN58,CM54+'Grid_Incoming'!CN54-'Grid_Requirement'!CN54))</f>
        <v/>
      </c>
      <c r="CO54">
        <f>IF(COUNTIFS(T_StockCount[Part Name],$A54,T_StockCount[WeekIndex],92)&gt;0,SUMIFS(T_StockCount[CountedQty],T_StockCount[Part Name],$A54,T_StockCount[WeekIndex],92),IF((('T_SelfStock'!CO58&lt;&gt;""))*(('T_TTAFStock'!CO58&lt;&gt;""))&gt;0,'T_SelfStock'!CO58+'T_TTAFStock'!CO58,CN54+'Grid_Incoming'!CO54-'Grid_Requirement'!CO54))</f>
        <v/>
      </c>
      <c r="CP54">
        <f>IF(COUNTIFS(T_StockCount[Part Name],$A54,T_StockCount[WeekIndex],93)&gt;0,SUMIFS(T_StockCount[CountedQty],T_StockCount[Part Name],$A54,T_StockCount[WeekIndex],93),IF((('T_SelfStock'!CP58&lt;&gt;""))*(('T_TTAFStock'!CP58&lt;&gt;""))&gt;0,'T_SelfStock'!CP58+'T_TTAFStock'!CP58,CO54+'Grid_Incoming'!CP54-'Grid_Requirement'!CP54))</f>
        <v/>
      </c>
      <c r="CQ54">
        <f>IF(COUNTIFS(T_StockCount[Part Name],$A54,T_StockCount[WeekIndex],94)&gt;0,SUMIFS(T_StockCount[CountedQty],T_StockCount[Part Name],$A54,T_StockCount[WeekIndex],94),IF((('T_SelfStock'!CQ58&lt;&gt;""))*(('T_TTAFStock'!CQ58&lt;&gt;""))&gt;0,'T_SelfStock'!CQ58+'T_TTAFStock'!CQ58,CP54+'Grid_Incoming'!CQ54-'Grid_Requirement'!CQ54))</f>
        <v/>
      </c>
      <c r="CR54">
        <f>IF(COUNTIFS(T_StockCount[Part Name],$A54,T_StockCount[WeekIndex],95)&gt;0,SUMIFS(T_StockCount[CountedQty],T_StockCount[Part Name],$A54,T_StockCount[WeekIndex],95),IF((('T_SelfStock'!CR58&lt;&gt;""))*(('T_TTAFStock'!CR58&lt;&gt;""))&gt;0,'T_SelfStock'!CR58+'T_TTAFStock'!CR58,CQ54+'Grid_Incoming'!CR54-'Grid_Requirement'!CR54))</f>
        <v/>
      </c>
      <c r="CS54">
        <f>IF(COUNTIFS(T_StockCount[Part Name],$A54,T_StockCount[WeekIndex],96)&gt;0,SUMIFS(T_StockCount[CountedQty],T_StockCount[Part Name],$A54,T_StockCount[WeekIndex],96),IF((('T_SelfStock'!CS58&lt;&gt;""))*(('T_TTAFStock'!CS58&lt;&gt;""))&gt;0,'T_SelfStock'!CS58+'T_TTAFStock'!CS58,CR54+'Grid_Incoming'!CS54-'Grid_Requirement'!CS54))</f>
        <v/>
      </c>
      <c r="CT54">
        <f>IF(COUNTIFS(T_StockCount[Part Name],$A54,T_StockCount[WeekIndex],97)&gt;0,SUMIFS(T_StockCount[CountedQty],T_StockCount[Part Name],$A54,T_StockCount[WeekIndex],97),IF((('T_SelfStock'!CT58&lt;&gt;""))*(('T_TTAFStock'!CT58&lt;&gt;""))&gt;0,'T_SelfStock'!CT58+'T_TTAFStock'!CT58,CS54+'Grid_Incoming'!CT54-'Grid_Requirement'!CT54))</f>
        <v/>
      </c>
      <c r="CU54">
        <f>IF(COUNTIFS(T_StockCount[Part Name],$A54,T_StockCount[WeekIndex],98)&gt;0,SUMIFS(T_StockCount[CountedQty],T_StockCount[Part Name],$A54,T_StockCount[WeekIndex],98),IF((('T_SelfStock'!CU58&lt;&gt;""))*(('T_TTAFStock'!CU58&lt;&gt;""))&gt;0,'T_SelfStock'!CU58+'T_TTAFStock'!CU58,CT54+'Grid_Incoming'!CU54-'Grid_Requirement'!CU54))</f>
        <v/>
      </c>
      <c r="CV54">
        <f>IF(COUNTIFS(T_StockCount[Part Name],$A54,T_StockCount[WeekIndex],99)&gt;0,SUMIFS(T_StockCount[CountedQty],T_StockCount[Part Name],$A54,T_StockCount[WeekIndex],99),IF((('T_SelfStock'!CV58&lt;&gt;""))*(('T_TTAFStock'!CV58&lt;&gt;""))&gt;0,'T_SelfStock'!CV58+'T_TTAFStock'!CV58,CU54+'Grid_Incoming'!CV54-'Grid_Requirement'!CV54))</f>
        <v/>
      </c>
      <c r="CW54">
        <f>IF(COUNTIFS(T_StockCount[Part Name],$A54,T_StockCount[WeekIndex],100)&gt;0,SUMIFS(T_StockCount[CountedQty],T_StockCount[Part Name],$A54,T_StockCount[WeekIndex],100),IF((('T_SelfStock'!CW58&lt;&gt;""))*(('T_TTAFStock'!CW58&lt;&gt;""))&gt;0,'T_SelfStock'!CW58+'T_TTAFStock'!CW58,CV54+'Grid_Incoming'!CW54-'Grid_Requirement'!CW54))</f>
        <v/>
      </c>
      <c r="CX54">
        <f>IF(COUNTIFS(T_StockCount[Part Name],$A54,T_StockCount[WeekIndex],101)&gt;0,SUMIFS(T_StockCount[CountedQty],T_StockCount[Part Name],$A54,T_StockCount[WeekIndex],101),IF((('T_SelfStock'!CX58&lt;&gt;""))*(('T_TTAFStock'!CX58&lt;&gt;""))&gt;0,'T_SelfStock'!CX58+'T_TTAFStock'!CX58,CW54+'Grid_Incoming'!CX54-'Grid_Requirement'!CX54))</f>
        <v/>
      </c>
      <c r="CY54">
        <f>IF(COUNTIFS(T_StockCount[Part Name],$A54,T_StockCount[WeekIndex],102)&gt;0,SUMIFS(T_StockCount[CountedQty],T_StockCount[Part Name],$A54,T_StockCount[WeekIndex],102),IF((('T_SelfStock'!CY58&lt;&gt;""))*(('T_TTAFStock'!CY58&lt;&gt;""))&gt;0,'T_SelfStock'!CY58+'T_TTAFStock'!CY58,CX54+'Grid_Incoming'!CY54-'Grid_Requirement'!CY54))</f>
        <v/>
      </c>
      <c r="CZ54">
        <f>IF(COUNTIFS(T_StockCount[Part Name],$A54,T_StockCount[WeekIndex],103)&gt;0,SUMIFS(T_StockCount[CountedQty],T_StockCount[Part Name],$A54,T_StockCount[WeekIndex],103),IF((('T_SelfStock'!CZ58&lt;&gt;""))*(('T_TTAFStock'!CZ58&lt;&gt;""))&gt;0,'T_SelfStock'!CZ58+'T_TTAFStock'!CZ58,CY54+'Grid_Incoming'!CZ54-'Grid_Requirement'!CZ54))</f>
        <v/>
      </c>
      <c r="DA54">
        <f>IF(COUNTIFS(T_StockCount[Part Name],$A54,T_StockCount[WeekIndex],104)&gt;0,SUMIFS(T_StockCount[CountedQty],T_StockCount[Part Name],$A54,T_StockCount[WeekIndex],104),IF((('T_SelfStock'!DA58&lt;&gt;""))*(('T_TTAFStock'!DA58&lt;&gt;""))&gt;0,'T_SelfStock'!DA58+'T_TTAFStock'!DA58,CZ54+'Grid_Incoming'!DA54-'Grid_Requirement'!DA54))</f>
        <v/>
      </c>
    </row>
    <row r="55">
      <c r="A55" t="inlineStr">
        <is>
          <t>Original Towel</t>
        </is>
      </c>
      <c r="B55">
        <f>IF(COUNTIFS(T_StockCount[Part Name],$A55,T_StockCount[WeekIndex],1)&gt;0,SUMIFS(T_StockCount[CountedQty],T_StockCount[Part Name],$A55,T_StockCount[WeekIndex],1),IF((('T_SelfStock'!B59&lt;&gt;""))*(('T_TTAFStock'!B59&lt;&gt;""))&gt;0,'T_SelfStock'!B59+'T_TTAFStock'!B59,IFERROR(INDEX(T_OpeningStock[Opening_Qty_要入力],MATCH($A55,T_OpeningStock[Part Name],0)),0)+'Grid_Incoming'!B55-'Grid_Requirement'!B55))</f>
        <v/>
      </c>
      <c r="C55">
        <f>IF(COUNTIFS(T_StockCount[Part Name],$A55,T_StockCount[WeekIndex],2)&gt;0,SUMIFS(T_StockCount[CountedQty],T_StockCount[Part Name],$A55,T_StockCount[WeekIndex],2),IF((('T_SelfStock'!C59&lt;&gt;""))*(('T_TTAFStock'!C59&lt;&gt;""))&gt;0,'T_SelfStock'!C59+'T_TTAFStock'!C59,B55+'Grid_Incoming'!C55-'Grid_Requirement'!C55))</f>
        <v/>
      </c>
      <c r="D55">
        <f>IF(COUNTIFS(T_StockCount[Part Name],$A55,T_StockCount[WeekIndex],3)&gt;0,SUMIFS(T_StockCount[CountedQty],T_StockCount[Part Name],$A55,T_StockCount[WeekIndex],3),IF((('T_SelfStock'!D59&lt;&gt;""))*(('T_TTAFStock'!D59&lt;&gt;""))&gt;0,'T_SelfStock'!D59+'T_TTAFStock'!D59,C55+'Grid_Incoming'!D55-'Grid_Requirement'!D55))</f>
        <v/>
      </c>
      <c r="E55">
        <f>IF(COUNTIFS(T_StockCount[Part Name],$A55,T_StockCount[WeekIndex],4)&gt;0,SUMIFS(T_StockCount[CountedQty],T_StockCount[Part Name],$A55,T_StockCount[WeekIndex],4),IF((('T_SelfStock'!E59&lt;&gt;""))*(('T_TTAFStock'!E59&lt;&gt;""))&gt;0,'T_SelfStock'!E59+'T_TTAFStock'!E59,D55+'Grid_Incoming'!E55-'Grid_Requirement'!E55))</f>
        <v/>
      </c>
      <c r="F55">
        <f>IF(COUNTIFS(T_StockCount[Part Name],$A55,T_StockCount[WeekIndex],5)&gt;0,SUMIFS(T_StockCount[CountedQty],T_StockCount[Part Name],$A55,T_StockCount[WeekIndex],5),IF((('T_SelfStock'!F59&lt;&gt;""))*(('T_TTAFStock'!F59&lt;&gt;""))&gt;0,'T_SelfStock'!F59+'T_TTAFStock'!F59,E55+'Grid_Incoming'!F55-'Grid_Requirement'!F55))</f>
        <v/>
      </c>
      <c r="G55">
        <f>IF(COUNTIFS(T_StockCount[Part Name],$A55,T_StockCount[WeekIndex],6)&gt;0,SUMIFS(T_StockCount[CountedQty],T_StockCount[Part Name],$A55,T_StockCount[WeekIndex],6),IF((('T_SelfStock'!G59&lt;&gt;""))*(('T_TTAFStock'!G59&lt;&gt;""))&gt;0,'T_SelfStock'!G59+'T_TTAFStock'!G59,F55+'Grid_Incoming'!G55-'Grid_Requirement'!G55))</f>
        <v/>
      </c>
      <c r="H55">
        <f>IF(COUNTIFS(T_StockCount[Part Name],$A55,T_StockCount[WeekIndex],7)&gt;0,SUMIFS(T_StockCount[CountedQty],T_StockCount[Part Name],$A55,T_StockCount[WeekIndex],7),IF((('T_SelfStock'!H59&lt;&gt;""))*(('T_TTAFStock'!H59&lt;&gt;""))&gt;0,'T_SelfStock'!H59+'T_TTAFStock'!H59,G55+'Grid_Incoming'!H55-'Grid_Requirement'!H55))</f>
        <v/>
      </c>
      <c r="I55">
        <f>IF(COUNTIFS(T_StockCount[Part Name],$A55,T_StockCount[WeekIndex],8)&gt;0,SUMIFS(T_StockCount[CountedQty],T_StockCount[Part Name],$A55,T_StockCount[WeekIndex],8),IF((('T_SelfStock'!I59&lt;&gt;""))*(('T_TTAFStock'!I59&lt;&gt;""))&gt;0,'T_SelfStock'!I59+'T_TTAFStock'!I59,H55+'Grid_Incoming'!I55-'Grid_Requirement'!I55))</f>
        <v/>
      </c>
      <c r="J55">
        <f>IF(COUNTIFS(T_StockCount[Part Name],$A55,T_StockCount[WeekIndex],9)&gt;0,SUMIFS(T_StockCount[CountedQty],T_StockCount[Part Name],$A55,T_StockCount[WeekIndex],9),IF((('T_SelfStock'!J59&lt;&gt;""))*(('T_TTAFStock'!J59&lt;&gt;""))&gt;0,'T_SelfStock'!J59+'T_TTAFStock'!J59,I55+'Grid_Incoming'!J55-'Grid_Requirement'!J55))</f>
        <v/>
      </c>
      <c r="K55">
        <f>IF(COUNTIFS(T_StockCount[Part Name],$A55,T_StockCount[WeekIndex],10)&gt;0,SUMIFS(T_StockCount[CountedQty],T_StockCount[Part Name],$A55,T_StockCount[WeekIndex],10),IF((('T_SelfStock'!K59&lt;&gt;""))*(('T_TTAFStock'!K59&lt;&gt;""))&gt;0,'T_SelfStock'!K59+'T_TTAFStock'!K59,J55+'Grid_Incoming'!K55-'Grid_Requirement'!K55))</f>
        <v/>
      </c>
      <c r="L55">
        <f>IF(COUNTIFS(T_StockCount[Part Name],$A55,T_StockCount[WeekIndex],11)&gt;0,SUMIFS(T_StockCount[CountedQty],T_StockCount[Part Name],$A55,T_StockCount[WeekIndex],11),IF((('T_SelfStock'!L59&lt;&gt;""))*(('T_TTAFStock'!L59&lt;&gt;""))&gt;0,'T_SelfStock'!L59+'T_TTAFStock'!L59,K55+'Grid_Incoming'!L55-'Grid_Requirement'!L55))</f>
        <v/>
      </c>
      <c r="M55">
        <f>IF(COUNTIFS(T_StockCount[Part Name],$A55,T_StockCount[WeekIndex],12)&gt;0,SUMIFS(T_StockCount[CountedQty],T_StockCount[Part Name],$A55,T_StockCount[WeekIndex],12),IF((('T_SelfStock'!M59&lt;&gt;""))*(('T_TTAFStock'!M59&lt;&gt;""))&gt;0,'T_SelfStock'!M59+'T_TTAFStock'!M59,L55+'Grid_Incoming'!M55-'Grid_Requirement'!M55))</f>
        <v/>
      </c>
      <c r="N55">
        <f>IF(COUNTIFS(T_StockCount[Part Name],$A55,T_StockCount[WeekIndex],13)&gt;0,SUMIFS(T_StockCount[CountedQty],T_StockCount[Part Name],$A55,T_StockCount[WeekIndex],13),IF((('T_SelfStock'!N59&lt;&gt;""))*(('T_TTAFStock'!N59&lt;&gt;""))&gt;0,'T_SelfStock'!N59+'T_TTAFStock'!N59,M55+'Grid_Incoming'!N55-'Grid_Requirement'!N55))</f>
        <v/>
      </c>
      <c r="O55">
        <f>IF(COUNTIFS(T_StockCount[Part Name],$A55,T_StockCount[WeekIndex],14)&gt;0,SUMIFS(T_StockCount[CountedQty],T_StockCount[Part Name],$A55,T_StockCount[WeekIndex],14),IF((('T_SelfStock'!O59&lt;&gt;""))*(('T_TTAFStock'!O59&lt;&gt;""))&gt;0,'T_SelfStock'!O59+'T_TTAFStock'!O59,N55+'Grid_Incoming'!O55-'Grid_Requirement'!O55))</f>
        <v/>
      </c>
      <c r="P55">
        <f>IF(COUNTIFS(T_StockCount[Part Name],$A55,T_StockCount[WeekIndex],15)&gt;0,SUMIFS(T_StockCount[CountedQty],T_StockCount[Part Name],$A55,T_StockCount[WeekIndex],15),IF((('T_SelfStock'!P59&lt;&gt;""))*(('T_TTAFStock'!P59&lt;&gt;""))&gt;0,'T_SelfStock'!P59+'T_TTAFStock'!P59,O55+'Grid_Incoming'!P55-'Grid_Requirement'!P55))</f>
        <v/>
      </c>
      <c r="Q55">
        <f>IF(COUNTIFS(T_StockCount[Part Name],$A55,T_StockCount[WeekIndex],16)&gt;0,SUMIFS(T_StockCount[CountedQty],T_StockCount[Part Name],$A55,T_StockCount[WeekIndex],16),IF((('T_SelfStock'!Q59&lt;&gt;""))*(('T_TTAFStock'!Q59&lt;&gt;""))&gt;0,'T_SelfStock'!Q59+'T_TTAFStock'!Q59,P55+'Grid_Incoming'!Q55-'Grid_Requirement'!Q55))</f>
        <v/>
      </c>
      <c r="R55">
        <f>IF(COUNTIFS(T_StockCount[Part Name],$A55,T_StockCount[WeekIndex],17)&gt;0,SUMIFS(T_StockCount[CountedQty],T_StockCount[Part Name],$A55,T_StockCount[WeekIndex],17),IF((('T_SelfStock'!R59&lt;&gt;""))*(('T_TTAFStock'!R59&lt;&gt;""))&gt;0,'T_SelfStock'!R59+'T_TTAFStock'!R59,Q55+'Grid_Incoming'!R55-'Grid_Requirement'!R55))</f>
        <v/>
      </c>
      <c r="S55">
        <f>IF(COUNTIFS(T_StockCount[Part Name],$A55,T_StockCount[WeekIndex],18)&gt;0,SUMIFS(T_StockCount[CountedQty],T_StockCount[Part Name],$A55,T_StockCount[WeekIndex],18),IF((('T_SelfStock'!S59&lt;&gt;""))*(('T_TTAFStock'!S59&lt;&gt;""))&gt;0,'T_SelfStock'!S59+'T_TTAFStock'!S59,R55+'Grid_Incoming'!S55-'Grid_Requirement'!S55))</f>
        <v/>
      </c>
      <c r="T55">
        <f>IF(COUNTIFS(T_StockCount[Part Name],$A55,T_StockCount[WeekIndex],19)&gt;0,SUMIFS(T_StockCount[CountedQty],T_StockCount[Part Name],$A55,T_StockCount[WeekIndex],19),IF((('T_SelfStock'!T59&lt;&gt;""))*(('T_TTAFStock'!T59&lt;&gt;""))&gt;0,'T_SelfStock'!T59+'T_TTAFStock'!T59,S55+'Grid_Incoming'!T55-'Grid_Requirement'!T55))</f>
        <v/>
      </c>
      <c r="U55">
        <f>IF(COUNTIFS(T_StockCount[Part Name],$A55,T_StockCount[WeekIndex],20)&gt;0,SUMIFS(T_StockCount[CountedQty],T_StockCount[Part Name],$A55,T_StockCount[WeekIndex],20),IF((('T_SelfStock'!U59&lt;&gt;""))*(('T_TTAFStock'!U59&lt;&gt;""))&gt;0,'T_SelfStock'!U59+'T_TTAFStock'!U59,T55+'Grid_Incoming'!U55-'Grid_Requirement'!U55))</f>
        <v/>
      </c>
      <c r="V55">
        <f>IF(COUNTIFS(T_StockCount[Part Name],$A55,T_StockCount[WeekIndex],21)&gt;0,SUMIFS(T_StockCount[CountedQty],T_StockCount[Part Name],$A55,T_StockCount[WeekIndex],21),IF((('T_SelfStock'!V59&lt;&gt;""))*(('T_TTAFStock'!V59&lt;&gt;""))&gt;0,'T_SelfStock'!V59+'T_TTAFStock'!V59,U55+'Grid_Incoming'!V55-'Grid_Requirement'!V55))</f>
        <v/>
      </c>
      <c r="W55">
        <f>IF(COUNTIFS(T_StockCount[Part Name],$A55,T_StockCount[WeekIndex],22)&gt;0,SUMIFS(T_StockCount[CountedQty],T_StockCount[Part Name],$A55,T_StockCount[WeekIndex],22),IF((('T_SelfStock'!W59&lt;&gt;""))*(('T_TTAFStock'!W59&lt;&gt;""))&gt;0,'T_SelfStock'!W59+'T_TTAFStock'!W59,V55+'Grid_Incoming'!W55-'Grid_Requirement'!W55))</f>
        <v/>
      </c>
      <c r="X55">
        <f>IF(COUNTIFS(T_StockCount[Part Name],$A55,T_StockCount[WeekIndex],23)&gt;0,SUMIFS(T_StockCount[CountedQty],T_StockCount[Part Name],$A55,T_StockCount[WeekIndex],23),IF((('T_SelfStock'!X59&lt;&gt;""))*(('T_TTAFStock'!X59&lt;&gt;""))&gt;0,'T_SelfStock'!X59+'T_TTAFStock'!X59,W55+'Grid_Incoming'!X55-'Grid_Requirement'!X55))</f>
        <v/>
      </c>
      <c r="Y55">
        <f>IF(COUNTIFS(T_StockCount[Part Name],$A55,T_StockCount[WeekIndex],24)&gt;0,SUMIFS(T_StockCount[CountedQty],T_StockCount[Part Name],$A55,T_StockCount[WeekIndex],24),IF((('T_SelfStock'!Y59&lt;&gt;""))*(('T_TTAFStock'!Y59&lt;&gt;""))&gt;0,'T_SelfStock'!Y59+'T_TTAFStock'!Y59,X55+'Grid_Incoming'!Y55-'Grid_Requirement'!Y55))</f>
        <v/>
      </c>
      <c r="Z55">
        <f>IF(COUNTIFS(T_StockCount[Part Name],$A55,T_StockCount[WeekIndex],25)&gt;0,SUMIFS(T_StockCount[CountedQty],T_StockCount[Part Name],$A55,T_StockCount[WeekIndex],25),IF((('T_SelfStock'!Z59&lt;&gt;""))*(('T_TTAFStock'!Z59&lt;&gt;""))&gt;0,'T_SelfStock'!Z59+'T_TTAFStock'!Z59,Y55+'Grid_Incoming'!Z55-'Grid_Requirement'!Z55))</f>
        <v/>
      </c>
      <c r="AA55">
        <f>IF(COUNTIFS(T_StockCount[Part Name],$A55,T_StockCount[WeekIndex],26)&gt;0,SUMIFS(T_StockCount[CountedQty],T_StockCount[Part Name],$A55,T_StockCount[WeekIndex],26),IF((('T_SelfStock'!AA59&lt;&gt;""))*(('T_TTAFStock'!AA59&lt;&gt;""))&gt;0,'T_SelfStock'!AA59+'T_TTAFStock'!AA59,Z55+'Grid_Incoming'!AA55-'Grid_Requirement'!AA55))</f>
        <v/>
      </c>
      <c r="AB55">
        <f>IF(COUNTIFS(T_StockCount[Part Name],$A55,T_StockCount[WeekIndex],27)&gt;0,SUMIFS(T_StockCount[CountedQty],T_StockCount[Part Name],$A55,T_StockCount[WeekIndex],27),IF((('T_SelfStock'!AB59&lt;&gt;""))*(('T_TTAFStock'!AB59&lt;&gt;""))&gt;0,'T_SelfStock'!AB59+'T_TTAFStock'!AB59,AA55+'Grid_Incoming'!AB55-'Grid_Requirement'!AB55))</f>
        <v/>
      </c>
      <c r="AC55">
        <f>IF(COUNTIFS(T_StockCount[Part Name],$A55,T_StockCount[WeekIndex],28)&gt;0,SUMIFS(T_StockCount[CountedQty],T_StockCount[Part Name],$A55,T_StockCount[WeekIndex],28),IF((('T_SelfStock'!AC59&lt;&gt;""))*(('T_TTAFStock'!AC59&lt;&gt;""))&gt;0,'T_SelfStock'!AC59+'T_TTAFStock'!AC59,AB55+'Grid_Incoming'!AC55-'Grid_Requirement'!AC55))</f>
        <v/>
      </c>
      <c r="AD55">
        <f>IF(COUNTIFS(T_StockCount[Part Name],$A55,T_StockCount[WeekIndex],29)&gt;0,SUMIFS(T_StockCount[CountedQty],T_StockCount[Part Name],$A55,T_StockCount[WeekIndex],29),IF((('T_SelfStock'!AD59&lt;&gt;""))*(('T_TTAFStock'!AD59&lt;&gt;""))&gt;0,'T_SelfStock'!AD59+'T_TTAFStock'!AD59,AC55+'Grid_Incoming'!AD55-'Grid_Requirement'!AD55))</f>
        <v/>
      </c>
      <c r="AE55">
        <f>IF(COUNTIFS(T_StockCount[Part Name],$A55,T_StockCount[WeekIndex],30)&gt;0,SUMIFS(T_StockCount[CountedQty],T_StockCount[Part Name],$A55,T_StockCount[WeekIndex],30),IF((('T_SelfStock'!AE59&lt;&gt;""))*(('T_TTAFStock'!AE59&lt;&gt;""))&gt;0,'T_SelfStock'!AE59+'T_TTAFStock'!AE59,AD55+'Grid_Incoming'!AE55-'Grid_Requirement'!AE55))</f>
        <v/>
      </c>
      <c r="AF55">
        <f>IF(COUNTIFS(T_StockCount[Part Name],$A55,T_StockCount[WeekIndex],31)&gt;0,SUMIFS(T_StockCount[CountedQty],T_StockCount[Part Name],$A55,T_StockCount[WeekIndex],31),IF((('T_SelfStock'!AF59&lt;&gt;""))*(('T_TTAFStock'!AF59&lt;&gt;""))&gt;0,'T_SelfStock'!AF59+'T_TTAFStock'!AF59,AE55+'Grid_Incoming'!AF55-'Grid_Requirement'!AF55))</f>
        <v/>
      </c>
      <c r="AG55">
        <f>IF(COUNTIFS(T_StockCount[Part Name],$A55,T_StockCount[WeekIndex],32)&gt;0,SUMIFS(T_StockCount[CountedQty],T_StockCount[Part Name],$A55,T_StockCount[WeekIndex],32),IF((('T_SelfStock'!AG59&lt;&gt;""))*(('T_TTAFStock'!AG59&lt;&gt;""))&gt;0,'T_SelfStock'!AG59+'T_TTAFStock'!AG59,AF55+'Grid_Incoming'!AG55-'Grid_Requirement'!AG55))</f>
        <v/>
      </c>
      <c r="AH55">
        <f>IF(COUNTIFS(T_StockCount[Part Name],$A55,T_StockCount[WeekIndex],33)&gt;0,SUMIFS(T_StockCount[CountedQty],T_StockCount[Part Name],$A55,T_StockCount[WeekIndex],33),IF((('T_SelfStock'!AH59&lt;&gt;""))*(('T_TTAFStock'!AH59&lt;&gt;""))&gt;0,'T_SelfStock'!AH59+'T_TTAFStock'!AH59,AG55+'Grid_Incoming'!AH55-'Grid_Requirement'!AH55))</f>
        <v/>
      </c>
      <c r="AI55">
        <f>IF(COUNTIFS(T_StockCount[Part Name],$A55,T_StockCount[WeekIndex],34)&gt;0,SUMIFS(T_StockCount[CountedQty],T_StockCount[Part Name],$A55,T_StockCount[WeekIndex],34),IF((('T_SelfStock'!AI59&lt;&gt;""))*(('T_TTAFStock'!AI59&lt;&gt;""))&gt;0,'T_SelfStock'!AI59+'T_TTAFStock'!AI59,AH55+'Grid_Incoming'!AI55-'Grid_Requirement'!AI55))</f>
        <v/>
      </c>
      <c r="AJ55">
        <f>IF(COUNTIFS(T_StockCount[Part Name],$A55,T_StockCount[WeekIndex],35)&gt;0,SUMIFS(T_StockCount[CountedQty],T_StockCount[Part Name],$A55,T_StockCount[WeekIndex],35),IF((('T_SelfStock'!AJ59&lt;&gt;""))*(('T_TTAFStock'!AJ59&lt;&gt;""))&gt;0,'T_SelfStock'!AJ59+'T_TTAFStock'!AJ59,AI55+'Grid_Incoming'!AJ55-'Grid_Requirement'!AJ55))</f>
        <v/>
      </c>
      <c r="AK55">
        <f>IF(COUNTIFS(T_StockCount[Part Name],$A55,T_StockCount[WeekIndex],36)&gt;0,SUMIFS(T_StockCount[CountedQty],T_StockCount[Part Name],$A55,T_StockCount[WeekIndex],36),IF((('T_SelfStock'!AK59&lt;&gt;""))*(('T_TTAFStock'!AK59&lt;&gt;""))&gt;0,'T_SelfStock'!AK59+'T_TTAFStock'!AK59,AJ55+'Grid_Incoming'!AK55-'Grid_Requirement'!AK55))</f>
        <v/>
      </c>
      <c r="AL55">
        <f>IF(COUNTIFS(T_StockCount[Part Name],$A55,T_StockCount[WeekIndex],37)&gt;0,SUMIFS(T_StockCount[CountedQty],T_StockCount[Part Name],$A55,T_StockCount[WeekIndex],37),IF((('T_SelfStock'!AL59&lt;&gt;""))*(('T_TTAFStock'!AL59&lt;&gt;""))&gt;0,'T_SelfStock'!AL59+'T_TTAFStock'!AL59,AK55+'Grid_Incoming'!AL55-'Grid_Requirement'!AL55))</f>
        <v/>
      </c>
      <c r="AM55">
        <f>IF(COUNTIFS(T_StockCount[Part Name],$A55,T_StockCount[WeekIndex],38)&gt;0,SUMIFS(T_StockCount[CountedQty],T_StockCount[Part Name],$A55,T_StockCount[WeekIndex],38),IF((('T_SelfStock'!AM59&lt;&gt;""))*(('T_TTAFStock'!AM59&lt;&gt;""))&gt;0,'T_SelfStock'!AM59+'T_TTAFStock'!AM59,AL55+'Grid_Incoming'!AM55-'Grid_Requirement'!AM55))</f>
        <v/>
      </c>
      <c r="AN55">
        <f>IF(COUNTIFS(T_StockCount[Part Name],$A55,T_StockCount[WeekIndex],39)&gt;0,SUMIFS(T_StockCount[CountedQty],T_StockCount[Part Name],$A55,T_StockCount[WeekIndex],39),IF((('T_SelfStock'!AN59&lt;&gt;""))*(('T_TTAFStock'!AN59&lt;&gt;""))&gt;0,'T_SelfStock'!AN59+'T_TTAFStock'!AN59,AM55+'Grid_Incoming'!AN55-'Grid_Requirement'!AN55))</f>
        <v/>
      </c>
      <c r="AO55">
        <f>IF(COUNTIFS(T_StockCount[Part Name],$A55,T_StockCount[WeekIndex],40)&gt;0,SUMIFS(T_StockCount[CountedQty],T_StockCount[Part Name],$A55,T_StockCount[WeekIndex],40),IF((('T_SelfStock'!AO59&lt;&gt;""))*(('T_TTAFStock'!AO59&lt;&gt;""))&gt;0,'T_SelfStock'!AO59+'T_TTAFStock'!AO59,AN55+'Grid_Incoming'!AO55-'Grid_Requirement'!AO55))</f>
        <v/>
      </c>
      <c r="AP55">
        <f>IF(COUNTIFS(T_StockCount[Part Name],$A55,T_StockCount[WeekIndex],41)&gt;0,SUMIFS(T_StockCount[CountedQty],T_StockCount[Part Name],$A55,T_StockCount[WeekIndex],41),IF((('T_SelfStock'!AP59&lt;&gt;""))*(('T_TTAFStock'!AP59&lt;&gt;""))&gt;0,'T_SelfStock'!AP59+'T_TTAFStock'!AP59,AO55+'Grid_Incoming'!AP55-'Grid_Requirement'!AP55))</f>
        <v/>
      </c>
      <c r="AQ55">
        <f>IF(COUNTIFS(T_StockCount[Part Name],$A55,T_StockCount[WeekIndex],42)&gt;0,SUMIFS(T_StockCount[CountedQty],T_StockCount[Part Name],$A55,T_StockCount[WeekIndex],42),IF((('T_SelfStock'!AQ59&lt;&gt;""))*(('T_TTAFStock'!AQ59&lt;&gt;""))&gt;0,'T_SelfStock'!AQ59+'T_TTAFStock'!AQ59,AP55+'Grid_Incoming'!AQ55-'Grid_Requirement'!AQ55))</f>
        <v/>
      </c>
      <c r="AR55">
        <f>IF(COUNTIFS(T_StockCount[Part Name],$A55,T_StockCount[WeekIndex],43)&gt;0,SUMIFS(T_StockCount[CountedQty],T_StockCount[Part Name],$A55,T_StockCount[WeekIndex],43),IF((('T_SelfStock'!AR59&lt;&gt;""))*(('T_TTAFStock'!AR59&lt;&gt;""))&gt;0,'T_SelfStock'!AR59+'T_TTAFStock'!AR59,AQ55+'Grid_Incoming'!AR55-'Grid_Requirement'!AR55))</f>
        <v/>
      </c>
      <c r="AS55">
        <f>IF(COUNTIFS(T_StockCount[Part Name],$A55,T_StockCount[WeekIndex],44)&gt;0,SUMIFS(T_StockCount[CountedQty],T_StockCount[Part Name],$A55,T_StockCount[WeekIndex],44),IF((('T_SelfStock'!AS59&lt;&gt;""))*(('T_TTAFStock'!AS59&lt;&gt;""))&gt;0,'T_SelfStock'!AS59+'T_TTAFStock'!AS59,AR55+'Grid_Incoming'!AS55-'Grid_Requirement'!AS55))</f>
        <v/>
      </c>
      <c r="AT55">
        <f>IF(COUNTIFS(T_StockCount[Part Name],$A55,T_StockCount[WeekIndex],45)&gt;0,SUMIFS(T_StockCount[CountedQty],T_StockCount[Part Name],$A55,T_StockCount[WeekIndex],45),IF((('T_SelfStock'!AT59&lt;&gt;""))*(('T_TTAFStock'!AT59&lt;&gt;""))&gt;0,'T_SelfStock'!AT59+'T_TTAFStock'!AT59,AS55+'Grid_Incoming'!AT55-'Grid_Requirement'!AT55))</f>
        <v/>
      </c>
      <c r="AU55">
        <f>IF(COUNTIFS(T_StockCount[Part Name],$A55,T_StockCount[WeekIndex],46)&gt;0,SUMIFS(T_StockCount[CountedQty],T_StockCount[Part Name],$A55,T_StockCount[WeekIndex],46),IF((('T_SelfStock'!AU59&lt;&gt;""))*(('T_TTAFStock'!AU59&lt;&gt;""))&gt;0,'T_SelfStock'!AU59+'T_TTAFStock'!AU59,AT55+'Grid_Incoming'!AU55-'Grid_Requirement'!AU55))</f>
        <v/>
      </c>
      <c r="AV55">
        <f>IF(COUNTIFS(T_StockCount[Part Name],$A55,T_StockCount[WeekIndex],47)&gt;0,SUMIFS(T_StockCount[CountedQty],T_StockCount[Part Name],$A55,T_StockCount[WeekIndex],47),IF((('T_SelfStock'!AV59&lt;&gt;""))*(('T_TTAFStock'!AV59&lt;&gt;""))&gt;0,'T_SelfStock'!AV59+'T_TTAFStock'!AV59,AU55+'Grid_Incoming'!AV55-'Grid_Requirement'!AV55))</f>
        <v/>
      </c>
      <c r="AW55">
        <f>IF(COUNTIFS(T_StockCount[Part Name],$A55,T_StockCount[WeekIndex],48)&gt;0,SUMIFS(T_StockCount[CountedQty],T_StockCount[Part Name],$A55,T_StockCount[WeekIndex],48),IF((('T_SelfStock'!AW59&lt;&gt;""))*(('T_TTAFStock'!AW59&lt;&gt;""))&gt;0,'T_SelfStock'!AW59+'T_TTAFStock'!AW59,AV55+'Grid_Incoming'!AW55-'Grid_Requirement'!AW55))</f>
        <v/>
      </c>
      <c r="AX55">
        <f>IF(COUNTIFS(T_StockCount[Part Name],$A55,T_StockCount[WeekIndex],49)&gt;0,SUMIFS(T_StockCount[CountedQty],T_StockCount[Part Name],$A55,T_StockCount[WeekIndex],49),IF((('T_SelfStock'!AX59&lt;&gt;""))*(('T_TTAFStock'!AX59&lt;&gt;""))&gt;0,'T_SelfStock'!AX59+'T_TTAFStock'!AX59,AW55+'Grid_Incoming'!AX55-'Grid_Requirement'!AX55))</f>
        <v/>
      </c>
      <c r="AY55">
        <f>IF(COUNTIFS(T_StockCount[Part Name],$A55,T_StockCount[WeekIndex],50)&gt;0,SUMIFS(T_StockCount[CountedQty],T_StockCount[Part Name],$A55,T_StockCount[WeekIndex],50),IF((('T_SelfStock'!AY59&lt;&gt;""))*(('T_TTAFStock'!AY59&lt;&gt;""))&gt;0,'T_SelfStock'!AY59+'T_TTAFStock'!AY59,AX55+'Grid_Incoming'!AY55-'Grid_Requirement'!AY55))</f>
        <v/>
      </c>
      <c r="AZ55">
        <f>IF(COUNTIFS(T_StockCount[Part Name],$A55,T_StockCount[WeekIndex],51)&gt;0,SUMIFS(T_StockCount[CountedQty],T_StockCount[Part Name],$A55,T_StockCount[WeekIndex],51),IF((('T_SelfStock'!AZ59&lt;&gt;""))*(('T_TTAFStock'!AZ59&lt;&gt;""))&gt;0,'T_SelfStock'!AZ59+'T_TTAFStock'!AZ59,AY55+'Grid_Incoming'!AZ55-'Grid_Requirement'!AZ55))</f>
        <v/>
      </c>
      <c r="BA55">
        <f>IF(COUNTIFS(T_StockCount[Part Name],$A55,T_StockCount[WeekIndex],52)&gt;0,SUMIFS(T_StockCount[CountedQty],T_StockCount[Part Name],$A55,T_StockCount[WeekIndex],52),IF((('T_SelfStock'!BA59&lt;&gt;""))*(('T_TTAFStock'!BA59&lt;&gt;""))&gt;0,'T_SelfStock'!BA59+'T_TTAFStock'!BA59,AZ55+'Grid_Incoming'!BA55-'Grid_Requirement'!BA55))</f>
        <v/>
      </c>
      <c r="BB55">
        <f>IF(COUNTIFS(T_StockCount[Part Name],$A55,T_StockCount[WeekIndex],53)&gt;0,SUMIFS(T_StockCount[CountedQty],T_StockCount[Part Name],$A55,T_StockCount[WeekIndex],53),IF((('T_SelfStock'!BB59&lt;&gt;""))*(('T_TTAFStock'!BB59&lt;&gt;""))&gt;0,'T_SelfStock'!BB59+'T_TTAFStock'!BB59,BA55+'Grid_Incoming'!BB55-'Grid_Requirement'!BB55))</f>
        <v/>
      </c>
      <c r="BC55">
        <f>IF(COUNTIFS(T_StockCount[Part Name],$A55,T_StockCount[WeekIndex],54)&gt;0,SUMIFS(T_StockCount[CountedQty],T_StockCount[Part Name],$A55,T_StockCount[WeekIndex],54),IF((('T_SelfStock'!BC59&lt;&gt;""))*(('T_TTAFStock'!BC59&lt;&gt;""))&gt;0,'T_SelfStock'!BC59+'T_TTAFStock'!BC59,BB55+'Grid_Incoming'!BC55-'Grid_Requirement'!BC55))</f>
        <v/>
      </c>
      <c r="BD55">
        <f>IF(COUNTIFS(T_StockCount[Part Name],$A55,T_StockCount[WeekIndex],55)&gt;0,SUMIFS(T_StockCount[CountedQty],T_StockCount[Part Name],$A55,T_StockCount[WeekIndex],55),IF((('T_SelfStock'!BD59&lt;&gt;""))*(('T_TTAFStock'!BD59&lt;&gt;""))&gt;0,'T_SelfStock'!BD59+'T_TTAFStock'!BD59,BC55+'Grid_Incoming'!BD55-'Grid_Requirement'!BD55))</f>
        <v/>
      </c>
      <c r="BE55">
        <f>IF(COUNTIFS(T_StockCount[Part Name],$A55,T_StockCount[WeekIndex],56)&gt;0,SUMIFS(T_StockCount[CountedQty],T_StockCount[Part Name],$A55,T_StockCount[WeekIndex],56),IF((('T_SelfStock'!BE59&lt;&gt;""))*(('T_TTAFStock'!BE59&lt;&gt;""))&gt;0,'T_SelfStock'!BE59+'T_TTAFStock'!BE59,BD55+'Grid_Incoming'!BE55-'Grid_Requirement'!BE55))</f>
        <v/>
      </c>
      <c r="BF55">
        <f>IF(COUNTIFS(T_StockCount[Part Name],$A55,T_StockCount[WeekIndex],57)&gt;0,SUMIFS(T_StockCount[CountedQty],T_StockCount[Part Name],$A55,T_StockCount[WeekIndex],57),IF((('T_SelfStock'!BF59&lt;&gt;""))*(('T_TTAFStock'!BF59&lt;&gt;""))&gt;0,'T_SelfStock'!BF59+'T_TTAFStock'!BF59,BE55+'Grid_Incoming'!BF55-'Grid_Requirement'!BF55))</f>
        <v/>
      </c>
      <c r="BG55">
        <f>IF(COUNTIFS(T_StockCount[Part Name],$A55,T_StockCount[WeekIndex],58)&gt;0,SUMIFS(T_StockCount[CountedQty],T_StockCount[Part Name],$A55,T_StockCount[WeekIndex],58),IF((('T_SelfStock'!BG59&lt;&gt;""))*(('T_TTAFStock'!BG59&lt;&gt;""))&gt;0,'T_SelfStock'!BG59+'T_TTAFStock'!BG59,BF55+'Grid_Incoming'!BG55-'Grid_Requirement'!BG55))</f>
        <v/>
      </c>
      <c r="BH55">
        <f>IF(COUNTIFS(T_StockCount[Part Name],$A55,T_StockCount[WeekIndex],59)&gt;0,SUMIFS(T_StockCount[CountedQty],T_StockCount[Part Name],$A55,T_StockCount[WeekIndex],59),IF((('T_SelfStock'!BH59&lt;&gt;""))*(('T_TTAFStock'!BH59&lt;&gt;""))&gt;0,'T_SelfStock'!BH59+'T_TTAFStock'!BH59,BG55+'Grid_Incoming'!BH55-'Grid_Requirement'!BH55))</f>
        <v/>
      </c>
      <c r="BI55">
        <f>IF(COUNTIFS(T_StockCount[Part Name],$A55,T_StockCount[WeekIndex],60)&gt;0,SUMIFS(T_StockCount[CountedQty],T_StockCount[Part Name],$A55,T_StockCount[WeekIndex],60),IF((('T_SelfStock'!BI59&lt;&gt;""))*(('T_TTAFStock'!BI59&lt;&gt;""))&gt;0,'T_SelfStock'!BI59+'T_TTAFStock'!BI59,BH55+'Grid_Incoming'!BI55-'Grid_Requirement'!BI55))</f>
        <v/>
      </c>
      <c r="BJ55">
        <f>IF(COUNTIFS(T_StockCount[Part Name],$A55,T_StockCount[WeekIndex],61)&gt;0,SUMIFS(T_StockCount[CountedQty],T_StockCount[Part Name],$A55,T_StockCount[WeekIndex],61),IF((('T_SelfStock'!BJ59&lt;&gt;""))*(('T_TTAFStock'!BJ59&lt;&gt;""))&gt;0,'T_SelfStock'!BJ59+'T_TTAFStock'!BJ59,BI55+'Grid_Incoming'!BJ55-'Grid_Requirement'!BJ55))</f>
        <v/>
      </c>
      <c r="BK55">
        <f>IF(COUNTIFS(T_StockCount[Part Name],$A55,T_StockCount[WeekIndex],62)&gt;0,SUMIFS(T_StockCount[CountedQty],T_StockCount[Part Name],$A55,T_StockCount[WeekIndex],62),IF((('T_SelfStock'!BK59&lt;&gt;""))*(('T_TTAFStock'!BK59&lt;&gt;""))&gt;0,'T_SelfStock'!BK59+'T_TTAFStock'!BK59,BJ55+'Grid_Incoming'!BK55-'Grid_Requirement'!BK55))</f>
        <v/>
      </c>
      <c r="BL55">
        <f>IF(COUNTIFS(T_StockCount[Part Name],$A55,T_StockCount[WeekIndex],63)&gt;0,SUMIFS(T_StockCount[CountedQty],T_StockCount[Part Name],$A55,T_StockCount[WeekIndex],63),IF((('T_SelfStock'!BL59&lt;&gt;""))*(('T_TTAFStock'!BL59&lt;&gt;""))&gt;0,'T_SelfStock'!BL59+'T_TTAFStock'!BL59,BK55+'Grid_Incoming'!BL55-'Grid_Requirement'!BL55))</f>
        <v/>
      </c>
      <c r="BM55">
        <f>IF(COUNTIFS(T_StockCount[Part Name],$A55,T_StockCount[WeekIndex],64)&gt;0,SUMIFS(T_StockCount[CountedQty],T_StockCount[Part Name],$A55,T_StockCount[WeekIndex],64),IF((('T_SelfStock'!BM59&lt;&gt;""))*(('T_TTAFStock'!BM59&lt;&gt;""))&gt;0,'T_SelfStock'!BM59+'T_TTAFStock'!BM59,BL55+'Grid_Incoming'!BM55-'Grid_Requirement'!BM55))</f>
        <v/>
      </c>
      <c r="BN55">
        <f>IF(COUNTIFS(T_StockCount[Part Name],$A55,T_StockCount[WeekIndex],65)&gt;0,SUMIFS(T_StockCount[CountedQty],T_StockCount[Part Name],$A55,T_StockCount[WeekIndex],65),IF((('T_SelfStock'!BN59&lt;&gt;""))*(('T_TTAFStock'!BN59&lt;&gt;""))&gt;0,'T_SelfStock'!BN59+'T_TTAFStock'!BN59,BM55+'Grid_Incoming'!BN55-'Grid_Requirement'!BN55))</f>
        <v/>
      </c>
      <c r="BO55">
        <f>IF(COUNTIFS(T_StockCount[Part Name],$A55,T_StockCount[WeekIndex],66)&gt;0,SUMIFS(T_StockCount[CountedQty],T_StockCount[Part Name],$A55,T_StockCount[WeekIndex],66),IF((('T_SelfStock'!BO59&lt;&gt;""))*(('T_TTAFStock'!BO59&lt;&gt;""))&gt;0,'T_SelfStock'!BO59+'T_TTAFStock'!BO59,BN55+'Grid_Incoming'!BO55-'Grid_Requirement'!BO55))</f>
        <v/>
      </c>
      <c r="BP55">
        <f>IF(COUNTIFS(T_StockCount[Part Name],$A55,T_StockCount[WeekIndex],67)&gt;0,SUMIFS(T_StockCount[CountedQty],T_StockCount[Part Name],$A55,T_StockCount[WeekIndex],67),IF((('T_SelfStock'!BP59&lt;&gt;""))*(('T_TTAFStock'!BP59&lt;&gt;""))&gt;0,'T_SelfStock'!BP59+'T_TTAFStock'!BP59,BO55+'Grid_Incoming'!BP55-'Grid_Requirement'!BP55))</f>
        <v/>
      </c>
      <c r="BQ55">
        <f>IF(COUNTIFS(T_StockCount[Part Name],$A55,T_StockCount[WeekIndex],68)&gt;0,SUMIFS(T_StockCount[CountedQty],T_StockCount[Part Name],$A55,T_StockCount[WeekIndex],68),IF((('T_SelfStock'!BQ59&lt;&gt;""))*(('T_TTAFStock'!BQ59&lt;&gt;""))&gt;0,'T_SelfStock'!BQ59+'T_TTAFStock'!BQ59,BP55+'Grid_Incoming'!BQ55-'Grid_Requirement'!BQ55))</f>
        <v/>
      </c>
      <c r="BR55">
        <f>IF(COUNTIFS(T_StockCount[Part Name],$A55,T_StockCount[WeekIndex],69)&gt;0,SUMIFS(T_StockCount[CountedQty],T_StockCount[Part Name],$A55,T_StockCount[WeekIndex],69),IF((('T_SelfStock'!BR59&lt;&gt;""))*(('T_TTAFStock'!BR59&lt;&gt;""))&gt;0,'T_SelfStock'!BR59+'T_TTAFStock'!BR59,BQ55+'Grid_Incoming'!BR55-'Grid_Requirement'!BR55))</f>
        <v/>
      </c>
      <c r="BS55">
        <f>IF(COUNTIFS(T_StockCount[Part Name],$A55,T_StockCount[WeekIndex],70)&gt;0,SUMIFS(T_StockCount[CountedQty],T_StockCount[Part Name],$A55,T_StockCount[WeekIndex],70),IF((('T_SelfStock'!BS59&lt;&gt;""))*(('T_TTAFStock'!BS59&lt;&gt;""))&gt;0,'T_SelfStock'!BS59+'T_TTAFStock'!BS59,BR55+'Grid_Incoming'!BS55-'Grid_Requirement'!BS55))</f>
        <v/>
      </c>
      <c r="BT55">
        <f>IF(COUNTIFS(T_StockCount[Part Name],$A55,T_StockCount[WeekIndex],71)&gt;0,SUMIFS(T_StockCount[CountedQty],T_StockCount[Part Name],$A55,T_StockCount[WeekIndex],71),IF((('T_SelfStock'!BT59&lt;&gt;""))*(('T_TTAFStock'!BT59&lt;&gt;""))&gt;0,'T_SelfStock'!BT59+'T_TTAFStock'!BT59,BS55+'Grid_Incoming'!BT55-'Grid_Requirement'!BT55))</f>
        <v/>
      </c>
      <c r="BU55">
        <f>IF(COUNTIFS(T_StockCount[Part Name],$A55,T_StockCount[WeekIndex],72)&gt;0,SUMIFS(T_StockCount[CountedQty],T_StockCount[Part Name],$A55,T_StockCount[WeekIndex],72),IF((('T_SelfStock'!BU59&lt;&gt;""))*(('T_TTAFStock'!BU59&lt;&gt;""))&gt;0,'T_SelfStock'!BU59+'T_TTAFStock'!BU59,BT55+'Grid_Incoming'!BU55-'Grid_Requirement'!BU55))</f>
        <v/>
      </c>
      <c r="BV55">
        <f>IF(COUNTIFS(T_StockCount[Part Name],$A55,T_StockCount[WeekIndex],73)&gt;0,SUMIFS(T_StockCount[CountedQty],T_StockCount[Part Name],$A55,T_StockCount[WeekIndex],73),IF((('T_SelfStock'!BV59&lt;&gt;""))*(('T_TTAFStock'!BV59&lt;&gt;""))&gt;0,'T_SelfStock'!BV59+'T_TTAFStock'!BV59,BU55+'Grid_Incoming'!BV55-'Grid_Requirement'!BV55))</f>
        <v/>
      </c>
      <c r="BW55">
        <f>IF(COUNTIFS(T_StockCount[Part Name],$A55,T_StockCount[WeekIndex],74)&gt;0,SUMIFS(T_StockCount[CountedQty],T_StockCount[Part Name],$A55,T_StockCount[WeekIndex],74),IF((('T_SelfStock'!BW59&lt;&gt;""))*(('T_TTAFStock'!BW59&lt;&gt;""))&gt;0,'T_SelfStock'!BW59+'T_TTAFStock'!BW59,BV55+'Grid_Incoming'!BW55-'Grid_Requirement'!BW55))</f>
        <v/>
      </c>
      <c r="BX55">
        <f>IF(COUNTIFS(T_StockCount[Part Name],$A55,T_StockCount[WeekIndex],75)&gt;0,SUMIFS(T_StockCount[CountedQty],T_StockCount[Part Name],$A55,T_StockCount[WeekIndex],75),IF((('T_SelfStock'!BX59&lt;&gt;""))*(('T_TTAFStock'!BX59&lt;&gt;""))&gt;0,'T_SelfStock'!BX59+'T_TTAFStock'!BX59,BW55+'Grid_Incoming'!BX55-'Grid_Requirement'!BX55))</f>
        <v/>
      </c>
      <c r="BY55">
        <f>IF(COUNTIFS(T_StockCount[Part Name],$A55,T_StockCount[WeekIndex],76)&gt;0,SUMIFS(T_StockCount[CountedQty],T_StockCount[Part Name],$A55,T_StockCount[WeekIndex],76),IF((('T_SelfStock'!BY59&lt;&gt;""))*(('T_TTAFStock'!BY59&lt;&gt;""))&gt;0,'T_SelfStock'!BY59+'T_TTAFStock'!BY59,BX55+'Grid_Incoming'!BY55-'Grid_Requirement'!BY55))</f>
        <v/>
      </c>
      <c r="BZ55">
        <f>IF(COUNTIFS(T_StockCount[Part Name],$A55,T_StockCount[WeekIndex],77)&gt;0,SUMIFS(T_StockCount[CountedQty],T_StockCount[Part Name],$A55,T_StockCount[WeekIndex],77),IF((('T_SelfStock'!BZ59&lt;&gt;""))*(('T_TTAFStock'!BZ59&lt;&gt;""))&gt;0,'T_SelfStock'!BZ59+'T_TTAFStock'!BZ59,BY55+'Grid_Incoming'!BZ55-'Grid_Requirement'!BZ55))</f>
        <v/>
      </c>
      <c r="CA55">
        <f>IF(COUNTIFS(T_StockCount[Part Name],$A55,T_StockCount[WeekIndex],78)&gt;0,SUMIFS(T_StockCount[CountedQty],T_StockCount[Part Name],$A55,T_StockCount[WeekIndex],78),IF((('T_SelfStock'!CA59&lt;&gt;""))*(('T_TTAFStock'!CA59&lt;&gt;""))&gt;0,'T_SelfStock'!CA59+'T_TTAFStock'!CA59,BZ55+'Grid_Incoming'!CA55-'Grid_Requirement'!CA55))</f>
        <v/>
      </c>
      <c r="CB55">
        <f>IF(COUNTIFS(T_StockCount[Part Name],$A55,T_StockCount[WeekIndex],79)&gt;0,SUMIFS(T_StockCount[CountedQty],T_StockCount[Part Name],$A55,T_StockCount[WeekIndex],79),IF((('T_SelfStock'!CB59&lt;&gt;""))*(('T_TTAFStock'!CB59&lt;&gt;""))&gt;0,'T_SelfStock'!CB59+'T_TTAFStock'!CB59,CA55+'Grid_Incoming'!CB55-'Grid_Requirement'!CB55))</f>
        <v/>
      </c>
      <c r="CC55">
        <f>IF(COUNTIFS(T_StockCount[Part Name],$A55,T_StockCount[WeekIndex],80)&gt;0,SUMIFS(T_StockCount[CountedQty],T_StockCount[Part Name],$A55,T_StockCount[WeekIndex],80),IF((('T_SelfStock'!CC59&lt;&gt;""))*(('T_TTAFStock'!CC59&lt;&gt;""))&gt;0,'T_SelfStock'!CC59+'T_TTAFStock'!CC59,CB55+'Grid_Incoming'!CC55-'Grid_Requirement'!CC55))</f>
        <v/>
      </c>
      <c r="CD55">
        <f>IF(COUNTIFS(T_StockCount[Part Name],$A55,T_StockCount[WeekIndex],81)&gt;0,SUMIFS(T_StockCount[CountedQty],T_StockCount[Part Name],$A55,T_StockCount[WeekIndex],81),IF((('T_SelfStock'!CD59&lt;&gt;""))*(('T_TTAFStock'!CD59&lt;&gt;""))&gt;0,'T_SelfStock'!CD59+'T_TTAFStock'!CD59,CC55+'Grid_Incoming'!CD55-'Grid_Requirement'!CD55))</f>
        <v/>
      </c>
      <c r="CE55">
        <f>IF(COUNTIFS(T_StockCount[Part Name],$A55,T_StockCount[WeekIndex],82)&gt;0,SUMIFS(T_StockCount[CountedQty],T_StockCount[Part Name],$A55,T_StockCount[WeekIndex],82),IF((('T_SelfStock'!CE59&lt;&gt;""))*(('T_TTAFStock'!CE59&lt;&gt;""))&gt;0,'T_SelfStock'!CE59+'T_TTAFStock'!CE59,CD55+'Grid_Incoming'!CE55-'Grid_Requirement'!CE55))</f>
        <v/>
      </c>
      <c r="CF55">
        <f>IF(COUNTIFS(T_StockCount[Part Name],$A55,T_StockCount[WeekIndex],83)&gt;0,SUMIFS(T_StockCount[CountedQty],T_StockCount[Part Name],$A55,T_StockCount[WeekIndex],83),IF((('T_SelfStock'!CF59&lt;&gt;""))*(('T_TTAFStock'!CF59&lt;&gt;""))&gt;0,'T_SelfStock'!CF59+'T_TTAFStock'!CF59,CE55+'Grid_Incoming'!CF55-'Grid_Requirement'!CF55))</f>
        <v/>
      </c>
      <c r="CG55">
        <f>IF(COUNTIFS(T_StockCount[Part Name],$A55,T_StockCount[WeekIndex],84)&gt;0,SUMIFS(T_StockCount[CountedQty],T_StockCount[Part Name],$A55,T_StockCount[WeekIndex],84),IF((('T_SelfStock'!CG59&lt;&gt;""))*(('T_TTAFStock'!CG59&lt;&gt;""))&gt;0,'T_SelfStock'!CG59+'T_TTAFStock'!CG59,CF55+'Grid_Incoming'!CG55-'Grid_Requirement'!CG55))</f>
        <v/>
      </c>
      <c r="CH55">
        <f>IF(COUNTIFS(T_StockCount[Part Name],$A55,T_StockCount[WeekIndex],85)&gt;0,SUMIFS(T_StockCount[CountedQty],T_StockCount[Part Name],$A55,T_StockCount[WeekIndex],85),IF((('T_SelfStock'!CH59&lt;&gt;""))*(('T_TTAFStock'!CH59&lt;&gt;""))&gt;0,'T_SelfStock'!CH59+'T_TTAFStock'!CH59,CG55+'Grid_Incoming'!CH55-'Grid_Requirement'!CH55))</f>
        <v/>
      </c>
      <c r="CI55">
        <f>IF(COUNTIFS(T_StockCount[Part Name],$A55,T_StockCount[WeekIndex],86)&gt;0,SUMIFS(T_StockCount[CountedQty],T_StockCount[Part Name],$A55,T_StockCount[WeekIndex],86),IF((('T_SelfStock'!CI59&lt;&gt;""))*(('T_TTAFStock'!CI59&lt;&gt;""))&gt;0,'T_SelfStock'!CI59+'T_TTAFStock'!CI59,CH55+'Grid_Incoming'!CI55-'Grid_Requirement'!CI55))</f>
        <v/>
      </c>
      <c r="CJ55">
        <f>IF(COUNTIFS(T_StockCount[Part Name],$A55,T_StockCount[WeekIndex],87)&gt;0,SUMIFS(T_StockCount[CountedQty],T_StockCount[Part Name],$A55,T_StockCount[WeekIndex],87),IF((('T_SelfStock'!CJ59&lt;&gt;""))*(('T_TTAFStock'!CJ59&lt;&gt;""))&gt;0,'T_SelfStock'!CJ59+'T_TTAFStock'!CJ59,CI55+'Grid_Incoming'!CJ55-'Grid_Requirement'!CJ55))</f>
        <v/>
      </c>
      <c r="CK55">
        <f>IF(COUNTIFS(T_StockCount[Part Name],$A55,T_StockCount[WeekIndex],88)&gt;0,SUMIFS(T_StockCount[CountedQty],T_StockCount[Part Name],$A55,T_StockCount[WeekIndex],88),IF((('T_SelfStock'!CK59&lt;&gt;""))*(('T_TTAFStock'!CK59&lt;&gt;""))&gt;0,'T_SelfStock'!CK59+'T_TTAFStock'!CK59,CJ55+'Grid_Incoming'!CK55-'Grid_Requirement'!CK55))</f>
        <v/>
      </c>
      <c r="CL55">
        <f>IF(COUNTIFS(T_StockCount[Part Name],$A55,T_StockCount[WeekIndex],89)&gt;0,SUMIFS(T_StockCount[CountedQty],T_StockCount[Part Name],$A55,T_StockCount[WeekIndex],89),IF((('T_SelfStock'!CL59&lt;&gt;""))*(('T_TTAFStock'!CL59&lt;&gt;""))&gt;0,'T_SelfStock'!CL59+'T_TTAFStock'!CL59,CK55+'Grid_Incoming'!CL55-'Grid_Requirement'!CL55))</f>
        <v/>
      </c>
      <c r="CM55">
        <f>IF(COUNTIFS(T_StockCount[Part Name],$A55,T_StockCount[WeekIndex],90)&gt;0,SUMIFS(T_StockCount[CountedQty],T_StockCount[Part Name],$A55,T_StockCount[WeekIndex],90),IF((('T_SelfStock'!CM59&lt;&gt;""))*(('T_TTAFStock'!CM59&lt;&gt;""))&gt;0,'T_SelfStock'!CM59+'T_TTAFStock'!CM59,CL55+'Grid_Incoming'!CM55-'Grid_Requirement'!CM55))</f>
        <v/>
      </c>
      <c r="CN55">
        <f>IF(COUNTIFS(T_StockCount[Part Name],$A55,T_StockCount[WeekIndex],91)&gt;0,SUMIFS(T_StockCount[CountedQty],T_StockCount[Part Name],$A55,T_StockCount[WeekIndex],91),IF((('T_SelfStock'!CN59&lt;&gt;""))*(('T_TTAFStock'!CN59&lt;&gt;""))&gt;0,'T_SelfStock'!CN59+'T_TTAFStock'!CN59,CM55+'Grid_Incoming'!CN55-'Grid_Requirement'!CN55))</f>
        <v/>
      </c>
      <c r="CO55">
        <f>IF(COUNTIFS(T_StockCount[Part Name],$A55,T_StockCount[WeekIndex],92)&gt;0,SUMIFS(T_StockCount[CountedQty],T_StockCount[Part Name],$A55,T_StockCount[WeekIndex],92),IF((('T_SelfStock'!CO59&lt;&gt;""))*(('T_TTAFStock'!CO59&lt;&gt;""))&gt;0,'T_SelfStock'!CO59+'T_TTAFStock'!CO59,CN55+'Grid_Incoming'!CO55-'Grid_Requirement'!CO55))</f>
        <v/>
      </c>
      <c r="CP55">
        <f>IF(COUNTIFS(T_StockCount[Part Name],$A55,T_StockCount[WeekIndex],93)&gt;0,SUMIFS(T_StockCount[CountedQty],T_StockCount[Part Name],$A55,T_StockCount[WeekIndex],93),IF((('T_SelfStock'!CP59&lt;&gt;""))*(('T_TTAFStock'!CP59&lt;&gt;""))&gt;0,'T_SelfStock'!CP59+'T_TTAFStock'!CP59,CO55+'Grid_Incoming'!CP55-'Grid_Requirement'!CP55))</f>
        <v/>
      </c>
      <c r="CQ55">
        <f>IF(COUNTIFS(T_StockCount[Part Name],$A55,T_StockCount[WeekIndex],94)&gt;0,SUMIFS(T_StockCount[CountedQty],T_StockCount[Part Name],$A55,T_StockCount[WeekIndex],94),IF((('T_SelfStock'!CQ59&lt;&gt;""))*(('T_TTAFStock'!CQ59&lt;&gt;""))&gt;0,'T_SelfStock'!CQ59+'T_TTAFStock'!CQ59,CP55+'Grid_Incoming'!CQ55-'Grid_Requirement'!CQ55))</f>
        <v/>
      </c>
      <c r="CR55">
        <f>IF(COUNTIFS(T_StockCount[Part Name],$A55,T_StockCount[WeekIndex],95)&gt;0,SUMIFS(T_StockCount[CountedQty],T_StockCount[Part Name],$A55,T_StockCount[WeekIndex],95),IF((('T_SelfStock'!CR59&lt;&gt;""))*(('T_TTAFStock'!CR59&lt;&gt;""))&gt;0,'T_SelfStock'!CR59+'T_TTAFStock'!CR59,CQ55+'Grid_Incoming'!CR55-'Grid_Requirement'!CR55))</f>
        <v/>
      </c>
      <c r="CS55">
        <f>IF(COUNTIFS(T_StockCount[Part Name],$A55,T_StockCount[WeekIndex],96)&gt;0,SUMIFS(T_StockCount[CountedQty],T_StockCount[Part Name],$A55,T_StockCount[WeekIndex],96),IF((('T_SelfStock'!CS59&lt;&gt;""))*(('T_TTAFStock'!CS59&lt;&gt;""))&gt;0,'T_SelfStock'!CS59+'T_TTAFStock'!CS59,CR55+'Grid_Incoming'!CS55-'Grid_Requirement'!CS55))</f>
        <v/>
      </c>
      <c r="CT55">
        <f>IF(COUNTIFS(T_StockCount[Part Name],$A55,T_StockCount[WeekIndex],97)&gt;0,SUMIFS(T_StockCount[CountedQty],T_StockCount[Part Name],$A55,T_StockCount[WeekIndex],97),IF((('T_SelfStock'!CT59&lt;&gt;""))*(('T_TTAFStock'!CT59&lt;&gt;""))&gt;0,'T_SelfStock'!CT59+'T_TTAFStock'!CT59,CS55+'Grid_Incoming'!CT55-'Grid_Requirement'!CT55))</f>
        <v/>
      </c>
      <c r="CU55">
        <f>IF(COUNTIFS(T_StockCount[Part Name],$A55,T_StockCount[WeekIndex],98)&gt;0,SUMIFS(T_StockCount[CountedQty],T_StockCount[Part Name],$A55,T_StockCount[WeekIndex],98),IF((('T_SelfStock'!CU59&lt;&gt;""))*(('T_TTAFStock'!CU59&lt;&gt;""))&gt;0,'T_SelfStock'!CU59+'T_TTAFStock'!CU59,CT55+'Grid_Incoming'!CU55-'Grid_Requirement'!CU55))</f>
        <v/>
      </c>
      <c r="CV55">
        <f>IF(COUNTIFS(T_StockCount[Part Name],$A55,T_StockCount[WeekIndex],99)&gt;0,SUMIFS(T_StockCount[CountedQty],T_StockCount[Part Name],$A55,T_StockCount[WeekIndex],99),IF((('T_SelfStock'!CV59&lt;&gt;""))*(('T_TTAFStock'!CV59&lt;&gt;""))&gt;0,'T_SelfStock'!CV59+'T_TTAFStock'!CV59,CU55+'Grid_Incoming'!CV55-'Grid_Requirement'!CV55))</f>
        <v/>
      </c>
      <c r="CW55">
        <f>IF(COUNTIFS(T_StockCount[Part Name],$A55,T_StockCount[WeekIndex],100)&gt;0,SUMIFS(T_StockCount[CountedQty],T_StockCount[Part Name],$A55,T_StockCount[WeekIndex],100),IF((('T_SelfStock'!CW59&lt;&gt;""))*(('T_TTAFStock'!CW59&lt;&gt;""))&gt;0,'T_SelfStock'!CW59+'T_TTAFStock'!CW59,CV55+'Grid_Incoming'!CW55-'Grid_Requirement'!CW55))</f>
        <v/>
      </c>
      <c r="CX55">
        <f>IF(COUNTIFS(T_StockCount[Part Name],$A55,T_StockCount[WeekIndex],101)&gt;0,SUMIFS(T_StockCount[CountedQty],T_StockCount[Part Name],$A55,T_StockCount[WeekIndex],101),IF((('T_SelfStock'!CX59&lt;&gt;""))*(('T_TTAFStock'!CX59&lt;&gt;""))&gt;0,'T_SelfStock'!CX59+'T_TTAFStock'!CX59,CW55+'Grid_Incoming'!CX55-'Grid_Requirement'!CX55))</f>
        <v/>
      </c>
      <c r="CY55">
        <f>IF(COUNTIFS(T_StockCount[Part Name],$A55,T_StockCount[WeekIndex],102)&gt;0,SUMIFS(T_StockCount[CountedQty],T_StockCount[Part Name],$A55,T_StockCount[WeekIndex],102),IF((('T_SelfStock'!CY59&lt;&gt;""))*(('T_TTAFStock'!CY59&lt;&gt;""))&gt;0,'T_SelfStock'!CY59+'T_TTAFStock'!CY59,CX55+'Grid_Incoming'!CY55-'Grid_Requirement'!CY55))</f>
        <v/>
      </c>
      <c r="CZ55">
        <f>IF(COUNTIFS(T_StockCount[Part Name],$A55,T_StockCount[WeekIndex],103)&gt;0,SUMIFS(T_StockCount[CountedQty],T_StockCount[Part Name],$A55,T_StockCount[WeekIndex],103),IF((('T_SelfStock'!CZ59&lt;&gt;""))*(('T_TTAFStock'!CZ59&lt;&gt;""))&gt;0,'T_SelfStock'!CZ59+'T_TTAFStock'!CZ59,CY55+'Grid_Incoming'!CZ55-'Grid_Requirement'!CZ55))</f>
        <v/>
      </c>
      <c r="DA55">
        <f>IF(COUNTIFS(T_StockCount[Part Name],$A55,T_StockCount[WeekIndex],104)&gt;0,SUMIFS(T_StockCount[CountedQty],T_StockCount[Part Name],$A55,T_StockCount[WeekIndex],104),IF((('T_SelfStock'!DA59&lt;&gt;""))*(('T_TTAFStock'!DA59&lt;&gt;""))&gt;0,'T_SelfStock'!DA59+'T_TTAFStock'!DA59,CZ55+'Grid_Incoming'!DA55-'Grid_Requirement'!DA55))</f>
        <v/>
      </c>
    </row>
    <row r="56">
      <c r="A56" t="inlineStr">
        <is>
          <t>PP Film</t>
        </is>
      </c>
      <c r="B56">
        <f>IF(COUNTIFS(T_StockCount[Part Name],$A56,T_StockCount[WeekIndex],1)&gt;0,SUMIFS(T_StockCount[CountedQty],T_StockCount[Part Name],$A56,T_StockCount[WeekIndex],1),IF((('T_SelfStock'!B60&lt;&gt;""))*(('T_TTAFStock'!B60&lt;&gt;""))&gt;0,'T_SelfStock'!B60+'T_TTAFStock'!B60,IFERROR(INDEX(T_OpeningStock[Opening_Qty_要入力],MATCH($A56,T_OpeningStock[Part Name],0)),0)+'Grid_Incoming'!B56-'Grid_Requirement'!B56))</f>
        <v/>
      </c>
      <c r="C56">
        <f>IF(COUNTIFS(T_StockCount[Part Name],$A56,T_StockCount[WeekIndex],2)&gt;0,SUMIFS(T_StockCount[CountedQty],T_StockCount[Part Name],$A56,T_StockCount[WeekIndex],2),IF((('T_SelfStock'!C60&lt;&gt;""))*(('T_TTAFStock'!C60&lt;&gt;""))&gt;0,'T_SelfStock'!C60+'T_TTAFStock'!C60,B56+'Grid_Incoming'!C56-'Grid_Requirement'!C56))</f>
        <v/>
      </c>
      <c r="D56">
        <f>IF(COUNTIFS(T_StockCount[Part Name],$A56,T_StockCount[WeekIndex],3)&gt;0,SUMIFS(T_StockCount[CountedQty],T_StockCount[Part Name],$A56,T_StockCount[WeekIndex],3),IF((('T_SelfStock'!D60&lt;&gt;""))*(('T_TTAFStock'!D60&lt;&gt;""))&gt;0,'T_SelfStock'!D60+'T_TTAFStock'!D60,C56+'Grid_Incoming'!D56-'Grid_Requirement'!D56))</f>
        <v/>
      </c>
      <c r="E56">
        <f>IF(COUNTIFS(T_StockCount[Part Name],$A56,T_StockCount[WeekIndex],4)&gt;0,SUMIFS(T_StockCount[CountedQty],T_StockCount[Part Name],$A56,T_StockCount[WeekIndex],4),IF((('T_SelfStock'!E60&lt;&gt;""))*(('T_TTAFStock'!E60&lt;&gt;""))&gt;0,'T_SelfStock'!E60+'T_TTAFStock'!E60,D56+'Grid_Incoming'!E56-'Grid_Requirement'!E56))</f>
        <v/>
      </c>
      <c r="F56">
        <f>IF(COUNTIFS(T_StockCount[Part Name],$A56,T_StockCount[WeekIndex],5)&gt;0,SUMIFS(T_StockCount[CountedQty],T_StockCount[Part Name],$A56,T_StockCount[WeekIndex],5),IF((('T_SelfStock'!F60&lt;&gt;""))*(('T_TTAFStock'!F60&lt;&gt;""))&gt;0,'T_SelfStock'!F60+'T_TTAFStock'!F60,E56+'Grid_Incoming'!F56-'Grid_Requirement'!F56))</f>
        <v/>
      </c>
      <c r="G56">
        <f>IF(COUNTIFS(T_StockCount[Part Name],$A56,T_StockCount[WeekIndex],6)&gt;0,SUMIFS(T_StockCount[CountedQty],T_StockCount[Part Name],$A56,T_StockCount[WeekIndex],6),IF((('T_SelfStock'!G60&lt;&gt;""))*(('T_TTAFStock'!G60&lt;&gt;""))&gt;0,'T_SelfStock'!G60+'T_TTAFStock'!G60,F56+'Grid_Incoming'!G56-'Grid_Requirement'!G56))</f>
        <v/>
      </c>
      <c r="H56">
        <f>IF(COUNTIFS(T_StockCount[Part Name],$A56,T_StockCount[WeekIndex],7)&gt;0,SUMIFS(T_StockCount[CountedQty],T_StockCount[Part Name],$A56,T_StockCount[WeekIndex],7),IF((('T_SelfStock'!H60&lt;&gt;""))*(('T_TTAFStock'!H60&lt;&gt;""))&gt;0,'T_SelfStock'!H60+'T_TTAFStock'!H60,G56+'Grid_Incoming'!H56-'Grid_Requirement'!H56))</f>
        <v/>
      </c>
      <c r="I56">
        <f>IF(COUNTIFS(T_StockCount[Part Name],$A56,T_StockCount[WeekIndex],8)&gt;0,SUMIFS(T_StockCount[CountedQty],T_StockCount[Part Name],$A56,T_StockCount[WeekIndex],8),IF((('T_SelfStock'!I60&lt;&gt;""))*(('T_TTAFStock'!I60&lt;&gt;""))&gt;0,'T_SelfStock'!I60+'T_TTAFStock'!I60,H56+'Grid_Incoming'!I56-'Grid_Requirement'!I56))</f>
        <v/>
      </c>
      <c r="J56">
        <f>IF(COUNTIFS(T_StockCount[Part Name],$A56,T_StockCount[WeekIndex],9)&gt;0,SUMIFS(T_StockCount[CountedQty],T_StockCount[Part Name],$A56,T_StockCount[WeekIndex],9),IF((('T_SelfStock'!J60&lt;&gt;""))*(('T_TTAFStock'!J60&lt;&gt;""))&gt;0,'T_SelfStock'!J60+'T_TTAFStock'!J60,I56+'Grid_Incoming'!J56-'Grid_Requirement'!J56))</f>
        <v/>
      </c>
      <c r="K56">
        <f>IF(COUNTIFS(T_StockCount[Part Name],$A56,T_StockCount[WeekIndex],10)&gt;0,SUMIFS(T_StockCount[CountedQty],T_StockCount[Part Name],$A56,T_StockCount[WeekIndex],10),IF((('T_SelfStock'!K60&lt;&gt;""))*(('T_TTAFStock'!K60&lt;&gt;""))&gt;0,'T_SelfStock'!K60+'T_TTAFStock'!K60,J56+'Grid_Incoming'!K56-'Grid_Requirement'!K56))</f>
        <v/>
      </c>
      <c r="L56">
        <f>IF(COUNTIFS(T_StockCount[Part Name],$A56,T_StockCount[WeekIndex],11)&gt;0,SUMIFS(T_StockCount[CountedQty],T_StockCount[Part Name],$A56,T_StockCount[WeekIndex],11),IF((('T_SelfStock'!L60&lt;&gt;""))*(('T_TTAFStock'!L60&lt;&gt;""))&gt;0,'T_SelfStock'!L60+'T_TTAFStock'!L60,K56+'Grid_Incoming'!L56-'Grid_Requirement'!L56))</f>
        <v/>
      </c>
      <c r="M56">
        <f>IF(COUNTIFS(T_StockCount[Part Name],$A56,T_StockCount[WeekIndex],12)&gt;0,SUMIFS(T_StockCount[CountedQty],T_StockCount[Part Name],$A56,T_StockCount[WeekIndex],12),IF((('T_SelfStock'!M60&lt;&gt;""))*(('T_TTAFStock'!M60&lt;&gt;""))&gt;0,'T_SelfStock'!M60+'T_TTAFStock'!M60,L56+'Grid_Incoming'!M56-'Grid_Requirement'!M56))</f>
        <v/>
      </c>
      <c r="N56">
        <f>IF(COUNTIFS(T_StockCount[Part Name],$A56,T_StockCount[WeekIndex],13)&gt;0,SUMIFS(T_StockCount[CountedQty],T_StockCount[Part Name],$A56,T_StockCount[WeekIndex],13),IF((('T_SelfStock'!N60&lt;&gt;""))*(('T_TTAFStock'!N60&lt;&gt;""))&gt;0,'T_SelfStock'!N60+'T_TTAFStock'!N60,M56+'Grid_Incoming'!N56-'Grid_Requirement'!N56))</f>
        <v/>
      </c>
      <c r="O56">
        <f>IF(COUNTIFS(T_StockCount[Part Name],$A56,T_StockCount[WeekIndex],14)&gt;0,SUMIFS(T_StockCount[CountedQty],T_StockCount[Part Name],$A56,T_StockCount[WeekIndex],14),IF((('T_SelfStock'!O60&lt;&gt;""))*(('T_TTAFStock'!O60&lt;&gt;""))&gt;0,'T_SelfStock'!O60+'T_TTAFStock'!O60,N56+'Grid_Incoming'!O56-'Grid_Requirement'!O56))</f>
        <v/>
      </c>
      <c r="P56">
        <f>IF(COUNTIFS(T_StockCount[Part Name],$A56,T_StockCount[WeekIndex],15)&gt;0,SUMIFS(T_StockCount[CountedQty],T_StockCount[Part Name],$A56,T_StockCount[WeekIndex],15),IF((('T_SelfStock'!P60&lt;&gt;""))*(('T_TTAFStock'!P60&lt;&gt;""))&gt;0,'T_SelfStock'!P60+'T_TTAFStock'!P60,O56+'Grid_Incoming'!P56-'Grid_Requirement'!P56))</f>
        <v/>
      </c>
      <c r="Q56">
        <f>IF(COUNTIFS(T_StockCount[Part Name],$A56,T_StockCount[WeekIndex],16)&gt;0,SUMIFS(T_StockCount[CountedQty],T_StockCount[Part Name],$A56,T_StockCount[WeekIndex],16),IF((('T_SelfStock'!Q60&lt;&gt;""))*(('T_TTAFStock'!Q60&lt;&gt;""))&gt;0,'T_SelfStock'!Q60+'T_TTAFStock'!Q60,P56+'Grid_Incoming'!Q56-'Grid_Requirement'!Q56))</f>
        <v/>
      </c>
      <c r="R56">
        <f>IF(COUNTIFS(T_StockCount[Part Name],$A56,T_StockCount[WeekIndex],17)&gt;0,SUMIFS(T_StockCount[CountedQty],T_StockCount[Part Name],$A56,T_StockCount[WeekIndex],17),IF((('T_SelfStock'!R60&lt;&gt;""))*(('T_TTAFStock'!R60&lt;&gt;""))&gt;0,'T_SelfStock'!R60+'T_TTAFStock'!R60,Q56+'Grid_Incoming'!R56-'Grid_Requirement'!R56))</f>
        <v/>
      </c>
      <c r="S56">
        <f>IF(COUNTIFS(T_StockCount[Part Name],$A56,T_StockCount[WeekIndex],18)&gt;0,SUMIFS(T_StockCount[CountedQty],T_StockCount[Part Name],$A56,T_StockCount[WeekIndex],18),IF((('T_SelfStock'!S60&lt;&gt;""))*(('T_TTAFStock'!S60&lt;&gt;""))&gt;0,'T_SelfStock'!S60+'T_TTAFStock'!S60,R56+'Grid_Incoming'!S56-'Grid_Requirement'!S56))</f>
        <v/>
      </c>
      <c r="T56">
        <f>IF(COUNTIFS(T_StockCount[Part Name],$A56,T_StockCount[WeekIndex],19)&gt;0,SUMIFS(T_StockCount[CountedQty],T_StockCount[Part Name],$A56,T_StockCount[WeekIndex],19),IF((('T_SelfStock'!T60&lt;&gt;""))*(('T_TTAFStock'!T60&lt;&gt;""))&gt;0,'T_SelfStock'!T60+'T_TTAFStock'!T60,S56+'Grid_Incoming'!T56-'Grid_Requirement'!T56))</f>
        <v/>
      </c>
      <c r="U56">
        <f>IF(COUNTIFS(T_StockCount[Part Name],$A56,T_StockCount[WeekIndex],20)&gt;0,SUMIFS(T_StockCount[CountedQty],T_StockCount[Part Name],$A56,T_StockCount[WeekIndex],20),IF((('T_SelfStock'!U60&lt;&gt;""))*(('T_TTAFStock'!U60&lt;&gt;""))&gt;0,'T_SelfStock'!U60+'T_TTAFStock'!U60,T56+'Grid_Incoming'!U56-'Grid_Requirement'!U56))</f>
        <v/>
      </c>
      <c r="V56">
        <f>IF(COUNTIFS(T_StockCount[Part Name],$A56,T_StockCount[WeekIndex],21)&gt;0,SUMIFS(T_StockCount[CountedQty],T_StockCount[Part Name],$A56,T_StockCount[WeekIndex],21),IF((('T_SelfStock'!V60&lt;&gt;""))*(('T_TTAFStock'!V60&lt;&gt;""))&gt;0,'T_SelfStock'!V60+'T_TTAFStock'!V60,U56+'Grid_Incoming'!V56-'Grid_Requirement'!V56))</f>
        <v/>
      </c>
      <c r="W56">
        <f>IF(COUNTIFS(T_StockCount[Part Name],$A56,T_StockCount[WeekIndex],22)&gt;0,SUMIFS(T_StockCount[CountedQty],T_StockCount[Part Name],$A56,T_StockCount[WeekIndex],22),IF((('T_SelfStock'!W60&lt;&gt;""))*(('T_TTAFStock'!W60&lt;&gt;""))&gt;0,'T_SelfStock'!W60+'T_TTAFStock'!W60,V56+'Grid_Incoming'!W56-'Grid_Requirement'!W56))</f>
        <v/>
      </c>
      <c r="X56">
        <f>IF(COUNTIFS(T_StockCount[Part Name],$A56,T_StockCount[WeekIndex],23)&gt;0,SUMIFS(T_StockCount[CountedQty],T_StockCount[Part Name],$A56,T_StockCount[WeekIndex],23),IF((('T_SelfStock'!X60&lt;&gt;""))*(('T_TTAFStock'!X60&lt;&gt;""))&gt;0,'T_SelfStock'!X60+'T_TTAFStock'!X60,W56+'Grid_Incoming'!X56-'Grid_Requirement'!X56))</f>
        <v/>
      </c>
      <c r="Y56">
        <f>IF(COUNTIFS(T_StockCount[Part Name],$A56,T_StockCount[WeekIndex],24)&gt;0,SUMIFS(T_StockCount[CountedQty],T_StockCount[Part Name],$A56,T_StockCount[WeekIndex],24),IF((('T_SelfStock'!Y60&lt;&gt;""))*(('T_TTAFStock'!Y60&lt;&gt;""))&gt;0,'T_SelfStock'!Y60+'T_TTAFStock'!Y60,X56+'Grid_Incoming'!Y56-'Grid_Requirement'!Y56))</f>
        <v/>
      </c>
      <c r="Z56">
        <f>IF(COUNTIFS(T_StockCount[Part Name],$A56,T_StockCount[WeekIndex],25)&gt;0,SUMIFS(T_StockCount[CountedQty],T_StockCount[Part Name],$A56,T_StockCount[WeekIndex],25),IF((('T_SelfStock'!Z60&lt;&gt;""))*(('T_TTAFStock'!Z60&lt;&gt;""))&gt;0,'T_SelfStock'!Z60+'T_TTAFStock'!Z60,Y56+'Grid_Incoming'!Z56-'Grid_Requirement'!Z56))</f>
        <v/>
      </c>
      <c r="AA56">
        <f>IF(COUNTIFS(T_StockCount[Part Name],$A56,T_StockCount[WeekIndex],26)&gt;0,SUMIFS(T_StockCount[CountedQty],T_StockCount[Part Name],$A56,T_StockCount[WeekIndex],26),IF((('T_SelfStock'!AA60&lt;&gt;""))*(('T_TTAFStock'!AA60&lt;&gt;""))&gt;0,'T_SelfStock'!AA60+'T_TTAFStock'!AA60,Z56+'Grid_Incoming'!AA56-'Grid_Requirement'!AA56))</f>
        <v/>
      </c>
      <c r="AB56">
        <f>IF(COUNTIFS(T_StockCount[Part Name],$A56,T_StockCount[WeekIndex],27)&gt;0,SUMIFS(T_StockCount[CountedQty],T_StockCount[Part Name],$A56,T_StockCount[WeekIndex],27),IF((('T_SelfStock'!AB60&lt;&gt;""))*(('T_TTAFStock'!AB60&lt;&gt;""))&gt;0,'T_SelfStock'!AB60+'T_TTAFStock'!AB60,AA56+'Grid_Incoming'!AB56-'Grid_Requirement'!AB56))</f>
        <v/>
      </c>
      <c r="AC56">
        <f>IF(COUNTIFS(T_StockCount[Part Name],$A56,T_StockCount[WeekIndex],28)&gt;0,SUMIFS(T_StockCount[CountedQty],T_StockCount[Part Name],$A56,T_StockCount[WeekIndex],28),IF((('T_SelfStock'!AC60&lt;&gt;""))*(('T_TTAFStock'!AC60&lt;&gt;""))&gt;0,'T_SelfStock'!AC60+'T_TTAFStock'!AC60,AB56+'Grid_Incoming'!AC56-'Grid_Requirement'!AC56))</f>
        <v/>
      </c>
      <c r="AD56">
        <f>IF(COUNTIFS(T_StockCount[Part Name],$A56,T_StockCount[WeekIndex],29)&gt;0,SUMIFS(T_StockCount[CountedQty],T_StockCount[Part Name],$A56,T_StockCount[WeekIndex],29),IF((('T_SelfStock'!AD60&lt;&gt;""))*(('T_TTAFStock'!AD60&lt;&gt;""))&gt;0,'T_SelfStock'!AD60+'T_TTAFStock'!AD60,AC56+'Grid_Incoming'!AD56-'Grid_Requirement'!AD56))</f>
        <v/>
      </c>
      <c r="AE56">
        <f>IF(COUNTIFS(T_StockCount[Part Name],$A56,T_StockCount[WeekIndex],30)&gt;0,SUMIFS(T_StockCount[CountedQty],T_StockCount[Part Name],$A56,T_StockCount[WeekIndex],30),IF((('T_SelfStock'!AE60&lt;&gt;""))*(('T_TTAFStock'!AE60&lt;&gt;""))&gt;0,'T_SelfStock'!AE60+'T_TTAFStock'!AE60,AD56+'Grid_Incoming'!AE56-'Grid_Requirement'!AE56))</f>
        <v/>
      </c>
      <c r="AF56">
        <f>IF(COUNTIFS(T_StockCount[Part Name],$A56,T_StockCount[WeekIndex],31)&gt;0,SUMIFS(T_StockCount[CountedQty],T_StockCount[Part Name],$A56,T_StockCount[WeekIndex],31),IF((('T_SelfStock'!AF60&lt;&gt;""))*(('T_TTAFStock'!AF60&lt;&gt;""))&gt;0,'T_SelfStock'!AF60+'T_TTAFStock'!AF60,AE56+'Grid_Incoming'!AF56-'Grid_Requirement'!AF56))</f>
        <v/>
      </c>
      <c r="AG56">
        <f>IF(COUNTIFS(T_StockCount[Part Name],$A56,T_StockCount[WeekIndex],32)&gt;0,SUMIFS(T_StockCount[CountedQty],T_StockCount[Part Name],$A56,T_StockCount[WeekIndex],32),IF((('T_SelfStock'!AG60&lt;&gt;""))*(('T_TTAFStock'!AG60&lt;&gt;""))&gt;0,'T_SelfStock'!AG60+'T_TTAFStock'!AG60,AF56+'Grid_Incoming'!AG56-'Grid_Requirement'!AG56))</f>
        <v/>
      </c>
      <c r="AH56">
        <f>IF(COUNTIFS(T_StockCount[Part Name],$A56,T_StockCount[WeekIndex],33)&gt;0,SUMIFS(T_StockCount[CountedQty],T_StockCount[Part Name],$A56,T_StockCount[WeekIndex],33),IF((('T_SelfStock'!AH60&lt;&gt;""))*(('T_TTAFStock'!AH60&lt;&gt;""))&gt;0,'T_SelfStock'!AH60+'T_TTAFStock'!AH60,AG56+'Grid_Incoming'!AH56-'Grid_Requirement'!AH56))</f>
        <v/>
      </c>
      <c r="AI56">
        <f>IF(COUNTIFS(T_StockCount[Part Name],$A56,T_StockCount[WeekIndex],34)&gt;0,SUMIFS(T_StockCount[CountedQty],T_StockCount[Part Name],$A56,T_StockCount[WeekIndex],34),IF((('T_SelfStock'!AI60&lt;&gt;""))*(('T_TTAFStock'!AI60&lt;&gt;""))&gt;0,'T_SelfStock'!AI60+'T_TTAFStock'!AI60,AH56+'Grid_Incoming'!AI56-'Grid_Requirement'!AI56))</f>
        <v/>
      </c>
      <c r="AJ56">
        <f>IF(COUNTIFS(T_StockCount[Part Name],$A56,T_StockCount[WeekIndex],35)&gt;0,SUMIFS(T_StockCount[CountedQty],T_StockCount[Part Name],$A56,T_StockCount[WeekIndex],35),IF((('T_SelfStock'!AJ60&lt;&gt;""))*(('T_TTAFStock'!AJ60&lt;&gt;""))&gt;0,'T_SelfStock'!AJ60+'T_TTAFStock'!AJ60,AI56+'Grid_Incoming'!AJ56-'Grid_Requirement'!AJ56))</f>
        <v/>
      </c>
      <c r="AK56">
        <f>IF(COUNTIFS(T_StockCount[Part Name],$A56,T_StockCount[WeekIndex],36)&gt;0,SUMIFS(T_StockCount[CountedQty],T_StockCount[Part Name],$A56,T_StockCount[WeekIndex],36),IF((('T_SelfStock'!AK60&lt;&gt;""))*(('T_TTAFStock'!AK60&lt;&gt;""))&gt;0,'T_SelfStock'!AK60+'T_TTAFStock'!AK60,AJ56+'Grid_Incoming'!AK56-'Grid_Requirement'!AK56))</f>
        <v/>
      </c>
      <c r="AL56">
        <f>IF(COUNTIFS(T_StockCount[Part Name],$A56,T_StockCount[WeekIndex],37)&gt;0,SUMIFS(T_StockCount[CountedQty],T_StockCount[Part Name],$A56,T_StockCount[WeekIndex],37),IF((('T_SelfStock'!AL60&lt;&gt;""))*(('T_TTAFStock'!AL60&lt;&gt;""))&gt;0,'T_SelfStock'!AL60+'T_TTAFStock'!AL60,AK56+'Grid_Incoming'!AL56-'Grid_Requirement'!AL56))</f>
        <v/>
      </c>
      <c r="AM56">
        <f>IF(COUNTIFS(T_StockCount[Part Name],$A56,T_StockCount[WeekIndex],38)&gt;0,SUMIFS(T_StockCount[CountedQty],T_StockCount[Part Name],$A56,T_StockCount[WeekIndex],38),IF((('T_SelfStock'!AM60&lt;&gt;""))*(('T_TTAFStock'!AM60&lt;&gt;""))&gt;0,'T_SelfStock'!AM60+'T_TTAFStock'!AM60,AL56+'Grid_Incoming'!AM56-'Grid_Requirement'!AM56))</f>
        <v/>
      </c>
      <c r="AN56">
        <f>IF(COUNTIFS(T_StockCount[Part Name],$A56,T_StockCount[WeekIndex],39)&gt;0,SUMIFS(T_StockCount[CountedQty],T_StockCount[Part Name],$A56,T_StockCount[WeekIndex],39),IF((('T_SelfStock'!AN60&lt;&gt;""))*(('T_TTAFStock'!AN60&lt;&gt;""))&gt;0,'T_SelfStock'!AN60+'T_TTAFStock'!AN60,AM56+'Grid_Incoming'!AN56-'Grid_Requirement'!AN56))</f>
        <v/>
      </c>
      <c r="AO56">
        <f>IF(COUNTIFS(T_StockCount[Part Name],$A56,T_StockCount[WeekIndex],40)&gt;0,SUMIFS(T_StockCount[CountedQty],T_StockCount[Part Name],$A56,T_StockCount[WeekIndex],40),IF((('T_SelfStock'!AO60&lt;&gt;""))*(('T_TTAFStock'!AO60&lt;&gt;""))&gt;0,'T_SelfStock'!AO60+'T_TTAFStock'!AO60,AN56+'Grid_Incoming'!AO56-'Grid_Requirement'!AO56))</f>
        <v/>
      </c>
      <c r="AP56">
        <f>IF(COUNTIFS(T_StockCount[Part Name],$A56,T_StockCount[WeekIndex],41)&gt;0,SUMIFS(T_StockCount[CountedQty],T_StockCount[Part Name],$A56,T_StockCount[WeekIndex],41),IF((('T_SelfStock'!AP60&lt;&gt;""))*(('T_TTAFStock'!AP60&lt;&gt;""))&gt;0,'T_SelfStock'!AP60+'T_TTAFStock'!AP60,AO56+'Grid_Incoming'!AP56-'Grid_Requirement'!AP56))</f>
        <v/>
      </c>
      <c r="AQ56">
        <f>IF(COUNTIFS(T_StockCount[Part Name],$A56,T_StockCount[WeekIndex],42)&gt;0,SUMIFS(T_StockCount[CountedQty],T_StockCount[Part Name],$A56,T_StockCount[WeekIndex],42),IF((('T_SelfStock'!AQ60&lt;&gt;""))*(('T_TTAFStock'!AQ60&lt;&gt;""))&gt;0,'T_SelfStock'!AQ60+'T_TTAFStock'!AQ60,AP56+'Grid_Incoming'!AQ56-'Grid_Requirement'!AQ56))</f>
        <v/>
      </c>
      <c r="AR56">
        <f>IF(COUNTIFS(T_StockCount[Part Name],$A56,T_StockCount[WeekIndex],43)&gt;0,SUMIFS(T_StockCount[CountedQty],T_StockCount[Part Name],$A56,T_StockCount[WeekIndex],43),IF((('T_SelfStock'!AR60&lt;&gt;""))*(('T_TTAFStock'!AR60&lt;&gt;""))&gt;0,'T_SelfStock'!AR60+'T_TTAFStock'!AR60,AQ56+'Grid_Incoming'!AR56-'Grid_Requirement'!AR56))</f>
        <v/>
      </c>
      <c r="AS56">
        <f>IF(COUNTIFS(T_StockCount[Part Name],$A56,T_StockCount[WeekIndex],44)&gt;0,SUMIFS(T_StockCount[CountedQty],T_StockCount[Part Name],$A56,T_StockCount[WeekIndex],44),IF((('T_SelfStock'!AS60&lt;&gt;""))*(('T_TTAFStock'!AS60&lt;&gt;""))&gt;0,'T_SelfStock'!AS60+'T_TTAFStock'!AS60,AR56+'Grid_Incoming'!AS56-'Grid_Requirement'!AS56))</f>
        <v/>
      </c>
      <c r="AT56">
        <f>IF(COUNTIFS(T_StockCount[Part Name],$A56,T_StockCount[WeekIndex],45)&gt;0,SUMIFS(T_StockCount[CountedQty],T_StockCount[Part Name],$A56,T_StockCount[WeekIndex],45),IF((('T_SelfStock'!AT60&lt;&gt;""))*(('T_TTAFStock'!AT60&lt;&gt;""))&gt;0,'T_SelfStock'!AT60+'T_TTAFStock'!AT60,AS56+'Grid_Incoming'!AT56-'Grid_Requirement'!AT56))</f>
        <v/>
      </c>
      <c r="AU56">
        <f>IF(COUNTIFS(T_StockCount[Part Name],$A56,T_StockCount[WeekIndex],46)&gt;0,SUMIFS(T_StockCount[CountedQty],T_StockCount[Part Name],$A56,T_StockCount[WeekIndex],46),IF((('T_SelfStock'!AU60&lt;&gt;""))*(('T_TTAFStock'!AU60&lt;&gt;""))&gt;0,'T_SelfStock'!AU60+'T_TTAFStock'!AU60,AT56+'Grid_Incoming'!AU56-'Grid_Requirement'!AU56))</f>
        <v/>
      </c>
      <c r="AV56">
        <f>IF(COUNTIFS(T_StockCount[Part Name],$A56,T_StockCount[WeekIndex],47)&gt;0,SUMIFS(T_StockCount[CountedQty],T_StockCount[Part Name],$A56,T_StockCount[WeekIndex],47),IF((('T_SelfStock'!AV60&lt;&gt;""))*(('T_TTAFStock'!AV60&lt;&gt;""))&gt;0,'T_SelfStock'!AV60+'T_TTAFStock'!AV60,AU56+'Grid_Incoming'!AV56-'Grid_Requirement'!AV56))</f>
        <v/>
      </c>
      <c r="AW56">
        <f>IF(COUNTIFS(T_StockCount[Part Name],$A56,T_StockCount[WeekIndex],48)&gt;0,SUMIFS(T_StockCount[CountedQty],T_StockCount[Part Name],$A56,T_StockCount[WeekIndex],48),IF((('T_SelfStock'!AW60&lt;&gt;""))*(('T_TTAFStock'!AW60&lt;&gt;""))&gt;0,'T_SelfStock'!AW60+'T_TTAFStock'!AW60,AV56+'Grid_Incoming'!AW56-'Grid_Requirement'!AW56))</f>
        <v/>
      </c>
      <c r="AX56">
        <f>IF(COUNTIFS(T_StockCount[Part Name],$A56,T_StockCount[WeekIndex],49)&gt;0,SUMIFS(T_StockCount[CountedQty],T_StockCount[Part Name],$A56,T_StockCount[WeekIndex],49),IF((('T_SelfStock'!AX60&lt;&gt;""))*(('T_TTAFStock'!AX60&lt;&gt;""))&gt;0,'T_SelfStock'!AX60+'T_TTAFStock'!AX60,AW56+'Grid_Incoming'!AX56-'Grid_Requirement'!AX56))</f>
        <v/>
      </c>
      <c r="AY56">
        <f>IF(COUNTIFS(T_StockCount[Part Name],$A56,T_StockCount[WeekIndex],50)&gt;0,SUMIFS(T_StockCount[CountedQty],T_StockCount[Part Name],$A56,T_StockCount[WeekIndex],50),IF((('T_SelfStock'!AY60&lt;&gt;""))*(('T_TTAFStock'!AY60&lt;&gt;""))&gt;0,'T_SelfStock'!AY60+'T_TTAFStock'!AY60,AX56+'Grid_Incoming'!AY56-'Grid_Requirement'!AY56))</f>
        <v/>
      </c>
      <c r="AZ56">
        <f>IF(COUNTIFS(T_StockCount[Part Name],$A56,T_StockCount[WeekIndex],51)&gt;0,SUMIFS(T_StockCount[CountedQty],T_StockCount[Part Name],$A56,T_StockCount[WeekIndex],51),IF((('T_SelfStock'!AZ60&lt;&gt;""))*(('T_TTAFStock'!AZ60&lt;&gt;""))&gt;0,'T_SelfStock'!AZ60+'T_TTAFStock'!AZ60,AY56+'Grid_Incoming'!AZ56-'Grid_Requirement'!AZ56))</f>
        <v/>
      </c>
      <c r="BA56">
        <f>IF(COUNTIFS(T_StockCount[Part Name],$A56,T_StockCount[WeekIndex],52)&gt;0,SUMIFS(T_StockCount[CountedQty],T_StockCount[Part Name],$A56,T_StockCount[WeekIndex],52),IF((('T_SelfStock'!BA60&lt;&gt;""))*(('T_TTAFStock'!BA60&lt;&gt;""))&gt;0,'T_SelfStock'!BA60+'T_TTAFStock'!BA60,AZ56+'Grid_Incoming'!BA56-'Grid_Requirement'!BA56))</f>
        <v/>
      </c>
      <c r="BB56">
        <f>IF(COUNTIFS(T_StockCount[Part Name],$A56,T_StockCount[WeekIndex],53)&gt;0,SUMIFS(T_StockCount[CountedQty],T_StockCount[Part Name],$A56,T_StockCount[WeekIndex],53),IF((('T_SelfStock'!BB60&lt;&gt;""))*(('T_TTAFStock'!BB60&lt;&gt;""))&gt;0,'T_SelfStock'!BB60+'T_TTAFStock'!BB60,BA56+'Grid_Incoming'!BB56-'Grid_Requirement'!BB56))</f>
        <v/>
      </c>
      <c r="BC56">
        <f>IF(COUNTIFS(T_StockCount[Part Name],$A56,T_StockCount[WeekIndex],54)&gt;0,SUMIFS(T_StockCount[CountedQty],T_StockCount[Part Name],$A56,T_StockCount[WeekIndex],54),IF((('T_SelfStock'!BC60&lt;&gt;""))*(('T_TTAFStock'!BC60&lt;&gt;""))&gt;0,'T_SelfStock'!BC60+'T_TTAFStock'!BC60,BB56+'Grid_Incoming'!BC56-'Grid_Requirement'!BC56))</f>
        <v/>
      </c>
      <c r="BD56">
        <f>IF(COUNTIFS(T_StockCount[Part Name],$A56,T_StockCount[WeekIndex],55)&gt;0,SUMIFS(T_StockCount[CountedQty],T_StockCount[Part Name],$A56,T_StockCount[WeekIndex],55),IF((('T_SelfStock'!BD60&lt;&gt;""))*(('T_TTAFStock'!BD60&lt;&gt;""))&gt;0,'T_SelfStock'!BD60+'T_TTAFStock'!BD60,BC56+'Grid_Incoming'!BD56-'Grid_Requirement'!BD56))</f>
        <v/>
      </c>
      <c r="BE56">
        <f>IF(COUNTIFS(T_StockCount[Part Name],$A56,T_StockCount[WeekIndex],56)&gt;0,SUMIFS(T_StockCount[CountedQty],T_StockCount[Part Name],$A56,T_StockCount[WeekIndex],56),IF((('T_SelfStock'!BE60&lt;&gt;""))*(('T_TTAFStock'!BE60&lt;&gt;""))&gt;0,'T_SelfStock'!BE60+'T_TTAFStock'!BE60,BD56+'Grid_Incoming'!BE56-'Grid_Requirement'!BE56))</f>
        <v/>
      </c>
      <c r="BF56">
        <f>IF(COUNTIFS(T_StockCount[Part Name],$A56,T_StockCount[WeekIndex],57)&gt;0,SUMIFS(T_StockCount[CountedQty],T_StockCount[Part Name],$A56,T_StockCount[WeekIndex],57),IF((('T_SelfStock'!BF60&lt;&gt;""))*(('T_TTAFStock'!BF60&lt;&gt;""))&gt;0,'T_SelfStock'!BF60+'T_TTAFStock'!BF60,BE56+'Grid_Incoming'!BF56-'Grid_Requirement'!BF56))</f>
        <v/>
      </c>
      <c r="BG56">
        <f>IF(COUNTIFS(T_StockCount[Part Name],$A56,T_StockCount[WeekIndex],58)&gt;0,SUMIFS(T_StockCount[CountedQty],T_StockCount[Part Name],$A56,T_StockCount[WeekIndex],58),IF((('T_SelfStock'!BG60&lt;&gt;""))*(('T_TTAFStock'!BG60&lt;&gt;""))&gt;0,'T_SelfStock'!BG60+'T_TTAFStock'!BG60,BF56+'Grid_Incoming'!BG56-'Grid_Requirement'!BG56))</f>
        <v/>
      </c>
      <c r="BH56">
        <f>IF(COUNTIFS(T_StockCount[Part Name],$A56,T_StockCount[WeekIndex],59)&gt;0,SUMIFS(T_StockCount[CountedQty],T_StockCount[Part Name],$A56,T_StockCount[WeekIndex],59),IF((('T_SelfStock'!BH60&lt;&gt;""))*(('T_TTAFStock'!BH60&lt;&gt;""))&gt;0,'T_SelfStock'!BH60+'T_TTAFStock'!BH60,BG56+'Grid_Incoming'!BH56-'Grid_Requirement'!BH56))</f>
        <v/>
      </c>
      <c r="BI56">
        <f>IF(COUNTIFS(T_StockCount[Part Name],$A56,T_StockCount[WeekIndex],60)&gt;0,SUMIFS(T_StockCount[CountedQty],T_StockCount[Part Name],$A56,T_StockCount[WeekIndex],60),IF((('T_SelfStock'!BI60&lt;&gt;""))*(('T_TTAFStock'!BI60&lt;&gt;""))&gt;0,'T_SelfStock'!BI60+'T_TTAFStock'!BI60,BH56+'Grid_Incoming'!BI56-'Grid_Requirement'!BI56))</f>
        <v/>
      </c>
      <c r="BJ56">
        <f>IF(COUNTIFS(T_StockCount[Part Name],$A56,T_StockCount[WeekIndex],61)&gt;0,SUMIFS(T_StockCount[CountedQty],T_StockCount[Part Name],$A56,T_StockCount[WeekIndex],61),IF((('T_SelfStock'!BJ60&lt;&gt;""))*(('T_TTAFStock'!BJ60&lt;&gt;""))&gt;0,'T_SelfStock'!BJ60+'T_TTAFStock'!BJ60,BI56+'Grid_Incoming'!BJ56-'Grid_Requirement'!BJ56))</f>
        <v/>
      </c>
      <c r="BK56">
        <f>IF(COUNTIFS(T_StockCount[Part Name],$A56,T_StockCount[WeekIndex],62)&gt;0,SUMIFS(T_StockCount[CountedQty],T_StockCount[Part Name],$A56,T_StockCount[WeekIndex],62),IF((('T_SelfStock'!BK60&lt;&gt;""))*(('T_TTAFStock'!BK60&lt;&gt;""))&gt;0,'T_SelfStock'!BK60+'T_TTAFStock'!BK60,BJ56+'Grid_Incoming'!BK56-'Grid_Requirement'!BK56))</f>
        <v/>
      </c>
      <c r="BL56">
        <f>IF(COUNTIFS(T_StockCount[Part Name],$A56,T_StockCount[WeekIndex],63)&gt;0,SUMIFS(T_StockCount[CountedQty],T_StockCount[Part Name],$A56,T_StockCount[WeekIndex],63),IF((('T_SelfStock'!BL60&lt;&gt;""))*(('T_TTAFStock'!BL60&lt;&gt;""))&gt;0,'T_SelfStock'!BL60+'T_TTAFStock'!BL60,BK56+'Grid_Incoming'!BL56-'Grid_Requirement'!BL56))</f>
        <v/>
      </c>
      <c r="BM56">
        <f>IF(COUNTIFS(T_StockCount[Part Name],$A56,T_StockCount[WeekIndex],64)&gt;0,SUMIFS(T_StockCount[CountedQty],T_StockCount[Part Name],$A56,T_StockCount[WeekIndex],64),IF((('T_SelfStock'!BM60&lt;&gt;""))*(('T_TTAFStock'!BM60&lt;&gt;""))&gt;0,'T_SelfStock'!BM60+'T_TTAFStock'!BM60,BL56+'Grid_Incoming'!BM56-'Grid_Requirement'!BM56))</f>
        <v/>
      </c>
      <c r="BN56">
        <f>IF(COUNTIFS(T_StockCount[Part Name],$A56,T_StockCount[WeekIndex],65)&gt;0,SUMIFS(T_StockCount[CountedQty],T_StockCount[Part Name],$A56,T_StockCount[WeekIndex],65),IF((('T_SelfStock'!BN60&lt;&gt;""))*(('T_TTAFStock'!BN60&lt;&gt;""))&gt;0,'T_SelfStock'!BN60+'T_TTAFStock'!BN60,BM56+'Grid_Incoming'!BN56-'Grid_Requirement'!BN56))</f>
        <v/>
      </c>
      <c r="BO56">
        <f>IF(COUNTIFS(T_StockCount[Part Name],$A56,T_StockCount[WeekIndex],66)&gt;0,SUMIFS(T_StockCount[CountedQty],T_StockCount[Part Name],$A56,T_StockCount[WeekIndex],66),IF((('T_SelfStock'!BO60&lt;&gt;""))*(('T_TTAFStock'!BO60&lt;&gt;""))&gt;0,'T_SelfStock'!BO60+'T_TTAFStock'!BO60,BN56+'Grid_Incoming'!BO56-'Grid_Requirement'!BO56))</f>
        <v/>
      </c>
      <c r="BP56">
        <f>IF(COUNTIFS(T_StockCount[Part Name],$A56,T_StockCount[WeekIndex],67)&gt;0,SUMIFS(T_StockCount[CountedQty],T_StockCount[Part Name],$A56,T_StockCount[WeekIndex],67),IF((('T_SelfStock'!BP60&lt;&gt;""))*(('T_TTAFStock'!BP60&lt;&gt;""))&gt;0,'T_SelfStock'!BP60+'T_TTAFStock'!BP60,BO56+'Grid_Incoming'!BP56-'Grid_Requirement'!BP56))</f>
        <v/>
      </c>
      <c r="BQ56">
        <f>IF(COUNTIFS(T_StockCount[Part Name],$A56,T_StockCount[WeekIndex],68)&gt;0,SUMIFS(T_StockCount[CountedQty],T_StockCount[Part Name],$A56,T_StockCount[WeekIndex],68),IF((('T_SelfStock'!BQ60&lt;&gt;""))*(('T_TTAFStock'!BQ60&lt;&gt;""))&gt;0,'T_SelfStock'!BQ60+'T_TTAFStock'!BQ60,BP56+'Grid_Incoming'!BQ56-'Grid_Requirement'!BQ56))</f>
        <v/>
      </c>
      <c r="BR56">
        <f>IF(COUNTIFS(T_StockCount[Part Name],$A56,T_StockCount[WeekIndex],69)&gt;0,SUMIFS(T_StockCount[CountedQty],T_StockCount[Part Name],$A56,T_StockCount[WeekIndex],69),IF((('T_SelfStock'!BR60&lt;&gt;""))*(('T_TTAFStock'!BR60&lt;&gt;""))&gt;0,'T_SelfStock'!BR60+'T_TTAFStock'!BR60,BQ56+'Grid_Incoming'!BR56-'Grid_Requirement'!BR56))</f>
        <v/>
      </c>
      <c r="BS56">
        <f>IF(COUNTIFS(T_StockCount[Part Name],$A56,T_StockCount[WeekIndex],70)&gt;0,SUMIFS(T_StockCount[CountedQty],T_StockCount[Part Name],$A56,T_StockCount[WeekIndex],70),IF((('T_SelfStock'!BS60&lt;&gt;""))*(('T_TTAFStock'!BS60&lt;&gt;""))&gt;0,'T_SelfStock'!BS60+'T_TTAFStock'!BS60,BR56+'Grid_Incoming'!BS56-'Grid_Requirement'!BS56))</f>
        <v/>
      </c>
      <c r="BT56">
        <f>IF(COUNTIFS(T_StockCount[Part Name],$A56,T_StockCount[WeekIndex],71)&gt;0,SUMIFS(T_StockCount[CountedQty],T_StockCount[Part Name],$A56,T_StockCount[WeekIndex],71),IF((('T_SelfStock'!BT60&lt;&gt;""))*(('T_TTAFStock'!BT60&lt;&gt;""))&gt;0,'T_SelfStock'!BT60+'T_TTAFStock'!BT60,BS56+'Grid_Incoming'!BT56-'Grid_Requirement'!BT56))</f>
        <v/>
      </c>
      <c r="BU56">
        <f>IF(COUNTIFS(T_StockCount[Part Name],$A56,T_StockCount[WeekIndex],72)&gt;0,SUMIFS(T_StockCount[CountedQty],T_StockCount[Part Name],$A56,T_StockCount[WeekIndex],72),IF((('T_SelfStock'!BU60&lt;&gt;""))*(('T_TTAFStock'!BU60&lt;&gt;""))&gt;0,'T_SelfStock'!BU60+'T_TTAFStock'!BU60,BT56+'Grid_Incoming'!BU56-'Grid_Requirement'!BU56))</f>
        <v/>
      </c>
      <c r="BV56">
        <f>IF(COUNTIFS(T_StockCount[Part Name],$A56,T_StockCount[WeekIndex],73)&gt;0,SUMIFS(T_StockCount[CountedQty],T_StockCount[Part Name],$A56,T_StockCount[WeekIndex],73),IF((('T_SelfStock'!BV60&lt;&gt;""))*(('T_TTAFStock'!BV60&lt;&gt;""))&gt;0,'T_SelfStock'!BV60+'T_TTAFStock'!BV60,BU56+'Grid_Incoming'!BV56-'Grid_Requirement'!BV56))</f>
        <v/>
      </c>
      <c r="BW56">
        <f>IF(COUNTIFS(T_StockCount[Part Name],$A56,T_StockCount[WeekIndex],74)&gt;0,SUMIFS(T_StockCount[CountedQty],T_StockCount[Part Name],$A56,T_StockCount[WeekIndex],74),IF((('T_SelfStock'!BW60&lt;&gt;""))*(('T_TTAFStock'!BW60&lt;&gt;""))&gt;0,'T_SelfStock'!BW60+'T_TTAFStock'!BW60,BV56+'Grid_Incoming'!BW56-'Grid_Requirement'!BW56))</f>
        <v/>
      </c>
      <c r="BX56">
        <f>IF(COUNTIFS(T_StockCount[Part Name],$A56,T_StockCount[WeekIndex],75)&gt;0,SUMIFS(T_StockCount[CountedQty],T_StockCount[Part Name],$A56,T_StockCount[WeekIndex],75),IF((('T_SelfStock'!BX60&lt;&gt;""))*(('T_TTAFStock'!BX60&lt;&gt;""))&gt;0,'T_SelfStock'!BX60+'T_TTAFStock'!BX60,BW56+'Grid_Incoming'!BX56-'Grid_Requirement'!BX56))</f>
        <v/>
      </c>
      <c r="BY56">
        <f>IF(COUNTIFS(T_StockCount[Part Name],$A56,T_StockCount[WeekIndex],76)&gt;0,SUMIFS(T_StockCount[CountedQty],T_StockCount[Part Name],$A56,T_StockCount[WeekIndex],76),IF((('T_SelfStock'!BY60&lt;&gt;""))*(('T_TTAFStock'!BY60&lt;&gt;""))&gt;0,'T_SelfStock'!BY60+'T_TTAFStock'!BY60,BX56+'Grid_Incoming'!BY56-'Grid_Requirement'!BY56))</f>
        <v/>
      </c>
      <c r="BZ56">
        <f>IF(COUNTIFS(T_StockCount[Part Name],$A56,T_StockCount[WeekIndex],77)&gt;0,SUMIFS(T_StockCount[CountedQty],T_StockCount[Part Name],$A56,T_StockCount[WeekIndex],77),IF((('T_SelfStock'!BZ60&lt;&gt;""))*(('T_TTAFStock'!BZ60&lt;&gt;""))&gt;0,'T_SelfStock'!BZ60+'T_TTAFStock'!BZ60,BY56+'Grid_Incoming'!BZ56-'Grid_Requirement'!BZ56))</f>
        <v/>
      </c>
      <c r="CA56">
        <f>IF(COUNTIFS(T_StockCount[Part Name],$A56,T_StockCount[WeekIndex],78)&gt;0,SUMIFS(T_StockCount[CountedQty],T_StockCount[Part Name],$A56,T_StockCount[WeekIndex],78),IF((('T_SelfStock'!CA60&lt;&gt;""))*(('T_TTAFStock'!CA60&lt;&gt;""))&gt;0,'T_SelfStock'!CA60+'T_TTAFStock'!CA60,BZ56+'Grid_Incoming'!CA56-'Grid_Requirement'!CA56))</f>
        <v/>
      </c>
      <c r="CB56">
        <f>IF(COUNTIFS(T_StockCount[Part Name],$A56,T_StockCount[WeekIndex],79)&gt;0,SUMIFS(T_StockCount[CountedQty],T_StockCount[Part Name],$A56,T_StockCount[WeekIndex],79),IF((('T_SelfStock'!CB60&lt;&gt;""))*(('T_TTAFStock'!CB60&lt;&gt;""))&gt;0,'T_SelfStock'!CB60+'T_TTAFStock'!CB60,CA56+'Grid_Incoming'!CB56-'Grid_Requirement'!CB56))</f>
        <v/>
      </c>
      <c r="CC56">
        <f>IF(COUNTIFS(T_StockCount[Part Name],$A56,T_StockCount[WeekIndex],80)&gt;0,SUMIFS(T_StockCount[CountedQty],T_StockCount[Part Name],$A56,T_StockCount[WeekIndex],80),IF((('T_SelfStock'!CC60&lt;&gt;""))*(('T_TTAFStock'!CC60&lt;&gt;""))&gt;0,'T_SelfStock'!CC60+'T_TTAFStock'!CC60,CB56+'Grid_Incoming'!CC56-'Grid_Requirement'!CC56))</f>
        <v/>
      </c>
      <c r="CD56">
        <f>IF(COUNTIFS(T_StockCount[Part Name],$A56,T_StockCount[WeekIndex],81)&gt;0,SUMIFS(T_StockCount[CountedQty],T_StockCount[Part Name],$A56,T_StockCount[WeekIndex],81),IF((('T_SelfStock'!CD60&lt;&gt;""))*(('T_TTAFStock'!CD60&lt;&gt;""))&gt;0,'T_SelfStock'!CD60+'T_TTAFStock'!CD60,CC56+'Grid_Incoming'!CD56-'Grid_Requirement'!CD56))</f>
        <v/>
      </c>
      <c r="CE56">
        <f>IF(COUNTIFS(T_StockCount[Part Name],$A56,T_StockCount[WeekIndex],82)&gt;0,SUMIFS(T_StockCount[CountedQty],T_StockCount[Part Name],$A56,T_StockCount[WeekIndex],82),IF((('T_SelfStock'!CE60&lt;&gt;""))*(('T_TTAFStock'!CE60&lt;&gt;""))&gt;0,'T_SelfStock'!CE60+'T_TTAFStock'!CE60,CD56+'Grid_Incoming'!CE56-'Grid_Requirement'!CE56))</f>
        <v/>
      </c>
      <c r="CF56">
        <f>IF(COUNTIFS(T_StockCount[Part Name],$A56,T_StockCount[WeekIndex],83)&gt;0,SUMIFS(T_StockCount[CountedQty],T_StockCount[Part Name],$A56,T_StockCount[WeekIndex],83),IF((('T_SelfStock'!CF60&lt;&gt;""))*(('T_TTAFStock'!CF60&lt;&gt;""))&gt;0,'T_SelfStock'!CF60+'T_TTAFStock'!CF60,CE56+'Grid_Incoming'!CF56-'Grid_Requirement'!CF56))</f>
        <v/>
      </c>
      <c r="CG56">
        <f>IF(COUNTIFS(T_StockCount[Part Name],$A56,T_StockCount[WeekIndex],84)&gt;0,SUMIFS(T_StockCount[CountedQty],T_StockCount[Part Name],$A56,T_StockCount[WeekIndex],84),IF((('T_SelfStock'!CG60&lt;&gt;""))*(('T_TTAFStock'!CG60&lt;&gt;""))&gt;0,'T_SelfStock'!CG60+'T_TTAFStock'!CG60,CF56+'Grid_Incoming'!CG56-'Grid_Requirement'!CG56))</f>
        <v/>
      </c>
      <c r="CH56">
        <f>IF(COUNTIFS(T_StockCount[Part Name],$A56,T_StockCount[WeekIndex],85)&gt;0,SUMIFS(T_StockCount[CountedQty],T_StockCount[Part Name],$A56,T_StockCount[WeekIndex],85),IF((('T_SelfStock'!CH60&lt;&gt;""))*(('T_TTAFStock'!CH60&lt;&gt;""))&gt;0,'T_SelfStock'!CH60+'T_TTAFStock'!CH60,CG56+'Grid_Incoming'!CH56-'Grid_Requirement'!CH56))</f>
        <v/>
      </c>
      <c r="CI56">
        <f>IF(COUNTIFS(T_StockCount[Part Name],$A56,T_StockCount[WeekIndex],86)&gt;0,SUMIFS(T_StockCount[CountedQty],T_StockCount[Part Name],$A56,T_StockCount[WeekIndex],86),IF((('T_SelfStock'!CI60&lt;&gt;""))*(('T_TTAFStock'!CI60&lt;&gt;""))&gt;0,'T_SelfStock'!CI60+'T_TTAFStock'!CI60,CH56+'Grid_Incoming'!CI56-'Grid_Requirement'!CI56))</f>
        <v/>
      </c>
      <c r="CJ56">
        <f>IF(COUNTIFS(T_StockCount[Part Name],$A56,T_StockCount[WeekIndex],87)&gt;0,SUMIFS(T_StockCount[CountedQty],T_StockCount[Part Name],$A56,T_StockCount[WeekIndex],87),IF((('T_SelfStock'!CJ60&lt;&gt;""))*(('T_TTAFStock'!CJ60&lt;&gt;""))&gt;0,'T_SelfStock'!CJ60+'T_TTAFStock'!CJ60,CI56+'Grid_Incoming'!CJ56-'Grid_Requirement'!CJ56))</f>
        <v/>
      </c>
      <c r="CK56">
        <f>IF(COUNTIFS(T_StockCount[Part Name],$A56,T_StockCount[WeekIndex],88)&gt;0,SUMIFS(T_StockCount[CountedQty],T_StockCount[Part Name],$A56,T_StockCount[WeekIndex],88),IF((('T_SelfStock'!CK60&lt;&gt;""))*(('T_TTAFStock'!CK60&lt;&gt;""))&gt;0,'T_SelfStock'!CK60+'T_TTAFStock'!CK60,CJ56+'Grid_Incoming'!CK56-'Grid_Requirement'!CK56))</f>
        <v/>
      </c>
      <c r="CL56">
        <f>IF(COUNTIFS(T_StockCount[Part Name],$A56,T_StockCount[WeekIndex],89)&gt;0,SUMIFS(T_StockCount[CountedQty],T_StockCount[Part Name],$A56,T_StockCount[WeekIndex],89),IF((('T_SelfStock'!CL60&lt;&gt;""))*(('T_TTAFStock'!CL60&lt;&gt;""))&gt;0,'T_SelfStock'!CL60+'T_TTAFStock'!CL60,CK56+'Grid_Incoming'!CL56-'Grid_Requirement'!CL56))</f>
        <v/>
      </c>
      <c r="CM56">
        <f>IF(COUNTIFS(T_StockCount[Part Name],$A56,T_StockCount[WeekIndex],90)&gt;0,SUMIFS(T_StockCount[CountedQty],T_StockCount[Part Name],$A56,T_StockCount[WeekIndex],90),IF((('T_SelfStock'!CM60&lt;&gt;""))*(('T_TTAFStock'!CM60&lt;&gt;""))&gt;0,'T_SelfStock'!CM60+'T_TTAFStock'!CM60,CL56+'Grid_Incoming'!CM56-'Grid_Requirement'!CM56))</f>
        <v/>
      </c>
      <c r="CN56">
        <f>IF(COUNTIFS(T_StockCount[Part Name],$A56,T_StockCount[WeekIndex],91)&gt;0,SUMIFS(T_StockCount[CountedQty],T_StockCount[Part Name],$A56,T_StockCount[WeekIndex],91),IF((('T_SelfStock'!CN60&lt;&gt;""))*(('T_TTAFStock'!CN60&lt;&gt;""))&gt;0,'T_SelfStock'!CN60+'T_TTAFStock'!CN60,CM56+'Grid_Incoming'!CN56-'Grid_Requirement'!CN56))</f>
        <v/>
      </c>
      <c r="CO56">
        <f>IF(COUNTIFS(T_StockCount[Part Name],$A56,T_StockCount[WeekIndex],92)&gt;0,SUMIFS(T_StockCount[CountedQty],T_StockCount[Part Name],$A56,T_StockCount[WeekIndex],92),IF((('T_SelfStock'!CO60&lt;&gt;""))*(('T_TTAFStock'!CO60&lt;&gt;""))&gt;0,'T_SelfStock'!CO60+'T_TTAFStock'!CO60,CN56+'Grid_Incoming'!CO56-'Grid_Requirement'!CO56))</f>
        <v/>
      </c>
      <c r="CP56">
        <f>IF(COUNTIFS(T_StockCount[Part Name],$A56,T_StockCount[WeekIndex],93)&gt;0,SUMIFS(T_StockCount[CountedQty],T_StockCount[Part Name],$A56,T_StockCount[WeekIndex],93),IF((('T_SelfStock'!CP60&lt;&gt;""))*(('T_TTAFStock'!CP60&lt;&gt;""))&gt;0,'T_SelfStock'!CP60+'T_TTAFStock'!CP60,CO56+'Grid_Incoming'!CP56-'Grid_Requirement'!CP56))</f>
        <v/>
      </c>
      <c r="CQ56">
        <f>IF(COUNTIFS(T_StockCount[Part Name],$A56,T_StockCount[WeekIndex],94)&gt;0,SUMIFS(T_StockCount[CountedQty],T_StockCount[Part Name],$A56,T_StockCount[WeekIndex],94),IF((('T_SelfStock'!CQ60&lt;&gt;""))*(('T_TTAFStock'!CQ60&lt;&gt;""))&gt;0,'T_SelfStock'!CQ60+'T_TTAFStock'!CQ60,CP56+'Grid_Incoming'!CQ56-'Grid_Requirement'!CQ56))</f>
        <v/>
      </c>
      <c r="CR56">
        <f>IF(COUNTIFS(T_StockCount[Part Name],$A56,T_StockCount[WeekIndex],95)&gt;0,SUMIFS(T_StockCount[CountedQty],T_StockCount[Part Name],$A56,T_StockCount[WeekIndex],95),IF((('T_SelfStock'!CR60&lt;&gt;""))*(('T_TTAFStock'!CR60&lt;&gt;""))&gt;0,'T_SelfStock'!CR60+'T_TTAFStock'!CR60,CQ56+'Grid_Incoming'!CR56-'Grid_Requirement'!CR56))</f>
        <v/>
      </c>
      <c r="CS56">
        <f>IF(COUNTIFS(T_StockCount[Part Name],$A56,T_StockCount[WeekIndex],96)&gt;0,SUMIFS(T_StockCount[CountedQty],T_StockCount[Part Name],$A56,T_StockCount[WeekIndex],96),IF((('T_SelfStock'!CS60&lt;&gt;""))*(('T_TTAFStock'!CS60&lt;&gt;""))&gt;0,'T_SelfStock'!CS60+'T_TTAFStock'!CS60,CR56+'Grid_Incoming'!CS56-'Grid_Requirement'!CS56))</f>
        <v/>
      </c>
      <c r="CT56">
        <f>IF(COUNTIFS(T_StockCount[Part Name],$A56,T_StockCount[WeekIndex],97)&gt;0,SUMIFS(T_StockCount[CountedQty],T_StockCount[Part Name],$A56,T_StockCount[WeekIndex],97),IF((('T_SelfStock'!CT60&lt;&gt;""))*(('T_TTAFStock'!CT60&lt;&gt;""))&gt;0,'T_SelfStock'!CT60+'T_TTAFStock'!CT60,CS56+'Grid_Incoming'!CT56-'Grid_Requirement'!CT56))</f>
        <v/>
      </c>
      <c r="CU56">
        <f>IF(COUNTIFS(T_StockCount[Part Name],$A56,T_StockCount[WeekIndex],98)&gt;0,SUMIFS(T_StockCount[CountedQty],T_StockCount[Part Name],$A56,T_StockCount[WeekIndex],98),IF((('T_SelfStock'!CU60&lt;&gt;""))*(('T_TTAFStock'!CU60&lt;&gt;""))&gt;0,'T_SelfStock'!CU60+'T_TTAFStock'!CU60,CT56+'Grid_Incoming'!CU56-'Grid_Requirement'!CU56))</f>
        <v/>
      </c>
      <c r="CV56">
        <f>IF(COUNTIFS(T_StockCount[Part Name],$A56,T_StockCount[WeekIndex],99)&gt;0,SUMIFS(T_StockCount[CountedQty],T_StockCount[Part Name],$A56,T_StockCount[WeekIndex],99),IF((('T_SelfStock'!CV60&lt;&gt;""))*(('T_TTAFStock'!CV60&lt;&gt;""))&gt;0,'T_SelfStock'!CV60+'T_TTAFStock'!CV60,CU56+'Grid_Incoming'!CV56-'Grid_Requirement'!CV56))</f>
        <v/>
      </c>
      <c r="CW56">
        <f>IF(COUNTIFS(T_StockCount[Part Name],$A56,T_StockCount[WeekIndex],100)&gt;0,SUMIFS(T_StockCount[CountedQty],T_StockCount[Part Name],$A56,T_StockCount[WeekIndex],100),IF((('T_SelfStock'!CW60&lt;&gt;""))*(('T_TTAFStock'!CW60&lt;&gt;""))&gt;0,'T_SelfStock'!CW60+'T_TTAFStock'!CW60,CV56+'Grid_Incoming'!CW56-'Grid_Requirement'!CW56))</f>
        <v/>
      </c>
      <c r="CX56">
        <f>IF(COUNTIFS(T_StockCount[Part Name],$A56,T_StockCount[WeekIndex],101)&gt;0,SUMIFS(T_StockCount[CountedQty],T_StockCount[Part Name],$A56,T_StockCount[WeekIndex],101),IF((('T_SelfStock'!CX60&lt;&gt;""))*(('T_TTAFStock'!CX60&lt;&gt;""))&gt;0,'T_SelfStock'!CX60+'T_TTAFStock'!CX60,CW56+'Grid_Incoming'!CX56-'Grid_Requirement'!CX56))</f>
        <v/>
      </c>
      <c r="CY56">
        <f>IF(COUNTIFS(T_StockCount[Part Name],$A56,T_StockCount[WeekIndex],102)&gt;0,SUMIFS(T_StockCount[CountedQty],T_StockCount[Part Name],$A56,T_StockCount[WeekIndex],102),IF((('T_SelfStock'!CY60&lt;&gt;""))*(('T_TTAFStock'!CY60&lt;&gt;""))&gt;0,'T_SelfStock'!CY60+'T_TTAFStock'!CY60,CX56+'Grid_Incoming'!CY56-'Grid_Requirement'!CY56))</f>
        <v/>
      </c>
      <c r="CZ56">
        <f>IF(COUNTIFS(T_StockCount[Part Name],$A56,T_StockCount[WeekIndex],103)&gt;0,SUMIFS(T_StockCount[CountedQty],T_StockCount[Part Name],$A56,T_StockCount[WeekIndex],103),IF((('T_SelfStock'!CZ60&lt;&gt;""))*(('T_TTAFStock'!CZ60&lt;&gt;""))&gt;0,'T_SelfStock'!CZ60+'T_TTAFStock'!CZ60,CY56+'Grid_Incoming'!CZ56-'Grid_Requirement'!CZ56))</f>
        <v/>
      </c>
      <c r="DA56">
        <f>IF(COUNTIFS(T_StockCount[Part Name],$A56,T_StockCount[WeekIndex],104)&gt;0,SUMIFS(T_StockCount[CountedQty],T_StockCount[Part Name],$A56,T_StockCount[WeekIndex],104),IF((('T_SelfStock'!DA60&lt;&gt;""))*(('T_TTAFStock'!DA60&lt;&gt;""))&gt;0,'T_SelfStock'!DA60+'T_TTAFStock'!DA60,CZ56+'Grid_Incoming'!DA56-'Grid_Requirement'!DA56))</f>
        <v/>
      </c>
    </row>
    <row r="57">
      <c r="A57" t="inlineStr">
        <is>
          <t>Ester Film</t>
        </is>
      </c>
      <c r="B57">
        <f>IF(COUNTIFS(T_StockCount[Part Name],$A57,T_StockCount[WeekIndex],1)&gt;0,SUMIFS(T_StockCount[CountedQty],T_StockCount[Part Name],$A57,T_StockCount[WeekIndex],1),IF((('T_SelfStock'!B61&lt;&gt;""))*(('T_TTAFStock'!B61&lt;&gt;""))&gt;0,'T_SelfStock'!B61+'T_TTAFStock'!B61,IFERROR(INDEX(T_OpeningStock[Opening_Qty_要入力],MATCH($A57,T_OpeningStock[Part Name],0)),0)+'Grid_Incoming'!B57-'Grid_Requirement'!B57))</f>
        <v/>
      </c>
      <c r="C57">
        <f>IF(COUNTIFS(T_StockCount[Part Name],$A57,T_StockCount[WeekIndex],2)&gt;0,SUMIFS(T_StockCount[CountedQty],T_StockCount[Part Name],$A57,T_StockCount[WeekIndex],2),IF((('T_SelfStock'!C61&lt;&gt;""))*(('T_TTAFStock'!C61&lt;&gt;""))&gt;0,'T_SelfStock'!C61+'T_TTAFStock'!C61,B57+'Grid_Incoming'!C57-'Grid_Requirement'!C57))</f>
        <v/>
      </c>
      <c r="D57">
        <f>IF(COUNTIFS(T_StockCount[Part Name],$A57,T_StockCount[WeekIndex],3)&gt;0,SUMIFS(T_StockCount[CountedQty],T_StockCount[Part Name],$A57,T_StockCount[WeekIndex],3),IF((('T_SelfStock'!D61&lt;&gt;""))*(('T_TTAFStock'!D61&lt;&gt;""))&gt;0,'T_SelfStock'!D61+'T_TTAFStock'!D61,C57+'Grid_Incoming'!D57-'Grid_Requirement'!D57))</f>
        <v/>
      </c>
      <c r="E57">
        <f>IF(COUNTIFS(T_StockCount[Part Name],$A57,T_StockCount[WeekIndex],4)&gt;0,SUMIFS(T_StockCount[CountedQty],T_StockCount[Part Name],$A57,T_StockCount[WeekIndex],4),IF((('T_SelfStock'!E61&lt;&gt;""))*(('T_TTAFStock'!E61&lt;&gt;""))&gt;0,'T_SelfStock'!E61+'T_TTAFStock'!E61,D57+'Grid_Incoming'!E57-'Grid_Requirement'!E57))</f>
        <v/>
      </c>
      <c r="F57">
        <f>IF(COUNTIFS(T_StockCount[Part Name],$A57,T_StockCount[WeekIndex],5)&gt;0,SUMIFS(T_StockCount[CountedQty],T_StockCount[Part Name],$A57,T_StockCount[WeekIndex],5),IF((('T_SelfStock'!F61&lt;&gt;""))*(('T_TTAFStock'!F61&lt;&gt;""))&gt;0,'T_SelfStock'!F61+'T_TTAFStock'!F61,E57+'Grid_Incoming'!F57-'Grid_Requirement'!F57))</f>
        <v/>
      </c>
      <c r="G57">
        <f>IF(COUNTIFS(T_StockCount[Part Name],$A57,T_StockCount[WeekIndex],6)&gt;0,SUMIFS(T_StockCount[CountedQty],T_StockCount[Part Name],$A57,T_StockCount[WeekIndex],6),IF((('T_SelfStock'!G61&lt;&gt;""))*(('T_TTAFStock'!G61&lt;&gt;""))&gt;0,'T_SelfStock'!G61+'T_TTAFStock'!G61,F57+'Grid_Incoming'!G57-'Grid_Requirement'!G57))</f>
        <v/>
      </c>
      <c r="H57">
        <f>IF(COUNTIFS(T_StockCount[Part Name],$A57,T_StockCount[WeekIndex],7)&gt;0,SUMIFS(T_StockCount[CountedQty],T_StockCount[Part Name],$A57,T_StockCount[WeekIndex],7),IF((('T_SelfStock'!H61&lt;&gt;""))*(('T_TTAFStock'!H61&lt;&gt;""))&gt;0,'T_SelfStock'!H61+'T_TTAFStock'!H61,G57+'Grid_Incoming'!H57-'Grid_Requirement'!H57))</f>
        <v/>
      </c>
      <c r="I57">
        <f>IF(COUNTIFS(T_StockCount[Part Name],$A57,T_StockCount[WeekIndex],8)&gt;0,SUMIFS(T_StockCount[CountedQty],T_StockCount[Part Name],$A57,T_StockCount[WeekIndex],8),IF((('T_SelfStock'!I61&lt;&gt;""))*(('T_TTAFStock'!I61&lt;&gt;""))&gt;0,'T_SelfStock'!I61+'T_TTAFStock'!I61,H57+'Grid_Incoming'!I57-'Grid_Requirement'!I57))</f>
        <v/>
      </c>
      <c r="J57">
        <f>IF(COUNTIFS(T_StockCount[Part Name],$A57,T_StockCount[WeekIndex],9)&gt;0,SUMIFS(T_StockCount[CountedQty],T_StockCount[Part Name],$A57,T_StockCount[WeekIndex],9),IF((('T_SelfStock'!J61&lt;&gt;""))*(('T_TTAFStock'!J61&lt;&gt;""))&gt;0,'T_SelfStock'!J61+'T_TTAFStock'!J61,I57+'Grid_Incoming'!J57-'Grid_Requirement'!J57))</f>
        <v/>
      </c>
      <c r="K57">
        <f>IF(COUNTIFS(T_StockCount[Part Name],$A57,T_StockCount[WeekIndex],10)&gt;0,SUMIFS(T_StockCount[CountedQty],T_StockCount[Part Name],$A57,T_StockCount[WeekIndex],10),IF((('T_SelfStock'!K61&lt;&gt;""))*(('T_TTAFStock'!K61&lt;&gt;""))&gt;0,'T_SelfStock'!K61+'T_TTAFStock'!K61,J57+'Grid_Incoming'!K57-'Grid_Requirement'!K57))</f>
        <v/>
      </c>
      <c r="L57">
        <f>IF(COUNTIFS(T_StockCount[Part Name],$A57,T_StockCount[WeekIndex],11)&gt;0,SUMIFS(T_StockCount[CountedQty],T_StockCount[Part Name],$A57,T_StockCount[WeekIndex],11),IF((('T_SelfStock'!L61&lt;&gt;""))*(('T_TTAFStock'!L61&lt;&gt;""))&gt;0,'T_SelfStock'!L61+'T_TTAFStock'!L61,K57+'Grid_Incoming'!L57-'Grid_Requirement'!L57))</f>
        <v/>
      </c>
      <c r="M57">
        <f>IF(COUNTIFS(T_StockCount[Part Name],$A57,T_StockCount[WeekIndex],12)&gt;0,SUMIFS(T_StockCount[CountedQty],T_StockCount[Part Name],$A57,T_StockCount[WeekIndex],12),IF((('T_SelfStock'!M61&lt;&gt;""))*(('T_TTAFStock'!M61&lt;&gt;""))&gt;0,'T_SelfStock'!M61+'T_TTAFStock'!M61,L57+'Grid_Incoming'!M57-'Grid_Requirement'!M57))</f>
        <v/>
      </c>
      <c r="N57">
        <f>IF(COUNTIFS(T_StockCount[Part Name],$A57,T_StockCount[WeekIndex],13)&gt;0,SUMIFS(T_StockCount[CountedQty],T_StockCount[Part Name],$A57,T_StockCount[WeekIndex],13),IF((('T_SelfStock'!N61&lt;&gt;""))*(('T_TTAFStock'!N61&lt;&gt;""))&gt;0,'T_SelfStock'!N61+'T_TTAFStock'!N61,M57+'Grid_Incoming'!N57-'Grid_Requirement'!N57))</f>
        <v/>
      </c>
      <c r="O57">
        <f>IF(COUNTIFS(T_StockCount[Part Name],$A57,T_StockCount[WeekIndex],14)&gt;0,SUMIFS(T_StockCount[CountedQty],T_StockCount[Part Name],$A57,T_StockCount[WeekIndex],14),IF((('T_SelfStock'!O61&lt;&gt;""))*(('T_TTAFStock'!O61&lt;&gt;""))&gt;0,'T_SelfStock'!O61+'T_TTAFStock'!O61,N57+'Grid_Incoming'!O57-'Grid_Requirement'!O57))</f>
        <v/>
      </c>
      <c r="P57">
        <f>IF(COUNTIFS(T_StockCount[Part Name],$A57,T_StockCount[WeekIndex],15)&gt;0,SUMIFS(T_StockCount[CountedQty],T_StockCount[Part Name],$A57,T_StockCount[WeekIndex],15),IF((('T_SelfStock'!P61&lt;&gt;""))*(('T_TTAFStock'!P61&lt;&gt;""))&gt;0,'T_SelfStock'!P61+'T_TTAFStock'!P61,O57+'Grid_Incoming'!P57-'Grid_Requirement'!P57))</f>
        <v/>
      </c>
      <c r="Q57">
        <f>IF(COUNTIFS(T_StockCount[Part Name],$A57,T_StockCount[WeekIndex],16)&gt;0,SUMIFS(T_StockCount[CountedQty],T_StockCount[Part Name],$A57,T_StockCount[WeekIndex],16),IF((('T_SelfStock'!Q61&lt;&gt;""))*(('T_TTAFStock'!Q61&lt;&gt;""))&gt;0,'T_SelfStock'!Q61+'T_TTAFStock'!Q61,P57+'Grid_Incoming'!Q57-'Grid_Requirement'!Q57))</f>
        <v/>
      </c>
      <c r="R57">
        <f>IF(COUNTIFS(T_StockCount[Part Name],$A57,T_StockCount[WeekIndex],17)&gt;0,SUMIFS(T_StockCount[CountedQty],T_StockCount[Part Name],$A57,T_StockCount[WeekIndex],17),IF((('T_SelfStock'!R61&lt;&gt;""))*(('T_TTAFStock'!R61&lt;&gt;""))&gt;0,'T_SelfStock'!R61+'T_TTAFStock'!R61,Q57+'Grid_Incoming'!R57-'Grid_Requirement'!R57))</f>
        <v/>
      </c>
      <c r="S57">
        <f>IF(COUNTIFS(T_StockCount[Part Name],$A57,T_StockCount[WeekIndex],18)&gt;0,SUMIFS(T_StockCount[CountedQty],T_StockCount[Part Name],$A57,T_StockCount[WeekIndex],18),IF((('T_SelfStock'!S61&lt;&gt;""))*(('T_TTAFStock'!S61&lt;&gt;""))&gt;0,'T_SelfStock'!S61+'T_TTAFStock'!S61,R57+'Grid_Incoming'!S57-'Grid_Requirement'!S57))</f>
        <v/>
      </c>
      <c r="T57">
        <f>IF(COUNTIFS(T_StockCount[Part Name],$A57,T_StockCount[WeekIndex],19)&gt;0,SUMIFS(T_StockCount[CountedQty],T_StockCount[Part Name],$A57,T_StockCount[WeekIndex],19),IF((('T_SelfStock'!T61&lt;&gt;""))*(('T_TTAFStock'!T61&lt;&gt;""))&gt;0,'T_SelfStock'!T61+'T_TTAFStock'!T61,S57+'Grid_Incoming'!T57-'Grid_Requirement'!T57))</f>
        <v/>
      </c>
      <c r="U57">
        <f>IF(COUNTIFS(T_StockCount[Part Name],$A57,T_StockCount[WeekIndex],20)&gt;0,SUMIFS(T_StockCount[CountedQty],T_StockCount[Part Name],$A57,T_StockCount[WeekIndex],20),IF((('T_SelfStock'!U61&lt;&gt;""))*(('T_TTAFStock'!U61&lt;&gt;""))&gt;0,'T_SelfStock'!U61+'T_TTAFStock'!U61,T57+'Grid_Incoming'!U57-'Grid_Requirement'!U57))</f>
        <v/>
      </c>
      <c r="V57">
        <f>IF(COUNTIFS(T_StockCount[Part Name],$A57,T_StockCount[WeekIndex],21)&gt;0,SUMIFS(T_StockCount[CountedQty],T_StockCount[Part Name],$A57,T_StockCount[WeekIndex],21),IF((('T_SelfStock'!V61&lt;&gt;""))*(('T_TTAFStock'!V61&lt;&gt;""))&gt;0,'T_SelfStock'!V61+'T_TTAFStock'!V61,U57+'Grid_Incoming'!V57-'Grid_Requirement'!V57))</f>
        <v/>
      </c>
      <c r="W57">
        <f>IF(COUNTIFS(T_StockCount[Part Name],$A57,T_StockCount[WeekIndex],22)&gt;0,SUMIFS(T_StockCount[CountedQty],T_StockCount[Part Name],$A57,T_StockCount[WeekIndex],22),IF((('T_SelfStock'!W61&lt;&gt;""))*(('T_TTAFStock'!W61&lt;&gt;""))&gt;0,'T_SelfStock'!W61+'T_TTAFStock'!W61,V57+'Grid_Incoming'!W57-'Grid_Requirement'!W57))</f>
        <v/>
      </c>
      <c r="X57">
        <f>IF(COUNTIFS(T_StockCount[Part Name],$A57,T_StockCount[WeekIndex],23)&gt;0,SUMIFS(T_StockCount[CountedQty],T_StockCount[Part Name],$A57,T_StockCount[WeekIndex],23),IF((('T_SelfStock'!X61&lt;&gt;""))*(('T_TTAFStock'!X61&lt;&gt;""))&gt;0,'T_SelfStock'!X61+'T_TTAFStock'!X61,W57+'Grid_Incoming'!X57-'Grid_Requirement'!X57))</f>
        <v/>
      </c>
      <c r="Y57">
        <f>IF(COUNTIFS(T_StockCount[Part Name],$A57,T_StockCount[WeekIndex],24)&gt;0,SUMIFS(T_StockCount[CountedQty],T_StockCount[Part Name],$A57,T_StockCount[WeekIndex],24),IF((('T_SelfStock'!Y61&lt;&gt;""))*(('T_TTAFStock'!Y61&lt;&gt;""))&gt;0,'T_SelfStock'!Y61+'T_TTAFStock'!Y61,X57+'Grid_Incoming'!Y57-'Grid_Requirement'!Y57))</f>
        <v/>
      </c>
      <c r="Z57">
        <f>IF(COUNTIFS(T_StockCount[Part Name],$A57,T_StockCount[WeekIndex],25)&gt;0,SUMIFS(T_StockCount[CountedQty],T_StockCount[Part Name],$A57,T_StockCount[WeekIndex],25),IF((('T_SelfStock'!Z61&lt;&gt;""))*(('T_TTAFStock'!Z61&lt;&gt;""))&gt;0,'T_SelfStock'!Z61+'T_TTAFStock'!Z61,Y57+'Grid_Incoming'!Z57-'Grid_Requirement'!Z57))</f>
        <v/>
      </c>
      <c r="AA57">
        <f>IF(COUNTIFS(T_StockCount[Part Name],$A57,T_StockCount[WeekIndex],26)&gt;0,SUMIFS(T_StockCount[CountedQty],T_StockCount[Part Name],$A57,T_StockCount[WeekIndex],26),IF((('T_SelfStock'!AA61&lt;&gt;""))*(('T_TTAFStock'!AA61&lt;&gt;""))&gt;0,'T_SelfStock'!AA61+'T_TTAFStock'!AA61,Z57+'Grid_Incoming'!AA57-'Grid_Requirement'!AA57))</f>
        <v/>
      </c>
      <c r="AB57">
        <f>IF(COUNTIFS(T_StockCount[Part Name],$A57,T_StockCount[WeekIndex],27)&gt;0,SUMIFS(T_StockCount[CountedQty],T_StockCount[Part Name],$A57,T_StockCount[WeekIndex],27),IF((('T_SelfStock'!AB61&lt;&gt;""))*(('T_TTAFStock'!AB61&lt;&gt;""))&gt;0,'T_SelfStock'!AB61+'T_TTAFStock'!AB61,AA57+'Grid_Incoming'!AB57-'Grid_Requirement'!AB57))</f>
        <v/>
      </c>
      <c r="AC57">
        <f>IF(COUNTIFS(T_StockCount[Part Name],$A57,T_StockCount[WeekIndex],28)&gt;0,SUMIFS(T_StockCount[CountedQty],T_StockCount[Part Name],$A57,T_StockCount[WeekIndex],28),IF((('T_SelfStock'!AC61&lt;&gt;""))*(('T_TTAFStock'!AC61&lt;&gt;""))&gt;0,'T_SelfStock'!AC61+'T_TTAFStock'!AC61,AB57+'Grid_Incoming'!AC57-'Grid_Requirement'!AC57))</f>
        <v/>
      </c>
      <c r="AD57">
        <f>IF(COUNTIFS(T_StockCount[Part Name],$A57,T_StockCount[WeekIndex],29)&gt;0,SUMIFS(T_StockCount[CountedQty],T_StockCount[Part Name],$A57,T_StockCount[WeekIndex],29),IF((('T_SelfStock'!AD61&lt;&gt;""))*(('T_TTAFStock'!AD61&lt;&gt;""))&gt;0,'T_SelfStock'!AD61+'T_TTAFStock'!AD61,AC57+'Grid_Incoming'!AD57-'Grid_Requirement'!AD57))</f>
        <v/>
      </c>
      <c r="AE57">
        <f>IF(COUNTIFS(T_StockCount[Part Name],$A57,T_StockCount[WeekIndex],30)&gt;0,SUMIFS(T_StockCount[CountedQty],T_StockCount[Part Name],$A57,T_StockCount[WeekIndex],30),IF((('T_SelfStock'!AE61&lt;&gt;""))*(('T_TTAFStock'!AE61&lt;&gt;""))&gt;0,'T_SelfStock'!AE61+'T_TTAFStock'!AE61,AD57+'Grid_Incoming'!AE57-'Grid_Requirement'!AE57))</f>
        <v/>
      </c>
      <c r="AF57">
        <f>IF(COUNTIFS(T_StockCount[Part Name],$A57,T_StockCount[WeekIndex],31)&gt;0,SUMIFS(T_StockCount[CountedQty],T_StockCount[Part Name],$A57,T_StockCount[WeekIndex],31),IF((('T_SelfStock'!AF61&lt;&gt;""))*(('T_TTAFStock'!AF61&lt;&gt;""))&gt;0,'T_SelfStock'!AF61+'T_TTAFStock'!AF61,AE57+'Grid_Incoming'!AF57-'Grid_Requirement'!AF57))</f>
        <v/>
      </c>
      <c r="AG57">
        <f>IF(COUNTIFS(T_StockCount[Part Name],$A57,T_StockCount[WeekIndex],32)&gt;0,SUMIFS(T_StockCount[CountedQty],T_StockCount[Part Name],$A57,T_StockCount[WeekIndex],32),IF((('T_SelfStock'!AG61&lt;&gt;""))*(('T_TTAFStock'!AG61&lt;&gt;""))&gt;0,'T_SelfStock'!AG61+'T_TTAFStock'!AG61,AF57+'Grid_Incoming'!AG57-'Grid_Requirement'!AG57))</f>
        <v/>
      </c>
      <c r="AH57">
        <f>IF(COUNTIFS(T_StockCount[Part Name],$A57,T_StockCount[WeekIndex],33)&gt;0,SUMIFS(T_StockCount[CountedQty],T_StockCount[Part Name],$A57,T_StockCount[WeekIndex],33),IF((('T_SelfStock'!AH61&lt;&gt;""))*(('T_TTAFStock'!AH61&lt;&gt;""))&gt;0,'T_SelfStock'!AH61+'T_TTAFStock'!AH61,AG57+'Grid_Incoming'!AH57-'Grid_Requirement'!AH57))</f>
        <v/>
      </c>
      <c r="AI57">
        <f>IF(COUNTIFS(T_StockCount[Part Name],$A57,T_StockCount[WeekIndex],34)&gt;0,SUMIFS(T_StockCount[CountedQty],T_StockCount[Part Name],$A57,T_StockCount[WeekIndex],34),IF((('T_SelfStock'!AI61&lt;&gt;""))*(('T_TTAFStock'!AI61&lt;&gt;""))&gt;0,'T_SelfStock'!AI61+'T_TTAFStock'!AI61,AH57+'Grid_Incoming'!AI57-'Grid_Requirement'!AI57))</f>
        <v/>
      </c>
      <c r="AJ57">
        <f>IF(COUNTIFS(T_StockCount[Part Name],$A57,T_StockCount[WeekIndex],35)&gt;0,SUMIFS(T_StockCount[CountedQty],T_StockCount[Part Name],$A57,T_StockCount[WeekIndex],35),IF((('T_SelfStock'!AJ61&lt;&gt;""))*(('T_TTAFStock'!AJ61&lt;&gt;""))&gt;0,'T_SelfStock'!AJ61+'T_TTAFStock'!AJ61,AI57+'Grid_Incoming'!AJ57-'Grid_Requirement'!AJ57))</f>
        <v/>
      </c>
      <c r="AK57">
        <f>IF(COUNTIFS(T_StockCount[Part Name],$A57,T_StockCount[WeekIndex],36)&gt;0,SUMIFS(T_StockCount[CountedQty],T_StockCount[Part Name],$A57,T_StockCount[WeekIndex],36),IF((('T_SelfStock'!AK61&lt;&gt;""))*(('T_TTAFStock'!AK61&lt;&gt;""))&gt;0,'T_SelfStock'!AK61+'T_TTAFStock'!AK61,AJ57+'Grid_Incoming'!AK57-'Grid_Requirement'!AK57))</f>
        <v/>
      </c>
      <c r="AL57">
        <f>IF(COUNTIFS(T_StockCount[Part Name],$A57,T_StockCount[WeekIndex],37)&gt;0,SUMIFS(T_StockCount[CountedQty],T_StockCount[Part Name],$A57,T_StockCount[WeekIndex],37),IF((('T_SelfStock'!AL61&lt;&gt;""))*(('T_TTAFStock'!AL61&lt;&gt;""))&gt;0,'T_SelfStock'!AL61+'T_TTAFStock'!AL61,AK57+'Grid_Incoming'!AL57-'Grid_Requirement'!AL57))</f>
        <v/>
      </c>
      <c r="AM57">
        <f>IF(COUNTIFS(T_StockCount[Part Name],$A57,T_StockCount[WeekIndex],38)&gt;0,SUMIFS(T_StockCount[CountedQty],T_StockCount[Part Name],$A57,T_StockCount[WeekIndex],38),IF((('T_SelfStock'!AM61&lt;&gt;""))*(('T_TTAFStock'!AM61&lt;&gt;""))&gt;0,'T_SelfStock'!AM61+'T_TTAFStock'!AM61,AL57+'Grid_Incoming'!AM57-'Grid_Requirement'!AM57))</f>
        <v/>
      </c>
      <c r="AN57">
        <f>IF(COUNTIFS(T_StockCount[Part Name],$A57,T_StockCount[WeekIndex],39)&gt;0,SUMIFS(T_StockCount[CountedQty],T_StockCount[Part Name],$A57,T_StockCount[WeekIndex],39),IF((('T_SelfStock'!AN61&lt;&gt;""))*(('T_TTAFStock'!AN61&lt;&gt;""))&gt;0,'T_SelfStock'!AN61+'T_TTAFStock'!AN61,AM57+'Grid_Incoming'!AN57-'Grid_Requirement'!AN57))</f>
        <v/>
      </c>
      <c r="AO57">
        <f>IF(COUNTIFS(T_StockCount[Part Name],$A57,T_StockCount[WeekIndex],40)&gt;0,SUMIFS(T_StockCount[CountedQty],T_StockCount[Part Name],$A57,T_StockCount[WeekIndex],40),IF((('T_SelfStock'!AO61&lt;&gt;""))*(('T_TTAFStock'!AO61&lt;&gt;""))&gt;0,'T_SelfStock'!AO61+'T_TTAFStock'!AO61,AN57+'Grid_Incoming'!AO57-'Grid_Requirement'!AO57))</f>
        <v/>
      </c>
      <c r="AP57">
        <f>IF(COUNTIFS(T_StockCount[Part Name],$A57,T_StockCount[WeekIndex],41)&gt;0,SUMIFS(T_StockCount[CountedQty],T_StockCount[Part Name],$A57,T_StockCount[WeekIndex],41),IF((('T_SelfStock'!AP61&lt;&gt;""))*(('T_TTAFStock'!AP61&lt;&gt;""))&gt;0,'T_SelfStock'!AP61+'T_TTAFStock'!AP61,AO57+'Grid_Incoming'!AP57-'Grid_Requirement'!AP57))</f>
        <v/>
      </c>
      <c r="AQ57">
        <f>IF(COUNTIFS(T_StockCount[Part Name],$A57,T_StockCount[WeekIndex],42)&gt;0,SUMIFS(T_StockCount[CountedQty],T_StockCount[Part Name],$A57,T_StockCount[WeekIndex],42),IF((('T_SelfStock'!AQ61&lt;&gt;""))*(('T_TTAFStock'!AQ61&lt;&gt;""))&gt;0,'T_SelfStock'!AQ61+'T_TTAFStock'!AQ61,AP57+'Grid_Incoming'!AQ57-'Grid_Requirement'!AQ57))</f>
        <v/>
      </c>
      <c r="AR57">
        <f>IF(COUNTIFS(T_StockCount[Part Name],$A57,T_StockCount[WeekIndex],43)&gt;0,SUMIFS(T_StockCount[CountedQty],T_StockCount[Part Name],$A57,T_StockCount[WeekIndex],43),IF((('T_SelfStock'!AR61&lt;&gt;""))*(('T_TTAFStock'!AR61&lt;&gt;""))&gt;0,'T_SelfStock'!AR61+'T_TTAFStock'!AR61,AQ57+'Grid_Incoming'!AR57-'Grid_Requirement'!AR57))</f>
        <v/>
      </c>
      <c r="AS57">
        <f>IF(COUNTIFS(T_StockCount[Part Name],$A57,T_StockCount[WeekIndex],44)&gt;0,SUMIFS(T_StockCount[CountedQty],T_StockCount[Part Name],$A57,T_StockCount[WeekIndex],44),IF((('T_SelfStock'!AS61&lt;&gt;""))*(('T_TTAFStock'!AS61&lt;&gt;""))&gt;0,'T_SelfStock'!AS61+'T_TTAFStock'!AS61,AR57+'Grid_Incoming'!AS57-'Grid_Requirement'!AS57))</f>
        <v/>
      </c>
      <c r="AT57">
        <f>IF(COUNTIFS(T_StockCount[Part Name],$A57,T_StockCount[WeekIndex],45)&gt;0,SUMIFS(T_StockCount[CountedQty],T_StockCount[Part Name],$A57,T_StockCount[WeekIndex],45),IF((('T_SelfStock'!AT61&lt;&gt;""))*(('T_TTAFStock'!AT61&lt;&gt;""))&gt;0,'T_SelfStock'!AT61+'T_TTAFStock'!AT61,AS57+'Grid_Incoming'!AT57-'Grid_Requirement'!AT57))</f>
        <v/>
      </c>
      <c r="AU57">
        <f>IF(COUNTIFS(T_StockCount[Part Name],$A57,T_StockCount[WeekIndex],46)&gt;0,SUMIFS(T_StockCount[CountedQty],T_StockCount[Part Name],$A57,T_StockCount[WeekIndex],46),IF((('T_SelfStock'!AU61&lt;&gt;""))*(('T_TTAFStock'!AU61&lt;&gt;""))&gt;0,'T_SelfStock'!AU61+'T_TTAFStock'!AU61,AT57+'Grid_Incoming'!AU57-'Grid_Requirement'!AU57))</f>
        <v/>
      </c>
      <c r="AV57">
        <f>IF(COUNTIFS(T_StockCount[Part Name],$A57,T_StockCount[WeekIndex],47)&gt;0,SUMIFS(T_StockCount[CountedQty],T_StockCount[Part Name],$A57,T_StockCount[WeekIndex],47),IF((('T_SelfStock'!AV61&lt;&gt;""))*(('T_TTAFStock'!AV61&lt;&gt;""))&gt;0,'T_SelfStock'!AV61+'T_TTAFStock'!AV61,AU57+'Grid_Incoming'!AV57-'Grid_Requirement'!AV57))</f>
        <v/>
      </c>
      <c r="AW57">
        <f>IF(COUNTIFS(T_StockCount[Part Name],$A57,T_StockCount[WeekIndex],48)&gt;0,SUMIFS(T_StockCount[CountedQty],T_StockCount[Part Name],$A57,T_StockCount[WeekIndex],48),IF((('T_SelfStock'!AW61&lt;&gt;""))*(('T_TTAFStock'!AW61&lt;&gt;""))&gt;0,'T_SelfStock'!AW61+'T_TTAFStock'!AW61,AV57+'Grid_Incoming'!AW57-'Grid_Requirement'!AW57))</f>
        <v/>
      </c>
      <c r="AX57">
        <f>IF(COUNTIFS(T_StockCount[Part Name],$A57,T_StockCount[WeekIndex],49)&gt;0,SUMIFS(T_StockCount[CountedQty],T_StockCount[Part Name],$A57,T_StockCount[WeekIndex],49),IF((('T_SelfStock'!AX61&lt;&gt;""))*(('T_TTAFStock'!AX61&lt;&gt;""))&gt;0,'T_SelfStock'!AX61+'T_TTAFStock'!AX61,AW57+'Grid_Incoming'!AX57-'Grid_Requirement'!AX57))</f>
        <v/>
      </c>
      <c r="AY57">
        <f>IF(COUNTIFS(T_StockCount[Part Name],$A57,T_StockCount[WeekIndex],50)&gt;0,SUMIFS(T_StockCount[CountedQty],T_StockCount[Part Name],$A57,T_StockCount[WeekIndex],50),IF((('T_SelfStock'!AY61&lt;&gt;""))*(('T_TTAFStock'!AY61&lt;&gt;""))&gt;0,'T_SelfStock'!AY61+'T_TTAFStock'!AY61,AX57+'Grid_Incoming'!AY57-'Grid_Requirement'!AY57))</f>
        <v/>
      </c>
      <c r="AZ57">
        <f>IF(COUNTIFS(T_StockCount[Part Name],$A57,T_StockCount[WeekIndex],51)&gt;0,SUMIFS(T_StockCount[CountedQty],T_StockCount[Part Name],$A57,T_StockCount[WeekIndex],51),IF((('T_SelfStock'!AZ61&lt;&gt;""))*(('T_TTAFStock'!AZ61&lt;&gt;""))&gt;0,'T_SelfStock'!AZ61+'T_TTAFStock'!AZ61,AY57+'Grid_Incoming'!AZ57-'Grid_Requirement'!AZ57))</f>
        <v/>
      </c>
      <c r="BA57">
        <f>IF(COUNTIFS(T_StockCount[Part Name],$A57,T_StockCount[WeekIndex],52)&gt;0,SUMIFS(T_StockCount[CountedQty],T_StockCount[Part Name],$A57,T_StockCount[WeekIndex],52),IF((('T_SelfStock'!BA61&lt;&gt;""))*(('T_TTAFStock'!BA61&lt;&gt;""))&gt;0,'T_SelfStock'!BA61+'T_TTAFStock'!BA61,AZ57+'Grid_Incoming'!BA57-'Grid_Requirement'!BA57))</f>
        <v/>
      </c>
      <c r="BB57">
        <f>IF(COUNTIFS(T_StockCount[Part Name],$A57,T_StockCount[WeekIndex],53)&gt;0,SUMIFS(T_StockCount[CountedQty],T_StockCount[Part Name],$A57,T_StockCount[WeekIndex],53),IF((('T_SelfStock'!BB61&lt;&gt;""))*(('T_TTAFStock'!BB61&lt;&gt;""))&gt;0,'T_SelfStock'!BB61+'T_TTAFStock'!BB61,BA57+'Grid_Incoming'!BB57-'Grid_Requirement'!BB57))</f>
        <v/>
      </c>
      <c r="BC57">
        <f>IF(COUNTIFS(T_StockCount[Part Name],$A57,T_StockCount[WeekIndex],54)&gt;0,SUMIFS(T_StockCount[CountedQty],T_StockCount[Part Name],$A57,T_StockCount[WeekIndex],54),IF((('T_SelfStock'!BC61&lt;&gt;""))*(('T_TTAFStock'!BC61&lt;&gt;""))&gt;0,'T_SelfStock'!BC61+'T_TTAFStock'!BC61,BB57+'Grid_Incoming'!BC57-'Grid_Requirement'!BC57))</f>
        <v/>
      </c>
      <c r="BD57">
        <f>IF(COUNTIFS(T_StockCount[Part Name],$A57,T_StockCount[WeekIndex],55)&gt;0,SUMIFS(T_StockCount[CountedQty],T_StockCount[Part Name],$A57,T_StockCount[WeekIndex],55),IF((('T_SelfStock'!BD61&lt;&gt;""))*(('T_TTAFStock'!BD61&lt;&gt;""))&gt;0,'T_SelfStock'!BD61+'T_TTAFStock'!BD61,BC57+'Grid_Incoming'!BD57-'Grid_Requirement'!BD57))</f>
        <v/>
      </c>
      <c r="BE57">
        <f>IF(COUNTIFS(T_StockCount[Part Name],$A57,T_StockCount[WeekIndex],56)&gt;0,SUMIFS(T_StockCount[CountedQty],T_StockCount[Part Name],$A57,T_StockCount[WeekIndex],56),IF((('T_SelfStock'!BE61&lt;&gt;""))*(('T_TTAFStock'!BE61&lt;&gt;""))&gt;0,'T_SelfStock'!BE61+'T_TTAFStock'!BE61,BD57+'Grid_Incoming'!BE57-'Grid_Requirement'!BE57))</f>
        <v/>
      </c>
      <c r="BF57">
        <f>IF(COUNTIFS(T_StockCount[Part Name],$A57,T_StockCount[WeekIndex],57)&gt;0,SUMIFS(T_StockCount[CountedQty],T_StockCount[Part Name],$A57,T_StockCount[WeekIndex],57),IF((('T_SelfStock'!BF61&lt;&gt;""))*(('T_TTAFStock'!BF61&lt;&gt;""))&gt;0,'T_SelfStock'!BF61+'T_TTAFStock'!BF61,BE57+'Grid_Incoming'!BF57-'Grid_Requirement'!BF57))</f>
        <v/>
      </c>
      <c r="BG57">
        <f>IF(COUNTIFS(T_StockCount[Part Name],$A57,T_StockCount[WeekIndex],58)&gt;0,SUMIFS(T_StockCount[CountedQty],T_StockCount[Part Name],$A57,T_StockCount[WeekIndex],58),IF((('T_SelfStock'!BG61&lt;&gt;""))*(('T_TTAFStock'!BG61&lt;&gt;""))&gt;0,'T_SelfStock'!BG61+'T_TTAFStock'!BG61,BF57+'Grid_Incoming'!BG57-'Grid_Requirement'!BG57))</f>
        <v/>
      </c>
      <c r="BH57">
        <f>IF(COUNTIFS(T_StockCount[Part Name],$A57,T_StockCount[WeekIndex],59)&gt;0,SUMIFS(T_StockCount[CountedQty],T_StockCount[Part Name],$A57,T_StockCount[WeekIndex],59),IF((('T_SelfStock'!BH61&lt;&gt;""))*(('T_TTAFStock'!BH61&lt;&gt;""))&gt;0,'T_SelfStock'!BH61+'T_TTAFStock'!BH61,BG57+'Grid_Incoming'!BH57-'Grid_Requirement'!BH57))</f>
        <v/>
      </c>
      <c r="BI57">
        <f>IF(COUNTIFS(T_StockCount[Part Name],$A57,T_StockCount[WeekIndex],60)&gt;0,SUMIFS(T_StockCount[CountedQty],T_StockCount[Part Name],$A57,T_StockCount[WeekIndex],60),IF((('T_SelfStock'!BI61&lt;&gt;""))*(('T_TTAFStock'!BI61&lt;&gt;""))&gt;0,'T_SelfStock'!BI61+'T_TTAFStock'!BI61,BH57+'Grid_Incoming'!BI57-'Grid_Requirement'!BI57))</f>
        <v/>
      </c>
      <c r="BJ57">
        <f>IF(COUNTIFS(T_StockCount[Part Name],$A57,T_StockCount[WeekIndex],61)&gt;0,SUMIFS(T_StockCount[CountedQty],T_StockCount[Part Name],$A57,T_StockCount[WeekIndex],61),IF((('T_SelfStock'!BJ61&lt;&gt;""))*(('T_TTAFStock'!BJ61&lt;&gt;""))&gt;0,'T_SelfStock'!BJ61+'T_TTAFStock'!BJ61,BI57+'Grid_Incoming'!BJ57-'Grid_Requirement'!BJ57))</f>
        <v/>
      </c>
      <c r="BK57">
        <f>IF(COUNTIFS(T_StockCount[Part Name],$A57,T_StockCount[WeekIndex],62)&gt;0,SUMIFS(T_StockCount[CountedQty],T_StockCount[Part Name],$A57,T_StockCount[WeekIndex],62),IF((('T_SelfStock'!BK61&lt;&gt;""))*(('T_TTAFStock'!BK61&lt;&gt;""))&gt;0,'T_SelfStock'!BK61+'T_TTAFStock'!BK61,BJ57+'Grid_Incoming'!BK57-'Grid_Requirement'!BK57))</f>
        <v/>
      </c>
      <c r="BL57">
        <f>IF(COUNTIFS(T_StockCount[Part Name],$A57,T_StockCount[WeekIndex],63)&gt;0,SUMIFS(T_StockCount[CountedQty],T_StockCount[Part Name],$A57,T_StockCount[WeekIndex],63),IF((('T_SelfStock'!BL61&lt;&gt;""))*(('T_TTAFStock'!BL61&lt;&gt;""))&gt;0,'T_SelfStock'!BL61+'T_TTAFStock'!BL61,BK57+'Grid_Incoming'!BL57-'Grid_Requirement'!BL57))</f>
        <v/>
      </c>
      <c r="BM57">
        <f>IF(COUNTIFS(T_StockCount[Part Name],$A57,T_StockCount[WeekIndex],64)&gt;0,SUMIFS(T_StockCount[CountedQty],T_StockCount[Part Name],$A57,T_StockCount[WeekIndex],64),IF((('T_SelfStock'!BM61&lt;&gt;""))*(('T_TTAFStock'!BM61&lt;&gt;""))&gt;0,'T_SelfStock'!BM61+'T_TTAFStock'!BM61,BL57+'Grid_Incoming'!BM57-'Grid_Requirement'!BM57))</f>
        <v/>
      </c>
      <c r="BN57">
        <f>IF(COUNTIFS(T_StockCount[Part Name],$A57,T_StockCount[WeekIndex],65)&gt;0,SUMIFS(T_StockCount[CountedQty],T_StockCount[Part Name],$A57,T_StockCount[WeekIndex],65),IF((('T_SelfStock'!BN61&lt;&gt;""))*(('T_TTAFStock'!BN61&lt;&gt;""))&gt;0,'T_SelfStock'!BN61+'T_TTAFStock'!BN61,BM57+'Grid_Incoming'!BN57-'Grid_Requirement'!BN57))</f>
        <v/>
      </c>
      <c r="BO57">
        <f>IF(COUNTIFS(T_StockCount[Part Name],$A57,T_StockCount[WeekIndex],66)&gt;0,SUMIFS(T_StockCount[CountedQty],T_StockCount[Part Name],$A57,T_StockCount[WeekIndex],66),IF((('T_SelfStock'!BO61&lt;&gt;""))*(('T_TTAFStock'!BO61&lt;&gt;""))&gt;0,'T_SelfStock'!BO61+'T_TTAFStock'!BO61,BN57+'Grid_Incoming'!BO57-'Grid_Requirement'!BO57))</f>
        <v/>
      </c>
      <c r="BP57">
        <f>IF(COUNTIFS(T_StockCount[Part Name],$A57,T_StockCount[WeekIndex],67)&gt;0,SUMIFS(T_StockCount[CountedQty],T_StockCount[Part Name],$A57,T_StockCount[WeekIndex],67),IF((('T_SelfStock'!BP61&lt;&gt;""))*(('T_TTAFStock'!BP61&lt;&gt;""))&gt;0,'T_SelfStock'!BP61+'T_TTAFStock'!BP61,BO57+'Grid_Incoming'!BP57-'Grid_Requirement'!BP57))</f>
        <v/>
      </c>
      <c r="BQ57">
        <f>IF(COUNTIFS(T_StockCount[Part Name],$A57,T_StockCount[WeekIndex],68)&gt;0,SUMIFS(T_StockCount[CountedQty],T_StockCount[Part Name],$A57,T_StockCount[WeekIndex],68),IF((('T_SelfStock'!BQ61&lt;&gt;""))*(('T_TTAFStock'!BQ61&lt;&gt;""))&gt;0,'T_SelfStock'!BQ61+'T_TTAFStock'!BQ61,BP57+'Grid_Incoming'!BQ57-'Grid_Requirement'!BQ57))</f>
        <v/>
      </c>
      <c r="BR57">
        <f>IF(COUNTIFS(T_StockCount[Part Name],$A57,T_StockCount[WeekIndex],69)&gt;0,SUMIFS(T_StockCount[CountedQty],T_StockCount[Part Name],$A57,T_StockCount[WeekIndex],69),IF((('T_SelfStock'!BR61&lt;&gt;""))*(('T_TTAFStock'!BR61&lt;&gt;""))&gt;0,'T_SelfStock'!BR61+'T_TTAFStock'!BR61,BQ57+'Grid_Incoming'!BR57-'Grid_Requirement'!BR57))</f>
        <v/>
      </c>
      <c r="BS57">
        <f>IF(COUNTIFS(T_StockCount[Part Name],$A57,T_StockCount[WeekIndex],70)&gt;0,SUMIFS(T_StockCount[CountedQty],T_StockCount[Part Name],$A57,T_StockCount[WeekIndex],70),IF((('T_SelfStock'!BS61&lt;&gt;""))*(('T_TTAFStock'!BS61&lt;&gt;""))&gt;0,'T_SelfStock'!BS61+'T_TTAFStock'!BS61,BR57+'Grid_Incoming'!BS57-'Grid_Requirement'!BS57))</f>
        <v/>
      </c>
      <c r="BT57">
        <f>IF(COUNTIFS(T_StockCount[Part Name],$A57,T_StockCount[WeekIndex],71)&gt;0,SUMIFS(T_StockCount[CountedQty],T_StockCount[Part Name],$A57,T_StockCount[WeekIndex],71),IF((('T_SelfStock'!BT61&lt;&gt;""))*(('T_TTAFStock'!BT61&lt;&gt;""))&gt;0,'T_SelfStock'!BT61+'T_TTAFStock'!BT61,BS57+'Grid_Incoming'!BT57-'Grid_Requirement'!BT57))</f>
        <v/>
      </c>
      <c r="BU57">
        <f>IF(COUNTIFS(T_StockCount[Part Name],$A57,T_StockCount[WeekIndex],72)&gt;0,SUMIFS(T_StockCount[CountedQty],T_StockCount[Part Name],$A57,T_StockCount[WeekIndex],72),IF((('T_SelfStock'!BU61&lt;&gt;""))*(('T_TTAFStock'!BU61&lt;&gt;""))&gt;0,'T_SelfStock'!BU61+'T_TTAFStock'!BU61,BT57+'Grid_Incoming'!BU57-'Grid_Requirement'!BU57))</f>
        <v/>
      </c>
      <c r="BV57">
        <f>IF(COUNTIFS(T_StockCount[Part Name],$A57,T_StockCount[WeekIndex],73)&gt;0,SUMIFS(T_StockCount[CountedQty],T_StockCount[Part Name],$A57,T_StockCount[WeekIndex],73),IF((('T_SelfStock'!BV61&lt;&gt;""))*(('T_TTAFStock'!BV61&lt;&gt;""))&gt;0,'T_SelfStock'!BV61+'T_TTAFStock'!BV61,BU57+'Grid_Incoming'!BV57-'Grid_Requirement'!BV57))</f>
        <v/>
      </c>
      <c r="BW57">
        <f>IF(COUNTIFS(T_StockCount[Part Name],$A57,T_StockCount[WeekIndex],74)&gt;0,SUMIFS(T_StockCount[CountedQty],T_StockCount[Part Name],$A57,T_StockCount[WeekIndex],74),IF((('T_SelfStock'!BW61&lt;&gt;""))*(('T_TTAFStock'!BW61&lt;&gt;""))&gt;0,'T_SelfStock'!BW61+'T_TTAFStock'!BW61,BV57+'Grid_Incoming'!BW57-'Grid_Requirement'!BW57))</f>
        <v/>
      </c>
      <c r="BX57">
        <f>IF(COUNTIFS(T_StockCount[Part Name],$A57,T_StockCount[WeekIndex],75)&gt;0,SUMIFS(T_StockCount[CountedQty],T_StockCount[Part Name],$A57,T_StockCount[WeekIndex],75),IF((('T_SelfStock'!BX61&lt;&gt;""))*(('T_TTAFStock'!BX61&lt;&gt;""))&gt;0,'T_SelfStock'!BX61+'T_TTAFStock'!BX61,BW57+'Grid_Incoming'!BX57-'Grid_Requirement'!BX57))</f>
        <v/>
      </c>
      <c r="BY57">
        <f>IF(COUNTIFS(T_StockCount[Part Name],$A57,T_StockCount[WeekIndex],76)&gt;0,SUMIFS(T_StockCount[CountedQty],T_StockCount[Part Name],$A57,T_StockCount[WeekIndex],76),IF((('T_SelfStock'!BY61&lt;&gt;""))*(('T_TTAFStock'!BY61&lt;&gt;""))&gt;0,'T_SelfStock'!BY61+'T_TTAFStock'!BY61,BX57+'Grid_Incoming'!BY57-'Grid_Requirement'!BY57))</f>
        <v/>
      </c>
      <c r="BZ57">
        <f>IF(COUNTIFS(T_StockCount[Part Name],$A57,T_StockCount[WeekIndex],77)&gt;0,SUMIFS(T_StockCount[CountedQty],T_StockCount[Part Name],$A57,T_StockCount[WeekIndex],77),IF((('T_SelfStock'!BZ61&lt;&gt;""))*(('T_TTAFStock'!BZ61&lt;&gt;""))&gt;0,'T_SelfStock'!BZ61+'T_TTAFStock'!BZ61,BY57+'Grid_Incoming'!BZ57-'Grid_Requirement'!BZ57))</f>
        <v/>
      </c>
      <c r="CA57">
        <f>IF(COUNTIFS(T_StockCount[Part Name],$A57,T_StockCount[WeekIndex],78)&gt;0,SUMIFS(T_StockCount[CountedQty],T_StockCount[Part Name],$A57,T_StockCount[WeekIndex],78),IF((('T_SelfStock'!CA61&lt;&gt;""))*(('T_TTAFStock'!CA61&lt;&gt;""))&gt;0,'T_SelfStock'!CA61+'T_TTAFStock'!CA61,BZ57+'Grid_Incoming'!CA57-'Grid_Requirement'!CA57))</f>
        <v/>
      </c>
      <c r="CB57">
        <f>IF(COUNTIFS(T_StockCount[Part Name],$A57,T_StockCount[WeekIndex],79)&gt;0,SUMIFS(T_StockCount[CountedQty],T_StockCount[Part Name],$A57,T_StockCount[WeekIndex],79),IF((('T_SelfStock'!CB61&lt;&gt;""))*(('T_TTAFStock'!CB61&lt;&gt;""))&gt;0,'T_SelfStock'!CB61+'T_TTAFStock'!CB61,CA57+'Grid_Incoming'!CB57-'Grid_Requirement'!CB57))</f>
        <v/>
      </c>
      <c r="CC57">
        <f>IF(COUNTIFS(T_StockCount[Part Name],$A57,T_StockCount[WeekIndex],80)&gt;0,SUMIFS(T_StockCount[CountedQty],T_StockCount[Part Name],$A57,T_StockCount[WeekIndex],80),IF((('T_SelfStock'!CC61&lt;&gt;""))*(('T_TTAFStock'!CC61&lt;&gt;""))&gt;0,'T_SelfStock'!CC61+'T_TTAFStock'!CC61,CB57+'Grid_Incoming'!CC57-'Grid_Requirement'!CC57))</f>
        <v/>
      </c>
      <c r="CD57">
        <f>IF(COUNTIFS(T_StockCount[Part Name],$A57,T_StockCount[WeekIndex],81)&gt;0,SUMIFS(T_StockCount[CountedQty],T_StockCount[Part Name],$A57,T_StockCount[WeekIndex],81),IF((('T_SelfStock'!CD61&lt;&gt;""))*(('T_TTAFStock'!CD61&lt;&gt;""))&gt;0,'T_SelfStock'!CD61+'T_TTAFStock'!CD61,CC57+'Grid_Incoming'!CD57-'Grid_Requirement'!CD57))</f>
        <v/>
      </c>
      <c r="CE57">
        <f>IF(COUNTIFS(T_StockCount[Part Name],$A57,T_StockCount[WeekIndex],82)&gt;0,SUMIFS(T_StockCount[CountedQty],T_StockCount[Part Name],$A57,T_StockCount[WeekIndex],82),IF((('T_SelfStock'!CE61&lt;&gt;""))*(('T_TTAFStock'!CE61&lt;&gt;""))&gt;0,'T_SelfStock'!CE61+'T_TTAFStock'!CE61,CD57+'Grid_Incoming'!CE57-'Grid_Requirement'!CE57))</f>
        <v/>
      </c>
      <c r="CF57">
        <f>IF(COUNTIFS(T_StockCount[Part Name],$A57,T_StockCount[WeekIndex],83)&gt;0,SUMIFS(T_StockCount[CountedQty],T_StockCount[Part Name],$A57,T_StockCount[WeekIndex],83),IF((('T_SelfStock'!CF61&lt;&gt;""))*(('T_TTAFStock'!CF61&lt;&gt;""))&gt;0,'T_SelfStock'!CF61+'T_TTAFStock'!CF61,CE57+'Grid_Incoming'!CF57-'Grid_Requirement'!CF57))</f>
        <v/>
      </c>
      <c r="CG57">
        <f>IF(COUNTIFS(T_StockCount[Part Name],$A57,T_StockCount[WeekIndex],84)&gt;0,SUMIFS(T_StockCount[CountedQty],T_StockCount[Part Name],$A57,T_StockCount[WeekIndex],84),IF((('T_SelfStock'!CG61&lt;&gt;""))*(('T_TTAFStock'!CG61&lt;&gt;""))&gt;0,'T_SelfStock'!CG61+'T_TTAFStock'!CG61,CF57+'Grid_Incoming'!CG57-'Grid_Requirement'!CG57))</f>
        <v/>
      </c>
      <c r="CH57">
        <f>IF(COUNTIFS(T_StockCount[Part Name],$A57,T_StockCount[WeekIndex],85)&gt;0,SUMIFS(T_StockCount[CountedQty],T_StockCount[Part Name],$A57,T_StockCount[WeekIndex],85),IF((('T_SelfStock'!CH61&lt;&gt;""))*(('T_TTAFStock'!CH61&lt;&gt;""))&gt;0,'T_SelfStock'!CH61+'T_TTAFStock'!CH61,CG57+'Grid_Incoming'!CH57-'Grid_Requirement'!CH57))</f>
        <v/>
      </c>
      <c r="CI57">
        <f>IF(COUNTIFS(T_StockCount[Part Name],$A57,T_StockCount[WeekIndex],86)&gt;0,SUMIFS(T_StockCount[CountedQty],T_StockCount[Part Name],$A57,T_StockCount[WeekIndex],86),IF((('T_SelfStock'!CI61&lt;&gt;""))*(('T_TTAFStock'!CI61&lt;&gt;""))&gt;0,'T_SelfStock'!CI61+'T_TTAFStock'!CI61,CH57+'Grid_Incoming'!CI57-'Grid_Requirement'!CI57))</f>
        <v/>
      </c>
      <c r="CJ57">
        <f>IF(COUNTIFS(T_StockCount[Part Name],$A57,T_StockCount[WeekIndex],87)&gt;0,SUMIFS(T_StockCount[CountedQty],T_StockCount[Part Name],$A57,T_StockCount[WeekIndex],87),IF((('T_SelfStock'!CJ61&lt;&gt;""))*(('T_TTAFStock'!CJ61&lt;&gt;""))&gt;0,'T_SelfStock'!CJ61+'T_TTAFStock'!CJ61,CI57+'Grid_Incoming'!CJ57-'Grid_Requirement'!CJ57))</f>
        <v/>
      </c>
      <c r="CK57">
        <f>IF(COUNTIFS(T_StockCount[Part Name],$A57,T_StockCount[WeekIndex],88)&gt;0,SUMIFS(T_StockCount[CountedQty],T_StockCount[Part Name],$A57,T_StockCount[WeekIndex],88),IF((('T_SelfStock'!CK61&lt;&gt;""))*(('T_TTAFStock'!CK61&lt;&gt;""))&gt;0,'T_SelfStock'!CK61+'T_TTAFStock'!CK61,CJ57+'Grid_Incoming'!CK57-'Grid_Requirement'!CK57))</f>
        <v/>
      </c>
      <c r="CL57">
        <f>IF(COUNTIFS(T_StockCount[Part Name],$A57,T_StockCount[WeekIndex],89)&gt;0,SUMIFS(T_StockCount[CountedQty],T_StockCount[Part Name],$A57,T_StockCount[WeekIndex],89),IF((('T_SelfStock'!CL61&lt;&gt;""))*(('T_TTAFStock'!CL61&lt;&gt;""))&gt;0,'T_SelfStock'!CL61+'T_TTAFStock'!CL61,CK57+'Grid_Incoming'!CL57-'Grid_Requirement'!CL57))</f>
        <v/>
      </c>
      <c r="CM57">
        <f>IF(COUNTIFS(T_StockCount[Part Name],$A57,T_StockCount[WeekIndex],90)&gt;0,SUMIFS(T_StockCount[CountedQty],T_StockCount[Part Name],$A57,T_StockCount[WeekIndex],90),IF((('T_SelfStock'!CM61&lt;&gt;""))*(('T_TTAFStock'!CM61&lt;&gt;""))&gt;0,'T_SelfStock'!CM61+'T_TTAFStock'!CM61,CL57+'Grid_Incoming'!CM57-'Grid_Requirement'!CM57))</f>
        <v/>
      </c>
      <c r="CN57">
        <f>IF(COUNTIFS(T_StockCount[Part Name],$A57,T_StockCount[WeekIndex],91)&gt;0,SUMIFS(T_StockCount[CountedQty],T_StockCount[Part Name],$A57,T_StockCount[WeekIndex],91),IF((('T_SelfStock'!CN61&lt;&gt;""))*(('T_TTAFStock'!CN61&lt;&gt;""))&gt;0,'T_SelfStock'!CN61+'T_TTAFStock'!CN61,CM57+'Grid_Incoming'!CN57-'Grid_Requirement'!CN57))</f>
        <v/>
      </c>
      <c r="CO57">
        <f>IF(COUNTIFS(T_StockCount[Part Name],$A57,T_StockCount[WeekIndex],92)&gt;0,SUMIFS(T_StockCount[CountedQty],T_StockCount[Part Name],$A57,T_StockCount[WeekIndex],92),IF((('T_SelfStock'!CO61&lt;&gt;""))*(('T_TTAFStock'!CO61&lt;&gt;""))&gt;0,'T_SelfStock'!CO61+'T_TTAFStock'!CO61,CN57+'Grid_Incoming'!CO57-'Grid_Requirement'!CO57))</f>
        <v/>
      </c>
      <c r="CP57">
        <f>IF(COUNTIFS(T_StockCount[Part Name],$A57,T_StockCount[WeekIndex],93)&gt;0,SUMIFS(T_StockCount[CountedQty],T_StockCount[Part Name],$A57,T_StockCount[WeekIndex],93),IF((('T_SelfStock'!CP61&lt;&gt;""))*(('T_TTAFStock'!CP61&lt;&gt;""))&gt;0,'T_SelfStock'!CP61+'T_TTAFStock'!CP61,CO57+'Grid_Incoming'!CP57-'Grid_Requirement'!CP57))</f>
        <v/>
      </c>
      <c r="CQ57">
        <f>IF(COUNTIFS(T_StockCount[Part Name],$A57,T_StockCount[WeekIndex],94)&gt;0,SUMIFS(T_StockCount[CountedQty],T_StockCount[Part Name],$A57,T_StockCount[WeekIndex],94),IF((('T_SelfStock'!CQ61&lt;&gt;""))*(('T_TTAFStock'!CQ61&lt;&gt;""))&gt;0,'T_SelfStock'!CQ61+'T_TTAFStock'!CQ61,CP57+'Grid_Incoming'!CQ57-'Grid_Requirement'!CQ57))</f>
        <v/>
      </c>
      <c r="CR57">
        <f>IF(COUNTIFS(T_StockCount[Part Name],$A57,T_StockCount[WeekIndex],95)&gt;0,SUMIFS(T_StockCount[CountedQty],T_StockCount[Part Name],$A57,T_StockCount[WeekIndex],95),IF((('T_SelfStock'!CR61&lt;&gt;""))*(('T_TTAFStock'!CR61&lt;&gt;""))&gt;0,'T_SelfStock'!CR61+'T_TTAFStock'!CR61,CQ57+'Grid_Incoming'!CR57-'Grid_Requirement'!CR57))</f>
        <v/>
      </c>
      <c r="CS57">
        <f>IF(COUNTIFS(T_StockCount[Part Name],$A57,T_StockCount[WeekIndex],96)&gt;0,SUMIFS(T_StockCount[CountedQty],T_StockCount[Part Name],$A57,T_StockCount[WeekIndex],96),IF((('T_SelfStock'!CS61&lt;&gt;""))*(('T_TTAFStock'!CS61&lt;&gt;""))&gt;0,'T_SelfStock'!CS61+'T_TTAFStock'!CS61,CR57+'Grid_Incoming'!CS57-'Grid_Requirement'!CS57))</f>
        <v/>
      </c>
      <c r="CT57">
        <f>IF(COUNTIFS(T_StockCount[Part Name],$A57,T_StockCount[WeekIndex],97)&gt;0,SUMIFS(T_StockCount[CountedQty],T_StockCount[Part Name],$A57,T_StockCount[WeekIndex],97),IF((('T_SelfStock'!CT61&lt;&gt;""))*(('T_TTAFStock'!CT61&lt;&gt;""))&gt;0,'T_SelfStock'!CT61+'T_TTAFStock'!CT61,CS57+'Grid_Incoming'!CT57-'Grid_Requirement'!CT57))</f>
        <v/>
      </c>
      <c r="CU57">
        <f>IF(COUNTIFS(T_StockCount[Part Name],$A57,T_StockCount[WeekIndex],98)&gt;0,SUMIFS(T_StockCount[CountedQty],T_StockCount[Part Name],$A57,T_StockCount[WeekIndex],98),IF((('T_SelfStock'!CU61&lt;&gt;""))*(('T_TTAFStock'!CU61&lt;&gt;""))&gt;0,'T_SelfStock'!CU61+'T_TTAFStock'!CU61,CT57+'Grid_Incoming'!CU57-'Grid_Requirement'!CU57))</f>
        <v/>
      </c>
      <c r="CV57">
        <f>IF(COUNTIFS(T_StockCount[Part Name],$A57,T_StockCount[WeekIndex],99)&gt;0,SUMIFS(T_StockCount[CountedQty],T_StockCount[Part Name],$A57,T_StockCount[WeekIndex],99),IF((('T_SelfStock'!CV61&lt;&gt;""))*(('T_TTAFStock'!CV61&lt;&gt;""))&gt;0,'T_SelfStock'!CV61+'T_TTAFStock'!CV61,CU57+'Grid_Incoming'!CV57-'Grid_Requirement'!CV57))</f>
        <v/>
      </c>
      <c r="CW57">
        <f>IF(COUNTIFS(T_StockCount[Part Name],$A57,T_StockCount[WeekIndex],100)&gt;0,SUMIFS(T_StockCount[CountedQty],T_StockCount[Part Name],$A57,T_StockCount[WeekIndex],100),IF((('T_SelfStock'!CW61&lt;&gt;""))*(('T_TTAFStock'!CW61&lt;&gt;""))&gt;0,'T_SelfStock'!CW61+'T_TTAFStock'!CW61,CV57+'Grid_Incoming'!CW57-'Grid_Requirement'!CW57))</f>
        <v/>
      </c>
      <c r="CX57">
        <f>IF(COUNTIFS(T_StockCount[Part Name],$A57,T_StockCount[WeekIndex],101)&gt;0,SUMIFS(T_StockCount[CountedQty],T_StockCount[Part Name],$A57,T_StockCount[WeekIndex],101),IF((('T_SelfStock'!CX61&lt;&gt;""))*(('T_TTAFStock'!CX61&lt;&gt;""))&gt;0,'T_SelfStock'!CX61+'T_TTAFStock'!CX61,CW57+'Grid_Incoming'!CX57-'Grid_Requirement'!CX57))</f>
        <v/>
      </c>
      <c r="CY57">
        <f>IF(COUNTIFS(T_StockCount[Part Name],$A57,T_StockCount[WeekIndex],102)&gt;0,SUMIFS(T_StockCount[CountedQty],T_StockCount[Part Name],$A57,T_StockCount[WeekIndex],102),IF((('T_SelfStock'!CY61&lt;&gt;""))*(('T_TTAFStock'!CY61&lt;&gt;""))&gt;0,'T_SelfStock'!CY61+'T_TTAFStock'!CY61,CX57+'Grid_Incoming'!CY57-'Grid_Requirement'!CY57))</f>
        <v/>
      </c>
      <c r="CZ57">
        <f>IF(COUNTIFS(T_StockCount[Part Name],$A57,T_StockCount[WeekIndex],103)&gt;0,SUMIFS(T_StockCount[CountedQty],T_StockCount[Part Name],$A57,T_StockCount[WeekIndex],103),IF((('T_SelfStock'!CZ61&lt;&gt;""))*(('T_TTAFStock'!CZ61&lt;&gt;""))&gt;0,'T_SelfStock'!CZ61+'T_TTAFStock'!CZ61,CY57+'Grid_Incoming'!CZ57-'Grid_Requirement'!CZ57))</f>
        <v/>
      </c>
      <c r="DA57">
        <f>IF(COUNTIFS(T_StockCount[Part Name],$A57,T_StockCount[WeekIndex],104)&gt;0,SUMIFS(T_StockCount[CountedQty],T_StockCount[Part Name],$A57,T_StockCount[WeekIndex],104),IF((('T_SelfStock'!DA61&lt;&gt;""))*(('T_TTAFStock'!DA61&lt;&gt;""))&gt;0,'T_SelfStock'!DA61+'T_TTAFStock'!DA61,CZ57+'Grid_Incoming'!DA57-'Grid_Requirement'!DA57))</f>
        <v/>
      </c>
    </row>
    <row r="58">
      <c r="A58" t="inlineStr">
        <is>
          <t>CHEM-1870</t>
        </is>
      </c>
      <c r="B58">
        <f>IF(COUNTIFS(T_StockCount[Part Name],$A58,T_StockCount[WeekIndex],1)&gt;0,SUMIFS(T_StockCount[CountedQty],T_StockCount[Part Name],$A58,T_StockCount[WeekIndex],1),IF((('T_SelfStock'!B62&lt;&gt;""))*(('T_TTAFStock'!B62&lt;&gt;""))&gt;0,'T_SelfStock'!B62+'T_TTAFStock'!B62,IFERROR(INDEX(T_OpeningStock[Opening_Qty_要入力],MATCH($A58,T_OpeningStock[Part Name],0)),0)+'Grid_Incoming'!B58-'Grid_Requirement'!B58))</f>
        <v/>
      </c>
      <c r="C58">
        <f>IF(COUNTIFS(T_StockCount[Part Name],$A58,T_StockCount[WeekIndex],2)&gt;0,SUMIFS(T_StockCount[CountedQty],T_StockCount[Part Name],$A58,T_StockCount[WeekIndex],2),IF((('T_SelfStock'!C62&lt;&gt;""))*(('T_TTAFStock'!C62&lt;&gt;""))&gt;0,'T_SelfStock'!C62+'T_TTAFStock'!C62,B58+'Grid_Incoming'!C58-'Grid_Requirement'!C58))</f>
        <v/>
      </c>
      <c r="D58">
        <f>IF(COUNTIFS(T_StockCount[Part Name],$A58,T_StockCount[WeekIndex],3)&gt;0,SUMIFS(T_StockCount[CountedQty],T_StockCount[Part Name],$A58,T_StockCount[WeekIndex],3),IF((('T_SelfStock'!D62&lt;&gt;""))*(('T_TTAFStock'!D62&lt;&gt;""))&gt;0,'T_SelfStock'!D62+'T_TTAFStock'!D62,C58+'Grid_Incoming'!D58-'Grid_Requirement'!D58))</f>
        <v/>
      </c>
      <c r="E58">
        <f>IF(COUNTIFS(T_StockCount[Part Name],$A58,T_StockCount[WeekIndex],4)&gt;0,SUMIFS(T_StockCount[CountedQty],T_StockCount[Part Name],$A58,T_StockCount[WeekIndex],4),IF((('T_SelfStock'!E62&lt;&gt;""))*(('T_TTAFStock'!E62&lt;&gt;""))&gt;0,'T_SelfStock'!E62+'T_TTAFStock'!E62,D58+'Grid_Incoming'!E58-'Grid_Requirement'!E58))</f>
        <v/>
      </c>
      <c r="F58">
        <f>IF(COUNTIFS(T_StockCount[Part Name],$A58,T_StockCount[WeekIndex],5)&gt;0,SUMIFS(T_StockCount[CountedQty],T_StockCount[Part Name],$A58,T_StockCount[WeekIndex],5),IF((('T_SelfStock'!F62&lt;&gt;""))*(('T_TTAFStock'!F62&lt;&gt;""))&gt;0,'T_SelfStock'!F62+'T_TTAFStock'!F62,E58+'Grid_Incoming'!F58-'Grid_Requirement'!F58))</f>
        <v/>
      </c>
      <c r="G58">
        <f>IF(COUNTIFS(T_StockCount[Part Name],$A58,T_StockCount[WeekIndex],6)&gt;0,SUMIFS(T_StockCount[CountedQty],T_StockCount[Part Name],$A58,T_StockCount[WeekIndex],6),IF((('T_SelfStock'!G62&lt;&gt;""))*(('T_TTAFStock'!G62&lt;&gt;""))&gt;0,'T_SelfStock'!G62+'T_TTAFStock'!G62,F58+'Grid_Incoming'!G58-'Grid_Requirement'!G58))</f>
        <v/>
      </c>
      <c r="H58">
        <f>IF(COUNTIFS(T_StockCount[Part Name],$A58,T_StockCount[WeekIndex],7)&gt;0,SUMIFS(T_StockCount[CountedQty],T_StockCount[Part Name],$A58,T_StockCount[WeekIndex],7),IF((('T_SelfStock'!H62&lt;&gt;""))*(('T_TTAFStock'!H62&lt;&gt;""))&gt;0,'T_SelfStock'!H62+'T_TTAFStock'!H62,G58+'Grid_Incoming'!H58-'Grid_Requirement'!H58))</f>
        <v/>
      </c>
      <c r="I58">
        <f>IF(COUNTIFS(T_StockCount[Part Name],$A58,T_StockCount[WeekIndex],8)&gt;0,SUMIFS(T_StockCount[CountedQty],T_StockCount[Part Name],$A58,T_StockCount[WeekIndex],8),IF((('T_SelfStock'!I62&lt;&gt;""))*(('T_TTAFStock'!I62&lt;&gt;""))&gt;0,'T_SelfStock'!I62+'T_TTAFStock'!I62,H58+'Grid_Incoming'!I58-'Grid_Requirement'!I58))</f>
        <v/>
      </c>
      <c r="J58">
        <f>IF(COUNTIFS(T_StockCount[Part Name],$A58,T_StockCount[WeekIndex],9)&gt;0,SUMIFS(T_StockCount[CountedQty],T_StockCount[Part Name],$A58,T_StockCount[WeekIndex],9),IF((('T_SelfStock'!J62&lt;&gt;""))*(('T_TTAFStock'!J62&lt;&gt;""))&gt;0,'T_SelfStock'!J62+'T_TTAFStock'!J62,I58+'Grid_Incoming'!J58-'Grid_Requirement'!J58))</f>
        <v/>
      </c>
      <c r="K58">
        <f>IF(COUNTIFS(T_StockCount[Part Name],$A58,T_StockCount[WeekIndex],10)&gt;0,SUMIFS(T_StockCount[CountedQty],T_StockCount[Part Name],$A58,T_StockCount[WeekIndex],10),IF((('T_SelfStock'!K62&lt;&gt;""))*(('T_TTAFStock'!K62&lt;&gt;""))&gt;0,'T_SelfStock'!K62+'T_TTAFStock'!K62,J58+'Grid_Incoming'!K58-'Grid_Requirement'!K58))</f>
        <v/>
      </c>
      <c r="L58">
        <f>IF(COUNTIFS(T_StockCount[Part Name],$A58,T_StockCount[WeekIndex],11)&gt;0,SUMIFS(T_StockCount[CountedQty],T_StockCount[Part Name],$A58,T_StockCount[WeekIndex],11),IF((('T_SelfStock'!L62&lt;&gt;""))*(('T_TTAFStock'!L62&lt;&gt;""))&gt;0,'T_SelfStock'!L62+'T_TTAFStock'!L62,K58+'Grid_Incoming'!L58-'Grid_Requirement'!L58))</f>
        <v/>
      </c>
      <c r="M58">
        <f>IF(COUNTIFS(T_StockCount[Part Name],$A58,T_StockCount[WeekIndex],12)&gt;0,SUMIFS(T_StockCount[CountedQty],T_StockCount[Part Name],$A58,T_StockCount[WeekIndex],12),IF((('T_SelfStock'!M62&lt;&gt;""))*(('T_TTAFStock'!M62&lt;&gt;""))&gt;0,'T_SelfStock'!M62+'T_TTAFStock'!M62,L58+'Grid_Incoming'!M58-'Grid_Requirement'!M58))</f>
        <v/>
      </c>
      <c r="N58">
        <f>IF(COUNTIFS(T_StockCount[Part Name],$A58,T_StockCount[WeekIndex],13)&gt;0,SUMIFS(T_StockCount[CountedQty],T_StockCount[Part Name],$A58,T_StockCount[WeekIndex],13),IF((('T_SelfStock'!N62&lt;&gt;""))*(('T_TTAFStock'!N62&lt;&gt;""))&gt;0,'T_SelfStock'!N62+'T_TTAFStock'!N62,M58+'Grid_Incoming'!N58-'Grid_Requirement'!N58))</f>
        <v/>
      </c>
      <c r="O58">
        <f>IF(COUNTIFS(T_StockCount[Part Name],$A58,T_StockCount[WeekIndex],14)&gt;0,SUMIFS(T_StockCount[CountedQty],T_StockCount[Part Name],$A58,T_StockCount[WeekIndex],14),IF((('T_SelfStock'!O62&lt;&gt;""))*(('T_TTAFStock'!O62&lt;&gt;""))&gt;0,'T_SelfStock'!O62+'T_TTAFStock'!O62,N58+'Grid_Incoming'!O58-'Grid_Requirement'!O58))</f>
        <v/>
      </c>
      <c r="P58">
        <f>IF(COUNTIFS(T_StockCount[Part Name],$A58,T_StockCount[WeekIndex],15)&gt;0,SUMIFS(T_StockCount[CountedQty],T_StockCount[Part Name],$A58,T_StockCount[WeekIndex],15),IF((('T_SelfStock'!P62&lt;&gt;""))*(('T_TTAFStock'!P62&lt;&gt;""))&gt;0,'T_SelfStock'!P62+'T_TTAFStock'!P62,O58+'Grid_Incoming'!P58-'Grid_Requirement'!P58))</f>
        <v/>
      </c>
      <c r="Q58">
        <f>IF(COUNTIFS(T_StockCount[Part Name],$A58,T_StockCount[WeekIndex],16)&gt;0,SUMIFS(T_StockCount[CountedQty],T_StockCount[Part Name],$A58,T_StockCount[WeekIndex],16),IF((('T_SelfStock'!Q62&lt;&gt;""))*(('T_TTAFStock'!Q62&lt;&gt;""))&gt;0,'T_SelfStock'!Q62+'T_TTAFStock'!Q62,P58+'Grid_Incoming'!Q58-'Grid_Requirement'!Q58))</f>
        <v/>
      </c>
      <c r="R58">
        <f>IF(COUNTIFS(T_StockCount[Part Name],$A58,T_StockCount[WeekIndex],17)&gt;0,SUMIFS(T_StockCount[CountedQty],T_StockCount[Part Name],$A58,T_StockCount[WeekIndex],17),IF((('T_SelfStock'!R62&lt;&gt;""))*(('T_TTAFStock'!R62&lt;&gt;""))&gt;0,'T_SelfStock'!R62+'T_TTAFStock'!R62,Q58+'Grid_Incoming'!R58-'Grid_Requirement'!R58))</f>
        <v/>
      </c>
      <c r="S58">
        <f>IF(COUNTIFS(T_StockCount[Part Name],$A58,T_StockCount[WeekIndex],18)&gt;0,SUMIFS(T_StockCount[CountedQty],T_StockCount[Part Name],$A58,T_StockCount[WeekIndex],18),IF((('T_SelfStock'!S62&lt;&gt;""))*(('T_TTAFStock'!S62&lt;&gt;""))&gt;0,'T_SelfStock'!S62+'T_TTAFStock'!S62,R58+'Grid_Incoming'!S58-'Grid_Requirement'!S58))</f>
        <v/>
      </c>
      <c r="T58">
        <f>IF(COUNTIFS(T_StockCount[Part Name],$A58,T_StockCount[WeekIndex],19)&gt;0,SUMIFS(T_StockCount[CountedQty],T_StockCount[Part Name],$A58,T_StockCount[WeekIndex],19),IF((('T_SelfStock'!T62&lt;&gt;""))*(('T_TTAFStock'!T62&lt;&gt;""))&gt;0,'T_SelfStock'!T62+'T_TTAFStock'!T62,S58+'Grid_Incoming'!T58-'Grid_Requirement'!T58))</f>
        <v/>
      </c>
      <c r="U58">
        <f>IF(COUNTIFS(T_StockCount[Part Name],$A58,T_StockCount[WeekIndex],20)&gt;0,SUMIFS(T_StockCount[CountedQty],T_StockCount[Part Name],$A58,T_StockCount[WeekIndex],20),IF((('T_SelfStock'!U62&lt;&gt;""))*(('T_TTAFStock'!U62&lt;&gt;""))&gt;0,'T_SelfStock'!U62+'T_TTAFStock'!U62,T58+'Grid_Incoming'!U58-'Grid_Requirement'!U58))</f>
        <v/>
      </c>
      <c r="V58">
        <f>IF(COUNTIFS(T_StockCount[Part Name],$A58,T_StockCount[WeekIndex],21)&gt;0,SUMIFS(T_StockCount[CountedQty],T_StockCount[Part Name],$A58,T_StockCount[WeekIndex],21),IF((('T_SelfStock'!V62&lt;&gt;""))*(('T_TTAFStock'!V62&lt;&gt;""))&gt;0,'T_SelfStock'!V62+'T_TTAFStock'!V62,U58+'Grid_Incoming'!V58-'Grid_Requirement'!V58))</f>
        <v/>
      </c>
      <c r="W58">
        <f>IF(COUNTIFS(T_StockCount[Part Name],$A58,T_StockCount[WeekIndex],22)&gt;0,SUMIFS(T_StockCount[CountedQty],T_StockCount[Part Name],$A58,T_StockCount[WeekIndex],22),IF((('T_SelfStock'!W62&lt;&gt;""))*(('T_TTAFStock'!W62&lt;&gt;""))&gt;0,'T_SelfStock'!W62+'T_TTAFStock'!W62,V58+'Grid_Incoming'!W58-'Grid_Requirement'!W58))</f>
        <v/>
      </c>
      <c r="X58">
        <f>IF(COUNTIFS(T_StockCount[Part Name],$A58,T_StockCount[WeekIndex],23)&gt;0,SUMIFS(T_StockCount[CountedQty],T_StockCount[Part Name],$A58,T_StockCount[WeekIndex],23),IF((('T_SelfStock'!X62&lt;&gt;""))*(('T_TTAFStock'!X62&lt;&gt;""))&gt;0,'T_SelfStock'!X62+'T_TTAFStock'!X62,W58+'Grid_Incoming'!X58-'Grid_Requirement'!X58))</f>
        <v/>
      </c>
      <c r="Y58">
        <f>IF(COUNTIFS(T_StockCount[Part Name],$A58,T_StockCount[WeekIndex],24)&gt;0,SUMIFS(T_StockCount[CountedQty],T_StockCount[Part Name],$A58,T_StockCount[WeekIndex],24),IF((('T_SelfStock'!Y62&lt;&gt;""))*(('T_TTAFStock'!Y62&lt;&gt;""))&gt;0,'T_SelfStock'!Y62+'T_TTAFStock'!Y62,X58+'Grid_Incoming'!Y58-'Grid_Requirement'!Y58))</f>
        <v/>
      </c>
      <c r="Z58">
        <f>IF(COUNTIFS(T_StockCount[Part Name],$A58,T_StockCount[WeekIndex],25)&gt;0,SUMIFS(T_StockCount[CountedQty],T_StockCount[Part Name],$A58,T_StockCount[WeekIndex],25),IF((('T_SelfStock'!Z62&lt;&gt;""))*(('T_TTAFStock'!Z62&lt;&gt;""))&gt;0,'T_SelfStock'!Z62+'T_TTAFStock'!Z62,Y58+'Grid_Incoming'!Z58-'Grid_Requirement'!Z58))</f>
        <v/>
      </c>
      <c r="AA58">
        <f>IF(COUNTIFS(T_StockCount[Part Name],$A58,T_StockCount[WeekIndex],26)&gt;0,SUMIFS(T_StockCount[CountedQty],T_StockCount[Part Name],$A58,T_StockCount[WeekIndex],26),IF((('T_SelfStock'!AA62&lt;&gt;""))*(('T_TTAFStock'!AA62&lt;&gt;""))&gt;0,'T_SelfStock'!AA62+'T_TTAFStock'!AA62,Z58+'Grid_Incoming'!AA58-'Grid_Requirement'!AA58))</f>
        <v/>
      </c>
      <c r="AB58">
        <f>IF(COUNTIFS(T_StockCount[Part Name],$A58,T_StockCount[WeekIndex],27)&gt;0,SUMIFS(T_StockCount[CountedQty],T_StockCount[Part Name],$A58,T_StockCount[WeekIndex],27),IF((('T_SelfStock'!AB62&lt;&gt;""))*(('T_TTAFStock'!AB62&lt;&gt;""))&gt;0,'T_SelfStock'!AB62+'T_TTAFStock'!AB62,AA58+'Grid_Incoming'!AB58-'Grid_Requirement'!AB58))</f>
        <v/>
      </c>
      <c r="AC58">
        <f>IF(COUNTIFS(T_StockCount[Part Name],$A58,T_StockCount[WeekIndex],28)&gt;0,SUMIFS(T_StockCount[CountedQty],T_StockCount[Part Name],$A58,T_StockCount[WeekIndex],28),IF((('T_SelfStock'!AC62&lt;&gt;""))*(('T_TTAFStock'!AC62&lt;&gt;""))&gt;0,'T_SelfStock'!AC62+'T_TTAFStock'!AC62,AB58+'Grid_Incoming'!AC58-'Grid_Requirement'!AC58))</f>
        <v/>
      </c>
      <c r="AD58">
        <f>IF(COUNTIFS(T_StockCount[Part Name],$A58,T_StockCount[WeekIndex],29)&gt;0,SUMIFS(T_StockCount[CountedQty],T_StockCount[Part Name],$A58,T_StockCount[WeekIndex],29),IF((('T_SelfStock'!AD62&lt;&gt;""))*(('T_TTAFStock'!AD62&lt;&gt;""))&gt;0,'T_SelfStock'!AD62+'T_TTAFStock'!AD62,AC58+'Grid_Incoming'!AD58-'Grid_Requirement'!AD58))</f>
        <v/>
      </c>
      <c r="AE58">
        <f>IF(COUNTIFS(T_StockCount[Part Name],$A58,T_StockCount[WeekIndex],30)&gt;0,SUMIFS(T_StockCount[CountedQty],T_StockCount[Part Name],$A58,T_StockCount[WeekIndex],30),IF((('T_SelfStock'!AE62&lt;&gt;""))*(('T_TTAFStock'!AE62&lt;&gt;""))&gt;0,'T_SelfStock'!AE62+'T_TTAFStock'!AE62,AD58+'Grid_Incoming'!AE58-'Grid_Requirement'!AE58))</f>
        <v/>
      </c>
      <c r="AF58">
        <f>IF(COUNTIFS(T_StockCount[Part Name],$A58,T_StockCount[WeekIndex],31)&gt;0,SUMIFS(T_StockCount[CountedQty],T_StockCount[Part Name],$A58,T_StockCount[WeekIndex],31),IF((('T_SelfStock'!AF62&lt;&gt;""))*(('T_TTAFStock'!AF62&lt;&gt;""))&gt;0,'T_SelfStock'!AF62+'T_TTAFStock'!AF62,AE58+'Grid_Incoming'!AF58-'Grid_Requirement'!AF58))</f>
        <v/>
      </c>
      <c r="AG58">
        <f>IF(COUNTIFS(T_StockCount[Part Name],$A58,T_StockCount[WeekIndex],32)&gt;0,SUMIFS(T_StockCount[CountedQty],T_StockCount[Part Name],$A58,T_StockCount[WeekIndex],32),IF((('T_SelfStock'!AG62&lt;&gt;""))*(('T_TTAFStock'!AG62&lt;&gt;""))&gt;0,'T_SelfStock'!AG62+'T_TTAFStock'!AG62,AF58+'Grid_Incoming'!AG58-'Grid_Requirement'!AG58))</f>
        <v/>
      </c>
      <c r="AH58">
        <f>IF(COUNTIFS(T_StockCount[Part Name],$A58,T_StockCount[WeekIndex],33)&gt;0,SUMIFS(T_StockCount[CountedQty],T_StockCount[Part Name],$A58,T_StockCount[WeekIndex],33),IF((('T_SelfStock'!AH62&lt;&gt;""))*(('T_TTAFStock'!AH62&lt;&gt;""))&gt;0,'T_SelfStock'!AH62+'T_TTAFStock'!AH62,AG58+'Grid_Incoming'!AH58-'Grid_Requirement'!AH58))</f>
        <v/>
      </c>
      <c r="AI58">
        <f>IF(COUNTIFS(T_StockCount[Part Name],$A58,T_StockCount[WeekIndex],34)&gt;0,SUMIFS(T_StockCount[CountedQty],T_StockCount[Part Name],$A58,T_StockCount[WeekIndex],34),IF((('T_SelfStock'!AI62&lt;&gt;""))*(('T_TTAFStock'!AI62&lt;&gt;""))&gt;0,'T_SelfStock'!AI62+'T_TTAFStock'!AI62,AH58+'Grid_Incoming'!AI58-'Grid_Requirement'!AI58))</f>
        <v/>
      </c>
      <c r="AJ58">
        <f>IF(COUNTIFS(T_StockCount[Part Name],$A58,T_StockCount[WeekIndex],35)&gt;0,SUMIFS(T_StockCount[CountedQty],T_StockCount[Part Name],$A58,T_StockCount[WeekIndex],35),IF((('T_SelfStock'!AJ62&lt;&gt;""))*(('T_TTAFStock'!AJ62&lt;&gt;""))&gt;0,'T_SelfStock'!AJ62+'T_TTAFStock'!AJ62,AI58+'Grid_Incoming'!AJ58-'Grid_Requirement'!AJ58))</f>
        <v/>
      </c>
      <c r="AK58">
        <f>IF(COUNTIFS(T_StockCount[Part Name],$A58,T_StockCount[WeekIndex],36)&gt;0,SUMIFS(T_StockCount[CountedQty],T_StockCount[Part Name],$A58,T_StockCount[WeekIndex],36),IF((('T_SelfStock'!AK62&lt;&gt;""))*(('T_TTAFStock'!AK62&lt;&gt;""))&gt;0,'T_SelfStock'!AK62+'T_TTAFStock'!AK62,AJ58+'Grid_Incoming'!AK58-'Grid_Requirement'!AK58))</f>
        <v/>
      </c>
      <c r="AL58">
        <f>IF(COUNTIFS(T_StockCount[Part Name],$A58,T_StockCount[WeekIndex],37)&gt;0,SUMIFS(T_StockCount[CountedQty],T_StockCount[Part Name],$A58,T_StockCount[WeekIndex],37),IF((('T_SelfStock'!AL62&lt;&gt;""))*(('T_TTAFStock'!AL62&lt;&gt;""))&gt;0,'T_SelfStock'!AL62+'T_TTAFStock'!AL62,AK58+'Grid_Incoming'!AL58-'Grid_Requirement'!AL58))</f>
        <v/>
      </c>
      <c r="AM58">
        <f>IF(COUNTIFS(T_StockCount[Part Name],$A58,T_StockCount[WeekIndex],38)&gt;0,SUMIFS(T_StockCount[CountedQty],T_StockCount[Part Name],$A58,T_StockCount[WeekIndex],38),IF((('T_SelfStock'!AM62&lt;&gt;""))*(('T_TTAFStock'!AM62&lt;&gt;""))&gt;0,'T_SelfStock'!AM62+'T_TTAFStock'!AM62,AL58+'Grid_Incoming'!AM58-'Grid_Requirement'!AM58))</f>
        <v/>
      </c>
      <c r="AN58">
        <f>IF(COUNTIFS(T_StockCount[Part Name],$A58,T_StockCount[WeekIndex],39)&gt;0,SUMIFS(T_StockCount[CountedQty],T_StockCount[Part Name],$A58,T_StockCount[WeekIndex],39),IF((('T_SelfStock'!AN62&lt;&gt;""))*(('T_TTAFStock'!AN62&lt;&gt;""))&gt;0,'T_SelfStock'!AN62+'T_TTAFStock'!AN62,AM58+'Grid_Incoming'!AN58-'Grid_Requirement'!AN58))</f>
        <v/>
      </c>
      <c r="AO58">
        <f>IF(COUNTIFS(T_StockCount[Part Name],$A58,T_StockCount[WeekIndex],40)&gt;0,SUMIFS(T_StockCount[CountedQty],T_StockCount[Part Name],$A58,T_StockCount[WeekIndex],40),IF((('T_SelfStock'!AO62&lt;&gt;""))*(('T_TTAFStock'!AO62&lt;&gt;""))&gt;0,'T_SelfStock'!AO62+'T_TTAFStock'!AO62,AN58+'Grid_Incoming'!AO58-'Grid_Requirement'!AO58))</f>
        <v/>
      </c>
      <c r="AP58">
        <f>IF(COUNTIFS(T_StockCount[Part Name],$A58,T_StockCount[WeekIndex],41)&gt;0,SUMIFS(T_StockCount[CountedQty],T_StockCount[Part Name],$A58,T_StockCount[WeekIndex],41),IF((('T_SelfStock'!AP62&lt;&gt;""))*(('T_TTAFStock'!AP62&lt;&gt;""))&gt;0,'T_SelfStock'!AP62+'T_TTAFStock'!AP62,AO58+'Grid_Incoming'!AP58-'Grid_Requirement'!AP58))</f>
        <v/>
      </c>
      <c r="AQ58">
        <f>IF(COUNTIFS(T_StockCount[Part Name],$A58,T_StockCount[WeekIndex],42)&gt;0,SUMIFS(T_StockCount[CountedQty],T_StockCount[Part Name],$A58,T_StockCount[WeekIndex],42),IF((('T_SelfStock'!AQ62&lt;&gt;""))*(('T_TTAFStock'!AQ62&lt;&gt;""))&gt;0,'T_SelfStock'!AQ62+'T_TTAFStock'!AQ62,AP58+'Grid_Incoming'!AQ58-'Grid_Requirement'!AQ58))</f>
        <v/>
      </c>
      <c r="AR58">
        <f>IF(COUNTIFS(T_StockCount[Part Name],$A58,T_StockCount[WeekIndex],43)&gt;0,SUMIFS(T_StockCount[CountedQty],T_StockCount[Part Name],$A58,T_StockCount[WeekIndex],43),IF((('T_SelfStock'!AR62&lt;&gt;""))*(('T_TTAFStock'!AR62&lt;&gt;""))&gt;0,'T_SelfStock'!AR62+'T_TTAFStock'!AR62,AQ58+'Grid_Incoming'!AR58-'Grid_Requirement'!AR58))</f>
        <v/>
      </c>
      <c r="AS58">
        <f>IF(COUNTIFS(T_StockCount[Part Name],$A58,T_StockCount[WeekIndex],44)&gt;0,SUMIFS(T_StockCount[CountedQty],T_StockCount[Part Name],$A58,T_StockCount[WeekIndex],44),IF((('T_SelfStock'!AS62&lt;&gt;""))*(('T_TTAFStock'!AS62&lt;&gt;""))&gt;0,'T_SelfStock'!AS62+'T_TTAFStock'!AS62,AR58+'Grid_Incoming'!AS58-'Grid_Requirement'!AS58))</f>
        <v/>
      </c>
      <c r="AT58">
        <f>IF(COUNTIFS(T_StockCount[Part Name],$A58,T_StockCount[WeekIndex],45)&gt;0,SUMIFS(T_StockCount[CountedQty],T_StockCount[Part Name],$A58,T_StockCount[WeekIndex],45),IF((('T_SelfStock'!AT62&lt;&gt;""))*(('T_TTAFStock'!AT62&lt;&gt;""))&gt;0,'T_SelfStock'!AT62+'T_TTAFStock'!AT62,AS58+'Grid_Incoming'!AT58-'Grid_Requirement'!AT58))</f>
        <v/>
      </c>
      <c r="AU58">
        <f>IF(COUNTIFS(T_StockCount[Part Name],$A58,T_StockCount[WeekIndex],46)&gt;0,SUMIFS(T_StockCount[CountedQty],T_StockCount[Part Name],$A58,T_StockCount[WeekIndex],46),IF((('T_SelfStock'!AU62&lt;&gt;""))*(('T_TTAFStock'!AU62&lt;&gt;""))&gt;0,'T_SelfStock'!AU62+'T_TTAFStock'!AU62,AT58+'Grid_Incoming'!AU58-'Grid_Requirement'!AU58))</f>
        <v/>
      </c>
      <c r="AV58">
        <f>IF(COUNTIFS(T_StockCount[Part Name],$A58,T_StockCount[WeekIndex],47)&gt;0,SUMIFS(T_StockCount[CountedQty],T_StockCount[Part Name],$A58,T_StockCount[WeekIndex],47),IF((('T_SelfStock'!AV62&lt;&gt;""))*(('T_TTAFStock'!AV62&lt;&gt;""))&gt;0,'T_SelfStock'!AV62+'T_TTAFStock'!AV62,AU58+'Grid_Incoming'!AV58-'Grid_Requirement'!AV58))</f>
        <v/>
      </c>
      <c r="AW58">
        <f>IF(COUNTIFS(T_StockCount[Part Name],$A58,T_StockCount[WeekIndex],48)&gt;0,SUMIFS(T_StockCount[CountedQty],T_StockCount[Part Name],$A58,T_StockCount[WeekIndex],48),IF((('T_SelfStock'!AW62&lt;&gt;""))*(('T_TTAFStock'!AW62&lt;&gt;""))&gt;0,'T_SelfStock'!AW62+'T_TTAFStock'!AW62,AV58+'Grid_Incoming'!AW58-'Grid_Requirement'!AW58))</f>
        <v/>
      </c>
      <c r="AX58">
        <f>IF(COUNTIFS(T_StockCount[Part Name],$A58,T_StockCount[WeekIndex],49)&gt;0,SUMIFS(T_StockCount[CountedQty],T_StockCount[Part Name],$A58,T_StockCount[WeekIndex],49),IF((('T_SelfStock'!AX62&lt;&gt;""))*(('T_TTAFStock'!AX62&lt;&gt;""))&gt;0,'T_SelfStock'!AX62+'T_TTAFStock'!AX62,AW58+'Grid_Incoming'!AX58-'Grid_Requirement'!AX58))</f>
        <v/>
      </c>
      <c r="AY58">
        <f>IF(COUNTIFS(T_StockCount[Part Name],$A58,T_StockCount[WeekIndex],50)&gt;0,SUMIFS(T_StockCount[CountedQty],T_StockCount[Part Name],$A58,T_StockCount[WeekIndex],50),IF((('T_SelfStock'!AY62&lt;&gt;""))*(('T_TTAFStock'!AY62&lt;&gt;""))&gt;0,'T_SelfStock'!AY62+'T_TTAFStock'!AY62,AX58+'Grid_Incoming'!AY58-'Grid_Requirement'!AY58))</f>
        <v/>
      </c>
      <c r="AZ58">
        <f>IF(COUNTIFS(T_StockCount[Part Name],$A58,T_StockCount[WeekIndex],51)&gt;0,SUMIFS(T_StockCount[CountedQty],T_StockCount[Part Name],$A58,T_StockCount[WeekIndex],51),IF((('T_SelfStock'!AZ62&lt;&gt;""))*(('T_TTAFStock'!AZ62&lt;&gt;""))&gt;0,'T_SelfStock'!AZ62+'T_TTAFStock'!AZ62,AY58+'Grid_Incoming'!AZ58-'Grid_Requirement'!AZ58))</f>
        <v/>
      </c>
      <c r="BA58">
        <f>IF(COUNTIFS(T_StockCount[Part Name],$A58,T_StockCount[WeekIndex],52)&gt;0,SUMIFS(T_StockCount[CountedQty],T_StockCount[Part Name],$A58,T_StockCount[WeekIndex],52),IF((('T_SelfStock'!BA62&lt;&gt;""))*(('T_TTAFStock'!BA62&lt;&gt;""))&gt;0,'T_SelfStock'!BA62+'T_TTAFStock'!BA62,AZ58+'Grid_Incoming'!BA58-'Grid_Requirement'!BA58))</f>
        <v/>
      </c>
      <c r="BB58">
        <f>IF(COUNTIFS(T_StockCount[Part Name],$A58,T_StockCount[WeekIndex],53)&gt;0,SUMIFS(T_StockCount[CountedQty],T_StockCount[Part Name],$A58,T_StockCount[WeekIndex],53),IF((('T_SelfStock'!BB62&lt;&gt;""))*(('T_TTAFStock'!BB62&lt;&gt;""))&gt;0,'T_SelfStock'!BB62+'T_TTAFStock'!BB62,BA58+'Grid_Incoming'!BB58-'Grid_Requirement'!BB58))</f>
        <v/>
      </c>
      <c r="BC58">
        <f>IF(COUNTIFS(T_StockCount[Part Name],$A58,T_StockCount[WeekIndex],54)&gt;0,SUMIFS(T_StockCount[CountedQty],T_StockCount[Part Name],$A58,T_StockCount[WeekIndex],54),IF((('T_SelfStock'!BC62&lt;&gt;""))*(('T_TTAFStock'!BC62&lt;&gt;""))&gt;0,'T_SelfStock'!BC62+'T_TTAFStock'!BC62,BB58+'Grid_Incoming'!BC58-'Grid_Requirement'!BC58))</f>
        <v/>
      </c>
      <c r="BD58">
        <f>IF(COUNTIFS(T_StockCount[Part Name],$A58,T_StockCount[WeekIndex],55)&gt;0,SUMIFS(T_StockCount[CountedQty],T_StockCount[Part Name],$A58,T_StockCount[WeekIndex],55),IF((('T_SelfStock'!BD62&lt;&gt;""))*(('T_TTAFStock'!BD62&lt;&gt;""))&gt;0,'T_SelfStock'!BD62+'T_TTAFStock'!BD62,BC58+'Grid_Incoming'!BD58-'Grid_Requirement'!BD58))</f>
        <v/>
      </c>
      <c r="BE58">
        <f>IF(COUNTIFS(T_StockCount[Part Name],$A58,T_StockCount[WeekIndex],56)&gt;0,SUMIFS(T_StockCount[CountedQty],T_StockCount[Part Name],$A58,T_StockCount[WeekIndex],56),IF((('T_SelfStock'!BE62&lt;&gt;""))*(('T_TTAFStock'!BE62&lt;&gt;""))&gt;0,'T_SelfStock'!BE62+'T_TTAFStock'!BE62,BD58+'Grid_Incoming'!BE58-'Grid_Requirement'!BE58))</f>
        <v/>
      </c>
      <c r="BF58">
        <f>IF(COUNTIFS(T_StockCount[Part Name],$A58,T_StockCount[WeekIndex],57)&gt;0,SUMIFS(T_StockCount[CountedQty],T_StockCount[Part Name],$A58,T_StockCount[WeekIndex],57),IF((('T_SelfStock'!BF62&lt;&gt;""))*(('T_TTAFStock'!BF62&lt;&gt;""))&gt;0,'T_SelfStock'!BF62+'T_TTAFStock'!BF62,BE58+'Grid_Incoming'!BF58-'Grid_Requirement'!BF58))</f>
        <v/>
      </c>
      <c r="BG58">
        <f>IF(COUNTIFS(T_StockCount[Part Name],$A58,T_StockCount[WeekIndex],58)&gt;0,SUMIFS(T_StockCount[CountedQty],T_StockCount[Part Name],$A58,T_StockCount[WeekIndex],58),IF((('T_SelfStock'!BG62&lt;&gt;""))*(('T_TTAFStock'!BG62&lt;&gt;""))&gt;0,'T_SelfStock'!BG62+'T_TTAFStock'!BG62,BF58+'Grid_Incoming'!BG58-'Grid_Requirement'!BG58))</f>
        <v/>
      </c>
      <c r="BH58">
        <f>IF(COUNTIFS(T_StockCount[Part Name],$A58,T_StockCount[WeekIndex],59)&gt;0,SUMIFS(T_StockCount[CountedQty],T_StockCount[Part Name],$A58,T_StockCount[WeekIndex],59),IF((('T_SelfStock'!BH62&lt;&gt;""))*(('T_TTAFStock'!BH62&lt;&gt;""))&gt;0,'T_SelfStock'!BH62+'T_TTAFStock'!BH62,BG58+'Grid_Incoming'!BH58-'Grid_Requirement'!BH58))</f>
        <v/>
      </c>
      <c r="BI58">
        <f>IF(COUNTIFS(T_StockCount[Part Name],$A58,T_StockCount[WeekIndex],60)&gt;0,SUMIFS(T_StockCount[CountedQty],T_StockCount[Part Name],$A58,T_StockCount[WeekIndex],60),IF((('T_SelfStock'!BI62&lt;&gt;""))*(('T_TTAFStock'!BI62&lt;&gt;""))&gt;0,'T_SelfStock'!BI62+'T_TTAFStock'!BI62,BH58+'Grid_Incoming'!BI58-'Grid_Requirement'!BI58))</f>
        <v/>
      </c>
      <c r="BJ58">
        <f>IF(COUNTIFS(T_StockCount[Part Name],$A58,T_StockCount[WeekIndex],61)&gt;0,SUMIFS(T_StockCount[CountedQty],T_StockCount[Part Name],$A58,T_StockCount[WeekIndex],61),IF((('T_SelfStock'!BJ62&lt;&gt;""))*(('T_TTAFStock'!BJ62&lt;&gt;""))&gt;0,'T_SelfStock'!BJ62+'T_TTAFStock'!BJ62,BI58+'Grid_Incoming'!BJ58-'Grid_Requirement'!BJ58))</f>
        <v/>
      </c>
      <c r="BK58">
        <f>IF(COUNTIFS(T_StockCount[Part Name],$A58,T_StockCount[WeekIndex],62)&gt;0,SUMIFS(T_StockCount[CountedQty],T_StockCount[Part Name],$A58,T_StockCount[WeekIndex],62),IF((('T_SelfStock'!BK62&lt;&gt;""))*(('T_TTAFStock'!BK62&lt;&gt;""))&gt;0,'T_SelfStock'!BK62+'T_TTAFStock'!BK62,BJ58+'Grid_Incoming'!BK58-'Grid_Requirement'!BK58))</f>
        <v/>
      </c>
      <c r="BL58">
        <f>IF(COUNTIFS(T_StockCount[Part Name],$A58,T_StockCount[WeekIndex],63)&gt;0,SUMIFS(T_StockCount[CountedQty],T_StockCount[Part Name],$A58,T_StockCount[WeekIndex],63),IF((('T_SelfStock'!BL62&lt;&gt;""))*(('T_TTAFStock'!BL62&lt;&gt;""))&gt;0,'T_SelfStock'!BL62+'T_TTAFStock'!BL62,BK58+'Grid_Incoming'!BL58-'Grid_Requirement'!BL58))</f>
        <v/>
      </c>
      <c r="BM58">
        <f>IF(COUNTIFS(T_StockCount[Part Name],$A58,T_StockCount[WeekIndex],64)&gt;0,SUMIFS(T_StockCount[CountedQty],T_StockCount[Part Name],$A58,T_StockCount[WeekIndex],64),IF((('T_SelfStock'!BM62&lt;&gt;""))*(('T_TTAFStock'!BM62&lt;&gt;""))&gt;0,'T_SelfStock'!BM62+'T_TTAFStock'!BM62,BL58+'Grid_Incoming'!BM58-'Grid_Requirement'!BM58))</f>
        <v/>
      </c>
      <c r="BN58">
        <f>IF(COUNTIFS(T_StockCount[Part Name],$A58,T_StockCount[WeekIndex],65)&gt;0,SUMIFS(T_StockCount[CountedQty],T_StockCount[Part Name],$A58,T_StockCount[WeekIndex],65),IF((('T_SelfStock'!BN62&lt;&gt;""))*(('T_TTAFStock'!BN62&lt;&gt;""))&gt;0,'T_SelfStock'!BN62+'T_TTAFStock'!BN62,BM58+'Grid_Incoming'!BN58-'Grid_Requirement'!BN58))</f>
        <v/>
      </c>
      <c r="BO58">
        <f>IF(COUNTIFS(T_StockCount[Part Name],$A58,T_StockCount[WeekIndex],66)&gt;0,SUMIFS(T_StockCount[CountedQty],T_StockCount[Part Name],$A58,T_StockCount[WeekIndex],66),IF((('T_SelfStock'!BO62&lt;&gt;""))*(('T_TTAFStock'!BO62&lt;&gt;""))&gt;0,'T_SelfStock'!BO62+'T_TTAFStock'!BO62,BN58+'Grid_Incoming'!BO58-'Grid_Requirement'!BO58))</f>
        <v/>
      </c>
      <c r="BP58">
        <f>IF(COUNTIFS(T_StockCount[Part Name],$A58,T_StockCount[WeekIndex],67)&gt;0,SUMIFS(T_StockCount[CountedQty],T_StockCount[Part Name],$A58,T_StockCount[WeekIndex],67),IF((('T_SelfStock'!BP62&lt;&gt;""))*(('T_TTAFStock'!BP62&lt;&gt;""))&gt;0,'T_SelfStock'!BP62+'T_TTAFStock'!BP62,BO58+'Grid_Incoming'!BP58-'Grid_Requirement'!BP58))</f>
        <v/>
      </c>
      <c r="BQ58">
        <f>IF(COUNTIFS(T_StockCount[Part Name],$A58,T_StockCount[WeekIndex],68)&gt;0,SUMIFS(T_StockCount[CountedQty],T_StockCount[Part Name],$A58,T_StockCount[WeekIndex],68),IF((('T_SelfStock'!BQ62&lt;&gt;""))*(('T_TTAFStock'!BQ62&lt;&gt;""))&gt;0,'T_SelfStock'!BQ62+'T_TTAFStock'!BQ62,BP58+'Grid_Incoming'!BQ58-'Grid_Requirement'!BQ58))</f>
        <v/>
      </c>
      <c r="BR58">
        <f>IF(COUNTIFS(T_StockCount[Part Name],$A58,T_StockCount[WeekIndex],69)&gt;0,SUMIFS(T_StockCount[CountedQty],T_StockCount[Part Name],$A58,T_StockCount[WeekIndex],69),IF((('T_SelfStock'!BR62&lt;&gt;""))*(('T_TTAFStock'!BR62&lt;&gt;""))&gt;0,'T_SelfStock'!BR62+'T_TTAFStock'!BR62,BQ58+'Grid_Incoming'!BR58-'Grid_Requirement'!BR58))</f>
        <v/>
      </c>
      <c r="BS58">
        <f>IF(COUNTIFS(T_StockCount[Part Name],$A58,T_StockCount[WeekIndex],70)&gt;0,SUMIFS(T_StockCount[CountedQty],T_StockCount[Part Name],$A58,T_StockCount[WeekIndex],70),IF((('T_SelfStock'!BS62&lt;&gt;""))*(('T_TTAFStock'!BS62&lt;&gt;""))&gt;0,'T_SelfStock'!BS62+'T_TTAFStock'!BS62,BR58+'Grid_Incoming'!BS58-'Grid_Requirement'!BS58))</f>
        <v/>
      </c>
      <c r="BT58">
        <f>IF(COUNTIFS(T_StockCount[Part Name],$A58,T_StockCount[WeekIndex],71)&gt;0,SUMIFS(T_StockCount[CountedQty],T_StockCount[Part Name],$A58,T_StockCount[WeekIndex],71),IF((('T_SelfStock'!BT62&lt;&gt;""))*(('T_TTAFStock'!BT62&lt;&gt;""))&gt;0,'T_SelfStock'!BT62+'T_TTAFStock'!BT62,BS58+'Grid_Incoming'!BT58-'Grid_Requirement'!BT58))</f>
        <v/>
      </c>
      <c r="BU58">
        <f>IF(COUNTIFS(T_StockCount[Part Name],$A58,T_StockCount[WeekIndex],72)&gt;0,SUMIFS(T_StockCount[CountedQty],T_StockCount[Part Name],$A58,T_StockCount[WeekIndex],72),IF((('T_SelfStock'!BU62&lt;&gt;""))*(('T_TTAFStock'!BU62&lt;&gt;""))&gt;0,'T_SelfStock'!BU62+'T_TTAFStock'!BU62,BT58+'Grid_Incoming'!BU58-'Grid_Requirement'!BU58))</f>
        <v/>
      </c>
      <c r="BV58">
        <f>IF(COUNTIFS(T_StockCount[Part Name],$A58,T_StockCount[WeekIndex],73)&gt;0,SUMIFS(T_StockCount[CountedQty],T_StockCount[Part Name],$A58,T_StockCount[WeekIndex],73),IF((('T_SelfStock'!BV62&lt;&gt;""))*(('T_TTAFStock'!BV62&lt;&gt;""))&gt;0,'T_SelfStock'!BV62+'T_TTAFStock'!BV62,BU58+'Grid_Incoming'!BV58-'Grid_Requirement'!BV58))</f>
        <v/>
      </c>
      <c r="BW58">
        <f>IF(COUNTIFS(T_StockCount[Part Name],$A58,T_StockCount[WeekIndex],74)&gt;0,SUMIFS(T_StockCount[CountedQty],T_StockCount[Part Name],$A58,T_StockCount[WeekIndex],74),IF((('T_SelfStock'!BW62&lt;&gt;""))*(('T_TTAFStock'!BW62&lt;&gt;""))&gt;0,'T_SelfStock'!BW62+'T_TTAFStock'!BW62,BV58+'Grid_Incoming'!BW58-'Grid_Requirement'!BW58))</f>
        <v/>
      </c>
      <c r="BX58">
        <f>IF(COUNTIFS(T_StockCount[Part Name],$A58,T_StockCount[WeekIndex],75)&gt;0,SUMIFS(T_StockCount[CountedQty],T_StockCount[Part Name],$A58,T_StockCount[WeekIndex],75),IF((('T_SelfStock'!BX62&lt;&gt;""))*(('T_TTAFStock'!BX62&lt;&gt;""))&gt;0,'T_SelfStock'!BX62+'T_TTAFStock'!BX62,BW58+'Grid_Incoming'!BX58-'Grid_Requirement'!BX58))</f>
        <v/>
      </c>
      <c r="BY58">
        <f>IF(COUNTIFS(T_StockCount[Part Name],$A58,T_StockCount[WeekIndex],76)&gt;0,SUMIFS(T_StockCount[CountedQty],T_StockCount[Part Name],$A58,T_StockCount[WeekIndex],76),IF((('T_SelfStock'!BY62&lt;&gt;""))*(('T_TTAFStock'!BY62&lt;&gt;""))&gt;0,'T_SelfStock'!BY62+'T_TTAFStock'!BY62,BX58+'Grid_Incoming'!BY58-'Grid_Requirement'!BY58))</f>
        <v/>
      </c>
      <c r="BZ58">
        <f>IF(COUNTIFS(T_StockCount[Part Name],$A58,T_StockCount[WeekIndex],77)&gt;0,SUMIFS(T_StockCount[CountedQty],T_StockCount[Part Name],$A58,T_StockCount[WeekIndex],77),IF((('T_SelfStock'!BZ62&lt;&gt;""))*(('T_TTAFStock'!BZ62&lt;&gt;""))&gt;0,'T_SelfStock'!BZ62+'T_TTAFStock'!BZ62,BY58+'Grid_Incoming'!BZ58-'Grid_Requirement'!BZ58))</f>
        <v/>
      </c>
      <c r="CA58">
        <f>IF(COUNTIFS(T_StockCount[Part Name],$A58,T_StockCount[WeekIndex],78)&gt;0,SUMIFS(T_StockCount[CountedQty],T_StockCount[Part Name],$A58,T_StockCount[WeekIndex],78),IF((('T_SelfStock'!CA62&lt;&gt;""))*(('T_TTAFStock'!CA62&lt;&gt;""))&gt;0,'T_SelfStock'!CA62+'T_TTAFStock'!CA62,BZ58+'Grid_Incoming'!CA58-'Grid_Requirement'!CA58))</f>
        <v/>
      </c>
      <c r="CB58">
        <f>IF(COUNTIFS(T_StockCount[Part Name],$A58,T_StockCount[WeekIndex],79)&gt;0,SUMIFS(T_StockCount[CountedQty],T_StockCount[Part Name],$A58,T_StockCount[WeekIndex],79),IF((('T_SelfStock'!CB62&lt;&gt;""))*(('T_TTAFStock'!CB62&lt;&gt;""))&gt;0,'T_SelfStock'!CB62+'T_TTAFStock'!CB62,CA58+'Grid_Incoming'!CB58-'Grid_Requirement'!CB58))</f>
        <v/>
      </c>
      <c r="CC58">
        <f>IF(COUNTIFS(T_StockCount[Part Name],$A58,T_StockCount[WeekIndex],80)&gt;0,SUMIFS(T_StockCount[CountedQty],T_StockCount[Part Name],$A58,T_StockCount[WeekIndex],80),IF((('T_SelfStock'!CC62&lt;&gt;""))*(('T_TTAFStock'!CC62&lt;&gt;""))&gt;0,'T_SelfStock'!CC62+'T_TTAFStock'!CC62,CB58+'Grid_Incoming'!CC58-'Grid_Requirement'!CC58))</f>
        <v/>
      </c>
      <c r="CD58">
        <f>IF(COUNTIFS(T_StockCount[Part Name],$A58,T_StockCount[WeekIndex],81)&gt;0,SUMIFS(T_StockCount[CountedQty],T_StockCount[Part Name],$A58,T_StockCount[WeekIndex],81),IF((('T_SelfStock'!CD62&lt;&gt;""))*(('T_TTAFStock'!CD62&lt;&gt;""))&gt;0,'T_SelfStock'!CD62+'T_TTAFStock'!CD62,CC58+'Grid_Incoming'!CD58-'Grid_Requirement'!CD58))</f>
        <v/>
      </c>
      <c r="CE58">
        <f>IF(COUNTIFS(T_StockCount[Part Name],$A58,T_StockCount[WeekIndex],82)&gt;0,SUMIFS(T_StockCount[CountedQty],T_StockCount[Part Name],$A58,T_StockCount[WeekIndex],82),IF((('T_SelfStock'!CE62&lt;&gt;""))*(('T_TTAFStock'!CE62&lt;&gt;""))&gt;0,'T_SelfStock'!CE62+'T_TTAFStock'!CE62,CD58+'Grid_Incoming'!CE58-'Grid_Requirement'!CE58))</f>
        <v/>
      </c>
      <c r="CF58">
        <f>IF(COUNTIFS(T_StockCount[Part Name],$A58,T_StockCount[WeekIndex],83)&gt;0,SUMIFS(T_StockCount[CountedQty],T_StockCount[Part Name],$A58,T_StockCount[WeekIndex],83),IF((('T_SelfStock'!CF62&lt;&gt;""))*(('T_TTAFStock'!CF62&lt;&gt;""))&gt;0,'T_SelfStock'!CF62+'T_TTAFStock'!CF62,CE58+'Grid_Incoming'!CF58-'Grid_Requirement'!CF58))</f>
        <v/>
      </c>
      <c r="CG58">
        <f>IF(COUNTIFS(T_StockCount[Part Name],$A58,T_StockCount[WeekIndex],84)&gt;0,SUMIFS(T_StockCount[CountedQty],T_StockCount[Part Name],$A58,T_StockCount[WeekIndex],84),IF((('T_SelfStock'!CG62&lt;&gt;""))*(('T_TTAFStock'!CG62&lt;&gt;""))&gt;0,'T_SelfStock'!CG62+'T_TTAFStock'!CG62,CF58+'Grid_Incoming'!CG58-'Grid_Requirement'!CG58))</f>
        <v/>
      </c>
      <c r="CH58">
        <f>IF(COUNTIFS(T_StockCount[Part Name],$A58,T_StockCount[WeekIndex],85)&gt;0,SUMIFS(T_StockCount[CountedQty],T_StockCount[Part Name],$A58,T_StockCount[WeekIndex],85),IF((('T_SelfStock'!CH62&lt;&gt;""))*(('T_TTAFStock'!CH62&lt;&gt;""))&gt;0,'T_SelfStock'!CH62+'T_TTAFStock'!CH62,CG58+'Grid_Incoming'!CH58-'Grid_Requirement'!CH58))</f>
        <v/>
      </c>
      <c r="CI58">
        <f>IF(COUNTIFS(T_StockCount[Part Name],$A58,T_StockCount[WeekIndex],86)&gt;0,SUMIFS(T_StockCount[CountedQty],T_StockCount[Part Name],$A58,T_StockCount[WeekIndex],86),IF((('T_SelfStock'!CI62&lt;&gt;""))*(('T_TTAFStock'!CI62&lt;&gt;""))&gt;0,'T_SelfStock'!CI62+'T_TTAFStock'!CI62,CH58+'Grid_Incoming'!CI58-'Grid_Requirement'!CI58))</f>
        <v/>
      </c>
      <c r="CJ58">
        <f>IF(COUNTIFS(T_StockCount[Part Name],$A58,T_StockCount[WeekIndex],87)&gt;0,SUMIFS(T_StockCount[CountedQty],T_StockCount[Part Name],$A58,T_StockCount[WeekIndex],87),IF((('T_SelfStock'!CJ62&lt;&gt;""))*(('T_TTAFStock'!CJ62&lt;&gt;""))&gt;0,'T_SelfStock'!CJ62+'T_TTAFStock'!CJ62,CI58+'Grid_Incoming'!CJ58-'Grid_Requirement'!CJ58))</f>
        <v/>
      </c>
      <c r="CK58">
        <f>IF(COUNTIFS(T_StockCount[Part Name],$A58,T_StockCount[WeekIndex],88)&gt;0,SUMIFS(T_StockCount[CountedQty],T_StockCount[Part Name],$A58,T_StockCount[WeekIndex],88),IF((('T_SelfStock'!CK62&lt;&gt;""))*(('T_TTAFStock'!CK62&lt;&gt;""))&gt;0,'T_SelfStock'!CK62+'T_TTAFStock'!CK62,CJ58+'Grid_Incoming'!CK58-'Grid_Requirement'!CK58))</f>
        <v/>
      </c>
      <c r="CL58">
        <f>IF(COUNTIFS(T_StockCount[Part Name],$A58,T_StockCount[WeekIndex],89)&gt;0,SUMIFS(T_StockCount[CountedQty],T_StockCount[Part Name],$A58,T_StockCount[WeekIndex],89),IF((('T_SelfStock'!CL62&lt;&gt;""))*(('T_TTAFStock'!CL62&lt;&gt;""))&gt;0,'T_SelfStock'!CL62+'T_TTAFStock'!CL62,CK58+'Grid_Incoming'!CL58-'Grid_Requirement'!CL58))</f>
        <v/>
      </c>
      <c r="CM58">
        <f>IF(COUNTIFS(T_StockCount[Part Name],$A58,T_StockCount[WeekIndex],90)&gt;0,SUMIFS(T_StockCount[CountedQty],T_StockCount[Part Name],$A58,T_StockCount[WeekIndex],90),IF((('T_SelfStock'!CM62&lt;&gt;""))*(('T_TTAFStock'!CM62&lt;&gt;""))&gt;0,'T_SelfStock'!CM62+'T_TTAFStock'!CM62,CL58+'Grid_Incoming'!CM58-'Grid_Requirement'!CM58))</f>
        <v/>
      </c>
      <c r="CN58">
        <f>IF(COUNTIFS(T_StockCount[Part Name],$A58,T_StockCount[WeekIndex],91)&gt;0,SUMIFS(T_StockCount[CountedQty],T_StockCount[Part Name],$A58,T_StockCount[WeekIndex],91),IF((('T_SelfStock'!CN62&lt;&gt;""))*(('T_TTAFStock'!CN62&lt;&gt;""))&gt;0,'T_SelfStock'!CN62+'T_TTAFStock'!CN62,CM58+'Grid_Incoming'!CN58-'Grid_Requirement'!CN58))</f>
        <v/>
      </c>
      <c r="CO58">
        <f>IF(COUNTIFS(T_StockCount[Part Name],$A58,T_StockCount[WeekIndex],92)&gt;0,SUMIFS(T_StockCount[CountedQty],T_StockCount[Part Name],$A58,T_StockCount[WeekIndex],92),IF((('T_SelfStock'!CO62&lt;&gt;""))*(('T_TTAFStock'!CO62&lt;&gt;""))&gt;0,'T_SelfStock'!CO62+'T_TTAFStock'!CO62,CN58+'Grid_Incoming'!CO58-'Grid_Requirement'!CO58))</f>
        <v/>
      </c>
      <c r="CP58">
        <f>IF(COUNTIFS(T_StockCount[Part Name],$A58,T_StockCount[WeekIndex],93)&gt;0,SUMIFS(T_StockCount[CountedQty],T_StockCount[Part Name],$A58,T_StockCount[WeekIndex],93),IF((('T_SelfStock'!CP62&lt;&gt;""))*(('T_TTAFStock'!CP62&lt;&gt;""))&gt;0,'T_SelfStock'!CP62+'T_TTAFStock'!CP62,CO58+'Grid_Incoming'!CP58-'Grid_Requirement'!CP58))</f>
        <v/>
      </c>
      <c r="CQ58">
        <f>IF(COUNTIFS(T_StockCount[Part Name],$A58,T_StockCount[WeekIndex],94)&gt;0,SUMIFS(T_StockCount[CountedQty],T_StockCount[Part Name],$A58,T_StockCount[WeekIndex],94),IF((('T_SelfStock'!CQ62&lt;&gt;""))*(('T_TTAFStock'!CQ62&lt;&gt;""))&gt;0,'T_SelfStock'!CQ62+'T_TTAFStock'!CQ62,CP58+'Grid_Incoming'!CQ58-'Grid_Requirement'!CQ58))</f>
        <v/>
      </c>
      <c r="CR58">
        <f>IF(COUNTIFS(T_StockCount[Part Name],$A58,T_StockCount[WeekIndex],95)&gt;0,SUMIFS(T_StockCount[CountedQty],T_StockCount[Part Name],$A58,T_StockCount[WeekIndex],95),IF((('T_SelfStock'!CR62&lt;&gt;""))*(('T_TTAFStock'!CR62&lt;&gt;""))&gt;0,'T_SelfStock'!CR62+'T_TTAFStock'!CR62,CQ58+'Grid_Incoming'!CR58-'Grid_Requirement'!CR58))</f>
        <v/>
      </c>
      <c r="CS58">
        <f>IF(COUNTIFS(T_StockCount[Part Name],$A58,T_StockCount[WeekIndex],96)&gt;0,SUMIFS(T_StockCount[CountedQty],T_StockCount[Part Name],$A58,T_StockCount[WeekIndex],96),IF((('T_SelfStock'!CS62&lt;&gt;""))*(('T_TTAFStock'!CS62&lt;&gt;""))&gt;0,'T_SelfStock'!CS62+'T_TTAFStock'!CS62,CR58+'Grid_Incoming'!CS58-'Grid_Requirement'!CS58))</f>
        <v/>
      </c>
      <c r="CT58">
        <f>IF(COUNTIFS(T_StockCount[Part Name],$A58,T_StockCount[WeekIndex],97)&gt;0,SUMIFS(T_StockCount[CountedQty],T_StockCount[Part Name],$A58,T_StockCount[WeekIndex],97),IF((('T_SelfStock'!CT62&lt;&gt;""))*(('T_TTAFStock'!CT62&lt;&gt;""))&gt;0,'T_SelfStock'!CT62+'T_TTAFStock'!CT62,CS58+'Grid_Incoming'!CT58-'Grid_Requirement'!CT58))</f>
        <v/>
      </c>
      <c r="CU58">
        <f>IF(COUNTIFS(T_StockCount[Part Name],$A58,T_StockCount[WeekIndex],98)&gt;0,SUMIFS(T_StockCount[CountedQty],T_StockCount[Part Name],$A58,T_StockCount[WeekIndex],98),IF((('T_SelfStock'!CU62&lt;&gt;""))*(('T_TTAFStock'!CU62&lt;&gt;""))&gt;0,'T_SelfStock'!CU62+'T_TTAFStock'!CU62,CT58+'Grid_Incoming'!CU58-'Grid_Requirement'!CU58))</f>
        <v/>
      </c>
      <c r="CV58">
        <f>IF(COUNTIFS(T_StockCount[Part Name],$A58,T_StockCount[WeekIndex],99)&gt;0,SUMIFS(T_StockCount[CountedQty],T_StockCount[Part Name],$A58,T_StockCount[WeekIndex],99),IF((('T_SelfStock'!CV62&lt;&gt;""))*(('T_TTAFStock'!CV62&lt;&gt;""))&gt;0,'T_SelfStock'!CV62+'T_TTAFStock'!CV62,CU58+'Grid_Incoming'!CV58-'Grid_Requirement'!CV58))</f>
        <v/>
      </c>
      <c r="CW58">
        <f>IF(COUNTIFS(T_StockCount[Part Name],$A58,T_StockCount[WeekIndex],100)&gt;0,SUMIFS(T_StockCount[CountedQty],T_StockCount[Part Name],$A58,T_StockCount[WeekIndex],100),IF((('T_SelfStock'!CW62&lt;&gt;""))*(('T_TTAFStock'!CW62&lt;&gt;""))&gt;0,'T_SelfStock'!CW62+'T_TTAFStock'!CW62,CV58+'Grid_Incoming'!CW58-'Grid_Requirement'!CW58))</f>
        <v/>
      </c>
      <c r="CX58">
        <f>IF(COUNTIFS(T_StockCount[Part Name],$A58,T_StockCount[WeekIndex],101)&gt;0,SUMIFS(T_StockCount[CountedQty],T_StockCount[Part Name],$A58,T_StockCount[WeekIndex],101),IF((('T_SelfStock'!CX62&lt;&gt;""))*(('T_TTAFStock'!CX62&lt;&gt;""))&gt;0,'T_SelfStock'!CX62+'T_TTAFStock'!CX62,CW58+'Grid_Incoming'!CX58-'Grid_Requirement'!CX58))</f>
        <v/>
      </c>
      <c r="CY58">
        <f>IF(COUNTIFS(T_StockCount[Part Name],$A58,T_StockCount[WeekIndex],102)&gt;0,SUMIFS(T_StockCount[CountedQty],T_StockCount[Part Name],$A58,T_StockCount[WeekIndex],102),IF((('T_SelfStock'!CY62&lt;&gt;""))*(('T_TTAFStock'!CY62&lt;&gt;""))&gt;0,'T_SelfStock'!CY62+'T_TTAFStock'!CY62,CX58+'Grid_Incoming'!CY58-'Grid_Requirement'!CY58))</f>
        <v/>
      </c>
      <c r="CZ58">
        <f>IF(COUNTIFS(T_StockCount[Part Name],$A58,T_StockCount[WeekIndex],103)&gt;0,SUMIFS(T_StockCount[CountedQty],T_StockCount[Part Name],$A58,T_StockCount[WeekIndex],103),IF((('T_SelfStock'!CZ62&lt;&gt;""))*(('T_TTAFStock'!CZ62&lt;&gt;""))&gt;0,'T_SelfStock'!CZ62+'T_TTAFStock'!CZ62,CY58+'Grid_Incoming'!CZ58-'Grid_Requirement'!CZ58))</f>
        <v/>
      </c>
      <c r="DA58">
        <f>IF(COUNTIFS(T_StockCount[Part Name],$A58,T_StockCount[WeekIndex],104)&gt;0,SUMIFS(T_StockCount[CountedQty],T_StockCount[Part Name],$A58,T_StockCount[WeekIndex],104),IF((('T_SelfStock'!DA62&lt;&gt;""))*(('T_TTAFStock'!DA62&lt;&gt;""))&gt;0,'T_SelfStock'!DA62+'T_TTAFStock'!DA62,CZ58+'Grid_Incoming'!DA58-'Grid_Requirement'!DA58))</f>
        <v/>
      </c>
    </row>
    <row r="59">
      <c r="A59" t="inlineStr">
        <is>
          <t>CHEM-1560</t>
        </is>
      </c>
      <c r="B59">
        <f>IF(COUNTIFS(T_StockCount[Part Name],$A59,T_StockCount[WeekIndex],1)&gt;0,SUMIFS(T_StockCount[CountedQty],T_StockCount[Part Name],$A59,T_StockCount[WeekIndex],1),IF((('T_SelfStock'!B63&lt;&gt;""))*(('T_TTAFStock'!B63&lt;&gt;""))&gt;0,'T_SelfStock'!B63+'T_TTAFStock'!B63,IFERROR(INDEX(T_OpeningStock[Opening_Qty_要入力],MATCH($A59,T_OpeningStock[Part Name],0)),0)+'Grid_Incoming'!B59-'Grid_Requirement'!B59))</f>
        <v/>
      </c>
      <c r="C59">
        <f>IF(COUNTIFS(T_StockCount[Part Name],$A59,T_StockCount[WeekIndex],2)&gt;0,SUMIFS(T_StockCount[CountedQty],T_StockCount[Part Name],$A59,T_StockCount[WeekIndex],2),IF((('T_SelfStock'!C63&lt;&gt;""))*(('T_TTAFStock'!C63&lt;&gt;""))&gt;0,'T_SelfStock'!C63+'T_TTAFStock'!C63,B59+'Grid_Incoming'!C59-'Grid_Requirement'!C59))</f>
        <v/>
      </c>
      <c r="D59">
        <f>IF(COUNTIFS(T_StockCount[Part Name],$A59,T_StockCount[WeekIndex],3)&gt;0,SUMIFS(T_StockCount[CountedQty],T_StockCount[Part Name],$A59,T_StockCount[WeekIndex],3),IF((('T_SelfStock'!D63&lt;&gt;""))*(('T_TTAFStock'!D63&lt;&gt;""))&gt;0,'T_SelfStock'!D63+'T_TTAFStock'!D63,C59+'Grid_Incoming'!D59-'Grid_Requirement'!D59))</f>
        <v/>
      </c>
      <c r="E59">
        <f>IF(COUNTIFS(T_StockCount[Part Name],$A59,T_StockCount[WeekIndex],4)&gt;0,SUMIFS(T_StockCount[CountedQty],T_StockCount[Part Name],$A59,T_StockCount[WeekIndex],4),IF((('T_SelfStock'!E63&lt;&gt;""))*(('T_TTAFStock'!E63&lt;&gt;""))&gt;0,'T_SelfStock'!E63+'T_TTAFStock'!E63,D59+'Grid_Incoming'!E59-'Grid_Requirement'!E59))</f>
        <v/>
      </c>
      <c r="F59">
        <f>IF(COUNTIFS(T_StockCount[Part Name],$A59,T_StockCount[WeekIndex],5)&gt;0,SUMIFS(T_StockCount[CountedQty],T_StockCount[Part Name],$A59,T_StockCount[WeekIndex],5),IF((('T_SelfStock'!F63&lt;&gt;""))*(('T_TTAFStock'!F63&lt;&gt;""))&gt;0,'T_SelfStock'!F63+'T_TTAFStock'!F63,E59+'Grid_Incoming'!F59-'Grid_Requirement'!F59))</f>
        <v/>
      </c>
      <c r="G59">
        <f>IF(COUNTIFS(T_StockCount[Part Name],$A59,T_StockCount[WeekIndex],6)&gt;0,SUMIFS(T_StockCount[CountedQty],T_StockCount[Part Name],$A59,T_StockCount[WeekIndex],6),IF((('T_SelfStock'!G63&lt;&gt;""))*(('T_TTAFStock'!G63&lt;&gt;""))&gt;0,'T_SelfStock'!G63+'T_TTAFStock'!G63,F59+'Grid_Incoming'!G59-'Grid_Requirement'!G59))</f>
        <v/>
      </c>
      <c r="H59">
        <f>IF(COUNTIFS(T_StockCount[Part Name],$A59,T_StockCount[WeekIndex],7)&gt;0,SUMIFS(T_StockCount[CountedQty],T_StockCount[Part Name],$A59,T_StockCount[WeekIndex],7),IF((('T_SelfStock'!H63&lt;&gt;""))*(('T_TTAFStock'!H63&lt;&gt;""))&gt;0,'T_SelfStock'!H63+'T_TTAFStock'!H63,G59+'Grid_Incoming'!H59-'Grid_Requirement'!H59))</f>
        <v/>
      </c>
      <c r="I59">
        <f>IF(COUNTIFS(T_StockCount[Part Name],$A59,T_StockCount[WeekIndex],8)&gt;0,SUMIFS(T_StockCount[CountedQty],T_StockCount[Part Name],$A59,T_StockCount[WeekIndex],8),IF((('T_SelfStock'!I63&lt;&gt;""))*(('T_TTAFStock'!I63&lt;&gt;""))&gt;0,'T_SelfStock'!I63+'T_TTAFStock'!I63,H59+'Grid_Incoming'!I59-'Grid_Requirement'!I59))</f>
        <v/>
      </c>
      <c r="J59">
        <f>IF(COUNTIFS(T_StockCount[Part Name],$A59,T_StockCount[WeekIndex],9)&gt;0,SUMIFS(T_StockCount[CountedQty],T_StockCount[Part Name],$A59,T_StockCount[WeekIndex],9),IF((('T_SelfStock'!J63&lt;&gt;""))*(('T_TTAFStock'!J63&lt;&gt;""))&gt;0,'T_SelfStock'!J63+'T_TTAFStock'!J63,I59+'Grid_Incoming'!J59-'Grid_Requirement'!J59))</f>
        <v/>
      </c>
      <c r="K59">
        <f>IF(COUNTIFS(T_StockCount[Part Name],$A59,T_StockCount[WeekIndex],10)&gt;0,SUMIFS(T_StockCount[CountedQty],T_StockCount[Part Name],$A59,T_StockCount[WeekIndex],10),IF((('T_SelfStock'!K63&lt;&gt;""))*(('T_TTAFStock'!K63&lt;&gt;""))&gt;0,'T_SelfStock'!K63+'T_TTAFStock'!K63,J59+'Grid_Incoming'!K59-'Grid_Requirement'!K59))</f>
        <v/>
      </c>
      <c r="L59">
        <f>IF(COUNTIFS(T_StockCount[Part Name],$A59,T_StockCount[WeekIndex],11)&gt;0,SUMIFS(T_StockCount[CountedQty],T_StockCount[Part Name],$A59,T_StockCount[WeekIndex],11),IF((('T_SelfStock'!L63&lt;&gt;""))*(('T_TTAFStock'!L63&lt;&gt;""))&gt;0,'T_SelfStock'!L63+'T_TTAFStock'!L63,K59+'Grid_Incoming'!L59-'Grid_Requirement'!L59))</f>
        <v/>
      </c>
      <c r="M59">
        <f>IF(COUNTIFS(T_StockCount[Part Name],$A59,T_StockCount[WeekIndex],12)&gt;0,SUMIFS(T_StockCount[CountedQty],T_StockCount[Part Name],$A59,T_StockCount[WeekIndex],12),IF((('T_SelfStock'!M63&lt;&gt;""))*(('T_TTAFStock'!M63&lt;&gt;""))&gt;0,'T_SelfStock'!M63+'T_TTAFStock'!M63,L59+'Grid_Incoming'!M59-'Grid_Requirement'!M59))</f>
        <v/>
      </c>
      <c r="N59">
        <f>IF(COUNTIFS(T_StockCount[Part Name],$A59,T_StockCount[WeekIndex],13)&gt;0,SUMIFS(T_StockCount[CountedQty],T_StockCount[Part Name],$A59,T_StockCount[WeekIndex],13),IF((('T_SelfStock'!N63&lt;&gt;""))*(('T_TTAFStock'!N63&lt;&gt;""))&gt;0,'T_SelfStock'!N63+'T_TTAFStock'!N63,M59+'Grid_Incoming'!N59-'Grid_Requirement'!N59))</f>
        <v/>
      </c>
      <c r="O59">
        <f>IF(COUNTIFS(T_StockCount[Part Name],$A59,T_StockCount[WeekIndex],14)&gt;0,SUMIFS(T_StockCount[CountedQty],T_StockCount[Part Name],$A59,T_StockCount[WeekIndex],14),IF((('T_SelfStock'!O63&lt;&gt;""))*(('T_TTAFStock'!O63&lt;&gt;""))&gt;0,'T_SelfStock'!O63+'T_TTAFStock'!O63,N59+'Grid_Incoming'!O59-'Grid_Requirement'!O59))</f>
        <v/>
      </c>
      <c r="P59">
        <f>IF(COUNTIFS(T_StockCount[Part Name],$A59,T_StockCount[WeekIndex],15)&gt;0,SUMIFS(T_StockCount[CountedQty],T_StockCount[Part Name],$A59,T_StockCount[WeekIndex],15),IF((('T_SelfStock'!P63&lt;&gt;""))*(('T_TTAFStock'!P63&lt;&gt;""))&gt;0,'T_SelfStock'!P63+'T_TTAFStock'!P63,O59+'Grid_Incoming'!P59-'Grid_Requirement'!P59))</f>
        <v/>
      </c>
      <c r="Q59">
        <f>IF(COUNTIFS(T_StockCount[Part Name],$A59,T_StockCount[WeekIndex],16)&gt;0,SUMIFS(T_StockCount[CountedQty],T_StockCount[Part Name],$A59,T_StockCount[WeekIndex],16),IF((('T_SelfStock'!Q63&lt;&gt;""))*(('T_TTAFStock'!Q63&lt;&gt;""))&gt;0,'T_SelfStock'!Q63+'T_TTAFStock'!Q63,P59+'Grid_Incoming'!Q59-'Grid_Requirement'!Q59))</f>
        <v/>
      </c>
      <c r="R59">
        <f>IF(COUNTIFS(T_StockCount[Part Name],$A59,T_StockCount[WeekIndex],17)&gt;0,SUMIFS(T_StockCount[CountedQty],T_StockCount[Part Name],$A59,T_StockCount[WeekIndex],17),IF((('T_SelfStock'!R63&lt;&gt;""))*(('T_TTAFStock'!R63&lt;&gt;""))&gt;0,'T_SelfStock'!R63+'T_TTAFStock'!R63,Q59+'Grid_Incoming'!R59-'Grid_Requirement'!R59))</f>
        <v/>
      </c>
      <c r="S59">
        <f>IF(COUNTIFS(T_StockCount[Part Name],$A59,T_StockCount[WeekIndex],18)&gt;0,SUMIFS(T_StockCount[CountedQty],T_StockCount[Part Name],$A59,T_StockCount[WeekIndex],18),IF((('T_SelfStock'!S63&lt;&gt;""))*(('T_TTAFStock'!S63&lt;&gt;""))&gt;0,'T_SelfStock'!S63+'T_TTAFStock'!S63,R59+'Grid_Incoming'!S59-'Grid_Requirement'!S59))</f>
        <v/>
      </c>
      <c r="T59">
        <f>IF(COUNTIFS(T_StockCount[Part Name],$A59,T_StockCount[WeekIndex],19)&gt;0,SUMIFS(T_StockCount[CountedQty],T_StockCount[Part Name],$A59,T_StockCount[WeekIndex],19),IF((('T_SelfStock'!T63&lt;&gt;""))*(('T_TTAFStock'!T63&lt;&gt;""))&gt;0,'T_SelfStock'!T63+'T_TTAFStock'!T63,S59+'Grid_Incoming'!T59-'Grid_Requirement'!T59))</f>
        <v/>
      </c>
      <c r="U59">
        <f>IF(COUNTIFS(T_StockCount[Part Name],$A59,T_StockCount[WeekIndex],20)&gt;0,SUMIFS(T_StockCount[CountedQty],T_StockCount[Part Name],$A59,T_StockCount[WeekIndex],20),IF((('T_SelfStock'!U63&lt;&gt;""))*(('T_TTAFStock'!U63&lt;&gt;""))&gt;0,'T_SelfStock'!U63+'T_TTAFStock'!U63,T59+'Grid_Incoming'!U59-'Grid_Requirement'!U59))</f>
        <v/>
      </c>
      <c r="V59">
        <f>IF(COUNTIFS(T_StockCount[Part Name],$A59,T_StockCount[WeekIndex],21)&gt;0,SUMIFS(T_StockCount[CountedQty],T_StockCount[Part Name],$A59,T_StockCount[WeekIndex],21),IF((('T_SelfStock'!V63&lt;&gt;""))*(('T_TTAFStock'!V63&lt;&gt;""))&gt;0,'T_SelfStock'!V63+'T_TTAFStock'!V63,U59+'Grid_Incoming'!V59-'Grid_Requirement'!V59))</f>
        <v/>
      </c>
      <c r="W59">
        <f>IF(COUNTIFS(T_StockCount[Part Name],$A59,T_StockCount[WeekIndex],22)&gt;0,SUMIFS(T_StockCount[CountedQty],T_StockCount[Part Name],$A59,T_StockCount[WeekIndex],22),IF((('T_SelfStock'!W63&lt;&gt;""))*(('T_TTAFStock'!W63&lt;&gt;""))&gt;0,'T_SelfStock'!W63+'T_TTAFStock'!W63,V59+'Grid_Incoming'!W59-'Grid_Requirement'!W59))</f>
        <v/>
      </c>
      <c r="X59">
        <f>IF(COUNTIFS(T_StockCount[Part Name],$A59,T_StockCount[WeekIndex],23)&gt;0,SUMIFS(T_StockCount[CountedQty],T_StockCount[Part Name],$A59,T_StockCount[WeekIndex],23),IF((('T_SelfStock'!X63&lt;&gt;""))*(('T_TTAFStock'!X63&lt;&gt;""))&gt;0,'T_SelfStock'!X63+'T_TTAFStock'!X63,W59+'Grid_Incoming'!X59-'Grid_Requirement'!X59))</f>
        <v/>
      </c>
      <c r="Y59">
        <f>IF(COUNTIFS(T_StockCount[Part Name],$A59,T_StockCount[WeekIndex],24)&gt;0,SUMIFS(T_StockCount[CountedQty],T_StockCount[Part Name],$A59,T_StockCount[WeekIndex],24),IF((('T_SelfStock'!Y63&lt;&gt;""))*(('T_TTAFStock'!Y63&lt;&gt;""))&gt;0,'T_SelfStock'!Y63+'T_TTAFStock'!Y63,X59+'Grid_Incoming'!Y59-'Grid_Requirement'!Y59))</f>
        <v/>
      </c>
      <c r="Z59">
        <f>IF(COUNTIFS(T_StockCount[Part Name],$A59,T_StockCount[WeekIndex],25)&gt;0,SUMIFS(T_StockCount[CountedQty],T_StockCount[Part Name],$A59,T_StockCount[WeekIndex],25),IF((('T_SelfStock'!Z63&lt;&gt;""))*(('T_TTAFStock'!Z63&lt;&gt;""))&gt;0,'T_SelfStock'!Z63+'T_TTAFStock'!Z63,Y59+'Grid_Incoming'!Z59-'Grid_Requirement'!Z59))</f>
        <v/>
      </c>
      <c r="AA59">
        <f>IF(COUNTIFS(T_StockCount[Part Name],$A59,T_StockCount[WeekIndex],26)&gt;0,SUMIFS(T_StockCount[CountedQty],T_StockCount[Part Name],$A59,T_StockCount[WeekIndex],26),IF((('T_SelfStock'!AA63&lt;&gt;""))*(('T_TTAFStock'!AA63&lt;&gt;""))&gt;0,'T_SelfStock'!AA63+'T_TTAFStock'!AA63,Z59+'Grid_Incoming'!AA59-'Grid_Requirement'!AA59))</f>
        <v/>
      </c>
      <c r="AB59">
        <f>IF(COUNTIFS(T_StockCount[Part Name],$A59,T_StockCount[WeekIndex],27)&gt;0,SUMIFS(T_StockCount[CountedQty],T_StockCount[Part Name],$A59,T_StockCount[WeekIndex],27),IF((('T_SelfStock'!AB63&lt;&gt;""))*(('T_TTAFStock'!AB63&lt;&gt;""))&gt;0,'T_SelfStock'!AB63+'T_TTAFStock'!AB63,AA59+'Grid_Incoming'!AB59-'Grid_Requirement'!AB59))</f>
        <v/>
      </c>
      <c r="AC59">
        <f>IF(COUNTIFS(T_StockCount[Part Name],$A59,T_StockCount[WeekIndex],28)&gt;0,SUMIFS(T_StockCount[CountedQty],T_StockCount[Part Name],$A59,T_StockCount[WeekIndex],28),IF((('T_SelfStock'!AC63&lt;&gt;""))*(('T_TTAFStock'!AC63&lt;&gt;""))&gt;0,'T_SelfStock'!AC63+'T_TTAFStock'!AC63,AB59+'Grid_Incoming'!AC59-'Grid_Requirement'!AC59))</f>
        <v/>
      </c>
      <c r="AD59">
        <f>IF(COUNTIFS(T_StockCount[Part Name],$A59,T_StockCount[WeekIndex],29)&gt;0,SUMIFS(T_StockCount[CountedQty],T_StockCount[Part Name],$A59,T_StockCount[WeekIndex],29),IF((('T_SelfStock'!AD63&lt;&gt;""))*(('T_TTAFStock'!AD63&lt;&gt;""))&gt;0,'T_SelfStock'!AD63+'T_TTAFStock'!AD63,AC59+'Grid_Incoming'!AD59-'Grid_Requirement'!AD59))</f>
        <v/>
      </c>
      <c r="AE59">
        <f>IF(COUNTIFS(T_StockCount[Part Name],$A59,T_StockCount[WeekIndex],30)&gt;0,SUMIFS(T_StockCount[CountedQty],T_StockCount[Part Name],$A59,T_StockCount[WeekIndex],30),IF((('T_SelfStock'!AE63&lt;&gt;""))*(('T_TTAFStock'!AE63&lt;&gt;""))&gt;0,'T_SelfStock'!AE63+'T_TTAFStock'!AE63,AD59+'Grid_Incoming'!AE59-'Grid_Requirement'!AE59))</f>
        <v/>
      </c>
      <c r="AF59">
        <f>IF(COUNTIFS(T_StockCount[Part Name],$A59,T_StockCount[WeekIndex],31)&gt;0,SUMIFS(T_StockCount[CountedQty],T_StockCount[Part Name],$A59,T_StockCount[WeekIndex],31),IF((('T_SelfStock'!AF63&lt;&gt;""))*(('T_TTAFStock'!AF63&lt;&gt;""))&gt;0,'T_SelfStock'!AF63+'T_TTAFStock'!AF63,AE59+'Grid_Incoming'!AF59-'Grid_Requirement'!AF59))</f>
        <v/>
      </c>
      <c r="AG59">
        <f>IF(COUNTIFS(T_StockCount[Part Name],$A59,T_StockCount[WeekIndex],32)&gt;0,SUMIFS(T_StockCount[CountedQty],T_StockCount[Part Name],$A59,T_StockCount[WeekIndex],32),IF((('T_SelfStock'!AG63&lt;&gt;""))*(('T_TTAFStock'!AG63&lt;&gt;""))&gt;0,'T_SelfStock'!AG63+'T_TTAFStock'!AG63,AF59+'Grid_Incoming'!AG59-'Grid_Requirement'!AG59))</f>
        <v/>
      </c>
      <c r="AH59">
        <f>IF(COUNTIFS(T_StockCount[Part Name],$A59,T_StockCount[WeekIndex],33)&gt;0,SUMIFS(T_StockCount[CountedQty],T_StockCount[Part Name],$A59,T_StockCount[WeekIndex],33),IF((('T_SelfStock'!AH63&lt;&gt;""))*(('T_TTAFStock'!AH63&lt;&gt;""))&gt;0,'T_SelfStock'!AH63+'T_TTAFStock'!AH63,AG59+'Grid_Incoming'!AH59-'Grid_Requirement'!AH59))</f>
        <v/>
      </c>
      <c r="AI59">
        <f>IF(COUNTIFS(T_StockCount[Part Name],$A59,T_StockCount[WeekIndex],34)&gt;0,SUMIFS(T_StockCount[CountedQty],T_StockCount[Part Name],$A59,T_StockCount[WeekIndex],34),IF((('T_SelfStock'!AI63&lt;&gt;""))*(('T_TTAFStock'!AI63&lt;&gt;""))&gt;0,'T_SelfStock'!AI63+'T_TTAFStock'!AI63,AH59+'Grid_Incoming'!AI59-'Grid_Requirement'!AI59))</f>
        <v/>
      </c>
      <c r="AJ59">
        <f>IF(COUNTIFS(T_StockCount[Part Name],$A59,T_StockCount[WeekIndex],35)&gt;0,SUMIFS(T_StockCount[CountedQty],T_StockCount[Part Name],$A59,T_StockCount[WeekIndex],35),IF((('T_SelfStock'!AJ63&lt;&gt;""))*(('T_TTAFStock'!AJ63&lt;&gt;""))&gt;0,'T_SelfStock'!AJ63+'T_TTAFStock'!AJ63,AI59+'Grid_Incoming'!AJ59-'Grid_Requirement'!AJ59))</f>
        <v/>
      </c>
      <c r="AK59">
        <f>IF(COUNTIFS(T_StockCount[Part Name],$A59,T_StockCount[WeekIndex],36)&gt;0,SUMIFS(T_StockCount[CountedQty],T_StockCount[Part Name],$A59,T_StockCount[WeekIndex],36),IF((('T_SelfStock'!AK63&lt;&gt;""))*(('T_TTAFStock'!AK63&lt;&gt;""))&gt;0,'T_SelfStock'!AK63+'T_TTAFStock'!AK63,AJ59+'Grid_Incoming'!AK59-'Grid_Requirement'!AK59))</f>
        <v/>
      </c>
      <c r="AL59">
        <f>IF(COUNTIFS(T_StockCount[Part Name],$A59,T_StockCount[WeekIndex],37)&gt;0,SUMIFS(T_StockCount[CountedQty],T_StockCount[Part Name],$A59,T_StockCount[WeekIndex],37),IF((('T_SelfStock'!AL63&lt;&gt;""))*(('T_TTAFStock'!AL63&lt;&gt;""))&gt;0,'T_SelfStock'!AL63+'T_TTAFStock'!AL63,AK59+'Grid_Incoming'!AL59-'Grid_Requirement'!AL59))</f>
        <v/>
      </c>
      <c r="AM59">
        <f>IF(COUNTIFS(T_StockCount[Part Name],$A59,T_StockCount[WeekIndex],38)&gt;0,SUMIFS(T_StockCount[CountedQty],T_StockCount[Part Name],$A59,T_StockCount[WeekIndex],38),IF((('T_SelfStock'!AM63&lt;&gt;""))*(('T_TTAFStock'!AM63&lt;&gt;""))&gt;0,'T_SelfStock'!AM63+'T_TTAFStock'!AM63,AL59+'Grid_Incoming'!AM59-'Grid_Requirement'!AM59))</f>
        <v/>
      </c>
      <c r="AN59">
        <f>IF(COUNTIFS(T_StockCount[Part Name],$A59,T_StockCount[WeekIndex],39)&gt;0,SUMIFS(T_StockCount[CountedQty],T_StockCount[Part Name],$A59,T_StockCount[WeekIndex],39),IF((('T_SelfStock'!AN63&lt;&gt;""))*(('T_TTAFStock'!AN63&lt;&gt;""))&gt;0,'T_SelfStock'!AN63+'T_TTAFStock'!AN63,AM59+'Grid_Incoming'!AN59-'Grid_Requirement'!AN59))</f>
        <v/>
      </c>
      <c r="AO59">
        <f>IF(COUNTIFS(T_StockCount[Part Name],$A59,T_StockCount[WeekIndex],40)&gt;0,SUMIFS(T_StockCount[CountedQty],T_StockCount[Part Name],$A59,T_StockCount[WeekIndex],40),IF((('T_SelfStock'!AO63&lt;&gt;""))*(('T_TTAFStock'!AO63&lt;&gt;""))&gt;0,'T_SelfStock'!AO63+'T_TTAFStock'!AO63,AN59+'Grid_Incoming'!AO59-'Grid_Requirement'!AO59))</f>
        <v/>
      </c>
      <c r="AP59">
        <f>IF(COUNTIFS(T_StockCount[Part Name],$A59,T_StockCount[WeekIndex],41)&gt;0,SUMIFS(T_StockCount[CountedQty],T_StockCount[Part Name],$A59,T_StockCount[WeekIndex],41),IF((('T_SelfStock'!AP63&lt;&gt;""))*(('T_TTAFStock'!AP63&lt;&gt;""))&gt;0,'T_SelfStock'!AP63+'T_TTAFStock'!AP63,AO59+'Grid_Incoming'!AP59-'Grid_Requirement'!AP59))</f>
        <v/>
      </c>
      <c r="AQ59">
        <f>IF(COUNTIFS(T_StockCount[Part Name],$A59,T_StockCount[WeekIndex],42)&gt;0,SUMIFS(T_StockCount[CountedQty],T_StockCount[Part Name],$A59,T_StockCount[WeekIndex],42),IF((('T_SelfStock'!AQ63&lt;&gt;""))*(('T_TTAFStock'!AQ63&lt;&gt;""))&gt;0,'T_SelfStock'!AQ63+'T_TTAFStock'!AQ63,AP59+'Grid_Incoming'!AQ59-'Grid_Requirement'!AQ59))</f>
        <v/>
      </c>
      <c r="AR59">
        <f>IF(COUNTIFS(T_StockCount[Part Name],$A59,T_StockCount[WeekIndex],43)&gt;0,SUMIFS(T_StockCount[CountedQty],T_StockCount[Part Name],$A59,T_StockCount[WeekIndex],43),IF((('T_SelfStock'!AR63&lt;&gt;""))*(('T_TTAFStock'!AR63&lt;&gt;""))&gt;0,'T_SelfStock'!AR63+'T_TTAFStock'!AR63,AQ59+'Grid_Incoming'!AR59-'Grid_Requirement'!AR59))</f>
        <v/>
      </c>
      <c r="AS59">
        <f>IF(COUNTIFS(T_StockCount[Part Name],$A59,T_StockCount[WeekIndex],44)&gt;0,SUMIFS(T_StockCount[CountedQty],T_StockCount[Part Name],$A59,T_StockCount[WeekIndex],44),IF((('T_SelfStock'!AS63&lt;&gt;""))*(('T_TTAFStock'!AS63&lt;&gt;""))&gt;0,'T_SelfStock'!AS63+'T_TTAFStock'!AS63,AR59+'Grid_Incoming'!AS59-'Grid_Requirement'!AS59))</f>
        <v/>
      </c>
      <c r="AT59">
        <f>IF(COUNTIFS(T_StockCount[Part Name],$A59,T_StockCount[WeekIndex],45)&gt;0,SUMIFS(T_StockCount[CountedQty],T_StockCount[Part Name],$A59,T_StockCount[WeekIndex],45),IF((('T_SelfStock'!AT63&lt;&gt;""))*(('T_TTAFStock'!AT63&lt;&gt;""))&gt;0,'T_SelfStock'!AT63+'T_TTAFStock'!AT63,AS59+'Grid_Incoming'!AT59-'Grid_Requirement'!AT59))</f>
        <v/>
      </c>
      <c r="AU59">
        <f>IF(COUNTIFS(T_StockCount[Part Name],$A59,T_StockCount[WeekIndex],46)&gt;0,SUMIFS(T_StockCount[CountedQty],T_StockCount[Part Name],$A59,T_StockCount[WeekIndex],46),IF((('T_SelfStock'!AU63&lt;&gt;""))*(('T_TTAFStock'!AU63&lt;&gt;""))&gt;0,'T_SelfStock'!AU63+'T_TTAFStock'!AU63,AT59+'Grid_Incoming'!AU59-'Grid_Requirement'!AU59))</f>
        <v/>
      </c>
      <c r="AV59">
        <f>IF(COUNTIFS(T_StockCount[Part Name],$A59,T_StockCount[WeekIndex],47)&gt;0,SUMIFS(T_StockCount[CountedQty],T_StockCount[Part Name],$A59,T_StockCount[WeekIndex],47),IF((('T_SelfStock'!AV63&lt;&gt;""))*(('T_TTAFStock'!AV63&lt;&gt;""))&gt;0,'T_SelfStock'!AV63+'T_TTAFStock'!AV63,AU59+'Grid_Incoming'!AV59-'Grid_Requirement'!AV59))</f>
        <v/>
      </c>
      <c r="AW59">
        <f>IF(COUNTIFS(T_StockCount[Part Name],$A59,T_StockCount[WeekIndex],48)&gt;0,SUMIFS(T_StockCount[CountedQty],T_StockCount[Part Name],$A59,T_StockCount[WeekIndex],48),IF((('T_SelfStock'!AW63&lt;&gt;""))*(('T_TTAFStock'!AW63&lt;&gt;""))&gt;0,'T_SelfStock'!AW63+'T_TTAFStock'!AW63,AV59+'Grid_Incoming'!AW59-'Grid_Requirement'!AW59))</f>
        <v/>
      </c>
      <c r="AX59">
        <f>IF(COUNTIFS(T_StockCount[Part Name],$A59,T_StockCount[WeekIndex],49)&gt;0,SUMIFS(T_StockCount[CountedQty],T_StockCount[Part Name],$A59,T_StockCount[WeekIndex],49),IF((('T_SelfStock'!AX63&lt;&gt;""))*(('T_TTAFStock'!AX63&lt;&gt;""))&gt;0,'T_SelfStock'!AX63+'T_TTAFStock'!AX63,AW59+'Grid_Incoming'!AX59-'Grid_Requirement'!AX59))</f>
        <v/>
      </c>
      <c r="AY59">
        <f>IF(COUNTIFS(T_StockCount[Part Name],$A59,T_StockCount[WeekIndex],50)&gt;0,SUMIFS(T_StockCount[CountedQty],T_StockCount[Part Name],$A59,T_StockCount[WeekIndex],50),IF((('T_SelfStock'!AY63&lt;&gt;""))*(('T_TTAFStock'!AY63&lt;&gt;""))&gt;0,'T_SelfStock'!AY63+'T_TTAFStock'!AY63,AX59+'Grid_Incoming'!AY59-'Grid_Requirement'!AY59))</f>
        <v/>
      </c>
      <c r="AZ59">
        <f>IF(COUNTIFS(T_StockCount[Part Name],$A59,T_StockCount[WeekIndex],51)&gt;0,SUMIFS(T_StockCount[CountedQty],T_StockCount[Part Name],$A59,T_StockCount[WeekIndex],51),IF((('T_SelfStock'!AZ63&lt;&gt;""))*(('T_TTAFStock'!AZ63&lt;&gt;""))&gt;0,'T_SelfStock'!AZ63+'T_TTAFStock'!AZ63,AY59+'Grid_Incoming'!AZ59-'Grid_Requirement'!AZ59))</f>
        <v/>
      </c>
      <c r="BA59">
        <f>IF(COUNTIFS(T_StockCount[Part Name],$A59,T_StockCount[WeekIndex],52)&gt;0,SUMIFS(T_StockCount[CountedQty],T_StockCount[Part Name],$A59,T_StockCount[WeekIndex],52),IF((('T_SelfStock'!BA63&lt;&gt;""))*(('T_TTAFStock'!BA63&lt;&gt;""))&gt;0,'T_SelfStock'!BA63+'T_TTAFStock'!BA63,AZ59+'Grid_Incoming'!BA59-'Grid_Requirement'!BA59))</f>
        <v/>
      </c>
      <c r="BB59">
        <f>IF(COUNTIFS(T_StockCount[Part Name],$A59,T_StockCount[WeekIndex],53)&gt;0,SUMIFS(T_StockCount[CountedQty],T_StockCount[Part Name],$A59,T_StockCount[WeekIndex],53),IF((('T_SelfStock'!BB63&lt;&gt;""))*(('T_TTAFStock'!BB63&lt;&gt;""))&gt;0,'T_SelfStock'!BB63+'T_TTAFStock'!BB63,BA59+'Grid_Incoming'!BB59-'Grid_Requirement'!BB59))</f>
        <v/>
      </c>
      <c r="BC59">
        <f>IF(COUNTIFS(T_StockCount[Part Name],$A59,T_StockCount[WeekIndex],54)&gt;0,SUMIFS(T_StockCount[CountedQty],T_StockCount[Part Name],$A59,T_StockCount[WeekIndex],54),IF((('T_SelfStock'!BC63&lt;&gt;""))*(('T_TTAFStock'!BC63&lt;&gt;""))&gt;0,'T_SelfStock'!BC63+'T_TTAFStock'!BC63,BB59+'Grid_Incoming'!BC59-'Grid_Requirement'!BC59))</f>
        <v/>
      </c>
      <c r="BD59">
        <f>IF(COUNTIFS(T_StockCount[Part Name],$A59,T_StockCount[WeekIndex],55)&gt;0,SUMIFS(T_StockCount[CountedQty],T_StockCount[Part Name],$A59,T_StockCount[WeekIndex],55),IF((('T_SelfStock'!BD63&lt;&gt;""))*(('T_TTAFStock'!BD63&lt;&gt;""))&gt;0,'T_SelfStock'!BD63+'T_TTAFStock'!BD63,BC59+'Grid_Incoming'!BD59-'Grid_Requirement'!BD59))</f>
        <v/>
      </c>
      <c r="BE59">
        <f>IF(COUNTIFS(T_StockCount[Part Name],$A59,T_StockCount[WeekIndex],56)&gt;0,SUMIFS(T_StockCount[CountedQty],T_StockCount[Part Name],$A59,T_StockCount[WeekIndex],56),IF((('T_SelfStock'!BE63&lt;&gt;""))*(('T_TTAFStock'!BE63&lt;&gt;""))&gt;0,'T_SelfStock'!BE63+'T_TTAFStock'!BE63,BD59+'Grid_Incoming'!BE59-'Grid_Requirement'!BE59))</f>
        <v/>
      </c>
      <c r="BF59">
        <f>IF(COUNTIFS(T_StockCount[Part Name],$A59,T_StockCount[WeekIndex],57)&gt;0,SUMIFS(T_StockCount[CountedQty],T_StockCount[Part Name],$A59,T_StockCount[WeekIndex],57),IF((('T_SelfStock'!BF63&lt;&gt;""))*(('T_TTAFStock'!BF63&lt;&gt;""))&gt;0,'T_SelfStock'!BF63+'T_TTAFStock'!BF63,BE59+'Grid_Incoming'!BF59-'Grid_Requirement'!BF59))</f>
        <v/>
      </c>
      <c r="BG59">
        <f>IF(COUNTIFS(T_StockCount[Part Name],$A59,T_StockCount[WeekIndex],58)&gt;0,SUMIFS(T_StockCount[CountedQty],T_StockCount[Part Name],$A59,T_StockCount[WeekIndex],58),IF((('T_SelfStock'!BG63&lt;&gt;""))*(('T_TTAFStock'!BG63&lt;&gt;""))&gt;0,'T_SelfStock'!BG63+'T_TTAFStock'!BG63,BF59+'Grid_Incoming'!BG59-'Grid_Requirement'!BG59))</f>
        <v/>
      </c>
      <c r="BH59">
        <f>IF(COUNTIFS(T_StockCount[Part Name],$A59,T_StockCount[WeekIndex],59)&gt;0,SUMIFS(T_StockCount[CountedQty],T_StockCount[Part Name],$A59,T_StockCount[WeekIndex],59),IF((('T_SelfStock'!BH63&lt;&gt;""))*(('T_TTAFStock'!BH63&lt;&gt;""))&gt;0,'T_SelfStock'!BH63+'T_TTAFStock'!BH63,BG59+'Grid_Incoming'!BH59-'Grid_Requirement'!BH59))</f>
        <v/>
      </c>
      <c r="BI59">
        <f>IF(COUNTIFS(T_StockCount[Part Name],$A59,T_StockCount[WeekIndex],60)&gt;0,SUMIFS(T_StockCount[CountedQty],T_StockCount[Part Name],$A59,T_StockCount[WeekIndex],60),IF((('T_SelfStock'!BI63&lt;&gt;""))*(('T_TTAFStock'!BI63&lt;&gt;""))&gt;0,'T_SelfStock'!BI63+'T_TTAFStock'!BI63,BH59+'Grid_Incoming'!BI59-'Grid_Requirement'!BI59))</f>
        <v/>
      </c>
      <c r="BJ59">
        <f>IF(COUNTIFS(T_StockCount[Part Name],$A59,T_StockCount[WeekIndex],61)&gt;0,SUMIFS(T_StockCount[CountedQty],T_StockCount[Part Name],$A59,T_StockCount[WeekIndex],61),IF((('T_SelfStock'!BJ63&lt;&gt;""))*(('T_TTAFStock'!BJ63&lt;&gt;""))&gt;0,'T_SelfStock'!BJ63+'T_TTAFStock'!BJ63,BI59+'Grid_Incoming'!BJ59-'Grid_Requirement'!BJ59))</f>
        <v/>
      </c>
      <c r="BK59">
        <f>IF(COUNTIFS(T_StockCount[Part Name],$A59,T_StockCount[WeekIndex],62)&gt;0,SUMIFS(T_StockCount[CountedQty],T_StockCount[Part Name],$A59,T_StockCount[WeekIndex],62),IF((('T_SelfStock'!BK63&lt;&gt;""))*(('T_TTAFStock'!BK63&lt;&gt;""))&gt;0,'T_SelfStock'!BK63+'T_TTAFStock'!BK63,BJ59+'Grid_Incoming'!BK59-'Grid_Requirement'!BK59))</f>
        <v/>
      </c>
      <c r="BL59">
        <f>IF(COUNTIFS(T_StockCount[Part Name],$A59,T_StockCount[WeekIndex],63)&gt;0,SUMIFS(T_StockCount[CountedQty],T_StockCount[Part Name],$A59,T_StockCount[WeekIndex],63),IF((('T_SelfStock'!BL63&lt;&gt;""))*(('T_TTAFStock'!BL63&lt;&gt;""))&gt;0,'T_SelfStock'!BL63+'T_TTAFStock'!BL63,BK59+'Grid_Incoming'!BL59-'Grid_Requirement'!BL59))</f>
        <v/>
      </c>
      <c r="BM59">
        <f>IF(COUNTIFS(T_StockCount[Part Name],$A59,T_StockCount[WeekIndex],64)&gt;0,SUMIFS(T_StockCount[CountedQty],T_StockCount[Part Name],$A59,T_StockCount[WeekIndex],64),IF((('T_SelfStock'!BM63&lt;&gt;""))*(('T_TTAFStock'!BM63&lt;&gt;""))&gt;0,'T_SelfStock'!BM63+'T_TTAFStock'!BM63,BL59+'Grid_Incoming'!BM59-'Grid_Requirement'!BM59))</f>
        <v/>
      </c>
      <c r="BN59">
        <f>IF(COUNTIFS(T_StockCount[Part Name],$A59,T_StockCount[WeekIndex],65)&gt;0,SUMIFS(T_StockCount[CountedQty],T_StockCount[Part Name],$A59,T_StockCount[WeekIndex],65),IF((('T_SelfStock'!BN63&lt;&gt;""))*(('T_TTAFStock'!BN63&lt;&gt;""))&gt;0,'T_SelfStock'!BN63+'T_TTAFStock'!BN63,BM59+'Grid_Incoming'!BN59-'Grid_Requirement'!BN59))</f>
        <v/>
      </c>
      <c r="BO59">
        <f>IF(COUNTIFS(T_StockCount[Part Name],$A59,T_StockCount[WeekIndex],66)&gt;0,SUMIFS(T_StockCount[CountedQty],T_StockCount[Part Name],$A59,T_StockCount[WeekIndex],66),IF((('T_SelfStock'!BO63&lt;&gt;""))*(('T_TTAFStock'!BO63&lt;&gt;""))&gt;0,'T_SelfStock'!BO63+'T_TTAFStock'!BO63,BN59+'Grid_Incoming'!BO59-'Grid_Requirement'!BO59))</f>
        <v/>
      </c>
      <c r="BP59">
        <f>IF(COUNTIFS(T_StockCount[Part Name],$A59,T_StockCount[WeekIndex],67)&gt;0,SUMIFS(T_StockCount[CountedQty],T_StockCount[Part Name],$A59,T_StockCount[WeekIndex],67),IF((('T_SelfStock'!BP63&lt;&gt;""))*(('T_TTAFStock'!BP63&lt;&gt;""))&gt;0,'T_SelfStock'!BP63+'T_TTAFStock'!BP63,BO59+'Grid_Incoming'!BP59-'Grid_Requirement'!BP59))</f>
        <v/>
      </c>
      <c r="BQ59">
        <f>IF(COUNTIFS(T_StockCount[Part Name],$A59,T_StockCount[WeekIndex],68)&gt;0,SUMIFS(T_StockCount[CountedQty],T_StockCount[Part Name],$A59,T_StockCount[WeekIndex],68),IF((('T_SelfStock'!BQ63&lt;&gt;""))*(('T_TTAFStock'!BQ63&lt;&gt;""))&gt;0,'T_SelfStock'!BQ63+'T_TTAFStock'!BQ63,BP59+'Grid_Incoming'!BQ59-'Grid_Requirement'!BQ59))</f>
        <v/>
      </c>
      <c r="BR59">
        <f>IF(COUNTIFS(T_StockCount[Part Name],$A59,T_StockCount[WeekIndex],69)&gt;0,SUMIFS(T_StockCount[CountedQty],T_StockCount[Part Name],$A59,T_StockCount[WeekIndex],69),IF((('T_SelfStock'!BR63&lt;&gt;""))*(('T_TTAFStock'!BR63&lt;&gt;""))&gt;0,'T_SelfStock'!BR63+'T_TTAFStock'!BR63,BQ59+'Grid_Incoming'!BR59-'Grid_Requirement'!BR59))</f>
        <v/>
      </c>
      <c r="BS59">
        <f>IF(COUNTIFS(T_StockCount[Part Name],$A59,T_StockCount[WeekIndex],70)&gt;0,SUMIFS(T_StockCount[CountedQty],T_StockCount[Part Name],$A59,T_StockCount[WeekIndex],70),IF((('T_SelfStock'!BS63&lt;&gt;""))*(('T_TTAFStock'!BS63&lt;&gt;""))&gt;0,'T_SelfStock'!BS63+'T_TTAFStock'!BS63,BR59+'Grid_Incoming'!BS59-'Grid_Requirement'!BS59))</f>
        <v/>
      </c>
      <c r="BT59">
        <f>IF(COUNTIFS(T_StockCount[Part Name],$A59,T_StockCount[WeekIndex],71)&gt;0,SUMIFS(T_StockCount[CountedQty],T_StockCount[Part Name],$A59,T_StockCount[WeekIndex],71),IF((('T_SelfStock'!BT63&lt;&gt;""))*(('T_TTAFStock'!BT63&lt;&gt;""))&gt;0,'T_SelfStock'!BT63+'T_TTAFStock'!BT63,BS59+'Grid_Incoming'!BT59-'Grid_Requirement'!BT59))</f>
        <v/>
      </c>
      <c r="BU59">
        <f>IF(COUNTIFS(T_StockCount[Part Name],$A59,T_StockCount[WeekIndex],72)&gt;0,SUMIFS(T_StockCount[CountedQty],T_StockCount[Part Name],$A59,T_StockCount[WeekIndex],72),IF((('T_SelfStock'!BU63&lt;&gt;""))*(('T_TTAFStock'!BU63&lt;&gt;""))&gt;0,'T_SelfStock'!BU63+'T_TTAFStock'!BU63,BT59+'Grid_Incoming'!BU59-'Grid_Requirement'!BU59))</f>
        <v/>
      </c>
      <c r="BV59">
        <f>IF(COUNTIFS(T_StockCount[Part Name],$A59,T_StockCount[WeekIndex],73)&gt;0,SUMIFS(T_StockCount[CountedQty],T_StockCount[Part Name],$A59,T_StockCount[WeekIndex],73),IF((('T_SelfStock'!BV63&lt;&gt;""))*(('T_TTAFStock'!BV63&lt;&gt;""))&gt;0,'T_SelfStock'!BV63+'T_TTAFStock'!BV63,BU59+'Grid_Incoming'!BV59-'Grid_Requirement'!BV59))</f>
        <v/>
      </c>
      <c r="BW59">
        <f>IF(COUNTIFS(T_StockCount[Part Name],$A59,T_StockCount[WeekIndex],74)&gt;0,SUMIFS(T_StockCount[CountedQty],T_StockCount[Part Name],$A59,T_StockCount[WeekIndex],74),IF((('T_SelfStock'!BW63&lt;&gt;""))*(('T_TTAFStock'!BW63&lt;&gt;""))&gt;0,'T_SelfStock'!BW63+'T_TTAFStock'!BW63,BV59+'Grid_Incoming'!BW59-'Grid_Requirement'!BW59))</f>
        <v/>
      </c>
      <c r="BX59">
        <f>IF(COUNTIFS(T_StockCount[Part Name],$A59,T_StockCount[WeekIndex],75)&gt;0,SUMIFS(T_StockCount[CountedQty],T_StockCount[Part Name],$A59,T_StockCount[WeekIndex],75),IF((('T_SelfStock'!BX63&lt;&gt;""))*(('T_TTAFStock'!BX63&lt;&gt;""))&gt;0,'T_SelfStock'!BX63+'T_TTAFStock'!BX63,BW59+'Grid_Incoming'!BX59-'Grid_Requirement'!BX59))</f>
        <v/>
      </c>
      <c r="BY59">
        <f>IF(COUNTIFS(T_StockCount[Part Name],$A59,T_StockCount[WeekIndex],76)&gt;0,SUMIFS(T_StockCount[CountedQty],T_StockCount[Part Name],$A59,T_StockCount[WeekIndex],76),IF((('T_SelfStock'!BY63&lt;&gt;""))*(('T_TTAFStock'!BY63&lt;&gt;""))&gt;0,'T_SelfStock'!BY63+'T_TTAFStock'!BY63,BX59+'Grid_Incoming'!BY59-'Grid_Requirement'!BY59))</f>
        <v/>
      </c>
      <c r="BZ59">
        <f>IF(COUNTIFS(T_StockCount[Part Name],$A59,T_StockCount[WeekIndex],77)&gt;0,SUMIFS(T_StockCount[CountedQty],T_StockCount[Part Name],$A59,T_StockCount[WeekIndex],77),IF((('T_SelfStock'!BZ63&lt;&gt;""))*(('T_TTAFStock'!BZ63&lt;&gt;""))&gt;0,'T_SelfStock'!BZ63+'T_TTAFStock'!BZ63,BY59+'Grid_Incoming'!BZ59-'Grid_Requirement'!BZ59))</f>
        <v/>
      </c>
      <c r="CA59">
        <f>IF(COUNTIFS(T_StockCount[Part Name],$A59,T_StockCount[WeekIndex],78)&gt;0,SUMIFS(T_StockCount[CountedQty],T_StockCount[Part Name],$A59,T_StockCount[WeekIndex],78),IF((('T_SelfStock'!CA63&lt;&gt;""))*(('T_TTAFStock'!CA63&lt;&gt;""))&gt;0,'T_SelfStock'!CA63+'T_TTAFStock'!CA63,BZ59+'Grid_Incoming'!CA59-'Grid_Requirement'!CA59))</f>
        <v/>
      </c>
      <c r="CB59">
        <f>IF(COUNTIFS(T_StockCount[Part Name],$A59,T_StockCount[WeekIndex],79)&gt;0,SUMIFS(T_StockCount[CountedQty],T_StockCount[Part Name],$A59,T_StockCount[WeekIndex],79),IF((('T_SelfStock'!CB63&lt;&gt;""))*(('T_TTAFStock'!CB63&lt;&gt;""))&gt;0,'T_SelfStock'!CB63+'T_TTAFStock'!CB63,CA59+'Grid_Incoming'!CB59-'Grid_Requirement'!CB59))</f>
        <v/>
      </c>
      <c r="CC59">
        <f>IF(COUNTIFS(T_StockCount[Part Name],$A59,T_StockCount[WeekIndex],80)&gt;0,SUMIFS(T_StockCount[CountedQty],T_StockCount[Part Name],$A59,T_StockCount[WeekIndex],80),IF((('T_SelfStock'!CC63&lt;&gt;""))*(('T_TTAFStock'!CC63&lt;&gt;""))&gt;0,'T_SelfStock'!CC63+'T_TTAFStock'!CC63,CB59+'Grid_Incoming'!CC59-'Grid_Requirement'!CC59))</f>
        <v/>
      </c>
      <c r="CD59">
        <f>IF(COUNTIFS(T_StockCount[Part Name],$A59,T_StockCount[WeekIndex],81)&gt;0,SUMIFS(T_StockCount[CountedQty],T_StockCount[Part Name],$A59,T_StockCount[WeekIndex],81),IF((('T_SelfStock'!CD63&lt;&gt;""))*(('T_TTAFStock'!CD63&lt;&gt;""))&gt;0,'T_SelfStock'!CD63+'T_TTAFStock'!CD63,CC59+'Grid_Incoming'!CD59-'Grid_Requirement'!CD59))</f>
        <v/>
      </c>
      <c r="CE59">
        <f>IF(COUNTIFS(T_StockCount[Part Name],$A59,T_StockCount[WeekIndex],82)&gt;0,SUMIFS(T_StockCount[CountedQty],T_StockCount[Part Name],$A59,T_StockCount[WeekIndex],82),IF((('T_SelfStock'!CE63&lt;&gt;""))*(('T_TTAFStock'!CE63&lt;&gt;""))&gt;0,'T_SelfStock'!CE63+'T_TTAFStock'!CE63,CD59+'Grid_Incoming'!CE59-'Grid_Requirement'!CE59))</f>
        <v/>
      </c>
      <c r="CF59">
        <f>IF(COUNTIFS(T_StockCount[Part Name],$A59,T_StockCount[WeekIndex],83)&gt;0,SUMIFS(T_StockCount[CountedQty],T_StockCount[Part Name],$A59,T_StockCount[WeekIndex],83),IF((('T_SelfStock'!CF63&lt;&gt;""))*(('T_TTAFStock'!CF63&lt;&gt;""))&gt;0,'T_SelfStock'!CF63+'T_TTAFStock'!CF63,CE59+'Grid_Incoming'!CF59-'Grid_Requirement'!CF59))</f>
        <v/>
      </c>
      <c r="CG59">
        <f>IF(COUNTIFS(T_StockCount[Part Name],$A59,T_StockCount[WeekIndex],84)&gt;0,SUMIFS(T_StockCount[CountedQty],T_StockCount[Part Name],$A59,T_StockCount[WeekIndex],84),IF((('T_SelfStock'!CG63&lt;&gt;""))*(('T_TTAFStock'!CG63&lt;&gt;""))&gt;0,'T_SelfStock'!CG63+'T_TTAFStock'!CG63,CF59+'Grid_Incoming'!CG59-'Grid_Requirement'!CG59))</f>
        <v/>
      </c>
      <c r="CH59">
        <f>IF(COUNTIFS(T_StockCount[Part Name],$A59,T_StockCount[WeekIndex],85)&gt;0,SUMIFS(T_StockCount[CountedQty],T_StockCount[Part Name],$A59,T_StockCount[WeekIndex],85),IF((('T_SelfStock'!CH63&lt;&gt;""))*(('T_TTAFStock'!CH63&lt;&gt;""))&gt;0,'T_SelfStock'!CH63+'T_TTAFStock'!CH63,CG59+'Grid_Incoming'!CH59-'Grid_Requirement'!CH59))</f>
        <v/>
      </c>
      <c r="CI59">
        <f>IF(COUNTIFS(T_StockCount[Part Name],$A59,T_StockCount[WeekIndex],86)&gt;0,SUMIFS(T_StockCount[CountedQty],T_StockCount[Part Name],$A59,T_StockCount[WeekIndex],86),IF((('T_SelfStock'!CI63&lt;&gt;""))*(('T_TTAFStock'!CI63&lt;&gt;""))&gt;0,'T_SelfStock'!CI63+'T_TTAFStock'!CI63,CH59+'Grid_Incoming'!CI59-'Grid_Requirement'!CI59))</f>
        <v/>
      </c>
      <c r="CJ59">
        <f>IF(COUNTIFS(T_StockCount[Part Name],$A59,T_StockCount[WeekIndex],87)&gt;0,SUMIFS(T_StockCount[CountedQty],T_StockCount[Part Name],$A59,T_StockCount[WeekIndex],87),IF((('T_SelfStock'!CJ63&lt;&gt;""))*(('T_TTAFStock'!CJ63&lt;&gt;""))&gt;0,'T_SelfStock'!CJ63+'T_TTAFStock'!CJ63,CI59+'Grid_Incoming'!CJ59-'Grid_Requirement'!CJ59))</f>
        <v/>
      </c>
      <c r="CK59">
        <f>IF(COUNTIFS(T_StockCount[Part Name],$A59,T_StockCount[WeekIndex],88)&gt;0,SUMIFS(T_StockCount[CountedQty],T_StockCount[Part Name],$A59,T_StockCount[WeekIndex],88),IF((('T_SelfStock'!CK63&lt;&gt;""))*(('T_TTAFStock'!CK63&lt;&gt;""))&gt;0,'T_SelfStock'!CK63+'T_TTAFStock'!CK63,CJ59+'Grid_Incoming'!CK59-'Grid_Requirement'!CK59))</f>
        <v/>
      </c>
      <c r="CL59">
        <f>IF(COUNTIFS(T_StockCount[Part Name],$A59,T_StockCount[WeekIndex],89)&gt;0,SUMIFS(T_StockCount[CountedQty],T_StockCount[Part Name],$A59,T_StockCount[WeekIndex],89),IF((('T_SelfStock'!CL63&lt;&gt;""))*(('T_TTAFStock'!CL63&lt;&gt;""))&gt;0,'T_SelfStock'!CL63+'T_TTAFStock'!CL63,CK59+'Grid_Incoming'!CL59-'Grid_Requirement'!CL59))</f>
        <v/>
      </c>
      <c r="CM59">
        <f>IF(COUNTIFS(T_StockCount[Part Name],$A59,T_StockCount[WeekIndex],90)&gt;0,SUMIFS(T_StockCount[CountedQty],T_StockCount[Part Name],$A59,T_StockCount[WeekIndex],90),IF((('T_SelfStock'!CM63&lt;&gt;""))*(('T_TTAFStock'!CM63&lt;&gt;""))&gt;0,'T_SelfStock'!CM63+'T_TTAFStock'!CM63,CL59+'Grid_Incoming'!CM59-'Grid_Requirement'!CM59))</f>
        <v/>
      </c>
      <c r="CN59">
        <f>IF(COUNTIFS(T_StockCount[Part Name],$A59,T_StockCount[WeekIndex],91)&gt;0,SUMIFS(T_StockCount[CountedQty],T_StockCount[Part Name],$A59,T_StockCount[WeekIndex],91),IF((('T_SelfStock'!CN63&lt;&gt;""))*(('T_TTAFStock'!CN63&lt;&gt;""))&gt;0,'T_SelfStock'!CN63+'T_TTAFStock'!CN63,CM59+'Grid_Incoming'!CN59-'Grid_Requirement'!CN59))</f>
        <v/>
      </c>
      <c r="CO59">
        <f>IF(COUNTIFS(T_StockCount[Part Name],$A59,T_StockCount[WeekIndex],92)&gt;0,SUMIFS(T_StockCount[CountedQty],T_StockCount[Part Name],$A59,T_StockCount[WeekIndex],92),IF((('T_SelfStock'!CO63&lt;&gt;""))*(('T_TTAFStock'!CO63&lt;&gt;""))&gt;0,'T_SelfStock'!CO63+'T_TTAFStock'!CO63,CN59+'Grid_Incoming'!CO59-'Grid_Requirement'!CO59))</f>
        <v/>
      </c>
      <c r="CP59">
        <f>IF(COUNTIFS(T_StockCount[Part Name],$A59,T_StockCount[WeekIndex],93)&gt;0,SUMIFS(T_StockCount[CountedQty],T_StockCount[Part Name],$A59,T_StockCount[WeekIndex],93),IF((('T_SelfStock'!CP63&lt;&gt;""))*(('T_TTAFStock'!CP63&lt;&gt;""))&gt;0,'T_SelfStock'!CP63+'T_TTAFStock'!CP63,CO59+'Grid_Incoming'!CP59-'Grid_Requirement'!CP59))</f>
        <v/>
      </c>
      <c r="CQ59">
        <f>IF(COUNTIFS(T_StockCount[Part Name],$A59,T_StockCount[WeekIndex],94)&gt;0,SUMIFS(T_StockCount[CountedQty],T_StockCount[Part Name],$A59,T_StockCount[WeekIndex],94),IF((('T_SelfStock'!CQ63&lt;&gt;""))*(('T_TTAFStock'!CQ63&lt;&gt;""))&gt;0,'T_SelfStock'!CQ63+'T_TTAFStock'!CQ63,CP59+'Grid_Incoming'!CQ59-'Grid_Requirement'!CQ59))</f>
        <v/>
      </c>
      <c r="CR59">
        <f>IF(COUNTIFS(T_StockCount[Part Name],$A59,T_StockCount[WeekIndex],95)&gt;0,SUMIFS(T_StockCount[CountedQty],T_StockCount[Part Name],$A59,T_StockCount[WeekIndex],95),IF((('T_SelfStock'!CR63&lt;&gt;""))*(('T_TTAFStock'!CR63&lt;&gt;""))&gt;0,'T_SelfStock'!CR63+'T_TTAFStock'!CR63,CQ59+'Grid_Incoming'!CR59-'Grid_Requirement'!CR59))</f>
        <v/>
      </c>
      <c r="CS59">
        <f>IF(COUNTIFS(T_StockCount[Part Name],$A59,T_StockCount[WeekIndex],96)&gt;0,SUMIFS(T_StockCount[CountedQty],T_StockCount[Part Name],$A59,T_StockCount[WeekIndex],96),IF((('T_SelfStock'!CS63&lt;&gt;""))*(('T_TTAFStock'!CS63&lt;&gt;""))&gt;0,'T_SelfStock'!CS63+'T_TTAFStock'!CS63,CR59+'Grid_Incoming'!CS59-'Grid_Requirement'!CS59))</f>
        <v/>
      </c>
      <c r="CT59">
        <f>IF(COUNTIFS(T_StockCount[Part Name],$A59,T_StockCount[WeekIndex],97)&gt;0,SUMIFS(T_StockCount[CountedQty],T_StockCount[Part Name],$A59,T_StockCount[WeekIndex],97),IF((('T_SelfStock'!CT63&lt;&gt;""))*(('T_TTAFStock'!CT63&lt;&gt;""))&gt;0,'T_SelfStock'!CT63+'T_TTAFStock'!CT63,CS59+'Grid_Incoming'!CT59-'Grid_Requirement'!CT59))</f>
        <v/>
      </c>
      <c r="CU59">
        <f>IF(COUNTIFS(T_StockCount[Part Name],$A59,T_StockCount[WeekIndex],98)&gt;0,SUMIFS(T_StockCount[CountedQty],T_StockCount[Part Name],$A59,T_StockCount[WeekIndex],98),IF((('T_SelfStock'!CU63&lt;&gt;""))*(('T_TTAFStock'!CU63&lt;&gt;""))&gt;0,'T_SelfStock'!CU63+'T_TTAFStock'!CU63,CT59+'Grid_Incoming'!CU59-'Grid_Requirement'!CU59))</f>
        <v/>
      </c>
      <c r="CV59">
        <f>IF(COUNTIFS(T_StockCount[Part Name],$A59,T_StockCount[WeekIndex],99)&gt;0,SUMIFS(T_StockCount[CountedQty],T_StockCount[Part Name],$A59,T_StockCount[WeekIndex],99),IF((('T_SelfStock'!CV63&lt;&gt;""))*(('T_TTAFStock'!CV63&lt;&gt;""))&gt;0,'T_SelfStock'!CV63+'T_TTAFStock'!CV63,CU59+'Grid_Incoming'!CV59-'Grid_Requirement'!CV59))</f>
        <v/>
      </c>
      <c r="CW59">
        <f>IF(COUNTIFS(T_StockCount[Part Name],$A59,T_StockCount[WeekIndex],100)&gt;0,SUMIFS(T_StockCount[CountedQty],T_StockCount[Part Name],$A59,T_StockCount[WeekIndex],100),IF((('T_SelfStock'!CW63&lt;&gt;""))*(('T_TTAFStock'!CW63&lt;&gt;""))&gt;0,'T_SelfStock'!CW63+'T_TTAFStock'!CW63,CV59+'Grid_Incoming'!CW59-'Grid_Requirement'!CW59))</f>
        <v/>
      </c>
      <c r="CX59">
        <f>IF(COUNTIFS(T_StockCount[Part Name],$A59,T_StockCount[WeekIndex],101)&gt;0,SUMIFS(T_StockCount[CountedQty],T_StockCount[Part Name],$A59,T_StockCount[WeekIndex],101),IF((('T_SelfStock'!CX63&lt;&gt;""))*(('T_TTAFStock'!CX63&lt;&gt;""))&gt;0,'T_SelfStock'!CX63+'T_TTAFStock'!CX63,CW59+'Grid_Incoming'!CX59-'Grid_Requirement'!CX59))</f>
        <v/>
      </c>
      <c r="CY59">
        <f>IF(COUNTIFS(T_StockCount[Part Name],$A59,T_StockCount[WeekIndex],102)&gt;0,SUMIFS(T_StockCount[CountedQty],T_StockCount[Part Name],$A59,T_StockCount[WeekIndex],102),IF((('T_SelfStock'!CY63&lt;&gt;""))*(('T_TTAFStock'!CY63&lt;&gt;""))&gt;0,'T_SelfStock'!CY63+'T_TTAFStock'!CY63,CX59+'Grid_Incoming'!CY59-'Grid_Requirement'!CY59))</f>
        <v/>
      </c>
      <c r="CZ59">
        <f>IF(COUNTIFS(T_StockCount[Part Name],$A59,T_StockCount[WeekIndex],103)&gt;0,SUMIFS(T_StockCount[CountedQty],T_StockCount[Part Name],$A59,T_StockCount[WeekIndex],103),IF((('T_SelfStock'!CZ63&lt;&gt;""))*(('T_TTAFStock'!CZ63&lt;&gt;""))&gt;0,'T_SelfStock'!CZ63+'T_TTAFStock'!CZ63,CY59+'Grid_Incoming'!CZ59-'Grid_Requirement'!CZ59))</f>
        <v/>
      </c>
      <c r="DA59">
        <f>IF(COUNTIFS(T_StockCount[Part Name],$A59,T_StockCount[WeekIndex],104)&gt;0,SUMIFS(T_StockCount[CountedQty],T_StockCount[Part Name],$A59,T_StockCount[WeekIndex],104),IF((('T_SelfStock'!DA63&lt;&gt;""))*(('T_TTAFStock'!DA63&lt;&gt;""))&gt;0,'T_SelfStock'!DA63+'T_TTAFStock'!DA63,CZ59+'Grid_Incoming'!DA59-'Grid_Requirement'!DA59))</f>
        <v/>
      </c>
    </row>
    <row r="60">
      <c r="A60" t="inlineStr">
        <is>
          <t>CHEM-1690</t>
        </is>
      </c>
      <c r="B60">
        <f>IF(COUNTIFS(T_StockCount[Part Name],$A60,T_StockCount[WeekIndex],1)&gt;0,SUMIFS(T_StockCount[CountedQty],T_StockCount[Part Name],$A60,T_StockCount[WeekIndex],1),IF((('T_SelfStock'!B64&lt;&gt;""))*(('T_TTAFStock'!B64&lt;&gt;""))&gt;0,'T_SelfStock'!B64+'T_TTAFStock'!B64,IFERROR(INDEX(T_OpeningStock[Opening_Qty_要入力],MATCH($A60,T_OpeningStock[Part Name],0)),0)+'Grid_Incoming'!B60-'Grid_Requirement'!B60))</f>
        <v/>
      </c>
      <c r="C60">
        <f>IF(COUNTIFS(T_StockCount[Part Name],$A60,T_StockCount[WeekIndex],2)&gt;0,SUMIFS(T_StockCount[CountedQty],T_StockCount[Part Name],$A60,T_StockCount[WeekIndex],2),IF((('T_SelfStock'!C64&lt;&gt;""))*(('T_TTAFStock'!C64&lt;&gt;""))&gt;0,'T_SelfStock'!C64+'T_TTAFStock'!C64,B60+'Grid_Incoming'!C60-'Grid_Requirement'!C60))</f>
        <v/>
      </c>
      <c r="D60">
        <f>IF(COUNTIFS(T_StockCount[Part Name],$A60,T_StockCount[WeekIndex],3)&gt;0,SUMIFS(T_StockCount[CountedQty],T_StockCount[Part Name],$A60,T_StockCount[WeekIndex],3),IF((('T_SelfStock'!D64&lt;&gt;""))*(('T_TTAFStock'!D64&lt;&gt;""))&gt;0,'T_SelfStock'!D64+'T_TTAFStock'!D64,C60+'Grid_Incoming'!D60-'Grid_Requirement'!D60))</f>
        <v/>
      </c>
      <c r="E60">
        <f>IF(COUNTIFS(T_StockCount[Part Name],$A60,T_StockCount[WeekIndex],4)&gt;0,SUMIFS(T_StockCount[CountedQty],T_StockCount[Part Name],$A60,T_StockCount[WeekIndex],4),IF((('T_SelfStock'!E64&lt;&gt;""))*(('T_TTAFStock'!E64&lt;&gt;""))&gt;0,'T_SelfStock'!E64+'T_TTAFStock'!E64,D60+'Grid_Incoming'!E60-'Grid_Requirement'!E60))</f>
        <v/>
      </c>
      <c r="F60">
        <f>IF(COUNTIFS(T_StockCount[Part Name],$A60,T_StockCount[WeekIndex],5)&gt;0,SUMIFS(T_StockCount[CountedQty],T_StockCount[Part Name],$A60,T_StockCount[WeekIndex],5),IF((('T_SelfStock'!F64&lt;&gt;""))*(('T_TTAFStock'!F64&lt;&gt;""))&gt;0,'T_SelfStock'!F64+'T_TTAFStock'!F64,E60+'Grid_Incoming'!F60-'Grid_Requirement'!F60))</f>
        <v/>
      </c>
      <c r="G60">
        <f>IF(COUNTIFS(T_StockCount[Part Name],$A60,T_StockCount[WeekIndex],6)&gt;0,SUMIFS(T_StockCount[CountedQty],T_StockCount[Part Name],$A60,T_StockCount[WeekIndex],6),IF((('T_SelfStock'!G64&lt;&gt;""))*(('T_TTAFStock'!G64&lt;&gt;""))&gt;0,'T_SelfStock'!G64+'T_TTAFStock'!G64,F60+'Grid_Incoming'!G60-'Grid_Requirement'!G60))</f>
        <v/>
      </c>
      <c r="H60">
        <f>IF(COUNTIFS(T_StockCount[Part Name],$A60,T_StockCount[WeekIndex],7)&gt;0,SUMIFS(T_StockCount[CountedQty],T_StockCount[Part Name],$A60,T_StockCount[WeekIndex],7),IF((('T_SelfStock'!H64&lt;&gt;""))*(('T_TTAFStock'!H64&lt;&gt;""))&gt;0,'T_SelfStock'!H64+'T_TTAFStock'!H64,G60+'Grid_Incoming'!H60-'Grid_Requirement'!H60))</f>
        <v/>
      </c>
      <c r="I60">
        <f>IF(COUNTIFS(T_StockCount[Part Name],$A60,T_StockCount[WeekIndex],8)&gt;0,SUMIFS(T_StockCount[CountedQty],T_StockCount[Part Name],$A60,T_StockCount[WeekIndex],8),IF((('T_SelfStock'!I64&lt;&gt;""))*(('T_TTAFStock'!I64&lt;&gt;""))&gt;0,'T_SelfStock'!I64+'T_TTAFStock'!I64,H60+'Grid_Incoming'!I60-'Grid_Requirement'!I60))</f>
        <v/>
      </c>
      <c r="J60">
        <f>IF(COUNTIFS(T_StockCount[Part Name],$A60,T_StockCount[WeekIndex],9)&gt;0,SUMIFS(T_StockCount[CountedQty],T_StockCount[Part Name],$A60,T_StockCount[WeekIndex],9),IF((('T_SelfStock'!J64&lt;&gt;""))*(('T_TTAFStock'!J64&lt;&gt;""))&gt;0,'T_SelfStock'!J64+'T_TTAFStock'!J64,I60+'Grid_Incoming'!J60-'Grid_Requirement'!J60))</f>
        <v/>
      </c>
      <c r="K60">
        <f>IF(COUNTIFS(T_StockCount[Part Name],$A60,T_StockCount[WeekIndex],10)&gt;0,SUMIFS(T_StockCount[CountedQty],T_StockCount[Part Name],$A60,T_StockCount[WeekIndex],10),IF((('T_SelfStock'!K64&lt;&gt;""))*(('T_TTAFStock'!K64&lt;&gt;""))&gt;0,'T_SelfStock'!K64+'T_TTAFStock'!K64,J60+'Grid_Incoming'!K60-'Grid_Requirement'!K60))</f>
        <v/>
      </c>
      <c r="L60">
        <f>IF(COUNTIFS(T_StockCount[Part Name],$A60,T_StockCount[WeekIndex],11)&gt;0,SUMIFS(T_StockCount[CountedQty],T_StockCount[Part Name],$A60,T_StockCount[WeekIndex],11),IF((('T_SelfStock'!L64&lt;&gt;""))*(('T_TTAFStock'!L64&lt;&gt;""))&gt;0,'T_SelfStock'!L64+'T_TTAFStock'!L64,K60+'Grid_Incoming'!L60-'Grid_Requirement'!L60))</f>
        <v/>
      </c>
      <c r="M60">
        <f>IF(COUNTIFS(T_StockCount[Part Name],$A60,T_StockCount[WeekIndex],12)&gt;0,SUMIFS(T_StockCount[CountedQty],T_StockCount[Part Name],$A60,T_StockCount[WeekIndex],12),IF((('T_SelfStock'!M64&lt;&gt;""))*(('T_TTAFStock'!M64&lt;&gt;""))&gt;0,'T_SelfStock'!M64+'T_TTAFStock'!M64,L60+'Grid_Incoming'!M60-'Grid_Requirement'!M60))</f>
        <v/>
      </c>
      <c r="N60">
        <f>IF(COUNTIFS(T_StockCount[Part Name],$A60,T_StockCount[WeekIndex],13)&gt;0,SUMIFS(T_StockCount[CountedQty],T_StockCount[Part Name],$A60,T_StockCount[WeekIndex],13),IF((('T_SelfStock'!N64&lt;&gt;""))*(('T_TTAFStock'!N64&lt;&gt;""))&gt;0,'T_SelfStock'!N64+'T_TTAFStock'!N64,M60+'Grid_Incoming'!N60-'Grid_Requirement'!N60))</f>
        <v/>
      </c>
      <c r="O60">
        <f>IF(COUNTIFS(T_StockCount[Part Name],$A60,T_StockCount[WeekIndex],14)&gt;0,SUMIFS(T_StockCount[CountedQty],T_StockCount[Part Name],$A60,T_StockCount[WeekIndex],14),IF((('T_SelfStock'!O64&lt;&gt;""))*(('T_TTAFStock'!O64&lt;&gt;""))&gt;0,'T_SelfStock'!O64+'T_TTAFStock'!O64,N60+'Grid_Incoming'!O60-'Grid_Requirement'!O60))</f>
        <v/>
      </c>
      <c r="P60">
        <f>IF(COUNTIFS(T_StockCount[Part Name],$A60,T_StockCount[WeekIndex],15)&gt;0,SUMIFS(T_StockCount[CountedQty],T_StockCount[Part Name],$A60,T_StockCount[WeekIndex],15),IF((('T_SelfStock'!P64&lt;&gt;""))*(('T_TTAFStock'!P64&lt;&gt;""))&gt;0,'T_SelfStock'!P64+'T_TTAFStock'!P64,O60+'Grid_Incoming'!P60-'Grid_Requirement'!P60))</f>
        <v/>
      </c>
      <c r="Q60">
        <f>IF(COUNTIFS(T_StockCount[Part Name],$A60,T_StockCount[WeekIndex],16)&gt;0,SUMIFS(T_StockCount[CountedQty],T_StockCount[Part Name],$A60,T_StockCount[WeekIndex],16),IF((('T_SelfStock'!Q64&lt;&gt;""))*(('T_TTAFStock'!Q64&lt;&gt;""))&gt;0,'T_SelfStock'!Q64+'T_TTAFStock'!Q64,P60+'Grid_Incoming'!Q60-'Grid_Requirement'!Q60))</f>
        <v/>
      </c>
      <c r="R60">
        <f>IF(COUNTIFS(T_StockCount[Part Name],$A60,T_StockCount[WeekIndex],17)&gt;0,SUMIFS(T_StockCount[CountedQty],T_StockCount[Part Name],$A60,T_StockCount[WeekIndex],17),IF((('T_SelfStock'!R64&lt;&gt;""))*(('T_TTAFStock'!R64&lt;&gt;""))&gt;0,'T_SelfStock'!R64+'T_TTAFStock'!R64,Q60+'Grid_Incoming'!R60-'Grid_Requirement'!R60))</f>
        <v/>
      </c>
      <c r="S60">
        <f>IF(COUNTIFS(T_StockCount[Part Name],$A60,T_StockCount[WeekIndex],18)&gt;0,SUMIFS(T_StockCount[CountedQty],T_StockCount[Part Name],$A60,T_StockCount[WeekIndex],18),IF((('T_SelfStock'!S64&lt;&gt;""))*(('T_TTAFStock'!S64&lt;&gt;""))&gt;0,'T_SelfStock'!S64+'T_TTAFStock'!S64,R60+'Grid_Incoming'!S60-'Grid_Requirement'!S60))</f>
        <v/>
      </c>
      <c r="T60">
        <f>IF(COUNTIFS(T_StockCount[Part Name],$A60,T_StockCount[WeekIndex],19)&gt;0,SUMIFS(T_StockCount[CountedQty],T_StockCount[Part Name],$A60,T_StockCount[WeekIndex],19),IF((('T_SelfStock'!T64&lt;&gt;""))*(('T_TTAFStock'!T64&lt;&gt;""))&gt;0,'T_SelfStock'!T64+'T_TTAFStock'!T64,S60+'Grid_Incoming'!T60-'Grid_Requirement'!T60))</f>
        <v/>
      </c>
      <c r="U60">
        <f>IF(COUNTIFS(T_StockCount[Part Name],$A60,T_StockCount[WeekIndex],20)&gt;0,SUMIFS(T_StockCount[CountedQty],T_StockCount[Part Name],$A60,T_StockCount[WeekIndex],20),IF((('T_SelfStock'!U64&lt;&gt;""))*(('T_TTAFStock'!U64&lt;&gt;""))&gt;0,'T_SelfStock'!U64+'T_TTAFStock'!U64,T60+'Grid_Incoming'!U60-'Grid_Requirement'!U60))</f>
        <v/>
      </c>
      <c r="V60">
        <f>IF(COUNTIFS(T_StockCount[Part Name],$A60,T_StockCount[WeekIndex],21)&gt;0,SUMIFS(T_StockCount[CountedQty],T_StockCount[Part Name],$A60,T_StockCount[WeekIndex],21),IF((('T_SelfStock'!V64&lt;&gt;""))*(('T_TTAFStock'!V64&lt;&gt;""))&gt;0,'T_SelfStock'!V64+'T_TTAFStock'!V64,U60+'Grid_Incoming'!V60-'Grid_Requirement'!V60))</f>
        <v/>
      </c>
      <c r="W60">
        <f>IF(COUNTIFS(T_StockCount[Part Name],$A60,T_StockCount[WeekIndex],22)&gt;0,SUMIFS(T_StockCount[CountedQty],T_StockCount[Part Name],$A60,T_StockCount[WeekIndex],22),IF((('T_SelfStock'!W64&lt;&gt;""))*(('T_TTAFStock'!W64&lt;&gt;""))&gt;0,'T_SelfStock'!W64+'T_TTAFStock'!W64,V60+'Grid_Incoming'!W60-'Grid_Requirement'!W60))</f>
        <v/>
      </c>
      <c r="X60">
        <f>IF(COUNTIFS(T_StockCount[Part Name],$A60,T_StockCount[WeekIndex],23)&gt;0,SUMIFS(T_StockCount[CountedQty],T_StockCount[Part Name],$A60,T_StockCount[WeekIndex],23),IF((('T_SelfStock'!X64&lt;&gt;""))*(('T_TTAFStock'!X64&lt;&gt;""))&gt;0,'T_SelfStock'!X64+'T_TTAFStock'!X64,W60+'Grid_Incoming'!X60-'Grid_Requirement'!X60))</f>
        <v/>
      </c>
      <c r="Y60">
        <f>IF(COUNTIFS(T_StockCount[Part Name],$A60,T_StockCount[WeekIndex],24)&gt;0,SUMIFS(T_StockCount[CountedQty],T_StockCount[Part Name],$A60,T_StockCount[WeekIndex],24),IF((('T_SelfStock'!Y64&lt;&gt;""))*(('T_TTAFStock'!Y64&lt;&gt;""))&gt;0,'T_SelfStock'!Y64+'T_TTAFStock'!Y64,X60+'Grid_Incoming'!Y60-'Grid_Requirement'!Y60))</f>
        <v/>
      </c>
      <c r="Z60">
        <f>IF(COUNTIFS(T_StockCount[Part Name],$A60,T_StockCount[WeekIndex],25)&gt;0,SUMIFS(T_StockCount[CountedQty],T_StockCount[Part Name],$A60,T_StockCount[WeekIndex],25),IF((('T_SelfStock'!Z64&lt;&gt;""))*(('T_TTAFStock'!Z64&lt;&gt;""))&gt;0,'T_SelfStock'!Z64+'T_TTAFStock'!Z64,Y60+'Grid_Incoming'!Z60-'Grid_Requirement'!Z60))</f>
        <v/>
      </c>
      <c r="AA60">
        <f>IF(COUNTIFS(T_StockCount[Part Name],$A60,T_StockCount[WeekIndex],26)&gt;0,SUMIFS(T_StockCount[CountedQty],T_StockCount[Part Name],$A60,T_StockCount[WeekIndex],26),IF((('T_SelfStock'!AA64&lt;&gt;""))*(('T_TTAFStock'!AA64&lt;&gt;""))&gt;0,'T_SelfStock'!AA64+'T_TTAFStock'!AA64,Z60+'Grid_Incoming'!AA60-'Grid_Requirement'!AA60))</f>
        <v/>
      </c>
      <c r="AB60">
        <f>IF(COUNTIFS(T_StockCount[Part Name],$A60,T_StockCount[WeekIndex],27)&gt;0,SUMIFS(T_StockCount[CountedQty],T_StockCount[Part Name],$A60,T_StockCount[WeekIndex],27),IF((('T_SelfStock'!AB64&lt;&gt;""))*(('T_TTAFStock'!AB64&lt;&gt;""))&gt;0,'T_SelfStock'!AB64+'T_TTAFStock'!AB64,AA60+'Grid_Incoming'!AB60-'Grid_Requirement'!AB60))</f>
        <v/>
      </c>
      <c r="AC60">
        <f>IF(COUNTIFS(T_StockCount[Part Name],$A60,T_StockCount[WeekIndex],28)&gt;0,SUMIFS(T_StockCount[CountedQty],T_StockCount[Part Name],$A60,T_StockCount[WeekIndex],28),IF((('T_SelfStock'!AC64&lt;&gt;""))*(('T_TTAFStock'!AC64&lt;&gt;""))&gt;0,'T_SelfStock'!AC64+'T_TTAFStock'!AC64,AB60+'Grid_Incoming'!AC60-'Grid_Requirement'!AC60))</f>
        <v/>
      </c>
      <c r="AD60">
        <f>IF(COUNTIFS(T_StockCount[Part Name],$A60,T_StockCount[WeekIndex],29)&gt;0,SUMIFS(T_StockCount[CountedQty],T_StockCount[Part Name],$A60,T_StockCount[WeekIndex],29),IF((('T_SelfStock'!AD64&lt;&gt;""))*(('T_TTAFStock'!AD64&lt;&gt;""))&gt;0,'T_SelfStock'!AD64+'T_TTAFStock'!AD64,AC60+'Grid_Incoming'!AD60-'Grid_Requirement'!AD60))</f>
        <v/>
      </c>
      <c r="AE60">
        <f>IF(COUNTIFS(T_StockCount[Part Name],$A60,T_StockCount[WeekIndex],30)&gt;0,SUMIFS(T_StockCount[CountedQty],T_StockCount[Part Name],$A60,T_StockCount[WeekIndex],30),IF((('T_SelfStock'!AE64&lt;&gt;""))*(('T_TTAFStock'!AE64&lt;&gt;""))&gt;0,'T_SelfStock'!AE64+'T_TTAFStock'!AE64,AD60+'Grid_Incoming'!AE60-'Grid_Requirement'!AE60))</f>
        <v/>
      </c>
      <c r="AF60">
        <f>IF(COUNTIFS(T_StockCount[Part Name],$A60,T_StockCount[WeekIndex],31)&gt;0,SUMIFS(T_StockCount[CountedQty],T_StockCount[Part Name],$A60,T_StockCount[WeekIndex],31),IF((('T_SelfStock'!AF64&lt;&gt;""))*(('T_TTAFStock'!AF64&lt;&gt;""))&gt;0,'T_SelfStock'!AF64+'T_TTAFStock'!AF64,AE60+'Grid_Incoming'!AF60-'Grid_Requirement'!AF60))</f>
        <v/>
      </c>
      <c r="AG60">
        <f>IF(COUNTIFS(T_StockCount[Part Name],$A60,T_StockCount[WeekIndex],32)&gt;0,SUMIFS(T_StockCount[CountedQty],T_StockCount[Part Name],$A60,T_StockCount[WeekIndex],32),IF((('T_SelfStock'!AG64&lt;&gt;""))*(('T_TTAFStock'!AG64&lt;&gt;""))&gt;0,'T_SelfStock'!AG64+'T_TTAFStock'!AG64,AF60+'Grid_Incoming'!AG60-'Grid_Requirement'!AG60))</f>
        <v/>
      </c>
      <c r="AH60">
        <f>IF(COUNTIFS(T_StockCount[Part Name],$A60,T_StockCount[WeekIndex],33)&gt;0,SUMIFS(T_StockCount[CountedQty],T_StockCount[Part Name],$A60,T_StockCount[WeekIndex],33),IF((('T_SelfStock'!AH64&lt;&gt;""))*(('T_TTAFStock'!AH64&lt;&gt;""))&gt;0,'T_SelfStock'!AH64+'T_TTAFStock'!AH64,AG60+'Grid_Incoming'!AH60-'Grid_Requirement'!AH60))</f>
        <v/>
      </c>
      <c r="AI60">
        <f>IF(COUNTIFS(T_StockCount[Part Name],$A60,T_StockCount[WeekIndex],34)&gt;0,SUMIFS(T_StockCount[CountedQty],T_StockCount[Part Name],$A60,T_StockCount[WeekIndex],34),IF((('T_SelfStock'!AI64&lt;&gt;""))*(('T_TTAFStock'!AI64&lt;&gt;""))&gt;0,'T_SelfStock'!AI64+'T_TTAFStock'!AI64,AH60+'Grid_Incoming'!AI60-'Grid_Requirement'!AI60))</f>
        <v/>
      </c>
      <c r="AJ60">
        <f>IF(COUNTIFS(T_StockCount[Part Name],$A60,T_StockCount[WeekIndex],35)&gt;0,SUMIFS(T_StockCount[CountedQty],T_StockCount[Part Name],$A60,T_StockCount[WeekIndex],35),IF((('T_SelfStock'!AJ64&lt;&gt;""))*(('T_TTAFStock'!AJ64&lt;&gt;""))&gt;0,'T_SelfStock'!AJ64+'T_TTAFStock'!AJ64,AI60+'Grid_Incoming'!AJ60-'Grid_Requirement'!AJ60))</f>
        <v/>
      </c>
      <c r="AK60">
        <f>IF(COUNTIFS(T_StockCount[Part Name],$A60,T_StockCount[WeekIndex],36)&gt;0,SUMIFS(T_StockCount[CountedQty],T_StockCount[Part Name],$A60,T_StockCount[WeekIndex],36),IF((('T_SelfStock'!AK64&lt;&gt;""))*(('T_TTAFStock'!AK64&lt;&gt;""))&gt;0,'T_SelfStock'!AK64+'T_TTAFStock'!AK64,AJ60+'Grid_Incoming'!AK60-'Grid_Requirement'!AK60))</f>
        <v/>
      </c>
      <c r="AL60">
        <f>IF(COUNTIFS(T_StockCount[Part Name],$A60,T_StockCount[WeekIndex],37)&gt;0,SUMIFS(T_StockCount[CountedQty],T_StockCount[Part Name],$A60,T_StockCount[WeekIndex],37),IF((('T_SelfStock'!AL64&lt;&gt;""))*(('T_TTAFStock'!AL64&lt;&gt;""))&gt;0,'T_SelfStock'!AL64+'T_TTAFStock'!AL64,AK60+'Grid_Incoming'!AL60-'Grid_Requirement'!AL60))</f>
        <v/>
      </c>
      <c r="AM60">
        <f>IF(COUNTIFS(T_StockCount[Part Name],$A60,T_StockCount[WeekIndex],38)&gt;0,SUMIFS(T_StockCount[CountedQty],T_StockCount[Part Name],$A60,T_StockCount[WeekIndex],38),IF((('T_SelfStock'!AM64&lt;&gt;""))*(('T_TTAFStock'!AM64&lt;&gt;""))&gt;0,'T_SelfStock'!AM64+'T_TTAFStock'!AM64,AL60+'Grid_Incoming'!AM60-'Grid_Requirement'!AM60))</f>
        <v/>
      </c>
      <c r="AN60">
        <f>IF(COUNTIFS(T_StockCount[Part Name],$A60,T_StockCount[WeekIndex],39)&gt;0,SUMIFS(T_StockCount[CountedQty],T_StockCount[Part Name],$A60,T_StockCount[WeekIndex],39),IF((('T_SelfStock'!AN64&lt;&gt;""))*(('T_TTAFStock'!AN64&lt;&gt;""))&gt;0,'T_SelfStock'!AN64+'T_TTAFStock'!AN64,AM60+'Grid_Incoming'!AN60-'Grid_Requirement'!AN60))</f>
        <v/>
      </c>
      <c r="AO60">
        <f>IF(COUNTIFS(T_StockCount[Part Name],$A60,T_StockCount[WeekIndex],40)&gt;0,SUMIFS(T_StockCount[CountedQty],T_StockCount[Part Name],$A60,T_StockCount[WeekIndex],40),IF((('T_SelfStock'!AO64&lt;&gt;""))*(('T_TTAFStock'!AO64&lt;&gt;""))&gt;0,'T_SelfStock'!AO64+'T_TTAFStock'!AO64,AN60+'Grid_Incoming'!AO60-'Grid_Requirement'!AO60))</f>
        <v/>
      </c>
      <c r="AP60">
        <f>IF(COUNTIFS(T_StockCount[Part Name],$A60,T_StockCount[WeekIndex],41)&gt;0,SUMIFS(T_StockCount[CountedQty],T_StockCount[Part Name],$A60,T_StockCount[WeekIndex],41),IF((('T_SelfStock'!AP64&lt;&gt;""))*(('T_TTAFStock'!AP64&lt;&gt;""))&gt;0,'T_SelfStock'!AP64+'T_TTAFStock'!AP64,AO60+'Grid_Incoming'!AP60-'Grid_Requirement'!AP60))</f>
        <v/>
      </c>
      <c r="AQ60">
        <f>IF(COUNTIFS(T_StockCount[Part Name],$A60,T_StockCount[WeekIndex],42)&gt;0,SUMIFS(T_StockCount[CountedQty],T_StockCount[Part Name],$A60,T_StockCount[WeekIndex],42),IF((('T_SelfStock'!AQ64&lt;&gt;""))*(('T_TTAFStock'!AQ64&lt;&gt;""))&gt;0,'T_SelfStock'!AQ64+'T_TTAFStock'!AQ64,AP60+'Grid_Incoming'!AQ60-'Grid_Requirement'!AQ60))</f>
        <v/>
      </c>
      <c r="AR60">
        <f>IF(COUNTIFS(T_StockCount[Part Name],$A60,T_StockCount[WeekIndex],43)&gt;0,SUMIFS(T_StockCount[CountedQty],T_StockCount[Part Name],$A60,T_StockCount[WeekIndex],43),IF((('T_SelfStock'!AR64&lt;&gt;""))*(('T_TTAFStock'!AR64&lt;&gt;""))&gt;0,'T_SelfStock'!AR64+'T_TTAFStock'!AR64,AQ60+'Grid_Incoming'!AR60-'Grid_Requirement'!AR60))</f>
        <v/>
      </c>
      <c r="AS60">
        <f>IF(COUNTIFS(T_StockCount[Part Name],$A60,T_StockCount[WeekIndex],44)&gt;0,SUMIFS(T_StockCount[CountedQty],T_StockCount[Part Name],$A60,T_StockCount[WeekIndex],44),IF((('T_SelfStock'!AS64&lt;&gt;""))*(('T_TTAFStock'!AS64&lt;&gt;""))&gt;0,'T_SelfStock'!AS64+'T_TTAFStock'!AS64,AR60+'Grid_Incoming'!AS60-'Grid_Requirement'!AS60))</f>
        <v/>
      </c>
      <c r="AT60">
        <f>IF(COUNTIFS(T_StockCount[Part Name],$A60,T_StockCount[WeekIndex],45)&gt;0,SUMIFS(T_StockCount[CountedQty],T_StockCount[Part Name],$A60,T_StockCount[WeekIndex],45),IF((('T_SelfStock'!AT64&lt;&gt;""))*(('T_TTAFStock'!AT64&lt;&gt;""))&gt;0,'T_SelfStock'!AT64+'T_TTAFStock'!AT64,AS60+'Grid_Incoming'!AT60-'Grid_Requirement'!AT60))</f>
        <v/>
      </c>
      <c r="AU60">
        <f>IF(COUNTIFS(T_StockCount[Part Name],$A60,T_StockCount[WeekIndex],46)&gt;0,SUMIFS(T_StockCount[CountedQty],T_StockCount[Part Name],$A60,T_StockCount[WeekIndex],46),IF((('T_SelfStock'!AU64&lt;&gt;""))*(('T_TTAFStock'!AU64&lt;&gt;""))&gt;0,'T_SelfStock'!AU64+'T_TTAFStock'!AU64,AT60+'Grid_Incoming'!AU60-'Grid_Requirement'!AU60))</f>
        <v/>
      </c>
      <c r="AV60">
        <f>IF(COUNTIFS(T_StockCount[Part Name],$A60,T_StockCount[WeekIndex],47)&gt;0,SUMIFS(T_StockCount[CountedQty],T_StockCount[Part Name],$A60,T_StockCount[WeekIndex],47),IF((('T_SelfStock'!AV64&lt;&gt;""))*(('T_TTAFStock'!AV64&lt;&gt;""))&gt;0,'T_SelfStock'!AV64+'T_TTAFStock'!AV64,AU60+'Grid_Incoming'!AV60-'Grid_Requirement'!AV60))</f>
        <v/>
      </c>
      <c r="AW60">
        <f>IF(COUNTIFS(T_StockCount[Part Name],$A60,T_StockCount[WeekIndex],48)&gt;0,SUMIFS(T_StockCount[CountedQty],T_StockCount[Part Name],$A60,T_StockCount[WeekIndex],48),IF((('T_SelfStock'!AW64&lt;&gt;""))*(('T_TTAFStock'!AW64&lt;&gt;""))&gt;0,'T_SelfStock'!AW64+'T_TTAFStock'!AW64,AV60+'Grid_Incoming'!AW60-'Grid_Requirement'!AW60))</f>
        <v/>
      </c>
      <c r="AX60">
        <f>IF(COUNTIFS(T_StockCount[Part Name],$A60,T_StockCount[WeekIndex],49)&gt;0,SUMIFS(T_StockCount[CountedQty],T_StockCount[Part Name],$A60,T_StockCount[WeekIndex],49),IF((('T_SelfStock'!AX64&lt;&gt;""))*(('T_TTAFStock'!AX64&lt;&gt;""))&gt;0,'T_SelfStock'!AX64+'T_TTAFStock'!AX64,AW60+'Grid_Incoming'!AX60-'Grid_Requirement'!AX60))</f>
        <v/>
      </c>
      <c r="AY60">
        <f>IF(COUNTIFS(T_StockCount[Part Name],$A60,T_StockCount[WeekIndex],50)&gt;0,SUMIFS(T_StockCount[CountedQty],T_StockCount[Part Name],$A60,T_StockCount[WeekIndex],50),IF((('T_SelfStock'!AY64&lt;&gt;""))*(('T_TTAFStock'!AY64&lt;&gt;""))&gt;0,'T_SelfStock'!AY64+'T_TTAFStock'!AY64,AX60+'Grid_Incoming'!AY60-'Grid_Requirement'!AY60))</f>
        <v/>
      </c>
      <c r="AZ60">
        <f>IF(COUNTIFS(T_StockCount[Part Name],$A60,T_StockCount[WeekIndex],51)&gt;0,SUMIFS(T_StockCount[CountedQty],T_StockCount[Part Name],$A60,T_StockCount[WeekIndex],51),IF((('T_SelfStock'!AZ64&lt;&gt;""))*(('T_TTAFStock'!AZ64&lt;&gt;""))&gt;0,'T_SelfStock'!AZ64+'T_TTAFStock'!AZ64,AY60+'Grid_Incoming'!AZ60-'Grid_Requirement'!AZ60))</f>
        <v/>
      </c>
      <c r="BA60">
        <f>IF(COUNTIFS(T_StockCount[Part Name],$A60,T_StockCount[WeekIndex],52)&gt;0,SUMIFS(T_StockCount[CountedQty],T_StockCount[Part Name],$A60,T_StockCount[WeekIndex],52),IF((('T_SelfStock'!BA64&lt;&gt;""))*(('T_TTAFStock'!BA64&lt;&gt;""))&gt;0,'T_SelfStock'!BA64+'T_TTAFStock'!BA64,AZ60+'Grid_Incoming'!BA60-'Grid_Requirement'!BA60))</f>
        <v/>
      </c>
      <c r="BB60">
        <f>IF(COUNTIFS(T_StockCount[Part Name],$A60,T_StockCount[WeekIndex],53)&gt;0,SUMIFS(T_StockCount[CountedQty],T_StockCount[Part Name],$A60,T_StockCount[WeekIndex],53),IF((('T_SelfStock'!BB64&lt;&gt;""))*(('T_TTAFStock'!BB64&lt;&gt;""))&gt;0,'T_SelfStock'!BB64+'T_TTAFStock'!BB64,BA60+'Grid_Incoming'!BB60-'Grid_Requirement'!BB60))</f>
        <v/>
      </c>
      <c r="BC60">
        <f>IF(COUNTIFS(T_StockCount[Part Name],$A60,T_StockCount[WeekIndex],54)&gt;0,SUMIFS(T_StockCount[CountedQty],T_StockCount[Part Name],$A60,T_StockCount[WeekIndex],54),IF((('T_SelfStock'!BC64&lt;&gt;""))*(('T_TTAFStock'!BC64&lt;&gt;""))&gt;0,'T_SelfStock'!BC64+'T_TTAFStock'!BC64,BB60+'Grid_Incoming'!BC60-'Grid_Requirement'!BC60))</f>
        <v/>
      </c>
      <c r="BD60">
        <f>IF(COUNTIFS(T_StockCount[Part Name],$A60,T_StockCount[WeekIndex],55)&gt;0,SUMIFS(T_StockCount[CountedQty],T_StockCount[Part Name],$A60,T_StockCount[WeekIndex],55),IF((('T_SelfStock'!BD64&lt;&gt;""))*(('T_TTAFStock'!BD64&lt;&gt;""))&gt;0,'T_SelfStock'!BD64+'T_TTAFStock'!BD64,BC60+'Grid_Incoming'!BD60-'Grid_Requirement'!BD60))</f>
        <v/>
      </c>
      <c r="BE60">
        <f>IF(COUNTIFS(T_StockCount[Part Name],$A60,T_StockCount[WeekIndex],56)&gt;0,SUMIFS(T_StockCount[CountedQty],T_StockCount[Part Name],$A60,T_StockCount[WeekIndex],56),IF((('T_SelfStock'!BE64&lt;&gt;""))*(('T_TTAFStock'!BE64&lt;&gt;""))&gt;0,'T_SelfStock'!BE64+'T_TTAFStock'!BE64,BD60+'Grid_Incoming'!BE60-'Grid_Requirement'!BE60))</f>
        <v/>
      </c>
      <c r="BF60">
        <f>IF(COUNTIFS(T_StockCount[Part Name],$A60,T_StockCount[WeekIndex],57)&gt;0,SUMIFS(T_StockCount[CountedQty],T_StockCount[Part Name],$A60,T_StockCount[WeekIndex],57),IF((('T_SelfStock'!BF64&lt;&gt;""))*(('T_TTAFStock'!BF64&lt;&gt;""))&gt;0,'T_SelfStock'!BF64+'T_TTAFStock'!BF64,BE60+'Grid_Incoming'!BF60-'Grid_Requirement'!BF60))</f>
        <v/>
      </c>
      <c r="BG60">
        <f>IF(COUNTIFS(T_StockCount[Part Name],$A60,T_StockCount[WeekIndex],58)&gt;0,SUMIFS(T_StockCount[CountedQty],T_StockCount[Part Name],$A60,T_StockCount[WeekIndex],58),IF((('T_SelfStock'!BG64&lt;&gt;""))*(('T_TTAFStock'!BG64&lt;&gt;""))&gt;0,'T_SelfStock'!BG64+'T_TTAFStock'!BG64,BF60+'Grid_Incoming'!BG60-'Grid_Requirement'!BG60))</f>
        <v/>
      </c>
      <c r="BH60">
        <f>IF(COUNTIFS(T_StockCount[Part Name],$A60,T_StockCount[WeekIndex],59)&gt;0,SUMIFS(T_StockCount[CountedQty],T_StockCount[Part Name],$A60,T_StockCount[WeekIndex],59),IF((('T_SelfStock'!BH64&lt;&gt;""))*(('T_TTAFStock'!BH64&lt;&gt;""))&gt;0,'T_SelfStock'!BH64+'T_TTAFStock'!BH64,BG60+'Grid_Incoming'!BH60-'Grid_Requirement'!BH60))</f>
        <v/>
      </c>
      <c r="BI60">
        <f>IF(COUNTIFS(T_StockCount[Part Name],$A60,T_StockCount[WeekIndex],60)&gt;0,SUMIFS(T_StockCount[CountedQty],T_StockCount[Part Name],$A60,T_StockCount[WeekIndex],60),IF((('T_SelfStock'!BI64&lt;&gt;""))*(('T_TTAFStock'!BI64&lt;&gt;""))&gt;0,'T_SelfStock'!BI64+'T_TTAFStock'!BI64,BH60+'Grid_Incoming'!BI60-'Grid_Requirement'!BI60))</f>
        <v/>
      </c>
      <c r="BJ60">
        <f>IF(COUNTIFS(T_StockCount[Part Name],$A60,T_StockCount[WeekIndex],61)&gt;0,SUMIFS(T_StockCount[CountedQty],T_StockCount[Part Name],$A60,T_StockCount[WeekIndex],61),IF((('T_SelfStock'!BJ64&lt;&gt;""))*(('T_TTAFStock'!BJ64&lt;&gt;""))&gt;0,'T_SelfStock'!BJ64+'T_TTAFStock'!BJ64,BI60+'Grid_Incoming'!BJ60-'Grid_Requirement'!BJ60))</f>
        <v/>
      </c>
      <c r="BK60">
        <f>IF(COUNTIFS(T_StockCount[Part Name],$A60,T_StockCount[WeekIndex],62)&gt;0,SUMIFS(T_StockCount[CountedQty],T_StockCount[Part Name],$A60,T_StockCount[WeekIndex],62),IF((('T_SelfStock'!BK64&lt;&gt;""))*(('T_TTAFStock'!BK64&lt;&gt;""))&gt;0,'T_SelfStock'!BK64+'T_TTAFStock'!BK64,BJ60+'Grid_Incoming'!BK60-'Grid_Requirement'!BK60))</f>
        <v/>
      </c>
      <c r="BL60">
        <f>IF(COUNTIFS(T_StockCount[Part Name],$A60,T_StockCount[WeekIndex],63)&gt;0,SUMIFS(T_StockCount[CountedQty],T_StockCount[Part Name],$A60,T_StockCount[WeekIndex],63),IF((('T_SelfStock'!BL64&lt;&gt;""))*(('T_TTAFStock'!BL64&lt;&gt;""))&gt;0,'T_SelfStock'!BL64+'T_TTAFStock'!BL64,BK60+'Grid_Incoming'!BL60-'Grid_Requirement'!BL60))</f>
        <v/>
      </c>
      <c r="BM60">
        <f>IF(COUNTIFS(T_StockCount[Part Name],$A60,T_StockCount[WeekIndex],64)&gt;0,SUMIFS(T_StockCount[CountedQty],T_StockCount[Part Name],$A60,T_StockCount[WeekIndex],64),IF((('T_SelfStock'!BM64&lt;&gt;""))*(('T_TTAFStock'!BM64&lt;&gt;""))&gt;0,'T_SelfStock'!BM64+'T_TTAFStock'!BM64,BL60+'Grid_Incoming'!BM60-'Grid_Requirement'!BM60))</f>
        <v/>
      </c>
      <c r="BN60">
        <f>IF(COUNTIFS(T_StockCount[Part Name],$A60,T_StockCount[WeekIndex],65)&gt;0,SUMIFS(T_StockCount[CountedQty],T_StockCount[Part Name],$A60,T_StockCount[WeekIndex],65),IF((('T_SelfStock'!BN64&lt;&gt;""))*(('T_TTAFStock'!BN64&lt;&gt;""))&gt;0,'T_SelfStock'!BN64+'T_TTAFStock'!BN64,BM60+'Grid_Incoming'!BN60-'Grid_Requirement'!BN60))</f>
        <v/>
      </c>
      <c r="BO60">
        <f>IF(COUNTIFS(T_StockCount[Part Name],$A60,T_StockCount[WeekIndex],66)&gt;0,SUMIFS(T_StockCount[CountedQty],T_StockCount[Part Name],$A60,T_StockCount[WeekIndex],66),IF((('T_SelfStock'!BO64&lt;&gt;""))*(('T_TTAFStock'!BO64&lt;&gt;""))&gt;0,'T_SelfStock'!BO64+'T_TTAFStock'!BO64,BN60+'Grid_Incoming'!BO60-'Grid_Requirement'!BO60))</f>
        <v/>
      </c>
      <c r="BP60">
        <f>IF(COUNTIFS(T_StockCount[Part Name],$A60,T_StockCount[WeekIndex],67)&gt;0,SUMIFS(T_StockCount[CountedQty],T_StockCount[Part Name],$A60,T_StockCount[WeekIndex],67),IF((('T_SelfStock'!BP64&lt;&gt;""))*(('T_TTAFStock'!BP64&lt;&gt;""))&gt;0,'T_SelfStock'!BP64+'T_TTAFStock'!BP64,BO60+'Grid_Incoming'!BP60-'Grid_Requirement'!BP60))</f>
        <v/>
      </c>
      <c r="BQ60">
        <f>IF(COUNTIFS(T_StockCount[Part Name],$A60,T_StockCount[WeekIndex],68)&gt;0,SUMIFS(T_StockCount[CountedQty],T_StockCount[Part Name],$A60,T_StockCount[WeekIndex],68),IF((('T_SelfStock'!BQ64&lt;&gt;""))*(('T_TTAFStock'!BQ64&lt;&gt;""))&gt;0,'T_SelfStock'!BQ64+'T_TTAFStock'!BQ64,BP60+'Grid_Incoming'!BQ60-'Grid_Requirement'!BQ60))</f>
        <v/>
      </c>
      <c r="BR60">
        <f>IF(COUNTIFS(T_StockCount[Part Name],$A60,T_StockCount[WeekIndex],69)&gt;0,SUMIFS(T_StockCount[CountedQty],T_StockCount[Part Name],$A60,T_StockCount[WeekIndex],69),IF((('T_SelfStock'!BR64&lt;&gt;""))*(('T_TTAFStock'!BR64&lt;&gt;""))&gt;0,'T_SelfStock'!BR64+'T_TTAFStock'!BR64,BQ60+'Grid_Incoming'!BR60-'Grid_Requirement'!BR60))</f>
        <v/>
      </c>
      <c r="BS60">
        <f>IF(COUNTIFS(T_StockCount[Part Name],$A60,T_StockCount[WeekIndex],70)&gt;0,SUMIFS(T_StockCount[CountedQty],T_StockCount[Part Name],$A60,T_StockCount[WeekIndex],70),IF((('T_SelfStock'!BS64&lt;&gt;""))*(('T_TTAFStock'!BS64&lt;&gt;""))&gt;0,'T_SelfStock'!BS64+'T_TTAFStock'!BS64,BR60+'Grid_Incoming'!BS60-'Grid_Requirement'!BS60))</f>
        <v/>
      </c>
      <c r="BT60">
        <f>IF(COUNTIFS(T_StockCount[Part Name],$A60,T_StockCount[WeekIndex],71)&gt;0,SUMIFS(T_StockCount[CountedQty],T_StockCount[Part Name],$A60,T_StockCount[WeekIndex],71),IF((('T_SelfStock'!BT64&lt;&gt;""))*(('T_TTAFStock'!BT64&lt;&gt;""))&gt;0,'T_SelfStock'!BT64+'T_TTAFStock'!BT64,BS60+'Grid_Incoming'!BT60-'Grid_Requirement'!BT60))</f>
        <v/>
      </c>
      <c r="BU60">
        <f>IF(COUNTIFS(T_StockCount[Part Name],$A60,T_StockCount[WeekIndex],72)&gt;0,SUMIFS(T_StockCount[CountedQty],T_StockCount[Part Name],$A60,T_StockCount[WeekIndex],72),IF((('T_SelfStock'!BU64&lt;&gt;""))*(('T_TTAFStock'!BU64&lt;&gt;""))&gt;0,'T_SelfStock'!BU64+'T_TTAFStock'!BU64,BT60+'Grid_Incoming'!BU60-'Grid_Requirement'!BU60))</f>
        <v/>
      </c>
      <c r="BV60">
        <f>IF(COUNTIFS(T_StockCount[Part Name],$A60,T_StockCount[WeekIndex],73)&gt;0,SUMIFS(T_StockCount[CountedQty],T_StockCount[Part Name],$A60,T_StockCount[WeekIndex],73),IF((('T_SelfStock'!BV64&lt;&gt;""))*(('T_TTAFStock'!BV64&lt;&gt;""))&gt;0,'T_SelfStock'!BV64+'T_TTAFStock'!BV64,BU60+'Grid_Incoming'!BV60-'Grid_Requirement'!BV60))</f>
        <v/>
      </c>
      <c r="BW60">
        <f>IF(COUNTIFS(T_StockCount[Part Name],$A60,T_StockCount[WeekIndex],74)&gt;0,SUMIFS(T_StockCount[CountedQty],T_StockCount[Part Name],$A60,T_StockCount[WeekIndex],74),IF((('T_SelfStock'!BW64&lt;&gt;""))*(('T_TTAFStock'!BW64&lt;&gt;""))&gt;0,'T_SelfStock'!BW64+'T_TTAFStock'!BW64,BV60+'Grid_Incoming'!BW60-'Grid_Requirement'!BW60))</f>
        <v/>
      </c>
      <c r="BX60">
        <f>IF(COUNTIFS(T_StockCount[Part Name],$A60,T_StockCount[WeekIndex],75)&gt;0,SUMIFS(T_StockCount[CountedQty],T_StockCount[Part Name],$A60,T_StockCount[WeekIndex],75),IF((('T_SelfStock'!BX64&lt;&gt;""))*(('T_TTAFStock'!BX64&lt;&gt;""))&gt;0,'T_SelfStock'!BX64+'T_TTAFStock'!BX64,BW60+'Grid_Incoming'!BX60-'Grid_Requirement'!BX60))</f>
        <v/>
      </c>
      <c r="BY60">
        <f>IF(COUNTIFS(T_StockCount[Part Name],$A60,T_StockCount[WeekIndex],76)&gt;0,SUMIFS(T_StockCount[CountedQty],T_StockCount[Part Name],$A60,T_StockCount[WeekIndex],76),IF((('T_SelfStock'!BY64&lt;&gt;""))*(('T_TTAFStock'!BY64&lt;&gt;""))&gt;0,'T_SelfStock'!BY64+'T_TTAFStock'!BY64,BX60+'Grid_Incoming'!BY60-'Grid_Requirement'!BY60))</f>
        <v/>
      </c>
      <c r="BZ60">
        <f>IF(COUNTIFS(T_StockCount[Part Name],$A60,T_StockCount[WeekIndex],77)&gt;0,SUMIFS(T_StockCount[CountedQty],T_StockCount[Part Name],$A60,T_StockCount[WeekIndex],77),IF((('T_SelfStock'!BZ64&lt;&gt;""))*(('T_TTAFStock'!BZ64&lt;&gt;""))&gt;0,'T_SelfStock'!BZ64+'T_TTAFStock'!BZ64,BY60+'Grid_Incoming'!BZ60-'Grid_Requirement'!BZ60))</f>
        <v/>
      </c>
      <c r="CA60">
        <f>IF(COUNTIFS(T_StockCount[Part Name],$A60,T_StockCount[WeekIndex],78)&gt;0,SUMIFS(T_StockCount[CountedQty],T_StockCount[Part Name],$A60,T_StockCount[WeekIndex],78),IF((('T_SelfStock'!CA64&lt;&gt;""))*(('T_TTAFStock'!CA64&lt;&gt;""))&gt;0,'T_SelfStock'!CA64+'T_TTAFStock'!CA64,BZ60+'Grid_Incoming'!CA60-'Grid_Requirement'!CA60))</f>
        <v/>
      </c>
      <c r="CB60">
        <f>IF(COUNTIFS(T_StockCount[Part Name],$A60,T_StockCount[WeekIndex],79)&gt;0,SUMIFS(T_StockCount[CountedQty],T_StockCount[Part Name],$A60,T_StockCount[WeekIndex],79),IF((('T_SelfStock'!CB64&lt;&gt;""))*(('T_TTAFStock'!CB64&lt;&gt;""))&gt;0,'T_SelfStock'!CB64+'T_TTAFStock'!CB64,CA60+'Grid_Incoming'!CB60-'Grid_Requirement'!CB60))</f>
        <v/>
      </c>
      <c r="CC60">
        <f>IF(COUNTIFS(T_StockCount[Part Name],$A60,T_StockCount[WeekIndex],80)&gt;0,SUMIFS(T_StockCount[CountedQty],T_StockCount[Part Name],$A60,T_StockCount[WeekIndex],80),IF((('T_SelfStock'!CC64&lt;&gt;""))*(('T_TTAFStock'!CC64&lt;&gt;""))&gt;0,'T_SelfStock'!CC64+'T_TTAFStock'!CC64,CB60+'Grid_Incoming'!CC60-'Grid_Requirement'!CC60))</f>
        <v/>
      </c>
      <c r="CD60">
        <f>IF(COUNTIFS(T_StockCount[Part Name],$A60,T_StockCount[WeekIndex],81)&gt;0,SUMIFS(T_StockCount[CountedQty],T_StockCount[Part Name],$A60,T_StockCount[WeekIndex],81),IF((('T_SelfStock'!CD64&lt;&gt;""))*(('T_TTAFStock'!CD64&lt;&gt;""))&gt;0,'T_SelfStock'!CD64+'T_TTAFStock'!CD64,CC60+'Grid_Incoming'!CD60-'Grid_Requirement'!CD60))</f>
        <v/>
      </c>
      <c r="CE60">
        <f>IF(COUNTIFS(T_StockCount[Part Name],$A60,T_StockCount[WeekIndex],82)&gt;0,SUMIFS(T_StockCount[CountedQty],T_StockCount[Part Name],$A60,T_StockCount[WeekIndex],82),IF((('T_SelfStock'!CE64&lt;&gt;""))*(('T_TTAFStock'!CE64&lt;&gt;""))&gt;0,'T_SelfStock'!CE64+'T_TTAFStock'!CE64,CD60+'Grid_Incoming'!CE60-'Grid_Requirement'!CE60))</f>
        <v/>
      </c>
      <c r="CF60">
        <f>IF(COUNTIFS(T_StockCount[Part Name],$A60,T_StockCount[WeekIndex],83)&gt;0,SUMIFS(T_StockCount[CountedQty],T_StockCount[Part Name],$A60,T_StockCount[WeekIndex],83),IF((('T_SelfStock'!CF64&lt;&gt;""))*(('T_TTAFStock'!CF64&lt;&gt;""))&gt;0,'T_SelfStock'!CF64+'T_TTAFStock'!CF64,CE60+'Grid_Incoming'!CF60-'Grid_Requirement'!CF60))</f>
        <v/>
      </c>
      <c r="CG60">
        <f>IF(COUNTIFS(T_StockCount[Part Name],$A60,T_StockCount[WeekIndex],84)&gt;0,SUMIFS(T_StockCount[CountedQty],T_StockCount[Part Name],$A60,T_StockCount[WeekIndex],84),IF((('T_SelfStock'!CG64&lt;&gt;""))*(('T_TTAFStock'!CG64&lt;&gt;""))&gt;0,'T_SelfStock'!CG64+'T_TTAFStock'!CG64,CF60+'Grid_Incoming'!CG60-'Grid_Requirement'!CG60))</f>
        <v/>
      </c>
      <c r="CH60">
        <f>IF(COUNTIFS(T_StockCount[Part Name],$A60,T_StockCount[WeekIndex],85)&gt;0,SUMIFS(T_StockCount[CountedQty],T_StockCount[Part Name],$A60,T_StockCount[WeekIndex],85),IF((('T_SelfStock'!CH64&lt;&gt;""))*(('T_TTAFStock'!CH64&lt;&gt;""))&gt;0,'T_SelfStock'!CH64+'T_TTAFStock'!CH64,CG60+'Grid_Incoming'!CH60-'Grid_Requirement'!CH60))</f>
        <v/>
      </c>
      <c r="CI60">
        <f>IF(COUNTIFS(T_StockCount[Part Name],$A60,T_StockCount[WeekIndex],86)&gt;0,SUMIFS(T_StockCount[CountedQty],T_StockCount[Part Name],$A60,T_StockCount[WeekIndex],86),IF((('T_SelfStock'!CI64&lt;&gt;""))*(('T_TTAFStock'!CI64&lt;&gt;""))&gt;0,'T_SelfStock'!CI64+'T_TTAFStock'!CI64,CH60+'Grid_Incoming'!CI60-'Grid_Requirement'!CI60))</f>
        <v/>
      </c>
      <c r="CJ60">
        <f>IF(COUNTIFS(T_StockCount[Part Name],$A60,T_StockCount[WeekIndex],87)&gt;0,SUMIFS(T_StockCount[CountedQty],T_StockCount[Part Name],$A60,T_StockCount[WeekIndex],87),IF((('T_SelfStock'!CJ64&lt;&gt;""))*(('T_TTAFStock'!CJ64&lt;&gt;""))&gt;0,'T_SelfStock'!CJ64+'T_TTAFStock'!CJ64,CI60+'Grid_Incoming'!CJ60-'Grid_Requirement'!CJ60))</f>
        <v/>
      </c>
      <c r="CK60">
        <f>IF(COUNTIFS(T_StockCount[Part Name],$A60,T_StockCount[WeekIndex],88)&gt;0,SUMIFS(T_StockCount[CountedQty],T_StockCount[Part Name],$A60,T_StockCount[WeekIndex],88),IF((('T_SelfStock'!CK64&lt;&gt;""))*(('T_TTAFStock'!CK64&lt;&gt;""))&gt;0,'T_SelfStock'!CK64+'T_TTAFStock'!CK64,CJ60+'Grid_Incoming'!CK60-'Grid_Requirement'!CK60))</f>
        <v/>
      </c>
      <c r="CL60">
        <f>IF(COUNTIFS(T_StockCount[Part Name],$A60,T_StockCount[WeekIndex],89)&gt;0,SUMIFS(T_StockCount[CountedQty],T_StockCount[Part Name],$A60,T_StockCount[WeekIndex],89),IF((('T_SelfStock'!CL64&lt;&gt;""))*(('T_TTAFStock'!CL64&lt;&gt;""))&gt;0,'T_SelfStock'!CL64+'T_TTAFStock'!CL64,CK60+'Grid_Incoming'!CL60-'Grid_Requirement'!CL60))</f>
        <v/>
      </c>
      <c r="CM60">
        <f>IF(COUNTIFS(T_StockCount[Part Name],$A60,T_StockCount[WeekIndex],90)&gt;0,SUMIFS(T_StockCount[CountedQty],T_StockCount[Part Name],$A60,T_StockCount[WeekIndex],90),IF((('T_SelfStock'!CM64&lt;&gt;""))*(('T_TTAFStock'!CM64&lt;&gt;""))&gt;0,'T_SelfStock'!CM64+'T_TTAFStock'!CM64,CL60+'Grid_Incoming'!CM60-'Grid_Requirement'!CM60))</f>
        <v/>
      </c>
      <c r="CN60">
        <f>IF(COUNTIFS(T_StockCount[Part Name],$A60,T_StockCount[WeekIndex],91)&gt;0,SUMIFS(T_StockCount[CountedQty],T_StockCount[Part Name],$A60,T_StockCount[WeekIndex],91),IF((('T_SelfStock'!CN64&lt;&gt;""))*(('T_TTAFStock'!CN64&lt;&gt;""))&gt;0,'T_SelfStock'!CN64+'T_TTAFStock'!CN64,CM60+'Grid_Incoming'!CN60-'Grid_Requirement'!CN60))</f>
        <v/>
      </c>
      <c r="CO60">
        <f>IF(COUNTIFS(T_StockCount[Part Name],$A60,T_StockCount[WeekIndex],92)&gt;0,SUMIFS(T_StockCount[CountedQty],T_StockCount[Part Name],$A60,T_StockCount[WeekIndex],92),IF((('T_SelfStock'!CO64&lt;&gt;""))*(('T_TTAFStock'!CO64&lt;&gt;""))&gt;0,'T_SelfStock'!CO64+'T_TTAFStock'!CO64,CN60+'Grid_Incoming'!CO60-'Grid_Requirement'!CO60))</f>
        <v/>
      </c>
      <c r="CP60">
        <f>IF(COUNTIFS(T_StockCount[Part Name],$A60,T_StockCount[WeekIndex],93)&gt;0,SUMIFS(T_StockCount[CountedQty],T_StockCount[Part Name],$A60,T_StockCount[WeekIndex],93),IF((('T_SelfStock'!CP64&lt;&gt;""))*(('T_TTAFStock'!CP64&lt;&gt;""))&gt;0,'T_SelfStock'!CP64+'T_TTAFStock'!CP64,CO60+'Grid_Incoming'!CP60-'Grid_Requirement'!CP60))</f>
        <v/>
      </c>
      <c r="CQ60">
        <f>IF(COUNTIFS(T_StockCount[Part Name],$A60,T_StockCount[WeekIndex],94)&gt;0,SUMIFS(T_StockCount[CountedQty],T_StockCount[Part Name],$A60,T_StockCount[WeekIndex],94),IF((('T_SelfStock'!CQ64&lt;&gt;""))*(('T_TTAFStock'!CQ64&lt;&gt;""))&gt;0,'T_SelfStock'!CQ64+'T_TTAFStock'!CQ64,CP60+'Grid_Incoming'!CQ60-'Grid_Requirement'!CQ60))</f>
        <v/>
      </c>
      <c r="CR60">
        <f>IF(COUNTIFS(T_StockCount[Part Name],$A60,T_StockCount[WeekIndex],95)&gt;0,SUMIFS(T_StockCount[CountedQty],T_StockCount[Part Name],$A60,T_StockCount[WeekIndex],95),IF((('T_SelfStock'!CR64&lt;&gt;""))*(('T_TTAFStock'!CR64&lt;&gt;""))&gt;0,'T_SelfStock'!CR64+'T_TTAFStock'!CR64,CQ60+'Grid_Incoming'!CR60-'Grid_Requirement'!CR60))</f>
        <v/>
      </c>
      <c r="CS60">
        <f>IF(COUNTIFS(T_StockCount[Part Name],$A60,T_StockCount[WeekIndex],96)&gt;0,SUMIFS(T_StockCount[CountedQty],T_StockCount[Part Name],$A60,T_StockCount[WeekIndex],96),IF((('T_SelfStock'!CS64&lt;&gt;""))*(('T_TTAFStock'!CS64&lt;&gt;""))&gt;0,'T_SelfStock'!CS64+'T_TTAFStock'!CS64,CR60+'Grid_Incoming'!CS60-'Grid_Requirement'!CS60))</f>
        <v/>
      </c>
      <c r="CT60">
        <f>IF(COUNTIFS(T_StockCount[Part Name],$A60,T_StockCount[WeekIndex],97)&gt;0,SUMIFS(T_StockCount[CountedQty],T_StockCount[Part Name],$A60,T_StockCount[WeekIndex],97),IF((('T_SelfStock'!CT64&lt;&gt;""))*(('T_TTAFStock'!CT64&lt;&gt;""))&gt;0,'T_SelfStock'!CT64+'T_TTAFStock'!CT64,CS60+'Grid_Incoming'!CT60-'Grid_Requirement'!CT60))</f>
        <v/>
      </c>
      <c r="CU60">
        <f>IF(COUNTIFS(T_StockCount[Part Name],$A60,T_StockCount[WeekIndex],98)&gt;0,SUMIFS(T_StockCount[CountedQty],T_StockCount[Part Name],$A60,T_StockCount[WeekIndex],98),IF((('T_SelfStock'!CU64&lt;&gt;""))*(('T_TTAFStock'!CU64&lt;&gt;""))&gt;0,'T_SelfStock'!CU64+'T_TTAFStock'!CU64,CT60+'Grid_Incoming'!CU60-'Grid_Requirement'!CU60))</f>
        <v/>
      </c>
      <c r="CV60">
        <f>IF(COUNTIFS(T_StockCount[Part Name],$A60,T_StockCount[WeekIndex],99)&gt;0,SUMIFS(T_StockCount[CountedQty],T_StockCount[Part Name],$A60,T_StockCount[WeekIndex],99),IF((('T_SelfStock'!CV64&lt;&gt;""))*(('T_TTAFStock'!CV64&lt;&gt;""))&gt;0,'T_SelfStock'!CV64+'T_TTAFStock'!CV64,CU60+'Grid_Incoming'!CV60-'Grid_Requirement'!CV60))</f>
        <v/>
      </c>
      <c r="CW60">
        <f>IF(COUNTIFS(T_StockCount[Part Name],$A60,T_StockCount[WeekIndex],100)&gt;0,SUMIFS(T_StockCount[CountedQty],T_StockCount[Part Name],$A60,T_StockCount[WeekIndex],100),IF((('T_SelfStock'!CW64&lt;&gt;""))*(('T_TTAFStock'!CW64&lt;&gt;""))&gt;0,'T_SelfStock'!CW64+'T_TTAFStock'!CW64,CV60+'Grid_Incoming'!CW60-'Grid_Requirement'!CW60))</f>
        <v/>
      </c>
      <c r="CX60">
        <f>IF(COUNTIFS(T_StockCount[Part Name],$A60,T_StockCount[WeekIndex],101)&gt;0,SUMIFS(T_StockCount[CountedQty],T_StockCount[Part Name],$A60,T_StockCount[WeekIndex],101),IF((('T_SelfStock'!CX64&lt;&gt;""))*(('T_TTAFStock'!CX64&lt;&gt;""))&gt;0,'T_SelfStock'!CX64+'T_TTAFStock'!CX64,CW60+'Grid_Incoming'!CX60-'Grid_Requirement'!CX60))</f>
        <v/>
      </c>
      <c r="CY60">
        <f>IF(COUNTIFS(T_StockCount[Part Name],$A60,T_StockCount[WeekIndex],102)&gt;0,SUMIFS(T_StockCount[CountedQty],T_StockCount[Part Name],$A60,T_StockCount[WeekIndex],102),IF((('T_SelfStock'!CY64&lt;&gt;""))*(('T_TTAFStock'!CY64&lt;&gt;""))&gt;0,'T_SelfStock'!CY64+'T_TTAFStock'!CY64,CX60+'Grid_Incoming'!CY60-'Grid_Requirement'!CY60))</f>
        <v/>
      </c>
      <c r="CZ60">
        <f>IF(COUNTIFS(T_StockCount[Part Name],$A60,T_StockCount[WeekIndex],103)&gt;0,SUMIFS(T_StockCount[CountedQty],T_StockCount[Part Name],$A60,T_StockCount[WeekIndex],103),IF((('T_SelfStock'!CZ64&lt;&gt;""))*(('T_TTAFStock'!CZ64&lt;&gt;""))&gt;0,'T_SelfStock'!CZ64+'T_TTAFStock'!CZ64,CY60+'Grid_Incoming'!CZ60-'Grid_Requirement'!CZ60))</f>
        <v/>
      </c>
      <c r="DA60">
        <f>IF(COUNTIFS(T_StockCount[Part Name],$A60,T_StockCount[WeekIndex],104)&gt;0,SUMIFS(T_StockCount[CountedQty],T_StockCount[Part Name],$A60,T_StockCount[WeekIndex],104),IF((('T_SelfStock'!DA64&lt;&gt;""))*(('T_TTAFStock'!DA64&lt;&gt;""))&gt;0,'T_SelfStock'!DA64+'T_TTAFStock'!DA64,CZ60+'Grid_Incoming'!DA60-'Grid_Requirement'!DA60))</f>
        <v/>
      </c>
    </row>
    <row r="61">
      <c r="A61" t="inlineStr">
        <is>
          <t>CHEM-1720</t>
        </is>
      </c>
      <c r="B61">
        <f>IF(COUNTIFS(T_StockCount[Part Name],$A61,T_StockCount[WeekIndex],1)&gt;0,SUMIFS(T_StockCount[CountedQty],T_StockCount[Part Name],$A61,T_StockCount[WeekIndex],1),IF((('T_SelfStock'!B65&lt;&gt;""))*(('T_TTAFStock'!B65&lt;&gt;""))&gt;0,'T_SelfStock'!B65+'T_TTAFStock'!B65,IFERROR(INDEX(T_OpeningStock[Opening_Qty_要入力],MATCH($A61,T_OpeningStock[Part Name],0)),0)+'Grid_Incoming'!B61-'Grid_Requirement'!B61))</f>
        <v/>
      </c>
      <c r="C61">
        <f>IF(COUNTIFS(T_StockCount[Part Name],$A61,T_StockCount[WeekIndex],2)&gt;0,SUMIFS(T_StockCount[CountedQty],T_StockCount[Part Name],$A61,T_StockCount[WeekIndex],2),IF((('T_SelfStock'!C65&lt;&gt;""))*(('T_TTAFStock'!C65&lt;&gt;""))&gt;0,'T_SelfStock'!C65+'T_TTAFStock'!C65,B61+'Grid_Incoming'!C61-'Grid_Requirement'!C61))</f>
        <v/>
      </c>
      <c r="D61">
        <f>IF(COUNTIFS(T_StockCount[Part Name],$A61,T_StockCount[WeekIndex],3)&gt;0,SUMIFS(T_StockCount[CountedQty],T_StockCount[Part Name],$A61,T_StockCount[WeekIndex],3),IF((('T_SelfStock'!D65&lt;&gt;""))*(('T_TTAFStock'!D65&lt;&gt;""))&gt;0,'T_SelfStock'!D65+'T_TTAFStock'!D65,C61+'Grid_Incoming'!D61-'Grid_Requirement'!D61))</f>
        <v/>
      </c>
      <c r="E61">
        <f>IF(COUNTIFS(T_StockCount[Part Name],$A61,T_StockCount[WeekIndex],4)&gt;0,SUMIFS(T_StockCount[CountedQty],T_StockCount[Part Name],$A61,T_StockCount[WeekIndex],4),IF((('T_SelfStock'!E65&lt;&gt;""))*(('T_TTAFStock'!E65&lt;&gt;""))&gt;0,'T_SelfStock'!E65+'T_TTAFStock'!E65,D61+'Grid_Incoming'!E61-'Grid_Requirement'!E61))</f>
        <v/>
      </c>
      <c r="F61">
        <f>IF(COUNTIFS(T_StockCount[Part Name],$A61,T_StockCount[WeekIndex],5)&gt;0,SUMIFS(T_StockCount[CountedQty],T_StockCount[Part Name],$A61,T_StockCount[WeekIndex],5),IF((('T_SelfStock'!F65&lt;&gt;""))*(('T_TTAFStock'!F65&lt;&gt;""))&gt;0,'T_SelfStock'!F65+'T_TTAFStock'!F65,E61+'Grid_Incoming'!F61-'Grid_Requirement'!F61))</f>
        <v/>
      </c>
      <c r="G61">
        <f>IF(COUNTIFS(T_StockCount[Part Name],$A61,T_StockCount[WeekIndex],6)&gt;0,SUMIFS(T_StockCount[CountedQty],T_StockCount[Part Name],$A61,T_StockCount[WeekIndex],6),IF((('T_SelfStock'!G65&lt;&gt;""))*(('T_TTAFStock'!G65&lt;&gt;""))&gt;0,'T_SelfStock'!G65+'T_TTAFStock'!G65,F61+'Grid_Incoming'!G61-'Grid_Requirement'!G61))</f>
        <v/>
      </c>
      <c r="H61">
        <f>IF(COUNTIFS(T_StockCount[Part Name],$A61,T_StockCount[WeekIndex],7)&gt;0,SUMIFS(T_StockCount[CountedQty],T_StockCount[Part Name],$A61,T_StockCount[WeekIndex],7),IF((('T_SelfStock'!H65&lt;&gt;""))*(('T_TTAFStock'!H65&lt;&gt;""))&gt;0,'T_SelfStock'!H65+'T_TTAFStock'!H65,G61+'Grid_Incoming'!H61-'Grid_Requirement'!H61))</f>
        <v/>
      </c>
      <c r="I61">
        <f>IF(COUNTIFS(T_StockCount[Part Name],$A61,T_StockCount[WeekIndex],8)&gt;0,SUMIFS(T_StockCount[CountedQty],T_StockCount[Part Name],$A61,T_StockCount[WeekIndex],8),IF((('T_SelfStock'!I65&lt;&gt;""))*(('T_TTAFStock'!I65&lt;&gt;""))&gt;0,'T_SelfStock'!I65+'T_TTAFStock'!I65,H61+'Grid_Incoming'!I61-'Grid_Requirement'!I61))</f>
        <v/>
      </c>
      <c r="J61">
        <f>IF(COUNTIFS(T_StockCount[Part Name],$A61,T_StockCount[WeekIndex],9)&gt;0,SUMIFS(T_StockCount[CountedQty],T_StockCount[Part Name],$A61,T_StockCount[WeekIndex],9),IF((('T_SelfStock'!J65&lt;&gt;""))*(('T_TTAFStock'!J65&lt;&gt;""))&gt;0,'T_SelfStock'!J65+'T_TTAFStock'!J65,I61+'Grid_Incoming'!J61-'Grid_Requirement'!J61))</f>
        <v/>
      </c>
      <c r="K61">
        <f>IF(COUNTIFS(T_StockCount[Part Name],$A61,T_StockCount[WeekIndex],10)&gt;0,SUMIFS(T_StockCount[CountedQty],T_StockCount[Part Name],$A61,T_StockCount[WeekIndex],10),IF((('T_SelfStock'!K65&lt;&gt;""))*(('T_TTAFStock'!K65&lt;&gt;""))&gt;0,'T_SelfStock'!K65+'T_TTAFStock'!K65,J61+'Grid_Incoming'!K61-'Grid_Requirement'!K61))</f>
        <v/>
      </c>
      <c r="L61">
        <f>IF(COUNTIFS(T_StockCount[Part Name],$A61,T_StockCount[WeekIndex],11)&gt;0,SUMIFS(T_StockCount[CountedQty],T_StockCount[Part Name],$A61,T_StockCount[WeekIndex],11),IF((('T_SelfStock'!L65&lt;&gt;""))*(('T_TTAFStock'!L65&lt;&gt;""))&gt;0,'T_SelfStock'!L65+'T_TTAFStock'!L65,K61+'Grid_Incoming'!L61-'Grid_Requirement'!L61))</f>
        <v/>
      </c>
      <c r="M61">
        <f>IF(COUNTIFS(T_StockCount[Part Name],$A61,T_StockCount[WeekIndex],12)&gt;0,SUMIFS(T_StockCount[CountedQty],T_StockCount[Part Name],$A61,T_StockCount[WeekIndex],12),IF((('T_SelfStock'!M65&lt;&gt;""))*(('T_TTAFStock'!M65&lt;&gt;""))&gt;0,'T_SelfStock'!M65+'T_TTAFStock'!M65,L61+'Grid_Incoming'!M61-'Grid_Requirement'!M61))</f>
        <v/>
      </c>
      <c r="N61">
        <f>IF(COUNTIFS(T_StockCount[Part Name],$A61,T_StockCount[WeekIndex],13)&gt;0,SUMIFS(T_StockCount[CountedQty],T_StockCount[Part Name],$A61,T_StockCount[WeekIndex],13),IF((('T_SelfStock'!N65&lt;&gt;""))*(('T_TTAFStock'!N65&lt;&gt;""))&gt;0,'T_SelfStock'!N65+'T_TTAFStock'!N65,M61+'Grid_Incoming'!N61-'Grid_Requirement'!N61))</f>
        <v/>
      </c>
      <c r="O61">
        <f>IF(COUNTIFS(T_StockCount[Part Name],$A61,T_StockCount[WeekIndex],14)&gt;0,SUMIFS(T_StockCount[CountedQty],T_StockCount[Part Name],$A61,T_StockCount[WeekIndex],14),IF((('T_SelfStock'!O65&lt;&gt;""))*(('T_TTAFStock'!O65&lt;&gt;""))&gt;0,'T_SelfStock'!O65+'T_TTAFStock'!O65,N61+'Grid_Incoming'!O61-'Grid_Requirement'!O61))</f>
        <v/>
      </c>
      <c r="P61">
        <f>IF(COUNTIFS(T_StockCount[Part Name],$A61,T_StockCount[WeekIndex],15)&gt;0,SUMIFS(T_StockCount[CountedQty],T_StockCount[Part Name],$A61,T_StockCount[WeekIndex],15),IF((('T_SelfStock'!P65&lt;&gt;""))*(('T_TTAFStock'!P65&lt;&gt;""))&gt;0,'T_SelfStock'!P65+'T_TTAFStock'!P65,O61+'Grid_Incoming'!P61-'Grid_Requirement'!P61))</f>
        <v/>
      </c>
      <c r="Q61">
        <f>IF(COUNTIFS(T_StockCount[Part Name],$A61,T_StockCount[WeekIndex],16)&gt;0,SUMIFS(T_StockCount[CountedQty],T_StockCount[Part Name],$A61,T_StockCount[WeekIndex],16),IF((('T_SelfStock'!Q65&lt;&gt;""))*(('T_TTAFStock'!Q65&lt;&gt;""))&gt;0,'T_SelfStock'!Q65+'T_TTAFStock'!Q65,P61+'Grid_Incoming'!Q61-'Grid_Requirement'!Q61))</f>
        <v/>
      </c>
      <c r="R61">
        <f>IF(COUNTIFS(T_StockCount[Part Name],$A61,T_StockCount[WeekIndex],17)&gt;0,SUMIFS(T_StockCount[CountedQty],T_StockCount[Part Name],$A61,T_StockCount[WeekIndex],17),IF((('T_SelfStock'!R65&lt;&gt;""))*(('T_TTAFStock'!R65&lt;&gt;""))&gt;0,'T_SelfStock'!R65+'T_TTAFStock'!R65,Q61+'Grid_Incoming'!R61-'Grid_Requirement'!R61))</f>
        <v/>
      </c>
      <c r="S61">
        <f>IF(COUNTIFS(T_StockCount[Part Name],$A61,T_StockCount[WeekIndex],18)&gt;0,SUMIFS(T_StockCount[CountedQty],T_StockCount[Part Name],$A61,T_StockCount[WeekIndex],18),IF((('T_SelfStock'!S65&lt;&gt;""))*(('T_TTAFStock'!S65&lt;&gt;""))&gt;0,'T_SelfStock'!S65+'T_TTAFStock'!S65,R61+'Grid_Incoming'!S61-'Grid_Requirement'!S61))</f>
        <v/>
      </c>
      <c r="T61">
        <f>IF(COUNTIFS(T_StockCount[Part Name],$A61,T_StockCount[WeekIndex],19)&gt;0,SUMIFS(T_StockCount[CountedQty],T_StockCount[Part Name],$A61,T_StockCount[WeekIndex],19),IF((('T_SelfStock'!T65&lt;&gt;""))*(('T_TTAFStock'!T65&lt;&gt;""))&gt;0,'T_SelfStock'!T65+'T_TTAFStock'!T65,S61+'Grid_Incoming'!T61-'Grid_Requirement'!T61))</f>
        <v/>
      </c>
      <c r="U61">
        <f>IF(COUNTIFS(T_StockCount[Part Name],$A61,T_StockCount[WeekIndex],20)&gt;0,SUMIFS(T_StockCount[CountedQty],T_StockCount[Part Name],$A61,T_StockCount[WeekIndex],20),IF((('T_SelfStock'!U65&lt;&gt;""))*(('T_TTAFStock'!U65&lt;&gt;""))&gt;0,'T_SelfStock'!U65+'T_TTAFStock'!U65,T61+'Grid_Incoming'!U61-'Grid_Requirement'!U61))</f>
        <v/>
      </c>
      <c r="V61">
        <f>IF(COUNTIFS(T_StockCount[Part Name],$A61,T_StockCount[WeekIndex],21)&gt;0,SUMIFS(T_StockCount[CountedQty],T_StockCount[Part Name],$A61,T_StockCount[WeekIndex],21),IF((('T_SelfStock'!V65&lt;&gt;""))*(('T_TTAFStock'!V65&lt;&gt;""))&gt;0,'T_SelfStock'!V65+'T_TTAFStock'!V65,U61+'Grid_Incoming'!V61-'Grid_Requirement'!V61))</f>
        <v/>
      </c>
      <c r="W61">
        <f>IF(COUNTIFS(T_StockCount[Part Name],$A61,T_StockCount[WeekIndex],22)&gt;0,SUMIFS(T_StockCount[CountedQty],T_StockCount[Part Name],$A61,T_StockCount[WeekIndex],22),IF((('T_SelfStock'!W65&lt;&gt;""))*(('T_TTAFStock'!W65&lt;&gt;""))&gt;0,'T_SelfStock'!W65+'T_TTAFStock'!W65,V61+'Grid_Incoming'!W61-'Grid_Requirement'!W61))</f>
        <v/>
      </c>
      <c r="X61">
        <f>IF(COUNTIFS(T_StockCount[Part Name],$A61,T_StockCount[WeekIndex],23)&gt;0,SUMIFS(T_StockCount[CountedQty],T_StockCount[Part Name],$A61,T_StockCount[WeekIndex],23),IF((('T_SelfStock'!X65&lt;&gt;""))*(('T_TTAFStock'!X65&lt;&gt;""))&gt;0,'T_SelfStock'!X65+'T_TTAFStock'!X65,W61+'Grid_Incoming'!X61-'Grid_Requirement'!X61))</f>
        <v/>
      </c>
      <c r="Y61">
        <f>IF(COUNTIFS(T_StockCount[Part Name],$A61,T_StockCount[WeekIndex],24)&gt;0,SUMIFS(T_StockCount[CountedQty],T_StockCount[Part Name],$A61,T_StockCount[WeekIndex],24),IF((('T_SelfStock'!Y65&lt;&gt;""))*(('T_TTAFStock'!Y65&lt;&gt;""))&gt;0,'T_SelfStock'!Y65+'T_TTAFStock'!Y65,X61+'Grid_Incoming'!Y61-'Grid_Requirement'!Y61))</f>
        <v/>
      </c>
      <c r="Z61">
        <f>IF(COUNTIFS(T_StockCount[Part Name],$A61,T_StockCount[WeekIndex],25)&gt;0,SUMIFS(T_StockCount[CountedQty],T_StockCount[Part Name],$A61,T_StockCount[WeekIndex],25),IF((('T_SelfStock'!Z65&lt;&gt;""))*(('T_TTAFStock'!Z65&lt;&gt;""))&gt;0,'T_SelfStock'!Z65+'T_TTAFStock'!Z65,Y61+'Grid_Incoming'!Z61-'Grid_Requirement'!Z61))</f>
        <v/>
      </c>
      <c r="AA61">
        <f>IF(COUNTIFS(T_StockCount[Part Name],$A61,T_StockCount[WeekIndex],26)&gt;0,SUMIFS(T_StockCount[CountedQty],T_StockCount[Part Name],$A61,T_StockCount[WeekIndex],26),IF((('T_SelfStock'!AA65&lt;&gt;""))*(('T_TTAFStock'!AA65&lt;&gt;""))&gt;0,'T_SelfStock'!AA65+'T_TTAFStock'!AA65,Z61+'Grid_Incoming'!AA61-'Grid_Requirement'!AA61))</f>
        <v/>
      </c>
      <c r="AB61">
        <f>IF(COUNTIFS(T_StockCount[Part Name],$A61,T_StockCount[WeekIndex],27)&gt;0,SUMIFS(T_StockCount[CountedQty],T_StockCount[Part Name],$A61,T_StockCount[WeekIndex],27),IF((('T_SelfStock'!AB65&lt;&gt;""))*(('T_TTAFStock'!AB65&lt;&gt;""))&gt;0,'T_SelfStock'!AB65+'T_TTAFStock'!AB65,AA61+'Grid_Incoming'!AB61-'Grid_Requirement'!AB61))</f>
        <v/>
      </c>
      <c r="AC61">
        <f>IF(COUNTIFS(T_StockCount[Part Name],$A61,T_StockCount[WeekIndex],28)&gt;0,SUMIFS(T_StockCount[CountedQty],T_StockCount[Part Name],$A61,T_StockCount[WeekIndex],28),IF((('T_SelfStock'!AC65&lt;&gt;""))*(('T_TTAFStock'!AC65&lt;&gt;""))&gt;0,'T_SelfStock'!AC65+'T_TTAFStock'!AC65,AB61+'Grid_Incoming'!AC61-'Grid_Requirement'!AC61))</f>
        <v/>
      </c>
      <c r="AD61">
        <f>IF(COUNTIFS(T_StockCount[Part Name],$A61,T_StockCount[WeekIndex],29)&gt;0,SUMIFS(T_StockCount[CountedQty],T_StockCount[Part Name],$A61,T_StockCount[WeekIndex],29),IF((('T_SelfStock'!AD65&lt;&gt;""))*(('T_TTAFStock'!AD65&lt;&gt;""))&gt;0,'T_SelfStock'!AD65+'T_TTAFStock'!AD65,AC61+'Grid_Incoming'!AD61-'Grid_Requirement'!AD61))</f>
        <v/>
      </c>
      <c r="AE61">
        <f>IF(COUNTIFS(T_StockCount[Part Name],$A61,T_StockCount[WeekIndex],30)&gt;0,SUMIFS(T_StockCount[CountedQty],T_StockCount[Part Name],$A61,T_StockCount[WeekIndex],30),IF((('T_SelfStock'!AE65&lt;&gt;""))*(('T_TTAFStock'!AE65&lt;&gt;""))&gt;0,'T_SelfStock'!AE65+'T_TTAFStock'!AE65,AD61+'Grid_Incoming'!AE61-'Grid_Requirement'!AE61))</f>
        <v/>
      </c>
      <c r="AF61">
        <f>IF(COUNTIFS(T_StockCount[Part Name],$A61,T_StockCount[WeekIndex],31)&gt;0,SUMIFS(T_StockCount[CountedQty],T_StockCount[Part Name],$A61,T_StockCount[WeekIndex],31),IF((('T_SelfStock'!AF65&lt;&gt;""))*(('T_TTAFStock'!AF65&lt;&gt;""))&gt;0,'T_SelfStock'!AF65+'T_TTAFStock'!AF65,AE61+'Grid_Incoming'!AF61-'Grid_Requirement'!AF61))</f>
        <v/>
      </c>
      <c r="AG61">
        <f>IF(COUNTIFS(T_StockCount[Part Name],$A61,T_StockCount[WeekIndex],32)&gt;0,SUMIFS(T_StockCount[CountedQty],T_StockCount[Part Name],$A61,T_StockCount[WeekIndex],32),IF((('T_SelfStock'!AG65&lt;&gt;""))*(('T_TTAFStock'!AG65&lt;&gt;""))&gt;0,'T_SelfStock'!AG65+'T_TTAFStock'!AG65,AF61+'Grid_Incoming'!AG61-'Grid_Requirement'!AG61))</f>
        <v/>
      </c>
      <c r="AH61">
        <f>IF(COUNTIFS(T_StockCount[Part Name],$A61,T_StockCount[WeekIndex],33)&gt;0,SUMIFS(T_StockCount[CountedQty],T_StockCount[Part Name],$A61,T_StockCount[WeekIndex],33),IF((('T_SelfStock'!AH65&lt;&gt;""))*(('T_TTAFStock'!AH65&lt;&gt;""))&gt;0,'T_SelfStock'!AH65+'T_TTAFStock'!AH65,AG61+'Grid_Incoming'!AH61-'Grid_Requirement'!AH61))</f>
        <v/>
      </c>
      <c r="AI61">
        <f>IF(COUNTIFS(T_StockCount[Part Name],$A61,T_StockCount[WeekIndex],34)&gt;0,SUMIFS(T_StockCount[CountedQty],T_StockCount[Part Name],$A61,T_StockCount[WeekIndex],34),IF((('T_SelfStock'!AI65&lt;&gt;""))*(('T_TTAFStock'!AI65&lt;&gt;""))&gt;0,'T_SelfStock'!AI65+'T_TTAFStock'!AI65,AH61+'Grid_Incoming'!AI61-'Grid_Requirement'!AI61))</f>
        <v/>
      </c>
      <c r="AJ61">
        <f>IF(COUNTIFS(T_StockCount[Part Name],$A61,T_StockCount[WeekIndex],35)&gt;0,SUMIFS(T_StockCount[CountedQty],T_StockCount[Part Name],$A61,T_StockCount[WeekIndex],35),IF((('T_SelfStock'!AJ65&lt;&gt;""))*(('T_TTAFStock'!AJ65&lt;&gt;""))&gt;0,'T_SelfStock'!AJ65+'T_TTAFStock'!AJ65,AI61+'Grid_Incoming'!AJ61-'Grid_Requirement'!AJ61))</f>
        <v/>
      </c>
      <c r="AK61">
        <f>IF(COUNTIFS(T_StockCount[Part Name],$A61,T_StockCount[WeekIndex],36)&gt;0,SUMIFS(T_StockCount[CountedQty],T_StockCount[Part Name],$A61,T_StockCount[WeekIndex],36),IF((('T_SelfStock'!AK65&lt;&gt;""))*(('T_TTAFStock'!AK65&lt;&gt;""))&gt;0,'T_SelfStock'!AK65+'T_TTAFStock'!AK65,AJ61+'Grid_Incoming'!AK61-'Grid_Requirement'!AK61))</f>
        <v/>
      </c>
      <c r="AL61">
        <f>IF(COUNTIFS(T_StockCount[Part Name],$A61,T_StockCount[WeekIndex],37)&gt;0,SUMIFS(T_StockCount[CountedQty],T_StockCount[Part Name],$A61,T_StockCount[WeekIndex],37),IF((('T_SelfStock'!AL65&lt;&gt;""))*(('T_TTAFStock'!AL65&lt;&gt;""))&gt;0,'T_SelfStock'!AL65+'T_TTAFStock'!AL65,AK61+'Grid_Incoming'!AL61-'Grid_Requirement'!AL61))</f>
        <v/>
      </c>
      <c r="AM61">
        <f>IF(COUNTIFS(T_StockCount[Part Name],$A61,T_StockCount[WeekIndex],38)&gt;0,SUMIFS(T_StockCount[CountedQty],T_StockCount[Part Name],$A61,T_StockCount[WeekIndex],38),IF((('T_SelfStock'!AM65&lt;&gt;""))*(('T_TTAFStock'!AM65&lt;&gt;""))&gt;0,'T_SelfStock'!AM65+'T_TTAFStock'!AM65,AL61+'Grid_Incoming'!AM61-'Grid_Requirement'!AM61))</f>
        <v/>
      </c>
      <c r="AN61">
        <f>IF(COUNTIFS(T_StockCount[Part Name],$A61,T_StockCount[WeekIndex],39)&gt;0,SUMIFS(T_StockCount[CountedQty],T_StockCount[Part Name],$A61,T_StockCount[WeekIndex],39),IF((('T_SelfStock'!AN65&lt;&gt;""))*(('T_TTAFStock'!AN65&lt;&gt;""))&gt;0,'T_SelfStock'!AN65+'T_TTAFStock'!AN65,AM61+'Grid_Incoming'!AN61-'Grid_Requirement'!AN61))</f>
        <v/>
      </c>
      <c r="AO61">
        <f>IF(COUNTIFS(T_StockCount[Part Name],$A61,T_StockCount[WeekIndex],40)&gt;0,SUMIFS(T_StockCount[CountedQty],T_StockCount[Part Name],$A61,T_StockCount[WeekIndex],40),IF((('T_SelfStock'!AO65&lt;&gt;""))*(('T_TTAFStock'!AO65&lt;&gt;""))&gt;0,'T_SelfStock'!AO65+'T_TTAFStock'!AO65,AN61+'Grid_Incoming'!AO61-'Grid_Requirement'!AO61))</f>
        <v/>
      </c>
      <c r="AP61">
        <f>IF(COUNTIFS(T_StockCount[Part Name],$A61,T_StockCount[WeekIndex],41)&gt;0,SUMIFS(T_StockCount[CountedQty],T_StockCount[Part Name],$A61,T_StockCount[WeekIndex],41),IF((('T_SelfStock'!AP65&lt;&gt;""))*(('T_TTAFStock'!AP65&lt;&gt;""))&gt;0,'T_SelfStock'!AP65+'T_TTAFStock'!AP65,AO61+'Grid_Incoming'!AP61-'Grid_Requirement'!AP61))</f>
        <v/>
      </c>
      <c r="AQ61">
        <f>IF(COUNTIFS(T_StockCount[Part Name],$A61,T_StockCount[WeekIndex],42)&gt;0,SUMIFS(T_StockCount[CountedQty],T_StockCount[Part Name],$A61,T_StockCount[WeekIndex],42),IF((('T_SelfStock'!AQ65&lt;&gt;""))*(('T_TTAFStock'!AQ65&lt;&gt;""))&gt;0,'T_SelfStock'!AQ65+'T_TTAFStock'!AQ65,AP61+'Grid_Incoming'!AQ61-'Grid_Requirement'!AQ61))</f>
        <v/>
      </c>
      <c r="AR61">
        <f>IF(COUNTIFS(T_StockCount[Part Name],$A61,T_StockCount[WeekIndex],43)&gt;0,SUMIFS(T_StockCount[CountedQty],T_StockCount[Part Name],$A61,T_StockCount[WeekIndex],43),IF((('T_SelfStock'!AR65&lt;&gt;""))*(('T_TTAFStock'!AR65&lt;&gt;""))&gt;0,'T_SelfStock'!AR65+'T_TTAFStock'!AR65,AQ61+'Grid_Incoming'!AR61-'Grid_Requirement'!AR61))</f>
        <v/>
      </c>
      <c r="AS61">
        <f>IF(COUNTIFS(T_StockCount[Part Name],$A61,T_StockCount[WeekIndex],44)&gt;0,SUMIFS(T_StockCount[CountedQty],T_StockCount[Part Name],$A61,T_StockCount[WeekIndex],44),IF((('T_SelfStock'!AS65&lt;&gt;""))*(('T_TTAFStock'!AS65&lt;&gt;""))&gt;0,'T_SelfStock'!AS65+'T_TTAFStock'!AS65,AR61+'Grid_Incoming'!AS61-'Grid_Requirement'!AS61))</f>
        <v/>
      </c>
      <c r="AT61">
        <f>IF(COUNTIFS(T_StockCount[Part Name],$A61,T_StockCount[WeekIndex],45)&gt;0,SUMIFS(T_StockCount[CountedQty],T_StockCount[Part Name],$A61,T_StockCount[WeekIndex],45),IF((('T_SelfStock'!AT65&lt;&gt;""))*(('T_TTAFStock'!AT65&lt;&gt;""))&gt;0,'T_SelfStock'!AT65+'T_TTAFStock'!AT65,AS61+'Grid_Incoming'!AT61-'Grid_Requirement'!AT61))</f>
        <v/>
      </c>
      <c r="AU61">
        <f>IF(COUNTIFS(T_StockCount[Part Name],$A61,T_StockCount[WeekIndex],46)&gt;0,SUMIFS(T_StockCount[CountedQty],T_StockCount[Part Name],$A61,T_StockCount[WeekIndex],46),IF((('T_SelfStock'!AU65&lt;&gt;""))*(('T_TTAFStock'!AU65&lt;&gt;""))&gt;0,'T_SelfStock'!AU65+'T_TTAFStock'!AU65,AT61+'Grid_Incoming'!AU61-'Grid_Requirement'!AU61))</f>
        <v/>
      </c>
      <c r="AV61">
        <f>IF(COUNTIFS(T_StockCount[Part Name],$A61,T_StockCount[WeekIndex],47)&gt;0,SUMIFS(T_StockCount[CountedQty],T_StockCount[Part Name],$A61,T_StockCount[WeekIndex],47),IF((('T_SelfStock'!AV65&lt;&gt;""))*(('T_TTAFStock'!AV65&lt;&gt;""))&gt;0,'T_SelfStock'!AV65+'T_TTAFStock'!AV65,AU61+'Grid_Incoming'!AV61-'Grid_Requirement'!AV61))</f>
        <v/>
      </c>
      <c r="AW61">
        <f>IF(COUNTIFS(T_StockCount[Part Name],$A61,T_StockCount[WeekIndex],48)&gt;0,SUMIFS(T_StockCount[CountedQty],T_StockCount[Part Name],$A61,T_StockCount[WeekIndex],48),IF((('T_SelfStock'!AW65&lt;&gt;""))*(('T_TTAFStock'!AW65&lt;&gt;""))&gt;0,'T_SelfStock'!AW65+'T_TTAFStock'!AW65,AV61+'Grid_Incoming'!AW61-'Grid_Requirement'!AW61))</f>
        <v/>
      </c>
      <c r="AX61">
        <f>IF(COUNTIFS(T_StockCount[Part Name],$A61,T_StockCount[WeekIndex],49)&gt;0,SUMIFS(T_StockCount[CountedQty],T_StockCount[Part Name],$A61,T_StockCount[WeekIndex],49),IF((('T_SelfStock'!AX65&lt;&gt;""))*(('T_TTAFStock'!AX65&lt;&gt;""))&gt;0,'T_SelfStock'!AX65+'T_TTAFStock'!AX65,AW61+'Grid_Incoming'!AX61-'Grid_Requirement'!AX61))</f>
        <v/>
      </c>
      <c r="AY61">
        <f>IF(COUNTIFS(T_StockCount[Part Name],$A61,T_StockCount[WeekIndex],50)&gt;0,SUMIFS(T_StockCount[CountedQty],T_StockCount[Part Name],$A61,T_StockCount[WeekIndex],50),IF((('T_SelfStock'!AY65&lt;&gt;""))*(('T_TTAFStock'!AY65&lt;&gt;""))&gt;0,'T_SelfStock'!AY65+'T_TTAFStock'!AY65,AX61+'Grid_Incoming'!AY61-'Grid_Requirement'!AY61))</f>
        <v/>
      </c>
      <c r="AZ61">
        <f>IF(COUNTIFS(T_StockCount[Part Name],$A61,T_StockCount[WeekIndex],51)&gt;0,SUMIFS(T_StockCount[CountedQty],T_StockCount[Part Name],$A61,T_StockCount[WeekIndex],51),IF((('T_SelfStock'!AZ65&lt;&gt;""))*(('T_TTAFStock'!AZ65&lt;&gt;""))&gt;0,'T_SelfStock'!AZ65+'T_TTAFStock'!AZ65,AY61+'Grid_Incoming'!AZ61-'Grid_Requirement'!AZ61))</f>
        <v/>
      </c>
      <c r="BA61">
        <f>IF(COUNTIFS(T_StockCount[Part Name],$A61,T_StockCount[WeekIndex],52)&gt;0,SUMIFS(T_StockCount[CountedQty],T_StockCount[Part Name],$A61,T_StockCount[WeekIndex],52),IF((('T_SelfStock'!BA65&lt;&gt;""))*(('T_TTAFStock'!BA65&lt;&gt;""))&gt;0,'T_SelfStock'!BA65+'T_TTAFStock'!BA65,AZ61+'Grid_Incoming'!BA61-'Grid_Requirement'!BA61))</f>
        <v/>
      </c>
      <c r="BB61">
        <f>IF(COUNTIFS(T_StockCount[Part Name],$A61,T_StockCount[WeekIndex],53)&gt;0,SUMIFS(T_StockCount[CountedQty],T_StockCount[Part Name],$A61,T_StockCount[WeekIndex],53),IF((('T_SelfStock'!BB65&lt;&gt;""))*(('T_TTAFStock'!BB65&lt;&gt;""))&gt;0,'T_SelfStock'!BB65+'T_TTAFStock'!BB65,BA61+'Grid_Incoming'!BB61-'Grid_Requirement'!BB61))</f>
        <v/>
      </c>
      <c r="BC61">
        <f>IF(COUNTIFS(T_StockCount[Part Name],$A61,T_StockCount[WeekIndex],54)&gt;0,SUMIFS(T_StockCount[CountedQty],T_StockCount[Part Name],$A61,T_StockCount[WeekIndex],54),IF((('T_SelfStock'!BC65&lt;&gt;""))*(('T_TTAFStock'!BC65&lt;&gt;""))&gt;0,'T_SelfStock'!BC65+'T_TTAFStock'!BC65,BB61+'Grid_Incoming'!BC61-'Grid_Requirement'!BC61))</f>
        <v/>
      </c>
      <c r="BD61">
        <f>IF(COUNTIFS(T_StockCount[Part Name],$A61,T_StockCount[WeekIndex],55)&gt;0,SUMIFS(T_StockCount[CountedQty],T_StockCount[Part Name],$A61,T_StockCount[WeekIndex],55),IF((('T_SelfStock'!BD65&lt;&gt;""))*(('T_TTAFStock'!BD65&lt;&gt;""))&gt;0,'T_SelfStock'!BD65+'T_TTAFStock'!BD65,BC61+'Grid_Incoming'!BD61-'Grid_Requirement'!BD61))</f>
        <v/>
      </c>
      <c r="BE61">
        <f>IF(COUNTIFS(T_StockCount[Part Name],$A61,T_StockCount[WeekIndex],56)&gt;0,SUMIFS(T_StockCount[CountedQty],T_StockCount[Part Name],$A61,T_StockCount[WeekIndex],56),IF((('T_SelfStock'!BE65&lt;&gt;""))*(('T_TTAFStock'!BE65&lt;&gt;""))&gt;0,'T_SelfStock'!BE65+'T_TTAFStock'!BE65,BD61+'Grid_Incoming'!BE61-'Grid_Requirement'!BE61))</f>
        <v/>
      </c>
      <c r="BF61">
        <f>IF(COUNTIFS(T_StockCount[Part Name],$A61,T_StockCount[WeekIndex],57)&gt;0,SUMIFS(T_StockCount[CountedQty],T_StockCount[Part Name],$A61,T_StockCount[WeekIndex],57),IF((('T_SelfStock'!BF65&lt;&gt;""))*(('T_TTAFStock'!BF65&lt;&gt;""))&gt;0,'T_SelfStock'!BF65+'T_TTAFStock'!BF65,BE61+'Grid_Incoming'!BF61-'Grid_Requirement'!BF61))</f>
        <v/>
      </c>
      <c r="BG61">
        <f>IF(COUNTIFS(T_StockCount[Part Name],$A61,T_StockCount[WeekIndex],58)&gt;0,SUMIFS(T_StockCount[CountedQty],T_StockCount[Part Name],$A61,T_StockCount[WeekIndex],58),IF((('T_SelfStock'!BG65&lt;&gt;""))*(('T_TTAFStock'!BG65&lt;&gt;""))&gt;0,'T_SelfStock'!BG65+'T_TTAFStock'!BG65,BF61+'Grid_Incoming'!BG61-'Grid_Requirement'!BG61))</f>
        <v/>
      </c>
      <c r="BH61">
        <f>IF(COUNTIFS(T_StockCount[Part Name],$A61,T_StockCount[WeekIndex],59)&gt;0,SUMIFS(T_StockCount[CountedQty],T_StockCount[Part Name],$A61,T_StockCount[WeekIndex],59),IF((('T_SelfStock'!BH65&lt;&gt;""))*(('T_TTAFStock'!BH65&lt;&gt;""))&gt;0,'T_SelfStock'!BH65+'T_TTAFStock'!BH65,BG61+'Grid_Incoming'!BH61-'Grid_Requirement'!BH61))</f>
        <v/>
      </c>
      <c r="BI61">
        <f>IF(COUNTIFS(T_StockCount[Part Name],$A61,T_StockCount[WeekIndex],60)&gt;0,SUMIFS(T_StockCount[CountedQty],T_StockCount[Part Name],$A61,T_StockCount[WeekIndex],60),IF((('T_SelfStock'!BI65&lt;&gt;""))*(('T_TTAFStock'!BI65&lt;&gt;""))&gt;0,'T_SelfStock'!BI65+'T_TTAFStock'!BI65,BH61+'Grid_Incoming'!BI61-'Grid_Requirement'!BI61))</f>
        <v/>
      </c>
      <c r="BJ61">
        <f>IF(COUNTIFS(T_StockCount[Part Name],$A61,T_StockCount[WeekIndex],61)&gt;0,SUMIFS(T_StockCount[CountedQty],T_StockCount[Part Name],$A61,T_StockCount[WeekIndex],61),IF((('T_SelfStock'!BJ65&lt;&gt;""))*(('T_TTAFStock'!BJ65&lt;&gt;""))&gt;0,'T_SelfStock'!BJ65+'T_TTAFStock'!BJ65,BI61+'Grid_Incoming'!BJ61-'Grid_Requirement'!BJ61))</f>
        <v/>
      </c>
      <c r="BK61">
        <f>IF(COUNTIFS(T_StockCount[Part Name],$A61,T_StockCount[WeekIndex],62)&gt;0,SUMIFS(T_StockCount[CountedQty],T_StockCount[Part Name],$A61,T_StockCount[WeekIndex],62),IF((('T_SelfStock'!BK65&lt;&gt;""))*(('T_TTAFStock'!BK65&lt;&gt;""))&gt;0,'T_SelfStock'!BK65+'T_TTAFStock'!BK65,BJ61+'Grid_Incoming'!BK61-'Grid_Requirement'!BK61))</f>
        <v/>
      </c>
      <c r="BL61">
        <f>IF(COUNTIFS(T_StockCount[Part Name],$A61,T_StockCount[WeekIndex],63)&gt;0,SUMIFS(T_StockCount[CountedQty],T_StockCount[Part Name],$A61,T_StockCount[WeekIndex],63),IF((('T_SelfStock'!BL65&lt;&gt;""))*(('T_TTAFStock'!BL65&lt;&gt;""))&gt;0,'T_SelfStock'!BL65+'T_TTAFStock'!BL65,BK61+'Grid_Incoming'!BL61-'Grid_Requirement'!BL61))</f>
        <v/>
      </c>
      <c r="BM61">
        <f>IF(COUNTIFS(T_StockCount[Part Name],$A61,T_StockCount[WeekIndex],64)&gt;0,SUMIFS(T_StockCount[CountedQty],T_StockCount[Part Name],$A61,T_StockCount[WeekIndex],64),IF((('T_SelfStock'!BM65&lt;&gt;""))*(('T_TTAFStock'!BM65&lt;&gt;""))&gt;0,'T_SelfStock'!BM65+'T_TTAFStock'!BM65,BL61+'Grid_Incoming'!BM61-'Grid_Requirement'!BM61))</f>
        <v/>
      </c>
      <c r="BN61">
        <f>IF(COUNTIFS(T_StockCount[Part Name],$A61,T_StockCount[WeekIndex],65)&gt;0,SUMIFS(T_StockCount[CountedQty],T_StockCount[Part Name],$A61,T_StockCount[WeekIndex],65),IF((('T_SelfStock'!BN65&lt;&gt;""))*(('T_TTAFStock'!BN65&lt;&gt;""))&gt;0,'T_SelfStock'!BN65+'T_TTAFStock'!BN65,BM61+'Grid_Incoming'!BN61-'Grid_Requirement'!BN61))</f>
        <v/>
      </c>
      <c r="BO61">
        <f>IF(COUNTIFS(T_StockCount[Part Name],$A61,T_StockCount[WeekIndex],66)&gt;0,SUMIFS(T_StockCount[CountedQty],T_StockCount[Part Name],$A61,T_StockCount[WeekIndex],66),IF((('T_SelfStock'!BO65&lt;&gt;""))*(('T_TTAFStock'!BO65&lt;&gt;""))&gt;0,'T_SelfStock'!BO65+'T_TTAFStock'!BO65,BN61+'Grid_Incoming'!BO61-'Grid_Requirement'!BO61))</f>
        <v/>
      </c>
      <c r="BP61">
        <f>IF(COUNTIFS(T_StockCount[Part Name],$A61,T_StockCount[WeekIndex],67)&gt;0,SUMIFS(T_StockCount[CountedQty],T_StockCount[Part Name],$A61,T_StockCount[WeekIndex],67),IF((('T_SelfStock'!BP65&lt;&gt;""))*(('T_TTAFStock'!BP65&lt;&gt;""))&gt;0,'T_SelfStock'!BP65+'T_TTAFStock'!BP65,BO61+'Grid_Incoming'!BP61-'Grid_Requirement'!BP61))</f>
        <v/>
      </c>
      <c r="BQ61">
        <f>IF(COUNTIFS(T_StockCount[Part Name],$A61,T_StockCount[WeekIndex],68)&gt;0,SUMIFS(T_StockCount[CountedQty],T_StockCount[Part Name],$A61,T_StockCount[WeekIndex],68),IF((('T_SelfStock'!BQ65&lt;&gt;""))*(('T_TTAFStock'!BQ65&lt;&gt;""))&gt;0,'T_SelfStock'!BQ65+'T_TTAFStock'!BQ65,BP61+'Grid_Incoming'!BQ61-'Grid_Requirement'!BQ61))</f>
        <v/>
      </c>
      <c r="BR61">
        <f>IF(COUNTIFS(T_StockCount[Part Name],$A61,T_StockCount[WeekIndex],69)&gt;0,SUMIFS(T_StockCount[CountedQty],T_StockCount[Part Name],$A61,T_StockCount[WeekIndex],69),IF((('T_SelfStock'!BR65&lt;&gt;""))*(('T_TTAFStock'!BR65&lt;&gt;""))&gt;0,'T_SelfStock'!BR65+'T_TTAFStock'!BR65,BQ61+'Grid_Incoming'!BR61-'Grid_Requirement'!BR61))</f>
        <v/>
      </c>
      <c r="BS61">
        <f>IF(COUNTIFS(T_StockCount[Part Name],$A61,T_StockCount[WeekIndex],70)&gt;0,SUMIFS(T_StockCount[CountedQty],T_StockCount[Part Name],$A61,T_StockCount[WeekIndex],70),IF((('T_SelfStock'!BS65&lt;&gt;""))*(('T_TTAFStock'!BS65&lt;&gt;""))&gt;0,'T_SelfStock'!BS65+'T_TTAFStock'!BS65,BR61+'Grid_Incoming'!BS61-'Grid_Requirement'!BS61))</f>
        <v/>
      </c>
      <c r="BT61">
        <f>IF(COUNTIFS(T_StockCount[Part Name],$A61,T_StockCount[WeekIndex],71)&gt;0,SUMIFS(T_StockCount[CountedQty],T_StockCount[Part Name],$A61,T_StockCount[WeekIndex],71),IF((('T_SelfStock'!BT65&lt;&gt;""))*(('T_TTAFStock'!BT65&lt;&gt;""))&gt;0,'T_SelfStock'!BT65+'T_TTAFStock'!BT65,BS61+'Grid_Incoming'!BT61-'Grid_Requirement'!BT61))</f>
        <v/>
      </c>
      <c r="BU61">
        <f>IF(COUNTIFS(T_StockCount[Part Name],$A61,T_StockCount[WeekIndex],72)&gt;0,SUMIFS(T_StockCount[CountedQty],T_StockCount[Part Name],$A61,T_StockCount[WeekIndex],72),IF((('T_SelfStock'!BU65&lt;&gt;""))*(('T_TTAFStock'!BU65&lt;&gt;""))&gt;0,'T_SelfStock'!BU65+'T_TTAFStock'!BU65,BT61+'Grid_Incoming'!BU61-'Grid_Requirement'!BU61))</f>
        <v/>
      </c>
      <c r="BV61">
        <f>IF(COUNTIFS(T_StockCount[Part Name],$A61,T_StockCount[WeekIndex],73)&gt;0,SUMIFS(T_StockCount[CountedQty],T_StockCount[Part Name],$A61,T_StockCount[WeekIndex],73),IF((('T_SelfStock'!BV65&lt;&gt;""))*(('T_TTAFStock'!BV65&lt;&gt;""))&gt;0,'T_SelfStock'!BV65+'T_TTAFStock'!BV65,BU61+'Grid_Incoming'!BV61-'Grid_Requirement'!BV61))</f>
        <v/>
      </c>
      <c r="BW61">
        <f>IF(COUNTIFS(T_StockCount[Part Name],$A61,T_StockCount[WeekIndex],74)&gt;0,SUMIFS(T_StockCount[CountedQty],T_StockCount[Part Name],$A61,T_StockCount[WeekIndex],74),IF((('T_SelfStock'!BW65&lt;&gt;""))*(('T_TTAFStock'!BW65&lt;&gt;""))&gt;0,'T_SelfStock'!BW65+'T_TTAFStock'!BW65,BV61+'Grid_Incoming'!BW61-'Grid_Requirement'!BW61))</f>
        <v/>
      </c>
      <c r="BX61">
        <f>IF(COUNTIFS(T_StockCount[Part Name],$A61,T_StockCount[WeekIndex],75)&gt;0,SUMIFS(T_StockCount[CountedQty],T_StockCount[Part Name],$A61,T_StockCount[WeekIndex],75),IF((('T_SelfStock'!BX65&lt;&gt;""))*(('T_TTAFStock'!BX65&lt;&gt;""))&gt;0,'T_SelfStock'!BX65+'T_TTAFStock'!BX65,BW61+'Grid_Incoming'!BX61-'Grid_Requirement'!BX61))</f>
        <v/>
      </c>
      <c r="BY61">
        <f>IF(COUNTIFS(T_StockCount[Part Name],$A61,T_StockCount[WeekIndex],76)&gt;0,SUMIFS(T_StockCount[CountedQty],T_StockCount[Part Name],$A61,T_StockCount[WeekIndex],76),IF((('T_SelfStock'!BY65&lt;&gt;""))*(('T_TTAFStock'!BY65&lt;&gt;""))&gt;0,'T_SelfStock'!BY65+'T_TTAFStock'!BY65,BX61+'Grid_Incoming'!BY61-'Grid_Requirement'!BY61))</f>
        <v/>
      </c>
      <c r="BZ61">
        <f>IF(COUNTIFS(T_StockCount[Part Name],$A61,T_StockCount[WeekIndex],77)&gt;0,SUMIFS(T_StockCount[CountedQty],T_StockCount[Part Name],$A61,T_StockCount[WeekIndex],77),IF((('T_SelfStock'!BZ65&lt;&gt;""))*(('T_TTAFStock'!BZ65&lt;&gt;""))&gt;0,'T_SelfStock'!BZ65+'T_TTAFStock'!BZ65,BY61+'Grid_Incoming'!BZ61-'Grid_Requirement'!BZ61))</f>
        <v/>
      </c>
      <c r="CA61">
        <f>IF(COUNTIFS(T_StockCount[Part Name],$A61,T_StockCount[WeekIndex],78)&gt;0,SUMIFS(T_StockCount[CountedQty],T_StockCount[Part Name],$A61,T_StockCount[WeekIndex],78),IF((('T_SelfStock'!CA65&lt;&gt;""))*(('T_TTAFStock'!CA65&lt;&gt;""))&gt;0,'T_SelfStock'!CA65+'T_TTAFStock'!CA65,BZ61+'Grid_Incoming'!CA61-'Grid_Requirement'!CA61))</f>
        <v/>
      </c>
      <c r="CB61">
        <f>IF(COUNTIFS(T_StockCount[Part Name],$A61,T_StockCount[WeekIndex],79)&gt;0,SUMIFS(T_StockCount[CountedQty],T_StockCount[Part Name],$A61,T_StockCount[WeekIndex],79),IF((('T_SelfStock'!CB65&lt;&gt;""))*(('T_TTAFStock'!CB65&lt;&gt;""))&gt;0,'T_SelfStock'!CB65+'T_TTAFStock'!CB65,CA61+'Grid_Incoming'!CB61-'Grid_Requirement'!CB61))</f>
        <v/>
      </c>
      <c r="CC61">
        <f>IF(COUNTIFS(T_StockCount[Part Name],$A61,T_StockCount[WeekIndex],80)&gt;0,SUMIFS(T_StockCount[CountedQty],T_StockCount[Part Name],$A61,T_StockCount[WeekIndex],80),IF((('T_SelfStock'!CC65&lt;&gt;""))*(('T_TTAFStock'!CC65&lt;&gt;""))&gt;0,'T_SelfStock'!CC65+'T_TTAFStock'!CC65,CB61+'Grid_Incoming'!CC61-'Grid_Requirement'!CC61))</f>
        <v/>
      </c>
      <c r="CD61">
        <f>IF(COUNTIFS(T_StockCount[Part Name],$A61,T_StockCount[WeekIndex],81)&gt;0,SUMIFS(T_StockCount[CountedQty],T_StockCount[Part Name],$A61,T_StockCount[WeekIndex],81),IF((('T_SelfStock'!CD65&lt;&gt;""))*(('T_TTAFStock'!CD65&lt;&gt;""))&gt;0,'T_SelfStock'!CD65+'T_TTAFStock'!CD65,CC61+'Grid_Incoming'!CD61-'Grid_Requirement'!CD61))</f>
        <v/>
      </c>
      <c r="CE61">
        <f>IF(COUNTIFS(T_StockCount[Part Name],$A61,T_StockCount[WeekIndex],82)&gt;0,SUMIFS(T_StockCount[CountedQty],T_StockCount[Part Name],$A61,T_StockCount[WeekIndex],82),IF((('T_SelfStock'!CE65&lt;&gt;""))*(('T_TTAFStock'!CE65&lt;&gt;""))&gt;0,'T_SelfStock'!CE65+'T_TTAFStock'!CE65,CD61+'Grid_Incoming'!CE61-'Grid_Requirement'!CE61))</f>
        <v/>
      </c>
      <c r="CF61">
        <f>IF(COUNTIFS(T_StockCount[Part Name],$A61,T_StockCount[WeekIndex],83)&gt;0,SUMIFS(T_StockCount[CountedQty],T_StockCount[Part Name],$A61,T_StockCount[WeekIndex],83),IF((('T_SelfStock'!CF65&lt;&gt;""))*(('T_TTAFStock'!CF65&lt;&gt;""))&gt;0,'T_SelfStock'!CF65+'T_TTAFStock'!CF65,CE61+'Grid_Incoming'!CF61-'Grid_Requirement'!CF61))</f>
        <v/>
      </c>
      <c r="CG61">
        <f>IF(COUNTIFS(T_StockCount[Part Name],$A61,T_StockCount[WeekIndex],84)&gt;0,SUMIFS(T_StockCount[CountedQty],T_StockCount[Part Name],$A61,T_StockCount[WeekIndex],84),IF((('T_SelfStock'!CG65&lt;&gt;""))*(('T_TTAFStock'!CG65&lt;&gt;""))&gt;0,'T_SelfStock'!CG65+'T_TTAFStock'!CG65,CF61+'Grid_Incoming'!CG61-'Grid_Requirement'!CG61))</f>
        <v/>
      </c>
      <c r="CH61">
        <f>IF(COUNTIFS(T_StockCount[Part Name],$A61,T_StockCount[WeekIndex],85)&gt;0,SUMIFS(T_StockCount[CountedQty],T_StockCount[Part Name],$A61,T_StockCount[WeekIndex],85),IF((('T_SelfStock'!CH65&lt;&gt;""))*(('T_TTAFStock'!CH65&lt;&gt;""))&gt;0,'T_SelfStock'!CH65+'T_TTAFStock'!CH65,CG61+'Grid_Incoming'!CH61-'Grid_Requirement'!CH61))</f>
        <v/>
      </c>
      <c r="CI61">
        <f>IF(COUNTIFS(T_StockCount[Part Name],$A61,T_StockCount[WeekIndex],86)&gt;0,SUMIFS(T_StockCount[CountedQty],T_StockCount[Part Name],$A61,T_StockCount[WeekIndex],86),IF((('T_SelfStock'!CI65&lt;&gt;""))*(('T_TTAFStock'!CI65&lt;&gt;""))&gt;0,'T_SelfStock'!CI65+'T_TTAFStock'!CI65,CH61+'Grid_Incoming'!CI61-'Grid_Requirement'!CI61))</f>
        <v/>
      </c>
      <c r="CJ61">
        <f>IF(COUNTIFS(T_StockCount[Part Name],$A61,T_StockCount[WeekIndex],87)&gt;0,SUMIFS(T_StockCount[CountedQty],T_StockCount[Part Name],$A61,T_StockCount[WeekIndex],87),IF((('T_SelfStock'!CJ65&lt;&gt;""))*(('T_TTAFStock'!CJ65&lt;&gt;""))&gt;0,'T_SelfStock'!CJ65+'T_TTAFStock'!CJ65,CI61+'Grid_Incoming'!CJ61-'Grid_Requirement'!CJ61))</f>
        <v/>
      </c>
      <c r="CK61">
        <f>IF(COUNTIFS(T_StockCount[Part Name],$A61,T_StockCount[WeekIndex],88)&gt;0,SUMIFS(T_StockCount[CountedQty],T_StockCount[Part Name],$A61,T_StockCount[WeekIndex],88),IF((('T_SelfStock'!CK65&lt;&gt;""))*(('T_TTAFStock'!CK65&lt;&gt;""))&gt;0,'T_SelfStock'!CK65+'T_TTAFStock'!CK65,CJ61+'Grid_Incoming'!CK61-'Grid_Requirement'!CK61))</f>
        <v/>
      </c>
      <c r="CL61">
        <f>IF(COUNTIFS(T_StockCount[Part Name],$A61,T_StockCount[WeekIndex],89)&gt;0,SUMIFS(T_StockCount[CountedQty],T_StockCount[Part Name],$A61,T_StockCount[WeekIndex],89),IF((('T_SelfStock'!CL65&lt;&gt;""))*(('T_TTAFStock'!CL65&lt;&gt;""))&gt;0,'T_SelfStock'!CL65+'T_TTAFStock'!CL65,CK61+'Grid_Incoming'!CL61-'Grid_Requirement'!CL61))</f>
        <v/>
      </c>
      <c r="CM61">
        <f>IF(COUNTIFS(T_StockCount[Part Name],$A61,T_StockCount[WeekIndex],90)&gt;0,SUMIFS(T_StockCount[CountedQty],T_StockCount[Part Name],$A61,T_StockCount[WeekIndex],90),IF((('T_SelfStock'!CM65&lt;&gt;""))*(('T_TTAFStock'!CM65&lt;&gt;""))&gt;0,'T_SelfStock'!CM65+'T_TTAFStock'!CM65,CL61+'Grid_Incoming'!CM61-'Grid_Requirement'!CM61))</f>
        <v/>
      </c>
      <c r="CN61">
        <f>IF(COUNTIFS(T_StockCount[Part Name],$A61,T_StockCount[WeekIndex],91)&gt;0,SUMIFS(T_StockCount[CountedQty],T_StockCount[Part Name],$A61,T_StockCount[WeekIndex],91),IF((('T_SelfStock'!CN65&lt;&gt;""))*(('T_TTAFStock'!CN65&lt;&gt;""))&gt;0,'T_SelfStock'!CN65+'T_TTAFStock'!CN65,CM61+'Grid_Incoming'!CN61-'Grid_Requirement'!CN61))</f>
        <v/>
      </c>
      <c r="CO61">
        <f>IF(COUNTIFS(T_StockCount[Part Name],$A61,T_StockCount[WeekIndex],92)&gt;0,SUMIFS(T_StockCount[CountedQty],T_StockCount[Part Name],$A61,T_StockCount[WeekIndex],92),IF((('T_SelfStock'!CO65&lt;&gt;""))*(('T_TTAFStock'!CO65&lt;&gt;""))&gt;0,'T_SelfStock'!CO65+'T_TTAFStock'!CO65,CN61+'Grid_Incoming'!CO61-'Grid_Requirement'!CO61))</f>
        <v/>
      </c>
      <c r="CP61">
        <f>IF(COUNTIFS(T_StockCount[Part Name],$A61,T_StockCount[WeekIndex],93)&gt;0,SUMIFS(T_StockCount[CountedQty],T_StockCount[Part Name],$A61,T_StockCount[WeekIndex],93),IF((('T_SelfStock'!CP65&lt;&gt;""))*(('T_TTAFStock'!CP65&lt;&gt;""))&gt;0,'T_SelfStock'!CP65+'T_TTAFStock'!CP65,CO61+'Grid_Incoming'!CP61-'Grid_Requirement'!CP61))</f>
        <v/>
      </c>
      <c r="CQ61">
        <f>IF(COUNTIFS(T_StockCount[Part Name],$A61,T_StockCount[WeekIndex],94)&gt;0,SUMIFS(T_StockCount[CountedQty],T_StockCount[Part Name],$A61,T_StockCount[WeekIndex],94),IF((('T_SelfStock'!CQ65&lt;&gt;""))*(('T_TTAFStock'!CQ65&lt;&gt;""))&gt;0,'T_SelfStock'!CQ65+'T_TTAFStock'!CQ65,CP61+'Grid_Incoming'!CQ61-'Grid_Requirement'!CQ61))</f>
        <v/>
      </c>
      <c r="CR61">
        <f>IF(COUNTIFS(T_StockCount[Part Name],$A61,T_StockCount[WeekIndex],95)&gt;0,SUMIFS(T_StockCount[CountedQty],T_StockCount[Part Name],$A61,T_StockCount[WeekIndex],95),IF((('T_SelfStock'!CR65&lt;&gt;""))*(('T_TTAFStock'!CR65&lt;&gt;""))&gt;0,'T_SelfStock'!CR65+'T_TTAFStock'!CR65,CQ61+'Grid_Incoming'!CR61-'Grid_Requirement'!CR61))</f>
        <v/>
      </c>
      <c r="CS61">
        <f>IF(COUNTIFS(T_StockCount[Part Name],$A61,T_StockCount[WeekIndex],96)&gt;0,SUMIFS(T_StockCount[CountedQty],T_StockCount[Part Name],$A61,T_StockCount[WeekIndex],96),IF((('T_SelfStock'!CS65&lt;&gt;""))*(('T_TTAFStock'!CS65&lt;&gt;""))&gt;0,'T_SelfStock'!CS65+'T_TTAFStock'!CS65,CR61+'Grid_Incoming'!CS61-'Grid_Requirement'!CS61))</f>
        <v/>
      </c>
      <c r="CT61">
        <f>IF(COUNTIFS(T_StockCount[Part Name],$A61,T_StockCount[WeekIndex],97)&gt;0,SUMIFS(T_StockCount[CountedQty],T_StockCount[Part Name],$A61,T_StockCount[WeekIndex],97),IF((('T_SelfStock'!CT65&lt;&gt;""))*(('T_TTAFStock'!CT65&lt;&gt;""))&gt;0,'T_SelfStock'!CT65+'T_TTAFStock'!CT65,CS61+'Grid_Incoming'!CT61-'Grid_Requirement'!CT61))</f>
        <v/>
      </c>
      <c r="CU61">
        <f>IF(COUNTIFS(T_StockCount[Part Name],$A61,T_StockCount[WeekIndex],98)&gt;0,SUMIFS(T_StockCount[CountedQty],T_StockCount[Part Name],$A61,T_StockCount[WeekIndex],98),IF((('T_SelfStock'!CU65&lt;&gt;""))*(('T_TTAFStock'!CU65&lt;&gt;""))&gt;0,'T_SelfStock'!CU65+'T_TTAFStock'!CU65,CT61+'Grid_Incoming'!CU61-'Grid_Requirement'!CU61))</f>
        <v/>
      </c>
      <c r="CV61">
        <f>IF(COUNTIFS(T_StockCount[Part Name],$A61,T_StockCount[WeekIndex],99)&gt;0,SUMIFS(T_StockCount[CountedQty],T_StockCount[Part Name],$A61,T_StockCount[WeekIndex],99),IF((('T_SelfStock'!CV65&lt;&gt;""))*(('T_TTAFStock'!CV65&lt;&gt;""))&gt;0,'T_SelfStock'!CV65+'T_TTAFStock'!CV65,CU61+'Grid_Incoming'!CV61-'Grid_Requirement'!CV61))</f>
        <v/>
      </c>
      <c r="CW61">
        <f>IF(COUNTIFS(T_StockCount[Part Name],$A61,T_StockCount[WeekIndex],100)&gt;0,SUMIFS(T_StockCount[CountedQty],T_StockCount[Part Name],$A61,T_StockCount[WeekIndex],100),IF((('T_SelfStock'!CW65&lt;&gt;""))*(('T_TTAFStock'!CW65&lt;&gt;""))&gt;0,'T_SelfStock'!CW65+'T_TTAFStock'!CW65,CV61+'Grid_Incoming'!CW61-'Grid_Requirement'!CW61))</f>
        <v/>
      </c>
      <c r="CX61">
        <f>IF(COUNTIFS(T_StockCount[Part Name],$A61,T_StockCount[WeekIndex],101)&gt;0,SUMIFS(T_StockCount[CountedQty],T_StockCount[Part Name],$A61,T_StockCount[WeekIndex],101),IF((('T_SelfStock'!CX65&lt;&gt;""))*(('T_TTAFStock'!CX65&lt;&gt;""))&gt;0,'T_SelfStock'!CX65+'T_TTAFStock'!CX65,CW61+'Grid_Incoming'!CX61-'Grid_Requirement'!CX61))</f>
        <v/>
      </c>
      <c r="CY61">
        <f>IF(COUNTIFS(T_StockCount[Part Name],$A61,T_StockCount[WeekIndex],102)&gt;0,SUMIFS(T_StockCount[CountedQty],T_StockCount[Part Name],$A61,T_StockCount[WeekIndex],102),IF((('T_SelfStock'!CY65&lt;&gt;""))*(('T_TTAFStock'!CY65&lt;&gt;""))&gt;0,'T_SelfStock'!CY65+'T_TTAFStock'!CY65,CX61+'Grid_Incoming'!CY61-'Grid_Requirement'!CY61))</f>
        <v/>
      </c>
      <c r="CZ61">
        <f>IF(COUNTIFS(T_StockCount[Part Name],$A61,T_StockCount[WeekIndex],103)&gt;0,SUMIFS(T_StockCount[CountedQty],T_StockCount[Part Name],$A61,T_StockCount[WeekIndex],103),IF((('T_SelfStock'!CZ65&lt;&gt;""))*(('T_TTAFStock'!CZ65&lt;&gt;""))&gt;0,'T_SelfStock'!CZ65+'T_TTAFStock'!CZ65,CY61+'Grid_Incoming'!CZ61-'Grid_Requirement'!CZ61))</f>
        <v/>
      </c>
      <c r="DA61">
        <f>IF(COUNTIFS(T_StockCount[Part Name],$A61,T_StockCount[WeekIndex],104)&gt;0,SUMIFS(T_StockCount[CountedQty],T_StockCount[Part Name],$A61,T_StockCount[WeekIndex],104),IF((('T_SelfStock'!DA65&lt;&gt;""))*(('T_TTAFStock'!DA65&lt;&gt;""))&gt;0,'T_SelfStock'!DA65+'T_TTAFStock'!DA65,CZ61+'Grid_Incoming'!DA61-'Grid_Requirement'!DA61))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A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</cols>
  <sheetData>
    <row r="1">
      <c r="A1" s="6" t="inlineStr">
        <is>
          <t>Part Name</t>
        </is>
      </c>
      <c r="B1" s="6" t="inlineStr">
        <is>
          <t>2026-W01</t>
        </is>
      </c>
      <c r="C1" s="6" t="inlineStr">
        <is>
          <t>2026-W02</t>
        </is>
      </c>
      <c r="D1" s="6" t="inlineStr">
        <is>
          <t>2026-W03</t>
        </is>
      </c>
      <c r="E1" s="6" t="inlineStr">
        <is>
          <t>2026-W04</t>
        </is>
      </c>
      <c r="F1" s="6" t="inlineStr">
        <is>
          <t>2026-W05</t>
        </is>
      </c>
      <c r="G1" s="6" t="inlineStr">
        <is>
          <t>2026-W06</t>
        </is>
      </c>
      <c r="H1" s="6" t="inlineStr">
        <is>
          <t>2026-W07</t>
        </is>
      </c>
      <c r="I1" s="6" t="inlineStr">
        <is>
          <t>2026-W08</t>
        </is>
      </c>
      <c r="J1" s="6" t="inlineStr">
        <is>
          <t>2026-W09</t>
        </is>
      </c>
      <c r="K1" s="6" t="inlineStr">
        <is>
          <t>2026-W10</t>
        </is>
      </c>
      <c r="L1" s="6" t="inlineStr">
        <is>
          <t>2026-W11</t>
        </is>
      </c>
      <c r="M1" s="6" t="inlineStr">
        <is>
          <t>2026-W12</t>
        </is>
      </c>
      <c r="N1" s="6" t="inlineStr">
        <is>
          <t>2026-W13</t>
        </is>
      </c>
      <c r="O1" s="6" t="inlineStr">
        <is>
          <t>2026-W14</t>
        </is>
      </c>
      <c r="P1" s="6" t="inlineStr">
        <is>
          <t>2026-W15</t>
        </is>
      </c>
      <c r="Q1" s="6" t="inlineStr">
        <is>
          <t>2026-W16</t>
        </is>
      </c>
      <c r="R1" s="6" t="inlineStr">
        <is>
          <t>2026-W17</t>
        </is>
      </c>
      <c r="S1" s="6" t="inlineStr">
        <is>
          <t>2026-W18</t>
        </is>
      </c>
      <c r="T1" s="6" t="inlineStr">
        <is>
          <t>2026-W19</t>
        </is>
      </c>
      <c r="U1" s="6" t="inlineStr">
        <is>
          <t>2026-W20</t>
        </is>
      </c>
      <c r="V1" s="6" t="inlineStr">
        <is>
          <t>2026-W21</t>
        </is>
      </c>
      <c r="W1" s="6" t="inlineStr">
        <is>
          <t>2026-W22</t>
        </is>
      </c>
      <c r="X1" s="6" t="inlineStr">
        <is>
          <t>2026-W23</t>
        </is>
      </c>
      <c r="Y1" s="6" t="inlineStr">
        <is>
          <t>2026-W24</t>
        </is>
      </c>
      <c r="Z1" s="6" t="inlineStr">
        <is>
          <t>2026-W25</t>
        </is>
      </c>
      <c r="AA1" s="6" t="inlineStr">
        <is>
          <t>2026-W26</t>
        </is>
      </c>
      <c r="AB1" s="6" t="inlineStr">
        <is>
          <t>2026-W27</t>
        </is>
      </c>
      <c r="AC1" s="6" t="inlineStr">
        <is>
          <t>2026-W28</t>
        </is>
      </c>
      <c r="AD1" s="6" t="inlineStr">
        <is>
          <t>2026-W29</t>
        </is>
      </c>
      <c r="AE1" s="6" t="inlineStr">
        <is>
          <t>2026-W30</t>
        </is>
      </c>
      <c r="AF1" s="6" t="inlineStr">
        <is>
          <t>2026-W31</t>
        </is>
      </c>
      <c r="AG1" s="6" t="inlineStr">
        <is>
          <t>2026-W32</t>
        </is>
      </c>
      <c r="AH1" s="6" t="inlineStr">
        <is>
          <t>2026-W33</t>
        </is>
      </c>
      <c r="AI1" s="6" t="inlineStr">
        <is>
          <t>2026-W34</t>
        </is>
      </c>
      <c r="AJ1" s="6" t="inlineStr">
        <is>
          <t>2026-W35</t>
        </is>
      </c>
      <c r="AK1" s="6" t="inlineStr">
        <is>
          <t>2026-W36</t>
        </is>
      </c>
      <c r="AL1" s="6" t="inlineStr">
        <is>
          <t>2026-W37</t>
        </is>
      </c>
      <c r="AM1" s="6" t="inlineStr">
        <is>
          <t>2026-W38</t>
        </is>
      </c>
      <c r="AN1" s="6" t="inlineStr">
        <is>
          <t>2026-W39</t>
        </is>
      </c>
      <c r="AO1" s="6" t="inlineStr">
        <is>
          <t>2026-W40</t>
        </is>
      </c>
      <c r="AP1" s="6" t="inlineStr">
        <is>
          <t>2026-W41</t>
        </is>
      </c>
      <c r="AQ1" s="6" t="inlineStr">
        <is>
          <t>2026-W42</t>
        </is>
      </c>
      <c r="AR1" s="6" t="inlineStr">
        <is>
          <t>2026-W43</t>
        </is>
      </c>
      <c r="AS1" s="6" t="inlineStr">
        <is>
          <t>2026-W44</t>
        </is>
      </c>
      <c r="AT1" s="6" t="inlineStr">
        <is>
          <t>2026-W45</t>
        </is>
      </c>
      <c r="AU1" s="6" t="inlineStr">
        <is>
          <t>2026-W46</t>
        </is>
      </c>
      <c r="AV1" s="6" t="inlineStr">
        <is>
          <t>2026-W47</t>
        </is>
      </c>
      <c r="AW1" s="6" t="inlineStr">
        <is>
          <t>2026-W48</t>
        </is>
      </c>
      <c r="AX1" s="6" t="inlineStr">
        <is>
          <t>2026-W49</t>
        </is>
      </c>
      <c r="AY1" s="6" t="inlineStr">
        <is>
          <t>2026-W50</t>
        </is>
      </c>
      <c r="AZ1" s="6" t="inlineStr">
        <is>
          <t>2026-W51</t>
        </is>
      </c>
      <c r="BA1" s="6" t="inlineStr">
        <is>
          <t>2026-W52</t>
        </is>
      </c>
      <c r="BB1" s="6" t="inlineStr">
        <is>
          <t>2027-W01</t>
        </is>
      </c>
      <c r="BC1" s="6" t="inlineStr">
        <is>
          <t>2027-W02</t>
        </is>
      </c>
      <c r="BD1" s="6" t="inlineStr">
        <is>
          <t>2027-W03</t>
        </is>
      </c>
      <c r="BE1" s="6" t="inlineStr">
        <is>
          <t>2027-W04</t>
        </is>
      </c>
      <c r="BF1" s="6" t="inlineStr">
        <is>
          <t>2027-W05</t>
        </is>
      </c>
      <c r="BG1" s="6" t="inlineStr">
        <is>
          <t>2027-W06</t>
        </is>
      </c>
      <c r="BH1" s="6" t="inlineStr">
        <is>
          <t>2027-W07</t>
        </is>
      </c>
      <c r="BI1" s="6" t="inlineStr">
        <is>
          <t>2027-W08</t>
        </is>
      </c>
      <c r="BJ1" s="6" t="inlineStr">
        <is>
          <t>2027-W09</t>
        </is>
      </c>
      <c r="BK1" s="6" t="inlineStr">
        <is>
          <t>2027-W10</t>
        </is>
      </c>
      <c r="BL1" s="6" t="inlineStr">
        <is>
          <t>2027-W11</t>
        </is>
      </c>
      <c r="BM1" s="6" t="inlineStr">
        <is>
          <t>2027-W12</t>
        </is>
      </c>
      <c r="BN1" s="6" t="inlineStr">
        <is>
          <t>2027-W13</t>
        </is>
      </c>
      <c r="BO1" s="6" t="inlineStr">
        <is>
          <t>2027-W14</t>
        </is>
      </c>
      <c r="BP1" s="6" t="inlineStr">
        <is>
          <t>2027-W15</t>
        </is>
      </c>
      <c r="BQ1" s="6" t="inlineStr">
        <is>
          <t>2027-W16</t>
        </is>
      </c>
      <c r="BR1" s="6" t="inlineStr">
        <is>
          <t>2027-W17</t>
        </is>
      </c>
      <c r="BS1" s="6" t="inlineStr">
        <is>
          <t>2027-W18</t>
        </is>
      </c>
      <c r="BT1" s="6" t="inlineStr">
        <is>
          <t>2027-W19</t>
        </is>
      </c>
      <c r="BU1" s="6" t="inlineStr">
        <is>
          <t>2027-W20</t>
        </is>
      </c>
      <c r="BV1" s="6" t="inlineStr">
        <is>
          <t>2027-W21</t>
        </is>
      </c>
      <c r="BW1" s="6" t="inlineStr">
        <is>
          <t>2027-W22</t>
        </is>
      </c>
      <c r="BX1" s="6" t="inlineStr">
        <is>
          <t>2027-W23</t>
        </is>
      </c>
      <c r="BY1" s="6" t="inlineStr">
        <is>
          <t>2027-W24</t>
        </is>
      </c>
      <c r="BZ1" s="6" t="inlineStr">
        <is>
          <t>2027-W25</t>
        </is>
      </c>
      <c r="CA1" s="6" t="inlineStr">
        <is>
          <t>2027-W26</t>
        </is>
      </c>
      <c r="CB1" s="6" t="inlineStr">
        <is>
          <t>2027-W27</t>
        </is>
      </c>
      <c r="CC1" s="6" t="inlineStr">
        <is>
          <t>2027-W28</t>
        </is>
      </c>
      <c r="CD1" s="6" t="inlineStr">
        <is>
          <t>2027-W29</t>
        </is>
      </c>
      <c r="CE1" s="6" t="inlineStr">
        <is>
          <t>2027-W30</t>
        </is>
      </c>
      <c r="CF1" s="6" t="inlineStr">
        <is>
          <t>2027-W31</t>
        </is>
      </c>
      <c r="CG1" s="6" t="inlineStr">
        <is>
          <t>2027-W32</t>
        </is>
      </c>
      <c r="CH1" s="6" t="inlineStr">
        <is>
          <t>2027-W33</t>
        </is>
      </c>
      <c r="CI1" s="6" t="inlineStr">
        <is>
          <t>2027-W34</t>
        </is>
      </c>
      <c r="CJ1" s="6" t="inlineStr">
        <is>
          <t>2027-W35</t>
        </is>
      </c>
      <c r="CK1" s="6" t="inlineStr">
        <is>
          <t>2027-W36</t>
        </is>
      </c>
      <c r="CL1" s="6" t="inlineStr">
        <is>
          <t>2027-W37</t>
        </is>
      </c>
      <c r="CM1" s="6" t="inlineStr">
        <is>
          <t>2027-W38</t>
        </is>
      </c>
      <c r="CN1" s="6" t="inlineStr">
        <is>
          <t>2027-W39</t>
        </is>
      </c>
      <c r="CO1" s="6" t="inlineStr">
        <is>
          <t>2027-W40</t>
        </is>
      </c>
      <c r="CP1" s="6" t="inlineStr">
        <is>
          <t>2027-W41</t>
        </is>
      </c>
      <c r="CQ1" s="6" t="inlineStr">
        <is>
          <t>2027-W42</t>
        </is>
      </c>
      <c r="CR1" s="6" t="inlineStr">
        <is>
          <t>2027-W43</t>
        </is>
      </c>
      <c r="CS1" s="6" t="inlineStr">
        <is>
          <t>2027-W44</t>
        </is>
      </c>
      <c r="CT1" s="6" t="inlineStr">
        <is>
          <t>2027-W45</t>
        </is>
      </c>
      <c r="CU1" s="6" t="inlineStr">
        <is>
          <t>2027-W46</t>
        </is>
      </c>
      <c r="CV1" s="6" t="inlineStr">
        <is>
          <t>2027-W47</t>
        </is>
      </c>
      <c r="CW1" s="6" t="inlineStr">
        <is>
          <t>2027-W48</t>
        </is>
      </c>
      <c r="CX1" s="6" t="inlineStr">
        <is>
          <t>2027-W49</t>
        </is>
      </c>
      <c r="CY1" s="6" t="inlineStr">
        <is>
          <t>2027-W50</t>
        </is>
      </c>
      <c r="CZ1" s="6" t="inlineStr">
        <is>
          <t>2027-W51</t>
        </is>
      </c>
      <c r="DA1" s="6" t="inlineStr">
        <is>
          <t>2027-W52</t>
        </is>
      </c>
    </row>
    <row r="2">
      <c r="A2" t="inlineStr">
        <is>
          <t>7EP</t>
        </is>
      </c>
      <c r="B2">
        <f>IFERROR(INDEX(T_OpeningStock[Opening_Qty_要入力],MATCH($A2,T_OpeningStock[Part Name],0)),0)+'Grid_Incoming'!B2-'Grid_Requirement'!B2</f>
        <v/>
      </c>
      <c r="C2">
        <f>IF(INDEX(Cal_Weeks[MonthYearLabel],2)&lt;&gt;INDEX(Cal_Weeks[MonthYearLabel],1),'Grid_Stock'!B2,B2)+'Grid_Incoming'!C2-'Grid_Requirement'!C2</f>
        <v/>
      </c>
      <c r="D2">
        <f>IF(INDEX(Cal_Weeks[MonthYearLabel],3)&lt;&gt;INDEX(Cal_Weeks[MonthYearLabel],2),'Grid_Stock'!C2,C2)+'Grid_Incoming'!D2-'Grid_Requirement'!D2</f>
        <v/>
      </c>
      <c r="E2">
        <f>IF(INDEX(Cal_Weeks[MonthYearLabel],4)&lt;&gt;INDEX(Cal_Weeks[MonthYearLabel],3),'Grid_Stock'!D2,D2)+'Grid_Incoming'!E2-'Grid_Requirement'!E2</f>
        <v/>
      </c>
      <c r="F2">
        <f>IF(INDEX(Cal_Weeks[MonthYearLabel],5)&lt;&gt;INDEX(Cal_Weeks[MonthYearLabel],4),'Grid_Stock'!E2,E2)+'Grid_Incoming'!F2-'Grid_Requirement'!F2</f>
        <v/>
      </c>
      <c r="G2">
        <f>IF(INDEX(Cal_Weeks[MonthYearLabel],6)&lt;&gt;INDEX(Cal_Weeks[MonthYearLabel],5),'Grid_Stock'!F2,F2)+'Grid_Incoming'!G2-'Grid_Requirement'!G2</f>
        <v/>
      </c>
      <c r="H2">
        <f>IF(INDEX(Cal_Weeks[MonthYearLabel],7)&lt;&gt;INDEX(Cal_Weeks[MonthYearLabel],6),'Grid_Stock'!G2,G2)+'Grid_Incoming'!H2-'Grid_Requirement'!H2</f>
        <v/>
      </c>
      <c r="I2">
        <f>IF(INDEX(Cal_Weeks[MonthYearLabel],8)&lt;&gt;INDEX(Cal_Weeks[MonthYearLabel],7),'Grid_Stock'!H2,H2)+'Grid_Incoming'!I2-'Grid_Requirement'!I2</f>
        <v/>
      </c>
      <c r="J2">
        <f>IF(INDEX(Cal_Weeks[MonthYearLabel],9)&lt;&gt;INDEX(Cal_Weeks[MonthYearLabel],8),'Grid_Stock'!I2,I2)+'Grid_Incoming'!J2-'Grid_Requirement'!J2</f>
        <v/>
      </c>
      <c r="K2">
        <f>IF(INDEX(Cal_Weeks[MonthYearLabel],10)&lt;&gt;INDEX(Cal_Weeks[MonthYearLabel],9),'Grid_Stock'!J2,J2)+'Grid_Incoming'!K2-'Grid_Requirement'!K2</f>
        <v/>
      </c>
      <c r="L2">
        <f>IF(INDEX(Cal_Weeks[MonthYearLabel],11)&lt;&gt;INDEX(Cal_Weeks[MonthYearLabel],10),'Grid_Stock'!K2,K2)+'Grid_Incoming'!L2-'Grid_Requirement'!L2</f>
        <v/>
      </c>
      <c r="M2">
        <f>IF(INDEX(Cal_Weeks[MonthYearLabel],12)&lt;&gt;INDEX(Cal_Weeks[MonthYearLabel],11),'Grid_Stock'!L2,L2)+'Grid_Incoming'!M2-'Grid_Requirement'!M2</f>
        <v/>
      </c>
      <c r="N2">
        <f>IF(INDEX(Cal_Weeks[MonthYearLabel],13)&lt;&gt;INDEX(Cal_Weeks[MonthYearLabel],12),'Grid_Stock'!M2,M2)+'Grid_Incoming'!N2-'Grid_Requirement'!N2</f>
        <v/>
      </c>
      <c r="O2">
        <f>IF(INDEX(Cal_Weeks[MonthYearLabel],14)&lt;&gt;INDEX(Cal_Weeks[MonthYearLabel],13),'Grid_Stock'!N2,N2)+'Grid_Incoming'!O2-'Grid_Requirement'!O2</f>
        <v/>
      </c>
      <c r="P2">
        <f>IF(INDEX(Cal_Weeks[MonthYearLabel],15)&lt;&gt;INDEX(Cal_Weeks[MonthYearLabel],14),'Grid_Stock'!O2,O2)+'Grid_Incoming'!P2-'Grid_Requirement'!P2</f>
        <v/>
      </c>
      <c r="Q2">
        <f>IF(INDEX(Cal_Weeks[MonthYearLabel],16)&lt;&gt;INDEX(Cal_Weeks[MonthYearLabel],15),'Grid_Stock'!P2,P2)+'Grid_Incoming'!Q2-'Grid_Requirement'!Q2</f>
        <v/>
      </c>
      <c r="R2">
        <f>IF(INDEX(Cal_Weeks[MonthYearLabel],17)&lt;&gt;INDEX(Cal_Weeks[MonthYearLabel],16),'Grid_Stock'!Q2,Q2)+'Grid_Incoming'!R2-'Grid_Requirement'!R2</f>
        <v/>
      </c>
      <c r="S2">
        <f>IF(INDEX(Cal_Weeks[MonthYearLabel],18)&lt;&gt;INDEX(Cal_Weeks[MonthYearLabel],17),'Grid_Stock'!R2,R2)+'Grid_Incoming'!S2-'Grid_Requirement'!S2</f>
        <v/>
      </c>
      <c r="T2">
        <f>IF(INDEX(Cal_Weeks[MonthYearLabel],19)&lt;&gt;INDEX(Cal_Weeks[MonthYearLabel],18),'Grid_Stock'!S2,S2)+'Grid_Incoming'!T2-'Grid_Requirement'!T2</f>
        <v/>
      </c>
      <c r="U2">
        <f>IF(INDEX(Cal_Weeks[MonthYearLabel],20)&lt;&gt;INDEX(Cal_Weeks[MonthYearLabel],19),'Grid_Stock'!T2,T2)+'Grid_Incoming'!U2-'Grid_Requirement'!U2</f>
        <v/>
      </c>
      <c r="V2">
        <f>IF(INDEX(Cal_Weeks[MonthYearLabel],21)&lt;&gt;INDEX(Cal_Weeks[MonthYearLabel],20),'Grid_Stock'!U2,U2)+'Grid_Incoming'!V2-'Grid_Requirement'!V2</f>
        <v/>
      </c>
      <c r="W2">
        <f>IF(INDEX(Cal_Weeks[MonthYearLabel],22)&lt;&gt;INDEX(Cal_Weeks[MonthYearLabel],21),'Grid_Stock'!V2,V2)+'Grid_Incoming'!W2-'Grid_Requirement'!W2</f>
        <v/>
      </c>
      <c r="X2">
        <f>IF(INDEX(Cal_Weeks[MonthYearLabel],23)&lt;&gt;INDEX(Cal_Weeks[MonthYearLabel],22),'Grid_Stock'!W2,W2)+'Grid_Incoming'!X2-'Grid_Requirement'!X2</f>
        <v/>
      </c>
      <c r="Y2">
        <f>IF(INDEX(Cal_Weeks[MonthYearLabel],24)&lt;&gt;INDEX(Cal_Weeks[MonthYearLabel],23),'Grid_Stock'!X2,X2)+'Grid_Incoming'!Y2-'Grid_Requirement'!Y2</f>
        <v/>
      </c>
      <c r="Z2">
        <f>IF(INDEX(Cal_Weeks[MonthYearLabel],25)&lt;&gt;INDEX(Cal_Weeks[MonthYearLabel],24),'Grid_Stock'!Y2,Y2)+'Grid_Incoming'!Z2-'Grid_Requirement'!Z2</f>
        <v/>
      </c>
      <c r="AA2">
        <f>IF(INDEX(Cal_Weeks[MonthYearLabel],26)&lt;&gt;INDEX(Cal_Weeks[MonthYearLabel],25),'Grid_Stock'!Z2,Z2)+'Grid_Incoming'!AA2-'Grid_Requirement'!AA2</f>
        <v/>
      </c>
      <c r="AB2">
        <f>IF(INDEX(Cal_Weeks[MonthYearLabel],27)&lt;&gt;INDEX(Cal_Weeks[MonthYearLabel],26),'Grid_Stock'!AA2,AA2)+'Grid_Incoming'!AB2-'Grid_Requirement'!AB2</f>
        <v/>
      </c>
      <c r="AC2">
        <f>IF(INDEX(Cal_Weeks[MonthYearLabel],28)&lt;&gt;INDEX(Cal_Weeks[MonthYearLabel],27),'Grid_Stock'!AB2,AB2)+'Grid_Incoming'!AC2-'Grid_Requirement'!AC2</f>
        <v/>
      </c>
      <c r="AD2">
        <f>IF(INDEX(Cal_Weeks[MonthYearLabel],29)&lt;&gt;INDEX(Cal_Weeks[MonthYearLabel],28),'Grid_Stock'!AC2,AC2)+'Grid_Incoming'!AD2-'Grid_Requirement'!AD2</f>
        <v/>
      </c>
      <c r="AE2">
        <f>IF(INDEX(Cal_Weeks[MonthYearLabel],30)&lt;&gt;INDEX(Cal_Weeks[MonthYearLabel],29),'Grid_Stock'!AD2,AD2)+'Grid_Incoming'!AE2-'Grid_Requirement'!AE2</f>
        <v/>
      </c>
      <c r="AF2">
        <f>IF(INDEX(Cal_Weeks[MonthYearLabel],31)&lt;&gt;INDEX(Cal_Weeks[MonthYearLabel],30),'Grid_Stock'!AE2,AE2)+'Grid_Incoming'!AF2-'Grid_Requirement'!AF2</f>
        <v/>
      </c>
      <c r="AG2">
        <f>IF(INDEX(Cal_Weeks[MonthYearLabel],32)&lt;&gt;INDEX(Cal_Weeks[MonthYearLabel],31),'Grid_Stock'!AF2,AF2)+'Grid_Incoming'!AG2-'Grid_Requirement'!AG2</f>
        <v/>
      </c>
      <c r="AH2">
        <f>IF(INDEX(Cal_Weeks[MonthYearLabel],33)&lt;&gt;INDEX(Cal_Weeks[MonthYearLabel],32),'Grid_Stock'!AG2,AG2)+'Grid_Incoming'!AH2-'Grid_Requirement'!AH2</f>
        <v/>
      </c>
      <c r="AI2">
        <f>IF(INDEX(Cal_Weeks[MonthYearLabel],34)&lt;&gt;INDEX(Cal_Weeks[MonthYearLabel],33),'Grid_Stock'!AH2,AH2)+'Grid_Incoming'!AI2-'Grid_Requirement'!AI2</f>
        <v/>
      </c>
      <c r="AJ2">
        <f>IF(INDEX(Cal_Weeks[MonthYearLabel],35)&lt;&gt;INDEX(Cal_Weeks[MonthYearLabel],34),'Grid_Stock'!AI2,AI2)+'Grid_Incoming'!AJ2-'Grid_Requirement'!AJ2</f>
        <v/>
      </c>
      <c r="AK2">
        <f>IF(INDEX(Cal_Weeks[MonthYearLabel],36)&lt;&gt;INDEX(Cal_Weeks[MonthYearLabel],35),'Grid_Stock'!AJ2,AJ2)+'Grid_Incoming'!AK2-'Grid_Requirement'!AK2</f>
        <v/>
      </c>
      <c r="AL2">
        <f>IF(INDEX(Cal_Weeks[MonthYearLabel],37)&lt;&gt;INDEX(Cal_Weeks[MonthYearLabel],36),'Grid_Stock'!AK2,AK2)+'Grid_Incoming'!AL2-'Grid_Requirement'!AL2</f>
        <v/>
      </c>
      <c r="AM2">
        <f>IF(INDEX(Cal_Weeks[MonthYearLabel],38)&lt;&gt;INDEX(Cal_Weeks[MonthYearLabel],37),'Grid_Stock'!AL2,AL2)+'Grid_Incoming'!AM2-'Grid_Requirement'!AM2</f>
        <v/>
      </c>
      <c r="AN2">
        <f>IF(INDEX(Cal_Weeks[MonthYearLabel],39)&lt;&gt;INDEX(Cal_Weeks[MonthYearLabel],38),'Grid_Stock'!AM2,AM2)+'Grid_Incoming'!AN2-'Grid_Requirement'!AN2</f>
        <v/>
      </c>
      <c r="AO2">
        <f>IF(INDEX(Cal_Weeks[MonthYearLabel],40)&lt;&gt;INDEX(Cal_Weeks[MonthYearLabel],39),'Grid_Stock'!AN2,AN2)+'Grid_Incoming'!AO2-'Grid_Requirement'!AO2</f>
        <v/>
      </c>
      <c r="AP2">
        <f>IF(INDEX(Cal_Weeks[MonthYearLabel],41)&lt;&gt;INDEX(Cal_Weeks[MonthYearLabel],40),'Grid_Stock'!AO2,AO2)+'Grid_Incoming'!AP2-'Grid_Requirement'!AP2</f>
        <v/>
      </c>
      <c r="AQ2">
        <f>IF(INDEX(Cal_Weeks[MonthYearLabel],42)&lt;&gt;INDEX(Cal_Weeks[MonthYearLabel],41),'Grid_Stock'!AP2,AP2)+'Grid_Incoming'!AQ2-'Grid_Requirement'!AQ2</f>
        <v/>
      </c>
      <c r="AR2">
        <f>IF(INDEX(Cal_Weeks[MonthYearLabel],43)&lt;&gt;INDEX(Cal_Weeks[MonthYearLabel],42),'Grid_Stock'!AQ2,AQ2)+'Grid_Incoming'!AR2-'Grid_Requirement'!AR2</f>
        <v/>
      </c>
      <c r="AS2">
        <f>IF(INDEX(Cal_Weeks[MonthYearLabel],44)&lt;&gt;INDEX(Cal_Weeks[MonthYearLabel],43),'Grid_Stock'!AR2,AR2)+'Grid_Incoming'!AS2-'Grid_Requirement'!AS2</f>
        <v/>
      </c>
      <c r="AT2">
        <f>IF(INDEX(Cal_Weeks[MonthYearLabel],45)&lt;&gt;INDEX(Cal_Weeks[MonthYearLabel],44),'Grid_Stock'!AS2,AS2)+'Grid_Incoming'!AT2-'Grid_Requirement'!AT2</f>
        <v/>
      </c>
      <c r="AU2">
        <f>IF(INDEX(Cal_Weeks[MonthYearLabel],46)&lt;&gt;INDEX(Cal_Weeks[MonthYearLabel],45),'Grid_Stock'!AT2,AT2)+'Grid_Incoming'!AU2-'Grid_Requirement'!AU2</f>
        <v/>
      </c>
      <c r="AV2">
        <f>IF(INDEX(Cal_Weeks[MonthYearLabel],47)&lt;&gt;INDEX(Cal_Weeks[MonthYearLabel],46),'Grid_Stock'!AU2,AU2)+'Grid_Incoming'!AV2-'Grid_Requirement'!AV2</f>
        <v/>
      </c>
      <c r="AW2">
        <f>IF(INDEX(Cal_Weeks[MonthYearLabel],48)&lt;&gt;INDEX(Cal_Weeks[MonthYearLabel],47),'Grid_Stock'!AV2,AV2)+'Grid_Incoming'!AW2-'Grid_Requirement'!AW2</f>
        <v/>
      </c>
      <c r="AX2">
        <f>IF(INDEX(Cal_Weeks[MonthYearLabel],49)&lt;&gt;INDEX(Cal_Weeks[MonthYearLabel],48),'Grid_Stock'!AW2,AW2)+'Grid_Incoming'!AX2-'Grid_Requirement'!AX2</f>
        <v/>
      </c>
      <c r="AY2">
        <f>IF(INDEX(Cal_Weeks[MonthYearLabel],50)&lt;&gt;INDEX(Cal_Weeks[MonthYearLabel],49),'Grid_Stock'!AX2,AX2)+'Grid_Incoming'!AY2-'Grid_Requirement'!AY2</f>
        <v/>
      </c>
      <c r="AZ2">
        <f>IF(INDEX(Cal_Weeks[MonthYearLabel],51)&lt;&gt;INDEX(Cal_Weeks[MonthYearLabel],50),'Grid_Stock'!AY2,AY2)+'Grid_Incoming'!AZ2-'Grid_Requirement'!AZ2</f>
        <v/>
      </c>
      <c r="BA2">
        <f>IF(INDEX(Cal_Weeks[MonthYearLabel],52)&lt;&gt;INDEX(Cal_Weeks[MonthYearLabel],51),'Grid_Stock'!AZ2,AZ2)+'Grid_Incoming'!BA2-'Grid_Requirement'!BA2</f>
        <v/>
      </c>
      <c r="BB2">
        <f>IF(INDEX(Cal_Weeks[MonthYearLabel],53)&lt;&gt;INDEX(Cal_Weeks[MonthYearLabel],52),'Grid_Stock'!BA2,BA2)+'Grid_Incoming'!BB2-'Grid_Requirement'!BB2</f>
        <v/>
      </c>
      <c r="BC2">
        <f>IF(INDEX(Cal_Weeks[MonthYearLabel],54)&lt;&gt;INDEX(Cal_Weeks[MonthYearLabel],53),'Grid_Stock'!BB2,BB2)+'Grid_Incoming'!BC2-'Grid_Requirement'!BC2</f>
        <v/>
      </c>
      <c r="BD2">
        <f>IF(INDEX(Cal_Weeks[MonthYearLabel],55)&lt;&gt;INDEX(Cal_Weeks[MonthYearLabel],54),'Grid_Stock'!BC2,BC2)+'Grid_Incoming'!BD2-'Grid_Requirement'!BD2</f>
        <v/>
      </c>
      <c r="BE2">
        <f>IF(INDEX(Cal_Weeks[MonthYearLabel],56)&lt;&gt;INDEX(Cal_Weeks[MonthYearLabel],55),'Grid_Stock'!BD2,BD2)+'Grid_Incoming'!BE2-'Grid_Requirement'!BE2</f>
        <v/>
      </c>
      <c r="BF2">
        <f>IF(INDEX(Cal_Weeks[MonthYearLabel],57)&lt;&gt;INDEX(Cal_Weeks[MonthYearLabel],56),'Grid_Stock'!BE2,BE2)+'Grid_Incoming'!BF2-'Grid_Requirement'!BF2</f>
        <v/>
      </c>
      <c r="BG2">
        <f>IF(INDEX(Cal_Weeks[MonthYearLabel],58)&lt;&gt;INDEX(Cal_Weeks[MonthYearLabel],57),'Grid_Stock'!BF2,BF2)+'Grid_Incoming'!BG2-'Grid_Requirement'!BG2</f>
        <v/>
      </c>
      <c r="BH2">
        <f>IF(INDEX(Cal_Weeks[MonthYearLabel],59)&lt;&gt;INDEX(Cal_Weeks[MonthYearLabel],58),'Grid_Stock'!BG2,BG2)+'Grid_Incoming'!BH2-'Grid_Requirement'!BH2</f>
        <v/>
      </c>
      <c r="BI2">
        <f>IF(INDEX(Cal_Weeks[MonthYearLabel],60)&lt;&gt;INDEX(Cal_Weeks[MonthYearLabel],59),'Grid_Stock'!BH2,BH2)+'Grid_Incoming'!BI2-'Grid_Requirement'!BI2</f>
        <v/>
      </c>
      <c r="BJ2">
        <f>IF(INDEX(Cal_Weeks[MonthYearLabel],61)&lt;&gt;INDEX(Cal_Weeks[MonthYearLabel],60),'Grid_Stock'!BI2,BI2)+'Grid_Incoming'!BJ2-'Grid_Requirement'!BJ2</f>
        <v/>
      </c>
      <c r="BK2">
        <f>IF(INDEX(Cal_Weeks[MonthYearLabel],62)&lt;&gt;INDEX(Cal_Weeks[MonthYearLabel],61),'Grid_Stock'!BJ2,BJ2)+'Grid_Incoming'!BK2-'Grid_Requirement'!BK2</f>
        <v/>
      </c>
      <c r="BL2">
        <f>IF(INDEX(Cal_Weeks[MonthYearLabel],63)&lt;&gt;INDEX(Cal_Weeks[MonthYearLabel],62),'Grid_Stock'!BK2,BK2)+'Grid_Incoming'!BL2-'Grid_Requirement'!BL2</f>
        <v/>
      </c>
      <c r="BM2">
        <f>IF(INDEX(Cal_Weeks[MonthYearLabel],64)&lt;&gt;INDEX(Cal_Weeks[MonthYearLabel],63),'Grid_Stock'!BL2,BL2)+'Grid_Incoming'!BM2-'Grid_Requirement'!BM2</f>
        <v/>
      </c>
      <c r="BN2">
        <f>IF(INDEX(Cal_Weeks[MonthYearLabel],65)&lt;&gt;INDEX(Cal_Weeks[MonthYearLabel],64),'Grid_Stock'!BM2,BM2)+'Grid_Incoming'!BN2-'Grid_Requirement'!BN2</f>
        <v/>
      </c>
      <c r="BO2">
        <f>IF(INDEX(Cal_Weeks[MonthYearLabel],66)&lt;&gt;INDEX(Cal_Weeks[MonthYearLabel],65),'Grid_Stock'!BN2,BN2)+'Grid_Incoming'!BO2-'Grid_Requirement'!BO2</f>
        <v/>
      </c>
      <c r="BP2">
        <f>IF(INDEX(Cal_Weeks[MonthYearLabel],67)&lt;&gt;INDEX(Cal_Weeks[MonthYearLabel],66),'Grid_Stock'!BO2,BO2)+'Grid_Incoming'!BP2-'Grid_Requirement'!BP2</f>
        <v/>
      </c>
      <c r="BQ2">
        <f>IF(INDEX(Cal_Weeks[MonthYearLabel],68)&lt;&gt;INDEX(Cal_Weeks[MonthYearLabel],67),'Grid_Stock'!BP2,BP2)+'Grid_Incoming'!BQ2-'Grid_Requirement'!BQ2</f>
        <v/>
      </c>
      <c r="BR2">
        <f>IF(INDEX(Cal_Weeks[MonthYearLabel],69)&lt;&gt;INDEX(Cal_Weeks[MonthYearLabel],68),'Grid_Stock'!BQ2,BQ2)+'Grid_Incoming'!BR2-'Grid_Requirement'!BR2</f>
        <v/>
      </c>
      <c r="BS2">
        <f>IF(INDEX(Cal_Weeks[MonthYearLabel],70)&lt;&gt;INDEX(Cal_Weeks[MonthYearLabel],69),'Grid_Stock'!BR2,BR2)+'Grid_Incoming'!BS2-'Grid_Requirement'!BS2</f>
        <v/>
      </c>
      <c r="BT2">
        <f>IF(INDEX(Cal_Weeks[MonthYearLabel],71)&lt;&gt;INDEX(Cal_Weeks[MonthYearLabel],70),'Grid_Stock'!BS2,BS2)+'Grid_Incoming'!BT2-'Grid_Requirement'!BT2</f>
        <v/>
      </c>
      <c r="BU2">
        <f>IF(INDEX(Cal_Weeks[MonthYearLabel],72)&lt;&gt;INDEX(Cal_Weeks[MonthYearLabel],71),'Grid_Stock'!BT2,BT2)+'Grid_Incoming'!BU2-'Grid_Requirement'!BU2</f>
        <v/>
      </c>
      <c r="BV2">
        <f>IF(INDEX(Cal_Weeks[MonthYearLabel],73)&lt;&gt;INDEX(Cal_Weeks[MonthYearLabel],72),'Grid_Stock'!BU2,BU2)+'Grid_Incoming'!BV2-'Grid_Requirement'!BV2</f>
        <v/>
      </c>
      <c r="BW2">
        <f>IF(INDEX(Cal_Weeks[MonthYearLabel],74)&lt;&gt;INDEX(Cal_Weeks[MonthYearLabel],73),'Grid_Stock'!BV2,BV2)+'Grid_Incoming'!BW2-'Grid_Requirement'!BW2</f>
        <v/>
      </c>
      <c r="BX2">
        <f>IF(INDEX(Cal_Weeks[MonthYearLabel],75)&lt;&gt;INDEX(Cal_Weeks[MonthYearLabel],74),'Grid_Stock'!BW2,BW2)+'Grid_Incoming'!BX2-'Grid_Requirement'!BX2</f>
        <v/>
      </c>
      <c r="BY2">
        <f>IF(INDEX(Cal_Weeks[MonthYearLabel],76)&lt;&gt;INDEX(Cal_Weeks[MonthYearLabel],75),'Grid_Stock'!BX2,BX2)+'Grid_Incoming'!BY2-'Grid_Requirement'!BY2</f>
        <v/>
      </c>
      <c r="BZ2">
        <f>IF(INDEX(Cal_Weeks[MonthYearLabel],77)&lt;&gt;INDEX(Cal_Weeks[MonthYearLabel],76),'Grid_Stock'!BY2,BY2)+'Grid_Incoming'!BZ2-'Grid_Requirement'!BZ2</f>
        <v/>
      </c>
      <c r="CA2">
        <f>IF(INDEX(Cal_Weeks[MonthYearLabel],78)&lt;&gt;INDEX(Cal_Weeks[MonthYearLabel],77),'Grid_Stock'!BZ2,BZ2)+'Grid_Incoming'!CA2-'Grid_Requirement'!CA2</f>
        <v/>
      </c>
      <c r="CB2">
        <f>IF(INDEX(Cal_Weeks[MonthYearLabel],79)&lt;&gt;INDEX(Cal_Weeks[MonthYearLabel],78),'Grid_Stock'!CA2,CA2)+'Grid_Incoming'!CB2-'Grid_Requirement'!CB2</f>
        <v/>
      </c>
      <c r="CC2">
        <f>IF(INDEX(Cal_Weeks[MonthYearLabel],80)&lt;&gt;INDEX(Cal_Weeks[MonthYearLabel],79),'Grid_Stock'!CB2,CB2)+'Grid_Incoming'!CC2-'Grid_Requirement'!CC2</f>
        <v/>
      </c>
      <c r="CD2">
        <f>IF(INDEX(Cal_Weeks[MonthYearLabel],81)&lt;&gt;INDEX(Cal_Weeks[MonthYearLabel],80),'Grid_Stock'!CC2,CC2)+'Grid_Incoming'!CD2-'Grid_Requirement'!CD2</f>
        <v/>
      </c>
      <c r="CE2">
        <f>IF(INDEX(Cal_Weeks[MonthYearLabel],82)&lt;&gt;INDEX(Cal_Weeks[MonthYearLabel],81),'Grid_Stock'!CD2,CD2)+'Grid_Incoming'!CE2-'Grid_Requirement'!CE2</f>
        <v/>
      </c>
      <c r="CF2">
        <f>IF(INDEX(Cal_Weeks[MonthYearLabel],83)&lt;&gt;INDEX(Cal_Weeks[MonthYearLabel],82),'Grid_Stock'!CE2,CE2)+'Grid_Incoming'!CF2-'Grid_Requirement'!CF2</f>
        <v/>
      </c>
      <c r="CG2">
        <f>IF(INDEX(Cal_Weeks[MonthYearLabel],84)&lt;&gt;INDEX(Cal_Weeks[MonthYearLabel],83),'Grid_Stock'!CF2,CF2)+'Grid_Incoming'!CG2-'Grid_Requirement'!CG2</f>
        <v/>
      </c>
      <c r="CH2">
        <f>IF(INDEX(Cal_Weeks[MonthYearLabel],85)&lt;&gt;INDEX(Cal_Weeks[MonthYearLabel],84),'Grid_Stock'!CG2,CG2)+'Grid_Incoming'!CH2-'Grid_Requirement'!CH2</f>
        <v/>
      </c>
      <c r="CI2">
        <f>IF(INDEX(Cal_Weeks[MonthYearLabel],86)&lt;&gt;INDEX(Cal_Weeks[MonthYearLabel],85),'Grid_Stock'!CH2,CH2)+'Grid_Incoming'!CI2-'Grid_Requirement'!CI2</f>
        <v/>
      </c>
      <c r="CJ2">
        <f>IF(INDEX(Cal_Weeks[MonthYearLabel],87)&lt;&gt;INDEX(Cal_Weeks[MonthYearLabel],86),'Grid_Stock'!CI2,CI2)+'Grid_Incoming'!CJ2-'Grid_Requirement'!CJ2</f>
        <v/>
      </c>
      <c r="CK2">
        <f>IF(INDEX(Cal_Weeks[MonthYearLabel],88)&lt;&gt;INDEX(Cal_Weeks[MonthYearLabel],87),'Grid_Stock'!CJ2,CJ2)+'Grid_Incoming'!CK2-'Grid_Requirement'!CK2</f>
        <v/>
      </c>
      <c r="CL2">
        <f>IF(INDEX(Cal_Weeks[MonthYearLabel],89)&lt;&gt;INDEX(Cal_Weeks[MonthYearLabel],88),'Grid_Stock'!CK2,CK2)+'Grid_Incoming'!CL2-'Grid_Requirement'!CL2</f>
        <v/>
      </c>
      <c r="CM2">
        <f>IF(INDEX(Cal_Weeks[MonthYearLabel],90)&lt;&gt;INDEX(Cal_Weeks[MonthYearLabel],89),'Grid_Stock'!CL2,CL2)+'Grid_Incoming'!CM2-'Grid_Requirement'!CM2</f>
        <v/>
      </c>
      <c r="CN2">
        <f>IF(INDEX(Cal_Weeks[MonthYearLabel],91)&lt;&gt;INDEX(Cal_Weeks[MonthYearLabel],90),'Grid_Stock'!CM2,CM2)+'Grid_Incoming'!CN2-'Grid_Requirement'!CN2</f>
        <v/>
      </c>
      <c r="CO2">
        <f>IF(INDEX(Cal_Weeks[MonthYearLabel],92)&lt;&gt;INDEX(Cal_Weeks[MonthYearLabel],91),'Grid_Stock'!CN2,CN2)+'Grid_Incoming'!CO2-'Grid_Requirement'!CO2</f>
        <v/>
      </c>
      <c r="CP2">
        <f>IF(INDEX(Cal_Weeks[MonthYearLabel],93)&lt;&gt;INDEX(Cal_Weeks[MonthYearLabel],92),'Grid_Stock'!CO2,CO2)+'Grid_Incoming'!CP2-'Grid_Requirement'!CP2</f>
        <v/>
      </c>
      <c r="CQ2">
        <f>IF(INDEX(Cal_Weeks[MonthYearLabel],94)&lt;&gt;INDEX(Cal_Weeks[MonthYearLabel],93),'Grid_Stock'!CP2,CP2)+'Grid_Incoming'!CQ2-'Grid_Requirement'!CQ2</f>
        <v/>
      </c>
      <c r="CR2">
        <f>IF(INDEX(Cal_Weeks[MonthYearLabel],95)&lt;&gt;INDEX(Cal_Weeks[MonthYearLabel],94),'Grid_Stock'!CQ2,CQ2)+'Grid_Incoming'!CR2-'Grid_Requirement'!CR2</f>
        <v/>
      </c>
      <c r="CS2">
        <f>IF(INDEX(Cal_Weeks[MonthYearLabel],96)&lt;&gt;INDEX(Cal_Weeks[MonthYearLabel],95),'Grid_Stock'!CR2,CR2)+'Grid_Incoming'!CS2-'Grid_Requirement'!CS2</f>
        <v/>
      </c>
      <c r="CT2">
        <f>IF(INDEX(Cal_Weeks[MonthYearLabel],97)&lt;&gt;INDEX(Cal_Weeks[MonthYearLabel],96),'Grid_Stock'!CS2,CS2)+'Grid_Incoming'!CT2-'Grid_Requirement'!CT2</f>
        <v/>
      </c>
      <c r="CU2">
        <f>IF(INDEX(Cal_Weeks[MonthYearLabel],98)&lt;&gt;INDEX(Cal_Weeks[MonthYearLabel],97),'Grid_Stock'!CT2,CT2)+'Grid_Incoming'!CU2-'Grid_Requirement'!CU2</f>
        <v/>
      </c>
      <c r="CV2">
        <f>IF(INDEX(Cal_Weeks[MonthYearLabel],99)&lt;&gt;INDEX(Cal_Weeks[MonthYearLabel],98),'Grid_Stock'!CU2,CU2)+'Grid_Incoming'!CV2-'Grid_Requirement'!CV2</f>
        <v/>
      </c>
      <c r="CW2">
        <f>IF(INDEX(Cal_Weeks[MonthYearLabel],100)&lt;&gt;INDEX(Cal_Weeks[MonthYearLabel],99),'Grid_Stock'!CV2,CV2)+'Grid_Incoming'!CW2-'Grid_Requirement'!CW2</f>
        <v/>
      </c>
      <c r="CX2">
        <f>IF(INDEX(Cal_Weeks[MonthYearLabel],101)&lt;&gt;INDEX(Cal_Weeks[MonthYearLabel],100),'Grid_Stock'!CW2,CW2)+'Grid_Incoming'!CX2-'Grid_Requirement'!CX2</f>
        <v/>
      </c>
      <c r="CY2">
        <f>IF(INDEX(Cal_Weeks[MonthYearLabel],102)&lt;&gt;INDEX(Cal_Weeks[MonthYearLabel],101),'Grid_Stock'!CX2,CX2)+'Grid_Incoming'!CY2-'Grid_Requirement'!CY2</f>
        <v/>
      </c>
      <c r="CZ2">
        <f>IF(INDEX(Cal_Weeks[MonthYearLabel],103)&lt;&gt;INDEX(Cal_Weeks[MonthYearLabel],102),'Grid_Stock'!CY2,CY2)+'Grid_Incoming'!CZ2-'Grid_Requirement'!CZ2</f>
        <v/>
      </c>
      <c r="DA2">
        <f>IF(INDEX(Cal_Weeks[MonthYearLabel],104)&lt;&gt;INDEX(Cal_Weeks[MonthYearLabel],103),'Grid_Stock'!CZ2,CZ2)+'Grid_Incoming'!DA2-'Grid_Requirement'!DA2</f>
        <v/>
      </c>
    </row>
    <row r="3">
      <c r="A3" t="inlineStr">
        <is>
          <t>1EK</t>
        </is>
      </c>
      <c r="B3">
        <f>IFERROR(INDEX(T_OpeningStock[Opening_Qty_要入力],MATCH($A3,T_OpeningStock[Part Name],0)),0)+'Grid_Incoming'!B3-'Grid_Requirement'!B3</f>
        <v/>
      </c>
      <c r="C3">
        <f>IF(INDEX(Cal_Weeks[MonthYearLabel],2)&lt;&gt;INDEX(Cal_Weeks[MonthYearLabel],1),'Grid_Stock'!B3,B3)+'Grid_Incoming'!C3-'Grid_Requirement'!C3</f>
        <v/>
      </c>
      <c r="D3">
        <f>IF(INDEX(Cal_Weeks[MonthYearLabel],3)&lt;&gt;INDEX(Cal_Weeks[MonthYearLabel],2),'Grid_Stock'!C3,C3)+'Grid_Incoming'!D3-'Grid_Requirement'!D3</f>
        <v/>
      </c>
      <c r="E3">
        <f>IF(INDEX(Cal_Weeks[MonthYearLabel],4)&lt;&gt;INDEX(Cal_Weeks[MonthYearLabel],3),'Grid_Stock'!D3,D3)+'Grid_Incoming'!E3-'Grid_Requirement'!E3</f>
        <v/>
      </c>
      <c r="F3">
        <f>IF(INDEX(Cal_Weeks[MonthYearLabel],5)&lt;&gt;INDEX(Cal_Weeks[MonthYearLabel],4),'Grid_Stock'!E3,E3)+'Grid_Incoming'!F3-'Grid_Requirement'!F3</f>
        <v/>
      </c>
      <c r="G3">
        <f>IF(INDEX(Cal_Weeks[MonthYearLabel],6)&lt;&gt;INDEX(Cal_Weeks[MonthYearLabel],5),'Grid_Stock'!F3,F3)+'Grid_Incoming'!G3-'Grid_Requirement'!G3</f>
        <v/>
      </c>
      <c r="H3">
        <f>IF(INDEX(Cal_Weeks[MonthYearLabel],7)&lt;&gt;INDEX(Cal_Weeks[MonthYearLabel],6),'Grid_Stock'!G3,G3)+'Grid_Incoming'!H3-'Grid_Requirement'!H3</f>
        <v/>
      </c>
      <c r="I3">
        <f>IF(INDEX(Cal_Weeks[MonthYearLabel],8)&lt;&gt;INDEX(Cal_Weeks[MonthYearLabel],7),'Grid_Stock'!H3,H3)+'Grid_Incoming'!I3-'Grid_Requirement'!I3</f>
        <v/>
      </c>
      <c r="J3">
        <f>IF(INDEX(Cal_Weeks[MonthYearLabel],9)&lt;&gt;INDEX(Cal_Weeks[MonthYearLabel],8),'Grid_Stock'!I3,I3)+'Grid_Incoming'!J3-'Grid_Requirement'!J3</f>
        <v/>
      </c>
      <c r="K3">
        <f>IF(INDEX(Cal_Weeks[MonthYearLabel],10)&lt;&gt;INDEX(Cal_Weeks[MonthYearLabel],9),'Grid_Stock'!J3,J3)+'Grid_Incoming'!K3-'Grid_Requirement'!K3</f>
        <v/>
      </c>
      <c r="L3">
        <f>IF(INDEX(Cal_Weeks[MonthYearLabel],11)&lt;&gt;INDEX(Cal_Weeks[MonthYearLabel],10),'Grid_Stock'!K3,K3)+'Grid_Incoming'!L3-'Grid_Requirement'!L3</f>
        <v/>
      </c>
      <c r="M3">
        <f>IF(INDEX(Cal_Weeks[MonthYearLabel],12)&lt;&gt;INDEX(Cal_Weeks[MonthYearLabel],11),'Grid_Stock'!L3,L3)+'Grid_Incoming'!M3-'Grid_Requirement'!M3</f>
        <v/>
      </c>
      <c r="N3">
        <f>IF(INDEX(Cal_Weeks[MonthYearLabel],13)&lt;&gt;INDEX(Cal_Weeks[MonthYearLabel],12),'Grid_Stock'!M3,M3)+'Grid_Incoming'!N3-'Grid_Requirement'!N3</f>
        <v/>
      </c>
      <c r="O3">
        <f>IF(INDEX(Cal_Weeks[MonthYearLabel],14)&lt;&gt;INDEX(Cal_Weeks[MonthYearLabel],13),'Grid_Stock'!N3,N3)+'Grid_Incoming'!O3-'Grid_Requirement'!O3</f>
        <v/>
      </c>
      <c r="P3">
        <f>IF(INDEX(Cal_Weeks[MonthYearLabel],15)&lt;&gt;INDEX(Cal_Weeks[MonthYearLabel],14),'Grid_Stock'!O3,O3)+'Grid_Incoming'!P3-'Grid_Requirement'!P3</f>
        <v/>
      </c>
      <c r="Q3">
        <f>IF(INDEX(Cal_Weeks[MonthYearLabel],16)&lt;&gt;INDEX(Cal_Weeks[MonthYearLabel],15),'Grid_Stock'!P3,P3)+'Grid_Incoming'!Q3-'Grid_Requirement'!Q3</f>
        <v/>
      </c>
      <c r="R3">
        <f>IF(INDEX(Cal_Weeks[MonthYearLabel],17)&lt;&gt;INDEX(Cal_Weeks[MonthYearLabel],16),'Grid_Stock'!Q3,Q3)+'Grid_Incoming'!R3-'Grid_Requirement'!R3</f>
        <v/>
      </c>
      <c r="S3">
        <f>IF(INDEX(Cal_Weeks[MonthYearLabel],18)&lt;&gt;INDEX(Cal_Weeks[MonthYearLabel],17),'Grid_Stock'!R3,R3)+'Grid_Incoming'!S3-'Grid_Requirement'!S3</f>
        <v/>
      </c>
      <c r="T3">
        <f>IF(INDEX(Cal_Weeks[MonthYearLabel],19)&lt;&gt;INDEX(Cal_Weeks[MonthYearLabel],18),'Grid_Stock'!S3,S3)+'Grid_Incoming'!T3-'Grid_Requirement'!T3</f>
        <v/>
      </c>
      <c r="U3">
        <f>IF(INDEX(Cal_Weeks[MonthYearLabel],20)&lt;&gt;INDEX(Cal_Weeks[MonthYearLabel],19),'Grid_Stock'!T3,T3)+'Grid_Incoming'!U3-'Grid_Requirement'!U3</f>
        <v/>
      </c>
      <c r="V3">
        <f>IF(INDEX(Cal_Weeks[MonthYearLabel],21)&lt;&gt;INDEX(Cal_Weeks[MonthYearLabel],20),'Grid_Stock'!U3,U3)+'Grid_Incoming'!V3-'Grid_Requirement'!V3</f>
        <v/>
      </c>
      <c r="W3">
        <f>IF(INDEX(Cal_Weeks[MonthYearLabel],22)&lt;&gt;INDEX(Cal_Weeks[MonthYearLabel],21),'Grid_Stock'!V3,V3)+'Grid_Incoming'!W3-'Grid_Requirement'!W3</f>
        <v/>
      </c>
      <c r="X3">
        <f>IF(INDEX(Cal_Weeks[MonthYearLabel],23)&lt;&gt;INDEX(Cal_Weeks[MonthYearLabel],22),'Grid_Stock'!W3,W3)+'Grid_Incoming'!X3-'Grid_Requirement'!X3</f>
        <v/>
      </c>
      <c r="Y3">
        <f>IF(INDEX(Cal_Weeks[MonthYearLabel],24)&lt;&gt;INDEX(Cal_Weeks[MonthYearLabel],23),'Grid_Stock'!X3,X3)+'Grid_Incoming'!Y3-'Grid_Requirement'!Y3</f>
        <v/>
      </c>
      <c r="Z3">
        <f>IF(INDEX(Cal_Weeks[MonthYearLabel],25)&lt;&gt;INDEX(Cal_Weeks[MonthYearLabel],24),'Grid_Stock'!Y3,Y3)+'Grid_Incoming'!Z3-'Grid_Requirement'!Z3</f>
        <v/>
      </c>
      <c r="AA3">
        <f>IF(INDEX(Cal_Weeks[MonthYearLabel],26)&lt;&gt;INDEX(Cal_Weeks[MonthYearLabel],25),'Grid_Stock'!Z3,Z3)+'Grid_Incoming'!AA3-'Grid_Requirement'!AA3</f>
        <v/>
      </c>
      <c r="AB3">
        <f>IF(INDEX(Cal_Weeks[MonthYearLabel],27)&lt;&gt;INDEX(Cal_Weeks[MonthYearLabel],26),'Grid_Stock'!AA3,AA3)+'Grid_Incoming'!AB3-'Grid_Requirement'!AB3</f>
        <v/>
      </c>
      <c r="AC3">
        <f>IF(INDEX(Cal_Weeks[MonthYearLabel],28)&lt;&gt;INDEX(Cal_Weeks[MonthYearLabel],27),'Grid_Stock'!AB3,AB3)+'Grid_Incoming'!AC3-'Grid_Requirement'!AC3</f>
        <v/>
      </c>
      <c r="AD3">
        <f>IF(INDEX(Cal_Weeks[MonthYearLabel],29)&lt;&gt;INDEX(Cal_Weeks[MonthYearLabel],28),'Grid_Stock'!AC3,AC3)+'Grid_Incoming'!AD3-'Grid_Requirement'!AD3</f>
        <v/>
      </c>
      <c r="AE3">
        <f>IF(INDEX(Cal_Weeks[MonthYearLabel],30)&lt;&gt;INDEX(Cal_Weeks[MonthYearLabel],29),'Grid_Stock'!AD3,AD3)+'Grid_Incoming'!AE3-'Grid_Requirement'!AE3</f>
        <v/>
      </c>
      <c r="AF3">
        <f>IF(INDEX(Cal_Weeks[MonthYearLabel],31)&lt;&gt;INDEX(Cal_Weeks[MonthYearLabel],30),'Grid_Stock'!AE3,AE3)+'Grid_Incoming'!AF3-'Grid_Requirement'!AF3</f>
        <v/>
      </c>
      <c r="AG3">
        <f>IF(INDEX(Cal_Weeks[MonthYearLabel],32)&lt;&gt;INDEX(Cal_Weeks[MonthYearLabel],31),'Grid_Stock'!AF3,AF3)+'Grid_Incoming'!AG3-'Grid_Requirement'!AG3</f>
        <v/>
      </c>
      <c r="AH3">
        <f>IF(INDEX(Cal_Weeks[MonthYearLabel],33)&lt;&gt;INDEX(Cal_Weeks[MonthYearLabel],32),'Grid_Stock'!AG3,AG3)+'Grid_Incoming'!AH3-'Grid_Requirement'!AH3</f>
        <v/>
      </c>
      <c r="AI3">
        <f>IF(INDEX(Cal_Weeks[MonthYearLabel],34)&lt;&gt;INDEX(Cal_Weeks[MonthYearLabel],33),'Grid_Stock'!AH3,AH3)+'Grid_Incoming'!AI3-'Grid_Requirement'!AI3</f>
        <v/>
      </c>
      <c r="AJ3">
        <f>IF(INDEX(Cal_Weeks[MonthYearLabel],35)&lt;&gt;INDEX(Cal_Weeks[MonthYearLabel],34),'Grid_Stock'!AI3,AI3)+'Grid_Incoming'!AJ3-'Grid_Requirement'!AJ3</f>
        <v/>
      </c>
      <c r="AK3">
        <f>IF(INDEX(Cal_Weeks[MonthYearLabel],36)&lt;&gt;INDEX(Cal_Weeks[MonthYearLabel],35),'Grid_Stock'!AJ3,AJ3)+'Grid_Incoming'!AK3-'Grid_Requirement'!AK3</f>
        <v/>
      </c>
      <c r="AL3">
        <f>IF(INDEX(Cal_Weeks[MonthYearLabel],37)&lt;&gt;INDEX(Cal_Weeks[MonthYearLabel],36),'Grid_Stock'!AK3,AK3)+'Grid_Incoming'!AL3-'Grid_Requirement'!AL3</f>
        <v/>
      </c>
      <c r="AM3">
        <f>IF(INDEX(Cal_Weeks[MonthYearLabel],38)&lt;&gt;INDEX(Cal_Weeks[MonthYearLabel],37),'Grid_Stock'!AL3,AL3)+'Grid_Incoming'!AM3-'Grid_Requirement'!AM3</f>
        <v/>
      </c>
      <c r="AN3">
        <f>IF(INDEX(Cal_Weeks[MonthYearLabel],39)&lt;&gt;INDEX(Cal_Weeks[MonthYearLabel],38),'Grid_Stock'!AM3,AM3)+'Grid_Incoming'!AN3-'Grid_Requirement'!AN3</f>
        <v/>
      </c>
      <c r="AO3">
        <f>IF(INDEX(Cal_Weeks[MonthYearLabel],40)&lt;&gt;INDEX(Cal_Weeks[MonthYearLabel],39),'Grid_Stock'!AN3,AN3)+'Grid_Incoming'!AO3-'Grid_Requirement'!AO3</f>
        <v/>
      </c>
      <c r="AP3">
        <f>IF(INDEX(Cal_Weeks[MonthYearLabel],41)&lt;&gt;INDEX(Cal_Weeks[MonthYearLabel],40),'Grid_Stock'!AO3,AO3)+'Grid_Incoming'!AP3-'Grid_Requirement'!AP3</f>
        <v/>
      </c>
      <c r="AQ3">
        <f>IF(INDEX(Cal_Weeks[MonthYearLabel],42)&lt;&gt;INDEX(Cal_Weeks[MonthYearLabel],41),'Grid_Stock'!AP3,AP3)+'Grid_Incoming'!AQ3-'Grid_Requirement'!AQ3</f>
        <v/>
      </c>
      <c r="AR3">
        <f>IF(INDEX(Cal_Weeks[MonthYearLabel],43)&lt;&gt;INDEX(Cal_Weeks[MonthYearLabel],42),'Grid_Stock'!AQ3,AQ3)+'Grid_Incoming'!AR3-'Grid_Requirement'!AR3</f>
        <v/>
      </c>
      <c r="AS3">
        <f>IF(INDEX(Cal_Weeks[MonthYearLabel],44)&lt;&gt;INDEX(Cal_Weeks[MonthYearLabel],43),'Grid_Stock'!AR3,AR3)+'Grid_Incoming'!AS3-'Grid_Requirement'!AS3</f>
        <v/>
      </c>
      <c r="AT3">
        <f>IF(INDEX(Cal_Weeks[MonthYearLabel],45)&lt;&gt;INDEX(Cal_Weeks[MonthYearLabel],44),'Grid_Stock'!AS3,AS3)+'Grid_Incoming'!AT3-'Grid_Requirement'!AT3</f>
        <v/>
      </c>
      <c r="AU3">
        <f>IF(INDEX(Cal_Weeks[MonthYearLabel],46)&lt;&gt;INDEX(Cal_Weeks[MonthYearLabel],45),'Grid_Stock'!AT3,AT3)+'Grid_Incoming'!AU3-'Grid_Requirement'!AU3</f>
        <v/>
      </c>
      <c r="AV3">
        <f>IF(INDEX(Cal_Weeks[MonthYearLabel],47)&lt;&gt;INDEX(Cal_Weeks[MonthYearLabel],46),'Grid_Stock'!AU3,AU3)+'Grid_Incoming'!AV3-'Grid_Requirement'!AV3</f>
        <v/>
      </c>
      <c r="AW3">
        <f>IF(INDEX(Cal_Weeks[MonthYearLabel],48)&lt;&gt;INDEX(Cal_Weeks[MonthYearLabel],47),'Grid_Stock'!AV3,AV3)+'Grid_Incoming'!AW3-'Grid_Requirement'!AW3</f>
        <v/>
      </c>
      <c r="AX3">
        <f>IF(INDEX(Cal_Weeks[MonthYearLabel],49)&lt;&gt;INDEX(Cal_Weeks[MonthYearLabel],48),'Grid_Stock'!AW3,AW3)+'Grid_Incoming'!AX3-'Grid_Requirement'!AX3</f>
        <v/>
      </c>
      <c r="AY3">
        <f>IF(INDEX(Cal_Weeks[MonthYearLabel],50)&lt;&gt;INDEX(Cal_Weeks[MonthYearLabel],49),'Grid_Stock'!AX3,AX3)+'Grid_Incoming'!AY3-'Grid_Requirement'!AY3</f>
        <v/>
      </c>
      <c r="AZ3">
        <f>IF(INDEX(Cal_Weeks[MonthYearLabel],51)&lt;&gt;INDEX(Cal_Weeks[MonthYearLabel],50),'Grid_Stock'!AY3,AY3)+'Grid_Incoming'!AZ3-'Grid_Requirement'!AZ3</f>
        <v/>
      </c>
      <c r="BA3">
        <f>IF(INDEX(Cal_Weeks[MonthYearLabel],52)&lt;&gt;INDEX(Cal_Weeks[MonthYearLabel],51),'Grid_Stock'!AZ3,AZ3)+'Grid_Incoming'!BA3-'Grid_Requirement'!BA3</f>
        <v/>
      </c>
      <c r="BB3">
        <f>IF(INDEX(Cal_Weeks[MonthYearLabel],53)&lt;&gt;INDEX(Cal_Weeks[MonthYearLabel],52),'Grid_Stock'!BA3,BA3)+'Grid_Incoming'!BB3-'Grid_Requirement'!BB3</f>
        <v/>
      </c>
      <c r="BC3">
        <f>IF(INDEX(Cal_Weeks[MonthYearLabel],54)&lt;&gt;INDEX(Cal_Weeks[MonthYearLabel],53),'Grid_Stock'!BB3,BB3)+'Grid_Incoming'!BC3-'Grid_Requirement'!BC3</f>
        <v/>
      </c>
      <c r="BD3">
        <f>IF(INDEX(Cal_Weeks[MonthYearLabel],55)&lt;&gt;INDEX(Cal_Weeks[MonthYearLabel],54),'Grid_Stock'!BC3,BC3)+'Grid_Incoming'!BD3-'Grid_Requirement'!BD3</f>
        <v/>
      </c>
      <c r="BE3">
        <f>IF(INDEX(Cal_Weeks[MonthYearLabel],56)&lt;&gt;INDEX(Cal_Weeks[MonthYearLabel],55),'Grid_Stock'!BD3,BD3)+'Grid_Incoming'!BE3-'Grid_Requirement'!BE3</f>
        <v/>
      </c>
      <c r="BF3">
        <f>IF(INDEX(Cal_Weeks[MonthYearLabel],57)&lt;&gt;INDEX(Cal_Weeks[MonthYearLabel],56),'Grid_Stock'!BE3,BE3)+'Grid_Incoming'!BF3-'Grid_Requirement'!BF3</f>
        <v/>
      </c>
      <c r="BG3">
        <f>IF(INDEX(Cal_Weeks[MonthYearLabel],58)&lt;&gt;INDEX(Cal_Weeks[MonthYearLabel],57),'Grid_Stock'!BF3,BF3)+'Grid_Incoming'!BG3-'Grid_Requirement'!BG3</f>
        <v/>
      </c>
      <c r="BH3">
        <f>IF(INDEX(Cal_Weeks[MonthYearLabel],59)&lt;&gt;INDEX(Cal_Weeks[MonthYearLabel],58),'Grid_Stock'!BG3,BG3)+'Grid_Incoming'!BH3-'Grid_Requirement'!BH3</f>
        <v/>
      </c>
      <c r="BI3">
        <f>IF(INDEX(Cal_Weeks[MonthYearLabel],60)&lt;&gt;INDEX(Cal_Weeks[MonthYearLabel],59),'Grid_Stock'!BH3,BH3)+'Grid_Incoming'!BI3-'Grid_Requirement'!BI3</f>
        <v/>
      </c>
      <c r="BJ3">
        <f>IF(INDEX(Cal_Weeks[MonthYearLabel],61)&lt;&gt;INDEX(Cal_Weeks[MonthYearLabel],60),'Grid_Stock'!BI3,BI3)+'Grid_Incoming'!BJ3-'Grid_Requirement'!BJ3</f>
        <v/>
      </c>
      <c r="BK3">
        <f>IF(INDEX(Cal_Weeks[MonthYearLabel],62)&lt;&gt;INDEX(Cal_Weeks[MonthYearLabel],61),'Grid_Stock'!BJ3,BJ3)+'Grid_Incoming'!BK3-'Grid_Requirement'!BK3</f>
        <v/>
      </c>
      <c r="BL3">
        <f>IF(INDEX(Cal_Weeks[MonthYearLabel],63)&lt;&gt;INDEX(Cal_Weeks[MonthYearLabel],62),'Grid_Stock'!BK3,BK3)+'Grid_Incoming'!BL3-'Grid_Requirement'!BL3</f>
        <v/>
      </c>
      <c r="BM3">
        <f>IF(INDEX(Cal_Weeks[MonthYearLabel],64)&lt;&gt;INDEX(Cal_Weeks[MonthYearLabel],63),'Grid_Stock'!BL3,BL3)+'Grid_Incoming'!BM3-'Grid_Requirement'!BM3</f>
        <v/>
      </c>
      <c r="BN3">
        <f>IF(INDEX(Cal_Weeks[MonthYearLabel],65)&lt;&gt;INDEX(Cal_Weeks[MonthYearLabel],64),'Grid_Stock'!BM3,BM3)+'Grid_Incoming'!BN3-'Grid_Requirement'!BN3</f>
        <v/>
      </c>
      <c r="BO3">
        <f>IF(INDEX(Cal_Weeks[MonthYearLabel],66)&lt;&gt;INDEX(Cal_Weeks[MonthYearLabel],65),'Grid_Stock'!BN3,BN3)+'Grid_Incoming'!BO3-'Grid_Requirement'!BO3</f>
        <v/>
      </c>
      <c r="BP3">
        <f>IF(INDEX(Cal_Weeks[MonthYearLabel],67)&lt;&gt;INDEX(Cal_Weeks[MonthYearLabel],66),'Grid_Stock'!BO3,BO3)+'Grid_Incoming'!BP3-'Grid_Requirement'!BP3</f>
        <v/>
      </c>
      <c r="BQ3">
        <f>IF(INDEX(Cal_Weeks[MonthYearLabel],68)&lt;&gt;INDEX(Cal_Weeks[MonthYearLabel],67),'Grid_Stock'!BP3,BP3)+'Grid_Incoming'!BQ3-'Grid_Requirement'!BQ3</f>
        <v/>
      </c>
      <c r="BR3">
        <f>IF(INDEX(Cal_Weeks[MonthYearLabel],69)&lt;&gt;INDEX(Cal_Weeks[MonthYearLabel],68),'Grid_Stock'!BQ3,BQ3)+'Grid_Incoming'!BR3-'Grid_Requirement'!BR3</f>
        <v/>
      </c>
      <c r="BS3">
        <f>IF(INDEX(Cal_Weeks[MonthYearLabel],70)&lt;&gt;INDEX(Cal_Weeks[MonthYearLabel],69),'Grid_Stock'!BR3,BR3)+'Grid_Incoming'!BS3-'Grid_Requirement'!BS3</f>
        <v/>
      </c>
      <c r="BT3">
        <f>IF(INDEX(Cal_Weeks[MonthYearLabel],71)&lt;&gt;INDEX(Cal_Weeks[MonthYearLabel],70),'Grid_Stock'!BS3,BS3)+'Grid_Incoming'!BT3-'Grid_Requirement'!BT3</f>
        <v/>
      </c>
      <c r="BU3">
        <f>IF(INDEX(Cal_Weeks[MonthYearLabel],72)&lt;&gt;INDEX(Cal_Weeks[MonthYearLabel],71),'Grid_Stock'!BT3,BT3)+'Grid_Incoming'!BU3-'Grid_Requirement'!BU3</f>
        <v/>
      </c>
      <c r="BV3">
        <f>IF(INDEX(Cal_Weeks[MonthYearLabel],73)&lt;&gt;INDEX(Cal_Weeks[MonthYearLabel],72),'Grid_Stock'!BU3,BU3)+'Grid_Incoming'!BV3-'Grid_Requirement'!BV3</f>
        <v/>
      </c>
      <c r="BW3">
        <f>IF(INDEX(Cal_Weeks[MonthYearLabel],74)&lt;&gt;INDEX(Cal_Weeks[MonthYearLabel],73),'Grid_Stock'!BV3,BV3)+'Grid_Incoming'!BW3-'Grid_Requirement'!BW3</f>
        <v/>
      </c>
      <c r="BX3">
        <f>IF(INDEX(Cal_Weeks[MonthYearLabel],75)&lt;&gt;INDEX(Cal_Weeks[MonthYearLabel],74),'Grid_Stock'!BW3,BW3)+'Grid_Incoming'!BX3-'Grid_Requirement'!BX3</f>
        <v/>
      </c>
      <c r="BY3">
        <f>IF(INDEX(Cal_Weeks[MonthYearLabel],76)&lt;&gt;INDEX(Cal_Weeks[MonthYearLabel],75),'Grid_Stock'!BX3,BX3)+'Grid_Incoming'!BY3-'Grid_Requirement'!BY3</f>
        <v/>
      </c>
      <c r="BZ3">
        <f>IF(INDEX(Cal_Weeks[MonthYearLabel],77)&lt;&gt;INDEX(Cal_Weeks[MonthYearLabel],76),'Grid_Stock'!BY3,BY3)+'Grid_Incoming'!BZ3-'Grid_Requirement'!BZ3</f>
        <v/>
      </c>
      <c r="CA3">
        <f>IF(INDEX(Cal_Weeks[MonthYearLabel],78)&lt;&gt;INDEX(Cal_Weeks[MonthYearLabel],77),'Grid_Stock'!BZ3,BZ3)+'Grid_Incoming'!CA3-'Grid_Requirement'!CA3</f>
        <v/>
      </c>
      <c r="CB3">
        <f>IF(INDEX(Cal_Weeks[MonthYearLabel],79)&lt;&gt;INDEX(Cal_Weeks[MonthYearLabel],78),'Grid_Stock'!CA3,CA3)+'Grid_Incoming'!CB3-'Grid_Requirement'!CB3</f>
        <v/>
      </c>
      <c r="CC3">
        <f>IF(INDEX(Cal_Weeks[MonthYearLabel],80)&lt;&gt;INDEX(Cal_Weeks[MonthYearLabel],79),'Grid_Stock'!CB3,CB3)+'Grid_Incoming'!CC3-'Grid_Requirement'!CC3</f>
        <v/>
      </c>
      <c r="CD3">
        <f>IF(INDEX(Cal_Weeks[MonthYearLabel],81)&lt;&gt;INDEX(Cal_Weeks[MonthYearLabel],80),'Grid_Stock'!CC3,CC3)+'Grid_Incoming'!CD3-'Grid_Requirement'!CD3</f>
        <v/>
      </c>
      <c r="CE3">
        <f>IF(INDEX(Cal_Weeks[MonthYearLabel],82)&lt;&gt;INDEX(Cal_Weeks[MonthYearLabel],81),'Grid_Stock'!CD3,CD3)+'Grid_Incoming'!CE3-'Grid_Requirement'!CE3</f>
        <v/>
      </c>
      <c r="CF3">
        <f>IF(INDEX(Cal_Weeks[MonthYearLabel],83)&lt;&gt;INDEX(Cal_Weeks[MonthYearLabel],82),'Grid_Stock'!CE3,CE3)+'Grid_Incoming'!CF3-'Grid_Requirement'!CF3</f>
        <v/>
      </c>
      <c r="CG3">
        <f>IF(INDEX(Cal_Weeks[MonthYearLabel],84)&lt;&gt;INDEX(Cal_Weeks[MonthYearLabel],83),'Grid_Stock'!CF3,CF3)+'Grid_Incoming'!CG3-'Grid_Requirement'!CG3</f>
        <v/>
      </c>
      <c r="CH3">
        <f>IF(INDEX(Cal_Weeks[MonthYearLabel],85)&lt;&gt;INDEX(Cal_Weeks[MonthYearLabel],84),'Grid_Stock'!CG3,CG3)+'Grid_Incoming'!CH3-'Grid_Requirement'!CH3</f>
        <v/>
      </c>
      <c r="CI3">
        <f>IF(INDEX(Cal_Weeks[MonthYearLabel],86)&lt;&gt;INDEX(Cal_Weeks[MonthYearLabel],85),'Grid_Stock'!CH3,CH3)+'Grid_Incoming'!CI3-'Grid_Requirement'!CI3</f>
        <v/>
      </c>
      <c r="CJ3">
        <f>IF(INDEX(Cal_Weeks[MonthYearLabel],87)&lt;&gt;INDEX(Cal_Weeks[MonthYearLabel],86),'Grid_Stock'!CI3,CI3)+'Grid_Incoming'!CJ3-'Grid_Requirement'!CJ3</f>
        <v/>
      </c>
      <c r="CK3">
        <f>IF(INDEX(Cal_Weeks[MonthYearLabel],88)&lt;&gt;INDEX(Cal_Weeks[MonthYearLabel],87),'Grid_Stock'!CJ3,CJ3)+'Grid_Incoming'!CK3-'Grid_Requirement'!CK3</f>
        <v/>
      </c>
      <c r="CL3">
        <f>IF(INDEX(Cal_Weeks[MonthYearLabel],89)&lt;&gt;INDEX(Cal_Weeks[MonthYearLabel],88),'Grid_Stock'!CK3,CK3)+'Grid_Incoming'!CL3-'Grid_Requirement'!CL3</f>
        <v/>
      </c>
      <c r="CM3">
        <f>IF(INDEX(Cal_Weeks[MonthYearLabel],90)&lt;&gt;INDEX(Cal_Weeks[MonthYearLabel],89),'Grid_Stock'!CL3,CL3)+'Grid_Incoming'!CM3-'Grid_Requirement'!CM3</f>
        <v/>
      </c>
      <c r="CN3">
        <f>IF(INDEX(Cal_Weeks[MonthYearLabel],91)&lt;&gt;INDEX(Cal_Weeks[MonthYearLabel],90),'Grid_Stock'!CM3,CM3)+'Grid_Incoming'!CN3-'Grid_Requirement'!CN3</f>
        <v/>
      </c>
      <c r="CO3">
        <f>IF(INDEX(Cal_Weeks[MonthYearLabel],92)&lt;&gt;INDEX(Cal_Weeks[MonthYearLabel],91),'Grid_Stock'!CN3,CN3)+'Grid_Incoming'!CO3-'Grid_Requirement'!CO3</f>
        <v/>
      </c>
      <c r="CP3">
        <f>IF(INDEX(Cal_Weeks[MonthYearLabel],93)&lt;&gt;INDEX(Cal_Weeks[MonthYearLabel],92),'Grid_Stock'!CO3,CO3)+'Grid_Incoming'!CP3-'Grid_Requirement'!CP3</f>
        <v/>
      </c>
      <c r="CQ3">
        <f>IF(INDEX(Cal_Weeks[MonthYearLabel],94)&lt;&gt;INDEX(Cal_Weeks[MonthYearLabel],93),'Grid_Stock'!CP3,CP3)+'Grid_Incoming'!CQ3-'Grid_Requirement'!CQ3</f>
        <v/>
      </c>
      <c r="CR3">
        <f>IF(INDEX(Cal_Weeks[MonthYearLabel],95)&lt;&gt;INDEX(Cal_Weeks[MonthYearLabel],94),'Grid_Stock'!CQ3,CQ3)+'Grid_Incoming'!CR3-'Grid_Requirement'!CR3</f>
        <v/>
      </c>
      <c r="CS3">
        <f>IF(INDEX(Cal_Weeks[MonthYearLabel],96)&lt;&gt;INDEX(Cal_Weeks[MonthYearLabel],95),'Grid_Stock'!CR3,CR3)+'Grid_Incoming'!CS3-'Grid_Requirement'!CS3</f>
        <v/>
      </c>
      <c r="CT3">
        <f>IF(INDEX(Cal_Weeks[MonthYearLabel],97)&lt;&gt;INDEX(Cal_Weeks[MonthYearLabel],96),'Grid_Stock'!CS3,CS3)+'Grid_Incoming'!CT3-'Grid_Requirement'!CT3</f>
        <v/>
      </c>
      <c r="CU3">
        <f>IF(INDEX(Cal_Weeks[MonthYearLabel],98)&lt;&gt;INDEX(Cal_Weeks[MonthYearLabel],97),'Grid_Stock'!CT3,CT3)+'Grid_Incoming'!CU3-'Grid_Requirement'!CU3</f>
        <v/>
      </c>
      <c r="CV3">
        <f>IF(INDEX(Cal_Weeks[MonthYearLabel],99)&lt;&gt;INDEX(Cal_Weeks[MonthYearLabel],98),'Grid_Stock'!CU3,CU3)+'Grid_Incoming'!CV3-'Grid_Requirement'!CV3</f>
        <v/>
      </c>
      <c r="CW3">
        <f>IF(INDEX(Cal_Weeks[MonthYearLabel],100)&lt;&gt;INDEX(Cal_Weeks[MonthYearLabel],99),'Grid_Stock'!CV3,CV3)+'Grid_Incoming'!CW3-'Grid_Requirement'!CW3</f>
        <v/>
      </c>
      <c r="CX3">
        <f>IF(INDEX(Cal_Weeks[MonthYearLabel],101)&lt;&gt;INDEX(Cal_Weeks[MonthYearLabel],100),'Grid_Stock'!CW3,CW3)+'Grid_Incoming'!CX3-'Grid_Requirement'!CX3</f>
        <v/>
      </c>
      <c r="CY3">
        <f>IF(INDEX(Cal_Weeks[MonthYearLabel],102)&lt;&gt;INDEX(Cal_Weeks[MonthYearLabel],101),'Grid_Stock'!CX3,CX3)+'Grid_Incoming'!CY3-'Grid_Requirement'!CY3</f>
        <v/>
      </c>
      <c r="CZ3">
        <f>IF(INDEX(Cal_Weeks[MonthYearLabel],103)&lt;&gt;INDEX(Cal_Weeks[MonthYearLabel],102),'Grid_Stock'!CY3,CY3)+'Grid_Incoming'!CZ3-'Grid_Requirement'!CZ3</f>
        <v/>
      </c>
      <c r="DA3">
        <f>IF(INDEX(Cal_Weeks[MonthYearLabel],104)&lt;&gt;INDEX(Cal_Weeks[MonthYearLabel],103),'Grid_Stock'!CZ3,CZ3)+'Grid_Incoming'!DA3-'Grid_Requirement'!DA3</f>
        <v/>
      </c>
    </row>
    <row r="4">
      <c r="A4" t="inlineStr">
        <is>
          <t>4HL</t>
        </is>
      </c>
      <c r="B4">
        <f>IFERROR(INDEX(T_OpeningStock[Opening_Qty_要入力],MATCH($A4,T_OpeningStock[Part Name],0)),0)+'Grid_Incoming'!B4-'Grid_Requirement'!B4</f>
        <v/>
      </c>
      <c r="C4">
        <f>IF(INDEX(Cal_Weeks[MonthYearLabel],2)&lt;&gt;INDEX(Cal_Weeks[MonthYearLabel],1),'Grid_Stock'!B4,B4)+'Grid_Incoming'!C4-'Grid_Requirement'!C4</f>
        <v/>
      </c>
      <c r="D4">
        <f>IF(INDEX(Cal_Weeks[MonthYearLabel],3)&lt;&gt;INDEX(Cal_Weeks[MonthYearLabel],2),'Grid_Stock'!C4,C4)+'Grid_Incoming'!D4-'Grid_Requirement'!D4</f>
        <v/>
      </c>
      <c r="E4">
        <f>IF(INDEX(Cal_Weeks[MonthYearLabel],4)&lt;&gt;INDEX(Cal_Weeks[MonthYearLabel],3),'Grid_Stock'!D4,D4)+'Grid_Incoming'!E4-'Grid_Requirement'!E4</f>
        <v/>
      </c>
      <c r="F4">
        <f>IF(INDEX(Cal_Weeks[MonthYearLabel],5)&lt;&gt;INDEX(Cal_Weeks[MonthYearLabel],4),'Grid_Stock'!E4,E4)+'Grid_Incoming'!F4-'Grid_Requirement'!F4</f>
        <v/>
      </c>
      <c r="G4">
        <f>IF(INDEX(Cal_Weeks[MonthYearLabel],6)&lt;&gt;INDEX(Cal_Weeks[MonthYearLabel],5),'Grid_Stock'!F4,F4)+'Grid_Incoming'!G4-'Grid_Requirement'!G4</f>
        <v/>
      </c>
      <c r="H4">
        <f>IF(INDEX(Cal_Weeks[MonthYearLabel],7)&lt;&gt;INDEX(Cal_Weeks[MonthYearLabel],6),'Grid_Stock'!G4,G4)+'Grid_Incoming'!H4-'Grid_Requirement'!H4</f>
        <v/>
      </c>
      <c r="I4">
        <f>IF(INDEX(Cal_Weeks[MonthYearLabel],8)&lt;&gt;INDEX(Cal_Weeks[MonthYearLabel],7),'Grid_Stock'!H4,H4)+'Grid_Incoming'!I4-'Grid_Requirement'!I4</f>
        <v/>
      </c>
      <c r="J4">
        <f>IF(INDEX(Cal_Weeks[MonthYearLabel],9)&lt;&gt;INDEX(Cal_Weeks[MonthYearLabel],8),'Grid_Stock'!I4,I4)+'Grid_Incoming'!J4-'Grid_Requirement'!J4</f>
        <v/>
      </c>
      <c r="K4">
        <f>IF(INDEX(Cal_Weeks[MonthYearLabel],10)&lt;&gt;INDEX(Cal_Weeks[MonthYearLabel],9),'Grid_Stock'!J4,J4)+'Grid_Incoming'!K4-'Grid_Requirement'!K4</f>
        <v/>
      </c>
      <c r="L4">
        <f>IF(INDEX(Cal_Weeks[MonthYearLabel],11)&lt;&gt;INDEX(Cal_Weeks[MonthYearLabel],10),'Grid_Stock'!K4,K4)+'Grid_Incoming'!L4-'Grid_Requirement'!L4</f>
        <v/>
      </c>
      <c r="M4">
        <f>IF(INDEX(Cal_Weeks[MonthYearLabel],12)&lt;&gt;INDEX(Cal_Weeks[MonthYearLabel],11),'Grid_Stock'!L4,L4)+'Grid_Incoming'!M4-'Grid_Requirement'!M4</f>
        <v/>
      </c>
      <c r="N4">
        <f>IF(INDEX(Cal_Weeks[MonthYearLabel],13)&lt;&gt;INDEX(Cal_Weeks[MonthYearLabel],12),'Grid_Stock'!M4,M4)+'Grid_Incoming'!N4-'Grid_Requirement'!N4</f>
        <v/>
      </c>
      <c r="O4">
        <f>IF(INDEX(Cal_Weeks[MonthYearLabel],14)&lt;&gt;INDEX(Cal_Weeks[MonthYearLabel],13),'Grid_Stock'!N4,N4)+'Grid_Incoming'!O4-'Grid_Requirement'!O4</f>
        <v/>
      </c>
      <c r="P4">
        <f>IF(INDEX(Cal_Weeks[MonthYearLabel],15)&lt;&gt;INDEX(Cal_Weeks[MonthYearLabel],14),'Grid_Stock'!O4,O4)+'Grid_Incoming'!P4-'Grid_Requirement'!P4</f>
        <v/>
      </c>
      <c r="Q4">
        <f>IF(INDEX(Cal_Weeks[MonthYearLabel],16)&lt;&gt;INDEX(Cal_Weeks[MonthYearLabel],15),'Grid_Stock'!P4,P4)+'Grid_Incoming'!Q4-'Grid_Requirement'!Q4</f>
        <v/>
      </c>
      <c r="R4">
        <f>IF(INDEX(Cal_Weeks[MonthYearLabel],17)&lt;&gt;INDEX(Cal_Weeks[MonthYearLabel],16),'Grid_Stock'!Q4,Q4)+'Grid_Incoming'!R4-'Grid_Requirement'!R4</f>
        <v/>
      </c>
      <c r="S4">
        <f>IF(INDEX(Cal_Weeks[MonthYearLabel],18)&lt;&gt;INDEX(Cal_Weeks[MonthYearLabel],17),'Grid_Stock'!R4,R4)+'Grid_Incoming'!S4-'Grid_Requirement'!S4</f>
        <v/>
      </c>
      <c r="T4">
        <f>IF(INDEX(Cal_Weeks[MonthYearLabel],19)&lt;&gt;INDEX(Cal_Weeks[MonthYearLabel],18),'Grid_Stock'!S4,S4)+'Grid_Incoming'!T4-'Grid_Requirement'!T4</f>
        <v/>
      </c>
      <c r="U4">
        <f>IF(INDEX(Cal_Weeks[MonthYearLabel],20)&lt;&gt;INDEX(Cal_Weeks[MonthYearLabel],19),'Grid_Stock'!T4,T4)+'Grid_Incoming'!U4-'Grid_Requirement'!U4</f>
        <v/>
      </c>
      <c r="V4">
        <f>IF(INDEX(Cal_Weeks[MonthYearLabel],21)&lt;&gt;INDEX(Cal_Weeks[MonthYearLabel],20),'Grid_Stock'!U4,U4)+'Grid_Incoming'!V4-'Grid_Requirement'!V4</f>
        <v/>
      </c>
      <c r="W4">
        <f>IF(INDEX(Cal_Weeks[MonthYearLabel],22)&lt;&gt;INDEX(Cal_Weeks[MonthYearLabel],21),'Grid_Stock'!V4,V4)+'Grid_Incoming'!W4-'Grid_Requirement'!W4</f>
        <v/>
      </c>
      <c r="X4">
        <f>IF(INDEX(Cal_Weeks[MonthYearLabel],23)&lt;&gt;INDEX(Cal_Weeks[MonthYearLabel],22),'Grid_Stock'!W4,W4)+'Grid_Incoming'!X4-'Grid_Requirement'!X4</f>
        <v/>
      </c>
      <c r="Y4">
        <f>IF(INDEX(Cal_Weeks[MonthYearLabel],24)&lt;&gt;INDEX(Cal_Weeks[MonthYearLabel],23),'Grid_Stock'!X4,X4)+'Grid_Incoming'!Y4-'Grid_Requirement'!Y4</f>
        <v/>
      </c>
      <c r="Z4">
        <f>IF(INDEX(Cal_Weeks[MonthYearLabel],25)&lt;&gt;INDEX(Cal_Weeks[MonthYearLabel],24),'Grid_Stock'!Y4,Y4)+'Grid_Incoming'!Z4-'Grid_Requirement'!Z4</f>
        <v/>
      </c>
      <c r="AA4">
        <f>IF(INDEX(Cal_Weeks[MonthYearLabel],26)&lt;&gt;INDEX(Cal_Weeks[MonthYearLabel],25),'Grid_Stock'!Z4,Z4)+'Grid_Incoming'!AA4-'Grid_Requirement'!AA4</f>
        <v/>
      </c>
      <c r="AB4">
        <f>IF(INDEX(Cal_Weeks[MonthYearLabel],27)&lt;&gt;INDEX(Cal_Weeks[MonthYearLabel],26),'Grid_Stock'!AA4,AA4)+'Grid_Incoming'!AB4-'Grid_Requirement'!AB4</f>
        <v/>
      </c>
      <c r="AC4">
        <f>IF(INDEX(Cal_Weeks[MonthYearLabel],28)&lt;&gt;INDEX(Cal_Weeks[MonthYearLabel],27),'Grid_Stock'!AB4,AB4)+'Grid_Incoming'!AC4-'Grid_Requirement'!AC4</f>
        <v/>
      </c>
      <c r="AD4">
        <f>IF(INDEX(Cal_Weeks[MonthYearLabel],29)&lt;&gt;INDEX(Cal_Weeks[MonthYearLabel],28),'Grid_Stock'!AC4,AC4)+'Grid_Incoming'!AD4-'Grid_Requirement'!AD4</f>
        <v/>
      </c>
      <c r="AE4">
        <f>IF(INDEX(Cal_Weeks[MonthYearLabel],30)&lt;&gt;INDEX(Cal_Weeks[MonthYearLabel],29),'Grid_Stock'!AD4,AD4)+'Grid_Incoming'!AE4-'Grid_Requirement'!AE4</f>
        <v/>
      </c>
      <c r="AF4">
        <f>IF(INDEX(Cal_Weeks[MonthYearLabel],31)&lt;&gt;INDEX(Cal_Weeks[MonthYearLabel],30),'Grid_Stock'!AE4,AE4)+'Grid_Incoming'!AF4-'Grid_Requirement'!AF4</f>
        <v/>
      </c>
      <c r="AG4">
        <f>IF(INDEX(Cal_Weeks[MonthYearLabel],32)&lt;&gt;INDEX(Cal_Weeks[MonthYearLabel],31),'Grid_Stock'!AF4,AF4)+'Grid_Incoming'!AG4-'Grid_Requirement'!AG4</f>
        <v/>
      </c>
      <c r="AH4">
        <f>IF(INDEX(Cal_Weeks[MonthYearLabel],33)&lt;&gt;INDEX(Cal_Weeks[MonthYearLabel],32),'Grid_Stock'!AG4,AG4)+'Grid_Incoming'!AH4-'Grid_Requirement'!AH4</f>
        <v/>
      </c>
      <c r="AI4">
        <f>IF(INDEX(Cal_Weeks[MonthYearLabel],34)&lt;&gt;INDEX(Cal_Weeks[MonthYearLabel],33),'Grid_Stock'!AH4,AH4)+'Grid_Incoming'!AI4-'Grid_Requirement'!AI4</f>
        <v/>
      </c>
      <c r="AJ4">
        <f>IF(INDEX(Cal_Weeks[MonthYearLabel],35)&lt;&gt;INDEX(Cal_Weeks[MonthYearLabel],34),'Grid_Stock'!AI4,AI4)+'Grid_Incoming'!AJ4-'Grid_Requirement'!AJ4</f>
        <v/>
      </c>
      <c r="AK4">
        <f>IF(INDEX(Cal_Weeks[MonthYearLabel],36)&lt;&gt;INDEX(Cal_Weeks[MonthYearLabel],35),'Grid_Stock'!AJ4,AJ4)+'Grid_Incoming'!AK4-'Grid_Requirement'!AK4</f>
        <v/>
      </c>
      <c r="AL4">
        <f>IF(INDEX(Cal_Weeks[MonthYearLabel],37)&lt;&gt;INDEX(Cal_Weeks[MonthYearLabel],36),'Grid_Stock'!AK4,AK4)+'Grid_Incoming'!AL4-'Grid_Requirement'!AL4</f>
        <v/>
      </c>
      <c r="AM4">
        <f>IF(INDEX(Cal_Weeks[MonthYearLabel],38)&lt;&gt;INDEX(Cal_Weeks[MonthYearLabel],37),'Grid_Stock'!AL4,AL4)+'Grid_Incoming'!AM4-'Grid_Requirement'!AM4</f>
        <v/>
      </c>
      <c r="AN4">
        <f>IF(INDEX(Cal_Weeks[MonthYearLabel],39)&lt;&gt;INDEX(Cal_Weeks[MonthYearLabel],38),'Grid_Stock'!AM4,AM4)+'Grid_Incoming'!AN4-'Grid_Requirement'!AN4</f>
        <v/>
      </c>
      <c r="AO4">
        <f>IF(INDEX(Cal_Weeks[MonthYearLabel],40)&lt;&gt;INDEX(Cal_Weeks[MonthYearLabel],39),'Grid_Stock'!AN4,AN4)+'Grid_Incoming'!AO4-'Grid_Requirement'!AO4</f>
        <v/>
      </c>
      <c r="AP4">
        <f>IF(INDEX(Cal_Weeks[MonthYearLabel],41)&lt;&gt;INDEX(Cal_Weeks[MonthYearLabel],40),'Grid_Stock'!AO4,AO4)+'Grid_Incoming'!AP4-'Grid_Requirement'!AP4</f>
        <v/>
      </c>
      <c r="AQ4">
        <f>IF(INDEX(Cal_Weeks[MonthYearLabel],42)&lt;&gt;INDEX(Cal_Weeks[MonthYearLabel],41),'Grid_Stock'!AP4,AP4)+'Grid_Incoming'!AQ4-'Grid_Requirement'!AQ4</f>
        <v/>
      </c>
      <c r="AR4">
        <f>IF(INDEX(Cal_Weeks[MonthYearLabel],43)&lt;&gt;INDEX(Cal_Weeks[MonthYearLabel],42),'Grid_Stock'!AQ4,AQ4)+'Grid_Incoming'!AR4-'Grid_Requirement'!AR4</f>
        <v/>
      </c>
      <c r="AS4">
        <f>IF(INDEX(Cal_Weeks[MonthYearLabel],44)&lt;&gt;INDEX(Cal_Weeks[MonthYearLabel],43),'Grid_Stock'!AR4,AR4)+'Grid_Incoming'!AS4-'Grid_Requirement'!AS4</f>
        <v/>
      </c>
      <c r="AT4">
        <f>IF(INDEX(Cal_Weeks[MonthYearLabel],45)&lt;&gt;INDEX(Cal_Weeks[MonthYearLabel],44),'Grid_Stock'!AS4,AS4)+'Grid_Incoming'!AT4-'Grid_Requirement'!AT4</f>
        <v/>
      </c>
      <c r="AU4">
        <f>IF(INDEX(Cal_Weeks[MonthYearLabel],46)&lt;&gt;INDEX(Cal_Weeks[MonthYearLabel],45),'Grid_Stock'!AT4,AT4)+'Grid_Incoming'!AU4-'Grid_Requirement'!AU4</f>
        <v/>
      </c>
      <c r="AV4">
        <f>IF(INDEX(Cal_Weeks[MonthYearLabel],47)&lt;&gt;INDEX(Cal_Weeks[MonthYearLabel],46),'Grid_Stock'!AU4,AU4)+'Grid_Incoming'!AV4-'Grid_Requirement'!AV4</f>
        <v/>
      </c>
      <c r="AW4">
        <f>IF(INDEX(Cal_Weeks[MonthYearLabel],48)&lt;&gt;INDEX(Cal_Weeks[MonthYearLabel],47),'Grid_Stock'!AV4,AV4)+'Grid_Incoming'!AW4-'Grid_Requirement'!AW4</f>
        <v/>
      </c>
      <c r="AX4">
        <f>IF(INDEX(Cal_Weeks[MonthYearLabel],49)&lt;&gt;INDEX(Cal_Weeks[MonthYearLabel],48),'Grid_Stock'!AW4,AW4)+'Grid_Incoming'!AX4-'Grid_Requirement'!AX4</f>
        <v/>
      </c>
      <c r="AY4">
        <f>IF(INDEX(Cal_Weeks[MonthYearLabel],50)&lt;&gt;INDEX(Cal_Weeks[MonthYearLabel],49),'Grid_Stock'!AX4,AX4)+'Grid_Incoming'!AY4-'Grid_Requirement'!AY4</f>
        <v/>
      </c>
      <c r="AZ4">
        <f>IF(INDEX(Cal_Weeks[MonthYearLabel],51)&lt;&gt;INDEX(Cal_Weeks[MonthYearLabel],50),'Grid_Stock'!AY4,AY4)+'Grid_Incoming'!AZ4-'Grid_Requirement'!AZ4</f>
        <v/>
      </c>
      <c r="BA4">
        <f>IF(INDEX(Cal_Weeks[MonthYearLabel],52)&lt;&gt;INDEX(Cal_Weeks[MonthYearLabel],51),'Grid_Stock'!AZ4,AZ4)+'Grid_Incoming'!BA4-'Grid_Requirement'!BA4</f>
        <v/>
      </c>
      <c r="BB4">
        <f>IF(INDEX(Cal_Weeks[MonthYearLabel],53)&lt;&gt;INDEX(Cal_Weeks[MonthYearLabel],52),'Grid_Stock'!BA4,BA4)+'Grid_Incoming'!BB4-'Grid_Requirement'!BB4</f>
        <v/>
      </c>
      <c r="BC4">
        <f>IF(INDEX(Cal_Weeks[MonthYearLabel],54)&lt;&gt;INDEX(Cal_Weeks[MonthYearLabel],53),'Grid_Stock'!BB4,BB4)+'Grid_Incoming'!BC4-'Grid_Requirement'!BC4</f>
        <v/>
      </c>
      <c r="BD4">
        <f>IF(INDEX(Cal_Weeks[MonthYearLabel],55)&lt;&gt;INDEX(Cal_Weeks[MonthYearLabel],54),'Grid_Stock'!BC4,BC4)+'Grid_Incoming'!BD4-'Grid_Requirement'!BD4</f>
        <v/>
      </c>
      <c r="BE4">
        <f>IF(INDEX(Cal_Weeks[MonthYearLabel],56)&lt;&gt;INDEX(Cal_Weeks[MonthYearLabel],55),'Grid_Stock'!BD4,BD4)+'Grid_Incoming'!BE4-'Grid_Requirement'!BE4</f>
        <v/>
      </c>
      <c r="BF4">
        <f>IF(INDEX(Cal_Weeks[MonthYearLabel],57)&lt;&gt;INDEX(Cal_Weeks[MonthYearLabel],56),'Grid_Stock'!BE4,BE4)+'Grid_Incoming'!BF4-'Grid_Requirement'!BF4</f>
        <v/>
      </c>
      <c r="BG4">
        <f>IF(INDEX(Cal_Weeks[MonthYearLabel],58)&lt;&gt;INDEX(Cal_Weeks[MonthYearLabel],57),'Grid_Stock'!BF4,BF4)+'Grid_Incoming'!BG4-'Grid_Requirement'!BG4</f>
        <v/>
      </c>
      <c r="BH4">
        <f>IF(INDEX(Cal_Weeks[MonthYearLabel],59)&lt;&gt;INDEX(Cal_Weeks[MonthYearLabel],58),'Grid_Stock'!BG4,BG4)+'Grid_Incoming'!BH4-'Grid_Requirement'!BH4</f>
        <v/>
      </c>
      <c r="BI4">
        <f>IF(INDEX(Cal_Weeks[MonthYearLabel],60)&lt;&gt;INDEX(Cal_Weeks[MonthYearLabel],59),'Grid_Stock'!BH4,BH4)+'Grid_Incoming'!BI4-'Grid_Requirement'!BI4</f>
        <v/>
      </c>
      <c r="BJ4">
        <f>IF(INDEX(Cal_Weeks[MonthYearLabel],61)&lt;&gt;INDEX(Cal_Weeks[MonthYearLabel],60),'Grid_Stock'!BI4,BI4)+'Grid_Incoming'!BJ4-'Grid_Requirement'!BJ4</f>
        <v/>
      </c>
      <c r="BK4">
        <f>IF(INDEX(Cal_Weeks[MonthYearLabel],62)&lt;&gt;INDEX(Cal_Weeks[MonthYearLabel],61),'Grid_Stock'!BJ4,BJ4)+'Grid_Incoming'!BK4-'Grid_Requirement'!BK4</f>
        <v/>
      </c>
      <c r="BL4">
        <f>IF(INDEX(Cal_Weeks[MonthYearLabel],63)&lt;&gt;INDEX(Cal_Weeks[MonthYearLabel],62),'Grid_Stock'!BK4,BK4)+'Grid_Incoming'!BL4-'Grid_Requirement'!BL4</f>
        <v/>
      </c>
      <c r="BM4">
        <f>IF(INDEX(Cal_Weeks[MonthYearLabel],64)&lt;&gt;INDEX(Cal_Weeks[MonthYearLabel],63),'Grid_Stock'!BL4,BL4)+'Grid_Incoming'!BM4-'Grid_Requirement'!BM4</f>
        <v/>
      </c>
      <c r="BN4">
        <f>IF(INDEX(Cal_Weeks[MonthYearLabel],65)&lt;&gt;INDEX(Cal_Weeks[MonthYearLabel],64),'Grid_Stock'!BM4,BM4)+'Grid_Incoming'!BN4-'Grid_Requirement'!BN4</f>
        <v/>
      </c>
      <c r="BO4">
        <f>IF(INDEX(Cal_Weeks[MonthYearLabel],66)&lt;&gt;INDEX(Cal_Weeks[MonthYearLabel],65),'Grid_Stock'!BN4,BN4)+'Grid_Incoming'!BO4-'Grid_Requirement'!BO4</f>
        <v/>
      </c>
      <c r="BP4">
        <f>IF(INDEX(Cal_Weeks[MonthYearLabel],67)&lt;&gt;INDEX(Cal_Weeks[MonthYearLabel],66),'Grid_Stock'!BO4,BO4)+'Grid_Incoming'!BP4-'Grid_Requirement'!BP4</f>
        <v/>
      </c>
      <c r="BQ4">
        <f>IF(INDEX(Cal_Weeks[MonthYearLabel],68)&lt;&gt;INDEX(Cal_Weeks[MonthYearLabel],67),'Grid_Stock'!BP4,BP4)+'Grid_Incoming'!BQ4-'Grid_Requirement'!BQ4</f>
        <v/>
      </c>
      <c r="BR4">
        <f>IF(INDEX(Cal_Weeks[MonthYearLabel],69)&lt;&gt;INDEX(Cal_Weeks[MonthYearLabel],68),'Grid_Stock'!BQ4,BQ4)+'Grid_Incoming'!BR4-'Grid_Requirement'!BR4</f>
        <v/>
      </c>
      <c r="BS4">
        <f>IF(INDEX(Cal_Weeks[MonthYearLabel],70)&lt;&gt;INDEX(Cal_Weeks[MonthYearLabel],69),'Grid_Stock'!BR4,BR4)+'Grid_Incoming'!BS4-'Grid_Requirement'!BS4</f>
        <v/>
      </c>
      <c r="BT4">
        <f>IF(INDEX(Cal_Weeks[MonthYearLabel],71)&lt;&gt;INDEX(Cal_Weeks[MonthYearLabel],70),'Grid_Stock'!BS4,BS4)+'Grid_Incoming'!BT4-'Grid_Requirement'!BT4</f>
        <v/>
      </c>
      <c r="BU4">
        <f>IF(INDEX(Cal_Weeks[MonthYearLabel],72)&lt;&gt;INDEX(Cal_Weeks[MonthYearLabel],71),'Grid_Stock'!BT4,BT4)+'Grid_Incoming'!BU4-'Grid_Requirement'!BU4</f>
        <v/>
      </c>
      <c r="BV4">
        <f>IF(INDEX(Cal_Weeks[MonthYearLabel],73)&lt;&gt;INDEX(Cal_Weeks[MonthYearLabel],72),'Grid_Stock'!BU4,BU4)+'Grid_Incoming'!BV4-'Grid_Requirement'!BV4</f>
        <v/>
      </c>
      <c r="BW4">
        <f>IF(INDEX(Cal_Weeks[MonthYearLabel],74)&lt;&gt;INDEX(Cal_Weeks[MonthYearLabel],73),'Grid_Stock'!BV4,BV4)+'Grid_Incoming'!BW4-'Grid_Requirement'!BW4</f>
        <v/>
      </c>
      <c r="BX4">
        <f>IF(INDEX(Cal_Weeks[MonthYearLabel],75)&lt;&gt;INDEX(Cal_Weeks[MonthYearLabel],74),'Grid_Stock'!BW4,BW4)+'Grid_Incoming'!BX4-'Grid_Requirement'!BX4</f>
        <v/>
      </c>
      <c r="BY4">
        <f>IF(INDEX(Cal_Weeks[MonthYearLabel],76)&lt;&gt;INDEX(Cal_Weeks[MonthYearLabel],75),'Grid_Stock'!BX4,BX4)+'Grid_Incoming'!BY4-'Grid_Requirement'!BY4</f>
        <v/>
      </c>
      <c r="BZ4">
        <f>IF(INDEX(Cal_Weeks[MonthYearLabel],77)&lt;&gt;INDEX(Cal_Weeks[MonthYearLabel],76),'Grid_Stock'!BY4,BY4)+'Grid_Incoming'!BZ4-'Grid_Requirement'!BZ4</f>
        <v/>
      </c>
      <c r="CA4">
        <f>IF(INDEX(Cal_Weeks[MonthYearLabel],78)&lt;&gt;INDEX(Cal_Weeks[MonthYearLabel],77),'Grid_Stock'!BZ4,BZ4)+'Grid_Incoming'!CA4-'Grid_Requirement'!CA4</f>
        <v/>
      </c>
      <c r="CB4">
        <f>IF(INDEX(Cal_Weeks[MonthYearLabel],79)&lt;&gt;INDEX(Cal_Weeks[MonthYearLabel],78),'Grid_Stock'!CA4,CA4)+'Grid_Incoming'!CB4-'Grid_Requirement'!CB4</f>
        <v/>
      </c>
      <c r="CC4">
        <f>IF(INDEX(Cal_Weeks[MonthYearLabel],80)&lt;&gt;INDEX(Cal_Weeks[MonthYearLabel],79),'Grid_Stock'!CB4,CB4)+'Grid_Incoming'!CC4-'Grid_Requirement'!CC4</f>
        <v/>
      </c>
      <c r="CD4">
        <f>IF(INDEX(Cal_Weeks[MonthYearLabel],81)&lt;&gt;INDEX(Cal_Weeks[MonthYearLabel],80),'Grid_Stock'!CC4,CC4)+'Grid_Incoming'!CD4-'Grid_Requirement'!CD4</f>
        <v/>
      </c>
      <c r="CE4">
        <f>IF(INDEX(Cal_Weeks[MonthYearLabel],82)&lt;&gt;INDEX(Cal_Weeks[MonthYearLabel],81),'Grid_Stock'!CD4,CD4)+'Grid_Incoming'!CE4-'Grid_Requirement'!CE4</f>
        <v/>
      </c>
      <c r="CF4">
        <f>IF(INDEX(Cal_Weeks[MonthYearLabel],83)&lt;&gt;INDEX(Cal_Weeks[MonthYearLabel],82),'Grid_Stock'!CE4,CE4)+'Grid_Incoming'!CF4-'Grid_Requirement'!CF4</f>
        <v/>
      </c>
      <c r="CG4">
        <f>IF(INDEX(Cal_Weeks[MonthYearLabel],84)&lt;&gt;INDEX(Cal_Weeks[MonthYearLabel],83),'Grid_Stock'!CF4,CF4)+'Grid_Incoming'!CG4-'Grid_Requirement'!CG4</f>
        <v/>
      </c>
      <c r="CH4">
        <f>IF(INDEX(Cal_Weeks[MonthYearLabel],85)&lt;&gt;INDEX(Cal_Weeks[MonthYearLabel],84),'Grid_Stock'!CG4,CG4)+'Grid_Incoming'!CH4-'Grid_Requirement'!CH4</f>
        <v/>
      </c>
      <c r="CI4">
        <f>IF(INDEX(Cal_Weeks[MonthYearLabel],86)&lt;&gt;INDEX(Cal_Weeks[MonthYearLabel],85),'Grid_Stock'!CH4,CH4)+'Grid_Incoming'!CI4-'Grid_Requirement'!CI4</f>
        <v/>
      </c>
      <c r="CJ4">
        <f>IF(INDEX(Cal_Weeks[MonthYearLabel],87)&lt;&gt;INDEX(Cal_Weeks[MonthYearLabel],86),'Grid_Stock'!CI4,CI4)+'Grid_Incoming'!CJ4-'Grid_Requirement'!CJ4</f>
        <v/>
      </c>
      <c r="CK4">
        <f>IF(INDEX(Cal_Weeks[MonthYearLabel],88)&lt;&gt;INDEX(Cal_Weeks[MonthYearLabel],87),'Grid_Stock'!CJ4,CJ4)+'Grid_Incoming'!CK4-'Grid_Requirement'!CK4</f>
        <v/>
      </c>
      <c r="CL4">
        <f>IF(INDEX(Cal_Weeks[MonthYearLabel],89)&lt;&gt;INDEX(Cal_Weeks[MonthYearLabel],88),'Grid_Stock'!CK4,CK4)+'Grid_Incoming'!CL4-'Grid_Requirement'!CL4</f>
        <v/>
      </c>
      <c r="CM4">
        <f>IF(INDEX(Cal_Weeks[MonthYearLabel],90)&lt;&gt;INDEX(Cal_Weeks[MonthYearLabel],89),'Grid_Stock'!CL4,CL4)+'Grid_Incoming'!CM4-'Grid_Requirement'!CM4</f>
        <v/>
      </c>
      <c r="CN4">
        <f>IF(INDEX(Cal_Weeks[MonthYearLabel],91)&lt;&gt;INDEX(Cal_Weeks[MonthYearLabel],90),'Grid_Stock'!CM4,CM4)+'Grid_Incoming'!CN4-'Grid_Requirement'!CN4</f>
        <v/>
      </c>
      <c r="CO4">
        <f>IF(INDEX(Cal_Weeks[MonthYearLabel],92)&lt;&gt;INDEX(Cal_Weeks[MonthYearLabel],91),'Grid_Stock'!CN4,CN4)+'Grid_Incoming'!CO4-'Grid_Requirement'!CO4</f>
        <v/>
      </c>
      <c r="CP4">
        <f>IF(INDEX(Cal_Weeks[MonthYearLabel],93)&lt;&gt;INDEX(Cal_Weeks[MonthYearLabel],92),'Grid_Stock'!CO4,CO4)+'Grid_Incoming'!CP4-'Grid_Requirement'!CP4</f>
        <v/>
      </c>
      <c r="CQ4">
        <f>IF(INDEX(Cal_Weeks[MonthYearLabel],94)&lt;&gt;INDEX(Cal_Weeks[MonthYearLabel],93),'Grid_Stock'!CP4,CP4)+'Grid_Incoming'!CQ4-'Grid_Requirement'!CQ4</f>
        <v/>
      </c>
      <c r="CR4">
        <f>IF(INDEX(Cal_Weeks[MonthYearLabel],95)&lt;&gt;INDEX(Cal_Weeks[MonthYearLabel],94),'Grid_Stock'!CQ4,CQ4)+'Grid_Incoming'!CR4-'Grid_Requirement'!CR4</f>
        <v/>
      </c>
      <c r="CS4">
        <f>IF(INDEX(Cal_Weeks[MonthYearLabel],96)&lt;&gt;INDEX(Cal_Weeks[MonthYearLabel],95),'Grid_Stock'!CR4,CR4)+'Grid_Incoming'!CS4-'Grid_Requirement'!CS4</f>
        <v/>
      </c>
      <c r="CT4">
        <f>IF(INDEX(Cal_Weeks[MonthYearLabel],97)&lt;&gt;INDEX(Cal_Weeks[MonthYearLabel],96),'Grid_Stock'!CS4,CS4)+'Grid_Incoming'!CT4-'Grid_Requirement'!CT4</f>
        <v/>
      </c>
      <c r="CU4">
        <f>IF(INDEX(Cal_Weeks[MonthYearLabel],98)&lt;&gt;INDEX(Cal_Weeks[MonthYearLabel],97),'Grid_Stock'!CT4,CT4)+'Grid_Incoming'!CU4-'Grid_Requirement'!CU4</f>
        <v/>
      </c>
      <c r="CV4">
        <f>IF(INDEX(Cal_Weeks[MonthYearLabel],99)&lt;&gt;INDEX(Cal_Weeks[MonthYearLabel],98),'Grid_Stock'!CU4,CU4)+'Grid_Incoming'!CV4-'Grid_Requirement'!CV4</f>
        <v/>
      </c>
      <c r="CW4">
        <f>IF(INDEX(Cal_Weeks[MonthYearLabel],100)&lt;&gt;INDEX(Cal_Weeks[MonthYearLabel],99),'Grid_Stock'!CV4,CV4)+'Grid_Incoming'!CW4-'Grid_Requirement'!CW4</f>
        <v/>
      </c>
      <c r="CX4">
        <f>IF(INDEX(Cal_Weeks[MonthYearLabel],101)&lt;&gt;INDEX(Cal_Weeks[MonthYearLabel],100),'Grid_Stock'!CW4,CW4)+'Grid_Incoming'!CX4-'Grid_Requirement'!CX4</f>
        <v/>
      </c>
      <c r="CY4">
        <f>IF(INDEX(Cal_Weeks[MonthYearLabel],102)&lt;&gt;INDEX(Cal_Weeks[MonthYearLabel],101),'Grid_Stock'!CX4,CX4)+'Grid_Incoming'!CY4-'Grid_Requirement'!CY4</f>
        <v/>
      </c>
      <c r="CZ4">
        <f>IF(INDEX(Cal_Weeks[MonthYearLabel],103)&lt;&gt;INDEX(Cal_Weeks[MonthYearLabel],102),'Grid_Stock'!CY4,CY4)+'Grid_Incoming'!CZ4-'Grid_Requirement'!CZ4</f>
        <v/>
      </c>
      <c r="DA4">
        <f>IF(INDEX(Cal_Weeks[MonthYearLabel],104)&lt;&gt;INDEX(Cal_Weeks[MonthYearLabel],103),'Grid_Stock'!CZ4,CZ4)+'Grid_Incoming'!DA4-'Grid_Requirement'!DA4</f>
        <v/>
      </c>
    </row>
    <row r="5">
      <c r="A5" t="inlineStr">
        <is>
          <t>9RN</t>
        </is>
      </c>
      <c r="B5">
        <f>IFERROR(INDEX(T_OpeningStock[Opening_Qty_要入力],MATCH($A5,T_OpeningStock[Part Name],0)),0)+'Grid_Incoming'!B5-'Grid_Requirement'!B5</f>
        <v/>
      </c>
      <c r="C5">
        <f>IF(INDEX(Cal_Weeks[MonthYearLabel],2)&lt;&gt;INDEX(Cal_Weeks[MonthYearLabel],1),'Grid_Stock'!B5,B5)+'Grid_Incoming'!C5-'Grid_Requirement'!C5</f>
        <v/>
      </c>
      <c r="D5">
        <f>IF(INDEX(Cal_Weeks[MonthYearLabel],3)&lt;&gt;INDEX(Cal_Weeks[MonthYearLabel],2),'Grid_Stock'!C5,C5)+'Grid_Incoming'!D5-'Grid_Requirement'!D5</f>
        <v/>
      </c>
      <c r="E5">
        <f>IF(INDEX(Cal_Weeks[MonthYearLabel],4)&lt;&gt;INDEX(Cal_Weeks[MonthYearLabel],3),'Grid_Stock'!D5,D5)+'Grid_Incoming'!E5-'Grid_Requirement'!E5</f>
        <v/>
      </c>
      <c r="F5">
        <f>IF(INDEX(Cal_Weeks[MonthYearLabel],5)&lt;&gt;INDEX(Cal_Weeks[MonthYearLabel],4),'Grid_Stock'!E5,E5)+'Grid_Incoming'!F5-'Grid_Requirement'!F5</f>
        <v/>
      </c>
      <c r="G5">
        <f>IF(INDEX(Cal_Weeks[MonthYearLabel],6)&lt;&gt;INDEX(Cal_Weeks[MonthYearLabel],5),'Grid_Stock'!F5,F5)+'Grid_Incoming'!G5-'Grid_Requirement'!G5</f>
        <v/>
      </c>
      <c r="H5">
        <f>IF(INDEX(Cal_Weeks[MonthYearLabel],7)&lt;&gt;INDEX(Cal_Weeks[MonthYearLabel],6),'Grid_Stock'!G5,G5)+'Grid_Incoming'!H5-'Grid_Requirement'!H5</f>
        <v/>
      </c>
      <c r="I5">
        <f>IF(INDEX(Cal_Weeks[MonthYearLabel],8)&lt;&gt;INDEX(Cal_Weeks[MonthYearLabel],7),'Grid_Stock'!H5,H5)+'Grid_Incoming'!I5-'Grid_Requirement'!I5</f>
        <v/>
      </c>
      <c r="J5">
        <f>IF(INDEX(Cal_Weeks[MonthYearLabel],9)&lt;&gt;INDEX(Cal_Weeks[MonthYearLabel],8),'Grid_Stock'!I5,I5)+'Grid_Incoming'!J5-'Grid_Requirement'!J5</f>
        <v/>
      </c>
      <c r="K5">
        <f>IF(INDEX(Cal_Weeks[MonthYearLabel],10)&lt;&gt;INDEX(Cal_Weeks[MonthYearLabel],9),'Grid_Stock'!J5,J5)+'Grid_Incoming'!K5-'Grid_Requirement'!K5</f>
        <v/>
      </c>
      <c r="L5">
        <f>IF(INDEX(Cal_Weeks[MonthYearLabel],11)&lt;&gt;INDEX(Cal_Weeks[MonthYearLabel],10),'Grid_Stock'!K5,K5)+'Grid_Incoming'!L5-'Grid_Requirement'!L5</f>
        <v/>
      </c>
      <c r="M5">
        <f>IF(INDEX(Cal_Weeks[MonthYearLabel],12)&lt;&gt;INDEX(Cal_Weeks[MonthYearLabel],11),'Grid_Stock'!L5,L5)+'Grid_Incoming'!M5-'Grid_Requirement'!M5</f>
        <v/>
      </c>
      <c r="N5">
        <f>IF(INDEX(Cal_Weeks[MonthYearLabel],13)&lt;&gt;INDEX(Cal_Weeks[MonthYearLabel],12),'Grid_Stock'!M5,M5)+'Grid_Incoming'!N5-'Grid_Requirement'!N5</f>
        <v/>
      </c>
      <c r="O5">
        <f>IF(INDEX(Cal_Weeks[MonthYearLabel],14)&lt;&gt;INDEX(Cal_Weeks[MonthYearLabel],13),'Grid_Stock'!N5,N5)+'Grid_Incoming'!O5-'Grid_Requirement'!O5</f>
        <v/>
      </c>
      <c r="P5">
        <f>IF(INDEX(Cal_Weeks[MonthYearLabel],15)&lt;&gt;INDEX(Cal_Weeks[MonthYearLabel],14),'Grid_Stock'!O5,O5)+'Grid_Incoming'!P5-'Grid_Requirement'!P5</f>
        <v/>
      </c>
      <c r="Q5">
        <f>IF(INDEX(Cal_Weeks[MonthYearLabel],16)&lt;&gt;INDEX(Cal_Weeks[MonthYearLabel],15),'Grid_Stock'!P5,P5)+'Grid_Incoming'!Q5-'Grid_Requirement'!Q5</f>
        <v/>
      </c>
      <c r="R5">
        <f>IF(INDEX(Cal_Weeks[MonthYearLabel],17)&lt;&gt;INDEX(Cal_Weeks[MonthYearLabel],16),'Grid_Stock'!Q5,Q5)+'Grid_Incoming'!R5-'Grid_Requirement'!R5</f>
        <v/>
      </c>
      <c r="S5">
        <f>IF(INDEX(Cal_Weeks[MonthYearLabel],18)&lt;&gt;INDEX(Cal_Weeks[MonthYearLabel],17),'Grid_Stock'!R5,R5)+'Grid_Incoming'!S5-'Grid_Requirement'!S5</f>
        <v/>
      </c>
      <c r="T5">
        <f>IF(INDEX(Cal_Weeks[MonthYearLabel],19)&lt;&gt;INDEX(Cal_Weeks[MonthYearLabel],18),'Grid_Stock'!S5,S5)+'Grid_Incoming'!T5-'Grid_Requirement'!T5</f>
        <v/>
      </c>
      <c r="U5">
        <f>IF(INDEX(Cal_Weeks[MonthYearLabel],20)&lt;&gt;INDEX(Cal_Weeks[MonthYearLabel],19),'Grid_Stock'!T5,T5)+'Grid_Incoming'!U5-'Grid_Requirement'!U5</f>
        <v/>
      </c>
      <c r="V5">
        <f>IF(INDEX(Cal_Weeks[MonthYearLabel],21)&lt;&gt;INDEX(Cal_Weeks[MonthYearLabel],20),'Grid_Stock'!U5,U5)+'Grid_Incoming'!V5-'Grid_Requirement'!V5</f>
        <v/>
      </c>
      <c r="W5">
        <f>IF(INDEX(Cal_Weeks[MonthYearLabel],22)&lt;&gt;INDEX(Cal_Weeks[MonthYearLabel],21),'Grid_Stock'!V5,V5)+'Grid_Incoming'!W5-'Grid_Requirement'!W5</f>
        <v/>
      </c>
      <c r="X5">
        <f>IF(INDEX(Cal_Weeks[MonthYearLabel],23)&lt;&gt;INDEX(Cal_Weeks[MonthYearLabel],22),'Grid_Stock'!W5,W5)+'Grid_Incoming'!X5-'Grid_Requirement'!X5</f>
        <v/>
      </c>
      <c r="Y5">
        <f>IF(INDEX(Cal_Weeks[MonthYearLabel],24)&lt;&gt;INDEX(Cal_Weeks[MonthYearLabel],23),'Grid_Stock'!X5,X5)+'Grid_Incoming'!Y5-'Grid_Requirement'!Y5</f>
        <v/>
      </c>
      <c r="Z5">
        <f>IF(INDEX(Cal_Weeks[MonthYearLabel],25)&lt;&gt;INDEX(Cal_Weeks[MonthYearLabel],24),'Grid_Stock'!Y5,Y5)+'Grid_Incoming'!Z5-'Grid_Requirement'!Z5</f>
        <v/>
      </c>
      <c r="AA5">
        <f>IF(INDEX(Cal_Weeks[MonthYearLabel],26)&lt;&gt;INDEX(Cal_Weeks[MonthYearLabel],25),'Grid_Stock'!Z5,Z5)+'Grid_Incoming'!AA5-'Grid_Requirement'!AA5</f>
        <v/>
      </c>
      <c r="AB5">
        <f>IF(INDEX(Cal_Weeks[MonthYearLabel],27)&lt;&gt;INDEX(Cal_Weeks[MonthYearLabel],26),'Grid_Stock'!AA5,AA5)+'Grid_Incoming'!AB5-'Grid_Requirement'!AB5</f>
        <v/>
      </c>
      <c r="AC5">
        <f>IF(INDEX(Cal_Weeks[MonthYearLabel],28)&lt;&gt;INDEX(Cal_Weeks[MonthYearLabel],27),'Grid_Stock'!AB5,AB5)+'Grid_Incoming'!AC5-'Grid_Requirement'!AC5</f>
        <v/>
      </c>
      <c r="AD5">
        <f>IF(INDEX(Cal_Weeks[MonthYearLabel],29)&lt;&gt;INDEX(Cal_Weeks[MonthYearLabel],28),'Grid_Stock'!AC5,AC5)+'Grid_Incoming'!AD5-'Grid_Requirement'!AD5</f>
        <v/>
      </c>
      <c r="AE5">
        <f>IF(INDEX(Cal_Weeks[MonthYearLabel],30)&lt;&gt;INDEX(Cal_Weeks[MonthYearLabel],29),'Grid_Stock'!AD5,AD5)+'Grid_Incoming'!AE5-'Grid_Requirement'!AE5</f>
        <v/>
      </c>
      <c r="AF5">
        <f>IF(INDEX(Cal_Weeks[MonthYearLabel],31)&lt;&gt;INDEX(Cal_Weeks[MonthYearLabel],30),'Grid_Stock'!AE5,AE5)+'Grid_Incoming'!AF5-'Grid_Requirement'!AF5</f>
        <v/>
      </c>
      <c r="AG5">
        <f>IF(INDEX(Cal_Weeks[MonthYearLabel],32)&lt;&gt;INDEX(Cal_Weeks[MonthYearLabel],31),'Grid_Stock'!AF5,AF5)+'Grid_Incoming'!AG5-'Grid_Requirement'!AG5</f>
        <v/>
      </c>
      <c r="AH5">
        <f>IF(INDEX(Cal_Weeks[MonthYearLabel],33)&lt;&gt;INDEX(Cal_Weeks[MonthYearLabel],32),'Grid_Stock'!AG5,AG5)+'Grid_Incoming'!AH5-'Grid_Requirement'!AH5</f>
        <v/>
      </c>
      <c r="AI5">
        <f>IF(INDEX(Cal_Weeks[MonthYearLabel],34)&lt;&gt;INDEX(Cal_Weeks[MonthYearLabel],33),'Grid_Stock'!AH5,AH5)+'Grid_Incoming'!AI5-'Grid_Requirement'!AI5</f>
        <v/>
      </c>
      <c r="AJ5">
        <f>IF(INDEX(Cal_Weeks[MonthYearLabel],35)&lt;&gt;INDEX(Cal_Weeks[MonthYearLabel],34),'Grid_Stock'!AI5,AI5)+'Grid_Incoming'!AJ5-'Grid_Requirement'!AJ5</f>
        <v/>
      </c>
      <c r="AK5">
        <f>IF(INDEX(Cal_Weeks[MonthYearLabel],36)&lt;&gt;INDEX(Cal_Weeks[MonthYearLabel],35),'Grid_Stock'!AJ5,AJ5)+'Grid_Incoming'!AK5-'Grid_Requirement'!AK5</f>
        <v/>
      </c>
      <c r="AL5">
        <f>IF(INDEX(Cal_Weeks[MonthYearLabel],37)&lt;&gt;INDEX(Cal_Weeks[MonthYearLabel],36),'Grid_Stock'!AK5,AK5)+'Grid_Incoming'!AL5-'Grid_Requirement'!AL5</f>
        <v/>
      </c>
      <c r="AM5">
        <f>IF(INDEX(Cal_Weeks[MonthYearLabel],38)&lt;&gt;INDEX(Cal_Weeks[MonthYearLabel],37),'Grid_Stock'!AL5,AL5)+'Grid_Incoming'!AM5-'Grid_Requirement'!AM5</f>
        <v/>
      </c>
      <c r="AN5">
        <f>IF(INDEX(Cal_Weeks[MonthYearLabel],39)&lt;&gt;INDEX(Cal_Weeks[MonthYearLabel],38),'Grid_Stock'!AM5,AM5)+'Grid_Incoming'!AN5-'Grid_Requirement'!AN5</f>
        <v/>
      </c>
      <c r="AO5">
        <f>IF(INDEX(Cal_Weeks[MonthYearLabel],40)&lt;&gt;INDEX(Cal_Weeks[MonthYearLabel],39),'Grid_Stock'!AN5,AN5)+'Grid_Incoming'!AO5-'Grid_Requirement'!AO5</f>
        <v/>
      </c>
      <c r="AP5">
        <f>IF(INDEX(Cal_Weeks[MonthYearLabel],41)&lt;&gt;INDEX(Cal_Weeks[MonthYearLabel],40),'Grid_Stock'!AO5,AO5)+'Grid_Incoming'!AP5-'Grid_Requirement'!AP5</f>
        <v/>
      </c>
      <c r="AQ5">
        <f>IF(INDEX(Cal_Weeks[MonthYearLabel],42)&lt;&gt;INDEX(Cal_Weeks[MonthYearLabel],41),'Grid_Stock'!AP5,AP5)+'Grid_Incoming'!AQ5-'Grid_Requirement'!AQ5</f>
        <v/>
      </c>
      <c r="AR5">
        <f>IF(INDEX(Cal_Weeks[MonthYearLabel],43)&lt;&gt;INDEX(Cal_Weeks[MonthYearLabel],42),'Grid_Stock'!AQ5,AQ5)+'Grid_Incoming'!AR5-'Grid_Requirement'!AR5</f>
        <v/>
      </c>
      <c r="AS5">
        <f>IF(INDEX(Cal_Weeks[MonthYearLabel],44)&lt;&gt;INDEX(Cal_Weeks[MonthYearLabel],43),'Grid_Stock'!AR5,AR5)+'Grid_Incoming'!AS5-'Grid_Requirement'!AS5</f>
        <v/>
      </c>
      <c r="AT5">
        <f>IF(INDEX(Cal_Weeks[MonthYearLabel],45)&lt;&gt;INDEX(Cal_Weeks[MonthYearLabel],44),'Grid_Stock'!AS5,AS5)+'Grid_Incoming'!AT5-'Grid_Requirement'!AT5</f>
        <v/>
      </c>
      <c r="AU5">
        <f>IF(INDEX(Cal_Weeks[MonthYearLabel],46)&lt;&gt;INDEX(Cal_Weeks[MonthYearLabel],45),'Grid_Stock'!AT5,AT5)+'Grid_Incoming'!AU5-'Grid_Requirement'!AU5</f>
        <v/>
      </c>
      <c r="AV5">
        <f>IF(INDEX(Cal_Weeks[MonthYearLabel],47)&lt;&gt;INDEX(Cal_Weeks[MonthYearLabel],46),'Grid_Stock'!AU5,AU5)+'Grid_Incoming'!AV5-'Grid_Requirement'!AV5</f>
        <v/>
      </c>
      <c r="AW5">
        <f>IF(INDEX(Cal_Weeks[MonthYearLabel],48)&lt;&gt;INDEX(Cal_Weeks[MonthYearLabel],47),'Grid_Stock'!AV5,AV5)+'Grid_Incoming'!AW5-'Grid_Requirement'!AW5</f>
        <v/>
      </c>
      <c r="AX5">
        <f>IF(INDEX(Cal_Weeks[MonthYearLabel],49)&lt;&gt;INDEX(Cal_Weeks[MonthYearLabel],48),'Grid_Stock'!AW5,AW5)+'Grid_Incoming'!AX5-'Grid_Requirement'!AX5</f>
        <v/>
      </c>
      <c r="AY5">
        <f>IF(INDEX(Cal_Weeks[MonthYearLabel],50)&lt;&gt;INDEX(Cal_Weeks[MonthYearLabel],49),'Grid_Stock'!AX5,AX5)+'Grid_Incoming'!AY5-'Grid_Requirement'!AY5</f>
        <v/>
      </c>
      <c r="AZ5">
        <f>IF(INDEX(Cal_Weeks[MonthYearLabel],51)&lt;&gt;INDEX(Cal_Weeks[MonthYearLabel],50),'Grid_Stock'!AY5,AY5)+'Grid_Incoming'!AZ5-'Grid_Requirement'!AZ5</f>
        <v/>
      </c>
      <c r="BA5">
        <f>IF(INDEX(Cal_Weeks[MonthYearLabel],52)&lt;&gt;INDEX(Cal_Weeks[MonthYearLabel],51),'Grid_Stock'!AZ5,AZ5)+'Grid_Incoming'!BA5-'Grid_Requirement'!BA5</f>
        <v/>
      </c>
      <c r="BB5">
        <f>IF(INDEX(Cal_Weeks[MonthYearLabel],53)&lt;&gt;INDEX(Cal_Weeks[MonthYearLabel],52),'Grid_Stock'!BA5,BA5)+'Grid_Incoming'!BB5-'Grid_Requirement'!BB5</f>
        <v/>
      </c>
      <c r="BC5">
        <f>IF(INDEX(Cal_Weeks[MonthYearLabel],54)&lt;&gt;INDEX(Cal_Weeks[MonthYearLabel],53),'Grid_Stock'!BB5,BB5)+'Grid_Incoming'!BC5-'Grid_Requirement'!BC5</f>
        <v/>
      </c>
      <c r="BD5">
        <f>IF(INDEX(Cal_Weeks[MonthYearLabel],55)&lt;&gt;INDEX(Cal_Weeks[MonthYearLabel],54),'Grid_Stock'!BC5,BC5)+'Grid_Incoming'!BD5-'Grid_Requirement'!BD5</f>
        <v/>
      </c>
      <c r="BE5">
        <f>IF(INDEX(Cal_Weeks[MonthYearLabel],56)&lt;&gt;INDEX(Cal_Weeks[MonthYearLabel],55),'Grid_Stock'!BD5,BD5)+'Grid_Incoming'!BE5-'Grid_Requirement'!BE5</f>
        <v/>
      </c>
      <c r="BF5">
        <f>IF(INDEX(Cal_Weeks[MonthYearLabel],57)&lt;&gt;INDEX(Cal_Weeks[MonthYearLabel],56),'Grid_Stock'!BE5,BE5)+'Grid_Incoming'!BF5-'Grid_Requirement'!BF5</f>
        <v/>
      </c>
      <c r="BG5">
        <f>IF(INDEX(Cal_Weeks[MonthYearLabel],58)&lt;&gt;INDEX(Cal_Weeks[MonthYearLabel],57),'Grid_Stock'!BF5,BF5)+'Grid_Incoming'!BG5-'Grid_Requirement'!BG5</f>
        <v/>
      </c>
      <c r="BH5">
        <f>IF(INDEX(Cal_Weeks[MonthYearLabel],59)&lt;&gt;INDEX(Cal_Weeks[MonthYearLabel],58),'Grid_Stock'!BG5,BG5)+'Grid_Incoming'!BH5-'Grid_Requirement'!BH5</f>
        <v/>
      </c>
      <c r="BI5">
        <f>IF(INDEX(Cal_Weeks[MonthYearLabel],60)&lt;&gt;INDEX(Cal_Weeks[MonthYearLabel],59),'Grid_Stock'!BH5,BH5)+'Grid_Incoming'!BI5-'Grid_Requirement'!BI5</f>
        <v/>
      </c>
      <c r="BJ5">
        <f>IF(INDEX(Cal_Weeks[MonthYearLabel],61)&lt;&gt;INDEX(Cal_Weeks[MonthYearLabel],60),'Grid_Stock'!BI5,BI5)+'Grid_Incoming'!BJ5-'Grid_Requirement'!BJ5</f>
        <v/>
      </c>
      <c r="BK5">
        <f>IF(INDEX(Cal_Weeks[MonthYearLabel],62)&lt;&gt;INDEX(Cal_Weeks[MonthYearLabel],61),'Grid_Stock'!BJ5,BJ5)+'Grid_Incoming'!BK5-'Grid_Requirement'!BK5</f>
        <v/>
      </c>
      <c r="BL5">
        <f>IF(INDEX(Cal_Weeks[MonthYearLabel],63)&lt;&gt;INDEX(Cal_Weeks[MonthYearLabel],62),'Grid_Stock'!BK5,BK5)+'Grid_Incoming'!BL5-'Grid_Requirement'!BL5</f>
        <v/>
      </c>
      <c r="BM5">
        <f>IF(INDEX(Cal_Weeks[MonthYearLabel],64)&lt;&gt;INDEX(Cal_Weeks[MonthYearLabel],63),'Grid_Stock'!BL5,BL5)+'Grid_Incoming'!BM5-'Grid_Requirement'!BM5</f>
        <v/>
      </c>
      <c r="BN5">
        <f>IF(INDEX(Cal_Weeks[MonthYearLabel],65)&lt;&gt;INDEX(Cal_Weeks[MonthYearLabel],64),'Grid_Stock'!BM5,BM5)+'Grid_Incoming'!BN5-'Grid_Requirement'!BN5</f>
        <v/>
      </c>
      <c r="BO5">
        <f>IF(INDEX(Cal_Weeks[MonthYearLabel],66)&lt;&gt;INDEX(Cal_Weeks[MonthYearLabel],65),'Grid_Stock'!BN5,BN5)+'Grid_Incoming'!BO5-'Grid_Requirement'!BO5</f>
        <v/>
      </c>
      <c r="BP5">
        <f>IF(INDEX(Cal_Weeks[MonthYearLabel],67)&lt;&gt;INDEX(Cal_Weeks[MonthYearLabel],66),'Grid_Stock'!BO5,BO5)+'Grid_Incoming'!BP5-'Grid_Requirement'!BP5</f>
        <v/>
      </c>
      <c r="BQ5">
        <f>IF(INDEX(Cal_Weeks[MonthYearLabel],68)&lt;&gt;INDEX(Cal_Weeks[MonthYearLabel],67),'Grid_Stock'!BP5,BP5)+'Grid_Incoming'!BQ5-'Grid_Requirement'!BQ5</f>
        <v/>
      </c>
      <c r="BR5">
        <f>IF(INDEX(Cal_Weeks[MonthYearLabel],69)&lt;&gt;INDEX(Cal_Weeks[MonthYearLabel],68),'Grid_Stock'!BQ5,BQ5)+'Grid_Incoming'!BR5-'Grid_Requirement'!BR5</f>
        <v/>
      </c>
      <c r="BS5">
        <f>IF(INDEX(Cal_Weeks[MonthYearLabel],70)&lt;&gt;INDEX(Cal_Weeks[MonthYearLabel],69),'Grid_Stock'!BR5,BR5)+'Grid_Incoming'!BS5-'Grid_Requirement'!BS5</f>
        <v/>
      </c>
      <c r="BT5">
        <f>IF(INDEX(Cal_Weeks[MonthYearLabel],71)&lt;&gt;INDEX(Cal_Weeks[MonthYearLabel],70),'Grid_Stock'!BS5,BS5)+'Grid_Incoming'!BT5-'Grid_Requirement'!BT5</f>
        <v/>
      </c>
      <c r="BU5">
        <f>IF(INDEX(Cal_Weeks[MonthYearLabel],72)&lt;&gt;INDEX(Cal_Weeks[MonthYearLabel],71),'Grid_Stock'!BT5,BT5)+'Grid_Incoming'!BU5-'Grid_Requirement'!BU5</f>
        <v/>
      </c>
      <c r="BV5">
        <f>IF(INDEX(Cal_Weeks[MonthYearLabel],73)&lt;&gt;INDEX(Cal_Weeks[MonthYearLabel],72),'Grid_Stock'!BU5,BU5)+'Grid_Incoming'!BV5-'Grid_Requirement'!BV5</f>
        <v/>
      </c>
      <c r="BW5">
        <f>IF(INDEX(Cal_Weeks[MonthYearLabel],74)&lt;&gt;INDEX(Cal_Weeks[MonthYearLabel],73),'Grid_Stock'!BV5,BV5)+'Grid_Incoming'!BW5-'Grid_Requirement'!BW5</f>
        <v/>
      </c>
      <c r="BX5">
        <f>IF(INDEX(Cal_Weeks[MonthYearLabel],75)&lt;&gt;INDEX(Cal_Weeks[MonthYearLabel],74),'Grid_Stock'!BW5,BW5)+'Grid_Incoming'!BX5-'Grid_Requirement'!BX5</f>
        <v/>
      </c>
      <c r="BY5">
        <f>IF(INDEX(Cal_Weeks[MonthYearLabel],76)&lt;&gt;INDEX(Cal_Weeks[MonthYearLabel],75),'Grid_Stock'!BX5,BX5)+'Grid_Incoming'!BY5-'Grid_Requirement'!BY5</f>
        <v/>
      </c>
      <c r="BZ5">
        <f>IF(INDEX(Cal_Weeks[MonthYearLabel],77)&lt;&gt;INDEX(Cal_Weeks[MonthYearLabel],76),'Grid_Stock'!BY5,BY5)+'Grid_Incoming'!BZ5-'Grid_Requirement'!BZ5</f>
        <v/>
      </c>
      <c r="CA5">
        <f>IF(INDEX(Cal_Weeks[MonthYearLabel],78)&lt;&gt;INDEX(Cal_Weeks[MonthYearLabel],77),'Grid_Stock'!BZ5,BZ5)+'Grid_Incoming'!CA5-'Grid_Requirement'!CA5</f>
        <v/>
      </c>
      <c r="CB5">
        <f>IF(INDEX(Cal_Weeks[MonthYearLabel],79)&lt;&gt;INDEX(Cal_Weeks[MonthYearLabel],78),'Grid_Stock'!CA5,CA5)+'Grid_Incoming'!CB5-'Grid_Requirement'!CB5</f>
        <v/>
      </c>
      <c r="CC5">
        <f>IF(INDEX(Cal_Weeks[MonthYearLabel],80)&lt;&gt;INDEX(Cal_Weeks[MonthYearLabel],79),'Grid_Stock'!CB5,CB5)+'Grid_Incoming'!CC5-'Grid_Requirement'!CC5</f>
        <v/>
      </c>
      <c r="CD5">
        <f>IF(INDEX(Cal_Weeks[MonthYearLabel],81)&lt;&gt;INDEX(Cal_Weeks[MonthYearLabel],80),'Grid_Stock'!CC5,CC5)+'Grid_Incoming'!CD5-'Grid_Requirement'!CD5</f>
        <v/>
      </c>
      <c r="CE5">
        <f>IF(INDEX(Cal_Weeks[MonthYearLabel],82)&lt;&gt;INDEX(Cal_Weeks[MonthYearLabel],81),'Grid_Stock'!CD5,CD5)+'Grid_Incoming'!CE5-'Grid_Requirement'!CE5</f>
        <v/>
      </c>
      <c r="CF5">
        <f>IF(INDEX(Cal_Weeks[MonthYearLabel],83)&lt;&gt;INDEX(Cal_Weeks[MonthYearLabel],82),'Grid_Stock'!CE5,CE5)+'Grid_Incoming'!CF5-'Grid_Requirement'!CF5</f>
        <v/>
      </c>
      <c r="CG5">
        <f>IF(INDEX(Cal_Weeks[MonthYearLabel],84)&lt;&gt;INDEX(Cal_Weeks[MonthYearLabel],83),'Grid_Stock'!CF5,CF5)+'Grid_Incoming'!CG5-'Grid_Requirement'!CG5</f>
        <v/>
      </c>
      <c r="CH5">
        <f>IF(INDEX(Cal_Weeks[MonthYearLabel],85)&lt;&gt;INDEX(Cal_Weeks[MonthYearLabel],84),'Grid_Stock'!CG5,CG5)+'Grid_Incoming'!CH5-'Grid_Requirement'!CH5</f>
        <v/>
      </c>
      <c r="CI5">
        <f>IF(INDEX(Cal_Weeks[MonthYearLabel],86)&lt;&gt;INDEX(Cal_Weeks[MonthYearLabel],85),'Grid_Stock'!CH5,CH5)+'Grid_Incoming'!CI5-'Grid_Requirement'!CI5</f>
        <v/>
      </c>
      <c r="CJ5">
        <f>IF(INDEX(Cal_Weeks[MonthYearLabel],87)&lt;&gt;INDEX(Cal_Weeks[MonthYearLabel],86),'Grid_Stock'!CI5,CI5)+'Grid_Incoming'!CJ5-'Grid_Requirement'!CJ5</f>
        <v/>
      </c>
      <c r="CK5">
        <f>IF(INDEX(Cal_Weeks[MonthYearLabel],88)&lt;&gt;INDEX(Cal_Weeks[MonthYearLabel],87),'Grid_Stock'!CJ5,CJ5)+'Grid_Incoming'!CK5-'Grid_Requirement'!CK5</f>
        <v/>
      </c>
      <c r="CL5">
        <f>IF(INDEX(Cal_Weeks[MonthYearLabel],89)&lt;&gt;INDEX(Cal_Weeks[MonthYearLabel],88),'Grid_Stock'!CK5,CK5)+'Grid_Incoming'!CL5-'Grid_Requirement'!CL5</f>
        <v/>
      </c>
      <c r="CM5">
        <f>IF(INDEX(Cal_Weeks[MonthYearLabel],90)&lt;&gt;INDEX(Cal_Weeks[MonthYearLabel],89),'Grid_Stock'!CL5,CL5)+'Grid_Incoming'!CM5-'Grid_Requirement'!CM5</f>
        <v/>
      </c>
      <c r="CN5">
        <f>IF(INDEX(Cal_Weeks[MonthYearLabel],91)&lt;&gt;INDEX(Cal_Weeks[MonthYearLabel],90),'Grid_Stock'!CM5,CM5)+'Grid_Incoming'!CN5-'Grid_Requirement'!CN5</f>
        <v/>
      </c>
      <c r="CO5">
        <f>IF(INDEX(Cal_Weeks[MonthYearLabel],92)&lt;&gt;INDEX(Cal_Weeks[MonthYearLabel],91),'Grid_Stock'!CN5,CN5)+'Grid_Incoming'!CO5-'Grid_Requirement'!CO5</f>
        <v/>
      </c>
      <c r="CP5">
        <f>IF(INDEX(Cal_Weeks[MonthYearLabel],93)&lt;&gt;INDEX(Cal_Weeks[MonthYearLabel],92),'Grid_Stock'!CO5,CO5)+'Grid_Incoming'!CP5-'Grid_Requirement'!CP5</f>
        <v/>
      </c>
      <c r="CQ5">
        <f>IF(INDEX(Cal_Weeks[MonthYearLabel],94)&lt;&gt;INDEX(Cal_Weeks[MonthYearLabel],93),'Grid_Stock'!CP5,CP5)+'Grid_Incoming'!CQ5-'Grid_Requirement'!CQ5</f>
        <v/>
      </c>
      <c r="CR5">
        <f>IF(INDEX(Cal_Weeks[MonthYearLabel],95)&lt;&gt;INDEX(Cal_Weeks[MonthYearLabel],94),'Grid_Stock'!CQ5,CQ5)+'Grid_Incoming'!CR5-'Grid_Requirement'!CR5</f>
        <v/>
      </c>
      <c r="CS5">
        <f>IF(INDEX(Cal_Weeks[MonthYearLabel],96)&lt;&gt;INDEX(Cal_Weeks[MonthYearLabel],95),'Grid_Stock'!CR5,CR5)+'Grid_Incoming'!CS5-'Grid_Requirement'!CS5</f>
        <v/>
      </c>
      <c r="CT5">
        <f>IF(INDEX(Cal_Weeks[MonthYearLabel],97)&lt;&gt;INDEX(Cal_Weeks[MonthYearLabel],96),'Grid_Stock'!CS5,CS5)+'Grid_Incoming'!CT5-'Grid_Requirement'!CT5</f>
        <v/>
      </c>
      <c r="CU5">
        <f>IF(INDEX(Cal_Weeks[MonthYearLabel],98)&lt;&gt;INDEX(Cal_Weeks[MonthYearLabel],97),'Grid_Stock'!CT5,CT5)+'Grid_Incoming'!CU5-'Grid_Requirement'!CU5</f>
        <v/>
      </c>
      <c r="CV5">
        <f>IF(INDEX(Cal_Weeks[MonthYearLabel],99)&lt;&gt;INDEX(Cal_Weeks[MonthYearLabel],98),'Grid_Stock'!CU5,CU5)+'Grid_Incoming'!CV5-'Grid_Requirement'!CV5</f>
        <v/>
      </c>
      <c r="CW5">
        <f>IF(INDEX(Cal_Weeks[MonthYearLabel],100)&lt;&gt;INDEX(Cal_Weeks[MonthYearLabel],99),'Grid_Stock'!CV5,CV5)+'Grid_Incoming'!CW5-'Grid_Requirement'!CW5</f>
        <v/>
      </c>
      <c r="CX5">
        <f>IF(INDEX(Cal_Weeks[MonthYearLabel],101)&lt;&gt;INDEX(Cal_Weeks[MonthYearLabel],100),'Grid_Stock'!CW5,CW5)+'Grid_Incoming'!CX5-'Grid_Requirement'!CX5</f>
        <v/>
      </c>
      <c r="CY5">
        <f>IF(INDEX(Cal_Weeks[MonthYearLabel],102)&lt;&gt;INDEX(Cal_Weeks[MonthYearLabel],101),'Grid_Stock'!CX5,CX5)+'Grid_Incoming'!CY5-'Grid_Requirement'!CY5</f>
        <v/>
      </c>
      <c r="CZ5">
        <f>IF(INDEX(Cal_Weeks[MonthYearLabel],103)&lt;&gt;INDEX(Cal_Weeks[MonthYearLabel],102),'Grid_Stock'!CY5,CY5)+'Grid_Incoming'!CZ5-'Grid_Requirement'!CZ5</f>
        <v/>
      </c>
      <c r="DA5">
        <f>IF(INDEX(Cal_Weeks[MonthYearLabel],104)&lt;&gt;INDEX(Cal_Weeks[MonthYearLabel],103),'Grid_Stock'!CZ5,CZ5)+'Grid_Incoming'!DA5-'Grid_Requirement'!DA5</f>
        <v/>
      </c>
    </row>
    <row r="6">
      <c r="A6" t="inlineStr">
        <is>
          <t>7CL</t>
        </is>
      </c>
      <c r="B6">
        <f>IFERROR(INDEX(T_OpeningStock[Opening_Qty_要入力],MATCH($A6,T_OpeningStock[Part Name],0)),0)+'Grid_Incoming'!B6-'Grid_Requirement'!B6</f>
        <v/>
      </c>
      <c r="C6">
        <f>IF(INDEX(Cal_Weeks[MonthYearLabel],2)&lt;&gt;INDEX(Cal_Weeks[MonthYearLabel],1),'Grid_Stock'!B6,B6)+'Grid_Incoming'!C6-'Grid_Requirement'!C6</f>
        <v/>
      </c>
      <c r="D6">
        <f>IF(INDEX(Cal_Weeks[MonthYearLabel],3)&lt;&gt;INDEX(Cal_Weeks[MonthYearLabel],2),'Grid_Stock'!C6,C6)+'Grid_Incoming'!D6-'Grid_Requirement'!D6</f>
        <v/>
      </c>
      <c r="E6">
        <f>IF(INDEX(Cal_Weeks[MonthYearLabel],4)&lt;&gt;INDEX(Cal_Weeks[MonthYearLabel],3),'Grid_Stock'!D6,D6)+'Grid_Incoming'!E6-'Grid_Requirement'!E6</f>
        <v/>
      </c>
      <c r="F6">
        <f>IF(INDEX(Cal_Weeks[MonthYearLabel],5)&lt;&gt;INDEX(Cal_Weeks[MonthYearLabel],4),'Grid_Stock'!E6,E6)+'Grid_Incoming'!F6-'Grid_Requirement'!F6</f>
        <v/>
      </c>
      <c r="G6">
        <f>IF(INDEX(Cal_Weeks[MonthYearLabel],6)&lt;&gt;INDEX(Cal_Weeks[MonthYearLabel],5),'Grid_Stock'!F6,F6)+'Grid_Incoming'!G6-'Grid_Requirement'!G6</f>
        <v/>
      </c>
      <c r="H6">
        <f>IF(INDEX(Cal_Weeks[MonthYearLabel],7)&lt;&gt;INDEX(Cal_Weeks[MonthYearLabel],6),'Grid_Stock'!G6,G6)+'Grid_Incoming'!H6-'Grid_Requirement'!H6</f>
        <v/>
      </c>
      <c r="I6">
        <f>IF(INDEX(Cal_Weeks[MonthYearLabel],8)&lt;&gt;INDEX(Cal_Weeks[MonthYearLabel],7),'Grid_Stock'!H6,H6)+'Grid_Incoming'!I6-'Grid_Requirement'!I6</f>
        <v/>
      </c>
      <c r="J6">
        <f>IF(INDEX(Cal_Weeks[MonthYearLabel],9)&lt;&gt;INDEX(Cal_Weeks[MonthYearLabel],8),'Grid_Stock'!I6,I6)+'Grid_Incoming'!J6-'Grid_Requirement'!J6</f>
        <v/>
      </c>
      <c r="K6">
        <f>IF(INDEX(Cal_Weeks[MonthYearLabel],10)&lt;&gt;INDEX(Cal_Weeks[MonthYearLabel],9),'Grid_Stock'!J6,J6)+'Grid_Incoming'!K6-'Grid_Requirement'!K6</f>
        <v/>
      </c>
      <c r="L6">
        <f>IF(INDEX(Cal_Weeks[MonthYearLabel],11)&lt;&gt;INDEX(Cal_Weeks[MonthYearLabel],10),'Grid_Stock'!K6,K6)+'Grid_Incoming'!L6-'Grid_Requirement'!L6</f>
        <v/>
      </c>
      <c r="M6">
        <f>IF(INDEX(Cal_Weeks[MonthYearLabel],12)&lt;&gt;INDEX(Cal_Weeks[MonthYearLabel],11),'Grid_Stock'!L6,L6)+'Grid_Incoming'!M6-'Grid_Requirement'!M6</f>
        <v/>
      </c>
      <c r="N6">
        <f>IF(INDEX(Cal_Weeks[MonthYearLabel],13)&lt;&gt;INDEX(Cal_Weeks[MonthYearLabel],12),'Grid_Stock'!M6,M6)+'Grid_Incoming'!N6-'Grid_Requirement'!N6</f>
        <v/>
      </c>
      <c r="O6">
        <f>IF(INDEX(Cal_Weeks[MonthYearLabel],14)&lt;&gt;INDEX(Cal_Weeks[MonthYearLabel],13),'Grid_Stock'!N6,N6)+'Grid_Incoming'!O6-'Grid_Requirement'!O6</f>
        <v/>
      </c>
      <c r="P6">
        <f>IF(INDEX(Cal_Weeks[MonthYearLabel],15)&lt;&gt;INDEX(Cal_Weeks[MonthYearLabel],14),'Grid_Stock'!O6,O6)+'Grid_Incoming'!P6-'Grid_Requirement'!P6</f>
        <v/>
      </c>
      <c r="Q6">
        <f>IF(INDEX(Cal_Weeks[MonthYearLabel],16)&lt;&gt;INDEX(Cal_Weeks[MonthYearLabel],15),'Grid_Stock'!P6,P6)+'Grid_Incoming'!Q6-'Grid_Requirement'!Q6</f>
        <v/>
      </c>
      <c r="R6">
        <f>IF(INDEX(Cal_Weeks[MonthYearLabel],17)&lt;&gt;INDEX(Cal_Weeks[MonthYearLabel],16),'Grid_Stock'!Q6,Q6)+'Grid_Incoming'!R6-'Grid_Requirement'!R6</f>
        <v/>
      </c>
      <c r="S6">
        <f>IF(INDEX(Cal_Weeks[MonthYearLabel],18)&lt;&gt;INDEX(Cal_Weeks[MonthYearLabel],17),'Grid_Stock'!R6,R6)+'Grid_Incoming'!S6-'Grid_Requirement'!S6</f>
        <v/>
      </c>
      <c r="T6">
        <f>IF(INDEX(Cal_Weeks[MonthYearLabel],19)&lt;&gt;INDEX(Cal_Weeks[MonthYearLabel],18),'Grid_Stock'!S6,S6)+'Grid_Incoming'!T6-'Grid_Requirement'!T6</f>
        <v/>
      </c>
      <c r="U6">
        <f>IF(INDEX(Cal_Weeks[MonthYearLabel],20)&lt;&gt;INDEX(Cal_Weeks[MonthYearLabel],19),'Grid_Stock'!T6,T6)+'Grid_Incoming'!U6-'Grid_Requirement'!U6</f>
        <v/>
      </c>
      <c r="V6">
        <f>IF(INDEX(Cal_Weeks[MonthYearLabel],21)&lt;&gt;INDEX(Cal_Weeks[MonthYearLabel],20),'Grid_Stock'!U6,U6)+'Grid_Incoming'!V6-'Grid_Requirement'!V6</f>
        <v/>
      </c>
      <c r="W6">
        <f>IF(INDEX(Cal_Weeks[MonthYearLabel],22)&lt;&gt;INDEX(Cal_Weeks[MonthYearLabel],21),'Grid_Stock'!V6,V6)+'Grid_Incoming'!W6-'Grid_Requirement'!W6</f>
        <v/>
      </c>
      <c r="X6">
        <f>IF(INDEX(Cal_Weeks[MonthYearLabel],23)&lt;&gt;INDEX(Cal_Weeks[MonthYearLabel],22),'Grid_Stock'!W6,W6)+'Grid_Incoming'!X6-'Grid_Requirement'!X6</f>
        <v/>
      </c>
      <c r="Y6">
        <f>IF(INDEX(Cal_Weeks[MonthYearLabel],24)&lt;&gt;INDEX(Cal_Weeks[MonthYearLabel],23),'Grid_Stock'!X6,X6)+'Grid_Incoming'!Y6-'Grid_Requirement'!Y6</f>
        <v/>
      </c>
      <c r="Z6">
        <f>IF(INDEX(Cal_Weeks[MonthYearLabel],25)&lt;&gt;INDEX(Cal_Weeks[MonthYearLabel],24),'Grid_Stock'!Y6,Y6)+'Grid_Incoming'!Z6-'Grid_Requirement'!Z6</f>
        <v/>
      </c>
      <c r="AA6">
        <f>IF(INDEX(Cal_Weeks[MonthYearLabel],26)&lt;&gt;INDEX(Cal_Weeks[MonthYearLabel],25),'Grid_Stock'!Z6,Z6)+'Grid_Incoming'!AA6-'Grid_Requirement'!AA6</f>
        <v/>
      </c>
      <c r="AB6">
        <f>IF(INDEX(Cal_Weeks[MonthYearLabel],27)&lt;&gt;INDEX(Cal_Weeks[MonthYearLabel],26),'Grid_Stock'!AA6,AA6)+'Grid_Incoming'!AB6-'Grid_Requirement'!AB6</f>
        <v/>
      </c>
      <c r="AC6">
        <f>IF(INDEX(Cal_Weeks[MonthYearLabel],28)&lt;&gt;INDEX(Cal_Weeks[MonthYearLabel],27),'Grid_Stock'!AB6,AB6)+'Grid_Incoming'!AC6-'Grid_Requirement'!AC6</f>
        <v/>
      </c>
      <c r="AD6">
        <f>IF(INDEX(Cal_Weeks[MonthYearLabel],29)&lt;&gt;INDEX(Cal_Weeks[MonthYearLabel],28),'Grid_Stock'!AC6,AC6)+'Grid_Incoming'!AD6-'Grid_Requirement'!AD6</f>
        <v/>
      </c>
      <c r="AE6">
        <f>IF(INDEX(Cal_Weeks[MonthYearLabel],30)&lt;&gt;INDEX(Cal_Weeks[MonthYearLabel],29),'Grid_Stock'!AD6,AD6)+'Grid_Incoming'!AE6-'Grid_Requirement'!AE6</f>
        <v/>
      </c>
      <c r="AF6">
        <f>IF(INDEX(Cal_Weeks[MonthYearLabel],31)&lt;&gt;INDEX(Cal_Weeks[MonthYearLabel],30),'Grid_Stock'!AE6,AE6)+'Grid_Incoming'!AF6-'Grid_Requirement'!AF6</f>
        <v/>
      </c>
      <c r="AG6">
        <f>IF(INDEX(Cal_Weeks[MonthYearLabel],32)&lt;&gt;INDEX(Cal_Weeks[MonthYearLabel],31),'Grid_Stock'!AF6,AF6)+'Grid_Incoming'!AG6-'Grid_Requirement'!AG6</f>
        <v/>
      </c>
      <c r="AH6">
        <f>IF(INDEX(Cal_Weeks[MonthYearLabel],33)&lt;&gt;INDEX(Cal_Weeks[MonthYearLabel],32),'Grid_Stock'!AG6,AG6)+'Grid_Incoming'!AH6-'Grid_Requirement'!AH6</f>
        <v/>
      </c>
      <c r="AI6">
        <f>IF(INDEX(Cal_Weeks[MonthYearLabel],34)&lt;&gt;INDEX(Cal_Weeks[MonthYearLabel],33),'Grid_Stock'!AH6,AH6)+'Grid_Incoming'!AI6-'Grid_Requirement'!AI6</f>
        <v/>
      </c>
      <c r="AJ6">
        <f>IF(INDEX(Cal_Weeks[MonthYearLabel],35)&lt;&gt;INDEX(Cal_Weeks[MonthYearLabel],34),'Grid_Stock'!AI6,AI6)+'Grid_Incoming'!AJ6-'Grid_Requirement'!AJ6</f>
        <v/>
      </c>
      <c r="AK6">
        <f>IF(INDEX(Cal_Weeks[MonthYearLabel],36)&lt;&gt;INDEX(Cal_Weeks[MonthYearLabel],35),'Grid_Stock'!AJ6,AJ6)+'Grid_Incoming'!AK6-'Grid_Requirement'!AK6</f>
        <v/>
      </c>
      <c r="AL6">
        <f>IF(INDEX(Cal_Weeks[MonthYearLabel],37)&lt;&gt;INDEX(Cal_Weeks[MonthYearLabel],36),'Grid_Stock'!AK6,AK6)+'Grid_Incoming'!AL6-'Grid_Requirement'!AL6</f>
        <v/>
      </c>
      <c r="AM6">
        <f>IF(INDEX(Cal_Weeks[MonthYearLabel],38)&lt;&gt;INDEX(Cal_Weeks[MonthYearLabel],37),'Grid_Stock'!AL6,AL6)+'Grid_Incoming'!AM6-'Grid_Requirement'!AM6</f>
        <v/>
      </c>
      <c r="AN6">
        <f>IF(INDEX(Cal_Weeks[MonthYearLabel],39)&lt;&gt;INDEX(Cal_Weeks[MonthYearLabel],38),'Grid_Stock'!AM6,AM6)+'Grid_Incoming'!AN6-'Grid_Requirement'!AN6</f>
        <v/>
      </c>
      <c r="AO6">
        <f>IF(INDEX(Cal_Weeks[MonthYearLabel],40)&lt;&gt;INDEX(Cal_Weeks[MonthYearLabel],39),'Grid_Stock'!AN6,AN6)+'Grid_Incoming'!AO6-'Grid_Requirement'!AO6</f>
        <v/>
      </c>
      <c r="AP6">
        <f>IF(INDEX(Cal_Weeks[MonthYearLabel],41)&lt;&gt;INDEX(Cal_Weeks[MonthYearLabel],40),'Grid_Stock'!AO6,AO6)+'Grid_Incoming'!AP6-'Grid_Requirement'!AP6</f>
        <v/>
      </c>
      <c r="AQ6">
        <f>IF(INDEX(Cal_Weeks[MonthYearLabel],42)&lt;&gt;INDEX(Cal_Weeks[MonthYearLabel],41),'Grid_Stock'!AP6,AP6)+'Grid_Incoming'!AQ6-'Grid_Requirement'!AQ6</f>
        <v/>
      </c>
      <c r="AR6">
        <f>IF(INDEX(Cal_Weeks[MonthYearLabel],43)&lt;&gt;INDEX(Cal_Weeks[MonthYearLabel],42),'Grid_Stock'!AQ6,AQ6)+'Grid_Incoming'!AR6-'Grid_Requirement'!AR6</f>
        <v/>
      </c>
      <c r="AS6">
        <f>IF(INDEX(Cal_Weeks[MonthYearLabel],44)&lt;&gt;INDEX(Cal_Weeks[MonthYearLabel],43),'Grid_Stock'!AR6,AR6)+'Grid_Incoming'!AS6-'Grid_Requirement'!AS6</f>
        <v/>
      </c>
      <c r="AT6">
        <f>IF(INDEX(Cal_Weeks[MonthYearLabel],45)&lt;&gt;INDEX(Cal_Weeks[MonthYearLabel],44),'Grid_Stock'!AS6,AS6)+'Grid_Incoming'!AT6-'Grid_Requirement'!AT6</f>
        <v/>
      </c>
      <c r="AU6">
        <f>IF(INDEX(Cal_Weeks[MonthYearLabel],46)&lt;&gt;INDEX(Cal_Weeks[MonthYearLabel],45),'Grid_Stock'!AT6,AT6)+'Grid_Incoming'!AU6-'Grid_Requirement'!AU6</f>
        <v/>
      </c>
      <c r="AV6">
        <f>IF(INDEX(Cal_Weeks[MonthYearLabel],47)&lt;&gt;INDEX(Cal_Weeks[MonthYearLabel],46),'Grid_Stock'!AU6,AU6)+'Grid_Incoming'!AV6-'Grid_Requirement'!AV6</f>
        <v/>
      </c>
      <c r="AW6">
        <f>IF(INDEX(Cal_Weeks[MonthYearLabel],48)&lt;&gt;INDEX(Cal_Weeks[MonthYearLabel],47),'Grid_Stock'!AV6,AV6)+'Grid_Incoming'!AW6-'Grid_Requirement'!AW6</f>
        <v/>
      </c>
      <c r="AX6">
        <f>IF(INDEX(Cal_Weeks[MonthYearLabel],49)&lt;&gt;INDEX(Cal_Weeks[MonthYearLabel],48),'Grid_Stock'!AW6,AW6)+'Grid_Incoming'!AX6-'Grid_Requirement'!AX6</f>
        <v/>
      </c>
      <c r="AY6">
        <f>IF(INDEX(Cal_Weeks[MonthYearLabel],50)&lt;&gt;INDEX(Cal_Weeks[MonthYearLabel],49),'Grid_Stock'!AX6,AX6)+'Grid_Incoming'!AY6-'Grid_Requirement'!AY6</f>
        <v/>
      </c>
      <c r="AZ6">
        <f>IF(INDEX(Cal_Weeks[MonthYearLabel],51)&lt;&gt;INDEX(Cal_Weeks[MonthYearLabel],50),'Grid_Stock'!AY6,AY6)+'Grid_Incoming'!AZ6-'Grid_Requirement'!AZ6</f>
        <v/>
      </c>
      <c r="BA6">
        <f>IF(INDEX(Cal_Weeks[MonthYearLabel],52)&lt;&gt;INDEX(Cal_Weeks[MonthYearLabel],51),'Grid_Stock'!AZ6,AZ6)+'Grid_Incoming'!BA6-'Grid_Requirement'!BA6</f>
        <v/>
      </c>
      <c r="BB6">
        <f>IF(INDEX(Cal_Weeks[MonthYearLabel],53)&lt;&gt;INDEX(Cal_Weeks[MonthYearLabel],52),'Grid_Stock'!BA6,BA6)+'Grid_Incoming'!BB6-'Grid_Requirement'!BB6</f>
        <v/>
      </c>
      <c r="BC6">
        <f>IF(INDEX(Cal_Weeks[MonthYearLabel],54)&lt;&gt;INDEX(Cal_Weeks[MonthYearLabel],53),'Grid_Stock'!BB6,BB6)+'Grid_Incoming'!BC6-'Grid_Requirement'!BC6</f>
        <v/>
      </c>
      <c r="BD6">
        <f>IF(INDEX(Cal_Weeks[MonthYearLabel],55)&lt;&gt;INDEX(Cal_Weeks[MonthYearLabel],54),'Grid_Stock'!BC6,BC6)+'Grid_Incoming'!BD6-'Grid_Requirement'!BD6</f>
        <v/>
      </c>
      <c r="BE6">
        <f>IF(INDEX(Cal_Weeks[MonthYearLabel],56)&lt;&gt;INDEX(Cal_Weeks[MonthYearLabel],55),'Grid_Stock'!BD6,BD6)+'Grid_Incoming'!BE6-'Grid_Requirement'!BE6</f>
        <v/>
      </c>
      <c r="BF6">
        <f>IF(INDEX(Cal_Weeks[MonthYearLabel],57)&lt;&gt;INDEX(Cal_Weeks[MonthYearLabel],56),'Grid_Stock'!BE6,BE6)+'Grid_Incoming'!BF6-'Grid_Requirement'!BF6</f>
        <v/>
      </c>
      <c r="BG6">
        <f>IF(INDEX(Cal_Weeks[MonthYearLabel],58)&lt;&gt;INDEX(Cal_Weeks[MonthYearLabel],57),'Grid_Stock'!BF6,BF6)+'Grid_Incoming'!BG6-'Grid_Requirement'!BG6</f>
        <v/>
      </c>
      <c r="BH6">
        <f>IF(INDEX(Cal_Weeks[MonthYearLabel],59)&lt;&gt;INDEX(Cal_Weeks[MonthYearLabel],58),'Grid_Stock'!BG6,BG6)+'Grid_Incoming'!BH6-'Grid_Requirement'!BH6</f>
        <v/>
      </c>
      <c r="BI6">
        <f>IF(INDEX(Cal_Weeks[MonthYearLabel],60)&lt;&gt;INDEX(Cal_Weeks[MonthYearLabel],59),'Grid_Stock'!BH6,BH6)+'Grid_Incoming'!BI6-'Grid_Requirement'!BI6</f>
        <v/>
      </c>
      <c r="BJ6">
        <f>IF(INDEX(Cal_Weeks[MonthYearLabel],61)&lt;&gt;INDEX(Cal_Weeks[MonthYearLabel],60),'Grid_Stock'!BI6,BI6)+'Grid_Incoming'!BJ6-'Grid_Requirement'!BJ6</f>
        <v/>
      </c>
      <c r="BK6">
        <f>IF(INDEX(Cal_Weeks[MonthYearLabel],62)&lt;&gt;INDEX(Cal_Weeks[MonthYearLabel],61),'Grid_Stock'!BJ6,BJ6)+'Grid_Incoming'!BK6-'Grid_Requirement'!BK6</f>
        <v/>
      </c>
      <c r="BL6">
        <f>IF(INDEX(Cal_Weeks[MonthYearLabel],63)&lt;&gt;INDEX(Cal_Weeks[MonthYearLabel],62),'Grid_Stock'!BK6,BK6)+'Grid_Incoming'!BL6-'Grid_Requirement'!BL6</f>
        <v/>
      </c>
      <c r="BM6">
        <f>IF(INDEX(Cal_Weeks[MonthYearLabel],64)&lt;&gt;INDEX(Cal_Weeks[MonthYearLabel],63),'Grid_Stock'!BL6,BL6)+'Grid_Incoming'!BM6-'Grid_Requirement'!BM6</f>
        <v/>
      </c>
      <c r="BN6">
        <f>IF(INDEX(Cal_Weeks[MonthYearLabel],65)&lt;&gt;INDEX(Cal_Weeks[MonthYearLabel],64),'Grid_Stock'!BM6,BM6)+'Grid_Incoming'!BN6-'Grid_Requirement'!BN6</f>
        <v/>
      </c>
      <c r="BO6">
        <f>IF(INDEX(Cal_Weeks[MonthYearLabel],66)&lt;&gt;INDEX(Cal_Weeks[MonthYearLabel],65),'Grid_Stock'!BN6,BN6)+'Grid_Incoming'!BO6-'Grid_Requirement'!BO6</f>
        <v/>
      </c>
      <c r="BP6">
        <f>IF(INDEX(Cal_Weeks[MonthYearLabel],67)&lt;&gt;INDEX(Cal_Weeks[MonthYearLabel],66),'Grid_Stock'!BO6,BO6)+'Grid_Incoming'!BP6-'Grid_Requirement'!BP6</f>
        <v/>
      </c>
      <c r="BQ6">
        <f>IF(INDEX(Cal_Weeks[MonthYearLabel],68)&lt;&gt;INDEX(Cal_Weeks[MonthYearLabel],67),'Grid_Stock'!BP6,BP6)+'Grid_Incoming'!BQ6-'Grid_Requirement'!BQ6</f>
        <v/>
      </c>
      <c r="BR6">
        <f>IF(INDEX(Cal_Weeks[MonthYearLabel],69)&lt;&gt;INDEX(Cal_Weeks[MonthYearLabel],68),'Grid_Stock'!BQ6,BQ6)+'Grid_Incoming'!BR6-'Grid_Requirement'!BR6</f>
        <v/>
      </c>
      <c r="BS6">
        <f>IF(INDEX(Cal_Weeks[MonthYearLabel],70)&lt;&gt;INDEX(Cal_Weeks[MonthYearLabel],69),'Grid_Stock'!BR6,BR6)+'Grid_Incoming'!BS6-'Grid_Requirement'!BS6</f>
        <v/>
      </c>
      <c r="BT6">
        <f>IF(INDEX(Cal_Weeks[MonthYearLabel],71)&lt;&gt;INDEX(Cal_Weeks[MonthYearLabel],70),'Grid_Stock'!BS6,BS6)+'Grid_Incoming'!BT6-'Grid_Requirement'!BT6</f>
        <v/>
      </c>
      <c r="BU6">
        <f>IF(INDEX(Cal_Weeks[MonthYearLabel],72)&lt;&gt;INDEX(Cal_Weeks[MonthYearLabel],71),'Grid_Stock'!BT6,BT6)+'Grid_Incoming'!BU6-'Grid_Requirement'!BU6</f>
        <v/>
      </c>
      <c r="BV6">
        <f>IF(INDEX(Cal_Weeks[MonthYearLabel],73)&lt;&gt;INDEX(Cal_Weeks[MonthYearLabel],72),'Grid_Stock'!BU6,BU6)+'Grid_Incoming'!BV6-'Grid_Requirement'!BV6</f>
        <v/>
      </c>
      <c r="BW6">
        <f>IF(INDEX(Cal_Weeks[MonthYearLabel],74)&lt;&gt;INDEX(Cal_Weeks[MonthYearLabel],73),'Grid_Stock'!BV6,BV6)+'Grid_Incoming'!BW6-'Grid_Requirement'!BW6</f>
        <v/>
      </c>
      <c r="BX6">
        <f>IF(INDEX(Cal_Weeks[MonthYearLabel],75)&lt;&gt;INDEX(Cal_Weeks[MonthYearLabel],74),'Grid_Stock'!BW6,BW6)+'Grid_Incoming'!BX6-'Grid_Requirement'!BX6</f>
        <v/>
      </c>
      <c r="BY6">
        <f>IF(INDEX(Cal_Weeks[MonthYearLabel],76)&lt;&gt;INDEX(Cal_Weeks[MonthYearLabel],75),'Grid_Stock'!BX6,BX6)+'Grid_Incoming'!BY6-'Grid_Requirement'!BY6</f>
        <v/>
      </c>
      <c r="BZ6">
        <f>IF(INDEX(Cal_Weeks[MonthYearLabel],77)&lt;&gt;INDEX(Cal_Weeks[MonthYearLabel],76),'Grid_Stock'!BY6,BY6)+'Grid_Incoming'!BZ6-'Grid_Requirement'!BZ6</f>
        <v/>
      </c>
      <c r="CA6">
        <f>IF(INDEX(Cal_Weeks[MonthYearLabel],78)&lt;&gt;INDEX(Cal_Weeks[MonthYearLabel],77),'Grid_Stock'!BZ6,BZ6)+'Grid_Incoming'!CA6-'Grid_Requirement'!CA6</f>
        <v/>
      </c>
      <c r="CB6">
        <f>IF(INDEX(Cal_Weeks[MonthYearLabel],79)&lt;&gt;INDEX(Cal_Weeks[MonthYearLabel],78),'Grid_Stock'!CA6,CA6)+'Grid_Incoming'!CB6-'Grid_Requirement'!CB6</f>
        <v/>
      </c>
      <c r="CC6">
        <f>IF(INDEX(Cal_Weeks[MonthYearLabel],80)&lt;&gt;INDEX(Cal_Weeks[MonthYearLabel],79),'Grid_Stock'!CB6,CB6)+'Grid_Incoming'!CC6-'Grid_Requirement'!CC6</f>
        <v/>
      </c>
      <c r="CD6">
        <f>IF(INDEX(Cal_Weeks[MonthYearLabel],81)&lt;&gt;INDEX(Cal_Weeks[MonthYearLabel],80),'Grid_Stock'!CC6,CC6)+'Grid_Incoming'!CD6-'Grid_Requirement'!CD6</f>
        <v/>
      </c>
      <c r="CE6">
        <f>IF(INDEX(Cal_Weeks[MonthYearLabel],82)&lt;&gt;INDEX(Cal_Weeks[MonthYearLabel],81),'Grid_Stock'!CD6,CD6)+'Grid_Incoming'!CE6-'Grid_Requirement'!CE6</f>
        <v/>
      </c>
      <c r="CF6">
        <f>IF(INDEX(Cal_Weeks[MonthYearLabel],83)&lt;&gt;INDEX(Cal_Weeks[MonthYearLabel],82),'Grid_Stock'!CE6,CE6)+'Grid_Incoming'!CF6-'Grid_Requirement'!CF6</f>
        <v/>
      </c>
      <c r="CG6">
        <f>IF(INDEX(Cal_Weeks[MonthYearLabel],84)&lt;&gt;INDEX(Cal_Weeks[MonthYearLabel],83),'Grid_Stock'!CF6,CF6)+'Grid_Incoming'!CG6-'Grid_Requirement'!CG6</f>
        <v/>
      </c>
      <c r="CH6">
        <f>IF(INDEX(Cal_Weeks[MonthYearLabel],85)&lt;&gt;INDEX(Cal_Weeks[MonthYearLabel],84),'Grid_Stock'!CG6,CG6)+'Grid_Incoming'!CH6-'Grid_Requirement'!CH6</f>
        <v/>
      </c>
      <c r="CI6">
        <f>IF(INDEX(Cal_Weeks[MonthYearLabel],86)&lt;&gt;INDEX(Cal_Weeks[MonthYearLabel],85),'Grid_Stock'!CH6,CH6)+'Grid_Incoming'!CI6-'Grid_Requirement'!CI6</f>
        <v/>
      </c>
      <c r="CJ6">
        <f>IF(INDEX(Cal_Weeks[MonthYearLabel],87)&lt;&gt;INDEX(Cal_Weeks[MonthYearLabel],86),'Grid_Stock'!CI6,CI6)+'Grid_Incoming'!CJ6-'Grid_Requirement'!CJ6</f>
        <v/>
      </c>
      <c r="CK6">
        <f>IF(INDEX(Cal_Weeks[MonthYearLabel],88)&lt;&gt;INDEX(Cal_Weeks[MonthYearLabel],87),'Grid_Stock'!CJ6,CJ6)+'Grid_Incoming'!CK6-'Grid_Requirement'!CK6</f>
        <v/>
      </c>
      <c r="CL6">
        <f>IF(INDEX(Cal_Weeks[MonthYearLabel],89)&lt;&gt;INDEX(Cal_Weeks[MonthYearLabel],88),'Grid_Stock'!CK6,CK6)+'Grid_Incoming'!CL6-'Grid_Requirement'!CL6</f>
        <v/>
      </c>
      <c r="CM6">
        <f>IF(INDEX(Cal_Weeks[MonthYearLabel],90)&lt;&gt;INDEX(Cal_Weeks[MonthYearLabel],89),'Grid_Stock'!CL6,CL6)+'Grid_Incoming'!CM6-'Grid_Requirement'!CM6</f>
        <v/>
      </c>
      <c r="CN6">
        <f>IF(INDEX(Cal_Weeks[MonthYearLabel],91)&lt;&gt;INDEX(Cal_Weeks[MonthYearLabel],90),'Grid_Stock'!CM6,CM6)+'Grid_Incoming'!CN6-'Grid_Requirement'!CN6</f>
        <v/>
      </c>
      <c r="CO6">
        <f>IF(INDEX(Cal_Weeks[MonthYearLabel],92)&lt;&gt;INDEX(Cal_Weeks[MonthYearLabel],91),'Grid_Stock'!CN6,CN6)+'Grid_Incoming'!CO6-'Grid_Requirement'!CO6</f>
        <v/>
      </c>
      <c r="CP6">
        <f>IF(INDEX(Cal_Weeks[MonthYearLabel],93)&lt;&gt;INDEX(Cal_Weeks[MonthYearLabel],92),'Grid_Stock'!CO6,CO6)+'Grid_Incoming'!CP6-'Grid_Requirement'!CP6</f>
        <v/>
      </c>
      <c r="CQ6">
        <f>IF(INDEX(Cal_Weeks[MonthYearLabel],94)&lt;&gt;INDEX(Cal_Weeks[MonthYearLabel],93),'Grid_Stock'!CP6,CP6)+'Grid_Incoming'!CQ6-'Grid_Requirement'!CQ6</f>
        <v/>
      </c>
      <c r="CR6">
        <f>IF(INDEX(Cal_Weeks[MonthYearLabel],95)&lt;&gt;INDEX(Cal_Weeks[MonthYearLabel],94),'Grid_Stock'!CQ6,CQ6)+'Grid_Incoming'!CR6-'Grid_Requirement'!CR6</f>
        <v/>
      </c>
      <c r="CS6">
        <f>IF(INDEX(Cal_Weeks[MonthYearLabel],96)&lt;&gt;INDEX(Cal_Weeks[MonthYearLabel],95),'Grid_Stock'!CR6,CR6)+'Grid_Incoming'!CS6-'Grid_Requirement'!CS6</f>
        <v/>
      </c>
      <c r="CT6">
        <f>IF(INDEX(Cal_Weeks[MonthYearLabel],97)&lt;&gt;INDEX(Cal_Weeks[MonthYearLabel],96),'Grid_Stock'!CS6,CS6)+'Grid_Incoming'!CT6-'Grid_Requirement'!CT6</f>
        <v/>
      </c>
      <c r="CU6">
        <f>IF(INDEX(Cal_Weeks[MonthYearLabel],98)&lt;&gt;INDEX(Cal_Weeks[MonthYearLabel],97),'Grid_Stock'!CT6,CT6)+'Grid_Incoming'!CU6-'Grid_Requirement'!CU6</f>
        <v/>
      </c>
      <c r="CV6">
        <f>IF(INDEX(Cal_Weeks[MonthYearLabel],99)&lt;&gt;INDEX(Cal_Weeks[MonthYearLabel],98),'Grid_Stock'!CU6,CU6)+'Grid_Incoming'!CV6-'Grid_Requirement'!CV6</f>
        <v/>
      </c>
      <c r="CW6">
        <f>IF(INDEX(Cal_Weeks[MonthYearLabel],100)&lt;&gt;INDEX(Cal_Weeks[MonthYearLabel],99),'Grid_Stock'!CV6,CV6)+'Grid_Incoming'!CW6-'Grid_Requirement'!CW6</f>
        <v/>
      </c>
      <c r="CX6">
        <f>IF(INDEX(Cal_Weeks[MonthYearLabel],101)&lt;&gt;INDEX(Cal_Weeks[MonthYearLabel],100),'Grid_Stock'!CW6,CW6)+'Grid_Incoming'!CX6-'Grid_Requirement'!CX6</f>
        <v/>
      </c>
      <c r="CY6">
        <f>IF(INDEX(Cal_Weeks[MonthYearLabel],102)&lt;&gt;INDEX(Cal_Weeks[MonthYearLabel],101),'Grid_Stock'!CX6,CX6)+'Grid_Incoming'!CY6-'Grid_Requirement'!CY6</f>
        <v/>
      </c>
      <c r="CZ6">
        <f>IF(INDEX(Cal_Weeks[MonthYearLabel],103)&lt;&gt;INDEX(Cal_Weeks[MonthYearLabel],102),'Grid_Stock'!CY6,CY6)+'Grid_Incoming'!CZ6-'Grid_Requirement'!CZ6</f>
        <v/>
      </c>
      <c r="DA6">
        <f>IF(INDEX(Cal_Weeks[MonthYearLabel],104)&lt;&gt;INDEX(Cal_Weeks[MonthYearLabel],103),'Grid_Stock'!CZ6,CZ6)+'Grid_Incoming'!DA6-'Grid_Requirement'!DA6</f>
        <v/>
      </c>
    </row>
    <row r="7">
      <c r="A7" t="inlineStr">
        <is>
          <t>OJN</t>
        </is>
      </c>
      <c r="B7">
        <f>IFERROR(INDEX(T_OpeningStock[Opening_Qty_要入力],MATCH($A7,T_OpeningStock[Part Name],0)),0)+'Grid_Incoming'!B7-'Grid_Requirement'!B7</f>
        <v/>
      </c>
      <c r="C7">
        <f>IF(INDEX(Cal_Weeks[MonthYearLabel],2)&lt;&gt;INDEX(Cal_Weeks[MonthYearLabel],1),'Grid_Stock'!B7,B7)+'Grid_Incoming'!C7-'Grid_Requirement'!C7</f>
        <v/>
      </c>
      <c r="D7">
        <f>IF(INDEX(Cal_Weeks[MonthYearLabel],3)&lt;&gt;INDEX(Cal_Weeks[MonthYearLabel],2),'Grid_Stock'!C7,C7)+'Grid_Incoming'!D7-'Grid_Requirement'!D7</f>
        <v/>
      </c>
      <c r="E7">
        <f>IF(INDEX(Cal_Weeks[MonthYearLabel],4)&lt;&gt;INDEX(Cal_Weeks[MonthYearLabel],3),'Grid_Stock'!D7,D7)+'Grid_Incoming'!E7-'Grid_Requirement'!E7</f>
        <v/>
      </c>
      <c r="F7">
        <f>IF(INDEX(Cal_Weeks[MonthYearLabel],5)&lt;&gt;INDEX(Cal_Weeks[MonthYearLabel],4),'Grid_Stock'!E7,E7)+'Grid_Incoming'!F7-'Grid_Requirement'!F7</f>
        <v/>
      </c>
      <c r="G7">
        <f>IF(INDEX(Cal_Weeks[MonthYearLabel],6)&lt;&gt;INDEX(Cal_Weeks[MonthYearLabel],5),'Grid_Stock'!F7,F7)+'Grid_Incoming'!G7-'Grid_Requirement'!G7</f>
        <v/>
      </c>
      <c r="H7">
        <f>IF(INDEX(Cal_Weeks[MonthYearLabel],7)&lt;&gt;INDEX(Cal_Weeks[MonthYearLabel],6),'Grid_Stock'!G7,G7)+'Grid_Incoming'!H7-'Grid_Requirement'!H7</f>
        <v/>
      </c>
      <c r="I7">
        <f>IF(INDEX(Cal_Weeks[MonthYearLabel],8)&lt;&gt;INDEX(Cal_Weeks[MonthYearLabel],7),'Grid_Stock'!H7,H7)+'Grid_Incoming'!I7-'Grid_Requirement'!I7</f>
        <v/>
      </c>
      <c r="J7">
        <f>IF(INDEX(Cal_Weeks[MonthYearLabel],9)&lt;&gt;INDEX(Cal_Weeks[MonthYearLabel],8),'Grid_Stock'!I7,I7)+'Grid_Incoming'!J7-'Grid_Requirement'!J7</f>
        <v/>
      </c>
      <c r="K7">
        <f>IF(INDEX(Cal_Weeks[MonthYearLabel],10)&lt;&gt;INDEX(Cal_Weeks[MonthYearLabel],9),'Grid_Stock'!J7,J7)+'Grid_Incoming'!K7-'Grid_Requirement'!K7</f>
        <v/>
      </c>
      <c r="L7">
        <f>IF(INDEX(Cal_Weeks[MonthYearLabel],11)&lt;&gt;INDEX(Cal_Weeks[MonthYearLabel],10),'Grid_Stock'!K7,K7)+'Grid_Incoming'!L7-'Grid_Requirement'!L7</f>
        <v/>
      </c>
      <c r="M7">
        <f>IF(INDEX(Cal_Weeks[MonthYearLabel],12)&lt;&gt;INDEX(Cal_Weeks[MonthYearLabel],11),'Grid_Stock'!L7,L7)+'Grid_Incoming'!M7-'Grid_Requirement'!M7</f>
        <v/>
      </c>
      <c r="N7">
        <f>IF(INDEX(Cal_Weeks[MonthYearLabel],13)&lt;&gt;INDEX(Cal_Weeks[MonthYearLabel],12),'Grid_Stock'!M7,M7)+'Grid_Incoming'!N7-'Grid_Requirement'!N7</f>
        <v/>
      </c>
      <c r="O7">
        <f>IF(INDEX(Cal_Weeks[MonthYearLabel],14)&lt;&gt;INDEX(Cal_Weeks[MonthYearLabel],13),'Grid_Stock'!N7,N7)+'Grid_Incoming'!O7-'Grid_Requirement'!O7</f>
        <v/>
      </c>
      <c r="P7">
        <f>IF(INDEX(Cal_Weeks[MonthYearLabel],15)&lt;&gt;INDEX(Cal_Weeks[MonthYearLabel],14),'Grid_Stock'!O7,O7)+'Grid_Incoming'!P7-'Grid_Requirement'!P7</f>
        <v/>
      </c>
      <c r="Q7">
        <f>IF(INDEX(Cal_Weeks[MonthYearLabel],16)&lt;&gt;INDEX(Cal_Weeks[MonthYearLabel],15),'Grid_Stock'!P7,P7)+'Grid_Incoming'!Q7-'Grid_Requirement'!Q7</f>
        <v/>
      </c>
      <c r="R7">
        <f>IF(INDEX(Cal_Weeks[MonthYearLabel],17)&lt;&gt;INDEX(Cal_Weeks[MonthYearLabel],16),'Grid_Stock'!Q7,Q7)+'Grid_Incoming'!R7-'Grid_Requirement'!R7</f>
        <v/>
      </c>
      <c r="S7">
        <f>IF(INDEX(Cal_Weeks[MonthYearLabel],18)&lt;&gt;INDEX(Cal_Weeks[MonthYearLabel],17),'Grid_Stock'!R7,R7)+'Grid_Incoming'!S7-'Grid_Requirement'!S7</f>
        <v/>
      </c>
      <c r="T7">
        <f>IF(INDEX(Cal_Weeks[MonthYearLabel],19)&lt;&gt;INDEX(Cal_Weeks[MonthYearLabel],18),'Grid_Stock'!S7,S7)+'Grid_Incoming'!T7-'Grid_Requirement'!T7</f>
        <v/>
      </c>
      <c r="U7">
        <f>IF(INDEX(Cal_Weeks[MonthYearLabel],20)&lt;&gt;INDEX(Cal_Weeks[MonthYearLabel],19),'Grid_Stock'!T7,T7)+'Grid_Incoming'!U7-'Grid_Requirement'!U7</f>
        <v/>
      </c>
      <c r="V7">
        <f>IF(INDEX(Cal_Weeks[MonthYearLabel],21)&lt;&gt;INDEX(Cal_Weeks[MonthYearLabel],20),'Grid_Stock'!U7,U7)+'Grid_Incoming'!V7-'Grid_Requirement'!V7</f>
        <v/>
      </c>
      <c r="W7">
        <f>IF(INDEX(Cal_Weeks[MonthYearLabel],22)&lt;&gt;INDEX(Cal_Weeks[MonthYearLabel],21),'Grid_Stock'!V7,V7)+'Grid_Incoming'!W7-'Grid_Requirement'!W7</f>
        <v/>
      </c>
      <c r="X7">
        <f>IF(INDEX(Cal_Weeks[MonthYearLabel],23)&lt;&gt;INDEX(Cal_Weeks[MonthYearLabel],22),'Grid_Stock'!W7,W7)+'Grid_Incoming'!X7-'Grid_Requirement'!X7</f>
        <v/>
      </c>
      <c r="Y7">
        <f>IF(INDEX(Cal_Weeks[MonthYearLabel],24)&lt;&gt;INDEX(Cal_Weeks[MonthYearLabel],23),'Grid_Stock'!X7,X7)+'Grid_Incoming'!Y7-'Grid_Requirement'!Y7</f>
        <v/>
      </c>
      <c r="Z7">
        <f>IF(INDEX(Cal_Weeks[MonthYearLabel],25)&lt;&gt;INDEX(Cal_Weeks[MonthYearLabel],24),'Grid_Stock'!Y7,Y7)+'Grid_Incoming'!Z7-'Grid_Requirement'!Z7</f>
        <v/>
      </c>
      <c r="AA7">
        <f>IF(INDEX(Cal_Weeks[MonthYearLabel],26)&lt;&gt;INDEX(Cal_Weeks[MonthYearLabel],25),'Grid_Stock'!Z7,Z7)+'Grid_Incoming'!AA7-'Grid_Requirement'!AA7</f>
        <v/>
      </c>
      <c r="AB7">
        <f>IF(INDEX(Cal_Weeks[MonthYearLabel],27)&lt;&gt;INDEX(Cal_Weeks[MonthYearLabel],26),'Grid_Stock'!AA7,AA7)+'Grid_Incoming'!AB7-'Grid_Requirement'!AB7</f>
        <v/>
      </c>
      <c r="AC7">
        <f>IF(INDEX(Cal_Weeks[MonthYearLabel],28)&lt;&gt;INDEX(Cal_Weeks[MonthYearLabel],27),'Grid_Stock'!AB7,AB7)+'Grid_Incoming'!AC7-'Grid_Requirement'!AC7</f>
        <v/>
      </c>
      <c r="AD7">
        <f>IF(INDEX(Cal_Weeks[MonthYearLabel],29)&lt;&gt;INDEX(Cal_Weeks[MonthYearLabel],28),'Grid_Stock'!AC7,AC7)+'Grid_Incoming'!AD7-'Grid_Requirement'!AD7</f>
        <v/>
      </c>
      <c r="AE7">
        <f>IF(INDEX(Cal_Weeks[MonthYearLabel],30)&lt;&gt;INDEX(Cal_Weeks[MonthYearLabel],29),'Grid_Stock'!AD7,AD7)+'Grid_Incoming'!AE7-'Grid_Requirement'!AE7</f>
        <v/>
      </c>
      <c r="AF7">
        <f>IF(INDEX(Cal_Weeks[MonthYearLabel],31)&lt;&gt;INDEX(Cal_Weeks[MonthYearLabel],30),'Grid_Stock'!AE7,AE7)+'Grid_Incoming'!AF7-'Grid_Requirement'!AF7</f>
        <v/>
      </c>
      <c r="AG7">
        <f>IF(INDEX(Cal_Weeks[MonthYearLabel],32)&lt;&gt;INDEX(Cal_Weeks[MonthYearLabel],31),'Grid_Stock'!AF7,AF7)+'Grid_Incoming'!AG7-'Grid_Requirement'!AG7</f>
        <v/>
      </c>
      <c r="AH7">
        <f>IF(INDEX(Cal_Weeks[MonthYearLabel],33)&lt;&gt;INDEX(Cal_Weeks[MonthYearLabel],32),'Grid_Stock'!AG7,AG7)+'Grid_Incoming'!AH7-'Grid_Requirement'!AH7</f>
        <v/>
      </c>
      <c r="AI7">
        <f>IF(INDEX(Cal_Weeks[MonthYearLabel],34)&lt;&gt;INDEX(Cal_Weeks[MonthYearLabel],33),'Grid_Stock'!AH7,AH7)+'Grid_Incoming'!AI7-'Grid_Requirement'!AI7</f>
        <v/>
      </c>
      <c r="AJ7">
        <f>IF(INDEX(Cal_Weeks[MonthYearLabel],35)&lt;&gt;INDEX(Cal_Weeks[MonthYearLabel],34),'Grid_Stock'!AI7,AI7)+'Grid_Incoming'!AJ7-'Grid_Requirement'!AJ7</f>
        <v/>
      </c>
      <c r="AK7">
        <f>IF(INDEX(Cal_Weeks[MonthYearLabel],36)&lt;&gt;INDEX(Cal_Weeks[MonthYearLabel],35),'Grid_Stock'!AJ7,AJ7)+'Grid_Incoming'!AK7-'Grid_Requirement'!AK7</f>
        <v/>
      </c>
      <c r="AL7">
        <f>IF(INDEX(Cal_Weeks[MonthYearLabel],37)&lt;&gt;INDEX(Cal_Weeks[MonthYearLabel],36),'Grid_Stock'!AK7,AK7)+'Grid_Incoming'!AL7-'Grid_Requirement'!AL7</f>
        <v/>
      </c>
      <c r="AM7">
        <f>IF(INDEX(Cal_Weeks[MonthYearLabel],38)&lt;&gt;INDEX(Cal_Weeks[MonthYearLabel],37),'Grid_Stock'!AL7,AL7)+'Grid_Incoming'!AM7-'Grid_Requirement'!AM7</f>
        <v/>
      </c>
      <c r="AN7">
        <f>IF(INDEX(Cal_Weeks[MonthYearLabel],39)&lt;&gt;INDEX(Cal_Weeks[MonthYearLabel],38),'Grid_Stock'!AM7,AM7)+'Grid_Incoming'!AN7-'Grid_Requirement'!AN7</f>
        <v/>
      </c>
      <c r="AO7">
        <f>IF(INDEX(Cal_Weeks[MonthYearLabel],40)&lt;&gt;INDEX(Cal_Weeks[MonthYearLabel],39),'Grid_Stock'!AN7,AN7)+'Grid_Incoming'!AO7-'Grid_Requirement'!AO7</f>
        <v/>
      </c>
      <c r="AP7">
        <f>IF(INDEX(Cal_Weeks[MonthYearLabel],41)&lt;&gt;INDEX(Cal_Weeks[MonthYearLabel],40),'Grid_Stock'!AO7,AO7)+'Grid_Incoming'!AP7-'Grid_Requirement'!AP7</f>
        <v/>
      </c>
      <c r="AQ7">
        <f>IF(INDEX(Cal_Weeks[MonthYearLabel],42)&lt;&gt;INDEX(Cal_Weeks[MonthYearLabel],41),'Grid_Stock'!AP7,AP7)+'Grid_Incoming'!AQ7-'Grid_Requirement'!AQ7</f>
        <v/>
      </c>
      <c r="AR7">
        <f>IF(INDEX(Cal_Weeks[MonthYearLabel],43)&lt;&gt;INDEX(Cal_Weeks[MonthYearLabel],42),'Grid_Stock'!AQ7,AQ7)+'Grid_Incoming'!AR7-'Grid_Requirement'!AR7</f>
        <v/>
      </c>
      <c r="AS7">
        <f>IF(INDEX(Cal_Weeks[MonthYearLabel],44)&lt;&gt;INDEX(Cal_Weeks[MonthYearLabel],43),'Grid_Stock'!AR7,AR7)+'Grid_Incoming'!AS7-'Grid_Requirement'!AS7</f>
        <v/>
      </c>
      <c r="AT7">
        <f>IF(INDEX(Cal_Weeks[MonthYearLabel],45)&lt;&gt;INDEX(Cal_Weeks[MonthYearLabel],44),'Grid_Stock'!AS7,AS7)+'Grid_Incoming'!AT7-'Grid_Requirement'!AT7</f>
        <v/>
      </c>
      <c r="AU7">
        <f>IF(INDEX(Cal_Weeks[MonthYearLabel],46)&lt;&gt;INDEX(Cal_Weeks[MonthYearLabel],45),'Grid_Stock'!AT7,AT7)+'Grid_Incoming'!AU7-'Grid_Requirement'!AU7</f>
        <v/>
      </c>
      <c r="AV7">
        <f>IF(INDEX(Cal_Weeks[MonthYearLabel],47)&lt;&gt;INDEX(Cal_Weeks[MonthYearLabel],46),'Grid_Stock'!AU7,AU7)+'Grid_Incoming'!AV7-'Grid_Requirement'!AV7</f>
        <v/>
      </c>
      <c r="AW7">
        <f>IF(INDEX(Cal_Weeks[MonthYearLabel],48)&lt;&gt;INDEX(Cal_Weeks[MonthYearLabel],47),'Grid_Stock'!AV7,AV7)+'Grid_Incoming'!AW7-'Grid_Requirement'!AW7</f>
        <v/>
      </c>
      <c r="AX7">
        <f>IF(INDEX(Cal_Weeks[MonthYearLabel],49)&lt;&gt;INDEX(Cal_Weeks[MonthYearLabel],48),'Grid_Stock'!AW7,AW7)+'Grid_Incoming'!AX7-'Grid_Requirement'!AX7</f>
        <v/>
      </c>
      <c r="AY7">
        <f>IF(INDEX(Cal_Weeks[MonthYearLabel],50)&lt;&gt;INDEX(Cal_Weeks[MonthYearLabel],49),'Grid_Stock'!AX7,AX7)+'Grid_Incoming'!AY7-'Grid_Requirement'!AY7</f>
        <v/>
      </c>
      <c r="AZ7">
        <f>IF(INDEX(Cal_Weeks[MonthYearLabel],51)&lt;&gt;INDEX(Cal_Weeks[MonthYearLabel],50),'Grid_Stock'!AY7,AY7)+'Grid_Incoming'!AZ7-'Grid_Requirement'!AZ7</f>
        <v/>
      </c>
      <c r="BA7">
        <f>IF(INDEX(Cal_Weeks[MonthYearLabel],52)&lt;&gt;INDEX(Cal_Weeks[MonthYearLabel],51),'Grid_Stock'!AZ7,AZ7)+'Grid_Incoming'!BA7-'Grid_Requirement'!BA7</f>
        <v/>
      </c>
      <c r="BB7">
        <f>IF(INDEX(Cal_Weeks[MonthYearLabel],53)&lt;&gt;INDEX(Cal_Weeks[MonthYearLabel],52),'Grid_Stock'!BA7,BA7)+'Grid_Incoming'!BB7-'Grid_Requirement'!BB7</f>
        <v/>
      </c>
      <c r="BC7">
        <f>IF(INDEX(Cal_Weeks[MonthYearLabel],54)&lt;&gt;INDEX(Cal_Weeks[MonthYearLabel],53),'Grid_Stock'!BB7,BB7)+'Grid_Incoming'!BC7-'Grid_Requirement'!BC7</f>
        <v/>
      </c>
      <c r="BD7">
        <f>IF(INDEX(Cal_Weeks[MonthYearLabel],55)&lt;&gt;INDEX(Cal_Weeks[MonthYearLabel],54),'Grid_Stock'!BC7,BC7)+'Grid_Incoming'!BD7-'Grid_Requirement'!BD7</f>
        <v/>
      </c>
      <c r="BE7">
        <f>IF(INDEX(Cal_Weeks[MonthYearLabel],56)&lt;&gt;INDEX(Cal_Weeks[MonthYearLabel],55),'Grid_Stock'!BD7,BD7)+'Grid_Incoming'!BE7-'Grid_Requirement'!BE7</f>
        <v/>
      </c>
      <c r="BF7">
        <f>IF(INDEX(Cal_Weeks[MonthYearLabel],57)&lt;&gt;INDEX(Cal_Weeks[MonthYearLabel],56),'Grid_Stock'!BE7,BE7)+'Grid_Incoming'!BF7-'Grid_Requirement'!BF7</f>
        <v/>
      </c>
      <c r="BG7">
        <f>IF(INDEX(Cal_Weeks[MonthYearLabel],58)&lt;&gt;INDEX(Cal_Weeks[MonthYearLabel],57),'Grid_Stock'!BF7,BF7)+'Grid_Incoming'!BG7-'Grid_Requirement'!BG7</f>
        <v/>
      </c>
      <c r="BH7">
        <f>IF(INDEX(Cal_Weeks[MonthYearLabel],59)&lt;&gt;INDEX(Cal_Weeks[MonthYearLabel],58),'Grid_Stock'!BG7,BG7)+'Grid_Incoming'!BH7-'Grid_Requirement'!BH7</f>
        <v/>
      </c>
      <c r="BI7">
        <f>IF(INDEX(Cal_Weeks[MonthYearLabel],60)&lt;&gt;INDEX(Cal_Weeks[MonthYearLabel],59),'Grid_Stock'!BH7,BH7)+'Grid_Incoming'!BI7-'Grid_Requirement'!BI7</f>
        <v/>
      </c>
      <c r="BJ7">
        <f>IF(INDEX(Cal_Weeks[MonthYearLabel],61)&lt;&gt;INDEX(Cal_Weeks[MonthYearLabel],60),'Grid_Stock'!BI7,BI7)+'Grid_Incoming'!BJ7-'Grid_Requirement'!BJ7</f>
        <v/>
      </c>
      <c r="BK7">
        <f>IF(INDEX(Cal_Weeks[MonthYearLabel],62)&lt;&gt;INDEX(Cal_Weeks[MonthYearLabel],61),'Grid_Stock'!BJ7,BJ7)+'Grid_Incoming'!BK7-'Grid_Requirement'!BK7</f>
        <v/>
      </c>
      <c r="BL7">
        <f>IF(INDEX(Cal_Weeks[MonthYearLabel],63)&lt;&gt;INDEX(Cal_Weeks[MonthYearLabel],62),'Grid_Stock'!BK7,BK7)+'Grid_Incoming'!BL7-'Grid_Requirement'!BL7</f>
        <v/>
      </c>
      <c r="BM7">
        <f>IF(INDEX(Cal_Weeks[MonthYearLabel],64)&lt;&gt;INDEX(Cal_Weeks[MonthYearLabel],63),'Grid_Stock'!BL7,BL7)+'Grid_Incoming'!BM7-'Grid_Requirement'!BM7</f>
        <v/>
      </c>
      <c r="BN7">
        <f>IF(INDEX(Cal_Weeks[MonthYearLabel],65)&lt;&gt;INDEX(Cal_Weeks[MonthYearLabel],64),'Grid_Stock'!BM7,BM7)+'Grid_Incoming'!BN7-'Grid_Requirement'!BN7</f>
        <v/>
      </c>
      <c r="BO7">
        <f>IF(INDEX(Cal_Weeks[MonthYearLabel],66)&lt;&gt;INDEX(Cal_Weeks[MonthYearLabel],65),'Grid_Stock'!BN7,BN7)+'Grid_Incoming'!BO7-'Grid_Requirement'!BO7</f>
        <v/>
      </c>
      <c r="BP7">
        <f>IF(INDEX(Cal_Weeks[MonthYearLabel],67)&lt;&gt;INDEX(Cal_Weeks[MonthYearLabel],66),'Grid_Stock'!BO7,BO7)+'Grid_Incoming'!BP7-'Grid_Requirement'!BP7</f>
        <v/>
      </c>
      <c r="BQ7">
        <f>IF(INDEX(Cal_Weeks[MonthYearLabel],68)&lt;&gt;INDEX(Cal_Weeks[MonthYearLabel],67),'Grid_Stock'!BP7,BP7)+'Grid_Incoming'!BQ7-'Grid_Requirement'!BQ7</f>
        <v/>
      </c>
      <c r="BR7">
        <f>IF(INDEX(Cal_Weeks[MonthYearLabel],69)&lt;&gt;INDEX(Cal_Weeks[MonthYearLabel],68),'Grid_Stock'!BQ7,BQ7)+'Grid_Incoming'!BR7-'Grid_Requirement'!BR7</f>
        <v/>
      </c>
      <c r="BS7">
        <f>IF(INDEX(Cal_Weeks[MonthYearLabel],70)&lt;&gt;INDEX(Cal_Weeks[MonthYearLabel],69),'Grid_Stock'!BR7,BR7)+'Grid_Incoming'!BS7-'Grid_Requirement'!BS7</f>
        <v/>
      </c>
      <c r="BT7">
        <f>IF(INDEX(Cal_Weeks[MonthYearLabel],71)&lt;&gt;INDEX(Cal_Weeks[MonthYearLabel],70),'Grid_Stock'!BS7,BS7)+'Grid_Incoming'!BT7-'Grid_Requirement'!BT7</f>
        <v/>
      </c>
      <c r="BU7">
        <f>IF(INDEX(Cal_Weeks[MonthYearLabel],72)&lt;&gt;INDEX(Cal_Weeks[MonthYearLabel],71),'Grid_Stock'!BT7,BT7)+'Grid_Incoming'!BU7-'Grid_Requirement'!BU7</f>
        <v/>
      </c>
      <c r="BV7">
        <f>IF(INDEX(Cal_Weeks[MonthYearLabel],73)&lt;&gt;INDEX(Cal_Weeks[MonthYearLabel],72),'Grid_Stock'!BU7,BU7)+'Grid_Incoming'!BV7-'Grid_Requirement'!BV7</f>
        <v/>
      </c>
      <c r="BW7">
        <f>IF(INDEX(Cal_Weeks[MonthYearLabel],74)&lt;&gt;INDEX(Cal_Weeks[MonthYearLabel],73),'Grid_Stock'!BV7,BV7)+'Grid_Incoming'!BW7-'Grid_Requirement'!BW7</f>
        <v/>
      </c>
      <c r="BX7">
        <f>IF(INDEX(Cal_Weeks[MonthYearLabel],75)&lt;&gt;INDEX(Cal_Weeks[MonthYearLabel],74),'Grid_Stock'!BW7,BW7)+'Grid_Incoming'!BX7-'Grid_Requirement'!BX7</f>
        <v/>
      </c>
      <c r="BY7">
        <f>IF(INDEX(Cal_Weeks[MonthYearLabel],76)&lt;&gt;INDEX(Cal_Weeks[MonthYearLabel],75),'Grid_Stock'!BX7,BX7)+'Grid_Incoming'!BY7-'Grid_Requirement'!BY7</f>
        <v/>
      </c>
      <c r="BZ7">
        <f>IF(INDEX(Cal_Weeks[MonthYearLabel],77)&lt;&gt;INDEX(Cal_Weeks[MonthYearLabel],76),'Grid_Stock'!BY7,BY7)+'Grid_Incoming'!BZ7-'Grid_Requirement'!BZ7</f>
        <v/>
      </c>
      <c r="CA7">
        <f>IF(INDEX(Cal_Weeks[MonthYearLabel],78)&lt;&gt;INDEX(Cal_Weeks[MonthYearLabel],77),'Grid_Stock'!BZ7,BZ7)+'Grid_Incoming'!CA7-'Grid_Requirement'!CA7</f>
        <v/>
      </c>
      <c r="CB7">
        <f>IF(INDEX(Cal_Weeks[MonthYearLabel],79)&lt;&gt;INDEX(Cal_Weeks[MonthYearLabel],78),'Grid_Stock'!CA7,CA7)+'Grid_Incoming'!CB7-'Grid_Requirement'!CB7</f>
        <v/>
      </c>
      <c r="CC7">
        <f>IF(INDEX(Cal_Weeks[MonthYearLabel],80)&lt;&gt;INDEX(Cal_Weeks[MonthYearLabel],79),'Grid_Stock'!CB7,CB7)+'Grid_Incoming'!CC7-'Grid_Requirement'!CC7</f>
        <v/>
      </c>
      <c r="CD7">
        <f>IF(INDEX(Cal_Weeks[MonthYearLabel],81)&lt;&gt;INDEX(Cal_Weeks[MonthYearLabel],80),'Grid_Stock'!CC7,CC7)+'Grid_Incoming'!CD7-'Grid_Requirement'!CD7</f>
        <v/>
      </c>
      <c r="CE7">
        <f>IF(INDEX(Cal_Weeks[MonthYearLabel],82)&lt;&gt;INDEX(Cal_Weeks[MonthYearLabel],81),'Grid_Stock'!CD7,CD7)+'Grid_Incoming'!CE7-'Grid_Requirement'!CE7</f>
        <v/>
      </c>
      <c r="CF7">
        <f>IF(INDEX(Cal_Weeks[MonthYearLabel],83)&lt;&gt;INDEX(Cal_Weeks[MonthYearLabel],82),'Grid_Stock'!CE7,CE7)+'Grid_Incoming'!CF7-'Grid_Requirement'!CF7</f>
        <v/>
      </c>
      <c r="CG7">
        <f>IF(INDEX(Cal_Weeks[MonthYearLabel],84)&lt;&gt;INDEX(Cal_Weeks[MonthYearLabel],83),'Grid_Stock'!CF7,CF7)+'Grid_Incoming'!CG7-'Grid_Requirement'!CG7</f>
        <v/>
      </c>
      <c r="CH7">
        <f>IF(INDEX(Cal_Weeks[MonthYearLabel],85)&lt;&gt;INDEX(Cal_Weeks[MonthYearLabel],84),'Grid_Stock'!CG7,CG7)+'Grid_Incoming'!CH7-'Grid_Requirement'!CH7</f>
        <v/>
      </c>
      <c r="CI7">
        <f>IF(INDEX(Cal_Weeks[MonthYearLabel],86)&lt;&gt;INDEX(Cal_Weeks[MonthYearLabel],85),'Grid_Stock'!CH7,CH7)+'Grid_Incoming'!CI7-'Grid_Requirement'!CI7</f>
        <v/>
      </c>
      <c r="CJ7">
        <f>IF(INDEX(Cal_Weeks[MonthYearLabel],87)&lt;&gt;INDEX(Cal_Weeks[MonthYearLabel],86),'Grid_Stock'!CI7,CI7)+'Grid_Incoming'!CJ7-'Grid_Requirement'!CJ7</f>
        <v/>
      </c>
      <c r="CK7">
        <f>IF(INDEX(Cal_Weeks[MonthYearLabel],88)&lt;&gt;INDEX(Cal_Weeks[MonthYearLabel],87),'Grid_Stock'!CJ7,CJ7)+'Grid_Incoming'!CK7-'Grid_Requirement'!CK7</f>
        <v/>
      </c>
      <c r="CL7">
        <f>IF(INDEX(Cal_Weeks[MonthYearLabel],89)&lt;&gt;INDEX(Cal_Weeks[MonthYearLabel],88),'Grid_Stock'!CK7,CK7)+'Grid_Incoming'!CL7-'Grid_Requirement'!CL7</f>
        <v/>
      </c>
      <c r="CM7">
        <f>IF(INDEX(Cal_Weeks[MonthYearLabel],90)&lt;&gt;INDEX(Cal_Weeks[MonthYearLabel],89),'Grid_Stock'!CL7,CL7)+'Grid_Incoming'!CM7-'Grid_Requirement'!CM7</f>
        <v/>
      </c>
      <c r="CN7">
        <f>IF(INDEX(Cal_Weeks[MonthYearLabel],91)&lt;&gt;INDEX(Cal_Weeks[MonthYearLabel],90),'Grid_Stock'!CM7,CM7)+'Grid_Incoming'!CN7-'Grid_Requirement'!CN7</f>
        <v/>
      </c>
      <c r="CO7">
        <f>IF(INDEX(Cal_Weeks[MonthYearLabel],92)&lt;&gt;INDEX(Cal_Weeks[MonthYearLabel],91),'Grid_Stock'!CN7,CN7)+'Grid_Incoming'!CO7-'Grid_Requirement'!CO7</f>
        <v/>
      </c>
      <c r="CP7">
        <f>IF(INDEX(Cal_Weeks[MonthYearLabel],93)&lt;&gt;INDEX(Cal_Weeks[MonthYearLabel],92),'Grid_Stock'!CO7,CO7)+'Grid_Incoming'!CP7-'Grid_Requirement'!CP7</f>
        <v/>
      </c>
      <c r="CQ7">
        <f>IF(INDEX(Cal_Weeks[MonthYearLabel],94)&lt;&gt;INDEX(Cal_Weeks[MonthYearLabel],93),'Grid_Stock'!CP7,CP7)+'Grid_Incoming'!CQ7-'Grid_Requirement'!CQ7</f>
        <v/>
      </c>
      <c r="CR7">
        <f>IF(INDEX(Cal_Weeks[MonthYearLabel],95)&lt;&gt;INDEX(Cal_Weeks[MonthYearLabel],94),'Grid_Stock'!CQ7,CQ7)+'Grid_Incoming'!CR7-'Grid_Requirement'!CR7</f>
        <v/>
      </c>
      <c r="CS7">
        <f>IF(INDEX(Cal_Weeks[MonthYearLabel],96)&lt;&gt;INDEX(Cal_Weeks[MonthYearLabel],95),'Grid_Stock'!CR7,CR7)+'Grid_Incoming'!CS7-'Grid_Requirement'!CS7</f>
        <v/>
      </c>
      <c r="CT7">
        <f>IF(INDEX(Cal_Weeks[MonthYearLabel],97)&lt;&gt;INDEX(Cal_Weeks[MonthYearLabel],96),'Grid_Stock'!CS7,CS7)+'Grid_Incoming'!CT7-'Grid_Requirement'!CT7</f>
        <v/>
      </c>
      <c r="CU7">
        <f>IF(INDEX(Cal_Weeks[MonthYearLabel],98)&lt;&gt;INDEX(Cal_Weeks[MonthYearLabel],97),'Grid_Stock'!CT7,CT7)+'Grid_Incoming'!CU7-'Grid_Requirement'!CU7</f>
        <v/>
      </c>
      <c r="CV7">
        <f>IF(INDEX(Cal_Weeks[MonthYearLabel],99)&lt;&gt;INDEX(Cal_Weeks[MonthYearLabel],98),'Grid_Stock'!CU7,CU7)+'Grid_Incoming'!CV7-'Grid_Requirement'!CV7</f>
        <v/>
      </c>
      <c r="CW7">
        <f>IF(INDEX(Cal_Weeks[MonthYearLabel],100)&lt;&gt;INDEX(Cal_Weeks[MonthYearLabel],99),'Grid_Stock'!CV7,CV7)+'Grid_Incoming'!CW7-'Grid_Requirement'!CW7</f>
        <v/>
      </c>
      <c r="CX7">
        <f>IF(INDEX(Cal_Weeks[MonthYearLabel],101)&lt;&gt;INDEX(Cal_Weeks[MonthYearLabel],100),'Grid_Stock'!CW7,CW7)+'Grid_Incoming'!CX7-'Grid_Requirement'!CX7</f>
        <v/>
      </c>
      <c r="CY7">
        <f>IF(INDEX(Cal_Weeks[MonthYearLabel],102)&lt;&gt;INDEX(Cal_Weeks[MonthYearLabel],101),'Grid_Stock'!CX7,CX7)+'Grid_Incoming'!CY7-'Grid_Requirement'!CY7</f>
        <v/>
      </c>
      <c r="CZ7">
        <f>IF(INDEX(Cal_Weeks[MonthYearLabel],103)&lt;&gt;INDEX(Cal_Weeks[MonthYearLabel],102),'Grid_Stock'!CY7,CY7)+'Grid_Incoming'!CZ7-'Grid_Requirement'!CZ7</f>
        <v/>
      </c>
      <c r="DA7">
        <f>IF(INDEX(Cal_Weeks[MonthYearLabel],104)&lt;&gt;INDEX(Cal_Weeks[MonthYearLabel],103),'Grid_Stock'!CZ7,CZ7)+'Grid_Incoming'!DA7-'Grid_Requirement'!DA7</f>
        <v/>
      </c>
    </row>
    <row r="8">
      <c r="A8" t="inlineStr">
        <is>
          <t>TDJ</t>
        </is>
      </c>
      <c r="B8">
        <f>IFERROR(INDEX(T_OpeningStock[Opening_Qty_要入力],MATCH($A8,T_OpeningStock[Part Name],0)),0)+'Grid_Incoming'!B8-'Grid_Requirement'!B8</f>
        <v/>
      </c>
      <c r="C8">
        <f>IF(INDEX(Cal_Weeks[MonthYearLabel],2)&lt;&gt;INDEX(Cal_Weeks[MonthYearLabel],1),'Grid_Stock'!B8,B8)+'Grid_Incoming'!C8-'Grid_Requirement'!C8</f>
        <v/>
      </c>
      <c r="D8">
        <f>IF(INDEX(Cal_Weeks[MonthYearLabel],3)&lt;&gt;INDEX(Cal_Weeks[MonthYearLabel],2),'Grid_Stock'!C8,C8)+'Grid_Incoming'!D8-'Grid_Requirement'!D8</f>
        <v/>
      </c>
      <c r="E8">
        <f>IF(INDEX(Cal_Weeks[MonthYearLabel],4)&lt;&gt;INDEX(Cal_Weeks[MonthYearLabel],3),'Grid_Stock'!D8,D8)+'Grid_Incoming'!E8-'Grid_Requirement'!E8</f>
        <v/>
      </c>
      <c r="F8">
        <f>IF(INDEX(Cal_Weeks[MonthYearLabel],5)&lt;&gt;INDEX(Cal_Weeks[MonthYearLabel],4),'Grid_Stock'!E8,E8)+'Grid_Incoming'!F8-'Grid_Requirement'!F8</f>
        <v/>
      </c>
      <c r="G8">
        <f>IF(INDEX(Cal_Weeks[MonthYearLabel],6)&lt;&gt;INDEX(Cal_Weeks[MonthYearLabel],5),'Grid_Stock'!F8,F8)+'Grid_Incoming'!G8-'Grid_Requirement'!G8</f>
        <v/>
      </c>
      <c r="H8">
        <f>IF(INDEX(Cal_Weeks[MonthYearLabel],7)&lt;&gt;INDEX(Cal_Weeks[MonthYearLabel],6),'Grid_Stock'!G8,G8)+'Grid_Incoming'!H8-'Grid_Requirement'!H8</f>
        <v/>
      </c>
      <c r="I8">
        <f>IF(INDEX(Cal_Weeks[MonthYearLabel],8)&lt;&gt;INDEX(Cal_Weeks[MonthYearLabel],7),'Grid_Stock'!H8,H8)+'Grid_Incoming'!I8-'Grid_Requirement'!I8</f>
        <v/>
      </c>
      <c r="J8">
        <f>IF(INDEX(Cal_Weeks[MonthYearLabel],9)&lt;&gt;INDEX(Cal_Weeks[MonthYearLabel],8),'Grid_Stock'!I8,I8)+'Grid_Incoming'!J8-'Grid_Requirement'!J8</f>
        <v/>
      </c>
      <c r="K8">
        <f>IF(INDEX(Cal_Weeks[MonthYearLabel],10)&lt;&gt;INDEX(Cal_Weeks[MonthYearLabel],9),'Grid_Stock'!J8,J8)+'Grid_Incoming'!K8-'Grid_Requirement'!K8</f>
        <v/>
      </c>
      <c r="L8">
        <f>IF(INDEX(Cal_Weeks[MonthYearLabel],11)&lt;&gt;INDEX(Cal_Weeks[MonthYearLabel],10),'Grid_Stock'!K8,K8)+'Grid_Incoming'!L8-'Grid_Requirement'!L8</f>
        <v/>
      </c>
      <c r="M8">
        <f>IF(INDEX(Cal_Weeks[MonthYearLabel],12)&lt;&gt;INDEX(Cal_Weeks[MonthYearLabel],11),'Grid_Stock'!L8,L8)+'Grid_Incoming'!M8-'Grid_Requirement'!M8</f>
        <v/>
      </c>
      <c r="N8">
        <f>IF(INDEX(Cal_Weeks[MonthYearLabel],13)&lt;&gt;INDEX(Cal_Weeks[MonthYearLabel],12),'Grid_Stock'!M8,M8)+'Grid_Incoming'!N8-'Grid_Requirement'!N8</f>
        <v/>
      </c>
      <c r="O8">
        <f>IF(INDEX(Cal_Weeks[MonthYearLabel],14)&lt;&gt;INDEX(Cal_Weeks[MonthYearLabel],13),'Grid_Stock'!N8,N8)+'Grid_Incoming'!O8-'Grid_Requirement'!O8</f>
        <v/>
      </c>
      <c r="P8">
        <f>IF(INDEX(Cal_Weeks[MonthYearLabel],15)&lt;&gt;INDEX(Cal_Weeks[MonthYearLabel],14),'Grid_Stock'!O8,O8)+'Grid_Incoming'!P8-'Grid_Requirement'!P8</f>
        <v/>
      </c>
      <c r="Q8">
        <f>IF(INDEX(Cal_Weeks[MonthYearLabel],16)&lt;&gt;INDEX(Cal_Weeks[MonthYearLabel],15),'Grid_Stock'!P8,P8)+'Grid_Incoming'!Q8-'Grid_Requirement'!Q8</f>
        <v/>
      </c>
      <c r="R8">
        <f>IF(INDEX(Cal_Weeks[MonthYearLabel],17)&lt;&gt;INDEX(Cal_Weeks[MonthYearLabel],16),'Grid_Stock'!Q8,Q8)+'Grid_Incoming'!R8-'Grid_Requirement'!R8</f>
        <v/>
      </c>
      <c r="S8">
        <f>IF(INDEX(Cal_Weeks[MonthYearLabel],18)&lt;&gt;INDEX(Cal_Weeks[MonthYearLabel],17),'Grid_Stock'!R8,R8)+'Grid_Incoming'!S8-'Grid_Requirement'!S8</f>
        <v/>
      </c>
      <c r="T8">
        <f>IF(INDEX(Cal_Weeks[MonthYearLabel],19)&lt;&gt;INDEX(Cal_Weeks[MonthYearLabel],18),'Grid_Stock'!S8,S8)+'Grid_Incoming'!T8-'Grid_Requirement'!T8</f>
        <v/>
      </c>
      <c r="U8">
        <f>IF(INDEX(Cal_Weeks[MonthYearLabel],20)&lt;&gt;INDEX(Cal_Weeks[MonthYearLabel],19),'Grid_Stock'!T8,T8)+'Grid_Incoming'!U8-'Grid_Requirement'!U8</f>
        <v/>
      </c>
      <c r="V8">
        <f>IF(INDEX(Cal_Weeks[MonthYearLabel],21)&lt;&gt;INDEX(Cal_Weeks[MonthYearLabel],20),'Grid_Stock'!U8,U8)+'Grid_Incoming'!V8-'Grid_Requirement'!V8</f>
        <v/>
      </c>
      <c r="W8">
        <f>IF(INDEX(Cal_Weeks[MonthYearLabel],22)&lt;&gt;INDEX(Cal_Weeks[MonthYearLabel],21),'Grid_Stock'!V8,V8)+'Grid_Incoming'!W8-'Grid_Requirement'!W8</f>
        <v/>
      </c>
      <c r="X8">
        <f>IF(INDEX(Cal_Weeks[MonthYearLabel],23)&lt;&gt;INDEX(Cal_Weeks[MonthYearLabel],22),'Grid_Stock'!W8,W8)+'Grid_Incoming'!X8-'Grid_Requirement'!X8</f>
        <v/>
      </c>
      <c r="Y8">
        <f>IF(INDEX(Cal_Weeks[MonthYearLabel],24)&lt;&gt;INDEX(Cal_Weeks[MonthYearLabel],23),'Grid_Stock'!X8,X8)+'Grid_Incoming'!Y8-'Grid_Requirement'!Y8</f>
        <v/>
      </c>
      <c r="Z8">
        <f>IF(INDEX(Cal_Weeks[MonthYearLabel],25)&lt;&gt;INDEX(Cal_Weeks[MonthYearLabel],24),'Grid_Stock'!Y8,Y8)+'Grid_Incoming'!Z8-'Grid_Requirement'!Z8</f>
        <v/>
      </c>
      <c r="AA8">
        <f>IF(INDEX(Cal_Weeks[MonthYearLabel],26)&lt;&gt;INDEX(Cal_Weeks[MonthYearLabel],25),'Grid_Stock'!Z8,Z8)+'Grid_Incoming'!AA8-'Grid_Requirement'!AA8</f>
        <v/>
      </c>
      <c r="AB8">
        <f>IF(INDEX(Cal_Weeks[MonthYearLabel],27)&lt;&gt;INDEX(Cal_Weeks[MonthYearLabel],26),'Grid_Stock'!AA8,AA8)+'Grid_Incoming'!AB8-'Grid_Requirement'!AB8</f>
        <v/>
      </c>
      <c r="AC8">
        <f>IF(INDEX(Cal_Weeks[MonthYearLabel],28)&lt;&gt;INDEX(Cal_Weeks[MonthYearLabel],27),'Grid_Stock'!AB8,AB8)+'Grid_Incoming'!AC8-'Grid_Requirement'!AC8</f>
        <v/>
      </c>
      <c r="AD8">
        <f>IF(INDEX(Cal_Weeks[MonthYearLabel],29)&lt;&gt;INDEX(Cal_Weeks[MonthYearLabel],28),'Grid_Stock'!AC8,AC8)+'Grid_Incoming'!AD8-'Grid_Requirement'!AD8</f>
        <v/>
      </c>
      <c r="AE8">
        <f>IF(INDEX(Cal_Weeks[MonthYearLabel],30)&lt;&gt;INDEX(Cal_Weeks[MonthYearLabel],29),'Grid_Stock'!AD8,AD8)+'Grid_Incoming'!AE8-'Grid_Requirement'!AE8</f>
        <v/>
      </c>
      <c r="AF8">
        <f>IF(INDEX(Cal_Weeks[MonthYearLabel],31)&lt;&gt;INDEX(Cal_Weeks[MonthYearLabel],30),'Grid_Stock'!AE8,AE8)+'Grid_Incoming'!AF8-'Grid_Requirement'!AF8</f>
        <v/>
      </c>
      <c r="AG8">
        <f>IF(INDEX(Cal_Weeks[MonthYearLabel],32)&lt;&gt;INDEX(Cal_Weeks[MonthYearLabel],31),'Grid_Stock'!AF8,AF8)+'Grid_Incoming'!AG8-'Grid_Requirement'!AG8</f>
        <v/>
      </c>
      <c r="AH8">
        <f>IF(INDEX(Cal_Weeks[MonthYearLabel],33)&lt;&gt;INDEX(Cal_Weeks[MonthYearLabel],32),'Grid_Stock'!AG8,AG8)+'Grid_Incoming'!AH8-'Grid_Requirement'!AH8</f>
        <v/>
      </c>
      <c r="AI8">
        <f>IF(INDEX(Cal_Weeks[MonthYearLabel],34)&lt;&gt;INDEX(Cal_Weeks[MonthYearLabel],33),'Grid_Stock'!AH8,AH8)+'Grid_Incoming'!AI8-'Grid_Requirement'!AI8</f>
        <v/>
      </c>
      <c r="AJ8">
        <f>IF(INDEX(Cal_Weeks[MonthYearLabel],35)&lt;&gt;INDEX(Cal_Weeks[MonthYearLabel],34),'Grid_Stock'!AI8,AI8)+'Grid_Incoming'!AJ8-'Grid_Requirement'!AJ8</f>
        <v/>
      </c>
      <c r="AK8">
        <f>IF(INDEX(Cal_Weeks[MonthYearLabel],36)&lt;&gt;INDEX(Cal_Weeks[MonthYearLabel],35),'Grid_Stock'!AJ8,AJ8)+'Grid_Incoming'!AK8-'Grid_Requirement'!AK8</f>
        <v/>
      </c>
      <c r="AL8">
        <f>IF(INDEX(Cal_Weeks[MonthYearLabel],37)&lt;&gt;INDEX(Cal_Weeks[MonthYearLabel],36),'Grid_Stock'!AK8,AK8)+'Grid_Incoming'!AL8-'Grid_Requirement'!AL8</f>
        <v/>
      </c>
      <c r="AM8">
        <f>IF(INDEX(Cal_Weeks[MonthYearLabel],38)&lt;&gt;INDEX(Cal_Weeks[MonthYearLabel],37),'Grid_Stock'!AL8,AL8)+'Grid_Incoming'!AM8-'Grid_Requirement'!AM8</f>
        <v/>
      </c>
      <c r="AN8">
        <f>IF(INDEX(Cal_Weeks[MonthYearLabel],39)&lt;&gt;INDEX(Cal_Weeks[MonthYearLabel],38),'Grid_Stock'!AM8,AM8)+'Grid_Incoming'!AN8-'Grid_Requirement'!AN8</f>
        <v/>
      </c>
      <c r="AO8">
        <f>IF(INDEX(Cal_Weeks[MonthYearLabel],40)&lt;&gt;INDEX(Cal_Weeks[MonthYearLabel],39),'Grid_Stock'!AN8,AN8)+'Grid_Incoming'!AO8-'Grid_Requirement'!AO8</f>
        <v/>
      </c>
      <c r="AP8">
        <f>IF(INDEX(Cal_Weeks[MonthYearLabel],41)&lt;&gt;INDEX(Cal_Weeks[MonthYearLabel],40),'Grid_Stock'!AO8,AO8)+'Grid_Incoming'!AP8-'Grid_Requirement'!AP8</f>
        <v/>
      </c>
      <c r="AQ8">
        <f>IF(INDEX(Cal_Weeks[MonthYearLabel],42)&lt;&gt;INDEX(Cal_Weeks[MonthYearLabel],41),'Grid_Stock'!AP8,AP8)+'Grid_Incoming'!AQ8-'Grid_Requirement'!AQ8</f>
        <v/>
      </c>
      <c r="AR8">
        <f>IF(INDEX(Cal_Weeks[MonthYearLabel],43)&lt;&gt;INDEX(Cal_Weeks[MonthYearLabel],42),'Grid_Stock'!AQ8,AQ8)+'Grid_Incoming'!AR8-'Grid_Requirement'!AR8</f>
        <v/>
      </c>
      <c r="AS8">
        <f>IF(INDEX(Cal_Weeks[MonthYearLabel],44)&lt;&gt;INDEX(Cal_Weeks[MonthYearLabel],43),'Grid_Stock'!AR8,AR8)+'Grid_Incoming'!AS8-'Grid_Requirement'!AS8</f>
        <v/>
      </c>
      <c r="AT8">
        <f>IF(INDEX(Cal_Weeks[MonthYearLabel],45)&lt;&gt;INDEX(Cal_Weeks[MonthYearLabel],44),'Grid_Stock'!AS8,AS8)+'Grid_Incoming'!AT8-'Grid_Requirement'!AT8</f>
        <v/>
      </c>
      <c r="AU8">
        <f>IF(INDEX(Cal_Weeks[MonthYearLabel],46)&lt;&gt;INDEX(Cal_Weeks[MonthYearLabel],45),'Grid_Stock'!AT8,AT8)+'Grid_Incoming'!AU8-'Grid_Requirement'!AU8</f>
        <v/>
      </c>
      <c r="AV8">
        <f>IF(INDEX(Cal_Weeks[MonthYearLabel],47)&lt;&gt;INDEX(Cal_Weeks[MonthYearLabel],46),'Grid_Stock'!AU8,AU8)+'Grid_Incoming'!AV8-'Grid_Requirement'!AV8</f>
        <v/>
      </c>
      <c r="AW8">
        <f>IF(INDEX(Cal_Weeks[MonthYearLabel],48)&lt;&gt;INDEX(Cal_Weeks[MonthYearLabel],47),'Grid_Stock'!AV8,AV8)+'Grid_Incoming'!AW8-'Grid_Requirement'!AW8</f>
        <v/>
      </c>
      <c r="AX8">
        <f>IF(INDEX(Cal_Weeks[MonthYearLabel],49)&lt;&gt;INDEX(Cal_Weeks[MonthYearLabel],48),'Grid_Stock'!AW8,AW8)+'Grid_Incoming'!AX8-'Grid_Requirement'!AX8</f>
        <v/>
      </c>
      <c r="AY8">
        <f>IF(INDEX(Cal_Weeks[MonthYearLabel],50)&lt;&gt;INDEX(Cal_Weeks[MonthYearLabel],49),'Grid_Stock'!AX8,AX8)+'Grid_Incoming'!AY8-'Grid_Requirement'!AY8</f>
        <v/>
      </c>
      <c r="AZ8">
        <f>IF(INDEX(Cal_Weeks[MonthYearLabel],51)&lt;&gt;INDEX(Cal_Weeks[MonthYearLabel],50),'Grid_Stock'!AY8,AY8)+'Grid_Incoming'!AZ8-'Grid_Requirement'!AZ8</f>
        <v/>
      </c>
      <c r="BA8">
        <f>IF(INDEX(Cal_Weeks[MonthYearLabel],52)&lt;&gt;INDEX(Cal_Weeks[MonthYearLabel],51),'Grid_Stock'!AZ8,AZ8)+'Grid_Incoming'!BA8-'Grid_Requirement'!BA8</f>
        <v/>
      </c>
      <c r="BB8">
        <f>IF(INDEX(Cal_Weeks[MonthYearLabel],53)&lt;&gt;INDEX(Cal_Weeks[MonthYearLabel],52),'Grid_Stock'!BA8,BA8)+'Grid_Incoming'!BB8-'Grid_Requirement'!BB8</f>
        <v/>
      </c>
      <c r="BC8">
        <f>IF(INDEX(Cal_Weeks[MonthYearLabel],54)&lt;&gt;INDEX(Cal_Weeks[MonthYearLabel],53),'Grid_Stock'!BB8,BB8)+'Grid_Incoming'!BC8-'Grid_Requirement'!BC8</f>
        <v/>
      </c>
      <c r="BD8">
        <f>IF(INDEX(Cal_Weeks[MonthYearLabel],55)&lt;&gt;INDEX(Cal_Weeks[MonthYearLabel],54),'Grid_Stock'!BC8,BC8)+'Grid_Incoming'!BD8-'Grid_Requirement'!BD8</f>
        <v/>
      </c>
      <c r="BE8">
        <f>IF(INDEX(Cal_Weeks[MonthYearLabel],56)&lt;&gt;INDEX(Cal_Weeks[MonthYearLabel],55),'Grid_Stock'!BD8,BD8)+'Grid_Incoming'!BE8-'Grid_Requirement'!BE8</f>
        <v/>
      </c>
      <c r="BF8">
        <f>IF(INDEX(Cal_Weeks[MonthYearLabel],57)&lt;&gt;INDEX(Cal_Weeks[MonthYearLabel],56),'Grid_Stock'!BE8,BE8)+'Grid_Incoming'!BF8-'Grid_Requirement'!BF8</f>
        <v/>
      </c>
      <c r="BG8">
        <f>IF(INDEX(Cal_Weeks[MonthYearLabel],58)&lt;&gt;INDEX(Cal_Weeks[MonthYearLabel],57),'Grid_Stock'!BF8,BF8)+'Grid_Incoming'!BG8-'Grid_Requirement'!BG8</f>
        <v/>
      </c>
      <c r="BH8">
        <f>IF(INDEX(Cal_Weeks[MonthYearLabel],59)&lt;&gt;INDEX(Cal_Weeks[MonthYearLabel],58),'Grid_Stock'!BG8,BG8)+'Grid_Incoming'!BH8-'Grid_Requirement'!BH8</f>
        <v/>
      </c>
      <c r="BI8">
        <f>IF(INDEX(Cal_Weeks[MonthYearLabel],60)&lt;&gt;INDEX(Cal_Weeks[MonthYearLabel],59),'Grid_Stock'!BH8,BH8)+'Grid_Incoming'!BI8-'Grid_Requirement'!BI8</f>
        <v/>
      </c>
      <c r="BJ8">
        <f>IF(INDEX(Cal_Weeks[MonthYearLabel],61)&lt;&gt;INDEX(Cal_Weeks[MonthYearLabel],60),'Grid_Stock'!BI8,BI8)+'Grid_Incoming'!BJ8-'Grid_Requirement'!BJ8</f>
        <v/>
      </c>
      <c r="BK8">
        <f>IF(INDEX(Cal_Weeks[MonthYearLabel],62)&lt;&gt;INDEX(Cal_Weeks[MonthYearLabel],61),'Grid_Stock'!BJ8,BJ8)+'Grid_Incoming'!BK8-'Grid_Requirement'!BK8</f>
        <v/>
      </c>
      <c r="BL8">
        <f>IF(INDEX(Cal_Weeks[MonthYearLabel],63)&lt;&gt;INDEX(Cal_Weeks[MonthYearLabel],62),'Grid_Stock'!BK8,BK8)+'Grid_Incoming'!BL8-'Grid_Requirement'!BL8</f>
        <v/>
      </c>
      <c r="BM8">
        <f>IF(INDEX(Cal_Weeks[MonthYearLabel],64)&lt;&gt;INDEX(Cal_Weeks[MonthYearLabel],63),'Grid_Stock'!BL8,BL8)+'Grid_Incoming'!BM8-'Grid_Requirement'!BM8</f>
        <v/>
      </c>
      <c r="BN8">
        <f>IF(INDEX(Cal_Weeks[MonthYearLabel],65)&lt;&gt;INDEX(Cal_Weeks[MonthYearLabel],64),'Grid_Stock'!BM8,BM8)+'Grid_Incoming'!BN8-'Grid_Requirement'!BN8</f>
        <v/>
      </c>
      <c r="BO8">
        <f>IF(INDEX(Cal_Weeks[MonthYearLabel],66)&lt;&gt;INDEX(Cal_Weeks[MonthYearLabel],65),'Grid_Stock'!BN8,BN8)+'Grid_Incoming'!BO8-'Grid_Requirement'!BO8</f>
        <v/>
      </c>
      <c r="BP8">
        <f>IF(INDEX(Cal_Weeks[MonthYearLabel],67)&lt;&gt;INDEX(Cal_Weeks[MonthYearLabel],66),'Grid_Stock'!BO8,BO8)+'Grid_Incoming'!BP8-'Grid_Requirement'!BP8</f>
        <v/>
      </c>
      <c r="BQ8">
        <f>IF(INDEX(Cal_Weeks[MonthYearLabel],68)&lt;&gt;INDEX(Cal_Weeks[MonthYearLabel],67),'Grid_Stock'!BP8,BP8)+'Grid_Incoming'!BQ8-'Grid_Requirement'!BQ8</f>
        <v/>
      </c>
      <c r="BR8">
        <f>IF(INDEX(Cal_Weeks[MonthYearLabel],69)&lt;&gt;INDEX(Cal_Weeks[MonthYearLabel],68),'Grid_Stock'!BQ8,BQ8)+'Grid_Incoming'!BR8-'Grid_Requirement'!BR8</f>
        <v/>
      </c>
      <c r="BS8">
        <f>IF(INDEX(Cal_Weeks[MonthYearLabel],70)&lt;&gt;INDEX(Cal_Weeks[MonthYearLabel],69),'Grid_Stock'!BR8,BR8)+'Grid_Incoming'!BS8-'Grid_Requirement'!BS8</f>
        <v/>
      </c>
      <c r="BT8">
        <f>IF(INDEX(Cal_Weeks[MonthYearLabel],71)&lt;&gt;INDEX(Cal_Weeks[MonthYearLabel],70),'Grid_Stock'!BS8,BS8)+'Grid_Incoming'!BT8-'Grid_Requirement'!BT8</f>
        <v/>
      </c>
      <c r="BU8">
        <f>IF(INDEX(Cal_Weeks[MonthYearLabel],72)&lt;&gt;INDEX(Cal_Weeks[MonthYearLabel],71),'Grid_Stock'!BT8,BT8)+'Grid_Incoming'!BU8-'Grid_Requirement'!BU8</f>
        <v/>
      </c>
      <c r="BV8">
        <f>IF(INDEX(Cal_Weeks[MonthYearLabel],73)&lt;&gt;INDEX(Cal_Weeks[MonthYearLabel],72),'Grid_Stock'!BU8,BU8)+'Grid_Incoming'!BV8-'Grid_Requirement'!BV8</f>
        <v/>
      </c>
      <c r="BW8">
        <f>IF(INDEX(Cal_Weeks[MonthYearLabel],74)&lt;&gt;INDEX(Cal_Weeks[MonthYearLabel],73),'Grid_Stock'!BV8,BV8)+'Grid_Incoming'!BW8-'Grid_Requirement'!BW8</f>
        <v/>
      </c>
      <c r="BX8">
        <f>IF(INDEX(Cal_Weeks[MonthYearLabel],75)&lt;&gt;INDEX(Cal_Weeks[MonthYearLabel],74),'Grid_Stock'!BW8,BW8)+'Grid_Incoming'!BX8-'Grid_Requirement'!BX8</f>
        <v/>
      </c>
      <c r="BY8">
        <f>IF(INDEX(Cal_Weeks[MonthYearLabel],76)&lt;&gt;INDEX(Cal_Weeks[MonthYearLabel],75),'Grid_Stock'!BX8,BX8)+'Grid_Incoming'!BY8-'Grid_Requirement'!BY8</f>
        <v/>
      </c>
      <c r="BZ8">
        <f>IF(INDEX(Cal_Weeks[MonthYearLabel],77)&lt;&gt;INDEX(Cal_Weeks[MonthYearLabel],76),'Grid_Stock'!BY8,BY8)+'Grid_Incoming'!BZ8-'Grid_Requirement'!BZ8</f>
        <v/>
      </c>
      <c r="CA8">
        <f>IF(INDEX(Cal_Weeks[MonthYearLabel],78)&lt;&gt;INDEX(Cal_Weeks[MonthYearLabel],77),'Grid_Stock'!BZ8,BZ8)+'Grid_Incoming'!CA8-'Grid_Requirement'!CA8</f>
        <v/>
      </c>
      <c r="CB8">
        <f>IF(INDEX(Cal_Weeks[MonthYearLabel],79)&lt;&gt;INDEX(Cal_Weeks[MonthYearLabel],78),'Grid_Stock'!CA8,CA8)+'Grid_Incoming'!CB8-'Grid_Requirement'!CB8</f>
        <v/>
      </c>
      <c r="CC8">
        <f>IF(INDEX(Cal_Weeks[MonthYearLabel],80)&lt;&gt;INDEX(Cal_Weeks[MonthYearLabel],79),'Grid_Stock'!CB8,CB8)+'Grid_Incoming'!CC8-'Grid_Requirement'!CC8</f>
        <v/>
      </c>
      <c r="CD8">
        <f>IF(INDEX(Cal_Weeks[MonthYearLabel],81)&lt;&gt;INDEX(Cal_Weeks[MonthYearLabel],80),'Grid_Stock'!CC8,CC8)+'Grid_Incoming'!CD8-'Grid_Requirement'!CD8</f>
        <v/>
      </c>
      <c r="CE8">
        <f>IF(INDEX(Cal_Weeks[MonthYearLabel],82)&lt;&gt;INDEX(Cal_Weeks[MonthYearLabel],81),'Grid_Stock'!CD8,CD8)+'Grid_Incoming'!CE8-'Grid_Requirement'!CE8</f>
        <v/>
      </c>
      <c r="CF8">
        <f>IF(INDEX(Cal_Weeks[MonthYearLabel],83)&lt;&gt;INDEX(Cal_Weeks[MonthYearLabel],82),'Grid_Stock'!CE8,CE8)+'Grid_Incoming'!CF8-'Grid_Requirement'!CF8</f>
        <v/>
      </c>
      <c r="CG8">
        <f>IF(INDEX(Cal_Weeks[MonthYearLabel],84)&lt;&gt;INDEX(Cal_Weeks[MonthYearLabel],83),'Grid_Stock'!CF8,CF8)+'Grid_Incoming'!CG8-'Grid_Requirement'!CG8</f>
        <v/>
      </c>
      <c r="CH8">
        <f>IF(INDEX(Cal_Weeks[MonthYearLabel],85)&lt;&gt;INDEX(Cal_Weeks[MonthYearLabel],84),'Grid_Stock'!CG8,CG8)+'Grid_Incoming'!CH8-'Grid_Requirement'!CH8</f>
        <v/>
      </c>
      <c r="CI8">
        <f>IF(INDEX(Cal_Weeks[MonthYearLabel],86)&lt;&gt;INDEX(Cal_Weeks[MonthYearLabel],85),'Grid_Stock'!CH8,CH8)+'Grid_Incoming'!CI8-'Grid_Requirement'!CI8</f>
        <v/>
      </c>
      <c r="CJ8">
        <f>IF(INDEX(Cal_Weeks[MonthYearLabel],87)&lt;&gt;INDEX(Cal_Weeks[MonthYearLabel],86),'Grid_Stock'!CI8,CI8)+'Grid_Incoming'!CJ8-'Grid_Requirement'!CJ8</f>
        <v/>
      </c>
      <c r="CK8">
        <f>IF(INDEX(Cal_Weeks[MonthYearLabel],88)&lt;&gt;INDEX(Cal_Weeks[MonthYearLabel],87),'Grid_Stock'!CJ8,CJ8)+'Grid_Incoming'!CK8-'Grid_Requirement'!CK8</f>
        <v/>
      </c>
      <c r="CL8">
        <f>IF(INDEX(Cal_Weeks[MonthYearLabel],89)&lt;&gt;INDEX(Cal_Weeks[MonthYearLabel],88),'Grid_Stock'!CK8,CK8)+'Grid_Incoming'!CL8-'Grid_Requirement'!CL8</f>
        <v/>
      </c>
      <c r="CM8">
        <f>IF(INDEX(Cal_Weeks[MonthYearLabel],90)&lt;&gt;INDEX(Cal_Weeks[MonthYearLabel],89),'Grid_Stock'!CL8,CL8)+'Grid_Incoming'!CM8-'Grid_Requirement'!CM8</f>
        <v/>
      </c>
      <c r="CN8">
        <f>IF(INDEX(Cal_Weeks[MonthYearLabel],91)&lt;&gt;INDEX(Cal_Weeks[MonthYearLabel],90),'Grid_Stock'!CM8,CM8)+'Grid_Incoming'!CN8-'Grid_Requirement'!CN8</f>
        <v/>
      </c>
      <c r="CO8">
        <f>IF(INDEX(Cal_Weeks[MonthYearLabel],92)&lt;&gt;INDEX(Cal_Weeks[MonthYearLabel],91),'Grid_Stock'!CN8,CN8)+'Grid_Incoming'!CO8-'Grid_Requirement'!CO8</f>
        <v/>
      </c>
      <c r="CP8">
        <f>IF(INDEX(Cal_Weeks[MonthYearLabel],93)&lt;&gt;INDEX(Cal_Weeks[MonthYearLabel],92),'Grid_Stock'!CO8,CO8)+'Grid_Incoming'!CP8-'Grid_Requirement'!CP8</f>
        <v/>
      </c>
      <c r="CQ8">
        <f>IF(INDEX(Cal_Weeks[MonthYearLabel],94)&lt;&gt;INDEX(Cal_Weeks[MonthYearLabel],93),'Grid_Stock'!CP8,CP8)+'Grid_Incoming'!CQ8-'Grid_Requirement'!CQ8</f>
        <v/>
      </c>
      <c r="CR8">
        <f>IF(INDEX(Cal_Weeks[MonthYearLabel],95)&lt;&gt;INDEX(Cal_Weeks[MonthYearLabel],94),'Grid_Stock'!CQ8,CQ8)+'Grid_Incoming'!CR8-'Grid_Requirement'!CR8</f>
        <v/>
      </c>
      <c r="CS8">
        <f>IF(INDEX(Cal_Weeks[MonthYearLabel],96)&lt;&gt;INDEX(Cal_Weeks[MonthYearLabel],95),'Grid_Stock'!CR8,CR8)+'Grid_Incoming'!CS8-'Grid_Requirement'!CS8</f>
        <v/>
      </c>
      <c r="CT8">
        <f>IF(INDEX(Cal_Weeks[MonthYearLabel],97)&lt;&gt;INDEX(Cal_Weeks[MonthYearLabel],96),'Grid_Stock'!CS8,CS8)+'Grid_Incoming'!CT8-'Grid_Requirement'!CT8</f>
        <v/>
      </c>
      <c r="CU8">
        <f>IF(INDEX(Cal_Weeks[MonthYearLabel],98)&lt;&gt;INDEX(Cal_Weeks[MonthYearLabel],97),'Grid_Stock'!CT8,CT8)+'Grid_Incoming'!CU8-'Grid_Requirement'!CU8</f>
        <v/>
      </c>
      <c r="CV8">
        <f>IF(INDEX(Cal_Weeks[MonthYearLabel],99)&lt;&gt;INDEX(Cal_Weeks[MonthYearLabel],98),'Grid_Stock'!CU8,CU8)+'Grid_Incoming'!CV8-'Grid_Requirement'!CV8</f>
        <v/>
      </c>
      <c r="CW8">
        <f>IF(INDEX(Cal_Weeks[MonthYearLabel],100)&lt;&gt;INDEX(Cal_Weeks[MonthYearLabel],99),'Grid_Stock'!CV8,CV8)+'Grid_Incoming'!CW8-'Grid_Requirement'!CW8</f>
        <v/>
      </c>
      <c r="CX8">
        <f>IF(INDEX(Cal_Weeks[MonthYearLabel],101)&lt;&gt;INDEX(Cal_Weeks[MonthYearLabel],100),'Grid_Stock'!CW8,CW8)+'Grid_Incoming'!CX8-'Grid_Requirement'!CX8</f>
        <v/>
      </c>
      <c r="CY8">
        <f>IF(INDEX(Cal_Weeks[MonthYearLabel],102)&lt;&gt;INDEX(Cal_Weeks[MonthYearLabel],101),'Grid_Stock'!CX8,CX8)+'Grid_Incoming'!CY8-'Grid_Requirement'!CY8</f>
        <v/>
      </c>
      <c r="CZ8">
        <f>IF(INDEX(Cal_Weeks[MonthYearLabel],103)&lt;&gt;INDEX(Cal_Weeks[MonthYearLabel],102),'Grid_Stock'!CY8,CY8)+'Grid_Incoming'!CZ8-'Grid_Requirement'!CZ8</f>
        <v/>
      </c>
      <c r="DA8">
        <f>IF(INDEX(Cal_Weeks[MonthYearLabel],104)&lt;&gt;INDEX(Cal_Weeks[MonthYearLabel],103),'Grid_Stock'!CZ8,CZ8)+'Grid_Incoming'!DA8-'Grid_Requirement'!DA8</f>
        <v/>
      </c>
    </row>
    <row r="9">
      <c r="A9" t="inlineStr">
        <is>
          <t>3TP</t>
        </is>
      </c>
      <c r="B9">
        <f>IFERROR(INDEX(T_OpeningStock[Opening_Qty_要入力],MATCH($A9,T_OpeningStock[Part Name],0)),0)+'Grid_Incoming'!B9-'Grid_Requirement'!B9</f>
        <v/>
      </c>
      <c r="C9">
        <f>IF(INDEX(Cal_Weeks[MonthYearLabel],2)&lt;&gt;INDEX(Cal_Weeks[MonthYearLabel],1),'Grid_Stock'!B9,B9)+'Grid_Incoming'!C9-'Grid_Requirement'!C9</f>
        <v/>
      </c>
      <c r="D9">
        <f>IF(INDEX(Cal_Weeks[MonthYearLabel],3)&lt;&gt;INDEX(Cal_Weeks[MonthYearLabel],2),'Grid_Stock'!C9,C9)+'Grid_Incoming'!D9-'Grid_Requirement'!D9</f>
        <v/>
      </c>
      <c r="E9">
        <f>IF(INDEX(Cal_Weeks[MonthYearLabel],4)&lt;&gt;INDEX(Cal_Weeks[MonthYearLabel],3),'Grid_Stock'!D9,D9)+'Grid_Incoming'!E9-'Grid_Requirement'!E9</f>
        <v/>
      </c>
      <c r="F9">
        <f>IF(INDEX(Cal_Weeks[MonthYearLabel],5)&lt;&gt;INDEX(Cal_Weeks[MonthYearLabel],4),'Grid_Stock'!E9,E9)+'Grid_Incoming'!F9-'Grid_Requirement'!F9</f>
        <v/>
      </c>
      <c r="G9">
        <f>IF(INDEX(Cal_Weeks[MonthYearLabel],6)&lt;&gt;INDEX(Cal_Weeks[MonthYearLabel],5),'Grid_Stock'!F9,F9)+'Grid_Incoming'!G9-'Grid_Requirement'!G9</f>
        <v/>
      </c>
      <c r="H9">
        <f>IF(INDEX(Cal_Weeks[MonthYearLabel],7)&lt;&gt;INDEX(Cal_Weeks[MonthYearLabel],6),'Grid_Stock'!G9,G9)+'Grid_Incoming'!H9-'Grid_Requirement'!H9</f>
        <v/>
      </c>
      <c r="I9">
        <f>IF(INDEX(Cal_Weeks[MonthYearLabel],8)&lt;&gt;INDEX(Cal_Weeks[MonthYearLabel],7),'Grid_Stock'!H9,H9)+'Grid_Incoming'!I9-'Grid_Requirement'!I9</f>
        <v/>
      </c>
      <c r="J9">
        <f>IF(INDEX(Cal_Weeks[MonthYearLabel],9)&lt;&gt;INDEX(Cal_Weeks[MonthYearLabel],8),'Grid_Stock'!I9,I9)+'Grid_Incoming'!J9-'Grid_Requirement'!J9</f>
        <v/>
      </c>
      <c r="K9">
        <f>IF(INDEX(Cal_Weeks[MonthYearLabel],10)&lt;&gt;INDEX(Cal_Weeks[MonthYearLabel],9),'Grid_Stock'!J9,J9)+'Grid_Incoming'!K9-'Grid_Requirement'!K9</f>
        <v/>
      </c>
      <c r="L9">
        <f>IF(INDEX(Cal_Weeks[MonthYearLabel],11)&lt;&gt;INDEX(Cal_Weeks[MonthYearLabel],10),'Grid_Stock'!K9,K9)+'Grid_Incoming'!L9-'Grid_Requirement'!L9</f>
        <v/>
      </c>
      <c r="M9">
        <f>IF(INDEX(Cal_Weeks[MonthYearLabel],12)&lt;&gt;INDEX(Cal_Weeks[MonthYearLabel],11),'Grid_Stock'!L9,L9)+'Grid_Incoming'!M9-'Grid_Requirement'!M9</f>
        <v/>
      </c>
      <c r="N9">
        <f>IF(INDEX(Cal_Weeks[MonthYearLabel],13)&lt;&gt;INDEX(Cal_Weeks[MonthYearLabel],12),'Grid_Stock'!M9,M9)+'Grid_Incoming'!N9-'Grid_Requirement'!N9</f>
        <v/>
      </c>
      <c r="O9">
        <f>IF(INDEX(Cal_Weeks[MonthYearLabel],14)&lt;&gt;INDEX(Cal_Weeks[MonthYearLabel],13),'Grid_Stock'!N9,N9)+'Grid_Incoming'!O9-'Grid_Requirement'!O9</f>
        <v/>
      </c>
      <c r="P9">
        <f>IF(INDEX(Cal_Weeks[MonthYearLabel],15)&lt;&gt;INDEX(Cal_Weeks[MonthYearLabel],14),'Grid_Stock'!O9,O9)+'Grid_Incoming'!P9-'Grid_Requirement'!P9</f>
        <v/>
      </c>
      <c r="Q9">
        <f>IF(INDEX(Cal_Weeks[MonthYearLabel],16)&lt;&gt;INDEX(Cal_Weeks[MonthYearLabel],15),'Grid_Stock'!P9,P9)+'Grid_Incoming'!Q9-'Grid_Requirement'!Q9</f>
        <v/>
      </c>
      <c r="R9">
        <f>IF(INDEX(Cal_Weeks[MonthYearLabel],17)&lt;&gt;INDEX(Cal_Weeks[MonthYearLabel],16),'Grid_Stock'!Q9,Q9)+'Grid_Incoming'!R9-'Grid_Requirement'!R9</f>
        <v/>
      </c>
      <c r="S9">
        <f>IF(INDEX(Cal_Weeks[MonthYearLabel],18)&lt;&gt;INDEX(Cal_Weeks[MonthYearLabel],17),'Grid_Stock'!R9,R9)+'Grid_Incoming'!S9-'Grid_Requirement'!S9</f>
        <v/>
      </c>
      <c r="T9">
        <f>IF(INDEX(Cal_Weeks[MonthYearLabel],19)&lt;&gt;INDEX(Cal_Weeks[MonthYearLabel],18),'Grid_Stock'!S9,S9)+'Grid_Incoming'!T9-'Grid_Requirement'!T9</f>
        <v/>
      </c>
      <c r="U9">
        <f>IF(INDEX(Cal_Weeks[MonthYearLabel],20)&lt;&gt;INDEX(Cal_Weeks[MonthYearLabel],19),'Grid_Stock'!T9,T9)+'Grid_Incoming'!U9-'Grid_Requirement'!U9</f>
        <v/>
      </c>
      <c r="V9">
        <f>IF(INDEX(Cal_Weeks[MonthYearLabel],21)&lt;&gt;INDEX(Cal_Weeks[MonthYearLabel],20),'Grid_Stock'!U9,U9)+'Grid_Incoming'!V9-'Grid_Requirement'!V9</f>
        <v/>
      </c>
      <c r="W9">
        <f>IF(INDEX(Cal_Weeks[MonthYearLabel],22)&lt;&gt;INDEX(Cal_Weeks[MonthYearLabel],21),'Grid_Stock'!V9,V9)+'Grid_Incoming'!W9-'Grid_Requirement'!W9</f>
        <v/>
      </c>
      <c r="X9">
        <f>IF(INDEX(Cal_Weeks[MonthYearLabel],23)&lt;&gt;INDEX(Cal_Weeks[MonthYearLabel],22),'Grid_Stock'!W9,W9)+'Grid_Incoming'!X9-'Grid_Requirement'!X9</f>
        <v/>
      </c>
      <c r="Y9">
        <f>IF(INDEX(Cal_Weeks[MonthYearLabel],24)&lt;&gt;INDEX(Cal_Weeks[MonthYearLabel],23),'Grid_Stock'!X9,X9)+'Grid_Incoming'!Y9-'Grid_Requirement'!Y9</f>
        <v/>
      </c>
      <c r="Z9">
        <f>IF(INDEX(Cal_Weeks[MonthYearLabel],25)&lt;&gt;INDEX(Cal_Weeks[MonthYearLabel],24),'Grid_Stock'!Y9,Y9)+'Grid_Incoming'!Z9-'Grid_Requirement'!Z9</f>
        <v/>
      </c>
      <c r="AA9">
        <f>IF(INDEX(Cal_Weeks[MonthYearLabel],26)&lt;&gt;INDEX(Cal_Weeks[MonthYearLabel],25),'Grid_Stock'!Z9,Z9)+'Grid_Incoming'!AA9-'Grid_Requirement'!AA9</f>
        <v/>
      </c>
      <c r="AB9">
        <f>IF(INDEX(Cal_Weeks[MonthYearLabel],27)&lt;&gt;INDEX(Cal_Weeks[MonthYearLabel],26),'Grid_Stock'!AA9,AA9)+'Grid_Incoming'!AB9-'Grid_Requirement'!AB9</f>
        <v/>
      </c>
      <c r="AC9">
        <f>IF(INDEX(Cal_Weeks[MonthYearLabel],28)&lt;&gt;INDEX(Cal_Weeks[MonthYearLabel],27),'Grid_Stock'!AB9,AB9)+'Grid_Incoming'!AC9-'Grid_Requirement'!AC9</f>
        <v/>
      </c>
      <c r="AD9">
        <f>IF(INDEX(Cal_Weeks[MonthYearLabel],29)&lt;&gt;INDEX(Cal_Weeks[MonthYearLabel],28),'Grid_Stock'!AC9,AC9)+'Grid_Incoming'!AD9-'Grid_Requirement'!AD9</f>
        <v/>
      </c>
      <c r="AE9">
        <f>IF(INDEX(Cal_Weeks[MonthYearLabel],30)&lt;&gt;INDEX(Cal_Weeks[MonthYearLabel],29),'Grid_Stock'!AD9,AD9)+'Grid_Incoming'!AE9-'Grid_Requirement'!AE9</f>
        <v/>
      </c>
      <c r="AF9">
        <f>IF(INDEX(Cal_Weeks[MonthYearLabel],31)&lt;&gt;INDEX(Cal_Weeks[MonthYearLabel],30),'Grid_Stock'!AE9,AE9)+'Grid_Incoming'!AF9-'Grid_Requirement'!AF9</f>
        <v/>
      </c>
      <c r="AG9">
        <f>IF(INDEX(Cal_Weeks[MonthYearLabel],32)&lt;&gt;INDEX(Cal_Weeks[MonthYearLabel],31),'Grid_Stock'!AF9,AF9)+'Grid_Incoming'!AG9-'Grid_Requirement'!AG9</f>
        <v/>
      </c>
      <c r="AH9">
        <f>IF(INDEX(Cal_Weeks[MonthYearLabel],33)&lt;&gt;INDEX(Cal_Weeks[MonthYearLabel],32),'Grid_Stock'!AG9,AG9)+'Grid_Incoming'!AH9-'Grid_Requirement'!AH9</f>
        <v/>
      </c>
      <c r="AI9">
        <f>IF(INDEX(Cal_Weeks[MonthYearLabel],34)&lt;&gt;INDEX(Cal_Weeks[MonthYearLabel],33),'Grid_Stock'!AH9,AH9)+'Grid_Incoming'!AI9-'Grid_Requirement'!AI9</f>
        <v/>
      </c>
      <c r="AJ9">
        <f>IF(INDEX(Cal_Weeks[MonthYearLabel],35)&lt;&gt;INDEX(Cal_Weeks[MonthYearLabel],34),'Grid_Stock'!AI9,AI9)+'Grid_Incoming'!AJ9-'Grid_Requirement'!AJ9</f>
        <v/>
      </c>
      <c r="AK9">
        <f>IF(INDEX(Cal_Weeks[MonthYearLabel],36)&lt;&gt;INDEX(Cal_Weeks[MonthYearLabel],35),'Grid_Stock'!AJ9,AJ9)+'Grid_Incoming'!AK9-'Grid_Requirement'!AK9</f>
        <v/>
      </c>
      <c r="AL9">
        <f>IF(INDEX(Cal_Weeks[MonthYearLabel],37)&lt;&gt;INDEX(Cal_Weeks[MonthYearLabel],36),'Grid_Stock'!AK9,AK9)+'Grid_Incoming'!AL9-'Grid_Requirement'!AL9</f>
        <v/>
      </c>
      <c r="AM9">
        <f>IF(INDEX(Cal_Weeks[MonthYearLabel],38)&lt;&gt;INDEX(Cal_Weeks[MonthYearLabel],37),'Grid_Stock'!AL9,AL9)+'Grid_Incoming'!AM9-'Grid_Requirement'!AM9</f>
        <v/>
      </c>
      <c r="AN9">
        <f>IF(INDEX(Cal_Weeks[MonthYearLabel],39)&lt;&gt;INDEX(Cal_Weeks[MonthYearLabel],38),'Grid_Stock'!AM9,AM9)+'Grid_Incoming'!AN9-'Grid_Requirement'!AN9</f>
        <v/>
      </c>
      <c r="AO9">
        <f>IF(INDEX(Cal_Weeks[MonthYearLabel],40)&lt;&gt;INDEX(Cal_Weeks[MonthYearLabel],39),'Grid_Stock'!AN9,AN9)+'Grid_Incoming'!AO9-'Grid_Requirement'!AO9</f>
        <v/>
      </c>
      <c r="AP9">
        <f>IF(INDEX(Cal_Weeks[MonthYearLabel],41)&lt;&gt;INDEX(Cal_Weeks[MonthYearLabel],40),'Grid_Stock'!AO9,AO9)+'Grid_Incoming'!AP9-'Grid_Requirement'!AP9</f>
        <v/>
      </c>
      <c r="AQ9">
        <f>IF(INDEX(Cal_Weeks[MonthYearLabel],42)&lt;&gt;INDEX(Cal_Weeks[MonthYearLabel],41),'Grid_Stock'!AP9,AP9)+'Grid_Incoming'!AQ9-'Grid_Requirement'!AQ9</f>
        <v/>
      </c>
      <c r="AR9">
        <f>IF(INDEX(Cal_Weeks[MonthYearLabel],43)&lt;&gt;INDEX(Cal_Weeks[MonthYearLabel],42),'Grid_Stock'!AQ9,AQ9)+'Grid_Incoming'!AR9-'Grid_Requirement'!AR9</f>
        <v/>
      </c>
      <c r="AS9">
        <f>IF(INDEX(Cal_Weeks[MonthYearLabel],44)&lt;&gt;INDEX(Cal_Weeks[MonthYearLabel],43),'Grid_Stock'!AR9,AR9)+'Grid_Incoming'!AS9-'Grid_Requirement'!AS9</f>
        <v/>
      </c>
      <c r="AT9">
        <f>IF(INDEX(Cal_Weeks[MonthYearLabel],45)&lt;&gt;INDEX(Cal_Weeks[MonthYearLabel],44),'Grid_Stock'!AS9,AS9)+'Grid_Incoming'!AT9-'Grid_Requirement'!AT9</f>
        <v/>
      </c>
      <c r="AU9">
        <f>IF(INDEX(Cal_Weeks[MonthYearLabel],46)&lt;&gt;INDEX(Cal_Weeks[MonthYearLabel],45),'Grid_Stock'!AT9,AT9)+'Grid_Incoming'!AU9-'Grid_Requirement'!AU9</f>
        <v/>
      </c>
      <c r="AV9">
        <f>IF(INDEX(Cal_Weeks[MonthYearLabel],47)&lt;&gt;INDEX(Cal_Weeks[MonthYearLabel],46),'Grid_Stock'!AU9,AU9)+'Grid_Incoming'!AV9-'Grid_Requirement'!AV9</f>
        <v/>
      </c>
      <c r="AW9">
        <f>IF(INDEX(Cal_Weeks[MonthYearLabel],48)&lt;&gt;INDEX(Cal_Weeks[MonthYearLabel],47),'Grid_Stock'!AV9,AV9)+'Grid_Incoming'!AW9-'Grid_Requirement'!AW9</f>
        <v/>
      </c>
      <c r="AX9">
        <f>IF(INDEX(Cal_Weeks[MonthYearLabel],49)&lt;&gt;INDEX(Cal_Weeks[MonthYearLabel],48),'Grid_Stock'!AW9,AW9)+'Grid_Incoming'!AX9-'Grid_Requirement'!AX9</f>
        <v/>
      </c>
      <c r="AY9">
        <f>IF(INDEX(Cal_Weeks[MonthYearLabel],50)&lt;&gt;INDEX(Cal_Weeks[MonthYearLabel],49),'Grid_Stock'!AX9,AX9)+'Grid_Incoming'!AY9-'Grid_Requirement'!AY9</f>
        <v/>
      </c>
      <c r="AZ9">
        <f>IF(INDEX(Cal_Weeks[MonthYearLabel],51)&lt;&gt;INDEX(Cal_Weeks[MonthYearLabel],50),'Grid_Stock'!AY9,AY9)+'Grid_Incoming'!AZ9-'Grid_Requirement'!AZ9</f>
        <v/>
      </c>
      <c r="BA9">
        <f>IF(INDEX(Cal_Weeks[MonthYearLabel],52)&lt;&gt;INDEX(Cal_Weeks[MonthYearLabel],51),'Grid_Stock'!AZ9,AZ9)+'Grid_Incoming'!BA9-'Grid_Requirement'!BA9</f>
        <v/>
      </c>
      <c r="BB9">
        <f>IF(INDEX(Cal_Weeks[MonthYearLabel],53)&lt;&gt;INDEX(Cal_Weeks[MonthYearLabel],52),'Grid_Stock'!BA9,BA9)+'Grid_Incoming'!BB9-'Grid_Requirement'!BB9</f>
        <v/>
      </c>
      <c r="BC9">
        <f>IF(INDEX(Cal_Weeks[MonthYearLabel],54)&lt;&gt;INDEX(Cal_Weeks[MonthYearLabel],53),'Grid_Stock'!BB9,BB9)+'Grid_Incoming'!BC9-'Grid_Requirement'!BC9</f>
        <v/>
      </c>
      <c r="BD9">
        <f>IF(INDEX(Cal_Weeks[MonthYearLabel],55)&lt;&gt;INDEX(Cal_Weeks[MonthYearLabel],54),'Grid_Stock'!BC9,BC9)+'Grid_Incoming'!BD9-'Grid_Requirement'!BD9</f>
        <v/>
      </c>
      <c r="BE9">
        <f>IF(INDEX(Cal_Weeks[MonthYearLabel],56)&lt;&gt;INDEX(Cal_Weeks[MonthYearLabel],55),'Grid_Stock'!BD9,BD9)+'Grid_Incoming'!BE9-'Grid_Requirement'!BE9</f>
        <v/>
      </c>
      <c r="BF9">
        <f>IF(INDEX(Cal_Weeks[MonthYearLabel],57)&lt;&gt;INDEX(Cal_Weeks[MonthYearLabel],56),'Grid_Stock'!BE9,BE9)+'Grid_Incoming'!BF9-'Grid_Requirement'!BF9</f>
        <v/>
      </c>
      <c r="BG9">
        <f>IF(INDEX(Cal_Weeks[MonthYearLabel],58)&lt;&gt;INDEX(Cal_Weeks[MonthYearLabel],57),'Grid_Stock'!BF9,BF9)+'Grid_Incoming'!BG9-'Grid_Requirement'!BG9</f>
        <v/>
      </c>
      <c r="BH9">
        <f>IF(INDEX(Cal_Weeks[MonthYearLabel],59)&lt;&gt;INDEX(Cal_Weeks[MonthYearLabel],58),'Grid_Stock'!BG9,BG9)+'Grid_Incoming'!BH9-'Grid_Requirement'!BH9</f>
        <v/>
      </c>
      <c r="BI9">
        <f>IF(INDEX(Cal_Weeks[MonthYearLabel],60)&lt;&gt;INDEX(Cal_Weeks[MonthYearLabel],59),'Grid_Stock'!BH9,BH9)+'Grid_Incoming'!BI9-'Grid_Requirement'!BI9</f>
        <v/>
      </c>
      <c r="BJ9">
        <f>IF(INDEX(Cal_Weeks[MonthYearLabel],61)&lt;&gt;INDEX(Cal_Weeks[MonthYearLabel],60),'Grid_Stock'!BI9,BI9)+'Grid_Incoming'!BJ9-'Grid_Requirement'!BJ9</f>
        <v/>
      </c>
      <c r="BK9">
        <f>IF(INDEX(Cal_Weeks[MonthYearLabel],62)&lt;&gt;INDEX(Cal_Weeks[MonthYearLabel],61),'Grid_Stock'!BJ9,BJ9)+'Grid_Incoming'!BK9-'Grid_Requirement'!BK9</f>
        <v/>
      </c>
      <c r="BL9">
        <f>IF(INDEX(Cal_Weeks[MonthYearLabel],63)&lt;&gt;INDEX(Cal_Weeks[MonthYearLabel],62),'Grid_Stock'!BK9,BK9)+'Grid_Incoming'!BL9-'Grid_Requirement'!BL9</f>
        <v/>
      </c>
      <c r="BM9">
        <f>IF(INDEX(Cal_Weeks[MonthYearLabel],64)&lt;&gt;INDEX(Cal_Weeks[MonthYearLabel],63),'Grid_Stock'!BL9,BL9)+'Grid_Incoming'!BM9-'Grid_Requirement'!BM9</f>
        <v/>
      </c>
      <c r="BN9">
        <f>IF(INDEX(Cal_Weeks[MonthYearLabel],65)&lt;&gt;INDEX(Cal_Weeks[MonthYearLabel],64),'Grid_Stock'!BM9,BM9)+'Grid_Incoming'!BN9-'Grid_Requirement'!BN9</f>
        <v/>
      </c>
      <c r="BO9">
        <f>IF(INDEX(Cal_Weeks[MonthYearLabel],66)&lt;&gt;INDEX(Cal_Weeks[MonthYearLabel],65),'Grid_Stock'!BN9,BN9)+'Grid_Incoming'!BO9-'Grid_Requirement'!BO9</f>
        <v/>
      </c>
      <c r="BP9">
        <f>IF(INDEX(Cal_Weeks[MonthYearLabel],67)&lt;&gt;INDEX(Cal_Weeks[MonthYearLabel],66),'Grid_Stock'!BO9,BO9)+'Grid_Incoming'!BP9-'Grid_Requirement'!BP9</f>
        <v/>
      </c>
      <c r="BQ9">
        <f>IF(INDEX(Cal_Weeks[MonthYearLabel],68)&lt;&gt;INDEX(Cal_Weeks[MonthYearLabel],67),'Grid_Stock'!BP9,BP9)+'Grid_Incoming'!BQ9-'Grid_Requirement'!BQ9</f>
        <v/>
      </c>
      <c r="BR9">
        <f>IF(INDEX(Cal_Weeks[MonthYearLabel],69)&lt;&gt;INDEX(Cal_Weeks[MonthYearLabel],68),'Grid_Stock'!BQ9,BQ9)+'Grid_Incoming'!BR9-'Grid_Requirement'!BR9</f>
        <v/>
      </c>
      <c r="BS9">
        <f>IF(INDEX(Cal_Weeks[MonthYearLabel],70)&lt;&gt;INDEX(Cal_Weeks[MonthYearLabel],69),'Grid_Stock'!BR9,BR9)+'Grid_Incoming'!BS9-'Grid_Requirement'!BS9</f>
        <v/>
      </c>
      <c r="BT9">
        <f>IF(INDEX(Cal_Weeks[MonthYearLabel],71)&lt;&gt;INDEX(Cal_Weeks[MonthYearLabel],70),'Grid_Stock'!BS9,BS9)+'Grid_Incoming'!BT9-'Grid_Requirement'!BT9</f>
        <v/>
      </c>
      <c r="BU9">
        <f>IF(INDEX(Cal_Weeks[MonthYearLabel],72)&lt;&gt;INDEX(Cal_Weeks[MonthYearLabel],71),'Grid_Stock'!BT9,BT9)+'Grid_Incoming'!BU9-'Grid_Requirement'!BU9</f>
        <v/>
      </c>
      <c r="BV9">
        <f>IF(INDEX(Cal_Weeks[MonthYearLabel],73)&lt;&gt;INDEX(Cal_Weeks[MonthYearLabel],72),'Grid_Stock'!BU9,BU9)+'Grid_Incoming'!BV9-'Grid_Requirement'!BV9</f>
        <v/>
      </c>
      <c r="BW9">
        <f>IF(INDEX(Cal_Weeks[MonthYearLabel],74)&lt;&gt;INDEX(Cal_Weeks[MonthYearLabel],73),'Grid_Stock'!BV9,BV9)+'Grid_Incoming'!BW9-'Grid_Requirement'!BW9</f>
        <v/>
      </c>
      <c r="BX9">
        <f>IF(INDEX(Cal_Weeks[MonthYearLabel],75)&lt;&gt;INDEX(Cal_Weeks[MonthYearLabel],74),'Grid_Stock'!BW9,BW9)+'Grid_Incoming'!BX9-'Grid_Requirement'!BX9</f>
        <v/>
      </c>
      <c r="BY9">
        <f>IF(INDEX(Cal_Weeks[MonthYearLabel],76)&lt;&gt;INDEX(Cal_Weeks[MonthYearLabel],75),'Grid_Stock'!BX9,BX9)+'Grid_Incoming'!BY9-'Grid_Requirement'!BY9</f>
        <v/>
      </c>
      <c r="BZ9">
        <f>IF(INDEX(Cal_Weeks[MonthYearLabel],77)&lt;&gt;INDEX(Cal_Weeks[MonthYearLabel],76),'Grid_Stock'!BY9,BY9)+'Grid_Incoming'!BZ9-'Grid_Requirement'!BZ9</f>
        <v/>
      </c>
      <c r="CA9">
        <f>IF(INDEX(Cal_Weeks[MonthYearLabel],78)&lt;&gt;INDEX(Cal_Weeks[MonthYearLabel],77),'Grid_Stock'!BZ9,BZ9)+'Grid_Incoming'!CA9-'Grid_Requirement'!CA9</f>
        <v/>
      </c>
      <c r="CB9">
        <f>IF(INDEX(Cal_Weeks[MonthYearLabel],79)&lt;&gt;INDEX(Cal_Weeks[MonthYearLabel],78),'Grid_Stock'!CA9,CA9)+'Grid_Incoming'!CB9-'Grid_Requirement'!CB9</f>
        <v/>
      </c>
      <c r="CC9">
        <f>IF(INDEX(Cal_Weeks[MonthYearLabel],80)&lt;&gt;INDEX(Cal_Weeks[MonthYearLabel],79),'Grid_Stock'!CB9,CB9)+'Grid_Incoming'!CC9-'Grid_Requirement'!CC9</f>
        <v/>
      </c>
      <c r="CD9">
        <f>IF(INDEX(Cal_Weeks[MonthYearLabel],81)&lt;&gt;INDEX(Cal_Weeks[MonthYearLabel],80),'Grid_Stock'!CC9,CC9)+'Grid_Incoming'!CD9-'Grid_Requirement'!CD9</f>
        <v/>
      </c>
      <c r="CE9">
        <f>IF(INDEX(Cal_Weeks[MonthYearLabel],82)&lt;&gt;INDEX(Cal_Weeks[MonthYearLabel],81),'Grid_Stock'!CD9,CD9)+'Grid_Incoming'!CE9-'Grid_Requirement'!CE9</f>
        <v/>
      </c>
      <c r="CF9">
        <f>IF(INDEX(Cal_Weeks[MonthYearLabel],83)&lt;&gt;INDEX(Cal_Weeks[MonthYearLabel],82),'Grid_Stock'!CE9,CE9)+'Grid_Incoming'!CF9-'Grid_Requirement'!CF9</f>
        <v/>
      </c>
      <c r="CG9">
        <f>IF(INDEX(Cal_Weeks[MonthYearLabel],84)&lt;&gt;INDEX(Cal_Weeks[MonthYearLabel],83),'Grid_Stock'!CF9,CF9)+'Grid_Incoming'!CG9-'Grid_Requirement'!CG9</f>
        <v/>
      </c>
      <c r="CH9">
        <f>IF(INDEX(Cal_Weeks[MonthYearLabel],85)&lt;&gt;INDEX(Cal_Weeks[MonthYearLabel],84),'Grid_Stock'!CG9,CG9)+'Grid_Incoming'!CH9-'Grid_Requirement'!CH9</f>
        <v/>
      </c>
      <c r="CI9">
        <f>IF(INDEX(Cal_Weeks[MonthYearLabel],86)&lt;&gt;INDEX(Cal_Weeks[MonthYearLabel],85),'Grid_Stock'!CH9,CH9)+'Grid_Incoming'!CI9-'Grid_Requirement'!CI9</f>
        <v/>
      </c>
      <c r="CJ9">
        <f>IF(INDEX(Cal_Weeks[MonthYearLabel],87)&lt;&gt;INDEX(Cal_Weeks[MonthYearLabel],86),'Grid_Stock'!CI9,CI9)+'Grid_Incoming'!CJ9-'Grid_Requirement'!CJ9</f>
        <v/>
      </c>
      <c r="CK9">
        <f>IF(INDEX(Cal_Weeks[MonthYearLabel],88)&lt;&gt;INDEX(Cal_Weeks[MonthYearLabel],87),'Grid_Stock'!CJ9,CJ9)+'Grid_Incoming'!CK9-'Grid_Requirement'!CK9</f>
        <v/>
      </c>
      <c r="CL9">
        <f>IF(INDEX(Cal_Weeks[MonthYearLabel],89)&lt;&gt;INDEX(Cal_Weeks[MonthYearLabel],88),'Grid_Stock'!CK9,CK9)+'Grid_Incoming'!CL9-'Grid_Requirement'!CL9</f>
        <v/>
      </c>
      <c r="CM9">
        <f>IF(INDEX(Cal_Weeks[MonthYearLabel],90)&lt;&gt;INDEX(Cal_Weeks[MonthYearLabel],89),'Grid_Stock'!CL9,CL9)+'Grid_Incoming'!CM9-'Grid_Requirement'!CM9</f>
        <v/>
      </c>
      <c r="CN9">
        <f>IF(INDEX(Cal_Weeks[MonthYearLabel],91)&lt;&gt;INDEX(Cal_Weeks[MonthYearLabel],90),'Grid_Stock'!CM9,CM9)+'Grid_Incoming'!CN9-'Grid_Requirement'!CN9</f>
        <v/>
      </c>
      <c r="CO9">
        <f>IF(INDEX(Cal_Weeks[MonthYearLabel],92)&lt;&gt;INDEX(Cal_Weeks[MonthYearLabel],91),'Grid_Stock'!CN9,CN9)+'Grid_Incoming'!CO9-'Grid_Requirement'!CO9</f>
        <v/>
      </c>
      <c r="CP9">
        <f>IF(INDEX(Cal_Weeks[MonthYearLabel],93)&lt;&gt;INDEX(Cal_Weeks[MonthYearLabel],92),'Grid_Stock'!CO9,CO9)+'Grid_Incoming'!CP9-'Grid_Requirement'!CP9</f>
        <v/>
      </c>
      <c r="CQ9">
        <f>IF(INDEX(Cal_Weeks[MonthYearLabel],94)&lt;&gt;INDEX(Cal_Weeks[MonthYearLabel],93),'Grid_Stock'!CP9,CP9)+'Grid_Incoming'!CQ9-'Grid_Requirement'!CQ9</f>
        <v/>
      </c>
      <c r="CR9">
        <f>IF(INDEX(Cal_Weeks[MonthYearLabel],95)&lt;&gt;INDEX(Cal_Weeks[MonthYearLabel],94),'Grid_Stock'!CQ9,CQ9)+'Grid_Incoming'!CR9-'Grid_Requirement'!CR9</f>
        <v/>
      </c>
      <c r="CS9">
        <f>IF(INDEX(Cal_Weeks[MonthYearLabel],96)&lt;&gt;INDEX(Cal_Weeks[MonthYearLabel],95),'Grid_Stock'!CR9,CR9)+'Grid_Incoming'!CS9-'Grid_Requirement'!CS9</f>
        <v/>
      </c>
      <c r="CT9">
        <f>IF(INDEX(Cal_Weeks[MonthYearLabel],97)&lt;&gt;INDEX(Cal_Weeks[MonthYearLabel],96),'Grid_Stock'!CS9,CS9)+'Grid_Incoming'!CT9-'Grid_Requirement'!CT9</f>
        <v/>
      </c>
      <c r="CU9">
        <f>IF(INDEX(Cal_Weeks[MonthYearLabel],98)&lt;&gt;INDEX(Cal_Weeks[MonthYearLabel],97),'Grid_Stock'!CT9,CT9)+'Grid_Incoming'!CU9-'Grid_Requirement'!CU9</f>
        <v/>
      </c>
      <c r="CV9">
        <f>IF(INDEX(Cal_Weeks[MonthYearLabel],99)&lt;&gt;INDEX(Cal_Weeks[MonthYearLabel],98),'Grid_Stock'!CU9,CU9)+'Grid_Incoming'!CV9-'Grid_Requirement'!CV9</f>
        <v/>
      </c>
      <c r="CW9">
        <f>IF(INDEX(Cal_Weeks[MonthYearLabel],100)&lt;&gt;INDEX(Cal_Weeks[MonthYearLabel],99),'Grid_Stock'!CV9,CV9)+'Grid_Incoming'!CW9-'Grid_Requirement'!CW9</f>
        <v/>
      </c>
      <c r="CX9">
        <f>IF(INDEX(Cal_Weeks[MonthYearLabel],101)&lt;&gt;INDEX(Cal_Weeks[MonthYearLabel],100),'Grid_Stock'!CW9,CW9)+'Grid_Incoming'!CX9-'Grid_Requirement'!CX9</f>
        <v/>
      </c>
      <c r="CY9">
        <f>IF(INDEX(Cal_Weeks[MonthYearLabel],102)&lt;&gt;INDEX(Cal_Weeks[MonthYearLabel],101),'Grid_Stock'!CX9,CX9)+'Grid_Incoming'!CY9-'Grid_Requirement'!CY9</f>
        <v/>
      </c>
      <c r="CZ9">
        <f>IF(INDEX(Cal_Weeks[MonthYearLabel],103)&lt;&gt;INDEX(Cal_Weeks[MonthYearLabel],102),'Grid_Stock'!CY9,CY9)+'Grid_Incoming'!CZ9-'Grid_Requirement'!CZ9</f>
        <v/>
      </c>
      <c r="DA9">
        <f>IF(INDEX(Cal_Weeks[MonthYearLabel],104)&lt;&gt;INDEX(Cal_Weeks[MonthYearLabel],103),'Grid_Stock'!CZ9,CZ9)+'Grid_Incoming'!DA9-'Grid_Requirement'!DA9</f>
        <v/>
      </c>
    </row>
    <row r="10">
      <c r="A10" t="inlineStr">
        <is>
          <t>KEJ</t>
        </is>
      </c>
      <c r="B10">
        <f>IFERROR(INDEX(T_OpeningStock[Opening_Qty_要入力],MATCH($A10,T_OpeningStock[Part Name],0)),0)+'Grid_Incoming'!B10-'Grid_Requirement'!B10</f>
        <v/>
      </c>
      <c r="C10">
        <f>IF(INDEX(Cal_Weeks[MonthYearLabel],2)&lt;&gt;INDEX(Cal_Weeks[MonthYearLabel],1),'Grid_Stock'!B10,B10)+'Grid_Incoming'!C10-'Grid_Requirement'!C10</f>
        <v/>
      </c>
      <c r="D10">
        <f>IF(INDEX(Cal_Weeks[MonthYearLabel],3)&lt;&gt;INDEX(Cal_Weeks[MonthYearLabel],2),'Grid_Stock'!C10,C10)+'Grid_Incoming'!D10-'Grid_Requirement'!D10</f>
        <v/>
      </c>
      <c r="E10">
        <f>IF(INDEX(Cal_Weeks[MonthYearLabel],4)&lt;&gt;INDEX(Cal_Weeks[MonthYearLabel],3),'Grid_Stock'!D10,D10)+'Grid_Incoming'!E10-'Grid_Requirement'!E10</f>
        <v/>
      </c>
      <c r="F10">
        <f>IF(INDEX(Cal_Weeks[MonthYearLabel],5)&lt;&gt;INDEX(Cal_Weeks[MonthYearLabel],4),'Grid_Stock'!E10,E10)+'Grid_Incoming'!F10-'Grid_Requirement'!F10</f>
        <v/>
      </c>
      <c r="G10">
        <f>IF(INDEX(Cal_Weeks[MonthYearLabel],6)&lt;&gt;INDEX(Cal_Weeks[MonthYearLabel],5),'Grid_Stock'!F10,F10)+'Grid_Incoming'!G10-'Grid_Requirement'!G10</f>
        <v/>
      </c>
      <c r="H10">
        <f>IF(INDEX(Cal_Weeks[MonthYearLabel],7)&lt;&gt;INDEX(Cal_Weeks[MonthYearLabel],6),'Grid_Stock'!G10,G10)+'Grid_Incoming'!H10-'Grid_Requirement'!H10</f>
        <v/>
      </c>
      <c r="I10">
        <f>IF(INDEX(Cal_Weeks[MonthYearLabel],8)&lt;&gt;INDEX(Cal_Weeks[MonthYearLabel],7),'Grid_Stock'!H10,H10)+'Grid_Incoming'!I10-'Grid_Requirement'!I10</f>
        <v/>
      </c>
      <c r="J10">
        <f>IF(INDEX(Cal_Weeks[MonthYearLabel],9)&lt;&gt;INDEX(Cal_Weeks[MonthYearLabel],8),'Grid_Stock'!I10,I10)+'Grid_Incoming'!J10-'Grid_Requirement'!J10</f>
        <v/>
      </c>
      <c r="K10">
        <f>IF(INDEX(Cal_Weeks[MonthYearLabel],10)&lt;&gt;INDEX(Cal_Weeks[MonthYearLabel],9),'Grid_Stock'!J10,J10)+'Grid_Incoming'!K10-'Grid_Requirement'!K10</f>
        <v/>
      </c>
      <c r="L10">
        <f>IF(INDEX(Cal_Weeks[MonthYearLabel],11)&lt;&gt;INDEX(Cal_Weeks[MonthYearLabel],10),'Grid_Stock'!K10,K10)+'Grid_Incoming'!L10-'Grid_Requirement'!L10</f>
        <v/>
      </c>
      <c r="M10">
        <f>IF(INDEX(Cal_Weeks[MonthYearLabel],12)&lt;&gt;INDEX(Cal_Weeks[MonthYearLabel],11),'Grid_Stock'!L10,L10)+'Grid_Incoming'!M10-'Grid_Requirement'!M10</f>
        <v/>
      </c>
      <c r="N10">
        <f>IF(INDEX(Cal_Weeks[MonthYearLabel],13)&lt;&gt;INDEX(Cal_Weeks[MonthYearLabel],12),'Grid_Stock'!M10,M10)+'Grid_Incoming'!N10-'Grid_Requirement'!N10</f>
        <v/>
      </c>
      <c r="O10">
        <f>IF(INDEX(Cal_Weeks[MonthYearLabel],14)&lt;&gt;INDEX(Cal_Weeks[MonthYearLabel],13),'Grid_Stock'!N10,N10)+'Grid_Incoming'!O10-'Grid_Requirement'!O10</f>
        <v/>
      </c>
      <c r="P10">
        <f>IF(INDEX(Cal_Weeks[MonthYearLabel],15)&lt;&gt;INDEX(Cal_Weeks[MonthYearLabel],14),'Grid_Stock'!O10,O10)+'Grid_Incoming'!P10-'Grid_Requirement'!P10</f>
        <v/>
      </c>
      <c r="Q10">
        <f>IF(INDEX(Cal_Weeks[MonthYearLabel],16)&lt;&gt;INDEX(Cal_Weeks[MonthYearLabel],15),'Grid_Stock'!P10,P10)+'Grid_Incoming'!Q10-'Grid_Requirement'!Q10</f>
        <v/>
      </c>
      <c r="R10">
        <f>IF(INDEX(Cal_Weeks[MonthYearLabel],17)&lt;&gt;INDEX(Cal_Weeks[MonthYearLabel],16),'Grid_Stock'!Q10,Q10)+'Grid_Incoming'!R10-'Grid_Requirement'!R10</f>
        <v/>
      </c>
      <c r="S10">
        <f>IF(INDEX(Cal_Weeks[MonthYearLabel],18)&lt;&gt;INDEX(Cal_Weeks[MonthYearLabel],17),'Grid_Stock'!R10,R10)+'Grid_Incoming'!S10-'Grid_Requirement'!S10</f>
        <v/>
      </c>
      <c r="T10">
        <f>IF(INDEX(Cal_Weeks[MonthYearLabel],19)&lt;&gt;INDEX(Cal_Weeks[MonthYearLabel],18),'Grid_Stock'!S10,S10)+'Grid_Incoming'!T10-'Grid_Requirement'!T10</f>
        <v/>
      </c>
      <c r="U10">
        <f>IF(INDEX(Cal_Weeks[MonthYearLabel],20)&lt;&gt;INDEX(Cal_Weeks[MonthYearLabel],19),'Grid_Stock'!T10,T10)+'Grid_Incoming'!U10-'Grid_Requirement'!U10</f>
        <v/>
      </c>
      <c r="V10">
        <f>IF(INDEX(Cal_Weeks[MonthYearLabel],21)&lt;&gt;INDEX(Cal_Weeks[MonthYearLabel],20),'Grid_Stock'!U10,U10)+'Grid_Incoming'!V10-'Grid_Requirement'!V10</f>
        <v/>
      </c>
      <c r="W10">
        <f>IF(INDEX(Cal_Weeks[MonthYearLabel],22)&lt;&gt;INDEX(Cal_Weeks[MonthYearLabel],21),'Grid_Stock'!V10,V10)+'Grid_Incoming'!W10-'Grid_Requirement'!W10</f>
        <v/>
      </c>
      <c r="X10">
        <f>IF(INDEX(Cal_Weeks[MonthYearLabel],23)&lt;&gt;INDEX(Cal_Weeks[MonthYearLabel],22),'Grid_Stock'!W10,W10)+'Grid_Incoming'!X10-'Grid_Requirement'!X10</f>
        <v/>
      </c>
      <c r="Y10">
        <f>IF(INDEX(Cal_Weeks[MonthYearLabel],24)&lt;&gt;INDEX(Cal_Weeks[MonthYearLabel],23),'Grid_Stock'!X10,X10)+'Grid_Incoming'!Y10-'Grid_Requirement'!Y10</f>
        <v/>
      </c>
      <c r="Z10">
        <f>IF(INDEX(Cal_Weeks[MonthYearLabel],25)&lt;&gt;INDEX(Cal_Weeks[MonthYearLabel],24),'Grid_Stock'!Y10,Y10)+'Grid_Incoming'!Z10-'Grid_Requirement'!Z10</f>
        <v/>
      </c>
      <c r="AA10">
        <f>IF(INDEX(Cal_Weeks[MonthYearLabel],26)&lt;&gt;INDEX(Cal_Weeks[MonthYearLabel],25),'Grid_Stock'!Z10,Z10)+'Grid_Incoming'!AA10-'Grid_Requirement'!AA10</f>
        <v/>
      </c>
      <c r="AB10">
        <f>IF(INDEX(Cal_Weeks[MonthYearLabel],27)&lt;&gt;INDEX(Cal_Weeks[MonthYearLabel],26),'Grid_Stock'!AA10,AA10)+'Grid_Incoming'!AB10-'Grid_Requirement'!AB10</f>
        <v/>
      </c>
      <c r="AC10">
        <f>IF(INDEX(Cal_Weeks[MonthYearLabel],28)&lt;&gt;INDEX(Cal_Weeks[MonthYearLabel],27),'Grid_Stock'!AB10,AB10)+'Grid_Incoming'!AC10-'Grid_Requirement'!AC10</f>
        <v/>
      </c>
      <c r="AD10">
        <f>IF(INDEX(Cal_Weeks[MonthYearLabel],29)&lt;&gt;INDEX(Cal_Weeks[MonthYearLabel],28),'Grid_Stock'!AC10,AC10)+'Grid_Incoming'!AD10-'Grid_Requirement'!AD10</f>
        <v/>
      </c>
      <c r="AE10">
        <f>IF(INDEX(Cal_Weeks[MonthYearLabel],30)&lt;&gt;INDEX(Cal_Weeks[MonthYearLabel],29),'Grid_Stock'!AD10,AD10)+'Grid_Incoming'!AE10-'Grid_Requirement'!AE10</f>
        <v/>
      </c>
      <c r="AF10">
        <f>IF(INDEX(Cal_Weeks[MonthYearLabel],31)&lt;&gt;INDEX(Cal_Weeks[MonthYearLabel],30),'Grid_Stock'!AE10,AE10)+'Grid_Incoming'!AF10-'Grid_Requirement'!AF10</f>
        <v/>
      </c>
      <c r="AG10">
        <f>IF(INDEX(Cal_Weeks[MonthYearLabel],32)&lt;&gt;INDEX(Cal_Weeks[MonthYearLabel],31),'Grid_Stock'!AF10,AF10)+'Grid_Incoming'!AG10-'Grid_Requirement'!AG10</f>
        <v/>
      </c>
      <c r="AH10">
        <f>IF(INDEX(Cal_Weeks[MonthYearLabel],33)&lt;&gt;INDEX(Cal_Weeks[MonthYearLabel],32),'Grid_Stock'!AG10,AG10)+'Grid_Incoming'!AH10-'Grid_Requirement'!AH10</f>
        <v/>
      </c>
      <c r="AI10">
        <f>IF(INDEX(Cal_Weeks[MonthYearLabel],34)&lt;&gt;INDEX(Cal_Weeks[MonthYearLabel],33),'Grid_Stock'!AH10,AH10)+'Grid_Incoming'!AI10-'Grid_Requirement'!AI10</f>
        <v/>
      </c>
      <c r="AJ10">
        <f>IF(INDEX(Cal_Weeks[MonthYearLabel],35)&lt;&gt;INDEX(Cal_Weeks[MonthYearLabel],34),'Grid_Stock'!AI10,AI10)+'Grid_Incoming'!AJ10-'Grid_Requirement'!AJ10</f>
        <v/>
      </c>
      <c r="AK10">
        <f>IF(INDEX(Cal_Weeks[MonthYearLabel],36)&lt;&gt;INDEX(Cal_Weeks[MonthYearLabel],35),'Grid_Stock'!AJ10,AJ10)+'Grid_Incoming'!AK10-'Grid_Requirement'!AK10</f>
        <v/>
      </c>
      <c r="AL10">
        <f>IF(INDEX(Cal_Weeks[MonthYearLabel],37)&lt;&gt;INDEX(Cal_Weeks[MonthYearLabel],36),'Grid_Stock'!AK10,AK10)+'Grid_Incoming'!AL10-'Grid_Requirement'!AL10</f>
        <v/>
      </c>
      <c r="AM10">
        <f>IF(INDEX(Cal_Weeks[MonthYearLabel],38)&lt;&gt;INDEX(Cal_Weeks[MonthYearLabel],37),'Grid_Stock'!AL10,AL10)+'Grid_Incoming'!AM10-'Grid_Requirement'!AM10</f>
        <v/>
      </c>
      <c r="AN10">
        <f>IF(INDEX(Cal_Weeks[MonthYearLabel],39)&lt;&gt;INDEX(Cal_Weeks[MonthYearLabel],38),'Grid_Stock'!AM10,AM10)+'Grid_Incoming'!AN10-'Grid_Requirement'!AN10</f>
        <v/>
      </c>
      <c r="AO10">
        <f>IF(INDEX(Cal_Weeks[MonthYearLabel],40)&lt;&gt;INDEX(Cal_Weeks[MonthYearLabel],39),'Grid_Stock'!AN10,AN10)+'Grid_Incoming'!AO10-'Grid_Requirement'!AO10</f>
        <v/>
      </c>
      <c r="AP10">
        <f>IF(INDEX(Cal_Weeks[MonthYearLabel],41)&lt;&gt;INDEX(Cal_Weeks[MonthYearLabel],40),'Grid_Stock'!AO10,AO10)+'Grid_Incoming'!AP10-'Grid_Requirement'!AP10</f>
        <v/>
      </c>
      <c r="AQ10">
        <f>IF(INDEX(Cal_Weeks[MonthYearLabel],42)&lt;&gt;INDEX(Cal_Weeks[MonthYearLabel],41),'Grid_Stock'!AP10,AP10)+'Grid_Incoming'!AQ10-'Grid_Requirement'!AQ10</f>
        <v/>
      </c>
      <c r="AR10">
        <f>IF(INDEX(Cal_Weeks[MonthYearLabel],43)&lt;&gt;INDEX(Cal_Weeks[MonthYearLabel],42),'Grid_Stock'!AQ10,AQ10)+'Grid_Incoming'!AR10-'Grid_Requirement'!AR10</f>
        <v/>
      </c>
      <c r="AS10">
        <f>IF(INDEX(Cal_Weeks[MonthYearLabel],44)&lt;&gt;INDEX(Cal_Weeks[MonthYearLabel],43),'Grid_Stock'!AR10,AR10)+'Grid_Incoming'!AS10-'Grid_Requirement'!AS10</f>
        <v/>
      </c>
      <c r="AT10">
        <f>IF(INDEX(Cal_Weeks[MonthYearLabel],45)&lt;&gt;INDEX(Cal_Weeks[MonthYearLabel],44),'Grid_Stock'!AS10,AS10)+'Grid_Incoming'!AT10-'Grid_Requirement'!AT10</f>
        <v/>
      </c>
      <c r="AU10">
        <f>IF(INDEX(Cal_Weeks[MonthYearLabel],46)&lt;&gt;INDEX(Cal_Weeks[MonthYearLabel],45),'Grid_Stock'!AT10,AT10)+'Grid_Incoming'!AU10-'Grid_Requirement'!AU10</f>
        <v/>
      </c>
      <c r="AV10">
        <f>IF(INDEX(Cal_Weeks[MonthYearLabel],47)&lt;&gt;INDEX(Cal_Weeks[MonthYearLabel],46),'Grid_Stock'!AU10,AU10)+'Grid_Incoming'!AV10-'Grid_Requirement'!AV10</f>
        <v/>
      </c>
      <c r="AW10">
        <f>IF(INDEX(Cal_Weeks[MonthYearLabel],48)&lt;&gt;INDEX(Cal_Weeks[MonthYearLabel],47),'Grid_Stock'!AV10,AV10)+'Grid_Incoming'!AW10-'Grid_Requirement'!AW10</f>
        <v/>
      </c>
      <c r="AX10">
        <f>IF(INDEX(Cal_Weeks[MonthYearLabel],49)&lt;&gt;INDEX(Cal_Weeks[MonthYearLabel],48),'Grid_Stock'!AW10,AW10)+'Grid_Incoming'!AX10-'Grid_Requirement'!AX10</f>
        <v/>
      </c>
      <c r="AY10">
        <f>IF(INDEX(Cal_Weeks[MonthYearLabel],50)&lt;&gt;INDEX(Cal_Weeks[MonthYearLabel],49),'Grid_Stock'!AX10,AX10)+'Grid_Incoming'!AY10-'Grid_Requirement'!AY10</f>
        <v/>
      </c>
      <c r="AZ10">
        <f>IF(INDEX(Cal_Weeks[MonthYearLabel],51)&lt;&gt;INDEX(Cal_Weeks[MonthYearLabel],50),'Grid_Stock'!AY10,AY10)+'Grid_Incoming'!AZ10-'Grid_Requirement'!AZ10</f>
        <v/>
      </c>
      <c r="BA10">
        <f>IF(INDEX(Cal_Weeks[MonthYearLabel],52)&lt;&gt;INDEX(Cal_Weeks[MonthYearLabel],51),'Grid_Stock'!AZ10,AZ10)+'Grid_Incoming'!BA10-'Grid_Requirement'!BA10</f>
        <v/>
      </c>
      <c r="BB10">
        <f>IF(INDEX(Cal_Weeks[MonthYearLabel],53)&lt;&gt;INDEX(Cal_Weeks[MonthYearLabel],52),'Grid_Stock'!BA10,BA10)+'Grid_Incoming'!BB10-'Grid_Requirement'!BB10</f>
        <v/>
      </c>
      <c r="BC10">
        <f>IF(INDEX(Cal_Weeks[MonthYearLabel],54)&lt;&gt;INDEX(Cal_Weeks[MonthYearLabel],53),'Grid_Stock'!BB10,BB10)+'Grid_Incoming'!BC10-'Grid_Requirement'!BC10</f>
        <v/>
      </c>
      <c r="BD10">
        <f>IF(INDEX(Cal_Weeks[MonthYearLabel],55)&lt;&gt;INDEX(Cal_Weeks[MonthYearLabel],54),'Grid_Stock'!BC10,BC10)+'Grid_Incoming'!BD10-'Grid_Requirement'!BD10</f>
        <v/>
      </c>
      <c r="BE10">
        <f>IF(INDEX(Cal_Weeks[MonthYearLabel],56)&lt;&gt;INDEX(Cal_Weeks[MonthYearLabel],55),'Grid_Stock'!BD10,BD10)+'Grid_Incoming'!BE10-'Grid_Requirement'!BE10</f>
        <v/>
      </c>
      <c r="BF10">
        <f>IF(INDEX(Cal_Weeks[MonthYearLabel],57)&lt;&gt;INDEX(Cal_Weeks[MonthYearLabel],56),'Grid_Stock'!BE10,BE10)+'Grid_Incoming'!BF10-'Grid_Requirement'!BF10</f>
        <v/>
      </c>
      <c r="BG10">
        <f>IF(INDEX(Cal_Weeks[MonthYearLabel],58)&lt;&gt;INDEX(Cal_Weeks[MonthYearLabel],57),'Grid_Stock'!BF10,BF10)+'Grid_Incoming'!BG10-'Grid_Requirement'!BG10</f>
        <v/>
      </c>
      <c r="BH10">
        <f>IF(INDEX(Cal_Weeks[MonthYearLabel],59)&lt;&gt;INDEX(Cal_Weeks[MonthYearLabel],58),'Grid_Stock'!BG10,BG10)+'Grid_Incoming'!BH10-'Grid_Requirement'!BH10</f>
        <v/>
      </c>
      <c r="BI10">
        <f>IF(INDEX(Cal_Weeks[MonthYearLabel],60)&lt;&gt;INDEX(Cal_Weeks[MonthYearLabel],59),'Grid_Stock'!BH10,BH10)+'Grid_Incoming'!BI10-'Grid_Requirement'!BI10</f>
        <v/>
      </c>
      <c r="BJ10">
        <f>IF(INDEX(Cal_Weeks[MonthYearLabel],61)&lt;&gt;INDEX(Cal_Weeks[MonthYearLabel],60),'Grid_Stock'!BI10,BI10)+'Grid_Incoming'!BJ10-'Grid_Requirement'!BJ10</f>
        <v/>
      </c>
      <c r="BK10">
        <f>IF(INDEX(Cal_Weeks[MonthYearLabel],62)&lt;&gt;INDEX(Cal_Weeks[MonthYearLabel],61),'Grid_Stock'!BJ10,BJ10)+'Grid_Incoming'!BK10-'Grid_Requirement'!BK10</f>
        <v/>
      </c>
      <c r="BL10">
        <f>IF(INDEX(Cal_Weeks[MonthYearLabel],63)&lt;&gt;INDEX(Cal_Weeks[MonthYearLabel],62),'Grid_Stock'!BK10,BK10)+'Grid_Incoming'!BL10-'Grid_Requirement'!BL10</f>
        <v/>
      </c>
      <c r="BM10">
        <f>IF(INDEX(Cal_Weeks[MonthYearLabel],64)&lt;&gt;INDEX(Cal_Weeks[MonthYearLabel],63),'Grid_Stock'!BL10,BL10)+'Grid_Incoming'!BM10-'Grid_Requirement'!BM10</f>
        <v/>
      </c>
      <c r="BN10">
        <f>IF(INDEX(Cal_Weeks[MonthYearLabel],65)&lt;&gt;INDEX(Cal_Weeks[MonthYearLabel],64),'Grid_Stock'!BM10,BM10)+'Grid_Incoming'!BN10-'Grid_Requirement'!BN10</f>
        <v/>
      </c>
      <c r="BO10">
        <f>IF(INDEX(Cal_Weeks[MonthYearLabel],66)&lt;&gt;INDEX(Cal_Weeks[MonthYearLabel],65),'Grid_Stock'!BN10,BN10)+'Grid_Incoming'!BO10-'Grid_Requirement'!BO10</f>
        <v/>
      </c>
      <c r="BP10">
        <f>IF(INDEX(Cal_Weeks[MonthYearLabel],67)&lt;&gt;INDEX(Cal_Weeks[MonthYearLabel],66),'Grid_Stock'!BO10,BO10)+'Grid_Incoming'!BP10-'Grid_Requirement'!BP10</f>
        <v/>
      </c>
      <c r="BQ10">
        <f>IF(INDEX(Cal_Weeks[MonthYearLabel],68)&lt;&gt;INDEX(Cal_Weeks[MonthYearLabel],67),'Grid_Stock'!BP10,BP10)+'Grid_Incoming'!BQ10-'Grid_Requirement'!BQ10</f>
        <v/>
      </c>
      <c r="BR10">
        <f>IF(INDEX(Cal_Weeks[MonthYearLabel],69)&lt;&gt;INDEX(Cal_Weeks[MonthYearLabel],68),'Grid_Stock'!BQ10,BQ10)+'Grid_Incoming'!BR10-'Grid_Requirement'!BR10</f>
        <v/>
      </c>
      <c r="BS10">
        <f>IF(INDEX(Cal_Weeks[MonthYearLabel],70)&lt;&gt;INDEX(Cal_Weeks[MonthYearLabel],69),'Grid_Stock'!BR10,BR10)+'Grid_Incoming'!BS10-'Grid_Requirement'!BS10</f>
        <v/>
      </c>
      <c r="BT10">
        <f>IF(INDEX(Cal_Weeks[MonthYearLabel],71)&lt;&gt;INDEX(Cal_Weeks[MonthYearLabel],70),'Grid_Stock'!BS10,BS10)+'Grid_Incoming'!BT10-'Grid_Requirement'!BT10</f>
        <v/>
      </c>
      <c r="BU10">
        <f>IF(INDEX(Cal_Weeks[MonthYearLabel],72)&lt;&gt;INDEX(Cal_Weeks[MonthYearLabel],71),'Grid_Stock'!BT10,BT10)+'Grid_Incoming'!BU10-'Grid_Requirement'!BU10</f>
        <v/>
      </c>
      <c r="BV10">
        <f>IF(INDEX(Cal_Weeks[MonthYearLabel],73)&lt;&gt;INDEX(Cal_Weeks[MonthYearLabel],72),'Grid_Stock'!BU10,BU10)+'Grid_Incoming'!BV10-'Grid_Requirement'!BV10</f>
        <v/>
      </c>
      <c r="BW10">
        <f>IF(INDEX(Cal_Weeks[MonthYearLabel],74)&lt;&gt;INDEX(Cal_Weeks[MonthYearLabel],73),'Grid_Stock'!BV10,BV10)+'Grid_Incoming'!BW10-'Grid_Requirement'!BW10</f>
        <v/>
      </c>
      <c r="BX10">
        <f>IF(INDEX(Cal_Weeks[MonthYearLabel],75)&lt;&gt;INDEX(Cal_Weeks[MonthYearLabel],74),'Grid_Stock'!BW10,BW10)+'Grid_Incoming'!BX10-'Grid_Requirement'!BX10</f>
        <v/>
      </c>
      <c r="BY10">
        <f>IF(INDEX(Cal_Weeks[MonthYearLabel],76)&lt;&gt;INDEX(Cal_Weeks[MonthYearLabel],75),'Grid_Stock'!BX10,BX10)+'Grid_Incoming'!BY10-'Grid_Requirement'!BY10</f>
        <v/>
      </c>
      <c r="BZ10">
        <f>IF(INDEX(Cal_Weeks[MonthYearLabel],77)&lt;&gt;INDEX(Cal_Weeks[MonthYearLabel],76),'Grid_Stock'!BY10,BY10)+'Grid_Incoming'!BZ10-'Grid_Requirement'!BZ10</f>
        <v/>
      </c>
      <c r="CA10">
        <f>IF(INDEX(Cal_Weeks[MonthYearLabel],78)&lt;&gt;INDEX(Cal_Weeks[MonthYearLabel],77),'Grid_Stock'!BZ10,BZ10)+'Grid_Incoming'!CA10-'Grid_Requirement'!CA10</f>
        <v/>
      </c>
      <c r="CB10">
        <f>IF(INDEX(Cal_Weeks[MonthYearLabel],79)&lt;&gt;INDEX(Cal_Weeks[MonthYearLabel],78),'Grid_Stock'!CA10,CA10)+'Grid_Incoming'!CB10-'Grid_Requirement'!CB10</f>
        <v/>
      </c>
      <c r="CC10">
        <f>IF(INDEX(Cal_Weeks[MonthYearLabel],80)&lt;&gt;INDEX(Cal_Weeks[MonthYearLabel],79),'Grid_Stock'!CB10,CB10)+'Grid_Incoming'!CC10-'Grid_Requirement'!CC10</f>
        <v/>
      </c>
      <c r="CD10">
        <f>IF(INDEX(Cal_Weeks[MonthYearLabel],81)&lt;&gt;INDEX(Cal_Weeks[MonthYearLabel],80),'Grid_Stock'!CC10,CC10)+'Grid_Incoming'!CD10-'Grid_Requirement'!CD10</f>
        <v/>
      </c>
      <c r="CE10">
        <f>IF(INDEX(Cal_Weeks[MonthYearLabel],82)&lt;&gt;INDEX(Cal_Weeks[MonthYearLabel],81),'Grid_Stock'!CD10,CD10)+'Grid_Incoming'!CE10-'Grid_Requirement'!CE10</f>
        <v/>
      </c>
      <c r="CF10">
        <f>IF(INDEX(Cal_Weeks[MonthYearLabel],83)&lt;&gt;INDEX(Cal_Weeks[MonthYearLabel],82),'Grid_Stock'!CE10,CE10)+'Grid_Incoming'!CF10-'Grid_Requirement'!CF10</f>
        <v/>
      </c>
      <c r="CG10">
        <f>IF(INDEX(Cal_Weeks[MonthYearLabel],84)&lt;&gt;INDEX(Cal_Weeks[MonthYearLabel],83),'Grid_Stock'!CF10,CF10)+'Grid_Incoming'!CG10-'Grid_Requirement'!CG10</f>
        <v/>
      </c>
      <c r="CH10">
        <f>IF(INDEX(Cal_Weeks[MonthYearLabel],85)&lt;&gt;INDEX(Cal_Weeks[MonthYearLabel],84),'Grid_Stock'!CG10,CG10)+'Grid_Incoming'!CH10-'Grid_Requirement'!CH10</f>
        <v/>
      </c>
      <c r="CI10">
        <f>IF(INDEX(Cal_Weeks[MonthYearLabel],86)&lt;&gt;INDEX(Cal_Weeks[MonthYearLabel],85),'Grid_Stock'!CH10,CH10)+'Grid_Incoming'!CI10-'Grid_Requirement'!CI10</f>
        <v/>
      </c>
      <c r="CJ10">
        <f>IF(INDEX(Cal_Weeks[MonthYearLabel],87)&lt;&gt;INDEX(Cal_Weeks[MonthYearLabel],86),'Grid_Stock'!CI10,CI10)+'Grid_Incoming'!CJ10-'Grid_Requirement'!CJ10</f>
        <v/>
      </c>
      <c r="CK10">
        <f>IF(INDEX(Cal_Weeks[MonthYearLabel],88)&lt;&gt;INDEX(Cal_Weeks[MonthYearLabel],87),'Grid_Stock'!CJ10,CJ10)+'Grid_Incoming'!CK10-'Grid_Requirement'!CK10</f>
        <v/>
      </c>
      <c r="CL10">
        <f>IF(INDEX(Cal_Weeks[MonthYearLabel],89)&lt;&gt;INDEX(Cal_Weeks[MonthYearLabel],88),'Grid_Stock'!CK10,CK10)+'Grid_Incoming'!CL10-'Grid_Requirement'!CL10</f>
        <v/>
      </c>
      <c r="CM10">
        <f>IF(INDEX(Cal_Weeks[MonthYearLabel],90)&lt;&gt;INDEX(Cal_Weeks[MonthYearLabel],89),'Grid_Stock'!CL10,CL10)+'Grid_Incoming'!CM10-'Grid_Requirement'!CM10</f>
        <v/>
      </c>
      <c r="CN10">
        <f>IF(INDEX(Cal_Weeks[MonthYearLabel],91)&lt;&gt;INDEX(Cal_Weeks[MonthYearLabel],90),'Grid_Stock'!CM10,CM10)+'Grid_Incoming'!CN10-'Grid_Requirement'!CN10</f>
        <v/>
      </c>
      <c r="CO10">
        <f>IF(INDEX(Cal_Weeks[MonthYearLabel],92)&lt;&gt;INDEX(Cal_Weeks[MonthYearLabel],91),'Grid_Stock'!CN10,CN10)+'Grid_Incoming'!CO10-'Grid_Requirement'!CO10</f>
        <v/>
      </c>
      <c r="CP10">
        <f>IF(INDEX(Cal_Weeks[MonthYearLabel],93)&lt;&gt;INDEX(Cal_Weeks[MonthYearLabel],92),'Grid_Stock'!CO10,CO10)+'Grid_Incoming'!CP10-'Grid_Requirement'!CP10</f>
        <v/>
      </c>
      <c r="CQ10">
        <f>IF(INDEX(Cal_Weeks[MonthYearLabel],94)&lt;&gt;INDEX(Cal_Weeks[MonthYearLabel],93),'Grid_Stock'!CP10,CP10)+'Grid_Incoming'!CQ10-'Grid_Requirement'!CQ10</f>
        <v/>
      </c>
      <c r="CR10">
        <f>IF(INDEX(Cal_Weeks[MonthYearLabel],95)&lt;&gt;INDEX(Cal_Weeks[MonthYearLabel],94),'Grid_Stock'!CQ10,CQ10)+'Grid_Incoming'!CR10-'Grid_Requirement'!CR10</f>
        <v/>
      </c>
      <c r="CS10">
        <f>IF(INDEX(Cal_Weeks[MonthYearLabel],96)&lt;&gt;INDEX(Cal_Weeks[MonthYearLabel],95),'Grid_Stock'!CR10,CR10)+'Grid_Incoming'!CS10-'Grid_Requirement'!CS10</f>
        <v/>
      </c>
      <c r="CT10">
        <f>IF(INDEX(Cal_Weeks[MonthYearLabel],97)&lt;&gt;INDEX(Cal_Weeks[MonthYearLabel],96),'Grid_Stock'!CS10,CS10)+'Grid_Incoming'!CT10-'Grid_Requirement'!CT10</f>
        <v/>
      </c>
      <c r="CU10">
        <f>IF(INDEX(Cal_Weeks[MonthYearLabel],98)&lt;&gt;INDEX(Cal_Weeks[MonthYearLabel],97),'Grid_Stock'!CT10,CT10)+'Grid_Incoming'!CU10-'Grid_Requirement'!CU10</f>
        <v/>
      </c>
      <c r="CV10">
        <f>IF(INDEX(Cal_Weeks[MonthYearLabel],99)&lt;&gt;INDEX(Cal_Weeks[MonthYearLabel],98),'Grid_Stock'!CU10,CU10)+'Grid_Incoming'!CV10-'Grid_Requirement'!CV10</f>
        <v/>
      </c>
      <c r="CW10">
        <f>IF(INDEX(Cal_Weeks[MonthYearLabel],100)&lt;&gt;INDEX(Cal_Weeks[MonthYearLabel],99),'Grid_Stock'!CV10,CV10)+'Grid_Incoming'!CW10-'Grid_Requirement'!CW10</f>
        <v/>
      </c>
      <c r="CX10">
        <f>IF(INDEX(Cal_Weeks[MonthYearLabel],101)&lt;&gt;INDEX(Cal_Weeks[MonthYearLabel],100),'Grid_Stock'!CW10,CW10)+'Grid_Incoming'!CX10-'Grid_Requirement'!CX10</f>
        <v/>
      </c>
      <c r="CY10">
        <f>IF(INDEX(Cal_Weeks[MonthYearLabel],102)&lt;&gt;INDEX(Cal_Weeks[MonthYearLabel],101),'Grid_Stock'!CX10,CX10)+'Grid_Incoming'!CY10-'Grid_Requirement'!CY10</f>
        <v/>
      </c>
      <c r="CZ10">
        <f>IF(INDEX(Cal_Weeks[MonthYearLabel],103)&lt;&gt;INDEX(Cal_Weeks[MonthYearLabel],102),'Grid_Stock'!CY10,CY10)+'Grid_Incoming'!CZ10-'Grid_Requirement'!CZ10</f>
        <v/>
      </c>
      <c r="DA10">
        <f>IF(INDEX(Cal_Weeks[MonthYearLabel],104)&lt;&gt;INDEX(Cal_Weeks[MonthYearLabel],103),'Grid_Stock'!CZ10,CZ10)+'Grid_Incoming'!DA10-'Grid_Requirement'!DA10</f>
        <v/>
      </c>
    </row>
    <row r="11">
      <c r="A11" t="inlineStr">
        <is>
          <t>JEJ</t>
        </is>
      </c>
      <c r="B11">
        <f>IFERROR(INDEX(T_OpeningStock[Opening_Qty_要入力],MATCH($A11,T_OpeningStock[Part Name],0)),0)+'Grid_Incoming'!B11-'Grid_Requirement'!B11</f>
        <v/>
      </c>
      <c r="C11">
        <f>IF(INDEX(Cal_Weeks[MonthYearLabel],2)&lt;&gt;INDEX(Cal_Weeks[MonthYearLabel],1),'Grid_Stock'!B11,B11)+'Grid_Incoming'!C11-'Grid_Requirement'!C11</f>
        <v/>
      </c>
      <c r="D11">
        <f>IF(INDEX(Cal_Weeks[MonthYearLabel],3)&lt;&gt;INDEX(Cal_Weeks[MonthYearLabel],2),'Grid_Stock'!C11,C11)+'Grid_Incoming'!D11-'Grid_Requirement'!D11</f>
        <v/>
      </c>
      <c r="E11">
        <f>IF(INDEX(Cal_Weeks[MonthYearLabel],4)&lt;&gt;INDEX(Cal_Weeks[MonthYearLabel],3),'Grid_Stock'!D11,D11)+'Grid_Incoming'!E11-'Grid_Requirement'!E11</f>
        <v/>
      </c>
      <c r="F11">
        <f>IF(INDEX(Cal_Weeks[MonthYearLabel],5)&lt;&gt;INDEX(Cal_Weeks[MonthYearLabel],4),'Grid_Stock'!E11,E11)+'Grid_Incoming'!F11-'Grid_Requirement'!F11</f>
        <v/>
      </c>
      <c r="G11">
        <f>IF(INDEX(Cal_Weeks[MonthYearLabel],6)&lt;&gt;INDEX(Cal_Weeks[MonthYearLabel],5),'Grid_Stock'!F11,F11)+'Grid_Incoming'!G11-'Grid_Requirement'!G11</f>
        <v/>
      </c>
      <c r="H11">
        <f>IF(INDEX(Cal_Weeks[MonthYearLabel],7)&lt;&gt;INDEX(Cal_Weeks[MonthYearLabel],6),'Grid_Stock'!G11,G11)+'Grid_Incoming'!H11-'Grid_Requirement'!H11</f>
        <v/>
      </c>
      <c r="I11">
        <f>IF(INDEX(Cal_Weeks[MonthYearLabel],8)&lt;&gt;INDEX(Cal_Weeks[MonthYearLabel],7),'Grid_Stock'!H11,H11)+'Grid_Incoming'!I11-'Grid_Requirement'!I11</f>
        <v/>
      </c>
      <c r="J11">
        <f>IF(INDEX(Cal_Weeks[MonthYearLabel],9)&lt;&gt;INDEX(Cal_Weeks[MonthYearLabel],8),'Grid_Stock'!I11,I11)+'Grid_Incoming'!J11-'Grid_Requirement'!J11</f>
        <v/>
      </c>
      <c r="K11">
        <f>IF(INDEX(Cal_Weeks[MonthYearLabel],10)&lt;&gt;INDEX(Cal_Weeks[MonthYearLabel],9),'Grid_Stock'!J11,J11)+'Grid_Incoming'!K11-'Grid_Requirement'!K11</f>
        <v/>
      </c>
      <c r="L11">
        <f>IF(INDEX(Cal_Weeks[MonthYearLabel],11)&lt;&gt;INDEX(Cal_Weeks[MonthYearLabel],10),'Grid_Stock'!K11,K11)+'Grid_Incoming'!L11-'Grid_Requirement'!L11</f>
        <v/>
      </c>
      <c r="M11">
        <f>IF(INDEX(Cal_Weeks[MonthYearLabel],12)&lt;&gt;INDEX(Cal_Weeks[MonthYearLabel],11),'Grid_Stock'!L11,L11)+'Grid_Incoming'!M11-'Grid_Requirement'!M11</f>
        <v/>
      </c>
      <c r="N11">
        <f>IF(INDEX(Cal_Weeks[MonthYearLabel],13)&lt;&gt;INDEX(Cal_Weeks[MonthYearLabel],12),'Grid_Stock'!M11,M11)+'Grid_Incoming'!N11-'Grid_Requirement'!N11</f>
        <v/>
      </c>
      <c r="O11">
        <f>IF(INDEX(Cal_Weeks[MonthYearLabel],14)&lt;&gt;INDEX(Cal_Weeks[MonthYearLabel],13),'Grid_Stock'!N11,N11)+'Grid_Incoming'!O11-'Grid_Requirement'!O11</f>
        <v/>
      </c>
      <c r="P11">
        <f>IF(INDEX(Cal_Weeks[MonthYearLabel],15)&lt;&gt;INDEX(Cal_Weeks[MonthYearLabel],14),'Grid_Stock'!O11,O11)+'Grid_Incoming'!P11-'Grid_Requirement'!P11</f>
        <v/>
      </c>
      <c r="Q11">
        <f>IF(INDEX(Cal_Weeks[MonthYearLabel],16)&lt;&gt;INDEX(Cal_Weeks[MonthYearLabel],15),'Grid_Stock'!P11,P11)+'Grid_Incoming'!Q11-'Grid_Requirement'!Q11</f>
        <v/>
      </c>
      <c r="R11">
        <f>IF(INDEX(Cal_Weeks[MonthYearLabel],17)&lt;&gt;INDEX(Cal_Weeks[MonthYearLabel],16),'Grid_Stock'!Q11,Q11)+'Grid_Incoming'!R11-'Grid_Requirement'!R11</f>
        <v/>
      </c>
      <c r="S11">
        <f>IF(INDEX(Cal_Weeks[MonthYearLabel],18)&lt;&gt;INDEX(Cal_Weeks[MonthYearLabel],17),'Grid_Stock'!R11,R11)+'Grid_Incoming'!S11-'Grid_Requirement'!S11</f>
        <v/>
      </c>
      <c r="T11">
        <f>IF(INDEX(Cal_Weeks[MonthYearLabel],19)&lt;&gt;INDEX(Cal_Weeks[MonthYearLabel],18),'Grid_Stock'!S11,S11)+'Grid_Incoming'!T11-'Grid_Requirement'!T11</f>
        <v/>
      </c>
      <c r="U11">
        <f>IF(INDEX(Cal_Weeks[MonthYearLabel],20)&lt;&gt;INDEX(Cal_Weeks[MonthYearLabel],19),'Grid_Stock'!T11,T11)+'Grid_Incoming'!U11-'Grid_Requirement'!U11</f>
        <v/>
      </c>
      <c r="V11">
        <f>IF(INDEX(Cal_Weeks[MonthYearLabel],21)&lt;&gt;INDEX(Cal_Weeks[MonthYearLabel],20),'Grid_Stock'!U11,U11)+'Grid_Incoming'!V11-'Grid_Requirement'!V11</f>
        <v/>
      </c>
      <c r="W11">
        <f>IF(INDEX(Cal_Weeks[MonthYearLabel],22)&lt;&gt;INDEX(Cal_Weeks[MonthYearLabel],21),'Grid_Stock'!V11,V11)+'Grid_Incoming'!W11-'Grid_Requirement'!W11</f>
        <v/>
      </c>
      <c r="X11">
        <f>IF(INDEX(Cal_Weeks[MonthYearLabel],23)&lt;&gt;INDEX(Cal_Weeks[MonthYearLabel],22),'Grid_Stock'!W11,W11)+'Grid_Incoming'!X11-'Grid_Requirement'!X11</f>
        <v/>
      </c>
      <c r="Y11">
        <f>IF(INDEX(Cal_Weeks[MonthYearLabel],24)&lt;&gt;INDEX(Cal_Weeks[MonthYearLabel],23),'Grid_Stock'!X11,X11)+'Grid_Incoming'!Y11-'Grid_Requirement'!Y11</f>
        <v/>
      </c>
      <c r="Z11">
        <f>IF(INDEX(Cal_Weeks[MonthYearLabel],25)&lt;&gt;INDEX(Cal_Weeks[MonthYearLabel],24),'Grid_Stock'!Y11,Y11)+'Grid_Incoming'!Z11-'Grid_Requirement'!Z11</f>
        <v/>
      </c>
      <c r="AA11">
        <f>IF(INDEX(Cal_Weeks[MonthYearLabel],26)&lt;&gt;INDEX(Cal_Weeks[MonthYearLabel],25),'Grid_Stock'!Z11,Z11)+'Grid_Incoming'!AA11-'Grid_Requirement'!AA11</f>
        <v/>
      </c>
      <c r="AB11">
        <f>IF(INDEX(Cal_Weeks[MonthYearLabel],27)&lt;&gt;INDEX(Cal_Weeks[MonthYearLabel],26),'Grid_Stock'!AA11,AA11)+'Grid_Incoming'!AB11-'Grid_Requirement'!AB11</f>
        <v/>
      </c>
      <c r="AC11">
        <f>IF(INDEX(Cal_Weeks[MonthYearLabel],28)&lt;&gt;INDEX(Cal_Weeks[MonthYearLabel],27),'Grid_Stock'!AB11,AB11)+'Grid_Incoming'!AC11-'Grid_Requirement'!AC11</f>
        <v/>
      </c>
      <c r="AD11">
        <f>IF(INDEX(Cal_Weeks[MonthYearLabel],29)&lt;&gt;INDEX(Cal_Weeks[MonthYearLabel],28),'Grid_Stock'!AC11,AC11)+'Grid_Incoming'!AD11-'Grid_Requirement'!AD11</f>
        <v/>
      </c>
      <c r="AE11">
        <f>IF(INDEX(Cal_Weeks[MonthYearLabel],30)&lt;&gt;INDEX(Cal_Weeks[MonthYearLabel],29),'Grid_Stock'!AD11,AD11)+'Grid_Incoming'!AE11-'Grid_Requirement'!AE11</f>
        <v/>
      </c>
      <c r="AF11">
        <f>IF(INDEX(Cal_Weeks[MonthYearLabel],31)&lt;&gt;INDEX(Cal_Weeks[MonthYearLabel],30),'Grid_Stock'!AE11,AE11)+'Grid_Incoming'!AF11-'Grid_Requirement'!AF11</f>
        <v/>
      </c>
      <c r="AG11">
        <f>IF(INDEX(Cal_Weeks[MonthYearLabel],32)&lt;&gt;INDEX(Cal_Weeks[MonthYearLabel],31),'Grid_Stock'!AF11,AF11)+'Grid_Incoming'!AG11-'Grid_Requirement'!AG11</f>
        <v/>
      </c>
      <c r="AH11">
        <f>IF(INDEX(Cal_Weeks[MonthYearLabel],33)&lt;&gt;INDEX(Cal_Weeks[MonthYearLabel],32),'Grid_Stock'!AG11,AG11)+'Grid_Incoming'!AH11-'Grid_Requirement'!AH11</f>
        <v/>
      </c>
      <c r="AI11">
        <f>IF(INDEX(Cal_Weeks[MonthYearLabel],34)&lt;&gt;INDEX(Cal_Weeks[MonthYearLabel],33),'Grid_Stock'!AH11,AH11)+'Grid_Incoming'!AI11-'Grid_Requirement'!AI11</f>
        <v/>
      </c>
      <c r="AJ11">
        <f>IF(INDEX(Cal_Weeks[MonthYearLabel],35)&lt;&gt;INDEX(Cal_Weeks[MonthYearLabel],34),'Grid_Stock'!AI11,AI11)+'Grid_Incoming'!AJ11-'Grid_Requirement'!AJ11</f>
        <v/>
      </c>
      <c r="AK11">
        <f>IF(INDEX(Cal_Weeks[MonthYearLabel],36)&lt;&gt;INDEX(Cal_Weeks[MonthYearLabel],35),'Grid_Stock'!AJ11,AJ11)+'Grid_Incoming'!AK11-'Grid_Requirement'!AK11</f>
        <v/>
      </c>
      <c r="AL11">
        <f>IF(INDEX(Cal_Weeks[MonthYearLabel],37)&lt;&gt;INDEX(Cal_Weeks[MonthYearLabel],36),'Grid_Stock'!AK11,AK11)+'Grid_Incoming'!AL11-'Grid_Requirement'!AL11</f>
        <v/>
      </c>
      <c r="AM11">
        <f>IF(INDEX(Cal_Weeks[MonthYearLabel],38)&lt;&gt;INDEX(Cal_Weeks[MonthYearLabel],37),'Grid_Stock'!AL11,AL11)+'Grid_Incoming'!AM11-'Grid_Requirement'!AM11</f>
        <v/>
      </c>
      <c r="AN11">
        <f>IF(INDEX(Cal_Weeks[MonthYearLabel],39)&lt;&gt;INDEX(Cal_Weeks[MonthYearLabel],38),'Grid_Stock'!AM11,AM11)+'Grid_Incoming'!AN11-'Grid_Requirement'!AN11</f>
        <v/>
      </c>
      <c r="AO11">
        <f>IF(INDEX(Cal_Weeks[MonthYearLabel],40)&lt;&gt;INDEX(Cal_Weeks[MonthYearLabel],39),'Grid_Stock'!AN11,AN11)+'Grid_Incoming'!AO11-'Grid_Requirement'!AO11</f>
        <v/>
      </c>
      <c r="AP11">
        <f>IF(INDEX(Cal_Weeks[MonthYearLabel],41)&lt;&gt;INDEX(Cal_Weeks[MonthYearLabel],40),'Grid_Stock'!AO11,AO11)+'Grid_Incoming'!AP11-'Grid_Requirement'!AP11</f>
        <v/>
      </c>
      <c r="AQ11">
        <f>IF(INDEX(Cal_Weeks[MonthYearLabel],42)&lt;&gt;INDEX(Cal_Weeks[MonthYearLabel],41),'Grid_Stock'!AP11,AP11)+'Grid_Incoming'!AQ11-'Grid_Requirement'!AQ11</f>
        <v/>
      </c>
      <c r="AR11">
        <f>IF(INDEX(Cal_Weeks[MonthYearLabel],43)&lt;&gt;INDEX(Cal_Weeks[MonthYearLabel],42),'Grid_Stock'!AQ11,AQ11)+'Grid_Incoming'!AR11-'Grid_Requirement'!AR11</f>
        <v/>
      </c>
      <c r="AS11">
        <f>IF(INDEX(Cal_Weeks[MonthYearLabel],44)&lt;&gt;INDEX(Cal_Weeks[MonthYearLabel],43),'Grid_Stock'!AR11,AR11)+'Grid_Incoming'!AS11-'Grid_Requirement'!AS11</f>
        <v/>
      </c>
      <c r="AT11">
        <f>IF(INDEX(Cal_Weeks[MonthYearLabel],45)&lt;&gt;INDEX(Cal_Weeks[MonthYearLabel],44),'Grid_Stock'!AS11,AS11)+'Grid_Incoming'!AT11-'Grid_Requirement'!AT11</f>
        <v/>
      </c>
      <c r="AU11">
        <f>IF(INDEX(Cal_Weeks[MonthYearLabel],46)&lt;&gt;INDEX(Cal_Weeks[MonthYearLabel],45),'Grid_Stock'!AT11,AT11)+'Grid_Incoming'!AU11-'Grid_Requirement'!AU11</f>
        <v/>
      </c>
      <c r="AV11">
        <f>IF(INDEX(Cal_Weeks[MonthYearLabel],47)&lt;&gt;INDEX(Cal_Weeks[MonthYearLabel],46),'Grid_Stock'!AU11,AU11)+'Grid_Incoming'!AV11-'Grid_Requirement'!AV11</f>
        <v/>
      </c>
      <c r="AW11">
        <f>IF(INDEX(Cal_Weeks[MonthYearLabel],48)&lt;&gt;INDEX(Cal_Weeks[MonthYearLabel],47),'Grid_Stock'!AV11,AV11)+'Grid_Incoming'!AW11-'Grid_Requirement'!AW11</f>
        <v/>
      </c>
      <c r="AX11">
        <f>IF(INDEX(Cal_Weeks[MonthYearLabel],49)&lt;&gt;INDEX(Cal_Weeks[MonthYearLabel],48),'Grid_Stock'!AW11,AW11)+'Grid_Incoming'!AX11-'Grid_Requirement'!AX11</f>
        <v/>
      </c>
      <c r="AY11">
        <f>IF(INDEX(Cal_Weeks[MonthYearLabel],50)&lt;&gt;INDEX(Cal_Weeks[MonthYearLabel],49),'Grid_Stock'!AX11,AX11)+'Grid_Incoming'!AY11-'Grid_Requirement'!AY11</f>
        <v/>
      </c>
      <c r="AZ11">
        <f>IF(INDEX(Cal_Weeks[MonthYearLabel],51)&lt;&gt;INDEX(Cal_Weeks[MonthYearLabel],50),'Grid_Stock'!AY11,AY11)+'Grid_Incoming'!AZ11-'Grid_Requirement'!AZ11</f>
        <v/>
      </c>
      <c r="BA11">
        <f>IF(INDEX(Cal_Weeks[MonthYearLabel],52)&lt;&gt;INDEX(Cal_Weeks[MonthYearLabel],51),'Grid_Stock'!AZ11,AZ11)+'Grid_Incoming'!BA11-'Grid_Requirement'!BA11</f>
        <v/>
      </c>
      <c r="BB11">
        <f>IF(INDEX(Cal_Weeks[MonthYearLabel],53)&lt;&gt;INDEX(Cal_Weeks[MonthYearLabel],52),'Grid_Stock'!BA11,BA11)+'Grid_Incoming'!BB11-'Grid_Requirement'!BB11</f>
        <v/>
      </c>
      <c r="BC11">
        <f>IF(INDEX(Cal_Weeks[MonthYearLabel],54)&lt;&gt;INDEX(Cal_Weeks[MonthYearLabel],53),'Grid_Stock'!BB11,BB11)+'Grid_Incoming'!BC11-'Grid_Requirement'!BC11</f>
        <v/>
      </c>
      <c r="BD11">
        <f>IF(INDEX(Cal_Weeks[MonthYearLabel],55)&lt;&gt;INDEX(Cal_Weeks[MonthYearLabel],54),'Grid_Stock'!BC11,BC11)+'Grid_Incoming'!BD11-'Grid_Requirement'!BD11</f>
        <v/>
      </c>
      <c r="BE11">
        <f>IF(INDEX(Cal_Weeks[MonthYearLabel],56)&lt;&gt;INDEX(Cal_Weeks[MonthYearLabel],55),'Grid_Stock'!BD11,BD11)+'Grid_Incoming'!BE11-'Grid_Requirement'!BE11</f>
        <v/>
      </c>
      <c r="BF11">
        <f>IF(INDEX(Cal_Weeks[MonthYearLabel],57)&lt;&gt;INDEX(Cal_Weeks[MonthYearLabel],56),'Grid_Stock'!BE11,BE11)+'Grid_Incoming'!BF11-'Grid_Requirement'!BF11</f>
        <v/>
      </c>
      <c r="BG11">
        <f>IF(INDEX(Cal_Weeks[MonthYearLabel],58)&lt;&gt;INDEX(Cal_Weeks[MonthYearLabel],57),'Grid_Stock'!BF11,BF11)+'Grid_Incoming'!BG11-'Grid_Requirement'!BG11</f>
        <v/>
      </c>
      <c r="BH11">
        <f>IF(INDEX(Cal_Weeks[MonthYearLabel],59)&lt;&gt;INDEX(Cal_Weeks[MonthYearLabel],58),'Grid_Stock'!BG11,BG11)+'Grid_Incoming'!BH11-'Grid_Requirement'!BH11</f>
        <v/>
      </c>
      <c r="BI11">
        <f>IF(INDEX(Cal_Weeks[MonthYearLabel],60)&lt;&gt;INDEX(Cal_Weeks[MonthYearLabel],59),'Grid_Stock'!BH11,BH11)+'Grid_Incoming'!BI11-'Grid_Requirement'!BI11</f>
        <v/>
      </c>
      <c r="BJ11">
        <f>IF(INDEX(Cal_Weeks[MonthYearLabel],61)&lt;&gt;INDEX(Cal_Weeks[MonthYearLabel],60),'Grid_Stock'!BI11,BI11)+'Grid_Incoming'!BJ11-'Grid_Requirement'!BJ11</f>
        <v/>
      </c>
      <c r="BK11">
        <f>IF(INDEX(Cal_Weeks[MonthYearLabel],62)&lt;&gt;INDEX(Cal_Weeks[MonthYearLabel],61),'Grid_Stock'!BJ11,BJ11)+'Grid_Incoming'!BK11-'Grid_Requirement'!BK11</f>
        <v/>
      </c>
      <c r="BL11">
        <f>IF(INDEX(Cal_Weeks[MonthYearLabel],63)&lt;&gt;INDEX(Cal_Weeks[MonthYearLabel],62),'Grid_Stock'!BK11,BK11)+'Grid_Incoming'!BL11-'Grid_Requirement'!BL11</f>
        <v/>
      </c>
      <c r="BM11">
        <f>IF(INDEX(Cal_Weeks[MonthYearLabel],64)&lt;&gt;INDEX(Cal_Weeks[MonthYearLabel],63),'Grid_Stock'!BL11,BL11)+'Grid_Incoming'!BM11-'Grid_Requirement'!BM11</f>
        <v/>
      </c>
      <c r="BN11">
        <f>IF(INDEX(Cal_Weeks[MonthYearLabel],65)&lt;&gt;INDEX(Cal_Weeks[MonthYearLabel],64),'Grid_Stock'!BM11,BM11)+'Grid_Incoming'!BN11-'Grid_Requirement'!BN11</f>
        <v/>
      </c>
      <c r="BO11">
        <f>IF(INDEX(Cal_Weeks[MonthYearLabel],66)&lt;&gt;INDEX(Cal_Weeks[MonthYearLabel],65),'Grid_Stock'!BN11,BN11)+'Grid_Incoming'!BO11-'Grid_Requirement'!BO11</f>
        <v/>
      </c>
      <c r="BP11">
        <f>IF(INDEX(Cal_Weeks[MonthYearLabel],67)&lt;&gt;INDEX(Cal_Weeks[MonthYearLabel],66),'Grid_Stock'!BO11,BO11)+'Grid_Incoming'!BP11-'Grid_Requirement'!BP11</f>
        <v/>
      </c>
      <c r="BQ11">
        <f>IF(INDEX(Cal_Weeks[MonthYearLabel],68)&lt;&gt;INDEX(Cal_Weeks[MonthYearLabel],67),'Grid_Stock'!BP11,BP11)+'Grid_Incoming'!BQ11-'Grid_Requirement'!BQ11</f>
        <v/>
      </c>
      <c r="BR11">
        <f>IF(INDEX(Cal_Weeks[MonthYearLabel],69)&lt;&gt;INDEX(Cal_Weeks[MonthYearLabel],68),'Grid_Stock'!BQ11,BQ11)+'Grid_Incoming'!BR11-'Grid_Requirement'!BR11</f>
        <v/>
      </c>
      <c r="BS11">
        <f>IF(INDEX(Cal_Weeks[MonthYearLabel],70)&lt;&gt;INDEX(Cal_Weeks[MonthYearLabel],69),'Grid_Stock'!BR11,BR11)+'Grid_Incoming'!BS11-'Grid_Requirement'!BS11</f>
        <v/>
      </c>
      <c r="BT11">
        <f>IF(INDEX(Cal_Weeks[MonthYearLabel],71)&lt;&gt;INDEX(Cal_Weeks[MonthYearLabel],70),'Grid_Stock'!BS11,BS11)+'Grid_Incoming'!BT11-'Grid_Requirement'!BT11</f>
        <v/>
      </c>
      <c r="BU11">
        <f>IF(INDEX(Cal_Weeks[MonthYearLabel],72)&lt;&gt;INDEX(Cal_Weeks[MonthYearLabel],71),'Grid_Stock'!BT11,BT11)+'Grid_Incoming'!BU11-'Grid_Requirement'!BU11</f>
        <v/>
      </c>
      <c r="BV11">
        <f>IF(INDEX(Cal_Weeks[MonthYearLabel],73)&lt;&gt;INDEX(Cal_Weeks[MonthYearLabel],72),'Grid_Stock'!BU11,BU11)+'Grid_Incoming'!BV11-'Grid_Requirement'!BV11</f>
        <v/>
      </c>
      <c r="BW11">
        <f>IF(INDEX(Cal_Weeks[MonthYearLabel],74)&lt;&gt;INDEX(Cal_Weeks[MonthYearLabel],73),'Grid_Stock'!BV11,BV11)+'Grid_Incoming'!BW11-'Grid_Requirement'!BW11</f>
        <v/>
      </c>
      <c r="BX11">
        <f>IF(INDEX(Cal_Weeks[MonthYearLabel],75)&lt;&gt;INDEX(Cal_Weeks[MonthYearLabel],74),'Grid_Stock'!BW11,BW11)+'Grid_Incoming'!BX11-'Grid_Requirement'!BX11</f>
        <v/>
      </c>
      <c r="BY11">
        <f>IF(INDEX(Cal_Weeks[MonthYearLabel],76)&lt;&gt;INDEX(Cal_Weeks[MonthYearLabel],75),'Grid_Stock'!BX11,BX11)+'Grid_Incoming'!BY11-'Grid_Requirement'!BY11</f>
        <v/>
      </c>
      <c r="BZ11">
        <f>IF(INDEX(Cal_Weeks[MonthYearLabel],77)&lt;&gt;INDEX(Cal_Weeks[MonthYearLabel],76),'Grid_Stock'!BY11,BY11)+'Grid_Incoming'!BZ11-'Grid_Requirement'!BZ11</f>
        <v/>
      </c>
      <c r="CA11">
        <f>IF(INDEX(Cal_Weeks[MonthYearLabel],78)&lt;&gt;INDEX(Cal_Weeks[MonthYearLabel],77),'Grid_Stock'!BZ11,BZ11)+'Grid_Incoming'!CA11-'Grid_Requirement'!CA11</f>
        <v/>
      </c>
      <c r="CB11">
        <f>IF(INDEX(Cal_Weeks[MonthYearLabel],79)&lt;&gt;INDEX(Cal_Weeks[MonthYearLabel],78),'Grid_Stock'!CA11,CA11)+'Grid_Incoming'!CB11-'Grid_Requirement'!CB11</f>
        <v/>
      </c>
      <c r="CC11">
        <f>IF(INDEX(Cal_Weeks[MonthYearLabel],80)&lt;&gt;INDEX(Cal_Weeks[MonthYearLabel],79),'Grid_Stock'!CB11,CB11)+'Grid_Incoming'!CC11-'Grid_Requirement'!CC11</f>
        <v/>
      </c>
      <c r="CD11">
        <f>IF(INDEX(Cal_Weeks[MonthYearLabel],81)&lt;&gt;INDEX(Cal_Weeks[MonthYearLabel],80),'Grid_Stock'!CC11,CC11)+'Grid_Incoming'!CD11-'Grid_Requirement'!CD11</f>
        <v/>
      </c>
      <c r="CE11">
        <f>IF(INDEX(Cal_Weeks[MonthYearLabel],82)&lt;&gt;INDEX(Cal_Weeks[MonthYearLabel],81),'Grid_Stock'!CD11,CD11)+'Grid_Incoming'!CE11-'Grid_Requirement'!CE11</f>
        <v/>
      </c>
      <c r="CF11">
        <f>IF(INDEX(Cal_Weeks[MonthYearLabel],83)&lt;&gt;INDEX(Cal_Weeks[MonthYearLabel],82),'Grid_Stock'!CE11,CE11)+'Grid_Incoming'!CF11-'Grid_Requirement'!CF11</f>
        <v/>
      </c>
      <c r="CG11">
        <f>IF(INDEX(Cal_Weeks[MonthYearLabel],84)&lt;&gt;INDEX(Cal_Weeks[MonthYearLabel],83),'Grid_Stock'!CF11,CF11)+'Grid_Incoming'!CG11-'Grid_Requirement'!CG11</f>
        <v/>
      </c>
      <c r="CH11">
        <f>IF(INDEX(Cal_Weeks[MonthYearLabel],85)&lt;&gt;INDEX(Cal_Weeks[MonthYearLabel],84),'Grid_Stock'!CG11,CG11)+'Grid_Incoming'!CH11-'Grid_Requirement'!CH11</f>
        <v/>
      </c>
      <c r="CI11">
        <f>IF(INDEX(Cal_Weeks[MonthYearLabel],86)&lt;&gt;INDEX(Cal_Weeks[MonthYearLabel],85),'Grid_Stock'!CH11,CH11)+'Grid_Incoming'!CI11-'Grid_Requirement'!CI11</f>
        <v/>
      </c>
      <c r="CJ11">
        <f>IF(INDEX(Cal_Weeks[MonthYearLabel],87)&lt;&gt;INDEX(Cal_Weeks[MonthYearLabel],86),'Grid_Stock'!CI11,CI11)+'Grid_Incoming'!CJ11-'Grid_Requirement'!CJ11</f>
        <v/>
      </c>
      <c r="CK11">
        <f>IF(INDEX(Cal_Weeks[MonthYearLabel],88)&lt;&gt;INDEX(Cal_Weeks[MonthYearLabel],87),'Grid_Stock'!CJ11,CJ11)+'Grid_Incoming'!CK11-'Grid_Requirement'!CK11</f>
        <v/>
      </c>
      <c r="CL11">
        <f>IF(INDEX(Cal_Weeks[MonthYearLabel],89)&lt;&gt;INDEX(Cal_Weeks[MonthYearLabel],88),'Grid_Stock'!CK11,CK11)+'Grid_Incoming'!CL11-'Grid_Requirement'!CL11</f>
        <v/>
      </c>
      <c r="CM11">
        <f>IF(INDEX(Cal_Weeks[MonthYearLabel],90)&lt;&gt;INDEX(Cal_Weeks[MonthYearLabel],89),'Grid_Stock'!CL11,CL11)+'Grid_Incoming'!CM11-'Grid_Requirement'!CM11</f>
        <v/>
      </c>
      <c r="CN11">
        <f>IF(INDEX(Cal_Weeks[MonthYearLabel],91)&lt;&gt;INDEX(Cal_Weeks[MonthYearLabel],90),'Grid_Stock'!CM11,CM11)+'Grid_Incoming'!CN11-'Grid_Requirement'!CN11</f>
        <v/>
      </c>
      <c r="CO11">
        <f>IF(INDEX(Cal_Weeks[MonthYearLabel],92)&lt;&gt;INDEX(Cal_Weeks[MonthYearLabel],91),'Grid_Stock'!CN11,CN11)+'Grid_Incoming'!CO11-'Grid_Requirement'!CO11</f>
        <v/>
      </c>
      <c r="CP11">
        <f>IF(INDEX(Cal_Weeks[MonthYearLabel],93)&lt;&gt;INDEX(Cal_Weeks[MonthYearLabel],92),'Grid_Stock'!CO11,CO11)+'Grid_Incoming'!CP11-'Grid_Requirement'!CP11</f>
        <v/>
      </c>
      <c r="CQ11">
        <f>IF(INDEX(Cal_Weeks[MonthYearLabel],94)&lt;&gt;INDEX(Cal_Weeks[MonthYearLabel],93),'Grid_Stock'!CP11,CP11)+'Grid_Incoming'!CQ11-'Grid_Requirement'!CQ11</f>
        <v/>
      </c>
      <c r="CR11">
        <f>IF(INDEX(Cal_Weeks[MonthYearLabel],95)&lt;&gt;INDEX(Cal_Weeks[MonthYearLabel],94),'Grid_Stock'!CQ11,CQ11)+'Grid_Incoming'!CR11-'Grid_Requirement'!CR11</f>
        <v/>
      </c>
      <c r="CS11">
        <f>IF(INDEX(Cal_Weeks[MonthYearLabel],96)&lt;&gt;INDEX(Cal_Weeks[MonthYearLabel],95),'Grid_Stock'!CR11,CR11)+'Grid_Incoming'!CS11-'Grid_Requirement'!CS11</f>
        <v/>
      </c>
      <c r="CT11">
        <f>IF(INDEX(Cal_Weeks[MonthYearLabel],97)&lt;&gt;INDEX(Cal_Weeks[MonthYearLabel],96),'Grid_Stock'!CS11,CS11)+'Grid_Incoming'!CT11-'Grid_Requirement'!CT11</f>
        <v/>
      </c>
      <c r="CU11">
        <f>IF(INDEX(Cal_Weeks[MonthYearLabel],98)&lt;&gt;INDEX(Cal_Weeks[MonthYearLabel],97),'Grid_Stock'!CT11,CT11)+'Grid_Incoming'!CU11-'Grid_Requirement'!CU11</f>
        <v/>
      </c>
      <c r="CV11">
        <f>IF(INDEX(Cal_Weeks[MonthYearLabel],99)&lt;&gt;INDEX(Cal_Weeks[MonthYearLabel],98),'Grid_Stock'!CU11,CU11)+'Grid_Incoming'!CV11-'Grid_Requirement'!CV11</f>
        <v/>
      </c>
      <c r="CW11">
        <f>IF(INDEX(Cal_Weeks[MonthYearLabel],100)&lt;&gt;INDEX(Cal_Weeks[MonthYearLabel],99),'Grid_Stock'!CV11,CV11)+'Grid_Incoming'!CW11-'Grid_Requirement'!CW11</f>
        <v/>
      </c>
      <c r="CX11">
        <f>IF(INDEX(Cal_Weeks[MonthYearLabel],101)&lt;&gt;INDEX(Cal_Weeks[MonthYearLabel],100),'Grid_Stock'!CW11,CW11)+'Grid_Incoming'!CX11-'Grid_Requirement'!CX11</f>
        <v/>
      </c>
      <c r="CY11">
        <f>IF(INDEX(Cal_Weeks[MonthYearLabel],102)&lt;&gt;INDEX(Cal_Weeks[MonthYearLabel],101),'Grid_Stock'!CX11,CX11)+'Grid_Incoming'!CY11-'Grid_Requirement'!CY11</f>
        <v/>
      </c>
      <c r="CZ11">
        <f>IF(INDEX(Cal_Weeks[MonthYearLabel],103)&lt;&gt;INDEX(Cal_Weeks[MonthYearLabel],102),'Grid_Stock'!CY11,CY11)+'Grid_Incoming'!CZ11-'Grid_Requirement'!CZ11</f>
        <v/>
      </c>
      <c r="DA11">
        <f>IF(INDEX(Cal_Weeks[MonthYearLabel],104)&lt;&gt;INDEX(Cal_Weeks[MonthYearLabel],103),'Grid_Stock'!CZ11,CZ11)+'Grid_Incoming'!DA11-'Grid_Requirement'!DA11</f>
        <v/>
      </c>
    </row>
    <row r="12">
      <c r="A12" t="inlineStr">
        <is>
          <t>YAN</t>
        </is>
      </c>
      <c r="B12">
        <f>IFERROR(INDEX(T_OpeningStock[Opening_Qty_要入力],MATCH($A12,T_OpeningStock[Part Name],0)),0)+'Grid_Incoming'!B12-'Grid_Requirement'!B12</f>
        <v/>
      </c>
      <c r="C12">
        <f>IF(INDEX(Cal_Weeks[MonthYearLabel],2)&lt;&gt;INDEX(Cal_Weeks[MonthYearLabel],1),'Grid_Stock'!B12,B12)+'Grid_Incoming'!C12-'Grid_Requirement'!C12</f>
        <v/>
      </c>
      <c r="D12">
        <f>IF(INDEX(Cal_Weeks[MonthYearLabel],3)&lt;&gt;INDEX(Cal_Weeks[MonthYearLabel],2),'Grid_Stock'!C12,C12)+'Grid_Incoming'!D12-'Grid_Requirement'!D12</f>
        <v/>
      </c>
      <c r="E12">
        <f>IF(INDEX(Cal_Weeks[MonthYearLabel],4)&lt;&gt;INDEX(Cal_Weeks[MonthYearLabel],3),'Grid_Stock'!D12,D12)+'Grid_Incoming'!E12-'Grid_Requirement'!E12</f>
        <v/>
      </c>
      <c r="F12">
        <f>IF(INDEX(Cal_Weeks[MonthYearLabel],5)&lt;&gt;INDEX(Cal_Weeks[MonthYearLabel],4),'Grid_Stock'!E12,E12)+'Grid_Incoming'!F12-'Grid_Requirement'!F12</f>
        <v/>
      </c>
      <c r="G12">
        <f>IF(INDEX(Cal_Weeks[MonthYearLabel],6)&lt;&gt;INDEX(Cal_Weeks[MonthYearLabel],5),'Grid_Stock'!F12,F12)+'Grid_Incoming'!G12-'Grid_Requirement'!G12</f>
        <v/>
      </c>
      <c r="H12">
        <f>IF(INDEX(Cal_Weeks[MonthYearLabel],7)&lt;&gt;INDEX(Cal_Weeks[MonthYearLabel],6),'Grid_Stock'!G12,G12)+'Grid_Incoming'!H12-'Grid_Requirement'!H12</f>
        <v/>
      </c>
      <c r="I12">
        <f>IF(INDEX(Cal_Weeks[MonthYearLabel],8)&lt;&gt;INDEX(Cal_Weeks[MonthYearLabel],7),'Grid_Stock'!H12,H12)+'Grid_Incoming'!I12-'Grid_Requirement'!I12</f>
        <v/>
      </c>
      <c r="J12">
        <f>IF(INDEX(Cal_Weeks[MonthYearLabel],9)&lt;&gt;INDEX(Cal_Weeks[MonthYearLabel],8),'Grid_Stock'!I12,I12)+'Grid_Incoming'!J12-'Grid_Requirement'!J12</f>
        <v/>
      </c>
      <c r="K12">
        <f>IF(INDEX(Cal_Weeks[MonthYearLabel],10)&lt;&gt;INDEX(Cal_Weeks[MonthYearLabel],9),'Grid_Stock'!J12,J12)+'Grid_Incoming'!K12-'Grid_Requirement'!K12</f>
        <v/>
      </c>
      <c r="L12">
        <f>IF(INDEX(Cal_Weeks[MonthYearLabel],11)&lt;&gt;INDEX(Cal_Weeks[MonthYearLabel],10),'Grid_Stock'!K12,K12)+'Grid_Incoming'!L12-'Grid_Requirement'!L12</f>
        <v/>
      </c>
      <c r="M12">
        <f>IF(INDEX(Cal_Weeks[MonthYearLabel],12)&lt;&gt;INDEX(Cal_Weeks[MonthYearLabel],11),'Grid_Stock'!L12,L12)+'Grid_Incoming'!M12-'Grid_Requirement'!M12</f>
        <v/>
      </c>
      <c r="N12">
        <f>IF(INDEX(Cal_Weeks[MonthYearLabel],13)&lt;&gt;INDEX(Cal_Weeks[MonthYearLabel],12),'Grid_Stock'!M12,M12)+'Grid_Incoming'!N12-'Grid_Requirement'!N12</f>
        <v/>
      </c>
      <c r="O12">
        <f>IF(INDEX(Cal_Weeks[MonthYearLabel],14)&lt;&gt;INDEX(Cal_Weeks[MonthYearLabel],13),'Grid_Stock'!N12,N12)+'Grid_Incoming'!O12-'Grid_Requirement'!O12</f>
        <v/>
      </c>
      <c r="P12">
        <f>IF(INDEX(Cal_Weeks[MonthYearLabel],15)&lt;&gt;INDEX(Cal_Weeks[MonthYearLabel],14),'Grid_Stock'!O12,O12)+'Grid_Incoming'!P12-'Grid_Requirement'!P12</f>
        <v/>
      </c>
      <c r="Q12">
        <f>IF(INDEX(Cal_Weeks[MonthYearLabel],16)&lt;&gt;INDEX(Cal_Weeks[MonthYearLabel],15),'Grid_Stock'!P12,P12)+'Grid_Incoming'!Q12-'Grid_Requirement'!Q12</f>
        <v/>
      </c>
      <c r="R12">
        <f>IF(INDEX(Cal_Weeks[MonthYearLabel],17)&lt;&gt;INDEX(Cal_Weeks[MonthYearLabel],16),'Grid_Stock'!Q12,Q12)+'Grid_Incoming'!R12-'Grid_Requirement'!R12</f>
        <v/>
      </c>
      <c r="S12">
        <f>IF(INDEX(Cal_Weeks[MonthYearLabel],18)&lt;&gt;INDEX(Cal_Weeks[MonthYearLabel],17),'Grid_Stock'!R12,R12)+'Grid_Incoming'!S12-'Grid_Requirement'!S12</f>
        <v/>
      </c>
      <c r="T12">
        <f>IF(INDEX(Cal_Weeks[MonthYearLabel],19)&lt;&gt;INDEX(Cal_Weeks[MonthYearLabel],18),'Grid_Stock'!S12,S12)+'Grid_Incoming'!T12-'Grid_Requirement'!T12</f>
        <v/>
      </c>
      <c r="U12">
        <f>IF(INDEX(Cal_Weeks[MonthYearLabel],20)&lt;&gt;INDEX(Cal_Weeks[MonthYearLabel],19),'Grid_Stock'!T12,T12)+'Grid_Incoming'!U12-'Grid_Requirement'!U12</f>
        <v/>
      </c>
      <c r="V12">
        <f>IF(INDEX(Cal_Weeks[MonthYearLabel],21)&lt;&gt;INDEX(Cal_Weeks[MonthYearLabel],20),'Grid_Stock'!U12,U12)+'Grid_Incoming'!V12-'Grid_Requirement'!V12</f>
        <v/>
      </c>
      <c r="W12">
        <f>IF(INDEX(Cal_Weeks[MonthYearLabel],22)&lt;&gt;INDEX(Cal_Weeks[MonthYearLabel],21),'Grid_Stock'!V12,V12)+'Grid_Incoming'!W12-'Grid_Requirement'!W12</f>
        <v/>
      </c>
      <c r="X12">
        <f>IF(INDEX(Cal_Weeks[MonthYearLabel],23)&lt;&gt;INDEX(Cal_Weeks[MonthYearLabel],22),'Grid_Stock'!W12,W12)+'Grid_Incoming'!X12-'Grid_Requirement'!X12</f>
        <v/>
      </c>
      <c r="Y12">
        <f>IF(INDEX(Cal_Weeks[MonthYearLabel],24)&lt;&gt;INDEX(Cal_Weeks[MonthYearLabel],23),'Grid_Stock'!X12,X12)+'Grid_Incoming'!Y12-'Grid_Requirement'!Y12</f>
        <v/>
      </c>
      <c r="Z12">
        <f>IF(INDEX(Cal_Weeks[MonthYearLabel],25)&lt;&gt;INDEX(Cal_Weeks[MonthYearLabel],24),'Grid_Stock'!Y12,Y12)+'Grid_Incoming'!Z12-'Grid_Requirement'!Z12</f>
        <v/>
      </c>
      <c r="AA12">
        <f>IF(INDEX(Cal_Weeks[MonthYearLabel],26)&lt;&gt;INDEX(Cal_Weeks[MonthYearLabel],25),'Grid_Stock'!Z12,Z12)+'Grid_Incoming'!AA12-'Grid_Requirement'!AA12</f>
        <v/>
      </c>
      <c r="AB12">
        <f>IF(INDEX(Cal_Weeks[MonthYearLabel],27)&lt;&gt;INDEX(Cal_Weeks[MonthYearLabel],26),'Grid_Stock'!AA12,AA12)+'Grid_Incoming'!AB12-'Grid_Requirement'!AB12</f>
        <v/>
      </c>
      <c r="AC12">
        <f>IF(INDEX(Cal_Weeks[MonthYearLabel],28)&lt;&gt;INDEX(Cal_Weeks[MonthYearLabel],27),'Grid_Stock'!AB12,AB12)+'Grid_Incoming'!AC12-'Grid_Requirement'!AC12</f>
        <v/>
      </c>
      <c r="AD12">
        <f>IF(INDEX(Cal_Weeks[MonthYearLabel],29)&lt;&gt;INDEX(Cal_Weeks[MonthYearLabel],28),'Grid_Stock'!AC12,AC12)+'Grid_Incoming'!AD12-'Grid_Requirement'!AD12</f>
        <v/>
      </c>
      <c r="AE12">
        <f>IF(INDEX(Cal_Weeks[MonthYearLabel],30)&lt;&gt;INDEX(Cal_Weeks[MonthYearLabel],29),'Grid_Stock'!AD12,AD12)+'Grid_Incoming'!AE12-'Grid_Requirement'!AE12</f>
        <v/>
      </c>
      <c r="AF12">
        <f>IF(INDEX(Cal_Weeks[MonthYearLabel],31)&lt;&gt;INDEX(Cal_Weeks[MonthYearLabel],30),'Grid_Stock'!AE12,AE12)+'Grid_Incoming'!AF12-'Grid_Requirement'!AF12</f>
        <v/>
      </c>
      <c r="AG12">
        <f>IF(INDEX(Cal_Weeks[MonthYearLabel],32)&lt;&gt;INDEX(Cal_Weeks[MonthYearLabel],31),'Grid_Stock'!AF12,AF12)+'Grid_Incoming'!AG12-'Grid_Requirement'!AG12</f>
        <v/>
      </c>
      <c r="AH12">
        <f>IF(INDEX(Cal_Weeks[MonthYearLabel],33)&lt;&gt;INDEX(Cal_Weeks[MonthYearLabel],32),'Grid_Stock'!AG12,AG12)+'Grid_Incoming'!AH12-'Grid_Requirement'!AH12</f>
        <v/>
      </c>
      <c r="AI12">
        <f>IF(INDEX(Cal_Weeks[MonthYearLabel],34)&lt;&gt;INDEX(Cal_Weeks[MonthYearLabel],33),'Grid_Stock'!AH12,AH12)+'Grid_Incoming'!AI12-'Grid_Requirement'!AI12</f>
        <v/>
      </c>
      <c r="AJ12">
        <f>IF(INDEX(Cal_Weeks[MonthYearLabel],35)&lt;&gt;INDEX(Cal_Weeks[MonthYearLabel],34),'Grid_Stock'!AI12,AI12)+'Grid_Incoming'!AJ12-'Grid_Requirement'!AJ12</f>
        <v/>
      </c>
      <c r="AK12">
        <f>IF(INDEX(Cal_Weeks[MonthYearLabel],36)&lt;&gt;INDEX(Cal_Weeks[MonthYearLabel],35),'Grid_Stock'!AJ12,AJ12)+'Grid_Incoming'!AK12-'Grid_Requirement'!AK12</f>
        <v/>
      </c>
      <c r="AL12">
        <f>IF(INDEX(Cal_Weeks[MonthYearLabel],37)&lt;&gt;INDEX(Cal_Weeks[MonthYearLabel],36),'Grid_Stock'!AK12,AK12)+'Grid_Incoming'!AL12-'Grid_Requirement'!AL12</f>
        <v/>
      </c>
      <c r="AM12">
        <f>IF(INDEX(Cal_Weeks[MonthYearLabel],38)&lt;&gt;INDEX(Cal_Weeks[MonthYearLabel],37),'Grid_Stock'!AL12,AL12)+'Grid_Incoming'!AM12-'Grid_Requirement'!AM12</f>
        <v/>
      </c>
      <c r="AN12">
        <f>IF(INDEX(Cal_Weeks[MonthYearLabel],39)&lt;&gt;INDEX(Cal_Weeks[MonthYearLabel],38),'Grid_Stock'!AM12,AM12)+'Grid_Incoming'!AN12-'Grid_Requirement'!AN12</f>
        <v/>
      </c>
      <c r="AO12">
        <f>IF(INDEX(Cal_Weeks[MonthYearLabel],40)&lt;&gt;INDEX(Cal_Weeks[MonthYearLabel],39),'Grid_Stock'!AN12,AN12)+'Grid_Incoming'!AO12-'Grid_Requirement'!AO12</f>
        <v/>
      </c>
      <c r="AP12">
        <f>IF(INDEX(Cal_Weeks[MonthYearLabel],41)&lt;&gt;INDEX(Cal_Weeks[MonthYearLabel],40),'Grid_Stock'!AO12,AO12)+'Grid_Incoming'!AP12-'Grid_Requirement'!AP12</f>
        <v/>
      </c>
      <c r="AQ12">
        <f>IF(INDEX(Cal_Weeks[MonthYearLabel],42)&lt;&gt;INDEX(Cal_Weeks[MonthYearLabel],41),'Grid_Stock'!AP12,AP12)+'Grid_Incoming'!AQ12-'Grid_Requirement'!AQ12</f>
        <v/>
      </c>
      <c r="AR12">
        <f>IF(INDEX(Cal_Weeks[MonthYearLabel],43)&lt;&gt;INDEX(Cal_Weeks[MonthYearLabel],42),'Grid_Stock'!AQ12,AQ12)+'Grid_Incoming'!AR12-'Grid_Requirement'!AR12</f>
        <v/>
      </c>
      <c r="AS12">
        <f>IF(INDEX(Cal_Weeks[MonthYearLabel],44)&lt;&gt;INDEX(Cal_Weeks[MonthYearLabel],43),'Grid_Stock'!AR12,AR12)+'Grid_Incoming'!AS12-'Grid_Requirement'!AS12</f>
        <v/>
      </c>
      <c r="AT12">
        <f>IF(INDEX(Cal_Weeks[MonthYearLabel],45)&lt;&gt;INDEX(Cal_Weeks[MonthYearLabel],44),'Grid_Stock'!AS12,AS12)+'Grid_Incoming'!AT12-'Grid_Requirement'!AT12</f>
        <v/>
      </c>
      <c r="AU12">
        <f>IF(INDEX(Cal_Weeks[MonthYearLabel],46)&lt;&gt;INDEX(Cal_Weeks[MonthYearLabel],45),'Grid_Stock'!AT12,AT12)+'Grid_Incoming'!AU12-'Grid_Requirement'!AU12</f>
        <v/>
      </c>
      <c r="AV12">
        <f>IF(INDEX(Cal_Weeks[MonthYearLabel],47)&lt;&gt;INDEX(Cal_Weeks[MonthYearLabel],46),'Grid_Stock'!AU12,AU12)+'Grid_Incoming'!AV12-'Grid_Requirement'!AV12</f>
        <v/>
      </c>
      <c r="AW12">
        <f>IF(INDEX(Cal_Weeks[MonthYearLabel],48)&lt;&gt;INDEX(Cal_Weeks[MonthYearLabel],47),'Grid_Stock'!AV12,AV12)+'Grid_Incoming'!AW12-'Grid_Requirement'!AW12</f>
        <v/>
      </c>
      <c r="AX12">
        <f>IF(INDEX(Cal_Weeks[MonthYearLabel],49)&lt;&gt;INDEX(Cal_Weeks[MonthYearLabel],48),'Grid_Stock'!AW12,AW12)+'Grid_Incoming'!AX12-'Grid_Requirement'!AX12</f>
        <v/>
      </c>
      <c r="AY12">
        <f>IF(INDEX(Cal_Weeks[MonthYearLabel],50)&lt;&gt;INDEX(Cal_Weeks[MonthYearLabel],49),'Grid_Stock'!AX12,AX12)+'Grid_Incoming'!AY12-'Grid_Requirement'!AY12</f>
        <v/>
      </c>
      <c r="AZ12">
        <f>IF(INDEX(Cal_Weeks[MonthYearLabel],51)&lt;&gt;INDEX(Cal_Weeks[MonthYearLabel],50),'Grid_Stock'!AY12,AY12)+'Grid_Incoming'!AZ12-'Grid_Requirement'!AZ12</f>
        <v/>
      </c>
      <c r="BA12">
        <f>IF(INDEX(Cal_Weeks[MonthYearLabel],52)&lt;&gt;INDEX(Cal_Weeks[MonthYearLabel],51),'Grid_Stock'!AZ12,AZ12)+'Grid_Incoming'!BA12-'Grid_Requirement'!BA12</f>
        <v/>
      </c>
      <c r="BB12">
        <f>IF(INDEX(Cal_Weeks[MonthYearLabel],53)&lt;&gt;INDEX(Cal_Weeks[MonthYearLabel],52),'Grid_Stock'!BA12,BA12)+'Grid_Incoming'!BB12-'Grid_Requirement'!BB12</f>
        <v/>
      </c>
      <c r="BC12">
        <f>IF(INDEX(Cal_Weeks[MonthYearLabel],54)&lt;&gt;INDEX(Cal_Weeks[MonthYearLabel],53),'Grid_Stock'!BB12,BB12)+'Grid_Incoming'!BC12-'Grid_Requirement'!BC12</f>
        <v/>
      </c>
      <c r="BD12">
        <f>IF(INDEX(Cal_Weeks[MonthYearLabel],55)&lt;&gt;INDEX(Cal_Weeks[MonthYearLabel],54),'Grid_Stock'!BC12,BC12)+'Grid_Incoming'!BD12-'Grid_Requirement'!BD12</f>
        <v/>
      </c>
      <c r="BE12">
        <f>IF(INDEX(Cal_Weeks[MonthYearLabel],56)&lt;&gt;INDEX(Cal_Weeks[MonthYearLabel],55),'Grid_Stock'!BD12,BD12)+'Grid_Incoming'!BE12-'Grid_Requirement'!BE12</f>
        <v/>
      </c>
      <c r="BF12">
        <f>IF(INDEX(Cal_Weeks[MonthYearLabel],57)&lt;&gt;INDEX(Cal_Weeks[MonthYearLabel],56),'Grid_Stock'!BE12,BE12)+'Grid_Incoming'!BF12-'Grid_Requirement'!BF12</f>
        <v/>
      </c>
      <c r="BG12">
        <f>IF(INDEX(Cal_Weeks[MonthYearLabel],58)&lt;&gt;INDEX(Cal_Weeks[MonthYearLabel],57),'Grid_Stock'!BF12,BF12)+'Grid_Incoming'!BG12-'Grid_Requirement'!BG12</f>
        <v/>
      </c>
      <c r="BH12">
        <f>IF(INDEX(Cal_Weeks[MonthYearLabel],59)&lt;&gt;INDEX(Cal_Weeks[MonthYearLabel],58),'Grid_Stock'!BG12,BG12)+'Grid_Incoming'!BH12-'Grid_Requirement'!BH12</f>
        <v/>
      </c>
      <c r="BI12">
        <f>IF(INDEX(Cal_Weeks[MonthYearLabel],60)&lt;&gt;INDEX(Cal_Weeks[MonthYearLabel],59),'Grid_Stock'!BH12,BH12)+'Grid_Incoming'!BI12-'Grid_Requirement'!BI12</f>
        <v/>
      </c>
      <c r="BJ12">
        <f>IF(INDEX(Cal_Weeks[MonthYearLabel],61)&lt;&gt;INDEX(Cal_Weeks[MonthYearLabel],60),'Grid_Stock'!BI12,BI12)+'Grid_Incoming'!BJ12-'Grid_Requirement'!BJ12</f>
        <v/>
      </c>
      <c r="BK12">
        <f>IF(INDEX(Cal_Weeks[MonthYearLabel],62)&lt;&gt;INDEX(Cal_Weeks[MonthYearLabel],61),'Grid_Stock'!BJ12,BJ12)+'Grid_Incoming'!BK12-'Grid_Requirement'!BK12</f>
        <v/>
      </c>
      <c r="BL12">
        <f>IF(INDEX(Cal_Weeks[MonthYearLabel],63)&lt;&gt;INDEX(Cal_Weeks[MonthYearLabel],62),'Grid_Stock'!BK12,BK12)+'Grid_Incoming'!BL12-'Grid_Requirement'!BL12</f>
        <v/>
      </c>
      <c r="BM12">
        <f>IF(INDEX(Cal_Weeks[MonthYearLabel],64)&lt;&gt;INDEX(Cal_Weeks[MonthYearLabel],63),'Grid_Stock'!BL12,BL12)+'Grid_Incoming'!BM12-'Grid_Requirement'!BM12</f>
        <v/>
      </c>
      <c r="BN12">
        <f>IF(INDEX(Cal_Weeks[MonthYearLabel],65)&lt;&gt;INDEX(Cal_Weeks[MonthYearLabel],64),'Grid_Stock'!BM12,BM12)+'Grid_Incoming'!BN12-'Grid_Requirement'!BN12</f>
        <v/>
      </c>
      <c r="BO12">
        <f>IF(INDEX(Cal_Weeks[MonthYearLabel],66)&lt;&gt;INDEX(Cal_Weeks[MonthYearLabel],65),'Grid_Stock'!BN12,BN12)+'Grid_Incoming'!BO12-'Grid_Requirement'!BO12</f>
        <v/>
      </c>
      <c r="BP12">
        <f>IF(INDEX(Cal_Weeks[MonthYearLabel],67)&lt;&gt;INDEX(Cal_Weeks[MonthYearLabel],66),'Grid_Stock'!BO12,BO12)+'Grid_Incoming'!BP12-'Grid_Requirement'!BP12</f>
        <v/>
      </c>
      <c r="BQ12">
        <f>IF(INDEX(Cal_Weeks[MonthYearLabel],68)&lt;&gt;INDEX(Cal_Weeks[MonthYearLabel],67),'Grid_Stock'!BP12,BP12)+'Grid_Incoming'!BQ12-'Grid_Requirement'!BQ12</f>
        <v/>
      </c>
      <c r="BR12">
        <f>IF(INDEX(Cal_Weeks[MonthYearLabel],69)&lt;&gt;INDEX(Cal_Weeks[MonthYearLabel],68),'Grid_Stock'!BQ12,BQ12)+'Grid_Incoming'!BR12-'Grid_Requirement'!BR12</f>
        <v/>
      </c>
      <c r="BS12">
        <f>IF(INDEX(Cal_Weeks[MonthYearLabel],70)&lt;&gt;INDEX(Cal_Weeks[MonthYearLabel],69),'Grid_Stock'!BR12,BR12)+'Grid_Incoming'!BS12-'Grid_Requirement'!BS12</f>
        <v/>
      </c>
      <c r="BT12">
        <f>IF(INDEX(Cal_Weeks[MonthYearLabel],71)&lt;&gt;INDEX(Cal_Weeks[MonthYearLabel],70),'Grid_Stock'!BS12,BS12)+'Grid_Incoming'!BT12-'Grid_Requirement'!BT12</f>
        <v/>
      </c>
      <c r="BU12">
        <f>IF(INDEX(Cal_Weeks[MonthYearLabel],72)&lt;&gt;INDEX(Cal_Weeks[MonthYearLabel],71),'Grid_Stock'!BT12,BT12)+'Grid_Incoming'!BU12-'Grid_Requirement'!BU12</f>
        <v/>
      </c>
      <c r="BV12">
        <f>IF(INDEX(Cal_Weeks[MonthYearLabel],73)&lt;&gt;INDEX(Cal_Weeks[MonthYearLabel],72),'Grid_Stock'!BU12,BU12)+'Grid_Incoming'!BV12-'Grid_Requirement'!BV12</f>
        <v/>
      </c>
      <c r="BW12">
        <f>IF(INDEX(Cal_Weeks[MonthYearLabel],74)&lt;&gt;INDEX(Cal_Weeks[MonthYearLabel],73),'Grid_Stock'!BV12,BV12)+'Grid_Incoming'!BW12-'Grid_Requirement'!BW12</f>
        <v/>
      </c>
      <c r="BX12">
        <f>IF(INDEX(Cal_Weeks[MonthYearLabel],75)&lt;&gt;INDEX(Cal_Weeks[MonthYearLabel],74),'Grid_Stock'!BW12,BW12)+'Grid_Incoming'!BX12-'Grid_Requirement'!BX12</f>
        <v/>
      </c>
      <c r="BY12">
        <f>IF(INDEX(Cal_Weeks[MonthYearLabel],76)&lt;&gt;INDEX(Cal_Weeks[MonthYearLabel],75),'Grid_Stock'!BX12,BX12)+'Grid_Incoming'!BY12-'Grid_Requirement'!BY12</f>
        <v/>
      </c>
      <c r="BZ12">
        <f>IF(INDEX(Cal_Weeks[MonthYearLabel],77)&lt;&gt;INDEX(Cal_Weeks[MonthYearLabel],76),'Grid_Stock'!BY12,BY12)+'Grid_Incoming'!BZ12-'Grid_Requirement'!BZ12</f>
        <v/>
      </c>
      <c r="CA12">
        <f>IF(INDEX(Cal_Weeks[MonthYearLabel],78)&lt;&gt;INDEX(Cal_Weeks[MonthYearLabel],77),'Grid_Stock'!BZ12,BZ12)+'Grid_Incoming'!CA12-'Grid_Requirement'!CA12</f>
        <v/>
      </c>
      <c r="CB12">
        <f>IF(INDEX(Cal_Weeks[MonthYearLabel],79)&lt;&gt;INDEX(Cal_Weeks[MonthYearLabel],78),'Grid_Stock'!CA12,CA12)+'Grid_Incoming'!CB12-'Grid_Requirement'!CB12</f>
        <v/>
      </c>
      <c r="CC12">
        <f>IF(INDEX(Cal_Weeks[MonthYearLabel],80)&lt;&gt;INDEX(Cal_Weeks[MonthYearLabel],79),'Grid_Stock'!CB12,CB12)+'Grid_Incoming'!CC12-'Grid_Requirement'!CC12</f>
        <v/>
      </c>
      <c r="CD12">
        <f>IF(INDEX(Cal_Weeks[MonthYearLabel],81)&lt;&gt;INDEX(Cal_Weeks[MonthYearLabel],80),'Grid_Stock'!CC12,CC12)+'Grid_Incoming'!CD12-'Grid_Requirement'!CD12</f>
        <v/>
      </c>
      <c r="CE12">
        <f>IF(INDEX(Cal_Weeks[MonthYearLabel],82)&lt;&gt;INDEX(Cal_Weeks[MonthYearLabel],81),'Grid_Stock'!CD12,CD12)+'Grid_Incoming'!CE12-'Grid_Requirement'!CE12</f>
        <v/>
      </c>
      <c r="CF12">
        <f>IF(INDEX(Cal_Weeks[MonthYearLabel],83)&lt;&gt;INDEX(Cal_Weeks[MonthYearLabel],82),'Grid_Stock'!CE12,CE12)+'Grid_Incoming'!CF12-'Grid_Requirement'!CF12</f>
        <v/>
      </c>
      <c r="CG12">
        <f>IF(INDEX(Cal_Weeks[MonthYearLabel],84)&lt;&gt;INDEX(Cal_Weeks[MonthYearLabel],83),'Grid_Stock'!CF12,CF12)+'Grid_Incoming'!CG12-'Grid_Requirement'!CG12</f>
        <v/>
      </c>
      <c r="CH12">
        <f>IF(INDEX(Cal_Weeks[MonthYearLabel],85)&lt;&gt;INDEX(Cal_Weeks[MonthYearLabel],84),'Grid_Stock'!CG12,CG12)+'Grid_Incoming'!CH12-'Grid_Requirement'!CH12</f>
        <v/>
      </c>
      <c r="CI12">
        <f>IF(INDEX(Cal_Weeks[MonthYearLabel],86)&lt;&gt;INDEX(Cal_Weeks[MonthYearLabel],85),'Grid_Stock'!CH12,CH12)+'Grid_Incoming'!CI12-'Grid_Requirement'!CI12</f>
        <v/>
      </c>
      <c r="CJ12">
        <f>IF(INDEX(Cal_Weeks[MonthYearLabel],87)&lt;&gt;INDEX(Cal_Weeks[MonthYearLabel],86),'Grid_Stock'!CI12,CI12)+'Grid_Incoming'!CJ12-'Grid_Requirement'!CJ12</f>
        <v/>
      </c>
      <c r="CK12">
        <f>IF(INDEX(Cal_Weeks[MonthYearLabel],88)&lt;&gt;INDEX(Cal_Weeks[MonthYearLabel],87),'Grid_Stock'!CJ12,CJ12)+'Grid_Incoming'!CK12-'Grid_Requirement'!CK12</f>
        <v/>
      </c>
      <c r="CL12">
        <f>IF(INDEX(Cal_Weeks[MonthYearLabel],89)&lt;&gt;INDEX(Cal_Weeks[MonthYearLabel],88),'Grid_Stock'!CK12,CK12)+'Grid_Incoming'!CL12-'Grid_Requirement'!CL12</f>
        <v/>
      </c>
      <c r="CM12">
        <f>IF(INDEX(Cal_Weeks[MonthYearLabel],90)&lt;&gt;INDEX(Cal_Weeks[MonthYearLabel],89),'Grid_Stock'!CL12,CL12)+'Grid_Incoming'!CM12-'Grid_Requirement'!CM12</f>
        <v/>
      </c>
      <c r="CN12">
        <f>IF(INDEX(Cal_Weeks[MonthYearLabel],91)&lt;&gt;INDEX(Cal_Weeks[MonthYearLabel],90),'Grid_Stock'!CM12,CM12)+'Grid_Incoming'!CN12-'Grid_Requirement'!CN12</f>
        <v/>
      </c>
      <c r="CO12">
        <f>IF(INDEX(Cal_Weeks[MonthYearLabel],92)&lt;&gt;INDEX(Cal_Weeks[MonthYearLabel],91),'Grid_Stock'!CN12,CN12)+'Grid_Incoming'!CO12-'Grid_Requirement'!CO12</f>
        <v/>
      </c>
      <c r="CP12">
        <f>IF(INDEX(Cal_Weeks[MonthYearLabel],93)&lt;&gt;INDEX(Cal_Weeks[MonthYearLabel],92),'Grid_Stock'!CO12,CO12)+'Grid_Incoming'!CP12-'Grid_Requirement'!CP12</f>
        <v/>
      </c>
      <c r="CQ12">
        <f>IF(INDEX(Cal_Weeks[MonthYearLabel],94)&lt;&gt;INDEX(Cal_Weeks[MonthYearLabel],93),'Grid_Stock'!CP12,CP12)+'Grid_Incoming'!CQ12-'Grid_Requirement'!CQ12</f>
        <v/>
      </c>
      <c r="CR12">
        <f>IF(INDEX(Cal_Weeks[MonthYearLabel],95)&lt;&gt;INDEX(Cal_Weeks[MonthYearLabel],94),'Grid_Stock'!CQ12,CQ12)+'Grid_Incoming'!CR12-'Grid_Requirement'!CR12</f>
        <v/>
      </c>
      <c r="CS12">
        <f>IF(INDEX(Cal_Weeks[MonthYearLabel],96)&lt;&gt;INDEX(Cal_Weeks[MonthYearLabel],95),'Grid_Stock'!CR12,CR12)+'Grid_Incoming'!CS12-'Grid_Requirement'!CS12</f>
        <v/>
      </c>
      <c r="CT12">
        <f>IF(INDEX(Cal_Weeks[MonthYearLabel],97)&lt;&gt;INDEX(Cal_Weeks[MonthYearLabel],96),'Grid_Stock'!CS12,CS12)+'Grid_Incoming'!CT12-'Grid_Requirement'!CT12</f>
        <v/>
      </c>
      <c r="CU12">
        <f>IF(INDEX(Cal_Weeks[MonthYearLabel],98)&lt;&gt;INDEX(Cal_Weeks[MonthYearLabel],97),'Grid_Stock'!CT12,CT12)+'Grid_Incoming'!CU12-'Grid_Requirement'!CU12</f>
        <v/>
      </c>
      <c r="CV12">
        <f>IF(INDEX(Cal_Weeks[MonthYearLabel],99)&lt;&gt;INDEX(Cal_Weeks[MonthYearLabel],98),'Grid_Stock'!CU12,CU12)+'Grid_Incoming'!CV12-'Grid_Requirement'!CV12</f>
        <v/>
      </c>
      <c r="CW12">
        <f>IF(INDEX(Cal_Weeks[MonthYearLabel],100)&lt;&gt;INDEX(Cal_Weeks[MonthYearLabel],99),'Grid_Stock'!CV12,CV12)+'Grid_Incoming'!CW12-'Grid_Requirement'!CW12</f>
        <v/>
      </c>
      <c r="CX12">
        <f>IF(INDEX(Cal_Weeks[MonthYearLabel],101)&lt;&gt;INDEX(Cal_Weeks[MonthYearLabel],100),'Grid_Stock'!CW12,CW12)+'Grid_Incoming'!CX12-'Grid_Requirement'!CX12</f>
        <v/>
      </c>
      <c r="CY12">
        <f>IF(INDEX(Cal_Weeks[MonthYearLabel],102)&lt;&gt;INDEX(Cal_Weeks[MonthYearLabel],101),'Grid_Stock'!CX12,CX12)+'Grid_Incoming'!CY12-'Grid_Requirement'!CY12</f>
        <v/>
      </c>
      <c r="CZ12">
        <f>IF(INDEX(Cal_Weeks[MonthYearLabel],103)&lt;&gt;INDEX(Cal_Weeks[MonthYearLabel],102),'Grid_Stock'!CY12,CY12)+'Grid_Incoming'!CZ12-'Grid_Requirement'!CZ12</f>
        <v/>
      </c>
      <c r="DA12">
        <f>IF(INDEX(Cal_Weeks[MonthYearLabel],104)&lt;&gt;INDEX(Cal_Weeks[MonthYearLabel],103),'Grid_Stock'!CZ12,CZ12)+'Grid_Incoming'!DA12-'Grid_Requirement'!DA12</f>
        <v/>
      </c>
    </row>
    <row r="13">
      <c r="A13" t="inlineStr">
        <is>
          <t>ABN</t>
        </is>
      </c>
      <c r="B13">
        <f>IFERROR(INDEX(T_OpeningStock[Opening_Qty_要入力],MATCH($A13,T_OpeningStock[Part Name],0)),0)+'Grid_Incoming'!B13-'Grid_Requirement'!B13</f>
        <v/>
      </c>
      <c r="C13">
        <f>IF(INDEX(Cal_Weeks[MonthYearLabel],2)&lt;&gt;INDEX(Cal_Weeks[MonthYearLabel],1),'Grid_Stock'!B13,B13)+'Grid_Incoming'!C13-'Grid_Requirement'!C13</f>
        <v/>
      </c>
      <c r="D13">
        <f>IF(INDEX(Cal_Weeks[MonthYearLabel],3)&lt;&gt;INDEX(Cal_Weeks[MonthYearLabel],2),'Grid_Stock'!C13,C13)+'Grid_Incoming'!D13-'Grid_Requirement'!D13</f>
        <v/>
      </c>
      <c r="E13">
        <f>IF(INDEX(Cal_Weeks[MonthYearLabel],4)&lt;&gt;INDEX(Cal_Weeks[MonthYearLabel],3),'Grid_Stock'!D13,D13)+'Grid_Incoming'!E13-'Grid_Requirement'!E13</f>
        <v/>
      </c>
      <c r="F13">
        <f>IF(INDEX(Cal_Weeks[MonthYearLabel],5)&lt;&gt;INDEX(Cal_Weeks[MonthYearLabel],4),'Grid_Stock'!E13,E13)+'Grid_Incoming'!F13-'Grid_Requirement'!F13</f>
        <v/>
      </c>
      <c r="G13">
        <f>IF(INDEX(Cal_Weeks[MonthYearLabel],6)&lt;&gt;INDEX(Cal_Weeks[MonthYearLabel],5),'Grid_Stock'!F13,F13)+'Grid_Incoming'!G13-'Grid_Requirement'!G13</f>
        <v/>
      </c>
      <c r="H13">
        <f>IF(INDEX(Cal_Weeks[MonthYearLabel],7)&lt;&gt;INDEX(Cal_Weeks[MonthYearLabel],6),'Grid_Stock'!G13,G13)+'Grid_Incoming'!H13-'Grid_Requirement'!H13</f>
        <v/>
      </c>
      <c r="I13">
        <f>IF(INDEX(Cal_Weeks[MonthYearLabel],8)&lt;&gt;INDEX(Cal_Weeks[MonthYearLabel],7),'Grid_Stock'!H13,H13)+'Grid_Incoming'!I13-'Grid_Requirement'!I13</f>
        <v/>
      </c>
      <c r="J13">
        <f>IF(INDEX(Cal_Weeks[MonthYearLabel],9)&lt;&gt;INDEX(Cal_Weeks[MonthYearLabel],8),'Grid_Stock'!I13,I13)+'Grid_Incoming'!J13-'Grid_Requirement'!J13</f>
        <v/>
      </c>
      <c r="K13">
        <f>IF(INDEX(Cal_Weeks[MonthYearLabel],10)&lt;&gt;INDEX(Cal_Weeks[MonthYearLabel],9),'Grid_Stock'!J13,J13)+'Grid_Incoming'!K13-'Grid_Requirement'!K13</f>
        <v/>
      </c>
      <c r="L13">
        <f>IF(INDEX(Cal_Weeks[MonthYearLabel],11)&lt;&gt;INDEX(Cal_Weeks[MonthYearLabel],10),'Grid_Stock'!K13,K13)+'Grid_Incoming'!L13-'Grid_Requirement'!L13</f>
        <v/>
      </c>
      <c r="M13">
        <f>IF(INDEX(Cal_Weeks[MonthYearLabel],12)&lt;&gt;INDEX(Cal_Weeks[MonthYearLabel],11),'Grid_Stock'!L13,L13)+'Grid_Incoming'!M13-'Grid_Requirement'!M13</f>
        <v/>
      </c>
      <c r="N13">
        <f>IF(INDEX(Cal_Weeks[MonthYearLabel],13)&lt;&gt;INDEX(Cal_Weeks[MonthYearLabel],12),'Grid_Stock'!M13,M13)+'Grid_Incoming'!N13-'Grid_Requirement'!N13</f>
        <v/>
      </c>
      <c r="O13">
        <f>IF(INDEX(Cal_Weeks[MonthYearLabel],14)&lt;&gt;INDEX(Cal_Weeks[MonthYearLabel],13),'Grid_Stock'!N13,N13)+'Grid_Incoming'!O13-'Grid_Requirement'!O13</f>
        <v/>
      </c>
      <c r="P13">
        <f>IF(INDEX(Cal_Weeks[MonthYearLabel],15)&lt;&gt;INDEX(Cal_Weeks[MonthYearLabel],14),'Grid_Stock'!O13,O13)+'Grid_Incoming'!P13-'Grid_Requirement'!P13</f>
        <v/>
      </c>
      <c r="Q13">
        <f>IF(INDEX(Cal_Weeks[MonthYearLabel],16)&lt;&gt;INDEX(Cal_Weeks[MonthYearLabel],15),'Grid_Stock'!P13,P13)+'Grid_Incoming'!Q13-'Grid_Requirement'!Q13</f>
        <v/>
      </c>
      <c r="R13">
        <f>IF(INDEX(Cal_Weeks[MonthYearLabel],17)&lt;&gt;INDEX(Cal_Weeks[MonthYearLabel],16),'Grid_Stock'!Q13,Q13)+'Grid_Incoming'!R13-'Grid_Requirement'!R13</f>
        <v/>
      </c>
      <c r="S13">
        <f>IF(INDEX(Cal_Weeks[MonthYearLabel],18)&lt;&gt;INDEX(Cal_Weeks[MonthYearLabel],17),'Grid_Stock'!R13,R13)+'Grid_Incoming'!S13-'Grid_Requirement'!S13</f>
        <v/>
      </c>
      <c r="T13">
        <f>IF(INDEX(Cal_Weeks[MonthYearLabel],19)&lt;&gt;INDEX(Cal_Weeks[MonthYearLabel],18),'Grid_Stock'!S13,S13)+'Grid_Incoming'!T13-'Grid_Requirement'!T13</f>
        <v/>
      </c>
      <c r="U13">
        <f>IF(INDEX(Cal_Weeks[MonthYearLabel],20)&lt;&gt;INDEX(Cal_Weeks[MonthYearLabel],19),'Grid_Stock'!T13,T13)+'Grid_Incoming'!U13-'Grid_Requirement'!U13</f>
        <v/>
      </c>
      <c r="V13">
        <f>IF(INDEX(Cal_Weeks[MonthYearLabel],21)&lt;&gt;INDEX(Cal_Weeks[MonthYearLabel],20),'Grid_Stock'!U13,U13)+'Grid_Incoming'!V13-'Grid_Requirement'!V13</f>
        <v/>
      </c>
      <c r="W13">
        <f>IF(INDEX(Cal_Weeks[MonthYearLabel],22)&lt;&gt;INDEX(Cal_Weeks[MonthYearLabel],21),'Grid_Stock'!V13,V13)+'Grid_Incoming'!W13-'Grid_Requirement'!W13</f>
        <v/>
      </c>
      <c r="X13">
        <f>IF(INDEX(Cal_Weeks[MonthYearLabel],23)&lt;&gt;INDEX(Cal_Weeks[MonthYearLabel],22),'Grid_Stock'!W13,W13)+'Grid_Incoming'!X13-'Grid_Requirement'!X13</f>
        <v/>
      </c>
      <c r="Y13">
        <f>IF(INDEX(Cal_Weeks[MonthYearLabel],24)&lt;&gt;INDEX(Cal_Weeks[MonthYearLabel],23),'Grid_Stock'!X13,X13)+'Grid_Incoming'!Y13-'Grid_Requirement'!Y13</f>
        <v/>
      </c>
      <c r="Z13">
        <f>IF(INDEX(Cal_Weeks[MonthYearLabel],25)&lt;&gt;INDEX(Cal_Weeks[MonthYearLabel],24),'Grid_Stock'!Y13,Y13)+'Grid_Incoming'!Z13-'Grid_Requirement'!Z13</f>
        <v/>
      </c>
      <c r="AA13">
        <f>IF(INDEX(Cal_Weeks[MonthYearLabel],26)&lt;&gt;INDEX(Cal_Weeks[MonthYearLabel],25),'Grid_Stock'!Z13,Z13)+'Grid_Incoming'!AA13-'Grid_Requirement'!AA13</f>
        <v/>
      </c>
      <c r="AB13">
        <f>IF(INDEX(Cal_Weeks[MonthYearLabel],27)&lt;&gt;INDEX(Cal_Weeks[MonthYearLabel],26),'Grid_Stock'!AA13,AA13)+'Grid_Incoming'!AB13-'Grid_Requirement'!AB13</f>
        <v/>
      </c>
      <c r="AC13">
        <f>IF(INDEX(Cal_Weeks[MonthYearLabel],28)&lt;&gt;INDEX(Cal_Weeks[MonthYearLabel],27),'Grid_Stock'!AB13,AB13)+'Grid_Incoming'!AC13-'Grid_Requirement'!AC13</f>
        <v/>
      </c>
      <c r="AD13">
        <f>IF(INDEX(Cal_Weeks[MonthYearLabel],29)&lt;&gt;INDEX(Cal_Weeks[MonthYearLabel],28),'Grid_Stock'!AC13,AC13)+'Grid_Incoming'!AD13-'Grid_Requirement'!AD13</f>
        <v/>
      </c>
      <c r="AE13">
        <f>IF(INDEX(Cal_Weeks[MonthYearLabel],30)&lt;&gt;INDEX(Cal_Weeks[MonthYearLabel],29),'Grid_Stock'!AD13,AD13)+'Grid_Incoming'!AE13-'Grid_Requirement'!AE13</f>
        <v/>
      </c>
      <c r="AF13">
        <f>IF(INDEX(Cal_Weeks[MonthYearLabel],31)&lt;&gt;INDEX(Cal_Weeks[MonthYearLabel],30),'Grid_Stock'!AE13,AE13)+'Grid_Incoming'!AF13-'Grid_Requirement'!AF13</f>
        <v/>
      </c>
      <c r="AG13">
        <f>IF(INDEX(Cal_Weeks[MonthYearLabel],32)&lt;&gt;INDEX(Cal_Weeks[MonthYearLabel],31),'Grid_Stock'!AF13,AF13)+'Grid_Incoming'!AG13-'Grid_Requirement'!AG13</f>
        <v/>
      </c>
      <c r="AH13">
        <f>IF(INDEX(Cal_Weeks[MonthYearLabel],33)&lt;&gt;INDEX(Cal_Weeks[MonthYearLabel],32),'Grid_Stock'!AG13,AG13)+'Grid_Incoming'!AH13-'Grid_Requirement'!AH13</f>
        <v/>
      </c>
      <c r="AI13">
        <f>IF(INDEX(Cal_Weeks[MonthYearLabel],34)&lt;&gt;INDEX(Cal_Weeks[MonthYearLabel],33),'Grid_Stock'!AH13,AH13)+'Grid_Incoming'!AI13-'Grid_Requirement'!AI13</f>
        <v/>
      </c>
      <c r="AJ13">
        <f>IF(INDEX(Cal_Weeks[MonthYearLabel],35)&lt;&gt;INDEX(Cal_Weeks[MonthYearLabel],34),'Grid_Stock'!AI13,AI13)+'Grid_Incoming'!AJ13-'Grid_Requirement'!AJ13</f>
        <v/>
      </c>
      <c r="AK13">
        <f>IF(INDEX(Cal_Weeks[MonthYearLabel],36)&lt;&gt;INDEX(Cal_Weeks[MonthYearLabel],35),'Grid_Stock'!AJ13,AJ13)+'Grid_Incoming'!AK13-'Grid_Requirement'!AK13</f>
        <v/>
      </c>
      <c r="AL13">
        <f>IF(INDEX(Cal_Weeks[MonthYearLabel],37)&lt;&gt;INDEX(Cal_Weeks[MonthYearLabel],36),'Grid_Stock'!AK13,AK13)+'Grid_Incoming'!AL13-'Grid_Requirement'!AL13</f>
        <v/>
      </c>
      <c r="AM13">
        <f>IF(INDEX(Cal_Weeks[MonthYearLabel],38)&lt;&gt;INDEX(Cal_Weeks[MonthYearLabel],37),'Grid_Stock'!AL13,AL13)+'Grid_Incoming'!AM13-'Grid_Requirement'!AM13</f>
        <v/>
      </c>
      <c r="AN13">
        <f>IF(INDEX(Cal_Weeks[MonthYearLabel],39)&lt;&gt;INDEX(Cal_Weeks[MonthYearLabel],38),'Grid_Stock'!AM13,AM13)+'Grid_Incoming'!AN13-'Grid_Requirement'!AN13</f>
        <v/>
      </c>
      <c r="AO13">
        <f>IF(INDEX(Cal_Weeks[MonthYearLabel],40)&lt;&gt;INDEX(Cal_Weeks[MonthYearLabel],39),'Grid_Stock'!AN13,AN13)+'Grid_Incoming'!AO13-'Grid_Requirement'!AO13</f>
        <v/>
      </c>
      <c r="AP13">
        <f>IF(INDEX(Cal_Weeks[MonthYearLabel],41)&lt;&gt;INDEX(Cal_Weeks[MonthYearLabel],40),'Grid_Stock'!AO13,AO13)+'Grid_Incoming'!AP13-'Grid_Requirement'!AP13</f>
        <v/>
      </c>
      <c r="AQ13">
        <f>IF(INDEX(Cal_Weeks[MonthYearLabel],42)&lt;&gt;INDEX(Cal_Weeks[MonthYearLabel],41),'Grid_Stock'!AP13,AP13)+'Grid_Incoming'!AQ13-'Grid_Requirement'!AQ13</f>
        <v/>
      </c>
      <c r="AR13">
        <f>IF(INDEX(Cal_Weeks[MonthYearLabel],43)&lt;&gt;INDEX(Cal_Weeks[MonthYearLabel],42),'Grid_Stock'!AQ13,AQ13)+'Grid_Incoming'!AR13-'Grid_Requirement'!AR13</f>
        <v/>
      </c>
      <c r="AS13">
        <f>IF(INDEX(Cal_Weeks[MonthYearLabel],44)&lt;&gt;INDEX(Cal_Weeks[MonthYearLabel],43),'Grid_Stock'!AR13,AR13)+'Grid_Incoming'!AS13-'Grid_Requirement'!AS13</f>
        <v/>
      </c>
      <c r="AT13">
        <f>IF(INDEX(Cal_Weeks[MonthYearLabel],45)&lt;&gt;INDEX(Cal_Weeks[MonthYearLabel],44),'Grid_Stock'!AS13,AS13)+'Grid_Incoming'!AT13-'Grid_Requirement'!AT13</f>
        <v/>
      </c>
      <c r="AU13">
        <f>IF(INDEX(Cal_Weeks[MonthYearLabel],46)&lt;&gt;INDEX(Cal_Weeks[MonthYearLabel],45),'Grid_Stock'!AT13,AT13)+'Grid_Incoming'!AU13-'Grid_Requirement'!AU13</f>
        <v/>
      </c>
      <c r="AV13">
        <f>IF(INDEX(Cal_Weeks[MonthYearLabel],47)&lt;&gt;INDEX(Cal_Weeks[MonthYearLabel],46),'Grid_Stock'!AU13,AU13)+'Grid_Incoming'!AV13-'Grid_Requirement'!AV13</f>
        <v/>
      </c>
      <c r="AW13">
        <f>IF(INDEX(Cal_Weeks[MonthYearLabel],48)&lt;&gt;INDEX(Cal_Weeks[MonthYearLabel],47),'Grid_Stock'!AV13,AV13)+'Grid_Incoming'!AW13-'Grid_Requirement'!AW13</f>
        <v/>
      </c>
      <c r="AX13">
        <f>IF(INDEX(Cal_Weeks[MonthYearLabel],49)&lt;&gt;INDEX(Cal_Weeks[MonthYearLabel],48),'Grid_Stock'!AW13,AW13)+'Grid_Incoming'!AX13-'Grid_Requirement'!AX13</f>
        <v/>
      </c>
      <c r="AY13">
        <f>IF(INDEX(Cal_Weeks[MonthYearLabel],50)&lt;&gt;INDEX(Cal_Weeks[MonthYearLabel],49),'Grid_Stock'!AX13,AX13)+'Grid_Incoming'!AY13-'Grid_Requirement'!AY13</f>
        <v/>
      </c>
      <c r="AZ13">
        <f>IF(INDEX(Cal_Weeks[MonthYearLabel],51)&lt;&gt;INDEX(Cal_Weeks[MonthYearLabel],50),'Grid_Stock'!AY13,AY13)+'Grid_Incoming'!AZ13-'Grid_Requirement'!AZ13</f>
        <v/>
      </c>
      <c r="BA13">
        <f>IF(INDEX(Cal_Weeks[MonthYearLabel],52)&lt;&gt;INDEX(Cal_Weeks[MonthYearLabel],51),'Grid_Stock'!AZ13,AZ13)+'Grid_Incoming'!BA13-'Grid_Requirement'!BA13</f>
        <v/>
      </c>
      <c r="BB13">
        <f>IF(INDEX(Cal_Weeks[MonthYearLabel],53)&lt;&gt;INDEX(Cal_Weeks[MonthYearLabel],52),'Grid_Stock'!BA13,BA13)+'Grid_Incoming'!BB13-'Grid_Requirement'!BB13</f>
        <v/>
      </c>
      <c r="BC13">
        <f>IF(INDEX(Cal_Weeks[MonthYearLabel],54)&lt;&gt;INDEX(Cal_Weeks[MonthYearLabel],53),'Grid_Stock'!BB13,BB13)+'Grid_Incoming'!BC13-'Grid_Requirement'!BC13</f>
        <v/>
      </c>
      <c r="BD13">
        <f>IF(INDEX(Cal_Weeks[MonthYearLabel],55)&lt;&gt;INDEX(Cal_Weeks[MonthYearLabel],54),'Grid_Stock'!BC13,BC13)+'Grid_Incoming'!BD13-'Grid_Requirement'!BD13</f>
        <v/>
      </c>
      <c r="BE13">
        <f>IF(INDEX(Cal_Weeks[MonthYearLabel],56)&lt;&gt;INDEX(Cal_Weeks[MonthYearLabel],55),'Grid_Stock'!BD13,BD13)+'Grid_Incoming'!BE13-'Grid_Requirement'!BE13</f>
        <v/>
      </c>
      <c r="BF13">
        <f>IF(INDEX(Cal_Weeks[MonthYearLabel],57)&lt;&gt;INDEX(Cal_Weeks[MonthYearLabel],56),'Grid_Stock'!BE13,BE13)+'Grid_Incoming'!BF13-'Grid_Requirement'!BF13</f>
        <v/>
      </c>
      <c r="BG13">
        <f>IF(INDEX(Cal_Weeks[MonthYearLabel],58)&lt;&gt;INDEX(Cal_Weeks[MonthYearLabel],57),'Grid_Stock'!BF13,BF13)+'Grid_Incoming'!BG13-'Grid_Requirement'!BG13</f>
        <v/>
      </c>
      <c r="BH13">
        <f>IF(INDEX(Cal_Weeks[MonthYearLabel],59)&lt;&gt;INDEX(Cal_Weeks[MonthYearLabel],58),'Grid_Stock'!BG13,BG13)+'Grid_Incoming'!BH13-'Grid_Requirement'!BH13</f>
        <v/>
      </c>
      <c r="BI13">
        <f>IF(INDEX(Cal_Weeks[MonthYearLabel],60)&lt;&gt;INDEX(Cal_Weeks[MonthYearLabel],59),'Grid_Stock'!BH13,BH13)+'Grid_Incoming'!BI13-'Grid_Requirement'!BI13</f>
        <v/>
      </c>
      <c r="BJ13">
        <f>IF(INDEX(Cal_Weeks[MonthYearLabel],61)&lt;&gt;INDEX(Cal_Weeks[MonthYearLabel],60),'Grid_Stock'!BI13,BI13)+'Grid_Incoming'!BJ13-'Grid_Requirement'!BJ13</f>
        <v/>
      </c>
      <c r="BK13">
        <f>IF(INDEX(Cal_Weeks[MonthYearLabel],62)&lt;&gt;INDEX(Cal_Weeks[MonthYearLabel],61),'Grid_Stock'!BJ13,BJ13)+'Grid_Incoming'!BK13-'Grid_Requirement'!BK13</f>
        <v/>
      </c>
      <c r="BL13">
        <f>IF(INDEX(Cal_Weeks[MonthYearLabel],63)&lt;&gt;INDEX(Cal_Weeks[MonthYearLabel],62),'Grid_Stock'!BK13,BK13)+'Grid_Incoming'!BL13-'Grid_Requirement'!BL13</f>
        <v/>
      </c>
      <c r="BM13">
        <f>IF(INDEX(Cal_Weeks[MonthYearLabel],64)&lt;&gt;INDEX(Cal_Weeks[MonthYearLabel],63),'Grid_Stock'!BL13,BL13)+'Grid_Incoming'!BM13-'Grid_Requirement'!BM13</f>
        <v/>
      </c>
      <c r="BN13">
        <f>IF(INDEX(Cal_Weeks[MonthYearLabel],65)&lt;&gt;INDEX(Cal_Weeks[MonthYearLabel],64),'Grid_Stock'!BM13,BM13)+'Grid_Incoming'!BN13-'Grid_Requirement'!BN13</f>
        <v/>
      </c>
      <c r="BO13">
        <f>IF(INDEX(Cal_Weeks[MonthYearLabel],66)&lt;&gt;INDEX(Cal_Weeks[MonthYearLabel],65),'Grid_Stock'!BN13,BN13)+'Grid_Incoming'!BO13-'Grid_Requirement'!BO13</f>
        <v/>
      </c>
      <c r="BP13">
        <f>IF(INDEX(Cal_Weeks[MonthYearLabel],67)&lt;&gt;INDEX(Cal_Weeks[MonthYearLabel],66),'Grid_Stock'!BO13,BO13)+'Grid_Incoming'!BP13-'Grid_Requirement'!BP13</f>
        <v/>
      </c>
      <c r="BQ13">
        <f>IF(INDEX(Cal_Weeks[MonthYearLabel],68)&lt;&gt;INDEX(Cal_Weeks[MonthYearLabel],67),'Grid_Stock'!BP13,BP13)+'Grid_Incoming'!BQ13-'Grid_Requirement'!BQ13</f>
        <v/>
      </c>
      <c r="BR13">
        <f>IF(INDEX(Cal_Weeks[MonthYearLabel],69)&lt;&gt;INDEX(Cal_Weeks[MonthYearLabel],68),'Grid_Stock'!BQ13,BQ13)+'Grid_Incoming'!BR13-'Grid_Requirement'!BR13</f>
        <v/>
      </c>
      <c r="BS13">
        <f>IF(INDEX(Cal_Weeks[MonthYearLabel],70)&lt;&gt;INDEX(Cal_Weeks[MonthYearLabel],69),'Grid_Stock'!BR13,BR13)+'Grid_Incoming'!BS13-'Grid_Requirement'!BS13</f>
        <v/>
      </c>
      <c r="BT13">
        <f>IF(INDEX(Cal_Weeks[MonthYearLabel],71)&lt;&gt;INDEX(Cal_Weeks[MonthYearLabel],70),'Grid_Stock'!BS13,BS13)+'Grid_Incoming'!BT13-'Grid_Requirement'!BT13</f>
        <v/>
      </c>
      <c r="BU13">
        <f>IF(INDEX(Cal_Weeks[MonthYearLabel],72)&lt;&gt;INDEX(Cal_Weeks[MonthYearLabel],71),'Grid_Stock'!BT13,BT13)+'Grid_Incoming'!BU13-'Grid_Requirement'!BU13</f>
        <v/>
      </c>
      <c r="BV13">
        <f>IF(INDEX(Cal_Weeks[MonthYearLabel],73)&lt;&gt;INDEX(Cal_Weeks[MonthYearLabel],72),'Grid_Stock'!BU13,BU13)+'Grid_Incoming'!BV13-'Grid_Requirement'!BV13</f>
        <v/>
      </c>
      <c r="BW13">
        <f>IF(INDEX(Cal_Weeks[MonthYearLabel],74)&lt;&gt;INDEX(Cal_Weeks[MonthYearLabel],73),'Grid_Stock'!BV13,BV13)+'Grid_Incoming'!BW13-'Grid_Requirement'!BW13</f>
        <v/>
      </c>
      <c r="BX13">
        <f>IF(INDEX(Cal_Weeks[MonthYearLabel],75)&lt;&gt;INDEX(Cal_Weeks[MonthYearLabel],74),'Grid_Stock'!BW13,BW13)+'Grid_Incoming'!BX13-'Grid_Requirement'!BX13</f>
        <v/>
      </c>
      <c r="BY13">
        <f>IF(INDEX(Cal_Weeks[MonthYearLabel],76)&lt;&gt;INDEX(Cal_Weeks[MonthYearLabel],75),'Grid_Stock'!BX13,BX13)+'Grid_Incoming'!BY13-'Grid_Requirement'!BY13</f>
        <v/>
      </c>
      <c r="BZ13">
        <f>IF(INDEX(Cal_Weeks[MonthYearLabel],77)&lt;&gt;INDEX(Cal_Weeks[MonthYearLabel],76),'Grid_Stock'!BY13,BY13)+'Grid_Incoming'!BZ13-'Grid_Requirement'!BZ13</f>
        <v/>
      </c>
      <c r="CA13">
        <f>IF(INDEX(Cal_Weeks[MonthYearLabel],78)&lt;&gt;INDEX(Cal_Weeks[MonthYearLabel],77),'Grid_Stock'!BZ13,BZ13)+'Grid_Incoming'!CA13-'Grid_Requirement'!CA13</f>
        <v/>
      </c>
      <c r="CB13">
        <f>IF(INDEX(Cal_Weeks[MonthYearLabel],79)&lt;&gt;INDEX(Cal_Weeks[MonthYearLabel],78),'Grid_Stock'!CA13,CA13)+'Grid_Incoming'!CB13-'Grid_Requirement'!CB13</f>
        <v/>
      </c>
      <c r="CC13">
        <f>IF(INDEX(Cal_Weeks[MonthYearLabel],80)&lt;&gt;INDEX(Cal_Weeks[MonthYearLabel],79),'Grid_Stock'!CB13,CB13)+'Grid_Incoming'!CC13-'Grid_Requirement'!CC13</f>
        <v/>
      </c>
      <c r="CD13">
        <f>IF(INDEX(Cal_Weeks[MonthYearLabel],81)&lt;&gt;INDEX(Cal_Weeks[MonthYearLabel],80),'Grid_Stock'!CC13,CC13)+'Grid_Incoming'!CD13-'Grid_Requirement'!CD13</f>
        <v/>
      </c>
      <c r="CE13">
        <f>IF(INDEX(Cal_Weeks[MonthYearLabel],82)&lt;&gt;INDEX(Cal_Weeks[MonthYearLabel],81),'Grid_Stock'!CD13,CD13)+'Grid_Incoming'!CE13-'Grid_Requirement'!CE13</f>
        <v/>
      </c>
      <c r="CF13">
        <f>IF(INDEX(Cal_Weeks[MonthYearLabel],83)&lt;&gt;INDEX(Cal_Weeks[MonthYearLabel],82),'Grid_Stock'!CE13,CE13)+'Grid_Incoming'!CF13-'Grid_Requirement'!CF13</f>
        <v/>
      </c>
      <c r="CG13">
        <f>IF(INDEX(Cal_Weeks[MonthYearLabel],84)&lt;&gt;INDEX(Cal_Weeks[MonthYearLabel],83),'Grid_Stock'!CF13,CF13)+'Grid_Incoming'!CG13-'Grid_Requirement'!CG13</f>
        <v/>
      </c>
      <c r="CH13">
        <f>IF(INDEX(Cal_Weeks[MonthYearLabel],85)&lt;&gt;INDEX(Cal_Weeks[MonthYearLabel],84),'Grid_Stock'!CG13,CG13)+'Grid_Incoming'!CH13-'Grid_Requirement'!CH13</f>
        <v/>
      </c>
      <c r="CI13">
        <f>IF(INDEX(Cal_Weeks[MonthYearLabel],86)&lt;&gt;INDEX(Cal_Weeks[MonthYearLabel],85),'Grid_Stock'!CH13,CH13)+'Grid_Incoming'!CI13-'Grid_Requirement'!CI13</f>
        <v/>
      </c>
      <c r="CJ13">
        <f>IF(INDEX(Cal_Weeks[MonthYearLabel],87)&lt;&gt;INDEX(Cal_Weeks[MonthYearLabel],86),'Grid_Stock'!CI13,CI13)+'Grid_Incoming'!CJ13-'Grid_Requirement'!CJ13</f>
        <v/>
      </c>
      <c r="CK13">
        <f>IF(INDEX(Cal_Weeks[MonthYearLabel],88)&lt;&gt;INDEX(Cal_Weeks[MonthYearLabel],87),'Grid_Stock'!CJ13,CJ13)+'Grid_Incoming'!CK13-'Grid_Requirement'!CK13</f>
        <v/>
      </c>
      <c r="CL13">
        <f>IF(INDEX(Cal_Weeks[MonthYearLabel],89)&lt;&gt;INDEX(Cal_Weeks[MonthYearLabel],88),'Grid_Stock'!CK13,CK13)+'Grid_Incoming'!CL13-'Grid_Requirement'!CL13</f>
        <v/>
      </c>
      <c r="CM13">
        <f>IF(INDEX(Cal_Weeks[MonthYearLabel],90)&lt;&gt;INDEX(Cal_Weeks[MonthYearLabel],89),'Grid_Stock'!CL13,CL13)+'Grid_Incoming'!CM13-'Grid_Requirement'!CM13</f>
        <v/>
      </c>
      <c r="CN13">
        <f>IF(INDEX(Cal_Weeks[MonthYearLabel],91)&lt;&gt;INDEX(Cal_Weeks[MonthYearLabel],90),'Grid_Stock'!CM13,CM13)+'Grid_Incoming'!CN13-'Grid_Requirement'!CN13</f>
        <v/>
      </c>
      <c r="CO13">
        <f>IF(INDEX(Cal_Weeks[MonthYearLabel],92)&lt;&gt;INDEX(Cal_Weeks[MonthYearLabel],91),'Grid_Stock'!CN13,CN13)+'Grid_Incoming'!CO13-'Grid_Requirement'!CO13</f>
        <v/>
      </c>
      <c r="CP13">
        <f>IF(INDEX(Cal_Weeks[MonthYearLabel],93)&lt;&gt;INDEX(Cal_Weeks[MonthYearLabel],92),'Grid_Stock'!CO13,CO13)+'Grid_Incoming'!CP13-'Grid_Requirement'!CP13</f>
        <v/>
      </c>
      <c r="CQ13">
        <f>IF(INDEX(Cal_Weeks[MonthYearLabel],94)&lt;&gt;INDEX(Cal_Weeks[MonthYearLabel],93),'Grid_Stock'!CP13,CP13)+'Grid_Incoming'!CQ13-'Grid_Requirement'!CQ13</f>
        <v/>
      </c>
      <c r="CR13">
        <f>IF(INDEX(Cal_Weeks[MonthYearLabel],95)&lt;&gt;INDEX(Cal_Weeks[MonthYearLabel],94),'Grid_Stock'!CQ13,CQ13)+'Grid_Incoming'!CR13-'Grid_Requirement'!CR13</f>
        <v/>
      </c>
      <c r="CS13">
        <f>IF(INDEX(Cal_Weeks[MonthYearLabel],96)&lt;&gt;INDEX(Cal_Weeks[MonthYearLabel],95),'Grid_Stock'!CR13,CR13)+'Grid_Incoming'!CS13-'Grid_Requirement'!CS13</f>
        <v/>
      </c>
      <c r="CT13">
        <f>IF(INDEX(Cal_Weeks[MonthYearLabel],97)&lt;&gt;INDEX(Cal_Weeks[MonthYearLabel],96),'Grid_Stock'!CS13,CS13)+'Grid_Incoming'!CT13-'Grid_Requirement'!CT13</f>
        <v/>
      </c>
      <c r="CU13">
        <f>IF(INDEX(Cal_Weeks[MonthYearLabel],98)&lt;&gt;INDEX(Cal_Weeks[MonthYearLabel],97),'Grid_Stock'!CT13,CT13)+'Grid_Incoming'!CU13-'Grid_Requirement'!CU13</f>
        <v/>
      </c>
      <c r="CV13">
        <f>IF(INDEX(Cal_Weeks[MonthYearLabel],99)&lt;&gt;INDEX(Cal_Weeks[MonthYearLabel],98),'Grid_Stock'!CU13,CU13)+'Grid_Incoming'!CV13-'Grid_Requirement'!CV13</f>
        <v/>
      </c>
      <c r="CW13">
        <f>IF(INDEX(Cal_Weeks[MonthYearLabel],100)&lt;&gt;INDEX(Cal_Weeks[MonthYearLabel],99),'Grid_Stock'!CV13,CV13)+'Grid_Incoming'!CW13-'Grid_Requirement'!CW13</f>
        <v/>
      </c>
      <c r="CX13">
        <f>IF(INDEX(Cal_Weeks[MonthYearLabel],101)&lt;&gt;INDEX(Cal_Weeks[MonthYearLabel],100),'Grid_Stock'!CW13,CW13)+'Grid_Incoming'!CX13-'Grid_Requirement'!CX13</f>
        <v/>
      </c>
      <c r="CY13">
        <f>IF(INDEX(Cal_Weeks[MonthYearLabel],102)&lt;&gt;INDEX(Cal_Weeks[MonthYearLabel],101),'Grid_Stock'!CX13,CX13)+'Grid_Incoming'!CY13-'Grid_Requirement'!CY13</f>
        <v/>
      </c>
      <c r="CZ13">
        <f>IF(INDEX(Cal_Weeks[MonthYearLabel],103)&lt;&gt;INDEX(Cal_Weeks[MonthYearLabel],102),'Grid_Stock'!CY13,CY13)+'Grid_Incoming'!CZ13-'Grid_Requirement'!CZ13</f>
        <v/>
      </c>
      <c r="DA13">
        <f>IF(INDEX(Cal_Weeks[MonthYearLabel],104)&lt;&gt;INDEX(Cal_Weeks[MonthYearLabel],103),'Grid_Stock'!CZ13,CZ13)+'Grid_Incoming'!DA13-'Grid_Requirement'!DA13</f>
        <v/>
      </c>
    </row>
    <row r="14">
      <c r="A14" t="inlineStr">
        <is>
          <t>OLJ</t>
        </is>
      </c>
      <c r="B14">
        <f>IFERROR(INDEX(T_OpeningStock[Opening_Qty_要入力],MATCH($A14,T_OpeningStock[Part Name],0)),0)+'Grid_Incoming'!B14-'Grid_Requirement'!B14</f>
        <v/>
      </c>
      <c r="C14">
        <f>IF(INDEX(Cal_Weeks[MonthYearLabel],2)&lt;&gt;INDEX(Cal_Weeks[MonthYearLabel],1),'Grid_Stock'!B14,B14)+'Grid_Incoming'!C14-'Grid_Requirement'!C14</f>
        <v/>
      </c>
      <c r="D14">
        <f>IF(INDEX(Cal_Weeks[MonthYearLabel],3)&lt;&gt;INDEX(Cal_Weeks[MonthYearLabel],2),'Grid_Stock'!C14,C14)+'Grid_Incoming'!D14-'Grid_Requirement'!D14</f>
        <v/>
      </c>
      <c r="E14">
        <f>IF(INDEX(Cal_Weeks[MonthYearLabel],4)&lt;&gt;INDEX(Cal_Weeks[MonthYearLabel],3),'Grid_Stock'!D14,D14)+'Grid_Incoming'!E14-'Grid_Requirement'!E14</f>
        <v/>
      </c>
      <c r="F14">
        <f>IF(INDEX(Cal_Weeks[MonthYearLabel],5)&lt;&gt;INDEX(Cal_Weeks[MonthYearLabel],4),'Grid_Stock'!E14,E14)+'Grid_Incoming'!F14-'Grid_Requirement'!F14</f>
        <v/>
      </c>
      <c r="G14">
        <f>IF(INDEX(Cal_Weeks[MonthYearLabel],6)&lt;&gt;INDEX(Cal_Weeks[MonthYearLabel],5),'Grid_Stock'!F14,F14)+'Grid_Incoming'!G14-'Grid_Requirement'!G14</f>
        <v/>
      </c>
      <c r="H14">
        <f>IF(INDEX(Cal_Weeks[MonthYearLabel],7)&lt;&gt;INDEX(Cal_Weeks[MonthYearLabel],6),'Grid_Stock'!G14,G14)+'Grid_Incoming'!H14-'Grid_Requirement'!H14</f>
        <v/>
      </c>
      <c r="I14">
        <f>IF(INDEX(Cal_Weeks[MonthYearLabel],8)&lt;&gt;INDEX(Cal_Weeks[MonthYearLabel],7),'Grid_Stock'!H14,H14)+'Grid_Incoming'!I14-'Grid_Requirement'!I14</f>
        <v/>
      </c>
      <c r="J14">
        <f>IF(INDEX(Cal_Weeks[MonthYearLabel],9)&lt;&gt;INDEX(Cal_Weeks[MonthYearLabel],8),'Grid_Stock'!I14,I14)+'Grid_Incoming'!J14-'Grid_Requirement'!J14</f>
        <v/>
      </c>
      <c r="K14">
        <f>IF(INDEX(Cal_Weeks[MonthYearLabel],10)&lt;&gt;INDEX(Cal_Weeks[MonthYearLabel],9),'Grid_Stock'!J14,J14)+'Grid_Incoming'!K14-'Grid_Requirement'!K14</f>
        <v/>
      </c>
      <c r="L14">
        <f>IF(INDEX(Cal_Weeks[MonthYearLabel],11)&lt;&gt;INDEX(Cal_Weeks[MonthYearLabel],10),'Grid_Stock'!K14,K14)+'Grid_Incoming'!L14-'Grid_Requirement'!L14</f>
        <v/>
      </c>
      <c r="M14">
        <f>IF(INDEX(Cal_Weeks[MonthYearLabel],12)&lt;&gt;INDEX(Cal_Weeks[MonthYearLabel],11),'Grid_Stock'!L14,L14)+'Grid_Incoming'!M14-'Grid_Requirement'!M14</f>
        <v/>
      </c>
      <c r="N14">
        <f>IF(INDEX(Cal_Weeks[MonthYearLabel],13)&lt;&gt;INDEX(Cal_Weeks[MonthYearLabel],12),'Grid_Stock'!M14,M14)+'Grid_Incoming'!N14-'Grid_Requirement'!N14</f>
        <v/>
      </c>
      <c r="O14">
        <f>IF(INDEX(Cal_Weeks[MonthYearLabel],14)&lt;&gt;INDEX(Cal_Weeks[MonthYearLabel],13),'Grid_Stock'!N14,N14)+'Grid_Incoming'!O14-'Grid_Requirement'!O14</f>
        <v/>
      </c>
      <c r="P14">
        <f>IF(INDEX(Cal_Weeks[MonthYearLabel],15)&lt;&gt;INDEX(Cal_Weeks[MonthYearLabel],14),'Grid_Stock'!O14,O14)+'Grid_Incoming'!P14-'Grid_Requirement'!P14</f>
        <v/>
      </c>
      <c r="Q14">
        <f>IF(INDEX(Cal_Weeks[MonthYearLabel],16)&lt;&gt;INDEX(Cal_Weeks[MonthYearLabel],15),'Grid_Stock'!P14,P14)+'Grid_Incoming'!Q14-'Grid_Requirement'!Q14</f>
        <v/>
      </c>
      <c r="R14">
        <f>IF(INDEX(Cal_Weeks[MonthYearLabel],17)&lt;&gt;INDEX(Cal_Weeks[MonthYearLabel],16),'Grid_Stock'!Q14,Q14)+'Grid_Incoming'!R14-'Grid_Requirement'!R14</f>
        <v/>
      </c>
      <c r="S14">
        <f>IF(INDEX(Cal_Weeks[MonthYearLabel],18)&lt;&gt;INDEX(Cal_Weeks[MonthYearLabel],17),'Grid_Stock'!R14,R14)+'Grid_Incoming'!S14-'Grid_Requirement'!S14</f>
        <v/>
      </c>
      <c r="T14">
        <f>IF(INDEX(Cal_Weeks[MonthYearLabel],19)&lt;&gt;INDEX(Cal_Weeks[MonthYearLabel],18),'Grid_Stock'!S14,S14)+'Grid_Incoming'!T14-'Grid_Requirement'!T14</f>
        <v/>
      </c>
      <c r="U14">
        <f>IF(INDEX(Cal_Weeks[MonthYearLabel],20)&lt;&gt;INDEX(Cal_Weeks[MonthYearLabel],19),'Grid_Stock'!T14,T14)+'Grid_Incoming'!U14-'Grid_Requirement'!U14</f>
        <v/>
      </c>
      <c r="V14">
        <f>IF(INDEX(Cal_Weeks[MonthYearLabel],21)&lt;&gt;INDEX(Cal_Weeks[MonthYearLabel],20),'Grid_Stock'!U14,U14)+'Grid_Incoming'!V14-'Grid_Requirement'!V14</f>
        <v/>
      </c>
      <c r="W14">
        <f>IF(INDEX(Cal_Weeks[MonthYearLabel],22)&lt;&gt;INDEX(Cal_Weeks[MonthYearLabel],21),'Grid_Stock'!V14,V14)+'Grid_Incoming'!W14-'Grid_Requirement'!W14</f>
        <v/>
      </c>
      <c r="X14">
        <f>IF(INDEX(Cal_Weeks[MonthYearLabel],23)&lt;&gt;INDEX(Cal_Weeks[MonthYearLabel],22),'Grid_Stock'!W14,W14)+'Grid_Incoming'!X14-'Grid_Requirement'!X14</f>
        <v/>
      </c>
      <c r="Y14">
        <f>IF(INDEX(Cal_Weeks[MonthYearLabel],24)&lt;&gt;INDEX(Cal_Weeks[MonthYearLabel],23),'Grid_Stock'!X14,X14)+'Grid_Incoming'!Y14-'Grid_Requirement'!Y14</f>
        <v/>
      </c>
      <c r="Z14">
        <f>IF(INDEX(Cal_Weeks[MonthYearLabel],25)&lt;&gt;INDEX(Cal_Weeks[MonthYearLabel],24),'Grid_Stock'!Y14,Y14)+'Grid_Incoming'!Z14-'Grid_Requirement'!Z14</f>
        <v/>
      </c>
      <c r="AA14">
        <f>IF(INDEX(Cal_Weeks[MonthYearLabel],26)&lt;&gt;INDEX(Cal_Weeks[MonthYearLabel],25),'Grid_Stock'!Z14,Z14)+'Grid_Incoming'!AA14-'Grid_Requirement'!AA14</f>
        <v/>
      </c>
      <c r="AB14">
        <f>IF(INDEX(Cal_Weeks[MonthYearLabel],27)&lt;&gt;INDEX(Cal_Weeks[MonthYearLabel],26),'Grid_Stock'!AA14,AA14)+'Grid_Incoming'!AB14-'Grid_Requirement'!AB14</f>
        <v/>
      </c>
      <c r="AC14">
        <f>IF(INDEX(Cal_Weeks[MonthYearLabel],28)&lt;&gt;INDEX(Cal_Weeks[MonthYearLabel],27),'Grid_Stock'!AB14,AB14)+'Grid_Incoming'!AC14-'Grid_Requirement'!AC14</f>
        <v/>
      </c>
      <c r="AD14">
        <f>IF(INDEX(Cal_Weeks[MonthYearLabel],29)&lt;&gt;INDEX(Cal_Weeks[MonthYearLabel],28),'Grid_Stock'!AC14,AC14)+'Grid_Incoming'!AD14-'Grid_Requirement'!AD14</f>
        <v/>
      </c>
      <c r="AE14">
        <f>IF(INDEX(Cal_Weeks[MonthYearLabel],30)&lt;&gt;INDEX(Cal_Weeks[MonthYearLabel],29),'Grid_Stock'!AD14,AD14)+'Grid_Incoming'!AE14-'Grid_Requirement'!AE14</f>
        <v/>
      </c>
      <c r="AF14">
        <f>IF(INDEX(Cal_Weeks[MonthYearLabel],31)&lt;&gt;INDEX(Cal_Weeks[MonthYearLabel],30),'Grid_Stock'!AE14,AE14)+'Grid_Incoming'!AF14-'Grid_Requirement'!AF14</f>
        <v/>
      </c>
      <c r="AG14">
        <f>IF(INDEX(Cal_Weeks[MonthYearLabel],32)&lt;&gt;INDEX(Cal_Weeks[MonthYearLabel],31),'Grid_Stock'!AF14,AF14)+'Grid_Incoming'!AG14-'Grid_Requirement'!AG14</f>
        <v/>
      </c>
      <c r="AH14">
        <f>IF(INDEX(Cal_Weeks[MonthYearLabel],33)&lt;&gt;INDEX(Cal_Weeks[MonthYearLabel],32),'Grid_Stock'!AG14,AG14)+'Grid_Incoming'!AH14-'Grid_Requirement'!AH14</f>
        <v/>
      </c>
      <c r="AI14">
        <f>IF(INDEX(Cal_Weeks[MonthYearLabel],34)&lt;&gt;INDEX(Cal_Weeks[MonthYearLabel],33),'Grid_Stock'!AH14,AH14)+'Grid_Incoming'!AI14-'Grid_Requirement'!AI14</f>
        <v/>
      </c>
      <c r="AJ14">
        <f>IF(INDEX(Cal_Weeks[MonthYearLabel],35)&lt;&gt;INDEX(Cal_Weeks[MonthYearLabel],34),'Grid_Stock'!AI14,AI14)+'Grid_Incoming'!AJ14-'Grid_Requirement'!AJ14</f>
        <v/>
      </c>
      <c r="AK14">
        <f>IF(INDEX(Cal_Weeks[MonthYearLabel],36)&lt;&gt;INDEX(Cal_Weeks[MonthYearLabel],35),'Grid_Stock'!AJ14,AJ14)+'Grid_Incoming'!AK14-'Grid_Requirement'!AK14</f>
        <v/>
      </c>
      <c r="AL14">
        <f>IF(INDEX(Cal_Weeks[MonthYearLabel],37)&lt;&gt;INDEX(Cal_Weeks[MonthYearLabel],36),'Grid_Stock'!AK14,AK14)+'Grid_Incoming'!AL14-'Grid_Requirement'!AL14</f>
        <v/>
      </c>
      <c r="AM14">
        <f>IF(INDEX(Cal_Weeks[MonthYearLabel],38)&lt;&gt;INDEX(Cal_Weeks[MonthYearLabel],37),'Grid_Stock'!AL14,AL14)+'Grid_Incoming'!AM14-'Grid_Requirement'!AM14</f>
        <v/>
      </c>
      <c r="AN14">
        <f>IF(INDEX(Cal_Weeks[MonthYearLabel],39)&lt;&gt;INDEX(Cal_Weeks[MonthYearLabel],38),'Grid_Stock'!AM14,AM14)+'Grid_Incoming'!AN14-'Grid_Requirement'!AN14</f>
        <v/>
      </c>
      <c r="AO14">
        <f>IF(INDEX(Cal_Weeks[MonthYearLabel],40)&lt;&gt;INDEX(Cal_Weeks[MonthYearLabel],39),'Grid_Stock'!AN14,AN14)+'Grid_Incoming'!AO14-'Grid_Requirement'!AO14</f>
        <v/>
      </c>
      <c r="AP14">
        <f>IF(INDEX(Cal_Weeks[MonthYearLabel],41)&lt;&gt;INDEX(Cal_Weeks[MonthYearLabel],40),'Grid_Stock'!AO14,AO14)+'Grid_Incoming'!AP14-'Grid_Requirement'!AP14</f>
        <v/>
      </c>
      <c r="AQ14">
        <f>IF(INDEX(Cal_Weeks[MonthYearLabel],42)&lt;&gt;INDEX(Cal_Weeks[MonthYearLabel],41),'Grid_Stock'!AP14,AP14)+'Grid_Incoming'!AQ14-'Grid_Requirement'!AQ14</f>
        <v/>
      </c>
      <c r="AR14">
        <f>IF(INDEX(Cal_Weeks[MonthYearLabel],43)&lt;&gt;INDEX(Cal_Weeks[MonthYearLabel],42),'Grid_Stock'!AQ14,AQ14)+'Grid_Incoming'!AR14-'Grid_Requirement'!AR14</f>
        <v/>
      </c>
      <c r="AS14">
        <f>IF(INDEX(Cal_Weeks[MonthYearLabel],44)&lt;&gt;INDEX(Cal_Weeks[MonthYearLabel],43),'Grid_Stock'!AR14,AR14)+'Grid_Incoming'!AS14-'Grid_Requirement'!AS14</f>
        <v/>
      </c>
      <c r="AT14">
        <f>IF(INDEX(Cal_Weeks[MonthYearLabel],45)&lt;&gt;INDEX(Cal_Weeks[MonthYearLabel],44),'Grid_Stock'!AS14,AS14)+'Grid_Incoming'!AT14-'Grid_Requirement'!AT14</f>
        <v/>
      </c>
      <c r="AU14">
        <f>IF(INDEX(Cal_Weeks[MonthYearLabel],46)&lt;&gt;INDEX(Cal_Weeks[MonthYearLabel],45),'Grid_Stock'!AT14,AT14)+'Grid_Incoming'!AU14-'Grid_Requirement'!AU14</f>
        <v/>
      </c>
      <c r="AV14">
        <f>IF(INDEX(Cal_Weeks[MonthYearLabel],47)&lt;&gt;INDEX(Cal_Weeks[MonthYearLabel],46),'Grid_Stock'!AU14,AU14)+'Grid_Incoming'!AV14-'Grid_Requirement'!AV14</f>
        <v/>
      </c>
      <c r="AW14">
        <f>IF(INDEX(Cal_Weeks[MonthYearLabel],48)&lt;&gt;INDEX(Cal_Weeks[MonthYearLabel],47),'Grid_Stock'!AV14,AV14)+'Grid_Incoming'!AW14-'Grid_Requirement'!AW14</f>
        <v/>
      </c>
      <c r="AX14">
        <f>IF(INDEX(Cal_Weeks[MonthYearLabel],49)&lt;&gt;INDEX(Cal_Weeks[MonthYearLabel],48),'Grid_Stock'!AW14,AW14)+'Grid_Incoming'!AX14-'Grid_Requirement'!AX14</f>
        <v/>
      </c>
      <c r="AY14">
        <f>IF(INDEX(Cal_Weeks[MonthYearLabel],50)&lt;&gt;INDEX(Cal_Weeks[MonthYearLabel],49),'Grid_Stock'!AX14,AX14)+'Grid_Incoming'!AY14-'Grid_Requirement'!AY14</f>
        <v/>
      </c>
      <c r="AZ14">
        <f>IF(INDEX(Cal_Weeks[MonthYearLabel],51)&lt;&gt;INDEX(Cal_Weeks[MonthYearLabel],50),'Grid_Stock'!AY14,AY14)+'Grid_Incoming'!AZ14-'Grid_Requirement'!AZ14</f>
        <v/>
      </c>
      <c r="BA14">
        <f>IF(INDEX(Cal_Weeks[MonthYearLabel],52)&lt;&gt;INDEX(Cal_Weeks[MonthYearLabel],51),'Grid_Stock'!AZ14,AZ14)+'Grid_Incoming'!BA14-'Grid_Requirement'!BA14</f>
        <v/>
      </c>
      <c r="BB14">
        <f>IF(INDEX(Cal_Weeks[MonthYearLabel],53)&lt;&gt;INDEX(Cal_Weeks[MonthYearLabel],52),'Grid_Stock'!BA14,BA14)+'Grid_Incoming'!BB14-'Grid_Requirement'!BB14</f>
        <v/>
      </c>
      <c r="BC14">
        <f>IF(INDEX(Cal_Weeks[MonthYearLabel],54)&lt;&gt;INDEX(Cal_Weeks[MonthYearLabel],53),'Grid_Stock'!BB14,BB14)+'Grid_Incoming'!BC14-'Grid_Requirement'!BC14</f>
        <v/>
      </c>
      <c r="BD14">
        <f>IF(INDEX(Cal_Weeks[MonthYearLabel],55)&lt;&gt;INDEX(Cal_Weeks[MonthYearLabel],54),'Grid_Stock'!BC14,BC14)+'Grid_Incoming'!BD14-'Grid_Requirement'!BD14</f>
        <v/>
      </c>
      <c r="BE14">
        <f>IF(INDEX(Cal_Weeks[MonthYearLabel],56)&lt;&gt;INDEX(Cal_Weeks[MonthYearLabel],55),'Grid_Stock'!BD14,BD14)+'Grid_Incoming'!BE14-'Grid_Requirement'!BE14</f>
        <v/>
      </c>
      <c r="BF14">
        <f>IF(INDEX(Cal_Weeks[MonthYearLabel],57)&lt;&gt;INDEX(Cal_Weeks[MonthYearLabel],56),'Grid_Stock'!BE14,BE14)+'Grid_Incoming'!BF14-'Grid_Requirement'!BF14</f>
        <v/>
      </c>
      <c r="BG14">
        <f>IF(INDEX(Cal_Weeks[MonthYearLabel],58)&lt;&gt;INDEX(Cal_Weeks[MonthYearLabel],57),'Grid_Stock'!BF14,BF14)+'Grid_Incoming'!BG14-'Grid_Requirement'!BG14</f>
        <v/>
      </c>
      <c r="BH14">
        <f>IF(INDEX(Cal_Weeks[MonthYearLabel],59)&lt;&gt;INDEX(Cal_Weeks[MonthYearLabel],58),'Grid_Stock'!BG14,BG14)+'Grid_Incoming'!BH14-'Grid_Requirement'!BH14</f>
        <v/>
      </c>
      <c r="BI14">
        <f>IF(INDEX(Cal_Weeks[MonthYearLabel],60)&lt;&gt;INDEX(Cal_Weeks[MonthYearLabel],59),'Grid_Stock'!BH14,BH14)+'Grid_Incoming'!BI14-'Grid_Requirement'!BI14</f>
        <v/>
      </c>
      <c r="BJ14">
        <f>IF(INDEX(Cal_Weeks[MonthYearLabel],61)&lt;&gt;INDEX(Cal_Weeks[MonthYearLabel],60),'Grid_Stock'!BI14,BI14)+'Grid_Incoming'!BJ14-'Grid_Requirement'!BJ14</f>
        <v/>
      </c>
      <c r="BK14">
        <f>IF(INDEX(Cal_Weeks[MonthYearLabel],62)&lt;&gt;INDEX(Cal_Weeks[MonthYearLabel],61),'Grid_Stock'!BJ14,BJ14)+'Grid_Incoming'!BK14-'Grid_Requirement'!BK14</f>
        <v/>
      </c>
      <c r="BL14">
        <f>IF(INDEX(Cal_Weeks[MonthYearLabel],63)&lt;&gt;INDEX(Cal_Weeks[MonthYearLabel],62),'Grid_Stock'!BK14,BK14)+'Grid_Incoming'!BL14-'Grid_Requirement'!BL14</f>
        <v/>
      </c>
      <c r="BM14">
        <f>IF(INDEX(Cal_Weeks[MonthYearLabel],64)&lt;&gt;INDEX(Cal_Weeks[MonthYearLabel],63),'Grid_Stock'!BL14,BL14)+'Grid_Incoming'!BM14-'Grid_Requirement'!BM14</f>
        <v/>
      </c>
      <c r="BN14">
        <f>IF(INDEX(Cal_Weeks[MonthYearLabel],65)&lt;&gt;INDEX(Cal_Weeks[MonthYearLabel],64),'Grid_Stock'!BM14,BM14)+'Grid_Incoming'!BN14-'Grid_Requirement'!BN14</f>
        <v/>
      </c>
      <c r="BO14">
        <f>IF(INDEX(Cal_Weeks[MonthYearLabel],66)&lt;&gt;INDEX(Cal_Weeks[MonthYearLabel],65),'Grid_Stock'!BN14,BN14)+'Grid_Incoming'!BO14-'Grid_Requirement'!BO14</f>
        <v/>
      </c>
      <c r="BP14">
        <f>IF(INDEX(Cal_Weeks[MonthYearLabel],67)&lt;&gt;INDEX(Cal_Weeks[MonthYearLabel],66),'Grid_Stock'!BO14,BO14)+'Grid_Incoming'!BP14-'Grid_Requirement'!BP14</f>
        <v/>
      </c>
      <c r="BQ14">
        <f>IF(INDEX(Cal_Weeks[MonthYearLabel],68)&lt;&gt;INDEX(Cal_Weeks[MonthYearLabel],67),'Grid_Stock'!BP14,BP14)+'Grid_Incoming'!BQ14-'Grid_Requirement'!BQ14</f>
        <v/>
      </c>
      <c r="BR14">
        <f>IF(INDEX(Cal_Weeks[MonthYearLabel],69)&lt;&gt;INDEX(Cal_Weeks[MonthYearLabel],68),'Grid_Stock'!BQ14,BQ14)+'Grid_Incoming'!BR14-'Grid_Requirement'!BR14</f>
        <v/>
      </c>
      <c r="BS14">
        <f>IF(INDEX(Cal_Weeks[MonthYearLabel],70)&lt;&gt;INDEX(Cal_Weeks[MonthYearLabel],69),'Grid_Stock'!BR14,BR14)+'Grid_Incoming'!BS14-'Grid_Requirement'!BS14</f>
        <v/>
      </c>
      <c r="BT14">
        <f>IF(INDEX(Cal_Weeks[MonthYearLabel],71)&lt;&gt;INDEX(Cal_Weeks[MonthYearLabel],70),'Grid_Stock'!BS14,BS14)+'Grid_Incoming'!BT14-'Grid_Requirement'!BT14</f>
        <v/>
      </c>
      <c r="BU14">
        <f>IF(INDEX(Cal_Weeks[MonthYearLabel],72)&lt;&gt;INDEX(Cal_Weeks[MonthYearLabel],71),'Grid_Stock'!BT14,BT14)+'Grid_Incoming'!BU14-'Grid_Requirement'!BU14</f>
        <v/>
      </c>
      <c r="BV14">
        <f>IF(INDEX(Cal_Weeks[MonthYearLabel],73)&lt;&gt;INDEX(Cal_Weeks[MonthYearLabel],72),'Grid_Stock'!BU14,BU14)+'Grid_Incoming'!BV14-'Grid_Requirement'!BV14</f>
        <v/>
      </c>
      <c r="BW14">
        <f>IF(INDEX(Cal_Weeks[MonthYearLabel],74)&lt;&gt;INDEX(Cal_Weeks[MonthYearLabel],73),'Grid_Stock'!BV14,BV14)+'Grid_Incoming'!BW14-'Grid_Requirement'!BW14</f>
        <v/>
      </c>
      <c r="BX14">
        <f>IF(INDEX(Cal_Weeks[MonthYearLabel],75)&lt;&gt;INDEX(Cal_Weeks[MonthYearLabel],74),'Grid_Stock'!BW14,BW14)+'Grid_Incoming'!BX14-'Grid_Requirement'!BX14</f>
        <v/>
      </c>
      <c r="BY14">
        <f>IF(INDEX(Cal_Weeks[MonthYearLabel],76)&lt;&gt;INDEX(Cal_Weeks[MonthYearLabel],75),'Grid_Stock'!BX14,BX14)+'Grid_Incoming'!BY14-'Grid_Requirement'!BY14</f>
        <v/>
      </c>
      <c r="BZ14">
        <f>IF(INDEX(Cal_Weeks[MonthYearLabel],77)&lt;&gt;INDEX(Cal_Weeks[MonthYearLabel],76),'Grid_Stock'!BY14,BY14)+'Grid_Incoming'!BZ14-'Grid_Requirement'!BZ14</f>
        <v/>
      </c>
      <c r="CA14">
        <f>IF(INDEX(Cal_Weeks[MonthYearLabel],78)&lt;&gt;INDEX(Cal_Weeks[MonthYearLabel],77),'Grid_Stock'!BZ14,BZ14)+'Grid_Incoming'!CA14-'Grid_Requirement'!CA14</f>
        <v/>
      </c>
      <c r="CB14">
        <f>IF(INDEX(Cal_Weeks[MonthYearLabel],79)&lt;&gt;INDEX(Cal_Weeks[MonthYearLabel],78),'Grid_Stock'!CA14,CA14)+'Grid_Incoming'!CB14-'Grid_Requirement'!CB14</f>
        <v/>
      </c>
      <c r="CC14">
        <f>IF(INDEX(Cal_Weeks[MonthYearLabel],80)&lt;&gt;INDEX(Cal_Weeks[MonthYearLabel],79),'Grid_Stock'!CB14,CB14)+'Grid_Incoming'!CC14-'Grid_Requirement'!CC14</f>
        <v/>
      </c>
      <c r="CD14">
        <f>IF(INDEX(Cal_Weeks[MonthYearLabel],81)&lt;&gt;INDEX(Cal_Weeks[MonthYearLabel],80),'Grid_Stock'!CC14,CC14)+'Grid_Incoming'!CD14-'Grid_Requirement'!CD14</f>
        <v/>
      </c>
      <c r="CE14">
        <f>IF(INDEX(Cal_Weeks[MonthYearLabel],82)&lt;&gt;INDEX(Cal_Weeks[MonthYearLabel],81),'Grid_Stock'!CD14,CD14)+'Grid_Incoming'!CE14-'Grid_Requirement'!CE14</f>
        <v/>
      </c>
      <c r="CF14">
        <f>IF(INDEX(Cal_Weeks[MonthYearLabel],83)&lt;&gt;INDEX(Cal_Weeks[MonthYearLabel],82),'Grid_Stock'!CE14,CE14)+'Grid_Incoming'!CF14-'Grid_Requirement'!CF14</f>
        <v/>
      </c>
      <c r="CG14">
        <f>IF(INDEX(Cal_Weeks[MonthYearLabel],84)&lt;&gt;INDEX(Cal_Weeks[MonthYearLabel],83),'Grid_Stock'!CF14,CF14)+'Grid_Incoming'!CG14-'Grid_Requirement'!CG14</f>
        <v/>
      </c>
      <c r="CH14">
        <f>IF(INDEX(Cal_Weeks[MonthYearLabel],85)&lt;&gt;INDEX(Cal_Weeks[MonthYearLabel],84),'Grid_Stock'!CG14,CG14)+'Grid_Incoming'!CH14-'Grid_Requirement'!CH14</f>
        <v/>
      </c>
      <c r="CI14">
        <f>IF(INDEX(Cal_Weeks[MonthYearLabel],86)&lt;&gt;INDEX(Cal_Weeks[MonthYearLabel],85),'Grid_Stock'!CH14,CH14)+'Grid_Incoming'!CI14-'Grid_Requirement'!CI14</f>
        <v/>
      </c>
      <c r="CJ14">
        <f>IF(INDEX(Cal_Weeks[MonthYearLabel],87)&lt;&gt;INDEX(Cal_Weeks[MonthYearLabel],86),'Grid_Stock'!CI14,CI14)+'Grid_Incoming'!CJ14-'Grid_Requirement'!CJ14</f>
        <v/>
      </c>
      <c r="CK14">
        <f>IF(INDEX(Cal_Weeks[MonthYearLabel],88)&lt;&gt;INDEX(Cal_Weeks[MonthYearLabel],87),'Grid_Stock'!CJ14,CJ14)+'Grid_Incoming'!CK14-'Grid_Requirement'!CK14</f>
        <v/>
      </c>
      <c r="CL14">
        <f>IF(INDEX(Cal_Weeks[MonthYearLabel],89)&lt;&gt;INDEX(Cal_Weeks[MonthYearLabel],88),'Grid_Stock'!CK14,CK14)+'Grid_Incoming'!CL14-'Grid_Requirement'!CL14</f>
        <v/>
      </c>
      <c r="CM14">
        <f>IF(INDEX(Cal_Weeks[MonthYearLabel],90)&lt;&gt;INDEX(Cal_Weeks[MonthYearLabel],89),'Grid_Stock'!CL14,CL14)+'Grid_Incoming'!CM14-'Grid_Requirement'!CM14</f>
        <v/>
      </c>
      <c r="CN14">
        <f>IF(INDEX(Cal_Weeks[MonthYearLabel],91)&lt;&gt;INDEX(Cal_Weeks[MonthYearLabel],90),'Grid_Stock'!CM14,CM14)+'Grid_Incoming'!CN14-'Grid_Requirement'!CN14</f>
        <v/>
      </c>
      <c r="CO14">
        <f>IF(INDEX(Cal_Weeks[MonthYearLabel],92)&lt;&gt;INDEX(Cal_Weeks[MonthYearLabel],91),'Grid_Stock'!CN14,CN14)+'Grid_Incoming'!CO14-'Grid_Requirement'!CO14</f>
        <v/>
      </c>
      <c r="CP14">
        <f>IF(INDEX(Cal_Weeks[MonthYearLabel],93)&lt;&gt;INDEX(Cal_Weeks[MonthYearLabel],92),'Grid_Stock'!CO14,CO14)+'Grid_Incoming'!CP14-'Grid_Requirement'!CP14</f>
        <v/>
      </c>
      <c r="CQ14">
        <f>IF(INDEX(Cal_Weeks[MonthYearLabel],94)&lt;&gt;INDEX(Cal_Weeks[MonthYearLabel],93),'Grid_Stock'!CP14,CP14)+'Grid_Incoming'!CQ14-'Grid_Requirement'!CQ14</f>
        <v/>
      </c>
      <c r="CR14">
        <f>IF(INDEX(Cal_Weeks[MonthYearLabel],95)&lt;&gt;INDEX(Cal_Weeks[MonthYearLabel],94),'Grid_Stock'!CQ14,CQ14)+'Grid_Incoming'!CR14-'Grid_Requirement'!CR14</f>
        <v/>
      </c>
      <c r="CS14">
        <f>IF(INDEX(Cal_Weeks[MonthYearLabel],96)&lt;&gt;INDEX(Cal_Weeks[MonthYearLabel],95),'Grid_Stock'!CR14,CR14)+'Grid_Incoming'!CS14-'Grid_Requirement'!CS14</f>
        <v/>
      </c>
      <c r="CT14">
        <f>IF(INDEX(Cal_Weeks[MonthYearLabel],97)&lt;&gt;INDEX(Cal_Weeks[MonthYearLabel],96),'Grid_Stock'!CS14,CS14)+'Grid_Incoming'!CT14-'Grid_Requirement'!CT14</f>
        <v/>
      </c>
      <c r="CU14">
        <f>IF(INDEX(Cal_Weeks[MonthYearLabel],98)&lt;&gt;INDEX(Cal_Weeks[MonthYearLabel],97),'Grid_Stock'!CT14,CT14)+'Grid_Incoming'!CU14-'Grid_Requirement'!CU14</f>
        <v/>
      </c>
      <c r="CV14">
        <f>IF(INDEX(Cal_Weeks[MonthYearLabel],99)&lt;&gt;INDEX(Cal_Weeks[MonthYearLabel],98),'Grid_Stock'!CU14,CU14)+'Grid_Incoming'!CV14-'Grid_Requirement'!CV14</f>
        <v/>
      </c>
      <c r="CW14">
        <f>IF(INDEX(Cal_Weeks[MonthYearLabel],100)&lt;&gt;INDEX(Cal_Weeks[MonthYearLabel],99),'Grid_Stock'!CV14,CV14)+'Grid_Incoming'!CW14-'Grid_Requirement'!CW14</f>
        <v/>
      </c>
      <c r="CX14">
        <f>IF(INDEX(Cal_Weeks[MonthYearLabel],101)&lt;&gt;INDEX(Cal_Weeks[MonthYearLabel],100),'Grid_Stock'!CW14,CW14)+'Grid_Incoming'!CX14-'Grid_Requirement'!CX14</f>
        <v/>
      </c>
      <c r="CY14">
        <f>IF(INDEX(Cal_Weeks[MonthYearLabel],102)&lt;&gt;INDEX(Cal_Weeks[MonthYearLabel],101),'Grid_Stock'!CX14,CX14)+'Grid_Incoming'!CY14-'Grid_Requirement'!CY14</f>
        <v/>
      </c>
      <c r="CZ14">
        <f>IF(INDEX(Cal_Weeks[MonthYearLabel],103)&lt;&gt;INDEX(Cal_Weeks[MonthYearLabel],102),'Grid_Stock'!CY14,CY14)+'Grid_Incoming'!CZ14-'Grid_Requirement'!CZ14</f>
        <v/>
      </c>
      <c r="DA14">
        <f>IF(INDEX(Cal_Weeks[MonthYearLabel],104)&lt;&gt;INDEX(Cal_Weeks[MonthYearLabel],103),'Grid_Stock'!CZ14,CZ14)+'Grid_Incoming'!DA14-'Grid_Requirement'!DA14</f>
        <v/>
      </c>
    </row>
    <row r="15">
      <c r="A15" t="inlineStr">
        <is>
          <t>5SN</t>
        </is>
      </c>
      <c r="B15">
        <f>IFERROR(INDEX(T_OpeningStock[Opening_Qty_要入力],MATCH($A15,T_OpeningStock[Part Name],0)),0)+'Grid_Incoming'!B15-'Grid_Requirement'!B15</f>
        <v/>
      </c>
      <c r="C15">
        <f>IF(INDEX(Cal_Weeks[MonthYearLabel],2)&lt;&gt;INDEX(Cal_Weeks[MonthYearLabel],1),'Grid_Stock'!B15,B15)+'Grid_Incoming'!C15-'Grid_Requirement'!C15</f>
        <v/>
      </c>
      <c r="D15">
        <f>IF(INDEX(Cal_Weeks[MonthYearLabel],3)&lt;&gt;INDEX(Cal_Weeks[MonthYearLabel],2),'Grid_Stock'!C15,C15)+'Grid_Incoming'!D15-'Grid_Requirement'!D15</f>
        <v/>
      </c>
      <c r="E15">
        <f>IF(INDEX(Cal_Weeks[MonthYearLabel],4)&lt;&gt;INDEX(Cal_Weeks[MonthYearLabel],3),'Grid_Stock'!D15,D15)+'Grid_Incoming'!E15-'Grid_Requirement'!E15</f>
        <v/>
      </c>
      <c r="F15">
        <f>IF(INDEX(Cal_Weeks[MonthYearLabel],5)&lt;&gt;INDEX(Cal_Weeks[MonthYearLabel],4),'Grid_Stock'!E15,E15)+'Grid_Incoming'!F15-'Grid_Requirement'!F15</f>
        <v/>
      </c>
      <c r="G15">
        <f>IF(INDEX(Cal_Weeks[MonthYearLabel],6)&lt;&gt;INDEX(Cal_Weeks[MonthYearLabel],5),'Grid_Stock'!F15,F15)+'Grid_Incoming'!G15-'Grid_Requirement'!G15</f>
        <v/>
      </c>
      <c r="H15">
        <f>IF(INDEX(Cal_Weeks[MonthYearLabel],7)&lt;&gt;INDEX(Cal_Weeks[MonthYearLabel],6),'Grid_Stock'!G15,G15)+'Grid_Incoming'!H15-'Grid_Requirement'!H15</f>
        <v/>
      </c>
      <c r="I15">
        <f>IF(INDEX(Cal_Weeks[MonthYearLabel],8)&lt;&gt;INDEX(Cal_Weeks[MonthYearLabel],7),'Grid_Stock'!H15,H15)+'Grid_Incoming'!I15-'Grid_Requirement'!I15</f>
        <v/>
      </c>
      <c r="J15">
        <f>IF(INDEX(Cal_Weeks[MonthYearLabel],9)&lt;&gt;INDEX(Cal_Weeks[MonthYearLabel],8),'Grid_Stock'!I15,I15)+'Grid_Incoming'!J15-'Grid_Requirement'!J15</f>
        <v/>
      </c>
      <c r="K15">
        <f>IF(INDEX(Cal_Weeks[MonthYearLabel],10)&lt;&gt;INDEX(Cal_Weeks[MonthYearLabel],9),'Grid_Stock'!J15,J15)+'Grid_Incoming'!K15-'Grid_Requirement'!K15</f>
        <v/>
      </c>
      <c r="L15">
        <f>IF(INDEX(Cal_Weeks[MonthYearLabel],11)&lt;&gt;INDEX(Cal_Weeks[MonthYearLabel],10),'Grid_Stock'!K15,K15)+'Grid_Incoming'!L15-'Grid_Requirement'!L15</f>
        <v/>
      </c>
      <c r="M15">
        <f>IF(INDEX(Cal_Weeks[MonthYearLabel],12)&lt;&gt;INDEX(Cal_Weeks[MonthYearLabel],11),'Grid_Stock'!L15,L15)+'Grid_Incoming'!M15-'Grid_Requirement'!M15</f>
        <v/>
      </c>
      <c r="N15">
        <f>IF(INDEX(Cal_Weeks[MonthYearLabel],13)&lt;&gt;INDEX(Cal_Weeks[MonthYearLabel],12),'Grid_Stock'!M15,M15)+'Grid_Incoming'!N15-'Grid_Requirement'!N15</f>
        <v/>
      </c>
      <c r="O15">
        <f>IF(INDEX(Cal_Weeks[MonthYearLabel],14)&lt;&gt;INDEX(Cal_Weeks[MonthYearLabel],13),'Grid_Stock'!N15,N15)+'Grid_Incoming'!O15-'Grid_Requirement'!O15</f>
        <v/>
      </c>
      <c r="P15">
        <f>IF(INDEX(Cal_Weeks[MonthYearLabel],15)&lt;&gt;INDEX(Cal_Weeks[MonthYearLabel],14),'Grid_Stock'!O15,O15)+'Grid_Incoming'!P15-'Grid_Requirement'!P15</f>
        <v/>
      </c>
      <c r="Q15">
        <f>IF(INDEX(Cal_Weeks[MonthYearLabel],16)&lt;&gt;INDEX(Cal_Weeks[MonthYearLabel],15),'Grid_Stock'!P15,P15)+'Grid_Incoming'!Q15-'Grid_Requirement'!Q15</f>
        <v/>
      </c>
      <c r="R15">
        <f>IF(INDEX(Cal_Weeks[MonthYearLabel],17)&lt;&gt;INDEX(Cal_Weeks[MonthYearLabel],16),'Grid_Stock'!Q15,Q15)+'Grid_Incoming'!R15-'Grid_Requirement'!R15</f>
        <v/>
      </c>
      <c r="S15">
        <f>IF(INDEX(Cal_Weeks[MonthYearLabel],18)&lt;&gt;INDEX(Cal_Weeks[MonthYearLabel],17),'Grid_Stock'!R15,R15)+'Grid_Incoming'!S15-'Grid_Requirement'!S15</f>
        <v/>
      </c>
      <c r="T15">
        <f>IF(INDEX(Cal_Weeks[MonthYearLabel],19)&lt;&gt;INDEX(Cal_Weeks[MonthYearLabel],18),'Grid_Stock'!S15,S15)+'Grid_Incoming'!T15-'Grid_Requirement'!T15</f>
        <v/>
      </c>
      <c r="U15">
        <f>IF(INDEX(Cal_Weeks[MonthYearLabel],20)&lt;&gt;INDEX(Cal_Weeks[MonthYearLabel],19),'Grid_Stock'!T15,T15)+'Grid_Incoming'!U15-'Grid_Requirement'!U15</f>
        <v/>
      </c>
      <c r="V15">
        <f>IF(INDEX(Cal_Weeks[MonthYearLabel],21)&lt;&gt;INDEX(Cal_Weeks[MonthYearLabel],20),'Grid_Stock'!U15,U15)+'Grid_Incoming'!V15-'Grid_Requirement'!V15</f>
        <v/>
      </c>
      <c r="W15">
        <f>IF(INDEX(Cal_Weeks[MonthYearLabel],22)&lt;&gt;INDEX(Cal_Weeks[MonthYearLabel],21),'Grid_Stock'!V15,V15)+'Grid_Incoming'!W15-'Grid_Requirement'!W15</f>
        <v/>
      </c>
      <c r="X15">
        <f>IF(INDEX(Cal_Weeks[MonthYearLabel],23)&lt;&gt;INDEX(Cal_Weeks[MonthYearLabel],22),'Grid_Stock'!W15,W15)+'Grid_Incoming'!X15-'Grid_Requirement'!X15</f>
        <v/>
      </c>
      <c r="Y15">
        <f>IF(INDEX(Cal_Weeks[MonthYearLabel],24)&lt;&gt;INDEX(Cal_Weeks[MonthYearLabel],23),'Grid_Stock'!X15,X15)+'Grid_Incoming'!Y15-'Grid_Requirement'!Y15</f>
        <v/>
      </c>
      <c r="Z15">
        <f>IF(INDEX(Cal_Weeks[MonthYearLabel],25)&lt;&gt;INDEX(Cal_Weeks[MonthYearLabel],24),'Grid_Stock'!Y15,Y15)+'Grid_Incoming'!Z15-'Grid_Requirement'!Z15</f>
        <v/>
      </c>
      <c r="AA15">
        <f>IF(INDEX(Cal_Weeks[MonthYearLabel],26)&lt;&gt;INDEX(Cal_Weeks[MonthYearLabel],25),'Grid_Stock'!Z15,Z15)+'Grid_Incoming'!AA15-'Grid_Requirement'!AA15</f>
        <v/>
      </c>
      <c r="AB15">
        <f>IF(INDEX(Cal_Weeks[MonthYearLabel],27)&lt;&gt;INDEX(Cal_Weeks[MonthYearLabel],26),'Grid_Stock'!AA15,AA15)+'Grid_Incoming'!AB15-'Grid_Requirement'!AB15</f>
        <v/>
      </c>
      <c r="AC15">
        <f>IF(INDEX(Cal_Weeks[MonthYearLabel],28)&lt;&gt;INDEX(Cal_Weeks[MonthYearLabel],27),'Grid_Stock'!AB15,AB15)+'Grid_Incoming'!AC15-'Grid_Requirement'!AC15</f>
        <v/>
      </c>
      <c r="AD15">
        <f>IF(INDEX(Cal_Weeks[MonthYearLabel],29)&lt;&gt;INDEX(Cal_Weeks[MonthYearLabel],28),'Grid_Stock'!AC15,AC15)+'Grid_Incoming'!AD15-'Grid_Requirement'!AD15</f>
        <v/>
      </c>
      <c r="AE15">
        <f>IF(INDEX(Cal_Weeks[MonthYearLabel],30)&lt;&gt;INDEX(Cal_Weeks[MonthYearLabel],29),'Grid_Stock'!AD15,AD15)+'Grid_Incoming'!AE15-'Grid_Requirement'!AE15</f>
        <v/>
      </c>
      <c r="AF15">
        <f>IF(INDEX(Cal_Weeks[MonthYearLabel],31)&lt;&gt;INDEX(Cal_Weeks[MonthYearLabel],30),'Grid_Stock'!AE15,AE15)+'Grid_Incoming'!AF15-'Grid_Requirement'!AF15</f>
        <v/>
      </c>
      <c r="AG15">
        <f>IF(INDEX(Cal_Weeks[MonthYearLabel],32)&lt;&gt;INDEX(Cal_Weeks[MonthYearLabel],31),'Grid_Stock'!AF15,AF15)+'Grid_Incoming'!AG15-'Grid_Requirement'!AG15</f>
        <v/>
      </c>
      <c r="AH15">
        <f>IF(INDEX(Cal_Weeks[MonthYearLabel],33)&lt;&gt;INDEX(Cal_Weeks[MonthYearLabel],32),'Grid_Stock'!AG15,AG15)+'Grid_Incoming'!AH15-'Grid_Requirement'!AH15</f>
        <v/>
      </c>
      <c r="AI15">
        <f>IF(INDEX(Cal_Weeks[MonthYearLabel],34)&lt;&gt;INDEX(Cal_Weeks[MonthYearLabel],33),'Grid_Stock'!AH15,AH15)+'Grid_Incoming'!AI15-'Grid_Requirement'!AI15</f>
        <v/>
      </c>
      <c r="AJ15">
        <f>IF(INDEX(Cal_Weeks[MonthYearLabel],35)&lt;&gt;INDEX(Cal_Weeks[MonthYearLabel],34),'Grid_Stock'!AI15,AI15)+'Grid_Incoming'!AJ15-'Grid_Requirement'!AJ15</f>
        <v/>
      </c>
      <c r="AK15">
        <f>IF(INDEX(Cal_Weeks[MonthYearLabel],36)&lt;&gt;INDEX(Cal_Weeks[MonthYearLabel],35),'Grid_Stock'!AJ15,AJ15)+'Grid_Incoming'!AK15-'Grid_Requirement'!AK15</f>
        <v/>
      </c>
      <c r="AL15">
        <f>IF(INDEX(Cal_Weeks[MonthYearLabel],37)&lt;&gt;INDEX(Cal_Weeks[MonthYearLabel],36),'Grid_Stock'!AK15,AK15)+'Grid_Incoming'!AL15-'Grid_Requirement'!AL15</f>
        <v/>
      </c>
      <c r="AM15">
        <f>IF(INDEX(Cal_Weeks[MonthYearLabel],38)&lt;&gt;INDEX(Cal_Weeks[MonthYearLabel],37),'Grid_Stock'!AL15,AL15)+'Grid_Incoming'!AM15-'Grid_Requirement'!AM15</f>
        <v/>
      </c>
      <c r="AN15">
        <f>IF(INDEX(Cal_Weeks[MonthYearLabel],39)&lt;&gt;INDEX(Cal_Weeks[MonthYearLabel],38),'Grid_Stock'!AM15,AM15)+'Grid_Incoming'!AN15-'Grid_Requirement'!AN15</f>
        <v/>
      </c>
      <c r="AO15">
        <f>IF(INDEX(Cal_Weeks[MonthYearLabel],40)&lt;&gt;INDEX(Cal_Weeks[MonthYearLabel],39),'Grid_Stock'!AN15,AN15)+'Grid_Incoming'!AO15-'Grid_Requirement'!AO15</f>
        <v/>
      </c>
      <c r="AP15">
        <f>IF(INDEX(Cal_Weeks[MonthYearLabel],41)&lt;&gt;INDEX(Cal_Weeks[MonthYearLabel],40),'Grid_Stock'!AO15,AO15)+'Grid_Incoming'!AP15-'Grid_Requirement'!AP15</f>
        <v/>
      </c>
      <c r="AQ15">
        <f>IF(INDEX(Cal_Weeks[MonthYearLabel],42)&lt;&gt;INDEX(Cal_Weeks[MonthYearLabel],41),'Grid_Stock'!AP15,AP15)+'Grid_Incoming'!AQ15-'Grid_Requirement'!AQ15</f>
        <v/>
      </c>
      <c r="AR15">
        <f>IF(INDEX(Cal_Weeks[MonthYearLabel],43)&lt;&gt;INDEX(Cal_Weeks[MonthYearLabel],42),'Grid_Stock'!AQ15,AQ15)+'Grid_Incoming'!AR15-'Grid_Requirement'!AR15</f>
        <v/>
      </c>
      <c r="AS15">
        <f>IF(INDEX(Cal_Weeks[MonthYearLabel],44)&lt;&gt;INDEX(Cal_Weeks[MonthYearLabel],43),'Grid_Stock'!AR15,AR15)+'Grid_Incoming'!AS15-'Grid_Requirement'!AS15</f>
        <v/>
      </c>
      <c r="AT15">
        <f>IF(INDEX(Cal_Weeks[MonthYearLabel],45)&lt;&gt;INDEX(Cal_Weeks[MonthYearLabel],44),'Grid_Stock'!AS15,AS15)+'Grid_Incoming'!AT15-'Grid_Requirement'!AT15</f>
        <v/>
      </c>
      <c r="AU15">
        <f>IF(INDEX(Cal_Weeks[MonthYearLabel],46)&lt;&gt;INDEX(Cal_Weeks[MonthYearLabel],45),'Grid_Stock'!AT15,AT15)+'Grid_Incoming'!AU15-'Grid_Requirement'!AU15</f>
        <v/>
      </c>
      <c r="AV15">
        <f>IF(INDEX(Cal_Weeks[MonthYearLabel],47)&lt;&gt;INDEX(Cal_Weeks[MonthYearLabel],46),'Grid_Stock'!AU15,AU15)+'Grid_Incoming'!AV15-'Grid_Requirement'!AV15</f>
        <v/>
      </c>
      <c r="AW15">
        <f>IF(INDEX(Cal_Weeks[MonthYearLabel],48)&lt;&gt;INDEX(Cal_Weeks[MonthYearLabel],47),'Grid_Stock'!AV15,AV15)+'Grid_Incoming'!AW15-'Grid_Requirement'!AW15</f>
        <v/>
      </c>
      <c r="AX15">
        <f>IF(INDEX(Cal_Weeks[MonthYearLabel],49)&lt;&gt;INDEX(Cal_Weeks[MonthYearLabel],48),'Grid_Stock'!AW15,AW15)+'Grid_Incoming'!AX15-'Grid_Requirement'!AX15</f>
        <v/>
      </c>
      <c r="AY15">
        <f>IF(INDEX(Cal_Weeks[MonthYearLabel],50)&lt;&gt;INDEX(Cal_Weeks[MonthYearLabel],49),'Grid_Stock'!AX15,AX15)+'Grid_Incoming'!AY15-'Grid_Requirement'!AY15</f>
        <v/>
      </c>
      <c r="AZ15">
        <f>IF(INDEX(Cal_Weeks[MonthYearLabel],51)&lt;&gt;INDEX(Cal_Weeks[MonthYearLabel],50),'Grid_Stock'!AY15,AY15)+'Grid_Incoming'!AZ15-'Grid_Requirement'!AZ15</f>
        <v/>
      </c>
      <c r="BA15">
        <f>IF(INDEX(Cal_Weeks[MonthYearLabel],52)&lt;&gt;INDEX(Cal_Weeks[MonthYearLabel],51),'Grid_Stock'!AZ15,AZ15)+'Grid_Incoming'!BA15-'Grid_Requirement'!BA15</f>
        <v/>
      </c>
      <c r="BB15">
        <f>IF(INDEX(Cal_Weeks[MonthYearLabel],53)&lt;&gt;INDEX(Cal_Weeks[MonthYearLabel],52),'Grid_Stock'!BA15,BA15)+'Grid_Incoming'!BB15-'Grid_Requirement'!BB15</f>
        <v/>
      </c>
      <c r="BC15">
        <f>IF(INDEX(Cal_Weeks[MonthYearLabel],54)&lt;&gt;INDEX(Cal_Weeks[MonthYearLabel],53),'Grid_Stock'!BB15,BB15)+'Grid_Incoming'!BC15-'Grid_Requirement'!BC15</f>
        <v/>
      </c>
      <c r="BD15">
        <f>IF(INDEX(Cal_Weeks[MonthYearLabel],55)&lt;&gt;INDEX(Cal_Weeks[MonthYearLabel],54),'Grid_Stock'!BC15,BC15)+'Grid_Incoming'!BD15-'Grid_Requirement'!BD15</f>
        <v/>
      </c>
      <c r="BE15">
        <f>IF(INDEX(Cal_Weeks[MonthYearLabel],56)&lt;&gt;INDEX(Cal_Weeks[MonthYearLabel],55),'Grid_Stock'!BD15,BD15)+'Grid_Incoming'!BE15-'Grid_Requirement'!BE15</f>
        <v/>
      </c>
      <c r="BF15">
        <f>IF(INDEX(Cal_Weeks[MonthYearLabel],57)&lt;&gt;INDEX(Cal_Weeks[MonthYearLabel],56),'Grid_Stock'!BE15,BE15)+'Grid_Incoming'!BF15-'Grid_Requirement'!BF15</f>
        <v/>
      </c>
      <c r="BG15">
        <f>IF(INDEX(Cal_Weeks[MonthYearLabel],58)&lt;&gt;INDEX(Cal_Weeks[MonthYearLabel],57),'Grid_Stock'!BF15,BF15)+'Grid_Incoming'!BG15-'Grid_Requirement'!BG15</f>
        <v/>
      </c>
      <c r="BH15">
        <f>IF(INDEX(Cal_Weeks[MonthYearLabel],59)&lt;&gt;INDEX(Cal_Weeks[MonthYearLabel],58),'Grid_Stock'!BG15,BG15)+'Grid_Incoming'!BH15-'Grid_Requirement'!BH15</f>
        <v/>
      </c>
      <c r="BI15">
        <f>IF(INDEX(Cal_Weeks[MonthYearLabel],60)&lt;&gt;INDEX(Cal_Weeks[MonthYearLabel],59),'Grid_Stock'!BH15,BH15)+'Grid_Incoming'!BI15-'Grid_Requirement'!BI15</f>
        <v/>
      </c>
      <c r="BJ15">
        <f>IF(INDEX(Cal_Weeks[MonthYearLabel],61)&lt;&gt;INDEX(Cal_Weeks[MonthYearLabel],60),'Grid_Stock'!BI15,BI15)+'Grid_Incoming'!BJ15-'Grid_Requirement'!BJ15</f>
        <v/>
      </c>
      <c r="BK15">
        <f>IF(INDEX(Cal_Weeks[MonthYearLabel],62)&lt;&gt;INDEX(Cal_Weeks[MonthYearLabel],61),'Grid_Stock'!BJ15,BJ15)+'Grid_Incoming'!BK15-'Grid_Requirement'!BK15</f>
        <v/>
      </c>
      <c r="BL15">
        <f>IF(INDEX(Cal_Weeks[MonthYearLabel],63)&lt;&gt;INDEX(Cal_Weeks[MonthYearLabel],62),'Grid_Stock'!BK15,BK15)+'Grid_Incoming'!BL15-'Grid_Requirement'!BL15</f>
        <v/>
      </c>
      <c r="BM15">
        <f>IF(INDEX(Cal_Weeks[MonthYearLabel],64)&lt;&gt;INDEX(Cal_Weeks[MonthYearLabel],63),'Grid_Stock'!BL15,BL15)+'Grid_Incoming'!BM15-'Grid_Requirement'!BM15</f>
        <v/>
      </c>
      <c r="BN15">
        <f>IF(INDEX(Cal_Weeks[MonthYearLabel],65)&lt;&gt;INDEX(Cal_Weeks[MonthYearLabel],64),'Grid_Stock'!BM15,BM15)+'Grid_Incoming'!BN15-'Grid_Requirement'!BN15</f>
        <v/>
      </c>
      <c r="BO15">
        <f>IF(INDEX(Cal_Weeks[MonthYearLabel],66)&lt;&gt;INDEX(Cal_Weeks[MonthYearLabel],65),'Grid_Stock'!BN15,BN15)+'Grid_Incoming'!BO15-'Grid_Requirement'!BO15</f>
        <v/>
      </c>
      <c r="BP15">
        <f>IF(INDEX(Cal_Weeks[MonthYearLabel],67)&lt;&gt;INDEX(Cal_Weeks[MonthYearLabel],66),'Grid_Stock'!BO15,BO15)+'Grid_Incoming'!BP15-'Grid_Requirement'!BP15</f>
        <v/>
      </c>
      <c r="BQ15">
        <f>IF(INDEX(Cal_Weeks[MonthYearLabel],68)&lt;&gt;INDEX(Cal_Weeks[MonthYearLabel],67),'Grid_Stock'!BP15,BP15)+'Grid_Incoming'!BQ15-'Grid_Requirement'!BQ15</f>
        <v/>
      </c>
      <c r="BR15">
        <f>IF(INDEX(Cal_Weeks[MonthYearLabel],69)&lt;&gt;INDEX(Cal_Weeks[MonthYearLabel],68),'Grid_Stock'!BQ15,BQ15)+'Grid_Incoming'!BR15-'Grid_Requirement'!BR15</f>
        <v/>
      </c>
      <c r="BS15">
        <f>IF(INDEX(Cal_Weeks[MonthYearLabel],70)&lt;&gt;INDEX(Cal_Weeks[MonthYearLabel],69),'Grid_Stock'!BR15,BR15)+'Grid_Incoming'!BS15-'Grid_Requirement'!BS15</f>
        <v/>
      </c>
      <c r="BT15">
        <f>IF(INDEX(Cal_Weeks[MonthYearLabel],71)&lt;&gt;INDEX(Cal_Weeks[MonthYearLabel],70),'Grid_Stock'!BS15,BS15)+'Grid_Incoming'!BT15-'Grid_Requirement'!BT15</f>
        <v/>
      </c>
      <c r="BU15">
        <f>IF(INDEX(Cal_Weeks[MonthYearLabel],72)&lt;&gt;INDEX(Cal_Weeks[MonthYearLabel],71),'Grid_Stock'!BT15,BT15)+'Grid_Incoming'!BU15-'Grid_Requirement'!BU15</f>
        <v/>
      </c>
      <c r="BV15">
        <f>IF(INDEX(Cal_Weeks[MonthYearLabel],73)&lt;&gt;INDEX(Cal_Weeks[MonthYearLabel],72),'Grid_Stock'!BU15,BU15)+'Grid_Incoming'!BV15-'Grid_Requirement'!BV15</f>
        <v/>
      </c>
      <c r="BW15">
        <f>IF(INDEX(Cal_Weeks[MonthYearLabel],74)&lt;&gt;INDEX(Cal_Weeks[MonthYearLabel],73),'Grid_Stock'!BV15,BV15)+'Grid_Incoming'!BW15-'Grid_Requirement'!BW15</f>
        <v/>
      </c>
      <c r="BX15">
        <f>IF(INDEX(Cal_Weeks[MonthYearLabel],75)&lt;&gt;INDEX(Cal_Weeks[MonthYearLabel],74),'Grid_Stock'!BW15,BW15)+'Grid_Incoming'!BX15-'Grid_Requirement'!BX15</f>
        <v/>
      </c>
      <c r="BY15">
        <f>IF(INDEX(Cal_Weeks[MonthYearLabel],76)&lt;&gt;INDEX(Cal_Weeks[MonthYearLabel],75),'Grid_Stock'!BX15,BX15)+'Grid_Incoming'!BY15-'Grid_Requirement'!BY15</f>
        <v/>
      </c>
      <c r="BZ15">
        <f>IF(INDEX(Cal_Weeks[MonthYearLabel],77)&lt;&gt;INDEX(Cal_Weeks[MonthYearLabel],76),'Grid_Stock'!BY15,BY15)+'Grid_Incoming'!BZ15-'Grid_Requirement'!BZ15</f>
        <v/>
      </c>
      <c r="CA15">
        <f>IF(INDEX(Cal_Weeks[MonthYearLabel],78)&lt;&gt;INDEX(Cal_Weeks[MonthYearLabel],77),'Grid_Stock'!BZ15,BZ15)+'Grid_Incoming'!CA15-'Grid_Requirement'!CA15</f>
        <v/>
      </c>
      <c r="CB15">
        <f>IF(INDEX(Cal_Weeks[MonthYearLabel],79)&lt;&gt;INDEX(Cal_Weeks[MonthYearLabel],78),'Grid_Stock'!CA15,CA15)+'Grid_Incoming'!CB15-'Grid_Requirement'!CB15</f>
        <v/>
      </c>
      <c r="CC15">
        <f>IF(INDEX(Cal_Weeks[MonthYearLabel],80)&lt;&gt;INDEX(Cal_Weeks[MonthYearLabel],79),'Grid_Stock'!CB15,CB15)+'Grid_Incoming'!CC15-'Grid_Requirement'!CC15</f>
        <v/>
      </c>
      <c r="CD15">
        <f>IF(INDEX(Cal_Weeks[MonthYearLabel],81)&lt;&gt;INDEX(Cal_Weeks[MonthYearLabel],80),'Grid_Stock'!CC15,CC15)+'Grid_Incoming'!CD15-'Grid_Requirement'!CD15</f>
        <v/>
      </c>
      <c r="CE15">
        <f>IF(INDEX(Cal_Weeks[MonthYearLabel],82)&lt;&gt;INDEX(Cal_Weeks[MonthYearLabel],81),'Grid_Stock'!CD15,CD15)+'Grid_Incoming'!CE15-'Grid_Requirement'!CE15</f>
        <v/>
      </c>
      <c r="CF15">
        <f>IF(INDEX(Cal_Weeks[MonthYearLabel],83)&lt;&gt;INDEX(Cal_Weeks[MonthYearLabel],82),'Grid_Stock'!CE15,CE15)+'Grid_Incoming'!CF15-'Grid_Requirement'!CF15</f>
        <v/>
      </c>
      <c r="CG15">
        <f>IF(INDEX(Cal_Weeks[MonthYearLabel],84)&lt;&gt;INDEX(Cal_Weeks[MonthYearLabel],83),'Grid_Stock'!CF15,CF15)+'Grid_Incoming'!CG15-'Grid_Requirement'!CG15</f>
        <v/>
      </c>
      <c r="CH15">
        <f>IF(INDEX(Cal_Weeks[MonthYearLabel],85)&lt;&gt;INDEX(Cal_Weeks[MonthYearLabel],84),'Grid_Stock'!CG15,CG15)+'Grid_Incoming'!CH15-'Grid_Requirement'!CH15</f>
        <v/>
      </c>
      <c r="CI15">
        <f>IF(INDEX(Cal_Weeks[MonthYearLabel],86)&lt;&gt;INDEX(Cal_Weeks[MonthYearLabel],85),'Grid_Stock'!CH15,CH15)+'Grid_Incoming'!CI15-'Grid_Requirement'!CI15</f>
        <v/>
      </c>
      <c r="CJ15">
        <f>IF(INDEX(Cal_Weeks[MonthYearLabel],87)&lt;&gt;INDEX(Cal_Weeks[MonthYearLabel],86),'Grid_Stock'!CI15,CI15)+'Grid_Incoming'!CJ15-'Grid_Requirement'!CJ15</f>
        <v/>
      </c>
      <c r="CK15">
        <f>IF(INDEX(Cal_Weeks[MonthYearLabel],88)&lt;&gt;INDEX(Cal_Weeks[MonthYearLabel],87),'Grid_Stock'!CJ15,CJ15)+'Grid_Incoming'!CK15-'Grid_Requirement'!CK15</f>
        <v/>
      </c>
      <c r="CL15">
        <f>IF(INDEX(Cal_Weeks[MonthYearLabel],89)&lt;&gt;INDEX(Cal_Weeks[MonthYearLabel],88),'Grid_Stock'!CK15,CK15)+'Grid_Incoming'!CL15-'Grid_Requirement'!CL15</f>
        <v/>
      </c>
      <c r="CM15">
        <f>IF(INDEX(Cal_Weeks[MonthYearLabel],90)&lt;&gt;INDEX(Cal_Weeks[MonthYearLabel],89),'Grid_Stock'!CL15,CL15)+'Grid_Incoming'!CM15-'Grid_Requirement'!CM15</f>
        <v/>
      </c>
      <c r="CN15">
        <f>IF(INDEX(Cal_Weeks[MonthYearLabel],91)&lt;&gt;INDEX(Cal_Weeks[MonthYearLabel],90),'Grid_Stock'!CM15,CM15)+'Grid_Incoming'!CN15-'Grid_Requirement'!CN15</f>
        <v/>
      </c>
      <c r="CO15">
        <f>IF(INDEX(Cal_Weeks[MonthYearLabel],92)&lt;&gt;INDEX(Cal_Weeks[MonthYearLabel],91),'Grid_Stock'!CN15,CN15)+'Grid_Incoming'!CO15-'Grid_Requirement'!CO15</f>
        <v/>
      </c>
      <c r="CP15">
        <f>IF(INDEX(Cal_Weeks[MonthYearLabel],93)&lt;&gt;INDEX(Cal_Weeks[MonthYearLabel],92),'Grid_Stock'!CO15,CO15)+'Grid_Incoming'!CP15-'Grid_Requirement'!CP15</f>
        <v/>
      </c>
      <c r="CQ15">
        <f>IF(INDEX(Cal_Weeks[MonthYearLabel],94)&lt;&gt;INDEX(Cal_Weeks[MonthYearLabel],93),'Grid_Stock'!CP15,CP15)+'Grid_Incoming'!CQ15-'Grid_Requirement'!CQ15</f>
        <v/>
      </c>
      <c r="CR15">
        <f>IF(INDEX(Cal_Weeks[MonthYearLabel],95)&lt;&gt;INDEX(Cal_Weeks[MonthYearLabel],94),'Grid_Stock'!CQ15,CQ15)+'Grid_Incoming'!CR15-'Grid_Requirement'!CR15</f>
        <v/>
      </c>
      <c r="CS15">
        <f>IF(INDEX(Cal_Weeks[MonthYearLabel],96)&lt;&gt;INDEX(Cal_Weeks[MonthYearLabel],95),'Grid_Stock'!CR15,CR15)+'Grid_Incoming'!CS15-'Grid_Requirement'!CS15</f>
        <v/>
      </c>
      <c r="CT15">
        <f>IF(INDEX(Cal_Weeks[MonthYearLabel],97)&lt;&gt;INDEX(Cal_Weeks[MonthYearLabel],96),'Grid_Stock'!CS15,CS15)+'Grid_Incoming'!CT15-'Grid_Requirement'!CT15</f>
        <v/>
      </c>
      <c r="CU15">
        <f>IF(INDEX(Cal_Weeks[MonthYearLabel],98)&lt;&gt;INDEX(Cal_Weeks[MonthYearLabel],97),'Grid_Stock'!CT15,CT15)+'Grid_Incoming'!CU15-'Grid_Requirement'!CU15</f>
        <v/>
      </c>
      <c r="CV15">
        <f>IF(INDEX(Cal_Weeks[MonthYearLabel],99)&lt;&gt;INDEX(Cal_Weeks[MonthYearLabel],98),'Grid_Stock'!CU15,CU15)+'Grid_Incoming'!CV15-'Grid_Requirement'!CV15</f>
        <v/>
      </c>
      <c r="CW15">
        <f>IF(INDEX(Cal_Weeks[MonthYearLabel],100)&lt;&gt;INDEX(Cal_Weeks[MonthYearLabel],99),'Grid_Stock'!CV15,CV15)+'Grid_Incoming'!CW15-'Grid_Requirement'!CW15</f>
        <v/>
      </c>
      <c r="CX15">
        <f>IF(INDEX(Cal_Weeks[MonthYearLabel],101)&lt;&gt;INDEX(Cal_Weeks[MonthYearLabel],100),'Grid_Stock'!CW15,CW15)+'Grid_Incoming'!CX15-'Grid_Requirement'!CX15</f>
        <v/>
      </c>
      <c r="CY15">
        <f>IF(INDEX(Cal_Weeks[MonthYearLabel],102)&lt;&gt;INDEX(Cal_Weeks[MonthYearLabel],101),'Grid_Stock'!CX15,CX15)+'Grid_Incoming'!CY15-'Grid_Requirement'!CY15</f>
        <v/>
      </c>
      <c r="CZ15">
        <f>IF(INDEX(Cal_Weeks[MonthYearLabel],103)&lt;&gt;INDEX(Cal_Weeks[MonthYearLabel],102),'Grid_Stock'!CY15,CY15)+'Grid_Incoming'!CZ15-'Grid_Requirement'!CZ15</f>
        <v/>
      </c>
      <c r="DA15">
        <f>IF(INDEX(Cal_Weeks[MonthYearLabel],104)&lt;&gt;INDEX(Cal_Weeks[MonthYearLabel],103),'Grid_Stock'!CZ15,CZ15)+'Grid_Incoming'!DA15-'Grid_Requirement'!DA15</f>
        <v/>
      </c>
    </row>
    <row r="16">
      <c r="A16" t="inlineStr">
        <is>
          <t>8EN</t>
        </is>
      </c>
      <c r="B16">
        <f>IFERROR(INDEX(T_OpeningStock[Opening_Qty_要入力],MATCH($A16,T_OpeningStock[Part Name],0)),0)+'Grid_Incoming'!B16-'Grid_Requirement'!B16</f>
        <v/>
      </c>
      <c r="C16">
        <f>IF(INDEX(Cal_Weeks[MonthYearLabel],2)&lt;&gt;INDEX(Cal_Weeks[MonthYearLabel],1),'Grid_Stock'!B16,B16)+'Grid_Incoming'!C16-'Grid_Requirement'!C16</f>
        <v/>
      </c>
      <c r="D16">
        <f>IF(INDEX(Cal_Weeks[MonthYearLabel],3)&lt;&gt;INDEX(Cal_Weeks[MonthYearLabel],2),'Grid_Stock'!C16,C16)+'Grid_Incoming'!D16-'Grid_Requirement'!D16</f>
        <v/>
      </c>
      <c r="E16">
        <f>IF(INDEX(Cal_Weeks[MonthYearLabel],4)&lt;&gt;INDEX(Cal_Weeks[MonthYearLabel],3),'Grid_Stock'!D16,D16)+'Grid_Incoming'!E16-'Grid_Requirement'!E16</f>
        <v/>
      </c>
      <c r="F16">
        <f>IF(INDEX(Cal_Weeks[MonthYearLabel],5)&lt;&gt;INDEX(Cal_Weeks[MonthYearLabel],4),'Grid_Stock'!E16,E16)+'Grid_Incoming'!F16-'Grid_Requirement'!F16</f>
        <v/>
      </c>
      <c r="G16">
        <f>IF(INDEX(Cal_Weeks[MonthYearLabel],6)&lt;&gt;INDEX(Cal_Weeks[MonthYearLabel],5),'Grid_Stock'!F16,F16)+'Grid_Incoming'!G16-'Grid_Requirement'!G16</f>
        <v/>
      </c>
      <c r="H16">
        <f>IF(INDEX(Cal_Weeks[MonthYearLabel],7)&lt;&gt;INDEX(Cal_Weeks[MonthYearLabel],6),'Grid_Stock'!G16,G16)+'Grid_Incoming'!H16-'Grid_Requirement'!H16</f>
        <v/>
      </c>
      <c r="I16">
        <f>IF(INDEX(Cal_Weeks[MonthYearLabel],8)&lt;&gt;INDEX(Cal_Weeks[MonthYearLabel],7),'Grid_Stock'!H16,H16)+'Grid_Incoming'!I16-'Grid_Requirement'!I16</f>
        <v/>
      </c>
      <c r="J16">
        <f>IF(INDEX(Cal_Weeks[MonthYearLabel],9)&lt;&gt;INDEX(Cal_Weeks[MonthYearLabel],8),'Grid_Stock'!I16,I16)+'Grid_Incoming'!J16-'Grid_Requirement'!J16</f>
        <v/>
      </c>
      <c r="K16">
        <f>IF(INDEX(Cal_Weeks[MonthYearLabel],10)&lt;&gt;INDEX(Cal_Weeks[MonthYearLabel],9),'Grid_Stock'!J16,J16)+'Grid_Incoming'!K16-'Grid_Requirement'!K16</f>
        <v/>
      </c>
      <c r="L16">
        <f>IF(INDEX(Cal_Weeks[MonthYearLabel],11)&lt;&gt;INDEX(Cal_Weeks[MonthYearLabel],10),'Grid_Stock'!K16,K16)+'Grid_Incoming'!L16-'Grid_Requirement'!L16</f>
        <v/>
      </c>
      <c r="M16">
        <f>IF(INDEX(Cal_Weeks[MonthYearLabel],12)&lt;&gt;INDEX(Cal_Weeks[MonthYearLabel],11),'Grid_Stock'!L16,L16)+'Grid_Incoming'!M16-'Grid_Requirement'!M16</f>
        <v/>
      </c>
      <c r="N16">
        <f>IF(INDEX(Cal_Weeks[MonthYearLabel],13)&lt;&gt;INDEX(Cal_Weeks[MonthYearLabel],12),'Grid_Stock'!M16,M16)+'Grid_Incoming'!N16-'Grid_Requirement'!N16</f>
        <v/>
      </c>
      <c r="O16">
        <f>IF(INDEX(Cal_Weeks[MonthYearLabel],14)&lt;&gt;INDEX(Cal_Weeks[MonthYearLabel],13),'Grid_Stock'!N16,N16)+'Grid_Incoming'!O16-'Grid_Requirement'!O16</f>
        <v/>
      </c>
      <c r="P16">
        <f>IF(INDEX(Cal_Weeks[MonthYearLabel],15)&lt;&gt;INDEX(Cal_Weeks[MonthYearLabel],14),'Grid_Stock'!O16,O16)+'Grid_Incoming'!P16-'Grid_Requirement'!P16</f>
        <v/>
      </c>
      <c r="Q16">
        <f>IF(INDEX(Cal_Weeks[MonthYearLabel],16)&lt;&gt;INDEX(Cal_Weeks[MonthYearLabel],15),'Grid_Stock'!P16,P16)+'Grid_Incoming'!Q16-'Grid_Requirement'!Q16</f>
        <v/>
      </c>
      <c r="R16">
        <f>IF(INDEX(Cal_Weeks[MonthYearLabel],17)&lt;&gt;INDEX(Cal_Weeks[MonthYearLabel],16),'Grid_Stock'!Q16,Q16)+'Grid_Incoming'!R16-'Grid_Requirement'!R16</f>
        <v/>
      </c>
      <c r="S16">
        <f>IF(INDEX(Cal_Weeks[MonthYearLabel],18)&lt;&gt;INDEX(Cal_Weeks[MonthYearLabel],17),'Grid_Stock'!R16,R16)+'Grid_Incoming'!S16-'Grid_Requirement'!S16</f>
        <v/>
      </c>
      <c r="T16">
        <f>IF(INDEX(Cal_Weeks[MonthYearLabel],19)&lt;&gt;INDEX(Cal_Weeks[MonthYearLabel],18),'Grid_Stock'!S16,S16)+'Grid_Incoming'!T16-'Grid_Requirement'!T16</f>
        <v/>
      </c>
      <c r="U16">
        <f>IF(INDEX(Cal_Weeks[MonthYearLabel],20)&lt;&gt;INDEX(Cal_Weeks[MonthYearLabel],19),'Grid_Stock'!T16,T16)+'Grid_Incoming'!U16-'Grid_Requirement'!U16</f>
        <v/>
      </c>
      <c r="V16">
        <f>IF(INDEX(Cal_Weeks[MonthYearLabel],21)&lt;&gt;INDEX(Cal_Weeks[MonthYearLabel],20),'Grid_Stock'!U16,U16)+'Grid_Incoming'!V16-'Grid_Requirement'!V16</f>
        <v/>
      </c>
      <c r="W16">
        <f>IF(INDEX(Cal_Weeks[MonthYearLabel],22)&lt;&gt;INDEX(Cal_Weeks[MonthYearLabel],21),'Grid_Stock'!V16,V16)+'Grid_Incoming'!W16-'Grid_Requirement'!W16</f>
        <v/>
      </c>
      <c r="X16">
        <f>IF(INDEX(Cal_Weeks[MonthYearLabel],23)&lt;&gt;INDEX(Cal_Weeks[MonthYearLabel],22),'Grid_Stock'!W16,W16)+'Grid_Incoming'!X16-'Grid_Requirement'!X16</f>
        <v/>
      </c>
      <c r="Y16">
        <f>IF(INDEX(Cal_Weeks[MonthYearLabel],24)&lt;&gt;INDEX(Cal_Weeks[MonthYearLabel],23),'Grid_Stock'!X16,X16)+'Grid_Incoming'!Y16-'Grid_Requirement'!Y16</f>
        <v/>
      </c>
      <c r="Z16">
        <f>IF(INDEX(Cal_Weeks[MonthYearLabel],25)&lt;&gt;INDEX(Cal_Weeks[MonthYearLabel],24),'Grid_Stock'!Y16,Y16)+'Grid_Incoming'!Z16-'Grid_Requirement'!Z16</f>
        <v/>
      </c>
      <c r="AA16">
        <f>IF(INDEX(Cal_Weeks[MonthYearLabel],26)&lt;&gt;INDEX(Cal_Weeks[MonthYearLabel],25),'Grid_Stock'!Z16,Z16)+'Grid_Incoming'!AA16-'Grid_Requirement'!AA16</f>
        <v/>
      </c>
      <c r="AB16">
        <f>IF(INDEX(Cal_Weeks[MonthYearLabel],27)&lt;&gt;INDEX(Cal_Weeks[MonthYearLabel],26),'Grid_Stock'!AA16,AA16)+'Grid_Incoming'!AB16-'Grid_Requirement'!AB16</f>
        <v/>
      </c>
      <c r="AC16">
        <f>IF(INDEX(Cal_Weeks[MonthYearLabel],28)&lt;&gt;INDEX(Cal_Weeks[MonthYearLabel],27),'Grid_Stock'!AB16,AB16)+'Grid_Incoming'!AC16-'Grid_Requirement'!AC16</f>
        <v/>
      </c>
      <c r="AD16">
        <f>IF(INDEX(Cal_Weeks[MonthYearLabel],29)&lt;&gt;INDEX(Cal_Weeks[MonthYearLabel],28),'Grid_Stock'!AC16,AC16)+'Grid_Incoming'!AD16-'Grid_Requirement'!AD16</f>
        <v/>
      </c>
      <c r="AE16">
        <f>IF(INDEX(Cal_Weeks[MonthYearLabel],30)&lt;&gt;INDEX(Cal_Weeks[MonthYearLabel],29),'Grid_Stock'!AD16,AD16)+'Grid_Incoming'!AE16-'Grid_Requirement'!AE16</f>
        <v/>
      </c>
      <c r="AF16">
        <f>IF(INDEX(Cal_Weeks[MonthYearLabel],31)&lt;&gt;INDEX(Cal_Weeks[MonthYearLabel],30),'Grid_Stock'!AE16,AE16)+'Grid_Incoming'!AF16-'Grid_Requirement'!AF16</f>
        <v/>
      </c>
      <c r="AG16">
        <f>IF(INDEX(Cal_Weeks[MonthYearLabel],32)&lt;&gt;INDEX(Cal_Weeks[MonthYearLabel],31),'Grid_Stock'!AF16,AF16)+'Grid_Incoming'!AG16-'Grid_Requirement'!AG16</f>
        <v/>
      </c>
      <c r="AH16">
        <f>IF(INDEX(Cal_Weeks[MonthYearLabel],33)&lt;&gt;INDEX(Cal_Weeks[MonthYearLabel],32),'Grid_Stock'!AG16,AG16)+'Grid_Incoming'!AH16-'Grid_Requirement'!AH16</f>
        <v/>
      </c>
      <c r="AI16">
        <f>IF(INDEX(Cal_Weeks[MonthYearLabel],34)&lt;&gt;INDEX(Cal_Weeks[MonthYearLabel],33),'Grid_Stock'!AH16,AH16)+'Grid_Incoming'!AI16-'Grid_Requirement'!AI16</f>
        <v/>
      </c>
      <c r="AJ16">
        <f>IF(INDEX(Cal_Weeks[MonthYearLabel],35)&lt;&gt;INDEX(Cal_Weeks[MonthYearLabel],34),'Grid_Stock'!AI16,AI16)+'Grid_Incoming'!AJ16-'Grid_Requirement'!AJ16</f>
        <v/>
      </c>
      <c r="AK16">
        <f>IF(INDEX(Cal_Weeks[MonthYearLabel],36)&lt;&gt;INDEX(Cal_Weeks[MonthYearLabel],35),'Grid_Stock'!AJ16,AJ16)+'Grid_Incoming'!AK16-'Grid_Requirement'!AK16</f>
        <v/>
      </c>
      <c r="AL16">
        <f>IF(INDEX(Cal_Weeks[MonthYearLabel],37)&lt;&gt;INDEX(Cal_Weeks[MonthYearLabel],36),'Grid_Stock'!AK16,AK16)+'Grid_Incoming'!AL16-'Grid_Requirement'!AL16</f>
        <v/>
      </c>
      <c r="AM16">
        <f>IF(INDEX(Cal_Weeks[MonthYearLabel],38)&lt;&gt;INDEX(Cal_Weeks[MonthYearLabel],37),'Grid_Stock'!AL16,AL16)+'Grid_Incoming'!AM16-'Grid_Requirement'!AM16</f>
        <v/>
      </c>
      <c r="AN16">
        <f>IF(INDEX(Cal_Weeks[MonthYearLabel],39)&lt;&gt;INDEX(Cal_Weeks[MonthYearLabel],38),'Grid_Stock'!AM16,AM16)+'Grid_Incoming'!AN16-'Grid_Requirement'!AN16</f>
        <v/>
      </c>
      <c r="AO16">
        <f>IF(INDEX(Cal_Weeks[MonthYearLabel],40)&lt;&gt;INDEX(Cal_Weeks[MonthYearLabel],39),'Grid_Stock'!AN16,AN16)+'Grid_Incoming'!AO16-'Grid_Requirement'!AO16</f>
        <v/>
      </c>
      <c r="AP16">
        <f>IF(INDEX(Cal_Weeks[MonthYearLabel],41)&lt;&gt;INDEX(Cal_Weeks[MonthYearLabel],40),'Grid_Stock'!AO16,AO16)+'Grid_Incoming'!AP16-'Grid_Requirement'!AP16</f>
        <v/>
      </c>
      <c r="AQ16">
        <f>IF(INDEX(Cal_Weeks[MonthYearLabel],42)&lt;&gt;INDEX(Cal_Weeks[MonthYearLabel],41),'Grid_Stock'!AP16,AP16)+'Grid_Incoming'!AQ16-'Grid_Requirement'!AQ16</f>
        <v/>
      </c>
      <c r="AR16">
        <f>IF(INDEX(Cal_Weeks[MonthYearLabel],43)&lt;&gt;INDEX(Cal_Weeks[MonthYearLabel],42),'Grid_Stock'!AQ16,AQ16)+'Grid_Incoming'!AR16-'Grid_Requirement'!AR16</f>
        <v/>
      </c>
      <c r="AS16">
        <f>IF(INDEX(Cal_Weeks[MonthYearLabel],44)&lt;&gt;INDEX(Cal_Weeks[MonthYearLabel],43),'Grid_Stock'!AR16,AR16)+'Grid_Incoming'!AS16-'Grid_Requirement'!AS16</f>
        <v/>
      </c>
      <c r="AT16">
        <f>IF(INDEX(Cal_Weeks[MonthYearLabel],45)&lt;&gt;INDEX(Cal_Weeks[MonthYearLabel],44),'Grid_Stock'!AS16,AS16)+'Grid_Incoming'!AT16-'Grid_Requirement'!AT16</f>
        <v/>
      </c>
      <c r="AU16">
        <f>IF(INDEX(Cal_Weeks[MonthYearLabel],46)&lt;&gt;INDEX(Cal_Weeks[MonthYearLabel],45),'Grid_Stock'!AT16,AT16)+'Grid_Incoming'!AU16-'Grid_Requirement'!AU16</f>
        <v/>
      </c>
      <c r="AV16">
        <f>IF(INDEX(Cal_Weeks[MonthYearLabel],47)&lt;&gt;INDEX(Cal_Weeks[MonthYearLabel],46),'Grid_Stock'!AU16,AU16)+'Grid_Incoming'!AV16-'Grid_Requirement'!AV16</f>
        <v/>
      </c>
      <c r="AW16">
        <f>IF(INDEX(Cal_Weeks[MonthYearLabel],48)&lt;&gt;INDEX(Cal_Weeks[MonthYearLabel],47),'Grid_Stock'!AV16,AV16)+'Grid_Incoming'!AW16-'Grid_Requirement'!AW16</f>
        <v/>
      </c>
      <c r="AX16">
        <f>IF(INDEX(Cal_Weeks[MonthYearLabel],49)&lt;&gt;INDEX(Cal_Weeks[MonthYearLabel],48),'Grid_Stock'!AW16,AW16)+'Grid_Incoming'!AX16-'Grid_Requirement'!AX16</f>
        <v/>
      </c>
      <c r="AY16">
        <f>IF(INDEX(Cal_Weeks[MonthYearLabel],50)&lt;&gt;INDEX(Cal_Weeks[MonthYearLabel],49),'Grid_Stock'!AX16,AX16)+'Grid_Incoming'!AY16-'Grid_Requirement'!AY16</f>
        <v/>
      </c>
      <c r="AZ16">
        <f>IF(INDEX(Cal_Weeks[MonthYearLabel],51)&lt;&gt;INDEX(Cal_Weeks[MonthYearLabel],50),'Grid_Stock'!AY16,AY16)+'Grid_Incoming'!AZ16-'Grid_Requirement'!AZ16</f>
        <v/>
      </c>
      <c r="BA16">
        <f>IF(INDEX(Cal_Weeks[MonthYearLabel],52)&lt;&gt;INDEX(Cal_Weeks[MonthYearLabel],51),'Grid_Stock'!AZ16,AZ16)+'Grid_Incoming'!BA16-'Grid_Requirement'!BA16</f>
        <v/>
      </c>
      <c r="BB16">
        <f>IF(INDEX(Cal_Weeks[MonthYearLabel],53)&lt;&gt;INDEX(Cal_Weeks[MonthYearLabel],52),'Grid_Stock'!BA16,BA16)+'Grid_Incoming'!BB16-'Grid_Requirement'!BB16</f>
        <v/>
      </c>
      <c r="BC16">
        <f>IF(INDEX(Cal_Weeks[MonthYearLabel],54)&lt;&gt;INDEX(Cal_Weeks[MonthYearLabel],53),'Grid_Stock'!BB16,BB16)+'Grid_Incoming'!BC16-'Grid_Requirement'!BC16</f>
        <v/>
      </c>
      <c r="BD16">
        <f>IF(INDEX(Cal_Weeks[MonthYearLabel],55)&lt;&gt;INDEX(Cal_Weeks[MonthYearLabel],54),'Grid_Stock'!BC16,BC16)+'Grid_Incoming'!BD16-'Grid_Requirement'!BD16</f>
        <v/>
      </c>
      <c r="BE16">
        <f>IF(INDEX(Cal_Weeks[MonthYearLabel],56)&lt;&gt;INDEX(Cal_Weeks[MonthYearLabel],55),'Grid_Stock'!BD16,BD16)+'Grid_Incoming'!BE16-'Grid_Requirement'!BE16</f>
        <v/>
      </c>
      <c r="BF16">
        <f>IF(INDEX(Cal_Weeks[MonthYearLabel],57)&lt;&gt;INDEX(Cal_Weeks[MonthYearLabel],56),'Grid_Stock'!BE16,BE16)+'Grid_Incoming'!BF16-'Grid_Requirement'!BF16</f>
        <v/>
      </c>
      <c r="BG16">
        <f>IF(INDEX(Cal_Weeks[MonthYearLabel],58)&lt;&gt;INDEX(Cal_Weeks[MonthYearLabel],57),'Grid_Stock'!BF16,BF16)+'Grid_Incoming'!BG16-'Grid_Requirement'!BG16</f>
        <v/>
      </c>
      <c r="BH16">
        <f>IF(INDEX(Cal_Weeks[MonthYearLabel],59)&lt;&gt;INDEX(Cal_Weeks[MonthYearLabel],58),'Grid_Stock'!BG16,BG16)+'Grid_Incoming'!BH16-'Grid_Requirement'!BH16</f>
        <v/>
      </c>
      <c r="BI16">
        <f>IF(INDEX(Cal_Weeks[MonthYearLabel],60)&lt;&gt;INDEX(Cal_Weeks[MonthYearLabel],59),'Grid_Stock'!BH16,BH16)+'Grid_Incoming'!BI16-'Grid_Requirement'!BI16</f>
        <v/>
      </c>
      <c r="BJ16">
        <f>IF(INDEX(Cal_Weeks[MonthYearLabel],61)&lt;&gt;INDEX(Cal_Weeks[MonthYearLabel],60),'Grid_Stock'!BI16,BI16)+'Grid_Incoming'!BJ16-'Grid_Requirement'!BJ16</f>
        <v/>
      </c>
      <c r="BK16">
        <f>IF(INDEX(Cal_Weeks[MonthYearLabel],62)&lt;&gt;INDEX(Cal_Weeks[MonthYearLabel],61),'Grid_Stock'!BJ16,BJ16)+'Grid_Incoming'!BK16-'Grid_Requirement'!BK16</f>
        <v/>
      </c>
      <c r="BL16">
        <f>IF(INDEX(Cal_Weeks[MonthYearLabel],63)&lt;&gt;INDEX(Cal_Weeks[MonthYearLabel],62),'Grid_Stock'!BK16,BK16)+'Grid_Incoming'!BL16-'Grid_Requirement'!BL16</f>
        <v/>
      </c>
      <c r="BM16">
        <f>IF(INDEX(Cal_Weeks[MonthYearLabel],64)&lt;&gt;INDEX(Cal_Weeks[MonthYearLabel],63),'Grid_Stock'!BL16,BL16)+'Grid_Incoming'!BM16-'Grid_Requirement'!BM16</f>
        <v/>
      </c>
      <c r="BN16">
        <f>IF(INDEX(Cal_Weeks[MonthYearLabel],65)&lt;&gt;INDEX(Cal_Weeks[MonthYearLabel],64),'Grid_Stock'!BM16,BM16)+'Grid_Incoming'!BN16-'Grid_Requirement'!BN16</f>
        <v/>
      </c>
      <c r="BO16">
        <f>IF(INDEX(Cal_Weeks[MonthYearLabel],66)&lt;&gt;INDEX(Cal_Weeks[MonthYearLabel],65),'Grid_Stock'!BN16,BN16)+'Grid_Incoming'!BO16-'Grid_Requirement'!BO16</f>
        <v/>
      </c>
      <c r="BP16">
        <f>IF(INDEX(Cal_Weeks[MonthYearLabel],67)&lt;&gt;INDEX(Cal_Weeks[MonthYearLabel],66),'Grid_Stock'!BO16,BO16)+'Grid_Incoming'!BP16-'Grid_Requirement'!BP16</f>
        <v/>
      </c>
      <c r="BQ16">
        <f>IF(INDEX(Cal_Weeks[MonthYearLabel],68)&lt;&gt;INDEX(Cal_Weeks[MonthYearLabel],67),'Grid_Stock'!BP16,BP16)+'Grid_Incoming'!BQ16-'Grid_Requirement'!BQ16</f>
        <v/>
      </c>
      <c r="BR16">
        <f>IF(INDEX(Cal_Weeks[MonthYearLabel],69)&lt;&gt;INDEX(Cal_Weeks[MonthYearLabel],68),'Grid_Stock'!BQ16,BQ16)+'Grid_Incoming'!BR16-'Grid_Requirement'!BR16</f>
        <v/>
      </c>
      <c r="BS16">
        <f>IF(INDEX(Cal_Weeks[MonthYearLabel],70)&lt;&gt;INDEX(Cal_Weeks[MonthYearLabel],69),'Grid_Stock'!BR16,BR16)+'Grid_Incoming'!BS16-'Grid_Requirement'!BS16</f>
        <v/>
      </c>
      <c r="BT16">
        <f>IF(INDEX(Cal_Weeks[MonthYearLabel],71)&lt;&gt;INDEX(Cal_Weeks[MonthYearLabel],70),'Grid_Stock'!BS16,BS16)+'Grid_Incoming'!BT16-'Grid_Requirement'!BT16</f>
        <v/>
      </c>
      <c r="BU16">
        <f>IF(INDEX(Cal_Weeks[MonthYearLabel],72)&lt;&gt;INDEX(Cal_Weeks[MonthYearLabel],71),'Grid_Stock'!BT16,BT16)+'Grid_Incoming'!BU16-'Grid_Requirement'!BU16</f>
        <v/>
      </c>
      <c r="BV16">
        <f>IF(INDEX(Cal_Weeks[MonthYearLabel],73)&lt;&gt;INDEX(Cal_Weeks[MonthYearLabel],72),'Grid_Stock'!BU16,BU16)+'Grid_Incoming'!BV16-'Grid_Requirement'!BV16</f>
        <v/>
      </c>
      <c r="BW16">
        <f>IF(INDEX(Cal_Weeks[MonthYearLabel],74)&lt;&gt;INDEX(Cal_Weeks[MonthYearLabel],73),'Grid_Stock'!BV16,BV16)+'Grid_Incoming'!BW16-'Grid_Requirement'!BW16</f>
        <v/>
      </c>
      <c r="BX16">
        <f>IF(INDEX(Cal_Weeks[MonthYearLabel],75)&lt;&gt;INDEX(Cal_Weeks[MonthYearLabel],74),'Grid_Stock'!BW16,BW16)+'Grid_Incoming'!BX16-'Grid_Requirement'!BX16</f>
        <v/>
      </c>
      <c r="BY16">
        <f>IF(INDEX(Cal_Weeks[MonthYearLabel],76)&lt;&gt;INDEX(Cal_Weeks[MonthYearLabel],75),'Grid_Stock'!BX16,BX16)+'Grid_Incoming'!BY16-'Grid_Requirement'!BY16</f>
        <v/>
      </c>
      <c r="BZ16">
        <f>IF(INDEX(Cal_Weeks[MonthYearLabel],77)&lt;&gt;INDEX(Cal_Weeks[MonthYearLabel],76),'Grid_Stock'!BY16,BY16)+'Grid_Incoming'!BZ16-'Grid_Requirement'!BZ16</f>
        <v/>
      </c>
      <c r="CA16">
        <f>IF(INDEX(Cal_Weeks[MonthYearLabel],78)&lt;&gt;INDEX(Cal_Weeks[MonthYearLabel],77),'Grid_Stock'!BZ16,BZ16)+'Grid_Incoming'!CA16-'Grid_Requirement'!CA16</f>
        <v/>
      </c>
      <c r="CB16">
        <f>IF(INDEX(Cal_Weeks[MonthYearLabel],79)&lt;&gt;INDEX(Cal_Weeks[MonthYearLabel],78),'Grid_Stock'!CA16,CA16)+'Grid_Incoming'!CB16-'Grid_Requirement'!CB16</f>
        <v/>
      </c>
      <c r="CC16">
        <f>IF(INDEX(Cal_Weeks[MonthYearLabel],80)&lt;&gt;INDEX(Cal_Weeks[MonthYearLabel],79),'Grid_Stock'!CB16,CB16)+'Grid_Incoming'!CC16-'Grid_Requirement'!CC16</f>
        <v/>
      </c>
      <c r="CD16">
        <f>IF(INDEX(Cal_Weeks[MonthYearLabel],81)&lt;&gt;INDEX(Cal_Weeks[MonthYearLabel],80),'Grid_Stock'!CC16,CC16)+'Grid_Incoming'!CD16-'Grid_Requirement'!CD16</f>
        <v/>
      </c>
      <c r="CE16">
        <f>IF(INDEX(Cal_Weeks[MonthYearLabel],82)&lt;&gt;INDEX(Cal_Weeks[MonthYearLabel],81),'Grid_Stock'!CD16,CD16)+'Grid_Incoming'!CE16-'Grid_Requirement'!CE16</f>
        <v/>
      </c>
      <c r="CF16">
        <f>IF(INDEX(Cal_Weeks[MonthYearLabel],83)&lt;&gt;INDEX(Cal_Weeks[MonthYearLabel],82),'Grid_Stock'!CE16,CE16)+'Grid_Incoming'!CF16-'Grid_Requirement'!CF16</f>
        <v/>
      </c>
      <c r="CG16">
        <f>IF(INDEX(Cal_Weeks[MonthYearLabel],84)&lt;&gt;INDEX(Cal_Weeks[MonthYearLabel],83),'Grid_Stock'!CF16,CF16)+'Grid_Incoming'!CG16-'Grid_Requirement'!CG16</f>
        <v/>
      </c>
      <c r="CH16">
        <f>IF(INDEX(Cal_Weeks[MonthYearLabel],85)&lt;&gt;INDEX(Cal_Weeks[MonthYearLabel],84),'Grid_Stock'!CG16,CG16)+'Grid_Incoming'!CH16-'Grid_Requirement'!CH16</f>
        <v/>
      </c>
      <c r="CI16">
        <f>IF(INDEX(Cal_Weeks[MonthYearLabel],86)&lt;&gt;INDEX(Cal_Weeks[MonthYearLabel],85),'Grid_Stock'!CH16,CH16)+'Grid_Incoming'!CI16-'Grid_Requirement'!CI16</f>
        <v/>
      </c>
      <c r="CJ16">
        <f>IF(INDEX(Cal_Weeks[MonthYearLabel],87)&lt;&gt;INDEX(Cal_Weeks[MonthYearLabel],86),'Grid_Stock'!CI16,CI16)+'Grid_Incoming'!CJ16-'Grid_Requirement'!CJ16</f>
        <v/>
      </c>
      <c r="CK16">
        <f>IF(INDEX(Cal_Weeks[MonthYearLabel],88)&lt;&gt;INDEX(Cal_Weeks[MonthYearLabel],87),'Grid_Stock'!CJ16,CJ16)+'Grid_Incoming'!CK16-'Grid_Requirement'!CK16</f>
        <v/>
      </c>
      <c r="CL16">
        <f>IF(INDEX(Cal_Weeks[MonthYearLabel],89)&lt;&gt;INDEX(Cal_Weeks[MonthYearLabel],88),'Grid_Stock'!CK16,CK16)+'Grid_Incoming'!CL16-'Grid_Requirement'!CL16</f>
        <v/>
      </c>
      <c r="CM16">
        <f>IF(INDEX(Cal_Weeks[MonthYearLabel],90)&lt;&gt;INDEX(Cal_Weeks[MonthYearLabel],89),'Grid_Stock'!CL16,CL16)+'Grid_Incoming'!CM16-'Grid_Requirement'!CM16</f>
        <v/>
      </c>
      <c r="CN16">
        <f>IF(INDEX(Cal_Weeks[MonthYearLabel],91)&lt;&gt;INDEX(Cal_Weeks[MonthYearLabel],90),'Grid_Stock'!CM16,CM16)+'Grid_Incoming'!CN16-'Grid_Requirement'!CN16</f>
        <v/>
      </c>
      <c r="CO16">
        <f>IF(INDEX(Cal_Weeks[MonthYearLabel],92)&lt;&gt;INDEX(Cal_Weeks[MonthYearLabel],91),'Grid_Stock'!CN16,CN16)+'Grid_Incoming'!CO16-'Grid_Requirement'!CO16</f>
        <v/>
      </c>
      <c r="CP16">
        <f>IF(INDEX(Cal_Weeks[MonthYearLabel],93)&lt;&gt;INDEX(Cal_Weeks[MonthYearLabel],92),'Grid_Stock'!CO16,CO16)+'Grid_Incoming'!CP16-'Grid_Requirement'!CP16</f>
        <v/>
      </c>
      <c r="CQ16">
        <f>IF(INDEX(Cal_Weeks[MonthYearLabel],94)&lt;&gt;INDEX(Cal_Weeks[MonthYearLabel],93),'Grid_Stock'!CP16,CP16)+'Grid_Incoming'!CQ16-'Grid_Requirement'!CQ16</f>
        <v/>
      </c>
      <c r="CR16">
        <f>IF(INDEX(Cal_Weeks[MonthYearLabel],95)&lt;&gt;INDEX(Cal_Weeks[MonthYearLabel],94),'Grid_Stock'!CQ16,CQ16)+'Grid_Incoming'!CR16-'Grid_Requirement'!CR16</f>
        <v/>
      </c>
      <c r="CS16">
        <f>IF(INDEX(Cal_Weeks[MonthYearLabel],96)&lt;&gt;INDEX(Cal_Weeks[MonthYearLabel],95),'Grid_Stock'!CR16,CR16)+'Grid_Incoming'!CS16-'Grid_Requirement'!CS16</f>
        <v/>
      </c>
      <c r="CT16">
        <f>IF(INDEX(Cal_Weeks[MonthYearLabel],97)&lt;&gt;INDEX(Cal_Weeks[MonthYearLabel],96),'Grid_Stock'!CS16,CS16)+'Grid_Incoming'!CT16-'Grid_Requirement'!CT16</f>
        <v/>
      </c>
      <c r="CU16">
        <f>IF(INDEX(Cal_Weeks[MonthYearLabel],98)&lt;&gt;INDEX(Cal_Weeks[MonthYearLabel],97),'Grid_Stock'!CT16,CT16)+'Grid_Incoming'!CU16-'Grid_Requirement'!CU16</f>
        <v/>
      </c>
      <c r="CV16">
        <f>IF(INDEX(Cal_Weeks[MonthYearLabel],99)&lt;&gt;INDEX(Cal_Weeks[MonthYearLabel],98),'Grid_Stock'!CU16,CU16)+'Grid_Incoming'!CV16-'Grid_Requirement'!CV16</f>
        <v/>
      </c>
      <c r="CW16">
        <f>IF(INDEX(Cal_Weeks[MonthYearLabel],100)&lt;&gt;INDEX(Cal_Weeks[MonthYearLabel],99),'Grid_Stock'!CV16,CV16)+'Grid_Incoming'!CW16-'Grid_Requirement'!CW16</f>
        <v/>
      </c>
      <c r="CX16">
        <f>IF(INDEX(Cal_Weeks[MonthYearLabel],101)&lt;&gt;INDEX(Cal_Weeks[MonthYearLabel],100),'Grid_Stock'!CW16,CW16)+'Grid_Incoming'!CX16-'Grid_Requirement'!CX16</f>
        <v/>
      </c>
      <c r="CY16">
        <f>IF(INDEX(Cal_Weeks[MonthYearLabel],102)&lt;&gt;INDEX(Cal_Weeks[MonthYearLabel],101),'Grid_Stock'!CX16,CX16)+'Grid_Incoming'!CY16-'Grid_Requirement'!CY16</f>
        <v/>
      </c>
      <c r="CZ16">
        <f>IF(INDEX(Cal_Weeks[MonthYearLabel],103)&lt;&gt;INDEX(Cal_Weeks[MonthYearLabel],102),'Grid_Stock'!CY16,CY16)+'Grid_Incoming'!CZ16-'Grid_Requirement'!CZ16</f>
        <v/>
      </c>
      <c r="DA16">
        <f>IF(INDEX(Cal_Weeks[MonthYearLabel],104)&lt;&gt;INDEX(Cal_Weeks[MonthYearLabel],103),'Grid_Stock'!CZ16,CZ16)+'Grid_Incoming'!DA16-'Grid_Requirement'!DA16</f>
        <v/>
      </c>
    </row>
    <row r="17">
      <c r="A17" t="inlineStr">
        <is>
          <t>9RJ</t>
        </is>
      </c>
      <c r="B17">
        <f>IFERROR(INDEX(T_OpeningStock[Opening_Qty_要入力],MATCH($A17,T_OpeningStock[Part Name],0)),0)+'Grid_Incoming'!B17-'Grid_Requirement'!B17</f>
        <v/>
      </c>
      <c r="C17">
        <f>IF(INDEX(Cal_Weeks[MonthYearLabel],2)&lt;&gt;INDEX(Cal_Weeks[MonthYearLabel],1),'Grid_Stock'!B17,B17)+'Grid_Incoming'!C17-'Grid_Requirement'!C17</f>
        <v/>
      </c>
      <c r="D17">
        <f>IF(INDEX(Cal_Weeks[MonthYearLabel],3)&lt;&gt;INDEX(Cal_Weeks[MonthYearLabel],2),'Grid_Stock'!C17,C17)+'Grid_Incoming'!D17-'Grid_Requirement'!D17</f>
        <v/>
      </c>
      <c r="E17">
        <f>IF(INDEX(Cal_Weeks[MonthYearLabel],4)&lt;&gt;INDEX(Cal_Weeks[MonthYearLabel],3),'Grid_Stock'!D17,D17)+'Grid_Incoming'!E17-'Grid_Requirement'!E17</f>
        <v/>
      </c>
      <c r="F17">
        <f>IF(INDEX(Cal_Weeks[MonthYearLabel],5)&lt;&gt;INDEX(Cal_Weeks[MonthYearLabel],4),'Grid_Stock'!E17,E17)+'Grid_Incoming'!F17-'Grid_Requirement'!F17</f>
        <v/>
      </c>
      <c r="G17">
        <f>IF(INDEX(Cal_Weeks[MonthYearLabel],6)&lt;&gt;INDEX(Cal_Weeks[MonthYearLabel],5),'Grid_Stock'!F17,F17)+'Grid_Incoming'!G17-'Grid_Requirement'!G17</f>
        <v/>
      </c>
      <c r="H17">
        <f>IF(INDEX(Cal_Weeks[MonthYearLabel],7)&lt;&gt;INDEX(Cal_Weeks[MonthYearLabel],6),'Grid_Stock'!G17,G17)+'Grid_Incoming'!H17-'Grid_Requirement'!H17</f>
        <v/>
      </c>
      <c r="I17">
        <f>IF(INDEX(Cal_Weeks[MonthYearLabel],8)&lt;&gt;INDEX(Cal_Weeks[MonthYearLabel],7),'Grid_Stock'!H17,H17)+'Grid_Incoming'!I17-'Grid_Requirement'!I17</f>
        <v/>
      </c>
      <c r="J17">
        <f>IF(INDEX(Cal_Weeks[MonthYearLabel],9)&lt;&gt;INDEX(Cal_Weeks[MonthYearLabel],8),'Grid_Stock'!I17,I17)+'Grid_Incoming'!J17-'Grid_Requirement'!J17</f>
        <v/>
      </c>
      <c r="K17">
        <f>IF(INDEX(Cal_Weeks[MonthYearLabel],10)&lt;&gt;INDEX(Cal_Weeks[MonthYearLabel],9),'Grid_Stock'!J17,J17)+'Grid_Incoming'!K17-'Grid_Requirement'!K17</f>
        <v/>
      </c>
      <c r="L17">
        <f>IF(INDEX(Cal_Weeks[MonthYearLabel],11)&lt;&gt;INDEX(Cal_Weeks[MonthYearLabel],10),'Grid_Stock'!K17,K17)+'Grid_Incoming'!L17-'Grid_Requirement'!L17</f>
        <v/>
      </c>
      <c r="M17">
        <f>IF(INDEX(Cal_Weeks[MonthYearLabel],12)&lt;&gt;INDEX(Cal_Weeks[MonthYearLabel],11),'Grid_Stock'!L17,L17)+'Grid_Incoming'!M17-'Grid_Requirement'!M17</f>
        <v/>
      </c>
      <c r="N17">
        <f>IF(INDEX(Cal_Weeks[MonthYearLabel],13)&lt;&gt;INDEX(Cal_Weeks[MonthYearLabel],12),'Grid_Stock'!M17,M17)+'Grid_Incoming'!N17-'Grid_Requirement'!N17</f>
        <v/>
      </c>
      <c r="O17">
        <f>IF(INDEX(Cal_Weeks[MonthYearLabel],14)&lt;&gt;INDEX(Cal_Weeks[MonthYearLabel],13),'Grid_Stock'!N17,N17)+'Grid_Incoming'!O17-'Grid_Requirement'!O17</f>
        <v/>
      </c>
      <c r="P17">
        <f>IF(INDEX(Cal_Weeks[MonthYearLabel],15)&lt;&gt;INDEX(Cal_Weeks[MonthYearLabel],14),'Grid_Stock'!O17,O17)+'Grid_Incoming'!P17-'Grid_Requirement'!P17</f>
        <v/>
      </c>
      <c r="Q17">
        <f>IF(INDEX(Cal_Weeks[MonthYearLabel],16)&lt;&gt;INDEX(Cal_Weeks[MonthYearLabel],15),'Grid_Stock'!P17,P17)+'Grid_Incoming'!Q17-'Grid_Requirement'!Q17</f>
        <v/>
      </c>
      <c r="R17">
        <f>IF(INDEX(Cal_Weeks[MonthYearLabel],17)&lt;&gt;INDEX(Cal_Weeks[MonthYearLabel],16),'Grid_Stock'!Q17,Q17)+'Grid_Incoming'!R17-'Grid_Requirement'!R17</f>
        <v/>
      </c>
      <c r="S17">
        <f>IF(INDEX(Cal_Weeks[MonthYearLabel],18)&lt;&gt;INDEX(Cal_Weeks[MonthYearLabel],17),'Grid_Stock'!R17,R17)+'Grid_Incoming'!S17-'Grid_Requirement'!S17</f>
        <v/>
      </c>
      <c r="T17">
        <f>IF(INDEX(Cal_Weeks[MonthYearLabel],19)&lt;&gt;INDEX(Cal_Weeks[MonthYearLabel],18),'Grid_Stock'!S17,S17)+'Grid_Incoming'!T17-'Grid_Requirement'!T17</f>
        <v/>
      </c>
      <c r="U17">
        <f>IF(INDEX(Cal_Weeks[MonthYearLabel],20)&lt;&gt;INDEX(Cal_Weeks[MonthYearLabel],19),'Grid_Stock'!T17,T17)+'Grid_Incoming'!U17-'Grid_Requirement'!U17</f>
        <v/>
      </c>
      <c r="V17">
        <f>IF(INDEX(Cal_Weeks[MonthYearLabel],21)&lt;&gt;INDEX(Cal_Weeks[MonthYearLabel],20),'Grid_Stock'!U17,U17)+'Grid_Incoming'!V17-'Grid_Requirement'!V17</f>
        <v/>
      </c>
      <c r="W17">
        <f>IF(INDEX(Cal_Weeks[MonthYearLabel],22)&lt;&gt;INDEX(Cal_Weeks[MonthYearLabel],21),'Grid_Stock'!V17,V17)+'Grid_Incoming'!W17-'Grid_Requirement'!W17</f>
        <v/>
      </c>
      <c r="X17">
        <f>IF(INDEX(Cal_Weeks[MonthYearLabel],23)&lt;&gt;INDEX(Cal_Weeks[MonthYearLabel],22),'Grid_Stock'!W17,W17)+'Grid_Incoming'!X17-'Grid_Requirement'!X17</f>
        <v/>
      </c>
      <c r="Y17">
        <f>IF(INDEX(Cal_Weeks[MonthYearLabel],24)&lt;&gt;INDEX(Cal_Weeks[MonthYearLabel],23),'Grid_Stock'!X17,X17)+'Grid_Incoming'!Y17-'Grid_Requirement'!Y17</f>
        <v/>
      </c>
      <c r="Z17">
        <f>IF(INDEX(Cal_Weeks[MonthYearLabel],25)&lt;&gt;INDEX(Cal_Weeks[MonthYearLabel],24),'Grid_Stock'!Y17,Y17)+'Grid_Incoming'!Z17-'Grid_Requirement'!Z17</f>
        <v/>
      </c>
      <c r="AA17">
        <f>IF(INDEX(Cal_Weeks[MonthYearLabel],26)&lt;&gt;INDEX(Cal_Weeks[MonthYearLabel],25),'Grid_Stock'!Z17,Z17)+'Grid_Incoming'!AA17-'Grid_Requirement'!AA17</f>
        <v/>
      </c>
      <c r="AB17">
        <f>IF(INDEX(Cal_Weeks[MonthYearLabel],27)&lt;&gt;INDEX(Cal_Weeks[MonthYearLabel],26),'Grid_Stock'!AA17,AA17)+'Grid_Incoming'!AB17-'Grid_Requirement'!AB17</f>
        <v/>
      </c>
      <c r="AC17">
        <f>IF(INDEX(Cal_Weeks[MonthYearLabel],28)&lt;&gt;INDEX(Cal_Weeks[MonthYearLabel],27),'Grid_Stock'!AB17,AB17)+'Grid_Incoming'!AC17-'Grid_Requirement'!AC17</f>
        <v/>
      </c>
      <c r="AD17">
        <f>IF(INDEX(Cal_Weeks[MonthYearLabel],29)&lt;&gt;INDEX(Cal_Weeks[MonthYearLabel],28),'Grid_Stock'!AC17,AC17)+'Grid_Incoming'!AD17-'Grid_Requirement'!AD17</f>
        <v/>
      </c>
      <c r="AE17">
        <f>IF(INDEX(Cal_Weeks[MonthYearLabel],30)&lt;&gt;INDEX(Cal_Weeks[MonthYearLabel],29),'Grid_Stock'!AD17,AD17)+'Grid_Incoming'!AE17-'Grid_Requirement'!AE17</f>
        <v/>
      </c>
      <c r="AF17">
        <f>IF(INDEX(Cal_Weeks[MonthYearLabel],31)&lt;&gt;INDEX(Cal_Weeks[MonthYearLabel],30),'Grid_Stock'!AE17,AE17)+'Grid_Incoming'!AF17-'Grid_Requirement'!AF17</f>
        <v/>
      </c>
      <c r="AG17">
        <f>IF(INDEX(Cal_Weeks[MonthYearLabel],32)&lt;&gt;INDEX(Cal_Weeks[MonthYearLabel],31),'Grid_Stock'!AF17,AF17)+'Grid_Incoming'!AG17-'Grid_Requirement'!AG17</f>
        <v/>
      </c>
      <c r="AH17">
        <f>IF(INDEX(Cal_Weeks[MonthYearLabel],33)&lt;&gt;INDEX(Cal_Weeks[MonthYearLabel],32),'Grid_Stock'!AG17,AG17)+'Grid_Incoming'!AH17-'Grid_Requirement'!AH17</f>
        <v/>
      </c>
      <c r="AI17">
        <f>IF(INDEX(Cal_Weeks[MonthYearLabel],34)&lt;&gt;INDEX(Cal_Weeks[MonthYearLabel],33),'Grid_Stock'!AH17,AH17)+'Grid_Incoming'!AI17-'Grid_Requirement'!AI17</f>
        <v/>
      </c>
      <c r="AJ17">
        <f>IF(INDEX(Cal_Weeks[MonthYearLabel],35)&lt;&gt;INDEX(Cal_Weeks[MonthYearLabel],34),'Grid_Stock'!AI17,AI17)+'Grid_Incoming'!AJ17-'Grid_Requirement'!AJ17</f>
        <v/>
      </c>
      <c r="AK17">
        <f>IF(INDEX(Cal_Weeks[MonthYearLabel],36)&lt;&gt;INDEX(Cal_Weeks[MonthYearLabel],35),'Grid_Stock'!AJ17,AJ17)+'Grid_Incoming'!AK17-'Grid_Requirement'!AK17</f>
        <v/>
      </c>
      <c r="AL17">
        <f>IF(INDEX(Cal_Weeks[MonthYearLabel],37)&lt;&gt;INDEX(Cal_Weeks[MonthYearLabel],36),'Grid_Stock'!AK17,AK17)+'Grid_Incoming'!AL17-'Grid_Requirement'!AL17</f>
        <v/>
      </c>
      <c r="AM17">
        <f>IF(INDEX(Cal_Weeks[MonthYearLabel],38)&lt;&gt;INDEX(Cal_Weeks[MonthYearLabel],37),'Grid_Stock'!AL17,AL17)+'Grid_Incoming'!AM17-'Grid_Requirement'!AM17</f>
        <v/>
      </c>
      <c r="AN17">
        <f>IF(INDEX(Cal_Weeks[MonthYearLabel],39)&lt;&gt;INDEX(Cal_Weeks[MonthYearLabel],38),'Grid_Stock'!AM17,AM17)+'Grid_Incoming'!AN17-'Grid_Requirement'!AN17</f>
        <v/>
      </c>
      <c r="AO17">
        <f>IF(INDEX(Cal_Weeks[MonthYearLabel],40)&lt;&gt;INDEX(Cal_Weeks[MonthYearLabel],39),'Grid_Stock'!AN17,AN17)+'Grid_Incoming'!AO17-'Grid_Requirement'!AO17</f>
        <v/>
      </c>
      <c r="AP17">
        <f>IF(INDEX(Cal_Weeks[MonthYearLabel],41)&lt;&gt;INDEX(Cal_Weeks[MonthYearLabel],40),'Grid_Stock'!AO17,AO17)+'Grid_Incoming'!AP17-'Grid_Requirement'!AP17</f>
        <v/>
      </c>
      <c r="AQ17">
        <f>IF(INDEX(Cal_Weeks[MonthYearLabel],42)&lt;&gt;INDEX(Cal_Weeks[MonthYearLabel],41),'Grid_Stock'!AP17,AP17)+'Grid_Incoming'!AQ17-'Grid_Requirement'!AQ17</f>
        <v/>
      </c>
      <c r="AR17">
        <f>IF(INDEX(Cal_Weeks[MonthYearLabel],43)&lt;&gt;INDEX(Cal_Weeks[MonthYearLabel],42),'Grid_Stock'!AQ17,AQ17)+'Grid_Incoming'!AR17-'Grid_Requirement'!AR17</f>
        <v/>
      </c>
      <c r="AS17">
        <f>IF(INDEX(Cal_Weeks[MonthYearLabel],44)&lt;&gt;INDEX(Cal_Weeks[MonthYearLabel],43),'Grid_Stock'!AR17,AR17)+'Grid_Incoming'!AS17-'Grid_Requirement'!AS17</f>
        <v/>
      </c>
      <c r="AT17">
        <f>IF(INDEX(Cal_Weeks[MonthYearLabel],45)&lt;&gt;INDEX(Cal_Weeks[MonthYearLabel],44),'Grid_Stock'!AS17,AS17)+'Grid_Incoming'!AT17-'Grid_Requirement'!AT17</f>
        <v/>
      </c>
      <c r="AU17">
        <f>IF(INDEX(Cal_Weeks[MonthYearLabel],46)&lt;&gt;INDEX(Cal_Weeks[MonthYearLabel],45),'Grid_Stock'!AT17,AT17)+'Grid_Incoming'!AU17-'Grid_Requirement'!AU17</f>
        <v/>
      </c>
      <c r="AV17">
        <f>IF(INDEX(Cal_Weeks[MonthYearLabel],47)&lt;&gt;INDEX(Cal_Weeks[MonthYearLabel],46),'Grid_Stock'!AU17,AU17)+'Grid_Incoming'!AV17-'Grid_Requirement'!AV17</f>
        <v/>
      </c>
      <c r="AW17">
        <f>IF(INDEX(Cal_Weeks[MonthYearLabel],48)&lt;&gt;INDEX(Cal_Weeks[MonthYearLabel],47),'Grid_Stock'!AV17,AV17)+'Grid_Incoming'!AW17-'Grid_Requirement'!AW17</f>
        <v/>
      </c>
      <c r="AX17">
        <f>IF(INDEX(Cal_Weeks[MonthYearLabel],49)&lt;&gt;INDEX(Cal_Weeks[MonthYearLabel],48),'Grid_Stock'!AW17,AW17)+'Grid_Incoming'!AX17-'Grid_Requirement'!AX17</f>
        <v/>
      </c>
      <c r="AY17">
        <f>IF(INDEX(Cal_Weeks[MonthYearLabel],50)&lt;&gt;INDEX(Cal_Weeks[MonthYearLabel],49),'Grid_Stock'!AX17,AX17)+'Grid_Incoming'!AY17-'Grid_Requirement'!AY17</f>
        <v/>
      </c>
      <c r="AZ17">
        <f>IF(INDEX(Cal_Weeks[MonthYearLabel],51)&lt;&gt;INDEX(Cal_Weeks[MonthYearLabel],50),'Grid_Stock'!AY17,AY17)+'Grid_Incoming'!AZ17-'Grid_Requirement'!AZ17</f>
        <v/>
      </c>
      <c r="BA17">
        <f>IF(INDEX(Cal_Weeks[MonthYearLabel],52)&lt;&gt;INDEX(Cal_Weeks[MonthYearLabel],51),'Grid_Stock'!AZ17,AZ17)+'Grid_Incoming'!BA17-'Grid_Requirement'!BA17</f>
        <v/>
      </c>
      <c r="BB17">
        <f>IF(INDEX(Cal_Weeks[MonthYearLabel],53)&lt;&gt;INDEX(Cal_Weeks[MonthYearLabel],52),'Grid_Stock'!BA17,BA17)+'Grid_Incoming'!BB17-'Grid_Requirement'!BB17</f>
        <v/>
      </c>
      <c r="BC17">
        <f>IF(INDEX(Cal_Weeks[MonthYearLabel],54)&lt;&gt;INDEX(Cal_Weeks[MonthYearLabel],53),'Grid_Stock'!BB17,BB17)+'Grid_Incoming'!BC17-'Grid_Requirement'!BC17</f>
        <v/>
      </c>
      <c r="BD17">
        <f>IF(INDEX(Cal_Weeks[MonthYearLabel],55)&lt;&gt;INDEX(Cal_Weeks[MonthYearLabel],54),'Grid_Stock'!BC17,BC17)+'Grid_Incoming'!BD17-'Grid_Requirement'!BD17</f>
        <v/>
      </c>
      <c r="BE17">
        <f>IF(INDEX(Cal_Weeks[MonthYearLabel],56)&lt;&gt;INDEX(Cal_Weeks[MonthYearLabel],55),'Grid_Stock'!BD17,BD17)+'Grid_Incoming'!BE17-'Grid_Requirement'!BE17</f>
        <v/>
      </c>
      <c r="BF17">
        <f>IF(INDEX(Cal_Weeks[MonthYearLabel],57)&lt;&gt;INDEX(Cal_Weeks[MonthYearLabel],56),'Grid_Stock'!BE17,BE17)+'Grid_Incoming'!BF17-'Grid_Requirement'!BF17</f>
        <v/>
      </c>
      <c r="BG17">
        <f>IF(INDEX(Cal_Weeks[MonthYearLabel],58)&lt;&gt;INDEX(Cal_Weeks[MonthYearLabel],57),'Grid_Stock'!BF17,BF17)+'Grid_Incoming'!BG17-'Grid_Requirement'!BG17</f>
        <v/>
      </c>
      <c r="BH17">
        <f>IF(INDEX(Cal_Weeks[MonthYearLabel],59)&lt;&gt;INDEX(Cal_Weeks[MonthYearLabel],58),'Grid_Stock'!BG17,BG17)+'Grid_Incoming'!BH17-'Grid_Requirement'!BH17</f>
        <v/>
      </c>
      <c r="BI17">
        <f>IF(INDEX(Cal_Weeks[MonthYearLabel],60)&lt;&gt;INDEX(Cal_Weeks[MonthYearLabel],59),'Grid_Stock'!BH17,BH17)+'Grid_Incoming'!BI17-'Grid_Requirement'!BI17</f>
        <v/>
      </c>
      <c r="BJ17">
        <f>IF(INDEX(Cal_Weeks[MonthYearLabel],61)&lt;&gt;INDEX(Cal_Weeks[MonthYearLabel],60),'Grid_Stock'!BI17,BI17)+'Grid_Incoming'!BJ17-'Grid_Requirement'!BJ17</f>
        <v/>
      </c>
      <c r="BK17">
        <f>IF(INDEX(Cal_Weeks[MonthYearLabel],62)&lt;&gt;INDEX(Cal_Weeks[MonthYearLabel],61),'Grid_Stock'!BJ17,BJ17)+'Grid_Incoming'!BK17-'Grid_Requirement'!BK17</f>
        <v/>
      </c>
      <c r="BL17">
        <f>IF(INDEX(Cal_Weeks[MonthYearLabel],63)&lt;&gt;INDEX(Cal_Weeks[MonthYearLabel],62),'Grid_Stock'!BK17,BK17)+'Grid_Incoming'!BL17-'Grid_Requirement'!BL17</f>
        <v/>
      </c>
      <c r="BM17">
        <f>IF(INDEX(Cal_Weeks[MonthYearLabel],64)&lt;&gt;INDEX(Cal_Weeks[MonthYearLabel],63),'Grid_Stock'!BL17,BL17)+'Grid_Incoming'!BM17-'Grid_Requirement'!BM17</f>
        <v/>
      </c>
      <c r="BN17">
        <f>IF(INDEX(Cal_Weeks[MonthYearLabel],65)&lt;&gt;INDEX(Cal_Weeks[MonthYearLabel],64),'Grid_Stock'!BM17,BM17)+'Grid_Incoming'!BN17-'Grid_Requirement'!BN17</f>
        <v/>
      </c>
      <c r="BO17">
        <f>IF(INDEX(Cal_Weeks[MonthYearLabel],66)&lt;&gt;INDEX(Cal_Weeks[MonthYearLabel],65),'Grid_Stock'!BN17,BN17)+'Grid_Incoming'!BO17-'Grid_Requirement'!BO17</f>
        <v/>
      </c>
      <c r="BP17">
        <f>IF(INDEX(Cal_Weeks[MonthYearLabel],67)&lt;&gt;INDEX(Cal_Weeks[MonthYearLabel],66),'Grid_Stock'!BO17,BO17)+'Grid_Incoming'!BP17-'Grid_Requirement'!BP17</f>
        <v/>
      </c>
      <c r="BQ17">
        <f>IF(INDEX(Cal_Weeks[MonthYearLabel],68)&lt;&gt;INDEX(Cal_Weeks[MonthYearLabel],67),'Grid_Stock'!BP17,BP17)+'Grid_Incoming'!BQ17-'Grid_Requirement'!BQ17</f>
        <v/>
      </c>
      <c r="BR17">
        <f>IF(INDEX(Cal_Weeks[MonthYearLabel],69)&lt;&gt;INDEX(Cal_Weeks[MonthYearLabel],68),'Grid_Stock'!BQ17,BQ17)+'Grid_Incoming'!BR17-'Grid_Requirement'!BR17</f>
        <v/>
      </c>
      <c r="BS17">
        <f>IF(INDEX(Cal_Weeks[MonthYearLabel],70)&lt;&gt;INDEX(Cal_Weeks[MonthYearLabel],69),'Grid_Stock'!BR17,BR17)+'Grid_Incoming'!BS17-'Grid_Requirement'!BS17</f>
        <v/>
      </c>
      <c r="BT17">
        <f>IF(INDEX(Cal_Weeks[MonthYearLabel],71)&lt;&gt;INDEX(Cal_Weeks[MonthYearLabel],70),'Grid_Stock'!BS17,BS17)+'Grid_Incoming'!BT17-'Grid_Requirement'!BT17</f>
        <v/>
      </c>
      <c r="BU17">
        <f>IF(INDEX(Cal_Weeks[MonthYearLabel],72)&lt;&gt;INDEX(Cal_Weeks[MonthYearLabel],71),'Grid_Stock'!BT17,BT17)+'Grid_Incoming'!BU17-'Grid_Requirement'!BU17</f>
        <v/>
      </c>
      <c r="BV17">
        <f>IF(INDEX(Cal_Weeks[MonthYearLabel],73)&lt;&gt;INDEX(Cal_Weeks[MonthYearLabel],72),'Grid_Stock'!BU17,BU17)+'Grid_Incoming'!BV17-'Grid_Requirement'!BV17</f>
        <v/>
      </c>
      <c r="BW17">
        <f>IF(INDEX(Cal_Weeks[MonthYearLabel],74)&lt;&gt;INDEX(Cal_Weeks[MonthYearLabel],73),'Grid_Stock'!BV17,BV17)+'Grid_Incoming'!BW17-'Grid_Requirement'!BW17</f>
        <v/>
      </c>
      <c r="BX17">
        <f>IF(INDEX(Cal_Weeks[MonthYearLabel],75)&lt;&gt;INDEX(Cal_Weeks[MonthYearLabel],74),'Grid_Stock'!BW17,BW17)+'Grid_Incoming'!BX17-'Grid_Requirement'!BX17</f>
        <v/>
      </c>
      <c r="BY17">
        <f>IF(INDEX(Cal_Weeks[MonthYearLabel],76)&lt;&gt;INDEX(Cal_Weeks[MonthYearLabel],75),'Grid_Stock'!BX17,BX17)+'Grid_Incoming'!BY17-'Grid_Requirement'!BY17</f>
        <v/>
      </c>
      <c r="BZ17">
        <f>IF(INDEX(Cal_Weeks[MonthYearLabel],77)&lt;&gt;INDEX(Cal_Weeks[MonthYearLabel],76),'Grid_Stock'!BY17,BY17)+'Grid_Incoming'!BZ17-'Grid_Requirement'!BZ17</f>
        <v/>
      </c>
      <c r="CA17">
        <f>IF(INDEX(Cal_Weeks[MonthYearLabel],78)&lt;&gt;INDEX(Cal_Weeks[MonthYearLabel],77),'Grid_Stock'!BZ17,BZ17)+'Grid_Incoming'!CA17-'Grid_Requirement'!CA17</f>
        <v/>
      </c>
      <c r="CB17">
        <f>IF(INDEX(Cal_Weeks[MonthYearLabel],79)&lt;&gt;INDEX(Cal_Weeks[MonthYearLabel],78),'Grid_Stock'!CA17,CA17)+'Grid_Incoming'!CB17-'Grid_Requirement'!CB17</f>
        <v/>
      </c>
      <c r="CC17">
        <f>IF(INDEX(Cal_Weeks[MonthYearLabel],80)&lt;&gt;INDEX(Cal_Weeks[MonthYearLabel],79),'Grid_Stock'!CB17,CB17)+'Grid_Incoming'!CC17-'Grid_Requirement'!CC17</f>
        <v/>
      </c>
      <c r="CD17">
        <f>IF(INDEX(Cal_Weeks[MonthYearLabel],81)&lt;&gt;INDEX(Cal_Weeks[MonthYearLabel],80),'Grid_Stock'!CC17,CC17)+'Grid_Incoming'!CD17-'Grid_Requirement'!CD17</f>
        <v/>
      </c>
      <c r="CE17">
        <f>IF(INDEX(Cal_Weeks[MonthYearLabel],82)&lt;&gt;INDEX(Cal_Weeks[MonthYearLabel],81),'Grid_Stock'!CD17,CD17)+'Grid_Incoming'!CE17-'Grid_Requirement'!CE17</f>
        <v/>
      </c>
      <c r="CF17">
        <f>IF(INDEX(Cal_Weeks[MonthYearLabel],83)&lt;&gt;INDEX(Cal_Weeks[MonthYearLabel],82),'Grid_Stock'!CE17,CE17)+'Grid_Incoming'!CF17-'Grid_Requirement'!CF17</f>
        <v/>
      </c>
      <c r="CG17">
        <f>IF(INDEX(Cal_Weeks[MonthYearLabel],84)&lt;&gt;INDEX(Cal_Weeks[MonthYearLabel],83),'Grid_Stock'!CF17,CF17)+'Grid_Incoming'!CG17-'Grid_Requirement'!CG17</f>
        <v/>
      </c>
      <c r="CH17">
        <f>IF(INDEX(Cal_Weeks[MonthYearLabel],85)&lt;&gt;INDEX(Cal_Weeks[MonthYearLabel],84),'Grid_Stock'!CG17,CG17)+'Grid_Incoming'!CH17-'Grid_Requirement'!CH17</f>
        <v/>
      </c>
      <c r="CI17">
        <f>IF(INDEX(Cal_Weeks[MonthYearLabel],86)&lt;&gt;INDEX(Cal_Weeks[MonthYearLabel],85),'Grid_Stock'!CH17,CH17)+'Grid_Incoming'!CI17-'Grid_Requirement'!CI17</f>
        <v/>
      </c>
      <c r="CJ17">
        <f>IF(INDEX(Cal_Weeks[MonthYearLabel],87)&lt;&gt;INDEX(Cal_Weeks[MonthYearLabel],86),'Grid_Stock'!CI17,CI17)+'Grid_Incoming'!CJ17-'Grid_Requirement'!CJ17</f>
        <v/>
      </c>
      <c r="CK17">
        <f>IF(INDEX(Cal_Weeks[MonthYearLabel],88)&lt;&gt;INDEX(Cal_Weeks[MonthYearLabel],87),'Grid_Stock'!CJ17,CJ17)+'Grid_Incoming'!CK17-'Grid_Requirement'!CK17</f>
        <v/>
      </c>
      <c r="CL17">
        <f>IF(INDEX(Cal_Weeks[MonthYearLabel],89)&lt;&gt;INDEX(Cal_Weeks[MonthYearLabel],88),'Grid_Stock'!CK17,CK17)+'Grid_Incoming'!CL17-'Grid_Requirement'!CL17</f>
        <v/>
      </c>
      <c r="CM17">
        <f>IF(INDEX(Cal_Weeks[MonthYearLabel],90)&lt;&gt;INDEX(Cal_Weeks[MonthYearLabel],89),'Grid_Stock'!CL17,CL17)+'Grid_Incoming'!CM17-'Grid_Requirement'!CM17</f>
        <v/>
      </c>
      <c r="CN17">
        <f>IF(INDEX(Cal_Weeks[MonthYearLabel],91)&lt;&gt;INDEX(Cal_Weeks[MonthYearLabel],90),'Grid_Stock'!CM17,CM17)+'Grid_Incoming'!CN17-'Grid_Requirement'!CN17</f>
        <v/>
      </c>
      <c r="CO17">
        <f>IF(INDEX(Cal_Weeks[MonthYearLabel],92)&lt;&gt;INDEX(Cal_Weeks[MonthYearLabel],91),'Grid_Stock'!CN17,CN17)+'Grid_Incoming'!CO17-'Grid_Requirement'!CO17</f>
        <v/>
      </c>
      <c r="CP17">
        <f>IF(INDEX(Cal_Weeks[MonthYearLabel],93)&lt;&gt;INDEX(Cal_Weeks[MonthYearLabel],92),'Grid_Stock'!CO17,CO17)+'Grid_Incoming'!CP17-'Grid_Requirement'!CP17</f>
        <v/>
      </c>
      <c r="CQ17">
        <f>IF(INDEX(Cal_Weeks[MonthYearLabel],94)&lt;&gt;INDEX(Cal_Weeks[MonthYearLabel],93),'Grid_Stock'!CP17,CP17)+'Grid_Incoming'!CQ17-'Grid_Requirement'!CQ17</f>
        <v/>
      </c>
      <c r="CR17">
        <f>IF(INDEX(Cal_Weeks[MonthYearLabel],95)&lt;&gt;INDEX(Cal_Weeks[MonthYearLabel],94),'Grid_Stock'!CQ17,CQ17)+'Grid_Incoming'!CR17-'Grid_Requirement'!CR17</f>
        <v/>
      </c>
      <c r="CS17">
        <f>IF(INDEX(Cal_Weeks[MonthYearLabel],96)&lt;&gt;INDEX(Cal_Weeks[MonthYearLabel],95),'Grid_Stock'!CR17,CR17)+'Grid_Incoming'!CS17-'Grid_Requirement'!CS17</f>
        <v/>
      </c>
      <c r="CT17">
        <f>IF(INDEX(Cal_Weeks[MonthYearLabel],97)&lt;&gt;INDEX(Cal_Weeks[MonthYearLabel],96),'Grid_Stock'!CS17,CS17)+'Grid_Incoming'!CT17-'Grid_Requirement'!CT17</f>
        <v/>
      </c>
      <c r="CU17">
        <f>IF(INDEX(Cal_Weeks[MonthYearLabel],98)&lt;&gt;INDEX(Cal_Weeks[MonthYearLabel],97),'Grid_Stock'!CT17,CT17)+'Grid_Incoming'!CU17-'Grid_Requirement'!CU17</f>
        <v/>
      </c>
      <c r="CV17">
        <f>IF(INDEX(Cal_Weeks[MonthYearLabel],99)&lt;&gt;INDEX(Cal_Weeks[MonthYearLabel],98),'Grid_Stock'!CU17,CU17)+'Grid_Incoming'!CV17-'Grid_Requirement'!CV17</f>
        <v/>
      </c>
      <c r="CW17">
        <f>IF(INDEX(Cal_Weeks[MonthYearLabel],100)&lt;&gt;INDEX(Cal_Weeks[MonthYearLabel],99),'Grid_Stock'!CV17,CV17)+'Grid_Incoming'!CW17-'Grid_Requirement'!CW17</f>
        <v/>
      </c>
      <c r="CX17">
        <f>IF(INDEX(Cal_Weeks[MonthYearLabel],101)&lt;&gt;INDEX(Cal_Weeks[MonthYearLabel],100),'Grid_Stock'!CW17,CW17)+'Grid_Incoming'!CX17-'Grid_Requirement'!CX17</f>
        <v/>
      </c>
      <c r="CY17">
        <f>IF(INDEX(Cal_Weeks[MonthYearLabel],102)&lt;&gt;INDEX(Cal_Weeks[MonthYearLabel],101),'Grid_Stock'!CX17,CX17)+'Grid_Incoming'!CY17-'Grid_Requirement'!CY17</f>
        <v/>
      </c>
      <c r="CZ17">
        <f>IF(INDEX(Cal_Weeks[MonthYearLabel],103)&lt;&gt;INDEX(Cal_Weeks[MonthYearLabel],102),'Grid_Stock'!CY17,CY17)+'Grid_Incoming'!CZ17-'Grid_Requirement'!CZ17</f>
        <v/>
      </c>
      <c r="DA17">
        <f>IF(INDEX(Cal_Weeks[MonthYearLabel],104)&lt;&gt;INDEX(Cal_Weeks[MonthYearLabel],103),'Grid_Stock'!CZ17,CZ17)+'Grid_Incoming'!DA17-'Grid_Requirement'!DA17</f>
        <v/>
      </c>
    </row>
    <row r="18">
      <c r="A18" t="inlineStr">
        <is>
          <t>5JK</t>
        </is>
      </c>
      <c r="B18">
        <f>IFERROR(INDEX(T_OpeningStock[Opening_Qty_要入力],MATCH($A18,T_OpeningStock[Part Name],0)),0)+'Grid_Incoming'!B18-'Grid_Requirement'!B18</f>
        <v/>
      </c>
      <c r="C18">
        <f>IF(INDEX(Cal_Weeks[MonthYearLabel],2)&lt;&gt;INDEX(Cal_Weeks[MonthYearLabel],1),'Grid_Stock'!B18,B18)+'Grid_Incoming'!C18-'Grid_Requirement'!C18</f>
        <v/>
      </c>
      <c r="D18">
        <f>IF(INDEX(Cal_Weeks[MonthYearLabel],3)&lt;&gt;INDEX(Cal_Weeks[MonthYearLabel],2),'Grid_Stock'!C18,C18)+'Grid_Incoming'!D18-'Grid_Requirement'!D18</f>
        <v/>
      </c>
      <c r="E18">
        <f>IF(INDEX(Cal_Weeks[MonthYearLabel],4)&lt;&gt;INDEX(Cal_Weeks[MonthYearLabel],3),'Grid_Stock'!D18,D18)+'Grid_Incoming'!E18-'Grid_Requirement'!E18</f>
        <v/>
      </c>
      <c r="F18">
        <f>IF(INDEX(Cal_Weeks[MonthYearLabel],5)&lt;&gt;INDEX(Cal_Weeks[MonthYearLabel],4),'Grid_Stock'!E18,E18)+'Grid_Incoming'!F18-'Grid_Requirement'!F18</f>
        <v/>
      </c>
      <c r="G18">
        <f>IF(INDEX(Cal_Weeks[MonthYearLabel],6)&lt;&gt;INDEX(Cal_Weeks[MonthYearLabel],5),'Grid_Stock'!F18,F18)+'Grid_Incoming'!G18-'Grid_Requirement'!G18</f>
        <v/>
      </c>
      <c r="H18">
        <f>IF(INDEX(Cal_Weeks[MonthYearLabel],7)&lt;&gt;INDEX(Cal_Weeks[MonthYearLabel],6),'Grid_Stock'!G18,G18)+'Grid_Incoming'!H18-'Grid_Requirement'!H18</f>
        <v/>
      </c>
      <c r="I18">
        <f>IF(INDEX(Cal_Weeks[MonthYearLabel],8)&lt;&gt;INDEX(Cal_Weeks[MonthYearLabel],7),'Grid_Stock'!H18,H18)+'Grid_Incoming'!I18-'Grid_Requirement'!I18</f>
        <v/>
      </c>
      <c r="J18">
        <f>IF(INDEX(Cal_Weeks[MonthYearLabel],9)&lt;&gt;INDEX(Cal_Weeks[MonthYearLabel],8),'Grid_Stock'!I18,I18)+'Grid_Incoming'!J18-'Grid_Requirement'!J18</f>
        <v/>
      </c>
      <c r="K18">
        <f>IF(INDEX(Cal_Weeks[MonthYearLabel],10)&lt;&gt;INDEX(Cal_Weeks[MonthYearLabel],9),'Grid_Stock'!J18,J18)+'Grid_Incoming'!K18-'Grid_Requirement'!K18</f>
        <v/>
      </c>
      <c r="L18">
        <f>IF(INDEX(Cal_Weeks[MonthYearLabel],11)&lt;&gt;INDEX(Cal_Weeks[MonthYearLabel],10),'Grid_Stock'!K18,K18)+'Grid_Incoming'!L18-'Grid_Requirement'!L18</f>
        <v/>
      </c>
      <c r="M18">
        <f>IF(INDEX(Cal_Weeks[MonthYearLabel],12)&lt;&gt;INDEX(Cal_Weeks[MonthYearLabel],11),'Grid_Stock'!L18,L18)+'Grid_Incoming'!M18-'Grid_Requirement'!M18</f>
        <v/>
      </c>
      <c r="N18">
        <f>IF(INDEX(Cal_Weeks[MonthYearLabel],13)&lt;&gt;INDEX(Cal_Weeks[MonthYearLabel],12),'Grid_Stock'!M18,M18)+'Grid_Incoming'!N18-'Grid_Requirement'!N18</f>
        <v/>
      </c>
      <c r="O18">
        <f>IF(INDEX(Cal_Weeks[MonthYearLabel],14)&lt;&gt;INDEX(Cal_Weeks[MonthYearLabel],13),'Grid_Stock'!N18,N18)+'Grid_Incoming'!O18-'Grid_Requirement'!O18</f>
        <v/>
      </c>
      <c r="P18">
        <f>IF(INDEX(Cal_Weeks[MonthYearLabel],15)&lt;&gt;INDEX(Cal_Weeks[MonthYearLabel],14),'Grid_Stock'!O18,O18)+'Grid_Incoming'!P18-'Grid_Requirement'!P18</f>
        <v/>
      </c>
      <c r="Q18">
        <f>IF(INDEX(Cal_Weeks[MonthYearLabel],16)&lt;&gt;INDEX(Cal_Weeks[MonthYearLabel],15),'Grid_Stock'!P18,P18)+'Grid_Incoming'!Q18-'Grid_Requirement'!Q18</f>
        <v/>
      </c>
      <c r="R18">
        <f>IF(INDEX(Cal_Weeks[MonthYearLabel],17)&lt;&gt;INDEX(Cal_Weeks[MonthYearLabel],16),'Grid_Stock'!Q18,Q18)+'Grid_Incoming'!R18-'Grid_Requirement'!R18</f>
        <v/>
      </c>
      <c r="S18">
        <f>IF(INDEX(Cal_Weeks[MonthYearLabel],18)&lt;&gt;INDEX(Cal_Weeks[MonthYearLabel],17),'Grid_Stock'!R18,R18)+'Grid_Incoming'!S18-'Grid_Requirement'!S18</f>
        <v/>
      </c>
      <c r="T18">
        <f>IF(INDEX(Cal_Weeks[MonthYearLabel],19)&lt;&gt;INDEX(Cal_Weeks[MonthYearLabel],18),'Grid_Stock'!S18,S18)+'Grid_Incoming'!T18-'Grid_Requirement'!T18</f>
        <v/>
      </c>
      <c r="U18">
        <f>IF(INDEX(Cal_Weeks[MonthYearLabel],20)&lt;&gt;INDEX(Cal_Weeks[MonthYearLabel],19),'Grid_Stock'!T18,T18)+'Grid_Incoming'!U18-'Grid_Requirement'!U18</f>
        <v/>
      </c>
      <c r="V18">
        <f>IF(INDEX(Cal_Weeks[MonthYearLabel],21)&lt;&gt;INDEX(Cal_Weeks[MonthYearLabel],20),'Grid_Stock'!U18,U18)+'Grid_Incoming'!V18-'Grid_Requirement'!V18</f>
        <v/>
      </c>
      <c r="W18">
        <f>IF(INDEX(Cal_Weeks[MonthYearLabel],22)&lt;&gt;INDEX(Cal_Weeks[MonthYearLabel],21),'Grid_Stock'!V18,V18)+'Grid_Incoming'!W18-'Grid_Requirement'!W18</f>
        <v/>
      </c>
      <c r="X18">
        <f>IF(INDEX(Cal_Weeks[MonthYearLabel],23)&lt;&gt;INDEX(Cal_Weeks[MonthYearLabel],22),'Grid_Stock'!W18,W18)+'Grid_Incoming'!X18-'Grid_Requirement'!X18</f>
        <v/>
      </c>
      <c r="Y18">
        <f>IF(INDEX(Cal_Weeks[MonthYearLabel],24)&lt;&gt;INDEX(Cal_Weeks[MonthYearLabel],23),'Grid_Stock'!X18,X18)+'Grid_Incoming'!Y18-'Grid_Requirement'!Y18</f>
        <v/>
      </c>
      <c r="Z18">
        <f>IF(INDEX(Cal_Weeks[MonthYearLabel],25)&lt;&gt;INDEX(Cal_Weeks[MonthYearLabel],24),'Grid_Stock'!Y18,Y18)+'Grid_Incoming'!Z18-'Grid_Requirement'!Z18</f>
        <v/>
      </c>
      <c r="AA18">
        <f>IF(INDEX(Cal_Weeks[MonthYearLabel],26)&lt;&gt;INDEX(Cal_Weeks[MonthYearLabel],25),'Grid_Stock'!Z18,Z18)+'Grid_Incoming'!AA18-'Grid_Requirement'!AA18</f>
        <v/>
      </c>
      <c r="AB18">
        <f>IF(INDEX(Cal_Weeks[MonthYearLabel],27)&lt;&gt;INDEX(Cal_Weeks[MonthYearLabel],26),'Grid_Stock'!AA18,AA18)+'Grid_Incoming'!AB18-'Grid_Requirement'!AB18</f>
        <v/>
      </c>
      <c r="AC18">
        <f>IF(INDEX(Cal_Weeks[MonthYearLabel],28)&lt;&gt;INDEX(Cal_Weeks[MonthYearLabel],27),'Grid_Stock'!AB18,AB18)+'Grid_Incoming'!AC18-'Grid_Requirement'!AC18</f>
        <v/>
      </c>
      <c r="AD18">
        <f>IF(INDEX(Cal_Weeks[MonthYearLabel],29)&lt;&gt;INDEX(Cal_Weeks[MonthYearLabel],28),'Grid_Stock'!AC18,AC18)+'Grid_Incoming'!AD18-'Grid_Requirement'!AD18</f>
        <v/>
      </c>
      <c r="AE18">
        <f>IF(INDEX(Cal_Weeks[MonthYearLabel],30)&lt;&gt;INDEX(Cal_Weeks[MonthYearLabel],29),'Grid_Stock'!AD18,AD18)+'Grid_Incoming'!AE18-'Grid_Requirement'!AE18</f>
        <v/>
      </c>
      <c r="AF18">
        <f>IF(INDEX(Cal_Weeks[MonthYearLabel],31)&lt;&gt;INDEX(Cal_Weeks[MonthYearLabel],30),'Grid_Stock'!AE18,AE18)+'Grid_Incoming'!AF18-'Grid_Requirement'!AF18</f>
        <v/>
      </c>
      <c r="AG18">
        <f>IF(INDEX(Cal_Weeks[MonthYearLabel],32)&lt;&gt;INDEX(Cal_Weeks[MonthYearLabel],31),'Grid_Stock'!AF18,AF18)+'Grid_Incoming'!AG18-'Grid_Requirement'!AG18</f>
        <v/>
      </c>
      <c r="AH18">
        <f>IF(INDEX(Cal_Weeks[MonthYearLabel],33)&lt;&gt;INDEX(Cal_Weeks[MonthYearLabel],32),'Grid_Stock'!AG18,AG18)+'Grid_Incoming'!AH18-'Grid_Requirement'!AH18</f>
        <v/>
      </c>
      <c r="AI18">
        <f>IF(INDEX(Cal_Weeks[MonthYearLabel],34)&lt;&gt;INDEX(Cal_Weeks[MonthYearLabel],33),'Grid_Stock'!AH18,AH18)+'Grid_Incoming'!AI18-'Grid_Requirement'!AI18</f>
        <v/>
      </c>
      <c r="AJ18">
        <f>IF(INDEX(Cal_Weeks[MonthYearLabel],35)&lt;&gt;INDEX(Cal_Weeks[MonthYearLabel],34),'Grid_Stock'!AI18,AI18)+'Grid_Incoming'!AJ18-'Grid_Requirement'!AJ18</f>
        <v/>
      </c>
      <c r="AK18">
        <f>IF(INDEX(Cal_Weeks[MonthYearLabel],36)&lt;&gt;INDEX(Cal_Weeks[MonthYearLabel],35),'Grid_Stock'!AJ18,AJ18)+'Grid_Incoming'!AK18-'Grid_Requirement'!AK18</f>
        <v/>
      </c>
      <c r="AL18">
        <f>IF(INDEX(Cal_Weeks[MonthYearLabel],37)&lt;&gt;INDEX(Cal_Weeks[MonthYearLabel],36),'Grid_Stock'!AK18,AK18)+'Grid_Incoming'!AL18-'Grid_Requirement'!AL18</f>
        <v/>
      </c>
      <c r="AM18">
        <f>IF(INDEX(Cal_Weeks[MonthYearLabel],38)&lt;&gt;INDEX(Cal_Weeks[MonthYearLabel],37),'Grid_Stock'!AL18,AL18)+'Grid_Incoming'!AM18-'Grid_Requirement'!AM18</f>
        <v/>
      </c>
      <c r="AN18">
        <f>IF(INDEX(Cal_Weeks[MonthYearLabel],39)&lt;&gt;INDEX(Cal_Weeks[MonthYearLabel],38),'Grid_Stock'!AM18,AM18)+'Grid_Incoming'!AN18-'Grid_Requirement'!AN18</f>
        <v/>
      </c>
      <c r="AO18">
        <f>IF(INDEX(Cal_Weeks[MonthYearLabel],40)&lt;&gt;INDEX(Cal_Weeks[MonthYearLabel],39),'Grid_Stock'!AN18,AN18)+'Grid_Incoming'!AO18-'Grid_Requirement'!AO18</f>
        <v/>
      </c>
      <c r="AP18">
        <f>IF(INDEX(Cal_Weeks[MonthYearLabel],41)&lt;&gt;INDEX(Cal_Weeks[MonthYearLabel],40),'Grid_Stock'!AO18,AO18)+'Grid_Incoming'!AP18-'Grid_Requirement'!AP18</f>
        <v/>
      </c>
      <c r="AQ18">
        <f>IF(INDEX(Cal_Weeks[MonthYearLabel],42)&lt;&gt;INDEX(Cal_Weeks[MonthYearLabel],41),'Grid_Stock'!AP18,AP18)+'Grid_Incoming'!AQ18-'Grid_Requirement'!AQ18</f>
        <v/>
      </c>
      <c r="AR18">
        <f>IF(INDEX(Cal_Weeks[MonthYearLabel],43)&lt;&gt;INDEX(Cal_Weeks[MonthYearLabel],42),'Grid_Stock'!AQ18,AQ18)+'Grid_Incoming'!AR18-'Grid_Requirement'!AR18</f>
        <v/>
      </c>
      <c r="AS18">
        <f>IF(INDEX(Cal_Weeks[MonthYearLabel],44)&lt;&gt;INDEX(Cal_Weeks[MonthYearLabel],43),'Grid_Stock'!AR18,AR18)+'Grid_Incoming'!AS18-'Grid_Requirement'!AS18</f>
        <v/>
      </c>
      <c r="AT18">
        <f>IF(INDEX(Cal_Weeks[MonthYearLabel],45)&lt;&gt;INDEX(Cal_Weeks[MonthYearLabel],44),'Grid_Stock'!AS18,AS18)+'Grid_Incoming'!AT18-'Grid_Requirement'!AT18</f>
        <v/>
      </c>
      <c r="AU18">
        <f>IF(INDEX(Cal_Weeks[MonthYearLabel],46)&lt;&gt;INDEX(Cal_Weeks[MonthYearLabel],45),'Grid_Stock'!AT18,AT18)+'Grid_Incoming'!AU18-'Grid_Requirement'!AU18</f>
        <v/>
      </c>
      <c r="AV18">
        <f>IF(INDEX(Cal_Weeks[MonthYearLabel],47)&lt;&gt;INDEX(Cal_Weeks[MonthYearLabel],46),'Grid_Stock'!AU18,AU18)+'Grid_Incoming'!AV18-'Grid_Requirement'!AV18</f>
        <v/>
      </c>
      <c r="AW18">
        <f>IF(INDEX(Cal_Weeks[MonthYearLabel],48)&lt;&gt;INDEX(Cal_Weeks[MonthYearLabel],47),'Grid_Stock'!AV18,AV18)+'Grid_Incoming'!AW18-'Grid_Requirement'!AW18</f>
        <v/>
      </c>
      <c r="AX18">
        <f>IF(INDEX(Cal_Weeks[MonthYearLabel],49)&lt;&gt;INDEX(Cal_Weeks[MonthYearLabel],48),'Grid_Stock'!AW18,AW18)+'Grid_Incoming'!AX18-'Grid_Requirement'!AX18</f>
        <v/>
      </c>
      <c r="AY18">
        <f>IF(INDEX(Cal_Weeks[MonthYearLabel],50)&lt;&gt;INDEX(Cal_Weeks[MonthYearLabel],49),'Grid_Stock'!AX18,AX18)+'Grid_Incoming'!AY18-'Grid_Requirement'!AY18</f>
        <v/>
      </c>
      <c r="AZ18">
        <f>IF(INDEX(Cal_Weeks[MonthYearLabel],51)&lt;&gt;INDEX(Cal_Weeks[MonthYearLabel],50),'Grid_Stock'!AY18,AY18)+'Grid_Incoming'!AZ18-'Grid_Requirement'!AZ18</f>
        <v/>
      </c>
      <c r="BA18">
        <f>IF(INDEX(Cal_Weeks[MonthYearLabel],52)&lt;&gt;INDEX(Cal_Weeks[MonthYearLabel],51),'Grid_Stock'!AZ18,AZ18)+'Grid_Incoming'!BA18-'Grid_Requirement'!BA18</f>
        <v/>
      </c>
      <c r="BB18">
        <f>IF(INDEX(Cal_Weeks[MonthYearLabel],53)&lt;&gt;INDEX(Cal_Weeks[MonthYearLabel],52),'Grid_Stock'!BA18,BA18)+'Grid_Incoming'!BB18-'Grid_Requirement'!BB18</f>
        <v/>
      </c>
      <c r="BC18">
        <f>IF(INDEX(Cal_Weeks[MonthYearLabel],54)&lt;&gt;INDEX(Cal_Weeks[MonthYearLabel],53),'Grid_Stock'!BB18,BB18)+'Grid_Incoming'!BC18-'Grid_Requirement'!BC18</f>
        <v/>
      </c>
      <c r="BD18">
        <f>IF(INDEX(Cal_Weeks[MonthYearLabel],55)&lt;&gt;INDEX(Cal_Weeks[MonthYearLabel],54),'Grid_Stock'!BC18,BC18)+'Grid_Incoming'!BD18-'Grid_Requirement'!BD18</f>
        <v/>
      </c>
      <c r="BE18">
        <f>IF(INDEX(Cal_Weeks[MonthYearLabel],56)&lt;&gt;INDEX(Cal_Weeks[MonthYearLabel],55),'Grid_Stock'!BD18,BD18)+'Grid_Incoming'!BE18-'Grid_Requirement'!BE18</f>
        <v/>
      </c>
      <c r="BF18">
        <f>IF(INDEX(Cal_Weeks[MonthYearLabel],57)&lt;&gt;INDEX(Cal_Weeks[MonthYearLabel],56),'Grid_Stock'!BE18,BE18)+'Grid_Incoming'!BF18-'Grid_Requirement'!BF18</f>
        <v/>
      </c>
      <c r="BG18">
        <f>IF(INDEX(Cal_Weeks[MonthYearLabel],58)&lt;&gt;INDEX(Cal_Weeks[MonthYearLabel],57),'Grid_Stock'!BF18,BF18)+'Grid_Incoming'!BG18-'Grid_Requirement'!BG18</f>
        <v/>
      </c>
      <c r="BH18">
        <f>IF(INDEX(Cal_Weeks[MonthYearLabel],59)&lt;&gt;INDEX(Cal_Weeks[MonthYearLabel],58),'Grid_Stock'!BG18,BG18)+'Grid_Incoming'!BH18-'Grid_Requirement'!BH18</f>
        <v/>
      </c>
      <c r="BI18">
        <f>IF(INDEX(Cal_Weeks[MonthYearLabel],60)&lt;&gt;INDEX(Cal_Weeks[MonthYearLabel],59),'Grid_Stock'!BH18,BH18)+'Grid_Incoming'!BI18-'Grid_Requirement'!BI18</f>
        <v/>
      </c>
      <c r="BJ18">
        <f>IF(INDEX(Cal_Weeks[MonthYearLabel],61)&lt;&gt;INDEX(Cal_Weeks[MonthYearLabel],60),'Grid_Stock'!BI18,BI18)+'Grid_Incoming'!BJ18-'Grid_Requirement'!BJ18</f>
        <v/>
      </c>
      <c r="BK18">
        <f>IF(INDEX(Cal_Weeks[MonthYearLabel],62)&lt;&gt;INDEX(Cal_Weeks[MonthYearLabel],61),'Grid_Stock'!BJ18,BJ18)+'Grid_Incoming'!BK18-'Grid_Requirement'!BK18</f>
        <v/>
      </c>
      <c r="BL18">
        <f>IF(INDEX(Cal_Weeks[MonthYearLabel],63)&lt;&gt;INDEX(Cal_Weeks[MonthYearLabel],62),'Grid_Stock'!BK18,BK18)+'Grid_Incoming'!BL18-'Grid_Requirement'!BL18</f>
        <v/>
      </c>
      <c r="BM18">
        <f>IF(INDEX(Cal_Weeks[MonthYearLabel],64)&lt;&gt;INDEX(Cal_Weeks[MonthYearLabel],63),'Grid_Stock'!BL18,BL18)+'Grid_Incoming'!BM18-'Grid_Requirement'!BM18</f>
        <v/>
      </c>
      <c r="BN18">
        <f>IF(INDEX(Cal_Weeks[MonthYearLabel],65)&lt;&gt;INDEX(Cal_Weeks[MonthYearLabel],64),'Grid_Stock'!BM18,BM18)+'Grid_Incoming'!BN18-'Grid_Requirement'!BN18</f>
        <v/>
      </c>
      <c r="BO18">
        <f>IF(INDEX(Cal_Weeks[MonthYearLabel],66)&lt;&gt;INDEX(Cal_Weeks[MonthYearLabel],65),'Grid_Stock'!BN18,BN18)+'Grid_Incoming'!BO18-'Grid_Requirement'!BO18</f>
        <v/>
      </c>
      <c r="BP18">
        <f>IF(INDEX(Cal_Weeks[MonthYearLabel],67)&lt;&gt;INDEX(Cal_Weeks[MonthYearLabel],66),'Grid_Stock'!BO18,BO18)+'Grid_Incoming'!BP18-'Grid_Requirement'!BP18</f>
        <v/>
      </c>
      <c r="BQ18">
        <f>IF(INDEX(Cal_Weeks[MonthYearLabel],68)&lt;&gt;INDEX(Cal_Weeks[MonthYearLabel],67),'Grid_Stock'!BP18,BP18)+'Grid_Incoming'!BQ18-'Grid_Requirement'!BQ18</f>
        <v/>
      </c>
      <c r="BR18">
        <f>IF(INDEX(Cal_Weeks[MonthYearLabel],69)&lt;&gt;INDEX(Cal_Weeks[MonthYearLabel],68),'Grid_Stock'!BQ18,BQ18)+'Grid_Incoming'!BR18-'Grid_Requirement'!BR18</f>
        <v/>
      </c>
      <c r="BS18">
        <f>IF(INDEX(Cal_Weeks[MonthYearLabel],70)&lt;&gt;INDEX(Cal_Weeks[MonthYearLabel],69),'Grid_Stock'!BR18,BR18)+'Grid_Incoming'!BS18-'Grid_Requirement'!BS18</f>
        <v/>
      </c>
      <c r="BT18">
        <f>IF(INDEX(Cal_Weeks[MonthYearLabel],71)&lt;&gt;INDEX(Cal_Weeks[MonthYearLabel],70),'Grid_Stock'!BS18,BS18)+'Grid_Incoming'!BT18-'Grid_Requirement'!BT18</f>
        <v/>
      </c>
      <c r="BU18">
        <f>IF(INDEX(Cal_Weeks[MonthYearLabel],72)&lt;&gt;INDEX(Cal_Weeks[MonthYearLabel],71),'Grid_Stock'!BT18,BT18)+'Grid_Incoming'!BU18-'Grid_Requirement'!BU18</f>
        <v/>
      </c>
      <c r="BV18">
        <f>IF(INDEX(Cal_Weeks[MonthYearLabel],73)&lt;&gt;INDEX(Cal_Weeks[MonthYearLabel],72),'Grid_Stock'!BU18,BU18)+'Grid_Incoming'!BV18-'Grid_Requirement'!BV18</f>
        <v/>
      </c>
      <c r="BW18">
        <f>IF(INDEX(Cal_Weeks[MonthYearLabel],74)&lt;&gt;INDEX(Cal_Weeks[MonthYearLabel],73),'Grid_Stock'!BV18,BV18)+'Grid_Incoming'!BW18-'Grid_Requirement'!BW18</f>
        <v/>
      </c>
      <c r="BX18">
        <f>IF(INDEX(Cal_Weeks[MonthYearLabel],75)&lt;&gt;INDEX(Cal_Weeks[MonthYearLabel],74),'Grid_Stock'!BW18,BW18)+'Grid_Incoming'!BX18-'Grid_Requirement'!BX18</f>
        <v/>
      </c>
      <c r="BY18">
        <f>IF(INDEX(Cal_Weeks[MonthYearLabel],76)&lt;&gt;INDEX(Cal_Weeks[MonthYearLabel],75),'Grid_Stock'!BX18,BX18)+'Grid_Incoming'!BY18-'Grid_Requirement'!BY18</f>
        <v/>
      </c>
      <c r="BZ18">
        <f>IF(INDEX(Cal_Weeks[MonthYearLabel],77)&lt;&gt;INDEX(Cal_Weeks[MonthYearLabel],76),'Grid_Stock'!BY18,BY18)+'Grid_Incoming'!BZ18-'Grid_Requirement'!BZ18</f>
        <v/>
      </c>
      <c r="CA18">
        <f>IF(INDEX(Cal_Weeks[MonthYearLabel],78)&lt;&gt;INDEX(Cal_Weeks[MonthYearLabel],77),'Grid_Stock'!BZ18,BZ18)+'Grid_Incoming'!CA18-'Grid_Requirement'!CA18</f>
        <v/>
      </c>
      <c r="CB18">
        <f>IF(INDEX(Cal_Weeks[MonthYearLabel],79)&lt;&gt;INDEX(Cal_Weeks[MonthYearLabel],78),'Grid_Stock'!CA18,CA18)+'Grid_Incoming'!CB18-'Grid_Requirement'!CB18</f>
        <v/>
      </c>
      <c r="CC18">
        <f>IF(INDEX(Cal_Weeks[MonthYearLabel],80)&lt;&gt;INDEX(Cal_Weeks[MonthYearLabel],79),'Grid_Stock'!CB18,CB18)+'Grid_Incoming'!CC18-'Grid_Requirement'!CC18</f>
        <v/>
      </c>
      <c r="CD18">
        <f>IF(INDEX(Cal_Weeks[MonthYearLabel],81)&lt;&gt;INDEX(Cal_Weeks[MonthYearLabel],80),'Grid_Stock'!CC18,CC18)+'Grid_Incoming'!CD18-'Grid_Requirement'!CD18</f>
        <v/>
      </c>
      <c r="CE18">
        <f>IF(INDEX(Cal_Weeks[MonthYearLabel],82)&lt;&gt;INDEX(Cal_Weeks[MonthYearLabel],81),'Grid_Stock'!CD18,CD18)+'Grid_Incoming'!CE18-'Grid_Requirement'!CE18</f>
        <v/>
      </c>
      <c r="CF18">
        <f>IF(INDEX(Cal_Weeks[MonthYearLabel],83)&lt;&gt;INDEX(Cal_Weeks[MonthYearLabel],82),'Grid_Stock'!CE18,CE18)+'Grid_Incoming'!CF18-'Grid_Requirement'!CF18</f>
        <v/>
      </c>
      <c r="CG18">
        <f>IF(INDEX(Cal_Weeks[MonthYearLabel],84)&lt;&gt;INDEX(Cal_Weeks[MonthYearLabel],83),'Grid_Stock'!CF18,CF18)+'Grid_Incoming'!CG18-'Grid_Requirement'!CG18</f>
        <v/>
      </c>
      <c r="CH18">
        <f>IF(INDEX(Cal_Weeks[MonthYearLabel],85)&lt;&gt;INDEX(Cal_Weeks[MonthYearLabel],84),'Grid_Stock'!CG18,CG18)+'Grid_Incoming'!CH18-'Grid_Requirement'!CH18</f>
        <v/>
      </c>
      <c r="CI18">
        <f>IF(INDEX(Cal_Weeks[MonthYearLabel],86)&lt;&gt;INDEX(Cal_Weeks[MonthYearLabel],85),'Grid_Stock'!CH18,CH18)+'Grid_Incoming'!CI18-'Grid_Requirement'!CI18</f>
        <v/>
      </c>
      <c r="CJ18">
        <f>IF(INDEX(Cal_Weeks[MonthYearLabel],87)&lt;&gt;INDEX(Cal_Weeks[MonthYearLabel],86),'Grid_Stock'!CI18,CI18)+'Grid_Incoming'!CJ18-'Grid_Requirement'!CJ18</f>
        <v/>
      </c>
      <c r="CK18">
        <f>IF(INDEX(Cal_Weeks[MonthYearLabel],88)&lt;&gt;INDEX(Cal_Weeks[MonthYearLabel],87),'Grid_Stock'!CJ18,CJ18)+'Grid_Incoming'!CK18-'Grid_Requirement'!CK18</f>
        <v/>
      </c>
      <c r="CL18">
        <f>IF(INDEX(Cal_Weeks[MonthYearLabel],89)&lt;&gt;INDEX(Cal_Weeks[MonthYearLabel],88),'Grid_Stock'!CK18,CK18)+'Grid_Incoming'!CL18-'Grid_Requirement'!CL18</f>
        <v/>
      </c>
      <c r="CM18">
        <f>IF(INDEX(Cal_Weeks[MonthYearLabel],90)&lt;&gt;INDEX(Cal_Weeks[MonthYearLabel],89),'Grid_Stock'!CL18,CL18)+'Grid_Incoming'!CM18-'Grid_Requirement'!CM18</f>
        <v/>
      </c>
      <c r="CN18">
        <f>IF(INDEX(Cal_Weeks[MonthYearLabel],91)&lt;&gt;INDEX(Cal_Weeks[MonthYearLabel],90),'Grid_Stock'!CM18,CM18)+'Grid_Incoming'!CN18-'Grid_Requirement'!CN18</f>
        <v/>
      </c>
      <c r="CO18">
        <f>IF(INDEX(Cal_Weeks[MonthYearLabel],92)&lt;&gt;INDEX(Cal_Weeks[MonthYearLabel],91),'Grid_Stock'!CN18,CN18)+'Grid_Incoming'!CO18-'Grid_Requirement'!CO18</f>
        <v/>
      </c>
      <c r="CP18">
        <f>IF(INDEX(Cal_Weeks[MonthYearLabel],93)&lt;&gt;INDEX(Cal_Weeks[MonthYearLabel],92),'Grid_Stock'!CO18,CO18)+'Grid_Incoming'!CP18-'Grid_Requirement'!CP18</f>
        <v/>
      </c>
      <c r="CQ18">
        <f>IF(INDEX(Cal_Weeks[MonthYearLabel],94)&lt;&gt;INDEX(Cal_Weeks[MonthYearLabel],93),'Grid_Stock'!CP18,CP18)+'Grid_Incoming'!CQ18-'Grid_Requirement'!CQ18</f>
        <v/>
      </c>
      <c r="CR18">
        <f>IF(INDEX(Cal_Weeks[MonthYearLabel],95)&lt;&gt;INDEX(Cal_Weeks[MonthYearLabel],94),'Grid_Stock'!CQ18,CQ18)+'Grid_Incoming'!CR18-'Grid_Requirement'!CR18</f>
        <v/>
      </c>
      <c r="CS18">
        <f>IF(INDEX(Cal_Weeks[MonthYearLabel],96)&lt;&gt;INDEX(Cal_Weeks[MonthYearLabel],95),'Grid_Stock'!CR18,CR18)+'Grid_Incoming'!CS18-'Grid_Requirement'!CS18</f>
        <v/>
      </c>
      <c r="CT18">
        <f>IF(INDEX(Cal_Weeks[MonthYearLabel],97)&lt;&gt;INDEX(Cal_Weeks[MonthYearLabel],96),'Grid_Stock'!CS18,CS18)+'Grid_Incoming'!CT18-'Grid_Requirement'!CT18</f>
        <v/>
      </c>
      <c r="CU18">
        <f>IF(INDEX(Cal_Weeks[MonthYearLabel],98)&lt;&gt;INDEX(Cal_Weeks[MonthYearLabel],97),'Grid_Stock'!CT18,CT18)+'Grid_Incoming'!CU18-'Grid_Requirement'!CU18</f>
        <v/>
      </c>
      <c r="CV18">
        <f>IF(INDEX(Cal_Weeks[MonthYearLabel],99)&lt;&gt;INDEX(Cal_Weeks[MonthYearLabel],98),'Grid_Stock'!CU18,CU18)+'Grid_Incoming'!CV18-'Grid_Requirement'!CV18</f>
        <v/>
      </c>
      <c r="CW18">
        <f>IF(INDEX(Cal_Weeks[MonthYearLabel],100)&lt;&gt;INDEX(Cal_Weeks[MonthYearLabel],99),'Grid_Stock'!CV18,CV18)+'Grid_Incoming'!CW18-'Grid_Requirement'!CW18</f>
        <v/>
      </c>
      <c r="CX18">
        <f>IF(INDEX(Cal_Weeks[MonthYearLabel],101)&lt;&gt;INDEX(Cal_Weeks[MonthYearLabel],100),'Grid_Stock'!CW18,CW18)+'Grid_Incoming'!CX18-'Grid_Requirement'!CX18</f>
        <v/>
      </c>
      <c r="CY18">
        <f>IF(INDEX(Cal_Weeks[MonthYearLabel],102)&lt;&gt;INDEX(Cal_Weeks[MonthYearLabel],101),'Grid_Stock'!CX18,CX18)+'Grid_Incoming'!CY18-'Grid_Requirement'!CY18</f>
        <v/>
      </c>
      <c r="CZ18">
        <f>IF(INDEX(Cal_Weeks[MonthYearLabel],103)&lt;&gt;INDEX(Cal_Weeks[MonthYearLabel],102),'Grid_Stock'!CY18,CY18)+'Grid_Incoming'!CZ18-'Grid_Requirement'!CZ18</f>
        <v/>
      </c>
      <c r="DA18">
        <f>IF(INDEX(Cal_Weeks[MonthYearLabel],104)&lt;&gt;INDEX(Cal_Weeks[MonthYearLabel],103),'Grid_Stock'!CZ18,CZ18)+'Grid_Incoming'!DA18-'Grid_Requirement'!DA18</f>
        <v/>
      </c>
    </row>
    <row r="19">
      <c r="A19" t="inlineStr">
        <is>
          <t>26F</t>
        </is>
      </c>
      <c r="B19">
        <f>IFERROR(INDEX(T_OpeningStock[Opening_Qty_要入力],MATCH($A19,T_OpeningStock[Part Name],0)),0)+'Grid_Incoming'!B19-'Grid_Requirement'!B19</f>
        <v/>
      </c>
      <c r="C19">
        <f>IF(INDEX(Cal_Weeks[MonthYearLabel],2)&lt;&gt;INDEX(Cal_Weeks[MonthYearLabel],1),'Grid_Stock'!B19,B19)+'Grid_Incoming'!C19-'Grid_Requirement'!C19</f>
        <v/>
      </c>
      <c r="D19">
        <f>IF(INDEX(Cal_Weeks[MonthYearLabel],3)&lt;&gt;INDEX(Cal_Weeks[MonthYearLabel],2),'Grid_Stock'!C19,C19)+'Grid_Incoming'!D19-'Grid_Requirement'!D19</f>
        <v/>
      </c>
      <c r="E19">
        <f>IF(INDEX(Cal_Weeks[MonthYearLabel],4)&lt;&gt;INDEX(Cal_Weeks[MonthYearLabel],3),'Grid_Stock'!D19,D19)+'Grid_Incoming'!E19-'Grid_Requirement'!E19</f>
        <v/>
      </c>
      <c r="F19">
        <f>IF(INDEX(Cal_Weeks[MonthYearLabel],5)&lt;&gt;INDEX(Cal_Weeks[MonthYearLabel],4),'Grid_Stock'!E19,E19)+'Grid_Incoming'!F19-'Grid_Requirement'!F19</f>
        <v/>
      </c>
      <c r="G19">
        <f>IF(INDEX(Cal_Weeks[MonthYearLabel],6)&lt;&gt;INDEX(Cal_Weeks[MonthYearLabel],5),'Grid_Stock'!F19,F19)+'Grid_Incoming'!G19-'Grid_Requirement'!G19</f>
        <v/>
      </c>
      <c r="H19">
        <f>IF(INDEX(Cal_Weeks[MonthYearLabel],7)&lt;&gt;INDEX(Cal_Weeks[MonthYearLabel],6),'Grid_Stock'!G19,G19)+'Grid_Incoming'!H19-'Grid_Requirement'!H19</f>
        <v/>
      </c>
      <c r="I19">
        <f>IF(INDEX(Cal_Weeks[MonthYearLabel],8)&lt;&gt;INDEX(Cal_Weeks[MonthYearLabel],7),'Grid_Stock'!H19,H19)+'Grid_Incoming'!I19-'Grid_Requirement'!I19</f>
        <v/>
      </c>
      <c r="J19">
        <f>IF(INDEX(Cal_Weeks[MonthYearLabel],9)&lt;&gt;INDEX(Cal_Weeks[MonthYearLabel],8),'Grid_Stock'!I19,I19)+'Grid_Incoming'!J19-'Grid_Requirement'!J19</f>
        <v/>
      </c>
      <c r="K19">
        <f>IF(INDEX(Cal_Weeks[MonthYearLabel],10)&lt;&gt;INDEX(Cal_Weeks[MonthYearLabel],9),'Grid_Stock'!J19,J19)+'Grid_Incoming'!K19-'Grid_Requirement'!K19</f>
        <v/>
      </c>
      <c r="L19">
        <f>IF(INDEX(Cal_Weeks[MonthYearLabel],11)&lt;&gt;INDEX(Cal_Weeks[MonthYearLabel],10),'Grid_Stock'!K19,K19)+'Grid_Incoming'!L19-'Grid_Requirement'!L19</f>
        <v/>
      </c>
      <c r="M19">
        <f>IF(INDEX(Cal_Weeks[MonthYearLabel],12)&lt;&gt;INDEX(Cal_Weeks[MonthYearLabel],11),'Grid_Stock'!L19,L19)+'Grid_Incoming'!M19-'Grid_Requirement'!M19</f>
        <v/>
      </c>
      <c r="N19">
        <f>IF(INDEX(Cal_Weeks[MonthYearLabel],13)&lt;&gt;INDEX(Cal_Weeks[MonthYearLabel],12),'Grid_Stock'!M19,M19)+'Grid_Incoming'!N19-'Grid_Requirement'!N19</f>
        <v/>
      </c>
      <c r="O19">
        <f>IF(INDEX(Cal_Weeks[MonthYearLabel],14)&lt;&gt;INDEX(Cal_Weeks[MonthYearLabel],13),'Grid_Stock'!N19,N19)+'Grid_Incoming'!O19-'Grid_Requirement'!O19</f>
        <v/>
      </c>
      <c r="P19">
        <f>IF(INDEX(Cal_Weeks[MonthYearLabel],15)&lt;&gt;INDEX(Cal_Weeks[MonthYearLabel],14),'Grid_Stock'!O19,O19)+'Grid_Incoming'!P19-'Grid_Requirement'!P19</f>
        <v/>
      </c>
      <c r="Q19">
        <f>IF(INDEX(Cal_Weeks[MonthYearLabel],16)&lt;&gt;INDEX(Cal_Weeks[MonthYearLabel],15),'Grid_Stock'!P19,P19)+'Grid_Incoming'!Q19-'Grid_Requirement'!Q19</f>
        <v/>
      </c>
      <c r="R19">
        <f>IF(INDEX(Cal_Weeks[MonthYearLabel],17)&lt;&gt;INDEX(Cal_Weeks[MonthYearLabel],16),'Grid_Stock'!Q19,Q19)+'Grid_Incoming'!R19-'Grid_Requirement'!R19</f>
        <v/>
      </c>
      <c r="S19">
        <f>IF(INDEX(Cal_Weeks[MonthYearLabel],18)&lt;&gt;INDEX(Cal_Weeks[MonthYearLabel],17),'Grid_Stock'!R19,R19)+'Grid_Incoming'!S19-'Grid_Requirement'!S19</f>
        <v/>
      </c>
      <c r="T19">
        <f>IF(INDEX(Cal_Weeks[MonthYearLabel],19)&lt;&gt;INDEX(Cal_Weeks[MonthYearLabel],18),'Grid_Stock'!S19,S19)+'Grid_Incoming'!T19-'Grid_Requirement'!T19</f>
        <v/>
      </c>
      <c r="U19">
        <f>IF(INDEX(Cal_Weeks[MonthYearLabel],20)&lt;&gt;INDEX(Cal_Weeks[MonthYearLabel],19),'Grid_Stock'!T19,T19)+'Grid_Incoming'!U19-'Grid_Requirement'!U19</f>
        <v/>
      </c>
      <c r="V19">
        <f>IF(INDEX(Cal_Weeks[MonthYearLabel],21)&lt;&gt;INDEX(Cal_Weeks[MonthYearLabel],20),'Grid_Stock'!U19,U19)+'Grid_Incoming'!V19-'Grid_Requirement'!V19</f>
        <v/>
      </c>
      <c r="W19">
        <f>IF(INDEX(Cal_Weeks[MonthYearLabel],22)&lt;&gt;INDEX(Cal_Weeks[MonthYearLabel],21),'Grid_Stock'!V19,V19)+'Grid_Incoming'!W19-'Grid_Requirement'!W19</f>
        <v/>
      </c>
      <c r="X19">
        <f>IF(INDEX(Cal_Weeks[MonthYearLabel],23)&lt;&gt;INDEX(Cal_Weeks[MonthYearLabel],22),'Grid_Stock'!W19,W19)+'Grid_Incoming'!X19-'Grid_Requirement'!X19</f>
        <v/>
      </c>
      <c r="Y19">
        <f>IF(INDEX(Cal_Weeks[MonthYearLabel],24)&lt;&gt;INDEX(Cal_Weeks[MonthYearLabel],23),'Grid_Stock'!X19,X19)+'Grid_Incoming'!Y19-'Grid_Requirement'!Y19</f>
        <v/>
      </c>
      <c r="Z19">
        <f>IF(INDEX(Cal_Weeks[MonthYearLabel],25)&lt;&gt;INDEX(Cal_Weeks[MonthYearLabel],24),'Grid_Stock'!Y19,Y19)+'Grid_Incoming'!Z19-'Grid_Requirement'!Z19</f>
        <v/>
      </c>
      <c r="AA19">
        <f>IF(INDEX(Cal_Weeks[MonthYearLabel],26)&lt;&gt;INDEX(Cal_Weeks[MonthYearLabel],25),'Grid_Stock'!Z19,Z19)+'Grid_Incoming'!AA19-'Grid_Requirement'!AA19</f>
        <v/>
      </c>
      <c r="AB19">
        <f>IF(INDEX(Cal_Weeks[MonthYearLabel],27)&lt;&gt;INDEX(Cal_Weeks[MonthYearLabel],26),'Grid_Stock'!AA19,AA19)+'Grid_Incoming'!AB19-'Grid_Requirement'!AB19</f>
        <v/>
      </c>
      <c r="AC19">
        <f>IF(INDEX(Cal_Weeks[MonthYearLabel],28)&lt;&gt;INDEX(Cal_Weeks[MonthYearLabel],27),'Grid_Stock'!AB19,AB19)+'Grid_Incoming'!AC19-'Grid_Requirement'!AC19</f>
        <v/>
      </c>
      <c r="AD19">
        <f>IF(INDEX(Cal_Weeks[MonthYearLabel],29)&lt;&gt;INDEX(Cal_Weeks[MonthYearLabel],28),'Grid_Stock'!AC19,AC19)+'Grid_Incoming'!AD19-'Grid_Requirement'!AD19</f>
        <v/>
      </c>
      <c r="AE19">
        <f>IF(INDEX(Cal_Weeks[MonthYearLabel],30)&lt;&gt;INDEX(Cal_Weeks[MonthYearLabel],29),'Grid_Stock'!AD19,AD19)+'Grid_Incoming'!AE19-'Grid_Requirement'!AE19</f>
        <v/>
      </c>
      <c r="AF19">
        <f>IF(INDEX(Cal_Weeks[MonthYearLabel],31)&lt;&gt;INDEX(Cal_Weeks[MonthYearLabel],30),'Grid_Stock'!AE19,AE19)+'Grid_Incoming'!AF19-'Grid_Requirement'!AF19</f>
        <v/>
      </c>
      <c r="AG19">
        <f>IF(INDEX(Cal_Weeks[MonthYearLabel],32)&lt;&gt;INDEX(Cal_Weeks[MonthYearLabel],31),'Grid_Stock'!AF19,AF19)+'Grid_Incoming'!AG19-'Grid_Requirement'!AG19</f>
        <v/>
      </c>
      <c r="AH19">
        <f>IF(INDEX(Cal_Weeks[MonthYearLabel],33)&lt;&gt;INDEX(Cal_Weeks[MonthYearLabel],32),'Grid_Stock'!AG19,AG19)+'Grid_Incoming'!AH19-'Grid_Requirement'!AH19</f>
        <v/>
      </c>
      <c r="AI19">
        <f>IF(INDEX(Cal_Weeks[MonthYearLabel],34)&lt;&gt;INDEX(Cal_Weeks[MonthYearLabel],33),'Grid_Stock'!AH19,AH19)+'Grid_Incoming'!AI19-'Grid_Requirement'!AI19</f>
        <v/>
      </c>
      <c r="AJ19">
        <f>IF(INDEX(Cal_Weeks[MonthYearLabel],35)&lt;&gt;INDEX(Cal_Weeks[MonthYearLabel],34),'Grid_Stock'!AI19,AI19)+'Grid_Incoming'!AJ19-'Grid_Requirement'!AJ19</f>
        <v/>
      </c>
      <c r="AK19">
        <f>IF(INDEX(Cal_Weeks[MonthYearLabel],36)&lt;&gt;INDEX(Cal_Weeks[MonthYearLabel],35),'Grid_Stock'!AJ19,AJ19)+'Grid_Incoming'!AK19-'Grid_Requirement'!AK19</f>
        <v/>
      </c>
      <c r="AL19">
        <f>IF(INDEX(Cal_Weeks[MonthYearLabel],37)&lt;&gt;INDEX(Cal_Weeks[MonthYearLabel],36),'Grid_Stock'!AK19,AK19)+'Grid_Incoming'!AL19-'Grid_Requirement'!AL19</f>
        <v/>
      </c>
      <c r="AM19">
        <f>IF(INDEX(Cal_Weeks[MonthYearLabel],38)&lt;&gt;INDEX(Cal_Weeks[MonthYearLabel],37),'Grid_Stock'!AL19,AL19)+'Grid_Incoming'!AM19-'Grid_Requirement'!AM19</f>
        <v/>
      </c>
      <c r="AN19">
        <f>IF(INDEX(Cal_Weeks[MonthYearLabel],39)&lt;&gt;INDEX(Cal_Weeks[MonthYearLabel],38),'Grid_Stock'!AM19,AM19)+'Grid_Incoming'!AN19-'Grid_Requirement'!AN19</f>
        <v/>
      </c>
      <c r="AO19">
        <f>IF(INDEX(Cal_Weeks[MonthYearLabel],40)&lt;&gt;INDEX(Cal_Weeks[MonthYearLabel],39),'Grid_Stock'!AN19,AN19)+'Grid_Incoming'!AO19-'Grid_Requirement'!AO19</f>
        <v/>
      </c>
      <c r="AP19">
        <f>IF(INDEX(Cal_Weeks[MonthYearLabel],41)&lt;&gt;INDEX(Cal_Weeks[MonthYearLabel],40),'Grid_Stock'!AO19,AO19)+'Grid_Incoming'!AP19-'Grid_Requirement'!AP19</f>
        <v/>
      </c>
      <c r="AQ19">
        <f>IF(INDEX(Cal_Weeks[MonthYearLabel],42)&lt;&gt;INDEX(Cal_Weeks[MonthYearLabel],41),'Grid_Stock'!AP19,AP19)+'Grid_Incoming'!AQ19-'Grid_Requirement'!AQ19</f>
        <v/>
      </c>
      <c r="AR19">
        <f>IF(INDEX(Cal_Weeks[MonthYearLabel],43)&lt;&gt;INDEX(Cal_Weeks[MonthYearLabel],42),'Grid_Stock'!AQ19,AQ19)+'Grid_Incoming'!AR19-'Grid_Requirement'!AR19</f>
        <v/>
      </c>
      <c r="AS19">
        <f>IF(INDEX(Cal_Weeks[MonthYearLabel],44)&lt;&gt;INDEX(Cal_Weeks[MonthYearLabel],43),'Grid_Stock'!AR19,AR19)+'Grid_Incoming'!AS19-'Grid_Requirement'!AS19</f>
        <v/>
      </c>
      <c r="AT19">
        <f>IF(INDEX(Cal_Weeks[MonthYearLabel],45)&lt;&gt;INDEX(Cal_Weeks[MonthYearLabel],44),'Grid_Stock'!AS19,AS19)+'Grid_Incoming'!AT19-'Grid_Requirement'!AT19</f>
        <v/>
      </c>
      <c r="AU19">
        <f>IF(INDEX(Cal_Weeks[MonthYearLabel],46)&lt;&gt;INDEX(Cal_Weeks[MonthYearLabel],45),'Grid_Stock'!AT19,AT19)+'Grid_Incoming'!AU19-'Grid_Requirement'!AU19</f>
        <v/>
      </c>
      <c r="AV19">
        <f>IF(INDEX(Cal_Weeks[MonthYearLabel],47)&lt;&gt;INDEX(Cal_Weeks[MonthYearLabel],46),'Grid_Stock'!AU19,AU19)+'Grid_Incoming'!AV19-'Grid_Requirement'!AV19</f>
        <v/>
      </c>
      <c r="AW19">
        <f>IF(INDEX(Cal_Weeks[MonthYearLabel],48)&lt;&gt;INDEX(Cal_Weeks[MonthYearLabel],47),'Grid_Stock'!AV19,AV19)+'Grid_Incoming'!AW19-'Grid_Requirement'!AW19</f>
        <v/>
      </c>
      <c r="AX19">
        <f>IF(INDEX(Cal_Weeks[MonthYearLabel],49)&lt;&gt;INDEX(Cal_Weeks[MonthYearLabel],48),'Grid_Stock'!AW19,AW19)+'Grid_Incoming'!AX19-'Grid_Requirement'!AX19</f>
        <v/>
      </c>
      <c r="AY19">
        <f>IF(INDEX(Cal_Weeks[MonthYearLabel],50)&lt;&gt;INDEX(Cal_Weeks[MonthYearLabel],49),'Grid_Stock'!AX19,AX19)+'Grid_Incoming'!AY19-'Grid_Requirement'!AY19</f>
        <v/>
      </c>
      <c r="AZ19">
        <f>IF(INDEX(Cal_Weeks[MonthYearLabel],51)&lt;&gt;INDEX(Cal_Weeks[MonthYearLabel],50),'Grid_Stock'!AY19,AY19)+'Grid_Incoming'!AZ19-'Grid_Requirement'!AZ19</f>
        <v/>
      </c>
      <c r="BA19">
        <f>IF(INDEX(Cal_Weeks[MonthYearLabel],52)&lt;&gt;INDEX(Cal_Weeks[MonthYearLabel],51),'Grid_Stock'!AZ19,AZ19)+'Grid_Incoming'!BA19-'Grid_Requirement'!BA19</f>
        <v/>
      </c>
      <c r="BB19">
        <f>IF(INDEX(Cal_Weeks[MonthYearLabel],53)&lt;&gt;INDEX(Cal_Weeks[MonthYearLabel],52),'Grid_Stock'!BA19,BA19)+'Grid_Incoming'!BB19-'Grid_Requirement'!BB19</f>
        <v/>
      </c>
      <c r="BC19">
        <f>IF(INDEX(Cal_Weeks[MonthYearLabel],54)&lt;&gt;INDEX(Cal_Weeks[MonthYearLabel],53),'Grid_Stock'!BB19,BB19)+'Grid_Incoming'!BC19-'Grid_Requirement'!BC19</f>
        <v/>
      </c>
      <c r="BD19">
        <f>IF(INDEX(Cal_Weeks[MonthYearLabel],55)&lt;&gt;INDEX(Cal_Weeks[MonthYearLabel],54),'Grid_Stock'!BC19,BC19)+'Grid_Incoming'!BD19-'Grid_Requirement'!BD19</f>
        <v/>
      </c>
      <c r="BE19">
        <f>IF(INDEX(Cal_Weeks[MonthYearLabel],56)&lt;&gt;INDEX(Cal_Weeks[MonthYearLabel],55),'Grid_Stock'!BD19,BD19)+'Grid_Incoming'!BE19-'Grid_Requirement'!BE19</f>
        <v/>
      </c>
      <c r="BF19">
        <f>IF(INDEX(Cal_Weeks[MonthYearLabel],57)&lt;&gt;INDEX(Cal_Weeks[MonthYearLabel],56),'Grid_Stock'!BE19,BE19)+'Grid_Incoming'!BF19-'Grid_Requirement'!BF19</f>
        <v/>
      </c>
      <c r="BG19">
        <f>IF(INDEX(Cal_Weeks[MonthYearLabel],58)&lt;&gt;INDEX(Cal_Weeks[MonthYearLabel],57),'Grid_Stock'!BF19,BF19)+'Grid_Incoming'!BG19-'Grid_Requirement'!BG19</f>
        <v/>
      </c>
      <c r="BH19">
        <f>IF(INDEX(Cal_Weeks[MonthYearLabel],59)&lt;&gt;INDEX(Cal_Weeks[MonthYearLabel],58),'Grid_Stock'!BG19,BG19)+'Grid_Incoming'!BH19-'Grid_Requirement'!BH19</f>
        <v/>
      </c>
      <c r="BI19">
        <f>IF(INDEX(Cal_Weeks[MonthYearLabel],60)&lt;&gt;INDEX(Cal_Weeks[MonthYearLabel],59),'Grid_Stock'!BH19,BH19)+'Grid_Incoming'!BI19-'Grid_Requirement'!BI19</f>
        <v/>
      </c>
      <c r="BJ19">
        <f>IF(INDEX(Cal_Weeks[MonthYearLabel],61)&lt;&gt;INDEX(Cal_Weeks[MonthYearLabel],60),'Grid_Stock'!BI19,BI19)+'Grid_Incoming'!BJ19-'Grid_Requirement'!BJ19</f>
        <v/>
      </c>
      <c r="BK19">
        <f>IF(INDEX(Cal_Weeks[MonthYearLabel],62)&lt;&gt;INDEX(Cal_Weeks[MonthYearLabel],61),'Grid_Stock'!BJ19,BJ19)+'Grid_Incoming'!BK19-'Grid_Requirement'!BK19</f>
        <v/>
      </c>
      <c r="BL19">
        <f>IF(INDEX(Cal_Weeks[MonthYearLabel],63)&lt;&gt;INDEX(Cal_Weeks[MonthYearLabel],62),'Grid_Stock'!BK19,BK19)+'Grid_Incoming'!BL19-'Grid_Requirement'!BL19</f>
        <v/>
      </c>
      <c r="BM19">
        <f>IF(INDEX(Cal_Weeks[MonthYearLabel],64)&lt;&gt;INDEX(Cal_Weeks[MonthYearLabel],63),'Grid_Stock'!BL19,BL19)+'Grid_Incoming'!BM19-'Grid_Requirement'!BM19</f>
        <v/>
      </c>
      <c r="BN19">
        <f>IF(INDEX(Cal_Weeks[MonthYearLabel],65)&lt;&gt;INDEX(Cal_Weeks[MonthYearLabel],64),'Grid_Stock'!BM19,BM19)+'Grid_Incoming'!BN19-'Grid_Requirement'!BN19</f>
        <v/>
      </c>
      <c r="BO19">
        <f>IF(INDEX(Cal_Weeks[MonthYearLabel],66)&lt;&gt;INDEX(Cal_Weeks[MonthYearLabel],65),'Grid_Stock'!BN19,BN19)+'Grid_Incoming'!BO19-'Grid_Requirement'!BO19</f>
        <v/>
      </c>
      <c r="BP19">
        <f>IF(INDEX(Cal_Weeks[MonthYearLabel],67)&lt;&gt;INDEX(Cal_Weeks[MonthYearLabel],66),'Grid_Stock'!BO19,BO19)+'Grid_Incoming'!BP19-'Grid_Requirement'!BP19</f>
        <v/>
      </c>
      <c r="BQ19">
        <f>IF(INDEX(Cal_Weeks[MonthYearLabel],68)&lt;&gt;INDEX(Cal_Weeks[MonthYearLabel],67),'Grid_Stock'!BP19,BP19)+'Grid_Incoming'!BQ19-'Grid_Requirement'!BQ19</f>
        <v/>
      </c>
      <c r="BR19">
        <f>IF(INDEX(Cal_Weeks[MonthYearLabel],69)&lt;&gt;INDEX(Cal_Weeks[MonthYearLabel],68),'Grid_Stock'!BQ19,BQ19)+'Grid_Incoming'!BR19-'Grid_Requirement'!BR19</f>
        <v/>
      </c>
      <c r="BS19">
        <f>IF(INDEX(Cal_Weeks[MonthYearLabel],70)&lt;&gt;INDEX(Cal_Weeks[MonthYearLabel],69),'Grid_Stock'!BR19,BR19)+'Grid_Incoming'!BS19-'Grid_Requirement'!BS19</f>
        <v/>
      </c>
      <c r="BT19">
        <f>IF(INDEX(Cal_Weeks[MonthYearLabel],71)&lt;&gt;INDEX(Cal_Weeks[MonthYearLabel],70),'Grid_Stock'!BS19,BS19)+'Grid_Incoming'!BT19-'Grid_Requirement'!BT19</f>
        <v/>
      </c>
      <c r="BU19">
        <f>IF(INDEX(Cal_Weeks[MonthYearLabel],72)&lt;&gt;INDEX(Cal_Weeks[MonthYearLabel],71),'Grid_Stock'!BT19,BT19)+'Grid_Incoming'!BU19-'Grid_Requirement'!BU19</f>
        <v/>
      </c>
      <c r="BV19">
        <f>IF(INDEX(Cal_Weeks[MonthYearLabel],73)&lt;&gt;INDEX(Cal_Weeks[MonthYearLabel],72),'Grid_Stock'!BU19,BU19)+'Grid_Incoming'!BV19-'Grid_Requirement'!BV19</f>
        <v/>
      </c>
      <c r="BW19">
        <f>IF(INDEX(Cal_Weeks[MonthYearLabel],74)&lt;&gt;INDEX(Cal_Weeks[MonthYearLabel],73),'Grid_Stock'!BV19,BV19)+'Grid_Incoming'!BW19-'Grid_Requirement'!BW19</f>
        <v/>
      </c>
      <c r="BX19">
        <f>IF(INDEX(Cal_Weeks[MonthYearLabel],75)&lt;&gt;INDEX(Cal_Weeks[MonthYearLabel],74),'Grid_Stock'!BW19,BW19)+'Grid_Incoming'!BX19-'Grid_Requirement'!BX19</f>
        <v/>
      </c>
      <c r="BY19">
        <f>IF(INDEX(Cal_Weeks[MonthYearLabel],76)&lt;&gt;INDEX(Cal_Weeks[MonthYearLabel],75),'Grid_Stock'!BX19,BX19)+'Grid_Incoming'!BY19-'Grid_Requirement'!BY19</f>
        <v/>
      </c>
      <c r="BZ19">
        <f>IF(INDEX(Cal_Weeks[MonthYearLabel],77)&lt;&gt;INDEX(Cal_Weeks[MonthYearLabel],76),'Grid_Stock'!BY19,BY19)+'Grid_Incoming'!BZ19-'Grid_Requirement'!BZ19</f>
        <v/>
      </c>
      <c r="CA19">
        <f>IF(INDEX(Cal_Weeks[MonthYearLabel],78)&lt;&gt;INDEX(Cal_Weeks[MonthYearLabel],77),'Grid_Stock'!BZ19,BZ19)+'Grid_Incoming'!CA19-'Grid_Requirement'!CA19</f>
        <v/>
      </c>
      <c r="CB19">
        <f>IF(INDEX(Cal_Weeks[MonthYearLabel],79)&lt;&gt;INDEX(Cal_Weeks[MonthYearLabel],78),'Grid_Stock'!CA19,CA19)+'Grid_Incoming'!CB19-'Grid_Requirement'!CB19</f>
        <v/>
      </c>
      <c r="CC19">
        <f>IF(INDEX(Cal_Weeks[MonthYearLabel],80)&lt;&gt;INDEX(Cal_Weeks[MonthYearLabel],79),'Grid_Stock'!CB19,CB19)+'Grid_Incoming'!CC19-'Grid_Requirement'!CC19</f>
        <v/>
      </c>
      <c r="CD19">
        <f>IF(INDEX(Cal_Weeks[MonthYearLabel],81)&lt;&gt;INDEX(Cal_Weeks[MonthYearLabel],80),'Grid_Stock'!CC19,CC19)+'Grid_Incoming'!CD19-'Grid_Requirement'!CD19</f>
        <v/>
      </c>
      <c r="CE19">
        <f>IF(INDEX(Cal_Weeks[MonthYearLabel],82)&lt;&gt;INDEX(Cal_Weeks[MonthYearLabel],81),'Grid_Stock'!CD19,CD19)+'Grid_Incoming'!CE19-'Grid_Requirement'!CE19</f>
        <v/>
      </c>
      <c r="CF19">
        <f>IF(INDEX(Cal_Weeks[MonthYearLabel],83)&lt;&gt;INDEX(Cal_Weeks[MonthYearLabel],82),'Grid_Stock'!CE19,CE19)+'Grid_Incoming'!CF19-'Grid_Requirement'!CF19</f>
        <v/>
      </c>
      <c r="CG19">
        <f>IF(INDEX(Cal_Weeks[MonthYearLabel],84)&lt;&gt;INDEX(Cal_Weeks[MonthYearLabel],83),'Grid_Stock'!CF19,CF19)+'Grid_Incoming'!CG19-'Grid_Requirement'!CG19</f>
        <v/>
      </c>
      <c r="CH19">
        <f>IF(INDEX(Cal_Weeks[MonthYearLabel],85)&lt;&gt;INDEX(Cal_Weeks[MonthYearLabel],84),'Grid_Stock'!CG19,CG19)+'Grid_Incoming'!CH19-'Grid_Requirement'!CH19</f>
        <v/>
      </c>
      <c r="CI19">
        <f>IF(INDEX(Cal_Weeks[MonthYearLabel],86)&lt;&gt;INDEX(Cal_Weeks[MonthYearLabel],85),'Grid_Stock'!CH19,CH19)+'Grid_Incoming'!CI19-'Grid_Requirement'!CI19</f>
        <v/>
      </c>
      <c r="CJ19">
        <f>IF(INDEX(Cal_Weeks[MonthYearLabel],87)&lt;&gt;INDEX(Cal_Weeks[MonthYearLabel],86),'Grid_Stock'!CI19,CI19)+'Grid_Incoming'!CJ19-'Grid_Requirement'!CJ19</f>
        <v/>
      </c>
      <c r="CK19">
        <f>IF(INDEX(Cal_Weeks[MonthYearLabel],88)&lt;&gt;INDEX(Cal_Weeks[MonthYearLabel],87),'Grid_Stock'!CJ19,CJ19)+'Grid_Incoming'!CK19-'Grid_Requirement'!CK19</f>
        <v/>
      </c>
      <c r="CL19">
        <f>IF(INDEX(Cal_Weeks[MonthYearLabel],89)&lt;&gt;INDEX(Cal_Weeks[MonthYearLabel],88),'Grid_Stock'!CK19,CK19)+'Grid_Incoming'!CL19-'Grid_Requirement'!CL19</f>
        <v/>
      </c>
      <c r="CM19">
        <f>IF(INDEX(Cal_Weeks[MonthYearLabel],90)&lt;&gt;INDEX(Cal_Weeks[MonthYearLabel],89),'Grid_Stock'!CL19,CL19)+'Grid_Incoming'!CM19-'Grid_Requirement'!CM19</f>
        <v/>
      </c>
      <c r="CN19">
        <f>IF(INDEX(Cal_Weeks[MonthYearLabel],91)&lt;&gt;INDEX(Cal_Weeks[MonthYearLabel],90),'Grid_Stock'!CM19,CM19)+'Grid_Incoming'!CN19-'Grid_Requirement'!CN19</f>
        <v/>
      </c>
      <c r="CO19">
        <f>IF(INDEX(Cal_Weeks[MonthYearLabel],92)&lt;&gt;INDEX(Cal_Weeks[MonthYearLabel],91),'Grid_Stock'!CN19,CN19)+'Grid_Incoming'!CO19-'Grid_Requirement'!CO19</f>
        <v/>
      </c>
      <c r="CP19">
        <f>IF(INDEX(Cal_Weeks[MonthYearLabel],93)&lt;&gt;INDEX(Cal_Weeks[MonthYearLabel],92),'Grid_Stock'!CO19,CO19)+'Grid_Incoming'!CP19-'Grid_Requirement'!CP19</f>
        <v/>
      </c>
      <c r="CQ19">
        <f>IF(INDEX(Cal_Weeks[MonthYearLabel],94)&lt;&gt;INDEX(Cal_Weeks[MonthYearLabel],93),'Grid_Stock'!CP19,CP19)+'Grid_Incoming'!CQ19-'Grid_Requirement'!CQ19</f>
        <v/>
      </c>
      <c r="CR19">
        <f>IF(INDEX(Cal_Weeks[MonthYearLabel],95)&lt;&gt;INDEX(Cal_Weeks[MonthYearLabel],94),'Grid_Stock'!CQ19,CQ19)+'Grid_Incoming'!CR19-'Grid_Requirement'!CR19</f>
        <v/>
      </c>
      <c r="CS19">
        <f>IF(INDEX(Cal_Weeks[MonthYearLabel],96)&lt;&gt;INDEX(Cal_Weeks[MonthYearLabel],95),'Grid_Stock'!CR19,CR19)+'Grid_Incoming'!CS19-'Grid_Requirement'!CS19</f>
        <v/>
      </c>
      <c r="CT19">
        <f>IF(INDEX(Cal_Weeks[MonthYearLabel],97)&lt;&gt;INDEX(Cal_Weeks[MonthYearLabel],96),'Grid_Stock'!CS19,CS19)+'Grid_Incoming'!CT19-'Grid_Requirement'!CT19</f>
        <v/>
      </c>
      <c r="CU19">
        <f>IF(INDEX(Cal_Weeks[MonthYearLabel],98)&lt;&gt;INDEX(Cal_Weeks[MonthYearLabel],97),'Grid_Stock'!CT19,CT19)+'Grid_Incoming'!CU19-'Grid_Requirement'!CU19</f>
        <v/>
      </c>
      <c r="CV19">
        <f>IF(INDEX(Cal_Weeks[MonthYearLabel],99)&lt;&gt;INDEX(Cal_Weeks[MonthYearLabel],98),'Grid_Stock'!CU19,CU19)+'Grid_Incoming'!CV19-'Grid_Requirement'!CV19</f>
        <v/>
      </c>
      <c r="CW19">
        <f>IF(INDEX(Cal_Weeks[MonthYearLabel],100)&lt;&gt;INDEX(Cal_Weeks[MonthYearLabel],99),'Grid_Stock'!CV19,CV19)+'Grid_Incoming'!CW19-'Grid_Requirement'!CW19</f>
        <v/>
      </c>
      <c r="CX19">
        <f>IF(INDEX(Cal_Weeks[MonthYearLabel],101)&lt;&gt;INDEX(Cal_Weeks[MonthYearLabel],100),'Grid_Stock'!CW19,CW19)+'Grid_Incoming'!CX19-'Grid_Requirement'!CX19</f>
        <v/>
      </c>
      <c r="CY19">
        <f>IF(INDEX(Cal_Weeks[MonthYearLabel],102)&lt;&gt;INDEX(Cal_Weeks[MonthYearLabel],101),'Grid_Stock'!CX19,CX19)+'Grid_Incoming'!CY19-'Grid_Requirement'!CY19</f>
        <v/>
      </c>
      <c r="CZ19">
        <f>IF(INDEX(Cal_Weeks[MonthYearLabel],103)&lt;&gt;INDEX(Cal_Weeks[MonthYearLabel],102),'Grid_Stock'!CY19,CY19)+'Grid_Incoming'!CZ19-'Grid_Requirement'!CZ19</f>
        <v/>
      </c>
      <c r="DA19">
        <f>IF(INDEX(Cal_Weeks[MonthYearLabel],104)&lt;&gt;INDEX(Cal_Weeks[MonthYearLabel],103),'Grid_Stock'!CZ19,CZ19)+'Grid_Incoming'!DA19-'Grid_Requirement'!DA19</f>
        <v/>
      </c>
    </row>
    <row r="20">
      <c r="A20" t="inlineStr">
        <is>
          <t>73K</t>
        </is>
      </c>
      <c r="B20">
        <f>IFERROR(INDEX(T_OpeningStock[Opening_Qty_要入力],MATCH($A20,T_OpeningStock[Part Name],0)),0)+'Grid_Incoming'!B20-'Grid_Requirement'!B20</f>
        <v/>
      </c>
      <c r="C20">
        <f>IF(INDEX(Cal_Weeks[MonthYearLabel],2)&lt;&gt;INDEX(Cal_Weeks[MonthYearLabel],1),'Grid_Stock'!B20,B20)+'Grid_Incoming'!C20-'Grid_Requirement'!C20</f>
        <v/>
      </c>
      <c r="D20">
        <f>IF(INDEX(Cal_Weeks[MonthYearLabel],3)&lt;&gt;INDEX(Cal_Weeks[MonthYearLabel],2),'Grid_Stock'!C20,C20)+'Grid_Incoming'!D20-'Grid_Requirement'!D20</f>
        <v/>
      </c>
      <c r="E20">
        <f>IF(INDEX(Cal_Weeks[MonthYearLabel],4)&lt;&gt;INDEX(Cal_Weeks[MonthYearLabel],3),'Grid_Stock'!D20,D20)+'Grid_Incoming'!E20-'Grid_Requirement'!E20</f>
        <v/>
      </c>
      <c r="F20">
        <f>IF(INDEX(Cal_Weeks[MonthYearLabel],5)&lt;&gt;INDEX(Cal_Weeks[MonthYearLabel],4),'Grid_Stock'!E20,E20)+'Grid_Incoming'!F20-'Grid_Requirement'!F20</f>
        <v/>
      </c>
      <c r="G20">
        <f>IF(INDEX(Cal_Weeks[MonthYearLabel],6)&lt;&gt;INDEX(Cal_Weeks[MonthYearLabel],5),'Grid_Stock'!F20,F20)+'Grid_Incoming'!G20-'Grid_Requirement'!G20</f>
        <v/>
      </c>
      <c r="H20">
        <f>IF(INDEX(Cal_Weeks[MonthYearLabel],7)&lt;&gt;INDEX(Cal_Weeks[MonthYearLabel],6),'Grid_Stock'!G20,G20)+'Grid_Incoming'!H20-'Grid_Requirement'!H20</f>
        <v/>
      </c>
      <c r="I20">
        <f>IF(INDEX(Cal_Weeks[MonthYearLabel],8)&lt;&gt;INDEX(Cal_Weeks[MonthYearLabel],7),'Grid_Stock'!H20,H20)+'Grid_Incoming'!I20-'Grid_Requirement'!I20</f>
        <v/>
      </c>
      <c r="J20">
        <f>IF(INDEX(Cal_Weeks[MonthYearLabel],9)&lt;&gt;INDEX(Cal_Weeks[MonthYearLabel],8),'Grid_Stock'!I20,I20)+'Grid_Incoming'!J20-'Grid_Requirement'!J20</f>
        <v/>
      </c>
      <c r="K20">
        <f>IF(INDEX(Cal_Weeks[MonthYearLabel],10)&lt;&gt;INDEX(Cal_Weeks[MonthYearLabel],9),'Grid_Stock'!J20,J20)+'Grid_Incoming'!K20-'Grid_Requirement'!K20</f>
        <v/>
      </c>
      <c r="L20">
        <f>IF(INDEX(Cal_Weeks[MonthYearLabel],11)&lt;&gt;INDEX(Cal_Weeks[MonthYearLabel],10),'Grid_Stock'!K20,K20)+'Grid_Incoming'!L20-'Grid_Requirement'!L20</f>
        <v/>
      </c>
      <c r="M20">
        <f>IF(INDEX(Cal_Weeks[MonthYearLabel],12)&lt;&gt;INDEX(Cal_Weeks[MonthYearLabel],11),'Grid_Stock'!L20,L20)+'Grid_Incoming'!M20-'Grid_Requirement'!M20</f>
        <v/>
      </c>
      <c r="N20">
        <f>IF(INDEX(Cal_Weeks[MonthYearLabel],13)&lt;&gt;INDEX(Cal_Weeks[MonthYearLabel],12),'Grid_Stock'!M20,M20)+'Grid_Incoming'!N20-'Grid_Requirement'!N20</f>
        <v/>
      </c>
      <c r="O20">
        <f>IF(INDEX(Cal_Weeks[MonthYearLabel],14)&lt;&gt;INDEX(Cal_Weeks[MonthYearLabel],13),'Grid_Stock'!N20,N20)+'Grid_Incoming'!O20-'Grid_Requirement'!O20</f>
        <v/>
      </c>
      <c r="P20">
        <f>IF(INDEX(Cal_Weeks[MonthYearLabel],15)&lt;&gt;INDEX(Cal_Weeks[MonthYearLabel],14),'Grid_Stock'!O20,O20)+'Grid_Incoming'!P20-'Grid_Requirement'!P20</f>
        <v/>
      </c>
      <c r="Q20">
        <f>IF(INDEX(Cal_Weeks[MonthYearLabel],16)&lt;&gt;INDEX(Cal_Weeks[MonthYearLabel],15),'Grid_Stock'!P20,P20)+'Grid_Incoming'!Q20-'Grid_Requirement'!Q20</f>
        <v/>
      </c>
      <c r="R20">
        <f>IF(INDEX(Cal_Weeks[MonthYearLabel],17)&lt;&gt;INDEX(Cal_Weeks[MonthYearLabel],16),'Grid_Stock'!Q20,Q20)+'Grid_Incoming'!R20-'Grid_Requirement'!R20</f>
        <v/>
      </c>
      <c r="S20">
        <f>IF(INDEX(Cal_Weeks[MonthYearLabel],18)&lt;&gt;INDEX(Cal_Weeks[MonthYearLabel],17),'Grid_Stock'!R20,R20)+'Grid_Incoming'!S20-'Grid_Requirement'!S20</f>
        <v/>
      </c>
      <c r="T20">
        <f>IF(INDEX(Cal_Weeks[MonthYearLabel],19)&lt;&gt;INDEX(Cal_Weeks[MonthYearLabel],18),'Grid_Stock'!S20,S20)+'Grid_Incoming'!T20-'Grid_Requirement'!T20</f>
        <v/>
      </c>
      <c r="U20">
        <f>IF(INDEX(Cal_Weeks[MonthYearLabel],20)&lt;&gt;INDEX(Cal_Weeks[MonthYearLabel],19),'Grid_Stock'!T20,T20)+'Grid_Incoming'!U20-'Grid_Requirement'!U20</f>
        <v/>
      </c>
      <c r="V20">
        <f>IF(INDEX(Cal_Weeks[MonthYearLabel],21)&lt;&gt;INDEX(Cal_Weeks[MonthYearLabel],20),'Grid_Stock'!U20,U20)+'Grid_Incoming'!V20-'Grid_Requirement'!V20</f>
        <v/>
      </c>
      <c r="W20">
        <f>IF(INDEX(Cal_Weeks[MonthYearLabel],22)&lt;&gt;INDEX(Cal_Weeks[MonthYearLabel],21),'Grid_Stock'!V20,V20)+'Grid_Incoming'!W20-'Grid_Requirement'!W20</f>
        <v/>
      </c>
      <c r="X20">
        <f>IF(INDEX(Cal_Weeks[MonthYearLabel],23)&lt;&gt;INDEX(Cal_Weeks[MonthYearLabel],22),'Grid_Stock'!W20,W20)+'Grid_Incoming'!X20-'Grid_Requirement'!X20</f>
        <v/>
      </c>
      <c r="Y20">
        <f>IF(INDEX(Cal_Weeks[MonthYearLabel],24)&lt;&gt;INDEX(Cal_Weeks[MonthYearLabel],23),'Grid_Stock'!X20,X20)+'Grid_Incoming'!Y20-'Grid_Requirement'!Y20</f>
        <v/>
      </c>
      <c r="Z20">
        <f>IF(INDEX(Cal_Weeks[MonthYearLabel],25)&lt;&gt;INDEX(Cal_Weeks[MonthYearLabel],24),'Grid_Stock'!Y20,Y20)+'Grid_Incoming'!Z20-'Grid_Requirement'!Z20</f>
        <v/>
      </c>
      <c r="AA20">
        <f>IF(INDEX(Cal_Weeks[MonthYearLabel],26)&lt;&gt;INDEX(Cal_Weeks[MonthYearLabel],25),'Grid_Stock'!Z20,Z20)+'Grid_Incoming'!AA20-'Grid_Requirement'!AA20</f>
        <v/>
      </c>
      <c r="AB20">
        <f>IF(INDEX(Cal_Weeks[MonthYearLabel],27)&lt;&gt;INDEX(Cal_Weeks[MonthYearLabel],26),'Grid_Stock'!AA20,AA20)+'Grid_Incoming'!AB20-'Grid_Requirement'!AB20</f>
        <v/>
      </c>
      <c r="AC20">
        <f>IF(INDEX(Cal_Weeks[MonthYearLabel],28)&lt;&gt;INDEX(Cal_Weeks[MonthYearLabel],27),'Grid_Stock'!AB20,AB20)+'Grid_Incoming'!AC20-'Grid_Requirement'!AC20</f>
        <v/>
      </c>
      <c r="AD20">
        <f>IF(INDEX(Cal_Weeks[MonthYearLabel],29)&lt;&gt;INDEX(Cal_Weeks[MonthYearLabel],28),'Grid_Stock'!AC20,AC20)+'Grid_Incoming'!AD20-'Grid_Requirement'!AD20</f>
        <v/>
      </c>
      <c r="AE20">
        <f>IF(INDEX(Cal_Weeks[MonthYearLabel],30)&lt;&gt;INDEX(Cal_Weeks[MonthYearLabel],29),'Grid_Stock'!AD20,AD20)+'Grid_Incoming'!AE20-'Grid_Requirement'!AE20</f>
        <v/>
      </c>
      <c r="AF20">
        <f>IF(INDEX(Cal_Weeks[MonthYearLabel],31)&lt;&gt;INDEX(Cal_Weeks[MonthYearLabel],30),'Grid_Stock'!AE20,AE20)+'Grid_Incoming'!AF20-'Grid_Requirement'!AF20</f>
        <v/>
      </c>
      <c r="AG20">
        <f>IF(INDEX(Cal_Weeks[MonthYearLabel],32)&lt;&gt;INDEX(Cal_Weeks[MonthYearLabel],31),'Grid_Stock'!AF20,AF20)+'Grid_Incoming'!AG20-'Grid_Requirement'!AG20</f>
        <v/>
      </c>
      <c r="AH20">
        <f>IF(INDEX(Cal_Weeks[MonthYearLabel],33)&lt;&gt;INDEX(Cal_Weeks[MonthYearLabel],32),'Grid_Stock'!AG20,AG20)+'Grid_Incoming'!AH20-'Grid_Requirement'!AH20</f>
        <v/>
      </c>
      <c r="AI20">
        <f>IF(INDEX(Cal_Weeks[MonthYearLabel],34)&lt;&gt;INDEX(Cal_Weeks[MonthYearLabel],33),'Grid_Stock'!AH20,AH20)+'Grid_Incoming'!AI20-'Grid_Requirement'!AI20</f>
        <v/>
      </c>
      <c r="AJ20">
        <f>IF(INDEX(Cal_Weeks[MonthYearLabel],35)&lt;&gt;INDEX(Cal_Weeks[MonthYearLabel],34),'Grid_Stock'!AI20,AI20)+'Grid_Incoming'!AJ20-'Grid_Requirement'!AJ20</f>
        <v/>
      </c>
      <c r="AK20">
        <f>IF(INDEX(Cal_Weeks[MonthYearLabel],36)&lt;&gt;INDEX(Cal_Weeks[MonthYearLabel],35),'Grid_Stock'!AJ20,AJ20)+'Grid_Incoming'!AK20-'Grid_Requirement'!AK20</f>
        <v/>
      </c>
      <c r="AL20">
        <f>IF(INDEX(Cal_Weeks[MonthYearLabel],37)&lt;&gt;INDEX(Cal_Weeks[MonthYearLabel],36),'Grid_Stock'!AK20,AK20)+'Grid_Incoming'!AL20-'Grid_Requirement'!AL20</f>
        <v/>
      </c>
      <c r="AM20">
        <f>IF(INDEX(Cal_Weeks[MonthYearLabel],38)&lt;&gt;INDEX(Cal_Weeks[MonthYearLabel],37),'Grid_Stock'!AL20,AL20)+'Grid_Incoming'!AM20-'Grid_Requirement'!AM20</f>
        <v/>
      </c>
      <c r="AN20">
        <f>IF(INDEX(Cal_Weeks[MonthYearLabel],39)&lt;&gt;INDEX(Cal_Weeks[MonthYearLabel],38),'Grid_Stock'!AM20,AM20)+'Grid_Incoming'!AN20-'Grid_Requirement'!AN20</f>
        <v/>
      </c>
      <c r="AO20">
        <f>IF(INDEX(Cal_Weeks[MonthYearLabel],40)&lt;&gt;INDEX(Cal_Weeks[MonthYearLabel],39),'Grid_Stock'!AN20,AN20)+'Grid_Incoming'!AO20-'Grid_Requirement'!AO20</f>
        <v/>
      </c>
      <c r="AP20">
        <f>IF(INDEX(Cal_Weeks[MonthYearLabel],41)&lt;&gt;INDEX(Cal_Weeks[MonthYearLabel],40),'Grid_Stock'!AO20,AO20)+'Grid_Incoming'!AP20-'Grid_Requirement'!AP20</f>
        <v/>
      </c>
      <c r="AQ20">
        <f>IF(INDEX(Cal_Weeks[MonthYearLabel],42)&lt;&gt;INDEX(Cal_Weeks[MonthYearLabel],41),'Grid_Stock'!AP20,AP20)+'Grid_Incoming'!AQ20-'Grid_Requirement'!AQ20</f>
        <v/>
      </c>
      <c r="AR20">
        <f>IF(INDEX(Cal_Weeks[MonthYearLabel],43)&lt;&gt;INDEX(Cal_Weeks[MonthYearLabel],42),'Grid_Stock'!AQ20,AQ20)+'Grid_Incoming'!AR20-'Grid_Requirement'!AR20</f>
        <v/>
      </c>
      <c r="AS20">
        <f>IF(INDEX(Cal_Weeks[MonthYearLabel],44)&lt;&gt;INDEX(Cal_Weeks[MonthYearLabel],43),'Grid_Stock'!AR20,AR20)+'Grid_Incoming'!AS20-'Grid_Requirement'!AS20</f>
        <v/>
      </c>
      <c r="AT20">
        <f>IF(INDEX(Cal_Weeks[MonthYearLabel],45)&lt;&gt;INDEX(Cal_Weeks[MonthYearLabel],44),'Grid_Stock'!AS20,AS20)+'Grid_Incoming'!AT20-'Grid_Requirement'!AT20</f>
        <v/>
      </c>
      <c r="AU20">
        <f>IF(INDEX(Cal_Weeks[MonthYearLabel],46)&lt;&gt;INDEX(Cal_Weeks[MonthYearLabel],45),'Grid_Stock'!AT20,AT20)+'Grid_Incoming'!AU20-'Grid_Requirement'!AU20</f>
        <v/>
      </c>
      <c r="AV20">
        <f>IF(INDEX(Cal_Weeks[MonthYearLabel],47)&lt;&gt;INDEX(Cal_Weeks[MonthYearLabel],46),'Grid_Stock'!AU20,AU20)+'Grid_Incoming'!AV20-'Grid_Requirement'!AV20</f>
        <v/>
      </c>
      <c r="AW20">
        <f>IF(INDEX(Cal_Weeks[MonthYearLabel],48)&lt;&gt;INDEX(Cal_Weeks[MonthYearLabel],47),'Grid_Stock'!AV20,AV20)+'Grid_Incoming'!AW20-'Grid_Requirement'!AW20</f>
        <v/>
      </c>
      <c r="AX20">
        <f>IF(INDEX(Cal_Weeks[MonthYearLabel],49)&lt;&gt;INDEX(Cal_Weeks[MonthYearLabel],48),'Grid_Stock'!AW20,AW20)+'Grid_Incoming'!AX20-'Grid_Requirement'!AX20</f>
        <v/>
      </c>
      <c r="AY20">
        <f>IF(INDEX(Cal_Weeks[MonthYearLabel],50)&lt;&gt;INDEX(Cal_Weeks[MonthYearLabel],49),'Grid_Stock'!AX20,AX20)+'Grid_Incoming'!AY20-'Grid_Requirement'!AY20</f>
        <v/>
      </c>
      <c r="AZ20">
        <f>IF(INDEX(Cal_Weeks[MonthYearLabel],51)&lt;&gt;INDEX(Cal_Weeks[MonthYearLabel],50),'Grid_Stock'!AY20,AY20)+'Grid_Incoming'!AZ20-'Grid_Requirement'!AZ20</f>
        <v/>
      </c>
      <c r="BA20">
        <f>IF(INDEX(Cal_Weeks[MonthYearLabel],52)&lt;&gt;INDEX(Cal_Weeks[MonthYearLabel],51),'Grid_Stock'!AZ20,AZ20)+'Grid_Incoming'!BA20-'Grid_Requirement'!BA20</f>
        <v/>
      </c>
      <c r="BB20">
        <f>IF(INDEX(Cal_Weeks[MonthYearLabel],53)&lt;&gt;INDEX(Cal_Weeks[MonthYearLabel],52),'Grid_Stock'!BA20,BA20)+'Grid_Incoming'!BB20-'Grid_Requirement'!BB20</f>
        <v/>
      </c>
      <c r="BC20">
        <f>IF(INDEX(Cal_Weeks[MonthYearLabel],54)&lt;&gt;INDEX(Cal_Weeks[MonthYearLabel],53),'Grid_Stock'!BB20,BB20)+'Grid_Incoming'!BC20-'Grid_Requirement'!BC20</f>
        <v/>
      </c>
      <c r="BD20">
        <f>IF(INDEX(Cal_Weeks[MonthYearLabel],55)&lt;&gt;INDEX(Cal_Weeks[MonthYearLabel],54),'Grid_Stock'!BC20,BC20)+'Grid_Incoming'!BD20-'Grid_Requirement'!BD20</f>
        <v/>
      </c>
      <c r="BE20">
        <f>IF(INDEX(Cal_Weeks[MonthYearLabel],56)&lt;&gt;INDEX(Cal_Weeks[MonthYearLabel],55),'Grid_Stock'!BD20,BD20)+'Grid_Incoming'!BE20-'Grid_Requirement'!BE20</f>
        <v/>
      </c>
      <c r="BF20">
        <f>IF(INDEX(Cal_Weeks[MonthYearLabel],57)&lt;&gt;INDEX(Cal_Weeks[MonthYearLabel],56),'Grid_Stock'!BE20,BE20)+'Grid_Incoming'!BF20-'Grid_Requirement'!BF20</f>
        <v/>
      </c>
      <c r="BG20">
        <f>IF(INDEX(Cal_Weeks[MonthYearLabel],58)&lt;&gt;INDEX(Cal_Weeks[MonthYearLabel],57),'Grid_Stock'!BF20,BF20)+'Grid_Incoming'!BG20-'Grid_Requirement'!BG20</f>
        <v/>
      </c>
      <c r="BH20">
        <f>IF(INDEX(Cal_Weeks[MonthYearLabel],59)&lt;&gt;INDEX(Cal_Weeks[MonthYearLabel],58),'Grid_Stock'!BG20,BG20)+'Grid_Incoming'!BH20-'Grid_Requirement'!BH20</f>
        <v/>
      </c>
      <c r="BI20">
        <f>IF(INDEX(Cal_Weeks[MonthYearLabel],60)&lt;&gt;INDEX(Cal_Weeks[MonthYearLabel],59),'Grid_Stock'!BH20,BH20)+'Grid_Incoming'!BI20-'Grid_Requirement'!BI20</f>
        <v/>
      </c>
      <c r="BJ20">
        <f>IF(INDEX(Cal_Weeks[MonthYearLabel],61)&lt;&gt;INDEX(Cal_Weeks[MonthYearLabel],60),'Grid_Stock'!BI20,BI20)+'Grid_Incoming'!BJ20-'Grid_Requirement'!BJ20</f>
        <v/>
      </c>
      <c r="BK20">
        <f>IF(INDEX(Cal_Weeks[MonthYearLabel],62)&lt;&gt;INDEX(Cal_Weeks[MonthYearLabel],61),'Grid_Stock'!BJ20,BJ20)+'Grid_Incoming'!BK20-'Grid_Requirement'!BK20</f>
        <v/>
      </c>
      <c r="BL20">
        <f>IF(INDEX(Cal_Weeks[MonthYearLabel],63)&lt;&gt;INDEX(Cal_Weeks[MonthYearLabel],62),'Grid_Stock'!BK20,BK20)+'Grid_Incoming'!BL20-'Grid_Requirement'!BL20</f>
        <v/>
      </c>
      <c r="BM20">
        <f>IF(INDEX(Cal_Weeks[MonthYearLabel],64)&lt;&gt;INDEX(Cal_Weeks[MonthYearLabel],63),'Grid_Stock'!BL20,BL20)+'Grid_Incoming'!BM20-'Grid_Requirement'!BM20</f>
        <v/>
      </c>
      <c r="BN20">
        <f>IF(INDEX(Cal_Weeks[MonthYearLabel],65)&lt;&gt;INDEX(Cal_Weeks[MonthYearLabel],64),'Grid_Stock'!BM20,BM20)+'Grid_Incoming'!BN20-'Grid_Requirement'!BN20</f>
        <v/>
      </c>
      <c r="BO20">
        <f>IF(INDEX(Cal_Weeks[MonthYearLabel],66)&lt;&gt;INDEX(Cal_Weeks[MonthYearLabel],65),'Grid_Stock'!BN20,BN20)+'Grid_Incoming'!BO20-'Grid_Requirement'!BO20</f>
        <v/>
      </c>
      <c r="BP20">
        <f>IF(INDEX(Cal_Weeks[MonthYearLabel],67)&lt;&gt;INDEX(Cal_Weeks[MonthYearLabel],66),'Grid_Stock'!BO20,BO20)+'Grid_Incoming'!BP20-'Grid_Requirement'!BP20</f>
        <v/>
      </c>
      <c r="BQ20">
        <f>IF(INDEX(Cal_Weeks[MonthYearLabel],68)&lt;&gt;INDEX(Cal_Weeks[MonthYearLabel],67),'Grid_Stock'!BP20,BP20)+'Grid_Incoming'!BQ20-'Grid_Requirement'!BQ20</f>
        <v/>
      </c>
      <c r="BR20">
        <f>IF(INDEX(Cal_Weeks[MonthYearLabel],69)&lt;&gt;INDEX(Cal_Weeks[MonthYearLabel],68),'Grid_Stock'!BQ20,BQ20)+'Grid_Incoming'!BR20-'Grid_Requirement'!BR20</f>
        <v/>
      </c>
      <c r="BS20">
        <f>IF(INDEX(Cal_Weeks[MonthYearLabel],70)&lt;&gt;INDEX(Cal_Weeks[MonthYearLabel],69),'Grid_Stock'!BR20,BR20)+'Grid_Incoming'!BS20-'Grid_Requirement'!BS20</f>
        <v/>
      </c>
      <c r="BT20">
        <f>IF(INDEX(Cal_Weeks[MonthYearLabel],71)&lt;&gt;INDEX(Cal_Weeks[MonthYearLabel],70),'Grid_Stock'!BS20,BS20)+'Grid_Incoming'!BT20-'Grid_Requirement'!BT20</f>
        <v/>
      </c>
      <c r="BU20">
        <f>IF(INDEX(Cal_Weeks[MonthYearLabel],72)&lt;&gt;INDEX(Cal_Weeks[MonthYearLabel],71),'Grid_Stock'!BT20,BT20)+'Grid_Incoming'!BU20-'Grid_Requirement'!BU20</f>
        <v/>
      </c>
      <c r="BV20">
        <f>IF(INDEX(Cal_Weeks[MonthYearLabel],73)&lt;&gt;INDEX(Cal_Weeks[MonthYearLabel],72),'Grid_Stock'!BU20,BU20)+'Grid_Incoming'!BV20-'Grid_Requirement'!BV20</f>
        <v/>
      </c>
      <c r="BW20">
        <f>IF(INDEX(Cal_Weeks[MonthYearLabel],74)&lt;&gt;INDEX(Cal_Weeks[MonthYearLabel],73),'Grid_Stock'!BV20,BV20)+'Grid_Incoming'!BW20-'Grid_Requirement'!BW20</f>
        <v/>
      </c>
      <c r="BX20">
        <f>IF(INDEX(Cal_Weeks[MonthYearLabel],75)&lt;&gt;INDEX(Cal_Weeks[MonthYearLabel],74),'Grid_Stock'!BW20,BW20)+'Grid_Incoming'!BX20-'Grid_Requirement'!BX20</f>
        <v/>
      </c>
      <c r="BY20">
        <f>IF(INDEX(Cal_Weeks[MonthYearLabel],76)&lt;&gt;INDEX(Cal_Weeks[MonthYearLabel],75),'Grid_Stock'!BX20,BX20)+'Grid_Incoming'!BY20-'Grid_Requirement'!BY20</f>
        <v/>
      </c>
      <c r="BZ20">
        <f>IF(INDEX(Cal_Weeks[MonthYearLabel],77)&lt;&gt;INDEX(Cal_Weeks[MonthYearLabel],76),'Grid_Stock'!BY20,BY20)+'Grid_Incoming'!BZ20-'Grid_Requirement'!BZ20</f>
        <v/>
      </c>
      <c r="CA20">
        <f>IF(INDEX(Cal_Weeks[MonthYearLabel],78)&lt;&gt;INDEX(Cal_Weeks[MonthYearLabel],77),'Grid_Stock'!BZ20,BZ20)+'Grid_Incoming'!CA20-'Grid_Requirement'!CA20</f>
        <v/>
      </c>
      <c r="CB20">
        <f>IF(INDEX(Cal_Weeks[MonthYearLabel],79)&lt;&gt;INDEX(Cal_Weeks[MonthYearLabel],78),'Grid_Stock'!CA20,CA20)+'Grid_Incoming'!CB20-'Grid_Requirement'!CB20</f>
        <v/>
      </c>
      <c r="CC20">
        <f>IF(INDEX(Cal_Weeks[MonthYearLabel],80)&lt;&gt;INDEX(Cal_Weeks[MonthYearLabel],79),'Grid_Stock'!CB20,CB20)+'Grid_Incoming'!CC20-'Grid_Requirement'!CC20</f>
        <v/>
      </c>
      <c r="CD20">
        <f>IF(INDEX(Cal_Weeks[MonthYearLabel],81)&lt;&gt;INDEX(Cal_Weeks[MonthYearLabel],80),'Grid_Stock'!CC20,CC20)+'Grid_Incoming'!CD20-'Grid_Requirement'!CD20</f>
        <v/>
      </c>
      <c r="CE20">
        <f>IF(INDEX(Cal_Weeks[MonthYearLabel],82)&lt;&gt;INDEX(Cal_Weeks[MonthYearLabel],81),'Grid_Stock'!CD20,CD20)+'Grid_Incoming'!CE20-'Grid_Requirement'!CE20</f>
        <v/>
      </c>
      <c r="CF20">
        <f>IF(INDEX(Cal_Weeks[MonthYearLabel],83)&lt;&gt;INDEX(Cal_Weeks[MonthYearLabel],82),'Grid_Stock'!CE20,CE20)+'Grid_Incoming'!CF20-'Grid_Requirement'!CF20</f>
        <v/>
      </c>
      <c r="CG20">
        <f>IF(INDEX(Cal_Weeks[MonthYearLabel],84)&lt;&gt;INDEX(Cal_Weeks[MonthYearLabel],83),'Grid_Stock'!CF20,CF20)+'Grid_Incoming'!CG20-'Grid_Requirement'!CG20</f>
        <v/>
      </c>
      <c r="CH20">
        <f>IF(INDEX(Cal_Weeks[MonthYearLabel],85)&lt;&gt;INDEX(Cal_Weeks[MonthYearLabel],84),'Grid_Stock'!CG20,CG20)+'Grid_Incoming'!CH20-'Grid_Requirement'!CH20</f>
        <v/>
      </c>
      <c r="CI20">
        <f>IF(INDEX(Cal_Weeks[MonthYearLabel],86)&lt;&gt;INDEX(Cal_Weeks[MonthYearLabel],85),'Grid_Stock'!CH20,CH20)+'Grid_Incoming'!CI20-'Grid_Requirement'!CI20</f>
        <v/>
      </c>
      <c r="CJ20">
        <f>IF(INDEX(Cal_Weeks[MonthYearLabel],87)&lt;&gt;INDEX(Cal_Weeks[MonthYearLabel],86),'Grid_Stock'!CI20,CI20)+'Grid_Incoming'!CJ20-'Grid_Requirement'!CJ20</f>
        <v/>
      </c>
      <c r="CK20">
        <f>IF(INDEX(Cal_Weeks[MonthYearLabel],88)&lt;&gt;INDEX(Cal_Weeks[MonthYearLabel],87),'Grid_Stock'!CJ20,CJ20)+'Grid_Incoming'!CK20-'Grid_Requirement'!CK20</f>
        <v/>
      </c>
      <c r="CL20">
        <f>IF(INDEX(Cal_Weeks[MonthYearLabel],89)&lt;&gt;INDEX(Cal_Weeks[MonthYearLabel],88),'Grid_Stock'!CK20,CK20)+'Grid_Incoming'!CL20-'Grid_Requirement'!CL20</f>
        <v/>
      </c>
      <c r="CM20">
        <f>IF(INDEX(Cal_Weeks[MonthYearLabel],90)&lt;&gt;INDEX(Cal_Weeks[MonthYearLabel],89),'Grid_Stock'!CL20,CL20)+'Grid_Incoming'!CM20-'Grid_Requirement'!CM20</f>
        <v/>
      </c>
      <c r="CN20">
        <f>IF(INDEX(Cal_Weeks[MonthYearLabel],91)&lt;&gt;INDEX(Cal_Weeks[MonthYearLabel],90),'Grid_Stock'!CM20,CM20)+'Grid_Incoming'!CN20-'Grid_Requirement'!CN20</f>
        <v/>
      </c>
      <c r="CO20">
        <f>IF(INDEX(Cal_Weeks[MonthYearLabel],92)&lt;&gt;INDEX(Cal_Weeks[MonthYearLabel],91),'Grid_Stock'!CN20,CN20)+'Grid_Incoming'!CO20-'Grid_Requirement'!CO20</f>
        <v/>
      </c>
      <c r="CP20">
        <f>IF(INDEX(Cal_Weeks[MonthYearLabel],93)&lt;&gt;INDEX(Cal_Weeks[MonthYearLabel],92),'Grid_Stock'!CO20,CO20)+'Grid_Incoming'!CP20-'Grid_Requirement'!CP20</f>
        <v/>
      </c>
      <c r="CQ20">
        <f>IF(INDEX(Cal_Weeks[MonthYearLabel],94)&lt;&gt;INDEX(Cal_Weeks[MonthYearLabel],93),'Grid_Stock'!CP20,CP20)+'Grid_Incoming'!CQ20-'Grid_Requirement'!CQ20</f>
        <v/>
      </c>
      <c r="CR20">
        <f>IF(INDEX(Cal_Weeks[MonthYearLabel],95)&lt;&gt;INDEX(Cal_Weeks[MonthYearLabel],94),'Grid_Stock'!CQ20,CQ20)+'Grid_Incoming'!CR20-'Grid_Requirement'!CR20</f>
        <v/>
      </c>
      <c r="CS20">
        <f>IF(INDEX(Cal_Weeks[MonthYearLabel],96)&lt;&gt;INDEX(Cal_Weeks[MonthYearLabel],95),'Grid_Stock'!CR20,CR20)+'Grid_Incoming'!CS20-'Grid_Requirement'!CS20</f>
        <v/>
      </c>
      <c r="CT20">
        <f>IF(INDEX(Cal_Weeks[MonthYearLabel],97)&lt;&gt;INDEX(Cal_Weeks[MonthYearLabel],96),'Grid_Stock'!CS20,CS20)+'Grid_Incoming'!CT20-'Grid_Requirement'!CT20</f>
        <v/>
      </c>
      <c r="CU20">
        <f>IF(INDEX(Cal_Weeks[MonthYearLabel],98)&lt;&gt;INDEX(Cal_Weeks[MonthYearLabel],97),'Grid_Stock'!CT20,CT20)+'Grid_Incoming'!CU20-'Grid_Requirement'!CU20</f>
        <v/>
      </c>
      <c r="CV20">
        <f>IF(INDEX(Cal_Weeks[MonthYearLabel],99)&lt;&gt;INDEX(Cal_Weeks[MonthYearLabel],98),'Grid_Stock'!CU20,CU20)+'Grid_Incoming'!CV20-'Grid_Requirement'!CV20</f>
        <v/>
      </c>
      <c r="CW20">
        <f>IF(INDEX(Cal_Weeks[MonthYearLabel],100)&lt;&gt;INDEX(Cal_Weeks[MonthYearLabel],99),'Grid_Stock'!CV20,CV20)+'Grid_Incoming'!CW20-'Grid_Requirement'!CW20</f>
        <v/>
      </c>
      <c r="CX20">
        <f>IF(INDEX(Cal_Weeks[MonthYearLabel],101)&lt;&gt;INDEX(Cal_Weeks[MonthYearLabel],100),'Grid_Stock'!CW20,CW20)+'Grid_Incoming'!CX20-'Grid_Requirement'!CX20</f>
        <v/>
      </c>
      <c r="CY20">
        <f>IF(INDEX(Cal_Weeks[MonthYearLabel],102)&lt;&gt;INDEX(Cal_Weeks[MonthYearLabel],101),'Grid_Stock'!CX20,CX20)+'Grid_Incoming'!CY20-'Grid_Requirement'!CY20</f>
        <v/>
      </c>
      <c r="CZ20">
        <f>IF(INDEX(Cal_Weeks[MonthYearLabel],103)&lt;&gt;INDEX(Cal_Weeks[MonthYearLabel],102),'Grid_Stock'!CY20,CY20)+'Grid_Incoming'!CZ20-'Grid_Requirement'!CZ20</f>
        <v/>
      </c>
      <c r="DA20">
        <f>IF(INDEX(Cal_Weeks[MonthYearLabel],104)&lt;&gt;INDEX(Cal_Weeks[MonthYearLabel],103),'Grid_Stock'!CZ20,CZ20)+'Grid_Incoming'!DA20-'Grid_Requirement'!DA20</f>
        <v/>
      </c>
    </row>
    <row r="21">
      <c r="A21" t="inlineStr">
        <is>
          <t>1JN</t>
        </is>
      </c>
      <c r="B21">
        <f>IFERROR(INDEX(T_OpeningStock[Opening_Qty_要入力],MATCH($A21,T_OpeningStock[Part Name],0)),0)+'Grid_Incoming'!B21-'Grid_Requirement'!B21</f>
        <v/>
      </c>
      <c r="C21">
        <f>IF(INDEX(Cal_Weeks[MonthYearLabel],2)&lt;&gt;INDEX(Cal_Weeks[MonthYearLabel],1),'Grid_Stock'!B21,B21)+'Grid_Incoming'!C21-'Grid_Requirement'!C21</f>
        <v/>
      </c>
      <c r="D21">
        <f>IF(INDEX(Cal_Weeks[MonthYearLabel],3)&lt;&gt;INDEX(Cal_Weeks[MonthYearLabel],2),'Grid_Stock'!C21,C21)+'Grid_Incoming'!D21-'Grid_Requirement'!D21</f>
        <v/>
      </c>
      <c r="E21">
        <f>IF(INDEX(Cal_Weeks[MonthYearLabel],4)&lt;&gt;INDEX(Cal_Weeks[MonthYearLabel],3),'Grid_Stock'!D21,D21)+'Grid_Incoming'!E21-'Grid_Requirement'!E21</f>
        <v/>
      </c>
      <c r="F21">
        <f>IF(INDEX(Cal_Weeks[MonthYearLabel],5)&lt;&gt;INDEX(Cal_Weeks[MonthYearLabel],4),'Grid_Stock'!E21,E21)+'Grid_Incoming'!F21-'Grid_Requirement'!F21</f>
        <v/>
      </c>
      <c r="G21">
        <f>IF(INDEX(Cal_Weeks[MonthYearLabel],6)&lt;&gt;INDEX(Cal_Weeks[MonthYearLabel],5),'Grid_Stock'!F21,F21)+'Grid_Incoming'!G21-'Grid_Requirement'!G21</f>
        <v/>
      </c>
      <c r="H21">
        <f>IF(INDEX(Cal_Weeks[MonthYearLabel],7)&lt;&gt;INDEX(Cal_Weeks[MonthYearLabel],6),'Grid_Stock'!G21,G21)+'Grid_Incoming'!H21-'Grid_Requirement'!H21</f>
        <v/>
      </c>
      <c r="I21">
        <f>IF(INDEX(Cal_Weeks[MonthYearLabel],8)&lt;&gt;INDEX(Cal_Weeks[MonthYearLabel],7),'Grid_Stock'!H21,H21)+'Grid_Incoming'!I21-'Grid_Requirement'!I21</f>
        <v/>
      </c>
      <c r="J21">
        <f>IF(INDEX(Cal_Weeks[MonthYearLabel],9)&lt;&gt;INDEX(Cal_Weeks[MonthYearLabel],8),'Grid_Stock'!I21,I21)+'Grid_Incoming'!J21-'Grid_Requirement'!J21</f>
        <v/>
      </c>
      <c r="K21">
        <f>IF(INDEX(Cal_Weeks[MonthYearLabel],10)&lt;&gt;INDEX(Cal_Weeks[MonthYearLabel],9),'Grid_Stock'!J21,J21)+'Grid_Incoming'!K21-'Grid_Requirement'!K21</f>
        <v/>
      </c>
      <c r="L21">
        <f>IF(INDEX(Cal_Weeks[MonthYearLabel],11)&lt;&gt;INDEX(Cal_Weeks[MonthYearLabel],10),'Grid_Stock'!K21,K21)+'Grid_Incoming'!L21-'Grid_Requirement'!L21</f>
        <v/>
      </c>
      <c r="M21">
        <f>IF(INDEX(Cal_Weeks[MonthYearLabel],12)&lt;&gt;INDEX(Cal_Weeks[MonthYearLabel],11),'Grid_Stock'!L21,L21)+'Grid_Incoming'!M21-'Grid_Requirement'!M21</f>
        <v/>
      </c>
      <c r="N21">
        <f>IF(INDEX(Cal_Weeks[MonthYearLabel],13)&lt;&gt;INDEX(Cal_Weeks[MonthYearLabel],12),'Grid_Stock'!M21,M21)+'Grid_Incoming'!N21-'Grid_Requirement'!N21</f>
        <v/>
      </c>
      <c r="O21">
        <f>IF(INDEX(Cal_Weeks[MonthYearLabel],14)&lt;&gt;INDEX(Cal_Weeks[MonthYearLabel],13),'Grid_Stock'!N21,N21)+'Grid_Incoming'!O21-'Grid_Requirement'!O21</f>
        <v/>
      </c>
      <c r="P21">
        <f>IF(INDEX(Cal_Weeks[MonthYearLabel],15)&lt;&gt;INDEX(Cal_Weeks[MonthYearLabel],14),'Grid_Stock'!O21,O21)+'Grid_Incoming'!P21-'Grid_Requirement'!P21</f>
        <v/>
      </c>
      <c r="Q21">
        <f>IF(INDEX(Cal_Weeks[MonthYearLabel],16)&lt;&gt;INDEX(Cal_Weeks[MonthYearLabel],15),'Grid_Stock'!P21,P21)+'Grid_Incoming'!Q21-'Grid_Requirement'!Q21</f>
        <v/>
      </c>
      <c r="R21">
        <f>IF(INDEX(Cal_Weeks[MonthYearLabel],17)&lt;&gt;INDEX(Cal_Weeks[MonthYearLabel],16),'Grid_Stock'!Q21,Q21)+'Grid_Incoming'!R21-'Grid_Requirement'!R21</f>
        <v/>
      </c>
      <c r="S21">
        <f>IF(INDEX(Cal_Weeks[MonthYearLabel],18)&lt;&gt;INDEX(Cal_Weeks[MonthYearLabel],17),'Grid_Stock'!R21,R21)+'Grid_Incoming'!S21-'Grid_Requirement'!S21</f>
        <v/>
      </c>
      <c r="T21">
        <f>IF(INDEX(Cal_Weeks[MonthYearLabel],19)&lt;&gt;INDEX(Cal_Weeks[MonthYearLabel],18),'Grid_Stock'!S21,S21)+'Grid_Incoming'!T21-'Grid_Requirement'!T21</f>
        <v/>
      </c>
      <c r="U21">
        <f>IF(INDEX(Cal_Weeks[MonthYearLabel],20)&lt;&gt;INDEX(Cal_Weeks[MonthYearLabel],19),'Grid_Stock'!T21,T21)+'Grid_Incoming'!U21-'Grid_Requirement'!U21</f>
        <v/>
      </c>
      <c r="V21">
        <f>IF(INDEX(Cal_Weeks[MonthYearLabel],21)&lt;&gt;INDEX(Cal_Weeks[MonthYearLabel],20),'Grid_Stock'!U21,U21)+'Grid_Incoming'!V21-'Grid_Requirement'!V21</f>
        <v/>
      </c>
      <c r="W21">
        <f>IF(INDEX(Cal_Weeks[MonthYearLabel],22)&lt;&gt;INDEX(Cal_Weeks[MonthYearLabel],21),'Grid_Stock'!V21,V21)+'Grid_Incoming'!W21-'Grid_Requirement'!W21</f>
        <v/>
      </c>
      <c r="X21">
        <f>IF(INDEX(Cal_Weeks[MonthYearLabel],23)&lt;&gt;INDEX(Cal_Weeks[MonthYearLabel],22),'Grid_Stock'!W21,W21)+'Grid_Incoming'!X21-'Grid_Requirement'!X21</f>
        <v/>
      </c>
      <c r="Y21">
        <f>IF(INDEX(Cal_Weeks[MonthYearLabel],24)&lt;&gt;INDEX(Cal_Weeks[MonthYearLabel],23),'Grid_Stock'!X21,X21)+'Grid_Incoming'!Y21-'Grid_Requirement'!Y21</f>
        <v/>
      </c>
      <c r="Z21">
        <f>IF(INDEX(Cal_Weeks[MonthYearLabel],25)&lt;&gt;INDEX(Cal_Weeks[MonthYearLabel],24),'Grid_Stock'!Y21,Y21)+'Grid_Incoming'!Z21-'Grid_Requirement'!Z21</f>
        <v/>
      </c>
      <c r="AA21">
        <f>IF(INDEX(Cal_Weeks[MonthYearLabel],26)&lt;&gt;INDEX(Cal_Weeks[MonthYearLabel],25),'Grid_Stock'!Z21,Z21)+'Grid_Incoming'!AA21-'Grid_Requirement'!AA21</f>
        <v/>
      </c>
      <c r="AB21">
        <f>IF(INDEX(Cal_Weeks[MonthYearLabel],27)&lt;&gt;INDEX(Cal_Weeks[MonthYearLabel],26),'Grid_Stock'!AA21,AA21)+'Grid_Incoming'!AB21-'Grid_Requirement'!AB21</f>
        <v/>
      </c>
      <c r="AC21">
        <f>IF(INDEX(Cal_Weeks[MonthYearLabel],28)&lt;&gt;INDEX(Cal_Weeks[MonthYearLabel],27),'Grid_Stock'!AB21,AB21)+'Grid_Incoming'!AC21-'Grid_Requirement'!AC21</f>
        <v/>
      </c>
      <c r="AD21">
        <f>IF(INDEX(Cal_Weeks[MonthYearLabel],29)&lt;&gt;INDEX(Cal_Weeks[MonthYearLabel],28),'Grid_Stock'!AC21,AC21)+'Grid_Incoming'!AD21-'Grid_Requirement'!AD21</f>
        <v/>
      </c>
      <c r="AE21">
        <f>IF(INDEX(Cal_Weeks[MonthYearLabel],30)&lt;&gt;INDEX(Cal_Weeks[MonthYearLabel],29),'Grid_Stock'!AD21,AD21)+'Grid_Incoming'!AE21-'Grid_Requirement'!AE21</f>
        <v/>
      </c>
      <c r="AF21">
        <f>IF(INDEX(Cal_Weeks[MonthYearLabel],31)&lt;&gt;INDEX(Cal_Weeks[MonthYearLabel],30),'Grid_Stock'!AE21,AE21)+'Grid_Incoming'!AF21-'Grid_Requirement'!AF21</f>
        <v/>
      </c>
      <c r="AG21">
        <f>IF(INDEX(Cal_Weeks[MonthYearLabel],32)&lt;&gt;INDEX(Cal_Weeks[MonthYearLabel],31),'Grid_Stock'!AF21,AF21)+'Grid_Incoming'!AG21-'Grid_Requirement'!AG21</f>
        <v/>
      </c>
      <c r="AH21">
        <f>IF(INDEX(Cal_Weeks[MonthYearLabel],33)&lt;&gt;INDEX(Cal_Weeks[MonthYearLabel],32),'Grid_Stock'!AG21,AG21)+'Grid_Incoming'!AH21-'Grid_Requirement'!AH21</f>
        <v/>
      </c>
      <c r="AI21">
        <f>IF(INDEX(Cal_Weeks[MonthYearLabel],34)&lt;&gt;INDEX(Cal_Weeks[MonthYearLabel],33),'Grid_Stock'!AH21,AH21)+'Grid_Incoming'!AI21-'Grid_Requirement'!AI21</f>
        <v/>
      </c>
      <c r="AJ21">
        <f>IF(INDEX(Cal_Weeks[MonthYearLabel],35)&lt;&gt;INDEX(Cal_Weeks[MonthYearLabel],34),'Grid_Stock'!AI21,AI21)+'Grid_Incoming'!AJ21-'Grid_Requirement'!AJ21</f>
        <v/>
      </c>
      <c r="AK21">
        <f>IF(INDEX(Cal_Weeks[MonthYearLabel],36)&lt;&gt;INDEX(Cal_Weeks[MonthYearLabel],35),'Grid_Stock'!AJ21,AJ21)+'Grid_Incoming'!AK21-'Grid_Requirement'!AK21</f>
        <v/>
      </c>
      <c r="AL21">
        <f>IF(INDEX(Cal_Weeks[MonthYearLabel],37)&lt;&gt;INDEX(Cal_Weeks[MonthYearLabel],36),'Grid_Stock'!AK21,AK21)+'Grid_Incoming'!AL21-'Grid_Requirement'!AL21</f>
        <v/>
      </c>
      <c r="AM21">
        <f>IF(INDEX(Cal_Weeks[MonthYearLabel],38)&lt;&gt;INDEX(Cal_Weeks[MonthYearLabel],37),'Grid_Stock'!AL21,AL21)+'Grid_Incoming'!AM21-'Grid_Requirement'!AM21</f>
        <v/>
      </c>
      <c r="AN21">
        <f>IF(INDEX(Cal_Weeks[MonthYearLabel],39)&lt;&gt;INDEX(Cal_Weeks[MonthYearLabel],38),'Grid_Stock'!AM21,AM21)+'Grid_Incoming'!AN21-'Grid_Requirement'!AN21</f>
        <v/>
      </c>
      <c r="AO21">
        <f>IF(INDEX(Cal_Weeks[MonthYearLabel],40)&lt;&gt;INDEX(Cal_Weeks[MonthYearLabel],39),'Grid_Stock'!AN21,AN21)+'Grid_Incoming'!AO21-'Grid_Requirement'!AO21</f>
        <v/>
      </c>
      <c r="AP21">
        <f>IF(INDEX(Cal_Weeks[MonthYearLabel],41)&lt;&gt;INDEX(Cal_Weeks[MonthYearLabel],40),'Grid_Stock'!AO21,AO21)+'Grid_Incoming'!AP21-'Grid_Requirement'!AP21</f>
        <v/>
      </c>
      <c r="AQ21">
        <f>IF(INDEX(Cal_Weeks[MonthYearLabel],42)&lt;&gt;INDEX(Cal_Weeks[MonthYearLabel],41),'Grid_Stock'!AP21,AP21)+'Grid_Incoming'!AQ21-'Grid_Requirement'!AQ21</f>
        <v/>
      </c>
      <c r="AR21">
        <f>IF(INDEX(Cal_Weeks[MonthYearLabel],43)&lt;&gt;INDEX(Cal_Weeks[MonthYearLabel],42),'Grid_Stock'!AQ21,AQ21)+'Grid_Incoming'!AR21-'Grid_Requirement'!AR21</f>
        <v/>
      </c>
      <c r="AS21">
        <f>IF(INDEX(Cal_Weeks[MonthYearLabel],44)&lt;&gt;INDEX(Cal_Weeks[MonthYearLabel],43),'Grid_Stock'!AR21,AR21)+'Grid_Incoming'!AS21-'Grid_Requirement'!AS21</f>
        <v/>
      </c>
      <c r="AT21">
        <f>IF(INDEX(Cal_Weeks[MonthYearLabel],45)&lt;&gt;INDEX(Cal_Weeks[MonthYearLabel],44),'Grid_Stock'!AS21,AS21)+'Grid_Incoming'!AT21-'Grid_Requirement'!AT21</f>
        <v/>
      </c>
      <c r="AU21">
        <f>IF(INDEX(Cal_Weeks[MonthYearLabel],46)&lt;&gt;INDEX(Cal_Weeks[MonthYearLabel],45),'Grid_Stock'!AT21,AT21)+'Grid_Incoming'!AU21-'Grid_Requirement'!AU21</f>
        <v/>
      </c>
      <c r="AV21">
        <f>IF(INDEX(Cal_Weeks[MonthYearLabel],47)&lt;&gt;INDEX(Cal_Weeks[MonthYearLabel],46),'Grid_Stock'!AU21,AU21)+'Grid_Incoming'!AV21-'Grid_Requirement'!AV21</f>
        <v/>
      </c>
      <c r="AW21">
        <f>IF(INDEX(Cal_Weeks[MonthYearLabel],48)&lt;&gt;INDEX(Cal_Weeks[MonthYearLabel],47),'Grid_Stock'!AV21,AV21)+'Grid_Incoming'!AW21-'Grid_Requirement'!AW21</f>
        <v/>
      </c>
      <c r="AX21">
        <f>IF(INDEX(Cal_Weeks[MonthYearLabel],49)&lt;&gt;INDEX(Cal_Weeks[MonthYearLabel],48),'Grid_Stock'!AW21,AW21)+'Grid_Incoming'!AX21-'Grid_Requirement'!AX21</f>
        <v/>
      </c>
      <c r="AY21">
        <f>IF(INDEX(Cal_Weeks[MonthYearLabel],50)&lt;&gt;INDEX(Cal_Weeks[MonthYearLabel],49),'Grid_Stock'!AX21,AX21)+'Grid_Incoming'!AY21-'Grid_Requirement'!AY21</f>
        <v/>
      </c>
      <c r="AZ21">
        <f>IF(INDEX(Cal_Weeks[MonthYearLabel],51)&lt;&gt;INDEX(Cal_Weeks[MonthYearLabel],50),'Grid_Stock'!AY21,AY21)+'Grid_Incoming'!AZ21-'Grid_Requirement'!AZ21</f>
        <v/>
      </c>
      <c r="BA21">
        <f>IF(INDEX(Cal_Weeks[MonthYearLabel],52)&lt;&gt;INDEX(Cal_Weeks[MonthYearLabel],51),'Grid_Stock'!AZ21,AZ21)+'Grid_Incoming'!BA21-'Grid_Requirement'!BA21</f>
        <v/>
      </c>
      <c r="BB21">
        <f>IF(INDEX(Cal_Weeks[MonthYearLabel],53)&lt;&gt;INDEX(Cal_Weeks[MonthYearLabel],52),'Grid_Stock'!BA21,BA21)+'Grid_Incoming'!BB21-'Grid_Requirement'!BB21</f>
        <v/>
      </c>
      <c r="BC21">
        <f>IF(INDEX(Cal_Weeks[MonthYearLabel],54)&lt;&gt;INDEX(Cal_Weeks[MonthYearLabel],53),'Grid_Stock'!BB21,BB21)+'Grid_Incoming'!BC21-'Grid_Requirement'!BC21</f>
        <v/>
      </c>
      <c r="BD21">
        <f>IF(INDEX(Cal_Weeks[MonthYearLabel],55)&lt;&gt;INDEX(Cal_Weeks[MonthYearLabel],54),'Grid_Stock'!BC21,BC21)+'Grid_Incoming'!BD21-'Grid_Requirement'!BD21</f>
        <v/>
      </c>
      <c r="BE21">
        <f>IF(INDEX(Cal_Weeks[MonthYearLabel],56)&lt;&gt;INDEX(Cal_Weeks[MonthYearLabel],55),'Grid_Stock'!BD21,BD21)+'Grid_Incoming'!BE21-'Grid_Requirement'!BE21</f>
        <v/>
      </c>
      <c r="BF21">
        <f>IF(INDEX(Cal_Weeks[MonthYearLabel],57)&lt;&gt;INDEX(Cal_Weeks[MonthYearLabel],56),'Grid_Stock'!BE21,BE21)+'Grid_Incoming'!BF21-'Grid_Requirement'!BF21</f>
        <v/>
      </c>
      <c r="BG21">
        <f>IF(INDEX(Cal_Weeks[MonthYearLabel],58)&lt;&gt;INDEX(Cal_Weeks[MonthYearLabel],57),'Grid_Stock'!BF21,BF21)+'Grid_Incoming'!BG21-'Grid_Requirement'!BG21</f>
        <v/>
      </c>
      <c r="BH21">
        <f>IF(INDEX(Cal_Weeks[MonthYearLabel],59)&lt;&gt;INDEX(Cal_Weeks[MonthYearLabel],58),'Grid_Stock'!BG21,BG21)+'Grid_Incoming'!BH21-'Grid_Requirement'!BH21</f>
        <v/>
      </c>
      <c r="BI21">
        <f>IF(INDEX(Cal_Weeks[MonthYearLabel],60)&lt;&gt;INDEX(Cal_Weeks[MonthYearLabel],59),'Grid_Stock'!BH21,BH21)+'Grid_Incoming'!BI21-'Grid_Requirement'!BI21</f>
        <v/>
      </c>
      <c r="BJ21">
        <f>IF(INDEX(Cal_Weeks[MonthYearLabel],61)&lt;&gt;INDEX(Cal_Weeks[MonthYearLabel],60),'Grid_Stock'!BI21,BI21)+'Grid_Incoming'!BJ21-'Grid_Requirement'!BJ21</f>
        <v/>
      </c>
      <c r="BK21">
        <f>IF(INDEX(Cal_Weeks[MonthYearLabel],62)&lt;&gt;INDEX(Cal_Weeks[MonthYearLabel],61),'Grid_Stock'!BJ21,BJ21)+'Grid_Incoming'!BK21-'Grid_Requirement'!BK21</f>
        <v/>
      </c>
      <c r="BL21">
        <f>IF(INDEX(Cal_Weeks[MonthYearLabel],63)&lt;&gt;INDEX(Cal_Weeks[MonthYearLabel],62),'Grid_Stock'!BK21,BK21)+'Grid_Incoming'!BL21-'Grid_Requirement'!BL21</f>
        <v/>
      </c>
      <c r="BM21">
        <f>IF(INDEX(Cal_Weeks[MonthYearLabel],64)&lt;&gt;INDEX(Cal_Weeks[MonthYearLabel],63),'Grid_Stock'!BL21,BL21)+'Grid_Incoming'!BM21-'Grid_Requirement'!BM21</f>
        <v/>
      </c>
      <c r="BN21">
        <f>IF(INDEX(Cal_Weeks[MonthYearLabel],65)&lt;&gt;INDEX(Cal_Weeks[MonthYearLabel],64),'Grid_Stock'!BM21,BM21)+'Grid_Incoming'!BN21-'Grid_Requirement'!BN21</f>
        <v/>
      </c>
      <c r="BO21">
        <f>IF(INDEX(Cal_Weeks[MonthYearLabel],66)&lt;&gt;INDEX(Cal_Weeks[MonthYearLabel],65),'Grid_Stock'!BN21,BN21)+'Grid_Incoming'!BO21-'Grid_Requirement'!BO21</f>
        <v/>
      </c>
      <c r="BP21">
        <f>IF(INDEX(Cal_Weeks[MonthYearLabel],67)&lt;&gt;INDEX(Cal_Weeks[MonthYearLabel],66),'Grid_Stock'!BO21,BO21)+'Grid_Incoming'!BP21-'Grid_Requirement'!BP21</f>
        <v/>
      </c>
      <c r="BQ21">
        <f>IF(INDEX(Cal_Weeks[MonthYearLabel],68)&lt;&gt;INDEX(Cal_Weeks[MonthYearLabel],67),'Grid_Stock'!BP21,BP21)+'Grid_Incoming'!BQ21-'Grid_Requirement'!BQ21</f>
        <v/>
      </c>
      <c r="BR21">
        <f>IF(INDEX(Cal_Weeks[MonthYearLabel],69)&lt;&gt;INDEX(Cal_Weeks[MonthYearLabel],68),'Grid_Stock'!BQ21,BQ21)+'Grid_Incoming'!BR21-'Grid_Requirement'!BR21</f>
        <v/>
      </c>
      <c r="BS21">
        <f>IF(INDEX(Cal_Weeks[MonthYearLabel],70)&lt;&gt;INDEX(Cal_Weeks[MonthYearLabel],69),'Grid_Stock'!BR21,BR21)+'Grid_Incoming'!BS21-'Grid_Requirement'!BS21</f>
        <v/>
      </c>
      <c r="BT21">
        <f>IF(INDEX(Cal_Weeks[MonthYearLabel],71)&lt;&gt;INDEX(Cal_Weeks[MonthYearLabel],70),'Grid_Stock'!BS21,BS21)+'Grid_Incoming'!BT21-'Grid_Requirement'!BT21</f>
        <v/>
      </c>
      <c r="BU21">
        <f>IF(INDEX(Cal_Weeks[MonthYearLabel],72)&lt;&gt;INDEX(Cal_Weeks[MonthYearLabel],71),'Grid_Stock'!BT21,BT21)+'Grid_Incoming'!BU21-'Grid_Requirement'!BU21</f>
        <v/>
      </c>
      <c r="BV21">
        <f>IF(INDEX(Cal_Weeks[MonthYearLabel],73)&lt;&gt;INDEX(Cal_Weeks[MonthYearLabel],72),'Grid_Stock'!BU21,BU21)+'Grid_Incoming'!BV21-'Grid_Requirement'!BV21</f>
        <v/>
      </c>
      <c r="BW21">
        <f>IF(INDEX(Cal_Weeks[MonthYearLabel],74)&lt;&gt;INDEX(Cal_Weeks[MonthYearLabel],73),'Grid_Stock'!BV21,BV21)+'Grid_Incoming'!BW21-'Grid_Requirement'!BW21</f>
        <v/>
      </c>
      <c r="BX21">
        <f>IF(INDEX(Cal_Weeks[MonthYearLabel],75)&lt;&gt;INDEX(Cal_Weeks[MonthYearLabel],74),'Grid_Stock'!BW21,BW21)+'Grid_Incoming'!BX21-'Grid_Requirement'!BX21</f>
        <v/>
      </c>
      <c r="BY21">
        <f>IF(INDEX(Cal_Weeks[MonthYearLabel],76)&lt;&gt;INDEX(Cal_Weeks[MonthYearLabel],75),'Grid_Stock'!BX21,BX21)+'Grid_Incoming'!BY21-'Grid_Requirement'!BY21</f>
        <v/>
      </c>
      <c r="BZ21">
        <f>IF(INDEX(Cal_Weeks[MonthYearLabel],77)&lt;&gt;INDEX(Cal_Weeks[MonthYearLabel],76),'Grid_Stock'!BY21,BY21)+'Grid_Incoming'!BZ21-'Grid_Requirement'!BZ21</f>
        <v/>
      </c>
      <c r="CA21">
        <f>IF(INDEX(Cal_Weeks[MonthYearLabel],78)&lt;&gt;INDEX(Cal_Weeks[MonthYearLabel],77),'Grid_Stock'!BZ21,BZ21)+'Grid_Incoming'!CA21-'Grid_Requirement'!CA21</f>
        <v/>
      </c>
      <c r="CB21">
        <f>IF(INDEX(Cal_Weeks[MonthYearLabel],79)&lt;&gt;INDEX(Cal_Weeks[MonthYearLabel],78),'Grid_Stock'!CA21,CA21)+'Grid_Incoming'!CB21-'Grid_Requirement'!CB21</f>
        <v/>
      </c>
      <c r="CC21">
        <f>IF(INDEX(Cal_Weeks[MonthYearLabel],80)&lt;&gt;INDEX(Cal_Weeks[MonthYearLabel],79),'Grid_Stock'!CB21,CB21)+'Grid_Incoming'!CC21-'Grid_Requirement'!CC21</f>
        <v/>
      </c>
      <c r="CD21">
        <f>IF(INDEX(Cal_Weeks[MonthYearLabel],81)&lt;&gt;INDEX(Cal_Weeks[MonthYearLabel],80),'Grid_Stock'!CC21,CC21)+'Grid_Incoming'!CD21-'Grid_Requirement'!CD21</f>
        <v/>
      </c>
      <c r="CE21">
        <f>IF(INDEX(Cal_Weeks[MonthYearLabel],82)&lt;&gt;INDEX(Cal_Weeks[MonthYearLabel],81),'Grid_Stock'!CD21,CD21)+'Grid_Incoming'!CE21-'Grid_Requirement'!CE21</f>
        <v/>
      </c>
      <c r="CF21">
        <f>IF(INDEX(Cal_Weeks[MonthYearLabel],83)&lt;&gt;INDEX(Cal_Weeks[MonthYearLabel],82),'Grid_Stock'!CE21,CE21)+'Grid_Incoming'!CF21-'Grid_Requirement'!CF21</f>
        <v/>
      </c>
      <c r="CG21">
        <f>IF(INDEX(Cal_Weeks[MonthYearLabel],84)&lt;&gt;INDEX(Cal_Weeks[MonthYearLabel],83),'Grid_Stock'!CF21,CF21)+'Grid_Incoming'!CG21-'Grid_Requirement'!CG21</f>
        <v/>
      </c>
      <c r="CH21">
        <f>IF(INDEX(Cal_Weeks[MonthYearLabel],85)&lt;&gt;INDEX(Cal_Weeks[MonthYearLabel],84),'Grid_Stock'!CG21,CG21)+'Grid_Incoming'!CH21-'Grid_Requirement'!CH21</f>
        <v/>
      </c>
      <c r="CI21">
        <f>IF(INDEX(Cal_Weeks[MonthYearLabel],86)&lt;&gt;INDEX(Cal_Weeks[MonthYearLabel],85),'Grid_Stock'!CH21,CH21)+'Grid_Incoming'!CI21-'Grid_Requirement'!CI21</f>
        <v/>
      </c>
      <c r="CJ21">
        <f>IF(INDEX(Cal_Weeks[MonthYearLabel],87)&lt;&gt;INDEX(Cal_Weeks[MonthYearLabel],86),'Grid_Stock'!CI21,CI21)+'Grid_Incoming'!CJ21-'Grid_Requirement'!CJ21</f>
        <v/>
      </c>
      <c r="CK21">
        <f>IF(INDEX(Cal_Weeks[MonthYearLabel],88)&lt;&gt;INDEX(Cal_Weeks[MonthYearLabel],87),'Grid_Stock'!CJ21,CJ21)+'Grid_Incoming'!CK21-'Grid_Requirement'!CK21</f>
        <v/>
      </c>
      <c r="CL21">
        <f>IF(INDEX(Cal_Weeks[MonthYearLabel],89)&lt;&gt;INDEX(Cal_Weeks[MonthYearLabel],88),'Grid_Stock'!CK21,CK21)+'Grid_Incoming'!CL21-'Grid_Requirement'!CL21</f>
        <v/>
      </c>
      <c r="CM21">
        <f>IF(INDEX(Cal_Weeks[MonthYearLabel],90)&lt;&gt;INDEX(Cal_Weeks[MonthYearLabel],89),'Grid_Stock'!CL21,CL21)+'Grid_Incoming'!CM21-'Grid_Requirement'!CM21</f>
        <v/>
      </c>
      <c r="CN21">
        <f>IF(INDEX(Cal_Weeks[MonthYearLabel],91)&lt;&gt;INDEX(Cal_Weeks[MonthYearLabel],90),'Grid_Stock'!CM21,CM21)+'Grid_Incoming'!CN21-'Grid_Requirement'!CN21</f>
        <v/>
      </c>
      <c r="CO21">
        <f>IF(INDEX(Cal_Weeks[MonthYearLabel],92)&lt;&gt;INDEX(Cal_Weeks[MonthYearLabel],91),'Grid_Stock'!CN21,CN21)+'Grid_Incoming'!CO21-'Grid_Requirement'!CO21</f>
        <v/>
      </c>
      <c r="CP21">
        <f>IF(INDEX(Cal_Weeks[MonthYearLabel],93)&lt;&gt;INDEX(Cal_Weeks[MonthYearLabel],92),'Grid_Stock'!CO21,CO21)+'Grid_Incoming'!CP21-'Grid_Requirement'!CP21</f>
        <v/>
      </c>
      <c r="CQ21">
        <f>IF(INDEX(Cal_Weeks[MonthYearLabel],94)&lt;&gt;INDEX(Cal_Weeks[MonthYearLabel],93),'Grid_Stock'!CP21,CP21)+'Grid_Incoming'!CQ21-'Grid_Requirement'!CQ21</f>
        <v/>
      </c>
      <c r="CR21">
        <f>IF(INDEX(Cal_Weeks[MonthYearLabel],95)&lt;&gt;INDEX(Cal_Weeks[MonthYearLabel],94),'Grid_Stock'!CQ21,CQ21)+'Grid_Incoming'!CR21-'Grid_Requirement'!CR21</f>
        <v/>
      </c>
      <c r="CS21">
        <f>IF(INDEX(Cal_Weeks[MonthYearLabel],96)&lt;&gt;INDEX(Cal_Weeks[MonthYearLabel],95),'Grid_Stock'!CR21,CR21)+'Grid_Incoming'!CS21-'Grid_Requirement'!CS21</f>
        <v/>
      </c>
      <c r="CT21">
        <f>IF(INDEX(Cal_Weeks[MonthYearLabel],97)&lt;&gt;INDEX(Cal_Weeks[MonthYearLabel],96),'Grid_Stock'!CS21,CS21)+'Grid_Incoming'!CT21-'Grid_Requirement'!CT21</f>
        <v/>
      </c>
      <c r="CU21">
        <f>IF(INDEX(Cal_Weeks[MonthYearLabel],98)&lt;&gt;INDEX(Cal_Weeks[MonthYearLabel],97),'Grid_Stock'!CT21,CT21)+'Grid_Incoming'!CU21-'Grid_Requirement'!CU21</f>
        <v/>
      </c>
      <c r="CV21">
        <f>IF(INDEX(Cal_Weeks[MonthYearLabel],99)&lt;&gt;INDEX(Cal_Weeks[MonthYearLabel],98),'Grid_Stock'!CU21,CU21)+'Grid_Incoming'!CV21-'Grid_Requirement'!CV21</f>
        <v/>
      </c>
      <c r="CW21">
        <f>IF(INDEX(Cal_Weeks[MonthYearLabel],100)&lt;&gt;INDEX(Cal_Weeks[MonthYearLabel],99),'Grid_Stock'!CV21,CV21)+'Grid_Incoming'!CW21-'Grid_Requirement'!CW21</f>
        <v/>
      </c>
      <c r="CX21">
        <f>IF(INDEX(Cal_Weeks[MonthYearLabel],101)&lt;&gt;INDEX(Cal_Weeks[MonthYearLabel],100),'Grid_Stock'!CW21,CW21)+'Grid_Incoming'!CX21-'Grid_Requirement'!CX21</f>
        <v/>
      </c>
      <c r="CY21">
        <f>IF(INDEX(Cal_Weeks[MonthYearLabel],102)&lt;&gt;INDEX(Cal_Weeks[MonthYearLabel],101),'Grid_Stock'!CX21,CX21)+'Grid_Incoming'!CY21-'Grid_Requirement'!CY21</f>
        <v/>
      </c>
      <c r="CZ21">
        <f>IF(INDEX(Cal_Weeks[MonthYearLabel],103)&lt;&gt;INDEX(Cal_Weeks[MonthYearLabel],102),'Grid_Stock'!CY21,CY21)+'Grid_Incoming'!CZ21-'Grid_Requirement'!CZ21</f>
        <v/>
      </c>
      <c r="DA21">
        <f>IF(INDEX(Cal_Weeks[MonthYearLabel],104)&lt;&gt;INDEX(Cal_Weeks[MonthYearLabel],103),'Grid_Stock'!CZ21,CZ21)+'Grid_Incoming'!DA21-'Grid_Requirement'!DA21</f>
        <v/>
      </c>
    </row>
    <row r="22">
      <c r="A22" t="inlineStr">
        <is>
          <t>CHEM-1670</t>
        </is>
      </c>
      <c r="B22">
        <f>IFERROR(INDEX(T_OpeningStock[Opening_Qty_要入力],MATCH($A22,T_OpeningStock[Part Name],0)),0)+'Grid_Incoming'!B22-'Grid_Requirement'!B22</f>
        <v/>
      </c>
      <c r="C22">
        <f>IF(INDEX(Cal_Weeks[MonthYearLabel],2)&lt;&gt;INDEX(Cal_Weeks[MonthYearLabel],1),'Grid_Stock'!B22,B22)+'Grid_Incoming'!C22-'Grid_Requirement'!C22</f>
        <v/>
      </c>
      <c r="D22">
        <f>IF(INDEX(Cal_Weeks[MonthYearLabel],3)&lt;&gt;INDEX(Cal_Weeks[MonthYearLabel],2),'Grid_Stock'!C22,C22)+'Grid_Incoming'!D22-'Grid_Requirement'!D22</f>
        <v/>
      </c>
      <c r="E22">
        <f>IF(INDEX(Cal_Weeks[MonthYearLabel],4)&lt;&gt;INDEX(Cal_Weeks[MonthYearLabel],3),'Grid_Stock'!D22,D22)+'Grid_Incoming'!E22-'Grid_Requirement'!E22</f>
        <v/>
      </c>
      <c r="F22">
        <f>IF(INDEX(Cal_Weeks[MonthYearLabel],5)&lt;&gt;INDEX(Cal_Weeks[MonthYearLabel],4),'Grid_Stock'!E22,E22)+'Grid_Incoming'!F22-'Grid_Requirement'!F22</f>
        <v/>
      </c>
      <c r="G22">
        <f>IF(INDEX(Cal_Weeks[MonthYearLabel],6)&lt;&gt;INDEX(Cal_Weeks[MonthYearLabel],5),'Grid_Stock'!F22,F22)+'Grid_Incoming'!G22-'Grid_Requirement'!G22</f>
        <v/>
      </c>
      <c r="H22">
        <f>IF(INDEX(Cal_Weeks[MonthYearLabel],7)&lt;&gt;INDEX(Cal_Weeks[MonthYearLabel],6),'Grid_Stock'!G22,G22)+'Grid_Incoming'!H22-'Grid_Requirement'!H22</f>
        <v/>
      </c>
      <c r="I22">
        <f>IF(INDEX(Cal_Weeks[MonthYearLabel],8)&lt;&gt;INDEX(Cal_Weeks[MonthYearLabel],7),'Grid_Stock'!H22,H22)+'Grid_Incoming'!I22-'Grid_Requirement'!I22</f>
        <v/>
      </c>
      <c r="J22">
        <f>IF(INDEX(Cal_Weeks[MonthYearLabel],9)&lt;&gt;INDEX(Cal_Weeks[MonthYearLabel],8),'Grid_Stock'!I22,I22)+'Grid_Incoming'!J22-'Grid_Requirement'!J22</f>
        <v/>
      </c>
      <c r="K22">
        <f>IF(INDEX(Cal_Weeks[MonthYearLabel],10)&lt;&gt;INDEX(Cal_Weeks[MonthYearLabel],9),'Grid_Stock'!J22,J22)+'Grid_Incoming'!K22-'Grid_Requirement'!K22</f>
        <v/>
      </c>
      <c r="L22">
        <f>IF(INDEX(Cal_Weeks[MonthYearLabel],11)&lt;&gt;INDEX(Cal_Weeks[MonthYearLabel],10),'Grid_Stock'!K22,K22)+'Grid_Incoming'!L22-'Grid_Requirement'!L22</f>
        <v/>
      </c>
      <c r="M22">
        <f>IF(INDEX(Cal_Weeks[MonthYearLabel],12)&lt;&gt;INDEX(Cal_Weeks[MonthYearLabel],11),'Grid_Stock'!L22,L22)+'Grid_Incoming'!M22-'Grid_Requirement'!M22</f>
        <v/>
      </c>
      <c r="N22">
        <f>IF(INDEX(Cal_Weeks[MonthYearLabel],13)&lt;&gt;INDEX(Cal_Weeks[MonthYearLabel],12),'Grid_Stock'!M22,M22)+'Grid_Incoming'!N22-'Grid_Requirement'!N22</f>
        <v/>
      </c>
      <c r="O22">
        <f>IF(INDEX(Cal_Weeks[MonthYearLabel],14)&lt;&gt;INDEX(Cal_Weeks[MonthYearLabel],13),'Grid_Stock'!N22,N22)+'Grid_Incoming'!O22-'Grid_Requirement'!O22</f>
        <v/>
      </c>
      <c r="P22">
        <f>IF(INDEX(Cal_Weeks[MonthYearLabel],15)&lt;&gt;INDEX(Cal_Weeks[MonthYearLabel],14),'Grid_Stock'!O22,O22)+'Grid_Incoming'!P22-'Grid_Requirement'!P22</f>
        <v/>
      </c>
      <c r="Q22">
        <f>IF(INDEX(Cal_Weeks[MonthYearLabel],16)&lt;&gt;INDEX(Cal_Weeks[MonthYearLabel],15),'Grid_Stock'!P22,P22)+'Grid_Incoming'!Q22-'Grid_Requirement'!Q22</f>
        <v/>
      </c>
      <c r="R22">
        <f>IF(INDEX(Cal_Weeks[MonthYearLabel],17)&lt;&gt;INDEX(Cal_Weeks[MonthYearLabel],16),'Grid_Stock'!Q22,Q22)+'Grid_Incoming'!R22-'Grid_Requirement'!R22</f>
        <v/>
      </c>
      <c r="S22">
        <f>IF(INDEX(Cal_Weeks[MonthYearLabel],18)&lt;&gt;INDEX(Cal_Weeks[MonthYearLabel],17),'Grid_Stock'!R22,R22)+'Grid_Incoming'!S22-'Grid_Requirement'!S22</f>
        <v/>
      </c>
      <c r="T22">
        <f>IF(INDEX(Cal_Weeks[MonthYearLabel],19)&lt;&gt;INDEX(Cal_Weeks[MonthYearLabel],18),'Grid_Stock'!S22,S22)+'Grid_Incoming'!T22-'Grid_Requirement'!T22</f>
        <v/>
      </c>
      <c r="U22">
        <f>IF(INDEX(Cal_Weeks[MonthYearLabel],20)&lt;&gt;INDEX(Cal_Weeks[MonthYearLabel],19),'Grid_Stock'!T22,T22)+'Grid_Incoming'!U22-'Grid_Requirement'!U22</f>
        <v/>
      </c>
      <c r="V22">
        <f>IF(INDEX(Cal_Weeks[MonthYearLabel],21)&lt;&gt;INDEX(Cal_Weeks[MonthYearLabel],20),'Grid_Stock'!U22,U22)+'Grid_Incoming'!V22-'Grid_Requirement'!V22</f>
        <v/>
      </c>
      <c r="W22">
        <f>IF(INDEX(Cal_Weeks[MonthYearLabel],22)&lt;&gt;INDEX(Cal_Weeks[MonthYearLabel],21),'Grid_Stock'!V22,V22)+'Grid_Incoming'!W22-'Grid_Requirement'!W22</f>
        <v/>
      </c>
      <c r="X22">
        <f>IF(INDEX(Cal_Weeks[MonthYearLabel],23)&lt;&gt;INDEX(Cal_Weeks[MonthYearLabel],22),'Grid_Stock'!W22,W22)+'Grid_Incoming'!X22-'Grid_Requirement'!X22</f>
        <v/>
      </c>
      <c r="Y22">
        <f>IF(INDEX(Cal_Weeks[MonthYearLabel],24)&lt;&gt;INDEX(Cal_Weeks[MonthYearLabel],23),'Grid_Stock'!X22,X22)+'Grid_Incoming'!Y22-'Grid_Requirement'!Y22</f>
        <v/>
      </c>
      <c r="Z22">
        <f>IF(INDEX(Cal_Weeks[MonthYearLabel],25)&lt;&gt;INDEX(Cal_Weeks[MonthYearLabel],24),'Grid_Stock'!Y22,Y22)+'Grid_Incoming'!Z22-'Grid_Requirement'!Z22</f>
        <v/>
      </c>
      <c r="AA22">
        <f>IF(INDEX(Cal_Weeks[MonthYearLabel],26)&lt;&gt;INDEX(Cal_Weeks[MonthYearLabel],25),'Grid_Stock'!Z22,Z22)+'Grid_Incoming'!AA22-'Grid_Requirement'!AA22</f>
        <v/>
      </c>
      <c r="AB22">
        <f>IF(INDEX(Cal_Weeks[MonthYearLabel],27)&lt;&gt;INDEX(Cal_Weeks[MonthYearLabel],26),'Grid_Stock'!AA22,AA22)+'Grid_Incoming'!AB22-'Grid_Requirement'!AB22</f>
        <v/>
      </c>
      <c r="AC22">
        <f>IF(INDEX(Cal_Weeks[MonthYearLabel],28)&lt;&gt;INDEX(Cal_Weeks[MonthYearLabel],27),'Grid_Stock'!AB22,AB22)+'Grid_Incoming'!AC22-'Grid_Requirement'!AC22</f>
        <v/>
      </c>
      <c r="AD22">
        <f>IF(INDEX(Cal_Weeks[MonthYearLabel],29)&lt;&gt;INDEX(Cal_Weeks[MonthYearLabel],28),'Grid_Stock'!AC22,AC22)+'Grid_Incoming'!AD22-'Grid_Requirement'!AD22</f>
        <v/>
      </c>
      <c r="AE22">
        <f>IF(INDEX(Cal_Weeks[MonthYearLabel],30)&lt;&gt;INDEX(Cal_Weeks[MonthYearLabel],29),'Grid_Stock'!AD22,AD22)+'Grid_Incoming'!AE22-'Grid_Requirement'!AE22</f>
        <v/>
      </c>
      <c r="AF22">
        <f>IF(INDEX(Cal_Weeks[MonthYearLabel],31)&lt;&gt;INDEX(Cal_Weeks[MonthYearLabel],30),'Grid_Stock'!AE22,AE22)+'Grid_Incoming'!AF22-'Grid_Requirement'!AF22</f>
        <v/>
      </c>
      <c r="AG22">
        <f>IF(INDEX(Cal_Weeks[MonthYearLabel],32)&lt;&gt;INDEX(Cal_Weeks[MonthYearLabel],31),'Grid_Stock'!AF22,AF22)+'Grid_Incoming'!AG22-'Grid_Requirement'!AG22</f>
        <v/>
      </c>
      <c r="AH22">
        <f>IF(INDEX(Cal_Weeks[MonthYearLabel],33)&lt;&gt;INDEX(Cal_Weeks[MonthYearLabel],32),'Grid_Stock'!AG22,AG22)+'Grid_Incoming'!AH22-'Grid_Requirement'!AH22</f>
        <v/>
      </c>
      <c r="AI22">
        <f>IF(INDEX(Cal_Weeks[MonthYearLabel],34)&lt;&gt;INDEX(Cal_Weeks[MonthYearLabel],33),'Grid_Stock'!AH22,AH22)+'Grid_Incoming'!AI22-'Grid_Requirement'!AI22</f>
        <v/>
      </c>
      <c r="AJ22">
        <f>IF(INDEX(Cal_Weeks[MonthYearLabel],35)&lt;&gt;INDEX(Cal_Weeks[MonthYearLabel],34),'Grid_Stock'!AI22,AI22)+'Grid_Incoming'!AJ22-'Grid_Requirement'!AJ22</f>
        <v/>
      </c>
      <c r="AK22">
        <f>IF(INDEX(Cal_Weeks[MonthYearLabel],36)&lt;&gt;INDEX(Cal_Weeks[MonthYearLabel],35),'Grid_Stock'!AJ22,AJ22)+'Grid_Incoming'!AK22-'Grid_Requirement'!AK22</f>
        <v/>
      </c>
      <c r="AL22">
        <f>IF(INDEX(Cal_Weeks[MonthYearLabel],37)&lt;&gt;INDEX(Cal_Weeks[MonthYearLabel],36),'Grid_Stock'!AK22,AK22)+'Grid_Incoming'!AL22-'Grid_Requirement'!AL22</f>
        <v/>
      </c>
      <c r="AM22">
        <f>IF(INDEX(Cal_Weeks[MonthYearLabel],38)&lt;&gt;INDEX(Cal_Weeks[MonthYearLabel],37),'Grid_Stock'!AL22,AL22)+'Grid_Incoming'!AM22-'Grid_Requirement'!AM22</f>
        <v/>
      </c>
      <c r="AN22">
        <f>IF(INDEX(Cal_Weeks[MonthYearLabel],39)&lt;&gt;INDEX(Cal_Weeks[MonthYearLabel],38),'Grid_Stock'!AM22,AM22)+'Grid_Incoming'!AN22-'Grid_Requirement'!AN22</f>
        <v/>
      </c>
      <c r="AO22">
        <f>IF(INDEX(Cal_Weeks[MonthYearLabel],40)&lt;&gt;INDEX(Cal_Weeks[MonthYearLabel],39),'Grid_Stock'!AN22,AN22)+'Grid_Incoming'!AO22-'Grid_Requirement'!AO22</f>
        <v/>
      </c>
      <c r="AP22">
        <f>IF(INDEX(Cal_Weeks[MonthYearLabel],41)&lt;&gt;INDEX(Cal_Weeks[MonthYearLabel],40),'Grid_Stock'!AO22,AO22)+'Grid_Incoming'!AP22-'Grid_Requirement'!AP22</f>
        <v/>
      </c>
      <c r="AQ22">
        <f>IF(INDEX(Cal_Weeks[MonthYearLabel],42)&lt;&gt;INDEX(Cal_Weeks[MonthYearLabel],41),'Grid_Stock'!AP22,AP22)+'Grid_Incoming'!AQ22-'Grid_Requirement'!AQ22</f>
        <v/>
      </c>
      <c r="AR22">
        <f>IF(INDEX(Cal_Weeks[MonthYearLabel],43)&lt;&gt;INDEX(Cal_Weeks[MonthYearLabel],42),'Grid_Stock'!AQ22,AQ22)+'Grid_Incoming'!AR22-'Grid_Requirement'!AR22</f>
        <v/>
      </c>
      <c r="AS22">
        <f>IF(INDEX(Cal_Weeks[MonthYearLabel],44)&lt;&gt;INDEX(Cal_Weeks[MonthYearLabel],43),'Grid_Stock'!AR22,AR22)+'Grid_Incoming'!AS22-'Grid_Requirement'!AS22</f>
        <v/>
      </c>
      <c r="AT22">
        <f>IF(INDEX(Cal_Weeks[MonthYearLabel],45)&lt;&gt;INDEX(Cal_Weeks[MonthYearLabel],44),'Grid_Stock'!AS22,AS22)+'Grid_Incoming'!AT22-'Grid_Requirement'!AT22</f>
        <v/>
      </c>
      <c r="AU22">
        <f>IF(INDEX(Cal_Weeks[MonthYearLabel],46)&lt;&gt;INDEX(Cal_Weeks[MonthYearLabel],45),'Grid_Stock'!AT22,AT22)+'Grid_Incoming'!AU22-'Grid_Requirement'!AU22</f>
        <v/>
      </c>
      <c r="AV22">
        <f>IF(INDEX(Cal_Weeks[MonthYearLabel],47)&lt;&gt;INDEX(Cal_Weeks[MonthYearLabel],46),'Grid_Stock'!AU22,AU22)+'Grid_Incoming'!AV22-'Grid_Requirement'!AV22</f>
        <v/>
      </c>
      <c r="AW22">
        <f>IF(INDEX(Cal_Weeks[MonthYearLabel],48)&lt;&gt;INDEX(Cal_Weeks[MonthYearLabel],47),'Grid_Stock'!AV22,AV22)+'Grid_Incoming'!AW22-'Grid_Requirement'!AW22</f>
        <v/>
      </c>
      <c r="AX22">
        <f>IF(INDEX(Cal_Weeks[MonthYearLabel],49)&lt;&gt;INDEX(Cal_Weeks[MonthYearLabel],48),'Grid_Stock'!AW22,AW22)+'Grid_Incoming'!AX22-'Grid_Requirement'!AX22</f>
        <v/>
      </c>
      <c r="AY22">
        <f>IF(INDEX(Cal_Weeks[MonthYearLabel],50)&lt;&gt;INDEX(Cal_Weeks[MonthYearLabel],49),'Grid_Stock'!AX22,AX22)+'Grid_Incoming'!AY22-'Grid_Requirement'!AY22</f>
        <v/>
      </c>
      <c r="AZ22">
        <f>IF(INDEX(Cal_Weeks[MonthYearLabel],51)&lt;&gt;INDEX(Cal_Weeks[MonthYearLabel],50),'Grid_Stock'!AY22,AY22)+'Grid_Incoming'!AZ22-'Grid_Requirement'!AZ22</f>
        <v/>
      </c>
      <c r="BA22">
        <f>IF(INDEX(Cal_Weeks[MonthYearLabel],52)&lt;&gt;INDEX(Cal_Weeks[MonthYearLabel],51),'Grid_Stock'!AZ22,AZ22)+'Grid_Incoming'!BA22-'Grid_Requirement'!BA22</f>
        <v/>
      </c>
      <c r="BB22">
        <f>IF(INDEX(Cal_Weeks[MonthYearLabel],53)&lt;&gt;INDEX(Cal_Weeks[MonthYearLabel],52),'Grid_Stock'!BA22,BA22)+'Grid_Incoming'!BB22-'Grid_Requirement'!BB22</f>
        <v/>
      </c>
      <c r="BC22">
        <f>IF(INDEX(Cal_Weeks[MonthYearLabel],54)&lt;&gt;INDEX(Cal_Weeks[MonthYearLabel],53),'Grid_Stock'!BB22,BB22)+'Grid_Incoming'!BC22-'Grid_Requirement'!BC22</f>
        <v/>
      </c>
      <c r="BD22">
        <f>IF(INDEX(Cal_Weeks[MonthYearLabel],55)&lt;&gt;INDEX(Cal_Weeks[MonthYearLabel],54),'Grid_Stock'!BC22,BC22)+'Grid_Incoming'!BD22-'Grid_Requirement'!BD22</f>
        <v/>
      </c>
      <c r="BE22">
        <f>IF(INDEX(Cal_Weeks[MonthYearLabel],56)&lt;&gt;INDEX(Cal_Weeks[MonthYearLabel],55),'Grid_Stock'!BD22,BD22)+'Grid_Incoming'!BE22-'Grid_Requirement'!BE22</f>
        <v/>
      </c>
      <c r="BF22">
        <f>IF(INDEX(Cal_Weeks[MonthYearLabel],57)&lt;&gt;INDEX(Cal_Weeks[MonthYearLabel],56),'Grid_Stock'!BE22,BE22)+'Grid_Incoming'!BF22-'Grid_Requirement'!BF22</f>
        <v/>
      </c>
      <c r="BG22">
        <f>IF(INDEX(Cal_Weeks[MonthYearLabel],58)&lt;&gt;INDEX(Cal_Weeks[MonthYearLabel],57),'Grid_Stock'!BF22,BF22)+'Grid_Incoming'!BG22-'Grid_Requirement'!BG22</f>
        <v/>
      </c>
      <c r="BH22">
        <f>IF(INDEX(Cal_Weeks[MonthYearLabel],59)&lt;&gt;INDEX(Cal_Weeks[MonthYearLabel],58),'Grid_Stock'!BG22,BG22)+'Grid_Incoming'!BH22-'Grid_Requirement'!BH22</f>
        <v/>
      </c>
      <c r="BI22">
        <f>IF(INDEX(Cal_Weeks[MonthYearLabel],60)&lt;&gt;INDEX(Cal_Weeks[MonthYearLabel],59),'Grid_Stock'!BH22,BH22)+'Grid_Incoming'!BI22-'Grid_Requirement'!BI22</f>
        <v/>
      </c>
      <c r="BJ22">
        <f>IF(INDEX(Cal_Weeks[MonthYearLabel],61)&lt;&gt;INDEX(Cal_Weeks[MonthYearLabel],60),'Grid_Stock'!BI22,BI22)+'Grid_Incoming'!BJ22-'Grid_Requirement'!BJ22</f>
        <v/>
      </c>
      <c r="BK22">
        <f>IF(INDEX(Cal_Weeks[MonthYearLabel],62)&lt;&gt;INDEX(Cal_Weeks[MonthYearLabel],61),'Grid_Stock'!BJ22,BJ22)+'Grid_Incoming'!BK22-'Grid_Requirement'!BK22</f>
        <v/>
      </c>
      <c r="BL22">
        <f>IF(INDEX(Cal_Weeks[MonthYearLabel],63)&lt;&gt;INDEX(Cal_Weeks[MonthYearLabel],62),'Grid_Stock'!BK22,BK22)+'Grid_Incoming'!BL22-'Grid_Requirement'!BL22</f>
        <v/>
      </c>
      <c r="BM22">
        <f>IF(INDEX(Cal_Weeks[MonthYearLabel],64)&lt;&gt;INDEX(Cal_Weeks[MonthYearLabel],63),'Grid_Stock'!BL22,BL22)+'Grid_Incoming'!BM22-'Grid_Requirement'!BM22</f>
        <v/>
      </c>
      <c r="BN22">
        <f>IF(INDEX(Cal_Weeks[MonthYearLabel],65)&lt;&gt;INDEX(Cal_Weeks[MonthYearLabel],64),'Grid_Stock'!BM22,BM22)+'Grid_Incoming'!BN22-'Grid_Requirement'!BN22</f>
        <v/>
      </c>
      <c r="BO22">
        <f>IF(INDEX(Cal_Weeks[MonthYearLabel],66)&lt;&gt;INDEX(Cal_Weeks[MonthYearLabel],65),'Grid_Stock'!BN22,BN22)+'Grid_Incoming'!BO22-'Grid_Requirement'!BO22</f>
        <v/>
      </c>
      <c r="BP22">
        <f>IF(INDEX(Cal_Weeks[MonthYearLabel],67)&lt;&gt;INDEX(Cal_Weeks[MonthYearLabel],66),'Grid_Stock'!BO22,BO22)+'Grid_Incoming'!BP22-'Grid_Requirement'!BP22</f>
        <v/>
      </c>
      <c r="BQ22">
        <f>IF(INDEX(Cal_Weeks[MonthYearLabel],68)&lt;&gt;INDEX(Cal_Weeks[MonthYearLabel],67),'Grid_Stock'!BP22,BP22)+'Grid_Incoming'!BQ22-'Grid_Requirement'!BQ22</f>
        <v/>
      </c>
      <c r="BR22">
        <f>IF(INDEX(Cal_Weeks[MonthYearLabel],69)&lt;&gt;INDEX(Cal_Weeks[MonthYearLabel],68),'Grid_Stock'!BQ22,BQ22)+'Grid_Incoming'!BR22-'Grid_Requirement'!BR22</f>
        <v/>
      </c>
      <c r="BS22">
        <f>IF(INDEX(Cal_Weeks[MonthYearLabel],70)&lt;&gt;INDEX(Cal_Weeks[MonthYearLabel],69),'Grid_Stock'!BR22,BR22)+'Grid_Incoming'!BS22-'Grid_Requirement'!BS22</f>
        <v/>
      </c>
      <c r="BT22">
        <f>IF(INDEX(Cal_Weeks[MonthYearLabel],71)&lt;&gt;INDEX(Cal_Weeks[MonthYearLabel],70),'Grid_Stock'!BS22,BS22)+'Grid_Incoming'!BT22-'Grid_Requirement'!BT22</f>
        <v/>
      </c>
      <c r="BU22">
        <f>IF(INDEX(Cal_Weeks[MonthYearLabel],72)&lt;&gt;INDEX(Cal_Weeks[MonthYearLabel],71),'Grid_Stock'!BT22,BT22)+'Grid_Incoming'!BU22-'Grid_Requirement'!BU22</f>
        <v/>
      </c>
      <c r="BV22">
        <f>IF(INDEX(Cal_Weeks[MonthYearLabel],73)&lt;&gt;INDEX(Cal_Weeks[MonthYearLabel],72),'Grid_Stock'!BU22,BU22)+'Grid_Incoming'!BV22-'Grid_Requirement'!BV22</f>
        <v/>
      </c>
      <c r="BW22">
        <f>IF(INDEX(Cal_Weeks[MonthYearLabel],74)&lt;&gt;INDEX(Cal_Weeks[MonthYearLabel],73),'Grid_Stock'!BV22,BV22)+'Grid_Incoming'!BW22-'Grid_Requirement'!BW22</f>
        <v/>
      </c>
      <c r="BX22">
        <f>IF(INDEX(Cal_Weeks[MonthYearLabel],75)&lt;&gt;INDEX(Cal_Weeks[MonthYearLabel],74),'Grid_Stock'!BW22,BW22)+'Grid_Incoming'!BX22-'Grid_Requirement'!BX22</f>
        <v/>
      </c>
      <c r="BY22">
        <f>IF(INDEX(Cal_Weeks[MonthYearLabel],76)&lt;&gt;INDEX(Cal_Weeks[MonthYearLabel],75),'Grid_Stock'!BX22,BX22)+'Grid_Incoming'!BY22-'Grid_Requirement'!BY22</f>
        <v/>
      </c>
      <c r="BZ22">
        <f>IF(INDEX(Cal_Weeks[MonthYearLabel],77)&lt;&gt;INDEX(Cal_Weeks[MonthYearLabel],76),'Grid_Stock'!BY22,BY22)+'Grid_Incoming'!BZ22-'Grid_Requirement'!BZ22</f>
        <v/>
      </c>
      <c r="CA22">
        <f>IF(INDEX(Cal_Weeks[MonthYearLabel],78)&lt;&gt;INDEX(Cal_Weeks[MonthYearLabel],77),'Grid_Stock'!BZ22,BZ22)+'Grid_Incoming'!CA22-'Grid_Requirement'!CA22</f>
        <v/>
      </c>
      <c r="CB22">
        <f>IF(INDEX(Cal_Weeks[MonthYearLabel],79)&lt;&gt;INDEX(Cal_Weeks[MonthYearLabel],78),'Grid_Stock'!CA22,CA22)+'Grid_Incoming'!CB22-'Grid_Requirement'!CB22</f>
        <v/>
      </c>
      <c r="CC22">
        <f>IF(INDEX(Cal_Weeks[MonthYearLabel],80)&lt;&gt;INDEX(Cal_Weeks[MonthYearLabel],79),'Grid_Stock'!CB22,CB22)+'Grid_Incoming'!CC22-'Grid_Requirement'!CC22</f>
        <v/>
      </c>
      <c r="CD22">
        <f>IF(INDEX(Cal_Weeks[MonthYearLabel],81)&lt;&gt;INDEX(Cal_Weeks[MonthYearLabel],80),'Grid_Stock'!CC22,CC22)+'Grid_Incoming'!CD22-'Grid_Requirement'!CD22</f>
        <v/>
      </c>
      <c r="CE22">
        <f>IF(INDEX(Cal_Weeks[MonthYearLabel],82)&lt;&gt;INDEX(Cal_Weeks[MonthYearLabel],81),'Grid_Stock'!CD22,CD22)+'Grid_Incoming'!CE22-'Grid_Requirement'!CE22</f>
        <v/>
      </c>
      <c r="CF22">
        <f>IF(INDEX(Cal_Weeks[MonthYearLabel],83)&lt;&gt;INDEX(Cal_Weeks[MonthYearLabel],82),'Grid_Stock'!CE22,CE22)+'Grid_Incoming'!CF22-'Grid_Requirement'!CF22</f>
        <v/>
      </c>
      <c r="CG22">
        <f>IF(INDEX(Cal_Weeks[MonthYearLabel],84)&lt;&gt;INDEX(Cal_Weeks[MonthYearLabel],83),'Grid_Stock'!CF22,CF22)+'Grid_Incoming'!CG22-'Grid_Requirement'!CG22</f>
        <v/>
      </c>
      <c r="CH22">
        <f>IF(INDEX(Cal_Weeks[MonthYearLabel],85)&lt;&gt;INDEX(Cal_Weeks[MonthYearLabel],84),'Grid_Stock'!CG22,CG22)+'Grid_Incoming'!CH22-'Grid_Requirement'!CH22</f>
        <v/>
      </c>
      <c r="CI22">
        <f>IF(INDEX(Cal_Weeks[MonthYearLabel],86)&lt;&gt;INDEX(Cal_Weeks[MonthYearLabel],85),'Grid_Stock'!CH22,CH22)+'Grid_Incoming'!CI22-'Grid_Requirement'!CI22</f>
        <v/>
      </c>
      <c r="CJ22">
        <f>IF(INDEX(Cal_Weeks[MonthYearLabel],87)&lt;&gt;INDEX(Cal_Weeks[MonthYearLabel],86),'Grid_Stock'!CI22,CI22)+'Grid_Incoming'!CJ22-'Grid_Requirement'!CJ22</f>
        <v/>
      </c>
      <c r="CK22">
        <f>IF(INDEX(Cal_Weeks[MonthYearLabel],88)&lt;&gt;INDEX(Cal_Weeks[MonthYearLabel],87),'Grid_Stock'!CJ22,CJ22)+'Grid_Incoming'!CK22-'Grid_Requirement'!CK22</f>
        <v/>
      </c>
      <c r="CL22">
        <f>IF(INDEX(Cal_Weeks[MonthYearLabel],89)&lt;&gt;INDEX(Cal_Weeks[MonthYearLabel],88),'Grid_Stock'!CK22,CK22)+'Grid_Incoming'!CL22-'Grid_Requirement'!CL22</f>
        <v/>
      </c>
      <c r="CM22">
        <f>IF(INDEX(Cal_Weeks[MonthYearLabel],90)&lt;&gt;INDEX(Cal_Weeks[MonthYearLabel],89),'Grid_Stock'!CL22,CL22)+'Grid_Incoming'!CM22-'Grid_Requirement'!CM22</f>
        <v/>
      </c>
      <c r="CN22">
        <f>IF(INDEX(Cal_Weeks[MonthYearLabel],91)&lt;&gt;INDEX(Cal_Weeks[MonthYearLabel],90),'Grid_Stock'!CM22,CM22)+'Grid_Incoming'!CN22-'Grid_Requirement'!CN22</f>
        <v/>
      </c>
      <c r="CO22">
        <f>IF(INDEX(Cal_Weeks[MonthYearLabel],92)&lt;&gt;INDEX(Cal_Weeks[MonthYearLabel],91),'Grid_Stock'!CN22,CN22)+'Grid_Incoming'!CO22-'Grid_Requirement'!CO22</f>
        <v/>
      </c>
      <c r="CP22">
        <f>IF(INDEX(Cal_Weeks[MonthYearLabel],93)&lt;&gt;INDEX(Cal_Weeks[MonthYearLabel],92),'Grid_Stock'!CO22,CO22)+'Grid_Incoming'!CP22-'Grid_Requirement'!CP22</f>
        <v/>
      </c>
      <c r="CQ22">
        <f>IF(INDEX(Cal_Weeks[MonthYearLabel],94)&lt;&gt;INDEX(Cal_Weeks[MonthYearLabel],93),'Grid_Stock'!CP22,CP22)+'Grid_Incoming'!CQ22-'Grid_Requirement'!CQ22</f>
        <v/>
      </c>
      <c r="CR22">
        <f>IF(INDEX(Cal_Weeks[MonthYearLabel],95)&lt;&gt;INDEX(Cal_Weeks[MonthYearLabel],94),'Grid_Stock'!CQ22,CQ22)+'Grid_Incoming'!CR22-'Grid_Requirement'!CR22</f>
        <v/>
      </c>
      <c r="CS22">
        <f>IF(INDEX(Cal_Weeks[MonthYearLabel],96)&lt;&gt;INDEX(Cal_Weeks[MonthYearLabel],95),'Grid_Stock'!CR22,CR22)+'Grid_Incoming'!CS22-'Grid_Requirement'!CS22</f>
        <v/>
      </c>
      <c r="CT22">
        <f>IF(INDEX(Cal_Weeks[MonthYearLabel],97)&lt;&gt;INDEX(Cal_Weeks[MonthYearLabel],96),'Grid_Stock'!CS22,CS22)+'Grid_Incoming'!CT22-'Grid_Requirement'!CT22</f>
        <v/>
      </c>
      <c r="CU22">
        <f>IF(INDEX(Cal_Weeks[MonthYearLabel],98)&lt;&gt;INDEX(Cal_Weeks[MonthYearLabel],97),'Grid_Stock'!CT22,CT22)+'Grid_Incoming'!CU22-'Grid_Requirement'!CU22</f>
        <v/>
      </c>
      <c r="CV22">
        <f>IF(INDEX(Cal_Weeks[MonthYearLabel],99)&lt;&gt;INDEX(Cal_Weeks[MonthYearLabel],98),'Grid_Stock'!CU22,CU22)+'Grid_Incoming'!CV22-'Grid_Requirement'!CV22</f>
        <v/>
      </c>
      <c r="CW22">
        <f>IF(INDEX(Cal_Weeks[MonthYearLabel],100)&lt;&gt;INDEX(Cal_Weeks[MonthYearLabel],99),'Grid_Stock'!CV22,CV22)+'Grid_Incoming'!CW22-'Grid_Requirement'!CW22</f>
        <v/>
      </c>
      <c r="CX22">
        <f>IF(INDEX(Cal_Weeks[MonthYearLabel],101)&lt;&gt;INDEX(Cal_Weeks[MonthYearLabel],100),'Grid_Stock'!CW22,CW22)+'Grid_Incoming'!CX22-'Grid_Requirement'!CX22</f>
        <v/>
      </c>
      <c r="CY22">
        <f>IF(INDEX(Cal_Weeks[MonthYearLabel],102)&lt;&gt;INDEX(Cal_Weeks[MonthYearLabel],101),'Grid_Stock'!CX22,CX22)+'Grid_Incoming'!CY22-'Grid_Requirement'!CY22</f>
        <v/>
      </c>
      <c r="CZ22">
        <f>IF(INDEX(Cal_Weeks[MonthYearLabel],103)&lt;&gt;INDEX(Cal_Weeks[MonthYearLabel],102),'Grid_Stock'!CY22,CY22)+'Grid_Incoming'!CZ22-'Grid_Requirement'!CZ22</f>
        <v/>
      </c>
      <c r="DA22">
        <f>IF(INDEX(Cal_Weeks[MonthYearLabel],104)&lt;&gt;INDEX(Cal_Weeks[MonthYearLabel],103),'Grid_Stock'!CZ22,CZ22)+'Grid_Incoming'!DA22-'Grid_Requirement'!DA22</f>
        <v/>
      </c>
    </row>
    <row r="23">
      <c r="A23" t="inlineStr">
        <is>
          <t>CHEM-1110</t>
        </is>
      </c>
      <c r="B23">
        <f>IFERROR(INDEX(T_OpeningStock[Opening_Qty_要入力],MATCH($A23,T_OpeningStock[Part Name],0)),0)+'Grid_Incoming'!B23-'Grid_Requirement'!B23</f>
        <v/>
      </c>
      <c r="C23">
        <f>IF(INDEX(Cal_Weeks[MonthYearLabel],2)&lt;&gt;INDEX(Cal_Weeks[MonthYearLabel],1),'Grid_Stock'!B23,B23)+'Grid_Incoming'!C23-'Grid_Requirement'!C23</f>
        <v/>
      </c>
      <c r="D23">
        <f>IF(INDEX(Cal_Weeks[MonthYearLabel],3)&lt;&gt;INDEX(Cal_Weeks[MonthYearLabel],2),'Grid_Stock'!C23,C23)+'Grid_Incoming'!D23-'Grid_Requirement'!D23</f>
        <v/>
      </c>
      <c r="E23">
        <f>IF(INDEX(Cal_Weeks[MonthYearLabel],4)&lt;&gt;INDEX(Cal_Weeks[MonthYearLabel],3),'Grid_Stock'!D23,D23)+'Grid_Incoming'!E23-'Grid_Requirement'!E23</f>
        <v/>
      </c>
      <c r="F23">
        <f>IF(INDEX(Cal_Weeks[MonthYearLabel],5)&lt;&gt;INDEX(Cal_Weeks[MonthYearLabel],4),'Grid_Stock'!E23,E23)+'Grid_Incoming'!F23-'Grid_Requirement'!F23</f>
        <v/>
      </c>
      <c r="G23">
        <f>IF(INDEX(Cal_Weeks[MonthYearLabel],6)&lt;&gt;INDEX(Cal_Weeks[MonthYearLabel],5),'Grid_Stock'!F23,F23)+'Grid_Incoming'!G23-'Grid_Requirement'!G23</f>
        <v/>
      </c>
      <c r="H23">
        <f>IF(INDEX(Cal_Weeks[MonthYearLabel],7)&lt;&gt;INDEX(Cal_Weeks[MonthYearLabel],6),'Grid_Stock'!G23,G23)+'Grid_Incoming'!H23-'Grid_Requirement'!H23</f>
        <v/>
      </c>
      <c r="I23">
        <f>IF(INDEX(Cal_Weeks[MonthYearLabel],8)&lt;&gt;INDEX(Cal_Weeks[MonthYearLabel],7),'Grid_Stock'!H23,H23)+'Grid_Incoming'!I23-'Grid_Requirement'!I23</f>
        <v/>
      </c>
      <c r="J23">
        <f>IF(INDEX(Cal_Weeks[MonthYearLabel],9)&lt;&gt;INDEX(Cal_Weeks[MonthYearLabel],8),'Grid_Stock'!I23,I23)+'Grid_Incoming'!J23-'Grid_Requirement'!J23</f>
        <v/>
      </c>
      <c r="K23">
        <f>IF(INDEX(Cal_Weeks[MonthYearLabel],10)&lt;&gt;INDEX(Cal_Weeks[MonthYearLabel],9),'Grid_Stock'!J23,J23)+'Grid_Incoming'!K23-'Grid_Requirement'!K23</f>
        <v/>
      </c>
      <c r="L23">
        <f>IF(INDEX(Cal_Weeks[MonthYearLabel],11)&lt;&gt;INDEX(Cal_Weeks[MonthYearLabel],10),'Grid_Stock'!K23,K23)+'Grid_Incoming'!L23-'Grid_Requirement'!L23</f>
        <v/>
      </c>
      <c r="M23">
        <f>IF(INDEX(Cal_Weeks[MonthYearLabel],12)&lt;&gt;INDEX(Cal_Weeks[MonthYearLabel],11),'Grid_Stock'!L23,L23)+'Grid_Incoming'!M23-'Grid_Requirement'!M23</f>
        <v/>
      </c>
      <c r="N23">
        <f>IF(INDEX(Cal_Weeks[MonthYearLabel],13)&lt;&gt;INDEX(Cal_Weeks[MonthYearLabel],12),'Grid_Stock'!M23,M23)+'Grid_Incoming'!N23-'Grid_Requirement'!N23</f>
        <v/>
      </c>
      <c r="O23">
        <f>IF(INDEX(Cal_Weeks[MonthYearLabel],14)&lt;&gt;INDEX(Cal_Weeks[MonthYearLabel],13),'Grid_Stock'!N23,N23)+'Grid_Incoming'!O23-'Grid_Requirement'!O23</f>
        <v/>
      </c>
      <c r="P23">
        <f>IF(INDEX(Cal_Weeks[MonthYearLabel],15)&lt;&gt;INDEX(Cal_Weeks[MonthYearLabel],14),'Grid_Stock'!O23,O23)+'Grid_Incoming'!P23-'Grid_Requirement'!P23</f>
        <v/>
      </c>
      <c r="Q23">
        <f>IF(INDEX(Cal_Weeks[MonthYearLabel],16)&lt;&gt;INDEX(Cal_Weeks[MonthYearLabel],15),'Grid_Stock'!P23,P23)+'Grid_Incoming'!Q23-'Grid_Requirement'!Q23</f>
        <v/>
      </c>
      <c r="R23">
        <f>IF(INDEX(Cal_Weeks[MonthYearLabel],17)&lt;&gt;INDEX(Cal_Weeks[MonthYearLabel],16),'Grid_Stock'!Q23,Q23)+'Grid_Incoming'!R23-'Grid_Requirement'!R23</f>
        <v/>
      </c>
      <c r="S23">
        <f>IF(INDEX(Cal_Weeks[MonthYearLabel],18)&lt;&gt;INDEX(Cal_Weeks[MonthYearLabel],17),'Grid_Stock'!R23,R23)+'Grid_Incoming'!S23-'Grid_Requirement'!S23</f>
        <v/>
      </c>
      <c r="T23">
        <f>IF(INDEX(Cal_Weeks[MonthYearLabel],19)&lt;&gt;INDEX(Cal_Weeks[MonthYearLabel],18),'Grid_Stock'!S23,S23)+'Grid_Incoming'!T23-'Grid_Requirement'!T23</f>
        <v/>
      </c>
      <c r="U23">
        <f>IF(INDEX(Cal_Weeks[MonthYearLabel],20)&lt;&gt;INDEX(Cal_Weeks[MonthYearLabel],19),'Grid_Stock'!T23,T23)+'Grid_Incoming'!U23-'Grid_Requirement'!U23</f>
        <v/>
      </c>
      <c r="V23">
        <f>IF(INDEX(Cal_Weeks[MonthYearLabel],21)&lt;&gt;INDEX(Cal_Weeks[MonthYearLabel],20),'Grid_Stock'!U23,U23)+'Grid_Incoming'!V23-'Grid_Requirement'!V23</f>
        <v/>
      </c>
      <c r="W23">
        <f>IF(INDEX(Cal_Weeks[MonthYearLabel],22)&lt;&gt;INDEX(Cal_Weeks[MonthYearLabel],21),'Grid_Stock'!V23,V23)+'Grid_Incoming'!W23-'Grid_Requirement'!W23</f>
        <v/>
      </c>
      <c r="X23">
        <f>IF(INDEX(Cal_Weeks[MonthYearLabel],23)&lt;&gt;INDEX(Cal_Weeks[MonthYearLabel],22),'Grid_Stock'!W23,W23)+'Grid_Incoming'!X23-'Grid_Requirement'!X23</f>
        <v/>
      </c>
      <c r="Y23">
        <f>IF(INDEX(Cal_Weeks[MonthYearLabel],24)&lt;&gt;INDEX(Cal_Weeks[MonthYearLabel],23),'Grid_Stock'!X23,X23)+'Grid_Incoming'!Y23-'Grid_Requirement'!Y23</f>
        <v/>
      </c>
      <c r="Z23">
        <f>IF(INDEX(Cal_Weeks[MonthYearLabel],25)&lt;&gt;INDEX(Cal_Weeks[MonthYearLabel],24),'Grid_Stock'!Y23,Y23)+'Grid_Incoming'!Z23-'Grid_Requirement'!Z23</f>
        <v/>
      </c>
      <c r="AA23">
        <f>IF(INDEX(Cal_Weeks[MonthYearLabel],26)&lt;&gt;INDEX(Cal_Weeks[MonthYearLabel],25),'Grid_Stock'!Z23,Z23)+'Grid_Incoming'!AA23-'Grid_Requirement'!AA23</f>
        <v/>
      </c>
      <c r="AB23">
        <f>IF(INDEX(Cal_Weeks[MonthYearLabel],27)&lt;&gt;INDEX(Cal_Weeks[MonthYearLabel],26),'Grid_Stock'!AA23,AA23)+'Grid_Incoming'!AB23-'Grid_Requirement'!AB23</f>
        <v/>
      </c>
      <c r="AC23">
        <f>IF(INDEX(Cal_Weeks[MonthYearLabel],28)&lt;&gt;INDEX(Cal_Weeks[MonthYearLabel],27),'Grid_Stock'!AB23,AB23)+'Grid_Incoming'!AC23-'Grid_Requirement'!AC23</f>
        <v/>
      </c>
      <c r="AD23">
        <f>IF(INDEX(Cal_Weeks[MonthYearLabel],29)&lt;&gt;INDEX(Cal_Weeks[MonthYearLabel],28),'Grid_Stock'!AC23,AC23)+'Grid_Incoming'!AD23-'Grid_Requirement'!AD23</f>
        <v/>
      </c>
      <c r="AE23">
        <f>IF(INDEX(Cal_Weeks[MonthYearLabel],30)&lt;&gt;INDEX(Cal_Weeks[MonthYearLabel],29),'Grid_Stock'!AD23,AD23)+'Grid_Incoming'!AE23-'Grid_Requirement'!AE23</f>
        <v/>
      </c>
      <c r="AF23">
        <f>IF(INDEX(Cal_Weeks[MonthYearLabel],31)&lt;&gt;INDEX(Cal_Weeks[MonthYearLabel],30),'Grid_Stock'!AE23,AE23)+'Grid_Incoming'!AF23-'Grid_Requirement'!AF23</f>
        <v/>
      </c>
      <c r="AG23">
        <f>IF(INDEX(Cal_Weeks[MonthYearLabel],32)&lt;&gt;INDEX(Cal_Weeks[MonthYearLabel],31),'Grid_Stock'!AF23,AF23)+'Grid_Incoming'!AG23-'Grid_Requirement'!AG23</f>
        <v/>
      </c>
      <c r="AH23">
        <f>IF(INDEX(Cal_Weeks[MonthYearLabel],33)&lt;&gt;INDEX(Cal_Weeks[MonthYearLabel],32),'Grid_Stock'!AG23,AG23)+'Grid_Incoming'!AH23-'Grid_Requirement'!AH23</f>
        <v/>
      </c>
      <c r="AI23">
        <f>IF(INDEX(Cal_Weeks[MonthYearLabel],34)&lt;&gt;INDEX(Cal_Weeks[MonthYearLabel],33),'Grid_Stock'!AH23,AH23)+'Grid_Incoming'!AI23-'Grid_Requirement'!AI23</f>
        <v/>
      </c>
      <c r="AJ23">
        <f>IF(INDEX(Cal_Weeks[MonthYearLabel],35)&lt;&gt;INDEX(Cal_Weeks[MonthYearLabel],34),'Grid_Stock'!AI23,AI23)+'Grid_Incoming'!AJ23-'Grid_Requirement'!AJ23</f>
        <v/>
      </c>
      <c r="AK23">
        <f>IF(INDEX(Cal_Weeks[MonthYearLabel],36)&lt;&gt;INDEX(Cal_Weeks[MonthYearLabel],35),'Grid_Stock'!AJ23,AJ23)+'Grid_Incoming'!AK23-'Grid_Requirement'!AK23</f>
        <v/>
      </c>
      <c r="AL23">
        <f>IF(INDEX(Cal_Weeks[MonthYearLabel],37)&lt;&gt;INDEX(Cal_Weeks[MonthYearLabel],36),'Grid_Stock'!AK23,AK23)+'Grid_Incoming'!AL23-'Grid_Requirement'!AL23</f>
        <v/>
      </c>
      <c r="AM23">
        <f>IF(INDEX(Cal_Weeks[MonthYearLabel],38)&lt;&gt;INDEX(Cal_Weeks[MonthYearLabel],37),'Grid_Stock'!AL23,AL23)+'Grid_Incoming'!AM23-'Grid_Requirement'!AM23</f>
        <v/>
      </c>
      <c r="AN23">
        <f>IF(INDEX(Cal_Weeks[MonthYearLabel],39)&lt;&gt;INDEX(Cal_Weeks[MonthYearLabel],38),'Grid_Stock'!AM23,AM23)+'Grid_Incoming'!AN23-'Grid_Requirement'!AN23</f>
        <v/>
      </c>
      <c r="AO23">
        <f>IF(INDEX(Cal_Weeks[MonthYearLabel],40)&lt;&gt;INDEX(Cal_Weeks[MonthYearLabel],39),'Grid_Stock'!AN23,AN23)+'Grid_Incoming'!AO23-'Grid_Requirement'!AO23</f>
        <v/>
      </c>
      <c r="AP23">
        <f>IF(INDEX(Cal_Weeks[MonthYearLabel],41)&lt;&gt;INDEX(Cal_Weeks[MonthYearLabel],40),'Grid_Stock'!AO23,AO23)+'Grid_Incoming'!AP23-'Grid_Requirement'!AP23</f>
        <v/>
      </c>
      <c r="AQ23">
        <f>IF(INDEX(Cal_Weeks[MonthYearLabel],42)&lt;&gt;INDEX(Cal_Weeks[MonthYearLabel],41),'Grid_Stock'!AP23,AP23)+'Grid_Incoming'!AQ23-'Grid_Requirement'!AQ23</f>
        <v/>
      </c>
      <c r="AR23">
        <f>IF(INDEX(Cal_Weeks[MonthYearLabel],43)&lt;&gt;INDEX(Cal_Weeks[MonthYearLabel],42),'Grid_Stock'!AQ23,AQ23)+'Grid_Incoming'!AR23-'Grid_Requirement'!AR23</f>
        <v/>
      </c>
      <c r="AS23">
        <f>IF(INDEX(Cal_Weeks[MonthYearLabel],44)&lt;&gt;INDEX(Cal_Weeks[MonthYearLabel],43),'Grid_Stock'!AR23,AR23)+'Grid_Incoming'!AS23-'Grid_Requirement'!AS23</f>
        <v/>
      </c>
      <c r="AT23">
        <f>IF(INDEX(Cal_Weeks[MonthYearLabel],45)&lt;&gt;INDEX(Cal_Weeks[MonthYearLabel],44),'Grid_Stock'!AS23,AS23)+'Grid_Incoming'!AT23-'Grid_Requirement'!AT23</f>
        <v/>
      </c>
      <c r="AU23">
        <f>IF(INDEX(Cal_Weeks[MonthYearLabel],46)&lt;&gt;INDEX(Cal_Weeks[MonthYearLabel],45),'Grid_Stock'!AT23,AT23)+'Grid_Incoming'!AU23-'Grid_Requirement'!AU23</f>
        <v/>
      </c>
      <c r="AV23">
        <f>IF(INDEX(Cal_Weeks[MonthYearLabel],47)&lt;&gt;INDEX(Cal_Weeks[MonthYearLabel],46),'Grid_Stock'!AU23,AU23)+'Grid_Incoming'!AV23-'Grid_Requirement'!AV23</f>
        <v/>
      </c>
      <c r="AW23">
        <f>IF(INDEX(Cal_Weeks[MonthYearLabel],48)&lt;&gt;INDEX(Cal_Weeks[MonthYearLabel],47),'Grid_Stock'!AV23,AV23)+'Grid_Incoming'!AW23-'Grid_Requirement'!AW23</f>
        <v/>
      </c>
      <c r="AX23">
        <f>IF(INDEX(Cal_Weeks[MonthYearLabel],49)&lt;&gt;INDEX(Cal_Weeks[MonthYearLabel],48),'Grid_Stock'!AW23,AW23)+'Grid_Incoming'!AX23-'Grid_Requirement'!AX23</f>
        <v/>
      </c>
      <c r="AY23">
        <f>IF(INDEX(Cal_Weeks[MonthYearLabel],50)&lt;&gt;INDEX(Cal_Weeks[MonthYearLabel],49),'Grid_Stock'!AX23,AX23)+'Grid_Incoming'!AY23-'Grid_Requirement'!AY23</f>
        <v/>
      </c>
      <c r="AZ23">
        <f>IF(INDEX(Cal_Weeks[MonthYearLabel],51)&lt;&gt;INDEX(Cal_Weeks[MonthYearLabel],50),'Grid_Stock'!AY23,AY23)+'Grid_Incoming'!AZ23-'Grid_Requirement'!AZ23</f>
        <v/>
      </c>
      <c r="BA23">
        <f>IF(INDEX(Cal_Weeks[MonthYearLabel],52)&lt;&gt;INDEX(Cal_Weeks[MonthYearLabel],51),'Grid_Stock'!AZ23,AZ23)+'Grid_Incoming'!BA23-'Grid_Requirement'!BA23</f>
        <v/>
      </c>
      <c r="BB23">
        <f>IF(INDEX(Cal_Weeks[MonthYearLabel],53)&lt;&gt;INDEX(Cal_Weeks[MonthYearLabel],52),'Grid_Stock'!BA23,BA23)+'Grid_Incoming'!BB23-'Grid_Requirement'!BB23</f>
        <v/>
      </c>
      <c r="BC23">
        <f>IF(INDEX(Cal_Weeks[MonthYearLabel],54)&lt;&gt;INDEX(Cal_Weeks[MonthYearLabel],53),'Grid_Stock'!BB23,BB23)+'Grid_Incoming'!BC23-'Grid_Requirement'!BC23</f>
        <v/>
      </c>
      <c r="BD23">
        <f>IF(INDEX(Cal_Weeks[MonthYearLabel],55)&lt;&gt;INDEX(Cal_Weeks[MonthYearLabel],54),'Grid_Stock'!BC23,BC23)+'Grid_Incoming'!BD23-'Grid_Requirement'!BD23</f>
        <v/>
      </c>
      <c r="BE23">
        <f>IF(INDEX(Cal_Weeks[MonthYearLabel],56)&lt;&gt;INDEX(Cal_Weeks[MonthYearLabel],55),'Grid_Stock'!BD23,BD23)+'Grid_Incoming'!BE23-'Grid_Requirement'!BE23</f>
        <v/>
      </c>
      <c r="BF23">
        <f>IF(INDEX(Cal_Weeks[MonthYearLabel],57)&lt;&gt;INDEX(Cal_Weeks[MonthYearLabel],56),'Grid_Stock'!BE23,BE23)+'Grid_Incoming'!BF23-'Grid_Requirement'!BF23</f>
        <v/>
      </c>
      <c r="BG23">
        <f>IF(INDEX(Cal_Weeks[MonthYearLabel],58)&lt;&gt;INDEX(Cal_Weeks[MonthYearLabel],57),'Grid_Stock'!BF23,BF23)+'Grid_Incoming'!BG23-'Grid_Requirement'!BG23</f>
        <v/>
      </c>
      <c r="BH23">
        <f>IF(INDEX(Cal_Weeks[MonthYearLabel],59)&lt;&gt;INDEX(Cal_Weeks[MonthYearLabel],58),'Grid_Stock'!BG23,BG23)+'Grid_Incoming'!BH23-'Grid_Requirement'!BH23</f>
        <v/>
      </c>
      <c r="BI23">
        <f>IF(INDEX(Cal_Weeks[MonthYearLabel],60)&lt;&gt;INDEX(Cal_Weeks[MonthYearLabel],59),'Grid_Stock'!BH23,BH23)+'Grid_Incoming'!BI23-'Grid_Requirement'!BI23</f>
        <v/>
      </c>
      <c r="BJ23">
        <f>IF(INDEX(Cal_Weeks[MonthYearLabel],61)&lt;&gt;INDEX(Cal_Weeks[MonthYearLabel],60),'Grid_Stock'!BI23,BI23)+'Grid_Incoming'!BJ23-'Grid_Requirement'!BJ23</f>
        <v/>
      </c>
      <c r="BK23">
        <f>IF(INDEX(Cal_Weeks[MonthYearLabel],62)&lt;&gt;INDEX(Cal_Weeks[MonthYearLabel],61),'Grid_Stock'!BJ23,BJ23)+'Grid_Incoming'!BK23-'Grid_Requirement'!BK23</f>
        <v/>
      </c>
      <c r="BL23">
        <f>IF(INDEX(Cal_Weeks[MonthYearLabel],63)&lt;&gt;INDEX(Cal_Weeks[MonthYearLabel],62),'Grid_Stock'!BK23,BK23)+'Grid_Incoming'!BL23-'Grid_Requirement'!BL23</f>
        <v/>
      </c>
      <c r="BM23">
        <f>IF(INDEX(Cal_Weeks[MonthYearLabel],64)&lt;&gt;INDEX(Cal_Weeks[MonthYearLabel],63),'Grid_Stock'!BL23,BL23)+'Grid_Incoming'!BM23-'Grid_Requirement'!BM23</f>
        <v/>
      </c>
      <c r="BN23">
        <f>IF(INDEX(Cal_Weeks[MonthYearLabel],65)&lt;&gt;INDEX(Cal_Weeks[MonthYearLabel],64),'Grid_Stock'!BM23,BM23)+'Grid_Incoming'!BN23-'Grid_Requirement'!BN23</f>
        <v/>
      </c>
      <c r="BO23">
        <f>IF(INDEX(Cal_Weeks[MonthYearLabel],66)&lt;&gt;INDEX(Cal_Weeks[MonthYearLabel],65),'Grid_Stock'!BN23,BN23)+'Grid_Incoming'!BO23-'Grid_Requirement'!BO23</f>
        <v/>
      </c>
      <c r="BP23">
        <f>IF(INDEX(Cal_Weeks[MonthYearLabel],67)&lt;&gt;INDEX(Cal_Weeks[MonthYearLabel],66),'Grid_Stock'!BO23,BO23)+'Grid_Incoming'!BP23-'Grid_Requirement'!BP23</f>
        <v/>
      </c>
      <c r="BQ23">
        <f>IF(INDEX(Cal_Weeks[MonthYearLabel],68)&lt;&gt;INDEX(Cal_Weeks[MonthYearLabel],67),'Grid_Stock'!BP23,BP23)+'Grid_Incoming'!BQ23-'Grid_Requirement'!BQ23</f>
        <v/>
      </c>
      <c r="BR23">
        <f>IF(INDEX(Cal_Weeks[MonthYearLabel],69)&lt;&gt;INDEX(Cal_Weeks[MonthYearLabel],68),'Grid_Stock'!BQ23,BQ23)+'Grid_Incoming'!BR23-'Grid_Requirement'!BR23</f>
        <v/>
      </c>
      <c r="BS23">
        <f>IF(INDEX(Cal_Weeks[MonthYearLabel],70)&lt;&gt;INDEX(Cal_Weeks[MonthYearLabel],69),'Grid_Stock'!BR23,BR23)+'Grid_Incoming'!BS23-'Grid_Requirement'!BS23</f>
        <v/>
      </c>
      <c r="BT23">
        <f>IF(INDEX(Cal_Weeks[MonthYearLabel],71)&lt;&gt;INDEX(Cal_Weeks[MonthYearLabel],70),'Grid_Stock'!BS23,BS23)+'Grid_Incoming'!BT23-'Grid_Requirement'!BT23</f>
        <v/>
      </c>
      <c r="BU23">
        <f>IF(INDEX(Cal_Weeks[MonthYearLabel],72)&lt;&gt;INDEX(Cal_Weeks[MonthYearLabel],71),'Grid_Stock'!BT23,BT23)+'Grid_Incoming'!BU23-'Grid_Requirement'!BU23</f>
        <v/>
      </c>
      <c r="BV23">
        <f>IF(INDEX(Cal_Weeks[MonthYearLabel],73)&lt;&gt;INDEX(Cal_Weeks[MonthYearLabel],72),'Grid_Stock'!BU23,BU23)+'Grid_Incoming'!BV23-'Grid_Requirement'!BV23</f>
        <v/>
      </c>
      <c r="BW23">
        <f>IF(INDEX(Cal_Weeks[MonthYearLabel],74)&lt;&gt;INDEX(Cal_Weeks[MonthYearLabel],73),'Grid_Stock'!BV23,BV23)+'Grid_Incoming'!BW23-'Grid_Requirement'!BW23</f>
        <v/>
      </c>
      <c r="BX23">
        <f>IF(INDEX(Cal_Weeks[MonthYearLabel],75)&lt;&gt;INDEX(Cal_Weeks[MonthYearLabel],74),'Grid_Stock'!BW23,BW23)+'Grid_Incoming'!BX23-'Grid_Requirement'!BX23</f>
        <v/>
      </c>
      <c r="BY23">
        <f>IF(INDEX(Cal_Weeks[MonthYearLabel],76)&lt;&gt;INDEX(Cal_Weeks[MonthYearLabel],75),'Grid_Stock'!BX23,BX23)+'Grid_Incoming'!BY23-'Grid_Requirement'!BY23</f>
        <v/>
      </c>
      <c r="BZ23">
        <f>IF(INDEX(Cal_Weeks[MonthYearLabel],77)&lt;&gt;INDEX(Cal_Weeks[MonthYearLabel],76),'Grid_Stock'!BY23,BY23)+'Grid_Incoming'!BZ23-'Grid_Requirement'!BZ23</f>
        <v/>
      </c>
      <c r="CA23">
        <f>IF(INDEX(Cal_Weeks[MonthYearLabel],78)&lt;&gt;INDEX(Cal_Weeks[MonthYearLabel],77),'Grid_Stock'!BZ23,BZ23)+'Grid_Incoming'!CA23-'Grid_Requirement'!CA23</f>
        <v/>
      </c>
      <c r="CB23">
        <f>IF(INDEX(Cal_Weeks[MonthYearLabel],79)&lt;&gt;INDEX(Cal_Weeks[MonthYearLabel],78),'Grid_Stock'!CA23,CA23)+'Grid_Incoming'!CB23-'Grid_Requirement'!CB23</f>
        <v/>
      </c>
      <c r="CC23">
        <f>IF(INDEX(Cal_Weeks[MonthYearLabel],80)&lt;&gt;INDEX(Cal_Weeks[MonthYearLabel],79),'Grid_Stock'!CB23,CB23)+'Grid_Incoming'!CC23-'Grid_Requirement'!CC23</f>
        <v/>
      </c>
      <c r="CD23">
        <f>IF(INDEX(Cal_Weeks[MonthYearLabel],81)&lt;&gt;INDEX(Cal_Weeks[MonthYearLabel],80),'Grid_Stock'!CC23,CC23)+'Grid_Incoming'!CD23-'Grid_Requirement'!CD23</f>
        <v/>
      </c>
      <c r="CE23">
        <f>IF(INDEX(Cal_Weeks[MonthYearLabel],82)&lt;&gt;INDEX(Cal_Weeks[MonthYearLabel],81),'Grid_Stock'!CD23,CD23)+'Grid_Incoming'!CE23-'Grid_Requirement'!CE23</f>
        <v/>
      </c>
      <c r="CF23">
        <f>IF(INDEX(Cal_Weeks[MonthYearLabel],83)&lt;&gt;INDEX(Cal_Weeks[MonthYearLabel],82),'Grid_Stock'!CE23,CE23)+'Grid_Incoming'!CF23-'Grid_Requirement'!CF23</f>
        <v/>
      </c>
      <c r="CG23">
        <f>IF(INDEX(Cal_Weeks[MonthYearLabel],84)&lt;&gt;INDEX(Cal_Weeks[MonthYearLabel],83),'Grid_Stock'!CF23,CF23)+'Grid_Incoming'!CG23-'Grid_Requirement'!CG23</f>
        <v/>
      </c>
      <c r="CH23">
        <f>IF(INDEX(Cal_Weeks[MonthYearLabel],85)&lt;&gt;INDEX(Cal_Weeks[MonthYearLabel],84),'Grid_Stock'!CG23,CG23)+'Grid_Incoming'!CH23-'Grid_Requirement'!CH23</f>
        <v/>
      </c>
      <c r="CI23">
        <f>IF(INDEX(Cal_Weeks[MonthYearLabel],86)&lt;&gt;INDEX(Cal_Weeks[MonthYearLabel],85),'Grid_Stock'!CH23,CH23)+'Grid_Incoming'!CI23-'Grid_Requirement'!CI23</f>
        <v/>
      </c>
      <c r="CJ23">
        <f>IF(INDEX(Cal_Weeks[MonthYearLabel],87)&lt;&gt;INDEX(Cal_Weeks[MonthYearLabel],86),'Grid_Stock'!CI23,CI23)+'Grid_Incoming'!CJ23-'Grid_Requirement'!CJ23</f>
        <v/>
      </c>
      <c r="CK23">
        <f>IF(INDEX(Cal_Weeks[MonthYearLabel],88)&lt;&gt;INDEX(Cal_Weeks[MonthYearLabel],87),'Grid_Stock'!CJ23,CJ23)+'Grid_Incoming'!CK23-'Grid_Requirement'!CK23</f>
        <v/>
      </c>
      <c r="CL23">
        <f>IF(INDEX(Cal_Weeks[MonthYearLabel],89)&lt;&gt;INDEX(Cal_Weeks[MonthYearLabel],88),'Grid_Stock'!CK23,CK23)+'Grid_Incoming'!CL23-'Grid_Requirement'!CL23</f>
        <v/>
      </c>
      <c r="CM23">
        <f>IF(INDEX(Cal_Weeks[MonthYearLabel],90)&lt;&gt;INDEX(Cal_Weeks[MonthYearLabel],89),'Grid_Stock'!CL23,CL23)+'Grid_Incoming'!CM23-'Grid_Requirement'!CM23</f>
        <v/>
      </c>
      <c r="CN23">
        <f>IF(INDEX(Cal_Weeks[MonthYearLabel],91)&lt;&gt;INDEX(Cal_Weeks[MonthYearLabel],90),'Grid_Stock'!CM23,CM23)+'Grid_Incoming'!CN23-'Grid_Requirement'!CN23</f>
        <v/>
      </c>
      <c r="CO23">
        <f>IF(INDEX(Cal_Weeks[MonthYearLabel],92)&lt;&gt;INDEX(Cal_Weeks[MonthYearLabel],91),'Grid_Stock'!CN23,CN23)+'Grid_Incoming'!CO23-'Grid_Requirement'!CO23</f>
        <v/>
      </c>
      <c r="CP23">
        <f>IF(INDEX(Cal_Weeks[MonthYearLabel],93)&lt;&gt;INDEX(Cal_Weeks[MonthYearLabel],92),'Grid_Stock'!CO23,CO23)+'Grid_Incoming'!CP23-'Grid_Requirement'!CP23</f>
        <v/>
      </c>
      <c r="CQ23">
        <f>IF(INDEX(Cal_Weeks[MonthYearLabel],94)&lt;&gt;INDEX(Cal_Weeks[MonthYearLabel],93),'Grid_Stock'!CP23,CP23)+'Grid_Incoming'!CQ23-'Grid_Requirement'!CQ23</f>
        <v/>
      </c>
      <c r="CR23">
        <f>IF(INDEX(Cal_Weeks[MonthYearLabel],95)&lt;&gt;INDEX(Cal_Weeks[MonthYearLabel],94),'Grid_Stock'!CQ23,CQ23)+'Grid_Incoming'!CR23-'Grid_Requirement'!CR23</f>
        <v/>
      </c>
      <c r="CS23">
        <f>IF(INDEX(Cal_Weeks[MonthYearLabel],96)&lt;&gt;INDEX(Cal_Weeks[MonthYearLabel],95),'Grid_Stock'!CR23,CR23)+'Grid_Incoming'!CS23-'Grid_Requirement'!CS23</f>
        <v/>
      </c>
      <c r="CT23">
        <f>IF(INDEX(Cal_Weeks[MonthYearLabel],97)&lt;&gt;INDEX(Cal_Weeks[MonthYearLabel],96),'Grid_Stock'!CS23,CS23)+'Grid_Incoming'!CT23-'Grid_Requirement'!CT23</f>
        <v/>
      </c>
      <c r="CU23">
        <f>IF(INDEX(Cal_Weeks[MonthYearLabel],98)&lt;&gt;INDEX(Cal_Weeks[MonthYearLabel],97),'Grid_Stock'!CT23,CT23)+'Grid_Incoming'!CU23-'Grid_Requirement'!CU23</f>
        <v/>
      </c>
      <c r="CV23">
        <f>IF(INDEX(Cal_Weeks[MonthYearLabel],99)&lt;&gt;INDEX(Cal_Weeks[MonthYearLabel],98),'Grid_Stock'!CU23,CU23)+'Grid_Incoming'!CV23-'Grid_Requirement'!CV23</f>
        <v/>
      </c>
      <c r="CW23">
        <f>IF(INDEX(Cal_Weeks[MonthYearLabel],100)&lt;&gt;INDEX(Cal_Weeks[MonthYearLabel],99),'Grid_Stock'!CV23,CV23)+'Grid_Incoming'!CW23-'Grid_Requirement'!CW23</f>
        <v/>
      </c>
      <c r="CX23">
        <f>IF(INDEX(Cal_Weeks[MonthYearLabel],101)&lt;&gt;INDEX(Cal_Weeks[MonthYearLabel],100),'Grid_Stock'!CW23,CW23)+'Grid_Incoming'!CX23-'Grid_Requirement'!CX23</f>
        <v/>
      </c>
      <c r="CY23">
        <f>IF(INDEX(Cal_Weeks[MonthYearLabel],102)&lt;&gt;INDEX(Cal_Weeks[MonthYearLabel],101),'Grid_Stock'!CX23,CX23)+'Grid_Incoming'!CY23-'Grid_Requirement'!CY23</f>
        <v/>
      </c>
      <c r="CZ23">
        <f>IF(INDEX(Cal_Weeks[MonthYearLabel],103)&lt;&gt;INDEX(Cal_Weeks[MonthYearLabel],102),'Grid_Stock'!CY23,CY23)+'Grid_Incoming'!CZ23-'Grid_Requirement'!CZ23</f>
        <v/>
      </c>
      <c r="DA23">
        <f>IF(INDEX(Cal_Weeks[MonthYearLabel],104)&lt;&gt;INDEX(Cal_Weeks[MonthYearLabel],103),'Grid_Stock'!CZ23,CZ23)+'Grid_Incoming'!DA23-'Grid_Requirement'!DA23</f>
        <v/>
      </c>
    </row>
    <row r="24">
      <c r="A24" t="inlineStr">
        <is>
          <t>CHEM-1240</t>
        </is>
      </c>
      <c r="B24">
        <f>IFERROR(INDEX(T_OpeningStock[Opening_Qty_要入力],MATCH($A24,T_OpeningStock[Part Name],0)),0)+'Grid_Incoming'!B24-'Grid_Requirement'!B24</f>
        <v/>
      </c>
      <c r="C24">
        <f>IF(INDEX(Cal_Weeks[MonthYearLabel],2)&lt;&gt;INDEX(Cal_Weeks[MonthYearLabel],1),'Grid_Stock'!B24,B24)+'Grid_Incoming'!C24-'Grid_Requirement'!C24</f>
        <v/>
      </c>
      <c r="D24">
        <f>IF(INDEX(Cal_Weeks[MonthYearLabel],3)&lt;&gt;INDEX(Cal_Weeks[MonthYearLabel],2),'Grid_Stock'!C24,C24)+'Grid_Incoming'!D24-'Grid_Requirement'!D24</f>
        <v/>
      </c>
      <c r="E24">
        <f>IF(INDEX(Cal_Weeks[MonthYearLabel],4)&lt;&gt;INDEX(Cal_Weeks[MonthYearLabel],3),'Grid_Stock'!D24,D24)+'Grid_Incoming'!E24-'Grid_Requirement'!E24</f>
        <v/>
      </c>
      <c r="F24">
        <f>IF(INDEX(Cal_Weeks[MonthYearLabel],5)&lt;&gt;INDEX(Cal_Weeks[MonthYearLabel],4),'Grid_Stock'!E24,E24)+'Grid_Incoming'!F24-'Grid_Requirement'!F24</f>
        <v/>
      </c>
      <c r="G24">
        <f>IF(INDEX(Cal_Weeks[MonthYearLabel],6)&lt;&gt;INDEX(Cal_Weeks[MonthYearLabel],5),'Grid_Stock'!F24,F24)+'Grid_Incoming'!G24-'Grid_Requirement'!G24</f>
        <v/>
      </c>
      <c r="H24">
        <f>IF(INDEX(Cal_Weeks[MonthYearLabel],7)&lt;&gt;INDEX(Cal_Weeks[MonthYearLabel],6),'Grid_Stock'!G24,G24)+'Grid_Incoming'!H24-'Grid_Requirement'!H24</f>
        <v/>
      </c>
      <c r="I24">
        <f>IF(INDEX(Cal_Weeks[MonthYearLabel],8)&lt;&gt;INDEX(Cal_Weeks[MonthYearLabel],7),'Grid_Stock'!H24,H24)+'Grid_Incoming'!I24-'Grid_Requirement'!I24</f>
        <v/>
      </c>
      <c r="J24">
        <f>IF(INDEX(Cal_Weeks[MonthYearLabel],9)&lt;&gt;INDEX(Cal_Weeks[MonthYearLabel],8),'Grid_Stock'!I24,I24)+'Grid_Incoming'!J24-'Grid_Requirement'!J24</f>
        <v/>
      </c>
      <c r="K24">
        <f>IF(INDEX(Cal_Weeks[MonthYearLabel],10)&lt;&gt;INDEX(Cal_Weeks[MonthYearLabel],9),'Grid_Stock'!J24,J24)+'Grid_Incoming'!K24-'Grid_Requirement'!K24</f>
        <v/>
      </c>
      <c r="L24">
        <f>IF(INDEX(Cal_Weeks[MonthYearLabel],11)&lt;&gt;INDEX(Cal_Weeks[MonthYearLabel],10),'Grid_Stock'!K24,K24)+'Grid_Incoming'!L24-'Grid_Requirement'!L24</f>
        <v/>
      </c>
      <c r="M24">
        <f>IF(INDEX(Cal_Weeks[MonthYearLabel],12)&lt;&gt;INDEX(Cal_Weeks[MonthYearLabel],11),'Grid_Stock'!L24,L24)+'Grid_Incoming'!M24-'Grid_Requirement'!M24</f>
        <v/>
      </c>
      <c r="N24">
        <f>IF(INDEX(Cal_Weeks[MonthYearLabel],13)&lt;&gt;INDEX(Cal_Weeks[MonthYearLabel],12),'Grid_Stock'!M24,M24)+'Grid_Incoming'!N24-'Grid_Requirement'!N24</f>
        <v/>
      </c>
      <c r="O24">
        <f>IF(INDEX(Cal_Weeks[MonthYearLabel],14)&lt;&gt;INDEX(Cal_Weeks[MonthYearLabel],13),'Grid_Stock'!N24,N24)+'Grid_Incoming'!O24-'Grid_Requirement'!O24</f>
        <v/>
      </c>
      <c r="P24">
        <f>IF(INDEX(Cal_Weeks[MonthYearLabel],15)&lt;&gt;INDEX(Cal_Weeks[MonthYearLabel],14),'Grid_Stock'!O24,O24)+'Grid_Incoming'!P24-'Grid_Requirement'!P24</f>
        <v/>
      </c>
      <c r="Q24">
        <f>IF(INDEX(Cal_Weeks[MonthYearLabel],16)&lt;&gt;INDEX(Cal_Weeks[MonthYearLabel],15),'Grid_Stock'!P24,P24)+'Grid_Incoming'!Q24-'Grid_Requirement'!Q24</f>
        <v/>
      </c>
      <c r="R24">
        <f>IF(INDEX(Cal_Weeks[MonthYearLabel],17)&lt;&gt;INDEX(Cal_Weeks[MonthYearLabel],16),'Grid_Stock'!Q24,Q24)+'Grid_Incoming'!R24-'Grid_Requirement'!R24</f>
        <v/>
      </c>
      <c r="S24">
        <f>IF(INDEX(Cal_Weeks[MonthYearLabel],18)&lt;&gt;INDEX(Cal_Weeks[MonthYearLabel],17),'Grid_Stock'!R24,R24)+'Grid_Incoming'!S24-'Grid_Requirement'!S24</f>
        <v/>
      </c>
      <c r="T24">
        <f>IF(INDEX(Cal_Weeks[MonthYearLabel],19)&lt;&gt;INDEX(Cal_Weeks[MonthYearLabel],18),'Grid_Stock'!S24,S24)+'Grid_Incoming'!T24-'Grid_Requirement'!T24</f>
        <v/>
      </c>
      <c r="U24">
        <f>IF(INDEX(Cal_Weeks[MonthYearLabel],20)&lt;&gt;INDEX(Cal_Weeks[MonthYearLabel],19),'Grid_Stock'!T24,T24)+'Grid_Incoming'!U24-'Grid_Requirement'!U24</f>
        <v/>
      </c>
      <c r="V24">
        <f>IF(INDEX(Cal_Weeks[MonthYearLabel],21)&lt;&gt;INDEX(Cal_Weeks[MonthYearLabel],20),'Grid_Stock'!U24,U24)+'Grid_Incoming'!V24-'Grid_Requirement'!V24</f>
        <v/>
      </c>
      <c r="W24">
        <f>IF(INDEX(Cal_Weeks[MonthYearLabel],22)&lt;&gt;INDEX(Cal_Weeks[MonthYearLabel],21),'Grid_Stock'!V24,V24)+'Grid_Incoming'!W24-'Grid_Requirement'!W24</f>
        <v/>
      </c>
      <c r="X24">
        <f>IF(INDEX(Cal_Weeks[MonthYearLabel],23)&lt;&gt;INDEX(Cal_Weeks[MonthYearLabel],22),'Grid_Stock'!W24,W24)+'Grid_Incoming'!X24-'Grid_Requirement'!X24</f>
        <v/>
      </c>
      <c r="Y24">
        <f>IF(INDEX(Cal_Weeks[MonthYearLabel],24)&lt;&gt;INDEX(Cal_Weeks[MonthYearLabel],23),'Grid_Stock'!X24,X24)+'Grid_Incoming'!Y24-'Grid_Requirement'!Y24</f>
        <v/>
      </c>
      <c r="Z24">
        <f>IF(INDEX(Cal_Weeks[MonthYearLabel],25)&lt;&gt;INDEX(Cal_Weeks[MonthYearLabel],24),'Grid_Stock'!Y24,Y24)+'Grid_Incoming'!Z24-'Grid_Requirement'!Z24</f>
        <v/>
      </c>
      <c r="AA24">
        <f>IF(INDEX(Cal_Weeks[MonthYearLabel],26)&lt;&gt;INDEX(Cal_Weeks[MonthYearLabel],25),'Grid_Stock'!Z24,Z24)+'Grid_Incoming'!AA24-'Grid_Requirement'!AA24</f>
        <v/>
      </c>
      <c r="AB24">
        <f>IF(INDEX(Cal_Weeks[MonthYearLabel],27)&lt;&gt;INDEX(Cal_Weeks[MonthYearLabel],26),'Grid_Stock'!AA24,AA24)+'Grid_Incoming'!AB24-'Grid_Requirement'!AB24</f>
        <v/>
      </c>
      <c r="AC24">
        <f>IF(INDEX(Cal_Weeks[MonthYearLabel],28)&lt;&gt;INDEX(Cal_Weeks[MonthYearLabel],27),'Grid_Stock'!AB24,AB24)+'Grid_Incoming'!AC24-'Grid_Requirement'!AC24</f>
        <v/>
      </c>
      <c r="AD24">
        <f>IF(INDEX(Cal_Weeks[MonthYearLabel],29)&lt;&gt;INDEX(Cal_Weeks[MonthYearLabel],28),'Grid_Stock'!AC24,AC24)+'Grid_Incoming'!AD24-'Grid_Requirement'!AD24</f>
        <v/>
      </c>
      <c r="AE24">
        <f>IF(INDEX(Cal_Weeks[MonthYearLabel],30)&lt;&gt;INDEX(Cal_Weeks[MonthYearLabel],29),'Grid_Stock'!AD24,AD24)+'Grid_Incoming'!AE24-'Grid_Requirement'!AE24</f>
        <v/>
      </c>
      <c r="AF24">
        <f>IF(INDEX(Cal_Weeks[MonthYearLabel],31)&lt;&gt;INDEX(Cal_Weeks[MonthYearLabel],30),'Grid_Stock'!AE24,AE24)+'Grid_Incoming'!AF24-'Grid_Requirement'!AF24</f>
        <v/>
      </c>
      <c r="AG24">
        <f>IF(INDEX(Cal_Weeks[MonthYearLabel],32)&lt;&gt;INDEX(Cal_Weeks[MonthYearLabel],31),'Grid_Stock'!AF24,AF24)+'Grid_Incoming'!AG24-'Grid_Requirement'!AG24</f>
        <v/>
      </c>
      <c r="AH24">
        <f>IF(INDEX(Cal_Weeks[MonthYearLabel],33)&lt;&gt;INDEX(Cal_Weeks[MonthYearLabel],32),'Grid_Stock'!AG24,AG24)+'Grid_Incoming'!AH24-'Grid_Requirement'!AH24</f>
        <v/>
      </c>
      <c r="AI24">
        <f>IF(INDEX(Cal_Weeks[MonthYearLabel],34)&lt;&gt;INDEX(Cal_Weeks[MonthYearLabel],33),'Grid_Stock'!AH24,AH24)+'Grid_Incoming'!AI24-'Grid_Requirement'!AI24</f>
        <v/>
      </c>
      <c r="AJ24">
        <f>IF(INDEX(Cal_Weeks[MonthYearLabel],35)&lt;&gt;INDEX(Cal_Weeks[MonthYearLabel],34),'Grid_Stock'!AI24,AI24)+'Grid_Incoming'!AJ24-'Grid_Requirement'!AJ24</f>
        <v/>
      </c>
      <c r="AK24">
        <f>IF(INDEX(Cal_Weeks[MonthYearLabel],36)&lt;&gt;INDEX(Cal_Weeks[MonthYearLabel],35),'Grid_Stock'!AJ24,AJ24)+'Grid_Incoming'!AK24-'Grid_Requirement'!AK24</f>
        <v/>
      </c>
      <c r="AL24">
        <f>IF(INDEX(Cal_Weeks[MonthYearLabel],37)&lt;&gt;INDEX(Cal_Weeks[MonthYearLabel],36),'Grid_Stock'!AK24,AK24)+'Grid_Incoming'!AL24-'Grid_Requirement'!AL24</f>
        <v/>
      </c>
      <c r="AM24">
        <f>IF(INDEX(Cal_Weeks[MonthYearLabel],38)&lt;&gt;INDEX(Cal_Weeks[MonthYearLabel],37),'Grid_Stock'!AL24,AL24)+'Grid_Incoming'!AM24-'Grid_Requirement'!AM24</f>
        <v/>
      </c>
      <c r="AN24">
        <f>IF(INDEX(Cal_Weeks[MonthYearLabel],39)&lt;&gt;INDEX(Cal_Weeks[MonthYearLabel],38),'Grid_Stock'!AM24,AM24)+'Grid_Incoming'!AN24-'Grid_Requirement'!AN24</f>
        <v/>
      </c>
      <c r="AO24">
        <f>IF(INDEX(Cal_Weeks[MonthYearLabel],40)&lt;&gt;INDEX(Cal_Weeks[MonthYearLabel],39),'Grid_Stock'!AN24,AN24)+'Grid_Incoming'!AO24-'Grid_Requirement'!AO24</f>
        <v/>
      </c>
      <c r="AP24">
        <f>IF(INDEX(Cal_Weeks[MonthYearLabel],41)&lt;&gt;INDEX(Cal_Weeks[MonthYearLabel],40),'Grid_Stock'!AO24,AO24)+'Grid_Incoming'!AP24-'Grid_Requirement'!AP24</f>
        <v/>
      </c>
      <c r="AQ24">
        <f>IF(INDEX(Cal_Weeks[MonthYearLabel],42)&lt;&gt;INDEX(Cal_Weeks[MonthYearLabel],41),'Grid_Stock'!AP24,AP24)+'Grid_Incoming'!AQ24-'Grid_Requirement'!AQ24</f>
        <v/>
      </c>
      <c r="AR24">
        <f>IF(INDEX(Cal_Weeks[MonthYearLabel],43)&lt;&gt;INDEX(Cal_Weeks[MonthYearLabel],42),'Grid_Stock'!AQ24,AQ24)+'Grid_Incoming'!AR24-'Grid_Requirement'!AR24</f>
        <v/>
      </c>
      <c r="AS24">
        <f>IF(INDEX(Cal_Weeks[MonthYearLabel],44)&lt;&gt;INDEX(Cal_Weeks[MonthYearLabel],43),'Grid_Stock'!AR24,AR24)+'Grid_Incoming'!AS24-'Grid_Requirement'!AS24</f>
        <v/>
      </c>
      <c r="AT24">
        <f>IF(INDEX(Cal_Weeks[MonthYearLabel],45)&lt;&gt;INDEX(Cal_Weeks[MonthYearLabel],44),'Grid_Stock'!AS24,AS24)+'Grid_Incoming'!AT24-'Grid_Requirement'!AT24</f>
        <v/>
      </c>
      <c r="AU24">
        <f>IF(INDEX(Cal_Weeks[MonthYearLabel],46)&lt;&gt;INDEX(Cal_Weeks[MonthYearLabel],45),'Grid_Stock'!AT24,AT24)+'Grid_Incoming'!AU24-'Grid_Requirement'!AU24</f>
        <v/>
      </c>
      <c r="AV24">
        <f>IF(INDEX(Cal_Weeks[MonthYearLabel],47)&lt;&gt;INDEX(Cal_Weeks[MonthYearLabel],46),'Grid_Stock'!AU24,AU24)+'Grid_Incoming'!AV24-'Grid_Requirement'!AV24</f>
        <v/>
      </c>
      <c r="AW24">
        <f>IF(INDEX(Cal_Weeks[MonthYearLabel],48)&lt;&gt;INDEX(Cal_Weeks[MonthYearLabel],47),'Grid_Stock'!AV24,AV24)+'Grid_Incoming'!AW24-'Grid_Requirement'!AW24</f>
        <v/>
      </c>
      <c r="AX24">
        <f>IF(INDEX(Cal_Weeks[MonthYearLabel],49)&lt;&gt;INDEX(Cal_Weeks[MonthYearLabel],48),'Grid_Stock'!AW24,AW24)+'Grid_Incoming'!AX24-'Grid_Requirement'!AX24</f>
        <v/>
      </c>
      <c r="AY24">
        <f>IF(INDEX(Cal_Weeks[MonthYearLabel],50)&lt;&gt;INDEX(Cal_Weeks[MonthYearLabel],49),'Grid_Stock'!AX24,AX24)+'Grid_Incoming'!AY24-'Grid_Requirement'!AY24</f>
        <v/>
      </c>
      <c r="AZ24">
        <f>IF(INDEX(Cal_Weeks[MonthYearLabel],51)&lt;&gt;INDEX(Cal_Weeks[MonthYearLabel],50),'Grid_Stock'!AY24,AY24)+'Grid_Incoming'!AZ24-'Grid_Requirement'!AZ24</f>
        <v/>
      </c>
      <c r="BA24">
        <f>IF(INDEX(Cal_Weeks[MonthYearLabel],52)&lt;&gt;INDEX(Cal_Weeks[MonthYearLabel],51),'Grid_Stock'!AZ24,AZ24)+'Grid_Incoming'!BA24-'Grid_Requirement'!BA24</f>
        <v/>
      </c>
      <c r="BB24">
        <f>IF(INDEX(Cal_Weeks[MonthYearLabel],53)&lt;&gt;INDEX(Cal_Weeks[MonthYearLabel],52),'Grid_Stock'!BA24,BA24)+'Grid_Incoming'!BB24-'Grid_Requirement'!BB24</f>
        <v/>
      </c>
      <c r="BC24">
        <f>IF(INDEX(Cal_Weeks[MonthYearLabel],54)&lt;&gt;INDEX(Cal_Weeks[MonthYearLabel],53),'Grid_Stock'!BB24,BB24)+'Grid_Incoming'!BC24-'Grid_Requirement'!BC24</f>
        <v/>
      </c>
      <c r="BD24">
        <f>IF(INDEX(Cal_Weeks[MonthYearLabel],55)&lt;&gt;INDEX(Cal_Weeks[MonthYearLabel],54),'Grid_Stock'!BC24,BC24)+'Grid_Incoming'!BD24-'Grid_Requirement'!BD24</f>
        <v/>
      </c>
      <c r="BE24">
        <f>IF(INDEX(Cal_Weeks[MonthYearLabel],56)&lt;&gt;INDEX(Cal_Weeks[MonthYearLabel],55),'Grid_Stock'!BD24,BD24)+'Grid_Incoming'!BE24-'Grid_Requirement'!BE24</f>
        <v/>
      </c>
      <c r="BF24">
        <f>IF(INDEX(Cal_Weeks[MonthYearLabel],57)&lt;&gt;INDEX(Cal_Weeks[MonthYearLabel],56),'Grid_Stock'!BE24,BE24)+'Grid_Incoming'!BF24-'Grid_Requirement'!BF24</f>
        <v/>
      </c>
      <c r="BG24">
        <f>IF(INDEX(Cal_Weeks[MonthYearLabel],58)&lt;&gt;INDEX(Cal_Weeks[MonthYearLabel],57),'Grid_Stock'!BF24,BF24)+'Grid_Incoming'!BG24-'Grid_Requirement'!BG24</f>
        <v/>
      </c>
      <c r="BH24">
        <f>IF(INDEX(Cal_Weeks[MonthYearLabel],59)&lt;&gt;INDEX(Cal_Weeks[MonthYearLabel],58),'Grid_Stock'!BG24,BG24)+'Grid_Incoming'!BH24-'Grid_Requirement'!BH24</f>
        <v/>
      </c>
      <c r="BI24">
        <f>IF(INDEX(Cal_Weeks[MonthYearLabel],60)&lt;&gt;INDEX(Cal_Weeks[MonthYearLabel],59),'Grid_Stock'!BH24,BH24)+'Grid_Incoming'!BI24-'Grid_Requirement'!BI24</f>
        <v/>
      </c>
      <c r="BJ24">
        <f>IF(INDEX(Cal_Weeks[MonthYearLabel],61)&lt;&gt;INDEX(Cal_Weeks[MonthYearLabel],60),'Grid_Stock'!BI24,BI24)+'Grid_Incoming'!BJ24-'Grid_Requirement'!BJ24</f>
        <v/>
      </c>
      <c r="BK24">
        <f>IF(INDEX(Cal_Weeks[MonthYearLabel],62)&lt;&gt;INDEX(Cal_Weeks[MonthYearLabel],61),'Grid_Stock'!BJ24,BJ24)+'Grid_Incoming'!BK24-'Grid_Requirement'!BK24</f>
        <v/>
      </c>
      <c r="BL24">
        <f>IF(INDEX(Cal_Weeks[MonthYearLabel],63)&lt;&gt;INDEX(Cal_Weeks[MonthYearLabel],62),'Grid_Stock'!BK24,BK24)+'Grid_Incoming'!BL24-'Grid_Requirement'!BL24</f>
        <v/>
      </c>
      <c r="BM24">
        <f>IF(INDEX(Cal_Weeks[MonthYearLabel],64)&lt;&gt;INDEX(Cal_Weeks[MonthYearLabel],63),'Grid_Stock'!BL24,BL24)+'Grid_Incoming'!BM24-'Grid_Requirement'!BM24</f>
        <v/>
      </c>
      <c r="BN24">
        <f>IF(INDEX(Cal_Weeks[MonthYearLabel],65)&lt;&gt;INDEX(Cal_Weeks[MonthYearLabel],64),'Grid_Stock'!BM24,BM24)+'Grid_Incoming'!BN24-'Grid_Requirement'!BN24</f>
        <v/>
      </c>
      <c r="BO24">
        <f>IF(INDEX(Cal_Weeks[MonthYearLabel],66)&lt;&gt;INDEX(Cal_Weeks[MonthYearLabel],65),'Grid_Stock'!BN24,BN24)+'Grid_Incoming'!BO24-'Grid_Requirement'!BO24</f>
        <v/>
      </c>
      <c r="BP24">
        <f>IF(INDEX(Cal_Weeks[MonthYearLabel],67)&lt;&gt;INDEX(Cal_Weeks[MonthYearLabel],66),'Grid_Stock'!BO24,BO24)+'Grid_Incoming'!BP24-'Grid_Requirement'!BP24</f>
        <v/>
      </c>
      <c r="BQ24">
        <f>IF(INDEX(Cal_Weeks[MonthYearLabel],68)&lt;&gt;INDEX(Cal_Weeks[MonthYearLabel],67),'Grid_Stock'!BP24,BP24)+'Grid_Incoming'!BQ24-'Grid_Requirement'!BQ24</f>
        <v/>
      </c>
      <c r="BR24">
        <f>IF(INDEX(Cal_Weeks[MonthYearLabel],69)&lt;&gt;INDEX(Cal_Weeks[MonthYearLabel],68),'Grid_Stock'!BQ24,BQ24)+'Grid_Incoming'!BR24-'Grid_Requirement'!BR24</f>
        <v/>
      </c>
      <c r="BS24">
        <f>IF(INDEX(Cal_Weeks[MonthYearLabel],70)&lt;&gt;INDEX(Cal_Weeks[MonthYearLabel],69),'Grid_Stock'!BR24,BR24)+'Grid_Incoming'!BS24-'Grid_Requirement'!BS24</f>
        <v/>
      </c>
      <c r="BT24">
        <f>IF(INDEX(Cal_Weeks[MonthYearLabel],71)&lt;&gt;INDEX(Cal_Weeks[MonthYearLabel],70),'Grid_Stock'!BS24,BS24)+'Grid_Incoming'!BT24-'Grid_Requirement'!BT24</f>
        <v/>
      </c>
      <c r="BU24">
        <f>IF(INDEX(Cal_Weeks[MonthYearLabel],72)&lt;&gt;INDEX(Cal_Weeks[MonthYearLabel],71),'Grid_Stock'!BT24,BT24)+'Grid_Incoming'!BU24-'Grid_Requirement'!BU24</f>
        <v/>
      </c>
      <c r="BV24">
        <f>IF(INDEX(Cal_Weeks[MonthYearLabel],73)&lt;&gt;INDEX(Cal_Weeks[MonthYearLabel],72),'Grid_Stock'!BU24,BU24)+'Grid_Incoming'!BV24-'Grid_Requirement'!BV24</f>
        <v/>
      </c>
      <c r="BW24">
        <f>IF(INDEX(Cal_Weeks[MonthYearLabel],74)&lt;&gt;INDEX(Cal_Weeks[MonthYearLabel],73),'Grid_Stock'!BV24,BV24)+'Grid_Incoming'!BW24-'Grid_Requirement'!BW24</f>
        <v/>
      </c>
      <c r="BX24">
        <f>IF(INDEX(Cal_Weeks[MonthYearLabel],75)&lt;&gt;INDEX(Cal_Weeks[MonthYearLabel],74),'Grid_Stock'!BW24,BW24)+'Grid_Incoming'!BX24-'Grid_Requirement'!BX24</f>
        <v/>
      </c>
      <c r="BY24">
        <f>IF(INDEX(Cal_Weeks[MonthYearLabel],76)&lt;&gt;INDEX(Cal_Weeks[MonthYearLabel],75),'Grid_Stock'!BX24,BX24)+'Grid_Incoming'!BY24-'Grid_Requirement'!BY24</f>
        <v/>
      </c>
      <c r="BZ24">
        <f>IF(INDEX(Cal_Weeks[MonthYearLabel],77)&lt;&gt;INDEX(Cal_Weeks[MonthYearLabel],76),'Grid_Stock'!BY24,BY24)+'Grid_Incoming'!BZ24-'Grid_Requirement'!BZ24</f>
        <v/>
      </c>
      <c r="CA24">
        <f>IF(INDEX(Cal_Weeks[MonthYearLabel],78)&lt;&gt;INDEX(Cal_Weeks[MonthYearLabel],77),'Grid_Stock'!BZ24,BZ24)+'Grid_Incoming'!CA24-'Grid_Requirement'!CA24</f>
        <v/>
      </c>
      <c r="CB24">
        <f>IF(INDEX(Cal_Weeks[MonthYearLabel],79)&lt;&gt;INDEX(Cal_Weeks[MonthYearLabel],78),'Grid_Stock'!CA24,CA24)+'Grid_Incoming'!CB24-'Grid_Requirement'!CB24</f>
        <v/>
      </c>
      <c r="CC24">
        <f>IF(INDEX(Cal_Weeks[MonthYearLabel],80)&lt;&gt;INDEX(Cal_Weeks[MonthYearLabel],79),'Grid_Stock'!CB24,CB24)+'Grid_Incoming'!CC24-'Grid_Requirement'!CC24</f>
        <v/>
      </c>
      <c r="CD24">
        <f>IF(INDEX(Cal_Weeks[MonthYearLabel],81)&lt;&gt;INDEX(Cal_Weeks[MonthYearLabel],80),'Grid_Stock'!CC24,CC24)+'Grid_Incoming'!CD24-'Grid_Requirement'!CD24</f>
        <v/>
      </c>
      <c r="CE24">
        <f>IF(INDEX(Cal_Weeks[MonthYearLabel],82)&lt;&gt;INDEX(Cal_Weeks[MonthYearLabel],81),'Grid_Stock'!CD24,CD24)+'Grid_Incoming'!CE24-'Grid_Requirement'!CE24</f>
        <v/>
      </c>
      <c r="CF24">
        <f>IF(INDEX(Cal_Weeks[MonthYearLabel],83)&lt;&gt;INDEX(Cal_Weeks[MonthYearLabel],82),'Grid_Stock'!CE24,CE24)+'Grid_Incoming'!CF24-'Grid_Requirement'!CF24</f>
        <v/>
      </c>
      <c r="CG24">
        <f>IF(INDEX(Cal_Weeks[MonthYearLabel],84)&lt;&gt;INDEX(Cal_Weeks[MonthYearLabel],83),'Grid_Stock'!CF24,CF24)+'Grid_Incoming'!CG24-'Grid_Requirement'!CG24</f>
        <v/>
      </c>
      <c r="CH24">
        <f>IF(INDEX(Cal_Weeks[MonthYearLabel],85)&lt;&gt;INDEX(Cal_Weeks[MonthYearLabel],84),'Grid_Stock'!CG24,CG24)+'Grid_Incoming'!CH24-'Grid_Requirement'!CH24</f>
        <v/>
      </c>
      <c r="CI24">
        <f>IF(INDEX(Cal_Weeks[MonthYearLabel],86)&lt;&gt;INDEX(Cal_Weeks[MonthYearLabel],85),'Grid_Stock'!CH24,CH24)+'Grid_Incoming'!CI24-'Grid_Requirement'!CI24</f>
        <v/>
      </c>
      <c r="CJ24">
        <f>IF(INDEX(Cal_Weeks[MonthYearLabel],87)&lt;&gt;INDEX(Cal_Weeks[MonthYearLabel],86),'Grid_Stock'!CI24,CI24)+'Grid_Incoming'!CJ24-'Grid_Requirement'!CJ24</f>
        <v/>
      </c>
      <c r="CK24">
        <f>IF(INDEX(Cal_Weeks[MonthYearLabel],88)&lt;&gt;INDEX(Cal_Weeks[MonthYearLabel],87),'Grid_Stock'!CJ24,CJ24)+'Grid_Incoming'!CK24-'Grid_Requirement'!CK24</f>
        <v/>
      </c>
      <c r="CL24">
        <f>IF(INDEX(Cal_Weeks[MonthYearLabel],89)&lt;&gt;INDEX(Cal_Weeks[MonthYearLabel],88),'Grid_Stock'!CK24,CK24)+'Grid_Incoming'!CL24-'Grid_Requirement'!CL24</f>
        <v/>
      </c>
      <c r="CM24">
        <f>IF(INDEX(Cal_Weeks[MonthYearLabel],90)&lt;&gt;INDEX(Cal_Weeks[MonthYearLabel],89),'Grid_Stock'!CL24,CL24)+'Grid_Incoming'!CM24-'Grid_Requirement'!CM24</f>
        <v/>
      </c>
      <c r="CN24">
        <f>IF(INDEX(Cal_Weeks[MonthYearLabel],91)&lt;&gt;INDEX(Cal_Weeks[MonthYearLabel],90),'Grid_Stock'!CM24,CM24)+'Grid_Incoming'!CN24-'Grid_Requirement'!CN24</f>
        <v/>
      </c>
      <c r="CO24">
        <f>IF(INDEX(Cal_Weeks[MonthYearLabel],92)&lt;&gt;INDEX(Cal_Weeks[MonthYearLabel],91),'Grid_Stock'!CN24,CN24)+'Grid_Incoming'!CO24-'Grid_Requirement'!CO24</f>
        <v/>
      </c>
      <c r="CP24">
        <f>IF(INDEX(Cal_Weeks[MonthYearLabel],93)&lt;&gt;INDEX(Cal_Weeks[MonthYearLabel],92),'Grid_Stock'!CO24,CO24)+'Grid_Incoming'!CP24-'Grid_Requirement'!CP24</f>
        <v/>
      </c>
      <c r="CQ24">
        <f>IF(INDEX(Cal_Weeks[MonthYearLabel],94)&lt;&gt;INDEX(Cal_Weeks[MonthYearLabel],93),'Grid_Stock'!CP24,CP24)+'Grid_Incoming'!CQ24-'Grid_Requirement'!CQ24</f>
        <v/>
      </c>
      <c r="CR24">
        <f>IF(INDEX(Cal_Weeks[MonthYearLabel],95)&lt;&gt;INDEX(Cal_Weeks[MonthYearLabel],94),'Grid_Stock'!CQ24,CQ24)+'Grid_Incoming'!CR24-'Grid_Requirement'!CR24</f>
        <v/>
      </c>
      <c r="CS24">
        <f>IF(INDEX(Cal_Weeks[MonthYearLabel],96)&lt;&gt;INDEX(Cal_Weeks[MonthYearLabel],95),'Grid_Stock'!CR24,CR24)+'Grid_Incoming'!CS24-'Grid_Requirement'!CS24</f>
        <v/>
      </c>
      <c r="CT24">
        <f>IF(INDEX(Cal_Weeks[MonthYearLabel],97)&lt;&gt;INDEX(Cal_Weeks[MonthYearLabel],96),'Grid_Stock'!CS24,CS24)+'Grid_Incoming'!CT24-'Grid_Requirement'!CT24</f>
        <v/>
      </c>
      <c r="CU24">
        <f>IF(INDEX(Cal_Weeks[MonthYearLabel],98)&lt;&gt;INDEX(Cal_Weeks[MonthYearLabel],97),'Grid_Stock'!CT24,CT24)+'Grid_Incoming'!CU24-'Grid_Requirement'!CU24</f>
        <v/>
      </c>
      <c r="CV24">
        <f>IF(INDEX(Cal_Weeks[MonthYearLabel],99)&lt;&gt;INDEX(Cal_Weeks[MonthYearLabel],98),'Grid_Stock'!CU24,CU24)+'Grid_Incoming'!CV24-'Grid_Requirement'!CV24</f>
        <v/>
      </c>
      <c r="CW24">
        <f>IF(INDEX(Cal_Weeks[MonthYearLabel],100)&lt;&gt;INDEX(Cal_Weeks[MonthYearLabel],99),'Grid_Stock'!CV24,CV24)+'Grid_Incoming'!CW24-'Grid_Requirement'!CW24</f>
        <v/>
      </c>
      <c r="CX24">
        <f>IF(INDEX(Cal_Weeks[MonthYearLabel],101)&lt;&gt;INDEX(Cal_Weeks[MonthYearLabel],100),'Grid_Stock'!CW24,CW24)+'Grid_Incoming'!CX24-'Grid_Requirement'!CX24</f>
        <v/>
      </c>
      <c r="CY24">
        <f>IF(INDEX(Cal_Weeks[MonthYearLabel],102)&lt;&gt;INDEX(Cal_Weeks[MonthYearLabel],101),'Grid_Stock'!CX24,CX24)+'Grid_Incoming'!CY24-'Grid_Requirement'!CY24</f>
        <v/>
      </c>
      <c r="CZ24">
        <f>IF(INDEX(Cal_Weeks[MonthYearLabel],103)&lt;&gt;INDEX(Cal_Weeks[MonthYearLabel],102),'Grid_Stock'!CY24,CY24)+'Grid_Incoming'!CZ24-'Grid_Requirement'!CZ24</f>
        <v/>
      </c>
      <c r="DA24">
        <f>IF(INDEX(Cal_Weeks[MonthYearLabel],104)&lt;&gt;INDEX(Cal_Weeks[MonthYearLabel],103),'Grid_Stock'!CZ24,CZ24)+'Grid_Incoming'!DA24-'Grid_Requirement'!DA24</f>
        <v/>
      </c>
    </row>
    <row r="25">
      <c r="A25" t="inlineStr">
        <is>
          <t>CHEM-1510</t>
        </is>
      </c>
      <c r="B25">
        <f>IFERROR(INDEX(T_OpeningStock[Opening_Qty_要入力],MATCH($A25,T_OpeningStock[Part Name],0)),0)+'Grid_Incoming'!B25-'Grid_Requirement'!B25</f>
        <v/>
      </c>
      <c r="C25">
        <f>IF(INDEX(Cal_Weeks[MonthYearLabel],2)&lt;&gt;INDEX(Cal_Weeks[MonthYearLabel],1),'Grid_Stock'!B25,B25)+'Grid_Incoming'!C25-'Grid_Requirement'!C25</f>
        <v/>
      </c>
      <c r="D25">
        <f>IF(INDEX(Cal_Weeks[MonthYearLabel],3)&lt;&gt;INDEX(Cal_Weeks[MonthYearLabel],2),'Grid_Stock'!C25,C25)+'Grid_Incoming'!D25-'Grid_Requirement'!D25</f>
        <v/>
      </c>
      <c r="E25">
        <f>IF(INDEX(Cal_Weeks[MonthYearLabel],4)&lt;&gt;INDEX(Cal_Weeks[MonthYearLabel],3),'Grid_Stock'!D25,D25)+'Grid_Incoming'!E25-'Grid_Requirement'!E25</f>
        <v/>
      </c>
      <c r="F25">
        <f>IF(INDEX(Cal_Weeks[MonthYearLabel],5)&lt;&gt;INDEX(Cal_Weeks[MonthYearLabel],4),'Grid_Stock'!E25,E25)+'Grid_Incoming'!F25-'Grid_Requirement'!F25</f>
        <v/>
      </c>
      <c r="G25">
        <f>IF(INDEX(Cal_Weeks[MonthYearLabel],6)&lt;&gt;INDEX(Cal_Weeks[MonthYearLabel],5),'Grid_Stock'!F25,F25)+'Grid_Incoming'!G25-'Grid_Requirement'!G25</f>
        <v/>
      </c>
      <c r="H25">
        <f>IF(INDEX(Cal_Weeks[MonthYearLabel],7)&lt;&gt;INDEX(Cal_Weeks[MonthYearLabel],6),'Grid_Stock'!G25,G25)+'Grid_Incoming'!H25-'Grid_Requirement'!H25</f>
        <v/>
      </c>
      <c r="I25">
        <f>IF(INDEX(Cal_Weeks[MonthYearLabel],8)&lt;&gt;INDEX(Cal_Weeks[MonthYearLabel],7),'Grid_Stock'!H25,H25)+'Grid_Incoming'!I25-'Grid_Requirement'!I25</f>
        <v/>
      </c>
      <c r="J25">
        <f>IF(INDEX(Cal_Weeks[MonthYearLabel],9)&lt;&gt;INDEX(Cal_Weeks[MonthYearLabel],8),'Grid_Stock'!I25,I25)+'Grid_Incoming'!J25-'Grid_Requirement'!J25</f>
        <v/>
      </c>
      <c r="K25">
        <f>IF(INDEX(Cal_Weeks[MonthYearLabel],10)&lt;&gt;INDEX(Cal_Weeks[MonthYearLabel],9),'Grid_Stock'!J25,J25)+'Grid_Incoming'!K25-'Grid_Requirement'!K25</f>
        <v/>
      </c>
      <c r="L25">
        <f>IF(INDEX(Cal_Weeks[MonthYearLabel],11)&lt;&gt;INDEX(Cal_Weeks[MonthYearLabel],10),'Grid_Stock'!K25,K25)+'Grid_Incoming'!L25-'Grid_Requirement'!L25</f>
        <v/>
      </c>
      <c r="M25">
        <f>IF(INDEX(Cal_Weeks[MonthYearLabel],12)&lt;&gt;INDEX(Cal_Weeks[MonthYearLabel],11),'Grid_Stock'!L25,L25)+'Grid_Incoming'!M25-'Grid_Requirement'!M25</f>
        <v/>
      </c>
      <c r="N25">
        <f>IF(INDEX(Cal_Weeks[MonthYearLabel],13)&lt;&gt;INDEX(Cal_Weeks[MonthYearLabel],12),'Grid_Stock'!M25,M25)+'Grid_Incoming'!N25-'Grid_Requirement'!N25</f>
        <v/>
      </c>
      <c r="O25">
        <f>IF(INDEX(Cal_Weeks[MonthYearLabel],14)&lt;&gt;INDEX(Cal_Weeks[MonthYearLabel],13),'Grid_Stock'!N25,N25)+'Grid_Incoming'!O25-'Grid_Requirement'!O25</f>
        <v/>
      </c>
      <c r="P25">
        <f>IF(INDEX(Cal_Weeks[MonthYearLabel],15)&lt;&gt;INDEX(Cal_Weeks[MonthYearLabel],14),'Grid_Stock'!O25,O25)+'Grid_Incoming'!P25-'Grid_Requirement'!P25</f>
        <v/>
      </c>
      <c r="Q25">
        <f>IF(INDEX(Cal_Weeks[MonthYearLabel],16)&lt;&gt;INDEX(Cal_Weeks[MonthYearLabel],15),'Grid_Stock'!P25,P25)+'Grid_Incoming'!Q25-'Grid_Requirement'!Q25</f>
        <v/>
      </c>
      <c r="R25">
        <f>IF(INDEX(Cal_Weeks[MonthYearLabel],17)&lt;&gt;INDEX(Cal_Weeks[MonthYearLabel],16),'Grid_Stock'!Q25,Q25)+'Grid_Incoming'!R25-'Grid_Requirement'!R25</f>
        <v/>
      </c>
      <c r="S25">
        <f>IF(INDEX(Cal_Weeks[MonthYearLabel],18)&lt;&gt;INDEX(Cal_Weeks[MonthYearLabel],17),'Grid_Stock'!R25,R25)+'Grid_Incoming'!S25-'Grid_Requirement'!S25</f>
        <v/>
      </c>
      <c r="T25">
        <f>IF(INDEX(Cal_Weeks[MonthYearLabel],19)&lt;&gt;INDEX(Cal_Weeks[MonthYearLabel],18),'Grid_Stock'!S25,S25)+'Grid_Incoming'!T25-'Grid_Requirement'!T25</f>
        <v/>
      </c>
      <c r="U25">
        <f>IF(INDEX(Cal_Weeks[MonthYearLabel],20)&lt;&gt;INDEX(Cal_Weeks[MonthYearLabel],19),'Grid_Stock'!T25,T25)+'Grid_Incoming'!U25-'Grid_Requirement'!U25</f>
        <v/>
      </c>
      <c r="V25">
        <f>IF(INDEX(Cal_Weeks[MonthYearLabel],21)&lt;&gt;INDEX(Cal_Weeks[MonthYearLabel],20),'Grid_Stock'!U25,U25)+'Grid_Incoming'!V25-'Grid_Requirement'!V25</f>
        <v/>
      </c>
      <c r="W25">
        <f>IF(INDEX(Cal_Weeks[MonthYearLabel],22)&lt;&gt;INDEX(Cal_Weeks[MonthYearLabel],21),'Grid_Stock'!V25,V25)+'Grid_Incoming'!W25-'Grid_Requirement'!W25</f>
        <v/>
      </c>
      <c r="X25">
        <f>IF(INDEX(Cal_Weeks[MonthYearLabel],23)&lt;&gt;INDEX(Cal_Weeks[MonthYearLabel],22),'Grid_Stock'!W25,W25)+'Grid_Incoming'!X25-'Grid_Requirement'!X25</f>
        <v/>
      </c>
      <c r="Y25">
        <f>IF(INDEX(Cal_Weeks[MonthYearLabel],24)&lt;&gt;INDEX(Cal_Weeks[MonthYearLabel],23),'Grid_Stock'!X25,X25)+'Grid_Incoming'!Y25-'Grid_Requirement'!Y25</f>
        <v/>
      </c>
      <c r="Z25">
        <f>IF(INDEX(Cal_Weeks[MonthYearLabel],25)&lt;&gt;INDEX(Cal_Weeks[MonthYearLabel],24),'Grid_Stock'!Y25,Y25)+'Grid_Incoming'!Z25-'Grid_Requirement'!Z25</f>
        <v/>
      </c>
      <c r="AA25">
        <f>IF(INDEX(Cal_Weeks[MonthYearLabel],26)&lt;&gt;INDEX(Cal_Weeks[MonthYearLabel],25),'Grid_Stock'!Z25,Z25)+'Grid_Incoming'!AA25-'Grid_Requirement'!AA25</f>
        <v/>
      </c>
      <c r="AB25">
        <f>IF(INDEX(Cal_Weeks[MonthYearLabel],27)&lt;&gt;INDEX(Cal_Weeks[MonthYearLabel],26),'Grid_Stock'!AA25,AA25)+'Grid_Incoming'!AB25-'Grid_Requirement'!AB25</f>
        <v/>
      </c>
      <c r="AC25">
        <f>IF(INDEX(Cal_Weeks[MonthYearLabel],28)&lt;&gt;INDEX(Cal_Weeks[MonthYearLabel],27),'Grid_Stock'!AB25,AB25)+'Grid_Incoming'!AC25-'Grid_Requirement'!AC25</f>
        <v/>
      </c>
      <c r="AD25">
        <f>IF(INDEX(Cal_Weeks[MonthYearLabel],29)&lt;&gt;INDEX(Cal_Weeks[MonthYearLabel],28),'Grid_Stock'!AC25,AC25)+'Grid_Incoming'!AD25-'Grid_Requirement'!AD25</f>
        <v/>
      </c>
      <c r="AE25">
        <f>IF(INDEX(Cal_Weeks[MonthYearLabel],30)&lt;&gt;INDEX(Cal_Weeks[MonthYearLabel],29),'Grid_Stock'!AD25,AD25)+'Grid_Incoming'!AE25-'Grid_Requirement'!AE25</f>
        <v/>
      </c>
      <c r="AF25">
        <f>IF(INDEX(Cal_Weeks[MonthYearLabel],31)&lt;&gt;INDEX(Cal_Weeks[MonthYearLabel],30),'Grid_Stock'!AE25,AE25)+'Grid_Incoming'!AF25-'Grid_Requirement'!AF25</f>
        <v/>
      </c>
      <c r="AG25">
        <f>IF(INDEX(Cal_Weeks[MonthYearLabel],32)&lt;&gt;INDEX(Cal_Weeks[MonthYearLabel],31),'Grid_Stock'!AF25,AF25)+'Grid_Incoming'!AG25-'Grid_Requirement'!AG25</f>
        <v/>
      </c>
      <c r="AH25">
        <f>IF(INDEX(Cal_Weeks[MonthYearLabel],33)&lt;&gt;INDEX(Cal_Weeks[MonthYearLabel],32),'Grid_Stock'!AG25,AG25)+'Grid_Incoming'!AH25-'Grid_Requirement'!AH25</f>
        <v/>
      </c>
      <c r="AI25">
        <f>IF(INDEX(Cal_Weeks[MonthYearLabel],34)&lt;&gt;INDEX(Cal_Weeks[MonthYearLabel],33),'Grid_Stock'!AH25,AH25)+'Grid_Incoming'!AI25-'Grid_Requirement'!AI25</f>
        <v/>
      </c>
      <c r="AJ25">
        <f>IF(INDEX(Cal_Weeks[MonthYearLabel],35)&lt;&gt;INDEX(Cal_Weeks[MonthYearLabel],34),'Grid_Stock'!AI25,AI25)+'Grid_Incoming'!AJ25-'Grid_Requirement'!AJ25</f>
        <v/>
      </c>
      <c r="AK25">
        <f>IF(INDEX(Cal_Weeks[MonthYearLabel],36)&lt;&gt;INDEX(Cal_Weeks[MonthYearLabel],35),'Grid_Stock'!AJ25,AJ25)+'Grid_Incoming'!AK25-'Grid_Requirement'!AK25</f>
        <v/>
      </c>
      <c r="AL25">
        <f>IF(INDEX(Cal_Weeks[MonthYearLabel],37)&lt;&gt;INDEX(Cal_Weeks[MonthYearLabel],36),'Grid_Stock'!AK25,AK25)+'Grid_Incoming'!AL25-'Grid_Requirement'!AL25</f>
        <v/>
      </c>
      <c r="AM25">
        <f>IF(INDEX(Cal_Weeks[MonthYearLabel],38)&lt;&gt;INDEX(Cal_Weeks[MonthYearLabel],37),'Grid_Stock'!AL25,AL25)+'Grid_Incoming'!AM25-'Grid_Requirement'!AM25</f>
        <v/>
      </c>
      <c r="AN25">
        <f>IF(INDEX(Cal_Weeks[MonthYearLabel],39)&lt;&gt;INDEX(Cal_Weeks[MonthYearLabel],38),'Grid_Stock'!AM25,AM25)+'Grid_Incoming'!AN25-'Grid_Requirement'!AN25</f>
        <v/>
      </c>
      <c r="AO25">
        <f>IF(INDEX(Cal_Weeks[MonthYearLabel],40)&lt;&gt;INDEX(Cal_Weeks[MonthYearLabel],39),'Grid_Stock'!AN25,AN25)+'Grid_Incoming'!AO25-'Grid_Requirement'!AO25</f>
        <v/>
      </c>
      <c r="AP25">
        <f>IF(INDEX(Cal_Weeks[MonthYearLabel],41)&lt;&gt;INDEX(Cal_Weeks[MonthYearLabel],40),'Grid_Stock'!AO25,AO25)+'Grid_Incoming'!AP25-'Grid_Requirement'!AP25</f>
        <v/>
      </c>
      <c r="AQ25">
        <f>IF(INDEX(Cal_Weeks[MonthYearLabel],42)&lt;&gt;INDEX(Cal_Weeks[MonthYearLabel],41),'Grid_Stock'!AP25,AP25)+'Grid_Incoming'!AQ25-'Grid_Requirement'!AQ25</f>
        <v/>
      </c>
      <c r="AR25">
        <f>IF(INDEX(Cal_Weeks[MonthYearLabel],43)&lt;&gt;INDEX(Cal_Weeks[MonthYearLabel],42),'Grid_Stock'!AQ25,AQ25)+'Grid_Incoming'!AR25-'Grid_Requirement'!AR25</f>
        <v/>
      </c>
      <c r="AS25">
        <f>IF(INDEX(Cal_Weeks[MonthYearLabel],44)&lt;&gt;INDEX(Cal_Weeks[MonthYearLabel],43),'Grid_Stock'!AR25,AR25)+'Grid_Incoming'!AS25-'Grid_Requirement'!AS25</f>
        <v/>
      </c>
      <c r="AT25">
        <f>IF(INDEX(Cal_Weeks[MonthYearLabel],45)&lt;&gt;INDEX(Cal_Weeks[MonthYearLabel],44),'Grid_Stock'!AS25,AS25)+'Grid_Incoming'!AT25-'Grid_Requirement'!AT25</f>
        <v/>
      </c>
      <c r="AU25">
        <f>IF(INDEX(Cal_Weeks[MonthYearLabel],46)&lt;&gt;INDEX(Cal_Weeks[MonthYearLabel],45),'Grid_Stock'!AT25,AT25)+'Grid_Incoming'!AU25-'Grid_Requirement'!AU25</f>
        <v/>
      </c>
      <c r="AV25">
        <f>IF(INDEX(Cal_Weeks[MonthYearLabel],47)&lt;&gt;INDEX(Cal_Weeks[MonthYearLabel],46),'Grid_Stock'!AU25,AU25)+'Grid_Incoming'!AV25-'Grid_Requirement'!AV25</f>
        <v/>
      </c>
      <c r="AW25">
        <f>IF(INDEX(Cal_Weeks[MonthYearLabel],48)&lt;&gt;INDEX(Cal_Weeks[MonthYearLabel],47),'Grid_Stock'!AV25,AV25)+'Grid_Incoming'!AW25-'Grid_Requirement'!AW25</f>
        <v/>
      </c>
      <c r="AX25">
        <f>IF(INDEX(Cal_Weeks[MonthYearLabel],49)&lt;&gt;INDEX(Cal_Weeks[MonthYearLabel],48),'Grid_Stock'!AW25,AW25)+'Grid_Incoming'!AX25-'Grid_Requirement'!AX25</f>
        <v/>
      </c>
      <c r="AY25">
        <f>IF(INDEX(Cal_Weeks[MonthYearLabel],50)&lt;&gt;INDEX(Cal_Weeks[MonthYearLabel],49),'Grid_Stock'!AX25,AX25)+'Grid_Incoming'!AY25-'Grid_Requirement'!AY25</f>
        <v/>
      </c>
      <c r="AZ25">
        <f>IF(INDEX(Cal_Weeks[MonthYearLabel],51)&lt;&gt;INDEX(Cal_Weeks[MonthYearLabel],50),'Grid_Stock'!AY25,AY25)+'Grid_Incoming'!AZ25-'Grid_Requirement'!AZ25</f>
        <v/>
      </c>
      <c r="BA25">
        <f>IF(INDEX(Cal_Weeks[MonthYearLabel],52)&lt;&gt;INDEX(Cal_Weeks[MonthYearLabel],51),'Grid_Stock'!AZ25,AZ25)+'Grid_Incoming'!BA25-'Grid_Requirement'!BA25</f>
        <v/>
      </c>
      <c r="BB25">
        <f>IF(INDEX(Cal_Weeks[MonthYearLabel],53)&lt;&gt;INDEX(Cal_Weeks[MonthYearLabel],52),'Grid_Stock'!BA25,BA25)+'Grid_Incoming'!BB25-'Grid_Requirement'!BB25</f>
        <v/>
      </c>
      <c r="BC25">
        <f>IF(INDEX(Cal_Weeks[MonthYearLabel],54)&lt;&gt;INDEX(Cal_Weeks[MonthYearLabel],53),'Grid_Stock'!BB25,BB25)+'Grid_Incoming'!BC25-'Grid_Requirement'!BC25</f>
        <v/>
      </c>
      <c r="BD25">
        <f>IF(INDEX(Cal_Weeks[MonthYearLabel],55)&lt;&gt;INDEX(Cal_Weeks[MonthYearLabel],54),'Grid_Stock'!BC25,BC25)+'Grid_Incoming'!BD25-'Grid_Requirement'!BD25</f>
        <v/>
      </c>
      <c r="BE25">
        <f>IF(INDEX(Cal_Weeks[MonthYearLabel],56)&lt;&gt;INDEX(Cal_Weeks[MonthYearLabel],55),'Grid_Stock'!BD25,BD25)+'Grid_Incoming'!BE25-'Grid_Requirement'!BE25</f>
        <v/>
      </c>
      <c r="BF25">
        <f>IF(INDEX(Cal_Weeks[MonthYearLabel],57)&lt;&gt;INDEX(Cal_Weeks[MonthYearLabel],56),'Grid_Stock'!BE25,BE25)+'Grid_Incoming'!BF25-'Grid_Requirement'!BF25</f>
        <v/>
      </c>
      <c r="BG25">
        <f>IF(INDEX(Cal_Weeks[MonthYearLabel],58)&lt;&gt;INDEX(Cal_Weeks[MonthYearLabel],57),'Grid_Stock'!BF25,BF25)+'Grid_Incoming'!BG25-'Grid_Requirement'!BG25</f>
        <v/>
      </c>
      <c r="BH25">
        <f>IF(INDEX(Cal_Weeks[MonthYearLabel],59)&lt;&gt;INDEX(Cal_Weeks[MonthYearLabel],58),'Grid_Stock'!BG25,BG25)+'Grid_Incoming'!BH25-'Grid_Requirement'!BH25</f>
        <v/>
      </c>
      <c r="BI25">
        <f>IF(INDEX(Cal_Weeks[MonthYearLabel],60)&lt;&gt;INDEX(Cal_Weeks[MonthYearLabel],59),'Grid_Stock'!BH25,BH25)+'Grid_Incoming'!BI25-'Grid_Requirement'!BI25</f>
        <v/>
      </c>
      <c r="BJ25">
        <f>IF(INDEX(Cal_Weeks[MonthYearLabel],61)&lt;&gt;INDEX(Cal_Weeks[MonthYearLabel],60),'Grid_Stock'!BI25,BI25)+'Grid_Incoming'!BJ25-'Grid_Requirement'!BJ25</f>
        <v/>
      </c>
      <c r="BK25">
        <f>IF(INDEX(Cal_Weeks[MonthYearLabel],62)&lt;&gt;INDEX(Cal_Weeks[MonthYearLabel],61),'Grid_Stock'!BJ25,BJ25)+'Grid_Incoming'!BK25-'Grid_Requirement'!BK25</f>
        <v/>
      </c>
      <c r="BL25">
        <f>IF(INDEX(Cal_Weeks[MonthYearLabel],63)&lt;&gt;INDEX(Cal_Weeks[MonthYearLabel],62),'Grid_Stock'!BK25,BK25)+'Grid_Incoming'!BL25-'Grid_Requirement'!BL25</f>
        <v/>
      </c>
      <c r="BM25">
        <f>IF(INDEX(Cal_Weeks[MonthYearLabel],64)&lt;&gt;INDEX(Cal_Weeks[MonthYearLabel],63),'Grid_Stock'!BL25,BL25)+'Grid_Incoming'!BM25-'Grid_Requirement'!BM25</f>
        <v/>
      </c>
      <c r="BN25">
        <f>IF(INDEX(Cal_Weeks[MonthYearLabel],65)&lt;&gt;INDEX(Cal_Weeks[MonthYearLabel],64),'Grid_Stock'!BM25,BM25)+'Grid_Incoming'!BN25-'Grid_Requirement'!BN25</f>
        <v/>
      </c>
      <c r="BO25">
        <f>IF(INDEX(Cal_Weeks[MonthYearLabel],66)&lt;&gt;INDEX(Cal_Weeks[MonthYearLabel],65),'Grid_Stock'!BN25,BN25)+'Grid_Incoming'!BO25-'Grid_Requirement'!BO25</f>
        <v/>
      </c>
      <c r="BP25">
        <f>IF(INDEX(Cal_Weeks[MonthYearLabel],67)&lt;&gt;INDEX(Cal_Weeks[MonthYearLabel],66),'Grid_Stock'!BO25,BO25)+'Grid_Incoming'!BP25-'Grid_Requirement'!BP25</f>
        <v/>
      </c>
      <c r="BQ25">
        <f>IF(INDEX(Cal_Weeks[MonthYearLabel],68)&lt;&gt;INDEX(Cal_Weeks[MonthYearLabel],67),'Grid_Stock'!BP25,BP25)+'Grid_Incoming'!BQ25-'Grid_Requirement'!BQ25</f>
        <v/>
      </c>
      <c r="BR25">
        <f>IF(INDEX(Cal_Weeks[MonthYearLabel],69)&lt;&gt;INDEX(Cal_Weeks[MonthYearLabel],68),'Grid_Stock'!BQ25,BQ25)+'Grid_Incoming'!BR25-'Grid_Requirement'!BR25</f>
        <v/>
      </c>
      <c r="BS25">
        <f>IF(INDEX(Cal_Weeks[MonthYearLabel],70)&lt;&gt;INDEX(Cal_Weeks[MonthYearLabel],69),'Grid_Stock'!BR25,BR25)+'Grid_Incoming'!BS25-'Grid_Requirement'!BS25</f>
        <v/>
      </c>
      <c r="BT25">
        <f>IF(INDEX(Cal_Weeks[MonthYearLabel],71)&lt;&gt;INDEX(Cal_Weeks[MonthYearLabel],70),'Grid_Stock'!BS25,BS25)+'Grid_Incoming'!BT25-'Grid_Requirement'!BT25</f>
        <v/>
      </c>
      <c r="BU25">
        <f>IF(INDEX(Cal_Weeks[MonthYearLabel],72)&lt;&gt;INDEX(Cal_Weeks[MonthYearLabel],71),'Grid_Stock'!BT25,BT25)+'Grid_Incoming'!BU25-'Grid_Requirement'!BU25</f>
        <v/>
      </c>
      <c r="BV25">
        <f>IF(INDEX(Cal_Weeks[MonthYearLabel],73)&lt;&gt;INDEX(Cal_Weeks[MonthYearLabel],72),'Grid_Stock'!BU25,BU25)+'Grid_Incoming'!BV25-'Grid_Requirement'!BV25</f>
        <v/>
      </c>
      <c r="BW25">
        <f>IF(INDEX(Cal_Weeks[MonthYearLabel],74)&lt;&gt;INDEX(Cal_Weeks[MonthYearLabel],73),'Grid_Stock'!BV25,BV25)+'Grid_Incoming'!BW25-'Grid_Requirement'!BW25</f>
        <v/>
      </c>
      <c r="BX25">
        <f>IF(INDEX(Cal_Weeks[MonthYearLabel],75)&lt;&gt;INDEX(Cal_Weeks[MonthYearLabel],74),'Grid_Stock'!BW25,BW25)+'Grid_Incoming'!BX25-'Grid_Requirement'!BX25</f>
        <v/>
      </c>
      <c r="BY25">
        <f>IF(INDEX(Cal_Weeks[MonthYearLabel],76)&lt;&gt;INDEX(Cal_Weeks[MonthYearLabel],75),'Grid_Stock'!BX25,BX25)+'Grid_Incoming'!BY25-'Grid_Requirement'!BY25</f>
        <v/>
      </c>
      <c r="BZ25">
        <f>IF(INDEX(Cal_Weeks[MonthYearLabel],77)&lt;&gt;INDEX(Cal_Weeks[MonthYearLabel],76),'Grid_Stock'!BY25,BY25)+'Grid_Incoming'!BZ25-'Grid_Requirement'!BZ25</f>
        <v/>
      </c>
      <c r="CA25">
        <f>IF(INDEX(Cal_Weeks[MonthYearLabel],78)&lt;&gt;INDEX(Cal_Weeks[MonthYearLabel],77),'Grid_Stock'!BZ25,BZ25)+'Grid_Incoming'!CA25-'Grid_Requirement'!CA25</f>
        <v/>
      </c>
      <c r="CB25">
        <f>IF(INDEX(Cal_Weeks[MonthYearLabel],79)&lt;&gt;INDEX(Cal_Weeks[MonthYearLabel],78),'Grid_Stock'!CA25,CA25)+'Grid_Incoming'!CB25-'Grid_Requirement'!CB25</f>
        <v/>
      </c>
      <c r="CC25">
        <f>IF(INDEX(Cal_Weeks[MonthYearLabel],80)&lt;&gt;INDEX(Cal_Weeks[MonthYearLabel],79),'Grid_Stock'!CB25,CB25)+'Grid_Incoming'!CC25-'Grid_Requirement'!CC25</f>
        <v/>
      </c>
      <c r="CD25">
        <f>IF(INDEX(Cal_Weeks[MonthYearLabel],81)&lt;&gt;INDEX(Cal_Weeks[MonthYearLabel],80),'Grid_Stock'!CC25,CC25)+'Grid_Incoming'!CD25-'Grid_Requirement'!CD25</f>
        <v/>
      </c>
      <c r="CE25">
        <f>IF(INDEX(Cal_Weeks[MonthYearLabel],82)&lt;&gt;INDEX(Cal_Weeks[MonthYearLabel],81),'Grid_Stock'!CD25,CD25)+'Grid_Incoming'!CE25-'Grid_Requirement'!CE25</f>
        <v/>
      </c>
      <c r="CF25">
        <f>IF(INDEX(Cal_Weeks[MonthYearLabel],83)&lt;&gt;INDEX(Cal_Weeks[MonthYearLabel],82),'Grid_Stock'!CE25,CE25)+'Grid_Incoming'!CF25-'Grid_Requirement'!CF25</f>
        <v/>
      </c>
      <c r="CG25">
        <f>IF(INDEX(Cal_Weeks[MonthYearLabel],84)&lt;&gt;INDEX(Cal_Weeks[MonthYearLabel],83),'Grid_Stock'!CF25,CF25)+'Grid_Incoming'!CG25-'Grid_Requirement'!CG25</f>
        <v/>
      </c>
      <c r="CH25">
        <f>IF(INDEX(Cal_Weeks[MonthYearLabel],85)&lt;&gt;INDEX(Cal_Weeks[MonthYearLabel],84),'Grid_Stock'!CG25,CG25)+'Grid_Incoming'!CH25-'Grid_Requirement'!CH25</f>
        <v/>
      </c>
      <c r="CI25">
        <f>IF(INDEX(Cal_Weeks[MonthYearLabel],86)&lt;&gt;INDEX(Cal_Weeks[MonthYearLabel],85),'Grid_Stock'!CH25,CH25)+'Grid_Incoming'!CI25-'Grid_Requirement'!CI25</f>
        <v/>
      </c>
      <c r="CJ25">
        <f>IF(INDEX(Cal_Weeks[MonthYearLabel],87)&lt;&gt;INDEX(Cal_Weeks[MonthYearLabel],86),'Grid_Stock'!CI25,CI25)+'Grid_Incoming'!CJ25-'Grid_Requirement'!CJ25</f>
        <v/>
      </c>
      <c r="CK25">
        <f>IF(INDEX(Cal_Weeks[MonthYearLabel],88)&lt;&gt;INDEX(Cal_Weeks[MonthYearLabel],87),'Grid_Stock'!CJ25,CJ25)+'Grid_Incoming'!CK25-'Grid_Requirement'!CK25</f>
        <v/>
      </c>
      <c r="CL25">
        <f>IF(INDEX(Cal_Weeks[MonthYearLabel],89)&lt;&gt;INDEX(Cal_Weeks[MonthYearLabel],88),'Grid_Stock'!CK25,CK25)+'Grid_Incoming'!CL25-'Grid_Requirement'!CL25</f>
        <v/>
      </c>
      <c r="CM25">
        <f>IF(INDEX(Cal_Weeks[MonthYearLabel],90)&lt;&gt;INDEX(Cal_Weeks[MonthYearLabel],89),'Grid_Stock'!CL25,CL25)+'Grid_Incoming'!CM25-'Grid_Requirement'!CM25</f>
        <v/>
      </c>
      <c r="CN25">
        <f>IF(INDEX(Cal_Weeks[MonthYearLabel],91)&lt;&gt;INDEX(Cal_Weeks[MonthYearLabel],90),'Grid_Stock'!CM25,CM25)+'Grid_Incoming'!CN25-'Grid_Requirement'!CN25</f>
        <v/>
      </c>
      <c r="CO25">
        <f>IF(INDEX(Cal_Weeks[MonthYearLabel],92)&lt;&gt;INDEX(Cal_Weeks[MonthYearLabel],91),'Grid_Stock'!CN25,CN25)+'Grid_Incoming'!CO25-'Grid_Requirement'!CO25</f>
        <v/>
      </c>
      <c r="CP25">
        <f>IF(INDEX(Cal_Weeks[MonthYearLabel],93)&lt;&gt;INDEX(Cal_Weeks[MonthYearLabel],92),'Grid_Stock'!CO25,CO25)+'Grid_Incoming'!CP25-'Grid_Requirement'!CP25</f>
        <v/>
      </c>
      <c r="CQ25">
        <f>IF(INDEX(Cal_Weeks[MonthYearLabel],94)&lt;&gt;INDEX(Cal_Weeks[MonthYearLabel],93),'Grid_Stock'!CP25,CP25)+'Grid_Incoming'!CQ25-'Grid_Requirement'!CQ25</f>
        <v/>
      </c>
      <c r="CR25">
        <f>IF(INDEX(Cal_Weeks[MonthYearLabel],95)&lt;&gt;INDEX(Cal_Weeks[MonthYearLabel],94),'Grid_Stock'!CQ25,CQ25)+'Grid_Incoming'!CR25-'Grid_Requirement'!CR25</f>
        <v/>
      </c>
      <c r="CS25">
        <f>IF(INDEX(Cal_Weeks[MonthYearLabel],96)&lt;&gt;INDEX(Cal_Weeks[MonthYearLabel],95),'Grid_Stock'!CR25,CR25)+'Grid_Incoming'!CS25-'Grid_Requirement'!CS25</f>
        <v/>
      </c>
      <c r="CT25">
        <f>IF(INDEX(Cal_Weeks[MonthYearLabel],97)&lt;&gt;INDEX(Cal_Weeks[MonthYearLabel],96),'Grid_Stock'!CS25,CS25)+'Grid_Incoming'!CT25-'Grid_Requirement'!CT25</f>
        <v/>
      </c>
      <c r="CU25">
        <f>IF(INDEX(Cal_Weeks[MonthYearLabel],98)&lt;&gt;INDEX(Cal_Weeks[MonthYearLabel],97),'Grid_Stock'!CT25,CT25)+'Grid_Incoming'!CU25-'Grid_Requirement'!CU25</f>
        <v/>
      </c>
      <c r="CV25">
        <f>IF(INDEX(Cal_Weeks[MonthYearLabel],99)&lt;&gt;INDEX(Cal_Weeks[MonthYearLabel],98),'Grid_Stock'!CU25,CU25)+'Grid_Incoming'!CV25-'Grid_Requirement'!CV25</f>
        <v/>
      </c>
      <c r="CW25">
        <f>IF(INDEX(Cal_Weeks[MonthYearLabel],100)&lt;&gt;INDEX(Cal_Weeks[MonthYearLabel],99),'Grid_Stock'!CV25,CV25)+'Grid_Incoming'!CW25-'Grid_Requirement'!CW25</f>
        <v/>
      </c>
      <c r="CX25">
        <f>IF(INDEX(Cal_Weeks[MonthYearLabel],101)&lt;&gt;INDEX(Cal_Weeks[MonthYearLabel],100),'Grid_Stock'!CW25,CW25)+'Grid_Incoming'!CX25-'Grid_Requirement'!CX25</f>
        <v/>
      </c>
      <c r="CY25">
        <f>IF(INDEX(Cal_Weeks[MonthYearLabel],102)&lt;&gt;INDEX(Cal_Weeks[MonthYearLabel],101),'Grid_Stock'!CX25,CX25)+'Grid_Incoming'!CY25-'Grid_Requirement'!CY25</f>
        <v/>
      </c>
      <c r="CZ25">
        <f>IF(INDEX(Cal_Weeks[MonthYearLabel],103)&lt;&gt;INDEX(Cal_Weeks[MonthYearLabel],102),'Grid_Stock'!CY25,CY25)+'Grid_Incoming'!CZ25-'Grid_Requirement'!CZ25</f>
        <v/>
      </c>
      <c r="DA25">
        <f>IF(INDEX(Cal_Weeks[MonthYearLabel],104)&lt;&gt;INDEX(Cal_Weeks[MonthYearLabel],103),'Grid_Stock'!CZ25,CZ25)+'Grid_Incoming'!DA25-'Grid_Requirement'!DA25</f>
        <v/>
      </c>
    </row>
    <row r="26">
      <c r="A26" t="inlineStr">
        <is>
          <t>CHEM-1580</t>
        </is>
      </c>
      <c r="B26">
        <f>IFERROR(INDEX(T_OpeningStock[Opening_Qty_要入力],MATCH($A26,T_OpeningStock[Part Name],0)),0)+'Grid_Incoming'!B26-'Grid_Requirement'!B26</f>
        <v/>
      </c>
      <c r="C26">
        <f>IF(INDEX(Cal_Weeks[MonthYearLabel],2)&lt;&gt;INDEX(Cal_Weeks[MonthYearLabel],1),'Grid_Stock'!B26,B26)+'Grid_Incoming'!C26-'Grid_Requirement'!C26</f>
        <v/>
      </c>
      <c r="D26">
        <f>IF(INDEX(Cal_Weeks[MonthYearLabel],3)&lt;&gt;INDEX(Cal_Weeks[MonthYearLabel],2),'Grid_Stock'!C26,C26)+'Grid_Incoming'!D26-'Grid_Requirement'!D26</f>
        <v/>
      </c>
      <c r="E26">
        <f>IF(INDEX(Cal_Weeks[MonthYearLabel],4)&lt;&gt;INDEX(Cal_Weeks[MonthYearLabel],3),'Grid_Stock'!D26,D26)+'Grid_Incoming'!E26-'Grid_Requirement'!E26</f>
        <v/>
      </c>
      <c r="F26">
        <f>IF(INDEX(Cal_Weeks[MonthYearLabel],5)&lt;&gt;INDEX(Cal_Weeks[MonthYearLabel],4),'Grid_Stock'!E26,E26)+'Grid_Incoming'!F26-'Grid_Requirement'!F26</f>
        <v/>
      </c>
      <c r="G26">
        <f>IF(INDEX(Cal_Weeks[MonthYearLabel],6)&lt;&gt;INDEX(Cal_Weeks[MonthYearLabel],5),'Grid_Stock'!F26,F26)+'Grid_Incoming'!G26-'Grid_Requirement'!G26</f>
        <v/>
      </c>
      <c r="H26">
        <f>IF(INDEX(Cal_Weeks[MonthYearLabel],7)&lt;&gt;INDEX(Cal_Weeks[MonthYearLabel],6),'Grid_Stock'!G26,G26)+'Grid_Incoming'!H26-'Grid_Requirement'!H26</f>
        <v/>
      </c>
      <c r="I26">
        <f>IF(INDEX(Cal_Weeks[MonthYearLabel],8)&lt;&gt;INDEX(Cal_Weeks[MonthYearLabel],7),'Grid_Stock'!H26,H26)+'Grid_Incoming'!I26-'Grid_Requirement'!I26</f>
        <v/>
      </c>
      <c r="J26">
        <f>IF(INDEX(Cal_Weeks[MonthYearLabel],9)&lt;&gt;INDEX(Cal_Weeks[MonthYearLabel],8),'Grid_Stock'!I26,I26)+'Grid_Incoming'!J26-'Grid_Requirement'!J26</f>
        <v/>
      </c>
      <c r="K26">
        <f>IF(INDEX(Cal_Weeks[MonthYearLabel],10)&lt;&gt;INDEX(Cal_Weeks[MonthYearLabel],9),'Grid_Stock'!J26,J26)+'Grid_Incoming'!K26-'Grid_Requirement'!K26</f>
        <v/>
      </c>
      <c r="L26">
        <f>IF(INDEX(Cal_Weeks[MonthYearLabel],11)&lt;&gt;INDEX(Cal_Weeks[MonthYearLabel],10),'Grid_Stock'!K26,K26)+'Grid_Incoming'!L26-'Grid_Requirement'!L26</f>
        <v/>
      </c>
      <c r="M26">
        <f>IF(INDEX(Cal_Weeks[MonthYearLabel],12)&lt;&gt;INDEX(Cal_Weeks[MonthYearLabel],11),'Grid_Stock'!L26,L26)+'Grid_Incoming'!M26-'Grid_Requirement'!M26</f>
        <v/>
      </c>
      <c r="N26">
        <f>IF(INDEX(Cal_Weeks[MonthYearLabel],13)&lt;&gt;INDEX(Cal_Weeks[MonthYearLabel],12),'Grid_Stock'!M26,M26)+'Grid_Incoming'!N26-'Grid_Requirement'!N26</f>
        <v/>
      </c>
      <c r="O26">
        <f>IF(INDEX(Cal_Weeks[MonthYearLabel],14)&lt;&gt;INDEX(Cal_Weeks[MonthYearLabel],13),'Grid_Stock'!N26,N26)+'Grid_Incoming'!O26-'Grid_Requirement'!O26</f>
        <v/>
      </c>
      <c r="P26">
        <f>IF(INDEX(Cal_Weeks[MonthYearLabel],15)&lt;&gt;INDEX(Cal_Weeks[MonthYearLabel],14),'Grid_Stock'!O26,O26)+'Grid_Incoming'!P26-'Grid_Requirement'!P26</f>
        <v/>
      </c>
      <c r="Q26">
        <f>IF(INDEX(Cal_Weeks[MonthYearLabel],16)&lt;&gt;INDEX(Cal_Weeks[MonthYearLabel],15),'Grid_Stock'!P26,P26)+'Grid_Incoming'!Q26-'Grid_Requirement'!Q26</f>
        <v/>
      </c>
      <c r="R26">
        <f>IF(INDEX(Cal_Weeks[MonthYearLabel],17)&lt;&gt;INDEX(Cal_Weeks[MonthYearLabel],16),'Grid_Stock'!Q26,Q26)+'Grid_Incoming'!R26-'Grid_Requirement'!R26</f>
        <v/>
      </c>
      <c r="S26">
        <f>IF(INDEX(Cal_Weeks[MonthYearLabel],18)&lt;&gt;INDEX(Cal_Weeks[MonthYearLabel],17),'Grid_Stock'!R26,R26)+'Grid_Incoming'!S26-'Grid_Requirement'!S26</f>
        <v/>
      </c>
      <c r="T26">
        <f>IF(INDEX(Cal_Weeks[MonthYearLabel],19)&lt;&gt;INDEX(Cal_Weeks[MonthYearLabel],18),'Grid_Stock'!S26,S26)+'Grid_Incoming'!T26-'Grid_Requirement'!T26</f>
        <v/>
      </c>
      <c r="U26">
        <f>IF(INDEX(Cal_Weeks[MonthYearLabel],20)&lt;&gt;INDEX(Cal_Weeks[MonthYearLabel],19),'Grid_Stock'!T26,T26)+'Grid_Incoming'!U26-'Grid_Requirement'!U26</f>
        <v/>
      </c>
      <c r="V26">
        <f>IF(INDEX(Cal_Weeks[MonthYearLabel],21)&lt;&gt;INDEX(Cal_Weeks[MonthYearLabel],20),'Grid_Stock'!U26,U26)+'Grid_Incoming'!V26-'Grid_Requirement'!V26</f>
        <v/>
      </c>
      <c r="W26">
        <f>IF(INDEX(Cal_Weeks[MonthYearLabel],22)&lt;&gt;INDEX(Cal_Weeks[MonthYearLabel],21),'Grid_Stock'!V26,V26)+'Grid_Incoming'!W26-'Grid_Requirement'!W26</f>
        <v/>
      </c>
      <c r="X26">
        <f>IF(INDEX(Cal_Weeks[MonthYearLabel],23)&lt;&gt;INDEX(Cal_Weeks[MonthYearLabel],22),'Grid_Stock'!W26,W26)+'Grid_Incoming'!X26-'Grid_Requirement'!X26</f>
        <v/>
      </c>
      <c r="Y26">
        <f>IF(INDEX(Cal_Weeks[MonthYearLabel],24)&lt;&gt;INDEX(Cal_Weeks[MonthYearLabel],23),'Grid_Stock'!X26,X26)+'Grid_Incoming'!Y26-'Grid_Requirement'!Y26</f>
        <v/>
      </c>
      <c r="Z26">
        <f>IF(INDEX(Cal_Weeks[MonthYearLabel],25)&lt;&gt;INDEX(Cal_Weeks[MonthYearLabel],24),'Grid_Stock'!Y26,Y26)+'Grid_Incoming'!Z26-'Grid_Requirement'!Z26</f>
        <v/>
      </c>
      <c r="AA26">
        <f>IF(INDEX(Cal_Weeks[MonthYearLabel],26)&lt;&gt;INDEX(Cal_Weeks[MonthYearLabel],25),'Grid_Stock'!Z26,Z26)+'Grid_Incoming'!AA26-'Grid_Requirement'!AA26</f>
        <v/>
      </c>
      <c r="AB26">
        <f>IF(INDEX(Cal_Weeks[MonthYearLabel],27)&lt;&gt;INDEX(Cal_Weeks[MonthYearLabel],26),'Grid_Stock'!AA26,AA26)+'Grid_Incoming'!AB26-'Grid_Requirement'!AB26</f>
        <v/>
      </c>
      <c r="AC26">
        <f>IF(INDEX(Cal_Weeks[MonthYearLabel],28)&lt;&gt;INDEX(Cal_Weeks[MonthYearLabel],27),'Grid_Stock'!AB26,AB26)+'Grid_Incoming'!AC26-'Grid_Requirement'!AC26</f>
        <v/>
      </c>
      <c r="AD26">
        <f>IF(INDEX(Cal_Weeks[MonthYearLabel],29)&lt;&gt;INDEX(Cal_Weeks[MonthYearLabel],28),'Grid_Stock'!AC26,AC26)+'Grid_Incoming'!AD26-'Grid_Requirement'!AD26</f>
        <v/>
      </c>
      <c r="AE26">
        <f>IF(INDEX(Cal_Weeks[MonthYearLabel],30)&lt;&gt;INDEX(Cal_Weeks[MonthYearLabel],29),'Grid_Stock'!AD26,AD26)+'Grid_Incoming'!AE26-'Grid_Requirement'!AE26</f>
        <v/>
      </c>
      <c r="AF26">
        <f>IF(INDEX(Cal_Weeks[MonthYearLabel],31)&lt;&gt;INDEX(Cal_Weeks[MonthYearLabel],30),'Grid_Stock'!AE26,AE26)+'Grid_Incoming'!AF26-'Grid_Requirement'!AF26</f>
        <v/>
      </c>
      <c r="AG26">
        <f>IF(INDEX(Cal_Weeks[MonthYearLabel],32)&lt;&gt;INDEX(Cal_Weeks[MonthYearLabel],31),'Grid_Stock'!AF26,AF26)+'Grid_Incoming'!AG26-'Grid_Requirement'!AG26</f>
        <v/>
      </c>
      <c r="AH26">
        <f>IF(INDEX(Cal_Weeks[MonthYearLabel],33)&lt;&gt;INDEX(Cal_Weeks[MonthYearLabel],32),'Grid_Stock'!AG26,AG26)+'Grid_Incoming'!AH26-'Grid_Requirement'!AH26</f>
        <v/>
      </c>
      <c r="AI26">
        <f>IF(INDEX(Cal_Weeks[MonthYearLabel],34)&lt;&gt;INDEX(Cal_Weeks[MonthYearLabel],33),'Grid_Stock'!AH26,AH26)+'Grid_Incoming'!AI26-'Grid_Requirement'!AI26</f>
        <v/>
      </c>
      <c r="AJ26">
        <f>IF(INDEX(Cal_Weeks[MonthYearLabel],35)&lt;&gt;INDEX(Cal_Weeks[MonthYearLabel],34),'Grid_Stock'!AI26,AI26)+'Grid_Incoming'!AJ26-'Grid_Requirement'!AJ26</f>
        <v/>
      </c>
      <c r="AK26">
        <f>IF(INDEX(Cal_Weeks[MonthYearLabel],36)&lt;&gt;INDEX(Cal_Weeks[MonthYearLabel],35),'Grid_Stock'!AJ26,AJ26)+'Grid_Incoming'!AK26-'Grid_Requirement'!AK26</f>
        <v/>
      </c>
      <c r="AL26">
        <f>IF(INDEX(Cal_Weeks[MonthYearLabel],37)&lt;&gt;INDEX(Cal_Weeks[MonthYearLabel],36),'Grid_Stock'!AK26,AK26)+'Grid_Incoming'!AL26-'Grid_Requirement'!AL26</f>
        <v/>
      </c>
      <c r="AM26">
        <f>IF(INDEX(Cal_Weeks[MonthYearLabel],38)&lt;&gt;INDEX(Cal_Weeks[MonthYearLabel],37),'Grid_Stock'!AL26,AL26)+'Grid_Incoming'!AM26-'Grid_Requirement'!AM26</f>
        <v/>
      </c>
      <c r="AN26">
        <f>IF(INDEX(Cal_Weeks[MonthYearLabel],39)&lt;&gt;INDEX(Cal_Weeks[MonthYearLabel],38),'Grid_Stock'!AM26,AM26)+'Grid_Incoming'!AN26-'Grid_Requirement'!AN26</f>
        <v/>
      </c>
      <c r="AO26">
        <f>IF(INDEX(Cal_Weeks[MonthYearLabel],40)&lt;&gt;INDEX(Cal_Weeks[MonthYearLabel],39),'Grid_Stock'!AN26,AN26)+'Grid_Incoming'!AO26-'Grid_Requirement'!AO26</f>
        <v/>
      </c>
      <c r="AP26">
        <f>IF(INDEX(Cal_Weeks[MonthYearLabel],41)&lt;&gt;INDEX(Cal_Weeks[MonthYearLabel],40),'Grid_Stock'!AO26,AO26)+'Grid_Incoming'!AP26-'Grid_Requirement'!AP26</f>
        <v/>
      </c>
      <c r="AQ26">
        <f>IF(INDEX(Cal_Weeks[MonthYearLabel],42)&lt;&gt;INDEX(Cal_Weeks[MonthYearLabel],41),'Grid_Stock'!AP26,AP26)+'Grid_Incoming'!AQ26-'Grid_Requirement'!AQ26</f>
        <v/>
      </c>
      <c r="AR26">
        <f>IF(INDEX(Cal_Weeks[MonthYearLabel],43)&lt;&gt;INDEX(Cal_Weeks[MonthYearLabel],42),'Grid_Stock'!AQ26,AQ26)+'Grid_Incoming'!AR26-'Grid_Requirement'!AR26</f>
        <v/>
      </c>
      <c r="AS26">
        <f>IF(INDEX(Cal_Weeks[MonthYearLabel],44)&lt;&gt;INDEX(Cal_Weeks[MonthYearLabel],43),'Grid_Stock'!AR26,AR26)+'Grid_Incoming'!AS26-'Grid_Requirement'!AS26</f>
        <v/>
      </c>
      <c r="AT26">
        <f>IF(INDEX(Cal_Weeks[MonthYearLabel],45)&lt;&gt;INDEX(Cal_Weeks[MonthYearLabel],44),'Grid_Stock'!AS26,AS26)+'Grid_Incoming'!AT26-'Grid_Requirement'!AT26</f>
        <v/>
      </c>
      <c r="AU26">
        <f>IF(INDEX(Cal_Weeks[MonthYearLabel],46)&lt;&gt;INDEX(Cal_Weeks[MonthYearLabel],45),'Grid_Stock'!AT26,AT26)+'Grid_Incoming'!AU26-'Grid_Requirement'!AU26</f>
        <v/>
      </c>
      <c r="AV26">
        <f>IF(INDEX(Cal_Weeks[MonthYearLabel],47)&lt;&gt;INDEX(Cal_Weeks[MonthYearLabel],46),'Grid_Stock'!AU26,AU26)+'Grid_Incoming'!AV26-'Grid_Requirement'!AV26</f>
        <v/>
      </c>
      <c r="AW26">
        <f>IF(INDEX(Cal_Weeks[MonthYearLabel],48)&lt;&gt;INDEX(Cal_Weeks[MonthYearLabel],47),'Grid_Stock'!AV26,AV26)+'Grid_Incoming'!AW26-'Grid_Requirement'!AW26</f>
        <v/>
      </c>
      <c r="AX26">
        <f>IF(INDEX(Cal_Weeks[MonthYearLabel],49)&lt;&gt;INDEX(Cal_Weeks[MonthYearLabel],48),'Grid_Stock'!AW26,AW26)+'Grid_Incoming'!AX26-'Grid_Requirement'!AX26</f>
        <v/>
      </c>
      <c r="AY26">
        <f>IF(INDEX(Cal_Weeks[MonthYearLabel],50)&lt;&gt;INDEX(Cal_Weeks[MonthYearLabel],49),'Grid_Stock'!AX26,AX26)+'Grid_Incoming'!AY26-'Grid_Requirement'!AY26</f>
        <v/>
      </c>
      <c r="AZ26">
        <f>IF(INDEX(Cal_Weeks[MonthYearLabel],51)&lt;&gt;INDEX(Cal_Weeks[MonthYearLabel],50),'Grid_Stock'!AY26,AY26)+'Grid_Incoming'!AZ26-'Grid_Requirement'!AZ26</f>
        <v/>
      </c>
      <c r="BA26">
        <f>IF(INDEX(Cal_Weeks[MonthYearLabel],52)&lt;&gt;INDEX(Cal_Weeks[MonthYearLabel],51),'Grid_Stock'!AZ26,AZ26)+'Grid_Incoming'!BA26-'Grid_Requirement'!BA26</f>
        <v/>
      </c>
      <c r="BB26">
        <f>IF(INDEX(Cal_Weeks[MonthYearLabel],53)&lt;&gt;INDEX(Cal_Weeks[MonthYearLabel],52),'Grid_Stock'!BA26,BA26)+'Grid_Incoming'!BB26-'Grid_Requirement'!BB26</f>
        <v/>
      </c>
      <c r="BC26">
        <f>IF(INDEX(Cal_Weeks[MonthYearLabel],54)&lt;&gt;INDEX(Cal_Weeks[MonthYearLabel],53),'Grid_Stock'!BB26,BB26)+'Grid_Incoming'!BC26-'Grid_Requirement'!BC26</f>
        <v/>
      </c>
      <c r="BD26">
        <f>IF(INDEX(Cal_Weeks[MonthYearLabel],55)&lt;&gt;INDEX(Cal_Weeks[MonthYearLabel],54),'Grid_Stock'!BC26,BC26)+'Grid_Incoming'!BD26-'Grid_Requirement'!BD26</f>
        <v/>
      </c>
      <c r="BE26">
        <f>IF(INDEX(Cal_Weeks[MonthYearLabel],56)&lt;&gt;INDEX(Cal_Weeks[MonthYearLabel],55),'Grid_Stock'!BD26,BD26)+'Grid_Incoming'!BE26-'Grid_Requirement'!BE26</f>
        <v/>
      </c>
      <c r="BF26">
        <f>IF(INDEX(Cal_Weeks[MonthYearLabel],57)&lt;&gt;INDEX(Cal_Weeks[MonthYearLabel],56),'Grid_Stock'!BE26,BE26)+'Grid_Incoming'!BF26-'Grid_Requirement'!BF26</f>
        <v/>
      </c>
      <c r="BG26">
        <f>IF(INDEX(Cal_Weeks[MonthYearLabel],58)&lt;&gt;INDEX(Cal_Weeks[MonthYearLabel],57),'Grid_Stock'!BF26,BF26)+'Grid_Incoming'!BG26-'Grid_Requirement'!BG26</f>
        <v/>
      </c>
      <c r="BH26">
        <f>IF(INDEX(Cal_Weeks[MonthYearLabel],59)&lt;&gt;INDEX(Cal_Weeks[MonthYearLabel],58),'Grid_Stock'!BG26,BG26)+'Grid_Incoming'!BH26-'Grid_Requirement'!BH26</f>
        <v/>
      </c>
      <c r="BI26">
        <f>IF(INDEX(Cal_Weeks[MonthYearLabel],60)&lt;&gt;INDEX(Cal_Weeks[MonthYearLabel],59),'Grid_Stock'!BH26,BH26)+'Grid_Incoming'!BI26-'Grid_Requirement'!BI26</f>
        <v/>
      </c>
      <c r="BJ26">
        <f>IF(INDEX(Cal_Weeks[MonthYearLabel],61)&lt;&gt;INDEX(Cal_Weeks[MonthYearLabel],60),'Grid_Stock'!BI26,BI26)+'Grid_Incoming'!BJ26-'Grid_Requirement'!BJ26</f>
        <v/>
      </c>
      <c r="BK26">
        <f>IF(INDEX(Cal_Weeks[MonthYearLabel],62)&lt;&gt;INDEX(Cal_Weeks[MonthYearLabel],61),'Grid_Stock'!BJ26,BJ26)+'Grid_Incoming'!BK26-'Grid_Requirement'!BK26</f>
        <v/>
      </c>
      <c r="BL26">
        <f>IF(INDEX(Cal_Weeks[MonthYearLabel],63)&lt;&gt;INDEX(Cal_Weeks[MonthYearLabel],62),'Grid_Stock'!BK26,BK26)+'Grid_Incoming'!BL26-'Grid_Requirement'!BL26</f>
        <v/>
      </c>
      <c r="BM26">
        <f>IF(INDEX(Cal_Weeks[MonthYearLabel],64)&lt;&gt;INDEX(Cal_Weeks[MonthYearLabel],63),'Grid_Stock'!BL26,BL26)+'Grid_Incoming'!BM26-'Grid_Requirement'!BM26</f>
        <v/>
      </c>
      <c r="BN26">
        <f>IF(INDEX(Cal_Weeks[MonthYearLabel],65)&lt;&gt;INDEX(Cal_Weeks[MonthYearLabel],64),'Grid_Stock'!BM26,BM26)+'Grid_Incoming'!BN26-'Grid_Requirement'!BN26</f>
        <v/>
      </c>
      <c r="BO26">
        <f>IF(INDEX(Cal_Weeks[MonthYearLabel],66)&lt;&gt;INDEX(Cal_Weeks[MonthYearLabel],65),'Grid_Stock'!BN26,BN26)+'Grid_Incoming'!BO26-'Grid_Requirement'!BO26</f>
        <v/>
      </c>
      <c r="BP26">
        <f>IF(INDEX(Cal_Weeks[MonthYearLabel],67)&lt;&gt;INDEX(Cal_Weeks[MonthYearLabel],66),'Grid_Stock'!BO26,BO26)+'Grid_Incoming'!BP26-'Grid_Requirement'!BP26</f>
        <v/>
      </c>
      <c r="BQ26">
        <f>IF(INDEX(Cal_Weeks[MonthYearLabel],68)&lt;&gt;INDEX(Cal_Weeks[MonthYearLabel],67),'Grid_Stock'!BP26,BP26)+'Grid_Incoming'!BQ26-'Grid_Requirement'!BQ26</f>
        <v/>
      </c>
      <c r="BR26">
        <f>IF(INDEX(Cal_Weeks[MonthYearLabel],69)&lt;&gt;INDEX(Cal_Weeks[MonthYearLabel],68),'Grid_Stock'!BQ26,BQ26)+'Grid_Incoming'!BR26-'Grid_Requirement'!BR26</f>
        <v/>
      </c>
      <c r="BS26">
        <f>IF(INDEX(Cal_Weeks[MonthYearLabel],70)&lt;&gt;INDEX(Cal_Weeks[MonthYearLabel],69),'Grid_Stock'!BR26,BR26)+'Grid_Incoming'!BS26-'Grid_Requirement'!BS26</f>
        <v/>
      </c>
      <c r="BT26">
        <f>IF(INDEX(Cal_Weeks[MonthYearLabel],71)&lt;&gt;INDEX(Cal_Weeks[MonthYearLabel],70),'Grid_Stock'!BS26,BS26)+'Grid_Incoming'!BT26-'Grid_Requirement'!BT26</f>
        <v/>
      </c>
      <c r="BU26">
        <f>IF(INDEX(Cal_Weeks[MonthYearLabel],72)&lt;&gt;INDEX(Cal_Weeks[MonthYearLabel],71),'Grid_Stock'!BT26,BT26)+'Grid_Incoming'!BU26-'Grid_Requirement'!BU26</f>
        <v/>
      </c>
      <c r="BV26">
        <f>IF(INDEX(Cal_Weeks[MonthYearLabel],73)&lt;&gt;INDEX(Cal_Weeks[MonthYearLabel],72),'Grid_Stock'!BU26,BU26)+'Grid_Incoming'!BV26-'Grid_Requirement'!BV26</f>
        <v/>
      </c>
      <c r="BW26">
        <f>IF(INDEX(Cal_Weeks[MonthYearLabel],74)&lt;&gt;INDEX(Cal_Weeks[MonthYearLabel],73),'Grid_Stock'!BV26,BV26)+'Grid_Incoming'!BW26-'Grid_Requirement'!BW26</f>
        <v/>
      </c>
      <c r="BX26">
        <f>IF(INDEX(Cal_Weeks[MonthYearLabel],75)&lt;&gt;INDEX(Cal_Weeks[MonthYearLabel],74),'Grid_Stock'!BW26,BW26)+'Grid_Incoming'!BX26-'Grid_Requirement'!BX26</f>
        <v/>
      </c>
      <c r="BY26">
        <f>IF(INDEX(Cal_Weeks[MonthYearLabel],76)&lt;&gt;INDEX(Cal_Weeks[MonthYearLabel],75),'Grid_Stock'!BX26,BX26)+'Grid_Incoming'!BY26-'Grid_Requirement'!BY26</f>
        <v/>
      </c>
      <c r="BZ26">
        <f>IF(INDEX(Cal_Weeks[MonthYearLabel],77)&lt;&gt;INDEX(Cal_Weeks[MonthYearLabel],76),'Grid_Stock'!BY26,BY26)+'Grid_Incoming'!BZ26-'Grid_Requirement'!BZ26</f>
        <v/>
      </c>
      <c r="CA26">
        <f>IF(INDEX(Cal_Weeks[MonthYearLabel],78)&lt;&gt;INDEX(Cal_Weeks[MonthYearLabel],77),'Grid_Stock'!BZ26,BZ26)+'Grid_Incoming'!CA26-'Grid_Requirement'!CA26</f>
        <v/>
      </c>
      <c r="CB26">
        <f>IF(INDEX(Cal_Weeks[MonthYearLabel],79)&lt;&gt;INDEX(Cal_Weeks[MonthYearLabel],78),'Grid_Stock'!CA26,CA26)+'Grid_Incoming'!CB26-'Grid_Requirement'!CB26</f>
        <v/>
      </c>
      <c r="CC26">
        <f>IF(INDEX(Cal_Weeks[MonthYearLabel],80)&lt;&gt;INDEX(Cal_Weeks[MonthYearLabel],79),'Grid_Stock'!CB26,CB26)+'Grid_Incoming'!CC26-'Grid_Requirement'!CC26</f>
        <v/>
      </c>
      <c r="CD26">
        <f>IF(INDEX(Cal_Weeks[MonthYearLabel],81)&lt;&gt;INDEX(Cal_Weeks[MonthYearLabel],80),'Grid_Stock'!CC26,CC26)+'Grid_Incoming'!CD26-'Grid_Requirement'!CD26</f>
        <v/>
      </c>
      <c r="CE26">
        <f>IF(INDEX(Cal_Weeks[MonthYearLabel],82)&lt;&gt;INDEX(Cal_Weeks[MonthYearLabel],81),'Grid_Stock'!CD26,CD26)+'Grid_Incoming'!CE26-'Grid_Requirement'!CE26</f>
        <v/>
      </c>
      <c r="CF26">
        <f>IF(INDEX(Cal_Weeks[MonthYearLabel],83)&lt;&gt;INDEX(Cal_Weeks[MonthYearLabel],82),'Grid_Stock'!CE26,CE26)+'Grid_Incoming'!CF26-'Grid_Requirement'!CF26</f>
        <v/>
      </c>
      <c r="CG26">
        <f>IF(INDEX(Cal_Weeks[MonthYearLabel],84)&lt;&gt;INDEX(Cal_Weeks[MonthYearLabel],83),'Grid_Stock'!CF26,CF26)+'Grid_Incoming'!CG26-'Grid_Requirement'!CG26</f>
        <v/>
      </c>
      <c r="CH26">
        <f>IF(INDEX(Cal_Weeks[MonthYearLabel],85)&lt;&gt;INDEX(Cal_Weeks[MonthYearLabel],84),'Grid_Stock'!CG26,CG26)+'Grid_Incoming'!CH26-'Grid_Requirement'!CH26</f>
        <v/>
      </c>
      <c r="CI26">
        <f>IF(INDEX(Cal_Weeks[MonthYearLabel],86)&lt;&gt;INDEX(Cal_Weeks[MonthYearLabel],85),'Grid_Stock'!CH26,CH26)+'Grid_Incoming'!CI26-'Grid_Requirement'!CI26</f>
        <v/>
      </c>
      <c r="CJ26">
        <f>IF(INDEX(Cal_Weeks[MonthYearLabel],87)&lt;&gt;INDEX(Cal_Weeks[MonthYearLabel],86),'Grid_Stock'!CI26,CI26)+'Grid_Incoming'!CJ26-'Grid_Requirement'!CJ26</f>
        <v/>
      </c>
      <c r="CK26">
        <f>IF(INDEX(Cal_Weeks[MonthYearLabel],88)&lt;&gt;INDEX(Cal_Weeks[MonthYearLabel],87),'Grid_Stock'!CJ26,CJ26)+'Grid_Incoming'!CK26-'Grid_Requirement'!CK26</f>
        <v/>
      </c>
      <c r="CL26">
        <f>IF(INDEX(Cal_Weeks[MonthYearLabel],89)&lt;&gt;INDEX(Cal_Weeks[MonthYearLabel],88),'Grid_Stock'!CK26,CK26)+'Grid_Incoming'!CL26-'Grid_Requirement'!CL26</f>
        <v/>
      </c>
      <c r="CM26">
        <f>IF(INDEX(Cal_Weeks[MonthYearLabel],90)&lt;&gt;INDEX(Cal_Weeks[MonthYearLabel],89),'Grid_Stock'!CL26,CL26)+'Grid_Incoming'!CM26-'Grid_Requirement'!CM26</f>
        <v/>
      </c>
      <c r="CN26">
        <f>IF(INDEX(Cal_Weeks[MonthYearLabel],91)&lt;&gt;INDEX(Cal_Weeks[MonthYearLabel],90),'Grid_Stock'!CM26,CM26)+'Grid_Incoming'!CN26-'Grid_Requirement'!CN26</f>
        <v/>
      </c>
      <c r="CO26">
        <f>IF(INDEX(Cal_Weeks[MonthYearLabel],92)&lt;&gt;INDEX(Cal_Weeks[MonthYearLabel],91),'Grid_Stock'!CN26,CN26)+'Grid_Incoming'!CO26-'Grid_Requirement'!CO26</f>
        <v/>
      </c>
      <c r="CP26">
        <f>IF(INDEX(Cal_Weeks[MonthYearLabel],93)&lt;&gt;INDEX(Cal_Weeks[MonthYearLabel],92),'Grid_Stock'!CO26,CO26)+'Grid_Incoming'!CP26-'Grid_Requirement'!CP26</f>
        <v/>
      </c>
      <c r="CQ26">
        <f>IF(INDEX(Cal_Weeks[MonthYearLabel],94)&lt;&gt;INDEX(Cal_Weeks[MonthYearLabel],93),'Grid_Stock'!CP26,CP26)+'Grid_Incoming'!CQ26-'Grid_Requirement'!CQ26</f>
        <v/>
      </c>
      <c r="CR26">
        <f>IF(INDEX(Cal_Weeks[MonthYearLabel],95)&lt;&gt;INDEX(Cal_Weeks[MonthYearLabel],94),'Grid_Stock'!CQ26,CQ26)+'Grid_Incoming'!CR26-'Grid_Requirement'!CR26</f>
        <v/>
      </c>
      <c r="CS26">
        <f>IF(INDEX(Cal_Weeks[MonthYearLabel],96)&lt;&gt;INDEX(Cal_Weeks[MonthYearLabel],95),'Grid_Stock'!CR26,CR26)+'Grid_Incoming'!CS26-'Grid_Requirement'!CS26</f>
        <v/>
      </c>
      <c r="CT26">
        <f>IF(INDEX(Cal_Weeks[MonthYearLabel],97)&lt;&gt;INDEX(Cal_Weeks[MonthYearLabel],96),'Grid_Stock'!CS26,CS26)+'Grid_Incoming'!CT26-'Grid_Requirement'!CT26</f>
        <v/>
      </c>
      <c r="CU26">
        <f>IF(INDEX(Cal_Weeks[MonthYearLabel],98)&lt;&gt;INDEX(Cal_Weeks[MonthYearLabel],97),'Grid_Stock'!CT26,CT26)+'Grid_Incoming'!CU26-'Grid_Requirement'!CU26</f>
        <v/>
      </c>
      <c r="CV26">
        <f>IF(INDEX(Cal_Weeks[MonthYearLabel],99)&lt;&gt;INDEX(Cal_Weeks[MonthYearLabel],98),'Grid_Stock'!CU26,CU26)+'Grid_Incoming'!CV26-'Grid_Requirement'!CV26</f>
        <v/>
      </c>
      <c r="CW26">
        <f>IF(INDEX(Cal_Weeks[MonthYearLabel],100)&lt;&gt;INDEX(Cal_Weeks[MonthYearLabel],99),'Grid_Stock'!CV26,CV26)+'Grid_Incoming'!CW26-'Grid_Requirement'!CW26</f>
        <v/>
      </c>
      <c r="CX26">
        <f>IF(INDEX(Cal_Weeks[MonthYearLabel],101)&lt;&gt;INDEX(Cal_Weeks[MonthYearLabel],100),'Grid_Stock'!CW26,CW26)+'Grid_Incoming'!CX26-'Grid_Requirement'!CX26</f>
        <v/>
      </c>
      <c r="CY26">
        <f>IF(INDEX(Cal_Weeks[MonthYearLabel],102)&lt;&gt;INDEX(Cal_Weeks[MonthYearLabel],101),'Grid_Stock'!CX26,CX26)+'Grid_Incoming'!CY26-'Grid_Requirement'!CY26</f>
        <v/>
      </c>
      <c r="CZ26">
        <f>IF(INDEX(Cal_Weeks[MonthYearLabel],103)&lt;&gt;INDEX(Cal_Weeks[MonthYearLabel],102),'Grid_Stock'!CY26,CY26)+'Grid_Incoming'!CZ26-'Grid_Requirement'!CZ26</f>
        <v/>
      </c>
      <c r="DA26">
        <f>IF(INDEX(Cal_Weeks[MonthYearLabel],104)&lt;&gt;INDEX(Cal_Weeks[MonthYearLabel],103),'Grid_Stock'!CZ26,CZ26)+'Grid_Incoming'!DA26-'Grid_Requirement'!DA26</f>
        <v/>
      </c>
    </row>
    <row r="27">
      <c r="A27" t="inlineStr">
        <is>
          <t>CHEM-1250</t>
        </is>
      </c>
      <c r="B27">
        <f>IFERROR(INDEX(T_OpeningStock[Opening_Qty_要入力],MATCH($A27,T_OpeningStock[Part Name],0)),0)+'Grid_Incoming'!B27-'Grid_Requirement'!B27</f>
        <v/>
      </c>
      <c r="C27">
        <f>IF(INDEX(Cal_Weeks[MonthYearLabel],2)&lt;&gt;INDEX(Cal_Weeks[MonthYearLabel],1),'Grid_Stock'!B27,B27)+'Grid_Incoming'!C27-'Grid_Requirement'!C27</f>
        <v/>
      </c>
      <c r="D27">
        <f>IF(INDEX(Cal_Weeks[MonthYearLabel],3)&lt;&gt;INDEX(Cal_Weeks[MonthYearLabel],2),'Grid_Stock'!C27,C27)+'Grid_Incoming'!D27-'Grid_Requirement'!D27</f>
        <v/>
      </c>
      <c r="E27">
        <f>IF(INDEX(Cal_Weeks[MonthYearLabel],4)&lt;&gt;INDEX(Cal_Weeks[MonthYearLabel],3),'Grid_Stock'!D27,D27)+'Grid_Incoming'!E27-'Grid_Requirement'!E27</f>
        <v/>
      </c>
      <c r="F27">
        <f>IF(INDEX(Cal_Weeks[MonthYearLabel],5)&lt;&gt;INDEX(Cal_Weeks[MonthYearLabel],4),'Grid_Stock'!E27,E27)+'Grid_Incoming'!F27-'Grid_Requirement'!F27</f>
        <v/>
      </c>
      <c r="G27">
        <f>IF(INDEX(Cal_Weeks[MonthYearLabel],6)&lt;&gt;INDEX(Cal_Weeks[MonthYearLabel],5),'Grid_Stock'!F27,F27)+'Grid_Incoming'!G27-'Grid_Requirement'!G27</f>
        <v/>
      </c>
      <c r="H27">
        <f>IF(INDEX(Cal_Weeks[MonthYearLabel],7)&lt;&gt;INDEX(Cal_Weeks[MonthYearLabel],6),'Grid_Stock'!G27,G27)+'Grid_Incoming'!H27-'Grid_Requirement'!H27</f>
        <v/>
      </c>
      <c r="I27">
        <f>IF(INDEX(Cal_Weeks[MonthYearLabel],8)&lt;&gt;INDEX(Cal_Weeks[MonthYearLabel],7),'Grid_Stock'!H27,H27)+'Grid_Incoming'!I27-'Grid_Requirement'!I27</f>
        <v/>
      </c>
      <c r="J27">
        <f>IF(INDEX(Cal_Weeks[MonthYearLabel],9)&lt;&gt;INDEX(Cal_Weeks[MonthYearLabel],8),'Grid_Stock'!I27,I27)+'Grid_Incoming'!J27-'Grid_Requirement'!J27</f>
        <v/>
      </c>
      <c r="K27">
        <f>IF(INDEX(Cal_Weeks[MonthYearLabel],10)&lt;&gt;INDEX(Cal_Weeks[MonthYearLabel],9),'Grid_Stock'!J27,J27)+'Grid_Incoming'!K27-'Grid_Requirement'!K27</f>
        <v/>
      </c>
      <c r="L27">
        <f>IF(INDEX(Cal_Weeks[MonthYearLabel],11)&lt;&gt;INDEX(Cal_Weeks[MonthYearLabel],10),'Grid_Stock'!K27,K27)+'Grid_Incoming'!L27-'Grid_Requirement'!L27</f>
        <v/>
      </c>
      <c r="M27">
        <f>IF(INDEX(Cal_Weeks[MonthYearLabel],12)&lt;&gt;INDEX(Cal_Weeks[MonthYearLabel],11),'Grid_Stock'!L27,L27)+'Grid_Incoming'!M27-'Grid_Requirement'!M27</f>
        <v/>
      </c>
      <c r="N27">
        <f>IF(INDEX(Cal_Weeks[MonthYearLabel],13)&lt;&gt;INDEX(Cal_Weeks[MonthYearLabel],12),'Grid_Stock'!M27,M27)+'Grid_Incoming'!N27-'Grid_Requirement'!N27</f>
        <v/>
      </c>
      <c r="O27">
        <f>IF(INDEX(Cal_Weeks[MonthYearLabel],14)&lt;&gt;INDEX(Cal_Weeks[MonthYearLabel],13),'Grid_Stock'!N27,N27)+'Grid_Incoming'!O27-'Grid_Requirement'!O27</f>
        <v/>
      </c>
      <c r="P27">
        <f>IF(INDEX(Cal_Weeks[MonthYearLabel],15)&lt;&gt;INDEX(Cal_Weeks[MonthYearLabel],14),'Grid_Stock'!O27,O27)+'Grid_Incoming'!P27-'Grid_Requirement'!P27</f>
        <v/>
      </c>
      <c r="Q27">
        <f>IF(INDEX(Cal_Weeks[MonthYearLabel],16)&lt;&gt;INDEX(Cal_Weeks[MonthYearLabel],15),'Grid_Stock'!P27,P27)+'Grid_Incoming'!Q27-'Grid_Requirement'!Q27</f>
        <v/>
      </c>
      <c r="R27">
        <f>IF(INDEX(Cal_Weeks[MonthYearLabel],17)&lt;&gt;INDEX(Cal_Weeks[MonthYearLabel],16),'Grid_Stock'!Q27,Q27)+'Grid_Incoming'!R27-'Grid_Requirement'!R27</f>
        <v/>
      </c>
      <c r="S27">
        <f>IF(INDEX(Cal_Weeks[MonthYearLabel],18)&lt;&gt;INDEX(Cal_Weeks[MonthYearLabel],17),'Grid_Stock'!R27,R27)+'Grid_Incoming'!S27-'Grid_Requirement'!S27</f>
        <v/>
      </c>
      <c r="T27">
        <f>IF(INDEX(Cal_Weeks[MonthYearLabel],19)&lt;&gt;INDEX(Cal_Weeks[MonthYearLabel],18),'Grid_Stock'!S27,S27)+'Grid_Incoming'!T27-'Grid_Requirement'!T27</f>
        <v/>
      </c>
      <c r="U27">
        <f>IF(INDEX(Cal_Weeks[MonthYearLabel],20)&lt;&gt;INDEX(Cal_Weeks[MonthYearLabel],19),'Grid_Stock'!T27,T27)+'Grid_Incoming'!U27-'Grid_Requirement'!U27</f>
        <v/>
      </c>
      <c r="V27">
        <f>IF(INDEX(Cal_Weeks[MonthYearLabel],21)&lt;&gt;INDEX(Cal_Weeks[MonthYearLabel],20),'Grid_Stock'!U27,U27)+'Grid_Incoming'!V27-'Grid_Requirement'!V27</f>
        <v/>
      </c>
      <c r="W27">
        <f>IF(INDEX(Cal_Weeks[MonthYearLabel],22)&lt;&gt;INDEX(Cal_Weeks[MonthYearLabel],21),'Grid_Stock'!V27,V27)+'Grid_Incoming'!W27-'Grid_Requirement'!W27</f>
        <v/>
      </c>
      <c r="X27">
        <f>IF(INDEX(Cal_Weeks[MonthYearLabel],23)&lt;&gt;INDEX(Cal_Weeks[MonthYearLabel],22),'Grid_Stock'!W27,W27)+'Grid_Incoming'!X27-'Grid_Requirement'!X27</f>
        <v/>
      </c>
      <c r="Y27">
        <f>IF(INDEX(Cal_Weeks[MonthYearLabel],24)&lt;&gt;INDEX(Cal_Weeks[MonthYearLabel],23),'Grid_Stock'!X27,X27)+'Grid_Incoming'!Y27-'Grid_Requirement'!Y27</f>
        <v/>
      </c>
      <c r="Z27">
        <f>IF(INDEX(Cal_Weeks[MonthYearLabel],25)&lt;&gt;INDEX(Cal_Weeks[MonthYearLabel],24),'Grid_Stock'!Y27,Y27)+'Grid_Incoming'!Z27-'Grid_Requirement'!Z27</f>
        <v/>
      </c>
      <c r="AA27">
        <f>IF(INDEX(Cal_Weeks[MonthYearLabel],26)&lt;&gt;INDEX(Cal_Weeks[MonthYearLabel],25),'Grid_Stock'!Z27,Z27)+'Grid_Incoming'!AA27-'Grid_Requirement'!AA27</f>
        <v/>
      </c>
      <c r="AB27">
        <f>IF(INDEX(Cal_Weeks[MonthYearLabel],27)&lt;&gt;INDEX(Cal_Weeks[MonthYearLabel],26),'Grid_Stock'!AA27,AA27)+'Grid_Incoming'!AB27-'Grid_Requirement'!AB27</f>
        <v/>
      </c>
      <c r="AC27">
        <f>IF(INDEX(Cal_Weeks[MonthYearLabel],28)&lt;&gt;INDEX(Cal_Weeks[MonthYearLabel],27),'Grid_Stock'!AB27,AB27)+'Grid_Incoming'!AC27-'Grid_Requirement'!AC27</f>
        <v/>
      </c>
      <c r="AD27">
        <f>IF(INDEX(Cal_Weeks[MonthYearLabel],29)&lt;&gt;INDEX(Cal_Weeks[MonthYearLabel],28),'Grid_Stock'!AC27,AC27)+'Grid_Incoming'!AD27-'Grid_Requirement'!AD27</f>
        <v/>
      </c>
      <c r="AE27">
        <f>IF(INDEX(Cal_Weeks[MonthYearLabel],30)&lt;&gt;INDEX(Cal_Weeks[MonthYearLabel],29),'Grid_Stock'!AD27,AD27)+'Grid_Incoming'!AE27-'Grid_Requirement'!AE27</f>
        <v/>
      </c>
      <c r="AF27">
        <f>IF(INDEX(Cal_Weeks[MonthYearLabel],31)&lt;&gt;INDEX(Cal_Weeks[MonthYearLabel],30),'Grid_Stock'!AE27,AE27)+'Grid_Incoming'!AF27-'Grid_Requirement'!AF27</f>
        <v/>
      </c>
      <c r="AG27">
        <f>IF(INDEX(Cal_Weeks[MonthYearLabel],32)&lt;&gt;INDEX(Cal_Weeks[MonthYearLabel],31),'Grid_Stock'!AF27,AF27)+'Grid_Incoming'!AG27-'Grid_Requirement'!AG27</f>
        <v/>
      </c>
      <c r="AH27">
        <f>IF(INDEX(Cal_Weeks[MonthYearLabel],33)&lt;&gt;INDEX(Cal_Weeks[MonthYearLabel],32),'Grid_Stock'!AG27,AG27)+'Grid_Incoming'!AH27-'Grid_Requirement'!AH27</f>
        <v/>
      </c>
      <c r="AI27">
        <f>IF(INDEX(Cal_Weeks[MonthYearLabel],34)&lt;&gt;INDEX(Cal_Weeks[MonthYearLabel],33),'Grid_Stock'!AH27,AH27)+'Grid_Incoming'!AI27-'Grid_Requirement'!AI27</f>
        <v/>
      </c>
      <c r="AJ27">
        <f>IF(INDEX(Cal_Weeks[MonthYearLabel],35)&lt;&gt;INDEX(Cal_Weeks[MonthYearLabel],34),'Grid_Stock'!AI27,AI27)+'Grid_Incoming'!AJ27-'Grid_Requirement'!AJ27</f>
        <v/>
      </c>
      <c r="AK27">
        <f>IF(INDEX(Cal_Weeks[MonthYearLabel],36)&lt;&gt;INDEX(Cal_Weeks[MonthYearLabel],35),'Grid_Stock'!AJ27,AJ27)+'Grid_Incoming'!AK27-'Grid_Requirement'!AK27</f>
        <v/>
      </c>
      <c r="AL27">
        <f>IF(INDEX(Cal_Weeks[MonthYearLabel],37)&lt;&gt;INDEX(Cal_Weeks[MonthYearLabel],36),'Grid_Stock'!AK27,AK27)+'Grid_Incoming'!AL27-'Grid_Requirement'!AL27</f>
        <v/>
      </c>
      <c r="AM27">
        <f>IF(INDEX(Cal_Weeks[MonthYearLabel],38)&lt;&gt;INDEX(Cal_Weeks[MonthYearLabel],37),'Grid_Stock'!AL27,AL27)+'Grid_Incoming'!AM27-'Grid_Requirement'!AM27</f>
        <v/>
      </c>
      <c r="AN27">
        <f>IF(INDEX(Cal_Weeks[MonthYearLabel],39)&lt;&gt;INDEX(Cal_Weeks[MonthYearLabel],38),'Grid_Stock'!AM27,AM27)+'Grid_Incoming'!AN27-'Grid_Requirement'!AN27</f>
        <v/>
      </c>
      <c r="AO27">
        <f>IF(INDEX(Cal_Weeks[MonthYearLabel],40)&lt;&gt;INDEX(Cal_Weeks[MonthYearLabel],39),'Grid_Stock'!AN27,AN27)+'Grid_Incoming'!AO27-'Grid_Requirement'!AO27</f>
        <v/>
      </c>
      <c r="AP27">
        <f>IF(INDEX(Cal_Weeks[MonthYearLabel],41)&lt;&gt;INDEX(Cal_Weeks[MonthYearLabel],40),'Grid_Stock'!AO27,AO27)+'Grid_Incoming'!AP27-'Grid_Requirement'!AP27</f>
        <v/>
      </c>
      <c r="AQ27">
        <f>IF(INDEX(Cal_Weeks[MonthYearLabel],42)&lt;&gt;INDEX(Cal_Weeks[MonthYearLabel],41),'Grid_Stock'!AP27,AP27)+'Grid_Incoming'!AQ27-'Grid_Requirement'!AQ27</f>
        <v/>
      </c>
      <c r="AR27">
        <f>IF(INDEX(Cal_Weeks[MonthYearLabel],43)&lt;&gt;INDEX(Cal_Weeks[MonthYearLabel],42),'Grid_Stock'!AQ27,AQ27)+'Grid_Incoming'!AR27-'Grid_Requirement'!AR27</f>
        <v/>
      </c>
      <c r="AS27">
        <f>IF(INDEX(Cal_Weeks[MonthYearLabel],44)&lt;&gt;INDEX(Cal_Weeks[MonthYearLabel],43),'Grid_Stock'!AR27,AR27)+'Grid_Incoming'!AS27-'Grid_Requirement'!AS27</f>
        <v/>
      </c>
      <c r="AT27">
        <f>IF(INDEX(Cal_Weeks[MonthYearLabel],45)&lt;&gt;INDEX(Cal_Weeks[MonthYearLabel],44),'Grid_Stock'!AS27,AS27)+'Grid_Incoming'!AT27-'Grid_Requirement'!AT27</f>
        <v/>
      </c>
      <c r="AU27">
        <f>IF(INDEX(Cal_Weeks[MonthYearLabel],46)&lt;&gt;INDEX(Cal_Weeks[MonthYearLabel],45),'Grid_Stock'!AT27,AT27)+'Grid_Incoming'!AU27-'Grid_Requirement'!AU27</f>
        <v/>
      </c>
      <c r="AV27">
        <f>IF(INDEX(Cal_Weeks[MonthYearLabel],47)&lt;&gt;INDEX(Cal_Weeks[MonthYearLabel],46),'Grid_Stock'!AU27,AU27)+'Grid_Incoming'!AV27-'Grid_Requirement'!AV27</f>
        <v/>
      </c>
      <c r="AW27">
        <f>IF(INDEX(Cal_Weeks[MonthYearLabel],48)&lt;&gt;INDEX(Cal_Weeks[MonthYearLabel],47),'Grid_Stock'!AV27,AV27)+'Grid_Incoming'!AW27-'Grid_Requirement'!AW27</f>
        <v/>
      </c>
      <c r="AX27">
        <f>IF(INDEX(Cal_Weeks[MonthYearLabel],49)&lt;&gt;INDEX(Cal_Weeks[MonthYearLabel],48),'Grid_Stock'!AW27,AW27)+'Grid_Incoming'!AX27-'Grid_Requirement'!AX27</f>
        <v/>
      </c>
      <c r="AY27">
        <f>IF(INDEX(Cal_Weeks[MonthYearLabel],50)&lt;&gt;INDEX(Cal_Weeks[MonthYearLabel],49),'Grid_Stock'!AX27,AX27)+'Grid_Incoming'!AY27-'Grid_Requirement'!AY27</f>
        <v/>
      </c>
      <c r="AZ27">
        <f>IF(INDEX(Cal_Weeks[MonthYearLabel],51)&lt;&gt;INDEX(Cal_Weeks[MonthYearLabel],50),'Grid_Stock'!AY27,AY27)+'Grid_Incoming'!AZ27-'Grid_Requirement'!AZ27</f>
        <v/>
      </c>
      <c r="BA27">
        <f>IF(INDEX(Cal_Weeks[MonthYearLabel],52)&lt;&gt;INDEX(Cal_Weeks[MonthYearLabel],51),'Grid_Stock'!AZ27,AZ27)+'Grid_Incoming'!BA27-'Grid_Requirement'!BA27</f>
        <v/>
      </c>
      <c r="BB27">
        <f>IF(INDEX(Cal_Weeks[MonthYearLabel],53)&lt;&gt;INDEX(Cal_Weeks[MonthYearLabel],52),'Grid_Stock'!BA27,BA27)+'Grid_Incoming'!BB27-'Grid_Requirement'!BB27</f>
        <v/>
      </c>
      <c r="BC27">
        <f>IF(INDEX(Cal_Weeks[MonthYearLabel],54)&lt;&gt;INDEX(Cal_Weeks[MonthYearLabel],53),'Grid_Stock'!BB27,BB27)+'Grid_Incoming'!BC27-'Grid_Requirement'!BC27</f>
        <v/>
      </c>
      <c r="BD27">
        <f>IF(INDEX(Cal_Weeks[MonthYearLabel],55)&lt;&gt;INDEX(Cal_Weeks[MonthYearLabel],54),'Grid_Stock'!BC27,BC27)+'Grid_Incoming'!BD27-'Grid_Requirement'!BD27</f>
        <v/>
      </c>
      <c r="BE27">
        <f>IF(INDEX(Cal_Weeks[MonthYearLabel],56)&lt;&gt;INDEX(Cal_Weeks[MonthYearLabel],55),'Grid_Stock'!BD27,BD27)+'Grid_Incoming'!BE27-'Grid_Requirement'!BE27</f>
        <v/>
      </c>
      <c r="BF27">
        <f>IF(INDEX(Cal_Weeks[MonthYearLabel],57)&lt;&gt;INDEX(Cal_Weeks[MonthYearLabel],56),'Grid_Stock'!BE27,BE27)+'Grid_Incoming'!BF27-'Grid_Requirement'!BF27</f>
        <v/>
      </c>
      <c r="BG27">
        <f>IF(INDEX(Cal_Weeks[MonthYearLabel],58)&lt;&gt;INDEX(Cal_Weeks[MonthYearLabel],57),'Grid_Stock'!BF27,BF27)+'Grid_Incoming'!BG27-'Grid_Requirement'!BG27</f>
        <v/>
      </c>
      <c r="BH27">
        <f>IF(INDEX(Cal_Weeks[MonthYearLabel],59)&lt;&gt;INDEX(Cal_Weeks[MonthYearLabel],58),'Grid_Stock'!BG27,BG27)+'Grid_Incoming'!BH27-'Grid_Requirement'!BH27</f>
        <v/>
      </c>
      <c r="BI27">
        <f>IF(INDEX(Cal_Weeks[MonthYearLabel],60)&lt;&gt;INDEX(Cal_Weeks[MonthYearLabel],59),'Grid_Stock'!BH27,BH27)+'Grid_Incoming'!BI27-'Grid_Requirement'!BI27</f>
        <v/>
      </c>
      <c r="BJ27">
        <f>IF(INDEX(Cal_Weeks[MonthYearLabel],61)&lt;&gt;INDEX(Cal_Weeks[MonthYearLabel],60),'Grid_Stock'!BI27,BI27)+'Grid_Incoming'!BJ27-'Grid_Requirement'!BJ27</f>
        <v/>
      </c>
      <c r="BK27">
        <f>IF(INDEX(Cal_Weeks[MonthYearLabel],62)&lt;&gt;INDEX(Cal_Weeks[MonthYearLabel],61),'Grid_Stock'!BJ27,BJ27)+'Grid_Incoming'!BK27-'Grid_Requirement'!BK27</f>
        <v/>
      </c>
      <c r="BL27">
        <f>IF(INDEX(Cal_Weeks[MonthYearLabel],63)&lt;&gt;INDEX(Cal_Weeks[MonthYearLabel],62),'Grid_Stock'!BK27,BK27)+'Grid_Incoming'!BL27-'Grid_Requirement'!BL27</f>
        <v/>
      </c>
      <c r="BM27">
        <f>IF(INDEX(Cal_Weeks[MonthYearLabel],64)&lt;&gt;INDEX(Cal_Weeks[MonthYearLabel],63),'Grid_Stock'!BL27,BL27)+'Grid_Incoming'!BM27-'Grid_Requirement'!BM27</f>
        <v/>
      </c>
      <c r="BN27">
        <f>IF(INDEX(Cal_Weeks[MonthYearLabel],65)&lt;&gt;INDEX(Cal_Weeks[MonthYearLabel],64),'Grid_Stock'!BM27,BM27)+'Grid_Incoming'!BN27-'Grid_Requirement'!BN27</f>
        <v/>
      </c>
      <c r="BO27">
        <f>IF(INDEX(Cal_Weeks[MonthYearLabel],66)&lt;&gt;INDEX(Cal_Weeks[MonthYearLabel],65),'Grid_Stock'!BN27,BN27)+'Grid_Incoming'!BO27-'Grid_Requirement'!BO27</f>
        <v/>
      </c>
      <c r="BP27">
        <f>IF(INDEX(Cal_Weeks[MonthYearLabel],67)&lt;&gt;INDEX(Cal_Weeks[MonthYearLabel],66),'Grid_Stock'!BO27,BO27)+'Grid_Incoming'!BP27-'Grid_Requirement'!BP27</f>
        <v/>
      </c>
      <c r="BQ27">
        <f>IF(INDEX(Cal_Weeks[MonthYearLabel],68)&lt;&gt;INDEX(Cal_Weeks[MonthYearLabel],67),'Grid_Stock'!BP27,BP27)+'Grid_Incoming'!BQ27-'Grid_Requirement'!BQ27</f>
        <v/>
      </c>
      <c r="BR27">
        <f>IF(INDEX(Cal_Weeks[MonthYearLabel],69)&lt;&gt;INDEX(Cal_Weeks[MonthYearLabel],68),'Grid_Stock'!BQ27,BQ27)+'Grid_Incoming'!BR27-'Grid_Requirement'!BR27</f>
        <v/>
      </c>
      <c r="BS27">
        <f>IF(INDEX(Cal_Weeks[MonthYearLabel],70)&lt;&gt;INDEX(Cal_Weeks[MonthYearLabel],69),'Grid_Stock'!BR27,BR27)+'Grid_Incoming'!BS27-'Grid_Requirement'!BS27</f>
        <v/>
      </c>
      <c r="BT27">
        <f>IF(INDEX(Cal_Weeks[MonthYearLabel],71)&lt;&gt;INDEX(Cal_Weeks[MonthYearLabel],70),'Grid_Stock'!BS27,BS27)+'Grid_Incoming'!BT27-'Grid_Requirement'!BT27</f>
        <v/>
      </c>
      <c r="BU27">
        <f>IF(INDEX(Cal_Weeks[MonthYearLabel],72)&lt;&gt;INDEX(Cal_Weeks[MonthYearLabel],71),'Grid_Stock'!BT27,BT27)+'Grid_Incoming'!BU27-'Grid_Requirement'!BU27</f>
        <v/>
      </c>
      <c r="BV27">
        <f>IF(INDEX(Cal_Weeks[MonthYearLabel],73)&lt;&gt;INDEX(Cal_Weeks[MonthYearLabel],72),'Grid_Stock'!BU27,BU27)+'Grid_Incoming'!BV27-'Grid_Requirement'!BV27</f>
        <v/>
      </c>
      <c r="BW27">
        <f>IF(INDEX(Cal_Weeks[MonthYearLabel],74)&lt;&gt;INDEX(Cal_Weeks[MonthYearLabel],73),'Grid_Stock'!BV27,BV27)+'Grid_Incoming'!BW27-'Grid_Requirement'!BW27</f>
        <v/>
      </c>
      <c r="BX27">
        <f>IF(INDEX(Cal_Weeks[MonthYearLabel],75)&lt;&gt;INDEX(Cal_Weeks[MonthYearLabel],74),'Grid_Stock'!BW27,BW27)+'Grid_Incoming'!BX27-'Grid_Requirement'!BX27</f>
        <v/>
      </c>
      <c r="BY27">
        <f>IF(INDEX(Cal_Weeks[MonthYearLabel],76)&lt;&gt;INDEX(Cal_Weeks[MonthYearLabel],75),'Grid_Stock'!BX27,BX27)+'Grid_Incoming'!BY27-'Grid_Requirement'!BY27</f>
        <v/>
      </c>
      <c r="BZ27">
        <f>IF(INDEX(Cal_Weeks[MonthYearLabel],77)&lt;&gt;INDEX(Cal_Weeks[MonthYearLabel],76),'Grid_Stock'!BY27,BY27)+'Grid_Incoming'!BZ27-'Grid_Requirement'!BZ27</f>
        <v/>
      </c>
      <c r="CA27">
        <f>IF(INDEX(Cal_Weeks[MonthYearLabel],78)&lt;&gt;INDEX(Cal_Weeks[MonthYearLabel],77),'Grid_Stock'!BZ27,BZ27)+'Grid_Incoming'!CA27-'Grid_Requirement'!CA27</f>
        <v/>
      </c>
      <c r="CB27">
        <f>IF(INDEX(Cal_Weeks[MonthYearLabel],79)&lt;&gt;INDEX(Cal_Weeks[MonthYearLabel],78),'Grid_Stock'!CA27,CA27)+'Grid_Incoming'!CB27-'Grid_Requirement'!CB27</f>
        <v/>
      </c>
      <c r="CC27">
        <f>IF(INDEX(Cal_Weeks[MonthYearLabel],80)&lt;&gt;INDEX(Cal_Weeks[MonthYearLabel],79),'Grid_Stock'!CB27,CB27)+'Grid_Incoming'!CC27-'Grid_Requirement'!CC27</f>
        <v/>
      </c>
      <c r="CD27">
        <f>IF(INDEX(Cal_Weeks[MonthYearLabel],81)&lt;&gt;INDEX(Cal_Weeks[MonthYearLabel],80),'Grid_Stock'!CC27,CC27)+'Grid_Incoming'!CD27-'Grid_Requirement'!CD27</f>
        <v/>
      </c>
      <c r="CE27">
        <f>IF(INDEX(Cal_Weeks[MonthYearLabel],82)&lt;&gt;INDEX(Cal_Weeks[MonthYearLabel],81),'Grid_Stock'!CD27,CD27)+'Grid_Incoming'!CE27-'Grid_Requirement'!CE27</f>
        <v/>
      </c>
      <c r="CF27">
        <f>IF(INDEX(Cal_Weeks[MonthYearLabel],83)&lt;&gt;INDEX(Cal_Weeks[MonthYearLabel],82),'Grid_Stock'!CE27,CE27)+'Grid_Incoming'!CF27-'Grid_Requirement'!CF27</f>
        <v/>
      </c>
      <c r="CG27">
        <f>IF(INDEX(Cal_Weeks[MonthYearLabel],84)&lt;&gt;INDEX(Cal_Weeks[MonthYearLabel],83),'Grid_Stock'!CF27,CF27)+'Grid_Incoming'!CG27-'Grid_Requirement'!CG27</f>
        <v/>
      </c>
      <c r="CH27">
        <f>IF(INDEX(Cal_Weeks[MonthYearLabel],85)&lt;&gt;INDEX(Cal_Weeks[MonthYearLabel],84),'Grid_Stock'!CG27,CG27)+'Grid_Incoming'!CH27-'Grid_Requirement'!CH27</f>
        <v/>
      </c>
      <c r="CI27">
        <f>IF(INDEX(Cal_Weeks[MonthYearLabel],86)&lt;&gt;INDEX(Cal_Weeks[MonthYearLabel],85),'Grid_Stock'!CH27,CH27)+'Grid_Incoming'!CI27-'Grid_Requirement'!CI27</f>
        <v/>
      </c>
      <c r="CJ27">
        <f>IF(INDEX(Cal_Weeks[MonthYearLabel],87)&lt;&gt;INDEX(Cal_Weeks[MonthYearLabel],86),'Grid_Stock'!CI27,CI27)+'Grid_Incoming'!CJ27-'Grid_Requirement'!CJ27</f>
        <v/>
      </c>
      <c r="CK27">
        <f>IF(INDEX(Cal_Weeks[MonthYearLabel],88)&lt;&gt;INDEX(Cal_Weeks[MonthYearLabel],87),'Grid_Stock'!CJ27,CJ27)+'Grid_Incoming'!CK27-'Grid_Requirement'!CK27</f>
        <v/>
      </c>
      <c r="CL27">
        <f>IF(INDEX(Cal_Weeks[MonthYearLabel],89)&lt;&gt;INDEX(Cal_Weeks[MonthYearLabel],88),'Grid_Stock'!CK27,CK27)+'Grid_Incoming'!CL27-'Grid_Requirement'!CL27</f>
        <v/>
      </c>
      <c r="CM27">
        <f>IF(INDEX(Cal_Weeks[MonthYearLabel],90)&lt;&gt;INDEX(Cal_Weeks[MonthYearLabel],89),'Grid_Stock'!CL27,CL27)+'Grid_Incoming'!CM27-'Grid_Requirement'!CM27</f>
        <v/>
      </c>
      <c r="CN27">
        <f>IF(INDEX(Cal_Weeks[MonthYearLabel],91)&lt;&gt;INDEX(Cal_Weeks[MonthYearLabel],90),'Grid_Stock'!CM27,CM27)+'Grid_Incoming'!CN27-'Grid_Requirement'!CN27</f>
        <v/>
      </c>
      <c r="CO27">
        <f>IF(INDEX(Cal_Weeks[MonthYearLabel],92)&lt;&gt;INDEX(Cal_Weeks[MonthYearLabel],91),'Grid_Stock'!CN27,CN27)+'Grid_Incoming'!CO27-'Grid_Requirement'!CO27</f>
        <v/>
      </c>
      <c r="CP27">
        <f>IF(INDEX(Cal_Weeks[MonthYearLabel],93)&lt;&gt;INDEX(Cal_Weeks[MonthYearLabel],92),'Grid_Stock'!CO27,CO27)+'Grid_Incoming'!CP27-'Grid_Requirement'!CP27</f>
        <v/>
      </c>
      <c r="CQ27">
        <f>IF(INDEX(Cal_Weeks[MonthYearLabel],94)&lt;&gt;INDEX(Cal_Weeks[MonthYearLabel],93),'Grid_Stock'!CP27,CP27)+'Grid_Incoming'!CQ27-'Grid_Requirement'!CQ27</f>
        <v/>
      </c>
      <c r="CR27">
        <f>IF(INDEX(Cal_Weeks[MonthYearLabel],95)&lt;&gt;INDEX(Cal_Weeks[MonthYearLabel],94),'Grid_Stock'!CQ27,CQ27)+'Grid_Incoming'!CR27-'Grid_Requirement'!CR27</f>
        <v/>
      </c>
      <c r="CS27">
        <f>IF(INDEX(Cal_Weeks[MonthYearLabel],96)&lt;&gt;INDEX(Cal_Weeks[MonthYearLabel],95),'Grid_Stock'!CR27,CR27)+'Grid_Incoming'!CS27-'Grid_Requirement'!CS27</f>
        <v/>
      </c>
      <c r="CT27">
        <f>IF(INDEX(Cal_Weeks[MonthYearLabel],97)&lt;&gt;INDEX(Cal_Weeks[MonthYearLabel],96),'Grid_Stock'!CS27,CS27)+'Grid_Incoming'!CT27-'Grid_Requirement'!CT27</f>
        <v/>
      </c>
      <c r="CU27">
        <f>IF(INDEX(Cal_Weeks[MonthYearLabel],98)&lt;&gt;INDEX(Cal_Weeks[MonthYearLabel],97),'Grid_Stock'!CT27,CT27)+'Grid_Incoming'!CU27-'Grid_Requirement'!CU27</f>
        <v/>
      </c>
      <c r="CV27">
        <f>IF(INDEX(Cal_Weeks[MonthYearLabel],99)&lt;&gt;INDEX(Cal_Weeks[MonthYearLabel],98),'Grid_Stock'!CU27,CU27)+'Grid_Incoming'!CV27-'Grid_Requirement'!CV27</f>
        <v/>
      </c>
      <c r="CW27">
        <f>IF(INDEX(Cal_Weeks[MonthYearLabel],100)&lt;&gt;INDEX(Cal_Weeks[MonthYearLabel],99),'Grid_Stock'!CV27,CV27)+'Grid_Incoming'!CW27-'Grid_Requirement'!CW27</f>
        <v/>
      </c>
      <c r="CX27">
        <f>IF(INDEX(Cal_Weeks[MonthYearLabel],101)&lt;&gt;INDEX(Cal_Weeks[MonthYearLabel],100),'Grid_Stock'!CW27,CW27)+'Grid_Incoming'!CX27-'Grid_Requirement'!CX27</f>
        <v/>
      </c>
      <c r="CY27">
        <f>IF(INDEX(Cal_Weeks[MonthYearLabel],102)&lt;&gt;INDEX(Cal_Weeks[MonthYearLabel],101),'Grid_Stock'!CX27,CX27)+'Grid_Incoming'!CY27-'Grid_Requirement'!CY27</f>
        <v/>
      </c>
      <c r="CZ27">
        <f>IF(INDEX(Cal_Weeks[MonthYearLabel],103)&lt;&gt;INDEX(Cal_Weeks[MonthYearLabel],102),'Grid_Stock'!CY27,CY27)+'Grid_Incoming'!CZ27-'Grid_Requirement'!CZ27</f>
        <v/>
      </c>
      <c r="DA27">
        <f>IF(INDEX(Cal_Weeks[MonthYearLabel],104)&lt;&gt;INDEX(Cal_Weeks[MonthYearLabel],103),'Grid_Stock'!CZ27,CZ27)+'Grid_Incoming'!DA27-'Grid_Requirement'!DA27</f>
        <v/>
      </c>
    </row>
    <row r="28">
      <c r="A28" t="inlineStr">
        <is>
          <t>CHEM-1600</t>
        </is>
      </c>
      <c r="B28">
        <f>IFERROR(INDEX(T_OpeningStock[Opening_Qty_要入力],MATCH($A28,T_OpeningStock[Part Name],0)),0)+'Grid_Incoming'!B28-'Grid_Requirement'!B28</f>
        <v/>
      </c>
      <c r="C28">
        <f>IF(INDEX(Cal_Weeks[MonthYearLabel],2)&lt;&gt;INDEX(Cal_Weeks[MonthYearLabel],1),'Grid_Stock'!B28,B28)+'Grid_Incoming'!C28-'Grid_Requirement'!C28</f>
        <v/>
      </c>
      <c r="D28">
        <f>IF(INDEX(Cal_Weeks[MonthYearLabel],3)&lt;&gt;INDEX(Cal_Weeks[MonthYearLabel],2),'Grid_Stock'!C28,C28)+'Grid_Incoming'!D28-'Grid_Requirement'!D28</f>
        <v/>
      </c>
      <c r="E28">
        <f>IF(INDEX(Cal_Weeks[MonthYearLabel],4)&lt;&gt;INDEX(Cal_Weeks[MonthYearLabel],3),'Grid_Stock'!D28,D28)+'Grid_Incoming'!E28-'Grid_Requirement'!E28</f>
        <v/>
      </c>
      <c r="F28">
        <f>IF(INDEX(Cal_Weeks[MonthYearLabel],5)&lt;&gt;INDEX(Cal_Weeks[MonthYearLabel],4),'Grid_Stock'!E28,E28)+'Grid_Incoming'!F28-'Grid_Requirement'!F28</f>
        <v/>
      </c>
      <c r="G28">
        <f>IF(INDEX(Cal_Weeks[MonthYearLabel],6)&lt;&gt;INDEX(Cal_Weeks[MonthYearLabel],5),'Grid_Stock'!F28,F28)+'Grid_Incoming'!G28-'Grid_Requirement'!G28</f>
        <v/>
      </c>
      <c r="H28">
        <f>IF(INDEX(Cal_Weeks[MonthYearLabel],7)&lt;&gt;INDEX(Cal_Weeks[MonthYearLabel],6),'Grid_Stock'!G28,G28)+'Grid_Incoming'!H28-'Grid_Requirement'!H28</f>
        <v/>
      </c>
      <c r="I28">
        <f>IF(INDEX(Cal_Weeks[MonthYearLabel],8)&lt;&gt;INDEX(Cal_Weeks[MonthYearLabel],7),'Grid_Stock'!H28,H28)+'Grid_Incoming'!I28-'Grid_Requirement'!I28</f>
        <v/>
      </c>
      <c r="J28">
        <f>IF(INDEX(Cal_Weeks[MonthYearLabel],9)&lt;&gt;INDEX(Cal_Weeks[MonthYearLabel],8),'Grid_Stock'!I28,I28)+'Grid_Incoming'!J28-'Grid_Requirement'!J28</f>
        <v/>
      </c>
      <c r="K28">
        <f>IF(INDEX(Cal_Weeks[MonthYearLabel],10)&lt;&gt;INDEX(Cal_Weeks[MonthYearLabel],9),'Grid_Stock'!J28,J28)+'Grid_Incoming'!K28-'Grid_Requirement'!K28</f>
        <v/>
      </c>
      <c r="L28">
        <f>IF(INDEX(Cal_Weeks[MonthYearLabel],11)&lt;&gt;INDEX(Cal_Weeks[MonthYearLabel],10),'Grid_Stock'!K28,K28)+'Grid_Incoming'!L28-'Grid_Requirement'!L28</f>
        <v/>
      </c>
      <c r="M28">
        <f>IF(INDEX(Cal_Weeks[MonthYearLabel],12)&lt;&gt;INDEX(Cal_Weeks[MonthYearLabel],11),'Grid_Stock'!L28,L28)+'Grid_Incoming'!M28-'Grid_Requirement'!M28</f>
        <v/>
      </c>
      <c r="N28">
        <f>IF(INDEX(Cal_Weeks[MonthYearLabel],13)&lt;&gt;INDEX(Cal_Weeks[MonthYearLabel],12),'Grid_Stock'!M28,M28)+'Grid_Incoming'!N28-'Grid_Requirement'!N28</f>
        <v/>
      </c>
      <c r="O28">
        <f>IF(INDEX(Cal_Weeks[MonthYearLabel],14)&lt;&gt;INDEX(Cal_Weeks[MonthYearLabel],13),'Grid_Stock'!N28,N28)+'Grid_Incoming'!O28-'Grid_Requirement'!O28</f>
        <v/>
      </c>
      <c r="P28">
        <f>IF(INDEX(Cal_Weeks[MonthYearLabel],15)&lt;&gt;INDEX(Cal_Weeks[MonthYearLabel],14),'Grid_Stock'!O28,O28)+'Grid_Incoming'!P28-'Grid_Requirement'!P28</f>
        <v/>
      </c>
      <c r="Q28">
        <f>IF(INDEX(Cal_Weeks[MonthYearLabel],16)&lt;&gt;INDEX(Cal_Weeks[MonthYearLabel],15),'Grid_Stock'!P28,P28)+'Grid_Incoming'!Q28-'Grid_Requirement'!Q28</f>
        <v/>
      </c>
      <c r="R28">
        <f>IF(INDEX(Cal_Weeks[MonthYearLabel],17)&lt;&gt;INDEX(Cal_Weeks[MonthYearLabel],16),'Grid_Stock'!Q28,Q28)+'Grid_Incoming'!R28-'Grid_Requirement'!R28</f>
        <v/>
      </c>
      <c r="S28">
        <f>IF(INDEX(Cal_Weeks[MonthYearLabel],18)&lt;&gt;INDEX(Cal_Weeks[MonthYearLabel],17),'Grid_Stock'!R28,R28)+'Grid_Incoming'!S28-'Grid_Requirement'!S28</f>
        <v/>
      </c>
      <c r="T28">
        <f>IF(INDEX(Cal_Weeks[MonthYearLabel],19)&lt;&gt;INDEX(Cal_Weeks[MonthYearLabel],18),'Grid_Stock'!S28,S28)+'Grid_Incoming'!T28-'Grid_Requirement'!T28</f>
        <v/>
      </c>
      <c r="U28">
        <f>IF(INDEX(Cal_Weeks[MonthYearLabel],20)&lt;&gt;INDEX(Cal_Weeks[MonthYearLabel],19),'Grid_Stock'!T28,T28)+'Grid_Incoming'!U28-'Grid_Requirement'!U28</f>
        <v/>
      </c>
      <c r="V28">
        <f>IF(INDEX(Cal_Weeks[MonthYearLabel],21)&lt;&gt;INDEX(Cal_Weeks[MonthYearLabel],20),'Grid_Stock'!U28,U28)+'Grid_Incoming'!V28-'Grid_Requirement'!V28</f>
        <v/>
      </c>
      <c r="W28">
        <f>IF(INDEX(Cal_Weeks[MonthYearLabel],22)&lt;&gt;INDEX(Cal_Weeks[MonthYearLabel],21),'Grid_Stock'!V28,V28)+'Grid_Incoming'!W28-'Grid_Requirement'!W28</f>
        <v/>
      </c>
      <c r="X28">
        <f>IF(INDEX(Cal_Weeks[MonthYearLabel],23)&lt;&gt;INDEX(Cal_Weeks[MonthYearLabel],22),'Grid_Stock'!W28,W28)+'Grid_Incoming'!X28-'Grid_Requirement'!X28</f>
        <v/>
      </c>
      <c r="Y28">
        <f>IF(INDEX(Cal_Weeks[MonthYearLabel],24)&lt;&gt;INDEX(Cal_Weeks[MonthYearLabel],23),'Grid_Stock'!X28,X28)+'Grid_Incoming'!Y28-'Grid_Requirement'!Y28</f>
        <v/>
      </c>
      <c r="Z28">
        <f>IF(INDEX(Cal_Weeks[MonthYearLabel],25)&lt;&gt;INDEX(Cal_Weeks[MonthYearLabel],24),'Grid_Stock'!Y28,Y28)+'Grid_Incoming'!Z28-'Grid_Requirement'!Z28</f>
        <v/>
      </c>
      <c r="AA28">
        <f>IF(INDEX(Cal_Weeks[MonthYearLabel],26)&lt;&gt;INDEX(Cal_Weeks[MonthYearLabel],25),'Grid_Stock'!Z28,Z28)+'Grid_Incoming'!AA28-'Grid_Requirement'!AA28</f>
        <v/>
      </c>
      <c r="AB28">
        <f>IF(INDEX(Cal_Weeks[MonthYearLabel],27)&lt;&gt;INDEX(Cal_Weeks[MonthYearLabel],26),'Grid_Stock'!AA28,AA28)+'Grid_Incoming'!AB28-'Grid_Requirement'!AB28</f>
        <v/>
      </c>
      <c r="AC28">
        <f>IF(INDEX(Cal_Weeks[MonthYearLabel],28)&lt;&gt;INDEX(Cal_Weeks[MonthYearLabel],27),'Grid_Stock'!AB28,AB28)+'Grid_Incoming'!AC28-'Grid_Requirement'!AC28</f>
        <v/>
      </c>
      <c r="AD28">
        <f>IF(INDEX(Cal_Weeks[MonthYearLabel],29)&lt;&gt;INDEX(Cal_Weeks[MonthYearLabel],28),'Grid_Stock'!AC28,AC28)+'Grid_Incoming'!AD28-'Grid_Requirement'!AD28</f>
        <v/>
      </c>
      <c r="AE28">
        <f>IF(INDEX(Cal_Weeks[MonthYearLabel],30)&lt;&gt;INDEX(Cal_Weeks[MonthYearLabel],29),'Grid_Stock'!AD28,AD28)+'Grid_Incoming'!AE28-'Grid_Requirement'!AE28</f>
        <v/>
      </c>
      <c r="AF28">
        <f>IF(INDEX(Cal_Weeks[MonthYearLabel],31)&lt;&gt;INDEX(Cal_Weeks[MonthYearLabel],30),'Grid_Stock'!AE28,AE28)+'Grid_Incoming'!AF28-'Grid_Requirement'!AF28</f>
        <v/>
      </c>
      <c r="AG28">
        <f>IF(INDEX(Cal_Weeks[MonthYearLabel],32)&lt;&gt;INDEX(Cal_Weeks[MonthYearLabel],31),'Grid_Stock'!AF28,AF28)+'Grid_Incoming'!AG28-'Grid_Requirement'!AG28</f>
        <v/>
      </c>
      <c r="AH28">
        <f>IF(INDEX(Cal_Weeks[MonthYearLabel],33)&lt;&gt;INDEX(Cal_Weeks[MonthYearLabel],32),'Grid_Stock'!AG28,AG28)+'Grid_Incoming'!AH28-'Grid_Requirement'!AH28</f>
        <v/>
      </c>
      <c r="AI28">
        <f>IF(INDEX(Cal_Weeks[MonthYearLabel],34)&lt;&gt;INDEX(Cal_Weeks[MonthYearLabel],33),'Grid_Stock'!AH28,AH28)+'Grid_Incoming'!AI28-'Grid_Requirement'!AI28</f>
        <v/>
      </c>
      <c r="AJ28">
        <f>IF(INDEX(Cal_Weeks[MonthYearLabel],35)&lt;&gt;INDEX(Cal_Weeks[MonthYearLabel],34),'Grid_Stock'!AI28,AI28)+'Grid_Incoming'!AJ28-'Grid_Requirement'!AJ28</f>
        <v/>
      </c>
      <c r="AK28">
        <f>IF(INDEX(Cal_Weeks[MonthYearLabel],36)&lt;&gt;INDEX(Cal_Weeks[MonthYearLabel],35),'Grid_Stock'!AJ28,AJ28)+'Grid_Incoming'!AK28-'Grid_Requirement'!AK28</f>
        <v/>
      </c>
      <c r="AL28">
        <f>IF(INDEX(Cal_Weeks[MonthYearLabel],37)&lt;&gt;INDEX(Cal_Weeks[MonthYearLabel],36),'Grid_Stock'!AK28,AK28)+'Grid_Incoming'!AL28-'Grid_Requirement'!AL28</f>
        <v/>
      </c>
      <c r="AM28">
        <f>IF(INDEX(Cal_Weeks[MonthYearLabel],38)&lt;&gt;INDEX(Cal_Weeks[MonthYearLabel],37),'Grid_Stock'!AL28,AL28)+'Grid_Incoming'!AM28-'Grid_Requirement'!AM28</f>
        <v/>
      </c>
      <c r="AN28">
        <f>IF(INDEX(Cal_Weeks[MonthYearLabel],39)&lt;&gt;INDEX(Cal_Weeks[MonthYearLabel],38),'Grid_Stock'!AM28,AM28)+'Grid_Incoming'!AN28-'Grid_Requirement'!AN28</f>
        <v/>
      </c>
      <c r="AO28">
        <f>IF(INDEX(Cal_Weeks[MonthYearLabel],40)&lt;&gt;INDEX(Cal_Weeks[MonthYearLabel],39),'Grid_Stock'!AN28,AN28)+'Grid_Incoming'!AO28-'Grid_Requirement'!AO28</f>
        <v/>
      </c>
      <c r="AP28">
        <f>IF(INDEX(Cal_Weeks[MonthYearLabel],41)&lt;&gt;INDEX(Cal_Weeks[MonthYearLabel],40),'Grid_Stock'!AO28,AO28)+'Grid_Incoming'!AP28-'Grid_Requirement'!AP28</f>
        <v/>
      </c>
      <c r="AQ28">
        <f>IF(INDEX(Cal_Weeks[MonthYearLabel],42)&lt;&gt;INDEX(Cal_Weeks[MonthYearLabel],41),'Grid_Stock'!AP28,AP28)+'Grid_Incoming'!AQ28-'Grid_Requirement'!AQ28</f>
        <v/>
      </c>
      <c r="AR28">
        <f>IF(INDEX(Cal_Weeks[MonthYearLabel],43)&lt;&gt;INDEX(Cal_Weeks[MonthYearLabel],42),'Grid_Stock'!AQ28,AQ28)+'Grid_Incoming'!AR28-'Grid_Requirement'!AR28</f>
        <v/>
      </c>
      <c r="AS28">
        <f>IF(INDEX(Cal_Weeks[MonthYearLabel],44)&lt;&gt;INDEX(Cal_Weeks[MonthYearLabel],43),'Grid_Stock'!AR28,AR28)+'Grid_Incoming'!AS28-'Grid_Requirement'!AS28</f>
        <v/>
      </c>
      <c r="AT28">
        <f>IF(INDEX(Cal_Weeks[MonthYearLabel],45)&lt;&gt;INDEX(Cal_Weeks[MonthYearLabel],44),'Grid_Stock'!AS28,AS28)+'Grid_Incoming'!AT28-'Grid_Requirement'!AT28</f>
        <v/>
      </c>
      <c r="AU28">
        <f>IF(INDEX(Cal_Weeks[MonthYearLabel],46)&lt;&gt;INDEX(Cal_Weeks[MonthYearLabel],45),'Grid_Stock'!AT28,AT28)+'Grid_Incoming'!AU28-'Grid_Requirement'!AU28</f>
        <v/>
      </c>
      <c r="AV28">
        <f>IF(INDEX(Cal_Weeks[MonthYearLabel],47)&lt;&gt;INDEX(Cal_Weeks[MonthYearLabel],46),'Grid_Stock'!AU28,AU28)+'Grid_Incoming'!AV28-'Grid_Requirement'!AV28</f>
        <v/>
      </c>
      <c r="AW28">
        <f>IF(INDEX(Cal_Weeks[MonthYearLabel],48)&lt;&gt;INDEX(Cal_Weeks[MonthYearLabel],47),'Grid_Stock'!AV28,AV28)+'Grid_Incoming'!AW28-'Grid_Requirement'!AW28</f>
        <v/>
      </c>
      <c r="AX28">
        <f>IF(INDEX(Cal_Weeks[MonthYearLabel],49)&lt;&gt;INDEX(Cal_Weeks[MonthYearLabel],48),'Grid_Stock'!AW28,AW28)+'Grid_Incoming'!AX28-'Grid_Requirement'!AX28</f>
        <v/>
      </c>
      <c r="AY28">
        <f>IF(INDEX(Cal_Weeks[MonthYearLabel],50)&lt;&gt;INDEX(Cal_Weeks[MonthYearLabel],49),'Grid_Stock'!AX28,AX28)+'Grid_Incoming'!AY28-'Grid_Requirement'!AY28</f>
        <v/>
      </c>
      <c r="AZ28">
        <f>IF(INDEX(Cal_Weeks[MonthYearLabel],51)&lt;&gt;INDEX(Cal_Weeks[MonthYearLabel],50),'Grid_Stock'!AY28,AY28)+'Grid_Incoming'!AZ28-'Grid_Requirement'!AZ28</f>
        <v/>
      </c>
      <c r="BA28">
        <f>IF(INDEX(Cal_Weeks[MonthYearLabel],52)&lt;&gt;INDEX(Cal_Weeks[MonthYearLabel],51),'Grid_Stock'!AZ28,AZ28)+'Grid_Incoming'!BA28-'Grid_Requirement'!BA28</f>
        <v/>
      </c>
      <c r="BB28">
        <f>IF(INDEX(Cal_Weeks[MonthYearLabel],53)&lt;&gt;INDEX(Cal_Weeks[MonthYearLabel],52),'Grid_Stock'!BA28,BA28)+'Grid_Incoming'!BB28-'Grid_Requirement'!BB28</f>
        <v/>
      </c>
      <c r="BC28">
        <f>IF(INDEX(Cal_Weeks[MonthYearLabel],54)&lt;&gt;INDEX(Cal_Weeks[MonthYearLabel],53),'Grid_Stock'!BB28,BB28)+'Grid_Incoming'!BC28-'Grid_Requirement'!BC28</f>
        <v/>
      </c>
      <c r="BD28">
        <f>IF(INDEX(Cal_Weeks[MonthYearLabel],55)&lt;&gt;INDEX(Cal_Weeks[MonthYearLabel],54),'Grid_Stock'!BC28,BC28)+'Grid_Incoming'!BD28-'Grid_Requirement'!BD28</f>
        <v/>
      </c>
      <c r="BE28">
        <f>IF(INDEX(Cal_Weeks[MonthYearLabel],56)&lt;&gt;INDEX(Cal_Weeks[MonthYearLabel],55),'Grid_Stock'!BD28,BD28)+'Grid_Incoming'!BE28-'Grid_Requirement'!BE28</f>
        <v/>
      </c>
      <c r="BF28">
        <f>IF(INDEX(Cal_Weeks[MonthYearLabel],57)&lt;&gt;INDEX(Cal_Weeks[MonthYearLabel],56),'Grid_Stock'!BE28,BE28)+'Grid_Incoming'!BF28-'Grid_Requirement'!BF28</f>
        <v/>
      </c>
      <c r="BG28">
        <f>IF(INDEX(Cal_Weeks[MonthYearLabel],58)&lt;&gt;INDEX(Cal_Weeks[MonthYearLabel],57),'Grid_Stock'!BF28,BF28)+'Grid_Incoming'!BG28-'Grid_Requirement'!BG28</f>
        <v/>
      </c>
      <c r="BH28">
        <f>IF(INDEX(Cal_Weeks[MonthYearLabel],59)&lt;&gt;INDEX(Cal_Weeks[MonthYearLabel],58),'Grid_Stock'!BG28,BG28)+'Grid_Incoming'!BH28-'Grid_Requirement'!BH28</f>
        <v/>
      </c>
      <c r="BI28">
        <f>IF(INDEX(Cal_Weeks[MonthYearLabel],60)&lt;&gt;INDEX(Cal_Weeks[MonthYearLabel],59),'Grid_Stock'!BH28,BH28)+'Grid_Incoming'!BI28-'Grid_Requirement'!BI28</f>
        <v/>
      </c>
      <c r="BJ28">
        <f>IF(INDEX(Cal_Weeks[MonthYearLabel],61)&lt;&gt;INDEX(Cal_Weeks[MonthYearLabel],60),'Grid_Stock'!BI28,BI28)+'Grid_Incoming'!BJ28-'Grid_Requirement'!BJ28</f>
        <v/>
      </c>
      <c r="BK28">
        <f>IF(INDEX(Cal_Weeks[MonthYearLabel],62)&lt;&gt;INDEX(Cal_Weeks[MonthYearLabel],61),'Grid_Stock'!BJ28,BJ28)+'Grid_Incoming'!BK28-'Grid_Requirement'!BK28</f>
        <v/>
      </c>
      <c r="BL28">
        <f>IF(INDEX(Cal_Weeks[MonthYearLabel],63)&lt;&gt;INDEX(Cal_Weeks[MonthYearLabel],62),'Grid_Stock'!BK28,BK28)+'Grid_Incoming'!BL28-'Grid_Requirement'!BL28</f>
        <v/>
      </c>
      <c r="BM28">
        <f>IF(INDEX(Cal_Weeks[MonthYearLabel],64)&lt;&gt;INDEX(Cal_Weeks[MonthYearLabel],63),'Grid_Stock'!BL28,BL28)+'Grid_Incoming'!BM28-'Grid_Requirement'!BM28</f>
        <v/>
      </c>
      <c r="BN28">
        <f>IF(INDEX(Cal_Weeks[MonthYearLabel],65)&lt;&gt;INDEX(Cal_Weeks[MonthYearLabel],64),'Grid_Stock'!BM28,BM28)+'Grid_Incoming'!BN28-'Grid_Requirement'!BN28</f>
        <v/>
      </c>
      <c r="BO28">
        <f>IF(INDEX(Cal_Weeks[MonthYearLabel],66)&lt;&gt;INDEX(Cal_Weeks[MonthYearLabel],65),'Grid_Stock'!BN28,BN28)+'Grid_Incoming'!BO28-'Grid_Requirement'!BO28</f>
        <v/>
      </c>
      <c r="BP28">
        <f>IF(INDEX(Cal_Weeks[MonthYearLabel],67)&lt;&gt;INDEX(Cal_Weeks[MonthYearLabel],66),'Grid_Stock'!BO28,BO28)+'Grid_Incoming'!BP28-'Grid_Requirement'!BP28</f>
        <v/>
      </c>
      <c r="BQ28">
        <f>IF(INDEX(Cal_Weeks[MonthYearLabel],68)&lt;&gt;INDEX(Cal_Weeks[MonthYearLabel],67),'Grid_Stock'!BP28,BP28)+'Grid_Incoming'!BQ28-'Grid_Requirement'!BQ28</f>
        <v/>
      </c>
      <c r="BR28">
        <f>IF(INDEX(Cal_Weeks[MonthYearLabel],69)&lt;&gt;INDEX(Cal_Weeks[MonthYearLabel],68),'Grid_Stock'!BQ28,BQ28)+'Grid_Incoming'!BR28-'Grid_Requirement'!BR28</f>
        <v/>
      </c>
      <c r="BS28">
        <f>IF(INDEX(Cal_Weeks[MonthYearLabel],70)&lt;&gt;INDEX(Cal_Weeks[MonthYearLabel],69),'Grid_Stock'!BR28,BR28)+'Grid_Incoming'!BS28-'Grid_Requirement'!BS28</f>
        <v/>
      </c>
      <c r="BT28">
        <f>IF(INDEX(Cal_Weeks[MonthYearLabel],71)&lt;&gt;INDEX(Cal_Weeks[MonthYearLabel],70),'Grid_Stock'!BS28,BS28)+'Grid_Incoming'!BT28-'Grid_Requirement'!BT28</f>
        <v/>
      </c>
      <c r="BU28">
        <f>IF(INDEX(Cal_Weeks[MonthYearLabel],72)&lt;&gt;INDEX(Cal_Weeks[MonthYearLabel],71),'Grid_Stock'!BT28,BT28)+'Grid_Incoming'!BU28-'Grid_Requirement'!BU28</f>
        <v/>
      </c>
      <c r="BV28">
        <f>IF(INDEX(Cal_Weeks[MonthYearLabel],73)&lt;&gt;INDEX(Cal_Weeks[MonthYearLabel],72),'Grid_Stock'!BU28,BU28)+'Grid_Incoming'!BV28-'Grid_Requirement'!BV28</f>
        <v/>
      </c>
      <c r="BW28">
        <f>IF(INDEX(Cal_Weeks[MonthYearLabel],74)&lt;&gt;INDEX(Cal_Weeks[MonthYearLabel],73),'Grid_Stock'!BV28,BV28)+'Grid_Incoming'!BW28-'Grid_Requirement'!BW28</f>
        <v/>
      </c>
      <c r="BX28">
        <f>IF(INDEX(Cal_Weeks[MonthYearLabel],75)&lt;&gt;INDEX(Cal_Weeks[MonthYearLabel],74),'Grid_Stock'!BW28,BW28)+'Grid_Incoming'!BX28-'Grid_Requirement'!BX28</f>
        <v/>
      </c>
      <c r="BY28">
        <f>IF(INDEX(Cal_Weeks[MonthYearLabel],76)&lt;&gt;INDEX(Cal_Weeks[MonthYearLabel],75),'Grid_Stock'!BX28,BX28)+'Grid_Incoming'!BY28-'Grid_Requirement'!BY28</f>
        <v/>
      </c>
      <c r="BZ28">
        <f>IF(INDEX(Cal_Weeks[MonthYearLabel],77)&lt;&gt;INDEX(Cal_Weeks[MonthYearLabel],76),'Grid_Stock'!BY28,BY28)+'Grid_Incoming'!BZ28-'Grid_Requirement'!BZ28</f>
        <v/>
      </c>
      <c r="CA28">
        <f>IF(INDEX(Cal_Weeks[MonthYearLabel],78)&lt;&gt;INDEX(Cal_Weeks[MonthYearLabel],77),'Grid_Stock'!BZ28,BZ28)+'Grid_Incoming'!CA28-'Grid_Requirement'!CA28</f>
        <v/>
      </c>
      <c r="CB28">
        <f>IF(INDEX(Cal_Weeks[MonthYearLabel],79)&lt;&gt;INDEX(Cal_Weeks[MonthYearLabel],78),'Grid_Stock'!CA28,CA28)+'Grid_Incoming'!CB28-'Grid_Requirement'!CB28</f>
        <v/>
      </c>
      <c r="CC28">
        <f>IF(INDEX(Cal_Weeks[MonthYearLabel],80)&lt;&gt;INDEX(Cal_Weeks[MonthYearLabel],79),'Grid_Stock'!CB28,CB28)+'Grid_Incoming'!CC28-'Grid_Requirement'!CC28</f>
        <v/>
      </c>
      <c r="CD28">
        <f>IF(INDEX(Cal_Weeks[MonthYearLabel],81)&lt;&gt;INDEX(Cal_Weeks[MonthYearLabel],80),'Grid_Stock'!CC28,CC28)+'Grid_Incoming'!CD28-'Grid_Requirement'!CD28</f>
        <v/>
      </c>
      <c r="CE28">
        <f>IF(INDEX(Cal_Weeks[MonthYearLabel],82)&lt;&gt;INDEX(Cal_Weeks[MonthYearLabel],81),'Grid_Stock'!CD28,CD28)+'Grid_Incoming'!CE28-'Grid_Requirement'!CE28</f>
        <v/>
      </c>
      <c r="CF28">
        <f>IF(INDEX(Cal_Weeks[MonthYearLabel],83)&lt;&gt;INDEX(Cal_Weeks[MonthYearLabel],82),'Grid_Stock'!CE28,CE28)+'Grid_Incoming'!CF28-'Grid_Requirement'!CF28</f>
        <v/>
      </c>
      <c r="CG28">
        <f>IF(INDEX(Cal_Weeks[MonthYearLabel],84)&lt;&gt;INDEX(Cal_Weeks[MonthYearLabel],83),'Grid_Stock'!CF28,CF28)+'Grid_Incoming'!CG28-'Grid_Requirement'!CG28</f>
        <v/>
      </c>
      <c r="CH28">
        <f>IF(INDEX(Cal_Weeks[MonthYearLabel],85)&lt;&gt;INDEX(Cal_Weeks[MonthYearLabel],84),'Grid_Stock'!CG28,CG28)+'Grid_Incoming'!CH28-'Grid_Requirement'!CH28</f>
        <v/>
      </c>
      <c r="CI28">
        <f>IF(INDEX(Cal_Weeks[MonthYearLabel],86)&lt;&gt;INDEX(Cal_Weeks[MonthYearLabel],85),'Grid_Stock'!CH28,CH28)+'Grid_Incoming'!CI28-'Grid_Requirement'!CI28</f>
        <v/>
      </c>
      <c r="CJ28">
        <f>IF(INDEX(Cal_Weeks[MonthYearLabel],87)&lt;&gt;INDEX(Cal_Weeks[MonthYearLabel],86),'Grid_Stock'!CI28,CI28)+'Grid_Incoming'!CJ28-'Grid_Requirement'!CJ28</f>
        <v/>
      </c>
      <c r="CK28">
        <f>IF(INDEX(Cal_Weeks[MonthYearLabel],88)&lt;&gt;INDEX(Cal_Weeks[MonthYearLabel],87),'Grid_Stock'!CJ28,CJ28)+'Grid_Incoming'!CK28-'Grid_Requirement'!CK28</f>
        <v/>
      </c>
      <c r="CL28">
        <f>IF(INDEX(Cal_Weeks[MonthYearLabel],89)&lt;&gt;INDEX(Cal_Weeks[MonthYearLabel],88),'Grid_Stock'!CK28,CK28)+'Grid_Incoming'!CL28-'Grid_Requirement'!CL28</f>
        <v/>
      </c>
      <c r="CM28">
        <f>IF(INDEX(Cal_Weeks[MonthYearLabel],90)&lt;&gt;INDEX(Cal_Weeks[MonthYearLabel],89),'Grid_Stock'!CL28,CL28)+'Grid_Incoming'!CM28-'Grid_Requirement'!CM28</f>
        <v/>
      </c>
      <c r="CN28">
        <f>IF(INDEX(Cal_Weeks[MonthYearLabel],91)&lt;&gt;INDEX(Cal_Weeks[MonthYearLabel],90),'Grid_Stock'!CM28,CM28)+'Grid_Incoming'!CN28-'Grid_Requirement'!CN28</f>
        <v/>
      </c>
      <c r="CO28">
        <f>IF(INDEX(Cal_Weeks[MonthYearLabel],92)&lt;&gt;INDEX(Cal_Weeks[MonthYearLabel],91),'Grid_Stock'!CN28,CN28)+'Grid_Incoming'!CO28-'Grid_Requirement'!CO28</f>
        <v/>
      </c>
      <c r="CP28">
        <f>IF(INDEX(Cal_Weeks[MonthYearLabel],93)&lt;&gt;INDEX(Cal_Weeks[MonthYearLabel],92),'Grid_Stock'!CO28,CO28)+'Grid_Incoming'!CP28-'Grid_Requirement'!CP28</f>
        <v/>
      </c>
      <c r="CQ28">
        <f>IF(INDEX(Cal_Weeks[MonthYearLabel],94)&lt;&gt;INDEX(Cal_Weeks[MonthYearLabel],93),'Grid_Stock'!CP28,CP28)+'Grid_Incoming'!CQ28-'Grid_Requirement'!CQ28</f>
        <v/>
      </c>
      <c r="CR28">
        <f>IF(INDEX(Cal_Weeks[MonthYearLabel],95)&lt;&gt;INDEX(Cal_Weeks[MonthYearLabel],94),'Grid_Stock'!CQ28,CQ28)+'Grid_Incoming'!CR28-'Grid_Requirement'!CR28</f>
        <v/>
      </c>
      <c r="CS28">
        <f>IF(INDEX(Cal_Weeks[MonthYearLabel],96)&lt;&gt;INDEX(Cal_Weeks[MonthYearLabel],95),'Grid_Stock'!CR28,CR28)+'Grid_Incoming'!CS28-'Grid_Requirement'!CS28</f>
        <v/>
      </c>
      <c r="CT28">
        <f>IF(INDEX(Cal_Weeks[MonthYearLabel],97)&lt;&gt;INDEX(Cal_Weeks[MonthYearLabel],96),'Grid_Stock'!CS28,CS28)+'Grid_Incoming'!CT28-'Grid_Requirement'!CT28</f>
        <v/>
      </c>
      <c r="CU28">
        <f>IF(INDEX(Cal_Weeks[MonthYearLabel],98)&lt;&gt;INDEX(Cal_Weeks[MonthYearLabel],97),'Grid_Stock'!CT28,CT28)+'Grid_Incoming'!CU28-'Grid_Requirement'!CU28</f>
        <v/>
      </c>
      <c r="CV28">
        <f>IF(INDEX(Cal_Weeks[MonthYearLabel],99)&lt;&gt;INDEX(Cal_Weeks[MonthYearLabel],98),'Grid_Stock'!CU28,CU28)+'Grid_Incoming'!CV28-'Grid_Requirement'!CV28</f>
        <v/>
      </c>
      <c r="CW28">
        <f>IF(INDEX(Cal_Weeks[MonthYearLabel],100)&lt;&gt;INDEX(Cal_Weeks[MonthYearLabel],99),'Grid_Stock'!CV28,CV28)+'Grid_Incoming'!CW28-'Grid_Requirement'!CW28</f>
        <v/>
      </c>
      <c r="CX28">
        <f>IF(INDEX(Cal_Weeks[MonthYearLabel],101)&lt;&gt;INDEX(Cal_Weeks[MonthYearLabel],100),'Grid_Stock'!CW28,CW28)+'Grid_Incoming'!CX28-'Grid_Requirement'!CX28</f>
        <v/>
      </c>
      <c r="CY28">
        <f>IF(INDEX(Cal_Weeks[MonthYearLabel],102)&lt;&gt;INDEX(Cal_Weeks[MonthYearLabel],101),'Grid_Stock'!CX28,CX28)+'Grid_Incoming'!CY28-'Grid_Requirement'!CY28</f>
        <v/>
      </c>
      <c r="CZ28">
        <f>IF(INDEX(Cal_Weeks[MonthYearLabel],103)&lt;&gt;INDEX(Cal_Weeks[MonthYearLabel],102),'Grid_Stock'!CY28,CY28)+'Grid_Incoming'!CZ28-'Grid_Requirement'!CZ28</f>
        <v/>
      </c>
      <c r="DA28">
        <f>IF(INDEX(Cal_Weeks[MonthYearLabel],104)&lt;&gt;INDEX(Cal_Weeks[MonthYearLabel],103),'Grid_Stock'!CZ28,CZ28)+'Grid_Incoming'!DA28-'Grid_Requirement'!DA28</f>
        <v/>
      </c>
    </row>
    <row r="29">
      <c r="A29" t="inlineStr">
        <is>
          <t>CHEM-1120</t>
        </is>
      </c>
      <c r="B29">
        <f>IFERROR(INDEX(T_OpeningStock[Opening_Qty_要入力],MATCH($A29,T_OpeningStock[Part Name],0)),0)+'Grid_Incoming'!B29-'Grid_Requirement'!B29</f>
        <v/>
      </c>
      <c r="C29">
        <f>IF(INDEX(Cal_Weeks[MonthYearLabel],2)&lt;&gt;INDEX(Cal_Weeks[MonthYearLabel],1),'Grid_Stock'!B29,B29)+'Grid_Incoming'!C29-'Grid_Requirement'!C29</f>
        <v/>
      </c>
      <c r="D29">
        <f>IF(INDEX(Cal_Weeks[MonthYearLabel],3)&lt;&gt;INDEX(Cal_Weeks[MonthYearLabel],2),'Grid_Stock'!C29,C29)+'Grid_Incoming'!D29-'Grid_Requirement'!D29</f>
        <v/>
      </c>
      <c r="E29">
        <f>IF(INDEX(Cal_Weeks[MonthYearLabel],4)&lt;&gt;INDEX(Cal_Weeks[MonthYearLabel],3),'Grid_Stock'!D29,D29)+'Grid_Incoming'!E29-'Grid_Requirement'!E29</f>
        <v/>
      </c>
      <c r="F29">
        <f>IF(INDEX(Cal_Weeks[MonthYearLabel],5)&lt;&gt;INDEX(Cal_Weeks[MonthYearLabel],4),'Grid_Stock'!E29,E29)+'Grid_Incoming'!F29-'Grid_Requirement'!F29</f>
        <v/>
      </c>
      <c r="G29">
        <f>IF(INDEX(Cal_Weeks[MonthYearLabel],6)&lt;&gt;INDEX(Cal_Weeks[MonthYearLabel],5),'Grid_Stock'!F29,F29)+'Grid_Incoming'!G29-'Grid_Requirement'!G29</f>
        <v/>
      </c>
      <c r="H29">
        <f>IF(INDEX(Cal_Weeks[MonthYearLabel],7)&lt;&gt;INDEX(Cal_Weeks[MonthYearLabel],6),'Grid_Stock'!G29,G29)+'Grid_Incoming'!H29-'Grid_Requirement'!H29</f>
        <v/>
      </c>
      <c r="I29">
        <f>IF(INDEX(Cal_Weeks[MonthYearLabel],8)&lt;&gt;INDEX(Cal_Weeks[MonthYearLabel],7),'Grid_Stock'!H29,H29)+'Grid_Incoming'!I29-'Grid_Requirement'!I29</f>
        <v/>
      </c>
      <c r="J29">
        <f>IF(INDEX(Cal_Weeks[MonthYearLabel],9)&lt;&gt;INDEX(Cal_Weeks[MonthYearLabel],8),'Grid_Stock'!I29,I29)+'Grid_Incoming'!J29-'Grid_Requirement'!J29</f>
        <v/>
      </c>
      <c r="K29">
        <f>IF(INDEX(Cal_Weeks[MonthYearLabel],10)&lt;&gt;INDEX(Cal_Weeks[MonthYearLabel],9),'Grid_Stock'!J29,J29)+'Grid_Incoming'!K29-'Grid_Requirement'!K29</f>
        <v/>
      </c>
      <c r="L29">
        <f>IF(INDEX(Cal_Weeks[MonthYearLabel],11)&lt;&gt;INDEX(Cal_Weeks[MonthYearLabel],10),'Grid_Stock'!K29,K29)+'Grid_Incoming'!L29-'Grid_Requirement'!L29</f>
        <v/>
      </c>
      <c r="M29">
        <f>IF(INDEX(Cal_Weeks[MonthYearLabel],12)&lt;&gt;INDEX(Cal_Weeks[MonthYearLabel],11),'Grid_Stock'!L29,L29)+'Grid_Incoming'!M29-'Grid_Requirement'!M29</f>
        <v/>
      </c>
      <c r="N29">
        <f>IF(INDEX(Cal_Weeks[MonthYearLabel],13)&lt;&gt;INDEX(Cal_Weeks[MonthYearLabel],12),'Grid_Stock'!M29,M29)+'Grid_Incoming'!N29-'Grid_Requirement'!N29</f>
        <v/>
      </c>
      <c r="O29">
        <f>IF(INDEX(Cal_Weeks[MonthYearLabel],14)&lt;&gt;INDEX(Cal_Weeks[MonthYearLabel],13),'Grid_Stock'!N29,N29)+'Grid_Incoming'!O29-'Grid_Requirement'!O29</f>
        <v/>
      </c>
      <c r="P29">
        <f>IF(INDEX(Cal_Weeks[MonthYearLabel],15)&lt;&gt;INDEX(Cal_Weeks[MonthYearLabel],14),'Grid_Stock'!O29,O29)+'Grid_Incoming'!P29-'Grid_Requirement'!P29</f>
        <v/>
      </c>
      <c r="Q29">
        <f>IF(INDEX(Cal_Weeks[MonthYearLabel],16)&lt;&gt;INDEX(Cal_Weeks[MonthYearLabel],15),'Grid_Stock'!P29,P29)+'Grid_Incoming'!Q29-'Grid_Requirement'!Q29</f>
        <v/>
      </c>
      <c r="R29">
        <f>IF(INDEX(Cal_Weeks[MonthYearLabel],17)&lt;&gt;INDEX(Cal_Weeks[MonthYearLabel],16),'Grid_Stock'!Q29,Q29)+'Grid_Incoming'!R29-'Grid_Requirement'!R29</f>
        <v/>
      </c>
      <c r="S29">
        <f>IF(INDEX(Cal_Weeks[MonthYearLabel],18)&lt;&gt;INDEX(Cal_Weeks[MonthYearLabel],17),'Grid_Stock'!R29,R29)+'Grid_Incoming'!S29-'Grid_Requirement'!S29</f>
        <v/>
      </c>
      <c r="T29">
        <f>IF(INDEX(Cal_Weeks[MonthYearLabel],19)&lt;&gt;INDEX(Cal_Weeks[MonthYearLabel],18),'Grid_Stock'!S29,S29)+'Grid_Incoming'!T29-'Grid_Requirement'!T29</f>
        <v/>
      </c>
      <c r="U29">
        <f>IF(INDEX(Cal_Weeks[MonthYearLabel],20)&lt;&gt;INDEX(Cal_Weeks[MonthYearLabel],19),'Grid_Stock'!T29,T29)+'Grid_Incoming'!U29-'Grid_Requirement'!U29</f>
        <v/>
      </c>
      <c r="V29">
        <f>IF(INDEX(Cal_Weeks[MonthYearLabel],21)&lt;&gt;INDEX(Cal_Weeks[MonthYearLabel],20),'Grid_Stock'!U29,U29)+'Grid_Incoming'!V29-'Grid_Requirement'!V29</f>
        <v/>
      </c>
      <c r="W29">
        <f>IF(INDEX(Cal_Weeks[MonthYearLabel],22)&lt;&gt;INDEX(Cal_Weeks[MonthYearLabel],21),'Grid_Stock'!V29,V29)+'Grid_Incoming'!W29-'Grid_Requirement'!W29</f>
        <v/>
      </c>
      <c r="X29">
        <f>IF(INDEX(Cal_Weeks[MonthYearLabel],23)&lt;&gt;INDEX(Cal_Weeks[MonthYearLabel],22),'Grid_Stock'!W29,W29)+'Grid_Incoming'!X29-'Grid_Requirement'!X29</f>
        <v/>
      </c>
      <c r="Y29">
        <f>IF(INDEX(Cal_Weeks[MonthYearLabel],24)&lt;&gt;INDEX(Cal_Weeks[MonthYearLabel],23),'Grid_Stock'!X29,X29)+'Grid_Incoming'!Y29-'Grid_Requirement'!Y29</f>
        <v/>
      </c>
      <c r="Z29">
        <f>IF(INDEX(Cal_Weeks[MonthYearLabel],25)&lt;&gt;INDEX(Cal_Weeks[MonthYearLabel],24),'Grid_Stock'!Y29,Y29)+'Grid_Incoming'!Z29-'Grid_Requirement'!Z29</f>
        <v/>
      </c>
      <c r="AA29">
        <f>IF(INDEX(Cal_Weeks[MonthYearLabel],26)&lt;&gt;INDEX(Cal_Weeks[MonthYearLabel],25),'Grid_Stock'!Z29,Z29)+'Grid_Incoming'!AA29-'Grid_Requirement'!AA29</f>
        <v/>
      </c>
      <c r="AB29">
        <f>IF(INDEX(Cal_Weeks[MonthYearLabel],27)&lt;&gt;INDEX(Cal_Weeks[MonthYearLabel],26),'Grid_Stock'!AA29,AA29)+'Grid_Incoming'!AB29-'Grid_Requirement'!AB29</f>
        <v/>
      </c>
      <c r="AC29">
        <f>IF(INDEX(Cal_Weeks[MonthYearLabel],28)&lt;&gt;INDEX(Cal_Weeks[MonthYearLabel],27),'Grid_Stock'!AB29,AB29)+'Grid_Incoming'!AC29-'Grid_Requirement'!AC29</f>
        <v/>
      </c>
      <c r="AD29">
        <f>IF(INDEX(Cal_Weeks[MonthYearLabel],29)&lt;&gt;INDEX(Cal_Weeks[MonthYearLabel],28),'Grid_Stock'!AC29,AC29)+'Grid_Incoming'!AD29-'Grid_Requirement'!AD29</f>
        <v/>
      </c>
      <c r="AE29">
        <f>IF(INDEX(Cal_Weeks[MonthYearLabel],30)&lt;&gt;INDEX(Cal_Weeks[MonthYearLabel],29),'Grid_Stock'!AD29,AD29)+'Grid_Incoming'!AE29-'Grid_Requirement'!AE29</f>
        <v/>
      </c>
      <c r="AF29">
        <f>IF(INDEX(Cal_Weeks[MonthYearLabel],31)&lt;&gt;INDEX(Cal_Weeks[MonthYearLabel],30),'Grid_Stock'!AE29,AE29)+'Grid_Incoming'!AF29-'Grid_Requirement'!AF29</f>
        <v/>
      </c>
      <c r="AG29">
        <f>IF(INDEX(Cal_Weeks[MonthYearLabel],32)&lt;&gt;INDEX(Cal_Weeks[MonthYearLabel],31),'Grid_Stock'!AF29,AF29)+'Grid_Incoming'!AG29-'Grid_Requirement'!AG29</f>
        <v/>
      </c>
      <c r="AH29">
        <f>IF(INDEX(Cal_Weeks[MonthYearLabel],33)&lt;&gt;INDEX(Cal_Weeks[MonthYearLabel],32),'Grid_Stock'!AG29,AG29)+'Grid_Incoming'!AH29-'Grid_Requirement'!AH29</f>
        <v/>
      </c>
      <c r="AI29">
        <f>IF(INDEX(Cal_Weeks[MonthYearLabel],34)&lt;&gt;INDEX(Cal_Weeks[MonthYearLabel],33),'Grid_Stock'!AH29,AH29)+'Grid_Incoming'!AI29-'Grid_Requirement'!AI29</f>
        <v/>
      </c>
      <c r="AJ29">
        <f>IF(INDEX(Cal_Weeks[MonthYearLabel],35)&lt;&gt;INDEX(Cal_Weeks[MonthYearLabel],34),'Grid_Stock'!AI29,AI29)+'Grid_Incoming'!AJ29-'Grid_Requirement'!AJ29</f>
        <v/>
      </c>
      <c r="AK29">
        <f>IF(INDEX(Cal_Weeks[MonthYearLabel],36)&lt;&gt;INDEX(Cal_Weeks[MonthYearLabel],35),'Grid_Stock'!AJ29,AJ29)+'Grid_Incoming'!AK29-'Grid_Requirement'!AK29</f>
        <v/>
      </c>
      <c r="AL29">
        <f>IF(INDEX(Cal_Weeks[MonthYearLabel],37)&lt;&gt;INDEX(Cal_Weeks[MonthYearLabel],36),'Grid_Stock'!AK29,AK29)+'Grid_Incoming'!AL29-'Grid_Requirement'!AL29</f>
        <v/>
      </c>
      <c r="AM29">
        <f>IF(INDEX(Cal_Weeks[MonthYearLabel],38)&lt;&gt;INDEX(Cal_Weeks[MonthYearLabel],37),'Grid_Stock'!AL29,AL29)+'Grid_Incoming'!AM29-'Grid_Requirement'!AM29</f>
        <v/>
      </c>
      <c r="AN29">
        <f>IF(INDEX(Cal_Weeks[MonthYearLabel],39)&lt;&gt;INDEX(Cal_Weeks[MonthYearLabel],38),'Grid_Stock'!AM29,AM29)+'Grid_Incoming'!AN29-'Grid_Requirement'!AN29</f>
        <v/>
      </c>
      <c r="AO29">
        <f>IF(INDEX(Cal_Weeks[MonthYearLabel],40)&lt;&gt;INDEX(Cal_Weeks[MonthYearLabel],39),'Grid_Stock'!AN29,AN29)+'Grid_Incoming'!AO29-'Grid_Requirement'!AO29</f>
        <v/>
      </c>
      <c r="AP29">
        <f>IF(INDEX(Cal_Weeks[MonthYearLabel],41)&lt;&gt;INDEX(Cal_Weeks[MonthYearLabel],40),'Grid_Stock'!AO29,AO29)+'Grid_Incoming'!AP29-'Grid_Requirement'!AP29</f>
        <v/>
      </c>
      <c r="AQ29">
        <f>IF(INDEX(Cal_Weeks[MonthYearLabel],42)&lt;&gt;INDEX(Cal_Weeks[MonthYearLabel],41),'Grid_Stock'!AP29,AP29)+'Grid_Incoming'!AQ29-'Grid_Requirement'!AQ29</f>
        <v/>
      </c>
      <c r="AR29">
        <f>IF(INDEX(Cal_Weeks[MonthYearLabel],43)&lt;&gt;INDEX(Cal_Weeks[MonthYearLabel],42),'Grid_Stock'!AQ29,AQ29)+'Grid_Incoming'!AR29-'Grid_Requirement'!AR29</f>
        <v/>
      </c>
      <c r="AS29">
        <f>IF(INDEX(Cal_Weeks[MonthYearLabel],44)&lt;&gt;INDEX(Cal_Weeks[MonthYearLabel],43),'Grid_Stock'!AR29,AR29)+'Grid_Incoming'!AS29-'Grid_Requirement'!AS29</f>
        <v/>
      </c>
      <c r="AT29">
        <f>IF(INDEX(Cal_Weeks[MonthYearLabel],45)&lt;&gt;INDEX(Cal_Weeks[MonthYearLabel],44),'Grid_Stock'!AS29,AS29)+'Grid_Incoming'!AT29-'Grid_Requirement'!AT29</f>
        <v/>
      </c>
      <c r="AU29">
        <f>IF(INDEX(Cal_Weeks[MonthYearLabel],46)&lt;&gt;INDEX(Cal_Weeks[MonthYearLabel],45),'Grid_Stock'!AT29,AT29)+'Grid_Incoming'!AU29-'Grid_Requirement'!AU29</f>
        <v/>
      </c>
      <c r="AV29">
        <f>IF(INDEX(Cal_Weeks[MonthYearLabel],47)&lt;&gt;INDEX(Cal_Weeks[MonthYearLabel],46),'Grid_Stock'!AU29,AU29)+'Grid_Incoming'!AV29-'Grid_Requirement'!AV29</f>
        <v/>
      </c>
      <c r="AW29">
        <f>IF(INDEX(Cal_Weeks[MonthYearLabel],48)&lt;&gt;INDEX(Cal_Weeks[MonthYearLabel],47),'Grid_Stock'!AV29,AV29)+'Grid_Incoming'!AW29-'Grid_Requirement'!AW29</f>
        <v/>
      </c>
      <c r="AX29">
        <f>IF(INDEX(Cal_Weeks[MonthYearLabel],49)&lt;&gt;INDEX(Cal_Weeks[MonthYearLabel],48),'Grid_Stock'!AW29,AW29)+'Grid_Incoming'!AX29-'Grid_Requirement'!AX29</f>
        <v/>
      </c>
      <c r="AY29">
        <f>IF(INDEX(Cal_Weeks[MonthYearLabel],50)&lt;&gt;INDEX(Cal_Weeks[MonthYearLabel],49),'Grid_Stock'!AX29,AX29)+'Grid_Incoming'!AY29-'Grid_Requirement'!AY29</f>
        <v/>
      </c>
      <c r="AZ29">
        <f>IF(INDEX(Cal_Weeks[MonthYearLabel],51)&lt;&gt;INDEX(Cal_Weeks[MonthYearLabel],50),'Grid_Stock'!AY29,AY29)+'Grid_Incoming'!AZ29-'Grid_Requirement'!AZ29</f>
        <v/>
      </c>
      <c r="BA29">
        <f>IF(INDEX(Cal_Weeks[MonthYearLabel],52)&lt;&gt;INDEX(Cal_Weeks[MonthYearLabel],51),'Grid_Stock'!AZ29,AZ29)+'Grid_Incoming'!BA29-'Grid_Requirement'!BA29</f>
        <v/>
      </c>
      <c r="BB29">
        <f>IF(INDEX(Cal_Weeks[MonthYearLabel],53)&lt;&gt;INDEX(Cal_Weeks[MonthYearLabel],52),'Grid_Stock'!BA29,BA29)+'Grid_Incoming'!BB29-'Grid_Requirement'!BB29</f>
        <v/>
      </c>
      <c r="BC29">
        <f>IF(INDEX(Cal_Weeks[MonthYearLabel],54)&lt;&gt;INDEX(Cal_Weeks[MonthYearLabel],53),'Grid_Stock'!BB29,BB29)+'Grid_Incoming'!BC29-'Grid_Requirement'!BC29</f>
        <v/>
      </c>
      <c r="BD29">
        <f>IF(INDEX(Cal_Weeks[MonthYearLabel],55)&lt;&gt;INDEX(Cal_Weeks[MonthYearLabel],54),'Grid_Stock'!BC29,BC29)+'Grid_Incoming'!BD29-'Grid_Requirement'!BD29</f>
        <v/>
      </c>
      <c r="BE29">
        <f>IF(INDEX(Cal_Weeks[MonthYearLabel],56)&lt;&gt;INDEX(Cal_Weeks[MonthYearLabel],55),'Grid_Stock'!BD29,BD29)+'Grid_Incoming'!BE29-'Grid_Requirement'!BE29</f>
        <v/>
      </c>
      <c r="BF29">
        <f>IF(INDEX(Cal_Weeks[MonthYearLabel],57)&lt;&gt;INDEX(Cal_Weeks[MonthYearLabel],56),'Grid_Stock'!BE29,BE29)+'Grid_Incoming'!BF29-'Grid_Requirement'!BF29</f>
        <v/>
      </c>
      <c r="BG29">
        <f>IF(INDEX(Cal_Weeks[MonthYearLabel],58)&lt;&gt;INDEX(Cal_Weeks[MonthYearLabel],57),'Grid_Stock'!BF29,BF29)+'Grid_Incoming'!BG29-'Grid_Requirement'!BG29</f>
        <v/>
      </c>
      <c r="BH29">
        <f>IF(INDEX(Cal_Weeks[MonthYearLabel],59)&lt;&gt;INDEX(Cal_Weeks[MonthYearLabel],58),'Grid_Stock'!BG29,BG29)+'Grid_Incoming'!BH29-'Grid_Requirement'!BH29</f>
        <v/>
      </c>
      <c r="BI29">
        <f>IF(INDEX(Cal_Weeks[MonthYearLabel],60)&lt;&gt;INDEX(Cal_Weeks[MonthYearLabel],59),'Grid_Stock'!BH29,BH29)+'Grid_Incoming'!BI29-'Grid_Requirement'!BI29</f>
        <v/>
      </c>
      <c r="BJ29">
        <f>IF(INDEX(Cal_Weeks[MonthYearLabel],61)&lt;&gt;INDEX(Cal_Weeks[MonthYearLabel],60),'Grid_Stock'!BI29,BI29)+'Grid_Incoming'!BJ29-'Grid_Requirement'!BJ29</f>
        <v/>
      </c>
      <c r="BK29">
        <f>IF(INDEX(Cal_Weeks[MonthYearLabel],62)&lt;&gt;INDEX(Cal_Weeks[MonthYearLabel],61),'Grid_Stock'!BJ29,BJ29)+'Grid_Incoming'!BK29-'Grid_Requirement'!BK29</f>
        <v/>
      </c>
      <c r="BL29">
        <f>IF(INDEX(Cal_Weeks[MonthYearLabel],63)&lt;&gt;INDEX(Cal_Weeks[MonthYearLabel],62),'Grid_Stock'!BK29,BK29)+'Grid_Incoming'!BL29-'Grid_Requirement'!BL29</f>
        <v/>
      </c>
      <c r="BM29">
        <f>IF(INDEX(Cal_Weeks[MonthYearLabel],64)&lt;&gt;INDEX(Cal_Weeks[MonthYearLabel],63),'Grid_Stock'!BL29,BL29)+'Grid_Incoming'!BM29-'Grid_Requirement'!BM29</f>
        <v/>
      </c>
      <c r="BN29">
        <f>IF(INDEX(Cal_Weeks[MonthYearLabel],65)&lt;&gt;INDEX(Cal_Weeks[MonthYearLabel],64),'Grid_Stock'!BM29,BM29)+'Grid_Incoming'!BN29-'Grid_Requirement'!BN29</f>
        <v/>
      </c>
      <c r="BO29">
        <f>IF(INDEX(Cal_Weeks[MonthYearLabel],66)&lt;&gt;INDEX(Cal_Weeks[MonthYearLabel],65),'Grid_Stock'!BN29,BN29)+'Grid_Incoming'!BO29-'Grid_Requirement'!BO29</f>
        <v/>
      </c>
      <c r="BP29">
        <f>IF(INDEX(Cal_Weeks[MonthYearLabel],67)&lt;&gt;INDEX(Cal_Weeks[MonthYearLabel],66),'Grid_Stock'!BO29,BO29)+'Grid_Incoming'!BP29-'Grid_Requirement'!BP29</f>
        <v/>
      </c>
      <c r="BQ29">
        <f>IF(INDEX(Cal_Weeks[MonthYearLabel],68)&lt;&gt;INDEX(Cal_Weeks[MonthYearLabel],67),'Grid_Stock'!BP29,BP29)+'Grid_Incoming'!BQ29-'Grid_Requirement'!BQ29</f>
        <v/>
      </c>
      <c r="BR29">
        <f>IF(INDEX(Cal_Weeks[MonthYearLabel],69)&lt;&gt;INDEX(Cal_Weeks[MonthYearLabel],68),'Grid_Stock'!BQ29,BQ29)+'Grid_Incoming'!BR29-'Grid_Requirement'!BR29</f>
        <v/>
      </c>
      <c r="BS29">
        <f>IF(INDEX(Cal_Weeks[MonthYearLabel],70)&lt;&gt;INDEX(Cal_Weeks[MonthYearLabel],69),'Grid_Stock'!BR29,BR29)+'Grid_Incoming'!BS29-'Grid_Requirement'!BS29</f>
        <v/>
      </c>
      <c r="BT29">
        <f>IF(INDEX(Cal_Weeks[MonthYearLabel],71)&lt;&gt;INDEX(Cal_Weeks[MonthYearLabel],70),'Grid_Stock'!BS29,BS29)+'Grid_Incoming'!BT29-'Grid_Requirement'!BT29</f>
        <v/>
      </c>
      <c r="BU29">
        <f>IF(INDEX(Cal_Weeks[MonthYearLabel],72)&lt;&gt;INDEX(Cal_Weeks[MonthYearLabel],71),'Grid_Stock'!BT29,BT29)+'Grid_Incoming'!BU29-'Grid_Requirement'!BU29</f>
        <v/>
      </c>
      <c r="BV29">
        <f>IF(INDEX(Cal_Weeks[MonthYearLabel],73)&lt;&gt;INDEX(Cal_Weeks[MonthYearLabel],72),'Grid_Stock'!BU29,BU29)+'Grid_Incoming'!BV29-'Grid_Requirement'!BV29</f>
        <v/>
      </c>
      <c r="BW29">
        <f>IF(INDEX(Cal_Weeks[MonthYearLabel],74)&lt;&gt;INDEX(Cal_Weeks[MonthYearLabel],73),'Grid_Stock'!BV29,BV29)+'Grid_Incoming'!BW29-'Grid_Requirement'!BW29</f>
        <v/>
      </c>
      <c r="BX29">
        <f>IF(INDEX(Cal_Weeks[MonthYearLabel],75)&lt;&gt;INDEX(Cal_Weeks[MonthYearLabel],74),'Grid_Stock'!BW29,BW29)+'Grid_Incoming'!BX29-'Grid_Requirement'!BX29</f>
        <v/>
      </c>
      <c r="BY29">
        <f>IF(INDEX(Cal_Weeks[MonthYearLabel],76)&lt;&gt;INDEX(Cal_Weeks[MonthYearLabel],75),'Grid_Stock'!BX29,BX29)+'Grid_Incoming'!BY29-'Grid_Requirement'!BY29</f>
        <v/>
      </c>
      <c r="BZ29">
        <f>IF(INDEX(Cal_Weeks[MonthYearLabel],77)&lt;&gt;INDEX(Cal_Weeks[MonthYearLabel],76),'Grid_Stock'!BY29,BY29)+'Grid_Incoming'!BZ29-'Grid_Requirement'!BZ29</f>
        <v/>
      </c>
      <c r="CA29">
        <f>IF(INDEX(Cal_Weeks[MonthYearLabel],78)&lt;&gt;INDEX(Cal_Weeks[MonthYearLabel],77),'Grid_Stock'!BZ29,BZ29)+'Grid_Incoming'!CA29-'Grid_Requirement'!CA29</f>
        <v/>
      </c>
      <c r="CB29">
        <f>IF(INDEX(Cal_Weeks[MonthYearLabel],79)&lt;&gt;INDEX(Cal_Weeks[MonthYearLabel],78),'Grid_Stock'!CA29,CA29)+'Grid_Incoming'!CB29-'Grid_Requirement'!CB29</f>
        <v/>
      </c>
      <c r="CC29">
        <f>IF(INDEX(Cal_Weeks[MonthYearLabel],80)&lt;&gt;INDEX(Cal_Weeks[MonthYearLabel],79),'Grid_Stock'!CB29,CB29)+'Grid_Incoming'!CC29-'Grid_Requirement'!CC29</f>
        <v/>
      </c>
      <c r="CD29">
        <f>IF(INDEX(Cal_Weeks[MonthYearLabel],81)&lt;&gt;INDEX(Cal_Weeks[MonthYearLabel],80),'Grid_Stock'!CC29,CC29)+'Grid_Incoming'!CD29-'Grid_Requirement'!CD29</f>
        <v/>
      </c>
      <c r="CE29">
        <f>IF(INDEX(Cal_Weeks[MonthYearLabel],82)&lt;&gt;INDEX(Cal_Weeks[MonthYearLabel],81),'Grid_Stock'!CD29,CD29)+'Grid_Incoming'!CE29-'Grid_Requirement'!CE29</f>
        <v/>
      </c>
      <c r="CF29">
        <f>IF(INDEX(Cal_Weeks[MonthYearLabel],83)&lt;&gt;INDEX(Cal_Weeks[MonthYearLabel],82),'Grid_Stock'!CE29,CE29)+'Grid_Incoming'!CF29-'Grid_Requirement'!CF29</f>
        <v/>
      </c>
      <c r="CG29">
        <f>IF(INDEX(Cal_Weeks[MonthYearLabel],84)&lt;&gt;INDEX(Cal_Weeks[MonthYearLabel],83),'Grid_Stock'!CF29,CF29)+'Grid_Incoming'!CG29-'Grid_Requirement'!CG29</f>
        <v/>
      </c>
      <c r="CH29">
        <f>IF(INDEX(Cal_Weeks[MonthYearLabel],85)&lt;&gt;INDEX(Cal_Weeks[MonthYearLabel],84),'Grid_Stock'!CG29,CG29)+'Grid_Incoming'!CH29-'Grid_Requirement'!CH29</f>
        <v/>
      </c>
      <c r="CI29">
        <f>IF(INDEX(Cal_Weeks[MonthYearLabel],86)&lt;&gt;INDEX(Cal_Weeks[MonthYearLabel],85),'Grid_Stock'!CH29,CH29)+'Grid_Incoming'!CI29-'Grid_Requirement'!CI29</f>
        <v/>
      </c>
      <c r="CJ29">
        <f>IF(INDEX(Cal_Weeks[MonthYearLabel],87)&lt;&gt;INDEX(Cal_Weeks[MonthYearLabel],86),'Grid_Stock'!CI29,CI29)+'Grid_Incoming'!CJ29-'Grid_Requirement'!CJ29</f>
        <v/>
      </c>
      <c r="CK29">
        <f>IF(INDEX(Cal_Weeks[MonthYearLabel],88)&lt;&gt;INDEX(Cal_Weeks[MonthYearLabel],87),'Grid_Stock'!CJ29,CJ29)+'Grid_Incoming'!CK29-'Grid_Requirement'!CK29</f>
        <v/>
      </c>
      <c r="CL29">
        <f>IF(INDEX(Cal_Weeks[MonthYearLabel],89)&lt;&gt;INDEX(Cal_Weeks[MonthYearLabel],88),'Grid_Stock'!CK29,CK29)+'Grid_Incoming'!CL29-'Grid_Requirement'!CL29</f>
        <v/>
      </c>
      <c r="CM29">
        <f>IF(INDEX(Cal_Weeks[MonthYearLabel],90)&lt;&gt;INDEX(Cal_Weeks[MonthYearLabel],89),'Grid_Stock'!CL29,CL29)+'Grid_Incoming'!CM29-'Grid_Requirement'!CM29</f>
        <v/>
      </c>
      <c r="CN29">
        <f>IF(INDEX(Cal_Weeks[MonthYearLabel],91)&lt;&gt;INDEX(Cal_Weeks[MonthYearLabel],90),'Grid_Stock'!CM29,CM29)+'Grid_Incoming'!CN29-'Grid_Requirement'!CN29</f>
        <v/>
      </c>
      <c r="CO29">
        <f>IF(INDEX(Cal_Weeks[MonthYearLabel],92)&lt;&gt;INDEX(Cal_Weeks[MonthYearLabel],91),'Grid_Stock'!CN29,CN29)+'Grid_Incoming'!CO29-'Grid_Requirement'!CO29</f>
        <v/>
      </c>
      <c r="CP29">
        <f>IF(INDEX(Cal_Weeks[MonthYearLabel],93)&lt;&gt;INDEX(Cal_Weeks[MonthYearLabel],92),'Grid_Stock'!CO29,CO29)+'Grid_Incoming'!CP29-'Grid_Requirement'!CP29</f>
        <v/>
      </c>
      <c r="CQ29">
        <f>IF(INDEX(Cal_Weeks[MonthYearLabel],94)&lt;&gt;INDEX(Cal_Weeks[MonthYearLabel],93),'Grid_Stock'!CP29,CP29)+'Grid_Incoming'!CQ29-'Grid_Requirement'!CQ29</f>
        <v/>
      </c>
      <c r="CR29">
        <f>IF(INDEX(Cal_Weeks[MonthYearLabel],95)&lt;&gt;INDEX(Cal_Weeks[MonthYearLabel],94),'Grid_Stock'!CQ29,CQ29)+'Grid_Incoming'!CR29-'Grid_Requirement'!CR29</f>
        <v/>
      </c>
      <c r="CS29">
        <f>IF(INDEX(Cal_Weeks[MonthYearLabel],96)&lt;&gt;INDEX(Cal_Weeks[MonthYearLabel],95),'Grid_Stock'!CR29,CR29)+'Grid_Incoming'!CS29-'Grid_Requirement'!CS29</f>
        <v/>
      </c>
      <c r="CT29">
        <f>IF(INDEX(Cal_Weeks[MonthYearLabel],97)&lt;&gt;INDEX(Cal_Weeks[MonthYearLabel],96),'Grid_Stock'!CS29,CS29)+'Grid_Incoming'!CT29-'Grid_Requirement'!CT29</f>
        <v/>
      </c>
      <c r="CU29">
        <f>IF(INDEX(Cal_Weeks[MonthYearLabel],98)&lt;&gt;INDEX(Cal_Weeks[MonthYearLabel],97),'Grid_Stock'!CT29,CT29)+'Grid_Incoming'!CU29-'Grid_Requirement'!CU29</f>
        <v/>
      </c>
      <c r="CV29">
        <f>IF(INDEX(Cal_Weeks[MonthYearLabel],99)&lt;&gt;INDEX(Cal_Weeks[MonthYearLabel],98),'Grid_Stock'!CU29,CU29)+'Grid_Incoming'!CV29-'Grid_Requirement'!CV29</f>
        <v/>
      </c>
      <c r="CW29">
        <f>IF(INDEX(Cal_Weeks[MonthYearLabel],100)&lt;&gt;INDEX(Cal_Weeks[MonthYearLabel],99),'Grid_Stock'!CV29,CV29)+'Grid_Incoming'!CW29-'Grid_Requirement'!CW29</f>
        <v/>
      </c>
      <c r="CX29">
        <f>IF(INDEX(Cal_Weeks[MonthYearLabel],101)&lt;&gt;INDEX(Cal_Weeks[MonthYearLabel],100),'Grid_Stock'!CW29,CW29)+'Grid_Incoming'!CX29-'Grid_Requirement'!CX29</f>
        <v/>
      </c>
      <c r="CY29">
        <f>IF(INDEX(Cal_Weeks[MonthYearLabel],102)&lt;&gt;INDEX(Cal_Weeks[MonthYearLabel],101),'Grid_Stock'!CX29,CX29)+'Grid_Incoming'!CY29-'Grid_Requirement'!CY29</f>
        <v/>
      </c>
      <c r="CZ29">
        <f>IF(INDEX(Cal_Weeks[MonthYearLabel],103)&lt;&gt;INDEX(Cal_Weeks[MonthYearLabel],102),'Grid_Stock'!CY29,CY29)+'Grid_Incoming'!CZ29-'Grid_Requirement'!CZ29</f>
        <v/>
      </c>
      <c r="DA29">
        <f>IF(INDEX(Cal_Weeks[MonthYearLabel],104)&lt;&gt;INDEX(Cal_Weeks[MonthYearLabel],103),'Grid_Stock'!CZ29,CZ29)+'Grid_Incoming'!DA29-'Grid_Requirement'!DA29</f>
        <v/>
      </c>
    </row>
    <row r="30">
      <c r="A30" t="inlineStr">
        <is>
          <t>CHEM-1550</t>
        </is>
      </c>
      <c r="B30">
        <f>IFERROR(INDEX(T_OpeningStock[Opening_Qty_要入力],MATCH($A30,T_OpeningStock[Part Name],0)),0)+'Grid_Incoming'!B30-'Grid_Requirement'!B30</f>
        <v/>
      </c>
      <c r="C30">
        <f>IF(INDEX(Cal_Weeks[MonthYearLabel],2)&lt;&gt;INDEX(Cal_Weeks[MonthYearLabel],1),'Grid_Stock'!B30,B30)+'Grid_Incoming'!C30-'Grid_Requirement'!C30</f>
        <v/>
      </c>
      <c r="D30">
        <f>IF(INDEX(Cal_Weeks[MonthYearLabel],3)&lt;&gt;INDEX(Cal_Weeks[MonthYearLabel],2),'Grid_Stock'!C30,C30)+'Grid_Incoming'!D30-'Grid_Requirement'!D30</f>
        <v/>
      </c>
      <c r="E30">
        <f>IF(INDEX(Cal_Weeks[MonthYearLabel],4)&lt;&gt;INDEX(Cal_Weeks[MonthYearLabel],3),'Grid_Stock'!D30,D30)+'Grid_Incoming'!E30-'Grid_Requirement'!E30</f>
        <v/>
      </c>
      <c r="F30">
        <f>IF(INDEX(Cal_Weeks[MonthYearLabel],5)&lt;&gt;INDEX(Cal_Weeks[MonthYearLabel],4),'Grid_Stock'!E30,E30)+'Grid_Incoming'!F30-'Grid_Requirement'!F30</f>
        <v/>
      </c>
      <c r="G30">
        <f>IF(INDEX(Cal_Weeks[MonthYearLabel],6)&lt;&gt;INDEX(Cal_Weeks[MonthYearLabel],5),'Grid_Stock'!F30,F30)+'Grid_Incoming'!G30-'Grid_Requirement'!G30</f>
        <v/>
      </c>
      <c r="H30">
        <f>IF(INDEX(Cal_Weeks[MonthYearLabel],7)&lt;&gt;INDEX(Cal_Weeks[MonthYearLabel],6),'Grid_Stock'!G30,G30)+'Grid_Incoming'!H30-'Grid_Requirement'!H30</f>
        <v/>
      </c>
      <c r="I30">
        <f>IF(INDEX(Cal_Weeks[MonthYearLabel],8)&lt;&gt;INDEX(Cal_Weeks[MonthYearLabel],7),'Grid_Stock'!H30,H30)+'Grid_Incoming'!I30-'Grid_Requirement'!I30</f>
        <v/>
      </c>
      <c r="J30">
        <f>IF(INDEX(Cal_Weeks[MonthYearLabel],9)&lt;&gt;INDEX(Cal_Weeks[MonthYearLabel],8),'Grid_Stock'!I30,I30)+'Grid_Incoming'!J30-'Grid_Requirement'!J30</f>
        <v/>
      </c>
      <c r="K30">
        <f>IF(INDEX(Cal_Weeks[MonthYearLabel],10)&lt;&gt;INDEX(Cal_Weeks[MonthYearLabel],9),'Grid_Stock'!J30,J30)+'Grid_Incoming'!K30-'Grid_Requirement'!K30</f>
        <v/>
      </c>
      <c r="L30">
        <f>IF(INDEX(Cal_Weeks[MonthYearLabel],11)&lt;&gt;INDEX(Cal_Weeks[MonthYearLabel],10),'Grid_Stock'!K30,K30)+'Grid_Incoming'!L30-'Grid_Requirement'!L30</f>
        <v/>
      </c>
      <c r="M30">
        <f>IF(INDEX(Cal_Weeks[MonthYearLabel],12)&lt;&gt;INDEX(Cal_Weeks[MonthYearLabel],11),'Grid_Stock'!L30,L30)+'Grid_Incoming'!M30-'Grid_Requirement'!M30</f>
        <v/>
      </c>
      <c r="N30">
        <f>IF(INDEX(Cal_Weeks[MonthYearLabel],13)&lt;&gt;INDEX(Cal_Weeks[MonthYearLabel],12),'Grid_Stock'!M30,M30)+'Grid_Incoming'!N30-'Grid_Requirement'!N30</f>
        <v/>
      </c>
      <c r="O30">
        <f>IF(INDEX(Cal_Weeks[MonthYearLabel],14)&lt;&gt;INDEX(Cal_Weeks[MonthYearLabel],13),'Grid_Stock'!N30,N30)+'Grid_Incoming'!O30-'Grid_Requirement'!O30</f>
        <v/>
      </c>
      <c r="P30">
        <f>IF(INDEX(Cal_Weeks[MonthYearLabel],15)&lt;&gt;INDEX(Cal_Weeks[MonthYearLabel],14),'Grid_Stock'!O30,O30)+'Grid_Incoming'!P30-'Grid_Requirement'!P30</f>
        <v/>
      </c>
      <c r="Q30">
        <f>IF(INDEX(Cal_Weeks[MonthYearLabel],16)&lt;&gt;INDEX(Cal_Weeks[MonthYearLabel],15),'Grid_Stock'!P30,P30)+'Grid_Incoming'!Q30-'Grid_Requirement'!Q30</f>
        <v/>
      </c>
      <c r="R30">
        <f>IF(INDEX(Cal_Weeks[MonthYearLabel],17)&lt;&gt;INDEX(Cal_Weeks[MonthYearLabel],16),'Grid_Stock'!Q30,Q30)+'Grid_Incoming'!R30-'Grid_Requirement'!R30</f>
        <v/>
      </c>
      <c r="S30">
        <f>IF(INDEX(Cal_Weeks[MonthYearLabel],18)&lt;&gt;INDEX(Cal_Weeks[MonthYearLabel],17),'Grid_Stock'!R30,R30)+'Grid_Incoming'!S30-'Grid_Requirement'!S30</f>
        <v/>
      </c>
      <c r="T30">
        <f>IF(INDEX(Cal_Weeks[MonthYearLabel],19)&lt;&gt;INDEX(Cal_Weeks[MonthYearLabel],18),'Grid_Stock'!S30,S30)+'Grid_Incoming'!T30-'Grid_Requirement'!T30</f>
        <v/>
      </c>
      <c r="U30">
        <f>IF(INDEX(Cal_Weeks[MonthYearLabel],20)&lt;&gt;INDEX(Cal_Weeks[MonthYearLabel],19),'Grid_Stock'!T30,T30)+'Grid_Incoming'!U30-'Grid_Requirement'!U30</f>
        <v/>
      </c>
      <c r="V30">
        <f>IF(INDEX(Cal_Weeks[MonthYearLabel],21)&lt;&gt;INDEX(Cal_Weeks[MonthYearLabel],20),'Grid_Stock'!U30,U30)+'Grid_Incoming'!V30-'Grid_Requirement'!V30</f>
        <v/>
      </c>
      <c r="W30">
        <f>IF(INDEX(Cal_Weeks[MonthYearLabel],22)&lt;&gt;INDEX(Cal_Weeks[MonthYearLabel],21),'Grid_Stock'!V30,V30)+'Grid_Incoming'!W30-'Grid_Requirement'!W30</f>
        <v/>
      </c>
      <c r="X30">
        <f>IF(INDEX(Cal_Weeks[MonthYearLabel],23)&lt;&gt;INDEX(Cal_Weeks[MonthYearLabel],22),'Grid_Stock'!W30,W30)+'Grid_Incoming'!X30-'Grid_Requirement'!X30</f>
        <v/>
      </c>
      <c r="Y30">
        <f>IF(INDEX(Cal_Weeks[MonthYearLabel],24)&lt;&gt;INDEX(Cal_Weeks[MonthYearLabel],23),'Grid_Stock'!X30,X30)+'Grid_Incoming'!Y30-'Grid_Requirement'!Y30</f>
        <v/>
      </c>
      <c r="Z30">
        <f>IF(INDEX(Cal_Weeks[MonthYearLabel],25)&lt;&gt;INDEX(Cal_Weeks[MonthYearLabel],24),'Grid_Stock'!Y30,Y30)+'Grid_Incoming'!Z30-'Grid_Requirement'!Z30</f>
        <v/>
      </c>
      <c r="AA30">
        <f>IF(INDEX(Cal_Weeks[MonthYearLabel],26)&lt;&gt;INDEX(Cal_Weeks[MonthYearLabel],25),'Grid_Stock'!Z30,Z30)+'Grid_Incoming'!AA30-'Grid_Requirement'!AA30</f>
        <v/>
      </c>
      <c r="AB30">
        <f>IF(INDEX(Cal_Weeks[MonthYearLabel],27)&lt;&gt;INDEX(Cal_Weeks[MonthYearLabel],26),'Grid_Stock'!AA30,AA30)+'Grid_Incoming'!AB30-'Grid_Requirement'!AB30</f>
        <v/>
      </c>
      <c r="AC30">
        <f>IF(INDEX(Cal_Weeks[MonthYearLabel],28)&lt;&gt;INDEX(Cal_Weeks[MonthYearLabel],27),'Grid_Stock'!AB30,AB30)+'Grid_Incoming'!AC30-'Grid_Requirement'!AC30</f>
        <v/>
      </c>
      <c r="AD30">
        <f>IF(INDEX(Cal_Weeks[MonthYearLabel],29)&lt;&gt;INDEX(Cal_Weeks[MonthYearLabel],28),'Grid_Stock'!AC30,AC30)+'Grid_Incoming'!AD30-'Grid_Requirement'!AD30</f>
        <v/>
      </c>
      <c r="AE30">
        <f>IF(INDEX(Cal_Weeks[MonthYearLabel],30)&lt;&gt;INDEX(Cal_Weeks[MonthYearLabel],29),'Grid_Stock'!AD30,AD30)+'Grid_Incoming'!AE30-'Grid_Requirement'!AE30</f>
        <v/>
      </c>
      <c r="AF30">
        <f>IF(INDEX(Cal_Weeks[MonthYearLabel],31)&lt;&gt;INDEX(Cal_Weeks[MonthYearLabel],30),'Grid_Stock'!AE30,AE30)+'Grid_Incoming'!AF30-'Grid_Requirement'!AF30</f>
        <v/>
      </c>
      <c r="AG30">
        <f>IF(INDEX(Cal_Weeks[MonthYearLabel],32)&lt;&gt;INDEX(Cal_Weeks[MonthYearLabel],31),'Grid_Stock'!AF30,AF30)+'Grid_Incoming'!AG30-'Grid_Requirement'!AG30</f>
        <v/>
      </c>
      <c r="AH30">
        <f>IF(INDEX(Cal_Weeks[MonthYearLabel],33)&lt;&gt;INDEX(Cal_Weeks[MonthYearLabel],32),'Grid_Stock'!AG30,AG30)+'Grid_Incoming'!AH30-'Grid_Requirement'!AH30</f>
        <v/>
      </c>
      <c r="AI30">
        <f>IF(INDEX(Cal_Weeks[MonthYearLabel],34)&lt;&gt;INDEX(Cal_Weeks[MonthYearLabel],33),'Grid_Stock'!AH30,AH30)+'Grid_Incoming'!AI30-'Grid_Requirement'!AI30</f>
        <v/>
      </c>
      <c r="AJ30">
        <f>IF(INDEX(Cal_Weeks[MonthYearLabel],35)&lt;&gt;INDEX(Cal_Weeks[MonthYearLabel],34),'Grid_Stock'!AI30,AI30)+'Grid_Incoming'!AJ30-'Grid_Requirement'!AJ30</f>
        <v/>
      </c>
      <c r="AK30">
        <f>IF(INDEX(Cal_Weeks[MonthYearLabel],36)&lt;&gt;INDEX(Cal_Weeks[MonthYearLabel],35),'Grid_Stock'!AJ30,AJ30)+'Grid_Incoming'!AK30-'Grid_Requirement'!AK30</f>
        <v/>
      </c>
      <c r="AL30">
        <f>IF(INDEX(Cal_Weeks[MonthYearLabel],37)&lt;&gt;INDEX(Cal_Weeks[MonthYearLabel],36),'Grid_Stock'!AK30,AK30)+'Grid_Incoming'!AL30-'Grid_Requirement'!AL30</f>
        <v/>
      </c>
      <c r="AM30">
        <f>IF(INDEX(Cal_Weeks[MonthYearLabel],38)&lt;&gt;INDEX(Cal_Weeks[MonthYearLabel],37),'Grid_Stock'!AL30,AL30)+'Grid_Incoming'!AM30-'Grid_Requirement'!AM30</f>
        <v/>
      </c>
      <c r="AN30">
        <f>IF(INDEX(Cal_Weeks[MonthYearLabel],39)&lt;&gt;INDEX(Cal_Weeks[MonthYearLabel],38),'Grid_Stock'!AM30,AM30)+'Grid_Incoming'!AN30-'Grid_Requirement'!AN30</f>
        <v/>
      </c>
      <c r="AO30">
        <f>IF(INDEX(Cal_Weeks[MonthYearLabel],40)&lt;&gt;INDEX(Cal_Weeks[MonthYearLabel],39),'Grid_Stock'!AN30,AN30)+'Grid_Incoming'!AO30-'Grid_Requirement'!AO30</f>
        <v/>
      </c>
      <c r="AP30">
        <f>IF(INDEX(Cal_Weeks[MonthYearLabel],41)&lt;&gt;INDEX(Cal_Weeks[MonthYearLabel],40),'Grid_Stock'!AO30,AO30)+'Grid_Incoming'!AP30-'Grid_Requirement'!AP30</f>
        <v/>
      </c>
      <c r="AQ30">
        <f>IF(INDEX(Cal_Weeks[MonthYearLabel],42)&lt;&gt;INDEX(Cal_Weeks[MonthYearLabel],41),'Grid_Stock'!AP30,AP30)+'Grid_Incoming'!AQ30-'Grid_Requirement'!AQ30</f>
        <v/>
      </c>
      <c r="AR30">
        <f>IF(INDEX(Cal_Weeks[MonthYearLabel],43)&lt;&gt;INDEX(Cal_Weeks[MonthYearLabel],42),'Grid_Stock'!AQ30,AQ30)+'Grid_Incoming'!AR30-'Grid_Requirement'!AR30</f>
        <v/>
      </c>
      <c r="AS30">
        <f>IF(INDEX(Cal_Weeks[MonthYearLabel],44)&lt;&gt;INDEX(Cal_Weeks[MonthYearLabel],43),'Grid_Stock'!AR30,AR30)+'Grid_Incoming'!AS30-'Grid_Requirement'!AS30</f>
        <v/>
      </c>
      <c r="AT30">
        <f>IF(INDEX(Cal_Weeks[MonthYearLabel],45)&lt;&gt;INDEX(Cal_Weeks[MonthYearLabel],44),'Grid_Stock'!AS30,AS30)+'Grid_Incoming'!AT30-'Grid_Requirement'!AT30</f>
        <v/>
      </c>
      <c r="AU30">
        <f>IF(INDEX(Cal_Weeks[MonthYearLabel],46)&lt;&gt;INDEX(Cal_Weeks[MonthYearLabel],45),'Grid_Stock'!AT30,AT30)+'Grid_Incoming'!AU30-'Grid_Requirement'!AU30</f>
        <v/>
      </c>
      <c r="AV30">
        <f>IF(INDEX(Cal_Weeks[MonthYearLabel],47)&lt;&gt;INDEX(Cal_Weeks[MonthYearLabel],46),'Grid_Stock'!AU30,AU30)+'Grid_Incoming'!AV30-'Grid_Requirement'!AV30</f>
        <v/>
      </c>
      <c r="AW30">
        <f>IF(INDEX(Cal_Weeks[MonthYearLabel],48)&lt;&gt;INDEX(Cal_Weeks[MonthYearLabel],47),'Grid_Stock'!AV30,AV30)+'Grid_Incoming'!AW30-'Grid_Requirement'!AW30</f>
        <v/>
      </c>
      <c r="AX30">
        <f>IF(INDEX(Cal_Weeks[MonthYearLabel],49)&lt;&gt;INDEX(Cal_Weeks[MonthYearLabel],48),'Grid_Stock'!AW30,AW30)+'Grid_Incoming'!AX30-'Grid_Requirement'!AX30</f>
        <v/>
      </c>
      <c r="AY30">
        <f>IF(INDEX(Cal_Weeks[MonthYearLabel],50)&lt;&gt;INDEX(Cal_Weeks[MonthYearLabel],49),'Grid_Stock'!AX30,AX30)+'Grid_Incoming'!AY30-'Grid_Requirement'!AY30</f>
        <v/>
      </c>
      <c r="AZ30">
        <f>IF(INDEX(Cal_Weeks[MonthYearLabel],51)&lt;&gt;INDEX(Cal_Weeks[MonthYearLabel],50),'Grid_Stock'!AY30,AY30)+'Grid_Incoming'!AZ30-'Grid_Requirement'!AZ30</f>
        <v/>
      </c>
      <c r="BA30">
        <f>IF(INDEX(Cal_Weeks[MonthYearLabel],52)&lt;&gt;INDEX(Cal_Weeks[MonthYearLabel],51),'Grid_Stock'!AZ30,AZ30)+'Grid_Incoming'!BA30-'Grid_Requirement'!BA30</f>
        <v/>
      </c>
      <c r="BB30">
        <f>IF(INDEX(Cal_Weeks[MonthYearLabel],53)&lt;&gt;INDEX(Cal_Weeks[MonthYearLabel],52),'Grid_Stock'!BA30,BA30)+'Grid_Incoming'!BB30-'Grid_Requirement'!BB30</f>
        <v/>
      </c>
      <c r="BC30">
        <f>IF(INDEX(Cal_Weeks[MonthYearLabel],54)&lt;&gt;INDEX(Cal_Weeks[MonthYearLabel],53),'Grid_Stock'!BB30,BB30)+'Grid_Incoming'!BC30-'Grid_Requirement'!BC30</f>
        <v/>
      </c>
      <c r="BD30">
        <f>IF(INDEX(Cal_Weeks[MonthYearLabel],55)&lt;&gt;INDEX(Cal_Weeks[MonthYearLabel],54),'Grid_Stock'!BC30,BC30)+'Grid_Incoming'!BD30-'Grid_Requirement'!BD30</f>
        <v/>
      </c>
      <c r="BE30">
        <f>IF(INDEX(Cal_Weeks[MonthYearLabel],56)&lt;&gt;INDEX(Cal_Weeks[MonthYearLabel],55),'Grid_Stock'!BD30,BD30)+'Grid_Incoming'!BE30-'Grid_Requirement'!BE30</f>
        <v/>
      </c>
      <c r="BF30">
        <f>IF(INDEX(Cal_Weeks[MonthYearLabel],57)&lt;&gt;INDEX(Cal_Weeks[MonthYearLabel],56),'Grid_Stock'!BE30,BE30)+'Grid_Incoming'!BF30-'Grid_Requirement'!BF30</f>
        <v/>
      </c>
      <c r="BG30">
        <f>IF(INDEX(Cal_Weeks[MonthYearLabel],58)&lt;&gt;INDEX(Cal_Weeks[MonthYearLabel],57),'Grid_Stock'!BF30,BF30)+'Grid_Incoming'!BG30-'Grid_Requirement'!BG30</f>
        <v/>
      </c>
      <c r="BH30">
        <f>IF(INDEX(Cal_Weeks[MonthYearLabel],59)&lt;&gt;INDEX(Cal_Weeks[MonthYearLabel],58),'Grid_Stock'!BG30,BG30)+'Grid_Incoming'!BH30-'Grid_Requirement'!BH30</f>
        <v/>
      </c>
      <c r="BI30">
        <f>IF(INDEX(Cal_Weeks[MonthYearLabel],60)&lt;&gt;INDEX(Cal_Weeks[MonthYearLabel],59),'Grid_Stock'!BH30,BH30)+'Grid_Incoming'!BI30-'Grid_Requirement'!BI30</f>
        <v/>
      </c>
      <c r="BJ30">
        <f>IF(INDEX(Cal_Weeks[MonthYearLabel],61)&lt;&gt;INDEX(Cal_Weeks[MonthYearLabel],60),'Grid_Stock'!BI30,BI30)+'Grid_Incoming'!BJ30-'Grid_Requirement'!BJ30</f>
        <v/>
      </c>
      <c r="BK30">
        <f>IF(INDEX(Cal_Weeks[MonthYearLabel],62)&lt;&gt;INDEX(Cal_Weeks[MonthYearLabel],61),'Grid_Stock'!BJ30,BJ30)+'Grid_Incoming'!BK30-'Grid_Requirement'!BK30</f>
        <v/>
      </c>
      <c r="BL30">
        <f>IF(INDEX(Cal_Weeks[MonthYearLabel],63)&lt;&gt;INDEX(Cal_Weeks[MonthYearLabel],62),'Grid_Stock'!BK30,BK30)+'Grid_Incoming'!BL30-'Grid_Requirement'!BL30</f>
        <v/>
      </c>
      <c r="BM30">
        <f>IF(INDEX(Cal_Weeks[MonthYearLabel],64)&lt;&gt;INDEX(Cal_Weeks[MonthYearLabel],63),'Grid_Stock'!BL30,BL30)+'Grid_Incoming'!BM30-'Grid_Requirement'!BM30</f>
        <v/>
      </c>
      <c r="BN30">
        <f>IF(INDEX(Cal_Weeks[MonthYearLabel],65)&lt;&gt;INDEX(Cal_Weeks[MonthYearLabel],64),'Grid_Stock'!BM30,BM30)+'Grid_Incoming'!BN30-'Grid_Requirement'!BN30</f>
        <v/>
      </c>
      <c r="BO30">
        <f>IF(INDEX(Cal_Weeks[MonthYearLabel],66)&lt;&gt;INDEX(Cal_Weeks[MonthYearLabel],65),'Grid_Stock'!BN30,BN30)+'Grid_Incoming'!BO30-'Grid_Requirement'!BO30</f>
        <v/>
      </c>
      <c r="BP30">
        <f>IF(INDEX(Cal_Weeks[MonthYearLabel],67)&lt;&gt;INDEX(Cal_Weeks[MonthYearLabel],66),'Grid_Stock'!BO30,BO30)+'Grid_Incoming'!BP30-'Grid_Requirement'!BP30</f>
        <v/>
      </c>
      <c r="BQ30">
        <f>IF(INDEX(Cal_Weeks[MonthYearLabel],68)&lt;&gt;INDEX(Cal_Weeks[MonthYearLabel],67),'Grid_Stock'!BP30,BP30)+'Grid_Incoming'!BQ30-'Grid_Requirement'!BQ30</f>
        <v/>
      </c>
      <c r="BR30">
        <f>IF(INDEX(Cal_Weeks[MonthYearLabel],69)&lt;&gt;INDEX(Cal_Weeks[MonthYearLabel],68),'Grid_Stock'!BQ30,BQ30)+'Grid_Incoming'!BR30-'Grid_Requirement'!BR30</f>
        <v/>
      </c>
      <c r="BS30">
        <f>IF(INDEX(Cal_Weeks[MonthYearLabel],70)&lt;&gt;INDEX(Cal_Weeks[MonthYearLabel],69),'Grid_Stock'!BR30,BR30)+'Grid_Incoming'!BS30-'Grid_Requirement'!BS30</f>
        <v/>
      </c>
      <c r="BT30">
        <f>IF(INDEX(Cal_Weeks[MonthYearLabel],71)&lt;&gt;INDEX(Cal_Weeks[MonthYearLabel],70),'Grid_Stock'!BS30,BS30)+'Grid_Incoming'!BT30-'Grid_Requirement'!BT30</f>
        <v/>
      </c>
      <c r="BU30">
        <f>IF(INDEX(Cal_Weeks[MonthYearLabel],72)&lt;&gt;INDEX(Cal_Weeks[MonthYearLabel],71),'Grid_Stock'!BT30,BT30)+'Grid_Incoming'!BU30-'Grid_Requirement'!BU30</f>
        <v/>
      </c>
      <c r="BV30">
        <f>IF(INDEX(Cal_Weeks[MonthYearLabel],73)&lt;&gt;INDEX(Cal_Weeks[MonthYearLabel],72),'Grid_Stock'!BU30,BU30)+'Grid_Incoming'!BV30-'Grid_Requirement'!BV30</f>
        <v/>
      </c>
      <c r="BW30">
        <f>IF(INDEX(Cal_Weeks[MonthYearLabel],74)&lt;&gt;INDEX(Cal_Weeks[MonthYearLabel],73),'Grid_Stock'!BV30,BV30)+'Grid_Incoming'!BW30-'Grid_Requirement'!BW30</f>
        <v/>
      </c>
      <c r="BX30">
        <f>IF(INDEX(Cal_Weeks[MonthYearLabel],75)&lt;&gt;INDEX(Cal_Weeks[MonthYearLabel],74),'Grid_Stock'!BW30,BW30)+'Grid_Incoming'!BX30-'Grid_Requirement'!BX30</f>
        <v/>
      </c>
      <c r="BY30">
        <f>IF(INDEX(Cal_Weeks[MonthYearLabel],76)&lt;&gt;INDEX(Cal_Weeks[MonthYearLabel],75),'Grid_Stock'!BX30,BX30)+'Grid_Incoming'!BY30-'Grid_Requirement'!BY30</f>
        <v/>
      </c>
      <c r="BZ30">
        <f>IF(INDEX(Cal_Weeks[MonthYearLabel],77)&lt;&gt;INDEX(Cal_Weeks[MonthYearLabel],76),'Grid_Stock'!BY30,BY30)+'Grid_Incoming'!BZ30-'Grid_Requirement'!BZ30</f>
        <v/>
      </c>
      <c r="CA30">
        <f>IF(INDEX(Cal_Weeks[MonthYearLabel],78)&lt;&gt;INDEX(Cal_Weeks[MonthYearLabel],77),'Grid_Stock'!BZ30,BZ30)+'Grid_Incoming'!CA30-'Grid_Requirement'!CA30</f>
        <v/>
      </c>
      <c r="CB30">
        <f>IF(INDEX(Cal_Weeks[MonthYearLabel],79)&lt;&gt;INDEX(Cal_Weeks[MonthYearLabel],78),'Grid_Stock'!CA30,CA30)+'Grid_Incoming'!CB30-'Grid_Requirement'!CB30</f>
        <v/>
      </c>
      <c r="CC30">
        <f>IF(INDEX(Cal_Weeks[MonthYearLabel],80)&lt;&gt;INDEX(Cal_Weeks[MonthYearLabel],79),'Grid_Stock'!CB30,CB30)+'Grid_Incoming'!CC30-'Grid_Requirement'!CC30</f>
        <v/>
      </c>
      <c r="CD30">
        <f>IF(INDEX(Cal_Weeks[MonthYearLabel],81)&lt;&gt;INDEX(Cal_Weeks[MonthYearLabel],80),'Grid_Stock'!CC30,CC30)+'Grid_Incoming'!CD30-'Grid_Requirement'!CD30</f>
        <v/>
      </c>
      <c r="CE30">
        <f>IF(INDEX(Cal_Weeks[MonthYearLabel],82)&lt;&gt;INDEX(Cal_Weeks[MonthYearLabel],81),'Grid_Stock'!CD30,CD30)+'Grid_Incoming'!CE30-'Grid_Requirement'!CE30</f>
        <v/>
      </c>
      <c r="CF30">
        <f>IF(INDEX(Cal_Weeks[MonthYearLabel],83)&lt;&gt;INDEX(Cal_Weeks[MonthYearLabel],82),'Grid_Stock'!CE30,CE30)+'Grid_Incoming'!CF30-'Grid_Requirement'!CF30</f>
        <v/>
      </c>
      <c r="CG30">
        <f>IF(INDEX(Cal_Weeks[MonthYearLabel],84)&lt;&gt;INDEX(Cal_Weeks[MonthYearLabel],83),'Grid_Stock'!CF30,CF30)+'Grid_Incoming'!CG30-'Grid_Requirement'!CG30</f>
        <v/>
      </c>
      <c r="CH30">
        <f>IF(INDEX(Cal_Weeks[MonthYearLabel],85)&lt;&gt;INDEX(Cal_Weeks[MonthYearLabel],84),'Grid_Stock'!CG30,CG30)+'Grid_Incoming'!CH30-'Grid_Requirement'!CH30</f>
        <v/>
      </c>
      <c r="CI30">
        <f>IF(INDEX(Cal_Weeks[MonthYearLabel],86)&lt;&gt;INDEX(Cal_Weeks[MonthYearLabel],85),'Grid_Stock'!CH30,CH30)+'Grid_Incoming'!CI30-'Grid_Requirement'!CI30</f>
        <v/>
      </c>
      <c r="CJ30">
        <f>IF(INDEX(Cal_Weeks[MonthYearLabel],87)&lt;&gt;INDEX(Cal_Weeks[MonthYearLabel],86),'Grid_Stock'!CI30,CI30)+'Grid_Incoming'!CJ30-'Grid_Requirement'!CJ30</f>
        <v/>
      </c>
      <c r="CK30">
        <f>IF(INDEX(Cal_Weeks[MonthYearLabel],88)&lt;&gt;INDEX(Cal_Weeks[MonthYearLabel],87),'Grid_Stock'!CJ30,CJ30)+'Grid_Incoming'!CK30-'Grid_Requirement'!CK30</f>
        <v/>
      </c>
      <c r="CL30">
        <f>IF(INDEX(Cal_Weeks[MonthYearLabel],89)&lt;&gt;INDEX(Cal_Weeks[MonthYearLabel],88),'Grid_Stock'!CK30,CK30)+'Grid_Incoming'!CL30-'Grid_Requirement'!CL30</f>
        <v/>
      </c>
      <c r="CM30">
        <f>IF(INDEX(Cal_Weeks[MonthYearLabel],90)&lt;&gt;INDEX(Cal_Weeks[MonthYearLabel],89),'Grid_Stock'!CL30,CL30)+'Grid_Incoming'!CM30-'Grid_Requirement'!CM30</f>
        <v/>
      </c>
      <c r="CN30">
        <f>IF(INDEX(Cal_Weeks[MonthYearLabel],91)&lt;&gt;INDEX(Cal_Weeks[MonthYearLabel],90),'Grid_Stock'!CM30,CM30)+'Grid_Incoming'!CN30-'Grid_Requirement'!CN30</f>
        <v/>
      </c>
      <c r="CO30">
        <f>IF(INDEX(Cal_Weeks[MonthYearLabel],92)&lt;&gt;INDEX(Cal_Weeks[MonthYearLabel],91),'Grid_Stock'!CN30,CN30)+'Grid_Incoming'!CO30-'Grid_Requirement'!CO30</f>
        <v/>
      </c>
      <c r="CP30">
        <f>IF(INDEX(Cal_Weeks[MonthYearLabel],93)&lt;&gt;INDEX(Cal_Weeks[MonthYearLabel],92),'Grid_Stock'!CO30,CO30)+'Grid_Incoming'!CP30-'Grid_Requirement'!CP30</f>
        <v/>
      </c>
      <c r="CQ30">
        <f>IF(INDEX(Cal_Weeks[MonthYearLabel],94)&lt;&gt;INDEX(Cal_Weeks[MonthYearLabel],93),'Grid_Stock'!CP30,CP30)+'Grid_Incoming'!CQ30-'Grid_Requirement'!CQ30</f>
        <v/>
      </c>
      <c r="CR30">
        <f>IF(INDEX(Cal_Weeks[MonthYearLabel],95)&lt;&gt;INDEX(Cal_Weeks[MonthYearLabel],94),'Grid_Stock'!CQ30,CQ30)+'Grid_Incoming'!CR30-'Grid_Requirement'!CR30</f>
        <v/>
      </c>
      <c r="CS30">
        <f>IF(INDEX(Cal_Weeks[MonthYearLabel],96)&lt;&gt;INDEX(Cal_Weeks[MonthYearLabel],95),'Grid_Stock'!CR30,CR30)+'Grid_Incoming'!CS30-'Grid_Requirement'!CS30</f>
        <v/>
      </c>
      <c r="CT30">
        <f>IF(INDEX(Cal_Weeks[MonthYearLabel],97)&lt;&gt;INDEX(Cal_Weeks[MonthYearLabel],96),'Grid_Stock'!CS30,CS30)+'Grid_Incoming'!CT30-'Grid_Requirement'!CT30</f>
        <v/>
      </c>
      <c r="CU30">
        <f>IF(INDEX(Cal_Weeks[MonthYearLabel],98)&lt;&gt;INDEX(Cal_Weeks[MonthYearLabel],97),'Grid_Stock'!CT30,CT30)+'Grid_Incoming'!CU30-'Grid_Requirement'!CU30</f>
        <v/>
      </c>
      <c r="CV30">
        <f>IF(INDEX(Cal_Weeks[MonthYearLabel],99)&lt;&gt;INDEX(Cal_Weeks[MonthYearLabel],98),'Grid_Stock'!CU30,CU30)+'Grid_Incoming'!CV30-'Grid_Requirement'!CV30</f>
        <v/>
      </c>
      <c r="CW30">
        <f>IF(INDEX(Cal_Weeks[MonthYearLabel],100)&lt;&gt;INDEX(Cal_Weeks[MonthYearLabel],99),'Grid_Stock'!CV30,CV30)+'Grid_Incoming'!CW30-'Grid_Requirement'!CW30</f>
        <v/>
      </c>
      <c r="CX30">
        <f>IF(INDEX(Cal_Weeks[MonthYearLabel],101)&lt;&gt;INDEX(Cal_Weeks[MonthYearLabel],100),'Grid_Stock'!CW30,CW30)+'Grid_Incoming'!CX30-'Grid_Requirement'!CX30</f>
        <v/>
      </c>
      <c r="CY30">
        <f>IF(INDEX(Cal_Weeks[MonthYearLabel],102)&lt;&gt;INDEX(Cal_Weeks[MonthYearLabel],101),'Grid_Stock'!CX30,CX30)+'Grid_Incoming'!CY30-'Grid_Requirement'!CY30</f>
        <v/>
      </c>
      <c r="CZ30">
        <f>IF(INDEX(Cal_Weeks[MonthYearLabel],103)&lt;&gt;INDEX(Cal_Weeks[MonthYearLabel],102),'Grid_Stock'!CY30,CY30)+'Grid_Incoming'!CZ30-'Grid_Requirement'!CZ30</f>
        <v/>
      </c>
      <c r="DA30">
        <f>IF(INDEX(Cal_Weeks[MonthYearLabel],104)&lt;&gt;INDEX(Cal_Weeks[MonthYearLabel],103),'Grid_Stock'!CZ30,CZ30)+'Grid_Incoming'!DA30-'Grid_Requirement'!DA30</f>
        <v/>
      </c>
    </row>
    <row r="31">
      <c r="A31" t="inlineStr">
        <is>
          <t>CHEM-1440</t>
        </is>
      </c>
      <c r="B31">
        <f>IFERROR(INDEX(T_OpeningStock[Opening_Qty_要入力],MATCH($A31,T_OpeningStock[Part Name],0)),0)+'Grid_Incoming'!B31-'Grid_Requirement'!B31</f>
        <v/>
      </c>
      <c r="C31">
        <f>IF(INDEX(Cal_Weeks[MonthYearLabel],2)&lt;&gt;INDEX(Cal_Weeks[MonthYearLabel],1),'Grid_Stock'!B31,B31)+'Grid_Incoming'!C31-'Grid_Requirement'!C31</f>
        <v/>
      </c>
      <c r="D31">
        <f>IF(INDEX(Cal_Weeks[MonthYearLabel],3)&lt;&gt;INDEX(Cal_Weeks[MonthYearLabel],2),'Grid_Stock'!C31,C31)+'Grid_Incoming'!D31-'Grid_Requirement'!D31</f>
        <v/>
      </c>
      <c r="E31">
        <f>IF(INDEX(Cal_Weeks[MonthYearLabel],4)&lt;&gt;INDEX(Cal_Weeks[MonthYearLabel],3),'Grid_Stock'!D31,D31)+'Grid_Incoming'!E31-'Grid_Requirement'!E31</f>
        <v/>
      </c>
      <c r="F31">
        <f>IF(INDEX(Cal_Weeks[MonthYearLabel],5)&lt;&gt;INDEX(Cal_Weeks[MonthYearLabel],4),'Grid_Stock'!E31,E31)+'Grid_Incoming'!F31-'Grid_Requirement'!F31</f>
        <v/>
      </c>
      <c r="G31">
        <f>IF(INDEX(Cal_Weeks[MonthYearLabel],6)&lt;&gt;INDEX(Cal_Weeks[MonthYearLabel],5),'Grid_Stock'!F31,F31)+'Grid_Incoming'!G31-'Grid_Requirement'!G31</f>
        <v/>
      </c>
      <c r="H31">
        <f>IF(INDEX(Cal_Weeks[MonthYearLabel],7)&lt;&gt;INDEX(Cal_Weeks[MonthYearLabel],6),'Grid_Stock'!G31,G31)+'Grid_Incoming'!H31-'Grid_Requirement'!H31</f>
        <v/>
      </c>
      <c r="I31">
        <f>IF(INDEX(Cal_Weeks[MonthYearLabel],8)&lt;&gt;INDEX(Cal_Weeks[MonthYearLabel],7),'Grid_Stock'!H31,H31)+'Grid_Incoming'!I31-'Grid_Requirement'!I31</f>
        <v/>
      </c>
      <c r="J31">
        <f>IF(INDEX(Cal_Weeks[MonthYearLabel],9)&lt;&gt;INDEX(Cal_Weeks[MonthYearLabel],8),'Grid_Stock'!I31,I31)+'Grid_Incoming'!J31-'Grid_Requirement'!J31</f>
        <v/>
      </c>
      <c r="K31">
        <f>IF(INDEX(Cal_Weeks[MonthYearLabel],10)&lt;&gt;INDEX(Cal_Weeks[MonthYearLabel],9),'Grid_Stock'!J31,J31)+'Grid_Incoming'!K31-'Grid_Requirement'!K31</f>
        <v/>
      </c>
      <c r="L31">
        <f>IF(INDEX(Cal_Weeks[MonthYearLabel],11)&lt;&gt;INDEX(Cal_Weeks[MonthYearLabel],10),'Grid_Stock'!K31,K31)+'Grid_Incoming'!L31-'Grid_Requirement'!L31</f>
        <v/>
      </c>
      <c r="M31">
        <f>IF(INDEX(Cal_Weeks[MonthYearLabel],12)&lt;&gt;INDEX(Cal_Weeks[MonthYearLabel],11),'Grid_Stock'!L31,L31)+'Grid_Incoming'!M31-'Grid_Requirement'!M31</f>
        <v/>
      </c>
      <c r="N31">
        <f>IF(INDEX(Cal_Weeks[MonthYearLabel],13)&lt;&gt;INDEX(Cal_Weeks[MonthYearLabel],12),'Grid_Stock'!M31,M31)+'Grid_Incoming'!N31-'Grid_Requirement'!N31</f>
        <v/>
      </c>
      <c r="O31">
        <f>IF(INDEX(Cal_Weeks[MonthYearLabel],14)&lt;&gt;INDEX(Cal_Weeks[MonthYearLabel],13),'Grid_Stock'!N31,N31)+'Grid_Incoming'!O31-'Grid_Requirement'!O31</f>
        <v/>
      </c>
      <c r="P31">
        <f>IF(INDEX(Cal_Weeks[MonthYearLabel],15)&lt;&gt;INDEX(Cal_Weeks[MonthYearLabel],14),'Grid_Stock'!O31,O31)+'Grid_Incoming'!P31-'Grid_Requirement'!P31</f>
        <v/>
      </c>
      <c r="Q31">
        <f>IF(INDEX(Cal_Weeks[MonthYearLabel],16)&lt;&gt;INDEX(Cal_Weeks[MonthYearLabel],15),'Grid_Stock'!P31,P31)+'Grid_Incoming'!Q31-'Grid_Requirement'!Q31</f>
        <v/>
      </c>
      <c r="R31">
        <f>IF(INDEX(Cal_Weeks[MonthYearLabel],17)&lt;&gt;INDEX(Cal_Weeks[MonthYearLabel],16),'Grid_Stock'!Q31,Q31)+'Grid_Incoming'!R31-'Grid_Requirement'!R31</f>
        <v/>
      </c>
      <c r="S31">
        <f>IF(INDEX(Cal_Weeks[MonthYearLabel],18)&lt;&gt;INDEX(Cal_Weeks[MonthYearLabel],17),'Grid_Stock'!R31,R31)+'Grid_Incoming'!S31-'Grid_Requirement'!S31</f>
        <v/>
      </c>
      <c r="T31">
        <f>IF(INDEX(Cal_Weeks[MonthYearLabel],19)&lt;&gt;INDEX(Cal_Weeks[MonthYearLabel],18),'Grid_Stock'!S31,S31)+'Grid_Incoming'!T31-'Grid_Requirement'!T31</f>
        <v/>
      </c>
      <c r="U31">
        <f>IF(INDEX(Cal_Weeks[MonthYearLabel],20)&lt;&gt;INDEX(Cal_Weeks[MonthYearLabel],19),'Grid_Stock'!T31,T31)+'Grid_Incoming'!U31-'Grid_Requirement'!U31</f>
        <v/>
      </c>
      <c r="V31">
        <f>IF(INDEX(Cal_Weeks[MonthYearLabel],21)&lt;&gt;INDEX(Cal_Weeks[MonthYearLabel],20),'Grid_Stock'!U31,U31)+'Grid_Incoming'!V31-'Grid_Requirement'!V31</f>
        <v/>
      </c>
      <c r="W31">
        <f>IF(INDEX(Cal_Weeks[MonthYearLabel],22)&lt;&gt;INDEX(Cal_Weeks[MonthYearLabel],21),'Grid_Stock'!V31,V31)+'Grid_Incoming'!W31-'Grid_Requirement'!W31</f>
        <v/>
      </c>
      <c r="X31">
        <f>IF(INDEX(Cal_Weeks[MonthYearLabel],23)&lt;&gt;INDEX(Cal_Weeks[MonthYearLabel],22),'Grid_Stock'!W31,W31)+'Grid_Incoming'!X31-'Grid_Requirement'!X31</f>
        <v/>
      </c>
      <c r="Y31">
        <f>IF(INDEX(Cal_Weeks[MonthYearLabel],24)&lt;&gt;INDEX(Cal_Weeks[MonthYearLabel],23),'Grid_Stock'!X31,X31)+'Grid_Incoming'!Y31-'Grid_Requirement'!Y31</f>
        <v/>
      </c>
      <c r="Z31">
        <f>IF(INDEX(Cal_Weeks[MonthYearLabel],25)&lt;&gt;INDEX(Cal_Weeks[MonthYearLabel],24),'Grid_Stock'!Y31,Y31)+'Grid_Incoming'!Z31-'Grid_Requirement'!Z31</f>
        <v/>
      </c>
      <c r="AA31">
        <f>IF(INDEX(Cal_Weeks[MonthYearLabel],26)&lt;&gt;INDEX(Cal_Weeks[MonthYearLabel],25),'Grid_Stock'!Z31,Z31)+'Grid_Incoming'!AA31-'Grid_Requirement'!AA31</f>
        <v/>
      </c>
      <c r="AB31">
        <f>IF(INDEX(Cal_Weeks[MonthYearLabel],27)&lt;&gt;INDEX(Cal_Weeks[MonthYearLabel],26),'Grid_Stock'!AA31,AA31)+'Grid_Incoming'!AB31-'Grid_Requirement'!AB31</f>
        <v/>
      </c>
      <c r="AC31">
        <f>IF(INDEX(Cal_Weeks[MonthYearLabel],28)&lt;&gt;INDEX(Cal_Weeks[MonthYearLabel],27),'Grid_Stock'!AB31,AB31)+'Grid_Incoming'!AC31-'Grid_Requirement'!AC31</f>
        <v/>
      </c>
      <c r="AD31">
        <f>IF(INDEX(Cal_Weeks[MonthYearLabel],29)&lt;&gt;INDEX(Cal_Weeks[MonthYearLabel],28),'Grid_Stock'!AC31,AC31)+'Grid_Incoming'!AD31-'Grid_Requirement'!AD31</f>
        <v/>
      </c>
      <c r="AE31">
        <f>IF(INDEX(Cal_Weeks[MonthYearLabel],30)&lt;&gt;INDEX(Cal_Weeks[MonthYearLabel],29),'Grid_Stock'!AD31,AD31)+'Grid_Incoming'!AE31-'Grid_Requirement'!AE31</f>
        <v/>
      </c>
      <c r="AF31">
        <f>IF(INDEX(Cal_Weeks[MonthYearLabel],31)&lt;&gt;INDEX(Cal_Weeks[MonthYearLabel],30),'Grid_Stock'!AE31,AE31)+'Grid_Incoming'!AF31-'Grid_Requirement'!AF31</f>
        <v/>
      </c>
      <c r="AG31">
        <f>IF(INDEX(Cal_Weeks[MonthYearLabel],32)&lt;&gt;INDEX(Cal_Weeks[MonthYearLabel],31),'Grid_Stock'!AF31,AF31)+'Grid_Incoming'!AG31-'Grid_Requirement'!AG31</f>
        <v/>
      </c>
      <c r="AH31">
        <f>IF(INDEX(Cal_Weeks[MonthYearLabel],33)&lt;&gt;INDEX(Cal_Weeks[MonthYearLabel],32),'Grid_Stock'!AG31,AG31)+'Grid_Incoming'!AH31-'Grid_Requirement'!AH31</f>
        <v/>
      </c>
      <c r="AI31">
        <f>IF(INDEX(Cal_Weeks[MonthYearLabel],34)&lt;&gt;INDEX(Cal_Weeks[MonthYearLabel],33),'Grid_Stock'!AH31,AH31)+'Grid_Incoming'!AI31-'Grid_Requirement'!AI31</f>
        <v/>
      </c>
      <c r="AJ31">
        <f>IF(INDEX(Cal_Weeks[MonthYearLabel],35)&lt;&gt;INDEX(Cal_Weeks[MonthYearLabel],34),'Grid_Stock'!AI31,AI31)+'Grid_Incoming'!AJ31-'Grid_Requirement'!AJ31</f>
        <v/>
      </c>
      <c r="AK31">
        <f>IF(INDEX(Cal_Weeks[MonthYearLabel],36)&lt;&gt;INDEX(Cal_Weeks[MonthYearLabel],35),'Grid_Stock'!AJ31,AJ31)+'Grid_Incoming'!AK31-'Grid_Requirement'!AK31</f>
        <v/>
      </c>
      <c r="AL31">
        <f>IF(INDEX(Cal_Weeks[MonthYearLabel],37)&lt;&gt;INDEX(Cal_Weeks[MonthYearLabel],36),'Grid_Stock'!AK31,AK31)+'Grid_Incoming'!AL31-'Grid_Requirement'!AL31</f>
        <v/>
      </c>
      <c r="AM31">
        <f>IF(INDEX(Cal_Weeks[MonthYearLabel],38)&lt;&gt;INDEX(Cal_Weeks[MonthYearLabel],37),'Grid_Stock'!AL31,AL31)+'Grid_Incoming'!AM31-'Grid_Requirement'!AM31</f>
        <v/>
      </c>
      <c r="AN31">
        <f>IF(INDEX(Cal_Weeks[MonthYearLabel],39)&lt;&gt;INDEX(Cal_Weeks[MonthYearLabel],38),'Grid_Stock'!AM31,AM31)+'Grid_Incoming'!AN31-'Grid_Requirement'!AN31</f>
        <v/>
      </c>
      <c r="AO31">
        <f>IF(INDEX(Cal_Weeks[MonthYearLabel],40)&lt;&gt;INDEX(Cal_Weeks[MonthYearLabel],39),'Grid_Stock'!AN31,AN31)+'Grid_Incoming'!AO31-'Grid_Requirement'!AO31</f>
        <v/>
      </c>
      <c r="AP31">
        <f>IF(INDEX(Cal_Weeks[MonthYearLabel],41)&lt;&gt;INDEX(Cal_Weeks[MonthYearLabel],40),'Grid_Stock'!AO31,AO31)+'Grid_Incoming'!AP31-'Grid_Requirement'!AP31</f>
        <v/>
      </c>
      <c r="AQ31">
        <f>IF(INDEX(Cal_Weeks[MonthYearLabel],42)&lt;&gt;INDEX(Cal_Weeks[MonthYearLabel],41),'Grid_Stock'!AP31,AP31)+'Grid_Incoming'!AQ31-'Grid_Requirement'!AQ31</f>
        <v/>
      </c>
      <c r="AR31">
        <f>IF(INDEX(Cal_Weeks[MonthYearLabel],43)&lt;&gt;INDEX(Cal_Weeks[MonthYearLabel],42),'Grid_Stock'!AQ31,AQ31)+'Grid_Incoming'!AR31-'Grid_Requirement'!AR31</f>
        <v/>
      </c>
      <c r="AS31">
        <f>IF(INDEX(Cal_Weeks[MonthYearLabel],44)&lt;&gt;INDEX(Cal_Weeks[MonthYearLabel],43),'Grid_Stock'!AR31,AR31)+'Grid_Incoming'!AS31-'Grid_Requirement'!AS31</f>
        <v/>
      </c>
      <c r="AT31">
        <f>IF(INDEX(Cal_Weeks[MonthYearLabel],45)&lt;&gt;INDEX(Cal_Weeks[MonthYearLabel],44),'Grid_Stock'!AS31,AS31)+'Grid_Incoming'!AT31-'Grid_Requirement'!AT31</f>
        <v/>
      </c>
      <c r="AU31">
        <f>IF(INDEX(Cal_Weeks[MonthYearLabel],46)&lt;&gt;INDEX(Cal_Weeks[MonthYearLabel],45),'Grid_Stock'!AT31,AT31)+'Grid_Incoming'!AU31-'Grid_Requirement'!AU31</f>
        <v/>
      </c>
      <c r="AV31">
        <f>IF(INDEX(Cal_Weeks[MonthYearLabel],47)&lt;&gt;INDEX(Cal_Weeks[MonthYearLabel],46),'Grid_Stock'!AU31,AU31)+'Grid_Incoming'!AV31-'Grid_Requirement'!AV31</f>
        <v/>
      </c>
      <c r="AW31">
        <f>IF(INDEX(Cal_Weeks[MonthYearLabel],48)&lt;&gt;INDEX(Cal_Weeks[MonthYearLabel],47),'Grid_Stock'!AV31,AV31)+'Grid_Incoming'!AW31-'Grid_Requirement'!AW31</f>
        <v/>
      </c>
      <c r="AX31">
        <f>IF(INDEX(Cal_Weeks[MonthYearLabel],49)&lt;&gt;INDEX(Cal_Weeks[MonthYearLabel],48),'Grid_Stock'!AW31,AW31)+'Grid_Incoming'!AX31-'Grid_Requirement'!AX31</f>
        <v/>
      </c>
      <c r="AY31">
        <f>IF(INDEX(Cal_Weeks[MonthYearLabel],50)&lt;&gt;INDEX(Cal_Weeks[MonthYearLabel],49),'Grid_Stock'!AX31,AX31)+'Grid_Incoming'!AY31-'Grid_Requirement'!AY31</f>
        <v/>
      </c>
      <c r="AZ31">
        <f>IF(INDEX(Cal_Weeks[MonthYearLabel],51)&lt;&gt;INDEX(Cal_Weeks[MonthYearLabel],50),'Grid_Stock'!AY31,AY31)+'Grid_Incoming'!AZ31-'Grid_Requirement'!AZ31</f>
        <v/>
      </c>
      <c r="BA31">
        <f>IF(INDEX(Cal_Weeks[MonthYearLabel],52)&lt;&gt;INDEX(Cal_Weeks[MonthYearLabel],51),'Grid_Stock'!AZ31,AZ31)+'Grid_Incoming'!BA31-'Grid_Requirement'!BA31</f>
        <v/>
      </c>
      <c r="BB31">
        <f>IF(INDEX(Cal_Weeks[MonthYearLabel],53)&lt;&gt;INDEX(Cal_Weeks[MonthYearLabel],52),'Grid_Stock'!BA31,BA31)+'Grid_Incoming'!BB31-'Grid_Requirement'!BB31</f>
        <v/>
      </c>
      <c r="BC31">
        <f>IF(INDEX(Cal_Weeks[MonthYearLabel],54)&lt;&gt;INDEX(Cal_Weeks[MonthYearLabel],53),'Grid_Stock'!BB31,BB31)+'Grid_Incoming'!BC31-'Grid_Requirement'!BC31</f>
        <v/>
      </c>
      <c r="BD31">
        <f>IF(INDEX(Cal_Weeks[MonthYearLabel],55)&lt;&gt;INDEX(Cal_Weeks[MonthYearLabel],54),'Grid_Stock'!BC31,BC31)+'Grid_Incoming'!BD31-'Grid_Requirement'!BD31</f>
        <v/>
      </c>
      <c r="BE31">
        <f>IF(INDEX(Cal_Weeks[MonthYearLabel],56)&lt;&gt;INDEX(Cal_Weeks[MonthYearLabel],55),'Grid_Stock'!BD31,BD31)+'Grid_Incoming'!BE31-'Grid_Requirement'!BE31</f>
        <v/>
      </c>
      <c r="BF31">
        <f>IF(INDEX(Cal_Weeks[MonthYearLabel],57)&lt;&gt;INDEX(Cal_Weeks[MonthYearLabel],56),'Grid_Stock'!BE31,BE31)+'Grid_Incoming'!BF31-'Grid_Requirement'!BF31</f>
        <v/>
      </c>
      <c r="BG31">
        <f>IF(INDEX(Cal_Weeks[MonthYearLabel],58)&lt;&gt;INDEX(Cal_Weeks[MonthYearLabel],57),'Grid_Stock'!BF31,BF31)+'Grid_Incoming'!BG31-'Grid_Requirement'!BG31</f>
        <v/>
      </c>
      <c r="BH31">
        <f>IF(INDEX(Cal_Weeks[MonthYearLabel],59)&lt;&gt;INDEX(Cal_Weeks[MonthYearLabel],58),'Grid_Stock'!BG31,BG31)+'Grid_Incoming'!BH31-'Grid_Requirement'!BH31</f>
        <v/>
      </c>
      <c r="BI31">
        <f>IF(INDEX(Cal_Weeks[MonthYearLabel],60)&lt;&gt;INDEX(Cal_Weeks[MonthYearLabel],59),'Grid_Stock'!BH31,BH31)+'Grid_Incoming'!BI31-'Grid_Requirement'!BI31</f>
        <v/>
      </c>
      <c r="BJ31">
        <f>IF(INDEX(Cal_Weeks[MonthYearLabel],61)&lt;&gt;INDEX(Cal_Weeks[MonthYearLabel],60),'Grid_Stock'!BI31,BI31)+'Grid_Incoming'!BJ31-'Grid_Requirement'!BJ31</f>
        <v/>
      </c>
      <c r="BK31">
        <f>IF(INDEX(Cal_Weeks[MonthYearLabel],62)&lt;&gt;INDEX(Cal_Weeks[MonthYearLabel],61),'Grid_Stock'!BJ31,BJ31)+'Grid_Incoming'!BK31-'Grid_Requirement'!BK31</f>
        <v/>
      </c>
      <c r="BL31">
        <f>IF(INDEX(Cal_Weeks[MonthYearLabel],63)&lt;&gt;INDEX(Cal_Weeks[MonthYearLabel],62),'Grid_Stock'!BK31,BK31)+'Grid_Incoming'!BL31-'Grid_Requirement'!BL31</f>
        <v/>
      </c>
      <c r="BM31">
        <f>IF(INDEX(Cal_Weeks[MonthYearLabel],64)&lt;&gt;INDEX(Cal_Weeks[MonthYearLabel],63),'Grid_Stock'!BL31,BL31)+'Grid_Incoming'!BM31-'Grid_Requirement'!BM31</f>
        <v/>
      </c>
      <c r="BN31">
        <f>IF(INDEX(Cal_Weeks[MonthYearLabel],65)&lt;&gt;INDEX(Cal_Weeks[MonthYearLabel],64),'Grid_Stock'!BM31,BM31)+'Grid_Incoming'!BN31-'Grid_Requirement'!BN31</f>
        <v/>
      </c>
      <c r="BO31">
        <f>IF(INDEX(Cal_Weeks[MonthYearLabel],66)&lt;&gt;INDEX(Cal_Weeks[MonthYearLabel],65),'Grid_Stock'!BN31,BN31)+'Grid_Incoming'!BO31-'Grid_Requirement'!BO31</f>
        <v/>
      </c>
      <c r="BP31">
        <f>IF(INDEX(Cal_Weeks[MonthYearLabel],67)&lt;&gt;INDEX(Cal_Weeks[MonthYearLabel],66),'Grid_Stock'!BO31,BO31)+'Grid_Incoming'!BP31-'Grid_Requirement'!BP31</f>
        <v/>
      </c>
      <c r="BQ31">
        <f>IF(INDEX(Cal_Weeks[MonthYearLabel],68)&lt;&gt;INDEX(Cal_Weeks[MonthYearLabel],67),'Grid_Stock'!BP31,BP31)+'Grid_Incoming'!BQ31-'Grid_Requirement'!BQ31</f>
        <v/>
      </c>
      <c r="BR31">
        <f>IF(INDEX(Cal_Weeks[MonthYearLabel],69)&lt;&gt;INDEX(Cal_Weeks[MonthYearLabel],68),'Grid_Stock'!BQ31,BQ31)+'Grid_Incoming'!BR31-'Grid_Requirement'!BR31</f>
        <v/>
      </c>
      <c r="BS31">
        <f>IF(INDEX(Cal_Weeks[MonthYearLabel],70)&lt;&gt;INDEX(Cal_Weeks[MonthYearLabel],69),'Grid_Stock'!BR31,BR31)+'Grid_Incoming'!BS31-'Grid_Requirement'!BS31</f>
        <v/>
      </c>
      <c r="BT31">
        <f>IF(INDEX(Cal_Weeks[MonthYearLabel],71)&lt;&gt;INDEX(Cal_Weeks[MonthYearLabel],70),'Grid_Stock'!BS31,BS31)+'Grid_Incoming'!BT31-'Grid_Requirement'!BT31</f>
        <v/>
      </c>
      <c r="BU31">
        <f>IF(INDEX(Cal_Weeks[MonthYearLabel],72)&lt;&gt;INDEX(Cal_Weeks[MonthYearLabel],71),'Grid_Stock'!BT31,BT31)+'Grid_Incoming'!BU31-'Grid_Requirement'!BU31</f>
        <v/>
      </c>
      <c r="BV31">
        <f>IF(INDEX(Cal_Weeks[MonthYearLabel],73)&lt;&gt;INDEX(Cal_Weeks[MonthYearLabel],72),'Grid_Stock'!BU31,BU31)+'Grid_Incoming'!BV31-'Grid_Requirement'!BV31</f>
        <v/>
      </c>
      <c r="BW31">
        <f>IF(INDEX(Cal_Weeks[MonthYearLabel],74)&lt;&gt;INDEX(Cal_Weeks[MonthYearLabel],73),'Grid_Stock'!BV31,BV31)+'Grid_Incoming'!BW31-'Grid_Requirement'!BW31</f>
        <v/>
      </c>
      <c r="BX31">
        <f>IF(INDEX(Cal_Weeks[MonthYearLabel],75)&lt;&gt;INDEX(Cal_Weeks[MonthYearLabel],74),'Grid_Stock'!BW31,BW31)+'Grid_Incoming'!BX31-'Grid_Requirement'!BX31</f>
        <v/>
      </c>
      <c r="BY31">
        <f>IF(INDEX(Cal_Weeks[MonthYearLabel],76)&lt;&gt;INDEX(Cal_Weeks[MonthYearLabel],75),'Grid_Stock'!BX31,BX31)+'Grid_Incoming'!BY31-'Grid_Requirement'!BY31</f>
        <v/>
      </c>
      <c r="BZ31">
        <f>IF(INDEX(Cal_Weeks[MonthYearLabel],77)&lt;&gt;INDEX(Cal_Weeks[MonthYearLabel],76),'Grid_Stock'!BY31,BY31)+'Grid_Incoming'!BZ31-'Grid_Requirement'!BZ31</f>
        <v/>
      </c>
      <c r="CA31">
        <f>IF(INDEX(Cal_Weeks[MonthYearLabel],78)&lt;&gt;INDEX(Cal_Weeks[MonthYearLabel],77),'Grid_Stock'!BZ31,BZ31)+'Grid_Incoming'!CA31-'Grid_Requirement'!CA31</f>
        <v/>
      </c>
      <c r="CB31">
        <f>IF(INDEX(Cal_Weeks[MonthYearLabel],79)&lt;&gt;INDEX(Cal_Weeks[MonthYearLabel],78),'Grid_Stock'!CA31,CA31)+'Grid_Incoming'!CB31-'Grid_Requirement'!CB31</f>
        <v/>
      </c>
      <c r="CC31">
        <f>IF(INDEX(Cal_Weeks[MonthYearLabel],80)&lt;&gt;INDEX(Cal_Weeks[MonthYearLabel],79),'Grid_Stock'!CB31,CB31)+'Grid_Incoming'!CC31-'Grid_Requirement'!CC31</f>
        <v/>
      </c>
      <c r="CD31">
        <f>IF(INDEX(Cal_Weeks[MonthYearLabel],81)&lt;&gt;INDEX(Cal_Weeks[MonthYearLabel],80),'Grid_Stock'!CC31,CC31)+'Grid_Incoming'!CD31-'Grid_Requirement'!CD31</f>
        <v/>
      </c>
      <c r="CE31">
        <f>IF(INDEX(Cal_Weeks[MonthYearLabel],82)&lt;&gt;INDEX(Cal_Weeks[MonthYearLabel],81),'Grid_Stock'!CD31,CD31)+'Grid_Incoming'!CE31-'Grid_Requirement'!CE31</f>
        <v/>
      </c>
      <c r="CF31">
        <f>IF(INDEX(Cal_Weeks[MonthYearLabel],83)&lt;&gt;INDEX(Cal_Weeks[MonthYearLabel],82),'Grid_Stock'!CE31,CE31)+'Grid_Incoming'!CF31-'Grid_Requirement'!CF31</f>
        <v/>
      </c>
      <c r="CG31">
        <f>IF(INDEX(Cal_Weeks[MonthYearLabel],84)&lt;&gt;INDEX(Cal_Weeks[MonthYearLabel],83),'Grid_Stock'!CF31,CF31)+'Grid_Incoming'!CG31-'Grid_Requirement'!CG31</f>
        <v/>
      </c>
      <c r="CH31">
        <f>IF(INDEX(Cal_Weeks[MonthYearLabel],85)&lt;&gt;INDEX(Cal_Weeks[MonthYearLabel],84),'Grid_Stock'!CG31,CG31)+'Grid_Incoming'!CH31-'Grid_Requirement'!CH31</f>
        <v/>
      </c>
      <c r="CI31">
        <f>IF(INDEX(Cal_Weeks[MonthYearLabel],86)&lt;&gt;INDEX(Cal_Weeks[MonthYearLabel],85),'Grid_Stock'!CH31,CH31)+'Grid_Incoming'!CI31-'Grid_Requirement'!CI31</f>
        <v/>
      </c>
      <c r="CJ31">
        <f>IF(INDEX(Cal_Weeks[MonthYearLabel],87)&lt;&gt;INDEX(Cal_Weeks[MonthYearLabel],86),'Grid_Stock'!CI31,CI31)+'Grid_Incoming'!CJ31-'Grid_Requirement'!CJ31</f>
        <v/>
      </c>
      <c r="CK31">
        <f>IF(INDEX(Cal_Weeks[MonthYearLabel],88)&lt;&gt;INDEX(Cal_Weeks[MonthYearLabel],87),'Grid_Stock'!CJ31,CJ31)+'Grid_Incoming'!CK31-'Grid_Requirement'!CK31</f>
        <v/>
      </c>
      <c r="CL31">
        <f>IF(INDEX(Cal_Weeks[MonthYearLabel],89)&lt;&gt;INDEX(Cal_Weeks[MonthYearLabel],88),'Grid_Stock'!CK31,CK31)+'Grid_Incoming'!CL31-'Grid_Requirement'!CL31</f>
        <v/>
      </c>
      <c r="CM31">
        <f>IF(INDEX(Cal_Weeks[MonthYearLabel],90)&lt;&gt;INDEX(Cal_Weeks[MonthYearLabel],89),'Grid_Stock'!CL31,CL31)+'Grid_Incoming'!CM31-'Grid_Requirement'!CM31</f>
        <v/>
      </c>
      <c r="CN31">
        <f>IF(INDEX(Cal_Weeks[MonthYearLabel],91)&lt;&gt;INDEX(Cal_Weeks[MonthYearLabel],90),'Grid_Stock'!CM31,CM31)+'Grid_Incoming'!CN31-'Grid_Requirement'!CN31</f>
        <v/>
      </c>
      <c r="CO31">
        <f>IF(INDEX(Cal_Weeks[MonthYearLabel],92)&lt;&gt;INDEX(Cal_Weeks[MonthYearLabel],91),'Grid_Stock'!CN31,CN31)+'Grid_Incoming'!CO31-'Grid_Requirement'!CO31</f>
        <v/>
      </c>
      <c r="CP31">
        <f>IF(INDEX(Cal_Weeks[MonthYearLabel],93)&lt;&gt;INDEX(Cal_Weeks[MonthYearLabel],92),'Grid_Stock'!CO31,CO31)+'Grid_Incoming'!CP31-'Grid_Requirement'!CP31</f>
        <v/>
      </c>
      <c r="CQ31">
        <f>IF(INDEX(Cal_Weeks[MonthYearLabel],94)&lt;&gt;INDEX(Cal_Weeks[MonthYearLabel],93),'Grid_Stock'!CP31,CP31)+'Grid_Incoming'!CQ31-'Grid_Requirement'!CQ31</f>
        <v/>
      </c>
      <c r="CR31">
        <f>IF(INDEX(Cal_Weeks[MonthYearLabel],95)&lt;&gt;INDEX(Cal_Weeks[MonthYearLabel],94),'Grid_Stock'!CQ31,CQ31)+'Grid_Incoming'!CR31-'Grid_Requirement'!CR31</f>
        <v/>
      </c>
      <c r="CS31">
        <f>IF(INDEX(Cal_Weeks[MonthYearLabel],96)&lt;&gt;INDEX(Cal_Weeks[MonthYearLabel],95),'Grid_Stock'!CR31,CR31)+'Grid_Incoming'!CS31-'Grid_Requirement'!CS31</f>
        <v/>
      </c>
      <c r="CT31">
        <f>IF(INDEX(Cal_Weeks[MonthYearLabel],97)&lt;&gt;INDEX(Cal_Weeks[MonthYearLabel],96),'Grid_Stock'!CS31,CS31)+'Grid_Incoming'!CT31-'Grid_Requirement'!CT31</f>
        <v/>
      </c>
      <c r="CU31">
        <f>IF(INDEX(Cal_Weeks[MonthYearLabel],98)&lt;&gt;INDEX(Cal_Weeks[MonthYearLabel],97),'Grid_Stock'!CT31,CT31)+'Grid_Incoming'!CU31-'Grid_Requirement'!CU31</f>
        <v/>
      </c>
      <c r="CV31">
        <f>IF(INDEX(Cal_Weeks[MonthYearLabel],99)&lt;&gt;INDEX(Cal_Weeks[MonthYearLabel],98),'Grid_Stock'!CU31,CU31)+'Grid_Incoming'!CV31-'Grid_Requirement'!CV31</f>
        <v/>
      </c>
      <c r="CW31">
        <f>IF(INDEX(Cal_Weeks[MonthYearLabel],100)&lt;&gt;INDEX(Cal_Weeks[MonthYearLabel],99),'Grid_Stock'!CV31,CV31)+'Grid_Incoming'!CW31-'Grid_Requirement'!CW31</f>
        <v/>
      </c>
      <c r="CX31">
        <f>IF(INDEX(Cal_Weeks[MonthYearLabel],101)&lt;&gt;INDEX(Cal_Weeks[MonthYearLabel],100),'Grid_Stock'!CW31,CW31)+'Grid_Incoming'!CX31-'Grid_Requirement'!CX31</f>
        <v/>
      </c>
      <c r="CY31">
        <f>IF(INDEX(Cal_Weeks[MonthYearLabel],102)&lt;&gt;INDEX(Cal_Weeks[MonthYearLabel],101),'Grid_Stock'!CX31,CX31)+'Grid_Incoming'!CY31-'Grid_Requirement'!CY31</f>
        <v/>
      </c>
      <c r="CZ31">
        <f>IF(INDEX(Cal_Weeks[MonthYearLabel],103)&lt;&gt;INDEX(Cal_Weeks[MonthYearLabel],102),'Grid_Stock'!CY31,CY31)+'Grid_Incoming'!CZ31-'Grid_Requirement'!CZ31</f>
        <v/>
      </c>
      <c r="DA31">
        <f>IF(INDEX(Cal_Weeks[MonthYearLabel],104)&lt;&gt;INDEX(Cal_Weeks[MonthYearLabel],103),'Grid_Stock'!CZ31,CZ31)+'Grid_Incoming'!DA31-'Grid_Requirement'!DA31</f>
        <v/>
      </c>
    </row>
    <row r="32">
      <c r="A32" t="inlineStr">
        <is>
          <t>CHEM-1780</t>
        </is>
      </c>
      <c r="B32">
        <f>IFERROR(INDEX(T_OpeningStock[Opening_Qty_要入力],MATCH($A32,T_OpeningStock[Part Name],0)),0)+'Grid_Incoming'!B32-'Grid_Requirement'!B32</f>
        <v/>
      </c>
      <c r="C32">
        <f>IF(INDEX(Cal_Weeks[MonthYearLabel],2)&lt;&gt;INDEX(Cal_Weeks[MonthYearLabel],1),'Grid_Stock'!B32,B32)+'Grid_Incoming'!C32-'Grid_Requirement'!C32</f>
        <v/>
      </c>
      <c r="D32">
        <f>IF(INDEX(Cal_Weeks[MonthYearLabel],3)&lt;&gt;INDEX(Cal_Weeks[MonthYearLabel],2),'Grid_Stock'!C32,C32)+'Grid_Incoming'!D32-'Grid_Requirement'!D32</f>
        <v/>
      </c>
      <c r="E32">
        <f>IF(INDEX(Cal_Weeks[MonthYearLabel],4)&lt;&gt;INDEX(Cal_Weeks[MonthYearLabel],3),'Grid_Stock'!D32,D32)+'Grid_Incoming'!E32-'Grid_Requirement'!E32</f>
        <v/>
      </c>
      <c r="F32">
        <f>IF(INDEX(Cal_Weeks[MonthYearLabel],5)&lt;&gt;INDEX(Cal_Weeks[MonthYearLabel],4),'Grid_Stock'!E32,E32)+'Grid_Incoming'!F32-'Grid_Requirement'!F32</f>
        <v/>
      </c>
      <c r="G32">
        <f>IF(INDEX(Cal_Weeks[MonthYearLabel],6)&lt;&gt;INDEX(Cal_Weeks[MonthYearLabel],5),'Grid_Stock'!F32,F32)+'Grid_Incoming'!G32-'Grid_Requirement'!G32</f>
        <v/>
      </c>
      <c r="H32">
        <f>IF(INDEX(Cal_Weeks[MonthYearLabel],7)&lt;&gt;INDEX(Cal_Weeks[MonthYearLabel],6),'Grid_Stock'!G32,G32)+'Grid_Incoming'!H32-'Grid_Requirement'!H32</f>
        <v/>
      </c>
      <c r="I32">
        <f>IF(INDEX(Cal_Weeks[MonthYearLabel],8)&lt;&gt;INDEX(Cal_Weeks[MonthYearLabel],7),'Grid_Stock'!H32,H32)+'Grid_Incoming'!I32-'Grid_Requirement'!I32</f>
        <v/>
      </c>
      <c r="J32">
        <f>IF(INDEX(Cal_Weeks[MonthYearLabel],9)&lt;&gt;INDEX(Cal_Weeks[MonthYearLabel],8),'Grid_Stock'!I32,I32)+'Grid_Incoming'!J32-'Grid_Requirement'!J32</f>
        <v/>
      </c>
      <c r="K32">
        <f>IF(INDEX(Cal_Weeks[MonthYearLabel],10)&lt;&gt;INDEX(Cal_Weeks[MonthYearLabel],9),'Grid_Stock'!J32,J32)+'Grid_Incoming'!K32-'Grid_Requirement'!K32</f>
        <v/>
      </c>
      <c r="L32">
        <f>IF(INDEX(Cal_Weeks[MonthYearLabel],11)&lt;&gt;INDEX(Cal_Weeks[MonthYearLabel],10),'Grid_Stock'!K32,K32)+'Grid_Incoming'!L32-'Grid_Requirement'!L32</f>
        <v/>
      </c>
      <c r="M32">
        <f>IF(INDEX(Cal_Weeks[MonthYearLabel],12)&lt;&gt;INDEX(Cal_Weeks[MonthYearLabel],11),'Grid_Stock'!L32,L32)+'Grid_Incoming'!M32-'Grid_Requirement'!M32</f>
        <v/>
      </c>
      <c r="N32">
        <f>IF(INDEX(Cal_Weeks[MonthYearLabel],13)&lt;&gt;INDEX(Cal_Weeks[MonthYearLabel],12),'Grid_Stock'!M32,M32)+'Grid_Incoming'!N32-'Grid_Requirement'!N32</f>
        <v/>
      </c>
      <c r="O32">
        <f>IF(INDEX(Cal_Weeks[MonthYearLabel],14)&lt;&gt;INDEX(Cal_Weeks[MonthYearLabel],13),'Grid_Stock'!N32,N32)+'Grid_Incoming'!O32-'Grid_Requirement'!O32</f>
        <v/>
      </c>
      <c r="P32">
        <f>IF(INDEX(Cal_Weeks[MonthYearLabel],15)&lt;&gt;INDEX(Cal_Weeks[MonthYearLabel],14),'Grid_Stock'!O32,O32)+'Grid_Incoming'!P32-'Grid_Requirement'!P32</f>
        <v/>
      </c>
      <c r="Q32">
        <f>IF(INDEX(Cal_Weeks[MonthYearLabel],16)&lt;&gt;INDEX(Cal_Weeks[MonthYearLabel],15),'Grid_Stock'!P32,P32)+'Grid_Incoming'!Q32-'Grid_Requirement'!Q32</f>
        <v/>
      </c>
      <c r="R32">
        <f>IF(INDEX(Cal_Weeks[MonthYearLabel],17)&lt;&gt;INDEX(Cal_Weeks[MonthYearLabel],16),'Grid_Stock'!Q32,Q32)+'Grid_Incoming'!R32-'Grid_Requirement'!R32</f>
        <v/>
      </c>
      <c r="S32">
        <f>IF(INDEX(Cal_Weeks[MonthYearLabel],18)&lt;&gt;INDEX(Cal_Weeks[MonthYearLabel],17),'Grid_Stock'!R32,R32)+'Grid_Incoming'!S32-'Grid_Requirement'!S32</f>
        <v/>
      </c>
      <c r="T32">
        <f>IF(INDEX(Cal_Weeks[MonthYearLabel],19)&lt;&gt;INDEX(Cal_Weeks[MonthYearLabel],18),'Grid_Stock'!S32,S32)+'Grid_Incoming'!T32-'Grid_Requirement'!T32</f>
        <v/>
      </c>
      <c r="U32">
        <f>IF(INDEX(Cal_Weeks[MonthYearLabel],20)&lt;&gt;INDEX(Cal_Weeks[MonthYearLabel],19),'Grid_Stock'!T32,T32)+'Grid_Incoming'!U32-'Grid_Requirement'!U32</f>
        <v/>
      </c>
      <c r="V32">
        <f>IF(INDEX(Cal_Weeks[MonthYearLabel],21)&lt;&gt;INDEX(Cal_Weeks[MonthYearLabel],20),'Grid_Stock'!U32,U32)+'Grid_Incoming'!V32-'Grid_Requirement'!V32</f>
        <v/>
      </c>
      <c r="W32">
        <f>IF(INDEX(Cal_Weeks[MonthYearLabel],22)&lt;&gt;INDEX(Cal_Weeks[MonthYearLabel],21),'Grid_Stock'!V32,V32)+'Grid_Incoming'!W32-'Grid_Requirement'!W32</f>
        <v/>
      </c>
      <c r="X32">
        <f>IF(INDEX(Cal_Weeks[MonthYearLabel],23)&lt;&gt;INDEX(Cal_Weeks[MonthYearLabel],22),'Grid_Stock'!W32,W32)+'Grid_Incoming'!X32-'Grid_Requirement'!X32</f>
        <v/>
      </c>
      <c r="Y32">
        <f>IF(INDEX(Cal_Weeks[MonthYearLabel],24)&lt;&gt;INDEX(Cal_Weeks[MonthYearLabel],23),'Grid_Stock'!X32,X32)+'Grid_Incoming'!Y32-'Grid_Requirement'!Y32</f>
        <v/>
      </c>
      <c r="Z32">
        <f>IF(INDEX(Cal_Weeks[MonthYearLabel],25)&lt;&gt;INDEX(Cal_Weeks[MonthYearLabel],24),'Grid_Stock'!Y32,Y32)+'Grid_Incoming'!Z32-'Grid_Requirement'!Z32</f>
        <v/>
      </c>
      <c r="AA32">
        <f>IF(INDEX(Cal_Weeks[MonthYearLabel],26)&lt;&gt;INDEX(Cal_Weeks[MonthYearLabel],25),'Grid_Stock'!Z32,Z32)+'Grid_Incoming'!AA32-'Grid_Requirement'!AA32</f>
        <v/>
      </c>
      <c r="AB32">
        <f>IF(INDEX(Cal_Weeks[MonthYearLabel],27)&lt;&gt;INDEX(Cal_Weeks[MonthYearLabel],26),'Grid_Stock'!AA32,AA32)+'Grid_Incoming'!AB32-'Grid_Requirement'!AB32</f>
        <v/>
      </c>
      <c r="AC32">
        <f>IF(INDEX(Cal_Weeks[MonthYearLabel],28)&lt;&gt;INDEX(Cal_Weeks[MonthYearLabel],27),'Grid_Stock'!AB32,AB32)+'Grid_Incoming'!AC32-'Grid_Requirement'!AC32</f>
        <v/>
      </c>
      <c r="AD32">
        <f>IF(INDEX(Cal_Weeks[MonthYearLabel],29)&lt;&gt;INDEX(Cal_Weeks[MonthYearLabel],28),'Grid_Stock'!AC32,AC32)+'Grid_Incoming'!AD32-'Grid_Requirement'!AD32</f>
        <v/>
      </c>
      <c r="AE32">
        <f>IF(INDEX(Cal_Weeks[MonthYearLabel],30)&lt;&gt;INDEX(Cal_Weeks[MonthYearLabel],29),'Grid_Stock'!AD32,AD32)+'Grid_Incoming'!AE32-'Grid_Requirement'!AE32</f>
        <v/>
      </c>
      <c r="AF32">
        <f>IF(INDEX(Cal_Weeks[MonthYearLabel],31)&lt;&gt;INDEX(Cal_Weeks[MonthYearLabel],30),'Grid_Stock'!AE32,AE32)+'Grid_Incoming'!AF32-'Grid_Requirement'!AF32</f>
        <v/>
      </c>
      <c r="AG32">
        <f>IF(INDEX(Cal_Weeks[MonthYearLabel],32)&lt;&gt;INDEX(Cal_Weeks[MonthYearLabel],31),'Grid_Stock'!AF32,AF32)+'Grid_Incoming'!AG32-'Grid_Requirement'!AG32</f>
        <v/>
      </c>
      <c r="AH32">
        <f>IF(INDEX(Cal_Weeks[MonthYearLabel],33)&lt;&gt;INDEX(Cal_Weeks[MonthYearLabel],32),'Grid_Stock'!AG32,AG32)+'Grid_Incoming'!AH32-'Grid_Requirement'!AH32</f>
        <v/>
      </c>
      <c r="AI32">
        <f>IF(INDEX(Cal_Weeks[MonthYearLabel],34)&lt;&gt;INDEX(Cal_Weeks[MonthYearLabel],33),'Grid_Stock'!AH32,AH32)+'Grid_Incoming'!AI32-'Grid_Requirement'!AI32</f>
        <v/>
      </c>
      <c r="AJ32">
        <f>IF(INDEX(Cal_Weeks[MonthYearLabel],35)&lt;&gt;INDEX(Cal_Weeks[MonthYearLabel],34),'Grid_Stock'!AI32,AI32)+'Grid_Incoming'!AJ32-'Grid_Requirement'!AJ32</f>
        <v/>
      </c>
      <c r="AK32">
        <f>IF(INDEX(Cal_Weeks[MonthYearLabel],36)&lt;&gt;INDEX(Cal_Weeks[MonthYearLabel],35),'Grid_Stock'!AJ32,AJ32)+'Grid_Incoming'!AK32-'Grid_Requirement'!AK32</f>
        <v/>
      </c>
      <c r="AL32">
        <f>IF(INDEX(Cal_Weeks[MonthYearLabel],37)&lt;&gt;INDEX(Cal_Weeks[MonthYearLabel],36),'Grid_Stock'!AK32,AK32)+'Grid_Incoming'!AL32-'Grid_Requirement'!AL32</f>
        <v/>
      </c>
      <c r="AM32">
        <f>IF(INDEX(Cal_Weeks[MonthYearLabel],38)&lt;&gt;INDEX(Cal_Weeks[MonthYearLabel],37),'Grid_Stock'!AL32,AL32)+'Grid_Incoming'!AM32-'Grid_Requirement'!AM32</f>
        <v/>
      </c>
      <c r="AN32">
        <f>IF(INDEX(Cal_Weeks[MonthYearLabel],39)&lt;&gt;INDEX(Cal_Weeks[MonthYearLabel],38),'Grid_Stock'!AM32,AM32)+'Grid_Incoming'!AN32-'Grid_Requirement'!AN32</f>
        <v/>
      </c>
      <c r="AO32">
        <f>IF(INDEX(Cal_Weeks[MonthYearLabel],40)&lt;&gt;INDEX(Cal_Weeks[MonthYearLabel],39),'Grid_Stock'!AN32,AN32)+'Grid_Incoming'!AO32-'Grid_Requirement'!AO32</f>
        <v/>
      </c>
      <c r="AP32">
        <f>IF(INDEX(Cal_Weeks[MonthYearLabel],41)&lt;&gt;INDEX(Cal_Weeks[MonthYearLabel],40),'Grid_Stock'!AO32,AO32)+'Grid_Incoming'!AP32-'Grid_Requirement'!AP32</f>
        <v/>
      </c>
      <c r="AQ32">
        <f>IF(INDEX(Cal_Weeks[MonthYearLabel],42)&lt;&gt;INDEX(Cal_Weeks[MonthYearLabel],41),'Grid_Stock'!AP32,AP32)+'Grid_Incoming'!AQ32-'Grid_Requirement'!AQ32</f>
        <v/>
      </c>
      <c r="AR32">
        <f>IF(INDEX(Cal_Weeks[MonthYearLabel],43)&lt;&gt;INDEX(Cal_Weeks[MonthYearLabel],42),'Grid_Stock'!AQ32,AQ32)+'Grid_Incoming'!AR32-'Grid_Requirement'!AR32</f>
        <v/>
      </c>
      <c r="AS32">
        <f>IF(INDEX(Cal_Weeks[MonthYearLabel],44)&lt;&gt;INDEX(Cal_Weeks[MonthYearLabel],43),'Grid_Stock'!AR32,AR32)+'Grid_Incoming'!AS32-'Grid_Requirement'!AS32</f>
        <v/>
      </c>
      <c r="AT32">
        <f>IF(INDEX(Cal_Weeks[MonthYearLabel],45)&lt;&gt;INDEX(Cal_Weeks[MonthYearLabel],44),'Grid_Stock'!AS32,AS32)+'Grid_Incoming'!AT32-'Grid_Requirement'!AT32</f>
        <v/>
      </c>
      <c r="AU32">
        <f>IF(INDEX(Cal_Weeks[MonthYearLabel],46)&lt;&gt;INDEX(Cal_Weeks[MonthYearLabel],45),'Grid_Stock'!AT32,AT32)+'Grid_Incoming'!AU32-'Grid_Requirement'!AU32</f>
        <v/>
      </c>
      <c r="AV32">
        <f>IF(INDEX(Cal_Weeks[MonthYearLabel],47)&lt;&gt;INDEX(Cal_Weeks[MonthYearLabel],46),'Grid_Stock'!AU32,AU32)+'Grid_Incoming'!AV32-'Grid_Requirement'!AV32</f>
        <v/>
      </c>
      <c r="AW32">
        <f>IF(INDEX(Cal_Weeks[MonthYearLabel],48)&lt;&gt;INDEX(Cal_Weeks[MonthYearLabel],47),'Grid_Stock'!AV32,AV32)+'Grid_Incoming'!AW32-'Grid_Requirement'!AW32</f>
        <v/>
      </c>
      <c r="AX32">
        <f>IF(INDEX(Cal_Weeks[MonthYearLabel],49)&lt;&gt;INDEX(Cal_Weeks[MonthYearLabel],48),'Grid_Stock'!AW32,AW32)+'Grid_Incoming'!AX32-'Grid_Requirement'!AX32</f>
        <v/>
      </c>
      <c r="AY32">
        <f>IF(INDEX(Cal_Weeks[MonthYearLabel],50)&lt;&gt;INDEX(Cal_Weeks[MonthYearLabel],49),'Grid_Stock'!AX32,AX32)+'Grid_Incoming'!AY32-'Grid_Requirement'!AY32</f>
        <v/>
      </c>
      <c r="AZ32">
        <f>IF(INDEX(Cal_Weeks[MonthYearLabel],51)&lt;&gt;INDEX(Cal_Weeks[MonthYearLabel],50),'Grid_Stock'!AY32,AY32)+'Grid_Incoming'!AZ32-'Grid_Requirement'!AZ32</f>
        <v/>
      </c>
      <c r="BA32">
        <f>IF(INDEX(Cal_Weeks[MonthYearLabel],52)&lt;&gt;INDEX(Cal_Weeks[MonthYearLabel],51),'Grid_Stock'!AZ32,AZ32)+'Grid_Incoming'!BA32-'Grid_Requirement'!BA32</f>
        <v/>
      </c>
      <c r="BB32">
        <f>IF(INDEX(Cal_Weeks[MonthYearLabel],53)&lt;&gt;INDEX(Cal_Weeks[MonthYearLabel],52),'Grid_Stock'!BA32,BA32)+'Grid_Incoming'!BB32-'Grid_Requirement'!BB32</f>
        <v/>
      </c>
      <c r="BC32">
        <f>IF(INDEX(Cal_Weeks[MonthYearLabel],54)&lt;&gt;INDEX(Cal_Weeks[MonthYearLabel],53),'Grid_Stock'!BB32,BB32)+'Grid_Incoming'!BC32-'Grid_Requirement'!BC32</f>
        <v/>
      </c>
      <c r="BD32">
        <f>IF(INDEX(Cal_Weeks[MonthYearLabel],55)&lt;&gt;INDEX(Cal_Weeks[MonthYearLabel],54),'Grid_Stock'!BC32,BC32)+'Grid_Incoming'!BD32-'Grid_Requirement'!BD32</f>
        <v/>
      </c>
      <c r="BE32">
        <f>IF(INDEX(Cal_Weeks[MonthYearLabel],56)&lt;&gt;INDEX(Cal_Weeks[MonthYearLabel],55),'Grid_Stock'!BD32,BD32)+'Grid_Incoming'!BE32-'Grid_Requirement'!BE32</f>
        <v/>
      </c>
      <c r="BF32">
        <f>IF(INDEX(Cal_Weeks[MonthYearLabel],57)&lt;&gt;INDEX(Cal_Weeks[MonthYearLabel],56),'Grid_Stock'!BE32,BE32)+'Grid_Incoming'!BF32-'Grid_Requirement'!BF32</f>
        <v/>
      </c>
      <c r="BG32">
        <f>IF(INDEX(Cal_Weeks[MonthYearLabel],58)&lt;&gt;INDEX(Cal_Weeks[MonthYearLabel],57),'Grid_Stock'!BF32,BF32)+'Grid_Incoming'!BG32-'Grid_Requirement'!BG32</f>
        <v/>
      </c>
      <c r="BH32">
        <f>IF(INDEX(Cal_Weeks[MonthYearLabel],59)&lt;&gt;INDEX(Cal_Weeks[MonthYearLabel],58),'Grid_Stock'!BG32,BG32)+'Grid_Incoming'!BH32-'Grid_Requirement'!BH32</f>
        <v/>
      </c>
      <c r="BI32">
        <f>IF(INDEX(Cal_Weeks[MonthYearLabel],60)&lt;&gt;INDEX(Cal_Weeks[MonthYearLabel],59),'Grid_Stock'!BH32,BH32)+'Grid_Incoming'!BI32-'Grid_Requirement'!BI32</f>
        <v/>
      </c>
      <c r="BJ32">
        <f>IF(INDEX(Cal_Weeks[MonthYearLabel],61)&lt;&gt;INDEX(Cal_Weeks[MonthYearLabel],60),'Grid_Stock'!BI32,BI32)+'Grid_Incoming'!BJ32-'Grid_Requirement'!BJ32</f>
        <v/>
      </c>
      <c r="BK32">
        <f>IF(INDEX(Cal_Weeks[MonthYearLabel],62)&lt;&gt;INDEX(Cal_Weeks[MonthYearLabel],61),'Grid_Stock'!BJ32,BJ32)+'Grid_Incoming'!BK32-'Grid_Requirement'!BK32</f>
        <v/>
      </c>
      <c r="BL32">
        <f>IF(INDEX(Cal_Weeks[MonthYearLabel],63)&lt;&gt;INDEX(Cal_Weeks[MonthYearLabel],62),'Grid_Stock'!BK32,BK32)+'Grid_Incoming'!BL32-'Grid_Requirement'!BL32</f>
        <v/>
      </c>
      <c r="BM32">
        <f>IF(INDEX(Cal_Weeks[MonthYearLabel],64)&lt;&gt;INDEX(Cal_Weeks[MonthYearLabel],63),'Grid_Stock'!BL32,BL32)+'Grid_Incoming'!BM32-'Grid_Requirement'!BM32</f>
        <v/>
      </c>
      <c r="BN32">
        <f>IF(INDEX(Cal_Weeks[MonthYearLabel],65)&lt;&gt;INDEX(Cal_Weeks[MonthYearLabel],64),'Grid_Stock'!BM32,BM32)+'Grid_Incoming'!BN32-'Grid_Requirement'!BN32</f>
        <v/>
      </c>
      <c r="BO32">
        <f>IF(INDEX(Cal_Weeks[MonthYearLabel],66)&lt;&gt;INDEX(Cal_Weeks[MonthYearLabel],65),'Grid_Stock'!BN32,BN32)+'Grid_Incoming'!BO32-'Grid_Requirement'!BO32</f>
        <v/>
      </c>
      <c r="BP32">
        <f>IF(INDEX(Cal_Weeks[MonthYearLabel],67)&lt;&gt;INDEX(Cal_Weeks[MonthYearLabel],66),'Grid_Stock'!BO32,BO32)+'Grid_Incoming'!BP32-'Grid_Requirement'!BP32</f>
        <v/>
      </c>
      <c r="BQ32">
        <f>IF(INDEX(Cal_Weeks[MonthYearLabel],68)&lt;&gt;INDEX(Cal_Weeks[MonthYearLabel],67),'Grid_Stock'!BP32,BP32)+'Grid_Incoming'!BQ32-'Grid_Requirement'!BQ32</f>
        <v/>
      </c>
      <c r="BR32">
        <f>IF(INDEX(Cal_Weeks[MonthYearLabel],69)&lt;&gt;INDEX(Cal_Weeks[MonthYearLabel],68),'Grid_Stock'!BQ32,BQ32)+'Grid_Incoming'!BR32-'Grid_Requirement'!BR32</f>
        <v/>
      </c>
      <c r="BS32">
        <f>IF(INDEX(Cal_Weeks[MonthYearLabel],70)&lt;&gt;INDEX(Cal_Weeks[MonthYearLabel],69),'Grid_Stock'!BR32,BR32)+'Grid_Incoming'!BS32-'Grid_Requirement'!BS32</f>
        <v/>
      </c>
      <c r="BT32">
        <f>IF(INDEX(Cal_Weeks[MonthYearLabel],71)&lt;&gt;INDEX(Cal_Weeks[MonthYearLabel],70),'Grid_Stock'!BS32,BS32)+'Grid_Incoming'!BT32-'Grid_Requirement'!BT32</f>
        <v/>
      </c>
      <c r="BU32">
        <f>IF(INDEX(Cal_Weeks[MonthYearLabel],72)&lt;&gt;INDEX(Cal_Weeks[MonthYearLabel],71),'Grid_Stock'!BT32,BT32)+'Grid_Incoming'!BU32-'Grid_Requirement'!BU32</f>
        <v/>
      </c>
      <c r="BV32">
        <f>IF(INDEX(Cal_Weeks[MonthYearLabel],73)&lt;&gt;INDEX(Cal_Weeks[MonthYearLabel],72),'Grid_Stock'!BU32,BU32)+'Grid_Incoming'!BV32-'Grid_Requirement'!BV32</f>
        <v/>
      </c>
      <c r="BW32">
        <f>IF(INDEX(Cal_Weeks[MonthYearLabel],74)&lt;&gt;INDEX(Cal_Weeks[MonthYearLabel],73),'Grid_Stock'!BV32,BV32)+'Grid_Incoming'!BW32-'Grid_Requirement'!BW32</f>
        <v/>
      </c>
      <c r="BX32">
        <f>IF(INDEX(Cal_Weeks[MonthYearLabel],75)&lt;&gt;INDEX(Cal_Weeks[MonthYearLabel],74),'Grid_Stock'!BW32,BW32)+'Grid_Incoming'!BX32-'Grid_Requirement'!BX32</f>
        <v/>
      </c>
      <c r="BY32">
        <f>IF(INDEX(Cal_Weeks[MonthYearLabel],76)&lt;&gt;INDEX(Cal_Weeks[MonthYearLabel],75),'Grid_Stock'!BX32,BX32)+'Grid_Incoming'!BY32-'Grid_Requirement'!BY32</f>
        <v/>
      </c>
      <c r="BZ32">
        <f>IF(INDEX(Cal_Weeks[MonthYearLabel],77)&lt;&gt;INDEX(Cal_Weeks[MonthYearLabel],76),'Grid_Stock'!BY32,BY32)+'Grid_Incoming'!BZ32-'Grid_Requirement'!BZ32</f>
        <v/>
      </c>
      <c r="CA32">
        <f>IF(INDEX(Cal_Weeks[MonthYearLabel],78)&lt;&gt;INDEX(Cal_Weeks[MonthYearLabel],77),'Grid_Stock'!BZ32,BZ32)+'Grid_Incoming'!CA32-'Grid_Requirement'!CA32</f>
        <v/>
      </c>
      <c r="CB32">
        <f>IF(INDEX(Cal_Weeks[MonthYearLabel],79)&lt;&gt;INDEX(Cal_Weeks[MonthYearLabel],78),'Grid_Stock'!CA32,CA32)+'Grid_Incoming'!CB32-'Grid_Requirement'!CB32</f>
        <v/>
      </c>
      <c r="CC32">
        <f>IF(INDEX(Cal_Weeks[MonthYearLabel],80)&lt;&gt;INDEX(Cal_Weeks[MonthYearLabel],79),'Grid_Stock'!CB32,CB32)+'Grid_Incoming'!CC32-'Grid_Requirement'!CC32</f>
        <v/>
      </c>
      <c r="CD32">
        <f>IF(INDEX(Cal_Weeks[MonthYearLabel],81)&lt;&gt;INDEX(Cal_Weeks[MonthYearLabel],80),'Grid_Stock'!CC32,CC32)+'Grid_Incoming'!CD32-'Grid_Requirement'!CD32</f>
        <v/>
      </c>
      <c r="CE32">
        <f>IF(INDEX(Cal_Weeks[MonthYearLabel],82)&lt;&gt;INDEX(Cal_Weeks[MonthYearLabel],81),'Grid_Stock'!CD32,CD32)+'Grid_Incoming'!CE32-'Grid_Requirement'!CE32</f>
        <v/>
      </c>
      <c r="CF32">
        <f>IF(INDEX(Cal_Weeks[MonthYearLabel],83)&lt;&gt;INDEX(Cal_Weeks[MonthYearLabel],82),'Grid_Stock'!CE32,CE32)+'Grid_Incoming'!CF32-'Grid_Requirement'!CF32</f>
        <v/>
      </c>
      <c r="CG32">
        <f>IF(INDEX(Cal_Weeks[MonthYearLabel],84)&lt;&gt;INDEX(Cal_Weeks[MonthYearLabel],83),'Grid_Stock'!CF32,CF32)+'Grid_Incoming'!CG32-'Grid_Requirement'!CG32</f>
        <v/>
      </c>
      <c r="CH32">
        <f>IF(INDEX(Cal_Weeks[MonthYearLabel],85)&lt;&gt;INDEX(Cal_Weeks[MonthYearLabel],84),'Grid_Stock'!CG32,CG32)+'Grid_Incoming'!CH32-'Grid_Requirement'!CH32</f>
        <v/>
      </c>
      <c r="CI32">
        <f>IF(INDEX(Cal_Weeks[MonthYearLabel],86)&lt;&gt;INDEX(Cal_Weeks[MonthYearLabel],85),'Grid_Stock'!CH32,CH32)+'Grid_Incoming'!CI32-'Grid_Requirement'!CI32</f>
        <v/>
      </c>
      <c r="CJ32">
        <f>IF(INDEX(Cal_Weeks[MonthYearLabel],87)&lt;&gt;INDEX(Cal_Weeks[MonthYearLabel],86),'Grid_Stock'!CI32,CI32)+'Grid_Incoming'!CJ32-'Grid_Requirement'!CJ32</f>
        <v/>
      </c>
      <c r="CK32">
        <f>IF(INDEX(Cal_Weeks[MonthYearLabel],88)&lt;&gt;INDEX(Cal_Weeks[MonthYearLabel],87),'Grid_Stock'!CJ32,CJ32)+'Grid_Incoming'!CK32-'Grid_Requirement'!CK32</f>
        <v/>
      </c>
      <c r="CL32">
        <f>IF(INDEX(Cal_Weeks[MonthYearLabel],89)&lt;&gt;INDEX(Cal_Weeks[MonthYearLabel],88),'Grid_Stock'!CK32,CK32)+'Grid_Incoming'!CL32-'Grid_Requirement'!CL32</f>
        <v/>
      </c>
      <c r="CM32">
        <f>IF(INDEX(Cal_Weeks[MonthYearLabel],90)&lt;&gt;INDEX(Cal_Weeks[MonthYearLabel],89),'Grid_Stock'!CL32,CL32)+'Grid_Incoming'!CM32-'Grid_Requirement'!CM32</f>
        <v/>
      </c>
      <c r="CN32">
        <f>IF(INDEX(Cal_Weeks[MonthYearLabel],91)&lt;&gt;INDEX(Cal_Weeks[MonthYearLabel],90),'Grid_Stock'!CM32,CM32)+'Grid_Incoming'!CN32-'Grid_Requirement'!CN32</f>
        <v/>
      </c>
      <c r="CO32">
        <f>IF(INDEX(Cal_Weeks[MonthYearLabel],92)&lt;&gt;INDEX(Cal_Weeks[MonthYearLabel],91),'Grid_Stock'!CN32,CN32)+'Grid_Incoming'!CO32-'Grid_Requirement'!CO32</f>
        <v/>
      </c>
      <c r="CP32">
        <f>IF(INDEX(Cal_Weeks[MonthYearLabel],93)&lt;&gt;INDEX(Cal_Weeks[MonthYearLabel],92),'Grid_Stock'!CO32,CO32)+'Grid_Incoming'!CP32-'Grid_Requirement'!CP32</f>
        <v/>
      </c>
      <c r="CQ32">
        <f>IF(INDEX(Cal_Weeks[MonthYearLabel],94)&lt;&gt;INDEX(Cal_Weeks[MonthYearLabel],93),'Grid_Stock'!CP32,CP32)+'Grid_Incoming'!CQ32-'Grid_Requirement'!CQ32</f>
        <v/>
      </c>
      <c r="CR32">
        <f>IF(INDEX(Cal_Weeks[MonthYearLabel],95)&lt;&gt;INDEX(Cal_Weeks[MonthYearLabel],94),'Grid_Stock'!CQ32,CQ32)+'Grid_Incoming'!CR32-'Grid_Requirement'!CR32</f>
        <v/>
      </c>
      <c r="CS32">
        <f>IF(INDEX(Cal_Weeks[MonthYearLabel],96)&lt;&gt;INDEX(Cal_Weeks[MonthYearLabel],95),'Grid_Stock'!CR32,CR32)+'Grid_Incoming'!CS32-'Grid_Requirement'!CS32</f>
        <v/>
      </c>
      <c r="CT32">
        <f>IF(INDEX(Cal_Weeks[MonthYearLabel],97)&lt;&gt;INDEX(Cal_Weeks[MonthYearLabel],96),'Grid_Stock'!CS32,CS32)+'Grid_Incoming'!CT32-'Grid_Requirement'!CT32</f>
        <v/>
      </c>
      <c r="CU32">
        <f>IF(INDEX(Cal_Weeks[MonthYearLabel],98)&lt;&gt;INDEX(Cal_Weeks[MonthYearLabel],97),'Grid_Stock'!CT32,CT32)+'Grid_Incoming'!CU32-'Grid_Requirement'!CU32</f>
        <v/>
      </c>
      <c r="CV32">
        <f>IF(INDEX(Cal_Weeks[MonthYearLabel],99)&lt;&gt;INDEX(Cal_Weeks[MonthYearLabel],98),'Grid_Stock'!CU32,CU32)+'Grid_Incoming'!CV32-'Grid_Requirement'!CV32</f>
        <v/>
      </c>
      <c r="CW32">
        <f>IF(INDEX(Cal_Weeks[MonthYearLabel],100)&lt;&gt;INDEX(Cal_Weeks[MonthYearLabel],99),'Grid_Stock'!CV32,CV32)+'Grid_Incoming'!CW32-'Grid_Requirement'!CW32</f>
        <v/>
      </c>
      <c r="CX32">
        <f>IF(INDEX(Cal_Weeks[MonthYearLabel],101)&lt;&gt;INDEX(Cal_Weeks[MonthYearLabel],100),'Grid_Stock'!CW32,CW32)+'Grid_Incoming'!CX32-'Grid_Requirement'!CX32</f>
        <v/>
      </c>
      <c r="CY32">
        <f>IF(INDEX(Cal_Weeks[MonthYearLabel],102)&lt;&gt;INDEX(Cal_Weeks[MonthYearLabel],101),'Grid_Stock'!CX32,CX32)+'Grid_Incoming'!CY32-'Grid_Requirement'!CY32</f>
        <v/>
      </c>
      <c r="CZ32">
        <f>IF(INDEX(Cal_Weeks[MonthYearLabel],103)&lt;&gt;INDEX(Cal_Weeks[MonthYearLabel],102),'Grid_Stock'!CY32,CY32)+'Grid_Incoming'!CZ32-'Grid_Requirement'!CZ32</f>
        <v/>
      </c>
      <c r="DA32">
        <f>IF(INDEX(Cal_Weeks[MonthYearLabel],104)&lt;&gt;INDEX(Cal_Weeks[MonthYearLabel],103),'Grid_Stock'!CZ32,CZ32)+'Grid_Incoming'!DA32-'Grid_Requirement'!DA32</f>
        <v/>
      </c>
    </row>
    <row r="33">
      <c r="A33" t="inlineStr">
        <is>
          <t>CHEM-1400</t>
        </is>
      </c>
      <c r="B33">
        <f>IFERROR(INDEX(T_OpeningStock[Opening_Qty_要入力],MATCH($A33,T_OpeningStock[Part Name],0)),0)+'Grid_Incoming'!B33-'Grid_Requirement'!B33</f>
        <v/>
      </c>
      <c r="C33">
        <f>IF(INDEX(Cal_Weeks[MonthYearLabel],2)&lt;&gt;INDEX(Cal_Weeks[MonthYearLabel],1),'Grid_Stock'!B33,B33)+'Grid_Incoming'!C33-'Grid_Requirement'!C33</f>
        <v/>
      </c>
      <c r="D33">
        <f>IF(INDEX(Cal_Weeks[MonthYearLabel],3)&lt;&gt;INDEX(Cal_Weeks[MonthYearLabel],2),'Grid_Stock'!C33,C33)+'Grid_Incoming'!D33-'Grid_Requirement'!D33</f>
        <v/>
      </c>
      <c r="E33">
        <f>IF(INDEX(Cal_Weeks[MonthYearLabel],4)&lt;&gt;INDEX(Cal_Weeks[MonthYearLabel],3),'Grid_Stock'!D33,D33)+'Grid_Incoming'!E33-'Grid_Requirement'!E33</f>
        <v/>
      </c>
      <c r="F33">
        <f>IF(INDEX(Cal_Weeks[MonthYearLabel],5)&lt;&gt;INDEX(Cal_Weeks[MonthYearLabel],4),'Grid_Stock'!E33,E33)+'Grid_Incoming'!F33-'Grid_Requirement'!F33</f>
        <v/>
      </c>
      <c r="G33">
        <f>IF(INDEX(Cal_Weeks[MonthYearLabel],6)&lt;&gt;INDEX(Cal_Weeks[MonthYearLabel],5),'Grid_Stock'!F33,F33)+'Grid_Incoming'!G33-'Grid_Requirement'!G33</f>
        <v/>
      </c>
      <c r="H33">
        <f>IF(INDEX(Cal_Weeks[MonthYearLabel],7)&lt;&gt;INDEX(Cal_Weeks[MonthYearLabel],6),'Grid_Stock'!G33,G33)+'Grid_Incoming'!H33-'Grid_Requirement'!H33</f>
        <v/>
      </c>
      <c r="I33">
        <f>IF(INDEX(Cal_Weeks[MonthYearLabel],8)&lt;&gt;INDEX(Cal_Weeks[MonthYearLabel],7),'Grid_Stock'!H33,H33)+'Grid_Incoming'!I33-'Grid_Requirement'!I33</f>
        <v/>
      </c>
      <c r="J33">
        <f>IF(INDEX(Cal_Weeks[MonthYearLabel],9)&lt;&gt;INDEX(Cal_Weeks[MonthYearLabel],8),'Grid_Stock'!I33,I33)+'Grid_Incoming'!J33-'Grid_Requirement'!J33</f>
        <v/>
      </c>
      <c r="K33">
        <f>IF(INDEX(Cal_Weeks[MonthYearLabel],10)&lt;&gt;INDEX(Cal_Weeks[MonthYearLabel],9),'Grid_Stock'!J33,J33)+'Grid_Incoming'!K33-'Grid_Requirement'!K33</f>
        <v/>
      </c>
      <c r="L33">
        <f>IF(INDEX(Cal_Weeks[MonthYearLabel],11)&lt;&gt;INDEX(Cal_Weeks[MonthYearLabel],10),'Grid_Stock'!K33,K33)+'Grid_Incoming'!L33-'Grid_Requirement'!L33</f>
        <v/>
      </c>
      <c r="M33">
        <f>IF(INDEX(Cal_Weeks[MonthYearLabel],12)&lt;&gt;INDEX(Cal_Weeks[MonthYearLabel],11),'Grid_Stock'!L33,L33)+'Grid_Incoming'!M33-'Grid_Requirement'!M33</f>
        <v/>
      </c>
      <c r="N33">
        <f>IF(INDEX(Cal_Weeks[MonthYearLabel],13)&lt;&gt;INDEX(Cal_Weeks[MonthYearLabel],12),'Grid_Stock'!M33,M33)+'Grid_Incoming'!N33-'Grid_Requirement'!N33</f>
        <v/>
      </c>
      <c r="O33">
        <f>IF(INDEX(Cal_Weeks[MonthYearLabel],14)&lt;&gt;INDEX(Cal_Weeks[MonthYearLabel],13),'Grid_Stock'!N33,N33)+'Grid_Incoming'!O33-'Grid_Requirement'!O33</f>
        <v/>
      </c>
      <c r="P33">
        <f>IF(INDEX(Cal_Weeks[MonthYearLabel],15)&lt;&gt;INDEX(Cal_Weeks[MonthYearLabel],14),'Grid_Stock'!O33,O33)+'Grid_Incoming'!P33-'Grid_Requirement'!P33</f>
        <v/>
      </c>
      <c r="Q33">
        <f>IF(INDEX(Cal_Weeks[MonthYearLabel],16)&lt;&gt;INDEX(Cal_Weeks[MonthYearLabel],15),'Grid_Stock'!P33,P33)+'Grid_Incoming'!Q33-'Grid_Requirement'!Q33</f>
        <v/>
      </c>
      <c r="R33">
        <f>IF(INDEX(Cal_Weeks[MonthYearLabel],17)&lt;&gt;INDEX(Cal_Weeks[MonthYearLabel],16),'Grid_Stock'!Q33,Q33)+'Grid_Incoming'!R33-'Grid_Requirement'!R33</f>
        <v/>
      </c>
      <c r="S33">
        <f>IF(INDEX(Cal_Weeks[MonthYearLabel],18)&lt;&gt;INDEX(Cal_Weeks[MonthYearLabel],17),'Grid_Stock'!R33,R33)+'Grid_Incoming'!S33-'Grid_Requirement'!S33</f>
        <v/>
      </c>
      <c r="T33">
        <f>IF(INDEX(Cal_Weeks[MonthYearLabel],19)&lt;&gt;INDEX(Cal_Weeks[MonthYearLabel],18),'Grid_Stock'!S33,S33)+'Grid_Incoming'!T33-'Grid_Requirement'!T33</f>
        <v/>
      </c>
      <c r="U33">
        <f>IF(INDEX(Cal_Weeks[MonthYearLabel],20)&lt;&gt;INDEX(Cal_Weeks[MonthYearLabel],19),'Grid_Stock'!T33,T33)+'Grid_Incoming'!U33-'Grid_Requirement'!U33</f>
        <v/>
      </c>
      <c r="V33">
        <f>IF(INDEX(Cal_Weeks[MonthYearLabel],21)&lt;&gt;INDEX(Cal_Weeks[MonthYearLabel],20),'Grid_Stock'!U33,U33)+'Grid_Incoming'!V33-'Grid_Requirement'!V33</f>
        <v/>
      </c>
      <c r="W33">
        <f>IF(INDEX(Cal_Weeks[MonthYearLabel],22)&lt;&gt;INDEX(Cal_Weeks[MonthYearLabel],21),'Grid_Stock'!V33,V33)+'Grid_Incoming'!W33-'Grid_Requirement'!W33</f>
        <v/>
      </c>
      <c r="X33">
        <f>IF(INDEX(Cal_Weeks[MonthYearLabel],23)&lt;&gt;INDEX(Cal_Weeks[MonthYearLabel],22),'Grid_Stock'!W33,W33)+'Grid_Incoming'!X33-'Grid_Requirement'!X33</f>
        <v/>
      </c>
      <c r="Y33">
        <f>IF(INDEX(Cal_Weeks[MonthYearLabel],24)&lt;&gt;INDEX(Cal_Weeks[MonthYearLabel],23),'Grid_Stock'!X33,X33)+'Grid_Incoming'!Y33-'Grid_Requirement'!Y33</f>
        <v/>
      </c>
      <c r="Z33">
        <f>IF(INDEX(Cal_Weeks[MonthYearLabel],25)&lt;&gt;INDEX(Cal_Weeks[MonthYearLabel],24),'Grid_Stock'!Y33,Y33)+'Grid_Incoming'!Z33-'Grid_Requirement'!Z33</f>
        <v/>
      </c>
      <c r="AA33">
        <f>IF(INDEX(Cal_Weeks[MonthYearLabel],26)&lt;&gt;INDEX(Cal_Weeks[MonthYearLabel],25),'Grid_Stock'!Z33,Z33)+'Grid_Incoming'!AA33-'Grid_Requirement'!AA33</f>
        <v/>
      </c>
      <c r="AB33">
        <f>IF(INDEX(Cal_Weeks[MonthYearLabel],27)&lt;&gt;INDEX(Cal_Weeks[MonthYearLabel],26),'Grid_Stock'!AA33,AA33)+'Grid_Incoming'!AB33-'Grid_Requirement'!AB33</f>
        <v/>
      </c>
      <c r="AC33">
        <f>IF(INDEX(Cal_Weeks[MonthYearLabel],28)&lt;&gt;INDEX(Cal_Weeks[MonthYearLabel],27),'Grid_Stock'!AB33,AB33)+'Grid_Incoming'!AC33-'Grid_Requirement'!AC33</f>
        <v/>
      </c>
      <c r="AD33">
        <f>IF(INDEX(Cal_Weeks[MonthYearLabel],29)&lt;&gt;INDEX(Cal_Weeks[MonthYearLabel],28),'Grid_Stock'!AC33,AC33)+'Grid_Incoming'!AD33-'Grid_Requirement'!AD33</f>
        <v/>
      </c>
      <c r="AE33">
        <f>IF(INDEX(Cal_Weeks[MonthYearLabel],30)&lt;&gt;INDEX(Cal_Weeks[MonthYearLabel],29),'Grid_Stock'!AD33,AD33)+'Grid_Incoming'!AE33-'Grid_Requirement'!AE33</f>
        <v/>
      </c>
      <c r="AF33">
        <f>IF(INDEX(Cal_Weeks[MonthYearLabel],31)&lt;&gt;INDEX(Cal_Weeks[MonthYearLabel],30),'Grid_Stock'!AE33,AE33)+'Grid_Incoming'!AF33-'Grid_Requirement'!AF33</f>
        <v/>
      </c>
      <c r="AG33">
        <f>IF(INDEX(Cal_Weeks[MonthYearLabel],32)&lt;&gt;INDEX(Cal_Weeks[MonthYearLabel],31),'Grid_Stock'!AF33,AF33)+'Grid_Incoming'!AG33-'Grid_Requirement'!AG33</f>
        <v/>
      </c>
      <c r="AH33">
        <f>IF(INDEX(Cal_Weeks[MonthYearLabel],33)&lt;&gt;INDEX(Cal_Weeks[MonthYearLabel],32),'Grid_Stock'!AG33,AG33)+'Grid_Incoming'!AH33-'Grid_Requirement'!AH33</f>
        <v/>
      </c>
      <c r="AI33">
        <f>IF(INDEX(Cal_Weeks[MonthYearLabel],34)&lt;&gt;INDEX(Cal_Weeks[MonthYearLabel],33),'Grid_Stock'!AH33,AH33)+'Grid_Incoming'!AI33-'Grid_Requirement'!AI33</f>
        <v/>
      </c>
      <c r="AJ33">
        <f>IF(INDEX(Cal_Weeks[MonthYearLabel],35)&lt;&gt;INDEX(Cal_Weeks[MonthYearLabel],34),'Grid_Stock'!AI33,AI33)+'Grid_Incoming'!AJ33-'Grid_Requirement'!AJ33</f>
        <v/>
      </c>
      <c r="AK33">
        <f>IF(INDEX(Cal_Weeks[MonthYearLabel],36)&lt;&gt;INDEX(Cal_Weeks[MonthYearLabel],35),'Grid_Stock'!AJ33,AJ33)+'Grid_Incoming'!AK33-'Grid_Requirement'!AK33</f>
        <v/>
      </c>
      <c r="AL33">
        <f>IF(INDEX(Cal_Weeks[MonthYearLabel],37)&lt;&gt;INDEX(Cal_Weeks[MonthYearLabel],36),'Grid_Stock'!AK33,AK33)+'Grid_Incoming'!AL33-'Grid_Requirement'!AL33</f>
        <v/>
      </c>
      <c r="AM33">
        <f>IF(INDEX(Cal_Weeks[MonthYearLabel],38)&lt;&gt;INDEX(Cal_Weeks[MonthYearLabel],37),'Grid_Stock'!AL33,AL33)+'Grid_Incoming'!AM33-'Grid_Requirement'!AM33</f>
        <v/>
      </c>
      <c r="AN33">
        <f>IF(INDEX(Cal_Weeks[MonthYearLabel],39)&lt;&gt;INDEX(Cal_Weeks[MonthYearLabel],38),'Grid_Stock'!AM33,AM33)+'Grid_Incoming'!AN33-'Grid_Requirement'!AN33</f>
        <v/>
      </c>
      <c r="AO33">
        <f>IF(INDEX(Cal_Weeks[MonthYearLabel],40)&lt;&gt;INDEX(Cal_Weeks[MonthYearLabel],39),'Grid_Stock'!AN33,AN33)+'Grid_Incoming'!AO33-'Grid_Requirement'!AO33</f>
        <v/>
      </c>
      <c r="AP33">
        <f>IF(INDEX(Cal_Weeks[MonthYearLabel],41)&lt;&gt;INDEX(Cal_Weeks[MonthYearLabel],40),'Grid_Stock'!AO33,AO33)+'Grid_Incoming'!AP33-'Grid_Requirement'!AP33</f>
        <v/>
      </c>
      <c r="AQ33">
        <f>IF(INDEX(Cal_Weeks[MonthYearLabel],42)&lt;&gt;INDEX(Cal_Weeks[MonthYearLabel],41),'Grid_Stock'!AP33,AP33)+'Grid_Incoming'!AQ33-'Grid_Requirement'!AQ33</f>
        <v/>
      </c>
      <c r="AR33">
        <f>IF(INDEX(Cal_Weeks[MonthYearLabel],43)&lt;&gt;INDEX(Cal_Weeks[MonthYearLabel],42),'Grid_Stock'!AQ33,AQ33)+'Grid_Incoming'!AR33-'Grid_Requirement'!AR33</f>
        <v/>
      </c>
      <c r="AS33">
        <f>IF(INDEX(Cal_Weeks[MonthYearLabel],44)&lt;&gt;INDEX(Cal_Weeks[MonthYearLabel],43),'Grid_Stock'!AR33,AR33)+'Grid_Incoming'!AS33-'Grid_Requirement'!AS33</f>
        <v/>
      </c>
      <c r="AT33">
        <f>IF(INDEX(Cal_Weeks[MonthYearLabel],45)&lt;&gt;INDEX(Cal_Weeks[MonthYearLabel],44),'Grid_Stock'!AS33,AS33)+'Grid_Incoming'!AT33-'Grid_Requirement'!AT33</f>
        <v/>
      </c>
      <c r="AU33">
        <f>IF(INDEX(Cal_Weeks[MonthYearLabel],46)&lt;&gt;INDEX(Cal_Weeks[MonthYearLabel],45),'Grid_Stock'!AT33,AT33)+'Grid_Incoming'!AU33-'Grid_Requirement'!AU33</f>
        <v/>
      </c>
      <c r="AV33">
        <f>IF(INDEX(Cal_Weeks[MonthYearLabel],47)&lt;&gt;INDEX(Cal_Weeks[MonthYearLabel],46),'Grid_Stock'!AU33,AU33)+'Grid_Incoming'!AV33-'Grid_Requirement'!AV33</f>
        <v/>
      </c>
      <c r="AW33">
        <f>IF(INDEX(Cal_Weeks[MonthYearLabel],48)&lt;&gt;INDEX(Cal_Weeks[MonthYearLabel],47),'Grid_Stock'!AV33,AV33)+'Grid_Incoming'!AW33-'Grid_Requirement'!AW33</f>
        <v/>
      </c>
      <c r="AX33">
        <f>IF(INDEX(Cal_Weeks[MonthYearLabel],49)&lt;&gt;INDEX(Cal_Weeks[MonthYearLabel],48),'Grid_Stock'!AW33,AW33)+'Grid_Incoming'!AX33-'Grid_Requirement'!AX33</f>
        <v/>
      </c>
      <c r="AY33">
        <f>IF(INDEX(Cal_Weeks[MonthYearLabel],50)&lt;&gt;INDEX(Cal_Weeks[MonthYearLabel],49),'Grid_Stock'!AX33,AX33)+'Grid_Incoming'!AY33-'Grid_Requirement'!AY33</f>
        <v/>
      </c>
      <c r="AZ33">
        <f>IF(INDEX(Cal_Weeks[MonthYearLabel],51)&lt;&gt;INDEX(Cal_Weeks[MonthYearLabel],50),'Grid_Stock'!AY33,AY33)+'Grid_Incoming'!AZ33-'Grid_Requirement'!AZ33</f>
        <v/>
      </c>
      <c r="BA33">
        <f>IF(INDEX(Cal_Weeks[MonthYearLabel],52)&lt;&gt;INDEX(Cal_Weeks[MonthYearLabel],51),'Grid_Stock'!AZ33,AZ33)+'Grid_Incoming'!BA33-'Grid_Requirement'!BA33</f>
        <v/>
      </c>
      <c r="BB33">
        <f>IF(INDEX(Cal_Weeks[MonthYearLabel],53)&lt;&gt;INDEX(Cal_Weeks[MonthYearLabel],52),'Grid_Stock'!BA33,BA33)+'Grid_Incoming'!BB33-'Grid_Requirement'!BB33</f>
        <v/>
      </c>
      <c r="BC33">
        <f>IF(INDEX(Cal_Weeks[MonthYearLabel],54)&lt;&gt;INDEX(Cal_Weeks[MonthYearLabel],53),'Grid_Stock'!BB33,BB33)+'Grid_Incoming'!BC33-'Grid_Requirement'!BC33</f>
        <v/>
      </c>
      <c r="BD33">
        <f>IF(INDEX(Cal_Weeks[MonthYearLabel],55)&lt;&gt;INDEX(Cal_Weeks[MonthYearLabel],54),'Grid_Stock'!BC33,BC33)+'Grid_Incoming'!BD33-'Grid_Requirement'!BD33</f>
        <v/>
      </c>
      <c r="BE33">
        <f>IF(INDEX(Cal_Weeks[MonthYearLabel],56)&lt;&gt;INDEX(Cal_Weeks[MonthYearLabel],55),'Grid_Stock'!BD33,BD33)+'Grid_Incoming'!BE33-'Grid_Requirement'!BE33</f>
        <v/>
      </c>
      <c r="BF33">
        <f>IF(INDEX(Cal_Weeks[MonthYearLabel],57)&lt;&gt;INDEX(Cal_Weeks[MonthYearLabel],56),'Grid_Stock'!BE33,BE33)+'Grid_Incoming'!BF33-'Grid_Requirement'!BF33</f>
        <v/>
      </c>
      <c r="BG33">
        <f>IF(INDEX(Cal_Weeks[MonthYearLabel],58)&lt;&gt;INDEX(Cal_Weeks[MonthYearLabel],57),'Grid_Stock'!BF33,BF33)+'Grid_Incoming'!BG33-'Grid_Requirement'!BG33</f>
        <v/>
      </c>
      <c r="BH33">
        <f>IF(INDEX(Cal_Weeks[MonthYearLabel],59)&lt;&gt;INDEX(Cal_Weeks[MonthYearLabel],58),'Grid_Stock'!BG33,BG33)+'Grid_Incoming'!BH33-'Grid_Requirement'!BH33</f>
        <v/>
      </c>
      <c r="BI33">
        <f>IF(INDEX(Cal_Weeks[MonthYearLabel],60)&lt;&gt;INDEX(Cal_Weeks[MonthYearLabel],59),'Grid_Stock'!BH33,BH33)+'Grid_Incoming'!BI33-'Grid_Requirement'!BI33</f>
        <v/>
      </c>
      <c r="BJ33">
        <f>IF(INDEX(Cal_Weeks[MonthYearLabel],61)&lt;&gt;INDEX(Cal_Weeks[MonthYearLabel],60),'Grid_Stock'!BI33,BI33)+'Grid_Incoming'!BJ33-'Grid_Requirement'!BJ33</f>
        <v/>
      </c>
      <c r="BK33">
        <f>IF(INDEX(Cal_Weeks[MonthYearLabel],62)&lt;&gt;INDEX(Cal_Weeks[MonthYearLabel],61),'Grid_Stock'!BJ33,BJ33)+'Grid_Incoming'!BK33-'Grid_Requirement'!BK33</f>
        <v/>
      </c>
      <c r="BL33">
        <f>IF(INDEX(Cal_Weeks[MonthYearLabel],63)&lt;&gt;INDEX(Cal_Weeks[MonthYearLabel],62),'Grid_Stock'!BK33,BK33)+'Grid_Incoming'!BL33-'Grid_Requirement'!BL33</f>
        <v/>
      </c>
      <c r="BM33">
        <f>IF(INDEX(Cal_Weeks[MonthYearLabel],64)&lt;&gt;INDEX(Cal_Weeks[MonthYearLabel],63),'Grid_Stock'!BL33,BL33)+'Grid_Incoming'!BM33-'Grid_Requirement'!BM33</f>
        <v/>
      </c>
      <c r="BN33">
        <f>IF(INDEX(Cal_Weeks[MonthYearLabel],65)&lt;&gt;INDEX(Cal_Weeks[MonthYearLabel],64),'Grid_Stock'!BM33,BM33)+'Grid_Incoming'!BN33-'Grid_Requirement'!BN33</f>
        <v/>
      </c>
      <c r="BO33">
        <f>IF(INDEX(Cal_Weeks[MonthYearLabel],66)&lt;&gt;INDEX(Cal_Weeks[MonthYearLabel],65),'Grid_Stock'!BN33,BN33)+'Grid_Incoming'!BO33-'Grid_Requirement'!BO33</f>
        <v/>
      </c>
      <c r="BP33">
        <f>IF(INDEX(Cal_Weeks[MonthYearLabel],67)&lt;&gt;INDEX(Cal_Weeks[MonthYearLabel],66),'Grid_Stock'!BO33,BO33)+'Grid_Incoming'!BP33-'Grid_Requirement'!BP33</f>
        <v/>
      </c>
      <c r="BQ33">
        <f>IF(INDEX(Cal_Weeks[MonthYearLabel],68)&lt;&gt;INDEX(Cal_Weeks[MonthYearLabel],67),'Grid_Stock'!BP33,BP33)+'Grid_Incoming'!BQ33-'Grid_Requirement'!BQ33</f>
        <v/>
      </c>
      <c r="BR33">
        <f>IF(INDEX(Cal_Weeks[MonthYearLabel],69)&lt;&gt;INDEX(Cal_Weeks[MonthYearLabel],68),'Grid_Stock'!BQ33,BQ33)+'Grid_Incoming'!BR33-'Grid_Requirement'!BR33</f>
        <v/>
      </c>
      <c r="BS33">
        <f>IF(INDEX(Cal_Weeks[MonthYearLabel],70)&lt;&gt;INDEX(Cal_Weeks[MonthYearLabel],69),'Grid_Stock'!BR33,BR33)+'Grid_Incoming'!BS33-'Grid_Requirement'!BS33</f>
        <v/>
      </c>
      <c r="BT33">
        <f>IF(INDEX(Cal_Weeks[MonthYearLabel],71)&lt;&gt;INDEX(Cal_Weeks[MonthYearLabel],70),'Grid_Stock'!BS33,BS33)+'Grid_Incoming'!BT33-'Grid_Requirement'!BT33</f>
        <v/>
      </c>
      <c r="BU33">
        <f>IF(INDEX(Cal_Weeks[MonthYearLabel],72)&lt;&gt;INDEX(Cal_Weeks[MonthYearLabel],71),'Grid_Stock'!BT33,BT33)+'Grid_Incoming'!BU33-'Grid_Requirement'!BU33</f>
        <v/>
      </c>
      <c r="BV33">
        <f>IF(INDEX(Cal_Weeks[MonthYearLabel],73)&lt;&gt;INDEX(Cal_Weeks[MonthYearLabel],72),'Grid_Stock'!BU33,BU33)+'Grid_Incoming'!BV33-'Grid_Requirement'!BV33</f>
        <v/>
      </c>
      <c r="BW33">
        <f>IF(INDEX(Cal_Weeks[MonthYearLabel],74)&lt;&gt;INDEX(Cal_Weeks[MonthYearLabel],73),'Grid_Stock'!BV33,BV33)+'Grid_Incoming'!BW33-'Grid_Requirement'!BW33</f>
        <v/>
      </c>
      <c r="BX33">
        <f>IF(INDEX(Cal_Weeks[MonthYearLabel],75)&lt;&gt;INDEX(Cal_Weeks[MonthYearLabel],74),'Grid_Stock'!BW33,BW33)+'Grid_Incoming'!BX33-'Grid_Requirement'!BX33</f>
        <v/>
      </c>
      <c r="BY33">
        <f>IF(INDEX(Cal_Weeks[MonthYearLabel],76)&lt;&gt;INDEX(Cal_Weeks[MonthYearLabel],75),'Grid_Stock'!BX33,BX33)+'Grid_Incoming'!BY33-'Grid_Requirement'!BY33</f>
        <v/>
      </c>
      <c r="BZ33">
        <f>IF(INDEX(Cal_Weeks[MonthYearLabel],77)&lt;&gt;INDEX(Cal_Weeks[MonthYearLabel],76),'Grid_Stock'!BY33,BY33)+'Grid_Incoming'!BZ33-'Grid_Requirement'!BZ33</f>
        <v/>
      </c>
      <c r="CA33">
        <f>IF(INDEX(Cal_Weeks[MonthYearLabel],78)&lt;&gt;INDEX(Cal_Weeks[MonthYearLabel],77),'Grid_Stock'!BZ33,BZ33)+'Grid_Incoming'!CA33-'Grid_Requirement'!CA33</f>
        <v/>
      </c>
      <c r="CB33">
        <f>IF(INDEX(Cal_Weeks[MonthYearLabel],79)&lt;&gt;INDEX(Cal_Weeks[MonthYearLabel],78),'Grid_Stock'!CA33,CA33)+'Grid_Incoming'!CB33-'Grid_Requirement'!CB33</f>
        <v/>
      </c>
      <c r="CC33">
        <f>IF(INDEX(Cal_Weeks[MonthYearLabel],80)&lt;&gt;INDEX(Cal_Weeks[MonthYearLabel],79),'Grid_Stock'!CB33,CB33)+'Grid_Incoming'!CC33-'Grid_Requirement'!CC33</f>
        <v/>
      </c>
      <c r="CD33">
        <f>IF(INDEX(Cal_Weeks[MonthYearLabel],81)&lt;&gt;INDEX(Cal_Weeks[MonthYearLabel],80),'Grid_Stock'!CC33,CC33)+'Grid_Incoming'!CD33-'Grid_Requirement'!CD33</f>
        <v/>
      </c>
      <c r="CE33">
        <f>IF(INDEX(Cal_Weeks[MonthYearLabel],82)&lt;&gt;INDEX(Cal_Weeks[MonthYearLabel],81),'Grid_Stock'!CD33,CD33)+'Grid_Incoming'!CE33-'Grid_Requirement'!CE33</f>
        <v/>
      </c>
      <c r="CF33">
        <f>IF(INDEX(Cal_Weeks[MonthYearLabel],83)&lt;&gt;INDEX(Cal_Weeks[MonthYearLabel],82),'Grid_Stock'!CE33,CE33)+'Grid_Incoming'!CF33-'Grid_Requirement'!CF33</f>
        <v/>
      </c>
      <c r="CG33">
        <f>IF(INDEX(Cal_Weeks[MonthYearLabel],84)&lt;&gt;INDEX(Cal_Weeks[MonthYearLabel],83),'Grid_Stock'!CF33,CF33)+'Grid_Incoming'!CG33-'Grid_Requirement'!CG33</f>
        <v/>
      </c>
      <c r="CH33">
        <f>IF(INDEX(Cal_Weeks[MonthYearLabel],85)&lt;&gt;INDEX(Cal_Weeks[MonthYearLabel],84),'Grid_Stock'!CG33,CG33)+'Grid_Incoming'!CH33-'Grid_Requirement'!CH33</f>
        <v/>
      </c>
      <c r="CI33">
        <f>IF(INDEX(Cal_Weeks[MonthYearLabel],86)&lt;&gt;INDEX(Cal_Weeks[MonthYearLabel],85),'Grid_Stock'!CH33,CH33)+'Grid_Incoming'!CI33-'Grid_Requirement'!CI33</f>
        <v/>
      </c>
      <c r="CJ33">
        <f>IF(INDEX(Cal_Weeks[MonthYearLabel],87)&lt;&gt;INDEX(Cal_Weeks[MonthYearLabel],86),'Grid_Stock'!CI33,CI33)+'Grid_Incoming'!CJ33-'Grid_Requirement'!CJ33</f>
        <v/>
      </c>
      <c r="CK33">
        <f>IF(INDEX(Cal_Weeks[MonthYearLabel],88)&lt;&gt;INDEX(Cal_Weeks[MonthYearLabel],87),'Grid_Stock'!CJ33,CJ33)+'Grid_Incoming'!CK33-'Grid_Requirement'!CK33</f>
        <v/>
      </c>
      <c r="CL33">
        <f>IF(INDEX(Cal_Weeks[MonthYearLabel],89)&lt;&gt;INDEX(Cal_Weeks[MonthYearLabel],88),'Grid_Stock'!CK33,CK33)+'Grid_Incoming'!CL33-'Grid_Requirement'!CL33</f>
        <v/>
      </c>
      <c r="CM33">
        <f>IF(INDEX(Cal_Weeks[MonthYearLabel],90)&lt;&gt;INDEX(Cal_Weeks[MonthYearLabel],89),'Grid_Stock'!CL33,CL33)+'Grid_Incoming'!CM33-'Grid_Requirement'!CM33</f>
        <v/>
      </c>
      <c r="CN33">
        <f>IF(INDEX(Cal_Weeks[MonthYearLabel],91)&lt;&gt;INDEX(Cal_Weeks[MonthYearLabel],90),'Grid_Stock'!CM33,CM33)+'Grid_Incoming'!CN33-'Grid_Requirement'!CN33</f>
        <v/>
      </c>
      <c r="CO33">
        <f>IF(INDEX(Cal_Weeks[MonthYearLabel],92)&lt;&gt;INDEX(Cal_Weeks[MonthYearLabel],91),'Grid_Stock'!CN33,CN33)+'Grid_Incoming'!CO33-'Grid_Requirement'!CO33</f>
        <v/>
      </c>
      <c r="CP33">
        <f>IF(INDEX(Cal_Weeks[MonthYearLabel],93)&lt;&gt;INDEX(Cal_Weeks[MonthYearLabel],92),'Grid_Stock'!CO33,CO33)+'Grid_Incoming'!CP33-'Grid_Requirement'!CP33</f>
        <v/>
      </c>
      <c r="CQ33">
        <f>IF(INDEX(Cal_Weeks[MonthYearLabel],94)&lt;&gt;INDEX(Cal_Weeks[MonthYearLabel],93),'Grid_Stock'!CP33,CP33)+'Grid_Incoming'!CQ33-'Grid_Requirement'!CQ33</f>
        <v/>
      </c>
      <c r="CR33">
        <f>IF(INDEX(Cal_Weeks[MonthYearLabel],95)&lt;&gt;INDEX(Cal_Weeks[MonthYearLabel],94),'Grid_Stock'!CQ33,CQ33)+'Grid_Incoming'!CR33-'Grid_Requirement'!CR33</f>
        <v/>
      </c>
      <c r="CS33">
        <f>IF(INDEX(Cal_Weeks[MonthYearLabel],96)&lt;&gt;INDEX(Cal_Weeks[MonthYearLabel],95),'Grid_Stock'!CR33,CR33)+'Grid_Incoming'!CS33-'Grid_Requirement'!CS33</f>
        <v/>
      </c>
      <c r="CT33">
        <f>IF(INDEX(Cal_Weeks[MonthYearLabel],97)&lt;&gt;INDEX(Cal_Weeks[MonthYearLabel],96),'Grid_Stock'!CS33,CS33)+'Grid_Incoming'!CT33-'Grid_Requirement'!CT33</f>
        <v/>
      </c>
      <c r="CU33">
        <f>IF(INDEX(Cal_Weeks[MonthYearLabel],98)&lt;&gt;INDEX(Cal_Weeks[MonthYearLabel],97),'Grid_Stock'!CT33,CT33)+'Grid_Incoming'!CU33-'Grid_Requirement'!CU33</f>
        <v/>
      </c>
      <c r="CV33">
        <f>IF(INDEX(Cal_Weeks[MonthYearLabel],99)&lt;&gt;INDEX(Cal_Weeks[MonthYearLabel],98),'Grid_Stock'!CU33,CU33)+'Grid_Incoming'!CV33-'Grid_Requirement'!CV33</f>
        <v/>
      </c>
      <c r="CW33">
        <f>IF(INDEX(Cal_Weeks[MonthYearLabel],100)&lt;&gt;INDEX(Cal_Weeks[MonthYearLabel],99),'Grid_Stock'!CV33,CV33)+'Grid_Incoming'!CW33-'Grid_Requirement'!CW33</f>
        <v/>
      </c>
      <c r="CX33">
        <f>IF(INDEX(Cal_Weeks[MonthYearLabel],101)&lt;&gt;INDEX(Cal_Weeks[MonthYearLabel],100),'Grid_Stock'!CW33,CW33)+'Grid_Incoming'!CX33-'Grid_Requirement'!CX33</f>
        <v/>
      </c>
      <c r="CY33">
        <f>IF(INDEX(Cal_Weeks[MonthYearLabel],102)&lt;&gt;INDEX(Cal_Weeks[MonthYearLabel],101),'Grid_Stock'!CX33,CX33)+'Grid_Incoming'!CY33-'Grid_Requirement'!CY33</f>
        <v/>
      </c>
      <c r="CZ33">
        <f>IF(INDEX(Cal_Weeks[MonthYearLabel],103)&lt;&gt;INDEX(Cal_Weeks[MonthYearLabel],102),'Grid_Stock'!CY33,CY33)+'Grid_Incoming'!CZ33-'Grid_Requirement'!CZ33</f>
        <v/>
      </c>
      <c r="DA33">
        <f>IF(INDEX(Cal_Weeks[MonthYearLabel],104)&lt;&gt;INDEX(Cal_Weeks[MonthYearLabel],103),'Grid_Stock'!CZ33,CZ33)+'Grid_Incoming'!DA33-'Grid_Requirement'!DA33</f>
        <v/>
      </c>
    </row>
    <row r="34">
      <c r="A34" t="inlineStr">
        <is>
          <t>CHEM-1650</t>
        </is>
      </c>
      <c r="B34">
        <f>IFERROR(INDEX(T_OpeningStock[Opening_Qty_要入力],MATCH($A34,T_OpeningStock[Part Name],0)),0)+'Grid_Incoming'!B34-'Grid_Requirement'!B34</f>
        <v/>
      </c>
      <c r="C34">
        <f>IF(INDEX(Cal_Weeks[MonthYearLabel],2)&lt;&gt;INDEX(Cal_Weeks[MonthYearLabel],1),'Grid_Stock'!B34,B34)+'Grid_Incoming'!C34-'Grid_Requirement'!C34</f>
        <v/>
      </c>
      <c r="D34">
        <f>IF(INDEX(Cal_Weeks[MonthYearLabel],3)&lt;&gt;INDEX(Cal_Weeks[MonthYearLabel],2),'Grid_Stock'!C34,C34)+'Grid_Incoming'!D34-'Grid_Requirement'!D34</f>
        <v/>
      </c>
      <c r="E34">
        <f>IF(INDEX(Cal_Weeks[MonthYearLabel],4)&lt;&gt;INDEX(Cal_Weeks[MonthYearLabel],3),'Grid_Stock'!D34,D34)+'Grid_Incoming'!E34-'Grid_Requirement'!E34</f>
        <v/>
      </c>
      <c r="F34">
        <f>IF(INDEX(Cal_Weeks[MonthYearLabel],5)&lt;&gt;INDEX(Cal_Weeks[MonthYearLabel],4),'Grid_Stock'!E34,E34)+'Grid_Incoming'!F34-'Grid_Requirement'!F34</f>
        <v/>
      </c>
      <c r="G34">
        <f>IF(INDEX(Cal_Weeks[MonthYearLabel],6)&lt;&gt;INDEX(Cal_Weeks[MonthYearLabel],5),'Grid_Stock'!F34,F34)+'Grid_Incoming'!G34-'Grid_Requirement'!G34</f>
        <v/>
      </c>
      <c r="H34">
        <f>IF(INDEX(Cal_Weeks[MonthYearLabel],7)&lt;&gt;INDEX(Cal_Weeks[MonthYearLabel],6),'Grid_Stock'!G34,G34)+'Grid_Incoming'!H34-'Grid_Requirement'!H34</f>
        <v/>
      </c>
      <c r="I34">
        <f>IF(INDEX(Cal_Weeks[MonthYearLabel],8)&lt;&gt;INDEX(Cal_Weeks[MonthYearLabel],7),'Grid_Stock'!H34,H34)+'Grid_Incoming'!I34-'Grid_Requirement'!I34</f>
        <v/>
      </c>
      <c r="J34">
        <f>IF(INDEX(Cal_Weeks[MonthYearLabel],9)&lt;&gt;INDEX(Cal_Weeks[MonthYearLabel],8),'Grid_Stock'!I34,I34)+'Grid_Incoming'!J34-'Grid_Requirement'!J34</f>
        <v/>
      </c>
      <c r="K34">
        <f>IF(INDEX(Cal_Weeks[MonthYearLabel],10)&lt;&gt;INDEX(Cal_Weeks[MonthYearLabel],9),'Grid_Stock'!J34,J34)+'Grid_Incoming'!K34-'Grid_Requirement'!K34</f>
        <v/>
      </c>
      <c r="L34">
        <f>IF(INDEX(Cal_Weeks[MonthYearLabel],11)&lt;&gt;INDEX(Cal_Weeks[MonthYearLabel],10),'Grid_Stock'!K34,K34)+'Grid_Incoming'!L34-'Grid_Requirement'!L34</f>
        <v/>
      </c>
      <c r="M34">
        <f>IF(INDEX(Cal_Weeks[MonthYearLabel],12)&lt;&gt;INDEX(Cal_Weeks[MonthYearLabel],11),'Grid_Stock'!L34,L34)+'Grid_Incoming'!M34-'Grid_Requirement'!M34</f>
        <v/>
      </c>
      <c r="N34">
        <f>IF(INDEX(Cal_Weeks[MonthYearLabel],13)&lt;&gt;INDEX(Cal_Weeks[MonthYearLabel],12),'Grid_Stock'!M34,M34)+'Grid_Incoming'!N34-'Grid_Requirement'!N34</f>
        <v/>
      </c>
      <c r="O34">
        <f>IF(INDEX(Cal_Weeks[MonthYearLabel],14)&lt;&gt;INDEX(Cal_Weeks[MonthYearLabel],13),'Grid_Stock'!N34,N34)+'Grid_Incoming'!O34-'Grid_Requirement'!O34</f>
        <v/>
      </c>
      <c r="P34">
        <f>IF(INDEX(Cal_Weeks[MonthYearLabel],15)&lt;&gt;INDEX(Cal_Weeks[MonthYearLabel],14),'Grid_Stock'!O34,O34)+'Grid_Incoming'!P34-'Grid_Requirement'!P34</f>
        <v/>
      </c>
      <c r="Q34">
        <f>IF(INDEX(Cal_Weeks[MonthYearLabel],16)&lt;&gt;INDEX(Cal_Weeks[MonthYearLabel],15),'Grid_Stock'!P34,P34)+'Grid_Incoming'!Q34-'Grid_Requirement'!Q34</f>
        <v/>
      </c>
      <c r="R34">
        <f>IF(INDEX(Cal_Weeks[MonthYearLabel],17)&lt;&gt;INDEX(Cal_Weeks[MonthYearLabel],16),'Grid_Stock'!Q34,Q34)+'Grid_Incoming'!R34-'Grid_Requirement'!R34</f>
        <v/>
      </c>
      <c r="S34">
        <f>IF(INDEX(Cal_Weeks[MonthYearLabel],18)&lt;&gt;INDEX(Cal_Weeks[MonthYearLabel],17),'Grid_Stock'!R34,R34)+'Grid_Incoming'!S34-'Grid_Requirement'!S34</f>
        <v/>
      </c>
      <c r="T34">
        <f>IF(INDEX(Cal_Weeks[MonthYearLabel],19)&lt;&gt;INDEX(Cal_Weeks[MonthYearLabel],18),'Grid_Stock'!S34,S34)+'Grid_Incoming'!T34-'Grid_Requirement'!T34</f>
        <v/>
      </c>
      <c r="U34">
        <f>IF(INDEX(Cal_Weeks[MonthYearLabel],20)&lt;&gt;INDEX(Cal_Weeks[MonthYearLabel],19),'Grid_Stock'!T34,T34)+'Grid_Incoming'!U34-'Grid_Requirement'!U34</f>
        <v/>
      </c>
      <c r="V34">
        <f>IF(INDEX(Cal_Weeks[MonthYearLabel],21)&lt;&gt;INDEX(Cal_Weeks[MonthYearLabel],20),'Grid_Stock'!U34,U34)+'Grid_Incoming'!V34-'Grid_Requirement'!V34</f>
        <v/>
      </c>
      <c r="W34">
        <f>IF(INDEX(Cal_Weeks[MonthYearLabel],22)&lt;&gt;INDEX(Cal_Weeks[MonthYearLabel],21),'Grid_Stock'!V34,V34)+'Grid_Incoming'!W34-'Grid_Requirement'!W34</f>
        <v/>
      </c>
      <c r="X34">
        <f>IF(INDEX(Cal_Weeks[MonthYearLabel],23)&lt;&gt;INDEX(Cal_Weeks[MonthYearLabel],22),'Grid_Stock'!W34,W34)+'Grid_Incoming'!X34-'Grid_Requirement'!X34</f>
        <v/>
      </c>
      <c r="Y34">
        <f>IF(INDEX(Cal_Weeks[MonthYearLabel],24)&lt;&gt;INDEX(Cal_Weeks[MonthYearLabel],23),'Grid_Stock'!X34,X34)+'Grid_Incoming'!Y34-'Grid_Requirement'!Y34</f>
        <v/>
      </c>
      <c r="Z34">
        <f>IF(INDEX(Cal_Weeks[MonthYearLabel],25)&lt;&gt;INDEX(Cal_Weeks[MonthYearLabel],24),'Grid_Stock'!Y34,Y34)+'Grid_Incoming'!Z34-'Grid_Requirement'!Z34</f>
        <v/>
      </c>
      <c r="AA34">
        <f>IF(INDEX(Cal_Weeks[MonthYearLabel],26)&lt;&gt;INDEX(Cal_Weeks[MonthYearLabel],25),'Grid_Stock'!Z34,Z34)+'Grid_Incoming'!AA34-'Grid_Requirement'!AA34</f>
        <v/>
      </c>
      <c r="AB34">
        <f>IF(INDEX(Cal_Weeks[MonthYearLabel],27)&lt;&gt;INDEX(Cal_Weeks[MonthYearLabel],26),'Grid_Stock'!AA34,AA34)+'Grid_Incoming'!AB34-'Grid_Requirement'!AB34</f>
        <v/>
      </c>
      <c r="AC34">
        <f>IF(INDEX(Cal_Weeks[MonthYearLabel],28)&lt;&gt;INDEX(Cal_Weeks[MonthYearLabel],27),'Grid_Stock'!AB34,AB34)+'Grid_Incoming'!AC34-'Grid_Requirement'!AC34</f>
        <v/>
      </c>
      <c r="AD34">
        <f>IF(INDEX(Cal_Weeks[MonthYearLabel],29)&lt;&gt;INDEX(Cal_Weeks[MonthYearLabel],28),'Grid_Stock'!AC34,AC34)+'Grid_Incoming'!AD34-'Grid_Requirement'!AD34</f>
        <v/>
      </c>
      <c r="AE34">
        <f>IF(INDEX(Cal_Weeks[MonthYearLabel],30)&lt;&gt;INDEX(Cal_Weeks[MonthYearLabel],29),'Grid_Stock'!AD34,AD34)+'Grid_Incoming'!AE34-'Grid_Requirement'!AE34</f>
        <v/>
      </c>
      <c r="AF34">
        <f>IF(INDEX(Cal_Weeks[MonthYearLabel],31)&lt;&gt;INDEX(Cal_Weeks[MonthYearLabel],30),'Grid_Stock'!AE34,AE34)+'Grid_Incoming'!AF34-'Grid_Requirement'!AF34</f>
        <v/>
      </c>
      <c r="AG34">
        <f>IF(INDEX(Cal_Weeks[MonthYearLabel],32)&lt;&gt;INDEX(Cal_Weeks[MonthYearLabel],31),'Grid_Stock'!AF34,AF34)+'Grid_Incoming'!AG34-'Grid_Requirement'!AG34</f>
        <v/>
      </c>
      <c r="AH34">
        <f>IF(INDEX(Cal_Weeks[MonthYearLabel],33)&lt;&gt;INDEX(Cal_Weeks[MonthYearLabel],32),'Grid_Stock'!AG34,AG34)+'Grid_Incoming'!AH34-'Grid_Requirement'!AH34</f>
        <v/>
      </c>
      <c r="AI34">
        <f>IF(INDEX(Cal_Weeks[MonthYearLabel],34)&lt;&gt;INDEX(Cal_Weeks[MonthYearLabel],33),'Grid_Stock'!AH34,AH34)+'Grid_Incoming'!AI34-'Grid_Requirement'!AI34</f>
        <v/>
      </c>
      <c r="AJ34">
        <f>IF(INDEX(Cal_Weeks[MonthYearLabel],35)&lt;&gt;INDEX(Cal_Weeks[MonthYearLabel],34),'Grid_Stock'!AI34,AI34)+'Grid_Incoming'!AJ34-'Grid_Requirement'!AJ34</f>
        <v/>
      </c>
      <c r="AK34">
        <f>IF(INDEX(Cal_Weeks[MonthYearLabel],36)&lt;&gt;INDEX(Cal_Weeks[MonthYearLabel],35),'Grid_Stock'!AJ34,AJ34)+'Grid_Incoming'!AK34-'Grid_Requirement'!AK34</f>
        <v/>
      </c>
      <c r="AL34">
        <f>IF(INDEX(Cal_Weeks[MonthYearLabel],37)&lt;&gt;INDEX(Cal_Weeks[MonthYearLabel],36),'Grid_Stock'!AK34,AK34)+'Grid_Incoming'!AL34-'Grid_Requirement'!AL34</f>
        <v/>
      </c>
      <c r="AM34">
        <f>IF(INDEX(Cal_Weeks[MonthYearLabel],38)&lt;&gt;INDEX(Cal_Weeks[MonthYearLabel],37),'Grid_Stock'!AL34,AL34)+'Grid_Incoming'!AM34-'Grid_Requirement'!AM34</f>
        <v/>
      </c>
      <c r="AN34">
        <f>IF(INDEX(Cal_Weeks[MonthYearLabel],39)&lt;&gt;INDEX(Cal_Weeks[MonthYearLabel],38),'Grid_Stock'!AM34,AM34)+'Grid_Incoming'!AN34-'Grid_Requirement'!AN34</f>
        <v/>
      </c>
      <c r="AO34">
        <f>IF(INDEX(Cal_Weeks[MonthYearLabel],40)&lt;&gt;INDEX(Cal_Weeks[MonthYearLabel],39),'Grid_Stock'!AN34,AN34)+'Grid_Incoming'!AO34-'Grid_Requirement'!AO34</f>
        <v/>
      </c>
      <c r="AP34">
        <f>IF(INDEX(Cal_Weeks[MonthYearLabel],41)&lt;&gt;INDEX(Cal_Weeks[MonthYearLabel],40),'Grid_Stock'!AO34,AO34)+'Grid_Incoming'!AP34-'Grid_Requirement'!AP34</f>
        <v/>
      </c>
      <c r="AQ34">
        <f>IF(INDEX(Cal_Weeks[MonthYearLabel],42)&lt;&gt;INDEX(Cal_Weeks[MonthYearLabel],41),'Grid_Stock'!AP34,AP34)+'Grid_Incoming'!AQ34-'Grid_Requirement'!AQ34</f>
        <v/>
      </c>
      <c r="AR34">
        <f>IF(INDEX(Cal_Weeks[MonthYearLabel],43)&lt;&gt;INDEX(Cal_Weeks[MonthYearLabel],42),'Grid_Stock'!AQ34,AQ34)+'Grid_Incoming'!AR34-'Grid_Requirement'!AR34</f>
        <v/>
      </c>
      <c r="AS34">
        <f>IF(INDEX(Cal_Weeks[MonthYearLabel],44)&lt;&gt;INDEX(Cal_Weeks[MonthYearLabel],43),'Grid_Stock'!AR34,AR34)+'Grid_Incoming'!AS34-'Grid_Requirement'!AS34</f>
        <v/>
      </c>
      <c r="AT34">
        <f>IF(INDEX(Cal_Weeks[MonthYearLabel],45)&lt;&gt;INDEX(Cal_Weeks[MonthYearLabel],44),'Grid_Stock'!AS34,AS34)+'Grid_Incoming'!AT34-'Grid_Requirement'!AT34</f>
        <v/>
      </c>
      <c r="AU34">
        <f>IF(INDEX(Cal_Weeks[MonthYearLabel],46)&lt;&gt;INDEX(Cal_Weeks[MonthYearLabel],45),'Grid_Stock'!AT34,AT34)+'Grid_Incoming'!AU34-'Grid_Requirement'!AU34</f>
        <v/>
      </c>
      <c r="AV34">
        <f>IF(INDEX(Cal_Weeks[MonthYearLabel],47)&lt;&gt;INDEX(Cal_Weeks[MonthYearLabel],46),'Grid_Stock'!AU34,AU34)+'Grid_Incoming'!AV34-'Grid_Requirement'!AV34</f>
        <v/>
      </c>
      <c r="AW34">
        <f>IF(INDEX(Cal_Weeks[MonthYearLabel],48)&lt;&gt;INDEX(Cal_Weeks[MonthYearLabel],47),'Grid_Stock'!AV34,AV34)+'Grid_Incoming'!AW34-'Grid_Requirement'!AW34</f>
        <v/>
      </c>
      <c r="AX34">
        <f>IF(INDEX(Cal_Weeks[MonthYearLabel],49)&lt;&gt;INDEX(Cal_Weeks[MonthYearLabel],48),'Grid_Stock'!AW34,AW34)+'Grid_Incoming'!AX34-'Grid_Requirement'!AX34</f>
        <v/>
      </c>
      <c r="AY34">
        <f>IF(INDEX(Cal_Weeks[MonthYearLabel],50)&lt;&gt;INDEX(Cal_Weeks[MonthYearLabel],49),'Grid_Stock'!AX34,AX34)+'Grid_Incoming'!AY34-'Grid_Requirement'!AY34</f>
        <v/>
      </c>
      <c r="AZ34">
        <f>IF(INDEX(Cal_Weeks[MonthYearLabel],51)&lt;&gt;INDEX(Cal_Weeks[MonthYearLabel],50),'Grid_Stock'!AY34,AY34)+'Grid_Incoming'!AZ34-'Grid_Requirement'!AZ34</f>
        <v/>
      </c>
      <c r="BA34">
        <f>IF(INDEX(Cal_Weeks[MonthYearLabel],52)&lt;&gt;INDEX(Cal_Weeks[MonthYearLabel],51),'Grid_Stock'!AZ34,AZ34)+'Grid_Incoming'!BA34-'Grid_Requirement'!BA34</f>
        <v/>
      </c>
      <c r="BB34">
        <f>IF(INDEX(Cal_Weeks[MonthYearLabel],53)&lt;&gt;INDEX(Cal_Weeks[MonthYearLabel],52),'Grid_Stock'!BA34,BA34)+'Grid_Incoming'!BB34-'Grid_Requirement'!BB34</f>
        <v/>
      </c>
      <c r="BC34">
        <f>IF(INDEX(Cal_Weeks[MonthYearLabel],54)&lt;&gt;INDEX(Cal_Weeks[MonthYearLabel],53),'Grid_Stock'!BB34,BB34)+'Grid_Incoming'!BC34-'Grid_Requirement'!BC34</f>
        <v/>
      </c>
      <c r="BD34">
        <f>IF(INDEX(Cal_Weeks[MonthYearLabel],55)&lt;&gt;INDEX(Cal_Weeks[MonthYearLabel],54),'Grid_Stock'!BC34,BC34)+'Grid_Incoming'!BD34-'Grid_Requirement'!BD34</f>
        <v/>
      </c>
      <c r="BE34">
        <f>IF(INDEX(Cal_Weeks[MonthYearLabel],56)&lt;&gt;INDEX(Cal_Weeks[MonthYearLabel],55),'Grid_Stock'!BD34,BD34)+'Grid_Incoming'!BE34-'Grid_Requirement'!BE34</f>
        <v/>
      </c>
      <c r="BF34">
        <f>IF(INDEX(Cal_Weeks[MonthYearLabel],57)&lt;&gt;INDEX(Cal_Weeks[MonthYearLabel],56),'Grid_Stock'!BE34,BE34)+'Grid_Incoming'!BF34-'Grid_Requirement'!BF34</f>
        <v/>
      </c>
      <c r="BG34">
        <f>IF(INDEX(Cal_Weeks[MonthYearLabel],58)&lt;&gt;INDEX(Cal_Weeks[MonthYearLabel],57),'Grid_Stock'!BF34,BF34)+'Grid_Incoming'!BG34-'Grid_Requirement'!BG34</f>
        <v/>
      </c>
      <c r="BH34">
        <f>IF(INDEX(Cal_Weeks[MonthYearLabel],59)&lt;&gt;INDEX(Cal_Weeks[MonthYearLabel],58),'Grid_Stock'!BG34,BG34)+'Grid_Incoming'!BH34-'Grid_Requirement'!BH34</f>
        <v/>
      </c>
      <c r="BI34">
        <f>IF(INDEX(Cal_Weeks[MonthYearLabel],60)&lt;&gt;INDEX(Cal_Weeks[MonthYearLabel],59),'Grid_Stock'!BH34,BH34)+'Grid_Incoming'!BI34-'Grid_Requirement'!BI34</f>
        <v/>
      </c>
      <c r="BJ34">
        <f>IF(INDEX(Cal_Weeks[MonthYearLabel],61)&lt;&gt;INDEX(Cal_Weeks[MonthYearLabel],60),'Grid_Stock'!BI34,BI34)+'Grid_Incoming'!BJ34-'Grid_Requirement'!BJ34</f>
        <v/>
      </c>
      <c r="BK34">
        <f>IF(INDEX(Cal_Weeks[MonthYearLabel],62)&lt;&gt;INDEX(Cal_Weeks[MonthYearLabel],61),'Grid_Stock'!BJ34,BJ34)+'Grid_Incoming'!BK34-'Grid_Requirement'!BK34</f>
        <v/>
      </c>
      <c r="BL34">
        <f>IF(INDEX(Cal_Weeks[MonthYearLabel],63)&lt;&gt;INDEX(Cal_Weeks[MonthYearLabel],62),'Grid_Stock'!BK34,BK34)+'Grid_Incoming'!BL34-'Grid_Requirement'!BL34</f>
        <v/>
      </c>
      <c r="BM34">
        <f>IF(INDEX(Cal_Weeks[MonthYearLabel],64)&lt;&gt;INDEX(Cal_Weeks[MonthYearLabel],63),'Grid_Stock'!BL34,BL34)+'Grid_Incoming'!BM34-'Grid_Requirement'!BM34</f>
        <v/>
      </c>
      <c r="BN34">
        <f>IF(INDEX(Cal_Weeks[MonthYearLabel],65)&lt;&gt;INDEX(Cal_Weeks[MonthYearLabel],64),'Grid_Stock'!BM34,BM34)+'Grid_Incoming'!BN34-'Grid_Requirement'!BN34</f>
        <v/>
      </c>
      <c r="BO34">
        <f>IF(INDEX(Cal_Weeks[MonthYearLabel],66)&lt;&gt;INDEX(Cal_Weeks[MonthYearLabel],65),'Grid_Stock'!BN34,BN34)+'Grid_Incoming'!BO34-'Grid_Requirement'!BO34</f>
        <v/>
      </c>
      <c r="BP34">
        <f>IF(INDEX(Cal_Weeks[MonthYearLabel],67)&lt;&gt;INDEX(Cal_Weeks[MonthYearLabel],66),'Grid_Stock'!BO34,BO34)+'Grid_Incoming'!BP34-'Grid_Requirement'!BP34</f>
        <v/>
      </c>
      <c r="BQ34">
        <f>IF(INDEX(Cal_Weeks[MonthYearLabel],68)&lt;&gt;INDEX(Cal_Weeks[MonthYearLabel],67),'Grid_Stock'!BP34,BP34)+'Grid_Incoming'!BQ34-'Grid_Requirement'!BQ34</f>
        <v/>
      </c>
      <c r="BR34">
        <f>IF(INDEX(Cal_Weeks[MonthYearLabel],69)&lt;&gt;INDEX(Cal_Weeks[MonthYearLabel],68),'Grid_Stock'!BQ34,BQ34)+'Grid_Incoming'!BR34-'Grid_Requirement'!BR34</f>
        <v/>
      </c>
      <c r="BS34">
        <f>IF(INDEX(Cal_Weeks[MonthYearLabel],70)&lt;&gt;INDEX(Cal_Weeks[MonthYearLabel],69),'Grid_Stock'!BR34,BR34)+'Grid_Incoming'!BS34-'Grid_Requirement'!BS34</f>
        <v/>
      </c>
      <c r="BT34">
        <f>IF(INDEX(Cal_Weeks[MonthYearLabel],71)&lt;&gt;INDEX(Cal_Weeks[MonthYearLabel],70),'Grid_Stock'!BS34,BS34)+'Grid_Incoming'!BT34-'Grid_Requirement'!BT34</f>
        <v/>
      </c>
      <c r="BU34">
        <f>IF(INDEX(Cal_Weeks[MonthYearLabel],72)&lt;&gt;INDEX(Cal_Weeks[MonthYearLabel],71),'Grid_Stock'!BT34,BT34)+'Grid_Incoming'!BU34-'Grid_Requirement'!BU34</f>
        <v/>
      </c>
      <c r="BV34">
        <f>IF(INDEX(Cal_Weeks[MonthYearLabel],73)&lt;&gt;INDEX(Cal_Weeks[MonthYearLabel],72),'Grid_Stock'!BU34,BU34)+'Grid_Incoming'!BV34-'Grid_Requirement'!BV34</f>
        <v/>
      </c>
      <c r="BW34">
        <f>IF(INDEX(Cal_Weeks[MonthYearLabel],74)&lt;&gt;INDEX(Cal_Weeks[MonthYearLabel],73),'Grid_Stock'!BV34,BV34)+'Grid_Incoming'!BW34-'Grid_Requirement'!BW34</f>
        <v/>
      </c>
      <c r="BX34">
        <f>IF(INDEX(Cal_Weeks[MonthYearLabel],75)&lt;&gt;INDEX(Cal_Weeks[MonthYearLabel],74),'Grid_Stock'!BW34,BW34)+'Grid_Incoming'!BX34-'Grid_Requirement'!BX34</f>
        <v/>
      </c>
      <c r="BY34">
        <f>IF(INDEX(Cal_Weeks[MonthYearLabel],76)&lt;&gt;INDEX(Cal_Weeks[MonthYearLabel],75),'Grid_Stock'!BX34,BX34)+'Grid_Incoming'!BY34-'Grid_Requirement'!BY34</f>
        <v/>
      </c>
      <c r="BZ34">
        <f>IF(INDEX(Cal_Weeks[MonthYearLabel],77)&lt;&gt;INDEX(Cal_Weeks[MonthYearLabel],76),'Grid_Stock'!BY34,BY34)+'Grid_Incoming'!BZ34-'Grid_Requirement'!BZ34</f>
        <v/>
      </c>
      <c r="CA34">
        <f>IF(INDEX(Cal_Weeks[MonthYearLabel],78)&lt;&gt;INDEX(Cal_Weeks[MonthYearLabel],77),'Grid_Stock'!BZ34,BZ34)+'Grid_Incoming'!CA34-'Grid_Requirement'!CA34</f>
        <v/>
      </c>
      <c r="CB34">
        <f>IF(INDEX(Cal_Weeks[MonthYearLabel],79)&lt;&gt;INDEX(Cal_Weeks[MonthYearLabel],78),'Grid_Stock'!CA34,CA34)+'Grid_Incoming'!CB34-'Grid_Requirement'!CB34</f>
        <v/>
      </c>
      <c r="CC34">
        <f>IF(INDEX(Cal_Weeks[MonthYearLabel],80)&lt;&gt;INDEX(Cal_Weeks[MonthYearLabel],79),'Grid_Stock'!CB34,CB34)+'Grid_Incoming'!CC34-'Grid_Requirement'!CC34</f>
        <v/>
      </c>
      <c r="CD34">
        <f>IF(INDEX(Cal_Weeks[MonthYearLabel],81)&lt;&gt;INDEX(Cal_Weeks[MonthYearLabel],80),'Grid_Stock'!CC34,CC34)+'Grid_Incoming'!CD34-'Grid_Requirement'!CD34</f>
        <v/>
      </c>
      <c r="CE34">
        <f>IF(INDEX(Cal_Weeks[MonthYearLabel],82)&lt;&gt;INDEX(Cal_Weeks[MonthYearLabel],81),'Grid_Stock'!CD34,CD34)+'Grid_Incoming'!CE34-'Grid_Requirement'!CE34</f>
        <v/>
      </c>
      <c r="CF34">
        <f>IF(INDEX(Cal_Weeks[MonthYearLabel],83)&lt;&gt;INDEX(Cal_Weeks[MonthYearLabel],82),'Grid_Stock'!CE34,CE34)+'Grid_Incoming'!CF34-'Grid_Requirement'!CF34</f>
        <v/>
      </c>
      <c r="CG34">
        <f>IF(INDEX(Cal_Weeks[MonthYearLabel],84)&lt;&gt;INDEX(Cal_Weeks[MonthYearLabel],83),'Grid_Stock'!CF34,CF34)+'Grid_Incoming'!CG34-'Grid_Requirement'!CG34</f>
        <v/>
      </c>
      <c r="CH34">
        <f>IF(INDEX(Cal_Weeks[MonthYearLabel],85)&lt;&gt;INDEX(Cal_Weeks[MonthYearLabel],84),'Grid_Stock'!CG34,CG34)+'Grid_Incoming'!CH34-'Grid_Requirement'!CH34</f>
        <v/>
      </c>
      <c r="CI34">
        <f>IF(INDEX(Cal_Weeks[MonthYearLabel],86)&lt;&gt;INDEX(Cal_Weeks[MonthYearLabel],85),'Grid_Stock'!CH34,CH34)+'Grid_Incoming'!CI34-'Grid_Requirement'!CI34</f>
        <v/>
      </c>
      <c r="CJ34">
        <f>IF(INDEX(Cal_Weeks[MonthYearLabel],87)&lt;&gt;INDEX(Cal_Weeks[MonthYearLabel],86),'Grid_Stock'!CI34,CI34)+'Grid_Incoming'!CJ34-'Grid_Requirement'!CJ34</f>
        <v/>
      </c>
      <c r="CK34">
        <f>IF(INDEX(Cal_Weeks[MonthYearLabel],88)&lt;&gt;INDEX(Cal_Weeks[MonthYearLabel],87),'Grid_Stock'!CJ34,CJ34)+'Grid_Incoming'!CK34-'Grid_Requirement'!CK34</f>
        <v/>
      </c>
      <c r="CL34">
        <f>IF(INDEX(Cal_Weeks[MonthYearLabel],89)&lt;&gt;INDEX(Cal_Weeks[MonthYearLabel],88),'Grid_Stock'!CK34,CK34)+'Grid_Incoming'!CL34-'Grid_Requirement'!CL34</f>
        <v/>
      </c>
      <c r="CM34">
        <f>IF(INDEX(Cal_Weeks[MonthYearLabel],90)&lt;&gt;INDEX(Cal_Weeks[MonthYearLabel],89),'Grid_Stock'!CL34,CL34)+'Grid_Incoming'!CM34-'Grid_Requirement'!CM34</f>
        <v/>
      </c>
      <c r="CN34">
        <f>IF(INDEX(Cal_Weeks[MonthYearLabel],91)&lt;&gt;INDEX(Cal_Weeks[MonthYearLabel],90),'Grid_Stock'!CM34,CM34)+'Grid_Incoming'!CN34-'Grid_Requirement'!CN34</f>
        <v/>
      </c>
      <c r="CO34">
        <f>IF(INDEX(Cal_Weeks[MonthYearLabel],92)&lt;&gt;INDEX(Cal_Weeks[MonthYearLabel],91),'Grid_Stock'!CN34,CN34)+'Grid_Incoming'!CO34-'Grid_Requirement'!CO34</f>
        <v/>
      </c>
      <c r="CP34">
        <f>IF(INDEX(Cal_Weeks[MonthYearLabel],93)&lt;&gt;INDEX(Cal_Weeks[MonthYearLabel],92),'Grid_Stock'!CO34,CO34)+'Grid_Incoming'!CP34-'Grid_Requirement'!CP34</f>
        <v/>
      </c>
      <c r="CQ34">
        <f>IF(INDEX(Cal_Weeks[MonthYearLabel],94)&lt;&gt;INDEX(Cal_Weeks[MonthYearLabel],93),'Grid_Stock'!CP34,CP34)+'Grid_Incoming'!CQ34-'Grid_Requirement'!CQ34</f>
        <v/>
      </c>
      <c r="CR34">
        <f>IF(INDEX(Cal_Weeks[MonthYearLabel],95)&lt;&gt;INDEX(Cal_Weeks[MonthYearLabel],94),'Grid_Stock'!CQ34,CQ34)+'Grid_Incoming'!CR34-'Grid_Requirement'!CR34</f>
        <v/>
      </c>
      <c r="CS34">
        <f>IF(INDEX(Cal_Weeks[MonthYearLabel],96)&lt;&gt;INDEX(Cal_Weeks[MonthYearLabel],95),'Grid_Stock'!CR34,CR34)+'Grid_Incoming'!CS34-'Grid_Requirement'!CS34</f>
        <v/>
      </c>
      <c r="CT34">
        <f>IF(INDEX(Cal_Weeks[MonthYearLabel],97)&lt;&gt;INDEX(Cal_Weeks[MonthYearLabel],96),'Grid_Stock'!CS34,CS34)+'Grid_Incoming'!CT34-'Grid_Requirement'!CT34</f>
        <v/>
      </c>
      <c r="CU34">
        <f>IF(INDEX(Cal_Weeks[MonthYearLabel],98)&lt;&gt;INDEX(Cal_Weeks[MonthYearLabel],97),'Grid_Stock'!CT34,CT34)+'Grid_Incoming'!CU34-'Grid_Requirement'!CU34</f>
        <v/>
      </c>
      <c r="CV34">
        <f>IF(INDEX(Cal_Weeks[MonthYearLabel],99)&lt;&gt;INDEX(Cal_Weeks[MonthYearLabel],98),'Grid_Stock'!CU34,CU34)+'Grid_Incoming'!CV34-'Grid_Requirement'!CV34</f>
        <v/>
      </c>
      <c r="CW34">
        <f>IF(INDEX(Cal_Weeks[MonthYearLabel],100)&lt;&gt;INDEX(Cal_Weeks[MonthYearLabel],99),'Grid_Stock'!CV34,CV34)+'Grid_Incoming'!CW34-'Grid_Requirement'!CW34</f>
        <v/>
      </c>
      <c r="CX34">
        <f>IF(INDEX(Cal_Weeks[MonthYearLabel],101)&lt;&gt;INDEX(Cal_Weeks[MonthYearLabel],100),'Grid_Stock'!CW34,CW34)+'Grid_Incoming'!CX34-'Grid_Requirement'!CX34</f>
        <v/>
      </c>
      <c r="CY34">
        <f>IF(INDEX(Cal_Weeks[MonthYearLabel],102)&lt;&gt;INDEX(Cal_Weeks[MonthYearLabel],101),'Grid_Stock'!CX34,CX34)+'Grid_Incoming'!CY34-'Grid_Requirement'!CY34</f>
        <v/>
      </c>
      <c r="CZ34">
        <f>IF(INDEX(Cal_Weeks[MonthYearLabel],103)&lt;&gt;INDEX(Cal_Weeks[MonthYearLabel],102),'Grid_Stock'!CY34,CY34)+'Grid_Incoming'!CZ34-'Grid_Requirement'!CZ34</f>
        <v/>
      </c>
      <c r="DA34">
        <f>IF(INDEX(Cal_Weeks[MonthYearLabel],104)&lt;&gt;INDEX(Cal_Weeks[MonthYearLabel],103),'Grid_Stock'!CZ34,CZ34)+'Grid_Incoming'!DA34-'Grid_Requirement'!DA34</f>
        <v/>
      </c>
    </row>
    <row r="35">
      <c r="A35" t="inlineStr">
        <is>
          <t>CHEM-1660</t>
        </is>
      </c>
      <c r="B35">
        <f>IFERROR(INDEX(T_OpeningStock[Opening_Qty_要入力],MATCH($A35,T_OpeningStock[Part Name],0)),0)+'Grid_Incoming'!B35-'Grid_Requirement'!B35</f>
        <v/>
      </c>
      <c r="C35">
        <f>IF(INDEX(Cal_Weeks[MonthYearLabel],2)&lt;&gt;INDEX(Cal_Weeks[MonthYearLabel],1),'Grid_Stock'!B35,B35)+'Grid_Incoming'!C35-'Grid_Requirement'!C35</f>
        <v/>
      </c>
      <c r="D35">
        <f>IF(INDEX(Cal_Weeks[MonthYearLabel],3)&lt;&gt;INDEX(Cal_Weeks[MonthYearLabel],2),'Grid_Stock'!C35,C35)+'Grid_Incoming'!D35-'Grid_Requirement'!D35</f>
        <v/>
      </c>
      <c r="E35">
        <f>IF(INDEX(Cal_Weeks[MonthYearLabel],4)&lt;&gt;INDEX(Cal_Weeks[MonthYearLabel],3),'Grid_Stock'!D35,D35)+'Grid_Incoming'!E35-'Grid_Requirement'!E35</f>
        <v/>
      </c>
      <c r="F35">
        <f>IF(INDEX(Cal_Weeks[MonthYearLabel],5)&lt;&gt;INDEX(Cal_Weeks[MonthYearLabel],4),'Grid_Stock'!E35,E35)+'Grid_Incoming'!F35-'Grid_Requirement'!F35</f>
        <v/>
      </c>
      <c r="G35">
        <f>IF(INDEX(Cal_Weeks[MonthYearLabel],6)&lt;&gt;INDEX(Cal_Weeks[MonthYearLabel],5),'Grid_Stock'!F35,F35)+'Grid_Incoming'!G35-'Grid_Requirement'!G35</f>
        <v/>
      </c>
      <c r="H35">
        <f>IF(INDEX(Cal_Weeks[MonthYearLabel],7)&lt;&gt;INDEX(Cal_Weeks[MonthYearLabel],6),'Grid_Stock'!G35,G35)+'Grid_Incoming'!H35-'Grid_Requirement'!H35</f>
        <v/>
      </c>
      <c r="I35">
        <f>IF(INDEX(Cal_Weeks[MonthYearLabel],8)&lt;&gt;INDEX(Cal_Weeks[MonthYearLabel],7),'Grid_Stock'!H35,H35)+'Grid_Incoming'!I35-'Grid_Requirement'!I35</f>
        <v/>
      </c>
      <c r="J35">
        <f>IF(INDEX(Cal_Weeks[MonthYearLabel],9)&lt;&gt;INDEX(Cal_Weeks[MonthYearLabel],8),'Grid_Stock'!I35,I35)+'Grid_Incoming'!J35-'Grid_Requirement'!J35</f>
        <v/>
      </c>
      <c r="K35">
        <f>IF(INDEX(Cal_Weeks[MonthYearLabel],10)&lt;&gt;INDEX(Cal_Weeks[MonthYearLabel],9),'Grid_Stock'!J35,J35)+'Grid_Incoming'!K35-'Grid_Requirement'!K35</f>
        <v/>
      </c>
      <c r="L35">
        <f>IF(INDEX(Cal_Weeks[MonthYearLabel],11)&lt;&gt;INDEX(Cal_Weeks[MonthYearLabel],10),'Grid_Stock'!K35,K35)+'Grid_Incoming'!L35-'Grid_Requirement'!L35</f>
        <v/>
      </c>
      <c r="M35">
        <f>IF(INDEX(Cal_Weeks[MonthYearLabel],12)&lt;&gt;INDEX(Cal_Weeks[MonthYearLabel],11),'Grid_Stock'!L35,L35)+'Grid_Incoming'!M35-'Grid_Requirement'!M35</f>
        <v/>
      </c>
      <c r="N35">
        <f>IF(INDEX(Cal_Weeks[MonthYearLabel],13)&lt;&gt;INDEX(Cal_Weeks[MonthYearLabel],12),'Grid_Stock'!M35,M35)+'Grid_Incoming'!N35-'Grid_Requirement'!N35</f>
        <v/>
      </c>
      <c r="O35">
        <f>IF(INDEX(Cal_Weeks[MonthYearLabel],14)&lt;&gt;INDEX(Cal_Weeks[MonthYearLabel],13),'Grid_Stock'!N35,N35)+'Grid_Incoming'!O35-'Grid_Requirement'!O35</f>
        <v/>
      </c>
      <c r="P35">
        <f>IF(INDEX(Cal_Weeks[MonthYearLabel],15)&lt;&gt;INDEX(Cal_Weeks[MonthYearLabel],14),'Grid_Stock'!O35,O35)+'Grid_Incoming'!P35-'Grid_Requirement'!P35</f>
        <v/>
      </c>
      <c r="Q35">
        <f>IF(INDEX(Cal_Weeks[MonthYearLabel],16)&lt;&gt;INDEX(Cal_Weeks[MonthYearLabel],15),'Grid_Stock'!P35,P35)+'Grid_Incoming'!Q35-'Grid_Requirement'!Q35</f>
        <v/>
      </c>
      <c r="R35">
        <f>IF(INDEX(Cal_Weeks[MonthYearLabel],17)&lt;&gt;INDEX(Cal_Weeks[MonthYearLabel],16),'Grid_Stock'!Q35,Q35)+'Grid_Incoming'!R35-'Grid_Requirement'!R35</f>
        <v/>
      </c>
      <c r="S35">
        <f>IF(INDEX(Cal_Weeks[MonthYearLabel],18)&lt;&gt;INDEX(Cal_Weeks[MonthYearLabel],17),'Grid_Stock'!R35,R35)+'Grid_Incoming'!S35-'Grid_Requirement'!S35</f>
        <v/>
      </c>
      <c r="T35">
        <f>IF(INDEX(Cal_Weeks[MonthYearLabel],19)&lt;&gt;INDEX(Cal_Weeks[MonthYearLabel],18),'Grid_Stock'!S35,S35)+'Grid_Incoming'!T35-'Grid_Requirement'!T35</f>
        <v/>
      </c>
      <c r="U35">
        <f>IF(INDEX(Cal_Weeks[MonthYearLabel],20)&lt;&gt;INDEX(Cal_Weeks[MonthYearLabel],19),'Grid_Stock'!T35,T35)+'Grid_Incoming'!U35-'Grid_Requirement'!U35</f>
        <v/>
      </c>
      <c r="V35">
        <f>IF(INDEX(Cal_Weeks[MonthYearLabel],21)&lt;&gt;INDEX(Cal_Weeks[MonthYearLabel],20),'Grid_Stock'!U35,U35)+'Grid_Incoming'!V35-'Grid_Requirement'!V35</f>
        <v/>
      </c>
      <c r="W35">
        <f>IF(INDEX(Cal_Weeks[MonthYearLabel],22)&lt;&gt;INDEX(Cal_Weeks[MonthYearLabel],21),'Grid_Stock'!V35,V35)+'Grid_Incoming'!W35-'Grid_Requirement'!W35</f>
        <v/>
      </c>
      <c r="X35">
        <f>IF(INDEX(Cal_Weeks[MonthYearLabel],23)&lt;&gt;INDEX(Cal_Weeks[MonthYearLabel],22),'Grid_Stock'!W35,W35)+'Grid_Incoming'!X35-'Grid_Requirement'!X35</f>
        <v/>
      </c>
      <c r="Y35">
        <f>IF(INDEX(Cal_Weeks[MonthYearLabel],24)&lt;&gt;INDEX(Cal_Weeks[MonthYearLabel],23),'Grid_Stock'!X35,X35)+'Grid_Incoming'!Y35-'Grid_Requirement'!Y35</f>
        <v/>
      </c>
      <c r="Z35">
        <f>IF(INDEX(Cal_Weeks[MonthYearLabel],25)&lt;&gt;INDEX(Cal_Weeks[MonthYearLabel],24),'Grid_Stock'!Y35,Y35)+'Grid_Incoming'!Z35-'Grid_Requirement'!Z35</f>
        <v/>
      </c>
      <c r="AA35">
        <f>IF(INDEX(Cal_Weeks[MonthYearLabel],26)&lt;&gt;INDEX(Cal_Weeks[MonthYearLabel],25),'Grid_Stock'!Z35,Z35)+'Grid_Incoming'!AA35-'Grid_Requirement'!AA35</f>
        <v/>
      </c>
      <c r="AB35">
        <f>IF(INDEX(Cal_Weeks[MonthYearLabel],27)&lt;&gt;INDEX(Cal_Weeks[MonthYearLabel],26),'Grid_Stock'!AA35,AA35)+'Grid_Incoming'!AB35-'Grid_Requirement'!AB35</f>
        <v/>
      </c>
      <c r="AC35">
        <f>IF(INDEX(Cal_Weeks[MonthYearLabel],28)&lt;&gt;INDEX(Cal_Weeks[MonthYearLabel],27),'Grid_Stock'!AB35,AB35)+'Grid_Incoming'!AC35-'Grid_Requirement'!AC35</f>
        <v/>
      </c>
      <c r="AD35">
        <f>IF(INDEX(Cal_Weeks[MonthYearLabel],29)&lt;&gt;INDEX(Cal_Weeks[MonthYearLabel],28),'Grid_Stock'!AC35,AC35)+'Grid_Incoming'!AD35-'Grid_Requirement'!AD35</f>
        <v/>
      </c>
      <c r="AE35">
        <f>IF(INDEX(Cal_Weeks[MonthYearLabel],30)&lt;&gt;INDEX(Cal_Weeks[MonthYearLabel],29),'Grid_Stock'!AD35,AD35)+'Grid_Incoming'!AE35-'Grid_Requirement'!AE35</f>
        <v/>
      </c>
      <c r="AF35">
        <f>IF(INDEX(Cal_Weeks[MonthYearLabel],31)&lt;&gt;INDEX(Cal_Weeks[MonthYearLabel],30),'Grid_Stock'!AE35,AE35)+'Grid_Incoming'!AF35-'Grid_Requirement'!AF35</f>
        <v/>
      </c>
      <c r="AG35">
        <f>IF(INDEX(Cal_Weeks[MonthYearLabel],32)&lt;&gt;INDEX(Cal_Weeks[MonthYearLabel],31),'Grid_Stock'!AF35,AF35)+'Grid_Incoming'!AG35-'Grid_Requirement'!AG35</f>
        <v/>
      </c>
      <c r="AH35">
        <f>IF(INDEX(Cal_Weeks[MonthYearLabel],33)&lt;&gt;INDEX(Cal_Weeks[MonthYearLabel],32),'Grid_Stock'!AG35,AG35)+'Grid_Incoming'!AH35-'Grid_Requirement'!AH35</f>
        <v/>
      </c>
      <c r="AI35">
        <f>IF(INDEX(Cal_Weeks[MonthYearLabel],34)&lt;&gt;INDEX(Cal_Weeks[MonthYearLabel],33),'Grid_Stock'!AH35,AH35)+'Grid_Incoming'!AI35-'Grid_Requirement'!AI35</f>
        <v/>
      </c>
      <c r="AJ35">
        <f>IF(INDEX(Cal_Weeks[MonthYearLabel],35)&lt;&gt;INDEX(Cal_Weeks[MonthYearLabel],34),'Grid_Stock'!AI35,AI35)+'Grid_Incoming'!AJ35-'Grid_Requirement'!AJ35</f>
        <v/>
      </c>
      <c r="AK35">
        <f>IF(INDEX(Cal_Weeks[MonthYearLabel],36)&lt;&gt;INDEX(Cal_Weeks[MonthYearLabel],35),'Grid_Stock'!AJ35,AJ35)+'Grid_Incoming'!AK35-'Grid_Requirement'!AK35</f>
        <v/>
      </c>
      <c r="AL35">
        <f>IF(INDEX(Cal_Weeks[MonthYearLabel],37)&lt;&gt;INDEX(Cal_Weeks[MonthYearLabel],36),'Grid_Stock'!AK35,AK35)+'Grid_Incoming'!AL35-'Grid_Requirement'!AL35</f>
        <v/>
      </c>
      <c r="AM35">
        <f>IF(INDEX(Cal_Weeks[MonthYearLabel],38)&lt;&gt;INDEX(Cal_Weeks[MonthYearLabel],37),'Grid_Stock'!AL35,AL35)+'Grid_Incoming'!AM35-'Grid_Requirement'!AM35</f>
        <v/>
      </c>
      <c r="AN35">
        <f>IF(INDEX(Cal_Weeks[MonthYearLabel],39)&lt;&gt;INDEX(Cal_Weeks[MonthYearLabel],38),'Grid_Stock'!AM35,AM35)+'Grid_Incoming'!AN35-'Grid_Requirement'!AN35</f>
        <v/>
      </c>
      <c r="AO35">
        <f>IF(INDEX(Cal_Weeks[MonthYearLabel],40)&lt;&gt;INDEX(Cal_Weeks[MonthYearLabel],39),'Grid_Stock'!AN35,AN35)+'Grid_Incoming'!AO35-'Grid_Requirement'!AO35</f>
        <v/>
      </c>
      <c r="AP35">
        <f>IF(INDEX(Cal_Weeks[MonthYearLabel],41)&lt;&gt;INDEX(Cal_Weeks[MonthYearLabel],40),'Grid_Stock'!AO35,AO35)+'Grid_Incoming'!AP35-'Grid_Requirement'!AP35</f>
        <v/>
      </c>
      <c r="AQ35">
        <f>IF(INDEX(Cal_Weeks[MonthYearLabel],42)&lt;&gt;INDEX(Cal_Weeks[MonthYearLabel],41),'Grid_Stock'!AP35,AP35)+'Grid_Incoming'!AQ35-'Grid_Requirement'!AQ35</f>
        <v/>
      </c>
      <c r="AR35">
        <f>IF(INDEX(Cal_Weeks[MonthYearLabel],43)&lt;&gt;INDEX(Cal_Weeks[MonthYearLabel],42),'Grid_Stock'!AQ35,AQ35)+'Grid_Incoming'!AR35-'Grid_Requirement'!AR35</f>
        <v/>
      </c>
      <c r="AS35">
        <f>IF(INDEX(Cal_Weeks[MonthYearLabel],44)&lt;&gt;INDEX(Cal_Weeks[MonthYearLabel],43),'Grid_Stock'!AR35,AR35)+'Grid_Incoming'!AS35-'Grid_Requirement'!AS35</f>
        <v/>
      </c>
      <c r="AT35">
        <f>IF(INDEX(Cal_Weeks[MonthYearLabel],45)&lt;&gt;INDEX(Cal_Weeks[MonthYearLabel],44),'Grid_Stock'!AS35,AS35)+'Grid_Incoming'!AT35-'Grid_Requirement'!AT35</f>
        <v/>
      </c>
      <c r="AU35">
        <f>IF(INDEX(Cal_Weeks[MonthYearLabel],46)&lt;&gt;INDEX(Cal_Weeks[MonthYearLabel],45),'Grid_Stock'!AT35,AT35)+'Grid_Incoming'!AU35-'Grid_Requirement'!AU35</f>
        <v/>
      </c>
      <c r="AV35">
        <f>IF(INDEX(Cal_Weeks[MonthYearLabel],47)&lt;&gt;INDEX(Cal_Weeks[MonthYearLabel],46),'Grid_Stock'!AU35,AU35)+'Grid_Incoming'!AV35-'Grid_Requirement'!AV35</f>
        <v/>
      </c>
      <c r="AW35">
        <f>IF(INDEX(Cal_Weeks[MonthYearLabel],48)&lt;&gt;INDEX(Cal_Weeks[MonthYearLabel],47),'Grid_Stock'!AV35,AV35)+'Grid_Incoming'!AW35-'Grid_Requirement'!AW35</f>
        <v/>
      </c>
      <c r="AX35">
        <f>IF(INDEX(Cal_Weeks[MonthYearLabel],49)&lt;&gt;INDEX(Cal_Weeks[MonthYearLabel],48),'Grid_Stock'!AW35,AW35)+'Grid_Incoming'!AX35-'Grid_Requirement'!AX35</f>
        <v/>
      </c>
      <c r="AY35">
        <f>IF(INDEX(Cal_Weeks[MonthYearLabel],50)&lt;&gt;INDEX(Cal_Weeks[MonthYearLabel],49),'Grid_Stock'!AX35,AX35)+'Grid_Incoming'!AY35-'Grid_Requirement'!AY35</f>
        <v/>
      </c>
      <c r="AZ35">
        <f>IF(INDEX(Cal_Weeks[MonthYearLabel],51)&lt;&gt;INDEX(Cal_Weeks[MonthYearLabel],50),'Grid_Stock'!AY35,AY35)+'Grid_Incoming'!AZ35-'Grid_Requirement'!AZ35</f>
        <v/>
      </c>
      <c r="BA35">
        <f>IF(INDEX(Cal_Weeks[MonthYearLabel],52)&lt;&gt;INDEX(Cal_Weeks[MonthYearLabel],51),'Grid_Stock'!AZ35,AZ35)+'Grid_Incoming'!BA35-'Grid_Requirement'!BA35</f>
        <v/>
      </c>
      <c r="BB35">
        <f>IF(INDEX(Cal_Weeks[MonthYearLabel],53)&lt;&gt;INDEX(Cal_Weeks[MonthYearLabel],52),'Grid_Stock'!BA35,BA35)+'Grid_Incoming'!BB35-'Grid_Requirement'!BB35</f>
        <v/>
      </c>
      <c r="BC35">
        <f>IF(INDEX(Cal_Weeks[MonthYearLabel],54)&lt;&gt;INDEX(Cal_Weeks[MonthYearLabel],53),'Grid_Stock'!BB35,BB35)+'Grid_Incoming'!BC35-'Grid_Requirement'!BC35</f>
        <v/>
      </c>
      <c r="BD35">
        <f>IF(INDEX(Cal_Weeks[MonthYearLabel],55)&lt;&gt;INDEX(Cal_Weeks[MonthYearLabel],54),'Grid_Stock'!BC35,BC35)+'Grid_Incoming'!BD35-'Grid_Requirement'!BD35</f>
        <v/>
      </c>
      <c r="BE35">
        <f>IF(INDEX(Cal_Weeks[MonthYearLabel],56)&lt;&gt;INDEX(Cal_Weeks[MonthYearLabel],55),'Grid_Stock'!BD35,BD35)+'Grid_Incoming'!BE35-'Grid_Requirement'!BE35</f>
        <v/>
      </c>
      <c r="BF35">
        <f>IF(INDEX(Cal_Weeks[MonthYearLabel],57)&lt;&gt;INDEX(Cal_Weeks[MonthYearLabel],56),'Grid_Stock'!BE35,BE35)+'Grid_Incoming'!BF35-'Grid_Requirement'!BF35</f>
        <v/>
      </c>
      <c r="BG35">
        <f>IF(INDEX(Cal_Weeks[MonthYearLabel],58)&lt;&gt;INDEX(Cal_Weeks[MonthYearLabel],57),'Grid_Stock'!BF35,BF35)+'Grid_Incoming'!BG35-'Grid_Requirement'!BG35</f>
        <v/>
      </c>
      <c r="BH35">
        <f>IF(INDEX(Cal_Weeks[MonthYearLabel],59)&lt;&gt;INDEX(Cal_Weeks[MonthYearLabel],58),'Grid_Stock'!BG35,BG35)+'Grid_Incoming'!BH35-'Grid_Requirement'!BH35</f>
        <v/>
      </c>
      <c r="BI35">
        <f>IF(INDEX(Cal_Weeks[MonthYearLabel],60)&lt;&gt;INDEX(Cal_Weeks[MonthYearLabel],59),'Grid_Stock'!BH35,BH35)+'Grid_Incoming'!BI35-'Grid_Requirement'!BI35</f>
        <v/>
      </c>
      <c r="BJ35">
        <f>IF(INDEX(Cal_Weeks[MonthYearLabel],61)&lt;&gt;INDEX(Cal_Weeks[MonthYearLabel],60),'Grid_Stock'!BI35,BI35)+'Grid_Incoming'!BJ35-'Grid_Requirement'!BJ35</f>
        <v/>
      </c>
      <c r="BK35">
        <f>IF(INDEX(Cal_Weeks[MonthYearLabel],62)&lt;&gt;INDEX(Cal_Weeks[MonthYearLabel],61),'Grid_Stock'!BJ35,BJ35)+'Grid_Incoming'!BK35-'Grid_Requirement'!BK35</f>
        <v/>
      </c>
      <c r="BL35">
        <f>IF(INDEX(Cal_Weeks[MonthYearLabel],63)&lt;&gt;INDEX(Cal_Weeks[MonthYearLabel],62),'Grid_Stock'!BK35,BK35)+'Grid_Incoming'!BL35-'Grid_Requirement'!BL35</f>
        <v/>
      </c>
      <c r="BM35">
        <f>IF(INDEX(Cal_Weeks[MonthYearLabel],64)&lt;&gt;INDEX(Cal_Weeks[MonthYearLabel],63),'Grid_Stock'!BL35,BL35)+'Grid_Incoming'!BM35-'Grid_Requirement'!BM35</f>
        <v/>
      </c>
      <c r="BN35">
        <f>IF(INDEX(Cal_Weeks[MonthYearLabel],65)&lt;&gt;INDEX(Cal_Weeks[MonthYearLabel],64),'Grid_Stock'!BM35,BM35)+'Grid_Incoming'!BN35-'Grid_Requirement'!BN35</f>
        <v/>
      </c>
      <c r="BO35">
        <f>IF(INDEX(Cal_Weeks[MonthYearLabel],66)&lt;&gt;INDEX(Cal_Weeks[MonthYearLabel],65),'Grid_Stock'!BN35,BN35)+'Grid_Incoming'!BO35-'Grid_Requirement'!BO35</f>
        <v/>
      </c>
      <c r="BP35">
        <f>IF(INDEX(Cal_Weeks[MonthYearLabel],67)&lt;&gt;INDEX(Cal_Weeks[MonthYearLabel],66),'Grid_Stock'!BO35,BO35)+'Grid_Incoming'!BP35-'Grid_Requirement'!BP35</f>
        <v/>
      </c>
      <c r="BQ35">
        <f>IF(INDEX(Cal_Weeks[MonthYearLabel],68)&lt;&gt;INDEX(Cal_Weeks[MonthYearLabel],67),'Grid_Stock'!BP35,BP35)+'Grid_Incoming'!BQ35-'Grid_Requirement'!BQ35</f>
        <v/>
      </c>
      <c r="BR35">
        <f>IF(INDEX(Cal_Weeks[MonthYearLabel],69)&lt;&gt;INDEX(Cal_Weeks[MonthYearLabel],68),'Grid_Stock'!BQ35,BQ35)+'Grid_Incoming'!BR35-'Grid_Requirement'!BR35</f>
        <v/>
      </c>
      <c r="BS35">
        <f>IF(INDEX(Cal_Weeks[MonthYearLabel],70)&lt;&gt;INDEX(Cal_Weeks[MonthYearLabel],69),'Grid_Stock'!BR35,BR35)+'Grid_Incoming'!BS35-'Grid_Requirement'!BS35</f>
        <v/>
      </c>
      <c r="BT35">
        <f>IF(INDEX(Cal_Weeks[MonthYearLabel],71)&lt;&gt;INDEX(Cal_Weeks[MonthYearLabel],70),'Grid_Stock'!BS35,BS35)+'Grid_Incoming'!BT35-'Grid_Requirement'!BT35</f>
        <v/>
      </c>
      <c r="BU35">
        <f>IF(INDEX(Cal_Weeks[MonthYearLabel],72)&lt;&gt;INDEX(Cal_Weeks[MonthYearLabel],71),'Grid_Stock'!BT35,BT35)+'Grid_Incoming'!BU35-'Grid_Requirement'!BU35</f>
        <v/>
      </c>
      <c r="BV35">
        <f>IF(INDEX(Cal_Weeks[MonthYearLabel],73)&lt;&gt;INDEX(Cal_Weeks[MonthYearLabel],72),'Grid_Stock'!BU35,BU35)+'Grid_Incoming'!BV35-'Grid_Requirement'!BV35</f>
        <v/>
      </c>
      <c r="BW35">
        <f>IF(INDEX(Cal_Weeks[MonthYearLabel],74)&lt;&gt;INDEX(Cal_Weeks[MonthYearLabel],73),'Grid_Stock'!BV35,BV35)+'Grid_Incoming'!BW35-'Grid_Requirement'!BW35</f>
        <v/>
      </c>
      <c r="BX35">
        <f>IF(INDEX(Cal_Weeks[MonthYearLabel],75)&lt;&gt;INDEX(Cal_Weeks[MonthYearLabel],74),'Grid_Stock'!BW35,BW35)+'Grid_Incoming'!BX35-'Grid_Requirement'!BX35</f>
        <v/>
      </c>
      <c r="BY35">
        <f>IF(INDEX(Cal_Weeks[MonthYearLabel],76)&lt;&gt;INDEX(Cal_Weeks[MonthYearLabel],75),'Grid_Stock'!BX35,BX35)+'Grid_Incoming'!BY35-'Grid_Requirement'!BY35</f>
        <v/>
      </c>
      <c r="BZ35">
        <f>IF(INDEX(Cal_Weeks[MonthYearLabel],77)&lt;&gt;INDEX(Cal_Weeks[MonthYearLabel],76),'Grid_Stock'!BY35,BY35)+'Grid_Incoming'!BZ35-'Grid_Requirement'!BZ35</f>
        <v/>
      </c>
      <c r="CA35">
        <f>IF(INDEX(Cal_Weeks[MonthYearLabel],78)&lt;&gt;INDEX(Cal_Weeks[MonthYearLabel],77),'Grid_Stock'!BZ35,BZ35)+'Grid_Incoming'!CA35-'Grid_Requirement'!CA35</f>
        <v/>
      </c>
      <c r="CB35">
        <f>IF(INDEX(Cal_Weeks[MonthYearLabel],79)&lt;&gt;INDEX(Cal_Weeks[MonthYearLabel],78),'Grid_Stock'!CA35,CA35)+'Grid_Incoming'!CB35-'Grid_Requirement'!CB35</f>
        <v/>
      </c>
      <c r="CC35">
        <f>IF(INDEX(Cal_Weeks[MonthYearLabel],80)&lt;&gt;INDEX(Cal_Weeks[MonthYearLabel],79),'Grid_Stock'!CB35,CB35)+'Grid_Incoming'!CC35-'Grid_Requirement'!CC35</f>
        <v/>
      </c>
      <c r="CD35">
        <f>IF(INDEX(Cal_Weeks[MonthYearLabel],81)&lt;&gt;INDEX(Cal_Weeks[MonthYearLabel],80),'Grid_Stock'!CC35,CC35)+'Grid_Incoming'!CD35-'Grid_Requirement'!CD35</f>
        <v/>
      </c>
      <c r="CE35">
        <f>IF(INDEX(Cal_Weeks[MonthYearLabel],82)&lt;&gt;INDEX(Cal_Weeks[MonthYearLabel],81),'Grid_Stock'!CD35,CD35)+'Grid_Incoming'!CE35-'Grid_Requirement'!CE35</f>
        <v/>
      </c>
      <c r="CF35">
        <f>IF(INDEX(Cal_Weeks[MonthYearLabel],83)&lt;&gt;INDEX(Cal_Weeks[MonthYearLabel],82),'Grid_Stock'!CE35,CE35)+'Grid_Incoming'!CF35-'Grid_Requirement'!CF35</f>
        <v/>
      </c>
      <c r="CG35">
        <f>IF(INDEX(Cal_Weeks[MonthYearLabel],84)&lt;&gt;INDEX(Cal_Weeks[MonthYearLabel],83),'Grid_Stock'!CF35,CF35)+'Grid_Incoming'!CG35-'Grid_Requirement'!CG35</f>
        <v/>
      </c>
      <c r="CH35">
        <f>IF(INDEX(Cal_Weeks[MonthYearLabel],85)&lt;&gt;INDEX(Cal_Weeks[MonthYearLabel],84),'Grid_Stock'!CG35,CG35)+'Grid_Incoming'!CH35-'Grid_Requirement'!CH35</f>
        <v/>
      </c>
      <c r="CI35">
        <f>IF(INDEX(Cal_Weeks[MonthYearLabel],86)&lt;&gt;INDEX(Cal_Weeks[MonthYearLabel],85),'Grid_Stock'!CH35,CH35)+'Grid_Incoming'!CI35-'Grid_Requirement'!CI35</f>
        <v/>
      </c>
      <c r="CJ35">
        <f>IF(INDEX(Cal_Weeks[MonthYearLabel],87)&lt;&gt;INDEX(Cal_Weeks[MonthYearLabel],86),'Grid_Stock'!CI35,CI35)+'Grid_Incoming'!CJ35-'Grid_Requirement'!CJ35</f>
        <v/>
      </c>
      <c r="CK35">
        <f>IF(INDEX(Cal_Weeks[MonthYearLabel],88)&lt;&gt;INDEX(Cal_Weeks[MonthYearLabel],87),'Grid_Stock'!CJ35,CJ35)+'Grid_Incoming'!CK35-'Grid_Requirement'!CK35</f>
        <v/>
      </c>
      <c r="CL35">
        <f>IF(INDEX(Cal_Weeks[MonthYearLabel],89)&lt;&gt;INDEX(Cal_Weeks[MonthYearLabel],88),'Grid_Stock'!CK35,CK35)+'Grid_Incoming'!CL35-'Grid_Requirement'!CL35</f>
        <v/>
      </c>
      <c r="CM35">
        <f>IF(INDEX(Cal_Weeks[MonthYearLabel],90)&lt;&gt;INDEX(Cal_Weeks[MonthYearLabel],89),'Grid_Stock'!CL35,CL35)+'Grid_Incoming'!CM35-'Grid_Requirement'!CM35</f>
        <v/>
      </c>
      <c r="CN35">
        <f>IF(INDEX(Cal_Weeks[MonthYearLabel],91)&lt;&gt;INDEX(Cal_Weeks[MonthYearLabel],90),'Grid_Stock'!CM35,CM35)+'Grid_Incoming'!CN35-'Grid_Requirement'!CN35</f>
        <v/>
      </c>
      <c r="CO35">
        <f>IF(INDEX(Cal_Weeks[MonthYearLabel],92)&lt;&gt;INDEX(Cal_Weeks[MonthYearLabel],91),'Grid_Stock'!CN35,CN35)+'Grid_Incoming'!CO35-'Grid_Requirement'!CO35</f>
        <v/>
      </c>
      <c r="CP35">
        <f>IF(INDEX(Cal_Weeks[MonthYearLabel],93)&lt;&gt;INDEX(Cal_Weeks[MonthYearLabel],92),'Grid_Stock'!CO35,CO35)+'Grid_Incoming'!CP35-'Grid_Requirement'!CP35</f>
        <v/>
      </c>
      <c r="CQ35">
        <f>IF(INDEX(Cal_Weeks[MonthYearLabel],94)&lt;&gt;INDEX(Cal_Weeks[MonthYearLabel],93),'Grid_Stock'!CP35,CP35)+'Grid_Incoming'!CQ35-'Grid_Requirement'!CQ35</f>
        <v/>
      </c>
      <c r="CR35">
        <f>IF(INDEX(Cal_Weeks[MonthYearLabel],95)&lt;&gt;INDEX(Cal_Weeks[MonthYearLabel],94),'Grid_Stock'!CQ35,CQ35)+'Grid_Incoming'!CR35-'Grid_Requirement'!CR35</f>
        <v/>
      </c>
      <c r="CS35">
        <f>IF(INDEX(Cal_Weeks[MonthYearLabel],96)&lt;&gt;INDEX(Cal_Weeks[MonthYearLabel],95),'Grid_Stock'!CR35,CR35)+'Grid_Incoming'!CS35-'Grid_Requirement'!CS35</f>
        <v/>
      </c>
      <c r="CT35">
        <f>IF(INDEX(Cal_Weeks[MonthYearLabel],97)&lt;&gt;INDEX(Cal_Weeks[MonthYearLabel],96),'Grid_Stock'!CS35,CS35)+'Grid_Incoming'!CT35-'Grid_Requirement'!CT35</f>
        <v/>
      </c>
      <c r="CU35">
        <f>IF(INDEX(Cal_Weeks[MonthYearLabel],98)&lt;&gt;INDEX(Cal_Weeks[MonthYearLabel],97),'Grid_Stock'!CT35,CT35)+'Grid_Incoming'!CU35-'Grid_Requirement'!CU35</f>
        <v/>
      </c>
      <c r="CV35">
        <f>IF(INDEX(Cal_Weeks[MonthYearLabel],99)&lt;&gt;INDEX(Cal_Weeks[MonthYearLabel],98),'Grid_Stock'!CU35,CU35)+'Grid_Incoming'!CV35-'Grid_Requirement'!CV35</f>
        <v/>
      </c>
      <c r="CW35">
        <f>IF(INDEX(Cal_Weeks[MonthYearLabel],100)&lt;&gt;INDEX(Cal_Weeks[MonthYearLabel],99),'Grid_Stock'!CV35,CV35)+'Grid_Incoming'!CW35-'Grid_Requirement'!CW35</f>
        <v/>
      </c>
      <c r="CX35">
        <f>IF(INDEX(Cal_Weeks[MonthYearLabel],101)&lt;&gt;INDEX(Cal_Weeks[MonthYearLabel],100),'Grid_Stock'!CW35,CW35)+'Grid_Incoming'!CX35-'Grid_Requirement'!CX35</f>
        <v/>
      </c>
      <c r="CY35">
        <f>IF(INDEX(Cal_Weeks[MonthYearLabel],102)&lt;&gt;INDEX(Cal_Weeks[MonthYearLabel],101),'Grid_Stock'!CX35,CX35)+'Grid_Incoming'!CY35-'Grid_Requirement'!CY35</f>
        <v/>
      </c>
      <c r="CZ35">
        <f>IF(INDEX(Cal_Weeks[MonthYearLabel],103)&lt;&gt;INDEX(Cal_Weeks[MonthYearLabel],102),'Grid_Stock'!CY35,CY35)+'Grid_Incoming'!CZ35-'Grid_Requirement'!CZ35</f>
        <v/>
      </c>
      <c r="DA35">
        <f>IF(INDEX(Cal_Weeks[MonthYearLabel],104)&lt;&gt;INDEX(Cal_Weeks[MonthYearLabel],103),'Grid_Stock'!CZ35,CZ35)+'Grid_Incoming'!DA35-'Grid_Requirement'!DA35</f>
        <v/>
      </c>
    </row>
    <row r="36">
      <c r="A36" t="inlineStr">
        <is>
          <t>CHEM-1420</t>
        </is>
      </c>
      <c r="B36">
        <f>IFERROR(INDEX(T_OpeningStock[Opening_Qty_要入力],MATCH($A36,T_OpeningStock[Part Name],0)),0)+'Grid_Incoming'!B36-'Grid_Requirement'!B36</f>
        <v/>
      </c>
      <c r="C36">
        <f>IF(INDEX(Cal_Weeks[MonthYearLabel],2)&lt;&gt;INDEX(Cal_Weeks[MonthYearLabel],1),'Grid_Stock'!B36,B36)+'Grid_Incoming'!C36-'Grid_Requirement'!C36</f>
        <v/>
      </c>
      <c r="D36">
        <f>IF(INDEX(Cal_Weeks[MonthYearLabel],3)&lt;&gt;INDEX(Cal_Weeks[MonthYearLabel],2),'Grid_Stock'!C36,C36)+'Grid_Incoming'!D36-'Grid_Requirement'!D36</f>
        <v/>
      </c>
      <c r="E36">
        <f>IF(INDEX(Cal_Weeks[MonthYearLabel],4)&lt;&gt;INDEX(Cal_Weeks[MonthYearLabel],3),'Grid_Stock'!D36,D36)+'Grid_Incoming'!E36-'Grid_Requirement'!E36</f>
        <v/>
      </c>
      <c r="F36">
        <f>IF(INDEX(Cal_Weeks[MonthYearLabel],5)&lt;&gt;INDEX(Cal_Weeks[MonthYearLabel],4),'Grid_Stock'!E36,E36)+'Grid_Incoming'!F36-'Grid_Requirement'!F36</f>
        <v/>
      </c>
      <c r="G36">
        <f>IF(INDEX(Cal_Weeks[MonthYearLabel],6)&lt;&gt;INDEX(Cal_Weeks[MonthYearLabel],5),'Grid_Stock'!F36,F36)+'Grid_Incoming'!G36-'Grid_Requirement'!G36</f>
        <v/>
      </c>
      <c r="H36">
        <f>IF(INDEX(Cal_Weeks[MonthYearLabel],7)&lt;&gt;INDEX(Cal_Weeks[MonthYearLabel],6),'Grid_Stock'!G36,G36)+'Grid_Incoming'!H36-'Grid_Requirement'!H36</f>
        <v/>
      </c>
      <c r="I36">
        <f>IF(INDEX(Cal_Weeks[MonthYearLabel],8)&lt;&gt;INDEX(Cal_Weeks[MonthYearLabel],7),'Grid_Stock'!H36,H36)+'Grid_Incoming'!I36-'Grid_Requirement'!I36</f>
        <v/>
      </c>
      <c r="J36">
        <f>IF(INDEX(Cal_Weeks[MonthYearLabel],9)&lt;&gt;INDEX(Cal_Weeks[MonthYearLabel],8),'Grid_Stock'!I36,I36)+'Grid_Incoming'!J36-'Grid_Requirement'!J36</f>
        <v/>
      </c>
      <c r="K36">
        <f>IF(INDEX(Cal_Weeks[MonthYearLabel],10)&lt;&gt;INDEX(Cal_Weeks[MonthYearLabel],9),'Grid_Stock'!J36,J36)+'Grid_Incoming'!K36-'Grid_Requirement'!K36</f>
        <v/>
      </c>
      <c r="L36">
        <f>IF(INDEX(Cal_Weeks[MonthYearLabel],11)&lt;&gt;INDEX(Cal_Weeks[MonthYearLabel],10),'Grid_Stock'!K36,K36)+'Grid_Incoming'!L36-'Grid_Requirement'!L36</f>
        <v/>
      </c>
      <c r="M36">
        <f>IF(INDEX(Cal_Weeks[MonthYearLabel],12)&lt;&gt;INDEX(Cal_Weeks[MonthYearLabel],11),'Grid_Stock'!L36,L36)+'Grid_Incoming'!M36-'Grid_Requirement'!M36</f>
        <v/>
      </c>
      <c r="N36">
        <f>IF(INDEX(Cal_Weeks[MonthYearLabel],13)&lt;&gt;INDEX(Cal_Weeks[MonthYearLabel],12),'Grid_Stock'!M36,M36)+'Grid_Incoming'!N36-'Grid_Requirement'!N36</f>
        <v/>
      </c>
      <c r="O36">
        <f>IF(INDEX(Cal_Weeks[MonthYearLabel],14)&lt;&gt;INDEX(Cal_Weeks[MonthYearLabel],13),'Grid_Stock'!N36,N36)+'Grid_Incoming'!O36-'Grid_Requirement'!O36</f>
        <v/>
      </c>
      <c r="P36">
        <f>IF(INDEX(Cal_Weeks[MonthYearLabel],15)&lt;&gt;INDEX(Cal_Weeks[MonthYearLabel],14),'Grid_Stock'!O36,O36)+'Grid_Incoming'!P36-'Grid_Requirement'!P36</f>
        <v/>
      </c>
      <c r="Q36">
        <f>IF(INDEX(Cal_Weeks[MonthYearLabel],16)&lt;&gt;INDEX(Cal_Weeks[MonthYearLabel],15),'Grid_Stock'!P36,P36)+'Grid_Incoming'!Q36-'Grid_Requirement'!Q36</f>
        <v/>
      </c>
      <c r="R36">
        <f>IF(INDEX(Cal_Weeks[MonthYearLabel],17)&lt;&gt;INDEX(Cal_Weeks[MonthYearLabel],16),'Grid_Stock'!Q36,Q36)+'Grid_Incoming'!R36-'Grid_Requirement'!R36</f>
        <v/>
      </c>
      <c r="S36">
        <f>IF(INDEX(Cal_Weeks[MonthYearLabel],18)&lt;&gt;INDEX(Cal_Weeks[MonthYearLabel],17),'Grid_Stock'!R36,R36)+'Grid_Incoming'!S36-'Grid_Requirement'!S36</f>
        <v/>
      </c>
      <c r="T36">
        <f>IF(INDEX(Cal_Weeks[MonthYearLabel],19)&lt;&gt;INDEX(Cal_Weeks[MonthYearLabel],18),'Grid_Stock'!S36,S36)+'Grid_Incoming'!T36-'Grid_Requirement'!T36</f>
        <v/>
      </c>
      <c r="U36">
        <f>IF(INDEX(Cal_Weeks[MonthYearLabel],20)&lt;&gt;INDEX(Cal_Weeks[MonthYearLabel],19),'Grid_Stock'!T36,T36)+'Grid_Incoming'!U36-'Grid_Requirement'!U36</f>
        <v/>
      </c>
      <c r="V36">
        <f>IF(INDEX(Cal_Weeks[MonthYearLabel],21)&lt;&gt;INDEX(Cal_Weeks[MonthYearLabel],20),'Grid_Stock'!U36,U36)+'Grid_Incoming'!V36-'Grid_Requirement'!V36</f>
        <v/>
      </c>
      <c r="W36">
        <f>IF(INDEX(Cal_Weeks[MonthYearLabel],22)&lt;&gt;INDEX(Cal_Weeks[MonthYearLabel],21),'Grid_Stock'!V36,V36)+'Grid_Incoming'!W36-'Grid_Requirement'!W36</f>
        <v/>
      </c>
      <c r="X36">
        <f>IF(INDEX(Cal_Weeks[MonthYearLabel],23)&lt;&gt;INDEX(Cal_Weeks[MonthYearLabel],22),'Grid_Stock'!W36,W36)+'Grid_Incoming'!X36-'Grid_Requirement'!X36</f>
        <v/>
      </c>
      <c r="Y36">
        <f>IF(INDEX(Cal_Weeks[MonthYearLabel],24)&lt;&gt;INDEX(Cal_Weeks[MonthYearLabel],23),'Grid_Stock'!X36,X36)+'Grid_Incoming'!Y36-'Grid_Requirement'!Y36</f>
        <v/>
      </c>
      <c r="Z36">
        <f>IF(INDEX(Cal_Weeks[MonthYearLabel],25)&lt;&gt;INDEX(Cal_Weeks[MonthYearLabel],24),'Grid_Stock'!Y36,Y36)+'Grid_Incoming'!Z36-'Grid_Requirement'!Z36</f>
        <v/>
      </c>
      <c r="AA36">
        <f>IF(INDEX(Cal_Weeks[MonthYearLabel],26)&lt;&gt;INDEX(Cal_Weeks[MonthYearLabel],25),'Grid_Stock'!Z36,Z36)+'Grid_Incoming'!AA36-'Grid_Requirement'!AA36</f>
        <v/>
      </c>
      <c r="AB36">
        <f>IF(INDEX(Cal_Weeks[MonthYearLabel],27)&lt;&gt;INDEX(Cal_Weeks[MonthYearLabel],26),'Grid_Stock'!AA36,AA36)+'Grid_Incoming'!AB36-'Grid_Requirement'!AB36</f>
        <v/>
      </c>
      <c r="AC36">
        <f>IF(INDEX(Cal_Weeks[MonthYearLabel],28)&lt;&gt;INDEX(Cal_Weeks[MonthYearLabel],27),'Grid_Stock'!AB36,AB36)+'Grid_Incoming'!AC36-'Grid_Requirement'!AC36</f>
        <v/>
      </c>
      <c r="AD36">
        <f>IF(INDEX(Cal_Weeks[MonthYearLabel],29)&lt;&gt;INDEX(Cal_Weeks[MonthYearLabel],28),'Grid_Stock'!AC36,AC36)+'Grid_Incoming'!AD36-'Grid_Requirement'!AD36</f>
        <v/>
      </c>
      <c r="AE36">
        <f>IF(INDEX(Cal_Weeks[MonthYearLabel],30)&lt;&gt;INDEX(Cal_Weeks[MonthYearLabel],29),'Grid_Stock'!AD36,AD36)+'Grid_Incoming'!AE36-'Grid_Requirement'!AE36</f>
        <v/>
      </c>
      <c r="AF36">
        <f>IF(INDEX(Cal_Weeks[MonthYearLabel],31)&lt;&gt;INDEX(Cal_Weeks[MonthYearLabel],30),'Grid_Stock'!AE36,AE36)+'Grid_Incoming'!AF36-'Grid_Requirement'!AF36</f>
        <v/>
      </c>
      <c r="AG36">
        <f>IF(INDEX(Cal_Weeks[MonthYearLabel],32)&lt;&gt;INDEX(Cal_Weeks[MonthYearLabel],31),'Grid_Stock'!AF36,AF36)+'Grid_Incoming'!AG36-'Grid_Requirement'!AG36</f>
        <v/>
      </c>
      <c r="AH36">
        <f>IF(INDEX(Cal_Weeks[MonthYearLabel],33)&lt;&gt;INDEX(Cal_Weeks[MonthYearLabel],32),'Grid_Stock'!AG36,AG36)+'Grid_Incoming'!AH36-'Grid_Requirement'!AH36</f>
        <v/>
      </c>
      <c r="AI36">
        <f>IF(INDEX(Cal_Weeks[MonthYearLabel],34)&lt;&gt;INDEX(Cal_Weeks[MonthYearLabel],33),'Grid_Stock'!AH36,AH36)+'Grid_Incoming'!AI36-'Grid_Requirement'!AI36</f>
        <v/>
      </c>
      <c r="AJ36">
        <f>IF(INDEX(Cal_Weeks[MonthYearLabel],35)&lt;&gt;INDEX(Cal_Weeks[MonthYearLabel],34),'Grid_Stock'!AI36,AI36)+'Grid_Incoming'!AJ36-'Grid_Requirement'!AJ36</f>
        <v/>
      </c>
      <c r="AK36">
        <f>IF(INDEX(Cal_Weeks[MonthYearLabel],36)&lt;&gt;INDEX(Cal_Weeks[MonthYearLabel],35),'Grid_Stock'!AJ36,AJ36)+'Grid_Incoming'!AK36-'Grid_Requirement'!AK36</f>
        <v/>
      </c>
      <c r="AL36">
        <f>IF(INDEX(Cal_Weeks[MonthYearLabel],37)&lt;&gt;INDEX(Cal_Weeks[MonthYearLabel],36),'Grid_Stock'!AK36,AK36)+'Grid_Incoming'!AL36-'Grid_Requirement'!AL36</f>
        <v/>
      </c>
      <c r="AM36">
        <f>IF(INDEX(Cal_Weeks[MonthYearLabel],38)&lt;&gt;INDEX(Cal_Weeks[MonthYearLabel],37),'Grid_Stock'!AL36,AL36)+'Grid_Incoming'!AM36-'Grid_Requirement'!AM36</f>
        <v/>
      </c>
      <c r="AN36">
        <f>IF(INDEX(Cal_Weeks[MonthYearLabel],39)&lt;&gt;INDEX(Cal_Weeks[MonthYearLabel],38),'Grid_Stock'!AM36,AM36)+'Grid_Incoming'!AN36-'Grid_Requirement'!AN36</f>
        <v/>
      </c>
      <c r="AO36">
        <f>IF(INDEX(Cal_Weeks[MonthYearLabel],40)&lt;&gt;INDEX(Cal_Weeks[MonthYearLabel],39),'Grid_Stock'!AN36,AN36)+'Grid_Incoming'!AO36-'Grid_Requirement'!AO36</f>
        <v/>
      </c>
      <c r="AP36">
        <f>IF(INDEX(Cal_Weeks[MonthYearLabel],41)&lt;&gt;INDEX(Cal_Weeks[MonthYearLabel],40),'Grid_Stock'!AO36,AO36)+'Grid_Incoming'!AP36-'Grid_Requirement'!AP36</f>
        <v/>
      </c>
      <c r="AQ36">
        <f>IF(INDEX(Cal_Weeks[MonthYearLabel],42)&lt;&gt;INDEX(Cal_Weeks[MonthYearLabel],41),'Grid_Stock'!AP36,AP36)+'Grid_Incoming'!AQ36-'Grid_Requirement'!AQ36</f>
        <v/>
      </c>
      <c r="AR36">
        <f>IF(INDEX(Cal_Weeks[MonthYearLabel],43)&lt;&gt;INDEX(Cal_Weeks[MonthYearLabel],42),'Grid_Stock'!AQ36,AQ36)+'Grid_Incoming'!AR36-'Grid_Requirement'!AR36</f>
        <v/>
      </c>
      <c r="AS36">
        <f>IF(INDEX(Cal_Weeks[MonthYearLabel],44)&lt;&gt;INDEX(Cal_Weeks[MonthYearLabel],43),'Grid_Stock'!AR36,AR36)+'Grid_Incoming'!AS36-'Grid_Requirement'!AS36</f>
        <v/>
      </c>
      <c r="AT36">
        <f>IF(INDEX(Cal_Weeks[MonthYearLabel],45)&lt;&gt;INDEX(Cal_Weeks[MonthYearLabel],44),'Grid_Stock'!AS36,AS36)+'Grid_Incoming'!AT36-'Grid_Requirement'!AT36</f>
        <v/>
      </c>
      <c r="AU36">
        <f>IF(INDEX(Cal_Weeks[MonthYearLabel],46)&lt;&gt;INDEX(Cal_Weeks[MonthYearLabel],45),'Grid_Stock'!AT36,AT36)+'Grid_Incoming'!AU36-'Grid_Requirement'!AU36</f>
        <v/>
      </c>
      <c r="AV36">
        <f>IF(INDEX(Cal_Weeks[MonthYearLabel],47)&lt;&gt;INDEX(Cal_Weeks[MonthYearLabel],46),'Grid_Stock'!AU36,AU36)+'Grid_Incoming'!AV36-'Grid_Requirement'!AV36</f>
        <v/>
      </c>
      <c r="AW36">
        <f>IF(INDEX(Cal_Weeks[MonthYearLabel],48)&lt;&gt;INDEX(Cal_Weeks[MonthYearLabel],47),'Grid_Stock'!AV36,AV36)+'Grid_Incoming'!AW36-'Grid_Requirement'!AW36</f>
        <v/>
      </c>
      <c r="AX36">
        <f>IF(INDEX(Cal_Weeks[MonthYearLabel],49)&lt;&gt;INDEX(Cal_Weeks[MonthYearLabel],48),'Grid_Stock'!AW36,AW36)+'Grid_Incoming'!AX36-'Grid_Requirement'!AX36</f>
        <v/>
      </c>
      <c r="AY36">
        <f>IF(INDEX(Cal_Weeks[MonthYearLabel],50)&lt;&gt;INDEX(Cal_Weeks[MonthYearLabel],49),'Grid_Stock'!AX36,AX36)+'Grid_Incoming'!AY36-'Grid_Requirement'!AY36</f>
        <v/>
      </c>
      <c r="AZ36">
        <f>IF(INDEX(Cal_Weeks[MonthYearLabel],51)&lt;&gt;INDEX(Cal_Weeks[MonthYearLabel],50),'Grid_Stock'!AY36,AY36)+'Grid_Incoming'!AZ36-'Grid_Requirement'!AZ36</f>
        <v/>
      </c>
      <c r="BA36">
        <f>IF(INDEX(Cal_Weeks[MonthYearLabel],52)&lt;&gt;INDEX(Cal_Weeks[MonthYearLabel],51),'Grid_Stock'!AZ36,AZ36)+'Grid_Incoming'!BA36-'Grid_Requirement'!BA36</f>
        <v/>
      </c>
      <c r="BB36">
        <f>IF(INDEX(Cal_Weeks[MonthYearLabel],53)&lt;&gt;INDEX(Cal_Weeks[MonthYearLabel],52),'Grid_Stock'!BA36,BA36)+'Grid_Incoming'!BB36-'Grid_Requirement'!BB36</f>
        <v/>
      </c>
      <c r="BC36">
        <f>IF(INDEX(Cal_Weeks[MonthYearLabel],54)&lt;&gt;INDEX(Cal_Weeks[MonthYearLabel],53),'Grid_Stock'!BB36,BB36)+'Grid_Incoming'!BC36-'Grid_Requirement'!BC36</f>
        <v/>
      </c>
      <c r="BD36">
        <f>IF(INDEX(Cal_Weeks[MonthYearLabel],55)&lt;&gt;INDEX(Cal_Weeks[MonthYearLabel],54),'Grid_Stock'!BC36,BC36)+'Grid_Incoming'!BD36-'Grid_Requirement'!BD36</f>
        <v/>
      </c>
      <c r="BE36">
        <f>IF(INDEX(Cal_Weeks[MonthYearLabel],56)&lt;&gt;INDEX(Cal_Weeks[MonthYearLabel],55),'Grid_Stock'!BD36,BD36)+'Grid_Incoming'!BE36-'Grid_Requirement'!BE36</f>
        <v/>
      </c>
      <c r="BF36">
        <f>IF(INDEX(Cal_Weeks[MonthYearLabel],57)&lt;&gt;INDEX(Cal_Weeks[MonthYearLabel],56),'Grid_Stock'!BE36,BE36)+'Grid_Incoming'!BF36-'Grid_Requirement'!BF36</f>
        <v/>
      </c>
      <c r="BG36">
        <f>IF(INDEX(Cal_Weeks[MonthYearLabel],58)&lt;&gt;INDEX(Cal_Weeks[MonthYearLabel],57),'Grid_Stock'!BF36,BF36)+'Grid_Incoming'!BG36-'Grid_Requirement'!BG36</f>
        <v/>
      </c>
      <c r="BH36">
        <f>IF(INDEX(Cal_Weeks[MonthYearLabel],59)&lt;&gt;INDEX(Cal_Weeks[MonthYearLabel],58),'Grid_Stock'!BG36,BG36)+'Grid_Incoming'!BH36-'Grid_Requirement'!BH36</f>
        <v/>
      </c>
      <c r="BI36">
        <f>IF(INDEX(Cal_Weeks[MonthYearLabel],60)&lt;&gt;INDEX(Cal_Weeks[MonthYearLabel],59),'Grid_Stock'!BH36,BH36)+'Grid_Incoming'!BI36-'Grid_Requirement'!BI36</f>
        <v/>
      </c>
      <c r="BJ36">
        <f>IF(INDEX(Cal_Weeks[MonthYearLabel],61)&lt;&gt;INDEX(Cal_Weeks[MonthYearLabel],60),'Grid_Stock'!BI36,BI36)+'Grid_Incoming'!BJ36-'Grid_Requirement'!BJ36</f>
        <v/>
      </c>
      <c r="BK36">
        <f>IF(INDEX(Cal_Weeks[MonthYearLabel],62)&lt;&gt;INDEX(Cal_Weeks[MonthYearLabel],61),'Grid_Stock'!BJ36,BJ36)+'Grid_Incoming'!BK36-'Grid_Requirement'!BK36</f>
        <v/>
      </c>
      <c r="BL36">
        <f>IF(INDEX(Cal_Weeks[MonthYearLabel],63)&lt;&gt;INDEX(Cal_Weeks[MonthYearLabel],62),'Grid_Stock'!BK36,BK36)+'Grid_Incoming'!BL36-'Grid_Requirement'!BL36</f>
        <v/>
      </c>
      <c r="BM36">
        <f>IF(INDEX(Cal_Weeks[MonthYearLabel],64)&lt;&gt;INDEX(Cal_Weeks[MonthYearLabel],63),'Grid_Stock'!BL36,BL36)+'Grid_Incoming'!BM36-'Grid_Requirement'!BM36</f>
        <v/>
      </c>
      <c r="BN36">
        <f>IF(INDEX(Cal_Weeks[MonthYearLabel],65)&lt;&gt;INDEX(Cal_Weeks[MonthYearLabel],64),'Grid_Stock'!BM36,BM36)+'Grid_Incoming'!BN36-'Grid_Requirement'!BN36</f>
        <v/>
      </c>
      <c r="BO36">
        <f>IF(INDEX(Cal_Weeks[MonthYearLabel],66)&lt;&gt;INDEX(Cal_Weeks[MonthYearLabel],65),'Grid_Stock'!BN36,BN36)+'Grid_Incoming'!BO36-'Grid_Requirement'!BO36</f>
        <v/>
      </c>
      <c r="BP36">
        <f>IF(INDEX(Cal_Weeks[MonthYearLabel],67)&lt;&gt;INDEX(Cal_Weeks[MonthYearLabel],66),'Grid_Stock'!BO36,BO36)+'Grid_Incoming'!BP36-'Grid_Requirement'!BP36</f>
        <v/>
      </c>
      <c r="BQ36">
        <f>IF(INDEX(Cal_Weeks[MonthYearLabel],68)&lt;&gt;INDEX(Cal_Weeks[MonthYearLabel],67),'Grid_Stock'!BP36,BP36)+'Grid_Incoming'!BQ36-'Grid_Requirement'!BQ36</f>
        <v/>
      </c>
      <c r="BR36">
        <f>IF(INDEX(Cal_Weeks[MonthYearLabel],69)&lt;&gt;INDEX(Cal_Weeks[MonthYearLabel],68),'Grid_Stock'!BQ36,BQ36)+'Grid_Incoming'!BR36-'Grid_Requirement'!BR36</f>
        <v/>
      </c>
      <c r="BS36">
        <f>IF(INDEX(Cal_Weeks[MonthYearLabel],70)&lt;&gt;INDEX(Cal_Weeks[MonthYearLabel],69),'Grid_Stock'!BR36,BR36)+'Grid_Incoming'!BS36-'Grid_Requirement'!BS36</f>
        <v/>
      </c>
      <c r="BT36">
        <f>IF(INDEX(Cal_Weeks[MonthYearLabel],71)&lt;&gt;INDEX(Cal_Weeks[MonthYearLabel],70),'Grid_Stock'!BS36,BS36)+'Grid_Incoming'!BT36-'Grid_Requirement'!BT36</f>
        <v/>
      </c>
      <c r="BU36">
        <f>IF(INDEX(Cal_Weeks[MonthYearLabel],72)&lt;&gt;INDEX(Cal_Weeks[MonthYearLabel],71),'Grid_Stock'!BT36,BT36)+'Grid_Incoming'!BU36-'Grid_Requirement'!BU36</f>
        <v/>
      </c>
      <c r="BV36">
        <f>IF(INDEX(Cal_Weeks[MonthYearLabel],73)&lt;&gt;INDEX(Cal_Weeks[MonthYearLabel],72),'Grid_Stock'!BU36,BU36)+'Grid_Incoming'!BV36-'Grid_Requirement'!BV36</f>
        <v/>
      </c>
      <c r="BW36">
        <f>IF(INDEX(Cal_Weeks[MonthYearLabel],74)&lt;&gt;INDEX(Cal_Weeks[MonthYearLabel],73),'Grid_Stock'!BV36,BV36)+'Grid_Incoming'!BW36-'Grid_Requirement'!BW36</f>
        <v/>
      </c>
      <c r="BX36">
        <f>IF(INDEX(Cal_Weeks[MonthYearLabel],75)&lt;&gt;INDEX(Cal_Weeks[MonthYearLabel],74),'Grid_Stock'!BW36,BW36)+'Grid_Incoming'!BX36-'Grid_Requirement'!BX36</f>
        <v/>
      </c>
      <c r="BY36">
        <f>IF(INDEX(Cal_Weeks[MonthYearLabel],76)&lt;&gt;INDEX(Cal_Weeks[MonthYearLabel],75),'Grid_Stock'!BX36,BX36)+'Grid_Incoming'!BY36-'Grid_Requirement'!BY36</f>
        <v/>
      </c>
      <c r="BZ36">
        <f>IF(INDEX(Cal_Weeks[MonthYearLabel],77)&lt;&gt;INDEX(Cal_Weeks[MonthYearLabel],76),'Grid_Stock'!BY36,BY36)+'Grid_Incoming'!BZ36-'Grid_Requirement'!BZ36</f>
        <v/>
      </c>
      <c r="CA36">
        <f>IF(INDEX(Cal_Weeks[MonthYearLabel],78)&lt;&gt;INDEX(Cal_Weeks[MonthYearLabel],77),'Grid_Stock'!BZ36,BZ36)+'Grid_Incoming'!CA36-'Grid_Requirement'!CA36</f>
        <v/>
      </c>
      <c r="CB36">
        <f>IF(INDEX(Cal_Weeks[MonthYearLabel],79)&lt;&gt;INDEX(Cal_Weeks[MonthYearLabel],78),'Grid_Stock'!CA36,CA36)+'Grid_Incoming'!CB36-'Grid_Requirement'!CB36</f>
        <v/>
      </c>
      <c r="CC36">
        <f>IF(INDEX(Cal_Weeks[MonthYearLabel],80)&lt;&gt;INDEX(Cal_Weeks[MonthYearLabel],79),'Grid_Stock'!CB36,CB36)+'Grid_Incoming'!CC36-'Grid_Requirement'!CC36</f>
        <v/>
      </c>
      <c r="CD36">
        <f>IF(INDEX(Cal_Weeks[MonthYearLabel],81)&lt;&gt;INDEX(Cal_Weeks[MonthYearLabel],80),'Grid_Stock'!CC36,CC36)+'Grid_Incoming'!CD36-'Grid_Requirement'!CD36</f>
        <v/>
      </c>
      <c r="CE36">
        <f>IF(INDEX(Cal_Weeks[MonthYearLabel],82)&lt;&gt;INDEX(Cal_Weeks[MonthYearLabel],81),'Grid_Stock'!CD36,CD36)+'Grid_Incoming'!CE36-'Grid_Requirement'!CE36</f>
        <v/>
      </c>
      <c r="CF36">
        <f>IF(INDEX(Cal_Weeks[MonthYearLabel],83)&lt;&gt;INDEX(Cal_Weeks[MonthYearLabel],82),'Grid_Stock'!CE36,CE36)+'Grid_Incoming'!CF36-'Grid_Requirement'!CF36</f>
        <v/>
      </c>
      <c r="CG36">
        <f>IF(INDEX(Cal_Weeks[MonthYearLabel],84)&lt;&gt;INDEX(Cal_Weeks[MonthYearLabel],83),'Grid_Stock'!CF36,CF36)+'Grid_Incoming'!CG36-'Grid_Requirement'!CG36</f>
        <v/>
      </c>
      <c r="CH36">
        <f>IF(INDEX(Cal_Weeks[MonthYearLabel],85)&lt;&gt;INDEX(Cal_Weeks[MonthYearLabel],84),'Grid_Stock'!CG36,CG36)+'Grid_Incoming'!CH36-'Grid_Requirement'!CH36</f>
        <v/>
      </c>
      <c r="CI36">
        <f>IF(INDEX(Cal_Weeks[MonthYearLabel],86)&lt;&gt;INDEX(Cal_Weeks[MonthYearLabel],85),'Grid_Stock'!CH36,CH36)+'Grid_Incoming'!CI36-'Grid_Requirement'!CI36</f>
        <v/>
      </c>
      <c r="CJ36">
        <f>IF(INDEX(Cal_Weeks[MonthYearLabel],87)&lt;&gt;INDEX(Cal_Weeks[MonthYearLabel],86),'Grid_Stock'!CI36,CI36)+'Grid_Incoming'!CJ36-'Grid_Requirement'!CJ36</f>
        <v/>
      </c>
      <c r="CK36">
        <f>IF(INDEX(Cal_Weeks[MonthYearLabel],88)&lt;&gt;INDEX(Cal_Weeks[MonthYearLabel],87),'Grid_Stock'!CJ36,CJ36)+'Grid_Incoming'!CK36-'Grid_Requirement'!CK36</f>
        <v/>
      </c>
      <c r="CL36">
        <f>IF(INDEX(Cal_Weeks[MonthYearLabel],89)&lt;&gt;INDEX(Cal_Weeks[MonthYearLabel],88),'Grid_Stock'!CK36,CK36)+'Grid_Incoming'!CL36-'Grid_Requirement'!CL36</f>
        <v/>
      </c>
      <c r="CM36">
        <f>IF(INDEX(Cal_Weeks[MonthYearLabel],90)&lt;&gt;INDEX(Cal_Weeks[MonthYearLabel],89),'Grid_Stock'!CL36,CL36)+'Grid_Incoming'!CM36-'Grid_Requirement'!CM36</f>
        <v/>
      </c>
      <c r="CN36">
        <f>IF(INDEX(Cal_Weeks[MonthYearLabel],91)&lt;&gt;INDEX(Cal_Weeks[MonthYearLabel],90),'Grid_Stock'!CM36,CM36)+'Grid_Incoming'!CN36-'Grid_Requirement'!CN36</f>
        <v/>
      </c>
      <c r="CO36">
        <f>IF(INDEX(Cal_Weeks[MonthYearLabel],92)&lt;&gt;INDEX(Cal_Weeks[MonthYearLabel],91),'Grid_Stock'!CN36,CN36)+'Grid_Incoming'!CO36-'Grid_Requirement'!CO36</f>
        <v/>
      </c>
      <c r="CP36">
        <f>IF(INDEX(Cal_Weeks[MonthYearLabel],93)&lt;&gt;INDEX(Cal_Weeks[MonthYearLabel],92),'Grid_Stock'!CO36,CO36)+'Grid_Incoming'!CP36-'Grid_Requirement'!CP36</f>
        <v/>
      </c>
      <c r="CQ36">
        <f>IF(INDEX(Cal_Weeks[MonthYearLabel],94)&lt;&gt;INDEX(Cal_Weeks[MonthYearLabel],93),'Grid_Stock'!CP36,CP36)+'Grid_Incoming'!CQ36-'Grid_Requirement'!CQ36</f>
        <v/>
      </c>
      <c r="CR36">
        <f>IF(INDEX(Cal_Weeks[MonthYearLabel],95)&lt;&gt;INDEX(Cal_Weeks[MonthYearLabel],94),'Grid_Stock'!CQ36,CQ36)+'Grid_Incoming'!CR36-'Grid_Requirement'!CR36</f>
        <v/>
      </c>
      <c r="CS36">
        <f>IF(INDEX(Cal_Weeks[MonthYearLabel],96)&lt;&gt;INDEX(Cal_Weeks[MonthYearLabel],95),'Grid_Stock'!CR36,CR36)+'Grid_Incoming'!CS36-'Grid_Requirement'!CS36</f>
        <v/>
      </c>
      <c r="CT36">
        <f>IF(INDEX(Cal_Weeks[MonthYearLabel],97)&lt;&gt;INDEX(Cal_Weeks[MonthYearLabel],96),'Grid_Stock'!CS36,CS36)+'Grid_Incoming'!CT36-'Grid_Requirement'!CT36</f>
        <v/>
      </c>
      <c r="CU36">
        <f>IF(INDEX(Cal_Weeks[MonthYearLabel],98)&lt;&gt;INDEX(Cal_Weeks[MonthYearLabel],97),'Grid_Stock'!CT36,CT36)+'Grid_Incoming'!CU36-'Grid_Requirement'!CU36</f>
        <v/>
      </c>
      <c r="CV36">
        <f>IF(INDEX(Cal_Weeks[MonthYearLabel],99)&lt;&gt;INDEX(Cal_Weeks[MonthYearLabel],98),'Grid_Stock'!CU36,CU36)+'Grid_Incoming'!CV36-'Grid_Requirement'!CV36</f>
        <v/>
      </c>
      <c r="CW36">
        <f>IF(INDEX(Cal_Weeks[MonthYearLabel],100)&lt;&gt;INDEX(Cal_Weeks[MonthYearLabel],99),'Grid_Stock'!CV36,CV36)+'Grid_Incoming'!CW36-'Grid_Requirement'!CW36</f>
        <v/>
      </c>
      <c r="CX36">
        <f>IF(INDEX(Cal_Weeks[MonthYearLabel],101)&lt;&gt;INDEX(Cal_Weeks[MonthYearLabel],100),'Grid_Stock'!CW36,CW36)+'Grid_Incoming'!CX36-'Grid_Requirement'!CX36</f>
        <v/>
      </c>
      <c r="CY36">
        <f>IF(INDEX(Cal_Weeks[MonthYearLabel],102)&lt;&gt;INDEX(Cal_Weeks[MonthYearLabel],101),'Grid_Stock'!CX36,CX36)+'Grid_Incoming'!CY36-'Grid_Requirement'!CY36</f>
        <v/>
      </c>
      <c r="CZ36">
        <f>IF(INDEX(Cal_Weeks[MonthYearLabel],103)&lt;&gt;INDEX(Cal_Weeks[MonthYearLabel],102),'Grid_Stock'!CY36,CY36)+'Grid_Incoming'!CZ36-'Grid_Requirement'!CZ36</f>
        <v/>
      </c>
      <c r="DA36">
        <f>IF(INDEX(Cal_Weeks[MonthYearLabel],104)&lt;&gt;INDEX(Cal_Weeks[MonthYearLabel],103),'Grid_Stock'!CZ36,CZ36)+'Grid_Incoming'!DA36-'Grid_Requirement'!DA36</f>
        <v/>
      </c>
    </row>
    <row r="37">
      <c r="A37" t="inlineStr">
        <is>
          <t>CHEM-1080</t>
        </is>
      </c>
      <c r="B37">
        <f>IFERROR(INDEX(T_OpeningStock[Opening_Qty_要入力],MATCH($A37,T_OpeningStock[Part Name],0)),0)+'Grid_Incoming'!B37-'Grid_Requirement'!B37</f>
        <v/>
      </c>
      <c r="C37">
        <f>IF(INDEX(Cal_Weeks[MonthYearLabel],2)&lt;&gt;INDEX(Cal_Weeks[MonthYearLabel],1),'Grid_Stock'!B37,B37)+'Grid_Incoming'!C37-'Grid_Requirement'!C37</f>
        <v/>
      </c>
      <c r="D37">
        <f>IF(INDEX(Cal_Weeks[MonthYearLabel],3)&lt;&gt;INDEX(Cal_Weeks[MonthYearLabel],2),'Grid_Stock'!C37,C37)+'Grid_Incoming'!D37-'Grid_Requirement'!D37</f>
        <v/>
      </c>
      <c r="E37">
        <f>IF(INDEX(Cal_Weeks[MonthYearLabel],4)&lt;&gt;INDEX(Cal_Weeks[MonthYearLabel],3),'Grid_Stock'!D37,D37)+'Grid_Incoming'!E37-'Grid_Requirement'!E37</f>
        <v/>
      </c>
      <c r="F37">
        <f>IF(INDEX(Cal_Weeks[MonthYearLabel],5)&lt;&gt;INDEX(Cal_Weeks[MonthYearLabel],4),'Grid_Stock'!E37,E37)+'Grid_Incoming'!F37-'Grid_Requirement'!F37</f>
        <v/>
      </c>
      <c r="G37">
        <f>IF(INDEX(Cal_Weeks[MonthYearLabel],6)&lt;&gt;INDEX(Cal_Weeks[MonthYearLabel],5),'Grid_Stock'!F37,F37)+'Grid_Incoming'!G37-'Grid_Requirement'!G37</f>
        <v/>
      </c>
      <c r="H37">
        <f>IF(INDEX(Cal_Weeks[MonthYearLabel],7)&lt;&gt;INDEX(Cal_Weeks[MonthYearLabel],6),'Grid_Stock'!G37,G37)+'Grid_Incoming'!H37-'Grid_Requirement'!H37</f>
        <v/>
      </c>
      <c r="I37">
        <f>IF(INDEX(Cal_Weeks[MonthYearLabel],8)&lt;&gt;INDEX(Cal_Weeks[MonthYearLabel],7),'Grid_Stock'!H37,H37)+'Grid_Incoming'!I37-'Grid_Requirement'!I37</f>
        <v/>
      </c>
      <c r="J37">
        <f>IF(INDEX(Cal_Weeks[MonthYearLabel],9)&lt;&gt;INDEX(Cal_Weeks[MonthYearLabel],8),'Grid_Stock'!I37,I37)+'Grid_Incoming'!J37-'Grid_Requirement'!J37</f>
        <v/>
      </c>
      <c r="K37">
        <f>IF(INDEX(Cal_Weeks[MonthYearLabel],10)&lt;&gt;INDEX(Cal_Weeks[MonthYearLabel],9),'Grid_Stock'!J37,J37)+'Grid_Incoming'!K37-'Grid_Requirement'!K37</f>
        <v/>
      </c>
      <c r="L37">
        <f>IF(INDEX(Cal_Weeks[MonthYearLabel],11)&lt;&gt;INDEX(Cal_Weeks[MonthYearLabel],10),'Grid_Stock'!K37,K37)+'Grid_Incoming'!L37-'Grid_Requirement'!L37</f>
        <v/>
      </c>
      <c r="M37">
        <f>IF(INDEX(Cal_Weeks[MonthYearLabel],12)&lt;&gt;INDEX(Cal_Weeks[MonthYearLabel],11),'Grid_Stock'!L37,L37)+'Grid_Incoming'!M37-'Grid_Requirement'!M37</f>
        <v/>
      </c>
      <c r="N37">
        <f>IF(INDEX(Cal_Weeks[MonthYearLabel],13)&lt;&gt;INDEX(Cal_Weeks[MonthYearLabel],12),'Grid_Stock'!M37,M37)+'Grid_Incoming'!N37-'Grid_Requirement'!N37</f>
        <v/>
      </c>
      <c r="O37">
        <f>IF(INDEX(Cal_Weeks[MonthYearLabel],14)&lt;&gt;INDEX(Cal_Weeks[MonthYearLabel],13),'Grid_Stock'!N37,N37)+'Grid_Incoming'!O37-'Grid_Requirement'!O37</f>
        <v/>
      </c>
      <c r="P37">
        <f>IF(INDEX(Cal_Weeks[MonthYearLabel],15)&lt;&gt;INDEX(Cal_Weeks[MonthYearLabel],14),'Grid_Stock'!O37,O37)+'Grid_Incoming'!P37-'Grid_Requirement'!P37</f>
        <v/>
      </c>
      <c r="Q37">
        <f>IF(INDEX(Cal_Weeks[MonthYearLabel],16)&lt;&gt;INDEX(Cal_Weeks[MonthYearLabel],15),'Grid_Stock'!P37,P37)+'Grid_Incoming'!Q37-'Grid_Requirement'!Q37</f>
        <v/>
      </c>
      <c r="R37">
        <f>IF(INDEX(Cal_Weeks[MonthYearLabel],17)&lt;&gt;INDEX(Cal_Weeks[MonthYearLabel],16),'Grid_Stock'!Q37,Q37)+'Grid_Incoming'!R37-'Grid_Requirement'!R37</f>
        <v/>
      </c>
      <c r="S37">
        <f>IF(INDEX(Cal_Weeks[MonthYearLabel],18)&lt;&gt;INDEX(Cal_Weeks[MonthYearLabel],17),'Grid_Stock'!R37,R37)+'Grid_Incoming'!S37-'Grid_Requirement'!S37</f>
        <v/>
      </c>
      <c r="T37">
        <f>IF(INDEX(Cal_Weeks[MonthYearLabel],19)&lt;&gt;INDEX(Cal_Weeks[MonthYearLabel],18),'Grid_Stock'!S37,S37)+'Grid_Incoming'!T37-'Grid_Requirement'!T37</f>
        <v/>
      </c>
      <c r="U37">
        <f>IF(INDEX(Cal_Weeks[MonthYearLabel],20)&lt;&gt;INDEX(Cal_Weeks[MonthYearLabel],19),'Grid_Stock'!T37,T37)+'Grid_Incoming'!U37-'Grid_Requirement'!U37</f>
        <v/>
      </c>
      <c r="V37">
        <f>IF(INDEX(Cal_Weeks[MonthYearLabel],21)&lt;&gt;INDEX(Cal_Weeks[MonthYearLabel],20),'Grid_Stock'!U37,U37)+'Grid_Incoming'!V37-'Grid_Requirement'!V37</f>
        <v/>
      </c>
      <c r="W37">
        <f>IF(INDEX(Cal_Weeks[MonthYearLabel],22)&lt;&gt;INDEX(Cal_Weeks[MonthYearLabel],21),'Grid_Stock'!V37,V37)+'Grid_Incoming'!W37-'Grid_Requirement'!W37</f>
        <v/>
      </c>
      <c r="X37">
        <f>IF(INDEX(Cal_Weeks[MonthYearLabel],23)&lt;&gt;INDEX(Cal_Weeks[MonthYearLabel],22),'Grid_Stock'!W37,W37)+'Grid_Incoming'!X37-'Grid_Requirement'!X37</f>
        <v/>
      </c>
      <c r="Y37">
        <f>IF(INDEX(Cal_Weeks[MonthYearLabel],24)&lt;&gt;INDEX(Cal_Weeks[MonthYearLabel],23),'Grid_Stock'!X37,X37)+'Grid_Incoming'!Y37-'Grid_Requirement'!Y37</f>
        <v/>
      </c>
      <c r="Z37">
        <f>IF(INDEX(Cal_Weeks[MonthYearLabel],25)&lt;&gt;INDEX(Cal_Weeks[MonthYearLabel],24),'Grid_Stock'!Y37,Y37)+'Grid_Incoming'!Z37-'Grid_Requirement'!Z37</f>
        <v/>
      </c>
      <c r="AA37">
        <f>IF(INDEX(Cal_Weeks[MonthYearLabel],26)&lt;&gt;INDEX(Cal_Weeks[MonthYearLabel],25),'Grid_Stock'!Z37,Z37)+'Grid_Incoming'!AA37-'Grid_Requirement'!AA37</f>
        <v/>
      </c>
      <c r="AB37">
        <f>IF(INDEX(Cal_Weeks[MonthYearLabel],27)&lt;&gt;INDEX(Cal_Weeks[MonthYearLabel],26),'Grid_Stock'!AA37,AA37)+'Grid_Incoming'!AB37-'Grid_Requirement'!AB37</f>
        <v/>
      </c>
      <c r="AC37">
        <f>IF(INDEX(Cal_Weeks[MonthYearLabel],28)&lt;&gt;INDEX(Cal_Weeks[MonthYearLabel],27),'Grid_Stock'!AB37,AB37)+'Grid_Incoming'!AC37-'Grid_Requirement'!AC37</f>
        <v/>
      </c>
      <c r="AD37">
        <f>IF(INDEX(Cal_Weeks[MonthYearLabel],29)&lt;&gt;INDEX(Cal_Weeks[MonthYearLabel],28),'Grid_Stock'!AC37,AC37)+'Grid_Incoming'!AD37-'Grid_Requirement'!AD37</f>
        <v/>
      </c>
      <c r="AE37">
        <f>IF(INDEX(Cal_Weeks[MonthYearLabel],30)&lt;&gt;INDEX(Cal_Weeks[MonthYearLabel],29),'Grid_Stock'!AD37,AD37)+'Grid_Incoming'!AE37-'Grid_Requirement'!AE37</f>
        <v/>
      </c>
      <c r="AF37">
        <f>IF(INDEX(Cal_Weeks[MonthYearLabel],31)&lt;&gt;INDEX(Cal_Weeks[MonthYearLabel],30),'Grid_Stock'!AE37,AE37)+'Grid_Incoming'!AF37-'Grid_Requirement'!AF37</f>
        <v/>
      </c>
      <c r="AG37">
        <f>IF(INDEX(Cal_Weeks[MonthYearLabel],32)&lt;&gt;INDEX(Cal_Weeks[MonthYearLabel],31),'Grid_Stock'!AF37,AF37)+'Grid_Incoming'!AG37-'Grid_Requirement'!AG37</f>
        <v/>
      </c>
      <c r="AH37">
        <f>IF(INDEX(Cal_Weeks[MonthYearLabel],33)&lt;&gt;INDEX(Cal_Weeks[MonthYearLabel],32),'Grid_Stock'!AG37,AG37)+'Grid_Incoming'!AH37-'Grid_Requirement'!AH37</f>
        <v/>
      </c>
      <c r="AI37">
        <f>IF(INDEX(Cal_Weeks[MonthYearLabel],34)&lt;&gt;INDEX(Cal_Weeks[MonthYearLabel],33),'Grid_Stock'!AH37,AH37)+'Grid_Incoming'!AI37-'Grid_Requirement'!AI37</f>
        <v/>
      </c>
      <c r="AJ37">
        <f>IF(INDEX(Cal_Weeks[MonthYearLabel],35)&lt;&gt;INDEX(Cal_Weeks[MonthYearLabel],34),'Grid_Stock'!AI37,AI37)+'Grid_Incoming'!AJ37-'Grid_Requirement'!AJ37</f>
        <v/>
      </c>
      <c r="AK37">
        <f>IF(INDEX(Cal_Weeks[MonthYearLabel],36)&lt;&gt;INDEX(Cal_Weeks[MonthYearLabel],35),'Grid_Stock'!AJ37,AJ37)+'Grid_Incoming'!AK37-'Grid_Requirement'!AK37</f>
        <v/>
      </c>
      <c r="AL37">
        <f>IF(INDEX(Cal_Weeks[MonthYearLabel],37)&lt;&gt;INDEX(Cal_Weeks[MonthYearLabel],36),'Grid_Stock'!AK37,AK37)+'Grid_Incoming'!AL37-'Grid_Requirement'!AL37</f>
        <v/>
      </c>
      <c r="AM37">
        <f>IF(INDEX(Cal_Weeks[MonthYearLabel],38)&lt;&gt;INDEX(Cal_Weeks[MonthYearLabel],37),'Grid_Stock'!AL37,AL37)+'Grid_Incoming'!AM37-'Grid_Requirement'!AM37</f>
        <v/>
      </c>
      <c r="AN37">
        <f>IF(INDEX(Cal_Weeks[MonthYearLabel],39)&lt;&gt;INDEX(Cal_Weeks[MonthYearLabel],38),'Grid_Stock'!AM37,AM37)+'Grid_Incoming'!AN37-'Grid_Requirement'!AN37</f>
        <v/>
      </c>
      <c r="AO37">
        <f>IF(INDEX(Cal_Weeks[MonthYearLabel],40)&lt;&gt;INDEX(Cal_Weeks[MonthYearLabel],39),'Grid_Stock'!AN37,AN37)+'Grid_Incoming'!AO37-'Grid_Requirement'!AO37</f>
        <v/>
      </c>
      <c r="AP37">
        <f>IF(INDEX(Cal_Weeks[MonthYearLabel],41)&lt;&gt;INDEX(Cal_Weeks[MonthYearLabel],40),'Grid_Stock'!AO37,AO37)+'Grid_Incoming'!AP37-'Grid_Requirement'!AP37</f>
        <v/>
      </c>
      <c r="AQ37">
        <f>IF(INDEX(Cal_Weeks[MonthYearLabel],42)&lt;&gt;INDEX(Cal_Weeks[MonthYearLabel],41),'Grid_Stock'!AP37,AP37)+'Grid_Incoming'!AQ37-'Grid_Requirement'!AQ37</f>
        <v/>
      </c>
      <c r="AR37">
        <f>IF(INDEX(Cal_Weeks[MonthYearLabel],43)&lt;&gt;INDEX(Cal_Weeks[MonthYearLabel],42),'Grid_Stock'!AQ37,AQ37)+'Grid_Incoming'!AR37-'Grid_Requirement'!AR37</f>
        <v/>
      </c>
      <c r="AS37">
        <f>IF(INDEX(Cal_Weeks[MonthYearLabel],44)&lt;&gt;INDEX(Cal_Weeks[MonthYearLabel],43),'Grid_Stock'!AR37,AR37)+'Grid_Incoming'!AS37-'Grid_Requirement'!AS37</f>
        <v/>
      </c>
      <c r="AT37">
        <f>IF(INDEX(Cal_Weeks[MonthYearLabel],45)&lt;&gt;INDEX(Cal_Weeks[MonthYearLabel],44),'Grid_Stock'!AS37,AS37)+'Grid_Incoming'!AT37-'Grid_Requirement'!AT37</f>
        <v/>
      </c>
      <c r="AU37">
        <f>IF(INDEX(Cal_Weeks[MonthYearLabel],46)&lt;&gt;INDEX(Cal_Weeks[MonthYearLabel],45),'Grid_Stock'!AT37,AT37)+'Grid_Incoming'!AU37-'Grid_Requirement'!AU37</f>
        <v/>
      </c>
      <c r="AV37">
        <f>IF(INDEX(Cal_Weeks[MonthYearLabel],47)&lt;&gt;INDEX(Cal_Weeks[MonthYearLabel],46),'Grid_Stock'!AU37,AU37)+'Grid_Incoming'!AV37-'Grid_Requirement'!AV37</f>
        <v/>
      </c>
      <c r="AW37">
        <f>IF(INDEX(Cal_Weeks[MonthYearLabel],48)&lt;&gt;INDEX(Cal_Weeks[MonthYearLabel],47),'Grid_Stock'!AV37,AV37)+'Grid_Incoming'!AW37-'Grid_Requirement'!AW37</f>
        <v/>
      </c>
      <c r="AX37">
        <f>IF(INDEX(Cal_Weeks[MonthYearLabel],49)&lt;&gt;INDEX(Cal_Weeks[MonthYearLabel],48),'Grid_Stock'!AW37,AW37)+'Grid_Incoming'!AX37-'Grid_Requirement'!AX37</f>
        <v/>
      </c>
      <c r="AY37">
        <f>IF(INDEX(Cal_Weeks[MonthYearLabel],50)&lt;&gt;INDEX(Cal_Weeks[MonthYearLabel],49),'Grid_Stock'!AX37,AX37)+'Grid_Incoming'!AY37-'Grid_Requirement'!AY37</f>
        <v/>
      </c>
      <c r="AZ37">
        <f>IF(INDEX(Cal_Weeks[MonthYearLabel],51)&lt;&gt;INDEX(Cal_Weeks[MonthYearLabel],50),'Grid_Stock'!AY37,AY37)+'Grid_Incoming'!AZ37-'Grid_Requirement'!AZ37</f>
        <v/>
      </c>
      <c r="BA37">
        <f>IF(INDEX(Cal_Weeks[MonthYearLabel],52)&lt;&gt;INDEX(Cal_Weeks[MonthYearLabel],51),'Grid_Stock'!AZ37,AZ37)+'Grid_Incoming'!BA37-'Grid_Requirement'!BA37</f>
        <v/>
      </c>
      <c r="BB37">
        <f>IF(INDEX(Cal_Weeks[MonthYearLabel],53)&lt;&gt;INDEX(Cal_Weeks[MonthYearLabel],52),'Grid_Stock'!BA37,BA37)+'Grid_Incoming'!BB37-'Grid_Requirement'!BB37</f>
        <v/>
      </c>
      <c r="BC37">
        <f>IF(INDEX(Cal_Weeks[MonthYearLabel],54)&lt;&gt;INDEX(Cal_Weeks[MonthYearLabel],53),'Grid_Stock'!BB37,BB37)+'Grid_Incoming'!BC37-'Grid_Requirement'!BC37</f>
        <v/>
      </c>
      <c r="BD37">
        <f>IF(INDEX(Cal_Weeks[MonthYearLabel],55)&lt;&gt;INDEX(Cal_Weeks[MonthYearLabel],54),'Grid_Stock'!BC37,BC37)+'Grid_Incoming'!BD37-'Grid_Requirement'!BD37</f>
        <v/>
      </c>
      <c r="BE37">
        <f>IF(INDEX(Cal_Weeks[MonthYearLabel],56)&lt;&gt;INDEX(Cal_Weeks[MonthYearLabel],55),'Grid_Stock'!BD37,BD37)+'Grid_Incoming'!BE37-'Grid_Requirement'!BE37</f>
        <v/>
      </c>
      <c r="BF37">
        <f>IF(INDEX(Cal_Weeks[MonthYearLabel],57)&lt;&gt;INDEX(Cal_Weeks[MonthYearLabel],56),'Grid_Stock'!BE37,BE37)+'Grid_Incoming'!BF37-'Grid_Requirement'!BF37</f>
        <v/>
      </c>
      <c r="BG37">
        <f>IF(INDEX(Cal_Weeks[MonthYearLabel],58)&lt;&gt;INDEX(Cal_Weeks[MonthYearLabel],57),'Grid_Stock'!BF37,BF37)+'Grid_Incoming'!BG37-'Grid_Requirement'!BG37</f>
        <v/>
      </c>
      <c r="BH37">
        <f>IF(INDEX(Cal_Weeks[MonthYearLabel],59)&lt;&gt;INDEX(Cal_Weeks[MonthYearLabel],58),'Grid_Stock'!BG37,BG37)+'Grid_Incoming'!BH37-'Grid_Requirement'!BH37</f>
        <v/>
      </c>
      <c r="BI37">
        <f>IF(INDEX(Cal_Weeks[MonthYearLabel],60)&lt;&gt;INDEX(Cal_Weeks[MonthYearLabel],59),'Grid_Stock'!BH37,BH37)+'Grid_Incoming'!BI37-'Grid_Requirement'!BI37</f>
        <v/>
      </c>
      <c r="BJ37">
        <f>IF(INDEX(Cal_Weeks[MonthYearLabel],61)&lt;&gt;INDEX(Cal_Weeks[MonthYearLabel],60),'Grid_Stock'!BI37,BI37)+'Grid_Incoming'!BJ37-'Grid_Requirement'!BJ37</f>
        <v/>
      </c>
      <c r="BK37">
        <f>IF(INDEX(Cal_Weeks[MonthYearLabel],62)&lt;&gt;INDEX(Cal_Weeks[MonthYearLabel],61),'Grid_Stock'!BJ37,BJ37)+'Grid_Incoming'!BK37-'Grid_Requirement'!BK37</f>
        <v/>
      </c>
      <c r="BL37">
        <f>IF(INDEX(Cal_Weeks[MonthYearLabel],63)&lt;&gt;INDEX(Cal_Weeks[MonthYearLabel],62),'Grid_Stock'!BK37,BK37)+'Grid_Incoming'!BL37-'Grid_Requirement'!BL37</f>
        <v/>
      </c>
      <c r="BM37">
        <f>IF(INDEX(Cal_Weeks[MonthYearLabel],64)&lt;&gt;INDEX(Cal_Weeks[MonthYearLabel],63),'Grid_Stock'!BL37,BL37)+'Grid_Incoming'!BM37-'Grid_Requirement'!BM37</f>
        <v/>
      </c>
      <c r="BN37">
        <f>IF(INDEX(Cal_Weeks[MonthYearLabel],65)&lt;&gt;INDEX(Cal_Weeks[MonthYearLabel],64),'Grid_Stock'!BM37,BM37)+'Grid_Incoming'!BN37-'Grid_Requirement'!BN37</f>
        <v/>
      </c>
      <c r="BO37">
        <f>IF(INDEX(Cal_Weeks[MonthYearLabel],66)&lt;&gt;INDEX(Cal_Weeks[MonthYearLabel],65),'Grid_Stock'!BN37,BN37)+'Grid_Incoming'!BO37-'Grid_Requirement'!BO37</f>
        <v/>
      </c>
      <c r="BP37">
        <f>IF(INDEX(Cal_Weeks[MonthYearLabel],67)&lt;&gt;INDEX(Cal_Weeks[MonthYearLabel],66),'Grid_Stock'!BO37,BO37)+'Grid_Incoming'!BP37-'Grid_Requirement'!BP37</f>
        <v/>
      </c>
      <c r="BQ37">
        <f>IF(INDEX(Cal_Weeks[MonthYearLabel],68)&lt;&gt;INDEX(Cal_Weeks[MonthYearLabel],67),'Grid_Stock'!BP37,BP37)+'Grid_Incoming'!BQ37-'Grid_Requirement'!BQ37</f>
        <v/>
      </c>
      <c r="BR37">
        <f>IF(INDEX(Cal_Weeks[MonthYearLabel],69)&lt;&gt;INDEX(Cal_Weeks[MonthYearLabel],68),'Grid_Stock'!BQ37,BQ37)+'Grid_Incoming'!BR37-'Grid_Requirement'!BR37</f>
        <v/>
      </c>
      <c r="BS37">
        <f>IF(INDEX(Cal_Weeks[MonthYearLabel],70)&lt;&gt;INDEX(Cal_Weeks[MonthYearLabel],69),'Grid_Stock'!BR37,BR37)+'Grid_Incoming'!BS37-'Grid_Requirement'!BS37</f>
        <v/>
      </c>
      <c r="BT37">
        <f>IF(INDEX(Cal_Weeks[MonthYearLabel],71)&lt;&gt;INDEX(Cal_Weeks[MonthYearLabel],70),'Grid_Stock'!BS37,BS37)+'Grid_Incoming'!BT37-'Grid_Requirement'!BT37</f>
        <v/>
      </c>
      <c r="BU37">
        <f>IF(INDEX(Cal_Weeks[MonthYearLabel],72)&lt;&gt;INDEX(Cal_Weeks[MonthYearLabel],71),'Grid_Stock'!BT37,BT37)+'Grid_Incoming'!BU37-'Grid_Requirement'!BU37</f>
        <v/>
      </c>
      <c r="BV37">
        <f>IF(INDEX(Cal_Weeks[MonthYearLabel],73)&lt;&gt;INDEX(Cal_Weeks[MonthYearLabel],72),'Grid_Stock'!BU37,BU37)+'Grid_Incoming'!BV37-'Grid_Requirement'!BV37</f>
        <v/>
      </c>
      <c r="BW37">
        <f>IF(INDEX(Cal_Weeks[MonthYearLabel],74)&lt;&gt;INDEX(Cal_Weeks[MonthYearLabel],73),'Grid_Stock'!BV37,BV37)+'Grid_Incoming'!BW37-'Grid_Requirement'!BW37</f>
        <v/>
      </c>
      <c r="BX37">
        <f>IF(INDEX(Cal_Weeks[MonthYearLabel],75)&lt;&gt;INDEX(Cal_Weeks[MonthYearLabel],74),'Grid_Stock'!BW37,BW37)+'Grid_Incoming'!BX37-'Grid_Requirement'!BX37</f>
        <v/>
      </c>
      <c r="BY37">
        <f>IF(INDEX(Cal_Weeks[MonthYearLabel],76)&lt;&gt;INDEX(Cal_Weeks[MonthYearLabel],75),'Grid_Stock'!BX37,BX37)+'Grid_Incoming'!BY37-'Grid_Requirement'!BY37</f>
        <v/>
      </c>
      <c r="BZ37">
        <f>IF(INDEX(Cal_Weeks[MonthYearLabel],77)&lt;&gt;INDEX(Cal_Weeks[MonthYearLabel],76),'Grid_Stock'!BY37,BY37)+'Grid_Incoming'!BZ37-'Grid_Requirement'!BZ37</f>
        <v/>
      </c>
      <c r="CA37">
        <f>IF(INDEX(Cal_Weeks[MonthYearLabel],78)&lt;&gt;INDEX(Cal_Weeks[MonthYearLabel],77),'Grid_Stock'!BZ37,BZ37)+'Grid_Incoming'!CA37-'Grid_Requirement'!CA37</f>
        <v/>
      </c>
      <c r="CB37">
        <f>IF(INDEX(Cal_Weeks[MonthYearLabel],79)&lt;&gt;INDEX(Cal_Weeks[MonthYearLabel],78),'Grid_Stock'!CA37,CA37)+'Grid_Incoming'!CB37-'Grid_Requirement'!CB37</f>
        <v/>
      </c>
      <c r="CC37">
        <f>IF(INDEX(Cal_Weeks[MonthYearLabel],80)&lt;&gt;INDEX(Cal_Weeks[MonthYearLabel],79),'Grid_Stock'!CB37,CB37)+'Grid_Incoming'!CC37-'Grid_Requirement'!CC37</f>
        <v/>
      </c>
      <c r="CD37">
        <f>IF(INDEX(Cal_Weeks[MonthYearLabel],81)&lt;&gt;INDEX(Cal_Weeks[MonthYearLabel],80),'Grid_Stock'!CC37,CC37)+'Grid_Incoming'!CD37-'Grid_Requirement'!CD37</f>
        <v/>
      </c>
      <c r="CE37">
        <f>IF(INDEX(Cal_Weeks[MonthYearLabel],82)&lt;&gt;INDEX(Cal_Weeks[MonthYearLabel],81),'Grid_Stock'!CD37,CD37)+'Grid_Incoming'!CE37-'Grid_Requirement'!CE37</f>
        <v/>
      </c>
      <c r="CF37">
        <f>IF(INDEX(Cal_Weeks[MonthYearLabel],83)&lt;&gt;INDEX(Cal_Weeks[MonthYearLabel],82),'Grid_Stock'!CE37,CE37)+'Grid_Incoming'!CF37-'Grid_Requirement'!CF37</f>
        <v/>
      </c>
      <c r="CG37">
        <f>IF(INDEX(Cal_Weeks[MonthYearLabel],84)&lt;&gt;INDEX(Cal_Weeks[MonthYearLabel],83),'Grid_Stock'!CF37,CF37)+'Grid_Incoming'!CG37-'Grid_Requirement'!CG37</f>
        <v/>
      </c>
      <c r="CH37">
        <f>IF(INDEX(Cal_Weeks[MonthYearLabel],85)&lt;&gt;INDEX(Cal_Weeks[MonthYearLabel],84),'Grid_Stock'!CG37,CG37)+'Grid_Incoming'!CH37-'Grid_Requirement'!CH37</f>
        <v/>
      </c>
      <c r="CI37">
        <f>IF(INDEX(Cal_Weeks[MonthYearLabel],86)&lt;&gt;INDEX(Cal_Weeks[MonthYearLabel],85),'Grid_Stock'!CH37,CH37)+'Grid_Incoming'!CI37-'Grid_Requirement'!CI37</f>
        <v/>
      </c>
      <c r="CJ37">
        <f>IF(INDEX(Cal_Weeks[MonthYearLabel],87)&lt;&gt;INDEX(Cal_Weeks[MonthYearLabel],86),'Grid_Stock'!CI37,CI37)+'Grid_Incoming'!CJ37-'Grid_Requirement'!CJ37</f>
        <v/>
      </c>
      <c r="CK37">
        <f>IF(INDEX(Cal_Weeks[MonthYearLabel],88)&lt;&gt;INDEX(Cal_Weeks[MonthYearLabel],87),'Grid_Stock'!CJ37,CJ37)+'Grid_Incoming'!CK37-'Grid_Requirement'!CK37</f>
        <v/>
      </c>
      <c r="CL37">
        <f>IF(INDEX(Cal_Weeks[MonthYearLabel],89)&lt;&gt;INDEX(Cal_Weeks[MonthYearLabel],88),'Grid_Stock'!CK37,CK37)+'Grid_Incoming'!CL37-'Grid_Requirement'!CL37</f>
        <v/>
      </c>
      <c r="CM37">
        <f>IF(INDEX(Cal_Weeks[MonthYearLabel],90)&lt;&gt;INDEX(Cal_Weeks[MonthYearLabel],89),'Grid_Stock'!CL37,CL37)+'Grid_Incoming'!CM37-'Grid_Requirement'!CM37</f>
        <v/>
      </c>
      <c r="CN37">
        <f>IF(INDEX(Cal_Weeks[MonthYearLabel],91)&lt;&gt;INDEX(Cal_Weeks[MonthYearLabel],90),'Grid_Stock'!CM37,CM37)+'Grid_Incoming'!CN37-'Grid_Requirement'!CN37</f>
        <v/>
      </c>
      <c r="CO37">
        <f>IF(INDEX(Cal_Weeks[MonthYearLabel],92)&lt;&gt;INDEX(Cal_Weeks[MonthYearLabel],91),'Grid_Stock'!CN37,CN37)+'Grid_Incoming'!CO37-'Grid_Requirement'!CO37</f>
        <v/>
      </c>
      <c r="CP37">
        <f>IF(INDEX(Cal_Weeks[MonthYearLabel],93)&lt;&gt;INDEX(Cal_Weeks[MonthYearLabel],92),'Grid_Stock'!CO37,CO37)+'Grid_Incoming'!CP37-'Grid_Requirement'!CP37</f>
        <v/>
      </c>
      <c r="CQ37">
        <f>IF(INDEX(Cal_Weeks[MonthYearLabel],94)&lt;&gt;INDEX(Cal_Weeks[MonthYearLabel],93),'Grid_Stock'!CP37,CP37)+'Grid_Incoming'!CQ37-'Grid_Requirement'!CQ37</f>
        <v/>
      </c>
      <c r="CR37">
        <f>IF(INDEX(Cal_Weeks[MonthYearLabel],95)&lt;&gt;INDEX(Cal_Weeks[MonthYearLabel],94),'Grid_Stock'!CQ37,CQ37)+'Grid_Incoming'!CR37-'Grid_Requirement'!CR37</f>
        <v/>
      </c>
      <c r="CS37">
        <f>IF(INDEX(Cal_Weeks[MonthYearLabel],96)&lt;&gt;INDEX(Cal_Weeks[MonthYearLabel],95),'Grid_Stock'!CR37,CR37)+'Grid_Incoming'!CS37-'Grid_Requirement'!CS37</f>
        <v/>
      </c>
      <c r="CT37">
        <f>IF(INDEX(Cal_Weeks[MonthYearLabel],97)&lt;&gt;INDEX(Cal_Weeks[MonthYearLabel],96),'Grid_Stock'!CS37,CS37)+'Grid_Incoming'!CT37-'Grid_Requirement'!CT37</f>
        <v/>
      </c>
      <c r="CU37">
        <f>IF(INDEX(Cal_Weeks[MonthYearLabel],98)&lt;&gt;INDEX(Cal_Weeks[MonthYearLabel],97),'Grid_Stock'!CT37,CT37)+'Grid_Incoming'!CU37-'Grid_Requirement'!CU37</f>
        <v/>
      </c>
      <c r="CV37">
        <f>IF(INDEX(Cal_Weeks[MonthYearLabel],99)&lt;&gt;INDEX(Cal_Weeks[MonthYearLabel],98),'Grid_Stock'!CU37,CU37)+'Grid_Incoming'!CV37-'Grid_Requirement'!CV37</f>
        <v/>
      </c>
      <c r="CW37">
        <f>IF(INDEX(Cal_Weeks[MonthYearLabel],100)&lt;&gt;INDEX(Cal_Weeks[MonthYearLabel],99),'Grid_Stock'!CV37,CV37)+'Grid_Incoming'!CW37-'Grid_Requirement'!CW37</f>
        <v/>
      </c>
      <c r="CX37">
        <f>IF(INDEX(Cal_Weeks[MonthYearLabel],101)&lt;&gt;INDEX(Cal_Weeks[MonthYearLabel],100),'Grid_Stock'!CW37,CW37)+'Grid_Incoming'!CX37-'Grid_Requirement'!CX37</f>
        <v/>
      </c>
      <c r="CY37">
        <f>IF(INDEX(Cal_Weeks[MonthYearLabel],102)&lt;&gt;INDEX(Cal_Weeks[MonthYearLabel],101),'Grid_Stock'!CX37,CX37)+'Grid_Incoming'!CY37-'Grid_Requirement'!CY37</f>
        <v/>
      </c>
      <c r="CZ37">
        <f>IF(INDEX(Cal_Weeks[MonthYearLabel],103)&lt;&gt;INDEX(Cal_Weeks[MonthYearLabel],102),'Grid_Stock'!CY37,CY37)+'Grid_Incoming'!CZ37-'Grid_Requirement'!CZ37</f>
        <v/>
      </c>
      <c r="DA37">
        <f>IF(INDEX(Cal_Weeks[MonthYearLabel],104)&lt;&gt;INDEX(Cal_Weeks[MonthYearLabel],103),'Grid_Stock'!CZ37,CZ37)+'Grid_Incoming'!DA37-'Grid_Requirement'!DA37</f>
        <v/>
      </c>
    </row>
    <row r="38">
      <c r="A38" t="inlineStr">
        <is>
          <t>CHEM-1530</t>
        </is>
      </c>
      <c r="B38">
        <f>IFERROR(INDEX(T_OpeningStock[Opening_Qty_要入力],MATCH($A38,T_OpeningStock[Part Name],0)),0)+'Grid_Incoming'!B38-'Grid_Requirement'!B38</f>
        <v/>
      </c>
      <c r="C38">
        <f>IF(INDEX(Cal_Weeks[MonthYearLabel],2)&lt;&gt;INDEX(Cal_Weeks[MonthYearLabel],1),'Grid_Stock'!B38,B38)+'Grid_Incoming'!C38-'Grid_Requirement'!C38</f>
        <v/>
      </c>
      <c r="D38">
        <f>IF(INDEX(Cal_Weeks[MonthYearLabel],3)&lt;&gt;INDEX(Cal_Weeks[MonthYearLabel],2),'Grid_Stock'!C38,C38)+'Grid_Incoming'!D38-'Grid_Requirement'!D38</f>
        <v/>
      </c>
      <c r="E38">
        <f>IF(INDEX(Cal_Weeks[MonthYearLabel],4)&lt;&gt;INDEX(Cal_Weeks[MonthYearLabel],3),'Grid_Stock'!D38,D38)+'Grid_Incoming'!E38-'Grid_Requirement'!E38</f>
        <v/>
      </c>
      <c r="F38">
        <f>IF(INDEX(Cal_Weeks[MonthYearLabel],5)&lt;&gt;INDEX(Cal_Weeks[MonthYearLabel],4),'Grid_Stock'!E38,E38)+'Grid_Incoming'!F38-'Grid_Requirement'!F38</f>
        <v/>
      </c>
      <c r="G38">
        <f>IF(INDEX(Cal_Weeks[MonthYearLabel],6)&lt;&gt;INDEX(Cal_Weeks[MonthYearLabel],5),'Grid_Stock'!F38,F38)+'Grid_Incoming'!G38-'Grid_Requirement'!G38</f>
        <v/>
      </c>
      <c r="H38">
        <f>IF(INDEX(Cal_Weeks[MonthYearLabel],7)&lt;&gt;INDEX(Cal_Weeks[MonthYearLabel],6),'Grid_Stock'!G38,G38)+'Grid_Incoming'!H38-'Grid_Requirement'!H38</f>
        <v/>
      </c>
      <c r="I38">
        <f>IF(INDEX(Cal_Weeks[MonthYearLabel],8)&lt;&gt;INDEX(Cal_Weeks[MonthYearLabel],7),'Grid_Stock'!H38,H38)+'Grid_Incoming'!I38-'Grid_Requirement'!I38</f>
        <v/>
      </c>
      <c r="J38">
        <f>IF(INDEX(Cal_Weeks[MonthYearLabel],9)&lt;&gt;INDEX(Cal_Weeks[MonthYearLabel],8),'Grid_Stock'!I38,I38)+'Grid_Incoming'!J38-'Grid_Requirement'!J38</f>
        <v/>
      </c>
      <c r="K38">
        <f>IF(INDEX(Cal_Weeks[MonthYearLabel],10)&lt;&gt;INDEX(Cal_Weeks[MonthYearLabel],9),'Grid_Stock'!J38,J38)+'Grid_Incoming'!K38-'Grid_Requirement'!K38</f>
        <v/>
      </c>
      <c r="L38">
        <f>IF(INDEX(Cal_Weeks[MonthYearLabel],11)&lt;&gt;INDEX(Cal_Weeks[MonthYearLabel],10),'Grid_Stock'!K38,K38)+'Grid_Incoming'!L38-'Grid_Requirement'!L38</f>
        <v/>
      </c>
      <c r="M38">
        <f>IF(INDEX(Cal_Weeks[MonthYearLabel],12)&lt;&gt;INDEX(Cal_Weeks[MonthYearLabel],11),'Grid_Stock'!L38,L38)+'Grid_Incoming'!M38-'Grid_Requirement'!M38</f>
        <v/>
      </c>
      <c r="N38">
        <f>IF(INDEX(Cal_Weeks[MonthYearLabel],13)&lt;&gt;INDEX(Cal_Weeks[MonthYearLabel],12),'Grid_Stock'!M38,M38)+'Grid_Incoming'!N38-'Grid_Requirement'!N38</f>
        <v/>
      </c>
      <c r="O38">
        <f>IF(INDEX(Cal_Weeks[MonthYearLabel],14)&lt;&gt;INDEX(Cal_Weeks[MonthYearLabel],13),'Grid_Stock'!N38,N38)+'Grid_Incoming'!O38-'Grid_Requirement'!O38</f>
        <v/>
      </c>
      <c r="P38">
        <f>IF(INDEX(Cal_Weeks[MonthYearLabel],15)&lt;&gt;INDEX(Cal_Weeks[MonthYearLabel],14),'Grid_Stock'!O38,O38)+'Grid_Incoming'!P38-'Grid_Requirement'!P38</f>
        <v/>
      </c>
      <c r="Q38">
        <f>IF(INDEX(Cal_Weeks[MonthYearLabel],16)&lt;&gt;INDEX(Cal_Weeks[MonthYearLabel],15),'Grid_Stock'!P38,P38)+'Grid_Incoming'!Q38-'Grid_Requirement'!Q38</f>
        <v/>
      </c>
      <c r="R38">
        <f>IF(INDEX(Cal_Weeks[MonthYearLabel],17)&lt;&gt;INDEX(Cal_Weeks[MonthYearLabel],16),'Grid_Stock'!Q38,Q38)+'Grid_Incoming'!R38-'Grid_Requirement'!R38</f>
        <v/>
      </c>
      <c r="S38">
        <f>IF(INDEX(Cal_Weeks[MonthYearLabel],18)&lt;&gt;INDEX(Cal_Weeks[MonthYearLabel],17),'Grid_Stock'!R38,R38)+'Grid_Incoming'!S38-'Grid_Requirement'!S38</f>
        <v/>
      </c>
      <c r="T38">
        <f>IF(INDEX(Cal_Weeks[MonthYearLabel],19)&lt;&gt;INDEX(Cal_Weeks[MonthYearLabel],18),'Grid_Stock'!S38,S38)+'Grid_Incoming'!T38-'Grid_Requirement'!T38</f>
        <v/>
      </c>
      <c r="U38">
        <f>IF(INDEX(Cal_Weeks[MonthYearLabel],20)&lt;&gt;INDEX(Cal_Weeks[MonthYearLabel],19),'Grid_Stock'!T38,T38)+'Grid_Incoming'!U38-'Grid_Requirement'!U38</f>
        <v/>
      </c>
      <c r="V38">
        <f>IF(INDEX(Cal_Weeks[MonthYearLabel],21)&lt;&gt;INDEX(Cal_Weeks[MonthYearLabel],20),'Grid_Stock'!U38,U38)+'Grid_Incoming'!V38-'Grid_Requirement'!V38</f>
        <v/>
      </c>
      <c r="W38">
        <f>IF(INDEX(Cal_Weeks[MonthYearLabel],22)&lt;&gt;INDEX(Cal_Weeks[MonthYearLabel],21),'Grid_Stock'!V38,V38)+'Grid_Incoming'!W38-'Grid_Requirement'!W38</f>
        <v/>
      </c>
      <c r="X38">
        <f>IF(INDEX(Cal_Weeks[MonthYearLabel],23)&lt;&gt;INDEX(Cal_Weeks[MonthYearLabel],22),'Grid_Stock'!W38,W38)+'Grid_Incoming'!X38-'Grid_Requirement'!X38</f>
        <v/>
      </c>
      <c r="Y38">
        <f>IF(INDEX(Cal_Weeks[MonthYearLabel],24)&lt;&gt;INDEX(Cal_Weeks[MonthYearLabel],23),'Grid_Stock'!X38,X38)+'Grid_Incoming'!Y38-'Grid_Requirement'!Y38</f>
        <v/>
      </c>
      <c r="Z38">
        <f>IF(INDEX(Cal_Weeks[MonthYearLabel],25)&lt;&gt;INDEX(Cal_Weeks[MonthYearLabel],24),'Grid_Stock'!Y38,Y38)+'Grid_Incoming'!Z38-'Grid_Requirement'!Z38</f>
        <v/>
      </c>
      <c r="AA38">
        <f>IF(INDEX(Cal_Weeks[MonthYearLabel],26)&lt;&gt;INDEX(Cal_Weeks[MonthYearLabel],25),'Grid_Stock'!Z38,Z38)+'Grid_Incoming'!AA38-'Grid_Requirement'!AA38</f>
        <v/>
      </c>
      <c r="AB38">
        <f>IF(INDEX(Cal_Weeks[MonthYearLabel],27)&lt;&gt;INDEX(Cal_Weeks[MonthYearLabel],26),'Grid_Stock'!AA38,AA38)+'Grid_Incoming'!AB38-'Grid_Requirement'!AB38</f>
        <v/>
      </c>
      <c r="AC38">
        <f>IF(INDEX(Cal_Weeks[MonthYearLabel],28)&lt;&gt;INDEX(Cal_Weeks[MonthYearLabel],27),'Grid_Stock'!AB38,AB38)+'Grid_Incoming'!AC38-'Grid_Requirement'!AC38</f>
        <v/>
      </c>
      <c r="AD38">
        <f>IF(INDEX(Cal_Weeks[MonthYearLabel],29)&lt;&gt;INDEX(Cal_Weeks[MonthYearLabel],28),'Grid_Stock'!AC38,AC38)+'Grid_Incoming'!AD38-'Grid_Requirement'!AD38</f>
        <v/>
      </c>
      <c r="AE38">
        <f>IF(INDEX(Cal_Weeks[MonthYearLabel],30)&lt;&gt;INDEX(Cal_Weeks[MonthYearLabel],29),'Grid_Stock'!AD38,AD38)+'Grid_Incoming'!AE38-'Grid_Requirement'!AE38</f>
        <v/>
      </c>
      <c r="AF38">
        <f>IF(INDEX(Cal_Weeks[MonthYearLabel],31)&lt;&gt;INDEX(Cal_Weeks[MonthYearLabel],30),'Grid_Stock'!AE38,AE38)+'Grid_Incoming'!AF38-'Grid_Requirement'!AF38</f>
        <v/>
      </c>
      <c r="AG38">
        <f>IF(INDEX(Cal_Weeks[MonthYearLabel],32)&lt;&gt;INDEX(Cal_Weeks[MonthYearLabel],31),'Grid_Stock'!AF38,AF38)+'Grid_Incoming'!AG38-'Grid_Requirement'!AG38</f>
        <v/>
      </c>
      <c r="AH38">
        <f>IF(INDEX(Cal_Weeks[MonthYearLabel],33)&lt;&gt;INDEX(Cal_Weeks[MonthYearLabel],32),'Grid_Stock'!AG38,AG38)+'Grid_Incoming'!AH38-'Grid_Requirement'!AH38</f>
        <v/>
      </c>
      <c r="AI38">
        <f>IF(INDEX(Cal_Weeks[MonthYearLabel],34)&lt;&gt;INDEX(Cal_Weeks[MonthYearLabel],33),'Grid_Stock'!AH38,AH38)+'Grid_Incoming'!AI38-'Grid_Requirement'!AI38</f>
        <v/>
      </c>
      <c r="AJ38">
        <f>IF(INDEX(Cal_Weeks[MonthYearLabel],35)&lt;&gt;INDEX(Cal_Weeks[MonthYearLabel],34),'Grid_Stock'!AI38,AI38)+'Grid_Incoming'!AJ38-'Grid_Requirement'!AJ38</f>
        <v/>
      </c>
      <c r="AK38">
        <f>IF(INDEX(Cal_Weeks[MonthYearLabel],36)&lt;&gt;INDEX(Cal_Weeks[MonthYearLabel],35),'Grid_Stock'!AJ38,AJ38)+'Grid_Incoming'!AK38-'Grid_Requirement'!AK38</f>
        <v/>
      </c>
      <c r="AL38">
        <f>IF(INDEX(Cal_Weeks[MonthYearLabel],37)&lt;&gt;INDEX(Cal_Weeks[MonthYearLabel],36),'Grid_Stock'!AK38,AK38)+'Grid_Incoming'!AL38-'Grid_Requirement'!AL38</f>
        <v/>
      </c>
      <c r="AM38">
        <f>IF(INDEX(Cal_Weeks[MonthYearLabel],38)&lt;&gt;INDEX(Cal_Weeks[MonthYearLabel],37),'Grid_Stock'!AL38,AL38)+'Grid_Incoming'!AM38-'Grid_Requirement'!AM38</f>
        <v/>
      </c>
      <c r="AN38">
        <f>IF(INDEX(Cal_Weeks[MonthYearLabel],39)&lt;&gt;INDEX(Cal_Weeks[MonthYearLabel],38),'Grid_Stock'!AM38,AM38)+'Grid_Incoming'!AN38-'Grid_Requirement'!AN38</f>
        <v/>
      </c>
      <c r="AO38">
        <f>IF(INDEX(Cal_Weeks[MonthYearLabel],40)&lt;&gt;INDEX(Cal_Weeks[MonthYearLabel],39),'Grid_Stock'!AN38,AN38)+'Grid_Incoming'!AO38-'Grid_Requirement'!AO38</f>
        <v/>
      </c>
      <c r="AP38">
        <f>IF(INDEX(Cal_Weeks[MonthYearLabel],41)&lt;&gt;INDEX(Cal_Weeks[MonthYearLabel],40),'Grid_Stock'!AO38,AO38)+'Grid_Incoming'!AP38-'Grid_Requirement'!AP38</f>
        <v/>
      </c>
      <c r="AQ38">
        <f>IF(INDEX(Cal_Weeks[MonthYearLabel],42)&lt;&gt;INDEX(Cal_Weeks[MonthYearLabel],41),'Grid_Stock'!AP38,AP38)+'Grid_Incoming'!AQ38-'Grid_Requirement'!AQ38</f>
        <v/>
      </c>
      <c r="AR38">
        <f>IF(INDEX(Cal_Weeks[MonthYearLabel],43)&lt;&gt;INDEX(Cal_Weeks[MonthYearLabel],42),'Grid_Stock'!AQ38,AQ38)+'Grid_Incoming'!AR38-'Grid_Requirement'!AR38</f>
        <v/>
      </c>
      <c r="AS38">
        <f>IF(INDEX(Cal_Weeks[MonthYearLabel],44)&lt;&gt;INDEX(Cal_Weeks[MonthYearLabel],43),'Grid_Stock'!AR38,AR38)+'Grid_Incoming'!AS38-'Grid_Requirement'!AS38</f>
        <v/>
      </c>
      <c r="AT38">
        <f>IF(INDEX(Cal_Weeks[MonthYearLabel],45)&lt;&gt;INDEX(Cal_Weeks[MonthYearLabel],44),'Grid_Stock'!AS38,AS38)+'Grid_Incoming'!AT38-'Grid_Requirement'!AT38</f>
        <v/>
      </c>
      <c r="AU38">
        <f>IF(INDEX(Cal_Weeks[MonthYearLabel],46)&lt;&gt;INDEX(Cal_Weeks[MonthYearLabel],45),'Grid_Stock'!AT38,AT38)+'Grid_Incoming'!AU38-'Grid_Requirement'!AU38</f>
        <v/>
      </c>
      <c r="AV38">
        <f>IF(INDEX(Cal_Weeks[MonthYearLabel],47)&lt;&gt;INDEX(Cal_Weeks[MonthYearLabel],46),'Grid_Stock'!AU38,AU38)+'Grid_Incoming'!AV38-'Grid_Requirement'!AV38</f>
        <v/>
      </c>
      <c r="AW38">
        <f>IF(INDEX(Cal_Weeks[MonthYearLabel],48)&lt;&gt;INDEX(Cal_Weeks[MonthYearLabel],47),'Grid_Stock'!AV38,AV38)+'Grid_Incoming'!AW38-'Grid_Requirement'!AW38</f>
        <v/>
      </c>
      <c r="AX38">
        <f>IF(INDEX(Cal_Weeks[MonthYearLabel],49)&lt;&gt;INDEX(Cal_Weeks[MonthYearLabel],48),'Grid_Stock'!AW38,AW38)+'Grid_Incoming'!AX38-'Grid_Requirement'!AX38</f>
        <v/>
      </c>
      <c r="AY38">
        <f>IF(INDEX(Cal_Weeks[MonthYearLabel],50)&lt;&gt;INDEX(Cal_Weeks[MonthYearLabel],49),'Grid_Stock'!AX38,AX38)+'Grid_Incoming'!AY38-'Grid_Requirement'!AY38</f>
        <v/>
      </c>
      <c r="AZ38">
        <f>IF(INDEX(Cal_Weeks[MonthYearLabel],51)&lt;&gt;INDEX(Cal_Weeks[MonthYearLabel],50),'Grid_Stock'!AY38,AY38)+'Grid_Incoming'!AZ38-'Grid_Requirement'!AZ38</f>
        <v/>
      </c>
      <c r="BA38">
        <f>IF(INDEX(Cal_Weeks[MonthYearLabel],52)&lt;&gt;INDEX(Cal_Weeks[MonthYearLabel],51),'Grid_Stock'!AZ38,AZ38)+'Grid_Incoming'!BA38-'Grid_Requirement'!BA38</f>
        <v/>
      </c>
      <c r="BB38">
        <f>IF(INDEX(Cal_Weeks[MonthYearLabel],53)&lt;&gt;INDEX(Cal_Weeks[MonthYearLabel],52),'Grid_Stock'!BA38,BA38)+'Grid_Incoming'!BB38-'Grid_Requirement'!BB38</f>
        <v/>
      </c>
      <c r="BC38">
        <f>IF(INDEX(Cal_Weeks[MonthYearLabel],54)&lt;&gt;INDEX(Cal_Weeks[MonthYearLabel],53),'Grid_Stock'!BB38,BB38)+'Grid_Incoming'!BC38-'Grid_Requirement'!BC38</f>
        <v/>
      </c>
      <c r="BD38">
        <f>IF(INDEX(Cal_Weeks[MonthYearLabel],55)&lt;&gt;INDEX(Cal_Weeks[MonthYearLabel],54),'Grid_Stock'!BC38,BC38)+'Grid_Incoming'!BD38-'Grid_Requirement'!BD38</f>
        <v/>
      </c>
      <c r="BE38">
        <f>IF(INDEX(Cal_Weeks[MonthYearLabel],56)&lt;&gt;INDEX(Cal_Weeks[MonthYearLabel],55),'Grid_Stock'!BD38,BD38)+'Grid_Incoming'!BE38-'Grid_Requirement'!BE38</f>
        <v/>
      </c>
      <c r="BF38">
        <f>IF(INDEX(Cal_Weeks[MonthYearLabel],57)&lt;&gt;INDEX(Cal_Weeks[MonthYearLabel],56),'Grid_Stock'!BE38,BE38)+'Grid_Incoming'!BF38-'Grid_Requirement'!BF38</f>
        <v/>
      </c>
      <c r="BG38">
        <f>IF(INDEX(Cal_Weeks[MonthYearLabel],58)&lt;&gt;INDEX(Cal_Weeks[MonthYearLabel],57),'Grid_Stock'!BF38,BF38)+'Grid_Incoming'!BG38-'Grid_Requirement'!BG38</f>
        <v/>
      </c>
      <c r="BH38">
        <f>IF(INDEX(Cal_Weeks[MonthYearLabel],59)&lt;&gt;INDEX(Cal_Weeks[MonthYearLabel],58),'Grid_Stock'!BG38,BG38)+'Grid_Incoming'!BH38-'Grid_Requirement'!BH38</f>
        <v/>
      </c>
      <c r="BI38">
        <f>IF(INDEX(Cal_Weeks[MonthYearLabel],60)&lt;&gt;INDEX(Cal_Weeks[MonthYearLabel],59),'Grid_Stock'!BH38,BH38)+'Grid_Incoming'!BI38-'Grid_Requirement'!BI38</f>
        <v/>
      </c>
      <c r="BJ38">
        <f>IF(INDEX(Cal_Weeks[MonthYearLabel],61)&lt;&gt;INDEX(Cal_Weeks[MonthYearLabel],60),'Grid_Stock'!BI38,BI38)+'Grid_Incoming'!BJ38-'Grid_Requirement'!BJ38</f>
        <v/>
      </c>
      <c r="BK38">
        <f>IF(INDEX(Cal_Weeks[MonthYearLabel],62)&lt;&gt;INDEX(Cal_Weeks[MonthYearLabel],61),'Grid_Stock'!BJ38,BJ38)+'Grid_Incoming'!BK38-'Grid_Requirement'!BK38</f>
        <v/>
      </c>
      <c r="BL38">
        <f>IF(INDEX(Cal_Weeks[MonthYearLabel],63)&lt;&gt;INDEX(Cal_Weeks[MonthYearLabel],62),'Grid_Stock'!BK38,BK38)+'Grid_Incoming'!BL38-'Grid_Requirement'!BL38</f>
        <v/>
      </c>
      <c r="BM38">
        <f>IF(INDEX(Cal_Weeks[MonthYearLabel],64)&lt;&gt;INDEX(Cal_Weeks[MonthYearLabel],63),'Grid_Stock'!BL38,BL38)+'Grid_Incoming'!BM38-'Grid_Requirement'!BM38</f>
        <v/>
      </c>
      <c r="BN38">
        <f>IF(INDEX(Cal_Weeks[MonthYearLabel],65)&lt;&gt;INDEX(Cal_Weeks[MonthYearLabel],64),'Grid_Stock'!BM38,BM38)+'Grid_Incoming'!BN38-'Grid_Requirement'!BN38</f>
        <v/>
      </c>
      <c r="BO38">
        <f>IF(INDEX(Cal_Weeks[MonthYearLabel],66)&lt;&gt;INDEX(Cal_Weeks[MonthYearLabel],65),'Grid_Stock'!BN38,BN38)+'Grid_Incoming'!BO38-'Grid_Requirement'!BO38</f>
        <v/>
      </c>
      <c r="BP38">
        <f>IF(INDEX(Cal_Weeks[MonthYearLabel],67)&lt;&gt;INDEX(Cal_Weeks[MonthYearLabel],66),'Grid_Stock'!BO38,BO38)+'Grid_Incoming'!BP38-'Grid_Requirement'!BP38</f>
        <v/>
      </c>
      <c r="BQ38">
        <f>IF(INDEX(Cal_Weeks[MonthYearLabel],68)&lt;&gt;INDEX(Cal_Weeks[MonthYearLabel],67),'Grid_Stock'!BP38,BP38)+'Grid_Incoming'!BQ38-'Grid_Requirement'!BQ38</f>
        <v/>
      </c>
      <c r="BR38">
        <f>IF(INDEX(Cal_Weeks[MonthYearLabel],69)&lt;&gt;INDEX(Cal_Weeks[MonthYearLabel],68),'Grid_Stock'!BQ38,BQ38)+'Grid_Incoming'!BR38-'Grid_Requirement'!BR38</f>
        <v/>
      </c>
      <c r="BS38">
        <f>IF(INDEX(Cal_Weeks[MonthYearLabel],70)&lt;&gt;INDEX(Cal_Weeks[MonthYearLabel],69),'Grid_Stock'!BR38,BR38)+'Grid_Incoming'!BS38-'Grid_Requirement'!BS38</f>
        <v/>
      </c>
      <c r="BT38">
        <f>IF(INDEX(Cal_Weeks[MonthYearLabel],71)&lt;&gt;INDEX(Cal_Weeks[MonthYearLabel],70),'Grid_Stock'!BS38,BS38)+'Grid_Incoming'!BT38-'Grid_Requirement'!BT38</f>
        <v/>
      </c>
      <c r="BU38">
        <f>IF(INDEX(Cal_Weeks[MonthYearLabel],72)&lt;&gt;INDEX(Cal_Weeks[MonthYearLabel],71),'Grid_Stock'!BT38,BT38)+'Grid_Incoming'!BU38-'Grid_Requirement'!BU38</f>
        <v/>
      </c>
      <c r="BV38">
        <f>IF(INDEX(Cal_Weeks[MonthYearLabel],73)&lt;&gt;INDEX(Cal_Weeks[MonthYearLabel],72),'Grid_Stock'!BU38,BU38)+'Grid_Incoming'!BV38-'Grid_Requirement'!BV38</f>
        <v/>
      </c>
      <c r="BW38">
        <f>IF(INDEX(Cal_Weeks[MonthYearLabel],74)&lt;&gt;INDEX(Cal_Weeks[MonthYearLabel],73),'Grid_Stock'!BV38,BV38)+'Grid_Incoming'!BW38-'Grid_Requirement'!BW38</f>
        <v/>
      </c>
      <c r="BX38">
        <f>IF(INDEX(Cal_Weeks[MonthYearLabel],75)&lt;&gt;INDEX(Cal_Weeks[MonthYearLabel],74),'Grid_Stock'!BW38,BW38)+'Grid_Incoming'!BX38-'Grid_Requirement'!BX38</f>
        <v/>
      </c>
      <c r="BY38">
        <f>IF(INDEX(Cal_Weeks[MonthYearLabel],76)&lt;&gt;INDEX(Cal_Weeks[MonthYearLabel],75),'Grid_Stock'!BX38,BX38)+'Grid_Incoming'!BY38-'Grid_Requirement'!BY38</f>
        <v/>
      </c>
      <c r="BZ38">
        <f>IF(INDEX(Cal_Weeks[MonthYearLabel],77)&lt;&gt;INDEX(Cal_Weeks[MonthYearLabel],76),'Grid_Stock'!BY38,BY38)+'Grid_Incoming'!BZ38-'Grid_Requirement'!BZ38</f>
        <v/>
      </c>
      <c r="CA38">
        <f>IF(INDEX(Cal_Weeks[MonthYearLabel],78)&lt;&gt;INDEX(Cal_Weeks[MonthYearLabel],77),'Grid_Stock'!BZ38,BZ38)+'Grid_Incoming'!CA38-'Grid_Requirement'!CA38</f>
        <v/>
      </c>
      <c r="CB38">
        <f>IF(INDEX(Cal_Weeks[MonthYearLabel],79)&lt;&gt;INDEX(Cal_Weeks[MonthYearLabel],78),'Grid_Stock'!CA38,CA38)+'Grid_Incoming'!CB38-'Grid_Requirement'!CB38</f>
        <v/>
      </c>
      <c r="CC38">
        <f>IF(INDEX(Cal_Weeks[MonthYearLabel],80)&lt;&gt;INDEX(Cal_Weeks[MonthYearLabel],79),'Grid_Stock'!CB38,CB38)+'Grid_Incoming'!CC38-'Grid_Requirement'!CC38</f>
        <v/>
      </c>
      <c r="CD38">
        <f>IF(INDEX(Cal_Weeks[MonthYearLabel],81)&lt;&gt;INDEX(Cal_Weeks[MonthYearLabel],80),'Grid_Stock'!CC38,CC38)+'Grid_Incoming'!CD38-'Grid_Requirement'!CD38</f>
        <v/>
      </c>
      <c r="CE38">
        <f>IF(INDEX(Cal_Weeks[MonthYearLabel],82)&lt;&gt;INDEX(Cal_Weeks[MonthYearLabel],81),'Grid_Stock'!CD38,CD38)+'Grid_Incoming'!CE38-'Grid_Requirement'!CE38</f>
        <v/>
      </c>
      <c r="CF38">
        <f>IF(INDEX(Cal_Weeks[MonthYearLabel],83)&lt;&gt;INDEX(Cal_Weeks[MonthYearLabel],82),'Grid_Stock'!CE38,CE38)+'Grid_Incoming'!CF38-'Grid_Requirement'!CF38</f>
        <v/>
      </c>
      <c r="CG38">
        <f>IF(INDEX(Cal_Weeks[MonthYearLabel],84)&lt;&gt;INDEX(Cal_Weeks[MonthYearLabel],83),'Grid_Stock'!CF38,CF38)+'Grid_Incoming'!CG38-'Grid_Requirement'!CG38</f>
        <v/>
      </c>
      <c r="CH38">
        <f>IF(INDEX(Cal_Weeks[MonthYearLabel],85)&lt;&gt;INDEX(Cal_Weeks[MonthYearLabel],84),'Grid_Stock'!CG38,CG38)+'Grid_Incoming'!CH38-'Grid_Requirement'!CH38</f>
        <v/>
      </c>
      <c r="CI38">
        <f>IF(INDEX(Cal_Weeks[MonthYearLabel],86)&lt;&gt;INDEX(Cal_Weeks[MonthYearLabel],85),'Grid_Stock'!CH38,CH38)+'Grid_Incoming'!CI38-'Grid_Requirement'!CI38</f>
        <v/>
      </c>
      <c r="CJ38">
        <f>IF(INDEX(Cal_Weeks[MonthYearLabel],87)&lt;&gt;INDEX(Cal_Weeks[MonthYearLabel],86),'Grid_Stock'!CI38,CI38)+'Grid_Incoming'!CJ38-'Grid_Requirement'!CJ38</f>
        <v/>
      </c>
      <c r="CK38">
        <f>IF(INDEX(Cal_Weeks[MonthYearLabel],88)&lt;&gt;INDEX(Cal_Weeks[MonthYearLabel],87),'Grid_Stock'!CJ38,CJ38)+'Grid_Incoming'!CK38-'Grid_Requirement'!CK38</f>
        <v/>
      </c>
      <c r="CL38">
        <f>IF(INDEX(Cal_Weeks[MonthYearLabel],89)&lt;&gt;INDEX(Cal_Weeks[MonthYearLabel],88),'Grid_Stock'!CK38,CK38)+'Grid_Incoming'!CL38-'Grid_Requirement'!CL38</f>
        <v/>
      </c>
      <c r="CM38">
        <f>IF(INDEX(Cal_Weeks[MonthYearLabel],90)&lt;&gt;INDEX(Cal_Weeks[MonthYearLabel],89),'Grid_Stock'!CL38,CL38)+'Grid_Incoming'!CM38-'Grid_Requirement'!CM38</f>
        <v/>
      </c>
      <c r="CN38">
        <f>IF(INDEX(Cal_Weeks[MonthYearLabel],91)&lt;&gt;INDEX(Cal_Weeks[MonthYearLabel],90),'Grid_Stock'!CM38,CM38)+'Grid_Incoming'!CN38-'Grid_Requirement'!CN38</f>
        <v/>
      </c>
      <c r="CO38">
        <f>IF(INDEX(Cal_Weeks[MonthYearLabel],92)&lt;&gt;INDEX(Cal_Weeks[MonthYearLabel],91),'Grid_Stock'!CN38,CN38)+'Grid_Incoming'!CO38-'Grid_Requirement'!CO38</f>
        <v/>
      </c>
      <c r="CP38">
        <f>IF(INDEX(Cal_Weeks[MonthYearLabel],93)&lt;&gt;INDEX(Cal_Weeks[MonthYearLabel],92),'Grid_Stock'!CO38,CO38)+'Grid_Incoming'!CP38-'Grid_Requirement'!CP38</f>
        <v/>
      </c>
      <c r="CQ38">
        <f>IF(INDEX(Cal_Weeks[MonthYearLabel],94)&lt;&gt;INDEX(Cal_Weeks[MonthYearLabel],93),'Grid_Stock'!CP38,CP38)+'Grid_Incoming'!CQ38-'Grid_Requirement'!CQ38</f>
        <v/>
      </c>
      <c r="CR38">
        <f>IF(INDEX(Cal_Weeks[MonthYearLabel],95)&lt;&gt;INDEX(Cal_Weeks[MonthYearLabel],94),'Grid_Stock'!CQ38,CQ38)+'Grid_Incoming'!CR38-'Grid_Requirement'!CR38</f>
        <v/>
      </c>
      <c r="CS38">
        <f>IF(INDEX(Cal_Weeks[MonthYearLabel],96)&lt;&gt;INDEX(Cal_Weeks[MonthYearLabel],95),'Grid_Stock'!CR38,CR38)+'Grid_Incoming'!CS38-'Grid_Requirement'!CS38</f>
        <v/>
      </c>
      <c r="CT38">
        <f>IF(INDEX(Cal_Weeks[MonthYearLabel],97)&lt;&gt;INDEX(Cal_Weeks[MonthYearLabel],96),'Grid_Stock'!CS38,CS38)+'Grid_Incoming'!CT38-'Grid_Requirement'!CT38</f>
        <v/>
      </c>
      <c r="CU38">
        <f>IF(INDEX(Cal_Weeks[MonthYearLabel],98)&lt;&gt;INDEX(Cal_Weeks[MonthYearLabel],97),'Grid_Stock'!CT38,CT38)+'Grid_Incoming'!CU38-'Grid_Requirement'!CU38</f>
        <v/>
      </c>
      <c r="CV38">
        <f>IF(INDEX(Cal_Weeks[MonthYearLabel],99)&lt;&gt;INDEX(Cal_Weeks[MonthYearLabel],98),'Grid_Stock'!CU38,CU38)+'Grid_Incoming'!CV38-'Grid_Requirement'!CV38</f>
        <v/>
      </c>
      <c r="CW38">
        <f>IF(INDEX(Cal_Weeks[MonthYearLabel],100)&lt;&gt;INDEX(Cal_Weeks[MonthYearLabel],99),'Grid_Stock'!CV38,CV38)+'Grid_Incoming'!CW38-'Grid_Requirement'!CW38</f>
        <v/>
      </c>
      <c r="CX38">
        <f>IF(INDEX(Cal_Weeks[MonthYearLabel],101)&lt;&gt;INDEX(Cal_Weeks[MonthYearLabel],100),'Grid_Stock'!CW38,CW38)+'Grid_Incoming'!CX38-'Grid_Requirement'!CX38</f>
        <v/>
      </c>
      <c r="CY38">
        <f>IF(INDEX(Cal_Weeks[MonthYearLabel],102)&lt;&gt;INDEX(Cal_Weeks[MonthYearLabel],101),'Grid_Stock'!CX38,CX38)+'Grid_Incoming'!CY38-'Grid_Requirement'!CY38</f>
        <v/>
      </c>
      <c r="CZ38">
        <f>IF(INDEX(Cal_Weeks[MonthYearLabel],103)&lt;&gt;INDEX(Cal_Weeks[MonthYearLabel],102),'Grid_Stock'!CY38,CY38)+'Grid_Incoming'!CZ38-'Grid_Requirement'!CZ38</f>
        <v/>
      </c>
      <c r="DA38">
        <f>IF(INDEX(Cal_Weeks[MonthYearLabel],104)&lt;&gt;INDEX(Cal_Weeks[MonthYearLabel],103),'Grid_Stock'!CZ38,CZ38)+'Grid_Incoming'!DA38-'Grid_Requirement'!DA38</f>
        <v/>
      </c>
    </row>
    <row r="39">
      <c r="A39" t="inlineStr">
        <is>
          <t>CHEM-1480</t>
        </is>
      </c>
      <c r="B39">
        <f>IFERROR(INDEX(T_OpeningStock[Opening_Qty_要入力],MATCH($A39,T_OpeningStock[Part Name],0)),0)+'Grid_Incoming'!B39-'Grid_Requirement'!B39</f>
        <v/>
      </c>
      <c r="C39">
        <f>IF(INDEX(Cal_Weeks[MonthYearLabel],2)&lt;&gt;INDEX(Cal_Weeks[MonthYearLabel],1),'Grid_Stock'!B39,B39)+'Grid_Incoming'!C39-'Grid_Requirement'!C39</f>
        <v/>
      </c>
      <c r="D39">
        <f>IF(INDEX(Cal_Weeks[MonthYearLabel],3)&lt;&gt;INDEX(Cal_Weeks[MonthYearLabel],2),'Grid_Stock'!C39,C39)+'Grid_Incoming'!D39-'Grid_Requirement'!D39</f>
        <v/>
      </c>
      <c r="E39">
        <f>IF(INDEX(Cal_Weeks[MonthYearLabel],4)&lt;&gt;INDEX(Cal_Weeks[MonthYearLabel],3),'Grid_Stock'!D39,D39)+'Grid_Incoming'!E39-'Grid_Requirement'!E39</f>
        <v/>
      </c>
      <c r="F39">
        <f>IF(INDEX(Cal_Weeks[MonthYearLabel],5)&lt;&gt;INDEX(Cal_Weeks[MonthYearLabel],4),'Grid_Stock'!E39,E39)+'Grid_Incoming'!F39-'Grid_Requirement'!F39</f>
        <v/>
      </c>
      <c r="G39">
        <f>IF(INDEX(Cal_Weeks[MonthYearLabel],6)&lt;&gt;INDEX(Cal_Weeks[MonthYearLabel],5),'Grid_Stock'!F39,F39)+'Grid_Incoming'!G39-'Grid_Requirement'!G39</f>
        <v/>
      </c>
      <c r="H39">
        <f>IF(INDEX(Cal_Weeks[MonthYearLabel],7)&lt;&gt;INDEX(Cal_Weeks[MonthYearLabel],6),'Grid_Stock'!G39,G39)+'Grid_Incoming'!H39-'Grid_Requirement'!H39</f>
        <v/>
      </c>
      <c r="I39">
        <f>IF(INDEX(Cal_Weeks[MonthYearLabel],8)&lt;&gt;INDEX(Cal_Weeks[MonthYearLabel],7),'Grid_Stock'!H39,H39)+'Grid_Incoming'!I39-'Grid_Requirement'!I39</f>
        <v/>
      </c>
      <c r="J39">
        <f>IF(INDEX(Cal_Weeks[MonthYearLabel],9)&lt;&gt;INDEX(Cal_Weeks[MonthYearLabel],8),'Grid_Stock'!I39,I39)+'Grid_Incoming'!J39-'Grid_Requirement'!J39</f>
        <v/>
      </c>
      <c r="K39">
        <f>IF(INDEX(Cal_Weeks[MonthYearLabel],10)&lt;&gt;INDEX(Cal_Weeks[MonthYearLabel],9),'Grid_Stock'!J39,J39)+'Grid_Incoming'!K39-'Grid_Requirement'!K39</f>
        <v/>
      </c>
      <c r="L39">
        <f>IF(INDEX(Cal_Weeks[MonthYearLabel],11)&lt;&gt;INDEX(Cal_Weeks[MonthYearLabel],10),'Grid_Stock'!K39,K39)+'Grid_Incoming'!L39-'Grid_Requirement'!L39</f>
        <v/>
      </c>
      <c r="M39">
        <f>IF(INDEX(Cal_Weeks[MonthYearLabel],12)&lt;&gt;INDEX(Cal_Weeks[MonthYearLabel],11),'Grid_Stock'!L39,L39)+'Grid_Incoming'!M39-'Grid_Requirement'!M39</f>
        <v/>
      </c>
      <c r="N39">
        <f>IF(INDEX(Cal_Weeks[MonthYearLabel],13)&lt;&gt;INDEX(Cal_Weeks[MonthYearLabel],12),'Grid_Stock'!M39,M39)+'Grid_Incoming'!N39-'Grid_Requirement'!N39</f>
        <v/>
      </c>
      <c r="O39">
        <f>IF(INDEX(Cal_Weeks[MonthYearLabel],14)&lt;&gt;INDEX(Cal_Weeks[MonthYearLabel],13),'Grid_Stock'!N39,N39)+'Grid_Incoming'!O39-'Grid_Requirement'!O39</f>
        <v/>
      </c>
      <c r="P39">
        <f>IF(INDEX(Cal_Weeks[MonthYearLabel],15)&lt;&gt;INDEX(Cal_Weeks[MonthYearLabel],14),'Grid_Stock'!O39,O39)+'Grid_Incoming'!P39-'Grid_Requirement'!P39</f>
        <v/>
      </c>
      <c r="Q39">
        <f>IF(INDEX(Cal_Weeks[MonthYearLabel],16)&lt;&gt;INDEX(Cal_Weeks[MonthYearLabel],15),'Grid_Stock'!P39,P39)+'Grid_Incoming'!Q39-'Grid_Requirement'!Q39</f>
        <v/>
      </c>
      <c r="R39">
        <f>IF(INDEX(Cal_Weeks[MonthYearLabel],17)&lt;&gt;INDEX(Cal_Weeks[MonthYearLabel],16),'Grid_Stock'!Q39,Q39)+'Grid_Incoming'!R39-'Grid_Requirement'!R39</f>
        <v/>
      </c>
      <c r="S39">
        <f>IF(INDEX(Cal_Weeks[MonthYearLabel],18)&lt;&gt;INDEX(Cal_Weeks[MonthYearLabel],17),'Grid_Stock'!R39,R39)+'Grid_Incoming'!S39-'Grid_Requirement'!S39</f>
        <v/>
      </c>
      <c r="T39">
        <f>IF(INDEX(Cal_Weeks[MonthYearLabel],19)&lt;&gt;INDEX(Cal_Weeks[MonthYearLabel],18),'Grid_Stock'!S39,S39)+'Grid_Incoming'!T39-'Grid_Requirement'!T39</f>
        <v/>
      </c>
      <c r="U39">
        <f>IF(INDEX(Cal_Weeks[MonthYearLabel],20)&lt;&gt;INDEX(Cal_Weeks[MonthYearLabel],19),'Grid_Stock'!T39,T39)+'Grid_Incoming'!U39-'Grid_Requirement'!U39</f>
        <v/>
      </c>
      <c r="V39">
        <f>IF(INDEX(Cal_Weeks[MonthYearLabel],21)&lt;&gt;INDEX(Cal_Weeks[MonthYearLabel],20),'Grid_Stock'!U39,U39)+'Grid_Incoming'!V39-'Grid_Requirement'!V39</f>
        <v/>
      </c>
      <c r="W39">
        <f>IF(INDEX(Cal_Weeks[MonthYearLabel],22)&lt;&gt;INDEX(Cal_Weeks[MonthYearLabel],21),'Grid_Stock'!V39,V39)+'Grid_Incoming'!W39-'Grid_Requirement'!W39</f>
        <v/>
      </c>
      <c r="X39">
        <f>IF(INDEX(Cal_Weeks[MonthYearLabel],23)&lt;&gt;INDEX(Cal_Weeks[MonthYearLabel],22),'Grid_Stock'!W39,W39)+'Grid_Incoming'!X39-'Grid_Requirement'!X39</f>
        <v/>
      </c>
      <c r="Y39">
        <f>IF(INDEX(Cal_Weeks[MonthYearLabel],24)&lt;&gt;INDEX(Cal_Weeks[MonthYearLabel],23),'Grid_Stock'!X39,X39)+'Grid_Incoming'!Y39-'Grid_Requirement'!Y39</f>
        <v/>
      </c>
      <c r="Z39">
        <f>IF(INDEX(Cal_Weeks[MonthYearLabel],25)&lt;&gt;INDEX(Cal_Weeks[MonthYearLabel],24),'Grid_Stock'!Y39,Y39)+'Grid_Incoming'!Z39-'Grid_Requirement'!Z39</f>
        <v/>
      </c>
      <c r="AA39">
        <f>IF(INDEX(Cal_Weeks[MonthYearLabel],26)&lt;&gt;INDEX(Cal_Weeks[MonthYearLabel],25),'Grid_Stock'!Z39,Z39)+'Grid_Incoming'!AA39-'Grid_Requirement'!AA39</f>
        <v/>
      </c>
      <c r="AB39">
        <f>IF(INDEX(Cal_Weeks[MonthYearLabel],27)&lt;&gt;INDEX(Cal_Weeks[MonthYearLabel],26),'Grid_Stock'!AA39,AA39)+'Grid_Incoming'!AB39-'Grid_Requirement'!AB39</f>
        <v/>
      </c>
      <c r="AC39">
        <f>IF(INDEX(Cal_Weeks[MonthYearLabel],28)&lt;&gt;INDEX(Cal_Weeks[MonthYearLabel],27),'Grid_Stock'!AB39,AB39)+'Grid_Incoming'!AC39-'Grid_Requirement'!AC39</f>
        <v/>
      </c>
      <c r="AD39">
        <f>IF(INDEX(Cal_Weeks[MonthYearLabel],29)&lt;&gt;INDEX(Cal_Weeks[MonthYearLabel],28),'Grid_Stock'!AC39,AC39)+'Grid_Incoming'!AD39-'Grid_Requirement'!AD39</f>
        <v/>
      </c>
      <c r="AE39">
        <f>IF(INDEX(Cal_Weeks[MonthYearLabel],30)&lt;&gt;INDEX(Cal_Weeks[MonthYearLabel],29),'Grid_Stock'!AD39,AD39)+'Grid_Incoming'!AE39-'Grid_Requirement'!AE39</f>
        <v/>
      </c>
      <c r="AF39">
        <f>IF(INDEX(Cal_Weeks[MonthYearLabel],31)&lt;&gt;INDEX(Cal_Weeks[MonthYearLabel],30),'Grid_Stock'!AE39,AE39)+'Grid_Incoming'!AF39-'Grid_Requirement'!AF39</f>
        <v/>
      </c>
      <c r="AG39">
        <f>IF(INDEX(Cal_Weeks[MonthYearLabel],32)&lt;&gt;INDEX(Cal_Weeks[MonthYearLabel],31),'Grid_Stock'!AF39,AF39)+'Grid_Incoming'!AG39-'Grid_Requirement'!AG39</f>
        <v/>
      </c>
      <c r="AH39">
        <f>IF(INDEX(Cal_Weeks[MonthYearLabel],33)&lt;&gt;INDEX(Cal_Weeks[MonthYearLabel],32),'Grid_Stock'!AG39,AG39)+'Grid_Incoming'!AH39-'Grid_Requirement'!AH39</f>
        <v/>
      </c>
      <c r="AI39">
        <f>IF(INDEX(Cal_Weeks[MonthYearLabel],34)&lt;&gt;INDEX(Cal_Weeks[MonthYearLabel],33),'Grid_Stock'!AH39,AH39)+'Grid_Incoming'!AI39-'Grid_Requirement'!AI39</f>
        <v/>
      </c>
      <c r="AJ39">
        <f>IF(INDEX(Cal_Weeks[MonthYearLabel],35)&lt;&gt;INDEX(Cal_Weeks[MonthYearLabel],34),'Grid_Stock'!AI39,AI39)+'Grid_Incoming'!AJ39-'Grid_Requirement'!AJ39</f>
        <v/>
      </c>
      <c r="AK39">
        <f>IF(INDEX(Cal_Weeks[MonthYearLabel],36)&lt;&gt;INDEX(Cal_Weeks[MonthYearLabel],35),'Grid_Stock'!AJ39,AJ39)+'Grid_Incoming'!AK39-'Grid_Requirement'!AK39</f>
        <v/>
      </c>
      <c r="AL39">
        <f>IF(INDEX(Cal_Weeks[MonthYearLabel],37)&lt;&gt;INDEX(Cal_Weeks[MonthYearLabel],36),'Grid_Stock'!AK39,AK39)+'Grid_Incoming'!AL39-'Grid_Requirement'!AL39</f>
        <v/>
      </c>
      <c r="AM39">
        <f>IF(INDEX(Cal_Weeks[MonthYearLabel],38)&lt;&gt;INDEX(Cal_Weeks[MonthYearLabel],37),'Grid_Stock'!AL39,AL39)+'Grid_Incoming'!AM39-'Grid_Requirement'!AM39</f>
        <v/>
      </c>
      <c r="AN39">
        <f>IF(INDEX(Cal_Weeks[MonthYearLabel],39)&lt;&gt;INDEX(Cal_Weeks[MonthYearLabel],38),'Grid_Stock'!AM39,AM39)+'Grid_Incoming'!AN39-'Grid_Requirement'!AN39</f>
        <v/>
      </c>
      <c r="AO39">
        <f>IF(INDEX(Cal_Weeks[MonthYearLabel],40)&lt;&gt;INDEX(Cal_Weeks[MonthYearLabel],39),'Grid_Stock'!AN39,AN39)+'Grid_Incoming'!AO39-'Grid_Requirement'!AO39</f>
        <v/>
      </c>
      <c r="AP39">
        <f>IF(INDEX(Cal_Weeks[MonthYearLabel],41)&lt;&gt;INDEX(Cal_Weeks[MonthYearLabel],40),'Grid_Stock'!AO39,AO39)+'Grid_Incoming'!AP39-'Grid_Requirement'!AP39</f>
        <v/>
      </c>
      <c r="AQ39">
        <f>IF(INDEX(Cal_Weeks[MonthYearLabel],42)&lt;&gt;INDEX(Cal_Weeks[MonthYearLabel],41),'Grid_Stock'!AP39,AP39)+'Grid_Incoming'!AQ39-'Grid_Requirement'!AQ39</f>
        <v/>
      </c>
      <c r="AR39">
        <f>IF(INDEX(Cal_Weeks[MonthYearLabel],43)&lt;&gt;INDEX(Cal_Weeks[MonthYearLabel],42),'Grid_Stock'!AQ39,AQ39)+'Grid_Incoming'!AR39-'Grid_Requirement'!AR39</f>
        <v/>
      </c>
      <c r="AS39">
        <f>IF(INDEX(Cal_Weeks[MonthYearLabel],44)&lt;&gt;INDEX(Cal_Weeks[MonthYearLabel],43),'Grid_Stock'!AR39,AR39)+'Grid_Incoming'!AS39-'Grid_Requirement'!AS39</f>
        <v/>
      </c>
      <c r="AT39">
        <f>IF(INDEX(Cal_Weeks[MonthYearLabel],45)&lt;&gt;INDEX(Cal_Weeks[MonthYearLabel],44),'Grid_Stock'!AS39,AS39)+'Grid_Incoming'!AT39-'Grid_Requirement'!AT39</f>
        <v/>
      </c>
      <c r="AU39">
        <f>IF(INDEX(Cal_Weeks[MonthYearLabel],46)&lt;&gt;INDEX(Cal_Weeks[MonthYearLabel],45),'Grid_Stock'!AT39,AT39)+'Grid_Incoming'!AU39-'Grid_Requirement'!AU39</f>
        <v/>
      </c>
      <c r="AV39">
        <f>IF(INDEX(Cal_Weeks[MonthYearLabel],47)&lt;&gt;INDEX(Cal_Weeks[MonthYearLabel],46),'Grid_Stock'!AU39,AU39)+'Grid_Incoming'!AV39-'Grid_Requirement'!AV39</f>
        <v/>
      </c>
      <c r="AW39">
        <f>IF(INDEX(Cal_Weeks[MonthYearLabel],48)&lt;&gt;INDEX(Cal_Weeks[MonthYearLabel],47),'Grid_Stock'!AV39,AV39)+'Grid_Incoming'!AW39-'Grid_Requirement'!AW39</f>
        <v/>
      </c>
      <c r="AX39">
        <f>IF(INDEX(Cal_Weeks[MonthYearLabel],49)&lt;&gt;INDEX(Cal_Weeks[MonthYearLabel],48),'Grid_Stock'!AW39,AW39)+'Grid_Incoming'!AX39-'Grid_Requirement'!AX39</f>
        <v/>
      </c>
      <c r="AY39">
        <f>IF(INDEX(Cal_Weeks[MonthYearLabel],50)&lt;&gt;INDEX(Cal_Weeks[MonthYearLabel],49),'Grid_Stock'!AX39,AX39)+'Grid_Incoming'!AY39-'Grid_Requirement'!AY39</f>
        <v/>
      </c>
      <c r="AZ39">
        <f>IF(INDEX(Cal_Weeks[MonthYearLabel],51)&lt;&gt;INDEX(Cal_Weeks[MonthYearLabel],50),'Grid_Stock'!AY39,AY39)+'Grid_Incoming'!AZ39-'Grid_Requirement'!AZ39</f>
        <v/>
      </c>
      <c r="BA39">
        <f>IF(INDEX(Cal_Weeks[MonthYearLabel],52)&lt;&gt;INDEX(Cal_Weeks[MonthYearLabel],51),'Grid_Stock'!AZ39,AZ39)+'Grid_Incoming'!BA39-'Grid_Requirement'!BA39</f>
        <v/>
      </c>
      <c r="BB39">
        <f>IF(INDEX(Cal_Weeks[MonthYearLabel],53)&lt;&gt;INDEX(Cal_Weeks[MonthYearLabel],52),'Grid_Stock'!BA39,BA39)+'Grid_Incoming'!BB39-'Grid_Requirement'!BB39</f>
        <v/>
      </c>
      <c r="BC39">
        <f>IF(INDEX(Cal_Weeks[MonthYearLabel],54)&lt;&gt;INDEX(Cal_Weeks[MonthYearLabel],53),'Grid_Stock'!BB39,BB39)+'Grid_Incoming'!BC39-'Grid_Requirement'!BC39</f>
        <v/>
      </c>
      <c r="BD39">
        <f>IF(INDEX(Cal_Weeks[MonthYearLabel],55)&lt;&gt;INDEX(Cal_Weeks[MonthYearLabel],54),'Grid_Stock'!BC39,BC39)+'Grid_Incoming'!BD39-'Grid_Requirement'!BD39</f>
        <v/>
      </c>
      <c r="BE39">
        <f>IF(INDEX(Cal_Weeks[MonthYearLabel],56)&lt;&gt;INDEX(Cal_Weeks[MonthYearLabel],55),'Grid_Stock'!BD39,BD39)+'Grid_Incoming'!BE39-'Grid_Requirement'!BE39</f>
        <v/>
      </c>
      <c r="BF39">
        <f>IF(INDEX(Cal_Weeks[MonthYearLabel],57)&lt;&gt;INDEX(Cal_Weeks[MonthYearLabel],56),'Grid_Stock'!BE39,BE39)+'Grid_Incoming'!BF39-'Grid_Requirement'!BF39</f>
        <v/>
      </c>
      <c r="BG39">
        <f>IF(INDEX(Cal_Weeks[MonthYearLabel],58)&lt;&gt;INDEX(Cal_Weeks[MonthYearLabel],57),'Grid_Stock'!BF39,BF39)+'Grid_Incoming'!BG39-'Grid_Requirement'!BG39</f>
        <v/>
      </c>
      <c r="BH39">
        <f>IF(INDEX(Cal_Weeks[MonthYearLabel],59)&lt;&gt;INDEX(Cal_Weeks[MonthYearLabel],58),'Grid_Stock'!BG39,BG39)+'Grid_Incoming'!BH39-'Grid_Requirement'!BH39</f>
        <v/>
      </c>
      <c r="BI39">
        <f>IF(INDEX(Cal_Weeks[MonthYearLabel],60)&lt;&gt;INDEX(Cal_Weeks[MonthYearLabel],59),'Grid_Stock'!BH39,BH39)+'Grid_Incoming'!BI39-'Grid_Requirement'!BI39</f>
        <v/>
      </c>
      <c r="BJ39">
        <f>IF(INDEX(Cal_Weeks[MonthYearLabel],61)&lt;&gt;INDEX(Cal_Weeks[MonthYearLabel],60),'Grid_Stock'!BI39,BI39)+'Grid_Incoming'!BJ39-'Grid_Requirement'!BJ39</f>
        <v/>
      </c>
      <c r="BK39">
        <f>IF(INDEX(Cal_Weeks[MonthYearLabel],62)&lt;&gt;INDEX(Cal_Weeks[MonthYearLabel],61),'Grid_Stock'!BJ39,BJ39)+'Grid_Incoming'!BK39-'Grid_Requirement'!BK39</f>
        <v/>
      </c>
      <c r="BL39">
        <f>IF(INDEX(Cal_Weeks[MonthYearLabel],63)&lt;&gt;INDEX(Cal_Weeks[MonthYearLabel],62),'Grid_Stock'!BK39,BK39)+'Grid_Incoming'!BL39-'Grid_Requirement'!BL39</f>
        <v/>
      </c>
      <c r="BM39">
        <f>IF(INDEX(Cal_Weeks[MonthYearLabel],64)&lt;&gt;INDEX(Cal_Weeks[MonthYearLabel],63),'Grid_Stock'!BL39,BL39)+'Grid_Incoming'!BM39-'Grid_Requirement'!BM39</f>
        <v/>
      </c>
      <c r="BN39">
        <f>IF(INDEX(Cal_Weeks[MonthYearLabel],65)&lt;&gt;INDEX(Cal_Weeks[MonthYearLabel],64),'Grid_Stock'!BM39,BM39)+'Grid_Incoming'!BN39-'Grid_Requirement'!BN39</f>
        <v/>
      </c>
      <c r="BO39">
        <f>IF(INDEX(Cal_Weeks[MonthYearLabel],66)&lt;&gt;INDEX(Cal_Weeks[MonthYearLabel],65),'Grid_Stock'!BN39,BN39)+'Grid_Incoming'!BO39-'Grid_Requirement'!BO39</f>
        <v/>
      </c>
      <c r="BP39">
        <f>IF(INDEX(Cal_Weeks[MonthYearLabel],67)&lt;&gt;INDEX(Cal_Weeks[MonthYearLabel],66),'Grid_Stock'!BO39,BO39)+'Grid_Incoming'!BP39-'Grid_Requirement'!BP39</f>
        <v/>
      </c>
      <c r="BQ39">
        <f>IF(INDEX(Cal_Weeks[MonthYearLabel],68)&lt;&gt;INDEX(Cal_Weeks[MonthYearLabel],67),'Grid_Stock'!BP39,BP39)+'Grid_Incoming'!BQ39-'Grid_Requirement'!BQ39</f>
        <v/>
      </c>
      <c r="BR39">
        <f>IF(INDEX(Cal_Weeks[MonthYearLabel],69)&lt;&gt;INDEX(Cal_Weeks[MonthYearLabel],68),'Grid_Stock'!BQ39,BQ39)+'Grid_Incoming'!BR39-'Grid_Requirement'!BR39</f>
        <v/>
      </c>
      <c r="BS39">
        <f>IF(INDEX(Cal_Weeks[MonthYearLabel],70)&lt;&gt;INDEX(Cal_Weeks[MonthYearLabel],69),'Grid_Stock'!BR39,BR39)+'Grid_Incoming'!BS39-'Grid_Requirement'!BS39</f>
        <v/>
      </c>
      <c r="BT39">
        <f>IF(INDEX(Cal_Weeks[MonthYearLabel],71)&lt;&gt;INDEX(Cal_Weeks[MonthYearLabel],70),'Grid_Stock'!BS39,BS39)+'Grid_Incoming'!BT39-'Grid_Requirement'!BT39</f>
        <v/>
      </c>
      <c r="BU39">
        <f>IF(INDEX(Cal_Weeks[MonthYearLabel],72)&lt;&gt;INDEX(Cal_Weeks[MonthYearLabel],71),'Grid_Stock'!BT39,BT39)+'Grid_Incoming'!BU39-'Grid_Requirement'!BU39</f>
        <v/>
      </c>
      <c r="BV39">
        <f>IF(INDEX(Cal_Weeks[MonthYearLabel],73)&lt;&gt;INDEX(Cal_Weeks[MonthYearLabel],72),'Grid_Stock'!BU39,BU39)+'Grid_Incoming'!BV39-'Grid_Requirement'!BV39</f>
        <v/>
      </c>
      <c r="BW39">
        <f>IF(INDEX(Cal_Weeks[MonthYearLabel],74)&lt;&gt;INDEX(Cal_Weeks[MonthYearLabel],73),'Grid_Stock'!BV39,BV39)+'Grid_Incoming'!BW39-'Grid_Requirement'!BW39</f>
        <v/>
      </c>
      <c r="BX39">
        <f>IF(INDEX(Cal_Weeks[MonthYearLabel],75)&lt;&gt;INDEX(Cal_Weeks[MonthYearLabel],74),'Grid_Stock'!BW39,BW39)+'Grid_Incoming'!BX39-'Grid_Requirement'!BX39</f>
        <v/>
      </c>
      <c r="BY39">
        <f>IF(INDEX(Cal_Weeks[MonthYearLabel],76)&lt;&gt;INDEX(Cal_Weeks[MonthYearLabel],75),'Grid_Stock'!BX39,BX39)+'Grid_Incoming'!BY39-'Grid_Requirement'!BY39</f>
        <v/>
      </c>
      <c r="BZ39">
        <f>IF(INDEX(Cal_Weeks[MonthYearLabel],77)&lt;&gt;INDEX(Cal_Weeks[MonthYearLabel],76),'Grid_Stock'!BY39,BY39)+'Grid_Incoming'!BZ39-'Grid_Requirement'!BZ39</f>
        <v/>
      </c>
      <c r="CA39">
        <f>IF(INDEX(Cal_Weeks[MonthYearLabel],78)&lt;&gt;INDEX(Cal_Weeks[MonthYearLabel],77),'Grid_Stock'!BZ39,BZ39)+'Grid_Incoming'!CA39-'Grid_Requirement'!CA39</f>
        <v/>
      </c>
      <c r="CB39">
        <f>IF(INDEX(Cal_Weeks[MonthYearLabel],79)&lt;&gt;INDEX(Cal_Weeks[MonthYearLabel],78),'Grid_Stock'!CA39,CA39)+'Grid_Incoming'!CB39-'Grid_Requirement'!CB39</f>
        <v/>
      </c>
      <c r="CC39">
        <f>IF(INDEX(Cal_Weeks[MonthYearLabel],80)&lt;&gt;INDEX(Cal_Weeks[MonthYearLabel],79),'Grid_Stock'!CB39,CB39)+'Grid_Incoming'!CC39-'Grid_Requirement'!CC39</f>
        <v/>
      </c>
      <c r="CD39">
        <f>IF(INDEX(Cal_Weeks[MonthYearLabel],81)&lt;&gt;INDEX(Cal_Weeks[MonthYearLabel],80),'Grid_Stock'!CC39,CC39)+'Grid_Incoming'!CD39-'Grid_Requirement'!CD39</f>
        <v/>
      </c>
      <c r="CE39">
        <f>IF(INDEX(Cal_Weeks[MonthYearLabel],82)&lt;&gt;INDEX(Cal_Weeks[MonthYearLabel],81),'Grid_Stock'!CD39,CD39)+'Grid_Incoming'!CE39-'Grid_Requirement'!CE39</f>
        <v/>
      </c>
      <c r="CF39">
        <f>IF(INDEX(Cal_Weeks[MonthYearLabel],83)&lt;&gt;INDEX(Cal_Weeks[MonthYearLabel],82),'Grid_Stock'!CE39,CE39)+'Grid_Incoming'!CF39-'Grid_Requirement'!CF39</f>
        <v/>
      </c>
      <c r="CG39">
        <f>IF(INDEX(Cal_Weeks[MonthYearLabel],84)&lt;&gt;INDEX(Cal_Weeks[MonthYearLabel],83),'Grid_Stock'!CF39,CF39)+'Grid_Incoming'!CG39-'Grid_Requirement'!CG39</f>
        <v/>
      </c>
      <c r="CH39">
        <f>IF(INDEX(Cal_Weeks[MonthYearLabel],85)&lt;&gt;INDEX(Cal_Weeks[MonthYearLabel],84),'Grid_Stock'!CG39,CG39)+'Grid_Incoming'!CH39-'Grid_Requirement'!CH39</f>
        <v/>
      </c>
      <c r="CI39">
        <f>IF(INDEX(Cal_Weeks[MonthYearLabel],86)&lt;&gt;INDEX(Cal_Weeks[MonthYearLabel],85),'Grid_Stock'!CH39,CH39)+'Grid_Incoming'!CI39-'Grid_Requirement'!CI39</f>
        <v/>
      </c>
      <c r="CJ39">
        <f>IF(INDEX(Cal_Weeks[MonthYearLabel],87)&lt;&gt;INDEX(Cal_Weeks[MonthYearLabel],86),'Grid_Stock'!CI39,CI39)+'Grid_Incoming'!CJ39-'Grid_Requirement'!CJ39</f>
        <v/>
      </c>
      <c r="CK39">
        <f>IF(INDEX(Cal_Weeks[MonthYearLabel],88)&lt;&gt;INDEX(Cal_Weeks[MonthYearLabel],87),'Grid_Stock'!CJ39,CJ39)+'Grid_Incoming'!CK39-'Grid_Requirement'!CK39</f>
        <v/>
      </c>
      <c r="CL39">
        <f>IF(INDEX(Cal_Weeks[MonthYearLabel],89)&lt;&gt;INDEX(Cal_Weeks[MonthYearLabel],88),'Grid_Stock'!CK39,CK39)+'Grid_Incoming'!CL39-'Grid_Requirement'!CL39</f>
        <v/>
      </c>
      <c r="CM39">
        <f>IF(INDEX(Cal_Weeks[MonthYearLabel],90)&lt;&gt;INDEX(Cal_Weeks[MonthYearLabel],89),'Grid_Stock'!CL39,CL39)+'Grid_Incoming'!CM39-'Grid_Requirement'!CM39</f>
        <v/>
      </c>
      <c r="CN39">
        <f>IF(INDEX(Cal_Weeks[MonthYearLabel],91)&lt;&gt;INDEX(Cal_Weeks[MonthYearLabel],90),'Grid_Stock'!CM39,CM39)+'Grid_Incoming'!CN39-'Grid_Requirement'!CN39</f>
        <v/>
      </c>
      <c r="CO39">
        <f>IF(INDEX(Cal_Weeks[MonthYearLabel],92)&lt;&gt;INDEX(Cal_Weeks[MonthYearLabel],91),'Grid_Stock'!CN39,CN39)+'Grid_Incoming'!CO39-'Grid_Requirement'!CO39</f>
        <v/>
      </c>
      <c r="CP39">
        <f>IF(INDEX(Cal_Weeks[MonthYearLabel],93)&lt;&gt;INDEX(Cal_Weeks[MonthYearLabel],92),'Grid_Stock'!CO39,CO39)+'Grid_Incoming'!CP39-'Grid_Requirement'!CP39</f>
        <v/>
      </c>
      <c r="CQ39">
        <f>IF(INDEX(Cal_Weeks[MonthYearLabel],94)&lt;&gt;INDEX(Cal_Weeks[MonthYearLabel],93),'Grid_Stock'!CP39,CP39)+'Grid_Incoming'!CQ39-'Grid_Requirement'!CQ39</f>
        <v/>
      </c>
      <c r="CR39">
        <f>IF(INDEX(Cal_Weeks[MonthYearLabel],95)&lt;&gt;INDEX(Cal_Weeks[MonthYearLabel],94),'Grid_Stock'!CQ39,CQ39)+'Grid_Incoming'!CR39-'Grid_Requirement'!CR39</f>
        <v/>
      </c>
      <c r="CS39">
        <f>IF(INDEX(Cal_Weeks[MonthYearLabel],96)&lt;&gt;INDEX(Cal_Weeks[MonthYearLabel],95),'Grid_Stock'!CR39,CR39)+'Grid_Incoming'!CS39-'Grid_Requirement'!CS39</f>
        <v/>
      </c>
      <c r="CT39">
        <f>IF(INDEX(Cal_Weeks[MonthYearLabel],97)&lt;&gt;INDEX(Cal_Weeks[MonthYearLabel],96),'Grid_Stock'!CS39,CS39)+'Grid_Incoming'!CT39-'Grid_Requirement'!CT39</f>
        <v/>
      </c>
      <c r="CU39">
        <f>IF(INDEX(Cal_Weeks[MonthYearLabel],98)&lt;&gt;INDEX(Cal_Weeks[MonthYearLabel],97),'Grid_Stock'!CT39,CT39)+'Grid_Incoming'!CU39-'Grid_Requirement'!CU39</f>
        <v/>
      </c>
      <c r="CV39">
        <f>IF(INDEX(Cal_Weeks[MonthYearLabel],99)&lt;&gt;INDEX(Cal_Weeks[MonthYearLabel],98),'Grid_Stock'!CU39,CU39)+'Grid_Incoming'!CV39-'Grid_Requirement'!CV39</f>
        <v/>
      </c>
      <c r="CW39">
        <f>IF(INDEX(Cal_Weeks[MonthYearLabel],100)&lt;&gt;INDEX(Cal_Weeks[MonthYearLabel],99),'Grid_Stock'!CV39,CV39)+'Grid_Incoming'!CW39-'Grid_Requirement'!CW39</f>
        <v/>
      </c>
      <c r="CX39">
        <f>IF(INDEX(Cal_Weeks[MonthYearLabel],101)&lt;&gt;INDEX(Cal_Weeks[MonthYearLabel],100),'Grid_Stock'!CW39,CW39)+'Grid_Incoming'!CX39-'Grid_Requirement'!CX39</f>
        <v/>
      </c>
      <c r="CY39">
        <f>IF(INDEX(Cal_Weeks[MonthYearLabel],102)&lt;&gt;INDEX(Cal_Weeks[MonthYearLabel],101),'Grid_Stock'!CX39,CX39)+'Grid_Incoming'!CY39-'Grid_Requirement'!CY39</f>
        <v/>
      </c>
      <c r="CZ39">
        <f>IF(INDEX(Cal_Weeks[MonthYearLabel],103)&lt;&gt;INDEX(Cal_Weeks[MonthYearLabel],102),'Grid_Stock'!CY39,CY39)+'Grid_Incoming'!CZ39-'Grid_Requirement'!CZ39</f>
        <v/>
      </c>
      <c r="DA39">
        <f>IF(INDEX(Cal_Weeks[MonthYearLabel],104)&lt;&gt;INDEX(Cal_Weeks[MonthYearLabel],103),'Grid_Stock'!CZ39,CZ39)+'Grid_Incoming'!DA39-'Grid_Requirement'!DA39</f>
        <v/>
      </c>
    </row>
    <row r="40">
      <c r="A40" t="inlineStr">
        <is>
          <t>CHEM-1540</t>
        </is>
      </c>
      <c r="B40">
        <f>IFERROR(INDEX(T_OpeningStock[Opening_Qty_要入力],MATCH($A40,T_OpeningStock[Part Name],0)),0)+'Grid_Incoming'!B40-'Grid_Requirement'!B40</f>
        <v/>
      </c>
      <c r="C40">
        <f>IF(INDEX(Cal_Weeks[MonthYearLabel],2)&lt;&gt;INDEX(Cal_Weeks[MonthYearLabel],1),'Grid_Stock'!B40,B40)+'Grid_Incoming'!C40-'Grid_Requirement'!C40</f>
        <v/>
      </c>
      <c r="D40">
        <f>IF(INDEX(Cal_Weeks[MonthYearLabel],3)&lt;&gt;INDEX(Cal_Weeks[MonthYearLabel],2),'Grid_Stock'!C40,C40)+'Grid_Incoming'!D40-'Grid_Requirement'!D40</f>
        <v/>
      </c>
      <c r="E40">
        <f>IF(INDEX(Cal_Weeks[MonthYearLabel],4)&lt;&gt;INDEX(Cal_Weeks[MonthYearLabel],3),'Grid_Stock'!D40,D40)+'Grid_Incoming'!E40-'Grid_Requirement'!E40</f>
        <v/>
      </c>
      <c r="F40">
        <f>IF(INDEX(Cal_Weeks[MonthYearLabel],5)&lt;&gt;INDEX(Cal_Weeks[MonthYearLabel],4),'Grid_Stock'!E40,E40)+'Grid_Incoming'!F40-'Grid_Requirement'!F40</f>
        <v/>
      </c>
      <c r="G40">
        <f>IF(INDEX(Cal_Weeks[MonthYearLabel],6)&lt;&gt;INDEX(Cal_Weeks[MonthYearLabel],5),'Grid_Stock'!F40,F40)+'Grid_Incoming'!G40-'Grid_Requirement'!G40</f>
        <v/>
      </c>
      <c r="H40">
        <f>IF(INDEX(Cal_Weeks[MonthYearLabel],7)&lt;&gt;INDEX(Cal_Weeks[MonthYearLabel],6),'Grid_Stock'!G40,G40)+'Grid_Incoming'!H40-'Grid_Requirement'!H40</f>
        <v/>
      </c>
      <c r="I40">
        <f>IF(INDEX(Cal_Weeks[MonthYearLabel],8)&lt;&gt;INDEX(Cal_Weeks[MonthYearLabel],7),'Grid_Stock'!H40,H40)+'Grid_Incoming'!I40-'Grid_Requirement'!I40</f>
        <v/>
      </c>
      <c r="J40">
        <f>IF(INDEX(Cal_Weeks[MonthYearLabel],9)&lt;&gt;INDEX(Cal_Weeks[MonthYearLabel],8),'Grid_Stock'!I40,I40)+'Grid_Incoming'!J40-'Grid_Requirement'!J40</f>
        <v/>
      </c>
      <c r="K40">
        <f>IF(INDEX(Cal_Weeks[MonthYearLabel],10)&lt;&gt;INDEX(Cal_Weeks[MonthYearLabel],9),'Grid_Stock'!J40,J40)+'Grid_Incoming'!K40-'Grid_Requirement'!K40</f>
        <v/>
      </c>
      <c r="L40">
        <f>IF(INDEX(Cal_Weeks[MonthYearLabel],11)&lt;&gt;INDEX(Cal_Weeks[MonthYearLabel],10),'Grid_Stock'!K40,K40)+'Grid_Incoming'!L40-'Grid_Requirement'!L40</f>
        <v/>
      </c>
      <c r="M40">
        <f>IF(INDEX(Cal_Weeks[MonthYearLabel],12)&lt;&gt;INDEX(Cal_Weeks[MonthYearLabel],11),'Grid_Stock'!L40,L40)+'Grid_Incoming'!M40-'Grid_Requirement'!M40</f>
        <v/>
      </c>
      <c r="N40">
        <f>IF(INDEX(Cal_Weeks[MonthYearLabel],13)&lt;&gt;INDEX(Cal_Weeks[MonthYearLabel],12),'Grid_Stock'!M40,M40)+'Grid_Incoming'!N40-'Grid_Requirement'!N40</f>
        <v/>
      </c>
      <c r="O40">
        <f>IF(INDEX(Cal_Weeks[MonthYearLabel],14)&lt;&gt;INDEX(Cal_Weeks[MonthYearLabel],13),'Grid_Stock'!N40,N40)+'Grid_Incoming'!O40-'Grid_Requirement'!O40</f>
        <v/>
      </c>
      <c r="P40">
        <f>IF(INDEX(Cal_Weeks[MonthYearLabel],15)&lt;&gt;INDEX(Cal_Weeks[MonthYearLabel],14),'Grid_Stock'!O40,O40)+'Grid_Incoming'!P40-'Grid_Requirement'!P40</f>
        <v/>
      </c>
      <c r="Q40">
        <f>IF(INDEX(Cal_Weeks[MonthYearLabel],16)&lt;&gt;INDEX(Cal_Weeks[MonthYearLabel],15),'Grid_Stock'!P40,P40)+'Grid_Incoming'!Q40-'Grid_Requirement'!Q40</f>
        <v/>
      </c>
      <c r="R40">
        <f>IF(INDEX(Cal_Weeks[MonthYearLabel],17)&lt;&gt;INDEX(Cal_Weeks[MonthYearLabel],16),'Grid_Stock'!Q40,Q40)+'Grid_Incoming'!R40-'Grid_Requirement'!R40</f>
        <v/>
      </c>
      <c r="S40">
        <f>IF(INDEX(Cal_Weeks[MonthYearLabel],18)&lt;&gt;INDEX(Cal_Weeks[MonthYearLabel],17),'Grid_Stock'!R40,R40)+'Grid_Incoming'!S40-'Grid_Requirement'!S40</f>
        <v/>
      </c>
      <c r="T40">
        <f>IF(INDEX(Cal_Weeks[MonthYearLabel],19)&lt;&gt;INDEX(Cal_Weeks[MonthYearLabel],18),'Grid_Stock'!S40,S40)+'Grid_Incoming'!T40-'Grid_Requirement'!T40</f>
        <v/>
      </c>
      <c r="U40">
        <f>IF(INDEX(Cal_Weeks[MonthYearLabel],20)&lt;&gt;INDEX(Cal_Weeks[MonthYearLabel],19),'Grid_Stock'!T40,T40)+'Grid_Incoming'!U40-'Grid_Requirement'!U40</f>
        <v/>
      </c>
      <c r="V40">
        <f>IF(INDEX(Cal_Weeks[MonthYearLabel],21)&lt;&gt;INDEX(Cal_Weeks[MonthYearLabel],20),'Grid_Stock'!U40,U40)+'Grid_Incoming'!V40-'Grid_Requirement'!V40</f>
        <v/>
      </c>
      <c r="W40">
        <f>IF(INDEX(Cal_Weeks[MonthYearLabel],22)&lt;&gt;INDEX(Cal_Weeks[MonthYearLabel],21),'Grid_Stock'!V40,V40)+'Grid_Incoming'!W40-'Grid_Requirement'!W40</f>
        <v/>
      </c>
      <c r="X40">
        <f>IF(INDEX(Cal_Weeks[MonthYearLabel],23)&lt;&gt;INDEX(Cal_Weeks[MonthYearLabel],22),'Grid_Stock'!W40,W40)+'Grid_Incoming'!X40-'Grid_Requirement'!X40</f>
        <v/>
      </c>
      <c r="Y40">
        <f>IF(INDEX(Cal_Weeks[MonthYearLabel],24)&lt;&gt;INDEX(Cal_Weeks[MonthYearLabel],23),'Grid_Stock'!X40,X40)+'Grid_Incoming'!Y40-'Grid_Requirement'!Y40</f>
        <v/>
      </c>
      <c r="Z40">
        <f>IF(INDEX(Cal_Weeks[MonthYearLabel],25)&lt;&gt;INDEX(Cal_Weeks[MonthYearLabel],24),'Grid_Stock'!Y40,Y40)+'Grid_Incoming'!Z40-'Grid_Requirement'!Z40</f>
        <v/>
      </c>
      <c r="AA40">
        <f>IF(INDEX(Cal_Weeks[MonthYearLabel],26)&lt;&gt;INDEX(Cal_Weeks[MonthYearLabel],25),'Grid_Stock'!Z40,Z40)+'Grid_Incoming'!AA40-'Grid_Requirement'!AA40</f>
        <v/>
      </c>
      <c r="AB40">
        <f>IF(INDEX(Cal_Weeks[MonthYearLabel],27)&lt;&gt;INDEX(Cal_Weeks[MonthYearLabel],26),'Grid_Stock'!AA40,AA40)+'Grid_Incoming'!AB40-'Grid_Requirement'!AB40</f>
        <v/>
      </c>
      <c r="AC40">
        <f>IF(INDEX(Cal_Weeks[MonthYearLabel],28)&lt;&gt;INDEX(Cal_Weeks[MonthYearLabel],27),'Grid_Stock'!AB40,AB40)+'Grid_Incoming'!AC40-'Grid_Requirement'!AC40</f>
        <v/>
      </c>
      <c r="AD40">
        <f>IF(INDEX(Cal_Weeks[MonthYearLabel],29)&lt;&gt;INDEX(Cal_Weeks[MonthYearLabel],28),'Grid_Stock'!AC40,AC40)+'Grid_Incoming'!AD40-'Grid_Requirement'!AD40</f>
        <v/>
      </c>
      <c r="AE40">
        <f>IF(INDEX(Cal_Weeks[MonthYearLabel],30)&lt;&gt;INDEX(Cal_Weeks[MonthYearLabel],29),'Grid_Stock'!AD40,AD40)+'Grid_Incoming'!AE40-'Grid_Requirement'!AE40</f>
        <v/>
      </c>
      <c r="AF40">
        <f>IF(INDEX(Cal_Weeks[MonthYearLabel],31)&lt;&gt;INDEX(Cal_Weeks[MonthYearLabel],30),'Grid_Stock'!AE40,AE40)+'Grid_Incoming'!AF40-'Grid_Requirement'!AF40</f>
        <v/>
      </c>
      <c r="AG40">
        <f>IF(INDEX(Cal_Weeks[MonthYearLabel],32)&lt;&gt;INDEX(Cal_Weeks[MonthYearLabel],31),'Grid_Stock'!AF40,AF40)+'Grid_Incoming'!AG40-'Grid_Requirement'!AG40</f>
        <v/>
      </c>
      <c r="AH40">
        <f>IF(INDEX(Cal_Weeks[MonthYearLabel],33)&lt;&gt;INDEX(Cal_Weeks[MonthYearLabel],32),'Grid_Stock'!AG40,AG40)+'Grid_Incoming'!AH40-'Grid_Requirement'!AH40</f>
        <v/>
      </c>
      <c r="AI40">
        <f>IF(INDEX(Cal_Weeks[MonthYearLabel],34)&lt;&gt;INDEX(Cal_Weeks[MonthYearLabel],33),'Grid_Stock'!AH40,AH40)+'Grid_Incoming'!AI40-'Grid_Requirement'!AI40</f>
        <v/>
      </c>
      <c r="AJ40">
        <f>IF(INDEX(Cal_Weeks[MonthYearLabel],35)&lt;&gt;INDEX(Cal_Weeks[MonthYearLabel],34),'Grid_Stock'!AI40,AI40)+'Grid_Incoming'!AJ40-'Grid_Requirement'!AJ40</f>
        <v/>
      </c>
      <c r="AK40">
        <f>IF(INDEX(Cal_Weeks[MonthYearLabel],36)&lt;&gt;INDEX(Cal_Weeks[MonthYearLabel],35),'Grid_Stock'!AJ40,AJ40)+'Grid_Incoming'!AK40-'Grid_Requirement'!AK40</f>
        <v/>
      </c>
      <c r="AL40">
        <f>IF(INDEX(Cal_Weeks[MonthYearLabel],37)&lt;&gt;INDEX(Cal_Weeks[MonthYearLabel],36),'Grid_Stock'!AK40,AK40)+'Grid_Incoming'!AL40-'Grid_Requirement'!AL40</f>
        <v/>
      </c>
      <c r="AM40">
        <f>IF(INDEX(Cal_Weeks[MonthYearLabel],38)&lt;&gt;INDEX(Cal_Weeks[MonthYearLabel],37),'Grid_Stock'!AL40,AL40)+'Grid_Incoming'!AM40-'Grid_Requirement'!AM40</f>
        <v/>
      </c>
      <c r="AN40">
        <f>IF(INDEX(Cal_Weeks[MonthYearLabel],39)&lt;&gt;INDEX(Cal_Weeks[MonthYearLabel],38),'Grid_Stock'!AM40,AM40)+'Grid_Incoming'!AN40-'Grid_Requirement'!AN40</f>
        <v/>
      </c>
      <c r="AO40">
        <f>IF(INDEX(Cal_Weeks[MonthYearLabel],40)&lt;&gt;INDEX(Cal_Weeks[MonthYearLabel],39),'Grid_Stock'!AN40,AN40)+'Grid_Incoming'!AO40-'Grid_Requirement'!AO40</f>
        <v/>
      </c>
      <c r="AP40">
        <f>IF(INDEX(Cal_Weeks[MonthYearLabel],41)&lt;&gt;INDEX(Cal_Weeks[MonthYearLabel],40),'Grid_Stock'!AO40,AO40)+'Grid_Incoming'!AP40-'Grid_Requirement'!AP40</f>
        <v/>
      </c>
      <c r="AQ40">
        <f>IF(INDEX(Cal_Weeks[MonthYearLabel],42)&lt;&gt;INDEX(Cal_Weeks[MonthYearLabel],41),'Grid_Stock'!AP40,AP40)+'Grid_Incoming'!AQ40-'Grid_Requirement'!AQ40</f>
        <v/>
      </c>
      <c r="AR40">
        <f>IF(INDEX(Cal_Weeks[MonthYearLabel],43)&lt;&gt;INDEX(Cal_Weeks[MonthYearLabel],42),'Grid_Stock'!AQ40,AQ40)+'Grid_Incoming'!AR40-'Grid_Requirement'!AR40</f>
        <v/>
      </c>
      <c r="AS40">
        <f>IF(INDEX(Cal_Weeks[MonthYearLabel],44)&lt;&gt;INDEX(Cal_Weeks[MonthYearLabel],43),'Grid_Stock'!AR40,AR40)+'Grid_Incoming'!AS40-'Grid_Requirement'!AS40</f>
        <v/>
      </c>
      <c r="AT40">
        <f>IF(INDEX(Cal_Weeks[MonthYearLabel],45)&lt;&gt;INDEX(Cal_Weeks[MonthYearLabel],44),'Grid_Stock'!AS40,AS40)+'Grid_Incoming'!AT40-'Grid_Requirement'!AT40</f>
        <v/>
      </c>
      <c r="AU40">
        <f>IF(INDEX(Cal_Weeks[MonthYearLabel],46)&lt;&gt;INDEX(Cal_Weeks[MonthYearLabel],45),'Grid_Stock'!AT40,AT40)+'Grid_Incoming'!AU40-'Grid_Requirement'!AU40</f>
        <v/>
      </c>
      <c r="AV40">
        <f>IF(INDEX(Cal_Weeks[MonthYearLabel],47)&lt;&gt;INDEX(Cal_Weeks[MonthYearLabel],46),'Grid_Stock'!AU40,AU40)+'Grid_Incoming'!AV40-'Grid_Requirement'!AV40</f>
        <v/>
      </c>
      <c r="AW40">
        <f>IF(INDEX(Cal_Weeks[MonthYearLabel],48)&lt;&gt;INDEX(Cal_Weeks[MonthYearLabel],47),'Grid_Stock'!AV40,AV40)+'Grid_Incoming'!AW40-'Grid_Requirement'!AW40</f>
        <v/>
      </c>
      <c r="AX40">
        <f>IF(INDEX(Cal_Weeks[MonthYearLabel],49)&lt;&gt;INDEX(Cal_Weeks[MonthYearLabel],48),'Grid_Stock'!AW40,AW40)+'Grid_Incoming'!AX40-'Grid_Requirement'!AX40</f>
        <v/>
      </c>
      <c r="AY40">
        <f>IF(INDEX(Cal_Weeks[MonthYearLabel],50)&lt;&gt;INDEX(Cal_Weeks[MonthYearLabel],49),'Grid_Stock'!AX40,AX40)+'Grid_Incoming'!AY40-'Grid_Requirement'!AY40</f>
        <v/>
      </c>
      <c r="AZ40">
        <f>IF(INDEX(Cal_Weeks[MonthYearLabel],51)&lt;&gt;INDEX(Cal_Weeks[MonthYearLabel],50),'Grid_Stock'!AY40,AY40)+'Grid_Incoming'!AZ40-'Grid_Requirement'!AZ40</f>
        <v/>
      </c>
      <c r="BA40">
        <f>IF(INDEX(Cal_Weeks[MonthYearLabel],52)&lt;&gt;INDEX(Cal_Weeks[MonthYearLabel],51),'Grid_Stock'!AZ40,AZ40)+'Grid_Incoming'!BA40-'Grid_Requirement'!BA40</f>
        <v/>
      </c>
      <c r="BB40">
        <f>IF(INDEX(Cal_Weeks[MonthYearLabel],53)&lt;&gt;INDEX(Cal_Weeks[MonthYearLabel],52),'Grid_Stock'!BA40,BA40)+'Grid_Incoming'!BB40-'Grid_Requirement'!BB40</f>
        <v/>
      </c>
      <c r="BC40">
        <f>IF(INDEX(Cal_Weeks[MonthYearLabel],54)&lt;&gt;INDEX(Cal_Weeks[MonthYearLabel],53),'Grid_Stock'!BB40,BB40)+'Grid_Incoming'!BC40-'Grid_Requirement'!BC40</f>
        <v/>
      </c>
      <c r="BD40">
        <f>IF(INDEX(Cal_Weeks[MonthYearLabel],55)&lt;&gt;INDEX(Cal_Weeks[MonthYearLabel],54),'Grid_Stock'!BC40,BC40)+'Grid_Incoming'!BD40-'Grid_Requirement'!BD40</f>
        <v/>
      </c>
      <c r="BE40">
        <f>IF(INDEX(Cal_Weeks[MonthYearLabel],56)&lt;&gt;INDEX(Cal_Weeks[MonthYearLabel],55),'Grid_Stock'!BD40,BD40)+'Grid_Incoming'!BE40-'Grid_Requirement'!BE40</f>
        <v/>
      </c>
      <c r="BF40">
        <f>IF(INDEX(Cal_Weeks[MonthYearLabel],57)&lt;&gt;INDEX(Cal_Weeks[MonthYearLabel],56),'Grid_Stock'!BE40,BE40)+'Grid_Incoming'!BF40-'Grid_Requirement'!BF40</f>
        <v/>
      </c>
      <c r="BG40">
        <f>IF(INDEX(Cal_Weeks[MonthYearLabel],58)&lt;&gt;INDEX(Cal_Weeks[MonthYearLabel],57),'Grid_Stock'!BF40,BF40)+'Grid_Incoming'!BG40-'Grid_Requirement'!BG40</f>
        <v/>
      </c>
      <c r="BH40">
        <f>IF(INDEX(Cal_Weeks[MonthYearLabel],59)&lt;&gt;INDEX(Cal_Weeks[MonthYearLabel],58),'Grid_Stock'!BG40,BG40)+'Grid_Incoming'!BH40-'Grid_Requirement'!BH40</f>
        <v/>
      </c>
      <c r="BI40">
        <f>IF(INDEX(Cal_Weeks[MonthYearLabel],60)&lt;&gt;INDEX(Cal_Weeks[MonthYearLabel],59),'Grid_Stock'!BH40,BH40)+'Grid_Incoming'!BI40-'Grid_Requirement'!BI40</f>
        <v/>
      </c>
      <c r="BJ40">
        <f>IF(INDEX(Cal_Weeks[MonthYearLabel],61)&lt;&gt;INDEX(Cal_Weeks[MonthYearLabel],60),'Grid_Stock'!BI40,BI40)+'Grid_Incoming'!BJ40-'Grid_Requirement'!BJ40</f>
        <v/>
      </c>
      <c r="BK40">
        <f>IF(INDEX(Cal_Weeks[MonthYearLabel],62)&lt;&gt;INDEX(Cal_Weeks[MonthYearLabel],61),'Grid_Stock'!BJ40,BJ40)+'Grid_Incoming'!BK40-'Grid_Requirement'!BK40</f>
        <v/>
      </c>
      <c r="BL40">
        <f>IF(INDEX(Cal_Weeks[MonthYearLabel],63)&lt;&gt;INDEX(Cal_Weeks[MonthYearLabel],62),'Grid_Stock'!BK40,BK40)+'Grid_Incoming'!BL40-'Grid_Requirement'!BL40</f>
        <v/>
      </c>
      <c r="BM40">
        <f>IF(INDEX(Cal_Weeks[MonthYearLabel],64)&lt;&gt;INDEX(Cal_Weeks[MonthYearLabel],63),'Grid_Stock'!BL40,BL40)+'Grid_Incoming'!BM40-'Grid_Requirement'!BM40</f>
        <v/>
      </c>
      <c r="BN40">
        <f>IF(INDEX(Cal_Weeks[MonthYearLabel],65)&lt;&gt;INDEX(Cal_Weeks[MonthYearLabel],64),'Grid_Stock'!BM40,BM40)+'Grid_Incoming'!BN40-'Grid_Requirement'!BN40</f>
        <v/>
      </c>
      <c r="BO40">
        <f>IF(INDEX(Cal_Weeks[MonthYearLabel],66)&lt;&gt;INDEX(Cal_Weeks[MonthYearLabel],65),'Grid_Stock'!BN40,BN40)+'Grid_Incoming'!BO40-'Grid_Requirement'!BO40</f>
        <v/>
      </c>
      <c r="BP40">
        <f>IF(INDEX(Cal_Weeks[MonthYearLabel],67)&lt;&gt;INDEX(Cal_Weeks[MonthYearLabel],66),'Grid_Stock'!BO40,BO40)+'Grid_Incoming'!BP40-'Grid_Requirement'!BP40</f>
        <v/>
      </c>
      <c r="BQ40">
        <f>IF(INDEX(Cal_Weeks[MonthYearLabel],68)&lt;&gt;INDEX(Cal_Weeks[MonthYearLabel],67),'Grid_Stock'!BP40,BP40)+'Grid_Incoming'!BQ40-'Grid_Requirement'!BQ40</f>
        <v/>
      </c>
      <c r="BR40">
        <f>IF(INDEX(Cal_Weeks[MonthYearLabel],69)&lt;&gt;INDEX(Cal_Weeks[MonthYearLabel],68),'Grid_Stock'!BQ40,BQ40)+'Grid_Incoming'!BR40-'Grid_Requirement'!BR40</f>
        <v/>
      </c>
      <c r="BS40">
        <f>IF(INDEX(Cal_Weeks[MonthYearLabel],70)&lt;&gt;INDEX(Cal_Weeks[MonthYearLabel],69),'Grid_Stock'!BR40,BR40)+'Grid_Incoming'!BS40-'Grid_Requirement'!BS40</f>
        <v/>
      </c>
      <c r="BT40">
        <f>IF(INDEX(Cal_Weeks[MonthYearLabel],71)&lt;&gt;INDEX(Cal_Weeks[MonthYearLabel],70),'Grid_Stock'!BS40,BS40)+'Grid_Incoming'!BT40-'Grid_Requirement'!BT40</f>
        <v/>
      </c>
      <c r="BU40">
        <f>IF(INDEX(Cal_Weeks[MonthYearLabel],72)&lt;&gt;INDEX(Cal_Weeks[MonthYearLabel],71),'Grid_Stock'!BT40,BT40)+'Grid_Incoming'!BU40-'Grid_Requirement'!BU40</f>
        <v/>
      </c>
      <c r="BV40">
        <f>IF(INDEX(Cal_Weeks[MonthYearLabel],73)&lt;&gt;INDEX(Cal_Weeks[MonthYearLabel],72),'Grid_Stock'!BU40,BU40)+'Grid_Incoming'!BV40-'Grid_Requirement'!BV40</f>
        <v/>
      </c>
      <c r="BW40">
        <f>IF(INDEX(Cal_Weeks[MonthYearLabel],74)&lt;&gt;INDEX(Cal_Weeks[MonthYearLabel],73),'Grid_Stock'!BV40,BV40)+'Grid_Incoming'!BW40-'Grid_Requirement'!BW40</f>
        <v/>
      </c>
      <c r="BX40">
        <f>IF(INDEX(Cal_Weeks[MonthYearLabel],75)&lt;&gt;INDEX(Cal_Weeks[MonthYearLabel],74),'Grid_Stock'!BW40,BW40)+'Grid_Incoming'!BX40-'Grid_Requirement'!BX40</f>
        <v/>
      </c>
      <c r="BY40">
        <f>IF(INDEX(Cal_Weeks[MonthYearLabel],76)&lt;&gt;INDEX(Cal_Weeks[MonthYearLabel],75),'Grid_Stock'!BX40,BX40)+'Grid_Incoming'!BY40-'Grid_Requirement'!BY40</f>
        <v/>
      </c>
      <c r="BZ40">
        <f>IF(INDEX(Cal_Weeks[MonthYearLabel],77)&lt;&gt;INDEX(Cal_Weeks[MonthYearLabel],76),'Grid_Stock'!BY40,BY40)+'Grid_Incoming'!BZ40-'Grid_Requirement'!BZ40</f>
        <v/>
      </c>
      <c r="CA40">
        <f>IF(INDEX(Cal_Weeks[MonthYearLabel],78)&lt;&gt;INDEX(Cal_Weeks[MonthYearLabel],77),'Grid_Stock'!BZ40,BZ40)+'Grid_Incoming'!CA40-'Grid_Requirement'!CA40</f>
        <v/>
      </c>
      <c r="CB40">
        <f>IF(INDEX(Cal_Weeks[MonthYearLabel],79)&lt;&gt;INDEX(Cal_Weeks[MonthYearLabel],78),'Grid_Stock'!CA40,CA40)+'Grid_Incoming'!CB40-'Grid_Requirement'!CB40</f>
        <v/>
      </c>
      <c r="CC40">
        <f>IF(INDEX(Cal_Weeks[MonthYearLabel],80)&lt;&gt;INDEX(Cal_Weeks[MonthYearLabel],79),'Grid_Stock'!CB40,CB40)+'Grid_Incoming'!CC40-'Grid_Requirement'!CC40</f>
        <v/>
      </c>
      <c r="CD40">
        <f>IF(INDEX(Cal_Weeks[MonthYearLabel],81)&lt;&gt;INDEX(Cal_Weeks[MonthYearLabel],80),'Grid_Stock'!CC40,CC40)+'Grid_Incoming'!CD40-'Grid_Requirement'!CD40</f>
        <v/>
      </c>
      <c r="CE40">
        <f>IF(INDEX(Cal_Weeks[MonthYearLabel],82)&lt;&gt;INDEX(Cal_Weeks[MonthYearLabel],81),'Grid_Stock'!CD40,CD40)+'Grid_Incoming'!CE40-'Grid_Requirement'!CE40</f>
        <v/>
      </c>
      <c r="CF40">
        <f>IF(INDEX(Cal_Weeks[MonthYearLabel],83)&lt;&gt;INDEX(Cal_Weeks[MonthYearLabel],82),'Grid_Stock'!CE40,CE40)+'Grid_Incoming'!CF40-'Grid_Requirement'!CF40</f>
        <v/>
      </c>
      <c r="CG40">
        <f>IF(INDEX(Cal_Weeks[MonthYearLabel],84)&lt;&gt;INDEX(Cal_Weeks[MonthYearLabel],83),'Grid_Stock'!CF40,CF40)+'Grid_Incoming'!CG40-'Grid_Requirement'!CG40</f>
        <v/>
      </c>
      <c r="CH40">
        <f>IF(INDEX(Cal_Weeks[MonthYearLabel],85)&lt;&gt;INDEX(Cal_Weeks[MonthYearLabel],84),'Grid_Stock'!CG40,CG40)+'Grid_Incoming'!CH40-'Grid_Requirement'!CH40</f>
        <v/>
      </c>
      <c r="CI40">
        <f>IF(INDEX(Cal_Weeks[MonthYearLabel],86)&lt;&gt;INDEX(Cal_Weeks[MonthYearLabel],85),'Grid_Stock'!CH40,CH40)+'Grid_Incoming'!CI40-'Grid_Requirement'!CI40</f>
        <v/>
      </c>
      <c r="CJ40">
        <f>IF(INDEX(Cal_Weeks[MonthYearLabel],87)&lt;&gt;INDEX(Cal_Weeks[MonthYearLabel],86),'Grid_Stock'!CI40,CI40)+'Grid_Incoming'!CJ40-'Grid_Requirement'!CJ40</f>
        <v/>
      </c>
      <c r="CK40">
        <f>IF(INDEX(Cal_Weeks[MonthYearLabel],88)&lt;&gt;INDEX(Cal_Weeks[MonthYearLabel],87),'Grid_Stock'!CJ40,CJ40)+'Grid_Incoming'!CK40-'Grid_Requirement'!CK40</f>
        <v/>
      </c>
      <c r="CL40">
        <f>IF(INDEX(Cal_Weeks[MonthYearLabel],89)&lt;&gt;INDEX(Cal_Weeks[MonthYearLabel],88),'Grid_Stock'!CK40,CK40)+'Grid_Incoming'!CL40-'Grid_Requirement'!CL40</f>
        <v/>
      </c>
      <c r="CM40">
        <f>IF(INDEX(Cal_Weeks[MonthYearLabel],90)&lt;&gt;INDEX(Cal_Weeks[MonthYearLabel],89),'Grid_Stock'!CL40,CL40)+'Grid_Incoming'!CM40-'Grid_Requirement'!CM40</f>
        <v/>
      </c>
      <c r="CN40">
        <f>IF(INDEX(Cal_Weeks[MonthYearLabel],91)&lt;&gt;INDEX(Cal_Weeks[MonthYearLabel],90),'Grid_Stock'!CM40,CM40)+'Grid_Incoming'!CN40-'Grid_Requirement'!CN40</f>
        <v/>
      </c>
      <c r="CO40">
        <f>IF(INDEX(Cal_Weeks[MonthYearLabel],92)&lt;&gt;INDEX(Cal_Weeks[MonthYearLabel],91),'Grid_Stock'!CN40,CN40)+'Grid_Incoming'!CO40-'Grid_Requirement'!CO40</f>
        <v/>
      </c>
      <c r="CP40">
        <f>IF(INDEX(Cal_Weeks[MonthYearLabel],93)&lt;&gt;INDEX(Cal_Weeks[MonthYearLabel],92),'Grid_Stock'!CO40,CO40)+'Grid_Incoming'!CP40-'Grid_Requirement'!CP40</f>
        <v/>
      </c>
      <c r="CQ40">
        <f>IF(INDEX(Cal_Weeks[MonthYearLabel],94)&lt;&gt;INDEX(Cal_Weeks[MonthYearLabel],93),'Grid_Stock'!CP40,CP40)+'Grid_Incoming'!CQ40-'Grid_Requirement'!CQ40</f>
        <v/>
      </c>
      <c r="CR40">
        <f>IF(INDEX(Cal_Weeks[MonthYearLabel],95)&lt;&gt;INDEX(Cal_Weeks[MonthYearLabel],94),'Grid_Stock'!CQ40,CQ40)+'Grid_Incoming'!CR40-'Grid_Requirement'!CR40</f>
        <v/>
      </c>
      <c r="CS40">
        <f>IF(INDEX(Cal_Weeks[MonthYearLabel],96)&lt;&gt;INDEX(Cal_Weeks[MonthYearLabel],95),'Grid_Stock'!CR40,CR40)+'Grid_Incoming'!CS40-'Grid_Requirement'!CS40</f>
        <v/>
      </c>
      <c r="CT40">
        <f>IF(INDEX(Cal_Weeks[MonthYearLabel],97)&lt;&gt;INDEX(Cal_Weeks[MonthYearLabel],96),'Grid_Stock'!CS40,CS40)+'Grid_Incoming'!CT40-'Grid_Requirement'!CT40</f>
        <v/>
      </c>
      <c r="CU40">
        <f>IF(INDEX(Cal_Weeks[MonthYearLabel],98)&lt;&gt;INDEX(Cal_Weeks[MonthYearLabel],97),'Grid_Stock'!CT40,CT40)+'Grid_Incoming'!CU40-'Grid_Requirement'!CU40</f>
        <v/>
      </c>
      <c r="CV40">
        <f>IF(INDEX(Cal_Weeks[MonthYearLabel],99)&lt;&gt;INDEX(Cal_Weeks[MonthYearLabel],98),'Grid_Stock'!CU40,CU40)+'Grid_Incoming'!CV40-'Grid_Requirement'!CV40</f>
        <v/>
      </c>
      <c r="CW40">
        <f>IF(INDEX(Cal_Weeks[MonthYearLabel],100)&lt;&gt;INDEX(Cal_Weeks[MonthYearLabel],99),'Grid_Stock'!CV40,CV40)+'Grid_Incoming'!CW40-'Grid_Requirement'!CW40</f>
        <v/>
      </c>
      <c r="CX40">
        <f>IF(INDEX(Cal_Weeks[MonthYearLabel],101)&lt;&gt;INDEX(Cal_Weeks[MonthYearLabel],100),'Grid_Stock'!CW40,CW40)+'Grid_Incoming'!CX40-'Grid_Requirement'!CX40</f>
        <v/>
      </c>
      <c r="CY40">
        <f>IF(INDEX(Cal_Weeks[MonthYearLabel],102)&lt;&gt;INDEX(Cal_Weeks[MonthYearLabel],101),'Grid_Stock'!CX40,CX40)+'Grid_Incoming'!CY40-'Grid_Requirement'!CY40</f>
        <v/>
      </c>
      <c r="CZ40">
        <f>IF(INDEX(Cal_Weeks[MonthYearLabel],103)&lt;&gt;INDEX(Cal_Weeks[MonthYearLabel],102),'Grid_Stock'!CY40,CY40)+'Grid_Incoming'!CZ40-'Grid_Requirement'!CZ40</f>
        <v/>
      </c>
      <c r="DA40">
        <f>IF(INDEX(Cal_Weeks[MonthYearLabel],104)&lt;&gt;INDEX(Cal_Weeks[MonthYearLabel],103),'Grid_Stock'!CZ40,CZ40)+'Grid_Incoming'!DA40-'Grid_Requirement'!DA40</f>
        <v/>
      </c>
    </row>
    <row r="41">
      <c r="A41" t="inlineStr">
        <is>
          <t>CHEM-1680</t>
        </is>
      </c>
      <c r="B41">
        <f>IFERROR(INDEX(T_OpeningStock[Opening_Qty_要入力],MATCH($A41,T_OpeningStock[Part Name],0)),0)+'Grid_Incoming'!B41-'Grid_Requirement'!B41</f>
        <v/>
      </c>
      <c r="C41">
        <f>IF(INDEX(Cal_Weeks[MonthYearLabel],2)&lt;&gt;INDEX(Cal_Weeks[MonthYearLabel],1),'Grid_Stock'!B41,B41)+'Grid_Incoming'!C41-'Grid_Requirement'!C41</f>
        <v/>
      </c>
      <c r="D41">
        <f>IF(INDEX(Cal_Weeks[MonthYearLabel],3)&lt;&gt;INDEX(Cal_Weeks[MonthYearLabel],2),'Grid_Stock'!C41,C41)+'Grid_Incoming'!D41-'Grid_Requirement'!D41</f>
        <v/>
      </c>
      <c r="E41">
        <f>IF(INDEX(Cal_Weeks[MonthYearLabel],4)&lt;&gt;INDEX(Cal_Weeks[MonthYearLabel],3),'Grid_Stock'!D41,D41)+'Grid_Incoming'!E41-'Grid_Requirement'!E41</f>
        <v/>
      </c>
      <c r="F41">
        <f>IF(INDEX(Cal_Weeks[MonthYearLabel],5)&lt;&gt;INDEX(Cal_Weeks[MonthYearLabel],4),'Grid_Stock'!E41,E41)+'Grid_Incoming'!F41-'Grid_Requirement'!F41</f>
        <v/>
      </c>
      <c r="G41">
        <f>IF(INDEX(Cal_Weeks[MonthYearLabel],6)&lt;&gt;INDEX(Cal_Weeks[MonthYearLabel],5),'Grid_Stock'!F41,F41)+'Grid_Incoming'!G41-'Grid_Requirement'!G41</f>
        <v/>
      </c>
      <c r="H41">
        <f>IF(INDEX(Cal_Weeks[MonthYearLabel],7)&lt;&gt;INDEX(Cal_Weeks[MonthYearLabel],6),'Grid_Stock'!G41,G41)+'Grid_Incoming'!H41-'Grid_Requirement'!H41</f>
        <v/>
      </c>
      <c r="I41">
        <f>IF(INDEX(Cal_Weeks[MonthYearLabel],8)&lt;&gt;INDEX(Cal_Weeks[MonthYearLabel],7),'Grid_Stock'!H41,H41)+'Grid_Incoming'!I41-'Grid_Requirement'!I41</f>
        <v/>
      </c>
      <c r="J41">
        <f>IF(INDEX(Cal_Weeks[MonthYearLabel],9)&lt;&gt;INDEX(Cal_Weeks[MonthYearLabel],8),'Grid_Stock'!I41,I41)+'Grid_Incoming'!J41-'Grid_Requirement'!J41</f>
        <v/>
      </c>
      <c r="K41">
        <f>IF(INDEX(Cal_Weeks[MonthYearLabel],10)&lt;&gt;INDEX(Cal_Weeks[MonthYearLabel],9),'Grid_Stock'!J41,J41)+'Grid_Incoming'!K41-'Grid_Requirement'!K41</f>
        <v/>
      </c>
      <c r="L41">
        <f>IF(INDEX(Cal_Weeks[MonthYearLabel],11)&lt;&gt;INDEX(Cal_Weeks[MonthYearLabel],10),'Grid_Stock'!K41,K41)+'Grid_Incoming'!L41-'Grid_Requirement'!L41</f>
        <v/>
      </c>
      <c r="M41">
        <f>IF(INDEX(Cal_Weeks[MonthYearLabel],12)&lt;&gt;INDEX(Cal_Weeks[MonthYearLabel],11),'Grid_Stock'!L41,L41)+'Grid_Incoming'!M41-'Grid_Requirement'!M41</f>
        <v/>
      </c>
      <c r="N41">
        <f>IF(INDEX(Cal_Weeks[MonthYearLabel],13)&lt;&gt;INDEX(Cal_Weeks[MonthYearLabel],12),'Grid_Stock'!M41,M41)+'Grid_Incoming'!N41-'Grid_Requirement'!N41</f>
        <v/>
      </c>
      <c r="O41">
        <f>IF(INDEX(Cal_Weeks[MonthYearLabel],14)&lt;&gt;INDEX(Cal_Weeks[MonthYearLabel],13),'Grid_Stock'!N41,N41)+'Grid_Incoming'!O41-'Grid_Requirement'!O41</f>
        <v/>
      </c>
      <c r="P41">
        <f>IF(INDEX(Cal_Weeks[MonthYearLabel],15)&lt;&gt;INDEX(Cal_Weeks[MonthYearLabel],14),'Grid_Stock'!O41,O41)+'Grid_Incoming'!P41-'Grid_Requirement'!P41</f>
        <v/>
      </c>
      <c r="Q41">
        <f>IF(INDEX(Cal_Weeks[MonthYearLabel],16)&lt;&gt;INDEX(Cal_Weeks[MonthYearLabel],15),'Grid_Stock'!P41,P41)+'Grid_Incoming'!Q41-'Grid_Requirement'!Q41</f>
        <v/>
      </c>
      <c r="R41">
        <f>IF(INDEX(Cal_Weeks[MonthYearLabel],17)&lt;&gt;INDEX(Cal_Weeks[MonthYearLabel],16),'Grid_Stock'!Q41,Q41)+'Grid_Incoming'!R41-'Grid_Requirement'!R41</f>
        <v/>
      </c>
      <c r="S41">
        <f>IF(INDEX(Cal_Weeks[MonthYearLabel],18)&lt;&gt;INDEX(Cal_Weeks[MonthYearLabel],17),'Grid_Stock'!R41,R41)+'Grid_Incoming'!S41-'Grid_Requirement'!S41</f>
        <v/>
      </c>
      <c r="T41">
        <f>IF(INDEX(Cal_Weeks[MonthYearLabel],19)&lt;&gt;INDEX(Cal_Weeks[MonthYearLabel],18),'Grid_Stock'!S41,S41)+'Grid_Incoming'!T41-'Grid_Requirement'!T41</f>
        <v/>
      </c>
      <c r="U41">
        <f>IF(INDEX(Cal_Weeks[MonthYearLabel],20)&lt;&gt;INDEX(Cal_Weeks[MonthYearLabel],19),'Grid_Stock'!T41,T41)+'Grid_Incoming'!U41-'Grid_Requirement'!U41</f>
        <v/>
      </c>
      <c r="V41">
        <f>IF(INDEX(Cal_Weeks[MonthYearLabel],21)&lt;&gt;INDEX(Cal_Weeks[MonthYearLabel],20),'Grid_Stock'!U41,U41)+'Grid_Incoming'!V41-'Grid_Requirement'!V41</f>
        <v/>
      </c>
      <c r="W41">
        <f>IF(INDEX(Cal_Weeks[MonthYearLabel],22)&lt;&gt;INDEX(Cal_Weeks[MonthYearLabel],21),'Grid_Stock'!V41,V41)+'Grid_Incoming'!W41-'Grid_Requirement'!W41</f>
        <v/>
      </c>
      <c r="X41">
        <f>IF(INDEX(Cal_Weeks[MonthYearLabel],23)&lt;&gt;INDEX(Cal_Weeks[MonthYearLabel],22),'Grid_Stock'!W41,W41)+'Grid_Incoming'!X41-'Grid_Requirement'!X41</f>
        <v/>
      </c>
      <c r="Y41">
        <f>IF(INDEX(Cal_Weeks[MonthYearLabel],24)&lt;&gt;INDEX(Cal_Weeks[MonthYearLabel],23),'Grid_Stock'!X41,X41)+'Grid_Incoming'!Y41-'Grid_Requirement'!Y41</f>
        <v/>
      </c>
      <c r="Z41">
        <f>IF(INDEX(Cal_Weeks[MonthYearLabel],25)&lt;&gt;INDEX(Cal_Weeks[MonthYearLabel],24),'Grid_Stock'!Y41,Y41)+'Grid_Incoming'!Z41-'Grid_Requirement'!Z41</f>
        <v/>
      </c>
      <c r="AA41">
        <f>IF(INDEX(Cal_Weeks[MonthYearLabel],26)&lt;&gt;INDEX(Cal_Weeks[MonthYearLabel],25),'Grid_Stock'!Z41,Z41)+'Grid_Incoming'!AA41-'Grid_Requirement'!AA41</f>
        <v/>
      </c>
      <c r="AB41">
        <f>IF(INDEX(Cal_Weeks[MonthYearLabel],27)&lt;&gt;INDEX(Cal_Weeks[MonthYearLabel],26),'Grid_Stock'!AA41,AA41)+'Grid_Incoming'!AB41-'Grid_Requirement'!AB41</f>
        <v/>
      </c>
      <c r="AC41">
        <f>IF(INDEX(Cal_Weeks[MonthYearLabel],28)&lt;&gt;INDEX(Cal_Weeks[MonthYearLabel],27),'Grid_Stock'!AB41,AB41)+'Grid_Incoming'!AC41-'Grid_Requirement'!AC41</f>
        <v/>
      </c>
      <c r="AD41">
        <f>IF(INDEX(Cal_Weeks[MonthYearLabel],29)&lt;&gt;INDEX(Cal_Weeks[MonthYearLabel],28),'Grid_Stock'!AC41,AC41)+'Grid_Incoming'!AD41-'Grid_Requirement'!AD41</f>
        <v/>
      </c>
      <c r="AE41">
        <f>IF(INDEX(Cal_Weeks[MonthYearLabel],30)&lt;&gt;INDEX(Cal_Weeks[MonthYearLabel],29),'Grid_Stock'!AD41,AD41)+'Grid_Incoming'!AE41-'Grid_Requirement'!AE41</f>
        <v/>
      </c>
      <c r="AF41">
        <f>IF(INDEX(Cal_Weeks[MonthYearLabel],31)&lt;&gt;INDEX(Cal_Weeks[MonthYearLabel],30),'Grid_Stock'!AE41,AE41)+'Grid_Incoming'!AF41-'Grid_Requirement'!AF41</f>
        <v/>
      </c>
      <c r="AG41">
        <f>IF(INDEX(Cal_Weeks[MonthYearLabel],32)&lt;&gt;INDEX(Cal_Weeks[MonthYearLabel],31),'Grid_Stock'!AF41,AF41)+'Grid_Incoming'!AG41-'Grid_Requirement'!AG41</f>
        <v/>
      </c>
      <c r="AH41">
        <f>IF(INDEX(Cal_Weeks[MonthYearLabel],33)&lt;&gt;INDEX(Cal_Weeks[MonthYearLabel],32),'Grid_Stock'!AG41,AG41)+'Grid_Incoming'!AH41-'Grid_Requirement'!AH41</f>
        <v/>
      </c>
      <c r="AI41">
        <f>IF(INDEX(Cal_Weeks[MonthYearLabel],34)&lt;&gt;INDEX(Cal_Weeks[MonthYearLabel],33),'Grid_Stock'!AH41,AH41)+'Grid_Incoming'!AI41-'Grid_Requirement'!AI41</f>
        <v/>
      </c>
      <c r="AJ41">
        <f>IF(INDEX(Cal_Weeks[MonthYearLabel],35)&lt;&gt;INDEX(Cal_Weeks[MonthYearLabel],34),'Grid_Stock'!AI41,AI41)+'Grid_Incoming'!AJ41-'Grid_Requirement'!AJ41</f>
        <v/>
      </c>
      <c r="AK41">
        <f>IF(INDEX(Cal_Weeks[MonthYearLabel],36)&lt;&gt;INDEX(Cal_Weeks[MonthYearLabel],35),'Grid_Stock'!AJ41,AJ41)+'Grid_Incoming'!AK41-'Grid_Requirement'!AK41</f>
        <v/>
      </c>
      <c r="AL41">
        <f>IF(INDEX(Cal_Weeks[MonthYearLabel],37)&lt;&gt;INDEX(Cal_Weeks[MonthYearLabel],36),'Grid_Stock'!AK41,AK41)+'Grid_Incoming'!AL41-'Grid_Requirement'!AL41</f>
        <v/>
      </c>
      <c r="AM41">
        <f>IF(INDEX(Cal_Weeks[MonthYearLabel],38)&lt;&gt;INDEX(Cal_Weeks[MonthYearLabel],37),'Grid_Stock'!AL41,AL41)+'Grid_Incoming'!AM41-'Grid_Requirement'!AM41</f>
        <v/>
      </c>
      <c r="AN41">
        <f>IF(INDEX(Cal_Weeks[MonthYearLabel],39)&lt;&gt;INDEX(Cal_Weeks[MonthYearLabel],38),'Grid_Stock'!AM41,AM41)+'Grid_Incoming'!AN41-'Grid_Requirement'!AN41</f>
        <v/>
      </c>
      <c r="AO41">
        <f>IF(INDEX(Cal_Weeks[MonthYearLabel],40)&lt;&gt;INDEX(Cal_Weeks[MonthYearLabel],39),'Grid_Stock'!AN41,AN41)+'Grid_Incoming'!AO41-'Grid_Requirement'!AO41</f>
        <v/>
      </c>
      <c r="AP41">
        <f>IF(INDEX(Cal_Weeks[MonthYearLabel],41)&lt;&gt;INDEX(Cal_Weeks[MonthYearLabel],40),'Grid_Stock'!AO41,AO41)+'Grid_Incoming'!AP41-'Grid_Requirement'!AP41</f>
        <v/>
      </c>
      <c r="AQ41">
        <f>IF(INDEX(Cal_Weeks[MonthYearLabel],42)&lt;&gt;INDEX(Cal_Weeks[MonthYearLabel],41),'Grid_Stock'!AP41,AP41)+'Grid_Incoming'!AQ41-'Grid_Requirement'!AQ41</f>
        <v/>
      </c>
      <c r="AR41">
        <f>IF(INDEX(Cal_Weeks[MonthYearLabel],43)&lt;&gt;INDEX(Cal_Weeks[MonthYearLabel],42),'Grid_Stock'!AQ41,AQ41)+'Grid_Incoming'!AR41-'Grid_Requirement'!AR41</f>
        <v/>
      </c>
      <c r="AS41">
        <f>IF(INDEX(Cal_Weeks[MonthYearLabel],44)&lt;&gt;INDEX(Cal_Weeks[MonthYearLabel],43),'Grid_Stock'!AR41,AR41)+'Grid_Incoming'!AS41-'Grid_Requirement'!AS41</f>
        <v/>
      </c>
      <c r="AT41">
        <f>IF(INDEX(Cal_Weeks[MonthYearLabel],45)&lt;&gt;INDEX(Cal_Weeks[MonthYearLabel],44),'Grid_Stock'!AS41,AS41)+'Grid_Incoming'!AT41-'Grid_Requirement'!AT41</f>
        <v/>
      </c>
      <c r="AU41">
        <f>IF(INDEX(Cal_Weeks[MonthYearLabel],46)&lt;&gt;INDEX(Cal_Weeks[MonthYearLabel],45),'Grid_Stock'!AT41,AT41)+'Grid_Incoming'!AU41-'Grid_Requirement'!AU41</f>
        <v/>
      </c>
      <c r="AV41">
        <f>IF(INDEX(Cal_Weeks[MonthYearLabel],47)&lt;&gt;INDEX(Cal_Weeks[MonthYearLabel],46),'Grid_Stock'!AU41,AU41)+'Grid_Incoming'!AV41-'Grid_Requirement'!AV41</f>
        <v/>
      </c>
      <c r="AW41">
        <f>IF(INDEX(Cal_Weeks[MonthYearLabel],48)&lt;&gt;INDEX(Cal_Weeks[MonthYearLabel],47),'Grid_Stock'!AV41,AV41)+'Grid_Incoming'!AW41-'Grid_Requirement'!AW41</f>
        <v/>
      </c>
      <c r="AX41">
        <f>IF(INDEX(Cal_Weeks[MonthYearLabel],49)&lt;&gt;INDEX(Cal_Weeks[MonthYearLabel],48),'Grid_Stock'!AW41,AW41)+'Grid_Incoming'!AX41-'Grid_Requirement'!AX41</f>
        <v/>
      </c>
      <c r="AY41">
        <f>IF(INDEX(Cal_Weeks[MonthYearLabel],50)&lt;&gt;INDEX(Cal_Weeks[MonthYearLabel],49),'Grid_Stock'!AX41,AX41)+'Grid_Incoming'!AY41-'Grid_Requirement'!AY41</f>
        <v/>
      </c>
      <c r="AZ41">
        <f>IF(INDEX(Cal_Weeks[MonthYearLabel],51)&lt;&gt;INDEX(Cal_Weeks[MonthYearLabel],50),'Grid_Stock'!AY41,AY41)+'Grid_Incoming'!AZ41-'Grid_Requirement'!AZ41</f>
        <v/>
      </c>
      <c r="BA41">
        <f>IF(INDEX(Cal_Weeks[MonthYearLabel],52)&lt;&gt;INDEX(Cal_Weeks[MonthYearLabel],51),'Grid_Stock'!AZ41,AZ41)+'Grid_Incoming'!BA41-'Grid_Requirement'!BA41</f>
        <v/>
      </c>
      <c r="BB41">
        <f>IF(INDEX(Cal_Weeks[MonthYearLabel],53)&lt;&gt;INDEX(Cal_Weeks[MonthYearLabel],52),'Grid_Stock'!BA41,BA41)+'Grid_Incoming'!BB41-'Grid_Requirement'!BB41</f>
        <v/>
      </c>
      <c r="BC41">
        <f>IF(INDEX(Cal_Weeks[MonthYearLabel],54)&lt;&gt;INDEX(Cal_Weeks[MonthYearLabel],53),'Grid_Stock'!BB41,BB41)+'Grid_Incoming'!BC41-'Grid_Requirement'!BC41</f>
        <v/>
      </c>
      <c r="BD41">
        <f>IF(INDEX(Cal_Weeks[MonthYearLabel],55)&lt;&gt;INDEX(Cal_Weeks[MonthYearLabel],54),'Grid_Stock'!BC41,BC41)+'Grid_Incoming'!BD41-'Grid_Requirement'!BD41</f>
        <v/>
      </c>
      <c r="BE41">
        <f>IF(INDEX(Cal_Weeks[MonthYearLabel],56)&lt;&gt;INDEX(Cal_Weeks[MonthYearLabel],55),'Grid_Stock'!BD41,BD41)+'Grid_Incoming'!BE41-'Grid_Requirement'!BE41</f>
        <v/>
      </c>
      <c r="BF41">
        <f>IF(INDEX(Cal_Weeks[MonthYearLabel],57)&lt;&gt;INDEX(Cal_Weeks[MonthYearLabel],56),'Grid_Stock'!BE41,BE41)+'Grid_Incoming'!BF41-'Grid_Requirement'!BF41</f>
        <v/>
      </c>
      <c r="BG41">
        <f>IF(INDEX(Cal_Weeks[MonthYearLabel],58)&lt;&gt;INDEX(Cal_Weeks[MonthYearLabel],57),'Grid_Stock'!BF41,BF41)+'Grid_Incoming'!BG41-'Grid_Requirement'!BG41</f>
        <v/>
      </c>
      <c r="BH41">
        <f>IF(INDEX(Cal_Weeks[MonthYearLabel],59)&lt;&gt;INDEX(Cal_Weeks[MonthYearLabel],58),'Grid_Stock'!BG41,BG41)+'Grid_Incoming'!BH41-'Grid_Requirement'!BH41</f>
        <v/>
      </c>
      <c r="BI41">
        <f>IF(INDEX(Cal_Weeks[MonthYearLabel],60)&lt;&gt;INDEX(Cal_Weeks[MonthYearLabel],59),'Grid_Stock'!BH41,BH41)+'Grid_Incoming'!BI41-'Grid_Requirement'!BI41</f>
        <v/>
      </c>
      <c r="BJ41">
        <f>IF(INDEX(Cal_Weeks[MonthYearLabel],61)&lt;&gt;INDEX(Cal_Weeks[MonthYearLabel],60),'Grid_Stock'!BI41,BI41)+'Grid_Incoming'!BJ41-'Grid_Requirement'!BJ41</f>
        <v/>
      </c>
      <c r="BK41">
        <f>IF(INDEX(Cal_Weeks[MonthYearLabel],62)&lt;&gt;INDEX(Cal_Weeks[MonthYearLabel],61),'Grid_Stock'!BJ41,BJ41)+'Grid_Incoming'!BK41-'Grid_Requirement'!BK41</f>
        <v/>
      </c>
      <c r="BL41">
        <f>IF(INDEX(Cal_Weeks[MonthYearLabel],63)&lt;&gt;INDEX(Cal_Weeks[MonthYearLabel],62),'Grid_Stock'!BK41,BK41)+'Grid_Incoming'!BL41-'Grid_Requirement'!BL41</f>
        <v/>
      </c>
      <c r="BM41">
        <f>IF(INDEX(Cal_Weeks[MonthYearLabel],64)&lt;&gt;INDEX(Cal_Weeks[MonthYearLabel],63),'Grid_Stock'!BL41,BL41)+'Grid_Incoming'!BM41-'Grid_Requirement'!BM41</f>
        <v/>
      </c>
      <c r="BN41">
        <f>IF(INDEX(Cal_Weeks[MonthYearLabel],65)&lt;&gt;INDEX(Cal_Weeks[MonthYearLabel],64),'Grid_Stock'!BM41,BM41)+'Grid_Incoming'!BN41-'Grid_Requirement'!BN41</f>
        <v/>
      </c>
      <c r="BO41">
        <f>IF(INDEX(Cal_Weeks[MonthYearLabel],66)&lt;&gt;INDEX(Cal_Weeks[MonthYearLabel],65),'Grid_Stock'!BN41,BN41)+'Grid_Incoming'!BO41-'Grid_Requirement'!BO41</f>
        <v/>
      </c>
      <c r="BP41">
        <f>IF(INDEX(Cal_Weeks[MonthYearLabel],67)&lt;&gt;INDEX(Cal_Weeks[MonthYearLabel],66),'Grid_Stock'!BO41,BO41)+'Grid_Incoming'!BP41-'Grid_Requirement'!BP41</f>
        <v/>
      </c>
      <c r="BQ41">
        <f>IF(INDEX(Cal_Weeks[MonthYearLabel],68)&lt;&gt;INDEX(Cal_Weeks[MonthYearLabel],67),'Grid_Stock'!BP41,BP41)+'Grid_Incoming'!BQ41-'Grid_Requirement'!BQ41</f>
        <v/>
      </c>
      <c r="BR41">
        <f>IF(INDEX(Cal_Weeks[MonthYearLabel],69)&lt;&gt;INDEX(Cal_Weeks[MonthYearLabel],68),'Grid_Stock'!BQ41,BQ41)+'Grid_Incoming'!BR41-'Grid_Requirement'!BR41</f>
        <v/>
      </c>
      <c r="BS41">
        <f>IF(INDEX(Cal_Weeks[MonthYearLabel],70)&lt;&gt;INDEX(Cal_Weeks[MonthYearLabel],69),'Grid_Stock'!BR41,BR41)+'Grid_Incoming'!BS41-'Grid_Requirement'!BS41</f>
        <v/>
      </c>
      <c r="BT41">
        <f>IF(INDEX(Cal_Weeks[MonthYearLabel],71)&lt;&gt;INDEX(Cal_Weeks[MonthYearLabel],70),'Grid_Stock'!BS41,BS41)+'Grid_Incoming'!BT41-'Grid_Requirement'!BT41</f>
        <v/>
      </c>
      <c r="BU41">
        <f>IF(INDEX(Cal_Weeks[MonthYearLabel],72)&lt;&gt;INDEX(Cal_Weeks[MonthYearLabel],71),'Grid_Stock'!BT41,BT41)+'Grid_Incoming'!BU41-'Grid_Requirement'!BU41</f>
        <v/>
      </c>
      <c r="BV41">
        <f>IF(INDEX(Cal_Weeks[MonthYearLabel],73)&lt;&gt;INDEX(Cal_Weeks[MonthYearLabel],72),'Grid_Stock'!BU41,BU41)+'Grid_Incoming'!BV41-'Grid_Requirement'!BV41</f>
        <v/>
      </c>
      <c r="BW41">
        <f>IF(INDEX(Cal_Weeks[MonthYearLabel],74)&lt;&gt;INDEX(Cal_Weeks[MonthYearLabel],73),'Grid_Stock'!BV41,BV41)+'Grid_Incoming'!BW41-'Grid_Requirement'!BW41</f>
        <v/>
      </c>
      <c r="BX41">
        <f>IF(INDEX(Cal_Weeks[MonthYearLabel],75)&lt;&gt;INDEX(Cal_Weeks[MonthYearLabel],74),'Grid_Stock'!BW41,BW41)+'Grid_Incoming'!BX41-'Grid_Requirement'!BX41</f>
        <v/>
      </c>
      <c r="BY41">
        <f>IF(INDEX(Cal_Weeks[MonthYearLabel],76)&lt;&gt;INDEX(Cal_Weeks[MonthYearLabel],75),'Grid_Stock'!BX41,BX41)+'Grid_Incoming'!BY41-'Grid_Requirement'!BY41</f>
        <v/>
      </c>
      <c r="BZ41">
        <f>IF(INDEX(Cal_Weeks[MonthYearLabel],77)&lt;&gt;INDEX(Cal_Weeks[MonthYearLabel],76),'Grid_Stock'!BY41,BY41)+'Grid_Incoming'!BZ41-'Grid_Requirement'!BZ41</f>
        <v/>
      </c>
      <c r="CA41">
        <f>IF(INDEX(Cal_Weeks[MonthYearLabel],78)&lt;&gt;INDEX(Cal_Weeks[MonthYearLabel],77),'Grid_Stock'!BZ41,BZ41)+'Grid_Incoming'!CA41-'Grid_Requirement'!CA41</f>
        <v/>
      </c>
      <c r="CB41">
        <f>IF(INDEX(Cal_Weeks[MonthYearLabel],79)&lt;&gt;INDEX(Cal_Weeks[MonthYearLabel],78),'Grid_Stock'!CA41,CA41)+'Grid_Incoming'!CB41-'Grid_Requirement'!CB41</f>
        <v/>
      </c>
      <c r="CC41">
        <f>IF(INDEX(Cal_Weeks[MonthYearLabel],80)&lt;&gt;INDEX(Cal_Weeks[MonthYearLabel],79),'Grid_Stock'!CB41,CB41)+'Grid_Incoming'!CC41-'Grid_Requirement'!CC41</f>
        <v/>
      </c>
      <c r="CD41">
        <f>IF(INDEX(Cal_Weeks[MonthYearLabel],81)&lt;&gt;INDEX(Cal_Weeks[MonthYearLabel],80),'Grid_Stock'!CC41,CC41)+'Grid_Incoming'!CD41-'Grid_Requirement'!CD41</f>
        <v/>
      </c>
      <c r="CE41">
        <f>IF(INDEX(Cal_Weeks[MonthYearLabel],82)&lt;&gt;INDEX(Cal_Weeks[MonthYearLabel],81),'Grid_Stock'!CD41,CD41)+'Grid_Incoming'!CE41-'Grid_Requirement'!CE41</f>
        <v/>
      </c>
      <c r="CF41">
        <f>IF(INDEX(Cal_Weeks[MonthYearLabel],83)&lt;&gt;INDEX(Cal_Weeks[MonthYearLabel],82),'Grid_Stock'!CE41,CE41)+'Grid_Incoming'!CF41-'Grid_Requirement'!CF41</f>
        <v/>
      </c>
      <c r="CG41">
        <f>IF(INDEX(Cal_Weeks[MonthYearLabel],84)&lt;&gt;INDEX(Cal_Weeks[MonthYearLabel],83),'Grid_Stock'!CF41,CF41)+'Grid_Incoming'!CG41-'Grid_Requirement'!CG41</f>
        <v/>
      </c>
      <c r="CH41">
        <f>IF(INDEX(Cal_Weeks[MonthYearLabel],85)&lt;&gt;INDEX(Cal_Weeks[MonthYearLabel],84),'Grid_Stock'!CG41,CG41)+'Grid_Incoming'!CH41-'Grid_Requirement'!CH41</f>
        <v/>
      </c>
      <c r="CI41">
        <f>IF(INDEX(Cal_Weeks[MonthYearLabel],86)&lt;&gt;INDEX(Cal_Weeks[MonthYearLabel],85),'Grid_Stock'!CH41,CH41)+'Grid_Incoming'!CI41-'Grid_Requirement'!CI41</f>
        <v/>
      </c>
      <c r="CJ41">
        <f>IF(INDEX(Cal_Weeks[MonthYearLabel],87)&lt;&gt;INDEX(Cal_Weeks[MonthYearLabel],86),'Grid_Stock'!CI41,CI41)+'Grid_Incoming'!CJ41-'Grid_Requirement'!CJ41</f>
        <v/>
      </c>
      <c r="CK41">
        <f>IF(INDEX(Cal_Weeks[MonthYearLabel],88)&lt;&gt;INDEX(Cal_Weeks[MonthYearLabel],87),'Grid_Stock'!CJ41,CJ41)+'Grid_Incoming'!CK41-'Grid_Requirement'!CK41</f>
        <v/>
      </c>
      <c r="CL41">
        <f>IF(INDEX(Cal_Weeks[MonthYearLabel],89)&lt;&gt;INDEX(Cal_Weeks[MonthYearLabel],88),'Grid_Stock'!CK41,CK41)+'Grid_Incoming'!CL41-'Grid_Requirement'!CL41</f>
        <v/>
      </c>
      <c r="CM41">
        <f>IF(INDEX(Cal_Weeks[MonthYearLabel],90)&lt;&gt;INDEX(Cal_Weeks[MonthYearLabel],89),'Grid_Stock'!CL41,CL41)+'Grid_Incoming'!CM41-'Grid_Requirement'!CM41</f>
        <v/>
      </c>
      <c r="CN41">
        <f>IF(INDEX(Cal_Weeks[MonthYearLabel],91)&lt;&gt;INDEX(Cal_Weeks[MonthYearLabel],90),'Grid_Stock'!CM41,CM41)+'Grid_Incoming'!CN41-'Grid_Requirement'!CN41</f>
        <v/>
      </c>
      <c r="CO41">
        <f>IF(INDEX(Cal_Weeks[MonthYearLabel],92)&lt;&gt;INDEX(Cal_Weeks[MonthYearLabel],91),'Grid_Stock'!CN41,CN41)+'Grid_Incoming'!CO41-'Grid_Requirement'!CO41</f>
        <v/>
      </c>
      <c r="CP41">
        <f>IF(INDEX(Cal_Weeks[MonthYearLabel],93)&lt;&gt;INDEX(Cal_Weeks[MonthYearLabel],92),'Grid_Stock'!CO41,CO41)+'Grid_Incoming'!CP41-'Grid_Requirement'!CP41</f>
        <v/>
      </c>
      <c r="CQ41">
        <f>IF(INDEX(Cal_Weeks[MonthYearLabel],94)&lt;&gt;INDEX(Cal_Weeks[MonthYearLabel],93),'Grid_Stock'!CP41,CP41)+'Grid_Incoming'!CQ41-'Grid_Requirement'!CQ41</f>
        <v/>
      </c>
      <c r="CR41">
        <f>IF(INDEX(Cal_Weeks[MonthYearLabel],95)&lt;&gt;INDEX(Cal_Weeks[MonthYearLabel],94),'Grid_Stock'!CQ41,CQ41)+'Grid_Incoming'!CR41-'Grid_Requirement'!CR41</f>
        <v/>
      </c>
      <c r="CS41">
        <f>IF(INDEX(Cal_Weeks[MonthYearLabel],96)&lt;&gt;INDEX(Cal_Weeks[MonthYearLabel],95),'Grid_Stock'!CR41,CR41)+'Grid_Incoming'!CS41-'Grid_Requirement'!CS41</f>
        <v/>
      </c>
      <c r="CT41">
        <f>IF(INDEX(Cal_Weeks[MonthYearLabel],97)&lt;&gt;INDEX(Cal_Weeks[MonthYearLabel],96),'Grid_Stock'!CS41,CS41)+'Grid_Incoming'!CT41-'Grid_Requirement'!CT41</f>
        <v/>
      </c>
      <c r="CU41">
        <f>IF(INDEX(Cal_Weeks[MonthYearLabel],98)&lt;&gt;INDEX(Cal_Weeks[MonthYearLabel],97),'Grid_Stock'!CT41,CT41)+'Grid_Incoming'!CU41-'Grid_Requirement'!CU41</f>
        <v/>
      </c>
      <c r="CV41">
        <f>IF(INDEX(Cal_Weeks[MonthYearLabel],99)&lt;&gt;INDEX(Cal_Weeks[MonthYearLabel],98),'Grid_Stock'!CU41,CU41)+'Grid_Incoming'!CV41-'Grid_Requirement'!CV41</f>
        <v/>
      </c>
      <c r="CW41">
        <f>IF(INDEX(Cal_Weeks[MonthYearLabel],100)&lt;&gt;INDEX(Cal_Weeks[MonthYearLabel],99),'Grid_Stock'!CV41,CV41)+'Grid_Incoming'!CW41-'Grid_Requirement'!CW41</f>
        <v/>
      </c>
      <c r="CX41">
        <f>IF(INDEX(Cal_Weeks[MonthYearLabel],101)&lt;&gt;INDEX(Cal_Weeks[MonthYearLabel],100),'Grid_Stock'!CW41,CW41)+'Grid_Incoming'!CX41-'Grid_Requirement'!CX41</f>
        <v/>
      </c>
      <c r="CY41">
        <f>IF(INDEX(Cal_Weeks[MonthYearLabel],102)&lt;&gt;INDEX(Cal_Weeks[MonthYearLabel],101),'Grid_Stock'!CX41,CX41)+'Grid_Incoming'!CY41-'Grid_Requirement'!CY41</f>
        <v/>
      </c>
      <c r="CZ41">
        <f>IF(INDEX(Cal_Weeks[MonthYearLabel],103)&lt;&gt;INDEX(Cal_Weeks[MonthYearLabel],102),'Grid_Stock'!CY41,CY41)+'Grid_Incoming'!CZ41-'Grid_Requirement'!CZ41</f>
        <v/>
      </c>
      <c r="DA41">
        <f>IF(INDEX(Cal_Weeks[MonthYearLabel],104)&lt;&gt;INDEX(Cal_Weeks[MonthYearLabel],103),'Grid_Stock'!CZ41,CZ41)+'Grid_Incoming'!DA41-'Grid_Requirement'!DA41</f>
        <v/>
      </c>
    </row>
    <row r="42">
      <c r="A42" t="inlineStr">
        <is>
          <t>CHEM-1730</t>
        </is>
      </c>
      <c r="B42">
        <f>IFERROR(INDEX(T_OpeningStock[Opening_Qty_要入力],MATCH($A42,T_OpeningStock[Part Name],0)),0)+'Grid_Incoming'!B42-'Grid_Requirement'!B42</f>
        <v/>
      </c>
      <c r="C42">
        <f>IF(INDEX(Cal_Weeks[MonthYearLabel],2)&lt;&gt;INDEX(Cal_Weeks[MonthYearLabel],1),'Grid_Stock'!B42,B42)+'Grid_Incoming'!C42-'Grid_Requirement'!C42</f>
        <v/>
      </c>
      <c r="D42">
        <f>IF(INDEX(Cal_Weeks[MonthYearLabel],3)&lt;&gt;INDEX(Cal_Weeks[MonthYearLabel],2),'Grid_Stock'!C42,C42)+'Grid_Incoming'!D42-'Grid_Requirement'!D42</f>
        <v/>
      </c>
      <c r="E42">
        <f>IF(INDEX(Cal_Weeks[MonthYearLabel],4)&lt;&gt;INDEX(Cal_Weeks[MonthYearLabel],3),'Grid_Stock'!D42,D42)+'Grid_Incoming'!E42-'Grid_Requirement'!E42</f>
        <v/>
      </c>
      <c r="F42">
        <f>IF(INDEX(Cal_Weeks[MonthYearLabel],5)&lt;&gt;INDEX(Cal_Weeks[MonthYearLabel],4),'Grid_Stock'!E42,E42)+'Grid_Incoming'!F42-'Grid_Requirement'!F42</f>
        <v/>
      </c>
      <c r="G42">
        <f>IF(INDEX(Cal_Weeks[MonthYearLabel],6)&lt;&gt;INDEX(Cal_Weeks[MonthYearLabel],5),'Grid_Stock'!F42,F42)+'Grid_Incoming'!G42-'Grid_Requirement'!G42</f>
        <v/>
      </c>
      <c r="H42">
        <f>IF(INDEX(Cal_Weeks[MonthYearLabel],7)&lt;&gt;INDEX(Cal_Weeks[MonthYearLabel],6),'Grid_Stock'!G42,G42)+'Grid_Incoming'!H42-'Grid_Requirement'!H42</f>
        <v/>
      </c>
      <c r="I42">
        <f>IF(INDEX(Cal_Weeks[MonthYearLabel],8)&lt;&gt;INDEX(Cal_Weeks[MonthYearLabel],7),'Grid_Stock'!H42,H42)+'Grid_Incoming'!I42-'Grid_Requirement'!I42</f>
        <v/>
      </c>
      <c r="J42">
        <f>IF(INDEX(Cal_Weeks[MonthYearLabel],9)&lt;&gt;INDEX(Cal_Weeks[MonthYearLabel],8),'Grid_Stock'!I42,I42)+'Grid_Incoming'!J42-'Grid_Requirement'!J42</f>
        <v/>
      </c>
      <c r="K42">
        <f>IF(INDEX(Cal_Weeks[MonthYearLabel],10)&lt;&gt;INDEX(Cal_Weeks[MonthYearLabel],9),'Grid_Stock'!J42,J42)+'Grid_Incoming'!K42-'Grid_Requirement'!K42</f>
        <v/>
      </c>
      <c r="L42">
        <f>IF(INDEX(Cal_Weeks[MonthYearLabel],11)&lt;&gt;INDEX(Cal_Weeks[MonthYearLabel],10),'Grid_Stock'!K42,K42)+'Grid_Incoming'!L42-'Grid_Requirement'!L42</f>
        <v/>
      </c>
      <c r="M42">
        <f>IF(INDEX(Cal_Weeks[MonthYearLabel],12)&lt;&gt;INDEX(Cal_Weeks[MonthYearLabel],11),'Grid_Stock'!L42,L42)+'Grid_Incoming'!M42-'Grid_Requirement'!M42</f>
        <v/>
      </c>
      <c r="N42">
        <f>IF(INDEX(Cal_Weeks[MonthYearLabel],13)&lt;&gt;INDEX(Cal_Weeks[MonthYearLabel],12),'Grid_Stock'!M42,M42)+'Grid_Incoming'!N42-'Grid_Requirement'!N42</f>
        <v/>
      </c>
      <c r="O42">
        <f>IF(INDEX(Cal_Weeks[MonthYearLabel],14)&lt;&gt;INDEX(Cal_Weeks[MonthYearLabel],13),'Grid_Stock'!N42,N42)+'Grid_Incoming'!O42-'Grid_Requirement'!O42</f>
        <v/>
      </c>
      <c r="P42">
        <f>IF(INDEX(Cal_Weeks[MonthYearLabel],15)&lt;&gt;INDEX(Cal_Weeks[MonthYearLabel],14),'Grid_Stock'!O42,O42)+'Grid_Incoming'!P42-'Grid_Requirement'!P42</f>
        <v/>
      </c>
      <c r="Q42">
        <f>IF(INDEX(Cal_Weeks[MonthYearLabel],16)&lt;&gt;INDEX(Cal_Weeks[MonthYearLabel],15),'Grid_Stock'!P42,P42)+'Grid_Incoming'!Q42-'Grid_Requirement'!Q42</f>
        <v/>
      </c>
      <c r="R42">
        <f>IF(INDEX(Cal_Weeks[MonthYearLabel],17)&lt;&gt;INDEX(Cal_Weeks[MonthYearLabel],16),'Grid_Stock'!Q42,Q42)+'Grid_Incoming'!R42-'Grid_Requirement'!R42</f>
        <v/>
      </c>
      <c r="S42">
        <f>IF(INDEX(Cal_Weeks[MonthYearLabel],18)&lt;&gt;INDEX(Cal_Weeks[MonthYearLabel],17),'Grid_Stock'!R42,R42)+'Grid_Incoming'!S42-'Grid_Requirement'!S42</f>
        <v/>
      </c>
      <c r="T42">
        <f>IF(INDEX(Cal_Weeks[MonthYearLabel],19)&lt;&gt;INDEX(Cal_Weeks[MonthYearLabel],18),'Grid_Stock'!S42,S42)+'Grid_Incoming'!T42-'Grid_Requirement'!T42</f>
        <v/>
      </c>
      <c r="U42">
        <f>IF(INDEX(Cal_Weeks[MonthYearLabel],20)&lt;&gt;INDEX(Cal_Weeks[MonthYearLabel],19),'Grid_Stock'!T42,T42)+'Grid_Incoming'!U42-'Grid_Requirement'!U42</f>
        <v/>
      </c>
      <c r="V42">
        <f>IF(INDEX(Cal_Weeks[MonthYearLabel],21)&lt;&gt;INDEX(Cal_Weeks[MonthYearLabel],20),'Grid_Stock'!U42,U42)+'Grid_Incoming'!V42-'Grid_Requirement'!V42</f>
        <v/>
      </c>
      <c r="W42">
        <f>IF(INDEX(Cal_Weeks[MonthYearLabel],22)&lt;&gt;INDEX(Cal_Weeks[MonthYearLabel],21),'Grid_Stock'!V42,V42)+'Grid_Incoming'!W42-'Grid_Requirement'!W42</f>
        <v/>
      </c>
      <c r="X42">
        <f>IF(INDEX(Cal_Weeks[MonthYearLabel],23)&lt;&gt;INDEX(Cal_Weeks[MonthYearLabel],22),'Grid_Stock'!W42,W42)+'Grid_Incoming'!X42-'Grid_Requirement'!X42</f>
        <v/>
      </c>
      <c r="Y42">
        <f>IF(INDEX(Cal_Weeks[MonthYearLabel],24)&lt;&gt;INDEX(Cal_Weeks[MonthYearLabel],23),'Grid_Stock'!X42,X42)+'Grid_Incoming'!Y42-'Grid_Requirement'!Y42</f>
        <v/>
      </c>
      <c r="Z42">
        <f>IF(INDEX(Cal_Weeks[MonthYearLabel],25)&lt;&gt;INDEX(Cal_Weeks[MonthYearLabel],24),'Grid_Stock'!Y42,Y42)+'Grid_Incoming'!Z42-'Grid_Requirement'!Z42</f>
        <v/>
      </c>
      <c r="AA42">
        <f>IF(INDEX(Cal_Weeks[MonthYearLabel],26)&lt;&gt;INDEX(Cal_Weeks[MonthYearLabel],25),'Grid_Stock'!Z42,Z42)+'Grid_Incoming'!AA42-'Grid_Requirement'!AA42</f>
        <v/>
      </c>
      <c r="AB42">
        <f>IF(INDEX(Cal_Weeks[MonthYearLabel],27)&lt;&gt;INDEX(Cal_Weeks[MonthYearLabel],26),'Grid_Stock'!AA42,AA42)+'Grid_Incoming'!AB42-'Grid_Requirement'!AB42</f>
        <v/>
      </c>
      <c r="AC42">
        <f>IF(INDEX(Cal_Weeks[MonthYearLabel],28)&lt;&gt;INDEX(Cal_Weeks[MonthYearLabel],27),'Grid_Stock'!AB42,AB42)+'Grid_Incoming'!AC42-'Grid_Requirement'!AC42</f>
        <v/>
      </c>
      <c r="AD42">
        <f>IF(INDEX(Cal_Weeks[MonthYearLabel],29)&lt;&gt;INDEX(Cal_Weeks[MonthYearLabel],28),'Grid_Stock'!AC42,AC42)+'Grid_Incoming'!AD42-'Grid_Requirement'!AD42</f>
        <v/>
      </c>
      <c r="AE42">
        <f>IF(INDEX(Cal_Weeks[MonthYearLabel],30)&lt;&gt;INDEX(Cal_Weeks[MonthYearLabel],29),'Grid_Stock'!AD42,AD42)+'Grid_Incoming'!AE42-'Grid_Requirement'!AE42</f>
        <v/>
      </c>
      <c r="AF42">
        <f>IF(INDEX(Cal_Weeks[MonthYearLabel],31)&lt;&gt;INDEX(Cal_Weeks[MonthYearLabel],30),'Grid_Stock'!AE42,AE42)+'Grid_Incoming'!AF42-'Grid_Requirement'!AF42</f>
        <v/>
      </c>
      <c r="AG42">
        <f>IF(INDEX(Cal_Weeks[MonthYearLabel],32)&lt;&gt;INDEX(Cal_Weeks[MonthYearLabel],31),'Grid_Stock'!AF42,AF42)+'Grid_Incoming'!AG42-'Grid_Requirement'!AG42</f>
        <v/>
      </c>
      <c r="AH42">
        <f>IF(INDEX(Cal_Weeks[MonthYearLabel],33)&lt;&gt;INDEX(Cal_Weeks[MonthYearLabel],32),'Grid_Stock'!AG42,AG42)+'Grid_Incoming'!AH42-'Grid_Requirement'!AH42</f>
        <v/>
      </c>
      <c r="AI42">
        <f>IF(INDEX(Cal_Weeks[MonthYearLabel],34)&lt;&gt;INDEX(Cal_Weeks[MonthYearLabel],33),'Grid_Stock'!AH42,AH42)+'Grid_Incoming'!AI42-'Grid_Requirement'!AI42</f>
        <v/>
      </c>
      <c r="AJ42">
        <f>IF(INDEX(Cal_Weeks[MonthYearLabel],35)&lt;&gt;INDEX(Cal_Weeks[MonthYearLabel],34),'Grid_Stock'!AI42,AI42)+'Grid_Incoming'!AJ42-'Grid_Requirement'!AJ42</f>
        <v/>
      </c>
      <c r="AK42">
        <f>IF(INDEX(Cal_Weeks[MonthYearLabel],36)&lt;&gt;INDEX(Cal_Weeks[MonthYearLabel],35),'Grid_Stock'!AJ42,AJ42)+'Grid_Incoming'!AK42-'Grid_Requirement'!AK42</f>
        <v/>
      </c>
      <c r="AL42">
        <f>IF(INDEX(Cal_Weeks[MonthYearLabel],37)&lt;&gt;INDEX(Cal_Weeks[MonthYearLabel],36),'Grid_Stock'!AK42,AK42)+'Grid_Incoming'!AL42-'Grid_Requirement'!AL42</f>
        <v/>
      </c>
      <c r="AM42">
        <f>IF(INDEX(Cal_Weeks[MonthYearLabel],38)&lt;&gt;INDEX(Cal_Weeks[MonthYearLabel],37),'Grid_Stock'!AL42,AL42)+'Grid_Incoming'!AM42-'Grid_Requirement'!AM42</f>
        <v/>
      </c>
      <c r="AN42">
        <f>IF(INDEX(Cal_Weeks[MonthYearLabel],39)&lt;&gt;INDEX(Cal_Weeks[MonthYearLabel],38),'Grid_Stock'!AM42,AM42)+'Grid_Incoming'!AN42-'Grid_Requirement'!AN42</f>
        <v/>
      </c>
      <c r="AO42">
        <f>IF(INDEX(Cal_Weeks[MonthYearLabel],40)&lt;&gt;INDEX(Cal_Weeks[MonthYearLabel],39),'Grid_Stock'!AN42,AN42)+'Grid_Incoming'!AO42-'Grid_Requirement'!AO42</f>
        <v/>
      </c>
      <c r="AP42">
        <f>IF(INDEX(Cal_Weeks[MonthYearLabel],41)&lt;&gt;INDEX(Cal_Weeks[MonthYearLabel],40),'Grid_Stock'!AO42,AO42)+'Grid_Incoming'!AP42-'Grid_Requirement'!AP42</f>
        <v/>
      </c>
      <c r="AQ42">
        <f>IF(INDEX(Cal_Weeks[MonthYearLabel],42)&lt;&gt;INDEX(Cal_Weeks[MonthYearLabel],41),'Grid_Stock'!AP42,AP42)+'Grid_Incoming'!AQ42-'Grid_Requirement'!AQ42</f>
        <v/>
      </c>
      <c r="AR42">
        <f>IF(INDEX(Cal_Weeks[MonthYearLabel],43)&lt;&gt;INDEX(Cal_Weeks[MonthYearLabel],42),'Grid_Stock'!AQ42,AQ42)+'Grid_Incoming'!AR42-'Grid_Requirement'!AR42</f>
        <v/>
      </c>
      <c r="AS42">
        <f>IF(INDEX(Cal_Weeks[MonthYearLabel],44)&lt;&gt;INDEX(Cal_Weeks[MonthYearLabel],43),'Grid_Stock'!AR42,AR42)+'Grid_Incoming'!AS42-'Grid_Requirement'!AS42</f>
        <v/>
      </c>
      <c r="AT42">
        <f>IF(INDEX(Cal_Weeks[MonthYearLabel],45)&lt;&gt;INDEX(Cal_Weeks[MonthYearLabel],44),'Grid_Stock'!AS42,AS42)+'Grid_Incoming'!AT42-'Grid_Requirement'!AT42</f>
        <v/>
      </c>
      <c r="AU42">
        <f>IF(INDEX(Cal_Weeks[MonthYearLabel],46)&lt;&gt;INDEX(Cal_Weeks[MonthYearLabel],45),'Grid_Stock'!AT42,AT42)+'Grid_Incoming'!AU42-'Grid_Requirement'!AU42</f>
        <v/>
      </c>
      <c r="AV42">
        <f>IF(INDEX(Cal_Weeks[MonthYearLabel],47)&lt;&gt;INDEX(Cal_Weeks[MonthYearLabel],46),'Grid_Stock'!AU42,AU42)+'Grid_Incoming'!AV42-'Grid_Requirement'!AV42</f>
        <v/>
      </c>
      <c r="AW42">
        <f>IF(INDEX(Cal_Weeks[MonthYearLabel],48)&lt;&gt;INDEX(Cal_Weeks[MonthYearLabel],47),'Grid_Stock'!AV42,AV42)+'Grid_Incoming'!AW42-'Grid_Requirement'!AW42</f>
        <v/>
      </c>
      <c r="AX42">
        <f>IF(INDEX(Cal_Weeks[MonthYearLabel],49)&lt;&gt;INDEX(Cal_Weeks[MonthYearLabel],48),'Grid_Stock'!AW42,AW42)+'Grid_Incoming'!AX42-'Grid_Requirement'!AX42</f>
        <v/>
      </c>
      <c r="AY42">
        <f>IF(INDEX(Cal_Weeks[MonthYearLabel],50)&lt;&gt;INDEX(Cal_Weeks[MonthYearLabel],49),'Grid_Stock'!AX42,AX42)+'Grid_Incoming'!AY42-'Grid_Requirement'!AY42</f>
        <v/>
      </c>
      <c r="AZ42">
        <f>IF(INDEX(Cal_Weeks[MonthYearLabel],51)&lt;&gt;INDEX(Cal_Weeks[MonthYearLabel],50),'Grid_Stock'!AY42,AY42)+'Grid_Incoming'!AZ42-'Grid_Requirement'!AZ42</f>
        <v/>
      </c>
      <c r="BA42">
        <f>IF(INDEX(Cal_Weeks[MonthYearLabel],52)&lt;&gt;INDEX(Cal_Weeks[MonthYearLabel],51),'Grid_Stock'!AZ42,AZ42)+'Grid_Incoming'!BA42-'Grid_Requirement'!BA42</f>
        <v/>
      </c>
      <c r="BB42">
        <f>IF(INDEX(Cal_Weeks[MonthYearLabel],53)&lt;&gt;INDEX(Cal_Weeks[MonthYearLabel],52),'Grid_Stock'!BA42,BA42)+'Grid_Incoming'!BB42-'Grid_Requirement'!BB42</f>
        <v/>
      </c>
      <c r="BC42">
        <f>IF(INDEX(Cal_Weeks[MonthYearLabel],54)&lt;&gt;INDEX(Cal_Weeks[MonthYearLabel],53),'Grid_Stock'!BB42,BB42)+'Grid_Incoming'!BC42-'Grid_Requirement'!BC42</f>
        <v/>
      </c>
      <c r="BD42">
        <f>IF(INDEX(Cal_Weeks[MonthYearLabel],55)&lt;&gt;INDEX(Cal_Weeks[MonthYearLabel],54),'Grid_Stock'!BC42,BC42)+'Grid_Incoming'!BD42-'Grid_Requirement'!BD42</f>
        <v/>
      </c>
      <c r="BE42">
        <f>IF(INDEX(Cal_Weeks[MonthYearLabel],56)&lt;&gt;INDEX(Cal_Weeks[MonthYearLabel],55),'Grid_Stock'!BD42,BD42)+'Grid_Incoming'!BE42-'Grid_Requirement'!BE42</f>
        <v/>
      </c>
      <c r="BF42">
        <f>IF(INDEX(Cal_Weeks[MonthYearLabel],57)&lt;&gt;INDEX(Cal_Weeks[MonthYearLabel],56),'Grid_Stock'!BE42,BE42)+'Grid_Incoming'!BF42-'Grid_Requirement'!BF42</f>
        <v/>
      </c>
      <c r="BG42">
        <f>IF(INDEX(Cal_Weeks[MonthYearLabel],58)&lt;&gt;INDEX(Cal_Weeks[MonthYearLabel],57),'Grid_Stock'!BF42,BF42)+'Grid_Incoming'!BG42-'Grid_Requirement'!BG42</f>
        <v/>
      </c>
      <c r="BH42">
        <f>IF(INDEX(Cal_Weeks[MonthYearLabel],59)&lt;&gt;INDEX(Cal_Weeks[MonthYearLabel],58),'Grid_Stock'!BG42,BG42)+'Grid_Incoming'!BH42-'Grid_Requirement'!BH42</f>
        <v/>
      </c>
      <c r="BI42">
        <f>IF(INDEX(Cal_Weeks[MonthYearLabel],60)&lt;&gt;INDEX(Cal_Weeks[MonthYearLabel],59),'Grid_Stock'!BH42,BH42)+'Grid_Incoming'!BI42-'Grid_Requirement'!BI42</f>
        <v/>
      </c>
      <c r="BJ42">
        <f>IF(INDEX(Cal_Weeks[MonthYearLabel],61)&lt;&gt;INDEX(Cal_Weeks[MonthYearLabel],60),'Grid_Stock'!BI42,BI42)+'Grid_Incoming'!BJ42-'Grid_Requirement'!BJ42</f>
        <v/>
      </c>
      <c r="BK42">
        <f>IF(INDEX(Cal_Weeks[MonthYearLabel],62)&lt;&gt;INDEX(Cal_Weeks[MonthYearLabel],61),'Grid_Stock'!BJ42,BJ42)+'Grid_Incoming'!BK42-'Grid_Requirement'!BK42</f>
        <v/>
      </c>
      <c r="BL42">
        <f>IF(INDEX(Cal_Weeks[MonthYearLabel],63)&lt;&gt;INDEX(Cal_Weeks[MonthYearLabel],62),'Grid_Stock'!BK42,BK42)+'Grid_Incoming'!BL42-'Grid_Requirement'!BL42</f>
        <v/>
      </c>
      <c r="BM42">
        <f>IF(INDEX(Cal_Weeks[MonthYearLabel],64)&lt;&gt;INDEX(Cal_Weeks[MonthYearLabel],63),'Grid_Stock'!BL42,BL42)+'Grid_Incoming'!BM42-'Grid_Requirement'!BM42</f>
        <v/>
      </c>
      <c r="BN42">
        <f>IF(INDEX(Cal_Weeks[MonthYearLabel],65)&lt;&gt;INDEX(Cal_Weeks[MonthYearLabel],64),'Grid_Stock'!BM42,BM42)+'Grid_Incoming'!BN42-'Grid_Requirement'!BN42</f>
        <v/>
      </c>
      <c r="BO42">
        <f>IF(INDEX(Cal_Weeks[MonthYearLabel],66)&lt;&gt;INDEX(Cal_Weeks[MonthYearLabel],65),'Grid_Stock'!BN42,BN42)+'Grid_Incoming'!BO42-'Grid_Requirement'!BO42</f>
        <v/>
      </c>
      <c r="BP42">
        <f>IF(INDEX(Cal_Weeks[MonthYearLabel],67)&lt;&gt;INDEX(Cal_Weeks[MonthYearLabel],66),'Grid_Stock'!BO42,BO42)+'Grid_Incoming'!BP42-'Grid_Requirement'!BP42</f>
        <v/>
      </c>
      <c r="BQ42">
        <f>IF(INDEX(Cal_Weeks[MonthYearLabel],68)&lt;&gt;INDEX(Cal_Weeks[MonthYearLabel],67),'Grid_Stock'!BP42,BP42)+'Grid_Incoming'!BQ42-'Grid_Requirement'!BQ42</f>
        <v/>
      </c>
      <c r="BR42">
        <f>IF(INDEX(Cal_Weeks[MonthYearLabel],69)&lt;&gt;INDEX(Cal_Weeks[MonthYearLabel],68),'Grid_Stock'!BQ42,BQ42)+'Grid_Incoming'!BR42-'Grid_Requirement'!BR42</f>
        <v/>
      </c>
      <c r="BS42">
        <f>IF(INDEX(Cal_Weeks[MonthYearLabel],70)&lt;&gt;INDEX(Cal_Weeks[MonthYearLabel],69),'Grid_Stock'!BR42,BR42)+'Grid_Incoming'!BS42-'Grid_Requirement'!BS42</f>
        <v/>
      </c>
      <c r="BT42">
        <f>IF(INDEX(Cal_Weeks[MonthYearLabel],71)&lt;&gt;INDEX(Cal_Weeks[MonthYearLabel],70),'Grid_Stock'!BS42,BS42)+'Grid_Incoming'!BT42-'Grid_Requirement'!BT42</f>
        <v/>
      </c>
      <c r="BU42">
        <f>IF(INDEX(Cal_Weeks[MonthYearLabel],72)&lt;&gt;INDEX(Cal_Weeks[MonthYearLabel],71),'Grid_Stock'!BT42,BT42)+'Grid_Incoming'!BU42-'Grid_Requirement'!BU42</f>
        <v/>
      </c>
      <c r="BV42">
        <f>IF(INDEX(Cal_Weeks[MonthYearLabel],73)&lt;&gt;INDEX(Cal_Weeks[MonthYearLabel],72),'Grid_Stock'!BU42,BU42)+'Grid_Incoming'!BV42-'Grid_Requirement'!BV42</f>
        <v/>
      </c>
      <c r="BW42">
        <f>IF(INDEX(Cal_Weeks[MonthYearLabel],74)&lt;&gt;INDEX(Cal_Weeks[MonthYearLabel],73),'Grid_Stock'!BV42,BV42)+'Grid_Incoming'!BW42-'Grid_Requirement'!BW42</f>
        <v/>
      </c>
      <c r="BX42">
        <f>IF(INDEX(Cal_Weeks[MonthYearLabel],75)&lt;&gt;INDEX(Cal_Weeks[MonthYearLabel],74),'Grid_Stock'!BW42,BW42)+'Grid_Incoming'!BX42-'Grid_Requirement'!BX42</f>
        <v/>
      </c>
      <c r="BY42">
        <f>IF(INDEX(Cal_Weeks[MonthYearLabel],76)&lt;&gt;INDEX(Cal_Weeks[MonthYearLabel],75),'Grid_Stock'!BX42,BX42)+'Grid_Incoming'!BY42-'Grid_Requirement'!BY42</f>
        <v/>
      </c>
      <c r="BZ42">
        <f>IF(INDEX(Cal_Weeks[MonthYearLabel],77)&lt;&gt;INDEX(Cal_Weeks[MonthYearLabel],76),'Grid_Stock'!BY42,BY42)+'Grid_Incoming'!BZ42-'Grid_Requirement'!BZ42</f>
        <v/>
      </c>
      <c r="CA42">
        <f>IF(INDEX(Cal_Weeks[MonthYearLabel],78)&lt;&gt;INDEX(Cal_Weeks[MonthYearLabel],77),'Grid_Stock'!BZ42,BZ42)+'Grid_Incoming'!CA42-'Grid_Requirement'!CA42</f>
        <v/>
      </c>
      <c r="CB42">
        <f>IF(INDEX(Cal_Weeks[MonthYearLabel],79)&lt;&gt;INDEX(Cal_Weeks[MonthYearLabel],78),'Grid_Stock'!CA42,CA42)+'Grid_Incoming'!CB42-'Grid_Requirement'!CB42</f>
        <v/>
      </c>
      <c r="CC42">
        <f>IF(INDEX(Cal_Weeks[MonthYearLabel],80)&lt;&gt;INDEX(Cal_Weeks[MonthYearLabel],79),'Grid_Stock'!CB42,CB42)+'Grid_Incoming'!CC42-'Grid_Requirement'!CC42</f>
        <v/>
      </c>
      <c r="CD42">
        <f>IF(INDEX(Cal_Weeks[MonthYearLabel],81)&lt;&gt;INDEX(Cal_Weeks[MonthYearLabel],80),'Grid_Stock'!CC42,CC42)+'Grid_Incoming'!CD42-'Grid_Requirement'!CD42</f>
        <v/>
      </c>
      <c r="CE42">
        <f>IF(INDEX(Cal_Weeks[MonthYearLabel],82)&lt;&gt;INDEX(Cal_Weeks[MonthYearLabel],81),'Grid_Stock'!CD42,CD42)+'Grid_Incoming'!CE42-'Grid_Requirement'!CE42</f>
        <v/>
      </c>
      <c r="CF42">
        <f>IF(INDEX(Cal_Weeks[MonthYearLabel],83)&lt;&gt;INDEX(Cal_Weeks[MonthYearLabel],82),'Grid_Stock'!CE42,CE42)+'Grid_Incoming'!CF42-'Grid_Requirement'!CF42</f>
        <v/>
      </c>
      <c r="CG42">
        <f>IF(INDEX(Cal_Weeks[MonthYearLabel],84)&lt;&gt;INDEX(Cal_Weeks[MonthYearLabel],83),'Grid_Stock'!CF42,CF42)+'Grid_Incoming'!CG42-'Grid_Requirement'!CG42</f>
        <v/>
      </c>
      <c r="CH42">
        <f>IF(INDEX(Cal_Weeks[MonthYearLabel],85)&lt;&gt;INDEX(Cal_Weeks[MonthYearLabel],84),'Grid_Stock'!CG42,CG42)+'Grid_Incoming'!CH42-'Grid_Requirement'!CH42</f>
        <v/>
      </c>
      <c r="CI42">
        <f>IF(INDEX(Cal_Weeks[MonthYearLabel],86)&lt;&gt;INDEX(Cal_Weeks[MonthYearLabel],85),'Grid_Stock'!CH42,CH42)+'Grid_Incoming'!CI42-'Grid_Requirement'!CI42</f>
        <v/>
      </c>
      <c r="CJ42">
        <f>IF(INDEX(Cal_Weeks[MonthYearLabel],87)&lt;&gt;INDEX(Cal_Weeks[MonthYearLabel],86),'Grid_Stock'!CI42,CI42)+'Grid_Incoming'!CJ42-'Grid_Requirement'!CJ42</f>
        <v/>
      </c>
      <c r="CK42">
        <f>IF(INDEX(Cal_Weeks[MonthYearLabel],88)&lt;&gt;INDEX(Cal_Weeks[MonthYearLabel],87),'Grid_Stock'!CJ42,CJ42)+'Grid_Incoming'!CK42-'Grid_Requirement'!CK42</f>
        <v/>
      </c>
      <c r="CL42">
        <f>IF(INDEX(Cal_Weeks[MonthYearLabel],89)&lt;&gt;INDEX(Cal_Weeks[MonthYearLabel],88),'Grid_Stock'!CK42,CK42)+'Grid_Incoming'!CL42-'Grid_Requirement'!CL42</f>
        <v/>
      </c>
      <c r="CM42">
        <f>IF(INDEX(Cal_Weeks[MonthYearLabel],90)&lt;&gt;INDEX(Cal_Weeks[MonthYearLabel],89),'Grid_Stock'!CL42,CL42)+'Grid_Incoming'!CM42-'Grid_Requirement'!CM42</f>
        <v/>
      </c>
      <c r="CN42">
        <f>IF(INDEX(Cal_Weeks[MonthYearLabel],91)&lt;&gt;INDEX(Cal_Weeks[MonthYearLabel],90),'Grid_Stock'!CM42,CM42)+'Grid_Incoming'!CN42-'Grid_Requirement'!CN42</f>
        <v/>
      </c>
      <c r="CO42">
        <f>IF(INDEX(Cal_Weeks[MonthYearLabel],92)&lt;&gt;INDEX(Cal_Weeks[MonthYearLabel],91),'Grid_Stock'!CN42,CN42)+'Grid_Incoming'!CO42-'Grid_Requirement'!CO42</f>
        <v/>
      </c>
      <c r="CP42">
        <f>IF(INDEX(Cal_Weeks[MonthYearLabel],93)&lt;&gt;INDEX(Cal_Weeks[MonthYearLabel],92),'Grid_Stock'!CO42,CO42)+'Grid_Incoming'!CP42-'Grid_Requirement'!CP42</f>
        <v/>
      </c>
      <c r="CQ42">
        <f>IF(INDEX(Cal_Weeks[MonthYearLabel],94)&lt;&gt;INDEX(Cal_Weeks[MonthYearLabel],93),'Grid_Stock'!CP42,CP42)+'Grid_Incoming'!CQ42-'Grid_Requirement'!CQ42</f>
        <v/>
      </c>
      <c r="CR42">
        <f>IF(INDEX(Cal_Weeks[MonthYearLabel],95)&lt;&gt;INDEX(Cal_Weeks[MonthYearLabel],94),'Grid_Stock'!CQ42,CQ42)+'Grid_Incoming'!CR42-'Grid_Requirement'!CR42</f>
        <v/>
      </c>
      <c r="CS42">
        <f>IF(INDEX(Cal_Weeks[MonthYearLabel],96)&lt;&gt;INDEX(Cal_Weeks[MonthYearLabel],95),'Grid_Stock'!CR42,CR42)+'Grid_Incoming'!CS42-'Grid_Requirement'!CS42</f>
        <v/>
      </c>
      <c r="CT42">
        <f>IF(INDEX(Cal_Weeks[MonthYearLabel],97)&lt;&gt;INDEX(Cal_Weeks[MonthYearLabel],96),'Grid_Stock'!CS42,CS42)+'Grid_Incoming'!CT42-'Grid_Requirement'!CT42</f>
        <v/>
      </c>
      <c r="CU42">
        <f>IF(INDEX(Cal_Weeks[MonthYearLabel],98)&lt;&gt;INDEX(Cal_Weeks[MonthYearLabel],97),'Grid_Stock'!CT42,CT42)+'Grid_Incoming'!CU42-'Grid_Requirement'!CU42</f>
        <v/>
      </c>
      <c r="CV42">
        <f>IF(INDEX(Cal_Weeks[MonthYearLabel],99)&lt;&gt;INDEX(Cal_Weeks[MonthYearLabel],98),'Grid_Stock'!CU42,CU42)+'Grid_Incoming'!CV42-'Grid_Requirement'!CV42</f>
        <v/>
      </c>
      <c r="CW42">
        <f>IF(INDEX(Cal_Weeks[MonthYearLabel],100)&lt;&gt;INDEX(Cal_Weeks[MonthYearLabel],99),'Grid_Stock'!CV42,CV42)+'Grid_Incoming'!CW42-'Grid_Requirement'!CW42</f>
        <v/>
      </c>
      <c r="CX42">
        <f>IF(INDEX(Cal_Weeks[MonthYearLabel],101)&lt;&gt;INDEX(Cal_Weeks[MonthYearLabel],100),'Grid_Stock'!CW42,CW42)+'Grid_Incoming'!CX42-'Grid_Requirement'!CX42</f>
        <v/>
      </c>
      <c r="CY42">
        <f>IF(INDEX(Cal_Weeks[MonthYearLabel],102)&lt;&gt;INDEX(Cal_Weeks[MonthYearLabel],101),'Grid_Stock'!CX42,CX42)+'Grid_Incoming'!CY42-'Grid_Requirement'!CY42</f>
        <v/>
      </c>
      <c r="CZ42">
        <f>IF(INDEX(Cal_Weeks[MonthYearLabel],103)&lt;&gt;INDEX(Cal_Weeks[MonthYearLabel],102),'Grid_Stock'!CY42,CY42)+'Grid_Incoming'!CZ42-'Grid_Requirement'!CZ42</f>
        <v/>
      </c>
      <c r="DA42">
        <f>IF(INDEX(Cal_Weeks[MonthYearLabel],104)&lt;&gt;INDEX(Cal_Weeks[MonthYearLabel],103),'Grid_Stock'!CZ42,CZ42)+'Grid_Incoming'!DA42-'Grid_Requirement'!DA42</f>
        <v/>
      </c>
    </row>
    <row r="43">
      <c r="A43" t="inlineStr">
        <is>
          <t>CHEM-1280</t>
        </is>
      </c>
      <c r="B43">
        <f>IFERROR(INDEX(T_OpeningStock[Opening_Qty_要入力],MATCH($A43,T_OpeningStock[Part Name],0)),0)+'Grid_Incoming'!B43-'Grid_Requirement'!B43</f>
        <v/>
      </c>
      <c r="C43">
        <f>IF(INDEX(Cal_Weeks[MonthYearLabel],2)&lt;&gt;INDEX(Cal_Weeks[MonthYearLabel],1),'Grid_Stock'!B43,B43)+'Grid_Incoming'!C43-'Grid_Requirement'!C43</f>
        <v/>
      </c>
      <c r="D43">
        <f>IF(INDEX(Cal_Weeks[MonthYearLabel],3)&lt;&gt;INDEX(Cal_Weeks[MonthYearLabel],2),'Grid_Stock'!C43,C43)+'Grid_Incoming'!D43-'Grid_Requirement'!D43</f>
        <v/>
      </c>
      <c r="E43">
        <f>IF(INDEX(Cal_Weeks[MonthYearLabel],4)&lt;&gt;INDEX(Cal_Weeks[MonthYearLabel],3),'Grid_Stock'!D43,D43)+'Grid_Incoming'!E43-'Grid_Requirement'!E43</f>
        <v/>
      </c>
      <c r="F43">
        <f>IF(INDEX(Cal_Weeks[MonthYearLabel],5)&lt;&gt;INDEX(Cal_Weeks[MonthYearLabel],4),'Grid_Stock'!E43,E43)+'Grid_Incoming'!F43-'Grid_Requirement'!F43</f>
        <v/>
      </c>
      <c r="G43">
        <f>IF(INDEX(Cal_Weeks[MonthYearLabel],6)&lt;&gt;INDEX(Cal_Weeks[MonthYearLabel],5),'Grid_Stock'!F43,F43)+'Grid_Incoming'!G43-'Grid_Requirement'!G43</f>
        <v/>
      </c>
      <c r="H43">
        <f>IF(INDEX(Cal_Weeks[MonthYearLabel],7)&lt;&gt;INDEX(Cal_Weeks[MonthYearLabel],6),'Grid_Stock'!G43,G43)+'Grid_Incoming'!H43-'Grid_Requirement'!H43</f>
        <v/>
      </c>
      <c r="I43">
        <f>IF(INDEX(Cal_Weeks[MonthYearLabel],8)&lt;&gt;INDEX(Cal_Weeks[MonthYearLabel],7),'Grid_Stock'!H43,H43)+'Grid_Incoming'!I43-'Grid_Requirement'!I43</f>
        <v/>
      </c>
      <c r="J43">
        <f>IF(INDEX(Cal_Weeks[MonthYearLabel],9)&lt;&gt;INDEX(Cal_Weeks[MonthYearLabel],8),'Grid_Stock'!I43,I43)+'Grid_Incoming'!J43-'Grid_Requirement'!J43</f>
        <v/>
      </c>
      <c r="K43">
        <f>IF(INDEX(Cal_Weeks[MonthYearLabel],10)&lt;&gt;INDEX(Cal_Weeks[MonthYearLabel],9),'Grid_Stock'!J43,J43)+'Grid_Incoming'!K43-'Grid_Requirement'!K43</f>
        <v/>
      </c>
      <c r="L43">
        <f>IF(INDEX(Cal_Weeks[MonthYearLabel],11)&lt;&gt;INDEX(Cal_Weeks[MonthYearLabel],10),'Grid_Stock'!K43,K43)+'Grid_Incoming'!L43-'Grid_Requirement'!L43</f>
        <v/>
      </c>
      <c r="M43">
        <f>IF(INDEX(Cal_Weeks[MonthYearLabel],12)&lt;&gt;INDEX(Cal_Weeks[MonthYearLabel],11),'Grid_Stock'!L43,L43)+'Grid_Incoming'!M43-'Grid_Requirement'!M43</f>
        <v/>
      </c>
      <c r="N43">
        <f>IF(INDEX(Cal_Weeks[MonthYearLabel],13)&lt;&gt;INDEX(Cal_Weeks[MonthYearLabel],12),'Grid_Stock'!M43,M43)+'Grid_Incoming'!N43-'Grid_Requirement'!N43</f>
        <v/>
      </c>
      <c r="O43">
        <f>IF(INDEX(Cal_Weeks[MonthYearLabel],14)&lt;&gt;INDEX(Cal_Weeks[MonthYearLabel],13),'Grid_Stock'!N43,N43)+'Grid_Incoming'!O43-'Grid_Requirement'!O43</f>
        <v/>
      </c>
      <c r="P43">
        <f>IF(INDEX(Cal_Weeks[MonthYearLabel],15)&lt;&gt;INDEX(Cal_Weeks[MonthYearLabel],14),'Grid_Stock'!O43,O43)+'Grid_Incoming'!P43-'Grid_Requirement'!P43</f>
        <v/>
      </c>
      <c r="Q43">
        <f>IF(INDEX(Cal_Weeks[MonthYearLabel],16)&lt;&gt;INDEX(Cal_Weeks[MonthYearLabel],15),'Grid_Stock'!P43,P43)+'Grid_Incoming'!Q43-'Grid_Requirement'!Q43</f>
        <v/>
      </c>
      <c r="R43">
        <f>IF(INDEX(Cal_Weeks[MonthYearLabel],17)&lt;&gt;INDEX(Cal_Weeks[MonthYearLabel],16),'Grid_Stock'!Q43,Q43)+'Grid_Incoming'!R43-'Grid_Requirement'!R43</f>
        <v/>
      </c>
      <c r="S43">
        <f>IF(INDEX(Cal_Weeks[MonthYearLabel],18)&lt;&gt;INDEX(Cal_Weeks[MonthYearLabel],17),'Grid_Stock'!R43,R43)+'Grid_Incoming'!S43-'Grid_Requirement'!S43</f>
        <v/>
      </c>
      <c r="T43">
        <f>IF(INDEX(Cal_Weeks[MonthYearLabel],19)&lt;&gt;INDEX(Cal_Weeks[MonthYearLabel],18),'Grid_Stock'!S43,S43)+'Grid_Incoming'!T43-'Grid_Requirement'!T43</f>
        <v/>
      </c>
      <c r="U43">
        <f>IF(INDEX(Cal_Weeks[MonthYearLabel],20)&lt;&gt;INDEX(Cal_Weeks[MonthYearLabel],19),'Grid_Stock'!T43,T43)+'Grid_Incoming'!U43-'Grid_Requirement'!U43</f>
        <v/>
      </c>
      <c r="V43">
        <f>IF(INDEX(Cal_Weeks[MonthYearLabel],21)&lt;&gt;INDEX(Cal_Weeks[MonthYearLabel],20),'Grid_Stock'!U43,U43)+'Grid_Incoming'!V43-'Grid_Requirement'!V43</f>
        <v/>
      </c>
      <c r="W43">
        <f>IF(INDEX(Cal_Weeks[MonthYearLabel],22)&lt;&gt;INDEX(Cal_Weeks[MonthYearLabel],21),'Grid_Stock'!V43,V43)+'Grid_Incoming'!W43-'Grid_Requirement'!W43</f>
        <v/>
      </c>
      <c r="X43">
        <f>IF(INDEX(Cal_Weeks[MonthYearLabel],23)&lt;&gt;INDEX(Cal_Weeks[MonthYearLabel],22),'Grid_Stock'!W43,W43)+'Grid_Incoming'!X43-'Grid_Requirement'!X43</f>
        <v/>
      </c>
      <c r="Y43">
        <f>IF(INDEX(Cal_Weeks[MonthYearLabel],24)&lt;&gt;INDEX(Cal_Weeks[MonthYearLabel],23),'Grid_Stock'!X43,X43)+'Grid_Incoming'!Y43-'Grid_Requirement'!Y43</f>
        <v/>
      </c>
      <c r="Z43">
        <f>IF(INDEX(Cal_Weeks[MonthYearLabel],25)&lt;&gt;INDEX(Cal_Weeks[MonthYearLabel],24),'Grid_Stock'!Y43,Y43)+'Grid_Incoming'!Z43-'Grid_Requirement'!Z43</f>
        <v/>
      </c>
      <c r="AA43">
        <f>IF(INDEX(Cal_Weeks[MonthYearLabel],26)&lt;&gt;INDEX(Cal_Weeks[MonthYearLabel],25),'Grid_Stock'!Z43,Z43)+'Grid_Incoming'!AA43-'Grid_Requirement'!AA43</f>
        <v/>
      </c>
      <c r="AB43">
        <f>IF(INDEX(Cal_Weeks[MonthYearLabel],27)&lt;&gt;INDEX(Cal_Weeks[MonthYearLabel],26),'Grid_Stock'!AA43,AA43)+'Grid_Incoming'!AB43-'Grid_Requirement'!AB43</f>
        <v/>
      </c>
      <c r="AC43">
        <f>IF(INDEX(Cal_Weeks[MonthYearLabel],28)&lt;&gt;INDEX(Cal_Weeks[MonthYearLabel],27),'Grid_Stock'!AB43,AB43)+'Grid_Incoming'!AC43-'Grid_Requirement'!AC43</f>
        <v/>
      </c>
      <c r="AD43">
        <f>IF(INDEX(Cal_Weeks[MonthYearLabel],29)&lt;&gt;INDEX(Cal_Weeks[MonthYearLabel],28),'Grid_Stock'!AC43,AC43)+'Grid_Incoming'!AD43-'Grid_Requirement'!AD43</f>
        <v/>
      </c>
      <c r="AE43">
        <f>IF(INDEX(Cal_Weeks[MonthYearLabel],30)&lt;&gt;INDEX(Cal_Weeks[MonthYearLabel],29),'Grid_Stock'!AD43,AD43)+'Grid_Incoming'!AE43-'Grid_Requirement'!AE43</f>
        <v/>
      </c>
      <c r="AF43">
        <f>IF(INDEX(Cal_Weeks[MonthYearLabel],31)&lt;&gt;INDEX(Cal_Weeks[MonthYearLabel],30),'Grid_Stock'!AE43,AE43)+'Grid_Incoming'!AF43-'Grid_Requirement'!AF43</f>
        <v/>
      </c>
      <c r="AG43">
        <f>IF(INDEX(Cal_Weeks[MonthYearLabel],32)&lt;&gt;INDEX(Cal_Weeks[MonthYearLabel],31),'Grid_Stock'!AF43,AF43)+'Grid_Incoming'!AG43-'Grid_Requirement'!AG43</f>
        <v/>
      </c>
      <c r="AH43">
        <f>IF(INDEX(Cal_Weeks[MonthYearLabel],33)&lt;&gt;INDEX(Cal_Weeks[MonthYearLabel],32),'Grid_Stock'!AG43,AG43)+'Grid_Incoming'!AH43-'Grid_Requirement'!AH43</f>
        <v/>
      </c>
      <c r="AI43">
        <f>IF(INDEX(Cal_Weeks[MonthYearLabel],34)&lt;&gt;INDEX(Cal_Weeks[MonthYearLabel],33),'Grid_Stock'!AH43,AH43)+'Grid_Incoming'!AI43-'Grid_Requirement'!AI43</f>
        <v/>
      </c>
      <c r="AJ43">
        <f>IF(INDEX(Cal_Weeks[MonthYearLabel],35)&lt;&gt;INDEX(Cal_Weeks[MonthYearLabel],34),'Grid_Stock'!AI43,AI43)+'Grid_Incoming'!AJ43-'Grid_Requirement'!AJ43</f>
        <v/>
      </c>
      <c r="AK43">
        <f>IF(INDEX(Cal_Weeks[MonthYearLabel],36)&lt;&gt;INDEX(Cal_Weeks[MonthYearLabel],35),'Grid_Stock'!AJ43,AJ43)+'Grid_Incoming'!AK43-'Grid_Requirement'!AK43</f>
        <v/>
      </c>
      <c r="AL43">
        <f>IF(INDEX(Cal_Weeks[MonthYearLabel],37)&lt;&gt;INDEX(Cal_Weeks[MonthYearLabel],36),'Grid_Stock'!AK43,AK43)+'Grid_Incoming'!AL43-'Grid_Requirement'!AL43</f>
        <v/>
      </c>
      <c r="AM43">
        <f>IF(INDEX(Cal_Weeks[MonthYearLabel],38)&lt;&gt;INDEX(Cal_Weeks[MonthYearLabel],37),'Grid_Stock'!AL43,AL43)+'Grid_Incoming'!AM43-'Grid_Requirement'!AM43</f>
        <v/>
      </c>
      <c r="AN43">
        <f>IF(INDEX(Cal_Weeks[MonthYearLabel],39)&lt;&gt;INDEX(Cal_Weeks[MonthYearLabel],38),'Grid_Stock'!AM43,AM43)+'Grid_Incoming'!AN43-'Grid_Requirement'!AN43</f>
        <v/>
      </c>
      <c r="AO43">
        <f>IF(INDEX(Cal_Weeks[MonthYearLabel],40)&lt;&gt;INDEX(Cal_Weeks[MonthYearLabel],39),'Grid_Stock'!AN43,AN43)+'Grid_Incoming'!AO43-'Grid_Requirement'!AO43</f>
        <v/>
      </c>
      <c r="AP43">
        <f>IF(INDEX(Cal_Weeks[MonthYearLabel],41)&lt;&gt;INDEX(Cal_Weeks[MonthYearLabel],40),'Grid_Stock'!AO43,AO43)+'Grid_Incoming'!AP43-'Grid_Requirement'!AP43</f>
        <v/>
      </c>
      <c r="AQ43">
        <f>IF(INDEX(Cal_Weeks[MonthYearLabel],42)&lt;&gt;INDEX(Cal_Weeks[MonthYearLabel],41),'Grid_Stock'!AP43,AP43)+'Grid_Incoming'!AQ43-'Grid_Requirement'!AQ43</f>
        <v/>
      </c>
      <c r="AR43">
        <f>IF(INDEX(Cal_Weeks[MonthYearLabel],43)&lt;&gt;INDEX(Cal_Weeks[MonthYearLabel],42),'Grid_Stock'!AQ43,AQ43)+'Grid_Incoming'!AR43-'Grid_Requirement'!AR43</f>
        <v/>
      </c>
      <c r="AS43">
        <f>IF(INDEX(Cal_Weeks[MonthYearLabel],44)&lt;&gt;INDEX(Cal_Weeks[MonthYearLabel],43),'Grid_Stock'!AR43,AR43)+'Grid_Incoming'!AS43-'Grid_Requirement'!AS43</f>
        <v/>
      </c>
      <c r="AT43">
        <f>IF(INDEX(Cal_Weeks[MonthYearLabel],45)&lt;&gt;INDEX(Cal_Weeks[MonthYearLabel],44),'Grid_Stock'!AS43,AS43)+'Grid_Incoming'!AT43-'Grid_Requirement'!AT43</f>
        <v/>
      </c>
      <c r="AU43">
        <f>IF(INDEX(Cal_Weeks[MonthYearLabel],46)&lt;&gt;INDEX(Cal_Weeks[MonthYearLabel],45),'Grid_Stock'!AT43,AT43)+'Grid_Incoming'!AU43-'Grid_Requirement'!AU43</f>
        <v/>
      </c>
      <c r="AV43">
        <f>IF(INDEX(Cal_Weeks[MonthYearLabel],47)&lt;&gt;INDEX(Cal_Weeks[MonthYearLabel],46),'Grid_Stock'!AU43,AU43)+'Grid_Incoming'!AV43-'Grid_Requirement'!AV43</f>
        <v/>
      </c>
      <c r="AW43">
        <f>IF(INDEX(Cal_Weeks[MonthYearLabel],48)&lt;&gt;INDEX(Cal_Weeks[MonthYearLabel],47),'Grid_Stock'!AV43,AV43)+'Grid_Incoming'!AW43-'Grid_Requirement'!AW43</f>
        <v/>
      </c>
      <c r="AX43">
        <f>IF(INDEX(Cal_Weeks[MonthYearLabel],49)&lt;&gt;INDEX(Cal_Weeks[MonthYearLabel],48),'Grid_Stock'!AW43,AW43)+'Grid_Incoming'!AX43-'Grid_Requirement'!AX43</f>
        <v/>
      </c>
      <c r="AY43">
        <f>IF(INDEX(Cal_Weeks[MonthYearLabel],50)&lt;&gt;INDEX(Cal_Weeks[MonthYearLabel],49),'Grid_Stock'!AX43,AX43)+'Grid_Incoming'!AY43-'Grid_Requirement'!AY43</f>
        <v/>
      </c>
      <c r="AZ43">
        <f>IF(INDEX(Cal_Weeks[MonthYearLabel],51)&lt;&gt;INDEX(Cal_Weeks[MonthYearLabel],50),'Grid_Stock'!AY43,AY43)+'Grid_Incoming'!AZ43-'Grid_Requirement'!AZ43</f>
        <v/>
      </c>
      <c r="BA43">
        <f>IF(INDEX(Cal_Weeks[MonthYearLabel],52)&lt;&gt;INDEX(Cal_Weeks[MonthYearLabel],51),'Grid_Stock'!AZ43,AZ43)+'Grid_Incoming'!BA43-'Grid_Requirement'!BA43</f>
        <v/>
      </c>
      <c r="BB43">
        <f>IF(INDEX(Cal_Weeks[MonthYearLabel],53)&lt;&gt;INDEX(Cal_Weeks[MonthYearLabel],52),'Grid_Stock'!BA43,BA43)+'Grid_Incoming'!BB43-'Grid_Requirement'!BB43</f>
        <v/>
      </c>
      <c r="BC43">
        <f>IF(INDEX(Cal_Weeks[MonthYearLabel],54)&lt;&gt;INDEX(Cal_Weeks[MonthYearLabel],53),'Grid_Stock'!BB43,BB43)+'Grid_Incoming'!BC43-'Grid_Requirement'!BC43</f>
        <v/>
      </c>
      <c r="BD43">
        <f>IF(INDEX(Cal_Weeks[MonthYearLabel],55)&lt;&gt;INDEX(Cal_Weeks[MonthYearLabel],54),'Grid_Stock'!BC43,BC43)+'Grid_Incoming'!BD43-'Grid_Requirement'!BD43</f>
        <v/>
      </c>
      <c r="BE43">
        <f>IF(INDEX(Cal_Weeks[MonthYearLabel],56)&lt;&gt;INDEX(Cal_Weeks[MonthYearLabel],55),'Grid_Stock'!BD43,BD43)+'Grid_Incoming'!BE43-'Grid_Requirement'!BE43</f>
        <v/>
      </c>
      <c r="BF43">
        <f>IF(INDEX(Cal_Weeks[MonthYearLabel],57)&lt;&gt;INDEX(Cal_Weeks[MonthYearLabel],56),'Grid_Stock'!BE43,BE43)+'Grid_Incoming'!BF43-'Grid_Requirement'!BF43</f>
        <v/>
      </c>
      <c r="BG43">
        <f>IF(INDEX(Cal_Weeks[MonthYearLabel],58)&lt;&gt;INDEX(Cal_Weeks[MonthYearLabel],57),'Grid_Stock'!BF43,BF43)+'Grid_Incoming'!BG43-'Grid_Requirement'!BG43</f>
        <v/>
      </c>
      <c r="BH43">
        <f>IF(INDEX(Cal_Weeks[MonthYearLabel],59)&lt;&gt;INDEX(Cal_Weeks[MonthYearLabel],58),'Grid_Stock'!BG43,BG43)+'Grid_Incoming'!BH43-'Grid_Requirement'!BH43</f>
        <v/>
      </c>
      <c r="BI43">
        <f>IF(INDEX(Cal_Weeks[MonthYearLabel],60)&lt;&gt;INDEX(Cal_Weeks[MonthYearLabel],59),'Grid_Stock'!BH43,BH43)+'Grid_Incoming'!BI43-'Grid_Requirement'!BI43</f>
        <v/>
      </c>
      <c r="BJ43">
        <f>IF(INDEX(Cal_Weeks[MonthYearLabel],61)&lt;&gt;INDEX(Cal_Weeks[MonthYearLabel],60),'Grid_Stock'!BI43,BI43)+'Grid_Incoming'!BJ43-'Grid_Requirement'!BJ43</f>
        <v/>
      </c>
      <c r="BK43">
        <f>IF(INDEX(Cal_Weeks[MonthYearLabel],62)&lt;&gt;INDEX(Cal_Weeks[MonthYearLabel],61),'Grid_Stock'!BJ43,BJ43)+'Grid_Incoming'!BK43-'Grid_Requirement'!BK43</f>
        <v/>
      </c>
      <c r="BL43">
        <f>IF(INDEX(Cal_Weeks[MonthYearLabel],63)&lt;&gt;INDEX(Cal_Weeks[MonthYearLabel],62),'Grid_Stock'!BK43,BK43)+'Grid_Incoming'!BL43-'Grid_Requirement'!BL43</f>
        <v/>
      </c>
      <c r="BM43">
        <f>IF(INDEX(Cal_Weeks[MonthYearLabel],64)&lt;&gt;INDEX(Cal_Weeks[MonthYearLabel],63),'Grid_Stock'!BL43,BL43)+'Grid_Incoming'!BM43-'Grid_Requirement'!BM43</f>
        <v/>
      </c>
      <c r="BN43">
        <f>IF(INDEX(Cal_Weeks[MonthYearLabel],65)&lt;&gt;INDEX(Cal_Weeks[MonthYearLabel],64),'Grid_Stock'!BM43,BM43)+'Grid_Incoming'!BN43-'Grid_Requirement'!BN43</f>
        <v/>
      </c>
      <c r="BO43">
        <f>IF(INDEX(Cal_Weeks[MonthYearLabel],66)&lt;&gt;INDEX(Cal_Weeks[MonthYearLabel],65),'Grid_Stock'!BN43,BN43)+'Grid_Incoming'!BO43-'Grid_Requirement'!BO43</f>
        <v/>
      </c>
      <c r="BP43">
        <f>IF(INDEX(Cal_Weeks[MonthYearLabel],67)&lt;&gt;INDEX(Cal_Weeks[MonthYearLabel],66),'Grid_Stock'!BO43,BO43)+'Grid_Incoming'!BP43-'Grid_Requirement'!BP43</f>
        <v/>
      </c>
      <c r="BQ43">
        <f>IF(INDEX(Cal_Weeks[MonthYearLabel],68)&lt;&gt;INDEX(Cal_Weeks[MonthYearLabel],67),'Grid_Stock'!BP43,BP43)+'Grid_Incoming'!BQ43-'Grid_Requirement'!BQ43</f>
        <v/>
      </c>
      <c r="BR43">
        <f>IF(INDEX(Cal_Weeks[MonthYearLabel],69)&lt;&gt;INDEX(Cal_Weeks[MonthYearLabel],68),'Grid_Stock'!BQ43,BQ43)+'Grid_Incoming'!BR43-'Grid_Requirement'!BR43</f>
        <v/>
      </c>
      <c r="BS43">
        <f>IF(INDEX(Cal_Weeks[MonthYearLabel],70)&lt;&gt;INDEX(Cal_Weeks[MonthYearLabel],69),'Grid_Stock'!BR43,BR43)+'Grid_Incoming'!BS43-'Grid_Requirement'!BS43</f>
        <v/>
      </c>
      <c r="BT43">
        <f>IF(INDEX(Cal_Weeks[MonthYearLabel],71)&lt;&gt;INDEX(Cal_Weeks[MonthYearLabel],70),'Grid_Stock'!BS43,BS43)+'Grid_Incoming'!BT43-'Grid_Requirement'!BT43</f>
        <v/>
      </c>
      <c r="BU43">
        <f>IF(INDEX(Cal_Weeks[MonthYearLabel],72)&lt;&gt;INDEX(Cal_Weeks[MonthYearLabel],71),'Grid_Stock'!BT43,BT43)+'Grid_Incoming'!BU43-'Grid_Requirement'!BU43</f>
        <v/>
      </c>
      <c r="BV43">
        <f>IF(INDEX(Cal_Weeks[MonthYearLabel],73)&lt;&gt;INDEX(Cal_Weeks[MonthYearLabel],72),'Grid_Stock'!BU43,BU43)+'Grid_Incoming'!BV43-'Grid_Requirement'!BV43</f>
        <v/>
      </c>
      <c r="BW43">
        <f>IF(INDEX(Cal_Weeks[MonthYearLabel],74)&lt;&gt;INDEX(Cal_Weeks[MonthYearLabel],73),'Grid_Stock'!BV43,BV43)+'Grid_Incoming'!BW43-'Grid_Requirement'!BW43</f>
        <v/>
      </c>
      <c r="BX43">
        <f>IF(INDEX(Cal_Weeks[MonthYearLabel],75)&lt;&gt;INDEX(Cal_Weeks[MonthYearLabel],74),'Grid_Stock'!BW43,BW43)+'Grid_Incoming'!BX43-'Grid_Requirement'!BX43</f>
        <v/>
      </c>
      <c r="BY43">
        <f>IF(INDEX(Cal_Weeks[MonthYearLabel],76)&lt;&gt;INDEX(Cal_Weeks[MonthYearLabel],75),'Grid_Stock'!BX43,BX43)+'Grid_Incoming'!BY43-'Grid_Requirement'!BY43</f>
        <v/>
      </c>
      <c r="BZ43">
        <f>IF(INDEX(Cal_Weeks[MonthYearLabel],77)&lt;&gt;INDEX(Cal_Weeks[MonthYearLabel],76),'Grid_Stock'!BY43,BY43)+'Grid_Incoming'!BZ43-'Grid_Requirement'!BZ43</f>
        <v/>
      </c>
      <c r="CA43">
        <f>IF(INDEX(Cal_Weeks[MonthYearLabel],78)&lt;&gt;INDEX(Cal_Weeks[MonthYearLabel],77),'Grid_Stock'!BZ43,BZ43)+'Grid_Incoming'!CA43-'Grid_Requirement'!CA43</f>
        <v/>
      </c>
      <c r="CB43">
        <f>IF(INDEX(Cal_Weeks[MonthYearLabel],79)&lt;&gt;INDEX(Cal_Weeks[MonthYearLabel],78),'Grid_Stock'!CA43,CA43)+'Grid_Incoming'!CB43-'Grid_Requirement'!CB43</f>
        <v/>
      </c>
      <c r="CC43">
        <f>IF(INDEX(Cal_Weeks[MonthYearLabel],80)&lt;&gt;INDEX(Cal_Weeks[MonthYearLabel],79),'Grid_Stock'!CB43,CB43)+'Grid_Incoming'!CC43-'Grid_Requirement'!CC43</f>
        <v/>
      </c>
      <c r="CD43">
        <f>IF(INDEX(Cal_Weeks[MonthYearLabel],81)&lt;&gt;INDEX(Cal_Weeks[MonthYearLabel],80),'Grid_Stock'!CC43,CC43)+'Grid_Incoming'!CD43-'Grid_Requirement'!CD43</f>
        <v/>
      </c>
      <c r="CE43">
        <f>IF(INDEX(Cal_Weeks[MonthYearLabel],82)&lt;&gt;INDEX(Cal_Weeks[MonthYearLabel],81),'Grid_Stock'!CD43,CD43)+'Grid_Incoming'!CE43-'Grid_Requirement'!CE43</f>
        <v/>
      </c>
      <c r="CF43">
        <f>IF(INDEX(Cal_Weeks[MonthYearLabel],83)&lt;&gt;INDEX(Cal_Weeks[MonthYearLabel],82),'Grid_Stock'!CE43,CE43)+'Grid_Incoming'!CF43-'Grid_Requirement'!CF43</f>
        <v/>
      </c>
      <c r="CG43">
        <f>IF(INDEX(Cal_Weeks[MonthYearLabel],84)&lt;&gt;INDEX(Cal_Weeks[MonthYearLabel],83),'Grid_Stock'!CF43,CF43)+'Grid_Incoming'!CG43-'Grid_Requirement'!CG43</f>
        <v/>
      </c>
      <c r="CH43">
        <f>IF(INDEX(Cal_Weeks[MonthYearLabel],85)&lt;&gt;INDEX(Cal_Weeks[MonthYearLabel],84),'Grid_Stock'!CG43,CG43)+'Grid_Incoming'!CH43-'Grid_Requirement'!CH43</f>
        <v/>
      </c>
      <c r="CI43">
        <f>IF(INDEX(Cal_Weeks[MonthYearLabel],86)&lt;&gt;INDEX(Cal_Weeks[MonthYearLabel],85),'Grid_Stock'!CH43,CH43)+'Grid_Incoming'!CI43-'Grid_Requirement'!CI43</f>
        <v/>
      </c>
      <c r="CJ43">
        <f>IF(INDEX(Cal_Weeks[MonthYearLabel],87)&lt;&gt;INDEX(Cal_Weeks[MonthYearLabel],86),'Grid_Stock'!CI43,CI43)+'Grid_Incoming'!CJ43-'Grid_Requirement'!CJ43</f>
        <v/>
      </c>
      <c r="CK43">
        <f>IF(INDEX(Cal_Weeks[MonthYearLabel],88)&lt;&gt;INDEX(Cal_Weeks[MonthYearLabel],87),'Grid_Stock'!CJ43,CJ43)+'Grid_Incoming'!CK43-'Grid_Requirement'!CK43</f>
        <v/>
      </c>
      <c r="CL43">
        <f>IF(INDEX(Cal_Weeks[MonthYearLabel],89)&lt;&gt;INDEX(Cal_Weeks[MonthYearLabel],88),'Grid_Stock'!CK43,CK43)+'Grid_Incoming'!CL43-'Grid_Requirement'!CL43</f>
        <v/>
      </c>
      <c r="CM43">
        <f>IF(INDEX(Cal_Weeks[MonthYearLabel],90)&lt;&gt;INDEX(Cal_Weeks[MonthYearLabel],89),'Grid_Stock'!CL43,CL43)+'Grid_Incoming'!CM43-'Grid_Requirement'!CM43</f>
        <v/>
      </c>
      <c r="CN43">
        <f>IF(INDEX(Cal_Weeks[MonthYearLabel],91)&lt;&gt;INDEX(Cal_Weeks[MonthYearLabel],90),'Grid_Stock'!CM43,CM43)+'Grid_Incoming'!CN43-'Grid_Requirement'!CN43</f>
        <v/>
      </c>
      <c r="CO43">
        <f>IF(INDEX(Cal_Weeks[MonthYearLabel],92)&lt;&gt;INDEX(Cal_Weeks[MonthYearLabel],91),'Grid_Stock'!CN43,CN43)+'Grid_Incoming'!CO43-'Grid_Requirement'!CO43</f>
        <v/>
      </c>
      <c r="CP43">
        <f>IF(INDEX(Cal_Weeks[MonthYearLabel],93)&lt;&gt;INDEX(Cal_Weeks[MonthYearLabel],92),'Grid_Stock'!CO43,CO43)+'Grid_Incoming'!CP43-'Grid_Requirement'!CP43</f>
        <v/>
      </c>
      <c r="CQ43">
        <f>IF(INDEX(Cal_Weeks[MonthYearLabel],94)&lt;&gt;INDEX(Cal_Weeks[MonthYearLabel],93),'Grid_Stock'!CP43,CP43)+'Grid_Incoming'!CQ43-'Grid_Requirement'!CQ43</f>
        <v/>
      </c>
      <c r="CR43">
        <f>IF(INDEX(Cal_Weeks[MonthYearLabel],95)&lt;&gt;INDEX(Cal_Weeks[MonthYearLabel],94),'Grid_Stock'!CQ43,CQ43)+'Grid_Incoming'!CR43-'Grid_Requirement'!CR43</f>
        <v/>
      </c>
      <c r="CS43">
        <f>IF(INDEX(Cal_Weeks[MonthYearLabel],96)&lt;&gt;INDEX(Cal_Weeks[MonthYearLabel],95),'Grid_Stock'!CR43,CR43)+'Grid_Incoming'!CS43-'Grid_Requirement'!CS43</f>
        <v/>
      </c>
      <c r="CT43">
        <f>IF(INDEX(Cal_Weeks[MonthYearLabel],97)&lt;&gt;INDEX(Cal_Weeks[MonthYearLabel],96),'Grid_Stock'!CS43,CS43)+'Grid_Incoming'!CT43-'Grid_Requirement'!CT43</f>
        <v/>
      </c>
      <c r="CU43">
        <f>IF(INDEX(Cal_Weeks[MonthYearLabel],98)&lt;&gt;INDEX(Cal_Weeks[MonthYearLabel],97),'Grid_Stock'!CT43,CT43)+'Grid_Incoming'!CU43-'Grid_Requirement'!CU43</f>
        <v/>
      </c>
      <c r="CV43">
        <f>IF(INDEX(Cal_Weeks[MonthYearLabel],99)&lt;&gt;INDEX(Cal_Weeks[MonthYearLabel],98),'Grid_Stock'!CU43,CU43)+'Grid_Incoming'!CV43-'Grid_Requirement'!CV43</f>
        <v/>
      </c>
      <c r="CW43">
        <f>IF(INDEX(Cal_Weeks[MonthYearLabel],100)&lt;&gt;INDEX(Cal_Weeks[MonthYearLabel],99),'Grid_Stock'!CV43,CV43)+'Grid_Incoming'!CW43-'Grid_Requirement'!CW43</f>
        <v/>
      </c>
      <c r="CX43">
        <f>IF(INDEX(Cal_Weeks[MonthYearLabel],101)&lt;&gt;INDEX(Cal_Weeks[MonthYearLabel],100),'Grid_Stock'!CW43,CW43)+'Grid_Incoming'!CX43-'Grid_Requirement'!CX43</f>
        <v/>
      </c>
      <c r="CY43">
        <f>IF(INDEX(Cal_Weeks[MonthYearLabel],102)&lt;&gt;INDEX(Cal_Weeks[MonthYearLabel],101),'Grid_Stock'!CX43,CX43)+'Grid_Incoming'!CY43-'Grid_Requirement'!CY43</f>
        <v/>
      </c>
      <c r="CZ43">
        <f>IF(INDEX(Cal_Weeks[MonthYearLabel],103)&lt;&gt;INDEX(Cal_Weeks[MonthYearLabel],102),'Grid_Stock'!CY43,CY43)+'Grid_Incoming'!CZ43-'Grid_Requirement'!CZ43</f>
        <v/>
      </c>
      <c r="DA43">
        <f>IF(INDEX(Cal_Weeks[MonthYearLabel],104)&lt;&gt;INDEX(Cal_Weeks[MonthYearLabel],103),'Grid_Stock'!CZ43,CZ43)+'Grid_Incoming'!DA43-'Grid_Requirement'!DA43</f>
        <v/>
      </c>
    </row>
    <row r="44">
      <c r="A44" t="inlineStr">
        <is>
          <t>CHEM-1570</t>
        </is>
      </c>
      <c r="B44">
        <f>IFERROR(INDEX(T_OpeningStock[Opening_Qty_要入力],MATCH($A44,T_OpeningStock[Part Name],0)),0)+'Grid_Incoming'!B44-'Grid_Requirement'!B44</f>
        <v/>
      </c>
      <c r="C44">
        <f>IF(INDEX(Cal_Weeks[MonthYearLabel],2)&lt;&gt;INDEX(Cal_Weeks[MonthYearLabel],1),'Grid_Stock'!B44,B44)+'Grid_Incoming'!C44-'Grid_Requirement'!C44</f>
        <v/>
      </c>
      <c r="D44">
        <f>IF(INDEX(Cal_Weeks[MonthYearLabel],3)&lt;&gt;INDEX(Cal_Weeks[MonthYearLabel],2),'Grid_Stock'!C44,C44)+'Grid_Incoming'!D44-'Grid_Requirement'!D44</f>
        <v/>
      </c>
      <c r="E44">
        <f>IF(INDEX(Cal_Weeks[MonthYearLabel],4)&lt;&gt;INDEX(Cal_Weeks[MonthYearLabel],3),'Grid_Stock'!D44,D44)+'Grid_Incoming'!E44-'Grid_Requirement'!E44</f>
        <v/>
      </c>
      <c r="F44">
        <f>IF(INDEX(Cal_Weeks[MonthYearLabel],5)&lt;&gt;INDEX(Cal_Weeks[MonthYearLabel],4),'Grid_Stock'!E44,E44)+'Grid_Incoming'!F44-'Grid_Requirement'!F44</f>
        <v/>
      </c>
      <c r="G44">
        <f>IF(INDEX(Cal_Weeks[MonthYearLabel],6)&lt;&gt;INDEX(Cal_Weeks[MonthYearLabel],5),'Grid_Stock'!F44,F44)+'Grid_Incoming'!G44-'Grid_Requirement'!G44</f>
        <v/>
      </c>
      <c r="H44">
        <f>IF(INDEX(Cal_Weeks[MonthYearLabel],7)&lt;&gt;INDEX(Cal_Weeks[MonthYearLabel],6),'Grid_Stock'!G44,G44)+'Grid_Incoming'!H44-'Grid_Requirement'!H44</f>
        <v/>
      </c>
      <c r="I44">
        <f>IF(INDEX(Cal_Weeks[MonthYearLabel],8)&lt;&gt;INDEX(Cal_Weeks[MonthYearLabel],7),'Grid_Stock'!H44,H44)+'Grid_Incoming'!I44-'Grid_Requirement'!I44</f>
        <v/>
      </c>
      <c r="J44">
        <f>IF(INDEX(Cal_Weeks[MonthYearLabel],9)&lt;&gt;INDEX(Cal_Weeks[MonthYearLabel],8),'Grid_Stock'!I44,I44)+'Grid_Incoming'!J44-'Grid_Requirement'!J44</f>
        <v/>
      </c>
      <c r="K44">
        <f>IF(INDEX(Cal_Weeks[MonthYearLabel],10)&lt;&gt;INDEX(Cal_Weeks[MonthYearLabel],9),'Grid_Stock'!J44,J44)+'Grid_Incoming'!K44-'Grid_Requirement'!K44</f>
        <v/>
      </c>
      <c r="L44">
        <f>IF(INDEX(Cal_Weeks[MonthYearLabel],11)&lt;&gt;INDEX(Cal_Weeks[MonthYearLabel],10),'Grid_Stock'!K44,K44)+'Grid_Incoming'!L44-'Grid_Requirement'!L44</f>
        <v/>
      </c>
      <c r="M44">
        <f>IF(INDEX(Cal_Weeks[MonthYearLabel],12)&lt;&gt;INDEX(Cal_Weeks[MonthYearLabel],11),'Grid_Stock'!L44,L44)+'Grid_Incoming'!M44-'Grid_Requirement'!M44</f>
        <v/>
      </c>
      <c r="N44">
        <f>IF(INDEX(Cal_Weeks[MonthYearLabel],13)&lt;&gt;INDEX(Cal_Weeks[MonthYearLabel],12),'Grid_Stock'!M44,M44)+'Grid_Incoming'!N44-'Grid_Requirement'!N44</f>
        <v/>
      </c>
      <c r="O44">
        <f>IF(INDEX(Cal_Weeks[MonthYearLabel],14)&lt;&gt;INDEX(Cal_Weeks[MonthYearLabel],13),'Grid_Stock'!N44,N44)+'Grid_Incoming'!O44-'Grid_Requirement'!O44</f>
        <v/>
      </c>
      <c r="P44">
        <f>IF(INDEX(Cal_Weeks[MonthYearLabel],15)&lt;&gt;INDEX(Cal_Weeks[MonthYearLabel],14),'Grid_Stock'!O44,O44)+'Grid_Incoming'!P44-'Grid_Requirement'!P44</f>
        <v/>
      </c>
      <c r="Q44">
        <f>IF(INDEX(Cal_Weeks[MonthYearLabel],16)&lt;&gt;INDEX(Cal_Weeks[MonthYearLabel],15),'Grid_Stock'!P44,P44)+'Grid_Incoming'!Q44-'Grid_Requirement'!Q44</f>
        <v/>
      </c>
      <c r="R44">
        <f>IF(INDEX(Cal_Weeks[MonthYearLabel],17)&lt;&gt;INDEX(Cal_Weeks[MonthYearLabel],16),'Grid_Stock'!Q44,Q44)+'Grid_Incoming'!R44-'Grid_Requirement'!R44</f>
        <v/>
      </c>
      <c r="S44">
        <f>IF(INDEX(Cal_Weeks[MonthYearLabel],18)&lt;&gt;INDEX(Cal_Weeks[MonthYearLabel],17),'Grid_Stock'!R44,R44)+'Grid_Incoming'!S44-'Grid_Requirement'!S44</f>
        <v/>
      </c>
      <c r="T44">
        <f>IF(INDEX(Cal_Weeks[MonthYearLabel],19)&lt;&gt;INDEX(Cal_Weeks[MonthYearLabel],18),'Grid_Stock'!S44,S44)+'Grid_Incoming'!T44-'Grid_Requirement'!T44</f>
        <v/>
      </c>
      <c r="U44">
        <f>IF(INDEX(Cal_Weeks[MonthYearLabel],20)&lt;&gt;INDEX(Cal_Weeks[MonthYearLabel],19),'Grid_Stock'!T44,T44)+'Grid_Incoming'!U44-'Grid_Requirement'!U44</f>
        <v/>
      </c>
      <c r="V44">
        <f>IF(INDEX(Cal_Weeks[MonthYearLabel],21)&lt;&gt;INDEX(Cal_Weeks[MonthYearLabel],20),'Grid_Stock'!U44,U44)+'Grid_Incoming'!V44-'Grid_Requirement'!V44</f>
        <v/>
      </c>
      <c r="W44">
        <f>IF(INDEX(Cal_Weeks[MonthYearLabel],22)&lt;&gt;INDEX(Cal_Weeks[MonthYearLabel],21),'Grid_Stock'!V44,V44)+'Grid_Incoming'!W44-'Grid_Requirement'!W44</f>
        <v/>
      </c>
      <c r="X44">
        <f>IF(INDEX(Cal_Weeks[MonthYearLabel],23)&lt;&gt;INDEX(Cal_Weeks[MonthYearLabel],22),'Grid_Stock'!W44,W44)+'Grid_Incoming'!X44-'Grid_Requirement'!X44</f>
        <v/>
      </c>
      <c r="Y44">
        <f>IF(INDEX(Cal_Weeks[MonthYearLabel],24)&lt;&gt;INDEX(Cal_Weeks[MonthYearLabel],23),'Grid_Stock'!X44,X44)+'Grid_Incoming'!Y44-'Grid_Requirement'!Y44</f>
        <v/>
      </c>
      <c r="Z44">
        <f>IF(INDEX(Cal_Weeks[MonthYearLabel],25)&lt;&gt;INDEX(Cal_Weeks[MonthYearLabel],24),'Grid_Stock'!Y44,Y44)+'Grid_Incoming'!Z44-'Grid_Requirement'!Z44</f>
        <v/>
      </c>
      <c r="AA44">
        <f>IF(INDEX(Cal_Weeks[MonthYearLabel],26)&lt;&gt;INDEX(Cal_Weeks[MonthYearLabel],25),'Grid_Stock'!Z44,Z44)+'Grid_Incoming'!AA44-'Grid_Requirement'!AA44</f>
        <v/>
      </c>
      <c r="AB44">
        <f>IF(INDEX(Cal_Weeks[MonthYearLabel],27)&lt;&gt;INDEX(Cal_Weeks[MonthYearLabel],26),'Grid_Stock'!AA44,AA44)+'Grid_Incoming'!AB44-'Grid_Requirement'!AB44</f>
        <v/>
      </c>
      <c r="AC44">
        <f>IF(INDEX(Cal_Weeks[MonthYearLabel],28)&lt;&gt;INDEX(Cal_Weeks[MonthYearLabel],27),'Grid_Stock'!AB44,AB44)+'Grid_Incoming'!AC44-'Grid_Requirement'!AC44</f>
        <v/>
      </c>
      <c r="AD44">
        <f>IF(INDEX(Cal_Weeks[MonthYearLabel],29)&lt;&gt;INDEX(Cal_Weeks[MonthYearLabel],28),'Grid_Stock'!AC44,AC44)+'Grid_Incoming'!AD44-'Grid_Requirement'!AD44</f>
        <v/>
      </c>
      <c r="AE44">
        <f>IF(INDEX(Cal_Weeks[MonthYearLabel],30)&lt;&gt;INDEX(Cal_Weeks[MonthYearLabel],29),'Grid_Stock'!AD44,AD44)+'Grid_Incoming'!AE44-'Grid_Requirement'!AE44</f>
        <v/>
      </c>
      <c r="AF44">
        <f>IF(INDEX(Cal_Weeks[MonthYearLabel],31)&lt;&gt;INDEX(Cal_Weeks[MonthYearLabel],30),'Grid_Stock'!AE44,AE44)+'Grid_Incoming'!AF44-'Grid_Requirement'!AF44</f>
        <v/>
      </c>
      <c r="AG44">
        <f>IF(INDEX(Cal_Weeks[MonthYearLabel],32)&lt;&gt;INDEX(Cal_Weeks[MonthYearLabel],31),'Grid_Stock'!AF44,AF44)+'Grid_Incoming'!AG44-'Grid_Requirement'!AG44</f>
        <v/>
      </c>
      <c r="AH44">
        <f>IF(INDEX(Cal_Weeks[MonthYearLabel],33)&lt;&gt;INDEX(Cal_Weeks[MonthYearLabel],32),'Grid_Stock'!AG44,AG44)+'Grid_Incoming'!AH44-'Grid_Requirement'!AH44</f>
        <v/>
      </c>
      <c r="AI44">
        <f>IF(INDEX(Cal_Weeks[MonthYearLabel],34)&lt;&gt;INDEX(Cal_Weeks[MonthYearLabel],33),'Grid_Stock'!AH44,AH44)+'Grid_Incoming'!AI44-'Grid_Requirement'!AI44</f>
        <v/>
      </c>
      <c r="AJ44">
        <f>IF(INDEX(Cal_Weeks[MonthYearLabel],35)&lt;&gt;INDEX(Cal_Weeks[MonthYearLabel],34),'Grid_Stock'!AI44,AI44)+'Grid_Incoming'!AJ44-'Grid_Requirement'!AJ44</f>
        <v/>
      </c>
      <c r="AK44">
        <f>IF(INDEX(Cal_Weeks[MonthYearLabel],36)&lt;&gt;INDEX(Cal_Weeks[MonthYearLabel],35),'Grid_Stock'!AJ44,AJ44)+'Grid_Incoming'!AK44-'Grid_Requirement'!AK44</f>
        <v/>
      </c>
      <c r="AL44">
        <f>IF(INDEX(Cal_Weeks[MonthYearLabel],37)&lt;&gt;INDEX(Cal_Weeks[MonthYearLabel],36),'Grid_Stock'!AK44,AK44)+'Grid_Incoming'!AL44-'Grid_Requirement'!AL44</f>
        <v/>
      </c>
      <c r="AM44">
        <f>IF(INDEX(Cal_Weeks[MonthYearLabel],38)&lt;&gt;INDEX(Cal_Weeks[MonthYearLabel],37),'Grid_Stock'!AL44,AL44)+'Grid_Incoming'!AM44-'Grid_Requirement'!AM44</f>
        <v/>
      </c>
      <c r="AN44">
        <f>IF(INDEX(Cal_Weeks[MonthYearLabel],39)&lt;&gt;INDEX(Cal_Weeks[MonthYearLabel],38),'Grid_Stock'!AM44,AM44)+'Grid_Incoming'!AN44-'Grid_Requirement'!AN44</f>
        <v/>
      </c>
      <c r="AO44">
        <f>IF(INDEX(Cal_Weeks[MonthYearLabel],40)&lt;&gt;INDEX(Cal_Weeks[MonthYearLabel],39),'Grid_Stock'!AN44,AN44)+'Grid_Incoming'!AO44-'Grid_Requirement'!AO44</f>
        <v/>
      </c>
      <c r="AP44">
        <f>IF(INDEX(Cal_Weeks[MonthYearLabel],41)&lt;&gt;INDEX(Cal_Weeks[MonthYearLabel],40),'Grid_Stock'!AO44,AO44)+'Grid_Incoming'!AP44-'Grid_Requirement'!AP44</f>
        <v/>
      </c>
      <c r="AQ44">
        <f>IF(INDEX(Cal_Weeks[MonthYearLabel],42)&lt;&gt;INDEX(Cal_Weeks[MonthYearLabel],41),'Grid_Stock'!AP44,AP44)+'Grid_Incoming'!AQ44-'Grid_Requirement'!AQ44</f>
        <v/>
      </c>
      <c r="AR44">
        <f>IF(INDEX(Cal_Weeks[MonthYearLabel],43)&lt;&gt;INDEX(Cal_Weeks[MonthYearLabel],42),'Grid_Stock'!AQ44,AQ44)+'Grid_Incoming'!AR44-'Grid_Requirement'!AR44</f>
        <v/>
      </c>
      <c r="AS44">
        <f>IF(INDEX(Cal_Weeks[MonthYearLabel],44)&lt;&gt;INDEX(Cal_Weeks[MonthYearLabel],43),'Grid_Stock'!AR44,AR44)+'Grid_Incoming'!AS44-'Grid_Requirement'!AS44</f>
        <v/>
      </c>
      <c r="AT44">
        <f>IF(INDEX(Cal_Weeks[MonthYearLabel],45)&lt;&gt;INDEX(Cal_Weeks[MonthYearLabel],44),'Grid_Stock'!AS44,AS44)+'Grid_Incoming'!AT44-'Grid_Requirement'!AT44</f>
        <v/>
      </c>
      <c r="AU44">
        <f>IF(INDEX(Cal_Weeks[MonthYearLabel],46)&lt;&gt;INDEX(Cal_Weeks[MonthYearLabel],45),'Grid_Stock'!AT44,AT44)+'Grid_Incoming'!AU44-'Grid_Requirement'!AU44</f>
        <v/>
      </c>
      <c r="AV44">
        <f>IF(INDEX(Cal_Weeks[MonthYearLabel],47)&lt;&gt;INDEX(Cal_Weeks[MonthYearLabel],46),'Grid_Stock'!AU44,AU44)+'Grid_Incoming'!AV44-'Grid_Requirement'!AV44</f>
        <v/>
      </c>
      <c r="AW44">
        <f>IF(INDEX(Cal_Weeks[MonthYearLabel],48)&lt;&gt;INDEX(Cal_Weeks[MonthYearLabel],47),'Grid_Stock'!AV44,AV44)+'Grid_Incoming'!AW44-'Grid_Requirement'!AW44</f>
        <v/>
      </c>
      <c r="AX44">
        <f>IF(INDEX(Cal_Weeks[MonthYearLabel],49)&lt;&gt;INDEX(Cal_Weeks[MonthYearLabel],48),'Grid_Stock'!AW44,AW44)+'Grid_Incoming'!AX44-'Grid_Requirement'!AX44</f>
        <v/>
      </c>
      <c r="AY44">
        <f>IF(INDEX(Cal_Weeks[MonthYearLabel],50)&lt;&gt;INDEX(Cal_Weeks[MonthYearLabel],49),'Grid_Stock'!AX44,AX44)+'Grid_Incoming'!AY44-'Grid_Requirement'!AY44</f>
        <v/>
      </c>
      <c r="AZ44">
        <f>IF(INDEX(Cal_Weeks[MonthYearLabel],51)&lt;&gt;INDEX(Cal_Weeks[MonthYearLabel],50),'Grid_Stock'!AY44,AY44)+'Grid_Incoming'!AZ44-'Grid_Requirement'!AZ44</f>
        <v/>
      </c>
      <c r="BA44">
        <f>IF(INDEX(Cal_Weeks[MonthYearLabel],52)&lt;&gt;INDEX(Cal_Weeks[MonthYearLabel],51),'Grid_Stock'!AZ44,AZ44)+'Grid_Incoming'!BA44-'Grid_Requirement'!BA44</f>
        <v/>
      </c>
      <c r="BB44">
        <f>IF(INDEX(Cal_Weeks[MonthYearLabel],53)&lt;&gt;INDEX(Cal_Weeks[MonthYearLabel],52),'Grid_Stock'!BA44,BA44)+'Grid_Incoming'!BB44-'Grid_Requirement'!BB44</f>
        <v/>
      </c>
      <c r="BC44">
        <f>IF(INDEX(Cal_Weeks[MonthYearLabel],54)&lt;&gt;INDEX(Cal_Weeks[MonthYearLabel],53),'Grid_Stock'!BB44,BB44)+'Grid_Incoming'!BC44-'Grid_Requirement'!BC44</f>
        <v/>
      </c>
      <c r="BD44">
        <f>IF(INDEX(Cal_Weeks[MonthYearLabel],55)&lt;&gt;INDEX(Cal_Weeks[MonthYearLabel],54),'Grid_Stock'!BC44,BC44)+'Grid_Incoming'!BD44-'Grid_Requirement'!BD44</f>
        <v/>
      </c>
      <c r="BE44">
        <f>IF(INDEX(Cal_Weeks[MonthYearLabel],56)&lt;&gt;INDEX(Cal_Weeks[MonthYearLabel],55),'Grid_Stock'!BD44,BD44)+'Grid_Incoming'!BE44-'Grid_Requirement'!BE44</f>
        <v/>
      </c>
      <c r="BF44">
        <f>IF(INDEX(Cal_Weeks[MonthYearLabel],57)&lt;&gt;INDEX(Cal_Weeks[MonthYearLabel],56),'Grid_Stock'!BE44,BE44)+'Grid_Incoming'!BF44-'Grid_Requirement'!BF44</f>
        <v/>
      </c>
      <c r="BG44">
        <f>IF(INDEX(Cal_Weeks[MonthYearLabel],58)&lt;&gt;INDEX(Cal_Weeks[MonthYearLabel],57),'Grid_Stock'!BF44,BF44)+'Grid_Incoming'!BG44-'Grid_Requirement'!BG44</f>
        <v/>
      </c>
      <c r="BH44">
        <f>IF(INDEX(Cal_Weeks[MonthYearLabel],59)&lt;&gt;INDEX(Cal_Weeks[MonthYearLabel],58),'Grid_Stock'!BG44,BG44)+'Grid_Incoming'!BH44-'Grid_Requirement'!BH44</f>
        <v/>
      </c>
      <c r="BI44">
        <f>IF(INDEX(Cal_Weeks[MonthYearLabel],60)&lt;&gt;INDEX(Cal_Weeks[MonthYearLabel],59),'Grid_Stock'!BH44,BH44)+'Grid_Incoming'!BI44-'Grid_Requirement'!BI44</f>
        <v/>
      </c>
      <c r="BJ44">
        <f>IF(INDEX(Cal_Weeks[MonthYearLabel],61)&lt;&gt;INDEX(Cal_Weeks[MonthYearLabel],60),'Grid_Stock'!BI44,BI44)+'Grid_Incoming'!BJ44-'Grid_Requirement'!BJ44</f>
        <v/>
      </c>
      <c r="BK44">
        <f>IF(INDEX(Cal_Weeks[MonthYearLabel],62)&lt;&gt;INDEX(Cal_Weeks[MonthYearLabel],61),'Grid_Stock'!BJ44,BJ44)+'Grid_Incoming'!BK44-'Grid_Requirement'!BK44</f>
        <v/>
      </c>
      <c r="BL44">
        <f>IF(INDEX(Cal_Weeks[MonthYearLabel],63)&lt;&gt;INDEX(Cal_Weeks[MonthYearLabel],62),'Grid_Stock'!BK44,BK44)+'Grid_Incoming'!BL44-'Grid_Requirement'!BL44</f>
        <v/>
      </c>
      <c r="BM44">
        <f>IF(INDEX(Cal_Weeks[MonthYearLabel],64)&lt;&gt;INDEX(Cal_Weeks[MonthYearLabel],63),'Grid_Stock'!BL44,BL44)+'Grid_Incoming'!BM44-'Grid_Requirement'!BM44</f>
        <v/>
      </c>
      <c r="BN44">
        <f>IF(INDEX(Cal_Weeks[MonthYearLabel],65)&lt;&gt;INDEX(Cal_Weeks[MonthYearLabel],64),'Grid_Stock'!BM44,BM44)+'Grid_Incoming'!BN44-'Grid_Requirement'!BN44</f>
        <v/>
      </c>
      <c r="BO44">
        <f>IF(INDEX(Cal_Weeks[MonthYearLabel],66)&lt;&gt;INDEX(Cal_Weeks[MonthYearLabel],65),'Grid_Stock'!BN44,BN44)+'Grid_Incoming'!BO44-'Grid_Requirement'!BO44</f>
        <v/>
      </c>
      <c r="BP44">
        <f>IF(INDEX(Cal_Weeks[MonthYearLabel],67)&lt;&gt;INDEX(Cal_Weeks[MonthYearLabel],66),'Grid_Stock'!BO44,BO44)+'Grid_Incoming'!BP44-'Grid_Requirement'!BP44</f>
        <v/>
      </c>
      <c r="BQ44">
        <f>IF(INDEX(Cal_Weeks[MonthYearLabel],68)&lt;&gt;INDEX(Cal_Weeks[MonthYearLabel],67),'Grid_Stock'!BP44,BP44)+'Grid_Incoming'!BQ44-'Grid_Requirement'!BQ44</f>
        <v/>
      </c>
      <c r="BR44">
        <f>IF(INDEX(Cal_Weeks[MonthYearLabel],69)&lt;&gt;INDEX(Cal_Weeks[MonthYearLabel],68),'Grid_Stock'!BQ44,BQ44)+'Grid_Incoming'!BR44-'Grid_Requirement'!BR44</f>
        <v/>
      </c>
      <c r="BS44">
        <f>IF(INDEX(Cal_Weeks[MonthYearLabel],70)&lt;&gt;INDEX(Cal_Weeks[MonthYearLabel],69),'Grid_Stock'!BR44,BR44)+'Grid_Incoming'!BS44-'Grid_Requirement'!BS44</f>
        <v/>
      </c>
      <c r="BT44">
        <f>IF(INDEX(Cal_Weeks[MonthYearLabel],71)&lt;&gt;INDEX(Cal_Weeks[MonthYearLabel],70),'Grid_Stock'!BS44,BS44)+'Grid_Incoming'!BT44-'Grid_Requirement'!BT44</f>
        <v/>
      </c>
      <c r="BU44">
        <f>IF(INDEX(Cal_Weeks[MonthYearLabel],72)&lt;&gt;INDEX(Cal_Weeks[MonthYearLabel],71),'Grid_Stock'!BT44,BT44)+'Grid_Incoming'!BU44-'Grid_Requirement'!BU44</f>
        <v/>
      </c>
      <c r="BV44">
        <f>IF(INDEX(Cal_Weeks[MonthYearLabel],73)&lt;&gt;INDEX(Cal_Weeks[MonthYearLabel],72),'Grid_Stock'!BU44,BU44)+'Grid_Incoming'!BV44-'Grid_Requirement'!BV44</f>
        <v/>
      </c>
      <c r="BW44">
        <f>IF(INDEX(Cal_Weeks[MonthYearLabel],74)&lt;&gt;INDEX(Cal_Weeks[MonthYearLabel],73),'Grid_Stock'!BV44,BV44)+'Grid_Incoming'!BW44-'Grid_Requirement'!BW44</f>
        <v/>
      </c>
      <c r="BX44">
        <f>IF(INDEX(Cal_Weeks[MonthYearLabel],75)&lt;&gt;INDEX(Cal_Weeks[MonthYearLabel],74),'Grid_Stock'!BW44,BW44)+'Grid_Incoming'!BX44-'Grid_Requirement'!BX44</f>
        <v/>
      </c>
      <c r="BY44">
        <f>IF(INDEX(Cal_Weeks[MonthYearLabel],76)&lt;&gt;INDEX(Cal_Weeks[MonthYearLabel],75),'Grid_Stock'!BX44,BX44)+'Grid_Incoming'!BY44-'Grid_Requirement'!BY44</f>
        <v/>
      </c>
      <c r="BZ44">
        <f>IF(INDEX(Cal_Weeks[MonthYearLabel],77)&lt;&gt;INDEX(Cal_Weeks[MonthYearLabel],76),'Grid_Stock'!BY44,BY44)+'Grid_Incoming'!BZ44-'Grid_Requirement'!BZ44</f>
        <v/>
      </c>
      <c r="CA44">
        <f>IF(INDEX(Cal_Weeks[MonthYearLabel],78)&lt;&gt;INDEX(Cal_Weeks[MonthYearLabel],77),'Grid_Stock'!BZ44,BZ44)+'Grid_Incoming'!CA44-'Grid_Requirement'!CA44</f>
        <v/>
      </c>
      <c r="CB44">
        <f>IF(INDEX(Cal_Weeks[MonthYearLabel],79)&lt;&gt;INDEX(Cal_Weeks[MonthYearLabel],78),'Grid_Stock'!CA44,CA44)+'Grid_Incoming'!CB44-'Grid_Requirement'!CB44</f>
        <v/>
      </c>
      <c r="CC44">
        <f>IF(INDEX(Cal_Weeks[MonthYearLabel],80)&lt;&gt;INDEX(Cal_Weeks[MonthYearLabel],79),'Grid_Stock'!CB44,CB44)+'Grid_Incoming'!CC44-'Grid_Requirement'!CC44</f>
        <v/>
      </c>
      <c r="CD44">
        <f>IF(INDEX(Cal_Weeks[MonthYearLabel],81)&lt;&gt;INDEX(Cal_Weeks[MonthYearLabel],80),'Grid_Stock'!CC44,CC44)+'Grid_Incoming'!CD44-'Grid_Requirement'!CD44</f>
        <v/>
      </c>
      <c r="CE44">
        <f>IF(INDEX(Cal_Weeks[MonthYearLabel],82)&lt;&gt;INDEX(Cal_Weeks[MonthYearLabel],81),'Grid_Stock'!CD44,CD44)+'Grid_Incoming'!CE44-'Grid_Requirement'!CE44</f>
        <v/>
      </c>
      <c r="CF44">
        <f>IF(INDEX(Cal_Weeks[MonthYearLabel],83)&lt;&gt;INDEX(Cal_Weeks[MonthYearLabel],82),'Grid_Stock'!CE44,CE44)+'Grid_Incoming'!CF44-'Grid_Requirement'!CF44</f>
        <v/>
      </c>
      <c r="CG44">
        <f>IF(INDEX(Cal_Weeks[MonthYearLabel],84)&lt;&gt;INDEX(Cal_Weeks[MonthYearLabel],83),'Grid_Stock'!CF44,CF44)+'Grid_Incoming'!CG44-'Grid_Requirement'!CG44</f>
        <v/>
      </c>
      <c r="CH44">
        <f>IF(INDEX(Cal_Weeks[MonthYearLabel],85)&lt;&gt;INDEX(Cal_Weeks[MonthYearLabel],84),'Grid_Stock'!CG44,CG44)+'Grid_Incoming'!CH44-'Grid_Requirement'!CH44</f>
        <v/>
      </c>
      <c r="CI44">
        <f>IF(INDEX(Cal_Weeks[MonthYearLabel],86)&lt;&gt;INDEX(Cal_Weeks[MonthYearLabel],85),'Grid_Stock'!CH44,CH44)+'Grid_Incoming'!CI44-'Grid_Requirement'!CI44</f>
        <v/>
      </c>
      <c r="CJ44">
        <f>IF(INDEX(Cal_Weeks[MonthYearLabel],87)&lt;&gt;INDEX(Cal_Weeks[MonthYearLabel],86),'Grid_Stock'!CI44,CI44)+'Grid_Incoming'!CJ44-'Grid_Requirement'!CJ44</f>
        <v/>
      </c>
      <c r="CK44">
        <f>IF(INDEX(Cal_Weeks[MonthYearLabel],88)&lt;&gt;INDEX(Cal_Weeks[MonthYearLabel],87),'Grid_Stock'!CJ44,CJ44)+'Grid_Incoming'!CK44-'Grid_Requirement'!CK44</f>
        <v/>
      </c>
      <c r="CL44">
        <f>IF(INDEX(Cal_Weeks[MonthYearLabel],89)&lt;&gt;INDEX(Cal_Weeks[MonthYearLabel],88),'Grid_Stock'!CK44,CK44)+'Grid_Incoming'!CL44-'Grid_Requirement'!CL44</f>
        <v/>
      </c>
      <c r="CM44">
        <f>IF(INDEX(Cal_Weeks[MonthYearLabel],90)&lt;&gt;INDEX(Cal_Weeks[MonthYearLabel],89),'Grid_Stock'!CL44,CL44)+'Grid_Incoming'!CM44-'Grid_Requirement'!CM44</f>
        <v/>
      </c>
      <c r="CN44">
        <f>IF(INDEX(Cal_Weeks[MonthYearLabel],91)&lt;&gt;INDEX(Cal_Weeks[MonthYearLabel],90),'Grid_Stock'!CM44,CM44)+'Grid_Incoming'!CN44-'Grid_Requirement'!CN44</f>
        <v/>
      </c>
      <c r="CO44">
        <f>IF(INDEX(Cal_Weeks[MonthYearLabel],92)&lt;&gt;INDEX(Cal_Weeks[MonthYearLabel],91),'Grid_Stock'!CN44,CN44)+'Grid_Incoming'!CO44-'Grid_Requirement'!CO44</f>
        <v/>
      </c>
      <c r="CP44">
        <f>IF(INDEX(Cal_Weeks[MonthYearLabel],93)&lt;&gt;INDEX(Cal_Weeks[MonthYearLabel],92),'Grid_Stock'!CO44,CO44)+'Grid_Incoming'!CP44-'Grid_Requirement'!CP44</f>
        <v/>
      </c>
      <c r="CQ44">
        <f>IF(INDEX(Cal_Weeks[MonthYearLabel],94)&lt;&gt;INDEX(Cal_Weeks[MonthYearLabel],93),'Grid_Stock'!CP44,CP44)+'Grid_Incoming'!CQ44-'Grid_Requirement'!CQ44</f>
        <v/>
      </c>
      <c r="CR44">
        <f>IF(INDEX(Cal_Weeks[MonthYearLabel],95)&lt;&gt;INDEX(Cal_Weeks[MonthYearLabel],94),'Grid_Stock'!CQ44,CQ44)+'Grid_Incoming'!CR44-'Grid_Requirement'!CR44</f>
        <v/>
      </c>
      <c r="CS44">
        <f>IF(INDEX(Cal_Weeks[MonthYearLabel],96)&lt;&gt;INDEX(Cal_Weeks[MonthYearLabel],95),'Grid_Stock'!CR44,CR44)+'Grid_Incoming'!CS44-'Grid_Requirement'!CS44</f>
        <v/>
      </c>
      <c r="CT44">
        <f>IF(INDEX(Cal_Weeks[MonthYearLabel],97)&lt;&gt;INDEX(Cal_Weeks[MonthYearLabel],96),'Grid_Stock'!CS44,CS44)+'Grid_Incoming'!CT44-'Grid_Requirement'!CT44</f>
        <v/>
      </c>
      <c r="CU44">
        <f>IF(INDEX(Cal_Weeks[MonthYearLabel],98)&lt;&gt;INDEX(Cal_Weeks[MonthYearLabel],97),'Grid_Stock'!CT44,CT44)+'Grid_Incoming'!CU44-'Grid_Requirement'!CU44</f>
        <v/>
      </c>
      <c r="CV44">
        <f>IF(INDEX(Cal_Weeks[MonthYearLabel],99)&lt;&gt;INDEX(Cal_Weeks[MonthYearLabel],98),'Grid_Stock'!CU44,CU44)+'Grid_Incoming'!CV44-'Grid_Requirement'!CV44</f>
        <v/>
      </c>
      <c r="CW44">
        <f>IF(INDEX(Cal_Weeks[MonthYearLabel],100)&lt;&gt;INDEX(Cal_Weeks[MonthYearLabel],99),'Grid_Stock'!CV44,CV44)+'Grid_Incoming'!CW44-'Grid_Requirement'!CW44</f>
        <v/>
      </c>
      <c r="CX44">
        <f>IF(INDEX(Cal_Weeks[MonthYearLabel],101)&lt;&gt;INDEX(Cal_Weeks[MonthYearLabel],100),'Grid_Stock'!CW44,CW44)+'Grid_Incoming'!CX44-'Grid_Requirement'!CX44</f>
        <v/>
      </c>
      <c r="CY44">
        <f>IF(INDEX(Cal_Weeks[MonthYearLabel],102)&lt;&gt;INDEX(Cal_Weeks[MonthYearLabel],101),'Grid_Stock'!CX44,CX44)+'Grid_Incoming'!CY44-'Grid_Requirement'!CY44</f>
        <v/>
      </c>
      <c r="CZ44">
        <f>IF(INDEX(Cal_Weeks[MonthYearLabel],103)&lt;&gt;INDEX(Cal_Weeks[MonthYearLabel],102),'Grid_Stock'!CY44,CY44)+'Grid_Incoming'!CZ44-'Grid_Requirement'!CZ44</f>
        <v/>
      </c>
      <c r="DA44">
        <f>IF(INDEX(Cal_Weeks[MonthYearLabel],104)&lt;&gt;INDEX(Cal_Weeks[MonthYearLabel],103),'Grid_Stock'!CZ44,CZ44)+'Grid_Incoming'!DA44-'Grid_Requirement'!DA44</f>
        <v/>
      </c>
    </row>
    <row r="45">
      <c r="A45" t="inlineStr">
        <is>
          <t>CHEM-1450</t>
        </is>
      </c>
      <c r="B45">
        <f>IFERROR(INDEX(T_OpeningStock[Opening_Qty_要入力],MATCH($A45,T_OpeningStock[Part Name],0)),0)+'Grid_Incoming'!B45-'Grid_Requirement'!B45</f>
        <v/>
      </c>
      <c r="C45">
        <f>IF(INDEX(Cal_Weeks[MonthYearLabel],2)&lt;&gt;INDEX(Cal_Weeks[MonthYearLabel],1),'Grid_Stock'!B45,B45)+'Grid_Incoming'!C45-'Grid_Requirement'!C45</f>
        <v/>
      </c>
      <c r="D45">
        <f>IF(INDEX(Cal_Weeks[MonthYearLabel],3)&lt;&gt;INDEX(Cal_Weeks[MonthYearLabel],2),'Grid_Stock'!C45,C45)+'Grid_Incoming'!D45-'Grid_Requirement'!D45</f>
        <v/>
      </c>
      <c r="E45">
        <f>IF(INDEX(Cal_Weeks[MonthYearLabel],4)&lt;&gt;INDEX(Cal_Weeks[MonthYearLabel],3),'Grid_Stock'!D45,D45)+'Grid_Incoming'!E45-'Grid_Requirement'!E45</f>
        <v/>
      </c>
      <c r="F45">
        <f>IF(INDEX(Cal_Weeks[MonthYearLabel],5)&lt;&gt;INDEX(Cal_Weeks[MonthYearLabel],4),'Grid_Stock'!E45,E45)+'Grid_Incoming'!F45-'Grid_Requirement'!F45</f>
        <v/>
      </c>
      <c r="G45">
        <f>IF(INDEX(Cal_Weeks[MonthYearLabel],6)&lt;&gt;INDEX(Cal_Weeks[MonthYearLabel],5),'Grid_Stock'!F45,F45)+'Grid_Incoming'!G45-'Grid_Requirement'!G45</f>
        <v/>
      </c>
      <c r="H45">
        <f>IF(INDEX(Cal_Weeks[MonthYearLabel],7)&lt;&gt;INDEX(Cal_Weeks[MonthYearLabel],6),'Grid_Stock'!G45,G45)+'Grid_Incoming'!H45-'Grid_Requirement'!H45</f>
        <v/>
      </c>
      <c r="I45">
        <f>IF(INDEX(Cal_Weeks[MonthYearLabel],8)&lt;&gt;INDEX(Cal_Weeks[MonthYearLabel],7),'Grid_Stock'!H45,H45)+'Grid_Incoming'!I45-'Grid_Requirement'!I45</f>
        <v/>
      </c>
      <c r="J45">
        <f>IF(INDEX(Cal_Weeks[MonthYearLabel],9)&lt;&gt;INDEX(Cal_Weeks[MonthYearLabel],8),'Grid_Stock'!I45,I45)+'Grid_Incoming'!J45-'Grid_Requirement'!J45</f>
        <v/>
      </c>
      <c r="K45">
        <f>IF(INDEX(Cal_Weeks[MonthYearLabel],10)&lt;&gt;INDEX(Cal_Weeks[MonthYearLabel],9),'Grid_Stock'!J45,J45)+'Grid_Incoming'!K45-'Grid_Requirement'!K45</f>
        <v/>
      </c>
      <c r="L45">
        <f>IF(INDEX(Cal_Weeks[MonthYearLabel],11)&lt;&gt;INDEX(Cal_Weeks[MonthYearLabel],10),'Grid_Stock'!K45,K45)+'Grid_Incoming'!L45-'Grid_Requirement'!L45</f>
        <v/>
      </c>
      <c r="M45">
        <f>IF(INDEX(Cal_Weeks[MonthYearLabel],12)&lt;&gt;INDEX(Cal_Weeks[MonthYearLabel],11),'Grid_Stock'!L45,L45)+'Grid_Incoming'!M45-'Grid_Requirement'!M45</f>
        <v/>
      </c>
      <c r="N45">
        <f>IF(INDEX(Cal_Weeks[MonthYearLabel],13)&lt;&gt;INDEX(Cal_Weeks[MonthYearLabel],12),'Grid_Stock'!M45,M45)+'Grid_Incoming'!N45-'Grid_Requirement'!N45</f>
        <v/>
      </c>
      <c r="O45">
        <f>IF(INDEX(Cal_Weeks[MonthYearLabel],14)&lt;&gt;INDEX(Cal_Weeks[MonthYearLabel],13),'Grid_Stock'!N45,N45)+'Grid_Incoming'!O45-'Grid_Requirement'!O45</f>
        <v/>
      </c>
      <c r="P45">
        <f>IF(INDEX(Cal_Weeks[MonthYearLabel],15)&lt;&gt;INDEX(Cal_Weeks[MonthYearLabel],14),'Grid_Stock'!O45,O45)+'Grid_Incoming'!P45-'Grid_Requirement'!P45</f>
        <v/>
      </c>
      <c r="Q45">
        <f>IF(INDEX(Cal_Weeks[MonthYearLabel],16)&lt;&gt;INDEX(Cal_Weeks[MonthYearLabel],15),'Grid_Stock'!P45,P45)+'Grid_Incoming'!Q45-'Grid_Requirement'!Q45</f>
        <v/>
      </c>
      <c r="R45">
        <f>IF(INDEX(Cal_Weeks[MonthYearLabel],17)&lt;&gt;INDEX(Cal_Weeks[MonthYearLabel],16),'Grid_Stock'!Q45,Q45)+'Grid_Incoming'!R45-'Grid_Requirement'!R45</f>
        <v/>
      </c>
      <c r="S45">
        <f>IF(INDEX(Cal_Weeks[MonthYearLabel],18)&lt;&gt;INDEX(Cal_Weeks[MonthYearLabel],17),'Grid_Stock'!R45,R45)+'Grid_Incoming'!S45-'Grid_Requirement'!S45</f>
        <v/>
      </c>
      <c r="T45">
        <f>IF(INDEX(Cal_Weeks[MonthYearLabel],19)&lt;&gt;INDEX(Cal_Weeks[MonthYearLabel],18),'Grid_Stock'!S45,S45)+'Grid_Incoming'!T45-'Grid_Requirement'!T45</f>
        <v/>
      </c>
      <c r="U45">
        <f>IF(INDEX(Cal_Weeks[MonthYearLabel],20)&lt;&gt;INDEX(Cal_Weeks[MonthYearLabel],19),'Grid_Stock'!T45,T45)+'Grid_Incoming'!U45-'Grid_Requirement'!U45</f>
        <v/>
      </c>
      <c r="V45">
        <f>IF(INDEX(Cal_Weeks[MonthYearLabel],21)&lt;&gt;INDEX(Cal_Weeks[MonthYearLabel],20),'Grid_Stock'!U45,U45)+'Grid_Incoming'!V45-'Grid_Requirement'!V45</f>
        <v/>
      </c>
      <c r="W45">
        <f>IF(INDEX(Cal_Weeks[MonthYearLabel],22)&lt;&gt;INDEX(Cal_Weeks[MonthYearLabel],21),'Grid_Stock'!V45,V45)+'Grid_Incoming'!W45-'Grid_Requirement'!W45</f>
        <v/>
      </c>
      <c r="X45">
        <f>IF(INDEX(Cal_Weeks[MonthYearLabel],23)&lt;&gt;INDEX(Cal_Weeks[MonthYearLabel],22),'Grid_Stock'!W45,W45)+'Grid_Incoming'!X45-'Grid_Requirement'!X45</f>
        <v/>
      </c>
      <c r="Y45">
        <f>IF(INDEX(Cal_Weeks[MonthYearLabel],24)&lt;&gt;INDEX(Cal_Weeks[MonthYearLabel],23),'Grid_Stock'!X45,X45)+'Grid_Incoming'!Y45-'Grid_Requirement'!Y45</f>
        <v/>
      </c>
      <c r="Z45">
        <f>IF(INDEX(Cal_Weeks[MonthYearLabel],25)&lt;&gt;INDEX(Cal_Weeks[MonthYearLabel],24),'Grid_Stock'!Y45,Y45)+'Grid_Incoming'!Z45-'Grid_Requirement'!Z45</f>
        <v/>
      </c>
      <c r="AA45">
        <f>IF(INDEX(Cal_Weeks[MonthYearLabel],26)&lt;&gt;INDEX(Cal_Weeks[MonthYearLabel],25),'Grid_Stock'!Z45,Z45)+'Grid_Incoming'!AA45-'Grid_Requirement'!AA45</f>
        <v/>
      </c>
      <c r="AB45">
        <f>IF(INDEX(Cal_Weeks[MonthYearLabel],27)&lt;&gt;INDEX(Cal_Weeks[MonthYearLabel],26),'Grid_Stock'!AA45,AA45)+'Grid_Incoming'!AB45-'Grid_Requirement'!AB45</f>
        <v/>
      </c>
      <c r="AC45">
        <f>IF(INDEX(Cal_Weeks[MonthYearLabel],28)&lt;&gt;INDEX(Cal_Weeks[MonthYearLabel],27),'Grid_Stock'!AB45,AB45)+'Grid_Incoming'!AC45-'Grid_Requirement'!AC45</f>
        <v/>
      </c>
      <c r="AD45">
        <f>IF(INDEX(Cal_Weeks[MonthYearLabel],29)&lt;&gt;INDEX(Cal_Weeks[MonthYearLabel],28),'Grid_Stock'!AC45,AC45)+'Grid_Incoming'!AD45-'Grid_Requirement'!AD45</f>
        <v/>
      </c>
      <c r="AE45">
        <f>IF(INDEX(Cal_Weeks[MonthYearLabel],30)&lt;&gt;INDEX(Cal_Weeks[MonthYearLabel],29),'Grid_Stock'!AD45,AD45)+'Grid_Incoming'!AE45-'Grid_Requirement'!AE45</f>
        <v/>
      </c>
      <c r="AF45">
        <f>IF(INDEX(Cal_Weeks[MonthYearLabel],31)&lt;&gt;INDEX(Cal_Weeks[MonthYearLabel],30),'Grid_Stock'!AE45,AE45)+'Grid_Incoming'!AF45-'Grid_Requirement'!AF45</f>
        <v/>
      </c>
      <c r="AG45">
        <f>IF(INDEX(Cal_Weeks[MonthYearLabel],32)&lt;&gt;INDEX(Cal_Weeks[MonthYearLabel],31),'Grid_Stock'!AF45,AF45)+'Grid_Incoming'!AG45-'Grid_Requirement'!AG45</f>
        <v/>
      </c>
      <c r="AH45">
        <f>IF(INDEX(Cal_Weeks[MonthYearLabel],33)&lt;&gt;INDEX(Cal_Weeks[MonthYearLabel],32),'Grid_Stock'!AG45,AG45)+'Grid_Incoming'!AH45-'Grid_Requirement'!AH45</f>
        <v/>
      </c>
      <c r="AI45">
        <f>IF(INDEX(Cal_Weeks[MonthYearLabel],34)&lt;&gt;INDEX(Cal_Weeks[MonthYearLabel],33),'Grid_Stock'!AH45,AH45)+'Grid_Incoming'!AI45-'Grid_Requirement'!AI45</f>
        <v/>
      </c>
      <c r="AJ45">
        <f>IF(INDEX(Cal_Weeks[MonthYearLabel],35)&lt;&gt;INDEX(Cal_Weeks[MonthYearLabel],34),'Grid_Stock'!AI45,AI45)+'Grid_Incoming'!AJ45-'Grid_Requirement'!AJ45</f>
        <v/>
      </c>
      <c r="AK45">
        <f>IF(INDEX(Cal_Weeks[MonthYearLabel],36)&lt;&gt;INDEX(Cal_Weeks[MonthYearLabel],35),'Grid_Stock'!AJ45,AJ45)+'Grid_Incoming'!AK45-'Grid_Requirement'!AK45</f>
        <v/>
      </c>
      <c r="AL45">
        <f>IF(INDEX(Cal_Weeks[MonthYearLabel],37)&lt;&gt;INDEX(Cal_Weeks[MonthYearLabel],36),'Grid_Stock'!AK45,AK45)+'Grid_Incoming'!AL45-'Grid_Requirement'!AL45</f>
        <v/>
      </c>
      <c r="AM45">
        <f>IF(INDEX(Cal_Weeks[MonthYearLabel],38)&lt;&gt;INDEX(Cal_Weeks[MonthYearLabel],37),'Grid_Stock'!AL45,AL45)+'Grid_Incoming'!AM45-'Grid_Requirement'!AM45</f>
        <v/>
      </c>
      <c r="AN45">
        <f>IF(INDEX(Cal_Weeks[MonthYearLabel],39)&lt;&gt;INDEX(Cal_Weeks[MonthYearLabel],38),'Grid_Stock'!AM45,AM45)+'Grid_Incoming'!AN45-'Grid_Requirement'!AN45</f>
        <v/>
      </c>
      <c r="AO45">
        <f>IF(INDEX(Cal_Weeks[MonthYearLabel],40)&lt;&gt;INDEX(Cal_Weeks[MonthYearLabel],39),'Grid_Stock'!AN45,AN45)+'Grid_Incoming'!AO45-'Grid_Requirement'!AO45</f>
        <v/>
      </c>
      <c r="AP45">
        <f>IF(INDEX(Cal_Weeks[MonthYearLabel],41)&lt;&gt;INDEX(Cal_Weeks[MonthYearLabel],40),'Grid_Stock'!AO45,AO45)+'Grid_Incoming'!AP45-'Grid_Requirement'!AP45</f>
        <v/>
      </c>
      <c r="AQ45">
        <f>IF(INDEX(Cal_Weeks[MonthYearLabel],42)&lt;&gt;INDEX(Cal_Weeks[MonthYearLabel],41),'Grid_Stock'!AP45,AP45)+'Grid_Incoming'!AQ45-'Grid_Requirement'!AQ45</f>
        <v/>
      </c>
      <c r="AR45">
        <f>IF(INDEX(Cal_Weeks[MonthYearLabel],43)&lt;&gt;INDEX(Cal_Weeks[MonthYearLabel],42),'Grid_Stock'!AQ45,AQ45)+'Grid_Incoming'!AR45-'Grid_Requirement'!AR45</f>
        <v/>
      </c>
      <c r="AS45">
        <f>IF(INDEX(Cal_Weeks[MonthYearLabel],44)&lt;&gt;INDEX(Cal_Weeks[MonthYearLabel],43),'Grid_Stock'!AR45,AR45)+'Grid_Incoming'!AS45-'Grid_Requirement'!AS45</f>
        <v/>
      </c>
      <c r="AT45">
        <f>IF(INDEX(Cal_Weeks[MonthYearLabel],45)&lt;&gt;INDEX(Cal_Weeks[MonthYearLabel],44),'Grid_Stock'!AS45,AS45)+'Grid_Incoming'!AT45-'Grid_Requirement'!AT45</f>
        <v/>
      </c>
      <c r="AU45">
        <f>IF(INDEX(Cal_Weeks[MonthYearLabel],46)&lt;&gt;INDEX(Cal_Weeks[MonthYearLabel],45),'Grid_Stock'!AT45,AT45)+'Grid_Incoming'!AU45-'Grid_Requirement'!AU45</f>
        <v/>
      </c>
      <c r="AV45">
        <f>IF(INDEX(Cal_Weeks[MonthYearLabel],47)&lt;&gt;INDEX(Cal_Weeks[MonthYearLabel],46),'Grid_Stock'!AU45,AU45)+'Grid_Incoming'!AV45-'Grid_Requirement'!AV45</f>
        <v/>
      </c>
      <c r="AW45">
        <f>IF(INDEX(Cal_Weeks[MonthYearLabel],48)&lt;&gt;INDEX(Cal_Weeks[MonthYearLabel],47),'Grid_Stock'!AV45,AV45)+'Grid_Incoming'!AW45-'Grid_Requirement'!AW45</f>
        <v/>
      </c>
      <c r="AX45">
        <f>IF(INDEX(Cal_Weeks[MonthYearLabel],49)&lt;&gt;INDEX(Cal_Weeks[MonthYearLabel],48),'Grid_Stock'!AW45,AW45)+'Grid_Incoming'!AX45-'Grid_Requirement'!AX45</f>
        <v/>
      </c>
      <c r="AY45">
        <f>IF(INDEX(Cal_Weeks[MonthYearLabel],50)&lt;&gt;INDEX(Cal_Weeks[MonthYearLabel],49),'Grid_Stock'!AX45,AX45)+'Grid_Incoming'!AY45-'Grid_Requirement'!AY45</f>
        <v/>
      </c>
      <c r="AZ45">
        <f>IF(INDEX(Cal_Weeks[MonthYearLabel],51)&lt;&gt;INDEX(Cal_Weeks[MonthYearLabel],50),'Grid_Stock'!AY45,AY45)+'Grid_Incoming'!AZ45-'Grid_Requirement'!AZ45</f>
        <v/>
      </c>
      <c r="BA45">
        <f>IF(INDEX(Cal_Weeks[MonthYearLabel],52)&lt;&gt;INDEX(Cal_Weeks[MonthYearLabel],51),'Grid_Stock'!AZ45,AZ45)+'Grid_Incoming'!BA45-'Grid_Requirement'!BA45</f>
        <v/>
      </c>
      <c r="BB45">
        <f>IF(INDEX(Cal_Weeks[MonthYearLabel],53)&lt;&gt;INDEX(Cal_Weeks[MonthYearLabel],52),'Grid_Stock'!BA45,BA45)+'Grid_Incoming'!BB45-'Grid_Requirement'!BB45</f>
        <v/>
      </c>
      <c r="BC45">
        <f>IF(INDEX(Cal_Weeks[MonthYearLabel],54)&lt;&gt;INDEX(Cal_Weeks[MonthYearLabel],53),'Grid_Stock'!BB45,BB45)+'Grid_Incoming'!BC45-'Grid_Requirement'!BC45</f>
        <v/>
      </c>
      <c r="BD45">
        <f>IF(INDEX(Cal_Weeks[MonthYearLabel],55)&lt;&gt;INDEX(Cal_Weeks[MonthYearLabel],54),'Grid_Stock'!BC45,BC45)+'Grid_Incoming'!BD45-'Grid_Requirement'!BD45</f>
        <v/>
      </c>
      <c r="BE45">
        <f>IF(INDEX(Cal_Weeks[MonthYearLabel],56)&lt;&gt;INDEX(Cal_Weeks[MonthYearLabel],55),'Grid_Stock'!BD45,BD45)+'Grid_Incoming'!BE45-'Grid_Requirement'!BE45</f>
        <v/>
      </c>
      <c r="BF45">
        <f>IF(INDEX(Cal_Weeks[MonthYearLabel],57)&lt;&gt;INDEX(Cal_Weeks[MonthYearLabel],56),'Grid_Stock'!BE45,BE45)+'Grid_Incoming'!BF45-'Grid_Requirement'!BF45</f>
        <v/>
      </c>
      <c r="BG45">
        <f>IF(INDEX(Cal_Weeks[MonthYearLabel],58)&lt;&gt;INDEX(Cal_Weeks[MonthYearLabel],57),'Grid_Stock'!BF45,BF45)+'Grid_Incoming'!BG45-'Grid_Requirement'!BG45</f>
        <v/>
      </c>
      <c r="BH45">
        <f>IF(INDEX(Cal_Weeks[MonthYearLabel],59)&lt;&gt;INDEX(Cal_Weeks[MonthYearLabel],58),'Grid_Stock'!BG45,BG45)+'Grid_Incoming'!BH45-'Grid_Requirement'!BH45</f>
        <v/>
      </c>
      <c r="BI45">
        <f>IF(INDEX(Cal_Weeks[MonthYearLabel],60)&lt;&gt;INDEX(Cal_Weeks[MonthYearLabel],59),'Grid_Stock'!BH45,BH45)+'Grid_Incoming'!BI45-'Grid_Requirement'!BI45</f>
        <v/>
      </c>
      <c r="BJ45">
        <f>IF(INDEX(Cal_Weeks[MonthYearLabel],61)&lt;&gt;INDEX(Cal_Weeks[MonthYearLabel],60),'Grid_Stock'!BI45,BI45)+'Grid_Incoming'!BJ45-'Grid_Requirement'!BJ45</f>
        <v/>
      </c>
      <c r="BK45">
        <f>IF(INDEX(Cal_Weeks[MonthYearLabel],62)&lt;&gt;INDEX(Cal_Weeks[MonthYearLabel],61),'Grid_Stock'!BJ45,BJ45)+'Grid_Incoming'!BK45-'Grid_Requirement'!BK45</f>
        <v/>
      </c>
      <c r="BL45">
        <f>IF(INDEX(Cal_Weeks[MonthYearLabel],63)&lt;&gt;INDEX(Cal_Weeks[MonthYearLabel],62),'Grid_Stock'!BK45,BK45)+'Grid_Incoming'!BL45-'Grid_Requirement'!BL45</f>
        <v/>
      </c>
      <c r="BM45">
        <f>IF(INDEX(Cal_Weeks[MonthYearLabel],64)&lt;&gt;INDEX(Cal_Weeks[MonthYearLabel],63),'Grid_Stock'!BL45,BL45)+'Grid_Incoming'!BM45-'Grid_Requirement'!BM45</f>
        <v/>
      </c>
      <c r="BN45">
        <f>IF(INDEX(Cal_Weeks[MonthYearLabel],65)&lt;&gt;INDEX(Cal_Weeks[MonthYearLabel],64),'Grid_Stock'!BM45,BM45)+'Grid_Incoming'!BN45-'Grid_Requirement'!BN45</f>
        <v/>
      </c>
      <c r="BO45">
        <f>IF(INDEX(Cal_Weeks[MonthYearLabel],66)&lt;&gt;INDEX(Cal_Weeks[MonthYearLabel],65),'Grid_Stock'!BN45,BN45)+'Grid_Incoming'!BO45-'Grid_Requirement'!BO45</f>
        <v/>
      </c>
      <c r="BP45">
        <f>IF(INDEX(Cal_Weeks[MonthYearLabel],67)&lt;&gt;INDEX(Cal_Weeks[MonthYearLabel],66),'Grid_Stock'!BO45,BO45)+'Grid_Incoming'!BP45-'Grid_Requirement'!BP45</f>
        <v/>
      </c>
      <c r="BQ45">
        <f>IF(INDEX(Cal_Weeks[MonthYearLabel],68)&lt;&gt;INDEX(Cal_Weeks[MonthYearLabel],67),'Grid_Stock'!BP45,BP45)+'Grid_Incoming'!BQ45-'Grid_Requirement'!BQ45</f>
        <v/>
      </c>
      <c r="BR45">
        <f>IF(INDEX(Cal_Weeks[MonthYearLabel],69)&lt;&gt;INDEX(Cal_Weeks[MonthYearLabel],68),'Grid_Stock'!BQ45,BQ45)+'Grid_Incoming'!BR45-'Grid_Requirement'!BR45</f>
        <v/>
      </c>
      <c r="BS45">
        <f>IF(INDEX(Cal_Weeks[MonthYearLabel],70)&lt;&gt;INDEX(Cal_Weeks[MonthYearLabel],69),'Grid_Stock'!BR45,BR45)+'Grid_Incoming'!BS45-'Grid_Requirement'!BS45</f>
        <v/>
      </c>
      <c r="BT45">
        <f>IF(INDEX(Cal_Weeks[MonthYearLabel],71)&lt;&gt;INDEX(Cal_Weeks[MonthYearLabel],70),'Grid_Stock'!BS45,BS45)+'Grid_Incoming'!BT45-'Grid_Requirement'!BT45</f>
        <v/>
      </c>
      <c r="BU45">
        <f>IF(INDEX(Cal_Weeks[MonthYearLabel],72)&lt;&gt;INDEX(Cal_Weeks[MonthYearLabel],71),'Grid_Stock'!BT45,BT45)+'Grid_Incoming'!BU45-'Grid_Requirement'!BU45</f>
        <v/>
      </c>
      <c r="BV45">
        <f>IF(INDEX(Cal_Weeks[MonthYearLabel],73)&lt;&gt;INDEX(Cal_Weeks[MonthYearLabel],72),'Grid_Stock'!BU45,BU45)+'Grid_Incoming'!BV45-'Grid_Requirement'!BV45</f>
        <v/>
      </c>
      <c r="BW45">
        <f>IF(INDEX(Cal_Weeks[MonthYearLabel],74)&lt;&gt;INDEX(Cal_Weeks[MonthYearLabel],73),'Grid_Stock'!BV45,BV45)+'Grid_Incoming'!BW45-'Grid_Requirement'!BW45</f>
        <v/>
      </c>
      <c r="BX45">
        <f>IF(INDEX(Cal_Weeks[MonthYearLabel],75)&lt;&gt;INDEX(Cal_Weeks[MonthYearLabel],74),'Grid_Stock'!BW45,BW45)+'Grid_Incoming'!BX45-'Grid_Requirement'!BX45</f>
        <v/>
      </c>
      <c r="BY45">
        <f>IF(INDEX(Cal_Weeks[MonthYearLabel],76)&lt;&gt;INDEX(Cal_Weeks[MonthYearLabel],75),'Grid_Stock'!BX45,BX45)+'Grid_Incoming'!BY45-'Grid_Requirement'!BY45</f>
        <v/>
      </c>
      <c r="BZ45">
        <f>IF(INDEX(Cal_Weeks[MonthYearLabel],77)&lt;&gt;INDEX(Cal_Weeks[MonthYearLabel],76),'Grid_Stock'!BY45,BY45)+'Grid_Incoming'!BZ45-'Grid_Requirement'!BZ45</f>
        <v/>
      </c>
      <c r="CA45">
        <f>IF(INDEX(Cal_Weeks[MonthYearLabel],78)&lt;&gt;INDEX(Cal_Weeks[MonthYearLabel],77),'Grid_Stock'!BZ45,BZ45)+'Grid_Incoming'!CA45-'Grid_Requirement'!CA45</f>
        <v/>
      </c>
      <c r="CB45">
        <f>IF(INDEX(Cal_Weeks[MonthYearLabel],79)&lt;&gt;INDEX(Cal_Weeks[MonthYearLabel],78),'Grid_Stock'!CA45,CA45)+'Grid_Incoming'!CB45-'Grid_Requirement'!CB45</f>
        <v/>
      </c>
      <c r="CC45">
        <f>IF(INDEX(Cal_Weeks[MonthYearLabel],80)&lt;&gt;INDEX(Cal_Weeks[MonthYearLabel],79),'Grid_Stock'!CB45,CB45)+'Grid_Incoming'!CC45-'Grid_Requirement'!CC45</f>
        <v/>
      </c>
      <c r="CD45">
        <f>IF(INDEX(Cal_Weeks[MonthYearLabel],81)&lt;&gt;INDEX(Cal_Weeks[MonthYearLabel],80),'Grid_Stock'!CC45,CC45)+'Grid_Incoming'!CD45-'Grid_Requirement'!CD45</f>
        <v/>
      </c>
      <c r="CE45">
        <f>IF(INDEX(Cal_Weeks[MonthYearLabel],82)&lt;&gt;INDEX(Cal_Weeks[MonthYearLabel],81),'Grid_Stock'!CD45,CD45)+'Grid_Incoming'!CE45-'Grid_Requirement'!CE45</f>
        <v/>
      </c>
      <c r="CF45">
        <f>IF(INDEX(Cal_Weeks[MonthYearLabel],83)&lt;&gt;INDEX(Cal_Weeks[MonthYearLabel],82),'Grid_Stock'!CE45,CE45)+'Grid_Incoming'!CF45-'Grid_Requirement'!CF45</f>
        <v/>
      </c>
      <c r="CG45">
        <f>IF(INDEX(Cal_Weeks[MonthYearLabel],84)&lt;&gt;INDEX(Cal_Weeks[MonthYearLabel],83),'Grid_Stock'!CF45,CF45)+'Grid_Incoming'!CG45-'Grid_Requirement'!CG45</f>
        <v/>
      </c>
      <c r="CH45">
        <f>IF(INDEX(Cal_Weeks[MonthYearLabel],85)&lt;&gt;INDEX(Cal_Weeks[MonthYearLabel],84),'Grid_Stock'!CG45,CG45)+'Grid_Incoming'!CH45-'Grid_Requirement'!CH45</f>
        <v/>
      </c>
      <c r="CI45">
        <f>IF(INDEX(Cal_Weeks[MonthYearLabel],86)&lt;&gt;INDEX(Cal_Weeks[MonthYearLabel],85),'Grid_Stock'!CH45,CH45)+'Grid_Incoming'!CI45-'Grid_Requirement'!CI45</f>
        <v/>
      </c>
      <c r="CJ45">
        <f>IF(INDEX(Cal_Weeks[MonthYearLabel],87)&lt;&gt;INDEX(Cal_Weeks[MonthYearLabel],86),'Grid_Stock'!CI45,CI45)+'Grid_Incoming'!CJ45-'Grid_Requirement'!CJ45</f>
        <v/>
      </c>
      <c r="CK45">
        <f>IF(INDEX(Cal_Weeks[MonthYearLabel],88)&lt;&gt;INDEX(Cal_Weeks[MonthYearLabel],87),'Grid_Stock'!CJ45,CJ45)+'Grid_Incoming'!CK45-'Grid_Requirement'!CK45</f>
        <v/>
      </c>
      <c r="CL45">
        <f>IF(INDEX(Cal_Weeks[MonthYearLabel],89)&lt;&gt;INDEX(Cal_Weeks[MonthYearLabel],88),'Grid_Stock'!CK45,CK45)+'Grid_Incoming'!CL45-'Grid_Requirement'!CL45</f>
        <v/>
      </c>
      <c r="CM45">
        <f>IF(INDEX(Cal_Weeks[MonthYearLabel],90)&lt;&gt;INDEX(Cal_Weeks[MonthYearLabel],89),'Grid_Stock'!CL45,CL45)+'Grid_Incoming'!CM45-'Grid_Requirement'!CM45</f>
        <v/>
      </c>
      <c r="CN45">
        <f>IF(INDEX(Cal_Weeks[MonthYearLabel],91)&lt;&gt;INDEX(Cal_Weeks[MonthYearLabel],90),'Grid_Stock'!CM45,CM45)+'Grid_Incoming'!CN45-'Grid_Requirement'!CN45</f>
        <v/>
      </c>
      <c r="CO45">
        <f>IF(INDEX(Cal_Weeks[MonthYearLabel],92)&lt;&gt;INDEX(Cal_Weeks[MonthYearLabel],91),'Grid_Stock'!CN45,CN45)+'Grid_Incoming'!CO45-'Grid_Requirement'!CO45</f>
        <v/>
      </c>
      <c r="CP45">
        <f>IF(INDEX(Cal_Weeks[MonthYearLabel],93)&lt;&gt;INDEX(Cal_Weeks[MonthYearLabel],92),'Grid_Stock'!CO45,CO45)+'Grid_Incoming'!CP45-'Grid_Requirement'!CP45</f>
        <v/>
      </c>
      <c r="CQ45">
        <f>IF(INDEX(Cal_Weeks[MonthYearLabel],94)&lt;&gt;INDEX(Cal_Weeks[MonthYearLabel],93),'Grid_Stock'!CP45,CP45)+'Grid_Incoming'!CQ45-'Grid_Requirement'!CQ45</f>
        <v/>
      </c>
      <c r="CR45">
        <f>IF(INDEX(Cal_Weeks[MonthYearLabel],95)&lt;&gt;INDEX(Cal_Weeks[MonthYearLabel],94),'Grid_Stock'!CQ45,CQ45)+'Grid_Incoming'!CR45-'Grid_Requirement'!CR45</f>
        <v/>
      </c>
      <c r="CS45">
        <f>IF(INDEX(Cal_Weeks[MonthYearLabel],96)&lt;&gt;INDEX(Cal_Weeks[MonthYearLabel],95),'Grid_Stock'!CR45,CR45)+'Grid_Incoming'!CS45-'Grid_Requirement'!CS45</f>
        <v/>
      </c>
      <c r="CT45">
        <f>IF(INDEX(Cal_Weeks[MonthYearLabel],97)&lt;&gt;INDEX(Cal_Weeks[MonthYearLabel],96),'Grid_Stock'!CS45,CS45)+'Grid_Incoming'!CT45-'Grid_Requirement'!CT45</f>
        <v/>
      </c>
      <c r="CU45">
        <f>IF(INDEX(Cal_Weeks[MonthYearLabel],98)&lt;&gt;INDEX(Cal_Weeks[MonthYearLabel],97),'Grid_Stock'!CT45,CT45)+'Grid_Incoming'!CU45-'Grid_Requirement'!CU45</f>
        <v/>
      </c>
      <c r="CV45">
        <f>IF(INDEX(Cal_Weeks[MonthYearLabel],99)&lt;&gt;INDEX(Cal_Weeks[MonthYearLabel],98),'Grid_Stock'!CU45,CU45)+'Grid_Incoming'!CV45-'Grid_Requirement'!CV45</f>
        <v/>
      </c>
      <c r="CW45">
        <f>IF(INDEX(Cal_Weeks[MonthYearLabel],100)&lt;&gt;INDEX(Cal_Weeks[MonthYearLabel],99),'Grid_Stock'!CV45,CV45)+'Grid_Incoming'!CW45-'Grid_Requirement'!CW45</f>
        <v/>
      </c>
      <c r="CX45">
        <f>IF(INDEX(Cal_Weeks[MonthYearLabel],101)&lt;&gt;INDEX(Cal_Weeks[MonthYearLabel],100),'Grid_Stock'!CW45,CW45)+'Grid_Incoming'!CX45-'Grid_Requirement'!CX45</f>
        <v/>
      </c>
      <c r="CY45">
        <f>IF(INDEX(Cal_Weeks[MonthYearLabel],102)&lt;&gt;INDEX(Cal_Weeks[MonthYearLabel],101),'Grid_Stock'!CX45,CX45)+'Grid_Incoming'!CY45-'Grid_Requirement'!CY45</f>
        <v/>
      </c>
      <c r="CZ45">
        <f>IF(INDEX(Cal_Weeks[MonthYearLabel],103)&lt;&gt;INDEX(Cal_Weeks[MonthYearLabel],102),'Grid_Stock'!CY45,CY45)+'Grid_Incoming'!CZ45-'Grid_Requirement'!CZ45</f>
        <v/>
      </c>
      <c r="DA45">
        <f>IF(INDEX(Cal_Weeks[MonthYearLabel],104)&lt;&gt;INDEX(Cal_Weeks[MonthYearLabel],103),'Grid_Stock'!CZ45,CZ45)+'Grid_Incoming'!DA45-'Grid_Requirement'!DA45</f>
        <v/>
      </c>
    </row>
    <row r="46">
      <c r="A46" t="inlineStr">
        <is>
          <t>CHEM-1770</t>
        </is>
      </c>
      <c r="B46">
        <f>IFERROR(INDEX(T_OpeningStock[Opening_Qty_要入力],MATCH($A46,T_OpeningStock[Part Name],0)),0)+'Grid_Incoming'!B46-'Grid_Requirement'!B46</f>
        <v/>
      </c>
      <c r="C46">
        <f>IF(INDEX(Cal_Weeks[MonthYearLabel],2)&lt;&gt;INDEX(Cal_Weeks[MonthYearLabel],1),'Grid_Stock'!B46,B46)+'Grid_Incoming'!C46-'Grid_Requirement'!C46</f>
        <v/>
      </c>
      <c r="D46">
        <f>IF(INDEX(Cal_Weeks[MonthYearLabel],3)&lt;&gt;INDEX(Cal_Weeks[MonthYearLabel],2),'Grid_Stock'!C46,C46)+'Grid_Incoming'!D46-'Grid_Requirement'!D46</f>
        <v/>
      </c>
      <c r="E46">
        <f>IF(INDEX(Cal_Weeks[MonthYearLabel],4)&lt;&gt;INDEX(Cal_Weeks[MonthYearLabel],3),'Grid_Stock'!D46,D46)+'Grid_Incoming'!E46-'Grid_Requirement'!E46</f>
        <v/>
      </c>
      <c r="F46">
        <f>IF(INDEX(Cal_Weeks[MonthYearLabel],5)&lt;&gt;INDEX(Cal_Weeks[MonthYearLabel],4),'Grid_Stock'!E46,E46)+'Grid_Incoming'!F46-'Grid_Requirement'!F46</f>
        <v/>
      </c>
      <c r="G46">
        <f>IF(INDEX(Cal_Weeks[MonthYearLabel],6)&lt;&gt;INDEX(Cal_Weeks[MonthYearLabel],5),'Grid_Stock'!F46,F46)+'Grid_Incoming'!G46-'Grid_Requirement'!G46</f>
        <v/>
      </c>
      <c r="H46">
        <f>IF(INDEX(Cal_Weeks[MonthYearLabel],7)&lt;&gt;INDEX(Cal_Weeks[MonthYearLabel],6),'Grid_Stock'!G46,G46)+'Grid_Incoming'!H46-'Grid_Requirement'!H46</f>
        <v/>
      </c>
      <c r="I46">
        <f>IF(INDEX(Cal_Weeks[MonthYearLabel],8)&lt;&gt;INDEX(Cal_Weeks[MonthYearLabel],7),'Grid_Stock'!H46,H46)+'Grid_Incoming'!I46-'Grid_Requirement'!I46</f>
        <v/>
      </c>
      <c r="J46">
        <f>IF(INDEX(Cal_Weeks[MonthYearLabel],9)&lt;&gt;INDEX(Cal_Weeks[MonthYearLabel],8),'Grid_Stock'!I46,I46)+'Grid_Incoming'!J46-'Grid_Requirement'!J46</f>
        <v/>
      </c>
      <c r="K46">
        <f>IF(INDEX(Cal_Weeks[MonthYearLabel],10)&lt;&gt;INDEX(Cal_Weeks[MonthYearLabel],9),'Grid_Stock'!J46,J46)+'Grid_Incoming'!K46-'Grid_Requirement'!K46</f>
        <v/>
      </c>
      <c r="L46">
        <f>IF(INDEX(Cal_Weeks[MonthYearLabel],11)&lt;&gt;INDEX(Cal_Weeks[MonthYearLabel],10),'Grid_Stock'!K46,K46)+'Grid_Incoming'!L46-'Grid_Requirement'!L46</f>
        <v/>
      </c>
      <c r="M46">
        <f>IF(INDEX(Cal_Weeks[MonthYearLabel],12)&lt;&gt;INDEX(Cal_Weeks[MonthYearLabel],11),'Grid_Stock'!L46,L46)+'Grid_Incoming'!M46-'Grid_Requirement'!M46</f>
        <v/>
      </c>
      <c r="N46">
        <f>IF(INDEX(Cal_Weeks[MonthYearLabel],13)&lt;&gt;INDEX(Cal_Weeks[MonthYearLabel],12),'Grid_Stock'!M46,M46)+'Grid_Incoming'!N46-'Grid_Requirement'!N46</f>
        <v/>
      </c>
      <c r="O46">
        <f>IF(INDEX(Cal_Weeks[MonthYearLabel],14)&lt;&gt;INDEX(Cal_Weeks[MonthYearLabel],13),'Grid_Stock'!N46,N46)+'Grid_Incoming'!O46-'Grid_Requirement'!O46</f>
        <v/>
      </c>
      <c r="P46">
        <f>IF(INDEX(Cal_Weeks[MonthYearLabel],15)&lt;&gt;INDEX(Cal_Weeks[MonthYearLabel],14),'Grid_Stock'!O46,O46)+'Grid_Incoming'!P46-'Grid_Requirement'!P46</f>
        <v/>
      </c>
      <c r="Q46">
        <f>IF(INDEX(Cal_Weeks[MonthYearLabel],16)&lt;&gt;INDEX(Cal_Weeks[MonthYearLabel],15),'Grid_Stock'!P46,P46)+'Grid_Incoming'!Q46-'Grid_Requirement'!Q46</f>
        <v/>
      </c>
      <c r="R46">
        <f>IF(INDEX(Cal_Weeks[MonthYearLabel],17)&lt;&gt;INDEX(Cal_Weeks[MonthYearLabel],16),'Grid_Stock'!Q46,Q46)+'Grid_Incoming'!R46-'Grid_Requirement'!R46</f>
        <v/>
      </c>
      <c r="S46">
        <f>IF(INDEX(Cal_Weeks[MonthYearLabel],18)&lt;&gt;INDEX(Cal_Weeks[MonthYearLabel],17),'Grid_Stock'!R46,R46)+'Grid_Incoming'!S46-'Grid_Requirement'!S46</f>
        <v/>
      </c>
      <c r="T46">
        <f>IF(INDEX(Cal_Weeks[MonthYearLabel],19)&lt;&gt;INDEX(Cal_Weeks[MonthYearLabel],18),'Grid_Stock'!S46,S46)+'Grid_Incoming'!T46-'Grid_Requirement'!T46</f>
        <v/>
      </c>
      <c r="U46">
        <f>IF(INDEX(Cal_Weeks[MonthYearLabel],20)&lt;&gt;INDEX(Cal_Weeks[MonthYearLabel],19),'Grid_Stock'!T46,T46)+'Grid_Incoming'!U46-'Grid_Requirement'!U46</f>
        <v/>
      </c>
      <c r="V46">
        <f>IF(INDEX(Cal_Weeks[MonthYearLabel],21)&lt;&gt;INDEX(Cal_Weeks[MonthYearLabel],20),'Grid_Stock'!U46,U46)+'Grid_Incoming'!V46-'Grid_Requirement'!V46</f>
        <v/>
      </c>
      <c r="W46">
        <f>IF(INDEX(Cal_Weeks[MonthYearLabel],22)&lt;&gt;INDEX(Cal_Weeks[MonthYearLabel],21),'Grid_Stock'!V46,V46)+'Grid_Incoming'!W46-'Grid_Requirement'!W46</f>
        <v/>
      </c>
      <c r="X46">
        <f>IF(INDEX(Cal_Weeks[MonthYearLabel],23)&lt;&gt;INDEX(Cal_Weeks[MonthYearLabel],22),'Grid_Stock'!W46,W46)+'Grid_Incoming'!X46-'Grid_Requirement'!X46</f>
        <v/>
      </c>
      <c r="Y46">
        <f>IF(INDEX(Cal_Weeks[MonthYearLabel],24)&lt;&gt;INDEX(Cal_Weeks[MonthYearLabel],23),'Grid_Stock'!X46,X46)+'Grid_Incoming'!Y46-'Grid_Requirement'!Y46</f>
        <v/>
      </c>
      <c r="Z46">
        <f>IF(INDEX(Cal_Weeks[MonthYearLabel],25)&lt;&gt;INDEX(Cal_Weeks[MonthYearLabel],24),'Grid_Stock'!Y46,Y46)+'Grid_Incoming'!Z46-'Grid_Requirement'!Z46</f>
        <v/>
      </c>
      <c r="AA46">
        <f>IF(INDEX(Cal_Weeks[MonthYearLabel],26)&lt;&gt;INDEX(Cal_Weeks[MonthYearLabel],25),'Grid_Stock'!Z46,Z46)+'Grid_Incoming'!AA46-'Grid_Requirement'!AA46</f>
        <v/>
      </c>
      <c r="AB46">
        <f>IF(INDEX(Cal_Weeks[MonthYearLabel],27)&lt;&gt;INDEX(Cal_Weeks[MonthYearLabel],26),'Grid_Stock'!AA46,AA46)+'Grid_Incoming'!AB46-'Grid_Requirement'!AB46</f>
        <v/>
      </c>
      <c r="AC46">
        <f>IF(INDEX(Cal_Weeks[MonthYearLabel],28)&lt;&gt;INDEX(Cal_Weeks[MonthYearLabel],27),'Grid_Stock'!AB46,AB46)+'Grid_Incoming'!AC46-'Grid_Requirement'!AC46</f>
        <v/>
      </c>
      <c r="AD46">
        <f>IF(INDEX(Cal_Weeks[MonthYearLabel],29)&lt;&gt;INDEX(Cal_Weeks[MonthYearLabel],28),'Grid_Stock'!AC46,AC46)+'Grid_Incoming'!AD46-'Grid_Requirement'!AD46</f>
        <v/>
      </c>
      <c r="AE46">
        <f>IF(INDEX(Cal_Weeks[MonthYearLabel],30)&lt;&gt;INDEX(Cal_Weeks[MonthYearLabel],29),'Grid_Stock'!AD46,AD46)+'Grid_Incoming'!AE46-'Grid_Requirement'!AE46</f>
        <v/>
      </c>
      <c r="AF46">
        <f>IF(INDEX(Cal_Weeks[MonthYearLabel],31)&lt;&gt;INDEX(Cal_Weeks[MonthYearLabel],30),'Grid_Stock'!AE46,AE46)+'Grid_Incoming'!AF46-'Grid_Requirement'!AF46</f>
        <v/>
      </c>
      <c r="AG46">
        <f>IF(INDEX(Cal_Weeks[MonthYearLabel],32)&lt;&gt;INDEX(Cal_Weeks[MonthYearLabel],31),'Grid_Stock'!AF46,AF46)+'Grid_Incoming'!AG46-'Grid_Requirement'!AG46</f>
        <v/>
      </c>
      <c r="AH46">
        <f>IF(INDEX(Cal_Weeks[MonthYearLabel],33)&lt;&gt;INDEX(Cal_Weeks[MonthYearLabel],32),'Grid_Stock'!AG46,AG46)+'Grid_Incoming'!AH46-'Grid_Requirement'!AH46</f>
        <v/>
      </c>
      <c r="AI46">
        <f>IF(INDEX(Cal_Weeks[MonthYearLabel],34)&lt;&gt;INDEX(Cal_Weeks[MonthYearLabel],33),'Grid_Stock'!AH46,AH46)+'Grid_Incoming'!AI46-'Grid_Requirement'!AI46</f>
        <v/>
      </c>
      <c r="AJ46">
        <f>IF(INDEX(Cal_Weeks[MonthYearLabel],35)&lt;&gt;INDEX(Cal_Weeks[MonthYearLabel],34),'Grid_Stock'!AI46,AI46)+'Grid_Incoming'!AJ46-'Grid_Requirement'!AJ46</f>
        <v/>
      </c>
      <c r="AK46">
        <f>IF(INDEX(Cal_Weeks[MonthYearLabel],36)&lt;&gt;INDEX(Cal_Weeks[MonthYearLabel],35),'Grid_Stock'!AJ46,AJ46)+'Grid_Incoming'!AK46-'Grid_Requirement'!AK46</f>
        <v/>
      </c>
      <c r="AL46">
        <f>IF(INDEX(Cal_Weeks[MonthYearLabel],37)&lt;&gt;INDEX(Cal_Weeks[MonthYearLabel],36),'Grid_Stock'!AK46,AK46)+'Grid_Incoming'!AL46-'Grid_Requirement'!AL46</f>
        <v/>
      </c>
      <c r="AM46">
        <f>IF(INDEX(Cal_Weeks[MonthYearLabel],38)&lt;&gt;INDEX(Cal_Weeks[MonthYearLabel],37),'Grid_Stock'!AL46,AL46)+'Grid_Incoming'!AM46-'Grid_Requirement'!AM46</f>
        <v/>
      </c>
      <c r="AN46">
        <f>IF(INDEX(Cal_Weeks[MonthYearLabel],39)&lt;&gt;INDEX(Cal_Weeks[MonthYearLabel],38),'Grid_Stock'!AM46,AM46)+'Grid_Incoming'!AN46-'Grid_Requirement'!AN46</f>
        <v/>
      </c>
      <c r="AO46">
        <f>IF(INDEX(Cal_Weeks[MonthYearLabel],40)&lt;&gt;INDEX(Cal_Weeks[MonthYearLabel],39),'Grid_Stock'!AN46,AN46)+'Grid_Incoming'!AO46-'Grid_Requirement'!AO46</f>
        <v/>
      </c>
      <c r="AP46">
        <f>IF(INDEX(Cal_Weeks[MonthYearLabel],41)&lt;&gt;INDEX(Cal_Weeks[MonthYearLabel],40),'Grid_Stock'!AO46,AO46)+'Grid_Incoming'!AP46-'Grid_Requirement'!AP46</f>
        <v/>
      </c>
      <c r="AQ46">
        <f>IF(INDEX(Cal_Weeks[MonthYearLabel],42)&lt;&gt;INDEX(Cal_Weeks[MonthYearLabel],41),'Grid_Stock'!AP46,AP46)+'Grid_Incoming'!AQ46-'Grid_Requirement'!AQ46</f>
        <v/>
      </c>
      <c r="AR46">
        <f>IF(INDEX(Cal_Weeks[MonthYearLabel],43)&lt;&gt;INDEX(Cal_Weeks[MonthYearLabel],42),'Grid_Stock'!AQ46,AQ46)+'Grid_Incoming'!AR46-'Grid_Requirement'!AR46</f>
        <v/>
      </c>
      <c r="AS46">
        <f>IF(INDEX(Cal_Weeks[MonthYearLabel],44)&lt;&gt;INDEX(Cal_Weeks[MonthYearLabel],43),'Grid_Stock'!AR46,AR46)+'Grid_Incoming'!AS46-'Grid_Requirement'!AS46</f>
        <v/>
      </c>
      <c r="AT46">
        <f>IF(INDEX(Cal_Weeks[MonthYearLabel],45)&lt;&gt;INDEX(Cal_Weeks[MonthYearLabel],44),'Grid_Stock'!AS46,AS46)+'Grid_Incoming'!AT46-'Grid_Requirement'!AT46</f>
        <v/>
      </c>
      <c r="AU46">
        <f>IF(INDEX(Cal_Weeks[MonthYearLabel],46)&lt;&gt;INDEX(Cal_Weeks[MonthYearLabel],45),'Grid_Stock'!AT46,AT46)+'Grid_Incoming'!AU46-'Grid_Requirement'!AU46</f>
        <v/>
      </c>
      <c r="AV46">
        <f>IF(INDEX(Cal_Weeks[MonthYearLabel],47)&lt;&gt;INDEX(Cal_Weeks[MonthYearLabel],46),'Grid_Stock'!AU46,AU46)+'Grid_Incoming'!AV46-'Grid_Requirement'!AV46</f>
        <v/>
      </c>
      <c r="AW46">
        <f>IF(INDEX(Cal_Weeks[MonthYearLabel],48)&lt;&gt;INDEX(Cal_Weeks[MonthYearLabel],47),'Grid_Stock'!AV46,AV46)+'Grid_Incoming'!AW46-'Grid_Requirement'!AW46</f>
        <v/>
      </c>
      <c r="AX46">
        <f>IF(INDEX(Cal_Weeks[MonthYearLabel],49)&lt;&gt;INDEX(Cal_Weeks[MonthYearLabel],48),'Grid_Stock'!AW46,AW46)+'Grid_Incoming'!AX46-'Grid_Requirement'!AX46</f>
        <v/>
      </c>
      <c r="AY46">
        <f>IF(INDEX(Cal_Weeks[MonthYearLabel],50)&lt;&gt;INDEX(Cal_Weeks[MonthYearLabel],49),'Grid_Stock'!AX46,AX46)+'Grid_Incoming'!AY46-'Grid_Requirement'!AY46</f>
        <v/>
      </c>
      <c r="AZ46">
        <f>IF(INDEX(Cal_Weeks[MonthYearLabel],51)&lt;&gt;INDEX(Cal_Weeks[MonthYearLabel],50),'Grid_Stock'!AY46,AY46)+'Grid_Incoming'!AZ46-'Grid_Requirement'!AZ46</f>
        <v/>
      </c>
      <c r="BA46">
        <f>IF(INDEX(Cal_Weeks[MonthYearLabel],52)&lt;&gt;INDEX(Cal_Weeks[MonthYearLabel],51),'Grid_Stock'!AZ46,AZ46)+'Grid_Incoming'!BA46-'Grid_Requirement'!BA46</f>
        <v/>
      </c>
      <c r="BB46">
        <f>IF(INDEX(Cal_Weeks[MonthYearLabel],53)&lt;&gt;INDEX(Cal_Weeks[MonthYearLabel],52),'Grid_Stock'!BA46,BA46)+'Grid_Incoming'!BB46-'Grid_Requirement'!BB46</f>
        <v/>
      </c>
      <c r="BC46">
        <f>IF(INDEX(Cal_Weeks[MonthYearLabel],54)&lt;&gt;INDEX(Cal_Weeks[MonthYearLabel],53),'Grid_Stock'!BB46,BB46)+'Grid_Incoming'!BC46-'Grid_Requirement'!BC46</f>
        <v/>
      </c>
      <c r="BD46">
        <f>IF(INDEX(Cal_Weeks[MonthYearLabel],55)&lt;&gt;INDEX(Cal_Weeks[MonthYearLabel],54),'Grid_Stock'!BC46,BC46)+'Grid_Incoming'!BD46-'Grid_Requirement'!BD46</f>
        <v/>
      </c>
      <c r="BE46">
        <f>IF(INDEX(Cal_Weeks[MonthYearLabel],56)&lt;&gt;INDEX(Cal_Weeks[MonthYearLabel],55),'Grid_Stock'!BD46,BD46)+'Grid_Incoming'!BE46-'Grid_Requirement'!BE46</f>
        <v/>
      </c>
      <c r="BF46">
        <f>IF(INDEX(Cal_Weeks[MonthYearLabel],57)&lt;&gt;INDEX(Cal_Weeks[MonthYearLabel],56),'Grid_Stock'!BE46,BE46)+'Grid_Incoming'!BF46-'Grid_Requirement'!BF46</f>
        <v/>
      </c>
      <c r="BG46">
        <f>IF(INDEX(Cal_Weeks[MonthYearLabel],58)&lt;&gt;INDEX(Cal_Weeks[MonthYearLabel],57),'Grid_Stock'!BF46,BF46)+'Grid_Incoming'!BG46-'Grid_Requirement'!BG46</f>
        <v/>
      </c>
      <c r="BH46">
        <f>IF(INDEX(Cal_Weeks[MonthYearLabel],59)&lt;&gt;INDEX(Cal_Weeks[MonthYearLabel],58),'Grid_Stock'!BG46,BG46)+'Grid_Incoming'!BH46-'Grid_Requirement'!BH46</f>
        <v/>
      </c>
      <c r="BI46">
        <f>IF(INDEX(Cal_Weeks[MonthYearLabel],60)&lt;&gt;INDEX(Cal_Weeks[MonthYearLabel],59),'Grid_Stock'!BH46,BH46)+'Grid_Incoming'!BI46-'Grid_Requirement'!BI46</f>
        <v/>
      </c>
      <c r="BJ46">
        <f>IF(INDEX(Cal_Weeks[MonthYearLabel],61)&lt;&gt;INDEX(Cal_Weeks[MonthYearLabel],60),'Grid_Stock'!BI46,BI46)+'Grid_Incoming'!BJ46-'Grid_Requirement'!BJ46</f>
        <v/>
      </c>
      <c r="BK46">
        <f>IF(INDEX(Cal_Weeks[MonthYearLabel],62)&lt;&gt;INDEX(Cal_Weeks[MonthYearLabel],61),'Grid_Stock'!BJ46,BJ46)+'Grid_Incoming'!BK46-'Grid_Requirement'!BK46</f>
        <v/>
      </c>
      <c r="BL46">
        <f>IF(INDEX(Cal_Weeks[MonthYearLabel],63)&lt;&gt;INDEX(Cal_Weeks[MonthYearLabel],62),'Grid_Stock'!BK46,BK46)+'Grid_Incoming'!BL46-'Grid_Requirement'!BL46</f>
        <v/>
      </c>
      <c r="BM46">
        <f>IF(INDEX(Cal_Weeks[MonthYearLabel],64)&lt;&gt;INDEX(Cal_Weeks[MonthYearLabel],63),'Grid_Stock'!BL46,BL46)+'Grid_Incoming'!BM46-'Grid_Requirement'!BM46</f>
        <v/>
      </c>
      <c r="BN46">
        <f>IF(INDEX(Cal_Weeks[MonthYearLabel],65)&lt;&gt;INDEX(Cal_Weeks[MonthYearLabel],64),'Grid_Stock'!BM46,BM46)+'Grid_Incoming'!BN46-'Grid_Requirement'!BN46</f>
        <v/>
      </c>
      <c r="BO46">
        <f>IF(INDEX(Cal_Weeks[MonthYearLabel],66)&lt;&gt;INDEX(Cal_Weeks[MonthYearLabel],65),'Grid_Stock'!BN46,BN46)+'Grid_Incoming'!BO46-'Grid_Requirement'!BO46</f>
        <v/>
      </c>
      <c r="BP46">
        <f>IF(INDEX(Cal_Weeks[MonthYearLabel],67)&lt;&gt;INDEX(Cal_Weeks[MonthYearLabel],66),'Grid_Stock'!BO46,BO46)+'Grid_Incoming'!BP46-'Grid_Requirement'!BP46</f>
        <v/>
      </c>
      <c r="BQ46">
        <f>IF(INDEX(Cal_Weeks[MonthYearLabel],68)&lt;&gt;INDEX(Cal_Weeks[MonthYearLabel],67),'Grid_Stock'!BP46,BP46)+'Grid_Incoming'!BQ46-'Grid_Requirement'!BQ46</f>
        <v/>
      </c>
      <c r="BR46">
        <f>IF(INDEX(Cal_Weeks[MonthYearLabel],69)&lt;&gt;INDEX(Cal_Weeks[MonthYearLabel],68),'Grid_Stock'!BQ46,BQ46)+'Grid_Incoming'!BR46-'Grid_Requirement'!BR46</f>
        <v/>
      </c>
      <c r="BS46">
        <f>IF(INDEX(Cal_Weeks[MonthYearLabel],70)&lt;&gt;INDEX(Cal_Weeks[MonthYearLabel],69),'Grid_Stock'!BR46,BR46)+'Grid_Incoming'!BS46-'Grid_Requirement'!BS46</f>
        <v/>
      </c>
      <c r="BT46">
        <f>IF(INDEX(Cal_Weeks[MonthYearLabel],71)&lt;&gt;INDEX(Cal_Weeks[MonthYearLabel],70),'Grid_Stock'!BS46,BS46)+'Grid_Incoming'!BT46-'Grid_Requirement'!BT46</f>
        <v/>
      </c>
      <c r="BU46">
        <f>IF(INDEX(Cal_Weeks[MonthYearLabel],72)&lt;&gt;INDEX(Cal_Weeks[MonthYearLabel],71),'Grid_Stock'!BT46,BT46)+'Grid_Incoming'!BU46-'Grid_Requirement'!BU46</f>
        <v/>
      </c>
      <c r="BV46">
        <f>IF(INDEX(Cal_Weeks[MonthYearLabel],73)&lt;&gt;INDEX(Cal_Weeks[MonthYearLabel],72),'Grid_Stock'!BU46,BU46)+'Grid_Incoming'!BV46-'Grid_Requirement'!BV46</f>
        <v/>
      </c>
      <c r="BW46">
        <f>IF(INDEX(Cal_Weeks[MonthYearLabel],74)&lt;&gt;INDEX(Cal_Weeks[MonthYearLabel],73),'Grid_Stock'!BV46,BV46)+'Grid_Incoming'!BW46-'Grid_Requirement'!BW46</f>
        <v/>
      </c>
      <c r="BX46">
        <f>IF(INDEX(Cal_Weeks[MonthYearLabel],75)&lt;&gt;INDEX(Cal_Weeks[MonthYearLabel],74),'Grid_Stock'!BW46,BW46)+'Grid_Incoming'!BX46-'Grid_Requirement'!BX46</f>
        <v/>
      </c>
      <c r="BY46">
        <f>IF(INDEX(Cal_Weeks[MonthYearLabel],76)&lt;&gt;INDEX(Cal_Weeks[MonthYearLabel],75),'Grid_Stock'!BX46,BX46)+'Grid_Incoming'!BY46-'Grid_Requirement'!BY46</f>
        <v/>
      </c>
      <c r="BZ46">
        <f>IF(INDEX(Cal_Weeks[MonthYearLabel],77)&lt;&gt;INDEX(Cal_Weeks[MonthYearLabel],76),'Grid_Stock'!BY46,BY46)+'Grid_Incoming'!BZ46-'Grid_Requirement'!BZ46</f>
        <v/>
      </c>
      <c r="CA46">
        <f>IF(INDEX(Cal_Weeks[MonthYearLabel],78)&lt;&gt;INDEX(Cal_Weeks[MonthYearLabel],77),'Grid_Stock'!BZ46,BZ46)+'Grid_Incoming'!CA46-'Grid_Requirement'!CA46</f>
        <v/>
      </c>
      <c r="CB46">
        <f>IF(INDEX(Cal_Weeks[MonthYearLabel],79)&lt;&gt;INDEX(Cal_Weeks[MonthYearLabel],78),'Grid_Stock'!CA46,CA46)+'Grid_Incoming'!CB46-'Grid_Requirement'!CB46</f>
        <v/>
      </c>
      <c r="CC46">
        <f>IF(INDEX(Cal_Weeks[MonthYearLabel],80)&lt;&gt;INDEX(Cal_Weeks[MonthYearLabel],79),'Grid_Stock'!CB46,CB46)+'Grid_Incoming'!CC46-'Grid_Requirement'!CC46</f>
        <v/>
      </c>
      <c r="CD46">
        <f>IF(INDEX(Cal_Weeks[MonthYearLabel],81)&lt;&gt;INDEX(Cal_Weeks[MonthYearLabel],80),'Grid_Stock'!CC46,CC46)+'Grid_Incoming'!CD46-'Grid_Requirement'!CD46</f>
        <v/>
      </c>
      <c r="CE46">
        <f>IF(INDEX(Cal_Weeks[MonthYearLabel],82)&lt;&gt;INDEX(Cal_Weeks[MonthYearLabel],81),'Grid_Stock'!CD46,CD46)+'Grid_Incoming'!CE46-'Grid_Requirement'!CE46</f>
        <v/>
      </c>
      <c r="CF46">
        <f>IF(INDEX(Cal_Weeks[MonthYearLabel],83)&lt;&gt;INDEX(Cal_Weeks[MonthYearLabel],82),'Grid_Stock'!CE46,CE46)+'Grid_Incoming'!CF46-'Grid_Requirement'!CF46</f>
        <v/>
      </c>
      <c r="CG46">
        <f>IF(INDEX(Cal_Weeks[MonthYearLabel],84)&lt;&gt;INDEX(Cal_Weeks[MonthYearLabel],83),'Grid_Stock'!CF46,CF46)+'Grid_Incoming'!CG46-'Grid_Requirement'!CG46</f>
        <v/>
      </c>
      <c r="CH46">
        <f>IF(INDEX(Cal_Weeks[MonthYearLabel],85)&lt;&gt;INDEX(Cal_Weeks[MonthYearLabel],84),'Grid_Stock'!CG46,CG46)+'Grid_Incoming'!CH46-'Grid_Requirement'!CH46</f>
        <v/>
      </c>
      <c r="CI46">
        <f>IF(INDEX(Cal_Weeks[MonthYearLabel],86)&lt;&gt;INDEX(Cal_Weeks[MonthYearLabel],85),'Grid_Stock'!CH46,CH46)+'Grid_Incoming'!CI46-'Grid_Requirement'!CI46</f>
        <v/>
      </c>
      <c r="CJ46">
        <f>IF(INDEX(Cal_Weeks[MonthYearLabel],87)&lt;&gt;INDEX(Cal_Weeks[MonthYearLabel],86),'Grid_Stock'!CI46,CI46)+'Grid_Incoming'!CJ46-'Grid_Requirement'!CJ46</f>
        <v/>
      </c>
      <c r="CK46">
        <f>IF(INDEX(Cal_Weeks[MonthYearLabel],88)&lt;&gt;INDEX(Cal_Weeks[MonthYearLabel],87),'Grid_Stock'!CJ46,CJ46)+'Grid_Incoming'!CK46-'Grid_Requirement'!CK46</f>
        <v/>
      </c>
      <c r="CL46">
        <f>IF(INDEX(Cal_Weeks[MonthYearLabel],89)&lt;&gt;INDEX(Cal_Weeks[MonthYearLabel],88),'Grid_Stock'!CK46,CK46)+'Grid_Incoming'!CL46-'Grid_Requirement'!CL46</f>
        <v/>
      </c>
      <c r="CM46">
        <f>IF(INDEX(Cal_Weeks[MonthYearLabel],90)&lt;&gt;INDEX(Cal_Weeks[MonthYearLabel],89),'Grid_Stock'!CL46,CL46)+'Grid_Incoming'!CM46-'Grid_Requirement'!CM46</f>
        <v/>
      </c>
      <c r="CN46">
        <f>IF(INDEX(Cal_Weeks[MonthYearLabel],91)&lt;&gt;INDEX(Cal_Weeks[MonthYearLabel],90),'Grid_Stock'!CM46,CM46)+'Grid_Incoming'!CN46-'Grid_Requirement'!CN46</f>
        <v/>
      </c>
      <c r="CO46">
        <f>IF(INDEX(Cal_Weeks[MonthYearLabel],92)&lt;&gt;INDEX(Cal_Weeks[MonthYearLabel],91),'Grid_Stock'!CN46,CN46)+'Grid_Incoming'!CO46-'Grid_Requirement'!CO46</f>
        <v/>
      </c>
      <c r="CP46">
        <f>IF(INDEX(Cal_Weeks[MonthYearLabel],93)&lt;&gt;INDEX(Cal_Weeks[MonthYearLabel],92),'Grid_Stock'!CO46,CO46)+'Grid_Incoming'!CP46-'Grid_Requirement'!CP46</f>
        <v/>
      </c>
      <c r="CQ46">
        <f>IF(INDEX(Cal_Weeks[MonthYearLabel],94)&lt;&gt;INDEX(Cal_Weeks[MonthYearLabel],93),'Grid_Stock'!CP46,CP46)+'Grid_Incoming'!CQ46-'Grid_Requirement'!CQ46</f>
        <v/>
      </c>
      <c r="CR46">
        <f>IF(INDEX(Cal_Weeks[MonthYearLabel],95)&lt;&gt;INDEX(Cal_Weeks[MonthYearLabel],94),'Grid_Stock'!CQ46,CQ46)+'Grid_Incoming'!CR46-'Grid_Requirement'!CR46</f>
        <v/>
      </c>
      <c r="CS46">
        <f>IF(INDEX(Cal_Weeks[MonthYearLabel],96)&lt;&gt;INDEX(Cal_Weeks[MonthYearLabel],95),'Grid_Stock'!CR46,CR46)+'Grid_Incoming'!CS46-'Grid_Requirement'!CS46</f>
        <v/>
      </c>
      <c r="CT46">
        <f>IF(INDEX(Cal_Weeks[MonthYearLabel],97)&lt;&gt;INDEX(Cal_Weeks[MonthYearLabel],96),'Grid_Stock'!CS46,CS46)+'Grid_Incoming'!CT46-'Grid_Requirement'!CT46</f>
        <v/>
      </c>
      <c r="CU46">
        <f>IF(INDEX(Cal_Weeks[MonthYearLabel],98)&lt;&gt;INDEX(Cal_Weeks[MonthYearLabel],97),'Grid_Stock'!CT46,CT46)+'Grid_Incoming'!CU46-'Grid_Requirement'!CU46</f>
        <v/>
      </c>
      <c r="CV46">
        <f>IF(INDEX(Cal_Weeks[MonthYearLabel],99)&lt;&gt;INDEX(Cal_Weeks[MonthYearLabel],98),'Grid_Stock'!CU46,CU46)+'Grid_Incoming'!CV46-'Grid_Requirement'!CV46</f>
        <v/>
      </c>
      <c r="CW46">
        <f>IF(INDEX(Cal_Weeks[MonthYearLabel],100)&lt;&gt;INDEX(Cal_Weeks[MonthYearLabel],99),'Grid_Stock'!CV46,CV46)+'Grid_Incoming'!CW46-'Grid_Requirement'!CW46</f>
        <v/>
      </c>
      <c r="CX46">
        <f>IF(INDEX(Cal_Weeks[MonthYearLabel],101)&lt;&gt;INDEX(Cal_Weeks[MonthYearLabel],100),'Grid_Stock'!CW46,CW46)+'Grid_Incoming'!CX46-'Grid_Requirement'!CX46</f>
        <v/>
      </c>
      <c r="CY46">
        <f>IF(INDEX(Cal_Weeks[MonthYearLabel],102)&lt;&gt;INDEX(Cal_Weeks[MonthYearLabel],101),'Grid_Stock'!CX46,CX46)+'Grid_Incoming'!CY46-'Grid_Requirement'!CY46</f>
        <v/>
      </c>
      <c r="CZ46">
        <f>IF(INDEX(Cal_Weeks[MonthYearLabel],103)&lt;&gt;INDEX(Cal_Weeks[MonthYearLabel],102),'Grid_Stock'!CY46,CY46)+'Grid_Incoming'!CZ46-'Grid_Requirement'!CZ46</f>
        <v/>
      </c>
      <c r="DA46">
        <f>IF(INDEX(Cal_Weeks[MonthYearLabel],104)&lt;&gt;INDEX(Cal_Weeks[MonthYearLabel],103),'Grid_Stock'!CZ46,CZ46)+'Grid_Incoming'!DA46-'Grid_Requirement'!DA46</f>
        <v/>
      </c>
    </row>
    <row r="47">
      <c r="A47" t="inlineStr">
        <is>
          <t>CHEM-1430</t>
        </is>
      </c>
      <c r="B47">
        <f>IFERROR(INDEX(T_OpeningStock[Opening_Qty_要入力],MATCH($A47,T_OpeningStock[Part Name],0)),0)+'Grid_Incoming'!B47-'Grid_Requirement'!B47</f>
        <v/>
      </c>
      <c r="C47">
        <f>IF(INDEX(Cal_Weeks[MonthYearLabel],2)&lt;&gt;INDEX(Cal_Weeks[MonthYearLabel],1),'Grid_Stock'!B47,B47)+'Grid_Incoming'!C47-'Grid_Requirement'!C47</f>
        <v/>
      </c>
      <c r="D47">
        <f>IF(INDEX(Cal_Weeks[MonthYearLabel],3)&lt;&gt;INDEX(Cal_Weeks[MonthYearLabel],2),'Grid_Stock'!C47,C47)+'Grid_Incoming'!D47-'Grid_Requirement'!D47</f>
        <v/>
      </c>
      <c r="E47">
        <f>IF(INDEX(Cal_Weeks[MonthYearLabel],4)&lt;&gt;INDEX(Cal_Weeks[MonthYearLabel],3),'Grid_Stock'!D47,D47)+'Grid_Incoming'!E47-'Grid_Requirement'!E47</f>
        <v/>
      </c>
      <c r="F47">
        <f>IF(INDEX(Cal_Weeks[MonthYearLabel],5)&lt;&gt;INDEX(Cal_Weeks[MonthYearLabel],4),'Grid_Stock'!E47,E47)+'Grid_Incoming'!F47-'Grid_Requirement'!F47</f>
        <v/>
      </c>
      <c r="G47">
        <f>IF(INDEX(Cal_Weeks[MonthYearLabel],6)&lt;&gt;INDEX(Cal_Weeks[MonthYearLabel],5),'Grid_Stock'!F47,F47)+'Grid_Incoming'!G47-'Grid_Requirement'!G47</f>
        <v/>
      </c>
      <c r="H47">
        <f>IF(INDEX(Cal_Weeks[MonthYearLabel],7)&lt;&gt;INDEX(Cal_Weeks[MonthYearLabel],6),'Grid_Stock'!G47,G47)+'Grid_Incoming'!H47-'Grid_Requirement'!H47</f>
        <v/>
      </c>
      <c r="I47">
        <f>IF(INDEX(Cal_Weeks[MonthYearLabel],8)&lt;&gt;INDEX(Cal_Weeks[MonthYearLabel],7),'Grid_Stock'!H47,H47)+'Grid_Incoming'!I47-'Grid_Requirement'!I47</f>
        <v/>
      </c>
      <c r="J47">
        <f>IF(INDEX(Cal_Weeks[MonthYearLabel],9)&lt;&gt;INDEX(Cal_Weeks[MonthYearLabel],8),'Grid_Stock'!I47,I47)+'Grid_Incoming'!J47-'Grid_Requirement'!J47</f>
        <v/>
      </c>
      <c r="K47">
        <f>IF(INDEX(Cal_Weeks[MonthYearLabel],10)&lt;&gt;INDEX(Cal_Weeks[MonthYearLabel],9),'Grid_Stock'!J47,J47)+'Grid_Incoming'!K47-'Grid_Requirement'!K47</f>
        <v/>
      </c>
      <c r="L47">
        <f>IF(INDEX(Cal_Weeks[MonthYearLabel],11)&lt;&gt;INDEX(Cal_Weeks[MonthYearLabel],10),'Grid_Stock'!K47,K47)+'Grid_Incoming'!L47-'Grid_Requirement'!L47</f>
        <v/>
      </c>
      <c r="M47">
        <f>IF(INDEX(Cal_Weeks[MonthYearLabel],12)&lt;&gt;INDEX(Cal_Weeks[MonthYearLabel],11),'Grid_Stock'!L47,L47)+'Grid_Incoming'!M47-'Grid_Requirement'!M47</f>
        <v/>
      </c>
      <c r="N47">
        <f>IF(INDEX(Cal_Weeks[MonthYearLabel],13)&lt;&gt;INDEX(Cal_Weeks[MonthYearLabel],12),'Grid_Stock'!M47,M47)+'Grid_Incoming'!N47-'Grid_Requirement'!N47</f>
        <v/>
      </c>
      <c r="O47">
        <f>IF(INDEX(Cal_Weeks[MonthYearLabel],14)&lt;&gt;INDEX(Cal_Weeks[MonthYearLabel],13),'Grid_Stock'!N47,N47)+'Grid_Incoming'!O47-'Grid_Requirement'!O47</f>
        <v/>
      </c>
      <c r="P47">
        <f>IF(INDEX(Cal_Weeks[MonthYearLabel],15)&lt;&gt;INDEX(Cal_Weeks[MonthYearLabel],14),'Grid_Stock'!O47,O47)+'Grid_Incoming'!P47-'Grid_Requirement'!P47</f>
        <v/>
      </c>
      <c r="Q47">
        <f>IF(INDEX(Cal_Weeks[MonthYearLabel],16)&lt;&gt;INDEX(Cal_Weeks[MonthYearLabel],15),'Grid_Stock'!P47,P47)+'Grid_Incoming'!Q47-'Grid_Requirement'!Q47</f>
        <v/>
      </c>
      <c r="R47">
        <f>IF(INDEX(Cal_Weeks[MonthYearLabel],17)&lt;&gt;INDEX(Cal_Weeks[MonthYearLabel],16),'Grid_Stock'!Q47,Q47)+'Grid_Incoming'!R47-'Grid_Requirement'!R47</f>
        <v/>
      </c>
      <c r="S47">
        <f>IF(INDEX(Cal_Weeks[MonthYearLabel],18)&lt;&gt;INDEX(Cal_Weeks[MonthYearLabel],17),'Grid_Stock'!R47,R47)+'Grid_Incoming'!S47-'Grid_Requirement'!S47</f>
        <v/>
      </c>
      <c r="T47">
        <f>IF(INDEX(Cal_Weeks[MonthYearLabel],19)&lt;&gt;INDEX(Cal_Weeks[MonthYearLabel],18),'Grid_Stock'!S47,S47)+'Grid_Incoming'!T47-'Grid_Requirement'!T47</f>
        <v/>
      </c>
      <c r="U47">
        <f>IF(INDEX(Cal_Weeks[MonthYearLabel],20)&lt;&gt;INDEX(Cal_Weeks[MonthYearLabel],19),'Grid_Stock'!T47,T47)+'Grid_Incoming'!U47-'Grid_Requirement'!U47</f>
        <v/>
      </c>
      <c r="V47">
        <f>IF(INDEX(Cal_Weeks[MonthYearLabel],21)&lt;&gt;INDEX(Cal_Weeks[MonthYearLabel],20),'Grid_Stock'!U47,U47)+'Grid_Incoming'!V47-'Grid_Requirement'!V47</f>
        <v/>
      </c>
      <c r="W47">
        <f>IF(INDEX(Cal_Weeks[MonthYearLabel],22)&lt;&gt;INDEX(Cal_Weeks[MonthYearLabel],21),'Grid_Stock'!V47,V47)+'Grid_Incoming'!W47-'Grid_Requirement'!W47</f>
        <v/>
      </c>
      <c r="X47">
        <f>IF(INDEX(Cal_Weeks[MonthYearLabel],23)&lt;&gt;INDEX(Cal_Weeks[MonthYearLabel],22),'Grid_Stock'!W47,W47)+'Grid_Incoming'!X47-'Grid_Requirement'!X47</f>
        <v/>
      </c>
      <c r="Y47">
        <f>IF(INDEX(Cal_Weeks[MonthYearLabel],24)&lt;&gt;INDEX(Cal_Weeks[MonthYearLabel],23),'Grid_Stock'!X47,X47)+'Grid_Incoming'!Y47-'Grid_Requirement'!Y47</f>
        <v/>
      </c>
      <c r="Z47">
        <f>IF(INDEX(Cal_Weeks[MonthYearLabel],25)&lt;&gt;INDEX(Cal_Weeks[MonthYearLabel],24),'Grid_Stock'!Y47,Y47)+'Grid_Incoming'!Z47-'Grid_Requirement'!Z47</f>
        <v/>
      </c>
      <c r="AA47">
        <f>IF(INDEX(Cal_Weeks[MonthYearLabel],26)&lt;&gt;INDEX(Cal_Weeks[MonthYearLabel],25),'Grid_Stock'!Z47,Z47)+'Grid_Incoming'!AA47-'Grid_Requirement'!AA47</f>
        <v/>
      </c>
      <c r="AB47">
        <f>IF(INDEX(Cal_Weeks[MonthYearLabel],27)&lt;&gt;INDEX(Cal_Weeks[MonthYearLabel],26),'Grid_Stock'!AA47,AA47)+'Grid_Incoming'!AB47-'Grid_Requirement'!AB47</f>
        <v/>
      </c>
      <c r="AC47">
        <f>IF(INDEX(Cal_Weeks[MonthYearLabel],28)&lt;&gt;INDEX(Cal_Weeks[MonthYearLabel],27),'Grid_Stock'!AB47,AB47)+'Grid_Incoming'!AC47-'Grid_Requirement'!AC47</f>
        <v/>
      </c>
      <c r="AD47">
        <f>IF(INDEX(Cal_Weeks[MonthYearLabel],29)&lt;&gt;INDEX(Cal_Weeks[MonthYearLabel],28),'Grid_Stock'!AC47,AC47)+'Grid_Incoming'!AD47-'Grid_Requirement'!AD47</f>
        <v/>
      </c>
      <c r="AE47">
        <f>IF(INDEX(Cal_Weeks[MonthYearLabel],30)&lt;&gt;INDEX(Cal_Weeks[MonthYearLabel],29),'Grid_Stock'!AD47,AD47)+'Grid_Incoming'!AE47-'Grid_Requirement'!AE47</f>
        <v/>
      </c>
      <c r="AF47">
        <f>IF(INDEX(Cal_Weeks[MonthYearLabel],31)&lt;&gt;INDEX(Cal_Weeks[MonthYearLabel],30),'Grid_Stock'!AE47,AE47)+'Grid_Incoming'!AF47-'Grid_Requirement'!AF47</f>
        <v/>
      </c>
      <c r="AG47">
        <f>IF(INDEX(Cal_Weeks[MonthYearLabel],32)&lt;&gt;INDEX(Cal_Weeks[MonthYearLabel],31),'Grid_Stock'!AF47,AF47)+'Grid_Incoming'!AG47-'Grid_Requirement'!AG47</f>
        <v/>
      </c>
      <c r="AH47">
        <f>IF(INDEX(Cal_Weeks[MonthYearLabel],33)&lt;&gt;INDEX(Cal_Weeks[MonthYearLabel],32),'Grid_Stock'!AG47,AG47)+'Grid_Incoming'!AH47-'Grid_Requirement'!AH47</f>
        <v/>
      </c>
      <c r="AI47">
        <f>IF(INDEX(Cal_Weeks[MonthYearLabel],34)&lt;&gt;INDEX(Cal_Weeks[MonthYearLabel],33),'Grid_Stock'!AH47,AH47)+'Grid_Incoming'!AI47-'Grid_Requirement'!AI47</f>
        <v/>
      </c>
      <c r="AJ47">
        <f>IF(INDEX(Cal_Weeks[MonthYearLabel],35)&lt;&gt;INDEX(Cal_Weeks[MonthYearLabel],34),'Grid_Stock'!AI47,AI47)+'Grid_Incoming'!AJ47-'Grid_Requirement'!AJ47</f>
        <v/>
      </c>
      <c r="AK47">
        <f>IF(INDEX(Cal_Weeks[MonthYearLabel],36)&lt;&gt;INDEX(Cal_Weeks[MonthYearLabel],35),'Grid_Stock'!AJ47,AJ47)+'Grid_Incoming'!AK47-'Grid_Requirement'!AK47</f>
        <v/>
      </c>
      <c r="AL47">
        <f>IF(INDEX(Cal_Weeks[MonthYearLabel],37)&lt;&gt;INDEX(Cal_Weeks[MonthYearLabel],36),'Grid_Stock'!AK47,AK47)+'Grid_Incoming'!AL47-'Grid_Requirement'!AL47</f>
        <v/>
      </c>
      <c r="AM47">
        <f>IF(INDEX(Cal_Weeks[MonthYearLabel],38)&lt;&gt;INDEX(Cal_Weeks[MonthYearLabel],37),'Grid_Stock'!AL47,AL47)+'Grid_Incoming'!AM47-'Grid_Requirement'!AM47</f>
        <v/>
      </c>
      <c r="AN47">
        <f>IF(INDEX(Cal_Weeks[MonthYearLabel],39)&lt;&gt;INDEX(Cal_Weeks[MonthYearLabel],38),'Grid_Stock'!AM47,AM47)+'Grid_Incoming'!AN47-'Grid_Requirement'!AN47</f>
        <v/>
      </c>
      <c r="AO47">
        <f>IF(INDEX(Cal_Weeks[MonthYearLabel],40)&lt;&gt;INDEX(Cal_Weeks[MonthYearLabel],39),'Grid_Stock'!AN47,AN47)+'Grid_Incoming'!AO47-'Grid_Requirement'!AO47</f>
        <v/>
      </c>
      <c r="AP47">
        <f>IF(INDEX(Cal_Weeks[MonthYearLabel],41)&lt;&gt;INDEX(Cal_Weeks[MonthYearLabel],40),'Grid_Stock'!AO47,AO47)+'Grid_Incoming'!AP47-'Grid_Requirement'!AP47</f>
        <v/>
      </c>
      <c r="AQ47">
        <f>IF(INDEX(Cal_Weeks[MonthYearLabel],42)&lt;&gt;INDEX(Cal_Weeks[MonthYearLabel],41),'Grid_Stock'!AP47,AP47)+'Grid_Incoming'!AQ47-'Grid_Requirement'!AQ47</f>
        <v/>
      </c>
      <c r="AR47">
        <f>IF(INDEX(Cal_Weeks[MonthYearLabel],43)&lt;&gt;INDEX(Cal_Weeks[MonthYearLabel],42),'Grid_Stock'!AQ47,AQ47)+'Grid_Incoming'!AR47-'Grid_Requirement'!AR47</f>
        <v/>
      </c>
      <c r="AS47">
        <f>IF(INDEX(Cal_Weeks[MonthYearLabel],44)&lt;&gt;INDEX(Cal_Weeks[MonthYearLabel],43),'Grid_Stock'!AR47,AR47)+'Grid_Incoming'!AS47-'Grid_Requirement'!AS47</f>
        <v/>
      </c>
      <c r="AT47">
        <f>IF(INDEX(Cal_Weeks[MonthYearLabel],45)&lt;&gt;INDEX(Cal_Weeks[MonthYearLabel],44),'Grid_Stock'!AS47,AS47)+'Grid_Incoming'!AT47-'Grid_Requirement'!AT47</f>
        <v/>
      </c>
      <c r="AU47">
        <f>IF(INDEX(Cal_Weeks[MonthYearLabel],46)&lt;&gt;INDEX(Cal_Weeks[MonthYearLabel],45),'Grid_Stock'!AT47,AT47)+'Grid_Incoming'!AU47-'Grid_Requirement'!AU47</f>
        <v/>
      </c>
      <c r="AV47">
        <f>IF(INDEX(Cal_Weeks[MonthYearLabel],47)&lt;&gt;INDEX(Cal_Weeks[MonthYearLabel],46),'Grid_Stock'!AU47,AU47)+'Grid_Incoming'!AV47-'Grid_Requirement'!AV47</f>
        <v/>
      </c>
      <c r="AW47">
        <f>IF(INDEX(Cal_Weeks[MonthYearLabel],48)&lt;&gt;INDEX(Cal_Weeks[MonthYearLabel],47),'Grid_Stock'!AV47,AV47)+'Grid_Incoming'!AW47-'Grid_Requirement'!AW47</f>
        <v/>
      </c>
      <c r="AX47">
        <f>IF(INDEX(Cal_Weeks[MonthYearLabel],49)&lt;&gt;INDEX(Cal_Weeks[MonthYearLabel],48),'Grid_Stock'!AW47,AW47)+'Grid_Incoming'!AX47-'Grid_Requirement'!AX47</f>
        <v/>
      </c>
      <c r="AY47">
        <f>IF(INDEX(Cal_Weeks[MonthYearLabel],50)&lt;&gt;INDEX(Cal_Weeks[MonthYearLabel],49),'Grid_Stock'!AX47,AX47)+'Grid_Incoming'!AY47-'Grid_Requirement'!AY47</f>
        <v/>
      </c>
      <c r="AZ47">
        <f>IF(INDEX(Cal_Weeks[MonthYearLabel],51)&lt;&gt;INDEX(Cal_Weeks[MonthYearLabel],50),'Grid_Stock'!AY47,AY47)+'Grid_Incoming'!AZ47-'Grid_Requirement'!AZ47</f>
        <v/>
      </c>
      <c r="BA47">
        <f>IF(INDEX(Cal_Weeks[MonthYearLabel],52)&lt;&gt;INDEX(Cal_Weeks[MonthYearLabel],51),'Grid_Stock'!AZ47,AZ47)+'Grid_Incoming'!BA47-'Grid_Requirement'!BA47</f>
        <v/>
      </c>
      <c r="BB47">
        <f>IF(INDEX(Cal_Weeks[MonthYearLabel],53)&lt;&gt;INDEX(Cal_Weeks[MonthYearLabel],52),'Grid_Stock'!BA47,BA47)+'Grid_Incoming'!BB47-'Grid_Requirement'!BB47</f>
        <v/>
      </c>
      <c r="BC47">
        <f>IF(INDEX(Cal_Weeks[MonthYearLabel],54)&lt;&gt;INDEX(Cal_Weeks[MonthYearLabel],53),'Grid_Stock'!BB47,BB47)+'Grid_Incoming'!BC47-'Grid_Requirement'!BC47</f>
        <v/>
      </c>
      <c r="BD47">
        <f>IF(INDEX(Cal_Weeks[MonthYearLabel],55)&lt;&gt;INDEX(Cal_Weeks[MonthYearLabel],54),'Grid_Stock'!BC47,BC47)+'Grid_Incoming'!BD47-'Grid_Requirement'!BD47</f>
        <v/>
      </c>
      <c r="BE47">
        <f>IF(INDEX(Cal_Weeks[MonthYearLabel],56)&lt;&gt;INDEX(Cal_Weeks[MonthYearLabel],55),'Grid_Stock'!BD47,BD47)+'Grid_Incoming'!BE47-'Grid_Requirement'!BE47</f>
        <v/>
      </c>
      <c r="BF47">
        <f>IF(INDEX(Cal_Weeks[MonthYearLabel],57)&lt;&gt;INDEX(Cal_Weeks[MonthYearLabel],56),'Grid_Stock'!BE47,BE47)+'Grid_Incoming'!BF47-'Grid_Requirement'!BF47</f>
        <v/>
      </c>
      <c r="BG47">
        <f>IF(INDEX(Cal_Weeks[MonthYearLabel],58)&lt;&gt;INDEX(Cal_Weeks[MonthYearLabel],57),'Grid_Stock'!BF47,BF47)+'Grid_Incoming'!BG47-'Grid_Requirement'!BG47</f>
        <v/>
      </c>
      <c r="BH47">
        <f>IF(INDEX(Cal_Weeks[MonthYearLabel],59)&lt;&gt;INDEX(Cal_Weeks[MonthYearLabel],58),'Grid_Stock'!BG47,BG47)+'Grid_Incoming'!BH47-'Grid_Requirement'!BH47</f>
        <v/>
      </c>
      <c r="BI47">
        <f>IF(INDEX(Cal_Weeks[MonthYearLabel],60)&lt;&gt;INDEX(Cal_Weeks[MonthYearLabel],59),'Grid_Stock'!BH47,BH47)+'Grid_Incoming'!BI47-'Grid_Requirement'!BI47</f>
        <v/>
      </c>
      <c r="BJ47">
        <f>IF(INDEX(Cal_Weeks[MonthYearLabel],61)&lt;&gt;INDEX(Cal_Weeks[MonthYearLabel],60),'Grid_Stock'!BI47,BI47)+'Grid_Incoming'!BJ47-'Grid_Requirement'!BJ47</f>
        <v/>
      </c>
      <c r="BK47">
        <f>IF(INDEX(Cal_Weeks[MonthYearLabel],62)&lt;&gt;INDEX(Cal_Weeks[MonthYearLabel],61),'Grid_Stock'!BJ47,BJ47)+'Grid_Incoming'!BK47-'Grid_Requirement'!BK47</f>
        <v/>
      </c>
      <c r="BL47">
        <f>IF(INDEX(Cal_Weeks[MonthYearLabel],63)&lt;&gt;INDEX(Cal_Weeks[MonthYearLabel],62),'Grid_Stock'!BK47,BK47)+'Grid_Incoming'!BL47-'Grid_Requirement'!BL47</f>
        <v/>
      </c>
      <c r="BM47">
        <f>IF(INDEX(Cal_Weeks[MonthYearLabel],64)&lt;&gt;INDEX(Cal_Weeks[MonthYearLabel],63),'Grid_Stock'!BL47,BL47)+'Grid_Incoming'!BM47-'Grid_Requirement'!BM47</f>
        <v/>
      </c>
      <c r="BN47">
        <f>IF(INDEX(Cal_Weeks[MonthYearLabel],65)&lt;&gt;INDEX(Cal_Weeks[MonthYearLabel],64),'Grid_Stock'!BM47,BM47)+'Grid_Incoming'!BN47-'Grid_Requirement'!BN47</f>
        <v/>
      </c>
      <c r="BO47">
        <f>IF(INDEX(Cal_Weeks[MonthYearLabel],66)&lt;&gt;INDEX(Cal_Weeks[MonthYearLabel],65),'Grid_Stock'!BN47,BN47)+'Grid_Incoming'!BO47-'Grid_Requirement'!BO47</f>
        <v/>
      </c>
      <c r="BP47">
        <f>IF(INDEX(Cal_Weeks[MonthYearLabel],67)&lt;&gt;INDEX(Cal_Weeks[MonthYearLabel],66),'Grid_Stock'!BO47,BO47)+'Grid_Incoming'!BP47-'Grid_Requirement'!BP47</f>
        <v/>
      </c>
      <c r="BQ47">
        <f>IF(INDEX(Cal_Weeks[MonthYearLabel],68)&lt;&gt;INDEX(Cal_Weeks[MonthYearLabel],67),'Grid_Stock'!BP47,BP47)+'Grid_Incoming'!BQ47-'Grid_Requirement'!BQ47</f>
        <v/>
      </c>
      <c r="BR47">
        <f>IF(INDEX(Cal_Weeks[MonthYearLabel],69)&lt;&gt;INDEX(Cal_Weeks[MonthYearLabel],68),'Grid_Stock'!BQ47,BQ47)+'Grid_Incoming'!BR47-'Grid_Requirement'!BR47</f>
        <v/>
      </c>
      <c r="BS47">
        <f>IF(INDEX(Cal_Weeks[MonthYearLabel],70)&lt;&gt;INDEX(Cal_Weeks[MonthYearLabel],69),'Grid_Stock'!BR47,BR47)+'Grid_Incoming'!BS47-'Grid_Requirement'!BS47</f>
        <v/>
      </c>
      <c r="BT47">
        <f>IF(INDEX(Cal_Weeks[MonthYearLabel],71)&lt;&gt;INDEX(Cal_Weeks[MonthYearLabel],70),'Grid_Stock'!BS47,BS47)+'Grid_Incoming'!BT47-'Grid_Requirement'!BT47</f>
        <v/>
      </c>
      <c r="BU47">
        <f>IF(INDEX(Cal_Weeks[MonthYearLabel],72)&lt;&gt;INDEX(Cal_Weeks[MonthYearLabel],71),'Grid_Stock'!BT47,BT47)+'Grid_Incoming'!BU47-'Grid_Requirement'!BU47</f>
        <v/>
      </c>
      <c r="BV47">
        <f>IF(INDEX(Cal_Weeks[MonthYearLabel],73)&lt;&gt;INDEX(Cal_Weeks[MonthYearLabel],72),'Grid_Stock'!BU47,BU47)+'Grid_Incoming'!BV47-'Grid_Requirement'!BV47</f>
        <v/>
      </c>
      <c r="BW47">
        <f>IF(INDEX(Cal_Weeks[MonthYearLabel],74)&lt;&gt;INDEX(Cal_Weeks[MonthYearLabel],73),'Grid_Stock'!BV47,BV47)+'Grid_Incoming'!BW47-'Grid_Requirement'!BW47</f>
        <v/>
      </c>
      <c r="BX47">
        <f>IF(INDEX(Cal_Weeks[MonthYearLabel],75)&lt;&gt;INDEX(Cal_Weeks[MonthYearLabel],74),'Grid_Stock'!BW47,BW47)+'Grid_Incoming'!BX47-'Grid_Requirement'!BX47</f>
        <v/>
      </c>
      <c r="BY47">
        <f>IF(INDEX(Cal_Weeks[MonthYearLabel],76)&lt;&gt;INDEX(Cal_Weeks[MonthYearLabel],75),'Grid_Stock'!BX47,BX47)+'Grid_Incoming'!BY47-'Grid_Requirement'!BY47</f>
        <v/>
      </c>
      <c r="BZ47">
        <f>IF(INDEX(Cal_Weeks[MonthYearLabel],77)&lt;&gt;INDEX(Cal_Weeks[MonthYearLabel],76),'Grid_Stock'!BY47,BY47)+'Grid_Incoming'!BZ47-'Grid_Requirement'!BZ47</f>
        <v/>
      </c>
      <c r="CA47">
        <f>IF(INDEX(Cal_Weeks[MonthYearLabel],78)&lt;&gt;INDEX(Cal_Weeks[MonthYearLabel],77),'Grid_Stock'!BZ47,BZ47)+'Grid_Incoming'!CA47-'Grid_Requirement'!CA47</f>
        <v/>
      </c>
      <c r="CB47">
        <f>IF(INDEX(Cal_Weeks[MonthYearLabel],79)&lt;&gt;INDEX(Cal_Weeks[MonthYearLabel],78),'Grid_Stock'!CA47,CA47)+'Grid_Incoming'!CB47-'Grid_Requirement'!CB47</f>
        <v/>
      </c>
      <c r="CC47">
        <f>IF(INDEX(Cal_Weeks[MonthYearLabel],80)&lt;&gt;INDEX(Cal_Weeks[MonthYearLabel],79),'Grid_Stock'!CB47,CB47)+'Grid_Incoming'!CC47-'Grid_Requirement'!CC47</f>
        <v/>
      </c>
      <c r="CD47">
        <f>IF(INDEX(Cal_Weeks[MonthYearLabel],81)&lt;&gt;INDEX(Cal_Weeks[MonthYearLabel],80),'Grid_Stock'!CC47,CC47)+'Grid_Incoming'!CD47-'Grid_Requirement'!CD47</f>
        <v/>
      </c>
      <c r="CE47">
        <f>IF(INDEX(Cal_Weeks[MonthYearLabel],82)&lt;&gt;INDEX(Cal_Weeks[MonthYearLabel],81),'Grid_Stock'!CD47,CD47)+'Grid_Incoming'!CE47-'Grid_Requirement'!CE47</f>
        <v/>
      </c>
      <c r="CF47">
        <f>IF(INDEX(Cal_Weeks[MonthYearLabel],83)&lt;&gt;INDEX(Cal_Weeks[MonthYearLabel],82),'Grid_Stock'!CE47,CE47)+'Grid_Incoming'!CF47-'Grid_Requirement'!CF47</f>
        <v/>
      </c>
      <c r="CG47">
        <f>IF(INDEX(Cal_Weeks[MonthYearLabel],84)&lt;&gt;INDEX(Cal_Weeks[MonthYearLabel],83),'Grid_Stock'!CF47,CF47)+'Grid_Incoming'!CG47-'Grid_Requirement'!CG47</f>
        <v/>
      </c>
      <c r="CH47">
        <f>IF(INDEX(Cal_Weeks[MonthYearLabel],85)&lt;&gt;INDEX(Cal_Weeks[MonthYearLabel],84),'Grid_Stock'!CG47,CG47)+'Grid_Incoming'!CH47-'Grid_Requirement'!CH47</f>
        <v/>
      </c>
      <c r="CI47">
        <f>IF(INDEX(Cal_Weeks[MonthYearLabel],86)&lt;&gt;INDEX(Cal_Weeks[MonthYearLabel],85),'Grid_Stock'!CH47,CH47)+'Grid_Incoming'!CI47-'Grid_Requirement'!CI47</f>
        <v/>
      </c>
      <c r="CJ47">
        <f>IF(INDEX(Cal_Weeks[MonthYearLabel],87)&lt;&gt;INDEX(Cal_Weeks[MonthYearLabel],86),'Grid_Stock'!CI47,CI47)+'Grid_Incoming'!CJ47-'Grid_Requirement'!CJ47</f>
        <v/>
      </c>
      <c r="CK47">
        <f>IF(INDEX(Cal_Weeks[MonthYearLabel],88)&lt;&gt;INDEX(Cal_Weeks[MonthYearLabel],87),'Grid_Stock'!CJ47,CJ47)+'Grid_Incoming'!CK47-'Grid_Requirement'!CK47</f>
        <v/>
      </c>
      <c r="CL47">
        <f>IF(INDEX(Cal_Weeks[MonthYearLabel],89)&lt;&gt;INDEX(Cal_Weeks[MonthYearLabel],88),'Grid_Stock'!CK47,CK47)+'Grid_Incoming'!CL47-'Grid_Requirement'!CL47</f>
        <v/>
      </c>
      <c r="CM47">
        <f>IF(INDEX(Cal_Weeks[MonthYearLabel],90)&lt;&gt;INDEX(Cal_Weeks[MonthYearLabel],89),'Grid_Stock'!CL47,CL47)+'Grid_Incoming'!CM47-'Grid_Requirement'!CM47</f>
        <v/>
      </c>
      <c r="CN47">
        <f>IF(INDEX(Cal_Weeks[MonthYearLabel],91)&lt;&gt;INDEX(Cal_Weeks[MonthYearLabel],90),'Grid_Stock'!CM47,CM47)+'Grid_Incoming'!CN47-'Grid_Requirement'!CN47</f>
        <v/>
      </c>
      <c r="CO47">
        <f>IF(INDEX(Cal_Weeks[MonthYearLabel],92)&lt;&gt;INDEX(Cal_Weeks[MonthYearLabel],91),'Grid_Stock'!CN47,CN47)+'Grid_Incoming'!CO47-'Grid_Requirement'!CO47</f>
        <v/>
      </c>
      <c r="CP47">
        <f>IF(INDEX(Cal_Weeks[MonthYearLabel],93)&lt;&gt;INDEX(Cal_Weeks[MonthYearLabel],92),'Grid_Stock'!CO47,CO47)+'Grid_Incoming'!CP47-'Grid_Requirement'!CP47</f>
        <v/>
      </c>
      <c r="CQ47">
        <f>IF(INDEX(Cal_Weeks[MonthYearLabel],94)&lt;&gt;INDEX(Cal_Weeks[MonthYearLabel],93),'Grid_Stock'!CP47,CP47)+'Grid_Incoming'!CQ47-'Grid_Requirement'!CQ47</f>
        <v/>
      </c>
      <c r="CR47">
        <f>IF(INDEX(Cal_Weeks[MonthYearLabel],95)&lt;&gt;INDEX(Cal_Weeks[MonthYearLabel],94),'Grid_Stock'!CQ47,CQ47)+'Grid_Incoming'!CR47-'Grid_Requirement'!CR47</f>
        <v/>
      </c>
      <c r="CS47">
        <f>IF(INDEX(Cal_Weeks[MonthYearLabel],96)&lt;&gt;INDEX(Cal_Weeks[MonthYearLabel],95),'Grid_Stock'!CR47,CR47)+'Grid_Incoming'!CS47-'Grid_Requirement'!CS47</f>
        <v/>
      </c>
      <c r="CT47">
        <f>IF(INDEX(Cal_Weeks[MonthYearLabel],97)&lt;&gt;INDEX(Cal_Weeks[MonthYearLabel],96),'Grid_Stock'!CS47,CS47)+'Grid_Incoming'!CT47-'Grid_Requirement'!CT47</f>
        <v/>
      </c>
      <c r="CU47">
        <f>IF(INDEX(Cal_Weeks[MonthYearLabel],98)&lt;&gt;INDEX(Cal_Weeks[MonthYearLabel],97),'Grid_Stock'!CT47,CT47)+'Grid_Incoming'!CU47-'Grid_Requirement'!CU47</f>
        <v/>
      </c>
      <c r="CV47">
        <f>IF(INDEX(Cal_Weeks[MonthYearLabel],99)&lt;&gt;INDEX(Cal_Weeks[MonthYearLabel],98),'Grid_Stock'!CU47,CU47)+'Grid_Incoming'!CV47-'Grid_Requirement'!CV47</f>
        <v/>
      </c>
      <c r="CW47">
        <f>IF(INDEX(Cal_Weeks[MonthYearLabel],100)&lt;&gt;INDEX(Cal_Weeks[MonthYearLabel],99),'Grid_Stock'!CV47,CV47)+'Grid_Incoming'!CW47-'Grid_Requirement'!CW47</f>
        <v/>
      </c>
      <c r="CX47">
        <f>IF(INDEX(Cal_Weeks[MonthYearLabel],101)&lt;&gt;INDEX(Cal_Weeks[MonthYearLabel],100),'Grid_Stock'!CW47,CW47)+'Grid_Incoming'!CX47-'Grid_Requirement'!CX47</f>
        <v/>
      </c>
      <c r="CY47">
        <f>IF(INDEX(Cal_Weeks[MonthYearLabel],102)&lt;&gt;INDEX(Cal_Weeks[MonthYearLabel],101),'Grid_Stock'!CX47,CX47)+'Grid_Incoming'!CY47-'Grid_Requirement'!CY47</f>
        <v/>
      </c>
      <c r="CZ47">
        <f>IF(INDEX(Cal_Weeks[MonthYearLabel],103)&lt;&gt;INDEX(Cal_Weeks[MonthYearLabel],102),'Grid_Stock'!CY47,CY47)+'Grid_Incoming'!CZ47-'Grid_Requirement'!CZ47</f>
        <v/>
      </c>
      <c r="DA47">
        <f>IF(INDEX(Cal_Weeks[MonthYearLabel],104)&lt;&gt;INDEX(Cal_Weeks[MonthYearLabel],103),'Grid_Stock'!CZ47,CZ47)+'Grid_Incoming'!DA47-'Grid_Requirement'!DA47</f>
        <v/>
      </c>
    </row>
    <row r="48">
      <c r="A48" t="inlineStr">
        <is>
          <t>CHEM-1470</t>
        </is>
      </c>
      <c r="B48">
        <f>IFERROR(INDEX(T_OpeningStock[Opening_Qty_要入力],MATCH($A48,T_OpeningStock[Part Name],0)),0)+'Grid_Incoming'!B48-'Grid_Requirement'!B48</f>
        <v/>
      </c>
      <c r="C48">
        <f>IF(INDEX(Cal_Weeks[MonthYearLabel],2)&lt;&gt;INDEX(Cal_Weeks[MonthYearLabel],1),'Grid_Stock'!B48,B48)+'Grid_Incoming'!C48-'Grid_Requirement'!C48</f>
        <v/>
      </c>
      <c r="D48">
        <f>IF(INDEX(Cal_Weeks[MonthYearLabel],3)&lt;&gt;INDEX(Cal_Weeks[MonthYearLabel],2),'Grid_Stock'!C48,C48)+'Grid_Incoming'!D48-'Grid_Requirement'!D48</f>
        <v/>
      </c>
      <c r="E48">
        <f>IF(INDEX(Cal_Weeks[MonthYearLabel],4)&lt;&gt;INDEX(Cal_Weeks[MonthYearLabel],3),'Grid_Stock'!D48,D48)+'Grid_Incoming'!E48-'Grid_Requirement'!E48</f>
        <v/>
      </c>
      <c r="F48">
        <f>IF(INDEX(Cal_Weeks[MonthYearLabel],5)&lt;&gt;INDEX(Cal_Weeks[MonthYearLabel],4),'Grid_Stock'!E48,E48)+'Grid_Incoming'!F48-'Grid_Requirement'!F48</f>
        <v/>
      </c>
      <c r="G48">
        <f>IF(INDEX(Cal_Weeks[MonthYearLabel],6)&lt;&gt;INDEX(Cal_Weeks[MonthYearLabel],5),'Grid_Stock'!F48,F48)+'Grid_Incoming'!G48-'Grid_Requirement'!G48</f>
        <v/>
      </c>
      <c r="H48">
        <f>IF(INDEX(Cal_Weeks[MonthYearLabel],7)&lt;&gt;INDEX(Cal_Weeks[MonthYearLabel],6),'Grid_Stock'!G48,G48)+'Grid_Incoming'!H48-'Grid_Requirement'!H48</f>
        <v/>
      </c>
      <c r="I48">
        <f>IF(INDEX(Cal_Weeks[MonthYearLabel],8)&lt;&gt;INDEX(Cal_Weeks[MonthYearLabel],7),'Grid_Stock'!H48,H48)+'Grid_Incoming'!I48-'Grid_Requirement'!I48</f>
        <v/>
      </c>
      <c r="J48">
        <f>IF(INDEX(Cal_Weeks[MonthYearLabel],9)&lt;&gt;INDEX(Cal_Weeks[MonthYearLabel],8),'Grid_Stock'!I48,I48)+'Grid_Incoming'!J48-'Grid_Requirement'!J48</f>
        <v/>
      </c>
      <c r="K48">
        <f>IF(INDEX(Cal_Weeks[MonthYearLabel],10)&lt;&gt;INDEX(Cal_Weeks[MonthYearLabel],9),'Grid_Stock'!J48,J48)+'Grid_Incoming'!K48-'Grid_Requirement'!K48</f>
        <v/>
      </c>
      <c r="L48">
        <f>IF(INDEX(Cal_Weeks[MonthYearLabel],11)&lt;&gt;INDEX(Cal_Weeks[MonthYearLabel],10),'Grid_Stock'!K48,K48)+'Grid_Incoming'!L48-'Grid_Requirement'!L48</f>
        <v/>
      </c>
      <c r="M48">
        <f>IF(INDEX(Cal_Weeks[MonthYearLabel],12)&lt;&gt;INDEX(Cal_Weeks[MonthYearLabel],11),'Grid_Stock'!L48,L48)+'Grid_Incoming'!M48-'Grid_Requirement'!M48</f>
        <v/>
      </c>
      <c r="N48">
        <f>IF(INDEX(Cal_Weeks[MonthYearLabel],13)&lt;&gt;INDEX(Cal_Weeks[MonthYearLabel],12),'Grid_Stock'!M48,M48)+'Grid_Incoming'!N48-'Grid_Requirement'!N48</f>
        <v/>
      </c>
      <c r="O48">
        <f>IF(INDEX(Cal_Weeks[MonthYearLabel],14)&lt;&gt;INDEX(Cal_Weeks[MonthYearLabel],13),'Grid_Stock'!N48,N48)+'Grid_Incoming'!O48-'Grid_Requirement'!O48</f>
        <v/>
      </c>
      <c r="P48">
        <f>IF(INDEX(Cal_Weeks[MonthYearLabel],15)&lt;&gt;INDEX(Cal_Weeks[MonthYearLabel],14),'Grid_Stock'!O48,O48)+'Grid_Incoming'!P48-'Grid_Requirement'!P48</f>
        <v/>
      </c>
      <c r="Q48">
        <f>IF(INDEX(Cal_Weeks[MonthYearLabel],16)&lt;&gt;INDEX(Cal_Weeks[MonthYearLabel],15),'Grid_Stock'!P48,P48)+'Grid_Incoming'!Q48-'Grid_Requirement'!Q48</f>
        <v/>
      </c>
      <c r="R48">
        <f>IF(INDEX(Cal_Weeks[MonthYearLabel],17)&lt;&gt;INDEX(Cal_Weeks[MonthYearLabel],16),'Grid_Stock'!Q48,Q48)+'Grid_Incoming'!R48-'Grid_Requirement'!R48</f>
        <v/>
      </c>
      <c r="S48">
        <f>IF(INDEX(Cal_Weeks[MonthYearLabel],18)&lt;&gt;INDEX(Cal_Weeks[MonthYearLabel],17),'Grid_Stock'!R48,R48)+'Grid_Incoming'!S48-'Grid_Requirement'!S48</f>
        <v/>
      </c>
      <c r="T48">
        <f>IF(INDEX(Cal_Weeks[MonthYearLabel],19)&lt;&gt;INDEX(Cal_Weeks[MonthYearLabel],18),'Grid_Stock'!S48,S48)+'Grid_Incoming'!T48-'Grid_Requirement'!T48</f>
        <v/>
      </c>
      <c r="U48">
        <f>IF(INDEX(Cal_Weeks[MonthYearLabel],20)&lt;&gt;INDEX(Cal_Weeks[MonthYearLabel],19),'Grid_Stock'!T48,T48)+'Grid_Incoming'!U48-'Grid_Requirement'!U48</f>
        <v/>
      </c>
      <c r="V48">
        <f>IF(INDEX(Cal_Weeks[MonthYearLabel],21)&lt;&gt;INDEX(Cal_Weeks[MonthYearLabel],20),'Grid_Stock'!U48,U48)+'Grid_Incoming'!V48-'Grid_Requirement'!V48</f>
        <v/>
      </c>
      <c r="W48">
        <f>IF(INDEX(Cal_Weeks[MonthYearLabel],22)&lt;&gt;INDEX(Cal_Weeks[MonthYearLabel],21),'Grid_Stock'!V48,V48)+'Grid_Incoming'!W48-'Grid_Requirement'!W48</f>
        <v/>
      </c>
      <c r="X48">
        <f>IF(INDEX(Cal_Weeks[MonthYearLabel],23)&lt;&gt;INDEX(Cal_Weeks[MonthYearLabel],22),'Grid_Stock'!W48,W48)+'Grid_Incoming'!X48-'Grid_Requirement'!X48</f>
        <v/>
      </c>
      <c r="Y48">
        <f>IF(INDEX(Cal_Weeks[MonthYearLabel],24)&lt;&gt;INDEX(Cal_Weeks[MonthYearLabel],23),'Grid_Stock'!X48,X48)+'Grid_Incoming'!Y48-'Grid_Requirement'!Y48</f>
        <v/>
      </c>
      <c r="Z48">
        <f>IF(INDEX(Cal_Weeks[MonthYearLabel],25)&lt;&gt;INDEX(Cal_Weeks[MonthYearLabel],24),'Grid_Stock'!Y48,Y48)+'Grid_Incoming'!Z48-'Grid_Requirement'!Z48</f>
        <v/>
      </c>
      <c r="AA48">
        <f>IF(INDEX(Cal_Weeks[MonthYearLabel],26)&lt;&gt;INDEX(Cal_Weeks[MonthYearLabel],25),'Grid_Stock'!Z48,Z48)+'Grid_Incoming'!AA48-'Grid_Requirement'!AA48</f>
        <v/>
      </c>
      <c r="AB48">
        <f>IF(INDEX(Cal_Weeks[MonthYearLabel],27)&lt;&gt;INDEX(Cal_Weeks[MonthYearLabel],26),'Grid_Stock'!AA48,AA48)+'Grid_Incoming'!AB48-'Grid_Requirement'!AB48</f>
        <v/>
      </c>
      <c r="AC48">
        <f>IF(INDEX(Cal_Weeks[MonthYearLabel],28)&lt;&gt;INDEX(Cal_Weeks[MonthYearLabel],27),'Grid_Stock'!AB48,AB48)+'Grid_Incoming'!AC48-'Grid_Requirement'!AC48</f>
        <v/>
      </c>
      <c r="AD48">
        <f>IF(INDEX(Cal_Weeks[MonthYearLabel],29)&lt;&gt;INDEX(Cal_Weeks[MonthYearLabel],28),'Grid_Stock'!AC48,AC48)+'Grid_Incoming'!AD48-'Grid_Requirement'!AD48</f>
        <v/>
      </c>
      <c r="AE48">
        <f>IF(INDEX(Cal_Weeks[MonthYearLabel],30)&lt;&gt;INDEX(Cal_Weeks[MonthYearLabel],29),'Grid_Stock'!AD48,AD48)+'Grid_Incoming'!AE48-'Grid_Requirement'!AE48</f>
        <v/>
      </c>
      <c r="AF48">
        <f>IF(INDEX(Cal_Weeks[MonthYearLabel],31)&lt;&gt;INDEX(Cal_Weeks[MonthYearLabel],30),'Grid_Stock'!AE48,AE48)+'Grid_Incoming'!AF48-'Grid_Requirement'!AF48</f>
        <v/>
      </c>
      <c r="AG48">
        <f>IF(INDEX(Cal_Weeks[MonthYearLabel],32)&lt;&gt;INDEX(Cal_Weeks[MonthYearLabel],31),'Grid_Stock'!AF48,AF48)+'Grid_Incoming'!AG48-'Grid_Requirement'!AG48</f>
        <v/>
      </c>
      <c r="AH48">
        <f>IF(INDEX(Cal_Weeks[MonthYearLabel],33)&lt;&gt;INDEX(Cal_Weeks[MonthYearLabel],32),'Grid_Stock'!AG48,AG48)+'Grid_Incoming'!AH48-'Grid_Requirement'!AH48</f>
        <v/>
      </c>
      <c r="AI48">
        <f>IF(INDEX(Cal_Weeks[MonthYearLabel],34)&lt;&gt;INDEX(Cal_Weeks[MonthYearLabel],33),'Grid_Stock'!AH48,AH48)+'Grid_Incoming'!AI48-'Grid_Requirement'!AI48</f>
        <v/>
      </c>
      <c r="AJ48">
        <f>IF(INDEX(Cal_Weeks[MonthYearLabel],35)&lt;&gt;INDEX(Cal_Weeks[MonthYearLabel],34),'Grid_Stock'!AI48,AI48)+'Grid_Incoming'!AJ48-'Grid_Requirement'!AJ48</f>
        <v/>
      </c>
      <c r="AK48">
        <f>IF(INDEX(Cal_Weeks[MonthYearLabel],36)&lt;&gt;INDEX(Cal_Weeks[MonthYearLabel],35),'Grid_Stock'!AJ48,AJ48)+'Grid_Incoming'!AK48-'Grid_Requirement'!AK48</f>
        <v/>
      </c>
      <c r="AL48">
        <f>IF(INDEX(Cal_Weeks[MonthYearLabel],37)&lt;&gt;INDEX(Cal_Weeks[MonthYearLabel],36),'Grid_Stock'!AK48,AK48)+'Grid_Incoming'!AL48-'Grid_Requirement'!AL48</f>
        <v/>
      </c>
      <c r="AM48">
        <f>IF(INDEX(Cal_Weeks[MonthYearLabel],38)&lt;&gt;INDEX(Cal_Weeks[MonthYearLabel],37),'Grid_Stock'!AL48,AL48)+'Grid_Incoming'!AM48-'Grid_Requirement'!AM48</f>
        <v/>
      </c>
      <c r="AN48">
        <f>IF(INDEX(Cal_Weeks[MonthYearLabel],39)&lt;&gt;INDEX(Cal_Weeks[MonthYearLabel],38),'Grid_Stock'!AM48,AM48)+'Grid_Incoming'!AN48-'Grid_Requirement'!AN48</f>
        <v/>
      </c>
      <c r="AO48">
        <f>IF(INDEX(Cal_Weeks[MonthYearLabel],40)&lt;&gt;INDEX(Cal_Weeks[MonthYearLabel],39),'Grid_Stock'!AN48,AN48)+'Grid_Incoming'!AO48-'Grid_Requirement'!AO48</f>
        <v/>
      </c>
      <c r="AP48">
        <f>IF(INDEX(Cal_Weeks[MonthYearLabel],41)&lt;&gt;INDEX(Cal_Weeks[MonthYearLabel],40),'Grid_Stock'!AO48,AO48)+'Grid_Incoming'!AP48-'Grid_Requirement'!AP48</f>
        <v/>
      </c>
      <c r="AQ48">
        <f>IF(INDEX(Cal_Weeks[MonthYearLabel],42)&lt;&gt;INDEX(Cal_Weeks[MonthYearLabel],41),'Grid_Stock'!AP48,AP48)+'Grid_Incoming'!AQ48-'Grid_Requirement'!AQ48</f>
        <v/>
      </c>
      <c r="AR48">
        <f>IF(INDEX(Cal_Weeks[MonthYearLabel],43)&lt;&gt;INDEX(Cal_Weeks[MonthYearLabel],42),'Grid_Stock'!AQ48,AQ48)+'Grid_Incoming'!AR48-'Grid_Requirement'!AR48</f>
        <v/>
      </c>
      <c r="AS48">
        <f>IF(INDEX(Cal_Weeks[MonthYearLabel],44)&lt;&gt;INDEX(Cal_Weeks[MonthYearLabel],43),'Grid_Stock'!AR48,AR48)+'Grid_Incoming'!AS48-'Grid_Requirement'!AS48</f>
        <v/>
      </c>
      <c r="AT48">
        <f>IF(INDEX(Cal_Weeks[MonthYearLabel],45)&lt;&gt;INDEX(Cal_Weeks[MonthYearLabel],44),'Grid_Stock'!AS48,AS48)+'Grid_Incoming'!AT48-'Grid_Requirement'!AT48</f>
        <v/>
      </c>
      <c r="AU48">
        <f>IF(INDEX(Cal_Weeks[MonthYearLabel],46)&lt;&gt;INDEX(Cal_Weeks[MonthYearLabel],45),'Grid_Stock'!AT48,AT48)+'Grid_Incoming'!AU48-'Grid_Requirement'!AU48</f>
        <v/>
      </c>
      <c r="AV48">
        <f>IF(INDEX(Cal_Weeks[MonthYearLabel],47)&lt;&gt;INDEX(Cal_Weeks[MonthYearLabel],46),'Grid_Stock'!AU48,AU48)+'Grid_Incoming'!AV48-'Grid_Requirement'!AV48</f>
        <v/>
      </c>
      <c r="AW48">
        <f>IF(INDEX(Cal_Weeks[MonthYearLabel],48)&lt;&gt;INDEX(Cal_Weeks[MonthYearLabel],47),'Grid_Stock'!AV48,AV48)+'Grid_Incoming'!AW48-'Grid_Requirement'!AW48</f>
        <v/>
      </c>
      <c r="AX48">
        <f>IF(INDEX(Cal_Weeks[MonthYearLabel],49)&lt;&gt;INDEX(Cal_Weeks[MonthYearLabel],48),'Grid_Stock'!AW48,AW48)+'Grid_Incoming'!AX48-'Grid_Requirement'!AX48</f>
        <v/>
      </c>
      <c r="AY48">
        <f>IF(INDEX(Cal_Weeks[MonthYearLabel],50)&lt;&gt;INDEX(Cal_Weeks[MonthYearLabel],49),'Grid_Stock'!AX48,AX48)+'Grid_Incoming'!AY48-'Grid_Requirement'!AY48</f>
        <v/>
      </c>
      <c r="AZ48">
        <f>IF(INDEX(Cal_Weeks[MonthYearLabel],51)&lt;&gt;INDEX(Cal_Weeks[MonthYearLabel],50),'Grid_Stock'!AY48,AY48)+'Grid_Incoming'!AZ48-'Grid_Requirement'!AZ48</f>
        <v/>
      </c>
      <c r="BA48">
        <f>IF(INDEX(Cal_Weeks[MonthYearLabel],52)&lt;&gt;INDEX(Cal_Weeks[MonthYearLabel],51),'Grid_Stock'!AZ48,AZ48)+'Grid_Incoming'!BA48-'Grid_Requirement'!BA48</f>
        <v/>
      </c>
      <c r="BB48">
        <f>IF(INDEX(Cal_Weeks[MonthYearLabel],53)&lt;&gt;INDEX(Cal_Weeks[MonthYearLabel],52),'Grid_Stock'!BA48,BA48)+'Grid_Incoming'!BB48-'Grid_Requirement'!BB48</f>
        <v/>
      </c>
      <c r="BC48">
        <f>IF(INDEX(Cal_Weeks[MonthYearLabel],54)&lt;&gt;INDEX(Cal_Weeks[MonthYearLabel],53),'Grid_Stock'!BB48,BB48)+'Grid_Incoming'!BC48-'Grid_Requirement'!BC48</f>
        <v/>
      </c>
      <c r="BD48">
        <f>IF(INDEX(Cal_Weeks[MonthYearLabel],55)&lt;&gt;INDEX(Cal_Weeks[MonthYearLabel],54),'Grid_Stock'!BC48,BC48)+'Grid_Incoming'!BD48-'Grid_Requirement'!BD48</f>
        <v/>
      </c>
      <c r="BE48">
        <f>IF(INDEX(Cal_Weeks[MonthYearLabel],56)&lt;&gt;INDEX(Cal_Weeks[MonthYearLabel],55),'Grid_Stock'!BD48,BD48)+'Grid_Incoming'!BE48-'Grid_Requirement'!BE48</f>
        <v/>
      </c>
      <c r="BF48">
        <f>IF(INDEX(Cal_Weeks[MonthYearLabel],57)&lt;&gt;INDEX(Cal_Weeks[MonthYearLabel],56),'Grid_Stock'!BE48,BE48)+'Grid_Incoming'!BF48-'Grid_Requirement'!BF48</f>
        <v/>
      </c>
      <c r="BG48">
        <f>IF(INDEX(Cal_Weeks[MonthYearLabel],58)&lt;&gt;INDEX(Cal_Weeks[MonthYearLabel],57),'Grid_Stock'!BF48,BF48)+'Grid_Incoming'!BG48-'Grid_Requirement'!BG48</f>
        <v/>
      </c>
      <c r="BH48">
        <f>IF(INDEX(Cal_Weeks[MonthYearLabel],59)&lt;&gt;INDEX(Cal_Weeks[MonthYearLabel],58),'Grid_Stock'!BG48,BG48)+'Grid_Incoming'!BH48-'Grid_Requirement'!BH48</f>
        <v/>
      </c>
      <c r="BI48">
        <f>IF(INDEX(Cal_Weeks[MonthYearLabel],60)&lt;&gt;INDEX(Cal_Weeks[MonthYearLabel],59),'Grid_Stock'!BH48,BH48)+'Grid_Incoming'!BI48-'Grid_Requirement'!BI48</f>
        <v/>
      </c>
      <c r="BJ48">
        <f>IF(INDEX(Cal_Weeks[MonthYearLabel],61)&lt;&gt;INDEX(Cal_Weeks[MonthYearLabel],60),'Grid_Stock'!BI48,BI48)+'Grid_Incoming'!BJ48-'Grid_Requirement'!BJ48</f>
        <v/>
      </c>
      <c r="BK48">
        <f>IF(INDEX(Cal_Weeks[MonthYearLabel],62)&lt;&gt;INDEX(Cal_Weeks[MonthYearLabel],61),'Grid_Stock'!BJ48,BJ48)+'Grid_Incoming'!BK48-'Grid_Requirement'!BK48</f>
        <v/>
      </c>
      <c r="BL48">
        <f>IF(INDEX(Cal_Weeks[MonthYearLabel],63)&lt;&gt;INDEX(Cal_Weeks[MonthYearLabel],62),'Grid_Stock'!BK48,BK48)+'Grid_Incoming'!BL48-'Grid_Requirement'!BL48</f>
        <v/>
      </c>
      <c r="BM48">
        <f>IF(INDEX(Cal_Weeks[MonthYearLabel],64)&lt;&gt;INDEX(Cal_Weeks[MonthYearLabel],63),'Grid_Stock'!BL48,BL48)+'Grid_Incoming'!BM48-'Grid_Requirement'!BM48</f>
        <v/>
      </c>
      <c r="BN48">
        <f>IF(INDEX(Cal_Weeks[MonthYearLabel],65)&lt;&gt;INDEX(Cal_Weeks[MonthYearLabel],64),'Grid_Stock'!BM48,BM48)+'Grid_Incoming'!BN48-'Grid_Requirement'!BN48</f>
        <v/>
      </c>
      <c r="BO48">
        <f>IF(INDEX(Cal_Weeks[MonthYearLabel],66)&lt;&gt;INDEX(Cal_Weeks[MonthYearLabel],65),'Grid_Stock'!BN48,BN48)+'Grid_Incoming'!BO48-'Grid_Requirement'!BO48</f>
        <v/>
      </c>
      <c r="BP48">
        <f>IF(INDEX(Cal_Weeks[MonthYearLabel],67)&lt;&gt;INDEX(Cal_Weeks[MonthYearLabel],66),'Grid_Stock'!BO48,BO48)+'Grid_Incoming'!BP48-'Grid_Requirement'!BP48</f>
        <v/>
      </c>
      <c r="BQ48">
        <f>IF(INDEX(Cal_Weeks[MonthYearLabel],68)&lt;&gt;INDEX(Cal_Weeks[MonthYearLabel],67),'Grid_Stock'!BP48,BP48)+'Grid_Incoming'!BQ48-'Grid_Requirement'!BQ48</f>
        <v/>
      </c>
      <c r="BR48">
        <f>IF(INDEX(Cal_Weeks[MonthYearLabel],69)&lt;&gt;INDEX(Cal_Weeks[MonthYearLabel],68),'Grid_Stock'!BQ48,BQ48)+'Grid_Incoming'!BR48-'Grid_Requirement'!BR48</f>
        <v/>
      </c>
      <c r="BS48">
        <f>IF(INDEX(Cal_Weeks[MonthYearLabel],70)&lt;&gt;INDEX(Cal_Weeks[MonthYearLabel],69),'Grid_Stock'!BR48,BR48)+'Grid_Incoming'!BS48-'Grid_Requirement'!BS48</f>
        <v/>
      </c>
      <c r="BT48">
        <f>IF(INDEX(Cal_Weeks[MonthYearLabel],71)&lt;&gt;INDEX(Cal_Weeks[MonthYearLabel],70),'Grid_Stock'!BS48,BS48)+'Grid_Incoming'!BT48-'Grid_Requirement'!BT48</f>
        <v/>
      </c>
      <c r="BU48">
        <f>IF(INDEX(Cal_Weeks[MonthYearLabel],72)&lt;&gt;INDEX(Cal_Weeks[MonthYearLabel],71),'Grid_Stock'!BT48,BT48)+'Grid_Incoming'!BU48-'Grid_Requirement'!BU48</f>
        <v/>
      </c>
      <c r="BV48">
        <f>IF(INDEX(Cal_Weeks[MonthYearLabel],73)&lt;&gt;INDEX(Cal_Weeks[MonthYearLabel],72),'Grid_Stock'!BU48,BU48)+'Grid_Incoming'!BV48-'Grid_Requirement'!BV48</f>
        <v/>
      </c>
      <c r="BW48">
        <f>IF(INDEX(Cal_Weeks[MonthYearLabel],74)&lt;&gt;INDEX(Cal_Weeks[MonthYearLabel],73),'Grid_Stock'!BV48,BV48)+'Grid_Incoming'!BW48-'Grid_Requirement'!BW48</f>
        <v/>
      </c>
      <c r="BX48">
        <f>IF(INDEX(Cal_Weeks[MonthYearLabel],75)&lt;&gt;INDEX(Cal_Weeks[MonthYearLabel],74),'Grid_Stock'!BW48,BW48)+'Grid_Incoming'!BX48-'Grid_Requirement'!BX48</f>
        <v/>
      </c>
      <c r="BY48">
        <f>IF(INDEX(Cal_Weeks[MonthYearLabel],76)&lt;&gt;INDEX(Cal_Weeks[MonthYearLabel],75),'Grid_Stock'!BX48,BX48)+'Grid_Incoming'!BY48-'Grid_Requirement'!BY48</f>
        <v/>
      </c>
      <c r="BZ48">
        <f>IF(INDEX(Cal_Weeks[MonthYearLabel],77)&lt;&gt;INDEX(Cal_Weeks[MonthYearLabel],76),'Grid_Stock'!BY48,BY48)+'Grid_Incoming'!BZ48-'Grid_Requirement'!BZ48</f>
        <v/>
      </c>
      <c r="CA48">
        <f>IF(INDEX(Cal_Weeks[MonthYearLabel],78)&lt;&gt;INDEX(Cal_Weeks[MonthYearLabel],77),'Grid_Stock'!BZ48,BZ48)+'Grid_Incoming'!CA48-'Grid_Requirement'!CA48</f>
        <v/>
      </c>
      <c r="CB48">
        <f>IF(INDEX(Cal_Weeks[MonthYearLabel],79)&lt;&gt;INDEX(Cal_Weeks[MonthYearLabel],78),'Grid_Stock'!CA48,CA48)+'Grid_Incoming'!CB48-'Grid_Requirement'!CB48</f>
        <v/>
      </c>
      <c r="CC48">
        <f>IF(INDEX(Cal_Weeks[MonthYearLabel],80)&lt;&gt;INDEX(Cal_Weeks[MonthYearLabel],79),'Grid_Stock'!CB48,CB48)+'Grid_Incoming'!CC48-'Grid_Requirement'!CC48</f>
        <v/>
      </c>
      <c r="CD48">
        <f>IF(INDEX(Cal_Weeks[MonthYearLabel],81)&lt;&gt;INDEX(Cal_Weeks[MonthYearLabel],80),'Grid_Stock'!CC48,CC48)+'Grid_Incoming'!CD48-'Grid_Requirement'!CD48</f>
        <v/>
      </c>
      <c r="CE48">
        <f>IF(INDEX(Cal_Weeks[MonthYearLabel],82)&lt;&gt;INDEX(Cal_Weeks[MonthYearLabel],81),'Grid_Stock'!CD48,CD48)+'Grid_Incoming'!CE48-'Grid_Requirement'!CE48</f>
        <v/>
      </c>
      <c r="CF48">
        <f>IF(INDEX(Cal_Weeks[MonthYearLabel],83)&lt;&gt;INDEX(Cal_Weeks[MonthYearLabel],82),'Grid_Stock'!CE48,CE48)+'Grid_Incoming'!CF48-'Grid_Requirement'!CF48</f>
        <v/>
      </c>
      <c r="CG48">
        <f>IF(INDEX(Cal_Weeks[MonthYearLabel],84)&lt;&gt;INDEX(Cal_Weeks[MonthYearLabel],83),'Grid_Stock'!CF48,CF48)+'Grid_Incoming'!CG48-'Grid_Requirement'!CG48</f>
        <v/>
      </c>
      <c r="CH48">
        <f>IF(INDEX(Cal_Weeks[MonthYearLabel],85)&lt;&gt;INDEX(Cal_Weeks[MonthYearLabel],84),'Grid_Stock'!CG48,CG48)+'Grid_Incoming'!CH48-'Grid_Requirement'!CH48</f>
        <v/>
      </c>
      <c r="CI48">
        <f>IF(INDEX(Cal_Weeks[MonthYearLabel],86)&lt;&gt;INDEX(Cal_Weeks[MonthYearLabel],85),'Grid_Stock'!CH48,CH48)+'Grid_Incoming'!CI48-'Grid_Requirement'!CI48</f>
        <v/>
      </c>
      <c r="CJ48">
        <f>IF(INDEX(Cal_Weeks[MonthYearLabel],87)&lt;&gt;INDEX(Cal_Weeks[MonthYearLabel],86),'Grid_Stock'!CI48,CI48)+'Grid_Incoming'!CJ48-'Grid_Requirement'!CJ48</f>
        <v/>
      </c>
      <c r="CK48">
        <f>IF(INDEX(Cal_Weeks[MonthYearLabel],88)&lt;&gt;INDEX(Cal_Weeks[MonthYearLabel],87),'Grid_Stock'!CJ48,CJ48)+'Grid_Incoming'!CK48-'Grid_Requirement'!CK48</f>
        <v/>
      </c>
      <c r="CL48">
        <f>IF(INDEX(Cal_Weeks[MonthYearLabel],89)&lt;&gt;INDEX(Cal_Weeks[MonthYearLabel],88),'Grid_Stock'!CK48,CK48)+'Grid_Incoming'!CL48-'Grid_Requirement'!CL48</f>
        <v/>
      </c>
      <c r="CM48">
        <f>IF(INDEX(Cal_Weeks[MonthYearLabel],90)&lt;&gt;INDEX(Cal_Weeks[MonthYearLabel],89),'Grid_Stock'!CL48,CL48)+'Grid_Incoming'!CM48-'Grid_Requirement'!CM48</f>
        <v/>
      </c>
      <c r="CN48">
        <f>IF(INDEX(Cal_Weeks[MonthYearLabel],91)&lt;&gt;INDEX(Cal_Weeks[MonthYearLabel],90),'Grid_Stock'!CM48,CM48)+'Grid_Incoming'!CN48-'Grid_Requirement'!CN48</f>
        <v/>
      </c>
      <c r="CO48">
        <f>IF(INDEX(Cal_Weeks[MonthYearLabel],92)&lt;&gt;INDEX(Cal_Weeks[MonthYearLabel],91),'Grid_Stock'!CN48,CN48)+'Grid_Incoming'!CO48-'Grid_Requirement'!CO48</f>
        <v/>
      </c>
      <c r="CP48">
        <f>IF(INDEX(Cal_Weeks[MonthYearLabel],93)&lt;&gt;INDEX(Cal_Weeks[MonthYearLabel],92),'Grid_Stock'!CO48,CO48)+'Grid_Incoming'!CP48-'Grid_Requirement'!CP48</f>
        <v/>
      </c>
      <c r="CQ48">
        <f>IF(INDEX(Cal_Weeks[MonthYearLabel],94)&lt;&gt;INDEX(Cal_Weeks[MonthYearLabel],93),'Grid_Stock'!CP48,CP48)+'Grid_Incoming'!CQ48-'Grid_Requirement'!CQ48</f>
        <v/>
      </c>
      <c r="CR48">
        <f>IF(INDEX(Cal_Weeks[MonthYearLabel],95)&lt;&gt;INDEX(Cal_Weeks[MonthYearLabel],94),'Grid_Stock'!CQ48,CQ48)+'Grid_Incoming'!CR48-'Grid_Requirement'!CR48</f>
        <v/>
      </c>
      <c r="CS48">
        <f>IF(INDEX(Cal_Weeks[MonthYearLabel],96)&lt;&gt;INDEX(Cal_Weeks[MonthYearLabel],95),'Grid_Stock'!CR48,CR48)+'Grid_Incoming'!CS48-'Grid_Requirement'!CS48</f>
        <v/>
      </c>
      <c r="CT48">
        <f>IF(INDEX(Cal_Weeks[MonthYearLabel],97)&lt;&gt;INDEX(Cal_Weeks[MonthYearLabel],96),'Grid_Stock'!CS48,CS48)+'Grid_Incoming'!CT48-'Grid_Requirement'!CT48</f>
        <v/>
      </c>
      <c r="CU48">
        <f>IF(INDEX(Cal_Weeks[MonthYearLabel],98)&lt;&gt;INDEX(Cal_Weeks[MonthYearLabel],97),'Grid_Stock'!CT48,CT48)+'Grid_Incoming'!CU48-'Grid_Requirement'!CU48</f>
        <v/>
      </c>
      <c r="CV48">
        <f>IF(INDEX(Cal_Weeks[MonthYearLabel],99)&lt;&gt;INDEX(Cal_Weeks[MonthYearLabel],98),'Grid_Stock'!CU48,CU48)+'Grid_Incoming'!CV48-'Grid_Requirement'!CV48</f>
        <v/>
      </c>
      <c r="CW48">
        <f>IF(INDEX(Cal_Weeks[MonthYearLabel],100)&lt;&gt;INDEX(Cal_Weeks[MonthYearLabel],99),'Grid_Stock'!CV48,CV48)+'Grid_Incoming'!CW48-'Grid_Requirement'!CW48</f>
        <v/>
      </c>
      <c r="CX48">
        <f>IF(INDEX(Cal_Weeks[MonthYearLabel],101)&lt;&gt;INDEX(Cal_Weeks[MonthYearLabel],100),'Grid_Stock'!CW48,CW48)+'Grid_Incoming'!CX48-'Grid_Requirement'!CX48</f>
        <v/>
      </c>
      <c r="CY48">
        <f>IF(INDEX(Cal_Weeks[MonthYearLabel],102)&lt;&gt;INDEX(Cal_Weeks[MonthYearLabel],101),'Grid_Stock'!CX48,CX48)+'Grid_Incoming'!CY48-'Grid_Requirement'!CY48</f>
        <v/>
      </c>
      <c r="CZ48">
        <f>IF(INDEX(Cal_Weeks[MonthYearLabel],103)&lt;&gt;INDEX(Cal_Weeks[MonthYearLabel],102),'Grid_Stock'!CY48,CY48)+'Grid_Incoming'!CZ48-'Grid_Requirement'!CZ48</f>
        <v/>
      </c>
      <c r="DA48">
        <f>IF(INDEX(Cal_Weeks[MonthYearLabel],104)&lt;&gt;INDEX(Cal_Weeks[MonthYearLabel],103),'Grid_Stock'!CZ48,CZ48)+'Grid_Incoming'!DA48-'Grid_Requirement'!DA48</f>
        <v/>
      </c>
    </row>
    <row r="49">
      <c r="A49" t="inlineStr">
        <is>
          <t>CHEM-1010</t>
        </is>
      </c>
      <c r="B49">
        <f>IFERROR(INDEX(T_OpeningStock[Opening_Qty_要入力],MATCH($A49,T_OpeningStock[Part Name],0)),0)+'Grid_Incoming'!B49-'Grid_Requirement'!B49</f>
        <v/>
      </c>
      <c r="C49">
        <f>IF(INDEX(Cal_Weeks[MonthYearLabel],2)&lt;&gt;INDEX(Cal_Weeks[MonthYearLabel],1),'Grid_Stock'!B49,B49)+'Grid_Incoming'!C49-'Grid_Requirement'!C49</f>
        <v/>
      </c>
      <c r="D49">
        <f>IF(INDEX(Cal_Weeks[MonthYearLabel],3)&lt;&gt;INDEX(Cal_Weeks[MonthYearLabel],2),'Grid_Stock'!C49,C49)+'Grid_Incoming'!D49-'Grid_Requirement'!D49</f>
        <v/>
      </c>
      <c r="E49">
        <f>IF(INDEX(Cal_Weeks[MonthYearLabel],4)&lt;&gt;INDEX(Cal_Weeks[MonthYearLabel],3),'Grid_Stock'!D49,D49)+'Grid_Incoming'!E49-'Grid_Requirement'!E49</f>
        <v/>
      </c>
      <c r="F49">
        <f>IF(INDEX(Cal_Weeks[MonthYearLabel],5)&lt;&gt;INDEX(Cal_Weeks[MonthYearLabel],4),'Grid_Stock'!E49,E49)+'Grid_Incoming'!F49-'Grid_Requirement'!F49</f>
        <v/>
      </c>
      <c r="G49">
        <f>IF(INDEX(Cal_Weeks[MonthYearLabel],6)&lt;&gt;INDEX(Cal_Weeks[MonthYearLabel],5),'Grid_Stock'!F49,F49)+'Grid_Incoming'!G49-'Grid_Requirement'!G49</f>
        <v/>
      </c>
      <c r="H49">
        <f>IF(INDEX(Cal_Weeks[MonthYearLabel],7)&lt;&gt;INDEX(Cal_Weeks[MonthYearLabel],6),'Grid_Stock'!G49,G49)+'Grid_Incoming'!H49-'Grid_Requirement'!H49</f>
        <v/>
      </c>
      <c r="I49">
        <f>IF(INDEX(Cal_Weeks[MonthYearLabel],8)&lt;&gt;INDEX(Cal_Weeks[MonthYearLabel],7),'Grid_Stock'!H49,H49)+'Grid_Incoming'!I49-'Grid_Requirement'!I49</f>
        <v/>
      </c>
      <c r="J49">
        <f>IF(INDEX(Cal_Weeks[MonthYearLabel],9)&lt;&gt;INDEX(Cal_Weeks[MonthYearLabel],8),'Grid_Stock'!I49,I49)+'Grid_Incoming'!J49-'Grid_Requirement'!J49</f>
        <v/>
      </c>
      <c r="K49">
        <f>IF(INDEX(Cal_Weeks[MonthYearLabel],10)&lt;&gt;INDEX(Cal_Weeks[MonthYearLabel],9),'Grid_Stock'!J49,J49)+'Grid_Incoming'!K49-'Grid_Requirement'!K49</f>
        <v/>
      </c>
      <c r="L49">
        <f>IF(INDEX(Cal_Weeks[MonthYearLabel],11)&lt;&gt;INDEX(Cal_Weeks[MonthYearLabel],10),'Grid_Stock'!K49,K49)+'Grid_Incoming'!L49-'Grid_Requirement'!L49</f>
        <v/>
      </c>
      <c r="M49">
        <f>IF(INDEX(Cal_Weeks[MonthYearLabel],12)&lt;&gt;INDEX(Cal_Weeks[MonthYearLabel],11),'Grid_Stock'!L49,L49)+'Grid_Incoming'!M49-'Grid_Requirement'!M49</f>
        <v/>
      </c>
      <c r="N49">
        <f>IF(INDEX(Cal_Weeks[MonthYearLabel],13)&lt;&gt;INDEX(Cal_Weeks[MonthYearLabel],12),'Grid_Stock'!M49,M49)+'Grid_Incoming'!N49-'Grid_Requirement'!N49</f>
        <v/>
      </c>
      <c r="O49">
        <f>IF(INDEX(Cal_Weeks[MonthYearLabel],14)&lt;&gt;INDEX(Cal_Weeks[MonthYearLabel],13),'Grid_Stock'!N49,N49)+'Grid_Incoming'!O49-'Grid_Requirement'!O49</f>
        <v/>
      </c>
      <c r="P49">
        <f>IF(INDEX(Cal_Weeks[MonthYearLabel],15)&lt;&gt;INDEX(Cal_Weeks[MonthYearLabel],14),'Grid_Stock'!O49,O49)+'Grid_Incoming'!P49-'Grid_Requirement'!P49</f>
        <v/>
      </c>
      <c r="Q49">
        <f>IF(INDEX(Cal_Weeks[MonthYearLabel],16)&lt;&gt;INDEX(Cal_Weeks[MonthYearLabel],15),'Grid_Stock'!P49,P49)+'Grid_Incoming'!Q49-'Grid_Requirement'!Q49</f>
        <v/>
      </c>
      <c r="R49">
        <f>IF(INDEX(Cal_Weeks[MonthYearLabel],17)&lt;&gt;INDEX(Cal_Weeks[MonthYearLabel],16),'Grid_Stock'!Q49,Q49)+'Grid_Incoming'!R49-'Grid_Requirement'!R49</f>
        <v/>
      </c>
      <c r="S49">
        <f>IF(INDEX(Cal_Weeks[MonthYearLabel],18)&lt;&gt;INDEX(Cal_Weeks[MonthYearLabel],17),'Grid_Stock'!R49,R49)+'Grid_Incoming'!S49-'Grid_Requirement'!S49</f>
        <v/>
      </c>
      <c r="T49">
        <f>IF(INDEX(Cal_Weeks[MonthYearLabel],19)&lt;&gt;INDEX(Cal_Weeks[MonthYearLabel],18),'Grid_Stock'!S49,S49)+'Grid_Incoming'!T49-'Grid_Requirement'!T49</f>
        <v/>
      </c>
      <c r="U49">
        <f>IF(INDEX(Cal_Weeks[MonthYearLabel],20)&lt;&gt;INDEX(Cal_Weeks[MonthYearLabel],19),'Grid_Stock'!T49,T49)+'Grid_Incoming'!U49-'Grid_Requirement'!U49</f>
        <v/>
      </c>
      <c r="V49">
        <f>IF(INDEX(Cal_Weeks[MonthYearLabel],21)&lt;&gt;INDEX(Cal_Weeks[MonthYearLabel],20),'Grid_Stock'!U49,U49)+'Grid_Incoming'!V49-'Grid_Requirement'!V49</f>
        <v/>
      </c>
      <c r="W49">
        <f>IF(INDEX(Cal_Weeks[MonthYearLabel],22)&lt;&gt;INDEX(Cal_Weeks[MonthYearLabel],21),'Grid_Stock'!V49,V49)+'Grid_Incoming'!W49-'Grid_Requirement'!W49</f>
        <v/>
      </c>
      <c r="X49">
        <f>IF(INDEX(Cal_Weeks[MonthYearLabel],23)&lt;&gt;INDEX(Cal_Weeks[MonthYearLabel],22),'Grid_Stock'!W49,W49)+'Grid_Incoming'!X49-'Grid_Requirement'!X49</f>
        <v/>
      </c>
      <c r="Y49">
        <f>IF(INDEX(Cal_Weeks[MonthYearLabel],24)&lt;&gt;INDEX(Cal_Weeks[MonthYearLabel],23),'Grid_Stock'!X49,X49)+'Grid_Incoming'!Y49-'Grid_Requirement'!Y49</f>
        <v/>
      </c>
      <c r="Z49">
        <f>IF(INDEX(Cal_Weeks[MonthYearLabel],25)&lt;&gt;INDEX(Cal_Weeks[MonthYearLabel],24),'Grid_Stock'!Y49,Y49)+'Grid_Incoming'!Z49-'Grid_Requirement'!Z49</f>
        <v/>
      </c>
      <c r="AA49">
        <f>IF(INDEX(Cal_Weeks[MonthYearLabel],26)&lt;&gt;INDEX(Cal_Weeks[MonthYearLabel],25),'Grid_Stock'!Z49,Z49)+'Grid_Incoming'!AA49-'Grid_Requirement'!AA49</f>
        <v/>
      </c>
      <c r="AB49">
        <f>IF(INDEX(Cal_Weeks[MonthYearLabel],27)&lt;&gt;INDEX(Cal_Weeks[MonthYearLabel],26),'Grid_Stock'!AA49,AA49)+'Grid_Incoming'!AB49-'Grid_Requirement'!AB49</f>
        <v/>
      </c>
      <c r="AC49">
        <f>IF(INDEX(Cal_Weeks[MonthYearLabel],28)&lt;&gt;INDEX(Cal_Weeks[MonthYearLabel],27),'Grid_Stock'!AB49,AB49)+'Grid_Incoming'!AC49-'Grid_Requirement'!AC49</f>
        <v/>
      </c>
      <c r="AD49">
        <f>IF(INDEX(Cal_Weeks[MonthYearLabel],29)&lt;&gt;INDEX(Cal_Weeks[MonthYearLabel],28),'Grid_Stock'!AC49,AC49)+'Grid_Incoming'!AD49-'Grid_Requirement'!AD49</f>
        <v/>
      </c>
      <c r="AE49">
        <f>IF(INDEX(Cal_Weeks[MonthYearLabel],30)&lt;&gt;INDEX(Cal_Weeks[MonthYearLabel],29),'Grid_Stock'!AD49,AD49)+'Grid_Incoming'!AE49-'Grid_Requirement'!AE49</f>
        <v/>
      </c>
      <c r="AF49">
        <f>IF(INDEX(Cal_Weeks[MonthYearLabel],31)&lt;&gt;INDEX(Cal_Weeks[MonthYearLabel],30),'Grid_Stock'!AE49,AE49)+'Grid_Incoming'!AF49-'Grid_Requirement'!AF49</f>
        <v/>
      </c>
      <c r="AG49">
        <f>IF(INDEX(Cal_Weeks[MonthYearLabel],32)&lt;&gt;INDEX(Cal_Weeks[MonthYearLabel],31),'Grid_Stock'!AF49,AF49)+'Grid_Incoming'!AG49-'Grid_Requirement'!AG49</f>
        <v/>
      </c>
      <c r="AH49">
        <f>IF(INDEX(Cal_Weeks[MonthYearLabel],33)&lt;&gt;INDEX(Cal_Weeks[MonthYearLabel],32),'Grid_Stock'!AG49,AG49)+'Grid_Incoming'!AH49-'Grid_Requirement'!AH49</f>
        <v/>
      </c>
      <c r="AI49">
        <f>IF(INDEX(Cal_Weeks[MonthYearLabel],34)&lt;&gt;INDEX(Cal_Weeks[MonthYearLabel],33),'Grid_Stock'!AH49,AH49)+'Grid_Incoming'!AI49-'Grid_Requirement'!AI49</f>
        <v/>
      </c>
      <c r="AJ49">
        <f>IF(INDEX(Cal_Weeks[MonthYearLabel],35)&lt;&gt;INDEX(Cal_Weeks[MonthYearLabel],34),'Grid_Stock'!AI49,AI49)+'Grid_Incoming'!AJ49-'Grid_Requirement'!AJ49</f>
        <v/>
      </c>
      <c r="AK49">
        <f>IF(INDEX(Cal_Weeks[MonthYearLabel],36)&lt;&gt;INDEX(Cal_Weeks[MonthYearLabel],35),'Grid_Stock'!AJ49,AJ49)+'Grid_Incoming'!AK49-'Grid_Requirement'!AK49</f>
        <v/>
      </c>
      <c r="AL49">
        <f>IF(INDEX(Cal_Weeks[MonthYearLabel],37)&lt;&gt;INDEX(Cal_Weeks[MonthYearLabel],36),'Grid_Stock'!AK49,AK49)+'Grid_Incoming'!AL49-'Grid_Requirement'!AL49</f>
        <v/>
      </c>
      <c r="AM49">
        <f>IF(INDEX(Cal_Weeks[MonthYearLabel],38)&lt;&gt;INDEX(Cal_Weeks[MonthYearLabel],37),'Grid_Stock'!AL49,AL49)+'Grid_Incoming'!AM49-'Grid_Requirement'!AM49</f>
        <v/>
      </c>
      <c r="AN49">
        <f>IF(INDEX(Cal_Weeks[MonthYearLabel],39)&lt;&gt;INDEX(Cal_Weeks[MonthYearLabel],38),'Grid_Stock'!AM49,AM49)+'Grid_Incoming'!AN49-'Grid_Requirement'!AN49</f>
        <v/>
      </c>
      <c r="AO49">
        <f>IF(INDEX(Cal_Weeks[MonthYearLabel],40)&lt;&gt;INDEX(Cal_Weeks[MonthYearLabel],39),'Grid_Stock'!AN49,AN49)+'Grid_Incoming'!AO49-'Grid_Requirement'!AO49</f>
        <v/>
      </c>
      <c r="AP49">
        <f>IF(INDEX(Cal_Weeks[MonthYearLabel],41)&lt;&gt;INDEX(Cal_Weeks[MonthYearLabel],40),'Grid_Stock'!AO49,AO49)+'Grid_Incoming'!AP49-'Grid_Requirement'!AP49</f>
        <v/>
      </c>
      <c r="AQ49">
        <f>IF(INDEX(Cal_Weeks[MonthYearLabel],42)&lt;&gt;INDEX(Cal_Weeks[MonthYearLabel],41),'Grid_Stock'!AP49,AP49)+'Grid_Incoming'!AQ49-'Grid_Requirement'!AQ49</f>
        <v/>
      </c>
      <c r="AR49">
        <f>IF(INDEX(Cal_Weeks[MonthYearLabel],43)&lt;&gt;INDEX(Cal_Weeks[MonthYearLabel],42),'Grid_Stock'!AQ49,AQ49)+'Grid_Incoming'!AR49-'Grid_Requirement'!AR49</f>
        <v/>
      </c>
      <c r="AS49">
        <f>IF(INDEX(Cal_Weeks[MonthYearLabel],44)&lt;&gt;INDEX(Cal_Weeks[MonthYearLabel],43),'Grid_Stock'!AR49,AR49)+'Grid_Incoming'!AS49-'Grid_Requirement'!AS49</f>
        <v/>
      </c>
      <c r="AT49">
        <f>IF(INDEX(Cal_Weeks[MonthYearLabel],45)&lt;&gt;INDEX(Cal_Weeks[MonthYearLabel],44),'Grid_Stock'!AS49,AS49)+'Grid_Incoming'!AT49-'Grid_Requirement'!AT49</f>
        <v/>
      </c>
      <c r="AU49">
        <f>IF(INDEX(Cal_Weeks[MonthYearLabel],46)&lt;&gt;INDEX(Cal_Weeks[MonthYearLabel],45),'Grid_Stock'!AT49,AT49)+'Grid_Incoming'!AU49-'Grid_Requirement'!AU49</f>
        <v/>
      </c>
      <c r="AV49">
        <f>IF(INDEX(Cal_Weeks[MonthYearLabel],47)&lt;&gt;INDEX(Cal_Weeks[MonthYearLabel],46),'Grid_Stock'!AU49,AU49)+'Grid_Incoming'!AV49-'Grid_Requirement'!AV49</f>
        <v/>
      </c>
      <c r="AW49">
        <f>IF(INDEX(Cal_Weeks[MonthYearLabel],48)&lt;&gt;INDEX(Cal_Weeks[MonthYearLabel],47),'Grid_Stock'!AV49,AV49)+'Grid_Incoming'!AW49-'Grid_Requirement'!AW49</f>
        <v/>
      </c>
      <c r="AX49">
        <f>IF(INDEX(Cal_Weeks[MonthYearLabel],49)&lt;&gt;INDEX(Cal_Weeks[MonthYearLabel],48),'Grid_Stock'!AW49,AW49)+'Grid_Incoming'!AX49-'Grid_Requirement'!AX49</f>
        <v/>
      </c>
      <c r="AY49">
        <f>IF(INDEX(Cal_Weeks[MonthYearLabel],50)&lt;&gt;INDEX(Cal_Weeks[MonthYearLabel],49),'Grid_Stock'!AX49,AX49)+'Grid_Incoming'!AY49-'Grid_Requirement'!AY49</f>
        <v/>
      </c>
      <c r="AZ49">
        <f>IF(INDEX(Cal_Weeks[MonthYearLabel],51)&lt;&gt;INDEX(Cal_Weeks[MonthYearLabel],50),'Grid_Stock'!AY49,AY49)+'Grid_Incoming'!AZ49-'Grid_Requirement'!AZ49</f>
        <v/>
      </c>
      <c r="BA49">
        <f>IF(INDEX(Cal_Weeks[MonthYearLabel],52)&lt;&gt;INDEX(Cal_Weeks[MonthYearLabel],51),'Grid_Stock'!AZ49,AZ49)+'Grid_Incoming'!BA49-'Grid_Requirement'!BA49</f>
        <v/>
      </c>
      <c r="BB49">
        <f>IF(INDEX(Cal_Weeks[MonthYearLabel],53)&lt;&gt;INDEX(Cal_Weeks[MonthYearLabel],52),'Grid_Stock'!BA49,BA49)+'Grid_Incoming'!BB49-'Grid_Requirement'!BB49</f>
        <v/>
      </c>
      <c r="BC49">
        <f>IF(INDEX(Cal_Weeks[MonthYearLabel],54)&lt;&gt;INDEX(Cal_Weeks[MonthYearLabel],53),'Grid_Stock'!BB49,BB49)+'Grid_Incoming'!BC49-'Grid_Requirement'!BC49</f>
        <v/>
      </c>
      <c r="BD49">
        <f>IF(INDEX(Cal_Weeks[MonthYearLabel],55)&lt;&gt;INDEX(Cal_Weeks[MonthYearLabel],54),'Grid_Stock'!BC49,BC49)+'Grid_Incoming'!BD49-'Grid_Requirement'!BD49</f>
        <v/>
      </c>
      <c r="BE49">
        <f>IF(INDEX(Cal_Weeks[MonthYearLabel],56)&lt;&gt;INDEX(Cal_Weeks[MonthYearLabel],55),'Grid_Stock'!BD49,BD49)+'Grid_Incoming'!BE49-'Grid_Requirement'!BE49</f>
        <v/>
      </c>
      <c r="BF49">
        <f>IF(INDEX(Cal_Weeks[MonthYearLabel],57)&lt;&gt;INDEX(Cal_Weeks[MonthYearLabel],56),'Grid_Stock'!BE49,BE49)+'Grid_Incoming'!BF49-'Grid_Requirement'!BF49</f>
        <v/>
      </c>
      <c r="BG49">
        <f>IF(INDEX(Cal_Weeks[MonthYearLabel],58)&lt;&gt;INDEX(Cal_Weeks[MonthYearLabel],57),'Grid_Stock'!BF49,BF49)+'Grid_Incoming'!BG49-'Grid_Requirement'!BG49</f>
        <v/>
      </c>
      <c r="BH49">
        <f>IF(INDEX(Cal_Weeks[MonthYearLabel],59)&lt;&gt;INDEX(Cal_Weeks[MonthYearLabel],58),'Grid_Stock'!BG49,BG49)+'Grid_Incoming'!BH49-'Grid_Requirement'!BH49</f>
        <v/>
      </c>
      <c r="BI49">
        <f>IF(INDEX(Cal_Weeks[MonthYearLabel],60)&lt;&gt;INDEX(Cal_Weeks[MonthYearLabel],59),'Grid_Stock'!BH49,BH49)+'Grid_Incoming'!BI49-'Grid_Requirement'!BI49</f>
        <v/>
      </c>
      <c r="BJ49">
        <f>IF(INDEX(Cal_Weeks[MonthYearLabel],61)&lt;&gt;INDEX(Cal_Weeks[MonthYearLabel],60),'Grid_Stock'!BI49,BI49)+'Grid_Incoming'!BJ49-'Grid_Requirement'!BJ49</f>
        <v/>
      </c>
      <c r="BK49">
        <f>IF(INDEX(Cal_Weeks[MonthYearLabel],62)&lt;&gt;INDEX(Cal_Weeks[MonthYearLabel],61),'Grid_Stock'!BJ49,BJ49)+'Grid_Incoming'!BK49-'Grid_Requirement'!BK49</f>
        <v/>
      </c>
      <c r="BL49">
        <f>IF(INDEX(Cal_Weeks[MonthYearLabel],63)&lt;&gt;INDEX(Cal_Weeks[MonthYearLabel],62),'Grid_Stock'!BK49,BK49)+'Grid_Incoming'!BL49-'Grid_Requirement'!BL49</f>
        <v/>
      </c>
      <c r="BM49">
        <f>IF(INDEX(Cal_Weeks[MonthYearLabel],64)&lt;&gt;INDEX(Cal_Weeks[MonthYearLabel],63),'Grid_Stock'!BL49,BL49)+'Grid_Incoming'!BM49-'Grid_Requirement'!BM49</f>
        <v/>
      </c>
      <c r="BN49">
        <f>IF(INDEX(Cal_Weeks[MonthYearLabel],65)&lt;&gt;INDEX(Cal_Weeks[MonthYearLabel],64),'Grid_Stock'!BM49,BM49)+'Grid_Incoming'!BN49-'Grid_Requirement'!BN49</f>
        <v/>
      </c>
      <c r="BO49">
        <f>IF(INDEX(Cal_Weeks[MonthYearLabel],66)&lt;&gt;INDEX(Cal_Weeks[MonthYearLabel],65),'Grid_Stock'!BN49,BN49)+'Grid_Incoming'!BO49-'Grid_Requirement'!BO49</f>
        <v/>
      </c>
      <c r="BP49">
        <f>IF(INDEX(Cal_Weeks[MonthYearLabel],67)&lt;&gt;INDEX(Cal_Weeks[MonthYearLabel],66),'Grid_Stock'!BO49,BO49)+'Grid_Incoming'!BP49-'Grid_Requirement'!BP49</f>
        <v/>
      </c>
      <c r="BQ49">
        <f>IF(INDEX(Cal_Weeks[MonthYearLabel],68)&lt;&gt;INDEX(Cal_Weeks[MonthYearLabel],67),'Grid_Stock'!BP49,BP49)+'Grid_Incoming'!BQ49-'Grid_Requirement'!BQ49</f>
        <v/>
      </c>
      <c r="BR49">
        <f>IF(INDEX(Cal_Weeks[MonthYearLabel],69)&lt;&gt;INDEX(Cal_Weeks[MonthYearLabel],68),'Grid_Stock'!BQ49,BQ49)+'Grid_Incoming'!BR49-'Grid_Requirement'!BR49</f>
        <v/>
      </c>
      <c r="BS49">
        <f>IF(INDEX(Cal_Weeks[MonthYearLabel],70)&lt;&gt;INDEX(Cal_Weeks[MonthYearLabel],69),'Grid_Stock'!BR49,BR49)+'Grid_Incoming'!BS49-'Grid_Requirement'!BS49</f>
        <v/>
      </c>
      <c r="BT49">
        <f>IF(INDEX(Cal_Weeks[MonthYearLabel],71)&lt;&gt;INDEX(Cal_Weeks[MonthYearLabel],70),'Grid_Stock'!BS49,BS49)+'Grid_Incoming'!BT49-'Grid_Requirement'!BT49</f>
        <v/>
      </c>
      <c r="BU49">
        <f>IF(INDEX(Cal_Weeks[MonthYearLabel],72)&lt;&gt;INDEX(Cal_Weeks[MonthYearLabel],71),'Grid_Stock'!BT49,BT49)+'Grid_Incoming'!BU49-'Grid_Requirement'!BU49</f>
        <v/>
      </c>
      <c r="BV49">
        <f>IF(INDEX(Cal_Weeks[MonthYearLabel],73)&lt;&gt;INDEX(Cal_Weeks[MonthYearLabel],72),'Grid_Stock'!BU49,BU49)+'Grid_Incoming'!BV49-'Grid_Requirement'!BV49</f>
        <v/>
      </c>
      <c r="BW49">
        <f>IF(INDEX(Cal_Weeks[MonthYearLabel],74)&lt;&gt;INDEX(Cal_Weeks[MonthYearLabel],73),'Grid_Stock'!BV49,BV49)+'Grid_Incoming'!BW49-'Grid_Requirement'!BW49</f>
        <v/>
      </c>
      <c r="BX49">
        <f>IF(INDEX(Cal_Weeks[MonthYearLabel],75)&lt;&gt;INDEX(Cal_Weeks[MonthYearLabel],74),'Grid_Stock'!BW49,BW49)+'Grid_Incoming'!BX49-'Grid_Requirement'!BX49</f>
        <v/>
      </c>
      <c r="BY49">
        <f>IF(INDEX(Cal_Weeks[MonthYearLabel],76)&lt;&gt;INDEX(Cal_Weeks[MonthYearLabel],75),'Grid_Stock'!BX49,BX49)+'Grid_Incoming'!BY49-'Grid_Requirement'!BY49</f>
        <v/>
      </c>
      <c r="BZ49">
        <f>IF(INDEX(Cal_Weeks[MonthYearLabel],77)&lt;&gt;INDEX(Cal_Weeks[MonthYearLabel],76),'Grid_Stock'!BY49,BY49)+'Grid_Incoming'!BZ49-'Grid_Requirement'!BZ49</f>
        <v/>
      </c>
      <c r="CA49">
        <f>IF(INDEX(Cal_Weeks[MonthYearLabel],78)&lt;&gt;INDEX(Cal_Weeks[MonthYearLabel],77),'Grid_Stock'!BZ49,BZ49)+'Grid_Incoming'!CA49-'Grid_Requirement'!CA49</f>
        <v/>
      </c>
      <c r="CB49">
        <f>IF(INDEX(Cal_Weeks[MonthYearLabel],79)&lt;&gt;INDEX(Cal_Weeks[MonthYearLabel],78),'Grid_Stock'!CA49,CA49)+'Grid_Incoming'!CB49-'Grid_Requirement'!CB49</f>
        <v/>
      </c>
      <c r="CC49">
        <f>IF(INDEX(Cal_Weeks[MonthYearLabel],80)&lt;&gt;INDEX(Cal_Weeks[MonthYearLabel],79),'Grid_Stock'!CB49,CB49)+'Grid_Incoming'!CC49-'Grid_Requirement'!CC49</f>
        <v/>
      </c>
      <c r="CD49">
        <f>IF(INDEX(Cal_Weeks[MonthYearLabel],81)&lt;&gt;INDEX(Cal_Weeks[MonthYearLabel],80),'Grid_Stock'!CC49,CC49)+'Grid_Incoming'!CD49-'Grid_Requirement'!CD49</f>
        <v/>
      </c>
      <c r="CE49">
        <f>IF(INDEX(Cal_Weeks[MonthYearLabel],82)&lt;&gt;INDEX(Cal_Weeks[MonthYearLabel],81),'Grid_Stock'!CD49,CD49)+'Grid_Incoming'!CE49-'Grid_Requirement'!CE49</f>
        <v/>
      </c>
      <c r="CF49">
        <f>IF(INDEX(Cal_Weeks[MonthYearLabel],83)&lt;&gt;INDEX(Cal_Weeks[MonthYearLabel],82),'Grid_Stock'!CE49,CE49)+'Grid_Incoming'!CF49-'Grid_Requirement'!CF49</f>
        <v/>
      </c>
      <c r="CG49">
        <f>IF(INDEX(Cal_Weeks[MonthYearLabel],84)&lt;&gt;INDEX(Cal_Weeks[MonthYearLabel],83),'Grid_Stock'!CF49,CF49)+'Grid_Incoming'!CG49-'Grid_Requirement'!CG49</f>
        <v/>
      </c>
      <c r="CH49">
        <f>IF(INDEX(Cal_Weeks[MonthYearLabel],85)&lt;&gt;INDEX(Cal_Weeks[MonthYearLabel],84),'Grid_Stock'!CG49,CG49)+'Grid_Incoming'!CH49-'Grid_Requirement'!CH49</f>
        <v/>
      </c>
      <c r="CI49">
        <f>IF(INDEX(Cal_Weeks[MonthYearLabel],86)&lt;&gt;INDEX(Cal_Weeks[MonthYearLabel],85),'Grid_Stock'!CH49,CH49)+'Grid_Incoming'!CI49-'Grid_Requirement'!CI49</f>
        <v/>
      </c>
      <c r="CJ49">
        <f>IF(INDEX(Cal_Weeks[MonthYearLabel],87)&lt;&gt;INDEX(Cal_Weeks[MonthYearLabel],86),'Grid_Stock'!CI49,CI49)+'Grid_Incoming'!CJ49-'Grid_Requirement'!CJ49</f>
        <v/>
      </c>
      <c r="CK49">
        <f>IF(INDEX(Cal_Weeks[MonthYearLabel],88)&lt;&gt;INDEX(Cal_Weeks[MonthYearLabel],87),'Grid_Stock'!CJ49,CJ49)+'Grid_Incoming'!CK49-'Grid_Requirement'!CK49</f>
        <v/>
      </c>
      <c r="CL49">
        <f>IF(INDEX(Cal_Weeks[MonthYearLabel],89)&lt;&gt;INDEX(Cal_Weeks[MonthYearLabel],88),'Grid_Stock'!CK49,CK49)+'Grid_Incoming'!CL49-'Grid_Requirement'!CL49</f>
        <v/>
      </c>
      <c r="CM49">
        <f>IF(INDEX(Cal_Weeks[MonthYearLabel],90)&lt;&gt;INDEX(Cal_Weeks[MonthYearLabel],89),'Grid_Stock'!CL49,CL49)+'Grid_Incoming'!CM49-'Grid_Requirement'!CM49</f>
        <v/>
      </c>
      <c r="CN49">
        <f>IF(INDEX(Cal_Weeks[MonthYearLabel],91)&lt;&gt;INDEX(Cal_Weeks[MonthYearLabel],90),'Grid_Stock'!CM49,CM49)+'Grid_Incoming'!CN49-'Grid_Requirement'!CN49</f>
        <v/>
      </c>
      <c r="CO49">
        <f>IF(INDEX(Cal_Weeks[MonthYearLabel],92)&lt;&gt;INDEX(Cal_Weeks[MonthYearLabel],91),'Grid_Stock'!CN49,CN49)+'Grid_Incoming'!CO49-'Grid_Requirement'!CO49</f>
        <v/>
      </c>
      <c r="CP49">
        <f>IF(INDEX(Cal_Weeks[MonthYearLabel],93)&lt;&gt;INDEX(Cal_Weeks[MonthYearLabel],92),'Grid_Stock'!CO49,CO49)+'Grid_Incoming'!CP49-'Grid_Requirement'!CP49</f>
        <v/>
      </c>
      <c r="CQ49">
        <f>IF(INDEX(Cal_Weeks[MonthYearLabel],94)&lt;&gt;INDEX(Cal_Weeks[MonthYearLabel],93),'Grid_Stock'!CP49,CP49)+'Grid_Incoming'!CQ49-'Grid_Requirement'!CQ49</f>
        <v/>
      </c>
      <c r="CR49">
        <f>IF(INDEX(Cal_Weeks[MonthYearLabel],95)&lt;&gt;INDEX(Cal_Weeks[MonthYearLabel],94),'Grid_Stock'!CQ49,CQ49)+'Grid_Incoming'!CR49-'Grid_Requirement'!CR49</f>
        <v/>
      </c>
      <c r="CS49">
        <f>IF(INDEX(Cal_Weeks[MonthYearLabel],96)&lt;&gt;INDEX(Cal_Weeks[MonthYearLabel],95),'Grid_Stock'!CR49,CR49)+'Grid_Incoming'!CS49-'Grid_Requirement'!CS49</f>
        <v/>
      </c>
      <c r="CT49">
        <f>IF(INDEX(Cal_Weeks[MonthYearLabel],97)&lt;&gt;INDEX(Cal_Weeks[MonthYearLabel],96),'Grid_Stock'!CS49,CS49)+'Grid_Incoming'!CT49-'Grid_Requirement'!CT49</f>
        <v/>
      </c>
      <c r="CU49">
        <f>IF(INDEX(Cal_Weeks[MonthYearLabel],98)&lt;&gt;INDEX(Cal_Weeks[MonthYearLabel],97),'Grid_Stock'!CT49,CT49)+'Grid_Incoming'!CU49-'Grid_Requirement'!CU49</f>
        <v/>
      </c>
      <c r="CV49">
        <f>IF(INDEX(Cal_Weeks[MonthYearLabel],99)&lt;&gt;INDEX(Cal_Weeks[MonthYearLabel],98),'Grid_Stock'!CU49,CU49)+'Grid_Incoming'!CV49-'Grid_Requirement'!CV49</f>
        <v/>
      </c>
      <c r="CW49">
        <f>IF(INDEX(Cal_Weeks[MonthYearLabel],100)&lt;&gt;INDEX(Cal_Weeks[MonthYearLabel],99),'Grid_Stock'!CV49,CV49)+'Grid_Incoming'!CW49-'Grid_Requirement'!CW49</f>
        <v/>
      </c>
      <c r="CX49">
        <f>IF(INDEX(Cal_Weeks[MonthYearLabel],101)&lt;&gt;INDEX(Cal_Weeks[MonthYearLabel],100),'Grid_Stock'!CW49,CW49)+'Grid_Incoming'!CX49-'Grid_Requirement'!CX49</f>
        <v/>
      </c>
      <c r="CY49">
        <f>IF(INDEX(Cal_Weeks[MonthYearLabel],102)&lt;&gt;INDEX(Cal_Weeks[MonthYearLabel],101),'Grid_Stock'!CX49,CX49)+'Grid_Incoming'!CY49-'Grid_Requirement'!CY49</f>
        <v/>
      </c>
      <c r="CZ49">
        <f>IF(INDEX(Cal_Weeks[MonthYearLabel],103)&lt;&gt;INDEX(Cal_Weeks[MonthYearLabel],102),'Grid_Stock'!CY49,CY49)+'Grid_Incoming'!CZ49-'Grid_Requirement'!CZ49</f>
        <v/>
      </c>
      <c r="DA49">
        <f>IF(INDEX(Cal_Weeks[MonthYearLabel],104)&lt;&gt;INDEX(Cal_Weeks[MonthYearLabel],103),'Grid_Stock'!CZ49,CZ49)+'Grid_Incoming'!DA49-'Grid_Requirement'!DA49</f>
        <v/>
      </c>
    </row>
    <row r="50">
      <c r="A50" t="inlineStr">
        <is>
          <t>CHEM-1760</t>
        </is>
      </c>
      <c r="B50">
        <f>IFERROR(INDEX(T_OpeningStock[Opening_Qty_要入力],MATCH($A50,T_OpeningStock[Part Name],0)),0)+'Grid_Incoming'!B50-'Grid_Requirement'!B50</f>
        <v/>
      </c>
      <c r="C50">
        <f>IF(INDEX(Cal_Weeks[MonthYearLabel],2)&lt;&gt;INDEX(Cal_Weeks[MonthYearLabel],1),'Grid_Stock'!B50,B50)+'Grid_Incoming'!C50-'Grid_Requirement'!C50</f>
        <v/>
      </c>
      <c r="D50">
        <f>IF(INDEX(Cal_Weeks[MonthYearLabel],3)&lt;&gt;INDEX(Cal_Weeks[MonthYearLabel],2),'Grid_Stock'!C50,C50)+'Grid_Incoming'!D50-'Grid_Requirement'!D50</f>
        <v/>
      </c>
      <c r="E50">
        <f>IF(INDEX(Cal_Weeks[MonthYearLabel],4)&lt;&gt;INDEX(Cal_Weeks[MonthYearLabel],3),'Grid_Stock'!D50,D50)+'Grid_Incoming'!E50-'Grid_Requirement'!E50</f>
        <v/>
      </c>
      <c r="F50">
        <f>IF(INDEX(Cal_Weeks[MonthYearLabel],5)&lt;&gt;INDEX(Cal_Weeks[MonthYearLabel],4),'Grid_Stock'!E50,E50)+'Grid_Incoming'!F50-'Grid_Requirement'!F50</f>
        <v/>
      </c>
      <c r="G50">
        <f>IF(INDEX(Cal_Weeks[MonthYearLabel],6)&lt;&gt;INDEX(Cal_Weeks[MonthYearLabel],5),'Grid_Stock'!F50,F50)+'Grid_Incoming'!G50-'Grid_Requirement'!G50</f>
        <v/>
      </c>
      <c r="H50">
        <f>IF(INDEX(Cal_Weeks[MonthYearLabel],7)&lt;&gt;INDEX(Cal_Weeks[MonthYearLabel],6),'Grid_Stock'!G50,G50)+'Grid_Incoming'!H50-'Grid_Requirement'!H50</f>
        <v/>
      </c>
      <c r="I50">
        <f>IF(INDEX(Cal_Weeks[MonthYearLabel],8)&lt;&gt;INDEX(Cal_Weeks[MonthYearLabel],7),'Grid_Stock'!H50,H50)+'Grid_Incoming'!I50-'Grid_Requirement'!I50</f>
        <v/>
      </c>
      <c r="J50">
        <f>IF(INDEX(Cal_Weeks[MonthYearLabel],9)&lt;&gt;INDEX(Cal_Weeks[MonthYearLabel],8),'Grid_Stock'!I50,I50)+'Grid_Incoming'!J50-'Grid_Requirement'!J50</f>
        <v/>
      </c>
      <c r="K50">
        <f>IF(INDEX(Cal_Weeks[MonthYearLabel],10)&lt;&gt;INDEX(Cal_Weeks[MonthYearLabel],9),'Grid_Stock'!J50,J50)+'Grid_Incoming'!K50-'Grid_Requirement'!K50</f>
        <v/>
      </c>
      <c r="L50">
        <f>IF(INDEX(Cal_Weeks[MonthYearLabel],11)&lt;&gt;INDEX(Cal_Weeks[MonthYearLabel],10),'Grid_Stock'!K50,K50)+'Grid_Incoming'!L50-'Grid_Requirement'!L50</f>
        <v/>
      </c>
      <c r="M50">
        <f>IF(INDEX(Cal_Weeks[MonthYearLabel],12)&lt;&gt;INDEX(Cal_Weeks[MonthYearLabel],11),'Grid_Stock'!L50,L50)+'Grid_Incoming'!M50-'Grid_Requirement'!M50</f>
        <v/>
      </c>
      <c r="N50">
        <f>IF(INDEX(Cal_Weeks[MonthYearLabel],13)&lt;&gt;INDEX(Cal_Weeks[MonthYearLabel],12),'Grid_Stock'!M50,M50)+'Grid_Incoming'!N50-'Grid_Requirement'!N50</f>
        <v/>
      </c>
      <c r="O50">
        <f>IF(INDEX(Cal_Weeks[MonthYearLabel],14)&lt;&gt;INDEX(Cal_Weeks[MonthYearLabel],13),'Grid_Stock'!N50,N50)+'Grid_Incoming'!O50-'Grid_Requirement'!O50</f>
        <v/>
      </c>
      <c r="P50">
        <f>IF(INDEX(Cal_Weeks[MonthYearLabel],15)&lt;&gt;INDEX(Cal_Weeks[MonthYearLabel],14),'Grid_Stock'!O50,O50)+'Grid_Incoming'!P50-'Grid_Requirement'!P50</f>
        <v/>
      </c>
      <c r="Q50">
        <f>IF(INDEX(Cal_Weeks[MonthYearLabel],16)&lt;&gt;INDEX(Cal_Weeks[MonthYearLabel],15),'Grid_Stock'!P50,P50)+'Grid_Incoming'!Q50-'Grid_Requirement'!Q50</f>
        <v/>
      </c>
      <c r="R50">
        <f>IF(INDEX(Cal_Weeks[MonthYearLabel],17)&lt;&gt;INDEX(Cal_Weeks[MonthYearLabel],16),'Grid_Stock'!Q50,Q50)+'Grid_Incoming'!R50-'Grid_Requirement'!R50</f>
        <v/>
      </c>
      <c r="S50">
        <f>IF(INDEX(Cal_Weeks[MonthYearLabel],18)&lt;&gt;INDEX(Cal_Weeks[MonthYearLabel],17),'Grid_Stock'!R50,R50)+'Grid_Incoming'!S50-'Grid_Requirement'!S50</f>
        <v/>
      </c>
      <c r="T50">
        <f>IF(INDEX(Cal_Weeks[MonthYearLabel],19)&lt;&gt;INDEX(Cal_Weeks[MonthYearLabel],18),'Grid_Stock'!S50,S50)+'Grid_Incoming'!T50-'Grid_Requirement'!T50</f>
        <v/>
      </c>
      <c r="U50">
        <f>IF(INDEX(Cal_Weeks[MonthYearLabel],20)&lt;&gt;INDEX(Cal_Weeks[MonthYearLabel],19),'Grid_Stock'!T50,T50)+'Grid_Incoming'!U50-'Grid_Requirement'!U50</f>
        <v/>
      </c>
      <c r="V50">
        <f>IF(INDEX(Cal_Weeks[MonthYearLabel],21)&lt;&gt;INDEX(Cal_Weeks[MonthYearLabel],20),'Grid_Stock'!U50,U50)+'Grid_Incoming'!V50-'Grid_Requirement'!V50</f>
        <v/>
      </c>
      <c r="W50">
        <f>IF(INDEX(Cal_Weeks[MonthYearLabel],22)&lt;&gt;INDEX(Cal_Weeks[MonthYearLabel],21),'Grid_Stock'!V50,V50)+'Grid_Incoming'!W50-'Grid_Requirement'!W50</f>
        <v/>
      </c>
      <c r="X50">
        <f>IF(INDEX(Cal_Weeks[MonthYearLabel],23)&lt;&gt;INDEX(Cal_Weeks[MonthYearLabel],22),'Grid_Stock'!W50,W50)+'Grid_Incoming'!X50-'Grid_Requirement'!X50</f>
        <v/>
      </c>
      <c r="Y50">
        <f>IF(INDEX(Cal_Weeks[MonthYearLabel],24)&lt;&gt;INDEX(Cal_Weeks[MonthYearLabel],23),'Grid_Stock'!X50,X50)+'Grid_Incoming'!Y50-'Grid_Requirement'!Y50</f>
        <v/>
      </c>
      <c r="Z50">
        <f>IF(INDEX(Cal_Weeks[MonthYearLabel],25)&lt;&gt;INDEX(Cal_Weeks[MonthYearLabel],24),'Grid_Stock'!Y50,Y50)+'Grid_Incoming'!Z50-'Grid_Requirement'!Z50</f>
        <v/>
      </c>
      <c r="AA50">
        <f>IF(INDEX(Cal_Weeks[MonthYearLabel],26)&lt;&gt;INDEX(Cal_Weeks[MonthYearLabel],25),'Grid_Stock'!Z50,Z50)+'Grid_Incoming'!AA50-'Grid_Requirement'!AA50</f>
        <v/>
      </c>
      <c r="AB50">
        <f>IF(INDEX(Cal_Weeks[MonthYearLabel],27)&lt;&gt;INDEX(Cal_Weeks[MonthYearLabel],26),'Grid_Stock'!AA50,AA50)+'Grid_Incoming'!AB50-'Grid_Requirement'!AB50</f>
        <v/>
      </c>
      <c r="AC50">
        <f>IF(INDEX(Cal_Weeks[MonthYearLabel],28)&lt;&gt;INDEX(Cal_Weeks[MonthYearLabel],27),'Grid_Stock'!AB50,AB50)+'Grid_Incoming'!AC50-'Grid_Requirement'!AC50</f>
        <v/>
      </c>
      <c r="AD50">
        <f>IF(INDEX(Cal_Weeks[MonthYearLabel],29)&lt;&gt;INDEX(Cal_Weeks[MonthYearLabel],28),'Grid_Stock'!AC50,AC50)+'Grid_Incoming'!AD50-'Grid_Requirement'!AD50</f>
        <v/>
      </c>
      <c r="AE50">
        <f>IF(INDEX(Cal_Weeks[MonthYearLabel],30)&lt;&gt;INDEX(Cal_Weeks[MonthYearLabel],29),'Grid_Stock'!AD50,AD50)+'Grid_Incoming'!AE50-'Grid_Requirement'!AE50</f>
        <v/>
      </c>
      <c r="AF50">
        <f>IF(INDEX(Cal_Weeks[MonthYearLabel],31)&lt;&gt;INDEX(Cal_Weeks[MonthYearLabel],30),'Grid_Stock'!AE50,AE50)+'Grid_Incoming'!AF50-'Grid_Requirement'!AF50</f>
        <v/>
      </c>
      <c r="AG50">
        <f>IF(INDEX(Cal_Weeks[MonthYearLabel],32)&lt;&gt;INDEX(Cal_Weeks[MonthYearLabel],31),'Grid_Stock'!AF50,AF50)+'Grid_Incoming'!AG50-'Grid_Requirement'!AG50</f>
        <v/>
      </c>
      <c r="AH50">
        <f>IF(INDEX(Cal_Weeks[MonthYearLabel],33)&lt;&gt;INDEX(Cal_Weeks[MonthYearLabel],32),'Grid_Stock'!AG50,AG50)+'Grid_Incoming'!AH50-'Grid_Requirement'!AH50</f>
        <v/>
      </c>
      <c r="AI50">
        <f>IF(INDEX(Cal_Weeks[MonthYearLabel],34)&lt;&gt;INDEX(Cal_Weeks[MonthYearLabel],33),'Grid_Stock'!AH50,AH50)+'Grid_Incoming'!AI50-'Grid_Requirement'!AI50</f>
        <v/>
      </c>
      <c r="AJ50">
        <f>IF(INDEX(Cal_Weeks[MonthYearLabel],35)&lt;&gt;INDEX(Cal_Weeks[MonthYearLabel],34),'Grid_Stock'!AI50,AI50)+'Grid_Incoming'!AJ50-'Grid_Requirement'!AJ50</f>
        <v/>
      </c>
      <c r="AK50">
        <f>IF(INDEX(Cal_Weeks[MonthYearLabel],36)&lt;&gt;INDEX(Cal_Weeks[MonthYearLabel],35),'Grid_Stock'!AJ50,AJ50)+'Grid_Incoming'!AK50-'Grid_Requirement'!AK50</f>
        <v/>
      </c>
      <c r="AL50">
        <f>IF(INDEX(Cal_Weeks[MonthYearLabel],37)&lt;&gt;INDEX(Cal_Weeks[MonthYearLabel],36),'Grid_Stock'!AK50,AK50)+'Grid_Incoming'!AL50-'Grid_Requirement'!AL50</f>
        <v/>
      </c>
      <c r="AM50">
        <f>IF(INDEX(Cal_Weeks[MonthYearLabel],38)&lt;&gt;INDEX(Cal_Weeks[MonthYearLabel],37),'Grid_Stock'!AL50,AL50)+'Grid_Incoming'!AM50-'Grid_Requirement'!AM50</f>
        <v/>
      </c>
      <c r="AN50">
        <f>IF(INDEX(Cal_Weeks[MonthYearLabel],39)&lt;&gt;INDEX(Cal_Weeks[MonthYearLabel],38),'Grid_Stock'!AM50,AM50)+'Grid_Incoming'!AN50-'Grid_Requirement'!AN50</f>
        <v/>
      </c>
      <c r="AO50">
        <f>IF(INDEX(Cal_Weeks[MonthYearLabel],40)&lt;&gt;INDEX(Cal_Weeks[MonthYearLabel],39),'Grid_Stock'!AN50,AN50)+'Grid_Incoming'!AO50-'Grid_Requirement'!AO50</f>
        <v/>
      </c>
      <c r="AP50">
        <f>IF(INDEX(Cal_Weeks[MonthYearLabel],41)&lt;&gt;INDEX(Cal_Weeks[MonthYearLabel],40),'Grid_Stock'!AO50,AO50)+'Grid_Incoming'!AP50-'Grid_Requirement'!AP50</f>
        <v/>
      </c>
      <c r="AQ50">
        <f>IF(INDEX(Cal_Weeks[MonthYearLabel],42)&lt;&gt;INDEX(Cal_Weeks[MonthYearLabel],41),'Grid_Stock'!AP50,AP50)+'Grid_Incoming'!AQ50-'Grid_Requirement'!AQ50</f>
        <v/>
      </c>
      <c r="AR50">
        <f>IF(INDEX(Cal_Weeks[MonthYearLabel],43)&lt;&gt;INDEX(Cal_Weeks[MonthYearLabel],42),'Grid_Stock'!AQ50,AQ50)+'Grid_Incoming'!AR50-'Grid_Requirement'!AR50</f>
        <v/>
      </c>
      <c r="AS50">
        <f>IF(INDEX(Cal_Weeks[MonthYearLabel],44)&lt;&gt;INDEX(Cal_Weeks[MonthYearLabel],43),'Grid_Stock'!AR50,AR50)+'Grid_Incoming'!AS50-'Grid_Requirement'!AS50</f>
        <v/>
      </c>
      <c r="AT50">
        <f>IF(INDEX(Cal_Weeks[MonthYearLabel],45)&lt;&gt;INDEX(Cal_Weeks[MonthYearLabel],44),'Grid_Stock'!AS50,AS50)+'Grid_Incoming'!AT50-'Grid_Requirement'!AT50</f>
        <v/>
      </c>
      <c r="AU50">
        <f>IF(INDEX(Cal_Weeks[MonthYearLabel],46)&lt;&gt;INDEX(Cal_Weeks[MonthYearLabel],45),'Grid_Stock'!AT50,AT50)+'Grid_Incoming'!AU50-'Grid_Requirement'!AU50</f>
        <v/>
      </c>
      <c r="AV50">
        <f>IF(INDEX(Cal_Weeks[MonthYearLabel],47)&lt;&gt;INDEX(Cal_Weeks[MonthYearLabel],46),'Grid_Stock'!AU50,AU50)+'Grid_Incoming'!AV50-'Grid_Requirement'!AV50</f>
        <v/>
      </c>
      <c r="AW50">
        <f>IF(INDEX(Cal_Weeks[MonthYearLabel],48)&lt;&gt;INDEX(Cal_Weeks[MonthYearLabel],47),'Grid_Stock'!AV50,AV50)+'Grid_Incoming'!AW50-'Grid_Requirement'!AW50</f>
        <v/>
      </c>
      <c r="AX50">
        <f>IF(INDEX(Cal_Weeks[MonthYearLabel],49)&lt;&gt;INDEX(Cal_Weeks[MonthYearLabel],48),'Grid_Stock'!AW50,AW50)+'Grid_Incoming'!AX50-'Grid_Requirement'!AX50</f>
        <v/>
      </c>
      <c r="AY50">
        <f>IF(INDEX(Cal_Weeks[MonthYearLabel],50)&lt;&gt;INDEX(Cal_Weeks[MonthYearLabel],49),'Grid_Stock'!AX50,AX50)+'Grid_Incoming'!AY50-'Grid_Requirement'!AY50</f>
        <v/>
      </c>
      <c r="AZ50">
        <f>IF(INDEX(Cal_Weeks[MonthYearLabel],51)&lt;&gt;INDEX(Cal_Weeks[MonthYearLabel],50),'Grid_Stock'!AY50,AY50)+'Grid_Incoming'!AZ50-'Grid_Requirement'!AZ50</f>
        <v/>
      </c>
      <c r="BA50">
        <f>IF(INDEX(Cal_Weeks[MonthYearLabel],52)&lt;&gt;INDEX(Cal_Weeks[MonthYearLabel],51),'Grid_Stock'!AZ50,AZ50)+'Grid_Incoming'!BA50-'Grid_Requirement'!BA50</f>
        <v/>
      </c>
      <c r="BB50">
        <f>IF(INDEX(Cal_Weeks[MonthYearLabel],53)&lt;&gt;INDEX(Cal_Weeks[MonthYearLabel],52),'Grid_Stock'!BA50,BA50)+'Grid_Incoming'!BB50-'Grid_Requirement'!BB50</f>
        <v/>
      </c>
      <c r="BC50">
        <f>IF(INDEX(Cal_Weeks[MonthYearLabel],54)&lt;&gt;INDEX(Cal_Weeks[MonthYearLabel],53),'Grid_Stock'!BB50,BB50)+'Grid_Incoming'!BC50-'Grid_Requirement'!BC50</f>
        <v/>
      </c>
      <c r="BD50">
        <f>IF(INDEX(Cal_Weeks[MonthYearLabel],55)&lt;&gt;INDEX(Cal_Weeks[MonthYearLabel],54),'Grid_Stock'!BC50,BC50)+'Grid_Incoming'!BD50-'Grid_Requirement'!BD50</f>
        <v/>
      </c>
      <c r="BE50">
        <f>IF(INDEX(Cal_Weeks[MonthYearLabel],56)&lt;&gt;INDEX(Cal_Weeks[MonthYearLabel],55),'Grid_Stock'!BD50,BD50)+'Grid_Incoming'!BE50-'Grid_Requirement'!BE50</f>
        <v/>
      </c>
      <c r="BF50">
        <f>IF(INDEX(Cal_Weeks[MonthYearLabel],57)&lt;&gt;INDEX(Cal_Weeks[MonthYearLabel],56),'Grid_Stock'!BE50,BE50)+'Grid_Incoming'!BF50-'Grid_Requirement'!BF50</f>
        <v/>
      </c>
      <c r="BG50">
        <f>IF(INDEX(Cal_Weeks[MonthYearLabel],58)&lt;&gt;INDEX(Cal_Weeks[MonthYearLabel],57),'Grid_Stock'!BF50,BF50)+'Grid_Incoming'!BG50-'Grid_Requirement'!BG50</f>
        <v/>
      </c>
      <c r="BH50">
        <f>IF(INDEX(Cal_Weeks[MonthYearLabel],59)&lt;&gt;INDEX(Cal_Weeks[MonthYearLabel],58),'Grid_Stock'!BG50,BG50)+'Grid_Incoming'!BH50-'Grid_Requirement'!BH50</f>
        <v/>
      </c>
      <c r="BI50">
        <f>IF(INDEX(Cal_Weeks[MonthYearLabel],60)&lt;&gt;INDEX(Cal_Weeks[MonthYearLabel],59),'Grid_Stock'!BH50,BH50)+'Grid_Incoming'!BI50-'Grid_Requirement'!BI50</f>
        <v/>
      </c>
      <c r="BJ50">
        <f>IF(INDEX(Cal_Weeks[MonthYearLabel],61)&lt;&gt;INDEX(Cal_Weeks[MonthYearLabel],60),'Grid_Stock'!BI50,BI50)+'Grid_Incoming'!BJ50-'Grid_Requirement'!BJ50</f>
        <v/>
      </c>
      <c r="BK50">
        <f>IF(INDEX(Cal_Weeks[MonthYearLabel],62)&lt;&gt;INDEX(Cal_Weeks[MonthYearLabel],61),'Grid_Stock'!BJ50,BJ50)+'Grid_Incoming'!BK50-'Grid_Requirement'!BK50</f>
        <v/>
      </c>
      <c r="BL50">
        <f>IF(INDEX(Cal_Weeks[MonthYearLabel],63)&lt;&gt;INDEX(Cal_Weeks[MonthYearLabel],62),'Grid_Stock'!BK50,BK50)+'Grid_Incoming'!BL50-'Grid_Requirement'!BL50</f>
        <v/>
      </c>
      <c r="BM50">
        <f>IF(INDEX(Cal_Weeks[MonthYearLabel],64)&lt;&gt;INDEX(Cal_Weeks[MonthYearLabel],63),'Grid_Stock'!BL50,BL50)+'Grid_Incoming'!BM50-'Grid_Requirement'!BM50</f>
        <v/>
      </c>
      <c r="BN50">
        <f>IF(INDEX(Cal_Weeks[MonthYearLabel],65)&lt;&gt;INDEX(Cal_Weeks[MonthYearLabel],64),'Grid_Stock'!BM50,BM50)+'Grid_Incoming'!BN50-'Grid_Requirement'!BN50</f>
        <v/>
      </c>
      <c r="BO50">
        <f>IF(INDEX(Cal_Weeks[MonthYearLabel],66)&lt;&gt;INDEX(Cal_Weeks[MonthYearLabel],65),'Grid_Stock'!BN50,BN50)+'Grid_Incoming'!BO50-'Grid_Requirement'!BO50</f>
        <v/>
      </c>
      <c r="BP50">
        <f>IF(INDEX(Cal_Weeks[MonthYearLabel],67)&lt;&gt;INDEX(Cal_Weeks[MonthYearLabel],66),'Grid_Stock'!BO50,BO50)+'Grid_Incoming'!BP50-'Grid_Requirement'!BP50</f>
        <v/>
      </c>
      <c r="BQ50">
        <f>IF(INDEX(Cal_Weeks[MonthYearLabel],68)&lt;&gt;INDEX(Cal_Weeks[MonthYearLabel],67),'Grid_Stock'!BP50,BP50)+'Grid_Incoming'!BQ50-'Grid_Requirement'!BQ50</f>
        <v/>
      </c>
      <c r="BR50">
        <f>IF(INDEX(Cal_Weeks[MonthYearLabel],69)&lt;&gt;INDEX(Cal_Weeks[MonthYearLabel],68),'Grid_Stock'!BQ50,BQ50)+'Grid_Incoming'!BR50-'Grid_Requirement'!BR50</f>
        <v/>
      </c>
      <c r="BS50">
        <f>IF(INDEX(Cal_Weeks[MonthYearLabel],70)&lt;&gt;INDEX(Cal_Weeks[MonthYearLabel],69),'Grid_Stock'!BR50,BR50)+'Grid_Incoming'!BS50-'Grid_Requirement'!BS50</f>
        <v/>
      </c>
      <c r="BT50">
        <f>IF(INDEX(Cal_Weeks[MonthYearLabel],71)&lt;&gt;INDEX(Cal_Weeks[MonthYearLabel],70),'Grid_Stock'!BS50,BS50)+'Grid_Incoming'!BT50-'Grid_Requirement'!BT50</f>
        <v/>
      </c>
      <c r="BU50">
        <f>IF(INDEX(Cal_Weeks[MonthYearLabel],72)&lt;&gt;INDEX(Cal_Weeks[MonthYearLabel],71),'Grid_Stock'!BT50,BT50)+'Grid_Incoming'!BU50-'Grid_Requirement'!BU50</f>
        <v/>
      </c>
      <c r="BV50">
        <f>IF(INDEX(Cal_Weeks[MonthYearLabel],73)&lt;&gt;INDEX(Cal_Weeks[MonthYearLabel],72),'Grid_Stock'!BU50,BU50)+'Grid_Incoming'!BV50-'Grid_Requirement'!BV50</f>
        <v/>
      </c>
      <c r="BW50">
        <f>IF(INDEX(Cal_Weeks[MonthYearLabel],74)&lt;&gt;INDEX(Cal_Weeks[MonthYearLabel],73),'Grid_Stock'!BV50,BV50)+'Grid_Incoming'!BW50-'Grid_Requirement'!BW50</f>
        <v/>
      </c>
      <c r="BX50">
        <f>IF(INDEX(Cal_Weeks[MonthYearLabel],75)&lt;&gt;INDEX(Cal_Weeks[MonthYearLabel],74),'Grid_Stock'!BW50,BW50)+'Grid_Incoming'!BX50-'Grid_Requirement'!BX50</f>
        <v/>
      </c>
      <c r="BY50">
        <f>IF(INDEX(Cal_Weeks[MonthYearLabel],76)&lt;&gt;INDEX(Cal_Weeks[MonthYearLabel],75),'Grid_Stock'!BX50,BX50)+'Grid_Incoming'!BY50-'Grid_Requirement'!BY50</f>
        <v/>
      </c>
      <c r="BZ50">
        <f>IF(INDEX(Cal_Weeks[MonthYearLabel],77)&lt;&gt;INDEX(Cal_Weeks[MonthYearLabel],76),'Grid_Stock'!BY50,BY50)+'Grid_Incoming'!BZ50-'Grid_Requirement'!BZ50</f>
        <v/>
      </c>
      <c r="CA50">
        <f>IF(INDEX(Cal_Weeks[MonthYearLabel],78)&lt;&gt;INDEX(Cal_Weeks[MonthYearLabel],77),'Grid_Stock'!BZ50,BZ50)+'Grid_Incoming'!CA50-'Grid_Requirement'!CA50</f>
        <v/>
      </c>
      <c r="CB50">
        <f>IF(INDEX(Cal_Weeks[MonthYearLabel],79)&lt;&gt;INDEX(Cal_Weeks[MonthYearLabel],78),'Grid_Stock'!CA50,CA50)+'Grid_Incoming'!CB50-'Grid_Requirement'!CB50</f>
        <v/>
      </c>
      <c r="CC50">
        <f>IF(INDEX(Cal_Weeks[MonthYearLabel],80)&lt;&gt;INDEX(Cal_Weeks[MonthYearLabel],79),'Grid_Stock'!CB50,CB50)+'Grid_Incoming'!CC50-'Grid_Requirement'!CC50</f>
        <v/>
      </c>
      <c r="CD50">
        <f>IF(INDEX(Cal_Weeks[MonthYearLabel],81)&lt;&gt;INDEX(Cal_Weeks[MonthYearLabel],80),'Grid_Stock'!CC50,CC50)+'Grid_Incoming'!CD50-'Grid_Requirement'!CD50</f>
        <v/>
      </c>
      <c r="CE50">
        <f>IF(INDEX(Cal_Weeks[MonthYearLabel],82)&lt;&gt;INDEX(Cal_Weeks[MonthYearLabel],81),'Grid_Stock'!CD50,CD50)+'Grid_Incoming'!CE50-'Grid_Requirement'!CE50</f>
        <v/>
      </c>
      <c r="CF50">
        <f>IF(INDEX(Cal_Weeks[MonthYearLabel],83)&lt;&gt;INDEX(Cal_Weeks[MonthYearLabel],82),'Grid_Stock'!CE50,CE50)+'Grid_Incoming'!CF50-'Grid_Requirement'!CF50</f>
        <v/>
      </c>
      <c r="CG50">
        <f>IF(INDEX(Cal_Weeks[MonthYearLabel],84)&lt;&gt;INDEX(Cal_Weeks[MonthYearLabel],83),'Grid_Stock'!CF50,CF50)+'Grid_Incoming'!CG50-'Grid_Requirement'!CG50</f>
        <v/>
      </c>
      <c r="CH50">
        <f>IF(INDEX(Cal_Weeks[MonthYearLabel],85)&lt;&gt;INDEX(Cal_Weeks[MonthYearLabel],84),'Grid_Stock'!CG50,CG50)+'Grid_Incoming'!CH50-'Grid_Requirement'!CH50</f>
        <v/>
      </c>
      <c r="CI50">
        <f>IF(INDEX(Cal_Weeks[MonthYearLabel],86)&lt;&gt;INDEX(Cal_Weeks[MonthYearLabel],85),'Grid_Stock'!CH50,CH50)+'Grid_Incoming'!CI50-'Grid_Requirement'!CI50</f>
        <v/>
      </c>
      <c r="CJ50">
        <f>IF(INDEX(Cal_Weeks[MonthYearLabel],87)&lt;&gt;INDEX(Cal_Weeks[MonthYearLabel],86),'Grid_Stock'!CI50,CI50)+'Grid_Incoming'!CJ50-'Grid_Requirement'!CJ50</f>
        <v/>
      </c>
      <c r="CK50">
        <f>IF(INDEX(Cal_Weeks[MonthYearLabel],88)&lt;&gt;INDEX(Cal_Weeks[MonthYearLabel],87),'Grid_Stock'!CJ50,CJ50)+'Grid_Incoming'!CK50-'Grid_Requirement'!CK50</f>
        <v/>
      </c>
      <c r="CL50">
        <f>IF(INDEX(Cal_Weeks[MonthYearLabel],89)&lt;&gt;INDEX(Cal_Weeks[MonthYearLabel],88),'Grid_Stock'!CK50,CK50)+'Grid_Incoming'!CL50-'Grid_Requirement'!CL50</f>
        <v/>
      </c>
      <c r="CM50">
        <f>IF(INDEX(Cal_Weeks[MonthYearLabel],90)&lt;&gt;INDEX(Cal_Weeks[MonthYearLabel],89),'Grid_Stock'!CL50,CL50)+'Grid_Incoming'!CM50-'Grid_Requirement'!CM50</f>
        <v/>
      </c>
      <c r="CN50">
        <f>IF(INDEX(Cal_Weeks[MonthYearLabel],91)&lt;&gt;INDEX(Cal_Weeks[MonthYearLabel],90),'Grid_Stock'!CM50,CM50)+'Grid_Incoming'!CN50-'Grid_Requirement'!CN50</f>
        <v/>
      </c>
      <c r="CO50">
        <f>IF(INDEX(Cal_Weeks[MonthYearLabel],92)&lt;&gt;INDEX(Cal_Weeks[MonthYearLabel],91),'Grid_Stock'!CN50,CN50)+'Grid_Incoming'!CO50-'Grid_Requirement'!CO50</f>
        <v/>
      </c>
      <c r="CP50">
        <f>IF(INDEX(Cal_Weeks[MonthYearLabel],93)&lt;&gt;INDEX(Cal_Weeks[MonthYearLabel],92),'Grid_Stock'!CO50,CO50)+'Grid_Incoming'!CP50-'Grid_Requirement'!CP50</f>
        <v/>
      </c>
      <c r="CQ50">
        <f>IF(INDEX(Cal_Weeks[MonthYearLabel],94)&lt;&gt;INDEX(Cal_Weeks[MonthYearLabel],93),'Grid_Stock'!CP50,CP50)+'Grid_Incoming'!CQ50-'Grid_Requirement'!CQ50</f>
        <v/>
      </c>
      <c r="CR50">
        <f>IF(INDEX(Cal_Weeks[MonthYearLabel],95)&lt;&gt;INDEX(Cal_Weeks[MonthYearLabel],94),'Grid_Stock'!CQ50,CQ50)+'Grid_Incoming'!CR50-'Grid_Requirement'!CR50</f>
        <v/>
      </c>
      <c r="CS50">
        <f>IF(INDEX(Cal_Weeks[MonthYearLabel],96)&lt;&gt;INDEX(Cal_Weeks[MonthYearLabel],95),'Grid_Stock'!CR50,CR50)+'Grid_Incoming'!CS50-'Grid_Requirement'!CS50</f>
        <v/>
      </c>
      <c r="CT50">
        <f>IF(INDEX(Cal_Weeks[MonthYearLabel],97)&lt;&gt;INDEX(Cal_Weeks[MonthYearLabel],96),'Grid_Stock'!CS50,CS50)+'Grid_Incoming'!CT50-'Grid_Requirement'!CT50</f>
        <v/>
      </c>
      <c r="CU50">
        <f>IF(INDEX(Cal_Weeks[MonthYearLabel],98)&lt;&gt;INDEX(Cal_Weeks[MonthYearLabel],97),'Grid_Stock'!CT50,CT50)+'Grid_Incoming'!CU50-'Grid_Requirement'!CU50</f>
        <v/>
      </c>
      <c r="CV50">
        <f>IF(INDEX(Cal_Weeks[MonthYearLabel],99)&lt;&gt;INDEX(Cal_Weeks[MonthYearLabel],98),'Grid_Stock'!CU50,CU50)+'Grid_Incoming'!CV50-'Grid_Requirement'!CV50</f>
        <v/>
      </c>
      <c r="CW50">
        <f>IF(INDEX(Cal_Weeks[MonthYearLabel],100)&lt;&gt;INDEX(Cal_Weeks[MonthYearLabel],99),'Grid_Stock'!CV50,CV50)+'Grid_Incoming'!CW50-'Grid_Requirement'!CW50</f>
        <v/>
      </c>
      <c r="CX50">
        <f>IF(INDEX(Cal_Weeks[MonthYearLabel],101)&lt;&gt;INDEX(Cal_Weeks[MonthYearLabel],100),'Grid_Stock'!CW50,CW50)+'Grid_Incoming'!CX50-'Grid_Requirement'!CX50</f>
        <v/>
      </c>
      <c r="CY50">
        <f>IF(INDEX(Cal_Weeks[MonthYearLabel],102)&lt;&gt;INDEX(Cal_Weeks[MonthYearLabel],101),'Grid_Stock'!CX50,CX50)+'Grid_Incoming'!CY50-'Grid_Requirement'!CY50</f>
        <v/>
      </c>
      <c r="CZ50">
        <f>IF(INDEX(Cal_Weeks[MonthYearLabel],103)&lt;&gt;INDEX(Cal_Weeks[MonthYearLabel],102),'Grid_Stock'!CY50,CY50)+'Grid_Incoming'!CZ50-'Grid_Requirement'!CZ50</f>
        <v/>
      </c>
      <c r="DA50">
        <f>IF(INDEX(Cal_Weeks[MonthYearLabel],104)&lt;&gt;INDEX(Cal_Weeks[MonthYearLabel],103),'Grid_Stock'!CZ50,CZ50)+'Grid_Incoming'!DA50-'Grid_Requirement'!DA50</f>
        <v/>
      </c>
    </row>
    <row r="51">
      <c r="A51" t="inlineStr">
        <is>
          <t>CHEM-1700</t>
        </is>
      </c>
      <c r="B51">
        <f>IFERROR(INDEX(T_OpeningStock[Opening_Qty_要入力],MATCH($A51,T_OpeningStock[Part Name],0)),0)+'Grid_Incoming'!B51-'Grid_Requirement'!B51</f>
        <v/>
      </c>
      <c r="C51">
        <f>IF(INDEX(Cal_Weeks[MonthYearLabel],2)&lt;&gt;INDEX(Cal_Weeks[MonthYearLabel],1),'Grid_Stock'!B51,B51)+'Grid_Incoming'!C51-'Grid_Requirement'!C51</f>
        <v/>
      </c>
      <c r="D51">
        <f>IF(INDEX(Cal_Weeks[MonthYearLabel],3)&lt;&gt;INDEX(Cal_Weeks[MonthYearLabel],2),'Grid_Stock'!C51,C51)+'Grid_Incoming'!D51-'Grid_Requirement'!D51</f>
        <v/>
      </c>
      <c r="E51">
        <f>IF(INDEX(Cal_Weeks[MonthYearLabel],4)&lt;&gt;INDEX(Cal_Weeks[MonthYearLabel],3),'Grid_Stock'!D51,D51)+'Grid_Incoming'!E51-'Grid_Requirement'!E51</f>
        <v/>
      </c>
      <c r="F51">
        <f>IF(INDEX(Cal_Weeks[MonthYearLabel],5)&lt;&gt;INDEX(Cal_Weeks[MonthYearLabel],4),'Grid_Stock'!E51,E51)+'Grid_Incoming'!F51-'Grid_Requirement'!F51</f>
        <v/>
      </c>
      <c r="G51">
        <f>IF(INDEX(Cal_Weeks[MonthYearLabel],6)&lt;&gt;INDEX(Cal_Weeks[MonthYearLabel],5),'Grid_Stock'!F51,F51)+'Grid_Incoming'!G51-'Grid_Requirement'!G51</f>
        <v/>
      </c>
      <c r="H51">
        <f>IF(INDEX(Cal_Weeks[MonthYearLabel],7)&lt;&gt;INDEX(Cal_Weeks[MonthYearLabel],6),'Grid_Stock'!G51,G51)+'Grid_Incoming'!H51-'Grid_Requirement'!H51</f>
        <v/>
      </c>
      <c r="I51">
        <f>IF(INDEX(Cal_Weeks[MonthYearLabel],8)&lt;&gt;INDEX(Cal_Weeks[MonthYearLabel],7),'Grid_Stock'!H51,H51)+'Grid_Incoming'!I51-'Grid_Requirement'!I51</f>
        <v/>
      </c>
      <c r="J51">
        <f>IF(INDEX(Cal_Weeks[MonthYearLabel],9)&lt;&gt;INDEX(Cal_Weeks[MonthYearLabel],8),'Grid_Stock'!I51,I51)+'Grid_Incoming'!J51-'Grid_Requirement'!J51</f>
        <v/>
      </c>
      <c r="K51">
        <f>IF(INDEX(Cal_Weeks[MonthYearLabel],10)&lt;&gt;INDEX(Cal_Weeks[MonthYearLabel],9),'Grid_Stock'!J51,J51)+'Grid_Incoming'!K51-'Grid_Requirement'!K51</f>
        <v/>
      </c>
      <c r="L51">
        <f>IF(INDEX(Cal_Weeks[MonthYearLabel],11)&lt;&gt;INDEX(Cal_Weeks[MonthYearLabel],10),'Grid_Stock'!K51,K51)+'Grid_Incoming'!L51-'Grid_Requirement'!L51</f>
        <v/>
      </c>
      <c r="M51">
        <f>IF(INDEX(Cal_Weeks[MonthYearLabel],12)&lt;&gt;INDEX(Cal_Weeks[MonthYearLabel],11),'Grid_Stock'!L51,L51)+'Grid_Incoming'!M51-'Grid_Requirement'!M51</f>
        <v/>
      </c>
      <c r="N51">
        <f>IF(INDEX(Cal_Weeks[MonthYearLabel],13)&lt;&gt;INDEX(Cal_Weeks[MonthYearLabel],12),'Grid_Stock'!M51,M51)+'Grid_Incoming'!N51-'Grid_Requirement'!N51</f>
        <v/>
      </c>
      <c r="O51">
        <f>IF(INDEX(Cal_Weeks[MonthYearLabel],14)&lt;&gt;INDEX(Cal_Weeks[MonthYearLabel],13),'Grid_Stock'!N51,N51)+'Grid_Incoming'!O51-'Grid_Requirement'!O51</f>
        <v/>
      </c>
      <c r="P51">
        <f>IF(INDEX(Cal_Weeks[MonthYearLabel],15)&lt;&gt;INDEX(Cal_Weeks[MonthYearLabel],14),'Grid_Stock'!O51,O51)+'Grid_Incoming'!P51-'Grid_Requirement'!P51</f>
        <v/>
      </c>
      <c r="Q51">
        <f>IF(INDEX(Cal_Weeks[MonthYearLabel],16)&lt;&gt;INDEX(Cal_Weeks[MonthYearLabel],15),'Grid_Stock'!P51,P51)+'Grid_Incoming'!Q51-'Grid_Requirement'!Q51</f>
        <v/>
      </c>
      <c r="R51">
        <f>IF(INDEX(Cal_Weeks[MonthYearLabel],17)&lt;&gt;INDEX(Cal_Weeks[MonthYearLabel],16),'Grid_Stock'!Q51,Q51)+'Grid_Incoming'!R51-'Grid_Requirement'!R51</f>
        <v/>
      </c>
      <c r="S51">
        <f>IF(INDEX(Cal_Weeks[MonthYearLabel],18)&lt;&gt;INDEX(Cal_Weeks[MonthYearLabel],17),'Grid_Stock'!R51,R51)+'Grid_Incoming'!S51-'Grid_Requirement'!S51</f>
        <v/>
      </c>
      <c r="T51">
        <f>IF(INDEX(Cal_Weeks[MonthYearLabel],19)&lt;&gt;INDEX(Cal_Weeks[MonthYearLabel],18),'Grid_Stock'!S51,S51)+'Grid_Incoming'!T51-'Grid_Requirement'!T51</f>
        <v/>
      </c>
      <c r="U51">
        <f>IF(INDEX(Cal_Weeks[MonthYearLabel],20)&lt;&gt;INDEX(Cal_Weeks[MonthYearLabel],19),'Grid_Stock'!T51,T51)+'Grid_Incoming'!U51-'Grid_Requirement'!U51</f>
        <v/>
      </c>
      <c r="V51">
        <f>IF(INDEX(Cal_Weeks[MonthYearLabel],21)&lt;&gt;INDEX(Cal_Weeks[MonthYearLabel],20),'Grid_Stock'!U51,U51)+'Grid_Incoming'!V51-'Grid_Requirement'!V51</f>
        <v/>
      </c>
      <c r="W51">
        <f>IF(INDEX(Cal_Weeks[MonthYearLabel],22)&lt;&gt;INDEX(Cal_Weeks[MonthYearLabel],21),'Grid_Stock'!V51,V51)+'Grid_Incoming'!W51-'Grid_Requirement'!W51</f>
        <v/>
      </c>
      <c r="X51">
        <f>IF(INDEX(Cal_Weeks[MonthYearLabel],23)&lt;&gt;INDEX(Cal_Weeks[MonthYearLabel],22),'Grid_Stock'!W51,W51)+'Grid_Incoming'!X51-'Grid_Requirement'!X51</f>
        <v/>
      </c>
      <c r="Y51">
        <f>IF(INDEX(Cal_Weeks[MonthYearLabel],24)&lt;&gt;INDEX(Cal_Weeks[MonthYearLabel],23),'Grid_Stock'!X51,X51)+'Grid_Incoming'!Y51-'Grid_Requirement'!Y51</f>
        <v/>
      </c>
      <c r="Z51">
        <f>IF(INDEX(Cal_Weeks[MonthYearLabel],25)&lt;&gt;INDEX(Cal_Weeks[MonthYearLabel],24),'Grid_Stock'!Y51,Y51)+'Grid_Incoming'!Z51-'Grid_Requirement'!Z51</f>
        <v/>
      </c>
      <c r="AA51">
        <f>IF(INDEX(Cal_Weeks[MonthYearLabel],26)&lt;&gt;INDEX(Cal_Weeks[MonthYearLabel],25),'Grid_Stock'!Z51,Z51)+'Grid_Incoming'!AA51-'Grid_Requirement'!AA51</f>
        <v/>
      </c>
      <c r="AB51">
        <f>IF(INDEX(Cal_Weeks[MonthYearLabel],27)&lt;&gt;INDEX(Cal_Weeks[MonthYearLabel],26),'Grid_Stock'!AA51,AA51)+'Grid_Incoming'!AB51-'Grid_Requirement'!AB51</f>
        <v/>
      </c>
      <c r="AC51">
        <f>IF(INDEX(Cal_Weeks[MonthYearLabel],28)&lt;&gt;INDEX(Cal_Weeks[MonthYearLabel],27),'Grid_Stock'!AB51,AB51)+'Grid_Incoming'!AC51-'Grid_Requirement'!AC51</f>
        <v/>
      </c>
      <c r="AD51">
        <f>IF(INDEX(Cal_Weeks[MonthYearLabel],29)&lt;&gt;INDEX(Cal_Weeks[MonthYearLabel],28),'Grid_Stock'!AC51,AC51)+'Grid_Incoming'!AD51-'Grid_Requirement'!AD51</f>
        <v/>
      </c>
      <c r="AE51">
        <f>IF(INDEX(Cal_Weeks[MonthYearLabel],30)&lt;&gt;INDEX(Cal_Weeks[MonthYearLabel],29),'Grid_Stock'!AD51,AD51)+'Grid_Incoming'!AE51-'Grid_Requirement'!AE51</f>
        <v/>
      </c>
      <c r="AF51">
        <f>IF(INDEX(Cal_Weeks[MonthYearLabel],31)&lt;&gt;INDEX(Cal_Weeks[MonthYearLabel],30),'Grid_Stock'!AE51,AE51)+'Grid_Incoming'!AF51-'Grid_Requirement'!AF51</f>
        <v/>
      </c>
      <c r="AG51">
        <f>IF(INDEX(Cal_Weeks[MonthYearLabel],32)&lt;&gt;INDEX(Cal_Weeks[MonthYearLabel],31),'Grid_Stock'!AF51,AF51)+'Grid_Incoming'!AG51-'Grid_Requirement'!AG51</f>
        <v/>
      </c>
      <c r="AH51">
        <f>IF(INDEX(Cal_Weeks[MonthYearLabel],33)&lt;&gt;INDEX(Cal_Weeks[MonthYearLabel],32),'Grid_Stock'!AG51,AG51)+'Grid_Incoming'!AH51-'Grid_Requirement'!AH51</f>
        <v/>
      </c>
      <c r="AI51">
        <f>IF(INDEX(Cal_Weeks[MonthYearLabel],34)&lt;&gt;INDEX(Cal_Weeks[MonthYearLabel],33),'Grid_Stock'!AH51,AH51)+'Grid_Incoming'!AI51-'Grid_Requirement'!AI51</f>
        <v/>
      </c>
      <c r="AJ51">
        <f>IF(INDEX(Cal_Weeks[MonthYearLabel],35)&lt;&gt;INDEX(Cal_Weeks[MonthYearLabel],34),'Grid_Stock'!AI51,AI51)+'Grid_Incoming'!AJ51-'Grid_Requirement'!AJ51</f>
        <v/>
      </c>
      <c r="AK51">
        <f>IF(INDEX(Cal_Weeks[MonthYearLabel],36)&lt;&gt;INDEX(Cal_Weeks[MonthYearLabel],35),'Grid_Stock'!AJ51,AJ51)+'Grid_Incoming'!AK51-'Grid_Requirement'!AK51</f>
        <v/>
      </c>
      <c r="AL51">
        <f>IF(INDEX(Cal_Weeks[MonthYearLabel],37)&lt;&gt;INDEX(Cal_Weeks[MonthYearLabel],36),'Grid_Stock'!AK51,AK51)+'Grid_Incoming'!AL51-'Grid_Requirement'!AL51</f>
        <v/>
      </c>
      <c r="AM51">
        <f>IF(INDEX(Cal_Weeks[MonthYearLabel],38)&lt;&gt;INDEX(Cal_Weeks[MonthYearLabel],37),'Grid_Stock'!AL51,AL51)+'Grid_Incoming'!AM51-'Grid_Requirement'!AM51</f>
        <v/>
      </c>
      <c r="AN51">
        <f>IF(INDEX(Cal_Weeks[MonthYearLabel],39)&lt;&gt;INDEX(Cal_Weeks[MonthYearLabel],38),'Grid_Stock'!AM51,AM51)+'Grid_Incoming'!AN51-'Grid_Requirement'!AN51</f>
        <v/>
      </c>
      <c r="AO51">
        <f>IF(INDEX(Cal_Weeks[MonthYearLabel],40)&lt;&gt;INDEX(Cal_Weeks[MonthYearLabel],39),'Grid_Stock'!AN51,AN51)+'Grid_Incoming'!AO51-'Grid_Requirement'!AO51</f>
        <v/>
      </c>
      <c r="AP51">
        <f>IF(INDEX(Cal_Weeks[MonthYearLabel],41)&lt;&gt;INDEX(Cal_Weeks[MonthYearLabel],40),'Grid_Stock'!AO51,AO51)+'Grid_Incoming'!AP51-'Grid_Requirement'!AP51</f>
        <v/>
      </c>
      <c r="AQ51">
        <f>IF(INDEX(Cal_Weeks[MonthYearLabel],42)&lt;&gt;INDEX(Cal_Weeks[MonthYearLabel],41),'Grid_Stock'!AP51,AP51)+'Grid_Incoming'!AQ51-'Grid_Requirement'!AQ51</f>
        <v/>
      </c>
      <c r="AR51">
        <f>IF(INDEX(Cal_Weeks[MonthYearLabel],43)&lt;&gt;INDEX(Cal_Weeks[MonthYearLabel],42),'Grid_Stock'!AQ51,AQ51)+'Grid_Incoming'!AR51-'Grid_Requirement'!AR51</f>
        <v/>
      </c>
      <c r="AS51">
        <f>IF(INDEX(Cal_Weeks[MonthYearLabel],44)&lt;&gt;INDEX(Cal_Weeks[MonthYearLabel],43),'Grid_Stock'!AR51,AR51)+'Grid_Incoming'!AS51-'Grid_Requirement'!AS51</f>
        <v/>
      </c>
      <c r="AT51">
        <f>IF(INDEX(Cal_Weeks[MonthYearLabel],45)&lt;&gt;INDEX(Cal_Weeks[MonthYearLabel],44),'Grid_Stock'!AS51,AS51)+'Grid_Incoming'!AT51-'Grid_Requirement'!AT51</f>
        <v/>
      </c>
      <c r="AU51">
        <f>IF(INDEX(Cal_Weeks[MonthYearLabel],46)&lt;&gt;INDEX(Cal_Weeks[MonthYearLabel],45),'Grid_Stock'!AT51,AT51)+'Grid_Incoming'!AU51-'Grid_Requirement'!AU51</f>
        <v/>
      </c>
      <c r="AV51">
        <f>IF(INDEX(Cal_Weeks[MonthYearLabel],47)&lt;&gt;INDEX(Cal_Weeks[MonthYearLabel],46),'Grid_Stock'!AU51,AU51)+'Grid_Incoming'!AV51-'Grid_Requirement'!AV51</f>
        <v/>
      </c>
      <c r="AW51">
        <f>IF(INDEX(Cal_Weeks[MonthYearLabel],48)&lt;&gt;INDEX(Cal_Weeks[MonthYearLabel],47),'Grid_Stock'!AV51,AV51)+'Grid_Incoming'!AW51-'Grid_Requirement'!AW51</f>
        <v/>
      </c>
      <c r="AX51">
        <f>IF(INDEX(Cal_Weeks[MonthYearLabel],49)&lt;&gt;INDEX(Cal_Weeks[MonthYearLabel],48),'Grid_Stock'!AW51,AW51)+'Grid_Incoming'!AX51-'Grid_Requirement'!AX51</f>
        <v/>
      </c>
      <c r="AY51">
        <f>IF(INDEX(Cal_Weeks[MonthYearLabel],50)&lt;&gt;INDEX(Cal_Weeks[MonthYearLabel],49),'Grid_Stock'!AX51,AX51)+'Grid_Incoming'!AY51-'Grid_Requirement'!AY51</f>
        <v/>
      </c>
      <c r="AZ51">
        <f>IF(INDEX(Cal_Weeks[MonthYearLabel],51)&lt;&gt;INDEX(Cal_Weeks[MonthYearLabel],50),'Grid_Stock'!AY51,AY51)+'Grid_Incoming'!AZ51-'Grid_Requirement'!AZ51</f>
        <v/>
      </c>
      <c r="BA51">
        <f>IF(INDEX(Cal_Weeks[MonthYearLabel],52)&lt;&gt;INDEX(Cal_Weeks[MonthYearLabel],51),'Grid_Stock'!AZ51,AZ51)+'Grid_Incoming'!BA51-'Grid_Requirement'!BA51</f>
        <v/>
      </c>
      <c r="BB51">
        <f>IF(INDEX(Cal_Weeks[MonthYearLabel],53)&lt;&gt;INDEX(Cal_Weeks[MonthYearLabel],52),'Grid_Stock'!BA51,BA51)+'Grid_Incoming'!BB51-'Grid_Requirement'!BB51</f>
        <v/>
      </c>
      <c r="BC51">
        <f>IF(INDEX(Cal_Weeks[MonthYearLabel],54)&lt;&gt;INDEX(Cal_Weeks[MonthYearLabel],53),'Grid_Stock'!BB51,BB51)+'Grid_Incoming'!BC51-'Grid_Requirement'!BC51</f>
        <v/>
      </c>
      <c r="BD51">
        <f>IF(INDEX(Cal_Weeks[MonthYearLabel],55)&lt;&gt;INDEX(Cal_Weeks[MonthYearLabel],54),'Grid_Stock'!BC51,BC51)+'Grid_Incoming'!BD51-'Grid_Requirement'!BD51</f>
        <v/>
      </c>
      <c r="BE51">
        <f>IF(INDEX(Cal_Weeks[MonthYearLabel],56)&lt;&gt;INDEX(Cal_Weeks[MonthYearLabel],55),'Grid_Stock'!BD51,BD51)+'Grid_Incoming'!BE51-'Grid_Requirement'!BE51</f>
        <v/>
      </c>
      <c r="BF51">
        <f>IF(INDEX(Cal_Weeks[MonthYearLabel],57)&lt;&gt;INDEX(Cal_Weeks[MonthYearLabel],56),'Grid_Stock'!BE51,BE51)+'Grid_Incoming'!BF51-'Grid_Requirement'!BF51</f>
        <v/>
      </c>
      <c r="BG51">
        <f>IF(INDEX(Cal_Weeks[MonthYearLabel],58)&lt;&gt;INDEX(Cal_Weeks[MonthYearLabel],57),'Grid_Stock'!BF51,BF51)+'Grid_Incoming'!BG51-'Grid_Requirement'!BG51</f>
        <v/>
      </c>
      <c r="BH51">
        <f>IF(INDEX(Cal_Weeks[MonthYearLabel],59)&lt;&gt;INDEX(Cal_Weeks[MonthYearLabel],58),'Grid_Stock'!BG51,BG51)+'Grid_Incoming'!BH51-'Grid_Requirement'!BH51</f>
        <v/>
      </c>
      <c r="BI51">
        <f>IF(INDEX(Cal_Weeks[MonthYearLabel],60)&lt;&gt;INDEX(Cal_Weeks[MonthYearLabel],59),'Grid_Stock'!BH51,BH51)+'Grid_Incoming'!BI51-'Grid_Requirement'!BI51</f>
        <v/>
      </c>
      <c r="BJ51">
        <f>IF(INDEX(Cal_Weeks[MonthYearLabel],61)&lt;&gt;INDEX(Cal_Weeks[MonthYearLabel],60),'Grid_Stock'!BI51,BI51)+'Grid_Incoming'!BJ51-'Grid_Requirement'!BJ51</f>
        <v/>
      </c>
      <c r="BK51">
        <f>IF(INDEX(Cal_Weeks[MonthYearLabel],62)&lt;&gt;INDEX(Cal_Weeks[MonthYearLabel],61),'Grid_Stock'!BJ51,BJ51)+'Grid_Incoming'!BK51-'Grid_Requirement'!BK51</f>
        <v/>
      </c>
      <c r="BL51">
        <f>IF(INDEX(Cal_Weeks[MonthYearLabel],63)&lt;&gt;INDEX(Cal_Weeks[MonthYearLabel],62),'Grid_Stock'!BK51,BK51)+'Grid_Incoming'!BL51-'Grid_Requirement'!BL51</f>
        <v/>
      </c>
      <c r="BM51">
        <f>IF(INDEX(Cal_Weeks[MonthYearLabel],64)&lt;&gt;INDEX(Cal_Weeks[MonthYearLabel],63),'Grid_Stock'!BL51,BL51)+'Grid_Incoming'!BM51-'Grid_Requirement'!BM51</f>
        <v/>
      </c>
      <c r="BN51">
        <f>IF(INDEX(Cal_Weeks[MonthYearLabel],65)&lt;&gt;INDEX(Cal_Weeks[MonthYearLabel],64),'Grid_Stock'!BM51,BM51)+'Grid_Incoming'!BN51-'Grid_Requirement'!BN51</f>
        <v/>
      </c>
      <c r="BO51">
        <f>IF(INDEX(Cal_Weeks[MonthYearLabel],66)&lt;&gt;INDEX(Cal_Weeks[MonthYearLabel],65),'Grid_Stock'!BN51,BN51)+'Grid_Incoming'!BO51-'Grid_Requirement'!BO51</f>
        <v/>
      </c>
      <c r="BP51">
        <f>IF(INDEX(Cal_Weeks[MonthYearLabel],67)&lt;&gt;INDEX(Cal_Weeks[MonthYearLabel],66),'Grid_Stock'!BO51,BO51)+'Grid_Incoming'!BP51-'Grid_Requirement'!BP51</f>
        <v/>
      </c>
      <c r="BQ51">
        <f>IF(INDEX(Cal_Weeks[MonthYearLabel],68)&lt;&gt;INDEX(Cal_Weeks[MonthYearLabel],67),'Grid_Stock'!BP51,BP51)+'Grid_Incoming'!BQ51-'Grid_Requirement'!BQ51</f>
        <v/>
      </c>
      <c r="BR51">
        <f>IF(INDEX(Cal_Weeks[MonthYearLabel],69)&lt;&gt;INDEX(Cal_Weeks[MonthYearLabel],68),'Grid_Stock'!BQ51,BQ51)+'Grid_Incoming'!BR51-'Grid_Requirement'!BR51</f>
        <v/>
      </c>
      <c r="BS51">
        <f>IF(INDEX(Cal_Weeks[MonthYearLabel],70)&lt;&gt;INDEX(Cal_Weeks[MonthYearLabel],69),'Grid_Stock'!BR51,BR51)+'Grid_Incoming'!BS51-'Grid_Requirement'!BS51</f>
        <v/>
      </c>
      <c r="BT51">
        <f>IF(INDEX(Cal_Weeks[MonthYearLabel],71)&lt;&gt;INDEX(Cal_Weeks[MonthYearLabel],70),'Grid_Stock'!BS51,BS51)+'Grid_Incoming'!BT51-'Grid_Requirement'!BT51</f>
        <v/>
      </c>
      <c r="BU51">
        <f>IF(INDEX(Cal_Weeks[MonthYearLabel],72)&lt;&gt;INDEX(Cal_Weeks[MonthYearLabel],71),'Grid_Stock'!BT51,BT51)+'Grid_Incoming'!BU51-'Grid_Requirement'!BU51</f>
        <v/>
      </c>
      <c r="BV51">
        <f>IF(INDEX(Cal_Weeks[MonthYearLabel],73)&lt;&gt;INDEX(Cal_Weeks[MonthYearLabel],72),'Grid_Stock'!BU51,BU51)+'Grid_Incoming'!BV51-'Grid_Requirement'!BV51</f>
        <v/>
      </c>
      <c r="BW51">
        <f>IF(INDEX(Cal_Weeks[MonthYearLabel],74)&lt;&gt;INDEX(Cal_Weeks[MonthYearLabel],73),'Grid_Stock'!BV51,BV51)+'Grid_Incoming'!BW51-'Grid_Requirement'!BW51</f>
        <v/>
      </c>
      <c r="BX51">
        <f>IF(INDEX(Cal_Weeks[MonthYearLabel],75)&lt;&gt;INDEX(Cal_Weeks[MonthYearLabel],74),'Grid_Stock'!BW51,BW51)+'Grid_Incoming'!BX51-'Grid_Requirement'!BX51</f>
        <v/>
      </c>
      <c r="BY51">
        <f>IF(INDEX(Cal_Weeks[MonthYearLabel],76)&lt;&gt;INDEX(Cal_Weeks[MonthYearLabel],75),'Grid_Stock'!BX51,BX51)+'Grid_Incoming'!BY51-'Grid_Requirement'!BY51</f>
        <v/>
      </c>
      <c r="BZ51">
        <f>IF(INDEX(Cal_Weeks[MonthYearLabel],77)&lt;&gt;INDEX(Cal_Weeks[MonthYearLabel],76),'Grid_Stock'!BY51,BY51)+'Grid_Incoming'!BZ51-'Grid_Requirement'!BZ51</f>
        <v/>
      </c>
      <c r="CA51">
        <f>IF(INDEX(Cal_Weeks[MonthYearLabel],78)&lt;&gt;INDEX(Cal_Weeks[MonthYearLabel],77),'Grid_Stock'!BZ51,BZ51)+'Grid_Incoming'!CA51-'Grid_Requirement'!CA51</f>
        <v/>
      </c>
      <c r="CB51">
        <f>IF(INDEX(Cal_Weeks[MonthYearLabel],79)&lt;&gt;INDEX(Cal_Weeks[MonthYearLabel],78),'Grid_Stock'!CA51,CA51)+'Grid_Incoming'!CB51-'Grid_Requirement'!CB51</f>
        <v/>
      </c>
      <c r="CC51">
        <f>IF(INDEX(Cal_Weeks[MonthYearLabel],80)&lt;&gt;INDEX(Cal_Weeks[MonthYearLabel],79),'Grid_Stock'!CB51,CB51)+'Grid_Incoming'!CC51-'Grid_Requirement'!CC51</f>
        <v/>
      </c>
      <c r="CD51">
        <f>IF(INDEX(Cal_Weeks[MonthYearLabel],81)&lt;&gt;INDEX(Cal_Weeks[MonthYearLabel],80),'Grid_Stock'!CC51,CC51)+'Grid_Incoming'!CD51-'Grid_Requirement'!CD51</f>
        <v/>
      </c>
      <c r="CE51">
        <f>IF(INDEX(Cal_Weeks[MonthYearLabel],82)&lt;&gt;INDEX(Cal_Weeks[MonthYearLabel],81),'Grid_Stock'!CD51,CD51)+'Grid_Incoming'!CE51-'Grid_Requirement'!CE51</f>
        <v/>
      </c>
      <c r="CF51">
        <f>IF(INDEX(Cal_Weeks[MonthYearLabel],83)&lt;&gt;INDEX(Cal_Weeks[MonthYearLabel],82),'Grid_Stock'!CE51,CE51)+'Grid_Incoming'!CF51-'Grid_Requirement'!CF51</f>
        <v/>
      </c>
      <c r="CG51">
        <f>IF(INDEX(Cal_Weeks[MonthYearLabel],84)&lt;&gt;INDEX(Cal_Weeks[MonthYearLabel],83),'Grid_Stock'!CF51,CF51)+'Grid_Incoming'!CG51-'Grid_Requirement'!CG51</f>
        <v/>
      </c>
      <c r="CH51">
        <f>IF(INDEX(Cal_Weeks[MonthYearLabel],85)&lt;&gt;INDEX(Cal_Weeks[MonthYearLabel],84),'Grid_Stock'!CG51,CG51)+'Grid_Incoming'!CH51-'Grid_Requirement'!CH51</f>
        <v/>
      </c>
      <c r="CI51">
        <f>IF(INDEX(Cal_Weeks[MonthYearLabel],86)&lt;&gt;INDEX(Cal_Weeks[MonthYearLabel],85),'Grid_Stock'!CH51,CH51)+'Grid_Incoming'!CI51-'Grid_Requirement'!CI51</f>
        <v/>
      </c>
      <c r="CJ51">
        <f>IF(INDEX(Cal_Weeks[MonthYearLabel],87)&lt;&gt;INDEX(Cal_Weeks[MonthYearLabel],86),'Grid_Stock'!CI51,CI51)+'Grid_Incoming'!CJ51-'Grid_Requirement'!CJ51</f>
        <v/>
      </c>
      <c r="CK51">
        <f>IF(INDEX(Cal_Weeks[MonthYearLabel],88)&lt;&gt;INDEX(Cal_Weeks[MonthYearLabel],87),'Grid_Stock'!CJ51,CJ51)+'Grid_Incoming'!CK51-'Grid_Requirement'!CK51</f>
        <v/>
      </c>
      <c r="CL51">
        <f>IF(INDEX(Cal_Weeks[MonthYearLabel],89)&lt;&gt;INDEX(Cal_Weeks[MonthYearLabel],88),'Grid_Stock'!CK51,CK51)+'Grid_Incoming'!CL51-'Grid_Requirement'!CL51</f>
        <v/>
      </c>
      <c r="CM51">
        <f>IF(INDEX(Cal_Weeks[MonthYearLabel],90)&lt;&gt;INDEX(Cal_Weeks[MonthYearLabel],89),'Grid_Stock'!CL51,CL51)+'Grid_Incoming'!CM51-'Grid_Requirement'!CM51</f>
        <v/>
      </c>
      <c r="CN51">
        <f>IF(INDEX(Cal_Weeks[MonthYearLabel],91)&lt;&gt;INDEX(Cal_Weeks[MonthYearLabel],90),'Grid_Stock'!CM51,CM51)+'Grid_Incoming'!CN51-'Grid_Requirement'!CN51</f>
        <v/>
      </c>
      <c r="CO51">
        <f>IF(INDEX(Cal_Weeks[MonthYearLabel],92)&lt;&gt;INDEX(Cal_Weeks[MonthYearLabel],91),'Grid_Stock'!CN51,CN51)+'Grid_Incoming'!CO51-'Grid_Requirement'!CO51</f>
        <v/>
      </c>
      <c r="CP51">
        <f>IF(INDEX(Cal_Weeks[MonthYearLabel],93)&lt;&gt;INDEX(Cal_Weeks[MonthYearLabel],92),'Grid_Stock'!CO51,CO51)+'Grid_Incoming'!CP51-'Grid_Requirement'!CP51</f>
        <v/>
      </c>
      <c r="CQ51">
        <f>IF(INDEX(Cal_Weeks[MonthYearLabel],94)&lt;&gt;INDEX(Cal_Weeks[MonthYearLabel],93),'Grid_Stock'!CP51,CP51)+'Grid_Incoming'!CQ51-'Grid_Requirement'!CQ51</f>
        <v/>
      </c>
      <c r="CR51">
        <f>IF(INDEX(Cal_Weeks[MonthYearLabel],95)&lt;&gt;INDEX(Cal_Weeks[MonthYearLabel],94),'Grid_Stock'!CQ51,CQ51)+'Grid_Incoming'!CR51-'Grid_Requirement'!CR51</f>
        <v/>
      </c>
      <c r="CS51">
        <f>IF(INDEX(Cal_Weeks[MonthYearLabel],96)&lt;&gt;INDEX(Cal_Weeks[MonthYearLabel],95),'Grid_Stock'!CR51,CR51)+'Grid_Incoming'!CS51-'Grid_Requirement'!CS51</f>
        <v/>
      </c>
      <c r="CT51">
        <f>IF(INDEX(Cal_Weeks[MonthYearLabel],97)&lt;&gt;INDEX(Cal_Weeks[MonthYearLabel],96),'Grid_Stock'!CS51,CS51)+'Grid_Incoming'!CT51-'Grid_Requirement'!CT51</f>
        <v/>
      </c>
      <c r="CU51">
        <f>IF(INDEX(Cal_Weeks[MonthYearLabel],98)&lt;&gt;INDEX(Cal_Weeks[MonthYearLabel],97),'Grid_Stock'!CT51,CT51)+'Grid_Incoming'!CU51-'Grid_Requirement'!CU51</f>
        <v/>
      </c>
      <c r="CV51">
        <f>IF(INDEX(Cal_Weeks[MonthYearLabel],99)&lt;&gt;INDEX(Cal_Weeks[MonthYearLabel],98),'Grid_Stock'!CU51,CU51)+'Grid_Incoming'!CV51-'Grid_Requirement'!CV51</f>
        <v/>
      </c>
      <c r="CW51">
        <f>IF(INDEX(Cal_Weeks[MonthYearLabel],100)&lt;&gt;INDEX(Cal_Weeks[MonthYearLabel],99),'Grid_Stock'!CV51,CV51)+'Grid_Incoming'!CW51-'Grid_Requirement'!CW51</f>
        <v/>
      </c>
      <c r="CX51">
        <f>IF(INDEX(Cal_Weeks[MonthYearLabel],101)&lt;&gt;INDEX(Cal_Weeks[MonthYearLabel],100),'Grid_Stock'!CW51,CW51)+'Grid_Incoming'!CX51-'Grid_Requirement'!CX51</f>
        <v/>
      </c>
      <c r="CY51">
        <f>IF(INDEX(Cal_Weeks[MonthYearLabel],102)&lt;&gt;INDEX(Cal_Weeks[MonthYearLabel],101),'Grid_Stock'!CX51,CX51)+'Grid_Incoming'!CY51-'Grid_Requirement'!CY51</f>
        <v/>
      </c>
      <c r="CZ51">
        <f>IF(INDEX(Cal_Weeks[MonthYearLabel],103)&lt;&gt;INDEX(Cal_Weeks[MonthYearLabel],102),'Grid_Stock'!CY51,CY51)+'Grid_Incoming'!CZ51-'Grid_Requirement'!CZ51</f>
        <v/>
      </c>
      <c r="DA51">
        <f>IF(INDEX(Cal_Weeks[MonthYearLabel],104)&lt;&gt;INDEX(Cal_Weeks[MonthYearLabel],103),'Grid_Stock'!CZ51,CZ51)+'Grid_Incoming'!DA51-'Grid_Requirement'!DA51</f>
        <v/>
      </c>
    </row>
    <row r="52">
      <c r="A52" t="inlineStr">
        <is>
          <t>CHEM-1850</t>
        </is>
      </c>
      <c r="B52">
        <f>IFERROR(INDEX(T_OpeningStock[Opening_Qty_要入力],MATCH($A52,T_OpeningStock[Part Name],0)),0)+'Grid_Incoming'!B52-'Grid_Requirement'!B52</f>
        <v/>
      </c>
      <c r="C52">
        <f>IF(INDEX(Cal_Weeks[MonthYearLabel],2)&lt;&gt;INDEX(Cal_Weeks[MonthYearLabel],1),'Grid_Stock'!B52,B52)+'Grid_Incoming'!C52-'Grid_Requirement'!C52</f>
        <v/>
      </c>
      <c r="D52">
        <f>IF(INDEX(Cal_Weeks[MonthYearLabel],3)&lt;&gt;INDEX(Cal_Weeks[MonthYearLabel],2),'Grid_Stock'!C52,C52)+'Grid_Incoming'!D52-'Grid_Requirement'!D52</f>
        <v/>
      </c>
      <c r="E52">
        <f>IF(INDEX(Cal_Weeks[MonthYearLabel],4)&lt;&gt;INDEX(Cal_Weeks[MonthYearLabel],3),'Grid_Stock'!D52,D52)+'Grid_Incoming'!E52-'Grid_Requirement'!E52</f>
        <v/>
      </c>
      <c r="F52">
        <f>IF(INDEX(Cal_Weeks[MonthYearLabel],5)&lt;&gt;INDEX(Cal_Weeks[MonthYearLabel],4),'Grid_Stock'!E52,E52)+'Grid_Incoming'!F52-'Grid_Requirement'!F52</f>
        <v/>
      </c>
      <c r="G52">
        <f>IF(INDEX(Cal_Weeks[MonthYearLabel],6)&lt;&gt;INDEX(Cal_Weeks[MonthYearLabel],5),'Grid_Stock'!F52,F52)+'Grid_Incoming'!G52-'Grid_Requirement'!G52</f>
        <v/>
      </c>
      <c r="H52">
        <f>IF(INDEX(Cal_Weeks[MonthYearLabel],7)&lt;&gt;INDEX(Cal_Weeks[MonthYearLabel],6),'Grid_Stock'!G52,G52)+'Grid_Incoming'!H52-'Grid_Requirement'!H52</f>
        <v/>
      </c>
      <c r="I52">
        <f>IF(INDEX(Cal_Weeks[MonthYearLabel],8)&lt;&gt;INDEX(Cal_Weeks[MonthYearLabel],7),'Grid_Stock'!H52,H52)+'Grid_Incoming'!I52-'Grid_Requirement'!I52</f>
        <v/>
      </c>
      <c r="J52">
        <f>IF(INDEX(Cal_Weeks[MonthYearLabel],9)&lt;&gt;INDEX(Cal_Weeks[MonthYearLabel],8),'Grid_Stock'!I52,I52)+'Grid_Incoming'!J52-'Grid_Requirement'!J52</f>
        <v/>
      </c>
      <c r="K52">
        <f>IF(INDEX(Cal_Weeks[MonthYearLabel],10)&lt;&gt;INDEX(Cal_Weeks[MonthYearLabel],9),'Grid_Stock'!J52,J52)+'Grid_Incoming'!K52-'Grid_Requirement'!K52</f>
        <v/>
      </c>
      <c r="L52">
        <f>IF(INDEX(Cal_Weeks[MonthYearLabel],11)&lt;&gt;INDEX(Cal_Weeks[MonthYearLabel],10),'Grid_Stock'!K52,K52)+'Grid_Incoming'!L52-'Grid_Requirement'!L52</f>
        <v/>
      </c>
      <c r="M52">
        <f>IF(INDEX(Cal_Weeks[MonthYearLabel],12)&lt;&gt;INDEX(Cal_Weeks[MonthYearLabel],11),'Grid_Stock'!L52,L52)+'Grid_Incoming'!M52-'Grid_Requirement'!M52</f>
        <v/>
      </c>
      <c r="N52">
        <f>IF(INDEX(Cal_Weeks[MonthYearLabel],13)&lt;&gt;INDEX(Cal_Weeks[MonthYearLabel],12),'Grid_Stock'!M52,M52)+'Grid_Incoming'!N52-'Grid_Requirement'!N52</f>
        <v/>
      </c>
      <c r="O52">
        <f>IF(INDEX(Cal_Weeks[MonthYearLabel],14)&lt;&gt;INDEX(Cal_Weeks[MonthYearLabel],13),'Grid_Stock'!N52,N52)+'Grid_Incoming'!O52-'Grid_Requirement'!O52</f>
        <v/>
      </c>
      <c r="P52">
        <f>IF(INDEX(Cal_Weeks[MonthYearLabel],15)&lt;&gt;INDEX(Cal_Weeks[MonthYearLabel],14),'Grid_Stock'!O52,O52)+'Grid_Incoming'!P52-'Grid_Requirement'!P52</f>
        <v/>
      </c>
      <c r="Q52">
        <f>IF(INDEX(Cal_Weeks[MonthYearLabel],16)&lt;&gt;INDEX(Cal_Weeks[MonthYearLabel],15),'Grid_Stock'!P52,P52)+'Grid_Incoming'!Q52-'Grid_Requirement'!Q52</f>
        <v/>
      </c>
      <c r="R52">
        <f>IF(INDEX(Cal_Weeks[MonthYearLabel],17)&lt;&gt;INDEX(Cal_Weeks[MonthYearLabel],16),'Grid_Stock'!Q52,Q52)+'Grid_Incoming'!R52-'Grid_Requirement'!R52</f>
        <v/>
      </c>
      <c r="S52">
        <f>IF(INDEX(Cal_Weeks[MonthYearLabel],18)&lt;&gt;INDEX(Cal_Weeks[MonthYearLabel],17),'Grid_Stock'!R52,R52)+'Grid_Incoming'!S52-'Grid_Requirement'!S52</f>
        <v/>
      </c>
      <c r="T52">
        <f>IF(INDEX(Cal_Weeks[MonthYearLabel],19)&lt;&gt;INDEX(Cal_Weeks[MonthYearLabel],18),'Grid_Stock'!S52,S52)+'Grid_Incoming'!T52-'Grid_Requirement'!T52</f>
        <v/>
      </c>
      <c r="U52">
        <f>IF(INDEX(Cal_Weeks[MonthYearLabel],20)&lt;&gt;INDEX(Cal_Weeks[MonthYearLabel],19),'Grid_Stock'!T52,T52)+'Grid_Incoming'!U52-'Grid_Requirement'!U52</f>
        <v/>
      </c>
      <c r="V52">
        <f>IF(INDEX(Cal_Weeks[MonthYearLabel],21)&lt;&gt;INDEX(Cal_Weeks[MonthYearLabel],20),'Grid_Stock'!U52,U52)+'Grid_Incoming'!V52-'Grid_Requirement'!V52</f>
        <v/>
      </c>
      <c r="W52">
        <f>IF(INDEX(Cal_Weeks[MonthYearLabel],22)&lt;&gt;INDEX(Cal_Weeks[MonthYearLabel],21),'Grid_Stock'!V52,V52)+'Grid_Incoming'!W52-'Grid_Requirement'!W52</f>
        <v/>
      </c>
      <c r="X52">
        <f>IF(INDEX(Cal_Weeks[MonthYearLabel],23)&lt;&gt;INDEX(Cal_Weeks[MonthYearLabel],22),'Grid_Stock'!W52,W52)+'Grid_Incoming'!X52-'Grid_Requirement'!X52</f>
        <v/>
      </c>
      <c r="Y52">
        <f>IF(INDEX(Cal_Weeks[MonthYearLabel],24)&lt;&gt;INDEX(Cal_Weeks[MonthYearLabel],23),'Grid_Stock'!X52,X52)+'Grid_Incoming'!Y52-'Grid_Requirement'!Y52</f>
        <v/>
      </c>
      <c r="Z52">
        <f>IF(INDEX(Cal_Weeks[MonthYearLabel],25)&lt;&gt;INDEX(Cal_Weeks[MonthYearLabel],24),'Grid_Stock'!Y52,Y52)+'Grid_Incoming'!Z52-'Grid_Requirement'!Z52</f>
        <v/>
      </c>
      <c r="AA52">
        <f>IF(INDEX(Cal_Weeks[MonthYearLabel],26)&lt;&gt;INDEX(Cal_Weeks[MonthYearLabel],25),'Grid_Stock'!Z52,Z52)+'Grid_Incoming'!AA52-'Grid_Requirement'!AA52</f>
        <v/>
      </c>
      <c r="AB52">
        <f>IF(INDEX(Cal_Weeks[MonthYearLabel],27)&lt;&gt;INDEX(Cal_Weeks[MonthYearLabel],26),'Grid_Stock'!AA52,AA52)+'Grid_Incoming'!AB52-'Grid_Requirement'!AB52</f>
        <v/>
      </c>
      <c r="AC52">
        <f>IF(INDEX(Cal_Weeks[MonthYearLabel],28)&lt;&gt;INDEX(Cal_Weeks[MonthYearLabel],27),'Grid_Stock'!AB52,AB52)+'Grid_Incoming'!AC52-'Grid_Requirement'!AC52</f>
        <v/>
      </c>
      <c r="AD52">
        <f>IF(INDEX(Cal_Weeks[MonthYearLabel],29)&lt;&gt;INDEX(Cal_Weeks[MonthYearLabel],28),'Grid_Stock'!AC52,AC52)+'Grid_Incoming'!AD52-'Grid_Requirement'!AD52</f>
        <v/>
      </c>
      <c r="AE52">
        <f>IF(INDEX(Cal_Weeks[MonthYearLabel],30)&lt;&gt;INDEX(Cal_Weeks[MonthYearLabel],29),'Grid_Stock'!AD52,AD52)+'Grid_Incoming'!AE52-'Grid_Requirement'!AE52</f>
        <v/>
      </c>
      <c r="AF52">
        <f>IF(INDEX(Cal_Weeks[MonthYearLabel],31)&lt;&gt;INDEX(Cal_Weeks[MonthYearLabel],30),'Grid_Stock'!AE52,AE52)+'Grid_Incoming'!AF52-'Grid_Requirement'!AF52</f>
        <v/>
      </c>
      <c r="AG52">
        <f>IF(INDEX(Cal_Weeks[MonthYearLabel],32)&lt;&gt;INDEX(Cal_Weeks[MonthYearLabel],31),'Grid_Stock'!AF52,AF52)+'Grid_Incoming'!AG52-'Grid_Requirement'!AG52</f>
        <v/>
      </c>
      <c r="AH52">
        <f>IF(INDEX(Cal_Weeks[MonthYearLabel],33)&lt;&gt;INDEX(Cal_Weeks[MonthYearLabel],32),'Grid_Stock'!AG52,AG52)+'Grid_Incoming'!AH52-'Grid_Requirement'!AH52</f>
        <v/>
      </c>
      <c r="AI52">
        <f>IF(INDEX(Cal_Weeks[MonthYearLabel],34)&lt;&gt;INDEX(Cal_Weeks[MonthYearLabel],33),'Grid_Stock'!AH52,AH52)+'Grid_Incoming'!AI52-'Grid_Requirement'!AI52</f>
        <v/>
      </c>
      <c r="AJ52">
        <f>IF(INDEX(Cal_Weeks[MonthYearLabel],35)&lt;&gt;INDEX(Cal_Weeks[MonthYearLabel],34),'Grid_Stock'!AI52,AI52)+'Grid_Incoming'!AJ52-'Grid_Requirement'!AJ52</f>
        <v/>
      </c>
      <c r="AK52">
        <f>IF(INDEX(Cal_Weeks[MonthYearLabel],36)&lt;&gt;INDEX(Cal_Weeks[MonthYearLabel],35),'Grid_Stock'!AJ52,AJ52)+'Grid_Incoming'!AK52-'Grid_Requirement'!AK52</f>
        <v/>
      </c>
      <c r="AL52">
        <f>IF(INDEX(Cal_Weeks[MonthYearLabel],37)&lt;&gt;INDEX(Cal_Weeks[MonthYearLabel],36),'Grid_Stock'!AK52,AK52)+'Grid_Incoming'!AL52-'Grid_Requirement'!AL52</f>
        <v/>
      </c>
      <c r="AM52">
        <f>IF(INDEX(Cal_Weeks[MonthYearLabel],38)&lt;&gt;INDEX(Cal_Weeks[MonthYearLabel],37),'Grid_Stock'!AL52,AL52)+'Grid_Incoming'!AM52-'Grid_Requirement'!AM52</f>
        <v/>
      </c>
      <c r="AN52">
        <f>IF(INDEX(Cal_Weeks[MonthYearLabel],39)&lt;&gt;INDEX(Cal_Weeks[MonthYearLabel],38),'Grid_Stock'!AM52,AM52)+'Grid_Incoming'!AN52-'Grid_Requirement'!AN52</f>
        <v/>
      </c>
      <c r="AO52">
        <f>IF(INDEX(Cal_Weeks[MonthYearLabel],40)&lt;&gt;INDEX(Cal_Weeks[MonthYearLabel],39),'Grid_Stock'!AN52,AN52)+'Grid_Incoming'!AO52-'Grid_Requirement'!AO52</f>
        <v/>
      </c>
      <c r="AP52">
        <f>IF(INDEX(Cal_Weeks[MonthYearLabel],41)&lt;&gt;INDEX(Cal_Weeks[MonthYearLabel],40),'Grid_Stock'!AO52,AO52)+'Grid_Incoming'!AP52-'Grid_Requirement'!AP52</f>
        <v/>
      </c>
      <c r="AQ52">
        <f>IF(INDEX(Cal_Weeks[MonthYearLabel],42)&lt;&gt;INDEX(Cal_Weeks[MonthYearLabel],41),'Grid_Stock'!AP52,AP52)+'Grid_Incoming'!AQ52-'Grid_Requirement'!AQ52</f>
        <v/>
      </c>
      <c r="AR52">
        <f>IF(INDEX(Cal_Weeks[MonthYearLabel],43)&lt;&gt;INDEX(Cal_Weeks[MonthYearLabel],42),'Grid_Stock'!AQ52,AQ52)+'Grid_Incoming'!AR52-'Grid_Requirement'!AR52</f>
        <v/>
      </c>
      <c r="AS52">
        <f>IF(INDEX(Cal_Weeks[MonthYearLabel],44)&lt;&gt;INDEX(Cal_Weeks[MonthYearLabel],43),'Grid_Stock'!AR52,AR52)+'Grid_Incoming'!AS52-'Grid_Requirement'!AS52</f>
        <v/>
      </c>
      <c r="AT52">
        <f>IF(INDEX(Cal_Weeks[MonthYearLabel],45)&lt;&gt;INDEX(Cal_Weeks[MonthYearLabel],44),'Grid_Stock'!AS52,AS52)+'Grid_Incoming'!AT52-'Grid_Requirement'!AT52</f>
        <v/>
      </c>
      <c r="AU52">
        <f>IF(INDEX(Cal_Weeks[MonthYearLabel],46)&lt;&gt;INDEX(Cal_Weeks[MonthYearLabel],45),'Grid_Stock'!AT52,AT52)+'Grid_Incoming'!AU52-'Grid_Requirement'!AU52</f>
        <v/>
      </c>
      <c r="AV52">
        <f>IF(INDEX(Cal_Weeks[MonthYearLabel],47)&lt;&gt;INDEX(Cal_Weeks[MonthYearLabel],46),'Grid_Stock'!AU52,AU52)+'Grid_Incoming'!AV52-'Grid_Requirement'!AV52</f>
        <v/>
      </c>
      <c r="AW52">
        <f>IF(INDEX(Cal_Weeks[MonthYearLabel],48)&lt;&gt;INDEX(Cal_Weeks[MonthYearLabel],47),'Grid_Stock'!AV52,AV52)+'Grid_Incoming'!AW52-'Grid_Requirement'!AW52</f>
        <v/>
      </c>
      <c r="AX52">
        <f>IF(INDEX(Cal_Weeks[MonthYearLabel],49)&lt;&gt;INDEX(Cal_Weeks[MonthYearLabel],48),'Grid_Stock'!AW52,AW52)+'Grid_Incoming'!AX52-'Grid_Requirement'!AX52</f>
        <v/>
      </c>
      <c r="AY52">
        <f>IF(INDEX(Cal_Weeks[MonthYearLabel],50)&lt;&gt;INDEX(Cal_Weeks[MonthYearLabel],49),'Grid_Stock'!AX52,AX52)+'Grid_Incoming'!AY52-'Grid_Requirement'!AY52</f>
        <v/>
      </c>
      <c r="AZ52">
        <f>IF(INDEX(Cal_Weeks[MonthYearLabel],51)&lt;&gt;INDEX(Cal_Weeks[MonthYearLabel],50),'Grid_Stock'!AY52,AY52)+'Grid_Incoming'!AZ52-'Grid_Requirement'!AZ52</f>
        <v/>
      </c>
      <c r="BA52">
        <f>IF(INDEX(Cal_Weeks[MonthYearLabel],52)&lt;&gt;INDEX(Cal_Weeks[MonthYearLabel],51),'Grid_Stock'!AZ52,AZ52)+'Grid_Incoming'!BA52-'Grid_Requirement'!BA52</f>
        <v/>
      </c>
      <c r="BB52">
        <f>IF(INDEX(Cal_Weeks[MonthYearLabel],53)&lt;&gt;INDEX(Cal_Weeks[MonthYearLabel],52),'Grid_Stock'!BA52,BA52)+'Grid_Incoming'!BB52-'Grid_Requirement'!BB52</f>
        <v/>
      </c>
      <c r="BC52">
        <f>IF(INDEX(Cal_Weeks[MonthYearLabel],54)&lt;&gt;INDEX(Cal_Weeks[MonthYearLabel],53),'Grid_Stock'!BB52,BB52)+'Grid_Incoming'!BC52-'Grid_Requirement'!BC52</f>
        <v/>
      </c>
      <c r="BD52">
        <f>IF(INDEX(Cal_Weeks[MonthYearLabel],55)&lt;&gt;INDEX(Cal_Weeks[MonthYearLabel],54),'Grid_Stock'!BC52,BC52)+'Grid_Incoming'!BD52-'Grid_Requirement'!BD52</f>
        <v/>
      </c>
      <c r="BE52">
        <f>IF(INDEX(Cal_Weeks[MonthYearLabel],56)&lt;&gt;INDEX(Cal_Weeks[MonthYearLabel],55),'Grid_Stock'!BD52,BD52)+'Grid_Incoming'!BE52-'Grid_Requirement'!BE52</f>
        <v/>
      </c>
      <c r="BF52">
        <f>IF(INDEX(Cal_Weeks[MonthYearLabel],57)&lt;&gt;INDEX(Cal_Weeks[MonthYearLabel],56),'Grid_Stock'!BE52,BE52)+'Grid_Incoming'!BF52-'Grid_Requirement'!BF52</f>
        <v/>
      </c>
      <c r="BG52">
        <f>IF(INDEX(Cal_Weeks[MonthYearLabel],58)&lt;&gt;INDEX(Cal_Weeks[MonthYearLabel],57),'Grid_Stock'!BF52,BF52)+'Grid_Incoming'!BG52-'Grid_Requirement'!BG52</f>
        <v/>
      </c>
      <c r="BH52">
        <f>IF(INDEX(Cal_Weeks[MonthYearLabel],59)&lt;&gt;INDEX(Cal_Weeks[MonthYearLabel],58),'Grid_Stock'!BG52,BG52)+'Grid_Incoming'!BH52-'Grid_Requirement'!BH52</f>
        <v/>
      </c>
      <c r="BI52">
        <f>IF(INDEX(Cal_Weeks[MonthYearLabel],60)&lt;&gt;INDEX(Cal_Weeks[MonthYearLabel],59),'Grid_Stock'!BH52,BH52)+'Grid_Incoming'!BI52-'Grid_Requirement'!BI52</f>
        <v/>
      </c>
      <c r="BJ52">
        <f>IF(INDEX(Cal_Weeks[MonthYearLabel],61)&lt;&gt;INDEX(Cal_Weeks[MonthYearLabel],60),'Grid_Stock'!BI52,BI52)+'Grid_Incoming'!BJ52-'Grid_Requirement'!BJ52</f>
        <v/>
      </c>
      <c r="BK52">
        <f>IF(INDEX(Cal_Weeks[MonthYearLabel],62)&lt;&gt;INDEX(Cal_Weeks[MonthYearLabel],61),'Grid_Stock'!BJ52,BJ52)+'Grid_Incoming'!BK52-'Grid_Requirement'!BK52</f>
        <v/>
      </c>
      <c r="BL52">
        <f>IF(INDEX(Cal_Weeks[MonthYearLabel],63)&lt;&gt;INDEX(Cal_Weeks[MonthYearLabel],62),'Grid_Stock'!BK52,BK52)+'Grid_Incoming'!BL52-'Grid_Requirement'!BL52</f>
        <v/>
      </c>
      <c r="BM52">
        <f>IF(INDEX(Cal_Weeks[MonthYearLabel],64)&lt;&gt;INDEX(Cal_Weeks[MonthYearLabel],63),'Grid_Stock'!BL52,BL52)+'Grid_Incoming'!BM52-'Grid_Requirement'!BM52</f>
        <v/>
      </c>
      <c r="BN52">
        <f>IF(INDEX(Cal_Weeks[MonthYearLabel],65)&lt;&gt;INDEX(Cal_Weeks[MonthYearLabel],64),'Grid_Stock'!BM52,BM52)+'Grid_Incoming'!BN52-'Grid_Requirement'!BN52</f>
        <v/>
      </c>
      <c r="BO52">
        <f>IF(INDEX(Cal_Weeks[MonthYearLabel],66)&lt;&gt;INDEX(Cal_Weeks[MonthYearLabel],65),'Grid_Stock'!BN52,BN52)+'Grid_Incoming'!BO52-'Grid_Requirement'!BO52</f>
        <v/>
      </c>
      <c r="BP52">
        <f>IF(INDEX(Cal_Weeks[MonthYearLabel],67)&lt;&gt;INDEX(Cal_Weeks[MonthYearLabel],66),'Grid_Stock'!BO52,BO52)+'Grid_Incoming'!BP52-'Grid_Requirement'!BP52</f>
        <v/>
      </c>
      <c r="BQ52">
        <f>IF(INDEX(Cal_Weeks[MonthYearLabel],68)&lt;&gt;INDEX(Cal_Weeks[MonthYearLabel],67),'Grid_Stock'!BP52,BP52)+'Grid_Incoming'!BQ52-'Grid_Requirement'!BQ52</f>
        <v/>
      </c>
      <c r="BR52">
        <f>IF(INDEX(Cal_Weeks[MonthYearLabel],69)&lt;&gt;INDEX(Cal_Weeks[MonthYearLabel],68),'Grid_Stock'!BQ52,BQ52)+'Grid_Incoming'!BR52-'Grid_Requirement'!BR52</f>
        <v/>
      </c>
      <c r="BS52">
        <f>IF(INDEX(Cal_Weeks[MonthYearLabel],70)&lt;&gt;INDEX(Cal_Weeks[MonthYearLabel],69),'Grid_Stock'!BR52,BR52)+'Grid_Incoming'!BS52-'Grid_Requirement'!BS52</f>
        <v/>
      </c>
      <c r="BT52">
        <f>IF(INDEX(Cal_Weeks[MonthYearLabel],71)&lt;&gt;INDEX(Cal_Weeks[MonthYearLabel],70),'Grid_Stock'!BS52,BS52)+'Grid_Incoming'!BT52-'Grid_Requirement'!BT52</f>
        <v/>
      </c>
      <c r="BU52">
        <f>IF(INDEX(Cal_Weeks[MonthYearLabel],72)&lt;&gt;INDEX(Cal_Weeks[MonthYearLabel],71),'Grid_Stock'!BT52,BT52)+'Grid_Incoming'!BU52-'Grid_Requirement'!BU52</f>
        <v/>
      </c>
      <c r="BV52">
        <f>IF(INDEX(Cal_Weeks[MonthYearLabel],73)&lt;&gt;INDEX(Cal_Weeks[MonthYearLabel],72),'Grid_Stock'!BU52,BU52)+'Grid_Incoming'!BV52-'Grid_Requirement'!BV52</f>
        <v/>
      </c>
      <c r="BW52">
        <f>IF(INDEX(Cal_Weeks[MonthYearLabel],74)&lt;&gt;INDEX(Cal_Weeks[MonthYearLabel],73),'Grid_Stock'!BV52,BV52)+'Grid_Incoming'!BW52-'Grid_Requirement'!BW52</f>
        <v/>
      </c>
      <c r="BX52">
        <f>IF(INDEX(Cal_Weeks[MonthYearLabel],75)&lt;&gt;INDEX(Cal_Weeks[MonthYearLabel],74),'Grid_Stock'!BW52,BW52)+'Grid_Incoming'!BX52-'Grid_Requirement'!BX52</f>
        <v/>
      </c>
      <c r="BY52">
        <f>IF(INDEX(Cal_Weeks[MonthYearLabel],76)&lt;&gt;INDEX(Cal_Weeks[MonthYearLabel],75),'Grid_Stock'!BX52,BX52)+'Grid_Incoming'!BY52-'Grid_Requirement'!BY52</f>
        <v/>
      </c>
      <c r="BZ52">
        <f>IF(INDEX(Cal_Weeks[MonthYearLabel],77)&lt;&gt;INDEX(Cal_Weeks[MonthYearLabel],76),'Grid_Stock'!BY52,BY52)+'Grid_Incoming'!BZ52-'Grid_Requirement'!BZ52</f>
        <v/>
      </c>
      <c r="CA52">
        <f>IF(INDEX(Cal_Weeks[MonthYearLabel],78)&lt;&gt;INDEX(Cal_Weeks[MonthYearLabel],77),'Grid_Stock'!BZ52,BZ52)+'Grid_Incoming'!CA52-'Grid_Requirement'!CA52</f>
        <v/>
      </c>
      <c r="CB52">
        <f>IF(INDEX(Cal_Weeks[MonthYearLabel],79)&lt;&gt;INDEX(Cal_Weeks[MonthYearLabel],78),'Grid_Stock'!CA52,CA52)+'Grid_Incoming'!CB52-'Grid_Requirement'!CB52</f>
        <v/>
      </c>
      <c r="CC52">
        <f>IF(INDEX(Cal_Weeks[MonthYearLabel],80)&lt;&gt;INDEX(Cal_Weeks[MonthYearLabel],79),'Grid_Stock'!CB52,CB52)+'Grid_Incoming'!CC52-'Grid_Requirement'!CC52</f>
        <v/>
      </c>
      <c r="CD52">
        <f>IF(INDEX(Cal_Weeks[MonthYearLabel],81)&lt;&gt;INDEX(Cal_Weeks[MonthYearLabel],80),'Grid_Stock'!CC52,CC52)+'Grid_Incoming'!CD52-'Grid_Requirement'!CD52</f>
        <v/>
      </c>
      <c r="CE52">
        <f>IF(INDEX(Cal_Weeks[MonthYearLabel],82)&lt;&gt;INDEX(Cal_Weeks[MonthYearLabel],81),'Grid_Stock'!CD52,CD52)+'Grid_Incoming'!CE52-'Grid_Requirement'!CE52</f>
        <v/>
      </c>
      <c r="CF52">
        <f>IF(INDEX(Cal_Weeks[MonthYearLabel],83)&lt;&gt;INDEX(Cal_Weeks[MonthYearLabel],82),'Grid_Stock'!CE52,CE52)+'Grid_Incoming'!CF52-'Grid_Requirement'!CF52</f>
        <v/>
      </c>
      <c r="CG52">
        <f>IF(INDEX(Cal_Weeks[MonthYearLabel],84)&lt;&gt;INDEX(Cal_Weeks[MonthYearLabel],83),'Grid_Stock'!CF52,CF52)+'Grid_Incoming'!CG52-'Grid_Requirement'!CG52</f>
        <v/>
      </c>
      <c r="CH52">
        <f>IF(INDEX(Cal_Weeks[MonthYearLabel],85)&lt;&gt;INDEX(Cal_Weeks[MonthYearLabel],84),'Grid_Stock'!CG52,CG52)+'Grid_Incoming'!CH52-'Grid_Requirement'!CH52</f>
        <v/>
      </c>
      <c r="CI52">
        <f>IF(INDEX(Cal_Weeks[MonthYearLabel],86)&lt;&gt;INDEX(Cal_Weeks[MonthYearLabel],85),'Grid_Stock'!CH52,CH52)+'Grid_Incoming'!CI52-'Grid_Requirement'!CI52</f>
        <v/>
      </c>
      <c r="CJ52">
        <f>IF(INDEX(Cal_Weeks[MonthYearLabel],87)&lt;&gt;INDEX(Cal_Weeks[MonthYearLabel],86),'Grid_Stock'!CI52,CI52)+'Grid_Incoming'!CJ52-'Grid_Requirement'!CJ52</f>
        <v/>
      </c>
      <c r="CK52">
        <f>IF(INDEX(Cal_Weeks[MonthYearLabel],88)&lt;&gt;INDEX(Cal_Weeks[MonthYearLabel],87),'Grid_Stock'!CJ52,CJ52)+'Grid_Incoming'!CK52-'Grid_Requirement'!CK52</f>
        <v/>
      </c>
      <c r="CL52">
        <f>IF(INDEX(Cal_Weeks[MonthYearLabel],89)&lt;&gt;INDEX(Cal_Weeks[MonthYearLabel],88),'Grid_Stock'!CK52,CK52)+'Grid_Incoming'!CL52-'Grid_Requirement'!CL52</f>
        <v/>
      </c>
      <c r="CM52">
        <f>IF(INDEX(Cal_Weeks[MonthYearLabel],90)&lt;&gt;INDEX(Cal_Weeks[MonthYearLabel],89),'Grid_Stock'!CL52,CL52)+'Grid_Incoming'!CM52-'Grid_Requirement'!CM52</f>
        <v/>
      </c>
      <c r="CN52">
        <f>IF(INDEX(Cal_Weeks[MonthYearLabel],91)&lt;&gt;INDEX(Cal_Weeks[MonthYearLabel],90),'Grid_Stock'!CM52,CM52)+'Grid_Incoming'!CN52-'Grid_Requirement'!CN52</f>
        <v/>
      </c>
      <c r="CO52">
        <f>IF(INDEX(Cal_Weeks[MonthYearLabel],92)&lt;&gt;INDEX(Cal_Weeks[MonthYearLabel],91),'Grid_Stock'!CN52,CN52)+'Grid_Incoming'!CO52-'Grid_Requirement'!CO52</f>
        <v/>
      </c>
      <c r="CP52">
        <f>IF(INDEX(Cal_Weeks[MonthYearLabel],93)&lt;&gt;INDEX(Cal_Weeks[MonthYearLabel],92),'Grid_Stock'!CO52,CO52)+'Grid_Incoming'!CP52-'Grid_Requirement'!CP52</f>
        <v/>
      </c>
      <c r="CQ52">
        <f>IF(INDEX(Cal_Weeks[MonthYearLabel],94)&lt;&gt;INDEX(Cal_Weeks[MonthYearLabel],93),'Grid_Stock'!CP52,CP52)+'Grid_Incoming'!CQ52-'Grid_Requirement'!CQ52</f>
        <v/>
      </c>
      <c r="CR52">
        <f>IF(INDEX(Cal_Weeks[MonthYearLabel],95)&lt;&gt;INDEX(Cal_Weeks[MonthYearLabel],94),'Grid_Stock'!CQ52,CQ52)+'Grid_Incoming'!CR52-'Grid_Requirement'!CR52</f>
        <v/>
      </c>
      <c r="CS52">
        <f>IF(INDEX(Cal_Weeks[MonthYearLabel],96)&lt;&gt;INDEX(Cal_Weeks[MonthYearLabel],95),'Grid_Stock'!CR52,CR52)+'Grid_Incoming'!CS52-'Grid_Requirement'!CS52</f>
        <v/>
      </c>
      <c r="CT52">
        <f>IF(INDEX(Cal_Weeks[MonthYearLabel],97)&lt;&gt;INDEX(Cal_Weeks[MonthYearLabel],96),'Grid_Stock'!CS52,CS52)+'Grid_Incoming'!CT52-'Grid_Requirement'!CT52</f>
        <v/>
      </c>
      <c r="CU52">
        <f>IF(INDEX(Cal_Weeks[MonthYearLabel],98)&lt;&gt;INDEX(Cal_Weeks[MonthYearLabel],97),'Grid_Stock'!CT52,CT52)+'Grid_Incoming'!CU52-'Grid_Requirement'!CU52</f>
        <v/>
      </c>
      <c r="CV52">
        <f>IF(INDEX(Cal_Weeks[MonthYearLabel],99)&lt;&gt;INDEX(Cal_Weeks[MonthYearLabel],98),'Grid_Stock'!CU52,CU52)+'Grid_Incoming'!CV52-'Grid_Requirement'!CV52</f>
        <v/>
      </c>
      <c r="CW52">
        <f>IF(INDEX(Cal_Weeks[MonthYearLabel],100)&lt;&gt;INDEX(Cal_Weeks[MonthYearLabel],99),'Grid_Stock'!CV52,CV52)+'Grid_Incoming'!CW52-'Grid_Requirement'!CW52</f>
        <v/>
      </c>
      <c r="CX52">
        <f>IF(INDEX(Cal_Weeks[MonthYearLabel],101)&lt;&gt;INDEX(Cal_Weeks[MonthYearLabel],100),'Grid_Stock'!CW52,CW52)+'Grid_Incoming'!CX52-'Grid_Requirement'!CX52</f>
        <v/>
      </c>
      <c r="CY52">
        <f>IF(INDEX(Cal_Weeks[MonthYearLabel],102)&lt;&gt;INDEX(Cal_Weeks[MonthYearLabel],101),'Grid_Stock'!CX52,CX52)+'Grid_Incoming'!CY52-'Grid_Requirement'!CY52</f>
        <v/>
      </c>
      <c r="CZ52">
        <f>IF(INDEX(Cal_Weeks[MonthYearLabel],103)&lt;&gt;INDEX(Cal_Weeks[MonthYearLabel],102),'Grid_Stock'!CY52,CY52)+'Grid_Incoming'!CZ52-'Grid_Requirement'!CZ52</f>
        <v/>
      </c>
      <c r="DA52">
        <f>IF(INDEX(Cal_Weeks[MonthYearLabel],104)&lt;&gt;INDEX(Cal_Weeks[MonthYearLabel],103),'Grid_Stock'!CZ52,CZ52)+'Grid_Incoming'!DA52-'Grid_Requirement'!DA52</f>
        <v/>
      </c>
    </row>
    <row r="53">
      <c r="A53" t="inlineStr">
        <is>
          <t>18456-50041</t>
        </is>
      </c>
      <c r="B53">
        <f>IFERROR(INDEX(T_OpeningStock[Opening_Qty_要入力],MATCH($A53,T_OpeningStock[Part Name],0)),0)+'Grid_Incoming'!B53-'Grid_Requirement'!B53</f>
        <v/>
      </c>
      <c r="C53">
        <f>IF(INDEX(Cal_Weeks[MonthYearLabel],2)&lt;&gt;INDEX(Cal_Weeks[MonthYearLabel],1),'Grid_Stock'!B53,B53)+'Grid_Incoming'!C53-'Grid_Requirement'!C53</f>
        <v/>
      </c>
      <c r="D53">
        <f>IF(INDEX(Cal_Weeks[MonthYearLabel],3)&lt;&gt;INDEX(Cal_Weeks[MonthYearLabel],2),'Grid_Stock'!C53,C53)+'Grid_Incoming'!D53-'Grid_Requirement'!D53</f>
        <v/>
      </c>
      <c r="E53">
        <f>IF(INDEX(Cal_Weeks[MonthYearLabel],4)&lt;&gt;INDEX(Cal_Weeks[MonthYearLabel],3),'Grid_Stock'!D53,D53)+'Grid_Incoming'!E53-'Grid_Requirement'!E53</f>
        <v/>
      </c>
      <c r="F53">
        <f>IF(INDEX(Cal_Weeks[MonthYearLabel],5)&lt;&gt;INDEX(Cal_Weeks[MonthYearLabel],4),'Grid_Stock'!E53,E53)+'Grid_Incoming'!F53-'Grid_Requirement'!F53</f>
        <v/>
      </c>
      <c r="G53">
        <f>IF(INDEX(Cal_Weeks[MonthYearLabel],6)&lt;&gt;INDEX(Cal_Weeks[MonthYearLabel],5),'Grid_Stock'!F53,F53)+'Grid_Incoming'!G53-'Grid_Requirement'!G53</f>
        <v/>
      </c>
      <c r="H53">
        <f>IF(INDEX(Cal_Weeks[MonthYearLabel],7)&lt;&gt;INDEX(Cal_Weeks[MonthYearLabel],6),'Grid_Stock'!G53,G53)+'Grid_Incoming'!H53-'Grid_Requirement'!H53</f>
        <v/>
      </c>
      <c r="I53">
        <f>IF(INDEX(Cal_Weeks[MonthYearLabel],8)&lt;&gt;INDEX(Cal_Weeks[MonthYearLabel],7),'Grid_Stock'!H53,H53)+'Grid_Incoming'!I53-'Grid_Requirement'!I53</f>
        <v/>
      </c>
      <c r="J53">
        <f>IF(INDEX(Cal_Weeks[MonthYearLabel],9)&lt;&gt;INDEX(Cal_Weeks[MonthYearLabel],8),'Grid_Stock'!I53,I53)+'Grid_Incoming'!J53-'Grid_Requirement'!J53</f>
        <v/>
      </c>
      <c r="K53">
        <f>IF(INDEX(Cal_Weeks[MonthYearLabel],10)&lt;&gt;INDEX(Cal_Weeks[MonthYearLabel],9),'Grid_Stock'!J53,J53)+'Grid_Incoming'!K53-'Grid_Requirement'!K53</f>
        <v/>
      </c>
      <c r="L53">
        <f>IF(INDEX(Cal_Weeks[MonthYearLabel],11)&lt;&gt;INDEX(Cal_Weeks[MonthYearLabel],10),'Grid_Stock'!K53,K53)+'Grid_Incoming'!L53-'Grid_Requirement'!L53</f>
        <v/>
      </c>
      <c r="M53">
        <f>IF(INDEX(Cal_Weeks[MonthYearLabel],12)&lt;&gt;INDEX(Cal_Weeks[MonthYearLabel],11),'Grid_Stock'!L53,L53)+'Grid_Incoming'!M53-'Grid_Requirement'!M53</f>
        <v/>
      </c>
      <c r="N53">
        <f>IF(INDEX(Cal_Weeks[MonthYearLabel],13)&lt;&gt;INDEX(Cal_Weeks[MonthYearLabel],12),'Grid_Stock'!M53,M53)+'Grid_Incoming'!N53-'Grid_Requirement'!N53</f>
        <v/>
      </c>
      <c r="O53">
        <f>IF(INDEX(Cal_Weeks[MonthYearLabel],14)&lt;&gt;INDEX(Cal_Weeks[MonthYearLabel],13),'Grid_Stock'!N53,N53)+'Grid_Incoming'!O53-'Grid_Requirement'!O53</f>
        <v/>
      </c>
      <c r="P53">
        <f>IF(INDEX(Cal_Weeks[MonthYearLabel],15)&lt;&gt;INDEX(Cal_Weeks[MonthYearLabel],14),'Grid_Stock'!O53,O53)+'Grid_Incoming'!P53-'Grid_Requirement'!P53</f>
        <v/>
      </c>
      <c r="Q53">
        <f>IF(INDEX(Cal_Weeks[MonthYearLabel],16)&lt;&gt;INDEX(Cal_Weeks[MonthYearLabel],15),'Grid_Stock'!P53,P53)+'Grid_Incoming'!Q53-'Grid_Requirement'!Q53</f>
        <v/>
      </c>
      <c r="R53">
        <f>IF(INDEX(Cal_Weeks[MonthYearLabel],17)&lt;&gt;INDEX(Cal_Weeks[MonthYearLabel],16),'Grid_Stock'!Q53,Q53)+'Grid_Incoming'!R53-'Grid_Requirement'!R53</f>
        <v/>
      </c>
      <c r="S53">
        <f>IF(INDEX(Cal_Weeks[MonthYearLabel],18)&lt;&gt;INDEX(Cal_Weeks[MonthYearLabel],17),'Grid_Stock'!R53,R53)+'Grid_Incoming'!S53-'Grid_Requirement'!S53</f>
        <v/>
      </c>
      <c r="T53">
        <f>IF(INDEX(Cal_Weeks[MonthYearLabel],19)&lt;&gt;INDEX(Cal_Weeks[MonthYearLabel],18),'Grid_Stock'!S53,S53)+'Grid_Incoming'!T53-'Grid_Requirement'!T53</f>
        <v/>
      </c>
      <c r="U53">
        <f>IF(INDEX(Cal_Weeks[MonthYearLabel],20)&lt;&gt;INDEX(Cal_Weeks[MonthYearLabel],19),'Grid_Stock'!T53,T53)+'Grid_Incoming'!U53-'Grid_Requirement'!U53</f>
        <v/>
      </c>
      <c r="V53">
        <f>IF(INDEX(Cal_Weeks[MonthYearLabel],21)&lt;&gt;INDEX(Cal_Weeks[MonthYearLabel],20),'Grid_Stock'!U53,U53)+'Grid_Incoming'!V53-'Grid_Requirement'!V53</f>
        <v/>
      </c>
      <c r="W53">
        <f>IF(INDEX(Cal_Weeks[MonthYearLabel],22)&lt;&gt;INDEX(Cal_Weeks[MonthYearLabel],21),'Grid_Stock'!V53,V53)+'Grid_Incoming'!W53-'Grid_Requirement'!W53</f>
        <v/>
      </c>
      <c r="X53">
        <f>IF(INDEX(Cal_Weeks[MonthYearLabel],23)&lt;&gt;INDEX(Cal_Weeks[MonthYearLabel],22),'Grid_Stock'!W53,W53)+'Grid_Incoming'!X53-'Grid_Requirement'!X53</f>
        <v/>
      </c>
      <c r="Y53">
        <f>IF(INDEX(Cal_Weeks[MonthYearLabel],24)&lt;&gt;INDEX(Cal_Weeks[MonthYearLabel],23),'Grid_Stock'!X53,X53)+'Grid_Incoming'!Y53-'Grid_Requirement'!Y53</f>
        <v/>
      </c>
      <c r="Z53">
        <f>IF(INDEX(Cal_Weeks[MonthYearLabel],25)&lt;&gt;INDEX(Cal_Weeks[MonthYearLabel],24),'Grid_Stock'!Y53,Y53)+'Grid_Incoming'!Z53-'Grid_Requirement'!Z53</f>
        <v/>
      </c>
      <c r="AA53">
        <f>IF(INDEX(Cal_Weeks[MonthYearLabel],26)&lt;&gt;INDEX(Cal_Weeks[MonthYearLabel],25),'Grid_Stock'!Z53,Z53)+'Grid_Incoming'!AA53-'Grid_Requirement'!AA53</f>
        <v/>
      </c>
      <c r="AB53">
        <f>IF(INDEX(Cal_Weeks[MonthYearLabel],27)&lt;&gt;INDEX(Cal_Weeks[MonthYearLabel],26),'Grid_Stock'!AA53,AA53)+'Grid_Incoming'!AB53-'Grid_Requirement'!AB53</f>
        <v/>
      </c>
      <c r="AC53">
        <f>IF(INDEX(Cal_Weeks[MonthYearLabel],28)&lt;&gt;INDEX(Cal_Weeks[MonthYearLabel],27),'Grid_Stock'!AB53,AB53)+'Grid_Incoming'!AC53-'Grid_Requirement'!AC53</f>
        <v/>
      </c>
      <c r="AD53">
        <f>IF(INDEX(Cal_Weeks[MonthYearLabel],29)&lt;&gt;INDEX(Cal_Weeks[MonthYearLabel],28),'Grid_Stock'!AC53,AC53)+'Grid_Incoming'!AD53-'Grid_Requirement'!AD53</f>
        <v/>
      </c>
      <c r="AE53">
        <f>IF(INDEX(Cal_Weeks[MonthYearLabel],30)&lt;&gt;INDEX(Cal_Weeks[MonthYearLabel],29),'Grid_Stock'!AD53,AD53)+'Grid_Incoming'!AE53-'Grid_Requirement'!AE53</f>
        <v/>
      </c>
      <c r="AF53">
        <f>IF(INDEX(Cal_Weeks[MonthYearLabel],31)&lt;&gt;INDEX(Cal_Weeks[MonthYearLabel],30),'Grid_Stock'!AE53,AE53)+'Grid_Incoming'!AF53-'Grid_Requirement'!AF53</f>
        <v/>
      </c>
      <c r="AG53">
        <f>IF(INDEX(Cal_Weeks[MonthYearLabel],32)&lt;&gt;INDEX(Cal_Weeks[MonthYearLabel],31),'Grid_Stock'!AF53,AF53)+'Grid_Incoming'!AG53-'Grid_Requirement'!AG53</f>
        <v/>
      </c>
      <c r="AH53">
        <f>IF(INDEX(Cal_Weeks[MonthYearLabel],33)&lt;&gt;INDEX(Cal_Weeks[MonthYearLabel],32),'Grid_Stock'!AG53,AG53)+'Grid_Incoming'!AH53-'Grid_Requirement'!AH53</f>
        <v/>
      </c>
      <c r="AI53">
        <f>IF(INDEX(Cal_Weeks[MonthYearLabel],34)&lt;&gt;INDEX(Cal_Weeks[MonthYearLabel],33),'Grid_Stock'!AH53,AH53)+'Grid_Incoming'!AI53-'Grid_Requirement'!AI53</f>
        <v/>
      </c>
      <c r="AJ53">
        <f>IF(INDEX(Cal_Weeks[MonthYearLabel],35)&lt;&gt;INDEX(Cal_Weeks[MonthYearLabel],34),'Grid_Stock'!AI53,AI53)+'Grid_Incoming'!AJ53-'Grid_Requirement'!AJ53</f>
        <v/>
      </c>
      <c r="AK53">
        <f>IF(INDEX(Cal_Weeks[MonthYearLabel],36)&lt;&gt;INDEX(Cal_Weeks[MonthYearLabel],35),'Grid_Stock'!AJ53,AJ53)+'Grid_Incoming'!AK53-'Grid_Requirement'!AK53</f>
        <v/>
      </c>
      <c r="AL53">
        <f>IF(INDEX(Cal_Weeks[MonthYearLabel],37)&lt;&gt;INDEX(Cal_Weeks[MonthYearLabel],36),'Grid_Stock'!AK53,AK53)+'Grid_Incoming'!AL53-'Grid_Requirement'!AL53</f>
        <v/>
      </c>
      <c r="AM53">
        <f>IF(INDEX(Cal_Weeks[MonthYearLabel],38)&lt;&gt;INDEX(Cal_Weeks[MonthYearLabel],37),'Grid_Stock'!AL53,AL53)+'Grid_Incoming'!AM53-'Grid_Requirement'!AM53</f>
        <v/>
      </c>
      <c r="AN53">
        <f>IF(INDEX(Cal_Weeks[MonthYearLabel],39)&lt;&gt;INDEX(Cal_Weeks[MonthYearLabel],38),'Grid_Stock'!AM53,AM53)+'Grid_Incoming'!AN53-'Grid_Requirement'!AN53</f>
        <v/>
      </c>
      <c r="AO53">
        <f>IF(INDEX(Cal_Weeks[MonthYearLabel],40)&lt;&gt;INDEX(Cal_Weeks[MonthYearLabel],39),'Grid_Stock'!AN53,AN53)+'Grid_Incoming'!AO53-'Grid_Requirement'!AO53</f>
        <v/>
      </c>
      <c r="AP53">
        <f>IF(INDEX(Cal_Weeks[MonthYearLabel],41)&lt;&gt;INDEX(Cal_Weeks[MonthYearLabel],40),'Grid_Stock'!AO53,AO53)+'Grid_Incoming'!AP53-'Grid_Requirement'!AP53</f>
        <v/>
      </c>
      <c r="AQ53">
        <f>IF(INDEX(Cal_Weeks[MonthYearLabel],42)&lt;&gt;INDEX(Cal_Weeks[MonthYearLabel],41),'Grid_Stock'!AP53,AP53)+'Grid_Incoming'!AQ53-'Grid_Requirement'!AQ53</f>
        <v/>
      </c>
      <c r="AR53">
        <f>IF(INDEX(Cal_Weeks[MonthYearLabel],43)&lt;&gt;INDEX(Cal_Weeks[MonthYearLabel],42),'Grid_Stock'!AQ53,AQ53)+'Grid_Incoming'!AR53-'Grid_Requirement'!AR53</f>
        <v/>
      </c>
      <c r="AS53">
        <f>IF(INDEX(Cal_Weeks[MonthYearLabel],44)&lt;&gt;INDEX(Cal_Weeks[MonthYearLabel],43),'Grid_Stock'!AR53,AR53)+'Grid_Incoming'!AS53-'Grid_Requirement'!AS53</f>
        <v/>
      </c>
      <c r="AT53">
        <f>IF(INDEX(Cal_Weeks[MonthYearLabel],45)&lt;&gt;INDEX(Cal_Weeks[MonthYearLabel],44),'Grid_Stock'!AS53,AS53)+'Grid_Incoming'!AT53-'Grid_Requirement'!AT53</f>
        <v/>
      </c>
      <c r="AU53">
        <f>IF(INDEX(Cal_Weeks[MonthYearLabel],46)&lt;&gt;INDEX(Cal_Weeks[MonthYearLabel],45),'Grid_Stock'!AT53,AT53)+'Grid_Incoming'!AU53-'Grid_Requirement'!AU53</f>
        <v/>
      </c>
      <c r="AV53">
        <f>IF(INDEX(Cal_Weeks[MonthYearLabel],47)&lt;&gt;INDEX(Cal_Weeks[MonthYearLabel],46),'Grid_Stock'!AU53,AU53)+'Grid_Incoming'!AV53-'Grid_Requirement'!AV53</f>
        <v/>
      </c>
      <c r="AW53">
        <f>IF(INDEX(Cal_Weeks[MonthYearLabel],48)&lt;&gt;INDEX(Cal_Weeks[MonthYearLabel],47),'Grid_Stock'!AV53,AV53)+'Grid_Incoming'!AW53-'Grid_Requirement'!AW53</f>
        <v/>
      </c>
      <c r="AX53">
        <f>IF(INDEX(Cal_Weeks[MonthYearLabel],49)&lt;&gt;INDEX(Cal_Weeks[MonthYearLabel],48),'Grid_Stock'!AW53,AW53)+'Grid_Incoming'!AX53-'Grid_Requirement'!AX53</f>
        <v/>
      </c>
      <c r="AY53">
        <f>IF(INDEX(Cal_Weeks[MonthYearLabel],50)&lt;&gt;INDEX(Cal_Weeks[MonthYearLabel],49),'Grid_Stock'!AX53,AX53)+'Grid_Incoming'!AY53-'Grid_Requirement'!AY53</f>
        <v/>
      </c>
      <c r="AZ53">
        <f>IF(INDEX(Cal_Weeks[MonthYearLabel],51)&lt;&gt;INDEX(Cal_Weeks[MonthYearLabel],50),'Grid_Stock'!AY53,AY53)+'Grid_Incoming'!AZ53-'Grid_Requirement'!AZ53</f>
        <v/>
      </c>
      <c r="BA53">
        <f>IF(INDEX(Cal_Weeks[MonthYearLabel],52)&lt;&gt;INDEX(Cal_Weeks[MonthYearLabel],51),'Grid_Stock'!AZ53,AZ53)+'Grid_Incoming'!BA53-'Grid_Requirement'!BA53</f>
        <v/>
      </c>
      <c r="BB53">
        <f>IF(INDEX(Cal_Weeks[MonthYearLabel],53)&lt;&gt;INDEX(Cal_Weeks[MonthYearLabel],52),'Grid_Stock'!BA53,BA53)+'Grid_Incoming'!BB53-'Grid_Requirement'!BB53</f>
        <v/>
      </c>
      <c r="BC53">
        <f>IF(INDEX(Cal_Weeks[MonthYearLabel],54)&lt;&gt;INDEX(Cal_Weeks[MonthYearLabel],53),'Grid_Stock'!BB53,BB53)+'Grid_Incoming'!BC53-'Grid_Requirement'!BC53</f>
        <v/>
      </c>
      <c r="BD53">
        <f>IF(INDEX(Cal_Weeks[MonthYearLabel],55)&lt;&gt;INDEX(Cal_Weeks[MonthYearLabel],54),'Grid_Stock'!BC53,BC53)+'Grid_Incoming'!BD53-'Grid_Requirement'!BD53</f>
        <v/>
      </c>
      <c r="BE53">
        <f>IF(INDEX(Cal_Weeks[MonthYearLabel],56)&lt;&gt;INDEX(Cal_Weeks[MonthYearLabel],55),'Grid_Stock'!BD53,BD53)+'Grid_Incoming'!BE53-'Grid_Requirement'!BE53</f>
        <v/>
      </c>
      <c r="BF53">
        <f>IF(INDEX(Cal_Weeks[MonthYearLabel],57)&lt;&gt;INDEX(Cal_Weeks[MonthYearLabel],56),'Grid_Stock'!BE53,BE53)+'Grid_Incoming'!BF53-'Grid_Requirement'!BF53</f>
        <v/>
      </c>
      <c r="BG53">
        <f>IF(INDEX(Cal_Weeks[MonthYearLabel],58)&lt;&gt;INDEX(Cal_Weeks[MonthYearLabel],57),'Grid_Stock'!BF53,BF53)+'Grid_Incoming'!BG53-'Grid_Requirement'!BG53</f>
        <v/>
      </c>
      <c r="BH53">
        <f>IF(INDEX(Cal_Weeks[MonthYearLabel],59)&lt;&gt;INDEX(Cal_Weeks[MonthYearLabel],58),'Grid_Stock'!BG53,BG53)+'Grid_Incoming'!BH53-'Grid_Requirement'!BH53</f>
        <v/>
      </c>
      <c r="BI53">
        <f>IF(INDEX(Cal_Weeks[MonthYearLabel],60)&lt;&gt;INDEX(Cal_Weeks[MonthYearLabel],59),'Grid_Stock'!BH53,BH53)+'Grid_Incoming'!BI53-'Grid_Requirement'!BI53</f>
        <v/>
      </c>
      <c r="BJ53">
        <f>IF(INDEX(Cal_Weeks[MonthYearLabel],61)&lt;&gt;INDEX(Cal_Weeks[MonthYearLabel],60),'Grid_Stock'!BI53,BI53)+'Grid_Incoming'!BJ53-'Grid_Requirement'!BJ53</f>
        <v/>
      </c>
      <c r="BK53">
        <f>IF(INDEX(Cal_Weeks[MonthYearLabel],62)&lt;&gt;INDEX(Cal_Weeks[MonthYearLabel],61),'Grid_Stock'!BJ53,BJ53)+'Grid_Incoming'!BK53-'Grid_Requirement'!BK53</f>
        <v/>
      </c>
      <c r="BL53">
        <f>IF(INDEX(Cal_Weeks[MonthYearLabel],63)&lt;&gt;INDEX(Cal_Weeks[MonthYearLabel],62),'Grid_Stock'!BK53,BK53)+'Grid_Incoming'!BL53-'Grid_Requirement'!BL53</f>
        <v/>
      </c>
      <c r="BM53">
        <f>IF(INDEX(Cal_Weeks[MonthYearLabel],64)&lt;&gt;INDEX(Cal_Weeks[MonthYearLabel],63),'Grid_Stock'!BL53,BL53)+'Grid_Incoming'!BM53-'Grid_Requirement'!BM53</f>
        <v/>
      </c>
      <c r="BN53">
        <f>IF(INDEX(Cal_Weeks[MonthYearLabel],65)&lt;&gt;INDEX(Cal_Weeks[MonthYearLabel],64),'Grid_Stock'!BM53,BM53)+'Grid_Incoming'!BN53-'Grid_Requirement'!BN53</f>
        <v/>
      </c>
      <c r="BO53">
        <f>IF(INDEX(Cal_Weeks[MonthYearLabel],66)&lt;&gt;INDEX(Cal_Weeks[MonthYearLabel],65),'Grid_Stock'!BN53,BN53)+'Grid_Incoming'!BO53-'Grid_Requirement'!BO53</f>
        <v/>
      </c>
      <c r="BP53">
        <f>IF(INDEX(Cal_Weeks[MonthYearLabel],67)&lt;&gt;INDEX(Cal_Weeks[MonthYearLabel],66),'Grid_Stock'!BO53,BO53)+'Grid_Incoming'!BP53-'Grid_Requirement'!BP53</f>
        <v/>
      </c>
      <c r="BQ53">
        <f>IF(INDEX(Cal_Weeks[MonthYearLabel],68)&lt;&gt;INDEX(Cal_Weeks[MonthYearLabel],67),'Grid_Stock'!BP53,BP53)+'Grid_Incoming'!BQ53-'Grid_Requirement'!BQ53</f>
        <v/>
      </c>
      <c r="BR53">
        <f>IF(INDEX(Cal_Weeks[MonthYearLabel],69)&lt;&gt;INDEX(Cal_Weeks[MonthYearLabel],68),'Grid_Stock'!BQ53,BQ53)+'Grid_Incoming'!BR53-'Grid_Requirement'!BR53</f>
        <v/>
      </c>
      <c r="BS53">
        <f>IF(INDEX(Cal_Weeks[MonthYearLabel],70)&lt;&gt;INDEX(Cal_Weeks[MonthYearLabel],69),'Grid_Stock'!BR53,BR53)+'Grid_Incoming'!BS53-'Grid_Requirement'!BS53</f>
        <v/>
      </c>
      <c r="BT53">
        <f>IF(INDEX(Cal_Weeks[MonthYearLabel],71)&lt;&gt;INDEX(Cal_Weeks[MonthYearLabel],70),'Grid_Stock'!BS53,BS53)+'Grid_Incoming'!BT53-'Grid_Requirement'!BT53</f>
        <v/>
      </c>
      <c r="BU53">
        <f>IF(INDEX(Cal_Weeks[MonthYearLabel],72)&lt;&gt;INDEX(Cal_Weeks[MonthYearLabel],71),'Grid_Stock'!BT53,BT53)+'Grid_Incoming'!BU53-'Grid_Requirement'!BU53</f>
        <v/>
      </c>
      <c r="BV53">
        <f>IF(INDEX(Cal_Weeks[MonthYearLabel],73)&lt;&gt;INDEX(Cal_Weeks[MonthYearLabel],72),'Grid_Stock'!BU53,BU53)+'Grid_Incoming'!BV53-'Grid_Requirement'!BV53</f>
        <v/>
      </c>
      <c r="BW53">
        <f>IF(INDEX(Cal_Weeks[MonthYearLabel],74)&lt;&gt;INDEX(Cal_Weeks[MonthYearLabel],73),'Grid_Stock'!BV53,BV53)+'Grid_Incoming'!BW53-'Grid_Requirement'!BW53</f>
        <v/>
      </c>
      <c r="BX53">
        <f>IF(INDEX(Cal_Weeks[MonthYearLabel],75)&lt;&gt;INDEX(Cal_Weeks[MonthYearLabel],74),'Grid_Stock'!BW53,BW53)+'Grid_Incoming'!BX53-'Grid_Requirement'!BX53</f>
        <v/>
      </c>
      <c r="BY53">
        <f>IF(INDEX(Cal_Weeks[MonthYearLabel],76)&lt;&gt;INDEX(Cal_Weeks[MonthYearLabel],75),'Grid_Stock'!BX53,BX53)+'Grid_Incoming'!BY53-'Grid_Requirement'!BY53</f>
        <v/>
      </c>
      <c r="BZ53">
        <f>IF(INDEX(Cal_Weeks[MonthYearLabel],77)&lt;&gt;INDEX(Cal_Weeks[MonthYearLabel],76),'Grid_Stock'!BY53,BY53)+'Grid_Incoming'!BZ53-'Grid_Requirement'!BZ53</f>
        <v/>
      </c>
      <c r="CA53">
        <f>IF(INDEX(Cal_Weeks[MonthYearLabel],78)&lt;&gt;INDEX(Cal_Weeks[MonthYearLabel],77),'Grid_Stock'!BZ53,BZ53)+'Grid_Incoming'!CA53-'Grid_Requirement'!CA53</f>
        <v/>
      </c>
      <c r="CB53">
        <f>IF(INDEX(Cal_Weeks[MonthYearLabel],79)&lt;&gt;INDEX(Cal_Weeks[MonthYearLabel],78),'Grid_Stock'!CA53,CA53)+'Grid_Incoming'!CB53-'Grid_Requirement'!CB53</f>
        <v/>
      </c>
      <c r="CC53">
        <f>IF(INDEX(Cal_Weeks[MonthYearLabel],80)&lt;&gt;INDEX(Cal_Weeks[MonthYearLabel],79),'Grid_Stock'!CB53,CB53)+'Grid_Incoming'!CC53-'Grid_Requirement'!CC53</f>
        <v/>
      </c>
      <c r="CD53">
        <f>IF(INDEX(Cal_Weeks[MonthYearLabel],81)&lt;&gt;INDEX(Cal_Weeks[MonthYearLabel],80),'Grid_Stock'!CC53,CC53)+'Grid_Incoming'!CD53-'Grid_Requirement'!CD53</f>
        <v/>
      </c>
      <c r="CE53">
        <f>IF(INDEX(Cal_Weeks[MonthYearLabel],82)&lt;&gt;INDEX(Cal_Weeks[MonthYearLabel],81),'Grid_Stock'!CD53,CD53)+'Grid_Incoming'!CE53-'Grid_Requirement'!CE53</f>
        <v/>
      </c>
      <c r="CF53">
        <f>IF(INDEX(Cal_Weeks[MonthYearLabel],83)&lt;&gt;INDEX(Cal_Weeks[MonthYearLabel],82),'Grid_Stock'!CE53,CE53)+'Grid_Incoming'!CF53-'Grid_Requirement'!CF53</f>
        <v/>
      </c>
      <c r="CG53">
        <f>IF(INDEX(Cal_Weeks[MonthYearLabel],84)&lt;&gt;INDEX(Cal_Weeks[MonthYearLabel],83),'Grid_Stock'!CF53,CF53)+'Grid_Incoming'!CG53-'Grid_Requirement'!CG53</f>
        <v/>
      </c>
      <c r="CH53">
        <f>IF(INDEX(Cal_Weeks[MonthYearLabel],85)&lt;&gt;INDEX(Cal_Weeks[MonthYearLabel],84),'Grid_Stock'!CG53,CG53)+'Grid_Incoming'!CH53-'Grid_Requirement'!CH53</f>
        <v/>
      </c>
      <c r="CI53">
        <f>IF(INDEX(Cal_Weeks[MonthYearLabel],86)&lt;&gt;INDEX(Cal_Weeks[MonthYearLabel],85),'Grid_Stock'!CH53,CH53)+'Grid_Incoming'!CI53-'Grid_Requirement'!CI53</f>
        <v/>
      </c>
      <c r="CJ53">
        <f>IF(INDEX(Cal_Weeks[MonthYearLabel],87)&lt;&gt;INDEX(Cal_Weeks[MonthYearLabel],86),'Grid_Stock'!CI53,CI53)+'Grid_Incoming'!CJ53-'Grid_Requirement'!CJ53</f>
        <v/>
      </c>
      <c r="CK53">
        <f>IF(INDEX(Cal_Weeks[MonthYearLabel],88)&lt;&gt;INDEX(Cal_Weeks[MonthYearLabel],87),'Grid_Stock'!CJ53,CJ53)+'Grid_Incoming'!CK53-'Grid_Requirement'!CK53</f>
        <v/>
      </c>
      <c r="CL53">
        <f>IF(INDEX(Cal_Weeks[MonthYearLabel],89)&lt;&gt;INDEX(Cal_Weeks[MonthYearLabel],88),'Grid_Stock'!CK53,CK53)+'Grid_Incoming'!CL53-'Grid_Requirement'!CL53</f>
        <v/>
      </c>
      <c r="CM53">
        <f>IF(INDEX(Cal_Weeks[MonthYearLabel],90)&lt;&gt;INDEX(Cal_Weeks[MonthYearLabel],89),'Grid_Stock'!CL53,CL53)+'Grid_Incoming'!CM53-'Grid_Requirement'!CM53</f>
        <v/>
      </c>
      <c r="CN53">
        <f>IF(INDEX(Cal_Weeks[MonthYearLabel],91)&lt;&gt;INDEX(Cal_Weeks[MonthYearLabel],90),'Grid_Stock'!CM53,CM53)+'Grid_Incoming'!CN53-'Grid_Requirement'!CN53</f>
        <v/>
      </c>
      <c r="CO53">
        <f>IF(INDEX(Cal_Weeks[MonthYearLabel],92)&lt;&gt;INDEX(Cal_Weeks[MonthYearLabel],91),'Grid_Stock'!CN53,CN53)+'Grid_Incoming'!CO53-'Grid_Requirement'!CO53</f>
        <v/>
      </c>
      <c r="CP53">
        <f>IF(INDEX(Cal_Weeks[MonthYearLabel],93)&lt;&gt;INDEX(Cal_Weeks[MonthYearLabel],92),'Grid_Stock'!CO53,CO53)+'Grid_Incoming'!CP53-'Grid_Requirement'!CP53</f>
        <v/>
      </c>
      <c r="CQ53">
        <f>IF(INDEX(Cal_Weeks[MonthYearLabel],94)&lt;&gt;INDEX(Cal_Weeks[MonthYearLabel],93),'Grid_Stock'!CP53,CP53)+'Grid_Incoming'!CQ53-'Grid_Requirement'!CQ53</f>
        <v/>
      </c>
      <c r="CR53">
        <f>IF(INDEX(Cal_Weeks[MonthYearLabel],95)&lt;&gt;INDEX(Cal_Weeks[MonthYearLabel],94),'Grid_Stock'!CQ53,CQ53)+'Grid_Incoming'!CR53-'Grid_Requirement'!CR53</f>
        <v/>
      </c>
      <c r="CS53">
        <f>IF(INDEX(Cal_Weeks[MonthYearLabel],96)&lt;&gt;INDEX(Cal_Weeks[MonthYearLabel],95),'Grid_Stock'!CR53,CR53)+'Grid_Incoming'!CS53-'Grid_Requirement'!CS53</f>
        <v/>
      </c>
      <c r="CT53">
        <f>IF(INDEX(Cal_Weeks[MonthYearLabel],97)&lt;&gt;INDEX(Cal_Weeks[MonthYearLabel],96),'Grid_Stock'!CS53,CS53)+'Grid_Incoming'!CT53-'Grid_Requirement'!CT53</f>
        <v/>
      </c>
      <c r="CU53">
        <f>IF(INDEX(Cal_Weeks[MonthYearLabel],98)&lt;&gt;INDEX(Cal_Weeks[MonthYearLabel],97),'Grid_Stock'!CT53,CT53)+'Grid_Incoming'!CU53-'Grid_Requirement'!CU53</f>
        <v/>
      </c>
      <c r="CV53">
        <f>IF(INDEX(Cal_Weeks[MonthYearLabel],99)&lt;&gt;INDEX(Cal_Weeks[MonthYearLabel],98),'Grid_Stock'!CU53,CU53)+'Grid_Incoming'!CV53-'Grid_Requirement'!CV53</f>
        <v/>
      </c>
      <c r="CW53">
        <f>IF(INDEX(Cal_Weeks[MonthYearLabel],100)&lt;&gt;INDEX(Cal_Weeks[MonthYearLabel],99),'Grid_Stock'!CV53,CV53)+'Grid_Incoming'!CW53-'Grid_Requirement'!CW53</f>
        <v/>
      </c>
      <c r="CX53">
        <f>IF(INDEX(Cal_Weeks[MonthYearLabel],101)&lt;&gt;INDEX(Cal_Weeks[MonthYearLabel],100),'Grid_Stock'!CW53,CW53)+'Grid_Incoming'!CX53-'Grid_Requirement'!CX53</f>
        <v/>
      </c>
      <c r="CY53">
        <f>IF(INDEX(Cal_Weeks[MonthYearLabel],102)&lt;&gt;INDEX(Cal_Weeks[MonthYearLabel],101),'Grid_Stock'!CX53,CX53)+'Grid_Incoming'!CY53-'Grid_Requirement'!CY53</f>
        <v/>
      </c>
      <c r="CZ53">
        <f>IF(INDEX(Cal_Weeks[MonthYearLabel],103)&lt;&gt;INDEX(Cal_Weeks[MonthYearLabel],102),'Grid_Stock'!CY53,CY53)+'Grid_Incoming'!CZ53-'Grid_Requirement'!CZ53</f>
        <v/>
      </c>
      <c r="DA53">
        <f>IF(INDEX(Cal_Weeks[MonthYearLabel],104)&lt;&gt;INDEX(Cal_Weeks[MonthYearLabel],103),'Grid_Stock'!CZ53,CZ53)+'Grid_Incoming'!DA53-'Grid_Requirement'!DA53</f>
        <v/>
      </c>
    </row>
    <row r="54">
      <c r="A54" t="inlineStr">
        <is>
          <t>18456-50061</t>
        </is>
      </c>
      <c r="B54">
        <f>IFERROR(INDEX(T_OpeningStock[Opening_Qty_要入力],MATCH($A54,T_OpeningStock[Part Name],0)),0)+'Grid_Incoming'!B54-'Grid_Requirement'!B54</f>
        <v/>
      </c>
      <c r="C54">
        <f>IF(INDEX(Cal_Weeks[MonthYearLabel],2)&lt;&gt;INDEX(Cal_Weeks[MonthYearLabel],1),'Grid_Stock'!B54,B54)+'Grid_Incoming'!C54-'Grid_Requirement'!C54</f>
        <v/>
      </c>
      <c r="D54">
        <f>IF(INDEX(Cal_Weeks[MonthYearLabel],3)&lt;&gt;INDEX(Cal_Weeks[MonthYearLabel],2),'Grid_Stock'!C54,C54)+'Grid_Incoming'!D54-'Grid_Requirement'!D54</f>
        <v/>
      </c>
      <c r="E54">
        <f>IF(INDEX(Cal_Weeks[MonthYearLabel],4)&lt;&gt;INDEX(Cal_Weeks[MonthYearLabel],3),'Grid_Stock'!D54,D54)+'Grid_Incoming'!E54-'Grid_Requirement'!E54</f>
        <v/>
      </c>
      <c r="F54">
        <f>IF(INDEX(Cal_Weeks[MonthYearLabel],5)&lt;&gt;INDEX(Cal_Weeks[MonthYearLabel],4),'Grid_Stock'!E54,E54)+'Grid_Incoming'!F54-'Grid_Requirement'!F54</f>
        <v/>
      </c>
      <c r="G54">
        <f>IF(INDEX(Cal_Weeks[MonthYearLabel],6)&lt;&gt;INDEX(Cal_Weeks[MonthYearLabel],5),'Grid_Stock'!F54,F54)+'Grid_Incoming'!G54-'Grid_Requirement'!G54</f>
        <v/>
      </c>
      <c r="H54">
        <f>IF(INDEX(Cal_Weeks[MonthYearLabel],7)&lt;&gt;INDEX(Cal_Weeks[MonthYearLabel],6),'Grid_Stock'!G54,G54)+'Grid_Incoming'!H54-'Grid_Requirement'!H54</f>
        <v/>
      </c>
      <c r="I54">
        <f>IF(INDEX(Cal_Weeks[MonthYearLabel],8)&lt;&gt;INDEX(Cal_Weeks[MonthYearLabel],7),'Grid_Stock'!H54,H54)+'Grid_Incoming'!I54-'Grid_Requirement'!I54</f>
        <v/>
      </c>
      <c r="J54">
        <f>IF(INDEX(Cal_Weeks[MonthYearLabel],9)&lt;&gt;INDEX(Cal_Weeks[MonthYearLabel],8),'Grid_Stock'!I54,I54)+'Grid_Incoming'!J54-'Grid_Requirement'!J54</f>
        <v/>
      </c>
      <c r="K54">
        <f>IF(INDEX(Cal_Weeks[MonthYearLabel],10)&lt;&gt;INDEX(Cal_Weeks[MonthYearLabel],9),'Grid_Stock'!J54,J54)+'Grid_Incoming'!K54-'Grid_Requirement'!K54</f>
        <v/>
      </c>
      <c r="L54">
        <f>IF(INDEX(Cal_Weeks[MonthYearLabel],11)&lt;&gt;INDEX(Cal_Weeks[MonthYearLabel],10),'Grid_Stock'!K54,K54)+'Grid_Incoming'!L54-'Grid_Requirement'!L54</f>
        <v/>
      </c>
      <c r="M54">
        <f>IF(INDEX(Cal_Weeks[MonthYearLabel],12)&lt;&gt;INDEX(Cal_Weeks[MonthYearLabel],11),'Grid_Stock'!L54,L54)+'Grid_Incoming'!M54-'Grid_Requirement'!M54</f>
        <v/>
      </c>
      <c r="N54">
        <f>IF(INDEX(Cal_Weeks[MonthYearLabel],13)&lt;&gt;INDEX(Cal_Weeks[MonthYearLabel],12),'Grid_Stock'!M54,M54)+'Grid_Incoming'!N54-'Grid_Requirement'!N54</f>
        <v/>
      </c>
      <c r="O54">
        <f>IF(INDEX(Cal_Weeks[MonthYearLabel],14)&lt;&gt;INDEX(Cal_Weeks[MonthYearLabel],13),'Grid_Stock'!N54,N54)+'Grid_Incoming'!O54-'Grid_Requirement'!O54</f>
        <v/>
      </c>
      <c r="P54">
        <f>IF(INDEX(Cal_Weeks[MonthYearLabel],15)&lt;&gt;INDEX(Cal_Weeks[MonthYearLabel],14),'Grid_Stock'!O54,O54)+'Grid_Incoming'!P54-'Grid_Requirement'!P54</f>
        <v/>
      </c>
      <c r="Q54">
        <f>IF(INDEX(Cal_Weeks[MonthYearLabel],16)&lt;&gt;INDEX(Cal_Weeks[MonthYearLabel],15),'Grid_Stock'!P54,P54)+'Grid_Incoming'!Q54-'Grid_Requirement'!Q54</f>
        <v/>
      </c>
      <c r="R54">
        <f>IF(INDEX(Cal_Weeks[MonthYearLabel],17)&lt;&gt;INDEX(Cal_Weeks[MonthYearLabel],16),'Grid_Stock'!Q54,Q54)+'Grid_Incoming'!R54-'Grid_Requirement'!R54</f>
        <v/>
      </c>
      <c r="S54">
        <f>IF(INDEX(Cal_Weeks[MonthYearLabel],18)&lt;&gt;INDEX(Cal_Weeks[MonthYearLabel],17),'Grid_Stock'!R54,R54)+'Grid_Incoming'!S54-'Grid_Requirement'!S54</f>
        <v/>
      </c>
      <c r="T54">
        <f>IF(INDEX(Cal_Weeks[MonthYearLabel],19)&lt;&gt;INDEX(Cal_Weeks[MonthYearLabel],18),'Grid_Stock'!S54,S54)+'Grid_Incoming'!T54-'Grid_Requirement'!T54</f>
        <v/>
      </c>
      <c r="U54">
        <f>IF(INDEX(Cal_Weeks[MonthYearLabel],20)&lt;&gt;INDEX(Cal_Weeks[MonthYearLabel],19),'Grid_Stock'!T54,T54)+'Grid_Incoming'!U54-'Grid_Requirement'!U54</f>
        <v/>
      </c>
      <c r="V54">
        <f>IF(INDEX(Cal_Weeks[MonthYearLabel],21)&lt;&gt;INDEX(Cal_Weeks[MonthYearLabel],20),'Grid_Stock'!U54,U54)+'Grid_Incoming'!V54-'Grid_Requirement'!V54</f>
        <v/>
      </c>
      <c r="W54">
        <f>IF(INDEX(Cal_Weeks[MonthYearLabel],22)&lt;&gt;INDEX(Cal_Weeks[MonthYearLabel],21),'Grid_Stock'!V54,V54)+'Grid_Incoming'!W54-'Grid_Requirement'!W54</f>
        <v/>
      </c>
      <c r="X54">
        <f>IF(INDEX(Cal_Weeks[MonthYearLabel],23)&lt;&gt;INDEX(Cal_Weeks[MonthYearLabel],22),'Grid_Stock'!W54,W54)+'Grid_Incoming'!X54-'Grid_Requirement'!X54</f>
        <v/>
      </c>
      <c r="Y54">
        <f>IF(INDEX(Cal_Weeks[MonthYearLabel],24)&lt;&gt;INDEX(Cal_Weeks[MonthYearLabel],23),'Grid_Stock'!X54,X54)+'Grid_Incoming'!Y54-'Grid_Requirement'!Y54</f>
        <v/>
      </c>
      <c r="Z54">
        <f>IF(INDEX(Cal_Weeks[MonthYearLabel],25)&lt;&gt;INDEX(Cal_Weeks[MonthYearLabel],24),'Grid_Stock'!Y54,Y54)+'Grid_Incoming'!Z54-'Grid_Requirement'!Z54</f>
        <v/>
      </c>
      <c r="AA54">
        <f>IF(INDEX(Cal_Weeks[MonthYearLabel],26)&lt;&gt;INDEX(Cal_Weeks[MonthYearLabel],25),'Grid_Stock'!Z54,Z54)+'Grid_Incoming'!AA54-'Grid_Requirement'!AA54</f>
        <v/>
      </c>
      <c r="AB54">
        <f>IF(INDEX(Cal_Weeks[MonthYearLabel],27)&lt;&gt;INDEX(Cal_Weeks[MonthYearLabel],26),'Grid_Stock'!AA54,AA54)+'Grid_Incoming'!AB54-'Grid_Requirement'!AB54</f>
        <v/>
      </c>
      <c r="AC54">
        <f>IF(INDEX(Cal_Weeks[MonthYearLabel],28)&lt;&gt;INDEX(Cal_Weeks[MonthYearLabel],27),'Grid_Stock'!AB54,AB54)+'Grid_Incoming'!AC54-'Grid_Requirement'!AC54</f>
        <v/>
      </c>
      <c r="AD54">
        <f>IF(INDEX(Cal_Weeks[MonthYearLabel],29)&lt;&gt;INDEX(Cal_Weeks[MonthYearLabel],28),'Grid_Stock'!AC54,AC54)+'Grid_Incoming'!AD54-'Grid_Requirement'!AD54</f>
        <v/>
      </c>
      <c r="AE54">
        <f>IF(INDEX(Cal_Weeks[MonthYearLabel],30)&lt;&gt;INDEX(Cal_Weeks[MonthYearLabel],29),'Grid_Stock'!AD54,AD54)+'Grid_Incoming'!AE54-'Grid_Requirement'!AE54</f>
        <v/>
      </c>
      <c r="AF54">
        <f>IF(INDEX(Cal_Weeks[MonthYearLabel],31)&lt;&gt;INDEX(Cal_Weeks[MonthYearLabel],30),'Grid_Stock'!AE54,AE54)+'Grid_Incoming'!AF54-'Grid_Requirement'!AF54</f>
        <v/>
      </c>
      <c r="AG54">
        <f>IF(INDEX(Cal_Weeks[MonthYearLabel],32)&lt;&gt;INDEX(Cal_Weeks[MonthYearLabel],31),'Grid_Stock'!AF54,AF54)+'Grid_Incoming'!AG54-'Grid_Requirement'!AG54</f>
        <v/>
      </c>
      <c r="AH54">
        <f>IF(INDEX(Cal_Weeks[MonthYearLabel],33)&lt;&gt;INDEX(Cal_Weeks[MonthYearLabel],32),'Grid_Stock'!AG54,AG54)+'Grid_Incoming'!AH54-'Grid_Requirement'!AH54</f>
        <v/>
      </c>
      <c r="AI54">
        <f>IF(INDEX(Cal_Weeks[MonthYearLabel],34)&lt;&gt;INDEX(Cal_Weeks[MonthYearLabel],33),'Grid_Stock'!AH54,AH54)+'Grid_Incoming'!AI54-'Grid_Requirement'!AI54</f>
        <v/>
      </c>
      <c r="AJ54">
        <f>IF(INDEX(Cal_Weeks[MonthYearLabel],35)&lt;&gt;INDEX(Cal_Weeks[MonthYearLabel],34),'Grid_Stock'!AI54,AI54)+'Grid_Incoming'!AJ54-'Grid_Requirement'!AJ54</f>
        <v/>
      </c>
      <c r="AK54">
        <f>IF(INDEX(Cal_Weeks[MonthYearLabel],36)&lt;&gt;INDEX(Cal_Weeks[MonthYearLabel],35),'Grid_Stock'!AJ54,AJ54)+'Grid_Incoming'!AK54-'Grid_Requirement'!AK54</f>
        <v/>
      </c>
      <c r="AL54">
        <f>IF(INDEX(Cal_Weeks[MonthYearLabel],37)&lt;&gt;INDEX(Cal_Weeks[MonthYearLabel],36),'Grid_Stock'!AK54,AK54)+'Grid_Incoming'!AL54-'Grid_Requirement'!AL54</f>
        <v/>
      </c>
      <c r="AM54">
        <f>IF(INDEX(Cal_Weeks[MonthYearLabel],38)&lt;&gt;INDEX(Cal_Weeks[MonthYearLabel],37),'Grid_Stock'!AL54,AL54)+'Grid_Incoming'!AM54-'Grid_Requirement'!AM54</f>
        <v/>
      </c>
      <c r="AN54">
        <f>IF(INDEX(Cal_Weeks[MonthYearLabel],39)&lt;&gt;INDEX(Cal_Weeks[MonthYearLabel],38),'Grid_Stock'!AM54,AM54)+'Grid_Incoming'!AN54-'Grid_Requirement'!AN54</f>
        <v/>
      </c>
      <c r="AO54">
        <f>IF(INDEX(Cal_Weeks[MonthYearLabel],40)&lt;&gt;INDEX(Cal_Weeks[MonthYearLabel],39),'Grid_Stock'!AN54,AN54)+'Grid_Incoming'!AO54-'Grid_Requirement'!AO54</f>
        <v/>
      </c>
      <c r="AP54">
        <f>IF(INDEX(Cal_Weeks[MonthYearLabel],41)&lt;&gt;INDEX(Cal_Weeks[MonthYearLabel],40),'Grid_Stock'!AO54,AO54)+'Grid_Incoming'!AP54-'Grid_Requirement'!AP54</f>
        <v/>
      </c>
      <c r="AQ54">
        <f>IF(INDEX(Cal_Weeks[MonthYearLabel],42)&lt;&gt;INDEX(Cal_Weeks[MonthYearLabel],41),'Grid_Stock'!AP54,AP54)+'Grid_Incoming'!AQ54-'Grid_Requirement'!AQ54</f>
        <v/>
      </c>
      <c r="AR54">
        <f>IF(INDEX(Cal_Weeks[MonthYearLabel],43)&lt;&gt;INDEX(Cal_Weeks[MonthYearLabel],42),'Grid_Stock'!AQ54,AQ54)+'Grid_Incoming'!AR54-'Grid_Requirement'!AR54</f>
        <v/>
      </c>
      <c r="AS54">
        <f>IF(INDEX(Cal_Weeks[MonthYearLabel],44)&lt;&gt;INDEX(Cal_Weeks[MonthYearLabel],43),'Grid_Stock'!AR54,AR54)+'Grid_Incoming'!AS54-'Grid_Requirement'!AS54</f>
        <v/>
      </c>
      <c r="AT54">
        <f>IF(INDEX(Cal_Weeks[MonthYearLabel],45)&lt;&gt;INDEX(Cal_Weeks[MonthYearLabel],44),'Grid_Stock'!AS54,AS54)+'Grid_Incoming'!AT54-'Grid_Requirement'!AT54</f>
        <v/>
      </c>
      <c r="AU54">
        <f>IF(INDEX(Cal_Weeks[MonthYearLabel],46)&lt;&gt;INDEX(Cal_Weeks[MonthYearLabel],45),'Grid_Stock'!AT54,AT54)+'Grid_Incoming'!AU54-'Grid_Requirement'!AU54</f>
        <v/>
      </c>
      <c r="AV54">
        <f>IF(INDEX(Cal_Weeks[MonthYearLabel],47)&lt;&gt;INDEX(Cal_Weeks[MonthYearLabel],46),'Grid_Stock'!AU54,AU54)+'Grid_Incoming'!AV54-'Grid_Requirement'!AV54</f>
        <v/>
      </c>
      <c r="AW54">
        <f>IF(INDEX(Cal_Weeks[MonthYearLabel],48)&lt;&gt;INDEX(Cal_Weeks[MonthYearLabel],47),'Grid_Stock'!AV54,AV54)+'Grid_Incoming'!AW54-'Grid_Requirement'!AW54</f>
        <v/>
      </c>
      <c r="AX54">
        <f>IF(INDEX(Cal_Weeks[MonthYearLabel],49)&lt;&gt;INDEX(Cal_Weeks[MonthYearLabel],48),'Grid_Stock'!AW54,AW54)+'Grid_Incoming'!AX54-'Grid_Requirement'!AX54</f>
        <v/>
      </c>
      <c r="AY54">
        <f>IF(INDEX(Cal_Weeks[MonthYearLabel],50)&lt;&gt;INDEX(Cal_Weeks[MonthYearLabel],49),'Grid_Stock'!AX54,AX54)+'Grid_Incoming'!AY54-'Grid_Requirement'!AY54</f>
        <v/>
      </c>
      <c r="AZ54">
        <f>IF(INDEX(Cal_Weeks[MonthYearLabel],51)&lt;&gt;INDEX(Cal_Weeks[MonthYearLabel],50),'Grid_Stock'!AY54,AY54)+'Grid_Incoming'!AZ54-'Grid_Requirement'!AZ54</f>
        <v/>
      </c>
      <c r="BA54">
        <f>IF(INDEX(Cal_Weeks[MonthYearLabel],52)&lt;&gt;INDEX(Cal_Weeks[MonthYearLabel],51),'Grid_Stock'!AZ54,AZ54)+'Grid_Incoming'!BA54-'Grid_Requirement'!BA54</f>
        <v/>
      </c>
      <c r="BB54">
        <f>IF(INDEX(Cal_Weeks[MonthYearLabel],53)&lt;&gt;INDEX(Cal_Weeks[MonthYearLabel],52),'Grid_Stock'!BA54,BA54)+'Grid_Incoming'!BB54-'Grid_Requirement'!BB54</f>
        <v/>
      </c>
      <c r="BC54">
        <f>IF(INDEX(Cal_Weeks[MonthYearLabel],54)&lt;&gt;INDEX(Cal_Weeks[MonthYearLabel],53),'Grid_Stock'!BB54,BB54)+'Grid_Incoming'!BC54-'Grid_Requirement'!BC54</f>
        <v/>
      </c>
      <c r="BD54">
        <f>IF(INDEX(Cal_Weeks[MonthYearLabel],55)&lt;&gt;INDEX(Cal_Weeks[MonthYearLabel],54),'Grid_Stock'!BC54,BC54)+'Grid_Incoming'!BD54-'Grid_Requirement'!BD54</f>
        <v/>
      </c>
      <c r="BE54">
        <f>IF(INDEX(Cal_Weeks[MonthYearLabel],56)&lt;&gt;INDEX(Cal_Weeks[MonthYearLabel],55),'Grid_Stock'!BD54,BD54)+'Grid_Incoming'!BE54-'Grid_Requirement'!BE54</f>
        <v/>
      </c>
      <c r="BF54">
        <f>IF(INDEX(Cal_Weeks[MonthYearLabel],57)&lt;&gt;INDEX(Cal_Weeks[MonthYearLabel],56),'Grid_Stock'!BE54,BE54)+'Grid_Incoming'!BF54-'Grid_Requirement'!BF54</f>
        <v/>
      </c>
      <c r="BG54">
        <f>IF(INDEX(Cal_Weeks[MonthYearLabel],58)&lt;&gt;INDEX(Cal_Weeks[MonthYearLabel],57),'Grid_Stock'!BF54,BF54)+'Grid_Incoming'!BG54-'Grid_Requirement'!BG54</f>
        <v/>
      </c>
      <c r="BH54">
        <f>IF(INDEX(Cal_Weeks[MonthYearLabel],59)&lt;&gt;INDEX(Cal_Weeks[MonthYearLabel],58),'Grid_Stock'!BG54,BG54)+'Grid_Incoming'!BH54-'Grid_Requirement'!BH54</f>
        <v/>
      </c>
      <c r="BI54">
        <f>IF(INDEX(Cal_Weeks[MonthYearLabel],60)&lt;&gt;INDEX(Cal_Weeks[MonthYearLabel],59),'Grid_Stock'!BH54,BH54)+'Grid_Incoming'!BI54-'Grid_Requirement'!BI54</f>
        <v/>
      </c>
      <c r="BJ54">
        <f>IF(INDEX(Cal_Weeks[MonthYearLabel],61)&lt;&gt;INDEX(Cal_Weeks[MonthYearLabel],60),'Grid_Stock'!BI54,BI54)+'Grid_Incoming'!BJ54-'Grid_Requirement'!BJ54</f>
        <v/>
      </c>
      <c r="BK54">
        <f>IF(INDEX(Cal_Weeks[MonthYearLabel],62)&lt;&gt;INDEX(Cal_Weeks[MonthYearLabel],61),'Grid_Stock'!BJ54,BJ54)+'Grid_Incoming'!BK54-'Grid_Requirement'!BK54</f>
        <v/>
      </c>
      <c r="BL54">
        <f>IF(INDEX(Cal_Weeks[MonthYearLabel],63)&lt;&gt;INDEX(Cal_Weeks[MonthYearLabel],62),'Grid_Stock'!BK54,BK54)+'Grid_Incoming'!BL54-'Grid_Requirement'!BL54</f>
        <v/>
      </c>
      <c r="BM54">
        <f>IF(INDEX(Cal_Weeks[MonthYearLabel],64)&lt;&gt;INDEX(Cal_Weeks[MonthYearLabel],63),'Grid_Stock'!BL54,BL54)+'Grid_Incoming'!BM54-'Grid_Requirement'!BM54</f>
        <v/>
      </c>
      <c r="BN54">
        <f>IF(INDEX(Cal_Weeks[MonthYearLabel],65)&lt;&gt;INDEX(Cal_Weeks[MonthYearLabel],64),'Grid_Stock'!BM54,BM54)+'Grid_Incoming'!BN54-'Grid_Requirement'!BN54</f>
        <v/>
      </c>
      <c r="BO54">
        <f>IF(INDEX(Cal_Weeks[MonthYearLabel],66)&lt;&gt;INDEX(Cal_Weeks[MonthYearLabel],65),'Grid_Stock'!BN54,BN54)+'Grid_Incoming'!BO54-'Grid_Requirement'!BO54</f>
        <v/>
      </c>
      <c r="BP54">
        <f>IF(INDEX(Cal_Weeks[MonthYearLabel],67)&lt;&gt;INDEX(Cal_Weeks[MonthYearLabel],66),'Grid_Stock'!BO54,BO54)+'Grid_Incoming'!BP54-'Grid_Requirement'!BP54</f>
        <v/>
      </c>
      <c r="BQ54">
        <f>IF(INDEX(Cal_Weeks[MonthYearLabel],68)&lt;&gt;INDEX(Cal_Weeks[MonthYearLabel],67),'Grid_Stock'!BP54,BP54)+'Grid_Incoming'!BQ54-'Grid_Requirement'!BQ54</f>
        <v/>
      </c>
      <c r="BR54">
        <f>IF(INDEX(Cal_Weeks[MonthYearLabel],69)&lt;&gt;INDEX(Cal_Weeks[MonthYearLabel],68),'Grid_Stock'!BQ54,BQ54)+'Grid_Incoming'!BR54-'Grid_Requirement'!BR54</f>
        <v/>
      </c>
      <c r="BS54">
        <f>IF(INDEX(Cal_Weeks[MonthYearLabel],70)&lt;&gt;INDEX(Cal_Weeks[MonthYearLabel],69),'Grid_Stock'!BR54,BR54)+'Grid_Incoming'!BS54-'Grid_Requirement'!BS54</f>
        <v/>
      </c>
      <c r="BT54">
        <f>IF(INDEX(Cal_Weeks[MonthYearLabel],71)&lt;&gt;INDEX(Cal_Weeks[MonthYearLabel],70),'Grid_Stock'!BS54,BS54)+'Grid_Incoming'!BT54-'Grid_Requirement'!BT54</f>
        <v/>
      </c>
      <c r="BU54">
        <f>IF(INDEX(Cal_Weeks[MonthYearLabel],72)&lt;&gt;INDEX(Cal_Weeks[MonthYearLabel],71),'Grid_Stock'!BT54,BT54)+'Grid_Incoming'!BU54-'Grid_Requirement'!BU54</f>
        <v/>
      </c>
      <c r="BV54">
        <f>IF(INDEX(Cal_Weeks[MonthYearLabel],73)&lt;&gt;INDEX(Cal_Weeks[MonthYearLabel],72),'Grid_Stock'!BU54,BU54)+'Grid_Incoming'!BV54-'Grid_Requirement'!BV54</f>
        <v/>
      </c>
      <c r="BW54">
        <f>IF(INDEX(Cal_Weeks[MonthYearLabel],74)&lt;&gt;INDEX(Cal_Weeks[MonthYearLabel],73),'Grid_Stock'!BV54,BV54)+'Grid_Incoming'!BW54-'Grid_Requirement'!BW54</f>
        <v/>
      </c>
      <c r="BX54">
        <f>IF(INDEX(Cal_Weeks[MonthYearLabel],75)&lt;&gt;INDEX(Cal_Weeks[MonthYearLabel],74),'Grid_Stock'!BW54,BW54)+'Grid_Incoming'!BX54-'Grid_Requirement'!BX54</f>
        <v/>
      </c>
      <c r="BY54">
        <f>IF(INDEX(Cal_Weeks[MonthYearLabel],76)&lt;&gt;INDEX(Cal_Weeks[MonthYearLabel],75),'Grid_Stock'!BX54,BX54)+'Grid_Incoming'!BY54-'Grid_Requirement'!BY54</f>
        <v/>
      </c>
      <c r="BZ54">
        <f>IF(INDEX(Cal_Weeks[MonthYearLabel],77)&lt;&gt;INDEX(Cal_Weeks[MonthYearLabel],76),'Grid_Stock'!BY54,BY54)+'Grid_Incoming'!BZ54-'Grid_Requirement'!BZ54</f>
        <v/>
      </c>
      <c r="CA54">
        <f>IF(INDEX(Cal_Weeks[MonthYearLabel],78)&lt;&gt;INDEX(Cal_Weeks[MonthYearLabel],77),'Grid_Stock'!BZ54,BZ54)+'Grid_Incoming'!CA54-'Grid_Requirement'!CA54</f>
        <v/>
      </c>
      <c r="CB54">
        <f>IF(INDEX(Cal_Weeks[MonthYearLabel],79)&lt;&gt;INDEX(Cal_Weeks[MonthYearLabel],78),'Grid_Stock'!CA54,CA54)+'Grid_Incoming'!CB54-'Grid_Requirement'!CB54</f>
        <v/>
      </c>
      <c r="CC54">
        <f>IF(INDEX(Cal_Weeks[MonthYearLabel],80)&lt;&gt;INDEX(Cal_Weeks[MonthYearLabel],79),'Grid_Stock'!CB54,CB54)+'Grid_Incoming'!CC54-'Grid_Requirement'!CC54</f>
        <v/>
      </c>
      <c r="CD54">
        <f>IF(INDEX(Cal_Weeks[MonthYearLabel],81)&lt;&gt;INDEX(Cal_Weeks[MonthYearLabel],80),'Grid_Stock'!CC54,CC54)+'Grid_Incoming'!CD54-'Grid_Requirement'!CD54</f>
        <v/>
      </c>
      <c r="CE54">
        <f>IF(INDEX(Cal_Weeks[MonthYearLabel],82)&lt;&gt;INDEX(Cal_Weeks[MonthYearLabel],81),'Grid_Stock'!CD54,CD54)+'Grid_Incoming'!CE54-'Grid_Requirement'!CE54</f>
        <v/>
      </c>
      <c r="CF54">
        <f>IF(INDEX(Cal_Weeks[MonthYearLabel],83)&lt;&gt;INDEX(Cal_Weeks[MonthYearLabel],82),'Grid_Stock'!CE54,CE54)+'Grid_Incoming'!CF54-'Grid_Requirement'!CF54</f>
        <v/>
      </c>
      <c r="CG54">
        <f>IF(INDEX(Cal_Weeks[MonthYearLabel],84)&lt;&gt;INDEX(Cal_Weeks[MonthYearLabel],83),'Grid_Stock'!CF54,CF54)+'Grid_Incoming'!CG54-'Grid_Requirement'!CG54</f>
        <v/>
      </c>
      <c r="CH54">
        <f>IF(INDEX(Cal_Weeks[MonthYearLabel],85)&lt;&gt;INDEX(Cal_Weeks[MonthYearLabel],84),'Grid_Stock'!CG54,CG54)+'Grid_Incoming'!CH54-'Grid_Requirement'!CH54</f>
        <v/>
      </c>
      <c r="CI54">
        <f>IF(INDEX(Cal_Weeks[MonthYearLabel],86)&lt;&gt;INDEX(Cal_Weeks[MonthYearLabel],85),'Grid_Stock'!CH54,CH54)+'Grid_Incoming'!CI54-'Grid_Requirement'!CI54</f>
        <v/>
      </c>
      <c r="CJ54">
        <f>IF(INDEX(Cal_Weeks[MonthYearLabel],87)&lt;&gt;INDEX(Cal_Weeks[MonthYearLabel],86),'Grid_Stock'!CI54,CI54)+'Grid_Incoming'!CJ54-'Grid_Requirement'!CJ54</f>
        <v/>
      </c>
      <c r="CK54">
        <f>IF(INDEX(Cal_Weeks[MonthYearLabel],88)&lt;&gt;INDEX(Cal_Weeks[MonthYearLabel],87),'Grid_Stock'!CJ54,CJ54)+'Grid_Incoming'!CK54-'Grid_Requirement'!CK54</f>
        <v/>
      </c>
      <c r="CL54">
        <f>IF(INDEX(Cal_Weeks[MonthYearLabel],89)&lt;&gt;INDEX(Cal_Weeks[MonthYearLabel],88),'Grid_Stock'!CK54,CK54)+'Grid_Incoming'!CL54-'Grid_Requirement'!CL54</f>
        <v/>
      </c>
      <c r="CM54">
        <f>IF(INDEX(Cal_Weeks[MonthYearLabel],90)&lt;&gt;INDEX(Cal_Weeks[MonthYearLabel],89),'Grid_Stock'!CL54,CL54)+'Grid_Incoming'!CM54-'Grid_Requirement'!CM54</f>
        <v/>
      </c>
      <c r="CN54">
        <f>IF(INDEX(Cal_Weeks[MonthYearLabel],91)&lt;&gt;INDEX(Cal_Weeks[MonthYearLabel],90),'Grid_Stock'!CM54,CM54)+'Grid_Incoming'!CN54-'Grid_Requirement'!CN54</f>
        <v/>
      </c>
      <c r="CO54">
        <f>IF(INDEX(Cal_Weeks[MonthYearLabel],92)&lt;&gt;INDEX(Cal_Weeks[MonthYearLabel],91),'Grid_Stock'!CN54,CN54)+'Grid_Incoming'!CO54-'Grid_Requirement'!CO54</f>
        <v/>
      </c>
      <c r="CP54">
        <f>IF(INDEX(Cal_Weeks[MonthYearLabel],93)&lt;&gt;INDEX(Cal_Weeks[MonthYearLabel],92),'Grid_Stock'!CO54,CO54)+'Grid_Incoming'!CP54-'Grid_Requirement'!CP54</f>
        <v/>
      </c>
      <c r="CQ54">
        <f>IF(INDEX(Cal_Weeks[MonthYearLabel],94)&lt;&gt;INDEX(Cal_Weeks[MonthYearLabel],93),'Grid_Stock'!CP54,CP54)+'Grid_Incoming'!CQ54-'Grid_Requirement'!CQ54</f>
        <v/>
      </c>
      <c r="CR54">
        <f>IF(INDEX(Cal_Weeks[MonthYearLabel],95)&lt;&gt;INDEX(Cal_Weeks[MonthYearLabel],94),'Grid_Stock'!CQ54,CQ54)+'Grid_Incoming'!CR54-'Grid_Requirement'!CR54</f>
        <v/>
      </c>
      <c r="CS54">
        <f>IF(INDEX(Cal_Weeks[MonthYearLabel],96)&lt;&gt;INDEX(Cal_Weeks[MonthYearLabel],95),'Grid_Stock'!CR54,CR54)+'Grid_Incoming'!CS54-'Grid_Requirement'!CS54</f>
        <v/>
      </c>
      <c r="CT54">
        <f>IF(INDEX(Cal_Weeks[MonthYearLabel],97)&lt;&gt;INDEX(Cal_Weeks[MonthYearLabel],96),'Grid_Stock'!CS54,CS54)+'Grid_Incoming'!CT54-'Grid_Requirement'!CT54</f>
        <v/>
      </c>
      <c r="CU54">
        <f>IF(INDEX(Cal_Weeks[MonthYearLabel],98)&lt;&gt;INDEX(Cal_Weeks[MonthYearLabel],97),'Grid_Stock'!CT54,CT54)+'Grid_Incoming'!CU54-'Grid_Requirement'!CU54</f>
        <v/>
      </c>
      <c r="CV54">
        <f>IF(INDEX(Cal_Weeks[MonthYearLabel],99)&lt;&gt;INDEX(Cal_Weeks[MonthYearLabel],98),'Grid_Stock'!CU54,CU54)+'Grid_Incoming'!CV54-'Grid_Requirement'!CV54</f>
        <v/>
      </c>
      <c r="CW54">
        <f>IF(INDEX(Cal_Weeks[MonthYearLabel],100)&lt;&gt;INDEX(Cal_Weeks[MonthYearLabel],99),'Grid_Stock'!CV54,CV54)+'Grid_Incoming'!CW54-'Grid_Requirement'!CW54</f>
        <v/>
      </c>
      <c r="CX54">
        <f>IF(INDEX(Cal_Weeks[MonthYearLabel],101)&lt;&gt;INDEX(Cal_Weeks[MonthYearLabel],100),'Grid_Stock'!CW54,CW54)+'Grid_Incoming'!CX54-'Grid_Requirement'!CX54</f>
        <v/>
      </c>
      <c r="CY54">
        <f>IF(INDEX(Cal_Weeks[MonthYearLabel],102)&lt;&gt;INDEX(Cal_Weeks[MonthYearLabel],101),'Grid_Stock'!CX54,CX54)+'Grid_Incoming'!CY54-'Grid_Requirement'!CY54</f>
        <v/>
      </c>
      <c r="CZ54">
        <f>IF(INDEX(Cal_Weeks[MonthYearLabel],103)&lt;&gt;INDEX(Cal_Weeks[MonthYearLabel],102),'Grid_Stock'!CY54,CY54)+'Grid_Incoming'!CZ54-'Grid_Requirement'!CZ54</f>
        <v/>
      </c>
      <c r="DA54">
        <f>IF(INDEX(Cal_Weeks[MonthYearLabel],104)&lt;&gt;INDEX(Cal_Weeks[MonthYearLabel],103),'Grid_Stock'!CZ54,CZ54)+'Grid_Incoming'!DA54-'Grid_Requirement'!DA54</f>
        <v/>
      </c>
    </row>
    <row r="55">
      <c r="A55" t="inlineStr">
        <is>
          <t>Original Towel</t>
        </is>
      </c>
      <c r="B55">
        <f>IFERROR(INDEX(T_OpeningStock[Opening_Qty_要入力],MATCH($A55,T_OpeningStock[Part Name],0)),0)+'Grid_Incoming'!B55-'Grid_Requirement'!B55</f>
        <v/>
      </c>
      <c r="C55">
        <f>IF(INDEX(Cal_Weeks[MonthYearLabel],2)&lt;&gt;INDEX(Cal_Weeks[MonthYearLabel],1),'Grid_Stock'!B55,B55)+'Grid_Incoming'!C55-'Grid_Requirement'!C55</f>
        <v/>
      </c>
      <c r="D55">
        <f>IF(INDEX(Cal_Weeks[MonthYearLabel],3)&lt;&gt;INDEX(Cal_Weeks[MonthYearLabel],2),'Grid_Stock'!C55,C55)+'Grid_Incoming'!D55-'Grid_Requirement'!D55</f>
        <v/>
      </c>
      <c r="E55">
        <f>IF(INDEX(Cal_Weeks[MonthYearLabel],4)&lt;&gt;INDEX(Cal_Weeks[MonthYearLabel],3),'Grid_Stock'!D55,D55)+'Grid_Incoming'!E55-'Grid_Requirement'!E55</f>
        <v/>
      </c>
      <c r="F55">
        <f>IF(INDEX(Cal_Weeks[MonthYearLabel],5)&lt;&gt;INDEX(Cal_Weeks[MonthYearLabel],4),'Grid_Stock'!E55,E55)+'Grid_Incoming'!F55-'Grid_Requirement'!F55</f>
        <v/>
      </c>
      <c r="G55">
        <f>IF(INDEX(Cal_Weeks[MonthYearLabel],6)&lt;&gt;INDEX(Cal_Weeks[MonthYearLabel],5),'Grid_Stock'!F55,F55)+'Grid_Incoming'!G55-'Grid_Requirement'!G55</f>
        <v/>
      </c>
      <c r="H55">
        <f>IF(INDEX(Cal_Weeks[MonthYearLabel],7)&lt;&gt;INDEX(Cal_Weeks[MonthYearLabel],6),'Grid_Stock'!G55,G55)+'Grid_Incoming'!H55-'Grid_Requirement'!H55</f>
        <v/>
      </c>
      <c r="I55">
        <f>IF(INDEX(Cal_Weeks[MonthYearLabel],8)&lt;&gt;INDEX(Cal_Weeks[MonthYearLabel],7),'Grid_Stock'!H55,H55)+'Grid_Incoming'!I55-'Grid_Requirement'!I55</f>
        <v/>
      </c>
      <c r="J55">
        <f>IF(INDEX(Cal_Weeks[MonthYearLabel],9)&lt;&gt;INDEX(Cal_Weeks[MonthYearLabel],8),'Grid_Stock'!I55,I55)+'Grid_Incoming'!J55-'Grid_Requirement'!J55</f>
        <v/>
      </c>
      <c r="K55">
        <f>IF(INDEX(Cal_Weeks[MonthYearLabel],10)&lt;&gt;INDEX(Cal_Weeks[MonthYearLabel],9),'Grid_Stock'!J55,J55)+'Grid_Incoming'!K55-'Grid_Requirement'!K55</f>
        <v/>
      </c>
      <c r="L55">
        <f>IF(INDEX(Cal_Weeks[MonthYearLabel],11)&lt;&gt;INDEX(Cal_Weeks[MonthYearLabel],10),'Grid_Stock'!K55,K55)+'Grid_Incoming'!L55-'Grid_Requirement'!L55</f>
        <v/>
      </c>
      <c r="M55">
        <f>IF(INDEX(Cal_Weeks[MonthYearLabel],12)&lt;&gt;INDEX(Cal_Weeks[MonthYearLabel],11),'Grid_Stock'!L55,L55)+'Grid_Incoming'!M55-'Grid_Requirement'!M55</f>
        <v/>
      </c>
      <c r="N55">
        <f>IF(INDEX(Cal_Weeks[MonthYearLabel],13)&lt;&gt;INDEX(Cal_Weeks[MonthYearLabel],12),'Grid_Stock'!M55,M55)+'Grid_Incoming'!N55-'Grid_Requirement'!N55</f>
        <v/>
      </c>
      <c r="O55">
        <f>IF(INDEX(Cal_Weeks[MonthYearLabel],14)&lt;&gt;INDEX(Cal_Weeks[MonthYearLabel],13),'Grid_Stock'!N55,N55)+'Grid_Incoming'!O55-'Grid_Requirement'!O55</f>
        <v/>
      </c>
      <c r="P55">
        <f>IF(INDEX(Cal_Weeks[MonthYearLabel],15)&lt;&gt;INDEX(Cal_Weeks[MonthYearLabel],14),'Grid_Stock'!O55,O55)+'Grid_Incoming'!P55-'Grid_Requirement'!P55</f>
        <v/>
      </c>
      <c r="Q55">
        <f>IF(INDEX(Cal_Weeks[MonthYearLabel],16)&lt;&gt;INDEX(Cal_Weeks[MonthYearLabel],15),'Grid_Stock'!P55,P55)+'Grid_Incoming'!Q55-'Grid_Requirement'!Q55</f>
        <v/>
      </c>
      <c r="R55">
        <f>IF(INDEX(Cal_Weeks[MonthYearLabel],17)&lt;&gt;INDEX(Cal_Weeks[MonthYearLabel],16),'Grid_Stock'!Q55,Q55)+'Grid_Incoming'!R55-'Grid_Requirement'!R55</f>
        <v/>
      </c>
      <c r="S55">
        <f>IF(INDEX(Cal_Weeks[MonthYearLabel],18)&lt;&gt;INDEX(Cal_Weeks[MonthYearLabel],17),'Grid_Stock'!R55,R55)+'Grid_Incoming'!S55-'Grid_Requirement'!S55</f>
        <v/>
      </c>
      <c r="T55">
        <f>IF(INDEX(Cal_Weeks[MonthYearLabel],19)&lt;&gt;INDEX(Cal_Weeks[MonthYearLabel],18),'Grid_Stock'!S55,S55)+'Grid_Incoming'!T55-'Grid_Requirement'!T55</f>
        <v/>
      </c>
      <c r="U55">
        <f>IF(INDEX(Cal_Weeks[MonthYearLabel],20)&lt;&gt;INDEX(Cal_Weeks[MonthYearLabel],19),'Grid_Stock'!T55,T55)+'Grid_Incoming'!U55-'Grid_Requirement'!U55</f>
        <v/>
      </c>
      <c r="V55">
        <f>IF(INDEX(Cal_Weeks[MonthYearLabel],21)&lt;&gt;INDEX(Cal_Weeks[MonthYearLabel],20),'Grid_Stock'!U55,U55)+'Grid_Incoming'!V55-'Grid_Requirement'!V55</f>
        <v/>
      </c>
      <c r="W55">
        <f>IF(INDEX(Cal_Weeks[MonthYearLabel],22)&lt;&gt;INDEX(Cal_Weeks[MonthYearLabel],21),'Grid_Stock'!V55,V55)+'Grid_Incoming'!W55-'Grid_Requirement'!W55</f>
        <v/>
      </c>
      <c r="X55">
        <f>IF(INDEX(Cal_Weeks[MonthYearLabel],23)&lt;&gt;INDEX(Cal_Weeks[MonthYearLabel],22),'Grid_Stock'!W55,W55)+'Grid_Incoming'!X55-'Grid_Requirement'!X55</f>
        <v/>
      </c>
      <c r="Y55">
        <f>IF(INDEX(Cal_Weeks[MonthYearLabel],24)&lt;&gt;INDEX(Cal_Weeks[MonthYearLabel],23),'Grid_Stock'!X55,X55)+'Grid_Incoming'!Y55-'Grid_Requirement'!Y55</f>
        <v/>
      </c>
      <c r="Z55">
        <f>IF(INDEX(Cal_Weeks[MonthYearLabel],25)&lt;&gt;INDEX(Cal_Weeks[MonthYearLabel],24),'Grid_Stock'!Y55,Y55)+'Grid_Incoming'!Z55-'Grid_Requirement'!Z55</f>
        <v/>
      </c>
      <c r="AA55">
        <f>IF(INDEX(Cal_Weeks[MonthYearLabel],26)&lt;&gt;INDEX(Cal_Weeks[MonthYearLabel],25),'Grid_Stock'!Z55,Z55)+'Grid_Incoming'!AA55-'Grid_Requirement'!AA55</f>
        <v/>
      </c>
      <c r="AB55">
        <f>IF(INDEX(Cal_Weeks[MonthYearLabel],27)&lt;&gt;INDEX(Cal_Weeks[MonthYearLabel],26),'Grid_Stock'!AA55,AA55)+'Grid_Incoming'!AB55-'Grid_Requirement'!AB55</f>
        <v/>
      </c>
      <c r="AC55">
        <f>IF(INDEX(Cal_Weeks[MonthYearLabel],28)&lt;&gt;INDEX(Cal_Weeks[MonthYearLabel],27),'Grid_Stock'!AB55,AB55)+'Grid_Incoming'!AC55-'Grid_Requirement'!AC55</f>
        <v/>
      </c>
      <c r="AD55">
        <f>IF(INDEX(Cal_Weeks[MonthYearLabel],29)&lt;&gt;INDEX(Cal_Weeks[MonthYearLabel],28),'Grid_Stock'!AC55,AC55)+'Grid_Incoming'!AD55-'Grid_Requirement'!AD55</f>
        <v/>
      </c>
      <c r="AE55">
        <f>IF(INDEX(Cal_Weeks[MonthYearLabel],30)&lt;&gt;INDEX(Cal_Weeks[MonthYearLabel],29),'Grid_Stock'!AD55,AD55)+'Grid_Incoming'!AE55-'Grid_Requirement'!AE55</f>
        <v/>
      </c>
      <c r="AF55">
        <f>IF(INDEX(Cal_Weeks[MonthYearLabel],31)&lt;&gt;INDEX(Cal_Weeks[MonthYearLabel],30),'Grid_Stock'!AE55,AE55)+'Grid_Incoming'!AF55-'Grid_Requirement'!AF55</f>
        <v/>
      </c>
      <c r="AG55">
        <f>IF(INDEX(Cal_Weeks[MonthYearLabel],32)&lt;&gt;INDEX(Cal_Weeks[MonthYearLabel],31),'Grid_Stock'!AF55,AF55)+'Grid_Incoming'!AG55-'Grid_Requirement'!AG55</f>
        <v/>
      </c>
      <c r="AH55">
        <f>IF(INDEX(Cal_Weeks[MonthYearLabel],33)&lt;&gt;INDEX(Cal_Weeks[MonthYearLabel],32),'Grid_Stock'!AG55,AG55)+'Grid_Incoming'!AH55-'Grid_Requirement'!AH55</f>
        <v/>
      </c>
      <c r="AI55">
        <f>IF(INDEX(Cal_Weeks[MonthYearLabel],34)&lt;&gt;INDEX(Cal_Weeks[MonthYearLabel],33),'Grid_Stock'!AH55,AH55)+'Grid_Incoming'!AI55-'Grid_Requirement'!AI55</f>
        <v/>
      </c>
      <c r="AJ55">
        <f>IF(INDEX(Cal_Weeks[MonthYearLabel],35)&lt;&gt;INDEX(Cal_Weeks[MonthYearLabel],34),'Grid_Stock'!AI55,AI55)+'Grid_Incoming'!AJ55-'Grid_Requirement'!AJ55</f>
        <v/>
      </c>
      <c r="AK55">
        <f>IF(INDEX(Cal_Weeks[MonthYearLabel],36)&lt;&gt;INDEX(Cal_Weeks[MonthYearLabel],35),'Grid_Stock'!AJ55,AJ55)+'Grid_Incoming'!AK55-'Grid_Requirement'!AK55</f>
        <v/>
      </c>
      <c r="AL55">
        <f>IF(INDEX(Cal_Weeks[MonthYearLabel],37)&lt;&gt;INDEX(Cal_Weeks[MonthYearLabel],36),'Grid_Stock'!AK55,AK55)+'Grid_Incoming'!AL55-'Grid_Requirement'!AL55</f>
        <v/>
      </c>
      <c r="AM55">
        <f>IF(INDEX(Cal_Weeks[MonthYearLabel],38)&lt;&gt;INDEX(Cal_Weeks[MonthYearLabel],37),'Grid_Stock'!AL55,AL55)+'Grid_Incoming'!AM55-'Grid_Requirement'!AM55</f>
        <v/>
      </c>
      <c r="AN55">
        <f>IF(INDEX(Cal_Weeks[MonthYearLabel],39)&lt;&gt;INDEX(Cal_Weeks[MonthYearLabel],38),'Grid_Stock'!AM55,AM55)+'Grid_Incoming'!AN55-'Grid_Requirement'!AN55</f>
        <v/>
      </c>
      <c r="AO55">
        <f>IF(INDEX(Cal_Weeks[MonthYearLabel],40)&lt;&gt;INDEX(Cal_Weeks[MonthYearLabel],39),'Grid_Stock'!AN55,AN55)+'Grid_Incoming'!AO55-'Grid_Requirement'!AO55</f>
        <v/>
      </c>
      <c r="AP55">
        <f>IF(INDEX(Cal_Weeks[MonthYearLabel],41)&lt;&gt;INDEX(Cal_Weeks[MonthYearLabel],40),'Grid_Stock'!AO55,AO55)+'Grid_Incoming'!AP55-'Grid_Requirement'!AP55</f>
        <v/>
      </c>
      <c r="AQ55">
        <f>IF(INDEX(Cal_Weeks[MonthYearLabel],42)&lt;&gt;INDEX(Cal_Weeks[MonthYearLabel],41),'Grid_Stock'!AP55,AP55)+'Grid_Incoming'!AQ55-'Grid_Requirement'!AQ55</f>
        <v/>
      </c>
      <c r="AR55">
        <f>IF(INDEX(Cal_Weeks[MonthYearLabel],43)&lt;&gt;INDEX(Cal_Weeks[MonthYearLabel],42),'Grid_Stock'!AQ55,AQ55)+'Grid_Incoming'!AR55-'Grid_Requirement'!AR55</f>
        <v/>
      </c>
      <c r="AS55">
        <f>IF(INDEX(Cal_Weeks[MonthYearLabel],44)&lt;&gt;INDEX(Cal_Weeks[MonthYearLabel],43),'Grid_Stock'!AR55,AR55)+'Grid_Incoming'!AS55-'Grid_Requirement'!AS55</f>
        <v/>
      </c>
      <c r="AT55">
        <f>IF(INDEX(Cal_Weeks[MonthYearLabel],45)&lt;&gt;INDEX(Cal_Weeks[MonthYearLabel],44),'Grid_Stock'!AS55,AS55)+'Grid_Incoming'!AT55-'Grid_Requirement'!AT55</f>
        <v/>
      </c>
      <c r="AU55">
        <f>IF(INDEX(Cal_Weeks[MonthYearLabel],46)&lt;&gt;INDEX(Cal_Weeks[MonthYearLabel],45),'Grid_Stock'!AT55,AT55)+'Grid_Incoming'!AU55-'Grid_Requirement'!AU55</f>
        <v/>
      </c>
      <c r="AV55">
        <f>IF(INDEX(Cal_Weeks[MonthYearLabel],47)&lt;&gt;INDEX(Cal_Weeks[MonthYearLabel],46),'Grid_Stock'!AU55,AU55)+'Grid_Incoming'!AV55-'Grid_Requirement'!AV55</f>
        <v/>
      </c>
      <c r="AW55">
        <f>IF(INDEX(Cal_Weeks[MonthYearLabel],48)&lt;&gt;INDEX(Cal_Weeks[MonthYearLabel],47),'Grid_Stock'!AV55,AV55)+'Grid_Incoming'!AW55-'Grid_Requirement'!AW55</f>
        <v/>
      </c>
      <c r="AX55">
        <f>IF(INDEX(Cal_Weeks[MonthYearLabel],49)&lt;&gt;INDEX(Cal_Weeks[MonthYearLabel],48),'Grid_Stock'!AW55,AW55)+'Grid_Incoming'!AX55-'Grid_Requirement'!AX55</f>
        <v/>
      </c>
      <c r="AY55">
        <f>IF(INDEX(Cal_Weeks[MonthYearLabel],50)&lt;&gt;INDEX(Cal_Weeks[MonthYearLabel],49),'Grid_Stock'!AX55,AX55)+'Grid_Incoming'!AY55-'Grid_Requirement'!AY55</f>
        <v/>
      </c>
      <c r="AZ55">
        <f>IF(INDEX(Cal_Weeks[MonthYearLabel],51)&lt;&gt;INDEX(Cal_Weeks[MonthYearLabel],50),'Grid_Stock'!AY55,AY55)+'Grid_Incoming'!AZ55-'Grid_Requirement'!AZ55</f>
        <v/>
      </c>
      <c r="BA55">
        <f>IF(INDEX(Cal_Weeks[MonthYearLabel],52)&lt;&gt;INDEX(Cal_Weeks[MonthYearLabel],51),'Grid_Stock'!AZ55,AZ55)+'Grid_Incoming'!BA55-'Grid_Requirement'!BA55</f>
        <v/>
      </c>
      <c r="BB55">
        <f>IF(INDEX(Cal_Weeks[MonthYearLabel],53)&lt;&gt;INDEX(Cal_Weeks[MonthYearLabel],52),'Grid_Stock'!BA55,BA55)+'Grid_Incoming'!BB55-'Grid_Requirement'!BB55</f>
        <v/>
      </c>
      <c r="BC55">
        <f>IF(INDEX(Cal_Weeks[MonthYearLabel],54)&lt;&gt;INDEX(Cal_Weeks[MonthYearLabel],53),'Grid_Stock'!BB55,BB55)+'Grid_Incoming'!BC55-'Grid_Requirement'!BC55</f>
        <v/>
      </c>
      <c r="BD55">
        <f>IF(INDEX(Cal_Weeks[MonthYearLabel],55)&lt;&gt;INDEX(Cal_Weeks[MonthYearLabel],54),'Grid_Stock'!BC55,BC55)+'Grid_Incoming'!BD55-'Grid_Requirement'!BD55</f>
        <v/>
      </c>
      <c r="BE55">
        <f>IF(INDEX(Cal_Weeks[MonthYearLabel],56)&lt;&gt;INDEX(Cal_Weeks[MonthYearLabel],55),'Grid_Stock'!BD55,BD55)+'Grid_Incoming'!BE55-'Grid_Requirement'!BE55</f>
        <v/>
      </c>
      <c r="BF55">
        <f>IF(INDEX(Cal_Weeks[MonthYearLabel],57)&lt;&gt;INDEX(Cal_Weeks[MonthYearLabel],56),'Grid_Stock'!BE55,BE55)+'Grid_Incoming'!BF55-'Grid_Requirement'!BF55</f>
        <v/>
      </c>
      <c r="BG55">
        <f>IF(INDEX(Cal_Weeks[MonthYearLabel],58)&lt;&gt;INDEX(Cal_Weeks[MonthYearLabel],57),'Grid_Stock'!BF55,BF55)+'Grid_Incoming'!BG55-'Grid_Requirement'!BG55</f>
        <v/>
      </c>
      <c r="BH55">
        <f>IF(INDEX(Cal_Weeks[MonthYearLabel],59)&lt;&gt;INDEX(Cal_Weeks[MonthYearLabel],58),'Grid_Stock'!BG55,BG55)+'Grid_Incoming'!BH55-'Grid_Requirement'!BH55</f>
        <v/>
      </c>
      <c r="BI55">
        <f>IF(INDEX(Cal_Weeks[MonthYearLabel],60)&lt;&gt;INDEX(Cal_Weeks[MonthYearLabel],59),'Grid_Stock'!BH55,BH55)+'Grid_Incoming'!BI55-'Grid_Requirement'!BI55</f>
        <v/>
      </c>
      <c r="BJ55">
        <f>IF(INDEX(Cal_Weeks[MonthYearLabel],61)&lt;&gt;INDEX(Cal_Weeks[MonthYearLabel],60),'Grid_Stock'!BI55,BI55)+'Grid_Incoming'!BJ55-'Grid_Requirement'!BJ55</f>
        <v/>
      </c>
      <c r="BK55">
        <f>IF(INDEX(Cal_Weeks[MonthYearLabel],62)&lt;&gt;INDEX(Cal_Weeks[MonthYearLabel],61),'Grid_Stock'!BJ55,BJ55)+'Grid_Incoming'!BK55-'Grid_Requirement'!BK55</f>
        <v/>
      </c>
      <c r="BL55">
        <f>IF(INDEX(Cal_Weeks[MonthYearLabel],63)&lt;&gt;INDEX(Cal_Weeks[MonthYearLabel],62),'Grid_Stock'!BK55,BK55)+'Grid_Incoming'!BL55-'Grid_Requirement'!BL55</f>
        <v/>
      </c>
      <c r="BM55">
        <f>IF(INDEX(Cal_Weeks[MonthYearLabel],64)&lt;&gt;INDEX(Cal_Weeks[MonthYearLabel],63),'Grid_Stock'!BL55,BL55)+'Grid_Incoming'!BM55-'Grid_Requirement'!BM55</f>
        <v/>
      </c>
      <c r="BN55">
        <f>IF(INDEX(Cal_Weeks[MonthYearLabel],65)&lt;&gt;INDEX(Cal_Weeks[MonthYearLabel],64),'Grid_Stock'!BM55,BM55)+'Grid_Incoming'!BN55-'Grid_Requirement'!BN55</f>
        <v/>
      </c>
      <c r="BO55">
        <f>IF(INDEX(Cal_Weeks[MonthYearLabel],66)&lt;&gt;INDEX(Cal_Weeks[MonthYearLabel],65),'Grid_Stock'!BN55,BN55)+'Grid_Incoming'!BO55-'Grid_Requirement'!BO55</f>
        <v/>
      </c>
      <c r="BP55">
        <f>IF(INDEX(Cal_Weeks[MonthYearLabel],67)&lt;&gt;INDEX(Cal_Weeks[MonthYearLabel],66),'Grid_Stock'!BO55,BO55)+'Grid_Incoming'!BP55-'Grid_Requirement'!BP55</f>
        <v/>
      </c>
      <c r="BQ55">
        <f>IF(INDEX(Cal_Weeks[MonthYearLabel],68)&lt;&gt;INDEX(Cal_Weeks[MonthYearLabel],67),'Grid_Stock'!BP55,BP55)+'Grid_Incoming'!BQ55-'Grid_Requirement'!BQ55</f>
        <v/>
      </c>
      <c r="BR55">
        <f>IF(INDEX(Cal_Weeks[MonthYearLabel],69)&lt;&gt;INDEX(Cal_Weeks[MonthYearLabel],68),'Grid_Stock'!BQ55,BQ55)+'Grid_Incoming'!BR55-'Grid_Requirement'!BR55</f>
        <v/>
      </c>
      <c r="BS55">
        <f>IF(INDEX(Cal_Weeks[MonthYearLabel],70)&lt;&gt;INDEX(Cal_Weeks[MonthYearLabel],69),'Grid_Stock'!BR55,BR55)+'Grid_Incoming'!BS55-'Grid_Requirement'!BS55</f>
        <v/>
      </c>
      <c r="BT55">
        <f>IF(INDEX(Cal_Weeks[MonthYearLabel],71)&lt;&gt;INDEX(Cal_Weeks[MonthYearLabel],70),'Grid_Stock'!BS55,BS55)+'Grid_Incoming'!BT55-'Grid_Requirement'!BT55</f>
        <v/>
      </c>
      <c r="BU55">
        <f>IF(INDEX(Cal_Weeks[MonthYearLabel],72)&lt;&gt;INDEX(Cal_Weeks[MonthYearLabel],71),'Grid_Stock'!BT55,BT55)+'Grid_Incoming'!BU55-'Grid_Requirement'!BU55</f>
        <v/>
      </c>
      <c r="BV55">
        <f>IF(INDEX(Cal_Weeks[MonthYearLabel],73)&lt;&gt;INDEX(Cal_Weeks[MonthYearLabel],72),'Grid_Stock'!BU55,BU55)+'Grid_Incoming'!BV55-'Grid_Requirement'!BV55</f>
        <v/>
      </c>
      <c r="BW55">
        <f>IF(INDEX(Cal_Weeks[MonthYearLabel],74)&lt;&gt;INDEX(Cal_Weeks[MonthYearLabel],73),'Grid_Stock'!BV55,BV55)+'Grid_Incoming'!BW55-'Grid_Requirement'!BW55</f>
        <v/>
      </c>
      <c r="BX55">
        <f>IF(INDEX(Cal_Weeks[MonthYearLabel],75)&lt;&gt;INDEX(Cal_Weeks[MonthYearLabel],74),'Grid_Stock'!BW55,BW55)+'Grid_Incoming'!BX55-'Grid_Requirement'!BX55</f>
        <v/>
      </c>
      <c r="BY55">
        <f>IF(INDEX(Cal_Weeks[MonthYearLabel],76)&lt;&gt;INDEX(Cal_Weeks[MonthYearLabel],75),'Grid_Stock'!BX55,BX55)+'Grid_Incoming'!BY55-'Grid_Requirement'!BY55</f>
        <v/>
      </c>
      <c r="BZ55">
        <f>IF(INDEX(Cal_Weeks[MonthYearLabel],77)&lt;&gt;INDEX(Cal_Weeks[MonthYearLabel],76),'Grid_Stock'!BY55,BY55)+'Grid_Incoming'!BZ55-'Grid_Requirement'!BZ55</f>
        <v/>
      </c>
      <c r="CA55">
        <f>IF(INDEX(Cal_Weeks[MonthYearLabel],78)&lt;&gt;INDEX(Cal_Weeks[MonthYearLabel],77),'Grid_Stock'!BZ55,BZ55)+'Grid_Incoming'!CA55-'Grid_Requirement'!CA55</f>
        <v/>
      </c>
      <c r="CB55">
        <f>IF(INDEX(Cal_Weeks[MonthYearLabel],79)&lt;&gt;INDEX(Cal_Weeks[MonthYearLabel],78),'Grid_Stock'!CA55,CA55)+'Grid_Incoming'!CB55-'Grid_Requirement'!CB55</f>
        <v/>
      </c>
      <c r="CC55">
        <f>IF(INDEX(Cal_Weeks[MonthYearLabel],80)&lt;&gt;INDEX(Cal_Weeks[MonthYearLabel],79),'Grid_Stock'!CB55,CB55)+'Grid_Incoming'!CC55-'Grid_Requirement'!CC55</f>
        <v/>
      </c>
      <c r="CD55">
        <f>IF(INDEX(Cal_Weeks[MonthYearLabel],81)&lt;&gt;INDEX(Cal_Weeks[MonthYearLabel],80),'Grid_Stock'!CC55,CC55)+'Grid_Incoming'!CD55-'Grid_Requirement'!CD55</f>
        <v/>
      </c>
      <c r="CE55">
        <f>IF(INDEX(Cal_Weeks[MonthYearLabel],82)&lt;&gt;INDEX(Cal_Weeks[MonthYearLabel],81),'Grid_Stock'!CD55,CD55)+'Grid_Incoming'!CE55-'Grid_Requirement'!CE55</f>
        <v/>
      </c>
      <c r="CF55">
        <f>IF(INDEX(Cal_Weeks[MonthYearLabel],83)&lt;&gt;INDEX(Cal_Weeks[MonthYearLabel],82),'Grid_Stock'!CE55,CE55)+'Grid_Incoming'!CF55-'Grid_Requirement'!CF55</f>
        <v/>
      </c>
      <c r="CG55">
        <f>IF(INDEX(Cal_Weeks[MonthYearLabel],84)&lt;&gt;INDEX(Cal_Weeks[MonthYearLabel],83),'Grid_Stock'!CF55,CF55)+'Grid_Incoming'!CG55-'Grid_Requirement'!CG55</f>
        <v/>
      </c>
      <c r="CH55">
        <f>IF(INDEX(Cal_Weeks[MonthYearLabel],85)&lt;&gt;INDEX(Cal_Weeks[MonthYearLabel],84),'Grid_Stock'!CG55,CG55)+'Grid_Incoming'!CH55-'Grid_Requirement'!CH55</f>
        <v/>
      </c>
      <c r="CI55">
        <f>IF(INDEX(Cal_Weeks[MonthYearLabel],86)&lt;&gt;INDEX(Cal_Weeks[MonthYearLabel],85),'Grid_Stock'!CH55,CH55)+'Grid_Incoming'!CI55-'Grid_Requirement'!CI55</f>
        <v/>
      </c>
      <c r="CJ55">
        <f>IF(INDEX(Cal_Weeks[MonthYearLabel],87)&lt;&gt;INDEX(Cal_Weeks[MonthYearLabel],86),'Grid_Stock'!CI55,CI55)+'Grid_Incoming'!CJ55-'Grid_Requirement'!CJ55</f>
        <v/>
      </c>
      <c r="CK55">
        <f>IF(INDEX(Cal_Weeks[MonthYearLabel],88)&lt;&gt;INDEX(Cal_Weeks[MonthYearLabel],87),'Grid_Stock'!CJ55,CJ55)+'Grid_Incoming'!CK55-'Grid_Requirement'!CK55</f>
        <v/>
      </c>
      <c r="CL55">
        <f>IF(INDEX(Cal_Weeks[MonthYearLabel],89)&lt;&gt;INDEX(Cal_Weeks[MonthYearLabel],88),'Grid_Stock'!CK55,CK55)+'Grid_Incoming'!CL55-'Grid_Requirement'!CL55</f>
        <v/>
      </c>
      <c r="CM55">
        <f>IF(INDEX(Cal_Weeks[MonthYearLabel],90)&lt;&gt;INDEX(Cal_Weeks[MonthYearLabel],89),'Grid_Stock'!CL55,CL55)+'Grid_Incoming'!CM55-'Grid_Requirement'!CM55</f>
        <v/>
      </c>
      <c r="CN55">
        <f>IF(INDEX(Cal_Weeks[MonthYearLabel],91)&lt;&gt;INDEX(Cal_Weeks[MonthYearLabel],90),'Grid_Stock'!CM55,CM55)+'Grid_Incoming'!CN55-'Grid_Requirement'!CN55</f>
        <v/>
      </c>
      <c r="CO55">
        <f>IF(INDEX(Cal_Weeks[MonthYearLabel],92)&lt;&gt;INDEX(Cal_Weeks[MonthYearLabel],91),'Grid_Stock'!CN55,CN55)+'Grid_Incoming'!CO55-'Grid_Requirement'!CO55</f>
        <v/>
      </c>
      <c r="CP55">
        <f>IF(INDEX(Cal_Weeks[MonthYearLabel],93)&lt;&gt;INDEX(Cal_Weeks[MonthYearLabel],92),'Grid_Stock'!CO55,CO55)+'Grid_Incoming'!CP55-'Grid_Requirement'!CP55</f>
        <v/>
      </c>
      <c r="CQ55">
        <f>IF(INDEX(Cal_Weeks[MonthYearLabel],94)&lt;&gt;INDEX(Cal_Weeks[MonthYearLabel],93),'Grid_Stock'!CP55,CP55)+'Grid_Incoming'!CQ55-'Grid_Requirement'!CQ55</f>
        <v/>
      </c>
      <c r="CR55">
        <f>IF(INDEX(Cal_Weeks[MonthYearLabel],95)&lt;&gt;INDEX(Cal_Weeks[MonthYearLabel],94),'Grid_Stock'!CQ55,CQ55)+'Grid_Incoming'!CR55-'Grid_Requirement'!CR55</f>
        <v/>
      </c>
      <c r="CS55">
        <f>IF(INDEX(Cal_Weeks[MonthYearLabel],96)&lt;&gt;INDEX(Cal_Weeks[MonthYearLabel],95),'Grid_Stock'!CR55,CR55)+'Grid_Incoming'!CS55-'Grid_Requirement'!CS55</f>
        <v/>
      </c>
      <c r="CT55">
        <f>IF(INDEX(Cal_Weeks[MonthYearLabel],97)&lt;&gt;INDEX(Cal_Weeks[MonthYearLabel],96),'Grid_Stock'!CS55,CS55)+'Grid_Incoming'!CT55-'Grid_Requirement'!CT55</f>
        <v/>
      </c>
      <c r="CU55">
        <f>IF(INDEX(Cal_Weeks[MonthYearLabel],98)&lt;&gt;INDEX(Cal_Weeks[MonthYearLabel],97),'Grid_Stock'!CT55,CT55)+'Grid_Incoming'!CU55-'Grid_Requirement'!CU55</f>
        <v/>
      </c>
      <c r="CV55">
        <f>IF(INDEX(Cal_Weeks[MonthYearLabel],99)&lt;&gt;INDEX(Cal_Weeks[MonthYearLabel],98),'Grid_Stock'!CU55,CU55)+'Grid_Incoming'!CV55-'Grid_Requirement'!CV55</f>
        <v/>
      </c>
      <c r="CW55">
        <f>IF(INDEX(Cal_Weeks[MonthYearLabel],100)&lt;&gt;INDEX(Cal_Weeks[MonthYearLabel],99),'Grid_Stock'!CV55,CV55)+'Grid_Incoming'!CW55-'Grid_Requirement'!CW55</f>
        <v/>
      </c>
      <c r="CX55">
        <f>IF(INDEX(Cal_Weeks[MonthYearLabel],101)&lt;&gt;INDEX(Cal_Weeks[MonthYearLabel],100),'Grid_Stock'!CW55,CW55)+'Grid_Incoming'!CX55-'Grid_Requirement'!CX55</f>
        <v/>
      </c>
      <c r="CY55">
        <f>IF(INDEX(Cal_Weeks[MonthYearLabel],102)&lt;&gt;INDEX(Cal_Weeks[MonthYearLabel],101),'Grid_Stock'!CX55,CX55)+'Grid_Incoming'!CY55-'Grid_Requirement'!CY55</f>
        <v/>
      </c>
      <c r="CZ55">
        <f>IF(INDEX(Cal_Weeks[MonthYearLabel],103)&lt;&gt;INDEX(Cal_Weeks[MonthYearLabel],102),'Grid_Stock'!CY55,CY55)+'Grid_Incoming'!CZ55-'Grid_Requirement'!CZ55</f>
        <v/>
      </c>
      <c r="DA55">
        <f>IF(INDEX(Cal_Weeks[MonthYearLabel],104)&lt;&gt;INDEX(Cal_Weeks[MonthYearLabel],103),'Grid_Stock'!CZ55,CZ55)+'Grid_Incoming'!DA55-'Grid_Requirement'!DA55</f>
        <v/>
      </c>
    </row>
    <row r="56">
      <c r="A56" t="inlineStr">
        <is>
          <t>PP Film</t>
        </is>
      </c>
      <c r="B56">
        <f>IFERROR(INDEX(T_OpeningStock[Opening_Qty_要入力],MATCH($A56,T_OpeningStock[Part Name],0)),0)+'Grid_Incoming'!B56-'Grid_Requirement'!B56</f>
        <v/>
      </c>
      <c r="C56">
        <f>IF(INDEX(Cal_Weeks[MonthYearLabel],2)&lt;&gt;INDEX(Cal_Weeks[MonthYearLabel],1),'Grid_Stock'!B56,B56)+'Grid_Incoming'!C56-'Grid_Requirement'!C56</f>
        <v/>
      </c>
      <c r="D56">
        <f>IF(INDEX(Cal_Weeks[MonthYearLabel],3)&lt;&gt;INDEX(Cal_Weeks[MonthYearLabel],2),'Grid_Stock'!C56,C56)+'Grid_Incoming'!D56-'Grid_Requirement'!D56</f>
        <v/>
      </c>
      <c r="E56">
        <f>IF(INDEX(Cal_Weeks[MonthYearLabel],4)&lt;&gt;INDEX(Cal_Weeks[MonthYearLabel],3),'Grid_Stock'!D56,D56)+'Grid_Incoming'!E56-'Grid_Requirement'!E56</f>
        <v/>
      </c>
      <c r="F56">
        <f>IF(INDEX(Cal_Weeks[MonthYearLabel],5)&lt;&gt;INDEX(Cal_Weeks[MonthYearLabel],4),'Grid_Stock'!E56,E56)+'Grid_Incoming'!F56-'Grid_Requirement'!F56</f>
        <v/>
      </c>
      <c r="G56">
        <f>IF(INDEX(Cal_Weeks[MonthYearLabel],6)&lt;&gt;INDEX(Cal_Weeks[MonthYearLabel],5),'Grid_Stock'!F56,F56)+'Grid_Incoming'!G56-'Grid_Requirement'!G56</f>
        <v/>
      </c>
      <c r="H56">
        <f>IF(INDEX(Cal_Weeks[MonthYearLabel],7)&lt;&gt;INDEX(Cal_Weeks[MonthYearLabel],6),'Grid_Stock'!G56,G56)+'Grid_Incoming'!H56-'Grid_Requirement'!H56</f>
        <v/>
      </c>
      <c r="I56">
        <f>IF(INDEX(Cal_Weeks[MonthYearLabel],8)&lt;&gt;INDEX(Cal_Weeks[MonthYearLabel],7),'Grid_Stock'!H56,H56)+'Grid_Incoming'!I56-'Grid_Requirement'!I56</f>
        <v/>
      </c>
      <c r="J56">
        <f>IF(INDEX(Cal_Weeks[MonthYearLabel],9)&lt;&gt;INDEX(Cal_Weeks[MonthYearLabel],8),'Grid_Stock'!I56,I56)+'Grid_Incoming'!J56-'Grid_Requirement'!J56</f>
        <v/>
      </c>
      <c r="K56">
        <f>IF(INDEX(Cal_Weeks[MonthYearLabel],10)&lt;&gt;INDEX(Cal_Weeks[MonthYearLabel],9),'Grid_Stock'!J56,J56)+'Grid_Incoming'!K56-'Grid_Requirement'!K56</f>
        <v/>
      </c>
      <c r="L56">
        <f>IF(INDEX(Cal_Weeks[MonthYearLabel],11)&lt;&gt;INDEX(Cal_Weeks[MonthYearLabel],10),'Grid_Stock'!K56,K56)+'Grid_Incoming'!L56-'Grid_Requirement'!L56</f>
        <v/>
      </c>
      <c r="M56">
        <f>IF(INDEX(Cal_Weeks[MonthYearLabel],12)&lt;&gt;INDEX(Cal_Weeks[MonthYearLabel],11),'Grid_Stock'!L56,L56)+'Grid_Incoming'!M56-'Grid_Requirement'!M56</f>
        <v/>
      </c>
      <c r="N56">
        <f>IF(INDEX(Cal_Weeks[MonthYearLabel],13)&lt;&gt;INDEX(Cal_Weeks[MonthYearLabel],12),'Grid_Stock'!M56,M56)+'Grid_Incoming'!N56-'Grid_Requirement'!N56</f>
        <v/>
      </c>
      <c r="O56">
        <f>IF(INDEX(Cal_Weeks[MonthYearLabel],14)&lt;&gt;INDEX(Cal_Weeks[MonthYearLabel],13),'Grid_Stock'!N56,N56)+'Grid_Incoming'!O56-'Grid_Requirement'!O56</f>
        <v/>
      </c>
      <c r="P56">
        <f>IF(INDEX(Cal_Weeks[MonthYearLabel],15)&lt;&gt;INDEX(Cal_Weeks[MonthYearLabel],14),'Grid_Stock'!O56,O56)+'Grid_Incoming'!P56-'Grid_Requirement'!P56</f>
        <v/>
      </c>
      <c r="Q56">
        <f>IF(INDEX(Cal_Weeks[MonthYearLabel],16)&lt;&gt;INDEX(Cal_Weeks[MonthYearLabel],15),'Grid_Stock'!P56,P56)+'Grid_Incoming'!Q56-'Grid_Requirement'!Q56</f>
        <v/>
      </c>
      <c r="R56">
        <f>IF(INDEX(Cal_Weeks[MonthYearLabel],17)&lt;&gt;INDEX(Cal_Weeks[MonthYearLabel],16),'Grid_Stock'!Q56,Q56)+'Grid_Incoming'!R56-'Grid_Requirement'!R56</f>
        <v/>
      </c>
      <c r="S56">
        <f>IF(INDEX(Cal_Weeks[MonthYearLabel],18)&lt;&gt;INDEX(Cal_Weeks[MonthYearLabel],17),'Grid_Stock'!R56,R56)+'Grid_Incoming'!S56-'Grid_Requirement'!S56</f>
        <v/>
      </c>
      <c r="T56">
        <f>IF(INDEX(Cal_Weeks[MonthYearLabel],19)&lt;&gt;INDEX(Cal_Weeks[MonthYearLabel],18),'Grid_Stock'!S56,S56)+'Grid_Incoming'!T56-'Grid_Requirement'!T56</f>
        <v/>
      </c>
      <c r="U56">
        <f>IF(INDEX(Cal_Weeks[MonthYearLabel],20)&lt;&gt;INDEX(Cal_Weeks[MonthYearLabel],19),'Grid_Stock'!T56,T56)+'Grid_Incoming'!U56-'Grid_Requirement'!U56</f>
        <v/>
      </c>
      <c r="V56">
        <f>IF(INDEX(Cal_Weeks[MonthYearLabel],21)&lt;&gt;INDEX(Cal_Weeks[MonthYearLabel],20),'Grid_Stock'!U56,U56)+'Grid_Incoming'!V56-'Grid_Requirement'!V56</f>
        <v/>
      </c>
      <c r="W56">
        <f>IF(INDEX(Cal_Weeks[MonthYearLabel],22)&lt;&gt;INDEX(Cal_Weeks[MonthYearLabel],21),'Grid_Stock'!V56,V56)+'Grid_Incoming'!W56-'Grid_Requirement'!W56</f>
        <v/>
      </c>
      <c r="X56">
        <f>IF(INDEX(Cal_Weeks[MonthYearLabel],23)&lt;&gt;INDEX(Cal_Weeks[MonthYearLabel],22),'Grid_Stock'!W56,W56)+'Grid_Incoming'!X56-'Grid_Requirement'!X56</f>
        <v/>
      </c>
      <c r="Y56">
        <f>IF(INDEX(Cal_Weeks[MonthYearLabel],24)&lt;&gt;INDEX(Cal_Weeks[MonthYearLabel],23),'Grid_Stock'!X56,X56)+'Grid_Incoming'!Y56-'Grid_Requirement'!Y56</f>
        <v/>
      </c>
      <c r="Z56">
        <f>IF(INDEX(Cal_Weeks[MonthYearLabel],25)&lt;&gt;INDEX(Cal_Weeks[MonthYearLabel],24),'Grid_Stock'!Y56,Y56)+'Grid_Incoming'!Z56-'Grid_Requirement'!Z56</f>
        <v/>
      </c>
      <c r="AA56">
        <f>IF(INDEX(Cal_Weeks[MonthYearLabel],26)&lt;&gt;INDEX(Cal_Weeks[MonthYearLabel],25),'Grid_Stock'!Z56,Z56)+'Grid_Incoming'!AA56-'Grid_Requirement'!AA56</f>
        <v/>
      </c>
      <c r="AB56">
        <f>IF(INDEX(Cal_Weeks[MonthYearLabel],27)&lt;&gt;INDEX(Cal_Weeks[MonthYearLabel],26),'Grid_Stock'!AA56,AA56)+'Grid_Incoming'!AB56-'Grid_Requirement'!AB56</f>
        <v/>
      </c>
      <c r="AC56">
        <f>IF(INDEX(Cal_Weeks[MonthYearLabel],28)&lt;&gt;INDEX(Cal_Weeks[MonthYearLabel],27),'Grid_Stock'!AB56,AB56)+'Grid_Incoming'!AC56-'Grid_Requirement'!AC56</f>
        <v/>
      </c>
      <c r="AD56">
        <f>IF(INDEX(Cal_Weeks[MonthYearLabel],29)&lt;&gt;INDEX(Cal_Weeks[MonthYearLabel],28),'Grid_Stock'!AC56,AC56)+'Grid_Incoming'!AD56-'Grid_Requirement'!AD56</f>
        <v/>
      </c>
      <c r="AE56">
        <f>IF(INDEX(Cal_Weeks[MonthYearLabel],30)&lt;&gt;INDEX(Cal_Weeks[MonthYearLabel],29),'Grid_Stock'!AD56,AD56)+'Grid_Incoming'!AE56-'Grid_Requirement'!AE56</f>
        <v/>
      </c>
      <c r="AF56">
        <f>IF(INDEX(Cal_Weeks[MonthYearLabel],31)&lt;&gt;INDEX(Cal_Weeks[MonthYearLabel],30),'Grid_Stock'!AE56,AE56)+'Grid_Incoming'!AF56-'Grid_Requirement'!AF56</f>
        <v/>
      </c>
      <c r="AG56">
        <f>IF(INDEX(Cal_Weeks[MonthYearLabel],32)&lt;&gt;INDEX(Cal_Weeks[MonthYearLabel],31),'Grid_Stock'!AF56,AF56)+'Grid_Incoming'!AG56-'Grid_Requirement'!AG56</f>
        <v/>
      </c>
      <c r="AH56">
        <f>IF(INDEX(Cal_Weeks[MonthYearLabel],33)&lt;&gt;INDEX(Cal_Weeks[MonthYearLabel],32),'Grid_Stock'!AG56,AG56)+'Grid_Incoming'!AH56-'Grid_Requirement'!AH56</f>
        <v/>
      </c>
      <c r="AI56">
        <f>IF(INDEX(Cal_Weeks[MonthYearLabel],34)&lt;&gt;INDEX(Cal_Weeks[MonthYearLabel],33),'Grid_Stock'!AH56,AH56)+'Grid_Incoming'!AI56-'Grid_Requirement'!AI56</f>
        <v/>
      </c>
      <c r="AJ56">
        <f>IF(INDEX(Cal_Weeks[MonthYearLabel],35)&lt;&gt;INDEX(Cal_Weeks[MonthYearLabel],34),'Grid_Stock'!AI56,AI56)+'Grid_Incoming'!AJ56-'Grid_Requirement'!AJ56</f>
        <v/>
      </c>
      <c r="AK56">
        <f>IF(INDEX(Cal_Weeks[MonthYearLabel],36)&lt;&gt;INDEX(Cal_Weeks[MonthYearLabel],35),'Grid_Stock'!AJ56,AJ56)+'Grid_Incoming'!AK56-'Grid_Requirement'!AK56</f>
        <v/>
      </c>
      <c r="AL56">
        <f>IF(INDEX(Cal_Weeks[MonthYearLabel],37)&lt;&gt;INDEX(Cal_Weeks[MonthYearLabel],36),'Grid_Stock'!AK56,AK56)+'Grid_Incoming'!AL56-'Grid_Requirement'!AL56</f>
        <v/>
      </c>
      <c r="AM56">
        <f>IF(INDEX(Cal_Weeks[MonthYearLabel],38)&lt;&gt;INDEX(Cal_Weeks[MonthYearLabel],37),'Grid_Stock'!AL56,AL56)+'Grid_Incoming'!AM56-'Grid_Requirement'!AM56</f>
        <v/>
      </c>
      <c r="AN56">
        <f>IF(INDEX(Cal_Weeks[MonthYearLabel],39)&lt;&gt;INDEX(Cal_Weeks[MonthYearLabel],38),'Grid_Stock'!AM56,AM56)+'Grid_Incoming'!AN56-'Grid_Requirement'!AN56</f>
        <v/>
      </c>
      <c r="AO56">
        <f>IF(INDEX(Cal_Weeks[MonthYearLabel],40)&lt;&gt;INDEX(Cal_Weeks[MonthYearLabel],39),'Grid_Stock'!AN56,AN56)+'Grid_Incoming'!AO56-'Grid_Requirement'!AO56</f>
        <v/>
      </c>
      <c r="AP56">
        <f>IF(INDEX(Cal_Weeks[MonthYearLabel],41)&lt;&gt;INDEX(Cal_Weeks[MonthYearLabel],40),'Grid_Stock'!AO56,AO56)+'Grid_Incoming'!AP56-'Grid_Requirement'!AP56</f>
        <v/>
      </c>
      <c r="AQ56">
        <f>IF(INDEX(Cal_Weeks[MonthYearLabel],42)&lt;&gt;INDEX(Cal_Weeks[MonthYearLabel],41),'Grid_Stock'!AP56,AP56)+'Grid_Incoming'!AQ56-'Grid_Requirement'!AQ56</f>
        <v/>
      </c>
      <c r="AR56">
        <f>IF(INDEX(Cal_Weeks[MonthYearLabel],43)&lt;&gt;INDEX(Cal_Weeks[MonthYearLabel],42),'Grid_Stock'!AQ56,AQ56)+'Grid_Incoming'!AR56-'Grid_Requirement'!AR56</f>
        <v/>
      </c>
      <c r="AS56">
        <f>IF(INDEX(Cal_Weeks[MonthYearLabel],44)&lt;&gt;INDEX(Cal_Weeks[MonthYearLabel],43),'Grid_Stock'!AR56,AR56)+'Grid_Incoming'!AS56-'Grid_Requirement'!AS56</f>
        <v/>
      </c>
      <c r="AT56">
        <f>IF(INDEX(Cal_Weeks[MonthYearLabel],45)&lt;&gt;INDEX(Cal_Weeks[MonthYearLabel],44),'Grid_Stock'!AS56,AS56)+'Grid_Incoming'!AT56-'Grid_Requirement'!AT56</f>
        <v/>
      </c>
      <c r="AU56">
        <f>IF(INDEX(Cal_Weeks[MonthYearLabel],46)&lt;&gt;INDEX(Cal_Weeks[MonthYearLabel],45),'Grid_Stock'!AT56,AT56)+'Grid_Incoming'!AU56-'Grid_Requirement'!AU56</f>
        <v/>
      </c>
      <c r="AV56">
        <f>IF(INDEX(Cal_Weeks[MonthYearLabel],47)&lt;&gt;INDEX(Cal_Weeks[MonthYearLabel],46),'Grid_Stock'!AU56,AU56)+'Grid_Incoming'!AV56-'Grid_Requirement'!AV56</f>
        <v/>
      </c>
      <c r="AW56">
        <f>IF(INDEX(Cal_Weeks[MonthYearLabel],48)&lt;&gt;INDEX(Cal_Weeks[MonthYearLabel],47),'Grid_Stock'!AV56,AV56)+'Grid_Incoming'!AW56-'Grid_Requirement'!AW56</f>
        <v/>
      </c>
      <c r="AX56">
        <f>IF(INDEX(Cal_Weeks[MonthYearLabel],49)&lt;&gt;INDEX(Cal_Weeks[MonthYearLabel],48),'Grid_Stock'!AW56,AW56)+'Grid_Incoming'!AX56-'Grid_Requirement'!AX56</f>
        <v/>
      </c>
      <c r="AY56">
        <f>IF(INDEX(Cal_Weeks[MonthYearLabel],50)&lt;&gt;INDEX(Cal_Weeks[MonthYearLabel],49),'Grid_Stock'!AX56,AX56)+'Grid_Incoming'!AY56-'Grid_Requirement'!AY56</f>
        <v/>
      </c>
      <c r="AZ56">
        <f>IF(INDEX(Cal_Weeks[MonthYearLabel],51)&lt;&gt;INDEX(Cal_Weeks[MonthYearLabel],50),'Grid_Stock'!AY56,AY56)+'Grid_Incoming'!AZ56-'Grid_Requirement'!AZ56</f>
        <v/>
      </c>
      <c r="BA56">
        <f>IF(INDEX(Cal_Weeks[MonthYearLabel],52)&lt;&gt;INDEX(Cal_Weeks[MonthYearLabel],51),'Grid_Stock'!AZ56,AZ56)+'Grid_Incoming'!BA56-'Grid_Requirement'!BA56</f>
        <v/>
      </c>
      <c r="BB56">
        <f>IF(INDEX(Cal_Weeks[MonthYearLabel],53)&lt;&gt;INDEX(Cal_Weeks[MonthYearLabel],52),'Grid_Stock'!BA56,BA56)+'Grid_Incoming'!BB56-'Grid_Requirement'!BB56</f>
        <v/>
      </c>
      <c r="BC56">
        <f>IF(INDEX(Cal_Weeks[MonthYearLabel],54)&lt;&gt;INDEX(Cal_Weeks[MonthYearLabel],53),'Grid_Stock'!BB56,BB56)+'Grid_Incoming'!BC56-'Grid_Requirement'!BC56</f>
        <v/>
      </c>
      <c r="BD56">
        <f>IF(INDEX(Cal_Weeks[MonthYearLabel],55)&lt;&gt;INDEX(Cal_Weeks[MonthYearLabel],54),'Grid_Stock'!BC56,BC56)+'Grid_Incoming'!BD56-'Grid_Requirement'!BD56</f>
        <v/>
      </c>
      <c r="BE56">
        <f>IF(INDEX(Cal_Weeks[MonthYearLabel],56)&lt;&gt;INDEX(Cal_Weeks[MonthYearLabel],55),'Grid_Stock'!BD56,BD56)+'Grid_Incoming'!BE56-'Grid_Requirement'!BE56</f>
        <v/>
      </c>
      <c r="BF56">
        <f>IF(INDEX(Cal_Weeks[MonthYearLabel],57)&lt;&gt;INDEX(Cal_Weeks[MonthYearLabel],56),'Grid_Stock'!BE56,BE56)+'Grid_Incoming'!BF56-'Grid_Requirement'!BF56</f>
        <v/>
      </c>
      <c r="BG56">
        <f>IF(INDEX(Cal_Weeks[MonthYearLabel],58)&lt;&gt;INDEX(Cal_Weeks[MonthYearLabel],57),'Grid_Stock'!BF56,BF56)+'Grid_Incoming'!BG56-'Grid_Requirement'!BG56</f>
        <v/>
      </c>
      <c r="BH56">
        <f>IF(INDEX(Cal_Weeks[MonthYearLabel],59)&lt;&gt;INDEX(Cal_Weeks[MonthYearLabel],58),'Grid_Stock'!BG56,BG56)+'Grid_Incoming'!BH56-'Grid_Requirement'!BH56</f>
        <v/>
      </c>
      <c r="BI56">
        <f>IF(INDEX(Cal_Weeks[MonthYearLabel],60)&lt;&gt;INDEX(Cal_Weeks[MonthYearLabel],59),'Grid_Stock'!BH56,BH56)+'Grid_Incoming'!BI56-'Grid_Requirement'!BI56</f>
        <v/>
      </c>
      <c r="BJ56">
        <f>IF(INDEX(Cal_Weeks[MonthYearLabel],61)&lt;&gt;INDEX(Cal_Weeks[MonthYearLabel],60),'Grid_Stock'!BI56,BI56)+'Grid_Incoming'!BJ56-'Grid_Requirement'!BJ56</f>
        <v/>
      </c>
      <c r="BK56">
        <f>IF(INDEX(Cal_Weeks[MonthYearLabel],62)&lt;&gt;INDEX(Cal_Weeks[MonthYearLabel],61),'Grid_Stock'!BJ56,BJ56)+'Grid_Incoming'!BK56-'Grid_Requirement'!BK56</f>
        <v/>
      </c>
      <c r="BL56">
        <f>IF(INDEX(Cal_Weeks[MonthYearLabel],63)&lt;&gt;INDEX(Cal_Weeks[MonthYearLabel],62),'Grid_Stock'!BK56,BK56)+'Grid_Incoming'!BL56-'Grid_Requirement'!BL56</f>
        <v/>
      </c>
      <c r="BM56">
        <f>IF(INDEX(Cal_Weeks[MonthYearLabel],64)&lt;&gt;INDEX(Cal_Weeks[MonthYearLabel],63),'Grid_Stock'!BL56,BL56)+'Grid_Incoming'!BM56-'Grid_Requirement'!BM56</f>
        <v/>
      </c>
      <c r="BN56">
        <f>IF(INDEX(Cal_Weeks[MonthYearLabel],65)&lt;&gt;INDEX(Cal_Weeks[MonthYearLabel],64),'Grid_Stock'!BM56,BM56)+'Grid_Incoming'!BN56-'Grid_Requirement'!BN56</f>
        <v/>
      </c>
      <c r="BO56">
        <f>IF(INDEX(Cal_Weeks[MonthYearLabel],66)&lt;&gt;INDEX(Cal_Weeks[MonthYearLabel],65),'Grid_Stock'!BN56,BN56)+'Grid_Incoming'!BO56-'Grid_Requirement'!BO56</f>
        <v/>
      </c>
      <c r="BP56">
        <f>IF(INDEX(Cal_Weeks[MonthYearLabel],67)&lt;&gt;INDEX(Cal_Weeks[MonthYearLabel],66),'Grid_Stock'!BO56,BO56)+'Grid_Incoming'!BP56-'Grid_Requirement'!BP56</f>
        <v/>
      </c>
      <c r="BQ56">
        <f>IF(INDEX(Cal_Weeks[MonthYearLabel],68)&lt;&gt;INDEX(Cal_Weeks[MonthYearLabel],67),'Grid_Stock'!BP56,BP56)+'Grid_Incoming'!BQ56-'Grid_Requirement'!BQ56</f>
        <v/>
      </c>
      <c r="BR56">
        <f>IF(INDEX(Cal_Weeks[MonthYearLabel],69)&lt;&gt;INDEX(Cal_Weeks[MonthYearLabel],68),'Grid_Stock'!BQ56,BQ56)+'Grid_Incoming'!BR56-'Grid_Requirement'!BR56</f>
        <v/>
      </c>
      <c r="BS56">
        <f>IF(INDEX(Cal_Weeks[MonthYearLabel],70)&lt;&gt;INDEX(Cal_Weeks[MonthYearLabel],69),'Grid_Stock'!BR56,BR56)+'Grid_Incoming'!BS56-'Grid_Requirement'!BS56</f>
        <v/>
      </c>
      <c r="BT56">
        <f>IF(INDEX(Cal_Weeks[MonthYearLabel],71)&lt;&gt;INDEX(Cal_Weeks[MonthYearLabel],70),'Grid_Stock'!BS56,BS56)+'Grid_Incoming'!BT56-'Grid_Requirement'!BT56</f>
        <v/>
      </c>
      <c r="BU56">
        <f>IF(INDEX(Cal_Weeks[MonthYearLabel],72)&lt;&gt;INDEX(Cal_Weeks[MonthYearLabel],71),'Grid_Stock'!BT56,BT56)+'Grid_Incoming'!BU56-'Grid_Requirement'!BU56</f>
        <v/>
      </c>
      <c r="BV56">
        <f>IF(INDEX(Cal_Weeks[MonthYearLabel],73)&lt;&gt;INDEX(Cal_Weeks[MonthYearLabel],72),'Grid_Stock'!BU56,BU56)+'Grid_Incoming'!BV56-'Grid_Requirement'!BV56</f>
        <v/>
      </c>
      <c r="BW56">
        <f>IF(INDEX(Cal_Weeks[MonthYearLabel],74)&lt;&gt;INDEX(Cal_Weeks[MonthYearLabel],73),'Grid_Stock'!BV56,BV56)+'Grid_Incoming'!BW56-'Grid_Requirement'!BW56</f>
        <v/>
      </c>
      <c r="BX56">
        <f>IF(INDEX(Cal_Weeks[MonthYearLabel],75)&lt;&gt;INDEX(Cal_Weeks[MonthYearLabel],74),'Grid_Stock'!BW56,BW56)+'Grid_Incoming'!BX56-'Grid_Requirement'!BX56</f>
        <v/>
      </c>
      <c r="BY56">
        <f>IF(INDEX(Cal_Weeks[MonthYearLabel],76)&lt;&gt;INDEX(Cal_Weeks[MonthYearLabel],75),'Grid_Stock'!BX56,BX56)+'Grid_Incoming'!BY56-'Grid_Requirement'!BY56</f>
        <v/>
      </c>
      <c r="BZ56">
        <f>IF(INDEX(Cal_Weeks[MonthYearLabel],77)&lt;&gt;INDEX(Cal_Weeks[MonthYearLabel],76),'Grid_Stock'!BY56,BY56)+'Grid_Incoming'!BZ56-'Grid_Requirement'!BZ56</f>
        <v/>
      </c>
      <c r="CA56">
        <f>IF(INDEX(Cal_Weeks[MonthYearLabel],78)&lt;&gt;INDEX(Cal_Weeks[MonthYearLabel],77),'Grid_Stock'!BZ56,BZ56)+'Grid_Incoming'!CA56-'Grid_Requirement'!CA56</f>
        <v/>
      </c>
      <c r="CB56">
        <f>IF(INDEX(Cal_Weeks[MonthYearLabel],79)&lt;&gt;INDEX(Cal_Weeks[MonthYearLabel],78),'Grid_Stock'!CA56,CA56)+'Grid_Incoming'!CB56-'Grid_Requirement'!CB56</f>
        <v/>
      </c>
      <c r="CC56">
        <f>IF(INDEX(Cal_Weeks[MonthYearLabel],80)&lt;&gt;INDEX(Cal_Weeks[MonthYearLabel],79),'Grid_Stock'!CB56,CB56)+'Grid_Incoming'!CC56-'Grid_Requirement'!CC56</f>
        <v/>
      </c>
      <c r="CD56">
        <f>IF(INDEX(Cal_Weeks[MonthYearLabel],81)&lt;&gt;INDEX(Cal_Weeks[MonthYearLabel],80),'Grid_Stock'!CC56,CC56)+'Grid_Incoming'!CD56-'Grid_Requirement'!CD56</f>
        <v/>
      </c>
      <c r="CE56">
        <f>IF(INDEX(Cal_Weeks[MonthYearLabel],82)&lt;&gt;INDEX(Cal_Weeks[MonthYearLabel],81),'Grid_Stock'!CD56,CD56)+'Grid_Incoming'!CE56-'Grid_Requirement'!CE56</f>
        <v/>
      </c>
      <c r="CF56">
        <f>IF(INDEX(Cal_Weeks[MonthYearLabel],83)&lt;&gt;INDEX(Cal_Weeks[MonthYearLabel],82),'Grid_Stock'!CE56,CE56)+'Grid_Incoming'!CF56-'Grid_Requirement'!CF56</f>
        <v/>
      </c>
      <c r="CG56">
        <f>IF(INDEX(Cal_Weeks[MonthYearLabel],84)&lt;&gt;INDEX(Cal_Weeks[MonthYearLabel],83),'Grid_Stock'!CF56,CF56)+'Grid_Incoming'!CG56-'Grid_Requirement'!CG56</f>
        <v/>
      </c>
      <c r="CH56">
        <f>IF(INDEX(Cal_Weeks[MonthYearLabel],85)&lt;&gt;INDEX(Cal_Weeks[MonthYearLabel],84),'Grid_Stock'!CG56,CG56)+'Grid_Incoming'!CH56-'Grid_Requirement'!CH56</f>
        <v/>
      </c>
      <c r="CI56">
        <f>IF(INDEX(Cal_Weeks[MonthYearLabel],86)&lt;&gt;INDEX(Cal_Weeks[MonthYearLabel],85),'Grid_Stock'!CH56,CH56)+'Grid_Incoming'!CI56-'Grid_Requirement'!CI56</f>
        <v/>
      </c>
      <c r="CJ56">
        <f>IF(INDEX(Cal_Weeks[MonthYearLabel],87)&lt;&gt;INDEX(Cal_Weeks[MonthYearLabel],86),'Grid_Stock'!CI56,CI56)+'Grid_Incoming'!CJ56-'Grid_Requirement'!CJ56</f>
        <v/>
      </c>
      <c r="CK56">
        <f>IF(INDEX(Cal_Weeks[MonthYearLabel],88)&lt;&gt;INDEX(Cal_Weeks[MonthYearLabel],87),'Grid_Stock'!CJ56,CJ56)+'Grid_Incoming'!CK56-'Grid_Requirement'!CK56</f>
        <v/>
      </c>
      <c r="CL56">
        <f>IF(INDEX(Cal_Weeks[MonthYearLabel],89)&lt;&gt;INDEX(Cal_Weeks[MonthYearLabel],88),'Grid_Stock'!CK56,CK56)+'Grid_Incoming'!CL56-'Grid_Requirement'!CL56</f>
        <v/>
      </c>
      <c r="CM56">
        <f>IF(INDEX(Cal_Weeks[MonthYearLabel],90)&lt;&gt;INDEX(Cal_Weeks[MonthYearLabel],89),'Grid_Stock'!CL56,CL56)+'Grid_Incoming'!CM56-'Grid_Requirement'!CM56</f>
        <v/>
      </c>
      <c r="CN56">
        <f>IF(INDEX(Cal_Weeks[MonthYearLabel],91)&lt;&gt;INDEX(Cal_Weeks[MonthYearLabel],90),'Grid_Stock'!CM56,CM56)+'Grid_Incoming'!CN56-'Grid_Requirement'!CN56</f>
        <v/>
      </c>
      <c r="CO56">
        <f>IF(INDEX(Cal_Weeks[MonthYearLabel],92)&lt;&gt;INDEX(Cal_Weeks[MonthYearLabel],91),'Grid_Stock'!CN56,CN56)+'Grid_Incoming'!CO56-'Grid_Requirement'!CO56</f>
        <v/>
      </c>
      <c r="CP56">
        <f>IF(INDEX(Cal_Weeks[MonthYearLabel],93)&lt;&gt;INDEX(Cal_Weeks[MonthYearLabel],92),'Grid_Stock'!CO56,CO56)+'Grid_Incoming'!CP56-'Grid_Requirement'!CP56</f>
        <v/>
      </c>
      <c r="CQ56">
        <f>IF(INDEX(Cal_Weeks[MonthYearLabel],94)&lt;&gt;INDEX(Cal_Weeks[MonthYearLabel],93),'Grid_Stock'!CP56,CP56)+'Grid_Incoming'!CQ56-'Grid_Requirement'!CQ56</f>
        <v/>
      </c>
      <c r="CR56">
        <f>IF(INDEX(Cal_Weeks[MonthYearLabel],95)&lt;&gt;INDEX(Cal_Weeks[MonthYearLabel],94),'Grid_Stock'!CQ56,CQ56)+'Grid_Incoming'!CR56-'Grid_Requirement'!CR56</f>
        <v/>
      </c>
      <c r="CS56">
        <f>IF(INDEX(Cal_Weeks[MonthYearLabel],96)&lt;&gt;INDEX(Cal_Weeks[MonthYearLabel],95),'Grid_Stock'!CR56,CR56)+'Grid_Incoming'!CS56-'Grid_Requirement'!CS56</f>
        <v/>
      </c>
      <c r="CT56">
        <f>IF(INDEX(Cal_Weeks[MonthYearLabel],97)&lt;&gt;INDEX(Cal_Weeks[MonthYearLabel],96),'Grid_Stock'!CS56,CS56)+'Grid_Incoming'!CT56-'Grid_Requirement'!CT56</f>
        <v/>
      </c>
      <c r="CU56">
        <f>IF(INDEX(Cal_Weeks[MonthYearLabel],98)&lt;&gt;INDEX(Cal_Weeks[MonthYearLabel],97),'Grid_Stock'!CT56,CT56)+'Grid_Incoming'!CU56-'Grid_Requirement'!CU56</f>
        <v/>
      </c>
      <c r="CV56">
        <f>IF(INDEX(Cal_Weeks[MonthYearLabel],99)&lt;&gt;INDEX(Cal_Weeks[MonthYearLabel],98),'Grid_Stock'!CU56,CU56)+'Grid_Incoming'!CV56-'Grid_Requirement'!CV56</f>
        <v/>
      </c>
      <c r="CW56">
        <f>IF(INDEX(Cal_Weeks[MonthYearLabel],100)&lt;&gt;INDEX(Cal_Weeks[MonthYearLabel],99),'Grid_Stock'!CV56,CV56)+'Grid_Incoming'!CW56-'Grid_Requirement'!CW56</f>
        <v/>
      </c>
      <c r="CX56">
        <f>IF(INDEX(Cal_Weeks[MonthYearLabel],101)&lt;&gt;INDEX(Cal_Weeks[MonthYearLabel],100),'Grid_Stock'!CW56,CW56)+'Grid_Incoming'!CX56-'Grid_Requirement'!CX56</f>
        <v/>
      </c>
      <c r="CY56">
        <f>IF(INDEX(Cal_Weeks[MonthYearLabel],102)&lt;&gt;INDEX(Cal_Weeks[MonthYearLabel],101),'Grid_Stock'!CX56,CX56)+'Grid_Incoming'!CY56-'Grid_Requirement'!CY56</f>
        <v/>
      </c>
      <c r="CZ56">
        <f>IF(INDEX(Cal_Weeks[MonthYearLabel],103)&lt;&gt;INDEX(Cal_Weeks[MonthYearLabel],102),'Grid_Stock'!CY56,CY56)+'Grid_Incoming'!CZ56-'Grid_Requirement'!CZ56</f>
        <v/>
      </c>
      <c r="DA56">
        <f>IF(INDEX(Cal_Weeks[MonthYearLabel],104)&lt;&gt;INDEX(Cal_Weeks[MonthYearLabel],103),'Grid_Stock'!CZ56,CZ56)+'Grid_Incoming'!DA56-'Grid_Requirement'!DA56</f>
        <v/>
      </c>
    </row>
    <row r="57">
      <c r="A57" t="inlineStr">
        <is>
          <t>Ester Film</t>
        </is>
      </c>
      <c r="B57">
        <f>IFERROR(INDEX(T_OpeningStock[Opening_Qty_要入力],MATCH($A57,T_OpeningStock[Part Name],0)),0)+'Grid_Incoming'!B57-'Grid_Requirement'!B57</f>
        <v/>
      </c>
      <c r="C57">
        <f>IF(INDEX(Cal_Weeks[MonthYearLabel],2)&lt;&gt;INDEX(Cal_Weeks[MonthYearLabel],1),'Grid_Stock'!B57,B57)+'Grid_Incoming'!C57-'Grid_Requirement'!C57</f>
        <v/>
      </c>
      <c r="D57">
        <f>IF(INDEX(Cal_Weeks[MonthYearLabel],3)&lt;&gt;INDEX(Cal_Weeks[MonthYearLabel],2),'Grid_Stock'!C57,C57)+'Grid_Incoming'!D57-'Grid_Requirement'!D57</f>
        <v/>
      </c>
      <c r="E57">
        <f>IF(INDEX(Cal_Weeks[MonthYearLabel],4)&lt;&gt;INDEX(Cal_Weeks[MonthYearLabel],3),'Grid_Stock'!D57,D57)+'Grid_Incoming'!E57-'Grid_Requirement'!E57</f>
        <v/>
      </c>
      <c r="F57">
        <f>IF(INDEX(Cal_Weeks[MonthYearLabel],5)&lt;&gt;INDEX(Cal_Weeks[MonthYearLabel],4),'Grid_Stock'!E57,E57)+'Grid_Incoming'!F57-'Grid_Requirement'!F57</f>
        <v/>
      </c>
      <c r="G57">
        <f>IF(INDEX(Cal_Weeks[MonthYearLabel],6)&lt;&gt;INDEX(Cal_Weeks[MonthYearLabel],5),'Grid_Stock'!F57,F57)+'Grid_Incoming'!G57-'Grid_Requirement'!G57</f>
        <v/>
      </c>
      <c r="H57">
        <f>IF(INDEX(Cal_Weeks[MonthYearLabel],7)&lt;&gt;INDEX(Cal_Weeks[MonthYearLabel],6),'Grid_Stock'!G57,G57)+'Grid_Incoming'!H57-'Grid_Requirement'!H57</f>
        <v/>
      </c>
      <c r="I57">
        <f>IF(INDEX(Cal_Weeks[MonthYearLabel],8)&lt;&gt;INDEX(Cal_Weeks[MonthYearLabel],7),'Grid_Stock'!H57,H57)+'Grid_Incoming'!I57-'Grid_Requirement'!I57</f>
        <v/>
      </c>
      <c r="J57">
        <f>IF(INDEX(Cal_Weeks[MonthYearLabel],9)&lt;&gt;INDEX(Cal_Weeks[MonthYearLabel],8),'Grid_Stock'!I57,I57)+'Grid_Incoming'!J57-'Grid_Requirement'!J57</f>
        <v/>
      </c>
      <c r="K57">
        <f>IF(INDEX(Cal_Weeks[MonthYearLabel],10)&lt;&gt;INDEX(Cal_Weeks[MonthYearLabel],9),'Grid_Stock'!J57,J57)+'Grid_Incoming'!K57-'Grid_Requirement'!K57</f>
        <v/>
      </c>
      <c r="L57">
        <f>IF(INDEX(Cal_Weeks[MonthYearLabel],11)&lt;&gt;INDEX(Cal_Weeks[MonthYearLabel],10),'Grid_Stock'!K57,K57)+'Grid_Incoming'!L57-'Grid_Requirement'!L57</f>
        <v/>
      </c>
      <c r="M57">
        <f>IF(INDEX(Cal_Weeks[MonthYearLabel],12)&lt;&gt;INDEX(Cal_Weeks[MonthYearLabel],11),'Grid_Stock'!L57,L57)+'Grid_Incoming'!M57-'Grid_Requirement'!M57</f>
        <v/>
      </c>
      <c r="N57">
        <f>IF(INDEX(Cal_Weeks[MonthYearLabel],13)&lt;&gt;INDEX(Cal_Weeks[MonthYearLabel],12),'Grid_Stock'!M57,M57)+'Grid_Incoming'!N57-'Grid_Requirement'!N57</f>
        <v/>
      </c>
      <c r="O57">
        <f>IF(INDEX(Cal_Weeks[MonthYearLabel],14)&lt;&gt;INDEX(Cal_Weeks[MonthYearLabel],13),'Grid_Stock'!N57,N57)+'Grid_Incoming'!O57-'Grid_Requirement'!O57</f>
        <v/>
      </c>
      <c r="P57">
        <f>IF(INDEX(Cal_Weeks[MonthYearLabel],15)&lt;&gt;INDEX(Cal_Weeks[MonthYearLabel],14),'Grid_Stock'!O57,O57)+'Grid_Incoming'!P57-'Grid_Requirement'!P57</f>
        <v/>
      </c>
      <c r="Q57">
        <f>IF(INDEX(Cal_Weeks[MonthYearLabel],16)&lt;&gt;INDEX(Cal_Weeks[MonthYearLabel],15),'Grid_Stock'!P57,P57)+'Grid_Incoming'!Q57-'Grid_Requirement'!Q57</f>
        <v/>
      </c>
      <c r="R57">
        <f>IF(INDEX(Cal_Weeks[MonthYearLabel],17)&lt;&gt;INDEX(Cal_Weeks[MonthYearLabel],16),'Grid_Stock'!Q57,Q57)+'Grid_Incoming'!R57-'Grid_Requirement'!R57</f>
        <v/>
      </c>
      <c r="S57">
        <f>IF(INDEX(Cal_Weeks[MonthYearLabel],18)&lt;&gt;INDEX(Cal_Weeks[MonthYearLabel],17),'Grid_Stock'!R57,R57)+'Grid_Incoming'!S57-'Grid_Requirement'!S57</f>
        <v/>
      </c>
      <c r="T57">
        <f>IF(INDEX(Cal_Weeks[MonthYearLabel],19)&lt;&gt;INDEX(Cal_Weeks[MonthYearLabel],18),'Grid_Stock'!S57,S57)+'Grid_Incoming'!T57-'Grid_Requirement'!T57</f>
        <v/>
      </c>
      <c r="U57">
        <f>IF(INDEX(Cal_Weeks[MonthYearLabel],20)&lt;&gt;INDEX(Cal_Weeks[MonthYearLabel],19),'Grid_Stock'!T57,T57)+'Grid_Incoming'!U57-'Grid_Requirement'!U57</f>
        <v/>
      </c>
      <c r="V57">
        <f>IF(INDEX(Cal_Weeks[MonthYearLabel],21)&lt;&gt;INDEX(Cal_Weeks[MonthYearLabel],20),'Grid_Stock'!U57,U57)+'Grid_Incoming'!V57-'Grid_Requirement'!V57</f>
        <v/>
      </c>
      <c r="W57">
        <f>IF(INDEX(Cal_Weeks[MonthYearLabel],22)&lt;&gt;INDEX(Cal_Weeks[MonthYearLabel],21),'Grid_Stock'!V57,V57)+'Grid_Incoming'!W57-'Grid_Requirement'!W57</f>
        <v/>
      </c>
      <c r="X57">
        <f>IF(INDEX(Cal_Weeks[MonthYearLabel],23)&lt;&gt;INDEX(Cal_Weeks[MonthYearLabel],22),'Grid_Stock'!W57,W57)+'Grid_Incoming'!X57-'Grid_Requirement'!X57</f>
        <v/>
      </c>
      <c r="Y57">
        <f>IF(INDEX(Cal_Weeks[MonthYearLabel],24)&lt;&gt;INDEX(Cal_Weeks[MonthYearLabel],23),'Grid_Stock'!X57,X57)+'Grid_Incoming'!Y57-'Grid_Requirement'!Y57</f>
        <v/>
      </c>
      <c r="Z57">
        <f>IF(INDEX(Cal_Weeks[MonthYearLabel],25)&lt;&gt;INDEX(Cal_Weeks[MonthYearLabel],24),'Grid_Stock'!Y57,Y57)+'Grid_Incoming'!Z57-'Grid_Requirement'!Z57</f>
        <v/>
      </c>
      <c r="AA57">
        <f>IF(INDEX(Cal_Weeks[MonthYearLabel],26)&lt;&gt;INDEX(Cal_Weeks[MonthYearLabel],25),'Grid_Stock'!Z57,Z57)+'Grid_Incoming'!AA57-'Grid_Requirement'!AA57</f>
        <v/>
      </c>
      <c r="AB57">
        <f>IF(INDEX(Cal_Weeks[MonthYearLabel],27)&lt;&gt;INDEX(Cal_Weeks[MonthYearLabel],26),'Grid_Stock'!AA57,AA57)+'Grid_Incoming'!AB57-'Grid_Requirement'!AB57</f>
        <v/>
      </c>
      <c r="AC57">
        <f>IF(INDEX(Cal_Weeks[MonthYearLabel],28)&lt;&gt;INDEX(Cal_Weeks[MonthYearLabel],27),'Grid_Stock'!AB57,AB57)+'Grid_Incoming'!AC57-'Grid_Requirement'!AC57</f>
        <v/>
      </c>
      <c r="AD57">
        <f>IF(INDEX(Cal_Weeks[MonthYearLabel],29)&lt;&gt;INDEX(Cal_Weeks[MonthYearLabel],28),'Grid_Stock'!AC57,AC57)+'Grid_Incoming'!AD57-'Grid_Requirement'!AD57</f>
        <v/>
      </c>
      <c r="AE57">
        <f>IF(INDEX(Cal_Weeks[MonthYearLabel],30)&lt;&gt;INDEX(Cal_Weeks[MonthYearLabel],29),'Grid_Stock'!AD57,AD57)+'Grid_Incoming'!AE57-'Grid_Requirement'!AE57</f>
        <v/>
      </c>
      <c r="AF57">
        <f>IF(INDEX(Cal_Weeks[MonthYearLabel],31)&lt;&gt;INDEX(Cal_Weeks[MonthYearLabel],30),'Grid_Stock'!AE57,AE57)+'Grid_Incoming'!AF57-'Grid_Requirement'!AF57</f>
        <v/>
      </c>
      <c r="AG57">
        <f>IF(INDEX(Cal_Weeks[MonthYearLabel],32)&lt;&gt;INDEX(Cal_Weeks[MonthYearLabel],31),'Grid_Stock'!AF57,AF57)+'Grid_Incoming'!AG57-'Grid_Requirement'!AG57</f>
        <v/>
      </c>
      <c r="AH57">
        <f>IF(INDEX(Cal_Weeks[MonthYearLabel],33)&lt;&gt;INDEX(Cal_Weeks[MonthYearLabel],32),'Grid_Stock'!AG57,AG57)+'Grid_Incoming'!AH57-'Grid_Requirement'!AH57</f>
        <v/>
      </c>
      <c r="AI57">
        <f>IF(INDEX(Cal_Weeks[MonthYearLabel],34)&lt;&gt;INDEX(Cal_Weeks[MonthYearLabel],33),'Grid_Stock'!AH57,AH57)+'Grid_Incoming'!AI57-'Grid_Requirement'!AI57</f>
        <v/>
      </c>
      <c r="AJ57">
        <f>IF(INDEX(Cal_Weeks[MonthYearLabel],35)&lt;&gt;INDEX(Cal_Weeks[MonthYearLabel],34),'Grid_Stock'!AI57,AI57)+'Grid_Incoming'!AJ57-'Grid_Requirement'!AJ57</f>
        <v/>
      </c>
      <c r="AK57">
        <f>IF(INDEX(Cal_Weeks[MonthYearLabel],36)&lt;&gt;INDEX(Cal_Weeks[MonthYearLabel],35),'Grid_Stock'!AJ57,AJ57)+'Grid_Incoming'!AK57-'Grid_Requirement'!AK57</f>
        <v/>
      </c>
      <c r="AL57">
        <f>IF(INDEX(Cal_Weeks[MonthYearLabel],37)&lt;&gt;INDEX(Cal_Weeks[MonthYearLabel],36),'Grid_Stock'!AK57,AK57)+'Grid_Incoming'!AL57-'Grid_Requirement'!AL57</f>
        <v/>
      </c>
      <c r="AM57">
        <f>IF(INDEX(Cal_Weeks[MonthYearLabel],38)&lt;&gt;INDEX(Cal_Weeks[MonthYearLabel],37),'Grid_Stock'!AL57,AL57)+'Grid_Incoming'!AM57-'Grid_Requirement'!AM57</f>
        <v/>
      </c>
      <c r="AN57">
        <f>IF(INDEX(Cal_Weeks[MonthYearLabel],39)&lt;&gt;INDEX(Cal_Weeks[MonthYearLabel],38),'Grid_Stock'!AM57,AM57)+'Grid_Incoming'!AN57-'Grid_Requirement'!AN57</f>
        <v/>
      </c>
      <c r="AO57">
        <f>IF(INDEX(Cal_Weeks[MonthYearLabel],40)&lt;&gt;INDEX(Cal_Weeks[MonthYearLabel],39),'Grid_Stock'!AN57,AN57)+'Grid_Incoming'!AO57-'Grid_Requirement'!AO57</f>
        <v/>
      </c>
      <c r="AP57">
        <f>IF(INDEX(Cal_Weeks[MonthYearLabel],41)&lt;&gt;INDEX(Cal_Weeks[MonthYearLabel],40),'Grid_Stock'!AO57,AO57)+'Grid_Incoming'!AP57-'Grid_Requirement'!AP57</f>
        <v/>
      </c>
      <c r="AQ57">
        <f>IF(INDEX(Cal_Weeks[MonthYearLabel],42)&lt;&gt;INDEX(Cal_Weeks[MonthYearLabel],41),'Grid_Stock'!AP57,AP57)+'Grid_Incoming'!AQ57-'Grid_Requirement'!AQ57</f>
        <v/>
      </c>
      <c r="AR57">
        <f>IF(INDEX(Cal_Weeks[MonthYearLabel],43)&lt;&gt;INDEX(Cal_Weeks[MonthYearLabel],42),'Grid_Stock'!AQ57,AQ57)+'Grid_Incoming'!AR57-'Grid_Requirement'!AR57</f>
        <v/>
      </c>
      <c r="AS57">
        <f>IF(INDEX(Cal_Weeks[MonthYearLabel],44)&lt;&gt;INDEX(Cal_Weeks[MonthYearLabel],43),'Grid_Stock'!AR57,AR57)+'Grid_Incoming'!AS57-'Grid_Requirement'!AS57</f>
        <v/>
      </c>
      <c r="AT57">
        <f>IF(INDEX(Cal_Weeks[MonthYearLabel],45)&lt;&gt;INDEX(Cal_Weeks[MonthYearLabel],44),'Grid_Stock'!AS57,AS57)+'Grid_Incoming'!AT57-'Grid_Requirement'!AT57</f>
        <v/>
      </c>
      <c r="AU57">
        <f>IF(INDEX(Cal_Weeks[MonthYearLabel],46)&lt;&gt;INDEX(Cal_Weeks[MonthYearLabel],45),'Grid_Stock'!AT57,AT57)+'Grid_Incoming'!AU57-'Grid_Requirement'!AU57</f>
        <v/>
      </c>
      <c r="AV57">
        <f>IF(INDEX(Cal_Weeks[MonthYearLabel],47)&lt;&gt;INDEX(Cal_Weeks[MonthYearLabel],46),'Grid_Stock'!AU57,AU57)+'Grid_Incoming'!AV57-'Grid_Requirement'!AV57</f>
        <v/>
      </c>
      <c r="AW57">
        <f>IF(INDEX(Cal_Weeks[MonthYearLabel],48)&lt;&gt;INDEX(Cal_Weeks[MonthYearLabel],47),'Grid_Stock'!AV57,AV57)+'Grid_Incoming'!AW57-'Grid_Requirement'!AW57</f>
        <v/>
      </c>
      <c r="AX57">
        <f>IF(INDEX(Cal_Weeks[MonthYearLabel],49)&lt;&gt;INDEX(Cal_Weeks[MonthYearLabel],48),'Grid_Stock'!AW57,AW57)+'Grid_Incoming'!AX57-'Grid_Requirement'!AX57</f>
        <v/>
      </c>
      <c r="AY57">
        <f>IF(INDEX(Cal_Weeks[MonthYearLabel],50)&lt;&gt;INDEX(Cal_Weeks[MonthYearLabel],49),'Grid_Stock'!AX57,AX57)+'Grid_Incoming'!AY57-'Grid_Requirement'!AY57</f>
        <v/>
      </c>
      <c r="AZ57">
        <f>IF(INDEX(Cal_Weeks[MonthYearLabel],51)&lt;&gt;INDEX(Cal_Weeks[MonthYearLabel],50),'Grid_Stock'!AY57,AY57)+'Grid_Incoming'!AZ57-'Grid_Requirement'!AZ57</f>
        <v/>
      </c>
      <c r="BA57">
        <f>IF(INDEX(Cal_Weeks[MonthYearLabel],52)&lt;&gt;INDEX(Cal_Weeks[MonthYearLabel],51),'Grid_Stock'!AZ57,AZ57)+'Grid_Incoming'!BA57-'Grid_Requirement'!BA57</f>
        <v/>
      </c>
      <c r="BB57">
        <f>IF(INDEX(Cal_Weeks[MonthYearLabel],53)&lt;&gt;INDEX(Cal_Weeks[MonthYearLabel],52),'Grid_Stock'!BA57,BA57)+'Grid_Incoming'!BB57-'Grid_Requirement'!BB57</f>
        <v/>
      </c>
      <c r="BC57">
        <f>IF(INDEX(Cal_Weeks[MonthYearLabel],54)&lt;&gt;INDEX(Cal_Weeks[MonthYearLabel],53),'Grid_Stock'!BB57,BB57)+'Grid_Incoming'!BC57-'Grid_Requirement'!BC57</f>
        <v/>
      </c>
      <c r="BD57">
        <f>IF(INDEX(Cal_Weeks[MonthYearLabel],55)&lt;&gt;INDEX(Cal_Weeks[MonthYearLabel],54),'Grid_Stock'!BC57,BC57)+'Grid_Incoming'!BD57-'Grid_Requirement'!BD57</f>
        <v/>
      </c>
      <c r="BE57">
        <f>IF(INDEX(Cal_Weeks[MonthYearLabel],56)&lt;&gt;INDEX(Cal_Weeks[MonthYearLabel],55),'Grid_Stock'!BD57,BD57)+'Grid_Incoming'!BE57-'Grid_Requirement'!BE57</f>
        <v/>
      </c>
      <c r="BF57">
        <f>IF(INDEX(Cal_Weeks[MonthYearLabel],57)&lt;&gt;INDEX(Cal_Weeks[MonthYearLabel],56),'Grid_Stock'!BE57,BE57)+'Grid_Incoming'!BF57-'Grid_Requirement'!BF57</f>
        <v/>
      </c>
      <c r="BG57">
        <f>IF(INDEX(Cal_Weeks[MonthYearLabel],58)&lt;&gt;INDEX(Cal_Weeks[MonthYearLabel],57),'Grid_Stock'!BF57,BF57)+'Grid_Incoming'!BG57-'Grid_Requirement'!BG57</f>
        <v/>
      </c>
      <c r="BH57">
        <f>IF(INDEX(Cal_Weeks[MonthYearLabel],59)&lt;&gt;INDEX(Cal_Weeks[MonthYearLabel],58),'Grid_Stock'!BG57,BG57)+'Grid_Incoming'!BH57-'Grid_Requirement'!BH57</f>
        <v/>
      </c>
      <c r="BI57">
        <f>IF(INDEX(Cal_Weeks[MonthYearLabel],60)&lt;&gt;INDEX(Cal_Weeks[MonthYearLabel],59),'Grid_Stock'!BH57,BH57)+'Grid_Incoming'!BI57-'Grid_Requirement'!BI57</f>
        <v/>
      </c>
      <c r="BJ57">
        <f>IF(INDEX(Cal_Weeks[MonthYearLabel],61)&lt;&gt;INDEX(Cal_Weeks[MonthYearLabel],60),'Grid_Stock'!BI57,BI57)+'Grid_Incoming'!BJ57-'Grid_Requirement'!BJ57</f>
        <v/>
      </c>
      <c r="BK57">
        <f>IF(INDEX(Cal_Weeks[MonthYearLabel],62)&lt;&gt;INDEX(Cal_Weeks[MonthYearLabel],61),'Grid_Stock'!BJ57,BJ57)+'Grid_Incoming'!BK57-'Grid_Requirement'!BK57</f>
        <v/>
      </c>
      <c r="BL57">
        <f>IF(INDEX(Cal_Weeks[MonthYearLabel],63)&lt;&gt;INDEX(Cal_Weeks[MonthYearLabel],62),'Grid_Stock'!BK57,BK57)+'Grid_Incoming'!BL57-'Grid_Requirement'!BL57</f>
        <v/>
      </c>
      <c r="BM57">
        <f>IF(INDEX(Cal_Weeks[MonthYearLabel],64)&lt;&gt;INDEX(Cal_Weeks[MonthYearLabel],63),'Grid_Stock'!BL57,BL57)+'Grid_Incoming'!BM57-'Grid_Requirement'!BM57</f>
        <v/>
      </c>
      <c r="BN57">
        <f>IF(INDEX(Cal_Weeks[MonthYearLabel],65)&lt;&gt;INDEX(Cal_Weeks[MonthYearLabel],64),'Grid_Stock'!BM57,BM57)+'Grid_Incoming'!BN57-'Grid_Requirement'!BN57</f>
        <v/>
      </c>
      <c r="BO57">
        <f>IF(INDEX(Cal_Weeks[MonthYearLabel],66)&lt;&gt;INDEX(Cal_Weeks[MonthYearLabel],65),'Grid_Stock'!BN57,BN57)+'Grid_Incoming'!BO57-'Grid_Requirement'!BO57</f>
        <v/>
      </c>
      <c r="BP57">
        <f>IF(INDEX(Cal_Weeks[MonthYearLabel],67)&lt;&gt;INDEX(Cal_Weeks[MonthYearLabel],66),'Grid_Stock'!BO57,BO57)+'Grid_Incoming'!BP57-'Grid_Requirement'!BP57</f>
        <v/>
      </c>
      <c r="BQ57">
        <f>IF(INDEX(Cal_Weeks[MonthYearLabel],68)&lt;&gt;INDEX(Cal_Weeks[MonthYearLabel],67),'Grid_Stock'!BP57,BP57)+'Grid_Incoming'!BQ57-'Grid_Requirement'!BQ57</f>
        <v/>
      </c>
      <c r="BR57">
        <f>IF(INDEX(Cal_Weeks[MonthYearLabel],69)&lt;&gt;INDEX(Cal_Weeks[MonthYearLabel],68),'Grid_Stock'!BQ57,BQ57)+'Grid_Incoming'!BR57-'Grid_Requirement'!BR57</f>
        <v/>
      </c>
      <c r="BS57">
        <f>IF(INDEX(Cal_Weeks[MonthYearLabel],70)&lt;&gt;INDEX(Cal_Weeks[MonthYearLabel],69),'Grid_Stock'!BR57,BR57)+'Grid_Incoming'!BS57-'Grid_Requirement'!BS57</f>
        <v/>
      </c>
      <c r="BT57">
        <f>IF(INDEX(Cal_Weeks[MonthYearLabel],71)&lt;&gt;INDEX(Cal_Weeks[MonthYearLabel],70),'Grid_Stock'!BS57,BS57)+'Grid_Incoming'!BT57-'Grid_Requirement'!BT57</f>
        <v/>
      </c>
      <c r="BU57">
        <f>IF(INDEX(Cal_Weeks[MonthYearLabel],72)&lt;&gt;INDEX(Cal_Weeks[MonthYearLabel],71),'Grid_Stock'!BT57,BT57)+'Grid_Incoming'!BU57-'Grid_Requirement'!BU57</f>
        <v/>
      </c>
      <c r="BV57">
        <f>IF(INDEX(Cal_Weeks[MonthYearLabel],73)&lt;&gt;INDEX(Cal_Weeks[MonthYearLabel],72),'Grid_Stock'!BU57,BU57)+'Grid_Incoming'!BV57-'Grid_Requirement'!BV57</f>
        <v/>
      </c>
      <c r="BW57">
        <f>IF(INDEX(Cal_Weeks[MonthYearLabel],74)&lt;&gt;INDEX(Cal_Weeks[MonthYearLabel],73),'Grid_Stock'!BV57,BV57)+'Grid_Incoming'!BW57-'Grid_Requirement'!BW57</f>
        <v/>
      </c>
      <c r="BX57">
        <f>IF(INDEX(Cal_Weeks[MonthYearLabel],75)&lt;&gt;INDEX(Cal_Weeks[MonthYearLabel],74),'Grid_Stock'!BW57,BW57)+'Grid_Incoming'!BX57-'Grid_Requirement'!BX57</f>
        <v/>
      </c>
      <c r="BY57">
        <f>IF(INDEX(Cal_Weeks[MonthYearLabel],76)&lt;&gt;INDEX(Cal_Weeks[MonthYearLabel],75),'Grid_Stock'!BX57,BX57)+'Grid_Incoming'!BY57-'Grid_Requirement'!BY57</f>
        <v/>
      </c>
      <c r="BZ57">
        <f>IF(INDEX(Cal_Weeks[MonthYearLabel],77)&lt;&gt;INDEX(Cal_Weeks[MonthYearLabel],76),'Grid_Stock'!BY57,BY57)+'Grid_Incoming'!BZ57-'Grid_Requirement'!BZ57</f>
        <v/>
      </c>
      <c r="CA57">
        <f>IF(INDEX(Cal_Weeks[MonthYearLabel],78)&lt;&gt;INDEX(Cal_Weeks[MonthYearLabel],77),'Grid_Stock'!BZ57,BZ57)+'Grid_Incoming'!CA57-'Grid_Requirement'!CA57</f>
        <v/>
      </c>
      <c r="CB57">
        <f>IF(INDEX(Cal_Weeks[MonthYearLabel],79)&lt;&gt;INDEX(Cal_Weeks[MonthYearLabel],78),'Grid_Stock'!CA57,CA57)+'Grid_Incoming'!CB57-'Grid_Requirement'!CB57</f>
        <v/>
      </c>
      <c r="CC57">
        <f>IF(INDEX(Cal_Weeks[MonthYearLabel],80)&lt;&gt;INDEX(Cal_Weeks[MonthYearLabel],79),'Grid_Stock'!CB57,CB57)+'Grid_Incoming'!CC57-'Grid_Requirement'!CC57</f>
        <v/>
      </c>
      <c r="CD57">
        <f>IF(INDEX(Cal_Weeks[MonthYearLabel],81)&lt;&gt;INDEX(Cal_Weeks[MonthYearLabel],80),'Grid_Stock'!CC57,CC57)+'Grid_Incoming'!CD57-'Grid_Requirement'!CD57</f>
        <v/>
      </c>
      <c r="CE57">
        <f>IF(INDEX(Cal_Weeks[MonthYearLabel],82)&lt;&gt;INDEX(Cal_Weeks[MonthYearLabel],81),'Grid_Stock'!CD57,CD57)+'Grid_Incoming'!CE57-'Grid_Requirement'!CE57</f>
        <v/>
      </c>
      <c r="CF57">
        <f>IF(INDEX(Cal_Weeks[MonthYearLabel],83)&lt;&gt;INDEX(Cal_Weeks[MonthYearLabel],82),'Grid_Stock'!CE57,CE57)+'Grid_Incoming'!CF57-'Grid_Requirement'!CF57</f>
        <v/>
      </c>
      <c r="CG57">
        <f>IF(INDEX(Cal_Weeks[MonthYearLabel],84)&lt;&gt;INDEX(Cal_Weeks[MonthYearLabel],83),'Grid_Stock'!CF57,CF57)+'Grid_Incoming'!CG57-'Grid_Requirement'!CG57</f>
        <v/>
      </c>
      <c r="CH57">
        <f>IF(INDEX(Cal_Weeks[MonthYearLabel],85)&lt;&gt;INDEX(Cal_Weeks[MonthYearLabel],84),'Grid_Stock'!CG57,CG57)+'Grid_Incoming'!CH57-'Grid_Requirement'!CH57</f>
        <v/>
      </c>
      <c r="CI57">
        <f>IF(INDEX(Cal_Weeks[MonthYearLabel],86)&lt;&gt;INDEX(Cal_Weeks[MonthYearLabel],85),'Grid_Stock'!CH57,CH57)+'Grid_Incoming'!CI57-'Grid_Requirement'!CI57</f>
        <v/>
      </c>
      <c r="CJ57">
        <f>IF(INDEX(Cal_Weeks[MonthYearLabel],87)&lt;&gt;INDEX(Cal_Weeks[MonthYearLabel],86),'Grid_Stock'!CI57,CI57)+'Grid_Incoming'!CJ57-'Grid_Requirement'!CJ57</f>
        <v/>
      </c>
      <c r="CK57">
        <f>IF(INDEX(Cal_Weeks[MonthYearLabel],88)&lt;&gt;INDEX(Cal_Weeks[MonthYearLabel],87),'Grid_Stock'!CJ57,CJ57)+'Grid_Incoming'!CK57-'Grid_Requirement'!CK57</f>
        <v/>
      </c>
      <c r="CL57">
        <f>IF(INDEX(Cal_Weeks[MonthYearLabel],89)&lt;&gt;INDEX(Cal_Weeks[MonthYearLabel],88),'Grid_Stock'!CK57,CK57)+'Grid_Incoming'!CL57-'Grid_Requirement'!CL57</f>
        <v/>
      </c>
      <c r="CM57">
        <f>IF(INDEX(Cal_Weeks[MonthYearLabel],90)&lt;&gt;INDEX(Cal_Weeks[MonthYearLabel],89),'Grid_Stock'!CL57,CL57)+'Grid_Incoming'!CM57-'Grid_Requirement'!CM57</f>
        <v/>
      </c>
      <c r="CN57">
        <f>IF(INDEX(Cal_Weeks[MonthYearLabel],91)&lt;&gt;INDEX(Cal_Weeks[MonthYearLabel],90),'Grid_Stock'!CM57,CM57)+'Grid_Incoming'!CN57-'Grid_Requirement'!CN57</f>
        <v/>
      </c>
      <c r="CO57">
        <f>IF(INDEX(Cal_Weeks[MonthYearLabel],92)&lt;&gt;INDEX(Cal_Weeks[MonthYearLabel],91),'Grid_Stock'!CN57,CN57)+'Grid_Incoming'!CO57-'Grid_Requirement'!CO57</f>
        <v/>
      </c>
      <c r="CP57">
        <f>IF(INDEX(Cal_Weeks[MonthYearLabel],93)&lt;&gt;INDEX(Cal_Weeks[MonthYearLabel],92),'Grid_Stock'!CO57,CO57)+'Grid_Incoming'!CP57-'Grid_Requirement'!CP57</f>
        <v/>
      </c>
      <c r="CQ57">
        <f>IF(INDEX(Cal_Weeks[MonthYearLabel],94)&lt;&gt;INDEX(Cal_Weeks[MonthYearLabel],93),'Grid_Stock'!CP57,CP57)+'Grid_Incoming'!CQ57-'Grid_Requirement'!CQ57</f>
        <v/>
      </c>
      <c r="CR57">
        <f>IF(INDEX(Cal_Weeks[MonthYearLabel],95)&lt;&gt;INDEX(Cal_Weeks[MonthYearLabel],94),'Grid_Stock'!CQ57,CQ57)+'Grid_Incoming'!CR57-'Grid_Requirement'!CR57</f>
        <v/>
      </c>
      <c r="CS57">
        <f>IF(INDEX(Cal_Weeks[MonthYearLabel],96)&lt;&gt;INDEX(Cal_Weeks[MonthYearLabel],95),'Grid_Stock'!CR57,CR57)+'Grid_Incoming'!CS57-'Grid_Requirement'!CS57</f>
        <v/>
      </c>
      <c r="CT57">
        <f>IF(INDEX(Cal_Weeks[MonthYearLabel],97)&lt;&gt;INDEX(Cal_Weeks[MonthYearLabel],96),'Grid_Stock'!CS57,CS57)+'Grid_Incoming'!CT57-'Grid_Requirement'!CT57</f>
        <v/>
      </c>
      <c r="CU57">
        <f>IF(INDEX(Cal_Weeks[MonthYearLabel],98)&lt;&gt;INDEX(Cal_Weeks[MonthYearLabel],97),'Grid_Stock'!CT57,CT57)+'Grid_Incoming'!CU57-'Grid_Requirement'!CU57</f>
        <v/>
      </c>
      <c r="CV57">
        <f>IF(INDEX(Cal_Weeks[MonthYearLabel],99)&lt;&gt;INDEX(Cal_Weeks[MonthYearLabel],98),'Grid_Stock'!CU57,CU57)+'Grid_Incoming'!CV57-'Grid_Requirement'!CV57</f>
        <v/>
      </c>
      <c r="CW57">
        <f>IF(INDEX(Cal_Weeks[MonthYearLabel],100)&lt;&gt;INDEX(Cal_Weeks[MonthYearLabel],99),'Grid_Stock'!CV57,CV57)+'Grid_Incoming'!CW57-'Grid_Requirement'!CW57</f>
        <v/>
      </c>
      <c r="CX57">
        <f>IF(INDEX(Cal_Weeks[MonthYearLabel],101)&lt;&gt;INDEX(Cal_Weeks[MonthYearLabel],100),'Grid_Stock'!CW57,CW57)+'Grid_Incoming'!CX57-'Grid_Requirement'!CX57</f>
        <v/>
      </c>
      <c r="CY57">
        <f>IF(INDEX(Cal_Weeks[MonthYearLabel],102)&lt;&gt;INDEX(Cal_Weeks[MonthYearLabel],101),'Grid_Stock'!CX57,CX57)+'Grid_Incoming'!CY57-'Grid_Requirement'!CY57</f>
        <v/>
      </c>
      <c r="CZ57">
        <f>IF(INDEX(Cal_Weeks[MonthYearLabel],103)&lt;&gt;INDEX(Cal_Weeks[MonthYearLabel],102),'Grid_Stock'!CY57,CY57)+'Grid_Incoming'!CZ57-'Grid_Requirement'!CZ57</f>
        <v/>
      </c>
      <c r="DA57">
        <f>IF(INDEX(Cal_Weeks[MonthYearLabel],104)&lt;&gt;INDEX(Cal_Weeks[MonthYearLabel],103),'Grid_Stock'!CZ57,CZ57)+'Grid_Incoming'!DA57-'Grid_Requirement'!DA57</f>
        <v/>
      </c>
    </row>
    <row r="58">
      <c r="A58" t="inlineStr">
        <is>
          <t>CHEM-1870</t>
        </is>
      </c>
      <c r="B58">
        <f>IFERROR(INDEX(T_OpeningStock[Opening_Qty_要入力],MATCH($A58,T_OpeningStock[Part Name],0)),0)+'Grid_Incoming'!B58-'Grid_Requirement'!B58</f>
        <v/>
      </c>
      <c r="C58">
        <f>IF(INDEX(Cal_Weeks[MonthYearLabel],2)&lt;&gt;INDEX(Cal_Weeks[MonthYearLabel],1),'Grid_Stock'!B58,B58)+'Grid_Incoming'!C58-'Grid_Requirement'!C58</f>
        <v/>
      </c>
      <c r="D58">
        <f>IF(INDEX(Cal_Weeks[MonthYearLabel],3)&lt;&gt;INDEX(Cal_Weeks[MonthYearLabel],2),'Grid_Stock'!C58,C58)+'Grid_Incoming'!D58-'Grid_Requirement'!D58</f>
        <v/>
      </c>
      <c r="E58">
        <f>IF(INDEX(Cal_Weeks[MonthYearLabel],4)&lt;&gt;INDEX(Cal_Weeks[MonthYearLabel],3),'Grid_Stock'!D58,D58)+'Grid_Incoming'!E58-'Grid_Requirement'!E58</f>
        <v/>
      </c>
      <c r="F58">
        <f>IF(INDEX(Cal_Weeks[MonthYearLabel],5)&lt;&gt;INDEX(Cal_Weeks[MonthYearLabel],4),'Grid_Stock'!E58,E58)+'Grid_Incoming'!F58-'Grid_Requirement'!F58</f>
        <v/>
      </c>
      <c r="G58">
        <f>IF(INDEX(Cal_Weeks[MonthYearLabel],6)&lt;&gt;INDEX(Cal_Weeks[MonthYearLabel],5),'Grid_Stock'!F58,F58)+'Grid_Incoming'!G58-'Grid_Requirement'!G58</f>
        <v/>
      </c>
      <c r="H58">
        <f>IF(INDEX(Cal_Weeks[MonthYearLabel],7)&lt;&gt;INDEX(Cal_Weeks[MonthYearLabel],6),'Grid_Stock'!G58,G58)+'Grid_Incoming'!H58-'Grid_Requirement'!H58</f>
        <v/>
      </c>
      <c r="I58">
        <f>IF(INDEX(Cal_Weeks[MonthYearLabel],8)&lt;&gt;INDEX(Cal_Weeks[MonthYearLabel],7),'Grid_Stock'!H58,H58)+'Grid_Incoming'!I58-'Grid_Requirement'!I58</f>
        <v/>
      </c>
      <c r="J58">
        <f>IF(INDEX(Cal_Weeks[MonthYearLabel],9)&lt;&gt;INDEX(Cal_Weeks[MonthYearLabel],8),'Grid_Stock'!I58,I58)+'Grid_Incoming'!J58-'Grid_Requirement'!J58</f>
        <v/>
      </c>
      <c r="K58">
        <f>IF(INDEX(Cal_Weeks[MonthYearLabel],10)&lt;&gt;INDEX(Cal_Weeks[MonthYearLabel],9),'Grid_Stock'!J58,J58)+'Grid_Incoming'!K58-'Grid_Requirement'!K58</f>
        <v/>
      </c>
      <c r="L58">
        <f>IF(INDEX(Cal_Weeks[MonthYearLabel],11)&lt;&gt;INDEX(Cal_Weeks[MonthYearLabel],10),'Grid_Stock'!K58,K58)+'Grid_Incoming'!L58-'Grid_Requirement'!L58</f>
        <v/>
      </c>
      <c r="M58">
        <f>IF(INDEX(Cal_Weeks[MonthYearLabel],12)&lt;&gt;INDEX(Cal_Weeks[MonthYearLabel],11),'Grid_Stock'!L58,L58)+'Grid_Incoming'!M58-'Grid_Requirement'!M58</f>
        <v/>
      </c>
      <c r="N58">
        <f>IF(INDEX(Cal_Weeks[MonthYearLabel],13)&lt;&gt;INDEX(Cal_Weeks[MonthYearLabel],12),'Grid_Stock'!M58,M58)+'Grid_Incoming'!N58-'Grid_Requirement'!N58</f>
        <v/>
      </c>
      <c r="O58">
        <f>IF(INDEX(Cal_Weeks[MonthYearLabel],14)&lt;&gt;INDEX(Cal_Weeks[MonthYearLabel],13),'Grid_Stock'!N58,N58)+'Grid_Incoming'!O58-'Grid_Requirement'!O58</f>
        <v/>
      </c>
      <c r="P58">
        <f>IF(INDEX(Cal_Weeks[MonthYearLabel],15)&lt;&gt;INDEX(Cal_Weeks[MonthYearLabel],14),'Grid_Stock'!O58,O58)+'Grid_Incoming'!P58-'Grid_Requirement'!P58</f>
        <v/>
      </c>
      <c r="Q58">
        <f>IF(INDEX(Cal_Weeks[MonthYearLabel],16)&lt;&gt;INDEX(Cal_Weeks[MonthYearLabel],15),'Grid_Stock'!P58,P58)+'Grid_Incoming'!Q58-'Grid_Requirement'!Q58</f>
        <v/>
      </c>
      <c r="R58">
        <f>IF(INDEX(Cal_Weeks[MonthYearLabel],17)&lt;&gt;INDEX(Cal_Weeks[MonthYearLabel],16),'Grid_Stock'!Q58,Q58)+'Grid_Incoming'!R58-'Grid_Requirement'!R58</f>
        <v/>
      </c>
      <c r="S58">
        <f>IF(INDEX(Cal_Weeks[MonthYearLabel],18)&lt;&gt;INDEX(Cal_Weeks[MonthYearLabel],17),'Grid_Stock'!R58,R58)+'Grid_Incoming'!S58-'Grid_Requirement'!S58</f>
        <v/>
      </c>
      <c r="T58">
        <f>IF(INDEX(Cal_Weeks[MonthYearLabel],19)&lt;&gt;INDEX(Cal_Weeks[MonthYearLabel],18),'Grid_Stock'!S58,S58)+'Grid_Incoming'!T58-'Grid_Requirement'!T58</f>
        <v/>
      </c>
      <c r="U58">
        <f>IF(INDEX(Cal_Weeks[MonthYearLabel],20)&lt;&gt;INDEX(Cal_Weeks[MonthYearLabel],19),'Grid_Stock'!T58,T58)+'Grid_Incoming'!U58-'Grid_Requirement'!U58</f>
        <v/>
      </c>
      <c r="V58">
        <f>IF(INDEX(Cal_Weeks[MonthYearLabel],21)&lt;&gt;INDEX(Cal_Weeks[MonthYearLabel],20),'Grid_Stock'!U58,U58)+'Grid_Incoming'!V58-'Grid_Requirement'!V58</f>
        <v/>
      </c>
      <c r="W58">
        <f>IF(INDEX(Cal_Weeks[MonthYearLabel],22)&lt;&gt;INDEX(Cal_Weeks[MonthYearLabel],21),'Grid_Stock'!V58,V58)+'Grid_Incoming'!W58-'Grid_Requirement'!W58</f>
        <v/>
      </c>
      <c r="X58">
        <f>IF(INDEX(Cal_Weeks[MonthYearLabel],23)&lt;&gt;INDEX(Cal_Weeks[MonthYearLabel],22),'Grid_Stock'!W58,W58)+'Grid_Incoming'!X58-'Grid_Requirement'!X58</f>
        <v/>
      </c>
      <c r="Y58">
        <f>IF(INDEX(Cal_Weeks[MonthYearLabel],24)&lt;&gt;INDEX(Cal_Weeks[MonthYearLabel],23),'Grid_Stock'!X58,X58)+'Grid_Incoming'!Y58-'Grid_Requirement'!Y58</f>
        <v/>
      </c>
      <c r="Z58">
        <f>IF(INDEX(Cal_Weeks[MonthYearLabel],25)&lt;&gt;INDEX(Cal_Weeks[MonthYearLabel],24),'Grid_Stock'!Y58,Y58)+'Grid_Incoming'!Z58-'Grid_Requirement'!Z58</f>
        <v/>
      </c>
      <c r="AA58">
        <f>IF(INDEX(Cal_Weeks[MonthYearLabel],26)&lt;&gt;INDEX(Cal_Weeks[MonthYearLabel],25),'Grid_Stock'!Z58,Z58)+'Grid_Incoming'!AA58-'Grid_Requirement'!AA58</f>
        <v/>
      </c>
      <c r="AB58">
        <f>IF(INDEX(Cal_Weeks[MonthYearLabel],27)&lt;&gt;INDEX(Cal_Weeks[MonthYearLabel],26),'Grid_Stock'!AA58,AA58)+'Grid_Incoming'!AB58-'Grid_Requirement'!AB58</f>
        <v/>
      </c>
      <c r="AC58">
        <f>IF(INDEX(Cal_Weeks[MonthYearLabel],28)&lt;&gt;INDEX(Cal_Weeks[MonthYearLabel],27),'Grid_Stock'!AB58,AB58)+'Grid_Incoming'!AC58-'Grid_Requirement'!AC58</f>
        <v/>
      </c>
      <c r="AD58">
        <f>IF(INDEX(Cal_Weeks[MonthYearLabel],29)&lt;&gt;INDEX(Cal_Weeks[MonthYearLabel],28),'Grid_Stock'!AC58,AC58)+'Grid_Incoming'!AD58-'Grid_Requirement'!AD58</f>
        <v/>
      </c>
      <c r="AE58">
        <f>IF(INDEX(Cal_Weeks[MonthYearLabel],30)&lt;&gt;INDEX(Cal_Weeks[MonthYearLabel],29),'Grid_Stock'!AD58,AD58)+'Grid_Incoming'!AE58-'Grid_Requirement'!AE58</f>
        <v/>
      </c>
      <c r="AF58">
        <f>IF(INDEX(Cal_Weeks[MonthYearLabel],31)&lt;&gt;INDEX(Cal_Weeks[MonthYearLabel],30),'Grid_Stock'!AE58,AE58)+'Grid_Incoming'!AF58-'Grid_Requirement'!AF58</f>
        <v/>
      </c>
      <c r="AG58">
        <f>IF(INDEX(Cal_Weeks[MonthYearLabel],32)&lt;&gt;INDEX(Cal_Weeks[MonthYearLabel],31),'Grid_Stock'!AF58,AF58)+'Grid_Incoming'!AG58-'Grid_Requirement'!AG58</f>
        <v/>
      </c>
      <c r="AH58">
        <f>IF(INDEX(Cal_Weeks[MonthYearLabel],33)&lt;&gt;INDEX(Cal_Weeks[MonthYearLabel],32),'Grid_Stock'!AG58,AG58)+'Grid_Incoming'!AH58-'Grid_Requirement'!AH58</f>
        <v/>
      </c>
      <c r="AI58">
        <f>IF(INDEX(Cal_Weeks[MonthYearLabel],34)&lt;&gt;INDEX(Cal_Weeks[MonthYearLabel],33),'Grid_Stock'!AH58,AH58)+'Grid_Incoming'!AI58-'Grid_Requirement'!AI58</f>
        <v/>
      </c>
      <c r="AJ58">
        <f>IF(INDEX(Cal_Weeks[MonthYearLabel],35)&lt;&gt;INDEX(Cal_Weeks[MonthYearLabel],34),'Grid_Stock'!AI58,AI58)+'Grid_Incoming'!AJ58-'Grid_Requirement'!AJ58</f>
        <v/>
      </c>
      <c r="AK58">
        <f>IF(INDEX(Cal_Weeks[MonthYearLabel],36)&lt;&gt;INDEX(Cal_Weeks[MonthYearLabel],35),'Grid_Stock'!AJ58,AJ58)+'Grid_Incoming'!AK58-'Grid_Requirement'!AK58</f>
        <v/>
      </c>
      <c r="AL58">
        <f>IF(INDEX(Cal_Weeks[MonthYearLabel],37)&lt;&gt;INDEX(Cal_Weeks[MonthYearLabel],36),'Grid_Stock'!AK58,AK58)+'Grid_Incoming'!AL58-'Grid_Requirement'!AL58</f>
        <v/>
      </c>
      <c r="AM58">
        <f>IF(INDEX(Cal_Weeks[MonthYearLabel],38)&lt;&gt;INDEX(Cal_Weeks[MonthYearLabel],37),'Grid_Stock'!AL58,AL58)+'Grid_Incoming'!AM58-'Grid_Requirement'!AM58</f>
        <v/>
      </c>
      <c r="AN58">
        <f>IF(INDEX(Cal_Weeks[MonthYearLabel],39)&lt;&gt;INDEX(Cal_Weeks[MonthYearLabel],38),'Grid_Stock'!AM58,AM58)+'Grid_Incoming'!AN58-'Grid_Requirement'!AN58</f>
        <v/>
      </c>
      <c r="AO58">
        <f>IF(INDEX(Cal_Weeks[MonthYearLabel],40)&lt;&gt;INDEX(Cal_Weeks[MonthYearLabel],39),'Grid_Stock'!AN58,AN58)+'Grid_Incoming'!AO58-'Grid_Requirement'!AO58</f>
        <v/>
      </c>
      <c r="AP58">
        <f>IF(INDEX(Cal_Weeks[MonthYearLabel],41)&lt;&gt;INDEX(Cal_Weeks[MonthYearLabel],40),'Grid_Stock'!AO58,AO58)+'Grid_Incoming'!AP58-'Grid_Requirement'!AP58</f>
        <v/>
      </c>
      <c r="AQ58">
        <f>IF(INDEX(Cal_Weeks[MonthYearLabel],42)&lt;&gt;INDEX(Cal_Weeks[MonthYearLabel],41),'Grid_Stock'!AP58,AP58)+'Grid_Incoming'!AQ58-'Grid_Requirement'!AQ58</f>
        <v/>
      </c>
      <c r="AR58">
        <f>IF(INDEX(Cal_Weeks[MonthYearLabel],43)&lt;&gt;INDEX(Cal_Weeks[MonthYearLabel],42),'Grid_Stock'!AQ58,AQ58)+'Grid_Incoming'!AR58-'Grid_Requirement'!AR58</f>
        <v/>
      </c>
      <c r="AS58">
        <f>IF(INDEX(Cal_Weeks[MonthYearLabel],44)&lt;&gt;INDEX(Cal_Weeks[MonthYearLabel],43),'Grid_Stock'!AR58,AR58)+'Grid_Incoming'!AS58-'Grid_Requirement'!AS58</f>
        <v/>
      </c>
      <c r="AT58">
        <f>IF(INDEX(Cal_Weeks[MonthYearLabel],45)&lt;&gt;INDEX(Cal_Weeks[MonthYearLabel],44),'Grid_Stock'!AS58,AS58)+'Grid_Incoming'!AT58-'Grid_Requirement'!AT58</f>
        <v/>
      </c>
      <c r="AU58">
        <f>IF(INDEX(Cal_Weeks[MonthYearLabel],46)&lt;&gt;INDEX(Cal_Weeks[MonthYearLabel],45),'Grid_Stock'!AT58,AT58)+'Grid_Incoming'!AU58-'Grid_Requirement'!AU58</f>
        <v/>
      </c>
      <c r="AV58">
        <f>IF(INDEX(Cal_Weeks[MonthYearLabel],47)&lt;&gt;INDEX(Cal_Weeks[MonthYearLabel],46),'Grid_Stock'!AU58,AU58)+'Grid_Incoming'!AV58-'Grid_Requirement'!AV58</f>
        <v/>
      </c>
      <c r="AW58">
        <f>IF(INDEX(Cal_Weeks[MonthYearLabel],48)&lt;&gt;INDEX(Cal_Weeks[MonthYearLabel],47),'Grid_Stock'!AV58,AV58)+'Grid_Incoming'!AW58-'Grid_Requirement'!AW58</f>
        <v/>
      </c>
      <c r="AX58">
        <f>IF(INDEX(Cal_Weeks[MonthYearLabel],49)&lt;&gt;INDEX(Cal_Weeks[MonthYearLabel],48),'Grid_Stock'!AW58,AW58)+'Grid_Incoming'!AX58-'Grid_Requirement'!AX58</f>
        <v/>
      </c>
      <c r="AY58">
        <f>IF(INDEX(Cal_Weeks[MonthYearLabel],50)&lt;&gt;INDEX(Cal_Weeks[MonthYearLabel],49),'Grid_Stock'!AX58,AX58)+'Grid_Incoming'!AY58-'Grid_Requirement'!AY58</f>
        <v/>
      </c>
      <c r="AZ58">
        <f>IF(INDEX(Cal_Weeks[MonthYearLabel],51)&lt;&gt;INDEX(Cal_Weeks[MonthYearLabel],50),'Grid_Stock'!AY58,AY58)+'Grid_Incoming'!AZ58-'Grid_Requirement'!AZ58</f>
        <v/>
      </c>
      <c r="BA58">
        <f>IF(INDEX(Cal_Weeks[MonthYearLabel],52)&lt;&gt;INDEX(Cal_Weeks[MonthYearLabel],51),'Grid_Stock'!AZ58,AZ58)+'Grid_Incoming'!BA58-'Grid_Requirement'!BA58</f>
        <v/>
      </c>
      <c r="BB58">
        <f>IF(INDEX(Cal_Weeks[MonthYearLabel],53)&lt;&gt;INDEX(Cal_Weeks[MonthYearLabel],52),'Grid_Stock'!BA58,BA58)+'Grid_Incoming'!BB58-'Grid_Requirement'!BB58</f>
        <v/>
      </c>
      <c r="BC58">
        <f>IF(INDEX(Cal_Weeks[MonthYearLabel],54)&lt;&gt;INDEX(Cal_Weeks[MonthYearLabel],53),'Grid_Stock'!BB58,BB58)+'Grid_Incoming'!BC58-'Grid_Requirement'!BC58</f>
        <v/>
      </c>
      <c r="BD58">
        <f>IF(INDEX(Cal_Weeks[MonthYearLabel],55)&lt;&gt;INDEX(Cal_Weeks[MonthYearLabel],54),'Grid_Stock'!BC58,BC58)+'Grid_Incoming'!BD58-'Grid_Requirement'!BD58</f>
        <v/>
      </c>
      <c r="BE58">
        <f>IF(INDEX(Cal_Weeks[MonthYearLabel],56)&lt;&gt;INDEX(Cal_Weeks[MonthYearLabel],55),'Grid_Stock'!BD58,BD58)+'Grid_Incoming'!BE58-'Grid_Requirement'!BE58</f>
        <v/>
      </c>
      <c r="BF58">
        <f>IF(INDEX(Cal_Weeks[MonthYearLabel],57)&lt;&gt;INDEX(Cal_Weeks[MonthYearLabel],56),'Grid_Stock'!BE58,BE58)+'Grid_Incoming'!BF58-'Grid_Requirement'!BF58</f>
        <v/>
      </c>
      <c r="BG58">
        <f>IF(INDEX(Cal_Weeks[MonthYearLabel],58)&lt;&gt;INDEX(Cal_Weeks[MonthYearLabel],57),'Grid_Stock'!BF58,BF58)+'Grid_Incoming'!BG58-'Grid_Requirement'!BG58</f>
        <v/>
      </c>
      <c r="BH58">
        <f>IF(INDEX(Cal_Weeks[MonthYearLabel],59)&lt;&gt;INDEX(Cal_Weeks[MonthYearLabel],58),'Grid_Stock'!BG58,BG58)+'Grid_Incoming'!BH58-'Grid_Requirement'!BH58</f>
        <v/>
      </c>
      <c r="BI58">
        <f>IF(INDEX(Cal_Weeks[MonthYearLabel],60)&lt;&gt;INDEX(Cal_Weeks[MonthYearLabel],59),'Grid_Stock'!BH58,BH58)+'Grid_Incoming'!BI58-'Grid_Requirement'!BI58</f>
        <v/>
      </c>
      <c r="BJ58">
        <f>IF(INDEX(Cal_Weeks[MonthYearLabel],61)&lt;&gt;INDEX(Cal_Weeks[MonthYearLabel],60),'Grid_Stock'!BI58,BI58)+'Grid_Incoming'!BJ58-'Grid_Requirement'!BJ58</f>
        <v/>
      </c>
      <c r="BK58">
        <f>IF(INDEX(Cal_Weeks[MonthYearLabel],62)&lt;&gt;INDEX(Cal_Weeks[MonthYearLabel],61),'Grid_Stock'!BJ58,BJ58)+'Grid_Incoming'!BK58-'Grid_Requirement'!BK58</f>
        <v/>
      </c>
      <c r="BL58">
        <f>IF(INDEX(Cal_Weeks[MonthYearLabel],63)&lt;&gt;INDEX(Cal_Weeks[MonthYearLabel],62),'Grid_Stock'!BK58,BK58)+'Grid_Incoming'!BL58-'Grid_Requirement'!BL58</f>
        <v/>
      </c>
      <c r="BM58">
        <f>IF(INDEX(Cal_Weeks[MonthYearLabel],64)&lt;&gt;INDEX(Cal_Weeks[MonthYearLabel],63),'Grid_Stock'!BL58,BL58)+'Grid_Incoming'!BM58-'Grid_Requirement'!BM58</f>
        <v/>
      </c>
      <c r="BN58">
        <f>IF(INDEX(Cal_Weeks[MonthYearLabel],65)&lt;&gt;INDEX(Cal_Weeks[MonthYearLabel],64),'Grid_Stock'!BM58,BM58)+'Grid_Incoming'!BN58-'Grid_Requirement'!BN58</f>
        <v/>
      </c>
      <c r="BO58">
        <f>IF(INDEX(Cal_Weeks[MonthYearLabel],66)&lt;&gt;INDEX(Cal_Weeks[MonthYearLabel],65),'Grid_Stock'!BN58,BN58)+'Grid_Incoming'!BO58-'Grid_Requirement'!BO58</f>
        <v/>
      </c>
      <c r="BP58">
        <f>IF(INDEX(Cal_Weeks[MonthYearLabel],67)&lt;&gt;INDEX(Cal_Weeks[MonthYearLabel],66),'Grid_Stock'!BO58,BO58)+'Grid_Incoming'!BP58-'Grid_Requirement'!BP58</f>
        <v/>
      </c>
      <c r="BQ58">
        <f>IF(INDEX(Cal_Weeks[MonthYearLabel],68)&lt;&gt;INDEX(Cal_Weeks[MonthYearLabel],67),'Grid_Stock'!BP58,BP58)+'Grid_Incoming'!BQ58-'Grid_Requirement'!BQ58</f>
        <v/>
      </c>
      <c r="BR58">
        <f>IF(INDEX(Cal_Weeks[MonthYearLabel],69)&lt;&gt;INDEX(Cal_Weeks[MonthYearLabel],68),'Grid_Stock'!BQ58,BQ58)+'Grid_Incoming'!BR58-'Grid_Requirement'!BR58</f>
        <v/>
      </c>
      <c r="BS58">
        <f>IF(INDEX(Cal_Weeks[MonthYearLabel],70)&lt;&gt;INDEX(Cal_Weeks[MonthYearLabel],69),'Grid_Stock'!BR58,BR58)+'Grid_Incoming'!BS58-'Grid_Requirement'!BS58</f>
        <v/>
      </c>
      <c r="BT58">
        <f>IF(INDEX(Cal_Weeks[MonthYearLabel],71)&lt;&gt;INDEX(Cal_Weeks[MonthYearLabel],70),'Grid_Stock'!BS58,BS58)+'Grid_Incoming'!BT58-'Grid_Requirement'!BT58</f>
        <v/>
      </c>
      <c r="BU58">
        <f>IF(INDEX(Cal_Weeks[MonthYearLabel],72)&lt;&gt;INDEX(Cal_Weeks[MonthYearLabel],71),'Grid_Stock'!BT58,BT58)+'Grid_Incoming'!BU58-'Grid_Requirement'!BU58</f>
        <v/>
      </c>
      <c r="BV58">
        <f>IF(INDEX(Cal_Weeks[MonthYearLabel],73)&lt;&gt;INDEX(Cal_Weeks[MonthYearLabel],72),'Grid_Stock'!BU58,BU58)+'Grid_Incoming'!BV58-'Grid_Requirement'!BV58</f>
        <v/>
      </c>
      <c r="BW58">
        <f>IF(INDEX(Cal_Weeks[MonthYearLabel],74)&lt;&gt;INDEX(Cal_Weeks[MonthYearLabel],73),'Grid_Stock'!BV58,BV58)+'Grid_Incoming'!BW58-'Grid_Requirement'!BW58</f>
        <v/>
      </c>
      <c r="BX58">
        <f>IF(INDEX(Cal_Weeks[MonthYearLabel],75)&lt;&gt;INDEX(Cal_Weeks[MonthYearLabel],74),'Grid_Stock'!BW58,BW58)+'Grid_Incoming'!BX58-'Grid_Requirement'!BX58</f>
        <v/>
      </c>
      <c r="BY58">
        <f>IF(INDEX(Cal_Weeks[MonthYearLabel],76)&lt;&gt;INDEX(Cal_Weeks[MonthYearLabel],75),'Grid_Stock'!BX58,BX58)+'Grid_Incoming'!BY58-'Grid_Requirement'!BY58</f>
        <v/>
      </c>
      <c r="BZ58">
        <f>IF(INDEX(Cal_Weeks[MonthYearLabel],77)&lt;&gt;INDEX(Cal_Weeks[MonthYearLabel],76),'Grid_Stock'!BY58,BY58)+'Grid_Incoming'!BZ58-'Grid_Requirement'!BZ58</f>
        <v/>
      </c>
      <c r="CA58">
        <f>IF(INDEX(Cal_Weeks[MonthYearLabel],78)&lt;&gt;INDEX(Cal_Weeks[MonthYearLabel],77),'Grid_Stock'!BZ58,BZ58)+'Grid_Incoming'!CA58-'Grid_Requirement'!CA58</f>
        <v/>
      </c>
      <c r="CB58">
        <f>IF(INDEX(Cal_Weeks[MonthYearLabel],79)&lt;&gt;INDEX(Cal_Weeks[MonthYearLabel],78),'Grid_Stock'!CA58,CA58)+'Grid_Incoming'!CB58-'Grid_Requirement'!CB58</f>
        <v/>
      </c>
      <c r="CC58">
        <f>IF(INDEX(Cal_Weeks[MonthYearLabel],80)&lt;&gt;INDEX(Cal_Weeks[MonthYearLabel],79),'Grid_Stock'!CB58,CB58)+'Grid_Incoming'!CC58-'Grid_Requirement'!CC58</f>
        <v/>
      </c>
      <c r="CD58">
        <f>IF(INDEX(Cal_Weeks[MonthYearLabel],81)&lt;&gt;INDEX(Cal_Weeks[MonthYearLabel],80),'Grid_Stock'!CC58,CC58)+'Grid_Incoming'!CD58-'Grid_Requirement'!CD58</f>
        <v/>
      </c>
      <c r="CE58">
        <f>IF(INDEX(Cal_Weeks[MonthYearLabel],82)&lt;&gt;INDEX(Cal_Weeks[MonthYearLabel],81),'Grid_Stock'!CD58,CD58)+'Grid_Incoming'!CE58-'Grid_Requirement'!CE58</f>
        <v/>
      </c>
      <c r="CF58">
        <f>IF(INDEX(Cal_Weeks[MonthYearLabel],83)&lt;&gt;INDEX(Cal_Weeks[MonthYearLabel],82),'Grid_Stock'!CE58,CE58)+'Grid_Incoming'!CF58-'Grid_Requirement'!CF58</f>
        <v/>
      </c>
      <c r="CG58">
        <f>IF(INDEX(Cal_Weeks[MonthYearLabel],84)&lt;&gt;INDEX(Cal_Weeks[MonthYearLabel],83),'Grid_Stock'!CF58,CF58)+'Grid_Incoming'!CG58-'Grid_Requirement'!CG58</f>
        <v/>
      </c>
      <c r="CH58">
        <f>IF(INDEX(Cal_Weeks[MonthYearLabel],85)&lt;&gt;INDEX(Cal_Weeks[MonthYearLabel],84),'Grid_Stock'!CG58,CG58)+'Grid_Incoming'!CH58-'Grid_Requirement'!CH58</f>
        <v/>
      </c>
      <c r="CI58">
        <f>IF(INDEX(Cal_Weeks[MonthYearLabel],86)&lt;&gt;INDEX(Cal_Weeks[MonthYearLabel],85),'Grid_Stock'!CH58,CH58)+'Grid_Incoming'!CI58-'Grid_Requirement'!CI58</f>
        <v/>
      </c>
      <c r="CJ58">
        <f>IF(INDEX(Cal_Weeks[MonthYearLabel],87)&lt;&gt;INDEX(Cal_Weeks[MonthYearLabel],86),'Grid_Stock'!CI58,CI58)+'Grid_Incoming'!CJ58-'Grid_Requirement'!CJ58</f>
        <v/>
      </c>
      <c r="CK58">
        <f>IF(INDEX(Cal_Weeks[MonthYearLabel],88)&lt;&gt;INDEX(Cal_Weeks[MonthYearLabel],87),'Grid_Stock'!CJ58,CJ58)+'Grid_Incoming'!CK58-'Grid_Requirement'!CK58</f>
        <v/>
      </c>
      <c r="CL58">
        <f>IF(INDEX(Cal_Weeks[MonthYearLabel],89)&lt;&gt;INDEX(Cal_Weeks[MonthYearLabel],88),'Grid_Stock'!CK58,CK58)+'Grid_Incoming'!CL58-'Grid_Requirement'!CL58</f>
        <v/>
      </c>
      <c r="CM58">
        <f>IF(INDEX(Cal_Weeks[MonthYearLabel],90)&lt;&gt;INDEX(Cal_Weeks[MonthYearLabel],89),'Grid_Stock'!CL58,CL58)+'Grid_Incoming'!CM58-'Grid_Requirement'!CM58</f>
        <v/>
      </c>
      <c r="CN58">
        <f>IF(INDEX(Cal_Weeks[MonthYearLabel],91)&lt;&gt;INDEX(Cal_Weeks[MonthYearLabel],90),'Grid_Stock'!CM58,CM58)+'Grid_Incoming'!CN58-'Grid_Requirement'!CN58</f>
        <v/>
      </c>
      <c r="CO58">
        <f>IF(INDEX(Cal_Weeks[MonthYearLabel],92)&lt;&gt;INDEX(Cal_Weeks[MonthYearLabel],91),'Grid_Stock'!CN58,CN58)+'Grid_Incoming'!CO58-'Grid_Requirement'!CO58</f>
        <v/>
      </c>
      <c r="CP58">
        <f>IF(INDEX(Cal_Weeks[MonthYearLabel],93)&lt;&gt;INDEX(Cal_Weeks[MonthYearLabel],92),'Grid_Stock'!CO58,CO58)+'Grid_Incoming'!CP58-'Grid_Requirement'!CP58</f>
        <v/>
      </c>
      <c r="CQ58">
        <f>IF(INDEX(Cal_Weeks[MonthYearLabel],94)&lt;&gt;INDEX(Cal_Weeks[MonthYearLabel],93),'Grid_Stock'!CP58,CP58)+'Grid_Incoming'!CQ58-'Grid_Requirement'!CQ58</f>
        <v/>
      </c>
      <c r="CR58">
        <f>IF(INDEX(Cal_Weeks[MonthYearLabel],95)&lt;&gt;INDEX(Cal_Weeks[MonthYearLabel],94),'Grid_Stock'!CQ58,CQ58)+'Grid_Incoming'!CR58-'Grid_Requirement'!CR58</f>
        <v/>
      </c>
      <c r="CS58">
        <f>IF(INDEX(Cal_Weeks[MonthYearLabel],96)&lt;&gt;INDEX(Cal_Weeks[MonthYearLabel],95),'Grid_Stock'!CR58,CR58)+'Grid_Incoming'!CS58-'Grid_Requirement'!CS58</f>
        <v/>
      </c>
      <c r="CT58">
        <f>IF(INDEX(Cal_Weeks[MonthYearLabel],97)&lt;&gt;INDEX(Cal_Weeks[MonthYearLabel],96),'Grid_Stock'!CS58,CS58)+'Grid_Incoming'!CT58-'Grid_Requirement'!CT58</f>
        <v/>
      </c>
      <c r="CU58">
        <f>IF(INDEX(Cal_Weeks[MonthYearLabel],98)&lt;&gt;INDEX(Cal_Weeks[MonthYearLabel],97),'Grid_Stock'!CT58,CT58)+'Grid_Incoming'!CU58-'Grid_Requirement'!CU58</f>
        <v/>
      </c>
      <c r="CV58">
        <f>IF(INDEX(Cal_Weeks[MonthYearLabel],99)&lt;&gt;INDEX(Cal_Weeks[MonthYearLabel],98),'Grid_Stock'!CU58,CU58)+'Grid_Incoming'!CV58-'Grid_Requirement'!CV58</f>
        <v/>
      </c>
      <c r="CW58">
        <f>IF(INDEX(Cal_Weeks[MonthYearLabel],100)&lt;&gt;INDEX(Cal_Weeks[MonthYearLabel],99),'Grid_Stock'!CV58,CV58)+'Grid_Incoming'!CW58-'Grid_Requirement'!CW58</f>
        <v/>
      </c>
      <c r="CX58">
        <f>IF(INDEX(Cal_Weeks[MonthYearLabel],101)&lt;&gt;INDEX(Cal_Weeks[MonthYearLabel],100),'Grid_Stock'!CW58,CW58)+'Grid_Incoming'!CX58-'Grid_Requirement'!CX58</f>
        <v/>
      </c>
      <c r="CY58">
        <f>IF(INDEX(Cal_Weeks[MonthYearLabel],102)&lt;&gt;INDEX(Cal_Weeks[MonthYearLabel],101),'Grid_Stock'!CX58,CX58)+'Grid_Incoming'!CY58-'Grid_Requirement'!CY58</f>
        <v/>
      </c>
      <c r="CZ58">
        <f>IF(INDEX(Cal_Weeks[MonthYearLabel],103)&lt;&gt;INDEX(Cal_Weeks[MonthYearLabel],102),'Grid_Stock'!CY58,CY58)+'Grid_Incoming'!CZ58-'Grid_Requirement'!CZ58</f>
        <v/>
      </c>
      <c r="DA58">
        <f>IF(INDEX(Cal_Weeks[MonthYearLabel],104)&lt;&gt;INDEX(Cal_Weeks[MonthYearLabel],103),'Grid_Stock'!CZ58,CZ58)+'Grid_Incoming'!DA58-'Grid_Requirement'!DA58</f>
        <v/>
      </c>
    </row>
    <row r="59">
      <c r="A59" t="inlineStr">
        <is>
          <t>CHEM-1560</t>
        </is>
      </c>
      <c r="B59">
        <f>IFERROR(INDEX(T_OpeningStock[Opening_Qty_要入力],MATCH($A59,T_OpeningStock[Part Name],0)),0)+'Grid_Incoming'!B59-'Grid_Requirement'!B59</f>
        <v/>
      </c>
      <c r="C59">
        <f>IF(INDEX(Cal_Weeks[MonthYearLabel],2)&lt;&gt;INDEX(Cal_Weeks[MonthYearLabel],1),'Grid_Stock'!B59,B59)+'Grid_Incoming'!C59-'Grid_Requirement'!C59</f>
        <v/>
      </c>
      <c r="D59">
        <f>IF(INDEX(Cal_Weeks[MonthYearLabel],3)&lt;&gt;INDEX(Cal_Weeks[MonthYearLabel],2),'Grid_Stock'!C59,C59)+'Grid_Incoming'!D59-'Grid_Requirement'!D59</f>
        <v/>
      </c>
      <c r="E59">
        <f>IF(INDEX(Cal_Weeks[MonthYearLabel],4)&lt;&gt;INDEX(Cal_Weeks[MonthYearLabel],3),'Grid_Stock'!D59,D59)+'Grid_Incoming'!E59-'Grid_Requirement'!E59</f>
        <v/>
      </c>
      <c r="F59">
        <f>IF(INDEX(Cal_Weeks[MonthYearLabel],5)&lt;&gt;INDEX(Cal_Weeks[MonthYearLabel],4),'Grid_Stock'!E59,E59)+'Grid_Incoming'!F59-'Grid_Requirement'!F59</f>
        <v/>
      </c>
      <c r="G59">
        <f>IF(INDEX(Cal_Weeks[MonthYearLabel],6)&lt;&gt;INDEX(Cal_Weeks[MonthYearLabel],5),'Grid_Stock'!F59,F59)+'Grid_Incoming'!G59-'Grid_Requirement'!G59</f>
        <v/>
      </c>
      <c r="H59">
        <f>IF(INDEX(Cal_Weeks[MonthYearLabel],7)&lt;&gt;INDEX(Cal_Weeks[MonthYearLabel],6),'Grid_Stock'!G59,G59)+'Grid_Incoming'!H59-'Grid_Requirement'!H59</f>
        <v/>
      </c>
      <c r="I59">
        <f>IF(INDEX(Cal_Weeks[MonthYearLabel],8)&lt;&gt;INDEX(Cal_Weeks[MonthYearLabel],7),'Grid_Stock'!H59,H59)+'Grid_Incoming'!I59-'Grid_Requirement'!I59</f>
        <v/>
      </c>
      <c r="J59">
        <f>IF(INDEX(Cal_Weeks[MonthYearLabel],9)&lt;&gt;INDEX(Cal_Weeks[MonthYearLabel],8),'Grid_Stock'!I59,I59)+'Grid_Incoming'!J59-'Grid_Requirement'!J59</f>
        <v/>
      </c>
      <c r="K59">
        <f>IF(INDEX(Cal_Weeks[MonthYearLabel],10)&lt;&gt;INDEX(Cal_Weeks[MonthYearLabel],9),'Grid_Stock'!J59,J59)+'Grid_Incoming'!K59-'Grid_Requirement'!K59</f>
        <v/>
      </c>
      <c r="L59">
        <f>IF(INDEX(Cal_Weeks[MonthYearLabel],11)&lt;&gt;INDEX(Cal_Weeks[MonthYearLabel],10),'Grid_Stock'!K59,K59)+'Grid_Incoming'!L59-'Grid_Requirement'!L59</f>
        <v/>
      </c>
      <c r="M59">
        <f>IF(INDEX(Cal_Weeks[MonthYearLabel],12)&lt;&gt;INDEX(Cal_Weeks[MonthYearLabel],11),'Grid_Stock'!L59,L59)+'Grid_Incoming'!M59-'Grid_Requirement'!M59</f>
        <v/>
      </c>
      <c r="N59">
        <f>IF(INDEX(Cal_Weeks[MonthYearLabel],13)&lt;&gt;INDEX(Cal_Weeks[MonthYearLabel],12),'Grid_Stock'!M59,M59)+'Grid_Incoming'!N59-'Grid_Requirement'!N59</f>
        <v/>
      </c>
      <c r="O59">
        <f>IF(INDEX(Cal_Weeks[MonthYearLabel],14)&lt;&gt;INDEX(Cal_Weeks[MonthYearLabel],13),'Grid_Stock'!N59,N59)+'Grid_Incoming'!O59-'Grid_Requirement'!O59</f>
        <v/>
      </c>
      <c r="P59">
        <f>IF(INDEX(Cal_Weeks[MonthYearLabel],15)&lt;&gt;INDEX(Cal_Weeks[MonthYearLabel],14),'Grid_Stock'!O59,O59)+'Grid_Incoming'!P59-'Grid_Requirement'!P59</f>
        <v/>
      </c>
      <c r="Q59">
        <f>IF(INDEX(Cal_Weeks[MonthYearLabel],16)&lt;&gt;INDEX(Cal_Weeks[MonthYearLabel],15),'Grid_Stock'!P59,P59)+'Grid_Incoming'!Q59-'Grid_Requirement'!Q59</f>
        <v/>
      </c>
      <c r="R59">
        <f>IF(INDEX(Cal_Weeks[MonthYearLabel],17)&lt;&gt;INDEX(Cal_Weeks[MonthYearLabel],16),'Grid_Stock'!Q59,Q59)+'Grid_Incoming'!R59-'Grid_Requirement'!R59</f>
        <v/>
      </c>
      <c r="S59">
        <f>IF(INDEX(Cal_Weeks[MonthYearLabel],18)&lt;&gt;INDEX(Cal_Weeks[MonthYearLabel],17),'Grid_Stock'!R59,R59)+'Grid_Incoming'!S59-'Grid_Requirement'!S59</f>
        <v/>
      </c>
      <c r="T59">
        <f>IF(INDEX(Cal_Weeks[MonthYearLabel],19)&lt;&gt;INDEX(Cal_Weeks[MonthYearLabel],18),'Grid_Stock'!S59,S59)+'Grid_Incoming'!T59-'Grid_Requirement'!T59</f>
        <v/>
      </c>
      <c r="U59">
        <f>IF(INDEX(Cal_Weeks[MonthYearLabel],20)&lt;&gt;INDEX(Cal_Weeks[MonthYearLabel],19),'Grid_Stock'!T59,T59)+'Grid_Incoming'!U59-'Grid_Requirement'!U59</f>
        <v/>
      </c>
      <c r="V59">
        <f>IF(INDEX(Cal_Weeks[MonthYearLabel],21)&lt;&gt;INDEX(Cal_Weeks[MonthYearLabel],20),'Grid_Stock'!U59,U59)+'Grid_Incoming'!V59-'Grid_Requirement'!V59</f>
        <v/>
      </c>
      <c r="W59">
        <f>IF(INDEX(Cal_Weeks[MonthYearLabel],22)&lt;&gt;INDEX(Cal_Weeks[MonthYearLabel],21),'Grid_Stock'!V59,V59)+'Grid_Incoming'!W59-'Grid_Requirement'!W59</f>
        <v/>
      </c>
      <c r="X59">
        <f>IF(INDEX(Cal_Weeks[MonthYearLabel],23)&lt;&gt;INDEX(Cal_Weeks[MonthYearLabel],22),'Grid_Stock'!W59,W59)+'Grid_Incoming'!X59-'Grid_Requirement'!X59</f>
        <v/>
      </c>
      <c r="Y59">
        <f>IF(INDEX(Cal_Weeks[MonthYearLabel],24)&lt;&gt;INDEX(Cal_Weeks[MonthYearLabel],23),'Grid_Stock'!X59,X59)+'Grid_Incoming'!Y59-'Grid_Requirement'!Y59</f>
        <v/>
      </c>
      <c r="Z59">
        <f>IF(INDEX(Cal_Weeks[MonthYearLabel],25)&lt;&gt;INDEX(Cal_Weeks[MonthYearLabel],24),'Grid_Stock'!Y59,Y59)+'Grid_Incoming'!Z59-'Grid_Requirement'!Z59</f>
        <v/>
      </c>
      <c r="AA59">
        <f>IF(INDEX(Cal_Weeks[MonthYearLabel],26)&lt;&gt;INDEX(Cal_Weeks[MonthYearLabel],25),'Grid_Stock'!Z59,Z59)+'Grid_Incoming'!AA59-'Grid_Requirement'!AA59</f>
        <v/>
      </c>
      <c r="AB59">
        <f>IF(INDEX(Cal_Weeks[MonthYearLabel],27)&lt;&gt;INDEX(Cal_Weeks[MonthYearLabel],26),'Grid_Stock'!AA59,AA59)+'Grid_Incoming'!AB59-'Grid_Requirement'!AB59</f>
        <v/>
      </c>
      <c r="AC59">
        <f>IF(INDEX(Cal_Weeks[MonthYearLabel],28)&lt;&gt;INDEX(Cal_Weeks[MonthYearLabel],27),'Grid_Stock'!AB59,AB59)+'Grid_Incoming'!AC59-'Grid_Requirement'!AC59</f>
        <v/>
      </c>
      <c r="AD59">
        <f>IF(INDEX(Cal_Weeks[MonthYearLabel],29)&lt;&gt;INDEX(Cal_Weeks[MonthYearLabel],28),'Grid_Stock'!AC59,AC59)+'Grid_Incoming'!AD59-'Grid_Requirement'!AD59</f>
        <v/>
      </c>
      <c r="AE59">
        <f>IF(INDEX(Cal_Weeks[MonthYearLabel],30)&lt;&gt;INDEX(Cal_Weeks[MonthYearLabel],29),'Grid_Stock'!AD59,AD59)+'Grid_Incoming'!AE59-'Grid_Requirement'!AE59</f>
        <v/>
      </c>
      <c r="AF59">
        <f>IF(INDEX(Cal_Weeks[MonthYearLabel],31)&lt;&gt;INDEX(Cal_Weeks[MonthYearLabel],30),'Grid_Stock'!AE59,AE59)+'Grid_Incoming'!AF59-'Grid_Requirement'!AF59</f>
        <v/>
      </c>
      <c r="AG59">
        <f>IF(INDEX(Cal_Weeks[MonthYearLabel],32)&lt;&gt;INDEX(Cal_Weeks[MonthYearLabel],31),'Grid_Stock'!AF59,AF59)+'Grid_Incoming'!AG59-'Grid_Requirement'!AG59</f>
        <v/>
      </c>
      <c r="AH59">
        <f>IF(INDEX(Cal_Weeks[MonthYearLabel],33)&lt;&gt;INDEX(Cal_Weeks[MonthYearLabel],32),'Grid_Stock'!AG59,AG59)+'Grid_Incoming'!AH59-'Grid_Requirement'!AH59</f>
        <v/>
      </c>
      <c r="AI59">
        <f>IF(INDEX(Cal_Weeks[MonthYearLabel],34)&lt;&gt;INDEX(Cal_Weeks[MonthYearLabel],33),'Grid_Stock'!AH59,AH59)+'Grid_Incoming'!AI59-'Grid_Requirement'!AI59</f>
        <v/>
      </c>
      <c r="AJ59">
        <f>IF(INDEX(Cal_Weeks[MonthYearLabel],35)&lt;&gt;INDEX(Cal_Weeks[MonthYearLabel],34),'Grid_Stock'!AI59,AI59)+'Grid_Incoming'!AJ59-'Grid_Requirement'!AJ59</f>
        <v/>
      </c>
      <c r="AK59">
        <f>IF(INDEX(Cal_Weeks[MonthYearLabel],36)&lt;&gt;INDEX(Cal_Weeks[MonthYearLabel],35),'Grid_Stock'!AJ59,AJ59)+'Grid_Incoming'!AK59-'Grid_Requirement'!AK59</f>
        <v/>
      </c>
      <c r="AL59">
        <f>IF(INDEX(Cal_Weeks[MonthYearLabel],37)&lt;&gt;INDEX(Cal_Weeks[MonthYearLabel],36),'Grid_Stock'!AK59,AK59)+'Grid_Incoming'!AL59-'Grid_Requirement'!AL59</f>
        <v/>
      </c>
      <c r="AM59">
        <f>IF(INDEX(Cal_Weeks[MonthYearLabel],38)&lt;&gt;INDEX(Cal_Weeks[MonthYearLabel],37),'Grid_Stock'!AL59,AL59)+'Grid_Incoming'!AM59-'Grid_Requirement'!AM59</f>
        <v/>
      </c>
      <c r="AN59">
        <f>IF(INDEX(Cal_Weeks[MonthYearLabel],39)&lt;&gt;INDEX(Cal_Weeks[MonthYearLabel],38),'Grid_Stock'!AM59,AM59)+'Grid_Incoming'!AN59-'Grid_Requirement'!AN59</f>
        <v/>
      </c>
      <c r="AO59">
        <f>IF(INDEX(Cal_Weeks[MonthYearLabel],40)&lt;&gt;INDEX(Cal_Weeks[MonthYearLabel],39),'Grid_Stock'!AN59,AN59)+'Grid_Incoming'!AO59-'Grid_Requirement'!AO59</f>
        <v/>
      </c>
      <c r="AP59">
        <f>IF(INDEX(Cal_Weeks[MonthYearLabel],41)&lt;&gt;INDEX(Cal_Weeks[MonthYearLabel],40),'Grid_Stock'!AO59,AO59)+'Grid_Incoming'!AP59-'Grid_Requirement'!AP59</f>
        <v/>
      </c>
      <c r="AQ59">
        <f>IF(INDEX(Cal_Weeks[MonthYearLabel],42)&lt;&gt;INDEX(Cal_Weeks[MonthYearLabel],41),'Grid_Stock'!AP59,AP59)+'Grid_Incoming'!AQ59-'Grid_Requirement'!AQ59</f>
        <v/>
      </c>
      <c r="AR59">
        <f>IF(INDEX(Cal_Weeks[MonthYearLabel],43)&lt;&gt;INDEX(Cal_Weeks[MonthYearLabel],42),'Grid_Stock'!AQ59,AQ59)+'Grid_Incoming'!AR59-'Grid_Requirement'!AR59</f>
        <v/>
      </c>
      <c r="AS59">
        <f>IF(INDEX(Cal_Weeks[MonthYearLabel],44)&lt;&gt;INDEX(Cal_Weeks[MonthYearLabel],43),'Grid_Stock'!AR59,AR59)+'Grid_Incoming'!AS59-'Grid_Requirement'!AS59</f>
        <v/>
      </c>
      <c r="AT59">
        <f>IF(INDEX(Cal_Weeks[MonthYearLabel],45)&lt;&gt;INDEX(Cal_Weeks[MonthYearLabel],44),'Grid_Stock'!AS59,AS59)+'Grid_Incoming'!AT59-'Grid_Requirement'!AT59</f>
        <v/>
      </c>
      <c r="AU59">
        <f>IF(INDEX(Cal_Weeks[MonthYearLabel],46)&lt;&gt;INDEX(Cal_Weeks[MonthYearLabel],45),'Grid_Stock'!AT59,AT59)+'Grid_Incoming'!AU59-'Grid_Requirement'!AU59</f>
        <v/>
      </c>
      <c r="AV59">
        <f>IF(INDEX(Cal_Weeks[MonthYearLabel],47)&lt;&gt;INDEX(Cal_Weeks[MonthYearLabel],46),'Grid_Stock'!AU59,AU59)+'Grid_Incoming'!AV59-'Grid_Requirement'!AV59</f>
        <v/>
      </c>
      <c r="AW59">
        <f>IF(INDEX(Cal_Weeks[MonthYearLabel],48)&lt;&gt;INDEX(Cal_Weeks[MonthYearLabel],47),'Grid_Stock'!AV59,AV59)+'Grid_Incoming'!AW59-'Grid_Requirement'!AW59</f>
        <v/>
      </c>
      <c r="AX59">
        <f>IF(INDEX(Cal_Weeks[MonthYearLabel],49)&lt;&gt;INDEX(Cal_Weeks[MonthYearLabel],48),'Grid_Stock'!AW59,AW59)+'Grid_Incoming'!AX59-'Grid_Requirement'!AX59</f>
        <v/>
      </c>
      <c r="AY59">
        <f>IF(INDEX(Cal_Weeks[MonthYearLabel],50)&lt;&gt;INDEX(Cal_Weeks[MonthYearLabel],49),'Grid_Stock'!AX59,AX59)+'Grid_Incoming'!AY59-'Grid_Requirement'!AY59</f>
        <v/>
      </c>
      <c r="AZ59">
        <f>IF(INDEX(Cal_Weeks[MonthYearLabel],51)&lt;&gt;INDEX(Cal_Weeks[MonthYearLabel],50),'Grid_Stock'!AY59,AY59)+'Grid_Incoming'!AZ59-'Grid_Requirement'!AZ59</f>
        <v/>
      </c>
      <c r="BA59">
        <f>IF(INDEX(Cal_Weeks[MonthYearLabel],52)&lt;&gt;INDEX(Cal_Weeks[MonthYearLabel],51),'Grid_Stock'!AZ59,AZ59)+'Grid_Incoming'!BA59-'Grid_Requirement'!BA59</f>
        <v/>
      </c>
      <c r="BB59">
        <f>IF(INDEX(Cal_Weeks[MonthYearLabel],53)&lt;&gt;INDEX(Cal_Weeks[MonthYearLabel],52),'Grid_Stock'!BA59,BA59)+'Grid_Incoming'!BB59-'Grid_Requirement'!BB59</f>
        <v/>
      </c>
      <c r="BC59">
        <f>IF(INDEX(Cal_Weeks[MonthYearLabel],54)&lt;&gt;INDEX(Cal_Weeks[MonthYearLabel],53),'Grid_Stock'!BB59,BB59)+'Grid_Incoming'!BC59-'Grid_Requirement'!BC59</f>
        <v/>
      </c>
      <c r="BD59">
        <f>IF(INDEX(Cal_Weeks[MonthYearLabel],55)&lt;&gt;INDEX(Cal_Weeks[MonthYearLabel],54),'Grid_Stock'!BC59,BC59)+'Grid_Incoming'!BD59-'Grid_Requirement'!BD59</f>
        <v/>
      </c>
      <c r="BE59">
        <f>IF(INDEX(Cal_Weeks[MonthYearLabel],56)&lt;&gt;INDEX(Cal_Weeks[MonthYearLabel],55),'Grid_Stock'!BD59,BD59)+'Grid_Incoming'!BE59-'Grid_Requirement'!BE59</f>
        <v/>
      </c>
      <c r="BF59">
        <f>IF(INDEX(Cal_Weeks[MonthYearLabel],57)&lt;&gt;INDEX(Cal_Weeks[MonthYearLabel],56),'Grid_Stock'!BE59,BE59)+'Grid_Incoming'!BF59-'Grid_Requirement'!BF59</f>
        <v/>
      </c>
      <c r="BG59">
        <f>IF(INDEX(Cal_Weeks[MonthYearLabel],58)&lt;&gt;INDEX(Cal_Weeks[MonthYearLabel],57),'Grid_Stock'!BF59,BF59)+'Grid_Incoming'!BG59-'Grid_Requirement'!BG59</f>
        <v/>
      </c>
      <c r="BH59">
        <f>IF(INDEX(Cal_Weeks[MonthYearLabel],59)&lt;&gt;INDEX(Cal_Weeks[MonthYearLabel],58),'Grid_Stock'!BG59,BG59)+'Grid_Incoming'!BH59-'Grid_Requirement'!BH59</f>
        <v/>
      </c>
      <c r="BI59">
        <f>IF(INDEX(Cal_Weeks[MonthYearLabel],60)&lt;&gt;INDEX(Cal_Weeks[MonthYearLabel],59),'Grid_Stock'!BH59,BH59)+'Grid_Incoming'!BI59-'Grid_Requirement'!BI59</f>
        <v/>
      </c>
      <c r="BJ59">
        <f>IF(INDEX(Cal_Weeks[MonthYearLabel],61)&lt;&gt;INDEX(Cal_Weeks[MonthYearLabel],60),'Grid_Stock'!BI59,BI59)+'Grid_Incoming'!BJ59-'Grid_Requirement'!BJ59</f>
        <v/>
      </c>
      <c r="BK59">
        <f>IF(INDEX(Cal_Weeks[MonthYearLabel],62)&lt;&gt;INDEX(Cal_Weeks[MonthYearLabel],61),'Grid_Stock'!BJ59,BJ59)+'Grid_Incoming'!BK59-'Grid_Requirement'!BK59</f>
        <v/>
      </c>
      <c r="BL59">
        <f>IF(INDEX(Cal_Weeks[MonthYearLabel],63)&lt;&gt;INDEX(Cal_Weeks[MonthYearLabel],62),'Grid_Stock'!BK59,BK59)+'Grid_Incoming'!BL59-'Grid_Requirement'!BL59</f>
        <v/>
      </c>
      <c r="BM59">
        <f>IF(INDEX(Cal_Weeks[MonthYearLabel],64)&lt;&gt;INDEX(Cal_Weeks[MonthYearLabel],63),'Grid_Stock'!BL59,BL59)+'Grid_Incoming'!BM59-'Grid_Requirement'!BM59</f>
        <v/>
      </c>
      <c r="BN59">
        <f>IF(INDEX(Cal_Weeks[MonthYearLabel],65)&lt;&gt;INDEX(Cal_Weeks[MonthYearLabel],64),'Grid_Stock'!BM59,BM59)+'Grid_Incoming'!BN59-'Grid_Requirement'!BN59</f>
        <v/>
      </c>
      <c r="BO59">
        <f>IF(INDEX(Cal_Weeks[MonthYearLabel],66)&lt;&gt;INDEX(Cal_Weeks[MonthYearLabel],65),'Grid_Stock'!BN59,BN59)+'Grid_Incoming'!BO59-'Grid_Requirement'!BO59</f>
        <v/>
      </c>
      <c r="BP59">
        <f>IF(INDEX(Cal_Weeks[MonthYearLabel],67)&lt;&gt;INDEX(Cal_Weeks[MonthYearLabel],66),'Grid_Stock'!BO59,BO59)+'Grid_Incoming'!BP59-'Grid_Requirement'!BP59</f>
        <v/>
      </c>
      <c r="BQ59">
        <f>IF(INDEX(Cal_Weeks[MonthYearLabel],68)&lt;&gt;INDEX(Cal_Weeks[MonthYearLabel],67),'Grid_Stock'!BP59,BP59)+'Grid_Incoming'!BQ59-'Grid_Requirement'!BQ59</f>
        <v/>
      </c>
      <c r="BR59">
        <f>IF(INDEX(Cal_Weeks[MonthYearLabel],69)&lt;&gt;INDEX(Cal_Weeks[MonthYearLabel],68),'Grid_Stock'!BQ59,BQ59)+'Grid_Incoming'!BR59-'Grid_Requirement'!BR59</f>
        <v/>
      </c>
      <c r="BS59">
        <f>IF(INDEX(Cal_Weeks[MonthYearLabel],70)&lt;&gt;INDEX(Cal_Weeks[MonthYearLabel],69),'Grid_Stock'!BR59,BR59)+'Grid_Incoming'!BS59-'Grid_Requirement'!BS59</f>
        <v/>
      </c>
      <c r="BT59">
        <f>IF(INDEX(Cal_Weeks[MonthYearLabel],71)&lt;&gt;INDEX(Cal_Weeks[MonthYearLabel],70),'Grid_Stock'!BS59,BS59)+'Grid_Incoming'!BT59-'Grid_Requirement'!BT59</f>
        <v/>
      </c>
      <c r="BU59">
        <f>IF(INDEX(Cal_Weeks[MonthYearLabel],72)&lt;&gt;INDEX(Cal_Weeks[MonthYearLabel],71),'Grid_Stock'!BT59,BT59)+'Grid_Incoming'!BU59-'Grid_Requirement'!BU59</f>
        <v/>
      </c>
      <c r="BV59">
        <f>IF(INDEX(Cal_Weeks[MonthYearLabel],73)&lt;&gt;INDEX(Cal_Weeks[MonthYearLabel],72),'Grid_Stock'!BU59,BU59)+'Grid_Incoming'!BV59-'Grid_Requirement'!BV59</f>
        <v/>
      </c>
      <c r="BW59">
        <f>IF(INDEX(Cal_Weeks[MonthYearLabel],74)&lt;&gt;INDEX(Cal_Weeks[MonthYearLabel],73),'Grid_Stock'!BV59,BV59)+'Grid_Incoming'!BW59-'Grid_Requirement'!BW59</f>
        <v/>
      </c>
      <c r="BX59">
        <f>IF(INDEX(Cal_Weeks[MonthYearLabel],75)&lt;&gt;INDEX(Cal_Weeks[MonthYearLabel],74),'Grid_Stock'!BW59,BW59)+'Grid_Incoming'!BX59-'Grid_Requirement'!BX59</f>
        <v/>
      </c>
      <c r="BY59">
        <f>IF(INDEX(Cal_Weeks[MonthYearLabel],76)&lt;&gt;INDEX(Cal_Weeks[MonthYearLabel],75),'Grid_Stock'!BX59,BX59)+'Grid_Incoming'!BY59-'Grid_Requirement'!BY59</f>
        <v/>
      </c>
      <c r="BZ59">
        <f>IF(INDEX(Cal_Weeks[MonthYearLabel],77)&lt;&gt;INDEX(Cal_Weeks[MonthYearLabel],76),'Grid_Stock'!BY59,BY59)+'Grid_Incoming'!BZ59-'Grid_Requirement'!BZ59</f>
        <v/>
      </c>
      <c r="CA59">
        <f>IF(INDEX(Cal_Weeks[MonthYearLabel],78)&lt;&gt;INDEX(Cal_Weeks[MonthYearLabel],77),'Grid_Stock'!BZ59,BZ59)+'Grid_Incoming'!CA59-'Grid_Requirement'!CA59</f>
        <v/>
      </c>
      <c r="CB59">
        <f>IF(INDEX(Cal_Weeks[MonthYearLabel],79)&lt;&gt;INDEX(Cal_Weeks[MonthYearLabel],78),'Grid_Stock'!CA59,CA59)+'Grid_Incoming'!CB59-'Grid_Requirement'!CB59</f>
        <v/>
      </c>
      <c r="CC59">
        <f>IF(INDEX(Cal_Weeks[MonthYearLabel],80)&lt;&gt;INDEX(Cal_Weeks[MonthYearLabel],79),'Grid_Stock'!CB59,CB59)+'Grid_Incoming'!CC59-'Grid_Requirement'!CC59</f>
        <v/>
      </c>
      <c r="CD59">
        <f>IF(INDEX(Cal_Weeks[MonthYearLabel],81)&lt;&gt;INDEX(Cal_Weeks[MonthYearLabel],80),'Grid_Stock'!CC59,CC59)+'Grid_Incoming'!CD59-'Grid_Requirement'!CD59</f>
        <v/>
      </c>
      <c r="CE59">
        <f>IF(INDEX(Cal_Weeks[MonthYearLabel],82)&lt;&gt;INDEX(Cal_Weeks[MonthYearLabel],81),'Grid_Stock'!CD59,CD59)+'Grid_Incoming'!CE59-'Grid_Requirement'!CE59</f>
        <v/>
      </c>
      <c r="CF59">
        <f>IF(INDEX(Cal_Weeks[MonthYearLabel],83)&lt;&gt;INDEX(Cal_Weeks[MonthYearLabel],82),'Grid_Stock'!CE59,CE59)+'Grid_Incoming'!CF59-'Grid_Requirement'!CF59</f>
        <v/>
      </c>
      <c r="CG59">
        <f>IF(INDEX(Cal_Weeks[MonthYearLabel],84)&lt;&gt;INDEX(Cal_Weeks[MonthYearLabel],83),'Grid_Stock'!CF59,CF59)+'Grid_Incoming'!CG59-'Grid_Requirement'!CG59</f>
        <v/>
      </c>
      <c r="CH59">
        <f>IF(INDEX(Cal_Weeks[MonthYearLabel],85)&lt;&gt;INDEX(Cal_Weeks[MonthYearLabel],84),'Grid_Stock'!CG59,CG59)+'Grid_Incoming'!CH59-'Grid_Requirement'!CH59</f>
        <v/>
      </c>
      <c r="CI59">
        <f>IF(INDEX(Cal_Weeks[MonthYearLabel],86)&lt;&gt;INDEX(Cal_Weeks[MonthYearLabel],85),'Grid_Stock'!CH59,CH59)+'Grid_Incoming'!CI59-'Grid_Requirement'!CI59</f>
        <v/>
      </c>
      <c r="CJ59">
        <f>IF(INDEX(Cal_Weeks[MonthYearLabel],87)&lt;&gt;INDEX(Cal_Weeks[MonthYearLabel],86),'Grid_Stock'!CI59,CI59)+'Grid_Incoming'!CJ59-'Grid_Requirement'!CJ59</f>
        <v/>
      </c>
      <c r="CK59">
        <f>IF(INDEX(Cal_Weeks[MonthYearLabel],88)&lt;&gt;INDEX(Cal_Weeks[MonthYearLabel],87),'Grid_Stock'!CJ59,CJ59)+'Grid_Incoming'!CK59-'Grid_Requirement'!CK59</f>
        <v/>
      </c>
      <c r="CL59">
        <f>IF(INDEX(Cal_Weeks[MonthYearLabel],89)&lt;&gt;INDEX(Cal_Weeks[MonthYearLabel],88),'Grid_Stock'!CK59,CK59)+'Grid_Incoming'!CL59-'Grid_Requirement'!CL59</f>
        <v/>
      </c>
      <c r="CM59">
        <f>IF(INDEX(Cal_Weeks[MonthYearLabel],90)&lt;&gt;INDEX(Cal_Weeks[MonthYearLabel],89),'Grid_Stock'!CL59,CL59)+'Grid_Incoming'!CM59-'Grid_Requirement'!CM59</f>
        <v/>
      </c>
      <c r="CN59">
        <f>IF(INDEX(Cal_Weeks[MonthYearLabel],91)&lt;&gt;INDEX(Cal_Weeks[MonthYearLabel],90),'Grid_Stock'!CM59,CM59)+'Grid_Incoming'!CN59-'Grid_Requirement'!CN59</f>
        <v/>
      </c>
      <c r="CO59">
        <f>IF(INDEX(Cal_Weeks[MonthYearLabel],92)&lt;&gt;INDEX(Cal_Weeks[MonthYearLabel],91),'Grid_Stock'!CN59,CN59)+'Grid_Incoming'!CO59-'Grid_Requirement'!CO59</f>
        <v/>
      </c>
      <c r="CP59">
        <f>IF(INDEX(Cal_Weeks[MonthYearLabel],93)&lt;&gt;INDEX(Cal_Weeks[MonthYearLabel],92),'Grid_Stock'!CO59,CO59)+'Grid_Incoming'!CP59-'Grid_Requirement'!CP59</f>
        <v/>
      </c>
      <c r="CQ59">
        <f>IF(INDEX(Cal_Weeks[MonthYearLabel],94)&lt;&gt;INDEX(Cal_Weeks[MonthYearLabel],93),'Grid_Stock'!CP59,CP59)+'Grid_Incoming'!CQ59-'Grid_Requirement'!CQ59</f>
        <v/>
      </c>
      <c r="CR59">
        <f>IF(INDEX(Cal_Weeks[MonthYearLabel],95)&lt;&gt;INDEX(Cal_Weeks[MonthYearLabel],94),'Grid_Stock'!CQ59,CQ59)+'Grid_Incoming'!CR59-'Grid_Requirement'!CR59</f>
        <v/>
      </c>
      <c r="CS59">
        <f>IF(INDEX(Cal_Weeks[MonthYearLabel],96)&lt;&gt;INDEX(Cal_Weeks[MonthYearLabel],95),'Grid_Stock'!CR59,CR59)+'Grid_Incoming'!CS59-'Grid_Requirement'!CS59</f>
        <v/>
      </c>
      <c r="CT59">
        <f>IF(INDEX(Cal_Weeks[MonthYearLabel],97)&lt;&gt;INDEX(Cal_Weeks[MonthYearLabel],96),'Grid_Stock'!CS59,CS59)+'Grid_Incoming'!CT59-'Grid_Requirement'!CT59</f>
        <v/>
      </c>
      <c r="CU59">
        <f>IF(INDEX(Cal_Weeks[MonthYearLabel],98)&lt;&gt;INDEX(Cal_Weeks[MonthYearLabel],97),'Grid_Stock'!CT59,CT59)+'Grid_Incoming'!CU59-'Grid_Requirement'!CU59</f>
        <v/>
      </c>
      <c r="CV59">
        <f>IF(INDEX(Cal_Weeks[MonthYearLabel],99)&lt;&gt;INDEX(Cal_Weeks[MonthYearLabel],98),'Grid_Stock'!CU59,CU59)+'Grid_Incoming'!CV59-'Grid_Requirement'!CV59</f>
        <v/>
      </c>
      <c r="CW59">
        <f>IF(INDEX(Cal_Weeks[MonthYearLabel],100)&lt;&gt;INDEX(Cal_Weeks[MonthYearLabel],99),'Grid_Stock'!CV59,CV59)+'Grid_Incoming'!CW59-'Grid_Requirement'!CW59</f>
        <v/>
      </c>
      <c r="CX59">
        <f>IF(INDEX(Cal_Weeks[MonthYearLabel],101)&lt;&gt;INDEX(Cal_Weeks[MonthYearLabel],100),'Grid_Stock'!CW59,CW59)+'Grid_Incoming'!CX59-'Grid_Requirement'!CX59</f>
        <v/>
      </c>
      <c r="CY59">
        <f>IF(INDEX(Cal_Weeks[MonthYearLabel],102)&lt;&gt;INDEX(Cal_Weeks[MonthYearLabel],101),'Grid_Stock'!CX59,CX59)+'Grid_Incoming'!CY59-'Grid_Requirement'!CY59</f>
        <v/>
      </c>
      <c r="CZ59">
        <f>IF(INDEX(Cal_Weeks[MonthYearLabel],103)&lt;&gt;INDEX(Cal_Weeks[MonthYearLabel],102),'Grid_Stock'!CY59,CY59)+'Grid_Incoming'!CZ59-'Grid_Requirement'!CZ59</f>
        <v/>
      </c>
      <c r="DA59">
        <f>IF(INDEX(Cal_Weeks[MonthYearLabel],104)&lt;&gt;INDEX(Cal_Weeks[MonthYearLabel],103),'Grid_Stock'!CZ59,CZ59)+'Grid_Incoming'!DA59-'Grid_Requirement'!DA59</f>
        <v/>
      </c>
    </row>
    <row r="60">
      <c r="A60" t="inlineStr">
        <is>
          <t>CHEM-1690</t>
        </is>
      </c>
      <c r="B60">
        <f>IFERROR(INDEX(T_OpeningStock[Opening_Qty_要入力],MATCH($A60,T_OpeningStock[Part Name],0)),0)+'Grid_Incoming'!B60-'Grid_Requirement'!B60</f>
        <v/>
      </c>
      <c r="C60">
        <f>IF(INDEX(Cal_Weeks[MonthYearLabel],2)&lt;&gt;INDEX(Cal_Weeks[MonthYearLabel],1),'Grid_Stock'!B60,B60)+'Grid_Incoming'!C60-'Grid_Requirement'!C60</f>
        <v/>
      </c>
      <c r="D60">
        <f>IF(INDEX(Cal_Weeks[MonthYearLabel],3)&lt;&gt;INDEX(Cal_Weeks[MonthYearLabel],2),'Grid_Stock'!C60,C60)+'Grid_Incoming'!D60-'Grid_Requirement'!D60</f>
        <v/>
      </c>
      <c r="E60">
        <f>IF(INDEX(Cal_Weeks[MonthYearLabel],4)&lt;&gt;INDEX(Cal_Weeks[MonthYearLabel],3),'Grid_Stock'!D60,D60)+'Grid_Incoming'!E60-'Grid_Requirement'!E60</f>
        <v/>
      </c>
      <c r="F60">
        <f>IF(INDEX(Cal_Weeks[MonthYearLabel],5)&lt;&gt;INDEX(Cal_Weeks[MonthYearLabel],4),'Grid_Stock'!E60,E60)+'Grid_Incoming'!F60-'Grid_Requirement'!F60</f>
        <v/>
      </c>
      <c r="G60">
        <f>IF(INDEX(Cal_Weeks[MonthYearLabel],6)&lt;&gt;INDEX(Cal_Weeks[MonthYearLabel],5),'Grid_Stock'!F60,F60)+'Grid_Incoming'!G60-'Grid_Requirement'!G60</f>
        <v/>
      </c>
      <c r="H60">
        <f>IF(INDEX(Cal_Weeks[MonthYearLabel],7)&lt;&gt;INDEX(Cal_Weeks[MonthYearLabel],6),'Grid_Stock'!G60,G60)+'Grid_Incoming'!H60-'Grid_Requirement'!H60</f>
        <v/>
      </c>
      <c r="I60">
        <f>IF(INDEX(Cal_Weeks[MonthYearLabel],8)&lt;&gt;INDEX(Cal_Weeks[MonthYearLabel],7),'Grid_Stock'!H60,H60)+'Grid_Incoming'!I60-'Grid_Requirement'!I60</f>
        <v/>
      </c>
      <c r="J60">
        <f>IF(INDEX(Cal_Weeks[MonthYearLabel],9)&lt;&gt;INDEX(Cal_Weeks[MonthYearLabel],8),'Grid_Stock'!I60,I60)+'Grid_Incoming'!J60-'Grid_Requirement'!J60</f>
        <v/>
      </c>
      <c r="K60">
        <f>IF(INDEX(Cal_Weeks[MonthYearLabel],10)&lt;&gt;INDEX(Cal_Weeks[MonthYearLabel],9),'Grid_Stock'!J60,J60)+'Grid_Incoming'!K60-'Grid_Requirement'!K60</f>
        <v/>
      </c>
      <c r="L60">
        <f>IF(INDEX(Cal_Weeks[MonthYearLabel],11)&lt;&gt;INDEX(Cal_Weeks[MonthYearLabel],10),'Grid_Stock'!K60,K60)+'Grid_Incoming'!L60-'Grid_Requirement'!L60</f>
        <v/>
      </c>
      <c r="M60">
        <f>IF(INDEX(Cal_Weeks[MonthYearLabel],12)&lt;&gt;INDEX(Cal_Weeks[MonthYearLabel],11),'Grid_Stock'!L60,L60)+'Grid_Incoming'!M60-'Grid_Requirement'!M60</f>
        <v/>
      </c>
      <c r="N60">
        <f>IF(INDEX(Cal_Weeks[MonthYearLabel],13)&lt;&gt;INDEX(Cal_Weeks[MonthYearLabel],12),'Grid_Stock'!M60,M60)+'Grid_Incoming'!N60-'Grid_Requirement'!N60</f>
        <v/>
      </c>
      <c r="O60">
        <f>IF(INDEX(Cal_Weeks[MonthYearLabel],14)&lt;&gt;INDEX(Cal_Weeks[MonthYearLabel],13),'Grid_Stock'!N60,N60)+'Grid_Incoming'!O60-'Grid_Requirement'!O60</f>
        <v/>
      </c>
      <c r="P60">
        <f>IF(INDEX(Cal_Weeks[MonthYearLabel],15)&lt;&gt;INDEX(Cal_Weeks[MonthYearLabel],14),'Grid_Stock'!O60,O60)+'Grid_Incoming'!P60-'Grid_Requirement'!P60</f>
        <v/>
      </c>
      <c r="Q60">
        <f>IF(INDEX(Cal_Weeks[MonthYearLabel],16)&lt;&gt;INDEX(Cal_Weeks[MonthYearLabel],15),'Grid_Stock'!P60,P60)+'Grid_Incoming'!Q60-'Grid_Requirement'!Q60</f>
        <v/>
      </c>
      <c r="R60">
        <f>IF(INDEX(Cal_Weeks[MonthYearLabel],17)&lt;&gt;INDEX(Cal_Weeks[MonthYearLabel],16),'Grid_Stock'!Q60,Q60)+'Grid_Incoming'!R60-'Grid_Requirement'!R60</f>
        <v/>
      </c>
      <c r="S60">
        <f>IF(INDEX(Cal_Weeks[MonthYearLabel],18)&lt;&gt;INDEX(Cal_Weeks[MonthYearLabel],17),'Grid_Stock'!R60,R60)+'Grid_Incoming'!S60-'Grid_Requirement'!S60</f>
        <v/>
      </c>
      <c r="T60">
        <f>IF(INDEX(Cal_Weeks[MonthYearLabel],19)&lt;&gt;INDEX(Cal_Weeks[MonthYearLabel],18),'Grid_Stock'!S60,S60)+'Grid_Incoming'!T60-'Grid_Requirement'!T60</f>
        <v/>
      </c>
      <c r="U60">
        <f>IF(INDEX(Cal_Weeks[MonthYearLabel],20)&lt;&gt;INDEX(Cal_Weeks[MonthYearLabel],19),'Grid_Stock'!T60,T60)+'Grid_Incoming'!U60-'Grid_Requirement'!U60</f>
        <v/>
      </c>
      <c r="V60">
        <f>IF(INDEX(Cal_Weeks[MonthYearLabel],21)&lt;&gt;INDEX(Cal_Weeks[MonthYearLabel],20),'Grid_Stock'!U60,U60)+'Grid_Incoming'!V60-'Grid_Requirement'!V60</f>
        <v/>
      </c>
      <c r="W60">
        <f>IF(INDEX(Cal_Weeks[MonthYearLabel],22)&lt;&gt;INDEX(Cal_Weeks[MonthYearLabel],21),'Grid_Stock'!V60,V60)+'Grid_Incoming'!W60-'Grid_Requirement'!W60</f>
        <v/>
      </c>
      <c r="X60">
        <f>IF(INDEX(Cal_Weeks[MonthYearLabel],23)&lt;&gt;INDEX(Cal_Weeks[MonthYearLabel],22),'Grid_Stock'!W60,W60)+'Grid_Incoming'!X60-'Grid_Requirement'!X60</f>
        <v/>
      </c>
      <c r="Y60">
        <f>IF(INDEX(Cal_Weeks[MonthYearLabel],24)&lt;&gt;INDEX(Cal_Weeks[MonthYearLabel],23),'Grid_Stock'!X60,X60)+'Grid_Incoming'!Y60-'Grid_Requirement'!Y60</f>
        <v/>
      </c>
      <c r="Z60">
        <f>IF(INDEX(Cal_Weeks[MonthYearLabel],25)&lt;&gt;INDEX(Cal_Weeks[MonthYearLabel],24),'Grid_Stock'!Y60,Y60)+'Grid_Incoming'!Z60-'Grid_Requirement'!Z60</f>
        <v/>
      </c>
      <c r="AA60">
        <f>IF(INDEX(Cal_Weeks[MonthYearLabel],26)&lt;&gt;INDEX(Cal_Weeks[MonthYearLabel],25),'Grid_Stock'!Z60,Z60)+'Grid_Incoming'!AA60-'Grid_Requirement'!AA60</f>
        <v/>
      </c>
      <c r="AB60">
        <f>IF(INDEX(Cal_Weeks[MonthYearLabel],27)&lt;&gt;INDEX(Cal_Weeks[MonthYearLabel],26),'Grid_Stock'!AA60,AA60)+'Grid_Incoming'!AB60-'Grid_Requirement'!AB60</f>
        <v/>
      </c>
      <c r="AC60">
        <f>IF(INDEX(Cal_Weeks[MonthYearLabel],28)&lt;&gt;INDEX(Cal_Weeks[MonthYearLabel],27),'Grid_Stock'!AB60,AB60)+'Grid_Incoming'!AC60-'Grid_Requirement'!AC60</f>
        <v/>
      </c>
      <c r="AD60">
        <f>IF(INDEX(Cal_Weeks[MonthYearLabel],29)&lt;&gt;INDEX(Cal_Weeks[MonthYearLabel],28),'Grid_Stock'!AC60,AC60)+'Grid_Incoming'!AD60-'Grid_Requirement'!AD60</f>
        <v/>
      </c>
      <c r="AE60">
        <f>IF(INDEX(Cal_Weeks[MonthYearLabel],30)&lt;&gt;INDEX(Cal_Weeks[MonthYearLabel],29),'Grid_Stock'!AD60,AD60)+'Grid_Incoming'!AE60-'Grid_Requirement'!AE60</f>
        <v/>
      </c>
      <c r="AF60">
        <f>IF(INDEX(Cal_Weeks[MonthYearLabel],31)&lt;&gt;INDEX(Cal_Weeks[MonthYearLabel],30),'Grid_Stock'!AE60,AE60)+'Grid_Incoming'!AF60-'Grid_Requirement'!AF60</f>
        <v/>
      </c>
      <c r="AG60">
        <f>IF(INDEX(Cal_Weeks[MonthYearLabel],32)&lt;&gt;INDEX(Cal_Weeks[MonthYearLabel],31),'Grid_Stock'!AF60,AF60)+'Grid_Incoming'!AG60-'Grid_Requirement'!AG60</f>
        <v/>
      </c>
      <c r="AH60">
        <f>IF(INDEX(Cal_Weeks[MonthYearLabel],33)&lt;&gt;INDEX(Cal_Weeks[MonthYearLabel],32),'Grid_Stock'!AG60,AG60)+'Grid_Incoming'!AH60-'Grid_Requirement'!AH60</f>
        <v/>
      </c>
      <c r="AI60">
        <f>IF(INDEX(Cal_Weeks[MonthYearLabel],34)&lt;&gt;INDEX(Cal_Weeks[MonthYearLabel],33),'Grid_Stock'!AH60,AH60)+'Grid_Incoming'!AI60-'Grid_Requirement'!AI60</f>
        <v/>
      </c>
      <c r="AJ60">
        <f>IF(INDEX(Cal_Weeks[MonthYearLabel],35)&lt;&gt;INDEX(Cal_Weeks[MonthYearLabel],34),'Grid_Stock'!AI60,AI60)+'Grid_Incoming'!AJ60-'Grid_Requirement'!AJ60</f>
        <v/>
      </c>
      <c r="AK60">
        <f>IF(INDEX(Cal_Weeks[MonthYearLabel],36)&lt;&gt;INDEX(Cal_Weeks[MonthYearLabel],35),'Grid_Stock'!AJ60,AJ60)+'Grid_Incoming'!AK60-'Grid_Requirement'!AK60</f>
        <v/>
      </c>
      <c r="AL60">
        <f>IF(INDEX(Cal_Weeks[MonthYearLabel],37)&lt;&gt;INDEX(Cal_Weeks[MonthYearLabel],36),'Grid_Stock'!AK60,AK60)+'Grid_Incoming'!AL60-'Grid_Requirement'!AL60</f>
        <v/>
      </c>
      <c r="AM60">
        <f>IF(INDEX(Cal_Weeks[MonthYearLabel],38)&lt;&gt;INDEX(Cal_Weeks[MonthYearLabel],37),'Grid_Stock'!AL60,AL60)+'Grid_Incoming'!AM60-'Grid_Requirement'!AM60</f>
        <v/>
      </c>
      <c r="AN60">
        <f>IF(INDEX(Cal_Weeks[MonthYearLabel],39)&lt;&gt;INDEX(Cal_Weeks[MonthYearLabel],38),'Grid_Stock'!AM60,AM60)+'Grid_Incoming'!AN60-'Grid_Requirement'!AN60</f>
        <v/>
      </c>
      <c r="AO60">
        <f>IF(INDEX(Cal_Weeks[MonthYearLabel],40)&lt;&gt;INDEX(Cal_Weeks[MonthYearLabel],39),'Grid_Stock'!AN60,AN60)+'Grid_Incoming'!AO60-'Grid_Requirement'!AO60</f>
        <v/>
      </c>
      <c r="AP60">
        <f>IF(INDEX(Cal_Weeks[MonthYearLabel],41)&lt;&gt;INDEX(Cal_Weeks[MonthYearLabel],40),'Grid_Stock'!AO60,AO60)+'Grid_Incoming'!AP60-'Grid_Requirement'!AP60</f>
        <v/>
      </c>
      <c r="AQ60">
        <f>IF(INDEX(Cal_Weeks[MonthYearLabel],42)&lt;&gt;INDEX(Cal_Weeks[MonthYearLabel],41),'Grid_Stock'!AP60,AP60)+'Grid_Incoming'!AQ60-'Grid_Requirement'!AQ60</f>
        <v/>
      </c>
      <c r="AR60">
        <f>IF(INDEX(Cal_Weeks[MonthYearLabel],43)&lt;&gt;INDEX(Cal_Weeks[MonthYearLabel],42),'Grid_Stock'!AQ60,AQ60)+'Grid_Incoming'!AR60-'Grid_Requirement'!AR60</f>
        <v/>
      </c>
      <c r="AS60">
        <f>IF(INDEX(Cal_Weeks[MonthYearLabel],44)&lt;&gt;INDEX(Cal_Weeks[MonthYearLabel],43),'Grid_Stock'!AR60,AR60)+'Grid_Incoming'!AS60-'Grid_Requirement'!AS60</f>
        <v/>
      </c>
      <c r="AT60">
        <f>IF(INDEX(Cal_Weeks[MonthYearLabel],45)&lt;&gt;INDEX(Cal_Weeks[MonthYearLabel],44),'Grid_Stock'!AS60,AS60)+'Grid_Incoming'!AT60-'Grid_Requirement'!AT60</f>
        <v/>
      </c>
      <c r="AU60">
        <f>IF(INDEX(Cal_Weeks[MonthYearLabel],46)&lt;&gt;INDEX(Cal_Weeks[MonthYearLabel],45),'Grid_Stock'!AT60,AT60)+'Grid_Incoming'!AU60-'Grid_Requirement'!AU60</f>
        <v/>
      </c>
      <c r="AV60">
        <f>IF(INDEX(Cal_Weeks[MonthYearLabel],47)&lt;&gt;INDEX(Cal_Weeks[MonthYearLabel],46),'Grid_Stock'!AU60,AU60)+'Grid_Incoming'!AV60-'Grid_Requirement'!AV60</f>
        <v/>
      </c>
      <c r="AW60">
        <f>IF(INDEX(Cal_Weeks[MonthYearLabel],48)&lt;&gt;INDEX(Cal_Weeks[MonthYearLabel],47),'Grid_Stock'!AV60,AV60)+'Grid_Incoming'!AW60-'Grid_Requirement'!AW60</f>
        <v/>
      </c>
      <c r="AX60">
        <f>IF(INDEX(Cal_Weeks[MonthYearLabel],49)&lt;&gt;INDEX(Cal_Weeks[MonthYearLabel],48),'Grid_Stock'!AW60,AW60)+'Grid_Incoming'!AX60-'Grid_Requirement'!AX60</f>
        <v/>
      </c>
      <c r="AY60">
        <f>IF(INDEX(Cal_Weeks[MonthYearLabel],50)&lt;&gt;INDEX(Cal_Weeks[MonthYearLabel],49),'Grid_Stock'!AX60,AX60)+'Grid_Incoming'!AY60-'Grid_Requirement'!AY60</f>
        <v/>
      </c>
      <c r="AZ60">
        <f>IF(INDEX(Cal_Weeks[MonthYearLabel],51)&lt;&gt;INDEX(Cal_Weeks[MonthYearLabel],50),'Grid_Stock'!AY60,AY60)+'Grid_Incoming'!AZ60-'Grid_Requirement'!AZ60</f>
        <v/>
      </c>
      <c r="BA60">
        <f>IF(INDEX(Cal_Weeks[MonthYearLabel],52)&lt;&gt;INDEX(Cal_Weeks[MonthYearLabel],51),'Grid_Stock'!AZ60,AZ60)+'Grid_Incoming'!BA60-'Grid_Requirement'!BA60</f>
        <v/>
      </c>
      <c r="BB60">
        <f>IF(INDEX(Cal_Weeks[MonthYearLabel],53)&lt;&gt;INDEX(Cal_Weeks[MonthYearLabel],52),'Grid_Stock'!BA60,BA60)+'Grid_Incoming'!BB60-'Grid_Requirement'!BB60</f>
        <v/>
      </c>
      <c r="BC60">
        <f>IF(INDEX(Cal_Weeks[MonthYearLabel],54)&lt;&gt;INDEX(Cal_Weeks[MonthYearLabel],53),'Grid_Stock'!BB60,BB60)+'Grid_Incoming'!BC60-'Grid_Requirement'!BC60</f>
        <v/>
      </c>
      <c r="BD60">
        <f>IF(INDEX(Cal_Weeks[MonthYearLabel],55)&lt;&gt;INDEX(Cal_Weeks[MonthYearLabel],54),'Grid_Stock'!BC60,BC60)+'Grid_Incoming'!BD60-'Grid_Requirement'!BD60</f>
        <v/>
      </c>
      <c r="BE60">
        <f>IF(INDEX(Cal_Weeks[MonthYearLabel],56)&lt;&gt;INDEX(Cal_Weeks[MonthYearLabel],55),'Grid_Stock'!BD60,BD60)+'Grid_Incoming'!BE60-'Grid_Requirement'!BE60</f>
        <v/>
      </c>
      <c r="BF60">
        <f>IF(INDEX(Cal_Weeks[MonthYearLabel],57)&lt;&gt;INDEX(Cal_Weeks[MonthYearLabel],56),'Grid_Stock'!BE60,BE60)+'Grid_Incoming'!BF60-'Grid_Requirement'!BF60</f>
        <v/>
      </c>
      <c r="BG60">
        <f>IF(INDEX(Cal_Weeks[MonthYearLabel],58)&lt;&gt;INDEX(Cal_Weeks[MonthYearLabel],57),'Grid_Stock'!BF60,BF60)+'Grid_Incoming'!BG60-'Grid_Requirement'!BG60</f>
        <v/>
      </c>
      <c r="BH60">
        <f>IF(INDEX(Cal_Weeks[MonthYearLabel],59)&lt;&gt;INDEX(Cal_Weeks[MonthYearLabel],58),'Grid_Stock'!BG60,BG60)+'Grid_Incoming'!BH60-'Grid_Requirement'!BH60</f>
        <v/>
      </c>
      <c r="BI60">
        <f>IF(INDEX(Cal_Weeks[MonthYearLabel],60)&lt;&gt;INDEX(Cal_Weeks[MonthYearLabel],59),'Grid_Stock'!BH60,BH60)+'Grid_Incoming'!BI60-'Grid_Requirement'!BI60</f>
        <v/>
      </c>
      <c r="BJ60">
        <f>IF(INDEX(Cal_Weeks[MonthYearLabel],61)&lt;&gt;INDEX(Cal_Weeks[MonthYearLabel],60),'Grid_Stock'!BI60,BI60)+'Grid_Incoming'!BJ60-'Grid_Requirement'!BJ60</f>
        <v/>
      </c>
      <c r="BK60">
        <f>IF(INDEX(Cal_Weeks[MonthYearLabel],62)&lt;&gt;INDEX(Cal_Weeks[MonthYearLabel],61),'Grid_Stock'!BJ60,BJ60)+'Grid_Incoming'!BK60-'Grid_Requirement'!BK60</f>
        <v/>
      </c>
      <c r="BL60">
        <f>IF(INDEX(Cal_Weeks[MonthYearLabel],63)&lt;&gt;INDEX(Cal_Weeks[MonthYearLabel],62),'Grid_Stock'!BK60,BK60)+'Grid_Incoming'!BL60-'Grid_Requirement'!BL60</f>
        <v/>
      </c>
      <c r="BM60">
        <f>IF(INDEX(Cal_Weeks[MonthYearLabel],64)&lt;&gt;INDEX(Cal_Weeks[MonthYearLabel],63),'Grid_Stock'!BL60,BL60)+'Grid_Incoming'!BM60-'Grid_Requirement'!BM60</f>
        <v/>
      </c>
      <c r="BN60">
        <f>IF(INDEX(Cal_Weeks[MonthYearLabel],65)&lt;&gt;INDEX(Cal_Weeks[MonthYearLabel],64),'Grid_Stock'!BM60,BM60)+'Grid_Incoming'!BN60-'Grid_Requirement'!BN60</f>
        <v/>
      </c>
      <c r="BO60">
        <f>IF(INDEX(Cal_Weeks[MonthYearLabel],66)&lt;&gt;INDEX(Cal_Weeks[MonthYearLabel],65),'Grid_Stock'!BN60,BN60)+'Grid_Incoming'!BO60-'Grid_Requirement'!BO60</f>
        <v/>
      </c>
      <c r="BP60">
        <f>IF(INDEX(Cal_Weeks[MonthYearLabel],67)&lt;&gt;INDEX(Cal_Weeks[MonthYearLabel],66),'Grid_Stock'!BO60,BO60)+'Grid_Incoming'!BP60-'Grid_Requirement'!BP60</f>
        <v/>
      </c>
      <c r="BQ60">
        <f>IF(INDEX(Cal_Weeks[MonthYearLabel],68)&lt;&gt;INDEX(Cal_Weeks[MonthYearLabel],67),'Grid_Stock'!BP60,BP60)+'Grid_Incoming'!BQ60-'Grid_Requirement'!BQ60</f>
        <v/>
      </c>
      <c r="BR60">
        <f>IF(INDEX(Cal_Weeks[MonthYearLabel],69)&lt;&gt;INDEX(Cal_Weeks[MonthYearLabel],68),'Grid_Stock'!BQ60,BQ60)+'Grid_Incoming'!BR60-'Grid_Requirement'!BR60</f>
        <v/>
      </c>
      <c r="BS60">
        <f>IF(INDEX(Cal_Weeks[MonthYearLabel],70)&lt;&gt;INDEX(Cal_Weeks[MonthYearLabel],69),'Grid_Stock'!BR60,BR60)+'Grid_Incoming'!BS60-'Grid_Requirement'!BS60</f>
        <v/>
      </c>
      <c r="BT60">
        <f>IF(INDEX(Cal_Weeks[MonthYearLabel],71)&lt;&gt;INDEX(Cal_Weeks[MonthYearLabel],70),'Grid_Stock'!BS60,BS60)+'Grid_Incoming'!BT60-'Grid_Requirement'!BT60</f>
        <v/>
      </c>
      <c r="BU60">
        <f>IF(INDEX(Cal_Weeks[MonthYearLabel],72)&lt;&gt;INDEX(Cal_Weeks[MonthYearLabel],71),'Grid_Stock'!BT60,BT60)+'Grid_Incoming'!BU60-'Grid_Requirement'!BU60</f>
        <v/>
      </c>
      <c r="BV60">
        <f>IF(INDEX(Cal_Weeks[MonthYearLabel],73)&lt;&gt;INDEX(Cal_Weeks[MonthYearLabel],72),'Grid_Stock'!BU60,BU60)+'Grid_Incoming'!BV60-'Grid_Requirement'!BV60</f>
        <v/>
      </c>
      <c r="BW60">
        <f>IF(INDEX(Cal_Weeks[MonthYearLabel],74)&lt;&gt;INDEX(Cal_Weeks[MonthYearLabel],73),'Grid_Stock'!BV60,BV60)+'Grid_Incoming'!BW60-'Grid_Requirement'!BW60</f>
        <v/>
      </c>
      <c r="BX60">
        <f>IF(INDEX(Cal_Weeks[MonthYearLabel],75)&lt;&gt;INDEX(Cal_Weeks[MonthYearLabel],74),'Grid_Stock'!BW60,BW60)+'Grid_Incoming'!BX60-'Grid_Requirement'!BX60</f>
        <v/>
      </c>
      <c r="BY60">
        <f>IF(INDEX(Cal_Weeks[MonthYearLabel],76)&lt;&gt;INDEX(Cal_Weeks[MonthYearLabel],75),'Grid_Stock'!BX60,BX60)+'Grid_Incoming'!BY60-'Grid_Requirement'!BY60</f>
        <v/>
      </c>
      <c r="BZ60">
        <f>IF(INDEX(Cal_Weeks[MonthYearLabel],77)&lt;&gt;INDEX(Cal_Weeks[MonthYearLabel],76),'Grid_Stock'!BY60,BY60)+'Grid_Incoming'!BZ60-'Grid_Requirement'!BZ60</f>
        <v/>
      </c>
      <c r="CA60">
        <f>IF(INDEX(Cal_Weeks[MonthYearLabel],78)&lt;&gt;INDEX(Cal_Weeks[MonthYearLabel],77),'Grid_Stock'!BZ60,BZ60)+'Grid_Incoming'!CA60-'Grid_Requirement'!CA60</f>
        <v/>
      </c>
      <c r="CB60">
        <f>IF(INDEX(Cal_Weeks[MonthYearLabel],79)&lt;&gt;INDEX(Cal_Weeks[MonthYearLabel],78),'Grid_Stock'!CA60,CA60)+'Grid_Incoming'!CB60-'Grid_Requirement'!CB60</f>
        <v/>
      </c>
      <c r="CC60">
        <f>IF(INDEX(Cal_Weeks[MonthYearLabel],80)&lt;&gt;INDEX(Cal_Weeks[MonthYearLabel],79),'Grid_Stock'!CB60,CB60)+'Grid_Incoming'!CC60-'Grid_Requirement'!CC60</f>
        <v/>
      </c>
      <c r="CD60">
        <f>IF(INDEX(Cal_Weeks[MonthYearLabel],81)&lt;&gt;INDEX(Cal_Weeks[MonthYearLabel],80),'Grid_Stock'!CC60,CC60)+'Grid_Incoming'!CD60-'Grid_Requirement'!CD60</f>
        <v/>
      </c>
      <c r="CE60">
        <f>IF(INDEX(Cal_Weeks[MonthYearLabel],82)&lt;&gt;INDEX(Cal_Weeks[MonthYearLabel],81),'Grid_Stock'!CD60,CD60)+'Grid_Incoming'!CE60-'Grid_Requirement'!CE60</f>
        <v/>
      </c>
      <c r="CF60">
        <f>IF(INDEX(Cal_Weeks[MonthYearLabel],83)&lt;&gt;INDEX(Cal_Weeks[MonthYearLabel],82),'Grid_Stock'!CE60,CE60)+'Grid_Incoming'!CF60-'Grid_Requirement'!CF60</f>
        <v/>
      </c>
      <c r="CG60">
        <f>IF(INDEX(Cal_Weeks[MonthYearLabel],84)&lt;&gt;INDEX(Cal_Weeks[MonthYearLabel],83),'Grid_Stock'!CF60,CF60)+'Grid_Incoming'!CG60-'Grid_Requirement'!CG60</f>
        <v/>
      </c>
      <c r="CH60">
        <f>IF(INDEX(Cal_Weeks[MonthYearLabel],85)&lt;&gt;INDEX(Cal_Weeks[MonthYearLabel],84),'Grid_Stock'!CG60,CG60)+'Grid_Incoming'!CH60-'Grid_Requirement'!CH60</f>
        <v/>
      </c>
      <c r="CI60">
        <f>IF(INDEX(Cal_Weeks[MonthYearLabel],86)&lt;&gt;INDEX(Cal_Weeks[MonthYearLabel],85),'Grid_Stock'!CH60,CH60)+'Grid_Incoming'!CI60-'Grid_Requirement'!CI60</f>
        <v/>
      </c>
      <c r="CJ60">
        <f>IF(INDEX(Cal_Weeks[MonthYearLabel],87)&lt;&gt;INDEX(Cal_Weeks[MonthYearLabel],86),'Grid_Stock'!CI60,CI60)+'Grid_Incoming'!CJ60-'Grid_Requirement'!CJ60</f>
        <v/>
      </c>
      <c r="CK60">
        <f>IF(INDEX(Cal_Weeks[MonthYearLabel],88)&lt;&gt;INDEX(Cal_Weeks[MonthYearLabel],87),'Grid_Stock'!CJ60,CJ60)+'Grid_Incoming'!CK60-'Grid_Requirement'!CK60</f>
        <v/>
      </c>
      <c r="CL60">
        <f>IF(INDEX(Cal_Weeks[MonthYearLabel],89)&lt;&gt;INDEX(Cal_Weeks[MonthYearLabel],88),'Grid_Stock'!CK60,CK60)+'Grid_Incoming'!CL60-'Grid_Requirement'!CL60</f>
        <v/>
      </c>
      <c r="CM60">
        <f>IF(INDEX(Cal_Weeks[MonthYearLabel],90)&lt;&gt;INDEX(Cal_Weeks[MonthYearLabel],89),'Grid_Stock'!CL60,CL60)+'Grid_Incoming'!CM60-'Grid_Requirement'!CM60</f>
        <v/>
      </c>
      <c r="CN60">
        <f>IF(INDEX(Cal_Weeks[MonthYearLabel],91)&lt;&gt;INDEX(Cal_Weeks[MonthYearLabel],90),'Grid_Stock'!CM60,CM60)+'Grid_Incoming'!CN60-'Grid_Requirement'!CN60</f>
        <v/>
      </c>
      <c r="CO60">
        <f>IF(INDEX(Cal_Weeks[MonthYearLabel],92)&lt;&gt;INDEX(Cal_Weeks[MonthYearLabel],91),'Grid_Stock'!CN60,CN60)+'Grid_Incoming'!CO60-'Grid_Requirement'!CO60</f>
        <v/>
      </c>
      <c r="CP60">
        <f>IF(INDEX(Cal_Weeks[MonthYearLabel],93)&lt;&gt;INDEX(Cal_Weeks[MonthYearLabel],92),'Grid_Stock'!CO60,CO60)+'Grid_Incoming'!CP60-'Grid_Requirement'!CP60</f>
        <v/>
      </c>
      <c r="CQ60">
        <f>IF(INDEX(Cal_Weeks[MonthYearLabel],94)&lt;&gt;INDEX(Cal_Weeks[MonthYearLabel],93),'Grid_Stock'!CP60,CP60)+'Grid_Incoming'!CQ60-'Grid_Requirement'!CQ60</f>
        <v/>
      </c>
      <c r="CR60">
        <f>IF(INDEX(Cal_Weeks[MonthYearLabel],95)&lt;&gt;INDEX(Cal_Weeks[MonthYearLabel],94),'Grid_Stock'!CQ60,CQ60)+'Grid_Incoming'!CR60-'Grid_Requirement'!CR60</f>
        <v/>
      </c>
      <c r="CS60">
        <f>IF(INDEX(Cal_Weeks[MonthYearLabel],96)&lt;&gt;INDEX(Cal_Weeks[MonthYearLabel],95),'Grid_Stock'!CR60,CR60)+'Grid_Incoming'!CS60-'Grid_Requirement'!CS60</f>
        <v/>
      </c>
      <c r="CT60">
        <f>IF(INDEX(Cal_Weeks[MonthYearLabel],97)&lt;&gt;INDEX(Cal_Weeks[MonthYearLabel],96),'Grid_Stock'!CS60,CS60)+'Grid_Incoming'!CT60-'Grid_Requirement'!CT60</f>
        <v/>
      </c>
      <c r="CU60">
        <f>IF(INDEX(Cal_Weeks[MonthYearLabel],98)&lt;&gt;INDEX(Cal_Weeks[MonthYearLabel],97),'Grid_Stock'!CT60,CT60)+'Grid_Incoming'!CU60-'Grid_Requirement'!CU60</f>
        <v/>
      </c>
      <c r="CV60">
        <f>IF(INDEX(Cal_Weeks[MonthYearLabel],99)&lt;&gt;INDEX(Cal_Weeks[MonthYearLabel],98),'Grid_Stock'!CU60,CU60)+'Grid_Incoming'!CV60-'Grid_Requirement'!CV60</f>
        <v/>
      </c>
      <c r="CW60">
        <f>IF(INDEX(Cal_Weeks[MonthYearLabel],100)&lt;&gt;INDEX(Cal_Weeks[MonthYearLabel],99),'Grid_Stock'!CV60,CV60)+'Grid_Incoming'!CW60-'Grid_Requirement'!CW60</f>
        <v/>
      </c>
      <c r="CX60">
        <f>IF(INDEX(Cal_Weeks[MonthYearLabel],101)&lt;&gt;INDEX(Cal_Weeks[MonthYearLabel],100),'Grid_Stock'!CW60,CW60)+'Grid_Incoming'!CX60-'Grid_Requirement'!CX60</f>
        <v/>
      </c>
      <c r="CY60">
        <f>IF(INDEX(Cal_Weeks[MonthYearLabel],102)&lt;&gt;INDEX(Cal_Weeks[MonthYearLabel],101),'Grid_Stock'!CX60,CX60)+'Grid_Incoming'!CY60-'Grid_Requirement'!CY60</f>
        <v/>
      </c>
      <c r="CZ60">
        <f>IF(INDEX(Cal_Weeks[MonthYearLabel],103)&lt;&gt;INDEX(Cal_Weeks[MonthYearLabel],102),'Grid_Stock'!CY60,CY60)+'Grid_Incoming'!CZ60-'Grid_Requirement'!CZ60</f>
        <v/>
      </c>
      <c r="DA60">
        <f>IF(INDEX(Cal_Weeks[MonthYearLabel],104)&lt;&gt;INDEX(Cal_Weeks[MonthYearLabel],103),'Grid_Stock'!CZ60,CZ60)+'Grid_Incoming'!DA60-'Grid_Requirement'!DA60</f>
        <v/>
      </c>
    </row>
    <row r="61">
      <c r="A61" t="inlineStr">
        <is>
          <t>CHEM-1720</t>
        </is>
      </c>
      <c r="B61">
        <f>IFERROR(INDEX(T_OpeningStock[Opening_Qty_要入力],MATCH($A61,T_OpeningStock[Part Name],0)),0)+'Grid_Incoming'!B61-'Grid_Requirement'!B61</f>
        <v/>
      </c>
      <c r="C61">
        <f>IF(INDEX(Cal_Weeks[MonthYearLabel],2)&lt;&gt;INDEX(Cal_Weeks[MonthYearLabel],1),'Grid_Stock'!B61,B61)+'Grid_Incoming'!C61-'Grid_Requirement'!C61</f>
        <v/>
      </c>
      <c r="D61">
        <f>IF(INDEX(Cal_Weeks[MonthYearLabel],3)&lt;&gt;INDEX(Cal_Weeks[MonthYearLabel],2),'Grid_Stock'!C61,C61)+'Grid_Incoming'!D61-'Grid_Requirement'!D61</f>
        <v/>
      </c>
      <c r="E61">
        <f>IF(INDEX(Cal_Weeks[MonthYearLabel],4)&lt;&gt;INDEX(Cal_Weeks[MonthYearLabel],3),'Grid_Stock'!D61,D61)+'Grid_Incoming'!E61-'Grid_Requirement'!E61</f>
        <v/>
      </c>
      <c r="F61">
        <f>IF(INDEX(Cal_Weeks[MonthYearLabel],5)&lt;&gt;INDEX(Cal_Weeks[MonthYearLabel],4),'Grid_Stock'!E61,E61)+'Grid_Incoming'!F61-'Grid_Requirement'!F61</f>
        <v/>
      </c>
      <c r="G61">
        <f>IF(INDEX(Cal_Weeks[MonthYearLabel],6)&lt;&gt;INDEX(Cal_Weeks[MonthYearLabel],5),'Grid_Stock'!F61,F61)+'Grid_Incoming'!G61-'Grid_Requirement'!G61</f>
        <v/>
      </c>
      <c r="H61">
        <f>IF(INDEX(Cal_Weeks[MonthYearLabel],7)&lt;&gt;INDEX(Cal_Weeks[MonthYearLabel],6),'Grid_Stock'!G61,G61)+'Grid_Incoming'!H61-'Grid_Requirement'!H61</f>
        <v/>
      </c>
      <c r="I61">
        <f>IF(INDEX(Cal_Weeks[MonthYearLabel],8)&lt;&gt;INDEX(Cal_Weeks[MonthYearLabel],7),'Grid_Stock'!H61,H61)+'Grid_Incoming'!I61-'Grid_Requirement'!I61</f>
        <v/>
      </c>
      <c r="J61">
        <f>IF(INDEX(Cal_Weeks[MonthYearLabel],9)&lt;&gt;INDEX(Cal_Weeks[MonthYearLabel],8),'Grid_Stock'!I61,I61)+'Grid_Incoming'!J61-'Grid_Requirement'!J61</f>
        <v/>
      </c>
      <c r="K61">
        <f>IF(INDEX(Cal_Weeks[MonthYearLabel],10)&lt;&gt;INDEX(Cal_Weeks[MonthYearLabel],9),'Grid_Stock'!J61,J61)+'Grid_Incoming'!K61-'Grid_Requirement'!K61</f>
        <v/>
      </c>
      <c r="L61">
        <f>IF(INDEX(Cal_Weeks[MonthYearLabel],11)&lt;&gt;INDEX(Cal_Weeks[MonthYearLabel],10),'Grid_Stock'!K61,K61)+'Grid_Incoming'!L61-'Grid_Requirement'!L61</f>
        <v/>
      </c>
      <c r="M61">
        <f>IF(INDEX(Cal_Weeks[MonthYearLabel],12)&lt;&gt;INDEX(Cal_Weeks[MonthYearLabel],11),'Grid_Stock'!L61,L61)+'Grid_Incoming'!M61-'Grid_Requirement'!M61</f>
        <v/>
      </c>
      <c r="N61">
        <f>IF(INDEX(Cal_Weeks[MonthYearLabel],13)&lt;&gt;INDEX(Cal_Weeks[MonthYearLabel],12),'Grid_Stock'!M61,M61)+'Grid_Incoming'!N61-'Grid_Requirement'!N61</f>
        <v/>
      </c>
      <c r="O61">
        <f>IF(INDEX(Cal_Weeks[MonthYearLabel],14)&lt;&gt;INDEX(Cal_Weeks[MonthYearLabel],13),'Grid_Stock'!N61,N61)+'Grid_Incoming'!O61-'Grid_Requirement'!O61</f>
        <v/>
      </c>
      <c r="P61">
        <f>IF(INDEX(Cal_Weeks[MonthYearLabel],15)&lt;&gt;INDEX(Cal_Weeks[MonthYearLabel],14),'Grid_Stock'!O61,O61)+'Grid_Incoming'!P61-'Grid_Requirement'!P61</f>
        <v/>
      </c>
      <c r="Q61">
        <f>IF(INDEX(Cal_Weeks[MonthYearLabel],16)&lt;&gt;INDEX(Cal_Weeks[MonthYearLabel],15),'Grid_Stock'!P61,P61)+'Grid_Incoming'!Q61-'Grid_Requirement'!Q61</f>
        <v/>
      </c>
      <c r="R61">
        <f>IF(INDEX(Cal_Weeks[MonthYearLabel],17)&lt;&gt;INDEX(Cal_Weeks[MonthYearLabel],16),'Grid_Stock'!Q61,Q61)+'Grid_Incoming'!R61-'Grid_Requirement'!R61</f>
        <v/>
      </c>
      <c r="S61">
        <f>IF(INDEX(Cal_Weeks[MonthYearLabel],18)&lt;&gt;INDEX(Cal_Weeks[MonthYearLabel],17),'Grid_Stock'!R61,R61)+'Grid_Incoming'!S61-'Grid_Requirement'!S61</f>
        <v/>
      </c>
      <c r="T61">
        <f>IF(INDEX(Cal_Weeks[MonthYearLabel],19)&lt;&gt;INDEX(Cal_Weeks[MonthYearLabel],18),'Grid_Stock'!S61,S61)+'Grid_Incoming'!T61-'Grid_Requirement'!T61</f>
        <v/>
      </c>
      <c r="U61">
        <f>IF(INDEX(Cal_Weeks[MonthYearLabel],20)&lt;&gt;INDEX(Cal_Weeks[MonthYearLabel],19),'Grid_Stock'!T61,T61)+'Grid_Incoming'!U61-'Grid_Requirement'!U61</f>
        <v/>
      </c>
      <c r="V61">
        <f>IF(INDEX(Cal_Weeks[MonthYearLabel],21)&lt;&gt;INDEX(Cal_Weeks[MonthYearLabel],20),'Grid_Stock'!U61,U61)+'Grid_Incoming'!V61-'Grid_Requirement'!V61</f>
        <v/>
      </c>
      <c r="W61">
        <f>IF(INDEX(Cal_Weeks[MonthYearLabel],22)&lt;&gt;INDEX(Cal_Weeks[MonthYearLabel],21),'Grid_Stock'!V61,V61)+'Grid_Incoming'!W61-'Grid_Requirement'!W61</f>
        <v/>
      </c>
      <c r="X61">
        <f>IF(INDEX(Cal_Weeks[MonthYearLabel],23)&lt;&gt;INDEX(Cal_Weeks[MonthYearLabel],22),'Grid_Stock'!W61,W61)+'Grid_Incoming'!X61-'Grid_Requirement'!X61</f>
        <v/>
      </c>
      <c r="Y61">
        <f>IF(INDEX(Cal_Weeks[MonthYearLabel],24)&lt;&gt;INDEX(Cal_Weeks[MonthYearLabel],23),'Grid_Stock'!X61,X61)+'Grid_Incoming'!Y61-'Grid_Requirement'!Y61</f>
        <v/>
      </c>
      <c r="Z61">
        <f>IF(INDEX(Cal_Weeks[MonthYearLabel],25)&lt;&gt;INDEX(Cal_Weeks[MonthYearLabel],24),'Grid_Stock'!Y61,Y61)+'Grid_Incoming'!Z61-'Grid_Requirement'!Z61</f>
        <v/>
      </c>
      <c r="AA61">
        <f>IF(INDEX(Cal_Weeks[MonthYearLabel],26)&lt;&gt;INDEX(Cal_Weeks[MonthYearLabel],25),'Grid_Stock'!Z61,Z61)+'Grid_Incoming'!AA61-'Grid_Requirement'!AA61</f>
        <v/>
      </c>
      <c r="AB61">
        <f>IF(INDEX(Cal_Weeks[MonthYearLabel],27)&lt;&gt;INDEX(Cal_Weeks[MonthYearLabel],26),'Grid_Stock'!AA61,AA61)+'Grid_Incoming'!AB61-'Grid_Requirement'!AB61</f>
        <v/>
      </c>
      <c r="AC61">
        <f>IF(INDEX(Cal_Weeks[MonthYearLabel],28)&lt;&gt;INDEX(Cal_Weeks[MonthYearLabel],27),'Grid_Stock'!AB61,AB61)+'Grid_Incoming'!AC61-'Grid_Requirement'!AC61</f>
        <v/>
      </c>
      <c r="AD61">
        <f>IF(INDEX(Cal_Weeks[MonthYearLabel],29)&lt;&gt;INDEX(Cal_Weeks[MonthYearLabel],28),'Grid_Stock'!AC61,AC61)+'Grid_Incoming'!AD61-'Grid_Requirement'!AD61</f>
        <v/>
      </c>
      <c r="AE61">
        <f>IF(INDEX(Cal_Weeks[MonthYearLabel],30)&lt;&gt;INDEX(Cal_Weeks[MonthYearLabel],29),'Grid_Stock'!AD61,AD61)+'Grid_Incoming'!AE61-'Grid_Requirement'!AE61</f>
        <v/>
      </c>
      <c r="AF61">
        <f>IF(INDEX(Cal_Weeks[MonthYearLabel],31)&lt;&gt;INDEX(Cal_Weeks[MonthYearLabel],30),'Grid_Stock'!AE61,AE61)+'Grid_Incoming'!AF61-'Grid_Requirement'!AF61</f>
        <v/>
      </c>
      <c r="AG61">
        <f>IF(INDEX(Cal_Weeks[MonthYearLabel],32)&lt;&gt;INDEX(Cal_Weeks[MonthYearLabel],31),'Grid_Stock'!AF61,AF61)+'Grid_Incoming'!AG61-'Grid_Requirement'!AG61</f>
        <v/>
      </c>
      <c r="AH61">
        <f>IF(INDEX(Cal_Weeks[MonthYearLabel],33)&lt;&gt;INDEX(Cal_Weeks[MonthYearLabel],32),'Grid_Stock'!AG61,AG61)+'Grid_Incoming'!AH61-'Grid_Requirement'!AH61</f>
        <v/>
      </c>
      <c r="AI61">
        <f>IF(INDEX(Cal_Weeks[MonthYearLabel],34)&lt;&gt;INDEX(Cal_Weeks[MonthYearLabel],33),'Grid_Stock'!AH61,AH61)+'Grid_Incoming'!AI61-'Grid_Requirement'!AI61</f>
        <v/>
      </c>
      <c r="AJ61">
        <f>IF(INDEX(Cal_Weeks[MonthYearLabel],35)&lt;&gt;INDEX(Cal_Weeks[MonthYearLabel],34),'Grid_Stock'!AI61,AI61)+'Grid_Incoming'!AJ61-'Grid_Requirement'!AJ61</f>
        <v/>
      </c>
      <c r="AK61">
        <f>IF(INDEX(Cal_Weeks[MonthYearLabel],36)&lt;&gt;INDEX(Cal_Weeks[MonthYearLabel],35),'Grid_Stock'!AJ61,AJ61)+'Grid_Incoming'!AK61-'Grid_Requirement'!AK61</f>
        <v/>
      </c>
      <c r="AL61">
        <f>IF(INDEX(Cal_Weeks[MonthYearLabel],37)&lt;&gt;INDEX(Cal_Weeks[MonthYearLabel],36),'Grid_Stock'!AK61,AK61)+'Grid_Incoming'!AL61-'Grid_Requirement'!AL61</f>
        <v/>
      </c>
      <c r="AM61">
        <f>IF(INDEX(Cal_Weeks[MonthYearLabel],38)&lt;&gt;INDEX(Cal_Weeks[MonthYearLabel],37),'Grid_Stock'!AL61,AL61)+'Grid_Incoming'!AM61-'Grid_Requirement'!AM61</f>
        <v/>
      </c>
      <c r="AN61">
        <f>IF(INDEX(Cal_Weeks[MonthYearLabel],39)&lt;&gt;INDEX(Cal_Weeks[MonthYearLabel],38),'Grid_Stock'!AM61,AM61)+'Grid_Incoming'!AN61-'Grid_Requirement'!AN61</f>
        <v/>
      </c>
      <c r="AO61">
        <f>IF(INDEX(Cal_Weeks[MonthYearLabel],40)&lt;&gt;INDEX(Cal_Weeks[MonthYearLabel],39),'Grid_Stock'!AN61,AN61)+'Grid_Incoming'!AO61-'Grid_Requirement'!AO61</f>
        <v/>
      </c>
      <c r="AP61">
        <f>IF(INDEX(Cal_Weeks[MonthYearLabel],41)&lt;&gt;INDEX(Cal_Weeks[MonthYearLabel],40),'Grid_Stock'!AO61,AO61)+'Grid_Incoming'!AP61-'Grid_Requirement'!AP61</f>
        <v/>
      </c>
      <c r="AQ61">
        <f>IF(INDEX(Cal_Weeks[MonthYearLabel],42)&lt;&gt;INDEX(Cal_Weeks[MonthYearLabel],41),'Grid_Stock'!AP61,AP61)+'Grid_Incoming'!AQ61-'Grid_Requirement'!AQ61</f>
        <v/>
      </c>
      <c r="AR61">
        <f>IF(INDEX(Cal_Weeks[MonthYearLabel],43)&lt;&gt;INDEX(Cal_Weeks[MonthYearLabel],42),'Grid_Stock'!AQ61,AQ61)+'Grid_Incoming'!AR61-'Grid_Requirement'!AR61</f>
        <v/>
      </c>
      <c r="AS61">
        <f>IF(INDEX(Cal_Weeks[MonthYearLabel],44)&lt;&gt;INDEX(Cal_Weeks[MonthYearLabel],43),'Grid_Stock'!AR61,AR61)+'Grid_Incoming'!AS61-'Grid_Requirement'!AS61</f>
        <v/>
      </c>
      <c r="AT61">
        <f>IF(INDEX(Cal_Weeks[MonthYearLabel],45)&lt;&gt;INDEX(Cal_Weeks[MonthYearLabel],44),'Grid_Stock'!AS61,AS61)+'Grid_Incoming'!AT61-'Grid_Requirement'!AT61</f>
        <v/>
      </c>
      <c r="AU61">
        <f>IF(INDEX(Cal_Weeks[MonthYearLabel],46)&lt;&gt;INDEX(Cal_Weeks[MonthYearLabel],45),'Grid_Stock'!AT61,AT61)+'Grid_Incoming'!AU61-'Grid_Requirement'!AU61</f>
        <v/>
      </c>
      <c r="AV61">
        <f>IF(INDEX(Cal_Weeks[MonthYearLabel],47)&lt;&gt;INDEX(Cal_Weeks[MonthYearLabel],46),'Grid_Stock'!AU61,AU61)+'Grid_Incoming'!AV61-'Grid_Requirement'!AV61</f>
        <v/>
      </c>
      <c r="AW61">
        <f>IF(INDEX(Cal_Weeks[MonthYearLabel],48)&lt;&gt;INDEX(Cal_Weeks[MonthYearLabel],47),'Grid_Stock'!AV61,AV61)+'Grid_Incoming'!AW61-'Grid_Requirement'!AW61</f>
        <v/>
      </c>
      <c r="AX61">
        <f>IF(INDEX(Cal_Weeks[MonthYearLabel],49)&lt;&gt;INDEX(Cal_Weeks[MonthYearLabel],48),'Grid_Stock'!AW61,AW61)+'Grid_Incoming'!AX61-'Grid_Requirement'!AX61</f>
        <v/>
      </c>
      <c r="AY61">
        <f>IF(INDEX(Cal_Weeks[MonthYearLabel],50)&lt;&gt;INDEX(Cal_Weeks[MonthYearLabel],49),'Grid_Stock'!AX61,AX61)+'Grid_Incoming'!AY61-'Grid_Requirement'!AY61</f>
        <v/>
      </c>
      <c r="AZ61">
        <f>IF(INDEX(Cal_Weeks[MonthYearLabel],51)&lt;&gt;INDEX(Cal_Weeks[MonthYearLabel],50),'Grid_Stock'!AY61,AY61)+'Grid_Incoming'!AZ61-'Grid_Requirement'!AZ61</f>
        <v/>
      </c>
      <c r="BA61">
        <f>IF(INDEX(Cal_Weeks[MonthYearLabel],52)&lt;&gt;INDEX(Cal_Weeks[MonthYearLabel],51),'Grid_Stock'!AZ61,AZ61)+'Grid_Incoming'!BA61-'Grid_Requirement'!BA61</f>
        <v/>
      </c>
      <c r="BB61">
        <f>IF(INDEX(Cal_Weeks[MonthYearLabel],53)&lt;&gt;INDEX(Cal_Weeks[MonthYearLabel],52),'Grid_Stock'!BA61,BA61)+'Grid_Incoming'!BB61-'Grid_Requirement'!BB61</f>
        <v/>
      </c>
      <c r="BC61">
        <f>IF(INDEX(Cal_Weeks[MonthYearLabel],54)&lt;&gt;INDEX(Cal_Weeks[MonthYearLabel],53),'Grid_Stock'!BB61,BB61)+'Grid_Incoming'!BC61-'Grid_Requirement'!BC61</f>
        <v/>
      </c>
      <c r="BD61">
        <f>IF(INDEX(Cal_Weeks[MonthYearLabel],55)&lt;&gt;INDEX(Cal_Weeks[MonthYearLabel],54),'Grid_Stock'!BC61,BC61)+'Grid_Incoming'!BD61-'Grid_Requirement'!BD61</f>
        <v/>
      </c>
      <c r="BE61">
        <f>IF(INDEX(Cal_Weeks[MonthYearLabel],56)&lt;&gt;INDEX(Cal_Weeks[MonthYearLabel],55),'Grid_Stock'!BD61,BD61)+'Grid_Incoming'!BE61-'Grid_Requirement'!BE61</f>
        <v/>
      </c>
      <c r="BF61">
        <f>IF(INDEX(Cal_Weeks[MonthYearLabel],57)&lt;&gt;INDEX(Cal_Weeks[MonthYearLabel],56),'Grid_Stock'!BE61,BE61)+'Grid_Incoming'!BF61-'Grid_Requirement'!BF61</f>
        <v/>
      </c>
      <c r="BG61">
        <f>IF(INDEX(Cal_Weeks[MonthYearLabel],58)&lt;&gt;INDEX(Cal_Weeks[MonthYearLabel],57),'Grid_Stock'!BF61,BF61)+'Grid_Incoming'!BG61-'Grid_Requirement'!BG61</f>
        <v/>
      </c>
      <c r="BH61">
        <f>IF(INDEX(Cal_Weeks[MonthYearLabel],59)&lt;&gt;INDEX(Cal_Weeks[MonthYearLabel],58),'Grid_Stock'!BG61,BG61)+'Grid_Incoming'!BH61-'Grid_Requirement'!BH61</f>
        <v/>
      </c>
      <c r="BI61">
        <f>IF(INDEX(Cal_Weeks[MonthYearLabel],60)&lt;&gt;INDEX(Cal_Weeks[MonthYearLabel],59),'Grid_Stock'!BH61,BH61)+'Grid_Incoming'!BI61-'Grid_Requirement'!BI61</f>
        <v/>
      </c>
      <c r="BJ61">
        <f>IF(INDEX(Cal_Weeks[MonthYearLabel],61)&lt;&gt;INDEX(Cal_Weeks[MonthYearLabel],60),'Grid_Stock'!BI61,BI61)+'Grid_Incoming'!BJ61-'Grid_Requirement'!BJ61</f>
        <v/>
      </c>
      <c r="BK61">
        <f>IF(INDEX(Cal_Weeks[MonthYearLabel],62)&lt;&gt;INDEX(Cal_Weeks[MonthYearLabel],61),'Grid_Stock'!BJ61,BJ61)+'Grid_Incoming'!BK61-'Grid_Requirement'!BK61</f>
        <v/>
      </c>
      <c r="BL61">
        <f>IF(INDEX(Cal_Weeks[MonthYearLabel],63)&lt;&gt;INDEX(Cal_Weeks[MonthYearLabel],62),'Grid_Stock'!BK61,BK61)+'Grid_Incoming'!BL61-'Grid_Requirement'!BL61</f>
        <v/>
      </c>
      <c r="BM61">
        <f>IF(INDEX(Cal_Weeks[MonthYearLabel],64)&lt;&gt;INDEX(Cal_Weeks[MonthYearLabel],63),'Grid_Stock'!BL61,BL61)+'Grid_Incoming'!BM61-'Grid_Requirement'!BM61</f>
        <v/>
      </c>
      <c r="BN61">
        <f>IF(INDEX(Cal_Weeks[MonthYearLabel],65)&lt;&gt;INDEX(Cal_Weeks[MonthYearLabel],64),'Grid_Stock'!BM61,BM61)+'Grid_Incoming'!BN61-'Grid_Requirement'!BN61</f>
        <v/>
      </c>
      <c r="BO61">
        <f>IF(INDEX(Cal_Weeks[MonthYearLabel],66)&lt;&gt;INDEX(Cal_Weeks[MonthYearLabel],65),'Grid_Stock'!BN61,BN61)+'Grid_Incoming'!BO61-'Grid_Requirement'!BO61</f>
        <v/>
      </c>
      <c r="BP61">
        <f>IF(INDEX(Cal_Weeks[MonthYearLabel],67)&lt;&gt;INDEX(Cal_Weeks[MonthYearLabel],66),'Grid_Stock'!BO61,BO61)+'Grid_Incoming'!BP61-'Grid_Requirement'!BP61</f>
        <v/>
      </c>
      <c r="BQ61">
        <f>IF(INDEX(Cal_Weeks[MonthYearLabel],68)&lt;&gt;INDEX(Cal_Weeks[MonthYearLabel],67),'Grid_Stock'!BP61,BP61)+'Grid_Incoming'!BQ61-'Grid_Requirement'!BQ61</f>
        <v/>
      </c>
      <c r="BR61">
        <f>IF(INDEX(Cal_Weeks[MonthYearLabel],69)&lt;&gt;INDEX(Cal_Weeks[MonthYearLabel],68),'Grid_Stock'!BQ61,BQ61)+'Grid_Incoming'!BR61-'Grid_Requirement'!BR61</f>
        <v/>
      </c>
      <c r="BS61">
        <f>IF(INDEX(Cal_Weeks[MonthYearLabel],70)&lt;&gt;INDEX(Cal_Weeks[MonthYearLabel],69),'Grid_Stock'!BR61,BR61)+'Grid_Incoming'!BS61-'Grid_Requirement'!BS61</f>
        <v/>
      </c>
      <c r="BT61">
        <f>IF(INDEX(Cal_Weeks[MonthYearLabel],71)&lt;&gt;INDEX(Cal_Weeks[MonthYearLabel],70),'Grid_Stock'!BS61,BS61)+'Grid_Incoming'!BT61-'Grid_Requirement'!BT61</f>
        <v/>
      </c>
      <c r="BU61">
        <f>IF(INDEX(Cal_Weeks[MonthYearLabel],72)&lt;&gt;INDEX(Cal_Weeks[MonthYearLabel],71),'Grid_Stock'!BT61,BT61)+'Grid_Incoming'!BU61-'Grid_Requirement'!BU61</f>
        <v/>
      </c>
      <c r="BV61">
        <f>IF(INDEX(Cal_Weeks[MonthYearLabel],73)&lt;&gt;INDEX(Cal_Weeks[MonthYearLabel],72),'Grid_Stock'!BU61,BU61)+'Grid_Incoming'!BV61-'Grid_Requirement'!BV61</f>
        <v/>
      </c>
      <c r="BW61">
        <f>IF(INDEX(Cal_Weeks[MonthYearLabel],74)&lt;&gt;INDEX(Cal_Weeks[MonthYearLabel],73),'Grid_Stock'!BV61,BV61)+'Grid_Incoming'!BW61-'Grid_Requirement'!BW61</f>
        <v/>
      </c>
      <c r="BX61">
        <f>IF(INDEX(Cal_Weeks[MonthYearLabel],75)&lt;&gt;INDEX(Cal_Weeks[MonthYearLabel],74),'Grid_Stock'!BW61,BW61)+'Grid_Incoming'!BX61-'Grid_Requirement'!BX61</f>
        <v/>
      </c>
      <c r="BY61">
        <f>IF(INDEX(Cal_Weeks[MonthYearLabel],76)&lt;&gt;INDEX(Cal_Weeks[MonthYearLabel],75),'Grid_Stock'!BX61,BX61)+'Grid_Incoming'!BY61-'Grid_Requirement'!BY61</f>
        <v/>
      </c>
      <c r="BZ61">
        <f>IF(INDEX(Cal_Weeks[MonthYearLabel],77)&lt;&gt;INDEX(Cal_Weeks[MonthYearLabel],76),'Grid_Stock'!BY61,BY61)+'Grid_Incoming'!BZ61-'Grid_Requirement'!BZ61</f>
        <v/>
      </c>
      <c r="CA61">
        <f>IF(INDEX(Cal_Weeks[MonthYearLabel],78)&lt;&gt;INDEX(Cal_Weeks[MonthYearLabel],77),'Grid_Stock'!BZ61,BZ61)+'Grid_Incoming'!CA61-'Grid_Requirement'!CA61</f>
        <v/>
      </c>
      <c r="CB61">
        <f>IF(INDEX(Cal_Weeks[MonthYearLabel],79)&lt;&gt;INDEX(Cal_Weeks[MonthYearLabel],78),'Grid_Stock'!CA61,CA61)+'Grid_Incoming'!CB61-'Grid_Requirement'!CB61</f>
        <v/>
      </c>
      <c r="CC61">
        <f>IF(INDEX(Cal_Weeks[MonthYearLabel],80)&lt;&gt;INDEX(Cal_Weeks[MonthYearLabel],79),'Grid_Stock'!CB61,CB61)+'Grid_Incoming'!CC61-'Grid_Requirement'!CC61</f>
        <v/>
      </c>
      <c r="CD61">
        <f>IF(INDEX(Cal_Weeks[MonthYearLabel],81)&lt;&gt;INDEX(Cal_Weeks[MonthYearLabel],80),'Grid_Stock'!CC61,CC61)+'Grid_Incoming'!CD61-'Grid_Requirement'!CD61</f>
        <v/>
      </c>
      <c r="CE61">
        <f>IF(INDEX(Cal_Weeks[MonthYearLabel],82)&lt;&gt;INDEX(Cal_Weeks[MonthYearLabel],81),'Grid_Stock'!CD61,CD61)+'Grid_Incoming'!CE61-'Grid_Requirement'!CE61</f>
        <v/>
      </c>
      <c r="CF61">
        <f>IF(INDEX(Cal_Weeks[MonthYearLabel],83)&lt;&gt;INDEX(Cal_Weeks[MonthYearLabel],82),'Grid_Stock'!CE61,CE61)+'Grid_Incoming'!CF61-'Grid_Requirement'!CF61</f>
        <v/>
      </c>
      <c r="CG61">
        <f>IF(INDEX(Cal_Weeks[MonthYearLabel],84)&lt;&gt;INDEX(Cal_Weeks[MonthYearLabel],83),'Grid_Stock'!CF61,CF61)+'Grid_Incoming'!CG61-'Grid_Requirement'!CG61</f>
        <v/>
      </c>
      <c r="CH61">
        <f>IF(INDEX(Cal_Weeks[MonthYearLabel],85)&lt;&gt;INDEX(Cal_Weeks[MonthYearLabel],84),'Grid_Stock'!CG61,CG61)+'Grid_Incoming'!CH61-'Grid_Requirement'!CH61</f>
        <v/>
      </c>
      <c r="CI61">
        <f>IF(INDEX(Cal_Weeks[MonthYearLabel],86)&lt;&gt;INDEX(Cal_Weeks[MonthYearLabel],85),'Grid_Stock'!CH61,CH61)+'Grid_Incoming'!CI61-'Grid_Requirement'!CI61</f>
        <v/>
      </c>
      <c r="CJ61">
        <f>IF(INDEX(Cal_Weeks[MonthYearLabel],87)&lt;&gt;INDEX(Cal_Weeks[MonthYearLabel],86),'Grid_Stock'!CI61,CI61)+'Grid_Incoming'!CJ61-'Grid_Requirement'!CJ61</f>
        <v/>
      </c>
      <c r="CK61">
        <f>IF(INDEX(Cal_Weeks[MonthYearLabel],88)&lt;&gt;INDEX(Cal_Weeks[MonthYearLabel],87),'Grid_Stock'!CJ61,CJ61)+'Grid_Incoming'!CK61-'Grid_Requirement'!CK61</f>
        <v/>
      </c>
      <c r="CL61">
        <f>IF(INDEX(Cal_Weeks[MonthYearLabel],89)&lt;&gt;INDEX(Cal_Weeks[MonthYearLabel],88),'Grid_Stock'!CK61,CK61)+'Grid_Incoming'!CL61-'Grid_Requirement'!CL61</f>
        <v/>
      </c>
      <c r="CM61">
        <f>IF(INDEX(Cal_Weeks[MonthYearLabel],90)&lt;&gt;INDEX(Cal_Weeks[MonthYearLabel],89),'Grid_Stock'!CL61,CL61)+'Grid_Incoming'!CM61-'Grid_Requirement'!CM61</f>
        <v/>
      </c>
      <c r="CN61">
        <f>IF(INDEX(Cal_Weeks[MonthYearLabel],91)&lt;&gt;INDEX(Cal_Weeks[MonthYearLabel],90),'Grid_Stock'!CM61,CM61)+'Grid_Incoming'!CN61-'Grid_Requirement'!CN61</f>
        <v/>
      </c>
      <c r="CO61">
        <f>IF(INDEX(Cal_Weeks[MonthYearLabel],92)&lt;&gt;INDEX(Cal_Weeks[MonthYearLabel],91),'Grid_Stock'!CN61,CN61)+'Grid_Incoming'!CO61-'Grid_Requirement'!CO61</f>
        <v/>
      </c>
      <c r="CP61">
        <f>IF(INDEX(Cal_Weeks[MonthYearLabel],93)&lt;&gt;INDEX(Cal_Weeks[MonthYearLabel],92),'Grid_Stock'!CO61,CO61)+'Grid_Incoming'!CP61-'Grid_Requirement'!CP61</f>
        <v/>
      </c>
      <c r="CQ61">
        <f>IF(INDEX(Cal_Weeks[MonthYearLabel],94)&lt;&gt;INDEX(Cal_Weeks[MonthYearLabel],93),'Grid_Stock'!CP61,CP61)+'Grid_Incoming'!CQ61-'Grid_Requirement'!CQ61</f>
        <v/>
      </c>
      <c r="CR61">
        <f>IF(INDEX(Cal_Weeks[MonthYearLabel],95)&lt;&gt;INDEX(Cal_Weeks[MonthYearLabel],94),'Grid_Stock'!CQ61,CQ61)+'Grid_Incoming'!CR61-'Grid_Requirement'!CR61</f>
        <v/>
      </c>
      <c r="CS61">
        <f>IF(INDEX(Cal_Weeks[MonthYearLabel],96)&lt;&gt;INDEX(Cal_Weeks[MonthYearLabel],95),'Grid_Stock'!CR61,CR61)+'Grid_Incoming'!CS61-'Grid_Requirement'!CS61</f>
        <v/>
      </c>
      <c r="CT61">
        <f>IF(INDEX(Cal_Weeks[MonthYearLabel],97)&lt;&gt;INDEX(Cal_Weeks[MonthYearLabel],96),'Grid_Stock'!CS61,CS61)+'Grid_Incoming'!CT61-'Grid_Requirement'!CT61</f>
        <v/>
      </c>
      <c r="CU61">
        <f>IF(INDEX(Cal_Weeks[MonthYearLabel],98)&lt;&gt;INDEX(Cal_Weeks[MonthYearLabel],97),'Grid_Stock'!CT61,CT61)+'Grid_Incoming'!CU61-'Grid_Requirement'!CU61</f>
        <v/>
      </c>
      <c r="CV61">
        <f>IF(INDEX(Cal_Weeks[MonthYearLabel],99)&lt;&gt;INDEX(Cal_Weeks[MonthYearLabel],98),'Grid_Stock'!CU61,CU61)+'Grid_Incoming'!CV61-'Grid_Requirement'!CV61</f>
        <v/>
      </c>
      <c r="CW61">
        <f>IF(INDEX(Cal_Weeks[MonthYearLabel],100)&lt;&gt;INDEX(Cal_Weeks[MonthYearLabel],99),'Grid_Stock'!CV61,CV61)+'Grid_Incoming'!CW61-'Grid_Requirement'!CW61</f>
        <v/>
      </c>
      <c r="CX61">
        <f>IF(INDEX(Cal_Weeks[MonthYearLabel],101)&lt;&gt;INDEX(Cal_Weeks[MonthYearLabel],100),'Grid_Stock'!CW61,CW61)+'Grid_Incoming'!CX61-'Grid_Requirement'!CX61</f>
        <v/>
      </c>
      <c r="CY61">
        <f>IF(INDEX(Cal_Weeks[MonthYearLabel],102)&lt;&gt;INDEX(Cal_Weeks[MonthYearLabel],101),'Grid_Stock'!CX61,CX61)+'Grid_Incoming'!CY61-'Grid_Requirement'!CY61</f>
        <v/>
      </c>
      <c r="CZ61">
        <f>IF(INDEX(Cal_Weeks[MonthYearLabel],103)&lt;&gt;INDEX(Cal_Weeks[MonthYearLabel],102),'Grid_Stock'!CY61,CY61)+'Grid_Incoming'!CZ61-'Grid_Requirement'!CZ61</f>
        <v/>
      </c>
      <c r="DA61">
        <f>IF(INDEX(Cal_Weeks[MonthYearLabel],104)&lt;&gt;INDEX(Cal_Weeks[MonthYearLabel],103),'Grid_Stock'!CZ61,CZ61)+'Grid_Incoming'!DA61-'Grid_Requirement'!DA61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</cols>
  <sheetData>
    <row r="1">
      <c r="A1" s="6" t="inlineStr">
        <is>
          <t>Part Name</t>
        </is>
      </c>
      <c r="B1" s="6" t="inlineStr">
        <is>
          <t>Date</t>
        </is>
      </c>
      <c r="C1" s="6" t="inlineStr">
        <is>
          <t>WeekIndex</t>
        </is>
      </c>
      <c r="D1" s="6" t="inlineStr">
        <is>
          <t>Self_Qty</t>
        </is>
      </c>
    </row>
    <row r="2">
      <c r="A2" t="inlineStr">
        <is>
          <t>(ダミー行、削除不可)</t>
        </is>
      </c>
      <c r="B2" s="27" t="n">
        <v>36528</v>
      </c>
      <c r="C2">
        <f>IFERROR(IF(AND((INT(($B2-(DATE(Cal_Weeks!$B$1,1,1)-WEEKDAY(DATE(Cal_Weeks!$B$1,1,1),3)))/7)+1)&gt;=1,(INT(($B2-(DATE(Cal_Weeks!$B$1,1,1)-WEEKDAY(DATE(Cal_Weeks!$B$1,1,1),3)))/7)+1)&lt;=104),(INT(($B2-(DATE(Cal_Weeks!$B$1,1,1)-WEEKDAY(DATE(Cal_Weeks!$B$1,1,1),3)))/7)+1),""),"")</f>
        <v/>
      </c>
      <c r="D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</cols>
  <sheetData>
    <row r="1">
      <c r="A1" s="6" t="inlineStr">
        <is>
          <t>Part Name</t>
        </is>
      </c>
      <c r="B1" s="6" t="inlineStr">
        <is>
          <t>Date</t>
        </is>
      </c>
      <c r="C1" s="6" t="inlineStr">
        <is>
          <t>WeekIndex</t>
        </is>
      </c>
      <c r="D1" s="6" t="inlineStr">
        <is>
          <t>TTAF_Qty</t>
        </is>
      </c>
    </row>
    <row r="2">
      <c r="A2" t="inlineStr">
        <is>
          <t>(ダミー行、削除不可)</t>
        </is>
      </c>
      <c r="B2" s="27" t="n">
        <v>36528</v>
      </c>
      <c r="C2">
        <f>IFERROR(IF(AND((INT(($B2-(DATE(Cal_Weeks!$B$1,1,1)-WEEKDAY(DATE(Cal_Weeks!$B$1,1,1),3)))/7)+1)&gt;=1,(INT(($B2-(DATE(Cal_Weeks!$B$1,1,1)-WEEKDAY(DATE(Cal_Weeks!$B$1,1,1),3)))/7)+1)&lt;=104),(INT(($B2-(DATE(Cal_Weeks!$B$1,1,1)-WEEKDAY(DATE(Cal_Weeks!$B$1,1,1),3)))/7)+1),""),"")</f>
        <v/>
      </c>
      <c r="D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2026-08-24T07:30:02Z</dcterms:created>
  <dcterms:modified xsi:type="dcterms:W3CDTF">2026-08-24T07:30:06Z</dcterms:modified>
</cp:coreProperties>
</file>